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成品\A050新疆果然鲜仓储-慢慢2026.8.26\联动表-2026.9.19\"/>
    </mc:Choice>
  </mc:AlternateContent>
  <bookViews>
    <workbookView windowWidth="28800" windowHeight="12375" tabRatio="744" activeTab="11"/>
  </bookViews>
  <sheets>
    <sheet name="主页" sheetId="1" r:id="rId1"/>
    <sheet name="使用说明" sheetId="2" r:id="rId2"/>
    <sheet name="自备筐对账单" sheetId="3" r:id="rId3"/>
    <sheet name="筐子对账单" sheetId="4" r:id="rId4"/>
    <sheet name="物料与筐子销售对账单" sheetId="5" r:id="rId5"/>
    <sheet name="水果对账单" sheetId="6" r:id="rId6"/>
    <sheet name="果然鲜销售对账单" sheetId="7" r:id="rId7"/>
    <sheet name="公司购买果品对账单" sheetId="8" r:id="rId8"/>
    <sheet name="筐子库存汇总" sheetId="9" r:id="rId9"/>
    <sheet name="应收应付汇总" sheetId="10" r:id="rId10"/>
    <sheet name="对接源_01水果" sheetId="11" r:id="rId11"/>
    <sheet name="对接源_02物料" sheetId="12" r:id="rId12"/>
    <sheet name="_自动清单" sheetId="13" state="hidden" r:id="rId13"/>
  </sheets>
  <externalReferences>
    <externalReference r:id="rId14"/>
    <externalReference r:id="rId15"/>
  </externalReferences>
  <definedNames>
    <definedName name="_xlnm.Print_Area" localSheetId="7">公司购买果品对账单!$A$1:$N$156</definedName>
    <definedName name="_xlnm.Print_Area" localSheetId="9">应收应付汇总!$A$1:$L$18</definedName>
    <definedName name="_xlnm.Print_Titles" localSheetId="6">果然鲜销售对账单!$5:$5</definedName>
    <definedName name="_xlnm.Print_Area" localSheetId="5">水果对账单!$A$1:$N$312</definedName>
    <definedName name="_xlnm.Print_Area" localSheetId="4">物料与筐子销售对账单!$A$1:$J$205</definedName>
    <definedName name="_xlnm.Print_Area" localSheetId="3">筐子对账单!$A$1:$K$232</definedName>
    <definedName name="_xlnm.Print_Area" localSheetId="8">筐子库存汇总!$A$1:$M$20</definedName>
    <definedName name="_xlnm.Print_Area" localSheetId="2">自备筐对账单!$A$1:$M$209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<sst xmlns="http://schemas.openxmlformats.org/spreadsheetml/2006/main" count="430" uniqueCount="239">
  <si>
    <r>
      <rPr>
        <b/>
        <sz val="14"/>
        <color rgb="FFFFFFFF"/>
        <rFont val="Noto Sans CJK SC"/>
        <charset val="134"/>
      </rPr>
      <t>04</t>
    </r>
    <r>
      <rPr>
        <b/>
        <sz val="14"/>
        <color rgb="FFFFFFFF"/>
        <rFont val="WenQuanYi Zen Hei"/>
        <charset val="134"/>
      </rPr>
      <t>　综 合 查 询 对 账 单</t>
    </r>
  </si>
  <si>
    <t>所有对账单集中在这一本；数据全部来自《01》《02》，三个文件必须放同一个文件夹　｜　点蓝色表名可跳转</t>
  </si>
  <si>
    <t>一、分类对账单（只填客户和起止日期）</t>
  </si>
  <si>
    <t>序号</t>
  </si>
  <si>
    <t>子表名称</t>
  </si>
  <si>
    <t>用途说明</t>
  </si>
  <si>
    <t>属性</t>
  </si>
  <si>
    <t>筐子对账单</t>
  </si>
  <si>
    <t>公司筐：出库／退回（负）／随筐入库（负），含未回库筐子（欠筐）</t>
  </si>
  <si>
    <t>录入+自动</t>
  </si>
  <si>
    <t>自备筐对账单</t>
  </si>
  <si>
    <t>客户自备筐的入库、出库明细及汇总</t>
  </si>
  <si>
    <t>水果对账单</t>
  </si>
  <si>
    <t>原料入库/出库/结存 ＋ 成品出库，含进出库等级汇总</t>
  </si>
  <si>
    <t>公司购买果品对账单</t>
  </si>
  <si>
    <t>★公司（果然鲜）买下客户果品的逐笔明细与应付金额</t>
  </si>
  <si>
    <t>物料与筐子销售对账单</t>
  </si>
  <si>
    <t>包装物料销售 ＋ 卖断筐子销售，含已收/未收</t>
  </si>
  <si>
    <t>二、公用汇总</t>
  </si>
  <si>
    <t>筐子库存汇总</t>
  </si>
  <si>
    <t>公司自有各类型筐子的期初、采购、退回、发出、销售与在库结存</t>
  </si>
  <si>
    <t>自动</t>
  </si>
  <si>
    <t>应收应付汇总</t>
  </si>
  <si>
    <t>各往来单位的应收、应付与净往来</t>
  </si>
  <si>
    <t>三、跨册对接（自动取数，勿手工填）</t>
  </si>
  <si>
    <t>对接源_01水果</t>
  </si>
  <si>
    <t>跨文件取《01》对账明细接口（含筐子与采购字段）</t>
  </si>
  <si>
    <t>对接源_02物料</t>
  </si>
  <si>
    <t>跨文件取《02》对账明细接口</t>
  </si>
  <si>
    <t>图例：浅绿＝公式自动生成，请勿覆盖　｜　浅蓝＝需要手工录入　｜　浅黄＝码表/规则，偶尔维护</t>
  </si>
  <si>
    <t>本 轮 新 增</t>
  </si>
  <si>
    <t>★按购买方出：卖了什么、多少钱、运费多少、收了多少、还欠多少</t>
  </si>
  <si>
    <t>综 合 查 询 对 账 单  使 用 说 明</t>
  </si>
  <si>
    <t>本册只用来查询和打印对账单，不录任何数据；数据全部来自《01 水果进销存台账》和《02 物料与周转物台账》</t>
  </si>
  <si>
    <t>一、四个文件放在同一个文件夹</t>
  </si>
  <si>
    <t>　01_水果进销存台账模板.xlsx</t>
  </si>
  <si>
    <t>　02_物料与周转物台账模板.xlsx</t>
  </si>
  <si>
    <t>　03_财务账套与报表模板.xlsx</t>
  </si>
  <si>
    <t>　04_综合查询对账单.xlsx（本文件）</t>
  </si>
  <si>
    <t>　文件名一个字都不要改。打开本文件时如提示"是否更新链接"，请点【更新】。</t>
  </si>
  <si>
    <t>二、怎么查对账单</t>
  </si>
  <si>
    <t>　打开【综合对账单】，第 3 行三个浅蓝格填一下：往来单位（下拉选）、开始日期、结束日期。</t>
  </si>
  <si>
    <t>　日期留空＝不限时间。上面自动出八类业务的汇总，下面自动列出每一笔，按业务类别成组排列。</t>
  </si>
  <si>
    <t>　确认无误直接打印给客户签字即可。</t>
  </si>
  <si>
    <t>三、其他两张表</t>
  </si>
  <si>
    <t>　【筐子库存汇总】：公司每种筐子/托盘还剩多少、客户手上还有多少、公司筐总量是多少。</t>
  </si>
  <si>
    <t>　【应收应付汇总】：一眼看清每家往来单位的业务金额、已收已付、还欠多少、谁欠谁。</t>
  </si>
  <si>
    <t>四、取不到数怎么办</t>
  </si>
  <si>
    <t>　两张【对接源】表最上面一行会显示"✔ 链接正常"还是"★★ 链接没接上"。</t>
  </si>
  <si>
    <t>　修复：菜单【数据】→【编辑链接】→先点【立即更新值】；还取不到就点【更改源】重新指向那两个文件。</t>
  </si>
  <si>
    <t>　本册只是查询工具，取不到数就是空的，不会算错账，放心。</t>
  </si>
  <si>
    <t>五、和《03 财务账套》的分工</t>
  </si>
  <si>
    <t>　本册给业务和老板看：逐笔业务、筐子库存、谁欠谁。</t>
  </si>
  <si>
    <t>　《03》给会计看：会计科目、记账凭证、资产负债表和利润表。两边的应收口径可能略有差异——</t>
  </si>
  <si>
    <t>　本册按业务台账的收付状态统计，《03》按资金日记账的实际收付统计，以《03》为准。</t>
  </si>
  <si>
    <t>★ 本 次 更 新（2026-09）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</si>
  <si>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34"/>
      </rPr>
      <t xml:space="preserve">、原「综合对账单」拆成 </t>
    </r>
    <r>
      <rPr>
        <sz val="10"/>
        <color rgb="FF1F3864"/>
        <rFont val="宋体"/>
        <charset val="134"/>
      </rPr>
      <t xml:space="preserve">4 </t>
    </r>
    <r>
      <rPr>
        <sz val="10"/>
        <color rgb="FF1F3864"/>
        <rFont val="WenQuanYi Zen Hei"/>
        <charset val="134"/>
      </rPr>
      <t>张分类对账单：【筐子对账单】【自备筐对账单】【水果对账单】【物料与筐子销售对账单】；原综合对账单保留，想看全部业务时用它。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</si>
  <si>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34"/>
      </rPr>
      <t>、四张对账单版式统一：抬头＋客户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34"/>
      </rPr>
      <t xml:space="preserve">起止日期筛选，黄条显示各段总数，右侧小盒显示汇总；只填 </t>
    </r>
    <r>
      <rPr>
        <sz val="10"/>
        <color rgb="FF1F3864"/>
        <rFont val="宋体"/>
        <charset val="134"/>
      </rPr>
      <t xml:space="preserve">B2 </t>
    </r>
    <r>
      <rPr>
        <sz val="10"/>
        <color rgb="FF1F3864"/>
        <rFont val="WenQuanYi Zen Hei"/>
        <charset val="134"/>
      </rPr>
      <t xml:space="preserve">客户与 </t>
    </r>
    <r>
      <rPr>
        <sz val="10"/>
        <color rgb="FF1F3864"/>
        <rFont val="宋体"/>
        <charset val="134"/>
      </rPr>
      <t xml:space="preserve">F2/H2 </t>
    </r>
    <r>
      <rPr>
        <sz val="10"/>
        <color rgb="FF1F3864"/>
        <rFont val="WenQuanYi Zen Hei"/>
        <charset val="134"/>
      </rPr>
      <t>起止日期，其余全自动。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</si>
  <si>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34"/>
      </rPr>
      <t>、【筐子对账单】只统计公司筐（筐子类型不以「自备」开头）：发出＝原料出库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34"/>
      </rPr>
      <t>成品出库带走＋周转筐出库销售；退回＝客户退回的空筐；入库＝随原料入库带回来的筐；未回库筐子（欠筐子数）＝发出−退回−入库（负数表示对方送回来的比我们发出的多）。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</si>
  <si>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34"/>
      </rPr>
      <t>、【自备筐对账单】＝《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34"/>
      </rPr>
      <t>》三张明细里筐子类型以「自备」开头的随货筐数 ＋《</t>
    </r>
    <r>
      <rPr>
        <sz val="10"/>
        <color rgb="FF1F3864"/>
        <rFont val="宋体"/>
        <charset val="134"/>
      </rPr>
      <t>02</t>
    </r>
    <r>
      <rPr>
        <sz val="10"/>
        <color rgb="FF1F3864"/>
        <rFont val="WenQuanYi Zen Hei"/>
        <charset val="134"/>
      </rPr>
      <t>》客户自备加工筐明细，表外备查。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</si>
  <si>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34"/>
      </rPr>
      <t>、【水果对账单】右侧「入库等级汇总」按下方入库明细自动分等级合计数量与总毛重。</t>
    </r>
  </si>
  <si>
    <r>
      <rPr>
        <sz val="10"/>
        <color rgb="FF1F3864"/>
        <rFont val="宋体"/>
        <charset val="134"/>
      </rPr>
      <t>6</t>
    </r>
    <r>
      <rPr>
        <sz val="10"/>
        <color rgb="FF1F3864"/>
        <rFont val="WenQuanYi Zen Hei"/>
        <charset val="134"/>
      </rPr>
      <t>、【物料与筐子销售对账单】单价＝金额</t>
    </r>
    <r>
      <rPr>
        <sz val="10"/>
        <color rgb="FF1F3864"/>
        <rFont val="宋体"/>
        <charset val="134"/>
      </rPr>
      <t>÷</t>
    </r>
    <r>
      <rPr>
        <sz val="10"/>
        <color rgb="FF1F3864"/>
        <rFont val="WenQuanYi Zen Hei"/>
        <charset val="134"/>
      </rPr>
      <t>数量自动算，右侧显示物料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34"/>
      </rPr>
      <t>筐子销售金额与已收未收。</t>
    </r>
  </si>
  <si>
    <t>★ 本 次 更 新（2026-09 · 第三版）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</si>
  <si>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34"/>
      </rPr>
      <t>、【筐子对账单】改成周转筐出入库的样式：日期｜票据单号｜筐子类型｜数量｜车牌号，依次显示 出库 → 退回（负数）→ 随筐入库（负数）三段，右侧汇总含「未回库筐子（欠筐）」＝出库＋退回＋随筐入库。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</si>
  <si>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34"/>
      </rPr>
      <t>、【水果对账单】右侧汇总去掉了「出库总毛重」和「结存毛重」，并在「入库等级汇总」下面新增「出库等级汇总」，按等级自动合计出库数量与总毛重。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</si>
  <si>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34"/>
      </rPr>
      <t xml:space="preserve">、四张对账单都只填 </t>
    </r>
    <r>
      <rPr>
        <sz val="10"/>
        <color rgb="FF1F3864"/>
        <rFont val="宋体"/>
        <charset val="134"/>
      </rPr>
      <t xml:space="preserve">B2 </t>
    </r>
    <r>
      <rPr>
        <sz val="10"/>
        <color rgb="FF1F3864"/>
        <rFont val="WenQuanYi Zen Hei"/>
        <charset val="134"/>
      </rPr>
      <t xml:space="preserve">客户 与 </t>
    </r>
    <r>
      <rPr>
        <sz val="10"/>
        <color rgb="FF1F3864"/>
        <rFont val="宋体"/>
        <charset val="134"/>
      </rPr>
      <t xml:space="preserve">F2/H2 </t>
    </r>
    <r>
      <rPr>
        <sz val="10"/>
        <color rgb="FF1F3864"/>
        <rFont val="WenQuanYi Zen Hei"/>
        <charset val="134"/>
      </rPr>
      <t xml:space="preserve">起止日期，可跨 </t>
    </r>
    <r>
      <rPr>
        <sz val="10"/>
        <color rgb="FF1F3864"/>
        <rFont val="宋体"/>
        <charset val="134"/>
      </rPr>
      <t xml:space="preserve">2026—2027 </t>
    </r>
    <r>
      <rPr>
        <sz val="10"/>
        <color rgb="FF1F3864"/>
        <rFont val="WenQuanYi Zen Hei"/>
        <charset val="134"/>
      </rPr>
      <t>两年任意区间查询。</t>
    </r>
  </si>
  <si>
    <t>★ 本 次 更 新（2026-09 · 第八版）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</si>
  <si>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34"/>
      </rPr>
      <t>、新增【公司购买果品对账单】：列出《</t>
    </r>
    <r>
      <rPr>
        <sz val="10"/>
        <color rgb="FF1F3864"/>
        <rFont val="宋体"/>
        <charset val="134"/>
      </rPr>
      <t xml:space="preserve">01 </t>
    </r>
    <r>
      <rPr>
        <sz val="10"/>
        <color rgb="FF1F3864"/>
        <rFont val="WenQuanYi Zen Hei"/>
        <charset val="134"/>
      </rPr>
      <t>成品出库明细》里填了「采购单价」的每一笔 ——也就是公司（果然鲜）从这位货主手里买下的果品，右侧汇总显示采购总数量、总金额、已付、未付（应付）。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</si>
  <si>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34"/>
      </rPr>
      <t>、这张单的汇总数会自动进《</t>
    </r>
    <r>
      <rPr>
        <sz val="10"/>
        <color rgb="FF1F3864"/>
        <rFont val="宋体"/>
        <charset val="134"/>
      </rPr>
      <t xml:space="preserve">03 </t>
    </r>
    <r>
      <rPr>
        <sz val="10"/>
        <color rgb="FF1F3864"/>
        <rFont val="WenQuanYi Zen Hei"/>
        <charset val="134"/>
      </rPr>
      <t>往来对账单》，作为负数抵扣该客户的应收，不用手工加减。</t>
    </r>
  </si>
  <si>
    <t>新疆果然鲜仓储有限公司</t>
  </si>
  <si>
    <t>对账单</t>
  </si>
  <si>
    <t>客　户:</t>
  </si>
  <si>
    <t>贾建国</t>
  </si>
  <si>
    <t>开始日期:</t>
  </si>
  <si>
    <t>结束日期:</t>
  </si>
  <si>
    <t>自 备 筐 汇 总</t>
  </si>
  <si>
    <t>★ 客户自己带来的筐（筐子类型以「自备」开头）＋《02》客户自备加工筐明细。表外备查，不进公司资产。</t>
  </si>
  <si>
    <t>自备筐入库</t>
  </si>
  <si>
    <t>自备筐入库总数</t>
  </si>
  <si>
    <t>自备筐出库</t>
  </si>
  <si>
    <t>日　期</t>
  </si>
  <si>
    <t>筐子类型</t>
  </si>
  <si>
    <t>票据单号</t>
  </si>
  <si>
    <t>入库数量</t>
  </si>
  <si>
    <t>客　户</t>
  </si>
  <si>
    <t>承运人车牌号</t>
  </si>
  <si>
    <t>业务类别</t>
  </si>
  <si>
    <t>来源册</t>
  </si>
  <si>
    <t>备　注</t>
  </si>
  <si>
    <t>剩余在我库</t>
  </si>
  <si>
    <t>自备筐出库（随货带走/退还）总数</t>
  </si>
  <si>
    <t>出库数量</t>
  </si>
  <si>
    <t>王灵云</t>
  </si>
  <si>
    <t>筐 子 汇 总</t>
  </si>
  <si>
    <t>★ 只填 B2 客户与起止日期。公司筐口径：出库＝原料出库/成品出库带走＋周转筐领用出库；退回＝客户退回的空筐（显示为负数）；随筐入库＝随原料入库带回来的筐（显示为负数）。未回库筐子（欠筐子数）＝出库 ＋ 退回 ＋ 随筐入库。自备筐请看《自备筐对账单》。★ 卖断给客户的筐子（业务类型＝销售出库）不算往来，不在这张表里，请去《物料与筐子销售对账单》对金额。</t>
  </si>
  <si>
    <t>出库筐子</t>
  </si>
  <si>
    <t>出库筐子总数</t>
  </si>
  <si>
    <t>退回筐子(空筐)</t>
  </si>
  <si>
    <t>数　量</t>
  </si>
  <si>
    <t>车牌号</t>
  </si>
  <si>
    <t>随筐入库</t>
  </si>
  <si>
    <t>未回库筐子(欠筐)</t>
  </si>
  <si>
    <t>退回筐子总数（客户退回的空筐 · 负数）</t>
  </si>
  <si>
    <t>退回数量</t>
  </si>
  <si>
    <t>随筐入库总数（随原料入库带回 · 负数）</t>
  </si>
  <si>
    <t>吐尔洪</t>
  </si>
  <si>
    <t>销 售 金 额 汇 总</t>
  </si>
  <si>
    <t>★ 只填 B2 客户与起止日期。这里是「要收钱」的那部分：包装物料的销售/领用 ＋ 卖断给客户的筐子，两类按业务顺序混排在同一张明细里。筐子行的「规格 / 业务类别」显示「周转筐－销售出库」，一眼认得出。单价＝金额÷数量，自动算。★ 客户借走要还的周转筐不在这里，去《筐子对账单》看。</t>
  </si>
  <si>
    <t>物料金额</t>
  </si>
  <si>
    <t>物料 ＋ 筐子销售总金额</t>
  </si>
  <si>
    <t>筐子金额</t>
  </si>
  <si>
    <t>物料名称</t>
  </si>
  <si>
    <t>规格 / 业务类别</t>
  </si>
  <si>
    <t>单位</t>
  </si>
  <si>
    <t>单　价</t>
  </si>
  <si>
    <t>金额（元）</t>
  </si>
  <si>
    <t>收付状态</t>
  </si>
  <si>
    <t>合计金额</t>
  </si>
  <si>
    <t>已收金额</t>
  </si>
  <si>
    <t>未收金额</t>
  </si>
  <si>
    <t>水 果 进 出 汇 总</t>
  </si>
  <si>
    <t>★ 水果原料入库 → 原料出库 → 库存结存，以及成品出库明细。右侧「等级汇总」按下方入库明细自动分等级合计。　★ 注意单位：原料入库/出库/结存是「筐」，成品出库是「箱」，两边不能直接相减；结存数量＝入库筐数−出库筐数，跟成品出库箱数没有加减关系。</t>
  </si>
  <si>
    <t>入库总数量（筐）</t>
  </si>
  <si>
    <t>入库总筐数 / 总毛重</t>
  </si>
  <si>
    <t>入库总毛重KG</t>
  </si>
  <si>
    <t>品　名</t>
  </si>
  <si>
    <t>等　级</t>
  </si>
  <si>
    <t>总毛重KG</t>
  </si>
  <si>
    <t>货主/存放人</t>
  </si>
  <si>
    <t>出库总数量（筐）</t>
  </si>
  <si>
    <t>结存数量（筐）</t>
  </si>
  <si>
    <t>成品出库数量（箱）</t>
  </si>
  <si>
    <t>成品出库金额</t>
  </si>
  <si>
    <t>成品出库数量（筐等）</t>
  </si>
  <si>
    <t>入 库 等 级 汇 总</t>
  </si>
  <si>
    <t>数量</t>
  </si>
  <si>
    <t>总毛重/KG</t>
  </si>
  <si>
    <t>合　计</t>
  </si>
  <si>
    <t>出 库 等 级 汇 总</t>
  </si>
  <si>
    <t>出库总筐数 / 总毛重</t>
  </si>
  <si>
    <t>出库类别</t>
  </si>
  <si>
    <t>成品出库总数 / 应收合计</t>
  </si>
  <si>
    <t>收款状态</t>
  </si>
  <si>
    <t>购 买 方:</t>
  </si>
  <si>
    <t>张三</t>
  </si>
  <si>
    <t>销 售 汇 总</t>
  </si>
  <si>
    <t>★ 只填 B2 购买方与起止日期。这里列的是【01 成品出库明细】里填了「销售单价」的行 —— 公司（果然鲜）卖给这位客户的果品。「销售金额（应收）」只算货款（数量×销售单价），运费分「自结运费」「代发运费」两列单列，三者相加＝「应收合计」，才是他要付给我们的钱。</t>
  </si>
  <si>
    <t>销售总数量（箱）</t>
  </si>
  <si>
    <t>客户欠我方（应收）总金额</t>
  </si>
  <si>
    <t>销售金额（应收）</t>
  </si>
  <si>
    <t>销售单价</t>
  </si>
  <si>
    <t>自结运费</t>
  </si>
  <si>
    <t>代发运费</t>
  </si>
  <si>
    <t>应收合计</t>
  </si>
  <si>
    <t>其中·自结运费</t>
  </si>
  <si>
    <t>其中·代发运费</t>
  </si>
  <si>
    <t>未收金额（应收）</t>
  </si>
  <si>
    <t>合  计</t>
  </si>
  <si>
    <t>合计金额:</t>
  </si>
  <si>
    <t>已 收 款:</t>
  </si>
  <si>
    <t>应 收 款:</t>
  </si>
  <si>
    <t>王照雪</t>
  </si>
  <si>
    <t>采 购 汇 总</t>
  </si>
  <si>
    <t>★ 只填 B2 货主/客户与起止日期。这里只列公司（果然鲜）真买下来的那几笔 —— 也就是【01 成品出库明细】里填了「采购单价 / 采购金额」的行；别的行是客户自己的货放在我们这里，不是我们买的，不在这里出现。「采购金额（应付）」只算货款，运费单列，两者相加＝「应付合计」，才是我们要付给他的钱。</t>
  </si>
  <si>
    <t>采购总数量</t>
  </si>
  <si>
    <t>公司购买客户果品（应付）总金额</t>
  </si>
  <si>
    <t>采购金额（应付）</t>
  </si>
  <si>
    <t>采购单价</t>
  </si>
  <si>
    <t>采购代发运费</t>
  </si>
  <si>
    <t>应付合计</t>
  </si>
  <si>
    <t>付款状态</t>
  </si>
  <si>
    <t>其中·采购代发运费</t>
  </si>
  <si>
    <t>已付金额</t>
  </si>
  <si>
    <t>未付金额（应付）</t>
  </si>
  <si>
    <t>筐 子 / 托 盘 库 存 汇 总（公司自有筐子还剩多少 · 取自《02》）</t>
  </si>
  <si>
    <t>筐子 / 托盘类型</t>
  </si>
  <si>
    <t>期初库存</t>
  </si>
  <si>
    <t>采购入库</t>
  </si>
  <si>
    <t>客户退回入库（显示为负）</t>
  </si>
  <si>
    <t>发出出库</t>
  </si>
  <si>
    <t>销售出库</t>
  </si>
  <si>
    <t>报损/调拨</t>
  </si>
  <si>
    <t>公司在库结存</t>
  </si>
  <si>
    <t>客户未回库(02册)</t>
  </si>
  <si>
    <t>客户未回库(01水果册)</t>
  </si>
  <si>
    <t>公司筐总量</t>
  </si>
  <si>
    <t>备注</t>
  </si>
  <si>
    <t>合计</t>
  </si>
  <si>
    <t>应 收 应 付 汇 总（按往来单位 · 两册业务合并 · 全自动）</t>
  </si>
  <si>
    <t>往来单位</t>
  </si>
  <si>
    <t>水果成品出库</t>
  </si>
  <si>
    <t>其他代存</t>
  </si>
  <si>
    <t>包装物料</t>
  </si>
  <si>
    <t>周转筐</t>
  </si>
  <si>
    <t>次果筐/托盘</t>
  </si>
  <si>
    <t>业务金额合计</t>
  </si>
  <si>
    <t>已收/已付</t>
  </si>
  <si>
    <t>未收/未付</t>
  </si>
  <si>
    <t>欠款方向</t>
  </si>
  <si>
    <t>对 接 源 · 01 水果进销存台账（跨文件自动取数 · 全部公式，勿手工填）</t>
  </si>
  <si>
    <t>有效笔数</t>
  </si>
  <si>
    <t>链接探针</t>
  </si>
  <si>
    <t>源行</t>
  </si>
  <si>
    <t>日期</t>
  </si>
  <si>
    <t>品名</t>
  </si>
  <si>
    <t>规格/等级</t>
  </si>
  <si>
    <t>重量KG</t>
  </si>
  <si>
    <t>金额(应收合计)</t>
  </si>
  <si>
    <t>有效</t>
  </si>
  <si>
    <t>累计</t>
  </si>
  <si>
    <t>已取行数</t>
  </si>
  <si>
    <t>发出筐数</t>
  </si>
  <si>
    <t>退回筐数</t>
  </si>
  <si>
    <t>入库筐数</t>
  </si>
  <si>
    <t>筐子归属</t>
  </si>
  <si>
    <t>采购货主</t>
  </si>
  <si>
    <t>购买方</t>
  </si>
  <si>
    <t>销售类型</t>
  </si>
  <si>
    <t>销售货款</t>
  </si>
  <si>
    <t>链接可用</t>
  </si>
  <si>
    <t>对 接 源 · 02 物料与周转物台账（跨文件自动取数 · 全部公式，勿手工填）</t>
  </si>
  <si>
    <t>金额</t>
  </si>
  <si>
    <t>辅助表：K/L/M/N 第1~3行＝各对账单的 客户/开始日期/结束日期，请勿改动</t>
  </si>
  <si>
    <t>本表由公式自动维护，供综合对账单取数，请勿手工修改或删除。</t>
  </si>
  <si>
    <t>首次</t>
  </si>
  <si>
    <t>往来单位(紧凑)</t>
  </si>
  <si>
    <t>筐子-发出</t>
  </si>
  <si>
    <t>筐子-退回</t>
  </si>
  <si>
    <t>筐子-入库</t>
  </si>
  <si>
    <t>自备筐-入库</t>
  </si>
  <si>
    <t>自备筐-出库</t>
  </si>
  <si>
    <t>水果-原料入库</t>
  </si>
  <si>
    <t>水果-原料出库</t>
  </si>
  <si>
    <t>水果-成品出库</t>
  </si>
  <si>
    <t>物料销售</t>
  </si>
  <si>
    <t>周转筐销售</t>
  </si>
  <si>
    <t>（已弃用）</t>
  </si>
  <si>
    <t>购买方(紧凑)</t>
  </si>
  <si>
    <r>
      <rPr>
        <sz val="11"/>
        <color theme="1"/>
        <rFont val="WenQuanYi Zen Hei"/>
        <charset val="134"/>
      </rPr>
      <t>物料</t>
    </r>
    <r>
      <rPr>
        <sz val="11"/>
        <color theme="1"/>
        <rFont val="宋体"/>
        <charset val="134"/>
      </rPr>
      <t>+</t>
    </r>
    <r>
      <rPr>
        <sz val="11"/>
        <color theme="1"/>
        <rFont val="WenQuanYi Zen Hei"/>
        <charset val="134"/>
      </rPr>
      <t>筐子销售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</si>
</sst>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#,##0;[Red]\-#,##0;\-"/>
    <numFmt numFmtId="178" formatCode="#,##0.00;[Red]\-#,##0.00;\-"/>
    <numFmt numFmtId="179" formatCode="[Red]\-#,##0;[Red]\-#,##0;\-"/>
    <numFmt numFmtId="180" formatCode="mm/dd/yy"/>
    <numFmt numFmtId="181" formatCode="yyyy\-mm\-dd"/>
  </numFmts>
  <fonts count="78">
    <font>
      <sz val="11"/>
      <color theme="1"/>
      <name val="宋体"/>
      <charset val="134"/>
    </font>
    <font>
      <b/>
      <sz val="9"/>
      <color rgb="FFC00000"/>
      <name val="WenQuanYi Zen Hei"/>
      <charset val="1"/>
    </font>
    <font>
      <sz val="8"/>
      <color rgb="FFBFBFBF"/>
      <name val="宋体"/>
      <charset val="134"/>
    </font>
    <font>
      <b/>
      <sz val="9"/>
      <color rgb="FF1F4E79"/>
      <name val="WenQuanYi Zen Hei"/>
      <charset val="1"/>
    </font>
    <font>
      <sz val="11"/>
      <color theme="1"/>
      <name val="WenQuanYi Zen Hei"/>
      <charset val="1"/>
    </font>
    <font>
      <sz val="11"/>
      <color theme="1"/>
      <name val="WenQuanYi Zen Hei"/>
      <charset val="134"/>
    </font>
    <font>
      <sz val="9"/>
      <color rgb="FF7F7F7F"/>
      <name val="微软雅黑"/>
      <charset val="1"/>
    </font>
    <font>
      <b/>
      <sz val="14"/>
      <color rgb="FFFFFFFF"/>
      <name val="WenQuanYi Zen Hei"/>
      <charset val="1"/>
    </font>
    <font>
      <sz val="9"/>
      <color rgb="FF595959"/>
      <name val="WenQuanYi Zen Hei"/>
      <charset val="1"/>
    </font>
    <font>
      <b/>
      <sz val="10"/>
      <color rgb="FF006100"/>
      <name val="WenQuanYi Zen Hei"/>
      <charset val="1"/>
    </font>
    <font>
      <b/>
      <sz val="10"/>
      <color rgb="FFFFFFFF"/>
      <name val="WenQuanYi Zen Hei"/>
      <charset val="1"/>
    </font>
    <font>
      <sz val="10"/>
      <color rgb="FF006100"/>
      <name val="宋体"/>
      <charset val="134"/>
    </font>
    <font>
      <sz val="10"/>
      <color rgb="FF006100"/>
      <name val="WenQuanYi Zen Hei"/>
      <charset val="1"/>
    </font>
    <font>
      <sz val="8"/>
      <color rgb="FF006100"/>
      <name val="宋体"/>
      <charset val="134"/>
    </font>
    <font>
      <sz val="9"/>
      <color rgb="FF006100"/>
      <name val="WenQuanYi Zen Hei"/>
      <charset val="1"/>
    </font>
    <font>
      <sz val="9"/>
      <color rgb="FF006100"/>
      <name val="宋体"/>
      <charset val="134"/>
    </font>
    <font>
      <b/>
      <sz val="10"/>
      <name val="WenQuanYi Zen Hei"/>
      <charset val="1"/>
    </font>
    <font>
      <sz val="9"/>
      <color rgb="FF808080"/>
      <name val="WenQuanYi Zen Hei"/>
      <charset val="1"/>
    </font>
    <font>
      <sz val="10"/>
      <color rgb="FF000000"/>
      <name val="宋体"/>
      <charset val="134"/>
    </font>
    <font>
      <b/>
      <sz val="10"/>
      <color rgb="FFFFFFFF"/>
      <name val="宋体"/>
      <charset val="134"/>
    </font>
    <font>
      <sz val="10"/>
      <color rgb="FFC00000"/>
      <name val="宋体"/>
      <charset val="134"/>
    </font>
    <font>
      <b/>
      <sz val="22"/>
      <color rgb="FFFFFFFF"/>
      <name val="WenQuanYi Zen Hei"/>
      <charset val="1"/>
    </font>
    <font>
      <b/>
      <sz val="16"/>
      <color rgb="FF275C70"/>
      <name val="WenQuanYi Zen Hei"/>
      <charset val="1"/>
    </font>
    <font>
      <b/>
      <sz val="11"/>
      <color rgb="FF1F3864"/>
      <name val="WenQuanYi Zen Hei"/>
      <charset val="1"/>
    </font>
    <font>
      <b/>
      <sz val="12"/>
      <color rgb="FF1F4E79"/>
      <name val="WenQuanYi Zen Hei"/>
      <charset val="1"/>
    </font>
    <font>
      <sz val="10"/>
      <color rgb="FF1F4E79"/>
      <name val="宋体"/>
      <charset val="134"/>
    </font>
    <font>
      <b/>
      <sz val="13"/>
      <color rgb="FF1F3864"/>
      <name val="WenQuanYi Zen Hei"/>
      <charset val="1"/>
    </font>
    <font>
      <b/>
      <sz val="10"/>
      <color rgb="FF7F6000"/>
      <name val="WenQuanYi Zen Hei"/>
      <charset val="1"/>
    </font>
    <font>
      <b/>
      <sz val="11"/>
      <color rgb="FF1F3864"/>
      <name val="宋体"/>
      <charset val="134"/>
    </font>
    <font>
      <b/>
      <sz val="12"/>
      <color rgb="FFC00000"/>
      <name val="WenQuanYi Zen Hei"/>
      <charset val="1"/>
    </font>
    <font>
      <b/>
      <sz val="12"/>
      <color rgb="FFC00000"/>
      <name val="黑体"/>
      <charset val="134"/>
    </font>
    <font>
      <b/>
      <sz val="10"/>
      <color rgb="FF1F3864"/>
      <name val="WenQuanYi Zen Hei"/>
      <charset val="1"/>
    </font>
    <font>
      <sz val="10"/>
      <color rgb="FF1F3864"/>
      <name val="宋体"/>
      <charset val="134"/>
    </font>
    <font>
      <sz val="10"/>
      <color rgb="FF1F3864"/>
      <name val="WenQuanYi Zen Hei"/>
      <charset val="1"/>
    </font>
    <font>
      <b/>
      <sz val="14"/>
      <color rgb="FF1F3864"/>
      <name val="WenQuanYi Zen Hei"/>
      <charset val="1"/>
    </font>
    <font>
      <sz val="10"/>
      <color rgb="FF0000C0"/>
      <name val="WenQuanYi Zen Hei"/>
      <charset val="1"/>
    </font>
    <font>
      <sz val="10"/>
      <color rgb="FF0000C0"/>
      <name val="微软雅黑"/>
      <charset val="1"/>
    </font>
    <font>
      <sz val="9"/>
      <color rgb="FF7F7F7F"/>
      <name val="WenQuanYi Zen Hei"/>
      <charset val="1"/>
    </font>
    <font>
      <b/>
      <sz val="10"/>
      <name val="微软雅黑"/>
      <charset val="1"/>
    </font>
    <font>
      <sz val="10"/>
      <color rgb="FF1F4E79"/>
      <name val="微软雅黑"/>
      <charset val="1"/>
    </font>
    <font>
      <sz val="10"/>
      <name val="WenQuanYi Zen Hei"/>
      <charset val="1"/>
    </font>
    <font>
      <b/>
      <sz val="10"/>
      <color rgb="FFC00000"/>
      <name val="WenQuanYi Zen Hei"/>
      <charset val="1"/>
    </font>
    <font>
      <b/>
      <sz val="11"/>
      <color rgb="FFC00000"/>
      <name val="宋体"/>
      <charset val="134"/>
    </font>
    <font>
      <b/>
      <sz val="12"/>
      <color rgb="FF1F3864"/>
      <name val="WenQuanYi Zen Hei"/>
      <charset val="1"/>
    </font>
    <font>
      <b/>
      <sz val="10"/>
      <color rgb="FFC00000"/>
      <name val="宋体"/>
      <charset val="134"/>
    </font>
    <font>
      <b/>
      <sz val="11"/>
      <name val="宋体"/>
      <charset val="134"/>
    </font>
    <font>
      <b/>
      <sz val="11"/>
      <color rgb="FF1F4E79"/>
      <name val="WenQuanYi Zen Hei"/>
      <charset val="1"/>
    </font>
    <font>
      <sz val="10"/>
      <color rgb="FF000000"/>
      <name val="WenQuanYi Zen Hei"/>
      <charset val="1"/>
    </font>
    <font>
      <sz val="10"/>
      <color rgb="FF008000"/>
      <name val="WenQuanYi Zen Hei"/>
      <charset val="1"/>
    </font>
    <font>
      <b/>
      <sz val="14"/>
      <color rgb="FFFFFFFF"/>
      <name val="Noto Sans CJK SC"/>
      <charset val="134"/>
    </font>
    <font>
      <sz val="9"/>
      <color rgb="FF000000"/>
      <name val="宋体"/>
      <charset val="134"/>
    </font>
    <font>
      <b/>
      <u/>
      <sz val="10"/>
      <color rgb="FF0563C1"/>
      <name val="WenQuanYi Zen Hei"/>
      <charset val="1"/>
    </font>
    <font>
      <sz val="9"/>
      <color rgb="FF000000"/>
      <name val="WenQuanYi Zen Hei"/>
      <charset val="1"/>
    </font>
    <font>
      <sz val="10"/>
      <color rgb="FF595959"/>
      <name val="WenQuanYi Zen Hei"/>
      <charset val="1"/>
    </font>
    <font>
      <sz val="10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1F3864"/>
      <name val="WenQuanYi Zen Hei"/>
      <charset val="134"/>
    </font>
    <font>
      <b/>
      <sz val="14"/>
      <color rgb="FFFFFFFF"/>
      <name val="WenQuanYi Zen Hei"/>
      <charset val="134"/>
    </font>
  </fonts>
  <fills count="46">
    <fill>
      <patternFill patternType="none"/>
    </fill>
    <fill>
      <patternFill patternType="gray125"/>
    </fill>
    <fill>
      <patternFill patternType="solid">
        <fgColor rgb="FF1F4E79"/>
        <bgColor rgb="FF275C70"/>
      </patternFill>
    </fill>
    <fill>
      <patternFill patternType="solid">
        <fgColor rgb="FFF2F2F2"/>
        <bgColor rgb="FFEBF3E6"/>
      </patternFill>
    </fill>
    <fill>
      <patternFill patternType="solid">
        <fgColor rgb="FFE2EFDA"/>
        <bgColor rgb="FFEBF3E6"/>
      </patternFill>
    </fill>
    <fill>
      <patternFill patternType="solid">
        <fgColor rgb="FF2E75B6"/>
        <bgColor rgb="FF2F5597"/>
      </patternFill>
    </fill>
    <fill>
      <patternFill patternType="solid">
        <fgColor rgb="FFD6E4F0"/>
        <bgColor rgb="FFDDEBF7"/>
      </patternFill>
    </fill>
    <fill>
      <patternFill patternType="solid">
        <fgColor rgb="FF275C7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EBF3E6"/>
      </patternFill>
    </fill>
    <fill>
      <patternFill patternType="solid">
        <fgColor rgb="FFFFFF00"/>
        <bgColor rgb="FFFFFF00"/>
      </patternFill>
    </fill>
    <fill>
      <patternFill patternType="solid">
        <fgColor rgb="FFEBF3E6"/>
        <bgColor rgb="FFF2F2F2"/>
      </patternFill>
    </fill>
    <fill>
      <patternFill patternType="solid">
        <fgColor rgb="FF2F5597"/>
        <bgColor rgb="FF1F4E79"/>
      </patternFill>
    </fill>
    <fill>
      <patternFill patternType="solid">
        <fgColor rgb="FF548235"/>
        <bgColor rgb="FF5959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8EA9C1"/>
      </right>
      <top/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5" fillId="0" borderId="0" applyBorder="0" applyAlignment="0" applyProtection="0"/>
    <xf numFmtId="44" fontId="55" fillId="0" borderId="0" applyBorder="0" applyAlignment="0" applyProtection="0"/>
    <xf numFmtId="9" fontId="55" fillId="0" borderId="0" applyBorder="0" applyAlignment="0" applyProtection="0"/>
    <xf numFmtId="41" fontId="55" fillId="0" borderId="0" applyBorder="0" applyAlignment="0" applyProtection="0"/>
    <xf numFmtId="42" fontId="55" fillId="0" borderId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15" borderId="6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8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16" borderId="9" applyNumberFormat="0" applyAlignment="0" applyProtection="0">
      <alignment vertical="center"/>
    </xf>
    <xf numFmtId="0" fontId="66" fillId="17" borderId="10" applyNumberFormat="0" applyAlignment="0" applyProtection="0">
      <alignment vertical="center"/>
    </xf>
    <xf numFmtId="0" fontId="67" fillId="17" borderId="9" applyNumberFormat="0" applyAlignment="0" applyProtection="0">
      <alignment vertical="center"/>
    </xf>
    <xf numFmtId="0" fontId="68" fillId="18" borderId="11" applyNumberFormat="0" applyAlignment="0" applyProtection="0">
      <alignment vertical="center"/>
    </xf>
    <xf numFmtId="0" fontId="69" fillId="0" borderId="12" applyNumberFormat="0" applyFill="0" applyAlignment="0" applyProtection="0">
      <alignment vertical="center"/>
    </xf>
    <xf numFmtId="0" fontId="70" fillId="0" borderId="13" applyNumberFormat="0" applyFill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5" fillId="39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</cellStyleXfs>
  <cellXfs count="13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7" fontId="11" fillId="4" borderId="1" xfId="0" applyNumberFormat="1" applyFon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77" fontId="15" fillId="4" borderId="1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top" wrapText="1"/>
    </xf>
    <xf numFmtId="0" fontId="16" fillId="6" borderId="1" xfId="0" applyFont="1" applyFill="1" applyBorder="1" applyAlignment="1">
      <alignment horizontal="center" vertical="center" wrapText="1"/>
    </xf>
    <xf numFmtId="178" fontId="15" fillId="4" borderId="1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8" fontId="19" fillId="5" borderId="1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179" fontId="20" fillId="4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77" fontId="19" fillId="5" borderId="1" xfId="0" applyNumberFormat="1" applyFont="1" applyFill="1" applyBorder="1" applyAlignment="1">
      <alignment horizontal="right" vertical="center"/>
    </xf>
    <xf numFmtId="179" fontId="20" fillId="5" borderId="1" xfId="0" applyNumberFormat="1" applyFont="1" applyFill="1" applyBorder="1" applyAlignment="1">
      <alignment horizontal="right" vertical="center"/>
    </xf>
    <xf numFmtId="0" fontId="21" fillId="7" borderId="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center" vertical="center"/>
    </xf>
    <xf numFmtId="176" fontId="2" fillId="0" borderId="0" xfId="0" applyNumberFormat="1" applyFont="1" applyAlignment="1"/>
    <xf numFmtId="180" fontId="0" fillId="0" borderId="0" xfId="0" applyNumberFormat="1" applyAlignment="1"/>
    <xf numFmtId="0" fontId="23" fillId="0" borderId="0" xfId="0" applyFont="1" applyAlignment="1">
      <alignment horizontal="left" vertical="center"/>
    </xf>
    <xf numFmtId="0" fontId="24" fillId="9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176" fontId="25" fillId="9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" fillId="0" borderId="2" xfId="0" applyFont="1" applyBorder="1" applyAlignment="1"/>
    <xf numFmtId="0" fontId="27" fillId="10" borderId="2" xfId="0" applyFont="1" applyFill="1" applyBorder="1" applyAlignment="1">
      <alignment horizontal="left" vertical="center"/>
    </xf>
    <xf numFmtId="3" fontId="28" fillId="0" borderId="3" xfId="0" applyNumberFormat="1" applyFont="1" applyBorder="1" applyAlignment="1">
      <alignment horizontal="center" vertical="center"/>
    </xf>
    <xf numFmtId="0" fontId="29" fillId="11" borderId="3" xfId="0" applyFont="1" applyFill="1" applyBorder="1" applyAlignment="1">
      <alignment horizontal="center" vertical="center"/>
    </xf>
    <xf numFmtId="178" fontId="30" fillId="11" borderId="3" xfId="0" applyNumberFormat="1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4" fontId="28" fillId="0" borderId="3" xfId="0" applyNumberFormat="1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176" fontId="32" fillId="12" borderId="3" xfId="0" applyNumberFormat="1" applyFont="1" applyFill="1" applyBorder="1" applyAlignment="1">
      <alignment horizontal="center" vertical="center"/>
    </xf>
    <xf numFmtId="0" fontId="32" fillId="12" borderId="3" xfId="0" applyFont="1" applyFill="1" applyBorder="1" applyAlignment="1">
      <alignment horizontal="center" vertical="center"/>
    </xf>
    <xf numFmtId="177" fontId="32" fillId="12" borderId="3" xfId="0" applyNumberFormat="1" applyFont="1" applyFill="1" applyBorder="1" applyAlignment="1">
      <alignment horizontal="center" vertical="center"/>
    </xf>
    <xf numFmtId="178" fontId="32" fillId="12" borderId="3" xfId="0" applyNumberFormat="1" applyFont="1" applyFill="1" applyBorder="1" applyAlignment="1">
      <alignment horizontal="center" vertical="center"/>
    </xf>
    <xf numFmtId="0" fontId="33" fillId="12" borderId="3" xfId="0" applyFont="1" applyFill="1" applyBorder="1" applyAlignment="1">
      <alignment horizontal="left" vertical="center"/>
    </xf>
    <xf numFmtId="0" fontId="34" fillId="0" borderId="0" xfId="0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181" fontId="6" fillId="0" borderId="0" xfId="0" applyNumberFormat="1" applyFont="1" applyAlignment="1">
      <alignment horizontal="center" vertical="center" wrapText="1"/>
    </xf>
    <xf numFmtId="0" fontId="16" fillId="6" borderId="1" xfId="0" applyFont="1" applyFill="1" applyBorder="1" applyAlignment="1">
      <alignment horizontal="right" vertical="center"/>
    </xf>
    <xf numFmtId="0" fontId="35" fillId="10" borderId="1" xfId="0" applyFont="1" applyFill="1" applyBorder="1" applyAlignment="1">
      <alignment horizontal="center" vertical="center" wrapText="1"/>
    </xf>
    <xf numFmtId="181" fontId="36" fillId="10" borderId="1" xfId="0" applyNumberFormat="1" applyFont="1" applyFill="1" applyBorder="1" applyAlignment="1">
      <alignment horizontal="center" vertical="center" wrapText="1"/>
    </xf>
    <xf numFmtId="0" fontId="37" fillId="0" borderId="0" xfId="0" applyFont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3" fontId="38" fillId="3" borderId="1" xfId="0" applyNumberFormat="1" applyFont="1" applyFill="1" applyBorder="1" applyAlignment="1">
      <alignment horizontal="center" vertical="center" wrapText="1"/>
    </xf>
    <xf numFmtId="4" fontId="38" fillId="4" borderId="1" xfId="0" applyNumberFormat="1" applyFont="1" applyFill="1" applyBorder="1" applyAlignment="1">
      <alignment horizontal="center" vertical="center" wrapText="1"/>
    </xf>
    <xf numFmtId="4" fontId="38" fillId="3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176" fontId="39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77" fontId="39" fillId="0" borderId="1" xfId="0" applyNumberFormat="1" applyFont="1" applyBorder="1" applyAlignment="1">
      <alignment horizontal="center" vertical="center" wrapText="1"/>
    </xf>
    <xf numFmtId="4" fontId="3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" fontId="16" fillId="4" borderId="1" xfId="0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right" vertical="center"/>
    </xf>
    <xf numFmtId="0" fontId="22" fillId="8" borderId="4" xfId="0" applyFont="1" applyFill="1" applyBorder="1" applyAlignment="1">
      <alignment horizontal="center" vertical="center"/>
    </xf>
    <xf numFmtId="0" fontId="0" fillId="7" borderId="0" xfId="0" applyFill="1" applyAlignment="1"/>
    <xf numFmtId="0" fontId="24" fillId="9" borderId="1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7" fillId="10" borderId="0" xfId="0" applyFont="1" applyFill="1" applyBorder="1" applyAlignment="1">
      <alignment horizontal="left" vertical="center"/>
    </xf>
    <xf numFmtId="177" fontId="28" fillId="0" borderId="3" xfId="0" applyNumberFormat="1" applyFont="1" applyBorder="1" applyAlignment="1">
      <alignment horizontal="center" vertical="center"/>
    </xf>
    <xf numFmtId="177" fontId="30" fillId="11" borderId="3" xfId="0" applyNumberFormat="1" applyFont="1" applyFill="1" applyBorder="1" applyAlignment="1">
      <alignment horizontal="center" vertical="center"/>
    </xf>
    <xf numFmtId="178" fontId="28" fillId="0" borderId="3" xfId="0" applyNumberFormat="1" applyFont="1" applyBorder="1" applyAlignment="1">
      <alignment horizontal="center" vertical="center"/>
    </xf>
    <xf numFmtId="0" fontId="41" fillId="10" borderId="3" xfId="0" applyFont="1" applyFill="1" applyBorder="1" applyAlignment="1">
      <alignment horizontal="center" vertical="center"/>
    </xf>
    <xf numFmtId="177" fontId="42" fillId="0" borderId="3" xfId="0" applyNumberFormat="1" applyFont="1" applyBorder="1" applyAlignment="1">
      <alignment horizontal="center" vertical="center"/>
    </xf>
    <xf numFmtId="176" fontId="32" fillId="8" borderId="3" xfId="0" applyNumberFormat="1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177" fontId="32" fillId="8" borderId="3" xfId="0" applyNumberFormat="1" applyFont="1" applyFill="1" applyBorder="1" applyAlignment="1">
      <alignment horizontal="center" vertical="center"/>
    </xf>
    <xf numFmtId="178" fontId="32" fillId="8" borderId="3" xfId="0" applyNumberFormat="1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left" vertical="center"/>
    </xf>
    <xf numFmtId="0" fontId="43" fillId="0" borderId="0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177" fontId="44" fillId="11" borderId="1" xfId="0" applyNumberFormat="1" applyFont="1" applyFill="1" applyBorder="1" applyAlignment="1">
      <alignment horizontal="center" vertical="center"/>
    </xf>
    <xf numFmtId="178" fontId="44" fillId="11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7" fontId="10" fillId="5" borderId="3" xfId="0" applyNumberFormat="1" applyFont="1" applyFill="1" applyBorder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176" fontId="2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7" fillId="10" borderId="0" xfId="0" applyFont="1" applyFill="1" applyBorder="1" applyAlignment="1">
      <alignment horizontal="center" vertical="center"/>
    </xf>
    <xf numFmtId="0" fontId="33" fillId="1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78" fontId="42" fillId="0" borderId="3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16" fillId="10" borderId="3" xfId="0" applyFont="1" applyFill="1" applyBorder="1" applyAlignment="1">
      <alignment horizontal="center" vertical="center"/>
    </xf>
    <xf numFmtId="177" fontId="45" fillId="0" borderId="3" xfId="0" applyNumberFormat="1" applyFont="1" applyBorder="1" applyAlignment="1">
      <alignment horizontal="center" vertical="center"/>
    </xf>
    <xf numFmtId="0" fontId="33" fillId="8" borderId="3" xfId="0" applyFont="1" applyFill="1" applyBorder="1" applyAlignment="1">
      <alignment horizontal="center" vertical="center"/>
    </xf>
    <xf numFmtId="179" fontId="32" fillId="12" borderId="3" xfId="0" applyNumberFormat="1" applyFont="1" applyFill="1" applyBorder="1" applyAlignment="1">
      <alignment horizontal="center" vertical="center"/>
    </xf>
    <xf numFmtId="179" fontId="32" fillId="8" borderId="3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46" fillId="0" borderId="0" xfId="0" applyFont="1" applyBorder="1" applyAlignment="1">
      <alignment horizontal="left" vertical="center"/>
    </xf>
    <xf numFmtId="0" fontId="47" fillId="0" borderId="0" xfId="0" applyFont="1" applyBorder="1" applyAlignment="1">
      <alignment horizontal="left" vertical="center"/>
    </xf>
    <xf numFmtId="0" fontId="48" fillId="0" borderId="0" xfId="0" applyFont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32" fillId="0" borderId="0" xfId="0" applyFont="1" applyBorder="1" applyAlignment="1">
      <alignment horizontal="left" vertical="center" wrapText="1"/>
    </xf>
    <xf numFmtId="0" fontId="10" fillId="14" borderId="0" xfId="0" applyFont="1" applyFill="1" applyBorder="1" applyAlignment="1">
      <alignment horizontal="left" vertical="center"/>
    </xf>
    <xf numFmtId="0" fontId="49" fillId="2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53" fillId="3" borderId="0" xfId="0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left" vertical="center" wrapText="1"/>
    </xf>
    <xf numFmtId="0" fontId="54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宋体"/>
        <scheme val="none"/>
        <charset val="1"/>
        <family val="0"/>
        <b val="1"/>
        <sz val="10"/>
        <color rgb="FFC00000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275C70"/>
      <rgbColor rgb="00BFBFBF"/>
      <rgbColor rgb="00808080"/>
      <rgbColor rgb="007F7F7F"/>
      <rgbColor rgb="007030A0"/>
      <rgbColor rgb="00FFF2CC"/>
      <rgbColor rgb="00DDEBF7"/>
      <rgbColor rgb="00660066"/>
      <rgbColor rgb="00FF8080"/>
      <rgbColor rgb="000563C1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3E6"/>
      <rgbColor rgb="00E2EFDA"/>
      <rgbColor rgb="00F2F2F2"/>
      <rgbColor rgb="0099CCFF"/>
      <rgbColor rgb="00FF99CC"/>
      <rgbColor rgb="00CC99FF"/>
      <rgbColor rgb="00FFC7CE"/>
      <rgbColor rgb="002E75B6"/>
      <rgbColor rgb="0033CCCC"/>
      <rgbColor rgb="0099CC00"/>
      <rgbColor rgb="00FFC000"/>
      <rgbColor rgb="00FF9900"/>
      <rgbColor rgb="00FF6600"/>
      <rgbColor rgb="00595959"/>
      <rgbColor rgb="008EA9C1"/>
      <rgbColor rgb="001F3864"/>
      <rgbColor rgb="00548235"/>
      <rgbColor rgb="00006100"/>
      <rgbColor rgb="00333300"/>
      <rgbColor rgb="00993300"/>
      <rgbColor rgb="00C0504D"/>
      <rgbColor rgb="001F4E79"/>
      <rgbColor rgb="002F559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库存总结余"/>
      <sheetName val="入库吨位汇总"/>
      <sheetName val="成品出库吨位汇总"/>
      <sheetName val="果然鲜采购明细"/>
      <sheetName val="果然鲜销售明细"/>
      <sheetName val="果然鲜销售汇总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  <sheetName val="库存等级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4">
            <v>46245</v>
          </cell>
          <cell r="C4" t="str">
            <v>聂新平</v>
          </cell>
          <cell r="D4" t="str">
            <v>原料入库</v>
          </cell>
          <cell r="E4" t="str">
            <v>NO0000756</v>
          </cell>
          <cell r="F4" t="str">
            <v>苹果</v>
          </cell>
          <cell r="G4" t="str">
            <v>嘎啦85#</v>
          </cell>
          <cell r="H4">
            <v>35</v>
          </cell>
          <cell r="I4" t="str">
            <v>筐</v>
          </cell>
          <cell r="J4">
            <v>763</v>
          </cell>
          <cell r="K4" t="str">
            <v/>
          </cell>
          <cell r="L4" t="str">
            <v/>
          </cell>
          <cell r="M4" t="str">
            <v/>
          </cell>
          <cell r="N4" t="str">
            <v>自备一次性筐</v>
          </cell>
          <cell r="O4" t="str">
            <v/>
          </cell>
          <cell r="P4" t="str">
            <v/>
          </cell>
          <cell r="Q4">
            <v>35</v>
          </cell>
          <cell r="R4" t="str">
            <v>苏M*7G796</v>
          </cell>
          <cell r="S4" t="str">
            <v>自备筐</v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</row>
        <row r="4"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</row>
        <row r="5">
          <cell r="B5">
            <v>46245</v>
          </cell>
          <cell r="C5" t="str">
            <v>聂新平</v>
          </cell>
          <cell r="D5" t="str">
            <v>原料入库</v>
          </cell>
          <cell r="E5" t="str">
            <v>NO0000756</v>
          </cell>
          <cell r="F5" t="str">
            <v>苹果</v>
          </cell>
          <cell r="G5" t="str">
            <v>嘎啦100#</v>
          </cell>
          <cell r="H5">
            <v>20</v>
          </cell>
          <cell r="I5" t="str">
            <v>筐</v>
          </cell>
          <cell r="J5">
            <v>436</v>
          </cell>
          <cell r="K5" t="str">
            <v/>
          </cell>
          <cell r="L5" t="str">
            <v/>
          </cell>
          <cell r="M5" t="str">
            <v/>
          </cell>
          <cell r="N5" t="str">
            <v>自备一次性筐</v>
          </cell>
          <cell r="O5" t="str">
            <v/>
          </cell>
          <cell r="P5" t="str">
            <v/>
          </cell>
          <cell r="Q5">
            <v>20</v>
          </cell>
          <cell r="R5" t="str">
            <v>苏M*7G796</v>
          </cell>
          <cell r="S5" t="str">
            <v>自备筐</v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</row>
        <row r="5"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</row>
        <row r="6">
          <cell r="B6">
            <v>46246</v>
          </cell>
          <cell r="C6" t="str">
            <v>聂新平</v>
          </cell>
          <cell r="D6" t="str">
            <v>原料入库</v>
          </cell>
          <cell r="E6" t="str">
            <v>NO0000758</v>
          </cell>
          <cell r="F6" t="str">
            <v>苹果</v>
          </cell>
          <cell r="G6" t="str">
            <v>嘎啦85#</v>
          </cell>
          <cell r="H6">
            <v>53</v>
          </cell>
          <cell r="I6" t="str">
            <v>筐</v>
          </cell>
          <cell r="J6">
            <v>1155.4</v>
          </cell>
          <cell r="K6" t="str">
            <v/>
          </cell>
          <cell r="L6" t="str">
            <v/>
          </cell>
          <cell r="M6" t="str">
            <v/>
          </cell>
          <cell r="N6" t="str">
            <v>自备一次性筐</v>
          </cell>
          <cell r="O6" t="str">
            <v/>
          </cell>
          <cell r="P6" t="str">
            <v/>
          </cell>
          <cell r="Q6">
            <v>53</v>
          </cell>
          <cell r="R6" t="str">
            <v>苏M*7G796</v>
          </cell>
          <cell r="S6" t="str">
            <v>自备筐</v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</row>
        <row r="6"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</row>
        <row r="7">
          <cell r="B7">
            <v>46246</v>
          </cell>
          <cell r="C7" t="str">
            <v>聂新平</v>
          </cell>
          <cell r="D7" t="str">
            <v>原料入库</v>
          </cell>
          <cell r="E7" t="str">
            <v>NO0000758</v>
          </cell>
          <cell r="F7" t="str">
            <v>苹果</v>
          </cell>
          <cell r="G7" t="str">
            <v>嘎啦100#</v>
          </cell>
          <cell r="H7">
            <v>7</v>
          </cell>
          <cell r="I7" t="str">
            <v>筐</v>
          </cell>
          <cell r="J7">
            <v>152.6</v>
          </cell>
          <cell r="K7" t="str">
            <v/>
          </cell>
          <cell r="L7" t="str">
            <v/>
          </cell>
          <cell r="M7" t="str">
            <v/>
          </cell>
          <cell r="N7" t="str">
            <v>自备一次性筐</v>
          </cell>
          <cell r="O7" t="str">
            <v/>
          </cell>
          <cell r="P7" t="str">
            <v/>
          </cell>
          <cell r="Q7">
            <v>7</v>
          </cell>
          <cell r="R7" t="str">
            <v>苏M*7G796</v>
          </cell>
          <cell r="S7" t="str">
            <v>自备筐</v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</row>
        <row r="7"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</row>
        <row r="8">
          <cell r="B8">
            <v>46246</v>
          </cell>
          <cell r="C8" t="str">
            <v>聂新平</v>
          </cell>
          <cell r="D8" t="str">
            <v>原料入库</v>
          </cell>
          <cell r="E8" t="str">
            <v>NO0000759</v>
          </cell>
          <cell r="F8" t="str">
            <v>苹果</v>
          </cell>
          <cell r="G8" t="str">
            <v>嘎啦85#</v>
          </cell>
          <cell r="H8">
            <v>20</v>
          </cell>
          <cell r="I8" t="str">
            <v>筐</v>
          </cell>
          <cell r="J8">
            <v>436</v>
          </cell>
          <cell r="K8" t="str">
            <v/>
          </cell>
          <cell r="L8" t="str">
            <v/>
          </cell>
          <cell r="M8" t="str">
            <v/>
          </cell>
          <cell r="N8" t="str">
            <v>自备一次性筐</v>
          </cell>
          <cell r="O8" t="str">
            <v/>
          </cell>
          <cell r="P8" t="str">
            <v/>
          </cell>
          <cell r="Q8">
            <v>20</v>
          </cell>
          <cell r="R8" t="str">
            <v>苏M*7G796</v>
          </cell>
          <cell r="S8" t="str">
            <v>自备筐</v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</row>
        <row r="8"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</row>
        <row r="9">
          <cell r="B9">
            <v>46246</v>
          </cell>
          <cell r="C9" t="str">
            <v>聂新平</v>
          </cell>
          <cell r="D9" t="str">
            <v>原料入库</v>
          </cell>
          <cell r="E9" t="str">
            <v>NO0000759</v>
          </cell>
          <cell r="F9" t="str">
            <v>苹果</v>
          </cell>
          <cell r="G9" t="str">
            <v>嘎啦100#</v>
          </cell>
          <cell r="H9">
            <v>28</v>
          </cell>
          <cell r="I9" t="str">
            <v>筐</v>
          </cell>
          <cell r="J9">
            <v>610.4</v>
          </cell>
          <cell r="K9" t="str">
            <v/>
          </cell>
          <cell r="L9" t="str">
            <v/>
          </cell>
          <cell r="M9" t="str">
            <v/>
          </cell>
          <cell r="N9" t="str">
            <v>自备一次性筐</v>
          </cell>
          <cell r="O9" t="str">
            <v/>
          </cell>
          <cell r="P9" t="str">
            <v/>
          </cell>
          <cell r="Q9">
            <v>28</v>
          </cell>
          <cell r="R9" t="str">
            <v>苏M*7G796</v>
          </cell>
          <cell r="S9" t="str">
            <v>自备筐</v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</row>
        <row r="9"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</row>
        <row r="10">
          <cell r="B10">
            <v>46246</v>
          </cell>
          <cell r="C10" t="str">
            <v>聂新平</v>
          </cell>
          <cell r="D10" t="str">
            <v>原料入库</v>
          </cell>
          <cell r="E10" t="str">
            <v>NO0000760</v>
          </cell>
          <cell r="F10" t="str">
            <v>苹果</v>
          </cell>
          <cell r="G10" t="str">
            <v>嘎啦85#</v>
          </cell>
          <cell r="H10">
            <v>19</v>
          </cell>
          <cell r="I10" t="str">
            <v>筐</v>
          </cell>
          <cell r="J10">
            <v>414.2</v>
          </cell>
          <cell r="K10" t="str">
            <v/>
          </cell>
          <cell r="L10" t="str">
            <v/>
          </cell>
          <cell r="M10" t="str">
            <v/>
          </cell>
          <cell r="N10" t="str">
            <v>自备一次性筐</v>
          </cell>
          <cell r="O10" t="str">
            <v/>
          </cell>
          <cell r="P10" t="str">
            <v/>
          </cell>
          <cell r="Q10">
            <v>19</v>
          </cell>
          <cell r="R10" t="str">
            <v>苏M*7G796</v>
          </cell>
          <cell r="S10" t="str">
            <v>自备筐</v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</row>
        <row r="10"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</row>
        <row r="11">
          <cell r="B11">
            <v>46246</v>
          </cell>
          <cell r="C11" t="str">
            <v>聂新平</v>
          </cell>
          <cell r="D11" t="str">
            <v>原料入库</v>
          </cell>
          <cell r="E11" t="str">
            <v>NO0000760</v>
          </cell>
          <cell r="F11" t="str">
            <v>苹果</v>
          </cell>
          <cell r="G11" t="str">
            <v>嘎啦100#</v>
          </cell>
          <cell r="H11">
            <v>14</v>
          </cell>
          <cell r="I11" t="str">
            <v>筐</v>
          </cell>
          <cell r="J11">
            <v>305.2</v>
          </cell>
          <cell r="K11" t="str">
            <v/>
          </cell>
          <cell r="L11" t="str">
            <v/>
          </cell>
          <cell r="M11" t="str">
            <v/>
          </cell>
          <cell r="N11" t="str">
            <v>自备一次性筐</v>
          </cell>
          <cell r="O11" t="str">
            <v/>
          </cell>
          <cell r="P11" t="str">
            <v/>
          </cell>
          <cell r="Q11">
            <v>14</v>
          </cell>
          <cell r="R11" t="str">
            <v>苏M*7G796</v>
          </cell>
          <cell r="S11" t="str">
            <v>自备筐</v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</row>
        <row r="11"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</row>
        <row r="12">
          <cell r="B12">
            <v>46247</v>
          </cell>
          <cell r="C12" t="str">
            <v>聂新平</v>
          </cell>
          <cell r="D12" t="str">
            <v>原料入库</v>
          </cell>
          <cell r="E12" t="str">
            <v>NO0000761</v>
          </cell>
          <cell r="F12" t="str">
            <v>苹果</v>
          </cell>
          <cell r="G12" t="str">
            <v>嘎啦85#</v>
          </cell>
          <cell r="H12">
            <v>17</v>
          </cell>
          <cell r="I12" t="str">
            <v>筐</v>
          </cell>
          <cell r="J12">
            <v>370.6</v>
          </cell>
          <cell r="K12" t="str">
            <v/>
          </cell>
          <cell r="L12" t="str">
            <v/>
          </cell>
          <cell r="M12" t="str">
            <v/>
          </cell>
          <cell r="N12" t="str">
            <v>自备一次性筐</v>
          </cell>
          <cell r="O12" t="str">
            <v/>
          </cell>
          <cell r="P12" t="str">
            <v/>
          </cell>
          <cell r="Q12">
            <v>17</v>
          </cell>
          <cell r="R12" t="str">
            <v>苏M*7G796</v>
          </cell>
          <cell r="S12" t="str">
            <v>自备筐</v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</row>
        <row r="12"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</row>
        <row r="13">
          <cell r="B13">
            <v>46247</v>
          </cell>
          <cell r="C13" t="str">
            <v>聂新平</v>
          </cell>
          <cell r="D13" t="str">
            <v>原料入库</v>
          </cell>
          <cell r="E13" t="str">
            <v>NO0000761</v>
          </cell>
          <cell r="F13" t="str">
            <v>苹果</v>
          </cell>
          <cell r="G13" t="str">
            <v>嘎啦100#</v>
          </cell>
          <cell r="H13">
            <v>43</v>
          </cell>
          <cell r="I13" t="str">
            <v>筐</v>
          </cell>
          <cell r="J13">
            <v>937.4</v>
          </cell>
          <cell r="K13" t="str">
            <v/>
          </cell>
          <cell r="L13" t="str">
            <v/>
          </cell>
          <cell r="M13" t="str">
            <v/>
          </cell>
          <cell r="N13" t="str">
            <v>自备一次性筐</v>
          </cell>
          <cell r="O13" t="str">
            <v/>
          </cell>
          <cell r="P13" t="str">
            <v/>
          </cell>
          <cell r="Q13">
            <v>43</v>
          </cell>
          <cell r="R13" t="str">
            <v>苏M*7G796</v>
          </cell>
          <cell r="S13" t="str">
            <v>自备筐</v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</row>
        <row r="13"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</row>
        <row r="14">
          <cell r="B14">
            <v>46247</v>
          </cell>
          <cell r="C14" t="str">
            <v>聂新平</v>
          </cell>
          <cell r="D14" t="str">
            <v>原料入库</v>
          </cell>
          <cell r="E14" t="str">
            <v>NO0000762</v>
          </cell>
          <cell r="F14" t="str">
            <v>苹果</v>
          </cell>
          <cell r="G14" t="str">
            <v>嘎啦85#</v>
          </cell>
          <cell r="H14">
            <v>20</v>
          </cell>
          <cell r="I14" t="str">
            <v>筐</v>
          </cell>
          <cell r="J14">
            <v>436</v>
          </cell>
          <cell r="K14" t="str">
            <v/>
          </cell>
          <cell r="L14" t="str">
            <v/>
          </cell>
          <cell r="M14" t="str">
            <v/>
          </cell>
          <cell r="N14" t="str">
            <v>自备一次性筐</v>
          </cell>
          <cell r="O14" t="str">
            <v/>
          </cell>
          <cell r="P14" t="str">
            <v/>
          </cell>
          <cell r="Q14">
            <v>20</v>
          </cell>
          <cell r="R14" t="str">
            <v>苏M*7G796</v>
          </cell>
          <cell r="S14" t="str">
            <v>自备筐</v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</row>
        <row r="14"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</row>
        <row r="15">
          <cell r="B15">
            <v>46247</v>
          </cell>
          <cell r="C15" t="str">
            <v>聂新平</v>
          </cell>
          <cell r="D15" t="str">
            <v>原料入库</v>
          </cell>
          <cell r="E15" t="str">
            <v>NO0000762</v>
          </cell>
          <cell r="F15" t="str">
            <v>苹果</v>
          </cell>
          <cell r="G15" t="str">
            <v>嘎啦100#</v>
          </cell>
          <cell r="H15">
            <v>31</v>
          </cell>
          <cell r="I15" t="str">
            <v>筐</v>
          </cell>
          <cell r="J15">
            <v>675.8</v>
          </cell>
          <cell r="K15" t="str">
            <v/>
          </cell>
          <cell r="L15" t="str">
            <v/>
          </cell>
          <cell r="M15" t="str">
            <v/>
          </cell>
          <cell r="N15" t="str">
            <v>自备一次性筐</v>
          </cell>
          <cell r="O15" t="str">
            <v/>
          </cell>
          <cell r="P15" t="str">
            <v/>
          </cell>
          <cell r="Q15">
            <v>31</v>
          </cell>
          <cell r="R15" t="str">
            <v>苏M*7G796</v>
          </cell>
          <cell r="S15" t="str">
            <v>自备筐</v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</row>
        <row r="15"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</row>
        <row r="16">
          <cell r="B16">
            <v>46247</v>
          </cell>
          <cell r="C16" t="str">
            <v>聂新平</v>
          </cell>
          <cell r="D16" t="str">
            <v>原料入库</v>
          </cell>
          <cell r="E16" t="str">
            <v>NO0000764</v>
          </cell>
          <cell r="F16" t="str">
            <v>苹果</v>
          </cell>
          <cell r="G16" t="str">
            <v>嘎啦85#</v>
          </cell>
          <cell r="H16">
            <v>10</v>
          </cell>
          <cell r="I16" t="str">
            <v>筐</v>
          </cell>
          <cell r="J16">
            <v>218</v>
          </cell>
          <cell r="K16" t="str">
            <v/>
          </cell>
          <cell r="L16" t="str">
            <v/>
          </cell>
          <cell r="M16" t="str">
            <v/>
          </cell>
          <cell r="N16" t="str">
            <v>自备一次性筐</v>
          </cell>
          <cell r="O16" t="str">
            <v/>
          </cell>
          <cell r="P16" t="str">
            <v/>
          </cell>
          <cell r="Q16">
            <v>10</v>
          </cell>
          <cell r="R16" t="str">
            <v>苏M*7G796</v>
          </cell>
          <cell r="S16" t="str">
            <v>自备筐</v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</row>
        <row r="16"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</row>
        <row r="17">
          <cell r="B17">
            <v>46247</v>
          </cell>
          <cell r="C17" t="str">
            <v>聂新平</v>
          </cell>
          <cell r="D17" t="str">
            <v>原料入库</v>
          </cell>
          <cell r="E17" t="str">
            <v>NO0000764</v>
          </cell>
          <cell r="F17" t="str">
            <v>苹果</v>
          </cell>
          <cell r="G17" t="str">
            <v>嘎啦100#</v>
          </cell>
          <cell r="H17">
            <v>7</v>
          </cell>
          <cell r="I17" t="str">
            <v>筐</v>
          </cell>
          <cell r="J17">
            <v>152.6</v>
          </cell>
          <cell r="K17" t="str">
            <v/>
          </cell>
          <cell r="L17" t="str">
            <v/>
          </cell>
          <cell r="M17" t="str">
            <v/>
          </cell>
          <cell r="N17" t="str">
            <v>自备一次性筐</v>
          </cell>
          <cell r="O17" t="str">
            <v/>
          </cell>
          <cell r="P17" t="str">
            <v/>
          </cell>
          <cell r="Q17">
            <v>7</v>
          </cell>
          <cell r="R17" t="str">
            <v>苏M*7G796</v>
          </cell>
          <cell r="S17" t="str">
            <v>自备筐</v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</row>
        <row r="17"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</row>
        <row r="18">
          <cell r="B18">
            <v>46247</v>
          </cell>
          <cell r="C18" t="str">
            <v>王照雪</v>
          </cell>
          <cell r="D18" t="str">
            <v>原料入库</v>
          </cell>
          <cell r="E18" t="str">
            <v>NO0000765</v>
          </cell>
          <cell r="F18" t="str">
            <v>苹果</v>
          </cell>
          <cell r="G18" t="str">
            <v>华硕一级</v>
          </cell>
          <cell r="H18">
            <v>187</v>
          </cell>
          <cell r="I18" t="str">
            <v>筐</v>
          </cell>
          <cell r="J18">
            <v>3235.1</v>
          </cell>
          <cell r="K18" t="str">
            <v/>
          </cell>
          <cell r="L18" t="str">
            <v/>
          </cell>
          <cell r="M18" t="str">
            <v/>
          </cell>
          <cell r="N18" t="str">
            <v>公司杂周转筐</v>
          </cell>
          <cell r="O18" t="str">
            <v/>
          </cell>
          <cell r="P18" t="str">
            <v/>
          </cell>
          <cell r="Q18">
            <v>187</v>
          </cell>
          <cell r="R18" t="str">
            <v>豫L*88X19</v>
          </cell>
          <cell r="S18" t="str">
            <v>公司筐</v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</row>
        <row r="18"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</row>
        <row r="19">
          <cell r="B19">
            <v>46247</v>
          </cell>
          <cell r="C19" t="str">
            <v>王照雪</v>
          </cell>
          <cell r="D19" t="str">
            <v>原料入库</v>
          </cell>
          <cell r="E19" t="str">
            <v>NO0000765</v>
          </cell>
          <cell r="F19" t="str">
            <v>苹果</v>
          </cell>
          <cell r="G19" t="str">
            <v>华硕二级</v>
          </cell>
          <cell r="H19">
            <v>49</v>
          </cell>
          <cell r="I19" t="str">
            <v>筐</v>
          </cell>
          <cell r="J19">
            <v>798.7</v>
          </cell>
          <cell r="K19" t="str">
            <v/>
          </cell>
          <cell r="L19" t="str">
            <v/>
          </cell>
          <cell r="M19" t="str">
            <v/>
          </cell>
          <cell r="N19" t="str">
            <v>公司杂周转筐</v>
          </cell>
          <cell r="O19" t="str">
            <v/>
          </cell>
          <cell r="P19" t="str">
            <v/>
          </cell>
          <cell r="Q19">
            <v>49</v>
          </cell>
          <cell r="R19" t="str">
            <v>豫L*88X19</v>
          </cell>
          <cell r="S19" t="str">
            <v>公司筐</v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</row>
        <row r="19"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</row>
        <row r="20">
          <cell r="B20">
            <v>46247</v>
          </cell>
          <cell r="C20" t="str">
            <v>王照雪</v>
          </cell>
          <cell r="D20" t="str">
            <v>原料入库</v>
          </cell>
          <cell r="E20" t="str">
            <v>NO0000765</v>
          </cell>
          <cell r="F20" t="str">
            <v>苹果</v>
          </cell>
          <cell r="G20" t="str">
            <v>华硕高次</v>
          </cell>
          <cell r="H20">
            <v>11</v>
          </cell>
          <cell r="I20" t="str">
            <v>筐</v>
          </cell>
          <cell r="J20">
            <v>190.3</v>
          </cell>
          <cell r="K20" t="str">
            <v/>
          </cell>
          <cell r="L20" t="str">
            <v/>
          </cell>
          <cell r="M20" t="str">
            <v/>
          </cell>
          <cell r="N20" t="str">
            <v>公司杂周转筐</v>
          </cell>
          <cell r="O20" t="str">
            <v/>
          </cell>
          <cell r="P20" t="str">
            <v/>
          </cell>
          <cell r="Q20">
            <v>11</v>
          </cell>
          <cell r="R20" t="str">
            <v>豫L*88X19</v>
          </cell>
          <cell r="S20" t="str">
            <v>公司筐</v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</row>
        <row r="20"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</row>
        <row r="21">
          <cell r="B21">
            <v>46248</v>
          </cell>
          <cell r="C21" t="str">
            <v>聂新平</v>
          </cell>
          <cell r="D21" t="str">
            <v>原料入库</v>
          </cell>
          <cell r="E21" t="str">
            <v>NO0000766</v>
          </cell>
          <cell r="F21" t="str">
            <v>苹果</v>
          </cell>
          <cell r="G21" t="str">
            <v>嘎啦85#</v>
          </cell>
          <cell r="H21">
            <v>40</v>
          </cell>
          <cell r="I21" t="str">
            <v>筐</v>
          </cell>
          <cell r="J21">
            <v>872</v>
          </cell>
          <cell r="K21" t="str">
            <v/>
          </cell>
          <cell r="L21" t="str">
            <v/>
          </cell>
          <cell r="M21" t="str">
            <v/>
          </cell>
          <cell r="N21" t="str">
            <v>自备一次性筐</v>
          </cell>
          <cell r="O21" t="str">
            <v/>
          </cell>
          <cell r="P21" t="str">
            <v/>
          </cell>
          <cell r="Q21">
            <v>40</v>
          </cell>
          <cell r="R21" t="str">
            <v>苏M*7G796</v>
          </cell>
          <cell r="S21" t="str">
            <v>自备筐</v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</row>
        <row r="21"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</row>
        <row r="22">
          <cell r="B22">
            <v>46248</v>
          </cell>
          <cell r="C22" t="str">
            <v>聂新平</v>
          </cell>
          <cell r="D22" t="str">
            <v>原料入库</v>
          </cell>
          <cell r="E22" t="str">
            <v>NO0000766</v>
          </cell>
          <cell r="F22" t="str">
            <v>苹果</v>
          </cell>
          <cell r="G22" t="str">
            <v>嘎啦100#</v>
          </cell>
          <cell r="H22">
            <v>74</v>
          </cell>
          <cell r="I22" t="str">
            <v>筐</v>
          </cell>
          <cell r="J22">
            <v>1613.2</v>
          </cell>
          <cell r="K22" t="str">
            <v/>
          </cell>
          <cell r="L22" t="str">
            <v/>
          </cell>
          <cell r="M22" t="str">
            <v/>
          </cell>
          <cell r="N22" t="str">
            <v>自备一次性筐</v>
          </cell>
          <cell r="O22" t="str">
            <v/>
          </cell>
          <cell r="P22" t="str">
            <v/>
          </cell>
          <cell r="Q22">
            <v>74</v>
          </cell>
          <cell r="R22" t="str">
            <v>苏M*7G796</v>
          </cell>
          <cell r="S22" t="str">
            <v>自备筐</v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</row>
        <row r="22"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</row>
        <row r="23">
          <cell r="B23">
            <v>46248</v>
          </cell>
          <cell r="C23" t="str">
            <v>伍元虎</v>
          </cell>
          <cell r="D23" t="str">
            <v>原料入库</v>
          </cell>
          <cell r="E23" t="str">
            <v>NO0000767</v>
          </cell>
          <cell r="F23" t="str">
            <v>苹果</v>
          </cell>
          <cell r="G23" t="str">
            <v>海棠果</v>
          </cell>
          <cell r="H23">
            <v>24</v>
          </cell>
          <cell r="I23" t="str">
            <v>筐</v>
          </cell>
          <cell r="J23">
            <v>540</v>
          </cell>
          <cell r="K23" t="str">
            <v/>
          </cell>
          <cell r="L23" t="str">
            <v/>
          </cell>
          <cell r="M23" t="str">
            <v/>
          </cell>
          <cell r="N23" t="str">
            <v>自备一次性筐</v>
          </cell>
          <cell r="O23" t="str">
            <v/>
          </cell>
          <cell r="P23" t="str">
            <v/>
          </cell>
          <cell r="Q23">
            <v>24</v>
          </cell>
          <cell r="R23" t="str">
            <v>三轮车</v>
          </cell>
          <cell r="S23" t="str">
            <v>自备筐</v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</row>
        <row r="23"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</row>
        <row r="24">
          <cell r="B24">
            <v>46248</v>
          </cell>
          <cell r="C24" t="str">
            <v>王照雪</v>
          </cell>
          <cell r="D24" t="str">
            <v>原料入库</v>
          </cell>
          <cell r="E24" t="str">
            <v>NO0000768</v>
          </cell>
          <cell r="F24" t="str">
            <v>李子</v>
          </cell>
          <cell r="G24" t="str">
            <v>樱桃李</v>
          </cell>
          <cell r="H24">
            <v>317</v>
          </cell>
          <cell r="I24" t="str">
            <v>筐</v>
          </cell>
          <cell r="J24">
            <v>5167.1</v>
          </cell>
          <cell r="K24" t="str">
            <v/>
          </cell>
          <cell r="L24" t="str">
            <v/>
          </cell>
          <cell r="M24" t="str">
            <v/>
          </cell>
          <cell r="N24" t="str">
            <v>自备一次性筐</v>
          </cell>
          <cell r="O24" t="str">
            <v/>
          </cell>
          <cell r="P24" t="str">
            <v/>
          </cell>
          <cell r="Q24">
            <v>317</v>
          </cell>
          <cell r="R24" t="str">
            <v>豫L*88X19</v>
          </cell>
          <cell r="S24" t="str">
            <v>自备筐</v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</row>
        <row r="24"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</row>
        <row r="25">
          <cell r="B25">
            <v>46249</v>
          </cell>
          <cell r="C25" t="str">
            <v>伍元虎</v>
          </cell>
          <cell r="D25" t="str">
            <v>原料入库</v>
          </cell>
          <cell r="E25" t="str">
            <v>NO0000769</v>
          </cell>
          <cell r="F25" t="str">
            <v>苹果</v>
          </cell>
          <cell r="G25" t="str">
            <v>海棠果</v>
          </cell>
          <cell r="H25">
            <v>34</v>
          </cell>
          <cell r="I25" t="str">
            <v>筐</v>
          </cell>
          <cell r="J25">
            <v>765</v>
          </cell>
          <cell r="K25" t="str">
            <v/>
          </cell>
          <cell r="L25" t="str">
            <v/>
          </cell>
          <cell r="M25" t="str">
            <v/>
          </cell>
          <cell r="N25" t="str">
            <v>自备一次性筐</v>
          </cell>
          <cell r="O25" t="str">
            <v/>
          </cell>
          <cell r="P25" t="str">
            <v/>
          </cell>
          <cell r="Q25">
            <v>34</v>
          </cell>
          <cell r="R25" t="str">
            <v>三轮车</v>
          </cell>
          <cell r="S25" t="str">
            <v>自备筐</v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</row>
        <row r="25"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</row>
        <row r="26">
          <cell r="B26">
            <v>46249</v>
          </cell>
          <cell r="C26" t="str">
            <v>聂新平</v>
          </cell>
          <cell r="D26" t="str">
            <v>原料入库</v>
          </cell>
          <cell r="E26" t="str">
            <v>NO0000770</v>
          </cell>
          <cell r="F26" t="str">
            <v>苹果</v>
          </cell>
          <cell r="G26" t="str">
            <v>嘎啦85#</v>
          </cell>
          <cell r="H26">
            <v>34</v>
          </cell>
          <cell r="I26" t="str">
            <v>筐</v>
          </cell>
          <cell r="J26">
            <v>741.2</v>
          </cell>
          <cell r="K26" t="str">
            <v/>
          </cell>
          <cell r="L26" t="str">
            <v/>
          </cell>
          <cell r="M26" t="str">
            <v/>
          </cell>
          <cell r="N26" t="str">
            <v>自备一次性筐</v>
          </cell>
          <cell r="O26" t="str">
            <v/>
          </cell>
          <cell r="P26" t="str">
            <v/>
          </cell>
          <cell r="Q26">
            <v>34</v>
          </cell>
          <cell r="R26" t="str">
            <v>苏M*7G796</v>
          </cell>
          <cell r="S26" t="str">
            <v>自备筐</v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</row>
        <row r="26"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</row>
        <row r="27">
          <cell r="B27">
            <v>46249</v>
          </cell>
          <cell r="C27" t="str">
            <v>聂新平</v>
          </cell>
          <cell r="D27" t="str">
            <v>原料入库</v>
          </cell>
          <cell r="E27" t="str">
            <v>NO0000770</v>
          </cell>
          <cell r="F27" t="str">
            <v>苹果</v>
          </cell>
          <cell r="G27" t="str">
            <v>嘎啦100#</v>
          </cell>
          <cell r="H27">
            <v>64</v>
          </cell>
          <cell r="I27" t="str">
            <v>筐</v>
          </cell>
          <cell r="J27">
            <v>1395.2</v>
          </cell>
          <cell r="K27" t="str">
            <v/>
          </cell>
          <cell r="L27" t="str">
            <v/>
          </cell>
          <cell r="M27" t="str">
            <v/>
          </cell>
          <cell r="N27" t="str">
            <v>自备一次性筐</v>
          </cell>
          <cell r="O27" t="str">
            <v/>
          </cell>
          <cell r="P27" t="str">
            <v/>
          </cell>
          <cell r="Q27">
            <v>64</v>
          </cell>
          <cell r="R27" t="str">
            <v>苏M*7G796</v>
          </cell>
          <cell r="S27" t="str">
            <v>自备筐</v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</row>
        <row r="27"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</row>
        <row r="28">
          <cell r="B28">
            <v>46249</v>
          </cell>
          <cell r="C28" t="str">
            <v>王照雪</v>
          </cell>
          <cell r="D28" t="str">
            <v>原料入库</v>
          </cell>
          <cell r="E28" t="str">
            <v>NO0000771</v>
          </cell>
          <cell r="F28" t="str">
            <v>李子</v>
          </cell>
          <cell r="G28" t="str">
            <v>樱桃李</v>
          </cell>
          <cell r="H28">
            <v>105</v>
          </cell>
          <cell r="I28" t="str">
            <v>筐</v>
          </cell>
          <cell r="J28">
            <v>1711.5</v>
          </cell>
          <cell r="K28" t="str">
            <v/>
          </cell>
          <cell r="L28" t="str">
            <v/>
          </cell>
          <cell r="M28" t="str">
            <v/>
          </cell>
          <cell r="N28" t="str">
            <v>自备一次性筐</v>
          </cell>
          <cell r="O28" t="str">
            <v/>
          </cell>
          <cell r="P28" t="str">
            <v/>
          </cell>
          <cell r="Q28">
            <v>105</v>
          </cell>
          <cell r="R28" t="str">
            <v>豫L*88X19</v>
          </cell>
          <cell r="S28" t="str">
            <v>自备筐</v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</row>
        <row r="28"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</row>
        <row r="29">
          <cell r="B29">
            <v>46250</v>
          </cell>
          <cell r="C29" t="str">
            <v>聂新平</v>
          </cell>
          <cell r="D29" t="str">
            <v>原料入库</v>
          </cell>
          <cell r="E29" t="str">
            <v>NO0000772</v>
          </cell>
          <cell r="F29" t="str">
            <v>苹果</v>
          </cell>
          <cell r="G29" t="str">
            <v>嘎啦85#</v>
          </cell>
          <cell r="H29">
            <v>10</v>
          </cell>
          <cell r="I29" t="str">
            <v>筐</v>
          </cell>
          <cell r="J29">
            <v>218</v>
          </cell>
          <cell r="K29" t="str">
            <v/>
          </cell>
          <cell r="L29" t="str">
            <v/>
          </cell>
          <cell r="M29" t="str">
            <v/>
          </cell>
          <cell r="N29" t="str">
            <v>自备一次性筐</v>
          </cell>
          <cell r="O29" t="str">
            <v/>
          </cell>
          <cell r="P29" t="str">
            <v/>
          </cell>
          <cell r="Q29">
            <v>10</v>
          </cell>
          <cell r="R29" t="str">
            <v>苏M*7G796</v>
          </cell>
          <cell r="S29" t="str">
            <v>自备筐</v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</row>
        <row r="29"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</row>
        <row r="30">
          <cell r="B30">
            <v>46250</v>
          </cell>
          <cell r="C30" t="str">
            <v>聂新平</v>
          </cell>
          <cell r="D30" t="str">
            <v>原料入库</v>
          </cell>
          <cell r="E30" t="str">
            <v>NO0000772</v>
          </cell>
          <cell r="F30" t="str">
            <v>苹果</v>
          </cell>
          <cell r="G30" t="str">
            <v>嘎啦100#</v>
          </cell>
          <cell r="H30">
            <v>28</v>
          </cell>
          <cell r="I30" t="str">
            <v>筐</v>
          </cell>
          <cell r="J30">
            <v>610.4</v>
          </cell>
          <cell r="K30" t="str">
            <v/>
          </cell>
          <cell r="L30" t="str">
            <v/>
          </cell>
          <cell r="M30" t="str">
            <v/>
          </cell>
          <cell r="N30" t="str">
            <v>自备一次性筐</v>
          </cell>
          <cell r="O30" t="str">
            <v/>
          </cell>
          <cell r="P30" t="str">
            <v/>
          </cell>
          <cell r="Q30">
            <v>28</v>
          </cell>
          <cell r="R30" t="str">
            <v>苏M*7G796</v>
          </cell>
          <cell r="S30" t="str">
            <v>自备筐</v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</row>
        <row r="30"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</row>
        <row r="31">
          <cell r="B31">
            <v>46251</v>
          </cell>
          <cell r="C31" t="str">
            <v>伍元虎</v>
          </cell>
          <cell r="D31" t="str">
            <v>原料入库</v>
          </cell>
          <cell r="E31" t="str">
            <v>NO0000773</v>
          </cell>
          <cell r="F31" t="str">
            <v>苹果</v>
          </cell>
          <cell r="G31" t="str">
            <v>海棠果</v>
          </cell>
          <cell r="H31">
            <v>29</v>
          </cell>
          <cell r="I31" t="str">
            <v>筐</v>
          </cell>
          <cell r="J31">
            <v>652.5</v>
          </cell>
          <cell r="K31" t="str">
            <v/>
          </cell>
          <cell r="L31" t="str">
            <v/>
          </cell>
          <cell r="M31" t="str">
            <v/>
          </cell>
          <cell r="N31" t="str">
            <v>自备一次性筐</v>
          </cell>
          <cell r="O31" t="str">
            <v/>
          </cell>
          <cell r="P31" t="str">
            <v/>
          </cell>
          <cell r="Q31">
            <v>29</v>
          </cell>
          <cell r="R31" t="str">
            <v>三轮车</v>
          </cell>
          <cell r="S31" t="str">
            <v>自备筐</v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</row>
        <row r="31"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</row>
        <row r="32">
          <cell r="B32">
            <v>46252</v>
          </cell>
          <cell r="C32" t="str">
            <v>聂新平</v>
          </cell>
          <cell r="D32" t="str">
            <v>原料入库</v>
          </cell>
          <cell r="E32" t="str">
            <v>NO0000774</v>
          </cell>
          <cell r="F32" t="str">
            <v>苹果</v>
          </cell>
          <cell r="G32" t="str">
            <v>嘎啦85#</v>
          </cell>
          <cell r="H32">
            <v>1</v>
          </cell>
          <cell r="I32" t="str">
            <v>筐</v>
          </cell>
          <cell r="J32">
            <v>21.8</v>
          </cell>
          <cell r="K32" t="str">
            <v/>
          </cell>
          <cell r="L32" t="str">
            <v/>
          </cell>
          <cell r="M32" t="str">
            <v/>
          </cell>
          <cell r="N32" t="str">
            <v>自备一次性筐</v>
          </cell>
          <cell r="O32" t="str">
            <v/>
          </cell>
          <cell r="P32" t="str">
            <v/>
          </cell>
          <cell r="Q32">
            <v>1</v>
          </cell>
          <cell r="R32" t="str">
            <v>苏M*7G796</v>
          </cell>
          <cell r="S32" t="str">
            <v>自备筐</v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</row>
        <row r="32"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</row>
        <row r="33">
          <cell r="B33">
            <v>46252</v>
          </cell>
          <cell r="C33" t="str">
            <v>聂新平</v>
          </cell>
          <cell r="D33" t="str">
            <v>原料入库</v>
          </cell>
          <cell r="E33" t="str">
            <v>NO0000774</v>
          </cell>
          <cell r="F33" t="str">
            <v>苹果</v>
          </cell>
          <cell r="G33" t="str">
            <v>嘎啦100#</v>
          </cell>
          <cell r="H33">
            <v>11</v>
          </cell>
          <cell r="I33" t="str">
            <v>筐</v>
          </cell>
          <cell r="J33">
            <v>239.8</v>
          </cell>
          <cell r="K33" t="str">
            <v/>
          </cell>
          <cell r="L33" t="str">
            <v/>
          </cell>
          <cell r="M33" t="str">
            <v/>
          </cell>
          <cell r="N33" t="str">
            <v>自备一次性筐</v>
          </cell>
          <cell r="O33" t="str">
            <v/>
          </cell>
          <cell r="P33" t="str">
            <v/>
          </cell>
          <cell r="Q33">
            <v>11</v>
          </cell>
          <cell r="R33" t="str">
            <v>苏M*7G796</v>
          </cell>
          <cell r="S33" t="str">
            <v>自备筐</v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</row>
        <row r="33"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</row>
        <row r="34">
          <cell r="B34">
            <v>46253</v>
          </cell>
          <cell r="C34" t="str">
            <v>聂新平</v>
          </cell>
          <cell r="D34" t="str">
            <v>原料入库</v>
          </cell>
          <cell r="E34" t="str">
            <v>NO0000702</v>
          </cell>
          <cell r="F34" t="str">
            <v>苹果</v>
          </cell>
          <cell r="G34" t="str">
            <v>嘎啦85#</v>
          </cell>
          <cell r="H34">
            <v>8</v>
          </cell>
          <cell r="I34" t="str">
            <v>筐</v>
          </cell>
          <cell r="J34">
            <v>174.4</v>
          </cell>
          <cell r="K34" t="str">
            <v/>
          </cell>
          <cell r="L34" t="str">
            <v/>
          </cell>
          <cell r="M34" t="str">
            <v/>
          </cell>
          <cell r="N34" t="str">
            <v>自备一次性筐</v>
          </cell>
          <cell r="O34" t="str">
            <v/>
          </cell>
          <cell r="P34" t="str">
            <v/>
          </cell>
          <cell r="Q34">
            <v>8</v>
          </cell>
          <cell r="R34" t="str">
            <v>苏M*7G796</v>
          </cell>
          <cell r="S34" t="str">
            <v>自备筐</v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</row>
        <row r="34"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</row>
        <row r="35">
          <cell r="B35">
            <v>46253</v>
          </cell>
          <cell r="C35" t="str">
            <v>聂新平</v>
          </cell>
          <cell r="D35" t="str">
            <v>原料入库</v>
          </cell>
          <cell r="E35" t="str">
            <v>NO0000702</v>
          </cell>
          <cell r="F35" t="str">
            <v>苹果</v>
          </cell>
          <cell r="G35" t="str">
            <v>嘎啦100#</v>
          </cell>
          <cell r="H35">
            <v>16</v>
          </cell>
          <cell r="I35" t="str">
            <v>筐</v>
          </cell>
          <cell r="J35">
            <v>348.8</v>
          </cell>
          <cell r="K35" t="str">
            <v/>
          </cell>
          <cell r="L35" t="str">
            <v/>
          </cell>
          <cell r="M35" t="str">
            <v/>
          </cell>
          <cell r="N35" t="str">
            <v>自备一次性筐</v>
          </cell>
          <cell r="O35" t="str">
            <v/>
          </cell>
          <cell r="P35" t="str">
            <v/>
          </cell>
          <cell r="Q35">
            <v>16</v>
          </cell>
          <cell r="R35" t="str">
            <v>苏M*7G796</v>
          </cell>
          <cell r="S35" t="str">
            <v>自备筐</v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</row>
        <row r="35"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</row>
        <row r="36">
          <cell r="B36">
            <v>46254</v>
          </cell>
          <cell r="C36" t="str">
            <v>聂新平</v>
          </cell>
          <cell r="D36" t="str">
            <v>原料入库</v>
          </cell>
          <cell r="E36" t="str">
            <v>NO0000708</v>
          </cell>
          <cell r="F36" t="str">
            <v>苹果</v>
          </cell>
          <cell r="G36" t="str">
            <v>嘎啦85#</v>
          </cell>
          <cell r="H36">
            <v>9</v>
          </cell>
          <cell r="I36" t="str">
            <v>筐</v>
          </cell>
          <cell r="J36">
            <v>196.2</v>
          </cell>
          <cell r="K36" t="str">
            <v/>
          </cell>
          <cell r="L36" t="str">
            <v/>
          </cell>
          <cell r="M36" t="str">
            <v/>
          </cell>
          <cell r="N36" t="str">
            <v>自备一次性筐</v>
          </cell>
          <cell r="O36" t="str">
            <v/>
          </cell>
          <cell r="P36" t="str">
            <v/>
          </cell>
          <cell r="Q36">
            <v>9</v>
          </cell>
          <cell r="R36" t="str">
            <v>苏M*7G796</v>
          </cell>
          <cell r="S36" t="str">
            <v>自备筐</v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</row>
        <row r="36"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</row>
        <row r="37">
          <cell r="B37">
            <v>46255</v>
          </cell>
          <cell r="C37" t="str">
            <v>王照雪</v>
          </cell>
          <cell r="D37" t="str">
            <v>原料入库</v>
          </cell>
          <cell r="E37" t="str">
            <v>NO0000710</v>
          </cell>
          <cell r="F37" t="str">
            <v>苹果</v>
          </cell>
          <cell r="G37" t="str">
            <v>华硕一级</v>
          </cell>
          <cell r="H37">
            <v>57</v>
          </cell>
          <cell r="I37" t="str">
            <v>筐</v>
          </cell>
          <cell r="J37">
            <v>986.1</v>
          </cell>
          <cell r="K37" t="str">
            <v/>
          </cell>
          <cell r="L37" t="str">
            <v/>
          </cell>
          <cell r="M37" t="str">
            <v/>
          </cell>
          <cell r="N37" t="str">
            <v>公司杂周转筐</v>
          </cell>
          <cell r="O37" t="str">
            <v/>
          </cell>
          <cell r="P37" t="str">
            <v/>
          </cell>
          <cell r="Q37">
            <v>57</v>
          </cell>
          <cell r="R37" t="str">
            <v>豫L*88X19</v>
          </cell>
          <cell r="S37" t="str">
            <v>公司筐</v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</row>
        <row r="37"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</row>
        <row r="38">
          <cell r="B38">
            <v>46255</v>
          </cell>
          <cell r="C38" t="str">
            <v>王照雪</v>
          </cell>
          <cell r="D38" t="str">
            <v>原料入库</v>
          </cell>
          <cell r="E38" t="str">
            <v>NO0000710</v>
          </cell>
          <cell r="F38" t="str">
            <v>苹果</v>
          </cell>
          <cell r="G38" t="str">
            <v>华硕二级</v>
          </cell>
          <cell r="H38">
            <v>18</v>
          </cell>
          <cell r="I38" t="str">
            <v>筐</v>
          </cell>
          <cell r="J38">
            <v>293.4</v>
          </cell>
          <cell r="K38" t="str">
            <v/>
          </cell>
          <cell r="L38" t="str">
            <v/>
          </cell>
          <cell r="M38" t="str">
            <v/>
          </cell>
          <cell r="N38" t="str">
            <v>公司杂周转筐</v>
          </cell>
          <cell r="O38" t="str">
            <v/>
          </cell>
          <cell r="P38" t="str">
            <v/>
          </cell>
          <cell r="Q38">
            <v>18</v>
          </cell>
          <cell r="R38" t="str">
            <v>豫L*88X19</v>
          </cell>
          <cell r="S38" t="str">
            <v>公司筐</v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</row>
        <row r="38"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</row>
        <row r="39">
          <cell r="B39">
            <v>46255</v>
          </cell>
          <cell r="C39" t="str">
            <v>王照雪</v>
          </cell>
          <cell r="D39" t="str">
            <v>原料入库</v>
          </cell>
          <cell r="E39" t="str">
            <v>NO0000710</v>
          </cell>
          <cell r="F39" t="str">
            <v>苹果</v>
          </cell>
          <cell r="G39" t="str">
            <v>华硕高次</v>
          </cell>
          <cell r="H39">
            <v>18</v>
          </cell>
          <cell r="I39" t="str">
            <v>筐</v>
          </cell>
          <cell r="J39">
            <v>311.4</v>
          </cell>
          <cell r="K39" t="str">
            <v/>
          </cell>
          <cell r="L39" t="str">
            <v/>
          </cell>
          <cell r="M39" t="str">
            <v/>
          </cell>
          <cell r="N39" t="str">
            <v>公司杂周转筐</v>
          </cell>
          <cell r="O39" t="str">
            <v/>
          </cell>
          <cell r="P39" t="str">
            <v/>
          </cell>
          <cell r="Q39">
            <v>18</v>
          </cell>
          <cell r="R39" t="str">
            <v>豫L*88X19</v>
          </cell>
          <cell r="S39" t="str">
            <v>公司筐</v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</row>
        <row r="39"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</row>
        <row r="40">
          <cell r="B40">
            <v>46256</v>
          </cell>
          <cell r="C40" t="str">
            <v>聂新平</v>
          </cell>
          <cell r="D40" t="str">
            <v>原料入库</v>
          </cell>
          <cell r="E40" t="str">
            <v>NO0000713</v>
          </cell>
          <cell r="F40" t="str">
            <v>苹果</v>
          </cell>
          <cell r="G40" t="str">
            <v>嘎啦100#</v>
          </cell>
          <cell r="H40">
            <v>92</v>
          </cell>
          <cell r="I40" t="str">
            <v>筐</v>
          </cell>
          <cell r="J40">
            <v>2005.6</v>
          </cell>
          <cell r="K40" t="str">
            <v/>
          </cell>
          <cell r="L40" t="str">
            <v/>
          </cell>
          <cell r="M40" t="str">
            <v/>
          </cell>
          <cell r="N40" t="str">
            <v>自备一次性筐</v>
          </cell>
          <cell r="O40" t="str">
            <v/>
          </cell>
          <cell r="P40" t="str">
            <v/>
          </cell>
          <cell r="Q40">
            <v>92</v>
          </cell>
          <cell r="R40" t="str">
            <v>新N*9F701</v>
          </cell>
          <cell r="S40" t="str">
            <v>自备筐</v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</row>
        <row r="40"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</row>
        <row r="41">
          <cell r="B41">
            <v>46256</v>
          </cell>
          <cell r="C41" t="str">
            <v>聂新平</v>
          </cell>
          <cell r="D41" t="str">
            <v>原料入库</v>
          </cell>
          <cell r="E41" t="str">
            <v>NO0000715</v>
          </cell>
          <cell r="F41" t="str">
            <v>苹果</v>
          </cell>
          <cell r="G41" t="str">
            <v>嘎啦100#</v>
          </cell>
          <cell r="H41">
            <v>55</v>
          </cell>
          <cell r="I41" t="str">
            <v>筐</v>
          </cell>
          <cell r="J41">
            <v>1199</v>
          </cell>
          <cell r="K41" t="str">
            <v/>
          </cell>
          <cell r="L41" t="str">
            <v/>
          </cell>
          <cell r="M41" t="str">
            <v/>
          </cell>
          <cell r="N41" t="str">
            <v>自备一次性筐</v>
          </cell>
          <cell r="O41" t="str">
            <v/>
          </cell>
          <cell r="P41" t="str">
            <v/>
          </cell>
          <cell r="Q41">
            <v>55</v>
          </cell>
          <cell r="R41" t="str">
            <v>苏M*7G796</v>
          </cell>
          <cell r="S41" t="str">
            <v>自备筐</v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</row>
        <row r="41"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</row>
        <row r="42">
          <cell r="B42">
            <v>46258</v>
          </cell>
          <cell r="C42" t="str">
            <v>聂新平</v>
          </cell>
          <cell r="D42" t="str">
            <v>原料入库</v>
          </cell>
          <cell r="E42" t="str">
            <v>NO0000718</v>
          </cell>
          <cell r="F42" t="str">
            <v>苹果</v>
          </cell>
          <cell r="G42" t="str">
            <v>嘎啦85#</v>
          </cell>
          <cell r="H42">
            <v>10</v>
          </cell>
          <cell r="I42" t="str">
            <v>筐</v>
          </cell>
          <cell r="J42">
            <v>218</v>
          </cell>
          <cell r="K42" t="str">
            <v/>
          </cell>
          <cell r="L42" t="str">
            <v/>
          </cell>
          <cell r="M42" t="str">
            <v/>
          </cell>
          <cell r="N42" t="str">
            <v>自备一次性筐</v>
          </cell>
          <cell r="O42" t="str">
            <v/>
          </cell>
          <cell r="P42" t="str">
            <v/>
          </cell>
          <cell r="Q42">
            <v>10</v>
          </cell>
          <cell r="R42" t="str">
            <v>苏M*7G796</v>
          </cell>
          <cell r="S42" t="str">
            <v>自备筐</v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</row>
        <row r="42"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</row>
        <row r="43">
          <cell r="B43">
            <v>46258</v>
          </cell>
          <cell r="C43" t="str">
            <v>聂新平</v>
          </cell>
          <cell r="D43" t="str">
            <v>原料入库</v>
          </cell>
          <cell r="E43" t="str">
            <v>NO0000718</v>
          </cell>
          <cell r="F43" t="str">
            <v>苹果</v>
          </cell>
          <cell r="G43" t="str">
            <v>嘎啦100#</v>
          </cell>
          <cell r="H43">
            <v>19</v>
          </cell>
          <cell r="I43" t="str">
            <v>筐</v>
          </cell>
          <cell r="J43">
            <v>414.2</v>
          </cell>
          <cell r="K43" t="str">
            <v/>
          </cell>
          <cell r="L43" t="str">
            <v/>
          </cell>
          <cell r="M43" t="str">
            <v/>
          </cell>
          <cell r="N43" t="str">
            <v>自备一次性筐</v>
          </cell>
          <cell r="O43" t="str">
            <v/>
          </cell>
          <cell r="P43" t="str">
            <v/>
          </cell>
          <cell r="Q43">
            <v>19</v>
          </cell>
          <cell r="R43" t="str">
            <v>苏M*7G796</v>
          </cell>
          <cell r="S43" t="str">
            <v>自备筐</v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</row>
        <row r="43"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</row>
        <row r="44">
          <cell r="B44">
            <v>46258</v>
          </cell>
          <cell r="C44" t="str">
            <v>聂新平</v>
          </cell>
          <cell r="D44" t="str">
            <v>原料入库</v>
          </cell>
          <cell r="E44" t="str">
            <v>NO0000719</v>
          </cell>
          <cell r="F44" t="str">
            <v>苹果</v>
          </cell>
          <cell r="G44" t="str">
            <v>嘎啦85#</v>
          </cell>
          <cell r="H44">
            <v>141</v>
          </cell>
          <cell r="I44" t="str">
            <v>筐</v>
          </cell>
          <cell r="J44">
            <v>3073.8</v>
          </cell>
          <cell r="K44" t="str">
            <v/>
          </cell>
          <cell r="L44" t="str">
            <v/>
          </cell>
          <cell r="M44" t="str">
            <v/>
          </cell>
          <cell r="N44" t="str">
            <v>自备一次性筐</v>
          </cell>
          <cell r="O44" t="str">
            <v/>
          </cell>
          <cell r="P44" t="str">
            <v/>
          </cell>
          <cell r="Q44">
            <v>141</v>
          </cell>
          <cell r="R44" t="str">
            <v>新N*E3V16</v>
          </cell>
          <cell r="S44" t="str">
            <v>自备筐</v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</row>
        <row r="44"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</row>
        <row r="45">
          <cell r="B45">
            <v>46258</v>
          </cell>
          <cell r="C45" t="str">
            <v>聂新平</v>
          </cell>
          <cell r="D45" t="str">
            <v>原料入库</v>
          </cell>
          <cell r="E45" t="str">
            <v>NO0000719</v>
          </cell>
          <cell r="F45" t="str">
            <v>苹果</v>
          </cell>
          <cell r="G45" t="str">
            <v>嘎啦100#</v>
          </cell>
          <cell r="H45">
            <v>233</v>
          </cell>
          <cell r="I45" t="str">
            <v>筐</v>
          </cell>
          <cell r="J45">
            <v>5079.4</v>
          </cell>
          <cell r="K45" t="str">
            <v/>
          </cell>
          <cell r="L45" t="str">
            <v/>
          </cell>
          <cell r="M45" t="str">
            <v/>
          </cell>
          <cell r="N45" t="str">
            <v>自备一次性筐</v>
          </cell>
          <cell r="O45" t="str">
            <v/>
          </cell>
          <cell r="P45" t="str">
            <v/>
          </cell>
          <cell r="Q45">
            <v>233</v>
          </cell>
          <cell r="R45" t="str">
            <v>新N*E3V16</v>
          </cell>
          <cell r="S45" t="str">
            <v>自备筐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</row>
        <row r="45"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</row>
        <row r="46">
          <cell r="B46">
            <v>46258</v>
          </cell>
          <cell r="C46" t="str">
            <v>王照雪</v>
          </cell>
          <cell r="D46" t="str">
            <v>原料入库</v>
          </cell>
          <cell r="E46" t="str">
            <v>NO0000721</v>
          </cell>
          <cell r="F46" t="str">
            <v>苹果</v>
          </cell>
          <cell r="G46" t="str">
            <v>华硕一级</v>
          </cell>
          <cell r="H46">
            <v>136</v>
          </cell>
          <cell r="I46" t="str">
            <v>筐</v>
          </cell>
          <cell r="J46">
            <v>2352.8</v>
          </cell>
          <cell r="K46" t="str">
            <v/>
          </cell>
          <cell r="L46" t="str">
            <v/>
          </cell>
          <cell r="M46" t="str">
            <v/>
          </cell>
          <cell r="N46" t="str">
            <v>公司杂周转筐</v>
          </cell>
          <cell r="O46" t="str">
            <v/>
          </cell>
          <cell r="P46" t="str">
            <v/>
          </cell>
          <cell r="Q46">
            <v>136</v>
          </cell>
          <cell r="R46" t="str">
            <v>豫L*88X19</v>
          </cell>
          <cell r="S46" t="str">
            <v>公司筐</v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</row>
        <row r="46"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</row>
        <row r="47">
          <cell r="B47">
            <v>46258</v>
          </cell>
          <cell r="C47" t="str">
            <v>王照雪</v>
          </cell>
          <cell r="D47" t="str">
            <v>原料入库</v>
          </cell>
          <cell r="E47" t="str">
            <v>NO0000721</v>
          </cell>
          <cell r="F47" t="str">
            <v>苹果</v>
          </cell>
          <cell r="G47" t="str">
            <v>华硕二级</v>
          </cell>
          <cell r="H47">
            <v>66</v>
          </cell>
          <cell r="I47" t="str">
            <v>筐</v>
          </cell>
          <cell r="J47">
            <v>1075.8</v>
          </cell>
          <cell r="K47" t="str">
            <v/>
          </cell>
          <cell r="L47" t="str">
            <v/>
          </cell>
          <cell r="M47" t="str">
            <v/>
          </cell>
          <cell r="N47" t="str">
            <v>公司杂周转筐</v>
          </cell>
          <cell r="O47" t="str">
            <v/>
          </cell>
          <cell r="P47" t="str">
            <v/>
          </cell>
          <cell r="Q47">
            <v>66</v>
          </cell>
          <cell r="R47" t="str">
            <v>豫L*88X19</v>
          </cell>
          <cell r="S47" t="str">
            <v>公司筐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</row>
        <row r="47"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</row>
        <row r="48">
          <cell r="B48">
            <v>46258</v>
          </cell>
          <cell r="C48" t="str">
            <v>王照雪</v>
          </cell>
          <cell r="D48" t="str">
            <v>原料入库</v>
          </cell>
          <cell r="E48" t="str">
            <v>NO0000721</v>
          </cell>
          <cell r="F48" t="str">
            <v>苹果</v>
          </cell>
          <cell r="G48" t="str">
            <v>华硕高次</v>
          </cell>
          <cell r="H48">
            <v>48</v>
          </cell>
          <cell r="I48" t="str">
            <v>筐</v>
          </cell>
          <cell r="J48">
            <v>830.4</v>
          </cell>
          <cell r="K48" t="str">
            <v/>
          </cell>
          <cell r="L48" t="str">
            <v/>
          </cell>
          <cell r="M48" t="str">
            <v/>
          </cell>
          <cell r="N48" t="str">
            <v>公司杂周转筐</v>
          </cell>
          <cell r="O48" t="str">
            <v/>
          </cell>
          <cell r="P48" t="str">
            <v/>
          </cell>
          <cell r="Q48">
            <v>48</v>
          </cell>
          <cell r="R48" t="str">
            <v>豫L*88X19</v>
          </cell>
          <cell r="S48" t="str">
            <v>公司筐</v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</row>
        <row r="48"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</row>
        <row r="49">
          <cell r="B49">
            <v>46259</v>
          </cell>
          <cell r="C49" t="str">
            <v>马锦祥</v>
          </cell>
          <cell r="D49" t="str">
            <v>原料入库</v>
          </cell>
          <cell r="E49" t="str">
            <v>NO0000727</v>
          </cell>
          <cell r="F49" t="str">
            <v>苹果</v>
          </cell>
          <cell r="G49" t="str">
            <v>海棠果</v>
          </cell>
          <cell r="H49">
            <v>68</v>
          </cell>
          <cell r="I49" t="str">
            <v>筐</v>
          </cell>
          <cell r="J49">
            <v>204</v>
          </cell>
          <cell r="K49" t="str">
            <v/>
          </cell>
          <cell r="L49" t="str">
            <v/>
          </cell>
          <cell r="M49" t="str">
            <v/>
          </cell>
          <cell r="N49" t="str">
            <v>自备一次性筐</v>
          </cell>
          <cell r="O49" t="str">
            <v/>
          </cell>
          <cell r="P49" t="str">
            <v/>
          </cell>
          <cell r="Q49">
            <v>68</v>
          </cell>
          <cell r="R49" t="str">
            <v>新N*B6R39</v>
          </cell>
          <cell r="S49" t="str">
            <v>自备筐</v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</row>
        <row r="49"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</row>
        <row r="50">
          <cell r="B50">
            <v>46260</v>
          </cell>
          <cell r="C50" t="str">
            <v>聂新平</v>
          </cell>
          <cell r="D50" t="str">
            <v>原料入库</v>
          </cell>
          <cell r="E50" t="str">
            <v>NO0000729</v>
          </cell>
          <cell r="F50" t="str">
            <v>苹果</v>
          </cell>
          <cell r="G50" t="str">
            <v>嘎啦85#</v>
          </cell>
          <cell r="H50">
            <v>80</v>
          </cell>
          <cell r="I50" t="str">
            <v>筐</v>
          </cell>
          <cell r="J50">
            <v>1744</v>
          </cell>
          <cell r="K50" t="str">
            <v/>
          </cell>
          <cell r="L50" t="str">
            <v/>
          </cell>
          <cell r="M50" t="str">
            <v/>
          </cell>
          <cell r="N50" t="str">
            <v>自备一次性筐</v>
          </cell>
          <cell r="O50" t="str">
            <v/>
          </cell>
          <cell r="P50" t="str">
            <v/>
          </cell>
          <cell r="Q50">
            <v>80</v>
          </cell>
          <cell r="R50" t="str">
            <v>新N*E3V16</v>
          </cell>
          <cell r="S50" t="str">
            <v>自备筐</v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</row>
        <row r="50"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</row>
        <row r="51">
          <cell r="B51">
            <v>46260</v>
          </cell>
          <cell r="C51" t="str">
            <v>聂新平</v>
          </cell>
          <cell r="D51" t="str">
            <v>原料入库</v>
          </cell>
          <cell r="E51" t="str">
            <v>NO0000729</v>
          </cell>
          <cell r="F51" t="str">
            <v>苹果</v>
          </cell>
          <cell r="G51" t="str">
            <v>嘎啦100#</v>
          </cell>
          <cell r="H51">
            <v>132</v>
          </cell>
          <cell r="I51" t="str">
            <v>筐</v>
          </cell>
          <cell r="J51">
            <v>2877.6</v>
          </cell>
          <cell r="K51" t="str">
            <v/>
          </cell>
          <cell r="L51" t="str">
            <v/>
          </cell>
          <cell r="M51" t="str">
            <v/>
          </cell>
          <cell r="N51" t="str">
            <v>自备一次性筐</v>
          </cell>
          <cell r="O51" t="str">
            <v/>
          </cell>
          <cell r="P51" t="str">
            <v/>
          </cell>
          <cell r="Q51">
            <v>132</v>
          </cell>
          <cell r="R51" t="str">
            <v>新N*E3V16</v>
          </cell>
          <cell r="S51" t="str">
            <v>自备筐</v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</row>
        <row r="51"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</row>
        <row r="52">
          <cell r="B52">
            <v>46260</v>
          </cell>
          <cell r="C52" t="str">
            <v>王照雪</v>
          </cell>
          <cell r="D52" t="str">
            <v>原料入库</v>
          </cell>
          <cell r="E52" t="str">
            <v>NO0000732</v>
          </cell>
          <cell r="F52" t="str">
            <v>苹果</v>
          </cell>
          <cell r="G52" t="str">
            <v>华硕一级</v>
          </cell>
          <cell r="H52">
            <v>174</v>
          </cell>
          <cell r="I52" t="str">
            <v>筐</v>
          </cell>
          <cell r="J52">
            <v>3010.2</v>
          </cell>
          <cell r="K52" t="str">
            <v/>
          </cell>
          <cell r="L52" t="str">
            <v/>
          </cell>
          <cell r="M52" t="str">
            <v/>
          </cell>
          <cell r="N52" t="str">
            <v>公司杂周转筐</v>
          </cell>
          <cell r="O52" t="str">
            <v/>
          </cell>
          <cell r="P52" t="str">
            <v/>
          </cell>
          <cell r="Q52">
            <v>174</v>
          </cell>
          <cell r="R52" t="str">
            <v>豫L*88X19</v>
          </cell>
          <cell r="S52" t="str">
            <v>公司筐</v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</row>
        <row r="52"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</row>
        <row r="53">
          <cell r="B53">
            <v>46260</v>
          </cell>
          <cell r="C53" t="str">
            <v>王照雪</v>
          </cell>
          <cell r="D53" t="str">
            <v>原料入库</v>
          </cell>
          <cell r="E53" t="str">
            <v>NO0000732</v>
          </cell>
          <cell r="F53" t="str">
            <v>苹果</v>
          </cell>
          <cell r="G53" t="str">
            <v>华硕二级</v>
          </cell>
          <cell r="H53">
            <v>88</v>
          </cell>
          <cell r="I53" t="str">
            <v>筐</v>
          </cell>
          <cell r="J53">
            <v>1434.4</v>
          </cell>
          <cell r="K53" t="str">
            <v/>
          </cell>
          <cell r="L53" t="str">
            <v/>
          </cell>
          <cell r="M53" t="str">
            <v/>
          </cell>
          <cell r="N53" t="str">
            <v>公司杂周转筐</v>
          </cell>
          <cell r="O53" t="str">
            <v/>
          </cell>
          <cell r="P53" t="str">
            <v/>
          </cell>
          <cell r="Q53">
            <v>88</v>
          </cell>
          <cell r="R53" t="str">
            <v>豫L*88X19</v>
          </cell>
          <cell r="S53" t="str">
            <v>公司筐</v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</row>
        <row r="53"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</row>
        <row r="54">
          <cell r="B54">
            <v>46260</v>
          </cell>
          <cell r="C54" t="str">
            <v>王照雪</v>
          </cell>
          <cell r="D54" t="str">
            <v>原料入库</v>
          </cell>
          <cell r="E54" t="str">
            <v>NO0000732</v>
          </cell>
          <cell r="F54" t="str">
            <v>苹果</v>
          </cell>
          <cell r="G54" t="str">
            <v>华硕高次</v>
          </cell>
          <cell r="H54">
            <v>64</v>
          </cell>
          <cell r="I54" t="str">
            <v>筐</v>
          </cell>
          <cell r="J54">
            <v>1107.2</v>
          </cell>
          <cell r="K54" t="str">
            <v/>
          </cell>
          <cell r="L54" t="str">
            <v/>
          </cell>
          <cell r="M54" t="str">
            <v/>
          </cell>
          <cell r="N54" t="str">
            <v>公司杂周转筐</v>
          </cell>
          <cell r="O54" t="str">
            <v/>
          </cell>
          <cell r="P54" t="str">
            <v/>
          </cell>
          <cell r="Q54">
            <v>64</v>
          </cell>
          <cell r="R54" t="str">
            <v>豫L*88X19</v>
          </cell>
          <cell r="S54" t="str">
            <v>公司筐</v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</row>
        <row r="54"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</row>
        <row r="55">
          <cell r="B55">
            <v>46262</v>
          </cell>
          <cell r="C55" t="str">
            <v>聂新平</v>
          </cell>
          <cell r="D55" t="str">
            <v>原料入库</v>
          </cell>
          <cell r="E55" t="str">
            <v>NO0000737</v>
          </cell>
          <cell r="F55" t="str">
            <v>苹果</v>
          </cell>
          <cell r="G55" t="str">
            <v>嘎啦85#</v>
          </cell>
          <cell r="H55">
            <v>69</v>
          </cell>
          <cell r="I55" t="str">
            <v>筐</v>
          </cell>
          <cell r="J55">
            <v>1504.2</v>
          </cell>
          <cell r="K55" t="str">
            <v/>
          </cell>
          <cell r="L55" t="str">
            <v/>
          </cell>
          <cell r="M55" t="str">
            <v/>
          </cell>
          <cell r="N55" t="str">
            <v>自备一次性筐</v>
          </cell>
          <cell r="O55" t="str">
            <v/>
          </cell>
          <cell r="P55" t="str">
            <v/>
          </cell>
          <cell r="Q55">
            <v>69</v>
          </cell>
          <cell r="R55" t="str">
            <v>新N*E3V16</v>
          </cell>
          <cell r="S55" t="str">
            <v>自备筐</v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</row>
        <row r="55"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</row>
        <row r="56">
          <cell r="B56">
            <v>46262</v>
          </cell>
          <cell r="C56" t="str">
            <v>聂新平</v>
          </cell>
          <cell r="D56" t="str">
            <v>原料入库</v>
          </cell>
          <cell r="E56" t="str">
            <v>NO0000737</v>
          </cell>
          <cell r="F56" t="str">
            <v>苹果</v>
          </cell>
          <cell r="G56" t="str">
            <v>嘎啦100#</v>
          </cell>
          <cell r="H56">
            <v>175</v>
          </cell>
          <cell r="I56" t="str">
            <v>筐</v>
          </cell>
          <cell r="J56">
            <v>3815</v>
          </cell>
          <cell r="K56" t="str">
            <v/>
          </cell>
          <cell r="L56" t="str">
            <v/>
          </cell>
          <cell r="M56" t="str">
            <v/>
          </cell>
          <cell r="N56" t="str">
            <v>自备一次性筐</v>
          </cell>
          <cell r="O56" t="str">
            <v/>
          </cell>
          <cell r="P56" t="str">
            <v/>
          </cell>
          <cell r="Q56">
            <v>175</v>
          </cell>
          <cell r="R56" t="str">
            <v>新N*E3V16</v>
          </cell>
          <cell r="S56" t="str">
            <v>自备筐</v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</row>
        <row r="56"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</row>
        <row r="57">
          <cell r="B57">
            <v>46262</v>
          </cell>
          <cell r="C57" t="str">
            <v>聂新平</v>
          </cell>
          <cell r="D57" t="str">
            <v>原料入库</v>
          </cell>
          <cell r="E57" t="str">
            <v>NO0000738</v>
          </cell>
          <cell r="F57" t="str">
            <v>苹果</v>
          </cell>
          <cell r="G57" t="str">
            <v>嘎啦85#</v>
          </cell>
          <cell r="H57">
            <v>20</v>
          </cell>
          <cell r="I57" t="str">
            <v>筐</v>
          </cell>
          <cell r="J57">
            <v>436</v>
          </cell>
          <cell r="K57" t="str">
            <v/>
          </cell>
          <cell r="L57" t="str">
            <v/>
          </cell>
          <cell r="M57" t="str">
            <v/>
          </cell>
          <cell r="N57" t="str">
            <v>自备一次性筐</v>
          </cell>
          <cell r="O57" t="str">
            <v/>
          </cell>
          <cell r="P57" t="str">
            <v/>
          </cell>
          <cell r="Q57">
            <v>20</v>
          </cell>
          <cell r="R57" t="str">
            <v>苏M*7G796</v>
          </cell>
          <cell r="S57" t="str">
            <v>自备筐</v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</row>
        <row r="57"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</row>
        <row r="58">
          <cell r="B58">
            <v>46262</v>
          </cell>
          <cell r="C58" t="str">
            <v>王照雪</v>
          </cell>
          <cell r="D58" t="str">
            <v>原料入库</v>
          </cell>
          <cell r="E58" t="str">
            <v>NO0000739</v>
          </cell>
          <cell r="F58" t="str">
            <v>苹果</v>
          </cell>
          <cell r="G58" t="str">
            <v>华硕一级</v>
          </cell>
          <cell r="H58">
            <v>103</v>
          </cell>
          <cell r="I58" t="str">
            <v>筐</v>
          </cell>
          <cell r="J58">
            <v>1781.9</v>
          </cell>
          <cell r="K58" t="str">
            <v/>
          </cell>
          <cell r="L58" t="str">
            <v/>
          </cell>
          <cell r="M58" t="str">
            <v/>
          </cell>
          <cell r="N58" t="str">
            <v>公司杂周转筐</v>
          </cell>
          <cell r="O58" t="str">
            <v/>
          </cell>
          <cell r="P58" t="str">
            <v/>
          </cell>
          <cell r="Q58">
            <v>103</v>
          </cell>
          <cell r="R58" t="str">
            <v>豫L*88X19</v>
          </cell>
          <cell r="S58" t="str">
            <v>公司筐</v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</row>
        <row r="58"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</row>
        <row r="59">
          <cell r="B59">
            <v>46262</v>
          </cell>
          <cell r="C59" t="str">
            <v>王照雪</v>
          </cell>
          <cell r="D59" t="str">
            <v>原料入库</v>
          </cell>
          <cell r="E59" t="str">
            <v>NO0000739</v>
          </cell>
          <cell r="F59" t="str">
            <v>苹果</v>
          </cell>
          <cell r="G59" t="str">
            <v>华硕二级</v>
          </cell>
          <cell r="H59">
            <v>81</v>
          </cell>
          <cell r="I59" t="str">
            <v>筐</v>
          </cell>
          <cell r="J59">
            <v>1320.3</v>
          </cell>
          <cell r="K59" t="str">
            <v/>
          </cell>
          <cell r="L59" t="str">
            <v/>
          </cell>
          <cell r="M59" t="str">
            <v/>
          </cell>
          <cell r="N59" t="str">
            <v>公司杂周转筐</v>
          </cell>
          <cell r="O59" t="str">
            <v/>
          </cell>
          <cell r="P59" t="str">
            <v/>
          </cell>
          <cell r="Q59">
            <v>81</v>
          </cell>
          <cell r="R59" t="str">
            <v>豫L*88X19</v>
          </cell>
          <cell r="S59" t="str">
            <v>公司筐</v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</row>
        <row r="59"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</row>
        <row r="60">
          <cell r="B60">
            <v>46262</v>
          </cell>
          <cell r="C60" t="str">
            <v>王照雪</v>
          </cell>
          <cell r="D60" t="str">
            <v>原料入库</v>
          </cell>
          <cell r="E60" t="str">
            <v>NO0000739</v>
          </cell>
          <cell r="F60" t="str">
            <v>苹果</v>
          </cell>
          <cell r="G60" t="str">
            <v>华硕高次</v>
          </cell>
          <cell r="H60">
            <v>20</v>
          </cell>
          <cell r="I60" t="str">
            <v>筐</v>
          </cell>
          <cell r="J60">
            <v>346</v>
          </cell>
          <cell r="K60" t="str">
            <v/>
          </cell>
          <cell r="L60" t="str">
            <v/>
          </cell>
          <cell r="M60" t="str">
            <v/>
          </cell>
          <cell r="N60" t="str">
            <v>公司杂周转筐</v>
          </cell>
          <cell r="O60" t="str">
            <v/>
          </cell>
          <cell r="P60" t="str">
            <v/>
          </cell>
          <cell r="Q60">
            <v>20</v>
          </cell>
          <cell r="R60" t="str">
            <v>豫L*88X19</v>
          </cell>
          <cell r="S60" t="str">
            <v>公司筐</v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</row>
        <row r="60"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</row>
        <row r="61">
          <cell r="B61">
            <v>46263</v>
          </cell>
          <cell r="C61" t="str">
            <v>聂新平</v>
          </cell>
          <cell r="D61" t="str">
            <v>原料入库</v>
          </cell>
          <cell r="E61" t="str">
            <v>NO0000740</v>
          </cell>
          <cell r="F61" t="str">
            <v>苹果</v>
          </cell>
          <cell r="G61" t="str">
            <v>嘎啦85#</v>
          </cell>
          <cell r="H61">
            <v>22</v>
          </cell>
          <cell r="I61" t="str">
            <v>筐</v>
          </cell>
          <cell r="J61">
            <v>479.6</v>
          </cell>
          <cell r="K61" t="str">
            <v/>
          </cell>
          <cell r="L61" t="str">
            <v/>
          </cell>
          <cell r="M61" t="str">
            <v/>
          </cell>
          <cell r="N61" t="str">
            <v>自备一次性筐</v>
          </cell>
          <cell r="O61" t="str">
            <v/>
          </cell>
          <cell r="P61" t="str">
            <v/>
          </cell>
          <cell r="Q61">
            <v>22</v>
          </cell>
          <cell r="R61" t="str">
            <v>新N*E3V16</v>
          </cell>
          <cell r="S61" t="str">
            <v>自备筐</v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</row>
        <row r="61"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</row>
        <row r="62">
          <cell r="B62">
            <v>46263</v>
          </cell>
          <cell r="C62" t="str">
            <v>聂新平</v>
          </cell>
          <cell r="D62" t="str">
            <v>原料入库</v>
          </cell>
          <cell r="E62" t="str">
            <v>NO0000740</v>
          </cell>
          <cell r="F62" t="str">
            <v>苹果</v>
          </cell>
          <cell r="G62" t="str">
            <v>嘎啦100#</v>
          </cell>
          <cell r="H62">
            <v>48</v>
          </cell>
          <cell r="I62" t="str">
            <v>筐</v>
          </cell>
          <cell r="J62">
            <v>1046.4</v>
          </cell>
          <cell r="K62" t="str">
            <v/>
          </cell>
          <cell r="L62" t="str">
            <v/>
          </cell>
          <cell r="M62" t="str">
            <v/>
          </cell>
          <cell r="N62" t="str">
            <v>自备一次性筐</v>
          </cell>
          <cell r="O62" t="str">
            <v/>
          </cell>
          <cell r="P62" t="str">
            <v/>
          </cell>
          <cell r="Q62">
            <v>48</v>
          </cell>
          <cell r="R62" t="str">
            <v>新N*E3V16</v>
          </cell>
          <cell r="S62" t="str">
            <v>自备筐</v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</row>
        <row r="62"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</row>
        <row r="63">
          <cell r="B63">
            <v>46266</v>
          </cell>
          <cell r="C63" t="str">
            <v>聂新平</v>
          </cell>
          <cell r="D63" t="str">
            <v>原料入库</v>
          </cell>
          <cell r="E63" t="str">
            <v>NO0000741</v>
          </cell>
          <cell r="F63" t="str">
            <v>苹果</v>
          </cell>
          <cell r="G63" t="str">
            <v>嘎啦85#</v>
          </cell>
          <cell r="H63">
            <v>14</v>
          </cell>
          <cell r="I63" t="str">
            <v>筐</v>
          </cell>
          <cell r="J63">
            <v>305.2</v>
          </cell>
          <cell r="K63" t="str">
            <v/>
          </cell>
          <cell r="L63" t="str">
            <v/>
          </cell>
          <cell r="M63" t="str">
            <v/>
          </cell>
          <cell r="N63" t="str">
            <v>自备一次性筐</v>
          </cell>
          <cell r="O63" t="str">
            <v/>
          </cell>
          <cell r="P63" t="str">
            <v/>
          </cell>
          <cell r="Q63">
            <v>14</v>
          </cell>
          <cell r="R63" t="str">
            <v>苏M*7G796</v>
          </cell>
          <cell r="S63" t="str">
            <v>自备筐</v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</row>
        <row r="63"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</row>
        <row r="64">
          <cell r="B64">
            <v>46266</v>
          </cell>
          <cell r="C64" t="str">
            <v>王照雪</v>
          </cell>
          <cell r="D64" t="str">
            <v>原料入库</v>
          </cell>
          <cell r="E64" t="str">
            <v>NO0000742</v>
          </cell>
          <cell r="F64" t="str">
            <v>苹果</v>
          </cell>
          <cell r="G64" t="str">
            <v>华硕一级</v>
          </cell>
          <cell r="H64">
            <v>13</v>
          </cell>
          <cell r="I64" t="str">
            <v>筐</v>
          </cell>
          <cell r="J64">
            <v>224.9</v>
          </cell>
          <cell r="K64" t="str">
            <v/>
          </cell>
          <cell r="L64" t="str">
            <v/>
          </cell>
          <cell r="M64" t="str">
            <v/>
          </cell>
          <cell r="N64" t="str">
            <v>公司杂周转筐</v>
          </cell>
          <cell r="O64" t="str">
            <v/>
          </cell>
          <cell r="P64" t="str">
            <v/>
          </cell>
          <cell r="Q64">
            <v>13</v>
          </cell>
          <cell r="R64" t="str">
            <v>新N*D1W48</v>
          </cell>
          <cell r="S64" t="str">
            <v>公司筐</v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</row>
        <row r="64"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</row>
        <row r="65">
          <cell r="B65">
            <v>46266</v>
          </cell>
          <cell r="C65" t="str">
            <v>王照雪</v>
          </cell>
          <cell r="D65" t="str">
            <v>原料入库</v>
          </cell>
          <cell r="E65" t="str">
            <v>NO0000742</v>
          </cell>
          <cell r="F65" t="str">
            <v>苹果</v>
          </cell>
          <cell r="G65" t="str">
            <v>华硕二级</v>
          </cell>
          <cell r="H65">
            <v>27</v>
          </cell>
          <cell r="I65" t="str">
            <v>筐</v>
          </cell>
          <cell r="J65">
            <v>440.1</v>
          </cell>
          <cell r="K65" t="str">
            <v/>
          </cell>
          <cell r="L65" t="str">
            <v/>
          </cell>
          <cell r="M65" t="str">
            <v/>
          </cell>
          <cell r="N65" t="str">
            <v>公司杂周转筐</v>
          </cell>
          <cell r="O65" t="str">
            <v/>
          </cell>
          <cell r="P65" t="str">
            <v/>
          </cell>
          <cell r="Q65">
            <v>27</v>
          </cell>
          <cell r="R65" t="str">
            <v>新N*D1W48</v>
          </cell>
          <cell r="S65" t="str">
            <v>公司筐</v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</row>
        <row r="65"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</row>
        <row r="66">
          <cell r="B66">
            <v>46266</v>
          </cell>
          <cell r="C66" t="str">
            <v>王照雪</v>
          </cell>
          <cell r="D66" t="str">
            <v>原料入库</v>
          </cell>
          <cell r="E66" t="str">
            <v>NO0000742</v>
          </cell>
          <cell r="F66" t="str">
            <v>苹果</v>
          </cell>
          <cell r="G66" t="str">
            <v>华硕高次</v>
          </cell>
          <cell r="H66">
            <v>13</v>
          </cell>
          <cell r="I66" t="str">
            <v>筐</v>
          </cell>
          <cell r="J66">
            <v>224.9</v>
          </cell>
          <cell r="K66" t="str">
            <v/>
          </cell>
          <cell r="L66" t="str">
            <v/>
          </cell>
          <cell r="M66" t="str">
            <v/>
          </cell>
          <cell r="N66" t="str">
            <v>公司杂周转筐</v>
          </cell>
          <cell r="O66" t="str">
            <v/>
          </cell>
          <cell r="P66" t="str">
            <v/>
          </cell>
          <cell r="Q66">
            <v>13</v>
          </cell>
          <cell r="R66" t="str">
            <v>新N*D1W48</v>
          </cell>
          <cell r="S66" t="str">
            <v>公司筐</v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</row>
        <row r="66"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</row>
        <row r="67">
          <cell r="B67">
            <v>46252</v>
          </cell>
          <cell r="C67" t="str">
            <v>聂新平</v>
          </cell>
          <cell r="D67" t="str">
            <v>原料入库</v>
          </cell>
          <cell r="E67" t="str">
            <v>NO:0000775</v>
          </cell>
          <cell r="F67" t="str">
            <v>西梅</v>
          </cell>
          <cell r="G67" t="str">
            <v>西梅二级</v>
          </cell>
          <cell r="H67">
            <v>336</v>
          </cell>
          <cell r="I67" t="str">
            <v>筐</v>
          </cell>
          <cell r="J67">
            <v>672</v>
          </cell>
          <cell r="K67" t="str">
            <v/>
          </cell>
          <cell r="L67" t="str">
            <v/>
          </cell>
          <cell r="M67" t="str">
            <v/>
          </cell>
          <cell r="N67" t="str">
            <v>自备一次性筐</v>
          </cell>
          <cell r="O67" t="str">
            <v/>
          </cell>
          <cell r="P67" t="str">
            <v/>
          </cell>
          <cell r="Q67">
            <v>336</v>
          </cell>
          <cell r="R67" t="str">
            <v>苏M*7G796</v>
          </cell>
          <cell r="S67" t="str">
            <v>自备筐</v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</row>
        <row r="67"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</row>
        <row r="68">
          <cell r="B68">
            <v>46252</v>
          </cell>
          <cell r="C68" t="str">
            <v>聂新平</v>
          </cell>
          <cell r="D68" t="str">
            <v>原料入库</v>
          </cell>
          <cell r="E68" t="str">
            <v>NO:0000775</v>
          </cell>
          <cell r="F68" t="str">
            <v>西梅</v>
          </cell>
          <cell r="G68" t="str">
            <v>西梅三级</v>
          </cell>
          <cell r="H68">
            <v>96</v>
          </cell>
          <cell r="I68" t="str">
            <v>筐</v>
          </cell>
          <cell r="J68">
            <v>192</v>
          </cell>
          <cell r="K68" t="str">
            <v/>
          </cell>
          <cell r="L68" t="str">
            <v/>
          </cell>
          <cell r="M68" t="str">
            <v/>
          </cell>
          <cell r="N68" t="str">
            <v>自备一次性筐</v>
          </cell>
          <cell r="O68" t="str">
            <v/>
          </cell>
          <cell r="P68" t="str">
            <v/>
          </cell>
          <cell r="Q68">
            <v>96</v>
          </cell>
          <cell r="R68" t="str">
            <v>苏M*7G796</v>
          </cell>
          <cell r="S68" t="str">
            <v>自备筐</v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</row>
        <row r="68"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</row>
        <row r="69">
          <cell r="B69">
            <v>46252</v>
          </cell>
          <cell r="C69" t="str">
            <v>聂新平</v>
          </cell>
          <cell r="D69" t="str">
            <v>原料入库</v>
          </cell>
          <cell r="E69" t="str">
            <v>NO:0000701</v>
          </cell>
          <cell r="F69" t="str">
            <v>西梅</v>
          </cell>
          <cell r="G69" t="str">
            <v>西梅一级</v>
          </cell>
          <cell r="H69">
            <v>41</v>
          </cell>
          <cell r="I69" t="str">
            <v>筐</v>
          </cell>
          <cell r="J69">
            <v>287</v>
          </cell>
          <cell r="K69" t="str">
            <v/>
          </cell>
          <cell r="L69" t="str">
            <v/>
          </cell>
          <cell r="M69" t="str">
            <v/>
          </cell>
          <cell r="N69" t="str">
            <v>自备一次性筐</v>
          </cell>
          <cell r="O69" t="str">
            <v/>
          </cell>
          <cell r="P69" t="str">
            <v/>
          </cell>
          <cell r="Q69">
            <v>41</v>
          </cell>
          <cell r="R69" t="str">
            <v>苏M*7G796</v>
          </cell>
          <cell r="S69" t="str">
            <v>自备筐</v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</row>
        <row r="69"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</row>
        <row r="70">
          <cell r="B70">
            <v>46252</v>
          </cell>
          <cell r="C70" t="str">
            <v>聂新平</v>
          </cell>
          <cell r="D70" t="str">
            <v>原料入库</v>
          </cell>
          <cell r="E70" t="str">
            <v>NO:0000701</v>
          </cell>
          <cell r="F70" t="str">
            <v>西梅</v>
          </cell>
          <cell r="G70" t="str">
            <v>西梅二级</v>
          </cell>
          <cell r="H70">
            <v>71</v>
          </cell>
          <cell r="I70" t="str">
            <v>筐</v>
          </cell>
          <cell r="J70">
            <v>142</v>
          </cell>
          <cell r="K70" t="str">
            <v/>
          </cell>
          <cell r="L70" t="str">
            <v/>
          </cell>
          <cell r="M70" t="str">
            <v/>
          </cell>
          <cell r="N70" t="str">
            <v>自备一次性筐</v>
          </cell>
          <cell r="O70" t="str">
            <v/>
          </cell>
          <cell r="P70" t="str">
            <v/>
          </cell>
          <cell r="Q70">
            <v>71</v>
          </cell>
          <cell r="R70" t="str">
            <v>苏M*7G796</v>
          </cell>
          <cell r="S70" t="str">
            <v>自备筐</v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</row>
        <row r="70"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</row>
        <row r="71">
          <cell r="B71">
            <v>46252</v>
          </cell>
          <cell r="C71" t="str">
            <v>聂新平</v>
          </cell>
          <cell r="D71" t="str">
            <v>原料入库</v>
          </cell>
          <cell r="E71" t="str">
            <v>NO:0000701</v>
          </cell>
          <cell r="F71" t="str">
            <v>西梅</v>
          </cell>
          <cell r="G71" t="str">
            <v>西梅三级</v>
          </cell>
          <cell r="H71">
            <v>54</v>
          </cell>
          <cell r="I71" t="str">
            <v>筐</v>
          </cell>
          <cell r="J71">
            <v>108</v>
          </cell>
          <cell r="K71" t="str">
            <v/>
          </cell>
          <cell r="L71" t="str">
            <v/>
          </cell>
          <cell r="M71" t="str">
            <v/>
          </cell>
          <cell r="N71" t="str">
            <v>自备一次性筐</v>
          </cell>
          <cell r="O71" t="str">
            <v/>
          </cell>
          <cell r="P71" t="str">
            <v/>
          </cell>
          <cell r="Q71">
            <v>54</v>
          </cell>
          <cell r="R71" t="str">
            <v>苏M*7G796</v>
          </cell>
          <cell r="S71" t="str">
            <v>自备筐</v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</row>
        <row r="71"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</row>
        <row r="72">
          <cell r="B72">
            <v>46253</v>
          </cell>
          <cell r="C72" t="str">
            <v>聂新平</v>
          </cell>
          <cell r="D72" t="str">
            <v>原料入库</v>
          </cell>
          <cell r="E72" t="str">
            <v>NO:0000703</v>
          </cell>
          <cell r="F72" t="str">
            <v>西梅</v>
          </cell>
          <cell r="G72" t="str">
            <v>西梅二级</v>
          </cell>
          <cell r="H72">
            <v>432</v>
          </cell>
          <cell r="I72" t="str">
            <v>筐</v>
          </cell>
          <cell r="J72">
            <v>864</v>
          </cell>
          <cell r="K72" t="str">
            <v/>
          </cell>
          <cell r="L72" t="str">
            <v/>
          </cell>
          <cell r="M72" t="str">
            <v/>
          </cell>
          <cell r="N72" t="str">
            <v>自备一次性筐</v>
          </cell>
          <cell r="O72" t="str">
            <v/>
          </cell>
          <cell r="P72" t="str">
            <v/>
          </cell>
          <cell r="Q72">
            <v>432</v>
          </cell>
          <cell r="R72" t="str">
            <v>苏M*7G796</v>
          </cell>
          <cell r="S72" t="str">
            <v>自备筐</v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</row>
        <row r="72"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</row>
        <row r="73">
          <cell r="B73">
            <v>46253</v>
          </cell>
          <cell r="C73" t="str">
            <v>聂新平</v>
          </cell>
          <cell r="D73" t="str">
            <v>原料入库</v>
          </cell>
          <cell r="E73" t="str">
            <v>NO:0000703</v>
          </cell>
          <cell r="F73" t="str">
            <v>西梅</v>
          </cell>
          <cell r="G73" t="str">
            <v>西梅三级</v>
          </cell>
          <cell r="H73">
            <v>36</v>
          </cell>
          <cell r="I73" t="str">
            <v>筐</v>
          </cell>
          <cell r="J73">
            <v>72</v>
          </cell>
          <cell r="K73" t="str">
            <v/>
          </cell>
          <cell r="L73" t="str">
            <v/>
          </cell>
          <cell r="M73" t="str">
            <v/>
          </cell>
          <cell r="N73" t="str">
            <v>自备一次性筐</v>
          </cell>
          <cell r="O73" t="str">
            <v/>
          </cell>
          <cell r="P73" t="str">
            <v/>
          </cell>
          <cell r="Q73">
            <v>36</v>
          </cell>
          <cell r="R73" t="str">
            <v>苏M*7G796</v>
          </cell>
          <cell r="S73" t="str">
            <v>自备筐</v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</row>
        <row r="73"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</row>
        <row r="74">
          <cell r="B74">
            <v>46253</v>
          </cell>
          <cell r="C74" t="str">
            <v>聂新平</v>
          </cell>
          <cell r="D74" t="str">
            <v>原料入库</v>
          </cell>
          <cell r="E74" t="str">
            <v>NO:0000704</v>
          </cell>
          <cell r="F74" t="str">
            <v>西梅</v>
          </cell>
          <cell r="G74" t="str">
            <v>西梅二级</v>
          </cell>
          <cell r="H74">
            <v>305</v>
          </cell>
          <cell r="I74" t="str">
            <v>筐</v>
          </cell>
          <cell r="J74">
            <v>610</v>
          </cell>
          <cell r="K74" t="str">
            <v/>
          </cell>
          <cell r="L74" t="str">
            <v/>
          </cell>
          <cell r="M74" t="str">
            <v/>
          </cell>
          <cell r="N74" t="str">
            <v>自备一次性筐</v>
          </cell>
          <cell r="O74" t="str">
            <v/>
          </cell>
          <cell r="P74" t="str">
            <v/>
          </cell>
          <cell r="Q74">
            <v>305</v>
          </cell>
          <cell r="R74" t="str">
            <v>苏M*7G796</v>
          </cell>
          <cell r="S74" t="str">
            <v>自备筐</v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</row>
        <row r="74"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</row>
        <row r="75">
          <cell r="B75">
            <v>46253</v>
          </cell>
          <cell r="C75" t="str">
            <v>聂新平</v>
          </cell>
          <cell r="D75" t="str">
            <v>原料入库</v>
          </cell>
          <cell r="E75" t="str">
            <v>NO:0000704</v>
          </cell>
          <cell r="F75" t="str">
            <v>西梅</v>
          </cell>
          <cell r="G75" t="str">
            <v>西梅三级</v>
          </cell>
          <cell r="H75">
            <v>163</v>
          </cell>
          <cell r="I75" t="str">
            <v>筐</v>
          </cell>
          <cell r="J75">
            <v>326</v>
          </cell>
          <cell r="K75" t="str">
            <v/>
          </cell>
          <cell r="L75" t="str">
            <v/>
          </cell>
          <cell r="M75" t="str">
            <v/>
          </cell>
          <cell r="N75" t="str">
            <v>自备一次性筐</v>
          </cell>
          <cell r="O75" t="str">
            <v/>
          </cell>
          <cell r="P75" t="str">
            <v/>
          </cell>
          <cell r="Q75">
            <v>163</v>
          </cell>
          <cell r="R75" t="str">
            <v>苏M*7G796</v>
          </cell>
          <cell r="S75" t="str">
            <v>自备筐</v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</row>
        <row r="75"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</row>
        <row r="76">
          <cell r="B76">
            <v>46253</v>
          </cell>
          <cell r="C76" t="str">
            <v>聂新平</v>
          </cell>
          <cell r="D76" t="str">
            <v>原料入库</v>
          </cell>
          <cell r="E76" t="str">
            <v>NO:0000705</v>
          </cell>
          <cell r="F76" t="str">
            <v>西梅</v>
          </cell>
          <cell r="G76" t="str">
            <v>西梅一级</v>
          </cell>
          <cell r="H76">
            <v>105</v>
          </cell>
          <cell r="I76" t="str">
            <v>筐</v>
          </cell>
          <cell r="J76">
            <v>735</v>
          </cell>
          <cell r="K76" t="str">
            <v/>
          </cell>
          <cell r="L76" t="str">
            <v/>
          </cell>
          <cell r="M76" t="str">
            <v/>
          </cell>
          <cell r="N76" t="str">
            <v>自备一次性筐</v>
          </cell>
          <cell r="O76" t="str">
            <v/>
          </cell>
          <cell r="P76" t="str">
            <v/>
          </cell>
          <cell r="Q76">
            <v>105</v>
          </cell>
          <cell r="R76" t="str">
            <v>苏M*7G796</v>
          </cell>
          <cell r="S76" t="str">
            <v>自备筐</v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</row>
        <row r="76"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</row>
        <row r="77">
          <cell r="B77">
            <v>46253</v>
          </cell>
          <cell r="C77" t="str">
            <v>聂新平</v>
          </cell>
          <cell r="D77" t="str">
            <v>原料入库</v>
          </cell>
          <cell r="E77" t="str">
            <v>NO:0000705</v>
          </cell>
          <cell r="F77" t="str">
            <v>西梅</v>
          </cell>
          <cell r="G77" t="str">
            <v>西梅二级</v>
          </cell>
          <cell r="H77">
            <v>147</v>
          </cell>
          <cell r="I77" t="str">
            <v>筐</v>
          </cell>
          <cell r="J77">
            <v>294</v>
          </cell>
          <cell r="K77" t="str">
            <v/>
          </cell>
          <cell r="L77" t="str">
            <v/>
          </cell>
          <cell r="M77" t="str">
            <v/>
          </cell>
          <cell r="N77" t="str">
            <v>自备一次性筐</v>
          </cell>
          <cell r="O77" t="str">
            <v/>
          </cell>
          <cell r="P77" t="str">
            <v/>
          </cell>
          <cell r="Q77">
            <v>147</v>
          </cell>
          <cell r="R77" t="str">
            <v>苏M*7G796</v>
          </cell>
          <cell r="S77" t="str">
            <v>自备筐</v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</row>
        <row r="77"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</row>
        <row r="78">
          <cell r="B78">
            <v>46253</v>
          </cell>
          <cell r="C78" t="str">
            <v>聂新平</v>
          </cell>
          <cell r="D78" t="str">
            <v>原料入库</v>
          </cell>
          <cell r="E78" t="str">
            <v>NO:0000705</v>
          </cell>
          <cell r="F78" t="str">
            <v>西梅</v>
          </cell>
          <cell r="G78" t="str">
            <v>西梅三级</v>
          </cell>
          <cell r="H78">
            <v>107</v>
          </cell>
          <cell r="I78" t="str">
            <v>筐</v>
          </cell>
          <cell r="J78">
            <v>214</v>
          </cell>
          <cell r="K78" t="str">
            <v/>
          </cell>
          <cell r="L78" t="str">
            <v/>
          </cell>
          <cell r="M78" t="str">
            <v/>
          </cell>
          <cell r="N78" t="str">
            <v>自备一次性筐</v>
          </cell>
          <cell r="O78" t="str">
            <v/>
          </cell>
          <cell r="P78" t="str">
            <v/>
          </cell>
          <cell r="Q78">
            <v>107</v>
          </cell>
          <cell r="R78" t="str">
            <v>苏M*7G796</v>
          </cell>
          <cell r="S78" t="str">
            <v>自备筐</v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</row>
        <row r="78"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</row>
        <row r="79">
          <cell r="B79">
            <v>46254</v>
          </cell>
          <cell r="C79" t="str">
            <v>聂新平</v>
          </cell>
          <cell r="D79" t="str">
            <v>原料入库</v>
          </cell>
          <cell r="E79" t="str">
            <v>NO:0000706</v>
          </cell>
          <cell r="F79" t="str">
            <v>西梅</v>
          </cell>
          <cell r="G79" t="str">
            <v>西梅二级</v>
          </cell>
          <cell r="H79">
            <v>283</v>
          </cell>
          <cell r="I79" t="str">
            <v>筐</v>
          </cell>
          <cell r="J79">
            <v>566</v>
          </cell>
          <cell r="K79" t="str">
            <v/>
          </cell>
          <cell r="L79" t="str">
            <v/>
          </cell>
          <cell r="M79" t="str">
            <v/>
          </cell>
          <cell r="N79" t="str">
            <v>自备一次性筐</v>
          </cell>
          <cell r="O79" t="str">
            <v/>
          </cell>
          <cell r="P79" t="str">
            <v/>
          </cell>
          <cell r="Q79">
            <v>283</v>
          </cell>
          <cell r="R79" t="str">
            <v>苏M*7G796</v>
          </cell>
          <cell r="S79" t="str">
            <v>自备筐</v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</row>
        <row r="79"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</row>
        <row r="80">
          <cell r="B80">
            <v>46254</v>
          </cell>
          <cell r="C80" t="str">
            <v>聂新平</v>
          </cell>
          <cell r="D80" t="str">
            <v>原料入库</v>
          </cell>
          <cell r="E80" t="str">
            <v>NO:0000706</v>
          </cell>
          <cell r="F80" t="str">
            <v>西梅</v>
          </cell>
          <cell r="G80" t="str">
            <v>西梅三级</v>
          </cell>
          <cell r="H80">
            <v>185</v>
          </cell>
          <cell r="I80" t="str">
            <v>筐</v>
          </cell>
          <cell r="J80">
            <v>370</v>
          </cell>
          <cell r="K80" t="str">
            <v/>
          </cell>
          <cell r="L80" t="str">
            <v/>
          </cell>
          <cell r="M80" t="str">
            <v/>
          </cell>
          <cell r="N80" t="str">
            <v>自备一次性筐</v>
          </cell>
          <cell r="O80" t="str">
            <v/>
          </cell>
          <cell r="P80" t="str">
            <v/>
          </cell>
          <cell r="Q80">
            <v>185</v>
          </cell>
          <cell r="R80" t="str">
            <v>苏M*7G796</v>
          </cell>
          <cell r="S80" t="str">
            <v>自备筐</v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</row>
        <row r="80"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</row>
        <row r="81">
          <cell r="B81">
            <v>46254</v>
          </cell>
          <cell r="C81" t="str">
            <v>聂新平</v>
          </cell>
          <cell r="D81" t="str">
            <v>原料入库</v>
          </cell>
          <cell r="E81" t="str">
            <v>NO:0000707</v>
          </cell>
          <cell r="F81" t="str">
            <v>西梅</v>
          </cell>
          <cell r="G81" t="str">
            <v>西梅一级</v>
          </cell>
          <cell r="H81">
            <v>16</v>
          </cell>
          <cell r="I81" t="str">
            <v>筐</v>
          </cell>
          <cell r="J81">
            <v>112</v>
          </cell>
          <cell r="K81" t="str">
            <v/>
          </cell>
          <cell r="L81" t="str">
            <v/>
          </cell>
          <cell r="M81" t="str">
            <v/>
          </cell>
          <cell r="N81" t="str">
            <v>自备一次性筐</v>
          </cell>
          <cell r="O81" t="str">
            <v/>
          </cell>
          <cell r="P81" t="str">
            <v/>
          </cell>
          <cell r="Q81">
            <v>16</v>
          </cell>
          <cell r="R81" t="str">
            <v>苏M*7G796</v>
          </cell>
          <cell r="S81" t="str">
            <v>自备筐</v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</row>
        <row r="81"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</row>
        <row r="82">
          <cell r="B82">
            <v>46254</v>
          </cell>
          <cell r="C82" t="str">
            <v>聂新平</v>
          </cell>
          <cell r="D82" t="str">
            <v>原料入库</v>
          </cell>
          <cell r="E82" t="str">
            <v>NO:0000707</v>
          </cell>
          <cell r="F82" t="str">
            <v>西梅</v>
          </cell>
          <cell r="G82" t="str">
            <v>西梅三级</v>
          </cell>
          <cell r="H82">
            <v>28</v>
          </cell>
          <cell r="I82" t="str">
            <v>筐</v>
          </cell>
          <cell r="J82">
            <v>56</v>
          </cell>
          <cell r="K82" t="str">
            <v/>
          </cell>
          <cell r="L82" t="str">
            <v/>
          </cell>
          <cell r="M82" t="str">
            <v/>
          </cell>
          <cell r="N82" t="str">
            <v>自备一次性筐</v>
          </cell>
          <cell r="O82" t="str">
            <v/>
          </cell>
          <cell r="P82" t="str">
            <v/>
          </cell>
          <cell r="Q82">
            <v>28</v>
          </cell>
          <cell r="R82" t="str">
            <v>苏M*7G796</v>
          </cell>
          <cell r="S82" t="str">
            <v>自备筐</v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</row>
        <row r="82"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</row>
        <row r="83">
          <cell r="B83">
            <v>46254</v>
          </cell>
          <cell r="C83" t="str">
            <v>聂新平</v>
          </cell>
          <cell r="D83" t="str">
            <v>原料入库</v>
          </cell>
          <cell r="E83" t="str">
            <v>NO:0000707</v>
          </cell>
          <cell r="F83" t="str">
            <v>西梅</v>
          </cell>
          <cell r="G83" t="str">
            <v>西梅二级</v>
          </cell>
          <cell r="H83">
            <v>133</v>
          </cell>
          <cell r="I83" t="str">
            <v>筐</v>
          </cell>
          <cell r="J83">
            <v>1197</v>
          </cell>
          <cell r="K83" t="str">
            <v/>
          </cell>
          <cell r="L83" t="str">
            <v/>
          </cell>
          <cell r="M83" t="str">
            <v/>
          </cell>
          <cell r="N83" t="str">
            <v>自备一次性筐</v>
          </cell>
          <cell r="O83" t="str">
            <v/>
          </cell>
          <cell r="P83" t="str">
            <v/>
          </cell>
          <cell r="Q83">
            <v>133</v>
          </cell>
          <cell r="R83" t="str">
            <v>苏M*7G796</v>
          </cell>
          <cell r="S83" t="str">
            <v>自备筐</v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</row>
        <row r="83"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</row>
        <row r="84">
          <cell r="B84">
            <v>46254</v>
          </cell>
          <cell r="C84" t="str">
            <v>聂新平</v>
          </cell>
          <cell r="D84" t="str">
            <v>原料入库</v>
          </cell>
          <cell r="E84" t="str">
            <v>NO:0000708</v>
          </cell>
          <cell r="F84" t="str">
            <v>西梅</v>
          </cell>
          <cell r="G84" t="str">
            <v>西梅一级</v>
          </cell>
          <cell r="H84">
            <v>60</v>
          </cell>
          <cell r="I84" t="str">
            <v>筐</v>
          </cell>
          <cell r="J84">
            <v>420</v>
          </cell>
          <cell r="K84" t="str">
            <v/>
          </cell>
          <cell r="L84" t="str">
            <v/>
          </cell>
          <cell r="M84" t="str">
            <v/>
          </cell>
          <cell r="N84" t="str">
            <v>自备一次性筐</v>
          </cell>
          <cell r="O84" t="str">
            <v/>
          </cell>
          <cell r="P84" t="str">
            <v/>
          </cell>
          <cell r="Q84">
            <v>60</v>
          </cell>
          <cell r="R84" t="str">
            <v>苏M*7G796</v>
          </cell>
          <cell r="S84" t="str">
            <v>自备筐</v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</row>
        <row r="84"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</row>
        <row r="85">
          <cell r="B85">
            <v>46254</v>
          </cell>
          <cell r="C85" t="str">
            <v>聂新平</v>
          </cell>
          <cell r="D85" t="str">
            <v>原料入库</v>
          </cell>
          <cell r="E85" t="str">
            <v>NO:0000708</v>
          </cell>
          <cell r="F85" t="str">
            <v>西梅</v>
          </cell>
          <cell r="G85" t="str">
            <v>西梅二级</v>
          </cell>
          <cell r="H85">
            <v>185</v>
          </cell>
          <cell r="I85" t="str">
            <v>筐</v>
          </cell>
          <cell r="J85">
            <v>370</v>
          </cell>
          <cell r="K85" t="str">
            <v/>
          </cell>
          <cell r="L85" t="str">
            <v/>
          </cell>
          <cell r="M85" t="str">
            <v/>
          </cell>
          <cell r="N85" t="str">
            <v>自备一次性筐</v>
          </cell>
          <cell r="O85" t="str">
            <v/>
          </cell>
          <cell r="P85" t="str">
            <v/>
          </cell>
          <cell r="Q85">
            <v>185</v>
          </cell>
          <cell r="R85" t="str">
            <v>苏M*7G796</v>
          </cell>
          <cell r="S85" t="str">
            <v>自备筐</v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</row>
        <row r="85"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</row>
        <row r="86">
          <cell r="B86">
            <v>46254</v>
          </cell>
          <cell r="C86" t="str">
            <v>聂新平</v>
          </cell>
          <cell r="D86" t="str">
            <v>原料入库</v>
          </cell>
          <cell r="E86" t="str">
            <v>NO:0000708</v>
          </cell>
          <cell r="F86" t="str">
            <v>西梅</v>
          </cell>
          <cell r="G86" t="str">
            <v>西梅三级</v>
          </cell>
          <cell r="H86">
            <v>115</v>
          </cell>
          <cell r="I86" t="str">
            <v>筐</v>
          </cell>
          <cell r="J86">
            <v>230</v>
          </cell>
          <cell r="K86" t="str">
            <v/>
          </cell>
          <cell r="L86" t="str">
            <v/>
          </cell>
          <cell r="M86" t="str">
            <v/>
          </cell>
          <cell r="N86" t="str">
            <v>自备一次性筐</v>
          </cell>
          <cell r="O86" t="str">
            <v/>
          </cell>
          <cell r="P86" t="str">
            <v/>
          </cell>
          <cell r="Q86">
            <v>115</v>
          </cell>
          <cell r="R86" t="str">
            <v>苏M*7G796</v>
          </cell>
          <cell r="S86" t="str">
            <v>自备筐</v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</row>
        <row r="86"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</row>
        <row r="87">
          <cell r="B87">
            <v>46255</v>
          </cell>
          <cell r="C87" t="str">
            <v>聂新平</v>
          </cell>
          <cell r="D87" t="str">
            <v>原料入库</v>
          </cell>
          <cell r="E87" t="str">
            <v>NO:0000709</v>
          </cell>
          <cell r="F87" t="str">
            <v>西梅</v>
          </cell>
          <cell r="G87" t="str">
            <v>西梅一级</v>
          </cell>
          <cell r="H87">
            <v>50</v>
          </cell>
          <cell r="I87" t="str">
            <v>筐</v>
          </cell>
          <cell r="J87">
            <v>350</v>
          </cell>
          <cell r="K87" t="str">
            <v/>
          </cell>
          <cell r="L87" t="str">
            <v/>
          </cell>
          <cell r="M87" t="str">
            <v/>
          </cell>
          <cell r="N87" t="str">
            <v>自备一次性筐</v>
          </cell>
          <cell r="O87" t="str">
            <v/>
          </cell>
          <cell r="P87" t="str">
            <v/>
          </cell>
          <cell r="Q87">
            <v>50</v>
          </cell>
          <cell r="R87" t="str">
            <v>苏M*7G796</v>
          </cell>
          <cell r="S87" t="str">
            <v>自备筐</v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</row>
        <row r="87"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</row>
        <row r="88">
          <cell r="B88">
            <v>46255</v>
          </cell>
          <cell r="C88" t="str">
            <v>聂新平</v>
          </cell>
          <cell r="D88" t="str">
            <v>原料入库</v>
          </cell>
          <cell r="E88" t="str">
            <v>NO:0000709</v>
          </cell>
          <cell r="F88" t="str">
            <v>西梅</v>
          </cell>
          <cell r="G88" t="str">
            <v>西梅二级</v>
          </cell>
          <cell r="H88">
            <v>28</v>
          </cell>
          <cell r="I88" t="str">
            <v>筐</v>
          </cell>
          <cell r="J88">
            <v>252</v>
          </cell>
          <cell r="K88" t="str">
            <v/>
          </cell>
          <cell r="L88" t="str">
            <v/>
          </cell>
          <cell r="M88" t="str">
            <v/>
          </cell>
          <cell r="N88" t="str">
            <v>自备一次性筐</v>
          </cell>
          <cell r="O88" t="str">
            <v/>
          </cell>
          <cell r="P88" t="str">
            <v/>
          </cell>
          <cell r="Q88">
            <v>28</v>
          </cell>
          <cell r="R88" t="str">
            <v>苏M*7G796</v>
          </cell>
          <cell r="S88" t="str">
            <v>自备筐</v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</row>
        <row r="88"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</row>
        <row r="89">
          <cell r="B89">
            <v>46255</v>
          </cell>
          <cell r="C89" t="str">
            <v>聂新平</v>
          </cell>
          <cell r="D89" t="str">
            <v>原料入库</v>
          </cell>
          <cell r="E89" t="str">
            <v>NO:0000709</v>
          </cell>
          <cell r="F89" t="str">
            <v>西梅</v>
          </cell>
          <cell r="G89" t="str">
            <v>西梅二级</v>
          </cell>
          <cell r="H89">
            <v>70</v>
          </cell>
          <cell r="I89" t="str">
            <v>筐</v>
          </cell>
          <cell r="J89">
            <v>140</v>
          </cell>
          <cell r="K89" t="str">
            <v/>
          </cell>
          <cell r="L89" t="str">
            <v/>
          </cell>
          <cell r="M89" t="str">
            <v/>
          </cell>
          <cell r="N89" t="str">
            <v>自备一次性筐</v>
          </cell>
          <cell r="O89" t="str">
            <v/>
          </cell>
          <cell r="P89" t="str">
            <v/>
          </cell>
          <cell r="Q89">
            <v>70</v>
          </cell>
          <cell r="R89" t="str">
            <v>苏M*7G796</v>
          </cell>
          <cell r="S89" t="str">
            <v>自备筐</v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</row>
        <row r="89"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</row>
        <row r="90">
          <cell r="B90">
            <v>46255</v>
          </cell>
          <cell r="C90" t="str">
            <v>聂新平</v>
          </cell>
          <cell r="D90" t="str">
            <v>原料入库</v>
          </cell>
          <cell r="E90" t="str">
            <v>NO:0000709</v>
          </cell>
          <cell r="F90" t="str">
            <v>西梅</v>
          </cell>
          <cell r="G90" t="str">
            <v>西梅三级</v>
          </cell>
          <cell r="H90">
            <v>182</v>
          </cell>
          <cell r="I90" t="str">
            <v>筐</v>
          </cell>
          <cell r="J90">
            <v>364</v>
          </cell>
          <cell r="K90" t="str">
            <v/>
          </cell>
          <cell r="L90" t="str">
            <v/>
          </cell>
          <cell r="M90" t="str">
            <v/>
          </cell>
          <cell r="N90" t="str">
            <v>自备一次性筐</v>
          </cell>
          <cell r="O90" t="str">
            <v/>
          </cell>
          <cell r="P90" t="str">
            <v/>
          </cell>
          <cell r="Q90">
            <v>182</v>
          </cell>
          <cell r="R90" t="str">
            <v>苏M*7G796</v>
          </cell>
          <cell r="S90" t="str">
            <v>自备筐</v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</row>
        <row r="90"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</row>
        <row r="91">
          <cell r="B91">
            <v>46255</v>
          </cell>
          <cell r="C91" t="str">
            <v>聂新平</v>
          </cell>
          <cell r="D91" t="str">
            <v>原料入库</v>
          </cell>
          <cell r="E91" t="str">
            <v>NO:0000711</v>
          </cell>
          <cell r="F91" t="str">
            <v>西梅</v>
          </cell>
          <cell r="G91" t="str">
            <v>西梅一级</v>
          </cell>
          <cell r="H91">
            <v>95</v>
          </cell>
          <cell r="I91" t="str">
            <v>筐</v>
          </cell>
          <cell r="J91">
            <v>665</v>
          </cell>
          <cell r="K91" t="str">
            <v/>
          </cell>
          <cell r="L91" t="str">
            <v/>
          </cell>
          <cell r="M91" t="str">
            <v/>
          </cell>
          <cell r="N91" t="str">
            <v>自备一次性筐</v>
          </cell>
          <cell r="O91" t="str">
            <v/>
          </cell>
          <cell r="P91" t="str">
            <v/>
          </cell>
          <cell r="Q91">
            <v>95</v>
          </cell>
          <cell r="R91" t="str">
            <v>新N*SQ607</v>
          </cell>
          <cell r="S91" t="str">
            <v>自备筐</v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</row>
        <row r="91"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</row>
        <row r="92">
          <cell r="B92">
            <v>46255</v>
          </cell>
          <cell r="C92" t="str">
            <v>聂新平</v>
          </cell>
          <cell r="D92" t="str">
            <v>原料入库</v>
          </cell>
          <cell r="E92" t="str">
            <v>NO:0000711</v>
          </cell>
          <cell r="F92" t="str">
            <v>西梅</v>
          </cell>
          <cell r="G92" t="str">
            <v>西梅二级</v>
          </cell>
          <cell r="H92">
            <v>35</v>
          </cell>
          <cell r="I92" t="str">
            <v>筐</v>
          </cell>
          <cell r="J92">
            <v>315</v>
          </cell>
          <cell r="K92" t="str">
            <v/>
          </cell>
          <cell r="L92" t="str">
            <v/>
          </cell>
          <cell r="M92" t="str">
            <v/>
          </cell>
          <cell r="N92" t="str">
            <v>自备一次性筐</v>
          </cell>
          <cell r="O92" t="str">
            <v/>
          </cell>
          <cell r="P92" t="str">
            <v/>
          </cell>
          <cell r="Q92">
            <v>35</v>
          </cell>
          <cell r="R92" t="str">
            <v>新N*SQ607</v>
          </cell>
          <cell r="S92" t="str">
            <v>自备筐</v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</row>
        <row r="92"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</row>
        <row r="93">
          <cell r="B93">
            <v>46255</v>
          </cell>
          <cell r="C93" t="str">
            <v>聂新平</v>
          </cell>
          <cell r="D93" t="str">
            <v>原料入库</v>
          </cell>
          <cell r="E93" t="str">
            <v>NO:0000711</v>
          </cell>
          <cell r="F93" t="str">
            <v>西梅</v>
          </cell>
          <cell r="G93" t="str">
            <v>西梅二级</v>
          </cell>
          <cell r="H93">
            <v>783</v>
          </cell>
          <cell r="I93" t="str">
            <v>筐</v>
          </cell>
          <cell r="J93">
            <v>1566</v>
          </cell>
          <cell r="K93" t="str">
            <v/>
          </cell>
          <cell r="L93" t="str">
            <v/>
          </cell>
          <cell r="M93" t="str">
            <v/>
          </cell>
          <cell r="N93" t="str">
            <v>自备一次性筐</v>
          </cell>
          <cell r="O93" t="str">
            <v/>
          </cell>
          <cell r="P93" t="str">
            <v/>
          </cell>
          <cell r="Q93">
            <v>783</v>
          </cell>
          <cell r="R93" t="str">
            <v>新N*SQ607</v>
          </cell>
          <cell r="S93" t="str">
            <v>自备筐</v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</row>
        <row r="93"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</row>
        <row r="94">
          <cell r="B94">
            <v>46255</v>
          </cell>
          <cell r="C94" t="str">
            <v>聂新平</v>
          </cell>
          <cell r="D94" t="str">
            <v>原料入库</v>
          </cell>
          <cell r="E94" t="str">
            <v>NO:0000711</v>
          </cell>
          <cell r="F94" t="str">
            <v>西梅</v>
          </cell>
          <cell r="G94" t="str">
            <v>西梅三级</v>
          </cell>
          <cell r="H94">
            <v>264</v>
          </cell>
          <cell r="I94" t="str">
            <v>筐</v>
          </cell>
          <cell r="J94">
            <v>528</v>
          </cell>
          <cell r="K94" t="str">
            <v/>
          </cell>
          <cell r="L94" t="str">
            <v/>
          </cell>
          <cell r="M94" t="str">
            <v/>
          </cell>
          <cell r="N94" t="str">
            <v>自备一次性筐</v>
          </cell>
          <cell r="O94" t="str">
            <v/>
          </cell>
          <cell r="P94" t="str">
            <v/>
          </cell>
          <cell r="Q94">
            <v>264</v>
          </cell>
          <cell r="R94" t="str">
            <v>新N*SQ607</v>
          </cell>
          <cell r="S94" t="str">
            <v>自备筐</v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</row>
        <row r="94"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</row>
        <row r="95">
          <cell r="B95">
            <v>46256</v>
          </cell>
          <cell r="C95" t="str">
            <v>聂新平</v>
          </cell>
          <cell r="D95" t="str">
            <v>原料入库</v>
          </cell>
          <cell r="E95" t="str">
            <v>NO:0000712</v>
          </cell>
          <cell r="F95" t="str">
            <v>西梅</v>
          </cell>
          <cell r="G95" t="str">
            <v>西梅一级</v>
          </cell>
          <cell r="H95">
            <v>27</v>
          </cell>
          <cell r="I95" t="str">
            <v>筐</v>
          </cell>
          <cell r="J95">
            <v>189</v>
          </cell>
          <cell r="K95" t="str">
            <v/>
          </cell>
          <cell r="L95" t="str">
            <v/>
          </cell>
          <cell r="M95" t="str">
            <v/>
          </cell>
          <cell r="N95" t="str">
            <v>自备一次性筐</v>
          </cell>
          <cell r="O95" t="str">
            <v/>
          </cell>
          <cell r="P95" t="str">
            <v/>
          </cell>
          <cell r="Q95">
            <v>27</v>
          </cell>
          <cell r="R95" t="str">
            <v>苏M*7G796</v>
          </cell>
          <cell r="S95" t="str">
            <v>自备筐</v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</row>
        <row r="95"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</row>
        <row r="96">
          <cell r="B96">
            <v>46256</v>
          </cell>
          <cell r="C96" t="str">
            <v>聂新平</v>
          </cell>
          <cell r="D96" t="str">
            <v>原料入库</v>
          </cell>
          <cell r="E96" t="str">
            <v>NO:0000712</v>
          </cell>
          <cell r="F96" t="str">
            <v>西梅</v>
          </cell>
          <cell r="G96" t="str">
            <v>西梅二级</v>
          </cell>
          <cell r="H96">
            <v>78</v>
          </cell>
          <cell r="I96" t="str">
            <v>筐</v>
          </cell>
          <cell r="J96">
            <v>936</v>
          </cell>
          <cell r="K96" t="str">
            <v/>
          </cell>
          <cell r="L96" t="str">
            <v/>
          </cell>
          <cell r="M96" t="str">
            <v/>
          </cell>
          <cell r="N96" t="str">
            <v>自备一次性筐</v>
          </cell>
          <cell r="O96" t="str">
            <v/>
          </cell>
          <cell r="P96" t="str">
            <v/>
          </cell>
          <cell r="Q96">
            <v>78</v>
          </cell>
          <cell r="R96" t="str">
            <v>苏M*7G796</v>
          </cell>
          <cell r="S96" t="str">
            <v>自备筐</v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</row>
        <row r="96"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</row>
        <row r="97">
          <cell r="B97">
            <v>46256</v>
          </cell>
          <cell r="C97" t="str">
            <v>聂新平</v>
          </cell>
          <cell r="D97" t="str">
            <v>原料入库</v>
          </cell>
          <cell r="E97" t="str">
            <v>NO:0000714</v>
          </cell>
          <cell r="F97" t="str">
            <v>西梅</v>
          </cell>
          <cell r="G97" t="str">
            <v>西梅一级</v>
          </cell>
          <cell r="H97">
            <v>189</v>
          </cell>
          <cell r="I97" t="str">
            <v>筐</v>
          </cell>
          <cell r="J97">
            <v>1323</v>
          </cell>
          <cell r="K97" t="str">
            <v/>
          </cell>
          <cell r="L97" t="str">
            <v/>
          </cell>
          <cell r="M97" t="str">
            <v/>
          </cell>
          <cell r="N97" t="str">
            <v>自备一次性筐</v>
          </cell>
          <cell r="O97" t="str">
            <v/>
          </cell>
          <cell r="P97" t="str">
            <v/>
          </cell>
          <cell r="Q97">
            <v>189</v>
          </cell>
          <cell r="R97" t="str">
            <v>新N*SQ607</v>
          </cell>
          <cell r="S97" t="str">
            <v>自备筐</v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</row>
        <row r="97"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</row>
        <row r="98">
          <cell r="B98">
            <v>46256</v>
          </cell>
          <cell r="C98" t="str">
            <v>聂新平</v>
          </cell>
          <cell r="D98" t="str">
            <v>原料入库</v>
          </cell>
          <cell r="E98" t="str">
            <v>NO:0000714</v>
          </cell>
          <cell r="F98" t="str">
            <v>西梅</v>
          </cell>
          <cell r="G98" t="str">
            <v>西梅二级</v>
          </cell>
          <cell r="H98">
            <v>111</v>
          </cell>
          <cell r="I98" t="str">
            <v>筐</v>
          </cell>
          <cell r="J98">
            <v>1332</v>
          </cell>
          <cell r="K98" t="str">
            <v/>
          </cell>
          <cell r="L98" t="str">
            <v/>
          </cell>
          <cell r="M98" t="str">
            <v/>
          </cell>
          <cell r="N98" t="str">
            <v>自备一次性筐</v>
          </cell>
          <cell r="O98" t="str">
            <v/>
          </cell>
          <cell r="P98" t="str">
            <v/>
          </cell>
          <cell r="Q98">
            <v>111</v>
          </cell>
          <cell r="R98" t="str">
            <v>新N*SQ607</v>
          </cell>
          <cell r="S98" t="str">
            <v>自备筐</v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</row>
        <row r="98"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</row>
        <row r="99">
          <cell r="B99">
            <v>46256</v>
          </cell>
          <cell r="C99" t="str">
            <v>聂新平</v>
          </cell>
          <cell r="D99" t="str">
            <v>原料入库</v>
          </cell>
          <cell r="E99" t="str">
            <v>NO:0000714</v>
          </cell>
          <cell r="F99" t="str">
            <v>西梅</v>
          </cell>
          <cell r="G99" t="str">
            <v>西梅二级</v>
          </cell>
          <cell r="H99">
            <v>253</v>
          </cell>
          <cell r="I99" t="str">
            <v>筐</v>
          </cell>
          <cell r="J99">
            <v>506</v>
          </cell>
          <cell r="K99" t="str">
            <v/>
          </cell>
          <cell r="L99" t="str">
            <v/>
          </cell>
          <cell r="M99" t="str">
            <v/>
          </cell>
          <cell r="N99" t="str">
            <v>自备一次性筐</v>
          </cell>
          <cell r="O99" t="str">
            <v/>
          </cell>
          <cell r="P99" t="str">
            <v/>
          </cell>
          <cell r="Q99">
            <v>253</v>
          </cell>
          <cell r="R99" t="str">
            <v>新N*SQ607</v>
          </cell>
          <cell r="S99" t="str">
            <v>自备筐</v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</row>
        <row r="99"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</row>
        <row r="100">
          <cell r="B100">
            <v>46256</v>
          </cell>
          <cell r="C100" t="str">
            <v>聂新平</v>
          </cell>
          <cell r="D100" t="str">
            <v>原料入库</v>
          </cell>
          <cell r="E100" t="str">
            <v>NO:0000714</v>
          </cell>
          <cell r="F100" t="str">
            <v>西梅</v>
          </cell>
          <cell r="G100" t="str">
            <v>西梅三级</v>
          </cell>
          <cell r="H100">
            <v>408</v>
          </cell>
          <cell r="I100" t="str">
            <v>筐</v>
          </cell>
          <cell r="J100">
            <v>816</v>
          </cell>
          <cell r="K100" t="str">
            <v/>
          </cell>
          <cell r="L100" t="str">
            <v/>
          </cell>
          <cell r="M100" t="str">
            <v/>
          </cell>
          <cell r="N100" t="str">
            <v>自备一次性筐</v>
          </cell>
          <cell r="O100" t="str">
            <v/>
          </cell>
          <cell r="P100" t="str">
            <v/>
          </cell>
          <cell r="Q100">
            <v>408</v>
          </cell>
          <cell r="R100" t="str">
            <v>新N*SQ607</v>
          </cell>
          <cell r="S100" t="str">
            <v>自备筐</v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</row>
        <row r="100"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</row>
        <row r="101">
          <cell r="B101">
            <v>46257</v>
          </cell>
          <cell r="C101" t="str">
            <v>聂新平</v>
          </cell>
          <cell r="D101" t="str">
            <v>原料入库</v>
          </cell>
          <cell r="E101" t="str">
            <v>NO:0000716</v>
          </cell>
          <cell r="F101" t="str">
            <v>西梅</v>
          </cell>
          <cell r="G101" t="str">
            <v>西梅一级</v>
          </cell>
          <cell r="H101">
            <v>81</v>
          </cell>
          <cell r="I101" t="str">
            <v>筐</v>
          </cell>
          <cell r="J101">
            <v>567</v>
          </cell>
          <cell r="K101" t="str">
            <v/>
          </cell>
          <cell r="L101" t="str">
            <v/>
          </cell>
          <cell r="M101" t="str">
            <v/>
          </cell>
          <cell r="N101" t="str">
            <v>自备一次性筐</v>
          </cell>
          <cell r="O101" t="str">
            <v/>
          </cell>
          <cell r="P101" t="str">
            <v/>
          </cell>
          <cell r="Q101">
            <v>81</v>
          </cell>
          <cell r="R101" t="str">
            <v>苏M*7G796</v>
          </cell>
          <cell r="S101" t="str">
            <v>自备筐</v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</row>
        <row r="101"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</row>
        <row r="102">
          <cell r="B102">
            <v>46257</v>
          </cell>
          <cell r="C102" t="str">
            <v>聂新平</v>
          </cell>
          <cell r="D102" t="str">
            <v>原料入库</v>
          </cell>
          <cell r="E102" t="str">
            <v>NO:0000716</v>
          </cell>
          <cell r="F102" t="str">
            <v>西梅</v>
          </cell>
          <cell r="G102" t="str">
            <v>西梅二级</v>
          </cell>
          <cell r="H102">
            <v>36</v>
          </cell>
          <cell r="I102" t="str">
            <v>筐</v>
          </cell>
          <cell r="J102">
            <v>432</v>
          </cell>
          <cell r="K102" t="str">
            <v/>
          </cell>
          <cell r="L102" t="str">
            <v/>
          </cell>
          <cell r="M102" t="str">
            <v/>
          </cell>
          <cell r="N102" t="str">
            <v>自备一次性筐</v>
          </cell>
          <cell r="O102" t="str">
            <v/>
          </cell>
          <cell r="P102" t="str">
            <v/>
          </cell>
          <cell r="Q102">
            <v>36</v>
          </cell>
          <cell r="R102" t="str">
            <v>苏M*7G796</v>
          </cell>
          <cell r="S102" t="str">
            <v>自备筐</v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</row>
        <row r="102"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</row>
        <row r="103">
          <cell r="B103">
            <v>46257</v>
          </cell>
          <cell r="C103" t="str">
            <v>聂新平</v>
          </cell>
          <cell r="D103" t="str">
            <v>原料入库</v>
          </cell>
          <cell r="E103" t="str">
            <v>NO:0000716</v>
          </cell>
          <cell r="F103" t="str">
            <v>西梅</v>
          </cell>
          <cell r="G103" t="str">
            <v>西梅三级</v>
          </cell>
          <cell r="H103">
            <v>13</v>
          </cell>
          <cell r="I103" t="str">
            <v>筐</v>
          </cell>
          <cell r="J103">
            <v>26</v>
          </cell>
          <cell r="K103" t="str">
            <v/>
          </cell>
          <cell r="L103" t="str">
            <v/>
          </cell>
          <cell r="M103" t="str">
            <v/>
          </cell>
          <cell r="N103" t="str">
            <v>自备一次性筐</v>
          </cell>
          <cell r="O103" t="str">
            <v/>
          </cell>
          <cell r="P103" t="str">
            <v/>
          </cell>
          <cell r="Q103">
            <v>13</v>
          </cell>
          <cell r="R103" t="str">
            <v>苏M*7G796</v>
          </cell>
          <cell r="S103" t="str">
            <v>自备筐</v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</row>
        <row r="103"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</row>
        <row r="104">
          <cell r="B104">
            <v>46257</v>
          </cell>
          <cell r="C104" t="str">
            <v>聂新平</v>
          </cell>
          <cell r="D104" t="str">
            <v>原料入库</v>
          </cell>
          <cell r="E104" t="str">
            <v>NO:0000717</v>
          </cell>
          <cell r="F104" t="str">
            <v>西梅</v>
          </cell>
          <cell r="G104" t="str">
            <v>西梅一级</v>
          </cell>
          <cell r="H104">
            <v>73</v>
          </cell>
          <cell r="I104" t="str">
            <v>筐</v>
          </cell>
          <cell r="J104">
            <v>511</v>
          </cell>
          <cell r="K104" t="str">
            <v/>
          </cell>
          <cell r="L104" t="str">
            <v/>
          </cell>
          <cell r="M104" t="str">
            <v/>
          </cell>
          <cell r="N104" t="str">
            <v>自备一次性筐</v>
          </cell>
          <cell r="O104" t="str">
            <v/>
          </cell>
          <cell r="P104" t="str">
            <v/>
          </cell>
          <cell r="Q104">
            <v>73</v>
          </cell>
          <cell r="R104" t="str">
            <v>新N*SQ607</v>
          </cell>
          <cell r="S104" t="str">
            <v>自备筐</v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</row>
        <row r="104"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</row>
        <row r="105">
          <cell r="B105">
            <v>46257</v>
          </cell>
          <cell r="C105" t="str">
            <v>聂新平</v>
          </cell>
          <cell r="D105" t="str">
            <v>原料入库</v>
          </cell>
          <cell r="E105" t="str">
            <v>NO:0000717</v>
          </cell>
          <cell r="F105" t="str">
            <v>西梅</v>
          </cell>
          <cell r="G105" t="str">
            <v>西梅二级</v>
          </cell>
          <cell r="H105">
            <v>140</v>
          </cell>
          <cell r="I105" t="str">
            <v>筐</v>
          </cell>
          <cell r="J105">
            <v>1680</v>
          </cell>
          <cell r="K105" t="str">
            <v/>
          </cell>
          <cell r="L105" t="str">
            <v/>
          </cell>
          <cell r="M105" t="str">
            <v/>
          </cell>
          <cell r="N105" t="str">
            <v>自备一次性筐</v>
          </cell>
          <cell r="O105" t="str">
            <v/>
          </cell>
          <cell r="P105" t="str">
            <v/>
          </cell>
          <cell r="Q105">
            <v>140</v>
          </cell>
          <cell r="R105" t="str">
            <v>新N*SQ607</v>
          </cell>
          <cell r="S105" t="str">
            <v>自备筐</v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</row>
        <row r="105"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</row>
        <row r="106">
          <cell r="B106">
            <v>46257</v>
          </cell>
          <cell r="C106" t="str">
            <v>聂新平</v>
          </cell>
          <cell r="D106" t="str">
            <v>原料入库</v>
          </cell>
          <cell r="E106" t="str">
            <v>NO:0000717</v>
          </cell>
          <cell r="F106" t="str">
            <v>西梅</v>
          </cell>
          <cell r="G106" t="str">
            <v>西梅三级</v>
          </cell>
          <cell r="H106">
            <v>354</v>
          </cell>
          <cell r="I106" t="str">
            <v>筐</v>
          </cell>
          <cell r="J106">
            <v>708</v>
          </cell>
          <cell r="K106" t="str">
            <v/>
          </cell>
          <cell r="L106" t="str">
            <v/>
          </cell>
          <cell r="M106" t="str">
            <v/>
          </cell>
          <cell r="N106" t="str">
            <v>自备一次性筐</v>
          </cell>
          <cell r="O106" t="str">
            <v/>
          </cell>
          <cell r="P106" t="str">
            <v/>
          </cell>
          <cell r="Q106">
            <v>354</v>
          </cell>
          <cell r="R106" t="str">
            <v>新N*SQ607</v>
          </cell>
          <cell r="S106" t="str">
            <v>自备筐</v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</row>
        <row r="106"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</row>
        <row r="107">
          <cell r="B107">
            <v>46258</v>
          </cell>
          <cell r="C107" t="str">
            <v>聂新平</v>
          </cell>
          <cell r="D107" t="str">
            <v>原料入库</v>
          </cell>
          <cell r="E107" t="str">
            <v>NO:0000720</v>
          </cell>
          <cell r="F107" t="str">
            <v>西梅</v>
          </cell>
          <cell r="G107" t="str">
            <v>西梅一级</v>
          </cell>
          <cell r="H107">
            <v>81</v>
          </cell>
          <cell r="I107" t="str">
            <v>筐</v>
          </cell>
          <cell r="J107">
            <v>567</v>
          </cell>
          <cell r="K107" t="str">
            <v/>
          </cell>
          <cell r="L107" t="str">
            <v/>
          </cell>
          <cell r="M107" t="str">
            <v/>
          </cell>
          <cell r="N107" t="str">
            <v>自备一次性筐</v>
          </cell>
          <cell r="O107" t="str">
            <v/>
          </cell>
          <cell r="P107" t="str">
            <v/>
          </cell>
          <cell r="Q107">
            <v>81</v>
          </cell>
          <cell r="R107" t="str">
            <v>苏M*7G796</v>
          </cell>
          <cell r="S107" t="str">
            <v>自备筐</v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</row>
        <row r="107"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</row>
        <row r="108">
          <cell r="B108">
            <v>46258</v>
          </cell>
          <cell r="C108" t="str">
            <v>聂新平</v>
          </cell>
          <cell r="D108" t="str">
            <v>原料入库</v>
          </cell>
          <cell r="E108" t="str">
            <v>NO:0000720</v>
          </cell>
          <cell r="F108" t="str">
            <v>西梅</v>
          </cell>
          <cell r="G108" t="str">
            <v>西梅二级</v>
          </cell>
          <cell r="H108">
            <v>43</v>
          </cell>
          <cell r="I108" t="str">
            <v>筐</v>
          </cell>
          <cell r="J108">
            <v>516</v>
          </cell>
          <cell r="K108" t="str">
            <v/>
          </cell>
          <cell r="L108" t="str">
            <v/>
          </cell>
          <cell r="M108" t="str">
            <v/>
          </cell>
          <cell r="N108" t="str">
            <v>自备一次性筐</v>
          </cell>
          <cell r="O108" t="str">
            <v/>
          </cell>
          <cell r="P108" t="str">
            <v/>
          </cell>
          <cell r="Q108">
            <v>43</v>
          </cell>
          <cell r="R108" t="str">
            <v>苏M*7G796</v>
          </cell>
          <cell r="S108" t="str">
            <v>自备筐</v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</row>
        <row r="108"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</row>
        <row r="109">
          <cell r="B109">
            <v>46258</v>
          </cell>
          <cell r="C109" t="str">
            <v>聂新平</v>
          </cell>
          <cell r="D109" t="str">
            <v>原料入库</v>
          </cell>
          <cell r="E109" t="str">
            <v>NO:0000722</v>
          </cell>
          <cell r="F109" t="str">
            <v>西梅</v>
          </cell>
          <cell r="G109" t="str">
            <v>西梅二级</v>
          </cell>
          <cell r="H109">
            <v>96</v>
          </cell>
          <cell r="I109" t="str">
            <v>筐</v>
          </cell>
          <cell r="J109">
            <v>1152</v>
          </cell>
          <cell r="K109" t="str">
            <v/>
          </cell>
          <cell r="L109" t="str">
            <v/>
          </cell>
          <cell r="M109" t="str">
            <v/>
          </cell>
          <cell r="N109" t="str">
            <v>自备一次性筐</v>
          </cell>
          <cell r="O109" t="str">
            <v/>
          </cell>
          <cell r="P109" t="str">
            <v/>
          </cell>
          <cell r="Q109">
            <v>96</v>
          </cell>
          <cell r="R109" t="str">
            <v>苏M*7G796</v>
          </cell>
          <cell r="S109" t="str">
            <v>自备筐</v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</row>
        <row r="109">
          <cell r="AA109" t="str">
            <v/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</row>
        <row r="110">
          <cell r="B110">
            <v>46258</v>
          </cell>
          <cell r="C110" t="str">
            <v>聂新平</v>
          </cell>
          <cell r="D110" t="str">
            <v>原料入库</v>
          </cell>
          <cell r="E110" t="str">
            <v>NO:0000722</v>
          </cell>
          <cell r="F110" t="str">
            <v>西梅</v>
          </cell>
          <cell r="G110" t="str">
            <v>西梅三级</v>
          </cell>
          <cell r="H110">
            <v>35</v>
          </cell>
          <cell r="I110" t="str">
            <v>筐</v>
          </cell>
          <cell r="J110">
            <v>70</v>
          </cell>
          <cell r="K110" t="str">
            <v/>
          </cell>
          <cell r="L110" t="str">
            <v/>
          </cell>
          <cell r="M110" t="str">
            <v/>
          </cell>
          <cell r="N110" t="str">
            <v>自备一次性筐</v>
          </cell>
          <cell r="O110" t="str">
            <v/>
          </cell>
          <cell r="P110" t="str">
            <v/>
          </cell>
          <cell r="Q110">
            <v>35</v>
          </cell>
          <cell r="R110" t="str">
            <v>苏M*7G796</v>
          </cell>
          <cell r="S110" t="str">
            <v>自备筐</v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</row>
        <row r="110"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</row>
        <row r="111">
          <cell r="B111">
            <v>46258</v>
          </cell>
          <cell r="C111" t="str">
            <v>聂新平</v>
          </cell>
          <cell r="D111" t="str">
            <v>原料入库</v>
          </cell>
          <cell r="E111" t="str">
            <v>NO:0000723</v>
          </cell>
          <cell r="F111" t="str">
            <v>西梅</v>
          </cell>
          <cell r="G111" t="str">
            <v>西梅一级</v>
          </cell>
          <cell r="H111">
            <v>112</v>
          </cell>
          <cell r="I111" t="str">
            <v>筐</v>
          </cell>
          <cell r="J111">
            <v>784</v>
          </cell>
          <cell r="K111" t="str">
            <v/>
          </cell>
          <cell r="L111" t="str">
            <v/>
          </cell>
          <cell r="M111" t="str">
            <v/>
          </cell>
          <cell r="N111" t="str">
            <v>自备一次性筐</v>
          </cell>
          <cell r="O111" t="str">
            <v/>
          </cell>
          <cell r="P111" t="str">
            <v/>
          </cell>
          <cell r="Q111">
            <v>112</v>
          </cell>
          <cell r="R111" t="str">
            <v>苏M*7G796</v>
          </cell>
          <cell r="S111" t="str">
            <v>自备筐</v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</row>
        <row r="111"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</row>
        <row r="112">
          <cell r="B112">
            <v>46258</v>
          </cell>
          <cell r="C112" t="str">
            <v>聂新平</v>
          </cell>
          <cell r="D112" t="str">
            <v>原料入库</v>
          </cell>
          <cell r="E112" t="str">
            <v>NO:0000723</v>
          </cell>
          <cell r="F112" t="str">
            <v>西梅</v>
          </cell>
          <cell r="G112" t="str">
            <v>西梅二级</v>
          </cell>
          <cell r="H112">
            <v>30</v>
          </cell>
          <cell r="I112" t="str">
            <v>筐</v>
          </cell>
          <cell r="J112">
            <v>360</v>
          </cell>
          <cell r="K112" t="str">
            <v/>
          </cell>
          <cell r="L112" t="str">
            <v/>
          </cell>
          <cell r="M112" t="str">
            <v/>
          </cell>
          <cell r="N112" t="str">
            <v>自备一次性筐</v>
          </cell>
          <cell r="O112" t="str">
            <v/>
          </cell>
          <cell r="P112" t="str">
            <v/>
          </cell>
          <cell r="Q112">
            <v>30</v>
          </cell>
          <cell r="R112" t="str">
            <v>苏M*7G796</v>
          </cell>
          <cell r="S112" t="str">
            <v>自备筐</v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</row>
        <row r="112"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</row>
        <row r="113">
          <cell r="B113">
            <v>46259</v>
          </cell>
          <cell r="C113" t="str">
            <v>聂新平</v>
          </cell>
          <cell r="D113" t="str">
            <v>原料入库</v>
          </cell>
          <cell r="E113" t="str">
            <v>NO:0000724</v>
          </cell>
          <cell r="F113" t="str">
            <v>西梅</v>
          </cell>
          <cell r="G113" t="str">
            <v>西梅二级</v>
          </cell>
          <cell r="H113">
            <v>97</v>
          </cell>
          <cell r="I113" t="str">
            <v>筐</v>
          </cell>
          <cell r="J113">
            <v>194</v>
          </cell>
          <cell r="K113" t="str">
            <v/>
          </cell>
          <cell r="L113" t="str">
            <v/>
          </cell>
          <cell r="M113" t="str">
            <v/>
          </cell>
          <cell r="N113" t="str">
            <v>自备一次性筐</v>
          </cell>
          <cell r="O113" t="str">
            <v/>
          </cell>
          <cell r="P113" t="str">
            <v/>
          </cell>
          <cell r="Q113">
            <v>97</v>
          </cell>
          <cell r="R113" t="str">
            <v>苏M*7G796</v>
          </cell>
          <cell r="S113" t="str">
            <v>自备筐</v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</row>
        <row r="113"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</row>
        <row r="114">
          <cell r="B114">
            <v>46259</v>
          </cell>
          <cell r="C114" t="str">
            <v>聂新平</v>
          </cell>
          <cell r="D114" t="str">
            <v>原料入库</v>
          </cell>
          <cell r="E114" t="str">
            <v>NO:0000724</v>
          </cell>
          <cell r="F114" t="str">
            <v>西梅</v>
          </cell>
          <cell r="G114" t="str">
            <v>西梅三级</v>
          </cell>
          <cell r="H114">
            <v>371</v>
          </cell>
          <cell r="I114" t="str">
            <v>筐</v>
          </cell>
          <cell r="J114">
            <v>742</v>
          </cell>
          <cell r="K114" t="str">
            <v/>
          </cell>
          <cell r="L114" t="str">
            <v/>
          </cell>
          <cell r="M114" t="str">
            <v/>
          </cell>
          <cell r="N114" t="str">
            <v>自备一次性筐</v>
          </cell>
          <cell r="O114" t="str">
            <v/>
          </cell>
          <cell r="P114" t="str">
            <v/>
          </cell>
          <cell r="Q114">
            <v>371</v>
          </cell>
          <cell r="R114" t="str">
            <v>苏M*7G796</v>
          </cell>
          <cell r="S114" t="str">
            <v>自备筐</v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</row>
        <row r="114"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</row>
        <row r="115">
          <cell r="B115">
            <v>46259</v>
          </cell>
          <cell r="C115" t="str">
            <v>聂新平</v>
          </cell>
          <cell r="D115" t="str">
            <v>原料入库</v>
          </cell>
          <cell r="E115" t="str">
            <v>NO:0000724</v>
          </cell>
          <cell r="F115" t="str">
            <v>西梅</v>
          </cell>
          <cell r="G115" t="str">
            <v>西梅二级</v>
          </cell>
          <cell r="H115">
            <v>4</v>
          </cell>
          <cell r="I115" t="str">
            <v>筐</v>
          </cell>
          <cell r="J115">
            <v>48</v>
          </cell>
          <cell r="K115" t="str">
            <v/>
          </cell>
          <cell r="L115" t="str">
            <v/>
          </cell>
          <cell r="M115" t="str">
            <v/>
          </cell>
          <cell r="N115" t="str">
            <v>自备一次性筐</v>
          </cell>
          <cell r="O115" t="str">
            <v/>
          </cell>
          <cell r="P115" t="str">
            <v/>
          </cell>
          <cell r="Q115">
            <v>4</v>
          </cell>
          <cell r="R115" t="str">
            <v>苏M*7G796</v>
          </cell>
          <cell r="S115" t="str">
            <v>自备筐</v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</row>
        <row r="115"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</row>
        <row r="116">
          <cell r="B116">
            <v>46259</v>
          </cell>
          <cell r="C116" t="str">
            <v>聂新平</v>
          </cell>
          <cell r="D116" t="str">
            <v>原料入库</v>
          </cell>
          <cell r="E116" t="str">
            <v>NO:0000725</v>
          </cell>
          <cell r="F116" t="str">
            <v>西梅</v>
          </cell>
          <cell r="G116" t="str">
            <v>西梅一级</v>
          </cell>
          <cell r="H116">
            <v>72</v>
          </cell>
          <cell r="I116" t="str">
            <v>筐</v>
          </cell>
          <cell r="J116">
            <v>504</v>
          </cell>
          <cell r="K116" t="str">
            <v/>
          </cell>
          <cell r="L116" t="str">
            <v/>
          </cell>
          <cell r="M116" t="str">
            <v/>
          </cell>
          <cell r="N116" t="str">
            <v>自备一次性筐</v>
          </cell>
          <cell r="O116" t="str">
            <v/>
          </cell>
          <cell r="P116" t="str">
            <v/>
          </cell>
          <cell r="Q116">
            <v>72</v>
          </cell>
          <cell r="R116" t="str">
            <v>苏M*7G796</v>
          </cell>
          <cell r="S116" t="str">
            <v>自备筐</v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</row>
        <row r="116"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</row>
        <row r="117">
          <cell r="B117">
            <v>46259</v>
          </cell>
          <cell r="C117" t="str">
            <v>聂新平</v>
          </cell>
          <cell r="D117" t="str">
            <v>原料入库</v>
          </cell>
          <cell r="E117" t="str">
            <v>NO:0000725</v>
          </cell>
          <cell r="F117" t="str">
            <v>西梅</v>
          </cell>
          <cell r="G117" t="str">
            <v>西梅二级</v>
          </cell>
          <cell r="H117">
            <v>238</v>
          </cell>
          <cell r="I117" t="str">
            <v>筐</v>
          </cell>
          <cell r="J117">
            <v>476</v>
          </cell>
          <cell r="K117" t="str">
            <v/>
          </cell>
          <cell r="L117" t="str">
            <v/>
          </cell>
          <cell r="M117" t="str">
            <v/>
          </cell>
          <cell r="N117" t="str">
            <v>自备一次性筐</v>
          </cell>
          <cell r="O117" t="str">
            <v/>
          </cell>
          <cell r="P117" t="str">
            <v/>
          </cell>
          <cell r="Q117">
            <v>238</v>
          </cell>
          <cell r="R117" t="str">
            <v>苏M*7G796</v>
          </cell>
          <cell r="S117" t="str">
            <v>自备筐</v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</row>
        <row r="117"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</row>
        <row r="118">
          <cell r="B118">
            <v>46259</v>
          </cell>
          <cell r="C118" t="str">
            <v>聂新平</v>
          </cell>
          <cell r="D118" t="str">
            <v>原料入库</v>
          </cell>
          <cell r="E118" t="str">
            <v>NO:0000726</v>
          </cell>
          <cell r="F118" t="str">
            <v>西梅</v>
          </cell>
          <cell r="G118" t="str">
            <v>西梅一级</v>
          </cell>
          <cell r="H118">
            <v>50</v>
          </cell>
          <cell r="I118" t="str">
            <v>筐</v>
          </cell>
          <cell r="J118">
            <v>350</v>
          </cell>
          <cell r="K118" t="str">
            <v/>
          </cell>
          <cell r="L118" t="str">
            <v/>
          </cell>
          <cell r="M118" t="str">
            <v/>
          </cell>
          <cell r="N118" t="str">
            <v>自备一次性筐</v>
          </cell>
          <cell r="O118" t="str">
            <v/>
          </cell>
          <cell r="P118" t="str">
            <v/>
          </cell>
          <cell r="Q118">
            <v>50</v>
          </cell>
          <cell r="R118" t="str">
            <v>苏M*7G796</v>
          </cell>
          <cell r="S118" t="str">
            <v>自备筐</v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</row>
        <row r="118"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</row>
        <row r="119">
          <cell r="B119">
            <v>46259</v>
          </cell>
          <cell r="C119" t="str">
            <v>聂新平</v>
          </cell>
          <cell r="D119" t="str">
            <v>原料入库</v>
          </cell>
          <cell r="E119" t="str">
            <v>NO:0000726</v>
          </cell>
          <cell r="F119" t="str">
            <v>西梅</v>
          </cell>
          <cell r="G119" t="str">
            <v>西梅二级</v>
          </cell>
          <cell r="H119">
            <v>22</v>
          </cell>
          <cell r="I119" t="str">
            <v>筐</v>
          </cell>
          <cell r="J119">
            <v>264</v>
          </cell>
          <cell r="K119" t="str">
            <v/>
          </cell>
          <cell r="L119" t="str">
            <v/>
          </cell>
          <cell r="M119" t="str">
            <v/>
          </cell>
          <cell r="N119" t="str">
            <v>自备一次性筐</v>
          </cell>
          <cell r="O119" t="str">
            <v/>
          </cell>
          <cell r="P119" t="str">
            <v/>
          </cell>
          <cell r="Q119">
            <v>22</v>
          </cell>
          <cell r="R119" t="str">
            <v>苏M*7G796</v>
          </cell>
          <cell r="S119" t="str">
            <v>自备筐</v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</row>
        <row r="119"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</row>
        <row r="120">
          <cell r="B120">
            <v>46259</v>
          </cell>
          <cell r="C120" t="str">
            <v>聂新平</v>
          </cell>
          <cell r="D120" t="str">
            <v>原料入库</v>
          </cell>
          <cell r="E120" t="str">
            <v>NO:0000726</v>
          </cell>
          <cell r="F120" t="str">
            <v>西梅</v>
          </cell>
          <cell r="G120" t="str">
            <v>西梅二级</v>
          </cell>
          <cell r="H120">
            <v>288</v>
          </cell>
          <cell r="I120" t="str">
            <v>筐</v>
          </cell>
          <cell r="J120">
            <v>576</v>
          </cell>
          <cell r="K120" t="str">
            <v/>
          </cell>
          <cell r="L120" t="str">
            <v/>
          </cell>
          <cell r="M120" t="str">
            <v/>
          </cell>
          <cell r="N120" t="str">
            <v>自备一次性筐</v>
          </cell>
          <cell r="O120" t="str">
            <v/>
          </cell>
          <cell r="P120" t="str">
            <v/>
          </cell>
          <cell r="Q120">
            <v>288</v>
          </cell>
          <cell r="R120" t="str">
            <v>苏M*7G796</v>
          </cell>
          <cell r="S120" t="str">
            <v>自备筐</v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</row>
        <row r="120"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</row>
        <row r="121">
          <cell r="B121">
            <v>46259</v>
          </cell>
          <cell r="C121" t="str">
            <v>聂新平</v>
          </cell>
          <cell r="D121" t="str">
            <v>原料入库</v>
          </cell>
          <cell r="E121" t="str">
            <v>NO:0000726</v>
          </cell>
          <cell r="F121" t="str">
            <v>西梅</v>
          </cell>
          <cell r="G121" t="str">
            <v>西梅三级</v>
          </cell>
          <cell r="H121">
            <v>68</v>
          </cell>
          <cell r="I121" t="str">
            <v>筐</v>
          </cell>
          <cell r="J121">
            <v>136</v>
          </cell>
          <cell r="K121" t="str">
            <v/>
          </cell>
          <cell r="L121" t="str">
            <v/>
          </cell>
          <cell r="M121" t="str">
            <v/>
          </cell>
          <cell r="N121" t="str">
            <v>自备一次性筐</v>
          </cell>
          <cell r="O121" t="str">
            <v/>
          </cell>
          <cell r="P121" t="str">
            <v/>
          </cell>
          <cell r="Q121">
            <v>68</v>
          </cell>
          <cell r="R121" t="str">
            <v>苏M*7G796</v>
          </cell>
          <cell r="S121" t="str">
            <v>自备筐</v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</row>
        <row r="121"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</row>
        <row r="122">
          <cell r="B122">
            <v>46259</v>
          </cell>
          <cell r="C122" t="str">
            <v>聂新平</v>
          </cell>
          <cell r="D122" t="str">
            <v>原料入库</v>
          </cell>
          <cell r="E122" t="str">
            <v>NO:0000728</v>
          </cell>
          <cell r="F122" t="str">
            <v>西梅</v>
          </cell>
          <cell r="G122" t="str">
            <v>西梅一级</v>
          </cell>
          <cell r="H122">
            <v>50</v>
          </cell>
          <cell r="I122" t="str">
            <v>筐</v>
          </cell>
          <cell r="J122">
            <v>350</v>
          </cell>
          <cell r="K122" t="str">
            <v/>
          </cell>
          <cell r="L122" t="str">
            <v/>
          </cell>
          <cell r="M122" t="str">
            <v/>
          </cell>
          <cell r="N122" t="str">
            <v>自备一次性筐</v>
          </cell>
          <cell r="O122" t="str">
            <v/>
          </cell>
          <cell r="P122" t="str">
            <v/>
          </cell>
          <cell r="Q122">
            <v>50</v>
          </cell>
          <cell r="R122" t="str">
            <v>苏M*7G796</v>
          </cell>
          <cell r="S122" t="str">
            <v>自备筐</v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</row>
        <row r="122"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</row>
        <row r="123">
          <cell r="B123">
            <v>46259</v>
          </cell>
          <cell r="C123" t="str">
            <v>聂新平</v>
          </cell>
          <cell r="D123" t="str">
            <v>原料入库</v>
          </cell>
          <cell r="E123" t="str">
            <v>NO:0000728</v>
          </cell>
          <cell r="F123" t="str">
            <v>西梅</v>
          </cell>
          <cell r="G123" t="str">
            <v>西梅二级</v>
          </cell>
          <cell r="H123">
            <v>12</v>
          </cell>
          <cell r="I123" t="str">
            <v>筐</v>
          </cell>
          <cell r="J123">
            <v>144</v>
          </cell>
          <cell r="K123" t="str">
            <v/>
          </cell>
          <cell r="L123" t="str">
            <v/>
          </cell>
          <cell r="M123" t="str">
            <v/>
          </cell>
          <cell r="N123" t="str">
            <v>自备一次性筐</v>
          </cell>
          <cell r="O123" t="str">
            <v/>
          </cell>
          <cell r="P123" t="str">
            <v/>
          </cell>
          <cell r="Q123">
            <v>12</v>
          </cell>
          <cell r="R123" t="str">
            <v>苏M*7G796</v>
          </cell>
          <cell r="S123" t="str">
            <v>自备筐</v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</row>
        <row r="123"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</row>
        <row r="124">
          <cell r="B124">
            <v>46259</v>
          </cell>
          <cell r="C124" t="str">
            <v>聂新平</v>
          </cell>
          <cell r="D124" t="str">
            <v>原料入库</v>
          </cell>
          <cell r="E124" t="str">
            <v>NO:0000728</v>
          </cell>
          <cell r="F124" t="str">
            <v>西梅</v>
          </cell>
          <cell r="G124" t="str">
            <v>西梅二级</v>
          </cell>
          <cell r="H124">
            <v>312</v>
          </cell>
          <cell r="I124" t="str">
            <v>筐</v>
          </cell>
          <cell r="J124">
            <v>624</v>
          </cell>
          <cell r="K124" t="str">
            <v/>
          </cell>
          <cell r="L124" t="str">
            <v/>
          </cell>
          <cell r="M124" t="str">
            <v/>
          </cell>
          <cell r="N124" t="str">
            <v>自备一次性筐</v>
          </cell>
          <cell r="O124" t="str">
            <v/>
          </cell>
          <cell r="P124" t="str">
            <v/>
          </cell>
          <cell r="Q124">
            <v>312</v>
          </cell>
          <cell r="R124" t="str">
            <v>苏M*7G796</v>
          </cell>
          <cell r="S124" t="str">
            <v>自备筐</v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</row>
        <row r="124"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</row>
        <row r="125">
          <cell r="B125">
            <v>46260</v>
          </cell>
          <cell r="C125" t="str">
            <v>聂新平</v>
          </cell>
          <cell r="D125" t="str">
            <v>原料入库</v>
          </cell>
          <cell r="E125" t="str">
            <v>NO:0000730</v>
          </cell>
          <cell r="F125" t="str">
            <v>西梅</v>
          </cell>
          <cell r="G125" t="str">
            <v>西梅一级</v>
          </cell>
          <cell r="H125">
            <v>20</v>
          </cell>
          <cell r="I125" t="str">
            <v>筐</v>
          </cell>
          <cell r="J125">
            <v>140</v>
          </cell>
          <cell r="K125" t="str">
            <v/>
          </cell>
          <cell r="L125" t="str">
            <v/>
          </cell>
          <cell r="M125" t="str">
            <v/>
          </cell>
          <cell r="N125" t="str">
            <v>自备一次性筐</v>
          </cell>
          <cell r="O125" t="str">
            <v/>
          </cell>
          <cell r="P125" t="str">
            <v/>
          </cell>
          <cell r="Q125">
            <v>20</v>
          </cell>
          <cell r="R125" t="str">
            <v>苏M*7G796</v>
          </cell>
          <cell r="S125" t="str">
            <v>自备筐</v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</row>
        <row r="125"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</row>
        <row r="126">
          <cell r="B126">
            <v>46260</v>
          </cell>
          <cell r="C126" t="str">
            <v>聂新平</v>
          </cell>
          <cell r="D126" t="str">
            <v>原料入库</v>
          </cell>
          <cell r="E126" t="str">
            <v>NO:0000730</v>
          </cell>
          <cell r="F126" t="str">
            <v>西梅</v>
          </cell>
          <cell r="G126" t="str">
            <v>西梅二级</v>
          </cell>
          <cell r="H126">
            <v>222</v>
          </cell>
          <cell r="I126" t="str">
            <v>筐</v>
          </cell>
          <cell r="J126">
            <v>444</v>
          </cell>
          <cell r="K126" t="str">
            <v/>
          </cell>
          <cell r="L126" t="str">
            <v/>
          </cell>
          <cell r="M126" t="str">
            <v/>
          </cell>
          <cell r="N126" t="str">
            <v>自备一次性筐</v>
          </cell>
          <cell r="O126" t="str">
            <v/>
          </cell>
          <cell r="P126" t="str">
            <v/>
          </cell>
          <cell r="Q126">
            <v>222</v>
          </cell>
          <cell r="R126" t="str">
            <v>苏M*7G796</v>
          </cell>
          <cell r="S126" t="str">
            <v>自备筐</v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</row>
        <row r="126"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</row>
        <row r="127">
          <cell r="B127">
            <v>46260</v>
          </cell>
          <cell r="C127" t="str">
            <v>聂新平</v>
          </cell>
          <cell r="D127" t="str">
            <v>原料入库</v>
          </cell>
          <cell r="E127" t="str">
            <v>NO:0000730</v>
          </cell>
          <cell r="F127" t="str">
            <v>西梅</v>
          </cell>
          <cell r="G127" t="str">
            <v>西梅三级</v>
          </cell>
          <cell r="H127">
            <v>243</v>
          </cell>
          <cell r="I127" t="str">
            <v>筐</v>
          </cell>
          <cell r="J127">
            <v>486</v>
          </cell>
          <cell r="K127" t="str">
            <v/>
          </cell>
          <cell r="L127" t="str">
            <v/>
          </cell>
          <cell r="M127" t="str">
            <v/>
          </cell>
          <cell r="N127" t="str">
            <v>自备一次性筐</v>
          </cell>
          <cell r="O127" t="str">
            <v/>
          </cell>
          <cell r="P127" t="str">
            <v/>
          </cell>
          <cell r="Q127">
            <v>243</v>
          </cell>
          <cell r="R127" t="str">
            <v>苏M*7G796</v>
          </cell>
          <cell r="S127" t="str">
            <v>自备筐</v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</row>
        <row r="127">
          <cell r="AA127" t="str">
            <v/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</row>
        <row r="128">
          <cell r="B128">
            <v>46260</v>
          </cell>
          <cell r="C128" t="str">
            <v>聂新平</v>
          </cell>
          <cell r="D128" t="str">
            <v>原料入库</v>
          </cell>
          <cell r="E128" t="str">
            <v>NO:0000731</v>
          </cell>
          <cell r="F128" t="str">
            <v>西梅</v>
          </cell>
          <cell r="G128" t="str">
            <v>西梅一级</v>
          </cell>
          <cell r="H128">
            <v>101</v>
          </cell>
          <cell r="I128" t="str">
            <v>筐</v>
          </cell>
          <cell r="J128">
            <v>707</v>
          </cell>
          <cell r="K128" t="str">
            <v/>
          </cell>
          <cell r="L128" t="str">
            <v/>
          </cell>
          <cell r="M128" t="str">
            <v/>
          </cell>
          <cell r="N128" t="str">
            <v>自备一次性筐</v>
          </cell>
          <cell r="O128" t="str">
            <v/>
          </cell>
          <cell r="P128" t="str">
            <v/>
          </cell>
          <cell r="Q128">
            <v>101</v>
          </cell>
          <cell r="R128" t="str">
            <v>苏M*7G796</v>
          </cell>
          <cell r="S128" t="str">
            <v>自备筐</v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</row>
        <row r="128"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</row>
        <row r="129">
          <cell r="B129">
            <v>46260</v>
          </cell>
          <cell r="C129" t="str">
            <v>聂新平</v>
          </cell>
          <cell r="D129" t="str">
            <v>原料入库</v>
          </cell>
          <cell r="E129" t="str">
            <v>NO:0000731</v>
          </cell>
          <cell r="F129" t="str">
            <v>西梅</v>
          </cell>
          <cell r="G129" t="str">
            <v>西梅二级</v>
          </cell>
          <cell r="H129">
            <v>24</v>
          </cell>
          <cell r="I129" t="str">
            <v>筐</v>
          </cell>
          <cell r="J129">
            <v>288</v>
          </cell>
          <cell r="K129" t="str">
            <v/>
          </cell>
          <cell r="L129" t="str">
            <v/>
          </cell>
          <cell r="M129" t="str">
            <v/>
          </cell>
          <cell r="N129" t="str">
            <v>自备一次性筐</v>
          </cell>
          <cell r="O129" t="str">
            <v/>
          </cell>
          <cell r="P129" t="str">
            <v/>
          </cell>
          <cell r="Q129">
            <v>24</v>
          </cell>
          <cell r="R129" t="str">
            <v>苏M*7G796</v>
          </cell>
          <cell r="S129" t="str">
            <v>自备筐</v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</row>
        <row r="129">
          <cell r="AA129" t="str">
            <v/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</row>
        <row r="130">
          <cell r="B130">
            <v>46260</v>
          </cell>
          <cell r="C130" t="str">
            <v>聂新平</v>
          </cell>
          <cell r="D130" t="str">
            <v>原料入库</v>
          </cell>
          <cell r="E130" t="str">
            <v>NO:0000731</v>
          </cell>
          <cell r="F130" t="str">
            <v>西梅</v>
          </cell>
          <cell r="G130" t="str">
            <v>西梅二级</v>
          </cell>
          <cell r="H130">
            <v>60</v>
          </cell>
          <cell r="I130" t="str">
            <v>筐</v>
          </cell>
          <cell r="J130">
            <v>120</v>
          </cell>
          <cell r="K130" t="str">
            <v/>
          </cell>
          <cell r="L130" t="str">
            <v/>
          </cell>
          <cell r="M130" t="str">
            <v/>
          </cell>
          <cell r="N130" t="str">
            <v>自备一次性筐</v>
          </cell>
          <cell r="O130" t="str">
            <v/>
          </cell>
          <cell r="P130" t="str">
            <v/>
          </cell>
          <cell r="Q130">
            <v>60</v>
          </cell>
          <cell r="R130" t="str">
            <v>苏M*7G796</v>
          </cell>
          <cell r="S130" t="str">
            <v>自备筐</v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</row>
        <row r="130"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</row>
        <row r="131">
          <cell r="B131">
            <v>46260</v>
          </cell>
          <cell r="C131" t="str">
            <v>聂新平</v>
          </cell>
          <cell r="D131" t="str">
            <v>原料入库</v>
          </cell>
          <cell r="E131" t="str">
            <v>NO:0000733</v>
          </cell>
          <cell r="F131" t="str">
            <v>西梅</v>
          </cell>
          <cell r="G131" t="str">
            <v>西梅一级</v>
          </cell>
          <cell r="H131">
            <v>86</v>
          </cell>
          <cell r="I131" t="str">
            <v>筐</v>
          </cell>
          <cell r="J131">
            <v>602</v>
          </cell>
          <cell r="K131" t="str">
            <v/>
          </cell>
          <cell r="L131" t="str">
            <v/>
          </cell>
          <cell r="M131" t="str">
            <v/>
          </cell>
          <cell r="N131" t="str">
            <v>自备一次性筐</v>
          </cell>
          <cell r="O131" t="str">
            <v/>
          </cell>
          <cell r="P131" t="str">
            <v/>
          </cell>
          <cell r="Q131">
            <v>86</v>
          </cell>
          <cell r="R131" t="str">
            <v>苏M*7G796</v>
          </cell>
          <cell r="S131" t="str">
            <v>自备筐</v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</row>
        <row r="131"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</row>
        <row r="132">
          <cell r="B132">
            <v>46260</v>
          </cell>
          <cell r="C132" t="str">
            <v>聂新平</v>
          </cell>
          <cell r="D132" t="str">
            <v>原料入库</v>
          </cell>
          <cell r="E132" t="str">
            <v>NO:0000733</v>
          </cell>
          <cell r="F132" t="str">
            <v>西梅</v>
          </cell>
          <cell r="G132" t="str">
            <v>西梅二级</v>
          </cell>
          <cell r="H132">
            <v>54</v>
          </cell>
          <cell r="I132" t="str">
            <v>筐</v>
          </cell>
          <cell r="J132">
            <v>648</v>
          </cell>
          <cell r="K132" t="str">
            <v/>
          </cell>
          <cell r="L132" t="str">
            <v/>
          </cell>
          <cell r="M132" t="str">
            <v/>
          </cell>
          <cell r="N132" t="str">
            <v>自备一次性筐</v>
          </cell>
          <cell r="O132" t="str">
            <v/>
          </cell>
          <cell r="P132" t="str">
            <v/>
          </cell>
          <cell r="Q132">
            <v>54</v>
          </cell>
          <cell r="R132" t="str">
            <v>苏M*7G796</v>
          </cell>
          <cell r="S132" t="str">
            <v>自备筐</v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</row>
        <row r="132"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</row>
        <row r="133">
          <cell r="B133">
            <v>46260</v>
          </cell>
          <cell r="C133" t="str">
            <v>聂新平</v>
          </cell>
          <cell r="D133" t="str">
            <v>原料入库</v>
          </cell>
          <cell r="E133" t="str">
            <v>NO:0000733</v>
          </cell>
          <cell r="F133" t="str">
            <v>西梅</v>
          </cell>
          <cell r="G133" t="str">
            <v>西梅三级</v>
          </cell>
          <cell r="H133">
            <v>53</v>
          </cell>
          <cell r="I133" t="str">
            <v>筐</v>
          </cell>
          <cell r="J133">
            <v>106</v>
          </cell>
          <cell r="K133" t="str">
            <v/>
          </cell>
          <cell r="L133" t="str">
            <v/>
          </cell>
          <cell r="M133" t="str">
            <v/>
          </cell>
          <cell r="N133" t="str">
            <v>自备一次性筐</v>
          </cell>
          <cell r="O133" t="str">
            <v/>
          </cell>
          <cell r="P133" t="str">
            <v/>
          </cell>
          <cell r="Q133">
            <v>53</v>
          </cell>
          <cell r="R133" t="str">
            <v>苏M*7G796</v>
          </cell>
          <cell r="S133" t="str">
            <v>自备筐</v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</row>
        <row r="133"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</row>
        <row r="134">
          <cell r="B134">
            <v>46260</v>
          </cell>
          <cell r="C134" t="str">
            <v>聂新平</v>
          </cell>
          <cell r="D134" t="str">
            <v>原料入库</v>
          </cell>
          <cell r="E134" t="str">
            <v>NO:0000734</v>
          </cell>
          <cell r="F134" t="str">
            <v>西梅</v>
          </cell>
          <cell r="G134" t="str">
            <v>西梅二级</v>
          </cell>
          <cell r="H134">
            <v>21</v>
          </cell>
          <cell r="I134" t="str">
            <v>筐</v>
          </cell>
          <cell r="J134">
            <v>252</v>
          </cell>
          <cell r="K134" t="str">
            <v/>
          </cell>
          <cell r="L134" t="str">
            <v/>
          </cell>
          <cell r="M134" t="str">
            <v/>
          </cell>
          <cell r="N134" t="str">
            <v>自备一次性筐</v>
          </cell>
          <cell r="O134" t="str">
            <v/>
          </cell>
          <cell r="P134" t="str">
            <v/>
          </cell>
          <cell r="Q134">
            <v>21</v>
          </cell>
          <cell r="R134" t="str">
            <v>苏M*7G796</v>
          </cell>
          <cell r="S134" t="str">
            <v>自备筐</v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</row>
        <row r="134"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</row>
        <row r="135">
          <cell r="B135">
            <v>46260</v>
          </cell>
          <cell r="C135" t="str">
            <v>聂新平</v>
          </cell>
          <cell r="D135" t="str">
            <v>原料入库</v>
          </cell>
          <cell r="E135" t="str">
            <v>NO:0000734</v>
          </cell>
          <cell r="F135" t="str">
            <v>西梅</v>
          </cell>
          <cell r="G135" t="str">
            <v>西梅二级</v>
          </cell>
          <cell r="H135">
            <v>216</v>
          </cell>
          <cell r="I135" t="str">
            <v>筐</v>
          </cell>
          <cell r="J135">
            <v>432</v>
          </cell>
          <cell r="K135" t="str">
            <v/>
          </cell>
          <cell r="L135" t="str">
            <v/>
          </cell>
          <cell r="M135" t="str">
            <v/>
          </cell>
          <cell r="N135" t="str">
            <v>自备一次性筐</v>
          </cell>
          <cell r="O135" t="str">
            <v/>
          </cell>
          <cell r="P135" t="str">
            <v/>
          </cell>
          <cell r="Q135">
            <v>216</v>
          </cell>
          <cell r="R135" t="str">
            <v>苏M*7G796</v>
          </cell>
          <cell r="S135" t="str">
            <v>自备筐</v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</row>
        <row r="135"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</row>
        <row r="136">
          <cell r="B136">
            <v>46260</v>
          </cell>
          <cell r="C136" t="str">
            <v>聂新平</v>
          </cell>
          <cell r="D136" t="str">
            <v>原料入库</v>
          </cell>
          <cell r="E136" t="str">
            <v>NO:0000734</v>
          </cell>
          <cell r="F136" t="str">
            <v>西梅</v>
          </cell>
          <cell r="G136" t="str">
            <v>西梅三级</v>
          </cell>
          <cell r="H136">
            <v>153</v>
          </cell>
          <cell r="I136" t="str">
            <v>筐</v>
          </cell>
          <cell r="J136">
            <v>306</v>
          </cell>
          <cell r="K136" t="str">
            <v/>
          </cell>
          <cell r="L136" t="str">
            <v/>
          </cell>
          <cell r="M136" t="str">
            <v/>
          </cell>
          <cell r="N136" t="str">
            <v>自备一次性筐</v>
          </cell>
          <cell r="O136" t="str">
            <v/>
          </cell>
          <cell r="P136" t="str">
            <v/>
          </cell>
          <cell r="Q136">
            <v>153</v>
          </cell>
          <cell r="R136" t="str">
            <v>苏M*7G796</v>
          </cell>
          <cell r="S136" t="str">
            <v>自备筐</v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</row>
        <row r="136"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</row>
        <row r="137">
          <cell r="B137">
            <v>46261</v>
          </cell>
          <cell r="C137" t="str">
            <v>聂新平</v>
          </cell>
          <cell r="D137" t="str">
            <v>原料入库</v>
          </cell>
          <cell r="E137" t="str">
            <v>NO:0000735</v>
          </cell>
          <cell r="F137" t="str">
            <v>西梅</v>
          </cell>
          <cell r="G137" t="str">
            <v>西梅一级</v>
          </cell>
          <cell r="H137">
            <v>100</v>
          </cell>
          <cell r="I137" t="str">
            <v>筐</v>
          </cell>
          <cell r="J137">
            <v>700</v>
          </cell>
          <cell r="K137" t="str">
            <v/>
          </cell>
          <cell r="L137" t="str">
            <v/>
          </cell>
          <cell r="M137" t="str">
            <v/>
          </cell>
          <cell r="N137" t="str">
            <v>自备一次性筐</v>
          </cell>
          <cell r="O137" t="str">
            <v/>
          </cell>
          <cell r="P137" t="str">
            <v/>
          </cell>
          <cell r="Q137">
            <v>100</v>
          </cell>
          <cell r="R137" t="str">
            <v>苏M*7G796</v>
          </cell>
          <cell r="S137" t="str">
            <v>自备筐</v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</row>
        <row r="137"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</row>
        <row r="138">
          <cell r="B138">
            <v>46261</v>
          </cell>
          <cell r="C138" t="str">
            <v>聂新平</v>
          </cell>
          <cell r="D138" t="str">
            <v>原料入库</v>
          </cell>
          <cell r="E138" t="str">
            <v>NO:0000735</v>
          </cell>
          <cell r="F138" t="str">
            <v>西梅</v>
          </cell>
          <cell r="G138" t="str">
            <v>西梅二级</v>
          </cell>
          <cell r="H138">
            <v>42</v>
          </cell>
          <cell r="I138" t="str">
            <v>筐</v>
          </cell>
          <cell r="J138">
            <v>504</v>
          </cell>
          <cell r="K138" t="str">
            <v/>
          </cell>
          <cell r="L138" t="str">
            <v/>
          </cell>
          <cell r="M138" t="str">
            <v/>
          </cell>
          <cell r="N138" t="str">
            <v>自备一次性筐</v>
          </cell>
          <cell r="O138" t="str">
            <v/>
          </cell>
          <cell r="P138" t="str">
            <v/>
          </cell>
          <cell r="Q138">
            <v>42</v>
          </cell>
          <cell r="R138" t="str">
            <v>苏M*7G796</v>
          </cell>
          <cell r="S138" t="str">
            <v>自备筐</v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</row>
        <row r="138"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</row>
        <row r="139">
          <cell r="B139">
            <v>46261</v>
          </cell>
          <cell r="C139" t="str">
            <v>聂新平</v>
          </cell>
          <cell r="D139" t="str">
            <v>原料入库</v>
          </cell>
          <cell r="E139" t="str">
            <v>NO:0000736</v>
          </cell>
          <cell r="F139" t="str">
            <v>西梅</v>
          </cell>
          <cell r="G139" t="str">
            <v>西梅一级</v>
          </cell>
          <cell r="H139">
            <v>1</v>
          </cell>
          <cell r="I139" t="str">
            <v>筐</v>
          </cell>
          <cell r="J139">
            <v>7</v>
          </cell>
          <cell r="K139" t="str">
            <v/>
          </cell>
          <cell r="L139" t="str">
            <v/>
          </cell>
          <cell r="M139" t="str">
            <v/>
          </cell>
          <cell r="N139" t="str">
            <v>自备一次性筐</v>
          </cell>
          <cell r="O139" t="str">
            <v/>
          </cell>
          <cell r="P139" t="str">
            <v/>
          </cell>
          <cell r="Q139">
            <v>1</v>
          </cell>
          <cell r="R139" t="str">
            <v>苏M*7G796</v>
          </cell>
          <cell r="S139" t="str">
            <v>自备筐</v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</row>
        <row r="139"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</row>
        <row r="140">
          <cell r="B140">
            <v>46261</v>
          </cell>
          <cell r="C140" t="str">
            <v>聂新平</v>
          </cell>
          <cell r="D140" t="str">
            <v>原料入库</v>
          </cell>
          <cell r="E140" t="str">
            <v>NO:0000736</v>
          </cell>
          <cell r="F140" t="str">
            <v>西梅</v>
          </cell>
          <cell r="G140" t="str">
            <v>西梅二级</v>
          </cell>
          <cell r="H140">
            <v>40</v>
          </cell>
          <cell r="I140" t="str">
            <v>筐</v>
          </cell>
          <cell r="J140">
            <v>480</v>
          </cell>
          <cell r="K140" t="str">
            <v/>
          </cell>
          <cell r="L140" t="str">
            <v/>
          </cell>
          <cell r="M140" t="str">
            <v/>
          </cell>
          <cell r="N140" t="str">
            <v>自备一次性筐</v>
          </cell>
          <cell r="O140" t="str">
            <v/>
          </cell>
          <cell r="P140" t="str">
            <v/>
          </cell>
          <cell r="Q140">
            <v>40</v>
          </cell>
          <cell r="R140" t="str">
            <v>苏M*7G796</v>
          </cell>
          <cell r="S140" t="str">
            <v>自备筐</v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</row>
        <row r="140"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</row>
        <row r="141">
          <cell r="B141">
            <v>46261</v>
          </cell>
          <cell r="C141" t="str">
            <v>聂新平</v>
          </cell>
          <cell r="D141" t="str">
            <v>原料入库</v>
          </cell>
          <cell r="E141" t="str">
            <v>NO:0000736</v>
          </cell>
          <cell r="F141" t="str">
            <v>西梅</v>
          </cell>
          <cell r="G141" t="str">
            <v>西梅三级</v>
          </cell>
          <cell r="H141">
            <v>107</v>
          </cell>
          <cell r="I141" t="str">
            <v>筐</v>
          </cell>
          <cell r="J141">
            <v>214</v>
          </cell>
          <cell r="K141" t="str">
            <v/>
          </cell>
          <cell r="L141" t="str">
            <v/>
          </cell>
          <cell r="M141" t="str">
            <v/>
          </cell>
          <cell r="N141" t="str">
            <v>自备一次性筐</v>
          </cell>
          <cell r="O141" t="str">
            <v/>
          </cell>
          <cell r="P141" t="str">
            <v/>
          </cell>
          <cell r="Q141">
            <v>107</v>
          </cell>
          <cell r="R141" t="str">
            <v>苏M*7G796</v>
          </cell>
          <cell r="S141" t="str">
            <v>自备筐</v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</row>
        <row r="141"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</row>
        <row r="142">
          <cell r="B142">
            <v>46269</v>
          </cell>
          <cell r="C142" t="str">
            <v>马锦祥</v>
          </cell>
          <cell r="D142" t="str">
            <v>原料入库</v>
          </cell>
          <cell r="E142" t="str">
            <v>NO:0000752</v>
          </cell>
          <cell r="F142" t="str">
            <v>香梨</v>
          </cell>
          <cell r="G142" t="str">
            <v>香梨一级</v>
          </cell>
          <cell r="H142">
            <v>266</v>
          </cell>
          <cell r="I142" t="str">
            <v>筐</v>
          </cell>
          <cell r="J142">
            <v>4867.8</v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公司杂周转筐</v>
          </cell>
          <cell r="O142" t="str">
            <v/>
          </cell>
          <cell r="P142" t="str">
            <v/>
          </cell>
          <cell r="Q142">
            <v>266</v>
          </cell>
          <cell r="R142" t="str">
            <v>新N*K7V85</v>
          </cell>
          <cell r="S142" t="str">
            <v>公司筐</v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</row>
        <row r="142"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</row>
        <row r="143">
          <cell r="B143">
            <v>46269</v>
          </cell>
          <cell r="C143" t="str">
            <v>马锦祥</v>
          </cell>
          <cell r="D143" t="str">
            <v>原料入库</v>
          </cell>
          <cell r="E143" t="str">
            <v>NO:0000752</v>
          </cell>
          <cell r="F143" t="str">
            <v>香梨</v>
          </cell>
          <cell r="G143" t="str">
            <v>香梨二级</v>
          </cell>
          <cell r="H143">
            <v>70</v>
          </cell>
          <cell r="I143" t="str">
            <v>筐</v>
          </cell>
          <cell r="J143">
            <v>1561</v>
          </cell>
          <cell r="K143" t="str">
            <v/>
          </cell>
          <cell r="L143" t="str">
            <v/>
          </cell>
          <cell r="M143" t="str">
            <v/>
          </cell>
          <cell r="N143" t="str">
            <v>公司杂周转筐</v>
          </cell>
          <cell r="O143" t="str">
            <v/>
          </cell>
          <cell r="P143" t="str">
            <v/>
          </cell>
          <cell r="Q143">
            <v>70</v>
          </cell>
          <cell r="R143" t="str">
            <v>新N*K7V85</v>
          </cell>
          <cell r="S143" t="str">
            <v>公司筐</v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</row>
        <row r="143"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</row>
        <row r="144">
          <cell r="B144">
            <v>46269</v>
          </cell>
          <cell r="C144" t="str">
            <v>马锦祥</v>
          </cell>
          <cell r="D144" t="str">
            <v>原料入库</v>
          </cell>
          <cell r="E144" t="str">
            <v>NO:0000752</v>
          </cell>
          <cell r="F144" t="str">
            <v>香梨</v>
          </cell>
          <cell r="G144" t="str">
            <v>香梨副特</v>
          </cell>
          <cell r="H144">
            <v>21</v>
          </cell>
          <cell r="I144" t="str">
            <v>筐</v>
          </cell>
          <cell r="J144">
            <v>384.3</v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公司杂周转筐</v>
          </cell>
          <cell r="O144" t="str">
            <v/>
          </cell>
          <cell r="P144" t="str">
            <v/>
          </cell>
          <cell r="Q144">
            <v>21</v>
          </cell>
          <cell r="R144" t="str">
            <v>新N*K7V85</v>
          </cell>
          <cell r="S144" t="str">
            <v>公司筐</v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</row>
        <row r="144"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</row>
        <row r="145">
          <cell r="B145">
            <v>46271</v>
          </cell>
          <cell r="C145" t="str">
            <v>麦麦提</v>
          </cell>
          <cell r="D145" t="str">
            <v>原料入库</v>
          </cell>
          <cell r="E145" t="str">
            <v>NO:0000754</v>
          </cell>
          <cell r="F145" t="str">
            <v>香梨</v>
          </cell>
          <cell r="G145" t="str">
            <v>香梨特级</v>
          </cell>
          <cell r="H145">
            <v>280</v>
          </cell>
          <cell r="I145" t="str">
            <v>筐</v>
          </cell>
          <cell r="J145">
            <v>5124</v>
          </cell>
          <cell r="K145" t="str">
            <v/>
          </cell>
          <cell r="L145" t="str">
            <v/>
          </cell>
          <cell r="M145" t="str">
            <v/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280</v>
          </cell>
          <cell r="R145" t="str">
            <v>新A*G0554</v>
          </cell>
          <cell r="S145" t="str">
            <v>公司筐</v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</row>
        <row r="145">
          <cell r="AA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</row>
        <row r="146">
          <cell r="B146">
            <v>46271</v>
          </cell>
          <cell r="C146" t="str">
            <v>麦麦提</v>
          </cell>
          <cell r="D146" t="str">
            <v>原料入库</v>
          </cell>
          <cell r="E146" t="str">
            <v>NO:0000754</v>
          </cell>
          <cell r="F146" t="str">
            <v>香梨</v>
          </cell>
          <cell r="G146" t="str">
            <v>香梨一级</v>
          </cell>
          <cell r="H146">
            <v>194</v>
          </cell>
          <cell r="I146" t="str">
            <v>筐</v>
          </cell>
          <cell r="J146">
            <v>3550.2</v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公司红周转筐</v>
          </cell>
          <cell r="O146" t="str">
            <v/>
          </cell>
          <cell r="P146" t="str">
            <v/>
          </cell>
          <cell r="Q146">
            <v>194</v>
          </cell>
          <cell r="R146" t="str">
            <v>新A*G0554</v>
          </cell>
          <cell r="S146" t="str">
            <v>公司筐</v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</row>
        <row r="146"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</row>
        <row r="147">
          <cell r="B147">
            <v>46271</v>
          </cell>
          <cell r="C147" t="str">
            <v>麦麦提</v>
          </cell>
          <cell r="D147" t="str">
            <v>原料入库</v>
          </cell>
          <cell r="E147" t="str">
            <v>NO:0000754</v>
          </cell>
          <cell r="F147" t="str">
            <v>香梨</v>
          </cell>
          <cell r="G147" t="str">
            <v>香梨二级</v>
          </cell>
          <cell r="H147">
            <v>152</v>
          </cell>
          <cell r="I147" t="str">
            <v>筐</v>
          </cell>
          <cell r="J147">
            <v>3389.6</v>
          </cell>
          <cell r="K147" t="str">
            <v/>
          </cell>
          <cell r="L147" t="str">
            <v/>
          </cell>
          <cell r="M147" t="str">
            <v/>
          </cell>
          <cell r="N147" t="str">
            <v>公司红周转筐</v>
          </cell>
          <cell r="O147" t="str">
            <v/>
          </cell>
          <cell r="P147" t="str">
            <v/>
          </cell>
          <cell r="Q147">
            <v>152</v>
          </cell>
          <cell r="R147" t="str">
            <v>新A*G0554</v>
          </cell>
          <cell r="S147" t="str">
            <v>公司筐</v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</row>
        <row r="147"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</row>
        <row r="148">
          <cell r="B148">
            <v>46272</v>
          </cell>
          <cell r="C148" t="str">
            <v>吐尔洪</v>
          </cell>
          <cell r="D148" t="str">
            <v>原料入库</v>
          </cell>
          <cell r="E148" t="str">
            <v>NO:0000756</v>
          </cell>
          <cell r="F148" t="str">
            <v>香梨</v>
          </cell>
          <cell r="G148" t="str">
            <v>香梨特级</v>
          </cell>
          <cell r="H148">
            <v>110</v>
          </cell>
          <cell r="I148" t="str">
            <v>筐</v>
          </cell>
          <cell r="J148">
            <v>2013</v>
          </cell>
          <cell r="K148" t="str">
            <v/>
          </cell>
          <cell r="L148" t="str">
            <v/>
          </cell>
          <cell r="M148" t="str">
            <v>麦麦提</v>
          </cell>
          <cell r="N148" t="str">
            <v>公司红周转筐</v>
          </cell>
          <cell r="O148" t="str">
            <v/>
          </cell>
          <cell r="P148" t="str">
            <v/>
          </cell>
          <cell r="Q148">
            <v>110</v>
          </cell>
          <cell r="R148" t="str">
            <v>新N*X8S48</v>
          </cell>
          <cell r="S148" t="str">
            <v>公司筐</v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</row>
        <row r="148">
          <cell r="AA148" t="str">
            <v/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</row>
        <row r="149">
          <cell r="B149">
            <v>46272</v>
          </cell>
          <cell r="C149" t="str">
            <v>吐尔洪</v>
          </cell>
          <cell r="D149" t="str">
            <v>原料入库</v>
          </cell>
          <cell r="E149" t="str">
            <v>NO:0000756</v>
          </cell>
          <cell r="F149" t="str">
            <v>香梨</v>
          </cell>
          <cell r="G149" t="str">
            <v>香梨二级</v>
          </cell>
          <cell r="H149">
            <v>21</v>
          </cell>
          <cell r="I149" t="str">
            <v>筐</v>
          </cell>
          <cell r="J149">
            <v>384.3</v>
          </cell>
          <cell r="K149" t="str">
            <v/>
          </cell>
          <cell r="L149" t="str">
            <v/>
          </cell>
          <cell r="M149" t="str">
            <v>麦麦提</v>
          </cell>
          <cell r="N149" t="str">
            <v>公司红周转筐</v>
          </cell>
          <cell r="O149" t="str">
            <v/>
          </cell>
          <cell r="P149" t="str">
            <v/>
          </cell>
          <cell r="Q149">
            <v>21</v>
          </cell>
          <cell r="R149" t="str">
            <v>新N*X8S48</v>
          </cell>
          <cell r="S149" t="str">
            <v>公司筐</v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</row>
        <row r="149"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</row>
        <row r="150">
          <cell r="B150">
            <v>46272</v>
          </cell>
          <cell r="C150" t="str">
            <v>吐尔洪</v>
          </cell>
          <cell r="D150" t="str">
            <v>原料入库</v>
          </cell>
          <cell r="E150" t="str">
            <v>NO:0000756</v>
          </cell>
          <cell r="F150" t="str">
            <v>香梨</v>
          </cell>
          <cell r="G150" t="str">
            <v>香梨二级</v>
          </cell>
          <cell r="H150">
            <v>67</v>
          </cell>
          <cell r="I150" t="str">
            <v>筐</v>
          </cell>
          <cell r="J150">
            <v>1494.1</v>
          </cell>
          <cell r="K150" t="str">
            <v/>
          </cell>
          <cell r="L150" t="str">
            <v/>
          </cell>
          <cell r="M150" t="str">
            <v>麦麦提</v>
          </cell>
          <cell r="N150" t="str">
            <v>公司红周转筐</v>
          </cell>
          <cell r="O150" t="str">
            <v/>
          </cell>
          <cell r="P150" t="str">
            <v/>
          </cell>
          <cell r="Q150">
            <v>67</v>
          </cell>
          <cell r="R150" t="str">
            <v>新N*X8S48</v>
          </cell>
          <cell r="S150" t="str">
            <v>公司筐</v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</row>
        <row r="150">
          <cell r="AA150" t="str">
            <v/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  <cell r="AF150" t="str">
            <v/>
          </cell>
        </row>
        <row r="151">
          <cell r="B151">
            <v>46272</v>
          </cell>
          <cell r="C151" t="str">
            <v>马锦祥</v>
          </cell>
          <cell r="D151" t="str">
            <v>原料入库</v>
          </cell>
          <cell r="E151" t="str">
            <v>NO:0000757</v>
          </cell>
          <cell r="F151" t="str">
            <v>香梨</v>
          </cell>
          <cell r="G151" t="str">
            <v>香梨一级</v>
          </cell>
          <cell r="H151">
            <v>320</v>
          </cell>
          <cell r="I151" t="str">
            <v>筐</v>
          </cell>
          <cell r="J151">
            <v>5856</v>
          </cell>
          <cell r="K151" t="str">
            <v/>
          </cell>
          <cell r="L151" t="str">
            <v/>
          </cell>
          <cell r="M151" t="str">
            <v/>
          </cell>
          <cell r="N151" t="str">
            <v>公司杂周转筐</v>
          </cell>
          <cell r="O151" t="str">
            <v/>
          </cell>
          <cell r="P151" t="str">
            <v/>
          </cell>
          <cell r="Q151">
            <v>320</v>
          </cell>
          <cell r="R151" t="str">
            <v>新N*K7V85</v>
          </cell>
          <cell r="S151" t="str">
            <v>公司筐</v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</row>
        <row r="151"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</row>
        <row r="152">
          <cell r="B152">
            <v>46272</v>
          </cell>
          <cell r="C152" t="str">
            <v>马锦祥</v>
          </cell>
          <cell r="D152" t="str">
            <v>原料入库</v>
          </cell>
          <cell r="E152" t="str">
            <v>NO:0000757</v>
          </cell>
          <cell r="F152" t="str">
            <v>香梨</v>
          </cell>
          <cell r="G152" t="str">
            <v>香梨二级</v>
          </cell>
          <cell r="H152">
            <v>64</v>
          </cell>
          <cell r="I152" t="str">
            <v>筐</v>
          </cell>
          <cell r="J152">
            <v>1427.2</v>
          </cell>
          <cell r="K152" t="str">
            <v/>
          </cell>
          <cell r="L152" t="str">
            <v/>
          </cell>
          <cell r="M152" t="str">
            <v/>
          </cell>
          <cell r="N152" t="str">
            <v>公司杂周转筐</v>
          </cell>
          <cell r="O152" t="str">
            <v/>
          </cell>
          <cell r="P152" t="str">
            <v/>
          </cell>
          <cell r="Q152">
            <v>64</v>
          </cell>
          <cell r="R152" t="str">
            <v>新N*K7V85</v>
          </cell>
          <cell r="S152" t="str">
            <v>公司筐</v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</row>
        <row r="152"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</row>
        <row r="153">
          <cell r="B153">
            <v>46272</v>
          </cell>
          <cell r="C153" t="str">
            <v>马锦祥</v>
          </cell>
          <cell r="D153" t="str">
            <v>原料入库</v>
          </cell>
          <cell r="E153" t="str">
            <v>NO:0000757</v>
          </cell>
          <cell r="F153" t="str">
            <v>香梨</v>
          </cell>
          <cell r="G153" t="str">
            <v>香梨副特</v>
          </cell>
          <cell r="H153">
            <v>16</v>
          </cell>
          <cell r="I153" t="str">
            <v>筐</v>
          </cell>
          <cell r="J153">
            <v>292.8</v>
          </cell>
          <cell r="K153" t="str">
            <v/>
          </cell>
          <cell r="L153" t="str">
            <v/>
          </cell>
          <cell r="M153" t="str">
            <v/>
          </cell>
          <cell r="N153" t="str">
            <v>公司杂周转筐</v>
          </cell>
          <cell r="O153" t="str">
            <v/>
          </cell>
          <cell r="P153" t="str">
            <v/>
          </cell>
          <cell r="Q153">
            <v>16</v>
          </cell>
          <cell r="R153" t="str">
            <v>新N*K7V85</v>
          </cell>
          <cell r="S153" t="str">
            <v>公司筐</v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</row>
        <row r="153"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</row>
        <row r="154">
          <cell r="B154">
            <v>46272</v>
          </cell>
          <cell r="C154" t="str">
            <v>热合曼</v>
          </cell>
          <cell r="D154" t="str">
            <v>原料入库</v>
          </cell>
          <cell r="E154" t="str">
            <v>NO:0000758</v>
          </cell>
          <cell r="F154" t="str">
            <v>香梨</v>
          </cell>
          <cell r="G154" t="str">
            <v>香梨一级</v>
          </cell>
          <cell r="H154">
            <v>129</v>
          </cell>
          <cell r="I154" t="str">
            <v>筐</v>
          </cell>
          <cell r="J154">
            <v>2360.7</v>
          </cell>
          <cell r="K154" t="str">
            <v/>
          </cell>
          <cell r="L154" t="str">
            <v/>
          </cell>
          <cell r="M154" t="str">
            <v/>
          </cell>
          <cell r="N154" t="str">
            <v>公司红周转筐</v>
          </cell>
          <cell r="O154" t="str">
            <v/>
          </cell>
          <cell r="P154" t="str">
            <v/>
          </cell>
          <cell r="Q154">
            <v>129</v>
          </cell>
          <cell r="R154" t="str">
            <v>新A*G0554</v>
          </cell>
          <cell r="S154" t="str">
            <v>公司筐</v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</row>
        <row r="154">
          <cell r="AA154" t="str">
            <v/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  <cell r="AF154" t="str">
            <v/>
          </cell>
        </row>
        <row r="155">
          <cell r="B155">
            <v>46272</v>
          </cell>
          <cell r="C155" t="str">
            <v>热合曼</v>
          </cell>
          <cell r="D155" t="str">
            <v>原料入库</v>
          </cell>
          <cell r="E155" t="str">
            <v>NO:0000758</v>
          </cell>
          <cell r="F155" t="str">
            <v>香梨</v>
          </cell>
          <cell r="G155" t="str">
            <v>香梨二级</v>
          </cell>
          <cell r="H155">
            <v>119</v>
          </cell>
          <cell r="I155" t="str">
            <v>筐</v>
          </cell>
          <cell r="J155">
            <v>2653.7</v>
          </cell>
          <cell r="K155" t="str">
            <v/>
          </cell>
          <cell r="L155" t="str">
            <v/>
          </cell>
          <cell r="M155" t="str">
            <v/>
          </cell>
          <cell r="N155" t="str">
            <v>公司红周转筐</v>
          </cell>
          <cell r="O155" t="str">
            <v/>
          </cell>
          <cell r="P155" t="str">
            <v/>
          </cell>
          <cell r="Q155">
            <v>119</v>
          </cell>
          <cell r="R155" t="str">
            <v>新A*G0554</v>
          </cell>
          <cell r="S155" t="str">
            <v>公司筐</v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</row>
        <row r="155">
          <cell r="AA155" t="str">
            <v/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  <cell r="AF155" t="str">
            <v/>
          </cell>
        </row>
        <row r="156">
          <cell r="B156">
            <v>46272</v>
          </cell>
          <cell r="C156" t="str">
            <v>热合曼</v>
          </cell>
          <cell r="D156" t="str">
            <v>原料入库</v>
          </cell>
          <cell r="E156" t="str">
            <v>NO:0000758</v>
          </cell>
          <cell r="F156" t="str">
            <v>香梨</v>
          </cell>
          <cell r="G156" t="str">
            <v>香梨副特</v>
          </cell>
          <cell r="H156">
            <v>262</v>
          </cell>
          <cell r="I156" t="str">
            <v>筐</v>
          </cell>
          <cell r="J156">
            <v>5056.6</v>
          </cell>
          <cell r="K156" t="str">
            <v/>
          </cell>
          <cell r="L156" t="str">
            <v/>
          </cell>
          <cell r="M156" t="str">
            <v/>
          </cell>
          <cell r="N156" t="str">
            <v>公司红周转筐</v>
          </cell>
          <cell r="O156" t="str">
            <v/>
          </cell>
          <cell r="P156" t="str">
            <v/>
          </cell>
          <cell r="Q156">
            <v>262</v>
          </cell>
          <cell r="R156" t="str">
            <v>新A*G0554</v>
          </cell>
          <cell r="S156" t="str">
            <v>公司筐</v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</row>
        <row r="156">
          <cell r="AA156" t="str">
            <v/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  <cell r="AF156" t="str">
            <v/>
          </cell>
        </row>
        <row r="157">
          <cell r="B157">
            <v>46273</v>
          </cell>
          <cell r="C157" t="str">
            <v>贾建国</v>
          </cell>
          <cell r="D157" t="str">
            <v>原料入库</v>
          </cell>
          <cell r="E157" t="str">
            <v>NO:0000760</v>
          </cell>
          <cell r="F157" t="str">
            <v>香梨</v>
          </cell>
          <cell r="G157" t="str">
            <v>香梨副特</v>
          </cell>
          <cell r="H157">
            <v>144</v>
          </cell>
          <cell r="I157" t="str">
            <v>筐</v>
          </cell>
          <cell r="J157">
            <v>2779.2</v>
          </cell>
          <cell r="K157" t="str">
            <v/>
          </cell>
          <cell r="L157" t="str">
            <v/>
          </cell>
          <cell r="M157" t="str">
            <v/>
          </cell>
          <cell r="N157" t="str">
            <v>自备一次性筐</v>
          </cell>
          <cell r="O157" t="str">
            <v/>
          </cell>
          <cell r="P157" t="str">
            <v/>
          </cell>
          <cell r="Q157">
            <v>144</v>
          </cell>
          <cell r="R157" t="str">
            <v>豫Q*H5591</v>
          </cell>
          <cell r="S157" t="str">
            <v>自备筐</v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</row>
        <row r="157"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</row>
        <row r="158">
          <cell r="B158">
            <v>46273</v>
          </cell>
          <cell r="C158" t="str">
            <v>贾建国</v>
          </cell>
          <cell r="D158" t="str">
            <v>原料入库</v>
          </cell>
          <cell r="E158" t="str">
            <v>NO:0000760</v>
          </cell>
          <cell r="F158" t="str">
            <v>香梨</v>
          </cell>
          <cell r="G158" t="str">
            <v>香梨二级</v>
          </cell>
          <cell r="H158">
            <v>24</v>
          </cell>
          <cell r="I158" t="str">
            <v>筐</v>
          </cell>
          <cell r="J158">
            <v>540</v>
          </cell>
          <cell r="K158" t="str">
            <v/>
          </cell>
          <cell r="L158" t="str">
            <v/>
          </cell>
          <cell r="M158" t="str">
            <v/>
          </cell>
          <cell r="N158" t="str">
            <v>自备杂周转筐</v>
          </cell>
          <cell r="O158" t="str">
            <v/>
          </cell>
          <cell r="P158" t="str">
            <v/>
          </cell>
          <cell r="Q158">
            <v>24</v>
          </cell>
          <cell r="R158" t="str">
            <v>豫Q*H5591</v>
          </cell>
          <cell r="S158" t="str">
            <v>自备筐</v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</row>
        <row r="158"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</row>
        <row r="159">
          <cell r="B159">
            <v>46274</v>
          </cell>
          <cell r="C159" t="str">
            <v>吐尔洪</v>
          </cell>
          <cell r="D159" t="str">
            <v>原料入库</v>
          </cell>
          <cell r="E159" t="str">
            <v>NO:0000762</v>
          </cell>
          <cell r="F159" t="str">
            <v>香梨</v>
          </cell>
          <cell r="G159" t="str">
            <v>香梨特级</v>
          </cell>
          <cell r="H159">
            <v>91</v>
          </cell>
          <cell r="I159" t="str">
            <v>筐</v>
          </cell>
          <cell r="J159">
            <v>1665.3</v>
          </cell>
          <cell r="K159" t="str">
            <v/>
          </cell>
          <cell r="L159" t="str">
            <v/>
          </cell>
          <cell r="M159" t="str">
            <v>麦麦提</v>
          </cell>
          <cell r="N159" t="str">
            <v>公司红周转筐</v>
          </cell>
          <cell r="O159" t="str">
            <v/>
          </cell>
          <cell r="P159" t="str">
            <v/>
          </cell>
          <cell r="Q159">
            <v>91</v>
          </cell>
          <cell r="R159" t="str">
            <v>新N*X8S48</v>
          </cell>
          <cell r="S159" t="str">
            <v>公司筐</v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</row>
        <row r="159"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</row>
        <row r="160">
          <cell r="B160">
            <v>46274</v>
          </cell>
          <cell r="C160" t="str">
            <v>吐尔洪</v>
          </cell>
          <cell r="D160" t="str">
            <v>原料入库</v>
          </cell>
          <cell r="E160" t="str">
            <v>NO:0000762</v>
          </cell>
          <cell r="F160" t="str">
            <v>香梨</v>
          </cell>
          <cell r="G160" t="str">
            <v>香梨一级</v>
          </cell>
          <cell r="H160">
            <v>79</v>
          </cell>
          <cell r="I160" t="str">
            <v>筐</v>
          </cell>
          <cell r="J160">
            <v>1445.7</v>
          </cell>
          <cell r="K160" t="str">
            <v/>
          </cell>
          <cell r="L160" t="str">
            <v/>
          </cell>
          <cell r="M160" t="str">
            <v>麦麦提</v>
          </cell>
          <cell r="N160" t="str">
            <v>公司红周转筐</v>
          </cell>
          <cell r="O160" t="str">
            <v/>
          </cell>
          <cell r="P160" t="str">
            <v/>
          </cell>
          <cell r="Q160">
            <v>79</v>
          </cell>
          <cell r="R160" t="str">
            <v>新N*X8S48</v>
          </cell>
          <cell r="S160" t="str">
            <v>公司筐</v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</row>
        <row r="160"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</row>
        <row r="161">
          <cell r="B161">
            <v>46274</v>
          </cell>
          <cell r="C161" t="str">
            <v>吐尔洪</v>
          </cell>
          <cell r="D161" t="str">
            <v>原料入库</v>
          </cell>
          <cell r="E161" t="str">
            <v>NO:0000762</v>
          </cell>
          <cell r="F161" t="str">
            <v>香梨</v>
          </cell>
          <cell r="G161" t="str">
            <v>香梨二级</v>
          </cell>
          <cell r="H161">
            <v>72</v>
          </cell>
          <cell r="I161" t="str">
            <v>筐</v>
          </cell>
          <cell r="J161">
            <v>1605.6</v>
          </cell>
          <cell r="K161" t="str">
            <v/>
          </cell>
          <cell r="L161" t="str">
            <v/>
          </cell>
          <cell r="M161" t="str">
            <v>麦麦提</v>
          </cell>
          <cell r="N161" t="str">
            <v>公司红周转筐</v>
          </cell>
          <cell r="O161" t="str">
            <v/>
          </cell>
          <cell r="P161" t="str">
            <v/>
          </cell>
          <cell r="Q161">
            <v>72</v>
          </cell>
          <cell r="R161" t="str">
            <v>新N*X8S48</v>
          </cell>
          <cell r="S161" t="str">
            <v>公司筐</v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</row>
        <row r="161"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</row>
        <row r="162">
          <cell r="B162">
            <v>46274</v>
          </cell>
          <cell r="C162" t="str">
            <v>麦麦提</v>
          </cell>
          <cell r="D162" t="str">
            <v>原料入库</v>
          </cell>
          <cell r="E162" t="str">
            <v>NO:0000764</v>
          </cell>
          <cell r="F162" t="str">
            <v>香梨</v>
          </cell>
          <cell r="G162" t="str">
            <v>香梨特级</v>
          </cell>
          <cell r="H162">
            <v>264</v>
          </cell>
          <cell r="I162" t="str">
            <v>筐</v>
          </cell>
          <cell r="J162">
            <v>4831.2</v>
          </cell>
          <cell r="K162" t="str">
            <v/>
          </cell>
          <cell r="L162" t="str">
            <v/>
          </cell>
          <cell r="M162" t="str">
            <v/>
          </cell>
          <cell r="N162" t="str">
            <v>公司红周转筐</v>
          </cell>
          <cell r="O162" t="str">
            <v/>
          </cell>
          <cell r="P162" t="str">
            <v/>
          </cell>
          <cell r="Q162">
            <v>264</v>
          </cell>
          <cell r="R162" t="str">
            <v>新A*G0554</v>
          </cell>
          <cell r="S162" t="str">
            <v>公司筐</v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</row>
        <row r="162"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</row>
        <row r="163">
          <cell r="B163">
            <v>46274</v>
          </cell>
          <cell r="C163" t="str">
            <v>麦麦提</v>
          </cell>
          <cell r="D163" t="str">
            <v>原料入库</v>
          </cell>
          <cell r="E163" t="str">
            <v>NO:0000764</v>
          </cell>
          <cell r="F163" t="str">
            <v>香梨</v>
          </cell>
          <cell r="G163" t="str">
            <v>香梨一级</v>
          </cell>
          <cell r="H163">
            <v>191</v>
          </cell>
          <cell r="I163" t="str">
            <v>筐</v>
          </cell>
          <cell r="J163">
            <v>3495.3</v>
          </cell>
          <cell r="K163" t="str">
            <v/>
          </cell>
          <cell r="L163" t="str">
            <v/>
          </cell>
          <cell r="M163" t="str">
            <v/>
          </cell>
          <cell r="N163" t="str">
            <v>公司红周转筐</v>
          </cell>
          <cell r="O163" t="str">
            <v/>
          </cell>
          <cell r="P163" t="str">
            <v/>
          </cell>
          <cell r="Q163">
            <v>191</v>
          </cell>
          <cell r="R163" t="str">
            <v>新A*G0554</v>
          </cell>
          <cell r="S163" t="str">
            <v>公司筐</v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</row>
        <row r="163"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</row>
        <row r="164">
          <cell r="B164">
            <v>46274</v>
          </cell>
          <cell r="C164" t="str">
            <v>麦麦提</v>
          </cell>
          <cell r="D164" t="str">
            <v>原料入库</v>
          </cell>
          <cell r="E164" t="str">
            <v>NO:0000764</v>
          </cell>
          <cell r="F164" t="str">
            <v>香梨</v>
          </cell>
          <cell r="G164" t="str">
            <v>香梨二级</v>
          </cell>
          <cell r="H164">
            <v>177</v>
          </cell>
          <cell r="I164" t="str">
            <v>筐</v>
          </cell>
          <cell r="J164">
            <v>3947.1</v>
          </cell>
          <cell r="K164" t="str">
            <v/>
          </cell>
          <cell r="L164" t="str">
            <v/>
          </cell>
          <cell r="M164" t="str">
            <v/>
          </cell>
          <cell r="N164" t="str">
            <v>公司红周转筐</v>
          </cell>
          <cell r="O164" t="str">
            <v/>
          </cell>
          <cell r="P164" t="str">
            <v/>
          </cell>
          <cell r="Q164">
            <v>177</v>
          </cell>
          <cell r="R164" t="str">
            <v>新A*G0554</v>
          </cell>
          <cell r="S164" t="str">
            <v>公司筐</v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</row>
        <row r="164"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</row>
        <row r="165">
          <cell r="B165">
            <v>46274</v>
          </cell>
          <cell r="C165" t="str">
            <v>贾建国</v>
          </cell>
          <cell r="D165" t="str">
            <v>原料入库</v>
          </cell>
          <cell r="E165" t="str">
            <v>NO:0000767</v>
          </cell>
          <cell r="F165" t="str">
            <v>香梨</v>
          </cell>
          <cell r="G165" t="str">
            <v>香梨二级</v>
          </cell>
          <cell r="H165">
            <v>170</v>
          </cell>
          <cell r="I165" t="str">
            <v>筐</v>
          </cell>
          <cell r="J165">
            <v>3825</v>
          </cell>
          <cell r="K165" t="str">
            <v/>
          </cell>
          <cell r="L165" t="str">
            <v/>
          </cell>
          <cell r="M165" t="str">
            <v>二黄</v>
          </cell>
          <cell r="N165" t="str">
            <v>自备杂周转筐</v>
          </cell>
          <cell r="O165" t="str">
            <v/>
          </cell>
          <cell r="P165" t="str">
            <v/>
          </cell>
          <cell r="Q165">
            <v>170</v>
          </cell>
          <cell r="R165" t="str">
            <v>豫Q*H5591</v>
          </cell>
          <cell r="S165" t="str">
            <v>自备筐</v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</row>
        <row r="165"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</row>
        <row r="166">
          <cell r="B166">
            <v>46274</v>
          </cell>
          <cell r="C166" t="str">
            <v>贾建国</v>
          </cell>
          <cell r="D166" t="str">
            <v>原料入库</v>
          </cell>
          <cell r="E166" t="str">
            <v>NO:0000767</v>
          </cell>
          <cell r="F166" t="str">
            <v>香梨</v>
          </cell>
          <cell r="G166" t="str">
            <v>香梨副特</v>
          </cell>
          <cell r="H166">
            <v>28</v>
          </cell>
          <cell r="I166" t="str">
            <v>筐</v>
          </cell>
          <cell r="J166">
            <v>540.4</v>
          </cell>
          <cell r="K166" t="str">
            <v/>
          </cell>
          <cell r="L166" t="str">
            <v/>
          </cell>
          <cell r="M166" t="str">
            <v>二黄</v>
          </cell>
          <cell r="N166" t="str">
            <v>自备一次性筐</v>
          </cell>
          <cell r="O166" t="str">
            <v/>
          </cell>
          <cell r="P166" t="str">
            <v/>
          </cell>
          <cell r="Q166">
            <v>28</v>
          </cell>
          <cell r="R166" t="str">
            <v>豫Q*H5591</v>
          </cell>
          <cell r="S166" t="str">
            <v>自备筐</v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</row>
        <row r="166"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</row>
        <row r="167">
          <cell r="B167">
            <v>46275</v>
          </cell>
          <cell r="C167" t="str">
            <v>王灵云</v>
          </cell>
          <cell r="D167" t="str">
            <v>原料入库</v>
          </cell>
          <cell r="E167" t="str">
            <v>NO:0000768</v>
          </cell>
          <cell r="F167" t="str">
            <v>香梨</v>
          </cell>
          <cell r="G167" t="str">
            <v>香梨一级</v>
          </cell>
          <cell r="H167">
            <v>195</v>
          </cell>
          <cell r="I167" t="str">
            <v>筐</v>
          </cell>
          <cell r="J167">
            <v>3568.5</v>
          </cell>
          <cell r="K167" t="str">
            <v/>
          </cell>
          <cell r="L167" t="str">
            <v/>
          </cell>
          <cell r="M167" t="str">
            <v/>
          </cell>
          <cell r="N167" t="str">
            <v>公司红周转筐</v>
          </cell>
          <cell r="O167" t="str">
            <v/>
          </cell>
          <cell r="P167" t="str">
            <v/>
          </cell>
          <cell r="Q167">
            <v>195</v>
          </cell>
          <cell r="R167" t="str">
            <v>新N*49209</v>
          </cell>
          <cell r="S167" t="str">
            <v>公司筐</v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</row>
        <row r="167"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</row>
        <row r="168">
          <cell r="B168">
            <v>46275</v>
          </cell>
          <cell r="C168" t="str">
            <v>王灵云</v>
          </cell>
          <cell r="D168" t="str">
            <v>原料入库</v>
          </cell>
          <cell r="E168" t="str">
            <v>NO:0000768</v>
          </cell>
          <cell r="F168" t="str">
            <v>香梨</v>
          </cell>
          <cell r="G168" t="str">
            <v>香梨副特</v>
          </cell>
          <cell r="H168">
            <v>134</v>
          </cell>
          <cell r="I168" t="str">
            <v>筐</v>
          </cell>
          <cell r="J168">
            <v>2452.2</v>
          </cell>
          <cell r="K168" t="str">
            <v/>
          </cell>
          <cell r="L168" t="str">
            <v/>
          </cell>
          <cell r="M168" t="str">
            <v/>
          </cell>
          <cell r="N168" t="str">
            <v>公司红周转筐</v>
          </cell>
          <cell r="O168" t="str">
            <v/>
          </cell>
          <cell r="P168" t="str">
            <v/>
          </cell>
          <cell r="Q168">
            <v>134</v>
          </cell>
          <cell r="R168" t="str">
            <v>新N*49209</v>
          </cell>
          <cell r="S168" t="str">
            <v>公司筐</v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</row>
        <row r="168">
          <cell r="AA168" t="str">
            <v/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</row>
        <row r="169">
          <cell r="B169">
            <v>46275</v>
          </cell>
          <cell r="C169" t="str">
            <v>王灵云</v>
          </cell>
          <cell r="D169" t="str">
            <v>原料入库</v>
          </cell>
          <cell r="E169" t="str">
            <v>NO:0000768</v>
          </cell>
          <cell r="F169" t="str">
            <v>香梨</v>
          </cell>
          <cell r="G169" t="str">
            <v>香梨二级</v>
          </cell>
          <cell r="H169">
            <v>64</v>
          </cell>
          <cell r="I169" t="str">
            <v>筐</v>
          </cell>
          <cell r="J169">
            <v>1491.2</v>
          </cell>
          <cell r="K169" t="str">
            <v/>
          </cell>
          <cell r="L169" t="str">
            <v/>
          </cell>
          <cell r="M169" t="str">
            <v>押金3000元已退还</v>
          </cell>
          <cell r="N169" t="str">
            <v>公司红周转筐</v>
          </cell>
          <cell r="O169" t="str">
            <v/>
          </cell>
          <cell r="P169" t="str">
            <v/>
          </cell>
          <cell r="Q169">
            <v>64</v>
          </cell>
          <cell r="R169" t="str">
            <v>新N*49209</v>
          </cell>
          <cell r="S169" t="str">
            <v>公司筐</v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</row>
        <row r="169">
          <cell r="AA169" t="str">
            <v/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  <cell r="AF169" t="str">
            <v/>
          </cell>
        </row>
        <row r="170">
          <cell r="B170">
            <v>46275</v>
          </cell>
          <cell r="C170" t="str">
            <v>杨艳玲</v>
          </cell>
          <cell r="D170" t="str">
            <v>原料入库</v>
          </cell>
          <cell r="E170" t="str">
            <v>NO:0000769</v>
          </cell>
          <cell r="F170" t="str">
            <v>香梨</v>
          </cell>
          <cell r="G170" t="str">
            <v>香梨玉露</v>
          </cell>
          <cell r="H170">
            <v>104</v>
          </cell>
          <cell r="I170" t="str">
            <v>筐</v>
          </cell>
          <cell r="J170">
            <v>1799.2</v>
          </cell>
          <cell r="K170" t="str">
            <v/>
          </cell>
          <cell r="L170" t="str">
            <v/>
          </cell>
          <cell r="M170" t="str">
            <v/>
          </cell>
          <cell r="N170" t="str">
            <v>自备一次性筐</v>
          </cell>
          <cell r="O170" t="str">
            <v/>
          </cell>
          <cell r="P170" t="str">
            <v/>
          </cell>
          <cell r="Q170">
            <v>104</v>
          </cell>
          <cell r="R170" t="str">
            <v>新N*E3H01</v>
          </cell>
          <cell r="S170" t="str">
            <v>自备筐</v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</row>
        <row r="170"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</row>
        <row r="171">
          <cell r="B171">
            <v>46275</v>
          </cell>
          <cell r="C171" t="str">
            <v>荆建君</v>
          </cell>
          <cell r="D171" t="str">
            <v>原料入库</v>
          </cell>
          <cell r="E171" t="str">
            <v>NO:0000770</v>
          </cell>
          <cell r="F171" t="str">
            <v>香梨</v>
          </cell>
          <cell r="G171" t="str">
            <v>香梨一级</v>
          </cell>
          <cell r="H171">
            <v>239</v>
          </cell>
          <cell r="I171" t="str">
            <v>筐</v>
          </cell>
          <cell r="J171">
            <v>4373.7</v>
          </cell>
          <cell r="K171" t="str">
            <v/>
          </cell>
          <cell r="L171" t="str">
            <v/>
          </cell>
          <cell r="M171" t="str">
            <v/>
          </cell>
          <cell r="N171" t="str">
            <v>公司红周转筐</v>
          </cell>
          <cell r="O171" t="str">
            <v/>
          </cell>
          <cell r="P171" t="str">
            <v/>
          </cell>
          <cell r="Q171">
            <v>239</v>
          </cell>
          <cell r="R171" t="str">
            <v>豫A*2737K</v>
          </cell>
          <cell r="S171" t="str">
            <v>公司筐</v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</row>
        <row r="171"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</row>
        <row r="172">
          <cell r="B172">
            <v>46275</v>
          </cell>
          <cell r="C172" t="str">
            <v>荆建君</v>
          </cell>
          <cell r="D172" t="str">
            <v>原料入库</v>
          </cell>
          <cell r="E172" t="str">
            <v>NO:0000770</v>
          </cell>
          <cell r="F172" t="str">
            <v>香梨</v>
          </cell>
          <cell r="G172" t="str">
            <v>香梨二级</v>
          </cell>
          <cell r="H172">
            <v>329</v>
          </cell>
          <cell r="I172" t="str">
            <v>筐</v>
          </cell>
          <cell r="J172">
            <v>6020.7</v>
          </cell>
          <cell r="K172" t="str">
            <v/>
          </cell>
          <cell r="L172" t="str">
            <v/>
          </cell>
          <cell r="M172" t="str">
            <v/>
          </cell>
          <cell r="N172" t="str">
            <v>公司红周转筐</v>
          </cell>
          <cell r="O172" t="str">
            <v/>
          </cell>
          <cell r="P172" t="str">
            <v/>
          </cell>
          <cell r="Q172">
            <v>329</v>
          </cell>
          <cell r="R172" t="str">
            <v>豫A*2737K</v>
          </cell>
          <cell r="S172" t="str">
            <v>公司筐</v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</row>
        <row r="172"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</row>
        <row r="173">
          <cell r="B173">
            <v>46275</v>
          </cell>
          <cell r="C173" t="str">
            <v>贾建国</v>
          </cell>
          <cell r="D173" t="str">
            <v>原料入库</v>
          </cell>
          <cell r="E173" t="str">
            <v>NO:0000772</v>
          </cell>
          <cell r="F173" t="str">
            <v>香梨</v>
          </cell>
          <cell r="G173" t="str">
            <v>香梨副特</v>
          </cell>
          <cell r="H173">
            <v>74</v>
          </cell>
          <cell r="I173" t="str">
            <v>筐</v>
          </cell>
          <cell r="J173">
            <v>1665</v>
          </cell>
          <cell r="K173" t="str">
            <v/>
          </cell>
          <cell r="L173" t="str">
            <v/>
          </cell>
          <cell r="M173" t="str">
            <v/>
          </cell>
          <cell r="N173" t="str">
            <v>公司新周转筐</v>
          </cell>
          <cell r="O173" t="str">
            <v/>
          </cell>
          <cell r="P173" t="str">
            <v/>
          </cell>
          <cell r="Q173">
            <v>74</v>
          </cell>
          <cell r="R173" t="str">
            <v>新N*56508</v>
          </cell>
          <cell r="S173" t="str">
            <v>公司筐</v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</row>
        <row r="173">
          <cell r="AA173" t="str">
            <v/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  <cell r="AF173" t="str">
            <v/>
          </cell>
        </row>
        <row r="174">
          <cell r="B174">
            <v>46275</v>
          </cell>
          <cell r="C174" t="str">
            <v>吐尔洪</v>
          </cell>
          <cell r="D174" t="str">
            <v>原料入库</v>
          </cell>
          <cell r="E174" t="str">
            <v>NO:0000773</v>
          </cell>
          <cell r="F174" t="str">
            <v>香梨</v>
          </cell>
          <cell r="G174" t="str">
            <v>香梨特级</v>
          </cell>
          <cell r="H174">
            <v>108</v>
          </cell>
          <cell r="I174" t="str">
            <v>筐</v>
          </cell>
          <cell r="J174">
            <v>1976.4</v>
          </cell>
          <cell r="K174" t="str">
            <v/>
          </cell>
          <cell r="L174" t="str">
            <v/>
          </cell>
          <cell r="M174" t="str">
            <v>麦麦提</v>
          </cell>
          <cell r="N174" t="str">
            <v>公司红周转筐</v>
          </cell>
          <cell r="O174" t="str">
            <v/>
          </cell>
          <cell r="P174" t="str">
            <v/>
          </cell>
          <cell r="Q174">
            <v>108</v>
          </cell>
          <cell r="R174" t="str">
            <v>新N*X8S48</v>
          </cell>
          <cell r="S174" t="str">
            <v>公司筐</v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</row>
        <row r="174"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</row>
        <row r="175">
          <cell r="B175">
            <v>46275</v>
          </cell>
          <cell r="C175" t="str">
            <v>吐尔洪</v>
          </cell>
          <cell r="D175" t="str">
            <v>原料入库</v>
          </cell>
          <cell r="E175" t="str">
            <v>NO:0000773</v>
          </cell>
          <cell r="F175" t="str">
            <v>香梨</v>
          </cell>
          <cell r="G175" t="str">
            <v>香梨一级</v>
          </cell>
          <cell r="H175">
            <v>38</v>
          </cell>
          <cell r="I175" t="str">
            <v>筐</v>
          </cell>
          <cell r="J175">
            <v>695.4</v>
          </cell>
          <cell r="K175" t="str">
            <v/>
          </cell>
          <cell r="L175" t="str">
            <v/>
          </cell>
          <cell r="M175" t="str">
            <v>麦麦提</v>
          </cell>
          <cell r="N175" t="str">
            <v>公司红周转筐</v>
          </cell>
          <cell r="O175" t="str">
            <v/>
          </cell>
          <cell r="P175" t="str">
            <v/>
          </cell>
          <cell r="Q175">
            <v>38</v>
          </cell>
          <cell r="R175" t="str">
            <v>新N*X8S48</v>
          </cell>
          <cell r="S175" t="str">
            <v>公司筐</v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</row>
        <row r="175"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</row>
        <row r="176">
          <cell r="B176">
            <v>46275</v>
          </cell>
          <cell r="C176" t="str">
            <v>吐尔洪</v>
          </cell>
          <cell r="D176" t="str">
            <v>原料入库</v>
          </cell>
          <cell r="E176" t="str">
            <v>NO:0000773</v>
          </cell>
          <cell r="F176" t="str">
            <v>香梨</v>
          </cell>
          <cell r="G176" t="str">
            <v>香梨二级</v>
          </cell>
          <cell r="H176">
            <v>106</v>
          </cell>
          <cell r="I176" t="str">
            <v>筐</v>
          </cell>
          <cell r="J176">
            <v>2363.8</v>
          </cell>
          <cell r="K176" t="str">
            <v/>
          </cell>
          <cell r="L176" t="str">
            <v/>
          </cell>
          <cell r="M176" t="str">
            <v>麦麦提</v>
          </cell>
          <cell r="N176" t="str">
            <v>公司红周转筐</v>
          </cell>
          <cell r="O176" t="str">
            <v/>
          </cell>
          <cell r="P176" t="str">
            <v/>
          </cell>
          <cell r="Q176">
            <v>106</v>
          </cell>
          <cell r="R176" t="str">
            <v>新N*X8S48</v>
          </cell>
          <cell r="S176" t="str">
            <v>公司筐</v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</row>
        <row r="176"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</row>
        <row r="177">
          <cell r="B177">
            <v>46275</v>
          </cell>
          <cell r="C177" t="str">
            <v>王照雪</v>
          </cell>
          <cell r="D177" t="str">
            <v>原料入库</v>
          </cell>
          <cell r="E177" t="str">
            <v>NO:0000775</v>
          </cell>
          <cell r="F177" t="str">
            <v>香梨</v>
          </cell>
          <cell r="G177" t="str">
            <v>香梨一级</v>
          </cell>
          <cell r="H177">
            <v>196</v>
          </cell>
          <cell r="I177" t="str">
            <v>筐</v>
          </cell>
          <cell r="J177">
            <v>3626</v>
          </cell>
          <cell r="K177" t="str">
            <v/>
          </cell>
          <cell r="L177" t="str">
            <v/>
          </cell>
          <cell r="M177" t="str">
            <v/>
          </cell>
          <cell r="N177" t="str">
            <v>公司一次性筐</v>
          </cell>
          <cell r="O177" t="str">
            <v/>
          </cell>
          <cell r="P177" t="str">
            <v/>
          </cell>
          <cell r="Q177">
            <v>196</v>
          </cell>
          <cell r="R177" t="str">
            <v>豫L*88X19</v>
          </cell>
          <cell r="S177" t="str">
            <v>公司筐</v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</row>
        <row r="177"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</row>
        <row r="178">
          <cell r="B178">
            <v>46275</v>
          </cell>
          <cell r="C178" t="str">
            <v>王照雪</v>
          </cell>
          <cell r="D178" t="str">
            <v>原料入库</v>
          </cell>
          <cell r="E178" t="str">
            <v>NO:0000775</v>
          </cell>
          <cell r="F178" t="str">
            <v>香梨</v>
          </cell>
          <cell r="G178" t="str">
            <v>香梨副特</v>
          </cell>
          <cell r="H178">
            <v>133</v>
          </cell>
          <cell r="I178" t="str">
            <v>筐</v>
          </cell>
          <cell r="J178">
            <v>2460.5</v>
          </cell>
          <cell r="K178" t="str">
            <v/>
          </cell>
          <cell r="L178" t="str">
            <v/>
          </cell>
          <cell r="M178" t="str">
            <v/>
          </cell>
          <cell r="N178" t="str">
            <v>公司一次性筐</v>
          </cell>
          <cell r="O178" t="str">
            <v/>
          </cell>
          <cell r="P178" t="str">
            <v/>
          </cell>
          <cell r="Q178">
            <v>133</v>
          </cell>
          <cell r="R178" t="str">
            <v>豫L*88X19</v>
          </cell>
          <cell r="S178" t="str">
            <v>公司筐</v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</row>
        <row r="178"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</row>
        <row r="179">
          <cell r="B179">
            <v>46275</v>
          </cell>
          <cell r="C179" t="str">
            <v>热合曼</v>
          </cell>
          <cell r="D179" t="str">
            <v>原料入库</v>
          </cell>
          <cell r="E179" t="str">
            <v>NO:0000776</v>
          </cell>
          <cell r="F179" t="str">
            <v>香梨</v>
          </cell>
          <cell r="G179" t="str">
            <v>香梨一级</v>
          </cell>
          <cell r="H179">
            <v>220</v>
          </cell>
          <cell r="I179" t="str">
            <v>筐</v>
          </cell>
          <cell r="J179">
            <v>4026</v>
          </cell>
          <cell r="K179" t="str">
            <v/>
          </cell>
          <cell r="L179" t="str">
            <v/>
          </cell>
          <cell r="M179" t="str">
            <v/>
          </cell>
          <cell r="N179" t="str">
            <v>公司红周转筐</v>
          </cell>
          <cell r="O179" t="str">
            <v/>
          </cell>
          <cell r="P179" t="str">
            <v/>
          </cell>
          <cell r="Q179">
            <v>220</v>
          </cell>
          <cell r="R179" t="str">
            <v>新A*G0554</v>
          </cell>
          <cell r="S179" t="str">
            <v>公司筐</v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</row>
        <row r="179"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</row>
        <row r="180">
          <cell r="B180">
            <v>46275</v>
          </cell>
          <cell r="C180" t="str">
            <v>热合曼</v>
          </cell>
          <cell r="D180" t="str">
            <v>原料入库</v>
          </cell>
          <cell r="E180" t="str">
            <v>NO:0000776</v>
          </cell>
          <cell r="F180" t="str">
            <v>香梨</v>
          </cell>
          <cell r="G180" t="str">
            <v>香梨二级</v>
          </cell>
          <cell r="H180">
            <v>54</v>
          </cell>
          <cell r="I180" t="str">
            <v>筐</v>
          </cell>
          <cell r="J180">
            <v>1204.2</v>
          </cell>
          <cell r="K180" t="str">
            <v/>
          </cell>
          <cell r="L180" t="str">
            <v/>
          </cell>
          <cell r="M180" t="str">
            <v/>
          </cell>
          <cell r="N180" t="str">
            <v>公司红周转筐</v>
          </cell>
          <cell r="O180" t="str">
            <v/>
          </cell>
          <cell r="P180" t="str">
            <v/>
          </cell>
          <cell r="Q180">
            <v>54</v>
          </cell>
          <cell r="R180" t="str">
            <v>新A*G0554</v>
          </cell>
          <cell r="S180" t="str">
            <v>公司筐</v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</row>
        <row r="180"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</row>
        <row r="181">
          <cell r="B181">
            <v>46275</v>
          </cell>
          <cell r="C181" t="str">
            <v>热合曼</v>
          </cell>
          <cell r="D181" t="str">
            <v>原料入库</v>
          </cell>
          <cell r="E181" t="str">
            <v>NO:0000776</v>
          </cell>
          <cell r="F181" t="str">
            <v>香梨</v>
          </cell>
          <cell r="G181" t="str">
            <v>香梨副特</v>
          </cell>
          <cell r="H181">
            <v>305</v>
          </cell>
          <cell r="I181" t="str">
            <v>筐</v>
          </cell>
          <cell r="J181">
            <v>5886.5</v>
          </cell>
          <cell r="K181" t="str">
            <v/>
          </cell>
          <cell r="L181" t="str">
            <v/>
          </cell>
          <cell r="M181" t="str">
            <v/>
          </cell>
          <cell r="N181" t="str">
            <v>公司红周转筐</v>
          </cell>
          <cell r="O181" t="str">
            <v/>
          </cell>
          <cell r="P181" t="str">
            <v/>
          </cell>
          <cell r="Q181">
            <v>305</v>
          </cell>
          <cell r="R181" t="str">
            <v>新A*G0554</v>
          </cell>
          <cell r="S181" t="str">
            <v>公司筐</v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</row>
        <row r="181">
          <cell r="AA181" t="str">
            <v/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  <cell r="AF181" t="str">
            <v/>
          </cell>
        </row>
        <row r="182">
          <cell r="B182">
            <v>46276</v>
          </cell>
          <cell r="C182" t="str">
            <v>马锦祥</v>
          </cell>
          <cell r="D182" t="str">
            <v>原料入库</v>
          </cell>
          <cell r="E182" t="str">
            <v>NO:0000780</v>
          </cell>
          <cell r="F182" t="str">
            <v>香梨</v>
          </cell>
          <cell r="G182" t="str">
            <v>香梨一级</v>
          </cell>
          <cell r="H182">
            <v>320</v>
          </cell>
          <cell r="I182" t="str">
            <v>筐</v>
          </cell>
          <cell r="J182">
            <v>5856</v>
          </cell>
          <cell r="K182" t="str">
            <v/>
          </cell>
          <cell r="L182" t="str">
            <v/>
          </cell>
          <cell r="M182" t="str">
            <v/>
          </cell>
          <cell r="N182" t="str">
            <v>公司杂周转筐</v>
          </cell>
          <cell r="O182" t="str">
            <v/>
          </cell>
          <cell r="P182" t="str">
            <v/>
          </cell>
          <cell r="Q182">
            <v>320</v>
          </cell>
          <cell r="R182" t="str">
            <v>新N*K7V85</v>
          </cell>
          <cell r="S182" t="str">
            <v>公司筐</v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</row>
        <row r="182"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</row>
        <row r="183">
          <cell r="B183">
            <v>46276</v>
          </cell>
          <cell r="C183" t="str">
            <v>马锦祥</v>
          </cell>
          <cell r="D183" t="str">
            <v>原料入库</v>
          </cell>
          <cell r="E183" t="str">
            <v>NO:0000780</v>
          </cell>
          <cell r="F183" t="str">
            <v>香梨</v>
          </cell>
          <cell r="G183" t="str">
            <v>香梨二级</v>
          </cell>
          <cell r="H183">
            <v>64</v>
          </cell>
          <cell r="I183" t="str">
            <v>筐</v>
          </cell>
          <cell r="J183">
            <v>1427.2</v>
          </cell>
          <cell r="K183" t="str">
            <v/>
          </cell>
          <cell r="L183" t="str">
            <v/>
          </cell>
          <cell r="M183" t="str">
            <v/>
          </cell>
          <cell r="N183" t="str">
            <v>公司杂周转筐</v>
          </cell>
          <cell r="O183" t="str">
            <v/>
          </cell>
          <cell r="P183" t="str">
            <v/>
          </cell>
          <cell r="Q183">
            <v>64</v>
          </cell>
          <cell r="R183" t="str">
            <v>新N*K7V85</v>
          </cell>
          <cell r="S183" t="str">
            <v>公司筐</v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</row>
        <row r="183"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</row>
        <row r="184">
          <cell r="B184">
            <v>46276</v>
          </cell>
          <cell r="C184" t="str">
            <v>马锦祥</v>
          </cell>
          <cell r="D184" t="str">
            <v>原料入库</v>
          </cell>
          <cell r="E184" t="str">
            <v>NO:0000780</v>
          </cell>
          <cell r="F184" t="str">
            <v>香梨</v>
          </cell>
          <cell r="G184" t="str">
            <v>香梨副特</v>
          </cell>
          <cell r="H184">
            <v>16</v>
          </cell>
          <cell r="I184" t="str">
            <v>筐</v>
          </cell>
          <cell r="J184">
            <v>292.8</v>
          </cell>
          <cell r="K184" t="str">
            <v/>
          </cell>
          <cell r="L184" t="str">
            <v/>
          </cell>
          <cell r="M184" t="str">
            <v/>
          </cell>
          <cell r="N184" t="str">
            <v>公司杂周转筐</v>
          </cell>
          <cell r="O184" t="str">
            <v/>
          </cell>
          <cell r="P184" t="str">
            <v/>
          </cell>
          <cell r="Q184">
            <v>16</v>
          </cell>
          <cell r="R184" t="str">
            <v>新N*K7V85</v>
          </cell>
          <cell r="S184" t="str">
            <v>公司筐</v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</row>
        <row r="184"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</row>
        <row r="185">
          <cell r="B185">
            <v>46276</v>
          </cell>
          <cell r="C185" t="str">
            <v>努尔敦</v>
          </cell>
          <cell r="D185" t="str">
            <v>原料入库</v>
          </cell>
          <cell r="E185" t="str">
            <v>NO:0000781</v>
          </cell>
          <cell r="F185" t="str">
            <v>香梨</v>
          </cell>
          <cell r="G185" t="str">
            <v>香梨特级</v>
          </cell>
          <cell r="H185">
            <v>160</v>
          </cell>
          <cell r="I185" t="str">
            <v>筐</v>
          </cell>
          <cell r="J185">
            <v>2928</v>
          </cell>
          <cell r="K185" t="str">
            <v/>
          </cell>
          <cell r="L185" t="str">
            <v/>
          </cell>
          <cell r="M185" t="str">
            <v>有标签</v>
          </cell>
          <cell r="N185" t="str">
            <v>公司红周转筐</v>
          </cell>
          <cell r="O185" t="str">
            <v/>
          </cell>
          <cell r="P185" t="str">
            <v/>
          </cell>
          <cell r="Q185">
            <v>160</v>
          </cell>
          <cell r="R185" t="str">
            <v>新F*75240</v>
          </cell>
          <cell r="S185" t="str">
            <v>公司筐</v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</row>
        <row r="185"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</row>
        <row r="186">
          <cell r="B186">
            <v>46276</v>
          </cell>
          <cell r="C186" t="str">
            <v>努尔敦</v>
          </cell>
          <cell r="D186" t="str">
            <v>原料入库</v>
          </cell>
          <cell r="E186" t="str">
            <v>NO:0000781</v>
          </cell>
          <cell r="F186" t="str">
            <v>香梨</v>
          </cell>
          <cell r="G186" t="str">
            <v>香梨一级</v>
          </cell>
          <cell r="H186">
            <v>232</v>
          </cell>
          <cell r="I186" t="str">
            <v>筐</v>
          </cell>
          <cell r="J186">
            <v>4245.6</v>
          </cell>
          <cell r="K186" t="str">
            <v/>
          </cell>
          <cell r="L186" t="str">
            <v/>
          </cell>
          <cell r="M186" t="str">
            <v/>
          </cell>
          <cell r="N186" t="str">
            <v>公司红周转筐</v>
          </cell>
          <cell r="O186" t="str">
            <v/>
          </cell>
          <cell r="P186" t="str">
            <v/>
          </cell>
          <cell r="Q186">
            <v>232</v>
          </cell>
          <cell r="R186" t="str">
            <v>新F*75240</v>
          </cell>
          <cell r="S186" t="str">
            <v>公司筐</v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</row>
        <row r="186"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</row>
        <row r="187">
          <cell r="B187">
            <v>46276</v>
          </cell>
          <cell r="C187" t="str">
            <v>努尔敦</v>
          </cell>
          <cell r="D187" t="str">
            <v>原料入库</v>
          </cell>
          <cell r="E187" t="str">
            <v>NO:0000781</v>
          </cell>
          <cell r="F187" t="str">
            <v>香梨</v>
          </cell>
          <cell r="G187" t="str">
            <v>香梨二级</v>
          </cell>
          <cell r="H187">
            <v>248</v>
          </cell>
          <cell r="I187" t="str">
            <v>筐</v>
          </cell>
          <cell r="J187">
            <v>5530.4</v>
          </cell>
          <cell r="K187" t="str">
            <v/>
          </cell>
          <cell r="L187" t="str">
            <v/>
          </cell>
          <cell r="M187" t="str">
            <v/>
          </cell>
          <cell r="N187" t="str">
            <v>公司红周转筐</v>
          </cell>
          <cell r="O187" t="str">
            <v/>
          </cell>
          <cell r="P187" t="str">
            <v/>
          </cell>
          <cell r="Q187">
            <v>248</v>
          </cell>
          <cell r="R187" t="str">
            <v>新F*75240</v>
          </cell>
          <cell r="S187" t="str">
            <v>公司筐</v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</row>
        <row r="187"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</row>
        <row r="188">
          <cell r="B188">
            <v>46276</v>
          </cell>
          <cell r="C188" t="str">
            <v>麦麦提</v>
          </cell>
          <cell r="D188" t="str">
            <v>原料入库</v>
          </cell>
          <cell r="E188" t="str">
            <v>NO:0000782</v>
          </cell>
          <cell r="F188" t="str">
            <v>香梨</v>
          </cell>
          <cell r="G188" t="str">
            <v>香梨特级</v>
          </cell>
          <cell r="H188">
            <v>322</v>
          </cell>
          <cell r="I188" t="str">
            <v>筐</v>
          </cell>
          <cell r="J188">
            <v>5892.6</v>
          </cell>
          <cell r="K188" t="str">
            <v/>
          </cell>
          <cell r="L188" t="str">
            <v/>
          </cell>
          <cell r="M188" t="str">
            <v/>
          </cell>
          <cell r="N188" t="str">
            <v>公司红周转筐</v>
          </cell>
          <cell r="O188" t="str">
            <v/>
          </cell>
          <cell r="P188" t="str">
            <v/>
          </cell>
          <cell r="Q188">
            <v>322</v>
          </cell>
          <cell r="R188" t="str">
            <v>新A*G0554</v>
          </cell>
          <cell r="S188" t="str">
            <v>公司筐</v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</row>
        <row r="188"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</row>
        <row r="189">
          <cell r="B189">
            <v>46276</v>
          </cell>
          <cell r="C189" t="str">
            <v>麦麦提</v>
          </cell>
          <cell r="D189" t="str">
            <v>原料入库</v>
          </cell>
          <cell r="E189" t="str">
            <v>NO:0000782</v>
          </cell>
          <cell r="F189" t="str">
            <v>香梨</v>
          </cell>
          <cell r="G189" t="str">
            <v>香梨一级</v>
          </cell>
          <cell r="H189">
            <v>158</v>
          </cell>
          <cell r="I189" t="str">
            <v>筐</v>
          </cell>
          <cell r="J189">
            <v>2891.4</v>
          </cell>
          <cell r="K189" t="str">
            <v/>
          </cell>
          <cell r="L189" t="str">
            <v/>
          </cell>
          <cell r="M189" t="str">
            <v/>
          </cell>
          <cell r="N189" t="str">
            <v>公司红周转筐</v>
          </cell>
          <cell r="O189" t="str">
            <v/>
          </cell>
          <cell r="P189" t="str">
            <v/>
          </cell>
          <cell r="Q189">
            <v>158</v>
          </cell>
          <cell r="R189" t="str">
            <v>新A*G0554</v>
          </cell>
          <cell r="S189" t="str">
            <v>公司筐</v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</row>
        <row r="189"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</row>
        <row r="190">
          <cell r="B190">
            <v>46276</v>
          </cell>
          <cell r="C190" t="str">
            <v>麦麦提</v>
          </cell>
          <cell r="D190" t="str">
            <v>原料入库</v>
          </cell>
          <cell r="E190" t="str">
            <v>NO:0000782</v>
          </cell>
          <cell r="F190" t="str">
            <v>香梨</v>
          </cell>
          <cell r="G190" t="str">
            <v>香梨二级</v>
          </cell>
          <cell r="H190">
            <v>146</v>
          </cell>
          <cell r="I190" t="str">
            <v>筐</v>
          </cell>
          <cell r="J190">
            <v>3255.8</v>
          </cell>
          <cell r="K190" t="str">
            <v/>
          </cell>
          <cell r="L190" t="str">
            <v/>
          </cell>
          <cell r="M190" t="str">
            <v/>
          </cell>
          <cell r="N190" t="str">
            <v>公司红周转筐</v>
          </cell>
          <cell r="O190" t="str">
            <v/>
          </cell>
          <cell r="P190" t="str">
            <v/>
          </cell>
          <cell r="Q190">
            <v>146</v>
          </cell>
          <cell r="R190" t="str">
            <v>新A*G0554</v>
          </cell>
          <cell r="S190" t="str">
            <v>公司筐</v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</row>
        <row r="190"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</row>
        <row r="191">
          <cell r="B191">
            <v>46276</v>
          </cell>
          <cell r="C191" t="str">
            <v>王浩</v>
          </cell>
          <cell r="D191" t="str">
            <v>原料入库</v>
          </cell>
          <cell r="E191" t="str">
            <v>NO:0000783</v>
          </cell>
          <cell r="F191" t="str">
            <v>香梨</v>
          </cell>
          <cell r="G191" t="str">
            <v>香梨一级</v>
          </cell>
          <cell r="H191">
            <v>1184</v>
          </cell>
          <cell r="I191" t="str">
            <v>筐</v>
          </cell>
          <cell r="J191">
            <v>21667.2</v>
          </cell>
          <cell r="K191" t="str">
            <v/>
          </cell>
          <cell r="L191" t="str">
            <v/>
          </cell>
          <cell r="M191" t="str">
            <v/>
          </cell>
          <cell r="N191" t="str">
            <v>公司一次性筐</v>
          </cell>
          <cell r="O191" t="str">
            <v/>
          </cell>
          <cell r="P191" t="str">
            <v/>
          </cell>
          <cell r="Q191">
            <v>1184</v>
          </cell>
          <cell r="R191" t="str">
            <v>新M*65781</v>
          </cell>
          <cell r="S191" t="str">
            <v>公司筐</v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</row>
        <row r="191"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</row>
        <row r="192">
          <cell r="B192">
            <v>46276</v>
          </cell>
          <cell r="C192" t="str">
            <v>吐尔洪</v>
          </cell>
          <cell r="D192" t="str">
            <v>原料入库</v>
          </cell>
          <cell r="E192" t="str">
            <v>NO:0000786</v>
          </cell>
          <cell r="F192" t="str">
            <v>香梨</v>
          </cell>
          <cell r="G192" t="str">
            <v>香梨特级</v>
          </cell>
          <cell r="H192">
            <v>88</v>
          </cell>
          <cell r="I192" t="str">
            <v>筐</v>
          </cell>
          <cell r="J192">
            <v>1610.4</v>
          </cell>
          <cell r="K192" t="str">
            <v/>
          </cell>
          <cell r="L192" t="str">
            <v/>
          </cell>
          <cell r="M192" t="str">
            <v>麦麦提</v>
          </cell>
          <cell r="N192" t="str">
            <v>公司红周转筐</v>
          </cell>
          <cell r="O192" t="str">
            <v/>
          </cell>
          <cell r="P192" t="str">
            <v/>
          </cell>
          <cell r="Q192">
            <v>88</v>
          </cell>
          <cell r="R192" t="str">
            <v>新N*X8S48</v>
          </cell>
          <cell r="S192" t="str">
            <v>公司筐</v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</row>
        <row r="192"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</row>
        <row r="193">
          <cell r="B193">
            <v>46276</v>
          </cell>
          <cell r="C193" t="str">
            <v>吐尔洪</v>
          </cell>
          <cell r="D193" t="str">
            <v>原料入库</v>
          </cell>
          <cell r="E193" t="str">
            <v>NO:0000786</v>
          </cell>
          <cell r="F193" t="str">
            <v>香梨</v>
          </cell>
          <cell r="G193" t="str">
            <v>香梨一级</v>
          </cell>
          <cell r="H193">
            <v>43</v>
          </cell>
          <cell r="I193" t="str">
            <v>筐</v>
          </cell>
          <cell r="J193">
            <v>786.9</v>
          </cell>
          <cell r="K193" t="str">
            <v/>
          </cell>
          <cell r="L193" t="str">
            <v/>
          </cell>
          <cell r="M193" t="str">
            <v>麦麦提</v>
          </cell>
          <cell r="N193" t="str">
            <v>公司红周转筐</v>
          </cell>
          <cell r="O193" t="str">
            <v/>
          </cell>
          <cell r="P193" t="str">
            <v/>
          </cell>
          <cell r="Q193">
            <v>43</v>
          </cell>
          <cell r="R193" t="str">
            <v>新N*X8S48</v>
          </cell>
          <cell r="S193" t="str">
            <v>公司筐</v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</row>
        <row r="193"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</row>
        <row r="194">
          <cell r="B194">
            <v>46276</v>
          </cell>
          <cell r="C194" t="str">
            <v>吐尔洪</v>
          </cell>
          <cell r="D194" t="str">
            <v>原料入库</v>
          </cell>
          <cell r="E194" t="str">
            <v>NO:0000786</v>
          </cell>
          <cell r="F194" t="str">
            <v>香梨</v>
          </cell>
          <cell r="G194" t="str">
            <v>香梨二级</v>
          </cell>
          <cell r="H194">
            <v>88</v>
          </cell>
          <cell r="I194" t="str">
            <v>筐</v>
          </cell>
          <cell r="J194">
            <v>1962.4</v>
          </cell>
          <cell r="K194" t="str">
            <v/>
          </cell>
          <cell r="L194" t="str">
            <v/>
          </cell>
          <cell r="M194" t="str">
            <v>麦麦提</v>
          </cell>
          <cell r="N194" t="str">
            <v>公司红周转筐</v>
          </cell>
          <cell r="O194" t="str">
            <v/>
          </cell>
          <cell r="P194" t="str">
            <v/>
          </cell>
          <cell r="Q194">
            <v>88</v>
          </cell>
          <cell r="R194" t="str">
            <v>新N*X8S48</v>
          </cell>
          <cell r="S194" t="str">
            <v>公司筐</v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</row>
        <row r="194"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</row>
        <row r="195">
          <cell r="B195">
            <v>46276</v>
          </cell>
          <cell r="C195" t="str">
            <v>贾建国</v>
          </cell>
          <cell r="D195" t="str">
            <v>原料入库</v>
          </cell>
          <cell r="E195" t="str">
            <v>NO:0000787</v>
          </cell>
          <cell r="F195" t="str">
            <v>香梨</v>
          </cell>
          <cell r="G195" t="str">
            <v>香梨副特</v>
          </cell>
          <cell r="H195">
            <v>393</v>
          </cell>
          <cell r="I195" t="str">
            <v>筐</v>
          </cell>
          <cell r="J195">
            <v>7584.9</v>
          </cell>
          <cell r="K195" t="str">
            <v/>
          </cell>
          <cell r="L195" t="str">
            <v/>
          </cell>
          <cell r="M195" t="str">
            <v/>
          </cell>
          <cell r="N195" t="str">
            <v>自备一次性筐</v>
          </cell>
          <cell r="O195" t="str">
            <v/>
          </cell>
          <cell r="P195" t="str">
            <v/>
          </cell>
          <cell r="Q195">
            <v>393</v>
          </cell>
          <cell r="R195" t="str">
            <v>豫Q*H5591</v>
          </cell>
          <cell r="S195" t="str">
            <v>自备筐</v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</row>
        <row r="195"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</row>
        <row r="196">
          <cell r="B196">
            <v>46276</v>
          </cell>
          <cell r="C196" t="str">
            <v>贾建国</v>
          </cell>
          <cell r="D196" t="str">
            <v>原料入库</v>
          </cell>
          <cell r="E196" t="str">
            <v>NO:0000787</v>
          </cell>
          <cell r="F196" t="str">
            <v>香梨</v>
          </cell>
          <cell r="G196" t="str">
            <v>香梨副特</v>
          </cell>
          <cell r="H196">
            <v>3</v>
          </cell>
          <cell r="I196" t="str">
            <v>筐</v>
          </cell>
          <cell r="J196">
            <v>57.9</v>
          </cell>
          <cell r="K196" t="str">
            <v/>
          </cell>
          <cell r="L196" t="str">
            <v/>
          </cell>
          <cell r="M196" t="str">
            <v/>
          </cell>
          <cell r="N196" t="str">
            <v>公司一次性筐</v>
          </cell>
          <cell r="O196" t="str">
            <v/>
          </cell>
          <cell r="P196" t="str">
            <v/>
          </cell>
          <cell r="Q196">
            <v>3</v>
          </cell>
          <cell r="R196" t="str">
            <v>豫Q*H5591</v>
          </cell>
          <cell r="S196" t="str">
            <v>公司筐</v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</row>
        <row r="196"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</row>
        <row r="197">
          <cell r="B197">
            <v>46277</v>
          </cell>
          <cell r="C197" t="str">
            <v>王照雪</v>
          </cell>
          <cell r="D197" t="str">
            <v>原料入库</v>
          </cell>
          <cell r="E197" t="str">
            <v>NO:0000789</v>
          </cell>
          <cell r="F197" t="str">
            <v>香梨</v>
          </cell>
          <cell r="G197" t="str">
            <v>香梨一级</v>
          </cell>
          <cell r="H197">
            <v>99</v>
          </cell>
          <cell r="I197" t="str">
            <v>筐</v>
          </cell>
          <cell r="J197">
            <v>1831.5</v>
          </cell>
          <cell r="K197" t="str">
            <v/>
          </cell>
          <cell r="L197" t="str">
            <v/>
          </cell>
          <cell r="M197" t="str">
            <v/>
          </cell>
          <cell r="N197" t="str">
            <v>公司一次性筐</v>
          </cell>
          <cell r="O197" t="str">
            <v/>
          </cell>
          <cell r="P197" t="str">
            <v/>
          </cell>
          <cell r="Q197">
            <v>99</v>
          </cell>
          <cell r="R197" t="str">
            <v>豫L*88X19</v>
          </cell>
          <cell r="S197" t="str">
            <v>公司筐</v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</row>
        <row r="197"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</row>
        <row r="198">
          <cell r="B198">
            <v>46277</v>
          </cell>
          <cell r="C198" t="str">
            <v>王照雪</v>
          </cell>
          <cell r="D198" t="str">
            <v>原料入库</v>
          </cell>
          <cell r="E198" t="str">
            <v>NO:0000789</v>
          </cell>
          <cell r="F198" t="str">
            <v>香梨</v>
          </cell>
          <cell r="G198" t="str">
            <v>香梨二级</v>
          </cell>
          <cell r="H198">
            <v>26</v>
          </cell>
          <cell r="I198" t="str">
            <v>筐</v>
          </cell>
          <cell r="J198">
            <v>585</v>
          </cell>
          <cell r="K198" t="str">
            <v/>
          </cell>
          <cell r="L198" t="str">
            <v/>
          </cell>
          <cell r="M198" t="str">
            <v/>
          </cell>
          <cell r="N198" t="str">
            <v>公司一次性筐</v>
          </cell>
          <cell r="O198" t="str">
            <v/>
          </cell>
          <cell r="P198" t="str">
            <v/>
          </cell>
          <cell r="Q198">
            <v>26</v>
          </cell>
          <cell r="R198" t="str">
            <v>豫L*88X19</v>
          </cell>
          <cell r="S198" t="str">
            <v>公司筐</v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</row>
        <row r="198"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</row>
        <row r="199">
          <cell r="B199">
            <v>46277</v>
          </cell>
          <cell r="C199" t="str">
            <v>王照雪</v>
          </cell>
          <cell r="D199" t="str">
            <v>原料入库</v>
          </cell>
          <cell r="E199" t="str">
            <v>NO:0000789</v>
          </cell>
          <cell r="F199" t="str">
            <v>香梨</v>
          </cell>
          <cell r="G199" t="str">
            <v>香梨副特</v>
          </cell>
          <cell r="H199">
            <v>89</v>
          </cell>
          <cell r="I199" t="str">
            <v>筐</v>
          </cell>
          <cell r="J199">
            <v>1646.5</v>
          </cell>
          <cell r="K199" t="str">
            <v/>
          </cell>
          <cell r="L199" t="str">
            <v/>
          </cell>
          <cell r="M199" t="str">
            <v/>
          </cell>
          <cell r="N199" t="str">
            <v>公司一次性筐</v>
          </cell>
          <cell r="O199" t="str">
            <v/>
          </cell>
          <cell r="P199" t="str">
            <v/>
          </cell>
          <cell r="Q199">
            <v>89</v>
          </cell>
          <cell r="R199" t="str">
            <v>豫L*88X19</v>
          </cell>
          <cell r="S199" t="str">
            <v>公司筐</v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</row>
        <row r="199"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</row>
        <row r="200">
          <cell r="B200">
            <v>46277</v>
          </cell>
          <cell r="C200" t="str">
            <v>马锦祥</v>
          </cell>
          <cell r="D200" t="str">
            <v>原料入库</v>
          </cell>
          <cell r="E200" t="str">
            <v>NO:0000790</v>
          </cell>
          <cell r="F200" t="str">
            <v>香梨</v>
          </cell>
          <cell r="G200" t="str">
            <v>香梨一级</v>
          </cell>
          <cell r="H200">
            <v>312</v>
          </cell>
          <cell r="I200" t="str">
            <v>筐</v>
          </cell>
          <cell r="J200">
            <v>5709.6</v>
          </cell>
          <cell r="K200" t="str">
            <v/>
          </cell>
          <cell r="L200" t="str">
            <v/>
          </cell>
          <cell r="M200" t="str">
            <v/>
          </cell>
          <cell r="N200" t="str">
            <v>公司杂周转筐</v>
          </cell>
          <cell r="O200" t="str">
            <v/>
          </cell>
          <cell r="P200" t="str">
            <v/>
          </cell>
          <cell r="Q200">
            <v>312</v>
          </cell>
          <cell r="R200" t="str">
            <v>新N*K7V85</v>
          </cell>
          <cell r="S200" t="str">
            <v>公司筐</v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</row>
        <row r="200"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</row>
        <row r="201">
          <cell r="B201">
            <v>46277</v>
          </cell>
          <cell r="C201" t="str">
            <v>马锦祥</v>
          </cell>
          <cell r="D201" t="str">
            <v>原料入库</v>
          </cell>
          <cell r="E201" t="str">
            <v>NO:0000790</v>
          </cell>
          <cell r="F201" t="str">
            <v>香梨</v>
          </cell>
          <cell r="G201" t="str">
            <v>香梨二级</v>
          </cell>
          <cell r="H201">
            <v>53</v>
          </cell>
          <cell r="I201" t="str">
            <v>筐</v>
          </cell>
          <cell r="J201">
            <v>1181.9</v>
          </cell>
          <cell r="K201" t="str">
            <v/>
          </cell>
          <cell r="L201" t="str">
            <v/>
          </cell>
          <cell r="M201" t="str">
            <v/>
          </cell>
          <cell r="N201" t="str">
            <v>公司杂周转筐</v>
          </cell>
          <cell r="O201" t="str">
            <v/>
          </cell>
          <cell r="P201" t="str">
            <v/>
          </cell>
          <cell r="Q201">
            <v>53</v>
          </cell>
          <cell r="R201" t="str">
            <v>新N*K7V85</v>
          </cell>
          <cell r="S201" t="str">
            <v>公司筐</v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</row>
        <row r="201"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</row>
        <row r="202">
          <cell r="B202">
            <v>46277</v>
          </cell>
          <cell r="C202" t="str">
            <v>马锦祥</v>
          </cell>
          <cell r="D202" t="str">
            <v>原料入库</v>
          </cell>
          <cell r="E202" t="str">
            <v>NO:0000790</v>
          </cell>
          <cell r="F202" t="str">
            <v>香梨</v>
          </cell>
          <cell r="G202" t="str">
            <v>香梨副特</v>
          </cell>
          <cell r="H202">
            <v>35</v>
          </cell>
          <cell r="I202" t="str">
            <v>筐</v>
          </cell>
          <cell r="J202">
            <v>640.5</v>
          </cell>
          <cell r="K202" t="str">
            <v/>
          </cell>
          <cell r="L202" t="str">
            <v/>
          </cell>
          <cell r="M202" t="str">
            <v/>
          </cell>
          <cell r="N202" t="str">
            <v>公司杂周转筐</v>
          </cell>
          <cell r="O202" t="str">
            <v/>
          </cell>
          <cell r="P202" t="str">
            <v/>
          </cell>
          <cell r="Q202">
            <v>35</v>
          </cell>
          <cell r="R202" t="str">
            <v>新N*K7V85</v>
          </cell>
          <cell r="S202" t="str">
            <v>公司筐</v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</row>
        <row r="202"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</row>
        <row r="203">
          <cell r="B203">
            <v>46277</v>
          </cell>
          <cell r="C203" t="str">
            <v>王照雪</v>
          </cell>
          <cell r="D203" t="str">
            <v>原料入库</v>
          </cell>
          <cell r="E203" t="str">
            <v>NO:0000792</v>
          </cell>
          <cell r="F203" t="str">
            <v>苹果</v>
          </cell>
          <cell r="G203" t="str">
            <v>新世纪一级</v>
          </cell>
          <cell r="H203">
            <v>110</v>
          </cell>
          <cell r="I203" t="str">
            <v>筐</v>
          </cell>
          <cell r="J203">
            <v>1903</v>
          </cell>
          <cell r="K203" t="str">
            <v/>
          </cell>
          <cell r="L203" t="str">
            <v/>
          </cell>
          <cell r="M203" t="str">
            <v>光果</v>
          </cell>
          <cell r="N203" t="str">
            <v>公司杂周转筐</v>
          </cell>
          <cell r="O203" t="str">
            <v/>
          </cell>
          <cell r="P203" t="str">
            <v/>
          </cell>
          <cell r="Q203">
            <v>110</v>
          </cell>
          <cell r="R203" t="str">
            <v>豫L*88X19</v>
          </cell>
          <cell r="S203" t="str">
            <v>公司筐</v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</row>
        <row r="203"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</row>
        <row r="204">
          <cell r="B204">
            <v>46277</v>
          </cell>
          <cell r="C204" t="str">
            <v>王照雪</v>
          </cell>
          <cell r="D204" t="str">
            <v>原料入库</v>
          </cell>
          <cell r="E204" t="str">
            <v>NO:0000792</v>
          </cell>
          <cell r="F204" t="str">
            <v>苹果</v>
          </cell>
          <cell r="G204" t="str">
            <v>新世纪二级</v>
          </cell>
          <cell r="H204">
            <v>58</v>
          </cell>
          <cell r="I204" t="str">
            <v>筐</v>
          </cell>
          <cell r="J204">
            <v>1293.4</v>
          </cell>
          <cell r="K204" t="str">
            <v/>
          </cell>
          <cell r="L204" t="str">
            <v/>
          </cell>
          <cell r="M204" t="str">
            <v>光果</v>
          </cell>
          <cell r="N204" t="str">
            <v>公司杂周转筐</v>
          </cell>
          <cell r="O204" t="str">
            <v/>
          </cell>
          <cell r="P204" t="str">
            <v/>
          </cell>
          <cell r="Q204">
            <v>58</v>
          </cell>
          <cell r="R204" t="str">
            <v>豫L*88X19</v>
          </cell>
          <cell r="S204" t="str">
            <v>公司筐</v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</row>
        <row r="204"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</row>
        <row r="205">
          <cell r="B205">
            <v>46277</v>
          </cell>
          <cell r="C205" t="str">
            <v>麦麦提</v>
          </cell>
          <cell r="D205" t="str">
            <v>原料入库</v>
          </cell>
          <cell r="E205" t="str">
            <v>NO:0000793</v>
          </cell>
          <cell r="F205" t="str">
            <v>香梨</v>
          </cell>
          <cell r="G205" t="str">
            <v>香梨特级</v>
          </cell>
          <cell r="H205">
            <v>291</v>
          </cell>
          <cell r="I205" t="str">
            <v>筐</v>
          </cell>
          <cell r="J205">
            <v>5325.3</v>
          </cell>
          <cell r="K205" t="str">
            <v/>
          </cell>
          <cell r="L205" t="str">
            <v/>
          </cell>
          <cell r="M205" t="str">
            <v/>
          </cell>
          <cell r="N205" t="str">
            <v>公司红周转筐</v>
          </cell>
          <cell r="O205" t="str">
            <v/>
          </cell>
          <cell r="P205" t="str">
            <v/>
          </cell>
          <cell r="Q205">
            <v>291</v>
          </cell>
          <cell r="R205" t="str">
            <v>新A*G0554</v>
          </cell>
          <cell r="S205" t="str">
            <v>公司筐</v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</row>
        <row r="205"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</row>
        <row r="206">
          <cell r="B206">
            <v>46277</v>
          </cell>
          <cell r="C206" t="str">
            <v>麦麦提</v>
          </cell>
          <cell r="D206" t="str">
            <v>原料入库</v>
          </cell>
          <cell r="E206" t="str">
            <v>NO:0000793</v>
          </cell>
          <cell r="F206" t="str">
            <v>香梨</v>
          </cell>
          <cell r="G206" t="str">
            <v>香梨一级</v>
          </cell>
          <cell r="H206">
            <v>194</v>
          </cell>
          <cell r="I206" t="str">
            <v>筐</v>
          </cell>
          <cell r="J206">
            <v>3550.2</v>
          </cell>
          <cell r="K206" t="str">
            <v/>
          </cell>
          <cell r="L206" t="str">
            <v/>
          </cell>
          <cell r="M206" t="str">
            <v/>
          </cell>
          <cell r="N206" t="str">
            <v>公司红周转筐</v>
          </cell>
          <cell r="O206" t="str">
            <v/>
          </cell>
          <cell r="P206" t="str">
            <v/>
          </cell>
          <cell r="Q206">
            <v>194</v>
          </cell>
          <cell r="R206" t="str">
            <v>新A*G0554</v>
          </cell>
          <cell r="S206" t="str">
            <v>公司筐</v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</row>
        <row r="206"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</row>
        <row r="207">
          <cell r="B207">
            <v>46277</v>
          </cell>
          <cell r="C207" t="str">
            <v>麦麦提</v>
          </cell>
          <cell r="D207" t="str">
            <v>原料入库</v>
          </cell>
          <cell r="E207" t="str">
            <v>NO:0000793</v>
          </cell>
          <cell r="F207" t="str">
            <v>香梨</v>
          </cell>
          <cell r="G207" t="str">
            <v>香梨二级</v>
          </cell>
          <cell r="H207">
            <v>168</v>
          </cell>
          <cell r="I207" t="str">
            <v>筐</v>
          </cell>
          <cell r="J207">
            <v>3746.4</v>
          </cell>
          <cell r="K207" t="str">
            <v/>
          </cell>
          <cell r="L207" t="str">
            <v/>
          </cell>
          <cell r="M207" t="str">
            <v/>
          </cell>
          <cell r="N207" t="str">
            <v>公司红周转筐</v>
          </cell>
          <cell r="O207" t="str">
            <v/>
          </cell>
          <cell r="P207" t="str">
            <v/>
          </cell>
          <cell r="Q207">
            <v>168</v>
          </cell>
          <cell r="R207" t="str">
            <v>新A*G0554</v>
          </cell>
          <cell r="S207" t="str">
            <v>公司筐</v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</row>
        <row r="207"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</row>
        <row r="208">
          <cell r="B208">
            <v>46277</v>
          </cell>
          <cell r="C208" t="str">
            <v>王灵云</v>
          </cell>
          <cell r="D208" t="str">
            <v>原料入库</v>
          </cell>
          <cell r="E208" t="str">
            <v>NO:0000794</v>
          </cell>
          <cell r="F208" t="str">
            <v>香梨</v>
          </cell>
          <cell r="G208" t="str">
            <v>香梨一级</v>
          </cell>
          <cell r="H208">
            <v>384</v>
          </cell>
          <cell r="I208" t="str">
            <v>筐</v>
          </cell>
          <cell r="J208">
            <v>7027.2</v>
          </cell>
          <cell r="K208" t="str">
            <v/>
          </cell>
          <cell r="L208" t="str">
            <v/>
          </cell>
          <cell r="M208" t="str">
            <v/>
          </cell>
          <cell r="N208" t="str">
            <v>公司红周转筐</v>
          </cell>
          <cell r="O208" t="str">
            <v/>
          </cell>
          <cell r="P208" t="str">
            <v/>
          </cell>
          <cell r="Q208">
            <v>384</v>
          </cell>
          <cell r="R208" t="str">
            <v>新N*49209</v>
          </cell>
          <cell r="S208" t="str">
            <v>公司筐</v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</row>
        <row r="208"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</row>
        <row r="209">
          <cell r="B209">
            <v>46277</v>
          </cell>
          <cell r="C209" t="str">
            <v>王灵云</v>
          </cell>
          <cell r="D209" t="str">
            <v>原料入库</v>
          </cell>
          <cell r="E209" t="str">
            <v>NO:0000794</v>
          </cell>
          <cell r="F209" t="str">
            <v>香梨</v>
          </cell>
          <cell r="G209" t="str">
            <v>香梨二级</v>
          </cell>
          <cell r="H209">
            <v>52</v>
          </cell>
          <cell r="I209" t="str">
            <v>筐</v>
          </cell>
          <cell r="J209">
            <v>1211.6</v>
          </cell>
          <cell r="K209" t="str">
            <v/>
          </cell>
          <cell r="L209" t="str">
            <v/>
          </cell>
          <cell r="M209" t="str">
            <v/>
          </cell>
          <cell r="N209" t="str">
            <v>公司红周转筐</v>
          </cell>
          <cell r="O209" t="str">
            <v/>
          </cell>
          <cell r="P209" t="str">
            <v/>
          </cell>
          <cell r="Q209">
            <v>52</v>
          </cell>
          <cell r="R209" t="str">
            <v>新N*49209</v>
          </cell>
          <cell r="S209" t="str">
            <v>公司筐</v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</row>
        <row r="209"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</row>
        <row r="210">
          <cell r="B210">
            <v>46277</v>
          </cell>
          <cell r="C210" t="str">
            <v>王灵云</v>
          </cell>
          <cell r="D210" t="str">
            <v>原料入库</v>
          </cell>
          <cell r="E210" t="str">
            <v>NO:0000794</v>
          </cell>
          <cell r="F210" t="str">
            <v>香梨</v>
          </cell>
          <cell r="G210" t="str">
            <v>香梨副特</v>
          </cell>
          <cell r="H210">
            <v>208</v>
          </cell>
          <cell r="I210" t="str">
            <v>筐</v>
          </cell>
          <cell r="J210">
            <v>3806.4</v>
          </cell>
          <cell r="K210" t="str">
            <v/>
          </cell>
          <cell r="L210" t="str">
            <v/>
          </cell>
          <cell r="M210" t="str">
            <v/>
          </cell>
          <cell r="N210" t="str">
            <v>公司红周转筐</v>
          </cell>
          <cell r="O210" t="str">
            <v/>
          </cell>
          <cell r="P210" t="str">
            <v/>
          </cell>
          <cell r="Q210">
            <v>208</v>
          </cell>
          <cell r="R210" t="str">
            <v>新N*49209</v>
          </cell>
          <cell r="S210" t="str">
            <v>公司筐</v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</row>
        <row r="210"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</row>
        <row r="211">
          <cell r="B211">
            <v>46278</v>
          </cell>
          <cell r="C211" t="str">
            <v>贾建国</v>
          </cell>
          <cell r="D211" t="str">
            <v>原料入库</v>
          </cell>
          <cell r="E211" t="str">
            <v>NO:0000797</v>
          </cell>
          <cell r="F211" t="str">
            <v>香梨</v>
          </cell>
          <cell r="G211" t="str">
            <v>香梨二级</v>
          </cell>
          <cell r="H211">
            <v>160</v>
          </cell>
          <cell r="I211" t="str">
            <v>筐</v>
          </cell>
          <cell r="J211">
            <v>3600</v>
          </cell>
          <cell r="K211" t="str">
            <v/>
          </cell>
          <cell r="L211" t="str">
            <v/>
          </cell>
          <cell r="M211" t="str">
            <v/>
          </cell>
          <cell r="N211" t="str">
            <v>自备杂周转筐</v>
          </cell>
          <cell r="O211" t="str">
            <v/>
          </cell>
          <cell r="P211" t="str">
            <v/>
          </cell>
          <cell r="Q211">
            <v>160</v>
          </cell>
          <cell r="R211" t="str">
            <v>豫Q*H5591</v>
          </cell>
          <cell r="S211" t="str">
            <v>自备筐</v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</row>
        <row r="211"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</row>
        <row r="212">
          <cell r="B212">
            <v>46278</v>
          </cell>
          <cell r="C212" t="str">
            <v>贾建国</v>
          </cell>
          <cell r="D212" t="str">
            <v>原料入库</v>
          </cell>
          <cell r="E212" t="str">
            <v>NO:0000797</v>
          </cell>
          <cell r="F212" t="str">
            <v>香梨</v>
          </cell>
          <cell r="G212" t="str">
            <v>香梨副特</v>
          </cell>
          <cell r="H212">
            <v>267</v>
          </cell>
          <cell r="I212" t="str">
            <v>筐</v>
          </cell>
          <cell r="J212">
            <v>5153.1</v>
          </cell>
          <cell r="K212" t="str">
            <v/>
          </cell>
          <cell r="L212" t="str">
            <v/>
          </cell>
          <cell r="M212" t="str">
            <v/>
          </cell>
          <cell r="N212" t="str">
            <v>自备一次性筐</v>
          </cell>
          <cell r="O212" t="str">
            <v/>
          </cell>
          <cell r="P212" t="str">
            <v/>
          </cell>
          <cell r="Q212">
            <v>267</v>
          </cell>
          <cell r="R212" t="str">
            <v>豫Q*H5591</v>
          </cell>
          <cell r="S212" t="str">
            <v>自备筐</v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</row>
        <row r="212"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</row>
        <row r="213">
          <cell r="B213">
            <v>46278</v>
          </cell>
          <cell r="C213" t="str">
            <v>贾建国</v>
          </cell>
          <cell r="D213" t="str">
            <v>原料入库</v>
          </cell>
          <cell r="E213" t="str">
            <v>NO:0000797</v>
          </cell>
          <cell r="F213" t="str">
            <v>香梨</v>
          </cell>
          <cell r="G213" t="str">
            <v>香梨副特</v>
          </cell>
          <cell r="H213">
            <v>2</v>
          </cell>
          <cell r="I213" t="str">
            <v>筐</v>
          </cell>
          <cell r="J213">
            <v>38.6</v>
          </cell>
          <cell r="K213" t="str">
            <v/>
          </cell>
          <cell r="L213" t="str">
            <v/>
          </cell>
          <cell r="M213" t="str">
            <v/>
          </cell>
          <cell r="N213" t="str">
            <v>公司一次性筐</v>
          </cell>
          <cell r="O213" t="str">
            <v/>
          </cell>
          <cell r="P213" t="str">
            <v/>
          </cell>
          <cell r="Q213">
            <v>2</v>
          </cell>
          <cell r="R213" t="str">
            <v>豫Q*H5591</v>
          </cell>
          <cell r="S213" t="str">
            <v>公司筐</v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</row>
        <row r="213"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</row>
        <row r="214">
          <cell r="B214">
            <v>46278</v>
          </cell>
          <cell r="C214" t="str">
            <v>吐尔洪</v>
          </cell>
          <cell r="D214" t="str">
            <v>原料入库</v>
          </cell>
          <cell r="E214" t="str">
            <v>NO:0000799</v>
          </cell>
          <cell r="F214" t="str">
            <v>香梨</v>
          </cell>
          <cell r="G214" t="str">
            <v>香梨特级</v>
          </cell>
          <cell r="H214">
            <v>133</v>
          </cell>
          <cell r="I214" t="str">
            <v>筐</v>
          </cell>
          <cell r="J214">
            <v>2433.9</v>
          </cell>
          <cell r="K214" t="str">
            <v/>
          </cell>
          <cell r="L214" t="str">
            <v/>
          </cell>
          <cell r="M214" t="str">
            <v>麦麦提</v>
          </cell>
          <cell r="N214" t="str">
            <v>公司红周转筐</v>
          </cell>
          <cell r="O214" t="str">
            <v/>
          </cell>
          <cell r="P214" t="str">
            <v/>
          </cell>
          <cell r="Q214">
            <v>133</v>
          </cell>
          <cell r="R214" t="str">
            <v>新N*X8S48</v>
          </cell>
          <cell r="S214" t="str">
            <v>公司筐</v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</row>
        <row r="214"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</row>
        <row r="215">
          <cell r="B215">
            <v>46278</v>
          </cell>
          <cell r="C215" t="str">
            <v>吐尔洪</v>
          </cell>
          <cell r="D215" t="str">
            <v>原料入库</v>
          </cell>
          <cell r="E215" t="str">
            <v>NO:0000799</v>
          </cell>
          <cell r="F215" t="str">
            <v>香梨</v>
          </cell>
          <cell r="G215" t="str">
            <v>香梨一级</v>
          </cell>
          <cell r="H215">
            <v>50</v>
          </cell>
          <cell r="I215" t="str">
            <v>筐</v>
          </cell>
          <cell r="J215">
            <v>915</v>
          </cell>
          <cell r="K215" t="str">
            <v/>
          </cell>
          <cell r="L215" t="str">
            <v/>
          </cell>
          <cell r="M215" t="str">
            <v>麦麦提</v>
          </cell>
          <cell r="N215" t="str">
            <v>公司红周转筐</v>
          </cell>
          <cell r="O215" t="str">
            <v/>
          </cell>
          <cell r="P215" t="str">
            <v/>
          </cell>
          <cell r="Q215">
            <v>50</v>
          </cell>
          <cell r="R215" t="str">
            <v>新N*X8S48</v>
          </cell>
          <cell r="S215" t="str">
            <v>公司筐</v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</row>
        <row r="215"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</row>
        <row r="216">
          <cell r="B216">
            <v>46278</v>
          </cell>
          <cell r="C216" t="str">
            <v>吐尔洪</v>
          </cell>
          <cell r="D216" t="str">
            <v>原料入库</v>
          </cell>
          <cell r="E216" t="str">
            <v>NO:0000799</v>
          </cell>
          <cell r="F216" t="str">
            <v>香梨</v>
          </cell>
          <cell r="G216" t="str">
            <v>香梨二级</v>
          </cell>
          <cell r="H216">
            <v>101</v>
          </cell>
          <cell r="I216" t="str">
            <v>筐</v>
          </cell>
          <cell r="J216">
            <v>2252.3</v>
          </cell>
          <cell r="K216" t="str">
            <v/>
          </cell>
          <cell r="L216" t="str">
            <v/>
          </cell>
          <cell r="M216" t="str">
            <v>麦麦提</v>
          </cell>
          <cell r="N216" t="str">
            <v>公司红周转筐</v>
          </cell>
          <cell r="O216" t="str">
            <v/>
          </cell>
          <cell r="P216" t="str">
            <v/>
          </cell>
          <cell r="Q216">
            <v>101</v>
          </cell>
          <cell r="R216" t="str">
            <v>新N*X8S48</v>
          </cell>
          <cell r="S216" t="str">
            <v>公司筐</v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</row>
        <row r="216"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</row>
        <row r="217">
          <cell r="B217">
            <v>46278</v>
          </cell>
          <cell r="C217" t="str">
            <v>热合曼</v>
          </cell>
          <cell r="D217" t="str">
            <v>原料入库</v>
          </cell>
          <cell r="E217" t="str">
            <v>NO:0000800</v>
          </cell>
          <cell r="F217" t="str">
            <v>香梨</v>
          </cell>
          <cell r="G217" t="str">
            <v>香梨副特</v>
          </cell>
          <cell r="H217">
            <v>232</v>
          </cell>
          <cell r="I217" t="str">
            <v>筐</v>
          </cell>
          <cell r="J217">
            <v>4477.6</v>
          </cell>
          <cell r="K217" t="str">
            <v/>
          </cell>
          <cell r="L217" t="str">
            <v/>
          </cell>
          <cell r="M217" t="str">
            <v/>
          </cell>
          <cell r="N217" t="str">
            <v>公司红周转筐</v>
          </cell>
          <cell r="O217" t="str">
            <v/>
          </cell>
          <cell r="P217" t="str">
            <v/>
          </cell>
          <cell r="Q217">
            <v>232</v>
          </cell>
          <cell r="R217" t="str">
            <v>新A*G0554</v>
          </cell>
          <cell r="S217" t="str">
            <v>公司筐</v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</row>
        <row r="217"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</row>
        <row r="218">
          <cell r="B218">
            <v>46278</v>
          </cell>
          <cell r="C218" t="str">
            <v>热合曼</v>
          </cell>
          <cell r="D218" t="str">
            <v>原料入库</v>
          </cell>
          <cell r="E218" t="str">
            <v>NO:0000800</v>
          </cell>
          <cell r="F218" t="str">
            <v>香梨</v>
          </cell>
          <cell r="G218" t="str">
            <v>香梨一级</v>
          </cell>
          <cell r="H218">
            <v>170</v>
          </cell>
          <cell r="I218" t="str">
            <v>筐</v>
          </cell>
          <cell r="J218">
            <v>3111</v>
          </cell>
          <cell r="K218" t="str">
            <v/>
          </cell>
          <cell r="L218" t="str">
            <v/>
          </cell>
          <cell r="M218" t="str">
            <v/>
          </cell>
          <cell r="N218" t="str">
            <v>公司红周转筐</v>
          </cell>
          <cell r="O218" t="str">
            <v/>
          </cell>
          <cell r="P218" t="str">
            <v/>
          </cell>
          <cell r="Q218">
            <v>170</v>
          </cell>
          <cell r="R218" t="str">
            <v>新A*G0554</v>
          </cell>
          <cell r="S218" t="str">
            <v>公司筐</v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</row>
        <row r="218"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</row>
        <row r="219">
          <cell r="B219">
            <v>46278</v>
          </cell>
          <cell r="C219" t="str">
            <v>热合曼</v>
          </cell>
          <cell r="D219" t="str">
            <v>原料入库</v>
          </cell>
          <cell r="E219" t="str">
            <v>NO:0000800</v>
          </cell>
          <cell r="F219" t="str">
            <v>香梨</v>
          </cell>
          <cell r="G219" t="str">
            <v>香梨二级</v>
          </cell>
          <cell r="H219">
            <v>30</v>
          </cell>
          <cell r="I219" t="str">
            <v>筐</v>
          </cell>
          <cell r="J219">
            <v>669</v>
          </cell>
          <cell r="K219" t="str">
            <v/>
          </cell>
          <cell r="L219" t="str">
            <v/>
          </cell>
          <cell r="M219" t="str">
            <v/>
          </cell>
          <cell r="N219" t="str">
            <v>公司红周转筐</v>
          </cell>
          <cell r="O219" t="str">
            <v/>
          </cell>
          <cell r="P219" t="str">
            <v/>
          </cell>
          <cell r="Q219">
            <v>30</v>
          </cell>
          <cell r="R219" t="str">
            <v>新A*G0554</v>
          </cell>
          <cell r="S219" t="str">
            <v>公司筐</v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</row>
        <row r="219"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</row>
        <row r="220">
          <cell r="B220">
            <v>46278</v>
          </cell>
          <cell r="C220" t="str">
            <v>努尔敦</v>
          </cell>
          <cell r="D220" t="str">
            <v>原料入库</v>
          </cell>
          <cell r="E220" t="str">
            <v>NO:0000851</v>
          </cell>
          <cell r="F220" t="str">
            <v>香梨</v>
          </cell>
          <cell r="G220" t="str">
            <v>香梨特级</v>
          </cell>
          <cell r="H220">
            <v>162</v>
          </cell>
          <cell r="I220" t="str">
            <v>筐</v>
          </cell>
          <cell r="J220">
            <v>2964.6</v>
          </cell>
          <cell r="K220" t="str">
            <v/>
          </cell>
          <cell r="L220" t="str">
            <v/>
          </cell>
          <cell r="M220" t="str">
            <v/>
          </cell>
          <cell r="N220" t="str">
            <v>公司红周转筐</v>
          </cell>
          <cell r="O220" t="str">
            <v/>
          </cell>
          <cell r="P220" t="str">
            <v/>
          </cell>
          <cell r="Q220">
            <v>162</v>
          </cell>
          <cell r="R220" t="str">
            <v>新F*75240</v>
          </cell>
          <cell r="S220" t="str">
            <v>公司筐</v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</row>
        <row r="220"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</row>
        <row r="221">
          <cell r="B221">
            <v>46278</v>
          </cell>
          <cell r="C221" t="str">
            <v>努尔敦</v>
          </cell>
          <cell r="D221" t="str">
            <v>原料入库</v>
          </cell>
          <cell r="E221" t="str">
            <v>NO:0000851</v>
          </cell>
          <cell r="F221" t="str">
            <v>香梨</v>
          </cell>
          <cell r="G221" t="str">
            <v>香梨一级</v>
          </cell>
          <cell r="H221">
            <v>300</v>
          </cell>
          <cell r="I221" t="str">
            <v>筐</v>
          </cell>
          <cell r="J221">
            <v>5490</v>
          </cell>
          <cell r="K221" t="str">
            <v/>
          </cell>
          <cell r="L221" t="str">
            <v/>
          </cell>
          <cell r="M221" t="str">
            <v/>
          </cell>
          <cell r="N221" t="str">
            <v>公司红周转筐</v>
          </cell>
          <cell r="O221" t="str">
            <v/>
          </cell>
          <cell r="P221" t="str">
            <v/>
          </cell>
          <cell r="Q221">
            <v>300</v>
          </cell>
          <cell r="R221" t="str">
            <v>新F*75240</v>
          </cell>
          <cell r="S221" t="str">
            <v>公司筐</v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</row>
        <row r="221"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</row>
        <row r="222">
          <cell r="B222">
            <v>46278</v>
          </cell>
          <cell r="C222" t="str">
            <v>努尔敦</v>
          </cell>
          <cell r="D222" t="str">
            <v>原料入库</v>
          </cell>
          <cell r="E222" t="str">
            <v>NO:0000851</v>
          </cell>
          <cell r="F222" t="str">
            <v>香梨</v>
          </cell>
          <cell r="G222" t="str">
            <v>香梨二级</v>
          </cell>
          <cell r="H222">
            <v>188</v>
          </cell>
          <cell r="I222" t="str">
            <v>筐</v>
          </cell>
          <cell r="J222">
            <v>4192.4</v>
          </cell>
          <cell r="K222" t="str">
            <v/>
          </cell>
          <cell r="L222" t="str">
            <v/>
          </cell>
          <cell r="M222" t="str">
            <v/>
          </cell>
          <cell r="N222" t="str">
            <v>公司红周转筐</v>
          </cell>
          <cell r="O222" t="str">
            <v/>
          </cell>
          <cell r="P222" t="str">
            <v/>
          </cell>
          <cell r="Q222">
            <v>188</v>
          </cell>
          <cell r="R222" t="str">
            <v>新F*75240</v>
          </cell>
          <cell r="S222" t="str">
            <v>公司筐</v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</row>
        <row r="222"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</row>
        <row r="223">
          <cell r="B223">
            <v>46278</v>
          </cell>
          <cell r="C223" t="str">
            <v>马锦祥</v>
          </cell>
          <cell r="D223" t="str">
            <v>原料入库</v>
          </cell>
          <cell r="E223" t="str">
            <v>NO:0000852</v>
          </cell>
          <cell r="F223" t="str">
            <v>香梨</v>
          </cell>
          <cell r="G223" t="str">
            <v>香梨一级</v>
          </cell>
          <cell r="H223">
            <v>294</v>
          </cell>
          <cell r="I223" t="str">
            <v>筐</v>
          </cell>
          <cell r="J223">
            <v>5380.2</v>
          </cell>
          <cell r="K223" t="str">
            <v/>
          </cell>
          <cell r="L223" t="str">
            <v/>
          </cell>
          <cell r="M223" t="str">
            <v/>
          </cell>
          <cell r="N223" t="str">
            <v>公司杂周转筐</v>
          </cell>
          <cell r="O223" t="str">
            <v/>
          </cell>
          <cell r="P223" t="str">
            <v/>
          </cell>
          <cell r="Q223">
            <v>294</v>
          </cell>
          <cell r="R223" t="str">
            <v>新N*K7V85</v>
          </cell>
          <cell r="S223" t="str">
            <v>公司筐</v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</row>
        <row r="223"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</row>
        <row r="224">
          <cell r="B224">
            <v>46278</v>
          </cell>
          <cell r="C224" t="str">
            <v>马锦祥</v>
          </cell>
          <cell r="D224" t="str">
            <v>原料入库</v>
          </cell>
          <cell r="E224" t="str">
            <v>NO:0000852</v>
          </cell>
          <cell r="F224" t="str">
            <v>香梨</v>
          </cell>
          <cell r="G224" t="str">
            <v>香梨二级</v>
          </cell>
          <cell r="H224">
            <v>42</v>
          </cell>
          <cell r="I224" t="str">
            <v>筐</v>
          </cell>
          <cell r="J224">
            <v>936.6</v>
          </cell>
          <cell r="K224" t="str">
            <v/>
          </cell>
          <cell r="L224" t="str">
            <v/>
          </cell>
          <cell r="M224" t="str">
            <v/>
          </cell>
          <cell r="N224" t="str">
            <v>公司杂周转筐</v>
          </cell>
          <cell r="O224" t="str">
            <v/>
          </cell>
          <cell r="P224" t="str">
            <v/>
          </cell>
          <cell r="Q224">
            <v>42</v>
          </cell>
          <cell r="R224" t="str">
            <v>新N*K7V85</v>
          </cell>
          <cell r="S224" t="str">
            <v>公司筐</v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</row>
        <row r="224"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</row>
        <row r="225">
          <cell r="B225">
            <v>46278</v>
          </cell>
          <cell r="C225" t="str">
            <v>马锦祥</v>
          </cell>
          <cell r="D225" t="str">
            <v>原料入库</v>
          </cell>
          <cell r="E225" t="str">
            <v>NO:0000852</v>
          </cell>
          <cell r="F225" t="str">
            <v>香梨</v>
          </cell>
          <cell r="G225" t="str">
            <v>香梨副特</v>
          </cell>
          <cell r="H225">
            <v>7</v>
          </cell>
          <cell r="I225" t="str">
            <v>筐</v>
          </cell>
          <cell r="J225">
            <v>128.1</v>
          </cell>
          <cell r="K225" t="str">
            <v/>
          </cell>
          <cell r="L225" t="str">
            <v/>
          </cell>
          <cell r="M225" t="str">
            <v/>
          </cell>
          <cell r="N225" t="str">
            <v>公司杂周转筐</v>
          </cell>
          <cell r="O225" t="str">
            <v/>
          </cell>
          <cell r="P225" t="str">
            <v/>
          </cell>
          <cell r="Q225">
            <v>7</v>
          </cell>
          <cell r="R225" t="str">
            <v>新N*K7V85</v>
          </cell>
          <cell r="S225" t="str">
            <v>公司筐</v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</row>
        <row r="225"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</row>
        <row r="226">
          <cell r="B226">
            <v>46278</v>
          </cell>
          <cell r="C226" t="str">
            <v>荆建君</v>
          </cell>
          <cell r="D226" t="str">
            <v>原料入库</v>
          </cell>
          <cell r="E226" t="str">
            <v>NO:0000854</v>
          </cell>
          <cell r="F226" t="str">
            <v>香梨</v>
          </cell>
          <cell r="G226" t="str">
            <v>香梨一级</v>
          </cell>
          <cell r="H226">
            <v>383</v>
          </cell>
          <cell r="I226" t="str">
            <v>筐</v>
          </cell>
          <cell r="J226">
            <v>7008.9</v>
          </cell>
          <cell r="K226" t="str">
            <v/>
          </cell>
          <cell r="L226" t="str">
            <v/>
          </cell>
          <cell r="M226" t="str">
            <v/>
          </cell>
          <cell r="N226" t="str">
            <v>公司红周转筐</v>
          </cell>
          <cell r="O226" t="str">
            <v/>
          </cell>
          <cell r="P226" t="str">
            <v/>
          </cell>
          <cell r="Q226">
            <v>383</v>
          </cell>
          <cell r="R226" t="str">
            <v>豫A*2737K</v>
          </cell>
          <cell r="S226" t="str">
            <v>公司筐</v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</row>
        <row r="226"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</row>
        <row r="227">
          <cell r="B227">
            <v>46278</v>
          </cell>
          <cell r="C227" t="str">
            <v>荆建君</v>
          </cell>
          <cell r="D227" t="str">
            <v>原料入库</v>
          </cell>
          <cell r="E227" t="str">
            <v>NO:0000854</v>
          </cell>
          <cell r="F227" t="str">
            <v>香梨</v>
          </cell>
          <cell r="G227" t="str">
            <v>香梨二级</v>
          </cell>
          <cell r="H227">
            <v>265</v>
          </cell>
          <cell r="I227" t="str">
            <v>筐</v>
          </cell>
          <cell r="J227">
            <v>4849.5</v>
          </cell>
          <cell r="K227" t="str">
            <v/>
          </cell>
          <cell r="L227" t="str">
            <v/>
          </cell>
          <cell r="M227" t="str">
            <v/>
          </cell>
          <cell r="N227" t="str">
            <v>公司红周转筐</v>
          </cell>
          <cell r="O227" t="str">
            <v/>
          </cell>
          <cell r="P227" t="str">
            <v/>
          </cell>
          <cell r="Q227">
            <v>265</v>
          </cell>
          <cell r="R227" t="str">
            <v>豫A*2737K</v>
          </cell>
          <cell r="S227" t="str">
            <v>公司筐</v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</row>
        <row r="227"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</row>
        <row r="228">
          <cell r="B228">
            <v>46278</v>
          </cell>
          <cell r="C228" t="str">
            <v>王照雪</v>
          </cell>
          <cell r="D228" t="str">
            <v>原料入库</v>
          </cell>
          <cell r="E228" t="str">
            <v>NO:0000855</v>
          </cell>
          <cell r="F228" t="str">
            <v>苹果</v>
          </cell>
          <cell r="G228" t="str">
            <v>新世纪特级</v>
          </cell>
          <cell r="H228">
            <v>73</v>
          </cell>
          <cell r="I228" t="str">
            <v>筐</v>
          </cell>
          <cell r="J228">
            <v>1262.9</v>
          </cell>
          <cell r="K228" t="str">
            <v/>
          </cell>
          <cell r="L228" t="str">
            <v/>
          </cell>
          <cell r="M228" t="str">
            <v>光果</v>
          </cell>
          <cell r="N228" t="str">
            <v>公司杂周转筐</v>
          </cell>
          <cell r="O228" t="str">
            <v/>
          </cell>
          <cell r="P228" t="str">
            <v/>
          </cell>
          <cell r="Q228">
            <v>73</v>
          </cell>
          <cell r="R228" t="str">
            <v>豫L*88X19</v>
          </cell>
          <cell r="S228" t="str">
            <v>公司筐</v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</row>
        <row r="228"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</row>
        <row r="229">
          <cell r="B229">
            <v>46278</v>
          </cell>
          <cell r="C229" t="str">
            <v>王照雪</v>
          </cell>
          <cell r="D229" t="str">
            <v>原料入库</v>
          </cell>
          <cell r="E229" t="str">
            <v>NO:0000855</v>
          </cell>
          <cell r="F229" t="str">
            <v>苹果</v>
          </cell>
          <cell r="G229" t="str">
            <v>新世纪一级</v>
          </cell>
          <cell r="H229">
            <v>182</v>
          </cell>
          <cell r="I229" t="str">
            <v>筐</v>
          </cell>
          <cell r="J229">
            <v>3148.6</v>
          </cell>
          <cell r="K229" t="str">
            <v/>
          </cell>
          <cell r="L229" t="str">
            <v/>
          </cell>
          <cell r="M229" t="str">
            <v>光果</v>
          </cell>
          <cell r="N229" t="str">
            <v>公司杂周转筐</v>
          </cell>
          <cell r="O229" t="str">
            <v/>
          </cell>
          <cell r="P229" t="str">
            <v/>
          </cell>
          <cell r="Q229">
            <v>182</v>
          </cell>
          <cell r="R229" t="str">
            <v>豫L*88X19</v>
          </cell>
          <cell r="S229" t="str">
            <v>公司筐</v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</row>
        <row r="229"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</row>
        <row r="230">
          <cell r="B230">
            <v>46278</v>
          </cell>
          <cell r="C230" t="str">
            <v>王照雪</v>
          </cell>
          <cell r="D230" t="str">
            <v>原料入库</v>
          </cell>
          <cell r="E230" t="str">
            <v>NO:0000855</v>
          </cell>
          <cell r="F230" t="str">
            <v>苹果</v>
          </cell>
          <cell r="G230" t="str">
            <v>新世纪二级</v>
          </cell>
          <cell r="H230">
            <v>74</v>
          </cell>
          <cell r="I230" t="str">
            <v>筐</v>
          </cell>
          <cell r="J230">
            <v>1650.2</v>
          </cell>
          <cell r="K230" t="str">
            <v/>
          </cell>
          <cell r="L230" t="str">
            <v/>
          </cell>
          <cell r="M230" t="str">
            <v>光果</v>
          </cell>
          <cell r="N230" t="str">
            <v>公司杂周转筐</v>
          </cell>
          <cell r="O230" t="str">
            <v/>
          </cell>
          <cell r="P230" t="str">
            <v/>
          </cell>
          <cell r="Q230">
            <v>74</v>
          </cell>
          <cell r="R230" t="str">
            <v>豫L*88X19</v>
          </cell>
          <cell r="S230" t="str">
            <v>公司筐</v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</row>
        <row r="230"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</row>
        <row r="231">
          <cell r="B231">
            <v>46279</v>
          </cell>
          <cell r="C231" t="str">
            <v>麦麦提</v>
          </cell>
          <cell r="D231" t="str">
            <v>原料入库</v>
          </cell>
          <cell r="E231" t="str">
            <v>NO:0000858</v>
          </cell>
          <cell r="F231" t="str">
            <v>香梨</v>
          </cell>
          <cell r="G231" t="str">
            <v>香梨特级</v>
          </cell>
          <cell r="H231">
            <v>264</v>
          </cell>
          <cell r="I231" t="str">
            <v>筐</v>
          </cell>
          <cell r="J231">
            <v>4831.2</v>
          </cell>
          <cell r="K231" t="str">
            <v/>
          </cell>
          <cell r="L231" t="str">
            <v/>
          </cell>
          <cell r="M231" t="str">
            <v/>
          </cell>
          <cell r="N231" t="str">
            <v>公司红周转筐</v>
          </cell>
          <cell r="O231" t="str">
            <v/>
          </cell>
          <cell r="P231" t="str">
            <v/>
          </cell>
          <cell r="Q231">
            <v>264</v>
          </cell>
          <cell r="R231" t="str">
            <v>新A*G0554</v>
          </cell>
          <cell r="S231" t="str">
            <v>公司筐</v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</row>
        <row r="231"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</row>
        <row r="232">
          <cell r="B232">
            <v>46279</v>
          </cell>
          <cell r="C232" t="str">
            <v>麦麦提</v>
          </cell>
          <cell r="D232" t="str">
            <v>原料入库</v>
          </cell>
          <cell r="E232" t="str">
            <v>NO:0000858</v>
          </cell>
          <cell r="F232" t="str">
            <v>香梨</v>
          </cell>
          <cell r="G232" t="str">
            <v>香梨一级</v>
          </cell>
          <cell r="H232">
            <v>184</v>
          </cell>
          <cell r="I232" t="str">
            <v>筐</v>
          </cell>
          <cell r="J232">
            <v>3367.2</v>
          </cell>
          <cell r="K232" t="str">
            <v/>
          </cell>
          <cell r="L232" t="str">
            <v/>
          </cell>
          <cell r="M232" t="str">
            <v/>
          </cell>
          <cell r="N232" t="str">
            <v>公司红周转筐</v>
          </cell>
          <cell r="O232" t="str">
            <v/>
          </cell>
          <cell r="P232" t="str">
            <v/>
          </cell>
          <cell r="Q232">
            <v>184</v>
          </cell>
          <cell r="R232" t="str">
            <v>新A*G0554</v>
          </cell>
          <cell r="S232" t="str">
            <v>公司筐</v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</row>
        <row r="232"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</row>
        <row r="233">
          <cell r="B233">
            <v>46279</v>
          </cell>
          <cell r="C233" t="str">
            <v>麦麦提</v>
          </cell>
          <cell r="D233" t="str">
            <v>原料入库</v>
          </cell>
          <cell r="E233" t="str">
            <v>NO:0000858</v>
          </cell>
          <cell r="F233" t="str">
            <v>香梨</v>
          </cell>
          <cell r="G233" t="str">
            <v>香梨二级</v>
          </cell>
          <cell r="H233">
            <v>181</v>
          </cell>
          <cell r="I233" t="str">
            <v>筐</v>
          </cell>
          <cell r="J233">
            <v>4036.3</v>
          </cell>
          <cell r="K233" t="str">
            <v/>
          </cell>
          <cell r="L233" t="str">
            <v/>
          </cell>
          <cell r="M233" t="str">
            <v/>
          </cell>
          <cell r="N233" t="str">
            <v>公司红周转筐</v>
          </cell>
          <cell r="O233" t="str">
            <v/>
          </cell>
          <cell r="P233" t="str">
            <v/>
          </cell>
          <cell r="Q233">
            <v>181</v>
          </cell>
          <cell r="R233" t="str">
            <v>新A*G0554</v>
          </cell>
          <cell r="S233" t="str">
            <v>公司筐</v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</row>
        <row r="233"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</row>
        <row r="234">
          <cell r="B234">
            <v>46279</v>
          </cell>
          <cell r="C234" t="str">
            <v>贾建国</v>
          </cell>
          <cell r="D234" t="str">
            <v>原料入库</v>
          </cell>
          <cell r="E234" t="str">
            <v>NO:0000859</v>
          </cell>
          <cell r="F234" t="str">
            <v>香梨</v>
          </cell>
          <cell r="G234" t="str">
            <v>香梨二级</v>
          </cell>
          <cell r="H234">
            <v>125</v>
          </cell>
          <cell r="I234" t="str">
            <v>筐</v>
          </cell>
          <cell r="J234">
            <v>2812.5</v>
          </cell>
          <cell r="K234" t="str">
            <v/>
          </cell>
          <cell r="L234" t="str">
            <v/>
          </cell>
          <cell r="M234" t="str">
            <v/>
          </cell>
          <cell r="N234" t="str">
            <v>自备杂周转筐</v>
          </cell>
          <cell r="O234" t="str">
            <v/>
          </cell>
          <cell r="P234" t="str">
            <v/>
          </cell>
          <cell r="Q234">
            <v>125</v>
          </cell>
          <cell r="R234" t="str">
            <v>豫Q*H5591</v>
          </cell>
          <cell r="S234" t="str">
            <v>自备筐</v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</row>
        <row r="234"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</row>
        <row r="235">
          <cell r="B235">
            <v>46279</v>
          </cell>
          <cell r="C235" t="str">
            <v>王灵云</v>
          </cell>
          <cell r="D235" t="str">
            <v>原料入库</v>
          </cell>
          <cell r="E235" t="str">
            <v>NO:0000860</v>
          </cell>
          <cell r="F235" t="str">
            <v>香梨</v>
          </cell>
          <cell r="G235" t="str">
            <v>香梨一级</v>
          </cell>
          <cell r="H235">
            <v>465</v>
          </cell>
          <cell r="I235" t="str">
            <v>筐</v>
          </cell>
          <cell r="J235">
            <v>8509.5</v>
          </cell>
          <cell r="K235" t="str">
            <v/>
          </cell>
          <cell r="L235" t="str">
            <v/>
          </cell>
          <cell r="M235" t="str">
            <v/>
          </cell>
          <cell r="N235" t="str">
            <v>公司红周转筐</v>
          </cell>
          <cell r="O235" t="str">
            <v/>
          </cell>
          <cell r="P235" t="str">
            <v/>
          </cell>
          <cell r="Q235">
            <v>465</v>
          </cell>
          <cell r="R235" t="str">
            <v>新N*49209</v>
          </cell>
          <cell r="S235" t="str">
            <v>公司筐</v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</row>
        <row r="235"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</row>
        <row r="236">
          <cell r="B236">
            <v>46279</v>
          </cell>
          <cell r="C236" t="str">
            <v>王灵云</v>
          </cell>
          <cell r="D236" t="str">
            <v>原料入库</v>
          </cell>
          <cell r="E236" t="str">
            <v>NO:0000860</v>
          </cell>
          <cell r="F236" t="str">
            <v>香梨</v>
          </cell>
          <cell r="G236" t="str">
            <v>香梨二级</v>
          </cell>
          <cell r="H236">
            <v>164</v>
          </cell>
          <cell r="I236" t="str">
            <v>筐</v>
          </cell>
          <cell r="J236">
            <v>3001.2</v>
          </cell>
          <cell r="K236" t="str">
            <v/>
          </cell>
          <cell r="L236" t="str">
            <v/>
          </cell>
          <cell r="M236" t="str">
            <v/>
          </cell>
          <cell r="N236" t="str">
            <v>公司红周转筐</v>
          </cell>
          <cell r="O236" t="str">
            <v/>
          </cell>
          <cell r="P236" t="str">
            <v/>
          </cell>
          <cell r="Q236">
            <v>164</v>
          </cell>
          <cell r="R236" t="str">
            <v>新N*49209</v>
          </cell>
          <cell r="S236" t="str">
            <v>公司筐</v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</row>
        <row r="236"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</row>
        <row r="237">
          <cell r="B237">
            <v>46279</v>
          </cell>
          <cell r="C237" t="str">
            <v>王灵云</v>
          </cell>
          <cell r="D237" t="str">
            <v>原料入库</v>
          </cell>
          <cell r="E237" t="str">
            <v>NO:0000860</v>
          </cell>
          <cell r="F237" t="str">
            <v>香梨</v>
          </cell>
          <cell r="G237" t="str">
            <v>香梨副特</v>
          </cell>
          <cell r="H237">
            <v>60</v>
          </cell>
          <cell r="I237" t="str">
            <v>筐</v>
          </cell>
          <cell r="J237">
            <v>1398</v>
          </cell>
          <cell r="K237" t="str">
            <v/>
          </cell>
          <cell r="L237" t="str">
            <v/>
          </cell>
          <cell r="M237" t="str">
            <v/>
          </cell>
          <cell r="N237" t="str">
            <v>公司红周转筐</v>
          </cell>
          <cell r="O237" t="str">
            <v/>
          </cell>
          <cell r="P237" t="str">
            <v/>
          </cell>
          <cell r="Q237">
            <v>60</v>
          </cell>
          <cell r="R237" t="str">
            <v>新N*49209</v>
          </cell>
          <cell r="S237" t="str">
            <v>公司筐</v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</row>
        <row r="237"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</row>
        <row r="238">
          <cell r="B238">
            <v>46279</v>
          </cell>
          <cell r="C238" t="str">
            <v>吐尔洪</v>
          </cell>
          <cell r="D238" t="str">
            <v>原料入库</v>
          </cell>
          <cell r="E238" t="str">
            <v>NO:0000861</v>
          </cell>
          <cell r="F238" t="str">
            <v>香梨</v>
          </cell>
          <cell r="G238" t="str">
            <v>香梨特级</v>
          </cell>
          <cell r="H238">
            <v>108</v>
          </cell>
          <cell r="I238" t="str">
            <v>筐</v>
          </cell>
          <cell r="J238">
            <v>1976.4</v>
          </cell>
          <cell r="K238" t="str">
            <v/>
          </cell>
          <cell r="L238" t="str">
            <v/>
          </cell>
          <cell r="M238" t="str">
            <v>麦麦提</v>
          </cell>
          <cell r="N238" t="str">
            <v>公司红周转筐</v>
          </cell>
          <cell r="O238" t="str">
            <v/>
          </cell>
          <cell r="P238" t="str">
            <v/>
          </cell>
          <cell r="Q238">
            <v>108</v>
          </cell>
          <cell r="R238" t="str">
            <v>新N*X8S48</v>
          </cell>
          <cell r="S238" t="str">
            <v>公司筐</v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</row>
        <row r="238"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</row>
        <row r="239">
          <cell r="B239">
            <v>46279</v>
          </cell>
          <cell r="C239" t="str">
            <v>吐尔洪</v>
          </cell>
          <cell r="D239" t="str">
            <v>原料入库</v>
          </cell>
          <cell r="E239" t="str">
            <v>NO:0000861</v>
          </cell>
          <cell r="F239" t="str">
            <v>香梨</v>
          </cell>
          <cell r="G239" t="str">
            <v>香梨一级</v>
          </cell>
          <cell r="H239">
            <v>41</v>
          </cell>
          <cell r="I239" t="str">
            <v>筐</v>
          </cell>
          <cell r="J239">
            <v>750.3</v>
          </cell>
          <cell r="K239" t="str">
            <v/>
          </cell>
          <cell r="L239" t="str">
            <v/>
          </cell>
          <cell r="M239" t="str">
            <v>麦麦提</v>
          </cell>
          <cell r="N239" t="str">
            <v>公司红周转筐</v>
          </cell>
          <cell r="O239" t="str">
            <v/>
          </cell>
          <cell r="P239" t="str">
            <v/>
          </cell>
          <cell r="Q239">
            <v>41</v>
          </cell>
          <cell r="R239" t="str">
            <v>新N*X8S48</v>
          </cell>
          <cell r="S239" t="str">
            <v>公司筐</v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</row>
        <row r="239"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</row>
        <row r="240">
          <cell r="B240">
            <v>46279</v>
          </cell>
          <cell r="C240" t="str">
            <v>吐尔洪</v>
          </cell>
          <cell r="D240" t="str">
            <v>原料入库</v>
          </cell>
          <cell r="E240" t="str">
            <v>NO:0000861</v>
          </cell>
          <cell r="F240" t="str">
            <v>香梨</v>
          </cell>
          <cell r="G240" t="str">
            <v>香梨二级</v>
          </cell>
          <cell r="H240">
            <v>91</v>
          </cell>
          <cell r="I240" t="str">
            <v>筐</v>
          </cell>
          <cell r="J240">
            <v>2029.3</v>
          </cell>
          <cell r="K240" t="str">
            <v/>
          </cell>
          <cell r="L240" t="str">
            <v/>
          </cell>
          <cell r="M240" t="str">
            <v>麦麦提</v>
          </cell>
          <cell r="N240" t="str">
            <v>公司红周转筐</v>
          </cell>
          <cell r="O240" t="str">
            <v/>
          </cell>
          <cell r="P240" t="str">
            <v/>
          </cell>
          <cell r="Q240">
            <v>91</v>
          </cell>
          <cell r="R240" t="str">
            <v>新N*X8S48</v>
          </cell>
          <cell r="S240" t="str">
            <v>公司筐</v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</row>
        <row r="240"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</row>
        <row r="241">
          <cell r="B241">
            <v>46280</v>
          </cell>
          <cell r="C241" t="str">
            <v>马锦祥</v>
          </cell>
          <cell r="D241" t="str">
            <v>原料入库</v>
          </cell>
          <cell r="E241" t="str">
            <v>NO:0000864</v>
          </cell>
          <cell r="F241" t="str">
            <v>香梨</v>
          </cell>
          <cell r="G241" t="str">
            <v>香梨一级</v>
          </cell>
          <cell r="H241">
            <v>343</v>
          </cell>
          <cell r="I241" t="str">
            <v>筐</v>
          </cell>
          <cell r="J241">
            <v>6276.9</v>
          </cell>
          <cell r="K241" t="str">
            <v/>
          </cell>
          <cell r="L241" t="str">
            <v/>
          </cell>
          <cell r="M241" t="str">
            <v/>
          </cell>
          <cell r="N241" t="str">
            <v>公司杂周转筐</v>
          </cell>
          <cell r="O241" t="str">
            <v/>
          </cell>
          <cell r="P241" t="str">
            <v/>
          </cell>
          <cell r="Q241">
            <v>343</v>
          </cell>
          <cell r="R241" t="str">
            <v>新N*K7V85</v>
          </cell>
          <cell r="S241" t="str">
            <v>公司筐</v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</row>
        <row r="241"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</row>
        <row r="242">
          <cell r="B242">
            <v>46280</v>
          </cell>
          <cell r="C242" t="str">
            <v>马锦祥</v>
          </cell>
          <cell r="D242" t="str">
            <v>原料入库</v>
          </cell>
          <cell r="E242" t="str">
            <v>NO:0000867</v>
          </cell>
          <cell r="F242" t="str">
            <v>香梨</v>
          </cell>
          <cell r="G242" t="str">
            <v>香梨一级</v>
          </cell>
          <cell r="H242">
            <v>98</v>
          </cell>
          <cell r="I242" t="str">
            <v>筐</v>
          </cell>
          <cell r="J242">
            <v>1793.4</v>
          </cell>
          <cell r="K242" t="str">
            <v/>
          </cell>
          <cell r="L242" t="str">
            <v/>
          </cell>
          <cell r="M242" t="str">
            <v/>
          </cell>
          <cell r="N242" t="str">
            <v>公司杂周转筐</v>
          </cell>
          <cell r="O242" t="str">
            <v/>
          </cell>
          <cell r="P242" t="str">
            <v/>
          </cell>
          <cell r="Q242">
            <v>98</v>
          </cell>
          <cell r="R242" t="str">
            <v>新N*K7V85</v>
          </cell>
          <cell r="S242" t="str">
            <v>公司筐</v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</row>
        <row r="242"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</row>
        <row r="243">
          <cell r="B243">
            <v>46280</v>
          </cell>
          <cell r="C243" t="str">
            <v>马锦祥</v>
          </cell>
          <cell r="D243" t="str">
            <v>原料入库</v>
          </cell>
          <cell r="E243" t="str">
            <v>NO:0000867</v>
          </cell>
          <cell r="F243" t="str">
            <v>香梨</v>
          </cell>
          <cell r="G243" t="str">
            <v>香梨二级</v>
          </cell>
          <cell r="H243">
            <v>93</v>
          </cell>
          <cell r="I243" t="str">
            <v>筐</v>
          </cell>
          <cell r="J243">
            <v>2073.9</v>
          </cell>
          <cell r="K243" t="str">
            <v/>
          </cell>
          <cell r="L243" t="str">
            <v/>
          </cell>
          <cell r="M243" t="str">
            <v/>
          </cell>
          <cell r="N243" t="str">
            <v>公司杂周转筐</v>
          </cell>
          <cell r="O243" t="str">
            <v/>
          </cell>
          <cell r="P243" t="str">
            <v/>
          </cell>
          <cell r="Q243">
            <v>93</v>
          </cell>
          <cell r="R243" t="str">
            <v>新N*K7V85</v>
          </cell>
          <cell r="S243" t="str">
            <v>公司筐</v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</row>
        <row r="243"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</row>
        <row r="244">
          <cell r="B244">
            <v>46280</v>
          </cell>
          <cell r="C244" t="str">
            <v>马锦祥</v>
          </cell>
          <cell r="D244" t="str">
            <v>原料入库</v>
          </cell>
          <cell r="E244" t="str">
            <v>NO:0000867</v>
          </cell>
          <cell r="F244" t="str">
            <v>香梨</v>
          </cell>
          <cell r="G244" t="str">
            <v>香梨副特</v>
          </cell>
          <cell r="H244">
            <v>57</v>
          </cell>
          <cell r="I244" t="str">
            <v>筐</v>
          </cell>
          <cell r="J244">
            <v>1043.1</v>
          </cell>
          <cell r="K244" t="str">
            <v/>
          </cell>
          <cell r="L244" t="str">
            <v/>
          </cell>
          <cell r="M244" t="str">
            <v/>
          </cell>
          <cell r="N244" t="str">
            <v>公司杂周转筐</v>
          </cell>
          <cell r="O244" t="str">
            <v/>
          </cell>
          <cell r="P244" t="str">
            <v/>
          </cell>
          <cell r="Q244">
            <v>57</v>
          </cell>
          <cell r="R244" t="str">
            <v>新N*K7V85</v>
          </cell>
          <cell r="S244" t="str">
            <v>公司筐</v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</row>
        <row r="244"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</row>
        <row r="245">
          <cell r="B245">
            <v>46280</v>
          </cell>
          <cell r="C245" t="str">
            <v>努尔敦</v>
          </cell>
          <cell r="D245" t="str">
            <v>原料入库</v>
          </cell>
          <cell r="E245" t="str">
            <v>NO:0000868</v>
          </cell>
          <cell r="F245" t="str">
            <v>香梨</v>
          </cell>
          <cell r="G245" t="str">
            <v>香梨特级</v>
          </cell>
          <cell r="H245">
            <v>264</v>
          </cell>
          <cell r="I245" t="str">
            <v>筐</v>
          </cell>
          <cell r="J245">
            <v>4831.2</v>
          </cell>
          <cell r="K245" t="str">
            <v/>
          </cell>
          <cell r="L245" t="str">
            <v/>
          </cell>
          <cell r="M245" t="str">
            <v/>
          </cell>
          <cell r="N245" t="str">
            <v>公司红周转筐</v>
          </cell>
          <cell r="O245" t="str">
            <v/>
          </cell>
          <cell r="P245" t="str">
            <v/>
          </cell>
          <cell r="Q245">
            <v>264</v>
          </cell>
          <cell r="R245" t="str">
            <v>新F*75240</v>
          </cell>
          <cell r="S245" t="str">
            <v>公司筐</v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</row>
        <row r="245"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</row>
        <row r="246">
          <cell r="B246">
            <v>46280</v>
          </cell>
          <cell r="C246" t="str">
            <v>努尔敦</v>
          </cell>
          <cell r="D246" t="str">
            <v>原料入库</v>
          </cell>
          <cell r="E246" t="str">
            <v>NO:0000868</v>
          </cell>
          <cell r="F246" t="str">
            <v>香梨</v>
          </cell>
          <cell r="G246" t="str">
            <v>香梨一级</v>
          </cell>
          <cell r="H246">
            <v>220</v>
          </cell>
          <cell r="I246" t="str">
            <v>筐</v>
          </cell>
          <cell r="J246">
            <v>4026</v>
          </cell>
          <cell r="K246" t="str">
            <v/>
          </cell>
          <cell r="L246" t="str">
            <v/>
          </cell>
          <cell r="M246" t="str">
            <v/>
          </cell>
          <cell r="N246" t="str">
            <v>公司红周转筐</v>
          </cell>
          <cell r="O246" t="str">
            <v/>
          </cell>
          <cell r="P246" t="str">
            <v/>
          </cell>
          <cell r="Q246">
            <v>220</v>
          </cell>
          <cell r="R246" t="str">
            <v>新F*75240</v>
          </cell>
          <cell r="S246" t="str">
            <v>公司筐</v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</row>
        <row r="246"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</row>
        <row r="247">
          <cell r="B247">
            <v>46280</v>
          </cell>
          <cell r="C247" t="str">
            <v>努尔敦</v>
          </cell>
          <cell r="D247" t="str">
            <v>原料入库</v>
          </cell>
          <cell r="E247" t="str">
            <v>NO:0000868</v>
          </cell>
          <cell r="F247" t="str">
            <v>香梨</v>
          </cell>
          <cell r="G247" t="str">
            <v>香梨二级</v>
          </cell>
          <cell r="H247">
            <v>168</v>
          </cell>
          <cell r="I247" t="str">
            <v>筐</v>
          </cell>
          <cell r="J247">
            <v>3746.4</v>
          </cell>
          <cell r="K247" t="str">
            <v/>
          </cell>
          <cell r="L247" t="str">
            <v/>
          </cell>
          <cell r="M247" t="str">
            <v/>
          </cell>
          <cell r="N247" t="str">
            <v>公司红周转筐</v>
          </cell>
          <cell r="O247" t="str">
            <v/>
          </cell>
          <cell r="P247" t="str">
            <v/>
          </cell>
          <cell r="Q247">
            <v>168</v>
          </cell>
          <cell r="R247" t="str">
            <v>新F*75240</v>
          </cell>
          <cell r="S247" t="str">
            <v>公司筐</v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</row>
        <row r="247"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</row>
        <row r="248">
          <cell r="B248">
            <v>46280</v>
          </cell>
          <cell r="C248" t="str">
            <v>王照雪</v>
          </cell>
          <cell r="D248" t="str">
            <v>原料入库</v>
          </cell>
          <cell r="E248" t="str">
            <v>NO:0000869</v>
          </cell>
          <cell r="F248" t="str">
            <v>苹果</v>
          </cell>
          <cell r="G248" t="str">
            <v>新世纪一级</v>
          </cell>
          <cell r="H248">
            <v>52</v>
          </cell>
          <cell r="I248" t="str">
            <v>筐</v>
          </cell>
          <cell r="J248">
            <v>899.6</v>
          </cell>
          <cell r="K248" t="str">
            <v/>
          </cell>
          <cell r="L248" t="str">
            <v/>
          </cell>
          <cell r="M248" t="str">
            <v>光果</v>
          </cell>
          <cell r="N248" t="str">
            <v>公司杂周转筐</v>
          </cell>
          <cell r="O248" t="str">
            <v/>
          </cell>
          <cell r="P248" t="str">
            <v/>
          </cell>
          <cell r="Q248">
            <v>52</v>
          </cell>
          <cell r="R248" t="str">
            <v>豫L*88X19</v>
          </cell>
          <cell r="S248" t="str">
            <v>公司筐</v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</row>
        <row r="248"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</row>
        <row r="249">
          <cell r="B249">
            <v>46280</v>
          </cell>
          <cell r="C249" t="str">
            <v>王照雪</v>
          </cell>
          <cell r="D249" t="str">
            <v>原料入库</v>
          </cell>
          <cell r="E249" t="str">
            <v>NO:0000869</v>
          </cell>
          <cell r="F249" t="str">
            <v>苹果</v>
          </cell>
          <cell r="G249" t="str">
            <v>新世纪一级</v>
          </cell>
          <cell r="H249">
            <v>222</v>
          </cell>
          <cell r="I249" t="str">
            <v>筐</v>
          </cell>
          <cell r="J249">
            <v>3840.6</v>
          </cell>
          <cell r="K249" t="str">
            <v/>
          </cell>
          <cell r="L249" t="str">
            <v/>
          </cell>
          <cell r="M249" t="str">
            <v>套袋</v>
          </cell>
          <cell r="N249" t="str">
            <v>公司杂周转筐</v>
          </cell>
          <cell r="O249" t="str">
            <v/>
          </cell>
          <cell r="P249" t="str">
            <v/>
          </cell>
          <cell r="Q249">
            <v>222</v>
          </cell>
          <cell r="R249" t="str">
            <v>豫L*88X19</v>
          </cell>
          <cell r="S249" t="str">
            <v>公司筐</v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</row>
        <row r="249"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</row>
        <row r="250">
          <cell r="B250">
            <v>46280</v>
          </cell>
          <cell r="C250" t="str">
            <v>王照雪</v>
          </cell>
          <cell r="D250" t="str">
            <v>原料入库</v>
          </cell>
          <cell r="E250" t="str">
            <v>NO:0000869</v>
          </cell>
          <cell r="F250" t="str">
            <v>苹果</v>
          </cell>
          <cell r="G250" t="str">
            <v>新世纪二级</v>
          </cell>
          <cell r="H250">
            <v>23</v>
          </cell>
          <cell r="I250" t="str">
            <v>筐</v>
          </cell>
          <cell r="J250">
            <v>374.9</v>
          </cell>
          <cell r="K250" t="str">
            <v/>
          </cell>
          <cell r="L250" t="str">
            <v/>
          </cell>
          <cell r="M250" t="str">
            <v>套袋+光果</v>
          </cell>
          <cell r="N250" t="str">
            <v>公司杂周转筐</v>
          </cell>
          <cell r="O250" t="str">
            <v/>
          </cell>
          <cell r="P250" t="str">
            <v/>
          </cell>
          <cell r="Q250">
            <v>23</v>
          </cell>
          <cell r="R250" t="str">
            <v>豫L*88X19</v>
          </cell>
          <cell r="S250" t="str">
            <v>公司筐</v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</row>
        <row r="250"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</row>
        <row r="251">
          <cell r="B251">
            <v>46280</v>
          </cell>
          <cell r="C251" t="str">
            <v>王照雪</v>
          </cell>
          <cell r="D251" t="str">
            <v>原料入库</v>
          </cell>
          <cell r="E251" t="str">
            <v>NO:0000869</v>
          </cell>
          <cell r="F251" t="str">
            <v>苹果</v>
          </cell>
          <cell r="G251" t="str">
            <v>新世纪二级</v>
          </cell>
          <cell r="H251">
            <v>7</v>
          </cell>
          <cell r="I251" t="str">
            <v>筐</v>
          </cell>
          <cell r="J251">
            <v>142.1</v>
          </cell>
          <cell r="K251" t="str">
            <v/>
          </cell>
          <cell r="L251" t="str">
            <v/>
          </cell>
          <cell r="M251" t="str">
            <v>套袋+光果</v>
          </cell>
          <cell r="N251" t="str">
            <v>公司杂周转筐</v>
          </cell>
          <cell r="O251" t="str">
            <v/>
          </cell>
          <cell r="P251" t="str">
            <v/>
          </cell>
          <cell r="Q251">
            <v>7</v>
          </cell>
          <cell r="R251" t="str">
            <v>豫L*88X19</v>
          </cell>
          <cell r="S251" t="str">
            <v>公司筐</v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</row>
        <row r="251"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</row>
        <row r="252">
          <cell r="B252">
            <v>46280</v>
          </cell>
          <cell r="C252" t="str">
            <v>荆建君</v>
          </cell>
          <cell r="D252" t="str">
            <v>原料入库</v>
          </cell>
          <cell r="E252" t="str">
            <v>NO:0000870</v>
          </cell>
          <cell r="F252" t="str">
            <v>香梨</v>
          </cell>
          <cell r="G252" t="str">
            <v>香梨一级</v>
          </cell>
          <cell r="H252">
            <v>440</v>
          </cell>
          <cell r="I252" t="str">
            <v>筐</v>
          </cell>
          <cell r="J252">
            <v>8052</v>
          </cell>
          <cell r="K252" t="str">
            <v/>
          </cell>
          <cell r="L252" t="str">
            <v/>
          </cell>
          <cell r="M252" t="str">
            <v/>
          </cell>
          <cell r="N252" t="str">
            <v>公司红周转筐</v>
          </cell>
          <cell r="O252" t="str">
            <v/>
          </cell>
          <cell r="P252" t="str">
            <v/>
          </cell>
          <cell r="Q252">
            <v>440</v>
          </cell>
          <cell r="R252" t="str">
            <v>豫A*2737K</v>
          </cell>
          <cell r="S252" t="str">
            <v>公司筐</v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</row>
        <row r="252"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</row>
        <row r="253">
          <cell r="B253">
            <v>46280</v>
          </cell>
          <cell r="C253" t="str">
            <v>荆建君</v>
          </cell>
          <cell r="D253" t="str">
            <v>原料入库</v>
          </cell>
          <cell r="E253" t="str">
            <v>NO:0000870</v>
          </cell>
          <cell r="F253" t="str">
            <v>香梨</v>
          </cell>
          <cell r="G253" t="str">
            <v>香梨二级</v>
          </cell>
          <cell r="H253">
            <v>208</v>
          </cell>
          <cell r="I253" t="str">
            <v>筐</v>
          </cell>
          <cell r="J253">
            <v>3806.4</v>
          </cell>
          <cell r="K253" t="str">
            <v/>
          </cell>
          <cell r="L253" t="str">
            <v/>
          </cell>
          <cell r="M253" t="str">
            <v/>
          </cell>
          <cell r="N253" t="str">
            <v>公司红周转筐</v>
          </cell>
          <cell r="O253" t="str">
            <v/>
          </cell>
          <cell r="P253" t="str">
            <v/>
          </cell>
          <cell r="Q253">
            <v>208</v>
          </cell>
          <cell r="R253" t="str">
            <v>豫A*2737K</v>
          </cell>
          <cell r="S253" t="str">
            <v>公司筐</v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</row>
        <row r="253"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</row>
        <row r="254">
          <cell r="B254">
            <v>46280</v>
          </cell>
          <cell r="C254" t="str">
            <v>热合曼+艾则孜</v>
          </cell>
          <cell r="D254" t="str">
            <v>原料入库</v>
          </cell>
          <cell r="E254" t="str">
            <v>NO:0000873</v>
          </cell>
          <cell r="F254" t="str">
            <v>香梨</v>
          </cell>
          <cell r="G254" t="str">
            <v>香梨一级</v>
          </cell>
          <cell r="H254">
            <v>329</v>
          </cell>
          <cell r="I254" t="str">
            <v>筐</v>
          </cell>
          <cell r="J254">
            <v>6020.7</v>
          </cell>
          <cell r="K254" t="str">
            <v/>
          </cell>
          <cell r="L254" t="str">
            <v/>
          </cell>
          <cell r="M254" t="str">
            <v>热合曼</v>
          </cell>
          <cell r="N254" t="str">
            <v>公司红周转筐</v>
          </cell>
          <cell r="O254" t="str">
            <v/>
          </cell>
          <cell r="P254" t="str">
            <v/>
          </cell>
          <cell r="Q254">
            <v>329</v>
          </cell>
          <cell r="R254" t="str">
            <v>新A*G0554</v>
          </cell>
          <cell r="S254" t="str">
            <v>公司筐</v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</row>
        <row r="254"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</row>
        <row r="255">
          <cell r="B255">
            <v>46280</v>
          </cell>
          <cell r="C255" t="str">
            <v>热合曼+艾则孜</v>
          </cell>
          <cell r="D255" t="str">
            <v>原料入库</v>
          </cell>
          <cell r="E255" t="str">
            <v>NO:0000873</v>
          </cell>
          <cell r="F255" t="str">
            <v>香梨</v>
          </cell>
          <cell r="G255" t="str">
            <v>香梨二级</v>
          </cell>
          <cell r="H255">
            <v>131</v>
          </cell>
          <cell r="I255" t="str">
            <v>筐</v>
          </cell>
          <cell r="J255">
            <v>2921.3</v>
          </cell>
          <cell r="K255" t="str">
            <v/>
          </cell>
          <cell r="L255" t="str">
            <v/>
          </cell>
          <cell r="M255" t="str">
            <v>热合曼</v>
          </cell>
          <cell r="N255" t="str">
            <v>公司红周转筐</v>
          </cell>
          <cell r="O255" t="str">
            <v/>
          </cell>
          <cell r="P255" t="str">
            <v/>
          </cell>
          <cell r="Q255">
            <v>131</v>
          </cell>
          <cell r="R255" t="str">
            <v>新A*G0554</v>
          </cell>
          <cell r="S255" t="str">
            <v>公司筐</v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</row>
        <row r="255"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</row>
        <row r="256">
          <cell r="B256">
            <v>46280</v>
          </cell>
          <cell r="C256" t="str">
            <v>热合曼+艾则孜</v>
          </cell>
          <cell r="D256" t="str">
            <v>原料入库</v>
          </cell>
          <cell r="E256" t="str">
            <v>NO:0000873</v>
          </cell>
          <cell r="F256" t="str">
            <v>香梨</v>
          </cell>
          <cell r="G256" t="str">
            <v>香梨副特</v>
          </cell>
          <cell r="H256">
            <v>40</v>
          </cell>
          <cell r="I256" t="str">
            <v>筐</v>
          </cell>
          <cell r="J256">
            <v>732</v>
          </cell>
          <cell r="K256" t="str">
            <v/>
          </cell>
          <cell r="L256" t="str">
            <v/>
          </cell>
          <cell r="M256" t="str">
            <v>热合曼</v>
          </cell>
          <cell r="N256" t="str">
            <v>公司红周转筐</v>
          </cell>
          <cell r="O256" t="str">
            <v/>
          </cell>
          <cell r="P256" t="str">
            <v/>
          </cell>
          <cell r="Q256">
            <v>40</v>
          </cell>
          <cell r="R256" t="str">
            <v>新A*G0554</v>
          </cell>
          <cell r="S256" t="str">
            <v>公司筐</v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</row>
        <row r="256"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</row>
        <row r="257">
          <cell r="B257">
            <v>46280</v>
          </cell>
          <cell r="C257" t="str">
            <v>王灵云</v>
          </cell>
          <cell r="D257" t="str">
            <v>原料入库</v>
          </cell>
          <cell r="E257" t="str">
            <v>NO:0000874</v>
          </cell>
          <cell r="F257" t="str">
            <v>香梨</v>
          </cell>
          <cell r="G257" t="str">
            <v>香梨一级</v>
          </cell>
          <cell r="H257">
            <v>585</v>
          </cell>
          <cell r="I257" t="str">
            <v>筐</v>
          </cell>
          <cell r="J257">
            <v>10705.5</v>
          </cell>
          <cell r="K257" t="str">
            <v/>
          </cell>
          <cell r="L257" t="str">
            <v/>
          </cell>
          <cell r="M257" t="str">
            <v/>
          </cell>
          <cell r="N257" t="str">
            <v>公司红周转筐</v>
          </cell>
          <cell r="O257" t="str">
            <v/>
          </cell>
          <cell r="P257" t="str">
            <v/>
          </cell>
          <cell r="Q257">
            <v>585</v>
          </cell>
          <cell r="R257" t="str">
            <v>新N*49209</v>
          </cell>
          <cell r="S257" t="str">
            <v>公司筐</v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</row>
        <row r="257"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</row>
        <row r="258">
          <cell r="B258">
            <v>46280</v>
          </cell>
          <cell r="C258" t="str">
            <v>王灵云</v>
          </cell>
          <cell r="D258" t="str">
            <v>原料入库</v>
          </cell>
          <cell r="E258" t="str">
            <v>NO:0000874</v>
          </cell>
          <cell r="F258" t="str">
            <v>香梨</v>
          </cell>
          <cell r="G258" t="str">
            <v>香梨二级</v>
          </cell>
          <cell r="H258">
            <v>104</v>
          </cell>
          <cell r="I258" t="str">
            <v>筐</v>
          </cell>
          <cell r="J258">
            <v>2423.2</v>
          </cell>
          <cell r="K258" t="str">
            <v/>
          </cell>
          <cell r="L258" t="str">
            <v/>
          </cell>
          <cell r="M258" t="str">
            <v/>
          </cell>
          <cell r="N258" t="str">
            <v>公司红周转筐</v>
          </cell>
          <cell r="O258" t="str">
            <v/>
          </cell>
          <cell r="P258" t="str">
            <v/>
          </cell>
          <cell r="Q258">
            <v>104</v>
          </cell>
          <cell r="R258" t="str">
            <v>新N*49209</v>
          </cell>
          <cell r="S258" t="str">
            <v>公司筐</v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</row>
        <row r="258"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</row>
        <row r="259">
          <cell r="B259">
            <v>46280</v>
          </cell>
          <cell r="C259" t="str">
            <v>李现东</v>
          </cell>
          <cell r="D259" t="str">
            <v>原料入库</v>
          </cell>
          <cell r="E259" t="str">
            <v>NO:0000876</v>
          </cell>
          <cell r="F259" t="str">
            <v>香梨</v>
          </cell>
          <cell r="G259" t="str">
            <v>香梨一级</v>
          </cell>
          <cell r="H259">
            <v>310</v>
          </cell>
          <cell r="I259" t="str">
            <v>筐</v>
          </cell>
          <cell r="J259">
            <v>5673</v>
          </cell>
          <cell r="K259" t="str">
            <v/>
          </cell>
          <cell r="L259" t="str">
            <v/>
          </cell>
          <cell r="M259" t="str">
            <v>王照雪</v>
          </cell>
          <cell r="N259" t="str">
            <v>公司杂周转筐</v>
          </cell>
          <cell r="O259" t="str">
            <v/>
          </cell>
          <cell r="P259" t="str">
            <v/>
          </cell>
          <cell r="Q259">
            <v>310</v>
          </cell>
          <cell r="R259" t="str">
            <v>新N*53045</v>
          </cell>
          <cell r="S259" t="str">
            <v>公司筐</v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</row>
        <row r="259"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</row>
        <row r="260">
          <cell r="B260">
            <v>46280</v>
          </cell>
          <cell r="C260" t="str">
            <v>李现东</v>
          </cell>
          <cell r="D260" t="str">
            <v>原料入库</v>
          </cell>
          <cell r="E260" t="str">
            <v>NO:0000876</v>
          </cell>
          <cell r="F260" t="str">
            <v>香梨</v>
          </cell>
          <cell r="G260" t="str">
            <v>香梨二级</v>
          </cell>
          <cell r="H260">
            <v>103</v>
          </cell>
          <cell r="I260" t="str">
            <v>筐</v>
          </cell>
          <cell r="J260">
            <v>2296.9</v>
          </cell>
          <cell r="K260" t="str">
            <v/>
          </cell>
          <cell r="L260" t="str">
            <v/>
          </cell>
          <cell r="M260" t="str">
            <v>王照雪</v>
          </cell>
          <cell r="N260" t="str">
            <v>公司杂周转筐</v>
          </cell>
          <cell r="O260" t="str">
            <v/>
          </cell>
          <cell r="P260" t="str">
            <v/>
          </cell>
          <cell r="Q260">
            <v>103</v>
          </cell>
          <cell r="R260" t="str">
            <v>新N*53045</v>
          </cell>
          <cell r="S260" t="str">
            <v>公司筐</v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</row>
        <row r="260"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</row>
        <row r="261">
          <cell r="B261">
            <v>46280</v>
          </cell>
          <cell r="C261" t="str">
            <v>李现东</v>
          </cell>
          <cell r="D261" t="str">
            <v>原料入库</v>
          </cell>
          <cell r="E261" t="str">
            <v>NO:0000876</v>
          </cell>
          <cell r="F261" t="str">
            <v>香梨</v>
          </cell>
          <cell r="G261" t="str">
            <v>香梨副特</v>
          </cell>
          <cell r="H261">
            <v>56</v>
          </cell>
          <cell r="I261" t="str">
            <v>筐</v>
          </cell>
          <cell r="J261">
            <v>1024.8</v>
          </cell>
          <cell r="K261" t="str">
            <v/>
          </cell>
          <cell r="L261" t="str">
            <v/>
          </cell>
          <cell r="M261" t="str">
            <v>王照雪</v>
          </cell>
          <cell r="N261" t="str">
            <v>公司杂周转筐</v>
          </cell>
          <cell r="O261" t="str">
            <v/>
          </cell>
          <cell r="P261" t="str">
            <v/>
          </cell>
          <cell r="Q261">
            <v>56</v>
          </cell>
          <cell r="R261" t="str">
            <v>新N*53045</v>
          </cell>
          <cell r="S261" t="str">
            <v>公司筐</v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</row>
        <row r="261"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</row>
        <row r="262">
          <cell r="B262">
            <v>46281</v>
          </cell>
          <cell r="C262" t="str">
            <v>吐尔洪</v>
          </cell>
          <cell r="D262" t="str">
            <v>原料入库</v>
          </cell>
          <cell r="E262" t="str">
            <v>NO:0000878</v>
          </cell>
          <cell r="F262" t="str">
            <v>香梨</v>
          </cell>
          <cell r="G262" t="str">
            <v>香梨特级</v>
          </cell>
          <cell r="H262">
            <v>116</v>
          </cell>
          <cell r="I262" t="str">
            <v>筐</v>
          </cell>
          <cell r="J262">
            <v>2122.8</v>
          </cell>
          <cell r="K262" t="str">
            <v/>
          </cell>
          <cell r="L262" t="str">
            <v/>
          </cell>
          <cell r="M262" t="str">
            <v>麦麦提</v>
          </cell>
          <cell r="N262" t="str">
            <v>公司红周转筐</v>
          </cell>
          <cell r="O262" t="str">
            <v/>
          </cell>
          <cell r="P262" t="str">
            <v/>
          </cell>
          <cell r="Q262">
            <v>116</v>
          </cell>
          <cell r="R262" t="str">
            <v>新N*X8S48</v>
          </cell>
          <cell r="S262" t="str">
            <v>公司筐</v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</row>
        <row r="262"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</row>
        <row r="263">
          <cell r="B263">
            <v>46281</v>
          </cell>
          <cell r="C263" t="str">
            <v>吐尔洪</v>
          </cell>
          <cell r="D263" t="str">
            <v>原料入库</v>
          </cell>
          <cell r="E263" t="str">
            <v>NO:0000878</v>
          </cell>
          <cell r="F263" t="str">
            <v>香梨</v>
          </cell>
          <cell r="G263" t="str">
            <v>香梨一级</v>
          </cell>
          <cell r="H263">
            <v>28</v>
          </cell>
          <cell r="I263" t="str">
            <v>筐</v>
          </cell>
          <cell r="J263">
            <v>512.4</v>
          </cell>
          <cell r="K263" t="str">
            <v/>
          </cell>
          <cell r="L263" t="str">
            <v/>
          </cell>
          <cell r="M263" t="str">
            <v>麦麦提</v>
          </cell>
          <cell r="N263" t="str">
            <v>公司红周转筐</v>
          </cell>
          <cell r="O263" t="str">
            <v/>
          </cell>
          <cell r="P263" t="str">
            <v/>
          </cell>
          <cell r="Q263">
            <v>28</v>
          </cell>
          <cell r="R263" t="str">
            <v>新N*X8S48</v>
          </cell>
          <cell r="S263" t="str">
            <v>公司筐</v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</row>
        <row r="263"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</row>
        <row r="264">
          <cell r="B264">
            <v>46281</v>
          </cell>
          <cell r="C264" t="str">
            <v>吐尔洪</v>
          </cell>
          <cell r="D264" t="str">
            <v>原料入库</v>
          </cell>
          <cell r="E264" t="str">
            <v>NO:0000878</v>
          </cell>
          <cell r="F264" t="str">
            <v>香梨</v>
          </cell>
          <cell r="G264" t="str">
            <v>香梨二级</v>
          </cell>
          <cell r="H264">
            <v>71</v>
          </cell>
          <cell r="I264" t="str">
            <v>筐</v>
          </cell>
          <cell r="J264">
            <v>1583.3</v>
          </cell>
          <cell r="K264" t="str">
            <v/>
          </cell>
          <cell r="L264" t="str">
            <v/>
          </cell>
          <cell r="M264" t="str">
            <v>麦麦提</v>
          </cell>
          <cell r="N264" t="str">
            <v>公司红周转筐</v>
          </cell>
          <cell r="O264" t="str">
            <v/>
          </cell>
          <cell r="P264" t="str">
            <v/>
          </cell>
          <cell r="Q264">
            <v>71</v>
          </cell>
          <cell r="R264" t="str">
            <v>新N*X8S48</v>
          </cell>
          <cell r="S264" t="str">
            <v>公司筐</v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</row>
        <row r="264"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</row>
        <row r="265">
          <cell r="B265">
            <v>46281</v>
          </cell>
          <cell r="C265" t="str">
            <v>王灵云</v>
          </cell>
          <cell r="D265" t="str">
            <v>原料入库</v>
          </cell>
          <cell r="E265" t="str">
            <v>NO:0000881</v>
          </cell>
          <cell r="F265" t="str">
            <v>香梨</v>
          </cell>
          <cell r="G265" t="str">
            <v>香梨一级</v>
          </cell>
          <cell r="H265">
            <v>365</v>
          </cell>
          <cell r="I265" t="str">
            <v>筐</v>
          </cell>
          <cell r="J265">
            <v>6679.5</v>
          </cell>
          <cell r="K265" t="str">
            <v/>
          </cell>
          <cell r="L265" t="str">
            <v/>
          </cell>
          <cell r="M265" t="str">
            <v/>
          </cell>
          <cell r="N265" t="str">
            <v>公司红周转筐</v>
          </cell>
          <cell r="O265" t="str">
            <v/>
          </cell>
          <cell r="P265" t="str">
            <v/>
          </cell>
          <cell r="Q265">
            <v>365</v>
          </cell>
          <cell r="R265" t="str">
            <v>新N*49209</v>
          </cell>
          <cell r="S265" t="str">
            <v>公司筐</v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</row>
        <row r="265"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</row>
        <row r="266">
          <cell r="B266">
            <v>46281</v>
          </cell>
          <cell r="C266" t="str">
            <v>王灵云</v>
          </cell>
          <cell r="D266" t="str">
            <v>原料入库</v>
          </cell>
          <cell r="E266" t="str">
            <v>NO:0000881</v>
          </cell>
          <cell r="F266" t="str">
            <v>香梨</v>
          </cell>
          <cell r="G266" t="str">
            <v>香梨二级</v>
          </cell>
          <cell r="H266">
            <v>35</v>
          </cell>
          <cell r="I266" t="str">
            <v>筐</v>
          </cell>
          <cell r="J266">
            <v>815.5</v>
          </cell>
          <cell r="K266" t="str">
            <v/>
          </cell>
          <cell r="L266" t="str">
            <v/>
          </cell>
          <cell r="M266" t="str">
            <v/>
          </cell>
          <cell r="N266" t="str">
            <v>公司红周转筐</v>
          </cell>
          <cell r="O266" t="str">
            <v/>
          </cell>
          <cell r="P266" t="str">
            <v/>
          </cell>
          <cell r="Q266">
            <v>35</v>
          </cell>
          <cell r="R266" t="str">
            <v>新N*49209</v>
          </cell>
          <cell r="S266" t="str">
            <v>公司筐</v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</row>
        <row r="266"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  <cell r="AF266" t="str">
            <v/>
          </cell>
        </row>
        <row r="267">
          <cell r="B267">
            <v>46281</v>
          </cell>
          <cell r="C267" t="str">
            <v>王灵云</v>
          </cell>
          <cell r="D267" t="str">
            <v>原料入库</v>
          </cell>
          <cell r="E267" t="str">
            <v>NO:0000881</v>
          </cell>
          <cell r="F267" t="str">
            <v>香梨</v>
          </cell>
          <cell r="G267" t="str">
            <v>香梨副特</v>
          </cell>
          <cell r="H267">
            <v>161</v>
          </cell>
          <cell r="I267" t="str">
            <v>筐</v>
          </cell>
          <cell r="J267">
            <v>2946.3</v>
          </cell>
          <cell r="K267" t="str">
            <v/>
          </cell>
          <cell r="L267" t="str">
            <v/>
          </cell>
          <cell r="M267" t="str">
            <v/>
          </cell>
          <cell r="N267" t="str">
            <v>公司红周转筐</v>
          </cell>
          <cell r="O267" t="str">
            <v/>
          </cell>
          <cell r="P267" t="str">
            <v/>
          </cell>
          <cell r="Q267">
            <v>161</v>
          </cell>
          <cell r="R267" t="str">
            <v>新N*49209</v>
          </cell>
          <cell r="S267" t="str">
            <v>公司筐</v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</row>
        <row r="267"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  <cell r="AF267" t="str">
            <v/>
          </cell>
        </row>
        <row r="268">
          <cell r="B268">
            <v>46281</v>
          </cell>
          <cell r="C268" t="str">
            <v>麦麦提</v>
          </cell>
          <cell r="D268" t="str">
            <v>原料入库</v>
          </cell>
          <cell r="E268" t="str">
            <v>NO:0000882</v>
          </cell>
          <cell r="F268" t="str">
            <v>香梨</v>
          </cell>
          <cell r="G268" t="str">
            <v>香梨特级</v>
          </cell>
          <cell r="H268">
            <v>248</v>
          </cell>
          <cell r="I268" t="str">
            <v>筐</v>
          </cell>
          <cell r="J268">
            <v>4538.4</v>
          </cell>
          <cell r="K268" t="str">
            <v/>
          </cell>
          <cell r="L268" t="str">
            <v/>
          </cell>
          <cell r="M268" t="str">
            <v/>
          </cell>
          <cell r="N268" t="str">
            <v>公司红周转筐</v>
          </cell>
          <cell r="O268" t="str">
            <v/>
          </cell>
          <cell r="P268" t="str">
            <v/>
          </cell>
          <cell r="Q268">
            <v>248</v>
          </cell>
          <cell r="R268" t="str">
            <v>新A*G0554</v>
          </cell>
          <cell r="S268" t="str">
            <v>公司筐</v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</row>
        <row r="268"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</row>
        <row r="269">
          <cell r="B269">
            <v>46281</v>
          </cell>
          <cell r="C269" t="str">
            <v>麦麦提</v>
          </cell>
          <cell r="D269" t="str">
            <v>原料入库</v>
          </cell>
          <cell r="E269" t="str">
            <v>NO:0000882</v>
          </cell>
          <cell r="F269" t="str">
            <v>香梨</v>
          </cell>
          <cell r="G269" t="str">
            <v>香梨一级</v>
          </cell>
          <cell r="H269">
            <v>176</v>
          </cell>
          <cell r="I269" t="str">
            <v>筐</v>
          </cell>
          <cell r="J269">
            <v>3220.8</v>
          </cell>
          <cell r="K269" t="str">
            <v/>
          </cell>
          <cell r="L269" t="str">
            <v/>
          </cell>
          <cell r="M269" t="str">
            <v/>
          </cell>
          <cell r="N269" t="str">
            <v>公司红周转筐</v>
          </cell>
          <cell r="O269" t="str">
            <v/>
          </cell>
          <cell r="P269" t="str">
            <v/>
          </cell>
          <cell r="Q269">
            <v>176</v>
          </cell>
          <cell r="R269" t="str">
            <v>新A*G0554</v>
          </cell>
          <cell r="S269" t="str">
            <v>公司筐</v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</row>
        <row r="269"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</row>
        <row r="270">
          <cell r="B270">
            <v>46281</v>
          </cell>
          <cell r="C270" t="str">
            <v>麦麦提</v>
          </cell>
          <cell r="D270" t="str">
            <v>原料入库</v>
          </cell>
          <cell r="E270" t="str">
            <v>NO:0000882</v>
          </cell>
          <cell r="F270" t="str">
            <v>香梨</v>
          </cell>
          <cell r="G270" t="str">
            <v>香梨二级</v>
          </cell>
          <cell r="H270">
            <v>200</v>
          </cell>
          <cell r="I270" t="str">
            <v>筐</v>
          </cell>
          <cell r="J270">
            <v>4460</v>
          </cell>
          <cell r="K270" t="str">
            <v/>
          </cell>
          <cell r="L270" t="str">
            <v/>
          </cell>
          <cell r="M270" t="str">
            <v/>
          </cell>
          <cell r="N270" t="str">
            <v>公司红周转筐</v>
          </cell>
          <cell r="O270" t="str">
            <v/>
          </cell>
          <cell r="P270" t="str">
            <v/>
          </cell>
          <cell r="Q270">
            <v>200</v>
          </cell>
          <cell r="R270" t="str">
            <v>新A*G0554</v>
          </cell>
          <cell r="S270" t="str">
            <v>公司筐</v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</row>
        <row r="270"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</row>
        <row r="271">
          <cell r="B271">
            <v>46281</v>
          </cell>
          <cell r="C271" t="str">
            <v>努尔敦</v>
          </cell>
          <cell r="D271" t="str">
            <v>原料入库</v>
          </cell>
          <cell r="E271" t="str">
            <v>NO:0000883</v>
          </cell>
          <cell r="F271" t="str">
            <v>香梨</v>
          </cell>
          <cell r="G271" t="str">
            <v>香梨特级</v>
          </cell>
          <cell r="H271">
            <v>296</v>
          </cell>
          <cell r="I271" t="str">
            <v>筐</v>
          </cell>
          <cell r="J271">
            <v>5416.8</v>
          </cell>
          <cell r="K271" t="str">
            <v/>
          </cell>
          <cell r="L271" t="str">
            <v/>
          </cell>
          <cell r="M271" t="str">
            <v/>
          </cell>
          <cell r="N271" t="str">
            <v>公司红周转筐</v>
          </cell>
          <cell r="O271" t="str">
            <v/>
          </cell>
          <cell r="P271" t="str">
            <v/>
          </cell>
          <cell r="Q271">
            <v>296</v>
          </cell>
          <cell r="R271" t="str">
            <v>新F*75240</v>
          </cell>
          <cell r="S271" t="str">
            <v>公司筐</v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</row>
        <row r="271"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</row>
        <row r="272">
          <cell r="B272">
            <v>46281</v>
          </cell>
          <cell r="C272" t="str">
            <v>努尔敦</v>
          </cell>
          <cell r="D272" t="str">
            <v>原料入库</v>
          </cell>
          <cell r="E272" t="str">
            <v>NO:0000883</v>
          </cell>
          <cell r="F272" t="str">
            <v>香梨</v>
          </cell>
          <cell r="G272" t="str">
            <v>香梨一级</v>
          </cell>
          <cell r="H272">
            <v>233</v>
          </cell>
          <cell r="I272" t="str">
            <v>筐</v>
          </cell>
          <cell r="J272">
            <v>4263.9</v>
          </cell>
          <cell r="K272" t="str">
            <v/>
          </cell>
          <cell r="L272" t="str">
            <v/>
          </cell>
          <cell r="M272" t="str">
            <v/>
          </cell>
          <cell r="N272" t="str">
            <v>公司红周转筐</v>
          </cell>
          <cell r="O272" t="str">
            <v/>
          </cell>
          <cell r="P272" t="str">
            <v/>
          </cell>
          <cell r="Q272">
            <v>233</v>
          </cell>
          <cell r="R272" t="str">
            <v>新F*75240</v>
          </cell>
          <cell r="S272" t="str">
            <v>公司筐</v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</row>
        <row r="272"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</row>
        <row r="273">
          <cell r="B273">
            <v>46281</v>
          </cell>
          <cell r="C273" t="str">
            <v>努尔敦</v>
          </cell>
          <cell r="D273" t="str">
            <v>原料入库</v>
          </cell>
          <cell r="E273" t="str">
            <v>NO:0000883</v>
          </cell>
          <cell r="F273" t="str">
            <v>香梨</v>
          </cell>
          <cell r="G273" t="str">
            <v>香梨二级</v>
          </cell>
          <cell r="H273">
            <v>112</v>
          </cell>
          <cell r="I273" t="str">
            <v>筐</v>
          </cell>
          <cell r="J273">
            <v>2497.6</v>
          </cell>
          <cell r="K273" t="str">
            <v/>
          </cell>
          <cell r="L273" t="str">
            <v/>
          </cell>
          <cell r="M273" t="str">
            <v/>
          </cell>
          <cell r="N273" t="str">
            <v>公司红周转筐</v>
          </cell>
          <cell r="O273" t="str">
            <v/>
          </cell>
          <cell r="P273" t="str">
            <v/>
          </cell>
          <cell r="Q273">
            <v>112</v>
          </cell>
          <cell r="R273" t="str">
            <v>新F*75240</v>
          </cell>
          <cell r="S273" t="str">
            <v>公司筐</v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</row>
        <row r="273"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</row>
        <row r="274">
          <cell r="B274">
            <v>46282</v>
          </cell>
          <cell r="C274" t="str">
            <v>吐尔逊</v>
          </cell>
          <cell r="D274" t="str">
            <v>原料入库</v>
          </cell>
          <cell r="E274" t="str">
            <v>NO:0000886</v>
          </cell>
          <cell r="F274" t="str">
            <v>香梨</v>
          </cell>
          <cell r="G274" t="str">
            <v>香梨一级</v>
          </cell>
          <cell r="H274">
            <v>100</v>
          </cell>
          <cell r="I274" t="str">
            <v>筐</v>
          </cell>
          <cell r="J274">
            <v>1750</v>
          </cell>
          <cell r="K274" t="str">
            <v/>
          </cell>
          <cell r="L274" t="str">
            <v/>
          </cell>
          <cell r="M274" t="str">
            <v/>
          </cell>
          <cell r="N274" t="str">
            <v>公司一次性筐</v>
          </cell>
          <cell r="O274" t="str">
            <v/>
          </cell>
          <cell r="P274" t="str">
            <v/>
          </cell>
          <cell r="Q274">
            <v>100</v>
          </cell>
          <cell r="R274" t="str">
            <v>新A*NZ020</v>
          </cell>
          <cell r="S274" t="str">
            <v>公司筐</v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</row>
        <row r="274"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</row>
        <row r="275">
          <cell r="B275">
            <v>46282</v>
          </cell>
          <cell r="C275" t="str">
            <v>吐尔逊</v>
          </cell>
          <cell r="D275" t="str">
            <v>原料入库</v>
          </cell>
          <cell r="E275" t="str">
            <v>NO:0000886</v>
          </cell>
          <cell r="F275" t="str">
            <v>香梨</v>
          </cell>
          <cell r="G275" t="str">
            <v>香梨二级</v>
          </cell>
          <cell r="H275">
            <v>100</v>
          </cell>
          <cell r="I275" t="str">
            <v>筐</v>
          </cell>
          <cell r="J275">
            <v>2450</v>
          </cell>
          <cell r="K275" t="str">
            <v/>
          </cell>
          <cell r="L275" t="str">
            <v/>
          </cell>
          <cell r="M275" t="str">
            <v/>
          </cell>
          <cell r="N275" t="str">
            <v>公司一次性筐</v>
          </cell>
          <cell r="O275" t="str">
            <v/>
          </cell>
          <cell r="P275" t="str">
            <v/>
          </cell>
          <cell r="Q275">
            <v>100</v>
          </cell>
          <cell r="R275" t="str">
            <v>新A*NZ020</v>
          </cell>
          <cell r="S275" t="str">
            <v>公司筐</v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</row>
        <row r="275"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</row>
        <row r="276">
          <cell r="B276">
            <v>46282</v>
          </cell>
          <cell r="C276" t="str">
            <v>王照雪</v>
          </cell>
          <cell r="D276" t="str">
            <v>原料入库</v>
          </cell>
          <cell r="E276" t="str">
            <v>NO:0000888</v>
          </cell>
          <cell r="F276" t="str">
            <v>苹果</v>
          </cell>
          <cell r="G276" t="str">
            <v>新世纪一级</v>
          </cell>
          <cell r="H276">
            <v>125</v>
          </cell>
          <cell r="I276" t="str">
            <v>筐</v>
          </cell>
          <cell r="J276">
            <v>2162.5</v>
          </cell>
          <cell r="K276" t="str">
            <v/>
          </cell>
          <cell r="L276" t="str">
            <v/>
          </cell>
          <cell r="M276" t="str">
            <v/>
          </cell>
          <cell r="N276" t="str">
            <v>公司杂周转筐</v>
          </cell>
          <cell r="O276" t="str">
            <v/>
          </cell>
          <cell r="P276" t="str">
            <v/>
          </cell>
          <cell r="Q276">
            <v>125</v>
          </cell>
          <cell r="R276" t="str">
            <v>豫L*88X19</v>
          </cell>
          <cell r="S276" t="str">
            <v>公司筐</v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</row>
        <row r="276"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</row>
        <row r="277">
          <cell r="B277">
            <v>46282</v>
          </cell>
          <cell r="C277" t="str">
            <v>王照雪</v>
          </cell>
          <cell r="D277" t="str">
            <v>原料入库</v>
          </cell>
          <cell r="E277" t="str">
            <v>NO:0000888</v>
          </cell>
          <cell r="F277" t="str">
            <v>苹果</v>
          </cell>
          <cell r="G277" t="str">
            <v>新世纪二级</v>
          </cell>
          <cell r="H277">
            <v>28</v>
          </cell>
          <cell r="I277" t="str">
            <v>筐</v>
          </cell>
          <cell r="J277">
            <v>568.4</v>
          </cell>
          <cell r="K277" t="str">
            <v/>
          </cell>
          <cell r="L277" t="str">
            <v/>
          </cell>
          <cell r="M277" t="str">
            <v/>
          </cell>
          <cell r="N277" t="str">
            <v>公司杂周转筐</v>
          </cell>
          <cell r="O277" t="str">
            <v/>
          </cell>
          <cell r="P277" t="str">
            <v/>
          </cell>
          <cell r="Q277">
            <v>28</v>
          </cell>
          <cell r="R277" t="str">
            <v>豫L*88X19</v>
          </cell>
          <cell r="S277" t="str">
            <v>公司筐</v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</row>
        <row r="277"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</row>
        <row r="278">
          <cell r="B278">
            <v>46282</v>
          </cell>
          <cell r="C278" t="str">
            <v>王照雪</v>
          </cell>
          <cell r="D278" t="str">
            <v>原料入库</v>
          </cell>
          <cell r="E278" t="str">
            <v>NO:0000888</v>
          </cell>
          <cell r="F278" t="str">
            <v>苹果</v>
          </cell>
          <cell r="G278" t="str">
            <v>玫瑰红一级</v>
          </cell>
          <cell r="H278">
            <v>24</v>
          </cell>
          <cell r="I278" t="str">
            <v>筐</v>
          </cell>
          <cell r="J278">
            <v>415.2</v>
          </cell>
          <cell r="K278" t="str">
            <v/>
          </cell>
          <cell r="L278" t="str">
            <v/>
          </cell>
          <cell r="M278" t="str">
            <v/>
          </cell>
          <cell r="N278" t="str">
            <v>公司杂周转筐</v>
          </cell>
          <cell r="O278" t="str">
            <v/>
          </cell>
          <cell r="P278" t="str">
            <v/>
          </cell>
          <cell r="Q278">
            <v>24</v>
          </cell>
          <cell r="R278" t="str">
            <v>豫L*88X19</v>
          </cell>
          <cell r="S278" t="str">
            <v>公司筐</v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</row>
        <row r="278"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</row>
        <row r="279">
          <cell r="B279">
            <v>46282</v>
          </cell>
          <cell r="C279" t="str">
            <v>阿布都</v>
          </cell>
          <cell r="D279" t="str">
            <v>原料入库</v>
          </cell>
          <cell r="E279" t="str">
            <v>NO:0000891</v>
          </cell>
          <cell r="F279" t="str">
            <v>香梨</v>
          </cell>
          <cell r="G279" t="str">
            <v>香梨特级</v>
          </cell>
          <cell r="H279">
            <v>118</v>
          </cell>
          <cell r="I279" t="str">
            <v>筐</v>
          </cell>
          <cell r="J279">
            <v>2159.4</v>
          </cell>
          <cell r="K279" t="str">
            <v/>
          </cell>
          <cell r="L279" t="str">
            <v/>
          </cell>
          <cell r="M279" t="str">
            <v>努尔敦</v>
          </cell>
          <cell r="N279" t="str">
            <v>公司红周转筐</v>
          </cell>
          <cell r="O279" t="str">
            <v/>
          </cell>
          <cell r="P279" t="str">
            <v/>
          </cell>
          <cell r="Q279">
            <v>118</v>
          </cell>
          <cell r="R279" t="str">
            <v>新N*F0M01</v>
          </cell>
          <cell r="S279" t="str">
            <v>公司筐</v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</row>
        <row r="279"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</row>
        <row r="280">
          <cell r="B280">
            <v>46282</v>
          </cell>
          <cell r="C280" t="str">
            <v>阿布都</v>
          </cell>
          <cell r="D280" t="str">
            <v>原料入库</v>
          </cell>
          <cell r="E280" t="str">
            <v>NO:0000891</v>
          </cell>
          <cell r="F280" t="str">
            <v>香梨</v>
          </cell>
          <cell r="G280" t="str">
            <v>香梨一级</v>
          </cell>
          <cell r="H280">
            <v>43</v>
          </cell>
          <cell r="I280" t="str">
            <v>筐</v>
          </cell>
          <cell r="J280">
            <v>786.9</v>
          </cell>
          <cell r="K280" t="str">
            <v/>
          </cell>
          <cell r="L280" t="str">
            <v/>
          </cell>
          <cell r="M280" t="str">
            <v>努尔敦</v>
          </cell>
          <cell r="N280" t="str">
            <v>公司红周转筐</v>
          </cell>
          <cell r="O280" t="str">
            <v/>
          </cell>
          <cell r="P280" t="str">
            <v/>
          </cell>
          <cell r="Q280">
            <v>43</v>
          </cell>
          <cell r="R280" t="str">
            <v>新N*F0M01</v>
          </cell>
          <cell r="S280" t="str">
            <v>公司筐</v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</row>
        <row r="280"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</row>
        <row r="281">
          <cell r="B281">
            <v>46282</v>
          </cell>
          <cell r="C281" t="str">
            <v>阿布都</v>
          </cell>
          <cell r="D281" t="str">
            <v>原料入库</v>
          </cell>
          <cell r="E281" t="str">
            <v>NO:0000891</v>
          </cell>
          <cell r="F281" t="str">
            <v>香梨</v>
          </cell>
          <cell r="G281" t="str">
            <v>香梨副特</v>
          </cell>
          <cell r="H281">
            <v>102</v>
          </cell>
          <cell r="I281" t="str">
            <v>筐</v>
          </cell>
          <cell r="J281">
            <v>1866.6</v>
          </cell>
          <cell r="K281" t="str">
            <v/>
          </cell>
          <cell r="L281" t="str">
            <v/>
          </cell>
          <cell r="M281" t="str">
            <v>努尔敦</v>
          </cell>
          <cell r="N281" t="str">
            <v>公司红周转筐</v>
          </cell>
          <cell r="O281" t="str">
            <v/>
          </cell>
          <cell r="P281" t="str">
            <v/>
          </cell>
          <cell r="Q281">
            <v>102</v>
          </cell>
          <cell r="R281" t="str">
            <v>新N*F0M01</v>
          </cell>
          <cell r="S281" t="str">
            <v>公司筐</v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</row>
        <row r="281"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</row>
        <row r="282">
          <cell r="B282">
            <v>46282</v>
          </cell>
          <cell r="C282" t="str">
            <v>阿布都</v>
          </cell>
          <cell r="D282" t="str">
            <v>原料入库</v>
          </cell>
          <cell r="E282" t="str">
            <v>NO:0000891</v>
          </cell>
          <cell r="F282" t="str">
            <v>香梨</v>
          </cell>
          <cell r="G282" t="str">
            <v>香梨副特</v>
          </cell>
          <cell r="H282">
            <v>52</v>
          </cell>
          <cell r="I282" t="str">
            <v>筐</v>
          </cell>
          <cell r="J282">
            <v>1159.6</v>
          </cell>
          <cell r="K282" t="str">
            <v/>
          </cell>
          <cell r="L282" t="str">
            <v/>
          </cell>
          <cell r="M282" t="str">
            <v>努尔敦</v>
          </cell>
          <cell r="N282" t="str">
            <v>公司红周转筐</v>
          </cell>
          <cell r="O282" t="str">
            <v/>
          </cell>
          <cell r="P282" t="str">
            <v/>
          </cell>
          <cell r="Q282">
            <v>52</v>
          </cell>
          <cell r="R282" t="str">
            <v>新N*F0M01</v>
          </cell>
          <cell r="S282" t="str">
            <v>公司筐</v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</row>
        <row r="282"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</row>
        <row r="283">
          <cell r="B283">
            <v>46282</v>
          </cell>
          <cell r="C283" t="str">
            <v>王灵云</v>
          </cell>
          <cell r="D283" t="str">
            <v>原料入库</v>
          </cell>
          <cell r="E283" t="str">
            <v>NO:0000892</v>
          </cell>
          <cell r="F283" t="str">
            <v>香梨</v>
          </cell>
          <cell r="G283" t="str">
            <v>香梨一级</v>
          </cell>
          <cell r="H283">
            <v>528</v>
          </cell>
          <cell r="I283" t="str">
            <v>筐</v>
          </cell>
          <cell r="J283">
            <v>9662.4</v>
          </cell>
          <cell r="K283" t="str">
            <v/>
          </cell>
          <cell r="L283" t="str">
            <v/>
          </cell>
          <cell r="M283" t="str">
            <v>左</v>
          </cell>
          <cell r="N283" t="str">
            <v>公司红周转筐</v>
          </cell>
          <cell r="O283" t="str">
            <v/>
          </cell>
          <cell r="P283" t="str">
            <v/>
          </cell>
          <cell r="Q283">
            <v>528</v>
          </cell>
          <cell r="R283" t="str">
            <v>新N*49209</v>
          </cell>
          <cell r="S283" t="str">
            <v>公司筐</v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</row>
        <row r="283"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</row>
        <row r="284">
          <cell r="B284">
            <v>46282</v>
          </cell>
          <cell r="C284" t="str">
            <v>王灵云</v>
          </cell>
          <cell r="D284" t="str">
            <v>原料入库</v>
          </cell>
          <cell r="E284" t="str">
            <v>NO:0000892</v>
          </cell>
          <cell r="F284" t="str">
            <v>香梨</v>
          </cell>
          <cell r="G284" t="str">
            <v>香梨二级</v>
          </cell>
          <cell r="H284">
            <v>21</v>
          </cell>
          <cell r="I284" t="str">
            <v>筐</v>
          </cell>
          <cell r="J284">
            <v>489.3</v>
          </cell>
          <cell r="K284" t="str">
            <v/>
          </cell>
          <cell r="L284" t="str">
            <v/>
          </cell>
          <cell r="M284" t="str">
            <v>左</v>
          </cell>
          <cell r="N284" t="str">
            <v>公司红周转筐</v>
          </cell>
          <cell r="O284" t="str">
            <v/>
          </cell>
          <cell r="P284" t="str">
            <v/>
          </cell>
          <cell r="Q284">
            <v>21</v>
          </cell>
          <cell r="R284" t="str">
            <v>新N*49209</v>
          </cell>
          <cell r="S284" t="str">
            <v>公司筐</v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</row>
        <row r="284"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</row>
        <row r="285">
          <cell r="B285">
            <v>46282</v>
          </cell>
          <cell r="C285" t="str">
            <v>王照雪</v>
          </cell>
          <cell r="D285" t="str">
            <v>原料入库</v>
          </cell>
          <cell r="E285" t="str">
            <v>NO:0000893</v>
          </cell>
          <cell r="F285" t="str">
            <v>香梨</v>
          </cell>
          <cell r="G285" t="str">
            <v>香梨一级</v>
          </cell>
          <cell r="H285">
            <v>119</v>
          </cell>
          <cell r="I285" t="str">
            <v>筐</v>
          </cell>
          <cell r="J285">
            <v>2320.5</v>
          </cell>
          <cell r="K285" t="str">
            <v/>
          </cell>
          <cell r="L285" t="str">
            <v/>
          </cell>
          <cell r="M285" t="str">
            <v/>
          </cell>
          <cell r="N285" t="str">
            <v>公司一次性筐</v>
          </cell>
          <cell r="O285" t="str">
            <v/>
          </cell>
          <cell r="P285" t="str">
            <v/>
          </cell>
          <cell r="Q285">
            <v>119</v>
          </cell>
          <cell r="R285" t="str">
            <v>豫L*88X19</v>
          </cell>
          <cell r="S285" t="str">
            <v>公司筐</v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</row>
        <row r="285"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</row>
        <row r="286">
          <cell r="B286">
            <v>46282</v>
          </cell>
          <cell r="C286" t="str">
            <v>王照雪</v>
          </cell>
          <cell r="D286" t="str">
            <v>原料入库</v>
          </cell>
          <cell r="E286" t="str">
            <v>NO:0000893</v>
          </cell>
          <cell r="F286" t="str">
            <v>香梨</v>
          </cell>
          <cell r="G286" t="str">
            <v>香梨副特</v>
          </cell>
          <cell r="H286">
            <v>166</v>
          </cell>
          <cell r="I286" t="str">
            <v>筐</v>
          </cell>
          <cell r="J286">
            <v>3237</v>
          </cell>
          <cell r="K286" t="str">
            <v/>
          </cell>
          <cell r="L286" t="str">
            <v/>
          </cell>
          <cell r="M286" t="str">
            <v/>
          </cell>
          <cell r="N286" t="str">
            <v>公司一次性筐</v>
          </cell>
          <cell r="O286" t="str">
            <v/>
          </cell>
          <cell r="P286" t="str">
            <v/>
          </cell>
          <cell r="Q286">
            <v>166</v>
          </cell>
          <cell r="R286" t="str">
            <v>豫L*88X19</v>
          </cell>
          <cell r="S286" t="str">
            <v>公司筐</v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</row>
        <row r="286"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</row>
        <row r="287">
          <cell r="B287">
            <v>46282</v>
          </cell>
          <cell r="C287" t="str">
            <v>王照雪</v>
          </cell>
          <cell r="D287" t="str">
            <v>原料入库</v>
          </cell>
          <cell r="E287" t="str">
            <v>NO:0000893</v>
          </cell>
          <cell r="F287" t="str">
            <v>香梨</v>
          </cell>
          <cell r="G287" t="str">
            <v>香梨二级</v>
          </cell>
          <cell r="H287">
            <v>24</v>
          </cell>
          <cell r="I287" t="str">
            <v>筐</v>
          </cell>
          <cell r="J287">
            <v>540</v>
          </cell>
          <cell r="K287" t="str">
            <v/>
          </cell>
          <cell r="L287" t="str">
            <v/>
          </cell>
          <cell r="M287" t="str">
            <v/>
          </cell>
          <cell r="N287" t="str">
            <v>公司一次性筐</v>
          </cell>
          <cell r="O287" t="str">
            <v/>
          </cell>
          <cell r="P287" t="str">
            <v/>
          </cell>
          <cell r="Q287">
            <v>24</v>
          </cell>
          <cell r="R287" t="str">
            <v>豫L*88X19</v>
          </cell>
          <cell r="S287" t="str">
            <v>公司筐</v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</row>
        <row r="287"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</row>
        <row r="288">
          <cell r="B288">
            <v>46282</v>
          </cell>
          <cell r="C288" t="str">
            <v>努尔敦</v>
          </cell>
          <cell r="D288" t="str">
            <v>原料入库</v>
          </cell>
          <cell r="E288" t="str">
            <v>NO:0000896</v>
          </cell>
          <cell r="F288" t="str">
            <v>香梨</v>
          </cell>
          <cell r="G288" t="str">
            <v>香梨特级</v>
          </cell>
          <cell r="H288">
            <v>312</v>
          </cell>
          <cell r="I288" t="str">
            <v>筐</v>
          </cell>
          <cell r="J288">
            <v>5709.6</v>
          </cell>
          <cell r="K288" t="str">
            <v/>
          </cell>
          <cell r="L288" t="str">
            <v/>
          </cell>
          <cell r="M288" t="str">
            <v/>
          </cell>
          <cell r="N288" t="str">
            <v>公司红周转筐</v>
          </cell>
          <cell r="O288" t="str">
            <v/>
          </cell>
          <cell r="P288" t="str">
            <v/>
          </cell>
          <cell r="Q288">
            <v>312</v>
          </cell>
          <cell r="R288" t="str">
            <v>新F*75240</v>
          </cell>
          <cell r="S288" t="str">
            <v>公司筐</v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</row>
        <row r="288">
          <cell r="AA288" t="str">
            <v/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  <cell r="AF288" t="str">
            <v/>
          </cell>
        </row>
        <row r="289">
          <cell r="B289">
            <v>46282</v>
          </cell>
          <cell r="C289" t="str">
            <v>努尔敦</v>
          </cell>
          <cell r="D289" t="str">
            <v>原料入库</v>
          </cell>
          <cell r="E289" t="str">
            <v>NO:0000896</v>
          </cell>
          <cell r="F289" t="str">
            <v>香梨</v>
          </cell>
          <cell r="G289" t="str">
            <v>香梨一级</v>
          </cell>
          <cell r="H289">
            <v>192</v>
          </cell>
          <cell r="I289" t="str">
            <v>筐</v>
          </cell>
          <cell r="J289">
            <v>3513.6</v>
          </cell>
          <cell r="K289" t="str">
            <v/>
          </cell>
          <cell r="L289" t="str">
            <v/>
          </cell>
          <cell r="M289" t="str">
            <v/>
          </cell>
          <cell r="N289" t="str">
            <v>公司红周转筐</v>
          </cell>
          <cell r="O289" t="str">
            <v/>
          </cell>
          <cell r="P289" t="str">
            <v/>
          </cell>
          <cell r="Q289">
            <v>192</v>
          </cell>
          <cell r="R289" t="str">
            <v>新F*75240</v>
          </cell>
          <cell r="S289" t="str">
            <v>公司筐</v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</row>
        <row r="289"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</row>
        <row r="290">
          <cell r="B290">
            <v>46282</v>
          </cell>
          <cell r="C290" t="str">
            <v>努尔敦</v>
          </cell>
          <cell r="D290" t="str">
            <v>原料入库</v>
          </cell>
          <cell r="E290" t="str">
            <v>NO:0000896</v>
          </cell>
          <cell r="F290" t="str">
            <v>香梨</v>
          </cell>
          <cell r="G290" t="str">
            <v>香梨二级</v>
          </cell>
          <cell r="H290">
            <v>136</v>
          </cell>
          <cell r="I290" t="str">
            <v>筐</v>
          </cell>
          <cell r="J290">
            <v>3032.8</v>
          </cell>
          <cell r="K290" t="str">
            <v/>
          </cell>
          <cell r="L290" t="str">
            <v/>
          </cell>
          <cell r="M290" t="str">
            <v/>
          </cell>
          <cell r="N290" t="str">
            <v>公司红周转筐</v>
          </cell>
          <cell r="O290" t="str">
            <v/>
          </cell>
          <cell r="P290" t="str">
            <v/>
          </cell>
          <cell r="Q290">
            <v>136</v>
          </cell>
          <cell r="R290" t="str">
            <v>新F*75240</v>
          </cell>
          <cell r="S290" t="str">
            <v>公司筐</v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</row>
        <row r="290"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</row>
        <row r="291">
          <cell r="B291">
            <v>46283</v>
          </cell>
          <cell r="C291" t="str">
            <v>吐尔洪</v>
          </cell>
          <cell r="D291" t="str">
            <v>原料入库</v>
          </cell>
          <cell r="E291" t="str">
            <v>NO:0000897</v>
          </cell>
          <cell r="F291" t="str">
            <v>香梨</v>
          </cell>
          <cell r="G291" t="str">
            <v>香梨特级</v>
          </cell>
          <cell r="H291">
            <v>114</v>
          </cell>
          <cell r="I291" t="str">
            <v>筐</v>
          </cell>
          <cell r="J291">
            <v>2086.2</v>
          </cell>
          <cell r="K291" t="str">
            <v/>
          </cell>
          <cell r="L291" t="str">
            <v/>
          </cell>
          <cell r="M291" t="str">
            <v>麦麦提</v>
          </cell>
          <cell r="N291" t="str">
            <v>公司红周转筐</v>
          </cell>
          <cell r="O291" t="str">
            <v/>
          </cell>
          <cell r="P291" t="str">
            <v/>
          </cell>
          <cell r="Q291">
            <v>114</v>
          </cell>
          <cell r="R291" t="str">
            <v>新N*X8S48</v>
          </cell>
          <cell r="S291" t="str">
            <v>公司筐</v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</row>
        <row r="291"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</row>
        <row r="292">
          <cell r="B292">
            <v>46283</v>
          </cell>
          <cell r="C292" t="str">
            <v>吐尔洪</v>
          </cell>
          <cell r="D292" t="str">
            <v>原料入库</v>
          </cell>
          <cell r="E292" t="str">
            <v>NO:0000897</v>
          </cell>
          <cell r="F292" t="str">
            <v>香梨</v>
          </cell>
          <cell r="G292" t="str">
            <v>香梨一级</v>
          </cell>
          <cell r="H292">
            <v>9</v>
          </cell>
          <cell r="I292" t="str">
            <v>筐</v>
          </cell>
          <cell r="J292">
            <v>164.7</v>
          </cell>
          <cell r="K292" t="str">
            <v/>
          </cell>
          <cell r="L292" t="str">
            <v/>
          </cell>
          <cell r="M292" t="str">
            <v>麦麦提</v>
          </cell>
          <cell r="N292" t="str">
            <v>公司红周转筐</v>
          </cell>
          <cell r="O292" t="str">
            <v/>
          </cell>
          <cell r="P292" t="str">
            <v/>
          </cell>
          <cell r="Q292">
            <v>9</v>
          </cell>
          <cell r="R292" t="str">
            <v>新N*X8S48</v>
          </cell>
          <cell r="S292" t="str">
            <v>公司筐</v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</row>
        <row r="292"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</row>
        <row r="293">
          <cell r="B293">
            <v>46283</v>
          </cell>
          <cell r="C293" t="str">
            <v>吐尔洪</v>
          </cell>
          <cell r="D293" t="str">
            <v>原料入库</v>
          </cell>
          <cell r="E293" t="str">
            <v>NO:0000897</v>
          </cell>
          <cell r="F293" t="str">
            <v>香梨</v>
          </cell>
          <cell r="G293" t="str">
            <v>香梨二级</v>
          </cell>
          <cell r="H293">
            <v>59</v>
          </cell>
          <cell r="I293" t="str">
            <v>筐</v>
          </cell>
          <cell r="J293">
            <v>1315.7</v>
          </cell>
          <cell r="K293" t="str">
            <v/>
          </cell>
          <cell r="L293" t="str">
            <v/>
          </cell>
          <cell r="M293" t="str">
            <v>麦麦提</v>
          </cell>
          <cell r="N293" t="str">
            <v>公司红周转筐</v>
          </cell>
          <cell r="O293" t="str">
            <v/>
          </cell>
          <cell r="P293" t="str">
            <v/>
          </cell>
          <cell r="Q293">
            <v>59</v>
          </cell>
          <cell r="R293" t="str">
            <v>新N*X8S48</v>
          </cell>
          <cell r="S293" t="str">
            <v>公司筐</v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</row>
        <row r="293"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</row>
        <row r="294">
          <cell r="B294">
            <v>46283</v>
          </cell>
          <cell r="C294" t="str">
            <v>艾则孜</v>
          </cell>
          <cell r="D294" t="str">
            <v>原料入库</v>
          </cell>
          <cell r="E294" t="str">
            <v>NO:0000898</v>
          </cell>
          <cell r="F294" t="str">
            <v>香梨</v>
          </cell>
          <cell r="G294" t="str">
            <v>香梨一级</v>
          </cell>
          <cell r="H294">
            <v>280</v>
          </cell>
          <cell r="I294" t="str">
            <v>筐</v>
          </cell>
          <cell r="J294">
            <v>5404</v>
          </cell>
          <cell r="K294" t="str">
            <v/>
          </cell>
          <cell r="L294" t="str">
            <v/>
          </cell>
          <cell r="M294" t="str">
            <v>热合曼</v>
          </cell>
          <cell r="N294" t="str">
            <v>公司红周转筐</v>
          </cell>
          <cell r="O294" t="str">
            <v/>
          </cell>
          <cell r="P294" t="str">
            <v/>
          </cell>
          <cell r="Q294">
            <v>280</v>
          </cell>
          <cell r="R294" t="str">
            <v>新A*G0554</v>
          </cell>
          <cell r="S294" t="str">
            <v>公司筐</v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</row>
        <row r="294"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</row>
        <row r="295">
          <cell r="B295">
            <v>46283</v>
          </cell>
          <cell r="C295" t="str">
            <v>艾则孜</v>
          </cell>
          <cell r="D295" t="str">
            <v>原料入库</v>
          </cell>
          <cell r="E295" t="str">
            <v>NO:0000898</v>
          </cell>
          <cell r="F295" t="str">
            <v>香梨</v>
          </cell>
          <cell r="G295" t="str">
            <v>香梨二级</v>
          </cell>
          <cell r="H295">
            <v>88</v>
          </cell>
          <cell r="I295" t="str">
            <v>筐</v>
          </cell>
          <cell r="J295">
            <v>1962.4</v>
          </cell>
          <cell r="K295" t="str">
            <v/>
          </cell>
          <cell r="L295" t="str">
            <v/>
          </cell>
          <cell r="M295" t="str">
            <v>热合曼</v>
          </cell>
          <cell r="N295" t="str">
            <v>公司红周转筐</v>
          </cell>
          <cell r="O295" t="str">
            <v/>
          </cell>
          <cell r="P295" t="str">
            <v/>
          </cell>
          <cell r="Q295">
            <v>88</v>
          </cell>
          <cell r="R295" t="str">
            <v>新A*G0554</v>
          </cell>
          <cell r="S295" t="str">
            <v>公司筐</v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</row>
        <row r="295"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</row>
        <row r="296">
          <cell r="B296">
            <v>46283</v>
          </cell>
          <cell r="C296" t="str">
            <v>艾则孜</v>
          </cell>
          <cell r="D296" t="str">
            <v>原料入库</v>
          </cell>
          <cell r="E296" t="str">
            <v>NO:0000898</v>
          </cell>
          <cell r="F296" t="str">
            <v>香梨</v>
          </cell>
          <cell r="G296" t="str">
            <v>香梨副特</v>
          </cell>
          <cell r="H296">
            <v>170</v>
          </cell>
          <cell r="I296" t="str">
            <v>筐</v>
          </cell>
          <cell r="J296">
            <v>3281</v>
          </cell>
          <cell r="K296" t="str">
            <v/>
          </cell>
          <cell r="L296" t="str">
            <v/>
          </cell>
          <cell r="M296" t="str">
            <v>热合曼</v>
          </cell>
          <cell r="N296" t="str">
            <v>公司红周转筐</v>
          </cell>
          <cell r="O296" t="str">
            <v/>
          </cell>
          <cell r="P296" t="str">
            <v/>
          </cell>
          <cell r="Q296">
            <v>170</v>
          </cell>
          <cell r="R296" t="str">
            <v>新A*G0554</v>
          </cell>
          <cell r="S296" t="str">
            <v>公司筐</v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</row>
        <row r="296"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</row>
        <row r="297">
          <cell r="B297">
            <v>46283</v>
          </cell>
          <cell r="C297" t="str">
            <v>王灵云</v>
          </cell>
          <cell r="D297" t="str">
            <v>原料入库</v>
          </cell>
          <cell r="E297" t="str">
            <v>NO:0000901</v>
          </cell>
          <cell r="F297" t="str">
            <v>香梨</v>
          </cell>
          <cell r="G297" t="str">
            <v>香梨一级</v>
          </cell>
          <cell r="H297">
            <v>525</v>
          </cell>
          <cell r="I297" t="str">
            <v>筐</v>
          </cell>
          <cell r="J297">
            <v>9607.5</v>
          </cell>
          <cell r="K297" t="str">
            <v/>
          </cell>
          <cell r="L297" t="str">
            <v/>
          </cell>
          <cell r="M297" t="str">
            <v/>
          </cell>
          <cell r="N297" t="str">
            <v>公司红周转筐</v>
          </cell>
          <cell r="O297" t="str">
            <v/>
          </cell>
          <cell r="P297" t="str">
            <v/>
          </cell>
          <cell r="Q297">
            <v>525</v>
          </cell>
          <cell r="R297" t="str">
            <v>新N*49209</v>
          </cell>
          <cell r="S297" t="str">
            <v>公司筐</v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</row>
        <row r="297"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</row>
        <row r="298">
          <cell r="B298">
            <v>46283</v>
          </cell>
          <cell r="C298" t="str">
            <v>王灵云</v>
          </cell>
          <cell r="D298" t="str">
            <v>原料入库</v>
          </cell>
          <cell r="E298" t="str">
            <v>NO:0000901</v>
          </cell>
          <cell r="F298" t="str">
            <v>香梨</v>
          </cell>
          <cell r="G298" t="str">
            <v>香梨二级</v>
          </cell>
          <cell r="H298">
            <v>87</v>
          </cell>
          <cell r="I298" t="str">
            <v>筐</v>
          </cell>
          <cell r="J298">
            <v>2027.1</v>
          </cell>
          <cell r="K298" t="str">
            <v/>
          </cell>
          <cell r="L298" t="str">
            <v/>
          </cell>
          <cell r="M298" t="str">
            <v/>
          </cell>
          <cell r="N298" t="str">
            <v>公司红周转筐</v>
          </cell>
          <cell r="O298" t="str">
            <v/>
          </cell>
          <cell r="P298" t="str">
            <v/>
          </cell>
          <cell r="Q298">
            <v>87</v>
          </cell>
          <cell r="R298" t="str">
            <v>新N*49209</v>
          </cell>
          <cell r="S298" t="str">
            <v>公司筐</v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</row>
        <row r="298"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</row>
        <row r="299">
          <cell r="B299">
            <v>46283</v>
          </cell>
          <cell r="C299" t="str">
            <v>王灵云</v>
          </cell>
          <cell r="D299" t="str">
            <v>原料入库</v>
          </cell>
          <cell r="E299" t="str">
            <v>NO:0000901</v>
          </cell>
          <cell r="F299" t="str">
            <v>香梨</v>
          </cell>
          <cell r="G299" t="str">
            <v>香梨副特</v>
          </cell>
          <cell r="H299">
            <v>77</v>
          </cell>
          <cell r="I299" t="str">
            <v>筐</v>
          </cell>
          <cell r="J299">
            <v>1409.1</v>
          </cell>
          <cell r="K299" t="str">
            <v/>
          </cell>
          <cell r="L299" t="str">
            <v/>
          </cell>
          <cell r="M299" t="str">
            <v/>
          </cell>
          <cell r="N299" t="str">
            <v>公司红周转筐</v>
          </cell>
          <cell r="O299" t="str">
            <v/>
          </cell>
          <cell r="P299" t="str">
            <v/>
          </cell>
          <cell r="Q299">
            <v>77</v>
          </cell>
          <cell r="R299" t="str">
            <v>新N*49209</v>
          </cell>
          <cell r="S299" t="str">
            <v>公司筐</v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</row>
        <row r="299"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</row>
        <row r="300">
          <cell r="B300">
            <v>46283</v>
          </cell>
          <cell r="C300" t="str">
            <v>王照雪</v>
          </cell>
          <cell r="D300" t="str">
            <v>原料入库</v>
          </cell>
          <cell r="E300" t="str">
            <v>NO:0000902</v>
          </cell>
          <cell r="F300" t="str">
            <v>苹果</v>
          </cell>
          <cell r="G300" t="str">
            <v>新世纪一级</v>
          </cell>
          <cell r="H300">
            <v>182</v>
          </cell>
          <cell r="I300" t="str">
            <v>筐</v>
          </cell>
          <cell r="J300">
            <v>3148.6</v>
          </cell>
          <cell r="K300" t="str">
            <v/>
          </cell>
          <cell r="L300" t="str">
            <v/>
          </cell>
          <cell r="M300" t="str">
            <v/>
          </cell>
          <cell r="N300" t="str">
            <v>公司杂周转筐</v>
          </cell>
          <cell r="O300" t="str">
            <v/>
          </cell>
          <cell r="P300" t="str">
            <v/>
          </cell>
          <cell r="Q300">
            <v>182</v>
          </cell>
          <cell r="R300" t="str">
            <v>豫L*88X19</v>
          </cell>
          <cell r="S300" t="str">
            <v>公司筐</v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</row>
        <row r="300"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</row>
        <row r="301">
          <cell r="B301">
            <v>46283</v>
          </cell>
          <cell r="C301" t="str">
            <v>王照雪</v>
          </cell>
          <cell r="D301" t="str">
            <v>原料入库</v>
          </cell>
          <cell r="E301" t="str">
            <v>NO:0000902</v>
          </cell>
          <cell r="F301" t="str">
            <v>苹果</v>
          </cell>
          <cell r="G301" t="str">
            <v>新世纪二级</v>
          </cell>
          <cell r="H301">
            <v>52</v>
          </cell>
          <cell r="I301" t="str">
            <v>筐</v>
          </cell>
          <cell r="J301">
            <v>1055.6</v>
          </cell>
          <cell r="K301" t="str">
            <v/>
          </cell>
          <cell r="L301" t="str">
            <v/>
          </cell>
          <cell r="M301" t="str">
            <v/>
          </cell>
          <cell r="N301" t="str">
            <v>公司杂周转筐</v>
          </cell>
          <cell r="O301" t="str">
            <v/>
          </cell>
          <cell r="P301" t="str">
            <v/>
          </cell>
          <cell r="Q301">
            <v>52</v>
          </cell>
          <cell r="R301" t="str">
            <v>豫L*88X19</v>
          </cell>
          <cell r="S301" t="str">
            <v>公司筐</v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</row>
        <row r="301"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</row>
        <row r="302">
          <cell r="B302">
            <v>46250</v>
          </cell>
          <cell r="C302" t="str">
            <v>王照雪</v>
          </cell>
          <cell r="D302" t="str">
            <v>原料出库－原筐出库</v>
          </cell>
          <cell r="E302" t="str">
            <v>NO:0001018</v>
          </cell>
          <cell r="F302" t="str">
            <v>李子</v>
          </cell>
          <cell r="G302" t="str">
            <v>樱桃李</v>
          </cell>
          <cell r="H302">
            <v>402</v>
          </cell>
          <cell r="I302" t="str">
            <v>筐</v>
          </cell>
          <cell r="J302">
            <v>6552.6</v>
          </cell>
          <cell r="K302" t="str">
            <v/>
          </cell>
          <cell r="L302" t="str">
            <v/>
          </cell>
          <cell r="M302" t="str">
            <v/>
          </cell>
          <cell r="N302" t="str">
            <v>自备一次性筐</v>
          </cell>
          <cell r="O302">
            <v>402</v>
          </cell>
          <cell r="P302" t="str">
            <v/>
          </cell>
          <cell r="Q302" t="str">
            <v/>
          </cell>
          <cell r="R302" t="str">
            <v>苏C*HB310</v>
          </cell>
          <cell r="S302" t="str">
            <v>自备筐</v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</row>
        <row r="302"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</row>
        <row r="303">
          <cell r="B303">
            <v>46251</v>
          </cell>
          <cell r="C303" t="str">
            <v>王照雪</v>
          </cell>
          <cell r="D303" t="str">
            <v>原料出库－公司购买</v>
          </cell>
          <cell r="E303" t="str">
            <v>NO:0000140</v>
          </cell>
          <cell r="F303" t="str">
            <v>李子</v>
          </cell>
          <cell r="G303" t="str">
            <v>樱桃李</v>
          </cell>
          <cell r="H303">
            <v>1</v>
          </cell>
          <cell r="I303" t="str">
            <v>筐</v>
          </cell>
          <cell r="J303">
            <v>16.3</v>
          </cell>
          <cell r="K303" t="str">
            <v/>
          </cell>
          <cell r="L303" t="str">
            <v/>
          </cell>
          <cell r="M303" t="str">
            <v/>
          </cell>
          <cell r="N303" t="str">
            <v>自备一次性筐</v>
          </cell>
          <cell r="O303">
            <v>1</v>
          </cell>
          <cell r="P303" t="str">
            <v/>
          </cell>
          <cell r="Q303" t="str">
            <v/>
          </cell>
          <cell r="R303" t="str">
            <v/>
          </cell>
          <cell r="S303" t="str">
            <v>自备筐</v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</row>
        <row r="303"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</row>
        <row r="304">
          <cell r="B304">
            <v>46255</v>
          </cell>
          <cell r="C304" t="str">
            <v>伍元虎</v>
          </cell>
          <cell r="D304" t="str">
            <v>原料出库－原筐出库</v>
          </cell>
          <cell r="E304" t="str">
            <v>NO:0001021</v>
          </cell>
          <cell r="F304" t="str">
            <v>苹果</v>
          </cell>
          <cell r="G304" t="str">
            <v>海棠果</v>
          </cell>
          <cell r="H304">
            <v>87</v>
          </cell>
          <cell r="I304" t="str">
            <v>筐</v>
          </cell>
          <cell r="J304">
            <v>1957.5</v>
          </cell>
          <cell r="K304" t="str">
            <v/>
          </cell>
          <cell r="L304" t="str">
            <v/>
          </cell>
          <cell r="M304" t="str">
            <v>出库完毕</v>
          </cell>
          <cell r="N304" t="str">
            <v>自备一次性筐</v>
          </cell>
          <cell r="O304">
            <v>87</v>
          </cell>
          <cell r="P304" t="str">
            <v/>
          </cell>
          <cell r="Q304" t="str">
            <v/>
          </cell>
          <cell r="R304" t="str">
            <v>新N*4377B</v>
          </cell>
          <cell r="S304" t="str">
            <v>自备筐</v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</row>
        <row r="304"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</row>
        <row r="305">
          <cell r="B305">
            <v>46255</v>
          </cell>
          <cell r="C305" t="str">
            <v>聂新平</v>
          </cell>
          <cell r="D305" t="str">
            <v>原料出库－原筐出库</v>
          </cell>
          <cell r="E305" t="str">
            <v>NO:0001024</v>
          </cell>
          <cell r="F305" t="str">
            <v>苹果</v>
          </cell>
          <cell r="G305" t="str">
            <v>嘎啦85#</v>
          </cell>
          <cell r="H305">
            <v>212</v>
          </cell>
          <cell r="I305" t="str">
            <v>筐</v>
          </cell>
          <cell r="J305">
            <v>4621.6</v>
          </cell>
          <cell r="K305" t="str">
            <v/>
          </cell>
          <cell r="L305" t="str">
            <v/>
          </cell>
          <cell r="M305" t="str">
            <v/>
          </cell>
          <cell r="N305" t="str">
            <v>自备一次性筐</v>
          </cell>
          <cell r="O305">
            <v>212</v>
          </cell>
          <cell r="P305" t="str">
            <v/>
          </cell>
          <cell r="Q305" t="str">
            <v/>
          </cell>
          <cell r="R305" t="str">
            <v>晋M*H8582</v>
          </cell>
          <cell r="S305" t="str">
            <v>自备筐</v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</row>
        <row r="305"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</row>
        <row r="306">
          <cell r="B306">
            <v>46255</v>
          </cell>
          <cell r="C306" t="str">
            <v>聂新平</v>
          </cell>
          <cell r="D306" t="str">
            <v>原料出库－原筐出库</v>
          </cell>
          <cell r="E306" t="str">
            <v>NO:0001024</v>
          </cell>
          <cell r="F306" t="str">
            <v>苹果</v>
          </cell>
          <cell r="G306" t="str">
            <v>嘎啦100#</v>
          </cell>
          <cell r="H306">
            <v>240</v>
          </cell>
          <cell r="I306" t="str">
            <v>筐</v>
          </cell>
          <cell r="J306">
            <v>5232</v>
          </cell>
          <cell r="K306" t="str">
            <v/>
          </cell>
          <cell r="L306" t="str">
            <v/>
          </cell>
          <cell r="M306" t="str">
            <v/>
          </cell>
          <cell r="N306" t="str">
            <v>自备一次性筐</v>
          </cell>
          <cell r="O306">
            <v>240</v>
          </cell>
          <cell r="P306" t="str">
            <v/>
          </cell>
          <cell r="Q306" t="str">
            <v/>
          </cell>
          <cell r="R306" t="str">
            <v>晋M*H8582</v>
          </cell>
          <cell r="S306" t="str">
            <v>自备筐</v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</row>
        <row r="306"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</row>
        <row r="307">
          <cell r="B307">
            <v>46258</v>
          </cell>
          <cell r="C307" t="str">
            <v>王照雪</v>
          </cell>
          <cell r="D307" t="str">
            <v>原料出库－原筐出库</v>
          </cell>
          <cell r="E307" t="str">
            <v>NO:0001032</v>
          </cell>
          <cell r="F307" t="str">
            <v>苹果</v>
          </cell>
          <cell r="G307" t="str">
            <v>华硕高次</v>
          </cell>
          <cell r="H307">
            <v>1</v>
          </cell>
          <cell r="I307" t="str">
            <v>筐</v>
          </cell>
          <cell r="J307">
            <v>17.3</v>
          </cell>
          <cell r="K307" t="str">
            <v/>
          </cell>
          <cell r="L307" t="str">
            <v/>
          </cell>
          <cell r="M307" t="str">
            <v>主播拿走</v>
          </cell>
          <cell r="N307" t="str">
            <v>公司杂周转筐</v>
          </cell>
          <cell r="O307">
            <v>1</v>
          </cell>
          <cell r="P307" t="str">
            <v/>
          </cell>
          <cell r="Q307" t="str">
            <v/>
          </cell>
          <cell r="R307" t="str">
            <v/>
          </cell>
          <cell r="S307" t="str">
            <v>公司筐</v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</row>
        <row r="307"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</row>
        <row r="308">
          <cell r="B308">
            <v>46259</v>
          </cell>
          <cell r="C308" t="str">
            <v>王照雪</v>
          </cell>
          <cell r="D308" t="str">
            <v>原料出库－出库加工</v>
          </cell>
          <cell r="E308" t="str">
            <v>NO:0001034</v>
          </cell>
          <cell r="F308" t="str">
            <v>苹果</v>
          </cell>
          <cell r="G308" t="str">
            <v>华硕一级</v>
          </cell>
          <cell r="H308">
            <v>44</v>
          </cell>
          <cell r="I308" t="str">
            <v>筐</v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</row>
        <row r="308"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</row>
        <row r="309">
          <cell r="B309">
            <v>46261</v>
          </cell>
          <cell r="C309" t="str">
            <v>王照雪</v>
          </cell>
          <cell r="D309" t="str">
            <v>原料出库－出库加工</v>
          </cell>
          <cell r="E309" t="str">
            <v>NO:0001038</v>
          </cell>
          <cell r="F309" t="str">
            <v>苹果</v>
          </cell>
          <cell r="G309" t="str">
            <v>华硕一级</v>
          </cell>
          <cell r="H309">
            <v>78</v>
          </cell>
          <cell r="I309" t="str">
            <v>筐</v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</row>
        <row r="309">
          <cell r="AA309" t="str">
            <v/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  <cell r="AF309" t="str">
            <v/>
          </cell>
        </row>
        <row r="310">
          <cell r="B310">
            <v>46261</v>
          </cell>
          <cell r="C310" t="str">
            <v>王照雪</v>
          </cell>
          <cell r="D310" t="str">
            <v>原料出库－出库加工</v>
          </cell>
          <cell r="E310" t="str">
            <v>NO:0001038</v>
          </cell>
          <cell r="F310" t="str">
            <v>苹果</v>
          </cell>
          <cell r="G310" t="str">
            <v>华硕高次</v>
          </cell>
          <cell r="H310">
            <v>44</v>
          </cell>
          <cell r="I310" t="str">
            <v>筐</v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</row>
        <row r="310"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</row>
        <row r="311">
          <cell r="B311">
            <v>46262</v>
          </cell>
          <cell r="C311" t="str">
            <v>马锦祥</v>
          </cell>
          <cell r="D311" t="str">
            <v>原料出库－原筐出库</v>
          </cell>
          <cell r="E311" t="str">
            <v>NO:0001042</v>
          </cell>
          <cell r="F311" t="str">
            <v>苹果</v>
          </cell>
          <cell r="G311" t="str">
            <v>海棠果</v>
          </cell>
          <cell r="H311">
            <v>2</v>
          </cell>
          <cell r="I311" t="str">
            <v>筐</v>
          </cell>
          <cell r="J311">
            <v>6</v>
          </cell>
          <cell r="K311" t="str">
            <v/>
          </cell>
          <cell r="L311" t="str">
            <v/>
          </cell>
          <cell r="M311" t="str">
            <v>司机老王拿</v>
          </cell>
          <cell r="N311" t="str">
            <v>自备一次性筐</v>
          </cell>
          <cell r="O311">
            <v>2</v>
          </cell>
          <cell r="P311" t="str">
            <v/>
          </cell>
          <cell r="Q311" t="str">
            <v/>
          </cell>
          <cell r="R311" t="str">
            <v/>
          </cell>
          <cell r="S311" t="str">
            <v>自备筐</v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</row>
        <row r="311"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</row>
        <row r="312">
          <cell r="B312">
            <v>46263</v>
          </cell>
          <cell r="C312" t="str">
            <v>聂新平</v>
          </cell>
          <cell r="D312" t="str">
            <v>原料出库－出库加工</v>
          </cell>
          <cell r="E312" t="str">
            <v>NO:0001044</v>
          </cell>
          <cell r="F312" t="str">
            <v>苹果</v>
          </cell>
          <cell r="G312" t="str">
            <v>嘎啦100#</v>
          </cell>
          <cell r="H312">
            <v>80</v>
          </cell>
          <cell r="I312" t="str">
            <v>筐</v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</row>
        <row r="312"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</row>
        <row r="313">
          <cell r="B313">
            <v>46263</v>
          </cell>
          <cell r="C313" t="str">
            <v>王照雪</v>
          </cell>
          <cell r="D313" t="str">
            <v>原料出库－出库加工</v>
          </cell>
          <cell r="E313" t="str">
            <v>NO:0001045</v>
          </cell>
          <cell r="F313" t="str">
            <v>苹果</v>
          </cell>
          <cell r="G313" t="str">
            <v>华硕一级</v>
          </cell>
          <cell r="H313">
            <v>240</v>
          </cell>
          <cell r="I313" t="str">
            <v>筐</v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</row>
        <row r="313"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</row>
        <row r="314">
          <cell r="B314">
            <v>46263</v>
          </cell>
          <cell r="C314" t="str">
            <v>聂新平</v>
          </cell>
          <cell r="D314" t="str">
            <v>原料出库－出库加工</v>
          </cell>
          <cell r="E314" t="str">
            <v>NO:0001047</v>
          </cell>
          <cell r="F314" t="str">
            <v>苹果</v>
          </cell>
          <cell r="G314" t="str">
            <v>嘎啦100#</v>
          </cell>
          <cell r="H314">
            <v>240</v>
          </cell>
          <cell r="I314" t="str">
            <v>筐</v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</row>
        <row r="314"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</row>
        <row r="315">
          <cell r="B315">
            <v>46264</v>
          </cell>
          <cell r="C315" t="str">
            <v>王照雪</v>
          </cell>
          <cell r="D315" t="str">
            <v>原料出库－出库加工</v>
          </cell>
          <cell r="E315" t="str">
            <v>NO:0001050</v>
          </cell>
          <cell r="F315" t="str">
            <v>苹果</v>
          </cell>
          <cell r="G315" t="str">
            <v>华硕二级</v>
          </cell>
          <cell r="H315">
            <v>302</v>
          </cell>
          <cell r="I315" t="str">
            <v>筐</v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</row>
        <row r="315"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</row>
        <row r="316">
          <cell r="B316">
            <v>46264</v>
          </cell>
          <cell r="C316" t="str">
            <v>王照雪</v>
          </cell>
          <cell r="D316" t="str">
            <v>原料出库－出库加工</v>
          </cell>
          <cell r="E316" t="str">
            <v>NO:0001050</v>
          </cell>
          <cell r="F316" t="str">
            <v>苹果</v>
          </cell>
          <cell r="G316" t="str">
            <v>华硕一级</v>
          </cell>
          <cell r="H316">
            <v>27</v>
          </cell>
          <cell r="I316" t="str">
            <v>筐</v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</row>
        <row r="316">
          <cell r="AA316" t="str">
            <v/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  <cell r="AF316" t="str">
            <v/>
          </cell>
        </row>
        <row r="317">
          <cell r="B317">
            <v>46264</v>
          </cell>
          <cell r="C317" t="str">
            <v>聂新平</v>
          </cell>
          <cell r="D317" t="str">
            <v>原料出库－出库加工</v>
          </cell>
          <cell r="E317" t="str">
            <v>NO:0001051</v>
          </cell>
          <cell r="F317" t="str">
            <v>苹果</v>
          </cell>
          <cell r="G317" t="str">
            <v>嘎啦100#</v>
          </cell>
          <cell r="H317">
            <v>336</v>
          </cell>
          <cell r="I317" t="str">
            <v>筐</v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</row>
        <row r="317">
          <cell r="AA317" t="str">
            <v/>
          </cell>
          <cell r="AB317" t="str">
            <v/>
          </cell>
          <cell r="AC317" t="str">
            <v/>
          </cell>
          <cell r="AD317" t="str">
            <v/>
          </cell>
          <cell r="AE317" t="str">
            <v/>
          </cell>
          <cell r="AF317" t="str">
            <v/>
          </cell>
        </row>
        <row r="318">
          <cell r="B318">
            <v>46265</v>
          </cell>
          <cell r="C318" t="str">
            <v>王照雪</v>
          </cell>
          <cell r="D318" t="str">
            <v>原料出库－出库加工</v>
          </cell>
          <cell r="E318" t="str">
            <v>NO:0001054</v>
          </cell>
          <cell r="F318" t="str">
            <v>苹果</v>
          </cell>
          <cell r="G318" t="str">
            <v>华硕一级</v>
          </cell>
          <cell r="H318">
            <v>117</v>
          </cell>
          <cell r="I318" t="str">
            <v>筐</v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</row>
        <row r="318">
          <cell r="AA318" t="str">
            <v/>
          </cell>
          <cell r="AB318" t="str">
            <v/>
          </cell>
          <cell r="AC318" t="str">
            <v/>
          </cell>
          <cell r="AD318" t="str">
            <v/>
          </cell>
          <cell r="AE318" t="str">
            <v/>
          </cell>
          <cell r="AF318" t="str">
            <v/>
          </cell>
        </row>
        <row r="319">
          <cell r="B319">
            <v>46265</v>
          </cell>
          <cell r="C319" t="str">
            <v>聂新平</v>
          </cell>
          <cell r="D319" t="str">
            <v>原料出库－出库加工</v>
          </cell>
          <cell r="E319" t="str">
            <v>NO:0001056</v>
          </cell>
          <cell r="F319" t="str">
            <v>苹果</v>
          </cell>
          <cell r="G319" t="str">
            <v>嘎啦100#</v>
          </cell>
          <cell r="H319">
            <v>201</v>
          </cell>
          <cell r="I319" t="str">
            <v>筐</v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</row>
        <row r="319">
          <cell r="AA319" t="str">
            <v/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  <cell r="AF319" t="str">
            <v/>
          </cell>
        </row>
        <row r="320">
          <cell r="B320">
            <v>46265</v>
          </cell>
          <cell r="C320" t="str">
            <v>聂新平</v>
          </cell>
          <cell r="D320" t="str">
            <v>原料出库－出库加工</v>
          </cell>
          <cell r="E320" t="str">
            <v>NO:0001056</v>
          </cell>
          <cell r="F320" t="str">
            <v>苹果</v>
          </cell>
          <cell r="G320" t="str">
            <v>嘎啦85#</v>
          </cell>
          <cell r="H320">
            <v>166</v>
          </cell>
          <cell r="I320" t="str">
            <v>筐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</row>
        <row r="320"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</row>
        <row r="321">
          <cell r="B321">
            <v>46266</v>
          </cell>
          <cell r="C321" t="str">
            <v>聂新平</v>
          </cell>
          <cell r="D321" t="str">
            <v>原料出库－出库加工</v>
          </cell>
          <cell r="E321" t="str">
            <v>NO:0001059</v>
          </cell>
          <cell r="F321" t="str">
            <v>苹果</v>
          </cell>
          <cell r="G321" t="str">
            <v>嘎啦85#</v>
          </cell>
          <cell r="H321">
            <v>254</v>
          </cell>
          <cell r="I321" t="str">
            <v>筐</v>
          </cell>
          <cell r="J321" t="str">
            <v/>
          </cell>
          <cell r="K321" t="str">
            <v/>
          </cell>
          <cell r="L321" t="str">
            <v/>
          </cell>
          <cell r="M321" t="str">
            <v>嘎啦原料全部出库</v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</row>
        <row r="321"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</row>
        <row r="322">
          <cell r="B322">
            <v>46266</v>
          </cell>
          <cell r="C322" t="str">
            <v>王照雪</v>
          </cell>
          <cell r="D322" t="str">
            <v>原料出库－出库加工</v>
          </cell>
          <cell r="E322" t="str">
            <v>NO:0001060</v>
          </cell>
          <cell r="F322" t="str">
            <v>苹果</v>
          </cell>
          <cell r="G322" t="str">
            <v>华硕一级</v>
          </cell>
          <cell r="H322">
            <v>164</v>
          </cell>
          <cell r="I322" t="str">
            <v>筐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</row>
        <row r="322"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</row>
        <row r="323">
          <cell r="B323">
            <v>46266</v>
          </cell>
          <cell r="C323" t="str">
            <v>王照雪</v>
          </cell>
          <cell r="D323" t="str">
            <v>原料出库－出库加工</v>
          </cell>
          <cell r="E323" t="str">
            <v>NO:0001060</v>
          </cell>
          <cell r="F323" t="str">
            <v>苹果</v>
          </cell>
          <cell r="G323" t="str">
            <v>华硕二级</v>
          </cell>
          <cell r="H323">
            <v>27</v>
          </cell>
          <cell r="I323" t="str">
            <v>筐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</row>
        <row r="323"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</row>
        <row r="324">
          <cell r="B324">
            <v>46255</v>
          </cell>
          <cell r="C324" t="str">
            <v>聂新平</v>
          </cell>
          <cell r="D324" t="str">
            <v>原料出库－原筐出库</v>
          </cell>
          <cell r="E324" t="str">
            <v>NO:0001023</v>
          </cell>
          <cell r="F324" t="str">
            <v>西梅</v>
          </cell>
          <cell r="G324" t="str">
            <v>西梅三级</v>
          </cell>
          <cell r="H324">
            <v>784</v>
          </cell>
          <cell r="I324" t="str">
            <v>筐</v>
          </cell>
          <cell r="J324">
            <v>1568</v>
          </cell>
          <cell r="K324" t="str">
            <v/>
          </cell>
          <cell r="L324" t="str">
            <v/>
          </cell>
          <cell r="M324" t="str">
            <v/>
          </cell>
          <cell r="N324" t="str">
            <v>自备一次性筐</v>
          </cell>
          <cell r="O324">
            <v>784</v>
          </cell>
          <cell r="P324" t="str">
            <v/>
          </cell>
          <cell r="Q324" t="str">
            <v/>
          </cell>
          <cell r="R324" t="str">
            <v>晋M*H8582</v>
          </cell>
          <cell r="S324" t="str">
            <v>自备筐</v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</row>
        <row r="324"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</row>
        <row r="325">
          <cell r="B325">
            <v>46255</v>
          </cell>
          <cell r="C325" t="str">
            <v>聂新平</v>
          </cell>
          <cell r="D325" t="str">
            <v>原料出库－原筐出库</v>
          </cell>
          <cell r="E325" t="str">
            <v>NO:0001023</v>
          </cell>
          <cell r="F325" t="str">
            <v>西梅</v>
          </cell>
          <cell r="G325" t="str">
            <v>西梅二级</v>
          </cell>
          <cell r="H325">
            <v>1759</v>
          </cell>
          <cell r="I325" t="str">
            <v>筐</v>
          </cell>
          <cell r="J325">
            <v>3518</v>
          </cell>
          <cell r="K325" t="str">
            <v/>
          </cell>
          <cell r="L325" t="str">
            <v/>
          </cell>
          <cell r="M325" t="str">
            <v/>
          </cell>
          <cell r="N325" t="str">
            <v>自备一次性筐</v>
          </cell>
          <cell r="O325">
            <v>1759</v>
          </cell>
          <cell r="P325" t="str">
            <v/>
          </cell>
          <cell r="Q325" t="str">
            <v/>
          </cell>
          <cell r="R325" t="str">
            <v>晋M*H8582</v>
          </cell>
          <cell r="S325" t="str">
            <v>自备筐</v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</row>
        <row r="325">
          <cell r="AA325" t="str">
            <v/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  <cell r="AF325" t="str">
            <v/>
          </cell>
        </row>
        <row r="326">
          <cell r="B326">
            <v>46255</v>
          </cell>
          <cell r="C326" t="str">
            <v>聂新平</v>
          </cell>
          <cell r="D326" t="str">
            <v>原料出库－原筐出库</v>
          </cell>
          <cell r="E326" t="str">
            <v>NO:0001023</v>
          </cell>
          <cell r="F326" t="str">
            <v>西梅</v>
          </cell>
          <cell r="G326" t="str">
            <v>西梅一级</v>
          </cell>
          <cell r="H326">
            <v>216</v>
          </cell>
          <cell r="I326" t="str">
            <v>筐</v>
          </cell>
          <cell r="J326">
            <v>1512</v>
          </cell>
          <cell r="K326" t="str">
            <v/>
          </cell>
          <cell r="L326" t="str">
            <v/>
          </cell>
          <cell r="M326" t="str">
            <v/>
          </cell>
          <cell r="N326" t="str">
            <v>自备一次性筐</v>
          </cell>
          <cell r="O326">
            <v>216</v>
          </cell>
          <cell r="P326" t="str">
            <v/>
          </cell>
          <cell r="Q326" t="str">
            <v/>
          </cell>
          <cell r="R326" t="str">
            <v>晋M*H8582</v>
          </cell>
          <cell r="S326" t="str">
            <v>自备筐</v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</row>
        <row r="326"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</row>
        <row r="327">
          <cell r="B327">
            <v>46255</v>
          </cell>
          <cell r="C327" t="str">
            <v>聂新平</v>
          </cell>
          <cell r="D327" t="str">
            <v>原料出库－原筐出库</v>
          </cell>
          <cell r="E327" t="str">
            <v>NO:0001023</v>
          </cell>
          <cell r="F327" t="str">
            <v>西梅</v>
          </cell>
          <cell r="G327" t="str">
            <v>西梅二级</v>
          </cell>
          <cell r="H327">
            <v>132</v>
          </cell>
          <cell r="I327" t="str">
            <v>筐</v>
          </cell>
          <cell r="J327">
            <v>1188</v>
          </cell>
          <cell r="K327" t="str">
            <v/>
          </cell>
          <cell r="L327" t="str">
            <v/>
          </cell>
          <cell r="M327" t="str">
            <v/>
          </cell>
          <cell r="N327" t="str">
            <v>自备一次性筐</v>
          </cell>
          <cell r="O327">
            <v>132</v>
          </cell>
          <cell r="P327" t="str">
            <v/>
          </cell>
          <cell r="Q327" t="str">
            <v/>
          </cell>
          <cell r="R327" t="str">
            <v>晋M*H8582</v>
          </cell>
          <cell r="S327" t="str">
            <v>自备筐</v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</row>
        <row r="327"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</row>
        <row r="328">
          <cell r="B328">
            <v>46263</v>
          </cell>
          <cell r="C328" t="str">
            <v>聂新平</v>
          </cell>
          <cell r="D328" t="str">
            <v>原料出库－原筐出库</v>
          </cell>
          <cell r="E328" t="str">
            <v>NO:0001049</v>
          </cell>
          <cell r="F328" t="str">
            <v>西梅</v>
          </cell>
          <cell r="G328" t="str">
            <v>西梅一级</v>
          </cell>
          <cell r="H328">
            <v>773</v>
          </cell>
          <cell r="I328" t="str">
            <v>筐</v>
          </cell>
          <cell r="J328">
            <v>5411</v>
          </cell>
          <cell r="K328" t="str">
            <v/>
          </cell>
          <cell r="L328" t="str">
            <v/>
          </cell>
          <cell r="M328" t="str">
            <v/>
          </cell>
          <cell r="N328" t="str">
            <v>自备一次性筐</v>
          </cell>
          <cell r="O328">
            <v>773</v>
          </cell>
          <cell r="P328" t="str">
            <v/>
          </cell>
          <cell r="Q328" t="str">
            <v/>
          </cell>
          <cell r="R328" t="str">
            <v>鲁G*BJ206</v>
          </cell>
          <cell r="S328" t="str">
            <v>自备筐</v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</row>
        <row r="328"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</row>
        <row r="329">
          <cell r="B329">
            <v>46263</v>
          </cell>
          <cell r="C329" t="str">
            <v>聂新平</v>
          </cell>
          <cell r="D329" t="str">
            <v>原料出库－原筐出库</v>
          </cell>
          <cell r="E329" t="str">
            <v>NO:0001049</v>
          </cell>
          <cell r="F329" t="str">
            <v>西梅</v>
          </cell>
          <cell r="G329" t="str">
            <v>西梅二级</v>
          </cell>
          <cell r="H329">
            <v>423</v>
          </cell>
          <cell r="I329" t="str">
            <v>筐</v>
          </cell>
          <cell r="J329">
            <v>5076</v>
          </cell>
          <cell r="K329" t="str">
            <v/>
          </cell>
          <cell r="L329" t="str">
            <v/>
          </cell>
          <cell r="M329" t="str">
            <v/>
          </cell>
          <cell r="N329" t="str">
            <v>自备一次性筐</v>
          </cell>
          <cell r="O329">
            <v>423</v>
          </cell>
          <cell r="P329" t="str">
            <v/>
          </cell>
          <cell r="Q329" t="str">
            <v/>
          </cell>
          <cell r="R329" t="str">
            <v>鲁G*BJ206</v>
          </cell>
          <cell r="S329" t="str">
            <v>自备筐</v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</row>
        <row r="329"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</row>
        <row r="330">
          <cell r="B330">
            <v>46272</v>
          </cell>
          <cell r="C330" t="str">
            <v>王照雪</v>
          </cell>
          <cell r="D330" t="str">
            <v>原料出库－原筐出库</v>
          </cell>
          <cell r="E330" t="str">
            <v>NO:0001091</v>
          </cell>
          <cell r="F330" t="str">
            <v>李子</v>
          </cell>
          <cell r="G330" t="str">
            <v>樱桃李</v>
          </cell>
          <cell r="H330">
            <v>19</v>
          </cell>
          <cell r="I330" t="str">
            <v>筐</v>
          </cell>
          <cell r="J330">
            <v>309.7</v>
          </cell>
          <cell r="K330" t="str">
            <v/>
          </cell>
          <cell r="L330" t="str">
            <v/>
          </cell>
          <cell r="M330" t="str">
            <v>樱桃李全部出库</v>
          </cell>
          <cell r="N330" t="str">
            <v>自备一次性筐</v>
          </cell>
          <cell r="O330">
            <v>19</v>
          </cell>
          <cell r="P330" t="str">
            <v/>
          </cell>
          <cell r="Q330" t="str">
            <v/>
          </cell>
          <cell r="R330" t="str">
            <v>自提</v>
          </cell>
          <cell r="S330" t="str">
            <v>自备筐</v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</row>
        <row r="330"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</row>
        <row r="331">
          <cell r="B331">
            <v>46273</v>
          </cell>
          <cell r="C331" t="str">
            <v>聂新平</v>
          </cell>
          <cell r="D331" t="str">
            <v>原料出库－原筐出库</v>
          </cell>
          <cell r="E331" t="str">
            <v>NO:0001096</v>
          </cell>
          <cell r="F331" t="str">
            <v>西梅</v>
          </cell>
          <cell r="G331" t="str">
            <v>西梅二级</v>
          </cell>
          <cell r="H331">
            <v>64</v>
          </cell>
          <cell r="I331" t="str">
            <v>筐</v>
          </cell>
          <cell r="J331">
            <v>576</v>
          </cell>
          <cell r="K331" t="str">
            <v/>
          </cell>
          <cell r="L331" t="str">
            <v/>
          </cell>
          <cell r="M331" t="str">
            <v/>
          </cell>
          <cell r="N331" t="str">
            <v>自备一次性筐</v>
          </cell>
          <cell r="O331">
            <v>64</v>
          </cell>
          <cell r="P331" t="str">
            <v/>
          </cell>
          <cell r="Q331" t="str">
            <v/>
          </cell>
          <cell r="R331" t="str">
            <v>吉A*ZM856</v>
          </cell>
          <cell r="S331" t="str">
            <v>自备筐</v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</row>
        <row r="331"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</row>
        <row r="332">
          <cell r="B332">
            <v>46273</v>
          </cell>
          <cell r="C332" t="str">
            <v>聂新平</v>
          </cell>
          <cell r="D332" t="str">
            <v>原料出库－原筐出库</v>
          </cell>
          <cell r="E332" t="str">
            <v>NO:0001096</v>
          </cell>
          <cell r="F332" t="str">
            <v>西梅</v>
          </cell>
          <cell r="G332" t="str">
            <v>西梅一级</v>
          </cell>
          <cell r="H332">
            <v>421</v>
          </cell>
          <cell r="I332" t="str">
            <v>筐</v>
          </cell>
          <cell r="J332">
            <v>2947</v>
          </cell>
          <cell r="K332" t="str">
            <v/>
          </cell>
          <cell r="L332" t="str">
            <v/>
          </cell>
          <cell r="M332" t="str">
            <v/>
          </cell>
          <cell r="N332" t="str">
            <v>自备一次性筐</v>
          </cell>
          <cell r="O332">
            <v>421</v>
          </cell>
          <cell r="P332" t="str">
            <v/>
          </cell>
          <cell r="Q332" t="str">
            <v/>
          </cell>
          <cell r="R332" t="str">
            <v>吉A*ZM856</v>
          </cell>
          <cell r="S332" t="str">
            <v>自备筐</v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</row>
        <row r="332"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</row>
        <row r="333">
          <cell r="B333">
            <v>46273</v>
          </cell>
          <cell r="C333" t="str">
            <v>聂新平</v>
          </cell>
          <cell r="D333" t="str">
            <v>原料出库－原筐出库</v>
          </cell>
          <cell r="E333" t="str">
            <v>NO:0001096</v>
          </cell>
          <cell r="F333" t="str">
            <v>西梅</v>
          </cell>
          <cell r="G333" t="str">
            <v>西梅二级</v>
          </cell>
          <cell r="H333">
            <v>330</v>
          </cell>
          <cell r="I333" t="str">
            <v>筐</v>
          </cell>
          <cell r="J333">
            <v>3960</v>
          </cell>
          <cell r="K333" t="str">
            <v/>
          </cell>
          <cell r="L333" t="str">
            <v/>
          </cell>
          <cell r="M333" t="str">
            <v/>
          </cell>
          <cell r="N333" t="str">
            <v>自备一次性筐</v>
          </cell>
          <cell r="O333">
            <v>330</v>
          </cell>
          <cell r="P333" t="str">
            <v/>
          </cell>
          <cell r="Q333" t="str">
            <v/>
          </cell>
          <cell r="R333" t="str">
            <v>吉A*ZM856</v>
          </cell>
          <cell r="S333" t="str">
            <v>自备筐</v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</row>
        <row r="333"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</row>
        <row r="334">
          <cell r="B334">
            <v>46273</v>
          </cell>
          <cell r="C334" t="str">
            <v>聂新平</v>
          </cell>
          <cell r="D334" t="str">
            <v>原料出库－原筐出库</v>
          </cell>
          <cell r="E334" t="str">
            <v>NO:0001096</v>
          </cell>
          <cell r="F334" t="str">
            <v>西梅</v>
          </cell>
          <cell r="G334" t="str">
            <v>西梅二级</v>
          </cell>
          <cell r="H334">
            <v>2538</v>
          </cell>
          <cell r="I334" t="str">
            <v>筐</v>
          </cell>
          <cell r="J334">
            <v>5076</v>
          </cell>
          <cell r="K334" t="str">
            <v/>
          </cell>
          <cell r="L334" t="str">
            <v/>
          </cell>
          <cell r="M334" t="str">
            <v/>
          </cell>
          <cell r="N334" t="str">
            <v>自备一次性筐</v>
          </cell>
          <cell r="O334">
            <v>2538</v>
          </cell>
          <cell r="P334" t="str">
            <v/>
          </cell>
          <cell r="Q334" t="str">
            <v/>
          </cell>
          <cell r="R334" t="str">
            <v>吉A*ZM856</v>
          </cell>
          <cell r="S334" t="str">
            <v>自备筐</v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</row>
        <row r="334"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</row>
        <row r="335">
          <cell r="B335">
            <v>46273</v>
          </cell>
          <cell r="C335" t="str">
            <v>聂新平</v>
          </cell>
          <cell r="D335" t="str">
            <v>原料出库－原筐出库</v>
          </cell>
          <cell r="E335" t="str">
            <v>NO:0001096</v>
          </cell>
          <cell r="F335" t="str">
            <v>西梅</v>
          </cell>
          <cell r="G335" t="str">
            <v>西梅三级</v>
          </cell>
          <cell r="H335">
            <v>1238</v>
          </cell>
          <cell r="I335" t="str">
            <v>筐</v>
          </cell>
          <cell r="J335">
            <v>2476</v>
          </cell>
          <cell r="K335" t="str">
            <v/>
          </cell>
          <cell r="L335" t="str">
            <v/>
          </cell>
          <cell r="M335" t="str">
            <v/>
          </cell>
          <cell r="N335" t="str">
            <v>自备一次性筐</v>
          </cell>
          <cell r="O335">
            <v>1238</v>
          </cell>
          <cell r="P335" t="str">
            <v/>
          </cell>
          <cell r="Q335" t="str">
            <v/>
          </cell>
          <cell r="R335" t="str">
            <v>吉A*ZM856</v>
          </cell>
          <cell r="S335" t="str">
            <v>自备筐</v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</row>
        <row r="335"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</row>
        <row r="336">
          <cell r="B336">
            <v>46274</v>
          </cell>
          <cell r="C336" t="str">
            <v>王照雪</v>
          </cell>
          <cell r="D336" t="str">
            <v>原料出库－出库加工</v>
          </cell>
          <cell r="E336" t="str">
            <v>NO:0001101</v>
          </cell>
          <cell r="F336" t="str">
            <v>苹果</v>
          </cell>
          <cell r="G336" t="str">
            <v>华硕高次</v>
          </cell>
          <cell r="H336">
            <v>129</v>
          </cell>
          <cell r="I336" t="str">
            <v>筐</v>
          </cell>
          <cell r="J336" t="str">
            <v/>
          </cell>
          <cell r="K336" t="str">
            <v/>
          </cell>
          <cell r="L336" t="str">
            <v/>
          </cell>
          <cell r="M336" t="str">
            <v>华硕原料全部出库</v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</row>
        <row r="336"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</row>
        <row r="337">
          <cell r="B337">
            <v>46274</v>
          </cell>
          <cell r="C337" t="str">
            <v>麦麦提</v>
          </cell>
          <cell r="D337" t="str">
            <v>原料出库－公司购买</v>
          </cell>
          <cell r="E337" t="str">
            <v>NO:0001103</v>
          </cell>
          <cell r="F337" t="str">
            <v>香梨</v>
          </cell>
          <cell r="G337" t="str">
            <v>香梨特级</v>
          </cell>
          <cell r="H337">
            <v>2</v>
          </cell>
          <cell r="I337" t="str">
            <v>筐</v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</row>
        <row r="337"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</row>
        <row r="338">
          <cell r="B338">
            <v>46275</v>
          </cell>
          <cell r="C338" t="str">
            <v>聂新平</v>
          </cell>
          <cell r="D338" t="str">
            <v>原料出库－原筐出库</v>
          </cell>
          <cell r="E338" t="str">
            <v>NO:0001112</v>
          </cell>
          <cell r="F338" t="str">
            <v>西梅</v>
          </cell>
          <cell r="G338" t="str">
            <v>西梅三级</v>
          </cell>
          <cell r="H338">
            <v>1013</v>
          </cell>
          <cell r="I338" t="str">
            <v>筐</v>
          </cell>
          <cell r="J338">
            <v>2026</v>
          </cell>
          <cell r="K338" t="str">
            <v/>
          </cell>
          <cell r="L338" t="str">
            <v/>
          </cell>
          <cell r="M338" t="str">
            <v>西梅出库完毕</v>
          </cell>
          <cell r="N338" t="str">
            <v>自备一次性筐</v>
          </cell>
          <cell r="O338">
            <v>1013</v>
          </cell>
          <cell r="P338" t="str">
            <v/>
          </cell>
          <cell r="Q338" t="str">
            <v/>
          </cell>
          <cell r="R338" t="str">
            <v>新A*H0050</v>
          </cell>
          <cell r="S338" t="str">
            <v>自备筐</v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</row>
        <row r="338"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</row>
        <row r="339">
          <cell r="B339">
            <v>46277</v>
          </cell>
          <cell r="C339" t="str">
            <v>王照雪</v>
          </cell>
          <cell r="D339" t="str">
            <v>原料出库－出库加工</v>
          </cell>
          <cell r="E339" t="str">
            <v>NO:0001123</v>
          </cell>
          <cell r="F339" t="str">
            <v>香梨</v>
          </cell>
          <cell r="G339" t="str">
            <v>香梨一级</v>
          </cell>
          <cell r="H339">
            <v>2</v>
          </cell>
          <cell r="I339" t="str">
            <v>筐</v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</row>
        <row r="339"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</row>
        <row r="340">
          <cell r="B340">
            <v>46278</v>
          </cell>
          <cell r="C340" t="str">
            <v>王照雪</v>
          </cell>
          <cell r="D340" t="str">
            <v>原料出库－出库加工</v>
          </cell>
          <cell r="E340" t="str">
            <v>NO:0001127</v>
          </cell>
          <cell r="F340" t="str">
            <v>苹果</v>
          </cell>
          <cell r="G340" t="str">
            <v>新世纪一级</v>
          </cell>
          <cell r="H340">
            <v>110</v>
          </cell>
          <cell r="I340" t="str">
            <v>筐</v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</row>
        <row r="340"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</row>
        <row r="341">
          <cell r="B341">
            <v>46279</v>
          </cell>
          <cell r="C341" t="str">
            <v>王照雪</v>
          </cell>
          <cell r="D341" t="str">
            <v>原料出库－出库加工</v>
          </cell>
          <cell r="E341" t="str">
            <v>NO:0001139</v>
          </cell>
          <cell r="F341" t="str">
            <v>苹果</v>
          </cell>
          <cell r="G341" t="str">
            <v>新世纪特级</v>
          </cell>
          <cell r="H341">
            <v>73</v>
          </cell>
          <cell r="I341" t="str">
            <v>筐</v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</row>
        <row r="341"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</row>
        <row r="342">
          <cell r="B342">
            <v>46279</v>
          </cell>
          <cell r="C342" t="str">
            <v>王照雪</v>
          </cell>
          <cell r="D342" t="str">
            <v>原料出库－出库加工</v>
          </cell>
          <cell r="E342" t="str">
            <v>NO:0001139</v>
          </cell>
          <cell r="F342" t="str">
            <v>苹果</v>
          </cell>
          <cell r="G342" t="str">
            <v>新世纪一级</v>
          </cell>
          <cell r="H342">
            <v>86</v>
          </cell>
          <cell r="I342" t="str">
            <v>筐</v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</row>
        <row r="342"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</row>
        <row r="343">
          <cell r="B343">
            <v>46279</v>
          </cell>
          <cell r="C343" t="str">
            <v>王照雪</v>
          </cell>
          <cell r="D343" t="str">
            <v>原料出库－出库加工</v>
          </cell>
          <cell r="E343" t="str">
            <v>NO:0001139</v>
          </cell>
          <cell r="F343" t="str">
            <v>香梨</v>
          </cell>
          <cell r="G343" t="str">
            <v>香梨一级</v>
          </cell>
          <cell r="H343">
            <v>1</v>
          </cell>
          <cell r="I343" t="str">
            <v>筐</v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</row>
        <row r="343"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</row>
        <row r="344">
          <cell r="B344">
            <v>46280</v>
          </cell>
          <cell r="C344" t="str">
            <v>王照雪</v>
          </cell>
          <cell r="D344" t="str">
            <v>原料出库－出库加工</v>
          </cell>
          <cell r="E344" t="str">
            <v>NO:0001144</v>
          </cell>
          <cell r="F344" t="str">
            <v>苹果</v>
          </cell>
          <cell r="G344" t="str">
            <v>新世纪一级</v>
          </cell>
          <cell r="H344">
            <v>96</v>
          </cell>
          <cell r="I344" t="str">
            <v>筐</v>
          </cell>
          <cell r="J344" t="str">
            <v/>
          </cell>
          <cell r="K344" t="str">
            <v/>
          </cell>
          <cell r="L344" t="str">
            <v/>
          </cell>
          <cell r="M344" t="str">
            <v>光果</v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</row>
        <row r="344"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</row>
        <row r="345">
          <cell r="B345">
            <v>46280</v>
          </cell>
          <cell r="C345" t="str">
            <v>王照雪</v>
          </cell>
          <cell r="D345" t="str">
            <v>原料出库－出库加工</v>
          </cell>
          <cell r="E345" t="str">
            <v>NO:0001144</v>
          </cell>
          <cell r="F345" t="str">
            <v>苹果</v>
          </cell>
          <cell r="G345" t="str">
            <v>新世纪二级</v>
          </cell>
          <cell r="H345">
            <v>58</v>
          </cell>
          <cell r="I345" t="str">
            <v>筐</v>
          </cell>
          <cell r="J345" t="str">
            <v/>
          </cell>
          <cell r="K345" t="str">
            <v/>
          </cell>
          <cell r="L345" t="str">
            <v/>
          </cell>
          <cell r="M345" t="str">
            <v>光果</v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</row>
        <row r="345"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</row>
        <row r="346">
          <cell r="B346">
            <v>46281</v>
          </cell>
          <cell r="C346" t="str">
            <v>王照雪</v>
          </cell>
          <cell r="D346" t="str">
            <v>原料出库－出库加工</v>
          </cell>
          <cell r="E346" t="str">
            <v>NO:0001150</v>
          </cell>
          <cell r="F346" t="str">
            <v>苹果</v>
          </cell>
          <cell r="G346" t="str">
            <v>新世纪一级</v>
          </cell>
          <cell r="H346">
            <v>174</v>
          </cell>
          <cell r="I346" t="str">
            <v>筐</v>
          </cell>
          <cell r="J346" t="str">
            <v/>
          </cell>
          <cell r="K346" t="str">
            <v/>
          </cell>
          <cell r="L346" t="str">
            <v/>
          </cell>
          <cell r="M346" t="str">
            <v>套袋</v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</row>
        <row r="346"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</row>
        <row r="347">
          <cell r="B347">
            <v>46281</v>
          </cell>
          <cell r="C347" t="str">
            <v>王照雪</v>
          </cell>
          <cell r="D347" t="str">
            <v>原料出库－出库加工</v>
          </cell>
          <cell r="E347" t="str">
            <v>NO:0001150</v>
          </cell>
          <cell r="F347" t="str">
            <v>香梨</v>
          </cell>
          <cell r="G347" t="str">
            <v>香梨一级</v>
          </cell>
          <cell r="H347">
            <v>1</v>
          </cell>
          <cell r="I347" t="str">
            <v>筐</v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</row>
        <row r="347"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</row>
        <row r="348">
          <cell r="B348">
            <v>46281</v>
          </cell>
          <cell r="C348" t="str">
            <v>麦麦提</v>
          </cell>
          <cell r="D348" t="str">
            <v>原料出库－出库加工</v>
          </cell>
          <cell r="E348" t="str">
            <v>NO:0001151</v>
          </cell>
          <cell r="F348" t="str">
            <v>香梨</v>
          </cell>
          <cell r="G348" t="str">
            <v>香梨一级</v>
          </cell>
          <cell r="H348">
            <v>280</v>
          </cell>
          <cell r="I348" t="str">
            <v>筐</v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</row>
        <row r="348">
          <cell r="AA348" t="str">
            <v/>
          </cell>
          <cell r="AB348" t="str">
            <v/>
          </cell>
          <cell r="AC348" t="str">
            <v/>
          </cell>
          <cell r="AD348" t="str">
            <v/>
          </cell>
          <cell r="AE348" t="str">
            <v/>
          </cell>
          <cell r="AF348" t="str">
            <v/>
          </cell>
        </row>
        <row r="349">
          <cell r="B349">
            <v>46281</v>
          </cell>
          <cell r="C349" t="str">
            <v>王浩</v>
          </cell>
          <cell r="D349" t="str">
            <v>原料出库－公司购买</v>
          </cell>
          <cell r="E349" t="str">
            <v>NO:0001152</v>
          </cell>
          <cell r="F349" t="str">
            <v>香梨</v>
          </cell>
          <cell r="G349" t="str">
            <v>香梨一级</v>
          </cell>
          <cell r="H349">
            <v>2</v>
          </cell>
          <cell r="I349" t="str">
            <v>筐</v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</row>
        <row r="349"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</row>
        <row r="350">
          <cell r="B350">
            <v>46282</v>
          </cell>
          <cell r="C350" t="str">
            <v>麦麦提</v>
          </cell>
          <cell r="D350" t="str">
            <v>原料出库－出库加工</v>
          </cell>
          <cell r="E350" t="str">
            <v>NO:0001158</v>
          </cell>
          <cell r="F350" t="str">
            <v>香梨</v>
          </cell>
          <cell r="G350" t="str">
            <v>香梨一级</v>
          </cell>
          <cell r="H350">
            <v>168</v>
          </cell>
          <cell r="I350" t="str">
            <v>筐</v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</row>
        <row r="350"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</row>
        <row r="351">
          <cell r="B351">
            <v>46282</v>
          </cell>
          <cell r="C351" t="str">
            <v>王照雪</v>
          </cell>
          <cell r="D351" t="str">
            <v>原料出库－出库加工</v>
          </cell>
          <cell r="E351" t="str">
            <v>NO:0001159</v>
          </cell>
          <cell r="F351" t="str">
            <v>苹果</v>
          </cell>
          <cell r="G351" t="str">
            <v>新世纪一级</v>
          </cell>
          <cell r="H351">
            <v>48</v>
          </cell>
          <cell r="I351" t="str">
            <v>筐</v>
          </cell>
          <cell r="J351" t="str">
            <v/>
          </cell>
          <cell r="K351" t="str">
            <v/>
          </cell>
          <cell r="L351" t="str">
            <v/>
          </cell>
          <cell r="M351" t="str">
            <v>套袋</v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</row>
        <row r="351">
          <cell r="AA351" t="str">
            <v/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  <cell r="AF351" t="str">
            <v/>
          </cell>
        </row>
        <row r="352">
          <cell r="B352">
            <v>46282</v>
          </cell>
          <cell r="C352" t="str">
            <v>王照雪</v>
          </cell>
          <cell r="D352" t="str">
            <v>原料出库－出库加工</v>
          </cell>
          <cell r="E352" t="str">
            <v>NO:0001159</v>
          </cell>
          <cell r="F352" t="str">
            <v>苹果</v>
          </cell>
          <cell r="G352" t="str">
            <v>新世纪一级</v>
          </cell>
          <cell r="H352">
            <v>52</v>
          </cell>
          <cell r="I352" t="str">
            <v>筐</v>
          </cell>
          <cell r="J352" t="str">
            <v/>
          </cell>
          <cell r="K352" t="str">
            <v/>
          </cell>
          <cell r="L352" t="str">
            <v/>
          </cell>
          <cell r="M352" t="str">
            <v>光果</v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</row>
        <row r="352">
          <cell r="AA352" t="str">
            <v/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  <cell r="AF352" t="str">
            <v/>
          </cell>
        </row>
        <row r="353">
          <cell r="B353">
            <v>46282</v>
          </cell>
          <cell r="C353" t="str">
            <v>王照雪</v>
          </cell>
          <cell r="D353" t="str">
            <v>原料出库－出库加工</v>
          </cell>
          <cell r="E353" t="str">
            <v>NO:0001159</v>
          </cell>
          <cell r="F353" t="str">
            <v>苹果</v>
          </cell>
          <cell r="G353" t="str">
            <v>新世纪二级</v>
          </cell>
          <cell r="H353">
            <v>104</v>
          </cell>
          <cell r="I353" t="str">
            <v>筐</v>
          </cell>
          <cell r="J353" t="str">
            <v/>
          </cell>
          <cell r="K353" t="str">
            <v/>
          </cell>
          <cell r="L353" t="str">
            <v/>
          </cell>
          <cell r="M353" t="str">
            <v>光果</v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</row>
        <row r="353">
          <cell r="AA353" t="str">
            <v/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  <cell r="AF353" t="str">
            <v/>
          </cell>
        </row>
        <row r="354">
          <cell r="B354">
            <v>46282</v>
          </cell>
          <cell r="C354" t="str">
            <v>王照雪</v>
          </cell>
          <cell r="D354" t="str">
            <v>原料出库－出库加工</v>
          </cell>
          <cell r="E354" t="str">
            <v>NO:0001161</v>
          </cell>
          <cell r="F354" t="str">
            <v>香梨</v>
          </cell>
          <cell r="G354" t="str">
            <v>香梨一级</v>
          </cell>
          <cell r="H354">
            <v>9</v>
          </cell>
          <cell r="I354" t="str">
            <v>筐</v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</row>
        <row r="354"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</row>
        <row r="355">
          <cell r="B355">
            <v>46282</v>
          </cell>
          <cell r="C355" t="str">
            <v>王浩</v>
          </cell>
          <cell r="D355" t="str">
            <v>原料出库－公司购买</v>
          </cell>
          <cell r="E355" t="str">
            <v>NO:0001162</v>
          </cell>
          <cell r="F355" t="str">
            <v>香梨</v>
          </cell>
          <cell r="G355" t="str">
            <v>香梨一级</v>
          </cell>
          <cell r="H355">
            <v>2</v>
          </cell>
          <cell r="I355" t="str">
            <v>筐</v>
          </cell>
          <cell r="J355" t="str">
            <v/>
          </cell>
          <cell r="K355" t="str">
            <v/>
          </cell>
          <cell r="L355" t="str">
            <v/>
          </cell>
          <cell r="M355" t="str">
            <v>送礼-桂疆朱总(2筐)</v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</row>
        <row r="355"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</row>
        <row r="356">
          <cell r="B356">
            <v>46282</v>
          </cell>
          <cell r="C356" t="str">
            <v>王浩</v>
          </cell>
          <cell r="D356" t="str">
            <v>原料出库－公司购买</v>
          </cell>
          <cell r="E356" t="str">
            <v>NO:0001162</v>
          </cell>
          <cell r="F356" t="str">
            <v>香梨</v>
          </cell>
          <cell r="G356" t="str">
            <v>香梨一级</v>
          </cell>
          <cell r="H356">
            <v>3</v>
          </cell>
          <cell r="I356" t="str">
            <v>筐</v>
          </cell>
          <cell r="J356" t="str">
            <v/>
          </cell>
          <cell r="K356" t="str">
            <v/>
          </cell>
          <cell r="L356" t="str">
            <v/>
          </cell>
          <cell r="M356" t="str">
            <v>大汪总拿(特级成品8箱)</v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</row>
        <row r="356"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</row>
        <row r="357">
          <cell r="B357">
            <v>46282</v>
          </cell>
          <cell r="C357" t="str">
            <v>王照雪</v>
          </cell>
          <cell r="D357" t="str">
            <v>原料出库－出库加工</v>
          </cell>
          <cell r="E357" t="str">
            <v>NO:0001165</v>
          </cell>
          <cell r="F357" t="str">
            <v>苹果</v>
          </cell>
          <cell r="G357" t="str">
            <v>新世纪一级</v>
          </cell>
          <cell r="H357">
            <v>125</v>
          </cell>
          <cell r="I357" t="str">
            <v>筐</v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</row>
        <row r="357"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</row>
        <row r="358">
          <cell r="B358">
            <v>46282</v>
          </cell>
          <cell r="C358" t="str">
            <v>王照雪</v>
          </cell>
          <cell r="D358" t="str">
            <v>原料出库－出库加工</v>
          </cell>
          <cell r="E358" t="str">
            <v>NO:0001165</v>
          </cell>
          <cell r="F358" t="str">
            <v>苹果</v>
          </cell>
          <cell r="G358" t="str">
            <v>新世纪二级</v>
          </cell>
          <cell r="H358">
            <v>28</v>
          </cell>
          <cell r="I358" t="str">
            <v>筐</v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</row>
        <row r="358"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</row>
        <row r="359">
          <cell r="B359">
            <v>46282</v>
          </cell>
          <cell r="C359" t="str">
            <v>王照雪</v>
          </cell>
          <cell r="D359" t="str">
            <v>原料出库－出库加工</v>
          </cell>
          <cell r="E359" t="str">
            <v>NO:0001165</v>
          </cell>
          <cell r="F359" t="str">
            <v>苹果</v>
          </cell>
          <cell r="G359" t="str">
            <v>玫瑰红一级</v>
          </cell>
          <cell r="H359">
            <v>24</v>
          </cell>
          <cell r="I359" t="str">
            <v>筐</v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</row>
        <row r="359"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</row>
        <row r="360">
          <cell r="B360">
            <v>46283</v>
          </cell>
          <cell r="C360" t="str">
            <v>麦麦提</v>
          </cell>
          <cell r="D360" t="str">
            <v>原料出库－出库加工</v>
          </cell>
          <cell r="E360" t="str">
            <v>NO:0001172</v>
          </cell>
          <cell r="F360" t="str">
            <v>香梨</v>
          </cell>
          <cell r="G360" t="str">
            <v>香梨一级</v>
          </cell>
          <cell r="H360">
            <v>160</v>
          </cell>
          <cell r="I360" t="str">
            <v>筐</v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</row>
        <row r="360"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</row>
        <row r="361">
          <cell r="B361">
            <v>46283</v>
          </cell>
          <cell r="C361" t="str">
            <v>王灵云</v>
          </cell>
          <cell r="D361" t="str">
            <v>原料出库－出库加工</v>
          </cell>
          <cell r="E361" t="str">
            <v>NO:0001173</v>
          </cell>
          <cell r="F361" t="str">
            <v>香梨</v>
          </cell>
          <cell r="G361" t="str">
            <v>香梨一级</v>
          </cell>
          <cell r="H361">
            <v>384</v>
          </cell>
          <cell r="I361" t="str">
            <v>筐</v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</row>
        <row r="361"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</row>
        <row r="362">
          <cell r="B362">
            <v>46283</v>
          </cell>
          <cell r="C362" t="str">
            <v>王灵云</v>
          </cell>
          <cell r="D362" t="str">
            <v>原料出库－出库加工</v>
          </cell>
          <cell r="E362" t="str">
            <v>NO:0001173</v>
          </cell>
          <cell r="F362" t="str">
            <v>香梨</v>
          </cell>
          <cell r="G362" t="str">
            <v>香梨副特</v>
          </cell>
          <cell r="H362">
            <v>48</v>
          </cell>
          <cell r="I362" t="str">
            <v>筐</v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</row>
        <row r="362"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</row>
        <row r="363">
          <cell r="B363">
            <v>46259</v>
          </cell>
          <cell r="C363" t="str">
            <v>王照雪</v>
          </cell>
          <cell r="D363" t="str">
            <v>成品出库－成品出库</v>
          </cell>
          <cell r="E363" t="str">
            <v>NO:0001035</v>
          </cell>
          <cell r="F363" t="str">
            <v>苹果</v>
          </cell>
          <cell r="G363" t="str">
            <v>华硕一级</v>
          </cell>
          <cell r="H363">
            <v>74</v>
          </cell>
          <cell r="I363" t="str">
            <v>箱</v>
          </cell>
          <cell r="J363">
            <v>370</v>
          </cell>
          <cell r="K363" t="str">
            <v/>
          </cell>
          <cell r="L363" t="str">
            <v/>
          </cell>
          <cell r="M363" t="str">
            <v/>
          </cell>
          <cell r="N363" t="str">
            <v>纸箱</v>
          </cell>
          <cell r="O363" t="str">
            <v/>
          </cell>
          <cell r="P363" t="str">
            <v/>
          </cell>
          <cell r="Q363" t="str">
            <v/>
          </cell>
          <cell r="R363" t="str">
            <v>新N*622UR</v>
          </cell>
          <cell r="S363" t="str">
            <v>公司筐</v>
          </cell>
          <cell r="T363" t="str">
            <v>王照雪</v>
          </cell>
          <cell r="U363" t="str">
            <v/>
          </cell>
          <cell r="V363" t="str">
            <v/>
          </cell>
          <cell r="W363" t="str">
            <v/>
          </cell>
          <cell r="X363" t="str">
            <v>电商/主播</v>
          </cell>
          <cell r="Y363" t="str">
            <v/>
          </cell>
        </row>
        <row r="363">
          <cell r="AA363" t="str">
            <v/>
          </cell>
          <cell r="AB363" t="str">
            <v/>
          </cell>
          <cell r="AC363" t="str">
            <v/>
          </cell>
          <cell r="AD363" t="str">
            <v>成品出库</v>
          </cell>
          <cell r="AE363" t="str">
            <v/>
          </cell>
          <cell r="AF363" t="str">
            <v/>
          </cell>
        </row>
        <row r="364">
          <cell r="B364">
            <v>46259</v>
          </cell>
          <cell r="C364" t="str">
            <v>王照雪</v>
          </cell>
          <cell r="D364" t="str">
            <v>成品出库－成品出库</v>
          </cell>
          <cell r="E364" t="str">
            <v>NO:0001035</v>
          </cell>
          <cell r="F364" t="str">
            <v>苹果</v>
          </cell>
          <cell r="G364" t="str">
            <v>华硕一级</v>
          </cell>
          <cell r="H364">
            <v>13</v>
          </cell>
          <cell r="I364" t="str">
            <v>箱</v>
          </cell>
          <cell r="J364">
            <v>32.5</v>
          </cell>
          <cell r="K364" t="str">
            <v/>
          </cell>
          <cell r="L364" t="str">
            <v/>
          </cell>
          <cell r="M364" t="str">
            <v/>
          </cell>
          <cell r="N364" t="str">
            <v>纸箱</v>
          </cell>
          <cell r="O364" t="str">
            <v/>
          </cell>
          <cell r="P364" t="str">
            <v/>
          </cell>
          <cell r="Q364" t="str">
            <v/>
          </cell>
          <cell r="R364" t="str">
            <v>新N*622UR</v>
          </cell>
          <cell r="S364" t="str">
            <v>公司筐</v>
          </cell>
          <cell r="T364" t="str">
            <v>王照雪</v>
          </cell>
          <cell r="U364" t="str">
            <v/>
          </cell>
          <cell r="V364" t="str">
            <v/>
          </cell>
          <cell r="W364" t="str">
            <v/>
          </cell>
          <cell r="X364" t="str">
            <v>电商/主播</v>
          </cell>
          <cell r="Y364" t="str">
            <v/>
          </cell>
        </row>
        <row r="364">
          <cell r="AA364" t="str">
            <v/>
          </cell>
          <cell r="AB364" t="str">
            <v/>
          </cell>
          <cell r="AC364" t="str">
            <v/>
          </cell>
          <cell r="AD364" t="str">
            <v>成品出库</v>
          </cell>
          <cell r="AE364" t="str">
            <v/>
          </cell>
          <cell r="AF364" t="str">
            <v/>
          </cell>
        </row>
        <row r="365">
          <cell r="B365">
            <v>46261</v>
          </cell>
          <cell r="C365" t="str">
            <v>王照雪</v>
          </cell>
          <cell r="D365" t="str">
            <v>成品出库－成品出库</v>
          </cell>
          <cell r="E365" t="str">
            <v>NO:0001040</v>
          </cell>
          <cell r="F365" t="str">
            <v>苹果</v>
          </cell>
          <cell r="G365" t="str">
            <v>华硕一级</v>
          </cell>
          <cell r="H365">
            <v>63</v>
          </cell>
          <cell r="I365" t="str">
            <v>箱</v>
          </cell>
          <cell r="J365">
            <v>321.3</v>
          </cell>
          <cell r="K365" t="str">
            <v/>
          </cell>
          <cell r="L365" t="str">
            <v/>
          </cell>
          <cell r="M365" t="str">
            <v/>
          </cell>
          <cell r="N365" t="str">
            <v>纸箱</v>
          </cell>
          <cell r="O365" t="str">
            <v/>
          </cell>
          <cell r="P365" t="str">
            <v/>
          </cell>
          <cell r="Q365" t="str">
            <v/>
          </cell>
          <cell r="R365" t="str">
            <v>豫N*P269J</v>
          </cell>
          <cell r="S365" t="str">
            <v>公司筐</v>
          </cell>
          <cell r="T365" t="str">
            <v>王照雪</v>
          </cell>
          <cell r="U365" t="str">
            <v/>
          </cell>
          <cell r="V365" t="str">
            <v/>
          </cell>
          <cell r="W365" t="str">
            <v/>
          </cell>
          <cell r="X365" t="str">
            <v>电商/主播</v>
          </cell>
          <cell r="Y365" t="str">
            <v/>
          </cell>
        </row>
        <row r="365">
          <cell r="AA365" t="str">
            <v/>
          </cell>
          <cell r="AB365" t="str">
            <v/>
          </cell>
          <cell r="AC365" t="str">
            <v/>
          </cell>
          <cell r="AD365" t="str">
            <v>成品出库</v>
          </cell>
          <cell r="AE365" t="str">
            <v/>
          </cell>
          <cell r="AF365" t="str">
            <v/>
          </cell>
        </row>
        <row r="366">
          <cell r="B366">
            <v>46261</v>
          </cell>
          <cell r="C366" t="str">
            <v>王照雪</v>
          </cell>
          <cell r="D366" t="str">
            <v>成品出库－成品出库</v>
          </cell>
          <cell r="E366" t="str">
            <v>NO:0001040</v>
          </cell>
          <cell r="F366" t="str">
            <v>苹果</v>
          </cell>
          <cell r="G366" t="str">
            <v>华硕一级</v>
          </cell>
          <cell r="H366">
            <v>26</v>
          </cell>
          <cell r="I366" t="str">
            <v>箱</v>
          </cell>
          <cell r="J366">
            <v>67.6</v>
          </cell>
          <cell r="K366" t="str">
            <v/>
          </cell>
          <cell r="L366" t="str">
            <v/>
          </cell>
          <cell r="M366" t="str">
            <v/>
          </cell>
          <cell r="N366" t="str">
            <v>纸箱</v>
          </cell>
          <cell r="O366" t="str">
            <v/>
          </cell>
          <cell r="P366" t="str">
            <v/>
          </cell>
          <cell r="Q366" t="str">
            <v/>
          </cell>
          <cell r="R366" t="str">
            <v>豫N*P269J</v>
          </cell>
          <cell r="S366" t="str">
            <v>公司筐</v>
          </cell>
          <cell r="T366" t="str">
            <v>王照雪</v>
          </cell>
          <cell r="U366" t="str">
            <v/>
          </cell>
          <cell r="V366" t="str">
            <v/>
          </cell>
          <cell r="W366" t="str">
            <v/>
          </cell>
          <cell r="X366" t="str">
            <v>电商/主播</v>
          </cell>
          <cell r="Y366" t="str">
            <v/>
          </cell>
        </row>
        <row r="366">
          <cell r="AA366" t="str">
            <v/>
          </cell>
          <cell r="AB366" t="str">
            <v/>
          </cell>
          <cell r="AC366" t="str">
            <v/>
          </cell>
          <cell r="AD366" t="str">
            <v>成品出库</v>
          </cell>
          <cell r="AE366" t="str">
            <v/>
          </cell>
          <cell r="AF366" t="str">
            <v/>
          </cell>
        </row>
        <row r="367">
          <cell r="B367">
            <v>46262</v>
          </cell>
          <cell r="C367" t="str">
            <v>王照雪</v>
          </cell>
          <cell r="D367" t="str">
            <v>成品出库－成品出库</v>
          </cell>
          <cell r="E367" t="str">
            <v>NO:0001043</v>
          </cell>
          <cell r="F367" t="str">
            <v>苹果</v>
          </cell>
          <cell r="G367" t="str">
            <v>华硕一级</v>
          </cell>
          <cell r="H367">
            <v>29</v>
          </cell>
          <cell r="I367" t="str">
            <v>箱</v>
          </cell>
          <cell r="J367">
            <v>147.9</v>
          </cell>
          <cell r="K367" t="str">
            <v/>
          </cell>
          <cell r="L367" t="str">
            <v/>
          </cell>
          <cell r="M367" t="str">
            <v/>
          </cell>
          <cell r="N367" t="str">
            <v>纸箱</v>
          </cell>
          <cell r="O367" t="str">
            <v/>
          </cell>
          <cell r="P367" t="str">
            <v/>
          </cell>
          <cell r="Q367" t="str">
            <v/>
          </cell>
          <cell r="R367" t="str">
            <v>豫N*P269J</v>
          </cell>
          <cell r="S367" t="str">
            <v>公司筐</v>
          </cell>
          <cell r="T367" t="str">
            <v>王照雪</v>
          </cell>
          <cell r="U367" t="str">
            <v/>
          </cell>
          <cell r="V367" t="str">
            <v/>
          </cell>
          <cell r="W367" t="str">
            <v/>
          </cell>
          <cell r="X367" t="str">
            <v>电商/主播</v>
          </cell>
          <cell r="Y367" t="str">
            <v/>
          </cell>
        </row>
        <row r="367">
          <cell r="AA367" t="str">
            <v/>
          </cell>
          <cell r="AB367" t="str">
            <v/>
          </cell>
          <cell r="AC367" t="str">
            <v/>
          </cell>
          <cell r="AD367" t="str">
            <v>成品出库</v>
          </cell>
          <cell r="AE367" t="str">
            <v/>
          </cell>
          <cell r="AF367" t="str">
            <v/>
          </cell>
        </row>
        <row r="368">
          <cell r="B368">
            <v>46262</v>
          </cell>
          <cell r="C368" t="str">
            <v>王照雪</v>
          </cell>
          <cell r="D368" t="str">
            <v>成品出库－成品出库</v>
          </cell>
          <cell r="E368" t="str">
            <v>NO:0001043</v>
          </cell>
          <cell r="F368" t="str">
            <v>苹果</v>
          </cell>
          <cell r="G368" t="str">
            <v>华硕一级</v>
          </cell>
          <cell r="H368">
            <v>12</v>
          </cell>
          <cell r="I368" t="str">
            <v>箱</v>
          </cell>
          <cell r="J368">
            <v>31.2</v>
          </cell>
          <cell r="K368" t="str">
            <v/>
          </cell>
          <cell r="L368" t="str">
            <v/>
          </cell>
          <cell r="M368" t="str">
            <v/>
          </cell>
          <cell r="N368" t="str">
            <v>纸箱</v>
          </cell>
          <cell r="O368" t="str">
            <v/>
          </cell>
          <cell r="P368" t="str">
            <v/>
          </cell>
          <cell r="Q368" t="str">
            <v/>
          </cell>
          <cell r="R368" t="str">
            <v>豫N*P269J</v>
          </cell>
          <cell r="S368" t="str">
            <v>公司筐</v>
          </cell>
          <cell r="T368" t="str">
            <v>王照雪</v>
          </cell>
          <cell r="U368" t="str">
            <v/>
          </cell>
          <cell r="V368" t="str">
            <v/>
          </cell>
          <cell r="W368" t="str">
            <v/>
          </cell>
          <cell r="X368" t="str">
            <v>电商/主播</v>
          </cell>
          <cell r="Y368" t="str">
            <v/>
          </cell>
        </row>
        <row r="368">
          <cell r="AA368" t="str">
            <v/>
          </cell>
          <cell r="AB368" t="str">
            <v/>
          </cell>
          <cell r="AC368" t="str">
            <v/>
          </cell>
          <cell r="AD368" t="str">
            <v>成品出库</v>
          </cell>
          <cell r="AE368" t="str">
            <v/>
          </cell>
          <cell r="AF368" t="str">
            <v/>
          </cell>
        </row>
        <row r="369">
          <cell r="B369">
            <v>46263</v>
          </cell>
          <cell r="C369" t="str">
            <v>王照雪</v>
          </cell>
          <cell r="D369" t="str">
            <v>成品出库－成品出库</v>
          </cell>
          <cell r="E369" t="str">
            <v>NO:0001048</v>
          </cell>
          <cell r="F369" t="str">
            <v>苹果</v>
          </cell>
          <cell r="G369" t="str">
            <v>华硕一级</v>
          </cell>
          <cell r="H369">
            <v>68</v>
          </cell>
          <cell r="I369" t="str">
            <v>箱</v>
          </cell>
          <cell r="J369">
            <v>346.8</v>
          </cell>
          <cell r="K369" t="str">
            <v/>
          </cell>
          <cell r="L369" t="str">
            <v/>
          </cell>
          <cell r="M369" t="str">
            <v/>
          </cell>
          <cell r="N369" t="str">
            <v>纸箱</v>
          </cell>
          <cell r="O369" t="str">
            <v/>
          </cell>
          <cell r="P369" t="str">
            <v/>
          </cell>
          <cell r="Q369" t="str">
            <v/>
          </cell>
          <cell r="R369" t="str">
            <v>豫N*P269J</v>
          </cell>
          <cell r="S369" t="str">
            <v>公司筐</v>
          </cell>
          <cell r="T369" t="str">
            <v>王照雪</v>
          </cell>
          <cell r="U369" t="str">
            <v/>
          </cell>
          <cell r="V369" t="str">
            <v/>
          </cell>
          <cell r="W369" t="str">
            <v/>
          </cell>
          <cell r="X369" t="str">
            <v>电商/主播</v>
          </cell>
          <cell r="Y369" t="str">
            <v/>
          </cell>
        </row>
        <row r="369">
          <cell r="AA369" t="str">
            <v/>
          </cell>
          <cell r="AB369" t="str">
            <v/>
          </cell>
          <cell r="AC369" t="str">
            <v/>
          </cell>
          <cell r="AD369" t="str">
            <v>成品出库</v>
          </cell>
          <cell r="AE369" t="str">
            <v/>
          </cell>
          <cell r="AF369" t="str">
            <v/>
          </cell>
        </row>
        <row r="370">
          <cell r="B370">
            <v>46263</v>
          </cell>
          <cell r="C370" t="str">
            <v>王照雪</v>
          </cell>
          <cell r="D370" t="str">
            <v>成品出库－成品出库</v>
          </cell>
          <cell r="E370" t="str">
            <v>NO:0001048</v>
          </cell>
          <cell r="F370" t="str">
            <v>苹果</v>
          </cell>
          <cell r="G370" t="str">
            <v>华硕一级</v>
          </cell>
          <cell r="H370">
            <v>22</v>
          </cell>
          <cell r="I370" t="str">
            <v>箱</v>
          </cell>
          <cell r="J370">
            <v>57.2</v>
          </cell>
          <cell r="K370" t="str">
            <v/>
          </cell>
          <cell r="L370" t="str">
            <v/>
          </cell>
          <cell r="M370" t="str">
            <v/>
          </cell>
          <cell r="N370" t="str">
            <v>纸箱</v>
          </cell>
          <cell r="O370" t="str">
            <v/>
          </cell>
          <cell r="P370" t="str">
            <v/>
          </cell>
          <cell r="Q370" t="str">
            <v/>
          </cell>
          <cell r="R370" t="str">
            <v>豫N*P269J</v>
          </cell>
          <cell r="S370" t="str">
            <v>公司筐</v>
          </cell>
          <cell r="T370" t="str">
            <v>王照雪</v>
          </cell>
          <cell r="U370" t="str">
            <v/>
          </cell>
          <cell r="V370" t="str">
            <v/>
          </cell>
          <cell r="W370" t="str">
            <v/>
          </cell>
          <cell r="X370" t="str">
            <v>电商/主播</v>
          </cell>
          <cell r="Y370" t="str">
            <v/>
          </cell>
        </row>
        <row r="370">
          <cell r="AA370" t="str">
            <v/>
          </cell>
          <cell r="AB370" t="str">
            <v/>
          </cell>
          <cell r="AC370" t="str">
            <v/>
          </cell>
          <cell r="AD370" t="str">
            <v>成品出库</v>
          </cell>
          <cell r="AE370" t="str">
            <v/>
          </cell>
          <cell r="AF370" t="str">
            <v/>
          </cell>
        </row>
        <row r="371">
          <cell r="B371">
            <v>46264</v>
          </cell>
          <cell r="C371" t="str">
            <v>王照雪</v>
          </cell>
          <cell r="D371" t="str">
            <v>成品出库－成品出库</v>
          </cell>
          <cell r="E371" t="str">
            <v>NO:0001052</v>
          </cell>
          <cell r="F371" t="str">
            <v>苹果</v>
          </cell>
          <cell r="G371" t="str">
            <v>华硕一级</v>
          </cell>
          <cell r="H371">
            <v>484</v>
          </cell>
          <cell r="I371" t="str">
            <v>箱</v>
          </cell>
          <cell r="J371">
            <v>2468.4</v>
          </cell>
          <cell r="K371" t="str">
            <v/>
          </cell>
          <cell r="L371" t="str">
            <v/>
          </cell>
          <cell r="M371" t="str">
            <v/>
          </cell>
          <cell r="N371" t="str">
            <v>纸箱</v>
          </cell>
          <cell r="O371" t="str">
            <v/>
          </cell>
          <cell r="P371" t="str">
            <v/>
          </cell>
          <cell r="Q371" t="str">
            <v/>
          </cell>
          <cell r="R371" t="str">
            <v>豫N*P269J</v>
          </cell>
          <cell r="S371" t="str">
            <v>公司筐</v>
          </cell>
          <cell r="T371" t="str">
            <v>王照雪</v>
          </cell>
          <cell r="U371" t="str">
            <v/>
          </cell>
          <cell r="V371" t="str">
            <v/>
          </cell>
          <cell r="W371" t="str">
            <v/>
          </cell>
          <cell r="X371" t="str">
            <v>电商/主播</v>
          </cell>
          <cell r="Y371" t="str">
            <v/>
          </cell>
        </row>
        <row r="371">
          <cell r="AA371" t="str">
            <v/>
          </cell>
          <cell r="AB371" t="str">
            <v/>
          </cell>
          <cell r="AC371" t="str">
            <v/>
          </cell>
          <cell r="AD371" t="str">
            <v>成品出库</v>
          </cell>
          <cell r="AE371" t="str">
            <v/>
          </cell>
          <cell r="AF371" t="str">
            <v/>
          </cell>
        </row>
        <row r="372">
          <cell r="B372">
            <v>46264</v>
          </cell>
          <cell r="C372" t="str">
            <v>王照雪</v>
          </cell>
          <cell r="D372" t="str">
            <v>成品出库－成品出库</v>
          </cell>
          <cell r="E372" t="str">
            <v>NO:0001053</v>
          </cell>
          <cell r="F372" t="str">
            <v>苹果</v>
          </cell>
          <cell r="G372" t="str">
            <v>华硕一级</v>
          </cell>
          <cell r="H372">
            <v>320</v>
          </cell>
          <cell r="I372" t="str">
            <v>箱</v>
          </cell>
          <cell r="J372">
            <v>1632</v>
          </cell>
          <cell r="K372" t="str">
            <v/>
          </cell>
          <cell r="L372" t="str">
            <v/>
          </cell>
          <cell r="M372" t="str">
            <v/>
          </cell>
          <cell r="N372" t="str">
            <v>纸箱</v>
          </cell>
          <cell r="O372" t="str">
            <v/>
          </cell>
          <cell r="P372" t="str">
            <v/>
          </cell>
          <cell r="Q372" t="str">
            <v/>
          </cell>
          <cell r="R372" t="str">
            <v>豫N*P269J</v>
          </cell>
          <cell r="S372" t="str">
            <v>公司筐</v>
          </cell>
          <cell r="T372" t="str">
            <v>王照雪</v>
          </cell>
          <cell r="U372" t="str">
            <v/>
          </cell>
          <cell r="V372" t="str">
            <v/>
          </cell>
          <cell r="W372" t="str">
            <v/>
          </cell>
          <cell r="X372" t="str">
            <v>电商/主播</v>
          </cell>
          <cell r="Y372" t="str">
            <v/>
          </cell>
        </row>
        <row r="372">
          <cell r="AA372" t="str">
            <v/>
          </cell>
          <cell r="AB372" t="str">
            <v/>
          </cell>
          <cell r="AC372" t="str">
            <v/>
          </cell>
          <cell r="AD372" t="str">
            <v>成品出库</v>
          </cell>
          <cell r="AE372" t="str">
            <v/>
          </cell>
          <cell r="AF372" t="str">
            <v/>
          </cell>
        </row>
        <row r="373">
          <cell r="B373">
            <v>46265</v>
          </cell>
          <cell r="C373" t="str">
            <v>王照雪</v>
          </cell>
          <cell r="D373" t="str">
            <v>成品出库－成品出库</v>
          </cell>
          <cell r="E373" t="str">
            <v>NO:0001058</v>
          </cell>
          <cell r="F373" t="str">
            <v>苹果</v>
          </cell>
          <cell r="G373" t="str">
            <v>华硕一级</v>
          </cell>
          <cell r="H373">
            <v>307</v>
          </cell>
          <cell r="I373" t="str">
            <v>箱</v>
          </cell>
          <cell r="J373">
            <v>1565.7</v>
          </cell>
          <cell r="K373" t="str">
            <v/>
          </cell>
          <cell r="L373" t="str">
            <v/>
          </cell>
          <cell r="M373" t="str">
            <v/>
          </cell>
          <cell r="N373" t="str">
            <v>纸箱</v>
          </cell>
          <cell r="O373" t="str">
            <v/>
          </cell>
          <cell r="P373" t="str">
            <v/>
          </cell>
          <cell r="Q373" t="str">
            <v/>
          </cell>
          <cell r="R373" t="str">
            <v>豫N*P269J</v>
          </cell>
          <cell r="S373" t="str">
            <v>公司筐</v>
          </cell>
          <cell r="T373" t="str">
            <v>王照雪</v>
          </cell>
          <cell r="U373" t="str">
            <v/>
          </cell>
          <cell r="V373" t="str">
            <v/>
          </cell>
          <cell r="W373" t="str">
            <v/>
          </cell>
          <cell r="X373" t="str">
            <v>电商/主播</v>
          </cell>
          <cell r="Y373" t="str">
            <v/>
          </cell>
        </row>
        <row r="373">
          <cell r="AA373" t="str">
            <v/>
          </cell>
          <cell r="AB373" t="str">
            <v/>
          </cell>
          <cell r="AC373" t="str">
            <v/>
          </cell>
          <cell r="AD373" t="str">
            <v>成品出库</v>
          </cell>
          <cell r="AE373" t="str">
            <v/>
          </cell>
          <cell r="AF373" t="str">
            <v/>
          </cell>
        </row>
        <row r="374">
          <cell r="B374">
            <v>46265</v>
          </cell>
          <cell r="C374" t="str">
            <v>王照雪</v>
          </cell>
          <cell r="D374" t="str">
            <v>成品出库－成品出库</v>
          </cell>
          <cell r="E374" t="str">
            <v>NO:0001058</v>
          </cell>
          <cell r="F374" t="str">
            <v>苹果</v>
          </cell>
          <cell r="G374" t="str">
            <v>华硕一级</v>
          </cell>
          <cell r="H374">
            <v>1</v>
          </cell>
          <cell r="I374" t="str">
            <v>箱</v>
          </cell>
          <cell r="J374">
            <v>2.6</v>
          </cell>
          <cell r="K374" t="str">
            <v/>
          </cell>
          <cell r="L374" t="str">
            <v/>
          </cell>
          <cell r="M374" t="str">
            <v/>
          </cell>
          <cell r="N374" t="str">
            <v>纸箱</v>
          </cell>
          <cell r="O374" t="str">
            <v/>
          </cell>
          <cell r="P374" t="str">
            <v/>
          </cell>
          <cell r="Q374" t="str">
            <v/>
          </cell>
          <cell r="R374" t="str">
            <v>豫N*P269J</v>
          </cell>
          <cell r="S374" t="str">
            <v>公司筐</v>
          </cell>
          <cell r="T374" t="str">
            <v>王照雪</v>
          </cell>
          <cell r="U374" t="str">
            <v/>
          </cell>
          <cell r="V374" t="str">
            <v/>
          </cell>
          <cell r="W374" t="str">
            <v/>
          </cell>
          <cell r="X374" t="str">
            <v>电商/主播</v>
          </cell>
          <cell r="Y374" t="str">
            <v/>
          </cell>
        </row>
        <row r="374">
          <cell r="AA374" t="str">
            <v/>
          </cell>
          <cell r="AB374" t="str">
            <v/>
          </cell>
          <cell r="AC374" t="str">
            <v/>
          </cell>
          <cell r="AD374" t="str">
            <v>成品出库</v>
          </cell>
          <cell r="AE374" t="str">
            <v/>
          </cell>
          <cell r="AF374" t="str">
            <v/>
          </cell>
        </row>
        <row r="375">
          <cell r="B375">
            <v>46266</v>
          </cell>
          <cell r="C375" t="str">
            <v>王照雪</v>
          </cell>
          <cell r="D375" t="str">
            <v>成品出库－成品出库</v>
          </cell>
          <cell r="E375" t="str">
            <v>NO:0001062</v>
          </cell>
          <cell r="F375" t="str">
            <v>苹果</v>
          </cell>
          <cell r="G375" t="str">
            <v>华硕一级</v>
          </cell>
          <cell r="H375">
            <v>346</v>
          </cell>
          <cell r="I375" t="str">
            <v>箱</v>
          </cell>
          <cell r="J375">
            <v>1764.6</v>
          </cell>
          <cell r="K375" t="str">
            <v/>
          </cell>
          <cell r="L375" t="str">
            <v/>
          </cell>
          <cell r="M375" t="str">
            <v/>
          </cell>
          <cell r="N375" t="str">
            <v>纸箱</v>
          </cell>
          <cell r="O375" t="str">
            <v/>
          </cell>
          <cell r="P375" t="str">
            <v/>
          </cell>
          <cell r="Q375" t="str">
            <v/>
          </cell>
          <cell r="R375" t="str">
            <v>豫N*P269J</v>
          </cell>
          <cell r="S375" t="str">
            <v>公司筐</v>
          </cell>
          <cell r="T375" t="str">
            <v>王照雪</v>
          </cell>
          <cell r="U375" t="str">
            <v/>
          </cell>
          <cell r="V375" t="str">
            <v/>
          </cell>
          <cell r="W375" t="str">
            <v/>
          </cell>
          <cell r="X375" t="str">
            <v>电商/主播</v>
          </cell>
          <cell r="Y375" t="str">
            <v/>
          </cell>
        </row>
        <row r="375">
          <cell r="AA375" t="str">
            <v/>
          </cell>
          <cell r="AB375" t="str">
            <v/>
          </cell>
          <cell r="AC375" t="str">
            <v/>
          </cell>
          <cell r="AD375" t="str">
            <v>成品出库</v>
          </cell>
          <cell r="AE375" t="str">
            <v/>
          </cell>
          <cell r="AF375" t="str">
            <v/>
          </cell>
        </row>
        <row r="376">
          <cell r="B376">
            <v>46267</v>
          </cell>
          <cell r="C376" t="str">
            <v>王照雪</v>
          </cell>
          <cell r="D376" t="str">
            <v>成品出库－成品出库</v>
          </cell>
          <cell r="E376" t="str">
            <v>NO:0001063</v>
          </cell>
          <cell r="F376" t="str">
            <v>苹果</v>
          </cell>
          <cell r="G376" t="str">
            <v>苹果扎伤</v>
          </cell>
          <cell r="H376">
            <v>1</v>
          </cell>
          <cell r="I376" t="str">
            <v>筐</v>
          </cell>
          <cell r="J376">
            <v>17.3</v>
          </cell>
          <cell r="K376" t="str">
            <v/>
          </cell>
          <cell r="L376" t="str">
            <v/>
          </cell>
          <cell r="M376" t="str">
            <v/>
          </cell>
          <cell r="N376" t="str">
            <v>公司杂周转筐</v>
          </cell>
          <cell r="O376">
            <v>1</v>
          </cell>
          <cell r="P376" t="str">
            <v/>
          </cell>
          <cell r="Q376" t="str">
            <v/>
          </cell>
          <cell r="R376" t="str">
            <v>自提</v>
          </cell>
          <cell r="S376" t="str">
            <v>公司筐</v>
          </cell>
          <cell r="T376" t="str">
            <v>王照雪</v>
          </cell>
          <cell r="U376" t="str">
            <v/>
          </cell>
          <cell r="V376" t="str">
            <v/>
          </cell>
          <cell r="W376" t="str">
            <v/>
          </cell>
          <cell r="X376" t="str">
            <v>王照雪</v>
          </cell>
          <cell r="Y376" t="str">
            <v/>
          </cell>
        </row>
        <row r="376">
          <cell r="AA376" t="str">
            <v/>
          </cell>
          <cell r="AB376" t="str">
            <v/>
          </cell>
          <cell r="AC376" t="str">
            <v/>
          </cell>
          <cell r="AD376" t="str">
            <v>成品出库</v>
          </cell>
          <cell r="AE376" t="str">
            <v/>
          </cell>
          <cell r="AF376" t="str">
            <v/>
          </cell>
        </row>
        <row r="377">
          <cell r="B377">
            <v>46267</v>
          </cell>
          <cell r="C377" t="str">
            <v>王照雪</v>
          </cell>
          <cell r="D377" t="str">
            <v>成品出库－成品出库</v>
          </cell>
          <cell r="E377" t="str">
            <v>NO:0001065</v>
          </cell>
          <cell r="F377" t="str">
            <v>苹果</v>
          </cell>
          <cell r="G377" t="str">
            <v>华硕一级</v>
          </cell>
          <cell r="H377">
            <v>242</v>
          </cell>
          <cell r="I377" t="str">
            <v>箱</v>
          </cell>
          <cell r="J377">
            <v>1234.2</v>
          </cell>
          <cell r="K377" t="str">
            <v/>
          </cell>
          <cell r="L377" t="str">
            <v/>
          </cell>
          <cell r="M377" t="str">
            <v/>
          </cell>
          <cell r="N377" t="str">
            <v>纸箱</v>
          </cell>
          <cell r="O377" t="str">
            <v/>
          </cell>
          <cell r="P377" t="str">
            <v/>
          </cell>
          <cell r="Q377" t="str">
            <v/>
          </cell>
          <cell r="R377" t="str">
            <v>豫N*P269J</v>
          </cell>
          <cell r="S377" t="str">
            <v>公司筐</v>
          </cell>
          <cell r="T377" t="str">
            <v>王照雪</v>
          </cell>
          <cell r="U377" t="str">
            <v/>
          </cell>
          <cell r="V377" t="str">
            <v/>
          </cell>
          <cell r="W377" t="str">
            <v/>
          </cell>
          <cell r="X377" t="str">
            <v>电商/主播</v>
          </cell>
          <cell r="Y377" t="str">
            <v/>
          </cell>
        </row>
        <row r="377">
          <cell r="AA377" t="str">
            <v/>
          </cell>
          <cell r="AB377" t="str">
            <v/>
          </cell>
          <cell r="AC377" t="str">
            <v/>
          </cell>
          <cell r="AD377" t="str">
            <v>成品出库</v>
          </cell>
          <cell r="AE377" t="str">
            <v/>
          </cell>
          <cell r="AF377" t="str">
            <v/>
          </cell>
        </row>
        <row r="378">
          <cell r="B378">
            <v>46267</v>
          </cell>
          <cell r="C378" t="str">
            <v>王照雪</v>
          </cell>
          <cell r="D378" t="str">
            <v>成品出库－成品出库</v>
          </cell>
          <cell r="E378" t="str">
            <v>NO:0001065</v>
          </cell>
          <cell r="F378" t="str">
            <v>苹果</v>
          </cell>
          <cell r="G378" t="str">
            <v>华硕一级</v>
          </cell>
          <cell r="H378">
            <v>28</v>
          </cell>
          <cell r="I378" t="str">
            <v>箱</v>
          </cell>
          <cell r="J378">
            <v>72.8</v>
          </cell>
          <cell r="K378" t="str">
            <v/>
          </cell>
          <cell r="L378" t="str">
            <v/>
          </cell>
          <cell r="M378" t="str">
            <v/>
          </cell>
          <cell r="N378" t="str">
            <v>纸箱</v>
          </cell>
          <cell r="O378" t="str">
            <v/>
          </cell>
          <cell r="P378" t="str">
            <v/>
          </cell>
          <cell r="Q378" t="str">
            <v/>
          </cell>
          <cell r="R378" t="str">
            <v>豫N*P269J</v>
          </cell>
          <cell r="S378" t="str">
            <v>公司筐</v>
          </cell>
          <cell r="T378" t="str">
            <v>王照雪</v>
          </cell>
          <cell r="U378" t="str">
            <v/>
          </cell>
          <cell r="V378" t="str">
            <v/>
          </cell>
          <cell r="W378" t="str">
            <v/>
          </cell>
          <cell r="X378" t="str">
            <v>电商/主播</v>
          </cell>
          <cell r="Y378" t="str">
            <v/>
          </cell>
        </row>
        <row r="378">
          <cell r="AA378" t="str">
            <v/>
          </cell>
          <cell r="AB378" t="str">
            <v/>
          </cell>
          <cell r="AC378" t="str">
            <v/>
          </cell>
          <cell r="AD378" t="str">
            <v>成品出库</v>
          </cell>
          <cell r="AE378" t="str">
            <v/>
          </cell>
          <cell r="AF378" t="str">
            <v/>
          </cell>
        </row>
        <row r="379">
          <cell r="B379">
            <v>46269</v>
          </cell>
          <cell r="C379" t="str">
            <v>聂新平</v>
          </cell>
          <cell r="D379" t="str">
            <v>成品出库－成品出库</v>
          </cell>
          <cell r="E379" t="str">
            <v>NO:0001081</v>
          </cell>
          <cell r="F379" t="str">
            <v>苹果</v>
          </cell>
          <cell r="G379" t="str">
            <v>苹果扎伤</v>
          </cell>
          <cell r="H379">
            <v>113</v>
          </cell>
          <cell r="I379" t="str">
            <v>筐</v>
          </cell>
          <cell r="J379">
            <v>2440.8</v>
          </cell>
          <cell r="K379" t="str">
            <v/>
          </cell>
          <cell r="L379" t="str">
            <v/>
          </cell>
          <cell r="M379" t="str">
            <v/>
          </cell>
          <cell r="N379" t="str">
            <v>公司一次性筐</v>
          </cell>
          <cell r="O379">
            <v>113</v>
          </cell>
          <cell r="P379" t="str">
            <v/>
          </cell>
          <cell r="Q379" t="str">
            <v/>
          </cell>
          <cell r="R379" t="str">
            <v>新Q*61781</v>
          </cell>
          <cell r="S379" t="str">
            <v>公司筐</v>
          </cell>
          <cell r="T379" t="str">
            <v>聂新平</v>
          </cell>
          <cell r="U379" t="str">
            <v/>
          </cell>
          <cell r="V379" t="str">
            <v/>
          </cell>
          <cell r="W379" t="str">
            <v/>
          </cell>
          <cell r="X379" t="str">
            <v>伍元虎</v>
          </cell>
          <cell r="Y379" t="str">
            <v/>
          </cell>
        </row>
        <row r="379">
          <cell r="AA379" t="str">
            <v/>
          </cell>
          <cell r="AB379" t="str">
            <v/>
          </cell>
          <cell r="AC379" t="str">
            <v/>
          </cell>
          <cell r="AD379" t="str">
            <v>成品出库</v>
          </cell>
          <cell r="AE379" t="str">
            <v/>
          </cell>
          <cell r="AF379" t="str">
            <v/>
          </cell>
        </row>
        <row r="380">
          <cell r="B380">
            <v>46269</v>
          </cell>
          <cell r="C380" t="str">
            <v>王照雪</v>
          </cell>
          <cell r="D380" t="str">
            <v>成品出库－成品出库</v>
          </cell>
          <cell r="E380" t="str">
            <v>NO:0001082</v>
          </cell>
          <cell r="F380" t="str">
            <v>苹果</v>
          </cell>
          <cell r="G380" t="str">
            <v>苹果扎伤</v>
          </cell>
          <cell r="H380">
            <v>81</v>
          </cell>
          <cell r="I380" t="str">
            <v>箱</v>
          </cell>
          <cell r="J380">
            <v>599.4</v>
          </cell>
          <cell r="K380" t="str">
            <v/>
          </cell>
          <cell r="L380" t="str">
            <v/>
          </cell>
          <cell r="M380" t="str">
            <v/>
          </cell>
          <cell r="N380" t="str">
            <v>纸箱</v>
          </cell>
          <cell r="O380" t="str">
            <v/>
          </cell>
          <cell r="P380" t="str">
            <v/>
          </cell>
          <cell r="Q380" t="str">
            <v/>
          </cell>
          <cell r="R380" t="str">
            <v>新Q*61781</v>
          </cell>
          <cell r="S380" t="str">
            <v>公司筐</v>
          </cell>
          <cell r="T380" t="str">
            <v>王照雪</v>
          </cell>
          <cell r="U380" t="str">
            <v/>
          </cell>
          <cell r="V380" t="str">
            <v/>
          </cell>
          <cell r="W380" t="str">
            <v/>
          </cell>
          <cell r="X380" t="str">
            <v>王照雪</v>
          </cell>
          <cell r="Y380" t="str">
            <v/>
          </cell>
        </row>
        <row r="380">
          <cell r="AA380" t="str">
            <v/>
          </cell>
          <cell r="AB380" t="str">
            <v/>
          </cell>
          <cell r="AC380" t="str">
            <v/>
          </cell>
          <cell r="AD380" t="str">
            <v>成品出库</v>
          </cell>
          <cell r="AE380" t="str">
            <v/>
          </cell>
          <cell r="AF380" t="str">
            <v/>
          </cell>
        </row>
        <row r="381">
          <cell r="B381">
            <v>46269</v>
          </cell>
          <cell r="C381" t="str">
            <v>王照雪</v>
          </cell>
          <cell r="D381" t="str">
            <v>成品出库－成品出库</v>
          </cell>
          <cell r="E381" t="str">
            <v>NO:0001083</v>
          </cell>
          <cell r="F381" t="str">
            <v>苹果</v>
          </cell>
          <cell r="G381" t="str">
            <v>华硕一级</v>
          </cell>
          <cell r="H381">
            <v>9</v>
          </cell>
          <cell r="I381" t="str">
            <v>箱</v>
          </cell>
          <cell r="J381">
            <v>45.9</v>
          </cell>
          <cell r="K381" t="str">
            <v/>
          </cell>
          <cell r="L381" t="str">
            <v/>
          </cell>
          <cell r="M381" t="str">
            <v/>
          </cell>
          <cell r="N381" t="str">
            <v>纸箱</v>
          </cell>
          <cell r="O381" t="str">
            <v/>
          </cell>
          <cell r="P381" t="str">
            <v/>
          </cell>
          <cell r="Q381" t="str">
            <v/>
          </cell>
          <cell r="R381" t="str">
            <v>豫N*P269J</v>
          </cell>
          <cell r="S381" t="str">
            <v>公司筐</v>
          </cell>
          <cell r="T381" t="str">
            <v>王照雪</v>
          </cell>
          <cell r="U381" t="str">
            <v/>
          </cell>
          <cell r="V381" t="str">
            <v/>
          </cell>
          <cell r="W381" t="str">
            <v/>
          </cell>
          <cell r="X381" t="str">
            <v>电商/主播</v>
          </cell>
          <cell r="Y381" t="str">
            <v/>
          </cell>
        </row>
        <row r="381">
          <cell r="AA381" t="str">
            <v/>
          </cell>
          <cell r="AB381" t="str">
            <v/>
          </cell>
          <cell r="AC381" t="str">
            <v/>
          </cell>
          <cell r="AD381" t="str">
            <v>成品出库</v>
          </cell>
          <cell r="AE381" t="str">
            <v/>
          </cell>
          <cell r="AF381" t="str">
            <v/>
          </cell>
        </row>
        <row r="382">
          <cell r="B382">
            <v>46269</v>
          </cell>
          <cell r="C382" t="str">
            <v>王照雪</v>
          </cell>
          <cell r="D382" t="str">
            <v>成品出库－成品出库</v>
          </cell>
          <cell r="E382" t="str">
            <v>NO:0001083</v>
          </cell>
          <cell r="F382" t="str">
            <v>苹果</v>
          </cell>
          <cell r="G382" t="str">
            <v>华硕一级</v>
          </cell>
          <cell r="H382">
            <v>4</v>
          </cell>
          <cell r="I382" t="str">
            <v>箱</v>
          </cell>
          <cell r="J382">
            <v>10.4</v>
          </cell>
          <cell r="K382" t="str">
            <v/>
          </cell>
          <cell r="L382" t="str">
            <v/>
          </cell>
          <cell r="M382" t="str">
            <v/>
          </cell>
          <cell r="N382" t="str">
            <v>纸箱</v>
          </cell>
          <cell r="O382" t="str">
            <v/>
          </cell>
          <cell r="P382" t="str">
            <v/>
          </cell>
          <cell r="Q382" t="str">
            <v/>
          </cell>
          <cell r="R382" t="str">
            <v>豫N*P269J</v>
          </cell>
          <cell r="S382" t="str">
            <v>公司筐</v>
          </cell>
          <cell r="T382" t="str">
            <v>王照雪</v>
          </cell>
          <cell r="U382" t="str">
            <v/>
          </cell>
          <cell r="V382" t="str">
            <v/>
          </cell>
          <cell r="W382" t="str">
            <v/>
          </cell>
          <cell r="X382" t="str">
            <v>电商/主播</v>
          </cell>
          <cell r="Y382" t="str">
            <v/>
          </cell>
        </row>
        <row r="382">
          <cell r="AA382" t="str">
            <v/>
          </cell>
          <cell r="AB382" t="str">
            <v/>
          </cell>
          <cell r="AC382" t="str">
            <v/>
          </cell>
          <cell r="AD382" t="str">
            <v>成品出库</v>
          </cell>
          <cell r="AE382" t="str">
            <v/>
          </cell>
          <cell r="AF382" t="str">
            <v/>
          </cell>
        </row>
        <row r="383">
          <cell r="B383">
            <v>46269</v>
          </cell>
          <cell r="C383" t="str">
            <v>王照雪</v>
          </cell>
          <cell r="D383" t="str">
            <v>成品出库－成品出库</v>
          </cell>
          <cell r="E383" t="str">
            <v>NO:0001083</v>
          </cell>
          <cell r="F383" t="str">
            <v>苹果</v>
          </cell>
          <cell r="G383" t="str">
            <v>苹果扎伤</v>
          </cell>
          <cell r="H383">
            <v>3</v>
          </cell>
          <cell r="I383" t="str">
            <v>筐</v>
          </cell>
          <cell r="J383">
            <v>51.9</v>
          </cell>
          <cell r="K383" t="str">
            <v/>
          </cell>
          <cell r="L383" t="str">
            <v/>
          </cell>
          <cell r="M383" t="str">
            <v/>
          </cell>
          <cell r="N383" t="str">
            <v>公司杂周转筐</v>
          </cell>
          <cell r="O383">
            <v>3</v>
          </cell>
          <cell r="P383" t="str">
            <v/>
          </cell>
          <cell r="Q383" t="str">
            <v/>
          </cell>
          <cell r="R383" t="str">
            <v>豫N*P269J</v>
          </cell>
          <cell r="S383" t="str">
            <v>公司筐</v>
          </cell>
          <cell r="T383" t="str">
            <v>王照雪</v>
          </cell>
          <cell r="U383" t="str">
            <v/>
          </cell>
          <cell r="V383" t="str">
            <v/>
          </cell>
          <cell r="W383" t="str">
            <v/>
          </cell>
          <cell r="X383" t="str">
            <v>王照雪</v>
          </cell>
          <cell r="Y383" t="str">
            <v/>
          </cell>
        </row>
        <row r="383">
          <cell r="AA383" t="str">
            <v/>
          </cell>
          <cell r="AB383" t="str">
            <v/>
          </cell>
          <cell r="AC383" t="str">
            <v/>
          </cell>
          <cell r="AD383" t="str">
            <v>成品出库</v>
          </cell>
          <cell r="AE383" t="str">
            <v/>
          </cell>
          <cell r="AF383" t="str">
            <v/>
          </cell>
        </row>
        <row r="384">
          <cell r="B384">
            <v>46269</v>
          </cell>
          <cell r="C384" t="str">
            <v>王照雪</v>
          </cell>
          <cell r="D384" t="str">
            <v>成品出库－成品出库</v>
          </cell>
          <cell r="E384" t="str">
            <v>NO:0001085</v>
          </cell>
          <cell r="F384" t="str">
            <v>苹果</v>
          </cell>
          <cell r="G384" t="str">
            <v>华硕一级</v>
          </cell>
          <cell r="H384">
            <v>93</v>
          </cell>
          <cell r="I384" t="str">
            <v>箱</v>
          </cell>
          <cell r="J384">
            <v>474.3</v>
          </cell>
          <cell r="K384" t="str">
            <v/>
          </cell>
          <cell r="L384" t="str">
            <v/>
          </cell>
          <cell r="M384" t="str">
            <v/>
          </cell>
          <cell r="N384" t="str">
            <v>纸箱</v>
          </cell>
          <cell r="O384" t="str">
            <v/>
          </cell>
          <cell r="P384" t="str">
            <v/>
          </cell>
          <cell r="Q384" t="str">
            <v/>
          </cell>
          <cell r="R384" t="str">
            <v>豫N*P269J</v>
          </cell>
          <cell r="S384" t="str">
            <v>公司筐</v>
          </cell>
          <cell r="T384" t="str">
            <v>王照雪</v>
          </cell>
          <cell r="U384" t="str">
            <v/>
          </cell>
          <cell r="V384" t="str">
            <v/>
          </cell>
          <cell r="W384" t="str">
            <v/>
          </cell>
          <cell r="X384" t="str">
            <v>电商/主播</v>
          </cell>
          <cell r="Y384" t="str">
            <v/>
          </cell>
        </row>
        <row r="384">
          <cell r="AA384" t="str">
            <v/>
          </cell>
          <cell r="AB384" t="str">
            <v/>
          </cell>
          <cell r="AC384" t="str">
            <v/>
          </cell>
          <cell r="AD384" t="str">
            <v>成品出库</v>
          </cell>
          <cell r="AE384" t="str">
            <v/>
          </cell>
          <cell r="AF384" t="str">
            <v/>
          </cell>
        </row>
        <row r="385">
          <cell r="B385">
            <v>46270</v>
          </cell>
          <cell r="C385" t="str">
            <v>王照雪</v>
          </cell>
          <cell r="D385" t="str">
            <v>成品出库－成品出库</v>
          </cell>
          <cell r="E385" t="str">
            <v>NO:0001085</v>
          </cell>
          <cell r="F385" t="str">
            <v>苹果</v>
          </cell>
          <cell r="G385" t="str">
            <v>华硕一级</v>
          </cell>
          <cell r="H385">
            <v>3</v>
          </cell>
          <cell r="I385" t="str">
            <v>箱</v>
          </cell>
          <cell r="J385">
            <v>7.8</v>
          </cell>
          <cell r="K385" t="str">
            <v/>
          </cell>
          <cell r="L385" t="str">
            <v/>
          </cell>
          <cell r="M385" t="str">
            <v/>
          </cell>
          <cell r="N385" t="str">
            <v>纸箱</v>
          </cell>
          <cell r="O385" t="str">
            <v/>
          </cell>
          <cell r="P385" t="str">
            <v/>
          </cell>
          <cell r="Q385" t="str">
            <v/>
          </cell>
          <cell r="R385" t="str">
            <v>豫N*P269J</v>
          </cell>
          <cell r="S385" t="str">
            <v>公司筐</v>
          </cell>
          <cell r="T385" t="str">
            <v>王照雪</v>
          </cell>
          <cell r="U385" t="str">
            <v/>
          </cell>
          <cell r="V385" t="str">
            <v/>
          </cell>
          <cell r="W385" t="str">
            <v/>
          </cell>
          <cell r="X385" t="str">
            <v>电商/主播</v>
          </cell>
          <cell r="Y385" t="str">
            <v/>
          </cell>
        </row>
        <row r="385">
          <cell r="AA385" t="str">
            <v/>
          </cell>
          <cell r="AB385" t="str">
            <v/>
          </cell>
          <cell r="AC385" t="str">
            <v/>
          </cell>
          <cell r="AD385" t="str">
            <v>成品出库</v>
          </cell>
          <cell r="AE385" t="str">
            <v/>
          </cell>
          <cell r="AF385" t="str">
            <v/>
          </cell>
        </row>
        <row r="386">
          <cell r="B386">
            <v>46271</v>
          </cell>
          <cell r="C386" t="str">
            <v>王照雪</v>
          </cell>
          <cell r="D386" t="str">
            <v>成品出库－成品出库</v>
          </cell>
          <cell r="E386" t="str">
            <v>NO:0001088</v>
          </cell>
          <cell r="F386" t="str">
            <v>苹果</v>
          </cell>
          <cell r="G386" t="str">
            <v>华硕一级</v>
          </cell>
          <cell r="H386">
            <v>105</v>
          </cell>
          <cell r="I386" t="str">
            <v>箱</v>
          </cell>
          <cell r="J386">
            <v>535.5</v>
          </cell>
          <cell r="K386" t="str">
            <v/>
          </cell>
          <cell r="L386" t="str">
            <v/>
          </cell>
          <cell r="M386" t="str">
            <v/>
          </cell>
          <cell r="N386" t="str">
            <v>纸箱</v>
          </cell>
          <cell r="O386" t="str">
            <v/>
          </cell>
          <cell r="P386" t="str">
            <v/>
          </cell>
          <cell r="Q386" t="str">
            <v/>
          </cell>
          <cell r="R386" t="str">
            <v>豫N*P269J</v>
          </cell>
          <cell r="S386" t="str">
            <v>公司筐</v>
          </cell>
          <cell r="T386" t="str">
            <v>王照雪</v>
          </cell>
          <cell r="U386" t="str">
            <v/>
          </cell>
          <cell r="V386" t="str">
            <v/>
          </cell>
          <cell r="W386" t="str">
            <v/>
          </cell>
          <cell r="X386" t="str">
            <v>电商/主播</v>
          </cell>
          <cell r="Y386" t="str">
            <v/>
          </cell>
        </row>
        <row r="386">
          <cell r="AA386" t="str">
            <v/>
          </cell>
          <cell r="AB386" t="str">
            <v/>
          </cell>
          <cell r="AC386" t="str">
            <v/>
          </cell>
          <cell r="AD386" t="str">
            <v>成品出库</v>
          </cell>
          <cell r="AE386" t="str">
            <v/>
          </cell>
          <cell r="AF386" t="str">
            <v/>
          </cell>
        </row>
        <row r="387">
          <cell r="B387">
            <v>46272</v>
          </cell>
          <cell r="C387" t="str">
            <v>王照雪</v>
          </cell>
          <cell r="D387" t="str">
            <v>成品出库－成品出库</v>
          </cell>
          <cell r="E387" t="str">
            <v>NO:0001093</v>
          </cell>
          <cell r="F387" t="str">
            <v>苹果</v>
          </cell>
          <cell r="G387" t="str">
            <v>华硕一级</v>
          </cell>
          <cell r="H387">
            <v>150</v>
          </cell>
          <cell r="I387" t="str">
            <v>箱</v>
          </cell>
          <cell r="J387">
            <v>765</v>
          </cell>
          <cell r="K387" t="str">
            <v/>
          </cell>
          <cell r="L387" t="str">
            <v/>
          </cell>
          <cell r="M387" t="str">
            <v/>
          </cell>
          <cell r="N387" t="str">
            <v>纸箱</v>
          </cell>
          <cell r="O387" t="str">
            <v/>
          </cell>
          <cell r="P387" t="str">
            <v/>
          </cell>
          <cell r="Q387" t="str">
            <v/>
          </cell>
          <cell r="R387" t="str">
            <v>豫N*P269J</v>
          </cell>
          <cell r="S387" t="str">
            <v>公司筐</v>
          </cell>
          <cell r="T387" t="str">
            <v>王照雪</v>
          </cell>
          <cell r="U387" t="str">
            <v/>
          </cell>
          <cell r="V387" t="str">
            <v/>
          </cell>
          <cell r="W387" t="str">
            <v/>
          </cell>
          <cell r="X387" t="str">
            <v>电商/主播</v>
          </cell>
          <cell r="Y387" t="str">
            <v/>
          </cell>
        </row>
        <row r="387">
          <cell r="AA387" t="str">
            <v/>
          </cell>
          <cell r="AB387" t="str">
            <v/>
          </cell>
          <cell r="AC387" t="str">
            <v/>
          </cell>
          <cell r="AD387" t="str">
            <v>成品出库</v>
          </cell>
          <cell r="AE387" t="str">
            <v/>
          </cell>
          <cell r="AF387" t="str">
            <v/>
          </cell>
        </row>
        <row r="388">
          <cell r="B388">
            <v>46273</v>
          </cell>
          <cell r="C388" t="str">
            <v>王照雪</v>
          </cell>
          <cell r="D388" t="str">
            <v>成品出库－成品出库</v>
          </cell>
          <cell r="E388" t="str">
            <v>NO:0001095</v>
          </cell>
          <cell r="F388" t="str">
            <v>苹果</v>
          </cell>
          <cell r="G388" t="str">
            <v>华硕一级</v>
          </cell>
          <cell r="H388">
            <v>296</v>
          </cell>
          <cell r="I388" t="str">
            <v>箱</v>
          </cell>
          <cell r="J388">
            <v>1509.6</v>
          </cell>
          <cell r="K388" t="str">
            <v/>
          </cell>
          <cell r="L388" t="str">
            <v/>
          </cell>
          <cell r="M388" t="str">
            <v/>
          </cell>
          <cell r="N388" t="str">
            <v>纸箱</v>
          </cell>
          <cell r="O388" t="str">
            <v/>
          </cell>
          <cell r="P388" t="str">
            <v/>
          </cell>
          <cell r="Q388" t="str">
            <v/>
          </cell>
          <cell r="R388" t="str">
            <v>豫N*P269J</v>
          </cell>
          <cell r="S388" t="str">
            <v>公司筐</v>
          </cell>
          <cell r="T388" t="str">
            <v>王照雪</v>
          </cell>
          <cell r="U388" t="str">
            <v/>
          </cell>
          <cell r="V388" t="str">
            <v/>
          </cell>
          <cell r="W388" t="str">
            <v/>
          </cell>
          <cell r="X388" t="str">
            <v>电商/主播</v>
          </cell>
          <cell r="Y388" t="str">
            <v/>
          </cell>
        </row>
        <row r="388">
          <cell r="AA388" t="str">
            <v/>
          </cell>
          <cell r="AB388" t="str">
            <v/>
          </cell>
          <cell r="AC388" t="str">
            <v/>
          </cell>
          <cell r="AD388" t="str">
            <v>成品出库</v>
          </cell>
          <cell r="AE388" t="str">
            <v/>
          </cell>
          <cell r="AF388" t="str">
            <v/>
          </cell>
        </row>
        <row r="389">
          <cell r="B389">
            <v>46273</v>
          </cell>
          <cell r="C389" t="str">
            <v>王照雪</v>
          </cell>
          <cell r="D389" t="str">
            <v>成品出库－成品出库</v>
          </cell>
          <cell r="E389" t="str">
            <v>NO:0001095</v>
          </cell>
          <cell r="F389" t="str">
            <v>苹果</v>
          </cell>
          <cell r="G389" t="str">
            <v>华硕一级</v>
          </cell>
          <cell r="H389">
            <v>16</v>
          </cell>
          <cell r="I389" t="str">
            <v>箱</v>
          </cell>
          <cell r="J389">
            <v>41.6</v>
          </cell>
          <cell r="K389" t="str">
            <v/>
          </cell>
          <cell r="L389" t="str">
            <v/>
          </cell>
          <cell r="M389" t="str">
            <v/>
          </cell>
          <cell r="N389" t="str">
            <v>纸箱</v>
          </cell>
          <cell r="O389" t="str">
            <v/>
          </cell>
          <cell r="P389" t="str">
            <v/>
          </cell>
          <cell r="Q389" t="str">
            <v/>
          </cell>
          <cell r="R389" t="str">
            <v>豫N*P269J</v>
          </cell>
          <cell r="S389" t="str">
            <v>公司筐</v>
          </cell>
          <cell r="T389" t="str">
            <v>王照雪</v>
          </cell>
          <cell r="U389" t="str">
            <v/>
          </cell>
          <cell r="V389" t="str">
            <v/>
          </cell>
          <cell r="W389" t="str">
            <v/>
          </cell>
          <cell r="X389" t="str">
            <v>电商/主播</v>
          </cell>
          <cell r="Y389" t="str">
            <v/>
          </cell>
        </row>
        <row r="389">
          <cell r="AA389" t="str">
            <v/>
          </cell>
          <cell r="AB389" t="str">
            <v/>
          </cell>
          <cell r="AC389" t="str">
            <v/>
          </cell>
          <cell r="AD389" t="str">
            <v>成品出库</v>
          </cell>
          <cell r="AE389" t="str">
            <v/>
          </cell>
          <cell r="AF389" t="str">
            <v/>
          </cell>
        </row>
        <row r="390">
          <cell r="B390">
            <v>46273</v>
          </cell>
          <cell r="C390" t="str">
            <v>聂新平</v>
          </cell>
          <cell r="D390" t="str">
            <v>成品出库－成品出库</v>
          </cell>
          <cell r="E390" t="str">
            <v>NO:0001097</v>
          </cell>
          <cell r="F390" t="str">
            <v>苹果</v>
          </cell>
          <cell r="G390" t="str">
            <v>嘎啦100#</v>
          </cell>
          <cell r="H390">
            <v>90</v>
          </cell>
          <cell r="I390" t="str">
            <v>筐</v>
          </cell>
          <cell r="J390">
            <v>1800</v>
          </cell>
          <cell r="K390" t="str">
            <v/>
          </cell>
          <cell r="L390" t="str">
            <v/>
          </cell>
          <cell r="M390" t="str">
            <v/>
          </cell>
          <cell r="N390" t="str">
            <v>自备一次性筐</v>
          </cell>
          <cell r="O390">
            <v>90</v>
          </cell>
          <cell r="P390" t="str">
            <v/>
          </cell>
          <cell r="Q390" t="str">
            <v/>
          </cell>
          <cell r="R390" t="str">
            <v>吉A*ZM856</v>
          </cell>
          <cell r="S390" t="str">
            <v>自备筐</v>
          </cell>
          <cell r="T390" t="str">
            <v>聂新平</v>
          </cell>
          <cell r="U390" t="str">
            <v/>
          </cell>
          <cell r="V390" t="str">
            <v/>
          </cell>
          <cell r="W390" t="str">
            <v/>
          </cell>
          <cell r="X390" t="str">
            <v>聂新平</v>
          </cell>
          <cell r="Y390" t="str">
            <v/>
          </cell>
        </row>
        <row r="390">
          <cell r="AA390" t="str">
            <v/>
          </cell>
          <cell r="AB390" t="str">
            <v/>
          </cell>
          <cell r="AC390" t="str">
            <v/>
          </cell>
          <cell r="AD390" t="str">
            <v>成品出库</v>
          </cell>
          <cell r="AE390" t="str">
            <v/>
          </cell>
          <cell r="AF390" t="str">
            <v/>
          </cell>
        </row>
        <row r="391">
          <cell r="B391">
            <v>46274</v>
          </cell>
          <cell r="C391" t="str">
            <v>王照雪</v>
          </cell>
          <cell r="D391" t="str">
            <v>成品出库－成品出库</v>
          </cell>
          <cell r="E391" t="str">
            <v>NO:0001104</v>
          </cell>
          <cell r="F391" t="str">
            <v>苹果</v>
          </cell>
          <cell r="G391" t="str">
            <v>华硕一级</v>
          </cell>
          <cell r="H391">
            <v>27</v>
          </cell>
          <cell r="I391" t="str">
            <v>箱</v>
          </cell>
          <cell r="J391">
            <v>137.7</v>
          </cell>
          <cell r="K391" t="str">
            <v/>
          </cell>
          <cell r="L391" t="str">
            <v/>
          </cell>
          <cell r="M391" t="str">
            <v/>
          </cell>
          <cell r="N391" t="str">
            <v>纸箱</v>
          </cell>
          <cell r="O391" t="str">
            <v/>
          </cell>
          <cell r="P391" t="str">
            <v/>
          </cell>
          <cell r="Q391" t="str">
            <v/>
          </cell>
          <cell r="R391" t="str">
            <v>豫N*P269J</v>
          </cell>
          <cell r="S391" t="str">
            <v>公司筐</v>
          </cell>
          <cell r="T391" t="str">
            <v>王照雪</v>
          </cell>
          <cell r="U391" t="str">
            <v/>
          </cell>
          <cell r="V391" t="str">
            <v/>
          </cell>
          <cell r="W391" t="str">
            <v/>
          </cell>
          <cell r="X391" t="str">
            <v>电商/主播</v>
          </cell>
          <cell r="Y391" t="str">
            <v/>
          </cell>
        </row>
        <row r="391">
          <cell r="AA391" t="str">
            <v/>
          </cell>
          <cell r="AB391" t="str">
            <v/>
          </cell>
          <cell r="AC391" t="str">
            <v/>
          </cell>
          <cell r="AD391" t="str">
            <v>成品出库</v>
          </cell>
          <cell r="AE391" t="str">
            <v/>
          </cell>
          <cell r="AF391" t="str">
            <v/>
          </cell>
        </row>
        <row r="392">
          <cell r="B392">
            <v>46275</v>
          </cell>
          <cell r="C392" t="str">
            <v>王照雪</v>
          </cell>
          <cell r="D392" t="str">
            <v>成品出库－成品出库</v>
          </cell>
          <cell r="E392" t="str">
            <v>NO:0001109</v>
          </cell>
          <cell r="F392" t="str">
            <v>苹果</v>
          </cell>
          <cell r="G392" t="str">
            <v>华硕一级</v>
          </cell>
          <cell r="H392">
            <v>132</v>
          </cell>
          <cell r="I392" t="str">
            <v>箱</v>
          </cell>
          <cell r="J392">
            <v>673.2</v>
          </cell>
          <cell r="K392" t="str">
            <v/>
          </cell>
          <cell r="L392" t="str">
            <v/>
          </cell>
          <cell r="M392" t="str">
            <v/>
          </cell>
          <cell r="N392" t="str">
            <v>纸箱</v>
          </cell>
          <cell r="O392" t="str">
            <v/>
          </cell>
          <cell r="P392" t="str">
            <v/>
          </cell>
          <cell r="Q392" t="str">
            <v/>
          </cell>
          <cell r="R392" t="str">
            <v>新N*2865J</v>
          </cell>
          <cell r="S392" t="str">
            <v>公司筐</v>
          </cell>
          <cell r="T392" t="str">
            <v>王照雪</v>
          </cell>
          <cell r="U392" t="str">
            <v/>
          </cell>
          <cell r="V392" t="str">
            <v/>
          </cell>
          <cell r="W392" t="str">
            <v/>
          </cell>
          <cell r="X392" t="str">
            <v>电商/主播</v>
          </cell>
          <cell r="Y392" t="str">
            <v/>
          </cell>
        </row>
        <row r="392">
          <cell r="AA392" t="str">
            <v/>
          </cell>
          <cell r="AB392" t="str">
            <v/>
          </cell>
          <cell r="AC392" t="str">
            <v/>
          </cell>
          <cell r="AD392" t="str">
            <v>成品出库</v>
          </cell>
          <cell r="AE392" t="str">
            <v/>
          </cell>
          <cell r="AF392" t="str">
            <v/>
          </cell>
        </row>
        <row r="393">
          <cell r="B393">
            <v>46275</v>
          </cell>
          <cell r="C393" t="str">
            <v>王照雪</v>
          </cell>
          <cell r="D393" t="str">
            <v>成品出库－成品出库</v>
          </cell>
          <cell r="E393" t="str">
            <v>NO:0001109</v>
          </cell>
          <cell r="F393" t="str">
            <v>苹果</v>
          </cell>
          <cell r="G393" t="str">
            <v>华硕一级</v>
          </cell>
          <cell r="H393">
            <v>17</v>
          </cell>
          <cell r="I393" t="str">
            <v>箱</v>
          </cell>
          <cell r="J393">
            <v>44.2</v>
          </cell>
          <cell r="K393" t="str">
            <v/>
          </cell>
          <cell r="L393" t="str">
            <v/>
          </cell>
          <cell r="M393" t="str">
            <v/>
          </cell>
          <cell r="N393" t="str">
            <v>纸箱</v>
          </cell>
          <cell r="O393" t="str">
            <v/>
          </cell>
          <cell r="P393" t="str">
            <v/>
          </cell>
          <cell r="Q393" t="str">
            <v/>
          </cell>
          <cell r="R393" t="str">
            <v>新N*2865J</v>
          </cell>
          <cell r="S393" t="str">
            <v>公司筐</v>
          </cell>
          <cell r="T393" t="str">
            <v>王照雪</v>
          </cell>
          <cell r="U393" t="str">
            <v/>
          </cell>
          <cell r="V393" t="str">
            <v/>
          </cell>
          <cell r="W393" t="str">
            <v/>
          </cell>
          <cell r="X393" t="str">
            <v>电商/主播</v>
          </cell>
          <cell r="Y393" t="str">
            <v/>
          </cell>
        </row>
        <row r="393">
          <cell r="AA393" t="str">
            <v/>
          </cell>
          <cell r="AB393" t="str">
            <v/>
          </cell>
          <cell r="AC393" t="str">
            <v/>
          </cell>
          <cell r="AD393" t="str">
            <v>成品出库</v>
          </cell>
          <cell r="AE393" t="str">
            <v/>
          </cell>
          <cell r="AF393" t="str">
            <v/>
          </cell>
        </row>
        <row r="394">
          <cell r="B394">
            <v>46275</v>
          </cell>
          <cell r="C394" t="str">
            <v>聂新平</v>
          </cell>
          <cell r="D394" t="str">
            <v>成品出库－成品出库</v>
          </cell>
          <cell r="E394" t="str">
            <v>NO:0001112</v>
          </cell>
          <cell r="F394" t="str">
            <v>苹果</v>
          </cell>
          <cell r="G394" t="str">
            <v>嘎啦85#</v>
          </cell>
          <cell r="H394">
            <v>736</v>
          </cell>
          <cell r="I394" t="str">
            <v>筐</v>
          </cell>
          <cell r="J394">
            <v>14720</v>
          </cell>
          <cell r="K394" t="str">
            <v/>
          </cell>
          <cell r="L394" t="str">
            <v/>
          </cell>
          <cell r="M394" t="str">
            <v/>
          </cell>
          <cell r="N394" t="str">
            <v>自备一次性筐</v>
          </cell>
          <cell r="O394">
            <v>736</v>
          </cell>
          <cell r="P394" t="str">
            <v/>
          </cell>
          <cell r="Q394" t="str">
            <v/>
          </cell>
          <cell r="R394" t="str">
            <v>新A*H0050</v>
          </cell>
          <cell r="S394" t="str">
            <v>自备筐</v>
          </cell>
          <cell r="T394" t="str">
            <v>聂新平</v>
          </cell>
          <cell r="U394" t="str">
            <v/>
          </cell>
          <cell r="V394" t="str">
            <v/>
          </cell>
          <cell r="W394" t="str">
            <v/>
          </cell>
          <cell r="X394" t="str">
            <v>聂新平</v>
          </cell>
          <cell r="Y394" t="str">
            <v/>
          </cell>
        </row>
        <row r="394">
          <cell r="AA394" t="str">
            <v/>
          </cell>
          <cell r="AB394" t="str">
            <v/>
          </cell>
          <cell r="AC394" t="str">
            <v/>
          </cell>
          <cell r="AD394" t="str">
            <v>成品出库</v>
          </cell>
          <cell r="AE394" t="str">
            <v/>
          </cell>
          <cell r="AF394" t="str">
            <v/>
          </cell>
        </row>
        <row r="395">
          <cell r="B395">
            <v>46275</v>
          </cell>
          <cell r="C395" t="str">
            <v>聂新平</v>
          </cell>
          <cell r="D395" t="str">
            <v>成品出库－成品出库</v>
          </cell>
          <cell r="E395" t="str">
            <v>NO:0001112</v>
          </cell>
          <cell r="F395" t="str">
            <v>苹果</v>
          </cell>
          <cell r="G395" t="str">
            <v>嘎啦100#</v>
          </cell>
          <cell r="H395">
            <v>434</v>
          </cell>
          <cell r="I395" t="str">
            <v>筐</v>
          </cell>
          <cell r="J395">
            <v>8680</v>
          </cell>
          <cell r="K395" t="str">
            <v/>
          </cell>
          <cell r="L395" t="str">
            <v/>
          </cell>
          <cell r="M395" t="str">
            <v/>
          </cell>
          <cell r="N395" t="str">
            <v>自备一次性筐</v>
          </cell>
          <cell r="O395">
            <v>434</v>
          </cell>
          <cell r="P395" t="str">
            <v/>
          </cell>
          <cell r="Q395" t="str">
            <v/>
          </cell>
          <cell r="R395" t="str">
            <v>新A*H0050</v>
          </cell>
          <cell r="S395" t="str">
            <v>自备筐</v>
          </cell>
          <cell r="T395" t="str">
            <v>聂新平</v>
          </cell>
          <cell r="U395" t="str">
            <v/>
          </cell>
          <cell r="V395" t="str">
            <v/>
          </cell>
          <cell r="W395" t="str">
            <v/>
          </cell>
          <cell r="X395" t="str">
            <v>聂新平</v>
          </cell>
          <cell r="Y395" t="str">
            <v/>
          </cell>
        </row>
        <row r="395">
          <cell r="AA395" t="str">
            <v/>
          </cell>
          <cell r="AB395" t="str">
            <v/>
          </cell>
          <cell r="AC395" t="str">
            <v/>
          </cell>
          <cell r="AD395" t="str">
            <v>成品出库</v>
          </cell>
          <cell r="AE395" t="str">
            <v/>
          </cell>
          <cell r="AF395" t="str">
            <v/>
          </cell>
        </row>
        <row r="396">
          <cell r="B396">
            <v>46276</v>
          </cell>
          <cell r="C396" t="str">
            <v>王照雪</v>
          </cell>
          <cell r="D396" t="str">
            <v>成品出库－成品出库</v>
          </cell>
          <cell r="E396" t="str">
            <v>NO:0001119</v>
          </cell>
          <cell r="F396" t="str">
            <v>苹果</v>
          </cell>
          <cell r="G396" t="str">
            <v>华硕一级</v>
          </cell>
          <cell r="H396">
            <v>228</v>
          </cell>
          <cell r="I396" t="str">
            <v>箱</v>
          </cell>
          <cell r="J396">
            <v>1162.8</v>
          </cell>
          <cell r="K396" t="str">
            <v/>
          </cell>
          <cell r="L396" t="str">
            <v/>
          </cell>
          <cell r="M396" t="str">
            <v/>
          </cell>
          <cell r="N396" t="str">
            <v>纸箱</v>
          </cell>
          <cell r="O396" t="str">
            <v/>
          </cell>
          <cell r="P396" t="str">
            <v/>
          </cell>
          <cell r="Q396" t="str">
            <v/>
          </cell>
          <cell r="R396" t="str">
            <v>豫N*P269J</v>
          </cell>
          <cell r="S396" t="str">
            <v>公司筐</v>
          </cell>
          <cell r="T396" t="str">
            <v>王照雪</v>
          </cell>
          <cell r="U396" t="str">
            <v/>
          </cell>
          <cell r="V396" t="str">
            <v/>
          </cell>
          <cell r="W396" t="str">
            <v/>
          </cell>
          <cell r="X396" t="str">
            <v>电商/主播</v>
          </cell>
          <cell r="Y396" t="str">
            <v/>
          </cell>
        </row>
        <row r="396">
          <cell r="AA396" t="str">
            <v/>
          </cell>
          <cell r="AB396" t="str">
            <v/>
          </cell>
          <cell r="AC396" t="str">
            <v/>
          </cell>
          <cell r="AD396" t="str">
            <v>成品出库</v>
          </cell>
          <cell r="AE396" t="str">
            <v/>
          </cell>
          <cell r="AF396" t="str">
            <v/>
          </cell>
        </row>
        <row r="397">
          <cell r="B397">
            <v>46276</v>
          </cell>
          <cell r="C397" t="str">
            <v>王照雪</v>
          </cell>
          <cell r="D397" t="str">
            <v>成品出库－成品出库</v>
          </cell>
          <cell r="E397" t="str">
            <v>NO:0001119</v>
          </cell>
          <cell r="F397" t="str">
            <v>苹果</v>
          </cell>
          <cell r="G397" t="str">
            <v>华硕一级</v>
          </cell>
          <cell r="H397">
            <v>6</v>
          </cell>
          <cell r="I397" t="str">
            <v>箱</v>
          </cell>
          <cell r="J397">
            <v>15.6</v>
          </cell>
          <cell r="K397" t="str">
            <v/>
          </cell>
          <cell r="L397" t="str">
            <v/>
          </cell>
          <cell r="M397" t="str">
            <v/>
          </cell>
          <cell r="N397" t="str">
            <v>纸箱</v>
          </cell>
          <cell r="O397" t="str">
            <v/>
          </cell>
          <cell r="P397" t="str">
            <v/>
          </cell>
          <cell r="Q397" t="str">
            <v/>
          </cell>
          <cell r="R397" t="str">
            <v>豫N*P269J</v>
          </cell>
          <cell r="S397" t="str">
            <v>公司筐</v>
          </cell>
          <cell r="T397" t="str">
            <v>王照雪</v>
          </cell>
          <cell r="U397" t="str">
            <v/>
          </cell>
          <cell r="V397" t="str">
            <v/>
          </cell>
          <cell r="W397" t="str">
            <v/>
          </cell>
          <cell r="X397" t="str">
            <v>电商/主播</v>
          </cell>
          <cell r="Y397" t="str">
            <v/>
          </cell>
        </row>
        <row r="397">
          <cell r="AA397" t="str">
            <v/>
          </cell>
          <cell r="AB397" t="str">
            <v/>
          </cell>
          <cell r="AC397" t="str">
            <v/>
          </cell>
          <cell r="AD397" t="str">
            <v>成品出库</v>
          </cell>
          <cell r="AE397" t="str">
            <v/>
          </cell>
          <cell r="AF397" t="str">
            <v/>
          </cell>
        </row>
        <row r="398">
          <cell r="B398">
            <v>46277</v>
          </cell>
          <cell r="C398" t="str">
            <v>王照雪</v>
          </cell>
          <cell r="D398" t="str">
            <v>成品出库－成品出库</v>
          </cell>
          <cell r="E398" t="str">
            <v>NO:0001124</v>
          </cell>
          <cell r="F398" t="str">
            <v>苹果</v>
          </cell>
          <cell r="G398" t="str">
            <v>华硕一级</v>
          </cell>
          <cell r="H398">
            <v>220</v>
          </cell>
          <cell r="I398" t="str">
            <v>箱</v>
          </cell>
          <cell r="J398">
            <v>1122</v>
          </cell>
          <cell r="K398" t="str">
            <v/>
          </cell>
          <cell r="L398" t="str">
            <v/>
          </cell>
          <cell r="M398" t="str">
            <v/>
          </cell>
          <cell r="N398" t="str">
            <v>纸箱</v>
          </cell>
          <cell r="O398" t="str">
            <v/>
          </cell>
          <cell r="P398" t="str">
            <v/>
          </cell>
          <cell r="Q398" t="str">
            <v/>
          </cell>
          <cell r="R398" t="str">
            <v>豫N*P269J</v>
          </cell>
          <cell r="S398" t="str">
            <v>公司筐</v>
          </cell>
          <cell r="T398" t="str">
            <v>王照雪</v>
          </cell>
          <cell r="U398" t="str">
            <v/>
          </cell>
          <cell r="V398" t="str">
            <v/>
          </cell>
          <cell r="W398" t="str">
            <v/>
          </cell>
          <cell r="X398" t="str">
            <v>电商/主播</v>
          </cell>
          <cell r="Y398" t="str">
            <v/>
          </cell>
        </row>
        <row r="398">
          <cell r="AA398" t="str">
            <v/>
          </cell>
          <cell r="AB398" t="str">
            <v/>
          </cell>
          <cell r="AC398" t="str">
            <v/>
          </cell>
          <cell r="AD398" t="str">
            <v>成品出库</v>
          </cell>
          <cell r="AE398" t="str">
            <v/>
          </cell>
          <cell r="AF398" t="str">
            <v/>
          </cell>
        </row>
        <row r="399">
          <cell r="B399">
            <v>46277</v>
          </cell>
          <cell r="C399" t="str">
            <v>王照雪</v>
          </cell>
          <cell r="D399" t="str">
            <v>成品出库－成品出库</v>
          </cell>
          <cell r="E399" t="str">
            <v>NO:0001124</v>
          </cell>
          <cell r="F399" t="str">
            <v>苹果</v>
          </cell>
          <cell r="G399" t="str">
            <v>华硕一级</v>
          </cell>
          <cell r="H399">
            <v>3</v>
          </cell>
          <cell r="I399" t="str">
            <v>箱</v>
          </cell>
          <cell r="J399">
            <v>7.8</v>
          </cell>
          <cell r="K399" t="str">
            <v/>
          </cell>
          <cell r="L399" t="str">
            <v/>
          </cell>
          <cell r="M399" t="str">
            <v/>
          </cell>
          <cell r="N399" t="str">
            <v>纸箱</v>
          </cell>
          <cell r="O399" t="str">
            <v/>
          </cell>
          <cell r="P399" t="str">
            <v/>
          </cell>
          <cell r="Q399" t="str">
            <v/>
          </cell>
          <cell r="R399" t="str">
            <v>豫N*P269J</v>
          </cell>
          <cell r="S399" t="str">
            <v>公司筐</v>
          </cell>
          <cell r="T399" t="str">
            <v>王照雪</v>
          </cell>
          <cell r="U399" t="str">
            <v/>
          </cell>
          <cell r="V399" t="str">
            <v/>
          </cell>
          <cell r="W399" t="str">
            <v/>
          </cell>
          <cell r="X399" t="str">
            <v>电商/主播</v>
          </cell>
          <cell r="Y399" t="str">
            <v/>
          </cell>
        </row>
        <row r="399">
          <cell r="AA399" t="str">
            <v/>
          </cell>
          <cell r="AB399" t="str">
            <v/>
          </cell>
          <cell r="AC399" t="str">
            <v/>
          </cell>
          <cell r="AD399" t="str">
            <v>成品出库</v>
          </cell>
          <cell r="AE399" t="str">
            <v/>
          </cell>
          <cell r="AF399" t="str">
            <v/>
          </cell>
        </row>
        <row r="400">
          <cell r="B400">
            <v>46277</v>
          </cell>
          <cell r="C400" t="str">
            <v>王照雪</v>
          </cell>
          <cell r="D400" t="str">
            <v>成品出库－成品出库</v>
          </cell>
          <cell r="E400" t="str">
            <v>NO:0001124</v>
          </cell>
          <cell r="F400" t="str">
            <v>香梨</v>
          </cell>
          <cell r="G400" t="str">
            <v>香梨一级</v>
          </cell>
          <cell r="H400">
            <v>7</v>
          </cell>
          <cell r="I400" t="str">
            <v>箱</v>
          </cell>
          <cell r="J400">
            <v>35.7</v>
          </cell>
          <cell r="K400" t="str">
            <v/>
          </cell>
          <cell r="L400" t="str">
            <v/>
          </cell>
          <cell r="M400" t="str">
            <v/>
          </cell>
          <cell r="N400" t="str">
            <v>纸箱</v>
          </cell>
          <cell r="O400" t="str">
            <v/>
          </cell>
          <cell r="P400" t="str">
            <v/>
          </cell>
          <cell r="Q400" t="str">
            <v/>
          </cell>
          <cell r="R400" t="str">
            <v>豫N*P269J</v>
          </cell>
          <cell r="S400" t="str">
            <v>公司筐</v>
          </cell>
          <cell r="T400" t="str">
            <v>王照雪</v>
          </cell>
          <cell r="U400" t="str">
            <v/>
          </cell>
          <cell r="V400" t="str">
            <v/>
          </cell>
          <cell r="W400" t="str">
            <v/>
          </cell>
          <cell r="X400" t="str">
            <v>电商/主播</v>
          </cell>
          <cell r="Y400" t="str">
            <v/>
          </cell>
        </row>
        <row r="400">
          <cell r="AA400" t="str">
            <v/>
          </cell>
          <cell r="AB400" t="str">
            <v/>
          </cell>
          <cell r="AC400" t="str">
            <v/>
          </cell>
          <cell r="AD400" t="str">
            <v>成品出库</v>
          </cell>
          <cell r="AE400" t="str">
            <v/>
          </cell>
          <cell r="AF400" t="str">
            <v/>
          </cell>
        </row>
        <row r="401">
          <cell r="B401">
            <v>46278</v>
          </cell>
          <cell r="C401" t="str">
            <v>王照雪</v>
          </cell>
          <cell r="D401" t="str">
            <v>成品出库－成品出库</v>
          </cell>
          <cell r="E401" t="str">
            <v>NO:0001134</v>
          </cell>
          <cell r="F401" t="str">
            <v>苹果</v>
          </cell>
          <cell r="G401" t="str">
            <v>苹果扎伤</v>
          </cell>
          <cell r="H401">
            <v>60</v>
          </cell>
          <cell r="I401" t="str">
            <v>箱</v>
          </cell>
          <cell r="J401">
            <v>979.8</v>
          </cell>
          <cell r="K401" t="str">
            <v/>
          </cell>
          <cell r="L401" t="str">
            <v/>
          </cell>
          <cell r="M401" t="str">
            <v/>
          </cell>
          <cell r="N401" t="str">
            <v>纸箱</v>
          </cell>
          <cell r="O401" t="str">
            <v/>
          </cell>
          <cell r="P401" t="str">
            <v/>
          </cell>
          <cell r="Q401" t="str">
            <v/>
          </cell>
          <cell r="R401" t="str">
            <v>新R*45654</v>
          </cell>
          <cell r="S401" t="str">
            <v>公司筐</v>
          </cell>
          <cell r="T401" t="str">
            <v>王照雪</v>
          </cell>
          <cell r="U401" t="str">
            <v/>
          </cell>
          <cell r="V401" t="str">
            <v/>
          </cell>
          <cell r="W401" t="str">
            <v/>
          </cell>
          <cell r="X401" t="str">
            <v>王照雪</v>
          </cell>
          <cell r="Y401" t="str">
            <v/>
          </cell>
        </row>
        <row r="401">
          <cell r="AA401" t="str">
            <v/>
          </cell>
          <cell r="AB401" t="str">
            <v/>
          </cell>
          <cell r="AC401" t="str">
            <v/>
          </cell>
          <cell r="AD401" t="str">
            <v>成品出库</v>
          </cell>
          <cell r="AE401" t="str">
            <v/>
          </cell>
          <cell r="AF401" t="str">
            <v/>
          </cell>
        </row>
        <row r="402">
          <cell r="B402">
            <v>46278</v>
          </cell>
          <cell r="C402" t="str">
            <v>王照雪</v>
          </cell>
          <cell r="D402" t="str">
            <v>成品出库－成品出库</v>
          </cell>
          <cell r="E402" t="str">
            <v>NO:0001136</v>
          </cell>
          <cell r="F402" t="str">
            <v>苹果</v>
          </cell>
          <cell r="G402" t="str">
            <v>华硕一级</v>
          </cell>
          <cell r="H402">
            <v>151</v>
          </cell>
          <cell r="I402" t="str">
            <v>箱</v>
          </cell>
          <cell r="J402">
            <v>770.1</v>
          </cell>
          <cell r="K402" t="str">
            <v/>
          </cell>
          <cell r="L402" t="str">
            <v/>
          </cell>
          <cell r="M402" t="str">
            <v/>
          </cell>
          <cell r="N402" t="str">
            <v>纸箱</v>
          </cell>
          <cell r="O402" t="str">
            <v/>
          </cell>
          <cell r="P402" t="str">
            <v/>
          </cell>
          <cell r="Q402" t="str">
            <v/>
          </cell>
          <cell r="R402" t="str">
            <v>豫N*P269J</v>
          </cell>
          <cell r="S402" t="str">
            <v>公司筐</v>
          </cell>
          <cell r="T402" t="str">
            <v>王照雪</v>
          </cell>
          <cell r="U402" t="str">
            <v/>
          </cell>
          <cell r="V402" t="str">
            <v/>
          </cell>
          <cell r="W402" t="str">
            <v/>
          </cell>
          <cell r="X402" t="str">
            <v>电商/主播</v>
          </cell>
          <cell r="Y402" t="str">
            <v/>
          </cell>
        </row>
        <row r="402">
          <cell r="AA402" t="str">
            <v/>
          </cell>
          <cell r="AB402" t="str">
            <v/>
          </cell>
          <cell r="AC402" t="str">
            <v/>
          </cell>
          <cell r="AD402" t="str">
            <v>成品出库</v>
          </cell>
          <cell r="AE402" t="str">
            <v/>
          </cell>
          <cell r="AF402" t="str">
            <v/>
          </cell>
        </row>
        <row r="403">
          <cell r="B403">
            <v>46278</v>
          </cell>
          <cell r="C403" t="str">
            <v>王照雪</v>
          </cell>
          <cell r="D403" t="str">
            <v>成品出库－成品出库</v>
          </cell>
          <cell r="E403" t="str">
            <v>NO:0001136</v>
          </cell>
          <cell r="F403" t="str">
            <v>苹果</v>
          </cell>
          <cell r="G403" t="str">
            <v>华硕一级</v>
          </cell>
          <cell r="H403">
            <v>11</v>
          </cell>
          <cell r="I403" t="str">
            <v>箱</v>
          </cell>
          <cell r="J403">
            <v>28.6</v>
          </cell>
          <cell r="K403" t="str">
            <v/>
          </cell>
          <cell r="L403" t="str">
            <v/>
          </cell>
          <cell r="M403" t="str">
            <v/>
          </cell>
          <cell r="N403" t="str">
            <v>纸箱</v>
          </cell>
          <cell r="O403" t="str">
            <v/>
          </cell>
          <cell r="P403" t="str">
            <v/>
          </cell>
          <cell r="Q403" t="str">
            <v/>
          </cell>
          <cell r="R403" t="str">
            <v>豫N*P269J</v>
          </cell>
          <cell r="S403" t="str">
            <v>公司筐</v>
          </cell>
          <cell r="T403" t="str">
            <v>王照雪</v>
          </cell>
          <cell r="U403" t="str">
            <v/>
          </cell>
          <cell r="V403" t="str">
            <v/>
          </cell>
          <cell r="W403" t="str">
            <v/>
          </cell>
          <cell r="X403" t="str">
            <v>电商/主播</v>
          </cell>
          <cell r="Y403" t="str">
            <v/>
          </cell>
        </row>
        <row r="403">
          <cell r="AA403" t="str">
            <v/>
          </cell>
          <cell r="AB403" t="str">
            <v/>
          </cell>
          <cell r="AC403" t="str">
            <v/>
          </cell>
          <cell r="AD403" t="str">
            <v>成品出库</v>
          </cell>
          <cell r="AE403" t="str">
            <v/>
          </cell>
          <cell r="AF403" t="str">
            <v/>
          </cell>
        </row>
        <row r="404">
          <cell r="B404">
            <v>46278</v>
          </cell>
          <cell r="C404" t="str">
            <v>王照雪</v>
          </cell>
          <cell r="D404" t="str">
            <v>成品出库－成品出库</v>
          </cell>
          <cell r="E404" t="str">
            <v>NO:0001136</v>
          </cell>
          <cell r="F404" t="str">
            <v>香梨</v>
          </cell>
          <cell r="G404" t="str">
            <v>香梨一级</v>
          </cell>
          <cell r="H404">
            <v>3</v>
          </cell>
          <cell r="I404" t="str">
            <v>箱</v>
          </cell>
          <cell r="J404">
            <v>15.3</v>
          </cell>
          <cell r="K404" t="str">
            <v/>
          </cell>
          <cell r="L404" t="str">
            <v/>
          </cell>
          <cell r="M404" t="str">
            <v/>
          </cell>
          <cell r="N404" t="str">
            <v>纸箱</v>
          </cell>
          <cell r="O404" t="str">
            <v/>
          </cell>
          <cell r="P404" t="str">
            <v/>
          </cell>
          <cell r="Q404" t="str">
            <v/>
          </cell>
          <cell r="R404" t="str">
            <v>豫N*P269J</v>
          </cell>
          <cell r="S404" t="str">
            <v>公司筐</v>
          </cell>
          <cell r="T404" t="str">
            <v>王照雪</v>
          </cell>
          <cell r="U404" t="str">
            <v/>
          </cell>
          <cell r="V404" t="str">
            <v/>
          </cell>
          <cell r="W404" t="str">
            <v/>
          </cell>
          <cell r="X404" t="str">
            <v>电商/主播</v>
          </cell>
          <cell r="Y404" t="str">
            <v/>
          </cell>
        </row>
        <row r="404">
          <cell r="AA404" t="str">
            <v/>
          </cell>
          <cell r="AB404" t="str">
            <v/>
          </cell>
          <cell r="AC404" t="str">
            <v/>
          </cell>
          <cell r="AD404" t="str">
            <v>成品出库</v>
          </cell>
          <cell r="AE404" t="str">
            <v/>
          </cell>
          <cell r="AF404" t="str">
            <v/>
          </cell>
        </row>
        <row r="405">
          <cell r="B405">
            <v>46279</v>
          </cell>
          <cell r="C405" t="str">
            <v>王照雪</v>
          </cell>
          <cell r="D405" t="str">
            <v>成品出库－成品出库</v>
          </cell>
          <cell r="E405" t="str">
            <v>NO:0001142</v>
          </cell>
          <cell r="F405" t="str">
            <v>苹果</v>
          </cell>
          <cell r="G405" t="str">
            <v>华硕一级</v>
          </cell>
          <cell r="H405">
            <v>42</v>
          </cell>
          <cell r="I405" t="str">
            <v>箱</v>
          </cell>
          <cell r="J405">
            <v>214.2</v>
          </cell>
          <cell r="K405" t="str">
            <v/>
          </cell>
          <cell r="L405" t="str">
            <v/>
          </cell>
          <cell r="M405" t="str">
            <v/>
          </cell>
          <cell r="N405" t="str">
            <v>纸箱</v>
          </cell>
          <cell r="O405" t="str">
            <v/>
          </cell>
          <cell r="P405" t="str">
            <v/>
          </cell>
          <cell r="Q405" t="str">
            <v/>
          </cell>
          <cell r="R405" t="str">
            <v>豫N*P269J</v>
          </cell>
          <cell r="S405" t="str">
            <v>公司筐</v>
          </cell>
          <cell r="T405" t="str">
            <v>王照雪</v>
          </cell>
          <cell r="U405" t="str">
            <v/>
          </cell>
          <cell r="V405" t="str">
            <v/>
          </cell>
          <cell r="W405" t="str">
            <v/>
          </cell>
          <cell r="X405" t="str">
            <v>电商/主播</v>
          </cell>
          <cell r="Y405" t="str">
            <v/>
          </cell>
        </row>
        <row r="405">
          <cell r="AA405" t="str">
            <v/>
          </cell>
          <cell r="AB405" t="str">
            <v/>
          </cell>
          <cell r="AC405" t="str">
            <v/>
          </cell>
          <cell r="AD405" t="str">
            <v>成品出库</v>
          </cell>
          <cell r="AE405" t="str">
            <v/>
          </cell>
          <cell r="AF405" t="str">
            <v/>
          </cell>
        </row>
        <row r="406">
          <cell r="B406">
            <v>46279</v>
          </cell>
          <cell r="C406" t="str">
            <v>王照雪</v>
          </cell>
          <cell r="D406" t="str">
            <v>成品出库－成品出库</v>
          </cell>
          <cell r="E406" t="str">
            <v>NO:0001142</v>
          </cell>
          <cell r="F406" t="str">
            <v>苹果</v>
          </cell>
          <cell r="G406" t="str">
            <v>华硕一级</v>
          </cell>
          <cell r="H406">
            <v>6</v>
          </cell>
          <cell r="I406" t="str">
            <v>箱</v>
          </cell>
          <cell r="J406">
            <v>15.6</v>
          </cell>
          <cell r="K406" t="str">
            <v/>
          </cell>
          <cell r="L406" t="str">
            <v/>
          </cell>
          <cell r="M406" t="str">
            <v/>
          </cell>
          <cell r="N406" t="str">
            <v>纸箱</v>
          </cell>
          <cell r="O406" t="str">
            <v/>
          </cell>
          <cell r="P406" t="str">
            <v/>
          </cell>
          <cell r="Q406" t="str">
            <v/>
          </cell>
          <cell r="R406" t="str">
            <v>豫N*P269J</v>
          </cell>
          <cell r="S406" t="str">
            <v>公司筐</v>
          </cell>
          <cell r="T406" t="str">
            <v>王照雪</v>
          </cell>
          <cell r="U406" t="str">
            <v/>
          </cell>
          <cell r="V406" t="str">
            <v/>
          </cell>
          <cell r="W406" t="str">
            <v/>
          </cell>
          <cell r="X406" t="str">
            <v>电商/主播</v>
          </cell>
          <cell r="Y406" t="str">
            <v/>
          </cell>
        </row>
        <row r="406">
          <cell r="AA406" t="str">
            <v/>
          </cell>
          <cell r="AB406" t="str">
            <v/>
          </cell>
          <cell r="AC406" t="str">
            <v/>
          </cell>
          <cell r="AD406" t="str">
            <v>成品出库</v>
          </cell>
          <cell r="AE406" t="str">
            <v/>
          </cell>
          <cell r="AF406" t="str">
            <v/>
          </cell>
        </row>
        <row r="407">
          <cell r="B407">
            <v>46279</v>
          </cell>
          <cell r="C407" t="str">
            <v>王照雪</v>
          </cell>
          <cell r="D407" t="str">
            <v>成品出库－成品出库</v>
          </cell>
          <cell r="E407" t="str">
            <v>NO:0001142</v>
          </cell>
          <cell r="F407" t="str">
            <v>香梨</v>
          </cell>
          <cell r="G407" t="str">
            <v>香梨一级</v>
          </cell>
          <cell r="H407">
            <v>2</v>
          </cell>
          <cell r="I407" t="str">
            <v>箱</v>
          </cell>
          <cell r="J407">
            <v>10.2</v>
          </cell>
          <cell r="K407" t="str">
            <v/>
          </cell>
          <cell r="L407" t="str">
            <v/>
          </cell>
          <cell r="M407" t="str">
            <v/>
          </cell>
          <cell r="N407" t="str">
            <v>纸箱</v>
          </cell>
          <cell r="O407" t="str">
            <v/>
          </cell>
          <cell r="P407" t="str">
            <v/>
          </cell>
          <cell r="Q407" t="str">
            <v/>
          </cell>
          <cell r="R407" t="str">
            <v>豫N*P269J</v>
          </cell>
          <cell r="S407" t="str">
            <v>公司筐</v>
          </cell>
          <cell r="T407" t="str">
            <v>王照雪</v>
          </cell>
          <cell r="U407" t="str">
            <v/>
          </cell>
          <cell r="V407" t="str">
            <v/>
          </cell>
          <cell r="W407" t="str">
            <v/>
          </cell>
          <cell r="X407" t="str">
            <v>电商/主播</v>
          </cell>
          <cell r="Y407" t="str">
            <v/>
          </cell>
        </row>
        <row r="407">
          <cell r="AA407" t="str">
            <v/>
          </cell>
          <cell r="AB407" t="str">
            <v/>
          </cell>
          <cell r="AC407" t="str">
            <v/>
          </cell>
          <cell r="AD407" t="str">
            <v>成品出库</v>
          </cell>
          <cell r="AE407" t="str">
            <v/>
          </cell>
          <cell r="AF407" t="str">
            <v/>
          </cell>
        </row>
        <row r="408">
          <cell r="B408">
            <v>46280</v>
          </cell>
          <cell r="C408" t="str">
            <v>王照雪</v>
          </cell>
          <cell r="D408" t="str">
            <v>成品出库－成品出库</v>
          </cell>
          <cell r="E408" t="str">
            <v>NO:0001147</v>
          </cell>
          <cell r="F408" t="str">
            <v>苹果</v>
          </cell>
          <cell r="G408" t="str">
            <v>新世纪一级</v>
          </cell>
          <cell r="H408">
            <v>195</v>
          </cell>
          <cell r="I408" t="str">
            <v>箱</v>
          </cell>
          <cell r="J408">
            <v>994.5</v>
          </cell>
          <cell r="K408" t="str">
            <v/>
          </cell>
          <cell r="L408" t="str">
            <v/>
          </cell>
          <cell r="M408" t="str">
            <v/>
          </cell>
          <cell r="N408" t="str">
            <v>纸箱</v>
          </cell>
          <cell r="O408" t="str">
            <v/>
          </cell>
          <cell r="P408" t="str">
            <v/>
          </cell>
          <cell r="Q408" t="str">
            <v/>
          </cell>
          <cell r="R408" t="str">
            <v>新N*V5L92</v>
          </cell>
          <cell r="S408" t="str">
            <v>公司筐</v>
          </cell>
          <cell r="T408" t="str">
            <v>王照雪</v>
          </cell>
          <cell r="U408" t="str">
            <v/>
          </cell>
          <cell r="V408" t="str">
            <v/>
          </cell>
          <cell r="W408" t="str">
            <v/>
          </cell>
          <cell r="X408" t="str">
            <v>电商/主播</v>
          </cell>
          <cell r="Y408" t="str">
            <v/>
          </cell>
        </row>
        <row r="408">
          <cell r="AA408" t="str">
            <v/>
          </cell>
          <cell r="AB408" t="str">
            <v/>
          </cell>
          <cell r="AC408" t="str">
            <v/>
          </cell>
          <cell r="AD408" t="str">
            <v>成品出库</v>
          </cell>
          <cell r="AE408" t="str">
            <v/>
          </cell>
          <cell r="AF408" t="str">
            <v/>
          </cell>
        </row>
        <row r="409">
          <cell r="B409">
            <v>46280</v>
          </cell>
          <cell r="C409" t="str">
            <v>王照雪</v>
          </cell>
          <cell r="D409" t="str">
            <v>成品出库－成品出库</v>
          </cell>
          <cell r="E409" t="str">
            <v>NO:0001147</v>
          </cell>
          <cell r="F409" t="str">
            <v>苹果</v>
          </cell>
          <cell r="G409" t="str">
            <v>新世纪一级</v>
          </cell>
          <cell r="H409">
            <v>1</v>
          </cell>
          <cell r="I409" t="str">
            <v>箱</v>
          </cell>
          <cell r="J409">
            <v>2.6</v>
          </cell>
          <cell r="K409" t="str">
            <v/>
          </cell>
          <cell r="L409" t="str">
            <v/>
          </cell>
          <cell r="M409" t="str">
            <v/>
          </cell>
          <cell r="N409" t="str">
            <v>纸箱</v>
          </cell>
          <cell r="O409" t="str">
            <v/>
          </cell>
          <cell r="P409" t="str">
            <v/>
          </cell>
          <cell r="Q409" t="str">
            <v/>
          </cell>
          <cell r="R409" t="str">
            <v>新N*V5L92</v>
          </cell>
          <cell r="S409" t="str">
            <v>公司筐</v>
          </cell>
          <cell r="T409" t="str">
            <v>王照雪</v>
          </cell>
          <cell r="U409" t="str">
            <v/>
          </cell>
          <cell r="V409" t="str">
            <v/>
          </cell>
          <cell r="W409" t="str">
            <v/>
          </cell>
          <cell r="X409" t="str">
            <v>电商/主播</v>
          </cell>
          <cell r="Y409" t="str">
            <v/>
          </cell>
        </row>
        <row r="409">
          <cell r="AA409" t="str">
            <v/>
          </cell>
          <cell r="AB409" t="str">
            <v/>
          </cell>
          <cell r="AC409" t="str">
            <v/>
          </cell>
          <cell r="AD409" t="str">
            <v>成品出库</v>
          </cell>
          <cell r="AE409" t="str">
            <v/>
          </cell>
          <cell r="AF409" t="str">
            <v/>
          </cell>
        </row>
        <row r="410">
          <cell r="B410">
            <v>46280</v>
          </cell>
          <cell r="C410" t="str">
            <v>王照雪</v>
          </cell>
          <cell r="D410" t="str">
            <v>成品出库－果然鲜销售</v>
          </cell>
          <cell r="E410" t="str">
            <v>NO:0001148</v>
          </cell>
          <cell r="F410" t="str">
            <v>苹果</v>
          </cell>
          <cell r="G410" t="str">
            <v>新世纪一级</v>
          </cell>
          <cell r="H410">
            <v>1</v>
          </cell>
          <cell r="I410" t="str">
            <v>箱</v>
          </cell>
          <cell r="J410">
            <v>5</v>
          </cell>
          <cell r="K410">
            <v>40</v>
          </cell>
          <cell r="L410" t="str">
            <v>已收讫</v>
          </cell>
          <cell r="M410" t="str">
            <v/>
          </cell>
          <cell r="N410" t="str">
            <v>纸箱</v>
          </cell>
          <cell r="O410" t="str">
            <v/>
          </cell>
          <cell r="P410" t="str">
            <v/>
          </cell>
          <cell r="Q410" t="str">
            <v/>
          </cell>
          <cell r="R410" t="str">
            <v>新N*V5L92</v>
          </cell>
          <cell r="S410" t="str">
            <v>公司筐</v>
          </cell>
          <cell r="T410" t="str">
            <v>王照雪</v>
          </cell>
          <cell r="U410">
            <v>30</v>
          </cell>
          <cell r="V410">
            <v>30</v>
          </cell>
          <cell r="W410" t="str">
            <v>已付清</v>
          </cell>
          <cell r="X410" t="str">
            <v>张三</v>
          </cell>
          <cell r="Y410">
            <v>40</v>
          </cell>
        </row>
        <row r="410">
          <cell r="AA410" t="str">
            <v/>
          </cell>
          <cell r="AB410" t="str">
            <v/>
          </cell>
          <cell r="AC410">
            <v>10</v>
          </cell>
          <cell r="AD410" t="str">
            <v>果然鲜销售</v>
          </cell>
          <cell r="AE410">
            <v>40</v>
          </cell>
          <cell r="AF410">
            <v>40</v>
          </cell>
        </row>
        <row r="411">
          <cell r="B411">
            <v>46280</v>
          </cell>
          <cell r="C411" t="str">
            <v>麦麦提</v>
          </cell>
          <cell r="D411" t="str">
            <v>成品出库－果然鲜送礼</v>
          </cell>
          <cell r="E411" t="str">
            <v>NO:0001149</v>
          </cell>
          <cell r="F411" t="str">
            <v>香梨</v>
          </cell>
          <cell r="G411" t="str">
            <v>香梨特级</v>
          </cell>
          <cell r="H411">
            <v>2</v>
          </cell>
          <cell r="I411" t="str">
            <v>箱</v>
          </cell>
          <cell r="J411">
            <v>10</v>
          </cell>
          <cell r="K411">
            <v>100</v>
          </cell>
          <cell r="L411" t="str">
            <v>已收讫</v>
          </cell>
          <cell r="M411" t="str">
            <v/>
          </cell>
          <cell r="N411" t="str">
            <v>纸箱</v>
          </cell>
          <cell r="O411" t="str">
            <v/>
          </cell>
          <cell r="P411" t="str">
            <v/>
          </cell>
          <cell r="Q411" t="str">
            <v/>
          </cell>
          <cell r="R411" t="str">
            <v>新N*V5L92</v>
          </cell>
          <cell r="S411" t="str">
            <v>公司筐</v>
          </cell>
          <cell r="T411" t="str">
            <v>麦麦提</v>
          </cell>
          <cell r="U411">
            <v>30</v>
          </cell>
          <cell r="V411">
            <v>60</v>
          </cell>
          <cell r="W411" t="str">
            <v>未付款</v>
          </cell>
          <cell r="X411" t="str">
            <v>李四</v>
          </cell>
          <cell r="Y411">
            <v>40</v>
          </cell>
        </row>
        <row r="411">
          <cell r="AA411" t="str">
            <v/>
          </cell>
          <cell r="AB411">
            <v>20</v>
          </cell>
          <cell r="AC411" t="str">
            <v/>
          </cell>
          <cell r="AD411" t="str">
            <v>果然鲜送礼</v>
          </cell>
          <cell r="AE411">
            <v>80</v>
          </cell>
          <cell r="AF411">
            <v>60</v>
          </cell>
        </row>
        <row r="412">
          <cell r="B412">
            <v>46280</v>
          </cell>
          <cell r="C412" t="str">
            <v>热合曼</v>
          </cell>
          <cell r="D412" t="str">
            <v>成品出库－果然鲜福利</v>
          </cell>
          <cell r="E412" t="str">
            <v>NO:0001150</v>
          </cell>
          <cell r="F412" t="str">
            <v>香梨</v>
          </cell>
          <cell r="G412" t="str">
            <v>香梨一级</v>
          </cell>
          <cell r="H412">
            <v>3</v>
          </cell>
          <cell r="I412" t="str">
            <v>箱</v>
          </cell>
          <cell r="J412">
            <v>15</v>
          </cell>
          <cell r="K412">
            <v>130</v>
          </cell>
          <cell r="L412" t="str">
            <v>未收款</v>
          </cell>
          <cell r="M412" t="str">
            <v/>
          </cell>
          <cell r="N412" t="str">
            <v>纸箱</v>
          </cell>
          <cell r="O412" t="str">
            <v/>
          </cell>
          <cell r="P412" t="str">
            <v/>
          </cell>
          <cell r="Q412" t="str">
            <v/>
          </cell>
          <cell r="R412" t="str">
            <v>新N*V5L92</v>
          </cell>
          <cell r="S412" t="str">
            <v>公司筐</v>
          </cell>
          <cell r="T412" t="str">
            <v>热合曼</v>
          </cell>
          <cell r="U412">
            <v>30</v>
          </cell>
          <cell r="V412">
            <v>90</v>
          </cell>
          <cell r="W412" t="str">
            <v>已付清</v>
          </cell>
          <cell r="X412" t="str">
            <v>王二</v>
          </cell>
          <cell r="Y412">
            <v>40</v>
          </cell>
        </row>
        <row r="412">
          <cell r="AA412">
            <v>10</v>
          </cell>
          <cell r="AB412" t="str">
            <v/>
          </cell>
          <cell r="AC412" t="str">
            <v/>
          </cell>
          <cell r="AD412" t="str">
            <v>果然鲜福利</v>
          </cell>
          <cell r="AE412">
            <v>120</v>
          </cell>
          <cell r="AF412">
            <v>90</v>
          </cell>
        </row>
        <row r="413">
          <cell r="B413">
            <v>46280</v>
          </cell>
          <cell r="C413" t="str">
            <v>王灵云</v>
          </cell>
          <cell r="D413" t="str">
            <v>成品出库－果然鲜商务</v>
          </cell>
          <cell r="E413" t="str">
            <v>NO:0001151</v>
          </cell>
          <cell r="F413" t="str">
            <v>香梨</v>
          </cell>
          <cell r="G413" t="str">
            <v>香梨一级</v>
          </cell>
          <cell r="H413">
            <v>4</v>
          </cell>
          <cell r="I413" t="str">
            <v>箱</v>
          </cell>
          <cell r="J413">
            <v>20</v>
          </cell>
          <cell r="K413">
            <v>160</v>
          </cell>
          <cell r="L413" t="str">
            <v>已收讫</v>
          </cell>
          <cell r="M413" t="str">
            <v/>
          </cell>
          <cell r="N413" t="str">
            <v>纸箱</v>
          </cell>
          <cell r="O413" t="str">
            <v/>
          </cell>
          <cell r="P413" t="str">
            <v/>
          </cell>
          <cell r="Q413" t="str">
            <v/>
          </cell>
          <cell r="R413" t="str">
            <v>新N*V5L92</v>
          </cell>
          <cell r="S413" t="str">
            <v>公司筐</v>
          </cell>
          <cell r="T413" t="str">
            <v>王灵云</v>
          </cell>
          <cell r="U413">
            <v>30</v>
          </cell>
          <cell r="V413">
            <v>120</v>
          </cell>
          <cell r="W413" t="str">
            <v>未付款</v>
          </cell>
          <cell r="X413" t="str">
            <v>赵一</v>
          </cell>
          <cell r="Y413">
            <v>40</v>
          </cell>
        </row>
        <row r="413">
          <cell r="AA413" t="str">
            <v/>
          </cell>
          <cell r="AB413" t="str">
            <v/>
          </cell>
          <cell r="AC413">
            <v>12</v>
          </cell>
          <cell r="AD413" t="str">
            <v>果然鲜商务</v>
          </cell>
          <cell r="AE413">
            <v>160</v>
          </cell>
          <cell r="AF413">
            <v>132</v>
          </cell>
        </row>
        <row r="414">
          <cell r="B414">
            <v>46281</v>
          </cell>
          <cell r="C414" t="str">
            <v>王照雪</v>
          </cell>
          <cell r="D414" t="str">
            <v>成品出库－成品出库</v>
          </cell>
          <cell r="E414" t="str">
            <v>NO:0001154</v>
          </cell>
          <cell r="F414" t="str">
            <v>苹果</v>
          </cell>
          <cell r="G414" t="str">
            <v>新世纪一级</v>
          </cell>
          <cell r="H414">
            <v>29</v>
          </cell>
          <cell r="I414" t="str">
            <v>箱</v>
          </cell>
          <cell r="J414">
            <v>147.9</v>
          </cell>
          <cell r="K414" t="str">
            <v/>
          </cell>
          <cell r="L414" t="str">
            <v/>
          </cell>
          <cell r="M414" t="str">
            <v/>
          </cell>
          <cell r="N414" t="str">
            <v>纸箱</v>
          </cell>
          <cell r="O414" t="str">
            <v/>
          </cell>
          <cell r="P414" t="str">
            <v/>
          </cell>
          <cell r="Q414" t="str">
            <v/>
          </cell>
          <cell r="R414" t="str">
            <v>豫N*P269J</v>
          </cell>
          <cell r="S414" t="str">
            <v>公司筐</v>
          </cell>
          <cell r="T414" t="str">
            <v>王照雪</v>
          </cell>
          <cell r="U414" t="str">
            <v/>
          </cell>
          <cell r="V414" t="str">
            <v/>
          </cell>
          <cell r="W414" t="str">
            <v/>
          </cell>
          <cell r="X414" t="str">
            <v>电商/主播</v>
          </cell>
          <cell r="Y414" t="str">
            <v/>
          </cell>
        </row>
        <row r="414">
          <cell r="AA414" t="str">
            <v/>
          </cell>
          <cell r="AB414" t="str">
            <v/>
          </cell>
          <cell r="AC414" t="str">
            <v/>
          </cell>
          <cell r="AD414" t="str">
            <v>成品出库</v>
          </cell>
          <cell r="AE414" t="str">
            <v/>
          </cell>
          <cell r="AF414" t="str">
            <v/>
          </cell>
        </row>
        <row r="415">
          <cell r="B415">
            <v>46281</v>
          </cell>
          <cell r="C415" t="str">
            <v>王照雪</v>
          </cell>
          <cell r="D415" t="str">
            <v>成品出库－成品出库</v>
          </cell>
          <cell r="E415" t="str">
            <v>NO:0001154</v>
          </cell>
          <cell r="F415" t="str">
            <v>苹果</v>
          </cell>
          <cell r="G415" t="str">
            <v>新世纪一级</v>
          </cell>
          <cell r="H415">
            <v>1</v>
          </cell>
          <cell r="I415" t="str">
            <v>箱</v>
          </cell>
          <cell r="J415">
            <v>2.6</v>
          </cell>
          <cell r="K415" t="str">
            <v/>
          </cell>
          <cell r="L415" t="str">
            <v/>
          </cell>
          <cell r="M415" t="str">
            <v/>
          </cell>
          <cell r="N415" t="str">
            <v>纸箱</v>
          </cell>
          <cell r="O415" t="str">
            <v/>
          </cell>
          <cell r="P415" t="str">
            <v/>
          </cell>
          <cell r="Q415" t="str">
            <v/>
          </cell>
          <cell r="R415" t="str">
            <v>豫N*P269J</v>
          </cell>
          <cell r="S415" t="str">
            <v>公司筐</v>
          </cell>
          <cell r="T415" t="str">
            <v>王照雪</v>
          </cell>
          <cell r="U415" t="str">
            <v/>
          </cell>
          <cell r="V415" t="str">
            <v/>
          </cell>
          <cell r="W415" t="str">
            <v/>
          </cell>
          <cell r="X415" t="str">
            <v>电商/主播</v>
          </cell>
          <cell r="Y415" t="str">
            <v/>
          </cell>
        </row>
        <row r="415">
          <cell r="AA415" t="str">
            <v/>
          </cell>
          <cell r="AB415" t="str">
            <v/>
          </cell>
          <cell r="AC415" t="str">
            <v/>
          </cell>
          <cell r="AD415" t="str">
            <v>成品出库</v>
          </cell>
          <cell r="AE415" t="str">
            <v/>
          </cell>
          <cell r="AF415" t="str">
            <v/>
          </cell>
        </row>
        <row r="416">
          <cell r="B416">
            <v>46281</v>
          </cell>
          <cell r="C416" t="str">
            <v>王照雪</v>
          </cell>
          <cell r="D416" t="str">
            <v>成品出库－成品出库</v>
          </cell>
          <cell r="E416" t="str">
            <v>NO:0001154</v>
          </cell>
          <cell r="F416" t="str">
            <v>香梨</v>
          </cell>
          <cell r="G416" t="str">
            <v>香梨一级</v>
          </cell>
          <cell r="H416">
            <v>3</v>
          </cell>
          <cell r="I416" t="str">
            <v>箱</v>
          </cell>
          <cell r="J416">
            <v>15</v>
          </cell>
          <cell r="K416" t="str">
            <v/>
          </cell>
          <cell r="L416" t="str">
            <v/>
          </cell>
          <cell r="M416" t="str">
            <v/>
          </cell>
          <cell r="N416" t="str">
            <v>纸箱</v>
          </cell>
          <cell r="O416" t="str">
            <v/>
          </cell>
          <cell r="P416" t="str">
            <v/>
          </cell>
          <cell r="Q416" t="str">
            <v/>
          </cell>
          <cell r="R416" t="str">
            <v>豫N*P269J</v>
          </cell>
          <cell r="S416" t="str">
            <v>公司筐</v>
          </cell>
          <cell r="T416" t="str">
            <v>王照雪</v>
          </cell>
          <cell r="U416" t="str">
            <v/>
          </cell>
          <cell r="V416" t="str">
            <v/>
          </cell>
          <cell r="W416" t="str">
            <v/>
          </cell>
          <cell r="X416" t="str">
            <v>电商/主播</v>
          </cell>
          <cell r="Y416" t="str">
            <v/>
          </cell>
        </row>
        <row r="416">
          <cell r="AA416" t="str">
            <v/>
          </cell>
          <cell r="AB416" t="str">
            <v/>
          </cell>
          <cell r="AC416" t="str">
            <v/>
          </cell>
          <cell r="AD416" t="str">
            <v>成品出库</v>
          </cell>
          <cell r="AE416" t="str">
            <v/>
          </cell>
          <cell r="AF416" t="str">
            <v/>
          </cell>
        </row>
        <row r="417">
          <cell r="B417">
            <v>46282</v>
          </cell>
          <cell r="C417" t="str">
            <v>王照雪</v>
          </cell>
          <cell r="D417" t="str">
            <v>成品出库－成品出库</v>
          </cell>
          <cell r="E417" t="str">
            <v>NO:0001166</v>
          </cell>
          <cell r="F417" t="str">
            <v>苹果</v>
          </cell>
          <cell r="G417" t="str">
            <v>苹果扎伤</v>
          </cell>
          <cell r="H417">
            <v>25</v>
          </cell>
          <cell r="I417" t="str">
            <v>筐</v>
          </cell>
          <cell r="J417">
            <v>440</v>
          </cell>
          <cell r="K417" t="str">
            <v/>
          </cell>
          <cell r="L417" t="str">
            <v/>
          </cell>
          <cell r="M417" t="str">
            <v/>
          </cell>
          <cell r="N417" t="str">
            <v>公司杂周转筐</v>
          </cell>
          <cell r="O417">
            <v>25</v>
          </cell>
          <cell r="P417" t="str">
            <v/>
          </cell>
          <cell r="Q417" t="str">
            <v/>
          </cell>
          <cell r="R417" t="str">
            <v>新N*GG901</v>
          </cell>
          <cell r="S417" t="str">
            <v>公司筐</v>
          </cell>
          <cell r="T417" t="str">
            <v>王照雪</v>
          </cell>
          <cell r="U417" t="str">
            <v/>
          </cell>
          <cell r="V417" t="str">
            <v/>
          </cell>
          <cell r="W417" t="str">
            <v/>
          </cell>
          <cell r="X417" t="str">
            <v>王照雪</v>
          </cell>
          <cell r="Y417" t="str">
            <v/>
          </cell>
        </row>
        <row r="417">
          <cell r="AA417" t="str">
            <v/>
          </cell>
          <cell r="AB417" t="str">
            <v/>
          </cell>
          <cell r="AC417" t="str">
            <v/>
          </cell>
          <cell r="AD417" t="str">
            <v>成品出库</v>
          </cell>
          <cell r="AE417" t="str">
            <v/>
          </cell>
          <cell r="AF417" t="str">
            <v/>
          </cell>
        </row>
        <row r="418">
          <cell r="B418">
            <v>46282</v>
          </cell>
          <cell r="C418" t="str">
            <v>王照雪</v>
          </cell>
          <cell r="D418" t="str">
            <v>成品出库－成品出库</v>
          </cell>
          <cell r="E418" t="str">
            <v>NO:0001168</v>
          </cell>
          <cell r="F418" t="str">
            <v>苹果</v>
          </cell>
          <cell r="G418" t="str">
            <v>新世纪一级</v>
          </cell>
          <cell r="H418">
            <v>27</v>
          </cell>
          <cell r="I418" t="str">
            <v>箱</v>
          </cell>
          <cell r="J418">
            <v>137.7</v>
          </cell>
          <cell r="K418" t="str">
            <v/>
          </cell>
          <cell r="L418" t="str">
            <v/>
          </cell>
          <cell r="M418" t="str">
            <v/>
          </cell>
          <cell r="N418" t="str">
            <v>纸箱</v>
          </cell>
          <cell r="O418" t="str">
            <v/>
          </cell>
          <cell r="P418" t="str">
            <v/>
          </cell>
          <cell r="Q418" t="str">
            <v/>
          </cell>
          <cell r="R418" t="str">
            <v>新N*V5L92</v>
          </cell>
          <cell r="S418" t="str">
            <v>公司筐</v>
          </cell>
          <cell r="T418" t="str">
            <v>王照雪</v>
          </cell>
          <cell r="U418" t="str">
            <v/>
          </cell>
          <cell r="V418" t="str">
            <v/>
          </cell>
          <cell r="W418" t="str">
            <v/>
          </cell>
          <cell r="X418" t="str">
            <v>电商/主播</v>
          </cell>
          <cell r="Y418" t="str">
            <v/>
          </cell>
        </row>
        <row r="418">
          <cell r="AA418" t="str">
            <v/>
          </cell>
          <cell r="AB418" t="str">
            <v/>
          </cell>
          <cell r="AC418" t="str">
            <v/>
          </cell>
          <cell r="AD418" t="str">
            <v>成品出库</v>
          </cell>
          <cell r="AE418" t="str">
            <v/>
          </cell>
          <cell r="AF418" t="str">
            <v/>
          </cell>
        </row>
        <row r="419">
          <cell r="B419">
            <v>46282</v>
          </cell>
          <cell r="C419" t="str">
            <v>王照雪</v>
          </cell>
          <cell r="D419" t="str">
            <v>成品出库－成品出库</v>
          </cell>
          <cell r="E419" t="str">
            <v>NO:0001168</v>
          </cell>
          <cell r="F419" t="str">
            <v>香梨</v>
          </cell>
          <cell r="G419" t="str">
            <v>香梨一级</v>
          </cell>
          <cell r="H419">
            <v>24</v>
          </cell>
          <cell r="I419" t="str">
            <v>箱</v>
          </cell>
          <cell r="J419">
            <v>120</v>
          </cell>
          <cell r="K419" t="str">
            <v/>
          </cell>
          <cell r="L419" t="str">
            <v/>
          </cell>
          <cell r="M419" t="str">
            <v/>
          </cell>
          <cell r="N419" t="str">
            <v>纸箱</v>
          </cell>
          <cell r="O419" t="str">
            <v/>
          </cell>
          <cell r="P419" t="str">
            <v/>
          </cell>
          <cell r="Q419" t="str">
            <v/>
          </cell>
          <cell r="R419" t="str">
            <v>新N*V5L92</v>
          </cell>
          <cell r="S419" t="str">
            <v>公司筐</v>
          </cell>
          <cell r="T419" t="str">
            <v>王照雪</v>
          </cell>
          <cell r="U419" t="str">
            <v/>
          </cell>
          <cell r="V419" t="str">
            <v/>
          </cell>
          <cell r="W419" t="str">
            <v/>
          </cell>
          <cell r="X419" t="str">
            <v>电商/主播</v>
          </cell>
          <cell r="Y419" t="str">
            <v/>
          </cell>
        </row>
        <row r="419">
          <cell r="AA419" t="str">
            <v/>
          </cell>
          <cell r="AB419" t="str">
            <v/>
          </cell>
          <cell r="AC419" t="str">
            <v/>
          </cell>
          <cell r="AD419" t="str">
            <v>成品出库</v>
          </cell>
          <cell r="AE419" t="str">
            <v/>
          </cell>
          <cell r="AF419" t="str">
            <v/>
          </cell>
        </row>
        <row r="420">
          <cell r="B420">
            <v>46283</v>
          </cell>
          <cell r="C420" t="str">
            <v>王照雪</v>
          </cell>
          <cell r="D420" t="str">
            <v>成品出库－成品出库</v>
          </cell>
          <cell r="E420" t="str">
            <v>NO:0001175</v>
          </cell>
          <cell r="F420" t="str">
            <v>苹果</v>
          </cell>
          <cell r="G420" t="str">
            <v>新世纪一级</v>
          </cell>
          <cell r="H420">
            <v>486</v>
          </cell>
          <cell r="I420" t="str">
            <v>筐</v>
          </cell>
          <cell r="J420">
            <v>8748</v>
          </cell>
          <cell r="K420" t="str">
            <v/>
          </cell>
          <cell r="L420" t="str">
            <v/>
          </cell>
          <cell r="M420" t="str">
            <v/>
          </cell>
          <cell r="N420" t="str">
            <v>自备一次性筐</v>
          </cell>
          <cell r="O420">
            <v>486</v>
          </cell>
          <cell r="P420" t="str">
            <v/>
          </cell>
          <cell r="Q420" t="str">
            <v/>
          </cell>
          <cell r="R420" t="str">
            <v>冀B*6E205</v>
          </cell>
          <cell r="S420" t="str">
            <v>自备筐</v>
          </cell>
          <cell r="T420" t="str">
            <v>王照雪</v>
          </cell>
          <cell r="U420" t="str">
            <v/>
          </cell>
          <cell r="V420" t="str">
            <v/>
          </cell>
          <cell r="W420" t="str">
            <v/>
          </cell>
          <cell r="X420" t="str">
            <v>王照雪</v>
          </cell>
          <cell r="Y420" t="str">
            <v/>
          </cell>
        </row>
        <row r="420">
          <cell r="AA420" t="str">
            <v/>
          </cell>
          <cell r="AB420" t="str">
            <v/>
          </cell>
          <cell r="AC420" t="str">
            <v/>
          </cell>
          <cell r="AD420" t="str">
            <v>成品出库</v>
          </cell>
          <cell r="AE420" t="str">
            <v/>
          </cell>
          <cell r="AF420" t="str">
            <v/>
          </cell>
        </row>
        <row r="421">
          <cell r="B421">
            <v>46283</v>
          </cell>
          <cell r="C421" t="str">
            <v>王照雪</v>
          </cell>
          <cell r="D421" t="str">
            <v>成品出库－成品出库</v>
          </cell>
          <cell r="E421" t="str">
            <v>NO:0001175</v>
          </cell>
          <cell r="F421" t="str">
            <v>苹果</v>
          </cell>
          <cell r="G421" t="str">
            <v>新世纪一级</v>
          </cell>
          <cell r="H421">
            <v>1152</v>
          </cell>
          <cell r="I421" t="str">
            <v>箱</v>
          </cell>
          <cell r="J421">
            <v>5529.6</v>
          </cell>
          <cell r="K421" t="str">
            <v/>
          </cell>
          <cell r="L421" t="str">
            <v/>
          </cell>
          <cell r="M421" t="str">
            <v/>
          </cell>
          <cell r="N421" t="str">
            <v>纸箱</v>
          </cell>
          <cell r="O421" t="str">
            <v/>
          </cell>
          <cell r="P421" t="str">
            <v/>
          </cell>
          <cell r="Q421" t="str">
            <v/>
          </cell>
          <cell r="R421" t="str">
            <v>冀B*6E205</v>
          </cell>
          <cell r="S421" t="str">
            <v>公司筐</v>
          </cell>
          <cell r="T421" t="str">
            <v>王照雪</v>
          </cell>
          <cell r="U421" t="str">
            <v/>
          </cell>
          <cell r="V421" t="str">
            <v/>
          </cell>
          <cell r="W421" t="str">
            <v/>
          </cell>
          <cell r="X421" t="str">
            <v>王照雪</v>
          </cell>
          <cell r="Y421" t="str">
            <v/>
          </cell>
        </row>
        <row r="421">
          <cell r="AA421" t="str">
            <v/>
          </cell>
          <cell r="AB421" t="str">
            <v/>
          </cell>
          <cell r="AC421" t="str">
            <v/>
          </cell>
          <cell r="AD421" t="str">
            <v>成品出库</v>
          </cell>
          <cell r="AE421" t="str">
            <v/>
          </cell>
          <cell r="AF421" t="str">
            <v/>
          </cell>
        </row>
        <row r="422">
          <cell r="B422">
            <v>46283</v>
          </cell>
          <cell r="C422" t="str">
            <v>王照雪</v>
          </cell>
          <cell r="D422" t="str">
            <v>成品出库－成品出库</v>
          </cell>
          <cell r="E422" t="str">
            <v>NO:0001177</v>
          </cell>
          <cell r="F422" t="str">
            <v>苹果</v>
          </cell>
          <cell r="G422" t="str">
            <v>新世纪一级</v>
          </cell>
          <cell r="H422">
            <v>26</v>
          </cell>
          <cell r="I422" t="str">
            <v>箱</v>
          </cell>
          <cell r="J422">
            <v>132.6</v>
          </cell>
          <cell r="K422" t="str">
            <v/>
          </cell>
          <cell r="L422" t="str">
            <v/>
          </cell>
          <cell r="M422" t="str">
            <v/>
          </cell>
          <cell r="N422" t="str">
            <v>纸箱</v>
          </cell>
          <cell r="O422" t="str">
            <v/>
          </cell>
          <cell r="P422" t="str">
            <v/>
          </cell>
          <cell r="Q422" t="str">
            <v/>
          </cell>
          <cell r="R422" t="str">
            <v>豫N*P269J</v>
          </cell>
          <cell r="S422" t="str">
            <v>公司筐</v>
          </cell>
          <cell r="T422" t="str">
            <v>王照雪</v>
          </cell>
          <cell r="U422" t="str">
            <v/>
          </cell>
          <cell r="V422" t="str">
            <v/>
          </cell>
          <cell r="W422" t="str">
            <v/>
          </cell>
          <cell r="X422" t="str">
            <v>电商/主播</v>
          </cell>
          <cell r="Y422" t="str">
            <v/>
          </cell>
        </row>
        <row r="422">
          <cell r="AA422" t="str">
            <v/>
          </cell>
          <cell r="AB422" t="str">
            <v/>
          </cell>
          <cell r="AC422" t="str">
            <v/>
          </cell>
          <cell r="AD422" t="str">
            <v>成品出库</v>
          </cell>
          <cell r="AE422" t="str">
            <v/>
          </cell>
          <cell r="AF422" t="str">
            <v/>
          </cell>
        </row>
        <row r="423">
          <cell r="B423">
            <v>46283</v>
          </cell>
          <cell r="C423" t="str">
            <v>王照雪</v>
          </cell>
          <cell r="D423" t="str">
            <v>成品出库－成品出库</v>
          </cell>
          <cell r="E423" t="str">
            <v>NO:0001177</v>
          </cell>
          <cell r="F423" t="str">
            <v>苹果</v>
          </cell>
          <cell r="G423" t="str">
            <v>新世纪一级</v>
          </cell>
          <cell r="H423">
            <v>10</v>
          </cell>
          <cell r="I423" t="str">
            <v>箱</v>
          </cell>
          <cell r="J423">
            <v>50</v>
          </cell>
          <cell r="K423" t="str">
            <v/>
          </cell>
          <cell r="L423" t="str">
            <v/>
          </cell>
          <cell r="M423" t="str">
            <v/>
          </cell>
          <cell r="N423" t="str">
            <v>纸箱</v>
          </cell>
          <cell r="O423" t="str">
            <v/>
          </cell>
          <cell r="P423" t="str">
            <v/>
          </cell>
          <cell r="Q423" t="str">
            <v/>
          </cell>
          <cell r="R423" t="str">
            <v>冀B*6E205</v>
          </cell>
          <cell r="S423" t="str">
            <v>公司筐</v>
          </cell>
          <cell r="T423" t="str">
            <v>王照雪</v>
          </cell>
          <cell r="U423" t="str">
            <v/>
          </cell>
          <cell r="V423" t="str">
            <v/>
          </cell>
          <cell r="W423" t="str">
            <v/>
          </cell>
          <cell r="X423" t="str">
            <v>王照雪</v>
          </cell>
          <cell r="Y423" t="str">
            <v/>
          </cell>
        </row>
        <row r="423">
          <cell r="AA423" t="str">
            <v/>
          </cell>
          <cell r="AB423" t="str">
            <v/>
          </cell>
          <cell r="AC423" t="str">
            <v/>
          </cell>
          <cell r="AD423" t="str">
            <v>成品出库</v>
          </cell>
          <cell r="AE423" t="str">
            <v/>
          </cell>
          <cell r="AF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</row>
        <row r="424"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</row>
        <row r="425"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</row>
        <row r="426"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</row>
        <row r="427"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</row>
        <row r="428"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</row>
        <row r="429"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</row>
        <row r="430">
          <cell r="AA430" t="str">
            <v/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  <cell r="AF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</row>
        <row r="431">
          <cell r="AA431" t="str">
            <v/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  <cell r="AF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</row>
        <row r="432"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</row>
        <row r="433"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</row>
        <row r="434"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</row>
        <row r="435"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</row>
        <row r="436"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</row>
        <row r="437"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</row>
        <row r="438"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</row>
        <row r="439"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</row>
        <row r="440"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 t="str">
            <v/>
          </cell>
          <cell r="AF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</row>
        <row r="441"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  <cell r="AF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</row>
        <row r="442"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</row>
        <row r="443"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</row>
        <row r="444"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</row>
        <row r="445"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</row>
        <row r="446"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  <cell r="AF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</row>
        <row r="447"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  <cell r="AF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</row>
        <row r="448"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  <cell r="AF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</row>
        <row r="449"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  <cell r="AF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</row>
        <row r="450"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</row>
        <row r="451">
          <cell r="AA451" t="str">
            <v/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  <cell r="AF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</row>
        <row r="452"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</row>
        <row r="453"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</row>
        <row r="454"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</row>
        <row r="455">
          <cell r="AA455" t="str">
            <v/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  <cell r="AF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</row>
        <row r="456">
          <cell r="AA456" t="str">
            <v/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  <cell r="AF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</row>
        <row r="457">
          <cell r="AA457" t="str">
            <v/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  <cell r="AF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</row>
        <row r="458">
          <cell r="AA458" t="str">
            <v/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  <cell r="AF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</row>
        <row r="459">
          <cell r="AA459" t="str">
            <v/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  <cell r="AF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</row>
        <row r="460">
          <cell r="AA460" t="str">
            <v/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  <cell r="AF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</row>
        <row r="461">
          <cell r="AA461" t="str">
            <v/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  <cell r="AF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</row>
        <row r="462">
          <cell r="AA462" t="str">
            <v/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  <cell r="AF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</row>
        <row r="463">
          <cell r="AA463" t="str">
            <v/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  <cell r="AF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</row>
        <row r="464">
          <cell r="AA464" t="str">
            <v/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  <cell r="AF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</row>
        <row r="465">
          <cell r="AA465" t="str">
            <v/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  <cell r="AF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</row>
        <row r="466">
          <cell r="AA466" t="str">
            <v/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  <cell r="AF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</row>
        <row r="467">
          <cell r="AA467" t="str">
            <v/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  <cell r="AF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</row>
        <row r="468">
          <cell r="AA468" t="str">
            <v/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  <cell r="AF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</row>
        <row r="469">
          <cell r="AA469" t="str">
            <v/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  <cell r="AF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</row>
        <row r="470">
          <cell r="AA470" t="str">
            <v/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  <cell r="AF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</row>
        <row r="471">
          <cell r="AA471" t="str">
            <v/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  <cell r="AF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</row>
        <row r="472">
          <cell r="AA472" t="str">
            <v/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  <cell r="AF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</row>
        <row r="473">
          <cell r="AA473" t="str">
            <v/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  <cell r="AF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</row>
        <row r="474">
          <cell r="AA474" t="str">
            <v/>
          </cell>
          <cell r="AB474" t="str">
            <v/>
          </cell>
          <cell r="AC474" t="str">
            <v/>
          </cell>
          <cell r="AD474" t="str">
            <v/>
          </cell>
          <cell r="AE474" t="str">
            <v/>
          </cell>
          <cell r="AF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</row>
        <row r="475">
          <cell r="AA475" t="str">
            <v/>
          </cell>
          <cell r="AB475" t="str">
            <v/>
          </cell>
          <cell r="AC475" t="str">
            <v/>
          </cell>
          <cell r="AD475" t="str">
            <v/>
          </cell>
          <cell r="AE475" t="str">
            <v/>
          </cell>
          <cell r="AF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</row>
        <row r="476"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</row>
        <row r="477">
          <cell r="AA477" t="str">
            <v/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  <cell r="AF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</row>
        <row r="478">
          <cell r="AA478" t="str">
            <v/>
          </cell>
          <cell r="AB478" t="str">
            <v/>
          </cell>
          <cell r="AC478" t="str">
            <v/>
          </cell>
          <cell r="AD478" t="str">
            <v/>
          </cell>
          <cell r="AE478" t="str">
            <v/>
          </cell>
          <cell r="AF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</row>
        <row r="479">
          <cell r="AA479" t="str">
            <v/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  <cell r="AF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</row>
        <row r="480">
          <cell r="AA480" t="str">
            <v/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  <cell r="AF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</row>
        <row r="481">
          <cell r="AA481" t="str">
            <v/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  <cell r="AF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</row>
        <row r="482">
          <cell r="AA482" t="str">
            <v/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  <cell r="AF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</row>
        <row r="483">
          <cell r="AA483" t="str">
            <v/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  <cell r="AF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</row>
        <row r="484">
          <cell r="AA484" t="str">
            <v/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  <cell r="AF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</row>
        <row r="485">
          <cell r="AA485" t="str">
            <v/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  <cell r="AF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</row>
        <row r="486">
          <cell r="AA486" t="str">
            <v/>
          </cell>
          <cell r="AB486" t="str">
            <v/>
          </cell>
          <cell r="AC486" t="str">
            <v/>
          </cell>
          <cell r="AD486" t="str">
            <v/>
          </cell>
          <cell r="AE486" t="str">
            <v/>
          </cell>
          <cell r="AF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</row>
        <row r="487">
          <cell r="AA487" t="str">
            <v/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  <cell r="AF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</row>
        <row r="488">
          <cell r="AA488" t="str">
            <v/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  <cell r="AF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</row>
        <row r="489">
          <cell r="AA489" t="str">
            <v/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  <cell r="AF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</row>
        <row r="490">
          <cell r="AA490" t="str">
            <v/>
          </cell>
          <cell r="AB490" t="str">
            <v/>
          </cell>
          <cell r="AC490" t="str">
            <v/>
          </cell>
          <cell r="AD490" t="str">
            <v/>
          </cell>
          <cell r="AE490" t="str">
            <v/>
          </cell>
          <cell r="AF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</row>
        <row r="491">
          <cell r="AA491" t="str">
            <v/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  <cell r="AF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</row>
        <row r="492">
          <cell r="AA492" t="str">
            <v/>
          </cell>
          <cell r="AB492" t="str">
            <v/>
          </cell>
          <cell r="AC492" t="str">
            <v/>
          </cell>
          <cell r="AD492" t="str">
            <v/>
          </cell>
          <cell r="AE492" t="str">
            <v/>
          </cell>
          <cell r="AF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</row>
        <row r="493">
          <cell r="AA493" t="str">
            <v/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  <cell r="AF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</row>
        <row r="494">
          <cell r="AA494" t="str">
            <v/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  <cell r="AF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</row>
        <row r="495">
          <cell r="AA495" t="str">
            <v/>
          </cell>
          <cell r="AB495" t="str">
            <v/>
          </cell>
          <cell r="AC495" t="str">
            <v/>
          </cell>
          <cell r="AD495" t="str">
            <v/>
          </cell>
          <cell r="AE495" t="str">
            <v/>
          </cell>
          <cell r="AF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</row>
        <row r="496">
          <cell r="AA496" t="str">
            <v/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  <cell r="AF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</row>
        <row r="497">
          <cell r="AA497" t="str">
            <v/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  <cell r="AF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</row>
        <row r="498">
          <cell r="AA498" t="str">
            <v/>
          </cell>
          <cell r="AB498" t="str">
            <v/>
          </cell>
          <cell r="AC498" t="str">
            <v/>
          </cell>
          <cell r="AD498" t="str">
            <v/>
          </cell>
          <cell r="AE498" t="str">
            <v/>
          </cell>
          <cell r="AF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</row>
        <row r="499">
          <cell r="AA499" t="str">
            <v/>
          </cell>
          <cell r="AB499" t="str">
            <v/>
          </cell>
          <cell r="AC499" t="str">
            <v/>
          </cell>
          <cell r="AD499" t="str">
            <v/>
          </cell>
          <cell r="AE499" t="str">
            <v/>
          </cell>
          <cell r="AF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</row>
        <row r="500">
          <cell r="AA500" t="str">
            <v/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  <cell r="AF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</row>
        <row r="501">
          <cell r="AA501" t="str">
            <v/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  <cell r="AF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</row>
        <row r="502">
          <cell r="AA502" t="str">
            <v/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  <cell r="AF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</row>
        <row r="503">
          <cell r="AA503" t="str">
            <v/>
          </cell>
          <cell r="AB503" t="str">
            <v/>
          </cell>
          <cell r="AC503" t="str">
            <v/>
          </cell>
          <cell r="AD503" t="str">
            <v/>
          </cell>
          <cell r="AE503" t="str">
            <v/>
          </cell>
          <cell r="AF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</row>
        <row r="504">
          <cell r="AA504" t="str">
            <v/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  <cell r="AF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</row>
        <row r="505">
          <cell r="AA505" t="str">
            <v/>
          </cell>
          <cell r="AB505" t="str">
            <v/>
          </cell>
          <cell r="AC505" t="str">
            <v/>
          </cell>
          <cell r="AD505" t="str">
            <v/>
          </cell>
          <cell r="AE505" t="str">
            <v/>
          </cell>
          <cell r="AF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</row>
        <row r="506">
          <cell r="AA506" t="str">
            <v/>
          </cell>
          <cell r="AB506" t="str">
            <v/>
          </cell>
          <cell r="AC506" t="str">
            <v/>
          </cell>
          <cell r="AD506" t="str">
            <v/>
          </cell>
          <cell r="AE506" t="str">
            <v/>
          </cell>
          <cell r="AF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</row>
        <row r="507">
          <cell r="AA507" t="str">
            <v/>
          </cell>
          <cell r="AB507" t="str">
            <v/>
          </cell>
          <cell r="AC507" t="str">
            <v/>
          </cell>
          <cell r="AD507" t="str">
            <v/>
          </cell>
          <cell r="AE507" t="str">
            <v/>
          </cell>
          <cell r="AF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</row>
        <row r="508">
          <cell r="AA508" t="str">
            <v/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  <cell r="AF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</row>
        <row r="509">
          <cell r="AA509" t="str">
            <v/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  <cell r="AF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</row>
        <row r="510">
          <cell r="AA510" t="str">
            <v/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  <cell r="AF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</row>
        <row r="511">
          <cell r="AA511" t="str">
            <v/>
          </cell>
          <cell r="AB511" t="str">
            <v/>
          </cell>
          <cell r="AC511" t="str">
            <v/>
          </cell>
          <cell r="AD511" t="str">
            <v/>
          </cell>
          <cell r="AE511" t="str">
            <v/>
          </cell>
          <cell r="AF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</row>
        <row r="512">
          <cell r="AA512" t="str">
            <v/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  <cell r="AF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</row>
        <row r="513">
          <cell r="AA513" t="str">
            <v/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  <cell r="AF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</row>
        <row r="514">
          <cell r="AA514" t="str">
            <v/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  <cell r="AF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</row>
        <row r="515">
          <cell r="AA515" t="str">
            <v/>
          </cell>
          <cell r="AB515" t="str">
            <v/>
          </cell>
          <cell r="AC515" t="str">
            <v/>
          </cell>
          <cell r="AD515" t="str">
            <v/>
          </cell>
          <cell r="AE515" t="str">
            <v/>
          </cell>
          <cell r="AF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</row>
        <row r="516">
          <cell r="AA516" t="str">
            <v/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  <cell r="AF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</row>
        <row r="517">
          <cell r="AA517" t="str">
            <v/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  <cell r="AF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</row>
        <row r="518">
          <cell r="AA518" t="str">
            <v/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  <cell r="AF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</row>
        <row r="519">
          <cell r="AA519" t="str">
            <v/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  <cell r="AF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</row>
        <row r="520">
          <cell r="AA520" t="str">
            <v/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  <cell r="AF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</row>
        <row r="521">
          <cell r="AA521" t="str">
            <v/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  <cell r="AF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</row>
        <row r="522">
          <cell r="AA522" t="str">
            <v/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  <cell r="AF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</row>
        <row r="523">
          <cell r="AA523" t="str">
            <v/>
          </cell>
          <cell r="AB523" t="str">
            <v/>
          </cell>
          <cell r="AC523" t="str">
            <v/>
          </cell>
          <cell r="AD523" t="str">
            <v/>
          </cell>
          <cell r="AE523" t="str">
            <v/>
          </cell>
          <cell r="AF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</row>
        <row r="524">
          <cell r="AA524" t="str">
            <v/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  <cell r="AF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</row>
        <row r="525">
          <cell r="AA525" t="str">
            <v/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  <cell r="AF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</row>
        <row r="526">
          <cell r="AA526" t="str">
            <v/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  <cell r="AF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</row>
        <row r="527">
          <cell r="AA527" t="str">
            <v/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  <cell r="AF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</row>
        <row r="528">
          <cell r="AA528" t="str">
            <v/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  <cell r="AF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</row>
        <row r="529">
          <cell r="AA529" t="str">
            <v/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  <cell r="AF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</row>
        <row r="530">
          <cell r="AA530" t="str">
            <v/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  <cell r="AF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</row>
        <row r="531">
          <cell r="AA531" t="str">
            <v/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  <cell r="AF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</row>
        <row r="532">
          <cell r="AA532" t="str">
            <v/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  <cell r="AF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</row>
        <row r="533"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  <cell r="AF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</row>
        <row r="534">
          <cell r="AA534" t="str">
            <v/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  <cell r="AF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</row>
        <row r="535">
          <cell r="AA535" t="str">
            <v/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  <cell r="AF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</row>
        <row r="536">
          <cell r="AA536" t="str">
            <v/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  <cell r="AF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</row>
        <row r="537"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  <cell r="AF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</row>
        <row r="538">
          <cell r="AA538" t="str">
            <v/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  <cell r="AF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</row>
        <row r="539">
          <cell r="AA539" t="str">
            <v/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  <cell r="AF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</row>
        <row r="540">
          <cell r="AA540" t="str">
            <v/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  <cell r="AF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</row>
        <row r="541">
          <cell r="AA541" t="str">
            <v/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  <cell r="AF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</row>
        <row r="542">
          <cell r="AA542" t="str">
            <v/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  <cell r="AF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</row>
        <row r="543">
          <cell r="AA543" t="str">
            <v/>
          </cell>
          <cell r="AB543" t="str">
            <v/>
          </cell>
          <cell r="AC543" t="str">
            <v/>
          </cell>
          <cell r="AD543" t="str">
            <v/>
          </cell>
          <cell r="AE543" t="str">
            <v/>
          </cell>
          <cell r="AF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</row>
        <row r="544">
          <cell r="AA544" t="str">
            <v/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  <cell r="AF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</row>
        <row r="545">
          <cell r="AA545" t="str">
            <v/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  <cell r="AF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</row>
        <row r="546">
          <cell r="AA546" t="str">
            <v/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  <cell r="AF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</row>
        <row r="547">
          <cell r="AA547" t="str">
            <v/>
          </cell>
          <cell r="AB547" t="str">
            <v/>
          </cell>
          <cell r="AC547" t="str">
            <v/>
          </cell>
          <cell r="AD547" t="str">
            <v/>
          </cell>
          <cell r="AE547" t="str">
            <v/>
          </cell>
          <cell r="AF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</row>
        <row r="548">
          <cell r="AA548" t="str">
            <v/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  <cell r="AF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</row>
        <row r="549">
          <cell r="AA549" t="str">
            <v/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  <cell r="AF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</row>
        <row r="550">
          <cell r="AA550" t="str">
            <v/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  <cell r="AF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</row>
        <row r="551">
          <cell r="AA551" t="str">
            <v/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  <cell r="AF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</row>
        <row r="552">
          <cell r="AA552" t="str">
            <v/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  <cell r="AF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</row>
        <row r="553">
          <cell r="AA553" t="str">
            <v/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  <cell r="AF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</row>
        <row r="554">
          <cell r="AA554" t="str">
            <v/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  <cell r="AF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</row>
        <row r="555">
          <cell r="AA555" t="str">
            <v/>
          </cell>
          <cell r="AB555" t="str">
            <v/>
          </cell>
          <cell r="AC555" t="str">
            <v/>
          </cell>
          <cell r="AD555" t="str">
            <v/>
          </cell>
          <cell r="AE555" t="str">
            <v/>
          </cell>
          <cell r="AF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</row>
        <row r="556">
          <cell r="AA556" t="str">
            <v/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  <cell r="AF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</row>
        <row r="557">
          <cell r="AA557" t="str">
            <v/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  <cell r="AF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</row>
        <row r="558">
          <cell r="AA558" t="str">
            <v/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  <cell r="AF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</row>
        <row r="559">
          <cell r="AA559" t="str">
            <v/>
          </cell>
          <cell r="AB559" t="str">
            <v/>
          </cell>
          <cell r="AC559" t="str">
            <v/>
          </cell>
          <cell r="AD559" t="str">
            <v/>
          </cell>
          <cell r="AE559" t="str">
            <v/>
          </cell>
          <cell r="AF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</row>
        <row r="560">
          <cell r="AA560" t="str">
            <v/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  <cell r="AF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</row>
        <row r="561">
          <cell r="AA561" t="str">
            <v/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  <cell r="AF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</row>
        <row r="562">
          <cell r="AA562" t="str">
            <v/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  <cell r="AF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</row>
        <row r="563">
          <cell r="AA563" t="str">
            <v/>
          </cell>
          <cell r="AB563" t="str">
            <v/>
          </cell>
          <cell r="AC563" t="str">
            <v/>
          </cell>
          <cell r="AD563" t="str">
            <v/>
          </cell>
          <cell r="AE563" t="str">
            <v/>
          </cell>
          <cell r="AF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</row>
        <row r="564">
          <cell r="AA564" t="str">
            <v/>
          </cell>
          <cell r="AB564" t="str">
            <v/>
          </cell>
          <cell r="AC564" t="str">
            <v/>
          </cell>
          <cell r="AD564" t="str">
            <v/>
          </cell>
          <cell r="AE564" t="str">
            <v/>
          </cell>
          <cell r="AF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</row>
        <row r="565">
          <cell r="AA565" t="str">
            <v/>
          </cell>
          <cell r="AB565" t="str">
            <v/>
          </cell>
          <cell r="AC565" t="str">
            <v/>
          </cell>
          <cell r="AD565" t="str">
            <v/>
          </cell>
          <cell r="AE565" t="str">
            <v/>
          </cell>
          <cell r="AF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</row>
        <row r="566">
          <cell r="AA566" t="str">
            <v/>
          </cell>
          <cell r="AB566" t="str">
            <v/>
          </cell>
          <cell r="AC566" t="str">
            <v/>
          </cell>
          <cell r="AD566" t="str">
            <v/>
          </cell>
          <cell r="AE566" t="str">
            <v/>
          </cell>
          <cell r="AF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</row>
        <row r="567">
          <cell r="AA567" t="str">
            <v/>
          </cell>
          <cell r="AB567" t="str">
            <v/>
          </cell>
          <cell r="AC567" t="str">
            <v/>
          </cell>
          <cell r="AD567" t="str">
            <v/>
          </cell>
          <cell r="AE567" t="str">
            <v/>
          </cell>
          <cell r="AF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</row>
        <row r="568">
          <cell r="AA568" t="str">
            <v/>
          </cell>
          <cell r="AB568" t="str">
            <v/>
          </cell>
          <cell r="AC568" t="str">
            <v/>
          </cell>
          <cell r="AD568" t="str">
            <v/>
          </cell>
          <cell r="AE568" t="str">
            <v/>
          </cell>
          <cell r="AF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</row>
        <row r="569">
          <cell r="AA569" t="str">
            <v/>
          </cell>
          <cell r="AB569" t="str">
            <v/>
          </cell>
          <cell r="AC569" t="str">
            <v/>
          </cell>
          <cell r="AD569" t="str">
            <v/>
          </cell>
          <cell r="AE569" t="str">
            <v/>
          </cell>
          <cell r="AF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</row>
        <row r="570">
          <cell r="AA570" t="str">
            <v/>
          </cell>
          <cell r="AB570" t="str">
            <v/>
          </cell>
          <cell r="AC570" t="str">
            <v/>
          </cell>
          <cell r="AD570" t="str">
            <v/>
          </cell>
          <cell r="AE570" t="str">
            <v/>
          </cell>
          <cell r="AF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</row>
        <row r="571">
          <cell r="AA571" t="str">
            <v/>
          </cell>
          <cell r="AB571" t="str">
            <v/>
          </cell>
          <cell r="AC571" t="str">
            <v/>
          </cell>
          <cell r="AD571" t="str">
            <v/>
          </cell>
          <cell r="AE571" t="str">
            <v/>
          </cell>
          <cell r="AF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</row>
        <row r="572">
          <cell r="AA572" t="str">
            <v/>
          </cell>
          <cell r="AB572" t="str">
            <v/>
          </cell>
          <cell r="AC572" t="str">
            <v/>
          </cell>
          <cell r="AD572" t="str">
            <v/>
          </cell>
          <cell r="AE572" t="str">
            <v/>
          </cell>
          <cell r="AF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</row>
        <row r="573">
          <cell r="AA573" t="str">
            <v/>
          </cell>
          <cell r="AB573" t="str">
            <v/>
          </cell>
          <cell r="AC573" t="str">
            <v/>
          </cell>
          <cell r="AD573" t="str">
            <v/>
          </cell>
          <cell r="AE573" t="str">
            <v/>
          </cell>
          <cell r="AF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</row>
        <row r="574">
          <cell r="AA574" t="str">
            <v/>
          </cell>
          <cell r="AB574" t="str">
            <v/>
          </cell>
          <cell r="AC574" t="str">
            <v/>
          </cell>
          <cell r="AD574" t="str">
            <v/>
          </cell>
          <cell r="AE574" t="str">
            <v/>
          </cell>
          <cell r="AF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</row>
        <row r="575">
          <cell r="AA575" t="str">
            <v/>
          </cell>
          <cell r="AB575" t="str">
            <v/>
          </cell>
          <cell r="AC575" t="str">
            <v/>
          </cell>
          <cell r="AD575" t="str">
            <v/>
          </cell>
          <cell r="AE575" t="str">
            <v/>
          </cell>
          <cell r="AF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</row>
        <row r="576">
          <cell r="AA576" t="str">
            <v/>
          </cell>
          <cell r="AB576" t="str">
            <v/>
          </cell>
          <cell r="AC576" t="str">
            <v/>
          </cell>
          <cell r="AD576" t="str">
            <v/>
          </cell>
          <cell r="AE576" t="str">
            <v/>
          </cell>
          <cell r="AF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</row>
        <row r="577">
          <cell r="AA577" t="str">
            <v/>
          </cell>
          <cell r="AB577" t="str">
            <v/>
          </cell>
          <cell r="AC577" t="str">
            <v/>
          </cell>
          <cell r="AD577" t="str">
            <v/>
          </cell>
          <cell r="AE577" t="str">
            <v/>
          </cell>
          <cell r="AF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</row>
        <row r="578">
          <cell r="AA578" t="str">
            <v/>
          </cell>
          <cell r="AB578" t="str">
            <v/>
          </cell>
          <cell r="AC578" t="str">
            <v/>
          </cell>
          <cell r="AD578" t="str">
            <v/>
          </cell>
          <cell r="AE578" t="str">
            <v/>
          </cell>
          <cell r="AF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</row>
        <row r="579">
          <cell r="AA579" t="str">
            <v/>
          </cell>
          <cell r="AB579" t="str">
            <v/>
          </cell>
          <cell r="AC579" t="str">
            <v/>
          </cell>
          <cell r="AD579" t="str">
            <v/>
          </cell>
          <cell r="AE579" t="str">
            <v/>
          </cell>
          <cell r="AF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</row>
        <row r="580">
          <cell r="AA580" t="str">
            <v/>
          </cell>
          <cell r="AB580" t="str">
            <v/>
          </cell>
          <cell r="AC580" t="str">
            <v/>
          </cell>
          <cell r="AD580" t="str">
            <v/>
          </cell>
          <cell r="AE580" t="str">
            <v/>
          </cell>
          <cell r="AF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</row>
        <row r="581">
          <cell r="AA581" t="str">
            <v/>
          </cell>
          <cell r="AB581" t="str">
            <v/>
          </cell>
          <cell r="AC581" t="str">
            <v/>
          </cell>
          <cell r="AD581" t="str">
            <v/>
          </cell>
          <cell r="AE581" t="str">
            <v/>
          </cell>
          <cell r="AF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</row>
        <row r="582">
          <cell r="AA582" t="str">
            <v/>
          </cell>
          <cell r="AB582" t="str">
            <v/>
          </cell>
          <cell r="AC582" t="str">
            <v/>
          </cell>
          <cell r="AD582" t="str">
            <v/>
          </cell>
          <cell r="AE582" t="str">
            <v/>
          </cell>
          <cell r="AF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</row>
        <row r="583">
          <cell r="AA583" t="str">
            <v/>
          </cell>
          <cell r="AB583" t="str">
            <v/>
          </cell>
          <cell r="AC583" t="str">
            <v/>
          </cell>
          <cell r="AD583" t="str">
            <v/>
          </cell>
          <cell r="AE583" t="str">
            <v/>
          </cell>
          <cell r="AF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</row>
        <row r="584">
          <cell r="AA584" t="str">
            <v/>
          </cell>
          <cell r="AB584" t="str">
            <v/>
          </cell>
          <cell r="AC584" t="str">
            <v/>
          </cell>
          <cell r="AD584" t="str">
            <v/>
          </cell>
          <cell r="AE584" t="str">
            <v/>
          </cell>
          <cell r="AF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</row>
        <row r="585">
          <cell r="AA585" t="str">
            <v/>
          </cell>
          <cell r="AB585" t="str">
            <v/>
          </cell>
          <cell r="AC585" t="str">
            <v/>
          </cell>
          <cell r="AD585" t="str">
            <v/>
          </cell>
          <cell r="AE585" t="str">
            <v/>
          </cell>
          <cell r="AF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</row>
        <row r="586">
          <cell r="AA586" t="str">
            <v/>
          </cell>
          <cell r="AB586" t="str">
            <v/>
          </cell>
          <cell r="AC586" t="str">
            <v/>
          </cell>
          <cell r="AD586" t="str">
            <v/>
          </cell>
          <cell r="AE586" t="str">
            <v/>
          </cell>
          <cell r="AF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</row>
        <row r="587">
          <cell r="AA587" t="str">
            <v/>
          </cell>
          <cell r="AB587" t="str">
            <v/>
          </cell>
          <cell r="AC587" t="str">
            <v/>
          </cell>
          <cell r="AD587" t="str">
            <v/>
          </cell>
          <cell r="AE587" t="str">
            <v/>
          </cell>
          <cell r="AF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</row>
        <row r="588">
          <cell r="AA588" t="str">
            <v/>
          </cell>
          <cell r="AB588" t="str">
            <v/>
          </cell>
          <cell r="AC588" t="str">
            <v/>
          </cell>
          <cell r="AD588" t="str">
            <v/>
          </cell>
          <cell r="AE588" t="str">
            <v/>
          </cell>
          <cell r="AF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</row>
        <row r="589">
          <cell r="AA589" t="str">
            <v/>
          </cell>
          <cell r="AB589" t="str">
            <v/>
          </cell>
          <cell r="AC589" t="str">
            <v/>
          </cell>
          <cell r="AD589" t="str">
            <v/>
          </cell>
          <cell r="AE589" t="str">
            <v/>
          </cell>
          <cell r="AF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</row>
        <row r="590">
          <cell r="AA590" t="str">
            <v/>
          </cell>
          <cell r="AB590" t="str">
            <v/>
          </cell>
          <cell r="AC590" t="str">
            <v/>
          </cell>
          <cell r="AD590" t="str">
            <v/>
          </cell>
          <cell r="AE590" t="str">
            <v/>
          </cell>
          <cell r="AF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</row>
        <row r="591">
          <cell r="AA591" t="str">
            <v/>
          </cell>
          <cell r="AB591" t="str">
            <v/>
          </cell>
          <cell r="AC591" t="str">
            <v/>
          </cell>
          <cell r="AD591" t="str">
            <v/>
          </cell>
          <cell r="AE591" t="str">
            <v/>
          </cell>
          <cell r="AF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</row>
        <row r="592">
          <cell r="AA592" t="str">
            <v/>
          </cell>
          <cell r="AB592" t="str">
            <v/>
          </cell>
          <cell r="AC592" t="str">
            <v/>
          </cell>
          <cell r="AD592" t="str">
            <v/>
          </cell>
          <cell r="AE592" t="str">
            <v/>
          </cell>
          <cell r="AF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</row>
        <row r="593">
          <cell r="AA593" t="str">
            <v/>
          </cell>
          <cell r="AB593" t="str">
            <v/>
          </cell>
          <cell r="AC593" t="str">
            <v/>
          </cell>
          <cell r="AD593" t="str">
            <v/>
          </cell>
          <cell r="AE593" t="str">
            <v/>
          </cell>
          <cell r="AF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</row>
        <row r="594">
          <cell r="AA594" t="str">
            <v/>
          </cell>
          <cell r="AB594" t="str">
            <v/>
          </cell>
          <cell r="AC594" t="str">
            <v/>
          </cell>
          <cell r="AD594" t="str">
            <v/>
          </cell>
          <cell r="AE594" t="str">
            <v/>
          </cell>
          <cell r="AF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</row>
        <row r="595">
          <cell r="AA595" t="str">
            <v/>
          </cell>
          <cell r="AB595" t="str">
            <v/>
          </cell>
          <cell r="AC595" t="str">
            <v/>
          </cell>
          <cell r="AD595" t="str">
            <v/>
          </cell>
          <cell r="AE595" t="str">
            <v/>
          </cell>
          <cell r="AF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</row>
        <row r="596">
          <cell r="AA596" t="str">
            <v/>
          </cell>
          <cell r="AB596" t="str">
            <v/>
          </cell>
          <cell r="AC596" t="str">
            <v/>
          </cell>
          <cell r="AD596" t="str">
            <v/>
          </cell>
          <cell r="AE596" t="str">
            <v/>
          </cell>
          <cell r="AF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</row>
        <row r="597">
          <cell r="AA597" t="str">
            <v/>
          </cell>
          <cell r="AB597" t="str">
            <v/>
          </cell>
          <cell r="AC597" t="str">
            <v/>
          </cell>
          <cell r="AD597" t="str">
            <v/>
          </cell>
          <cell r="AE597" t="str">
            <v/>
          </cell>
          <cell r="AF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</row>
        <row r="598">
          <cell r="AA598" t="str">
            <v/>
          </cell>
          <cell r="AB598" t="str">
            <v/>
          </cell>
          <cell r="AC598" t="str">
            <v/>
          </cell>
          <cell r="AD598" t="str">
            <v/>
          </cell>
          <cell r="AE598" t="str">
            <v/>
          </cell>
          <cell r="AF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</row>
        <row r="599">
          <cell r="AA599" t="str">
            <v/>
          </cell>
          <cell r="AB599" t="str">
            <v/>
          </cell>
          <cell r="AC599" t="str">
            <v/>
          </cell>
          <cell r="AD599" t="str">
            <v/>
          </cell>
          <cell r="AE599" t="str">
            <v/>
          </cell>
          <cell r="AF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</row>
        <row r="600">
          <cell r="AA600" t="str">
            <v/>
          </cell>
          <cell r="AB600" t="str">
            <v/>
          </cell>
          <cell r="AC600" t="str">
            <v/>
          </cell>
          <cell r="AD600" t="str">
            <v/>
          </cell>
          <cell r="AE600" t="str">
            <v/>
          </cell>
          <cell r="AF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</row>
        <row r="601">
          <cell r="AA601" t="str">
            <v/>
          </cell>
          <cell r="AB601" t="str">
            <v/>
          </cell>
          <cell r="AC601" t="str">
            <v/>
          </cell>
          <cell r="AD601" t="str">
            <v/>
          </cell>
          <cell r="AE601" t="str">
            <v/>
          </cell>
          <cell r="AF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</row>
        <row r="602">
          <cell r="AA602" t="str">
            <v/>
          </cell>
          <cell r="AB602" t="str">
            <v/>
          </cell>
          <cell r="AC602" t="str">
            <v/>
          </cell>
          <cell r="AD602" t="str">
            <v/>
          </cell>
          <cell r="AE602" t="str">
            <v/>
          </cell>
          <cell r="AF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</row>
        <row r="603">
          <cell r="AA603" t="str">
            <v/>
          </cell>
          <cell r="AB603" t="str">
            <v/>
          </cell>
          <cell r="AC603" t="str">
            <v/>
          </cell>
          <cell r="AD603" t="str">
            <v/>
          </cell>
          <cell r="AE603" t="str">
            <v/>
          </cell>
          <cell r="AF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</row>
        <row r="604">
          <cell r="AA604" t="str">
            <v/>
          </cell>
          <cell r="AB604" t="str">
            <v/>
          </cell>
          <cell r="AC604" t="str">
            <v/>
          </cell>
          <cell r="AD604" t="str">
            <v/>
          </cell>
          <cell r="AE604" t="str">
            <v/>
          </cell>
          <cell r="AF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</row>
        <row r="605">
          <cell r="AA605" t="str">
            <v/>
          </cell>
          <cell r="AB605" t="str">
            <v/>
          </cell>
          <cell r="AC605" t="str">
            <v/>
          </cell>
          <cell r="AD605" t="str">
            <v/>
          </cell>
          <cell r="AE605" t="str">
            <v/>
          </cell>
          <cell r="AF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</row>
        <row r="606">
          <cell r="AA606" t="str">
            <v/>
          </cell>
          <cell r="AB606" t="str">
            <v/>
          </cell>
          <cell r="AC606" t="str">
            <v/>
          </cell>
          <cell r="AD606" t="str">
            <v/>
          </cell>
          <cell r="AE606" t="str">
            <v/>
          </cell>
          <cell r="AF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</row>
        <row r="607">
          <cell r="AA607" t="str">
            <v/>
          </cell>
          <cell r="AB607" t="str">
            <v/>
          </cell>
          <cell r="AC607" t="str">
            <v/>
          </cell>
          <cell r="AD607" t="str">
            <v/>
          </cell>
          <cell r="AE607" t="str">
            <v/>
          </cell>
          <cell r="AF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</row>
        <row r="608">
          <cell r="AA608" t="str">
            <v/>
          </cell>
          <cell r="AB608" t="str">
            <v/>
          </cell>
          <cell r="AC608" t="str">
            <v/>
          </cell>
          <cell r="AD608" t="str">
            <v/>
          </cell>
          <cell r="AE608" t="str">
            <v/>
          </cell>
          <cell r="AF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</row>
        <row r="609">
          <cell r="AA609" t="str">
            <v/>
          </cell>
          <cell r="AB609" t="str">
            <v/>
          </cell>
          <cell r="AC609" t="str">
            <v/>
          </cell>
          <cell r="AD609" t="str">
            <v/>
          </cell>
          <cell r="AE609" t="str">
            <v/>
          </cell>
          <cell r="AF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</row>
        <row r="610">
          <cell r="AA610" t="str">
            <v/>
          </cell>
          <cell r="AB610" t="str">
            <v/>
          </cell>
          <cell r="AC610" t="str">
            <v/>
          </cell>
          <cell r="AD610" t="str">
            <v/>
          </cell>
          <cell r="AE610" t="str">
            <v/>
          </cell>
          <cell r="AF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</row>
        <row r="611">
          <cell r="AA611" t="str">
            <v/>
          </cell>
          <cell r="AB611" t="str">
            <v/>
          </cell>
          <cell r="AC611" t="str">
            <v/>
          </cell>
          <cell r="AD611" t="str">
            <v/>
          </cell>
          <cell r="AE611" t="str">
            <v/>
          </cell>
          <cell r="AF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</row>
        <row r="612">
          <cell r="AA612" t="str">
            <v/>
          </cell>
          <cell r="AB612" t="str">
            <v/>
          </cell>
          <cell r="AC612" t="str">
            <v/>
          </cell>
          <cell r="AD612" t="str">
            <v/>
          </cell>
          <cell r="AE612" t="str">
            <v/>
          </cell>
          <cell r="AF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</row>
        <row r="613">
          <cell r="AA613" t="str">
            <v/>
          </cell>
          <cell r="AB613" t="str">
            <v/>
          </cell>
          <cell r="AC613" t="str">
            <v/>
          </cell>
          <cell r="AD613" t="str">
            <v/>
          </cell>
          <cell r="AE613" t="str">
            <v/>
          </cell>
          <cell r="AF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</row>
        <row r="614">
          <cell r="AA614" t="str">
            <v/>
          </cell>
          <cell r="AB614" t="str">
            <v/>
          </cell>
          <cell r="AC614" t="str">
            <v/>
          </cell>
          <cell r="AD614" t="str">
            <v/>
          </cell>
          <cell r="AE614" t="str">
            <v/>
          </cell>
          <cell r="AF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</row>
        <row r="615">
          <cell r="AA615" t="str">
            <v/>
          </cell>
          <cell r="AB615" t="str">
            <v/>
          </cell>
          <cell r="AC615" t="str">
            <v/>
          </cell>
          <cell r="AD615" t="str">
            <v/>
          </cell>
          <cell r="AE615" t="str">
            <v/>
          </cell>
          <cell r="AF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</row>
        <row r="616">
          <cell r="AA616" t="str">
            <v/>
          </cell>
          <cell r="AB616" t="str">
            <v/>
          </cell>
          <cell r="AC616" t="str">
            <v/>
          </cell>
          <cell r="AD616" t="str">
            <v/>
          </cell>
          <cell r="AE616" t="str">
            <v/>
          </cell>
          <cell r="AF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</row>
        <row r="617">
          <cell r="AA617" t="str">
            <v/>
          </cell>
          <cell r="AB617" t="str">
            <v/>
          </cell>
          <cell r="AC617" t="str">
            <v/>
          </cell>
          <cell r="AD617" t="str">
            <v/>
          </cell>
          <cell r="AE617" t="str">
            <v/>
          </cell>
          <cell r="AF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</row>
        <row r="618">
          <cell r="AA618" t="str">
            <v/>
          </cell>
          <cell r="AB618" t="str">
            <v/>
          </cell>
          <cell r="AC618" t="str">
            <v/>
          </cell>
          <cell r="AD618" t="str">
            <v/>
          </cell>
          <cell r="AE618" t="str">
            <v/>
          </cell>
          <cell r="AF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</row>
        <row r="619">
          <cell r="AA619" t="str">
            <v/>
          </cell>
          <cell r="AB619" t="str">
            <v/>
          </cell>
          <cell r="AC619" t="str">
            <v/>
          </cell>
          <cell r="AD619" t="str">
            <v/>
          </cell>
          <cell r="AE619" t="str">
            <v/>
          </cell>
          <cell r="AF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</row>
        <row r="620">
          <cell r="AA620" t="str">
            <v/>
          </cell>
          <cell r="AB620" t="str">
            <v/>
          </cell>
          <cell r="AC620" t="str">
            <v/>
          </cell>
          <cell r="AD620" t="str">
            <v/>
          </cell>
          <cell r="AE620" t="str">
            <v/>
          </cell>
          <cell r="AF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</row>
        <row r="621">
          <cell r="AA621" t="str">
            <v/>
          </cell>
          <cell r="AB621" t="str">
            <v/>
          </cell>
          <cell r="AC621" t="str">
            <v/>
          </cell>
          <cell r="AD621" t="str">
            <v/>
          </cell>
          <cell r="AE621" t="str">
            <v/>
          </cell>
          <cell r="AF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</row>
        <row r="622">
          <cell r="AA622" t="str">
            <v/>
          </cell>
          <cell r="AB622" t="str">
            <v/>
          </cell>
          <cell r="AC622" t="str">
            <v/>
          </cell>
          <cell r="AD622" t="str">
            <v/>
          </cell>
          <cell r="AE622" t="str">
            <v/>
          </cell>
          <cell r="AF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</row>
        <row r="623">
          <cell r="AA623" t="str">
            <v/>
          </cell>
          <cell r="AB623" t="str">
            <v/>
          </cell>
          <cell r="AC623" t="str">
            <v/>
          </cell>
          <cell r="AD623" t="str">
            <v/>
          </cell>
          <cell r="AE623" t="str">
            <v/>
          </cell>
          <cell r="AF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</row>
        <row r="624">
          <cell r="AA624" t="str">
            <v/>
          </cell>
          <cell r="AB624" t="str">
            <v/>
          </cell>
          <cell r="AC624" t="str">
            <v/>
          </cell>
          <cell r="AD624" t="str">
            <v/>
          </cell>
          <cell r="AE624" t="str">
            <v/>
          </cell>
          <cell r="AF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</row>
        <row r="625">
          <cell r="AA625" t="str">
            <v/>
          </cell>
          <cell r="AB625" t="str">
            <v/>
          </cell>
          <cell r="AC625" t="str">
            <v/>
          </cell>
          <cell r="AD625" t="str">
            <v/>
          </cell>
          <cell r="AE625" t="str">
            <v/>
          </cell>
          <cell r="AF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</row>
        <row r="626">
          <cell r="AA626" t="str">
            <v/>
          </cell>
          <cell r="AB626" t="str">
            <v/>
          </cell>
          <cell r="AC626" t="str">
            <v/>
          </cell>
          <cell r="AD626" t="str">
            <v/>
          </cell>
          <cell r="AE626" t="str">
            <v/>
          </cell>
          <cell r="AF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</row>
        <row r="627">
          <cell r="AA627" t="str">
            <v/>
          </cell>
          <cell r="AB627" t="str">
            <v/>
          </cell>
          <cell r="AC627" t="str">
            <v/>
          </cell>
          <cell r="AD627" t="str">
            <v/>
          </cell>
          <cell r="AE627" t="str">
            <v/>
          </cell>
          <cell r="AF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</row>
        <row r="628">
          <cell r="AA628" t="str">
            <v/>
          </cell>
          <cell r="AB628" t="str">
            <v/>
          </cell>
          <cell r="AC628" t="str">
            <v/>
          </cell>
          <cell r="AD628" t="str">
            <v/>
          </cell>
          <cell r="AE628" t="str">
            <v/>
          </cell>
          <cell r="AF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</row>
        <row r="629">
          <cell r="AA629" t="str">
            <v/>
          </cell>
          <cell r="AB629" t="str">
            <v/>
          </cell>
          <cell r="AC629" t="str">
            <v/>
          </cell>
          <cell r="AD629" t="str">
            <v/>
          </cell>
          <cell r="AE629" t="str">
            <v/>
          </cell>
          <cell r="AF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</row>
        <row r="630">
          <cell r="AA630" t="str">
            <v/>
          </cell>
          <cell r="AB630" t="str">
            <v/>
          </cell>
          <cell r="AC630" t="str">
            <v/>
          </cell>
          <cell r="AD630" t="str">
            <v/>
          </cell>
          <cell r="AE630" t="str">
            <v/>
          </cell>
          <cell r="AF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str">
            <v/>
          </cell>
        </row>
        <row r="631">
          <cell r="AA631" t="str">
            <v/>
          </cell>
          <cell r="AB631" t="str">
            <v/>
          </cell>
          <cell r="AC631" t="str">
            <v/>
          </cell>
          <cell r="AD631" t="str">
            <v/>
          </cell>
          <cell r="AE631" t="str">
            <v/>
          </cell>
          <cell r="AF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</row>
        <row r="632">
          <cell r="AA632" t="str">
            <v/>
          </cell>
          <cell r="AB632" t="str">
            <v/>
          </cell>
          <cell r="AC632" t="str">
            <v/>
          </cell>
          <cell r="AD632" t="str">
            <v/>
          </cell>
          <cell r="AE632" t="str">
            <v/>
          </cell>
          <cell r="AF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</row>
        <row r="633">
          <cell r="AA633" t="str">
            <v/>
          </cell>
          <cell r="AB633" t="str">
            <v/>
          </cell>
          <cell r="AC633" t="str">
            <v/>
          </cell>
          <cell r="AD633" t="str">
            <v/>
          </cell>
          <cell r="AE633" t="str">
            <v/>
          </cell>
          <cell r="AF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</row>
        <row r="634">
          <cell r="AA634" t="str">
            <v/>
          </cell>
          <cell r="AB634" t="str">
            <v/>
          </cell>
          <cell r="AC634" t="str">
            <v/>
          </cell>
          <cell r="AD634" t="str">
            <v/>
          </cell>
          <cell r="AE634" t="str">
            <v/>
          </cell>
          <cell r="AF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</row>
        <row r="635">
          <cell r="AA635" t="str">
            <v/>
          </cell>
          <cell r="AB635" t="str">
            <v/>
          </cell>
          <cell r="AC635" t="str">
            <v/>
          </cell>
          <cell r="AD635" t="str">
            <v/>
          </cell>
          <cell r="AE635" t="str">
            <v/>
          </cell>
          <cell r="AF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</row>
        <row r="636">
          <cell r="AA636" t="str">
            <v/>
          </cell>
          <cell r="AB636" t="str">
            <v/>
          </cell>
          <cell r="AC636" t="str">
            <v/>
          </cell>
          <cell r="AD636" t="str">
            <v/>
          </cell>
          <cell r="AE636" t="str">
            <v/>
          </cell>
          <cell r="AF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</row>
        <row r="637">
          <cell r="AA637" t="str">
            <v/>
          </cell>
          <cell r="AB637" t="str">
            <v/>
          </cell>
          <cell r="AC637" t="str">
            <v/>
          </cell>
          <cell r="AD637" t="str">
            <v/>
          </cell>
          <cell r="AE637" t="str">
            <v/>
          </cell>
          <cell r="AF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</row>
        <row r="638">
          <cell r="AA638" t="str">
            <v/>
          </cell>
          <cell r="AB638" t="str">
            <v/>
          </cell>
          <cell r="AC638" t="str">
            <v/>
          </cell>
          <cell r="AD638" t="str">
            <v/>
          </cell>
          <cell r="AE638" t="str">
            <v/>
          </cell>
          <cell r="AF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</row>
        <row r="639">
          <cell r="AA639" t="str">
            <v/>
          </cell>
          <cell r="AB639" t="str">
            <v/>
          </cell>
          <cell r="AC639" t="str">
            <v/>
          </cell>
          <cell r="AD639" t="str">
            <v/>
          </cell>
          <cell r="AE639" t="str">
            <v/>
          </cell>
          <cell r="AF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</row>
        <row r="640">
          <cell r="AA640" t="str">
            <v/>
          </cell>
          <cell r="AB640" t="str">
            <v/>
          </cell>
          <cell r="AC640" t="str">
            <v/>
          </cell>
          <cell r="AD640" t="str">
            <v/>
          </cell>
          <cell r="AE640" t="str">
            <v/>
          </cell>
          <cell r="AF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</row>
        <row r="641">
          <cell r="AA641" t="str">
            <v/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  <cell r="AF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</row>
        <row r="642">
          <cell r="AA642" t="str">
            <v/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  <cell r="AF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</row>
        <row r="643">
          <cell r="AA643" t="str">
            <v/>
          </cell>
          <cell r="AB643" t="str">
            <v/>
          </cell>
          <cell r="AC643" t="str">
            <v/>
          </cell>
          <cell r="AD643" t="str">
            <v/>
          </cell>
          <cell r="AE643" t="str">
            <v/>
          </cell>
          <cell r="AF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</row>
        <row r="644">
          <cell r="AA644" t="str">
            <v/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  <cell r="AF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</row>
        <row r="645">
          <cell r="AA645" t="str">
            <v/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  <cell r="AF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</row>
        <row r="646">
          <cell r="AA646" t="str">
            <v/>
          </cell>
          <cell r="AB646" t="str">
            <v/>
          </cell>
          <cell r="AC646" t="str">
            <v/>
          </cell>
          <cell r="AD646" t="str">
            <v/>
          </cell>
          <cell r="AE646" t="str">
            <v/>
          </cell>
          <cell r="AF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</row>
        <row r="647">
          <cell r="AA647" t="str">
            <v/>
          </cell>
          <cell r="AB647" t="str">
            <v/>
          </cell>
          <cell r="AC647" t="str">
            <v/>
          </cell>
          <cell r="AD647" t="str">
            <v/>
          </cell>
          <cell r="AE647" t="str">
            <v/>
          </cell>
          <cell r="AF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</row>
        <row r="648">
          <cell r="AA648" t="str">
            <v/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  <cell r="AF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</row>
        <row r="649">
          <cell r="AA649" t="str">
            <v/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  <cell r="AF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</row>
        <row r="650">
          <cell r="AA650" t="str">
            <v/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  <cell r="AF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</row>
        <row r="651">
          <cell r="AA651" t="str">
            <v/>
          </cell>
          <cell r="AB651" t="str">
            <v/>
          </cell>
          <cell r="AC651" t="str">
            <v/>
          </cell>
          <cell r="AD651" t="str">
            <v/>
          </cell>
          <cell r="AE651" t="str">
            <v/>
          </cell>
          <cell r="AF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</row>
        <row r="652">
          <cell r="AA652" t="str">
            <v/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  <cell r="AF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</row>
        <row r="653">
          <cell r="AA653" t="str">
            <v/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  <cell r="AF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</row>
        <row r="654">
          <cell r="AA654" t="str">
            <v/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  <cell r="AF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</row>
        <row r="655">
          <cell r="AA655" t="str">
            <v/>
          </cell>
          <cell r="AB655" t="str">
            <v/>
          </cell>
          <cell r="AC655" t="str">
            <v/>
          </cell>
          <cell r="AD655" t="str">
            <v/>
          </cell>
          <cell r="AE655" t="str">
            <v/>
          </cell>
          <cell r="AF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</row>
        <row r="656">
          <cell r="AA656" t="str">
            <v/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  <cell r="AF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</row>
        <row r="657">
          <cell r="AA657" t="str">
            <v/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  <cell r="AF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</row>
        <row r="658">
          <cell r="AA658" t="str">
            <v/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  <cell r="AF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</row>
        <row r="659">
          <cell r="AA659" t="str">
            <v/>
          </cell>
          <cell r="AB659" t="str">
            <v/>
          </cell>
          <cell r="AC659" t="str">
            <v/>
          </cell>
          <cell r="AD659" t="str">
            <v/>
          </cell>
          <cell r="AE659" t="str">
            <v/>
          </cell>
          <cell r="AF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</row>
        <row r="660">
          <cell r="AA660" t="str">
            <v/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  <cell r="AF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</row>
        <row r="661">
          <cell r="AA661" t="str">
            <v/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  <cell r="AF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</row>
        <row r="662">
          <cell r="AA662" t="str">
            <v/>
          </cell>
          <cell r="AB662" t="str">
            <v/>
          </cell>
          <cell r="AC662" t="str">
            <v/>
          </cell>
          <cell r="AD662" t="str">
            <v/>
          </cell>
          <cell r="AE662" t="str">
            <v/>
          </cell>
          <cell r="AF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</row>
        <row r="663">
          <cell r="AA663" t="str">
            <v/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  <cell r="AF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</row>
        <row r="664">
          <cell r="AA664" t="str">
            <v/>
          </cell>
          <cell r="AB664" t="str">
            <v/>
          </cell>
          <cell r="AC664" t="str">
            <v/>
          </cell>
          <cell r="AD664" t="str">
            <v/>
          </cell>
          <cell r="AE664" t="str">
            <v/>
          </cell>
          <cell r="AF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</row>
        <row r="665">
          <cell r="AA665" t="str">
            <v/>
          </cell>
          <cell r="AB665" t="str">
            <v/>
          </cell>
          <cell r="AC665" t="str">
            <v/>
          </cell>
          <cell r="AD665" t="str">
            <v/>
          </cell>
          <cell r="AE665" t="str">
            <v/>
          </cell>
          <cell r="AF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</row>
        <row r="666">
          <cell r="AA666" t="str">
            <v/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  <cell r="AF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</row>
        <row r="667">
          <cell r="AA667" t="str">
            <v/>
          </cell>
          <cell r="AB667" t="str">
            <v/>
          </cell>
          <cell r="AC667" t="str">
            <v/>
          </cell>
          <cell r="AD667" t="str">
            <v/>
          </cell>
          <cell r="AE667" t="str">
            <v/>
          </cell>
          <cell r="AF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</row>
        <row r="668">
          <cell r="AA668" t="str">
            <v/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  <cell r="AF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</row>
        <row r="669">
          <cell r="AA669" t="str">
            <v/>
          </cell>
          <cell r="AB669" t="str">
            <v/>
          </cell>
          <cell r="AC669" t="str">
            <v/>
          </cell>
          <cell r="AD669" t="str">
            <v/>
          </cell>
          <cell r="AE669" t="str">
            <v/>
          </cell>
          <cell r="AF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</row>
        <row r="670">
          <cell r="AA670" t="str">
            <v/>
          </cell>
          <cell r="AB670" t="str">
            <v/>
          </cell>
          <cell r="AC670" t="str">
            <v/>
          </cell>
          <cell r="AD670" t="str">
            <v/>
          </cell>
          <cell r="AE670" t="str">
            <v/>
          </cell>
          <cell r="AF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</row>
        <row r="671">
          <cell r="AA671" t="str">
            <v/>
          </cell>
          <cell r="AB671" t="str">
            <v/>
          </cell>
          <cell r="AC671" t="str">
            <v/>
          </cell>
          <cell r="AD671" t="str">
            <v/>
          </cell>
          <cell r="AE671" t="str">
            <v/>
          </cell>
          <cell r="AF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</row>
        <row r="672">
          <cell r="AA672" t="str">
            <v/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  <cell r="AF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</row>
        <row r="673">
          <cell r="AA673" t="str">
            <v/>
          </cell>
          <cell r="AB673" t="str">
            <v/>
          </cell>
          <cell r="AC673" t="str">
            <v/>
          </cell>
          <cell r="AD673" t="str">
            <v/>
          </cell>
          <cell r="AE673" t="str">
            <v/>
          </cell>
          <cell r="AF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</row>
        <row r="674">
          <cell r="AA674" t="str">
            <v/>
          </cell>
          <cell r="AB674" t="str">
            <v/>
          </cell>
          <cell r="AC674" t="str">
            <v/>
          </cell>
          <cell r="AD674" t="str">
            <v/>
          </cell>
          <cell r="AE674" t="str">
            <v/>
          </cell>
          <cell r="AF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</row>
        <row r="675">
          <cell r="AA675" t="str">
            <v/>
          </cell>
          <cell r="AB675" t="str">
            <v/>
          </cell>
          <cell r="AC675" t="str">
            <v/>
          </cell>
          <cell r="AD675" t="str">
            <v/>
          </cell>
          <cell r="AE675" t="str">
            <v/>
          </cell>
          <cell r="AF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</row>
        <row r="676">
          <cell r="AA676" t="str">
            <v/>
          </cell>
          <cell r="AB676" t="str">
            <v/>
          </cell>
          <cell r="AC676" t="str">
            <v/>
          </cell>
          <cell r="AD676" t="str">
            <v/>
          </cell>
          <cell r="AE676" t="str">
            <v/>
          </cell>
          <cell r="AF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</row>
        <row r="677">
          <cell r="AA677" t="str">
            <v/>
          </cell>
          <cell r="AB677" t="str">
            <v/>
          </cell>
          <cell r="AC677" t="str">
            <v/>
          </cell>
          <cell r="AD677" t="str">
            <v/>
          </cell>
          <cell r="AE677" t="str">
            <v/>
          </cell>
          <cell r="AF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</row>
        <row r="678">
          <cell r="AA678" t="str">
            <v/>
          </cell>
          <cell r="AB678" t="str">
            <v/>
          </cell>
          <cell r="AC678" t="str">
            <v/>
          </cell>
          <cell r="AD678" t="str">
            <v/>
          </cell>
          <cell r="AE678" t="str">
            <v/>
          </cell>
          <cell r="AF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</row>
        <row r="679">
          <cell r="AA679" t="str">
            <v/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  <cell r="AF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</row>
        <row r="680">
          <cell r="AA680" t="str">
            <v/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  <cell r="AF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</row>
        <row r="681">
          <cell r="AA681" t="str">
            <v/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  <cell r="AF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</row>
        <row r="682">
          <cell r="AA682" t="str">
            <v/>
          </cell>
          <cell r="AB682" t="str">
            <v/>
          </cell>
          <cell r="AC682" t="str">
            <v/>
          </cell>
          <cell r="AD682" t="str">
            <v/>
          </cell>
          <cell r="AE682" t="str">
            <v/>
          </cell>
          <cell r="AF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</row>
        <row r="683">
          <cell r="AA683" t="str">
            <v/>
          </cell>
          <cell r="AB683" t="str">
            <v/>
          </cell>
          <cell r="AC683" t="str">
            <v/>
          </cell>
          <cell r="AD683" t="str">
            <v/>
          </cell>
          <cell r="AE683" t="str">
            <v/>
          </cell>
          <cell r="AF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</row>
        <row r="684">
          <cell r="AA684" t="str">
            <v/>
          </cell>
          <cell r="AB684" t="str">
            <v/>
          </cell>
          <cell r="AC684" t="str">
            <v/>
          </cell>
          <cell r="AD684" t="str">
            <v/>
          </cell>
          <cell r="AE684" t="str">
            <v/>
          </cell>
          <cell r="AF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</row>
        <row r="685">
          <cell r="AA685" t="str">
            <v/>
          </cell>
          <cell r="AB685" t="str">
            <v/>
          </cell>
          <cell r="AC685" t="str">
            <v/>
          </cell>
          <cell r="AD685" t="str">
            <v/>
          </cell>
          <cell r="AE685" t="str">
            <v/>
          </cell>
          <cell r="AF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</row>
        <row r="686">
          <cell r="AA686" t="str">
            <v/>
          </cell>
          <cell r="AB686" t="str">
            <v/>
          </cell>
          <cell r="AC686" t="str">
            <v/>
          </cell>
          <cell r="AD686" t="str">
            <v/>
          </cell>
          <cell r="AE686" t="str">
            <v/>
          </cell>
          <cell r="AF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</row>
        <row r="687">
          <cell r="AA687" t="str">
            <v/>
          </cell>
          <cell r="AB687" t="str">
            <v/>
          </cell>
          <cell r="AC687" t="str">
            <v/>
          </cell>
          <cell r="AD687" t="str">
            <v/>
          </cell>
          <cell r="AE687" t="str">
            <v/>
          </cell>
          <cell r="AF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</row>
        <row r="688">
          <cell r="AA688" t="str">
            <v/>
          </cell>
          <cell r="AB688" t="str">
            <v/>
          </cell>
          <cell r="AC688" t="str">
            <v/>
          </cell>
          <cell r="AD688" t="str">
            <v/>
          </cell>
          <cell r="AE688" t="str">
            <v/>
          </cell>
          <cell r="AF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</row>
        <row r="689">
          <cell r="AA689" t="str">
            <v/>
          </cell>
          <cell r="AB689" t="str">
            <v/>
          </cell>
          <cell r="AC689" t="str">
            <v/>
          </cell>
          <cell r="AD689" t="str">
            <v/>
          </cell>
          <cell r="AE689" t="str">
            <v/>
          </cell>
          <cell r="AF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</row>
        <row r="690">
          <cell r="AA690" t="str">
            <v/>
          </cell>
          <cell r="AB690" t="str">
            <v/>
          </cell>
          <cell r="AC690" t="str">
            <v/>
          </cell>
          <cell r="AD690" t="str">
            <v/>
          </cell>
          <cell r="AE690" t="str">
            <v/>
          </cell>
          <cell r="AF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</row>
        <row r="691">
          <cell r="AA691" t="str">
            <v/>
          </cell>
          <cell r="AB691" t="str">
            <v/>
          </cell>
          <cell r="AC691" t="str">
            <v/>
          </cell>
          <cell r="AD691" t="str">
            <v/>
          </cell>
          <cell r="AE691" t="str">
            <v/>
          </cell>
          <cell r="AF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</row>
        <row r="692">
          <cell r="AA692" t="str">
            <v/>
          </cell>
          <cell r="AB692" t="str">
            <v/>
          </cell>
          <cell r="AC692" t="str">
            <v/>
          </cell>
          <cell r="AD692" t="str">
            <v/>
          </cell>
          <cell r="AE692" t="str">
            <v/>
          </cell>
          <cell r="AF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</row>
        <row r="693">
          <cell r="AA693" t="str">
            <v/>
          </cell>
          <cell r="AB693" t="str">
            <v/>
          </cell>
          <cell r="AC693" t="str">
            <v/>
          </cell>
          <cell r="AD693" t="str">
            <v/>
          </cell>
          <cell r="AE693" t="str">
            <v/>
          </cell>
          <cell r="AF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str">
            <v/>
          </cell>
        </row>
        <row r="694">
          <cell r="AA694" t="str">
            <v/>
          </cell>
          <cell r="AB694" t="str">
            <v/>
          </cell>
          <cell r="AC694" t="str">
            <v/>
          </cell>
          <cell r="AD694" t="str">
            <v/>
          </cell>
          <cell r="AE694" t="str">
            <v/>
          </cell>
          <cell r="AF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</row>
        <row r="695">
          <cell r="AA695" t="str">
            <v/>
          </cell>
          <cell r="AB695" t="str">
            <v/>
          </cell>
          <cell r="AC695" t="str">
            <v/>
          </cell>
          <cell r="AD695" t="str">
            <v/>
          </cell>
          <cell r="AE695" t="str">
            <v/>
          </cell>
          <cell r="AF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str">
            <v/>
          </cell>
        </row>
        <row r="696">
          <cell r="AA696" t="str">
            <v/>
          </cell>
          <cell r="AB696" t="str">
            <v/>
          </cell>
          <cell r="AC696" t="str">
            <v/>
          </cell>
          <cell r="AD696" t="str">
            <v/>
          </cell>
          <cell r="AE696" t="str">
            <v/>
          </cell>
          <cell r="AF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</row>
        <row r="697">
          <cell r="AA697" t="str">
            <v/>
          </cell>
          <cell r="AB697" t="str">
            <v/>
          </cell>
          <cell r="AC697" t="str">
            <v/>
          </cell>
          <cell r="AD697" t="str">
            <v/>
          </cell>
          <cell r="AE697" t="str">
            <v/>
          </cell>
          <cell r="AF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</row>
        <row r="698">
          <cell r="AA698" t="str">
            <v/>
          </cell>
          <cell r="AB698" t="str">
            <v/>
          </cell>
          <cell r="AC698" t="str">
            <v/>
          </cell>
          <cell r="AD698" t="str">
            <v/>
          </cell>
          <cell r="AE698" t="str">
            <v/>
          </cell>
          <cell r="AF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</row>
        <row r="699">
          <cell r="AA699" t="str">
            <v/>
          </cell>
          <cell r="AB699" t="str">
            <v/>
          </cell>
          <cell r="AC699" t="str">
            <v/>
          </cell>
          <cell r="AD699" t="str">
            <v/>
          </cell>
          <cell r="AE699" t="str">
            <v/>
          </cell>
          <cell r="AF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</row>
        <row r="700">
          <cell r="AA700" t="str">
            <v/>
          </cell>
          <cell r="AB700" t="str">
            <v/>
          </cell>
          <cell r="AC700" t="str">
            <v/>
          </cell>
          <cell r="AD700" t="str">
            <v/>
          </cell>
          <cell r="AE700" t="str">
            <v/>
          </cell>
          <cell r="AF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</row>
        <row r="701">
          <cell r="AA701" t="str">
            <v/>
          </cell>
          <cell r="AB701" t="str">
            <v/>
          </cell>
          <cell r="AC701" t="str">
            <v/>
          </cell>
          <cell r="AD701" t="str">
            <v/>
          </cell>
          <cell r="AE701" t="str">
            <v/>
          </cell>
          <cell r="AF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</row>
        <row r="702">
          <cell r="AA702" t="str">
            <v/>
          </cell>
          <cell r="AB702" t="str">
            <v/>
          </cell>
          <cell r="AC702" t="str">
            <v/>
          </cell>
          <cell r="AD702" t="str">
            <v/>
          </cell>
          <cell r="AE702" t="str">
            <v/>
          </cell>
          <cell r="AF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</row>
        <row r="703">
          <cell r="AA703" t="str">
            <v/>
          </cell>
          <cell r="AB703" t="str">
            <v/>
          </cell>
          <cell r="AC703" t="str">
            <v/>
          </cell>
          <cell r="AD703" t="str">
            <v/>
          </cell>
          <cell r="AE703" t="str">
            <v/>
          </cell>
          <cell r="AF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</row>
        <row r="704">
          <cell r="AA704" t="str">
            <v/>
          </cell>
          <cell r="AB704" t="str">
            <v/>
          </cell>
          <cell r="AC704" t="str">
            <v/>
          </cell>
          <cell r="AD704" t="str">
            <v/>
          </cell>
          <cell r="AE704" t="str">
            <v/>
          </cell>
          <cell r="AF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</row>
        <row r="705">
          <cell r="AA705" t="str">
            <v/>
          </cell>
          <cell r="AB705" t="str">
            <v/>
          </cell>
          <cell r="AC705" t="str">
            <v/>
          </cell>
          <cell r="AD705" t="str">
            <v/>
          </cell>
          <cell r="AE705" t="str">
            <v/>
          </cell>
          <cell r="AF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</row>
        <row r="706">
          <cell r="AA706" t="str">
            <v/>
          </cell>
          <cell r="AB706" t="str">
            <v/>
          </cell>
          <cell r="AC706" t="str">
            <v/>
          </cell>
          <cell r="AD706" t="str">
            <v/>
          </cell>
          <cell r="AE706" t="str">
            <v/>
          </cell>
          <cell r="AF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</row>
        <row r="707">
          <cell r="AA707" t="str">
            <v/>
          </cell>
          <cell r="AB707" t="str">
            <v/>
          </cell>
          <cell r="AC707" t="str">
            <v/>
          </cell>
          <cell r="AD707" t="str">
            <v/>
          </cell>
          <cell r="AE707" t="str">
            <v/>
          </cell>
          <cell r="AF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</row>
        <row r="708">
          <cell r="AA708" t="str">
            <v/>
          </cell>
          <cell r="AB708" t="str">
            <v/>
          </cell>
          <cell r="AC708" t="str">
            <v/>
          </cell>
          <cell r="AD708" t="str">
            <v/>
          </cell>
          <cell r="AE708" t="str">
            <v/>
          </cell>
          <cell r="AF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</row>
        <row r="709">
          <cell r="AA709" t="str">
            <v/>
          </cell>
          <cell r="AB709" t="str">
            <v/>
          </cell>
          <cell r="AC709" t="str">
            <v/>
          </cell>
          <cell r="AD709" t="str">
            <v/>
          </cell>
          <cell r="AE709" t="str">
            <v/>
          </cell>
          <cell r="AF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</row>
        <row r="710">
          <cell r="AA710" t="str">
            <v/>
          </cell>
          <cell r="AB710" t="str">
            <v/>
          </cell>
          <cell r="AC710" t="str">
            <v/>
          </cell>
          <cell r="AD710" t="str">
            <v/>
          </cell>
          <cell r="AE710" t="str">
            <v/>
          </cell>
          <cell r="AF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</row>
        <row r="711">
          <cell r="AA711" t="str">
            <v/>
          </cell>
          <cell r="AB711" t="str">
            <v/>
          </cell>
          <cell r="AC711" t="str">
            <v/>
          </cell>
          <cell r="AD711" t="str">
            <v/>
          </cell>
          <cell r="AE711" t="str">
            <v/>
          </cell>
          <cell r="AF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</row>
        <row r="712">
          <cell r="AA712" t="str">
            <v/>
          </cell>
          <cell r="AB712" t="str">
            <v/>
          </cell>
          <cell r="AC712" t="str">
            <v/>
          </cell>
          <cell r="AD712" t="str">
            <v/>
          </cell>
          <cell r="AE712" t="str">
            <v/>
          </cell>
          <cell r="AF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</row>
        <row r="713">
          <cell r="AA713" t="str">
            <v/>
          </cell>
          <cell r="AB713" t="str">
            <v/>
          </cell>
          <cell r="AC713" t="str">
            <v/>
          </cell>
          <cell r="AD713" t="str">
            <v/>
          </cell>
          <cell r="AE713" t="str">
            <v/>
          </cell>
          <cell r="AF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</row>
        <row r="714">
          <cell r="AA714" t="str">
            <v/>
          </cell>
          <cell r="AB714" t="str">
            <v/>
          </cell>
          <cell r="AC714" t="str">
            <v/>
          </cell>
          <cell r="AD714" t="str">
            <v/>
          </cell>
          <cell r="AE714" t="str">
            <v/>
          </cell>
          <cell r="AF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</row>
        <row r="715">
          <cell r="AA715" t="str">
            <v/>
          </cell>
          <cell r="AB715" t="str">
            <v/>
          </cell>
          <cell r="AC715" t="str">
            <v/>
          </cell>
          <cell r="AD715" t="str">
            <v/>
          </cell>
          <cell r="AE715" t="str">
            <v/>
          </cell>
          <cell r="AF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</row>
        <row r="716">
          <cell r="AA716" t="str">
            <v/>
          </cell>
          <cell r="AB716" t="str">
            <v/>
          </cell>
          <cell r="AC716" t="str">
            <v/>
          </cell>
          <cell r="AD716" t="str">
            <v/>
          </cell>
          <cell r="AE716" t="str">
            <v/>
          </cell>
          <cell r="AF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</row>
        <row r="717">
          <cell r="AA717" t="str">
            <v/>
          </cell>
          <cell r="AB717" t="str">
            <v/>
          </cell>
          <cell r="AC717" t="str">
            <v/>
          </cell>
          <cell r="AD717" t="str">
            <v/>
          </cell>
          <cell r="AE717" t="str">
            <v/>
          </cell>
          <cell r="AF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</row>
        <row r="718">
          <cell r="AA718" t="str">
            <v/>
          </cell>
          <cell r="AB718" t="str">
            <v/>
          </cell>
          <cell r="AC718" t="str">
            <v/>
          </cell>
          <cell r="AD718" t="str">
            <v/>
          </cell>
          <cell r="AE718" t="str">
            <v/>
          </cell>
          <cell r="AF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</row>
        <row r="719">
          <cell r="AA719" t="str">
            <v/>
          </cell>
          <cell r="AB719" t="str">
            <v/>
          </cell>
          <cell r="AC719" t="str">
            <v/>
          </cell>
          <cell r="AD719" t="str">
            <v/>
          </cell>
          <cell r="AE719" t="str">
            <v/>
          </cell>
          <cell r="AF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</row>
        <row r="720">
          <cell r="AA720" t="str">
            <v/>
          </cell>
          <cell r="AB720" t="str">
            <v/>
          </cell>
          <cell r="AC720" t="str">
            <v/>
          </cell>
          <cell r="AD720" t="str">
            <v/>
          </cell>
          <cell r="AE720" t="str">
            <v/>
          </cell>
          <cell r="AF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</row>
        <row r="721">
          <cell r="AA721" t="str">
            <v/>
          </cell>
          <cell r="AB721" t="str">
            <v/>
          </cell>
          <cell r="AC721" t="str">
            <v/>
          </cell>
          <cell r="AD721" t="str">
            <v/>
          </cell>
          <cell r="AE721" t="str">
            <v/>
          </cell>
          <cell r="AF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</row>
        <row r="722">
          <cell r="AA722" t="str">
            <v/>
          </cell>
          <cell r="AB722" t="str">
            <v/>
          </cell>
          <cell r="AC722" t="str">
            <v/>
          </cell>
          <cell r="AD722" t="str">
            <v/>
          </cell>
          <cell r="AE722" t="str">
            <v/>
          </cell>
          <cell r="AF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</row>
        <row r="723">
          <cell r="AA723" t="str">
            <v/>
          </cell>
          <cell r="AB723" t="str">
            <v/>
          </cell>
          <cell r="AC723" t="str">
            <v/>
          </cell>
          <cell r="AD723" t="str">
            <v/>
          </cell>
          <cell r="AE723" t="str">
            <v/>
          </cell>
          <cell r="AF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</row>
        <row r="724">
          <cell r="AA724" t="str">
            <v/>
          </cell>
          <cell r="AB724" t="str">
            <v/>
          </cell>
          <cell r="AC724" t="str">
            <v/>
          </cell>
          <cell r="AD724" t="str">
            <v/>
          </cell>
          <cell r="AE724" t="str">
            <v/>
          </cell>
          <cell r="AF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</row>
        <row r="725">
          <cell r="AA725" t="str">
            <v/>
          </cell>
          <cell r="AB725" t="str">
            <v/>
          </cell>
          <cell r="AC725" t="str">
            <v/>
          </cell>
          <cell r="AD725" t="str">
            <v/>
          </cell>
          <cell r="AE725" t="str">
            <v/>
          </cell>
          <cell r="AF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</row>
        <row r="726">
          <cell r="AA726" t="str">
            <v/>
          </cell>
          <cell r="AB726" t="str">
            <v/>
          </cell>
          <cell r="AC726" t="str">
            <v/>
          </cell>
          <cell r="AD726" t="str">
            <v/>
          </cell>
          <cell r="AE726" t="str">
            <v/>
          </cell>
          <cell r="AF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</row>
        <row r="727">
          <cell r="AA727" t="str">
            <v/>
          </cell>
          <cell r="AB727" t="str">
            <v/>
          </cell>
          <cell r="AC727" t="str">
            <v/>
          </cell>
          <cell r="AD727" t="str">
            <v/>
          </cell>
          <cell r="AE727" t="str">
            <v/>
          </cell>
          <cell r="AF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</row>
        <row r="728">
          <cell r="AA728" t="str">
            <v/>
          </cell>
          <cell r="AB728" t="str">
            <v/>
          </cell>
          <cell r="AC728" t="str">
            <v/>
          </cell>
          <cell r="AD728" t="str">
            <v/>
          </cell>
          <cell r="AE728" t="str">
            <v/>
          </cell>
          <cell r="AF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</row>
        <row r="729">
          <cell r="AA729" t="str">
            <v/>
          </cell>
          <cell r="AB729" t="str">
            <v/>
          </cell>
          <cell r="AC729" t="str">
            <v/>
          </cell>
          <cell r="AD729" t="str">
            <v/>
          </cell>
          <cell r="AE729" t="str">
            <v/>
          </cell>
          <cell r="AF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</row>
        <row r="730">
          <cell r="AA730" t="str">
            <v/>
          </cell>
          <cell r="AB730" t="str">
            <v/>
          </cell>
          <cell r="AC730" t="str">
            <v/>
          </cell>
          <cell r="AD730" t="str">
            <v/>
          </cell>
          <cell r="AE730" t="str">
            <v/>
          </cell>
          <cell r="AF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</row>
        <row r="731">
          <cell r="AA731" t="str">
            <v/>
          </cell>
          <cell r="AB731" t="str">
            <v/>
          </cell>
          <cell r="AC731" t="str">
            <v/>
          </cell>
          <cell r="AD731" t="str">
            <v/>
          </cell>
          <cell r="AE731" t="str">
            <v/>
          </cell>
          <cell r="AF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</row>
        <row r="732">
          <cell r="AA732" t="str">
            <v/>
          </cell>
          <cell r="AB732" t="str">
            <v/>
          </cell>
          <cell r="AC732" t="str">
            <v/>
          </cell>
          <cell r="AD732" t="str">
            <v/>
          </cell>
          <cell r="AE732" t="str">
            <v/>
          </cell>
          <cell r="AF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</row>
        <row r="733">
          <cell r="AA733" t="str">
            <v/>
          </cell>
          <cell r="AB733" t="str">
            <v/>
          </cell>
          <cell r="AC733" t="str">
            <v/>
          </cell>
          <cell r="AD733" t="str">
            <v/>
          </cell>
          <cell r="AE733" t="str">
            <v/>
          </cell>
          <cell r="AF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</row>
        <row r="734">
          <cell r="AA734" t="str">
            <v/>
          </cell>
          <cell r="AB734" t="str">
            <v/>
          </cell>
          <cell r="AC734" t="str">
            <v/>
          </cell>
          <cell r="AD734" t="str">
            <v/>
          </cell>
          <cell r="AE734" t="str">
            <v/>
          </cell>
          <cell r="AF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</row>
        <row r="735">
          <cell r="AA735" t="str">
            <v/>
          </cell>
          <cell r="AB735" t="str">
            <v/>
          </cell>
          <cell r="AC735" t="str">
            <v/>
          </cell>
          <cell r="AD735" t="str">
            <v/>
          </cell>
          <cell r="AE735" t="str">
            <v/>
          </cell>
          <cell r="AF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</row>
        <row r="736">
          <cell r="AA736" t="str">
            <v/>
          </cell>
          <cell r="AB736" t="str">
            <v/>
          </cell>
          <cell r="AC736" t="str">
            <v/>
          </cell>
          <cell r="AD736" t="str">
            <v/>
          </cell>
          <cell r="AE736" t="str">
            <v/>
          </cell>
          <cell r="AF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</row>
        <row r="737">
          <cell r="AA737" t="str">
            <v/>
          </cell>
          <cell r="AB737" t="str">
            <v/>
          </cell>
          <cell r="AC737" t="str">
            <v/>
          </cell>
          <cell r="AD737" t="str">
            <v/>
          </cell>
          <cell r="AE737" t="str">
            <v/>
          </cell>
          <cell r="AF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</row>
        <row r="738">
          <cell r="AA738" t="str">
            <v/>
          </cell>
          <cell r="AB738" t="str">
            <v/>
          </cell>
          <cell r="AC738" t="str">
            <v/>
          </cell>
          <cell r="AD738" t="str">
            <v/>
          </cell>
          <cell r="AE738" t="str">
            <v/>
          </cell>
          <cell r="AF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</row>
        <row r="739">
          <cell r="AA739" t="str">
            <v/>
          </cell>
          <cell r="AB739" t="str">
            <v/>
          </cell>
          <cell r="AC739" t="str">
            <v/>
          </cell>
          <cell r="AD739" t="str">
            <v/>
          </cell>
          <cell r="AE739" t="str">
            <v/>
          </cell>
          <cell r="AF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</row>
        <row r="740">
          <cell r="AA740" t="str">
            <v/>
          </cell>
          <cell r="AB740" t="str">
            <v/>
          </cell>
          <cell r="AC740" t="str">
            <v/>
          </cell>
          <cell r="AD740" t="str">
            <v/>
          </cell>
          <cell r="AE740" t="str">
            <v/>
          </cell>
          <cell r="AF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</row>
        <row r="741">
          <cell r="AA741" t="str">
            <v/>
          </cell>
          <cell r="AB741" t="str">
            <v/>
          </cell>
          <cell r="AC741" t="str">
            <v/>
          </cell>
          <cell r="AD741" t="str">
            <v/>
          </cell>
          <cell r="AE741" t="str">
            <v/>
          </cell>
          <cell r="AF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</row>
        <row r="742">
          <cell r="AA742" t="str">
            <v/>
          </cell>
          <cell r="AB742" t="str">
            <v/>
          </cell>
          <cell r="AC742" t="str">
            <v/>
          </cell>
          <cell r="AD742" t="str">
            <v/>
          </cell>
          <cell r="AE742" t="str">
            <v/>
          </cell>
          <cell r="AF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</row>
        <row r="743">
          <cell r="AA743" t="str">
            <v/>
          </cell>
          <cell r="AB743" t="str">
            <v/>
          </cell>
          <cell r="AC743" t="str">
            <v/>
          </cell>
          <cell r="AD743" t="str">
            <v/>
          </cell>
          <cell r="AE743" t="str">
            <v/>
          </cell>
          <cell r="AF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</row>
        <row r="744">
          <cell r="AA744" t="str">
            <v/>
          </cell>
          <cell r="AB744" t="str">
            <v/>
          </cell>
          <cell r="AC744" t="str">
            <v/>
          </cell>
          <cell r="AD744" t="str">
            <v/>
          </cell>
          <cell r="AE744" t="str">
            <v/>
          </cell>
          <cell r="AF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</row>
        <row r="745">
          <cell r="AA745" t="str">
            <v/>
          </cell>
          <cell r="AB745" t="str">
            <v/>
          </cell>
          <cell r="AC745" t="str">
            <v/>
          </cell>
          <cell r="AD745" t="str">
            <v/>
          </cell>
          <cell r="AE745" t="str">
            <v/>
          </cell>
          <cell r="AF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</row>
        <row r="746">
          <cell r="AA746" t="str">
            <v/>
          </cell>
          <cell r="AB746" t="str">
            <v/>
          </cell>
          <cell r="AC746" t="str">
            <v/>
          </cell>
          <cell r="AD746" t="str">
            <v/>
          </cell>
          <cell r="AE746" t="str">
            <v/>
          </cell>
          <cell r="AF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</row>
        <row r="747">
          <cell r="AA747" t="str">
            <v/>
          </cell>
          <cell r="AB747" t="str">
            <v/>
          </cell>
          <cell r="AC747" t="str">
            <v/>
          </cell>
          <cell r="AD747" t="str">
            <v/>
          </cell>
          <cell r="AE747" t="str">
            <v/>
          </cell>
          <cell r="AF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</row>
        <row r="748">
          <cell r="AA748" t="str">
            <v/>
          </cell>
          <cell r="AB748" t="str">
            <v/>
          </cell>
          <cell r="AC748" t="str">
            <v/>
          </cell>
          <cell r="AD748" t="str">
            <v/>
          </cell>
          <cell r="AE748" t="str">
            <v/>
          </cell>
          <cell r="AF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</row>
        <row r="749">
          <cell r="AA749" t="str">
            <v/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  <cell r="AF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</row>
        <row r="750">
          <cell r="AA750" t="str">
            <v/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  <cell r="AF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</row>
        <row r="751">
          <cell r="AA751" t="str">
            <v/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  <cell r="AF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</row>
        <row r="752">
          <cell r="AA752" t="str">
            <v/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  <cell r="AF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</row>
        <row r="753">
          <cell r="AA753" t="str">
            <v/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  <cell r="AF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</row>
        <row r="754">
          <cell r="AA754" t="str">
            <v/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  <cell r="AF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</row>
        <row r="755">
          <cell r="AA755" t="str">
            <v/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  <cell r="AF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</row>
        <row r="756">
          <cell r="AA756" t="str">
            <v/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  <cell r="AF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</row>
        <row r="757">
          <cell r="AA757" t="str">
            <v/>
          </cell>
          <cell r="AB757" t="str">
            <v/>
          </cell>
          <cell r="AC757" t="str">
            <v/>
          </cell>
          <cell r="AD757" t="str">
            <v/>
          </cell>
          <cell r="AE757" t="str">
            <v/>
          </cell>
          <cell r="AF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</row>
        <row r="758">
          <cell r="AA758" t="str">
            <v/>
          </cell>
          <cell r="AB758" t="str">
            <v/>
          </cell>
          <cell r="AC758" t="str">
            <v/>
          </cell>
          <cell r="AD758" t="str">
            <v/>
          </cell>
          <cell r="AE758" t="str">
            <v/>
          </cell>
          <cell r="AF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</row>
        <row r="759">
          <cell r="AA759" t="str">
            <v/>
          </cell>
          <cell r="AB759" t="str">
            <v/>
          </cell>
          <cell r="AC759" t="str">
            <v/>
          </cell>
          <cell r="AD759" t="str">
            <v/>
          </cell>
          <cell r="AE759" t="str">
            <v/>
          </cell>
          <cell r="AF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</row>
        <row r="760">
          <cell r="AA760" t="str">
            <v/>
          </cell>
          <cell r="AB760" t="str">
            <v/>
          </cell>
          <cell r="AC760" t="str">
            <v/>
          </cell>
          <cell r="AD760" t="str">
            <v/>
          </cell>
          <cell r="AE760" t="str">
            <v/>
          </cell>
          <cell r="AF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</row>
        <row r="761">
          <cell r="AA761" t="str">
            <v/>
          </cell>
          <cell r="AB761" t="str">
            <v/>
          </cell>
          <cell r="AC761" t="str">
            <v/>
          </cell>
          <cell r="AD761" t="str">
            <v/>
          </cell>
          <cell r="AE761" t="str">
            <v/>
          </cell>
          <cell r="AF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</row>
        <row r="762">
          <cell r="AA762" t="str">
            <v/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  <cell r="AF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</row>
        <row r="763">
          <cell r="AA763" t="str">
            <v/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  <cell r="AF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</row>
        <row r="764">
          <cell r="AA764" t="str">
            <v/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  <cell r="AF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</row>
        <row r="765">
          <cell r="AA765" t="str">
            <v/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  <cell r="AF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</row>
        <row r="766">
          <cell r="AA766" t="str">
            <v/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  <cell r="AF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</row>
        <row r="767">
          <cell r="AA767" t="str">
            <v/>
          </cell>
          <cell r="AB767" t="str">
            <v/>
          </cell>
          <cell r="AC767" t="str">
            <v/>
          </cell>
          <cell r="AD767" t="str">
            <v/>
          </cell>
          <cell r="AE767" t="str">
            <v/>
          </cell>
          <cell r="AF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</row>
        <row r="768">
          <cell r="AA768" t="str">
            <v/>
          </cell>
          <cell r="AB768" t="str">
            <v/>
          </cell>
          <cell r="AC768" t="str">
            <v/>
          </cell>
          <cell r="AD768" t="str">
            <v/>
          </cell>
          <cell r="AE768" t="str">
            <v/>
          </cell>
          <cell r="AF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</row>
        <row r="769">
          <cell r="AA769" t="str">
            <v/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  <cell r="AF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</row>
        <row r="770">
          <cell r="AA770" t="str">
            <v/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  <cell r="AF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</row>
        <row r="771">
          <cell r="AA771" t="str">
            <v/>
          </cell>
          <cell r="AB771" t="str">
            <v/>
          </cell>
          <cell r="AC771" t="str">
            <v/>
          </cell>
          <cell r="AD771" t="str">
            <v/>
          </cell>
          <cell r="AE771" t="str">
            <v/>
          </cell>
          <cell r="AF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</row>
        <row r="772">
          <cell r="AA772" t="str">
            <v/>
          </cell>
          <cell r="AB772" t="str">
            <v/>
          </cell>
          <cell r="AC772" t="str">
            <v/>
          </cell>
          <cell r="AD772" t="str">
            <v/>
          </cell>
          <cell r="AE772" t="str">
            <v/>
          </cell>
          <cell r="AF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</row>
        <row r="773">
          <cell r="AA773" t="str">
            <v/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  <cell r="AF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</row>
        <row r="774">
          <cell r="AA774" t="str">
            <v/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  <cell r="AF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</row>
        <row r="775">
          <cell r="AA775" t="str">
            <v/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  <cell r="AF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</row>
        <row r="776">
          <cell r="AA776" t="str">
            <v/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  <cell r="AF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</row>
        <row r="777">
          <cell r="AA777" t="str">
            <v/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  <cell r="AF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</row>
        <row r="778">
          <cell r="AA778" t="str">
            <v/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  <cell r="AF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</row>
        <row r="779">
          <cell r="AA779" t="str">
            <v/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  <cell r="AF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</row>
        <row r="780">
          <cell r="AA780" t="str">
            <v/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  <cell r="AF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</row>
        <row r="781">
          <cell r="AA781" t="str">
            <v/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  <cell r="AF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</row>
        <row r="782">
          <cell r="AA782" t="str">
            <v/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  <cell r="AF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</row>
        <row r="783">
          <cell r="AA783" t="str">
            <v/>
          </cell>
          <cell r="AB783" t="str">
            <v/>
          </cell>
          <cell r="AC783" t="str">
            <v/>
          </cell>
          <cell r="AD783" t="str">
            <v/>
          </cell>
          <cell r="AE783" t="str">
            <v/>
          </cell>
          <cell r="AF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</row>
        <row r="784">
          <cell r="AA784" t="str">
            <v/>
          </cell>
          <cell r="AB784" t="str">
            <v/>
          </cell>
          <cell r="AC784" t="str">
            <v/>
          </cell>
          <cell r="AD784" t="str">
            <v/>
          </cell>
          <cell r="AE784" t="str">
            <v/>
          </cell>
          <cell r="AF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</row>
        <row r="785">
          <cell r="AA785" t="str">
            <v/>
          </cell>
          <cell r="AB785" t="str">
            <v/>
          </cell>
          <cell r="AC785" t="str">
            <v/>
          </cell>
          <cell r="AD785" t="str">
            <v/>
          </cell>
          <cell r="AE785" t="str">
            <v/>
          </cell>
          <cell r="AF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</row>
        <row r="786">
          <cell r="AA786" t="str">
            <v/>
          </cell>
          <cell r="AB786" t="str">
            <v/>
          </cell>
          <cell r="AC786" t="str">
            <v/>
          </cell>
          <cell r="AD786" t="str">
            <v/>
          </cell>
          <cell r="AE786" t="str">
            <v/>
          </cell>
          <cell r="AF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</row>
        <row r="787">
          <cell r="AA787" t="str">
            <v/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  <cell r="AF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</row>
        <row r="788">
          <cell r="AA788" t="str">
            <v/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  <cell r="AF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</row>
        <row r="789">
          <cell r="AA789" t="str">
            <v/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  <cell r="AF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</row>
        <row r="790">
          <cell r="AA790" t="str">
            <v/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  <cell r="AF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</row>
        <row r="791">
          <cell r="AA791" t="str">
            <v/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  <cell r="AF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</row>
        <row r="792">
          <cell r="AA792" t="str">
            <v/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  <cell r="AF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</row>
        <row r="793">
          <cell r="AA793" t="str">
            <v/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  <cell r="AF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</row>
        <row r="794">
          <cell r="AA794" t="str">
            <v/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  <cell r="AF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</row>
        <row r="795">
          <cell r="AA795" t="str">
            <v/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  <cell r="AF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</row>
        <row r="796">
          <cell r="AA796" t="str">
            <v/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  <cell r="AF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</row>
        <row r="797">
          <cell r="AA797" t="str">
            <v/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  <cell r="AF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</row>
        <row r="798">
          <cell r="AA798" t="str">
            <v/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  <cell r="AF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</row>
        <row r="799">
          <cell r="AA799" t="str">
            <v/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  <cell r="AF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</row>
        <row r="800">
          <cell r="AA800" t="str">
            <v/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  <cell r="AF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</row>
        <row r="801">
          <cell r="AA801" t="str">
            <v/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  <cell r="AF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</row>
        <row r="802">
          <cell r="AA802" t="str">
            <v/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  <cell r="AF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</row>
        <row r="803">
          <cell r="AA803" t="str">
            <v/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  <cell r="AF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</row>
        <row r="804">
          <cell r="AA804" t="str">
            <v/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  <cell r="AF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</row>
        <row r="805">
          <cell r="AA805" t="str">
            <v/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  <cell r="AF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</row>
        <row r="806">
          <cell r="AA806" t="str">
            <v/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  <cell r="AF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</row>
        <row r="807">
          <cell r="AA807" t="str">
            <v/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  <cell r="AF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</row>
        <row r="808">
          <cell r="AA808" t="str">
            <v/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  <cell r="AF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</row>
        <row r="809">
          <cell r="AA809" t="str">
            <v/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  <cell r="AF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</row>
        <row r="810">
          <cell r="AA810" t="str">
            <v/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  <cell r="AF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</row>
        <row r="811">
          <cell r="AA811" t="str">
            <v/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  <cell r="AF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</row>
        <row r="812">
          <cell r="AA812" t="str">
            <v/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  <cell r="AF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</row>
        <row r="813">
          <cell r="AA813" t="str">
            <v/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  <cell r="AF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</row>
        <row r="814">
          <cell r="AA814" t="str">
            <v/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  <cell r="AF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</row>
        <row r="815">
          <cell r="AA815" t="str">
            <v/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  <cell r="AF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</row>
        <row r="816">
          <cell r="AA816" t="str">
            <v/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  <cell r="AF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</row>
        <row r="817">
          <cell r="AA817" t="str">
            <v/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  <cell r="AF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</row>
        <row r="818">
          <cell r="AA818" t="str">
            <v/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  <cell r="AF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</row>
        <row r="819">
          <cell r="AA819" t="str">
            <v/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  <cell r="AF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</row>
        <row r="820">
          <cell r="AA820" t="str">
            <v/>
          </cell>
          <cell r="AB820" t="str">
            <v/>
          </cell>
          <cell r="AC820" t="str">
            <v/>
          </cell>
          <cell r="AD820" t="str">
            <v/>
          </cell>
          <cell r="AE820" t="str">
            <v/>
          </cell>
          <cell r="AF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</row>
        <row r="821">
          <cell r="AA821" t="str">
            <v/>
          </cell>
          <cell r="AB821" t="str">
            <v/>
          </cell>
          <cell r="AC821" t="str">
            <v/>
          </cell>
          <cell r="AD821" t="str">
            <v/>
          </cell>
          <cell r="AE821" t="str">
            <v/>
          </cell>
          <cell r="AF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</row>
        <row r="822">
          <cell r="AA822" t="str">
            <v/>
          </cell>
          <cell r="AB822" t="str">
            <v/>
          </cell>
          <cell r="AC822" t="str">
            <v/>
          </cell>
          <cell r="AD822" t="str">
            <v/>
          </cell>
          <cell r="AE822" t="str">
            <v/>
          </cell>
          <cell r="AF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</row>
        <row r="823">
          <cell r="AA823" t="str">
            <v/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  <cell r="AF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</row>
        <row r="824">
          <cell r="AA824" t="str">
            <v/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  <cell r="AF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</row>
        <row r="825">
          <cell r="AA825" t="str">
            <v/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  <cell r="AF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</row>
        <row r="826">
          <cell r="AA826" t="str">
            <v/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  <cell r="AF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</row>
        <row r="827">
          <cell r="AA827" t="str">
            <v/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  <cell r="AF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</row>
        <row r="828">
          <cell r="AA828" t="str">
            <v/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  <cell r="AF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</row>
        <row r="829">
          <cell r="AA829" t="str">
            <v/>
          </cell>
          <cell r="AB829" t="str">
            <v/>
          </cell>
          <cell r="AC829" t="str">
            <v/>
          </cell>
          <cell r="AD829" t="str">
            <v/>
          </cell>
          <cell r="AE829" t="str">
            <v/>
          </cell>
          <cell r="AF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</row>
        <row r="830">
          <cell r="AA830" t="str">
            <v/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  <cell r="AF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</row>
        <row r="831">
          <cell r="AA831" t="str">
            <v/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  <cell r="AF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</row>
        <row r="832">
          <cell r="AA832" t="str">
            <v/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  <cell r="AF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</row>
        <row r="833">
          <cell r="AA833" t="str">
            <v/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  <cell r="AF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</row>
        <row r="834">
          <cell r="AA834" t="str">
            <v/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  <cell r="AF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</row>
        <row r="835">
          <cell r="AA835" t="str">
            <v/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  <cell r="AF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</row>
        <row r="836">
          <cell r="AA836" t="str">
            <v/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  <cell r="AF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</row>
        <row r="837">
          <cell r="AA837" t="str">
            <v/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  <cell r="AF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</row>
        <row r="838">
          <cell r="AA838" t="str">
            <v/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  <cell r="AF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</row>
        <row r="839">
          <cell r="AA839" t="str">
            <v/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  <cell r="AF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</row>
        <row r="840">
          <cell r="AA840" t="str">
            <v/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  <cell r="AF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</row>
        <row r="841">
          <cell r="AA841" t="str">
            <v/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  <cell r="AF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</row>
        <row r="842">
          <cell r="AA842" t="str">
            <v/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  <cell r="AF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</row>
        <row r="843">
          <cell r="AA843" t="str">
            <v/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  <cell r="AF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</row>
        <row r="844">
          <cell r="AA844" t="str">
            <v/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  <cell r="AF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</row>
        <row r="845">
          <cell r="AA845" t="str">
            <v/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  <cell r="AF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</row>
        <row r="846">
          <cell r="AA846" t="str">
            <v/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  <cell r="AF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</row>
        <row r="847">
          <cell r="AA847" t="str">
            <v/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  <cell r="AF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</row>
        <row r="848">
          <cell r="AA848" t="str">
            <v/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  <cell r="AF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</row>
        <row r="849">
          <cell r="AA849" t="str">
            <v/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  <cell r="AF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</row>
        <row r="850">
          <cell r="AA850" t="str">
            <v/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  <cell r="AF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</row>
        <row r="851">
          <cell r="AA851" t="str">
            <v/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  <cell r="AF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</row>
        <row r="852">
          <cell r="AA852" t="str">
            <v/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  <cell r="AF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</row>
        <row r="853">
          <cell r="AA853" t="str">
            <v/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  <cell r="AF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</row>
        <row r="854">
          <cell r="AA854" t="str">
            <v/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  <cell r="AF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</row>
        <row r="855">
          <cell r="AA855" t="str">
            <v/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  <cell r="AF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</row>
        <row r="856">
          <cell r="AA856" t="str">
            <v/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  <cell r="AF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</row>
        <row r="857">
          <cell r="AA857" t="str">
            <v/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  <cell r="AF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</row>
        <row r="858">
          <cell r="AA858" t="str">
            <v/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  <cell r="AF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</row>
        <row r="859">
          <cell r="AA859" t="str">
            <v/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  <cell r="AF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</row>
        <row r="860">
          <cell r="AA860" t="str">
            <v/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  <cell r="AF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</row>
        <row r="861">
          <cell r="AA861" t="str">
            <v/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  <cell r="AF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</row>
        <row r="862">
          <cell r="AA862" t="str">
            <v/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  <cell r="AF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</row>
        <row r="863">
          <cell r="AA863" t="str">
            <v/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  <cell r="AF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</row>
        <row r="864">
          <cell r="AA864" t="str">
            <v/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  <cell r="AF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</row>
        <row r="865">
          <cell r="AA865" t="str">
            <v/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  <cell r="AF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</row>
        <row r="866">
          <cell r="AA866" t="str">
            <v/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  <cell r="AF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</row>
        <row r="867">
          <cell r="AA867" t="str">
            <v/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  <cell r="AF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</row>
        <row r="868">
          <cell r="AA868" t="str">
            <v/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  <cell r="AF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</row>
        <row r="869">
          <cell r="AA869" t="str">
            <v/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  <cell r="AF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</row>
        <row r="870">
          <cell r="AA870" t="str">
            <v/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  <cell r="AF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</row>
        <row r="871">
          <cell r="AA871" t="str">
            <v/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  <cell r="AF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</row>
        <row r="872">
          <cell r="AA872" t="str">
            <v/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  <cell r="AF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</row>
        <row r="873">
          <cell r="AA873" t="str">
            <v/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  <cell r="AF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</row>
        <row r="874">
          <cell r="AA874" t="str">
            <v/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  <cell r="AF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</row>
        <row r="875">
          <cell r="AA875" t="str">
            <v/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  <cell r="AF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</row>
        <row r="876">
          <cell r="AA876" t="str">
            <v/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  <cell r="AF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</row>
        <row r="877">
          <cell r="AA877" t="str">
            <v/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  <cell r="AF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</row>
        <row r="878">
          <cell r="AA878" t="str">
            <v/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  <cell r="AF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</row>
        <row r="879">
          <cell r="AA879" t="str">
            <v/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  <cell r="AF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</row>
        <row r="880">
          <cell r="AA880" t="str">
            <v/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  <cell r="AF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</row>
        <row r="881">
          <cell r="AA881" t="str">
            <v/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  <cell r="AF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</row>
        <row r="882">
          <cell r="AA882" t="str">
            <v/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  <cell r="AF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</row>
        <row r="883">
          <cell r="AA883" t="str">
            <v/>
          </cell>
          <cell r="AB883" t="str">
            <v/>
          </cell>
          <cell r="AC883" t="str">
            <v/>
          </cell>
          <cell r="AD883" t="str">
            <v/>
          </cell>
          <cell r="AE883" t="str">
            <v/>
          </cell>
          <cell r="AF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</row>
        <row r="884">
          <cell r="AA884" t="str">
            <v/>
          </cell>
          <cell r="AB884" t="str">
            <v/>
          </cell>
          <cell r="AC884" t="str">
            <v/>
          </cell>
          <cell r="AD884" t="str">
            <v/>
          </cell>
          <cell r="AE884" t="str">
            <v/>
          </cell>
          <cell r="AF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</row>
        <row r="885">
          <cell r="AA885" t="str">
            <v/>
          </cell>
          <cell r="AB885" t="str">
            <v/>
          </cell>
          <cell r="AC885" t="str">
            <v/>
          </cell>
          <cell r="AD885" t="str">
            <v/>
          </cell>
          <cell r="AE885" t="str">
            <v/>
          </cell>
          <cell r="AF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</row>
        <row r="886">
          <cell r="AA886" t="str">
            <v/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  <cell r="AF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</row>
        <row r="887">
          <cell r="AA887" t="str">
            <v/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  <cell r="AF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</row>
        <row r="888">
          <cell r="AA888" t="str">
            <v/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  <cell r="AF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</row>
        <row r="889">
          <cell r="AA889" t="str">
            <v/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  <cell r="AF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</row>
        <row r="890">
          <cell r="AA890" t="str">
            <v/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  <cell r="AF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</row>
        <row r="891">
          <cell r="AA891" t="str">
            <v/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  <cell r="AF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</row>
        <row r="892">
          <cell r="AA892" t="str">
            <v/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  <cell r="AF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</row>
        <row r="893">
          <cell r="AA893" t="str">
            <v/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  <cell r="AF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</row>
        <row r="894">
          <cell r="AA894" t="str">
            <v/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  <cell r="AF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</row>
        <row r="895">
          <cell r="AA895" t="str">
            <v/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  <cell r="AF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</row>
        <row r="896">
          <cell r="AA896" t="str">
            <v/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  <cell r="AF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</row>
        <row r="897">
          <cell r="AA897" t="str">
            <v/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  <cell r="AF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</row>
        <row r="898">
          <cell r="AA898" t="str">
            <v/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  <cell r="AF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</row>
        <row r="899">
          <cell r="AA899" t="str">
            <v/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  <cell r="AF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</row>
        <row r="900">
          <cell r="AA900" t="str">
            <v/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  <cell r="AF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</row>
        <row r="901">
          <cell r="AA901" t="str">
            <v/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  <cell r="AF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</row>
        <row r="902">
          <cell r="AA902" t="str">
            <v/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  <cell r="AF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</row>
        <row r="903">
          <cell r="AA903" t="str">
            <v/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  <cell r="AF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</row>
        <row r="904">
          <cell r="AA904" t="str">
            <v/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  <cell r="AF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</row>
        <row r="905">
          <cell r="AA905" t="str">
            <v/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  <cell r="AF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</row>
        <row r="906">
          <cell r="AA906" t="str">
            <v/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  <cell r="AF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</row>
        <row r="907">
          <cell r="AA907" t="str">
            <v/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  <cell r="AF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</row>
        <row r="908">
          <cell r="AA908" t="str">
            <v/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  <cell r="AF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</row>
        <row r="909">
          <cell r="AA909" t="str">
            <v/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  <cell r="AF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</row>
        <row r="910">
          <cell r="AA910" t="str">
            <v/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  <cell r="AF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</row>
        <row r="911">
          <cell r="AA911" t="str">
            <v/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  <cell r="AF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</row>
        <row r="912">
          <cell r="AA912" t="str">
            <v/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  <cell r="AF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</row>
        <row r="913">
          <cell r="AA913" t="str">
            <v/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  <cell r="AF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</row>
        <row r="914">
          <cell r="AA914" t="str">
            <v/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  <cell r="AF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</row>
        <row r="915">
          <cell r="AA915" t="str">
            <v/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  <cell r="AF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</row>
        <row r="916">
          <cell r="AA916" t="str">
            <v/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  <cell r="AF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</row>
        <row r="917">
          <cell r="AA917" t="str">
            <v/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  <cell r="AF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</row>
        <row r="918">
          <cell r="AA918" t="str">
            <v/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  <cell r="AF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</row>
        <row r="919">
          <cell r="AA919" t="str">
            <v/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  <cell r="AF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</row>
        <row r="920">
          <cell r="AA920" t="str">
            <v/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  <cell r="AF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</row>
        <row r="921">
          <cell r="AA921" t="str">
            <v/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  <cell r="AF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</row>
        <row r="922">
          <cell r="AA922" t="str">
            <v/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  <cell r="AF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</row>
        <row r="923">
          <cell r="AA923" t="str">
            <v/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  <cell r="AF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</row>
        <row r="924">
          <cell r="AA924" t="str">
            <v/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  <cell r="AF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</row>
        <row r="925">
          <cell r="AA925" t="str">
            <v/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  <cell r="AF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</row>
        <row r="926">
          <cell r="AA926" t="str">
            <v/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  <cell r="AF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</row>
        <row r="927">
          <cell r="AA927" t="str">
            <v/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  <cell r="AF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</row>
        <row r="928">
          <cell r="AA928" t="str">
            <v/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  <cell r="AF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</row>
        <row r="929">
          <cell r="AA929" t="str">
            <v/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  <cell r="AF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</row>
        <row r="930">
          <cell r="AA930" t="str">
            <v/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  <cell r="AF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</row>
        <row r="931">
          <cell r="AA931" t="str">
            <v/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  <cell r="AF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</row>
        <row r="932">
          <cell r="AA932" t="str">
            <v/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  <cell r="AF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</row>
        <row r="933">
          <cell r="AA933" t="str">
            <v/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  <cell r="AF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</row>
        <row r="934">
          <cell r="AA934" t="str">
            <v/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  <cell r="AF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</row>
        <row r="935">
          <cell r="AA935" t="str">
            <v/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  <cell r="AF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</row>
        <row r="936">
          <cell r="AA936" t="str">
            <v/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  <cell r="AF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</row>
        <row r="937">
          <cell r="AA937" t="str">
            <v/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  <cell r="AF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</row>
        <row r="938">
          <cell r="AA938" t="str">
            <v/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  <cell r="AF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</row>
        <row r="939">
          <cell r="AA939" t="str">
            <v/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  <cell r="AF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</row>
        <row r="940">
          <cell r="AA940" t="str">
            <v/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  <cell r="AF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</row>
        <row r="941">
          <cell r="AA941" t="str">
            <v/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  <cell r="AF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</row>
        <row r="942">
          <cell r="AA942" t="str">
            <v/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  <cell r="AF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</row>
        <row r="943">
          <cell r="AA943" t="str">
            <v/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  <cell r="AF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</row>
        <row r="944">
          <cell r="AA944" t="str">
            <v/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  <cell r="AF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</row>
        <row r="945">
          <cell r="AA945" t="str">
            <v/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  <cell r="AF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</row>
        <row r="946">
          <cell r="AA946" t="str">
            <v/>
          </cell>
          <cell r="AB946" t="str">
            <v/>
          </cell>
          <cell r="AC946" t="str">
            <v/>
          </cell>
          <cell r="AD946" t="str">
            <v/>
          </cell>
          <cell r="AE946" t="str">
            <v/>
          </cell>
          <cell r="AF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</row>
        <row r="947">
          <cell r="AA947" t="str">
            <v/>
          </cell>
          <cell r="AB947" t="str">
            <v/>
          </cell>
          <cell r="AC947" t="str">
            <v/>
          </cell>
          <cell r="AD947" t="str">
            <v/>
          </cell>
          <cell r="AE947" t="str">
            <v/>
          </cell>
          <cell r="AF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</row>
        <row r="948">
          <cell r="AA948" t="str">
            <v/>
          </cell>
          <cell r="AB948" t="str">
            <v/>
          </cell>
          <cell r="AC948" t="str">
            <v/>
          </cell>
          <cell r="AD948" t="str">
            <v/>
          </cell>
          <cell r="AE948" t="str">
            <v/>
          </cell>
          <cell r="AF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</row>
        <row r="949">
          <cell r="AA949" t="str">
            <v/>
          </cell>
          <cell r="AB949" t="str">
            <v/>
          </cell>
          <cell r="AC949" t="str">
            <v/>
          </cell>
          <cell r="AD949" t="str">
            <v/>
          </cell>
          <cell r="AE949" t="str">
            <v/>
          </cell>
          <cell r="AF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</row>
        <row r="950">
          <cell r="AA950" t="str">
            <v/>
          </cell>
          <cell r="AB950" t="str">
            <v/>
          </cell>
          <cell r="AC950" t="str">
            <v/>
          </cell>
          <cell r="AD950" t="str">
            <v/>
          </cell>
          <cell r="AE950" t="str">
            <v/>
          </cell>
          <cell r="AF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</row>
        <row r="951">
          <cell r="AA951" t="str">
            <v/>
          </cell>
          <cell r="AB951" t="str">
            <v/>
          </cell>
          <cell r="AC951" t="str">
            <v/>
          </cell>
          <cell r="AD951" t="str">
            <v/>
          </cell>
          <cell r="AE951" t="str">
            <v/>
          </cell>
          <cell r="AF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</row>
        <row r="952">
          <cell r="AA952" t="str">
            <v/>
          </cell>
          <cell r="AB952" t="str">
            <v/>
          </cell>
          <cell r="AC952" t="str">
            <v/>
          </cell>
          <cell r="AD952" t="str">
            <v/>
          </cell>
          <cell r="AE952" t="str">
            <v/>
          </cell>
          <cell r="AF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</row>
        <row r="953">
          <cell r="AA953" t="str">
            <v/>
          </cell>
          <cell r="AB953" t="str">
            <v/>
          </cell>
          <cell r="AC953" t="str">
            <v/>
          </cell>
          <cell r="AD953" t="str">
            <v/>
          </cell>
          <cell r="AE953" t="str">
            <v/>
          </cell>
          <cell r="AF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</row>
        <row r="954">
          <cell r="AA954" t="str">
            <v/>
          </cell>
          <cell r="AB954" t="str">
            <v/>
          </cell>
          <cell r="AC954" t="str">
            <v/>
          </cell>
          <cell r="AD954" t="str">
            <v/>
          </cell>
          <cell r="AE954" t="str">
            <v/>
          </cell>
          <cell r="AF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</row>
        <row r="955">
          <cell r="AA955" t="str">
            <v/>
          </cell>
          <cell r="AB955" t="str">
            <v/>
          </cell>
          <cell r="AC955" t="str">
            <v/>
          </cell>
          <cell r="AD955" t="str">
            <v/>
          </cell>
          <cell r="AE955" t="str">
            <v/>
          </cell>
          <cell r="AF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</row>
        <row r="956">
          <cell r="AA956" t="str">
            <v/>
          </cell>
          <cell r="AB956" t="str">
            <v/>
          </cell>
          <cell r="AC956" t="str">
            <v/>
          </cell>
          <cell r="AD956" t="str">
            <v/>
          </cell>
          <cell r="AE956" t="str">
            <v/>
          </cell>
          <cell r="AF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</row>
        <row r="957">
          <cell r="AA957" t="str">
            <v/>
          </cell>
          <cell r="AB957" t="str">
            <v/>
          </cell>
          <cell r="AC957" t="str">
            <v/>
          </cell>
          <cell r="AD957" t="str">
            <v/>
          </cell>
          <cell r="AE957" t="str">
            <v/>
          </cell>
          <cell r="AF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</row>
        <row r="958">
          <cell r="AA958" t="str">
            <v/>
          </cell>
          <cell r="AB958" t="str">
            <v/>
          </cell>
          <cell r="AC958" t="str">
            <v/>
          </cell>
          <cell r="AD958" t="str">
            <v/>
          </cell>
          <cell r="AE958" t="str">
            <v/>
          </cell>
          <cell r="AF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</row>
        <row r="959">
          <cell r="AA959" t="str">
            <v/>
          </cell>
          <cell r="AB959" t="str">
            <v/>
          </cell>
          <cell r="AC959" t="str">
            <v/>
          </cell>
          <cell r="AD959" t="str">
            <v/>
          </cell>
          <cell r="AE959" t="str">
            <v/>
          </cell>
          <cell r="AF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</row>
        <row r="960">
          <cell r="AA960" t="str">
            <v/>
          </cell>
          <cell r="AB960" t="str">
            <v/>
          </cell>
          <cell r="AC960" t="str">
            <v/>
          </cell>
          <cell r="AD960" t="str">
            <v/>
          </cell>
          <cell r="AE960" t="str">
            <v/>
          </cell>
          <cell r="AF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</row>
        <row r="961">
          <cell r="AA961" t="str">
            <v/>
          </cell>
          <cell r="AB961" t="str">
            <v/>
          </cell>
          <cell r="AC961" t="str">
            <v/>
          </cell>
          <cell r="AD961" t="str">
            <v/>
          </cell>
          <cell r="AE961" t="str">
            <v/>
          </cell>
          <cell r="AF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</row>
        <row r="962">
          <cell r="AA962" t="str">
            <v/>
          </cell>
          <cell r="AB962" t="str">
            <v/>
          </cell>
          <cell r="AC962" t="str">
            <v/>
          </cell>
          <cell r="AD962" t="str">
            <v/>
          </cell>
          <cell r="AE962" t="str">
            <v/>
          </cell>
          <cell r="AF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</row>
        <row r="963">
          <cell r="AA963" t="str">
            <v/>
          </cell>
          <cell r="AB963" t="str">
            <v/>
          </cell>
          <cell r="AC963" t="str">
            <v/>
          </cell>
          <cell r="AD963" t="str">
            <v/>
          </cell>
          <cell r="AE963" t="str">
            <v/>
          </cell>
          <cell r="AF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</row>
        <row r="964">
          <cell r="AA964" t="str">
            <v/>
          </cell>
          <cell r="AB964" t="str">
            <v/>
          </cell>
          <cell r="AC964" t="str">
            <v/>
          </cell>
          <cell r="AD964" t="str">
            <v/>
          </cell>
          <cell r="AE964" t="str">
            <v/>
          </cell>
          <cell r="AF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</row>
        <row r="965">
          <cell r="AA965" t="str">
            <v/>
          </cell>
          <cell r="AB965" t="str">
            <v/>
          </cell>
          <cell r="AC965" t="str">
            <v/>
          </cell>
          <cell r="AD965" t="str">
            <v/>
          </cell>
          <cell r="AE965" t="str">
            <v/>
          </cell>
          <cell r="AF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</row>
        <row r="966">
          <cell r="AA966" t="str">
            <v/>
          </cell>
          <cell r="AB966" t="str">
            <v/>
          </cell>
          <cell r="AC966" t="str">
            <v/>
          </cell>
          <cell r="AD966" t="str">
            <v/>
          </cell>
          <cell r="AE966" t="str">
            <v/>
          </cell>
          <cell r="AF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</row>
        <row r="967">
          <cell r="AA967" t="str">
            <v/>
          </cell>
          <cell r="AB967" t="str">
            <v/>
          </cell>
          <cell r="AC967" t="str">
            <v/>
          </cell>
          <cell r="AD967" t="str">
            <v/>
          </cell>
          <cell r="AE967" t="str">
            <v/>
          </cell>
          <cell r="AF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</row>
        <row r="968">
          <cell r="AA968" t="str">
            <v/>
          </cell>
          <cell r="AB968" t="str">
            <v/>
          </cell>
          <cell r="AC968" t="str">
            <v/>
          </cell>
          <cell r="AD968" t="str">
            <v/>
          </cell>
          <cell r="AE968" t="str">
            <v/>
          </cell>
          <cell r="AF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</row>
        <row r="969">
          <cell r="AA969" t="str">
            <v/>
          </cell>
          <cell r="AB969" t="str">
            <v/>
          </cell>
          <cell r="AC969" t="str">
            <v/>
          </cell>
          <cell r="AD969" t="str">
            <v/>
          </cell>
          <cell r="AE969" t="str">
            <v/>
          </cell>
          <cell r="AF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</row>
        <row r="970">
          <cell r="AA970" t="str">
            <v/>
          </cell>
          <cell r="AB970" t="str">
            <v/>
          </cell>
          <cell r="AC970" t="str">
            <v/>
          </cell>
          <cell r="AD970" t="str">
            <v/>
          </cell>
          <cell r="AE970" t="str">
            <v/>
          </cell>
          <cell r="AF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</row>
        <row r="971">
          <cell r="AA971" t="str">
            <v/>
          </cell>
          <cell r="AB971" t="str">
            <v/>
          </cell>
          <cell r="AC971" t="str">
            <v/>
          </cell>
          <cell r="AD971" t="str">
            <v/>
          </cell>
          <cell r="AE971" t="str">
            <v/>
          </cell>
          <cell r="AF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</row>
        <row r="972">
          <cell r="AA972" t="str">
            <v/>
          </cell>
          <cell r="AB972" t="str">
            <v/>
          </cell>
          <cell r="AC972" t="str">
            <v/>
          </cell>
          <cell r="AD972" t="str">
            <v/>
          </cell>
          <cell r="AE972" t="str">
            <v/>
          </cell>
          <cell r="AF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</row>
        <row r="973">
          <cell r="AA973" t="str">
            <v/>
          </cell>
          <cell r="AB973" t="str">
            <v/>
          </cell>
          <cell r="AC973" t="str">
            <v/>
          </cell>
          <cell r="AD973" t="str">
            <v/>
          </cell>
          <cell r="AE973" t="str">
            <v/>
          </cell>
          <cell r="AF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</row>
        <row r="974">
          <cell r="AA974" t="str">
            <v/>
          </cell>
          <cell r="AB974" t="str">
            <v/>
          </cell>
          <cell r="AC974" t="str">
            <v/>
          </cell>
          <cell r="AD974" t="str">
            <v/>
          </cell>
          <cell r="AE974" t="str">
            <v/>
          </cell>
          <cell r="AF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</row>
        <row r="975">
          <cell r="AA975" t="str">
            <v/>
          </cell>
          <cell r="AB975" t="str">
            <v/>
          </cell>
          <cell r="AC975" t="str">
            <v/>
          </cell>
          <cell r="AD975" t="str">
            <v/>
          </cell>
          <cell r="AE975" t="str">
            <v/>
          </cell>
          <cell r="AF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</row>
        <row r="976">
          <cell r="AA976" t="str">
            <v/>
          </cell>
          <cell r="AB976" t="str">
            <v/>
          </cell>
          <cell r="AC976" t="str">
            <v/>
          </cell>
          <cell r="AD976" t="str">
            <v/>
          </cell>
          <cell r="AE976" t="str">
            <v/>
          </cell>
          <cell r="AF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</row>
        <row r="977">
          <cell r="AA977" t="str">
            <v/>
          </cell>
          <cell r="AB977" t="str">
            <v/>
          </cell>
          <cell r="AC977" t="str">
            <v/>
          </cell>
          <cell r="AD977" t="str">
            <v/>
          </cell>
          <cell r="AE977" t="str">
            <v/>
          </cell>
          <cell r="AF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</row>
        <row r="978">
          <cell r="AA978" t="str">
            <v/>
          </cell>
          <cell r="AB978" t="str">
            <v/>
          </cell>
          <cell r="AC978" t="str">
            <v/>
          </cell>
          <cell r="AD978" t="str">
            <v/>
          </cell>
          <cell r="AE978" t="str">
            <v/>
          </cell>
          <cell r="AF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</row>
        <row r="979">
          <cell r="AA979" t="str">
            <v/>
          </cell>
          <cell r="AB979" t="str">
            <v/>
          </cell>
          <cell r="AC979" t="str">
            <v/>
          </cell>
          <cell r="AD979" t="str">
            <v/>
          </cell>
          <cell r="AE979" t="str">
            <v/>
          </cell>
          <cell r="AF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</row>
        <row r="980">
          <cell r="AA980" t="str">
            <v/>
          </cell>
          <cell r="AB980" t="str">
            <v/>
          </cell>
          <cell r="AC980" t="str">
            <v/>
          </cell>
          <cell r="AD980" t="str">
            <v/>
          </cell>
          <cell r="AE980" t="str">
            <v/>
          </cell>
          <cell r="AF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</row>
        <row r="981">
          <cell r="AA981" t="str">
            <v/>
          </cell>
          <cell r="AB981" t="str">
            <v/>
          </cell>
          <cell r="AC981" t="str">
            <v/>
          </cell>
          <cell r="AD981" t="str">
            <v/>
          </cell>
          <cell r="AE981" t="str">
            <v/>
          </cell>
          <cell r="AF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</row>
        <row r="982">
          <cell r="AA982" t="str">
            <v/>
          </cell>
          <cell r="AB982" t="str">
            <v/>
          </cell>
          <cell r="AC982" t="str">
            <v/>
          </cell>
          <cell r="AD982" t="str">
            <v/>
          </cell>
          <cell r="AE982" t="str">
            <v/>
          </cell>
          <cell r="AF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</row>
        <row r="983">
          <cell r="AA983" t="str">
            <v/>
          </cell>
          <cell r="AB983" t="str">
            <v/>
          </cell>
          <cell r="AC983" t="str">
            <v/>
          </cell>
          <cell r="AD983" t="str">
            <v/>
          </cell>
          <cell r="AE983" t="str">
            <v/>
          </cell>
          <cell r="AF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</row>
        <row r="984">
          <cell r="AA984" t="str">
            <v/>
          </cell>
          <cell r="AB984" t="str">
            <v/>
          </cell>
          <cell r="AC984" t="str">
            <v/>
          </cell>
          <cell r="AD984" t="str">
            <v/>
          </cell>
          <cell r="AE984" t="str">
            <v/>
          </cell>
          <cell r="AF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</row>
        <row r="985">
          <cell r="AA985" t="str">
            <v/>
          </cell>
          <cell r="AB985" t="str">
            <v/>
          </cell>
          <cell r="AC985" t="str">
            <v/>
          </cell>
          <cell r="AD985" t="str">
            <v/>
          </cell>
          <cell r="AE985" t="str">
            <v/>
          </cell>
          <cell r="AF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</row>
        <row r="986">
          <cell r="AA986" t="str">
            <v/>
          </cell>
          <cell r="AB986" t="str">
            <v/>
          </cell>
          <cell r="AC986" t="str">
            <v/>
          </cell>
          <cell r="AD986" t="str">
            <v/>
          </cell>
          <cell r="AE986" t="str">
            <v/>
          </cell>
          <cell r="AF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</row>
        <row r="987">
          <cell r="AA987" t="str">
            <v/>
          </cell>
          <cell r="AB987" t="str">
            <v/>
          </cell>
          <cell r="AC987" t="str">
            <v/>
          </cell>
          <cell r="AD987" t="str">
            <v/>
          </cell>
          <cell r="AE987" t="str">
            <v/>
          </cell>
          <cell r="AF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</row>
        <row r="988">
          <cell r="AA988" t="str">
            <v/>
          </cell>
          <cell r="AB988" t="str">
            <v/>
          </cell>
          <cell r="AC988" t="str">
            <v/>
          </cell>
          <cell r="AD988" t="str">
            <v/>
          </cell>
          <cell r="AE988" t="str">
            <v/>
          </cell>
          <cell r="AF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</row>
        <row r="989">
          <cell r="AA989" t="str">
            <v/>
          </cell>
          <cell r="AB989" t="str">
            <v/>
          </cell>
          <cell r="AC989" t="str">
            <v/>
          </cell>
          <cell r="AD989" t="str">
            <v/>
          </cell>
          <cell r="AE989" t="str">
            <v/>
          </cell>
          <cell r="AF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</row>
        <row r="990">
          <cell r="AA990" t="str">
            <v/>
          </cell>
          <cell r="AB990" t="str">
            <v/>
          </cell>
          <cell r="AC990" t="str">
            <v/>
          </cell>
          <cell r="AD990" t="str">
            <v/>
          </cell>
          <cell r="AE990" t="str">
            <v/>
          </cell>
          <cell r="AF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</row>
        <row r="991">
          <cell r="AA991" t="str">
            <v/>
          </cell>
          <cell r="AB991" t="str">
            <v/>
          </cell>
          <cell r="AC991" t="str">
            <v/>
          </cell>
          <cell r="AD991" t="str">
            <v/>
          </cell>
          <cell r="AE991" t="str">
            <v/>
          </cell>
          <cell r="AF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</row>
        <row r="992">
          <cell r="AA992" t="str">
            <v/>
          </cell>
          <cell r="AB992" t="str">
            <v/>
          </cell>
          <cell r="AC992" t="str">
            <v/>
          </cell>
          <cell r="AD992" t="str">
            <v/>
          </cell>
          <cell r="AE992" t="str">
            <v/>
          </cell>
          <cell r="AF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</row>
        <row r="993">
          <cell r="AA993" t="str">
            <v/>
          </cell>
          <cell r="AB993" t="str">
            <v/>
          </cell>
          <cell r="AC993" t="str">
            <v/>
          </cell>
          <cell r="AD993" t="str">
            <v/>
          </cell>
          <cell r="AE993" t="str">
            <v/>
          </cell>
          <cell r="AF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</row>
        <row r="994">
          <cell r="AA994" t="str">
            <v/>
          </cell>
          <cell r="AB994" t="str">
            <v/>
          </cell>
          <cell r="AC994" t="str">
            <v/>
          </cell>
          <cell r="AD994" t="str">
            <v/>
          </cell>
          <cell r="AE994" t="str">
            <v/>
          </cell>
          <cell r="AF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</row>
        <row r="995">
          <cell r="AA995" t="str">
            <v/>
          </cell>
          <cell r="AB995" t="str">
            <v/>
          </cell>
          <cell r="AC995" t="str">
            <v/>
          </cell>
          <cell r="AD995" t="str">
            <v/>
          </cell>
          <cell r="AE995" t="str">
            <v/>
          </cell>
          <cell r="AF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</row>
        <row r="996">
          <cell r="AA996" t="str">
            <v/>
          </cell>
          <cell r="AB996" t="str">
            <v/>
          </cell>
          <cell r="AC996" t="str">
            <v/>
          </cell>
          <cell r="AD996" t="str">
            <v/>
          </cell>
          <cell r="AE996" t="str">
            <v/>
          </cell>
          <cell r="AF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</row>
        <row r="997">
          <cell r="AA997" t="str">
            <v/>
          </cell>
          <cell r="AB997" t="str">
            <v/>
          </cell>
          <cell r="AC997" t="str">
            <v/>
          </cell>
          <cell r="AD997" t="str">
            <v/>
          </cell>
          <cell r="AE997" t="str">
            <v/>
          </cell>
          <cell r="AF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</row>
        <row r="998">
          <cell r="AA998" t="str">
            <v/>
          </cell>
          <cell r="AB998" t="str">
            <v/>
          </cell>
          <cell r="AC998" t="str">
            <v/>
          </cell>
          <cell r="AD998" t="str">
            <v/>
          </cell>
          <cell r="AE998" t="str">
            <v/>
          </cell>
          <cell r="AF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 t="str">
            <v/>
          </cell>
          <cell r="Y999" t="str">
            <v/>
          </cell>
        </row>
        <row r="999">
          <cell r="AA999" t="str">
            <v/>
          </cell>
          <cell r="AB999" t="str">
            <v/>
          </cell>
          <cell r="AC999" t="str">
            <v/>
          </cell>
          <cell r="AD999" t="str">
            <v/>
          </cell>
          <cell r="AE999" t="str">
            <v/>
          </cell>
          <cell r="AF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 t="str">
            <v/>
          </cell>
          <cell r="Y1000" t="str">
            <v/>
          </cell>
        </row>
        <row r="1000">
          <cell r="AA1000" t="str">
            <v/>
          </cell>
          <cell r="AB1000" t="str">
            <v/>
          </cell>
          <cell r="AC1000" t="str">
            <v/>
          </cell>
          <cell r="AD1000" t="str">
            <v/>
          </cell>
          <cell r="AE1000" t="str">
            <v/>
          </cell>
          <cell r="AF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 t="str">
            <v/>
          </cell>
          <cell r="Y1001" t="str">
            <v/>
          </cell>
        </row>
        <row r="1001">
          <cell r="AA1001" t="str">
            <v/>
          </cell>
          <cell r="AB1001" t="str">
            <v/>
          </cell>
          <cell r="AC1001" t="str">
            <v/>
          </cell>
          <cell r="AD1001" t="str">
            <v/>
          </cell>
          <cell r="AE1001" t="str">
            <v/>
          </cell>
          <cell r="AF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 t="str">
            <v/>
          </cell>
          <cell r="Y1002" t="str">
            <v/>
          </cell>
        </row>
        <row r="1002">
          <cell r="AA1002" t="str">
            <v/>
          </cell>
          <cell r="AB1002" t="str">
            <v/>
          </cell>
          <cell r="AC1002" t="str">
            <v/>
          </cell>
          <cell r="AD1002" t="str">
            <v/>
          </cell>
          <cell r="AE1002" t="str">
            <v/>
          </cell>
          <cell r="AF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 t="str">
            <v/>
          </cell>
          <cell r="Y1003" t="str">
            <v/>
          </cell>
        </row>
        <row r="1003">
          <cell r="AA1003" t="str">
            <v/>
          </cell>
          <cell r="AB1003" t="str">
            <v/>
          </cell>
          <cell r="AC1003" t="str">
            <v/>
          </cell>
          <cell r="AD1003" t="str">
            <v/>
          </cell>
          <cell r="AE1003" t="str">
            <v/>
          </cell>
          <cell r="AF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 t="str">
            <v/>
          </cell>
          <cell r="Y1004" t="str">
            <v/>
          </cell>
        </row>
        <row r="1004">
          <cell r="AA1004" t="str">
            <v/>
          </cell>
          <cell r="AB1004" t="str">
            <v/>
          </cell>
          <cell r="AC1004" t="str">
            <v/>
          </cell>
          <cell r="AD1004" t="str">
            <v/>
          </cell>
          <cell r="AE1004" t="str">
            <v/>
          </cell>
          <cell r="AF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 t="str">
            <v/>
          </cell>
          <cell r="Y1005" t="str">
            <v/>
          </cell>
        </row>
        <row r="1005">
          <cell r="AA1005" t="str">
            <v/>
          </cell>
          <cell r="AB1005" t="str">
            <v/>
          </cell>
          <cell r="AC1005" t="str">
            <v/>
          </cell>
          <cell r="AD1005" t="str">
            <v/>
          </cell>
          <cell r="AE1005" t="str">
            <v/>
          </cell>
          <cell r="AF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 t="str">
            <v/>
          </cell>
          <cell r="Y1006" t="str">
            <v/>
          </cell>
        </row>
        <row r="1006">
          <cell r="AA1006" t="str">
            <v/>
          </cell>
          <cell r="AB1006" t="str">
            <v/>
          </cell>
          <cell r="AC1006" t="str">
            <v/>
          </cell>
          <cell r="AD1006" t="str">
            <v/>
          </cell>
          <cell r="AE1006" t="str">
            <v/>
          </cell>
          <cell r="AF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 t="str">
            <v/>
          </cell>
          <cell r="Y1007" t="str">
            <v/>
          </cell>
        </row>
        <row r="1007">
          <cell r="AA1007" t="str">
            <v/>
          </cell>
          <cell r="AB1007" t="str">
            <v/>
          </cell>
          <cell r="AC1007" t="str">
            <v/>
          </cell>
          <cell r="AD1007" t="str">
            <v/>
          </cell>
          <cell r="AE1007" t="str">
            <v/>
          </cell>
          <cell r="AF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/>
          </cell>
          <cell r="X1008" t="str">
            <v/>
          </cell>
          <cell r="Y1008" t="str">
            <v/>
          </cell>
        </row>
        <row r="1008">
          <cell r="AA1008" t="str">
            <v/>
          </cell>
          <cell r="AB1008" t="str">
            <v/>
          </cell>
          <cell r="AC1008" t="str">
            <v/>
          </cell>
          <cell r="AD1008" t="str">
            <v/>
          </cell>
          <cell r="AE1008" t="str">
            <v/>
          </cell>
          <cell r="AF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/>
          </cell>
          <cell r="X1009" t="str">
            <v/>
          </cell>
          <cell r="Y1009" t="str">
            <v/>
          </cell>
        </row>
        <row r="1009">
          <cell r="AA1009" t="str">
            <v/>
          </cell>
          <cell r="AB1009" t="str">
            <v/>
          </cell>
          <cell r="AC1009" t="str">
            <v/>
          </cell>
          <cell r="AD1009" t="str">
            <v/>
          </cell>
          <cell r="AE1009" t="str">
            <v/>
          </cell>
          <cell r="AF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  <cell r="T1010" t="str">
            <v/>
          </cell>
          <cell r="U1010" t="str">
            <v/>
          </cell>
          <cell r="V1010" t="str">
            <v/>
          </cell>
          <cell r="W1010" t="str">
            <v/>
          </cell>
          <cell r="X1010" t="str">
            <v/>
          </cell>
          <cell r="Y1010" t="str">
            <v/>
          </cell>
        </row>
        <row r="1010">
          <cell r="AA1010" t="str">
            <v/>
          </cell>
          <cell r="AB1010" t="str">
            <v/>
          </cell>
          <cell r="AC1010" t="str">
            <v/>
          </cell>
          <cell r="AD1010" t="str">
            <v/>
          </cell>
          <cell r="AE1010" t="str">
            <v/>
          </cell>
          <cell r="AF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  <cell r="T1011" t="str">
            <v/>
          </cell>
          <cell r="U1011" t="str">
            <v/>
          </cell>
          <cell r="V1011" t="str">
            <v/>
          </cell>
          <cell r="W1011" t="str">
            <v/>
          </cell>
          <cell r="X1011" t="str">
            <v/>
          </cell>
          <cell r="Y1011" t="str">
            <v/>
          </cell>
        </row>
        <row r="1011">
          <cell r="AA1011" t="str">
            <v/>
          </cell>
          <cell r="AB1011" t="str">
            <v/>
          </cell>
          <cell r="AC1011" t="str">
            <v/>
          </cell>
          <cell r="AD1011" t="str">
            <v/>
          </cell>
          <cell r="AE1011" t="str">
            <v/>
          </cell>
          <cell r="AF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  <cell r="T1012" t="str">
            <v/>
          </cell>
          <cell r="U1012" t="str">
            <v/>
          </cell>
          <cell r="V1012" t="str">
            <v/>
          </cell>
          <cell r="W1012" t="str">
            <v/>
          </cell>
          <cell r="X1012" t="str">
            <v/>
          </cell>
          <cell r="Y1012" t="str">
            <v/>
          </cell>
        </row>
        <row r="1012">
          <cell r="AA1012" t="str">
            <v/>
          </cell>
          <cell r="AB1012" t="str">
            <v/>
          </cell>
          <cell r="AC1012" t="str">
            <v/>
          </cell>
          <cell r="AD1012" t="str">
            <v/>
          </cell>
          <cell r="AE1012" t="str">
            <v/>
          </cell>
          <cell r="AF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  <cell r="X1013" t="str">
            <v/>
          </cell>
          <cell r="Y1013" t="str">
            <v/>
          </cell>
        </row>
        <row r="1013">
          <cell r="AA1013" t="str">
            <v/>
          </cell>
          <cell r="AB1013" t="str">
            <v/>
          </cell>
          <cell r="AC1013" t="str">
            <v/>
          </cell>
          <cell r="AD1013" t="str">
            <v/>
          </cell>
          <cell r="AE1013" t="str">
            <v/>
          </cell>
          <cell r="AF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  <cell r="T1014" t="str">
            <v/>
          </cell>
          <cell r="U1014" t="str">
            <v/>
          </cell>
          <cell r="V1014" t="str">
            <v/>
          </cell>
          <cell r="W1014" t="str">
            <v/>
          </cell>
          <cell r="X1014" t="str">
            <v/>
          </cell>
          <cell r="Y1014" t="str">
            <v/>
          </cell>
        </row>
        <row r="1014">
          <cell r="AA1014" t="str">
            <v/>
          </cell>
          <cell r="AB1014" t="str">
            <v/>
          </cell>
          <cell r="AC1014" t="str">
            <v/>
          </cell>
          <cell r="AD1014" t="str">
            <v/>
          </cell>
          <cell r="AE1014" t="str">
            <v/>
          </cell>
          <cell r="AF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 t="str">
            <v/>
          </cell>
          <cell r="W1015" t="str">
            <v/>
          </cell>
          <cell r="X1015" t="str">
            <v/>
          </cell>
          <cell r="Y1015" t="str">
            <v/>
          </cell>
        </row>
        <row r="1015">
          <cell r="AA1015" t="str">
            <v/>
          </cell>
          <cell r="AB1015" t="str">
            <v/>
          </cell>
          <cell r="AC1015" t="str">
            <v/>
          </cell>
          <cell r="AD1015" t="str">
            <v/>
          </cell>
          <cell r="AE1015" t="str">
            <v/>
          </cell>
          <cell r="AF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/>
          </cell>
          <cell r="X1016" t="str">
            <v/>
          </cell>
          <cell r="Y1016" t="str">
            <v/>
          </cell>
        </row>
        <row r="1016">
          <cell r="AA1016" t="str">
            <v/>
          </cell>
          <cell r="AB1016" t="str">
            <v/>
          </cell>
          <cell r="AC1016" t="str">
            <v/>
          </cell>
          <cell r="AD1016" t="str">
            <v/>
          </cell>
          <cell r="AE1016" t="str">
            <v/>
          </cell>
          <cell r="AF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  <cell r="T1017" t="str">
            <v/>
          </cell>
          <cell r="U1017" t="str">
            <v/>
          </cell>
          <cell r="V1017" t="str">
            <v/>
          </cell>
          <cell r="W1017" t="str">
            <v/>
          </cell>
          <cell r="X1017" t="str">
            <v/>
          </cell>
          <cell r="Y1017" t="str">
            <v/>
          </cell>
        </row>
        <row r="1017">
          <cell r="AA1017" t="str">
            <v/>
          </cell>
          <cell r="AB1017" t="str">
            <v/>
          </cell>
          <cell r="AC1017" t="str">
            <v/>
          </cell>
          <cell r="AD1017" t="str">
            <v/>
          </cell>
          <cell r="AE1017" t="str">
            <v/>
          </cell>
          <cell r="AF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  <cell r="X1018" t="str">
            <v/>
          </cell>
          <cell r="Y1018" t="str">
            <v/>
          </cell>
        </row>
        <row r="1018">
          <cell r="AA1018" t="str">
            <v/>
          </cell>
          <cell r="AB1018" t="str">
            <v/>
          </cell>
          <cell r="AC1018" t="str">
            <v/>
          </cell>
          <cell r="AD1018" t="str">
            <v/>
          </cell>
          <cell r="AE1018" t="str">
            <v/>
          </cell>
          <cell r="AF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  <cell r="X1019" t="str">
            <v/>
          </cell>
          <cell r="Y1019" t="str">
            <v/>
          </cell>
        </row>
        <row r="1019">
          <cell r="AA1019" t="str">
            <v/>
          </cell>
          <cell r="AB1019" t="str">
            <v/>
          </cell>
          <cell r="AC1019" t="str">
            <v/>
          </cell>
          <cell r="AD1019" t="str">
            <v/>
          </cell>
          <cell r="AE1019" t="str">
            <v/>
          </cell>
          <cell r="AF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  <cell r="X1020" t="str">
            <v/>
          </cell>
          <cell r="Y1020" t="str">
            <v/>
          </cell>
        </row>
        <row r="1020">
          <cell r="AA1020" t="str">
            <v/>
          </cell>
          <cell r="AB1020" t="str">
            <v/>
          </cell>
          <cell r="AC1020" t="str">
            <v/>
          </cell>
          <cell r="AD1020" t="str">
            <v/>
          </cell>
          <cell r="AE1020" t="str">
            <v/>
          </cell>
          <cell r="AF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 t="str">
            <v/>
          </cell>
          <cell r="W1021" t="str">
            <v/>
          </cell>
          <cell r="X1021" t="str">
            <v/>
          </cell>
          <cell r="Y1021" t="str">
            <v/>
          </cell>
        </row>
        <row r="1021">
          <cell r="AA1021" t="str">
            <v/>
          </cell>
          <cell r="AB1021" t="str">
            <v/>
          </cell>
          <cell r="AC1021" t="str">
            <v/>
          </cell>
          <cell r="AD1021" t="str">
            <v/>
          </cell>
          <cell r="AE1021" t="str">
            <v/>
          </cell>
          <cell r="AF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  <cell r="X1022" t="str">
            <v/>
          </cell>
          <cell r="Y1022" t="str">
            <v/>
          </cell>
        </row>
        <row r="1022">
          <cell r="AA1022" t="str">
            <v/>
          </cell>
          <cell r="AB1022" t="str">
            <v/>
          </cell>
          <cell r="AC1022" t="str">
            <v/>
          </cell>
          <cell r="AD1022" t="str">
            <v/>
          </cell>
          <cell r="AE1022" t="str">
            <v/>
          </cell>
          <cell r="AF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  <cell r="X1023" t="str">
            <v/>
          </cell>
          <cell r="Y1023" t="str">
            <v/>
          </cell>
        </row>
        <row r="1023">
          <cell r="AA1023" t="str">
            <v/>
          </cell>
          <cell r="AB1023" t="str">
            <v/>
          </cell>
          <cell r="AC1023" t="str">
            <v/>
          </cell>
          <cell r="AD1023" t="str">
            <v/>
          </cell>
          <cell r="AE1023" t="str">
            <v/>
          </cell>
          <cell r="AF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  <cell r="X1024" t="str">
            <v/>
          </cell>
          <cell r="Y1024" t="str">
            <v/>
          </cell>
        </row>
        <row r="1024">
          <cell r="AA1024" t="str">
            <v/>
          </cell>
          <cell r="AB1024" t="str">
            <v/>
          </cell>
          <cell r="AC1024" t="str">
            <v/>
          </cell>
          <cell r="AD1024" t="str">
            <v/>
          </cell>
          <cell r="AE1024" t="str">
            <v/>
          </cell>
          <cell r="AF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/>
          </cell>
          <cell r="W1025" t="str">
            <v/>
          </cell>
          <cell r="X1025" t="str">
            <v/>
          </cell>
          <cell r="Y1025" t="str">
            <v/>
          </cell>
        </row>
        <row r="1025">
          <cell r="AA1025" t="str">
            <v/>
          </cell>
          <cell r="AB1025" t="str">
            <v/>
          </cell>
          <cell r="AC1025" t="str">
            <v/>
          </cell>
          <cell r="AD1025" t="str">
            <v/>
          </cell>
          <cell r="AE1025" t="str">
            <v/>
          </cell>
          <cell r="AF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  <cell r="X1026" t="str">
            <v/>
          </cell>
          <cell r="Y1026" t="str">
            <v/>
          </cell>
        </row>
        <row r="1026">
          <cell r="AA1026" t="str">
            <v/>
          </cell>
          <cell r="AB1026" t="str">
            <v/>
          </cell>
          <cell r="AC1026" t="str">
            <v/>
          </cell>
          <cell r="AD1026" t="str">
            <v/>
          </cell>
          <cell r="AE1026" t="str">
            <v/>
          </cell>
          <cell r="AF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/>
          </cell>
          <cell r="W1027" t="str">
            <v/>
          </cell>
          <cell r="X1027" t="str">
            <v/>
          </cell>
          <cell r="Y1027" t="str">
            <v/>
          </cell>
        </row>
        <row r="1027">
          <cell r="AA1027" t="str">
            <v/>
          </cell>
          <cell r="AB1027" t="str">
            <v/>
          </cell>
          <cell r="AC1027" t="str">
            <v/>
          </cell>
          <cell r="AD1027" t="str">
            <v/>
          </cell>
          <cell r="AE1027" t="str">
            <v/>
          </cell>
          <cell r="AF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/>
          </cell>
          <cell r="X1028" t="str">
            <v/>
          </cell>
          <cell r="Y1028" t="str">
            <v/>
          </cell>
        </row>
        <row r="1028">
          <cell r="AA1028" t="str">
            <v/>
          </cell>
          <cell r="AB1028" t="str">
            <v/>
          </cell>
          <cell r="AC1028" t="str">
            <v/>
          </cell>
          <cell r="AD1028" t="str">
            <v/>
          </cell>
          <cell r="AE1028" t="str">
            <v/>
          </cell>
          <cell r="AF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 t="str">
            <v/>
          </cell>
          <cell r="W1029" t="str">
            <v/>
          </cell>
          <cell r="X1029" t="str">
            <v/>
          </cell>
          <cell r="Y1029" t="str">
            <v/>
          </cell>
        </row>
        <row r="1029">
          <cell r="AA1029" t="str">
            <v/>
          </cell>
          <cell r="AB1029" t="str">
            <v/>
          </cell>
          <cell r="AC1029" t="str">
            <v/>
          </cell>
          <cell r="AD1029" t="str">
            <v/>
          </cell>
          <cell r="AE1029" t="str">
            <v/>
          </cell>
          <cell r="AF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  <cell r="T1030" t="str">
            <v/>
          </cell>
          <cell r="U1030" t="str">
            <v/>
          </cell>
          <cell r="V1030" t="str">
            <v/>
          </cell>
          <cell r="W1030" t="str">
            <v/>
          </cell>
          <cell r="X1030" t="str">
            <v/>
          </cell>
          <cell r="Y1030" t="str">
            <v/>
          </cell>
        </row>
        <row r="1030">
          <cell r="AA1030" t="str">
            <v/>
          </cell>
          <cell r="AB1030" t="str">
            <v/>
          </cell>
          <cell r="AC1030" t="str">
            <v/>
          </cell>
          <cell r="AD1030" t="str">
            <v/>
          </cell>
          <cell r="AE1030" t="str">
            <v/>
          </cell>
          <cell r="AF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/>
          </cell>
          <cell r="W1031" t="str">
            <v/>
          </cell>
          <cell r="X1031" t="str">
            <v/>
          </cell>
          <cell r="Y1031" t="str">
            <v/>
          </cell>
        </row>
        <row r="1031">
          <cell r="AA1031" t="str">
            <v/>
          </cell>
          <cell r="AB1031" t="str">
            <v/>
          </cell>
          <cell r="AC1031" t="str">
            <v/>
          </cell>
          <cell r="AD1031" t="str">
            <v/>
          </cell>
          <cell r="AE1031" t="str">
            <v/>
          </cell>
          <cell r="AF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  <cell r="X1032" t="str">
            <v/>
          </cell>
          <cell r="Y1032" t="str">
            <v/>
          </cell>
        </row>
        <row r="1032">
          <cell r="AA1032" t="str">
            <v/>
          </cell>
          <cell r="AB1032" t="str">
            <v/>
          </cell>
          <cell r="AC1032" t="str">
            <v/>
          </cell>
          <cell r="AD1032" t="str">
            <v/>
          </cell>
          <cell r="AE1032" t="str">
            <v/>
          </cell>
          <cell r="AF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  <cell r="X1033" t="str">
            <v/>
          </cell>
          <cell r="Y1033" t="str">
            <v/>
          </cell>
        </row>
        <row r="1033">
          <cell r="AA1033" t="str">
            <v/>
          </cell>
          <cell r="AB1033" t="str">
            <v/>
          </cell>
          <cell r="AC1033" t="str">
            <v/>
          </cell>
          <cell r="AD1033" t="str">
            <v/>
          </cell>
          <cell r="AE1033" t="str">
            <v/>
          </cell>
          <cell r="AF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  <cell r="X1034" t="str">
            <v/>
          </cell>
          <cell r="Y1034" t="str">
            <v/>
          </cell>
        </row>
        <row r="1034">
          <cell r="AA1034" t="str">
            <v/>
          </cell>
          <cell r="AB1034" t="str">
            <v/>
          </cell>
          <cell r="AC1034" t="str">
            <v/>
          </cell>
          <cell r="AD1034" t="str">
            <v/>
          </cell>
          <cell r="AE1034" t="str">
            <v/>
          </cell>
          <cell r="AF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 t="str">
            <v/>
          </cell>
          <cell r="W1035" t="str">
            <v/>
          </cell>
          <cell r="X1035" t="str">
            <v/>
          </cell>
          <cell r="Y1035" t="str">
            <v/>
          </cell>
        </row>
        <row r="1035">
          <cell r="AA1035" t="str">
            <v/>
          </cell>
          <cell r="AB1035" t="str">
            <v/>
          </cell>
          <cell r="AC1035" t="str">
            <v/>
          </cell>
          <cell r="AD1035" t="str">
            <v/>
          </cell>
          <cell r="AE1035" t="str">
            <v/>
          </cell>
          <cell r="AF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/>
          </cell>
          <cell r="X1036" t="str">
            <v/>
          </cell>
          <cell r="Y1036" t="str">
            <v/>
          </cell>
        </row>
        <row r="1036">
          <cell r="AA1036" t="str">
            <v/>
          </cell>
          <cell r="AB1036" t="str">
            <v/>
          </cell>
          <cell r="AC1036" t="str">
            <v/>
          </cell>
          <cell r="AD1036" t="str">
            <v/>
          </cell>
          <cell r="AE1036" t="str">
            <v/>
          </cell>
          <cell r="AF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  <cell r="X1037" t="str">
            <v/>
          </cell>
          <cell r="Y1037" t="str">
            <v/>
          </cell>
        </row>
        <row r="1037">
          <cell r="AA1037" t="str">
            <v/>
          </cell>
          <cell r="AB1037" t="str">
            <v/>
          </cell>
          <cell r="AC1037" t="str">
            <v/>
          </cell>
          <cell r="AD1037" t="str">
            <v/>
          </cell>
          <cell r="AE1037" t="str">
            <v/>
          </cell>
          <cell r="AF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/>
          </cell>
          <cell r="W1038" t="str">
            <v/>
          </cell>
          <cell r="X1038" t="str">
            <v/>
          </cell>
          <cell r="Y1038" t="str">
            <v/>
          </cell>
        </row>
        <row r="1038">
          <cell r="AA1038" t="str">
            <v/>
          </cell>
          <cell r="AB1038" t="str">
            <v/>
          </cell>
          <cell r="AC1038" t="str">
            <v/>
          </cell>
          <cell r="AD1038" t="str">
            <v/>
          </cell>
          <cell r="AE1038" t="str">
            <v/>
          </cell>
          <cell r="AF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 t="str">
            <v/>
          </cell>
          <cell r="W1039" t="str">
            <v/>
          </cell>
          <cell r="X1039" t="str">
            <v/>
          </cell>
          <cell r="Y1039" t="str">
            <v/>
          </cell>
        </row>
        <row r="1039">
          <cell r="AA1039" t="str">
            <v/>
          </cell>
          <cell r="AB1039" t="str">
            <v/>
          </cell>
          <cell r="AC1039" t="str">
            <v/>
          </cell>
          <cell r="AD1039" t="str">
            <v/>
          </cell>
          <cell r="AE1039" t="str">
            <v/>
          </cell>
          <cell r="AF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  <cell r="T1040" t="str">
            <v/>
          </cell>
          <cell r="U1040" t="str">
            <v/>
          </cell>
          <cell r="V1040" t="str">
            <v/>
          </cell>
          <cell r="W1040" t="str">
            <v/>
          </cell>
          <cell r="X1040" t="str">
            <v/>
          </cell>
          <cell r="Y1040" t="str">
            <v/>
          </cell>
        </row>
        <row r="1040">
          <cell r="AA1040" t="str">
            <v/>
          </cell>
          <cell r="AB1040" t="str">
            <v/>
          </cell>
          <cell r="AC1040" t="str">
            <v/>
          </cell>
          <cell r="AD1040" t="str">
            <v/>
          </cell>
          <cell r="AE1040" t="str">
            <v/>
          </cell>
          <cell r="AF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  <cell r="T1041" t="str">
            <v/>
          </cell>
          <cell r="U1041" t="str">
            <v/>
          </cell>
          <cell r="V1041" t="str">
            <v/>
          </cell>
          <cell r="W1041" t="str">
            <v/>
          </cell>
          <cell r="X1041" t="str">
            <v/>
          </cell>
          <cell r="Y1041" t="str">
            <v/>
          </cell>
        </row>
        <row r="1041">
          <cell r="AA1041" t="str">
            <v/>
          </cell>
          <cell r="AB1041" t="str">
            <v/>
          </cell>
          <cell r="AC1041" t="str">
            <v/>
          </cell>
          <cell r="AD1041" t="str">
            <v/>
          </cell>
          <cell r="AE1041" t="str">
            <v/>
          </cell>
          <cell r="AF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 t="str">
            <v/>
          </cell>
          <cell r="W1042" t="str">
            <v/>
          </cell>
          <cell r="X1042" t="str">
            <v/>
          </cell>
          <cell r="Y1042" t="str">
            <v/>
          </cell>
        </row>
        <row r="1042">
          <cell r="AA1042" t="str">
            <v/>
          </cell>
          <cell r="AB1042" t="str">
            <v/>
          </cell>
          <cell r="AC1042" t="str">
            <v/>
          </cell>
          <cell r="AD1042" t="str">
            <v/>
          </cell>
          <cell r="AE1042" t="str">
            <v/>
          </cell>
          <cell r="AF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  <cell r="X1043" t="str">
            <v/>
          </cell>
          <cell r="Y1043" t="str">
            <v/>
          </cell>
        </row>
        <row r="1043">
          <cell r="AA1043" t="str">
            <v/>
          </cell>
          <cell r="AB1043" t="str">
            <v/>
          </cell>
          <cell r="AC1043" t="str">
            <v/>
          </cell>
          <cell r="AD1043" t="str">
            <v/>
          </cell>
          <cell r="AE1043" t="str">
            <v/>
          </cell>
          <cell r="AF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  <cell r="X1044" t="str">
            <v/>
          </cell>
          <cell r="Y1044" t="str">
            <v/>
          </cell>
        </row>
        <row r="1044">
          <cell r="AA1044" t="str">
            <v/>
          </cell>
          <cell r="AB1044" t="str">
            <v/>
          </cell>
          <cell r="AC1044" t="str">
            <v/>
          </cell>
          <cell r="AD1044" t="str">
            <v/>
          </cell>
          <cell r="AE1044" t="str">
            <v/>
          </cell>
          <cell r="AF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  <cell r="X1045" t="str">
            <v/>
          </cell>
          <cell r="Y1045" t="str">
            <v/>
          </cell>
        </row>
        <row r="1045">
          <cell r="AA1045" t="str">
            <v/>
          </cell>
          <cell r="AB1045" t="str">
            <v/>
          </cell>
          <cell r="AC1045" t="str">
            <v/>
          </cell>
          <cell r="AD1045" t="str">
            <v/>
          </cell>
          <cell r="AE1045" t="str">
            <v/>
          </cell>
          <cell r="AF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  <cell r="T1046" t="str">
            <v/>
          </cell>
          <cell r="U1046" t="str">
            <v/>
          </cell>
          <cell r="V1046" t="str">
            <v/>
          </cell>
          <cell r="W1046" t="str">
            <v/>
          </cell>
          <cell r="X1046" t="str">
            <v/>
          </cell>
          <cell r="Y1046" t="str">
            <v/>
          </cell>
        </row>
        <row r="1046">
          <cell r="AA1046" t="str">
            <v/>
          </cell>
          <cell r="AB1046" t="str">
            <v/>
          </cell>
          <cell r="AC1046" t="str">
            <v/>
          </cell>
          <cell r="AD1046" t="str">
            <v/>
          </cell>
          <cell r="AE1046" t="str">
            <v/>
          </cell>
          <cell r="AF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  <cell r="T1047" t="str">
            <v/>
          </cell>
          <cell r="U1047" t="str">
            <v/>
          </cell>
          <cell r="V1047" t="str">
            <v/>
          </cell>
          <cell r="W1047" t="str">
            <v/>
          </cell>
          <cell r="X1047" t="str">
            <v/>
          </cell>
          <cell r="Y1047" t="str">
            <v/>
          </cell>
        </row>
        <row r="1047">
          <cell r="AA1047" t="str">
            <v/>
          </cell>
          <cell r="AB1047" t="str">
            <v/>
          </cell>
          <cell r="AC1047" t="str">
            <v/>
          </cell>
          <cell r="AD1047" t="str">
            <v/>
          </cell>
          <cell r="AE1047" t="str">
            <v/>
          </cell>
          <cell r="AF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  <cell r="T1048" t="str">
            <v/>
          </cell>
          <cell r="U1048" t="str">
            <v/>
          </cell>
          <cell r="V1048" t="str">
            <v/>
          </cell>
          <cell r="W1048" t="str">
            <v/>
          </cell>
          <cell r="X1048" t="str">
            <v/>
          </cell>
          <cell r="Y1048" t="str">
            <v/>
          </cell>
        </row>
        <row r="1048">
          <cell r="AA1048" t="str">
            <v/>
          </cell>
          <cell r="AB1048" t="str">
            <v/>
          </cell>
          <cell r="AC1048" t="str">
            <v/>
          </cell>
          <cell r="AD1048" t="str">
            <v/>
          </cell>
          <cell r="AE1048" t="str">
            <v/>
          </cell>
          <cell r="AF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  <cell r="X1049" t="str">
            <v/>
          </cell>
          <cell r="Y1049" t="str">
            <v/>
          </cell>
        </row>
        <row r="1049">
          <cell r="AA1049" t="str">
            <v/>
          </cell>
          <cell r="AB1049" t="str">
            <v/>
          </cell>
          <cell r="AC1049" t="str">
            <v/>
          </cell>
          <cell r="AD1049" t="str">
            <v/>
          </cell>
          <cell r="AE1049" t="str">
            <v/>
          </cell>
          <cell r="AF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/>
          </cell>
          <cell r="X1050" t="str">
            <v/>
          </cell>
          <cell r="Y1050" t="str">
            <v/>
          </cell>
        </row>
        <row r="1050">
          <cell r="AA1050" t="str">
            <v/>
          </cell>
          <cell r="AB1050" t="str">
            <v/>
          </cell>
          <cell r="AC1050" t="str">
            <v/>
          </cell>
          <cell r="AD1050" t="str">
            <v/>
          </cell>
          <cell r="AE1050" t="str">
            <v/>
          </cell>
          <cell r="AF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  <cell r="X1051" t="str">
            <v/>
          </cell>
          <cell r="Y1051" t="str">
            <v/>
          </cell>
        </row>
        <row r="1051">
          <cell r="AA1051" t="str">
            <v/>
          </cell>
          <cell r="AB1051" t="str">
            <v/>
          </cell>
          <cell r="AC1051" t="str">
            <v/>
          </cell>
          <cell r="AD1051" t="str">
            <v/>
          </cell>
          <cell r="AE1051" t="str">
            <v/>
          </cell>
          <cell r="AF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  <cell r="X1052" t="str">
            <v/>
          </cell>
          <cell r="Y1052" t="str">
            <v/>
          </cell>
        </row>
        <row r="1052">
          <cell r="AA1052" t="str">
            <v/>
          </cell>
          <cell r="AB1052" t="str">
            <v/>
          </cell>
          <cell r="AC1052" t="str">
            <v/>
          </cell>
          <cell r="AD1052" t="str">
            <v/>
          </cell>
          <cell r="AE1052" t="str">
            <v/>
          </cell>
          <cell r="AF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  <cell r="X1053" t="str">
            <v/>
          </cell>
          <cell r="Y1053" t="str">
            <v/>
          </cell>
        </row>
        <row r="1053">
          <cell r="AA1053" t="str">
            <v/>
          </cell>
          <cell r="AB1053" t="str">
            <v/>
          </cell>
          <cell r="AC1053" t="str">
            <v/>
          </cell>
          <cell r="AD1053" t="str">
            <v/>
          </cell>
          <cell r="AE1053" t="str">
            <v/>
          </cell>
          <cell r="AF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 t="str">
            <v/>
          </cell>
          <cell r="W1054" t="str">
            <v/>
          </cell>
          <cell r="X1054" t="str">
            <v/>
          </cell>
          <cell r="Y1054" t="str">
            <v/>
          </cell>
        </row>
        <row r="1054">
          <cell r="AA1054" t="str">
            <v/>
          </cell>
          <cell r="AB1054" t="str">
            <v/>
          </cell>
          <cell r="AC1054" t="str">
            <v/>
          </cell>
          <cell r="AD1054" t="str">
            <v/>
          </cell>
          <cell r="AE1054" t="str">
            <v/>
          </cell>
          <cell r="AF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  <cell r="T1055" t="str">
            <v/>
          </cell>
          <cell r="U1055" t="str">
            <v/>
          </cell>
          <cell r="V1055" t="str">
            <v/>
          </cell>
          <cell r="W1055" t="str">
            <v/>
          </cell>
          <cell r="X1055" t="str">
            <v/>
          </cell>
          <cell r="Y1055" t="str">
            <v/>
          </cell>
        </row>
        <row r="1055">
          <cell r="AA1055" t="str">
            <v/>
          </cell>
          <cell r="AB1055" t="str">
            <v/>
          </cell>
          <cell r="AC1055" t="str">
            <v/>
          </cell>
          <cell r="AD1055" t="str">
            <v/>
          </cell>
          <cell r="AE1055" t="str">
            <v/>
          </cell>
          <cell r="AF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  <cell r="X1056" t="str">
            <v/>
          </cell>
          <cell r="Y1056" t="str">
            <v/>
          </cell>
        </row>
        <row r="1056">
          <cell r="AA1056" t="str">
            <v/>
          </cell>
          <cell r="AB1056" t="str">
            <v/>
          </cell>
          <cell r="AC1056" t="str">
            <v/>
          </cell>
          <cell r="AD1056" t="str">
            <v/>
          </cell>
          <cell r="AE1056" t="str">
            <v/>
          </cell>
          <cell r="AF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/>
          </cell>
          <cell r="W1057" t="str">
            <v/>
          </cell>
          <cell r="X1057" t="str">
            <v/>
          </cell>
          <cell r="Y1057" t="str">
            <v/>
          </cell>
        </row>
        <row r="1057">
          <cell r="AA1057" t="str">
            <v/>
          </cell>
          <cell r="AB1057" t="str">
            <v/>
          </cell>
          <cell r="AC1057" t="str">
            <v/>
          </cell>
          <cell r="AD1057" t="str">
            <v/>
          </cell>
          <cell r="AE1057" t="str">
            <v/>
          </cell>
          <cell r="AF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  <cell r="T1058" t="str">
            <v/>
          </cell>
          <cell r="U1058" t="str">
            <v/>
          </cell>
          <cell r="V1058" t="str">
            <v/>
          </cell>
          <cell r="W1058" t="str">
            <v/>
          </cell>
          <cell r="X1058" t="str">
            <v/>
          </cell>
          <cell r="Y1058" t="str">
            <v/>
          </cell>
        </row>
        <row r="1058">
          <cell r="AA1058" t="str">
            <v/>
          </cell>
          <cell r="AB1058" t="str">
            <v/>
          </cell>
          <cell r="AC1058" t="str">
            <v/>
          </cell>
          <cell r="AD1058" t="str">
            <v/>
          </cell>
          <cell r="AE1058" t="str">
            <v/>
          </cell>
          <cell r="AF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/>
          </cell>
          <cell r="X1059" t="str">
            <v/>
          </cell>
          <cell r="Y1059" t="str">
            <v/>
          </cell>
        </row>
        <row r="1059">
          <cell r="AA1059" t="str">
            <v/>
          </cell>
          <cell r="AB1059" t="str">
            <v/>
          </cell>
          <cell r="AC1059" t="str">
            <v/>
          </cell>
          <cell r="AD1059" t="str">
            <v/>
          </cell>
          <cell r="AE1059" t="str">
            <v/>
          </cell>
          <cell r="AF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 t="str">
            <v/>
          </cell>
          <cell r="W1060" t="str">
            <v/>
          </cell>
          <cell r="X1060" t="str">
            <v/>
          </cell>
          <cell r="Y1060" t="str">
            <v/>
          </cell>
        </row>
        <row r="1060">
          <cell r="AA1060" t="str">
            <v/>
          </cell>
          <cell r="AB1060" t="str">
            <v/>
          </cell>
          <cell r="AC1060" t="str">
            <v/>
          </cell>
          <cell r="AD1060" t="str">
            <v/>
          </cell>
          <cell r="AE1060" t="str">
            <v/>
          </cell>
          <cell r="AF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 t="str">
            <v/>
          </cell>
          <cell r="W1061" t="str">
            <v/>
          </cell>
          <cell r="X1061" t="str">
            <v/>
          </cell>
          <cell r="Y1061" t="str">
            <v/>
          </cell>
        </row>
        <row r="1061">
          <cell r="AA1061" t="str">
            <v/>
          </cell>
          <cell r="AB1061" t="str">
            <v/>
          </cell>
          <cell r="AC1061" t="str">
            <v/>
          </cell>
          <cell r="AD1061" t="str">
            <v/>
          </cell>
          <cell r="AE1061" t="str">
            <v/>
          </cell>
          <cell r="AF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  <cell r="T1062" t="str">
            <v/>
          </cell>
          <cell r="U1062" t="str">
            <v/>
          </cell>
          <cell r="V1062" t="str">
            <v/>
          </cell>
          <cell r="W1062" t="str">
            <v/>
          </cell>
          <cell r="X1062" t="str">
            <v/>
          </cell>
          <cell r="Y1062" t="str">
            <v/>
          </cell>
        </row>
        <row r="1062">
          <cell r="AA1062" t="str">
            <v/>
          </cell>
          <cell r="AB1062" t="str">
            <v/>
          </cell>
          <cell r="AC1062" t="str">
            <v/>
          </cell>
          <cell r="AD1062" t="str">
            <v/>
          </cell>
          <cell r="AE1062" t="str">
            <v/>
          </cell>
          <cell r="AF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  <cell r="T1063" t="str">
            <v/>
          </cell>
          <cell r="U1063" t="str">
            <v/>
          </cell>
          <cell r="V1063" t="str">
            <v/>
          </cell>
          <cell r="W1063" t="str">
            <v/>
          </cell>
          <cell r="X1063" t="str">
            <v/>
          </cell>
          <cell r="Y1063" t="str">
            <v/>
          </cell>
        </row>
        <row r="1063">
          <cell r="AA1063" t="str">
            <v/>
          </cell>
          <cell r="AB1063" t="str">
            <v/>
          </cell>
          <cell r="AC1063" t="str">
            <v/>
          </cell>
          <cell r="AD1063" t="str">
            <v/>
          </cell>
          <cell r="AE1063" t="str">
            <v/>
          </cell>
          <cell r="AF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 t="str">
            <v/>
          </cell>
          <cell r="W1064" t="str">
            <v/>
          </cell>
          <cell r="X1064" t="str">
            <v/>
          </cell>
          <cell r="Y1064" t="str">
            <v/>
          </cell>
        </row>
        <row r="1064">
          <cell r="AA1064" t="str">
            <v/>
          </cell>
          <cell r="AB1064" t="str">
            <v/>
          </cell>
          <cell r="AC1064" t="str">
            <v/>
          </cell>
          <cell r="AD1064" t="str">
            <v/>
          </cell>
          <cell r="AE1064" t="str">
            <v/>
          </cell>
          <cell r="AF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 t="str">
            <v/>
          </cell>
          <cell r="W1065" t="str">
            <v/>
          </cell>
          <cell r="X1065" t="str">
            <v/>
          </cell>
          <cell r="Y1065" t="str">
            <v/>
          </cell>
        </row>
        <row r="1065">
          <cell r="AA1065" t="str">
            <v/>
          </cell>
          <cell r="AB1065" t="str">
            <v/>
          </cell>
          <cell r="AC1065" t="str">
            <v/>
          </cell>
          <cell r="AD1065" t="str">
            <v/>
          </cell>
          <cell r="AE1065" t="str">
            <v/>
          </cell>
          <cell r="AF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  <cell r="T1066" t="str">
            <v/>
          </cell>
          <cell r="U1066" t="str">
            <v/>
          </cell>
          <cell r="V1066" t="str">
            <v/>
          </cell>
          <cell r="W1066" t="str">
            <v/>
          </cell>
          <cell r="X1066" t="str">
            <v/>
          </cell>
          <cell r="Y1066" t="str">
            <v/>
          </cell>
        </row>
        <row r="1066">
          <cell r="AA1066" t="str">
            <v/>
          </cell>
          <cell r="AB1066" t="str">
            <v/>
          </cell>
          <cell r="AC1066" t="str">
            <v/>
          </cell>
          <cell r="AD1066" t="str">
            <v/>
          </cell>
          <cell r="AE1066" t="str">
            <v/>
          </cell>
          <cell r="AF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/>
          </cell>
          <cell r="W1067" t="str">
            <v/>
          </cell>
          <cell r="X1067" t="str">
            <v/>
          </cell>
          <cell r="Y1067" t="str">
            <v/>
          </cell>
        </row>
        <row r="1067">
          <cell r="AA1067" t="str">
            <v/>
          </cell>
          <cell r="AB1067" t="str">
            <v/>
          </cell>
          <cell r="AC1067" t="str">
            <v/>
          </cell>
          <cell r="AD1067" t="str">
            <v/>
          </cell>
          <cell r="AE1067" t="str">
            <v/>
          </cell>
          <cell r="AF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  <cell r="T1068" t="str">
            <v/>
          </cell>
          <cell r="U1068" t="str">
            <v/>
          </cell>
          <cell r="V1068" t="str">
            <v/>
          </cell>
          <cell r="W1068" t="str">
            <v/>
          </cell>
          <cell r="X1068" t="str">
            <v/>
          </cell>
          <cell r="Y1068" t="str">
            <v/>
          </cell>
        </row>
        <row r="1068">
          <cell r="AA1068" t="str">
            <v/>
          </cell>
          <cell r="AB1068" t="str">
            <v/>
          </cell>
          <cell r="AC1068" t="str">
            <v/>
          </cell>
          <cell r="AD1068" t="str">
            <v/>
          </cell>
          <cell r="AE1068" t="str">
            <v/>
          </cell>
          <cell r="AF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/>
          </cell>
          <cell r="W1069" t="str">
            <v/>
          </cell>
          <cell r="X1069" t="str">
            <v/>
          </cell>
          <cell r="Y1069" t="str">
            <v/>
          </cell>
        </row>
        <row r="1069">
          <cell r="AA1069" t="str">
            <v/>
          </cell>
          <cell r="AB1069" t="str">
            <v/>
          </cell>
          <cell r="AC1069" t="str">
            <v/>
          </cell>
          <cell r="AD1069" t="str">
            <v/>
          </cell>
          <cell r="AE1069" t="str">
            <v/>
          </cell>
          <cell r="AF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  <cell r="T1070" t="str">
            <v/>
          </cell>
          <cell r="U1070" t="str">
            <v/>
          </cell>
          <cell r="V1070" t="str">
            <v/>
          </cell>
          <cell r="W1070" t="str">
            <v/>
          </cell>
          <cell r="X1070" t="str">
            <v/>
          </cell>
          <cell r="Y1070" t="str">
            <v/>
          </cell>
        </row>
        <row r="1070">
          <cell r="AA1070" t="str">
            <v/>
          </cell>
          <cell r="AB1070" t="str">
            <v/>
          </cell>
          <cell r="AC1070" t="str">
            <v/>
          </cell>
          <cell r="AD1070" t="str">
            <v/>
          </cell>
          <cell r="AE1070" t="str">
            <v/>
          </cell>
          <cell r="AF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/>
          </cell>
          <cell r="W1071" t="str">
            <v/>
          </cell>
          <cell r="X1071" t="str">
            <v/>
          </cell>
          <cell r="Y1071" t="str">
            <v/>
          </cell>
        </row>
        <row r="1071">
          <cell r="AA1071" t="str">
            <v/>
          </cell>
          <cell r="AB1071" t="str">
            <v/>
          </cell>
          <cell r="AC1071" t="str">
            <v/>
          </cell>
          <cell r="AD1071" t="str">
            <v/>
          </cell>
          <cell r="AE1071" t="str">
            <v/>
          </cell>
          <cell r="AF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/>
          </cell>
          <cell r="W1072" t="str">
            <v/>
          </cell>
          <cell r="X1072" t="str">
            <v/>
          </cell>
          <cell r="Y1072" t="str">
            <v/>
          </cell>
        </row>
        <row r="1072">
          <cell r="AA1072" t="str">
            <v/>
          </cell>
          <cell r="AB1072" t="str">
            <v/>
          </cell>
          <cell r="AC1072" t="str">
            <v/>
          </cell>
          <cell r="AD1072" t="str">
            <v/>
          </cell>
          <cell r="AE1072" t="str">
            <v/>
          </cell>
          <cell r="AF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  <cell r="T1073" t="str">
            <v/>
          </cell>
          <cell r="U1073" t="str">
            <v/>
          </cell>
          <cell r="V1073" t="str">
            <v/>
          </cell>
          <cell r="W1073" t="str">
            <v/>
          </cell>
          <cell r="X1073" t="str">
            <v/>
          </cell>
          <cell r="Y1073" t="str">
            <v/>
          </cell>
        </row>
        <row r="1073">
          <cell r="AA1073" t="str">
            <v/>
          </cell>
          <cell r="AB1073" t="str">
            <v/>
          </cell>
          <cell r="AC1073" t="str">
            <v/>
          </cell>
          <cell r="AD1073" t="str">
            <v/>
          </cell>
          <cell r="AE1073" t="str">
            <v/>
          </cell>
          <cell r="AF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  <cell r="T1074" t="str">
            <v/>
          </cell>
          <cell r="U1074" t="str">
            <v/>
          </cell>
          <cell r="V1074" t="str">
            <v/>
          </cell>
          <cell r="W1074" t="str">
            <v/>
          </cell>
          <cell r="X1074" t="str">
            <v/>
          </cell>
          <cell r="Y1074" t="str">
            <v/>
          </cell>
        </row>
        <row r="1074">
          <cell r="AA1074" t="str">
            <v/>
          </cell>
          <cell r="AB1074" t="str">
            <v/>
          </cell>
          <cell r="AC1074" t="str">
            <v/>
          </cell>
          <cell r="AD1074" t="str">
            <v/>
          </cell>
          <cell r="AE1074" t="str">
            <v/>
          </cell>
          <cell r="AF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/>
          </cell>
          <cell r="W1075" t="str">
            <v/>
          </cell>
          <cell r="X1075" t="str">
            <v/>
          </cell>
          <cell r="Y1075" t="str">
            <v/>
          </cell>
        </row>
        <row r="1075">
          <cell r="AA1075" t="str">
            <v/>
          </cell>
          <cell r="AB1075" t="str">
            <v/>
          </cell>
          <cell r="AC1075" t="str">
            <v/>
          </cell>
          <cell r="AD1075" t="str">
            <v/>
          </cell>
          <cell r="AE1075" t="str">
            <v/>
          </cell>
          <cell r="AF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/>
          </cell>
          <cell r="X1076" t="str">
            <v/>
          </cell>
          <cell r="Y1076" t="str">
            <v/>
          </cell>
        </row>
        <row r="1076">
          <cell r="AA1076" t="str">
            <v/>
          </cell>
          <cell r="AB1076" t="str">
            <v/>
          </cell>
          <cell r="AC1076" t="str">
            <v/>
          </cell>
          <cell r="AD1076" t="str">
            <v/>
          </cell>
          <cell r="AE1076" t="str">
            <v/>
          </cell>
          <cell r="AF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/>
          </cell>
          <cell r="X1077" t="str">
            <v/>
          </cell>
          <cell r="Y1077" t="str">
            <v/>
          </cell>
        </row>
        <row r="1077">
          <cell r="AA1077" t="str">
            <v/>
          </cell>
          <cell r="AB1077" t="str">
            <v/>
          </cell>
          <cell r="AC1077" t="str">
            <v/>
          </cell>
          <cell r="AD1077" t="str">
            <v/>
          </cell>
          <cell r="AE1077" t="str">
            <v/>
          </cell>
          <cell r="AF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 t="str">
            <v/>
          </cell>
          <cell r="W1078" t="str">
            <v/>
          </cell>
          <cell r="X1078" t="str">
            <v/>
          </cell>
          <cell r="Y1078" t="str">
            <v/>
          </cell>
        </row>
        <row r="1078">
          <cell r="AA1078" t="str">
            <v/>
          </cell>
          <cell r="AB1078" t="str">
            <v/>
          </cell>
          <cell r="AC1078" t="str">
            <v/>
          </cell>
          <cell r="AD1078" t="str">
            <v/>
          </cell>
          <cell r="AE1078" t="str">
            <v/>
          </cell>
          <cell r="AF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  <cell r="T1079" t="str">
            <v/>
          </cell>
          <cell r="U1079" t="str">
            <v/>
          </cell>
          <cell r="V1079" t="str">
            <v/>
          </cell>
          <cell r="W1079" t="str">
            <v/>
          </cell>
          <cell r="X1079" t="str">
            <v/>
          </cell>
          <cell r="Y1079" t="str">
            <v/>
          </cell>
        </row>
        <row r="1079">
          <cell r="AA1079" t="str">
            <v/>
          </cell>
          <cell r="AB1079" t="str">
            <v/>
          </cell>
          <cell r="AC1079" t="str">
            <v/>
          </cell>
          <cell r="AD1079" t="str">
            <v/>
          </cell>
          <cell r="AE1079" t="str">
            <v/>
          </cell>
          <cell r="AF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/>
          </cell>
          <cell r="W1080" t="str">
            <v/>
          </cell>
          <cell r="X1080" t="str">
            <v/>
          </cell>
          <cell r="Y1080" t="str">
            <v/>
          </cell>
        </row>
        <row r="1080">
          <cell r="AA1080" t="str">
            <v/>
          </cell>
          <cell r="AB1080" t="str">
            <v/>
          </cell>
          <cell r="AC1080" t="str">
            <v/>
          </cell>
          <cell r="AD1080" t="str">
            <v/>
          </cell>
          <cell r="AE1080" t="str">
            <v/>
          </cell>
          <cell r="AF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  <cell r="T1081" t="str">
            <v/>
          </cell>
          <cell r="U1081" t="str">
            <v/>
          </cell>
          <cell r="V1081" t="str">
            <v/>
          </cell>
          <cell r="W1081" t="str">
            <v/>
          </cell>
          <cell r="X1081" t="str">
            <v/>
          </cell>
          <cell r="Y1081" t="str">
            <v/>
          </cell>
        </row>
        <row r="1081">
          <cell r="AA1081" t="str">
            <v/>
          </cell>
          <cell r="AB1081" t="str">
            <v/>
          </cell>
          <cell r="AC1081" t="str">
            <v/>
          </cell>
          <cell r="AD1081" t="str">
            <v/>
          </cell>
          <cell r="AE1081" t="str">
            <v/>
          </cell>
          <cell r="AF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/>
          </cell>
          <cell r="X1082" t="str">
            <v/>
          </cell>
          <cell r="Y1082" t="str">
            <v/>
          </cell>
        </row>
        <row r="1082">
          <cell r="AA1082" t="str">
            <v/>
          </cell>
          <cell r="AB1082" t="str">
            <v/>
          </cell>
          <cell r="AC1082" t="str">
            <v/>
          </cell>
          <cell r="AD1082" t="str">
            <v/>
          </cell>
          <cell r="AE1082" t="str">
            <v/>
          </cell>
          <cell r="AF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  <cell r="T1083" t="str">
            <v/>
          </cell>
          <cell r="U1083" t="str">
            <v/>
          </cell>
          <cell r="V1083" t="str">
            <v/>
          </cell>
          <cell r="W1083" t="str">
            <v/>
          </cell>
          <cell r="X1083" t="str">
            <v/>
          </cell>
          <cell r="Y1083" t="str">
            <v/>
          </cell>
        </row>
        <row r="1083">
          <cell r="AA1083" t="str">
            <v/>
          </cell>
          <cell r="AB1083" t="str">
            <v/>
          </cell>
          <cell r="AC1083" t="str">
            <v/>
          </cell>
          <cell r="AD1083" t="str">
            <v/>
          </cell>
          <cell r="AE1083" t="str">
            <v/>
          </cell>
          <cell r="AF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/>
          </cell>
          <cell r="X1084" t="str">
            <v/>
          </cell>
          <cell r="Y1084" t="str">
            <v/>
          </cell>
        </row>
        <row r="1084">
          <cell r="AA1084" t="str">
            <v/>
          </cell>
          <cell r="AB1084" t="str">
            <v/>
          </cell>
          <cell r="AC1084" t="str">
            <v/>
          </cell>
          <cell r="AD1084" t="str">
            <v/>
          </cell>
          <cell r="AE1084" t="str">
            <v/>
          </cell>
          <cell r="AF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  <cell r="T1085" t="str">
            <v/>
          </cell>
          <cell r="U1085" t="str">
            <v/>
          </cell>
          <cell r="V1085" t="str">
            <v/>
          </cell>
          <cell r="W1085" t="str">
            <v/>
          </cell>
          <cell r="X1085" t="str">
            <v/>
          </cell>
          <cell r="Y1085" t="str">
            <v/>
          </cell>
        </row>
        <row r="1085">
          <cell r="AA1085" t="str">
            <v/>
          </cell>
          <cell r="AB1085" t="str">
            <v/>
          </cell>
          <cell r="AC1085" t="str">
            <v/>
          </cell>
          <cell r="AD1085" t="str">
            <v/>
          </cell>
          <cell r="AE1085" t="str">
            <v/>
          </cell>
          <cell r="AF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  <cell r="T1086" t="str">
            <v/>
          </cell>
          <cell r="U1086" t="str">
            <v/>
          </cell>
          <cell r="V1086" t="str">
            <v/>
          </cell>
          <cell r="W1086" t="str">
            <v/>
          </cell>
          <cell r="X1086" t="str">
            <v/>
          </cell>
          <cell r="Y1086" t="str">
            <v/>
          </cell>
        </row>
        <row r="1086">
          <cell r="AA1086" t="str">
            <v/>
          </cell>
          <cell r="AB1086" t="str">
            <v/>
          </cell>
          <cell r="AC1086" t="str">
            <v/>
          </cell>
          <cell r="AD1086" t="str">
            <v/>
          </cell>
          <cell r="AE1086" t="str">
            <v/>
          </cell>
          <cell r="AF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  <cell r="T1087" t="str">
            <v/>
          </cell>
          <cell r="U1087" t="str">
            <v/>
          </cell>
          <cell r="V1087" t="str">
            <v/>
          </cell>
          <cell r="W1087" t="str">
            <v/>
          </cell>
          <cell r="X1087" t="str">
            <v/>
          </cell>
          <cell r="Y1087" t="str">
            <v/>
          </cell>
        </row>
        <row r="1087">
          <cell r="AA1087" t="str">
            <v/>
          </cell>
          <cell r="AB1087" t="str">
            <v/>
          </cell>
          <cell r="AC1087" t="str">
            <v/>
          </cell>
          <cell r="AD1087" t="str">
            <v/>
          </cell>
          <cell r="AE1087" t="str">
            <v/>
          </cell>
          <cell r="AF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  <cell r="T1088" t="str">
            <v/>
          </cell>
          <cell r="U1088" t="str">
            <v/>
          </cell>
          <cell r="V1088" t="str">
            <v/>
          </cell>
          <cell r="W1088" t="str">
            <v/>
          </cell>
          <cell r="X1088" t="str">
            <v/>
          </cell>
          <cell r="Y1088" t="str">
            <v/>
          </cell>
        </row>
        <row r="1088">
          <cell r="AA1088" t="str">
            <v/>
          </cell>
          <cell r="AB1088" t="str">
            <v/>
          </cell>
          <cell r="AC1088" t="str">
            <v/>
          </cell>
          <cell r="AD1088" t="str">
            <v/>
          </cell>
          <cell r="AE1088" t="str">
            <v/>
          </cell>
          <cell r="AF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/>
          </cell>
          <cell r="X1089" t="str">
            <v/>
          </cell>
          <cell r="Y1089" t="str">
            <v/>
          </cell>
        </row>
        <row r="1089">
          <cell r="AA1089" t="str">
            <v/>
          </cell>
          <cell r="AB1089" t="str">
            <v/>
          </cell>
          <cell r="AC1089" t="str">
            <v/>
          </cell>
          <cell r="AD1089" t="str">
            <v/>
          </cell>
          <cell r="AE1089" t="str">
            <v/>
          </cell>
          <cell r="AF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  <cell r="X1090" t="str">
            <v/>
          </cell>
          <cell r="Y1090" t="str">
            <v/>
          </cell>
        </row>
        <row r="1090">
          <cell r="AA1090" t="str">
            <v/>
          </cell>
          <cell r="AB1090" t="str">
            <v/>
          </cell>
          <cell r="AC1090" t="str">
            <v/>
          </cell>
          <cell r="AD1090" t="str">
            <v/>
          </cell>
          <cell r="AE1090" t="str">
            <v/>
          </cell>
          <cell r="AF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  <cell r="X1091" t="str">
            <v/>
          </cell>
          <cell r="Y1091" t="str">
            <v/>
          </cell>
        </row>
        <row r="1091">
          <cell r="AA1091" t="str">
            <v/>
          </cell>
          <cell r="AB1091" t="str">
            <v/>
          </cell>
          <cell r="AC1091" t="str">
            <v/>
          </cell>
          <cell r="AD1091" t="str">
            <v/>
          </cell>
          <cell r="AE1091" t="str">
            <v/>
          </cell>
          <cell r="AF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X1092" t="str">
            <v/>
          </cell>
          <cell r="Y1092" t="str">
            <v/>
          </cell>
        </row>
        <row r="1092">
          <cell r="AA1092" t="str">
            <v/>
          </cell>
          <cell r="AB1092" t="str">
            <v/>
          </cell>
          <cell r="AC1092" t="str">
            <v/>
          </cell>
          <cell r="AD1092" t="str">
            <v/>
          </cell>
          <cell r="AE1092" t="str">
            <v/>
          </cell>
          <cell r="AF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  <cell r="T1093" t="str">
            <v/>
          </cell>
          <cell r="U1093" t="str">
            <v/>
          </cell>
          <cell r="V1093" t="str">
            <v/>
          </cell>
          <cell r="W1093" t="str">
            <v/>
          </cell>
          <cell r="X1093" t="str">
            <v/>
          </cell>
          <cell r="Y1093" t="str">
            <v/>
          </cell>
        </row>
        <row r="1093">
          <cell r="AA1093" t="str">
            <v/>
          </cell>
          <cell r="AB1093" t="str">
            <v/>
          </cell>
          <cell r="AC1093" t="str">
            <v/>
          </cell>
          <cell r="AD1093" t="str">
            <v/>
          </cell>
          <cell r="AE1093" t="str">
            <v/>
          </cell>
          <cell r="AF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 t="str">
            <v/>
          </cell>
          <cell r="W1094" t="str">
            <v/>
          </cell>
          <cell r="X1094" t="str">
            <v/>
          </cell>
          <cell r="Y1094" t="str">
            <v/>
          </cell>
        </row>
        <row r="1094">
          <cell r="AA1094" t="str">
            <v/>
          </cell>
          <cell r="AB1094" t="str">
            <v/>
          </cell>
          <cell r="AC1094" t="str">
            <v/>
          </cell>
          <cell r="AD1094" t="str">
            <v/>
          </cell>
          <cell r="AE1094" t="str">
            <v/>
          </cell>
          <cell r="AF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  <cell r="X1095" t="str">
            <v/>
          </cell>
          <cell r="Y1095" t="str">
            <v/>
          </cell>
        </row>
        <row r="1095">
          <cell r="AA1095" t="str">
            <v/>
          </cell>
          <cell r="AB1095" t="str">
            <v/>
          </cell>
          <cell r="AC1095" t="str">
            <v/>
          </cell>
          <cell r="AD1095" t="str">
            <v/>
          </cell>
          <cell r="AE1095" t="str">
            <v/>
          </cell>
          <cell r="AF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  <cell r="T1096" t="str">
            <v/>
          </cell>
          <cell r="U1096" t="str">
            <v/>
          </cell>
          <cell r="V1096" t="str">
            <v/>
          </cell>
          <cell r="W1096" t="str">
            <v/>
          </cell>
          <cell r="X1096" t="str">
            <v/>
          </cell>
          <cell r="Y1096" t="str">
            <v/>
          </cell>
        </row>
        <row r="1096">
          <cell r="AA1096" t="str">
            <v/>
          </cell>
          <cell r="AB1096" t="str">
            <v/>
          </cell>
          <cell r="AC1096" t="str">
            <v/>
          </cell>
          <cell r="AD1096" t="str">
            <v/>
          </cell>
          <cell r="AE1096" t="str">
            <v/>
          </cell>
          <cell r="AF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  <cell r="X1097" t="str">
            <v/>
          </cell>
          <cell r="Y1097" t="str">
            <v/>
          </cell>
        </row>
        <row r="1097">
          <cell r="AA1097" t="str">
            <v/>
          </cell>
          <cell r="AB1097" t="str">
            <v/>
          </cell>
          <cell r="AC1097" t="str">
            <v/>
          </cell>
          <cell r="AD1097" t="str">
            <v/>
          </cell>
          <cell r="AE1097" t="str">
            <v/>
          </cell>
          <cell r="AF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X1098" t="str">
            <v/>
          </cell>
          <cell r="Y1098" t="str">
            <v/>
          </cell>
        </row>
        <row r="1098">
          <cell r="AA1098" t="str">
            <v/>
          </cell>
          <cell r="AB1098" t="str">
            <v/>
          </cell>
          <cell r="AC1098" t="str">
            <v/>
          </cell>
          <cell r="AD1098" t="str">
            <v/>
          </cell>
          <cell r="AE1098" t="str">
            <v/>
          </cell>
          <cell r="AF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  <cell r="X1099" t="str">
            <v/>
          </cell>
          <cell r="Y1099" t="str">
            <v/>
          </cell>
        </row>
        <row r="1099">
          <cell r="AA1099" t="str">
            <v/>
          </cell>
          <cell r="AB1099" t="str">
            <v/>
          </cell>
          <cell r="AC1099" t="str">
            <v/>
          </cell>
          <cell r="AD1099" t="str">
            <v/>
          </cell>
          <cell r="AE1099" t="str">
            <v/>
          </cell>
          <cell r="AF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  <cell r="X1100" t="str">
            <v/>
          </cell>
          <cell r="Y1100" t="str">
            <v/>
          </cell>
        </row>
        <row r="1100">
          <cell r="AA1100" t="str">
            <v/>
          </cell>
          <cell r="AB1100" t="str">
            <v/>
          </cell>
          <cell r="AC1100" t="str">
            <v/>
          </cell>
          <cell r="AD1100" t="str">
            <v/>
          </cell>
          <cell r="AE1100" t="str">
            <v/>
          </cell>
          <cell r="AF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  <cell r="X1101" t="str">
            <v/>
          </cell>
          <cell r="Y1101" t="str">
            <v/>
          </cell>
        </row>
        <row r="1101">
          <cell r="AA1101" t="str">
            <v/>
          </cell>
          <cell r="AB1101" t="str">
            <v/>
          </cell>
          <cell r="AC1101" t="str">
            <v/>
          </cell>
          <cell r="AD1101" t="str">
            <v/>
          </cell>
          <cell r="AE1101" t="str">
            <v/>
          </cell>
          <cell r="AF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  <cell r="T1102" t="str">
            <v/>
          </cell>
          <cell r="U1102" t="str">
            <v/>
          </cell>
          <cell r="V1102" t="str">
            <v/>
          </cell>
          <cell r="W1102" t="str">
            <v/>
          </cell>
          <cell r="X1102" t="str">
            <v/>
          </cell>
          <cell r="Y1102" t="str">
            <v/>
          </cell>
        </row>
        <row r="1102">
          <cell r="AA1102" t="str">
            <v/>
          </cell>
          <cell r="AB1102" t="str">
            <v/>
          </cell>
          <cell r="AC1102" t="str">
            <v/>
          </cell>
          <cell r="AD1102" t="str">
            <v/>
          </cell>
          <cell r="AE1102" t="str">
            <v/>
          </cell>
          <cell r="AF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 t="str">
            <v/>
          </cell>
          <cell r="W1103" t="str">
            <v/>
          </cell>
          <cell r="X1103" t="str">
            <v/>
          </cell>
          <cell r="Y1103" t="str">
            <v/>
          </cell>
        </row>
        <row r="1103">
          <cell r="AA1103" t="str">
            <v/>
          </cell>
          <cell r="AB1103" t="str">
            <v/>
          </cell>
          <cell r="AC1103" t="str">
            <v/>
          </cell>
          <cell r="AD1103" t="str">
            <v/>
          </cell>
          <cell r="AE1103" t="str">
            <v/>
          </cell>
          <cell r="AF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  <cell r="T1104" t="str">
            <v/>
          </cell>
          <cell r="U1104" t="str">
            <v/>
          </cell>
          <cell r="V1104" t="str">
            <v/>
          </cell>
          <cell r="W1104" t="str">
            <v/>
          </cell>
          <cell r="X1104" t="str">
            <v/>
          </cell>
          <cell r="Y1104" t="str">
            <v/>
          </cell>
        </row>
        <row r="1104">
          <cell r="AA1104" t="str">
            <v/>
          </cell>
          <cell r="AB1104" t="str">
            <v/>
          </cell>
          <cell r="AC1104" t="str">
            <v/>
          </cell>
          <cell r="AD1104" t="str">
            <v/>
          </cell>
          <cell r="AE1104" t="str">
            <v/>
          </cell>
          <cell r="AF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/>
          </cell>
          <cell r="X1105" t="str">
            <v/>
          </cell>
          <cell r="Y1105" t="str">
            <v/>
          </cell>
        </row>
        <row r="1105">
          <cell r="AA1105" t="str">
            <v/>
          </cell>
          <cell r="AB1105" t="str">
            <v/>
          </cell>
          <cell r="AC1105" t="str">
            <v/>
          </cell>
          <cell r="AD1105" t="str">
            <v/>
          </cell>
          <cell r="AE1105" t="str">
            <v/>
          </cell>
          <cell r="AF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/>
          </cell>
          <cell r="W1106" t="str">
            <v/>
          </cell>
          <cell r="X1106" t="str">
            <v/>
          </cell>
          <cell r="Y1106" t="str">
            <v/>
          </cell>
        </row>
        <row r="1106">
          <cell r="AA1106" t="str">
            <v/>
          </cell>
          <cell r="AB1106" t="str">
            <v/>
          </cell>
          <cell r="AC1106" t="str">
            <v/>
          </cell>
          <cell r="AD1106" t="str">
            <v/>
          </cell>
          <cell r="AE1106" t="str">
            <v/>
          </cell>
          <cell r="AF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  <cell r="X1107" t="str">
            <v/>
          </cell>
          <cell r="Y1107" t="str">
            <v/>
          </cell>
        </row>
        <row r="1107">
          <cell r="AA1107" t="str">
            <v/>
          </cell>
          <cell r="AB1107" t="str">
            <v/>
          </cell>
          <cell r="AC1107" t="str">
            <v/>
          </cell>
          <cell r="AD1107" t="str">
            <v/>
          </cell>
          <cell r="AE1107" t="str">
            <v/>
          </cell>
          <cell r="AF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/>
          </cell>
          <cell r="X1108" t="str">
            <v/>
          </cell>
          <cell r="Y1108" t="str">
            <v/>
          </cell>
        </row>
        <row r="1108">
          <cell r="AA1108" t="str">
            <v/>
          </cell>
          <cell r="AB1108" t="str">
            <v/>
          </cell>
          <cell r="AC1108" t="str">
            <v/>
          </cell>
          <cell r="AD1108" t="str">
            <v/>
          </cell>
          <cell r="AE1108" t="str">
            <v/>
          </cell>
          <cell r="AF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/>
          </cell>
          <cell r="X1109" t="str">
            <v/>
          </cell>
          <cell r="Y1109" t="str">
            <v/>
          </cell>
        </row>
        <row r="1109">
          <cell r="AA1109" t="str">
            <v/>
          </cell>
          <cell r="AB1109" t="str">
            <v/>
          </cell>
          <cell r="AC1109" t="str">
            <v/>
          </cell>
          <cell r="AD1109" t="str">
            <v/>
          </cell>
          <cell r="AE1109" t="str">
            <v/>
          </cell>
          <cell r="AF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  <cell r="X1110" t="str">
            <v/>
          </cell>
          <cell r="Y1110" t="str">
            <v/>
          </cell>
        </row>
        <row r="1110">
          <cell r="AA1110" t="str">
            <v/>
          </cell>
          <cell r="AB1110" t="str">
            <v/>
          </cell>
          <cell r="AC1110" t="str">
            <v/>
          </cell>
          <cell r="AD1110" t="str">
            <v/>
          </cell>
          <cell r="AE1110" t="str">
            <v/>
          </cell>
          <cell r="AF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X1111" t="str">
            <v/>
          </cell>
          <cell r="Y1111" t="str">
            <v/>
          </cell>
        </row>
        <row r="1111">
          <cell r="AA1111" t="str">
            <v/>
          </cell>
          <cell r="AB1111" t="str">
            <v/>
          </cell>
          <cell r="AC1111" t="str">
            <v/>
          </cell>
          <cell r="AD1111" t="str">
            <v/>
          </cell>
          <cell r="AE1111" t="str">
            <v/>
          </cell>
          <cell r="AF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X1112" t="str">
            <v/>
          </cell>
          <cell r="Y1112" t="str">
            <v/>
          </cell>
        </row>
        <row r="1112">
          <cell r="AA1112" t="str">
            <v/>
          </cell>
          <cell r="AB1112" t="str">
            <v/>
          </cell>
          <cell r="AC1112" t="str">
            <v/>
          </cell>
          <cell r="AD1112" t="str">
            <v/>
          </cell>
          <cell r="AE1112" t="str">
            <v/>
          </cell>
          <cell r="AF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/>
          </cell>
          <cell r="X1113" t="str">
            <v/>
          </cell>
          <cell r="Y1113" t="str">
            <v/>
          </cell>
        </row>
        <row r="1113">
          <cell r="AA1113" t="str">
            <v/>
          </cell>
          <cell r="AB1113" t="str">
            <v/>
          </cell>
          <cell r="AC1113" t="str">
            <v/>
          </cell>
          <cell r="AD1113" t="str">
            <v/>
          </cell>
          <cell r="AE1113" t="str">
            <v/>
          </cell>
          <cell r="AF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  <cell r="T1114" t="str">
            <v/>
          </cell>
          <cell r="U1114" t="str">
            <v/>
          </cell>
          <cell r="V1114" t="str">
            <v/>
          </cell>
          <cell r="W1114" t="str">
            <v/>
          </cell>
          <cell r="X1114" t="str">
            <v/>
          </cell>
          <cell r="Y1114" t="str">
            <v/>
          </cell>
        </row>
        <row r="1114">
          <cell r="AA1114" t="str">
            <v/>
          </cell>
          <cell r="AB1114" t="str">
            <v/>
          </cell>
          <cell r="AC1114" t="str">
            <v/>
          </cell>
          <cell r="AD1114" t="str">
            <v/>
          </cell>
          <cell r="AE1114" t="str">
            <v/>
          </cell>
          <cell r="AF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/>
          </cell>
          <cell r="X1115" t="str">
            <v/>
          </cell>
          <cell r="Y1115" t="str">
            <v/>
          </cell>
        </row>
        <row r="1115">
          <cell r="AA1115" t="str">
            <v/>
          </cell>
          <cell r="AB1115" t="str">
            <v/>
          </cell>
          <cell r="AC1115" t="str">
            <v/>
          </cell>
          <cell r="AD1115" t="str">
            <v/>
          </cell>
          <cell r="AE1115" t="str">
            <v/>
          </cell>
          <cell r="AF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 t="str">
            <v/>
          </cell>
          <cell r="W1116" t="str">
            <v/>
          </cell>
          <cell r="X1116" t="str">
            <v/>
          </cell>
          <cell r="Y1116" t="str">
            <v/>
          </cell>
        </row>
        <row r="1116">
          <cell r="AA1116" t="str">
            <v/>
          </cell>
          <cell r="AB1116" t="str">
            <v/>
          </cell>
          <cell r="AC1116" t="str">
            <v/>
          </cell>
          <cell r="AD1116" t="str">
            <v/>
          </cell>
          <cell r="AE1116" t="str">
            <v/>
          </cell>
          <cell r="AF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  <cell r="T1117" t="str">
            <v/>
          </cell>
          <cell r="U1117" t="str">
            <v/>
          </cell>
          <cell r="V1117" t="str">
            <v/>
          </cell>
          <cell r="W1117" t="str">
            <v/>
          </cell>
          <cell r="X1117" t="str">
            <v/>
          </cell>
          <cell r="Y1117" t="str">
            <v/>
          </cell>
        </row>
        <row r="1117">
          <cell r="AA1117" t="str">
            <v/>
          </cell>
          <cell r="AB1117" t="str">
            <v/>
          </cell>
          <cell r="AC1117" t="str">
            <v/>
          </cell>
          <cell r="AD1117" t="str">
            <v/>
          </cell>
          <cell r="AE1117" t="str">
            <v/>
          </cell>
          <cell r="AF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/>
          </cell>
          <cell r="X1118" t="str">
            <v/>
          </cell>
          <cell r="Y1118" t="str">
            <v/>
          </cell>
        </row>
        <row r="1118">
          <cell r="AA1118" t="str">
            <v/>
          </cell>
          <cell r="AB1118" t="str">
            <v/>
          </cell>
          <cell r="AC1118" t="str">
            <v/>
          </cell>
          <cell r="AD1118" t="str">
            <v/>
          </cell>
          <cell r="AE1118" t="str">
            <v/>
          </cell>
          <cell r="AF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 t="str">
            <v/>
          </cell>
          <cell r="W1119" t="str">
            <v/>
          </cell>
          <cell r="X1119" t="str">
            <v/>
          </cell>
          <cell r="Y1119" t="str">
            <v/>
          </cell>
        </row>
        <row r="1119">
          <cell r="AA1119" t="str">
            <v/>
          </cell>
          <cell r="AB1119" t="str">
            <v/>
          </cell>
          <cell r="AC1119" t="str">
            <v/>
          </cell>
          <cell r="AD1119" t="str">
            <v/>
          </cell>
          <cell r="AE1119" t="str">
            <v/>
          </cell>
          <cell r="AF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/>
          </cell>
          <cell r="W1120" t="str">
            <v/>
          </cell>
          <cell r="X1120" t="str">
            <v/>
          </cell>
          <cell r="Y1120" t="str">
            <v/>
          </cell>
        </row>
        <row r="1120">
          <cell r="AA1120" t="str">
            <v/>
          </cell>
          <cell r="AB1120" t="str">
            <v/>
          </cell>
          <cell r="AC1120" t="str">
            <v/>
          </cell>
          <cell r="AD1120" t="str">
            <v/>
          </cell>
          <cell r="AE1120" t="str">
            <v/>
          </cell>
          <cell r="AF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/>
          </cell>
          <cell r="W1121" t="str">
            <v/>
          </cell>
          <cell r="X1121" t="str">
            <v/>
          </cell>
          <cell r="Y1121" t="str">
            <v/>
          </cell>
        </row>
        <row r="1121">
          <cell r="AA1121" t="str">
            <v/>
          </cell>
          <cell r="AB1121" t="str">
            <v/>
          </cell>
          <cell r="AC1121" t="str">
            <v/>
          </cell>
          <cell r="AD1121" t="str">
            <v/>
          </cell>
          <cell r="AE1121" t="str">
            <v/>
          </cell>
          <cell r="AF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  <cell r="T1122" t="str">
            <v/>
          </cell>
          <cell r="U1122" t="str">
            <v/>
          </cell>
          <cell r="V1122" t="str">
            <v/>
          </cell>
          <cell r="W1122" t="str">
            <v/>
          </cell>
          <cell r="X1122" t="str">
            <v/>
          </cell>
          <cell r="Y1122" t="str">
            <v/>
          </cell>
        </row>
        <row r="1122">
          <cell r="AA1122" t="str">
            <v/>
          </cell>
          <cell r="AB1122" t="str">
            <v/>
          </cell>
          <cell r="AC1122" t="str">
            <v/>
          </cell>
          <cell r="AD1122" t="str">
            <v/>
          </cell>
          <cell r="AE1122" t="str">
            <v/>
          </cell>
          <cell r="AF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  <cell r="T1123" t="str">
            <v/>
          </cell>
          <cell r="U1123" t="str">
            <v/>
          </cell>
          <cell r="V1123" t="str">
            <v/>
          </cell>
          <cell r="W1123" t="str">
            <v/>
          </cell>
          <cell r="X1123" t="str">
            <v/>
          </cell>
          <cell r="Y1123" t="str">
            <v/>
          </cell>
        </row>
        <row r="1123">
          <cell r="AA1123" t="str">
            <v/>
          </cell>
          <cell r="AB1123" t="str">
            <v/>
          </cell>
          <cell r="AC1123" t="str">
            <v/>
          </cell>
          <cell r="AD1123" t="str">
            <v/>
          </cell>
          <cell r="AE1123" t="str">
            <v/>
          </cell>
          <cell r="AF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  <cell r="T1124" t="str">
            <v/>
          </cell>
          <cell r="U1124" t="str">
            <v/>
          </cell>
          <cell r="V1124" t="str">
            <v/>
          </cell>
          <cell r="W1124" t="str">
            <v/>
          </cell>
          <cell r="X1124" t="str">
            <v/>
          </cell>
          <cell r="Y1124" t="str">
            <v/>
          </cell>
        </row>
        <row r="1124">
          <cell r="AA1124" t="str">
            <v/>
          </cell>
          <cell r="AB1124" t="str">
            <v/>
          </cell>
          <cell r="AC1124" t="str">
            <v/>
          </cell>
          <cell r="AD1124" t="str">
            <v/>
          </cell>
          <cell r="AE1124" t="str">
            <v/>
          </cell>
          <cell r="AF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/>
          </cell>
          <cell r="X1125" t="str">
            <v/>
          </cell>
          <cell r="Y1125" t="str">
            <v/>
          </cell>
        </row>
        <row r="1125">
          <cell r="AA1125" t="str">
            <v/>
          </cell>
          <cell r="AB1125" t="str">
            <v/>
          </cell>
          <cell r="AC1125" t="str">
            <v/>
          </cell>
          <cell r="AD1125" t="str">
            <v/>
          </cell>
          <cell r="AE1125" t="str">
            <v/>
          </cell>
          <cell r="AF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  <cell r="T1126" t="str">
            <v/>
          </cell>
          <cell r="U1126" t="str">
            <v/>
          </cell>
          <cell r="V1126" t="str">
            <v/>
          </cell>
          <cell r="W1126" t="str">
            <v/>
          </cell>
          <cell r="X1126" t="str">
            <v/>
          </cell>
          <cell r="Y1126" t="str">
            <v/>
          </cell>
        </row>
        <row r="1126">
          <cell r="AA1126" t="str">
            <v/>
          </cell>
          <cell r="AB1126" t="str">
            <v/>
          </cell>
          <cell r="AC1126" t="str">
            <v/>
          </cell>
          <cell r="AD1126" t="str">
            <v/>
          </cell>
          <cell r="AE1126" t="str">
            <v/>
          </cell>
          <cell r="AF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  <cell r="T1127" t="str">
            <v/>
          </cell>
          <cell r="U1127" t="str">
            <v/>
          </cell>
          <cell r="V1127" t="str">
            <v/>
          </cell>
          <cell r="W1127" t="str">
            <v/>
          </cell>
          <cell r="X1127" t="str">
            <v/>
          </cell>
          <cell r="Y1127" t="str">
            <v/>
          </cell>
        </row>
        <row r="1127">
          <cell r="AA1127" t="str">
            <v/>
          </cell>
          <cell r="AB1127" t="str">
            <v/>
          </cell>
          <cell r="AC1127" t="str">
            <v/>
          </cell>
          <cell r="AD1127" t="str">
            <v/>
          </cell>
          <cell r="AE1127" t="str">
            <v/>
          </cell>
          <cell r="AF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/>
          </cell>
          <cell r="W1128" t="str">
            <v/>
          </cell>
          <cell r="X1128" t="str">
            <v/>
          </cell>
          <cell r="Y1128" t="str">
            <v/>
          </cell>
        </row>
        <row r="1128">
          <cell r="AA1128" t="str">
            <v/>
          </cell>
          <cell r="AB1128" t="str">
            <v/>
          </cell>
          <cell r="AC1128" t="str">
            <v/>
          </cell>
          <cell r="AD1128" t="str">
            <v/>
          </cell>
          <cell r="AE1128" t="str">
            <v/>
          </cell>
          <cell r="AF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  <cell r="T1129" t="str">
            <v/>
          </cell>
          <cell r="U1129" t="str">
            <v/>
          </cell>
          <cell r="V1129" t="str">
            <v/>
          </cell>
          <cell r="W1129" t="str">
            <v/>
          </cell>
          <cell r="X1129" t="str">
            <v/>
          </cell>
          <cell r="Y1129" t="str">
            <v/>
          </cell>
        </row>
        <row r="1129">
          <cell r="AA1129" t="str">
            <v/>
          </cell>
          <cell r="AB1129" t="str">
            <v/>
          </cell>
          <cell r="AC1129" t="str">
            <v/>
          </cell>
          <cell r="AD1129" t="str">
            <v/>
          </cell>
          <cell r="AE1129" t="str">
            <v/>
          </cell>
          <cell r="AF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  <cell r="T1130" t="str">
            <v/>
          </cell>
          <cell r="U1130" t="str">
            <v/>
          </cell>
          <cell r="V1130" t="str">
            <v/>
          </cell>
          <cell r="W1130" t="str">
            <v/>
          </cell>
          <cell r="X1130" t="str">
            <v/>
          </cell>
          <cell r="Y1130" t="str">
            <v/>
          </cell>
        </row>
        <row r="1130">
          <cell r="AA1130" t="str">
            <v/>
          </cell>
          <cell r="AB1130" t="str">
            <v/>
          </cell>
          <cell r="AC1130" t="str">
            <v/>
          </cell>
          <cell r="AD1130" t="str">
            <v/>
          </cell>
          <cell r="AE1130" t="str">
            <v/>
          </cell>
          <cell r="AF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/>
          </cell>
          <cell r="X1131" t="str">
            <v/>
          </cell>
          <cell r="Y1131" t="str">
            <v/>
          </cell>
        </row>
        <row r="1131">
          <cell r="AA1131" t="str">
            <v/>
          </cell>
          <cell r="AB1131" t="str">
            <v/>
          </cell>
          <cell r="AC1131" t="str">
            <v/>
          </cell>
          <cell r="AD1131" t="str">
            <v/>
          </cell>
          <cell r="AE1131" t="str">
            <v/>
          </cell>
          <cell r="AF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/>
          </cell>
          <cell r="X1132" t="str">
            <v/>
          </cell>
          <cell r="Y1132" t="str">
            <v/>
          </cell>
        </row>
        <row r="1132">
          <cell r="AA1132" t="str">
            <v/>
          </cell>
          <cell r="AB1132" t="str">
            <v/>
          </cell>
          <cell r="AC1132" t="str">
            <v/>
          </cell>
          <cell r="AD1132" t="str">
            <v/>
          </cell>
          <cell r="AE1132" t="str">
            <v/>
          </cell>
          <cell r="AF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/>
          </cell>
          <cell r="W1133" t="str">
            <v/>
          </cell>
          <cell r="X1133" t="str">
            <v/>
          </cell>
          <cell r="Y1133" t="str">
            <v/>
          </cell>
        </row>
        <row r="1133">
          <cell r="AA1133" t="str">
            <v/>
          </cell>
          <cell r="AB1133" t="str">
            <v/>
          </cell>
          <cell r="AC1133" t="str">
            <v/>
          </cell>
          <cell r="AD1133" t="str">
            <v/>
          </cell>
          <cell r="AE1133" t="str">
            <v/>
          </cell>
          <cell r="AF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/>
          </cell>
          <cell r="W1134" t="str">
            <v/>
          </cell>
          <cell r="X1134" t="str">
            <v/>
          </cell>
          <cell r="Y1134" t="str">
            <v/>
          </cell>
        </row>
        <row r="1134">
          <cell r="AA1134" t="str">
            <v/>
          </cell>
          <cell r="AB1134" t="str">
            <v/>
          </cell>
          <cell r="AC1134" t="str">
            <v/>
          </cell>
          <cell r="AD1134" t="str">
            <v/>
          </cell>
          <cell r="AE1134" t="str">
            <v/>
          </cell>
          <cell r="AF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/>
          </cell>
          <cell r="W1135" t="str">
            <v/>
          </cell>
          <cell r="X1135" t="str">
            <v/>
          </cell>
          <cell r="Y1135" t="str">
            <v/>
          </cell>
        </row>
        <row r="1135">
          <cell r="AA1135" t="str">
            <v/>
          </cell>
          <cell r="AB1135" t="str">
            <v/>
          </cell>
          <cell r="AC1135" t="str">
            <v/>
          </cell>
          <cell r="AD1135" t="str">
            <v/>
          </cell>
          <cell r="AE1135" t="str">
            <v/>
          </cell>
          <cell r="AF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/>
          </cell>
          <cell r="W1136" t="str">
            <v/>
          </cell>
          <cell r="X1136" t="str">
            <v/>
          </cell>
          <cell r="Y1136" t="str">
            <v/>
          </cell>
        </row>
        <row r="1136">
          <cell r="AA1136" t="str">
            <v/>
          </cell>
          <cell r="AB1136" t="str">
            <v/>
          </cell>
          <cell r="AC1136" t="str">
            <v/>
          </cell>
          <cell r="AD1136" t="str">
            <v/>
          </cell>
          <cell r="AE1136" t="str">
            <v/>
          </cell>
          <cell r="AF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/>
          </cell>
          <cell r="W1137" t="str">
            <v/>
          </cell>
          <cell r="X1137" t="str">
            <v/>
          </cell>
          <cell r="Y1137" t="str">
            <v/>
          </cell>
        </row>
        <row r="1137">
          <cell r="AA1137" t="str">
            <v/>
          </cell>
          <cell r="AB1137" t="str">
            <v/>
          </cell>
          <cell r="AC1137" t="str">
            <v/>
          </cell>
          <cell r="AD1137" t="str">
            <v/>
          </cell>
          <cell r="AE1137" t="str">
            <v/>
          </cell>
          <cell r="AF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/>
          </cell>
          <cell r="W1138" t="str">
            <v/>
          </cell>
          <cell r="X1138" t="str">
            <v/>
          </cell>
          <cell r="Y1138" t="str">
            <v/>
          </cell>
        </row>
        <row r="1138">
          <cell r="AA1138" t="str">
            <v/>
          </cell>
          <cell r="AB1138" t="str">
            <v/>
          </cell>
          <cell r="AC1138" t="str">
            <v/>
          </cell>
          <cell r="AD1138" t="str">
            <v/>
          </cell>
          <cell r="AE1138" t="str">
            <v/>
          </cell>
          <cell r="AF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  <cell r="T1139" t="str">
            <v/>
          </cell>
          <cell r="U1139" t="str">
            <v/>
          </cell>
          <cell r="V1139" t="str">
            <v/>
          </cell>
          <cell r="W1139" t="str">
            <v/>
          </cell>
          <cell r="X1139" t="str">
            <v/>
          </cell>
          <cell r="Y1139" t="str">
            <v/>
          </cell>
        </row>
        <row r="1139">
          <cell r="AA1139" t="str">
            <v/>
          </cell>
          <cell r="AB1139" t="str">
            <v/>
          </cell>
          <cell r="AC1139" t="str">
            <v/>
          </cell>
          <cell r="AD1139" t="str">
            <v/>
          </cell>
          <cell r="AE1139" t="str">
            <v/>
          </cell>
          <cell r="AF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/>
          </cell>
          <cell r="X1140" t="str">
            <v/>
          </cell>
          <cell r="Y1140" t="str">
            <v/>
          </cell>
        </row>
        <row r="1140">
          <cell r="AA1140" t="str">
            <v/>
          </cell>
          <cell r="AB1140" t="str">
            <v/>
          </cell>
          <cell r="AC1140" t="str">
            <v/>
          </cell>
          <cell r="AD1140" t="str">
            <v/>
          </cell>
          <cell r="AE1140" t="str">
            <v/>
          </cell>
          <cell r="AF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/>
          </cell>
          <cell r="X1141" t="str">
            <v/>
          </cell>
          <cell r="Y1141" t="str">
            <v/>
          </cell>
        </row>
        <row r="1141">
          <cell r="AA1141" t="str">
            <v/>
          </cell>
          <cell r="AB1141" t="str">
            <v/>
          </cell>
          <cell r="AC1141" t="str">
            <v/>
          </cell>
          <cell r="AD1141" t="str">
            <v/>
          </cell>
          <cell r="AE1141" t="str">
            <v/>
          </cell>
          <cell r="AF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  <cell r="T1142" t="str">
            <v/>
          </cell>
          <cell r="U1142" t="str">
            <v/>
          </cell>
          <cell r="V1142" t="str">
            <v/>
          </cell>
          <cell r="W1142" t="str">
            <v/>
          </cell>
          <cell r="X1142" t="str">
            <v/>
          </cell>
          <cell r="Y1142" t="str">
            <v/>
          </cell>
        </row>
        <row r="1142">
          <cell r="AA1142" t="str">
            <v/>
          </cell>
          <cell r="AB1142" t="str">
            <v/>
          </cell>
          <cell r="AC1142" t="str">
            <v/>
          </cell>
          <cell r="AD1142" t="str">
            <v/>
          </cell>
          <cell r="AE1142" t="str">
            <v/>
          </cell>
          <cell r="AF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  <cell r="T1143" t="str">
            <v/>
          </cell>
          <cell r="U1143" t="str">
            <v/>
          </cell>
          <cell r="V1143" t="str">
            <v/>
          </cell>
          <cell r="W1143" t="str">
            <v/>
          </cell>
          <cell r="X1143" t="str">
            <v/>
          </cell>
          <cell r="Y1143" t="str">
            <v/>
          </cell>
        </row>
        <row r="1143">
          <cell r="AA1143" t="str">
            <v/>
          </cell>
          <cell r="AB1143" t="str">
            <v/>
          </cell>
          <cell r="AC1143" t="str">
            <v/>
          </cell>
          <cell r="AD1143" t="str">
            <v/>
          </cell>
          <cell r="AE1143" t="str">
            <v/>
          </cell>
          <cell r="AF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  <cell r="T1144" t="str">
            <v/>
          </cell>
          <cell r="U1144" t="str">
            <v/>
          </cell>
          <cell r="V1144" t="str">
            <v/>
          </cell>
          <cell r="W1144" t="str">
            <v/>
          </cell>
          <cell r="X1144" t="str">
            <v/>
          </cell>
          <cell r="Y1144" t="str">
            <v/>
          </cell>
        </row>
        <row r="1144">
          <cell r="AA1144" t="str">
            <v/>
          </cell>
          <cell r="AB1144" t="str">
            <v/>
          </cell>
          <cell r="AC1144" t="str">
            <v/>
          </cell>
          <cell r="AD1144" t="str">
            <v/>
          </cell>
          <cell r="AE1144" t="str">
            <v/>
          </cell>
          <cell r="AF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  <cell r="T1145" t="str">
            <v/>
          </cell>
          <cell r="U1145" t="str">
            <v/>
          </cell>
          <cell r="V1145" t="str">
            <v/>
          </cell>
          <cell r="W1145" t="str">
            <v/>
          </cell>
          <cell r="X1145" t="str">
            <v/>
          </cell>
          <cell r="Y1145" t="str">
            <v/>
          </cell>
        </row>
        <row r="1145">
          <cell r="AA1145" t="str">
            <v/>
          </cell>
          <cell r="AB1145" t="str">
            <v/>
          </cell>
          <cell r="AC1145" t="str">
            <v/>
          </cell>
          <cell r="AD1145" t="str">
            <v/>
          </cell>
          <cell r="AE1145" t="str">
            <v/>
          </cell>
          <cell r="AF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  <cell r="T1146" t="str">
            <v/>
          </cell>
          <cell r="U1146" t="str">
            <v/>
          </cell>
          <cell r="V1146" t="str">
            <v/>
          </cell>
          <cell r="W1146" t="str">
            <v/>
          </cell>
          <cell r="X1146" t="str">
            <v/>
          </cell>
          <cell r="Y1146" t="str">
            <v/>
          </cell>
        </row>
        <row r="1146">
          <cell r="AA1146" t="str">
            <v/>
          </cell>
          <cell r="AB1146" t="str">
            <v/>
          </cell>
          <cell r="AC1146" t="str">
            <v/>
          </cell>
          <cell r="AD1146" t="str">
            <v/>
          </cell>
          <cell r="AE1146" t="str">
            <v/>
          </cell>
          <cell r="AF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  <cell r="T1147" t="str">
            <v/>
          </cell>
          <cell r="U1147" t="str">
            <v/>
          </cell>
          <cell r="V1147" t="str">
            <v/>
          </cell>
          <cell r="W1147" t="str">
            <v/>
          </cell>
          <cell r="X1147" t="str">
            <v/>
          </cell>
          <cell r="Y1147" t="str">
            <v/>
          </cell>
        </row>
        <row r="1147">
          <cell r="AA1147" t="str">
            <v/>
          </cell>
          <cell r="AB1147" t="str">
            <v/>
          </cell>
          <cell r="AC1147" t="str">
            <v/>
          </cell>
          <cell r="AD1147" t="str">
            <v/>
          </cell>
          <cell r="AE1147" t="str">
            <v/>
          </cell>
          <cell r="AF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/>
          </cell>
          <cell r="X1148" t="str">
            <v/>
          </cell>
          <cell r="Y1148" t="str">
            <v/>
          </cell>
        </row>
        <row r="1148">
          <cell r="AA1148" t="str">
            <v/>
          </cell>
          <cell r="AB1148" t="str">
            <v/>
          </cell>
          <cell r="AC1148" t="str">
            <v/>
          </cell>
          <cell r="AD1148" t="str">
            <v/>
          </cell>
          <cell r="AE1148" t="str">
            <v/>
          </cell>
          <cell r="AF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/>
          </cell>
          <cell r="W1149" t="str">
            <v/>
          </cell>
          <cell r="X1149" t="str">
            <v/>
          </cell>
          <cell r="Y1149" t="str">
            <v/>
          </cell>
        </row>
        <row r="1149">
          <cell r="AA1149" t="str">
            <v/>
          </cell>
          <cell r="AB1149" t="str">
            <v/>
          </cell>
          <cell r="AC1149" t="str">
            <v/>
          </cell>
          <cell r="AD1149" t="str">
            <v/>
          </cell>
          <cell r="AE1149" t="str">
            <v/>
          </cell>
          <cell r="AF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  <cell r="T1150" t="str">
            <v/>
          </cell>
          <cell r="U1150" t="str">
            <v/>
          </cell>
          <cell r="V1150" t="str">
            <v/>
          </cell>
          <cell r="W1150" t="str">
            <v/>
          </cell>
          <cell r="X1150" t="str">
            <v/>
          </cell>
          <cell r="Y1150" t="str">
            <v/>
          </cell>
        </row>
        <row r="1150">
          <cell r="AA1150" t="str">
            <v/>
          </cell>
          <cell r="AB1150" t="str">
            <v/>
          </cell>
          <cell r="AC1150" t="str">
            <v/>
          </cell>
          <cell r="AD1150" t="str">
            <v/>
          </cell>
          <cell r="AE1150" t="str">
            <v/>
          </cell>
          <cell r="AF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  <cell r="T1151" t="str">
            <v/>
          </cell>
          <cell r="U1151" t="str">
            <v/>
          </cell>
          <cell r="V1151" t="str">
            <v/>
          </cell>
          <cell r="W1151" t="str">
            <v/>
          </cell>
          <cell r="X1151" t="str">
            <v/>
          </cell>
          <cell r="Y1151" t="str">
            <v/>
          </cell>
        </row>
        <row r="1151">
          <cell r="AA1151" t="str">
            <v/>
          </cell>
          <cell r="AB1151" t="str">
            <v/>
          </cell>
          <cell r="AC1151" t="str">
            <v/>
          </cell>
          <cell r="AD1151" t="str">
            <v/>
          </cell>
          <cell r="AE1151" t="str">
            <v/>
          </cell>
          <cell r="AF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  <cell r="T1152" t="str">
            <v/>
          </cell>
          <cell r="U1152" t="str">
            <v/>
          </cell>
          <cell r="V1152" t="str">
            <v/>
          </cell>
          <cell r="W1152" t="str">
            <v/>
          </cell>
          <cell r="X1152" t="str">
            <v/>
          </cell>
          <cell r="Y1152" t="str">
            <v/>
          </cell>
        </row>
        <row r="1152">
          <cell r="AA1152" t="str">
            <v/>
          </cell>
          <cell r="AB1152" t="str">
            <v/>
          </cell>
          <cell r="AC1152" t="str">
            <v/>
          </cell>
          <cell r="AD1152" t="str">
            <v/>
          </cell>
          <cell r="AE1152" t="str">
            <v/>
          </cell>
          <cell r="AF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/>
          </cell>
          <cell r="W1153" t="str">
            <v/>
          </cell>
          <cell r="X1153" t="str">
            <v/>
          </cell>
          <cell r="Y1153" t="str">
            <v/>
          </cell>
        </row>
        <row r="1153">
          <cell r="AA1153" t="str">
            <v/>
          </cell>
          <cell r="AB1153" t="str">
            <v/>
          </cell>
          <cell r="AC1153" t="str">
            <v/>
          </cell>
          <cell r="AD1153" t="str">
            <v/>
          </cell>
          <cell r="AE1153" t="str">
            <v/>
          </cell>
          <cell r="AF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  <cell r="T1154" t="str">
            <v/>
          </cell>
          <cell r="U1154" t="str">
            <v/>
          </cell>
          <cell r="V1154" t="str">
            <v/>
          </cell>
          <cell r="W1154" t="str">
            <v/>
          </cell>
          <cell r="X1154" t="str">
            <v/>
          </cell>
          <cell r="Y1154" t="str">
            <v/>
          </cell>
        </row>
        <row r="1154">
          <cell r="AA1154" t="str">
            <v/>
          </cell>
          <cell r="AB1154" t="str">
            <v/>
          </cell>
          <cell r="AC1154" t="str">
            <v/>
          </cell>
          <cell r="AD1154" t="str">
            <v/>
          </cell>
          <cell r="AE1154" t="str">
            <v/>
          </cell>
          <cell r="AF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/>
          </cell>
          <cell r="W1155" t="str">
            <v/>
          </cell>
          <cell r="X1155" t="str">
            <v/>
          </cell>
          <cell r="Y1155" t="str">
            <v/>
          </cell>
        </row>
        <row r="1155">
          <cell r="AA1155" t="str">
            <v/>
          </cell>
          <cell r="AB1155" t="str">
            <v/>
          </cell>
          <cell r="AC1155" t="str">
            <v/>
          </cell>
          <cell r="AD1155" t="str">
            <v/>
          </cell>
          <cell r="AE1155" t="str">
            <v/>
          </cell>
          <cell r="AF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/>
          </cell>
          <cell r="X1156" t="str">
            <v/>
          </cell>
          <cell r="Y1156" t="str">
            <v/>
          </cell>
        </row>
        <row r="1156">
          <cell r="AA1156" t="str">
            <v/>
          </cell>
          <cell r="AB1156" t="str">
            <v/>
          </cell>
          <cell r="AC1156" t="str">
            <v/>
          </cell>
          <cell r="AD1156" t="str">
            <v/>
          </cell>
          <cell r="AE1156" t="str">
            <v/>
          </cell>
          <cell r="AF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/>
          </cell>
          <cell r="W1157" t="str">
            <v/>
          </cell>
          <cell r="X1157" t="str">
            <v/>
          </cell>
          <cell r="Y1157" t="str">
            <v/>
          </cell>
        </row>
        <row r="1157">
          <cell r="AA1157" t="str">
            <v/>
          </cell>
          <cell r="AB1157" t="str">
            <v/>
          </cell>
          <cell r="AC1157" t="str">
            <v/>
          </cell>
          <cell r="AD1157" t="str">
            <v/>
          </cell>
          <cell r="AE1157" t="str">
            <v/>
          </cell>
          <cell r="AF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 t="str">
            <v/>
          </cell>
          <cell r="W1158" t="str">
            <v/>
          </cell>
          <cell r="X1158" t="str">
            <v/>
          </cell>
          <cell r="Y1158" t="str">
            <v/>
          </cell>
        </row>
        <row r="1158">
          <cell r="AA1158" t="str">
            <v/>
          </cell>
          <cell r="AB1158" t="str">
            <v/>
          </cell>
          <cell r="AC1158" t="str">
            <v/>
          </cell>
          <cell r="AD1158" t="str">
            <v/>
          </cell>
          <cell r="AE1158" t="str">
            <v/>
          </cell>
          <cell r="AF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/>
          </cell>
          <cell r="W1159" t="str">
            <v/>
          </cell>
          <cell r="X1159" t="str">
            <v/>
          </cell>
          <cell r="Y1159" t="str">
            <v/>
          </cell>
        </row>
        <row r="1159">
          <cell r="AA1159" t="str">
            <v/>
          </cell>
          <cell r="AB1159" t="str">
            <v/>
          </cell>
          <cell r="AC1159" t="str">
            <v/>
          </cell>
          <cell r="AD1159" t="str">
            <v/>
          </cell>
          <cell r="AE1159" t="str">
            <v/>
          </cell>
          <cell r="AF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  <cell r="T1160" t="str">
            <v/>
          </cell>
          <cell r="U1160" t="str">
            <v/>
          </cell>
          <cell r="V1160" t="str">
            <v/>
          </cell>
          <cell r="W1160" t="str">
            <v/>
          </cell>
          <cell r="X1160" t="str">
            <v/>
          </cell>
          <cell r="Y1160" t="str">
            <v/>
          </cell>
        </row>
        <row r="1160">
          <cell r="AA1160" t="str">
            <v/>
          </cell>
          <cell r="AB1160" t="str">
            <v/>
          </cell>
          <cell r="AC1160" t="str">
            <v/>
          </cell>
          <cell r="AD1160" t="str">
            <v/>
          </cell>
          <cell r="AE1160" t="str">
            <v/>
          </cell>
          <cell r="AF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/>
          </cell>
          <cell r="W1161" t="str">
            <v/>
          </cell>
          <cell r="X1161" t="str">
            <v/>
          </cell>
          <cell r="Y1161" t="str">
            <v/>
          </cell>
        </row>
        <row r="1161">
          <cell r="AA1161" t="str">
            <v/>
          </cell>
          <cell r="AB1161" t="str">
            <v/>
          </cell>
          <cell r="AC1161" t="str">
            <v/>
          </cell>
          <cell r="AD1161" t="str">
            <v/>
          </cell>
          <cell r="AE1161" t="str">
            <v/>
          </cell>
          <cell r="AF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/>
          </cell>
          <cell r="X1162" t="str">
            <v/>
          </cell>
          <cell r="Y1162" t="str">
            <v/>
          </cell>
        </row>
        <row r="1162">
          <cell r="AA1162" t="str">
            <v/>
          </cell>
          <cell r="AB1162" t="str">
            <v/>
          </cell>
          <cell r="AC1162" t="str">
            <v/>
          </cell>
          <cell r="AD1162" t="str">
            <v/>
          </cell>
          <cell r="AE1162" t="str">
            <v/>
          </cell>
          <cell r="AF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  <cell r="T1163" t="str">
            <v/>
          </cell>
          <cell r="U1163" t="str">
            <v/>
          </cell>
          <cell r="V1163" t="str">
            <v/>
          </cell>
          <cell r="W1163" t="str">
            <v/>
          </cell>
          <cell r="X1163" t="str">
            <v/>
          </cell>
          <cell r="Y1163" t="str">
            <v/>
          </cell>
        </row>
        <row r="1163">
          <cell r="AA1163" t="str">
            <v/>
          </cell>
          <cell r="AB1163" t="str">
            <v/>
          </cell>
          <cell r="AC1163" t="str">
            <v/>
          </cell>
          <cell r="AD1163" t="str">
            <v/>
          </cell>
          <cell r="AE1163" t="str">
            <v/>
          </cell>
          <cell r="AF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/>
          </cell>
          <cell r="X1164" t="str">
            <v/>
          </cell>
          <cell r="Y1164" t="str">
            <v/>
          </cell>
        </row>
        <row r="1164">
          <cell r="AA1164" t="str">
            <v/>
          </cell>
          <cell r="AB1164" t="str">
            <v/>
          </cell>
          <cell r="AC1164" t="str">
            <v/>
          </cell>
          <cell r="AD1164" t="str">
            <v/>
          </cell>
          <cell r="AE1164" t="str">
            <v/>
          </cell>
          <cell r="AF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 t="str">
            <v/>
          </cell>
          <cell r="W1165" t="str">
            <v/>
          </cell>
          <cell r="X1165" t="str">
            <v/>
          </cell>
          <cell r="Y1165" t="str">
            <v/>
          </cell>
        </row>
        <row r="1165">
          <cell r="AA1165" t="str">
            <v/>
          </cell>
          <cell r="AB1165" t="str">
            <v/>
          </cell>
          <cell r="AC1165" t="str">
            <v/>
          </cell>
          <cell r="AD1165" t="str">
            <v/>
          </cell>
          <cell r="AE1165" t="str">
            <v/>
          </cell>
          <cell r="AF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/>
          </cell>
          <cell r="X1166" t="str">
            <v/>
          </cell>
          <cell r="Y1166" t="str">
            <v/>
          </cell>
        </row>
        <row r="1166">
          <cell r="AA1166" t="str">
            <v/>
          </cell>
          <cell r="AB1166" t="str">
            <v/>
          </cell>
          <cell r="AC1166" t="str">
            <v/>
          </cell>
          <cell r="AD1166" t="str">
            <v/>
          </cell>
          <cell r="AE1166" t="str">
            <v/>
          </cell>
          <cell r="AF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  <cell r="T1167" t="str">
            <v/>
          </cell>
          <cell r="U1167" t="str">
            <v/>
          </cell>
          <cell r="V1167" t="str">
            <v/>
          </cell>
          <cell r="W1167" t="str">
            <v/>
          </cell>
          <cell r="X1167" t="str">
            <v/>
          </cell>
          <cell r="Y1167" t="str">
            <v/>
          </cell>
        </row>
        <row r="1167">
          <cell r="AA1167" t="str">
            <v/>
          </cell>
          <cell r="AB1167" t="str">
            <v/>
          </cell>
          <cell r="AC1167" t="str">
            <v/>
          </cell>
          <cell r="AD1167" t="str">
            <v/>
          </cell>
          <cell r="AE1167" t="str">
            <v/>
          </cell>
          <cell r="AF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/>
          </cell>
          <cell r="X1168" t="str">
            <v/>
          </cell>
          <cell r="Y1168" t="str">
            <v/>
          </cell>
        </row>
        <row r="1168">
          <cell r="AA1168" t="str">
            <v/>
          </cell>
          <cell r="AB1168" t="str">
            <v/>
          </cell>
          <cell r="AC1168" t="str">
            <v/>
          </cell>
          <cell r="AD1168" t="str">
            <v/>
          </cell>
          <cell r="AE1168" t="str">
            <v/>
          </cell>
          <cell r="AF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  <cell r="T1169" t="str">
            <v/>
          </cell>
          <cell r="U1169" t="str">
            <v/>
          </cell>
          <cell r="V1169" t="str">
            <v/>
          </cell>
          <cell r="W1169" t="str">
            <v/>
          </cell>
          <cell r="X1169" t="str">
            <v/>
          </cell>
          <cell r="Y1169" t="str">
            <v/>
          </cell>
        </row>
        <row r="1169">
          <cell r="AA1169" t="str">
            <v/>
          </cell>
          <cell r="AB1169" t="str">
            <v/>
          </cell>
          <cell r="AC1169" t="str">
            <v/>
          </cell>
          <cell r="AD1169" t="str">
            <v/>
          </cell>
          <cell r="AE1169" t="str">
            <v/>
          </cell>
          <cell r="AF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/>
          </cell>
          <cell r="W1170" t="str">
            <v/>
          </cell>
          <cell r="X1170" t="str">
            <v/>
          </cell>
          <cell r="Y1170" t="str">
            <v/>
          </cell>
        </row>
        <row r="1170">
          <cell r="AA1170" t="str">
            <v/>
          </cell>
          <cell r="AB1170" t="str">
            <v/>
          </cell>
          <cell r="AC1170" t="str">
            <v/>
          </cell>
          <cell r="AD1170" t="str">
            <v/>
          </cell>
          <cell r="AE1170" t="str">
            <v/>
          </cell>
          <cell r="AF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/>
          </cell>
          <cell r="X1171" t="str">
            <v/>
          </cell>
          <cell r="Y1171" t="str">
            <v/>
          </cell>
        </row>
        <row r="1171">
          <cell r="AA1171" t="str">
            <v/>
          </cell>
          <cell r="AB1171" t="str">
            <v/>
          </cell>
          <cell r="AC1171" t="str">
            <v/>
          </cell>
          <cell r="AD1171" t="str">
            <v/>
          </cell>
          <cell r="AE1171" t="str">
            <v/>
          </cell>
          <cell r="AF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  <cell r="T1172" t="str">
            <v/>
          </cell>
          <cell r="U1172" t="str">
            <v/>
          </cell>
          <cell r="V1172" t="str">
            <v/>
          </cell>
          <cell r="W1172" t="str">
            <v/>
          </cell>
          <cell r="X1172" t="str">
            <v/>
          </cell>
          <cell r="Y1172" t="str">
            <v/>
          </cell>
        </row>
        <row r="1172">
          <cell r="AA1172" t="str">
            <v/>
          </cell>
          <cell r="AB1172" t="str">
            <v/>
          </cell>
          <cell r="AC1172" t="str">
            <v/>
          </cell>
          <cell r="AD1172" t="str">
            <v/>
          </cell>
          <cell r="AE1172" t="str">
            <v/>
          </cell>
          <cell r="AF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  <cell r="T1173" t="str">
            <v/>
          </cell>
          <cell r="U1173" t="str">
            <v/>
          </cell>
          <cell r="V1173" t="str">
            <v/>
          </cell>
          <cell r="W1173" t="str">
            <v/>
          </cell>
          <cell r="X1173" t="str">
            <v/>
          </cell>
          <cell r="Y1173" t="str">
            <v/>
          </cell>
        </row>
        <row r="1173">
          <cell r="AA1173" t="str">
            <v/>
          </cell>
          <cell r="AB1173" t="str">
            <v/>
          </cell>
          <cell r="AC1173" t="str">
            <v/>
          </cell>
          <cell r="AD1173" t="str">
            <v/>
          </cell>
          <cell r="AE1173" t="str">
            <v/>
          </cell>
          <cell r="AF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/>
          </cell>
          <cell r="W1174" t="str">
            <v/>
          </cell>
          <cell r="X1174" t="str">
            <v/>
          </cell>
          <cell r="Y1174" t="str">
            <v/>
          </cell>
        </row>
        <row r="1174">
          <cell r="AA1174" t="str">
            <v/>
          </cell>
          <cell r="AB1174" t="str">
            <v/>
          </cell>
          <cell r="AC1174" t="str">
            <v/>
          </cell>
          <cell r="AD1174" t="str">
            <v/>
          </cell>
          <cell r="AE1174" t="str">
            <v/>
          </cell>
          <cell r="AF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  <cell r="T1175" t="str">
            <v/>
          </cell>
          <cell r="U1175" t="str">
            <v/>
          </cell>
          <cell r="V1175" t="str">
            <v/>
          </cell>
          <cell r="W1175" t="str">
            <v/>
          </cell>
          <cell r="X1175" t="str">
            <v/>
          </cell>
          <cell r="Y1175" t="str">
            <v/>
          </cell>
        </row>
        <row r="1175">
          <cell r="AA1175" t="str">
            <v/>
          </cell>
          <cell r="AB1175" t="str">
            <v/>
          </cell>
          <cell r="AC1175" t="str">
            <v/>
          </cell>
          <cell r="AD1175" t="str">
            <v/>
          </cell>
          <cell r="AE1175" t="str">
            <v/>
          </cell>
          <cell r="AF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  <cell r="T1176" t="str">
            <v/>
          </cell>
          <cell r="U1176" t="str">
            <v/>
          </cell>
          <cell r="V1176" t="str">
            <v/>
          </cell>
          <cell r="W1176" t="str">
            <v/>
          </cell>
          <cell r="X1176" t="str">
            <v/>
          </cell>
          <cell r="Y1176" t="str">
            <v/>
          </cell>
        </row>
        <row r="1176">
          <cell r="AA1176" t="str">
            <v/>
          </cell>
          <cell r="AB1176" t="str">
            <v/>
          </cell>
          <cell r="AC1176" t="str">
            <v/>
          </cell>
          <cell r="AD1176" t="str">
            <v/>
          </cell>
          <cell r="AE1176" t="str">
            <v/>
          </cell>
          <cell r="AF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/>
          </cell>
          <cell r="X1177" t="str">
            <v/>
          </cell>
          <cell r="Y1177" t="str">
            <v/>
          </cell>
        </row>
        <row r="1177">
          <cell r="AA1177" t="str">
            <v/>
          </cell>
          <cell r="AB1177" t="str">
            <v/>
          </cell>
          <cell r="AC1177" t="str">
            <v/>
          </cell>
          <cell r="AD1177" t="str">
            <v/>
          </cell>
          <cell r="AE1177" t="str">
            <v/>
          </cell>
          <cell r="AF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  <cell r="T1178" t="str">
            <v/>
          </cell>
          <cell r="U1178" t="str">
            <v/>
          </cell>
          <cell r="V1178" t="str">
            <v/>
          </cell>
          <cell r="W1178" t="str">
            <v/>
          </cell>
          <cell r="X1178" t="str">
            <v/>
          </cell>
          <cell r="Y1178" t="str">
            <v/>
          </cell>
        </row>
        <row r="1178">
          <cell r="AA1178" t="str">
            <v/>
          </cell>
          <cell r="AB1178" t="str">
            <v/>
          </cell>
          <cell r="AC1178" t="str">
            <v/>
          </cell>
          <cell r="AD1178" t="str">
            <v/>
          </cell>
          <cell r="AE1178" t="str">
            <v/>
          </cell>
          <cell r="AF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  <cell r="T1179" t="str">
            <v/>
          </cell>
          <cell r="U1179" t="str">
            <v/>
          </cell>
          <cell r="V1179" t="str">
            <v/>
          </cell>
          <cell r="W1179" t="str">
            <v/>
          </cell>
          <cell r="X1179" t="str">
            <v/>
          </cell>
          <cell r="Y1179" t="str">
            <v/>
          </cell>
        </row>
        <row r="1179">
          <cell r="AA1179" t="str">
            <v/>
          </cell>
          <cell r="AB1179" t="str">
            <v/>
          </cell>
          <cell r="AC1179" t="str">
            <v/>
          </cell>
          <cell r="AD1179" t="str">
            <v/>
          </cell>
          <cell r="AE1179" t="str">
            <v/>
          </cell>
          <cell r="AF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  <cell r="T1180" t="str">
            <v/>
          </cell>
          <cell r="U1180" t="str">
            <v/>
          </cell>
          <cell r="V1180" t="str">
            <v/>
          </cell>
          <cell r="W1180" t="str">
            <v/>
          </cell>
          <cell r="X1180" t="str">
            <v/>
          </cell>
          <cell r="Y1180" t="str">
            <v/>
          </cell>
        </row>
        <row r="1180">
          <cell r="AA1180" t="str">
            <v/>
          </cell>
          <cell r="AB1180" t="str">
            <v/>
          </cell>
          <cell r="AC1180" t="str">
            <v/>
          </cell>
          <cell r="AD1180" t="str">
            <v/>
          </cell>
          <cell r="AE1180" t="str">
            <v/>
          </cell>
          <cell r="AF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  <cell r="T1181" t="str">
            <v/>
          </cell>
          <cell r="U1181" t="str">
            <v/>
          </cell>
          <cell r="V1181" t="str">
            <v/>
          </cell>
          <cell r="W1181" t="str">
            <v/>
          </cell>
          <cell r="X1181" t="str">
            <v/>
          </cell>
          <cell r="Y1181" t="str">
            <v/>
          </cell>
        </row>
        <row r="1181">
          <cell r="AA1181" t="str">
            <v/>
          </cell>
          <cell r="AB1181" t="str">
            <v/>
          </cell>
          <cell r="AC1181" t="str">
            <v/>
          </cell>
          <cell r="AD1181" t="str">
            <v/>
          </cell>
          <cell r="AE1181" t="str">
            <v/>
          </cell>
          <cell r="AF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 t="str">
            <v/>
          </cell>
          <cell r="W1182" t="str">
            <v/>
          </cell>
          <cell r="X1182" t="str">
            <v/>
          </cell>
          <cell r="Y1182" t="str">
            <v/>
          </cell>
        </row>
        <row r="1182">
          <cell r="AA1182" t="str">
            <v/>
          </cell>
          <cell r="AB1182" t="str">
            <v/>
          </cell>
          <cell r="AC1182" t="str">
            <v/>
          </cell>
          <cell r="AD1182" t="str">
            <v/>
          </cell>
          <cell r="AE1182" t="str">
            <v/>
          </cell>
          <cell r="AF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  <cell r="T1183" t="str">
            <v/>
          </cell>
          <cell r="U1183" t="str">
            <v/>
          </cell>
          <cell r="V1183" t="str">
            <v/>
          </cell>
          <cell r="W1183" t="str">
            <v/>
          </cell>
          <cell r="X1183" t="str">
            <v/>
          </cell>
          <cell r="Y1183" t="str">
            <v/>
          </cell>
        </row>
        <row r="1183">
          <cell r="AA1183" t="str">
            <v/>
          </cell>
          <cell r="AB1183" t="str">
            <v/>
          </cell>
          <cell r="AC1183" t="str">
            <v/>
          </cell>
          <cell r="AD1183" t="str">
            <v/>
          </cell>
          <cell r="AE1183" t="str">
            <v/>
          </cell>
          <cell r="AF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 t="str">
            <v/>
          </cell>
          <cell r="W1184" t="str">
            <v/>
          </cell>
          <cell r="X1184" t="str">
            <v/>
          </cell>
          <cell r="Y1184" t="str">
            <v/>
          </cell>
        </row>
        <row r="1184">
          <cell r="AA1184" t="str">
            <v/>
          </cell>
          <cell r="AB1184" t="str">
            <v/>
          </cell>
          <cell r="AC1184" t="str">
            <v/>
          </cell>
          <cell r="AD1184" t="str">
            <v/>
          </cell>
          <cell r="AE1184" t="str">
            <v/>
          </cell>
          <cell r="AF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  <cell r="T1185" t="str">
            <v/>
          </cell>
          <cell r="U1185" t="str">
            <v/>
          </cell>
          <cell r="V1185" t="str">
            <v/>
          </cell>
          <cell r="W1185" t="str">
            <v/>
          </cell>
          <cell r="X1185" t="str">
            <v/>
          </cell>
          <cell r="Y1185" t="str">
            <v/>
          </cell>
        </row>
        <row r="1185">
          <cell r="AA1185" t="str">
            <v/>
          </cell>
          <cell r="AB1185" t="str">
            <v/>
          </cell>
          <cell r="AC1185" t="str">
            <v/>
          </cell>
          <cell r="AD1185" t="str">
            <v/>
          </cell>
          <cell r="AE1185" t="str">
            <v/>
          </cell>
          <cell r="AF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  <cell r="T1186" t="str">
            <v/>
          </cell>
          <cell r="U1186" t="str">
            <v/>
          </cell>
          <cell r="V1186" t="str">
            <v/>
          </cell>
          <cell r="W1186" t="str">
            <v/>
          </cell>
          <cell r="X1186" t="str">
            <v/>
          </cell>
          <cell r="Y1186" t="str">
            <v/>
          </cell>
        </row>
        <row r="1186">
          <cell r="AA1186" t="str">
            <v/>
          </cell>
          <cell r="AB1186" t="str">
            <v/>
          </cell>
          <cell r="AC1186" t="str">
            <v/>
          </cell>
          <cell r="AD1186" t="str">
            <v/>
          </cell>
          <cell r="AE1186" t="str">
            <v/>
          </cell>
          <cell r="AF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  <cell r="T1187" t="str">
            <v/>
          </cell>
          <cell r="U1187" t="str">
            <v/>
          </cell>
          <cell r="V1187" t="str">
            <v/>
          </cell>
          <cell r="W1187" t="str">
            <v/>
          </cell>
          <cell r="X1187" t="str">
            <v/>
          </cell>
          <cell r="Y1187" t="str">
            <v/>
          </cell>
        </row>
        <row r="1187">
          <cell r="AA1187" t="str">
            <v/>
          </cell>
          <cell r="AB1187" t="str">
            <v/>
          </cell>
          <cell r="AC1187" t="str">
            <v/>
          </cell>
          <cell r="AD1187" t="str">
            <v/>
          </cell>
          <cell r="AE1187" t="str">
            <v/>
          </cell>
          <cell r="AF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  <cell r="T1188" t="str">
            <v/>
          </cell>
          <cell r="U1188" t="str">
            <v/>
          </cell>
          <cell r="V1188" t="str">
            <v/>
          </cell>
          <cell r="W1188" t="str">
            <v/>
          </cell>
          <cell r="X1188" t="str">
            <v/>
          </cell>
          <cell r="Y1188" t="str">
            <v/>
          </cell>
        </row>
        <row r="1188">
          <cell r="AA1188" t="str">
            <v/>
          </cell>
          <cell r="AB1188" t="str">
            <v/>
          </cell>
          <cell r="AC1188" t="str">
            <v/>
          </cell>
          <cell r="AD1188" t="str">
            <v/>
          </cell>
          <cell r="AE1188" t="str">
            <v/>
          </cell>
          <cell r="AF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  <cell r="T1189" t="str">
            <v/>
          </cell>
          <cell r="U1189" t="str">
            <v/>
          </cell>
          <cell r="V1189" t="str">
            <v/>
          </cell>
          <cell r="W1189" t="str">
            <v/>
          </cell>
          <cell r="X1189" t="str">
            <v/>
          </cell>
          <cell r="Y1189" t="str">
            <v/>
          </cell>
        </row>
        <row r="1189">
          <cell r="AA1189" t="str">
            <v/>
          </cell>
          <cell r="AB1189" t="str">
            <v/>
          </cell>
          <cell r="AC1189" t="str">
            <v/>
          </cell>
          <cell r="AD1189" t="str">
            <v/>
          </cell>
          <cell r="AE1189" t="str">
            <v/>
          </cell>
          <cell r="AF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/>
          </cell>
          <cell r="W1190" t="str">
            <v/>
          </cell>
          <cell r="X1190" t="str">
            <v/>
          </cell>
          <cell r="Y1190" t="str">
            <v/>
          </cell>
        </row>
        <row r="1190">
          <cell r="AA1190" t="str">
            <v/>
          </cell>
          <cell r="AB1190" t="str">
            <v/>
          </cell>
          <cell r="AC1190" t="str">
            <v/>
          </cell>
          <cell r="AD1190" t="str">
            <v/>
          </cell>
          <cell r="AE1190" t="str">
            <v/>
          </cell>
          <cell r="AF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  <cell r="T1191" t="str">
            <v/>
          </cell>
          <cell r="U1191" t="str">
            <v/>
          </cell>
          <cell r="V1191" t="str">
            <v/>
          </cell>
          <cell r="W1191" t="str">
            <v/>
          </cell>
          <cell r="X1191" t="str">
            <v/>
          </cell>
          <cell r="Y1191" t="str">
            <v/>
          </cell>
        </row>
        <row r="1191">
          <cell r="AA1191" t="str">
            <v/>
          </cell>
          <cell r="AB1191" t="str">
            <v/>
          </cell>
          <cell r="AC1191" t="str">
            <v/>
          </cell>
          <cell r="AD1191" t="str">
            <v/>
          </cell>
          <cell r="AE1191" t="str">
            <v/>
          </cell>
          <cell r="AF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  <cell r="T1192" t="str">
            <v/>
          </cell>
          <cell r="U1192" t="str">
            <v/>
          </cell>
          <cell r="V1192" t="str">
            <v/>
          </cell>
          <cell r="W1192" t="str">
            <v/>
          </cell>
          <cell r="X1192" t="str">
            <v/>
          </cell>
          <cell r="Y1192" t="str">
            <v/>
          </cell>
        </row>
        <row r="1192">
          <cell r="AA1192" t="str">
            <v/>
          </cell>
          <cell r="AB1192" t="str">
            <v/>
          </cell>
          <cell r="AC1192" t="str">
            <v/>
          </cell>
          <cell r="AD1192" t="str">
            <v/>
          </cell>
          <cell r="AE1192" t="str">
            <v/>
          </cell>
          <cell r="AF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  <cell r="T1193" t="str">
            <v/>
          </cell>
          <cell r="U1193" t="str">
            <v/>
          </cell>
          <cell r="V1193" t="str">
            <v/>
          </cell>
          <cell r="W1193" t="str">
            <v/>
          </cell>
          <cell r="X1193" t="str">
            <v/>
          </cell>
          <cell r="Y1193" t="str">
            <v/>
          </cell>
        </row>
        <row r="1193">
          <cell r="AA1193" t="str">
            <v/>
          </cell>
          <cell r="AB1193" t="str">
            <v/>
          </cell>
          <cell r="AC1193" t="str">
            <v/>
          </cell>
          <cell r="AD1193" t="str">
            <v/>
          </cell>
          <cell r="AE1193" t="str">
            <v/>
          </cell>
          <cell r="AF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  <cell r="T1194" t="str">
            <v/>
          </cell>
          <cell r="U1194" t="str">
            <v/>
          </cell>
          <cell r="V1194" t="str">
            <v/>
          </cell>
          <cell r="W1194" t="str">
            <v/>
          </cell>
          <cell r="X1194" t="str">
            <v/>
          </cell>
          <cell r="Y1194" t="str">
            <v/>
          </cell>
        </row>
        <row r="1194">
          <cell r="AA1194" t="str">
            <v/>
          </cell>
          <cell r="AB1194" t="str">
            <v/>
          </cell>
          <cell r="AC1194" t="str">
            <v/>
          </cell>
          <cell r="AD1194" t="str">
            <v/>
          </cell>
          <cell r="AE1194" t="str">
            <v/>
          </cell>
          <cell r="AF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  <cell r="T1195" t="str">
            <v/>
          </cell>
          <cell r="U1195" t="str">
            <v/>
          </cell>
          <cell r="V1195" t="str">
            <v/>
          </cell>
          <cell r="W1195" t="str">
            <v/>
          </cell>
          <cell r="X1195" t="str">
            <v/>
          </cell>
          <cell r="Y1195" t="str">
            <v/>
          </cell>
        </row>
        <row r="1195">
          <cell r="AA1195" t="str">
            <v/>
          </cell>
          <cell r="AB1195" t="str">
            <v/>
          </cell>
          <cell r="AC1195" t="str">
            <v/>
          </cell>
          <cell r="AD1195" t="str">
            <v/>
          </cell>
          <cell r="AE1195" t="str">
            <v/>
          </cell>
          <cell r="AF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/>
          </cell>
          <cell r="W1196" t="str">
            <v/>
          </cell>
          <cell r="X1196" t="str">
            <v/>
          </cell>
          <cell r="Y1196" t="str">
            <v/>
          </cell>
        </row>
        <row r="1196">
          <cell r="AA1196" t="str">
            <v/>
          </cell>
          <cell r="AB1196" t="str">
            <v/>
          </cell>
          <cell r="AC1196" t="str">
            <v/>
          </cell>
          <cell r="AD1196" t="str">
            <v/>
          </cell>
          <cell r="AE1196" t="str">
            <v/>
          </cell>
          <cell r="AF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/>
          </cell>
          <cell r="W1197" t="str">
            <v/>
          </cell>
          <cell r="X1197" t="str">
            <v/>
          </cell>
          <cell r="Y1197" t="str">
            <v/>
          </cell>
        </row>
        <row r="1197">
          <cell r="AA1197" t="str">
            <v/>
          </cell>
          <cell r="AB1197" t="str">
            <v/>
          </cell>
          <cell r="AC1197" t="str">
            <v/>
          </cell>
          <cell r="AD1197" t="str">
            <v/>
          </cell>
          <cell r="AE1197" t="str">
            <v/>
          </cell>
          <cell r="AF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  <cell r="T1198" t="str">
            <v/>
          </cell>
          <cell r="U1198" t="str">
            <v/>
          </cell>
          <cell r="V1198" t="str">
            <v/>
          </cell>
          <cell r="W1198" t="str">
            <v/>
          </cell>
          <cell r="X1198" t="str">
            <v/>
          </cell>
          <cell r="Y1198" t="str">
            <v/>
          </cell>
        </row>
        <row r="1198">
          <cell r="AA1198" t="str">
            <v/>
          </cell>
          <cell r="AB1198" t="str">
            <v/>
          </cell>
          <cell r="AC1198" t="str">
            <v/>
          </cell>
          <cell r="AD1198" t="str">
            <v/>
          </cell>
          <cell r="AE1198" t="str">
            <v/>
          </cell>
          <cell r="AF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  <cell r="T1199" t="str">
            <v/>
          </cell>
          <cell r="U1199" t="str">
            <v/>
          </cell>
          <cell r="V1199" t="str">
            <v/>
          </cell>
          <cell r="W1199" t="str">
            <v/>
          </cell>
          <cell r="X1199" t="str">
            <v/>
          </cell>
          <cell r="Y1199" t="str">
            <v/>
          </cell>
        </row>
        <row r="1199">
          <cell r="AA1199" t="str">
            <v/>
          </cell>
          <cell r="AB1199" t="str">
            <v/>
          </cell>
          <cell r="AC1199" t="str">
            <v/>
          </cell>
          <cell r="AD1199" t="str">
            <v/>
          </cell>
          <cell r="AE1199" t="str">
            <v/>
          </cell>
          <cell r="AF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  <cell r="X1200" t="str">
            <v/>
          </cell>
          <cell r="Y1200" t="str">
            <v/>
          </cell>
        </row>
        <row r="1200">
          <cell r="AA1200" t="str">
            <v/>
          </cell>
          <cell r="AB1200" t="str">
            <v/>
          </cell>
          <cell r="AC1200" t="str">
            <v/>
          </cell>
          <cell r="AD1200" t="str">
            <v/>
          </cell>
          <cell r="AE1200" t="str">
            <v/>
          </cell>
          <cell r="AF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  <cell r="T1201" t="str">
            <v/>
          </cell>
          <cell r="U1201" t="str">
            <v/>
          </cell>
          <cell r="V1201" t="str">
            <v/>
          </cell>
          <cell r="W1201" t="str">
            <v/>
          </cell>
          <cell r="X1201" t="str">
            <v/>
          </cell>
          <cell r="Y1201" t="str">
            <v/>
          </cell>
        </row>
        <row r="1201">
          <cell r="AA1201" t="str">
            <v/>
          </cell>
          <cell r="AB1201" t="str">
            <v/>
          </cell>
          <cell r="AC1201" t="str">
            <v/>
          </cell>
          <cell r="AD1201" t="str">
            <v/>
          </cell>
          <cell r="AE1201" t="str">
            <v/>
          </cell>
          <cell r="AF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 t="str">
            <v/>
          </cell>
          <cell r="W1202" t="str">
            <v/>
          </cell>
          <cell r="X1202" t="str">
            <v/>
          </cell>
          <cell r="Y1202" t="str">
            <v/>
          </cell>
        </row>
        <row r="1202">
          <cell r="AA1202" t="str">
            <v/>
          </cell>
          <cell r="AB1202" t="str">
            <v/>
          </cell>
          <cell r="AC1202" t="str">
            <v/>
          </cell>
          <cell r="AD1202" t="str">
            <v/>
          </cell>
          <cell r="AE1202" t="str">
            <v/>
          </cell>
          <cell r="AF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  <cell r="T1203" t="str">
            <v/>
          </cell>
          <cell r="U1203" t="str">
            <v/>
          </cell>
          <cell r="V1203" t="str">
            <v/>
          </cell>
          <cell r="W1203" t="str">
            <v/>
          </cell>
          <cell r="X1203" t="str">
            <v/>
          </cell>
          <cell r="Y1203" t="str">
            <v/>
          </cell>
        </row>
        <row r="1203">
          <cell r="AA1203" t="str">
            <v/>
          </cell>
          <cell r="AB1203" t="str">
            <v/>
          </cell>
          <cell r="AC1203" t="str">
            <v/>
          </cell>
          <cell r="AD1203" t="str">
            <v/>
          </cell>
          <cell r="AE1203" t="str">
            <v/>
          </cell>
          <cell r="AF1203" t="str">
            <v/>
          </cell>
        </row>
      </sheetData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+托盘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4">
            <v>1</v>
          </cell>
          <cell r="B4" t="str">
            <v>公司一次性筐</v>
          </cell>
          <cell r="C4">
            <v>69840</v>
          </cell>
          <cell r="D4">
            <v>0</v>
          </cell>
          <cell r="E4">
            <v>1</v>
          </cell>
          <cell r="F4">
            <v>6060</v>
          </cell>
          <cell r="G4">
            <v>0</v>
          </cell>
          <cell r="H4">
            <v>0</v>
          </cell>
          <cell r="I4">
            <v>63781</v>
          </cell>
          <cell r="J4">
            <v>6059</v>
          </cell>
          <cell r="K4">
            <v>-2128</v>
          </cell>
          <cell r="L4">
            <v>67712</v>
          </cell>
          <cell r="M4" t="str">
            <v/>
          </cell>
        </row>
        <row r="5">
          <cell r="A5">
            <v>2</v>
          </cell>
          <cell r="B5" t="str">
            <v>公司杂周转筐</v>
          </cell>
          <cell r="C5">
            <v>35928</v>
          </cell>
          <cell r="D5">
            <v>0</v>
          </cell>
          <cell r="E5">
            <v>103</v>
          </cell>
          <cell r="F5">
            <v>7741</v>
          </cell>
          <cell r="G5">
            <v>0</v>
          </cell>
          <cell r="H5">
            <v>0</v>
          </cell>
          <cell r="I5">
            <v>28290</v>
          </cell>
          <cell r="J5">
            <v>7638</v>
          </cell>
          <cell r="K5">
            <v>-5315</v>
          </cell>
          <cell r="L5">
            <v>30613</v>
          </cell>
          <cell r="M5" t="str">
            <v/>
          </cell>
        </row>
        <row r="6">
          <cell r="A6">
            <v>3</v>
          </cell>
          <cell r="B6" t="str">
            <v>公司新周转筐</v>
          </cell>
          <cell r="C6">
            <v>58032</v>
          </cell>
          <cell r="D6">
            <v>0</v>
          </cell>
          <cell r="E6">
            <v>0</v>
          </cell>
          <cell r="F6">
            <v>1011</v>
          </cell>
          <cell r="G6">
            <v>0</v>
          </cell>
          <cell r="H6">
            <v>0</v>
          </cell>
          <cell r="I6">
            <v>57021</v>
          </cell>
          <cell r="J6">
            <v>1011</v>
          </cell>
          <cell r="K6">
            <v>-74</v>
          </cell>
          <cell r="L6">
            <v>57958</v>
          </cell>
          <cell r="M6" t="str">
            <v/>
          </cell>
        </row>
        <row r="7">
          <cell r="A7">
            <v>4</v>
          </cell>
          <cell r="B7" t="str">
            <v>公司白周转筐</v>
          </cell>
          <cell r="C7">
            <v>13968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13968</v>
          </cell>
          <cell r="J7">
            <v>0</v>
          </cell>
          <cell r="K7">
            <v>0</v>
          </cell>
          <cell r="L7">
            <v>13968</v>
          </cell>
          <cell r="M7" t="str">
            <v/>
          </cell>
        </row>
        <row r="8">
          <cell r="A8">
            <v>5</v>
          </cell>
          <cell r="B8" t="str">
            <v>公司红周转筐</v>
          </cell>
          <cell r="C8">
            <v>0</v>
          </cell>
          <cell r="D8">
            <v>28176</v>
          </cell>
          <cell r="E8">
            <v>0</v>
          </cell>
          <cell r="F8">
            <v>28520</v>
          </cell>
          <cell r="G8">
            <v>0</v>
          </cell>
          <cell r="H8">
            <v>0</v>
          </cell>
          <cell r="I8">
            <v>-344</v>
          </cell>
          <cell r="J8">
            <v>28520</v>
          </cell>
          <cell r="K8">
            <v>-17797</v>
          </cell>
          <cell r="L8">
            <v>10379</v>
          </cell>
          <cell r="M8" t="str">
            <v/>
          </cell>
        </row>
        <row r="9">
          <cell r="A9">
            <v>6</v>
          </cell>
          <cell r="B9" t="str">
            <v>自备一次性筐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>客户自备筐，不计公司资产，见【自备筐汇总】</v>
          </cell>
        </row>
        <row r="10">
          <cell r="A10">
            <v>7</v>
          </cell>
          <cell r="B10" t="str">
            <v>大托盘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 t="str">
            <v/>
          </cell>
        </row>
        <row r="11">
          <cell r="A11">
            <v>8</v>
          </cell>
          <cell r="B11" t="str">
            <v>自备杂周转筐</v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>客户自备筐，不计公司资产，见【自备筐汇总】</v>
          </cell>
        </row>
        <row r="12">
          <cell r="A12">
            <v>9</v>
          </cell>
          <cell r="B12" t="str">
            <v>纸箱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46266</v>
          </cell>
          <cell r="C4" t="str">
            <v>果然鲜</v>
          </cell>
          <cell r="D4" t="str">
            <v>包装物料－期初库存</v>
          </cell>
          <cell r="E4" t="str">
            <v/>
          </cell>
          <cell r="F4" t="str">
            <v>气泡垫</v>
          </cell>
          <cell r="G4" t="str">
            <v>*1000</v>
          </cell>
          <cell r="H4">
            <v>13800</v>
          </cell>
          <cell r="I4" t="str">
            <v>片</v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</row>
        <row r="5">
          <cell r="B5">
            <v>46266</v>
          </cell>
          <cell r="C5" t="str">
            <v>果然鲜</v>
          </cell>
          <cell r="D5" t="str">
            <v>包装物料－期初库存</v>
          </cell>
          <cell r="E5" t="str">
            <v/>
          </cell>
          <cell r="F5" t="str">
            <v>无纺布</v>
          </cell>
          <cell r="G5" t="str">
            <v>*400</v>
          </cell>
          <cell r="H5">
            <v>2400</v>
          </cell>
          <cell r="I5" t="str">
            <v>个</v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</row>
        <row r="6">
          <cell r="B6">
            <v>46266</v>
          </cell>
          <cell r="C6" t="str">
            <v>果然鲜</v>
          </cell>
          <cell r="D6" t="str">
            <v>包装物料－期初库存</v>
          </cell>
          <cell r="E6" t="str">
            <v/>
          </cell>
          <cell r="F6" t="str">
            <v>纸垫板</v>
          </cell>
          <cell r="G6" t="str">
            <v>*100张</v>
          </cell>
          <cell r="H6">
            <v>8700</v>
          </cell>
          <cell r="I6" t="str">
            <v>张</v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</row>
        <row r="7">
          <cell r="B7">
            <v>46266</v>
          </cell>
          <cell r="C7" t="str">
            <v>果然鲜</v>
          </cell>
          <cell r="D7" t="str">
            <v>包装物料－期初库存</v>
          </cell>
          <cell r="E7" t="str">
            <v/>
          </cell>
          <cell r="F7" t="str">
            <v>香梨纸</v>
          </cell>
          <cell r="G7" t="str">
            <v>*捆</v>
          </cell>
          <cell r="H7">
            <v>48</v>
          </cell>
          <cell r="I7" t="str">
            <v>捆</v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</row>
        <row r="8">
          <cell r="B8">
            <v>46266</v>
          </cell>
          <cell r="C8" t="str">
            <v>果然鲜</v>
          </cell>
          <cell r="D8" t="str">
            <v>包装物料－期初库存</v>
          </cell>
          <cell r="E8" t="str">
            <v/>
          </cell>
          <cell r="F8" t="str">
            <v>冷煤/氟利昂</v>
          </cell>
          <cell r="G8" t="str">
            <v>*瓶</v>
          </cell>
          <cell r="H8">
            <v>23</v>
          </cell>
          <cell r="I8" t="str">
            <v>瓶</v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</row>
        <row r="9">
          <cell r="B9">
            <v>46266</v>
          </cell>
          <cell r="C9" t="str">
            <v>果然鲜</v>
          </cell>
          <cell r="D9" t="str">
            <v>包装物料－期初库存</v>
          </cell>
          <cell r="E9" t="str">
            <v/>
          </cell>
          <cell r="F9" t="str">
            <v>胶带</v>
          </cell>
          <cell r="G9" t="str">
            <v>*30卷</v>
          </cell>
          <cell r="H9">
            <v>2</v>
          </cell>
          <cell r="I9" t="str">
            <v>卷</v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</row>
        <row r="10">
          <cell r="B10">
            <v>46266</v>
          </cell>
          <cell r="C10" t="str">
            <v>新顺发泡网</v>
          </cell>
          <cell r="D10" t="str">
            <v>包装物料－采购入库</v>
          </cell>
          <cell r="E10" t="str">
            <v>NO:0000743</v>
          </cell>
          <cell r="F10" t="str">
            <v>香梨网</v>
          </cell>
          <cell r="G10" t="str">
            <v>*包</v>
          </cell>
          <cell r="H10">
            <v>644</v>
          </cell>
          <cell r="I10" t="str">
            <v>包</v>
          </cell>
          <cell r="J10" t="str">
            <v/>
          </cell>
          <cell r="K10">
            <v>23828</v>
          </cell>
          <cell r="L10" t="str">
            <v>已付款</v>
          </cell>
          <cell r="M10" t="str">
            <v>12#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>新Q*48887</v>
          </cell>
          <cell r="S10" t="str">
            <v/>
          </cell>
        </row>
        <row r="11">
          <cell r="B11">
            <v>46267</v>
          </cell>
          <cell r="C11" t="str">
            <v>吐尔洪</v>
          </cell>
          <cell r="D11" t="str">
            <v>包装物料－领用出库</v>
          </cell>
          <cell r="E11" t="str">
            <v>NO:0001067</v>
          </cell>
          <cell r="F11" t="str">
            <v>香梨网</v>
          </cell>
          <cell r="G11" t="str">
            <v>*包</v>
          </cell>
          <cell r="H11">
            <v>24</v>
          </cell>
          <cell r="I11" t="str">
            <v>包</v>
          </cell>
          <cell r="J11" t="str">
            <v/>
          </cell>
          <cell r="K11">
            <v>1080</v>
          </cell>
          <cell r="L11" t="str">
            <v>未付款</v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>新N*X8S48</v>
          </cell>
          <cell r="S11" t="str">
            <v/>
          </cell>
        </row>
        <row r="12">
          <cell r="B12">
            <v>46268</v>
          </cell>
          <cell r="C12" t="str">
            <v>热合曼</v>
          </cell>
          <cell r="D12" t="str">
            <v>包装物料－领用出库</v>
          </cell>
          <cell r="E12" t="str">
            <v>NO:0001069</v>
          </cell>
          <cell r="F12" t="str">
            <v>香梨网</v>
          </cell>
          <cell r="G12" t="str">
            <v>*包</v>
          </cell>
          <cell r="H12">
            <v>44</v>
          </cell>
          <cell r="I12" t="str">
            <v>包</v>
          </cell>
          <cell r="J12" t="str">
            <v/>
          </cell>
          <cell r="K12">
            <v>1980</v>
          </cell>
          <cell r="L12" t="str">
            <v>未付款</v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>新A*G0544</v>
          </cell>
          <cell r="S12" t="str">
            <v/>
          </cell>
        </row>
        <row r="13">
          <cell r="B13">
            <v>46268</v>
          </cell>
          <cell r="C13" t="str">
            <v>麦麦提</v>
          </cell>
          <cell r="D13" t="str">
            <v>包装物料－领用出库</v>
          </cell>
          <cell r="E13" t="str">
            <v>NO:0001070</v>
          </cell>
          <cell r="F13" t="str">
            <v>香梨纸</v>
          </cell>
          <cell r="G13" t="str">
            <v>*捆</v>
          </cell>
          <cell r="H13">
            <v>2</v>
          </cell>
          <cell r="I13" t="str">
            <v>捆</v>
          </cell>
          <cell r="J13" t="str">
            <v/>
          </cell>
          <cell r="K13">
            <v>96</v>
          </cell>
          <cell r="L13" t="str">
            <v>已收讫</v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>自提</v>
          </cell>
          <cell r="S13" t="str">
            <v/>
          </cell>
        </row>
        <row r="14">
          <cell r="B14">
            <v>46268</v>
          </cell>
          <cell r="C14" t="str">
            <v>热合曼</v>
          </cell>
          <cell r="D14" t="str">
            <v>包装物料－领用出库</v>
          </cell>
          <cell r="E14" t="str">
            <v>NO:0001071</v>
          </cell>
          <cell r="F14" t="str">
            <v>香梨纸</v>
          </cell>
          <cell r="G14" t="str">
            <v>*捆</v>
          </cell>
          <cell r="H14">
            <v>2</v>
          </cell>
          <cell r="I14" t="str">
            <v>捆</v>
          </cell>
          <cell r="J14" t="str">
            <v/>
          </cell>
          <cell r="K14">
            <v>96</v>
          </cell>
          <cell r="L14" t="str">
            <v>已收讫</v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>自提</v>
          </cell>
          <cell r="S14" t="str">
            <v/>
          </cell>
        </row>
        <row r="15">
          <cell r="B15">
            <v>46268</v>
          </cell>
          <cell r="C15" t="str">
            <v>麦麦提</v>
          </cell>
          <cell r="D15" t="str">
            <v>包装物料－领用出库</v>
          </cell>
          <cell r="E15" t="str">
            <v>NO:0001074</v>
          </cell>
          <cell r="F15" t="str">
            <v>香梨网</v>
          </cell>
          <cell r="G15" t="str">
            <v>*包</v>
          </cell>
          <cell r="H15">
            <v>44</v>
          </cell>
          <cell r="I15" t="str">
            <v>包</v>
          </cell>
          <cell r="J15" t="str">
            <v/>
          </cell>
          <cell r="K15">
            <v>1980</v>
          </cell>
          <cell r="L15" t="str">
            <v>未付款</v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>新A*G0544</v>
          </cell>
          <cell r="S15" t="str">
            <v/>
          </cell>
        </row>
        <row r="16">
          <cell r="B16">
            <v>46269</v>
          </cell>
          <cell r="C16" t="str">
            <v>荆建君</v>
          </cell>
          <cell r="D16" t="str">
            <v>包装物料－领用出库</v>
          </cell>
          <cell r="E16" t="str">
            <v>NO:0001079</v>
          </cell>
          <cell r="F16" t="str">
            <v>香梨网</v>
          </cell>
          <cell r="G16" t="str">
            <v>*包</v>
          </cell>
          <cell r="H16">
            <v>64</v>
          </cell>
          <cell r="I16" t="str">
            <v>包</v>
          </cell>
          <cell r="J16" t="str">
            <v/>
          </cell>
          <cell r="K16">
            <v>2880</v>
          </cell>
          <cell r="L16" t="str">
            <v>未付款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>豫A*2737K</v>
          </cell>
          <cell r="S16" t="str">
            <v/>
          </cell>
        </row>
        <row r="17">
          <cell r="B17">
            <v>46269</v>
          </cell>
          <cell r="C17" t="str">
            <v>努尔敦</v>
          </cell>
          <cell r="D17" t="str">
            <v>包装物料－领用出库</v>
          </cell>
          <cell r="E17" t="str">
            <v>NO:0001080</v>
          </cell>
          <cell r="F17" t="str">
            <v>香梨网</v>
          </cell>
          <cell r="G17" t="str">
            <v>*包</v>
          </cell>
          <cell r="H17">
            <v>120</v>
          </cell>
          <cell r="I17" t="str">
            <v>包</v>
          </cell>
          <cell r="J17" t="str">
            <v/>
          </cell>
          <cell r="K17">
            <v>5400</v>
          </cell>
          <cell r="L17" t="str">
            <v>未付款</v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>新F*75240</v>
          </cell>
          <cell r="S17" t="str">
            <v/>
          </cell>
        </row>
        <row r="18">
          <cell r="B18">
            <v>46270</v>
          </cell>
          <cell r="C18" t="str">
            <v>热合曼</v>
          </cell>
          <cell r="D18" t="str">
            <v>包装物料－领用出库</v>
          </cell>
          <cell r="E18" t="str">
            <v>NO:0001084</v>
          </cell>
          <cell r="F18" t="str">
            <v>香梨纸</v>
          </cell>
          <cell r="G18" t="str">
            <v>*捆</v>
          </cell>
          <cell r="H18">
            <v>10</v>
          </cell>
          <cell r="I18" t="str">
            <v>捆</v>
          </cell>
          <cell r="J18" t="str">
            <v/>
          </cell>
          <cell r="K18">
            <v>560</v>
          </cell>
          <cell r="L18" t="str">
            <v>未付款</v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>新N*FJ0676</v>
          </cell>
          <cell r="S18" t="str">
            <v/>
          </cell>
        </row>
        <row r="19">
          <cell r="B19">
            <v>46272</v>
          </cell>
          <cell r="C19" t="str">
            <v>麦麦提</v>
          </cell>
          <cell r="D19" t="str">
            <v>包装物料－领用出库</v>
          </cell>
          <cell r="E19" t="str">
            <v>NO:0001089</v>
          </cell>
          <cell r="F19" t="str">
            <v>香梨网</v>
          </cell>
          <cell r="G19" t="str">
            <v>*包</v>
          </cell>
          <cell r="H19">
            <v>48</v>
          </cell>
          <cell r="I19" t="str">
            <v>包</v>
          </cell>
          <cell r="J19" t="str">
            <v/>
          </cell>
          <cell r="K19">
            <v>2160</v>
          </cell>
          <cell r="L19" t="str">
            <v>未付款</v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新A*G0544</v>
          </cell>
          <cell r="S19" t="str">
            <v/>
          </cell>
        </row>
        <row r="20">
          <cell r="B20">
            <v>46272</v>
          </cell>
          <cell r="C20" t="str">
            <v>贾建国</v>
          </cell>
          <cell r="D20" t="str">
            <v>包装物料－领用出库</v>
          </cell>
          <cell r="E20" t="str">
            <v>NO:0001092</v>
          </cell>
          <cell r="F20" t="str">
            <v>香梨网</v>
          </cell>
          <cell r="G20" t="str">
            <v>*包</v>
          </cell>
          <cell r="H20">
            <v>32</v>
          </cell>
          <cell r="I20" t="str">
            <v>包</v>
          </cell>
          <cell r="J20" t="str">
            <v/>
          </cell>
          <cell r="K20">
            <v>1440</v>
          </cell>
          <cell r="L20" t="str">
            <v>未付款</v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>豫Q*H5591</v>
          </cell>
          <cell r="S20" t="str">
            <v/>
          </cell>
        </row>
        <row r="21">
          <cell r="B21">
            <v>46272</v>
          </cell>
          <cell r="C21" t="str">
            <v>贾建国</v>
          </cell>
          <cell r="D21" t="str">
            <v>包装物料－领用出库</v>
          </cell>
          <cell r="E21" t="str">
            <v>NO:0001092</v>
          </cell>
          <cell r="F21" t="str">
            <v>无纺布</v>
          </cell>
          <cell r="G21" t="str">
            <v>*400</v>
          </cell>
          <cell r="H21">
            <v>800</v>
          </cell>
          <cell r="I21" t="str">
            <v>个</v>
          </cell>
          <cell r="J21" t="str">
            <v/>
          </cell>
          <cell r="K21">
            <v>400</v>
          </cell>
          <cell r="L21" t="str">
            <v>未付款</v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>豫Q*H5591</v>
          </cell>
          <cell r="S21" t="str">
            <v/>
          </cell>
        </row>
        <row r="22">
          <cell r="B22">
            <v>46272</v>
          </cell>
          <cell r="C22" t="str">
            <v>热合曼</v>
          </cell>
          <cell r="D22" t="str">
            <v>包装物料－领用出库</v>
          </cell>
          <cell r="E22" t="str">
            <v>NO:0001094</v>
          </cell>
          <cell r="F22" t="str">
            <v>香梨网</v>
          </cell>
          <cell r="G22" t="str">
            <v>*包</v>
          </cell>
          <cell r="H22">
            <v>48</v>
          </cell>
          <cell r="I22" t="str">
            <v>包</v>
          </cell>
          <cell r="J22" t="str">
            <v/>
          </cell>
          <cell r="K22">
            <v>2160</v>
          </cell>
          <cell r="L22" t="str">
            <v>未付款</v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>新A*G0544</v>
          </cell>
          <cell r="S22" t="str">
            <v/>
          </cell>
        </row>
        <row r="23">
          <cell r="B23">
            <v>46273</v>
          </cell>
          <cell r="C23" t="str">
            <v>贾建国</v>
          </cell>
          <cell r="D23" t="str">
            <v>包装物料－退回入库</v>
          </cell>
          <cell r="E23" t="str">
            <v>NO:0000760</v>
          </cell>
          <cell r="F23" t="str">
            <v>无纺布</v>
          </cell>
          <cell r="G23" t="str">
            <v>*400</v>
          </cell>
          <cell r="H23">
            <v>800</v>
          </cell>
          <cell r="I23" t="str">
            <v>个</v>
          </cell>
          <cell r="J23" t="str">
            <v/>
          </cell>
          <cell r="K23">
            <v>-400</v>
          </cell>
          <cell r="L23" t="str">
            <v>无需付款</v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>豫Q*H5591</v>
          </cell>
          <cell r="S23" t="str">
            <v/>
          </cell>
        </row>
        <row r="24">
          <cell r="B24">
            <v>46274</v>
          </cell>
          <cell r="C24" t="str">
            <v>吐尔逊</v>
          </cell>
          <cell r="D24" t="str">
            <v>包装物料－领用出库</v>
          </cell>
          <cell r="E24" t="str">
            <v>NO:0001099</v>
          </cell>
          <cell r="F24" t="str">
            <v>香梨网</v>
          </cell>
          <cell r="G24" t="str">
            <v>*包</v>
          </cell>
          <cell r="H24">
            <v>16</v>
          </cell>
          <cell r="I24" t="str">
            <v>包</v>
          </cell>
          <cell r="J24" t="str">
            <v/>
          </cell>
          <cell r="K24">
            <v>720</v>
          </cell>
          <cell r="L24" t="str">
            <v>未付款</v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>新M*87613</v>
          </cell>
          <cell r="S24" t="str">
            <v/>
          </cell>
        </row>
        <row r="25">
          <cell r="B25">
            <v>46274</v>
          </cell>
          <cell r="C25" t="str">
            <v>吐尔逊</v>
          </cell>
          <cell r="D25" t="str">
            <v>包装物料－领用出库</v>
          </cell>
          <cell r="E25" t="str">
            <v>NO:0001099</v>
          </cell>
          <cell r="F25" t="str">
            <v>香梨纸</v>
          </cell>
          <cell r="G25" t="str">
            <v>*捆</v>
          </cell>
          <cell r="H25">
            <v>2</v>
          </cell>
          <cell r="I25" t="str">
            <v>捆</v>
          </cell>
          <cell r="J25" t="str">
            <v/>
          </cell>
          <cell r="K25">
            <v>120</v>
          </cell>
          <cell r="L25" t="str">
            <v>未付款</v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>新M*87613</v>
          </cell>
          <cell r="S25" t="str">
            <v/>
          </cell>
        </row>
        <row r="26">
          <cell r="B26">
            <v>46274</v>
          </cell>
          <cell r="C26" t="str">
            <v>吐尔洪</v>
          </cell>
          <cell r="D26" t="str">
            <v>包装物料－领用出库</v>
          </cell>
          <cell r="E26" t="str">
            <v>NO:0001100</v>
          </cell>
          <cell r="F26" t="str">
            <v>香梨网</v>
          </cell>
          <cell r="G26" t="str">
            <v>*包</v>
          </cell>
          <cell r="H26">
            <v>12</v>
          </cell>
          <cell r="I26" t="str">
            <v>包</v>
          </cell>
          <cell r="J26" t="str">
            <v/>
          </cell>
          <cell r="K26">
            <v>540</v>
          </cell>
          <cell r="L26" t="str">
            <v>未付款</v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新N*X8S48</v>
          </cell>
          <cell r="S26" t="str">
            <v/>
          </cell>
        </row>
        <row r="27">
          <cell r="B27">
            <v>46274</v>
          </cell>
          <cell r="C27" t="str">
            <v>荆建君</v>
          </cell>
          <cell r="D27" t="str">
            <v>包装物料－领用出库</v>
          </cell>
          <cell r="E27" t="str">
            <v>NO:0001105</v>
          </cell>
          <cell r="F27" t="str">
            <v>香梨网</v>
          </cell>
          <cell r="G27" t="str">
            <v>*包</v>
          </cell>
          <cell r="H27">
            <v>48</v>
          </cell>
          <cell r="I27" t="str">
            <v>包</v>
          </cell>
          <cell r="J27" t="str">
            <v/>
          </cell>
          <cell r="K27">
            <v>2160</v>
          </cell>
          <cell r="L27" t="str">
            <v>未付款</v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>豫A*2737K</v>
          </cell>
          <cell r="S27" t="str">
            <v/>
          </cell>
        </row>
        <row r="28">
          <cell r="B28">
            <v>46274</v>
          </cell>
          <cell r="C28" t="str">
            <v>麦麦提</v>
          </cell>
          <cell r="D28" t="str">
            <v>包装物料－领用出库</v>
          </cell>
          <cell r="E28" t="str">
            <v>NO:0001106</v>
          </cell>
          <cell r="F28" t="str">
            <v>香梨网</v>
          </cell>
          <cell r="G28" t="str">
            <v>*包</v>
          </cell>
          <cell r="H28">
            <v>48</v>
          </cell>
          <cell r="I28" t="str">
            <v>包</v>
          </cell>
          <cell r="J28" t="str">
            <v/>
          </cell>
          <cell r="K28">
            <v>2160</v>
          </cell>
          <cell r="L28" t="str">
            <v>未付款</v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>新A*G0544</v>
          </cell>
          <cell r="S28" t="str">
            <v/>
          </cell>
        </row>
        <row r="29">
          <cell r="B29">
            <v>46276</v>
          </cell>
          <cell r="C29" t="str">
            <v>新顺发泡网</v>
          </cell>
          <cell r="D29" t="str">
            <v>包装物料－采购入库</v>
          </cell>
          <cell r="E29" t="str">
            <v>NO:0000777</v>
          </cell>
          <cell r="F29" t="str">
            <v>香梨网</v>
          </cell>
          <cell r="G29" t="str">
            <v>*包</v>
          </cell>
          <cell r="H29">
            <v>120</v>
          </cell>
          <cell r="I29" t="str">
            <v>包</v>
          </cell>
          <cell r="J29" t="str">
            <v/>
          </cell>
          <cell r="K29">
            <v>4440</v>
          </cell>
          <cell r="L29" t="str">
            <v>未付款</v>
          </cell>
          <cell r="M29" t="str">
            <v>12#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>皖L*SD929</v>
          </cell>
          <cell r="S29" t="str">
            <v/>
          </cell>
        </row>
        <row r="30">
          <cell r="B30">
            <v>46276</v>
          </cell>
          <cell r="C30" t="str">
            <v>麦麦提</v>
          </cell>
          <cell r="D30" t="str">
            <v>包装物料－领用出库</v>
          </cell>
          <cell r="E30" t="str">
            <v>NO:0001113</v>
          </cell>
          <cell r="F30" t="str">
            <v>香梨网</v>
          </cell>
          <cell r="G30" t="str">
            <v>*包</v>
          </cell>
          <cell r="H30">
            <v>48</v>
          </cell>
          <cell r="I30" t="str">
            <v>包</v>
          </cell>
          <cell r="J30" t="str">
            <v/>
          </cell>
          <cell r="K30">
            <v>2160</v>
          </cell>
          <cell r="L30" t="str">
            <v>未付款</v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新A*G0544</v>
          </cell>
          <cell r="S30" t="str">
            <v/>
          </cell>
        </row>
        <row r="31">
          <cell r="B31">
            <v>46276</v>
          </cell>
          <cell r="C31" t="str">
            <v>新顺发泡网</v>
          </cell>
          <cell r="D31" t="str">
            <v>包装物料－采购入库</v>
          </cell>
          <cell r="E31" t="str">
            <v>NO:0000779</v>
          </cell>
          <cell r="F31" t="str">
            <v>香梨网</v>
          </cell>
          <cell r="G31" t="str">
            <v>*包</v>
          </cell>
          <cell r="H31">
            <v>120</v>
          </cell>
          <cell r="I31" t="str">
            <v>包</v>
          </cell>
          <cell r="J31" t="str">
            <v/>
          </cell>
          <cell r="K31">
            <v>4440</v>
          </cell>
          <cell r="L31" t="str">
            <v>未付款</v>
          </cell>
          <cell r="M31" t="str">
            <v>12#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皖L*KW876</v>
          </cell>
          <cell r="S31" t="str">
            <v/>
          </cell>
        </row>
        <row r="32">
          <cell r="B32">
            <v>46276</v>
          </cell>
          <cell r="C32" t="str">
            <v>吐尔洪</v>
          </cell>
          <cell r="D32" t="str">
            <v>包装物料－领用出库</v>
          </cell>
          <cell r="E32" t="str">
            <v>NO:0001117</v>
          </cell>
          <cell r="F32" t="str">
            <v>香梨网</v>
          </cell>
          <cell r="G32" t="str">
            <v>*包</v>
          </cell>
          <cell r="H32">
            <v>3</v>
          </cell>
          <cell r="I32" t="str">
            <v>包</v>
          </cell>
          <cell r="J32" t="str">
            <v/>
          </cell>
          <cell r="K32">
            <v>135</v>
          </cell>
          <cell r="L32" t="str">
            <v>未付款</v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新N*Z0305</v>
          </cell>
          <cell r="S32" t="str">
            <v/>
          </cell>
        </row>
        <row r="33">
          <cell r="B33">
            <v>46276</v>
          </cell>
          <cell r="C33" t="str">
            <v>热合曼</v>
          </cell>
          <cell r="D33" t="str">
            <v>包装物料－领用出库</v>
          </cell>
          <cell r="E33" t="str">
            <v>NO:0001120</v>
          </cell>
          <cell r="F33" t="str">
            <v>香梨网</v>
          </cell>
          <cell r="G33" t="str">
            <v>*包</v>
          </cell>
          <cell r="H33">
            <v>48</v>
          </cell>
          <cell r="I33" t="str">
            <v>包</v>
          </cell>
          <cell r="J33" t="str">
            <v/>
          </cell>
          <cell r="K33">
            <v>2160</v>
          </cell>
          <cell r="L33" t="str">
            <v>未付款</v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新A*G0544</v>
          </cell>
          <cell r="S33" t="str">
            <v/>
          </cell>
        </row>
        <row r="34">
          <cell r="B34">
            <v>46276</v>
          </cell>
          <cell r="C34" t="str">
            <v>吐尔洪</v>
          </cell>
          <cell r="D34" t="str">
            <v>包装物料－领用出库</v>
          </cell>
          <cell r="E34" t="str">
            <v>NO:0001121</v>
          </cell>
          <cell r="F34" t="str">
            <v>香梨网</v>
          </cell>
          <cell r="G34" t="str">
            <v>*包</v>
          </cell>
          <cell r="H34">
            <v>12</v>
          </cell>
          <cell r="I34" t="str">
            <v>包</v>
          </cell>
          <cell r="J34" t="str">
            <v/>
          </cell>
          <cell r="K34">
            <v>540</v>
          </cell>
          <cell r="L34" t="str">
            <v>未付款</v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新N*X8S48</v>
          </cell>
          <cell r="S34" t="str">
            <v/>
          </cell>
        </row>
        <row r="35">
          <cell r="B35">
            <v>46277</v>
          </cell>
          <cell r="C35" t="str">
            <v>新顺发泡网</v>
          </cell>
          <cell r="D35" t="str">
            <v>包装物料－采购入库</v>
          </cell>
          <cell r="E35" t="str">
            <v>NO:0000791</v>
          </cell>
          <cell r="F35" t="str">
            <v>香梨网</v>
          </cell>
          <cell r="G35" t="str">
            <v>*包</v>
          </cell>
          <cell r="H35">
            <v>120</v>
          </cell>
          <cell r="I35" t="str">
            <v>包</v>
          </cell>
          <cell r="J35" t="str">
            <v/>
          </cell>
          <cell r="K35">
            <v>4440</v>
          </cell>
          <cell r="L35" t="str">
            <v>未付款</v>
          </cell>
          <cell r="M35" t="str">
            <v>12#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>皖L*SD929</v>
          </cell>
          <cell r="S35" t="str">
            <v/>
          </cell>
        </row>
        <row r="36">
          <cell r="B36">
            <v>46277</v>
          </cell>
          <cell r="C36" t="str">
            <v>麦麦提</v>
          </cell>
          <cell r="D36" t="str">
            <v>包装物料－领用出库</v>
          </cell>
          <cell r="E36" t="str">
            <v>NO:0001125</v>
          </cell>
          <cell r="F36" t="str">
            <v>香梨网</v>
          </cell>
          <cell r="G36" t="str">
            <v>*包</v>
          </cell>
          <cell r="H36">
            <v>48</v>
          </cell>
          <cell r="I36" t="str">
            <v>包</v>
          </cell>
          <cell r="J36" t="str">
            <v/>
          </cell>
          <cell r="K36">
            <v>2160</v>
          </cell>
          <cell r="L36" t="str">
            <v>未付款</v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>新A*G0544</v>
          </cell>
          <cell r="S36" t="str">
            <v/>
          </cell>
        </row>
        <row r="37">
          <cell r="B37">
            <v>46278</v>
          </cell>
          <cell r="C37" t="str">
            <v>荆建君</v>
          </cell>
          <cell r="D37" t="str">
            <v>包装物料－领用出库</v>
          </cell>
          <cell r="E37" t="str">
            <v>NO:0001126</v>
          </cell>
          <cell r="F37" t="str">
            <v>香梨网</v>
          </cell>
          <cell r="G37" t="str">
            <v>*包</v>
          </cell>
          <cell r="H37">
            <v>120</v>
          </cell>
          <cell r="I37" t="str">
            <v>包</v>
          </cell>
          <cell r="J37" t="str">
            <v/>
          </cell>
          <cell r="K37">
            <v>5400</v>
          </cell>
          <cell r="L37" t="str">
            <v>未付款</v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>豫A*2737K</v>
          </cell>
          <cell r="S37" t="str">
            <v/>
          </cell>
        </row>
        <row r="38">
          <cell r="B38">
            <v>46278</v>
          </cell>
          <cell r="C38" t="str">
            <v>吐尔洪</v>
          </cell>
          <cell r="D38" t="str">
            <v>包装物料－领用出库</v>
          </cell>
          <cell r="E38" t="str">
            <v>NO:0001132</v>
          </cell>
          <cell r="F38" t="str">
            <v>香梨网</v>
          </cell>
          <cell r="G38" t="str">
            <v>*包</v>
          </cell>
          <cell r="H38">
            <v>24</v>
          </cell>
          <cell r="I38" t="str">
            <v>包</v>
          </cell>
          <cell r="J38" t="str">
            <v/>
          </cell>
          <cell r="K38">
            <v>1080</v>
          </cell>
          <cell r="L38" t="str">
            <v>未付款</v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>新N*X8S48</v>
          </cell>
          <cell r="S38" t="str">
            <v/>
          </cell>
        </row>
        <row r="39">
          <cell r="B39">
            <v>46278</v>
          </cell>
          <cell r="C39" t="str">
            <v>努尔敦</v>
          </cell>
          <cell r="D39" t="str">
            <v>包装物料－领用出库</v>
          </cell>
          <cell r="E39" t="str">
            <v>NO:0001133</v>
          </cell>
          <cell r="F39" t="str">
            <v>香梨网</v>
          </cell>
          <cell r="G39" t="str">
            <v>*包</v>
          </cell>
          <cell r="H39">
            <v>120</v>
          </cell>
          <cell r="I39" t="str">
            <v>包</v>
          </cell>
          <cell r="J39" t="str">
            <v/>
          </cell>
          <cell r="K39">
            <v>5400</v>
          </cell>
          <cell r="L39" t="str">
            <v>未付款</v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>新F*75240</v>
          </cell>
          <cell r="S39" t="str">
            <v/>
          </cell>
        </row>
        <row r="40">
          <cell r="B40">
            <v>46279</v>
          </cell>
          <cell r="C40" t="str">
            <v>新顺发泡网</v>
          </cell>
          <cell r="D40" t="str">
            <v>包装物料－采购入库</v>
          </cell>
          <cell r="E40" t="str">
            <v>NO:0000856</v>
          </cell>
          <cell r="F40" t="str">
            <v>香梨网</v>
          </cell>
          <cell r="G40" t="str">
            <v>*包</v>
          </cell>
          <cell r="H40">
            <v>100</v>
          </cell>
          <cell r="I40" t="str">
            <v>包</v>
          </cell>
          <cell r="J40" t="str">
            <v/>
          </cell>
          <cell r="K40">
            <v>3700</v>
          </cell>
          <cell r="L40" t="str">
            <v>未付款</v>
          </cell>
          <cell r="M40" t="str">
            <v>12#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>新N*2698H</v>
          </cell>
          <cell r="S40" t="str">
            <v/>
          </cell>
        </row>
        <row r="41">
          <cell r="B41">
            <v>46280</v>
          </cell>
          <cell r="C41" t="str">
            <v>新顺发泡网</v>
          </cell>
          <cell r="D41" t="str">
            <v>包装物料－采购入库</v>
          </cell>
          <cell r="E41" t="str">
            <v>NO:0000862</v>
          </cell>
          <cell r="F41" t="str">
            <v>香梨网</v>
          </cell>
          <cell r="G41" t="str">
            <v>*包</v>
          </cell>
          <cell r="H41">
            <v>120</v>
          </cell>
          <cell r="I41" t="str">
            <v>包</v>
          </cell>
          <cell r="J41" t="str">
            <v/>
          </cell>
          <cell r="K41">
            <v>4440</v>
          </cell>
          <cell r="L41" t="str">
            <v>未付款</v>
          </cell>
          <cell r="M41" t="str">
            <v>12#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>皖L*SD929</v>
          </cell>
          <cell r="S41" t="str">
            <v/>
          </cell>
        </row>
        <row r="42">
          <cell r="B42">
            <v>46280</v>
          </cell>
          <cell r="C42" t="str">
            <v>新顺发泡网</v>
          </cell>
          <cell r="D42" t="str">
            <v>包装物料－采购入库</v>
          </cell>
          <cell r="E42" t="str">
            <v>NO:0000865</v>
          </cell>
          <cell r="F42" t="str">
            <v>香梨网</v>
          </cell>
          <cell r="G42" t="str">
            <v>*包</v>
          </cell>
          <cell r="H42">
            <v>120</v>
          </cell>
          <cell r="I42" t="str">
            <v>包</v>
          </cell>
          <cell r="J42" t="str">
            <v/>
          </cell>
          <cell r="K42">
            <v>4440</v>
          </cell>
          <cell r="L42" t="str">
            <v>未付款</v>
          </cell>
          <cell r="M42" t="str">
            <v>12#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>皖L*KW876</v>
          </cell>
          <cell r="S42" t="str">
            <v/>
          </cell>
        </row>
        <row r="43">
          <cell r="B43">
            <v>46281</v>
          </cell>
          <cell r="C43" t="str">
            <v>热合曼</v>
          </cell>
          <cell r="D43" t="str">
            <v>包装物料－领用出库</v>
          </cell>
          <cell r="E43" t="str">
            <v>NO:0001149</v>
          </cell>
          <cell r="F43" t="str">
            <v>香梨网</v>
          </cell>
          <cell r="G43" t="str">
            <v>*包</v>
          </cell>
          <cell r="H43">
            <v>48</v>
          </cell>
          <cell r="I43" t="str">
            <v>包</v>
          </cell>
          <cell r="J43" t="str">
            <v/>
          </cell>
          <cell r="K43">
            <v>2160</v>
          </cell>
          <cell r="L43" t="str">
            <v>未付款</v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>新A*G0544</v>
          </cell>
          <cell r="S43" t="str">
            <v/>
          </cell>
        </row>
        <row r="44">
          <cell r="B44">
            <v>46282</v>
          </cell>
          <cell r="C44" t="str">
            <v>努尔敦</v>
          </cell>
          <cell r="D44" t="str">
            <v>包装物料－领用出库</v>
          </cell>
          <cell r="E44" t="str">
            <v>NO:0001163</v>
          </cell>
          <cell r="F44" t="str">
            <v>香梨网</v>
          </cell>
          <cell r="G44" t="str">
            <v>*包</v>
          </cell>
          <cell r="H44">
            <v>60</v>
          </cell>
          <cell r="I44" t="str">
            <v>包</v>
          </cell>
          <cell r="J44" t="str">
            <v/>
          </cell>
          <cell r="K44">
            <v>2700</v>
          </cell>
          <cell r="L44" t="str">
            <v>未付款</v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>新N*F0M01</v>
          </cell>
          <cell r="S44" t="str">
            <v/>
          </cell>
        </row>
        <row r="45">
          <cell r="B45">
            <v>46282</v>
          </cell>
          <cell r="C45" t="str">
            <v>热合曼</v>
          </cell>
          <cell r="D45" t="str">
            <v>包装物料－领用出库</v>
          </cell>
          <cell r="E45" t="str">
            <v>NO:0001169</v>
          </cell>
          <cell r="F45" t="str">
            <v>香梨网</v>
          </cell>
          <cell r="G45" t="str">
            <v>*包</v>
          </cell>
          <cell r="H45">
            <v>48</v>
          </cell>
          <cell r="I45" t="str">
            <v>包</v>
          </cell>
          <cell r="J45" t="str">
            <v/>
          </cell>
          <cell r="K45">
            <v>2160</v>
          </cell>
          <cell r="L45" t="str">
            <v>未付款</v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>新A*G0544</v>
          </cell>
          <cell r="S45" t="str">
            <v/>
          </cell>
        </row>
        <row r="46">
          <cell r="B46">
            <v>46282</v>
          </cell>
          <cell r="C46" t="str">
            <v>努尔敦</v>
          </cell>
          <cell r="D46" t="str">
            <v>包装物料－领用出库</v>
          </cell>
          <cell r="E46" t="str">
            <v>NO:0001171</v>
          </cell>
          <cell r="F46" t="str">
            <v>香梨网</v>
          </cell>
          <cell r="G46" t="str">
            <v>*包</v>
          </cell>
          <cell r="H46">
            <v>77</v>
          </cell>
          <cell r="I46" t="str">
            <v>包</v>
          </cell>
          <cell r="J46" t="str">
            <v/>
          </cell>
          <cell r="K46">
            <v>3465</v>
          </cell>
          <cell r="L46" t="str">
            <v>未付款</v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>新F*75240</v>
          </cell>
          <cell r="S46" t="str">
            <v/>
          </cell>
        </row>
        <row r="47">
          <cell r="B47">
            <v>46245</v>
          </cell>
          <cell r="C47" t="str">
            <v>王照雪</v>
          </cell>
          <cell r="D47" t="str">
            <v>周转筐－领用出库</v>
          </cell>
          <cell r="E47" t="str">
            <v>NO:0001015</v>
          </cell>
          <cell r="F47" t="str">
            <v>公司杂周转筐</v>
          </cell>
          <cell r="G47" t="str">
            <v/>
          </cell>
          <cell r="H47">
            <v>351</v>
          </cell>
          <cell r="I47" t="str">
            <v>个</v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>公司杂周转筐</v>
          </cell>
          <cell r="O47">
            <v>351</v>
          </cell>
          <cell r="P47" t="str">
            <v/>
          </cell>
          <cell r="Q47" t="str">
            <v/>
          </cell>
          <cell r="R47" t="str">
            <v>豫L*88X19</v>
          </cell>
          <cell r="S47" t="str">
            <v>公司筐</v>
          </cell>
        </row>
        <row r="48">
          <cell r="B48">
            <v>46255</v>
          </cell>
          <cell r="C48" t="str">
            <v>王照雪</v>
          </cell>
          <cell r="D48" t="str">
            <v>周转筐－领用出库</v>
          </cell>
          <cell r="E48" t="str">
            <v>NO:0001022</v>
          </cell>
          <cell r="F48" t="str">
            <v>公司杂周转筐</v>
          </cell>
          <cell r="G48" t="str">
            <v/>
          </cell>
          <cell r="H48">
            <v>432</v>
          </cell>
          <cell r="I48" t="str">
            <v>个</v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>公司杂周转筐</v>
          </cell>
          <cell r="O48">
            <v>432</v>
          </cell>
          <cell r="P48" t="str">
            <v/>
          </cell>
          <cell r="Q48" t="str">
            <v/>
          </cell>
          <cell r="R48" t="str">
            <v>豫L*88X19</v>
          </cell>
          <cell r="S48" t="str">
            <v>公司筐</v>
          </cell>
        </row>
        <row r="49">
          <cell r="B49">
            <v>46258</v>
          </cell>
          <cell r="C49" t="str">
            <v>王照雪</v>
          </cell>
          <cell r="D49" t="str">
            <v>周转筐－领用出库</v>
          </cell>
          <cell r="E49" t="str">
            <v>NO:0001031</v>
          </cell>
          <cell r="F49" t="str">
            <v>公司杂周转筐</v>
          </cell>
          <cell r="G49" t="str">
            <v/>
          </cell>
          <cell r="H49">
            <v>282</v>
          </cell>
          <cell r="I49" t="str">
            <v>个</v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>公司杂周转筐</v>
          </cell>
          <cell r="O49">
            <v>282</v>
          </cell>
          <cell r="P49" t="str">
            <v/>
          </cell>
          <cell r="Q49" t="str">
            <v/>
          </cell>
          <cell r="R49" t="str">
            <v>豫L*88X19</v>
          </cell>
          <cell r="S49" t="str">
            <v>公司筐</v>
          </cell>
        </row>
        <row r="50">
          <cell r="B50">
            <v>46260</v>
          </cell>
          <cell r="C50" t="str">
            <v>王照雪</v>
          </cell>
          <cell r="D50" t="str">
            <v>周转筐－领用出库</v>
          </cell>
          <cell r="E50" t="str">
            <v>NO:0001037</v>
          </cell>
          <cell r="F50" t="str">
            <v>公司杂周转筐</v>
          </cell>
          <cell r="G50" t="str">
            <v/>
          </cell>
          <cell r="H50">
            <v>144</v>
          </cell>
          <cell r="I50" t="str">
            <v>个</v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>公司杂周转筐</v>
          </cell>
          <cell r="O50">
            <v>144</v>
          </cell>
          <cell r="P50" t="str">
            <v/>
          </cell>
          <cell r="Q50" t="str">
            <v/>
          </cell>
          <cell r="R50" t="str">
            <v>豫L*88X19</v>
          </cell>
          <cell r="S50" t="str">
            <v>公司筐</v>
          </cell>
        </row>
        <row r="51">
          <cell r="B51">
            <v>46258</v>
          </cell>
          <cell r="C51" t="str">
            <v>王照雪</v>
          </cell>
          <cell r="D51" t="str">
            <v>周转筐－退回入库</v>
          </cell>
          <cell r="E51" t="str">
            <v>NO:0000721</v>
          </cell>
          <cell r="F51" t="str">
            <v>公司杂周转筐</v>
          </cell>
          <cell r="G51" t="str">
            <v/>
          </cell>
          <cell r="H51">
            <v>4</v>
          </cell>
          <cell r="I51" t="str">
            <v>个</v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>公司杂周转筐</v>
          </cell>
          <cell r="O51" t="str">
            <v/>
          </cell>
          <cell r="P51">
            <v>4</v>
          </cell>
          <cell r="Q51" t="str">
            <v/>
          </cell>
          <cell r="R51" t="str">
            <v>豫L*88X19</v>
          </cell>
          <cell r="S51" t="str">
            <v>公司筐</v>
          </cell>
        </row>
        <row r="52">
          <cell r="B52">
            <v>46265</v>
          </cell>
          <cell r="C52" t="str">
            <v>王浩</v>
          </cell>
          <cell r="D52" t="str">
            <v>周转筐－领用出库</v>
          </cell>
          <cell r="E52" t="str">
            <v>NO:0001057</v>
          </cell>
          <cell r="F52" t="str">
            <v>公司一次性筐</v>
          </cell>
          <cell r="G52" t="str">
            <v/>
          </cell>
          <cell r="H52">
            <v>2040</v>
          </cell>
          <cell r="I52" t="str">
            <v>个</v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>公司一次性筐</v>
          </cell>
          <cell r="O52">
            <v>2040</v>
          </cell>
          <cell r="P52" t="str">
            <v/>
          </cell>
          <cell r="Q52" t="str">
            <v/>
          </cell>
          <cell r="R52" t="str">
            <v>新Q*67674</v>
          </cell>
          <cell r="S52" t="str">
            <v>公司筐</v>
          </cell>
        </row>
        <row r="53">
          <cell r="B53">
            <v>46266</v>
          </cell>
          <cell r="C53" t="str">
            <v>马锦祥</v>
          </cell>
          <cell r="D53" t="str">
            <v>周转筐－领用出库</v>
          </cell>
          <cell r="E53" t="str">
            <v>NO:0001061</v>
          </cell>
          <cell r="F53" t="str">
            <v>公司杂周转筐</v>
          </cell>
          <cell r="G53" t="str">
            <v/>
          </cell>
          <cell r="H53">
            <v>588</v>
          </cell>
          <cell r="I53" t="str">
            <v>个</v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>公司杂周转筐</v>
          </cell>
          <cell r="O53">
            <v>588</v>
          </cell>
          <cell r="P53" t="str">
            <v/>
          </cell>
          <cell r="Q53" t="str">
            <v/>
          </cell>
          <cell r="R53" t="str">
            <v>新N*K7V85</v>
          </cell>
          <cell r="S53" t="str">
            <v>公司筐</v>
          </cell>
        </row>
        <row r="54">
          <cell r="B54">
            <v>46266</v>
          </cell>
          <cell r="C54" t="str">
            <v>王照雪</v>
          </cell>
          <cell r="D54" t="str">
            <v>周转筐－退回入库</v>
          </cell>
          <cell r="E54" t="str">
            <v>NO:0000742</v>
          </cell>
          <cell r="F54" t="str">
            <v>公司杂周转筐</v>
          </cell>
          <cell r="G54" t="str">
            <v/>
          </cell>
          <cell r="H54">
            <v>30</v>
          </cell>
          <cell r="I54" t="str">
            <v>个</v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>公司杂周转筐</v>
          </cell>
          <cell r="O54" t="str">
            <v/>
          </cell>
          <cell r="P54">
            <v>30</v>
          </cell>
          <cell r="Q54" t="str">
            <v/>
          </cell>
          <cell r="R54" t="str">
            <v>新N*D1W48</v>
          </cell>
          <cell r="S54" t="str">
            <v>公司筐</v>
          </cell>
        </row>
        <row r="55">
          <cell r="B55">
            <v>46267</v>
          </cell>
          <cell r="C55" t="str">
            <v>全修塑业</v>
          </cell>
          <cell r="D55" t="str">
            <v>周转筐－采购入库</v>
          </cell>
          <cell r="E55" t="str">
            <v>NO:0000744</v>
          </cell>
          <cell r="F55" t="str">
            <v>公司红周转筐</v>
          </cell>
          <cell r="G55" t="str">
            <v/>
          </cell>
          <cell r="H55">
            <v>315</v>
          </cell>
          <cell r="I55" t="str">
            <v>个</v>
          </cell>
          <cell r="J55" t="str">
            <v/>
          </cell>
          <cell r="K55">
            <v>3150</v>
          </cell>
          <cell r="L55" t="str">
            <v>未付款</v>
          </cell>
          <cell r="M55" t="str">
            <v>NO:2745225</v>
          </cell>
          <cell r="N55" t="str">
            <v>公司红周转筐</v>
          </cell>
          <cell r="O55" t="str">
            <v/>
          </cell>
          <cell r="P55" t="str">
            <v/>
          </cell>
          <cell r="Q55">
            <v>315</v>
          </cell>
          <cell r="R55" t="str">
            <v>新N*X8S48</v>
          </cell>
          <cell r="S55" t="str">
            <v>公司筐</v>
          </cell>
        </row>
        <row r="56">
          <cell r="B56">
            <v>46267</v>
          </cell>
          <cell r="C56" t="str">
            <v>吐尔洪</v>
          </cell>
          <cell r="D56" t="str">
            <v>周转筐－领用出库</v>
          </cell>
          <cell r="E56" t="str">
            <v>NO:0001067</v>
          </cell>
          <cell r="F56" t="str">
            <v>公司红周转筐</v>
          </cell>
          <cell r="G56" t="str">
            <v/>
          </cell>
          <cell r="H56">
            <v>315</v>
          </cell>
          <cell r="I56" t="str">
            <v>个</v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>公司红周转筐</v>
          </cell>
          <cell r="O56">
            <v>315</v>
          </cell>
          <cell r="P56" t="str">
            <v/>
          </cell>
          <cell r="Q56" t="str">
            <v/>
          </cell>
          <cell r="R56" t="str">
            <v>新N*X8S48</v>
          </cell>
          <cell r="S56" t="str">
            <v>公司筐</v>
          </cell>
        </row>
        <row r="57">
          <cell r="B57">
            <v>46268</v>
          </cell>
          <cell r="C57" t="str">
            <v>全修塑业</v>
          </cell>
          <cell r="D57" t="str">
            <v>周转筐－采购入库</v>
          </cell>
          <cell r="E57" t="str">
            <v>NO:0000745</v>
          </cell>
          <cell r="F57" t="str">
            <v>公司红周转筐</v>
          </cell>
          <cell r="G57" t="str">
            <v/>
          </cell>
          <cell r="H57">
            <v>315</v>
          </cell>
          <cell r="I57" t="str">
            <v>个</v>
          </cell>
          <cell r="J57" t="str">
            <v/>
          </cell>
          <cell r="K57">
            <v>3150</v>
          </cell>
          <cell r="L57" t="str">
            <v>未付款</v>
          </cell>
          <cell r="M57" t="str">
            <v>NO:2745241</v>
          </cell>
          <cell r="N57" t="str">
            <v>公司红周转筐</v>
          </cell>
          <cell r="O57" t="str">
            <v/>
          </cell>
          <cell r="P57" t="str">
            <v/>
          </cell>
          <cell r="Q57">
            <v>315</v>
          </cell>
          <cell r="R57" t="str">
            <v>新N*X8S48</v>
          </cell>
          <cell r="S57" t="str">
            <v>公司筐</v>
          </cell>
        </row>
        <row r="58">
          <cell r="B58">
            <v>46268</v>
          </cell>
          <cell r="C58" t="str">
            <v>吐尔洪</v>
          </cell>
          <cell r="D58" t="str">
            <v>周转筐－领用出库</v>
          </cell>
          <cell r="E58" t="str">
            <v>NO:0001068</v>
          </cell>
          <cell r="F58" t="str">
            <v>公司红周转筐</v>
          </cell>
          <cell r="G58" t="str">
            <v/>
          </cell>
          <cell r="H58">
            <v>315</v>
          </cell>
          <cell r="I58" t="str">
            <v>个</v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>公司红周转筐</v>
          </cell>
          <cell r="O58">
            <v>315</v>
          </cell>
          <cell r="P58" t="str">
            <v/>
          </cell>
          <cell r="Q58" t="str">
            <v/>
          </cell>
          <cell r="R58" t="str">
            <v>新N*X8S48</v>
          </cell>
          <cell r="S58" t="str">
            <v>公司筐</v>
          </cell>
        </row>
        <row r="59">
          <cell r="B59">
            <v>46268</v>
          </cell>
          <cell r="C59" t="str">
            <v>全修塑业</v>
          </cell>
          <cell r="D59" t="str">
            <v>周转筐－采购入库</v>
          </cell>
          <cell r="E59" t="str">
            <v>NO:0000746</v>
          </cell>
          <cell r="F59" t="str">
            <v>公司红周转筐</v>
          </cell>
          <cell r="G59" t="str">
            <v/>
          </cell>
          <cell r="H59">
            <v>846</v>
          </cell>
          <cell r="I59" t="str">
            <v>个</v>
          </cell>
          <cell r="J59" t="str">
            <v/>
          </cell>
          <cell r="K59">
            <v>8460</v>
          </cell>
          <cell r="L59" t="str">
            <v>未付款</v>
          </cell>
          <cell r="M59" t="str">
            <v>NO:2745242</v>
          </cell>
          <cell r="N59" t="str">
            <v>公司红周转筐</v>
          </cell>
          <cell r="O59" t="str">
            <v/>
          </cell>
          <cell r="P59" t="str">
            <v/>
          </cell>
          <cell r="Q59">
            <v>846</v>
          </cell>
          <cell r="R59" t="str">
            <v>新A*G0554</v>
          </cell>
          <cell r="S59" t="str">
            <v>公司筐</v>
          </cell>
        </row>
        <row r="60">
          <cell r="B60">
            <v>46268</v>
          </cell>
          <cell r="C60" t="str">
            <v>热合曼</v>
          </cell>
          <cell r="D60" t="str">
            <v>周转筐－领用出库</v>
          </cell>
          <cell r="E60" t="str">
            <v>NO:0001069</v>
          </cell>
          <cell r="F60" t="str">
            <v>公司红周转筐</v>
          </cell>
          <cell r="G60" t="str">
            <v/>
          </cell>
          <cell r="H60">
            <v>846</v>
          </cell>
          <cell r="I60" t="str">
            <v>个</v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>公司红周转筐</v>
          </cell>
          <cell r="O60">
            <v>846</v>
          </cell>
          <cell r="P60" t="str">
            <v/>
          </cell>
          <cell r="Q60" t="str">
            <v/>
          </cell>
          <cell r="R60" t="str">
            <v>新A*G0554</v>
          </cell>
          <cell r="S60" t="str">
            <v>公司筐</v>
          </cell>
        </row>
        <row r="61">
          <cell r="B61">
            <v>46268</v>
          </cell>
          <cell r="C61" t="str">
            <v>全修塑业</v>
          </cell>
          <cell r="D61" t="str">
            <v>周转筐－采购入库</v>
          </cell>
          <cell r="E61" t="str">
            <v>NO:0000747</v>
          </cell>
          <cell r="F61" t="str">
            <v>公司红周转筐</v>
          </cell>
          <cell r="G61" t="str">
            <v/>
          </cell>
          <cell r="H61">
            <v>960</v>
          </cell>
          <cell r="I61" t="str">
            <v>个</v>
          </cell>
          <cell r="J61" t="str">
            <v/>
          </cell>
          <cell r="K61">
            <v>9600</v>
          </cell>
          <cell r="L61" t="str">
            <v>未付款</v>
          </cell>
          <cell r="M61" t="str">
            <v>NO:2745243</v>
          </cell>
          <cell r="N61" t="str">
            <v>公司红周转筐</v>
          </cell>
          <cell r="O61" t="str">
            <v/>
          </cell>
          <cell r="P61" t="str">
            <v/>
          </cell>
          <cell r="Q61">
            <v>960</v>
          </cell>
          <cell r="R61" t="str">
            <v>新N*49209</v>
          </cell>
          <cell r="S61" t="str">
            <v>公司筐</v>
          </cell>
        </row>
        <row r="62">
          <cell r="B62">
            <v>46268</v>
          </cell>
          <cell r="C62" t="str">
            <v>王灵云</v>
          </cell>
          <cell r="D62" t="str">
            <v>周转筐－领用出库</v>
          </cell>
          <cell r="E62" t="str">
            <v>NO:0001072</v>
          </cell>
          <cell r="F62" t="str">
            <v>公司红周转筐</v>
          </cell>
          <cell r="G62" t="str">
            <v/>
          </cell>
          <cell r="H62">
            <v>960</v>
          </cell>
          <cell r="I62" t="str">
            <v>个</v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>公司红周转筐</v>
          </cell>
          <cell r="O62">
            <v>960</v>
          </cell>
          <cell r="P62" t="str">
            <v/>
          </cell>
          <cell r="Q62" t="str">
            <v/>
          </cell>
          <cell r="R62" t="str">
            <v>新N*49209</v>
          </cell>
          <cell r="S62" t="str">
            <v>公司筐</v>
          </cell>
        </row>
        <row r="63">
          <cell r="B63">
            <v>46268</v>
          </cell>
          <cell r="C63" t="str">
            <v>全修塑业</v>
          </cell>
          <cell r="D63" t="str">
            <v>周转筐－采购入库</v>
          </cell>
          <cell r="E63" t="str">
            <v>NO:0000748</v>
          </cell>
          <cell r="F63" t="str">
            <v>公司红周转筐</v>
          </cell>
          <cell r="G63" t="str">
            <v/>
          </cell>
          <cell r="H63">
            <v>846</v>
          </cell>
          <cell r="I63" t="str">
            <v>个</v>
          </cell>
          <cell r="J63" t="str">
            <v/>
          </cell>
          <cell r="K63">
            <v>8460</v>
          </cell>
          <cell r="L63" t="str">
            <v>未付款</v>
          </cell>
          <cell r="M63" t="str">
            <v>NO:2745244</v>
          </cell>
          <cell r="N63" t="str">
            <v>公司红周转筐</v>
          </cell>
          <cell r="O63" t="str">
            <v/>
          </cell>
          <cell r="P63" t="str">
            <v/>
          </cell>
          <cell r="Q63">
            <v>846</v>
          </cell>
          <cell r="R63" t="str">
            <v>新A*G0554</v>
          </cell>
          <cell r="S63" t="str">
            <v>公司筐</v>
          </cell>
        </row>
        <row r="64">
          <cell r="B64">
            <v>46268</v>
          </cell>
          <cell r="C64" t="str">
            <v>麦麦提</v>
          </cell>
          <cell r="D64" t="str">
            <v>周转筐－领用出库</v>
          </cell>
          <cell r="E64" t="str">
            <v>NO:0001074</v>
          </cell>
          <cell r="F64" t="str">
            <v>公司红周转筐</v>
          </cell>
          <cell r="G64" t="str">
            <v/>
          </cell>
          <cell r="H64">
            <v>846</v>
          </cell>
          <cell r="I64" t="str">
            <v>个</v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>公司红周转筐</v>
          </cell>
          <cell r="O64">
            <v>846</v>
          </cell>
          <cell r="P64" t="str">
            <v/>
          </cell>
          <cell r="Q64" t="str">
            <v/>
          </cell>
          <cell r="R64" t="str">
            <v>新A*G0554</v>
          </cell>
          <cell r="S64" t="str">
            <v>公司筐</v>
          </cell>
        </row>
        <row r="65">
          <cell r="B65">
            <v>46268</v>
          </cell>
          <cell r="C65" t="str">
            <v>全修塑业</v>
          </cell>
          <cell r="D65" t="str">
            <v>周转筐－采购入库</v>
          </cell>
          <cell r="E65" t="str">
            <v>NO:0000749</v>
          </cell>
          <cell r="F65" t="str">
            <v>公司红周转筐</v>
          </cell>
          <cell r="G65" t="str">
            <v/>
          </cell>
          <cell r="H65">
            <v>936</v>
          </cell>
          <cell r="I65" t="str">
            <v>个</v>
          </cell>
          <cell r="J65" t="str">
            <v/>
          </cell>
          <cell r="K65">
            <v>9360</v>
          </cell>
          <cell r="L65" t="str">
            <v>未付款</v>
          </cell>
          <cell r="M65" t="str">
            <v>NO:2745245</v>
          </cell>
          <cell r="N65" t="str">
            <v>公司红周转筐</v>
          </cell>
          <cell r="O65" t="str">
            <v/>
          </cell>
          <cell r="P65" t="str">
            <v/>
          </cell>
          <cell r="Q65">
            <v>936</v>
          </cell>
          <cell r="R65" t="str">
            <v>新F*75240</v>
          </cell>
          <cell r="S65" t="str">
            <v>公司筐</v>
          </cell>
        </row>
        <row r="66">
          <cell r="B66">
            <v>46268</v>
          </cell>
          <cell r="C66" t="str">
            <v>努尔敦</v>
          </cell>
          <cell r="D66" t="str">
            <v>周转筐－领用出库</v>
          </cell>
          <cell r="E66" t="str">
            <v>NO:0001075</v>
          </cell>
          <cell r="F66" t="str">
            <v>公司红周转筐</v>
          </cell>
          <cell r="G66" t="str">
            <v/>
          </cell>
          <cell r="H66">
            <v>936</v>
          </cell>
          <cell r="I66" t="str">
            <v>个</v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>公司红周转筐</v>
          </cell>
          <cell r="O66">
            <v>936</v>
          </cell>
          <cell r="P66" t="str">
            <v/>
          </cell>
          <cell r="Q66" t="str">
            <v/>
          </cell>
          <cell r="R66" t="str">
            <v>新F*75240</v>
          </cell>
          <cell r="S66" t="str">
            <v>公司筐</v>
          </cell>
        </row>
        <row r="67">
          <cell r="B67">
            <v>46269</v>
          </cell>
          <cell r="C67" t="str">
            <v>全修塑业</v>
          </cell>
          <cell r="D67" t="str">
            <v>周转筐－采购入库</v>
          </cell>
          <cell r="E67" t="str">
            <v>NO:0000750</v>
          </cell>
          <cell r="F67" t="str">
            <v>公司红周转筐</v>
          </cell>
          <cell r="G67" t="str">
            <v/>
          </cell>
          <cell r="H67">
            <v>960</v>
          </cell>
          <cell r="I67" t="str">
            <v>个</v>
          </cell>
          <cell r="J67" t="str">
            <v/>
          </cell>
          <cell r="K67">
            <v>9600</v>
          </cell>
          <cell r="L67" t="str">
            <v>未付款</v>
          </cell>
          <cell r="M67" t="str">
            <v>NO:2745247</v>
          </cell>
          <cell r="N67" t="str">
            <v>公司红周转筐</v>
          </cell>
          <cell r="O67" t="str">
            <v/>
          </cell>
          <cell r="P67" t="str">
            <v/>
          </cell>
          <cell r="Q67">
            <v>960</v>
          </cell>
          <cell r="R67" t="str">
            <v>豫A*2737K</v>
          </cell>
          <cell r="S67" t="str">
            <v>公司筐</v>
          </cell>
        </row>
        <row r="68">
          <cell r="B68">
            <v>46269</v>
          </cell>
          <cell r="C68" t="str">
            <v>荆建君</v>
          </cell>
          <cell r="D68" t="str">
            <v>周转筐－领用出库</v>
          </cell>
          <cell r="E68" t="str">
            <v>NO:0001077</v>
          </cell>
          <cell r="F68" t="str">
            <v>公司红周转筐</v>
          </cell>
          <cell r="G68" t="str">
            <v/>
          </cell>
          <cell r="H68">
            <v>960</v>
          </cell>
          <cell r="I68" t="str">
            <v>个</v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>公司红周转筐</v>
          </cell>
          <cell r="O68">
            <v>960</v>
          </cell>
          <cell r="P68" t="str">
            <v/>
          </cell>
          <cell r="Q68" t="str">
            <v/>
          </cell>
          <cell r="R68" t="str">
            <v>豫A*2737K</v>
          </cell>
          <cell r="S68" t="str">
            <v>公司筐</v>
          </cell>
        </row>
        <row r="69">
          <cell r="B69">
            <v>46269</v>
          </cell>
          <cell r="C69" t="str">
            <v>马锦祥</v>
          </cell>
          <cell r="D69" t="str">
            <v>周转筐－领用出库</v>
          </cell>
          <cell r="E69" t="str">
            <v>NO:0001076</v>
          </cell>
          <cell r="F69" t="str">
            <v>公司杂周转筐</v>
          </cell>
          <cell r="G69" t="str">
            <v/>
          </cell>
          <cell r="H69">
            <v>574</v>
          </cell>
          <cell r="I69" t="str">
            <v>个</v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>公司杂周转筐</v>
          </cell>
          <cell r="O69">
            <v>574</v>
          </cell>
          <cell r="P69" t="str">
            <v/>
          </cell>
          <cell r="Q69" t="str">
            <v/>
          </cell>
          <cell r="R69" t="str">
            <v>新N*K7V85</v>
          </cell>
          <cell r="S69" t="str">
            <v>公司筐</v>
          </cell>
        </row>
        <row r="70">
          <cell r="B70">
            <v>46269</v>
          </cell>
          <cell r="C70" t="str">
            <v>全修塑业</v>
          </cell>
          <cell r="D70" t="str">
            <v>周转筐－采购入库</v>
          </cell>
          <cell r="E70" t="str">
            <v>NO:0000751</v>
          </cell>
          <cell r="F70" t="str">
            <v>公司红周转筐</v>
          </cell>
          <cell r="G70" t="str">
            <v/>
          </cell>
          <cell r="H70">
            <v>936</v>
          </cell>
          <cell r="I70" t="str">
            <v>个</v>
          </cell>
          <cell r="J70" t="str">
            <v/>
          </cell>
          <cell r="K70">
            <v>9360</v>
          </cell>
          <cell r="L70" t="str">
            <v>未付款</v>
          </cell>
          <cell r="M70" t="str">
            <v>NO:2745248</v>
          </cell>
          <cell r="N70" t="str">
            <v>公司红周转筐</v>
          </cell>
          <cell r="O70" t="str">
            <v/>
          </cell>
          <cell r="P70" t="str">
            <v/>
          </cell>
          <cell r="Q70">
            <v>936</v>
          </cell>
          <cell r="R70" t="str">
            <v>新F*75240</v>
          </cell>
          <cell r="S70" t="str">
            <v>公司筐</v>
          </cell>
        </row>
        <row r="71">
          <cell r="B71">
            <v>46269</v>
          </cell>
          <cell r="C71" t="str">
            <v>努尔敦</v>
          </cell>
          <cell r="D71" t="str">
            <v>周转筐－领用出库</v>
          </cell>
          <cell r="E71" t="str">
            <v>NO:0001078</v>
          </cell>
          <cell r="F71" t="str">
            <v>公司红周转筐</v>
          </cell>
          <cell r="G71" t="str">
            <v/>
          </cell>
          <cell r="H71">
            <v>936</v>
          </cell>
          <cell r="I71" t="str">
            <v>个</v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>公司红周转筐</v>
          </cell>
          <cell r="O71">
            <v>936</v>
          </cell>
          <cell r="P71" t="str">
            <v/>
          </cell>
          <cell r="Q71" t="str">
            <v/>
          </cell>
          <cell r="R71" t="str">
            <v>新F*75240</v>
          </cell>
          <cell r="S71" t="str">
            <v>公司筐</v>
          </cell>
        </row>
        <row r="72">
          <cell r="B72">
            <v>46269</v>
          </cell>
          <cell r="C72" t="str">
            <v>全修塑业</v>
          </cell>
          <cell r="D72" t="str">
            <v>周转筐－采购入库</v>
          </cell>
          <cell r="E72" t="str">
            <v>NO:0000753</v>
          </cell>
          <cell r="F72" t="str">
            <v>公司红周转筐</v>
          </cell>
          <cell r="G72" t="str">
            <v/>
          </cell>
          <cell r="H72">
            <v>582</v>
          </cell>
          <cell r="I72" t="str">
            <v>个</v>
          </cell>
          <cell r="J72" t="str">
            <v/>
          </cell>
          <cell r="K72">
            <v>5820</v>
          </cell>
          <cell r="L72" t="str">
            <v>未付款</v>
          </cell>
          <cell r="M72" t="str">
            <v>NO:2745249</v>
          </cell>
          <cell r="N72" t="str">
            <v>公司红周转筐</v>
          </cell>
          <cell r="O72" t="str">
            <v/>
          </cell>
          <cell r="P72" t="str">
            <v/>
          </cell>
          <cell r="Q72">
            <v>582</v>
          </cell>
          <cell r="R72" t="str">
            <v>豫A*2737K</v>
          </cell>
          <cell r="S72" t="str">
            <v>公司筐</v>
          </cell>
        </row>
        <row r="73">
          <cell r="B73">
            <v>46269</v>
          </cell>
          <cell r="C73" t="str">
            <v>荆建君</v>
          </cell>
          <cell r="D73" t="str">
            <v>周转筐－领用出库</v>
          </cell>
          <cell r="E73" t="str">
            <v>NO:0001079</v>
          </cell>
          <cell r="F73" t="str">
            <v>公司红周转筐</v>
          </cell>
          <cell r="G73" t="str">
            <v/>
          </cell>
          <cell r="H73">
            <v>582</v>
          </cell>
          <cell r="I73" t="str">
            <v>个</v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>公司红周转筐</v>
          </cell>
          <cell r="O73">
            <v>582</v>
          </cell>
          <cell r="P73" t="str">
            <v/>
          </cell>
          <cell r="Q73" t="str">
            <v/>
          </cell>
          <cell r="R73" t="str">
            <v>豫A*2737K</v>
          </cell>
          <cell r="S73" t="str">
            <v>公司筐</v>
          </cell>
        </row>
        <row r="74">
          <cell r="B74">
            <v>46270</v>
          </cell>
          <cell r="C74" t="str">
            <v>王浩</v>
          </cell>
          <cell r="D74" t="str">
            <v>周转筐－领用出库</v>
          </cell>
          <cell r="E74" t="str">
            <v>NO:0001086</v>
          </cell>
          <cell r="F74" t="str">
            <v>公司一次性筐</v>
          </cell>
          <cell r="G74" t="str">
            <v/>
          </cell>
          <cell r="H74">
            <v>1320</v>
          </cell>
          <cell r="I74" t="str">
            <v>个</v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>公司一次性筐</v>
          </cell>
          <cell r="O74">
            <v>1320</v>
          </cell>
          <cell r="P74" t="str">
            <v/>
          </cell>
          <cell r="Q74" t="str">
            <v/>
          </cell>
          <cell r="R74" t="str">
            <v>新M*79997</v>
          </cell>
          <cell r="S74" t="str">
            <v>公司筐</v>
          </cell>
        </row>
        <row r="75">
          <cell r="B75">
            <v>46271</v>
          </cell>
          <cell r="C75" t="str">
            <v>贾建国</v>
          </cell>
          <cell r="D75" t="str">
            <v>周转筐－领用出库</v>
          </cell>
          <cell r="E75" t="str">
            <v>NO:0001087</v>
          </cell>
          <cell r="F75" t="str">
            <v>公司新周转筐</v>
          </cell>
          <cell r="G75" t="str">
            <v/>
          </cell>
          <cell r="H75">
            <v>252</v>
          </cell>
          <cell r="I75" t="str">
            <v>个</v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>公司新周转筐</v>
          </cell>
          <cell r="O75">
            <v>252</v>
          </cell>
          <cell r="P75" t="str">
            <v/>
          </cell>
          <cell r="Q75" t="str">
            <v/>
          </cell>
          <cell r="R75" t="str">
            <v>新N*56508</v>
          </cell>
          <cell r="S75" t="str">
            <v>公司筐</v>
          </cell>
        </row>
        <row r="76">
          <cell r="B76">
            <v>46272</v>
          </cell>
          <cell r="C76" t="str">
            <v>全修塑业</v>
          </cell>
          <cell r="D76" t="str">
            <v>周转筐－采购入库</v>
          </cell>
          <cell r="E76" t="str">
            <v>NO:0000755</v>
          </cell>
          <cell r="F76" t="str">
            <v>公司红周转筐</v>
          </cell>
          <cell r="G76" t="str">
            <v/>
          </cell>
          <cell r="H76">
            <v>846</v>
          </cell>
          <cell r="I76" t="str">
            <v>个</v>
          </cell>
          <cell r="J76" t="str">
            <v/>
          </cell>
          <cell r="K76">
            <v>8460</v>
          </cell>
          <cell r="L76" t="str">
            <v>未付款</v>
          </cell>
          <cell r="M76" t="str">
            <v>NO:2745250</v>
          </cell>
          <cell r="N76" t="str">
            <v>公司红周转筐</v>
          </cell>
          <cell r="O76" t="str">
            <v/>
          </cell>
          <cell r="P76" t="str">
            <v/>
          </cell>
          <cell r="Q76">
            <v>846</v>
          </cell>
          <cell r="R76" t="str">
            <v>新A*G0554</v>
          </cell>
          <cell r="S76" t="str">
            <v>公司筐</v>
          </cell>
        </row>
        <row r="77">
          <cell r="B77">
            <v>46272</v>
          </cell>
          <cell r="C77" t="str">
            <v>麦麦提</v>
          </cell>
          <cell r="D77" t="str">
            <v>周转筐－领用出库</v>
          </cell>
          <cell r="E77" t="str">
            <v>NO:0001089</v>
          </cell>
          <cell r="F77" t="str">
            <v>公司红周转筐</v>
          </cell>
          <cell r="G77" t="str">
            <v/>
          </cell>
          <cell r="H77">
            <v>846</v>
          </cell>
          <cell r="I77" t="str">
            <v>个</v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>公司红周转筐</v>
          </cell>
          <cell r="O77">
            <v>846</v>
          </cell>
          <cell r="P77" t="str">
            <v/>
          </cell>
          <cell r="Q77" t="str">
            <v/>
          </cell>
          <cell r="R77" t="str">
            <v>新A*G0554</v>
          </cell>
          <cell r="S77" t="str">
            <v>公司筐</v>
          </cell>
        </row>
        <row r="78">
          <cell r="B78">
            <v>46272</v>
          </cell>
          <cell r="C78" t="str">
            <v>全修塑业</v>
          </cell>
          <cell r="D78" t="str">
            <v>周转筐－采购入库</v>
          </cell>
          <cell r="E78" t="str">
            <v>NO:0000759</v>
          </cell>
          <cell r="F78" t="str">
            <v>公司红周转筐</v>
          </cell>
          <cell r="G78" t="str">
            <v/>
          </cell>
          <cell r="H78">
            <v>846</v>
          </cell>
          <cell r="I78" t="str">
            <v>个</v>
          </cell>
          <cell r="J78" t="str">
            <v/>
          </cell>
          <cell r="K78">
            <v>8460</v>
          </cell>
          <cell r="L78" t="str">
            <v>未付款</v>
          </cell>
          <cell r="M78" t="str">
            <v>NO:2745251</v>
          </cell>
          <cell r="N78" t="str">
            <v>公司红周转筐</v>
          </cell>
          <cell r="O78" t="str">
            <v/>
          </cell>
          <cell r="P78" t="str">
            <v/>
          </cell>
          <cell r="Q78">
            <v>846</v>
          </cell>
          <cell r="R78" t="str">
            <v>新A*G0554</v>
          </cell>
          <cell r="S78" t="str">
            <v>公司筐</v>
          </cell>
        </row>
        <row r="79">
          <cell r="B79">
            <v>46272</v>
          </cell>
          <cell r="C79" t="str">
            <v>马锦祥</v>
          </cell>
          <cell r="D79" t="str">
            <v>周转筐－领用出库</v>
          </cell>
          <cell r="E79" t="str">
            <v>NO:0001090</v>
          </cell>
          <cell r="F79" t="str">
            <v>公司杂周转筐</v>
          </cell>
          <cell r="G79" t="str">
            <v/>
          </cell>
          <cell r="H79">
            <v>588</v>
          </cell>
          <cell r="I79" t="str">
            <v>个</v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>公司杂周转筐</v>
          </cell>
          <cell r="O79">
            <v>588</v>
          </cell>
          <cell r="P79" t="str">
            <v/>
          </cell>
          <cell r="Q79" t="str">
            <v/>
          </cell>
          <cell r="R79" t="str">
            <v>新N*K7V85</v>
          </cell>
          <cell r="S79" t="str">
            <v>公司筐</v>
          </cell>
        </row>
        <row r="80">
          <cell r="B80">
            <v>46272</v>
          </cell>
          <cell r="C80" t="str">
            <v>贾建国</v>
          </cell>
          <cell r="D80" t="str">
            <v>周转筐－领用出库</v>
          </cell>
          <cell r="E80" t="str">
            <v>NO:0001092</v>
          </cell>
          <cell r="F80" t="str">
            <v>公司新周转筐</v>
          </cell>
          <cell r="G80" t="str">
            <v/>
          </cell>
          <cell r="H80">
            <v>759</v>
          </cell>
          <cell r="I80" t="str">
            <v>个</v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>公司新周转筐</v>
          </cell>
          <cell r="O80">
            <v>759</v>
          </cell>
          <cell r="P80" t="str">
            <v/>
          </cell>
          <cell r="Q80" t="str">
            <v/>
          </cell>
          <cell r="R80" t="str">
            <v>豫Q*H5591</v>
          </cell>
          <cell r="S80" t="str">
            <v>公司筐</v>
          </cell>
        </row>
        <row r="81">
          <cell r="B81">
            <v>46272</v>
          </cell>
          <cell r="C81" t="str">
            <v>热合曼</v>
          </cell>
          <cell r="D81" t="str">
            <v>周转筐－领用出库</v>
          </cell>
          <cell r="E81" t="str">
            <v>NO:0001094</v>
          </cell>
          <cell r="F81" t="str">
            <v>公司红周转筐</v>
          </cell>
          <cell r="G81" t="str">
            <v/>
          </cell>
          <cell r="H81">
            <v>846</v>
          </cell>
          <cell r="I81" t="str">
            <v>个</v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>公司红周转筐</v>
          </cell>
          <cell r="O81">
            <v>846</v>
          </cell>
          <cell r="P81" t="str">
            <v/>
          </cell>
          <cell r="Q81" t="str">
            <v/>
          </cell>
          <cell r="R81" t="str">
            <v>新A*G0554</v>
          </cell>
          <cell r="S81" t="str">
            <v>公司筐</v>
          </cell>
        </row>
        <row r="82">
          <cell r="B82">
            <v>46273</v>
          </cell>
          <cell r="C82" t="str">
            <v>王照雪</v>
          </cell>
          <cell r="D82" t="str">
            <v>周转筐－退回入库</v>
          </cell>
          <cell r="E82" t="str">
            <v>NO:000761</v>
          </cell>
          <cell r="F82" t="str">
            <v>公司杂周转筐</v>
          </cell>
          <cell r="G82" t="str">
            <v/>
          </cell>
          <cell r="H82">
            <v>2</v>
          </cell>
          <cell r="I82" t="str">
            <v>个</v>
          </cell>
          <cell r="J82" t="str">
            <v/>
          </cell>
          <cell r="K82" t="str">
            <v/>
          </cell>
          <cell r="L82" t="str">
            <v/>
          </cell>
          <cell r="M82" t="str">
            <v>装扎伤退回</v>
          </cell>
          <cell r="N82" t="str">
            <v>公司杂周转筐</v>
          </cell>
          <cell r="O82" t="str">
            <v/>
          </cell>
          <cell r="P82">
            <v>2</v>
          </cell>
          <cell r="Q82" t="str">
            <v/>
          </cell>
          <cell r="R82" t="str">
            <v/>
          </cell>
          <cell r="S82" t="str">
            <v>公司筐</v>
          </cell>
        </row>
        <row r="83">
          <cell r="B83">
            <v>46274</v>
          </cell>
          <cell r="C83" t="str">
            <v>王照雪</v>
          </cell>
          <cell r="D83" t="str">
            <v>周转筐－领用出库</v>
          </cell>
          <cell r="E83" t="str">
            <v>NO:0001098</v>
          </cell>
          <cell r="F83" t="str">
            <v>公司一次性筐</v>
          </cell>
          <cell r="G83" t="str">
            <v/>
          </cell>
          <cell r="H83">
            <v>423</v>
          </cell>
          <cell r="I83" t="str">
            <v>个</v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>公司一次性筐</v>
          </cell>
          <cell r="O83">
            <v>423</v>
          </cell>
          <cell r="P83" t="str">
            <v/>
          </cell>
          <cell r="Q83" t="str">
            <v/>
          </cell>
          <cell r="R83" t="str">
            <v>豫L*88X19</v>
          </cell>
          <cell r="S83" t="str">
            <v>公司筐</v>
          </cell>
        </row>
        <row r="84">
          <cell r="B84">
            <v>46274</v>
          </cell>
          <cell r="C84" t="str">
            <v>吐尔逊</v>
          </cell>
          <cell r="D84" t="str">
            <v>周转筐－领用出库</v>
          </cell>
          <cell r="E84" t="str">
            <v>NO:0001099</v>
          </cell>
          <cell r="F84" t="str">
            <v>公司一次性筐</v>
          </cell>
          <cell r="G84" t="str">
            <v/>
          </cell>
          <cell r="H84">
            <v>1008</v>
          </cell>
          <cell r="I84" t="str">
            <v>个</v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>公司一次性筐</v>
          </cell>
          <cell r="O84">
            <v>1008</v>
          </cell>
          <cell r="P84" t="str">
            <v/>
          </cell>
          <cell r="Q84" t="str">
            <v/>
          </cell>
          <cell r="R84" t="str">
            <v>新M*87613</v>
          </cell>
          <cell r="S84" t="str">
            <v>公司筐</v>
          </cell>
        </row>
        <row r="85">
          <cell r="B85">
            <v>46274</v>
          </cell>
          <cell r="C85" t="str">
            <v>全修塑业</v>
          </cell>
          <cell r="D85" t="str">
            <v>周转筐－采购入库</v>
          </cell>
          <cell r="E85" t="str">
            <v>NO:0000763</v>
          </cell>
          <cell r="F85" t="str">
            <v>公司红周转筐</v>
          </cell>
          <cell r="G85" t="str">
            <v/>
          </cell>
          <cell r="H85">
            <v>378</v>
          </cell>
          <cell r="I85" t="str">
            <v>个</v>
          </cell>
          <cell r="J85" t="str">
            <v/>
          </cell>
          <cell r="K85">
            <v>3780</v>
          </cell>
          <cell r="L85" t="str">
            <v>未付款</v>
          </cell>
          <cell r="M85" t="str">
            <v>NO:2745254</v>
          </cell>
          <cell r="N85" t="str">
            <v>公司红周转筐</v>
          </cell>
          <cell r="O85" t="str">
            <v/>
          </cell>
          <cell r="P85" t="str">
            <v/>
          </cell>
          <cell r="Q85">
            <v>378</v>
          </cell>
          <cell r="R85" t="str">
            <v>新N*X8S48</v>
          </cell>
          <cell r="S85" t="str">
            <v>公司筐</v>
          </cell>
        </row>
        <row r="86">
          <cell r="B86">
            <v>46274</v>
          </cell>
          <cell r="C86" t="str">
            <v>全修塑业</v>
          </cell>
          <cell r="D86" t="str">
            <v>周转筐－采购入库</v>
          </cell>
          <cell r="E86" t="str">
            <v>NO:0000765</v>
          </cell>
          <cell r="F86" t="str">
            <v>公司红周转筐</v>
          </cell>
          <cell r="G86" t="str">
            <v/>
          </cell>
          <cell r="H86">
            <v>759</v>
          </cell>
          <cell r="I86" t="str">
            <v>个</v>
          </cell>
          <cell r="J86" t="str">
            <v/>
          </cell>
          <cell r="K86">
            <v>7590</v>
          </cell>
          <cell r="L86" t="str">
            <v>未付款</v>
          </cell>
          <cell r="M86" t="str">
            <v>NO:0017201</v>
          </cell>
          <cell r="N86" t="str">
            <v>公司红周转筐</v>
          </cell>
          <cell r="O86" t="str">
            <v/>
          </cell>
          <cell r="P86" t="str">
            <v/>
          </cell>
          <cell r="Q86">
            <v>759</v>
          </cell>
          <cell r="R86" t="str">
            <v>豫A*2737K</v>
          </cell>
          <cell r="S86" t="str">
            <v>公司筐</v>
          </cell>
        </row>
        <row r="87">
          <cell r="B87">
            <v>46274</v>
          </cell>
          <cell r="C87" t="str">
            <v>全修塑业</v>
          </cell>
          <cell r="D87" t="str">
            <v>周转筐－采购入库</v>
          </cell>
          <cell r="E87" t="str">
            <v>NO:0000766</v>
          </cell>
          <cell r="F87" t="str">
            <v>公司红周转筐</v>
          </cell>
          <cell r="G87" t="str">
            <v/>
          </cell>
          <cell r="H87">
            <v>846</v>
          </cell>
          <cell r="I87" t="str">
            <v>个</v>
          </cell>
          <cell r="J87" t="str">
            <v/>
          </cell>
          <cell r="K87">
            <v>8460</v>
          </cell>
          <cell r="L87" t="str">
            <v>未付款</v>
          </cell>
          <cell r="M87" t="str">
            <v>NO:0017203</v>
          </cell>
          <cell r="N87" t="str">
            <v>公司红周转筐</v>
          </cell>
          <cell r="O87" t="str">
            <v/>
          </cell>
          <cell r="P87" t="str">
            <v/>
          </cell>
          <cell r="Q87">
            <v>846</v>
          </cell>
          <cell r="R87" t="str">
            <v>新A*G0554</v>
          </cell>
          <cell r="S87" t="str">
            <v>公司筐</v>
          </cell>
        </row>
        <row r="88">
          <cell r="B88">
            <v>46274</v>
          </cell>
          <cell r="C88" t="str">
            <v>吐尔洪</v>
          </cell>
          <cell r="D88" t="str">
            <v>周转筐－领用出库</v>
          </cell>
          <cell r="E88" t="str">
            <v>NO:0001102</v>
          </cell>
          <cell r="F88" t="str">
            <v>公司红周转筐</v>
          </cell>
          <cell r="G88" t="str">
            <v/>
          </cell>
          <cell r="H88">
            <v>378</v>
          </cell>
          <cell r="I88" t="str">
            <v>个</v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>公司红周转筐</v>
          </cell>
          <cell r="O88">
            <v>378</v>
          </cell>
          <cell r="P88" t="str">
            <v/>
          </cell>
          <cell r="Q88" t="str">
            <v/>
          </cell>
          <cell r="R88" t="str">
            <v>新N*X8S48</v>
          </cell>
          <cell r="S88" t="str">
            <v>公司筐</v>
          </cell>
        </row>
        <row r="89">
          <cell r="B89">
            <v>46274</v>
          </cell>
          <cell r="C89" t="str">
            <v>荆建君</v>
          </cell>
          <cell r="D89" t="str">
            <v>周转筐－领用出库</v>
          </cell>
          <cell r="E89" t="str">
            <v>NO:0001105</v>
          </cell>
          <cell r="F89" t="str">
            <v>公司红周转筐</v>
          </cell>
          <cell r="G89" t="str">
            <v/>
          </cell>
          <cell r="H89">
            <v>759</v>
          </cell>
          <cell r="I89" t="str">
            <v>个</v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>公司红周转筐</v>
          </cell>
          <cell r="O89">
            <v>759</v>
          </cell>
          <cell r="P89" t="str">
            <v/>
          </cell>
          <cell r="Q89" t="str">
            <v/>
          </cell>
          <cell r="R89" t="str">
            <v>豫A*2737K</v>
          </cell>
          <cell r="S89" t="str">
            <v>公司筐</v>
          </cell>
        </row>
        <row r="90">
          <cell r="B90">
            <v>46274</v>
          </cell>
          <cell r="C90" t="str">
            <v>麦麦提</v>
          </cell>
          <cell r="D90" t="str">
            <v>周转筐－领用出库</v>
          </cell>
          <cell r="E90" t="str">
            <v>NO:0001106</v>
          </cell>
          <cell r="F90" t="str">
            <v>公司红周转筐</v>
          </cell>
          <cell r="G90" t="str">
            <v/>
          </cell>
          <cell r="H90">
            <v>846</v>
          </cell>
          <cell r="I90" t="str">
            <v>个</v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>公司红周转筐</v>
          </cell>
          <cell r="O90">
            <v>846</v>
          </cell>
          <cell r="P90" t="str">
            <v/>
          </cell>
          <cell r="Q90" t="str">
            <v/>
          </cell>
          <cell r="R90" t="str">
            <v>新A*G0554</v>
          </cell>
          <cell r="S90" t="str">
            <v>公司筐</v>
          </cell>
        </row>
        <row r="91">
          <cell r="B91">
            <v>46275</v>
          </cell>
          <cell r="C91" t="str">
            <v>王照雪</v>
          </cell>
          <cell r="D91" t="str">
            <v>周转筐－领用出库</v>
          </cell>
          <cell r="E91" t="str">
            <v>NO:0001107</v>
          </cell>
          <cell r="F91" t="str">
            <v>公司一次性筐</v>
          </cell>
          <cell r="G91" t="str">
            <v/>
          </cell>
          <cell r="H91">
            <v>423</v>
          </cell>
          <cell r="I91" t="str">
            <v>个</v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>公司一次性筐</v>
          </cell>
          <cell r="O91">
            <v>423</v>
          </cell>
          <cell r="P91" t="str">
            <v/>
          </cell>
          <cell r="Q91" t="str">
            <v/>
          </cell>
          <cell r="R91" t="str">
            <v>豫L*88X19</v>
          </cell>
          <cell r="S91" t="str">
            <v>公司筐</v>
          </cell>
        </row>
        <row r="92">
          <cell r="B92">
            <v>46275</v>
          </cell>
          <cell r="C92" t="str">
            <v>全修塑业</v>
          </cell>
          <cell r="D92" t="str">
            <v>周转筐－采购入库</v>
          </cell>
          <cell r="E92" t="str">
            <v>NO:0000771</v>
          </cell>
          <cell r="F92" t="str">
            <v>公司红周转筐</v>
          </cell>
          <cell r="G92" t="str">
            <v/>
          </cell>
          <cell r="H92">
            <v>960</v>
          </cell>
          <cell r="I92" t="str">
            <v>个</v>
          </cell>
          <cell r="J92" t="str">
            <v/>
          </cell>
          <cell r="K92">
            <v>9600</v>
          </cell>
          <cell r="L92" t="str">
            <v>未付款</v>
          </cell>
          <cell r="M92" t="str">
            <v>NO:0017204</v>
          </cell>
          <cell r="N92" t="str">
            <v>公司红周转筐</v>
          </cell>
          <cell r="O92" t="str">
            <v/>
          </cell>
          <cell r="P92" t="str">
            <v/>
          </cell>
          <cell r="Q92">
            <v>960</v>
          </cell>
          <cell r="R92" t="str">
            <v>新N*49209</v>
          </cell>
          <cell r="S92" t="str">
            <v>公司筐</v>
          </cell>
        </row>
        <row r="93">
          <cell r="B93">
            <v>46275</v>
          </cell>
          <cell r="C93" t="str">
            <v>王灵云</v>
          </cell>
          <cell r="D93" t="str">
            <v>周转筐－领用出库</v>
          </cell>
          <cell r="E93" t="str">
            <v>NO:0001108</v>
          </cell>
          <cell r="F93" t="str">
            <v>公司红周转筐</v>
          </cell>
          <cell r="G93" t="str">
            <v/>
          </cell>
          <cell r="H93">
            <v>960</v>
          </cell>
          <cell r="I93" t="str">
            <v>个</v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>公司红周转筐</v>
          </cell>
          <cell r="O93">
            <v>960</v>
          </cell>
          <cell r="P93" t="str">
            <v/>
          </cell>
          <cell r="Q93" t="str">
            <v/>
          </cell>
          <cell r="R93" t="str">
            <v>新N*49209</v>
          </cell>
          <cell r="S93" t="str">
            <v>公司筐</v>
          </cell>
        </row>
        <row r="94">
          <cell r="B94">
            <v>46275</v>
          </cell>
          <cell r="C94" t="str">
            <v>全修塑业</v>
          </cell>
          <cell r="D94" t="str">
            <v>周转筐－采购入库</v>
          </cell>
          <cell r="E94" t="str">
            <v>NO:0000774</v>
          </cell>
          <cell r="F94" t="str">
            <v>公司红周转筐</v>
          </cell>
          <cell r="G94" t="str">
            <v/>
          </cell>
          <cell r="H94">
            <v>369</v>
          </cell>
          <cell r="I94" t="str">
            <v>个</v>
          </cell>
          <cell r="J94" t="str">
            <v/>
          </cell>
          <cell r="K94">
            <v>3690</v>
          </cell>
          <cell r="L94" t="str">
            <v>未付款</v>
          </cell>
          <cell r="M94" t="str">
            <v>NO:0017205</v>
          </cell>
          <cell r="N94" t="str">
            <v>公司红周转筐</v>
          </cell>
          <cell r="O94" t="str">
            <v/>
          </cell>
          <cell r="P94" t="str">
            <v/>
          </cell>
          <cell r="Q94">
            <v>369</v>
          </cell>
          <cell r="R94" t="str">
            <v>新N*X8S48</v>
          </cell>
          <cell r="S94" t="str">
            <v>公司筐</v>
          </cell>
        </row>
        <row r="95">
          <cell r="B95">
            <v>46275</v>
          </cell>
          <cell r="C95" t="str">
            <v>吐尔洪</v>
          </cell>
          <cell r="D95" t="str">
            <v>周转筐－领用出库</v>
          </cell>
          <cell r="E95" t="str">
            <v>NO:0001110</v>
          </cell>
          <cell r="F95" t="str">
            <v>公司红周转筐</v>
          </cell>
          <cell r="G95" t="str">
            <v/>
          </cell>
          <cell r="H95">
            <v>369</v>
          </cell>
          <cell r="I95" t="str">
            <v>个</v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>公司红周转筐</v>
          </cell>
          <cell r="O95">
            <v>369</v>
          </cell>
          <cell r="P95" t="str">
            <v/>
          </cell>
          <cell r="Q95" t="str">
            <v/>
          </cell>
          <cell r="R95" t="str">
            <v>新N*X8S48</v>
          </cell>
          <cell r="S95" t="str">
            <v>公司筐</v>
          </cell>
        </row>
        <row r="96">
          <cell r="B96">
            <v>46276</v>
          </cell>
          <cell r="C96" t="str">
            <v>全修塑业</v>
          </cell>
          <cell r="D96" t="str">
            <v>周转筐－采购入库</v>
          </cell>
          <cell r="E96" t="str">
            <v>NO:0000778</v>
          </cell>
          <cell r="F96" t="str">
            <v>公司红周转筐</v>
          </cell>
          <cell r="G96" t="str">
            <v/>
          </cell>
          <cell r="H96">
            <v>846</v>
          </cell>
          <cell r="I96" t="str">
            <v>个</v>
          </cell>
          <cell r="J96" t="str">
            <v/>
          </cell>
          <cell r="K96">
            <v>8460</v>
          </cell>
          <cell r="L96" t="str">
            <v>未付款</v>
          </cell>
          <cell r="M96" t="str">
            <v>NO:0017207</v>
          </cell>
          <cell r="N96" t="str">
            <v>公司红周转筐</v>
          </cell>
          <cell r="O96" t="str">
            <v/>
          </cell>
          <cell r="P96" t="str">
            <v/>
          </cell>
          <cell r="Q96">
            <v>846</v>
          </cell>
          <cell r="R96" t="str">
            <v>新A*G0554</v>
          </cell>
          <cell r="S96" t="str">
            <v>公司筐</v>
          </cell>
        </row>
        <row r="97">
          <cell r="B97">
            <v>46276</v>
          </cell>
          <cell r="C97" t="str">
            <v>麦麦提</v>
          </cell>
          <cell r="D97" t="str">
            <v>周转筐－领用出库</v>
          </cell>
          <cell r="E97" t="str">
            <v>NO:0001113</v>
          </cell>
          <cell r="F97" t="str">
            <v>公司红周转筐</v>
          </cell>
          <cell r="G97" t="str">
            <v/>
          </cell>
          <cell r="H97">
            <v>846</v>
          </cell>
          <cell r="I97" t="str">
            <v>个</v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>公司红周转筐</v>
          </cell>
          <cell r="O97">
            <v>846</v>
          </cell>
          <cell r="P97" t="str">
            <v/>
          </cell>
          <cell r="Q97" t="str">
            <v/>
          </cell>
          <cell r="R97" t="str">
            <v>新A*G0554</v>
          </cell>
          <cell r="S97" t="str">
            <v>公司筐</v>
          </cell>
        </row>
        <row r="98">
          <cell r="B98">
            <v>46276</v>
          </cell>
          <cell r="C98" t="str">
            <v>全修塑业</v>
          </cell>
          <cell r="D98" t="str">
            <v>周转筐－采购入库</v>
          </cell>
          <cell r="E98" t="str">
            <v>NO:0000784</v>
          </cell>
          <cell r="F98" t="str">
            <v>公司红周转筐</v>
          </cell>
          <cell r="G98" t="str">
            <v/>
          </cell>
          <cell r="H98">
            <v>936</v>
          </cell>
          <cell r="I98" t="str">
            <v>个</v>
          </cell>
          <cell r="J98" t="str">
            <v/>
          </cell>
          <cell r="K98">
            <v>9360</v>
          </cell>
          <cell r="L98" t="str">
            <v>未付款</v>
          </cell>
          <cell r="M98" t="str">
            <v>NO:0017209</v>
          </cell>
          <cell r="N98" t="str">
            <v>公司红周转筐</v>
          </cell>
          <cell r="O98" t="str">
            <v/>
          </cell>
          <cell r="P98" t="str">
            <v/>
          </cell>
          <cell r="Q98">
            <v>936</v>
          </cell>
          <cell r="R98" t="str">
            <v>新F*75240</v>
          </cell>
          <cell r="S98" t="str">
            <v>公司筐</v>
          </cell>
        </row>
        <row r="99">
          <cell r="B99">
            <v>46276</v>
          </cell>
          <cell r="C99" t="str">
            <v>马锦祥</v>
          </cell>
          <cell r="D99" t="str">
            <v>周转筐－领用出库</v>
          </cell>
          <cell r="E99" t="str">
            <v>NO:0001114</v>
          </cell>
          <cell r="F99" t="str">
            <v>公司杂周转筐</v>
          </cell>
          <cell r="G99" t="str">
            <v/>
          </cell>
          <cell r="H99">
            <v>588</v>
          </cell>
          <cell r="I99" t="str">
            <v>个</v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>公司杂周转筐</v>
          </cell>
          <cell r="O99">
            <v>588</v>
          </cell>
          <cell r="P99" t="str">
            <v/>
          </cell>
          <cell r="Q99" t="str">
            <v/>
          </cell>
          <cell r="R99" t="str">
            <v>新N*K7V85</v>
          </cell>
          <cell r="S99" t="str">
            <v>公司筐</v>
          </cell>
        </row>
        <row r="100">
          <cell r="B100">
            <v>46276</v>
          </cell>
          <cell r="C100" t="str">
            <v>王照雪</v>
          </cell>
          <cell r="D100" t="str">
            <v>周转筐－领用出库</v>
          </cell>
          <cell r="E100" t="str">
            <v>NO:0001115</v>
          </cell>
          <cell r="F100" t="str">
            <v>公司杂周转筐</v>
          </cell>
          <cell r="G100" t="str">
            <v/>
          </cell>
          <cell r="H100">
            <v>213</v>
          </cell>
          <cell r="I100" t="str">
            <v>个</v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>公司杂周转筐</v>
          </cell>
          <cell r="O100">
            <v>213</v>
          </cell>
          <cell r="P100" t="str">
            <v/>
          </cell>
          <cell r="Q100" t="str">
            <v/>
          </cell>
          <cell r="R100" t="str">
            <v>豫L*88X19</v>
          </cell>
          <cell r="S100" t="str">
            <v>公司筐</v>
          </cell>
        </row>
        <row r="101">
          <cell r="B101">
            <v>46276</v>
          </cell>
          <cell r="C101" t="str">
            <v>王照雪</v>
          </cell>
          <cell r="D101" t="str">
            <v>周转筐－领用出库</v>
          </cell>
          <cell r="E101" t="str">
            <v>NO:0001116</v>
          </cell>
          <cell r="F101" t="str">
            <v>公司杂周转筐</v>
          </cell>
          <cell r="G101" t="str">
            <v/>
          </cell>
          <cell r="H101">
            <v>423</v>
          </cell>
          <cell r="I101" t="str">
            <v>个</v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>公司杂周转筐</v>
          </cell>
          <cell r="O101">
            <v>423</v>
          </cell>
          <cell r="P101" t="str">
            <v/>
          </cell>
          <cell r="Q101" t="str">
            <v/>
          </cell>
          <cell r="R101" t="str">
            <v>豫L*88X19</v>
          </cell>
          <cell r="S101" t="str">
            <v>公司筐</v>
          </cell>
        </row>
        <row r="102">
          <cell r="B102">
            <v>46276</v>
          </cell>
          <cell r="C102" t="str">
            <v>努尔敦</v>
          </cell>
          <cell r="D102" t="str">
            <v>周转筐－领用出库</v>
          </cell>
          <cell r="E102" t="str">
            <v>NO:0001118</v>
          </cell>
          <cell r="F102" t="str">
            <v>公司红周转筐</v>
          </cell>
          <cell r="G102" t="str">
            <v/>
          </cell>
          <cell r="H102">
            <v>936</v>
          </cell>
          <cell r="I102" t="str">
            <v>个</v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>公司红周转筐</v>
          </cell>
          <cell r="O102">
            <v>936</v>
          </cell>
          <cell r="P102" t="str">
            <v/>
          </cell>
          <cell r="Q102" t="str">
            <v/>
          </cell>
          <cell r="R102" t="str">
            <v>新F*75240</v>
          </cell>
          <cell r="S102" t="str">
            <v>公司筐</v>
          </cell>
        </row>
        <row r="103">
          <cell r="B103">
            <v>46276</v>
          </cell>
          <cell r="C103" t="str">
            <v>全修塑业</v>
          </cell>
          <cell r="D103" t="str">
            <v>周转筐－采购入库</v>
          </cell>
          <cell r="E103" t="str">
            <v>NO:0000785</v>
          </cell>
          <cell r="F103" t="str">
            <v>公司红周转筐</v>
          </cell>
          <cell r="G103" t="str">
            <v/>
          </cell>
          <cell r="H103">
            <v>846</v>
          </cell>
          <cell r="I103" t="str">
            <v>个</v>
          </cell>
          <cell r="J103" t="str">
            <v/>
          </cell>
          <cell r="K103">
            <v>8460</v>
          </cell>
          <cell r="L103" t="str">
            <v>未付款</v>
          </cell>
          <cell r="M103" t="str">
            <v>NO:0017211</v>
          </cell>
          <cell r="N103" t="str">
            <v>公司红周转筐</v>
          </cell>
          <cell r="O103" t="str">
            <v/>
          </cell>
          <cell r="P103" t="str">
            <v/>
          </cell>
          <cell r="Q103">
            <v>846</v>
          </cell>
          <cell r="R103" t="str">
            <v>新A*G0554</v>
          </cell>
          <cell r="S103" t="str">
            <v>公司筐</v>
          </cell>
        </row>
        <row r="104">
          <cell r="B104">
            <v>46276</v>
          </cell>
          <cell r="C104" t="str">
            <v>热合曼</v>
          </cell>
          <cell r="D104" t="str">
            <v>周转筐－领用出库</v>
          </cell>
          <cell r="E104" t="str">
            <v>NO:0001120</v>
          </cell>
          <cell r="F104" t="str">
            <v>公司红周转筐</v>
          </cell>
          <cell r="G104" t="str">
            <v/>
          </cell>
          <cell r="H104">
            <v>846</v>
          </cell>
          <cell r="I104" t="str">
            <v>个</v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>公司红周转筐</v>
          </cell>
          <cell r="O104">
            <v>846</v>
          </cell>
          <cell r="P104" t="str">
            <v/>
          </cell>
          <cell r="Q104" t="str">
            <v/>
          </cell>
          <cell r="R104" t="str">
            <v>新A*G0554</v>
          </cell>
          <cell r="S104" t="str">
            <v>公司筐</v>
          </cell>
        </row>
        <row r="105">
          <cell r="B105">
            <v>46276</v>
          </cell>
          <cell r="C105" t="str">
            <v>全修塑业</v>
          </cell>
          <cell r="D105" t="str">
            <v>周转筐－采购入库</v>
          </cell>
          <cell r="E105" t="str">
            <v>NO:0000788</v>
          </cell>
          <cell r="F105" t="str">
            <v>公司红周转筐</v>
          </cell>
          <cell r="G105" t="str">
            <v/>
          </cell>
          <cell r="H105">
            <v>378</v>
          </cell>
          <cell r="I105" t="str">
            <v>个</v>
          </cell>
          <cell r="J105" t="str">
            <v/>
          </cell>
          <cell r="K105">
            <v>3780</v>
          </cell>
          <cell r="L105" t="str">
            <v>未付款</v>
          </cell>
          <cell r="M105" t="str">
            <v>NO:0017212</v>
          </cell>
          <cell r="N105" t="str">
            <v>公司红周转筐</v>
          </cell>
          <cell r="O105" t="str">
            <v/>
          </cell>
          <cell r="P105" t="str">
            <v/>
          </cell>
          <cell r="Q105">
            <v>378</v>
          </cell>
          <cell r="R105" t="str">
            <v>新N*X8S48</v>
          </cell>
          <cell r="S105" t="str">
            <v>公司筐</v>
          </cell>
        </row>
        <row r="106">
          <cell r="B106">
            <v>46276</v>
          </cell>
          <cell r="C106" t="str">
            <v>吐尔洪</v>
          </cell>
          <cell r="D106" t="str">
            <v>周转筐－领用出库</v>
          </cell>
          <cell r="E106" t="str">
            <v>NO:0001122</v>
          </cell>
          <cell r="F106" t="str">
            <v>公司红周转筐</v>
          </cell>
          <cell r="G106" t="str">
            <v/>
          </cell>
          <cell r="H106">
            <v>378</v>
          </cell>
          <cell r="I106" t="str">
            <v>个</v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>公司红周转筐</v>
          </cell>
          <cell r="O106">
            <v>378</v>
          </cell>
          <cell r="P106" t="str">
            <v/>
          </cell>
          <cell r="Q106" t="str">
            <v/>
          </cell>
          <cell r="R106" t="str">
            <v>新N*X8S48</v>
          </cell>
          <cell r="S106" t="str">
            <v>公司筐</v>
          </cell>
        </row>
        <row r="107">
          <cell r="B107">
            <v>46277</v>
          </cell>
          <cell r="C107" t="str">
            <v>王照雪</v>
          </cell>
          <cell r="D107" t="str">
            <v>周转筐－退回入库</v>
          </cell>
          <cell r="E107" t="str">
            <v>NO:0000789</v>
          </cell>
          <cell r="F107" t="str">
            <v>公司一次性筐</v>
          </cell>
          <cell r="G107" t="str">
            <v/>
          </cell>
          <cell r="H107">
            <v>1</v>
          </cell>
          <cell r="I107" t="str">
            <v>个</v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>公司一次性筐</v>
          </cell>
          <cell r="O107" t="str">
            <v/>
          </cell>
          <cell r="P107">
            <v>1</v>
          </cell>
          <cell r="Q107" t="str">
            <v/>
          </cell>
          <cell r="R107" t="str">
            <v>豫L*88X19</v>
          </cell>
          <cell r="S107" t="str">
            <v>公司筐</v>
          </cell>
        </row>
        <row r="108">
          <cell r="B108">
            <v>46277</v>
          </cell>
          <cell r="C108" t="str">
            <v>王照雪</v>
          </cell>
          <cell r="D108" t="str">
            <v>周转筐－退回入库</v>
          </cell>
          <cell r="E108" t="str">
            <v>NO:0000792</v>
          </cell>
          <cell r="F108" t="str">
            <v>公司杂周转筐</v>
          </cell>
          <cell r="G108" t="str">
            <v/>
          </cell>
          <cell r="H108">
            <v>45</v>
          </cell>
          <cell r="I108" t="str">
            <v>个</v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>公司杂周转筐</v>
          </cell>
          <cell r="O108" t="str">
            <v/>
          </cell>
          <cell r="P108">
            <v>45</v>
          </cell>
          <cell r="Q108" t="str">
            <v/>
          </cell>
          <cell r="R108" t="str">
            <v>豫L*88X19</v>
          </cell>
          <cell r="S108" t="str">
            <v>公司筐</v>
          </cell>
        </row>
        <row r="109">
          <cell r="B109">
            <v>46277</v>
          </cell>
          <cell r="C109" t="str">
            <v>全修塑业</v>
          </cell>
          <cell r="D109" t="str">
            <v>周转筐－采购入库</v>
          </cell>
          <cell r="E109" t="str">
            <v>NO:0000795</v>
          </cell>
          <cell r="F109" t="str">
            <v>公司红周转筐</v>
          </cell>
          <cell r="G109" t="str">
            <v/>
          </cell>
          <cell r="H109">
            <v>846</v>
          </cell>
          <cell r="I109" t="str">
            <v>个</v>
          </cell>
          <cell r="J109" t="str">
            <v/>
          </cell>
          <cell r="K109">
            <v>8460</v>
          </cell>
          <cell r="L109" t="str">
            <v>未付款</v>
          </cell>
          <cell r="M109" t="str">
            <v>NO:0017213</v>
          </cell>
          <cell r="N109" t="str">
            <v>公司红周转筐</v>
          </cell>
          <cell r="O109" t="str">
            <v/>
          </cell>
          <cell r="P109" t="str">
            <v/>
          </cell>
          <cell r="Q109">
            <v>846</v>
          </cell>
          <cell r="R109" t="str">
            <v>新A*G0554</v>
          </cell>
          <cell r="S109" t="str">
            <v>公司筐</v>
          </cell>
        </row>
        <row r="110">
          <cell r="B110">
            <v>46277</v>
          </cell>
          <cell r="C110" t="str">
            <v>麦麦提</v>
          </cell>
          <cell r="D110" t="str">
            <v>周转筐－领用出库</v>
          </cell>
          <cell r="E110" t="str">
            <v>NO:0001125</v>
          </cell>
          <cell r="F110" t="str">
            <v>公司红周转筐</v>
          </cell>
          <cell r="G110" t="str">
            <v/>
          </cell>
          <cell r="H110">
            <v>846</v>
          </cell>
          <cell r="I110" t="str">
            <v>个</v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>公司红周转筐</v>
          </cell>
          <cell r="O110">
            <v>846</v>
          </cell>
          <cell r="P110" t="str">
            <v/>
          </cell>
          <cell r="Q110" t="str">
            <v/>
          </cell>
          <cell r="R110" t="str">
            <v>新A*G0554</v>
          </cell>
          <cell r="S110" t="str">
            <v>公司筐</v>
          </cell>
        </row>
        <row r="111">
          <cell r="B111">
            <v>46278</v>
          </cell>
          <cell r="C111" t="str">
            <v>全修塑业</v>
          </cell>
          <cell r="D111" t="str">
            <v>周转筐－采购入库</v>
          </cell>
          <cell r="E111" t="str">
            <v>NO:0000798</v>
          </cell>
          <cell r="F111" t="str">
            <v>公司红周转筐</v>
          </cell>
          <cell r="G111" t="str">
            <v/>
          </cell>
          <cell r="H111">
            <v>960</v>
          </cell>
          <cell r="I111" t="str">
            <v>个</v>
          </cell>
          <cell r="J111" t="str">
            <v/>
          </cell>
          <cell r="K111">
            <v>9600</v>
          </cell>
          <cell r="L111" t="str">
            <v>未付款</v>
          </cell>
          <cell r="M111" t="str">
            <v>NO:0017215</v>
          </cell>
          <cell r="N111" t="str">
            <v>公司红周转筐</v>
          </cell>
          <cell r="O111" t="str">
            <v/>
          </cell>
          <cell r="P111" t="str">
            <v/>
          </cell>
          <cell r="Q111">
            <v>960</v>
          </cell>
          <cell r="R111" t="str">
            <v>新N*49209</v>
          </cell>
          <cell r="S111" t="str">
            <v>公司筐</v>
          </cell>
        </row>
        <row r="112">
          <cell r="B112">
            <v>46278</v>
          </cell>
          <cell r="C112" t="str">
            <v>王照雪</v>
          </cell>
          <cell r="D112" t="str">
            <v>周转筐－领用出库</v>
          </cell>
          <cell r="E112" t="str">
            <v>NO:0001129</v>
          </cell>
          <cell r="F112" t="str">
            <v>公司杂周转筐</v>
          </cell>
          <cell r="G112" t="str">
            <v/>
          </cell>
          <cell r="H112">
            <v>423</v>
          </cell>
          <cell r="I112" t="str">
            <v>个</v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>公司杂周转筐</v>
          </cell>
          <cell r="O112">
            <v>423</v>
          </cell>
          <cell r="P112" t="str">
            <v/>
          </cell>
          <cell r="Q112" t="str">
            <v/>
          </cell>
          <cell r="R112" t="str">
            <v>豫L*88X19</v>
          </cell>
          <cell r="S112" t="str">
            <v>公司筐</v>
          </cell>
        </row>
        <row r="113">
          <cell r="B113">
            <v>46278</v>
          </cell>
          <cell r="C113" t="str">
            <v>王灵云</v>
          </cell>
          <cell r="D113" t="str">
            <v>周转筐－领用出库</v>
          </cell>
          <cell r="E113" t="str">
            <v>NO:0001130</v>
          </cell>
          <cell r="F113" t="str">
            <v>公司红周转筐</v>
          </cell>
          <cell r="G113" t="str">
            <v/>
          </cell>
          <cell r="H113">
            <v>960</v>
          </cell>
          <cell r="I113" t="str">
            <v>个</v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>公司红周转筐</v>
          </cell>
          <cell r="O113">
            <v>960</v>
          </cell>
          <cell r="P113" t="str">
            <v/>
          </cell>
          <cell r="Q113" t="str">
            <v/>
          </cell>
          <cell r="R113" t="str">
            <v>新N*49209</v>
          </cell>
          <cell r="S113" t="str">
            <v>公司筐</v>
          </cell>
        </row>
        <row r="114">
          <cell r="B114">
            <v>46278</v>
          </cell>
          <cell r="C114" t="str">
            <v>马锦祥</v>
          </cell>
          <cell r="D114" t="str">
            <v>周转筐－领用出库</v>
          </cell>
          <cell r="E114" t="str">
            <v>NO:0001131</v>
          </cell>
          <cell r="F114" t="str">
            <v>公司杂周转筐</v>
          </cell>
          <cell r="G114" t="str">
            <v/>
          </cell>
          <cell r="H114">
            <v>588</v>
          </cell>
          <cell r="I114" t="str">
            <v>个</v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>公司杂周转筐</v>
          </cell>
          <cell r="O114">
            <v>588</v>
          </cell>
          <cell r="P114" t="str">
            <v/>
          </cell>
          <cell r="Q114" t="str">
            <v/>
          </cell>
          <cell r="R114" t="str">
            <v>新N*K7V85</v>
          </cell>
          <cell r="S114" t="str">
            <v>公司筐</v>
          </cell>
        </row>
        <row r="115">
          <cell r="B115">
            <v>46278</v>
          </cell>
          <cell r="C115" t="str">
            <v>全修塑业</v>
          </cell>
          <cell r="D115" t="str">
            <v>周转筐－采购入库</v>
          </cell>
          <cell r="E115" t="str">
            <v>NO:0000853</v>
          </cell>
          <cell r="F115" t="str">
            <v>公司红周转筐</v>
          </cell>
          <cell r="G115" t="str">
            <v/>
          </cell>
          <cell r="H115">
            <v>960</v>
          </cell>
          <cell r="I115" t="str">
            <v>个</v>
          </cell>
          <cell r="J115" t="str">
            <v/>
          </cell>
          <cell r="K115">
            <v>9600</v>
          </cell>
          <cell r="L115" t="str">
            <v>未付款</v>
          </cell>
          <cell r="M115" t="str">
            <v>NO:0017217</v>
          </cell>
          <cell r="N115" t="str">
            <v>公司红周转筐</v>
          </cell>
          <cell r="O115" t="str">
            <v/>
          </cell>
          <cell r="P115" t="str">
            <v/>
          </cell>
          <cell r="Q115">
            <v>960</v>
          </cell>
          <cell r="R115" t="str">
            <v>新N*49209</v>
          </cell>
          <cell r="S115" t="str">
            <v>公司筐</v>
          </cell>
        </row>
        <row r="116">
          <cell r="B116">
            <v>46278</v>
          </cell>
          <cell r="C116" t="str">
            <v>王灵云</v>
          </cell>
          <cell r="D116" t="str">
            <v>周转筐－领用出库</v>
          </cell>
          <cell r="E116" t="str">
            <v>NO:0001135</v>
          </cell>
          <cell r="F116" t="str">
            <v>公司红周转筐</v>
          </cell>
          <cell r="G116" t="str">
            <v/>
          </cell>
          <cell r="H116">
            <v>960</v>
          </cell>
          <cell r="I116" t="str">
            <v>个</v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>公司红周转筐</v>
          </cell>
          <cell r="O116">
            <v>960</v>
          </cell>
          <cell r="P116" t="str">
            <v/>
          </cell>
          <cell r="Q116" t="str">
            <v/>
          </cell>
          <cell r="R116" t="str">
            <v>新N*49209</v>
          </cell>
          <cell r="S116" t="str">
            <v>公司筐</v>
          </cell>
        </row>
        <row r="117">
          <cell r="B117">
            <v>46278</v>
          </cell>
          <cell r="C117" t="str">
            <v>李现东</v>
          </cell>
          <cell r="D117" t="str">
            <v>周转筐－领用出库</v>
          </cell>
          <cell r="E117" t="str">
            <v>NO:0001137</v>
          </cell>
          <cell r="F117" t="str">
            <v>公司杂周转筐</v>
          </cell>
          <cell r="G117" t="str">
            <v/>
          </cell>
          <cell r="H117">
            <v>711</v>
          </cell>
          <cell r="I117" t="str">
            <v>个</v>
          </cell>
          <cell r="J117" t="str">
            <v/>
          </cell>
          <cell r="K117" t="str">
            <v/>
          </cell>
          <cell r="L117" t="str">
            <v/>
          </cell>
          <cell r="M117" t="str">
            <v>李现东</v>
          </cell>
          <cell r="N117" t="str">
            <v>公司杂周转筐</v>
          </cell>
          <cell r="O117">
            <v>711</v>
          </cell>
          <cell r="P117" t="str">
            <v/>
          </cell>
          <cell r="Q117" t="str">
            <v/>
          </cell>
          <cell r="R117" t="str">
            <v>新N*53045</v>
          </cell>
          <cell r="S117" t="str">
            <v>公司筐</v>
          </cell>
        </row>
        <row r="118">
          <cell r="B118">
            <v>46279</v>
          </cell>
          <cell r="C118" t="str">
            <v>李现东</v>
          </cell>
          <cell r="D118" t="str">
            <v>周转筐－领用出库</v>
          </cell>
          <cell r="E118" t="str">
            <v>NO:0001140</v>
          </cell>
          <cell r="F118" t="str">
            <v>公司杂周转筐</v>
          </cell>
          <cell r="G118" t="str">
            <v/>
          </cell>
          <cell r="H118">
            <v>702</v>
          </cell>
          <cell r="I118" t="str">
            <v>个</v>
          </cell>
          <cell r="J118" t="str">
            <v/>
          </cell>
          <cell r="K118" t="str">
            <v/>
          </cell>
          <cell r="L118" t="str">
            <v/>
          </cell>
          <cell r="M118" t="str">
            <v>李现东</v>
          </cell>
          <cell r="N118" t="str">
            <v>公司杂周转筐</v>
          </cell>
          <cell r="O118">
            <v>702</v>
          </cell>
          <cell r="P118" t="str">
            <v/>
          </cell>
          <cell r="Q118" t="str">
            <v/>
          </cell>
          <cell r="R118" t="str">
            <v>新N*53045</v>
          </cell>
          <cell r="S118" t="str">
            <v>公司筐</v>
          </cell>
        </row>
        <row r="119">
          <cell r="B119">
            <v>46279</v>
          </cell>
          <cell r="C119" t="str">
            <v>全修塑业</v>
          </cell>
          <cell r="D119" t="str">
            <v>周转筐－采购入库</v>
          </cell>
          <cell r="E119" t="str">
            <v>NO:0000857</v>
          </cell>
          <cell r="F119" t="str">
            <v>公司红周转筐</v>
          </cell>
          <cell r="G119" t="str">
            <v/>
          </cell>
          <cell r="H119">
            <v>960</v>
          </cell>
          <cell r="I119" t="str">
            <v>个</v>
          </cell>
          <cell r="J119" t="str">
            <v/>
          </cell>
          <cell r="K119">
            <v>9600</v>
          </cell>
          <cell r="L119" t="str">
            <v>未付款</v>
          </cell>
          <cell r="M119" t="str">
            <v>NO:0017220</v>
          </cell>
          <cell r="N119" t="str">
            <v>公司红周转筐</v>
          </cell>
          <cell r="O119" t="str">
            <v/>
          </cell>
          <cell r="P119" t="str">
            <v/>
          </cell>
          <cell r="Q119">
            <v>960</v>
          </cell>
          <cell r="R119" t="str">
            <v>新F*75240</v>
          </cell>
          <cell r="S119" t="str">
            <v>公司筐</v>
          </cell>
        </row>
        <row r="120">
          <cell r="B120">
            <v>46279</v>
          </cell>
          <cell r="C120" t="str">
            <v>努尔敦</v>
          </cell>
          <cell r="D120" t="str">
            <v>周转筐－领用出库</v>
          </cell>
          <cell r="E120" t="str">
            <v>NO:0001143</v>
          </cell>
          <cell r="F120" t="str">
            <v>公司红周转筐</v>
          </cell>
          <cell r="G120" t="str">
            <v/>
          </cell>
          <cell r="H120">
            <v>960</v>
          </cell>
          <cell r="I120" t="str">
            <v>个</v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>公司红周转筐</v>
          </cell>
          <cell r="O120">
            <v>960</v>
          </cell>
          <cell r="P120" t="str">
            <v/>
          </cell>
          <cell r="Q120" t="str">
            <v/>
          </cell>
          <cell r="R120" t="str">
            <v>新F*75240</v>
          </cell>
          <cell r="S120" t="str">
            <v>公司筐</v>
          </cell>
        </row>
        <row r="121">
          <cell r="B121">
            <v>46280</v>
          </cell>
          <cell r="C121" t="str">
            <v>全修塑业</v>
          </cell>
          <cell r="D121" t="str">
            <v>周转筐－采购入库</v>
          </cell>
          <cell r="E121" t="str">
            <v>NO:0000863</v>
          </cell>
          <cell r="F121" t="str">
            <v>公司红周转筐</v>
          </cell>
          <cell r="G121" t="str">
            <v/>
          </cell>
          <cell r="H121">
            <v>720</v>
          </cell>
          <cell r="I121" t="str">
            <v>个</v>
          </cell>
          <cell r="J121" t="str">
            <v/>
          </cell>
          <cell r="K121">
            <v>7200</v>
          </cell>
          <cell r="L121" t="str">
            <v>未付款</v>
          </cell>
          <cell r="M121" t="str">
            <v>NO:0017222</v>
          </cell>
          <cell r="N121" t="str">
            <v>公司红周转筐</v>
          </cell>
          <cell r="O121" t="str">
            <v/>
          </cell>
          <cell r="P121" t="str">
            <v/>
          </cell>
          <cell r="Q121">
            <v>720</v>
          </cell>
          <cell r="R121" t="str">
            <v>豫A*2737K</v>
          </cell>
          <cell r="S121" t="str">
            <v>公司筐</v>
          </cell>
        </row>
        <row r="122">
          <cell r="B122">
            <v>46280</v>
          </cell>
          <cell r="C122" t="str">
            <v>王照雪</v>
          </cell>
          <cell r="D122" t="str">
            <v>周转筐－领用出库</v>
          </cell>
          <cell r="E122" t="str">
            <v>NO:0001141</v>
          </cell>
          <cell r="F122" t="str">
            <v>公司杂周转筐</v>
          </cell>
          <cell r="G122" t="str">
            <v/>
          </cell>
          <cell r="H122">
            <v>423</v>
          </cell>
          <cell r="I122" t="str">
            <v>个</v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>公司杂周转筐</v>
          </cell>
          <cell r="O122">
            <v>423</v>
          </cell>
          <cell r="P122" t="str">
            <v/>
          </cell>
          <cell r="Q122" t="str">
            <v/>
          </cell>
          <cell r="R122" t="str">
            <v>豫L*88X19</v>
          </cell>
          <cell r="S122" t="str">
            <v>公司筐</v>
          </cell>
        </row>
        <row r="123">
          <cell r="B123">
            <v>46280</v>
          </cell>
          <cell r="C123" t="str">
            <v>荆建君</v>
          </cell>
          <cell r="D123" t="str">
            <v>周转筐－领用出库</v>
          </cell>
          <cell r="E123" t="str">
            <v>NO:0001145</v>
          </cell>
          <cell r="F123" t="str">
            <v>公司红周转筐</v>
          </cell>
          <cell r="G123" t="str">
            <v/>
          </cell>
          <cell r="H123">
            <v>720</v>
          </cell>
          <cell r="I123" t="str">
            <v>个</v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>公司红周转筐</v>
          </cell>
          <cell r="O123">
            <v>720</v>
          </cell>
          <cell r="P123" t="str">
            <v/>
          </cell>
          <cell r="Q123" t="str">
            <v/>
          </cell>
          <cell r="R123" t="str">
            <v>豫A*2737K</v>
          </cell>
          <cell r="S123" t="str">
            <v>公司筐</v>
          </cell>
        </row>
        <row r="124">
          <cell r="B124">
            <v>46280</v>
          </cell>
          <cell r="C124" t="str">
            <v>全修塑业</v>
          </cell>
          <cell r="D124" t="str">
            <v>周转筐－采购入库</v>
          </cell>
          <cell r="E124" t="str">
            <v>NO:0000866</v>
          </cell>
          <cell r="F124" t="str">
            <v>公司红周转筐</v>
          </cell>
          <cell r="G124" t="str">
            <v/>
          </cell>
          <cell r="H124">
            <v>960</v>
          </cell>
          <cell r="I124" t="str">
            <v>个</v>
          </cell>
          <cell r="J124" t="str">
            <v/>
          </cell>
          <cell r="K124">
            <v>9600</v>
          </cell>
          <cell r="L124" t="str">
            <v>未付款</v>
          </cell>
          <cell r="M124" t="str">
            <v>NO:0017223</v>
          </cell>
          <cell r="N124" t="str">
            <v>公司红周转筐</v>
          </cell>
          <cell r="O124" t="str">
            <v/>
          </cell>
          <cell r="P124" t="str">
            <v/>
          </cell>
          <cell r="Q124">
            <v>960</v>
          </cell>
          <cell r="R124" t="str">
            <v>新N*49209</v>
          </cell>
          <cell r="S124" t="str">
            <v>公司筐</v>
          </cell>
        </row>
        <row r="125">
          <cell r="B125">
            <v>46280</v>
          </cell>
          <cell r="C125" t="str">
            <v>王灵云</v>
          </cell>
          <cell r="D125" t="str">
            <v>周转筐－领用出库</v>
          </cell>
          <cell r="E125" t="str">
            <v>NO:0001146</v>
          </cell>
          <cell r="F125" t="str">
            <v>公司红周转筐</v>
          </cell>
          <cell r="G125" t="str">
            <v/>
          </cell>
          <cell r="H125">
            <v>960</v>
          </cell>
          <cell r="I125" t="str">
            <v>个</v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>公司红周转筐</v>
          </cell>
          <cell r="O125">
            <v>960</v>
          </cell>
          <cell r="P125" t="str">
            <v/>
          </cell>
          <cell r="Q125" t="str">
            <v/>
          </cell>
          <cell r="R125" t="str">
            <v>新N*49209</v>
          </cell>
          <cell r="S125" t="str">
            <v>公司筐</v>
          </cell>
        </row>
        <row r="126">
          <cell r="B126">
            <v>46280</v>
          </cell>
          <cell r="C126" t="str">
            <v>全修塑业</v>
          </cell>
          <cell r="D126" t="str">
            <v>周转筐－采购入库</v>
          </cell>
          <cell r="E126" t="str">
            <v>NO:0000875</v>
          </cell>
          <cell r="F126" t="str">
            <v>公司红周转筐</v>
          </cell>
          <cell r="G126" t="str">
            <v/>
          </cell>
          <cell r="H126">
            <v>846</v>
          </cell>
          <cell r="I126" t="str">
            <v>个</v>
          </cell>
          <cell r="J126" t="str">
            <v/>
          </cell>
          <cell r="K126">
            <v>8460</v>
          </cell>
          <cell r="L126" t="str">
            <v>未付款</v>
          </cell>
          <cell r="M126" t="str">
            <v>NO:0017225</v>
          </cell>
          <cell r="N126" t="str">
            <v>公司红周转筐</v>
          </cell>
          <cell r="O126" t="str">
            <v/>
          </cell>
          <cell r="P126" t="str">
            <v/>
          </cell>
          <cell r="Q126">
            <v>846</v>
          </cell>
          <cell r="R126" t="str">
            <v>新A*G0554</v>
          </cell>
          <cell r="S126" t="str">
            <v>公司筐</v>
          </cell>
        </row>
        <row r="127">
          <cell r="B127">
            <v>46280</v>
          </cell>
          <cell r="C127" t="str">
            <v>热合曼</v>
          </cell>
          <cell r="D127" t="str">
            <v>周转筐－领用出库</v>
          </cell>
          <cell r="E127" t="str">
            <v>NO:0001149</v>
          </cell>
          <cell r="F127" t="str">
            <v>公司红周转筐</v>
          </cell>
          <cell r="G127" t="str">
            <v/>
          </cell>
          <cell r="H127">
            <v>846</v>
          </cell>
          <cell r="I127" t="str">
            <v>个</v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>公司红周转筐</v>
          </cell>
          <cell r="O127">
            <v>846</v>
          </cell>
          <cell r="P127" t="str">
            <v/>
          </cell>
          <cell r="Q127" t="str">
            <v/>
          </cell>
          <cell r="R127" t="str">
            <v>新A*G0554</v>
          </cell>
          <cell r="S127" t="str">
            <v>公司筐</v>
          </cell>
        </row>
        <row r="128">
          <cell r="B128">
            <v>46280</v>
          </cell>
          <cell r="C128" t="str">
            <v>全修塑业</v>
          </cell>
          <cell r="D128" t="str">
            <v>周转筐－采购入库</v>
          </cell>
          <cell r="E128" t="str">
            <v>NO:0000877</v>
          </cell>
          <cell r="F128" t="str">
            <v>公司红周转筐</v>
          </cell>
          <cell r="G128" t="str">
            <v/>
          </cell>
          <cell r="H128">
            <v>960</v>
          </cell>
          <cell r="I128" t="str">
            <v>个</v>
          </cell>
          <cell r="J128" t="str">
            <v/>
          </cell>
          <cell r="K128">
            <v>9600</v>
          </cell>
          <cell r="L128" t="str">
            <v>未付款</v>
          </cell>
          <cell r="M128" t="str">
            <v>NO:0017224</v>
          </cell>
          <cell r="N128" t="str">
            <v>公司红周转筐</v>
          </cell>
          <cell r="O128" t="str">
            <v/>
          </cell>
          <cell r="P128" t="str">
            <v/>
          </cell>
          <cell r="Q128">
            <v>960</v>
          </cell>
          <cell r="R128" t="str">
            <v>新F*75240</v>
          </cell>
          <cell r="S128" t="str">
            <v>公司筐</v>
          </cell>
        </row>
        <row r="129">
          <cell r="B129">
            <v>46280</v>
          </cell>
          <cell r="C129" t="str">
            <v>努尔敦</v>
          </cell>
          <cell r="D129" t="str">
            <v>周转筐－领用出库</v>
          </cell>
          <cell r="E129" t="str">
            <v>NO:0001148</v>
          </cell>
          <cell r="F129" t="str">
            <v>公司红周转筐</v>
          </cell>
          <cell r="G129" t="str">
            <v/>
          </cell>
          <cell r="H129">
            <v>960</v>
          </cell>
          <cell r="I129" t="str">
            <v>个</v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>公司红周转筐</v>
          </cell>
          <cell r="O129">
            <v>960</v>
          </cell>
          <cell r="P129" t="str">
            <v/>
          </cell>
          <cell r="Q129" t="str">
            <v/>
          </cell>
          <cell r="R129" t="str">
            <v>新F*75240</v>
          </cell>
          <cell r="S129" t="str">
            <v>公司筐</v>
          </cell>
        </row>
        <row r="130">
          <cell r="B130">
            <v>46280</v>
          </cell>
          <cell r="C130" t="str">
            <v>李现东</v>
          </cell>
          <cell r="D130" t="str">
            <v>周转筐－退回入库</v>
          </cell>
          <cell r="E130" t="str">
            <v>NO:0000876</v>
          </cell>
          <cell r="F130" t="str">
            <v>公司杂周转筐</v>
          </cell>
          <cell r="G130" t="str">
            <v/>
          </cell>
          <cell r="H130">
            <v>18</v>
          </cell>
          <cell r="I130" t="str">
            <v>个</v>
          </cell>
          <cell r="J130" t="str">
            <v/>
          </cell>
          <cell r="K130" t="str">
            <v/>
          </cell>
          <cell r="L130" t="str">
            <v/>
          </cell>
          <cell r="M130" t="str">
            <v>烂筐退回</v>
          </cell>
          <cell r="N130" t="str">
            <v>公司杂周转筐</v>
          </cell>
          <cell r="O130" t="str">
            <v/>
          </cell>
          <cell r="P130">
            <v>18</v>
          </cell>
          <cell r="Q130" t="str">
            <v/>
          </cell>
          <cell r="R130" t="str">
            <v>新N*53045</v>
          </cell>
          <cell r="S130" t="str">
            <v>公司筐</v>
          </cell>
        </row>
        <row r="131">
          <cell r="B131">
            <v>46281</v>
          </cell>
          <cell r="C131" t="str">
            <v>全修塑业</v>
          </cell>
          <cell r="D131" t="str">
            <v>周转筐－采购入库</v>
          </cell>
          <cell r="E131" t="str">
            <v>NO:0000879</v>
          </cell>
          <cell r="F131" t="str">
            <v>公司红周转筐</v>
          </cell>
          <cell r="G131" t="str">
            <v/>
          </cell>
          <cell r="H131">
            <v>315</v>
          </cell>
          <cell r="I131" t="str">
            <v>个</v>
          </cell>
          <cell r="J131" t="str">
            <v/>
          </cell>
          <cell r="K131">
            <v>3150</v>
          </cell>
          <cell r="L131" t="str">
            <v>未付款</v>
          </cell>
          <cell r="M131" t="str">
            <v>NO:0017226</v>
          </cell>
          <cell r="N131" t="str">
            <v>公司红周转筐</v>
          </cell>
          <cell r="O131" t="str">
            <v/>
          </cell>
          <cell r="P131" t="str">
            <v/>
          </cell>
          <cell r="Q131">
            <v>315</v>
          </cell>
          <cell r="R131" t="str">
            <v>新N*X8S48</v>
          </cell>
          <cell r="S131" t="str">
            <v>公司筐</v>
          </cell>
        </row>
        <row r="132">
          <cell r="B132">
            <v>46281</v>
          </cell>
          <cell r="C132" t="str">
            <v>吐尔洪</v>
          </cell>
          <cell r="D132" t="str">
            <v>周转筐－领用出库</v>
          </cell>
          <cell r="E132" t="str">
            <v>NO:0001153</v>
          </cell>
          <cell r="F132" t="str">
            <v>公司红周转筐</v>
          </cell>
          <cell r="G132" t="str">
            <v/>
          </cell>
          <cell r="H132">
            <v>315</v>
          </cell>
          <cell r="I132" t="str">
            <v>个</v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>公司红周转筐</v>
          </cell>
          <cell r="O132">
            <v>315</v>
          </cell>
          <cell r="P132" t="str">
            <v/>
          </cell>
          <cell r="Q132" t="str">
            <v/>
          </cell>
          <cell r="R132" t="str">
            <v>新N*X8S48</v>
          </cell>
          <cell r="S132" t="str">
            <v>公司筐</v>
          </cell>
        </row>
        <row r="133">
          <cell r="B133">
            <v>46281</v>
          </cell>
          <cell r="C133" t="str">
            <v>全修塑业</v>
          </cell>
          <cell r="D133" t="str">
            <v>周转筐－采购入库</v>
          </cell>
          <cell r="E133" t="str">
            <v>NO:0000884</v>
          </cell>
          <cell r="F133" t="str">
            <v>公司红周转筐</v>
          </cell>
          <cell r="G133" t="str">
            <v/>
          </cell>
          <cell r="H133">
            <v>936</v>
          </cell>
          <cell r="I133" t="str">
            <v>个</v>
          </cell>
          <cell r="J133" t="str">
            <v/>
          </cell>
          <cell r="K133">
            <v>9360</v>
          </cell>
          <cell r="L133" t="str">
            <v>未付款</v>
          </cell>
          <cell r="M133" t="str">
            <v>NO:0017227</v>
          </cell>
          <cell r="N133" t="str">
            <v>公司红周转筐</v>
          </cell>
          <cell r="O133" t="str">
            <v/>
          </cell>
          <cell r="P133" t="str">
            <v/>
          </cell>
          <cell r="Q133">
            <v>936</v>
          </cell>
          <cell r="R133" t="str">
            <v>新F*75240</v>
          </cell>
          <cell r="S133" t="str">
            <v>公司筐</v>
          </cell>
        </row>
        <row r="134">
          <cell r="B134">
            <v>46281</v>
          </cell>
          <cell r="C134" t="str">
            <v>全修塑业</v>
          </cell>
          <cell r="D134" t="str">
            <v>周转筐－采购入库</v>
          </cell>
          <cell r="E134" t="str">
            <v>NO:0000885</v>
          </cell>
          <cell r="F134" t="str">
            <v>公司红周转筐</v>
          </cell>
          <cell r="G134" t="str">
            <v/>
          </cell>
          <cell r="H134">
            <v>960</v>
          </cell>
          <cell r="I134" t="str">
            <v>个</v>
          </cell>
          <cell r="J134" t="str">
            <v/>
          </cell>
          <cell r="K134">
            <v>9600</v>
          </cell>
          <cell r="L134" t="str">
            <v>未付款</v>
          </cell>
          <cell r="M134" t="str">
            <v>NO:0017228</v>
          </cell>
          <cell r="N134" t="str">
            <v>公司红周转筐</v>
          </cell>
          <cell r="O134" t="str">
            <v/>
          </cell>
          <cell r="P134" t="str">
            <v/>
          </cell>
          <cell r="Q134">
            <v>960</v>
          </cell>
          <cell r="R134" t="str">
            <v>新A*G0554</v>
          </cell>
          <cell r="S134" t="str">
            <v>公司筐</v>
          </cell>
        </row>
        <row r="135">
          <cell r="B135">
            <v>46281</v>
          </cell>
          <cell r="C135" t="str">
            <v>努尔敦</v>
          </cell>
          <cell r="D135" t="str">
            <v>周转筐－领用出库</v>
          </cell>
          <cell r="E135" t="str">
            <v>NO:0001155</v>
          </cell>
          <cell r="F135" t="str">
            <v>公司红周转筐</v>
          </cell>
          <cell r="G135" t="str">
            <v/>
          </cell>
          <cell r="H135">
            <v>936</v>
          </cell>
          <cell r="I135" t="str">
            <v>个</v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>公司红周转筐</v>
          </cell>
          <cell r="O135">
            <v>936</v>
          </cell>
          <cell r="P135" t="str">
            <v/>
          </cell>
          <cell r="Q135" t="str">
            <v/>
          </cell>
          <cell r="R135" t="str">
            <v>新F*75240</v>
          </cell>
          <cell r="S135" t="str">
            <v>公司筐</v>
          </cell>
        </row>
        <row r="136">
          <cell r="B136">
            <v>46281</v>
          </cell>
          <cell r="C136" t="str">
            <v>麦麦提</v>
          </cell>
          <cell r="D136" t="str">
            <v>周转筐－领用出库</v>
          </cell>
          <cell r="E136" t="str">
            <v>NO:0001156</v>
          </cell>
          <cell r="F136" t="str">
            <v>公司红周转筐</v>
          </cell>
          <cell r="G136" t="str">
            <v/>
          </cell>
          <cell r="H136">
            <v>960</v>
          </cell>
          <cell r="I136" t="str">
            <v>个</v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>公司红周转筐</v>
          </cell>
          <cell r="O136">
            <v>960</v>
          </cell>
          <cell r="P136" t="str">
            <v/>
          </cell>
          <cell r="Q136" t="str">
            <v/>
          </cell>
          <cell r="R136" t="str">
            <v>新A*G0554</v>
          </cell>
          <cell r="S136" t="str">
            <v>公司筐</v>
          </cell>
        </row>
        <row r="137">
          <cell r="B137">
            <v>46282</v>
          </cell>
          <cell r="C137" t="str">
            <v>王照雪</v>
          </cell>
          <cell r="D137" t="str">
            <v>周转筐－领用出库</v>
          </cell>
          <cell r="E137" t="str">
            <v>NO:0001157</v>
          </cell>
          <cell r="F137" t="str">
            <v>公司杂周转筐</v>
          </cell>
          <cell r="G137" t="str">
            <v/>
          </cell>
          <cell r="H137">
            <v>288</v>
          </cell>
          <cell r="I137" t="str">
            <v>个</v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>公司杂周转筐</v>
          </cell>
          <cell r="O137">
            <v>288</v>
          </cell>
          <cell r="P137" t="str">
            <v/>
          </cell>
          <cell r="Q137" t="str">
            <v/>
          </cell>
          <cell r="R137" t="str">
            <v>豫L*88X19</v>
          </cell>
          <cell r="S137" t="str">
            <v>公司筐</v>
          </cell>
        </row>
        <row r="138">
          <cell r="B138">
            <v>46282</v>
          </cell>
          <cell r="C138" t="str">
            <v>全修塑业</v>
          </cell>
          <cell r="D138" t="str">
            <v>周转筐－采购入库</v>
          </cell>
          <cell r="E138" t="str">
            <v>NO:0000887</v>
          </cell>
          <cell r="F138" t="str">
            <v>公司红周转筐</v>
          </cell>
          <cell r="G138" t="str">
            <v/>
          </cell>
          <cell r="H138">
            <v>936</v>
          </cell>
          <cell r="I138" t="str">
            <v>个</v>
          </cell>
          <cell r="J138" t="str">
            <v/>
          </cell>
          <cell r="K138">
            <v>9360</v>
          </cell>
          <cell r="L138" t="str">
            <v>未付款</v>
          </cell>
          <cell r="M138" t="str">
            <v>NO:0017229</v>
          </cell>
          <cell r="N138" t="str">
            <v>公司红周转筐</v>
          </cell>
          <cell r="O138" t="str">
            <v/>
          </cell>
          <cell r="P138" t="str">
            <v/>
          </cell>
          <cell r="Q138">
            <v>936</v>
          </cell>
          <cell r="R138" t="str">
            <v>新N*49209</v>
          </cell>
          <cell r="S138" t="str">
            <v>公司筐</v>
          </cell>
        </row>
        <row r="139">
          <cell r="B139">
            <v>46282</v>
          </cell>
          <cell r="C139" t="str">
            <v>全修塑业</v>
          </cell>
          <cell r="D139" t="str">
            <v>周转筐－采购入库</v>
          </cell>
          <cell r="E139" t="str">
            <v>NO:0000889</v>
          </cell>
          <cell r="F139" t="str">
            <v>公司红周转筐</v>
          </cell>
          <cell r="G139" t="str">
            <v/>
          </cell>
          <cell r="H139">
            <v>801</v>
          </cell>
          <cell r="I139" t="str">
            <v>个</v>
          </cell>
          <cell r="J139" t="str">
            <v/>
          </cell>
          <cell r="K139">
            <v>8010</v>
          </cell>
          <cell r="L139" t="str">
            <v>未付款</v>
          </cell>
          <cell r="M139" t="str">
            <v>NO:0017231</v>
          </cell>
          <cell r="N139" t="str">
            <v>公司红周转筐</v>
          </cell>
          <cell r="O139" t="str">
            <v/>
          </cell>
          <cell r="P139" t="str">
            <v/>
          </cell>
          <cell r="Q139">
            <v>801</v>
          </cell>
          <cell r="R139" t="str">
            <v>新N*49209</v>
          </cell>
          <cell r="S139" t="str">
            <v>公司筐</v>
          </cell>
        </row>
        <row r="140">
          <cell r="B140">
            <v>46282</v>
          </cell>
          <cell r="C140" t="str">
            <v>全修塑业</v>
          </cell>
          <cell r="D140" t="str">
            <v>周转筐－采购入库</v>
          </cell>
          <cell r="E140" t="str">
            <v>NO:0000890</v>
          </cell>
          <cell r="F140" t="str">
            <v>公司红周转筐</v>
          </cell>
          <cell r="G140" t="str">
            <v/>
          </cell>
          <cell r="H140">
            <v>846</v>
          </cell>
          <cell r="I140" t="str">
            <v>个</v>
          </cell>
          <cell r="J140" t="str">
            <v/>
          </cell>
          <cell r="K140">
            <v>8460</v>
          </cell>
          <cell r="L140" t="str">
            <v>未付款</v>
          </cell>
          <cell r="M140" t="str">
            <v>NO:0017232</v>
          </cell>
          <cell r="N140" t="str">
            <v>公司红周转筐</v>
          </cell>
          <cell r="O140" t="str">
            <v/>
          </cell>
          <cell r="P140" t="str">
            <v/>
          </cell>
          <cell r="Q140">
            <v>846</v>
          </cell>
          <cell r="R140" t="str">
            <v>新A*G0554</v>
          </cell>
          <cell r="S140" t="str">
            <v>公司筐</v>
          </cell>
        </row>
        <row r="141">
          <cell r="B141">
            <v>46282</v>
          </cell>
          <cell r="C141" t="str">
            <v>王灵云</v>
          </cell>
          <cell r="D141" t="str">
            <v>周转筐－领用出库</v>
          </cell>
          <cell r="E141" t="str">
            <v>NO:0001160</v>
          </cell>
          <cell r="F141" t="str">
            <v>公司红周转筐</v>
          </cell>
          <cell r="G141" t="str">
            <v/>
          </cell>
          <cell r="H141">
            <v>936</v>
          </cell>
          <cell r="I141" t="str">
            <v>个</v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>公司红周转筐</v>
          </cell>
          <cell r="O141">
            <v>936</v>
          </cell>
          <cell r="P141" t="str">
            <v/>
          </cell>
          <cell r="Q141" t="str">
            <v/>
          </cell>
          <cell r="R141" t="str">
            <v>新N*49209</v>
          </cell>
          <cell r="S141" t="str">
            <v>公司筐</v>
          </cell>
        </row>
        <row r="142">
          <cell r="B142">
            <v>46282</v>
          </cell>
          <cell r="C142" t="str">
            <v>王照雪</v>
          </cell>
          <cell r="D142" t="str">
            <v>周转筐－领用出库</v>
          </cell>
          <cell r="E142" t="str">
            <v>NO:0001164</v>
          </cell>
          <cell r="F142" t="str">
            <v>公司一次性筐</v>
          </cell>
          <cell r="G142" t="str">
            <v/>
          </cell>
          <cell r="H142">
            <v>423</v>
          </cell>
          <cell r="I142" t="str">
            <v>个</v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公司一次性筐</v>
          </cell>
          <cell r="O142">
            <v>423</v>
          </cell>
          <cell r="P142" t="str">
            <v/>
          </cell>
          <cell r="Q142" t="str">
            <v/>
          </cell>
          <cell r="R142" t="str">
            <v>豫L*88X19</v>
          </cell>
          <cell r="S142" t="str">
            <v>公司筐</v>
          </cell>
        </row>
        <row r="143">
          <cell r="B143">
            <v>46282</v>
          </cell>
          <cell r="C143" t="str">
            <v>王灵云</v>
          </cell>
          <cell r="D143" t="str">
            <v>周转筐－领用出库</v>
          </cell>
          <cell r="E143" t="str">
            <v>NO:0001167</v>
          </cell>
          <cell r="F143" t="str">
            <v>公司红周转筐</v>
          </cell>
          <cell r="G143" t="str">
            <v/>
          </cell>
          <cell r="H143">
            <v>801</v>
          </cell>
          <cell r="I143" t="str">
            <v>个</v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>公司红周转筐</v>
          </cell>
          <cell r="O143">
            <v>801</v>
          </cell>
          <cell r="P143" t="str">
            <v/>
          </cell>
          <cell r="Q143" t="str">
            <v/>
          </cell>
          <cell r="R143" t="str">
            <v>新N*49209</v>
          </cell>
          <cell r="S143" t="str">
            <v>公司筐</v>
          </cell>
        </row>
        <row r="144">
          <cell r="B144">
            <v>46282</v>
          </cell>
          <cell r="C144" t="str">
            <v>热合曼</v>
          </cell>
          <cell r="D144" t="str">
            <v>周转筐－领用出库</v>
          </cell>
          <cell r="E144" t="str">
            <v>NO:0001169</v>
          </cell>
          <cell r="F144" t="str">
            <v>公司红周转筐</v>
          </cell>
          <cell r="G144" t="str">
            <v/>
          </cell>
          <cell r="H144">
            <v>846</v>
          </cell>
          <cell r="I144" t="str">
            <v>个</v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公司红周转筐</v>
          </cell>
          <cell r="O144">
            <v>846</v>
          </cell>
          <cell r="P144" t="str">
            <v/>
          </cell>
          <cell r="Q144" t="str">
            <v/>
          </cell>
          <cell r="R144" t="str">
            <v>新A*G0554</v>
          </cell>
          <cell r="S144" t="str">
            <v>公司筐</v>
          </cell>
        </row>
        <row r="145">
          <cell r="B145">
            <v>46282</v>
          </cell>
          <cell r="C145" t="str">
            <v>全修塑业</v>
          </cell>
          <cell r="D145" t="str">
            <v>周转筐－采购入库</v>
          </cell>
          <cell r="E145" t="str">
            <v>NO:0000894</v>
          </cell>
          <cell r="F145" t="str">
            <v>公司红周转筐</v>
          </cell>
          <cell r="G145" t="str">
            <v/>
          </cell>
          <cell r="H145">
            <v>504</v>
          </cell>
          <cell r="I145" t="str">
            <v>个</v>
          </cell>
          <cell r="J145" t="str">
            <v/>
          </cell>
          <cell r="K145">
            <v>5040</v>
          </cell>
          <cell r="L145" t="str">
            <v>未付款</v>
          </cell>
          <cell r="M145" t="str">
            <v>NO:0017234</v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504</v>
          </cell>
          <cell r="R145" t="str">
            <v>新N*F0M01</v>
          </cell>
          <cell r="S145" t="str">
            <v>公司筐</v>
          </cell>
        </row>
        <row r="146">
          <cell r="B146">
            <v>46282</v>
          </cell>
          <cell r="C146" t="str">
            <v>努尔敦</v>
          </cell>
          <cell r="D146" t="str">
            <v>周转筐－领用出库</v>
          </cell>
          <cell r="E146" t="str">
            <v>NO:0001170</v>
          </cell>
          <cell r="F146" t="str">
            <v>公司红周转筐</v>
          </cell>
          <cell r="G146" t="str">
            <v/>
          </cell>
          <cell r="H146">
            <v>504</v>
          </cell>
          <cell r="I146" t="str">
            <v>个</v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公司红周转筐</v>
          </cell>
          <cell r="O146">
            <v>504</v>
          </cell>
          <cell r="P146" t="str">
            <v/>
          </cell>
          <cell r="Q146" t="str">
            <v/>
          </cell>
          <cell r="R146" t="str">
            <v>新N*F0M01</v>
          </cell>
          <cell r="S146" t="str">
            <v>公司筐</v>
          </cell>
        </row>
        <row r="147">
          <cell r="B147">
            <v>46282</v>
          </cell>
          <cell r="C147" t="str">
            <v>努尔敦</v>
          </cell>
          <cell r="D147" t="str">
            <v>周转筐－领用出库</v>
          </cell>
          <cell r="E147" t="str">
            <v>NO:0001171</v>
          </cell>
          <cell r="F147" t="str">
            <v>公司红周转筐</v>
          </cell>
          <cell r="G147" t="str">
            <v/>
          </cell>
          <cell r="H147">
            <v>344</v>
          </cell>
          <cell r="I147" t="str">
            <v>个</v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>公司红周转筐</v>
          </cell>
          <cell r="O147">
            <v>344</v>
          </cell>
          <cell r="P147" t="str">
            <v/>
          </cell>
          <cell r="Q147" t="str">
            <v/>
          </cell>
          <cell r="R147" t="str">
            <v>新F*75240</v>
          </cell>
          <cell r="S147" t="str">
            <v>公司筐</v>
          </cell>
        </row>
        <row r="148">
          <cell r="B148">
            <v>46282</v>
          </cell>
          <cell r="C148" t="str">
            <v>王照雪</v>
          </cell>
          <cell r="D148" t="str">
            <v>周转筐－退回入库</v>
          </cell>
          <cell r="E148" t="str">
            <v>NO:0000899</v>
          </cell>
          <cell r="F148" t="str">
            <v>公司杂周转筐</v>
          </cell>
          <cell r="G148" t="str">
            <v/>
          </cell>
          <cell r="H148">
            <v>4</v>
          </cell>
          <cell r="I148" t="str">
            <v>个</v>
          </cell>
          <cell r="J148" t="str">
            <v/>
          </cell>
          <cell r="K148" t="str">
            <v/>
          </cell>
          <cell r="L148" t="str">
            <v/>
          </cell>
          <cell r="M148" t="str">
            <v>电商退回</v>
          </cell>
          <cell r="N148" t="str">
            <v>公司杂周转筐</v>
          </cell>
          <cell r="O148" t="str">
            <v/>
          </cell>
          <cell r="P148">
            <v>4</v>
          </cell>
          <cell r="Q148" t="str">
            <v/>
          </cell>
          <cell r="R148" t="str">
            <v/>
          </cell>
          <cell r="S148" t="str">
            <v>公司筐</v>
          </cell>
        </row>
        <row r="149">
          <cell r="B149">
            <v>46283</v>
          </cell>
          <cell r="C149" t="str">
            <v>王照雪</v>
          </cell>
          <cell r="D149" t="str">
            <v>周转筐－领用出库</v>
          </cell>
          <cell r="E149" t="str">
            <v>NO:0001174</v>
          </cell>
          <cell r="F149" t="str">
            <v>公司杂周转筐</v>
          </cell>
          <cell r="G149" t="str">
            <v/>
          </cell>
          <cell r="H149">
            <v>423</v>
          </cell>
          <cell r="I149" t="str">
            <v>个</v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>公司杂周转筐</v>
          </cell>
          <cell r="O149">
            <v>423</v>
          </cell>
          <cell r="P149" t="str">
            <v/>
          </cell>
          <cell r="Q149" t="str">
            <v/>
          </cell>
          <cell r="R149" t="str">
            <v>豫L*88X19</v>
          </cell>
          <cell r="S149" t="str">
            <v>公司筐</v>
          </cell>
        </row>
        <row r="150">
          <cell r="B150">
            <v>46283</v>
          </cell>
          <cell r="C150" t="str">
            <v>全修塑业</v>
          </cell>
          <cell r="D150" t="str">
            <v>周转筐－采购入库</v>
          </cell>
          <cell r="E150" t="str">
            <v>NO:0000900</v>
          </cell>
          <cell r="F150" t="str">
            <v>公司红周转筐</v>
          </cell>
          <cell r="G150" t="str">
            <v/>
          </cell>
          <cell r="H150">
            <v>960</v>
          </cell>
          <cell r="I150" t="str">
            <v>个</v>
          </cell>
          <cell r="J150" t="str">
            <v/>
          </cell>
          <cell r="K150">
            <v>9600</v>
          </cell>
          <cell r="L150" t="str">
            <v>未付款</v>
          </cell>
          <cell r="M150" t="str">
            <v>NO:0017235</v>
          </cell>
          <cell r="N150" t="str">
            <v>公司红周转筐</v>
          </cell>
          <cell r="O150" t="str">
            <v/>
          </cell>
          <cell r="P150" t="str">
            <v/>
          </cell>
          <cell r="Q150">
            <v>960</v>
          </cell>
          <cell r="R150" t="str">
            <v>新N*49209</v>
          </cell>
          <cell r="S150" t="str">
            <v>公司筐</v>
          </cell>
        </row>
        <row r="151">
          <cell r="B151">
            <v>46283</v>
          </cell>
          <cell r="C151" t="str">
            <v>王灵云</v>
          </cell>
          <cell r="D151" t="str">
            <v>周转筐－领用出库</v>
          </cell>
          <cell r="E151" t="str">
            <v>NO:0001176</v>
          </cell>
          <cell r="F151" t="str">
            <v>公司红周转筐</v>
          </cell>
          <cell r="G151" t="str">
            <v/>
          </cell>
          <cell r="H151">
            <v>960</v>
          </cell>
          <cell r="I151" t="str">
            <v>个</v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>公司红周转筐</v>
          </cell>
          <cell r="O151">
            <v>960</v>
          </cell>
          <cell r="P151" t="str">
            <v/>
          </cell>
          <cell r="Q151" t="str">
            <v/>
          </cell>
          <cell r="R151" t="str">
            <v>新N*49209</v>
          </cell>
          <cell r="S151" t="str">
            <v>公司筐</v>
          </cell>
        </row>
        <row r="152">
          <cell r="B152">
            <v>46283</v>
          </cell>
          <cell r="C152" t="str">
            <v>王照雪</v>
          </cell>
          <cell r="D152" t="str">
            <v>周转筐－领用出库</v>
          </cell>
          <cell r="E152" t="str">
            <v>NO:0001178</v>
          </cell>
          <cell r="F152" t="str">
            <v>公司一次性筐</v>
          </cell>
          <cell r="G152" t="str">
            <v/>
          </cell>
          <cell r="H152">
            <v>423</v>
          </cell>
          <cell r="I152" t="str">
            <v>个</v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>公司一次性筐</v>
          </cell>
          <cell r="O152">
            <v>423</v>
          </cell>
          <cell r="P152" t="str">
            <v/>
          </cell>
          <cell r="Q152" t="str">
            <v/>
          </cell>
          <cell r="R152" t="str">
            <v>豫L*88X19</v>
          </cell>
          <cell r="S152" t="str">
            <v>公司筐</v>
          </cell>
        </row>
        <row r="153">
          <cell r="B153">
            <v>46277</v>
          </cell>
          <cell r="C153" t="str">
            <v>王照雪</v>
          </cell>
          <cell r="D153" t="str">
            <v>客户自备筐－</v>
          </cell>
          <cell r="E153" t="str">
            <v/>
          </cell>
          <cell r="F153" t="str">
            <v>自备一次性筐</v>
          </cell>
          <cell r="G153" t="str">
            <v/>
          </cell>
          <cell r="H153">
            <v>1000</v>
          </cell>
          <cell r="I153" t="str">
            <v>个</v>
          </cell>
          <cell r="J153" t="str">
            <v/>
          </cell>
          <cell r="K153" t="str">
            <v/>
          </cell>
          <cell r="L153" t="str">
            <v/>
          </cell>
          <cell r="M153" t="str">
            <v>黑筐</v>
          </cell>
          <cell r="N153" t="str">
            <v>自备一次性筐</v>
          </cell>
          <cell r="O153" t="str">
            <v/>
          </cell>
          <cell r="P153" t="str">
            <v/>
          </cell>
          <cell r="Q153">
            <v>1000</v>
          </cell>
          <cell r="R153" t="str">
            <v/>
          </cell>
          <cell r="S153" t="str">
            <v>自备筐</v>
          </cell>
        </row>
        <row r="154">
          <cell r="B154">
            <v>46278</v>
          </cell>
          <cell r="C154" t="str">
            <v>王照雪</v>
          </cell>
          <cell r="D154" t="str">
            <v>客户自备筐－拉扎伤果</v>
          </cell>
          <cell r="E154" t="str">
            <v>NO:0001134</v>
          </cell>
          <cell r="F154" t="str">
            <v>自备一次性筐</v>
          </cell>
          <cell r="G154" t="str">
            <v/>
          </cell>
          <cell r="H154">
            <v>12</v>
          </cell>
          <cell r="I154" t="str">
            <v>个</v>
          </cell>
          <cell r="J154" t="str">
            <v/>
          </cell>
          <cell r="K154" t="str">
            <v/>
          </cell>
          <cell r="L154" t="str">
            <v/>
          </cell>
          <cell r="M154" t="str">
            <v>黑筐</v>
          </cell>
          <cell r="N154" t="str">
            <v>自备一次性筐</v>
          </cell>
          <cell r="O154">
            <v>12</v>
          </cell>
          <cell r="P154" t="str">
            <v/>
          </cell>
          <cell r="Q154" t="str">
            <v/>
          </cell>
          <cell r="R154" t="str">
            <v>新R*45654</v>
          </cell>
          <cell r="S154" t="str">
            <v>自备筐</v>
          </cell>
        </row>
        <row r="155">
          <cell r="B155">
            <v>46280</v>
          </cell>
          <cell r="C155" t="str">
            <v>麦麦提</v>
          </cell>
          <cell r="D155" t="str">
            <v>客户自备筐－</v>
          </cell>
          <cell r="E155" t="str">
            <v/>
          </cell>
          <cell r="F155" t="str">
            <v>自备一次性筐</v>
          </cell>
          <cell r="G155" t="str">
            <v/>
          </cell>
          <cell r="H155">
            <v>546</v>
          </cell>
          <cell r="I155" t="str">
            <v>个</v>
          </cell>
          <cell r="J155" t="str">
            <v/>
          </cell>
          <cell r="K155" t="str">
            <v/>
          </cell>
          <cell r="L155" t="str">
            <v/>
          </cell>
          <cell r="M155" t="str">
            <v>蓝筐</v>
          </cell>
          <cell r="N155" t="str">
            <v>自备一次性筐</v>
          </cell>
          <cell r="O155" t="str">
            <v/>
          </cell>
          <cell r="P155" t="str">
            <v/>
          </cell>
          <cell r="Q155">
            <v>546</v>
          </cell>
          <cell r="R155" t="str">
            <v/>
          </cell>
          <cell r="S155" t="str">
            <v>自备筐</v>
          </cell>
        </row>
        <row r="156">
          <cell r="B156">
            <v>46281</v>
          </cell>
          <cell r="C156" t="str">
            <v>王灵云</v>
          </cell>
          <cell r="D156" t="str">
            <v>客户自备筐－</v>
          </cell>
          <cell r="E156" t="str">
            <v/>
          </cell>
          <cell r="F156" t="str">
            <v>自备一次性筐</v>
          </cell>
          <cell r="G156" t="str">
            <v/>
          </cell>
          <cell r="H156">
            <v>1000</v>
          </cell>
          <cell r="I156" t="str">
            <v>个</v>
          </cell>
          <cell r="J156" t="str">
            <v/>
          </cell>
          <cell r="K156" t="str">
            <v/>
          </cell>
          <cell r="L156" t="str">
            <v/>
          </cell>
          <cell r="M156" t="str">
            <v>黑筐</v>
          </cell>
          <cell r="N156" t="str">
            <v>自备一次性筐</v>
          </cell>
          <cell r="O156" t="str">
            <v/>
          </cell>
          <cell r="P156" t="str">
            <v/>
          </cell>
          <cell r="Q156">
            <v>1000</v>
          </cell>
          <cell r="R156" t="str">
            <v/>
          </cell>
          <cell r="S156" t="str">
            <v>自备筐</v>
          </cell>
        </row>
        <row r="157">
          <cell r="B157">
            <v>46282</v>
          </cell>
          <cell r="C157" t="str">
            <v>麦麦提</v>
          </cell>
          <cell r="D157" t="str">
            <v>客户自备筐－</v>
          </cell>
          <cell r="E157" t="str">
            <v/>
          </cell>
          <cell r="F157" t="str">
            <v>自备一次性筐</v>
          </cell>
          <cell r="G157" t="str">
            <v/>
          </cell>
          <cell r="H157">
            <v>546</v>
          </cell>
          <cell r="I157" t="str">
            <v>个</v>
          </cell>
          <cell r="J157" t="str">
            <v/>
          </cell>
          <cell r="K157" t="str">
            <v/>
          </cell>
          <cell r="L157" t="str">
            <v/>
          </cell>
          <cell r="M157" t="str">
            <v>蓝筐</v>
          </cell>
          <cell r="N157" t="str">
            <v>自备一次性筐</v>
          </cell>
          <cell r="O157" t="str">
            <v/>
          </cell>
          <cell r="P157" t="str">
            <v/>
          </cell>
          <cell r="Q157">
            <v>546</v>
          </cell>
          <cell r="R157" t="str">
            <v/>
          </cell>
          <cell r="S157" t="str">
            <v>自备筐</v>
          </cell>
        </row>
        <row r="158">
          <cell r="B158">
            <v>46280</v>
          </cell>
          <cell r="C158" t="str">
            <v>王照雪</v>
          </cell>
          <cell r="D158" t="str">
            <v>次果筐/托盘－领用出库</v>
          </cell>
          <cell r="E158" t="str">
            <v>NO:0001147</v>
          </cell>
          <cell r="F158" t="str">
            <v>大托盘</v>
          </cell>
          <cell r="G158" t="str">
            <v/>
          </cell>
          <cell r="H158">
            <v>1</v>
          </cell>
          <cell r="I158" t="str">
            <v>个</v>
          </cell>
          <cell r="J158" t="str">
            <v/>
          </cell>
          <cell r="K158">
            <v>100</v>
          </cell>
          <cell r="L158" t="str">
            <v/>
          </cell>
          <cell r="M158" t="str">
            <v/>
          </cell>
          <cell r="N158" t="str">
            <v>大托盘</v>
          </cell>
          <cell r="O158">
            <v>1</v>
          </cell>
          <cell r="P158" t="str">
            <v/>
          </cell>
          <cell r="Q158" t="str">
            <v/>
          </cell>
          <cell r="R158" t="str">
            <v>新N*V5L92</v>
          </cell>
          <cell r="S158" t="str">
            <v>公司筐</v>
          </cell>
        </row>
        <row r="159">
          <cell r="B159">
            <v>46281</v>
          </cell>
          <cell r="C159" t="str">
            <v>王照雪</v>
          </cell>
          <cell r="D159" t="str">
            <v>次果筐/托盘－退回入库</v>
          </cell>
          <cell r="E159" t="str">
            <v>NO:0000880</v>
          </cell>
          <cell r="F159" t="str">
            <v>大托盘</v>
          </cell>
          <cell r="G159" t="str">
            <v/>
          </cell>
          <cell r="H159">
            <v>1</v>
          </cell>
          <cell r="I159" t="str">
            <v>个</v>
          </cell>
          <cell r="J159" t="str">
            <v/>
          </cell>
          <cell r="K159">
            <v>0</v>
          </cell>
          <cell r="L159" t="str">
            <v/>
          </cell>
          <cell r="M159" t="str">
            <v/>
          </cell>
          <cell r="N159" t="str">
            <v>大托盘</v>
          </cell>
          <cell r="O159" t="str">
            <v/>
          </cell>
          <cell r="P159">
            <v>1</v>
          </cell>
          <cell r="Q159" t="str">
            <v/>
          </cell>
          <cell r="R159" t="str">
            <v>豫N*P269J</v>
          </cell>
          <cell r="S159" t="str">
            <v>公司筐</v>
          </cell>
        </row>
        <row r="160">
          <cell r="B160">
            <v>46281</v>
          </cell>
          <cell r="C160" t="str">
            <v>王照雪</v>
          </cell>
          <cell r="D160" t="str">
            <v>次果筐/托盘－领用出库</v>
          </cell>
          <cell r="E160" t="str">
            <v>NO:0000881</v>
          </cell>
          <cell r="F160" t="str">
            <v>公司一次性筐</v>
          </cell>
          <cell r="G160" t="str">
            <v/>
          </cell>
          <cell r="H160">
            <v>20</v>
          </cell>
          <cell r="I160" t="str">
            <v>个</v>
          </cell>
          <cell r="J160" t="str">
            <v/>
          </cell>
          <cell r="K160">
            <v>0</v>
          </cell>
          <cell r="L160" t="str">
            <v/>
          </cell>
          <cell r="M160" t="str">
            <v/>
          </cell>
          <cell r="N160" t="str">
            <v>公司一次性筐</v>
          </cell>
          <cell r="O160">
            <v>20</v>
          </cell>
          <cell r="P160" t="str">
            <v/>
          </cell>
          <cell r="Q160" t="str">
            <v/>
          </cell>
          <cell r="R160" t="str">
            <v>豫N*P269J</v>
          </cell>
          <cell r="S160" t="str">
            <v>公司筐</v>
          </cell>
        </row>
        <row r="161">
          <cell r="B161">
            <v>46281</v>
          </cell>
          <cell r="C161" t="str">
            <v>王照雪</v>
          </cell>
          <cell r="D161" t="str">
            <v>次果筐/托盘－领用出库</v>
          </cell>
          <cell r="E161" t="str">
            <v>NO:0000882</v>
          </cell>
          <cell r="F161" t="str">
            <v>公司杂周转筐</v>
          </cell>
          <cell r="G161" t="str">
            <v/>
          </cell>
          <cell r="H161">
            <v>21</v>
          </cell>
          <cell r="I161" t="str">
            <v>个</v>
          </cell>
          <cell r="J161" t="str">
            <v/>
          </cell>
          <cell r="K161">
            <v>0</v>
          </cell>
          <cell r="L161" t="str">
            <v/>
          </cell>
          <cell r="M161" t="str">
            <v/>
          </cell>
          <cell r="N161" t="str">
            <v>公司杂周转筐</v>
          </cell>
          <cell r="O161">
            <v>21</v>
          </cell>
          <cell r="P161" t="str">
            <v/>
          </cell>
          <cell r="Q161" t="str">
            <v/>
          </cell>
          <cell r="R161" t="str">
            <v>豫N*P269J</v>
          </cell>
          <cell r="S161" t="str">
            <v>公司筐</v>
          </cell>
        </row>
        <row r="162">
          <cell r="B162">
            <v>46281</v>
          </cell>
          <cell r="C162" t="str">
            <v>王照雪</v>
          </cell>
          <cell r="D162" t="str">
            <v>次果筐/托盘－领用出库</v>
          </cell>
          <cell r="E162" t="str">
            <v>NO:0000883</v>
          </cell>
          <cell r="F162" t="str">
            <v>公司新周转筐</v>
          </cell>
          <cell r="G162" t="str">
            <v/>
          </cell>
          <cell r="H162">
            <v>22</v>
          </cell>
          <cell r="I162" t="str">
            <v>个</v>
          </cell>
          <cell r="J162" t="str">
            <v/>
          </cell>
          <cell r="K162">
            <v>0</v>
          </cell>
          <cell r="L162" t="str">
            <v/>
          </cell>
          <cell r="M162" t="str">
            <v/>
          </cell>
          <cell r="N162" t="str">
            <v>公司新周转筐</v>
          </cell>
          <cell r="O162">
            <v>22</v>
          </cell>
          <cell r="P162" t="str">
            <v/>
          </cell>
          <cell r="Q162" t="str">
            <v/>
          </cell>
          <cell r="R162" t="str">
            <v>豫N*P269J</v>
          </cell>
          <cell r="S162" t="str">
            <v>公司筐</v>
          </cell>
        </row>
        <row r="163">
          <cell r="B163">
            <v>46281</v>
          </cell>
          <cell r="C163" t="str">
            <v>王照雪</v>
          </cell>
          <cell r="D163" t="str">
            <v>次果筐/托盘－领用出库</v>
          </cell>
          <cell r="E163" t="str">
            <v>NO:0000884</v>
          </cell>
          <cell r="F163" t="str">
            <v>公司红周转筐</v>
          </cell>
          <cell r="G163" t="str">
            <v/>
          </cell>
          <cell r="H163">
            <v>23</v>
          </cell>
          <cell r="I163" t="str">
            <v>个</v>
          </cell>
          <cell r="J163" t="str">
            <v/>
          </cell>
          <cell r="K163">
            <v>0</v>
          </cell>
          <cell r="L163" t="str">
            <v/>
          </cell>
          <cell r="M163" t="str">
            <v/>
          </cell>
          <cell r="N163" t="str">
            <v>公司红周转筐</v>
          </cell>
          <cell r="O163">
            <v>23</v>
          </cell>
          <cell r="P163" t="str">
            <v/>
          </cell>
          <cell r="Q163" t="str">
            <v/>
          </cell>
          <cell r="R163" t="str">
            <v>豫N*P269J</v>
          </cell>
          <cell r="S163" t="str">
            <v>公司筐</v>
          </cell>
        </row>
        <row r="164">
          <cell r="B164">
            <v>46281</v>
          </cell>
          <cell r="C164" t="str">
            <v>王照雪</v>
          </cell>
          <cell r="D164" t="str">
            <v>次果筐/托盘－退回入库</v>
          </cell>
          <cell r="E164" t="str">
            <v>NO:0000885</v>
          </cell>
          <cell r="F164" t="str">
            <v>公司一次性筐</v>
          </cell>
          <cell r="G164" t="str">
            <v/>
          </cell>
          <cell r="H164">
            <v>10</v>
          </cell>
          <cell r="I164" t="str">
            <v>个</v>
          </cell>
          <cell r="J164" t="str">
            <v/>
          </cell>
          <cell r="K164">
            <v>0</v>
          </cell>
          <cell r="L164" t="str">
            <v/>
          </cell>
          <cell r="M164" t="str">
            <v/>
          </cell>
          <cell r="N164" t="str">
            <v>公司一次性筐</v>
          </cell>
          <cell r="O164" t="str">
            <v/>
          </cell>
          <cell r="P164">
            <v>10</v>
          </cell>
          <cell r="Q164" t="str">
            <v/>
          </cell>
          <cell r="R164" t="str">
            <v>豫N*P269J</v>
          </cell>
          <cell r="S164" t="str">
            <v>公司筐</v>
          </cell>
        </row>
        <row r="165">
          <cell r="B165">
            <v>46281</v>
          </cell>
          <cell r="C165" t="str">
            <v>王照雪</v>
          </cell>
          <cell r="D165" t="str">
            <v>次果筐/托盘－退回入库</v>
          </cell>
          <cell r="E165" t="str">
            <v>NO:0000886</v>
          </cell>
          <cell r="F165" t="str">
            <v>公司杂周转筐</v>
          </cell>
          <cell r="G165" t="str">
            <v/>
          </cell>
          <cell r="H165">
            <v>11</v>
          </cell>
          <cell r="I165" t="str">
            <v>个</v>
          </cell>
          <cell r="J165" t="str">
            <v/>
          </cell>
          <cell r="K165">
            <v>0</v>
          </cell>
          <cell r="L165" t="str">
            <v/>
          </cell>
          <cell r="M165" t="str">
            <v/>
          </cell>
          <cell r="N165" t="str">
            <v>公司杂周转筐</v>
          </cell>
          <cell r="O165" t="str">
            <v/>
          </cell>
          <cell r="P165">
            <v>11</v>
          </cell>
          <cell r="Q165" t="str">
            <v/>
          </cell>
          <cell r="R165" t="str">
            <v>豫N*P269J</v>
          </cell>
          <cell r="S165" t="str">
            <v>公司筐</v>
          </cell>
        </row>
        <row r="166">
          <cell r="B166">
            <v>46281</v>
          </cell>
          <cell r="C166" t="str">
            <v>王照雪</v>
          </cell>
          <cell r="D166" t="str">
            <v>次果筐/托盘－退回入库</v>
          </cell>
          <cell r="E166" t="str">
            <v>NO:0000887</v>
          </cell>
          <cell r="F166" t="str">
            <v>公司新周转筐</v>
          </cell>
          <cell r="G166" t="str">
            <v/>
          </cell>
          <cell r="H166">
            <v>12</v>
          </cell>
          <cell r="I166" t="str">
            <v>个</v>
          </cell>
          <cell r="J166" t="str">
            <v/>
          </cell>
          <cell r="K166">
            <v>0</v>
          </cell>
          <cell r="L166" t="str">
            <v/>
          </cell>
          <cell r="M166" t="str">
            <v/>
          </cell>
          <cell r="N166" t="str">
            <v>公司新周转筐</v>
          </cell>
          <cell r="O166" t="str">
            <v/>
          </cell>
          <cell r="P166">
            <v>12</v>
          </cell>
          <cell r="Q166" t="str">
            <v/>
          </cell>
          <cell r="R166" t="str">
            <v>豫N*P269J</v>
          </cell>
          <cell r="S166" t="str">
            <v>公司筐</v>
          </cell>
        </row>
        <row r="167">
          <cell r="B167">
            <v>46281</v>
          </cell>
          <cell r="C167" t="str">
            <v>王照雪</v>
          </cell>
          <cell r="D167" t="str">
            <v>次果筐/托盘－退回入库</v>
          </cell>
          <cell r="E167" t="str">
            <v>NO:0000888</v>
          </cell>
          <cell r="F167" t="str">
            <v>公司红周转筐</v>
          </cell>
          <cell r="G167" t="str">
            <v/>
          </cell>
          <cell r="H167">
            <v>13</v>
          </cell>
          <cell r="I167" t="str">
            <v>个</v>
          </cell>
          <cell r="J167" t="str">
            <v/>
          </cell>
          <cell r="K167">
            <v>0</v>
          </cell>
          <cell r="L167" t="str">
            <v/>
          </cell>
          <cell r="M167" t="str">
            <v/>
          </cell>
          <cell r="N167" t="str">
            <v>公司红周转筐</v>
          </cell>
          <cell r="O167" t="str">
            <v/>
          </cell>
          <cell r="P167">
            <v>13</v>
          </cell>
          <cell r="Q167" t="str">
            <v/>
          </cell>
          <cell r="R167" t="str">
            <v>豫N*P269J</v>
          </cell>
          <cell r="S167" t="str">
            <v>公司筐</v>
          </cell>
        </row>
        <row r="168">
          <cell r="B168">
            <v>46282</v>
          </cell>
          <cell r="C168" t="str">
            <v>王照雪</v>
          </cell>
          <cell r="D168" t="str">
            <v>次果筐/托盘－领用出库</v>
          </cell>
          <cell r="E168" t="str">
            <v>NO:0001166</v>
          </cell>
          <cell r="F168" t="str">
            <v>公司杂周转筐</v>
          </cell>
          <cell r="G168" t="str">
            <v/>
          </cell>
          <cell r="H168">
            <v>25</v>
          </cell>
          <cell r="I168" t="str">
            <v>个</v>
          </cell>
          <cell r="J168" t="str">
            <v/>
          </cell>
          <cell r="K168">
            <v>375</v>
          </cell>
          <cell r="L168" t="str">
            <v/>
          </cell>
          <cell r="M168" t="str">
            <v/>
          </cell>
          <cell r="N168" t="str">
            <v>公司杂周转筐</v>
          </cell>
          <cell r="O168">
            <v>25</v>
          </cell>
          <cell r="P168" t="str">
            <v/>
          </cell>
          <cell r="Q168" t="str">
            <v/>
          </cell>
          <cell r="R168" t="str">
            <v>新N*GG901</v>
          </cell>
          <cell r="S168" t="str">
            <v>公司筐</v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</row>
      </sheetData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27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5" style="3" customWidth="1"/>
    <col min="2" max="2" width="24" style="3" customWidth="1"/>
    <col min="3" max="3" width="62" style="3" customWidth="1"/>
    <col min="4" max="4" width="16" style="3" customWidth="1"/>
  </cols>
  <sheetData>
    <row r="1" ht="37.5" customHeight="1" spans="1:4">
      <c r="A1" s="125" t="s">
        <v>0</v>
      </c>
      <c r="B1" s="125"/>
      <c r="C1" s="125"/>
      <c r="D1" s="125"/>
    </row>
    <row r="2" ht="18" customHeight="1" spans="1:4">
      <c r="A2" s="118" t="s">
        <v>1</v>
      </c>
      <c r="B2" s="118"/>
      <c r="C2" s="118"/>
      <c r="D2" s="118"/>
    </row>
    <row r="3" ht="24" customHeight="1" spans="1:4">
      <c r="A3" s="126" t="str">
        <f>IF(N(对接源_01水果!$R$1)+N(对接源_02物料!$R$1)=0,"联动状态：★★ 两本业务册的数据都没接进来 —— 请打开对接源表按提示修复链接",IF(N(对接源_01水果!$R$4)*N(对接源_02物料!$R$4)=0,"联动状态：⚠ 有业务册没接上（不是实时数）—— 01水果 "&amp;N(对接源_01水果!$R$1)&amp;" 笔，02物料 "&amp;N(对接源_02物料!$R$1)&amp;" 笔，请尽快修复链接","联动状态：✔ 正常 —— 01水果 "&amp;N(对接源_01水果!$R$1)&amp;" 笔 ＋ 02物料 "&amp;N(对接源_02物料!$R$1)&amp;" 笔已自动接入"))</f>
        <v>联动状态：✔ 正常 —— 01水果 420 笔 ＋ 02物料 165 笔已自动接入</v>
      </c>
      <c r="B3" s="126"/>
      <c r="C3" s="126"/>
      <c r="D3" s="126"/>
    </row>
    <row r="5" ht="24" customHeight="1" spans="1:4">
      <c r="A5" s="122" t="s">
        <v>2</v>
      </c>
      <c r="B5" s="122"/>
      <c r="C5" s="122"/>
      <c r="D5" s="122"/>
    </row>
    <row r="6" ht="19.5" customHeight="1" spans="1:4">
      <c r="A6" s="127" t="s">
        <v>3</v>
      </c>
      <c r="B6" s="127" t="s">
        <v>4</v>
      </c>
      <c r="C6" s="127" t="s">
        <v>5</v>
      </c>
      <c r="D6" s="127" t="s">
        <v>6</v>
      </c>
    </row>
    <row r="7" ht="18.75" customHeight="1" spans="1:4">
      <c r="A7" s="128">
        <v>1</v>
      </c>
      <c r="B7" s="129" t="s">
        <v>7</v>
      </c>
      <c r="C7" s="130" t="s">
        <v>8</v>
      </c>
      <c r="D7" s="20" t="s">
        <v>9</v>
      </c>
    </row>
    <row r="8" ht="18.75" customHeight="1" spans="1:4">
      <c r="A8" s="128">
        <v>2</v>
      </c>
      <c r="B8" s="129" t="s">
        <v>10</v>
      </c>
      <c r="C8" s="130" t="s">
        <v>11</v>
      </c>
      <c r="D8" s="20" t="s">
        <v>9</v>
      </c>
    </row>
    <row r="9" ht="18.75" customHeight="1" spans="1:4">
      <c r="A9" s="128">
        <v>3</v>
      </c>
      <c r="B9" s="129" t="s">
        <v>12</v>
      </c>
      <c r="C9" s="130" t="s">
        <v>13</v>
      </c>
      <c r="D9" s="20" t="s">
        <v>9</v>
      </c>
    </row>
    <row r="10" ht="18.75" customHeight="1" spans="1:4">
      <c r="A10" s="128">
        <v>4</v>
      </c>
      <c r="B10" s="129" t="s">
        <v>14</v>
      </c>
      <c r="C10" s="130" t="s">
        <v>15</v>
      </c>
      <c r="D10" s="20" t="s">
        <v>9</v>
      </c>
    </row>
    <row r="11" ht="18.75" customHeight="1" spans="1:4">
      <c r="A11" s="128">
        <v>5</v>
      </c>
      <c r="B11" s="129" t="s">
        <v>16</v>
      </c>
      <c r="C11" s="130" t="s">
        <v>17</v>
      </c>
      <c r="D11" s="20" t="s">
        <v>9</v>
      </c>
    </row>
    <row r="13" ht="24" customHeight="1" spans="1:4">
      <c r="A13" s="122" t="s">
        <v>18</v>
      </c>
      <c r="B13" s="122"/>
      <c r="C13" s="122"/>
      <c r="D13" s="122"/>
    </row>
    <row r="14" ht="19.5" customHeight="1" spans="1:4">
      <c r="A14" s="127" t="s">
        <v>3</v>
      </c>
      <c r="B14" s="127" t="s">
        <v>4</v>
      </c>
      <c r="C14" s="127" t="s">
        <v>5</v>
      </c>
      <c r="D14" s="127" t="s">
        <v>6</v>
      </c>
    </row>
    <row r="15" ht="18.75" customHeight="1" spans="1:4">
      <c r="A15" s="128">
        <v>6</v>
      </c>
      <c r="B15" s="129" t="s">
        <v>19</v>
      </c>
      <c r="C15" s="130" t="s">
        <v>20</v>
      </c>
      <c r="D15" s="20" t="s">
        <v>21</v>
      </c>
    </row>
    <row r="16" ht="18.75" customHeight="1" spans="1:4">
      <c r="A16" s="128">
        <v>7</v>
      </c>
      <c r="B16" s="129" t="s">
        <v>22</v>
      </c>
      <c r="C16" s="130" t="s">
        <v>23</v>
      </c>
      <c r="D16" s="20" t="s">
        <v>21</v>
      </c>
    </row>
    <row r="18" ht="24" customHeight="1" spans="1:4">
      <c r="A18" s="122" t="s">
        <v>24</v>
      </c>
      <c r="B18" s="122"/>
      <c r="C18" s="122"/>
      <c r="D18" s="122"/>
    </row>
    <row r="19" ht="19.5" customHeight="1" spans="1:4">
      <c r="A19" s="127" t="s">
        <v>3</v>
      </c>
      <c r="B19" s="127" t="s">
        <v>4</v>
      </c>
      <c r="C19" s="127" t="s">
        <v>5</v>
      </c>
      <c r="D19" s="127" t="s">
        <v>6</v>
      </c>
    </row>
    <row r="20" ht="18.75" customHeight="1" spans="1:4">
      <c r="A20" s="128">
        <v>8</v>
      </c>
      <c r="B20" s="129" t="s">
        <v>25</v>
      </c>
      <c r="C20" s="130" t="s">
        <v>26</v>
      </c>
      <c r="D20" s="20" t="s">
        <v>21</v>
      </c>
    </row>
    <row r="21" ht="18.75" customHeight="1" spans="1:4">
      <c r="A21" s="128">
        <v>9</v>
      </c>
      <c r="B21" s="129" t="s">
        <v>27</v>
      </c>
      <c r="C21" s="130" t="s">
        <v>28</v>
      </c>
      <c r="D21" s="20" t="s">
        <v>21</v>
      </c>
    </row>
    <row r="23" ht="19.5" customHeight="1" spans="1:4">
      <c r="A23" s="131" t="s">
        <v>29</v>
      </c>
      <c r="B23" s="131"/>
      <c r="C23" s="131"/>
      <c r="D23" s="131"/>
    </row>
    <row r="25" ht="19.5" customHeight="1" spans="1:4">
      <c r="A25" s="132" t="s">
        <v>30</v>
      </c>
      <c r="B25" s="132"/>
      <c r="C25" s="132"/>
      <c r="D25" s="132"/>
    </row>
    <row r="26" ht="19.5" customHeight="1" spans="1:4">
      <c r="A26" s="68" t="s">
        <v>3</v>
      </c>
      <c r="B26" s="68" t="s">
        <v>4</v>
      </c>
      <c r="C26" s="68" t="s">
        <v>5</v>
      </c>
      <c r="D26" s="68" t="s">
        <v>6</v>
      </c>
    </row>
    <row r="27" ht="18" customHeight="1" spans="1:4">
      <c r="A27" s="133">
        <v>1</v>
      </c>
      <c r="B27" s="134" t="str">
        <f>HYPERLINK("#'果然鲜销售对账单'!A1","果然鲜销售对账单")</f>
        <v>果然鲜销售对账单</v>
      </c>
      <c r="C27" s="135" t="s">
        <v>31</v>
      </c>
      <c r="D27" s="136" t="s">
        <v>9</v>
      </c>
    </row>
  </sheetData>
  <mergeCells count="8">
    <mergeCell ref="A1:D1"/>
    <mergeCell ref="A2:D2"/>
    <mergeCell ref="A3:D3"/>
    <mergeCell ref="A5:D5"/>
    <mergeCell ref="A13:D13"/>
    <mergeCell ref="A18:D18"/>
    <mergeCell ref="A23:D23"/>
    <mergeCell ref="A25:D25"/>
  </mergeCells>
  <conditionalFormatting sqref="A3">
    <cfRule type="expression" dxfId="0" priority="2">
      <formula>LEFT(A3,7)&lt;&gt;"联动状态：✔"</formula>
    </cfRule>
  </conditionalFormatting>
  <hyperlinks>
    <hyperlink ref="B7" location="'筐子对账单'!A1" display="筐子对账单"/>
    <hyperlink ref="B8" location="'自备筐对账单'!A1" display="自备筐对账单"/>
    <hyperlink ref="B9" location="'水果对账单'!A1" display="水果对账单"/>
    <hyperlink ref="B10" location="'公司购买果品对账单'!A1" display="公司购买果品对账单"/>
    <hyperlink ref="B11" location="'物料与筐子销售对账单'!A1" display="物料与筐子销售对账单"/>
    <hyperlink ref="B15" location="'筐子库存汇总'!A1" display="筐子库存汇总"/>
    <hyperlink ref="B16" location="'应收应付汇总'!A1" display="应收应付汇总"/>
    <hyperlink ref="B20" location="'对接源_01水果'!A1" display="对接源_01水果"/>
    <hyperlink ref="B21" location="'对接源_02物料'!A1" display="对接源_02物料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H50"/>
  <sheetViews>
    <sheetView showGridLines="0" topLeftCell="A28" workbookViewId="0">
      <selection activeCell="I48" sqref="I48"/>
    </sheetView>
  </sheetViews>
  <sheetFormatPr defaultColWidth="9" defaultRowHeight="13.5" outlineLevelCol="7"/>
  <cols>
    <col min="1" max="1" width="2" style="3" customWidth="1"/>
    <col min="2" max="8" width="16" style="3" customWidth="1"/>
  </cols>
  <sheetData>
    <row r="1" ht="30" customHeight="1" spans="1:8">
      <c r="A1" s="9" t="s">
        <v>32</v>
      </c>
      <c r="B1" s="9"/>
      <c r="C1" s="9"/>
      <c r="D1" s="9"/>
      <c r="E1" s="9"/>
      <c r="F1" s="9"/>
      <c r="G1" s="9"/>
      <c r="H1" s="9"/>
    </row>
    <row r="2" ht="18" customHeight="1" spans="1:8">
      <c r="A2" s="118" t="s">
        <v>33</v>
      </c>
      <c r="B2" s="118"/>
      <c r="C2" s="118"/>
      <c r="D2" s="118"/>
      <c r="E2" s="118"/>
      <c r="F2" s="118"/>
      <c r="G2" s="118"/>
      <c r="H2" s="118"/>
    </row>
    <row r="4" ht="18" customHeight="1" spans="1:8">
      <c r="B4" s="119" t="s">
        <v>34</v>
      </c>
      <c r="C4" s="119"/>
      <c r="D4" s="119"/>
      <c r="E4" s="119"/>
      <c r="F4" s="119"/>
      <c r="G4" s="119"/>
      <c r="H4" s="119"/>
    </row>
    <row r="6" ht="18" customHeight="1" spans="1:8">
      <c r="B6" s="120" t="s">
        <v>35</v>
      </c>
      <c r="C6" s="120"/>
      <c r="D6" s="120"/>
      <c r="E6" s="120"/>
      <c r="F6" s="120"/>
      <c r="G6" s="120"/>
      <c r="H6" s="120"/>
    </row>
    <row r="7" ht="18" customHeight="1" spans="1:8">
      <c r="B7" s="120" t="s">
        <v>36</v>
      </c>
      <c r="C7" s="120"/>
      <c r="D7" s="120"/>
      <c r="E7" s="120"/>
      <c r="F7" s="120"/>
      <c r="G7" s="120"/>
      <c r="H7" s="120"/>
    </row>
    <row r="8" ht="18" customHeight="1" spans="1:8">
      <c r="B8" s="120" t="s">
        <v>37</v>
      </c>
      <c r="C8" s="120"/>
      <c r="D8" s="120"/>
      <c r="E8" s="120"/>
      <c r="F8" s="120"/>
      <c r="G8" s="120"/>
      <c r="H8" s="120"/>
    </row>
    <row r="9" ht="18" customHeight="1" spans="1:8">
      <c r="B9" s="120" t="s">
        <v>38</v>
      </c>
      <c r="C9" s="120"/>
      <c r="D9" s="120"/>
      <c r="E9" s="120"/>
      <c r="F9" s="120"/>
      <c r="G9" s="120"/>
      <c r="H9" s="120"/>
    </row>
    <row r="10" ht="18" customHeight="1" spans="1:8">
      <c r="B10" s="120" t="s">
        <v>39</v>
      </c>
      <c r="C10" s="120"/>
      <c r="D10" s="120"/>
      <c r="E10" s="120"/>
      <c r="F10" s="120"/>
      <c r="G10" s="120"/>
      <c r="H10" s="120"/>
    </row>
    <row r="12" ht="18" customHeight="1" spans="1:8">
      <c r="B12" s="119" t="s">
        <v>40</v>
      </c>
      <c r="C12" s="119"/>
      <c r="D12" s="119"/>
      <c r="E12" s="119"/>
      <c r="F12" s="119"/>
      <c r="G12" s="119"/>
      <c r="H12" s="119"/>
    </row>
    <row r="14" ht="18" customHeight="1" spans="1:8">
      <c r="B14" s="120" t="s">
        <v>41</v>
      </c>
      <c r="C14" s="120"/>
      <c r="D14" s="120"/>
      <c r="E14" s="120"/>
      <c r="F14" s="120"/>
      <c r="G14" s="120"/>
      <c r="H14" s="120"/>
    </row>
    <row r="15" ht="18" customHeight="1" spans="1:8">
      <c r="B15" s="120" t="s">
        <v>42</v>
      </c>
      <c r="C15" s="120"/>
      <c r="D15" s="120"/>
      <c r="E15" s="120"/>
      <c r="F15" s="120"/>
      <c r="G15" s="120"/>
      <c r="H15" s="120"/>
    </row>
    <row r="16" ht="18" customHeight="1" spans="1:8">
      <c r="B16" s="120" t="s">
        <v>43</v>
      </c>
      <c r="C16" s="120"/>
      <c r="D16" s="120"/>
      <c r="E16" s="120"/>
      <c r="F16" s="120"/>
      <c r="G16" s="120"/>
      <c r="H16" s="120"/>
    </row>
    <row r="18" ht="18" customHeight="1" spans="2:8">
      <c r="B18" s="119" t="s">
        <v>44</v>
      </c>
      <c r="C18" s="119"/>
      <c r="D18" s="119"/>
      <c r="E18" s="119"/>
      <c r="F18" s="119"/>
      <c r="G18" s="119"/>
      <c r="H18" s="119"/>
    </row>
    <row r="20" ht="18" customHeight="1" spans="2:8">
      <c r="B20" s="120" t="s">
        <v>45</v>
      </c>
      <c r="C20" s="120"/>
      <c r="D20" s="120"/>
      <c r="E20" s="120"/>
      <c r="F20" s="120"/>
      <c r="G20" s="120"/>
      <c r="H20" s="120"/>
    </row>
    <row r="21" ht="18" customHeight="1" spans="2:8">
      <c r="B21" s="120" t="s">
        <v>46</v>
      </c>
      <c r="C21" s="120"/>
      <c r="D21" s="120"/>
      <c r="E21" s="120"/>
      <c r="F21" s="120"/>
      <c r="G21" s="120"/>
      <c r="H21" s="120"/>
    </row>
    <row r="23" ht="18" customHeight="1" spans="2:8">
      <c r="B23" s="119" t="s">
        <v>47</v>
      </c>
      <c r="C23" s="119"/>
      <c r="D23" s="119"/>
      <c r="E23" s="119"/>
      <c r="F23" s="119"/>
      <c r="G23" s="119"/>
      <c r="H23" s="119"/>
    </row>
    <row r="25" ht="18" customHeight="1" spans="2:8">
      <c r="B25" s="120" t="s">
        <v>48</v>
      </c>
      <c r="C25" s="120"/>
      <c r="D25" s="120"/>
      <c r="E25" s="120"/>
      <c r="F25" s="120"/>
      <c r="G25" s="120"/>
      <c r="H25" s="120"/>
    </row>
    <row r="26" ht="18" customHeight="1" spans="2:8">
      <c r="B26" s="120" t="s">
        <v>49</v>
      </c>
      <c r="C26" s="120"/>
      <c r="D26" s="120"/>
      <c r="E26" s="120"/>
      <c r="F26" s="120"/>
      <c r="G26" s="120"/>
      <c r="H26" s="120"/>
    </row>
    <row r="27" ht="18" customHeight="1" spans="2:8">
      <c r="B27" s="121" t="s">
        <v>50</v>
      </c>
      <c r="C27" s="121"/>
      <c r="D27" s="121"/>
      <c r="E27" s="121"/>
      <c r="F27" s="121"/>
      <c r="G27" s="121"/>
      <c r="H27" s="121"/>
    </row>
    <row r="29" ht="18" customHeight="1" spans="2:8">
      <c r="B29" s="119" t="s">
        <v>51</v>
      </c>
      <c r="C29" s="119"/>
      <c r="D29" s="119"/>
      <c r="E29" s="119"/>
      <c r="F29" s="119"/>
      <c r="G29" s="119"/>
      <c r="H29" s="119"/>
    </row>
    <row r="31" ht="18" customHeight="1" spans="2:8">
      <c r="B31" s="120" t="s">
        <v>52</v>
      </c>
      <c r="C31" s="120"/>
      <c r="D31" s="120"/>
      <c r="E31" s="120"/>
      <c r="F31" s="120"/>
      <c r="G31" s="120"/>
      <c r="H31" s="120"/>
    </row>
    <row r="32" ht="18" customHeight="1" spans="2:8">
      <c r="B32" s="120" t="s">
        <v>53</v>
      </c>
      <c r="C32" s="120"/>
      <c r="D32" s="120"/>
      <c r="E32" s="120"/>
      <c r="F32" s="120"/>
      <c r="G32" s="120"/>
      <c r="H32" s="120"/>
    </row>
    <row r="33" ht="18" customHeight="1" spans="1:8">
      <c r="B33" s="120" t="s">
        <v>54</v>
      </c>
      <c r="C33" s="120"/>
      <c r="D33" s="120"/>
      <c r="E33" s="120"/>
      <c r="F33" s="120"/>
      <c r="G33" s="120"/>
      <c r="H33" s="120"/>
    </row>
    <row r="35" ht="19.5" customHeight="1" spans="1:8">
      <c r="A35" s="122" t="s">
        <v>55</v>
      </c>
      <c r="B35" s="122"/>
      <c r="C35" s="122"/>
      <c r="D35" s="122"/>
      <c r="E35" s="122"/>
      <c r="F35" s="122"/>
      <c r="G35" s="122"/>
      <c r="H35" s="122"/>
    </row>
    <row r="36" ht="30" customHeight="1" spans="1:8">
      <c r="A36" s="123" t="s">
        <v>56</v>
      </c>
      <c r="B36" s="123"/>
      <c r="C36" s="123"/>
      <c r="D36" s="123"/>
      <c r="E36" s="123"/>
      <c r="F36" s="123"/>
      <c r="G36" s="123"/>
      <c r="H36" s="123"/>
    </row>
    <row r="37" ht="30" customHeight="1" spans="1:8">
      <c r="A37" s="123" t="s">
        <v>57</v>
      </c>
      <c r="B37" s="123"/>
      <c r="C37" s="123"/>
      <c r="D37" s="123"/>
      <c r="E37" s="123"/>
      <c r="F37" s="123"/>
      <c r="G37" s="123"/>
      <c r="H37" s="123"/>
    </row>
    <row r="38" ht="30" customHeight="1" spans="1:8">
      <c r="A38" s="123" t="s">
        <v>58</v>
      </c>
      <c r="B38" s="123"/>
      <c r="C38" s="123"/>
      <c r="D38" s="123"/>
      <c r="E38" s="123"/>
      <c r="F38" s="123"/>
      <c r="G38" s="123"/>
      <c r="H38" s="123"/>
    </row>
    <row r="39" ht="30" customHeight="1" spans="1:8">
      <c r="A39" s="123" t="s">
        <v>59</v>
      </c>
      <c r="B39" s="123"/>
      <c r="C39" s="123"/>
      <c r="D39" s="123"/>
      <c r="E39" s="123"/>
      <c r="F39" s="123"/>
      <c r="G39" s="123"/>
      <c r="H39" s="123"/>
    </row>
    <row r="40" ht="30" customHeight="1" spans="1:8">
      <c r="A40" s="123" t="s">
        <v>60</v>
      </c>
      <c r="B40" s="123"/>
      <c r="C40" s="123"/>
      <c r="D40" s="123"/>
      <c r="E40" s="123"/>
      <c r="F40" s="123"/>
      <c r="G40" s="123"/>
      <c r="H40" s="123"/>
    </row>
    <row r="41" ht="30" customHeight="1" spans="1:8">
      <c r="A41" s="123" t="s">
        <v>61</v>
      </c>
      <c r="B41" s="123"/>
      <c r="C41" s="123"/>
      <c r="D41" s="123"/>
      <c r="E41" s="123"/>
      <c r="F41" s="123"/>
      <c r="G41" s="123"/>
      <c r="H41" s="123"/>
    </row>
    <row r="43" ht="19.5" customHeight="1" spans="1:8">
      <c r="A43" s="122" t="s">
        <v>62</v>
      </c>
      <c r="B43" s="122"/>
      <c r="C43" s="122"/>
      <c r="D43" s="122"/>
      <c r="E43" s="122"/>
      <c r="F43" s="122"/>
      <c r="G43" s="122"/>
      <c r="H43" s="122"/>
    </row>
    <row r="44" ht="31.5" customHeight="1" spans="1:8">
      <c r="A44" s="123" t="s">
        <v>63</v>
      </c>
      <c r="B44" s="123"/>
      <c r="C44" s="123"/>
      <c r="D44" s="123"/>
      <c r="E44" s="123"/>
      <c r="F44" s="123"/>
      <c r="G44" s="123"/>
      <c r="H44" s="123"/>
    </row>
    <row r="45" ht="31.5" customHeight="1" spans="1:8">
      <c r="A45" s="123" t="s">
        <v>64</v>
      </c>
      <c r="B45" s="123"/>
      <c r="C45" s="123"/>
      <c r="D45" s="123"/>
      <c r="E45" s="123"/>
      <c r="F45" s="123"/>
      <c r="G45" s="123"/>
      <c r="H45" s="123"/>
    </row>
    <row r="46" ht="31.5" customHeight="1" spans="1:8">
      <c r="A46" s="123" t="s">
        <v>65</v>
      </c>
      <c r="B46" s="123"/>
      <c r="C46" s="123"/>
      <c r="D46" s="123"/>
      <c r="E46" s="123"/>
      <c r="F46" s="123"/>
      <c r="G46" s="123"/>
      <c r="H46" s="123"/>
    </row>
    <row r="48" ht="19.5" customHeight="1" spans="1:8">
      <c r="A48" s="124" t="s">
        <v>66</v>
      </c>
      <c r="B48" s="124"/>
      <c r="C48" s="124"/>
      <c r="D48" s="124"/>
      <c r="E48" s="124"/>
      <c r="F48" s="124"/>
      <c r="G48" s="124"/>
      <c r="H48" s="124"/>
    </row>
    <row r="49" ht="33.75" customHeight="1" spans="1:8">
      <c r="A49" s="123" t="s">
        <v>67</v>
      </c>
      <c r="B49" s="123"/>
      <c r="C49" s="123"/>
      <c r="D49" s="123"/>
      <c r="E49" s="123"/>
      <c r="F49" s="123"/>
      <c r="G49" s="123"/>
      <c r="H49" s="123"/>
    </row>
    <row r="50" ht="33.75" customHeight="1" spans="1:8">
      <c r="A50" s="123" t="s">
        <v>68</v>
      </c>
      <c r="B50" s="123"/>
      <c r="C50" s="123"/>
      <c r="D50" s="123"/>
      <c r="E50" s="123"/>
      <c r="F50" s="123"/>
      <c r="G50" s="123"/>
      <c r="H50" s="123"/>
    </row>
  </sheetData>
  <mergeCells count="37">
    <mergeCell ref="A1:H1"/>
    <mergeCell ref="A2:H2"/>
    <mergeCell ref="B4:H4"/>
    <mergeCell ref="B6:H6"/>
    <mergeCell ref="B7:H7"/>
    <mergeCell ref="B8:H8"/>
    <mergeCell ref="B9:H9"/>
    <mergeCell ref="B10:H10"/>
    <mergeCell ref="B12:H12"/>
    <mergeCell ref="B14:H14"/>
    <mergeCell ref="B15:H15"/>
    <mergeCell ref="B16:H16"/>
    <mergeCell ref="B18:H18"/>
    <mergeCell ref="B20:H20"/>
    <mergeCell ref="B21:H21"/>
    <mergeCell ref="B23:H23"/>
    <mergeCell ref="B25:H25"/>
    <mergeCell ref="B26:H26"/>
    <mergeCell ref="B27:H27"/>
    <mergeCell ref="B29:H29"/>
    <mergeCell ref="B31:H31"/>
    <mergeCell ref="B32:H32"/>
    <mergeCell ref="B33:H33"/>
    <mergeCell ref="A35:H35"/>
    <mergeCell ref="A36:H36"/>
    <mergeCell ref="A37:H37"/>
    <mergeCell ref="A38:H38"/>
    <mergeCell ref="A39:H39"/>
    <mergeCell ref="A40:H40"/>
    <mergeCell ref="A41:H41"/>
    <mergeCell ref="A43:H43"/>
    <mergeCell ref="A44:H44"/>
    <mergeCell ref="A45:H45"/>
    <mergeCell ref="A46:H46"/>
    <mergeCell ref="A48:H48"/>
    <mergeCell ref="A49:H49"/>
    <mergeCell ref="A50:H5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F208"/>
  <sheetViews>
    <sheetView showGridLines="0" workbookViewId="0">
      <pane ySplit="3" topLeftCell="A4" activePane="bottomLeft" state="frozen"/>
      <selection/>
      <selection pane="bottomLeft" activeCell="M11" sqref="M11"/>
    </sheetView>
  </sheetViews>
  <sheetFormatPr defaultColWidth="9" defaultRowHeight="13.5"/>
  <cols>
    <col min="1" max="1" width="12" style="3" customWidth="1"/>
    <col min="2" max="2" width="14" style="3" customWidth="1"/>
    <col min="3" max="3" width="15" style="3" customWidth="1"/>
    <col min="4" max="4" width="11" style="3" customWidth="1"/>
    <col min="5" max="6" width="15" style="3" customWidth="1"/>
    <col min="7" max="7" width="22" style="3" customWidth="1"/>
    <col min="8" max="8" width="10" style="3" customWidth="1"/>
    <col min="9" max="9" width="20" style="3" customWidth="1"/>
    <col min="10" max="10" width="2" style="3" customWidth="1"/>
    <col min="13" max="13" width="11" style="3" customWidth="1"/>
    <col min="14" max="14" width="2" style="3" customWidth="1"/>
    <col min="16" max="16" width="12" style="3" customWidth="1"/>
  </cols>
  <sheetData>
    <row r="1" ht="49.5" customHeight="1" spans="1:31">
      <c r="A1" s="35" t="s">
        <v>69</v>
      </c>
      <c r="B1" s="35"/>
      <c r="C1" s="35"/>
      <c r="D1" s="35"/>
      <c r="E1" s="35"/>
      <c r="F1" s="35"/>
      <c r="G1" s="35"/>
      <c r="H1" s="77" t="s">
        <v>70</v>
      </c>
      <c r="I1" s="78"/>
      <c r="P1" s="37">
        <f>IF($F$2="",DATE(1900,1,1),$F$2)</f>
        <v>1</v>
      </c>
    </row>
    <row r="2" ht="25.5" customHeight="1" spans="1:31">
      <c r="A2" s="39" t="s">
        <v>71</v>
      </c>
      <c r="B2" s="40" t="s">
        <v>72</v>
      </c>
      <c r="C2" s="40"/>
      <c r="E2" s="41" t="s">
        <v>73</v>
      </c>
      <c r="F2" s="42"/>
      <c r="G2" s="41" t="s">
        <v>74</v>
      </c>
      <c r="H2" s="42"/>
      <c r="K2" s="80" t="s">
        <v>75</v>
      </c>
      <c r="L2" s="80"/>
      <c r="M2" s="80"/>
      <c r="P2" s="37">
        <f>IF($H$2="",DATE(2999,12,31),$H$2)</f>
        <v>401768</v>
      </c>
    </row>
    <row r="3" ht="19.5" customHeight="1" spans="1:31">
      <c r="A3" s="81" t="s">
        <v>76</v>
      </c>
      <c r="B3" s="81"/>
      <c r="C3" s="81"/>
      <c r="D3" s="81"/>
      <c r="E3" s="81"/>
      <c r="F3" s="81"/>
      <c r="G3" s="81"/>
      <c r="H3" s="81"/>
      <c r="I3" s="81"/>
      <c r="K3" s="49" t="s">
        <v>77</v>
      </c>
      <c r="L3" s="49"/>
      <c r="M3" s="82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1311</v>
      </c>
    </row>
    <row r="4" ht="24" customHeight="1" spans="1:31">
      <c r="A4" s="47" t="s">
        <v>78</v>
      </c>
      <c r="B4" s="47"/>
      <c r="C4" s="47"/>
      <c r="D4" s="47"/>
      <c r="E4" s="47"/>
      <c r="F4" s="47"/>
      <c r="G4" s="83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1311</v>
      </c>
      <c r="H4" s="83"/>
      <c r="I4" s="83"/>
      <c r="K4" s="49" t="s">
        <v>79</v>
      </c>
      <c r="L4" s="49"/>
      <c r="M4" s="82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</row>
    <row r="5" ht="30" customHeight="1" spans="1:31">
      <c r="A5" s="51" t="s">
        <v>80</v>
      </c>
      <c r="B5" s="51" t="s">
        <v>81</v>
      </c>
      <c r="C5" s="51" t="s">
        <v>82</v>
      </c>
      <c r="D5" s="51" t="s">
        <v>83</v>
      </c>
      <c r="E5" s="51" t="s">
        <v>84</v>
      </c>
      <c r="F5" s="51" t="s">
        <v>85</v>
      </c>
      <c r="G5" s="51" t="s">
        <v>86</v>
      </c>
      <c r="H5" s="51" t="s">
        <v>87</v>
      </c>
      <c r="I5" s="51" t="s">
        <v>88</v>
      </c>
      <c r="K5" s="85" t="s">
        <v>89</v>
      </c>
      <c r="L5" s="85"/>
      <c r="M5" s="86">
        <f>ROUND(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)-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),0)</f>
        <v>1311</v>
      </c>
    </row>
    <row r="6" ht="18" customHeight="1" spans="1:31">
      <c r="A6" s="52">
        <f>IF($AE6="","",IF($AE6&lt;=1200,IF(INDEX(对接源_01水果!$B$4:$B$1203,$AE6)=0,"",INDEX(对接源_01水果!$B$4:$B$1203,$AE6)),IF(INDEX(对接源_02物料!$B$4:$B$1203,$AE6-1200)=0,"",INDEX(对接源_02物料!$B$4:$B$1203,$AE6-1200))))</f>
        <v>46273</v>
      </c>
      <c r="B6" s="56" t="str">
        <f>IF($AE6="","",IF($AE6&lt;=1200,IF(INDEX(对接源_01水果!$S$4:$S$1203,$AE6)=0,"",INDEX(对接源_01水果!$S$4:$S$1203,$AE6)),IF(INDEX(对接源_02物料!$S$4:$S$1203,$AE6-1200)=0,"",INDEX(对接源_02物料!$S$4:$S$1203,$AE6-1200))))</f>
        <v>自备一次性筐</v>
      </c>
      <c r="C6" s="53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NO:0000760</v>
      </c>
      <c r="D6" s="54">
        <f>IF($AE6="","",IF($AE6&lt;=1200,IF(INDEX(对接源_01水果!$V$4:$V$1203,$AE6)=0,"",INDEX(对接源_01水果!$V$4:$V$1203,$AE6)),IF(INDEX(对接源_02物料!$V$4:$V$1203,$AE6-1200)=0,"",INDEX(对接源_02物料!$V$4:$V$1203,$AE6-1200))))</f>
        <v>144</v>
      </c>
      <c r="E6" s="56" t="str">
        <f>IF($AE6="","",IF($AE6&lt;=1200,IF(INDEX(对接源_01水果!$C$4:$C$1203,$AE6)=0,"",INDEX(对接源_01水果!$C$4:$C$1203,$AE6)),IF(INDEX(对接源_02物料!$C$4:$C$1203,$AE6-1200)=0,"",INDEX(对接源_02物料!$C$4:$C$1203,$AE6-1200))))</f>
        <v>贾建国</v>
      </c>
      <c r="F6" s="53" t="str">
        <f>IF($AE6="","",IF($AE6&lt;=1200,IF(INDEX(对接源_01水果!$W$4:$W$1203,$AE6)=0,"",INDEX(对接源_01水果!$W$4:$W$1203,$AE6)),IF(INDEX(对接源_02物料!$W$4:$W$1203,$AE6-1200)=0,"",INDEX(对接源_02物料!$W$4:$W$1203,$AE6-1200))))</f>
        <v>豫Q*H5591</v>
      </c>
      <c r="G6" s="56" t="str">
        <f>IF($AE6="","",IF($AE6&lt;=1200,IF(INDEX(对接源_01水果!$D$4:$D$1203,$AE6)=0,"",INDEX(对接源_01水果!$D$4:$D$1203,$AE6)),IF(INDEX(对接源_02物料!$D$4:$D$1203,$AE6-1200)=0,"",INDEX(对接源_02物料!$D$4:$D$1203,$AE6-1200))))</f>
        <v>原料入库</v>
      </c>
      <c r="H6" s="53" t="str">
        <f t="shared" ref="H6:H69" si="0">IF($AE6="","",IF($AE6&lt;=1200,"01水果册","02物料册"))</f>
        <v>01水果册</v>
      </c>
      <c r="I6" s="56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AE6" s="2">
        <f>IFERROR(MATCH(1,_自动清单!$W$4:$W$2403,0),"")</f>
        <v>154</v>
      </c>
    </row>
    <row r="7" ht="18" customHeight="1" spans="1:31">
      <c r="A7" s="87">
        <f>IF($AE7="","",IF($AE7&lt;=1200,IF(INDEX(对接源_01水果!$B$4:$B$1203,$AE7)=0,"",INDEX(对接源_01水果!$B$4:$B$1203,$AE7)),IF(INDEX(对接源_02物料!$B$4:$B$1203,$AE7-1200)=0,"",INDEX(对接源_02物料!$B$4:$B$1203,$AE7-1200))))</f>
        <v>46273</v>
      </c>
      <c r="B7" s="91" t="str">
        <f>IF($AE7="","",IF($AE7&lt;=1200,IF(INDEX(对接源_01水果!$S$4:$S$1203,$AE7)=0,"",INDEX(对接源_01水果!$S$4:$S$1203,$AE7)),IF(INDEX(对接源_02物料!$S$4:$S$1203,$AE7-1200)=0,"",INDEX(对接源_02物料!$S$4:$S$1203,$AE7-1200))))</f>
        <v>自备杂周转筐</v>
      </c>
      <c r="C7" s="88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NO:0000760</v>
      </c>
      <c r="D7" s="89">
        <f>IF($AE7="","",IF($AE7&lt;=1200,IF(INDEX(对接源_01水果!$V$4:$V$1203,$AE7)=0,"",INDEX(对接源_01水果!$V$4:$V$1203,$AE7)),IF(INDEX(对接源_02物料!$V$4:$V$1203,$AE7-1200)=0,"",INDEX(对接源_02物料!$V$4:$V$1203,$AE7-1200))))</f>
        <v>24</v>
      </c>
      <c r="E7" s="91" t="str">
        <f>IF($AE7="","",IF($AE7&lt;=1200,IF(INDEX(对接源_01水果!$C$4:$C$1203,$AE7)=0,"",INDEX(对接源_01水果!$C$4:$C$1203,$AE7)),IF(INDEX(对接源_02物料!$C$4:$C$1203,$AE7-1200)=0,"",INDEX(对接源_02物料!$C$4:$C$1203,$AE7-1200))))</f>
        <v>贾建国</v>
      </c>
      <c r="F7" s="88" t="str">
        <f>IF($AE7="","",IF($AE7&lt;=1200,IF(INDEX(对接源_01水果!$W$4:$W$1203,$AE7)=0,"",INDEX(对接源_01水果!$W$4:$W$1203,$AE7)),IF(INDEX(对接源_02物料!$W$4:$W$1203,$AE7-1200)=0,"",INDEX(对接源_02物料!$W$4:$W$1203,$AE7-1200))))</f>
        <v>豫Q*H5591</v>
      </c>
      <c r="G7" s="91" t="str">
        <f>IF($AE7="","",IF($AE7&lt;=1200,IF(INDEX(对接源_01水果!$D$4:$D$1203,$AE7)=0,"",INDEX(对接源_01水果!$D$4:$D$1203,$AE7)),IF(INDEX(对接源_02物料!$D$4:$D$1203,$AE7-1200)=0,"",INDEX(对接源_02物料!$D$4:$D$1203,$AE7-1200))))</f>
        <v>原料入库</v>
      </c>
      <c r="H7" s="88" t="str">
        <f t="shared" si="0"/>
        <v>01水果册</v>
      </c>
      <c r="I7" s="91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2">
        <f>IFERROR(MATCH(2,_自动清单!$W$4:$W$2403,0),"")</f>
        <v>155</v>
      </c>
    </row>
    <row r="8" ht="18" customHeight="1" spans="1:31">
      <c r="A8" s="52">
        <f>IF($AE8="","",IF($AE8&lt;=1200,IF(INDEX(对接源_01水果!$B$4:$B$1203,$AE8)=0,"",INDEX(对接源_01水果!$B$4:$B$1203,$AE8)),IF(INDEX(对接源_02物料!$B$4:$B$1203,$AE8-1200)=0,"",INDEX(对接源_02物料!$B$4:$B$1203,$AE8-1200))))</f>
        <v>46274</v>
      </c>
      <c r="B8" s="56" t="str">
        <f>IF($AE8="","",IF($AE8&lt;=1200,IF(INDEX(对接源_01水果!$S$4:$S$1203,$AE8)=0,"",INDEX(对接源_01水果!$S$4:$S$1203,$AE8)),IF(INDEX(对接源_02物料!$S$4:$S$1203,$AE8-1200)=0,"",INDEX(对接源_02物料!$S$4:$S$1203,$AE8-1200))))</f>
        <v>自备杂周转筐</v>
      </c>
      <c r="C8" s="53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NO:0000767</v>
      </c>
      <c r="D8" s="54">
        <f>IF($AE8="","",IF($AE8&lt;=1200,IF(INDEX(对接源_01水果!$V$4:$V$1203,$AE8)=0,"",INDEX(对接源_01水果!$V$4:$V$1203,$AE8)),IF(INDEX(对接源_02物料!$V$4:$V$1203,$AE8-1200)=0,"",INDEX(对接源_02物料!$V$4:$V$1203,$AE8-1200))))</f>
        <v>170</v>
      </c>
      <c r="E8" s="56" t="str">
        <f>IF($AE8="","",IF($AE8&lt;=1200,IF(INDEX(对接源_01水果!$C$4:$C$1203,$AE8)=0,"",INDEX(对接源_01水果!$C$4:$C$1203,$AE8)),IF(INDEX(对接源_02物料!$C$4:$C$1203,$AE8-1200)=0,"",INDEX(对接源_02物料!$C$4:$C$1203,$AE8-1200))))</f>
        <v>贾建国</v>
      </c>
      <c r="F8" s="53" t="str">
        <f>IF($AE8="","",IF($AE8&lt;=1200,IF(INDEX(对接源_01水果!$W$4:$W$1203,$AE8)=0,"",INDEX(对接源_01水果!$W$4:$W$1203,$AE8)),IF(INDEX(对接源_02物料!$W$4:$W$1203,$AE8-1200)=0,"",INDEX(对接源_02物料!$W$4:$W$1203,$AE8-1200))))</f>
        <v>豫Q*H5591</v>
      </c>
      <c r="G8" s="56" t="str">
        <f>IF($AE8="","",IF($AE8&lt;=1200,IF(INDEX(对接源_01水果!$D$4:$D$1203,$AE8)=0,"",INDEX(对接源_01水果!$D$4:$D$1203,$AE8)),IF(INDEX(对接源_02物料!$D$4:$D$1203,$AE8-1200)=0,"",INDEX(对接源_02物料!$D$4:$D$1203,$AE8-1200))))</f>
        <v>原料入库</v>
      </c>
      <c r="H8" s="53" t="str">
        <f t="shared" si="0"/>
        <v>01水果册</v>
      </c>
      <c r="I8" s="56" t="str">
        <f>IF($AE8="","",IF($AE8&lt;=1200,IF(INDEX(对接源_01水果!$M$4:$M$1203,$AE8)=0,"",INDEX(对接源_01水果!$M$4:$M$1203,$AE8)),IF(INDEX(对接源_02物料!$M$4:$M$1203,$AE8-1200)=0,"",INDEX(对接源_02物料!$M$4:$M$1203,$AE8-1200))))</f>
        <v>二黄</v>
      </c>
      <c r="AE8" s="2">
        <f>IFERROR(MATCH(3,_自动清单!$W$4:$W$2403,0),"")</f>
        <v>162</v>
      </c>
    </row>
    <row r="9" ht="18" customHeight="1" spans="1:31">
      <c r="A9" s="87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91" t="str">
        <f>IF($AE9="","",IF($AE9&lt;=1200,IF(INDEX(对接源_01水果!$S$4:$S$1203,$AE9)=0,"",INDEX(对接源_01水果!$S$4:$S$1203,$AE9)),IF(INDEX(对接源_02物料!$S$4:$S$1203,$AE9-1200)=0,"",INDEX(对接源_02物料!$S$4:$S$1203,$AE9-1200))))</f>
        <v>自备一次性筐</v>
      </c>
      <c r="C9" s="88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NO:0000767</v>
      </c>
      <c r="D9" s="89">
        <f>IF($AE9="","",IF($AE9&lt;=1200,IF(INDEX(对接源_01水果!$V$4:$V$1203,$AE9)=0,"",INDEX(对接源_01水果!$V$4:$V$1203,$AE9)),IF(INDEX(对接源_02物料!$V$4:$V$1203,$AE9-1200)=0,"",INDEX(对接源_02物料!$V$4:$V$1203,$AE9-1200))))</f>
        <v>28</v>
      </c>
      <c r="E9" s="91" t="str">
        <f>IF($AE9="","",IF($AE9&lt;=1200,IF(INDEX(对接源_01水果!$C$4:$C$1203,$AE9)=0,"",INDEX(对接源_01水果!$C$4:$C$1203,$AE9)),IF(INDEX(对接源_02物料!$C$4:$C$1203,$AE9-1200)=0,"",INDEX(对接源_02物料!$C$4:$C$1203,$AE9-1200))))</f>
        <v>贾建国</v>
      </c>
      <c r="F9" s="88" t="str">
        <f>IF($AE9="","",IF($AE9&lt;=1200,IF(INDEX(对接源_01水果!$W$4:$W$1203,$AE9)=0,"",INDEX(对接源_01水果!$W$4:$W$1203,$AE9)),IF(INDEX(对接源_02物料!$W$4:$W$1203,$AE9-1200)=0,"",INDEX(对接源_02物料!$W$4:$W$1203,$AE9-1200))))</f>
        <v>豫Q*H5591</v>
      </c>
      <c r="G9" s="91" t="str">
        <f>IF($AE9="","",IF($AE9&lt;=1200,IF(INDEX(对接源_01水果!$D$4:$D$1203,$AE9)=0,"",INDEX(对接源_01水果!$D$4:$D$1203,$AE9)),IF(INDEX(对接源_02物料!$D$4:$D$1203,$AE9-1200)=0,"",INDEX(对接源_02物料!$D$4:$D$1203,$AE9-1200))))</f>
        <v>原料入库</v>
      </c>
      <c r="H9" s="88" t="str">
        <f t="shared" si="0"/>
        <v>01水果册</v>
      </c>
      <c r="I9" s="91" t="str">
        <f>IF($AE9="","",IF($AE9&lt;=1200,IF(INDEX(对接源_01水果!$M$4:$M$1203,$AE9)=0,"",INDEX(对接源_01水果!$M$4:$M$1203,$AE9)),IF(INDEX(对接源_02物料!$M$4:$M$1203,$AE9-1200)=0,"",INDEX(对接源_02物料!$M$4:$M$1203,$AE9-1200))))</f>
        <v>二黄</v>
      </c>
      <c r="AE9" s="2">
        <f>IFERROR(MATCH(4,_自动清单!$W$4:$W$2403,0),"")</f>
        <v>163</v>
      </c>
    </row>
    <row r="10" ht="18" customHeight="1" spans="1:31">
      <c r="A10" s="52">
        <f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56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自备一次性筐</v>
      </c>
      <c r="C10" s="53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NO:0000787</v>
      </c>
      <c r="D10" s="54">
        <f>IF($AE10="","",IF($AE10&lt;=1200,IF(INDEX(对接源_01水果!$V$4:$V$1203,$AE10)=0,"",INDEX(对接源_01水果!$V$4:$V$1203,$AE10)),IF(INDEX(对接源_02物料!$V$4:$V$1203,$AE10-1200)=0,"",INDEX(对接源_02物料!$V$4:$V$1203,$AE10-1200))))</f>
        <v>393</v>
      </c>
      <c r="E10" s="56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贾建国</v>
      </c>
      <c r="F10" s="53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豫Q*H5591</v>
      </c>
      <c r="G10" s="56" t="str">
        <f>IF($AE10="","",IF($AE10&lt;=1200,IF(INDEX(对接源_01水果!$D$4:$D$1203,$AE10)=0,"",INDEX(对接源_01水果!$D$4:$D$1203,$AE10)),IF(INDEX(对接源_02物料!$D$4:$D$1203,$AE10-1200)=0,"",INDEX(对接源_02物料!$D$4:$D$1203,$AE10-1200))))</f>
        <v>原料入库</v>
      </c>
      <c r="H10" s="53" t="str">
        <f t="shared" si="0"/>
        <v>01水果册</v>
      </c>
      <c r="I10" s="56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2">
        <f>IFERROR(MATCH(5,_自动清单!$W$4:$W$2403,0),"")</f>
        <v>192</v>
      </c>
    </row>
    <row r="11" ht="18" customHeight="1" spans="1:31">
      <c r="A11" s="87">
        <f>IF($AE11="","",IF($AE11&lt;=1200,IF(INDEX(对接源_01水果!$B$4:$B$1203,$AE11)=0,"",INDEX(对接源_01水果!$B$4:$B$1203,$AE11)),IF(INDEX(对接源_02物料!$B$4:$B$1203,$AE11-1200)=0,"",INDEX(对接源_02物料!$B$4:$B$1203,$AE11-1200))))</f>
        <v>46278</v>
      </c>
      <c r="B11" s="91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自备杂周转筐</v>
      </c>
      <c r="C11" s="88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NO:0000797</v>
      </c>
      <c r="D11" s="89">
        <f>IF($AE11="","",IF($AE11&lt;=1200,IF(INDEX(对接源_01水果!$V$4:$V$1203,$AE11)=0,"",INDEX(对接源_01水果!$V$4:$V$1203,$AE11)),IF(INDEX(对接源_02物料!$V$4:$V$1203,$AE11-1200)=0,"",INDEX(对接源_02物料!$V$4:$V$1203,$AE11-1200))))</f>
        <v>160</v>
      </c>
      <c r="E11" s="91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贾建国</v>
      </c>
      <c r="F11" s="88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豫Q*H5591</v>
      </c>
      <c r="G11" s="91" t="str">
        <f>IF($AE11="","",IF($AE11&lt;=1200,IF(INDEX(对接源_01水果!$D$4:$D$1203,$AE11)=0,"",INDEX(对接源_01水果!$D$4:$D$1203,$AE11)),IF(INDEX(对接源_02物料!$D$4:$D$1203,$AE11-1200)=0,"",INDEX(对接源_02物料!$D$4:$D$1203,$AE11-1200))))</f>
        <v>原料入库</v>
      </c>
      <c r="H11" s="88" t="str">
        <f t="shared" si="0"/>
        <v>01水果册</v>
      </c>
      <c r="I11" s="91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2">
        <f>IFERROR(MATCH(6,_自动清单!$W$4:$W$2403,0),"")</f>
        <v>208</v>
      </c>
    </row>
    <row r="12" ht="18" customHeight="1" spans="1:31">
      <c r="A12" s="52">
        <f>IF($AE12="","",IF($AE12&lt;=1200,IF(INDEX(对接源_01水果!$B$4:$B$1203,$AE12)=0,"",INDEX(对接源_01水果!$B$4:$B$1203,$AE12)),IF(INDEX(对接源_02物料!$B$4:$B$1203,$AE12-1200)=0,"",INDEX(对接源_02物料!$B$4:$B$1203,$AE12-1200))))</f>
        <v>46278</v>
      </c>
      <c r="B12" s="56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自备一次性筐</v>
      </c>
      <c r="C12" s="53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NO:0000797</v>
      </c>
      <c r="D12" s="54">
        <f>IF($AE12="","",IF($AE12&lt;=1200,IF(INDEX(对接源_01水果!$V$4:$V$1203,$AE12)=0,"",INDEX(对接源_01水果!$V$4:$V$1203,$AE12)),IF(INDEX(对接源_02物料!$V$4:$V$1203,$AE12-1200)=0,"",INDEX(对接源_02物料!$V$4:$V$1203,$AE12-1200))))</f>
        <v>267</v>
      </c>
      <c r="E12" s="56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贾建国</v>
      </c>
      <c r="F12" s="53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豫Q*H5591</v>
      </c>
      <c r="G12" s="56" t="str">
        <f>IF($AE12="","",IF($AE12&lt;=1200,IF(INDEX(对接源_01水果!$D$4:$D$1203,$AE12)=0,"",INDEX(对接源_01水果!$D$4:$D$1203,$AE12)),IF(INDEX(对接源_02物料!$D$4:$D$1203,$AE12-1200)=0,"",INDEX(对接源_02物料!$D$4:$D$1203,$AE12-1200))))</f>
        <v>原料入库</v>
      </c>
      <c r="H12" s="53" t="str">
        <f t="shared" si="0"/>
        <v>01水果册</v>
      </c>
      <c r="I12" s="56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2">
        <f>IFERROR(MATCH(7,_自动清单!$W$4:$W$2403,0),"")</f>
        <v>209</v>
      </c>
    </row>
    <row r="13" ht="18" customHeight="1" spans="1:31">
      <c r="A13" s="87">
        <f>IF($AE13="","",IF($AE13&lt;=1200,IF(INDEX(对接源_01水果!$B$4:$B$1203,$AE13)=0,"",INDEX(对接源_01水果!$B$4:$B$1203,$AE13)),IF(INDEX(对接源_02物料!$B$4:$B$1203,$AE13-1200)=0,"",INDEX(对接源_02物料!$B$4:$B$1203,$AE13-1200))))</f>
        <v>46279</v>
      </c>
      <c r="B13" s="91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自备杂周转筐</v>
      </c>
      <c r="C13" s="88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NO:0000859</v>
      </c>
      <c r="D13" s="89">
        <f>IF($AE13="","",IF($AE13&lt;=1200,IF(INDEX(对接源_01水果!$V$4:$V$1203,$AE13)=0,"",INDEX(对接源_01水果!$V$4:$V$1203,$AE13)),IF(INDEX(对接源_02物料!$V$4:$V$1203,$AE13-1200)=0,"",INDEX(对接源_02物料!$V$4:$V$1203,$AE13-1200))))</f>
        <v>125</v>
      </c>
      <c r="E13" s="91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贾建国</v>
      </c>
      <c r="F13" s="88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豫Q*H5591</v>
      </c>
      <c r="G13" s="91" t="str">
        <f>IF($AE13="","",IF($AE13&lt;=1200,IF(INDEX(对接源_01水果!$D$4:$D$1203,$AE13)=0,"",INDEX(对接源_01水果!$D$4:$D$1203,$AE13)),IF(INDEX(对接源_02物料!$D$4:$D$1203,$AE13-1200)=0,"",INDEX(对接源_02物料!$D$4:$D$1203,$AE13-1200))))</f>
        <v>原料入库</v>
      </c>
      <c r="H13" s="88" t="str">
        <f t="shared" si="0"/>
        <v>01水果册</v>
      </c>
      <c r="I13" s="91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2">
        <f>IFERROR(MATCH(8,_自动清单!$W$4:$W$2403,0),"")</f>
        <v>231</v>
      </c>
    </row>
    <row r="14" ht="18" customHeight="1" spans="1:31">
      <c r="A14" s="52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56" t="str">
        <f>IF($AE14="","",IF($AE14&lt;=1200,IF(INDEX(对接源_01水果!$S$4:$S$1203,$AE14)=0,"",INDEX(对接源_01水果!$S$4:$S$1203,$AE14)),IF(INDEX(对接源_02物料!$S$4:$S$1203,$AE14-1200)=0,"",INDEX(对接源_02物料!$S$4:$S$1203,$AE14-1200))))</f>
        <v/>
      </c>
      <c r="C14" s="53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D14" s="54" t="str">
        <f>IF($AE14="","",IF($AE14&lt;=1200,IF(INDEX(对接源_01水果!$V$4:$V$1203,$AE14)=0,"",INDEX(对接源_01水果!$V$4:$V$1203,$AE14)),IF(INDEX(对接源_02物料!$V$4:$V$1203,$AE14-1200)=0,"",INDEX(对接源_02物料!$V$4:$V$1203,$AE14-1200))))</f>
        <v/>
      </c>
      <c r="E14" s="56" t="str">
        <f>IF($AE14="","",IF($AE14&lt;=1200,IF(INDEX(对接源_01水果!$C$4:$C$1203,$AE14)=0,"",INDEX(对接源_01水果!$C$4:$C$1203,$AE14)),IF(INDEX(对接源_02物料!$C$4:$C$1203,$AE14-1200)=0,"",INDEX(对接源_02物料!$C$4:$C$1203,$AE14-1200))))</f>
        <v/>
      </c>
      <c r="F14" s="53" t="str">
        <f>IF($AE14="","",IF($AE14&lt;=1200,IF(INDEX(对接源_01水果!$W$4:$W$1203,$AE14)=0,"",INDEX(对接源_01水果!$W$4:$W$1203,$AE14)),IF(INDEX(对接源_02物料!$W$4:$W$1203,$AE14-1200)=0,"",INDEX(对接源_02物料!$W$4:$W$1203,$AE14-1200))))</f>
        <v/>
      </c>
      <c r="G14" s="56" t="str">
        <f>IF($AE14="","",IF($AE14&lt;=1200,IF(INDEX(对接源_01水果!$D$4:$D$1203,$AE14)=0,"",INDEX(对接源_01水果!$D$4:$D$1203,$AE14)),IF(INDEX(对接源_02物料!$D$4:$D$1203,$AE14-1200)=0,"",INDEX(对接源_02物料!$D$4:$D$1203,$AE14-1200))))</f>
        <v/>
      </c>
      <c r="H14" s="53" t="str">
        <f t="shared" si="0"/>
        <v/>
      </c>
      <c r="I14" s="56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2" t="str">
        <f>IFERROR(MATCH(9,_自动清单!$W$4:$W$2403,0),"")</f>
        <v/>
      </c>
    </row>
    <row r="15" ht="18" customHeight="1" spans="1:31">
      <c r="A15" s="87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91" t="str">
        <f>IF($AE15="","",IF($AE15&lt;=1200,IF(INDEX(对接源_01水果!$S$4:$S$1203,$AE15)=0,"",INDEX(对接源_01水果!$S$4:$S$1203,$AE15)),IF(INDEX(对接源_02物料!$S$4:$S$1203,$AE15-1200)=0,"",INDEX(对接源_02物料!$S$4:$S$1203,$AE15-1200))))</f>
        <v/>
      </c>
      <c r="C15" s="88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D15" s="89" t="str">
        <f>IF($AE15="","",IF($AE15&lt;=1200,IF(INDEX(对接源_01水果!$V$4:$V$1203,$AE15)=0,"",INDEX(对接源_01水果!$V$4:$V$1203,$AE15)),IF(INDEX(对接源_02物料!$V$4:$V$1203,$AE15-1200)=0,"",INDEX(对接源_02物料!$V$4:$V$1203,$AE15-1200))))</f>
        <v/>
      </c>
      <c r="E15" s="91" t="str">
        <f>IF($AE15="","",IF($AE15&lt;=1200,IF(INDEX(对接源_01水果!$C$4:$C$1203,$AE15)=0,"",INDEX(对接源_01水果!$C$4:$C$1203,$AE15)),IF(INDEX(对接源_02物料!$C$4:$C$1203,$AE15-1200)=0,"",INDEX(对接源_02物料!$C$4:$C$1203,$AE15-1200))))</f>
        <v/>
      </c>
      <c r="F15" s="88" t="str">
        <f>IF($AE15="","",IF($AE15&lt;=1200,IF(INDEX(对接源_01水果!$W$4:$W$1203,$AE15)=0,"",INDEX(对接源_01水果!$W$4:$W$1203,$AE15)),IF(INDEX(对接源_02物料!$W$4:$W$1203,$AE15-1200)=0,"",INDEX(对接源_02物料!$W$4:$W$1203,$AE15-1200))))</f>
        <v/>
      </c>
      <c r="G15" s="91" t="str">
        <f>IF($AE15="","",IF($AE15&lt;=1200,IF(INDEX(对接源_01水果!$D$4:$D$1203,$AE15)=0,"",INDEX(对接源_01水果!$D$4:$D$1203,$AE15)),IF(INDEX(对接源_02物料!$D$4:$D$1203,$AE15-1200)=0,"",INDEX(对接源_02物料!$D$4:$D$1203,$AE15-1200))))</f>
        <v/>
      </c>
      <c r="H15" s="88" t="str">
        <f t="shared" si="0"/>
        <v/>
      </c>
      <c r="I15" s="91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2" t="str">
        <f>IFERROR(MATCH(10,_自动清单!$W$4:$W$2403,0),"")</f>
        <v/>
      </c>
    </row>
    <row r="16" ht="18" customHeight="1" spans="1:31">
      <c r="A16" s="52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56" t="str">
        <f>IF($AE16="","",IF($AE16&lt;=1200,IF(INDEX(对接源_01水果!$S$4:$S$1203,$AE16)=0,"",INDEX(对接源_01水果!$S$4:$S$1203,$AE16)),IF(INDEX(对接源_02物料!$S$4:$S$1203,$AE16-1200)=0,"",INDEX(对接源_02物料!$S$4:$S$1203,$AE16-1200))))</f>
        <v/>
      </c>
      <c r="C16" s="53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D16" s="54" t="str">
        <f>IF($AE16="","",IF($AE16&lt;=1200,IF(INDEX(对接源_01水果!$V$4:$V$1203,$AE16)=0,"",INDEX(对接源_01水果!$V$4:$V$1203,$AE16)),IF(INDEX(对接源_02物料!$V$4:$V$1203,$AE16-1200)=0,"",INDEX(对接源_02物料!$V$4:$V$1203,$AE16-1200))))</f>
        <v/>
      </c>
      <c r="E16" s="56" t="str">
        <f>IF($AE16="","",IF($AE16&lt;=1200,IF(INDEX(对接源_01水果!$C$4:$C$1203,$AE16)=0,"",INDEX(对接源_01水果!$C$4:$C$1203,$AE16)),IF(INDEX(对接源_02物料!$C$4:$C$1203,$AE16-1200)=0,"",INDEX(对接源_02物料!$C$4:$C$1203,$AE16-1200))))</f>
        <v/>
      </c>
      <c r="F16" s="53" t="str">
        <f>IF($AE16="","",IF($AE16&lt;=1200,IF(INDEX(对接源_01水果!$W$4:$W$1203,$AE16)=0,"",INDEX(对接源_01水果!$W$4:$W$1203,$AE16)),IF(INDEX(对接源_02物料!$W$4:$W$1203,$AE16-1200)=0,"",INDEX(对接源_02物料!$W$4:$W$1203,$AE16-1200))))</f>
        <v/>
      </c>
      <c r="G16" s="56" t="str">
        <f>IF($AE16="","",IF($AE16&lt;=1200,IF(INDEX(对接源_01水果!$D$4:$D$1203,$AE16)=0,"",INDEX(对接源_01水果!$D$4:$D$1203,$AE16)),IF(INDEX(对接源_02物料!$D$4:$D$1203,$AE16-1200)=0,"",INDEX(对接源_02物料!$D$4:$D$1203,$AE16-1200))))</f>
        <v/>
      </c>
      <c r="H16" s="53" t="str">
        <f t="shared" si="0"/>
        <v/>
      </c>
      <c r="I16" s="56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2" t="str">
        <f>IFERROR(MATCH(11,_自动清单!$W$4:$W$2403,0),"")</f>
        <v/>
      </c>
    </row>
    <row r="17" ht="18" customHeight="1" spans="1:31">
      <c r="A17" s="87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91" t="str">
        <f>IF($AE17="","",IF($AE17&lt;=1200,IF(INDEX(对接源_01水果!$S$4:$S$1203,$AE17)=0,"",INDEX(对接源_01水果!$S$4:$S$1203,$AE17)),IF(INDEX(对接源_02物料!$S$4:$S$1203,$AE17-1200)=0,"",INDEX(对接源_02物料!$S$4:$S$1203,$AE17-1200))))</f>
        <v/>
      </c>
      <c r="C17" s="88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D17" s="89" t="str">
        <f>IF($AE17="","",IF($AE17&lt;=1200,IF(INDEX(对接源_01水果!$V$4:$V$1203,$AE17)=0,"",INDEX(对接源_01水果!$V$4:$V$1203,$AE17)),IF(INDEX(对接源_02物料!$V$4:$V$1203,$AE17-1200)=0,"",INDEX(对接源_02物料!$V$4:$V$1203,$AE17-1200))))</f>
        <v/>
      </c>
      <c r="E17" s="91" t="str">
        <f>IF($AE17="","",IF($AE17&lt;=1200,IF(INDEX(对接源_01水果!$C$4:$C$1203,$AE17)=0,"",INDEX(对接源_01水果!$C$4:$C$1203,$AE17)),IF(INDEX(对接源_02物料!$C$4:$C$1203,$AE17-1200)=0,"",INDEX(对接源_02物料!$C$4:$C$1203,$AE17-1200))))</f>
        <v/>
      </c>
      <c r="F17" s="88" t="str">
        <f>IF($AE17="","",IF($AE17&lt;=1200,IF(INDEX(对接源_01水果!$W$4:$W$1203,$AE17)=0,"",INDEX(对接源_01水果!$W$4:$W$1203,$AE17)),IF(INDEX(对接源_02物料!$W$4:$W$1203,$AE17-1200)=0,"",INDEX(对接源_02物料!$W$4:$W$1203,$AE17-1200))))</f>
        <v/>
      </c>
      <c r="G17" s="91" t="str">
        <f>IF($AE17="","",IF($AE17&lt;=1200,IF(INDEX(对接源_01水果!$D$4:$D$1203,$AE17)=0,"",INDEX(对接源_01水果!$D$4:$D$1203,$AE17)),IF(INDEX(对接源_02物料!$D$4:$D$1203,$AE17-1200)=0,"",INDEX(对接源_02物料!$D$4:$D$1203,$AE17-1200))))</f>
        <v/>
      </c>
      <c r="H17" s="88" t="str">
        <f t="shared" si="0"/>
        <v/>
      </c>
      <c r="I17" s="91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2" t="str">
        <f>IFERROR(MATCH(12,_自动清单!$W$4:$W$2403,0),"")</f>
        <v/>
      </c>
    </row>
    <row r="18" ht="18" customHeight="1" spans="1:31">
      <c r="A18" s="52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56" t="str">
        <f>IF($AE18="","",IF($AE18&lt;=1200,IF(INDEX(对接源_01水果!$S$4:$S$1203,$AE18)=0,"",INDEX(对接源_01水果!$S$4:$S$1203,$AE18)),IF(INDEX(对接源_02物料!$S$4:$S$1203,$AE18-1200)=0,"",INDEX(对接源_02物料!$S$4:$S$1203,$AE18-1200))))</f>
        <v/>
      </c>
      <c r="C18" s="53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D18" s="54" t="str">
        <f>IF($AE18="","",IF($AE18&lt;=1200,IF(INDEX(对接源_01水果!$V$4:$V$1203,$AE18)=0,"",INDEX(对接源_01水果!$V$4:$V$1203,$AE18)),IF(INDEX(对接源_02物料!$V$4:$V$1203,$AE18-1200)=0,"",INDEX(对接源_02物料!$V$4:$V$1203,$AE18-1200))))</f>
        <v/>
      </c>
      <c r="E18" s="56" t="str">
        <f>IF($AE18="","",IF($AE18&lt;=1200,IF(INDEX(对接源_01水果!$C$4:$C$1203,$AE18)=0,"",INDEX(对接源_01水果!$C$4:$C$1203,$AE18)),IF(INDEX(对接源_02物料!$C$4:$C$1203,$AE18-1200)=0,"",INDEX(对接源_02物料!$C$4:$C$1203,$AE18-1200))))</f>
        <v/>
      </c>
      <c r="F18" s="53" t="str">
        <f>IF($AE18="","",IF($AE18&lt;=1200,IF(INDEX(对接源_01水果!$W$4:$W$1203,$AE18)=0,"",INDEX(对接源_01水果!$W$4:$W$1203,$AE18)),IF(INDEX(对接源_02物料!$W$4:$W$1203,$AE18-1200)=0,"",INDEX(对接源_02物料!$W$4:$W$1203,$AE18-1200))))</f>
        <v/>
      </c>
      <c r="G18" s="56" t="str">
        <f>IF($AE18="","",IF($AE18&lt;=1200,IF(INDEX(对接源_01水果!$D$4:$D$1203,$AE18)=0,"",INDEX(对接源_01水果!$D$4:$D$1203,$AE18)),IF(INDEX(对接源_02物料!$D$4:$D$1203,$AE18-1200)=0,"",INDEX(对接源_02物料!$D$4:$D$1203,$AE18-1200))))</f>
        <v/>
      </c>
      <c r="H18" s="53" t="str">
        <f t="shared" si="0"/>
        <v/>
      </c>
      <c r="I18" s="56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2" t="str">
        <f>IFERROR(MATCH(13,_自动清单!$W$4:$W$2403,0),"")</f>
        <v/>
      </c>
    </row>
    <row r="19" ht="18" customHeight="1" spans="1:31">
      <c r="A19" s="87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91" t="str">
        <f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C19" s="88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D19" s="89" t="str">
        <f>IF($AE19="","",IF($AE19&lt;=1200,IF(INDEX(对接源_01水果!$V$4:$V$1203,$AE19)=0,"",INDEX(对接源_01水果!$V$4:$V$1203,$AE19)),IF(INDEX(对接源_02物料!$V$4:$V$1203,$AE19-1200)=0,"",INDEX(对接源_02物料!$V$4:$V$1203,$AE19-1200))))</f>
        <v/>
      </c>
      <c r="E19" s="91" t="str">
        <f>IF($AE19="","",IF($AE19&lt;=1200,IF(INDEX(对接源_01水果!$C$4:$C$1203,$AE19)=0,"",INDEX(对接源_01水果!$C$4:$C$1203,$AE19)),IF(INDEX(对接源_02物料!$C$4:$C$1203,$AE19-1200)=0,"",INDEX(对接源_02物料!$C$4:$C$1203,$AE19-1200))))</f>
        <v/>
      </c>
      <c r="F19" s="88" t="str">
        <f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G19" s="91" t="str">
        <f>IF($AE19="","",IF($AE19&lt;=1200,IF(INDEX(对接源_01水果!$D$4:$D$1203,$AE19)=0,"",INDEX(对接源_01水果!$D$4:$D$1203,$AE19)),IF(INDEX(对接源_02物料!$D$4:$D$1203,$AE19-1200)=0,"",INDEX(对接源_02物料!$D$4:$D$1203,$AE19-1200))))</f>
        <v/>
      </c>
      <c r="H19" s="88" t="str">
        <f t="shared" si="0"/>
        <v/>
      </c>
      <c r="I19" s="91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2" t="str">
        <f>IFERROR(MATCH(14,_自动清单!$W$4:$W$2403,0),"")</f>
        <v/>
      </c>
    </row>
    <row r="20" ht="18" customHeight="1" spans="1:31">
      <c r="A20" s="52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56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C20" s="53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D20" s="54" t="str">
        <f>IF($AE20="","",IF($AE20&lt;=1200,IF(INDEX(对接源_01水果!$V$4:$V$1203,$AE20)=0,"",INDEX(对接源_01水果!$V$4:$V$1203,$AE20)),IF(INDEX(对接源_02物料!$V$4:$V$1203,$AE20-1200)=0,"",INDEX(对接源_02物料!$V$4:$V$1203,$AE20-1200))))</f>
        <v/>
      </c>
      <c r="E20" s="56" t="str">
        <f>IF($AE20="","",IF($AE20&lt;=1200,IF(INDEX(对接源_01水果!$C$4:$C$1203,$AE20)=0,"",INDEX(对接源_01水果!$C$4:$C$1203,$AE20)),IF(INDEX(对接源_02物料!$C$4:$C$1203,$AE20-1200)=0,"",INDEX(对接源_02物料!$C$4:$C$1203,$AE20-1200))))</f>
        <v/>
      </c>
      <c r="F20" s="53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G20" s="56" t="str">
        <f>IF($AE20="","",IF($AE20&lt;=1200,IF(INDEX(对接源_01水果!$D$4:$D$1203,$AE20)=0,"",INDEX(对接源_01水果!$D$4:$D$1203,$AE20)),IF(INDEX(对接源_02物料!$D$4:$D$1203,$AE20-1200)=0,"",INDEX(对接源_02物料!$D$4:$D$1203,$AE20-1200))))</f>
        <v/>
      </c>
      <c r="H20" s="53" t="str">
        <f t="shared" si="0"/>
        <v/>
      </c>
      <c r="I20" s="56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2" t="str">
        <f>IFERROR(MATCH(15,_自动清单!$W$4:$W$2403,0),"")</f>
        <v/>
      </c>
    </row>
    <row r="21" ht="18" customHeight="1" spans="1:31">
      <c r="A21" s="87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91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C21" s="88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D21" s="89" t="str">
        <f>IF($AE21="","",IF($AE21&lt;=1200,IF(INDEX(对接源_01水果!$V$4:$V$1203,$AE21)=0,"",INDEX(对接源_01水果!$V$4:$V$1203,$AE21)),IF(INDEX(对接源_02物料!$V$4:$V$1203,$AE21-1200)=0,"",INDEX(对接源_02物料!$V$4:$V$1203,$AE21-1200))))</f>
        <v/>
      </c>
      <c r="E21" s="91" t="str">
        <f>IF($AE21="","",IF($AE21&lt;=1200,IF(INDEX(对接源_01水果!$C$4:$C$1203,$AE21)=0,"",INDEX(对接源_01水果!$C$4:$C$1203,$AE21)),IF(INDEX(对接源_02物料!$C$4:$C$1203,$AE21-1200)=0,"",INDEX(对接源_02物料!$C$4:$C$1203,$AE21-1200))))</f>
        <v/>
      </c>
      <c r="F21" s="88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G21" s="91" t="str">
        <f>IF($AE21="","",IF($AE21&lt;=1200,IF(INDEX(对接源_01水果!$D$4:$D$1203,$AE21)=0,"",INDEX(对接源_01水果!$D$4:$D$1203,$AE21)),IF(INDEX(对接源_02物料!$D$4:$D$1203,$AE21-1200)=0,"",INDEX(对接源_02物料!$D$4:$D$1203,$AE21-1200))))</f>
        <v/>
      </c>
      <c r="H21" s="88" t="str">
        <f t="shared" si="0"/>
        <v/>
      </c>
      <c r="I21" s="91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2" t="str">
        <f>IFERROR(MATCH(16,_自动清单!$W$4:$W$2403,0),"")</f>
        <v/>
      </c>
    </row>
    <row r="22" ht="18" customHeight="1" spans="1:31">
      <c r="A22" s="52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56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C22" s="53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D22" s="54" t="str">
        <f>IF($AE22="","",IF($AE22&lt;=1200,IF(INDEX(对接源_01水果!$V$4:$V$1203,$AE22)=0,"",INDEX(对接源_01水果!$V$4:$V$1203,$AE22)),IF(INDEX(对接源_02物料!$V$4:$V$1203,$AE22-1200)=0,"",INDEX(对接源_02物料!$V$4:$V$1203,$AE22-1200))))</f>
        <v/>
      </c>
      <c r="E22" s="56" t="str">
        <f>IF($AE22="","",IF($AE22&lt;=1200,IF(INDEX(对接源_01水果!$C$4:$C$1203,$AE22)=0,"",INDEX(对接源_01水果!$C$4:$C$1203,$AE22)),IF(INDEX(对接源_02物料!$C$4:$C$1203,$AE22-1200)=0,"",INDEX(对接源_02物料!$C$4:$C$1203,$AE22-1200))))</f>
        <v/>
      </c>
      <c r="F22" s="53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G22" s="56" t="str">
        <f>IF($AE22="","",IF($AE22&lt;=1200,IF(INDEX(对接源_01水果!$D$4:$D$1203,$AE22)=0,"",INDEX(对接源_01水果!$D$4:$D$1203,$AE22)),IF(INDEX(对接源_02物料!$D$4:$D$1203,$AE22-1200)=0,"",INDEX(对接源_02物料!$D$4:$D$1203,$AE22-1200))))</f>
        <v/>
      </c>
      <c r="H22" s="53" t="str">
        <f t="shared" si="0"/>
        <v/>
      </c>
      <c r="I22" s="56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2" t="str">
        <f>IFERROR(MATCH(17,_自动清单!$W$4:$W$2403,0),"")</f>
        <v/>
      </c>
    </row>
    <row r="23" ht="18" customHeight="1" spans="1:31">
      <c r="A23" s="87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91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C23" s="88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D23" s="89" t="str">
        <f>IF($AE23="","",IF($AE23&lt;=1200,IF(INDEX(对接源_01水果!$V$4:$V$1203,$AE23)=0,"",INDEX(对接源_01水果!$V$4:$V$1203,$AE23)),IF(INDEX(对接源_02物料!$V$4:$V$1203,$AE23-1200)=0,"",INDEX(对接源_02物料!$V$4:$V$1203,$AE23-1200))))</f>
        <v/>
      </c>
      <c r="E23" s="91" t="str">
        <f>IF($AE23="","",IF($AE23&lt;=1200,IF(INDEX(对接源_01水果!$C$4:$C$1203,$AE23)=0,"",INDEX(对接源_01水果!$C$4:$C$1203,$AE23)),IF(INDEX(对接源_02物料!$C$4:$C$1203,$AE23-1200)=0,"",INDEX(对接源_02物料!$C$4:$C$1203,$AE23-1200))))</f>
        <v/>
      </c>
      <c r="F23" s="88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G23" s="91" t="str">
        <f>IF($AE23="","",IF($AE23&lt;=1200,IF(INDEX(对接源_01水果!$D$4:$D$1203,$AE23)=0,"",INDEX(对接源_01水果!$D$4:$D$1203,$AE23)),IF(INDEX(对接源_02物料!$D$4:$D$1203,$AE23-1200)=0,"",INDEX(对接源_02物料!$D$4:$D$1203,$AE23-1200))))</f>
        <v/>
      </c>
      <c r="H23" s="88" t="str">
        <f t="shared" si="0"/>
        <v/>
      </c>
      <c r="I23" s="91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2" t="str">
        <f>IFERROR(MATCH(18,_自动清单!$W$4:$W$2403,0),"")</f>
        <v/>
      </c>
    </row>
    <row r="24" ht="18" customHeight="1" spans="1:31">
      <c r="A24" s="52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56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C24" s="53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D24" s="54" t="str">
        <f>IF($AE24="","",IF($AE24&lt;=1200,IF(INDEX(对接源_01水果!$V$4:$V$1203,$AE24)=0,"",INDEX(对接源_01水果!$V$4:$V$1203,$AE24)),IF(INDEX(对接源_02物料!$V$4:$V$1203,$AE24-1200)=0,"",INDEX(对接源_02物料!$V$4:$V$1203,$AE24-1200))))</f>
        <v/>
      </c>
      <c r="E24" s="56" t="str">
        <f>IF($AE24="","",IF($AE24&lt;=1200,IF(INDEX(对接源_01水果!$C$4:$C$1203,$AE24)=0,"",INDEX(对接源_01水果!$C$4:$C$1203,$AE24)),IF(INDEX(对接源_02物料!$C$4:$C$1203,$AE24-1200)=0,"",INDEX(对接源_02物料!$C$4:$C$1203,$AE24-1200))))</f>
        <v/>
      </c>
      <c r="F24" s="53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G24" s="56" t="str">
        <f>IF($AE24="","",IF($AE24&lt;=1200,IF(INDEX(对接源_01水果!$D$4:$D$1203,$AE24)=0,"",INDEX(对接源_01水果!$D$4:$D$1203,$AE24)),IF(INDEX(对接源_02物料!$D$4:$D$1203,$AE24-1200)=0,"",INDEX(对接源_02物料!$D$4:$D$1203,$AE24-1200))))</f>
        <v/>
      </c>
      <c r="H24" s="53" t="str">
        <f t="shared" si="0"/>
        <v/>
      </c>
      <c r="I24" s="56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2" t="str">
        <f>IFERROR(MATCH(19,_自动清单!$W$4:$W$2403,0),"")</f>
        <v/>
      </c>
    </row>
    <row r="25" ht="18" customHeight="1" spans="1:31">
      <c r="A25" s="87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91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C25" s="88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D25" s="89" t="str">
        <f>IF($AE25="","",IF($AE25&lt;=1200,IF(INDEX(对接源_01水果!$V$4:$V$1203,$AE25)=0,"",INDEX(对接源_01水果!$V$4:$V$1203,$AE25)),IF(INDEX(对接源_02物料!$V$4:$V$1203,$AE25-1200)=0,"",INDEX(对接源_02物料!$V$4:$V$1203,$AE25-1200))))</f>
        <v/>
      </c>
      <c r="E25" s="91" t="str">
        <f>IF($AE25="","",IF($AE25&lt;=1200,IF(INDEX(对接源_01水果!$C$4:$C$1203,$AE25)=0,"",INDEX(对接源_01水果!$C$4:$C$1203,$AE25)),IF(INDEX(对接源_02物料!$C$4:$C$1203,$AE25-1200)=0,"",INDEX(对接源_02物料!$C$4:$C$1203,$AE25-1200))))</f>
        <v/>
      </c>
      <c r="F25" s="88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G25" s="91" t="str">
        <f>IF($AE25="","",IF($AE25&lt;=1200,IF(INDEX(对接源_01水果!$D$4:$D$1203,$AE25)=0,"",INDEX(对接源_01水果!$D$4:$D$1203,$AE25)),IF(INDEX(对接源_02物料!$D$4:$D$1203,$AE25-1200)=0,"",INDEX(对接源_02物料!$D$4:$D$1203,$AE25-1200))))</f>
        <v/>
      </c>
      <c r="H25" s="88" t="str">
        <f t="shared" si="0"/>
        <v/>
      </c>
      <c r="I25" s="91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2" t="str">
        <f>IFERROR(MATCH(20,_自动清单!$W$4:$W$2403,0),"")</f>
        <v/>
      </c>
    </row>
    <row r="26" ht="18" customHeight="1" spans="1:31">
      <c r="A26" s="52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56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C26" s="53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D26" s="54" t="str">
        <f>IF($AE26="","",IF($AE26&lt;=1200,IF(INDEX(对接源_01水果!$V$4:$V$1203,$AE26)=0,"",INDEX(对接源_01水果!$V$4:$V$1203,$AE26)),IF(INDEX(对接源_02物料!$V$4:$V$1203,$AE26-1200)=0,"",INDEX(对接源_02物料!$V$4:$V$1203,$AE26-1200))))</f>
        <v/>
      </c>
      <c r="E26" s="56" t="str">
        <f>IF($AE26="","",IF($AE26&lt;=1200,IF(INDEX(对接源_01水果!$C$4:$C$1203,$AE26)=0,"",INDEX(对接源_01水果!$C$4:$C$1203,$AE26)),IF(INDEX(对接源_02物料!$C$4:$C$1203,$AE26-1200)=0,"",INDEX(对接源_02物料!$C$4:$C$1203,$AE26-1200))))</f>
        <v/>
      </c>
      <c r="F26" s="53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G26" s="56" t="str">
        <f>IF($AE26="","",IF($AE26&lt;=1200,IF(INDEX(对接源_01水果!$D$4:$D$1203,$AE26)=0,"",INDEX(对接源_01水果!$D$4:$D$1203,$AE26)),IF(INDEX(对接源_02物料!$D$4:$D$1203,$AE26-1200)=0,"",INDEX(对接源_02物料!$D$4:$D$1203,$AE26-1200))))</f>
        <v/>
      </c>
      <c r="H26" s="53" t="str">
        <f t="shared" si="0"/>
        <v/>
      </c>
      <c r="I26" s="56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2" t="str">
        <f>IFERROR(MATCH(21,_自动清单!$W$4:$W$2403,0),"")</f>
        <v/>
      </c>
    </row>
    <row r="27" ht="18" customHeight="1" spans="1:31">
      <c r="A27" s="87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91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C27" s="88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D27" s="89" t="str">
        <f>IF($AE27="","",IF($AE27&lt;=1200,IF(INDEX(对接源_01水果!$V$4:$V$1203,$AE27)=0,"",INDEX(对接源_01水果!$V$4:$V$1203,$AE27)),IF(INDEX(对接源_02物料!$V$4:$V$1203,$AE27-1200)=0,"",INDEX(对接源_02物料!$V$4:$V$1203,$AE27-1200))))</f>
        <v/>
      </c>
      <c r="E27" s="91" t="str">
        <f>IF($AE27="","",IF($AE27&lt;=1200,IF(INDEX(对接源_01水果!$C$4:$C$1203,$AE27)=0,"",INDEX(对接源_01水果!$C$4:$C$1203,$AE27)),IF(INDEX(对接源_02物料!$C$4:$C$1203,$AE27-1200)=0,"",INDEX(对接源_02物料!$C$4:$C$1203,$AE27-1200))))</f>
        <v/>
      </c>
      <c r="F27" s="88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G27" s="91" t="str">
        <f>IF($AE27="","",IF($AE27&lt;=1200,IF(INDEX(对接源_01水果!$D$4:$D$1203,$AE27)=0,"",INDEX(对接源_01水果!$D$4:$D$1203,$AE27)),IF(INDEX(对接源_02物料!$D$4:$D$1203,$AE27-1200)=0,"",INDEX(对接源_02物料!$D$4:$D$1203,$AE27-1200))))</f>
        <v/>
      </c>
      <c r="H27" s="88" t="str">
        <f t="shared" si="0"/>
        <v/>
      </c>
      <c r="I27" s="91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2" t="str">
        <f>IFERROR(MATCH(22,_自动清单!$W$4:$W$2403,0),"")</f>
        <v/>
      </c>
    </row>
    <row r="28" ht="18" customHeight="1" spans="1:31">
      <c r="A28" s="52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56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C28" s="53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D28" s="54" t="str">
        <f>IF($AE28="","",IF($AE28&lt;=1200,IF(INDEX(对接源_01水果!$V$4:$V$1203,$AE28)=0,"",INDEX(对接源_01水果!$V$4:$V$1203,$AE28)),IF(INDEX(对接源_02物料!$V$4:$V$1203,$AE28-1200)=0,"",INDEX(对接源_02物料!$V$4:$V$1203,$AE28-1200))))</f>
        <v/>
      </c>
      <c r="E28" s="56" t="str">
        <f>IF($AE28="","",IF($AE28&lt;=1200,IF(INDEX(对接源_01水果!$C$4:$C$1203,$AE28)=0,"",INDEX(对接源_01水果!$C$4:$C$1203,$AE28)),IF(INDEX(对接源_02物料!$C$4:$C$1203,$AE28-1200)=0,"",INDEX(对接源_02物料!$C$4:$C$1203,$AE28-1200))))</f>
        <v/>
      </c>
      <c r="F28" s="53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G28" s="56" t="str">
        <f>IF($AE28="","",IF($AE28&lt;=1200,IF(INDEX(对接源_01水果!$D$4:$D$1203,$AE28)=0,"",INDEX(对接源_01水果!$D$4:$D$1203,$AE28)),IF(INDEX(对接源_02物料!$D$4:$D$1203,$AE28-1200)=0,"",INDEX(对接源_02物料!$D$4:$D$1203,$AE28-1200))))</f>
        <v/>
      </c>
      <c r="H28" s="53" t="str">
        <f t="shared" si="0"/>
        <v/>
      </c>
      <c r="I28" s="56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2" t="str">
        <f>IFERROR(MATCH(23,_自动清单!$W$4:$W$2403,0),"")</f>
        <v/>
      </c>
    </row>
    <row r="29" ht="18" customHeight="1" spans="1:31">
      <c r="A29" s="87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91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C29" s="88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D29" s="89" t="str">
        <f>IF($AE29="","",IF($AE29&lt;=1200,IF(INDEX(对接源_01水果!$V$4:$V$1203,$AE29)=0,"",INDEX(对接源_01水果!$V$4:$V$1203,$AE29)),IF(INDEX(对接源_02物料!$V$4:$V$1203,$AE29-1200)=0,"",INDEX(对接源_02物料!$V$4:$V$1203,$AE29-1200))))</f>
        <v/>
      </c>
      <c r="E29" s="91" t="str">
        <f>IF($AE29="","",IF($AE29&lt;=1200,IF(INDEX(对接源_01水果!$C$4:$C$1203,$AE29)=0,"",INDEX(对接源_01水果!$C$4:$C$1203,$AE29)),IF(INDEX(对接源_02物料!$C$4:$C$1203,$AE29-1200)=0,"",INDEX(对接源_02物料!$C$4:$C$1203,$AE29-1200))))</f>
        <v/>
      </c>
      <c r="F29" s="88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G29" s="91" t="str">
        <f>IF($AE29="","",IF($AE29&lt;=1200,IF(INDEX(对接源_01水果!$D$4:$D$1203,$AE29)=0,"",INDEX(对接源_01水果!$D$4:$D$1203,$AE29)),IF(INDEX(对接源_02物料!$D$4:$D$1203,$AE29-1200)=0,"",INDEX(对接源_02物料!$D$4:$D$1203,$AE29-1200))))</f>
        <v/>
      </c>
      <c r="H29" s="88" t="str">
        <f t="shared" si="0"/>
        <v/>
      </c>
      <c r="I29" s="91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2" t="str">
        <f>IFERROR(MATCH(24,_自动清单!$W$4:$W$2403,0),"")</f>
        <v/>
      </c>
    </row>
    <row r="30" ht="18" customHeight="1" spans="1:31">
      <c r="A30" s="52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56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C30" s="53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D30" s="54" t="str">
        <f>IF($AE30="","",IF($AE30&lt;=1200,IF(INDEX(对接源_01水果!$V$4:$V$1203,$AE30)=0,"",INDEX(对接源_01水果!$V$4:$V$1203,$AE30)),IF(INDEX(对接源_02物料!$V$4:$V$1203,$AE30-1200)=0,"",INDEX(对接源_02物料!$V$4:$V$1203,$AE30-1200))))</f>
        <v/>
      </c>
      <c r="E30" s="56" t="str">
        <f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F30" s="53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G30" s="56" t="str">
        <f>IF($AE30="","",IF($AE30&lt;=1200,IF(INDEX(对接源_01水果!$D$4:$D$1203,$AE30)=0,"",INDEX(对接源_01水果!$D$4:$D$1203,$AE30)),IF(INDEX(对接源_02物料!$D$4:$D$1203,$AE30-1200)=0,"",INDEX(对接源_02物料!$D$4:$D$1203,$AE30-1200))))</f>
        <v/>
      </c>
      <c r="H30" s="53" t="str">
        <f t="shared" si="0"/>
        <v/>
      </c>
      <c r="I30" s="56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2" t="str">
        <f>IFERROR(MATCH(25,_自动清单!$W$4:$W$2403,0),"")</f>
        <v/>
      </c>
    </row>
    <row r="31" ht="18" customHeight="1" spans="1:31">
      <c r="A31" s="87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91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C31" s="88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D31" s="89" t="str">
        <f>IF($AE31="","",IF($AE31&lt;=1200,IF(INDEX(对接源_01水果!$V$4:$V$1203,$AE31)=0,"",INDEX(对接源_01水果!$V$4:$V$1203,$AE31)),IF(INDEX(对接源_02物料!$V$4:$V$1203,$AE31-1200)=0,"",INDEX(对接源_02物料!$V$4:$V$1203,$AE31-1200))))</f>
        <v/>
      </c>
      <c r="E31" s="91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F31" s="88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G31" s="91" t="str">
        <f>IF($AE31="","",IF($AE31&lt;=1200,IF(INDEX(对接源_01水果!$D$4:$D$1203,$AE31)=0,"",INDEX(对接源_01水果!$D$4:$D$1203,$AE31)),IF(INDEX(对接源_02物料!$D$4:$D$1203,$AE31-1200)=0,"",INDEX(对接源_02物料!$D$4:$D$1203,$AE31-1200))))</f>
        <v/>
      </c>
      <c r="H31" s="88" t="str">
        <f t="shared" si="0"/>
        <v/>
      </c>
      <c r="I31" s="91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2" t="str">
        <f>IFERROR(MATCH(26,_自动清单!$W$4:$W$2403,0),"")</f>
        <v/>
      </c>
    </row>
    <row r="32" ht="18" customHeight="1" spans="1:31">
      <c r="A32" s="52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6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C32" s="53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D32" s="54" t="str">
        <f>IF($AE32="","",IF($AE32&lt;=1200,IF(INDEX(对接源_01水果!$V$4:$V$1203,$AE32)=0,"",INDEX(对接源_01水果!$V$4:$V$1203,$AE32)),IF(INDEX(对接源_02物料!$V$4:$V$1203,$AE32-1200)=0,"",INDEX(对接源_02物料!$V$4:$V$1203,$AE32-1200))))</f>
        <v/>
      </c>
      <c r="E32" s="56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F32" s="53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G32" s="56" t="str">
        <f>IF($AE32="","",IF($AE32&lt;=1200,IF(INDEX(对接源_01水果!$D$4:$D$1203,$AE32)=0,"",INDEX(对接源_01水果!$D$4:$D$1203,$AE32)),IF(INDEX(对接源_02物料!$D$4:$D$1203,$AE32-1200)=0,"",INDEX(对接源_02物料!$D$4:$D$1203,$AE32-1200))))</f>
        <v/>
      </c>
      <c r="H32" s="53" t="str">
        <f t="shared" si="0"/>
        <v/>
      </c>
      <c r="I32" s="56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2" t="str">
        <f>IFERROR(MATCH(27,_自动清单!$W$4:$W$2403,0),"")</f>
        <v/>
      </c>
    </row>
    <row r="33" ht="18" customHeight="1" spans="1:31">
      <c r="A33" s="87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91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C33" s="88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D33" s="89" t="str">
        <f>IF($AE33="","",IF($AE33&lt;=1200,IF(INDEX(对接源_01水果!$V$4:$V$1203,$AE33)=0,"",INDEX(对接源_01水果!$V$4:$V$1203,$AE33)),IF(INDEX(对接源_02物料!$V$4:$V$1203,$AE33-1200)=0,"",INDEX(对接源_02物料!$V$4:$V$1203,$AE33-1200))))</f>
        <v/>
      </c>
      <c r="E33" s="91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F33" s="88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G33" s="91" t="str">
        <f>IF($AE33="","",IF($AE33&lt;=1200,IF(INDEX(对接源_01水果!$D$4:$D$1203,$AE33)=0,"",INDEX(对接源_01水果!$D$4:$D$1203,$AE33)),IF(INDEX(对接源_02物料!$D$4:$D$1203,$AE33-1200)=0,"",INDEX(对接源_02物料!$D$4:$D$1203,$AE33-1200))))</f>
        <v/>
      </c>
      <c r="H33" s="88" t="str">
        <f t="shared" si="0"/>
        <v/>
      </c>
      <c r="I33" s="91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2" t="str">
        <f>IFERROR(MATCH(28,_自动清单!$W$4:$W$2403,0),"")</f>
        <v/>
      </c>
    </row>
    <row r="34" ht="18" customHeight="1" spans="1:31">
      <c r="A34" s="52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6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C34" s="53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D34" s="54" t="str">
        <f>IF($AE34="","",IF($AE34&lt;=1200,IF(INDEX(对接源_01水果!$V$4:$V$1203,$AE34)=0,"",INDEX(对接源_01水果!$V$4:$V$1203,$AE34)),IF(INDEX(对接源_02物料!$V$4:$V$1203,$AE34-1200)=0,"",INDEX(对接源_02物料!$V$4:$V$1203,$AE34-1200))))</f>
        <v/>
      </c>
      <c r="E34" s="56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F34" s="53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G34" s="56" t="str">
        <f>IF($AE34="","",IF($AE34&lt;=1200,IF(INDEX(对接源_01水果!$D$4:$D$1203,$AE34)=0,"",INDEX(对接源_01水果!$D$4:$D$1203,$AE34)),IF(INDEX(对接源_02物料!$D$4:$D$1203,$AE34-1200)=0,"",INDEX(对接源_02物料!$D$4:$D$1203,$AE34-1200))))</f>
        <v/>
      </c>
      <c r="H34" s="53" t="str">
        <f t="shared" si="0"/>
        <v/>
      </c>
      <c r="I34" s="56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2" t="str">
        <f>IFERROR(MATCH(29,_自动清单!$W$4:$W$2403,0),"")</f>
        <v/>
      </c>
    </row>
    <row r="35" ht="18" customHeight="1" spans="1:31">
      <c r="A35" s="87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91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C35" s="88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D35" s="89" t="str">
        <f>IF($AE35="","",IF($AE35&lt;=1200,IF(INDEX(对接源_01水果!$V$4:$V$1203,$AE35)=0,"",INDEX(对接源_01水果!$V$4:$V$1203,$AE35)),IF(INDEX(对接源_02物料!$V$4:$V$1203,$AE35-1200)=0,"",INDEX(对接源_02物料!$V$4:$V$1203,$AE35-1200))))</f>
        <v/>
      </c>
      <c r="E35" s="91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F35" s="88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G35" s="91" t="str">
        <f>IF($AE35="","",IF($AE35&lt;=1200,IF(INDEX(对接源_01水果!$D$4:$D$1203,$AE35)=0,"",INDEX(对接源_01水果!$D$4:$D$1203,$AE35)),IF(INDEX(对接源_02物料!$D$4:$D$1203,$AE35-1200)=0,"",INDEX(对接源_02物料!$D$4:$D$1203,$AE35-1200))))</f>
        <v/>
      </c>
      <c r="H35" s="88" t="str">
        <f t="shared" si="0"/>
        <v/>
      </c>
      <c r="I35" s="91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2" t="str">
        <f>IFERROR(MATCH(30,_自动清单!$W$4:$W$2403,0),"")</f>
        <v/>
      </c>
    </row>
    <row r="36" ht="18" customHeight="1" spans="1:31">
      <c r="A36" s="52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56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C36" s="53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D36" s="54" t="str">
        <f>IF($AE36="","",IF($AE36&lt;=1200,IF(INDEX(对接源_01水果!$V$4:$V$1203,$AE36)=0,"",INDEX(对接源_01水果!$V$4:$V$1203,$AE36)),IF(INDEX(对接源_02物料!$V$4:$V$1203,$AE36-1200)=0,"",INDEX(对接源_02物料!$V$4:$V$1203,$AE36-1200))))</f>
        <v/>
      </c>
      <c r="E36" s="56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F36" s="53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G36" s="56" t="str">
        <f>IF($AE36="","",IF($AE36&lt;=1200,IF(INDEX(对接源_01水果!$D$4:$D$1203,$AE36)=0,"",INDEX(对接源_01水果!$D$4:$D$1203,$AE36)),IF(INDEX(对接源_02物料!$D$4:$D$1203,$AE36-1200)=0,"",INDEX(对接源_02物料!$D$4:$D$1203,$AE36-1200))))</f>
        <v/>
      </c>
      <c r="H36" s="53" t="str">
        <f t="shared" si="0"/>
        <v/>
      </c>
      <c r="I36" s="56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2" t="str">
        <f>IFERROR(MATCH(31,_自动清单!$W$4:$W$2403,0),"")</f>
        <v/>
      </c>
    </row>
    <row r="37" ht="18" customHeight="1" spans="1:31">
      <c r="A37" s="87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91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C37" s="88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D37" s="89" t="str">
        <f>IF($AE37="","",IF($AE37&lt;=1200,IF(INDEX(对接源_01水果!$V$4:$V$1203,$AE37)=0,"",INDEX(对接源_01水果!$V$4:$V$1203,$AE37)),IF(INDEX(对接源_02物料!$V$4:$V$1203,$AE37-1200)=0,"",INDEX(对接源_02物料!$V$4:$V$1203,$AE37-1200))))</f>
        <v/>
      </c>
      <c r="E37" s="91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F37" s="88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G37" s="91" t="str">
        <f>IF($AE37="","",IF($AE37&lt;=1200,IF(INDEX(对接源_01水果!$D$4:$D$1203,$AE37)=0,"",INDEX(对接源_01水果!$D$4:$D$1203,$AE37)),IF(INDEX(对接源_02物料!$D$4:$D$1203,$AE37-1200)=0,"",INDEX(对接源_02物料!$D$4:$D$1203,$AE37-1200))))</f>
        <v/>
      </c>
      <c r="H37" s="88" t="str">
        <f t="shared" si="0"/>
        <v/>
      </c>
      <c r="I37" s="91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2" t="str">
        <f>IFERROR(MATCH(32,_自动清单!$W$4:$W$2403,0),"")</f>
        <v/>
      </c>
    </row>
    <row r="38" ht="18" customHeight="1" spans="1:31">
      <c r="A38" s="52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6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C38" s="53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D38" s="54" t="str">
        <f>IF($AE38="","",IF($AE38&lt;=1200,IF(INDEX(对接源_01水果!$V$4:$V$1203,$AE38)=0,"",INDEX(对接源_01水果!$V$4:$V$1203,$AE38)),IF(INDEX(对接源_02物料!$V$4:$V$1203,$AE38-1200)=0,"",INDEX(对接源_02物料!$V$4:$V$1203,$AE38-1200))))</f>
        <v/>
      </c>
      <c r="E38" s="56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F38" s="53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G38" s="56" t="str">
        <f>IF($AE38="","",IF($AE38&lt;=1200,IF(INDEX(对接源_01水果!$D$4:$D$1203,$AE38)=0,"",INDEX(对接源_01水果!$D$4:$D$1203,$AE38)),IF(INDEX(对接源_02物料!$D$4:$D$1203,$AE38-1200)=0,"",INDEX(对接源_02物料!$D$4:$D$1203,$AE38-1200))))</f>
        <v/>
      </c>
      <c r="H38" s="53" t="str">
        <f t="shared" si="0"/>
        <v/>
      </c>
      <c r="I38" s="56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2" t="str">
        <f>IFERROR(MATCH(33,_自动清单!$W$4:$W$2403,0),"")</f>
        <v/>
      </c>
    </row>
    <row r="39" ht="18" customHeight="1" spans="1:31">
      <c r="A39" s="87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91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C39" s="88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D39" s="89" t="str">
        <f>IF($AE39="","",IF($AE39&lt;=1200,IF(INDEX(对接源_01水果!$V$4:$V$1203,$AE39)=0,"",INDEX(对接源_01水果!$V$4:$V$1203,$AE39)),IF(INDEX(对接源_02物料!$V$4:$V$1203,$AE39-1200)=0,"",INDEX(对接源_02物料!$V$4:$V$1203,$AE39-1200))))</f>
        <v/>
      </c>
      <c r="E39" s="91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F39" s="88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G39" s="91" t="str">
        <f>IF($AE39="","",IF($AE39&lt;=1200,IF(INDEX(对接源_01水果!$D$4:$D$1203,$AE39)=0,"",INDEX(对接源_01水果!$D$4:$D$1203,$AE39)),IF(INDEX(对接源_02物料!$D$4:$D$1203,$AE39-1200)=0,"",INDEX(对接源_02物料!$D$4:$D$1203,$AE39-1200))))</f>
        <v/>
      </c>
      <c r="H39" s="88" t="str">
        <f t="shared" si="0"/>
        <v/>
      </c>
      <c r="I39" s="91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2" t="str">
        <f>IFERROR(MATCH(34,_自动清单!$W$4:$W$2403,0),"")</f>
        <v/>
      </c>
    </row>
    <row r="40" ht="18" customHeight="1" spans="1:31">
      <c r="A40" s="52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6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C40" s="53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D40" s="54" t="str">
        <f>IF($AE40="","",IF($AE40&lt;=1200,IF(INDEX(对接源_01水果!$V$4:$V$1203,$AE40)=0,"",INDEX(对接源_01水果!$V$4:$V$1203,$AE40)),IF(INDEX(对接源_02物料!$V$4:$V$1203,$AE40-1200)=0,"",INDEX(对接源_02物料!$V$4:$V$1203,$AE40-1200))))</f>
        <v/>
      </c>
      <c r="E40" s="56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F40" s="53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G40" s="56" t="str">
        <f>IF($AE40="","",IF($AE40&lt;=1200,IF(INDEX(对接源_01水果!$D$4:$D$1203,$AE40)=0,"",INDEX(对接源_01水果!$D$4:$D$1203,$AE40)),IF(INDEX(对接源_02物料!$D$4:$D$1203,$AE40-1200)=0,"",INDEX(对接源_02物料!$D$4:$D$1203,$AE40-1200))))</f>
        <v/>
      </c>
      <c r="H40" s="53" t="str">
        <f t="shared" si="0"/>
        <v/>
      </c>
      <c r="I40" s="56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2" t="str">
        <f>IFERROR(MATCH(35,_自动清单!$W$4:$W$2403,0),"")</f>
        <v/>
      </c>
    </row>
    <row r="41" ht="18" customHeight="1" spans="1:31">
      <c r="A41" s="87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91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C41" s="88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D41" s="89" t="str">
        <f>IF($AE41="","",IF($AE41&lt;=1200,IF(INDEX(对接源_01水果!$V$4:$V$1203,$AE41)=0,"",INDEX(对接源_01水果!$V$4:$V$1203,$AE41)),IF(INDEX(对接源_02物料!$V$4:$V$1203,$AE41-1200)=0,"",INDEX(对接源_02物料!$V$4:$V$1203,$AE41-1200))))</f>
        <v/>
      </c>
      <c r="E41" s="91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F41" s="88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G41" s="91" t="str">
        <f>IF($AE41="","",IF($AE41&lt;=1200,IF(INDEX(对接源_01水果!$D$4:$D$1203,$AE41)=0,"",INDEX(对接源_01水果!$D$4:$D$1203,$AE41)),IF(INDEX(对接源_02物料!$D$4:$D$1203,$AE41-1200)=0,"",INDEX(对接源_02物料!$D$4:$D$1203,$AE41-1200))))</f>
        <v/>
      </c>
      <c r="H41" s="88" t="str">
        <f t="shared" si="0"/>
        <v/>
      </c>
      <c r="I41" s="91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2" t="str">
        <f>IFERROR(MATCH(36,_自动清单!$W$4:$W$2403,0),"")</f>
        <v/>
      </c>
    </row>
    <row r="42" ht="18" customHeight="1" spans="1:31">
      <c r="A42" s="52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56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C42" s="53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D42" s="54" t="str">
        <f>IF($AE42="","",IF($AE42&lt;=1200,IF(INDEX(对接源_01水果!$V$4:$V$1203,$AE42)=0,"",INDEX(对接源_01水果!$V$4:$V$1203,$AE42)),IF(INDEX(对接源_02物料!$V$4:$V$1203,$AE42-1200)=0,"",INDEX(对接源_02物料!$V$4:$V$1203,$AE42-1200))))</f>
        <v/>
      </c>
      <c r="E42" s="56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F42" s="53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G42" s="56" t="str">
        <f>IF($AE42="","",IF($AE42&lt;=1200,IF(INDEX(对接源_01水果!$D$4:$D$1203,$AE42)=0,"",INDEX(对接源_01水果!$D$4:$D$1203,$AE42)),IF(INDEX(对接源_02物料!$D$4:$D$1203,$AE42-1200)=0,"",INDEX(对接源_02物料!$D$4:$D$1203,$AE42-1200))))</f>
        <v/>
      </c>
      <c r="H42" s="53" t="str">
        <f t="shared" si="0"/>
        <v/>
      </c>
      <c r="I42" s="56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2" t="str">
        <f>IFERROR(MATCH(37,_自动清单!$W$4:$W$2403,0),"")</f>
        <v/>
      </c>
    </row>
    <row r="43" ht="18" customHeight="1" spans="1:31">
      <c r="A43" s="87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91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C43" s="88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D43" s="89" t="str">
        <f>IF($AE43="","",IF($AE43&lt;=1200,IF(INDEX(对接源_01水果!$V$4:$V$1203,$AE43)=0,"",INDEX(对接源_01水果!$V$4:$V$1203,$AE43)),IF(INDEX(对接源_02物料!$V$4:$V$1203,$AE43-1200)=0,"",INDEX(对接源_02物料!$V$4:$V$1203,$AE43-1200))))</f>
        <v/>
      </c>
      <c r="E43" s="91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F43" s="88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G43" s="91" t="str">
        <f>IF($AE43="","",IF($AE43&lt;=1200,IF(INDEX(对接源_01水果!$D$4:$D$1203,$AE43)=0,"",INDEX(对接源_01水果!$D$4:$D$1203,$AE43)),IF(INDEX(对接源_02物料!$D$4:$D$1203,$AE43-1200)=0,"",INDEX(对接源_02物料!$D$4:$D$1203,$AE43-1200))))</f>
        <v/>
      </c>
      <c r="H43" s="88" t="str">
        <f t="shared" si="0"/>
        <v/>
      </c>
      <c r="I43" s="91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2" t="str">
        <f>IFERROR(MATCH(38,_自动清单!$W$4:$W$2403,0),"")</f>
        <v/>
      </c>
    </row>
    <row r="44" ht="18" customHeight="1" spans="1:31">
      <c r="A44" s="52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6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C44" s="53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D44" s="54" t="str">
        <f>IF($AE44="","",IF($AE44&lt;=1200,IF(INDEX(对接源_01水果!$V$4:$V$1203,$AE44)=0,"",INDEX(对接源_01水果!$V$4:$V$1203,$AE44)),IF(INDEX(对接源_02物料!$V$4:$V$1203,$AE44-1200)=0,"",INDEX(对接源_02物料!$V$4:$V$1203,$AE44-1200))))</f>
        <v/>
      </c>
      <c r="E44" s="56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F44" s="53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G44" s="56" t="str">
        <f>IF($AE44="","",IF($AE44&lt;=1200,IF(INDEX(对接源_01水果!$D$4:$D$1203,$AE44)=0,"",INDEX(对接源_01水果!$D$4:$D$1203,$AE44)),IF(INDEX(对接源_02物料!$D$4:$D$1203,$AE44-1200)=0,"",INDEX(对接源_02物料!$D$4:$D$1203,$AE44-1200))))</f>
        <v/>
      </c>
      <c r="H44" s="53" t="str">
        <f t="shared" si="0"/>
        <v/>
      </c>
      <c r="I44" s="56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2" t="str">
        <f>IFERROR(MATCH(39,_自动清单!$W$4:$W$2403,0),"")</f>
        <v/>
      </c>
    </row>
    <row r="45" ht="18" customHeight="1" spans="1:31">
      <c r="A45" s="87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91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C45" s="88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D45" s="89" t="str">
        <f>IF($AE45="","",IF($AE45&lt;=1200,IF(INDEX(对接源_01水果!$V$4:$V$1203,$AE45)=0,"",INDEX(对接源_01水果!$V$4:$V$1203,$AE45)),IF(INDEX(对接源_02物料!$V$4:$V$1203,$AE45-1200)=0,"",INDEX(对接源_02物料!$V$4:$V$1203,$AE45-1200))))</f>
        <v/>
      </c>
      <c r="E45" s="91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F45" s="88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G45" s="91" t="str">
        <f>IF($AE45="","",IF($AE45&lt;=1200,IF(INDEX(对接源_01水果!$D$4:$D$1203,$AE45)=0,"",INDEX(对接源_01水果!$D$4:$D$1203,$AE45)),IF(INDEX(对接源_02物料!$D$4:$D$1203,$AE45-1200)=0,"",INDEX(对接源_02物料!$D$4:$D$1203,$AE45-1200))))</f>
        <v/>
      </c>
      <c r="H45" s="88" t="str">
        <f t="shared" si="0"/>
        <v/>
      </c>
      <c r="I45" s="91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2" t="str">
        <f>IFERROR(MATCH(40,_自动清单!$W$4:$W$2403,0),"")</f>
        <v/>
      </c>
    </row>
    <row r="46" ht="18" customHeight="1" spans="1:31">
      <c r="A46" s="52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6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C46" s="53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D46" s="54" t="str">
        <f>IF($AE46="","",IF($AE46&lt;=1200,IF(INDEX(对接源_01水果!$V$4:$V$1203,$AE46)=0,"",INDEX(对接源_01水果!$V$4:$V$1203,$AE46)),IF(INDEX(对接源_02物料!$V$4:$V$1203,$AE46-1200)=0,"",INDEX(对接源_02物料!$V$4:$V$1203,$AE46-1200))))</f>
        <v/>
      </c>
      <c r="E46" s="56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F46" s="53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G46" s="56" t="str">
        <f>IF($AE46="","",IF($AE46&lt;=1200,IF(INDEX(对接源_01水果!$D$4:$D$1203,$AE46)=0,"",INDEX(对接源_01水果!$D$4:$D$1203,$AE46)),IF(INDEX(对接源_02物料!$D$4:$D$1203,$AE46-1200)=0,"",INDEX(对接源_02物料!$D$4:$D$1203,$AE46-1200))))</f>
        <v/>
      </c>
      <c r="H46" s="53" t="str">
        <f t="shared" si="0"/>
        <v/>
      </c>
      <c r="I46" s="56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2" t="str">
        <f>IFERROR(MATCH(41,_自动清单!$W$4:$W$2403,0),"")</f>
        <v/>
      </c>
    </row>
    <row r="47" ht="18" customHeight="1" spans="1:31">
      <c r="A47" s="87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91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C47" s="88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D47" s="89" t="str">
        <f>IF($AE47="","",IF($AE47&lt;=1200,IF(INDEX(对接源_01水果!$V$4:$V$1203,$AE47)=0,"",INDEX(对接源_01水果!$V$4:$V$1203,$AE47)),IF(INDEX(对接源_02物料!$V$4:$V$1203,$AE47-1200)=0,"",INDEX(对接源_02物料!$V$4:$V$1203,$AE47-1200))))</f>
        <v/>
      </c>
      <c r="E47" s="91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F47" s="88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G47" s="91" t="str">
        <f>IF($AE47="","",IF($AE47&lt;=1200,IF(INDEX(对接源_01水果!$D$4:$D$1203,$AE47)=0,"",INDEX(对接源_01水果!$D$4:$D$1203,$AE47)),IF(INDEX(对接源_02物料!$D$4:$D$1203,$AE47-1200)=0,"",INDEX(对接源_02物料!$D$4:$D$1203,$AE47-1200))))</f>
        <v/>
      </c>
      <c r="H47" s="88" t="str">
        <f t="shared" si="0"/>
        <v/>
      </c>
      <c r="I47" s="91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2" t="str">
        <f>IFERROR(MATCH(42,_自动清单!$W$4:$W$2403,0),"")</f>
        <v/>
      </c>
    </row>
    <row r="48" ht="18" customHeight="1" spans="1:31">
      <c r="A48" s="52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56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C48" s="53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D48" s="54" t="str">
        <f>IF($AE48="","",IF($AE48&lt;=1200,IF(INDEX(对接源_01水果!$V$4:$V$1203,$AE48)=0,"",INDEX(对接源_01水果!$V$4:$V$1203,$AE48)),IF(INDEX(对接源_02物料!$V$4:$V$1203,$AE48-1200)=0,"",INDEX(对接源_02物料!$V$4:$V$1203,$AE48-1200))))</f>
        <v/>
      </c>
      <c r="E48" s="56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F48" s="53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G48" s="56" t="str">
        <f>IF($AE48="","",IF($AE48&lt;=1200,IF(INDEX(对接源_01水果!$D$4:$D$1203,$AE48)=0,"",INDEX(对接源_01水果!$D$4:$D$1203,$AE48)),IF(INDEX(对接源_02物料!$D$4:$D$1203,$AE48-1200)=0,"",INDEX(对接源_02物料!$D$4:$D$1203,$AE48-1200))))</f>
        <v/>
      </c>
      <c r="H48" s="53" t="str">
        <f t="shared" si="0"/>
        <v/>
      </c>
      <c r="I48" s="56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2" t="str">
        <f>IFERROR(MATCH(43,_自动清单!$W$4:$W$2403,0),"")</f>
        <v/>
      </c>
    </row>
    <row r="49" ht="18" customHeight="1" spans="1:31">
      <c r="A49" s="87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91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C49" s="88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D49" s="89" t="str">
        <f>IF($AE49="","",IF($AE49&lt;=1200,IF(INDEX(对接源_01水果!$V$4:$V$1203,$AE49)=0,"",INDEX(对接源_01水果!$V$4:$V$1203,$AE49)),IF(INDEX(对接源_02物料!$V$4:$V$1203,$AE49-1200)=0,"",INDEX(对接源_02物料!$V$4:$V$1203,$AE49-1200))))</f>
        <v/>
      </c>
      <c r="E49" s="91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F49" s="88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G49" s="91" t="str">
        <f>IF($AE49="","",IF($AE49&lt;=1200,IF(INDEX(对接源_01水果!$D$4:$D$1203,$AE49)=0,"",INDEX(对接源_01水果!$D$4:$D$1203,$AE49)),IF(INDEX(对接源_02物料!$D$4:$D$1203,$AE49-1200)=0,"",INDEX(对接源_02物料!$D$4:$D$1203,$AE49-1200))))</f>
        <v/>
      </c>
      <c r="H49" s="88" t="str">
        <f t="shared" si="0"/>
        <v/>
      </c>
      <c r="I49" s="91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2" t="str">
        <f>IFERROR(MATCH(44,_自动清单!$W$4:$W$2403,0),"")</f>
        <v/>
      </c>
    </row>
    <row r="50" ht="18" customHeight="1" spans="1:31">
      <c r="A50" s="52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6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C50" s="53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D50" s="54" t="str">
        <f>IF($AE50="","",IF($AE50&lt;=1200,IF(INDEX(对接源_01水果!$V$4:$V$1203,$AE50)=0,"",INDEX(对接源_01水果!$V$4:$V$1203,$AE50)),IF(INDEX(对接源_02物料!$V$4:$V$1203,$AE50-1200)=0,"",INDEX(对接源_02物料!$V$4:$V$1203,$AE50-1200))))</f>
        <v/>
      </c>
      <c r="E50" s="56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F50" s="53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G50" s="56" t="str">
        <f>IF($AE50="","",IF($AE50&lt;=1200,IF(INDEX(对接源_01水果!$D$4:$D$1203,$AE50)=0,"",INDEX(对接源_01水果!$D$4:$D$1203,$AE50)),IF(INDEX(对接源_02物料!$D$4:$D$1203,$AE50-1200)=0,"",INDEX(对接源_02物料!$D$4:$D$1203,$AE50-1200))))</f>
        <v/>
      </c>
      <c r="H50" s="53" t="str">
        <f t="shared" si="0"/>
        <v/>
      </c>
      <c r="I50" s="56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2" t="str">
        <f>IFERROR(MATCH(45,_自动清单!$W$4:$W$2403,0),"")</f>
        <v/>
      </c>
    </row>
    <row r="51" ht="18" customHeight="1" spans="1:31">
      <c r="A51" s="87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91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C51" s="88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D51" s="89" t="str">
        <f>IF($AE51="","",IF($AE51&lt;=1200,IF(INDEX(对接源_01水果!$V$4:$V$1203,$AE51)=0,"",INDEX(对接源_01水果!$V$4:$V$1203,$AE51)),IF(INDEX(对接源_02物料!$V$4:$V$1203,$AE51-1200)=0,"",INDEX(对接源_02物料!$V$4:$V$1203,$AE51-1200))))</f>
        <v/>
      </c>
      <c r="E51" s="91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F51" s="88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G51" s="91" t="str">
        <f>IF($AE51="","",IF($AE51&lt;=1200,IF(INDEX(对接源_01水果!$D$4:$D$1203,$AE51)=0,"",INDEX(对接源_01水果!$D$4:$D$1203,$AE51)),IF(INDEX(对接源_02物料!$D$4:$D$1203,$AE51-1200)=0,"",INDEX(对接源_02物料!$D$4:$D$1203,$AE51-1200))))</f>
        <v/>
      </c>
      <c r="H51" s="88" t="str">
        <f t="shared" si="0"/>
        <v/>
      </c>
      <c r="I51" s="91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2" t="str">
        <f>IFERROR(MATCH(46,_自动清单!$W$4:$W$2403,0),"")</f>
        <v/>
      </c>
    </row>
    <row r="52" ht="18" customHeight="1" spans="1:31">
      <c r="A52" s="52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6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C52" s="53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D52" s="54" t="str">
        <f>IF($AE52="","",IF($AE52&lt;=1200,IF(INDEX(对接源_01水果!$V$4:$V$1203,$AE52)=0,"",INDEX(对接源_01水果!$V$4:$V$1203,$AE52)),IF(INDEX(对接源_02物料!$V$4:$V$1203,$AE52-1200)=0,"",INDEX(对接源_02物料!$V$4:$V$1203,$AE52-1200))))</f>
        <v/>
      </c>
      <c r="E52" s="56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F52" s="53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G52" s="56" t="str">
        <f>IF($AE52="","",IF($AE52&lt;=1200,IF(INDEX(对接源_01水果!$D$4:$D$1203,$AE52)=0,"",INDEX(对接源_01水果!$D$4:$D$1203,$AE52)),IF(INDEX(对接源_02物料!$D$4:$D$1203,$AE52-1200)=0,"",INDEX(对接源_02物料!$D$4:$D$1203,$AE52-1200))))</f>
        <v/>
      </c>
      <c r="H52" s="53" t="str">
        <f t="shared" si="0"/>
        <v/>
      </c>
      <c r="I52" s="56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2" t="str">
        <f>IFERROR(MATCH(47,_自动清单!$W$4:$W$2403,0),"")</f>
        <v/>
      </c>
    </row>
    <row r="53" ht="18" customHeight="1" spans="1:31">
      <c r="A53" s="87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91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C53" s="88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D53" s="89" t="str">
        <f>IF($AE53="","",IF($AE53&lt;=1200,IF(INDEX(对接源_01水果!$V$4:$V$1203,$AE53)=0,"",INDEX(对接源_01水果!$V$4:$V$1203,$AE53)),IF(INDEX(对接源_02物料!$V$4:$V$1203,$AE53-1200)=0,"",INDEX(对接源_02物料!$V$4:$V$1203,$AE53-1200))))</f>
        <v/>
      </c>
      <c r="E53" s="91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F53" s="88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G53" s="91" t="str">
        <f>IF($AE53="","",IF($AE53&lt;=1200,IF(INDEX(对接源_01水果!$D$4:$D$1203,$AE53)=0,"",INDEX(对接源_01水果!$D$4:$D$1203,$AE53)),IF(INDEX(对接源_02物料!$D$4:$D$1203,$AE53-1200)=0,"",INDEX(对接源_02物料!$D$4:$D$1203,$AE53-1200))))</f>
        <v/>
      </c>
      <c r="H53" s="88" t="str">
        <f t="shared" si="0"/>
        <v/>
      </c>
      <c r="I53" s="91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IFERROR(MATCH(48,_自动清单!$W$4:$W$2403,0),"")</f>
        <v/>
      </c>
    </row>
    <row r="54" ht="18" customHeight="1" spans="1:31">
      <c r="A54" s="52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56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C54" s="53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D54" s="54" t="str">
        <f>IF($AE54="","",IF($AE54&lt;=1200,IF(INDEX(对接源_01水果!$V$4:$V$1203,$AE54)=0,"",INDEX(对接源_01水果!$V$4:$V$1203,$AE54)),IF(INDEX(对接源_02物料!$V$4:$V$1203,$AE54-1200)=0,"",INDEX(对接源_02物料!$V$4:$V$1203,$AE54-1200))))</f>
        <v/>
      </c>
      <c r="E54" s="56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F54" s="53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G54" s="56" t="str">
        <f>IF($AE54="","",IF($AE54&lt;=1200,IF(INDEX(对接源_01水果!$D$4:$D$1203,$AE54)=0,"",INDEX(对接源_01水果!$D$4:$D$1203,$AE54)),IF(INDEX(对接源_02物料!$D$4:$D$1203,$AE54-1200)=0,"",INDEX(对接源_02物料!$D$4:$D$1203,$AE54-1200))))</f>
        <v/>
      </c>
      <c r="H54" s="53" t="str">
        <f t="shared" si="0"/>
        <v/>
      </c>
      <c r="I54" s="56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IFERROR(MATCH(49,_自动清单!$W$4:$W$2403,0),"")</f>
        <v/>
      </c>
    </row>
    <row r="55" ht="18" customHeight="1" spans="1:31">
      <c r="A55" s="87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91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C55" s="88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D55" s="89" t="str">
        <f>IF($AE55="","",IF($AE55&lt;=1200,IF(INDEX(对接源_01水果!$V$4:$V$1203,$AE55)=0,"",INDEX(对接源_01水果!$V$4:$V$1203,$AE55)),IF(INDEX(对接源_02物料!$V$4:$V$1203,$AE55-1200)=0,"",INDEX(对接源_02物料!$V$4:$V$1203,$AE55-1200))))</f>
        <v/>
      </c>
      <c r="E55" s="91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F55" s="88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G55" s="91" t="str">
        <f>IF($AE55="","",IF($AE55&lt;=1200,IF(INDEX(对接源_01水果!$D$4:$D$1203,$AE55)=0,"",INDEX(对接源_01水果!$D$4:$D$1203,$AE55)),IF(INDEX(对接源_02物料!$D$4:$D$1203,$AE55-1200)=0,"",INDEX(对接源_02物料!$D$4:$D$1203,$AE55-1200))))</f>
        <v/>
      </c>
      <c r="H55" s="88" t="str">
        <f t="shared" si="0"/>
        <v/>
      </c>
      <c r="I55" s="91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IFERROR(MATCH(50,_自动清单!$W$4:$W$2403,0),"")</f>
        <v/>
      </c>
    </row>
    <row r="56" ht="18" customHeight="1" spans="1:31">
      <c r="A56" s="52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6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C56" s="53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D56" s="54" t="str">
        <f>IF($AE56="","",IF($AE56&lt;=1200,IF(INDEX(对接源_01水果!$V$4:$V$1203,$AE56)=0,"",INDEX(对接源_01水果!$V$4:$V$1203,$AE56)),IF(INDEX(对接源_02物料!$V$4:$V$1203,$AE56-1200)=0,"",INDEX(对接源_02物料!$V$4:$V$1203,$AE56-1200))))</f>
        <v/>
      </c>
      <c r="E56" s="56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F56" s="53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G56" s="56" t="str">
        <f>IF($AE56="","",IF($AE56&lt;=1200,IF(INDEX(对接源_01水果!$D$4:$D$1203,$AE56)=0,"",INDEX(对接源_01水果!$D$4:$D$1203,$AE56)),IF(INDEX(对接源_02物料!$D$4:$D$1203,$AE56-1200)=0,"",INDEX(对接源_02物料!$D$4:$D$1203,$AE56-1200))))</f>
        <v/>
      </c>
      <c r="H56" s="53" t="str">
        <f t="shared" si="0"/>
        <v/>
      </c>
      <c r="I56" s="56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IFERROR(MATCH(51,_自动清单!$W$4:$W$2403,0),"")</f>
        <v/>
      </c>
    </row>
    <row r="57" ht="18" customHeight="1" spans="1:31">
      <c r="A57" s="87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91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C57" s="88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D57" s="89" t="str">
        <f>IF($AE57="","",IF($AE57&lt;=1200,IF(INDEX(对接源_01水果!$V$4:$V$1203,$AE57)=0,"",INDEX(对接源_01水果!$V$4:$V$1203,$AE57)),IF(INDEX(对接源_02物料!$V$4:$V$1203,$AE57-1200)=0,"",INDEX(对接源_02物料!$V$4:$V$1203,$AE57-1200))))</f>
        <v/>
      </c>
      <c r="E57" s="91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F57" s="88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G57" s="91" t="str">
        <f>IF($AE57="","",IF($AE57&lt;=1200,IF(INDEX(对接源_01水果!$D$4:$D$1203,$AE57)=0,"",INDEX(对接源_01水果!$D$4:$D$1203,$AE57)),IF(INDEX(对接源_02物料!$D$4:$D$1203,$AE57-1200)=0,"",INDEX(对接源_02物料!$D$4:$D$1203,$AE57-1200))))</f>
        <v/>
      </c>
      <c r="H57" s="88" t="str">
        <f t="shared" si="0"/>
        <v/>
      </c>
      <c r="I57" s="91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IFERROR(MATCH(52,_自动清单!$W$4:$W$2403,0),"")</f>
        <v/>
      </c>
    </row>
    <row r="58" ht="18" customHeight="1" spans="1:31">
      <c r="A58" s="52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6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C58" s="53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D58" s="54" t="str">
        <f>IF($AE58="","",IF($AE58&lt;=1200,IF(INDEX(对接源_01水果!$V$4:$V$1203,$AE58)=0,"",INDEX(对接源_01水果!$V$4:$V$1203,$AE58)),IF(INDEX(对接源_02物料!$V$4:$V$1203,$AE58-1200)=0,"",INDEX(对接源_02物料!$V$4:$V$1203,$AE58-1200))))</f>
        <v/>
      </c>
      <c r="E58" s="56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F58" s="53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G58" s="56" t="str">
        <f>IF($AE58="","",IF($AE58&lt;=1200,IF(INDEX(对接源_01水果!$D$4:$D$1203,$AE58)=0,"",INDEX(对接源_01水果!$D$4:$D$1203,$AE58)),IF(INDEX(对接源_02物料!$D$4:$D$1203,$AE58-1200)=0,"",INDEX(对接源_02物料!$D$4:$D$1203,$AE58-1200))))</f>
        <v/>
      </c>
      <c r="H58" s="53" t="str">
        <f t="shared" si="0"/>
        <v/>
      </c>
      <c r="I58" s="56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IFERROR(MATCH(53,_自动清单!$W$4:$W$2403,0),"")</f>
        <v/>
      </c>
    </row>
    <row r="59" ht="18" customHeight="1" spans="1:31">
      <c r="A59" s="87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91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C59" s="88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D59" s="89" t="str">
        <f>IF($AE59="","",IF($AE59&lt;=1200,IF(INDEX(对接源_01水果!$V$4:$V$1203,$AE59)=0,"",INDEX(对接源_01水果!$V$4:$V$1203,$AE59)),IF(INDEX(对接源_02物料!$V$4:$V$1203,$AE59-1200)=0,"",INDEX(对接源_02物料!$V$4:$V$1203,$AE59-1200))))</f>
        <v/>
      </c>
      <c r="E59" s="91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F59" s="88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G59" s="91" t="str">
        <f>IF($AE59="","",IF($AE59&lt;=1200,IF(INDEX(对接源_01水果!$D$4:$D$1203,$AE59)=0,"",INDEX(对接源_01水果!$D$4:$D$1203,$AE59)),IF(INDEX(对接源_02物料!$D$4:$D$1203,$AE59-1200)=0,"",INDEX(对接源_02物料!$D$4:$D$1203,$AE59-1200))))</f>
        <v/>
      </c>
      <c r="H59" s="88" t="str">
        <f t="shared" si="0"/>
        <v/>
      </c>
      <c r="I59" s="91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IFERROR(MATCH(54,_自动清单!$W$4:$W$2403,0),"")</f>
        <v/>
      </c>
    </row>
    <row r="60" ht="18" customHeight="1" spans="1:31">
      <c r="A60" s="52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6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C60" s="53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D60" s="54" t="str">
        <f>IF($AE60="","",IF($AE60&lt;=1200,IF(INDEX(对接源_01水果!$V$4:$V$1203,$AE60)=0,"",INDEX(对接源_01水果!$V$4:$V$1203,$AE60)),IF(INDEX(对接源_02物料!$V$4:$V$1203,$AE60-1200)=0,"",INDEX(对接源_02物料!$V$4:$V$1203,$AE60-1200))))</f>
        <v/>
      </c>
      <c r="E60" s="56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F60" s="53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G60" s="56" t="str">
        <f>IF($AE60="","",IF($AE60&lt;=1200,IF(INDEX(对接源_01水果!$D$4:$D$1203,$AE60)=0,"",INDEX(对接源_01水果!$D$4:$D$1203,$AE60)),IF(INDEX(对接源_02物料!$D$4:$D$1203,$AE60-1200)=0,"",INDEX(对接源_02物料!$D$4:$D$1203,$AE60-1200))))</f>
        <v/>
      </c>
      <c r="H60" s="53" t="str">
        <f t="shared" si="0"/>
        <v/>
      </c>
      <c r="I60" s="56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IFERROR(MATCH(55,_自动清单!$W$4:$W$2403,0),"")</f>
        <v/>
      </c>
    </row>
    <row r="61" ht="18" customHeight="1" spans="1:31">
      <c r="A61" s="87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91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C61" s="88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D61" s="89" t="str">
        <f>IF($AE61="","",IF($AE61&lt;=1200,IF(INDEX(对接源_01水果!$V$4:$V$1203,$AE61)=0,"",INDEX(对接源_01水果!$V$4:$V$1203,$AE61)),IF(INDEX(对接源_02物料!$V$4:$V$1203,$AE61-1200)=0,"",INDEX(对接源_02物料!$V$4:$V$1203,$AE61-1200))))</f>
        <v/>
      </c>
      <c r="E61" s="91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F61" s="88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G61" s="91" t="str">
        <f>IF($AE61="","",IF($AE61&lt;=1200,IF(INDEX(对接源_01水果!$D$4:$D$1203,$AE61)=0,"",INDEX(对接源_01水果!$D$4:$D$1203,$AE61)),IF(INDEX(对接源_02物料!$D$4:$D$1203,$AE61-1200)=0,"",INDEX(对接源_02物料!$D$4:$D$1203,$AE61-1200))))</f>
        <v/>
      </c>
      <c r="H61" s="88" t="str">
        <f t="shared" si="0"/>
        <v/>
      </c>
      <c r="I61" s="91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IFERROR(MATCH(56,_自动清单!$W$4:$W$2403,0),"")</f>
        <v/>
      </c>
    </row>
    <row r="62" ht="18" customHeight="1" spans="1:31">
      <c r="A62" s="52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6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C62" s="53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D62" s="54" t="str">
        <f>IF($AE62="","",IF($AE62&lt;=1200,IF(INDEX(对接源_01水果!$V$4:$V$1203,$AE62)=0,"",INDEX(对接源_01水果!$V$4:$V$1203,$AE62)),IF(INDEX(对接源_02物料!$V$4:$V$1203,$AE62-1200)=0,"",INDEX(对接源_02物料!$V$4:$V$1203,$AE62-1200))))</f>
        <v/>
      </c>
      <c r="E62" s="56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F62" s="53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G62" s="56" t="str">
        <f>IF($AE62="","",IF($AE62&lt;=1200,IF(INDEX(对接源_01水果!$D$4:$D$1203,$AE62)=0,"",INDEX(对接源_01水果!$D$4:$D$1203,$AE62)),IF(INDEX(对接源_02物料!$D$4:$D$1203,$AE62-1200)=0,"",INDEX(对接源_02物料!$D$4:$D$1203,$AE62-1200))))</f>
        <v/>
      </c>
      <c r="H62" s="53" t="str">
        <f t="shared" si="0"/>
        <v/>
      </c>
      <c r="I62" s="56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IFERROR(MATCH(57,_自动清单!$W$4:$W$2403,0),"")</f>
        <v/>
      </c>
    </row>
    <row r="63" ht="18" customHeight="1" spans="1:31">
      <c r="A63" s="87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91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C63" s="88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D63" s="89" t="str">
        <f>IF($AE63="","",IF($AE63&lt;=1200,IF(INDEX(对接源_01水果!$V$4:$V$1203,$AE63)=0,"",INDEX(对接源_01水果!$V$4:$V$1203,$AE63)),IF(INDEX(对接源_02物料!$V$4:$V$1203,$AE63-1200)=0,"",INDEX(对接源_02物料!$V$4:$V$1203,$AE63-1200))))</f>
        <v/>
      </c>
      <c r="E63" s="91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F63" s="88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G63" s="91" t="str">
        <f>IF($AE63="","",IF($AE63&lt;=1200,IF(INDEX(对接源_01水果!$D$4:$D$1203,$AE63)=0,"",INDEX(对接源_01水果!$D$4:$D$1203,$AE63)),IF(INDEX(对接源_02物料!$D$4:$D$1203,$AE63-1200)=0,"",INDEX(对接源_02物料!$D$4:$D$1203,$AE63-1200))))</f>
        <v/>
      </c>
      <c r="H63" s="88" t="str">
        <f t="shared" si="0"/>
        <v/>
      </c>
      <c r="I63" s="91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IFERROR(MATCH(58,_自动清单!$W$4:$W$2403,0),"")</f>
        <v/>
      </c>
    </row>
    <row r="64" ht="18" customHeight="1" spans="1:31">
      <c r="A64" s="52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6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C64" s="53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D64" s="54" t="str">
        <f>IF($AE64="","",IF($AE64&lt;=1200,IF(INDEX(对接源_01水果!$V$4:$V$1203,$AE64)=0,"",INDEX(对接源_01水果!$V$4:$V$1203,$AE64)),IF(INDEX(对接源_02物料!$V$4:$V$1203,$AE64-1200)=0,"",INDEX(对接源_02物料!$V$4:$V$1203,$AE64-1200))))</f>
        <v/>
      </c>
      <c r="E64" s="56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F64" s="53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G64" s="56" t="str">
        <f>IF($AE64="","",IF($AE64&lt;=1200,IF(INDEX(对接源_01水果!$D$4:$D$1203,$AE64)=0,"",INDEX(对接源_01水果!$D$4:$D$1203,$AE64)),IF(INDEX(对接源_02物料!$D$4:$D$1203,$AE64-1200)=0,"",INDEX(对接源_02物料!$D$4:$D$1203,$AE64-1200))))</f>
        <v/>
      </c>
      <c r="H64" s="53" t="str">
        <f t="shared" si="0"/>
        <v/>
      </c>
      <c r="I64" s="56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IFERROR(MATCH(59,_自动清单!$W$4:$W$2403,0),"")</f>
        <v/>
      </c>
    </row>
    <row r="65" ht="18" customHeight="1" spans="1:31">
      <c r="A65" s="87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91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C65" s="88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D65" s="89" t="str">
        <f>IF($AE65="","",IF($AE65&lt;=1200,IF(INDEX(对接源_01水果!$V$4:$V$1203,$AE65)=0,"",INDEX(对接源_01水果!$V$4:$V$1203,$AE65)),IF(INDEX(对接源_02物料!$V$4:$V$1203,$AE65-1200)=0,"",INDEX(对接源_02物料!$V$4:$V$1203,$AE65-1200))))</f>
        <v/>
      </c>
      <c r="E65" s="91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F65" s="88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G65" s="91" t="str">
        <f>IF($AE65="","",IF($AE65&lt;=1200,IF(INDEX(对接源_01水果!$D$4:$D$1203,$AE65)=0,"",INDEX(对接源_01水果!$D$4:$D$1203,$AE65)),IF(INDEX(对接源_02物料!$D$4:$D$1203,$AE65-1200)=0,"",INDEX(对接源_02物料!$D$4:$D$1203,$AE65-1200))))</f>
        <v/>
      </c>
      <c r="H65" s="88" t="str">
        <f t="shared" si="0"/>
        <v/>
      </c>
      <c r="I65" s="91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IFERROR(MATCH(60,_自动清单!$W$4:$W$2403,0),"")</f>
        <v/>
      </c>
    </row>
    <row r="66" ht="18" customHeight="1" spans="1:31">
      <c r="A66" s="52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6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C66" s="53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D66" s="54" t="str">
        <f>IF($AE66="","",IF($AE66&lt;=1200,IF(INDEX(对接源_01水果!$V$4:$V$1203,$AE66)=0,"",INDEX(对接源_01水果!$V$4:$V$1203,$AE66)),IF(INDEX(对接源_02物料!$V$4:$V$1203,$AE66-1200)=0,"",INDEX(对接源_02物料!$V$4:$V$1203,$AE66-1200))))</f>
        <v/>
      </c>
      <c r="E66" s="56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F66" s="53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G66" s="56" t="str">
        <f>IF($AE66="","",IF($AE66&lt;=1200,IF(INDEX(对接源_01水果!$D$4:$D$1203,$AE66)=0,"",INDEX(对接源_01水果!$D$4:$D$1203,$AE66)),IF(INDEX(对接源_02物料!$D$4:$D$1203,$AE66-1200)=0,"",INDEX(对接源_02物料!$D$4:$D$1203,$AE66-1200))))</f>
        <v/>
      </c>
      <c r="H66" s="53" t="str">
        <f t="shared" si="0"/>
        <v/>
      </c>
      <c r="I66" s="56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IFERROR(MATCH(61,_自动清单!$W$4:$W$2403,0),"")</f>
        <v/>
      </c>
    </row>
    <row r="67" ht="18" customHeight="1" spans="1:31">
      <c r="A67" s="87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91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C67" s="88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D67" s="89" t="str">
        <f>IF($AE67="","",IF($AE67&lt;=1200,IF(INDEX(对接源_01水果!$V$4:$V$1203,$AE67)=0,"",INDEX(对接源_01水果!$V$4:$V$1203,$AE67)),IF(INDEX(对接源_02物料!$V$4:$V$1203,$AE67-1200)=0,"",INDEX(对接源_02物料!$V$4:$V$1203,$AE67-1200))))</f>
        <v/>
      </c>
      <c r="E67" s="91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F67" s="88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G67" s="91" t="str">
        <f>IF($AE67="","",IF($AE67&lt;=1200,IF(INDEX(对接源_01水果!$D$4:$D$1203,$AE67)=0,"",INDEX(对接源_01水果!$D$4:$D$1203,$AE67)),IF(INDEX(对接源_02物料!$D$4:$D$1203,$AE67-1200)=0,"",INDEX(对接源_02物料!$D$4:$D$1203,$AE67-1200))))</f>
        <v/>
      </c>
      <c r="H67" s="88" t="str">
        <f t="shared" si="0"/>
        <v/>
      </c>
      <c r="I67" s="91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IFERROR(MATCH(62,_自动清单!$W$4:$W$2403,0),"")</f>
        <v/>
      </c>
    </row>
    <row r="68" ht="18" customHeight="1" spans="1:31">
      <c r="A68" s="52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6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C68" s="53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D68" s="54" t="str">
        <f>IF($AE68="","",IF($AE68&lt;=1200,IF(INDEX(对接源_01水果!$V$4:$V$1203,$AE68)=0,"",INDEX(对接源_01水果!$V$4:$V$1203,$AE68)),IF(INDEX(对接源_02物料!$V$4:$V$1203,$AE68-1200)=0,"",INDEX(对接源_02物料!$V$4:$V$1203,$AE68-1200))))</f>
        <v/>
      </c>
      <c r="E68" s="56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F68" s="53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G68" s="56" t="str">
        <f>IF($AE68="","",IF($AE68&lt;=1200,IF(INDEX(对接源_01水果!$D$4:$D$1203,$AE68)=0,"",INDEX(对接源_01水果!$D$4:$D$1203,$AE68)),IF(INDEX(对接源_02物料!$D$4:$D$1203,$AE68-1200)=0,"",INDEX(对接源_02物料!$D$4:$D$1203,$AE68-1200))))</f>
        <v/>
      </c>
      <c r="H68" s="53" t="str">
        <f t="shared" si="0"/>
        <v/>
      </c>
      <c r="I68" s="56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IFERROR(MATCH(63,_自动清单!$W$4:$W$2403,0),"")</f>
        <v/>
      </c>
    </row>
    <row r="69" ht="18" customHeight="1" spans="1:31">
      <c r="A69" s="87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91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C69" s="88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D69" s="89" t="str">
        <f>IF($AE69="","",IF($AE69&lt;=1200,IF(INDEX(对接源_01水果!$V$4:$V$1203,$AE69)=0,"",INDEX(对接源_01水果!$V$4:$V$1203,$AE69)),IF(INDEX(对接源_02物料!$V$4:$V$1203,$AE69-1200)=0,"",INDEX(对接源_02物料!$V$4:$V$1203,$AE69-1200))))</f>
        <v/>
      </c>
      <c r="E69" s="91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F69" s="88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G69" s="91" t="str">
        <f>IF($AE69="","",IF($AE69&lt;=1200,IF(INDEX(对接源_01水果!$D$4:$D$1203,$AE69)=0,"",INDEX(对接源_01水果!$D$4:$D$1203,$AE69)),IF(INDEX(对接源_02物料!$D$4:$D$1203,$AE69-1200)=0,"",INDEX(对接源_02物料!$D$4:$D$1203,$AE69-1200))))</f>
        <v/>
      </c>
      <c r="H69" s="88" t="str">
        <f t="shared" si="0"/>
        <v/>
      </c>
      <c r="I69" s="91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IFERROR(MATCH(64,_自动清单!$W$4:$W$2403,0),"")</f>
        <v/>
      </c>
    </row>
    <row r="70" ht="18" customHeight="1" spans="1:31">
      <c r="A70" s="52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6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C70" s="53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D70" s="54" t="str">
        <f>IF($AE70="","",IF($AE70&lt;=1200,IF(INDEX(对接源_01水果!$V$4:$V$1203,$AE70)=0,"",INDEX(对接源_01水果!$V$4:$V$1203,$AE70)),IF(INDEX(对接源_02物料!$V$4:$V$1203,$AE70-1200)=0,"",INDEX(对接源_02物料!$V$4:$V$1203,$AE70-1200))))</f>
        <v/>
      </c>
      <c r="E70" s="56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F70" s="53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G70" s="56" t="str">
        <f>IF($AE70="","",IF($AE70&lt;=1200,IF(INDEX(对接源_01水果!$D$4:$D$1203,$AE70)=0,"",INDEX(对接源_01水果!$D$4:$D$1203,$AE70)),IF(INDEX(对接源_02物料!$D$4:$D$1203,$AE70-1200)=0,"",INDEX(对接源_02物料!$D$4:$D$1203,$AE70-1200))))</f>
        <v/>
      </c>
      <c r="H70" s="53" t="str">
        <f t="shared" ref="H70:H105" si="1">IF($AE70="","",IF($AE70&lt;=1200,"01水果册","02物料册"))</f>
        <v/>
      </c>
      <c r="I70" s="56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IFERROR(MATCH(65,_自动清单!$W$4:$W$2403,0),"")</f>
        <v/>
      </c>
    </row>
    <row r="71" ht="18" customHeight="1" spans="1:31">
      <c r="A71" s="87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91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C71" s="88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D71" s="89" t="str">
        <f>IF($AE71="","",IF($AE71&lt;=1200,IF(INDEX(对接源_01水果!$V$4:$V$1203,$AE71)=0,"",INDEX(对接源_01水果!$V$4:$V$1203,$AE71)),IF(INDEX(对接源_02物料!$V$4:$V$1203,$AE71-1200)=0,"",INDEX(对接源_02物料!$V$4:$V$1203,$AE71-1200))))</f>
        <v/>
      </c>
      <c r="E71" s="91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F71" s="88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G71" s="91" t="str">
        <f>IF($AE71="","",IF($AE71&lt;=1200,IF(INDEX(对接源_01水果!$D$4:$D$1203,$AE71)=0,"",INDEX(对接源_01水果!$D$4:$D$1203,$AE71)),IF(INDEX(对接源_02物料!$D$4:$D$1203,$AE71-1200)=0,"",INDEX(对接源_02物料!$D$4:$D$1203,$AE71-1200))))</f>
        <v/>
      </c>
      <c r="H71" s="88" t="str">
        <f t="shared" si="1"/>
        <v/>
      </c>
      <c r="I71" s="91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IFERROR(MATCH(66,_自动清单!$W$4:$W$2403,0),"")</f>
        <v/>
      </c>
    </row>
    <row r="72" ht="18" customHeight="1" spans="1:31">
      <c r="A72" s="52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6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C72" s="53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D72" s="54" t="str">
        <f>IF($AE72="","",IF($AE72&lt;=1200,IF(INDEX(对接源_01水果!$V$4:$V$1203,$AE72)=0,"",INDEX(对接源_01水果!$V$4:$V$1203,$AE72)),IF(INDEX(对接源_02物料!$V$4:$V$1203,$AE72-1200)=0,"",INDEX(对接源_02物料!$V$4:$V$1203,$AE72-1200))))</f>
        <v/>
      </c>
      <c r="E72" s="56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F72" s="53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G72" s="56" t="str">
        <f>IF($AE72="","",IF($AE72&lt;=1200,IF(INDEX(对接源_01水果!$D$4:$D$1203,$AE72)=0,"",INDEX(对接源_01水果!$D$4:$D$1203,$AE72)),IF(INDEX(对接源_02物料!$D$4:$D$1203,$AE72-1200)=0,"",INDEX(对接源_02物料!$D$4:$D$1203,$AE72-1200))))</f>
        <v/>
      </c>
      <c r="H72" s="53" t="str">
        <f t="shared" si="1"/>
        <v/>
      </c>
      <c r="I72" s="56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IFERROR(MATCH(67,_自动清单!$W$4:$W$2403,0),"")</f>
        <v/>
      </c>
    </row>
    <row r="73" ht="18" customHeight="1" spans="1:31">
      <c r="A73" s="87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91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C73" s="88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D73" s="89" t="str">
        <f>IF($AE73="","",IF($AE73&lt;=1200,IF(INDEX(对接源_01水果!$V$4:$V$1203,$AE73)=0,"",INDEX(对接源_01水果!$V$4:$V$1203,$AE73)),IF(INDEX(对接源_02物料!$V$4:$V$1203,$AE73-1200)=0,"",INDEX(对接源_02物料!$V$4:$V$1203,$AE73-1200))))</f>
        <v/>
      </c>
      <c r="E73" s="91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F73" s="88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G73" s="91" t="str">
        <f>IF($AE73="","",IF($AE73&lt;=1200,IF(INDEX(对接源_01水果!$D$4:$D$1203,$AE73)=0,"",INDEX(对接源_01水果!$D$4:$D$1203,$AE73)),IF(INDEX(对接源_02物料!$D$4:$D$1203,$AE73-1200)=0,"",INDEX(对接源_02物料!$D$4:$D$1203,$AE73-1200))))</f>
        <v/>
      </c>
      <c r="H73" s="88" t="str">
        <f t="shared" si="1"/>
        <v/>
      </c>
      <c r="I73" s="91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IFERROR(MATCH(68,_自动清单!$W$4:$W$2403,0),"")</f>
        <v/>
      </c>
    </row>
    <row r="74" ht="18" customHeight="1" spans="1:31">
      <c r="A74" s="52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6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C74" s="53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D74" s="54" t="str">
        <f>IF($AE74="","",IF($AE74&lt;=1200,IF(INDEX(对接源_01水果!$V$4:$V$1203,$AE74)=0,"",INDEX(对接源_01水果!$V$4:$V$1203,$AE74)),IF(INDEX(对接源_02物料!$V$4:$V$1203,$AE74-1200)=0,"",INDEX(对接源_02物料!$V$4:$V$1203,$AE74-1200))))</f>
        <v/>
      </c>
      <c r="E74" s="56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F74" s="53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G74" s="56" t="str">
        <f>IF($AE74="","",IF($AE74&lt;=1200,IF(INDEX(对接源_01水果!$D$4:$D$1203,$AE74)=0,"",INDEX(对接源_01水果!$D$4:$D$1203,$AE74)),IF(INDEX(对接源_02物料!$D$4:$D$1203,$AE74-1200)=0,"",INDEX(对接源_02物料!$D$4:$D$1203,$AE74-1200))))</f>
        <v/>
      </c>
      <c r="H74" s="53" t="str">
        <f t="shared" si="1"/>
        <v/>
      </c>
      <c r="I74" s="56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IFERROR(MATCH(69,_自动清单!$W$4:$W$2403,0),"")</f>
        <v/>
      </c>
    </row>
    <row r="75" ht="18" customHeight="1" spans="1:31">
      <c r="A75" s="87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91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C75" s="88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D75" s="89" t="str">
        <f>IF($AE75="","",IF($AE75&lt;=1200,IF(INDEX(对接源_01水果!$V$4:$V$1203,$AE75)=0,"",INDEX(对接源_01水果!$V$4:$V$1203,$AE75)),IF(INDEX(对接源_02物料!$V$4:$V$1203,$AE75-1200)=0,"",INDEX(对接源_02物料!$V$4:$V$1203,$AE75-1200))))</f>
        <v/>
      </c>
      <c r="E75" s="91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F75" s="88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G75" s="91" t="str">
        <f>IF($AE75="","",IF($AE75&lt;=1200,IF(INDEX(对接源_01水果!$D$4:$D$1203,$AE75)=0,"",INDEX(对接源_01水果!$D$4:$D$1203,$AE75)),IF(INDEX(对接源_02物料!$D$4:$D$1203,$AE75-1200)=0,"",INDEX(对接源_02物料!$D$4:$D$1203,$AE75-1200))))</f>
        <v/>
      </c>
      <c r="H75" s="88" t="str">
        <f t="shared" si="1"/>
        <v/>
      </c>
      <c r="I75" s="91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IFERROR(MATCH(70,_自动清单!$W$4:$W$2403,0),"")</f>
        <v/>
      </c>
    </row>
    <row r="76" ht="18" customHeight="1" spans="1:31">
      <c r="A76" s="52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6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C76" s="53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D76" s="54" t="str">
        <f>IF($AE76="","",IF($AE76&lt;=1200,IF(INDEX(对接源_01水果!$V$4:$V$1203,$AE76)=0,"",INDEX(对接源_01水果!$V$4:$V$1203,$AE76)),IF(INDEX(对接源_02物料!$V$4:$V$1203,$AE76-1200)=0,"",INDEX(对接源_02物料!$V$4:$V$1203,$AE76-1200))))</f>
        <v/>
      </c>
      <c r="E76" s="56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F76" s="53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G76" s="56" t="str">
        <f>IF($AE76="","",IF($AE76&lt;=1200,IF(INDEX(对接源_01水果!$D$4:$D$1203,$AE76)=0,"",INDEX(对接源_01水果!$D$4:$D$1203,$AE76)),IF(INDEX(对接源_02物料!$D$4:$D$1203,$AE76-1200)=0,"",INDEX(对接源_02物料!$D$4:$D$1203,$AE76-1200))))</f>
        <v/>
      </c>
      <c r="H76" s="53" t="str">
        <f t="shared" si="1"/>
        <v/>
      </c>
      <c r="I76" s="56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IFERROR(MATCH(71,_自动清单!$W$4:$W$2403,0),"")</f>
        <v/>
      </c>
    </row>
    <row r="77" ht="18" customHeight="1" spans="1:31">
      <c r="A77" s="87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91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C77" s="88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D77" s="89" t="str">
        <f>IF($AE77="","",IF($AE77&lt;=1200,IF(INDEX(对接源_01水果!$V$4:$V$1203,$AE77)=0,"",INDEX(对接源_01水果!$V$4:$V$1203,$AE77)),IF(INDEX(对接源_02物料!$V$4:$V$1203,$AE77-1200)=0,"",INDEX(对接源_02物料!$V$4:$V$1203,$AE77-1200))))</f>
        <v/>
      </c>
      <c r="E77" s="91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F77" s="88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G77" s="91" t="str">
        <f>IF($AE77="","",IF($AE77&lt;=1200,IF(INDEX(对接源_01水果!$D$4:$D$1203,$AE77)=0,"",INDEX(对接源_01水果!$D$4:$D$1203,$AE77)),IF(INDEX(对接源_02物料!$D$4:$D$1203,$AE77-1200)=0,"",INDEX(对接源_02物料!$D$4:$D$1203,$AE77-1200))))</f>
        <v/>
      </c>
      <c r="H77" s="88" t="str">
        <f t="shared" si="1"/>
        <v/>
      </c>
      <c r="I77" s="91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IFERROR(MATCH(72,_自动清单!$W$4:$W$2403,0),"")</f>
        <v/>
      </c>
    </row>
    <row r="78" ht="18" customHeight="1" spans="1:31">
      <c r="A78" s="52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6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C78" s="53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D78" s="54" t="str">
        <f>IF($AE78="","",IF($AE78&lt;=1200,IF(INDEX(对接源_01水果!$V$4:$V$1203,$AE78)=0,"",INDEX(对接源_01水果!$V$4:$V$1203,$AE78)),IF(INDEX(对接源_02物料!$V$4:$V$1203,$AE78-1200)=0,"",INDEX(对接源_02物料!$V$4:$V$1203,$AE78-1200))))</f>
        <v/>
      </c>
      <c r="E78" s="56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F78" s="53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G78" s="56" t="str">
        <f>IF($AE78="","",IF($AE78&lt;=1200,IF(INDEX(对接源_01水果!$D$4:$D$1203,$AE78)=0,"",INDEX(对接源_01水果!$D$4:$D$1203,$AE78)),IF(INDEX(对接源_02物料!$D$4:$D$1203,$AE78-1200)=0,"",INDEX(对接源_02物料!$D$4:$D$1203,$AE78-1200))))</f>
        <v/>
      </c>
      <c r="H78" s="53" t="str">
        <f t="shared" si="1"/>
        <v/>
      </c>
      <c r="I78" s="56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IFERROR(MATCH(73,_自动清单!$W$4:$W$2403,0),"")</f>
        <v/>
      </c>
    </row>
    <row r="79" ht="18" customHeight="1" spans="1:31">
      <c r="A79" s="87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91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C79" s="88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D79" s="89" t="str">
        <f>IF($AE79="","",IF($AE79&lt;=1200,IF(INDEX(对接源_01水果!$V$4:$V$1203,$AE79)=0,"",INDEX(对接源_01水果!$V$4:$V$1203,$AE79)),IF(INDEX(对接源_02物料!$V$4:$V$1203,$AE79-1200)=0,"",INDEX(对接源_02物料!$V$4:$V$1203,$AE79-1200))))</f>
        <v/>
      </c>
      <c r="E79" s="91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F79" s="88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G79" s="91" t="str">
        <f>IF($AE79="","",IF($AE79&lt;=1200,IF(INDEX(对接源_01水果!$D$4:$D$1203,$AE79)=0,"",INDEX(对接源_01水果!$D$4:$D$1203,$AE79)),IF(INDEX(对接源_02物料!$D$4:$D$1203,$AE79-1200)=0,"",INDEX(对接源_02物料!$D$4:$D$1203,$AE79-1200))))</f>
        <v/>
      </c>
      <c r="H79" s="88" t="str">
        <f t="shared" si="1"/>
        <v/>
      </c>
      <c r="I79" s="91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IFERROR(MATCH(74,_自动清单!$W$4:$W$2403,0),"")</f>
        <v/>
      </c>
    </row>
    <row r="80" ht="18" customHeight="1" spans="1:31">
      <c r="A80" s="52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6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C80" s="53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D80" s="54" t="str">
        <f>IF($AE80="","",IF($AE80&lt;=1200,IF(INDEX(对接源_01水果!$V$4:$V$1203,$AE80)=0,"",INDEX(对接源_01水果!$V$4:$V$1203,$AE80)),IF(INDEX(对接源_02物料!$V$4:$V$1203,$AE80-1200)=0,"",INDEX(对接源_02物料!$V$4:$V$1203,$AE80-1200))))</f>
        <v/>
      </c>
      <c r="E80" s="56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F80" s="53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G80" s="56" t="str">
        <f>IF($AE80="","",IF($AE80&lt;=1200,IF(INDEX(对接源_01水果!$D$4:$D$1203,$AE80)=0,"",INDEX(对接源_01水果!$D$4:$D$1203,$AE80)),IF(INDEX(对接源_02物料!$D$4:$D$1203,$AE80-1200)=0,"",INDEX(对接源_02物料!$D$4:$D$1203,$AE80-1200))))</f>
        <v/>
      </c>
      <c r="H80" s="53" t="str">
        <f t="shared" si="1"/>
        <v/>
      </c>
      <c r="I80" s="56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IFERROR(MATCH(75,_自动清单!$W$4:$W$2403,0),"")</f>
        <v/>
      </c>
    </row>
    <row r="81" ht="18" customHeight="1" spans="1:31">
      <c r="A81" s="87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91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C81" s="88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D81" s="89" t="str">
        <f>IF($AE81="","",IF($AE81&lt;=1200,IF(INDEX(对接源_01水果!$V$4:$V$1203,$AE81)=0,"",INDEX(对接源_01水果!$V$4:$V$1203,$AE81)),IF(INDEX(对接源_02物料!$V$4:$V$1203,$AE81-1200)=0,"",INDEX(对接源_02物料!$V$4:$V$1203,$AE81-1200))))</f>
        <v/>
      </c>
      <c r="E81" s="91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F81" s="88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G81" s="91" t="str">
        <f>IF($AE81="","",IF($AE81&lt;=1200,IF(INDEX(对接源_01水果!$D$4:$D$1203,$AE81)=0,"",INDEX(对接源_01水果!$D$4:$D$1203,$AE81)),IF(INDEX(对接源_02物料!$D$4:$D$1203,$AE81-1200)=0,"",INDEX(对接源_02物料!$D$4:$D$1203,$AE81-1200))))</f>
        <v/>
      </c>
      <c r="H81" s="88" t="str">
        <f t="shared" si="1"/>
        <v/>
      </c>
      <c r="I81" s="91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IFERROR(MATCH(76,_自动清单!$W$4:$W$2403,0),"")</f>
        <v/>
      </c>
    </row>
    <row r="82" ht="18" customHeight="1" spans="1:31">
      <c r="A82" s="52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6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C82" s="53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D82" s="54" t="str">
        <f>IF($AE82="","",IF($AE82&lt;=1200,IF(INDEX(对接源_01水果!$V$4:$V$1203,$AE82)=0,"",INDEX(对接源_01水果!$V$4:$V$1203,$AE82)),IF(INDEX(对接源_02物料!$V$4:$V$1203,$AE82-1200)=0,"",INDEX(对接源_02物料!$V$4:$V$1203,$AE82-1200))))</f>
        <v/>
      </c>
      <c r="E82" s="56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F82" s="53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G82" s="56" t="str">
        <f>IF($AE82="","",IF($AE82&lt;=1200,IF(INDEX(对接源_01水果!$D$4:$D$1203,$AE82)=0,"",INDEX(对接源_01水果!$D$4:$D$1203,$AE82)),IF(INDEX(对接源_02物料!$D$4:$D$1203,$AE82-1200)=0,"",INDEX(对接源_02物料!$D$4:$D$1203,$AE82-1200))))</f>
        <v/>
      </c>
      <c r="H82" s="53" t="str">
        <f t="shared" si="1"/>
        <v/>
      </c>
      <c r="I82" s="56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IFERROR(MATCH(77,_自动清单!$W$4:$W$2403,0),"")</f>
        <v/>
      </c>
    </row>
    <row r="83" ht="18" customHeight="1" spans="1:31">
      <c r="A83" s="87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91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C83" s="88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D83" s="89" t="str">
        <f>IF($AE83="","",IF($AE83&lt;=1200,IF(INDEX(对接源_01水果!$V$4:$V$1203,$AE83)=0,"",INDEX(对接源_01水果!$V$4:$V$1203,$AE83)),IF(INDEX(对接源_02物料!$V$4:$V$1203,$AE83-1200)=0,"",INDEX(对接源_02物料!$V$4:$V$1203,$AE83-1200))))</f>
        <v/>
      </c>
      <c r="E83" s="91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F83" s="88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G83" s="91" t="str">
        <f>IF($AE83="","",IF($AE83&lt;=1200,IF(INDEX(对接源_01水果!$D$4:$D$1203,$AE83)=0,"",INDEX(对接源_01水果!$D$4:$D$1203,$AE83)),IF(INDEX(对接源_02物料!$D$4:$D$1203,$AE83-1200)=0,"",INDEX(对接源_02物料!$D$4:$D$1203,$AE83-1200))))</f>
        <v/>
      </c>
      <c r="H83" s="88" t="str">
        <f t="shared" si="1"/>
        <v/>
      </c>
      <c r="I83" s="91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IFERROR(MATCH(78,_自动清单!$W$4:$W$2403,0),"")</f>
        <v/>
      </c>
    </row>
    <row r="84" ht="18" customHeight="1" spans="1:31">
      <c r="A84" s="52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6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C84" s="53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D84" s="54" t="str">
        <f>IF($AE84="","",IF($AE84&lt;=1200,IF(INDEX(对接源_01水果!$V$4:$V$1203,$AE84)=0,"",INDEX(对接源_01水果!$V$4:$V$1203,$AE84)),IF(INDEX(对接源_02物料!$V$4:$V$1203,$AE84-1200)=0,"",INDEX(对接源_02物料!$V$4:$V$1203,$AE84-1200))))</f>
        <v/>
      </c>
      <c r="E84" s="56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F84" s="53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G84" s="56" t="str">
        <f>IF($AE84="","",IF($AE84&lt;=1200,IF(INDEX(对接源_01水果!$D$4:$D$1203,$AE84)=0,"",INDEX(对接源_01水果!$D$4:$D$1203,$AE84)),IF(INDEX(对接源_02物料!$D$4:$D$1203,$AE84-1200)=0,"",INDEX(对接源_02物料!$D$4:$D$1203,$AE84-1200))))</f>
        <v/>
      </c>
      <c r="H84" s="53" t="str">
        <f t="shared" si="1"/>
        <v/>
      </c>
      <c r="I84" s="56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IFERROR(MATCH(79,_自动清单!$W$4:$W$2403,0),"")</f>
        <v/>
      </c>
    </row>
    <row r="85" ht="18" customHeight="1" spans="1:31">
      <c r="A85" s="87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91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C85" s="88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D85" s="89" t="str">
        <f>IF($AE85="","",IF($AE85&lt;=1200,IF(INDEX(对接源_01水果!$V$4:$V$1203,$AE85)=0,"",INDEX(对接源_01水果!$V$4:$V$1203,$AE85)),IF(INDEX(对接源_02物料!$V$4:$V$1203,$AE85-1200)=0,"",INDEX(对接源_02物料!$V$4:$V$1203,$AE85-1200))))</f>
        <v/>
      </c>
      <c r="E85" s="91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F85" s="88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G85" s="91" t="str">
        <f>IF($AE85="","",IF($AE85&lt;=1200,IF(INDEX(对接源_01水果!$D$4:$D$1203,$AE85)=0,"",INDEX(对接源_01水果!$D$4:$D$1203,$AE85)),IF(INDEX(对接源_02物料!$D$4:$D$1203,$AE85-1200)=0,"",INDEX(对接源_02物料!$D$4:$D$1203,$AE85-1200))))</f>
        <v/>
      </c>
      <c r="H85" s="88" t="str">
        <f t="shared" si="1"/>
        <v/>
      </c>
      <c r="I85" s="91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IFERROR(MATCH(80,_自动清单!$W$4:$W$2403,0),"")</f>
        <v/>
      </c>
    </row>
    <row r="86" ht="18" customHeight="1" spans="1:31">
      <c r="A86" s="52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6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C86" s="53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D86" s="54" t="str">
        <f>IF($AE86="","",IF($AE86&lt;=1200,IF(INDEX(对接源_01水果!$V$4:$V$1203,$AE86)=0,"",INDEX(对接源_01水果!$V$4:$V$1203,$AE86)),IF(INDEX(对接源_02物料!$V$4:$V$1203,$AE86-1200)=0,"",INDEX(对接源_02物料!$V$4:$V$1203,$AE86-1200))))</f>
        <v/>
      </c>
      <c r="E86" s="56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F86" s="53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G86" s="56" t="str">
        <f>IF($AE86="","",IF($AE86&lt;=1200,IF(INDEX(对接源_01水果!$D$4:$D$1203,$AE86)=0,"",INDEX(对接源_01水果!$D$4:$D$1203,$AE86)),IF(INDEX(对接源_02物料!$D$4:$D$1203,$AE86-1200)=0,"",INDEX(对接源_02物料!$D$4:$D$1203,$AE86-1200))))</f>
        <v/>
      </c>
      <c r="H86" s="53" t="str">
        <f t="shared" si="1"/>
        <v/>
      </c>
      <c r="I86" s="56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IFERROR(MATCH(81,_自动清单!$W$4:$W$2403,0),"")</f>
        <v/>
      </c>
    </row>
    <row r="87" ht="18" customHeight="1" spans="1:31">
      <c r="A87" s="87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91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C87" s="88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D87" s="89" t="str">
        <f>IF($AE87="","",IF($AE87&lt;=1200,IF(INDEX(对接源_01水果!$V$4:$V$1203,$AE87)=0,"",INDEX(对接源_01水果!$V$4:$V$1203,$AE87)),IF(INDEX(对接源_02物料!$V$4:$V$1203,$AE87-1200)=0,"",INDEX(对接源_02物料!$V$4:$V$1203,$AE87-1200))))</f>
        <v/>
      </c>
      <c r="E87" s="91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F87" s="88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G87" s="91" t="str">
        <f>IF($AE87="","",IF($AE87&lt;=1200,IF(INDEX(对接源_01水果!$D$4:$D$1203,$AE87)=0,"",INDEX(对接源_01水果!$D$4:$D$1203,$AE87)),IF(INDEX(对接源_02物料!$D$4:$D$1203,$AE87-1200)=0,"",INDEX(对接源_02物料!$D$4:$D$1203,$AE87-1200))))</f>
        <v/>
      </c>
      <c r="H87" s="88" t="str">
        <f t="shared" si="1"/>
        <v/>
      </c>
      <c r="I87" s="91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IFERROR(MATCH(82,_自动清单!$W$4:$W$2403,0),"")</f>
        <v/>
      </c>
    </row>
    <row r="88" ht="18" customHeight="1" spans="1:31">
      <c r="A88" s="52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6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C88" s="53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D88" s="54" t="str">
        <f>IF($AE88="","",IF($AE88&lt;=1200,IF(INDEX(对接源_01水果!$V$4:$V$1203,$AE88)=0,"",INDEX(对接源_01水果!$V$4:$V$1203,$AE88)),IF(INDEX(对接源_02物料!$V$4:$V$1203,$AE88-1200)=0,"",INDEX(对接源_02物料!$V$4:$V$1203,$AE88-1200))))</f>
        <v/>
      </c>
      <c r="E88" s="56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F88" s="53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G88" s="56" t="str">
        <f>IF($AE88="","",IF($AE88&lt;=1200,IF(INDEX(对接源_01水果!$D$4:$D$1203,$AE88)=0,"",INDEX(对接源_01水果!$D$4:$D$1203,$AE88)),IF(INDEX(对接源_02物料!$D$4:$D$1203,$AE88-1200)=0,"",INDEX(对接源_02物料!$D$4:$D$1203,$AE88-1200))))</f>
        <v/>
      </c>
      <c r="H88" s="53" t="str">
        <f t="shared" si="1"/>
        <v/>
      </c>
      <c r="I88" s="56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IFERROR(MATCH(83,_自动清单!$W$4:$W$2403,0),"")</f>
        <v/>
      </c>
    </row>
    <row r="89" ht="18" customHeight="1" spans="1:31">
      <c r="A89" s="87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91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C89" s="88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D89" s="89" t="str">
        <f>IF($AE89="","",IF($AE89&lt;=1200,IF(INDEX(对接源_01水果!$V$4:$V$1203,$AE89)=0,"",INDEX(对接源_01水果!$V$4:$V$1203,$AE89)),IF(INDEX(对接源_02物料!$V$4:$V$1203,$AE89-1200)=0,"",INDEX(对接源_02物料!$V$4:$V$1203,$AE89-1200))))</f>
        <v/>
      </c>
      <c r="E89" s="91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F89" s="88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G89" s="91" t="str">
        <f>IF($AE89="","",IF($AE89&lt;=1200,IF(INDEX(对接源_01水果!$D$4:$D$1203,$AE89)=0,"",INDEX(对接源_01水果!$D$4:$D$1203,$AE89)),IF(INDEX(对接源_02物料!$D$4:$D$1203,$AE89-1200)=0,"",INDEX(对接源_02物料!$D$4:$D$1203,$AE89-1200))))</f>
        <v/>
      </c>
      <c r="H89" s="88" t="str">
        <f t="shared" si="1"/>
        <v/>
      </c>
      <c r="I89" s="91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IFERROR(MATCH(84,_自动清单!$W$4:$W$2403,0),"")</f>
        <v/>
      </c>
    </row>
    <row r="90" ht="18" customHeight="1" spans="1:31">
      <c r="A90" s="52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6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C90" s="53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D90" s="54" t="str">
        <f>IF($AE90="","",IF($AE90&lt;=1200,IF(INDEX(对接源_01水果!$V$4:$V$1203,$AE90)=0,"",INDEX(对接源_01水果!$V$4:$V$1203,$AE90)),IF(INDEX(对接源_02物料!$V$4:$V$1203,$AE90-1200)=0,"",INDEX(对接源_02物料!$V$4:$V$1203,$AE90-1200))))</f>
        <v/>
      </c>
      <c r="E90" s="56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F90" s="53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G90" s="56" t="str">
        <f>IF($AE90="","",IF($AE90&lt;=1200,IF(INDEX(对接源_01水果!$D$4:$D$1203,$AE90)=0,"",INDEX(对接源_01水果!$D$4:$D$1203,$AE90)),IF(INDEX(对接源_02物料!$D$4:$D$1203,$AE90-1200)=0,"",INDEX(对接源_02物料!$D$4:$D$1203,$AE90-1200))))</f>
        <v/>
      </c>
      <c r="H90" s="53" t="str">
        <f t="shared" si="1"/>
        <v/>
      </c>
      <c r="I90" s="56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IFERROR(MATCH(85,_自动清单!$W$4:$W$2403,0),"")</f>
        <v/>
      </c>
    </row>
    <row r="91" ht="18" customHeight="1" spans="1:31">
      <c r="A91" s="87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91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C91" s="88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D91" s="89" t="str">
        <f>IF($AE91="","",IF($AE91&lt;=1200,IF(INDEX(对接源_01水果!$V$4:$V$1203,$AE91)=0,"",INDEX(对接源_01水果!$V$4:$V$1203,$AE91)),IF(INDEX(对接源_02物料!$V$4:$V$1203,$AE91-1200)=0,"",INDEX(对接源_02物料!$V$4:$V$1203,$AE91-1200))))</f>
        <v/>
      </c>
      <c r="E91" s="91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F91" s="88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G91" s="91" t="str">
        <f>IF($AE91="","",IF($AE91&lt;=1200,IF(INDEX(对接源_01水果!$D$4:$D$1203,$AE91)=0,"",INDEX(对接源_01水果!$D$4:$D$1203,$AE91)),IF(INDEX(对接源_02物料!$D$4:$D$1203,$AE91-1200)=0,"",INDEX(对接源_02物料!$D$4:$D$1203,$AE91-1200))))</f>
        <v/>
      </c>
      <c r="H91" s="88" t="str">
        <f t="shared" si="1"/>
        <v/>
      </c>
      <c r="I91" s="91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IFERROR(MATCH(86,_自动清单!$W$4:$W$2403,0),"")</f>
        <v/>
      </c>
    </row>
    <row r="92" ht="18" customHeight="1" spans="1:31">
      <c r="A92" s="52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6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C92" s="53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D92" s="54" t="str">
        <f>IF($AE92="","",IF($AE92&lt;=1200,IF(INDEX(对接源_01水果!$V$4:$V$1203,$AE92)=0,"",INDEX(对接源_01水果!$V$4:$V$1203,$AE92)),IF(INDEX(对接源_02物料!$V$4:$V$1203,$AE92-1200)=0,"",INDEX(对接源_02物料!$V$4:$V$1203,$AE92-1200))))</f>
        <v/>
      </c>
      <c r="E92" s="56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F92" s="53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G92" s="56" t="str">
        <f>IF($AE92="","",IF($AE92&lt;=1200,IF(INDEX(对接源_01水果!$D$4:$D$1203,$AE92)=0,"",INDEX(对接源_01水果!$D$4:$D$1203,$AE92)),IF(INDEX(对接源_02物料!$D$4:$D$1203,$AE92-1200)=0,"",INDEX(对接源_02物料!$D$4:$D$1203,$AE92-1200))))</f>
        <v/>
      </c>
      <c r="H92" s="53" t="str">
        <f t="shared" si="1"/>
        <v/>
      </c>
      <c r="I92" s="56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IFERROR(MATCH(87,_自动清单!$W$4:$W$2403,0),"")</f>
        <v/>
      </c>
    </row>
    <row r="93" ht="18" customHeight="1" spans="1:31">
      <c r="A93" s="87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91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C93" s="88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D93" s="89" t="str">
        <f>IF($AE93="","",IF($AE93&lt;=1200,IF(INDEX(对接源_01水果!$V$4:$V$1203,$AE93)=0,"",INDEX(对接源_01水果!$V$4:$V$1203,$AE93)),IF(INDEX(对接源_02物料!$V$4:$V$1203,$AE93-1200)=0,"",INDEX(对接源_02物料!$V$4:$V$1203,$AE93-1200))))</f>
        <v/>
      </c>
      <c r="E93" s="91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F93" s="88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G93" s="91" t="str">
        <f>IF($AE93="","",IF($AE93&lt;=1200,IF(INDEX(对接源_01水果!$D$4:$D$1203,$AE93)=0,"",INDEX(对接源_01水果!$D$4:$D$1203,$AE93)),IF(INDEX(对接源_02物料!$D$4:$D$1203,$AE93-1200)=0,"",INDEX(对接源_02物料!$D$4:$D$1203,$AE93-1200))))</f>
        <v/>
      </c>
      <c r="H93" s="88" t="str">
        <f t="shared" si="1"/>
        <v/>
      </c>
      <c r="I93" s="91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IFERROR(MATCH(88,_自动清单!$W$4:$W$2403,0),"")</f>
        <v/>
      </c>
    </row>
    <row r="94" ht="18" customHeight="1" spans="1:31">
      <c r="A94" s="52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6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C94" s="53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D94" s="54" t="str">
        <f>IF($AE94="","",IF($AE94&lt;=1200,IF(INDEX(对接源_01水果!$V$4:$V$1203,$AE94)=0,"",INDEX(对接源_01水果!$V$4:$V$1203,$AE94)),IF(INDEX(对接源_02物料!$V$4:$V$1203,$AE94-1200)=0,"",INDEX(对接源_02物料!$V$4:$V$1203,$AE94-1200))))</f>
        <v/>
      </c>
      <c r="E94" s="56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F94" s="53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G94" s="56" t="str">
        <f>IF($AE94="","",IF($AE94&lt;=1200,IF(INDEX(对接源_01水果!$D$4:$D$1203,$AE94)=0,"",INDEX(对接源_01水果!$D$4:$D$1203,$AE94)),IF(INDEX(对接源_02物料!$D$4:$D$1203,$AE94-1200)=0,"",INDEX(对接源_02物料!$D$4:$D$1203,$AE94-1200))))</f>
        <v/>
      </c>
      <c r="H94" s="53" t="str">
        <f t="shared" si="1"/>
        <v/>
      </c>
      <c r="I94" s="56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IFERROR(MATCH(89,_自动清单!$W$4:$W$2403,0),"")</f>
        <v/>
      </c>
    </row>
    <row r="95" ht="18" customHeight="1" spans="1:31">
      <c r="A95" s="87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91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C95" s="88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D95" s="89" t="str">
        <f>IF($AE95="","",IF($AE95&lt;=1200,IF(INDEX(对接源_01水果!$V$4:$V$1203,$AE95)=0,"",INDEX(对接源_01水果!$V$4:$V$1203,$AE95)),IF(INDEX(对接源_02物料!$V$4:$V$1203,$AE95-1200)=0,"",INDEX(对接源_02物料!$V$4:$V$1203,$AE95-1200))))</f>
        <v/>
      </c>
      <c r="E95" s="91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F95" s="88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G95" s="91" t="str">
        <f>IF($AE95="","",IF($AE95&lt;=1200,IF(INDEX(对接源_01水果!$D$4:$D$1203,$AE95)=0,"",INDEX(对接源_01水果!$D$4:$D$1203,$AE95)),IF(INDEX(对接源_02物料!$D$4:$D$1203,$AE95-1200)=0,"",INDEX(对接源_02物料!$D$4:$D$1203,$AE95-1200))))</f>
        <v/>
      </c>
      <c r="H95" s="88" t="str">
        <f t="shared" si="1"/>
        <v/>
      </c>
      <c r="I95" s="91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IFERROR(MATCH(90,_自动清单!$W$4:$W$2403,0),"")</f>
        <v/>
      </c>
    </row>
    <row r="96" ht="18" customHeight="1" spans="1:31">
      <c r="A96" s="52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6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C96" s="53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D96" s="54" t="str">
        <f>IF($AE96="","",IF($AE96&lt;=1200,IF(INDEX(对接源_01水果!$V$4:$V$1203,$AE96)=0,"",INDEX(对接源_01水果!$V$4:$V$1203,$AE96)),IF(INDEX(对接源_02物料!$V$4:$V$1203,$AE96-1200)=0,"",INDEX(对接源_02物料!$V$4:$V$1203,$AE96-1200))))</f>
        <v/>
      </c>
      <c r="E96" s="56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F96" s="53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G96" s="56" t="str">
        <f>IF($AE96="","",IF($AE96&lt;=1200,IF(INDEX(对接源_01水果!$D$4:$D$1203,$AE96)=0,"",INDEX(对接源_01水果!$D$4:$D$1203,$AE96)),IF(INDEX(对接源_02物料!$D$4:$D$1203,$AE96-1200)=0,"",INDEX(对接源_02物料!$D$4:$D$1203,$AE96-1200))))</f>
        <v/>
      </c>
      <c r="H96" s="53" t="str">
        <f t="shared" si="1"/>
        <v/>
      </c>
      <c r="I96" s="56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IFERROR(MATCH(91,_自动清单!$W$4:$W$2403,0),"")</f>
        <v/>
      </c>
    </row>
    <row r="97" ht="18" customHeight="1" spans="1:32">
      <c r="A97" s="87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91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C97" s="88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D97" s="89" t="str">
        <f>IF($AE97="","",IF($AE97&lt;=1200,IF(INDEX(对接源_01水果!$V$4:$V$1203,$AE97)=0,"",INDEX(对接源_01水果!$V$4:$V$1203,$AE97)),IF(INDEX(对接源_02物料!$V$4:$V$1203,$AE97-1200)=0,"",INDEX(对接源_02物料!$V$4:$V$1203,$AE97-1200))))</f>
        <v/>
      </c>
      <c r="E97" s="91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F97" s="88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G97" s="91" t="str">
        <f>IF($AE97="","",IF($AE97&lt;=1200,IF(INDEX(对接源_01水果!$D$4:$D$1203,$AE97)=0,"",INDEX(对接源_01水果!$D$4:$D$1203,$AE97)),IF(INDEX(对接源_02物料!$D$4:$D$1203,$AE97-1200)=0,"",INDEX(对接源_02物料!$D$4:$D$1203,$AE97-1200))))</f>
        <v/>
      </c>
      <c r="H97" s="88" t="str">
        <f t="shared" si="1"/>
        <v/>
      </c>
      <c r="I97" s="91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IFERROR(MATCH(92,_自动清单!$W$4:$W$2403,0),"")</f>
        <v/>
      </c>
    </row>
    <row r="98" ht="18" customHeight="1" spans="1:32">
      <c r="A98" s="52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6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C98" s="53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D98" s="54" t="str">
        <f>IF($AE98="","",IF($AE98&lt;=1200,IF(INDEX(对接源_01水果!$V$4:$V$1203,$AE98)=0,"",INDEX(对接源_01水果!$V$4:$V$1203,$AE98)),IF(INDEX(对接源_02物料!$V$4:$V$1203,$AE98-1200)=0,"",INDEX(对接源_02物料!$V$4:$V$1203,$AE98-1200))))</f>
        <v/>
      </c>
      <c r="E98" s="56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F98" s="53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G98" s="56" t="str">
        <f>IF($AE98="","",IF($AE98&lt;=1200,IF(INDEX(对接源_01水果!$D$4:$D$1203,$AE98)=0,"",INDEX(对接源_01水果!$D$4:$D$1203,$AE98)),IF(INDEX(对接源_02物料!$D$4:$D$1203,$AE98-1200)=0,"",INDEX(对接源_02物料!$D$4:$D$1203,$AE98-1200))))</f>
        <v/>
      </c>
      <c r="H98" s="53" t="str">
        <f t="shared" si="1"/>
        <v/>
      </c>
      <c r="I98" s="56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IFERROR(MATCH(93,_自动清单!$W$4:$W$2403,0),"")</f>
        <v/>
      </c>
    </row>
    <row r="99" ht="18" customHeight="1" spans="1:32">
      <c r="A99" s="87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91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C99" s="88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D99" s="89" t="str">
        <f>IF($AE99="","",IF($AE99&lt;=1200,IF(INDEX(对接源_01水果!$V$4:$V$1203,$AE99)=0,"",INDEX(对接源_01水果!$V$4:$V$1203,$AE99)),IF(INDEX(对接源_02物料!$V$4:$V$1203,$AE99-1200)=0,"",INDEX(对接源_02物料!$V$4:$V$1203,$AE99-1200))))</f>
        <v/>
      </c>
      <c r="E99" s="91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F99" s="88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G99" s="91" t="str">
        <f>IF($AE99="","",IF($AE99&lt;=1200,IF(INDEX(对接源_01水果!$D$4:$D$1203,$AE99)=0,"",INDEX(对接源_01水果!$D$4:$D$1203,$AE99)),IF(INDEX(对接源_02物料!$D$4:$D$1203,$AE99-1200)=0,"",INDEX(对接源_02物料!$D$4:$D$1203,$AE99-1200))))</f>
        <v/>
      </c>
      <c r="H99" s="88" t="str">
        <f t="shared" si="1"/>
        <v/>
      </c>
      <c r="I99" s="91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IFERROR(MATCH(94,_自动清单!$W$4:$W$2403,0),"")</f>
        <v/>
      </c>
    </row>
    <row r="100" ht="18" customHeight="1" spans="1:32">
      <c r="A100" s="52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6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C100" s="53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D100" s="54" t="str">
        <f>IF($AE100="","",IF($AE100&lt;=1200,IF(INDEX(对接源_01水果!$V$4:$V$1203,$AE100)=0,"",INDEX(对接源_01水果!$V$4:$V$1203,$AE100)),IF(INDEX(对接源_02物料!$V$4:$V$1203,$AE100-1200)=0,"",INDEX(对接源_02物料!$V$4:$V$1203,$AE100-1200))))</f>
        <v/>
      </c>
      <c r="E100" s="56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F100" s="53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G100" s="56" t="str">
        <f>IF($AE100="","",IF($AE100&lt;=1200,IF(INDEX(对接源_01水果!$D$4:$D$1203,$AE100)=0,"",INDEX(对接源_01水果!$D$4:$D$1203,$AE100)),IF(INDEX(对接源_02物料!$D$4:$D$1203,$AE100-1200)=0,"",INDEX(对接源_02物料!$D$4:$D$1203,$AE100-1200))))</f>
        <v/>
      </c>
      <c r="H100" s="53" t="str">
        <f t="shared" si="1"/>
        <v/>
      </c>
      <c r="I100" s="56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IFERROR(MATCH(95,_自动清单!$W$4:$W$2403,0),"")</f>
        <v/>
      </c>
    </row>
    <row r="101" ht="18" customHeight="1" spans="1:32">
      <c r="A101" s="87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91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C101" s="88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D101" s="89" t="str">
        <f>IF($AE101="","",IF($AE101&lt;=1200,IF(INDEX(对接源_01水果!$V$4:$V$1203,$AE101)=0,"",INDEX(对接源_01水果!$V$4:$V$1203,$AE101)),IF(INDEX(对接源_02物料!$V$4:$V$1203,$AE101-1200)=0,"",INDEX(对接源_02物料!$V$4:$V$1203,$AE101-1200))))</f>
        <v/>
      </c>
      <c r="E101" s="91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F101" s="88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G101" s="91" t="str">
        <f>IF($AE101="","",IF($AE101&lt;=1200,IF(INDEX(对接源_01水果!$D$4:$D$1203,$AE101)=0,"",INDEX(对接源_01水果!$D$4:$D$1203,$AE101)),IF(INDEX(对接源_02物料!$D$4:$D$1203,$AE101-1200)=0,"",INDEX(对接源_02物料!$D$4:$D$1203,$AE101-1200))))</f>
        <v/>
      </c>
      <c r="H101" s="88" t="str">
        <f t="shared" si="1"/>
        <v/>
      </c>
      <c r="I101" s="91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IFERROR(MATCH(96,_自动清单!$W$4:$W$2403,0),"")</f>
        <v/>
      </c>
    </row>
    <row r="102" ht="18" customHeight="1" spans="1:32">
      <c r="A102" s="52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6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C102" s="53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D102" s="54" t="str">
        <f>IF($AE102="","",IF($AE102&lt;=1200,IF(INDEX(对接源_01水果!$V$4:$V$1203,$AE102)=0,"",INDEX(对接源_01水果!$V$4:$V$1203,$AE102)),IF(INDEX(对接源_02物料!$V$4:$V$1203,$AE102-1200)=0,"",INDEX(对接源_02物料!$V$4:$V$1203,$AE102-1200))))</f>
        <v/>
      </c>
      <c r="E102" s="56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F102" s="53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G102" s="56" t="str">
        <f>IF($AE102="","",IF($AE102&lt;=1200,IF(INDEX(对接源_01水果!$D$4:$D$1203,$AE102)=0,"",INDEX(对接源_01水果!$D$4:$D$1203,$AE102)),IF(INDEX(对接源_02物料!$D$4:$D$1203,$AE102-1200)=0,"",INDEX(对接源_02物料!$D$4:$D$1203,$AE102-1200))))</f>
        <v/>
      </c>
      <c r="H102" s="53" t="str">
        <f t="shared" si="1"/>
        <v/>
      </c>
      <c r="I102" s="56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IFERROR(MATCH(97,_自动清单!$W$4:$W$2403,0),"")</f>
        <v/>
      </c>
    </row>
    <row r="103" ht="18" customHeight="1" spans="1:32">
      <c r="A103" s="87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91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C103" s="88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D103" s="89" t="str">
        <f>IF($AE103="","",IF($AE103&lt;=1200,IF(INDEX(对接源_01水果!$V$4:$V$1203,$AE103)=0,"",INDEX(对接源_01水果!$V$4:$V$1203,$AE103)),IF(INDEX(对接源_02物料!$V$4:$V$1203,$AE103-1200)=0,"",INDEX(对接源_02物料!$V$4:$V$1203,$AE103-1200))))</f>
        <v/>
      </c>
      <c r="E103" s="91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F103" s="88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G103" s="91" t="str">
        <f>IF($AE103="","",IF($AE103&lt;=1200,IF(INDEX(对接源_01水果!$D$4:$D$1203,$AE103)=0,"",INDEX(对接源_01水果!$D$4:$D$1203,$AE103)),IF(INDEX(对接源_02物料!$D$4:$D$1203,$AE103-1200)=0,"",INDEX(对接源_02物料!$D$4:$D$1203,$AE103-1200))))</f>
        <v/>
      </c>
      <c r="H103" s="88" t="str">
        <f t="shared" si="1"/>
        <v/>
      </c>
      <c r="I103" s="91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IFERROR(MATCH(98,_自动清单!$W$4:$W$2403,0),"")</f>
        <v/>
      </c>
    </row>
    <row r="104" ht="18" customHeight="1" spans="1:32">
      <c r="A104" s="52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6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C104" s="53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D104" s="54" t="str">
        <f>IF($AE104="","",IF($AE104&lt;=1200,IF(INDEX(对接源_01水果!$V$4:$V$1203,$AE104)=0,"",INDEX(对接源_01水果!$V$4:$V$1203,$AE104)),IF(INDEX(对接源_02物料!$V$4:$V$1203,$AE104-1200)=0,"",INDEX(对接源_02物料!$V$4:$V$1203,$AE104-1200))))</f>
        <v/>
      </c>
      <c r="E104" s="56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F104" s="53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G104" s="56" t="str">
        <f>IF($AE104="","",IF($AE104&lt;=1200,IF(INDEX(对接源_01水果!$D$4:$D$1203,$AE104)=0,"",INDEX(对接源_01水果!$D$4:$D$1203,$AE104)),IF(INDEX(对接源_02物料!$D$4:$D$1203,$AE104-1200)=0,"",INDEX(对接源_02物料!$D$4:$D$1203,$AE104-1200))))</f>
        <v/>
      </c>
      <c r="H104" s="53" t="str">
        <f t="shared" si="1"/>
        <v/>
      </c>
      <c r="I104" s="56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IFERROR(MATCH(99,_自动清单!$W$4:$W$2403,0),"")</f>
        <v/>
      </c>
    </row>
    <row r="105" ht="18" customHeight="1" spans="1:32">
      <c r="A105" s="87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91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C105" s="88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D105" s="89" t="str">
        <f>IF($AE105="","",IF($AE105&lt;=1200,IF(INDEX(对接源_01水果!$V$4:$V$1203,$AE105)=0,"",INDEX(对接源_01水果!$V$4:$V$1203,$AE105)),IF(INDEX(对接源_02物料!$V$4:$V$1203,$AE105-1200)=0,"",INDEX(对接源_02物料!$V$4:$V$1203,$AE105-1200))))</f>
        <v/>
      </c>
      <c r="E105" s="91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F105" s="88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G105" s="91" t="str">
        <f>IF($AE105="","",IF($AE105&lt;=1200,IF(INDEX(对接源_01水果!$D$4:$D$1203,$AE105)=0,"",INDEX(对接源_01水果!$D$4:$D$1203,$AE105)),IF(INDEX(对接源_02物料!$D$4:$D$1203,$AE105-1200)=0,"",INDEX(对接源_02物料!$D$4:$D$1203,$AE105-1200))))</f>
        <v/>
      </c>
      <c r="H105" s="88" t="str">
        <f t="shared" si="1"/>
        <v/>
      </c>
      <c r="I105" s="91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IFERROR(MATCH(100,_自动清单!$W$4:$W$2403,0),"")</f>
        <v/>
      </c>
    </row>
    <row r="107" ht="24" customHeight="1" spans="1:32">
      <c r="A107" s="47" t="s">
        <v>90</v>
      </c>
      <c r="B107" s="47"/>
      <c r="C107" s="47"/>
      <c r="D107" s="47"/>
      <c r="E107" s="47"/>
      <c r="F107" s="47"/>
      <c r="G107" s="83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  <c r="H107" s="83"/>
      <c r="I107" s="83"/>
    </row>
    <row r="108" ht="30" customHeight="1" spans="1:32">
      <c r="A108" s="51" t="s">
        <v>80</v>
      </c>
      <c r="B108" s="51" t="s">
        <v>81</v>
      </c>
      <c r="C108" s="51" t="s">
        <v>82</v>
      </c>
      <c r="D108" s="51" t="s">
        <v>91</v>
      </c>
      <c r="E108" s="51" t="s">
        <v>84</v>
      </c>
      <c r="F108" s="51" t="s">
        <v>85</v>
      </c>
      <c r="G108" s="51" t="s">
        <v>86</v>
      </c>
      <c r="H108" s="51" t="s">
        <v>87</v>
      </c>
      <c r="I108" s="51" t="s">
        <v>88</v>
      </c>
    </row>
    <row r="109" ht="18" customHeight="1" spans="1:32">
      <c r="A109" s="52" t="str">
        <f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56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C109" s="53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D109" s="54" t="str">
        <f>IF($AF109="","",IF($AF109&lt;=1200,IF(INDEX(对接源_01水果!$T$4:$T$1203,$AF109)=0,"",INDEX(对接源_01水果!$T$4:$T$1203,$AF109)),IF(INDEX(对接源_02物料!$T$4:$T$1203,$AF109-1200)=0,"",INDEX(对接源_02物料!$T$4:$T$1203,$AF109-1200))))</f>
        <v/>
      </c>
      <c r="E109" s="56" t="str">
        <f>IF($AF109="","",IF($AF109&lt;=1200,IF(INDEX(对接源_01水果!$C$4:$C$1203,$AF109)=0,"",INDEX(对接源_01水果!$C$4:$C$1203,$AF109)),IF(INDEX(对接源_02物料!$C$4:$C$1203,$AF109-1200)=0,"",INDEX(对接源_02物料!$C$4:$C$1203,$AF109-1200))))</f>
        <v/>
      </c>
      <c r="F109" s="53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/>
      </c>
      <c r="G109" s="56" t="str">
        <f>IF($AF109="","",IF($AF109&lt;=1200,IF(INDEX(对接源_01水果!$D$4:$D$1203,$AF109)=0,"",INDEX(对接源_01水果!$D$4:$D$1203,$AF109)),IF(INDEX(对接源_02物料!$D$4:$D$1203,$AF109-1200)=0,"",INDEX(对接源_02物料!$D$4:$D$1203,$AF109-1200))))</f>
        <v/>
      </c>
      <c r="H109" s="53" t="str">
        <f t="shared" ref="H109:H172" si="2">IF($AF109="","",IF($AF109&lt;=1200,"01水果册","02物料册"))</f>
        <v/>
      </c>
      <c r="I109" s="56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2" t="str">
        <f>IFERROR(MATCH(1,_自动清单!$Y$4:$Y$2403,0),"")</f>
        <v/>
      </c>
    </row>
    <row r="110" ht="18" customHeight="1" spans="1:32">
      <c r="A110" s="87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91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C110" s="88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D110" s="89" t="str">
        <f>IF($AF110="","",IF($AF110&lt;=1200,IF(INDEX(对接源_01水果!$T$4:$T$1203,$AF110)=0,"",INDEX(对接源_01水果!$T$4:$T$1203,$AF110)),IF(INDEX(对接源_02物料!$T$4:$T$1203,$AF110-1200)=0,"",INDEX(对接源_02物料!$T$4:$T$1203,$AF110-1200))))</f>
        <v/>
      </c>
      <c r="E110" s="91" t="str">
        <f>IF($AF110="","",IF($AF110&lt;=1200,IF(INDEX(对接源_01水果!$C$4:$C$1203,$AF110)=0,"",INDEX(对接源_01水果!$C$4:$C$1203,$AF110)),IF(INDEX(对接源_02物料!$C$4:$C$1203,$AF110-1200)=0,"",INDEX(对接源_02物料!$C$4:$C$1203,$AF110-1200))))</f>
        <v/>
      </c>
      <c r="F110" s="88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G110" s="91" t="str">
        <f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H110" s="88" t="str">
        <f t="shared" si="2"/>
        <v/>
      </c>
      <c r="I110" s="91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2" t="str">
        <f>IFERROR(MATCH(2,_自动清单!$Y$4:$Y$2403,0),"")</f>
        <v/>
      </c>
    </row>
    <row r="111" ht="18" customHeight="1" spans="1:32">
      <c r="A111" s="52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56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C111" s="53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D111" s="54" t="str">
        <f>IF($AF111="","",IF($AF111&lt;=1200,IF(INDEX(对接源_01水果!$T$4:$T$1203,$AF111)=0,"",INDEX(对接源_01水果!$T$4:$T$1203,$AF111)),IF(INDEX(对接源_02物料!$T$4:$T$1203,$AF111-1200)=0,"",INDEX(对接源_02物料!$T$4:$T$1203,$AF111-1200))))</f>
        <v/>
      </c>
      <c r="E111" s="56" t="str">
        <f>IF($AF111="","",IF($AF111&lt;=1200,IF(INDEX(对接源_01水果!$C$4:$C$1203,$AF111)=0,"",INDEX(对接源_01水果!$C$4:$C$1203,$AF111)),IF(INDEX(对接源_02物料!$C$4:$C$1203,$AF111-1200)=0,"",INDEX(对接源_02物料!$C$4:$C$1203,$AF111-1200))))</f>
        <v/>
      </c>
      <c r="F111" s="53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G111" s="56" t="str">
        <f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H111" s="53" t="str">
        <f t="shared" si="2"/>
        <v/>
      </c>
      <c r="I111" s="56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2" t="str">
        <f>IFERROR(MATCH(3,_自动清单!$Y$4:$Y$2403,0),"")</f>
        <v/>
      </c>
    </row>
    <row r="112" ht="18" customHeight="1" spans="1:32">
      <c r="A112" s="87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91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C112" s="88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D112" s="89" t="str">
        <f>IF($AF112="","",IF($AF112&lt;=1200,IF(INDEX(对接源_01水果!$T$4:$T$1203,$AF112)=0,"",INDEX(对接源_01水果!$T$4:$T$1203,$AF112)),IF(INDEX(对接源_02物料!$T$4:$T$1203,$AF112-1200)=0,"",INDEX(对接源_02物料!$T$4:$T$1203,$AF112-1200))))</f>
        <v/>
      </c>
      <c r="E112" s="91" t="str">
        <f>IF($AF112="","",IF($AF112&lt;=1200,IF(INDEX(对接源_01水果!$C$4:$C$1203,$AF112)=0,"",INDEX(对接源_01水果!$C$4:$C$1203,$AF112)),IF(INDEX(对接源_02物料!$C$4:$C$1203,$AF112-1200)=0,"",INDEX(对接源_02物料!$C$4:$C$1203,$AF112-1200))))</f>
        <v/>
      </c>
      <c r="F112" s="88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G112" s="91" t="str">
        <f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H112" s="88" t="str">
        <f t="shared" si="2"/>
        <v/>
      </c>
      <c r="I112" s="91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2" t="str">
        <f>IFERROR(MATCH(4,_自动清单!$Y$4:$Y$2403,0),"")</f>
        <v/>
      </c>
    </row>
    <row r="113" ht="18" customHeight="1" spans="1:32">
      <c r="A113" s="52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56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C113" s="53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D113" s="54" t="str">
        <f>IF($AF113="","",IF($AF113&lt;=1200,IF(INDEX(对接源_01水果!$T$4:$T$1203,$AF113)=0,"",INDEX(对接源_01水果!$T$4:$T$1203,$AF113)),IF(INDEX(对接源_02物料!$T$4:$T$1203,$AF113-1200)=0,"",INDEX(对接源_02物料!$T$4:$T$1203,$AF113-1200))))</f>
        <v/>
      </c>
      <c r="E113" s="56" t="str">
        <f>IF($AF113="","",IF($AF113&lt;=1200,IF(INDEX(对接源_01水果!$C$4:$C$1203,$AF113)=0,"",INDEX(对接源_01水果!$C$4:$C$1203,$AF113)),IF(INDEX(对接源_02物料!$C$4:$C$1203,$AF113-1200)=0,"",INDEX(对接源_02物料!$C$4:$C$1203,$AF113-1200))))</f>
        <v/>
      </c>
      <c r="F113" s="53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G113" s="56" t="str">
        <f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H113" s="53" t="str">
        <f t="shared" si="2"/>
        <v/>
      </c>
      <c r="I113" s="56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2" t="str">
        <f>IFERROR(MATCH(5,_自动清单!$Y$4:$Y$2403,0),"")</f>
        <v/>
      </c>
    </row>
    <row r="114" ht="18" customHeight="1" spans="1:32">
      <c r="A114" s="87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91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C114" s="88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D114" s="89" t="str">
        <f>IF($AF114="","",IF($AF114&lt;=1200,IF(INDEX(对接源_01水果!$T$4:$T$1203,$AF114)=0,"",INDEX(对接源_01水果!$T$4:$T$1203,$AF114)),IF(INDEX(对接源_02物料!$T$4:$T$1203,$AF114-1200)=0,"",INDEX(对接源_02物料!$T$4:$T$1203,$AF114-1200))))</f>
        <v/>
      </c>
      <c r="E114" s="91" t="str">
        <f>IF($AF114="","",IF($AF114&lt;=1200,IF(INDEX(对接源_01水果!$C$4:$C$1203,$AF114)=0,"",INDEX(对接源_01水果!$C$4:$C$1203,$AF114)),IF(INDEX(对接源_02物料!$C$4:$C$1203,$AF114-1200)=0,"",INDEX(对接源_02物料!$C$4:$C$1203,$AF114-1200))))</f>
        <v/>
      </c>
      <c r="F114" s="88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G114" s="91" t="str">
        <f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H114" s="88" t="str">
        <f t="shared" si="2"/>
        <v/>
      </c>
      <c r="I114" s="91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2" t="str">
        <f>IFERROR(MATCH(6,_自动清单!$Y$4:$Y$2403,0),"")</f>
        <v/>
      </c>
    </row>
    <row r="115" ht="18" customHeight="1" spans="1:32">
      <c r="A115" s="52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56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C115" s="53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D115" s="54" t="str">
        <f>IF($AF115="","",IF($AF115&lt;=1200,IF(INDEX(对接源_01水果!$T$4:$T$1203,$AF115)=0,"",INDEX(对接源_01水果!$T$4:$T$1203,$AF115)),IF(INDEX(对接源_02物料!$T$4:$T$1203,$AF115-1200)=0,"",INDEX(对接源_02物料!$T$4:$T$1203,$AF115-1200))))</f>
        <v/>
      </c>
      <c r="E115" s="56" t="str">
        <f>IF($AF115="","",IF($AF115&lt;=1200,IF(INDEX(对接源_01水果!$C$4:$C$1203,$AF115)=0,"",INDEX(对接源_01水果!$C$4:$C$1203,$AF115)),IF(INDEX(对接源_02物料!$C$4:$C$1203,$AF115-1200)=0,"",INDEX(对接源_02物料!$C$4:$C$1203,$AF115-1200))))</f>
        <v/>
      </c>
      <c r="F115" s="53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G115" s="56" t="str">
        <f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H115" s="53" t="str">
        <f t="shared" si="2"/>
        <v/>
      </c>
      <c r="I115" s="56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2" t="str">
        <f>IFERROR(MATCH(7,_自动清单!$Y$4:$Y$2403,0),"")</f>
        <v/>
      </c>
    </row>
    <row r="116" ht="18" customHeight="1" spans="1:32">
      <c r="A116" s="87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91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C116" s="88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D116" s="89" t="str">
        <f>IF($AF116="","",IF($AF116&lt;=1200,IF(INDEX(对接源_01水果!$T$4:$T$1203,$AF116)=0,"",INDEX(对接源_01水果!$T$4:$T$1203,$AF116)),IF(INDEX(对接源_02物料!$T$4:$T$1203,$AF116-1200)=0,"",INDEX(对接源_02物料!$T$4:$T$1203,$AF116-1200))))</f>
        <v/>
      </c>
      <c r="E116" s="91" t="str">
        <f>IF($AF116="","",IF($AF116&lt;=1200,IF(INDEX(对接源_01水果!$C$4:$C$1203,$AF116)=0,"",INDEX(对接源_01水果!$C$4:$C$1203,$AF116)),IF(INDEX(对接源_02物料!$C$4:$C$1203,$AF116-1200)=0,"",INDEX(对接源_02物料!$C$4:$C$1203,$AF116-1200))))</f>
        <v/>
      </c>
      <c r="F116" s="88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G116" s="91" t="str">
        <f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H116" s="88" t="str">
        <f t="shared" si="2"/>
        <v/>
      </c>
      <c r="I116" s="91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2" t="str">
        <f>IFERROR(MATCH(8,_自动清单!$Y$4:$Y$2403,0),"")</f>
        <v/>
      </c>
    </row>
    <row r="117" ht="18" customHeight="1" spans="1:32">
      <c r="A117" s="52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56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C117" s="53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D117" s="54" t="str">
        <f>IF($AF117="","",IF($AF117&lt;=1200,IF(INDEX(对接源_01水果!$T$4:$T$1203,$AF117)=0,"",INDEX(对接源_01水果!$T$4:$T$1203,$AF117)),IF(INDEX(对接源_02物料!$T$4:$T$1203,$AF117-1200)=0,"",INDEX(对接源_02物料!$T$4:$T$1203,$AF117-1200))))</f>
        <v/>
      </c>
      <c r="E117" s="56" t="str">
        <f>IF($AF117="","",IF($AF117&lt;=1200,IF(INDEX(对接源_01水果!$C$4:$C$1203,$AF117)=0,"",INDEX(对接源_01水果!$C$4:$C$1203,$AF117)),IF(INDEX(对接源_02物料!$C$4:$C$1203,$AF117-1200)=0,"",INDEX(对接源_02物料!$C$4:$C$1203,$AF117-1200))))</f>
        <v/>
      </c>
      <c r="F117" s="53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G117" s="56" t="str">
        <f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H117" s="53" t="str">
        <f t="shared" si="2"/>
        <v/>
      </c>
      <c r="I117" s="56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2" t="str">
        <f>IFERROR(MATCH(9,_自动清单!$Y$4:$Y$2403,0),"")</f>
        <v/>
      </c>
    </row>
    <row r="118" ht="18" customHeight="1" spans="1:32">
      <c r="A118" s="87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91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C118" s="88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D118" s="89" t="str">
        <f>IF($AF118="","",IF($AF118&lt;=1200,IF(INDEX(对接源_01水果!$T$4:$T$1203,$AF118)=0,"",INDEX(对接源_01水果!$T$4:$T$1203,$AF118)),IF(INDEX(对接源_02物料!$T$4:$T$1203,$AF118-1200)=0,"",INDEX(对接源_02物料!$T$4:$T$1203,$AF118-1200))))</f>
        <v/>
      </c>
      <c r="E118" s="91" t="str">
        <f>IF($AF118="","",IF($AF118&lt;=1200,IF(INDEX(对接源_01水果!$C$4:$C$1203,$AF118)=0,"",INDEX(对接源_01水果!$C$4:$C$1203,$AF118)),IF(INDEX(对接源_02物料!$C$4:$C$1203,$AF118-1200)=0,"",INDEX(对接源_02物料!$C$4:$C$1203,$AF118-1200))))</f>
        <v/>
      </c>
      <c r="F118" s="88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G118" s="91" t="str">
        <f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H118" s="88" t="str">
        <f t="shared" si="2"/>
        <v/>
      </c>
      <c r="I118" s="91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2" t="str">
        <f>IFERROR(MATCH(10,_自动清单!$Y$4:$Y$2403,0),"")</f>
        <v/>
      </c>
    </row>
    <row r="119" ht="18" customHeight="1" spans="1:32">
      <c r="A119" s="52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56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C119" s="53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D119" s="54" t="str">
        <f>IF($AF119="","",IF($AF119&lt;=1200,IF(INDEX(对接源_01水果!$T$4:$T$1203,$AF119)=0,"",INDEX(对接源_01水果!$T$4:$T$1203,$AF119)),IF(INDEX(对接源_02物料!$T$4:$T$1203,$AF119-1200)=0,"",INDEX(对接源_02物料!$T$4:$T$1203,$AF119-1200))))</f>
        <v/>
      </c>
      <c r="E119" s="56" t="str">
        <f>IF($AF119="","",IF($AF119&lt;=1200,IF(INDEX(对接源_01水果!$C$4:$C$1203,$AF119)=0,"",INDEX(对接源_01水果!$C$4:$C$1203,$AF119)),IF(INDEX(对接源_02物料!$C$4:$C$1203,$AF119-1200)=0,"",INDEX(对接源_02物料!$C$4:$C$1203,$AF119-1200))))</f>
        <v/>
      </c>
      <c r="F119" s="53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G119" s="56" t="str">
        <f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H119" s="53" t="str">
        <f t="shared" si="2"/>
        <v/>
      </c>
      <c r="I119" s="56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2" t="str">
        <f>IFERROR(MATCH(11,_自动清单!$Y$4:$Y$2403,0),"")</f>
        <v/>
      </c>
    </row>
    <row r="120" ht="18" customHeight="1" spans="1:32">
      <c r="A120" s="87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91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C120" s="88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D120" s="89" t="str">
        <f>IF($AF120="","",IF($AF120&lt;=1200,IF(INDEX(对接源_01水果!$T$4:$T$1203,$AF120)=0,"",INDEX(对接源_01水果!$T$4:$T$1203,$AF120)),IF(INDEX(对接源_02物料!$T$4:$T$1203,$AF120-1200)=0,"",INDEX(对接源_02物料!$T$4:$T$1203,$AF120-1200))))</f>
        <v/>
      </c>
      <c r="E120" s="91" t="str">
        <f>IF($AF120="","",IF($AF120&lt;=1200,IF(INDEX(对接源_01水果!$C$4:$C$1203,$AF120)=0,"",INDEX(对接源_01水果!$C$4:$C$1203,$AF120)),IF(INDEX(对接源_02物料!$C$4:$C$1203,$AF120-1200)=0,"",INDEX(对接源_02物料!$C$4:$C$1203,$AF120-1200))))</f>
        <v/>
      </c>
      <c r="F120" s="88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G120" s="91" t="str">
        <f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H120" s="88" t="str">
        <f t="shared" si="2"/>
        <v/>
      </c>
      <c r="I120" s="91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2" t="str">
        <f>IFERROR(MATCH(12,_自动清单!$Y$4:$Y$2403,0),"")</f>
        <v/>
      </c>
    </row>
    <row r="121" ht="18" customHeight="1" spans="1:32">
      <c r="A121" s="52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56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C121" s="53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D121" s="54" t="str">
        <f>IF($AF121="","",IF($AF121&lt;=1200,IF(INDEX(对接源_01水果!$T$4:$T$1203,$AF121)=0,"",INDEX(对接源_01水果!$T$4:$T$1203,$AF121)),IF(INDEX(对接源_02物料!$T$4:$T$1203,$AF121-1200)=0,"",INDEX(对接源_02物料!$T$4:$T$1203,$AF121-1200))))</f>
        <v/>
      </c>
      <c r="E121" s="56" t="str">
        <f>IF($AF121="","",IF($AF121&lt;=1200,IF(INDEX(对接源_01水果!$C$4:$C$1203,$AF121)=0,"",INDEX(对接源_01水果!$C$4:$C$1203,$AF121)),IF(INDEX(对接源_02物料!$C$4:$C$1203,$AF121-1200)=0,"",INDEX(对接源_02物料!$C$4:$C$1203,$AF121-1200))))</f>
        <v/>
      </c>
      <c r="F121" s="53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G121" s="56" t="str">
        <f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H121" s="53" t="str">
        <f t="shared" si="2"/>
        <v/>
      </c>
      <c r="I121" s="56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2" t="str">
        <f>IFERROR(MATCH(13,_自动清单!$Y$4:$Y$2403,0),"")</f>
        <v/>
      </c>
    </row>
    <row r="122" ht="18" customHeight="1" spans="1:32">
      <c r="A122" s="87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91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C122" s="88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D122" s="89" t="str">
        <f>IF($AF122="","",IF($AF122&lt;=1200,IF(INDEX(对接源_01水果!$T$4:$T$1203,$AF122)=0,"",INDEX(对接源_01水果!$T$4:$T$1203,$AF122)),IF(INDEX(对接源_02物料!$T$4:$T$1203,$AF122-1200)=0,"",INDEX(对接源_02物料!$T$4:$T$1203,$AF122-1200))))</f>
        <v/>
      </c>
      <c r="E122" s="91" t="str">
        <f>IF($AF122="","",IF($AF122&lt;=1200,IF(INDEX(对接源_01水果!$C$4:$C$1203,$AF122)=0,"",INDEX(对接源_01水果!$C$4:$C$1203,$AF122)),IF(INDEX(对接源_02物料!$C$4:$C$1203,$AF122-1200)=0,"",INDEX(对接源_02物料!$C$4:$C$1203,$AF122-1200))))</f>
        <v/>
      </c>
      <c r="F122" s="88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G122" s="91" t="str">
        <f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H122" s="88" t="str">
        <f t="shared" si="2"/>
        <v/>
      </c>
      <c r="I122" s="91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2" t="str">
        <f>IFERROR(MATCH(14,_自动清单!$Y$4:$Y$2403,0),"")</f>
        <v/>
      </c>
    </row>
    <row r="123" ht="18" customHeight="1" spans="1:32">
      <c r="A123" s="52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56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C123" s="53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D123" s="54" t="str">
        <f>IF($AF123="","",IF($AF123&lt;=1200,IF(INDEX(对接源_01水果!$T$4:$T$1203,$AF123)=0,"",INDEX(对接源_01水果!$T$4:$T$1203,$AF123)),IF(INDEX(对接源_02物料!$T$4:$T$1203,$AF123-1200)=0,"",INDEX(对接源_02物料!$T$4:$T$1203,$AF123-1200))))</f>
        <v/>
      </c>
      <c r="E123" s="56" t="str">
        <f>IF($AF123="","",IF($AF123&lt;=1200,IF(INDEX(对接源_01水果!$C$4:$C$1203,$AF123)=0,"",INDEX(对接源_01水果!$C$4:$C$1203,$AF123)),IF(INDEX(对接源_02物料!$C$4:$C$1203,$AF123-1200)=0,"",INDEX(对接源_02物料!$C$4:$C$1203,$AF123-1200))))</f>
        <v/>
      </c>
      <c r="F123" s="53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G123" s="56" t="str">
        <f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H123" s="53" t="str">
        <f t="shared" si="2"/>
        <v/>
      </c>
      <c r="I123" s="56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2" t="str">
        <f>IFERROR(MATCH(15,_自动清单!$Y$4:$Y$2403,0),"")</f>
        <v/>
      </c>
    </row>
    <row r="124" ht="18" customHeight="1" spans="1:32">
      <c r="A124" s="87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91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C124" s="88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D124" s="89" t="str">
        <f>IF($AF124="","",IF($AF124&lt;=1200,IF(INDEX(对接源_01水果!$T$4:$T$1203,$AF124)=0,"",INDEX(对接源_01水果!$T$4:$T$1203,$AF124)),IF(INDEX(对接源_02物料!$T$4:$T$1203,$AF124-1200)=0,"",INDEX(对接源_02物料!$T$4:$T$1203,$AF124-1200))))</f>
        <v/>
      </c>
      <c r="E124" s="91" t="str">
        <f>IF($AF124="","",IF($AF124&lt;=1200,IF(INDEX(对接源_01水果!$C$4:$C$1203,$AF124)=0,"",INDEX(对接源_01水果!$C$4:$C$1203,$AF124)),IF(INDEX(对接源_02物料!$C$4:$C$1203,$AF124-1200)=0,"",INDEX(对接源_02物料!$C$4:$C$1203,$AF124-1200))))</f>
        <v/>
      </c>
      <c r="F124" s="88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G124" s="91" t="str">
        <f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H124" s="88" t="str">
        <f t="shared" si="2"/>
        <v/>
      </c>
      <c r="I124" s="91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2" t="str">
        <f>IFERROR(MATCH(16,_自动清单!$Y$4:$Y$2403,0),"")</f>
        <v/>
      </c>
    </row>
    <row r="125" ht="18" customHeight="1" spans="1:32">
      <c r="A125" s="52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56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C125" s="53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D125" s="54" t="str">
        <f>IF($AF125="","",IF($AF125&lt;=1200,IF(INDEX(对接源_01水果!$T$4:$T$1203,$AF125)=0,"",INDEX(对接源_01水果!$T$4:$T$1203,$AF125)),IF(INDEX(对接源_02物料!$T$4:$T$1203,$AF125-1200)=0,"",INDEX(对接源_02物料!$T$4:$T$1203,$AF125-1200))))</f>
        <v/>
      </c>
      <c r="E125" s="56" t="str">
        <f>IF($AF125="","",IF($AF125&lt;=1200,IF(INDEX(对接源_01水果!$C$4:$C$1203,$AF125)=0,"",INDEX(对接源_01水果!$C$4:$C$1203,$AF125)),IF(INDEX(对接源_02物料!$C$4:$C$1203,$AF125-1200)=0,"",INDEX(对接源_02物料!$C$4:$C$1203,$AF125-1200))))</f>
        <v/>
      </c>
      <c r="F125" s="53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G125" s="56" t="str">
        <f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H125" s="53" t="str">
        <f t="shared" si="2"/>
        <v/>
      </c>
      <c r="I125" s="56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2" t="str">
        <f>IFERROR(MATCH(17,_自动清单!$Y$4:$Y$2403,0),"")</f>
        <v/>
      </c>
    </row>
    <row r="126" ht="18" customHeight="1" spans="1:32">
      <c r="A126" s="87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91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C126" s="88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D126" s="89" t="str">
        <f>IF($AF126="","",IF($AF126&lt;=1200,IF(INDEX(对接源_01水果!$T$4:$T$1203,$AF126)=0,"",INDEX(对接源_01水果!$T$4:$T$1203,$AF126)),IF(INDEX(对接源_02物料!$T$4:$T$1203,$AF126-1200)=0,"",INDEX(对接源_02物料!$T$4:$T$1203,$AF126-1200))))</f>
        <v/>
      </c>
      <c r="E126" s="91" t="str">
        <f>IF($AF126="","",IF($AF126&lt;=1200,IF(INDEX(对接源_01水果!$C$4:$C$1203,$AF126)=0,"",INDEX(对接源_01水果!$C$4:$C$1203,$AF126)),IF(INDEX(对接源_02物料!$C$4:$C$1203,$AF126-1200)=0,"",INDEX(对接源_02物料!$C$4:$C$1203,$AF126-1200))))</f>
        <v/>
      </c>
      <c r="F126" s="88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G126" s="91" t="str">
        <f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H126" s="88" t="str">
        <f t="shared" si="2"/>
        <v/>
      </c>
      <c r="I126" s="91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2" t="str">
        <f>IFERROR(MATCH(18,_自动清单!$Y$4:$Y$2403,0),"")</f>
        <v/>
      </c>
    </row>
    <row r="127" ht="18" customHeight="1" spans="1:32">
      <c r="A127" s="52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56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C127" s="53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D127" s="54" t="str">
        <f>IF($AF127="","",IF($AF127&lt;=1200,IF(INDEX(对接源_01水果!$T$4:$T$1203,$AF127)=0,"",INDEX(对接源_01水果!$T$4:$T$1203,$AF127)),IF(INDEX(对接源_02物料!$T$4:$T$1203,$AF127-1200)=0,"",INDEX(对接源_02物料!$T$4:$T$1203,$AF127-1200))))</f>
        <v/>
      </c>
      <c r="E127" s="56" t="str">
        <f>IF($AF127="","",IF($AF127&lt;=1200,IF(INDEX(对接源_01水果!$C$4:$C$1203,$AF127)=0,"",INDEX(对接源_01水果!$C$4:$C$1203,$AF127)),IF(INDEX(对接源_02物料!$C$4:$C$1203,$AF127-1200)=0,"",INDEX(对接源_02物料!$C$4:$C$1203,$AF127-1200))))</f>
        <v/>
      </c>
      <c r="F127" s="53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G127" s="56" t="str">
        <f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H127" s="53" t="str">
        <f t="shared" si="2"/>
        <v/>
      </c>
      <c r="I127" s="56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2" t="str">
        <f>IFERROR(MATCH(19,_自动清单!$Y$4:$Y$2403,0),"")</f>
        <v/>
      </c>
    </row>
    <row r="128" ht="18" customHeight="1" spans="1:32">
      <c r="A128" s="87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91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C128" s="88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D128" s="89" t="str">
        <f>IF($AF128="","",IF($AF128&lt;=1200,IF(INDEX(对接源_01水果!$T$4:$T$1203,$AF128)=0,"",INDEX(对接源_01水果!$T$4:$T$1203,$AF128)),IF(INDEX(对接源_02物料!$T$4:$T$1203,$AF128-1200)=0,"",INDEX(对接源_02物料!$T$4:$T$1203,$AF128-1200))))</f>
        <v/>
      </c>
      <c r="E128" s="91" t="str">
        <f>IF($AF128="","",IF($AF128&lt;=1200,IF(INDEX(对接源_01水果!$C$4:$C$1203,$AF128)=0,"",INDEX(对接源_01水果!$C$4:$C$1203,$AF128)),IF(INDEX(对接源_02物料!$C$4:$C$1203,$AF128-1200)=0,"",INDEX(对接源_02物料!$C$4:$C$1203,$AF128-1200))))</f>
        <v/>
      </c>
      <c r="F128" s="88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G128" s="91" t="str">
        <f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H128" s="88" t="str">
        <f t="shared" si="2"/>
        <v/>
      </c>
      <c r="I128" s="91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2" t="str">
        <f>IFERROR(MATCH(20,_自动清单!$Y$4:$Y$2403,0),"")</f>
        <v/>
      </c>
    </row>
    <row r="129" ht="18" customHeight="1" spans="1:32">
      <c r="A129" s="52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56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C129" s="53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D129" s="54" t="str">
        <f>IF($AF129="","",IF($AF129&lt;=1200,IF(INDEX(对接源_01水果!$T$4:$T$1203,$AF129)=0,"",INDEX(对接源_01水果!$T$4:$T$1203,$AF129)),IF(INDEX(对接源_02物料!$T$4:$T$1203,$AF129-1200)=0,"",INDEX(对接源_02物料!$T$4:$T$1203,$AF129-1200))))</f>
        <v/>
      </c>
      <c r="E129" s="56" t="str">
        <f>IF($AF129="","",IF($AF129&lt;=1200,IF(INDEX(对接源_01水果!$C$4:$C$1203,$AF129)=0,"",INDEX(对接源_01水果!$C$4:$C$1203,$AF129)),IF(INDEX(对接源_02物料!$C$4:$C$1203,$AF129-1200)=0,"",INDEX(对接源_02物料!$C$4:$C$1203,$AF129-1200))))</f>
        <v/>
      </c>
      <c r="F129" s="53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G129" s="56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H129" s="53" t="str">
        <f t="shared" si="2"/>
        <v/>
      </c>
      <c r="I129" s="56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IFERROR(MATCH(21,_自动清单!$Y$4:$Y$2403,0),"")</f>
        <v/>
      </c>
    </row>
    <row r="130" ht="18" customHeight="1" spans="1:32">
      <c r="A130" s="87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91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C130" s="88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D130" s="89" t="str">
        <f>IF($AF130="","",IF($AF130&lt;=1200,IF(INDEX(对接源_01水果!$T$4:$T$1203,$AF130)=0,"",INDEX(对接源_01水果!$T$4:$T$1203,$AF130)),IF(INDEX(对接源_02物料!$T$4:$T$1203,$AF130-1200)=0,"",INDEX(对接源_02物料!$T$4:$T$1203,$AF130-1200))))</f>
        <v/>
      </c>
      <c r="E130" s="91" t="str">
        <f>IF($AF130="","",IF($AF130&lt;=1200,IF(INDEX(对接源_01水果!$C$4:$C$1203,$AF130)=0,"",INDEX(对接源_01水果!$C$4:$C$1203,$AF130)),IF(INDEX(对接源_02物料!$C$4:$C$1203,$AF130-1200)=0,"",INDEX(对接源_02物料!$C$4:$C$1203,$AF130-1200))))</f>
        <v/>
      </c>
      <c r="F130" s="88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G130" s="91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H130" s="88" t="str">
        <f t="shared" si="2"/>
        <v/>
      </c>
      <c r="I130" s="91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IFERROR(MATCH(22,_自动清单!$Y$4:$Y$2403,0),"")</f>
        <v/>
      </c>
    </row>
    <row r="131" ht="18" customHeight="1" spans="1:32">
      <c r="A131" s="52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56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C131" s="53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D131" s="54" t="str">
        <f>IF($AF131="","",IF($AF131&lt;=1200,IF(INDEX(对接源_01水果!$T$4:$T$1203,$AF131)=0,"",INDEX(对接源_01水果!$T$4:$T$1203,$AF131)),IF(INDEX(对接源_02物料!$T$4:$T$1203,$AF131-1200)=0,"",INDEX(对接源_02物料!$T$4:$T$1203,$AF131-1200))))</f>
        <v/>
      </c>
      <c r="E131" s="56" t="str">
        <f>IF($AF131="","",IF($AF131&lt;=1200,IF(INDEX(对接源_01水果!$C$4:$C$1203,$AF131)=0,"",INDEX(对接源_01水果!$C$4:$C$1203,$AF131)),IF(INDEX(对接源_02物料!$C$4:$C$1203,$AF131-1200)=0,"",INDEX(对接源_02物料!$C$4:$C$1203,$AF131-1200))))</f>
        <v/>
      </c>
      <c r="F131" s="53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G131" s="56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H131" s="53" t="str">
        <f t="shared" si="2"/>
        <v/>
      </c>
      <c r="I131" s="56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IFERROR(MATCH(23,_自动清单!$Y$4:$Y$2403,0),"")</f>
        <v/>
      </c>
    </row>
    <row r="132" ht="18" customHeight="1" spans="1:32">
      <c r="A132" s="87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91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C132" s="88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D132" s="89" t="str">
        <f>IF($AF132="","",IF($AF132&lt;=1200,IF(INDEX(对接源_01水果!$T$4:$T$1203,$AF132)=0,"",INDEX(对接源_01水果!$T$4:$T$1203,$AF132)),IF(INDEX(对接源_02物料!$T$4:$T$1203,$AF132-1200)=0,"",INDEX(对接源_02物料!$T$4:$T$1203,$AF132-1200))))</f>
        <v/>
      </c>
      <c r="E132" s="91" t="str">
        <f>IF($AF132="","",IF($AF132&lt;=1200,IF(INDEX(对接源_01水果!$C$4:$C$1203,$AF132)=0,"",INDEX(对接源_01水果!$C$4:$C$1203,$AF132)),IF(INDEX(对接源_02物料!$C$4:$C$1203,$AF132-1200)=0,"",INDEX(对接源_02物料!$C$4:$C$1203,$AF132-1200))))</f>
        <v/>
      </c>
      <c r="F132" s="88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G132" s="91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H132" s="88" t="str">
        <f t="shared" si="2"/>
        <v/>
      </c>
      <c r="I132" s="91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IFERROR(MATCH(24,_自动清单!$Y$4:$Y$2403,0),"")</f>
        <v/>
      </c>
    </row>
    <row r="133" ht="18" customHeight="1" spans="1:32">
      <c r="A133" s="52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56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C133" s="53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D133" s="54" t="str">
        <f>IF($AF133="","",IF($AF133&lt;=1200,IF(INDEX(对接源_01水果!$T$4:$T$1203,$AF133)=0,"",INDEX(对接源_01水果!$T$4:$T$1203,$AF133)),IF(INDEX(对接源_02物料!$T$4:$T$1203,$AF133-1200)=0,"",INDEX(对接源_02物料!$T$4:$T$1203,$AF133-1200))))</f>
        <v/>
      </c>
      <c r="E133" s="56" t="str">
        <f>IF($AF133="","",IF($AF133&lt;=1200,IF(INDEX(对接源_01水果!$C$4:$C$1203,$AF133)=0,"",INDEX(对接源_01水果!$C$4:$C$1203,$AF133)),IF(INDEX(对接源_02物料!$C$4:$C$1203,$AF133-1200)=0,"",INDEX(对接源_02物料!$C$4:$C$1203,$AF133-1200))))</f>
        <v/>
      </c>
      <c r="F133" s="53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G133" s="56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H133" s="53" t="str">
        <f t="shared" si="2"/>
        <v/>
      </c>
      <c r="I133" s="56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IFERROR(MATCH(25,_自动清单!$Y$4:$Y$2403,0),"")</f>
        <v/>
      </c>
    </row>
    <row r="134" ht="18" customHeight="1" spans="1:32">
      <c r="A134" s="87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91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C134" s="88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D134" s="89" t="str">
        <f>IF($AF134="","",IF($AF134&lt;=1200,IF(INDEX(对接源_01水果!$T$4:$T$1203,$AF134)=0,"",INDEX(对接源_01水果!$T$4:$T$1203,$AF134)),IF(INDEX(对接源_02物料!$T$4:$T$1203,$AF134-1200)=0,"",INDEX(对接源_02物料!$T$4:$T$1203,$AF134-1200))))</f>
        <v/>
      </c>
      <c r="E134" s="91" t="str">
        <f>IF($AF134="","",IF($AF134&lt;=1200,IF(INDEX(对接源_01水果!$C$4:$C$1203,$AF134)=0,"",INDEX(对接源_01水果!$C$4:$C$1203,$AF134)),IF(INDEX(对接源_02物料!$C$4:$C$1203,$AF134-1200)=0,"",INDEX(对接源_02物料!$C$4:$C$1203,$AF134-1200))))</f>
        <v/>
      </c>
      <c r="F134" s="88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G134" s="91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H134" s="88" t="str">
        <f t="shared" si="2"/>
        <v/>
      </c>
      <c r="I134" s="91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IFERROR(MATCH(26,_自动清单!$Y$4:$Y$2403,0),"")</f>
        <v/>
      </c>
    </row>
    <row r="135" ht="18" customHeight="1" spans="1:32">
      <c r="A135" s="52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56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C135" s="53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D135" s="54" t="str">
        <f>IF($AF135="","",IF($AF135&lt;=1200,IF(INDEX(对接源_01水果!$T$4:$T$1203,$AF135)=0,"",INDEX(对接源_01水果!$T$4:$T$1203,$AF135)),IF(INDEX(对接源_02物料!$T$4:$T$1203,$AF135-1200)=0,"",INDEX(对接源_02物料!$T$4:$T$1203,$AF135-1200))))</f>
        <v/>
      </c>
      <c r="E135" s="56" t="str">
        <f>IF($AF135="","",IF($AF135&lt;=1200,IF(INDEX(对接源_01水果!$C$4:$C$1203,$AF135)=0,"",INDEX(对接源_01水果!$C$4:$C$1203,$AF135)),IF(INDEX(对接源_02物料!$C$4:$C$1203,$AF135-1200)=0,"",INDEX(对接源_02物料!$C$4:$C$1203,$AF135-1200))))</f>
        <v/>
      </c>
      <c r="F135" s="53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G135" s="56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H135" s="53" t="str">
        <f t="shared" si="2"/>
        <v/>
      </c>
      <c r="I135" s="56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IFERROR(MATCH(27,_自动清单!$Y$4:$Y$2403,0),"")</f>
        <v/>
      </c>
    </row>
    <row r="136" ht="18" customHeight="1" spans="1:32">
      <c r="A136" s="87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91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C136" s="88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D136" s="89" t="str">
        <f>IF($AF136="","",IF($AF136&lt;=1200,IF(INDEX(对接源_01水果!$T$4:$T$1203,$AF136)=0,"",INDEX(对接源_01水果!$T$4:$T$1203,$AF136)),IF(INDEX(对接源_02物料!$T$4:$T$1203,$AF136-1200)=0,"",INDEX(对接源_02物料!$T$4:$T$1203,$AF136-1200))))</f>
        <v/>
      </c>
      <c r="E136" s="91" t="str">
        <f>IF($AF136="","",IF($AF136&lt;=1200,IF(INDEX(对接源_01水果!$C$4:$C$1203,$AF136)=0,"",INDEX(对接源_01水果!$C$4:$C$1203,$AF136)),IF(INDEX(对接源_02物料!$C$4:$C$1203,$AF136-1200)=0,"",INDEX(对接源_02物料!$C$4:$C$1203,$AF136-1200))))</f>
        <v/>
      </c>
      <c r="F136" s="88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G136" s="91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H136" s="88" t="str">
        <f t="shared" si="2"/>
        <v/>
      </c>
      <c r="I136" s="91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IFERROR(MATCH(28,_自动清单!$Y$4:$Y$2403,0),"")</f>
        <v/>
      </c>
    </row>
    <row r="137" ht="18" customHeight="1" spans="1:32">
      <c r="A137" s="52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56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C137" s="53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D137" s="54" t="str">
        <f>IF($AF137="","",IF($AF137&lt;=1200,IF(INDEX(对接源_01水果!$T$4:$T$1203,$AF137)=0,"",INDEX(对接源_01水果!$T$4:$T$1203,$AF137)),IF(INDEX(对接源_02物料!$T$4:$T$1203,$AF137-1200)=0,"",INDEX(对接源_02物料!$T$4:$T$1203,$AF137-1200))))</f>
        <v/>
      </c>
      <c r="E137" s="56" t="str">
        <f>IF($AF137="","",IF($AF137&lt;=1200,IF(INDEX(对接源_01水果!$C$4:$C$1203,$AF137)=0,"",INDEX(对接源_01水果!$C$4:$C$1203,$AF137)),IF(INDEX(对接源_02物料!$C$4:$C$1203,$AF137-1200)=0,"",INDEX(对接源_02物料!$C$4:$C$1203,$AF137-1200))))</f>
        <v/>
      </c>
      <c r="F137" s="53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G137" s="56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H137" s="53" t="str">
        <f t="shared" si="2"/>
        <v/>
      </c>
      <c r="I137" s="56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IFERROR(MATCH(29,_自动清单!$Y$4:$Y$2403,0),"")</f>
        <v/>
      </c>
    </row>
    <row r="138" ht="18" customHeight="1" spans="1:32">
      <c r="A138" s="87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91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C138" s="88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D138" s="89" t="str">
        <f>IF($AF138="","",IF($AF138&lt;=1200,IF(INDEX(对接源_01水果!$T$4:$T$1203,$AF138)=0,"",INDEX(对接源_01水果!$T$4:$T$1203,$AF138)),IF(INDEX(对接源_02物料!$T$4:$T$1203,$AF138-1200)=0,"",INDEX(对接源_02物料!$T$4:$T$1203,$AF138-1200))))</f>
        <v/>
      </c>
      <c r="E138" s="91" t="str">
        <f>IF($AF138="","",IF($AF138&lt;=1200,IF(INDEX(对接源_01水果!$C$4:$C$1203,$AF138)=0,"",INDEX(对接源_01水果!$C$4:$C$1203,$AF138)),IF(INDEX(对接源_02物料!$C$4:$C$1203,$AF138-1200)=0,"",INDEX(对接源_02物料!$C$4:$C$1203,$AF138-1200))))</f>
        <v/>
      </c>
      <c r="F138" s="88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G138" s="91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H138" s="88" t="str">
        <f t="shared" si="2"/>
        <v/>
      </c>
      <c r="I138" s="91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IFERROR(MATCH(30,_自动清单!$Y$4:$Y$2403,0),"")</f>
        <v/>
      </c>
    </row>
    <row r="139" ht="18" customHeight="1" spans="1:32">
      <c r="A139" s="52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56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C139" s="53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D139" s="54" t="str">
        <f>IF($AF139="","",IF($AF139&lt;=1200,IF(INDEX(对接源_01水果!$T$4:$T$1203,$AF139)=0,"",INDEX(对接源_01水果!$T$4:$T$1203,$AF139)),IF(INDEX(对接源_02物料!$T$4:$T$1203,$AF139-1200)=0,"",INDEX(对接源_02物料!$T$4:$T$1203,$AF139-1200))))</f>
        <v/>
      </c>
      <c r="E139" s="56" t="str">
        <f>IF($AF139="","",IF($AF139&lt;=1200,IF(INDEX(对接源_01水果!$C$4:$C$1203,$AF139)=0,"",INDEX(对接源_01水果!$C$4:$C$1203,$AF139)),IF(INDEX(对接源_02物料!$C$4:$C$1203,$AF139-1200)=0,"",INDEX(对接源_02物料!$C$4:$C$1203,$AF139-1200))))</f>
        <v/>
      </c>
      <c r="F139" s="53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G139" s="56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H139" s="53" t="str">
        <f t="shared" si="2"/>
        <v/>
      </c>
      <c r="I139" s="56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IFERROR(MATCH(31,_自动清单!$Y$4:$Y$2403,0),"")</f>
        <v/>
      </c>
    </row>
    <row r="140" ht="18" customHeight="1" spans="1:32">
      <c r="A140" s="87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91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C140" s="88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D140" s="89" t="str">
        <f>IF($AF140="","",IF($AF140&lt;=1200,IF(INDEX(对接源_01水果!$T$4:$T$1203,$AF140)=0,"",INDEX(对接源_01水果!$T$4:$T$1203,$AF140)),IF(INDEX(对接源_02物料!$T$4:$T$1203,$AF140-1200)=0,"",INDEX(对接源_02物料!$T$4:$T$1203,$AF140-1200))))</f>
        <v/>
      </c>
      <c r="E140" s="91" t="str">
        <f>IF($AF140="","",IF($AF140&lt;=1200,IF(INDEX(对接源_01水果!$C$4:$C$1203,$AF140)=0,"",INDEX(对接源_01水果!$C$4:$C$1203,$AF140)),IF(INDEX(对接源_02物料!$C$4:$C$1203,$AF140-1200)=0,"",INDEX(对接源_02物料!$C$4:$C$1203,$AF140-1200))))</f>
        <v/>
      </c>
      <c r="F140" s="88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G140" s="91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H140" s="88" t="str">
        <f t="shared" si="2"/>
        <v/>
      </c>
      <c r="I140" s="91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IFERROR(MATCH(32,_自动清单!$Y$4:$Y$2403,0),"")</f>
        <v/>
      </c>
    </row>
    <row r="141" ht="18" customHeight="1" spans="1:32">
      <c r="A141" s="52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56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C141" s="53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D141" s="54" t="str">
        <f>IF($AF141="","",IF($AF141&lt;=1200,IF(INDEX(对接源_01水果!$T$4:$T$1203,$AF141)=0,"",INDEX(对接源_01水果!$T$4:$T$1203,$AF141)),IF(INDEX(对接源_02物料!$T$4:$T$1203,$AF141-1200)=0,"",INDEX(对接源_02物料!$T$4:$T$1203,$AF141-1200))))</f>
        <v/>
      </c>
      <c r="E141" s="56" t="str">
        <f>IF($AF141="","",IF($AF141&lt;=1200,IF(INDEX(对接源_01水果!$C$4:$C$1203,$AF141)=0,"",INDEX(对接源_01水果!$C$4:$C$1203,$AF141)),IF(INDEX(对接源_02物料!$C$4:$C$1203,$AF141-1200)=0,"",INDEX(对接源_02物料!$C$4:$C$1203,$AF141-1200))))</f>
        <v/>
      </c>
      <c r="F141" s="53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G141" s="56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H141" s="53" t="str">
        <f t="shared" si="2"/>
        <v/>
      </c>
      <c r="I141" s="56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IFERROR(MATCH(33,_自动清单!$Y$4:$Y$2403,0),"")</f>
        <v/>
      </c>
    </row>
    <row r="142" ht="18" customHeight="1" spans="1:32">
      <c r="A142" s="87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91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C142" s="88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D142" s="89" t="str">
        <f>IF($AF142="","",IF($AF142&lt;=1200,IF(INDEX(对接源_01水果!$T$4:$T$1203,$AF142)=0,"",INDEX(对接源_01水果!$T$4:$T$1203,$AF142)),IF(INDEX(对接源_02物料!$T$4:$T$1203,$AF142-1200)=0,"",INDEX(对接源_02物料!$T$4:$T$1203,$AF142-1200))))</f>
        <v/>
      </c>
      <c r="E142" s="91" t="str">
        <f>IF($AF142="","",IF($AF142&lt;=1200,IF(INDEX(对接源_01水果!$C$4:$C$1203,$AF142)=0,"",INDEX(对接源_01水果!$C$4:$C$1203,$AF142)),IF(INDEX(对接源_02物料!$C$4:$C$1203,$AF142-1200)=0,"",INDEX(对接源_02物料!$C$4:$C$1203,$AF142-1200))))</f>
        <v/>
      </c>
      <c r="F142" s="88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G142" s="91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H142" s="88" t="str">
        <f t="shared" si="2"/>
        <v/>
      </c>
      <c r="I142" s="91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IFERROR(MATCH(34,_自动清单!$Y$4:$Y$2403,0),"")</f>
        <v/>
      </c>
    </row>
    <row r="143" ht="18" customHeight="1" spans="1:32">
      <c r="A143" s="52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56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C143" s="53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D143" s="54" t="str">
        <f>IF($AF143="","",IF($AF143&lt;=1200,IF(INDEX(对接源_01水果!$T$4:$T$1203,$AF143)=0,"",INDEX(对接源_01水果!$T$4:$T$1203,$AF143)),IF(INDEX(对接源_02物料!$T$4:$T$1203,$AF143-1200)=0,"",INDEX(对接源_02物料!$T$4:$T$1203,$AF143-1200))))</f>
        <v/>
      </c>
      <c r="E143" s="56" t="str">
        <f>IF($AF143="","",IF($AF143&lt;=1200,IF(INDEX(对接源_01水果!$C$4:$C$1203,$AF143)=0,"",INDEX(对接源_01水果!$C$4:$C$1203,$AF143)),IF(INDEX(对接源_02物料!$C$4:$C$1203,$AF143-1200)=0,"",INDEX(对接源_02物料!$C$4:$C$1203,$AF143-1200))))</f>
        <v/>
      </c>
      <c r="F143" s="53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G143" s="56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H143" s="53" t="str">
        <f t="shared" si="2"/>
        <v/>
      </c>
      <c r="I143" s="56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IFERROR(MATCH(35,_自动清单!$Y$4:$Y$2403,0),"")</f>
        <v/>
      </c>
    </row>
    <row r="144" ht="18" customHeight="1" spans="1:32">
      <c r="A144" s="87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91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C144" s="88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D144" s="89" t="str">
        <f>IF($AF144="","",IF($AF144&lt;=1200,IF(INDEX(对接源_01水果!$T$4:$T$1203,$AF144)=0,"",INDEX(对接源_01水果!$T$4:$T$1203,$AF144)),IF(INDEX(对接源_02物料!$T$4:$T$1203,$AF144-1200)=0,"",INDEX(对接源_02物料!$T$4:$T$1203,$AF144-1200))))</f>
        <v/>
      </c>
      <c r="E144" s="91" t="str">
        <f>IF($AF144="","",IF($AF144&lt;=1200,IF(INDEX(对接源_01水果!$C$4:$C$1203,$AF144)=0,"",INDEX(对接源_01水果!$C$4:$C$1203,$AF144)),IF(INDEX(对接源_02物料!$C$4:$C$1203,$AF144-1200)=0,"",INDEX(对接源_02物料!$C$4:$C$1203,$AF144-1200))))</f>
        <v/>
      </c>
      <c r="F144" s="88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G144" s="91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H144" s="88" t="str">
        <f t="shared" si="2"/>
        <v/>
      </c>
      <c r="I144" s="91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IFERROR(MATCH(36,_自动清单!$Y$4:$Y$2403,0),"")</f>
        <v/>
      </c>
    </row>
    <row r="145" ht="18" customHeight="1" spans="1:32">
      <c r="A145" s="52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56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C145" s="53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D145" s="54" t="str">
        <f>IF($AF145="","",IF($AF145&lt;=1200,IF(INDEX(对接源_01水果!$T$4:$T$1203,$AF145)=0,"",INDEX(对接源_01水果!$T$4:$T$1203,$AF145)),IF(INDEX(对接源_02物料!$T$4:$T$1203,$AF145-1200)=0,"",INDEX(对接源_02物料!$T$4:$T$1203,$AF145-1200))))</f>
        <v/>
      </c>
      <c r="E145" s="56" t="str">
        <f>IF($AF145="","",IF($AF145&lt;=1200,IF(INDEX(对接源_01水果!$C$4:$C$1203,$AF145)=0,"",INDEX(对接源_01水果!$C$4:$C$1203,$AF145)),IF(INDEX(对接源_02物料!$C$4:$C$1203,$AF145-1200)=0,"",INDEX(对接源_02物料!$C$4:$C$1203,$AF145-1200))))</f>
        <v/>
      </c>
      <c r="F145" s="53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G145" s="56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H145" s="53" t="str">
        <f t="shared" si="2"/>
        <v/>
      </c>
      <c r="I145" s="56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IFERROR(MATCH(37,_自动清单!$Y$4:$Y$2403,0),"")</f>
        <v/>
      </c>
    </row>
    <row r="146" ht="18" customHeight="1" spans="1:32">
      <c r="A146" s="87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91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C146" s="88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D146" s="89" t="str">
        <f>IF($AF146="","",IF($AF146&lt;=1200,IF(INDEX(对接源_01水果!$T$4:$T$1203,$AF146)=0,"",INDEX(对接源_01水果!$T$4:$T$1203,$AF146)),IF(INDEX(对接源_02物料!$T$4:$T$1203,$AF146-1200)=0,"",INDEX(对接源_02物料!$T$4:$T$1203,$AF146-1200))))</f>
        <v/>
      </c>
      <c r="E146" s="91" t="str">
        <f>IF($AF146="","",IF($AF146&lt;=1200,IF(INDEX(对接源_01水果!$C$4:$C$1203,$AF146)=0,"",INDEX(对接源_01水果!$C$4:$C$1203,$AF146)),IF(INDEX(对接源_02物料!$C$4:$C$1203,$AF146-1200)=0,"",INDEX(对接源_02物料!$C$4:$C$1203,$AF146-1200))))</f>
        <v/>
      </c>
      <c r="F146" s="88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G146" s="91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H146" s="88" t="str">
        <f t="shared" si="2"/>
        <v/>
      </c>
      <c r="I146" s="91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IFERROR(MATCH(38,_自动清单!$Y$4:$Y$2403,0),"")</f>
        <v/>
      </c>
    </row>
    <row r="147" ht="18" customHeight="1" spans="1:32">
      <c r="A147" s="52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56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C147" s="53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D147" s="54" t="str">
        <f>IF($AF147="","",IF($AF147&lt;=1200,IF(INDEX(对接源_01水果!$T$4:$T$1203,$AF147)=0,"",INDEX(对接源_01水果!$T$4:$T$1203,$AF147)),IF(INDEX(对接源_02物料!$T$4:$T$1203,$AF147-1200)=0,"",INDEX(对接源_02物料!$T$4:$T$1203,$AF147-1200))))</f>
        <v/>
      </c>
      <c r="E147" s="56" t="str">
        <f>IF($AF147="","",IF($AF147&lt;=1200,IF(INDEX(对接源_01水果!$C$4:$C$1203,$AF147)=0,"",INDEX(对接源_01水果!$C$4:$C$1203,$AF147)),IF(INDEX(对接源_02物料!$C$4:$C$1203,$AF147-1200)=0,"",INDEX(对接源_02物料!$C$4:$C$1203,$AF147-1200))))</f>
        <v/>
      </c>
      <c r="F147" s="53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G147" s="56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H147" s="53" t="str">
        <f t="shared" si="2"/>
        <v/>
      </c>
      <c r="I147" s="56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IFERROR(MATCH(39,_自动清单!$Y$4:$Y$2403,0),"")</f>
        <v/>
      </c>
    </row>
    <row r="148" ht="18" customHeight="1" spans="1:32">
      <c r="A148" s="87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91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C148" s="88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D148" s="89" t="str">
        <f>IF($AF148="","",IF($AF148&lt;=1200,IF(INDEX(对接源_01水果!$T$4:$T$1203,$AF148)=0,"",INDEX(对接源_01水果!$T$4:$T$1203,$AF148)),IF(INDEX(对接源_02物料!$T$4:$T$1203,$AF148-1200)=0,"",INDEX(对接源_02物料!$T$4:$T$1203,$AF148-1200))))</f>
        <v/>
      </c>
      <c r="E148" s="91" t="str">
        <f>IF($AF148="","",IF($AF148&lt;=1200,IF(INDEX(对接源_01水果!$C$4:$C$1203,$AF148)=0,"",INDEX(对接源_01水果!$C$4:$C$1203,$AF148)),IF(INDEX(对接源_02物料!$C$4:$C$1203,$AF148-1200)=0,"",INDEX(对接源_02物料!$C$4:$C$1203,$AF148-1200))))</f>
        <v/>
      </c>
      <c r="F148" s="88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G148" s="91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H148" s="88" t="str">
        <f t="shared" si="2"/>
        <v/>
      </c>
      <c r="I148" s="91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IFERROR(MATCH(40,_自动清单!$Y$4:$Y$2403,0),"")</f>
        <v/>
      </c>
    </row>
    <row r="149" ht="18" customHeight="1" spans="1:32">
      <c r="A149" s="52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56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C149" s="53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D149" s="54" t="str">
        <f>IF($AF149="","",IF($AF149&lt;=1200,IF(INDEX(对接源_01水果!$T$4:$T$1203,$AF149)=0,"",INDEX(对接源_01水果!$T$4:$T$1203,$AF149)),IF(INDEX(对接源_02物料!$T$4:$T$1203,$AF149-1200)=0,"",INDEX(对接源_02物料!$T$4:$T$1203,$AF149-1200))))</f>
        <v/>
      </c>
      <c r="E149" s="56" t="str">
        <f>IF($AF149="","",IF($AF149&lt;=1200,IF(INDEX(对接源_01水果!$C$4:$C$1203,$AF149)=0,"",INDEX(对接源_01水果!$C$4:$C$1203,$AF149)),IF(INDEX(对接源_02物料!$C$4:$C$1203,$AF149-1200)=0,"",INDEX(对接源_02物料!$C$4:$C$1203,$AF149-1200))))</f>
        <v/>
      </c>
      <c r="F149" s="53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G149" s="56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H149" s="53" t="str">
        <f t="shared" si="2"/>
        <v/>
      </c>
      <c r="I149" s="56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IFERROR(MATCH(41,_自动清单!$Y$4:$Y$2403,0),"")</f>
        <v/>
      </c>
    </row>
    <row r="150" ht="18" customHeight="1" spans="1:32">
      <c r="A150" s="87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91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C150" s="88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D150" s="89" t="str">
        <f>IF($AF150="","",IF($AF150&lt;=1200,IF(INDEX(对接源_01水果!$T$4:$T$1203,$AF150)=0,"",INDEX(对接源_01水果!$T$4:$T$1203,$AF150)),IF(INDEX(对接源_02物料!$T$4:$T$1203,$AF150-1200)=0,"",INDEX(对接源_02物料!$T$4:$T$1203,$AF150-1200))))</f>
        <v/>
      </c>
      <c r="E150" s="91" t="str">
        <f>IF($AF150="","",IF($AF150&lt;=1200,IF(INDEX(对接源_01水果!$C$4:$C$1203,$AF150)=0,"",INDEX(对接源_01水果!$C$4:$C$1203,$AF150)),IF(INDEX(对接源_02物料!$C$4:$C$1203,$AF150-1200)=0,"",INDEX(对接源_02物料!$C$4:$C$1203,$AF150-1200))))</f>
        <v/>
      </c>
      <c r="F150" s="88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G150" s="91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H150" s="88" t="str">
        <f t="shared" si="2"/>
        <v/>
      </c>
      <c r="I150" s="91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IFERROR(MATCH(42,_自动清单!$Y$4:$Y$2403,0),"")</f>
        <v/>
      </c>
    </row>
    <row r="151" ht="18" customHeight="1" spans="1:32">
      <c r="A151" s="52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56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C151" s="53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D151" s="54" t="str">
        <f>IF($AF151="","",IF($AF151&lt;=1200,IF(INDEX(对接源_01水果!$T$4:$T$1203,$AF151)=0,"",INDEX(对接源_01水果!$T$4:$T$1203,$AF151)),IF(INDEX(对接源_02物料!$T$4:$T$1203,$AF151-1200)=0,"",INDEX(对接源_02物料!$T$4:$T$1203,$AF151-1200))))</f>
        <v/>
      </c>
      <c r="E151" s="56" t="str">
        <f>IF($AF151="","",IF($AF151&lt;=1200,IF(INDEX(对接源_01水果!$C$4:$C$1203,$AF151)=0,"",INDEX(对接源_01水果!$C$4:$C$1203,$AF151)),IF(INDEX(对接源_02物料!$C$4:$C$1203,$AF151-1200)=0,"",INDEX(对接源_02物料!$C$4:$C$1203,$AF151-1200))))</f>
        <v/>
      </c>
      <c r="F151" s="53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G151" s="56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H151" s="53" t="str">
        <f t="shared" si="2"/>
        <v/>
      </c>
      <c r="I151" s="56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IFERROR(MATCH(43,_自动清单!$Y$4:$Y$2403,0),"")</f>
        <v/>
      </c>
    </row>
    <row r="152" ht="18" customHeight="1" spans="1:32">
      <c r="A152" s="87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91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C152" s="88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D152" s="89" t="str">
        <f>IF($AF152="","",IF($AF152&lt;=1200,IF(INDEX(对接源_01水果!$T$4:$T$1203,$AF152)=0,"",INDEX(对接源_01水果!$T$4:$T$1203,$AF152)),IF(INDEX(对接源_02物料!$T$4:$T$1203,$AF152-1200)=0,"",INDEX(对接源_02物料!$T$4:$T$1203,$AF152-1200))))</f>
        <v/>
      </c>
      <c r="E152" s="91" t="str">
        <f>IF($AF152="","",IF($AF152&lt;=1200,IF(INDEX(对接源_01水果!$C$4:$C$1203,$AF152)=0,"",INDEX(对接源_01水果!$C$4:$C$1203,$AF152)),IF(INDEX(对接源_02物料!$C$4:$C$1203,$AF152-1200)=0,"",INDEX(对接源_02物料!$C$4:$C$1203,$AF152-1200))))</f>
        <v/>
      </c>
      <c r="F152" s="88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G152" s="91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H152" s="88" t="str">
        <f t="shared" si="2"/>
        <v/>
      </c>
      <c r="I152" s="91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IFERROR(MATCH(44,_自动清单!$Y$4:$Y$2403,0),"")</f>
        <v/>
      </c>
    </row>
    <row r="153" ht="18" customHeight="1" spans="1:32">
      <c r="A153" s="52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56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C153" s="53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D153" s="54" t="str">
        <f>IF($AF153="","",IF($AF153&lt;=1200,IF(INDEX(对接源_01水果!$T$4:$T$1203,$AF153)=0,"",INDEX(对接源_01水果!$T$4:$T$1203,$AF153)),IF(INDEX(对接源_02物料!$T$4:$T$1203,$AF153-1200)=0,"",INDEX(对接源_02物料!$T$4:$T$1203,$AF153-1200))))</f>
        <v/>
      </c>
      <c r="E153" s="56" t="str">
        <f>IF($AF153="","",IF($AF153&lt;=1200,IF(INDEX(对接源_01水果!$C$4:$C$1203,$AF153)=0,"",INDEX(对接源_01水果!$C$4:$C$1203,$AF153)),IF(INDEX(对接源_02物料!$C$4:$C$1203,$AF153-1200)=0,"",INDEX(对接源_02物料!$C$4:$C$1203,$AF153-1200))))</f>
        <v/>
      </c>
      <c r="F153" s="53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G153" s="56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H153" s="53" t="str">
        <f t="shared" si="2"/>
        <v/>
      </c>
      <c r="I153" s="56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IFERROR(MATCH(45,_自动清单!$Y$4:$Y$2403,0),"")</f>
        <v/>
      </c>
    </row>
    <row r="154" ht="18" customHeight="1" spans="1:32">
      <c r="A154" s="87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91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C154" s="88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D154" s="89" t="str">
        <f>IF($AF154="","",IF($AF154&lt;=1200,IF(INDEX(对接源_01水果!$T$4:$T$1203,$AF154)=0,"",INDEX(对接源_01水果!$T$4:$T$1203,$AF154)),IF(INDEX(对接源_02物料!$T$4:$T$1203,$AF154-1200)=0,"",INDEX(对接源_02物料!$T$4:$T$1203,$AF154-1200))))</f>
        <v/>
      </c>
      <c r="E154" s="91" t="str">
        <f>IF($AF154="","",IF($AF154&lt;=1200,IF(INDEX(对接源_01水果!$C$4:$C$1203,$AF154)=0,"",INDEX(对接源_01水果!$C$4:$C$1203,$AF154)),IF(INDEX(对接源_02物料!$C$4:$C$1203,$AF154-1200)=0,"",INDEX(对接源_02物料!$C$4:$C$1203,$AF154-1200))))</f>
        <v/>
      </c>
      <c r="F154" s="88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G154" s="91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H154" s="88" t="str">
        <f t="shared" si="2"/>
        <v/>
      </c>
      <c r="I154" s="91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IFERROR(MATCH(46,_自动清单!$Y$4:$Y$2403,0),"")</f>
        <v/>
      </c>
    </row>
    <row r="155" ht="18" customHeight="1" spans="1:32">
      <c r="A155" s="52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56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C155" s="53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D155" s="54" t="str">
        <f>IF($AF155="","",IF($AF155&lt;=1200,IF(INDEX(对接源_01水果!$T$4:$T$1203,$AF155)=0,"",INDEX(对接源_01水果!$T$4:$T$1203,$AF155)),IF(INDEX(对接源_02物料!$T$4:$T$1203,$AF155-1200)=0,"",INDEX(对接源_02物料!$T$4:$T$1203,$AF155-1200))))</f>
        <v/>
      </c>
      <c r="E155" s="56" t="str">
        <f>IF($AF155="","",IF($AF155&lt;=1200,IF(INDEX(对接源_01水果!$C$4:$C$1203,$AF155)=0,"",INDEX(对接源_01水果!$C$4:$C$1203,$AF155)),IF(INDEX(对接源_02物料!$C$4:$C$1203,$AF155-1200)=0,"",INDEX(对接源_02物料!$C$4:$C$1203,$AF155-1200))))</f>
        <v/>
      </c>
      <c r="F155" s="53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G155" s="56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H155" s="53" t="str">
        <f t="shared" si="2"/>
        <v/>
      </c>
      <c r="I155" s="56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IFERROR(MATCH(47,_自动清单!$Y$4:$Y$2403,0),"")</f>
        <v/>
      </c>
    </row>
    <row r="156" ht="18" customHeight="1" spans="1:32">
      <c r="A156" s="87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91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C156" s="88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D156" s="89" t="str">
        <f>IF($AF156="","",IF($AF156&lt;=1200,IF(INDEX(对接源_01水果!$T$4:$T$1203,$AF156)=0,"",INDEX(对接源_01水果!$T$4:$T$1203,$AF156)),IF(INDEX(对接源_02物料!$T$4:$T$1203,$AF156-1200)=0,"",INDEX(对接源_02物料!$T$4:$T$1203,$AF156-1200))))</f>
        <v/>
      </c>
      <c r="E156" s="91" t="str">
        <f>IF($AF156="","",IF($AF156&lt;=1200,IF(INDEX(对接源_01水果!$C$4:$C$1203,$AF156)=0,"",INDEX(对接源_01水果!$C$4:$C$1203,$AF156)),IF(INDEX(对接源_02物料!$C$4:$C$1203,$AF156-1200)=0,"",INDEX(对接源_02物料!$C$4:$C$1203,$AF156-1200))))</f>
        <v/>
      </c>
      <c r="F156" s="88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G156" s="91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H156" s="88" t="str">
        <f t="shared" si="2"/>
        <v/>
      </c>
      <c r="I156" s="91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IFERROR(MATCH(48,_自动清单!$Y$4:$Y$2403,0),"")</f>
        <v/>
      </c>
    </row>
    <row r="157" ht="18" customHeight="1" spans="1:32">
      <c r="A157" s="52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56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C157" s="53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D157" s="54" t="str">
        <f>IF($AF157="","",IF($AF157&lt;=1200,IF(INDEX(对接源_01水果!$T$4:$T$1203,$AF157)=0,"",INDEX(对接源_01水果!$T$4:$T$1203,$AF157)),IF(INDEX(对接源_02物料!$T$4:$T$1203,$AF157-1200)=0,"",INDEX(对接源_02物料!$T$4:$T$1203,$AF157-1200))))</f>
        <v/>
      </c>
      <c r="E157" s="56" t="str">
        <f>IF($AF157="","",IF($AF157&lt;=1200,IF(INDEX(对接源_01水果!$C$4:$C$1203,$AF157)=0,"",INDEX(对接源_01水果!$C$4:$C$1203,$AF157)),IF(INDEX(对接源_02物料!$C$4:$C$1203,$AF157-1200)=0,"",INDEX(对接源_02物料!$C$4:$C$1203,$AF157-1200))))</f>
        <v/>
      </c>
      <c r="F157" s="53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G157" s="56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H157" s="53" t="str">
        <f t="shared" si="2"/>
        <v/>
      </c>
      <c r="I157" s="56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IFERROR(MATCH(49,_自动清单!$Y$4:$Y$2403,0),"")</f>
        <v/>
      </c>
    </row>
    <row r="158" ht="18" customHeight="1" spans="1:32">
      <c r="A158" s="87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91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C158" s="88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D158" s="89" t="str">
        <f>IF($AF158="","",IF($AF158&lt;=1200,IF(INDEX(对接源_01水果!$T$4:$T$1203,$AF158)=0,"",INDEX(对接源_01水果!$T$4:$T$1203,$AF158)),IF(INDEX(对接源_02物料!$T$4:$T$1203,$AF158-1200)=0,"",INDEX(对接源_02物料!$T$4:$T$1203,$AF158-1200))))</f>
        <v/>
      </c>
      <c r="E158" s="91" t="str">
        <f>IF($AF158="","",IF($AF158&lt;=1200,IF(INDEX(对接源_01水果!$C$4:$C$1203,$AF158)=0,"",INDEX(对接源_01水果!$C$4:$C$1203,$AF158)),IF(INDEX(对接源_02物料!$C$4:$C$1203,$AF158-1200)=0,"",INDEX(对接源_02物料!$C$4:$C$1203,$AF158-1200))))</f>
        <v/>
      </c>
      <c r="F158" s="88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G158" s="91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H158" s="88" t="str">
        <f t="shared" si="2"/>
        <v/>
      </c>
      <c r="I158" s="91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IFERROR(MATCH(50,_自动清单!$Y$4:$Y$2403,0),"")</f>
        <v/>
      </c>
    </row>
    <row r="159" ht="18" customHeight="1" spans="1:32">
      <c r="A159" s="52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56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C159" s="53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D159" s="54" t="str">
        <f>IF($AF159="","",IF($AF159&lt;=1200,IF(INDEX(对接源_01水果!$T$4:$T$1203,$AF159)=0,"",INDEX(对接源_01水果!$T$4:$T$1203,$AF159)),IF(INDEX(对接源_02物料!$T$4:$T$1203,$AF159-1200)=0,"",INDEX(对接源_02物料!$T$4:$T$1203,$AF159-1200))))</f>
        <v/>
      </c>
      <c r="E159" s="56" t="str">
        <f>IF($AF159="","",IF($AF159&lt;=1200,IF(INDEX(对接源_01水果!$C$4:$C$1203,$AF159)=0,"",INDEX(对接源_01水果!$C$4:$C$1203,$AF159)),IF(INDEX(对接源_02物料!$C$4:$C$1203,$AF159-1200)=0,"",INDEX(对接源_02物料!$C$4:$C$1203,$AF159-1200))))</f>
        <v/>
      </c>
      <c r="F159" s="53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G159" s="56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H159" s="53" t="str">
        <f t="shared" si="2"/>
        <v/>
      </c>
      <c r="I159" s="56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IFERROR(MATCH(51,_自动清单!$Y$4:$Y$2403,0),"")</f>
        <v/>
      </c>
    </row>
    <row r="160" ht="18" customHeight="1" spans="1:32">
      <c r="A160" s="87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91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C160" s="88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D160" s="89" t="str">
        <f>IF($AF160="","",IF($AF160&lt;=1200,IF(INDEX(对接源_01水果!$T$4:$T$1203,$AF160)=0,"",INDEX(对接源_01水果!$T$4:$T$1203,$AF160)),IF(INDEX(对接源_02物料!$T$4:$T$1203,$AF160-1200)=0,"",INDEX(对接源_02物料!$T$4:$T$1203,$AF160-1200))))</f>
        <v/>
      </c>
      <c r="E160" s="91" t="str">
        <f>IF($AF160="","",IF($AF160&lt;=1200,IF(INDEX(对接源_01水果!$C$4:$C$1203,$AF160)=0,"",INDEX(对接源_01水果!$C$4:$C$1203,$AF160)),IF(INDEX(对接源_02物料!$C$4:$C$1203,$AF160-1200)=0,"",INDEX(对接源_02物料!$C$4:$C$1203,$AF160-1200))))</f>
        <v/>
      </c>
      <c r="F160" s="88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G160" s="91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H160" s="88" t="str">
        <f t="shared" si="2"/>
        <v/>
      </c>
      <c r="I160" s="91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IFERROR(MATCH(52,_自动清单!$Y$4:$Y$2403,0),"")</f>
        <v/>
      </c>
    </row>
    <row r="161" ht="18" customHeight="1" spans="1:32">
      <c r="A161" s="52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56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C161" s="53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D161" s="54" t="str">
        <f>IF($AF161="","",IF($AF161&lt;=1200,IF(INDEX(对接源_01水果!$T$4:$T$1203,$AF161)=0,"",INDEX(对接源_01水果!$T$4:$T$1203,$AF161)),IF(INDEX(对接源_02物料!$T$4:$T$1203,$AF161-1200)=0,"",INDEX(对接源_02物料!$T$4:$T$1203,$AF161-1200))))</f>
        <v/>
      </c>
      <c r="E161" s="56" t="str">
        <f>IF($AF161="","",IF($AF161&lt;=1200,IF(INDEX(对接源_01水果!$C$4:$C$1203,$AF161)=0,"",INDEX(对接源_01水果!$C$4:$C$1203,$AF161)),IF(INDEX(对接源_02物料!$C$4:$C$1203,$AF161-1200)=0,"",INDEX(对接源_02物料!$C$4:$C$1203,$AF161-1200))))</f>
        <v/>
      </c>
      <c r="F161" s="53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G161" s="56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H161" s="53" t="str">
        <f t="shared" si="2"/>
        <v/>
      </c>
      <c r="I161" s="56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IFERROR(MATCH(53,_自动清单!$Y$4:$Y$2403,0),"")</f>
        <v/>
      </c>
    </row>
    <row r="162" ht="18" customHeight="1" spans="1:32">
      <c r="A162" s="87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91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C162" s="88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D162" s="89" t="str">
        <f>IF($AF162="","",IF($AF162&lt;=1200,IF(INDEX(对接源_01水果!$T$4:$T$1203,$AF162)=0,"",INDEX(对接源_01水果!$T$4:$T$1203,$AF162)),IF(INDEX(对接源_02物料!$T$4:$T$1203,$AF162-1200)=0,"",INDEX(对接源_02物料!$T$4:$T$1203,$AF162-1200))))</f>
        <v/>
      </c>
      <c r="E162" s="91" t="str">
        <f>IF($AF162="","",IF($AF162&lt;=1200,IF(INDEX(对接源_01水果!$C$4:$C$1203,$AF162)=0,"",INDEX(对接源_01水果!$C$4:$C$1203,$AF162)),IF(INDEX(对接源_02物料!$C$4:$C$1203,$AF162-1200)=0,"",INDEX(对接源_02物料!$C$4:$C$1203,$AF162-1200))))</f>
        <v/>
      </c>
      <c r="F162" s="88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G162" s="91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H162" s="88" t="str">
        <f t="shared" si="2"/>
        <v/>
      </c>
      <c r="I162" s="91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IFERROR(MATCH(54,_自动清单!$Y$4:$Y$2403,0),"")</f>
        <v/>
      </c>
    </row>
    <row r="163" ht="18" customHeight="1" spans="1:32">
      <c r="A163" s="52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56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C163" s="53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D163" s="54" t="str">
        <f>IF($AF163="","",IF($AF163&lt;=1200,IF(INDEX(对接源_01水果!$T$4:$T$1203,$AF163)=0,"",INDEX(对接源_01水果!$T$4:$T$1203,$AF163)),IF(INDEX(对接源_02物料!$T$4:$T$1203,$AF163-1200)=0,"",INDEX(对接源_02物料!$T$4:$T$1203,$AF163-1200))))</f>
        <v/>
      </c>
      <c r="E163" s="56" t="str">
        <f>IF($AF163="","",IF($AF163&lt;=1200,IF(INDEX(对接源_01水果!$C$4:$C$1203,$AF163)=0,"",INDEX(对接源_01水果!$C$4:$C$1203,$AF163)),IF(INDEX(对接源_02物料!$C$4:$C$1203,$AF163-1200)=0,"",INDEX(对接源_02物料!$C$4:$C$1203,$AF163-1200))))</f>
        <v/>
      </c>
      <c r="F163" s="53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G163" s="56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H163" s="53" t="str">
        <f t="shared" si="2"/>
        <v/>
      </c>
      <c r="I163" s="56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IFERROR(MATCH(55,_自动清单!$Y$4:$Y$2403,0),"")</f>
        <v/>
      </c>
    </row>
    <row r="164" ht="18" customHeight="1" spans="1:32">
      <c r="A164" s="87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91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C164" s="88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D164" s="89" t="str">
        <f>IF($AF164="","",IF($AF164&lt;=1200,IF(INDEX(对接源_01水果!$T$4:$T$1203,$AF164)=0,"",INDEX(对接源_01水果!$T$4:$T$1203,$AF164)),IF(INDEX(对接源_02物料!$T$4:$T$1203,$AF164-1200)=0,"",INDEX(对接源_02物料!$T$4:$T$1203,$AF164-1200))))</f>
        <v/>
      </c>
      <c r="E164" s="91" t="str">
        <f>IF($AF164="","",IF($AF164&lt;=1200,IF(INDEX(对接源_01水果!$C$4:$C$1203,$AF164)=0,"",INDEX(对接源_01水果!$C$4:$C$1203,$AF164)),IF(INDEX(对接源_02物料!$C$4:$C$1203,$AF164-1200)=0,"",INDEX(对接源_02物料!$C$4:$C$1203,$AF164-1200))))</f>
        <v/>
      </c>
      <c r="F164" s="88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G164" s="91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H164" s="88" t="str">
        <f t="shared" si="2"/>
        <v/>
      </c>
      <c r="I164" s="91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IFERROR(MATCH(56,_自动清单!$Y$4:$Y$2403,0),"")</f>
        <v/>
      </c>
    </row>
    <row r="165" ht="18" customHeight="1" spans="1:32">
      <c r="A165" s="52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56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C165" s="53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D165" s="54" t="str">
        <f>IF($AF165="","",IF($AF165&lt;=1200,IF(INDEX(对接源_01水果!$T$4:$T$1203,$AF165)=0,"",INDEX(对接源_01水果!$T$4:$T$1203,$AF165)),IF(INDEX(对接源_02物料!$T$4:$T$1203,$AF165-1200)=0,"",INDEX(对接源_02物料!$T$4:$T$1203,$AF165-1200))))</f>
        <v/>
      </c>
      <c r="E165" s="56" t="str">
        <f>IF($AF165="","",IF($AF165&lt;=1200,IF(INDEX(对接源_01水果!$C$4:$C$1203,$AF165)=0,"",INDEX(对接源_01水果!$C$4:$C$1203,$AF165)),IF(INDEX(对接源_02物料!$C$4:$C$1203,$AF165-1200)=0,"",INDEX(对接源_02物料!$C$4:$C$1203,$AF165-1200))))</f>
        <v/>
      </c>
      <c r="F165" s="53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G165" s="56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H165" s="53" t="str">
        <f t="shared" si="2"/>
        <v/>
      </c>
      <c r="I165" s="56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IFERROR(MATCH(57,_自动清单!$Y$4:$Y$2403,0),"")</f>
        <v/>
      </c>
    </row>
    <row r="166" ht="18" customHeight="1" spans="1:32">
      <c r="A166" s="87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91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C166" s="88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D166" s="89" t="str">
        <f>IF($AF166="","",IF($AF166&lt;=1200,IF(INDEX(对接源_01水果!$T$4:$T$1203,$AF166)=0,"",INDEX(对接源_01水果!$T$4:$T$1203,$AF166)),IF(INDEX(对接源_02物料!$T$4:$T$1203,$AF166-1200)=0,"",INDEX(对接源_02物料!$T$4:$T$1203,$AF166-1200))))</f>
        <v/>
      </c>
      <c r="E166" s="91" t="str">
        <f>IF($AF166="","",IF($AF166&lt;=1200,IF(INDEX(对接源_01水果!$C$4:$C$1203,$AF166)=0,"",INDEX(对接源_01水果!$C$4:$C$1203,$AF166)),IF(INDEX(对接源_02物料!$C$4:$C$1203,$AF166-1200)=0,"",INDEX(对接源_02物料!$C$4:$C$1203,$AF166-1200))))</f>
        <v/>
      </c>
      <c r="F166" s="88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G166" s="91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H166" s="88" t="str">
        <f t="shared" si="2"/>
        <v/>
      </c>
      <c r="I166" s="91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IFERROR(MATCH(58,_自动清单!$Y$4:$Y$2403,0),"")</f>
        <v/>
      </c>
    </row>
    <row r="167" ht="18" customHeight="1" spans="1:32">
      <c r="A167" s="52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56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C167" s="53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D167" s="54" t="str">
        <f>IF($AF167="","",IF($AF167&lt;=1200,IF(INDEX(对接源_01水果!$T$4:$T$1203,$AF167)=0,"",INDEX(对接源_01水果!$T$4:$T$1203,$AF167)),IF(INDEX(对接源_02物料!$T$4:$T$1203,$AF167-1200)=0,"",INDEX(对接源_02物料!$T$4:$T$1203,$AF167-1200))))</f>
        <v/>
      </c>
      <c r="E167" s="56" t="str">
        <f>IF($AF167="","",IF($AF167&lt;=1200,IF(INDEX(对接源_01水果!$C$4:$C$1203,$AF167)=0,"",INDEX(对接源_01水果!$C$4:$C$1203,$AF167)),IF(INDEX(对接源_02物料!$C$4:$C$1203,$AF167-1200)=0,"",INDEX(对接源_02物料!$C$4:$C$1203,$AF167-1200))))</f>
        <v/>
      </c>
      <c r="F167" s="53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G167" s="56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H167" s="53" t="str">
        <f t="shared" si="2"/>
        <v/>
      </c>
      <c r="I167" s="56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IFERROR(MATCH(59,_自动清单!$Y$4:$Y$2403,0),"")</f>
        <v/>
      </c>
    </row>
    <row r="168" ht="18" customHeight="1" spans="1:32">
      <c r="A168" s="87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91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C168" s="88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D168" s="89" t="str">
        <f>IF($AF168="","",IF($AF168&lt;=1200,IF(INDEX(对接源_01水果!$T$4:$T$1203,$AF168)=0,"",INDEX(对接源_01水果!$T$4:$T$1203,$AF168)),IF(INDEX(对接源_02物料!$T$4:$T$1203,$AF168-1200)=0,"",INDEX(对接源_02物料!$T$4:$T$1203,$AF168-1200))))</f>
        <v/>
      </c>
      <c r="E168" s="91" t="str">
        <f>IF($AF168="","",IF($AF168&lt;=1200,IF(INDEX(对接源_01水果!$C$4:$C$1203,$AF168)=0,"",INDEX(对接源_01水果!$C$4:$C$1203,$AF168)),IF(INDEX(对接源_02物料!$C$4:$C$1203,$AF168-1200)=0,"",INDEX(对接源_02物料!$C$4:$C$1203,$AF168-1200))))</f>
        <v/>
      </c>
      <c r="F168" s="88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G168" s="91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H168" s="88" t="str">
        <f t="shared" si="2"/>
        <v/>
      </c>
      <c r="I168" s="91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IFERROR(MATCH(60,_自动清单!$Y$4:$Y$2403,0),"")</f>
        <v/>
      </c>
    </row>
    <row r="169" ht="18" customHeight="1" spans="1:32">
      <c r="A169" s="52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56" t="str">
        <f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C169" s="53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D169" s="54" t="str">
        <f>IF($AF169="","",IF($AF169&lt;=1200,IF(INDEX(对接源_01水果!$T$4:$T$1203,$AF169)=0,"",INDEX(对接源_01水果!$T$4:$T$1203,$AF169)),IF(INDEX(对接源_02物料!$T$4:$T$1203,$AF169-1200)=0,"",INDEX(对接源_02物料!$T$4:$T$1203,$AF169-1200))))</f>
        <v/>
      </c>
      <c r="E169" s="56" t="str">
        <f>IF($AF169="","",IF($AF169&lt;=1200,IF(INDEX(对接源_01水果!$C$4:$C$1203,$AF169)=0,"",INDEX(对接源_01水果!$C$4:$C$1203,$AF169)),IF(INDEX(对接源_02物料!$C$4:$C$1203,$AF169-1200)=0,"",INDEX(对接源_02物料!$C$4:$C$1203,$AF169-1200))))</f>
        <v/>
      </c>
      <c r="F169" s="53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G169" s="56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H169" s="53" t="str">
        <f t="shared" si="2"/>
        <v/>
      </c>
      <c r="I169" s="56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IFERROR(MATCH(61,_自动清单!$Y$4:$Y$2403,0),"")</f>
        <v/>
      </c>
    </row>
    <row r="170" ht="18" customHeight="1" spans="1:32">
      <c r="A170" s="87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91" t="str">
        <f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C170" s="88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D170" s="89" t="str">
        <f>IF($AF170="","",IF($AF170&lt;=1200,IF(INDEX(对接源_01水果!$T$4:$T$1203,$AF170)=0,"",INDEX(对接源_01水果!$T$4:$T$1203,$AF170)),IF(INDEX(对接源_02物料!$T$4:$T$1203,$AF170-1200)=0,"",INDEX(对接源_02物料!$T$4:$T$1203,$AF170-1200))))</f>
        <v/>
      </c>
      <c r="E170" s="91" t="str">
        <f>IF($AF170="","",IF($AF170&lt;=1200,IF(INDEX(对接源_01水果!$C$4:$C$1203,$AF170)=0,"",INDEX(对接源_01水果!$C$4:$C$1203,$AF170)),IF(INDEX(对接源_02物料!$C$4:$C$1203,$AF170-1200)=0,"",INDEX(对接源_02物料!$C$4:$C$1203,$AF170-1200))))</f>
        <v/>
      </c>
      <c r="F170" s="88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G170" s="91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H170" s="88" t="str">
        <f t="shared" si="2"/>
        <v/>
      </c>
      <c r="I170" s="91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IFERROR(MATCH(62,_自动清单!$Y$4:$Y$2403,0),"")</f>
        <v/>
      </c>
    </row>
    <row r="171" ht="18" customHeight="1" spans="1:32">
      <c r="A171" s="52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56" t="str">
        <f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C171" s="53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D171" s="54" t="str">
        <f>IF($AF171="","",IF($AF171&lt;=1200,IF(INDEX(对接源_01水果!$T$4:$T$1203,$AF171)=0,"",INDEX(对接源_01水果!$T$4:$T$1203,$AF171)),IF(INDEX(对接源_02物料!$T$4:$T$1203,$AF171-1200)=0,"",INDEX(对接源_02物料!$T$4:$T$1203,$AF171-1200))))</f>
        <v/>
      </c>
      <c r="E171" s="56" t="str">
        <f>IF($AF171="","",IF($AF171&lt;=1200,IF(INDEX(对接源_01水果!$C$4:$C$1203,$AF171)=0,"",INDEX(对接源_01水果!$C$4:$C$1203,$AF171)),IF(INDEX(对接源_02物料!$C$4:$C$1203,$AF171-1200)=0,"",INDEX(对接源_02物料!$C$4:$C$1203,$AF171-1200))))</f>
        <v/>
      </c>
      <c r="F171" s="53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G171" s="56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H171" s="53" t="str">
        <f t="shared" si="2"/>
        <v/>
      </c>
      <c r="I171" s="56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IFERROR(MATCH(63,_自动清单!$Y$4:$Y$2403,0),"")</f>
        <v/>
      </c>
    </row>
    <row r="172" ht="18" customHeight="1" spans="1:32">
      <c r="A172" s="87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91" t="str">
        <f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C172" s="88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D172" s="89" t="str">
        <f>IF($AF172="","",IF($AF172&lt;=1200,IF(INDEX(对接源_01水果!$T$4:$T$1203,$AF172)=0,"",INDEX(对接源_01水果!$T$4:$T$1203,$AF172)),IF(INDEX(对接源_02物料!$T$4:$T$1203,$AF172-1200)=0,"",INDEX(对接源_02物料!$T$4:$T$1203,$AF172-1200))))</f>
        <v/>
      </c>
      <c r="E172" s="91" t="str">
        <f>IF($AF172="","",IF($AF172&lt;=1200,IF(INDEX(对接源_01水果!$C$4:$C$1203,$AF172)=0,"",INDEX(对接源_01水果!$C$4:$C$1203,$AF172)),IF(INDEX(对接源_02物料!$C$4:$C$1203,$AF172-1200)=0,"",INDEX(对接源_02物料!$C$4:$C$1203,$AF172-1200))))</f>
        <v/>
      </c>
      <c r="F172" s="88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G172" s="91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H172" s="88" t="str">
        <f t="shared" si="2"/>
        <v/>
      </c>
      <c r="I172" s="91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IFERROR(MATCH(64,_自动清单!$Y$4:$Y$2403,0),"")</f>
        <v/>
      </c>
    </row>
    <row r="173" ht="18" customHeight="1" spans="1:32">
      <c r="A173" s="52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56" t="str">
        <f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C173" s="53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D173" s="54" t="str">
        <f>IF($AF173="","",IF($AF173&lt;=1200,IF(INDEX(对接源_01水果!$T$4:$T$1203,$AF173)=0,"",INDEX(对接源_01水果!$T$4:$T$1203,$AF173)),IF(INDEX(对接源_02物料!$T$4:$T$1203,$AF173-1200)=0,"",INDEX(对接源_02物料!$T$4:$T$1203,$AF173-1200))))</f>
        <v/>
      </c>
      <c r="E173" s="56" t="str">
        <f>IF($AF173="","",IF($AF173&lt;=1200,IF(INDEX(对接源_01水果!$C$4:$C$1203,$AF173)=0,"",INDEX(对接源_01水果!$C$4:$C$1203,$AF173)),IF(INDEX(对接源_02物料!$C$4:$C$1203,$AF173-1200)=0,"",INDEX(对接源_02物料!$C$4:$C$1203,$AF173-1200))))</f>
        <v/>
      </c>
      <c r="F173" s="53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G173" s="56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H173" s="53" t="str">
        <f t="shared" ref="H173:H208" si="3">IF($AF173="","",IF($AF173&lt;=1200,"01水果册","02物料册"))</f>
        <v/>
      </c>
      <c r="I173" s="56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IFERROR(MATCH(65,_自动清单!$Y$4:$Y$2403,0),"")</f>
        <v/>
      </c>
    </row>
    <row r="174" ht="18" customHeight="1" spans="1:32">
      <c r="A174" s="87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91" t="str">
        <f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C174" s="88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D174" s="89" t="str">
        <f>IF($AF174="","",IF($AF174&lt;=1200,IF(INDEX(对接源_01水果!$T$4:$T$1203,$AF174)=0,"",INDEX(对接源_01水果!$T$4:$T$1203,$AF174)),IF(INDEX(对接源_02物料!$T$4:$T$1203,$AF174-1200)=0,"",INDEX(对接源_02物料!$T$4:$T$1203,$AF174-1200))))</f>
        <v/>
      </c>
      <c r="E174" s="91" t="str">
        <f>IF($AF174="","",IF($AF174&lt;=1200,IF(INDEX(对接源_01水果!$C$4:$C$1203,$AF174)=0,"",INDEX(对接源_01水果!$C$4:$C$1203,$AF174)),IF(INDEX(对接源_02物料!$C$4:$C$1203,$AF174-1200)=0,"",INDEX(对接源_02物料!$C$4:$C$1203,$AF174-1200))))</f>
        <v/>
      </c>
      <c r="F174" s="88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G174" s="91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H174" s="88" t="str">
        <f t="shared" si="3"/>
        <v/>
      </c>
      <c r="I174" s="91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IFERROR(MATCH(66,_自动清单!$Y$4:$Y$2403,0),"")</f>
        <v/>
      </c>
    </row>
    <row r="175" ht="18" customHeight="1" spans="1:32">
      <c r="A175" s="52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56" t="str">
        <f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C175" s="53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D175" s="54" t="str">
        <f>IF($AF175="","",IF($AF175&lt;=1200,IF(INDEX(对接源_01水果!$T$4:$T$1203,$AF175)=0,"",INDEX(对接源_01水果!$T$4:$T$1203,$AF175)),IF(INDEX(对接源_02物料!$T$4:$T$1203,$AF175-1200)=0,"",INDEX(对接源_02物料!$T$4:$T$1203,$AF175-1200))))</f>
        <v/>
      </c>
      <c r="E175" s="56" t="str">
        <f>IF($AF175="","",IF($AF175&lt;=1200,IF(INDEX(对接源_01水果!$C$4:$C$1203,$AF175)=0,"",INDEX(对接源_01水果!$C$4:$C$1203,$AF175)),IF(INDEX(对接源_02物料!$C$4:$C$1203,$AF175-1200)=0,"",INDEX(对接源_02物料!$C$4:$C$1203,$AF175-1200))))</f>
        <v/>
      </c>
      <c r="F175" s="53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G175" s="56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H175" s="53" t="str">
        <f t="shared" si="3"/>
        <v/>
      </c>
      <c r="I175" s="56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IFERROR(MATCH(67,_自动清单!$Y$4:$Y$2403,0),"")</f>
        <v/>
      </c>
    </row>
    <row r="176" ht="18" customHeight="1" spans="1:32">
      <c r="A176" s="87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91" t="str">
        <f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C176" s="88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D176" s="89" t="str">
        <f>IF($AF176="","",IF($AF176&lt;=1200,IF(INDEX(对接源_01水果!$T$4:$T$1203,$AF176)=0,"",INDEX(对接源_01水果!$T$4:$T$1203,$AF176)),IF(INDEX(对接源_02物料!$T$4:$T$1203,$AF176-1200)=0,"",INDEX(对接源_02物料!$T$4:$T$1203,$AF176-1200))))</f>
        <v/>
      </c>
      <c r="E176" s="91" t="str">
        <f>IF($AF176="","",IF($AF176&lt;=1200,IF(INDEX(对接源_01水果!$C$4:$C$1203,$AF176)=0,"",INDEX(对接源_01水果!$C$4:$C$1203,$AF176)),IF(INDEX(对接源_02物料!$C$4:$C$1203,$AF176-1200)=0,"",INDEX(对接源_02物料!$C$4:$C$1203,$AF176-1200))))</f>
        <v/>
      </c>
      <c r="F176" s="88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G176" s="91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H176" s="88" t="str">
        <f t="shared" si="3"/>
        <v/>
      </c>
      <c r="I176" s="91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IFERROR(MATCH(68,_自动清单!$Y$4:$Y$2403,0),"")</f>
        <v/>
      </c>
    </row>
    <row r="177" ht="18" customHeight="1" spans="1:32">
      <c r="A177" s="52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56" t="str">
        <f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C177" s="53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D177" s="54" t="str">
        <f>IF($AF177="","",IF($AF177&lt;=1200,IF(INDEX(对接源_01水果!$T$4:$T$1203,$AF177)=0,"",INDEX(对接源_01水果!$T$4:$T$1203,$AF177)),IF(INDEX(对接源_02物料!$T$4:$T$1203,$AF177-1200)=0,"",INDEX(对接源_02物料!$T$4:$T$1203,$AF177-1200))))</f>
        <v/>
      </c>
      <c r="E177" s="56" t="str">
        <f>IF($AF177="","",IF($AF177&lt;=1200,IF(INDEX(对接源_01水果!$C$4:$C$1203,$AF177)=0,"",INDEX(对接源_01水果!$C$4:$C$1203,$AF177)),IF(INDEX(对接源_02物料!$C$4:$C$1203,$AF177-1200)=0,"",INDEX(对接源_02物料!$C$4:$C$1203,$AF177-1200))))</f>
        <v/>
      </c>
      <c r="F177" s="53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G177" s="56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H177" s="53" t="str">
        <f t="shared" si="3"/>
        <v/>
      </c>
      <c r="I177" s="56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IFERROR(MATCH(69,_自动清单!$Y$4:$Y$2403,0),"")</f>
        <v/>
      </c>
    </row>
    <row r="178" ht="18" customHeight="1" spans="1:32">
      <c r="A178" s="87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91" t="str">
        <f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C178" s="88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D178" s="89" t="str">
        <f>IF($AF178="","",IF($AF178&lt;=1200,IF(INDEX(对接源_01水果!$T$4:$T$1203,$AF178)=0,"",INDEX(对接源_01水果!$T$4:$T$1203,$AF178)),IF(INDEX(对接源_02物料!$T$4:$T$1203,$AF178-1200)=0,"",INDEX(对接源_02物料!$T$4:$T$1203,$AF178-1200))))</f>
        <v/>
      </c>
      <c r="E178" s="91" t="str">
        <f>IF($AF178="","",IF($AF178&lt;=1200,IF(INDEX(对接源_01水果!$C$4:$C$1203,$AF178)=0,"",INDEX(对接源_01水果!$C$4:$C$1203,$AF178)),IF(INDEX(对接源_02物料!$C$4:$C$1203,$AF178-1200)=0,"",INDEX(对接源_02物料!$C$4:$C$1203,$AF178-1200))))</f>
        <v/>
      </c>
      <c r="F178" s="88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G178" s="91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H178" s="88" t="str">
        <f t="shared" si="3"/>
        <v/>
      </c>
      <c r="I178" s="91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IFERROR(MATCH(70,_自动清单!$Y$4:$Y$2403,0),"")</f>
        <v/>
      </c>
    </row>
    <row r="179" ht="18" customHeight="1" spans="1:32">
      <c r="A179" s="52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56" t="str">
        <f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C179" s="53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D179" s="54" t="str">
        <f>IF($AF179="","",IF($AF179&lt;=1200,IF(INDEX(对接源_01水果!$T$4:$T$1203,$AF179)=0,"",INDEX(对接源_01水果!$T$4:$T$1203,$AF179)),IF(INDEX(对接源_02物料!$T$4:$T$1203,$AF179-1200)=0,"",INDEX(对接源_02物料!$T$4:$T$1203,$AF179-1200))))</f>
        <v/>
      </c>
      <c r="E179" s="56" t="str">
        <f>IF($AF179="","",IF($AF179&lt;=1200,IF(INDEX(对接源_01水果!$C$4:$C$1203,$AF179)=0,"",INDEX(对接源_01水果!$C$4:$C$1203,$AF179)),IF(INDEX(对接源_02物料!$C$4:$C$1203,$AF179-1200)=0,"",INDEX(对接源_02物料!$C$4:$C$1203,$AF179-1200))))</f>
        <v/>
      </c>
      <c r="F179" s="53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G179" s="56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H179" s="53" t="str">
        <f t="shared" si="3"/>
        <v/>
      </c>
      <c r="I179" s="56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IFERROR(MATCH(71,_自动清单!$Y$4:$Y$2403,0),"")</f>
        <v/>
      </c>
    </row>
    <row r="180" ht="18" customHeight="1" spans="1:32">
      <c r="A180" s="87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91" t="str">
        <f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C180" s="88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D180" s="89" t="str">
        <f>IF($AF180="","",IF($AF180&lt;=1200,IF(INDEX(对接源_01水果!$T$4:$T$1203,$AF180)=0,"",INDEX(对接源_01水果!$T$4:$T$1203,$AF180)),IF(INDEX(对接源_02物料!$T$4:$T$1203,$AF180-1200)=0,"",INDEX(对接源_02物料!$T$4:$T$1203,$AF180-1200))))</f>
        <v/>
      </c>
      <c r="E180" s="91" t="str">
        <f>IF($AF180="","",IF($AF180&lt;=1200,IF(INDEX(对接源_01水果!$C$4:$C$1203,$AF180)=0,"",INDEX(对接源_01水果!$C$4:$C$1203,$AF180)),IF(INDEX(对接源_02物料!$C$4:$C$1203,$AF180-1200)=0,"",INDEX(对接源_02物料!$C$4:$C$1203,$AF180-1200))))</f>
        <v/>
      </c>
      <c r="F180" s="88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G180" s="91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H180" s="88" t="str">
        <f t="shared" si="3"/>
        <v/>
      </c>
      <c r="I180" s="91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IFERROR(MATCH(72,_自动清单!$Y$4:$Y$2403,0),"")</f>
        <v/>
      </c>
    </row>
    <row r="181" ht="18" customHeight="1" spans="1:32">
      <c r="A181" s="52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56" t="str">
        <f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C181" s="53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D181" s="54" t="str">
        <f>IF($AF181="","",IF($AF181&lt;=1200,IF(INDEX(对接源_01水果!$T$4:$T$1203,$AF181)=0,"",INDEX(对接源_01水果!$T$4:$T$1203,$AF181)),IF(INDEX(对接源_02物料!$T$4:$T$1203,$AF181-1200)=0,"",INDEX(对接源_02物料!$T$4:$T$1203,$AF181-1200))))</f>
        <v/>
      </c>
      <c r="E181" s="56" t="str">
        <f>IF($AF181="","",IF($AF181&lt;=1200,IF(INDEX(对接源_01水果!$C$4:$C$1203,$AF181)=0,"",INDEX(对接源_01水果!$C$4:$C$1203,$AF181)),IF(INDEX(对接源_02物料!$C$4:$C$1203,$AF181-1200)=0,"",INDEX(对接源_02物料!$C$4:$C$1203,$AF181-1200))))</f>
        <v/>
      </c>
      <c r="F181" s="53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G181" s="56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H181" s="53" t="str">
        <f t="shared" si="3"/>
        <v/>
      </c>
      <c r="I181" s="56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IFERROR(MATCH(73,_自动清单!$Y$4:$Y$2403,0),"")</f>
        <v/>
      </c>
    </row>
    <row r="182" ht="18" customHeight="1" spans="1:32">
      <c r="A182" s="87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91" t="str">
        <f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C182" s="88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D182" s="89" t="str">
        <f>IF($AF182="","",IF($AF182&lt;=1200,IF(INDEX(对接源_01水果!$T$4:$T$1203,$AF182)=0,"",INDEX(对接源_01水果!$T$4:$T$1203,$AF182)),IF(INDEX(对接源_02物料!$T$4:$T$1203,$AF182-1200)=0,"",INDEX(对接源_02物料!$T$4:$T$1203,$AF182-1200))))</f>
        <v/>
      </c>
      <c r="E182" s="91" t="str">
        <f>IF($AF182="","",IF($AF182&lt;=1200,IF(INDEX(对接源_01水果!$C$4:$C$1203,$AF182)=0,"",INDEX(对接源_01水果!$C$4:$C$1203,$AF182)),IF(INDEX(对接源_02物料!$C$4:$C$1203,$AF182-1200)=0,"",INDEX(对接源_02物料!$C$4:$C$1203,$AF182-1200))))</f>
        <v/>
      </c>
      <c r="F182" s="88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G182" s="91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H182" s="88" t="str">
        <f t="shared" si="3"/>
        <v/>
      </c>
      <c r="I182" s="91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IFERROR(MATCH(74,_自动清单!$Y$4:$Y$2403,0),"")</f>
        <v/>
      </c>
    </row>
    <row r="183" ht="18" customHeight="1" spans="1:32">
      <c r="A183" s="52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56" t="str">
        <f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C183" s="53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D183" s="54" t="str">
        <f>IF($AF183="","",IF($AF183&lt;=1200,IF(INDEX(对接源_01水果!$T$4:$T$1203,$AF183)=0,"",INDEX(对接源_01水果!$T$4:$T$1203,$AF183)),IF(INDEX(对接源_02物料!$T$4:$T$1203,$AF183-1200)=0,"",INDEX(对接源_02物料!$T$4:$T$1203,$AF183-1200))))</f>
        <v/>
      </c>
      <c r="E183" s="56" t="str">
        <f>IF($AF183="","",IF($AF183&lt;=1200,IF(INDEX(对接源_01水果!$C$4:$C$1203,$AF183)=0,"",INDEX(对接源_01水果!$C$4:$C$1203,$AF183)),IF(INDEX(对接源_02物料!$C$4:$C$1203,$AF183-1200)=0,"",INDEX(对接源_02物料!$C$4:$C$1203,$AF183-1200))))</f>
        <v/>
      </c>
      <c r="F183" s="53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G183" s="56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H183" s="53" t="str">
        <f t="shared" si="3"/>
        <v/>
      </c>
      <c r="I183" s="56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IFERROR(MATCH(75,_自动清单!$Y$4:$Y$2403,0),"")</f>
        <v/>
      </c>
    </row>
    <row r="184" ht="18" customHeight="1" spans="1:32">
      <c r="A184" s="87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91" t="str">
        <f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C184" s="88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D184" s="89" t="str">
        <f>IF($AF184="","",IF($AF184&lt;=1200,IF(INDEX(对接源_01水果!$T$4:$T$1203,$AF184)=0,"",INDEX(对接源_01水果!$T$4:$T$1203,$AF184)),IF(INDEX(对接源_02物料!$T$4:$T$1203,$AF184-1200)=0,"",INDEX(对接源_02物料!$T$4:$T$1203,$AF184-1200))))</f>
        <v/>
      </c>
      <c r="E184" s="91" t="str">
        <f>IF($AF184="","",IF($AF184&lt;=1200,IF(INDEX(对接源_01水果!$C$4:$C$1203,$AF184)=0,"",INDEX(对接源_01水果!$C$4:$C$1203,$AF184)),IF(INDEX(对接源_02物料!$C$4:$C$1203,$AF184-1200)=0,"",INDEX(对接源_02物料!$C$4:$C$1203,$AF184-1200))))</f>
        <v/>
      </c>
      <c r="F184" s="88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G184" s="91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H184" s="88" t="str">
        <f t="shared" si="3"/>
        <v/>
      </c>
      <c r="I184" s="91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IFERROR(MATCH(76,_自动清单!$Y$4:$Y$2403,0),"")</f>
        <v/>
      </c>
    </row>
    <row r="185" ht="18" customHeight="1" spans="1:32">
      <c r="A185" s="52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56" t="str">
        <f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C185" s="53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D185" s="54" t="str">
        <f>IF($AF185="","",IF($AF185&lt;=1200,IF(INDEX(对接源_01水果!$T$4:$T$1203,$AF185)=0,"",INDEX(对接源_01水果!$T$4:$T$1203,$AF185)),IF(INDEX(对接源_02物料!$T$4:$T$1203,$AF185-1200)=0,"",INDEX(对接源_02物料!$T$4:$T$1203,$AF185-1200))))</f>
        <v/>
      </c>
      <c r="E185" s="56" t="str">
        <f>IF($AF185="","",IF($AF185&lt;=1200,IF(INDEX(对接源_01水果!$C$4:$C$1203,$AF185)=0,"",INDEX(对接源_01水果!$C$4:$C$1203,$AF185)),IF(INDEX(对接源_02物料!$C$4:$C$1203,$AF185-1200)=0,"",INDEX(对接源_02物料!$C$4:$C$1203,$AF185-1200))))</f>
        <v/>
      </c>
      <c r="F185" s="53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G185" s="56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H185" s="53" t="str">
        <f t="shared" si="3"/>
        <v/>
      </c>
      <c r="I185" s="56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IFERROR(MATCH(77,_自动清单!$Y$4:$Y$2403,0),"")</f>
        <v/>
      </c>
    </row>
    <row r="186" ht="18" customHeight="1" spans="1:32">
      <c r="A186" s="87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91" t="str">
        <f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C186" s="88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D186" s="89" t="str">
        <f>IF($AF186="","",IF($AF186&lt;=1200,IF(INDEX(对接源_01水果!$T$4:$T$1203,$AF186)=0,"",INDEX(对接源_01水果!$T$4:$T$1203,$AF186)),IF(INDEX(对接源_02物料!$T$4:$T$1203,$AF186-1200)=0,"",INDEX(对接源_02物料!$T$4:$T$1203,$AF186-1200))))</f>
        <v/>
      </c>
      <c r="E186" s="91" t="str">
        <f>IF($AF186="","",IF($AF186&lt;=1200,IF(INDEX(对接源_01水果!$C$4:$C$1203,$AF186)=0,"",INDEX(对接源_01水果!$C$4:$C$1203,$AF186)),IF(INDEX(对接源_02物料!$C$4:$C$1203,$AF186-1200)=0,"",INDEX(对接源_02物料!$C$4:$C$1203,$AF186-1200))))</f>
        <v/>
      </c>
      <c r="F186" s="88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G186" s="91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H186" s="88" t="str">
        <f t="shared" si="3"/>
        <v/>
      </c>
      <c r="I186" s="91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IFERROR(MATCH(78,_自动清单!$Y$4:$Y$2403,0),"")</f>
        <v/>
      </c>
    </row>
    <row r="187" ht="18" customHeight="1" spans="1:32">
      <c r="A187" s="52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56" t="str">
        <f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C187" s="53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D187" s="54" t="str">
        <f>IF($AF187="","",IF($AF187&lt;=1200,IF(INDEX(对接源_01水果!$T$4:$T$1203,$AF187)=0,"",INDEX(对接源_01水果!$T$4:$T$1203,$AF187)),IF(INDEX(对接源_02物料!$T$4:$T$1203,$AF187-1200)=0,"",INDEX(对接源_02物料!$T$4:$T$1203,$AF187-1200))))</f>
        <v/>
      </c>
      <c r="E187" s="56" t="str">
        <f>IF($AF187="","",IF($AF187&lt;=1200,IF(INDEX(对接源_01水果!$C$4:$C$1203,$AF187)=0,"",INDEX(对接源_01水果!$C$4:$C$1203,$AF187)),IF(INDEX(对接源_02物料!$C$4:$C$1203,$AF187-1200)=0,"",INDEX(对接源_02物料!$C$4:$C$1203,$AF187-1200))))</f>
        <v/>
      </c>
      <c r="F187" s="53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G187" s="56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H187" s="53" t="str">
        <f t="shared" si="3"/>
        <v/>
      </c>
      <c r="I187" s="56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IFERROR(MATCH(79,_自动清单!$Y$4:$Y$2403,0),"")</f>
        <v/>
      </c>
    </row>
    <row r="188" ht="18" customHeight="1" spans="1:32">
      <c r="A188" s="87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91" t="str">
        <f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C188" s="88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D188" s="89" t="str">
        <f>IF($AF188="","",IF($AF188&lt;=1200,IF(INDEX(对接源_01水果!$T$4:$T$1203,$AF188)=0,"",INDEX(对接源_01水果!$T$4:$T$1203,$AF188)),IF(INDEX(对接源_02物料!$T$4:$T$1203,$AF188-1200)=0,"",INDEX(对接源_02物料!$T$4:$T$1203,$AF188-1200))))</f>
        <v/>
      </c>
      <c r="E188" s="91" t="str">
        <f>IF($AF188="","",IF($AF188&lt;=1200,IF(INDEX(对接源_01水果!$C$4:$C$1203,$AF188)=0,"",INDEX(对接源_01水果!$C$4:$C$1203,$AF188)),IF(INDEX(对接源_02物料!$C$4:$C$1203,$AF188-1200)=0,"",INDEX(对接源_02物料!$C$4:$C$1203,$AF188-1200))))</f>
        <v/>
      </c>
      <c r="F188" s="88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G188" s="91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H188" s="88" t="str">
        <f t="shared" si="3"/>
        <v/>
      </c>
      <c r="I188" s="91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IFERROR(MATCH(80,_自动清单!$Y$4:$Y$2403,0),"")</f>
        <v/>
      </c>
    </row>
    <row r="189" ht="18" customHeight="1" spans="1:32">
      <c r="A189" s="52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56" t="str">
        <f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C189" s="53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D189" s="54" t="str">
        <f>IF($AF189="","",IF($AF189&lt;=1200,IF(INDEX(对接源_01水果!$T$4:$T$1203,$AF189)=0,"",INDEX(对接源_01水果!$T$4:$T$1203,$AF189)),IF(INDEX(对接源_02物料!$T$4:$T$1203,$AF189-1200)=0,"",INDEX(对接源_02物料!$T$4:$T$1203,$AF189-1200))))</f>
        <v/>
      </c>
      <c r="E189" s="56" t="str">
        <f>IF($AF189="","",IF($AF189&lt;=1200,IF(INDEX(对接源_01水果!$C$4:$C$1203,$AF189)=0,"",INDEX(对接源_01水果!$C$4:$C$1203,$AF189)),IF(INDEX(对接源_02物料!$C$4:$C$1203,$AF189-1200)=0,"",INDEX(对接源_02物料!$C$4:$C$1203,$AF189-1200))))</f>
        <v/>
      </c>
      <c r="F189" s="53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G189" s="56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H189" s="53" t="str">
        <f t="shared" si="3"/>
        <v/>
      </c>
      <c r="I189" s="56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IFERROR(MATCH(81,_自动清单!$Y$4:$Y$2403,0),"")</f>
        <v/>
      </c>
    </row>
    <row r="190" ht="18" customHeight="1" spans="1:32">
      <c r="A190" s="87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91" t="str">
        <f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C190" s="88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D190" s="89" t="str">
        <f>IF($AF190="","",IF($AF190&lt;=1200,IF(INDEX(对接源_01水果!$T$4:$T$1203,$AF190)=0,"",INDEX(对接源_01水果!$T$4:$T$1203,$AF190)),IF(INDEX(对接源_02物料!$T$4:$T$1203,$AF190-1200)=0,"",INDEX(对接源_02物料!$T$4:$T$1203,$AF190-1200))))</f>
        <v/>
      </c>
      <c r="E190" s="91" t="str">
        <f>IF($AF190="","",IF($AF190&lt;=1200,IF(INDEX(对接源_01水果!$C$4:$C$1203,$AF190)=0,"",INDEX(对接源_01水果!$C$4:$C$1203,$AF190)),IF(INDEX(对接源_02物料!$C$4:$C$1203,$AF190-1200)=0,"",INDEX(对接源_02物料!$C$4:$C$1203,$AF190-1200))))</f>
        <v/>
      </c>
      <c r="F190" s="88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G190" s="91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H190" s="88" t="str">
        <f t="shared" si="3"/>
        <v/>
      </c>
      <c r="I190" s="91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IFERROR(MATCH(82,_自动清单!$Y$4:$Y$2403,0),"")</f>
        <v/>
      </c>
    </row>
    <row r="191" ht="18" customHeight="1" spans="1:32">
      <c r="A191" s="52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56" t="str">
        <f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C191" s="53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D191" s="54" t="str">
        <f>IF($AF191="","",IF($AF191&lt;=1200,IF(INDEX(对接源_01水果!$T$4:$T$1203,$AF191)=0,"",INDEX(对接源_01水果!$T$4:$T$1203,$AF191)),IF(INDEX(对接源_02物料!$T$4:$T$1203,$AF191-1200)=0,"",INDEX(对接源_02物料!$T$4:$T$1203,$AF191-1200))))</f>
        <v/>
      </c>
      <c r="E191" s="56" t="str">
        <f>IF($AF191="","",IF($AF191&lt;=1200,IF(INDEX(对接源_01水果!$C$4:$C$1203,$AF191)=0,"",INDEX(对接源_01水果!$C$4:$C$1203,$AF191)),IF(INDEX(对接源_02物料!$C$4:$C$1203,$AF191-1200)=0,"",INDEX(对接源_02物料!$C$4:$C$1203,$AF191-1200))))</f>
        <v/>
      </c>
      <c r="F191" s="53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G191" s="56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H191" s="53" t="str">
        <f t="shared" si="3"/>
        <v/>
      </c>
      <c r="I191" s="56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IFERROR(MATCH(83,_自动清单!$Y$4:$Y$2403,0),"")</f>
        <v/>
      </c>
    </row>
    <row r="192" ht="18" customHeight="1" spans="1:32">
      <c r="A192" s="87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91" t="str">
        <f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C192" s="88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D192" s="89" t="str">
        <f>IF($AF192="","",IF($AF192&lt;=1200,IF(INDEX(对接源_01水果!$T$4:$T$1203,$AF192)=0,"",INDEX(对接源_01水果!$T$4:$T$1203,$AF192)),IF(INDEX(对接源_02物料!$T$4:$T$1203,$AF192-1200)=0,"",INDEX(对接源_02物料!$T$4:$T$1203,$AF192-1200))))</f>
        <v/>
      </c>
      <c r="E192" s="91" t="str">
        <f>IF($AF192="","",IF($AF192&lt;=1200,IF(INDEX(对接源_01水果!$C$4:$C$1203,$AF192)=0,"",INDEX(对接源_01水果!$C$4:$C$1203,$AF192)),IF(INDEX(对接源_02物料!$C$4:$C$1203,$AF192-1200)=0,"",INDEX(对接源_02物料!$C$4:$C$1203,$AF192-1200))))</f>
        <v/>
      </c>
      <c r="F192" s="88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G192" s="91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H192" s="88" t="str">
        <f t="shared" si="3"/>
        <v/>
      </c>
      <c r="I192" s="91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IFERROR(MATCH(84,_自动清单!$Y$4:$Y$2403,0),"")</f>
        <v/>
      </c>
    </row>
    <row r="193" ht="18" customHeight="1" spans="1:32">
      <c r="A193" s="52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56" t="str">
        <f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C193" s="53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D193" s="54" t="str">
        <f>IF($AF193="","",IF($AF193&lt;=1200,IF(INDEX(对接源_01水果!$T$4:$T$1203,$AF193)=0,"",INDEX(对接源_01水果!$T$4:$T$1203,$AF193)),IF(INDEX(对接源_02物料!$T$4:$T$1203,$AF193-1200)=0,"",INDEX(对接源_02物料!$T$4:$T$1203,$AF193-1200))))</f>
        <v/>
      </c>
      <c r="E193" s="56" t="str">
        <f>IF($AF193="","",IF($AF193&lt;=1200,IF(INDEX(对接源_01水果!$C$4:$C$1203,$AF193)=0,"",INDEX(对接源_01水果!$C$4:$C$1203,$AF193)),IF(INDEX(对接源_02物料!$C$4:$C$1203,$AF193-1200)=0,"",INDEX(对接源_02物料!$C$4:$C$1203,$AF193-1200))))</f>
        <v/>
      </c>
      <c r="F193" s="53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G193" s="56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H193" s="53" t="str">
        <f t="shared" si="3"/>
        <v/>
      </c>
      <c r="I193" s="56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IFERROR(MATCH(85,_自动清单!$Y$4:$Y$2403,0),"")</f>
        <v/>
      </c>
    </row>
    <row r="194" ht="18" customHeight="1" spans="1:32">
      <c r="A194" s="87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91" t="str">
        <f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C194" s="88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D194" s="89" t="str">
        <f>IF($AF194="","",IF($AF194&lt;=1200,IF(INDEX(对接源_01水果!$T$4:$T$1203,$AF194)=0,"",INDEX(对接源_01水果!$T$4:$T$1203,$AF194)),IF(INDEX(对接源_02物料!$T$4:$T$1203,$AF194-1200)=0,"",INDEX(对接源_02物料!$T$4:$T$1203,$AF194-1200))))</f>
        <v/>
      </c>
      <c r="E194" s="91" t="str">
        <f>IF($AF194="","",IF($AF194&lt;=1200,IF(INDEX(对接源_01水果!$C$4:$C$1203,$AF194)=0,"",INDEX(对接源_01水果!$C$4:$C$1203,$AF194)),IF(INDEX(对接源_02物料!$C$4:$C$1203,$AF194-1200)=0,"",INDEX(对接源_02物料!$C$4:$C$1203,$AF194-1200))))</f>
        <v/>
      </c>
      <c r="F194" s="88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G194" s="91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H194" s="88" t="str">
        <f t="shared" si="3"/>
        <v/>
      </c>
      <c r="I194" s="91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IFERROR(MATCH(86,_自动清单!$Y$4:$Y$2403,0),"")</f>
        <v/>
      </c>
    </row>
    <row r="195" ht="18" customHeight="1" spans="1:32">
      <c r="A195" s="52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56" t="str">
        <f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C195" s="53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D195" s="54" t="str">
        <f>IF($AF195="","",IF($AF195&lt;=1200,IF(INDEX(对接源_01水果!$T$4:$T$1203,$AF195)=0,"",INDEX(对接源_01水果!$T$4:$T$1203,$AF195)),IF(INDEX(对接源_02物料!$T$4:$T$1203,$AF195-1200)=0,"",INDEX(对接源_02物料!$T$4:$T$1203,$AF195-1200))))</f>
        <v/>
      </c>
      <c r="E195" s="56" t="str">
        <f>IF($AF195="","",IF($AF195&lt;=1200,IF(INDEX(对接源_01水果!$C$4:$C$1203,$AF195)=0,"",INDEX(对接源_01水果!$C$4:$C$1203,$AF195)),IF(INDEX(对接源_02物料!$C$4:$C$1203,$AF195-1200)=0,"",INDEX(对接源_02物料!$C$4:$C$1203,$AF195-1200))))</f>
        <v/>
      </c>
      <c r="F195" s="53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G195" s="56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H195" s="53" t="str">
        <f t="shared" si="3"/>
        <v/>
      </c>
      <c r="I195" s="56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IFERROR(MATCH(87,_自动清单!$Y$4:$Y$2403,0),"")</f>
        <v/>
      </c>
    </row>
    <row r="196" ht="18" customHeight="1" spans="1:32">
      <c r="A196" s="87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91" t="str">
        <f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C196" s="88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D196" s="89" t="str">
        <f>IF($AF196="","",IF($AF196&lt;=1200,IF(INDEX(对接源_01水果!$T$4:$T$1203,$AF196)=0,"",INDEX(对接源_01水果!$T$4:$T$1203,$AF196)),IF(INDEX(对接源_02物料!$T$4:$T$1203,$AF196-1200)=0,"",INDEX(对接源_02物料!$T$4:$T$1203,$AF196-1200))))</f>
        <v/>
      </c>
      <c r="E196" s="91" t="str">
        <f>IF($AF196="","",IF($AF196&lt;=1200,IF(INDEX(对接源_01水果!$C$4:$C$1203,$AF196)=0,"",INDEX(对接源_01水果!$C$4:$C$1203,$AF196)),IF(INDEX(对接源_02物料!$C$4:$C$1203,$AF196-1200)=0,"",INDEX(对接源_02物料!$C$4:$C$1203,$AF196-1200))))</f>
        <v/>
      </c>
      <c r="F196" s="88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G196" s="91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H196" s="88" t="str">
        <f t="shared" si="3"/>
        <v/>
      </c>
      <c r="I196" s="91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IFERROR(MATCH(88,_自动清单!$Y$4:$Y$2403,0),"")</f>
        <v/>
      </c>
    </row>
    <row r="197" ht="18" customHeight="1" spans="1:32">
      <c r="A197" s="52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56" t="str">
        <f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C197" s="53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D197" s="54" t="str">
        <f>IF($AF197="","",IF($AF197&lt;=1200,IF(INDEX(对接源_01水果!$T$4:$T$1203,$AF197)=0,"",INDEX(对接源_01水果!$T$4:$T$1203,$AF197)),IF(INDEX(对接源_02物料!$T$4:$T$1203,$AF197-1200)=0,"",INDEX(对接源_02物料!$T$4:$T$1203,$AF197-1200))))</f>
        <v/>
      </c>
      <c r="E197" s="56" t="str">
        <f>IF($AF197="","",IF($AF197&lt;=1200,IF(INDEX(对接源_01水果!$C$4:$C$1203,$AF197)=0,"",INDEX(对接源_01水果!$C$4:$C$1203,$AF197)),IF(INDEX(对接源_02物料!$C$4:$C$1203,$AF197-1200)=0,"",INDEX(对接源_02物料!$C$4:$C$1203,$AF197-1200))))</f>
        <v/>
      </c>
      <c r="F197" s="53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G197" s="56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H197" s="53" t="str">
        <f t="shared" si="3"/>
        <v/>
      </c>
      <c r="I197" s="56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IFERROR(MATCH(89,_自动清单!$Y$4:$Y$2403,0),"")</f>
        <v/>
      </c>
    </row>
    <row r="198" ht="18" customHeight="1" spans="1:32">
      <c r="A198" s="87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91" t="str">
        <f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C198" s="88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D198" s="89" t="str">
        <f>IF($AF198="","",IF($AF198&lt;=1200,IF(INDEX(对接源_01水果!$T$4:$T$1203,$AF198)=0,"",INDEX(对接源_01水果!$T$4:$T$1203,$AF198)),IF(INDEX(对接源_02物料!$T$4:$T$1203,$AF198-1200)=0,"",INDEX(对接源_02物料!$T$4:$T$1203,$AF198-1200))))</f>
        <v/>
      </c>
      <c r="E198" s="91" t="str">
        <f>IF($AF198="","",IF($AF198&lt;=1200,IF(INDEX(对接源_01水果!$C$4:$C$1203,$AF198)=0,"",INDEX(对接源_01水果!$C$4:$C$1203,$AF198)),IF(INDEX(对接源_02物料!$C$4:$C$1203,$AF198-1200)=0,"",INDEX(对接源_02物料!$C$4:$C$1203,$AF198-1200))))</f>
        <v/>
      </c>
      <c r="F198" s="88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G198" s="91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H198" s="88" t="str">
        <f t="shared" si="3"/>
        <v/>
      </c>
      <c r="I198" s="91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IFERROR(MATCH(90,_自动清单!$Y$4:$Y$2403,0),"")</f>
        <v/>
      </c>
    </row>
    <row r="199" ht="18" customHeight="1" spans="1:32">
      <c r="A199" s="52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56" t="str">
        <f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C199" s="53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D199" s="54" t="str">
        <f>IF($AF199="","",IF($AF199&lt;=1200,IF(INDEX(对接源_01水果!$T$4:$T$1203,$AF199)=0,"",INDEX(对接源_01水果!$T$4:$T$1203,$AF199)),IF(INDEX(对接源_02物料!$T$4:$T$1203,$AF199-1200)=0,"",INDEX(对接源_02物料!$T$4:$T$1203,$AF199-1200))))</f>
        <v/>
      </c>
      <c r="E199" s="56" t="str">
        <f>IF($AF199="","",IF($AF199&lt;=1200,IF(INDEX(对接源_01水果!$C$4:$C$1203,$AF199)=0,"",INDEX(对接源_01水果!$C$4:$C$1203,$AF199)),IF(INDEX(对接源_02物料!$C$4:$C$1203,$AF199-1200)=0,"",INDEX(对接源_02物料!$C$4:$C$1203,$AF199-1200))))</f>
        <v/>
      </c>
      <c r="F199" s="53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G199" s="56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H199" s="53" t="str">
        <f t="shared" si="3"/>
        <v/>
      </c>
      <c r="I199" s="56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IFERROR(MATCH(91,_自动清单!$Y$4:$Y$2403,0),"")</f>
        <v/>
      </c>
    </row>
    <row r="200" ht="18" customHeight="1" spans="1:32">
      <c r="A200" s="87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91" t="str">
        <f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C200" s="88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D200" s="89" t="str">
        <f>IF($AF200="","",IF($AF200&lt;=1200,IF(INDEX(对接源_01水果!$T$4:$T$1203,$AF200)=0,"",INDEX(对接源_01水果!$T$4:$T$1203,$AF200)),IF(INDEX(对接源_02物料!$T$4:$T$1203,$AF200-1200)=0,"",INDEX(对接源_02物料!$T$4:$T$1203,$AF200-1200))))</f>
        <v/>
      </c>
      <c r="E200" s="91" t="str">
        <f>IF($AF200="","",IF($AF200&lt;=1200,IF(INDEX(对接源_01水果!$C$4:$C$1203,$AF200)=0,"",INDEX(对接源_01水果!$C$4:$C$1203,$AF200)),IF(INDEX(对接源_02物料!$C$4:$C$1203,$AF200-1200)=0,"",INDEX(对接源_02物料!$C$4:$C$1203,$AF200-1200))))</f>
        <v/>
      </c>
      <c r="F200" s="88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G200" s="91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H200" s="88" t="str">
        <f t="shared" si="3"/>
        <v/>
      </c>
      <c r="I200" s="91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IFERROR(MATCH(92,_自动清单!$Y$4:$Y$2403,0),"")</f>
        <v/>
      </c>
    </row>
    <row r="201" ht="18" customHeight="1" spans="1:32">
      <c r="A201" s="52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56" t="str">
        <f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C201" s="53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D201" s="54" t="str">
        <f>IF($AF201="","",IF($AF201&lt;=1200,IF(INDEX(对接源_01水果!$T$4:$T$1203,$AF201)=0,"",INDEX(对接源_01水果!$T$4:$T$1203,$AF201)),IF(INDEX(对接源_02物料!$T$4:$T$1203,$AF201-1200)=0,"",INDEX(对接源_02物料!$T$4:$T$1203,$AF201-1200))))</f>
        <v/>
      </c>
      <c r="E201" s="56" t="str">
        <f>IF($AF201="","",IF($AF201&lt;=1200,IF(INDEX(对接源_01水果!$C$4:$C$1203,$AF201)=0,"",INDEX(对接源_01水果!$C$4:$C$1203,$AF201)),IF(INDEX(对接源_02物料!$C$4:$C$1203,$AF201-1200)=0,"",INDEX(对接源_02物料!$C$4:$C$1203,$AF201-1200))))</f>
        <v/>
      </c>
      <c r="F201" s="53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G201" s="56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H201" s="53" t="str">
        <f t="shared" si="3"/>
        <v/>
      </c>
      <c r="I201" s="56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IFERROR(MATCH(93,_自动清单!$Y$4:$Y$2403,0),"")</f>
        <v/>
      </c>
    </row>
    <row r="202" ht="18" customHeight="1" spans="1:32">
      <c r="A202" s="87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91" t="str">
        <f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C202" s="88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D202" s="89" t="str">
        <f>IF($AF202="","",IF($AF202&lt;=1200,IF(INDEX(对接源_01水果!$T$4:$T$1203,$AF202)=0,"",INDEX(对接源_01水果!$T$4:$T$1203,$AF202)),IF(INDEX(对接源_02物料!$T$4:$T$1203,$AF202-1200)=0,"",INDEX(对接源_02物料!$T$4:$T$1203,$AF202-1200))))</f>
        <v/>
      </c>
      <c r="E202" s="91" t="str">
        <f>IF($AF202="","",IF($AF202&lt;=1200,IF(INDEX(对接源_01水果!$C$4:$C$1203,$AF202)=0,"",INDEX(对接源_01水果!$C$4:$C$1203,$AF202)),IF(INDEX(对接源_02物料!$C$4:$C$1203,$AF202-1200)=0,"",INDEX(对接源_02物料!$C$4:$C$1203,$AF202-1200))))</f>
        <v/>
      </c>
      <c r="F202" s="88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G202" s="91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H202" s="88" t="str">
        <f t="shared" si="3"/>
        <v/>
      </c>
      <c r="I202" s="91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IFERROR(MATCH(94,_自动清单!$Y$4:$Y$2403,0),"")</f>
        <v/>
      </c>
    </row>
    <row r="203" ht="18" customHeight="1" spans="1:32">
      <c r="A203" s="52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56" t="str">
        <f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C203" s="53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D203" s="54" t="str">
        <f>IF($AF203="","",IF($AF203&lt;=1200,IF(INDEX(对接源_01水果!$T$4:$T$1203,$AF203)=0,"",INDEX(对接源_01水果!$T$4:$T$1203,$AF203)),IF(INDEX(对接源_02物料!$T$4:$T$1203,$AF203-1200)=0,"",INDEX(对接源_02物料!$T$4:$T$1203,$AF203-1200))))</f>
        <v/>
      </c>
      <c r="E203" s="56" t="str">
        <f>IF($AF203="","",IF($AF203&lt;=1200,IF(INDEX(对接源_01水果!$C$4:$C$1203,$AF203)=0,"",INDEX(对接源_01水果!$C$4:$C$1203,$AF203)),IF(INDEX(对接源_02物料!$C$4:$C$1203,$AF203-1200)=0,"",INDEX(对接源_02物料!$C$4:$C$1203,$AF203-1200))))</f>
        <v/>
      </c>
      <c r="F203" s="53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G203" s="56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H203" s="53" t="str">
        <f t="shared" si="3"/>
        <v/>
      </c>
      <c r="I203" s="56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IFERROR(MATCH(95,_自动清单!$Y$4:$Y$2403,0),"")</f>
        <v/>
      </c>
    </row>
    <row r="204" ht="18" customHeight="1" spans="1:32">
      <c r="A204" s="87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91" t="str">
        <f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C204" s="88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D204" s="89" t="str">
        <f>IF($AF204="","",IF($AF204&lt;=1200,IF(INDEX(对接源_01水果!$T$4:$T$1203,$AF204)=0,"",INDEX(对接源_01水果!$T$4:$T$1203,$AF204)),IF(INDEX(对接源_02物料!$T$4:$T$1203,$AF204-1200)=0,"",INDEX(对接源_02物料!$T$4:$T$1203,$AF204-1200))))</f>
        <v/>
      </c>
      <c r="E204" s="91" t="str">
        <f>IF($AF204="","",IF($AF204&lt;=1200,IF(INDEX(对接源_01水果!$C$4:$C$1203,$AF204)=0,"",INDEX(对接源_01水果!$C$4:$C$1203,$AF204)),IF(INDEX(对接源_02物料!$C$4:$C$1203,$AF204-1200)=0,"",INDEX(对接源_02物料!$C$4:$C$1203,$AF204-1200))))</f>
        <v/>
      </c>
      <c r="F204" s="88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G204" s="91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H204" s="88" t="str">
        <f t="shared" si="3"/>
        <v/>
      </c>
      <c r="I204" s="91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IFERROR(MATCH(96,_自动清单!$Y$4:$Y$2403,0),"")</f>
        <v/>
      </c>
    </row>
    <row r="205" ht="18" customHeight="1" spans="1:32">
      <c r="A205" s="52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56" t="str">
        <f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C205" s="53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D205" s="54" t="str">
        <f>IF($AF205="","",IF($AF205&lt;=1200,IF(INDEX(对接源_01水果!$T$4:$T$1203,$AF205)=0,"",INDEX(对接源_01水果!$T$4:$T$1203,$AF205)),IF(INDEX(对接源_02物料!$T$4:$T$1203,$AF205-1200)=0,"",INDEX(对接源_02物料!$T$4:$T$1203,$AF205-1200))))</f>
        <v/>
      </c>
      <c r="E205" s="56" t="str">
        <f>IF($AF205="","",IF($AF205&lt;=1200,IF(INDEX(对接源_01水果!$C$4:$C$1203,$AF205)=0,"",INDEX(对接源_01水果!$C$4:$C$1203,$AF205)),IF(INDEX(对接源_02物料!$C$4:$C$1203,$AF205-1200)=0,"",INDEX(对接源_02物料!$C$4:$C$1203,$AF205-1200))))</f>
        <v/>
      </c>
      <c r="F205" s="53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G205" s="56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H205" s="53" t="str">
        <f t="shared" si="3"/>
        <v/>
      </c>
      <c r="I205" s="56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IFERROR(MATCH(97,_自动清单!$Y$4:$Y$2403,0),"")</f>
        <v/>
      </c>
    </row>
    <row r="206" ht="18" customHeight="1" spans="1:32">
      <c r="A206" s="87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91" t="str">
        <f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C206" s="88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D206" s="89" t="str">
        <f>IF($AF206="","",IF($AF206&lt;=1200,IF(INDEX(对接源_01水果!$T$4:$T$1203,$AF206)=0,"",INDEX(对接源_01水果!$T$4:$T$1203,$AF206)),IF(INDEX(对接源_02物料!$T$4:$T$1203,$AF206-1200)=0,"",INDEX(对接源_02物料!$T$4:$T$1203,$AF206-1200))))</f>
        <v/>
      </c>
      <c r="E206" s="91" t="str">
        <f>IF($AF206="","",IF($AF206&lt;=1200,IF(INDEX(对接源_01水果!$C$4:$C$1203,$AF206)=0,"",INDEX(对接源_01水果!$C$4:$C$1203,$AF206)),IF(INDEX(对接源_02物料!$C$4:$C$1203,$AF206-1200)=0,"",INDEX(对接源_02物料!$C$4:$C$1203,$AF206-1200))))</f>
        <v/>
      </c>
      <c r="F206" s="88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G206" s="91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H206" s="88" t="str">
        <f t="shared" si="3"/>
        <v/>
      </c>
      <c r="I206" s="91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IFERROR(MATCH(98,_自动清单!$Y$4:$Y$2403,0),"")</f>
        <v/>
      </c>
    </row>
    <row r="207" ht="18" customHeight="1" spans="1:32">
      <c r="A207" s="52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56" t="str">
        <f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C207" s="53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D207" s="54" t="str">
        <f>IF($AF207="","",IF($AF207&lt;=1200,IF(INDEX(对接源_01水果!$T$4:$T$1203,$AF207)=0,"",INDEX(对接源_01水果!$T$4:$T$1203,$AF207)),IF(INDEX(对接源_02物料!$T$4:$T$1203,$AF207-1200)=0,"",INDEX(对接源_02物料!$T$4:$T$1203,$AF207-1200))))</f>
        <v/>
      </c>
      <c r="E207" s="56" t="str">
        <f>IF($AF207="","",IF($AF207&lt;=1200,IF(INDEX(对接源_01水果!$C$4:$C$1203,$AF207)=0,"",INDEX(对接源_01水果!$C$4:$C$1203,$AF207)),IF(INDEX(对接源_02物料!$C$4:$C$1203,$AF207-1200)=0,"",INDEX(对接源_02物料!$C$4:$C$1203,$AF207-1200))))</f>
        <v/>
      </c>
      <c r="F207" s="53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G207" s="56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H207" s="53" t="str">
        <f t="shared" si="3"/>
        <v/>
      </c>
      <c r="I207" s="56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IFERROR(MATCH(99,_自动清单!$Y$4:$Y$2403,0),"")</f>
        <v/>
      </c>
    </row>
    <row r="208" ht="18" customHeight="1" spans="1:32">
      <c r="A208" s="87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91" t="str">
        <f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C208" s="88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D208" s="89" t="str">
        <f>IF($AF208="","",IF($AF208&lt;=1200,IF(INDEX(对接源_01水果!$T$4:$T$1203,$AF208)=0,"",INDEX(对接源_01水果!$T$4:$T$1203,$AF208)),IF(INDEX(对接源_02物料!$T$4:$T$1203,$AF208-1200)=0,"",INDEX(对接源_02物料!$T$4:$T$1203,$AF208-1200))))</f>
        <v/>
      </c>
      <c r="E208" s="91" t="str">
        <f>IF($AF208="","",IF($AF208&lt;=1200,IF(INDEX(对接源_01水果!$C$4:$C$1203,$AF208)=0,"",INDEX(对接源_01水果!$C$4:$C$1203,$AF208)),IF(INDEX(对接源_02物料!$C$4:$C$1203,$AF208-1200)=0,"",INDEX(对接源_02物料!$C$4:$C$1203,$AF208-1200))))</f>
        <v/>
      </c>
      <c r="F208" s="88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G208" s="91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H208" s="88" t="str">
        <f t="shared" si="3"/>
        <v/>
      </c>
      <c r="I208" s="91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IFERROR(MATCH(100,_自动清单!$Y$4:$Y$2403,0),"")</f>
        <v/>
      </c>
    </row>
  </sheetData>
  <mergeCells count="11">
    <mergeCell ref="A1:G1"/>
    <mergeCell ref="B2:C2"/>
    <mergeCell ref="K2:M2"/>
    <mergeCell ref="A3:I3"/>
    <mergeCell ref="K3:L3"/>
    <mergeCell ref="A4:F4"/>
    <mergeCell ref="G4:I4"/>
    <mergeCell ref="K4:L4"/>
    <mergeCell ref="K5:L5"/>
    <mergeCell ref="A107:F107"/>
    <mergeCell ref="G107:I107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504D"/>
  </sheetPr>
  <dimension ref="A1:AG231"/>
  <sheetViews>
    <sheetView showGridLines="0" workbookViewId="0">
      <pane ySplit="3" topLeftCell="A4" activePane="bottomLeft" state="frozen"/>
      <selection/>
      <selection pane="bottomLeft" activeCell="M15" sqref="M15"/>
    </sheetView>
  </sheetViews>
  <sheetFormatPr defaultColWidth="9" defaultRowHeight="13.5"/>
  <cols>
    <col min="1" max="1" width="13" style="8" customWidth="1"/>
    <col min="2" max="3" width="16" style="8" customWidth="1"/>
    <col min="4" max="4" width="12" style="8" customWidth="1"/>
    <col min="5" max="5" width="15" style="8" customWidth="1"/>
    <col min="6" max="6" width="11" style="8" customWidth="1"/>
    <col min="7" max="7" width="22" style="8" customWidth="1"/>
    <col min="8" max="8" width="6.88333333333333" style="8" customWidth="1"/>
    <col min="9" max="9" width="12" style="8" customWidth="1"/>
    <col min="10" max="10" width="10" style="8" customWidth="1"/>
    <col min="11" max="11" width="12" style="8" customWidth="1"/>
    <col min="12" max="12" width="2" style="8" customWidth="1"/>
    <col min="13" max="15" width="9" style="8"/>
    <col min="16" max="16" width="12" style="8" customWidth="1"/>
    <col min="17" max="16384" width="9" style="8"/>
  </cols>
  <sheetData>
    <row r="1" ht="49.5" customHeight="1" spans="1:31">
      <c r="A1" s="35" t="s">
        <v>69</v>
      </c>
      <c r="B1" s="35"/>
      <c r="C1" s="35"/>
      <c r="D1" s="35"/>
      <c r="E1" s="35"/>
      <c r="F1" s="36" t="s">
        <v>70</v>
      </c>
      <c r="G1" s="36"/>
      <c r="P1" s="103">
        <f>IF($F$2="",DATE(1900,1,1),$F$2)</f>
        <v>1</v>
      </c>
    </row>
    <row r="2" ht="25.5" customHeight="1" spans="1:31">
      <c r="A2" s="104" t="s">
        <v>71</v>
      </c>
      <c r="B2" s="79" t="s">
        <v>92</v>
      </c>
      <c r="C2" s="79"/>
      <c r="E2" s="10" t="s">
        <v>73</v>
      </c>
      <c r="F2" s="42"/>
      <c r="G2" s="10" t="s">
        <v>74</v>
      </c>
      <c r="H2" s="42"/>
      <c r="I2" s="80" t="s">
        <v>93</v>
      </c>
      <c r="J2" s="80"/>
      <c r="K2" s="80"/>
      <c r="P2" s="103">
        <f>IF($H$2="",DATE(2999,12,31),$H$2)</f>
        <v>401768</v>
      </c>
    </row>
    <row r="3" ht="33" customHeight="1" spans="1:31">
      <c r="A3" s="105" t="s">
        <v>94</v>
      </c>
      <c r="B3" s="105"/>
      <c r="C3" s="105"/>
      <c r="D3" s="105"/>
      <c r="E3" s="105"/>
      <c r="F3" s="105"/>
      <c r="G3" s="105"/>
      <c r="I3" s="49" t="s">
        <v>95</v>
      </c>
      <c r="J3" s="49"/>
      <c r="K3" s="82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7497</v>
      </c>
    </row>
    <row r="4" ht="27" customHeight="1" spans="1:31">
      <c r="A4" s="47" t="s">
        <v>96</v>
      </c>
      <c r="B4" s="47"/>
      <c r="C4" s="47"/>
      <c r="D4" s="47"/>
      <c r="E4" s="83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7497</v>
      </c>
      <c r="F4" s="83"/>
      <c r="G4" s="83"/>
      <c r="I4" s="113" t="s">
        <v>97</v>
      </c>
      <c r="J4" s="113"/>
      <c r="K4" s="114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0</v>
      </c>
    </row>
    <row r="5" ht="30" customHeight="1" spans="1:31">
      <c r="A5" s="51" t="s">
        <v>80</v>
      </c>
      <c r="B5" s="51" t="s">
        <v>82</v>
      </c>
      <c r="C5" s="51" t="s">
        <v>81</v>
      </c>
      <c r="D5" s="51" t="s">
        <v>98</v>
      </c>
      <c r="E5" s="51" t="s">
        <v>99</v>
      </c>
      <c r="F5" s="51" t="s">
        <v>87</v>
      </c>
      <c r="G5" s="51" t="s">
        <v>88</v>
      </c>
      <c r="I5" s="113" t="s">
        <v>100</v>
      </c>
      <c r="J5" s="113"/>
      <c r="K5" s="114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-4214</v>
      </c>
    </row>
    <row r="6" ht="18" customHeight="1" spans="1:31">
      <c r="A6" s="52">
        <f>IF($AE6="","",IF($AE6&lt;=1200,IF(INDEX(对接源_01水果!$B$4:$B$1203,$AE6)=0,"",INDEX(对接源_01水果!$B$4:$B$1203,$AE6)),IF(INDEX(对接源_02物料!$B$4:$B$1203,$AE6-1200)=0,"",INDEX(对接源_02物料!$B$4:$B$1203,$AE6-1200))))</f>
        <v>46268</v>
      </c>
      <c r="B6" s="53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NO:0001072</v>
      </c>
      <c r="C6" s="106" t="str">
        <f>IF($AE6="","",IF($AE6&lt;=1200,IF(INDEX(对接源_01水果!$S$4:$S$1203,$AE6)=0,"",INDEX(对接源_01水果!$S$4:$S$1203,$AE6)),IF(INDEX(对接源_02物料!$S$4:$S$1203,$AE6-1200)=0,"",INDEX(对接源_02物料!$S$4:$S$1203,$AE6-1200))))</f>
        <v>公司红周转筐</v>
      </c>
      <c r="D6" s="54">
        <f>IF($AE6="","",IF($AE6&lt;=1200,IF(INDEX(对接源_01水果!$T$4:$T$1203,$AE6)=0,"",INDEX(对接源_01水果!$T$4:$T$1203,$AE6)),IF(INDEX(对接源_02物料!$T$4:$T$1203,$AE6-1200)=0,"",INDEX(对接源_02物料!$T$4:$T$1203,$AE6-1200))))</f>
        <v>960</v>
      </c>
      <c r="E6" s="53" t="str">
        <f>IF($AE6="","",IF($AE6&lt;=1200,IF(INDEX(对接源_01水果!$W$4:$W$1203,$AE6)=0,"",INDEX(对接源_01水果!$W$4:$W$1203,$AE6)),IF(INDEX(对接源_02物料!$W$4:$W$1203,$AE6-1200)=0,"",INDEX(对接源_02物料!$W$4:$W$1203,$AE6-1200))))</f>
        <v>新N*49209</v>
      </c>
      <c r="F6" s="53" t="str">
        <f t="shared" ref="F6:F69" si="0">IF($AE6="","",IF($AE6&lt;=1200,"01水果册","02物料册"))</f>
        <v>02物料册</v>
      </c>
      <c r="G6" s="106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I6" s="85" t="s">
        <v>101</v>
      </c>
      <c r="J6" s="85"/>
      <c r="K6" s="86">
        <f>ROUND(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)-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)-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),0)</f>
        <v>3283</v>
      </c>
      <c r="AE6" s="107">
        <f>IFERROR(MATCH(1,_自动清单!$Q$4:$Q$2403,0),"")</f>
        <v>1259</v>
      </c>
    </row>
    <row r="7" ht="18" customHeight="1" spans="1:31">
      <c r="A7" s="87">
        <f>IF($AE7="","",IF($AE7&lt;=1200,IF(INDEX(对接源_01水果!$B$4:$B$1203,$AE7)=0,"",INDEX(对接源_01水果!$B$4:$B$1203,$AE7)),IF(INDEX(对接源_02物料!$B$4:$B$1203,$AE7-1200)=0,"",INDEX(对接源_02物料!$B$4:$B$1203,$AE7-1200))))</f>
        <v>46275</v>
      </c>
      <c r="B7" s="88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NO:0001108</v>
      </c>
      <c r="C7" s="115" t="str">
        <f>IF($AE7="","",IF($AE7&lt;=1200,IF(INDEX(对接源_01水果!$S$4:$S$1203,$AE7)=0,"",INDEX(对接源_01水果!$S$4:$S$1203,$AE7)),IF(INDEX(对接源_02物料!$S$4:$S$1203,$AE7-1200)=0,"",INDEX(对接源_02物料!$S$4:$S$1203,$AE7-1200))))</f>
        <v>公司红周转筐</v>
      </c>
      <c r="D7" s="89">
        <f>IF($AE7="","",IF($AE7&lt;=1200,IF(INDEX(对接源_01水果!$T$4:$T$1203,$AE7)=0,"",INDEX(对接源_01水果!$T$4:$T$1203,$AE7)),IF(INDEX(对接源_02物料!$T$4:$T$1203,$AE7-1200)=0,"",INDEX(对接源_02物料!$T$4:$T$1203,$AE7-1200))))</f>
        <v>960</v>
      </c>
      <c r="E7" s="88" t="str">
        <f>IF($AE7="","",IF($AE7&lt;=1200,IF(INDEX(对接源_01水果!$W$4:$W$1203,$AE7)=0,"",INDEX(对接源_01水果!$W$4:$W$1203,$AE7)),IF(INDEX(对接源_02物料!$W$4:$W$1203,$AE7-1200)=0,"",INDEX(对接源_02物料!$W$4:$W$1203,$AE7-1200))))</f>
        <v>新N*49209</v>
      </c>
      <c r="F7" s="88" t="str">
        <f t="shared" si="0"/>
        <v>02物料册</v>
      </c>
      <c r="G7" s="115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107">
        <f>IFERROR(MATCH(2,_自动清单!$Q$4:$Q$2403,0),"")</f>
        <v>1290</v>
      </c>
    </row>
    <row r="8" ht="18" customHeight="1" spans="1:31">
      <c r="A8" s="52">
        <f>IF($AE8="","",IF($AE8&lt;=1200,IF(INDEX(对接源_01水果!$B$4:$B$1203,$AE8)=0,"",INDEX(对接源_01水果!$B$4:$B$1203,$AE8)),IF(INDEX(对接源_02物料!$B$4:$B$1203,$AE8-1200)=0,"",INDEX(对接源_02物料!$B$4:$B$1203,$AE8-1200))))</f>
        <v>46278</v>
      </c>
      <c r="B8" s="53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NO:0001130</v>
      </c>
      <c r="C8" s="106" t="str">
        <f>IF($AE8="","",IF($AE8&lt;=1200,IF(INDEX(对接源_01水果!$S$4:$S$1203,$AE8)=0,"",INDEX(对接源_01水果!$S$4:$S$1203,$AE8)),IF(INDEX(对接源_02物料!$S$4:$S$1203,$AE8-1200)=0,"",INDEX(对接源_02物料!$S$4:$S$1203,$AE8-1200))))</f>
        <v>公司红周转筐</v>
      </c>
      <c r="D8" s="54">
        <f>IF($AE8="","",IF($AE8&lt;=1200,IF(INDEX(对接源_01水果!$T$4:$T$1203,$AE8)=0,"",INDEX(对接源_01水果!$T$4:$T$1203,$AE8)),IF(INDEX(对接源_02物料!$T$4:$T$1203,$AE8-1200)=0,"",INDEX(对接源_02物料!$T$4:$T$1203,$AE8-1200))))</f>
        <v>960</v>
      </c>
      <c r="E8" s="53" t="str">
        <f>IF($AE8="","",IF($AE8&lt;=1200,IF(INDEX(对接源_01水果!$W$4:$W$1203,$AE8)=0,"",INDEX(对接源_01水果!$W$4:$W$1203,$AE8)),IF(INDEX(对接源_02物料!$W$4:$W$1203,$AE8-1200)=0,"",INDEX(对接源_02物料!$W$4:$W$1203,$AE8-1200))))</f>
        <v>新N*49209</v>
      </c>
      <c r="F8" s="53" t="str">
        <f t="shared" si="0"/>
        <v>02物料册</v>
      </c>
      <c r="G8" s="106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107">
        <f>IFERROR(MATCH(3,_自动清单!$Q$4:$Q$2403,0),"")</f>
        <v>1310</v>
      </c>
    </row>
    <row r="9" ht="18" customHeight="1" spans="1:31">
      <c r="A9" s="87">
        <f>IF($AE9="","",IF($AE9&lt;=1200,IF(INDEX(对接源_01水果!$B$4:$B$1203,$AE9)=0,"",INDEX(对接源_01水果!$B$4:$B$1203,$AE9)),IF(INDEX(对接源_02物料!$B$4:$B$1203,$AE9-1200)=0,"",INDEX(对接源_02物料!$B$4:$B$1203,$AE9-1200))))</f>
        <v>46278</v>
      </c>
      <c r="B9" s="88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NO:0001135</v>
      </c>
      <c r="C9" s="115" t="str">
        <f>IF($AE9="","",IF($AE9&lt;=1200,IF(INDEX(对接源_01水果!$S$4:$S$1203,$AE9)=0,"",INDEX(对接源_01水果!$S$4:$S$1203,$AE9)),IF(INDEX(对接源_02物料!$S$4:$S$1203,$AE9-1200)=0,"",INDEX(对接源_02物料!$S$4:$S$1203,$AE9-1200))))</f>
        <v>公司红周转筐</v>
      </c>
      <c r="D9" s="89">
        <f>IF($AE9="","",IF($AE9&lt;=1200,IF(INDEX(对接源_01水果!$T$4:$T$1203,$AE9)=0,"",INDEX(对接源_01水果!$T$4:$T$1203,$AE9)),IF(INDEX(对接源_02物料!$T$4:$T$1203,$AE9-1200)=0,"",INDEX(对接源_02物料!$T$4:$T$1203,$AE9-1200))))</f>
        <v>960</v>
      </c>
      <c r="E9" s="88" t="str">
        <f>IF($AE9="","",IF($AE9&lt;=1200,IF(INDEX(对接源_01水果!$W$4:$W$1203,$AE9)=0,"",INDEX(对接源_01水果!$W$4:$W$1203,$AE9)),IF(INDEX(对接源_02物料!$W$4:$W$1203,$AE9-1200)=0,"",INDEX(对接源_02物料!$W$4:$W$1203,$AE9-1200))))</f>
        <v>新N*49209</v>
      </c>
      <c r="F9" s="88" t="str">
        <f t="shared" si="0"/>
        <v>02物料册</v>
      </c>
      <c r="G9" s="115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107">
        <f>IFERROR(MATCH(4,_自动清单!$Q$4:$Q$2403,0),"")</f>
        <v>1313</v>
      </c>
    </row>
    <row r="10" ht="18" customHeight="1" spans="1:31">
      <c r="A10" s="52">
        <f>IF($AE10="","",IF($AE10&lt;=1200,IF(INDEX(对接源_01水果!$B$4:$B$1203,$AE10)=0,"",INDEX(对接源_01水果!$B$4:$B$1203,$AE10)),IF(INDEX(对接源_02物料!$B$4:$B$1203,$AE10-1200)=0,"",INDEX(对接源_02物料!$B$4:$B$1203,$AE10-1200))))</f>
        <v>46280</v>
      </c>
      <c r="B10" s="53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NO:0001146</v>
      </c>
      <c r="C10" s="106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公司红周转筐</v>
      </c>
      <c r="D10" s="54">
        <f>IF($AE10="","",IF($AE10&lt;=1200,IF(INDEX(对接源_01水果!$T$4:$T$1203,$AE10)=0,"",INDEX(对接源_01水果!$T$4:$T$1203,$AE10)),IF(INDEX(对接源_02物料!$T$4:$T$1203,$AE10-1200)=0,"",INDEX(对接源_02物料!$T$4:$T$1203,$AE10-1200))))</f>
        <v>960</v>
      </c>
      <c r="E10" s="53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新N*49209</v>
      </c>
      <c r="F10" s="53" t="str">
        <f t="shared" si="0"/>
        <v>02物料册</v>
      </c>
      <c r="G10" s="106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07">
        <f>IFERROR(MATCH(5,_自动清单!$Q$4:$Q$2403,0),"")</f>
        <v>1322</v>
      </c>
    </row>
    <row r="11" ht="18" customHeight="1" spans="1:31">
      <c r="A11" s="87">
        <f>IF($AE11="","",IF($AE11&lt;=1200,IF(INDEX(对接源_01水果!$B$4:$B$1203,$AE11)=0,"",INDEX(对接源_01水果!$B$4:$B$1203,$AE11)),IF(INDEX(对接源_02物料!$B$4:$B$1203,$AE11-1200)=0,"",INDEX(对接源_02物料!$B$4:$B$1203,$AE11-1200))))</f>
        <v>46282</v>
      </c>
      <c r="B11" s="88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NO:0001160</v>
      </c>
      <c r="C11" s="115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公司红周转筐</v>
      </c>
      <c r="D11" s="89">
        <f>IF($AE11="","",IF($AE11&lt;=1200,IF(INDEX(对接源_01水果!$T$4:$T$1203,$AE11)=0,"",INDEX(对接源_01水果!$T$4:$T$1203,$AE11)),IF(INDEX(对接源_02物料!$T$4:$T$1203,$AE11-1200)=0,"",INDEX(对接源_02物料!$T$4:$T$1203,$AE11-1200))))</f>
        <v>936</v>
      </c>
      <c r="E11" s="88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新N*49209</v>
      </c>
      <c r="F11" s="88" t="str">
        <f t="shared" si="0"/>
        <v>02物料册</v>
      </c>
      <c r="G11" s="115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07">
        <f>IFERROR(MATCH(6,_自动清单!$Q$4:$Q$2403,0),"")</f>
        <v>1338</v>
      </c>
    </row>
    <row r="12" ht="18" customHeight="1" spans="1:31">
      <c r="A12" s="52">
        <f>IF($AE12="","",IF($AE12&lt;=1200,IF(INDEX(对接源_01水果!$B$4:$B$1203,$AE12)=0,"",INDEX(对接源_01水果!$B$4:$B$1203,$AE12)),IF(INDEX(对接源_02物料!$B$4:$B$1203,$AE12-1200)=0,"",INDEX(对接源_02物料!$B$4:$B$1203,$AE12-1200))))</f>
        <v>46282</v>
      </c>
      <c r="B12" s="53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NO:0001167</v>
      </c>
      <c r="C12" s="106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公司红周转筐</v>
      </c>
      <c r="D12" s="54">
        <f>IF($AE12="","",IF($AE12&lt;=1200,IF(INDEX(对接源_01水果!$T$4:$T$1203,$AE12)=0,"",INDEX(对接源_01水果!$T$4:$T$1203,$AE12)),IF(INDEX(对接源_02物料!$T$4:$T$1203,$AE12-1200)=0,"",INDEX(对接源_02物料!$T$4:$T$1203,$AE12-1200))))</f>
        <v>801</v>
      </c>
      <c r="E12" s="53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新N*49209</v>
      </c>
      <c r="F12" s="53" t="str">
        <f t="shared" si="0"/>
        <v>02物料册</v>
      </c>
      <c r="G12" s="106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07">
        <f>IFERROR(MATCH(7,_自动清单!$Q$4:$Q$2403,0),"")</f>
        <v>1340</v>
      </c>
    </row>
    <row r="13" ht="18" customHeight="1" spans="1:31">
      <c r="A13" s="87">
        <f>IF($AE13="","",IF($AE13&lt;=1200,IF(INDEX(对接源_01水果!$B$4:$B$1203,$AE13)=0,"",INDEX(对接源_01水果!$B$4:$B$1203,$AE13)),IF(INDEX(对接源_02物料!$B$4:$B$1203,$AE13-1200)=0,"",INDEX(对接源_02物料!$B$4:$B$1203,$AE13-1200))))</f>
        <v>46283</v>
      </c>
      <c r="B13" s="88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NO:0001176</v>
      </c>
      <c r="C13" s="115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公司红周转筐</v>
      </c>
      <c r="D13" s="89">
        <f>IF($AE13="","",IF($AE13&lt;=1200,IF(INDEX(对接源_01水果!$T$4:$T$1203,$AE13)=0,"",INDEX(对接源_01水果!$T$4:$T$1203,$AE13)),IF(INDEX(对接源_02物料!$T$4:$T$1203,$AE13-1200)=0,"",INDEX(对接源_02物料!$T$4:$T$1203,$AE13-1200))))</f>
        <v>960</v>
      </c>
      <c r="E13" s="88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新N*49209</v>
      </c>
      <c r="F13" s="88" t="str">
        <f t="shared" si="0"/>
        <v>02物料册</v>
      </c>
      <c r="G13" s="115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07">
        <f>IFERROR(MATCH(8,_自动清单!$Q$4:$Q$2403,0),"")</f>
        <v>1348</v>
      </c>
    </row>
    <row r="14" ht="18" customHeight="1" spans="1:31">
      <c r="A14" s="52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53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C14" s="106" t="str">
        <f>IF($AE14="","",IF($AE14&lt;=1200,IF(INDEX(对接源_01水果!$S$4:$S$1203,$AE14)=0,"",INDEX(对接源_01水果!$S$4:$S$1203,$AE14)),IF(INDEX(对接源_02物料!$S$4:$S$1203,$AE14-1200)=0,"",INDEX(对接源_02物料!$S$4:$S$1203,$AE14-1200))))</f>
        <v/>
      </c>
      <c r="D14" s="54" t="str">
        <f>IF($AE14="","",IF($AE14&lt;=1200,IF(INDEX(对接源_01水果!$T$4:$T$1203,$AE14)=0,"",INDEX(对接源_01水果!$T$4:$T$1203,$AE14)),IF(INDEX(对接源_02物料!$T$4:$T$1203,$AE14-1200)=0,"",INDEX(对接源_02物料!$T$4:$T$1203,$AE14-1200))))</f>
        <v/>
      </c>
      <c r="E14" s="53" t="str">
        <f>IF($AE14="","",IF($AE14&lt;=1200,IF(INDEX(对接源_01水果!$W$4:$W$1203,$AE14)=0,"",INDEX(对接源_01水果!$W$4:$W$1203,$AE14)),IF(INDEX(对接源_02物料!$W$4:$W$1203,$AE14-1200)=0,"",INDEX(对接源_02物料!$W$4:$W$1203,$AE14-1200))))</f>
        <v/>
      </c>
      <c r="F14" s="53" t="str">
        <f t="shared" si="0"/>
        <v/>
      </c>
      <c r="G14" s="106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107" t="str">
        <f>IFERROR(MATCH(9,_自动清单!$Q$4:$Q$2403,0),"")</f>
        <v/>
      </c>
    </row>
    <row r="15" ht="18" customHeight="1" spans="1:31">
      <c r="A15" s="87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88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C15" s="115" t="str">
        <f>IF($AE15="","",IF($AE15&lt;=1200,IF(INDEX(对接源_01水果!$S$4:$S$1203,$AE15)=0,"",INDEX(对接源_01水果!$S$4:$S$1203,$AE15)),IF(INDEX(对接源_02物料!$S$4:$S$1203,$AE15-1200)=0,"",INDEX(对接源_02物料!$S$4:$S$1203,$AE15-1200))))</f>
        <v/>
      </c>
      <c r="D15" s="89" t="str">
        <f>IF($AE15="","",IF($AE15&lt;=1200,IF(INDEX(对接源_01水果!$T$4:$T$1203,$AE15)=0,"",INDEX(对接源_01水果!$T$4:$T$1203,$AE15)),IF(INDEX(对接源_02物料!$T$4:$T$1203,$AE15-1200)=0,"",INDEX(对接源_02物料!$T$4:$T$1203,$AE15-1200))))</f>
        <v/>
      </c>
      <c r="E15" s="88" t="str">
        <f>IF($AE15="","",IF($AE15&lt;=1200,IF(INDEX(对接源_01水果!$W$4:$W$1203,$AE15)=0,"",INDEX(对接源_01水果!$W$4:$W$1203,$AE15)),IF(INDEX(对接源_02物料!$W$4:$W$1203,$AE15-1200)=0,"",INDEX(对接源_02物料!$W$4:$W$1203,$AE15-1200))))</f>
        <v/>
      </c>
      <c r="F15" s="88" t="str">
        <f t="shared" si="0"/>
        <v/>
      </c>
      <c r="G15" s="115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107" t="str">
        <f>IFERROR(MATCH(10,_自动清单!$Q$4:$Q$2403,0),"")</f>
        <v/>
      </c>
    </row>
    <row r="16" ht="18" customHeight="1" spans="1:31">
      <c r="A16" s="52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53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C16" s="106" t="str">
        <f>IF($AE16="","",IF($AE16&lt;=1200,IF(INDEX(对接源_01水果!$S$4:$S$1203,$AE16)=0,"",INDEX(对接源_01水果!$S$4:$S$1203,$AE16)),IF(INDEX(对接源_02物料!$S$4:$S$1203,$AE16-1200)=0,"",INDEX(对接源_02物料!$S$4:$S$1203,$AE16-1200))))</f>
        <v/>
      </c>
      <c r="D16" s="54" t="str">
        <f>IF($AE16="","",IF($AE16&lt;=1200,IF(INDEX(对接源_01水果!$T$4:$T$1203,$AE16)=0,"",INDEX(对接源_01水果!$T$4:$T$1203,$AE16)),IF(INDEX(对接源_02物料!$T$4:$T$1203,$AE16-1200)=0,"",INDEX(对接源_02物料!$T$4:$T$1203,$AE16-1200))))</f>
        <v/>
      </c>
      <c r="E16" s="53" t="str">
        <f>IF($AE16="","",IF($AE16&lt;=1200,IF(INDEX(对接源_01水果!$W$4:$W$1203,$AE16)=0,"",INDEX(对接源_01水果!$W$4:$W$1203,$AE16)),IF(INDEX(对接源_02物料!$W$4:$W$1203,$AE16-1200)=0,"",INDEX(对接源_02物料!$W$4:$W$1203,$AE16-1200))))</f>
        <v/>
      </c>
      <c r="F16" s="53" t="str">
        <f t="shared" si="0"/>
        <v/>
      </c>
      <c r="G16" s="106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107" t="str">
        <f>IFERROR(MATCH(11,_自动清单!$Q$4:$Q$2403,0),"")</f>
        <v/>
      </c>
    </row>
    <row r="17" ht="18" customHeight="1" spans="1:31">
      <c r="A17" s="87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88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C17" s="115" t="str">
        <f>IF($AE17="","",IF($AE17&lt;=1200,IF(INDEX(对接源_01水果!$S$4:$S$1203,$AE17)=0,"",INDEX(对接源_01水果!$S$4:$S$1203,$AE17)),IF(INDEX(对接源_02物料!$S$4:$S$1203,$AE17-1200)=0,"",INDEX(对接源_02物料!$S$4:$S$1203,$AE17-1200))))</f>
        <v/>
      </c>
      <c r="D17" s="89" t="str">
        <f>IF($AE17="","",IF($AE17&lt;=1200,IF(INDEX(对接源_01水果!$T$4:$T$1203,$AE17)=0,"",INDEX(对接源_01水果!$T$4:$T$1203,$AE17)),IF(INDEX(对接源_02物料!$T$4:$T$1203,$AE17-1200)=0,"",INDEX(对接源_02物料!$T$4:$T$1203,$AE17-1200))))</f>
        <v/>
      </c>
      <c r="E17" s="88" t="str">
        <f>IF($AE17="","",IF($AE17&lt;=1200,IF(INDEX(对接源_01水果!$W$4:$W$1203,$AE17)=0,"",INDEX(对接源_01水果!$W$4:$W$1203,$AE17)),IF(INDEX(对接源_02物料!$W$4:$W$1203,$AE17-1200)=0,"",INDEX(对接源_02物料!$W$4:$W$1203,$AE17-1200))))</f>
        <v/>
      </c>
      <c r="F17" s="88" t="str">
        <f t="shared" si="0"/>
        <v/>
      </c>
      <c r="G17" s="115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07" t="str">
        <f>IFERROR(MATCH(12,_自动清单!$Q$4:$Q$2403,0),"")</f>
        <v/>
      </c>
    </row>
    <row r="18" ht="18" customHeight="1" spans="1:31">
      <c r="A18" s="52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53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C18" s="106" t="str">
        <f>IF($AE18="","",IF($AE18&lt;=1200,IF(INDEX(对接源_01水果!$S$4:$S$1203,$AE18)=0,"",INDEX(对接源_01水果!$S$4:$S$1203,$AE18)),IF(INDEX(对接源_02物料!$S$4:$S$1203,$AE18-1200)=0,"",INDEX(对接源_02物料!$S$4:$S$1203,$AE18-1200))))</f>
        <v/>
      </c>
      <c r="D18" s="54" t="str">
        <f>IF($AE18="","",IF($AE18&lt;=1200,IF(INDEX(对接源_01水果!$T$4:$T$1203,$AE18)=0,"",INDEX(对接源_01水果!$T$4:$T$1203,$AE18)),IF(INDEX(对接源_02物料!$T$4:$T$1203,$AE18-1200)=0,"",INDEX(对接源_02物料!$T$4:$T$1203,$AE18-1200))))</f>
        <v/>
      </c>
      <c r="E18" s="53" t="str">
        <f>IF($AE18="","",IF($AE18&lt;=1200,IF(INDEX(对接源_01水果!$W$4:$W$1203,$AE18)=0,"",INDEX(对接源_01水果!$W$4:$W$1203,$AE18)),IF(INDEX(对接源_02物料!$W$4:$W$1203,$AE18-1200)=0,"",INDEX(对接源_02物料!$W$4:$W$1203,$AE18-1200))))</f>
        <v/>
      </c>
      <c r="F18" s="53" t="str">
        <f t="shared" si="0"/>
        <v/>
      </c>
      <c r="G18" s="106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07" t="str">
        <f>IFERROR(MATCH(13,_自动清单!$Q$4:$Q$2403,0),"")</f>
        <v/>
      </c>
    </row>
    <row r="19" ht="18" customHeight="1" spans="1:31">
      <c r="A19" s="87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88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115" t="str">
        <f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D19" s="89" t="str">
        <f>IF($AE19="","",IF($AE19&lt;=1200,IF(INDEX(对接源_01水果!$T$4:$T$1203,$AE19)=0,"",INDEX(对接源_01水果!$T$4:$T$1203,$AE19)),IF(INDEX(对接源_02物料!$T$4:$T$1203,$AE19-1200)=0,"",INDEX(对接源_02物料!$T$4:$T$1203,$AE19-1200))))</f>
        <v/>
      </c>
      <c r="E19" s="88" t="str">
        <f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F19" s="88" t="str">
        <f t="shared" si="0"/>
        <v/>
      </c>
      <c r="G19" s="115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07" t="str">
        <f>IFERROR(MATCH(14,_自动清单!$Q$4:$Q$2403,0),"")</f>
        <v/>
      </c>
    </row>
    <row r="20" ht="18" customHeight="1" spans="1:31">
      <c r="A20" s="52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53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106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D20" s="54" t="str">
        <f>IF($AE20="","",IF($AE20&lt;=1200,IF(INDEX(对接源_01水果!$T$4:$T$1203,$AE20)=0,"",INDEX(对接源_01水果!$T$4:$T$1203,$AE20)),IF(INDEX(对接源_02物料!$T$4:$T$1203,$AE20-1200)=0,"",INDEX(对接源_02物料!$T$4:$T$1203,$AE20-1200))))</f>
        <v/>
      </c>
      <c r="E20" s="53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F20" s="53" t="str">
        <f t="shared" si="0"/>
        <v/>
      </c>
      <c r="G20" s="106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07" t="str">
        <f>IFERROR(MATCH(15,_自动清单!$Q$4:$Q$2403,0),"")</f>
        <v/>
      </c>
    </row>
    <row r="21" ht="18" customHeight="1" spans="1:31">
      <c r="A21" s="87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88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115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D21" s="89" t="str">
        <f>IF($AE21="","",IF($AE21&lt;=1200,IF(INDEX(对接源_01水果!$T$4:$T$1203,$AE21)=0,"",INDEX(对接源_01水果!$T$4:$T$1203,$AE21)),IF(INDEX(对接源_02物料!$T$4:$T$1203,$AE21-1200)=0,"",INDEX(对接源_02物料!$T$4:$T$1203,$AE21-1200))))</f>
        <v/>
      </c>
      <c r="E21" s="88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F21" s="88" t="str">
        <f t="shared" si="0"/>
        <v/>
      </c>
      <c r="G21" s="115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07" t="str">
        <f>IFERROR(MATCH(16,_自动清单!$Q$4:$Q$2403,0),"")</f>
        <v/>
      </c>
    </row>
    <row r="22" ht="18" customHeight="1" spans="1:31">
      <c r="A22" s="52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53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106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D22" s="54" t="str">
        <f>IF($AE22="","",IF($AE22&lt;=1200,IF(INDEX(对接源_01水果!$T$4:$T$1203,$AE22)=0,"",INDEX(对接源_01水果!$T$4:$T$1203,$AE22)),IF(INDEX(对接源_02物料!$T$4:$T$1203,$AE22-1200)=0,"",INDEX(对接源_02物料!$T$4:$T$1203,$AE22-1200))))</f>
        <v/>
      </c>
      <c r="E22" s="53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F22" s="53" t="str">
        <f t="shared" si="0"/>
        <v/>
      </c>
      <c r="G22" s="106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07" t="str">
        <f>IFERROR(MATCH(17,_自动清单!$Q$4:$Q$2403,0),"")</f>
        <v/>
      </c>
    </row>
    <row r="23" ht="18" customHeight="1" spans="1:31">
      <c r="A23" s="87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88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115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D23" s="89" t="str">
        <f>IF($AE23="","",IF($AE23&lt;=1200,IF(INDEX(对接源_01水果!$T$4:$T$1203,$AE23)=0,"",INDEX(对接源_01水果!$T$4:$T$1203,$AE23)),IF(INDEX(对接源_02物料!$T$4:$T$1203,$AE23-1200)=0,"",INDEX(对接源_02物料!$T$4:$T$1203,$AE23-1200))))</f>
        <v/>
      </c>
      <c r="E23" s="88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F23" s="88" t="str">
        <f t="shared" si="0"/>
        <v/>
      </c>
      <c r="G23" s="115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07" t="str">
        <f>IFERROR(MATCH(18,_自动清单!$Q$4:$Q$2403,0),"")</f>
        <v/>
      </c>
    </row>
    <row r="24" ht="18" customHeight="1" spans="1:31">
      <c r="A24" s="52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53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106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D24" s="54" t="str">
        <f>IF($AE24="","",IF($AE24&lt;=1200,IF(INDEX(对接源_01水果!$T$4:$T$1203,$AE24)=0,"",INDEX(对接源_01水果!$T$4:$T$1203,$AE24)),IF(INDEX(对接源_02物料!$T$4:$T$1203,$AE24-1200)=0,"",INDEX(对接源_02物料!$T$4:$T$1203,$AE24-1200))))</f>
        <v/>
      </c>
      <c r="E24" s="53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F24" s="53" t="str">
        <f t="shared" si="0"/>
        <v/>
      </c>
      <c r="G24" s="106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07" t="str">
        <f>IFERROR(MATCH(19,_自动清单!$Q$4:$Q$2403,0),"")</f>
        <v/>
      </c>
    </row>
    <row r="25" ht="18" customHeight="1" spans="1:31">
      <c r="A25" s="87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88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115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D25" s="89" t="str">
        <f>IF($AE25="","",IF($AE25&lt;=1200,IF(INDEX(对接源_01水果!$T$4:$T$1203,$AE25)=0,"",INDEX(对接源_01水果!$T$4:$T$1203,$AE25)),IF(INDEX(对接源_02物料!$T$4:$T$1203,$AE25-1200)=0,"",INDEX(对接源_02物料!$T$4:$T$1203,$AE25-1200))))</f>
        <v/>
      </c>
      <c r="E25" s="88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F25" s="88" t="str">
        <f t="shared" si="0"/>
        <v/>
      </c>
      <c r="G25" s="115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07" t="str">
        <f>IFERROR(MATCH(20,_自动清单!$Q$4:$Q$2403,0),"")</f>
        <v/>
      </c>
    </row>
    <row r="26" ht="18" customHeight="1" spans="1:31">
      <c r="A26" s="52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53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106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D26" s="54" t="str">
        <f>IF($AE26="","",IF($AE26&lt;=1200,IF(INDEX(对接源_01水果!$T$4:$T$1203,$AE26)=0,"",INDEX(对接源_01水果!$T$4:$T$1203,$AE26)),IF(INDEX(对接源_02物料!$T$4:$T$1203,$AE26-1200)=0,"",INDEX(对接源_02物料!$T$4:$T$1203,$AE26-1200))))</f>
        <v/>
      </c>
      <c r="E26" s="53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F26" s="53" t="str">
        <f t="shared" si="0"/>
        <v/>
      </c>
      <c r="G26" s="106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07" t="str">
        <f>IFERROR(MATCH(21,_自动清单!$Q$4:$Q$2403,0),"")</f>
        <v/>
      </c>
    </row>
    <row r="27" ht="18" customHeight="1" spans="1:31">
      <c r="A27" s="87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88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115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D27" s="89" t="str">
        <f>IF($AE27="","",IF($AE27&lt;=1200,IF(INDEX(对接源_01水果!$T$4:$T$1203,$AE27)=0,"",INDEX(对接源_01水果!$T$4:$T$1203,$AE27)),IF(INDEX(对接源_02物料!$T$4:$T$1203,$AE27-1200)=0,"",INDEX(对接源_02物料!$T$4:$T$1203,$AE27-1200))))</f>
        <v/>
      </c>
      <c r="E27" s="88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F27" s="88" t="str">
        <f t="shared" si="0"/>
        <v/>
      </c>
      <c r="G27" s="115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07" t="str">
        <f>IFERROR(MATCH(22,_自动清单!$Q$4:$Q$2403,0),"")</f>
        <v/>
      </c>
    </row>
    <row r="28" ht="18" customHeight="1" spans="1:31">
      <c r="A28" s="52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53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106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D28" s="54" t="str">
        <f>IF($AE28="","",IF($AE28&lt;=1200,IF(INDEX(对接源_01水果!$T$4:$T$1203,$AE28)=0,"",INDEX(对接源_01水果!$T$4:$T$1203,$AE28)),IF(INDEX(对接源_02物料!$T$4:$T$1203,$AE28-1200)=0,"",INDEX(对接源_02物料!$T$4:$T$1203,$AE28-1200))))</f>
        <v/>
      </c>
      <c r="E28" s="53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F28" s="53" t="str">
        <f t="shared" si="0"/>
        <v/>
      </c>
      <c r="G28" s="106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07" t="str">
        <f>IFERROR(MATCH(23,_自动清单!$Q$4:$Q$2403,0),"")</f>
        <v/>
      </c>
    </row>
    <row r="29" ht="18" customHeight="1" spans="1:31">
      <c r="A29" s="87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88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115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D29" s="89" t="str">
        <f>IF($AE29="","",IF($AE29&lt;=1200,IF(INDEX(对接源_01水果!$T$4:$T$1203,$AE29)=0,"",INDEX(对接源_01水果!$T$4:$T$1203,$AE29)),IF(INDEX(对接源_02物料!$T$4:$T$1203,$AE29-1200)=0,"",INDEX(对接源_02物料!$T$4:$T$1203,$AE29-1200))))</f>
        <v/>
      </c>
      <c r="E29" s="88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F29" s="88" t="str">
        <f t="shared" si="0"/>
        <v/>
      </c>
      <c r="G29" s="115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07" t="str">
        <f>IFERROR(MATCH(24,_自动清单!$Q$4:$Q$2403,0),"")</f>
        <v/>
      </c>
    </row>
    <row r="30" ht="18" customHeight="1" spans="1:31">
      <c r="A30" s="52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53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106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D30" s="54" t="str">
        <f>IF($AE30="","",IF($AE30&lt;=1200,IF(INDEX(对接源_01水果!$T$4:$T$1203,$AE30)=0,"",INDEX(对接源_01水果!$T$4:$T$1203,$AE30)),IF(INDEX(对接源_02物料!$T$4:$T$1203,$AE30-1200)=0,"",INDEX(对接源_02物料!$T$4:$T$1203,$AE30-1200))))</f>
        <v/>
      </c>
      <c r="E30" s="53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F30" s="53" t="str">
        <f t="shared" si="0"/>
        <v/>
      </c>
      <c r="G30" s="106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07" t="str">
        <f>IFERROR(MATCH(25,_自动清单!$Q$4:$Q$2403,0),"")</f>
        <v/>
      </c>
    </row>
    <row r="31" ht="18" customHeight="1" spans="1:31">
      <c r="A31" s="87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88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15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D31" s="89" t="str">
        <f>IF($AE31="","",IF($AE31&lt;=1200,IF(INDEX(对接源_01水果!$T$4:$T$1203,$AE31)=0,"",INDEX(对接源_01水果!$T$4:$T$1203,$AE31)),IF(INDEX(对接源_02物料!$T$4:$T$1203,$AE31-1200)=0,"",INDEX(对接源_02物料!$T$4:$T$1203,$AE31-1200))))</f>
        <v/>
      </c>
      <c r="E31" s="88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F31" s="88" t="str">
        <f t="shared" si="0"/>
        <v/>
      </c>
      <c r="G31" s="115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07" t="str">
        <f>IFERROR(MATCH(26,_自动清单!$Q$4:$Q$2403,0),"")</f>
        <v/>
      </c>
    </row>
    <row r="32" ht="18" customHeight="1" spans="1:31">
      <c r="A32" s="52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3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106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D32" s="54" t="str">
        <f>IF($AE32="","",IF($AE32&lt;=1200,IF(INDEX(对接源_01水果!$T$4:$T$1203,$AE32)=0,"",INDEX(对接源_01水果!$T$4:$T$1203,$AE32)),IF(INDEX(对接源_02物料!$T$4:$T$1203,$AE32-1200)=0,"",INDEX(对接源_02物料!$T$4:$T$1203,$AE32-1200))))</f>
        <v/>
      </c>
      <c r="E32" s="53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F32" s="53" t="str">
        <f t="shared" si="0"/>
        <v/>
      </c>
      <c r="G32" s="106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07" t="str">
        <f>IFERROR(MATCH(27,_自动清单!$Q$4:$Q$2403,0),"")</f>
        <v/>
      </c>
    </row>
    <row r="33" ht="18" customHeight="1" spans="1:31">
      <c r="A33" s="87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88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15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D33" s="89" t="str">
        <f>IF($AE33="","",IF($AE33&lt;=1200,IF(INDEX(对接源_01水果!$T$4:$T$1203,$AE33)=0,"",INDEX(对接源_01水果!$T$4:$T$1203,$AE33)),IF(INDEX(对接源_02物料!$T$4:$T$1203,$AE33-1200)=0,"",INDEX(对接源_02物料!$T$4:$T$1203,$AE33-1200))))</f>
        <v/>
      </c>
      <c r="E33" s="88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F33" s="88" t="str">
        <f t="shared" si="0"/>
        <v/>
      </c>
      <c r="G33" s="115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07" t="str">
        <f>IFERROR(MATCH(28,_自动清单!$Q$4:$Q$2403,0),"")</f>
        <v/>
      </c>
    </row>
    <row r="34" ht="18" customHeight="1" spans="1:31">
      <c r="A34" s="52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3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106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D34" s="54" t="str">
        <f>IF($AE34="","",IF($AE34&lt;=1200,IF(INDEX(对接源_01水果!$T$4:$T$1203,$AE34)=0,"",INDEX(对接源_01水果!$T$4:$T$1203,$AE34)),IF(INDEX(对接源_02物料!$T$4:$T$1203,$AE34-1200)=0,"",INDEX(对接源_02物料!$T$4:$T$1203,$AE34-1200))))</f>
        <v/>
      </c>
      <c r="E34" s="53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F34" s="53" t="str">
        <f t="shared" si="0"/>
        <v/>
      </c>
      <c r="G34" s="106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07" t="str">
        <f>IFERROR(MATCH(29,_自动清单!$Q$4:$Q$2403,0),"")</f>
        <v/>
      </c>
    </row>
    <row r="35" ht="18" customHeight="1" spans="1:31">
      <c r="A35" s="87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88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15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D35" s="89" t="str">
        <f>IF($AE35="","",IF($AE35&lt;=1200,IF(INDEX(对接源_01水果!$T$4:$T$1203,$AE35)=0,"",INDEX(对接源_01水果!$T$4:$T$1203,$AE35)),IF(INDEX(对接源_02物料!$T$4:$T$1203,$AE35-1200)=0,"",INDEX(对接源_02物料!$T$4:$T$1203,$AE35-1200))))</f>
        <v/>
      </c>
      <c r="E35" s="88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F35" s="88" t="str">
        <f t="shared" si="0"/>
        <v/>
      </c>
      <c r="G35" s="115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07" t="str">
        <f>IFERROR(MATCH(30,_自动清单!$Q$4:$Q$2403,0),"")</f>
        <v/>
      </c>
    </row>
    <row r="36" ht="18" customHeight="1" spans="1:31">
      <c r="A36" s="52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53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106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D36" s="54" t="str">
        <f>IF($AE36="","",IF($AE36&lt;=1200,IF(INDEX(对接源_01水果!$T$4:$T$1203,$AE36)=0,"",INDEX(对接源_01水果!$T$4:$T$1203,$AE36)),IF(INDEX(对接源_02物料!$T$4:$T$1203,$AE36-1200)=0,"",INDEX(对接源_02物料!$T$4:$T$1203,$AE36-1200))))</f>
        <v/>
      </c>
      <c r="E36" s="53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F36" s="53" t="str">
        <f t="shared" si="0"/>
        <v/>
      </c>
      <c r="G36" s="106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07" t="str">
        <f>IFERROR(MATCH(31,_自动清单!$Q$4:$Q$2403,0),"")</f>
        <v/>
      </c>
    </row>
    <row r="37" ht="18" customHeight="1" spans="1:31">
      <c r="A37" s="87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88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15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D37" s="89" t="str">
        <f>IF($AE37="","",IF($AE37&lt;=1200,IF(INDEX(对接源_01水果!$T$4:$T$1203,$AE37)=0,"",INDEX(对接源_01水果!$T$4:$T$1203,$AE37)),IF(INDEX(对接源_02物料!$T$4:$T$1203,$AE37-1200)=0,"",INDEX(对接源_02物料!$T$4:$T$1203,$AE37-1200))))</f>
        <v/>
      </c>
      <c r="E37" s="88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F37" s="88" t="str">
        <f t="shared" si="0"/>
        <v/>
      </c>
      <c r="G37" s="115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07" t="str">
        <f>IFERROR(MATCH(32,_自动清单!$Q$4:$Q$2403,0),"")</f>
        <v/>
      </c>
    </row>
    <row r="38" ht="18" customHeight="1" spans="1:31">
      <c r="A38" s="52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3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106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D38" s="54" t="str">
        <f>IF($AE38="","",IF($AE38&lt;=1200,IF(INDEX(对接源_01水果!$T$4:$T$1203,$AE38)=0,"",INDEX(对接源_01水果!$T$4:$T$1203,$AE38)),IF(INDEX(对接源_02物料!$T$4:$T$1203,$AE38-1200)=0,"",INDEX(对接源_02物料!$T$4:$T$1203,$AE38-1200))))</f>
        <v/>
      </c>
      <c r="E38" s="53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F38" s="53" t="str">
        <f t="shared" si="0"/>
        <v/>
      </c>
      <c r="G38" s="106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07" t="str">
        <f>IFERROR(MATCH(33,_自动清单!$Q$4:$Q$2403,0),"")</f>
        <v/>
      </c>
    </row>
    <row r="39" ht="18" customHeight="1" spans="1:31">
      <c r="A39" s="87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88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15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D39" s="89" t="str">
        <f>IF($AE39="","",IF($AE39&lt;=1200,IF(INDEX(对接源_01水果!$T$4:$T$1203,$AE39)=0,"",INDEX(对接源_01水果!$T$4:$T$1203,$AE39)),IF(INDEX(对接源_02物料!$T$4:$T$1203,$AE39-1200)=0,"",INDEX(对接源_02物料!$T$4:$T$1203,$AE39-1200))))</f>
        <v/>
      </c>
      <c r="E39" s="88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F39" s="88" t="str">
        <f t="shared" si="0"/>
        <v/>
      </c>
      <c r="G39" s="115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07" t="str">
        <f>IFERROR(MATCH(34,_自动清单!$Q$4:$Q$2403,0),"")</f>
        <v/>
      </c>
    </row>
    <row r="40" ht="18" customHeight="1" spans="1:31">
      <c r="A40" s="52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3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106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D40" s="54" t="str">
        <f>IF($AE40="","",IF($AE40&lt;=1200,IF(INDEX(对接源_01水果!$T$4:$T$1203,$AE40)=0,"",INDEX(对接源_01水果!$T$4:$T$1203,$AE40)),IF(INDEX(对接源_02物料!$T$4:$T$1203,$AE40-1200)=0,"",INDEX(对接源_02物料!$T$4:$T$1203,$AE40-1200))))</f>
        <v/>
      </c>
      <c r="E40" s="53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F40" s="53" t="str">
        <f t="shared" si="0"/>
        <v/>
      </c>
      <c r="G40" s="106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07" t="str">
        <f>IFERROR(MATCH(35,_自动清单!$Q$4:$Q$2403,0),"")</f>
        <v/>
      </c>
    </row>
    <row r="41" ht="18" customHeight="1" spans="1:31">
      <c r="A41" s="87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88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15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D41" s="89" t="str">
        <f>IF($AE41="","",IF($AE41&lt;=1200,IF(INDEX(对接源_01水果!$T$4:$T$1203,$AE41)=0,"",INDEX(对接源_01水果!$T$4:$T$1203,$AE41)),IF(INDEX(对接源_02物料!$T$4:$T$1203,$AE41-1200)=0,"",INDEX(对接源_02物料!$T$4:$T$1203,$AE41-1200))))</f>
        <v/>
      </c>
      <c r="E41" s="88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F41" s="88" t="str">
        <f t="shared" si="0"/>
        <v/>
      </c>
      <c r="G41" s="115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07" t="str">
        <f>IFERROR(MATCH(36,_自动清单!$Q$4:$Q$2403,0),"")</f>
        <v/>
      </c>
    </row>
    <row r="42" ht="18" customHeight="1" spans="1:31">
      <c r="A42" s="52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53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106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D42" s="54" t="str">
        <f>IF($AE42="","",IF($AE42&lt;=1200,IF(INDEX(对接源_01水果!$T$4:$T$1203,$AE42)=0,"",INDEX(对接源_01水果!$T$4:$T$1203,$AE42)),IF(INDEX(对接源_02物料!$T$4:$T$1203,$AE42-1200)=0,"",INDEX(对接源_02物料!$T$4:$T$1203,$AE42-1200))))</f>
        <v/>
      </c>
      <c r="E42" s="53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F42" s="53" t="str">
        <f t="shared" si="0"/>
        <v/>
      </c>
      <c r="G42" s="106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07" t="str">
        <f>IFERROR(MATCH(37,_自动清单!$Q$4:$Q$2403,0),"")</f>
        <v/>
      </c>
    </row>
    <row r="43" ht="18" customHeight="1" spans="1:31">
      <c r="A43" s="87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88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15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D43" s="89" t="str">
        <f>IF($AE43="","",IF($AE43&lt;=1200,IF(INDEX(对接源_01水果!$T$4:$T$1203,$AE43)=0,"",INDEX(对接源_01水果!$T$4:$T$1203,$AE43)),IF(INDEX(对接源_02物料!$T$4:$T$1203,$AE43-1200)=0,"",INDEX(对接源_02物料!$T$4:$T$1203,$AE43-1200))))</f>
        <v/>
      </c>
      <c r="E43" s="88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F43" s="88" t="str">
        <f t="shared" si="0"/>
        <v/>
      </c>
      <c r="G43" s="115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07" t="str">
        <f>IFERROR(MATCH(38,_自动清单!$Q$4:$Q$2403,0),"")</f>
        <v/>
      </c>
    </row>
    <row r="44" ht="18" customHeight="1" spans="1:31">
      <c r="A44" s="52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3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106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D44" s="54" t="str">
        <f>IF($AE44="","",IF($AE44&lt;=1200,IF(INDEX(对接源_01水果!$T$4:$T$1203,$AE44)=0,"",INDEX(对接源_01水果!$T$4:$T$1203,$AE44)),IF(INDEX(对接源_02物料!$T$4:$T$1203,$AE44-1200)=0,"",INDEX(对接源_02物料!$T$4:$T$1203,$AE44-1200))))</f>
        <v/>
      </c>
      <c r="E44" s="53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F44" s="53" t="str">
        <f t="shared" si="0"/>
        <v/>
      </c>
      <c r="G44" s="106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07" t="str">
        <f>IFERROR(MATCH(39,_自动清单!$Q$4:$Q$2403,0),"")</f>
        <v/>
      </c>
    </row>
    <row r="45" ht="18" customHeight="1" spans="1:31">
      <c r="A45" s="87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88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15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D45" s="89" t="str">
        <f>IF($AE45="","",IF($AE45&lt;=1200,IF(INDEX(对接源_01水果!$T$4:$T$1203,$AE45)=0,"",INDEX(对接源_01水果!$T$4:$T$1203,$AE45)),IF(INDEX(对接源_02物料!$T$4:$T$1203,$AE45-1200)=0,"",INDEX(对接源_02物料!$T$4:$T$1203,$AE45-1200))))</f>
        <v/>
      </c>
      <c r="E45" s="88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F45" s="88" t="str">
        <f t="shared" si="0"/>
        <v/>
      </c>
      <c r="G45" s="115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07" t="str">
        <f>IFERROR(MATCH(40,_自动清单!$Q$4:$Q$2403,0),"")</f>
        <v/>
      </c>
    </row>
    <row r="46" ht="18" customHeight="1" spans="1:31">
      <c r="A46" s="52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3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106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D46" s="54" t="str">
        <f>IF($AE46="","",IF($AE46&lt;=1200,IF(INDEX(对接源_01水果!$T$4:$T$1203,$AE46)=0,"",INDEX(对接源_01水果!$T$4:$T$1203,$AE46)),IF(INDEX(对接源_02物料!$T$4:$T$1203,$AE46-1200)=0,"",INDEX(对接源_02物料!$T$4:$T$1203,$AE46-1200))))</f>
        <v/>
      </c>
      <c r="E46" s="53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F46" s="53" t="str">
        <f t="shared" si="0"/>
        <v/>
      </c>
      <c r="G46" s="106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07" t="str">
        <f>IFERROR(MATCH(41,_自动清单!$Q$4:$Q$2403,0),"")</f>
        <v/>
      </c>
    </row>
    <row r="47" ht="18" customHeight="1" spans="1:31">
      <c r="A47" s="87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88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15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D47" s="89" t="str">
        <f>IF($AE47="","",IF($AE47&lt;=1200,IF(INDEX(对接源_01水果!$T$4:$T$1203,$AE47)=0,"",INDEX(对接源_01水果!$T$4:$T$1203,$AE47)),IF(INDEX(对接源_02物料!$T$4:$T$1203,$AE47-1200)=0,"",INDEX(对接源_02物料!$T$4:$T$1203,$AE47-1200))))</f>
        <v/>
      </c>
      <c r="E47" s="88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F47" s="88" t="str">
        <f t="shared" si="0"/>
        <v/>
      </c>
      <c r="G47" s="115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07" t="str">
        <f>IFERROR(MATCH(42,_自动清单!$Q$4:$Q$2403,0),"")</f>
        <v/>
      </c>
    </row>
    <row r="48" ht="18" customHeight="1" spans="1:31">
      <c r="A48" s="52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53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106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D48" s="54" t="str">
        <f>IF($AE48="","",IF($AE48&lt;=1200,IF(INDEX(对接源_01水果!$T$4:$T$1203,$AE48)=0,"",INDEX(对接源_01水果!$T$4:$T$1203,$AE48)),IF(INDEX(对接源_02物料!$T$4:$T$1203,$AE48-1200)=0,"",INDEX(对接源_02物料!$T$4:$T$1203,$AE48-1200))))</f>
        <v/>
      </c>
      <c r="E48" s="53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F48" s="53" t="str">
        <f t="shared" si="0"/>
        <v/>
      </c>
      <c r="G48" s="106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07" t="str">
        <f>IFERROR(MATCH(43,_自动清单!$Q$4:$Q$2403,0),"")</f>
        <v/>
      </c>
    </row>
    <row r="49" ht="18" customHeight="1" spans="1:31">
      <c r="A49" s="87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88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15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D49" s="89" t="str">
        <f>IF($AE49="","",IF($AE49&lt;=1200,IF(INDEX(对接源_01水果!$T$4:$T$1203,$AE49)=0,"",INDEX(对接源_01水果!$T$4:$T$1203,$AE49)),IF(INDEX(对接源_02物料!$T$4:$T$1203,$AE49-1200)=0,"",INDEX(对接源_02物料!$T$4:$T$1203,$AE49-1200))))</f>
        <v/>
      </c>
      <c r="E49" s="88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F49" s="88" t="str">
        <f t="shared" si="0"/>
        <v/>
      </c>
      <c r="G49" s="115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07" t="str">
        <f>IFERROR(MATCH(44,_自动清单!$Q$4:$Q$2403,0),"")</f>
        <v/>
      </c>
    </row>
    <row r="50" ht="18" customHeight="1" spans="1:31">
      <c r="A50" s="52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3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106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D50" s="54" t="str">
        <f>IF($AE50="","",IF($AE50&lt;=1200,IF(INDEX(对接源_01水果!$T$4:$T$1203,$AE50)=0,"",INDEX(对接源_01水果!$T$4:$T$1203,$AE50)),IF(INDEX(对接源_02物料!$T$4:$T$1203,$AE50-1200)=0,"",INDEX(对接源_02物料!$T$4:$T$1203,$AE50-1200))))</f>
        <v/>
      </c>
      <c r="E50" s="53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F50" s="53" t="str">
        <f t="shared" si="0"/>
        <v/>
      </c>
      <c r="G50" s="106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07" t="str">
        <f>IFERROR(MATCH(45,_自动清单!$Q$4:$Q$2403,0),"")</f>
        <v/>
      </c>
    </row>
    <row r="51" ht="18" customHeight="1" spans="1:31">
      <c r="A51" s="87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88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15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D51" s="89" t="str">
        <f>IF($AE51="","",IF($AE51&lt;=1200,IF(INDEX(对接源_01水果!$T$4:$T$1203,$AE51)=0,"",INDEX(对接源_01水果!$T$4:$T$1203,$AE51)),IF(INDEX(对接源_02物料!$T$4:$T$1203,$AE51-1200)=0,"",INDEX(对接源_02物料!$T$4:$T$1203,$AE51-1200))))</f>
        <v/>
      </c>
      <c r="E51" s="88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F51" s="88" t="str">
        <f t="shared" si="0"/>
        <v/>
      </c>
      <c r="G51" s="115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07" t="str">
        <f>IFERROR(MATCH(46,_自动清单!$Q$4:$Q$2403,0),"")</f>
        <v/>
      </c>
    </row>
    <row r="52" ht="18" customHeight="1" spans="1:31">
      <c r="A52" s="52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3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106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D52" s="54" t="str">
        <f>IF($AE52="","",IF($AE52&lt;=1200,IF(INDEX(对接源_01水果!$T$4:$T$1203,$AE52)=0,"",INDEX(对接源_01水果!$T$4:$T$1203,$AE52)),IF(INDEX(对接源_02物料!$T$4:$T$1203,$AE52-1200)=0,"",INDEX(对接源_02物料!$T$4:$T$1203,$AE52-1200))))</f>
        <v/>
      </c>
      <c r="E52" s="53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F52" s="53" t="str">
        <f t="shared" si="0"/>
        <v/>
      </c>
      <c r="G52" s="106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07" t="str">
        <f>IFERROR(MATCH(47,_自动清单!$Q$4:$Q$2403,0),"")</f>
        <v/>
      </c>
    </row>
    <row r="53" ht="18" customHeight="1" spans="1:31">
      <c r="A53" s="87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88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15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D53" s="89" t="str">
        <f>IF($AE53="","",IF($AE53&lt;=1200,IF(INDEX(对接源_01水果!$T$4:$T$1203,$AE53)=0,"",INDEX(对接源_01水果!$T$4:$T$1203,$AE53)),IF(INDEX(对接源_02物料!$T$4:$T$1203,$AE53-1200)=0,"",INDEX(对接源_02物料!$T$4:$T$1203,$AE53-1200))))</f>
        <v/>
      </c>
      <c r="E53" s="88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F53" s="88" t="str">
        <f t="shared" si="0"/>
        <v/>
      </c>
      <c r="G53" s="115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07" t="str">
        <f>IFERROR(MATCH(48,_自动清单!$Q$4:$Q$2403,0),"")</f>
        <v/>
      </c>
    </row>
    <row r="54" ht="18" customHeight="1" spans="1:31">
      <c r="A54" s="52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53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106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D54" s="54" t="str">
        <f>IF($AE54="","",IF($AE54&lt;=1200,IF(INDEX(对接源_01水果!$T$4:$T$1203,$AE54)=0,"",INDEX(对接源_01水果!$T$4:$T$1203,$AE54)),IF(INDEX(对接源_02物料!$T$4:$T$1203,$AE54-1200)=0,"",INDEX(对接源_02物料!$T$4:$T$1203,$AE54-1200))))</f>
        <v/>
      </c>
      <c r="E54" s="53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F54" s="53" t="str">
        <f t="shared" si="0"/>
        <v/>
      </c>
      <c r="G54" s="106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07" t="str">
        <f>IFERROR(MATCH(49,_自动清单!$Q$4:$Q$2403,0),"")</f>
        <v/>
      </c>
    </row>
    <row r="55" ht="18" customHeight="1" spans="1:31">
      <c r="A55" s="87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88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15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D55" s="89" t="str">
        <f>IF($AE55="","",IF($AE55&lt;=1200,IF(INDEX(对接源_01水果!$T$4:$T$1203,$AE55)=0,"",INDEX(对接源_01水果!$T$4:$T$1203,$AE55)),IF(INDEX(对接源_02物料!$T$4:$T$1203,$AE55-1200)=0,"",INDEX(对接源_02物料!$T$4:$T$1203,$AE55-1200))))</f>
        <v/>
      </c>
      <c r="E55" s="88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F55" s="88" t="str">
        <f t="shared" si="0"/>
        <v/>
      </c>
      <c r="G55" s="115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07" t="str">
        <f>IFERROR(MATCH(50,_自动清单!$Q$4:$Q$2403,0),"")</f>
        <v/>
      </c>
    </row>
    <row r="56" ht="18" customHeight="1" spans="1:31">
      <c r="A56" s="52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3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106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D56" s="54" t="str">
        <f>IF($AE56="","",IF($AE56&lt;=1200,IF(INDEX(对接源_01水果!$T$4:$T$1203,$AE56)=0,"",INDEX(对接源_01水果!$T$4:$T$1203,$AE56)),IF(INDEX(对接源_02物料!$T$4:$T$1203,$AE56-1200)=0,"",INDEX(对接源_02物料!$T$4:$T$1203,$AE56-1200))))</f>
        <v/>
      </c>
      <c r="E56" s="53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F56" s="53" t="str">
        <f t="shared" si="0"/>
        <v/>
      </c>
      <c r="G56" s="106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07" t="str">
        <f>IFERROR(MATCH(51,_自动清单!$Q$4:$Q$2403,0),"")</f>
        <v/>
      </c>
    </row>
    <row r="57" ht="18" customHeight="1" spans="1:31">
      <c r="A57" s="87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88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15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D57" s="89" t="str">
        <f>IF($AE57="","",IF($AE57&lt;=1200,IF(INDEX(对接源_01水果!$T$4:$T$1203,$AE57)=0,"",INDEX(对接源_01水果!$T$4:$T$1203,$AE57)),IF(INDEX(对接源_02物料!$T$4:$T$1203,$AE57-1200)=0,"",INDEX(对接源_02物料!$T$4:$T$1203,$AE57-1200))))</f>
        <v/>
      </c>
      <c r="E57" s="88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F57" s="88" t="str">
        <f t="shared" si="0"/>
        <v/>
      </c>
      <c r="G57" s="115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07" t="str">
        <f>IFERROR(MATCH(52,_自动清单!$Q$4:$Q$2403,0),"")</f>
        <v/>
      </c>
    </row>
    <row r="58" ht="18" customHeight="1" spans="1:31">
      <c r="A58" s="52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3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106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D58" s="54" t="str">
        <f>IF($AE58="","",IF($AE58&lt;=1200,IF(INDEX(对接源_01水果!$T$4:$T$1203,$AE58)=0,"",INDEX(对接源_01水果!$T$4:$T$1203,$AE58)),IF(INDEX(对接源_02物料!$T$4:$T$1203,$AE58-1200)=0,"",INDEX(对接源_02物料!$T$4:$T$1203,$AE58-1200))))</f>
        <v/>
      </c>
      <c r="E58" s="53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F58" s="53" t="str">
        <f t="shared" si="0"/>
        <v/>
      </c>
      <c r="G58" s="106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07" t="str">
        <f>IFERROR(MATCH(53,_自动清单!$Q$4:$Q$2403,0),"")</f>
        <v/>
      </c>
    </row>
    <row r="59" ht="18" customHeight="1" spans="1:31">
      <c r="A59" s="87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88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15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D59" s="89" t="str">
        <f>IF($AE59="","",IF($AE59&lt;=1200,IF(INDEX(对接源_01水果!$T$4:$T$1203,$AE59)=0,"",INDEX(对接源_01水果!$T$4:$T$1203,$AE59)),IF(INDEX(对接源_02物料!$T$4:$T$1203,$AE59-1200)=0,"",INDEX(对接源_02物料!$T$4:$T$1203,$AE59-1200))))</f>
        <v/>
      </c>
      <c r="E59" s="88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F59" s="88" t="str">
        <f t="shared" si="0"/>
        <v/>
      </c>
      <c r="G59" s="115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07" t="str">
        <f>IFERROR(MATCH(54,_自动清单!$Q$4:$Q$2403,0),"")</f>
        <v/>
      </c>
    </row>
    <row r="60" ht="18" customHeight="1" spans="1:31">
      <c r="A60" s="52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3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106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D60" s="54" t="str">
        <f>IF($AE60="","",IF($AE60&lt;=1200,IF(INDEX(对接源_01水果!$T$4:$T$1203,$AE60)=0,"",INDEX(对接源_01水果!$T$4:$T$1203,$AE60)),IF(INDEX(对接源_02物料!$T$4:$T$1203,$AE60-1200)=0,"",INDEX(对接源_02物料!$T$4:$T$1203,$AE60-1200))))</f>
        <v/>
      </c>
      <c r="E60" s="53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F60" s="53" t="str">
        <f t="shared" si="0"/>
        <v/>
      </c>
      <c r="G60" s="106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07" t="str">
        <f>IFERROR(MATCH(55,_自动清单!$Q$4:$Q$2403,0),"")</f>
        <v/>
      </c>
    </row>
    <row r="61" ht="18" customHeight="1" spans="1:31">
      <c r="A61" s="87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88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15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D61" s="89" t="str">
        <f>IF($AE61="","",IF($AE61&lt;=1200,IF(INDEX(对接源_01水果!$T$4:$T$1203,$AE61)=0,"",INDEX(对接源_01水果!$T$4:$T$1203,$AE61)),IF(INDEX(对接源_02物料!$T$4:$T$1203,$AE61-1200)=0,"",INDEX(对接源_02物料!$T$4:$T$1203,$AE61-1200))))</f>
        <v/>
      </c>
      <c r="E61" s="88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F61" s="88" t="str">
        <f t="shared" si="0"/>
        <v/>
      </c>
      <c r="G61" s="115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07" t="str">
        <f>IFERROR(MATCH(56,_自动清单!$Q$4:$Q$2403,0),"")</f>
        <v/>
      </c>
    </row>
    <row r="62" ht="18" customHeight="1" spans="1:31">
      <c r="A62" s="52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3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106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D62" s="54" t="str">
        <f>IF($AE62="","",IF($AE62&lt;=1200,IF(INDEX(对接源_01水果!$T$4:$T$1203,$AE62)=0,"",INDEX(对接源_01水果!$T$4:$T$1203,$AE62)),IF(INDEX(对接源_02物料!$T$4:$T$1203,$AE62-1200)=0,"",INDEX(对接源_02物料!$T$4:$T$1203,$AE62-1200))))</f>
        <v/>
      </c>
      <c r="E62" s="53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F62" s="53" t="str">
        <f t="shared" si="0"/>
        <v/>
      </c>
      <c r="G62" s="106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07" t="str">
        <f>IFERROR(MATCH(57,_自动清单!$Q$4:$Q$2403,0),"")</f>
        <v/>
      </c>
    </row>
    <row r="63" ht="18" customHeight="1" spans="1:31">
      <c r="A63" s="87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88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15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D63" s="89" t="str">
        <f>IF($AE63="","",IF($AE63&lt;=1200,IF(INDEX(对接源_01水果!$T$4:$T$1203,$AE63)=0,"",INDEX(对接源_01水果!$T$4:$T$1203,$AE63)),IF(INDEX(对接源_02物料!$T$4:$T$1203,$AE63-1200)=0,"",INDEX(对接源_02物料!$T$4:$T$1203,$AE63-1200))))</f>
        <v/>
      </c>
      <c r="E63" s="88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F63" s="88" t="str">
        <f t="shared" si="0"/>
        <v/>
      </c>
      <c r="G63" s="115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07" t="str">
        <f>IFERROR(MATCH(58,_自动清单!$Q$4:$Q$2403,0),"")</f>
        <v/>
      </c>
    </row>
    <row r="64" ht="18" customHeight="1" spans="1:31">
      <c r="A64" s="52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3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106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D64" s="54" t="str">
        <f>IF($AE64="","",IF($AE64&lt;=1200,IF(INDEX(对接源_01水果!$T$4:$T$1203,$AE64)=0,"",INDEX(对接源_01水果!$T$4:$T$1203,$AE64)),IF(INDEX(对接源_02物料!$T$4:$T$1203,$AE64-1200)=0,"",INDEX(对接源_02物料!$T$4:$T$1203,$AE64-1200))))</f>
        <v/>
      </c>
      <c r="E64" s="53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F64" s="53" t="str">
        <f t="shared" si="0"/>
        <v/>
      </c>
      <c r="G64" s="106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07" t="str">
        <f>IFERROR(MATCH(59,_自动清单!$Q$4:$Q$2403,0),"")</f>
        <v/>
      </c>
    </row>
    <row r="65" ht="18" customHeight="1" spans="1:31">
      <c r="A65" s="87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88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15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D65" s="89" t="str">
        <f>IF($AE65="","",IF($AE65&lt;=1200,IF(INDEX(对接源_01水果!$T$4:$T$1203,$AE65)=0,"",INDEX(对接源_01水果!$T$4:$T$1203,$AE65)),IF(INDEX(对接源_02物料!$T$4:$T$1203,$AE65-1200)=0,"",INDEX(对接源_02物料!$T$4:$T$1203,$AE65-1200))))</f>
        <v/>
      </c>
      <c r="E65" s="88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F65" s="88" t="str">
        <f t="shared" si="0"/>
        <v/>
      </c>
      <c r="G65" s="115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07" t="str">
        <f>IFERROR(MATCH(60,_自动清单!$Q$4:$Q$2403,0),"")</f>
        <v/>
      </c>
    </row>
    <row r="66" ht="18" customHeight="1" spans="1:31">
      <c r="A66" s="52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3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106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D66" s="54" t="str">
        <f>IF($AE66="","",IF($AE66&lt;=1200,IF(INDEX(对接源_01水果!$T$4:$T$1203,$AE66)=0,"",INDEX(对接源_01水果!$T$4:$T$1203,$AE66)),IF(INDEX(对接源_02物料!$T$4:$T$1203,$AE66-1200)=0,"",INDEX(对接源_02物料!$T$4:$T$1203,$AE66-1200))))</f>
        <v/>
      </c>
      <c r="E66" s="53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F66" s="53" t="str">
        <f t="shared" si="0"/>
        <v/>
      </c>
      <c r="G66" s="106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07" t="str">
        <f>IFERROR(MATCH(61,_自动清单!$Q$4:$Q$2403,0),"")</f>
        <v/>
      </c>
    </row>
    <row r="67" ht="18" customHeight="1" spans="1:31">
      <c r="A67" s="87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88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15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D67" s="89" t="str">
        <f>IF($AE67="","",IF($AE67&lt;=1200,IF(INDEX(对接源_01水果!$T$4:$T$1203,$AE67)=0,"",INDEX(对接源_01水果!$T$4:$T$1203,$AE67)),IF(INDEX(对接源_02物料!$T$4:$T$1203,$AE67-1200)=0,"",INDEX(对接源_02物料!$T$4:$T$1203,$AE67-1200))))</f>
        <v/>
      </c>
      <c r="E67" s="88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F67" s="88" t="str">
        <f t="shared" si="0"/>
        <v/>
      </c>
      <c r="G67" s="115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07" t="str">
        <f>IFERROR(MATCH(62,_自动清单!$Q$4:$Q$2403,0),"")</f>
        <v/>
      </c>
    </row>
    <row r="68" ht="18" customHeight="1" spans="1:31">
      <c r="A68" s="52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3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106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D68" s="54" t="str">
        <f>IF($AE68="","",IF($AE68&lt;=1200,IF(INDEX(对接源_01水果!$T$4:$T$1203,$AE68)=0,"",INDEX(对接源_01水果!$T$4:$T$1203,$AE68)),IF(INDEX(对接源_02物料!$T$4:$T$1203,$AE68-1200)=0,"",INDEX(对接源_02物料!$T$4:$T$1203,$AE68-1200))))</f>
        <v/>
      </c>
      <c r="E68" s="53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F68" s="53" t="str">
        <f t="shared" si="0"/>
        <v/>
      </c>
      <c r="G68" s="106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07" t="str">
        <f>IFERROR(MATCH(63,_自动清单!$Q$4:$Q$2403,0),"")</f>
        <v/>
      </c>
    </row>
    <row r="69" ht="18" customHeight="1" spans="1:31">
      <c r="A69" s="87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88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15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D69" s="89" t="str">
        <f>IF($AE69="","",IF($AE69&lt;=1200,IF(INDEX(对接源_01水果!$T$4:$T$1203,$AE69)=0,"",INDEX(对接源_01水果!$T$4:$T$1203,$AE69)),IF(INDEX(对接源_02物料!$T$4:$T$1203,$AE69-1200)=0,"",INDEX(对接源_02物料!$T$4:$T$1203,$AE69-1200))))</f>
        <v/>
      </c>
      <c r="E69" s="88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F69" s="88" t="str">
        <f t="shared" si="0"/>
        <v/>
      </c>
      <c r="G69" s="115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07" t="str">
        <f>IFERROR(MATCH(64,_自动清单!$Q$4:$Q$2403,0),"")</f>
        <v/>
      </c>
    </row>
    <row r="70" ht="18" customHeight="1" spans="1:31">
      <c r="A70" s="52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3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106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D70" s="54" t="str">
        <f>IF($AE70="","",IF($AE70&lt;=1200,IF(INDEX(对接源_01水果!$T$4:$T$1203,$AE70)=0,"",INDEX(对接源_01水果!$T$4:$T$1203,$AE70)),IF(INDEX(对接源_02物料!$T$4:$T$1203,$AE70-1200)=0,"",INDEX(对接源_02物料!$T$4:$T$1203,$AE70-1200))))</f>
        <v/>
      </c>
      <c r="E70" s="53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F70" s="53" t="str">
        <f t="shared" ref="F70:F105" si="1">IF($AE70="","",IF($AE70&lt;=1200,"01水果册","02物料册"))</f>
        <v/>
      </c>
      <c r="G70" s="106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07" t="str">
        <f>IFERROR(MATCH(65,_自动清单!$Q$4:$Q$2403,0),"")</f>
        <v/>
      </c>
    </row>
    <row r="71" ht="18" customHeight="1" spans="1:31">
      <c r="A71" s="87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88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15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D71" s="89" t="str">
        <f>IF($AE71="","",IF($AE71&lt;=1200,IF(INDEX(对接源_01水果!$T$4:$T$1203,$AE71)=0,"",INDEX(对接源_01水果!$T$4:$T$1203,$AE71)),IF(INDEX(对接源_02物料!$T$4:$T$1203,$AE71-1200)=0,"",INDEX(对接源_02物料!$T$4:$T$1203,$AE71-1200))))</f>
        <v/>
      </c>
      <c r="E71" s="88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F71" s="88" t="str">
        <f t="shared" si="1"/>
        <v/>
      </c>
      <c r="G71" s="115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07" t="str">
        <f>IFERROR(MATCH(66,_自动清单!$Q$4:$Q$2403,0),"")</f>
        <v/>
      </c>
    </row>
    <row r="72" ht="18" customHeight="1" spans="1:31">
      <c r="A72" s="52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3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106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D72" s="54" t="str">
        <f>IF($AE72="","",IF($AE72&lt;=1200,IF(INDEX(对接源_01水果!$T$4:$T$1203,$AE72)=0,"",INDEX(对接源_01水果!$T$4:$T$1203,$AE72)),IF(INDEX(对接源_02物料!$T$4:$T$1203,$AE72-1200)=0,"",INDEX(对接源_02物料!$T$4:$T$1203,$AE72-1200))))</f>
        <v/>
      </c>
      <c r="E72" s="53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F72" s="53" t="str">
        <f t="shared" si="1"/>
        <v/>
      </c>
      <c r="G72" s="106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07" t="str">
        <f>IFERROR(MATCH(67,_自动清单!$Q$4:$Q$2403,0),"")</f>
        <v/>
      </c>
    </row>
    <row r="73" ht="18" customHeight="1" spans="1:31">
      <c r="A73" s="87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88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15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D73" s="89" t="str">
        <f>IF($AE73="","",IF($AE73&lt;=1200,IF(INDEX(对接源_01水果!$T$4:$T$1203,$AE73)=0,"",INDEX(对接源_01水果!$T$4:$T$1203,$AE73)),IF(INDEX(对接源_02物料!$T$4:$T$1203,$AE73-1200)=0,"",INDEX(对接源_02物料!$T$4:$T$1203,$AE73-1200))))</f>
        <v/>
      </c>
      <c r="E73" s="88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F73" s="88" t="str">
        <f t="shared" si="1"/>
        <v/>
      </c>
      <c r="G73" s="115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07" t="str">
        <f>IFERROR(MATCH(68,_自动清单!$Q$4:$Q$2403,0),"")</f>
        <v/>
      </c>
    </row>
    <row r="74" ht="18" customHeight="1" spans="1:31">
      <c r="A74" s="52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3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106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D74" s="54" t="str">
        <f>IF($AE74="","",IF($AE74&lt;=1200,IF(INDEX(对接源_01水果!$T$4:$T$1203,$AE74)=0,"",INDEX(对接源_01水果!$T$4:$T$1203,$AE74)),IF(INDEX(对接源_02物料!$T$4:$T$1203,$AE74-1200)=0,"",INDEX(对接源_02物料!$T$4:$T$1203,$AE74-1200))))</f>
        <v/>
      </c>
      <c r="E74" s="53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F74" s="53" t="str">
        <f t="shared" si="1"/>
        <v/>
      </c>
      <c r="G74" s="106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07" t="str">
        <f>IFERROR(MATCH(69,_自动清单!$Q$4:$Q$2403,0),"")</f>
        <v/>
      </c>
    </row>
    <row r="75" ht="18" customHeight="1" spans="1:31">
      <c r="A75" s="87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88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15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D75" s="89" t="str">
        <f>IF($AE75="","",IF($AE75&lt;=1200,IF(INDEX(对接源_01水果!$T$4:$T$1203,$AE75)=0,"",INDEX(对接源_01水果!$T$4:$T$1203,$AE75)),IF(INDEX(对接源_02物料!$T$4:$T$1203,$AE75-1200)=0,"",INDEX(对接源_02物料!$T$4:$T$1203,$AE75-1200))))</f>
        <v/>
      </c>
      <c r="E75" s="88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F75" s="88" t="str">
        <f t="shared" si="1"/>
        <v/>
      </c>
      <c r="G75" s="115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07" t="str">
        <f>IFERROR(MATCH(70,_自动清单!$Q$4:$Q$2403,0),"")</f>
        <v/>
      </c>
    </row>
    <row r="76" ht="18" customHeight="1" spans="1:31">
      <c r="A76" s="52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3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106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D76" s="54" t="str">
        <f>IF($AE76="","",IF($AE76&lt;=1200,IF(INDEX(对接源_01水果!$T$4:$T$1203,$AE76)=0,"",INDEX(对接源_01水果!$T$4:$T$1203,$AE76)),IF(INDEX(对接源_02物料!$T$4:$T$1203,$AE76-1200)=0,"",INDEX(对接源_02物料!$T$4:$T$1203,$AE76-1200))))</f>
        <v/>
      </c>
      <c r="E76" s="53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F76" s="53" t="str">
        <f t="shared" si="1"/>
        <v/>
      </c>
      <c r="G76" s="106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07" t="str">
        <f>IFERROR(MATCH(71,_自动清单!$Q$4:$Q$2403,0),"")</f>
        <v/>
      </c>
    </row>
    <row r="77" ht="18" customHeight="1" spans="1:31">
      <c r="A77" s="87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88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15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D77" s="89" t="str">
        <f>IF($AE77="","",IF($AE77&lt;=1200,IF(INDEX(对接源_01水果!$T$4:$T$1203,$AE77)=0,"",INDEX(对接源_01水果!$T$4:$T$1203,$AE77)),IF(INDEX(对接源_02物料!$T$4:$T$1203,$AE77-1200)=0,"",INDEX(对接源_02物料!$T$4:$T$1203,$AE77-1200))))</f>
        <v/>
      </c>
      <c r="E77" s="88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F77" s="88" t="str">
        <f t="shared" si="1"/>
        <v/>
      </c>
      <c r="G77" s="115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07" t="str">
        <f>IFERROR(MATCH(72,_自动清单!$Q$4:$Q$2403,0),"")</f>
        <v/>
      </c>
    </row>
    <row r="78" ht="18" customHeight="1" spans="1:31">
      <c r="A78" s="52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3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106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D78" s="54" t="str">
        <f>IF($AE78="","",IF($AE78&lt;=1200,IF(INDEX(对接源_01水果!$T$4:$T$1203,$AE78)=0,"",INDEX(对接源_01水果!$T$4:$T$1203,$AE78)),IF(INDEX(对接源_02物料!$T$4:$T$1203,$AE78-1200)=0,"",INDEX(对接源_02物料!$T$4:$T$1203,$AE78-1200))))</f>
        <v/>
      </c>
      <c r="E78" s="53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F78" s="53" t="str">
        <f t="shared" si="1"/>
        <v/>
      </c>
      <c r="G78" s="106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07" t="str">
        <f>IFERROR(MATCH(73,_自动清单!$Q$4:$Q$2403,0),"")</f>
        <v/>
      </c>
    </row>
    <row r="79" ht="18" customHeight="1" spans="1:31">
      <c r="A79" s="87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88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15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D79" s="89" t="str">
        <f>IF($AE79="","",IF($AE79&lt;=1200,IF(INDEX(对接源_01水果!$T$4:$T$1203,$AE79)=0,"",INDEX(对接源_01水果!$T$4:$T$1203,$AE79)),IF(INDEX(对接源_02物料!$T$4:$T$1203,$AE79-1200)=0,"",INDEX(对接源_02物料!$T$4:$T$1203,$AE79-1200))))</f>
        <v/>
      </c>
      <c r="E79" s="88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F79" s="88" t="str">
        <f t="shared" si="1"/>
        <v/>
      </c>
      <c r="G79" s="115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07" t="str">
        <f>IFERROR(MATCH(74,_自动清单!$Q$4:$Q$2403,0),"")</f>
        <v/>
      </c>
    </row>
    <row r="80" ht="18" customHeight="1" spans="1:31">
      <c r="A80" s="52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3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106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D80" s="54" t="str">
        <f>IF($AE80="","",IF($AE80&lt;=1200,IF(INDEX(对接源_01水果!$T$4:$T$1203,$AE80)=0,"",INDEX(对接源_01水果!$T$4:$T$1203,$AE80)),IF(INDEX(对接源_02物料!$T$4:$T$1203,$AE80-1200)=0,"",INDEX(对接源_02物料!$T$4:$T$1203,$AE80-1200))))</f>
        <v/>
      </c>
      <c r="E80" s="53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F80" s="53" t="str">
        <f t="shared" si="1"/>
        <v/>
      </c>
      <c r="G80" s="106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07" t="str">
        <f>IFERROR(MATCH(75,_自动清单!$Q$4:$Q$2403,0),"")</f>
        <v/>
      </c>
    </row>
    <row r="81" ht="18" customHeight="1" spans="1:31">
      <c r="A81" s="87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88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15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D81" s="89" t="str">
        <f>IF($AE81="","",IF($AE81&lt;=1200,IF(INDEX(对接源_01水果!$T$4:$T$1203,$AE81)=0,"",INDEX(对接源_01水果!$T$4:$T$1203,$AE81)),IF(INDEX(对接源_02物料!$T$4:$T$1203,$AE81-1200)=0,"",INDEX(对接源_02物料!$T$4:$T$1203,$AE81-1200))))</f>
        <v/>
      </c>
      <c r="E81" s="88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F81" s="88" t="str">
        <f t="shared" si="1"/>
        <v/>
      </c>
      <c r="G81" s="115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07" t="str">
        <f>IFERROR(MATCH(76,_自动清单!$Q$4:$Q$2403,0),"")</f>
        <v/>
      </c>
    </row>
    <row r="82" ht="18" customHeight="1" spans="1:31">
      <c r="A82" s="52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3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106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D82" s="54" t="str">
        <f>IF($AE82="","",IF($AE82&lt;=1200,IF(INDEX(对接源_01水果!$T$4:$T$1203,$AE82)=0,"",INDEX(对接源_01水果!$T$4:$T$1203,$AE82)),IF(INDEX(对接源_02物料!$T$4:$T$1203,$AE82-1200)=0,"",INDEX(对接源_02物料!$T$4:$T$1203,$AE82-1200))))</f>
        <v/>
      </c>
      <c r="E82" s="53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F82" s="53" t="str">
        <f t="shared" si="1"/>
        <v/>
      </c>
      <c r="G82" s="106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07" t="str">
        <f>IFERROR(MATCH(77,_自动清单!$Q$4:$Q$2403,0),"")</f>
        <v/>
      </c>
    </row>
    <row r="83" ht="18" customHeight="1" spans="1:31">
      <c r="A83" s="87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88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15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D83" s="89" t="str">
        <f>IF($AE83="","",IF($AE83&lt;=1200,IF(INDEX(对接源_01水果!$T$4:$T$1203,$AE83)=0,"",INDEX(对接源_01水果!$T$4:$T$1203,$AE83)),IF(INDEX(对接源_02物料!$T$4:$T$1203,$AE83-1200)=0,"",INDEX(对接源_02物料!$T$4:$T$1203,$AE83-1200))))</f>
        <v/>
      </c>
      <c r="E83" s="88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F83" s="88" t="str">
        <f t="shared" si="1"/>
        <v/>
      </c>
      <c r="G83" s="115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07" t="str">
        <f>IFERROR(MATCH(78,_自动清单!$Q$4:$Q$2403,0),"")</f>
        <v/>
      </c>
    </row>
    <row r="84" ht="18" customHeight="1" spans="1:31">
      <c r="A84" s="52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3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106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D84" s="54" t="str">
        <f>IF($AE84="","",IF($AE84&lt;=1200,IF(INDEX(对接源_01水果!$T$4:$T$1203,$AE84)=0,"",INDEX(对接源_01水果!$T$4:$T$1203,$AE84)),IF(INDEX(对接源_02物料!$T$4:$T$1203,$AE84-1200)=0,"",INDEX(对接源_02物料!$T$4:$T$1203,$AE84-1200))))</f>
        <v/>
      </c>
      <c r="E84" s="53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F84" s="53" t="str">
        <f t="shared" si="1"/>
        <v/>
      </c>
      <c r="G84" s="106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07" t="str">
        <f>IFERROR(MATCH(79,_自动清单!$Q$4:$Q$2403,0),"")</f>
        <v/>
      </c>
    </row>
    <row r="85" ht="18" customHeight="1" spans="1:31">
      <c r="A85" s="87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88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15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D85" s="89" t="str">
        <f>IF($AE85="","",IF($AE85&lt;=1200,IF(INDEX(对接源_01水果!$T$4:$T$1203,$AE85)=0,"",INDEX(对接源_01水果!$T$4:$T$1203,$AE85)),IF(INDEX(对接源_02物料!$T$4:$T$1203,$AE85-1200)=0,"",INDEX(对接源_02物料!$T$4:$T$1203,$AE85-1200))))</f>
        <v/>
      </c>
      <c r="E85" s="88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F85" s="88" t="str">
        <f t="shared" si="1"/>
        <v/>
      </c>
      <c r="G85" s="115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07" t="str">
        <f>IFERROR(MATCH(80,_自动清单!$Q$4:$Q$2403,0),"")</f>
        <v/>
      </c>
    </row>
    <row r="86" ht="18" customHeight="1" spans="1:31">
      <c r="A86" s="52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3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106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D86" s="54" t="str">
        <f>IF($AE86="","",IF($AE86&lt;=1200,IF(INDEX(对接源_01水果!$T$4:$T$1203,$AE86)=0,"",INDEX(对接源_01水果!$T$4:$T$1203,$AE86)),IF(INDEX(对接源_02物料!$T$4:$T$1203,$AE86-1200)=0,"",INDEX(对接源_02物料!$T$4:$T$1203,$AE86-1200))))</f>
        <v/>
      </c>
      <c r="E86" s="53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F86" s="53" t="str">
        <f t="shared" si="1"/>
        <v/>
      </c>
      <c r="G86" s="106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07" t="str">
        <f>IFERROR(MATCH(81,_自动清单!$Q$4:$Q$2403,0),"")</f>
        <v/>
      </c>
    </row>
    <row r="87" ht="18" customHeight="1" spans="1:31">
      <c r="A87" s="87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88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15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D87" s="89" t="str">
        <f>IF($AE87="","",IF($AE87&lt;=1200,IF(INDEX(对接源_01水果!$T$4:$T$1203,$AE87)=0,"",INDEX(对接源_01水果!$T$4:$T$1203,$AE87)),IF(INDEX(对接源_02物料!$T$4:$T$1203,$AE87-1200)=0,"",INDEX(对接源_02物料!$T$4:$T$1203,$AE87-1200))))</f>
        <v/>
      </c>
      <c r="E87" s="88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F87" s="88" t="str">
        <f t="shared" si="1"/>
        <v/>
      </c>
      <c r="G87" s="115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07" t="str">
        <f>IFERROR(MATCH(82,_自动清单!$Q$4:$Q$2403,0),"")</f>
        <v/>
      </c>
    </row>
    <row r="88" ht="18" customHeight="1" spans="1:31">
      <c r="A88" s="52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3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106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D88" s="54" t="str">
        <f>IF($AE88="","",IF($AE88&lt;=1200,IF(INDEX(对接源_01水果!$T$4:$T$1203,$AE88)=0,"",INDEX(对接源_01水果!$T$4:$T$1203,$AE88)),IF(INDEX(对接源_02物料!$T$4:$T$1203,$AE88-1200)=0,"",INDEX(对接源_02物料!$T$4:$T$1203,$AE88-1200))))</f>
        <v/>
      </c>
      <c r="E88" s="53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F88" s="53" t="str">
        <f t="shared" si="1"/>
        <v/>
      </c>
      <c r="G88" s="106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07" t="str">
        <f>IFERROR(MATCH(83,_自动清单!$Q$4:$Q$2403,0),"")</f>
        <v/>
      </c>
    </row>
    <row r="89" ht="18" customHeight="1" spans="1:31">
      <c r="A89" s="87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88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15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D89" s="89" t="str">
        <f>IF($AE89="","",IF($AE89&lt;=1200,IF(INDEX(对接源_01水果!$T$4:$T$1203,$AE89)=0,"",INDEX(对接源_01水果!$T$4:$T$1203,$AE89)),IF(INDEX(对接源_02物料!$T$4:$T$1203,$AE89-1200)=0,"",INDEX(对接源_02物料!$T$4:$T$1203,$AE89-1200))))</f>
        <v/>
      </c>
      <c r="E89" s="88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F89" s="88" t="str">
        <f t="shared" si="1"/>
        <v/>
      </c>
      <c r="G89" s="115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07" t="str">
        <f>IFERROR(MATCH(84,_自动清单!$Q$4:$Q$2403,0),"")</f>
        <v/>
      </c>
    </row>
    <row r="90" ht="18" customHeight="1" spans="1:31">
      <c r="A90" s="52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3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106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D90" s="54" t="str">
        <f>IF($AE90="","",IF($AE90&lt;=1200,IF(INDEX(对接源_01水果!$T$4:$T$1203,$AE90)=0,"",INDEX(对接源_01水果!$T$4:$T$1203,$AE90)),IF(INDEX(对接源_02物料!$T$4:$T$1203,$AE90-1200)=0,"",INDEX(对接源_02物料!$T$4:$T$1203,$AE90-1200))))</f>
        <v/>
      </c>
      <c r="E90" s="53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F90" s="53" t="str">
        <f t="shared" si="1"/>
        <v/>
      </c>
      <c r="G90" s="106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07" t="str">
        <f>IFERROR(MATCH(85,_自动清单!$Q$4:$Q$2403,0),"")</f>
        <v/>
      </c>
    </row>
    <row r="91" ht="18" customHeight="1" spans="1:31">
      <c r="A91" s="87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88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15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D91" s="89" t="str">
        <f>IF($AE91="","",IF($AE91&lt;=1200,IF(INDEX(对接源_01水果!$T$4:$T$1203,$AE91)=0,"",INDEX(对接源_01水果!$T$4:$T$1203,$AE91)),IF(INDEX(对接源_02物料!$T$4:$T$1203,$AE91-1200)=0,"",INDEX(对接源_02物料!$T$4:$T$1203,$AE91-1200))))</f>
        <v/>
      </c>
      <c r="E91" s="88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F91" s="88" t="str">
        <f t="shared" si="1"/>
        <v/>
      </c>
      <c r="G91" s="115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07" t="str">
        <f>IFERROR(MATCH(86,_自动清单!$Q$4:$Q$2403,0),"")</f>
        <v/>
      </c>
    </row>
    <row r="92" ht="18" customHeight="1" spans="1:31">
      <c r="A92" s="52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3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106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D92" s="54" t="str">
        <f>IF($AE92="","",IF($AE92&lt;=1200,IF(INDEX(对接源_01水果!$T$4:$T$1203,$AE92)=0,"",INDEX(对接源_01水果!$T$4:$T$1203,$AE92)),IF(INDEX(对接源_02物料!$T$4:$T$1203,$AE92-1200)=0,"",INDEX(对接源_02物料!$T$4:$T$1203,$AE92-1200))))</f>
        <v/>
      </c>
      <c r="E92" s="53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F92" s="53" t="str">
        <f t="shared" si="1"/>
        <v/>
      </c>
      <c r="G92" s="106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07" t="str">
        <f>IFERROR(MATCH(87,_自动清单!$Q$4:$Q$2403,0),"")</f>
        <v/>
      </c>
    </row>
    <row r="93" ht="18" customHeight="1" spans="1:31">
      <c r="A93" s="87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88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15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D93" s="89" t="str">
        <f>IF($AE93="","",IF($AE93&lt;=1200,IF(INDEX(对接源_01水果!$T$4:$T$1203,$AE93)=0,"",INDEX(对接源_01水果!$T$4:$T$1203,$AE93)),IF(INDEX(对接源_02物料!$T$4:$T$1203,$AE93-1200)=0,"",INDEX(对接源_02物料!$T$4:$T$1203,$AE93-1200))))</f>
        <v/>
      </c>
      <c r="E93" s="88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F93" s="88" t="str">
        <f t="shared" si="1"/>
        <v/>
      </c>
      <c r="G93" s="115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07" t="str">
        <f>IFERROR(MATCH(88,_自动清单!$Q$4:$Q$2403,0),"")</f>
        <v/>
      </c>
    </row>
    <row r="94" ht="18" customHeight="1" spans="1:31">
      <c r="A94" s="52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3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106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D94" s="54" t="str">
        <f>IF($AE94="","",IF($AE94&lt;=1200,IF(INDEX(对接源_01水果!$T$4:$T$1203,$AE94)=0,"",INDEX(对接源_01水果!$T$4:$T$1203,$AE94)),IF(INDEX(对接源_02物料!$T$4:$T$1203,$AE94-1200)=0,"",INDEX(对接源_02物料!$T$4:$T$1203,$AE94-1200))))</f>
        <v/>
      </c>
      <c r="E94" s="53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F94" s="53" t="str">
        <f t="shared" si="1"/>
        <v/>
      </c>
      <c r="G94" s="106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07" t="str">
        <f>IFERROR(MATCH(89,_自动清单!$Q$4:$Q$2403,0),"")</f>
        <v/>
      </c>
    </row>
    <row r="95" ht="18" customHeight="1" spans="1:31">
      <c r="A95" s="87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88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15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D95" s="89" t="str">
        <f>IF($AE95="","",IF($AE95&lt;=1200,IF(INDEX(对接源_01水果!$T$4:$T$1203,$AE95)=0,"",INDEX(对接源_01水果!$T$4:$T$1203,$AE95)),IF(INDEX(对接源_02物料!$T$4:$T$1203,$AE95-1200)=0,"",INDEX(对接源_02物料!$T$4:$T$1203,$AE95-1200))))</f>
        <v/>
      </c>
      <c r="E95" s="88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F95" s="88" t="str">
        <f t="shared" si="1"/>
        <v/>
      </c>
      <c r="G95" s="115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07" t="str">
        <f>IFERROR(MATCH(90,_自动清单!$Q$4:$Q$2403,0),"")</f>
        <v/>
      </c>
    </row>
    <row r="96" ht="18" customHeight="1" spans="1:31">
      <c r="A96" s="52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3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106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D96" s="54" t="str">
        <f>IF($AE96="","",IF($AE96&lt;=1200,IF(INDEX(对接源_01水果!$T$4:$T$1203,$AE96)=0,"",INDEX(对接源_01水果!$T$4:$T$1203,$AE96)),IF(INDEX(对接源_02物料!$T$4:$T$1203,$AE96-1200)=0,"",INDEX(对接源_02物料!$T$4:$T$1203,$AE96-1200))))</f>
        <v/>
      </c>
      <c r="E96" s="53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F96" s="53" t="str">
        <f t="shared" si="1"/>
        <v/>
      </c>
      <c r="G96" s="106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07" t="str">
        <f>IFERROR(MATCH(91,_自动清单!$Q$4:$Q$2403,0),"")</f>
        <v/>
      </c>
    </row>
    <row r="97" ht="18" customHeight="1" spans="1:32">
      <c r="A97" s="87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88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15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D97" s="89" t="str">
        <f>IF($AE97="","",IF($AE97&lt;=1200,IF(INDEX(对接源_01水果!$T$4:$T$1203,$AE97)=0,"",INDEX(对接源_01水果!$T$4:$T$1203,$AE97)),IF(INDEX(对接源_02物料!$T$4:$T$1203,$AE97-1200)=0,"",INDEX(对接源_02物料!$T$4:$T$1203,$AE97-1200))))</f>
        <v/>
      </c>
      <c r="E97" s="88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F97" s="88" t="str">
        <f t="shared" si="1"/>
        <v/>
      </c>
      <c r="G97" s="115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07" t="str">
        <f>IFERROR(MATCH(92,_自动清单!$Q$4:$Q$2403,0),"")</f>
        <v/>
      </c>
    </row>
    <row r="98" ht="18" customHeight="1" spans="1:32">
      <c r="A98" s="52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3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106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D98" s="54" t="str">
        <f>IF($AE98="","",IF($AE98&lt;=1200,IF(INDEX(对接源_01水果!$T$4:$T$1203,$AE98)=0,"",INDEX(对接源_01水果!$T$4:$T$1203,$AE98)),IF(INDEX(对接源_02物料!$T$4:$T$1203,$AE98-1200)=0,"",INDEX(对接源_02物料!$T$4:$T$1203,$AE98-1200))))</f>
        <v/>
      </c>
      <c r="E98" s="53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F98" s="53" t="str">
        <f t="shared" si="1"/>
        <v/>
      </c>
      <c r="G98" s="106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07" t="str">
        <f>IFERROR(MATCH(93,_自动清单!$Q$4:$Q$2403,0),"")</f>
        <v/>
      </c>
    </row>
    <row r="99" ht="18" customHeight="1" spans="1:32">
      <c r="A99" s="87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88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15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D99" s="89" t="str">
        <f>IF($AE99="","",IF($AE99&lt;=1200,IF(INDEX(对接源_01水果!$T$4:$T$1203,$AE99)=0,"",INDEX(对接源_01水果!$T$4:$T$1203,$AE99)),IF(INDEX(对接源_02物料!$T$4:$T$1203,$AE99-1200)=0,"",INDEX(对接源_02物料!$T$4:$T$1203,$AE99-1200))))</f>
        <v/>
      </c>
      <c r="E99" s="88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F99" s="88" t="str">
        <f t="shared" si="1"/>
        <v/>
      </c>
      <c r="G99" s="115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07" t="str">
        <f>IFERROR(MATCH(94,_自动清单!$Q$4:$Q$2403,0),"")</f>
        <v/>
      </c>
    </row>
    <row r="100" ht="18" customHeight="1" spans="1:32">
      <c r="A100" s="52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3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106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D100" s="54" t="str">
        <f>IF($AE100="","",IF($AE100&lt;=1200,IF(INDEX(对接源_01水果!$T$4:$T$1203,$AE100)=0,"",INDEX(对接源_01水果!$T$4:$T$1203,$AE100)),IF(INDEX(对接源_02物料!$T$4:$T$1203,$AE100-1200)=0,"",INDEX(对接源_02物料!$T$4:$T$1203,$AE100-1200))))</f>
        <v/>
      </c>
      <c r="E100" s="53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F100" s="53" t="str">
        <f t="shared" si="1"/>
        <v/>
      </c>
      <c r="G100" s="106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07" t="str">
        <f>IFERROR(MATCH(95,_自动清单!$Q$4:$Q$2403,0),"")</f>
        <v/>
      </c>
    </row>
    <row r="101" ht="18" customHeight="1" spans="1:32">
      <c r="A101" s="87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88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15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D101" s="89" t="str">
        <f>IF($AE101="","",IF($AE101&lt;=1200,IF(INDEX(对接源_01水果!$T$4:$T$1203,$AE101)=0,"",INDEX(对接源_01水果!$T$4:$T$1203,$AE101)),IF(INDEX(对接源_02物料!$T$4:$T$1203,$AE101-1200)=0,"",INDEX(对接源_02物料!$T$4:$T$1203,$AE101-1200))))</f>
        <v/>
      </c>
      <c r="E101" s="88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F101" s="88" t="str">
        <f t="shared" si="1"/>
        <v/>
      </c>
      <c r="G101" s="115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07" t="str">
        <f>IFERROR(MATCH(96,_自动清单!$Q$4:$Q$2403,0),"")</f>
        <v/>
      </c>
    </row>
    <row r="102" ht="18" customHeight="1" spans="1:32">
      <c r="A102" s="52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3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106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D102" s="54" t="str">
        <f>IF($AE102="","",IF($AE102&lt;=1200,IF(INDEX(对接源_01水果!$T$4:$T$1203,$AE102)=0,"",INDEX(对接源_01水果!$T$4:$T$1203,$AE102)),IF(INDEX(对接源_02物料!$T$4:$T$1203,$AE102-1200)=0,"",INDEX(对接源_02物料!$T$4:$T$1203,$AE102-1200))))</f>
        <v/>
      </c>
      <c r="E102" s="53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F102" s="53" t="str">
        <f t="shared" si="1"/>
        <v/>
      </c>
      <c r="G102" s="106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07" t="str">
        <f>IFERROR(MATCH(97,_自动清单!$Q$4:$Q$2403,0),"")</f>
        <v/>
      </c>
    </row>
    <row r="103" ht="18" customHeight="1" spans="1:32">
      <c r="A103" s="87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88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15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D103" s="89" t="str">
        <f>IF($AE103="","",IF($AE103&lt;=1200,IF(INDEX(对接源_01水果!$T$4:$T$1203,$AE103)=0,"",INDEX(对接源_01水果!$T$4:$T$1203,$AE103)),IF(INDEX(对接源_02物料!$T$4:$T$1203,$AE103-1200)=0,"",INDEX(对接源_02物料!$T$4:$T$1203,$AE103-1200))))</f>
        <v/>
      </c>
      <c r="E103" s="88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F103" s="88" t="str">
        <f t="shared" si="1"/>
        <v/>
      </c>
      <c r="G103" s="115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07" t="str">
        <f>IFERROR(MATCH(98,_自动清单!$Q$4:$Q$2403,0),"")</f>
        <v/>
      </c>
    </row>
    <row r="104" ht="18" customHeight="1" spans="1:32">
      <c r="A104" s="52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3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106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D104" s="54" t="str">
        <f>IF($AE104="","",IF($AE104&lt;=1200,IF(INDEX(对接源_01水果!$T$4:$T$1203,$AE104)=0,"",INDEX(对接源_01水果!$T$4:$T$1203,$AE104)),IF(INDEX(对接源_02物料!$T$4:$T$1203,$AE104-1200)=0,"",INDEX(对接源_02物料!$T$4:$T$1203,$AE104-1200))))</f>
        <v/>
      </c>
      <c r="E104" s="53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F104" s="53" t="str">
        <f t="shared" si="1"/>
        <v/>
      </c>
      <c r="G104" s="106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07" t="str">
        <f>IFERROR(MATCH(99,_自动清单!$Q$4:$Q$2403,0),"")</f>
        <v/>
      </c>
    </row>
    <row r="105" ht="18" customHeight="1" spans="1:32">
      <c r="A105" s="87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88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15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D105" s="89" t="str">
        <f>IF($AE105="","",IF($AE105&lt;=1200,IF(INDEX(对接源_01水果!$T$4:$T$1203,$AE105)=0,"",INDEX(对接源_01水果!$T$4:$T$1203,$AE105)),IF(INDEX(对接源_02物料!$T$4:$T$1203,$AE105-1200)=0,"",INDEX(对接源_02物料!$T$4:$T$1203,$AE105-1200))))</f>
        <v/>
      </c>
      <c r="E105" s="88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F105" s="88" t="str">
        <f t="shared" si="1"/>
        <v/>
      </c>
      <c r="G105" s="115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07" t="str">
        <f>IFERROR(MATCH(100,_自动清单!$Q$4:$Q$2403,0),"")</f>
        <v/>
      </c>
    </row>
    <row r="107" ht="24" customHeight="1" spans="1:32">
      <c r="A107" s="47" t="s">
        <v>102</v>
      </c>
      <c r="B107" s="47"/>
      <c r="C107" s="47"/>
      <c r="D107" s="47"/>
      <c r="E107" s="83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0</v>
      </c>
      <c r="F107" s="83"/>
      <c r="G107" s="83"/>
    </row>
    <row r="108" ht="30" customHeight="1" spans="1:32">
      <c r="A108" s="51" t="s">
        <v>80</v>
      </c>
      <c r="B108" s="51" t="s">
        <v>82</v>
      </c>
      <c r="C108" s="51" t="s">
        <v>81</v>
      </c>
      <c r="D108" s="51" t="s">
        <v>103</v>
      </c>
      <c r="E108" s="51" t="s">
        <v>99</v>
      </c>
      <c r="F108" s="51" t="s">
        <v>87</v>
      </c>
      <c r="G108" s="51" t="s">
        <v>88</v>
      </c>
    </row>
    <row r="109" ht="18" customHeight="1" spans="1:32">
      <c r="A109" s="52" t="str">
        <f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53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C109" s="106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D109" s="116" t="str">
        <f>IF($AF109="","",IF($AF109&lt;=1200,IF(INDEX(对接源_01水果!$U$4:$U$1203,$AF109)=0,"",INDEX(对接源_01水果!$U$4:$U$1203,$AF109)),IF(INDEX(对接源_02物料!$U$4:$U$1203,$AF109-1200)=0,"",INDEX(对接源_02物料!$U$4:$U$1203,$AF109-1200))))</f>
        <v/>
      </c>
      <c r="E109" s="53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/>
      </c>
      <c r="F109" s="53" t="str">
        <f t="shared" ref="F109:F168" si="2">IF($AF109="","",IF($AF109&lt;=1200,"01水果册","02物料册"))</f>
        <v/>
      </c>
      <c r="G109" s="106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107" t="str">
        <f>IFERROR(MATCH(1,_自动清单!$S$4:$S$2403,0),"")</f>
        <v/>
      </c>
    </row>
    <row r="110" ht="18" customHeight="1" spans="1:32">
      <c r="A110" s="87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88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C110" s="115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D110" s="117" t="str">
        <f>IF($AF110="","",IF($AF110&lt;=1200,IF(INDEX(对接源_01水果!$U$4:$U$1203,$AF110)=0,"",INDEX(对接源_01水果!$U$4:$U$1203,$AF110)),IF(INDEX(对接源_02物料!$U$4:$U$1203,$AF110-1200)=0,"",INDEX(对接源_02物料!$U$4:$U$1203,$AF110-1200))))</f>
        <v/>
      </c>
      <c r="E110" s="88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F110" s="88" t="str">
        <f t="shared" si="2"/>
        <v/>
      </c>
      <c r="G110" s="115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107" t="str">
        <f>IFERROR(MATCH(2,_自动清单!$S$4:$S$2403,0),"")</f>
        <v/>
      </c>
    </row>
    <row r="111" ht="18" customHeight="1" spans="1:32">
      <c r="A111" s="52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53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C111" s="106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D111" s="116" t="str">
        <f>IF($AF111="","",IF($AF111&lt;=1200,IF(INDEX(对接源_01水果!$U$4:$U$1203,$AF111)=0,"",INDEX(对接源_01水果!$U$4:$U$1203,$AF111)),IF(INDEX(对接源_02物料!$U$4:$U$1203,$AF111-1200)=0,"",INDEX(对接源_02物料!$U$4:$U$1203,$AF111-1200))))</f>
        <v/>
      </c>
      <c r="E111" s="53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F111" s="53" t="str">
        <f t="shared" si="2"/>
        <v/>
      </c>
      <c r="G111" s="106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107" t="str">
        <f>IFERROR(MATCH(3,_自动清单!$S$4:$S$2403,0),"")</f>
        <v/>
      </c>
    </row>
    <row r="112" ht="18" customHeight="1" spans="1:32">
      <c r="A112" s="87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88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C112" s="115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D112" s="117" t="str">
        <f>IF($AF112="","",IF($AF112&lt;=1200,IF(INDEX(对接源_01水果!$U$4:$U$1203,$AF112)=0,"",INDEX(对接源_01水果!$U$4:$U$1203,$AF112)),IF(INDEX(对接源_02物料!$U$4:$U$1203,$AF112-1200)=0,"",INDEX(对接源_02物料!$U$4:$U$1203,$AF112-1200))))</f>
        <v/>
      </c>
      <c r="E112" s="88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F112" s="88" t="str">
        <f t="shared" si="2"/>
        <v/>
      </c>
      <c r="G112" s="115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107" t="str">
        <f>IFERROR(MATCH(4,_自动清单!$S$4:$S$2403,0),"")</f>
        <v/>
      </c>
    </row>
    <row r="113" ht="18" customHeight="1" spans="1:32">
      <c r="A113" s="52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53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C113" s="106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D113" s="116" t="str">
        <f>IF($AF113="","",IF($AF113&lt;=1200,IF(INDEX(对接源_01水果!$U$4:$U$1203,$AF113)=0,"",INDEX(对接源_01水果!$U$4:$U$1203,$AF113)),IF(INDEX(对接源_02物料!$U$4:$U$1203,$AF113-1200)=0,"",INDEX(对接源_02物料!$U$4:$U$1203,$AF113-1200))))</f>
        <v/>
      </c>
      <c r="E113" s="53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F113" s="53" t="str">
        <f t="shared" si="2"/>
        <v/>
      </c>
      <c r="G113" s="106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107" t="str">
        <f>IFERROR(MATCH(5,_自动清单!$S$4:$S$2403,0),"")</f>
        <v/>
      </c>
    </row>
    <row r="114" ht="18" customHeight="1" spans="1:32">
      <c r="A114" s="87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88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C114" s="115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D114" s="117" t="str">
        <f>IF($AF114="","",IF($AF114&lt;=1200,IF(INDEX(对接源_01水果!$U$4:$U$1203,$AF114)=0,"",INDEX(对接源_01水果!$U$4:$U$1203,$AF114)),IF(INDEX(对接源_02物料!$U$4:$U$1203,$AF114-1200)=0,"",INDEX(对接源_02物料!$U$4:$U$1203,$AF114-1200))))</f>
        <v/>
      </c>
      <c r="E114" s="88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F114" s="88" t="str">
        <f t="shared" si="2"/>
        <v/>
      </c>
      <c r="G114" s="115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107" t="str">
        <f>IFERROR(MATCH(6,_自动清单!$S$4:$S$2403,0),"")</f>
        <v/>
      </c>
    </row>
    <row r="115" ht="18" customHeight="1" spans="1:32">
      <c r="A115" s="52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53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C115" s="106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D115" s="116" t="str">
        <f>IF($AF115="","",IF($AF115&lt;=1200,IF(INDEX(对接源_01水果!$U$4:$U$1203,$AF115)=0,"",INDEX(对接源_01水果!$U$4:$U$1203,$AF115)),IF(INDEX(对接源_02物料!$U$4:$U$1203,$AF115-1200)=0,"",INDEX(对接源_02物料!$U$4:$U$1203,$AF115-1200))))</f>
        <v/>
      </c>
      <c r="E115" s="53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F115" s="53" t="str">
        <f t="shared" si="2"/>
        <v/>
      </c>
      <c r="G115" s="106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107" t="str">
        <f>IFERROR(MATCH(7,_自动清单!$S$4:$S$2403,0),"")</f>
        <v/>
      </c>
    </row>
    <row r="116" ht="18" customHeight="1" spans="1:32">
      <c r="A116" s="87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88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C116" s="115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D116" s="117" t="str">
        <f>IF($AF116="","",IF($AF116&lt;=1200,IF(INDEX(对接源_01水果!$U$4:$U$1203,$AF116)=0,"",INDEX(对接源_01水果!$U$4:$U$1203,$AF116)),IF(INDEX(对接源_02物料!$U$4:$U$1203,$AF116-1200)=0,"",INDEX(对接源_02物料!$U$4:$U$1203,$AF116-1200))))</f>
        <v/>
      </c>
      <c r="E116" s="88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F116" s="88" t="str">
        <f t="shared" si="2"/>
        <v/>
      </c>
      <c r="G116" s="115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107" t="str">
        <f>IFERROR(MATCH(8,_自动清单!$S$4:$S$2403,0),"")</f>
        <v/>
      </c>
    </row>
    <row r="117" ht="18" customHeight="1" spans="1:32">
      <c r="A117" s="52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53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C117" s="106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D117" s="116" t="str">
        <f>IF($AF117="","",IF($AF117&lt;=1200,IF(INDEX(对接源_01水果!$U$4:$U$1203,$AF117)=0,"",INDEX(对接源_01水果!$U$4:$U$1203,$AF117)),IF(INDEX(对接源_02物料!$U$4:$U$1203,$AF117-1200)=0,"",INDEX(对接源_02物料!$U$4:$U$1203,$AF117-1200))))</f>
        <v/>
      </c>
      <c r="E117" s="53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F117" s="53" t="str">
        <f t="shared" si="2"/>
        <v/>
      </c>
      <c r="G117" s="106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107" t="str">
        <f>IFERROR(MATCH(9,_自动清单!$S$4:$S$2403,0),"")</f>
        <v/>
      </c>
    </row>
    <row r="118" ht="18" customHeight="1" spans="1:32">
      <c r="A118" s="87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88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C118" s="115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D118" s="117" t="str">
        <f>IF($AF118="","",IF($AF118&lt;=1200,IF(INDEX(对接源_01水果!$U$4:$U$1203,$AF118)=0,"",INDEX(对接源_01水果!$U$4:$U$1203,$AF118)),IF(INDEX(对接源_02物料!$U$4:$U$1203,$AF118-1200)=0,"",INDEX(对接源_02物料!$U$4:$U$1203,$AF118-1200))))</f>
        <v/>
      </c>
      <c r="E118" s="88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F118" s="88" t="str">
        <f t="shared" si="2"/>
        <v/>
      </c>
      <c r="G118" s="115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107" t="str">
        <f>IFERROR(MATCH(10,_自动清单!$S$4:$S$2403,0),"")</f>
        <v/>
      </c>
    </row>
    <row r="119" ht="18" customHeight="1" spans="1:32">
      <c r="A119" s="52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53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C119" s="106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D119" s="116" t="str">
        <f>IF($AF119="","",IF($AF119&lt;=1200,IF(INDEX(对接源_01水果!$U$4:$U$1203,$AF119)=0,"",INDEX(对接源_01水果!$U$4:$U$1203,$AF119)),IF(INDEX(对接源_02物料!$U$4:$U$1203,$AF119-1200)=0,"",INDEX(对接源_02物料!$U$4:$U$1203,$AF119-1200))))</f>
        <v/>
      </c>
      <c r="E119" s="53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F119" s="53" t="str">
        <f t="shared" si="2"/>
        <v/>
      </c>
      <c r="G119" s="106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107" t="str">
        <f>IFERROR(MATCH(11,_自动清单!$S$4:$S$2403,0),"")</f>
        <v/>
      </c>
    </row>
    <row r="120" ht="18" customHeight="1" spans="1:32">
      <c r="A120" s="87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88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C120" s="115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D120" s="117" t="str">
        <f>IF($AF120="","",IF($AF120&lt;=1200,IF(INDEX(对接源_01水果!$U$4:$U$1203,$AF120)=0,"",INDEX(对接源_01水果!$U$4:$U$1203,$AF120)),IF(INDEX(对接源_02物料!$U$4:$U$1203,$AF120-1200)=0,"",INDEX(对接源_02物料!$U$4:$U$1203,$AF120-1200))))</f>
        <v/>
      </c>
      <c r="E120" s="88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F120" s="88" t="str">
        <f t="shared" si="2"/>
        <v/>
      </c>
      <c r="G120" s="115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107" t="str">
        <f>IFERROR(MATCH(12,_自动清单!$S$4:$S$2403,0),"")</f>
        <v/>
      </c>
    </row>
    <row r="121" ht="18" customHeight="1" spans="1:32">
      <c r="A121" s="52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53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106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116" t="str">
        <f>IF($AF121="","",IF($AF121&lt;=1200,IF(INDEX(对接源_01水果!$U$4:$U$1203,$AF121)=0,"",INDEX(对接源_01水果!$U$4:$U$1203,$AF121)),IF(INDEX(对接源_02物料!$U$4:$U$1203,$AF121-1200)=0,"",INDEX(对接源_02物料!$U$4:$U$1203,$AF121-1200))))</f>
        <v/>
      </c>
      <c r="E121" s="53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F121" s="53" t="str">
        <f t="shared" si="2"/>
        <v/>
      </c>
      <c r="G121" s="106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107" t="str">
        <f>IFERROR(MATCH(13,_自动清单!$S$4:$S$2403,0),"")</f>
        <v/>
      </c>
    </row>
    <row r="122" ht="18" customHeight="1" spans="1:32">
      <c r="A122" s="87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88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115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117" t="str">
        <f>IF($AF122="","",IF($AF122&lt;=1200,IF(INDEX(对接源_01水果!$U$4:$U$1203,$AF122)=0,"",INDEX(对接源_01水果!$U$4:$U$1203,$AF122)),IF(INDEX(对接源_02物料!$U$4:$U$1203,$AF122-1200)=0,"",INDEX(对接源_02物料!$U$4:$U$1203,$AF122-1200))))</f>
        <v/>
      </c>
      <c r="E122" s="88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F122" s="88" t="str">
        <f t="shared" si="2"/>
        <v/>
      </c>
      <c r="G122" s="115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107" t="str">
        <f>IFERROR(MATCH(14,_自动清单!$S$4:$S$2403,0),"")</f>
        <v/>
      </c>
    </row>
    <row r="123" ht="18" customHeight="1" spans="1:32">
      <c r="A123" s="52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53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106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116" t="str">
        <f>IF($AF123="","",IF($AF123&lt;=1200,IF(INDEX(对接源_01水果!$U$4:$U$1203,$AF123)=0,"",INDEX(对接源_01水果!$U$4:$U$1203,$AF123)),IF(INDEX(对接源_02物料!$U$4:$U$1203,$AF123-1200)=0,"",INDEX(对接源_02物料!$U$4:$U$1203,$AF123-1200))))</f>
        <v/>
      </c>
      <c r="E123" s="53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F123" s="53" t="str">
        <f t="shared" si="2"/>
        <v/>
      </c>
      <c r="G123" s="106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107" t="str">
        <f>IFERROR(MATCH(15,_自动清单!$S$4:$S$2403,0),"")</f>
        <v/>
      </c>
    </row>
    <row r="124" ht="18" customHeight="1" spans="1:32">
      <c r="A124" s="87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88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115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117" t="str">
        <f>IF($AF124="","",IF($AF124&lt;=1200,IF(INDEX(对接源_01水果!$U$4:$U$1203,$AF124)=0,"",INDEX(对接源_01水果!$U$4:$U$1203,$AF124)),IF(INDEX(对接源_02物料!$U$4:$U$1203,$AF124-1200)=0,"",INDEX(对接源_02物料!$U$4:$U$1203,$AF124-1200))))</f>
        <v/>
      </c>
      <c r="E124" s="88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F124" s="88" t="str">
        <f t="shared" si="2"/>
        <v/>
      </c>
      <c r="G124" s="115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107" t="str">
        <f>IFERROR(MATCH(16,_自动清单!$S$4:$S$2403,0),"")</f>
        <v/>
      </c>
    </row>
    <row r="125" ht="18" customHeight="1" spans="1:32">
      <c r="A125" s="52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53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106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116" t="str">
        <f>IF($AF125="","",IF($AF125&lt;=1200,IF(INDEX(对接源_01水果!$U$4:$U$1203,$AF125)=0,"",INDEX(对接源_01水果!$U$4:$U$1203,$AF125)),IF(INDEX(对接源_02物料!$U$4:$U$1203,$AF125-1200)=0,"",INDEX(对接源_02物料!$U$4:$U$1203,$AF125-1200))))</f>
        <v/>
      </c>
      <c r="E125" s="53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F125" s="53" t="str">
        <f t="shared" si="2"/>
        <v/>
      </c>
      <c r="G125" s="106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107" t="str">
        <f>IFERROR(MATCH(17,_自动清单!$S$4:$S$2403,0),"")</f>
        <v/>
      </c>
    </row>
    <row r="126" ht="18" customHeight="1" spans="1:32">
      <c r="A126" s="87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88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115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117" t="str">
        <f>IF($AF126="","",IF($AF126&lt;=1200,IF(INDEX(对接源_01水果!$U$4:$U$1203,$AF126)=0,"",INDEX(对接源_01水果!$U$4:$U$1203,$AF126)),IF(INDEX(对接源_02物料!$U$4:$U$1203,$AF126-1200)=0,"",INDEX(对接源_02物料!$U$4:$U$1203,$AF126-1200))))</f>
        <v/>
      </c>
      <c r="E126" s="88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F126" s="88" t="str">
        <f t="shared" si="2"/>
        <v/>
      </c>
      <c r="G126" s="115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107" t="str">
        <f>IFERROR(MATCH(18,_自动清单!$S$4:$S$2403,0),"")</f>
        <v/>
      </c>
    </row>
    <row r="127" ht="18" customHeight="1" spans="1:32">
      <c r="A127" s="52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53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106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116" t="str">
        <f>IF($AF127="","",IF($AF127&lt;=1200,IF(INDEX(对接源_01水果!$U$4:$U$1203,$AF127)=0,"",INDEX(对接源_01水果!$U$4:$U$1203,$AF127)),IF(INDEX(对接源_02物料!$U$4:$U$1203,$AF127-1200)=0,"",INDEX(对接源_02物料!$U$4:$U$1203,$AF127-1200))))</f>
        <v/>
      </c>
      <c r="E127" s="53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F127" s="53" t="str">
        <f t="shared" si="2"/>
        <v/>
      </c>
      <c r="G127" s="106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107" t="str">
        <f>IFERROR(MATCH(19,_自动清单!$S$4:$S$2403,0),"")</f>
        <v/>
      </c>
    </row>
    <row r="128" ht="18" customHeight="1" spans="1:32">
      <c r="A128" s="87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88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115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117" t="str">
        <f>IF($AF128="","",IF($AF128&lt;=1200,IF(INDEX(对接源_01水果!$U$4:$U$1203,$AF128)=0,"",INDEX(对接源_01水果!$U$4:$U$1203,$AF128)),IF(INDEX(对接源_02物料!$U$4:$U$1203,$AF128-1200)=0,"",INDEX(对接源_02物料!$U$4:$U$1203,$AF128-1200))))</f>
        <v/>
      </c>
      <c r="E128" s="88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F128" s="88" t="str">
        <f t="shared" si="2"/>
        <v/>
      </c>
      <c r="G128" s="115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107" t="str">
        <f>IFERROR(MATCH(20,_自动清单!$S$4:$S$2403,0),"")</f>
        <v/>
      </c>
    </row>
    <row r="129" ht="18" customHeight="1" spans="1:32">
      <c r="A129" s="52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53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106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116" t="str">
        <f>IF($AF129="","",IF($AF129&lt;=1200,IF(INDEX(对接源_01水果!$U$4:$U$1203,$AF129)=0,"",INDEX(对接源_01水果!$U$4:$U$1203,$AF129)),IF(INDEX(对接源_02物料!$U$4:$U$1203,$AF129-1200)=0,"",INDEX(对接源_02物料!$U$4:$U$1203,$AF129-1200))))</f>
        <v/>
      </c>
      <c r="E129" s="53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F129" s="53" t="str">
        <f t="shared" si="2"/>
        <v/>
      </c>
      <c r="G129" s="106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107" t="str">
        <f>IFERROR(MATCH(21,_自动清单!$S$4:$S$2403,0),"")</f>
        <v/>
      </c>
    </row>
    <row r="130" ht="18" customHeight="1" spans="1:32">
      <c r="A130" s="87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88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115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117" t="str">
        <f>IF($AF130="","",IF($AF130&lt;=1200,IF(INDEX(对接源_01水果!$U$4:$U$1203,$AF130)=0,"",INDEX(对接源_01水果!$U$4:$U$1203,$AF130)),IF(INDEX(对接源_02物料!$U$4:$U$1203,$AF130-1200)=0,"",INDEX(对接源_02物料!$U$4:$U$1203,$AF130-1200))))</f>
        <v/>
      </c>
      <c r="E130" s="88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F130" s="88" t="str">
        <f t="shared" si="2"/>
        <v/>
      </c>
      <c r="G130" s="115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107" t="str">
        <f>IFERROR(MATCH(22,_自动清单!$S$4:$S$2403,0),"")</f>
        <v/>
      </c>
    </row>
    <row r="131" ht="18" customHeight="1" spans="1:32">
      <c r="A131" s="52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53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106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116" t="str">
        <f>IF($AF131="","",IF($AF131&lt;=1200,IF(INDEX(对接源_01水果!$U$4:$U$1203,$AF131)=0,"",INDEX(对接源_01水果!$U$4:$U$1203,$AF131)),IF(INDEX(对接源_02物料!$U$4:$U$1203,$AF131-1200)=0,"",INDEX(对接源_02物料!$U$4:$U$1203,$AF131-1200))))</f>
        <v/>
      </c>
      <c r="E131" s="53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F131" s="53" t="str">
        <f t="shared" si="2"/>
        <v/>
      </c>
      <c r="G131" s="106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107" t="str">
        <f>IFERROR(MATCH(23,_自动清单!$S$4:$S$2403,0),"")</f>
        <v/>
      </c>
    </row>
    <row r="132" ht="18" customHeight="1" spans="1:32">
      <c r="A132" s="87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88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115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117" t="str">
        <f>IF($AF132="","",IF($AF132&lt;=1200,IF(INDEX(对接源_01水果!$U$4:$U$1203,$AF132)=0,"",INDEX(对接源_01水果!$U$4:$U$1203,$AF132)),IF(INDEX(对接源_02物料!$U$4:$U$1203,$AF132-1200)=0,"",INDEX(对接源_02物料!$U$4:$U$1203,$AF132-1200))))</f>
        <v/>
      </c>
      <c r="E132" s="88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F132" s="88" t="str">
        <f t="shared" si="2"/>
        <v/>
      </c>
      <c r="G132" s="115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107" t="str">
        <f>IFERROR(MATCH(24,_自动清单!$S$4:$S$2403,0),"")</f>
        <v/>
      </c>
    </row>
    <row r="133" ht="18" customHeight="1" spans="1:32">
      <c r="A133" s="52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53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106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116" t="str">
        <f>IF($AF133="","",IF($AF133&lt;=1200,IF(INDEX(对接源_01水果!$U$4:$U$1203,$AF133)=0,"",INDEX(对接源_01水果!$U$4:$U$1203,$AF133)),IF(INDEX(对接源_02物料!$U$4:$U$1203,$AF133-1200)=0,"",INDEX(对接源_02物料!$U$4:$U$1203,$AF133-1200))))</f>
        <v/>
      </c>
      <c r="E133" s="53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F133" s="53" t="str">
        <f t="shared" si="2"/>
        <v/>
      </c>
      <c r="G133" s="106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107" t="str">
        <f>IFERROR(MATCH(25,_自动清单!$S$4:$S$2403,0),"")</f>
        <v/>
      </c>
    </row>
    <row r="134" ht="18" customHeight="1" spans="1:32">
      <c r="A134" s="87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88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115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117" t="str">
        <f>IF($AF134="","",IF($AF134&lt;=1200,IF(INDEX(对接源_01水果!$U$4:$U$1203,$AF134)=0,"",INDEX(对接源_01水果!$U$4:$U$1203,$AF134)),IF(INDEX(对接源_02物料!$U$4:$U$1203,$AF134-1200)=0,"",INDEX(对接源_02物料!$U$4:$U$1203,$AF134-1200))))</f>
        <v/>
      </c>
      <c r="E134" s="88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F134" s="88" t="str">
        <f t="shared" si="2"/>
        <v/>
      </c>
      <c r="G134" s="115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107" t="str">
        <f>IFERROR(MATCH(26,_自动清单!$S$4:$S$2403,0),"")</f>
        <v/>
      </c>
    </row>
    <row r="135" ht="18" customHeight="1" spans="1:32">
      <c r="A135" s="52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53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106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116" t="str">
        <f>IF($AF135="","",IF($AF135&lt;=1200,IF(INDEX(对接源_01水果!$U$4:$U$1203,$AF135)=0,"",INDEX(对接源_01水果!$U$4:$U$1203,$AF135)),IF(INDEX(对接源_02物料!$U$4:$U$1203,$AF135-1200)=0,"",INDEX(对接源_02物料!$U$4:$U$1203,$AF135-1200))))</f>
        <v/>
      </c>
      <c r="E135" s="53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F135" s="53" t="str">
        <f t="shared" si="2"/>
        <v/>
      </c>
      <c r="G135" s="106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107" t="str">
        <f>IFERROR(MATCH(27,_自动清单!$S$4:$S$2403,0),"")</f>
        <v/>
      </c>
    </row>
    <row r="136" ht="18" customHeight="1" spans="1:32">
      <c r="A136" s="87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88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115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117" t="str">
        <f>IF($AF136="","",IF($AF136&lt;=1200,IF(INDEX(对接源_01水果!$U$4:$U$1203,$AF136)=0,"",INDEX(对接源_01水果!$U$4:$U$1203,$AF136)),IF(INDEX(对接源_02物料!$U$4:$U$1203,$AF136-1200)=0,"",INDEX(对接源_02物料!$U$4:$U$1203,$AF136-1200))))</f>
        <v/>
      </c>
      <c r="E136" s="88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F136" s="88" t="str">
        <f t="shared" si="2"/>
        <v/>
      </c>
      <c r="G136" s="115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107" t="str">
        <f>IFERROR(MATCH(28,_自动清单!$S$4:$S$2403,0),"")</f>
        <v/>
      </c>
    </row>
    <row r="137" ht="18" customHeight="1" spans="1:32">
      <c r="A137" s="52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53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106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116" t="str">
        <f>IF($AF137="","",IF($AF137&lt;=1200,IF(INDEX(对接源_01水果!$U$4:$U$1203,$AF137)=0,"",INDEX(对接源_01水果!$U$4:$U$1203,$AF137)),IF(INDEX(对接源_02物料!$U$4:$U$1203,$AF137-1200)=0,"",INDEX(对接源_02物料!$U$4:$U$1203,$AF137-1200))))</f>
        <v/>
      </c>
      <c r="E137" s="53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F137" s="53" t="str">
        <f t="shared" si="2"/>
        <v/>
      </c>
      <c r="G137" s="106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107" t="str">
        <f>IFERROR(MATCH(29,_自动清单!$S$4:$S$2403,0),"")</f>
        <v/>
      </c>
    </row>
    <row r="138" ht="18" customHeight="1" spans="1:32">
      <c r="A138" s="87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88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115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117" t="str">
        <f>IF($AF138="","",IF($AF138&lt;=1200,IF(INDEX(对接源_01水果!$U$4:$U$1203,$AF138)=0,"",INDEX(对接源_01水果!$U$4:$U$1203,$AF138)),IF(INDEX(对接源_02物料!$U$4:$U$1203,$AF138-1200)=0,"",INDEX(对接源_02物料!$U$4:$U$1203,$AF138-1200))))</f>
        <v/>
      </c>
      <c r="E138" s="88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F138" s="88" t="str">
        <f t="shared" si="2"/>
        <v/>
      </c>
      <c r="G138" s="115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107" t="str">
        <f>IFERROR(MATCH(30,_自动清单!$S$4:$S$2403,0),"")</f>
        <v/>
      </c>
    </row>
    <row r="139" ht="18" customHeight="1" spans="1:32">
      <c r="A139" s="52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53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106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116" t="str">
        <f>IF($AF139="","",IF($AF139&lt;=1200,IF(INDEX(对接源_01水果!$U$4:$U$1203,$AF139)=0,"",INDEX(对接源_01水果!$U$4:$U$1203,$AF139)),IF(INDEX(对接源_02物料!$U$4:$U$1203,$AF139-1200)=0,"",INDEX(对接源_02物料!$U$4:$U$1203,$AF139-1200))))</f>
        <v/>
      </c>
      <c r="E139" s="53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F139" s="53" t="str">
        <f t="shared" si="2"/>
        <v/>
      </c>
      <c r="G139" s="106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107" t="str">
        <f>IFERROR(MATCH(31,_自动清单!$S$4:$S$2403,0),"")</f>
        <v/>
      </c>
    </row>
    <row r="140" ht="18" customHeight="1" spans="1:32">
      <c r="A140" s="87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88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115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117" t="str">
        <f>IF($AF140="","",IF($AF140&lt;=1200,IF(INDEX(对接源_01水果!$U$4:$U$1203,$AF140)=0,"",INDEX(对接源_01水果!$U$4:$U$1203,$AF140)),IF(INDEX(对接源_02物料!$U$4:$U$1203,$AF140-1200)=0,"",INDEX(对接源_02物料!$U$4:$U$1203,$AF140-1200))))</f>
        <v/>
      </c>
      <c r="E140" s="88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F140" s="88" t="str">
        <f t="shared" si="2"/>
        <v/>
      </c>
      <c r="G140" s="115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107" t="str">
        <f>IFERROR(MATCH(32,_自动清单!$S$4:$S$2403,0),"")</f>
        <v/>
      </c>
    </row>
    <row r="141" ht="18" customHeight="1" spans="1:32">
      <c r="A141" s="52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53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106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116" t="str">
        <f>IF($AF141="","",IF($AF141&lt;=1200,IF(INDEX(对接源_01水果!$U$4:$U$1203,$AF141)=0,"",INDEX(对接源_01水果!$U$4:$U$1203,$AF141)),IF(INDEX(对接源_02物料!$U$4:$U$1203,$AF141-1200)=0,"",INDEX(对接源_02物料!$U$4:$U$1203,$AF141-1200))))</f>
        <v/>
      </c>
      <c r="E141" s="53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F141" s="53" t="str">
        <f t="shared" si="2"/>
        <v/>
      </c>
      <c r="G141" s="106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107" t="str">
        <f>IFERROR(MATCH(33,_自动清单!$S$4:$S$2403,0),"")</f>
        <v/>
      </c>
    </row>
    <row r="142" ht="18" customHeight="1" spans="1:32">
      <c r="A142" s="87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88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115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117" t="str">
        <f>IF($AF142="","",IF($AF142&lt;=1200,IF(INDEX(对接源_01水果!$U$4:$U$1203,$AF142)=0,"",INDEX(对接源_01水果!$U$4:$U$1203,$AF142)),IF(INDEX(对接源_02物料!$U$4:$U$1203,$AF142-1200)=0,"",INDEX(对接源_02物料!$U$4:$U$1203,$AF142-1200))))</f>
        <v/>
      </c>
      <c r="E142" s="88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F142" s="88" t="str">
        <f t="shared" si="2"/>
        <v/>
      </c>
      <c r="G142" s="115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107" t="str">
        <f>IFERROR(MATCH(34,_自动清单!$S$4:$S$2403,0),"")</f>
        <v/>
      </c>
    </row>
    <row r="143" ht="18" customHeight="1" spans="1:32">
      <c r="A143" s="52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53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106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116" t="str">
        <f>IF($AF143="","",IF($AF143&lt;=1200,IF(INDEX(对接源_01水果!$U$4:$U$1203,$AF143)=0,"",INDEX(对接源_01水果!$U$4:$U$1203,$AF143)),IF(INDEX(对接源_02物料!$U$4:$U$1203,$AF143-1200)=0,"",INDEX(对接源_02物料!$U$4:$U$1203,$AF143-1200))))</f>
        <v/>
      </c>
      <c r="E143" s="53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F143" s="53" t="str">
        <f t="shared" si="2"/>
        <v/>
      </c>
      <c r="G143" s="106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107" t="str">
        <f>IFERROR(MATCH(35,_自动清单!$S$4:$S$2403,0),"")</f>
        <v/>
      </c>
    </row>
    <row r="144" ht="18" customHeight="1" spans="1:32">
      <c r="A144" s="87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88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115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117" t="str">
        <f>IF($AF144="","",IF($AF144&lt;=1200,IF(INDEX(对接源_01水果!$U$4:$U$1203,$AF144)=0,"",INDEX(对接源_01水果!$U$4:$U$1203,$AF144)),IF(INDEX(对接源_02物料!$U$4:$U$1203,$AF144-1200)=0,"",INDEX(对接源_02物料!$U$4:$U$1203,$AF144-1200))))</f>
        <v/>
      </c>
      <c r="E144" s="88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F144" s="88" t="str">
        <f t="shared" si="2"/>
        <v/>
      </c>
      <c r="G144" s="115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107" t="str">
        <f>IFERROR(MATCH(36,_自动清单!$S$4:$S$2403,0),"")</f>
        <v/>
      </c>
    </row>
    <row r="145" ht="18" customHeight="1" spans="1:32">
      <c r="A145" s="52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53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106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116" t="str">
        <f>IF($AF145="","",IF($AF145&lt;=1200,IF(INDEX(对接源_01水果!$U$4:$U$1203,$AF145)=0,"",INDEX(对接源_01水果!$U$4:$U$1203,$AF145)),IF(INDEX(对接源_02物料!$U$4:$U$1203,$AF145-1200)=0,"",INDEX(对接源_02物料!$U$4:$U$1203,$AF145-1200))))</f>
        <v/>
      </c>
      <c r="E145" s="53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F145" s="53" t="str">
        <f t="shared" si="2"/>
        <v/>
      </c>
      <c r="G145" s="106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107" t="str">
        <f>IFERROR(MATCH(37,_自动清单!$S$4:$S$2403,0),"")</f>
        <v/>
      </c>
    </row>
    <row r="146" ht="18" customHeight="1" spans="1:32">
      <c r="A146" s="87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88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115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117" t="str">
        <f>IF($AF146="","",IF($AF146&lt;=1200,IF(INDEX(对接源_01水果!$U$4:$U$1203,$AF146)=0,"",INDEX(对接源_01水果!$U$4:$U$1203,$AF146)),IF(INDEX(对接源_02物料!$U$4:$U$1203,$AF146-1200)=0,"",INDEX(对接源_02物料!$U$4:$U$1203,$AF146-1200))))</f>
        <v/>
      </c>
      <c r="E146" s="88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F146" s="88" t="str">
        <f t="shared" si="2"/>
        <v/>
      </c>
      <c r="G146" s="115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107" t="str">
        <f>IFERROR(MATCH(38,_自动清单!$S$4:$S$2403,0),"")</f>
        <v/>
      </c>
    </row>
    <row r="147" ht="18" customHeight="1" spans="1:32">
      <c r="A147" s="52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53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106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116" t="str">
        <f>IF($AF147="","",IF($AF147&lt;=1200,IF(INDEX(对接源_01水果!$U$4:$U$1203,$AF147)=0,"",INDEX(对接源_01水果!$U$4:$U$1203,$AF147)),IF(INDEX(对接源_02物料!$U$4:$U$1203,$AF147-1200)=0,"",INDEX(对接源_02物料!$U$4:$U$1203,$AF147-1200))))</f>
        <v/>
      </c>
      <c r="E147" s="53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F147" s="53" t="str">
        <f t="shared" si="2"/>
        <v/>
      </c>
      <c r="G147" s="106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107" t="str">
        <f>IFERROR(MATCH(39,_自动清单!$S$4:$S$2403,0),"")</f>
        <v/>
      </c>
    </row>
    <row r="148" ht="18" customHeight="1" spans="1:32">
      <c r="A148" s="87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88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115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117" t="str">
        <f>IF($AF148="","",IF($AF148&lt;=1200,IF(INDEX(对接源_01水果!$U$4:$U$1203,$AF148)=0,"",INDEX(对接源_01水果!$U$4:$U$1203,$AF148)),IF(INDEX(对接源_02物料!$U$4:$U$1203,$AF148-1200)=0,"",INDEX(对接源_02物料!$U$4:$U$1203,$AF148-1200))))</f>
        <v/>
      </c>
      <c r="E148" s="88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F148" s="88" t="str">
        <f t="shared" si="2"/>
        <v/>
      </c>
      <c r="G148" s="115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107" t="str">
        <f>IFERROR(MATCH(40,_自动清单!$S$4:$S$2403,0),"")</f>
        <v/>
      </c>
    </row>
    <row r="149" ht="18" customHeight="1" spans="1:32">
      <c r="A149" s="52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53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106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116" t="str">
        <f>IF($AF149="","",IF($AF149&lt;=1200,IF(INDEX(对接源_01水果!$U$4:$U$1203,$AF149)=0,"",INDEX(对接源_01水果!$U$4:$U$1203,$AF149)),IF(INDEX(对接源_02物料!$U$4:$U$1203,$AF149-1200)=0,"",INDEX(对接源_02物料!$U$4:$U$1203,$AF149-1200))))</f>
        <v/>
      </c>
      <c r="E149" s="53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F149" s="53" t="str">
        <f t="shared" si="2"/>
        <v/>
      </c>
      <c r="G149" s="106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107" t="str">
        <f>IFERROR(MATCH(41,_自动清单!$S$4:$S$2403,0),"")</f>
        <v/>
      </c>
    </row>
    <row r="150" ht="18" customHeight="1" spans="1:32">
      <c r="A150" s="87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88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115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117" t="str">
        <f>IF($AF150="","",IF($AF150&lt;=1200,IF(INDEX(对接源_01水果!$U$4:$U$1203,$AF150)=0,"",INDEX(对接源_01水果!$U$4:$U$1203,$AF150)),IF(INDEX(对接源_02物料!$U$4:$U$1203,$AF150-1200)=0,"",INDEX(对接源_02物料!$U$4:$U$1203,$AF150-1200))))</f>
        <v/>
      </c>
      <c r="E150" s="88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F150" s="88" t="str">
        <f t="shared" si="2"/>
        <v/>
      </c>
      <c r="G150" s="115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107" t="str">
        <f>IFERROR(MATCH(42,_自动清单!$S$4:$S$2403,0),"")</f>
        <v/>
      </c>
    </row>
    <row r="151" ht="18" customHeight="1" spans="1:32">
      <c r="A151" s="52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53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106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116" t="str">
        <f>IF($AF151="","",IF($AF151&lt;=1200,IF(INDEX(对接源_01水果!$U$4:$U$1203,$AF151)=0,"",INDEX(对接源_01水果!$U$4:$U$1203,$AF151)),IF(INDEX(对接源_02物料!$U$4:$U$1203,$AF151-1200)=0,"",INDEX(对接源_02物料!$U$4:$U$1203,$AF151-1200))))</f>
        <v/>
      </c>
      <c r="E151" s="53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F151" s="53" t="str">
        <f t="shared" si="2"/>
        <v/>
      </c>
      <c r="G151" s="106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107" t="str">
        <f>IFERROR(MATCH(43,_自动清单!$S$4:$S$2403,0),"")</f>
        <v/>
      </c>
    </row>
    <row r="152" ht="18" customHeight="1" spans="1:32">
      <c r="A152" s="87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88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115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117" t="str">
        <f>IF($AF152="","",IF($AF152&lt;=1200,IF(INDEX(对接源_01水果!$U$4:$U$1203,$AF152)=0,"",INDEX(对接源_01水果!$U$4:$U$1203,$AF152)),IF(INDEX(对接源_02物料!$U$4:$U$1203,$AF152-1200)=0,"",INDEX(对接源_02物料!$U$4:$U$1203,$AF152-1200))))</f>
        <v/>
      </c>
      <c r="E152" s="88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F152" s="88" t="str">
        <f t="shared" si="2"/>
        <v/>
      </c>
      <c r="G152" s="115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107" t="str">
        <f>IFERROR(MATCH(44,_自动清单!$S$4:$S$2403,0),"")</f>
        <v/>
      </c>
    </row>
    <row r="153" ht="18" customHeight="1" spans="1:32">
      <c r="A153" s="52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53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106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116" t="str">
        <f>IF($AF153="","",IF($AF153&lt;=1200,IF(INDEX(对接源_01水果!$U$4:$U$1203,$AF153)=0,"",INDEX(对接源_01水果!$U$4:$U$1203,$AF153)),IF(INDEX(对接源_02物料!$U$4:$U$1203,$AF153-1200)=0,"",INDEX(对接源_02物料!$U$4:$U$1203,$AF153-1200))))</f>
        <v/>
      </c>
      <c r="E153" s="53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F153" s="53" t="str">
        <f t="shared" si="2"/>
        <v/>
      </c>
      <c r="G153" s="106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107" t="str">
        <f>IFERROR(MATCH(45,_自动清单!$S$4:$S$2403,0),"")</f>
        <v/>
      </c>
    </row>
    <row r="154" ht="18" customHeight="1" spans="1:32">
      <c r="A154" s="87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88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115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117" t="str">
        <f>IF($AF154="","",IF($AF154&lt;=1200,IF(INDEX(对接源_01水果!$U$4:$U$1203,$AF154)=0,"",INDEX(对接源_01水果!$U$4:$U$1203,$AF154)),IF(INDEX(对接源_02物料!$U$4:$U$1203,$AF154-1200)=0,"",INDEX(对接源_02物料!$U$4:$U$1203,$AF154-1200))))</f>
        <v/>
      </c>
      <c r="E154" s="88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F154" s="88" t="str">
        <f t="shared" si="2"/>
        <v/>
      </c>
      <c r="G154" s="115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107" t="str">
        <f>IFERROR(MATCH(46,_自动清单!$S$4:$S$2403,0),"")</f>
        <v/>
      </c>
    </row>
    <row r="155" ht="18" customHeight="1" spans="1:32">
      <c r="A155" s="52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53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106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116" t="str">
        <f>IF($AF155="","",IF($AF155&lt;=1200,IF(INDEX(对接源_01水果!$U$4:$U$1203,$AF155)=0,"",INDEX(对接源_01水果!$U$4:$U$1203,$AF155)),IF(INDEX(对接源_02物料!$U$4:$U$1203,$AF155-1200)=0,"",INDEX(对接源_02物料!$U$4:$U$1203,$AF155-1200))))</f>
        <v/>
      </c>
      <c r="E155" s="53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F155" s="53" t="str">
        <f t="shared" si="2"/>
        <v/>
      </c>
      <c r="G155" s="106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107" t="str">
        <f>IFERROR(MATCH(47,_自动清单!$S$4:$S$2403,0),"")</f>
        <v/>
      </c>
    </row>
    <row r="156" ht="18" customHeight="1" spans="1:32">
      <c r="A156" s="87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88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115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117" t="str">
        <f>IF($AF156="","",IF($AF156&lt;=1200,IF(INDEX(对接源_01水果!$U$4:$U$1203,$AF156)=0,"",INDEX(对接源_01水果!$U$4:$U$1203,$AF156)),IF(INDEX(对接源_02物料!$U$4:$U$1203,$AF156-1200)=0,"",INDEX(对接源_02物料!$U$4:$U$1203,$AF156-1200))))</f>
        <v/>
      </c>
      <c r="E156" s="88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F156" s="88" t="str">
        <f t="shared" si="2"/>
        <v/>
      </c>
      <c r="G156" s="115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107" t="str">
        <f>IFERROR(MATCH(48,_自动清单!$S$4:$S$2403,0),"")</f>
        <v/>
      </c>
    </row>
    <row r="157" ht="18" customHeight="1" spans="1:32">
      <c r="A157" s="52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53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106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116" t="str">
        <f>IF($AF157="","",IF($AF157&lt;=1200,IF(INDEX(对接源_01水果!$U$4:$U$1203,$AF157)=0,"",INDEX(对接源_01水果!$U$4:$U$1203,$AF157)),IF(INDEX(对接源_02物料!$U$4:$U$1203,$AF157-1200)=0,"",INDEX(对接源_02物料!$U$4:$U$1203,$AF157-1200))))</f>
        <v/>
      </c>
      <c r="E157" s="53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F157" s="53" t="str">
        <f t="shared" si="2"/>
        <v/>
      </c>
      <c r="G157" s="106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107" t="str">
        <f>IFERROR(MATCH(49,_自动清单!$S$4:$S$2403,0),"")</f>
        <v/>
      </c>
    </row>
    <row r="158" ht="18" customHeight="1" spans="1:32">
      <c r="A158" s="87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88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115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117" t="str">
        <f>IF($AF158="","",IF($AF158&lt;=1200,IF(INDEX(对接源_01水果!$U$4:$U$1203,$AF158)=0,"",INDEX(对接源_01水果!$U$4:$U$1203,$AF158)),IF(INDEX(对接源_02物料!$U$4:$U$1203,$AF158-1200)=0,"",INDEX(对接源_02物料!$U$4:$U$1203,$AF158-1200))))</f>
        <v/>
      </c>
      <c r="E158" s="88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F158" s="88" t="str">
        <f t="shared" si="2"/>
        <v/>
      </c>
      <c r="G158" s="115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107" t="str">
        <f>IFERROR(MATCH(50,_自动清单!$S$4:$S$2403,0),"")</f>
        <v/>
      </c>
    </row>
    <row r="159" ht="18" customHeight="1" spans="1:32">
      <c r="A159" s="52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53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106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116" t="str">
        <f>IF($AF159="","",IF($AF159&lt;=1200,IF(INDEX(对接源_01水果!$U$4:$U$1203,$AF159)=0,"",INDEX(对接源_01水果!$U$4:$U$1203,$AF159)),IF(INDEX(对接源_02物料!$U$4:$U$1203,$AF159-1200)=0,"",INDEX(对接源_02物料!$U$4:$U$1203,$AF159-1200))))</f>
        <v/>
      </c>
      <c r="E159" s="53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F159" s="53" t="str">
        <f t="shared" si="2"/>
        <v/>
      </c>
      <c r="G159" s="106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107" t="str">
        <f>IFERROR(MATCH(51,_自动清单!$S$4:$S$2403,0),"")</f>
        <v/>
      </c>
    </row>
    <row r="160" ht="18" customHeight="1" spans="1:32">
      <c r="A160" s="87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88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115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117" t="str">
        <f>IF($AF160="","",IF($AF160&lt;=1200,IF(INDEX(对接源_01水果!$U$4:$U$1203,$AF160)=0,"",INDEX(对接源_01水果!$U$4:$U$1203,$AF160)),IF(INDEX(对接源_02物料!$U$4:$U$1203,$AF160-1200)=0,"",INDEX(对接源_02物料!$U$4:$U$1203,$AF160-1200))))</f>
        <v/>
      </c>
      <c r="E160" s="88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F160" s="88" t="str">
        <f t="shared" si="2"/>
        <v/>
      </c>
      <c r="G160" s="115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107" t="str">
        <f>IFERROR(MATCH(52,_自动清单!$S$4:$S$2403,0),"")</f>
        <v/>
      </c>
    </row>
    <row r="161" ht="18" customHeight="1" spans="1:33">
      <c r="A161" s="52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53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106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116" t="str">
        <f>IF($AF161="","",IF($AF161&lt;=1200,IF(INDEX(对接源_01水果!$U$4:$U$1203,$AF161)=0,"",INDEX(对接源_01水果!$U$4:$U$1203,$AF161)),IF(INDEX(对接源_02物料!$U$4:$U$1203,$AF161-1200)=0,"",INDEX(对接源_02物料!$U$4:$U$1203,$AF161-1200))))</f>
        <v/>
      </c>
      <c r="E161" s="53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F161" s="53" t="str">
        <f t="shared" si="2"/>
        <v/>
      </c>
      <c r="G161" s="106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107" t="str">
        <f>IFERROR(MATCH(53,_自动清单!$S$4:$S$2403,0),"")</f>
        <v/>
      </c>
    </row>
    <row r="162" ht="18" customHeight="1" spans="1:33">
      <c r="A162" s="87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88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115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117" t="str">
        <f>IF($AF162="","",IF($AF162&lt;=1200,IF(INDEX(对接源_01水果!$U$4:$U$1203,$AF162)=0,"",INDEX(对接源_01水果!$U$4:$U$1203,$AF162)),IF(INDEX(对接源_02物料!$U$4:$U$1203,$AF162-1200)=0,"",INDEX(对接源_02物料!$U$4:$U$1203,$AF162-1200))))</f>
        <v/>
      </c>
      <c r="E162" s="88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F162" s="88" t="str">
        <f t="shared" si="2"/>
        <v/>
      </c>
      <c r="G162" s="115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107" t="str">
        <f>IFERROR(MATCH(54,_自动清单!$S$4:$S$2403,0),"")</f>
        <v/>
      </c>
    </row>
    <row r="163" ht="18" customHeight="1" spans="1:33">
      <c r="A163" s="52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53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106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116" t="str">
        <f>IF($AF163="","",IF($AF163&lt;=1200,IF(INDEX(对接源_01水果!$U$4:$U$1203,$AF163)=0,"",INDEX(对接源_01水果!$U$4:$U$1203,$AF163)),IF(INDEX(对接源_02物料!$U$4:$U$1203,$AF163-1200)=0,"",INDEX(对接源_02物料!$U$4:$U$1203,$AF163-1200))))</f>
        <v/>
      </c>
      <c r="E163" s="53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F163" s="53" t="str">
        <f t="shared" si="2"/>
        <v/>
      </c>
      <c r="G163" s="106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107" t="str">
        <f>IFERROR(MATCH(55,_自动清单!$S$4:$S$2403,0),"")</f>
        <v/>
      </c>
    </row>
    <row r="164" ht="18" customHeight="1" spans="1:33">
      <c r="A164" s="87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88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115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117" t="str">
        <f>IF($AF164="","",IF($AF164&lt;=1200,IF(INDEX(对接源_01水果!$U$4:$U$1203,$AF164)=0,"",INDEX(对接源_01水果!$U$4:$U$1203,$AF164)),IF(INDEX(对接源_02物料!$U$4:$U$1203,$AF164-1200)=0,"",INDEX(对接源_02物料!$U$4:$U$1203,$AF164-1200))))</f>
        <v/>
      </c>
      <c r="E164" s="88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F164" s="88" t="str">
        <f t="shared" si="2"/>
        <v/>
      </c>
      <c r="G164" s="115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107" t="str">
        <f>IFERROR(MATCH(56,_自动清单!$S$4:$S$2403,0),"")</f>
        <v/>
      </c>
    </row>
    <row r="165" ht="18" customHeight="1" spans="1:33">
      <c r="A165" s="52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53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106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116" t="str">
        <f>IF($AF165="","",IF($AF165&lt;=1200,IF(INDEX(对接源_01水果!$U$4:$U$1203,$AF165)=0,"",INDEX(对接源_01水果!$U$4:$U$1203,$AF165)),IF(INDEX(对接源_02物料!$U$4:$U$1203,$AF165-1200)=0,"",INDEX(对接源_02物料!$U$4:$U$1203,$AF165-1200))))</f>
        <v/>
      </c>
      <c r="E165" s="53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F165" s="53" t="str">
        <f t="shared" si="2"/>
        <v/>
      </c>
      <c r="G165" s="106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107" t="str">
        <f>IFERROR(MATCH(57,_自动清单!$S$4:$S$2403,0),"")</f>
        <v/>
      </c>
    </row>
    <row r="166" ht="18" customHeight="1" spans="1:33">
      <c r="A166" s="87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88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115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117" t="str">
        <f>IF($AF166="","",IF($AF166&lt;=1200,IF(INDEX(对接源_01水果!$U$4:$U$1203,$AF166)=0,"",INDEX(对接源_01水果!$U$4:$U$1203,$AF166)),IF(INDEX(对接源_02物料!$U$4:$U$1203,$AF166-1200)=0,"",INDEX(对接源_02物料!$U$4:$U$1203,$AF166-1200))))</f>
        <v/>
      </c>
      <c r="E166" s="88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F166" s="88" t="str">
        <f t="shared" si="2"/>
        <v/>
      </c>
      <c r="G166" s="115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107" t="str">
        <f>IFERROR(MATCH(58,_自动清单!$S$4:$S$2403,0),"")</f>
        <v/>
      </c>
    </row>
    <row r="167" ht="18" customHeight="1" spans="1:33">
      <c r="A167" s="52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53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106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116" t="str">
        <f>IF($AF167="","",IF($AF167&lt;=1200,IF(INDEX(对接源_01水果!$U$4:$U$1203,$AF167)=0,"",INDEX(对接源_01水果!$U$4:$U$1203,$AF167)),IF(INDEX(对接源_02物料!$U$4:$U$1203,$AF167-1200)=0,"",INDEX(对接源_02物料!$U$4:$U$1203,$AF167-1200))))</f>
        <v/>
      </c>
      <c r="E167" s="53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F167" s="53" t="str">
        <f t="shared" si="2"/>
        <v/>
      </c>
      <c r="G167" s="106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107" t="str">
        <f>IFERROR(MATCH(59,_自动清单!$S$4:$S$2403,0),"")</f>
        <v/>
      </c>
    </row>
    <row r="168" ht="18" customHeight="1" spans="1:33">
      <c r="A168" s="87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88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115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117" t="str">
        <f>IF($AF168="","",IF($AF168&lt;=1200,IF(INDEX(对接源_01水果!$U$4:$U$1203,$AF168)=0,"",INDEX(对接源_01水果!$U$4:$U$1203,$AF168)),IF(INDEX(对接源_02物料!$U$4:$U$1203,$AF168-1200)=0,"",INDEX(对接源_02物料!$U$4:$U$1203,$AF168-1200))))</f>
        <v/>
      </c>
      <c r="E168" s="88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F168" s="88" t="str">
        <f t="shared" si="2"/>
        <v/>
      </c>
      <c r="G168" s="115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107" t="str">
        <f>IFERROR(MATCH(60,_自动清单!$S$4:$S$2403,0),"")</f>
        <v/>
      </c>
    </row>
    <row r="170" ht="24" customHeight="1" spans="1:33">
      <c r="A170" s="47" t="s">
        <v>104</v>
      </c>
      <c r="B170" s="47"/>
      <c r="C170" s="47"/>
      <c r="D170" s="47"/>
      <c r="E170" s="83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-4214</v>
      </c>
      <c r="F170" s="83"/>
      <c r="G170" s="83"/>
    </row>
    <row r="171" ht="30" customHeight="1" spans="1:33">
      <c r="A171" s="51" t="s">
        <v>80</v>
      </c>
      <c r="B171" s="51" t="s">
        <v>82</v>
      </c>
      <c r="C171" s="51" t="s">
        <v>81</v>
      </c>
      <c r="D171" s="51" t="s">
        <v>83</v>
      </c>
      <c r="E171" s="51" t="s">
        <v>99</v>
      </c>
      <c r="F171" s="51" t="s">
        <v>87</v>
      </c>
      <c r="G171" s="51" t="s">
        <v>88</v>
      </c>
    </row>
    <row r="172" ht="18" customHeight="1" spans="1:33">
      <c r="A172" s="52">
        <f>IF($AG172="","",IF($AG172&lt;=1200,IF(INDEX(对接源_01水果!$B$4:$B$1203,$AG172)=0,"",INDEX(对接源_01水果!$B$4:$B$1203,$AG172)),IF(INDEX(对接源_02物料!$B$4:$B$1203,$AG172-1200)=0,"",INDEX(对接源_02物料!$B$4:$B$1203,$AG172-1200))))</f>
        <v>46275</v>
      </c>
      <c r="B172" s="53" t="str">
        <f>IF($AG172="","",IF($AG172&lt;=1200,IF(INDEX(对接源_01水果!$E$4:$E$1203,$AG172)=0,"",INDEX(对接源_01水果!$E$4:$E$1203,$AG172)),IF(INDEX(对接源_02物料!$E$4:$E$1203,$AG172-1200)=0,"",INDEX(对接源_02物料!$E$4:$E$1203,$AG172-1200))))</f>
        <v>NO:0000768</v>
      </c>
      <c r="C172" s="106" t="str">
        <f>IF($AG172="","",IF($AG172&lt;=1200,IF(INDEX(对接源_01水果!$S$4:$S$1203,$AG172)=0,"",INDEX(对接源_01水果!$S$4:$S$1203,$AG172)),IF(INDEX(对接源_02物料!$S$4:$S$1203,$AG172-1200)=0,"",INDEX(对接源_02物料!$S$4:$S$1203,$AG172-1200))))</f>
        <v>公司红周转筐</v>
      </c>
      <c r="D172" s="116">
        <f>IF($AG172="","",IF($AG172&lt;=1200,IF(INDEX(对接源_01水果!$V$4:$V$1203,$AG172)=0,"",INDEX(对接源_01水果!$V$4:$V$1203,$AG172)),IF(INDEX(对接源_02物料!$V$4:$V$1203,$AG172-1200)=0,"",INDEX(对接源_02物料!$V$4:$V$1203,$AG172-1200))))</f>
        <v>195</v>
      </c>
      <c r="E172" s="53" t="str">
        <f>IF($AG172="","",IF($AG172&lt;=1200,IF(INDEX(对接源_01水果!$W$4:$W$1203,$AG172)=0,"",INDEX(对接源_01水果!$W$4:$W$1203,$AG172)),IF(INDEX(对接源_02物料!$W$4:$W$1203,$AG172-1200)=0,"",INDEX(对接源_02物料!$W$4:$W$1203,$AG172-1200))))</f>
        <v>新N*49209</v>
      </c>
      <c r="F172" s="53" t="str">
        <f t="shared" ref="F172:F231" si="3">IF($AG172="","",IF($AG172&lt;=1200,"01水果册","02物料册"))</f>
        <v>01水果册</v>
      </c>
      <c r="G172" s="106" t="str">
        <f>IF($AG172="","",IF($AG172&lt;=1200,IF(INDEX(对接源_01水果!$M$4:$M$1203,$AG172)=0,"",INDEX(对接源_01水果!$M$4:$M$1203,$AG172)),IF(INDEX(对接源_02物料!$M$4:$M$1203,$AG172-1200)=0,"",INDEX(对接源_02物料!$M$4:$M$1203,$AG172-1200))))</f>
        <v/>
      </c>
      <c r="AG172" s="107">
        <f>IFERROR(MATCH(1,_自动清单!$U$4:$U$2403,0),"")</f>
        <v>164</v>
      </c>
    </row>
    <row r="173" ht="18" customHeight="1" spans="1:33">
      <c r="A173" s="87">
        <f>IF($AG173="","",IF($AG173&lt;=1200,IF(INDEX(对接源_01水果!$B$4:$B$1203,$AG173)=0,"",INDEX(对接源_01水果!$B$4:$B$1203,$AG173)),IF(INDEX(对接源_02物料!$B$4:$B$1203,$AG173-1200)=0,"",INDEX(对接源_02物料!$B$4:$B$1203,$AG173-1200))))</f>
        <v>46275</v>
      </c>
      <c r="B173" s="88" t="str">
        <f>IF($AG173="","",IF($AG173&lt;=1200,IF(INDEX(对接源_01水果!$E$4:$E$1203,$AG173)=0,"",INDEX(对接源_01水果!$E$4:$E$1203,$AG173)),IF(INDEX(对接源_02物料!$E$4:$E$1203,$AG173-1200)=0,"",INDEX(对接源_02物料!$E$4:$E$1203,$AG173-1200))))</f>
        <v>NO:0000768</v>
      </c>
      <c r="C173" s="115" t="str">
        <f>IF($AG173="","",IF($AG173&lt;=1200,IF(INDEX(对接源_01水果!$S$4:$S$1203,$AG173)=0,"",INDEX(对接源_01水果!$S$4:$S$1203,$AG173)),IF(INDEX(对接源_02物料!$S$4:$S$1203,$AG173-1200)=0,"",INDEX(对接源_02物料!$S$4:$S$1203,$AG173-1200))))</f>
        <v>公司红周转筐</v>
      </c>
      <c r="D173" s="117">
        <f>IF($AG173="","",IF($AG173&lt;=1200,IF(INDEX(对接源_01水果!$V$4:$V$1203,$AG173)=0,"",INDEX(对接源_01水果!$V$4:$V$1203,$AG173)),IF(INDEX(对接源_02物料!$V$4:$V$1203,$AG173-1200)=0,"",INDEX(对接源_02物料!$V$4:$V$1203,$AG173-1200))))</f>
        <v>134</v>
      </c>
      <c r="E173" s="88" t="str">
        <f>IF($AG173="","",IF($AG173&lt;=1200,IF(INDEX(对接源_01水果!$W$4:$W$1203,$AG173)=0,"",INDEX(对接源_01水果!$W$4:$W$1203,$AG173)),IF(INDEX(对接源_02物料!$W$4:$W$1203,$AG173-1200)=0,"",INDEX(对接源_02物料!$W$4:$W$1203,$AG173-1200))))</f>
        <v>新N*49209</v>
      </c>
      <c r="F173" s="88" t="str">
        <f t="shared" si="3"/>
        <v>01水果册</v>
      </c>
      <c r="G173" s="115" t="str">
        <f>IF($AG173="","",IF($AG173&lt;=1200,IF(INDEX(对接源_01水果!$M$4:$M$1203,$AG173)=0,"",INDEX(对接源_01水果!$M$4:$M$1203,$AG173)),IF(INDEX(对接源_02物料!$M$4:$M$1203,$AG173-1200)=0,"",INDEX(对接源_02物料!$M$4:$M$1203,$AG173-1200))))</f>
        <v/>
      </c>
      <c r="AG173" s="107">
        <f>IFERROR(MATCH(2,_自动清单!$U$4:$U$2403,0),"")</f>
        <v>165</v>
      </c>
    </row>
    <row r="174" ht="18" customHeight="1" spans="1:33">
      <c r="A174" s="52">
        <f>IF($AG174="","",IF($AG174&lt;=1200,IF(INDEX(对接源_01水果!$B$4:$B$1203,$AG174)=0,"",INDEX(对接源_01水果!$B$4:$B$1203,$AG174)),IF(INDEX(对接源_02物料!$B$4:$B$1203,$AG174-1200)=0,"",INDEX(对接源_02物料!$B$4:$B$1203,$AG174-1200))))</f>
        <v>46275</v>
      </c>
      <c r="B174" s="53" t="str">
        <f>IF($AG174="","",IF($AG174&lt;=1200,IF(INDEX(对接源_01水果!$E$4:$E$1203,$AG174)=0,"",INDEX(对接源_01水果!$E$4:$E$1203,$AG174)),IF(INDEX(对接源_02物料!$E$4:$E$1203,$AG174-1200)=0,"",INDEX(对接源_02物料!$E$4:$E$1203,$AG174-1200))))</f>
        <v>NO:0000768</v>
      </c>
      <c r="C174" s="106" t="str">
        <f>IF($AG174="","",IF($AG174&lt;=1200,IF(INDEX(对接源_01水果!$S$4:$S$1203,$AG174)=0,"",INDEX(对接源_01水果!$S$4:$S$1203,$AG174)),IF(INDEX(对接源_02物料!$S$4:$S$1203,$AG174-1200)=0,"",INDEX(对接源_02物料!$S$4:$S$1203,$AG174-1200))))</f>
        <v>公司红周转筐</v>
      </c>
      <c r="D174" s="116">
        <f>IF($AG174="","",IF($AG174&lt;=1200,IF(INDEX(对接源_01水果!$V$4:$V$1203,$AG174)=0,"",INDEX(对接源_01水果!$V$4:$V$1203,$AG174)),IF(INDEX(对接源_02物料!$V$4:$V$1203,$AG174-1200)=0,"",INDEX(对接源_02物料!$V$4:$V$1203,$AG174-1200))))</f>
        <v>64</v>
      </c>
      <c r="E174" s="53" t="str">
        <f>IF($AG174="","",IF($AG174&lt;=1200,IF(INDEX(对接源_01水果!$W$4:$W$1203,$AG174)=0,"",INDEX(对接源_01水果!$W$4:$W$1203,$AG174)),IF(INDEX(对接源_02物料!$W$4:$W$1203,$AG174-1200)=0,"",INDEX(对接源_02物料!$W$4:$W$1203,$AG174-1200))))</f>
        <v>新N*49209</v>
      </c>
      <c r="F174" s="53" t="str">
        <f t="shared" si="3"/>
        <v>01水果册</v>
      </c>
      <c r="G174" s="106" t="str">
        <f>IF($AG174="","",IF($AG174&lt;=1200,IF(INDEX(对接源_01水果!$M$4:$M$1203,$AG174)=0,"",INDEX(对接源_01水果!$M$4:$M$1203,$AG174)),IF(INDEX(对接源_02物料!$M$4:$M$1203,$AG174-1200)=0,"",INDEX(对接源_02物料!$M$4:$M$1203,$AG174-1200))))</f>
        <v>押金3000元已退还</v>
      </c>
      <c r="AG174" s="107">
        <f>IFERROR(MATCH(3,_自动清单!$U$4:$U$2403,0),"")</f>
        <v>166</v>
      </c>
    </row>
    <row r="175" ht="18" customHeight="1" spans="1:33">
      <c r="A175" s="87">
        <f>IF($AG175="","",IF($AG175&lt;=1200,IF(INDEX(对接源_01水果!$B$4:$B$1203,$AG175)=0,"",INDEX(对接源_01水果!$B$4:$B$1203,$AG175)),IF(INDEX(对接源_02物料!$B$4:$B$1203,$AG175-1200)=0,"",INDEX(对接源_02物料!$B$4:$B$1203,$AG175-1200))))</f>
        <v>46277</v>
      </c>
      <c r="B175" s="88" t="str">
        <f>IF($AG175="","",IF($AG175&lt;=1200,IF(INDEX(对接源_01水果!$E$4:$E$1203,$AG175)=0,"",INDEX(对接源_01水果!$E$4:$E$1203,$AG175)),IF(INDEX(对接源_02物料!$E$4:$E$1203,$AG175-1200)=0,"",INDEX(对接源_02物料!$E$4:$E$1203,$AG175-1200))))</f>
        <v>NO:0000794</v>
      </c>
      <c r="C175" s="115" t="str">
        <f>IF($AG175="","",IF($AG175&lt;=1200,IF(INDEX(对接源_01水果!$S$4:$S$1203,$AG175)=0,"",INDEX(对接源_01水果!$S$4:$S$1203,$AG175)),IF(INDEX(对接源_02物料!$S$4:$S$1203,$AG175-1200)=0,"",INDEX(对接源_02物料!$S$4:$S$1203,$AG175-1200))))</f>
        <v>公司红周转筐</v>
      </c>
      <c r="D175" s="117">
        <f>IF($AG175="","",IF($AG175&lt;=1200,IF(INDEX(对接源_01水果!$V$4:$V$1203,$AG175)=0,"",INDEX(对接源_01水果!$V$4:$V$1203,$AG175)),IF(INDEX(对接源_02物料!$V$4:$V$1203,$AG175-1200)=0,"",INDEX(对接源_02物料!$V$4:$V$1203,$AG175-1200))))</f>
        <v>384</v>
      </c>
      <c r="E175" s="88" t="str">
        <f>IF($AG175="","",IF($AG175&lt;=1200,IF(INDEX(对接源_01水果!$W$4:$W$1203,$AG175)=0,"",INDEX(对接源_01水果!$W$4:$W$1203,$AG175)),IF(INDEX(对接源_02物料!$W$4:$W$1203,$AG175-1200)=0,"",INDEX(对接源_02物料!$W$4:$W$1203,$AG175-1200))))</f>
        <v>新N*49209</v>
      </c>
      <c r="F175" s="88" t="str">
        <f t="shared" si="3"/>
        <v>01水果册</v>
      </c>
      <c r="G175" s="115" t="str">
        <f>IF($AG175="","",IF($AG175&lt;=1200,IF(INDEX(对接源_01水果!$M$4:$M$1203,$AG175)=0,"",INDEX(对接源_01水果!$M$4:$M$1203,$AG175)),IF(INDEX(对接源_02物料!$M$4:$M$1203,$AG175-1200)=0,"",INDEX(对接源_02物料!$M$4:$M$1203,$AG175-1200))))</f>
        <v/>
      </c>
      <c r="AG175" s="107">
        <f>IFERROR(MATCH(4,_自动清单!$U$4:$U$2403,0),"")</f>
        <v>205</v>
      </c>
    </row>
    <row r="176" ht="18" customHeight="1" spans="1:33">
      <c r="A176" s="52">
        <f>IF($AG176="","",IF($AG176&lt;=1200,IF(INDEX(对接源_01水果!$B$4:$B$1203,$AG176)=0,"",INDEX(对接源_01水果!$B$4:$B$1203,$AG176)),IF(INDEX(对接源_02物料!$B$4:$B$1203,$AG176-1200)=0,"",INDEX(对接源_02物料!$B$4:$B$1203,$AG176-1200))))</f>
        <v>46277</v>
      </c>
      <c r="B176" s="53" t="str">
        <f>IF($AG176="","",IF($AG176&lt;=1200,IF(INDEX(对接源_01水果!$E$4:$E$1203,$AG176)=0,"",INDEX(对接源_01水果!$E$4:$E$1203,$AG176)),IF(INDEX(对接源_02物料!$E$4:$E$1203,$AG176-1200)=0,"",INDEX(对接源_02物料!$E$4:$E$1203,$AG176-1200))))</f>
        <v>NO:0000794</v>
      </c>
      <c r="C176" s="106" t="str">
        <f>IF($AG176="","",IF($AG176&lt;=1200,IF(INDEX(对接源_01水果!$S$4:$S$1203,$AG176)=0,"",INDEX(对接源_01水果!$S$4:$S$1203,$AG176)),IF(INDEX(对接源_02物料!$S$4:$S$1203,$AG176-1200)=0,"",INDEX(对接源_02物料!$S$4:$S$1203,$AG176-1200))))</f>
        <v>公司红周转筐</v>
      </c>
      <c r="D176" s="116">
        <f>IF($AG176="","",IF($AG176&lt;=1200,IF(INDEX(对接源_01水果!$V$4:$V$1203,$AG176)=0,"",INDEX(对接源_01水果!$V$4:$V$1203,$AG176)),IF(INDEX(对接源_02物料!$V$4:$V$1203,$AG176-1200)=0,"",INDEX(对接源_02物料!$V$4:$V$1203,$AG176-1200))))</f>
        <v>52</v>
      </c>
      <c r="E176" s="53" t="str">
        <f>IF($AG176="","",IF($AG176&lt;=1200,IF(INDEX(对接源_01水果!$W$4:$W$1203,$AG176)=0,"",INDEX(对接源_01水果!$W$4:$W$1203,$AG176)),IF(INDEX(对接源_02物料!$W$4:$W$1203,$AG176-1200)=0,"",INDEX(对接源_02物料!$W$4:$W$1203,$AG176-1200))))</f>
        <v>新N*49209</v>
      </c>
      <c r="F176" s="53" t="str">
        <f t="shared" si="3"/>
        <v>01水果册</v>
      </c>
      <c r="G176" s="106" t="str">
        <f>IF($AG176="","",IF($AG176&lt;=1200,IF(INDEX(对接源_01水果!$M$4:$M$1203,$AG176)=0,"",INDEX(对接源_01水果!$M$4:$M$1203,$AG176)),IF(INDEX(对接源_02物料!$M$4:$M$1203,$AG176-1200)=0,"",INDEX(对接源_02物料!$M$4:$M$1203,$AG176-1200))))</f>
        <v/>
      </c>
      <c r="AG176" s="107">
        <f>IFERROR(MATCH(5,_自动清单!$U$4:$U$2403,0),"")</f>
        <v>206</v>
      </c>
    </row>
    <row r="177" ht="18" customHeight="1" spans="1:33">
      <c r="A177" s="87">
        <f>IF($AG177="","",IF($AG177&lt;=1200,IF(INDEX(对接源_01水果!$B$4:$B$1203,$AG177)=0,"",INDEX(对接源_01水果!$B$4:$B$1203,$AG177)),IF(INDEX(对接源_02物料!$B$4:$B$1203,$AG177-1200)=0,"",INDEX(对接源_02物料!$B$4:$B$1203,$AG177-1200))))</f>
        <v>46277</v>
      </c>
      <c r="B177" s="88" t="str">
        <f>IF($AG177="","",IF($AG177&lt;=1200,IF(INDEX(对接源_01水果!$E$4:$E$1203,$AG177)=0,"",INDEX(对接源_01水果!$E$4:$E$1203,$AG177)),IF(INDEX(对接源_02物料!$E$4:$E$1203,$AG177-1200)=0,"",INDEX(对接源_02物料!$E$4:$E$1203,$AG177-1200))))</f>
        <v>NO:0000794</v>
      </c>
      <c r="C177" s="115" t="str">
        <f>IF($AG177="","",IF($AG177&lt;=1200,IF(INDEX(对接源_01水果!$S$4:$S$1203,$AG177)=0,"",INDEX(对接源_01水果!$S$4:$S$1203,$AG177)),IF(INDEX(对接源_02物料!$S$4:$S$1203,$AG177-1200)=0,"",INDEX(对接源_02物料!$S$4:$S$1203,$AG177-1200))))</f>
        <v>公司红周转筐</v>
      </c>
      <c r="D177" s="117">
        <f>IF($AG177="","",IF($AG177&lt;=1200,IF(INDEX(对接源_01水果!$V$4:$V$1203,$AG177)=0,"",INDEX(对接源_01水果!$V$4:$V$1203,$AG177)),IF(INDEX(对接源_02物料!$V$4:$V$1203,$AG177-1200)=0,"",INDEX(对接源_02物料!$V$4:$V$1203,$AG177-1200))))</f>
        <v>208</v>
      </c>
      <c r="E177" s="88" t="str">
        <f>IF($AG177="","",IF($AG177&lt;=1200,IF(INDEX(对接源_01水果!$W$4:$W$1203,$AG177)=0,"",INDEX(对接源_01水果!$W$4:$W$1203,$AG177)),IF(INDEX(对接源_02物料!$W$4:$W$1203,$AG177-1200)=0,"",INDEX(对接源_02物料!$W$4:$W$1203,$AG177-1200))))</f>
        <v>新N*49209</v>
      </c>
      <c r="F177" s="88" t="str">
        <f t="shared" si="3"/>
        <v>01水果册</v>
      </c>
      <c r="G177" s="115" t="str">
        <f>IF($AG177="","",IF($AG177&lt;=1200,IF(INDEX(对接源_01水果!$M$4:$M$1203,$AG177)=0,"",INDEX(对接源_01水果!$M$4:$M$1203,$AG177)),IF(INDEX(对接源_02物料!$M$4:$M$1203,$AG177-1200)=0,"",INDEX(对接源_02物料!$M$4:$M$1203,$AG177-1200))))</f>
        <v/>
      </c>
      <c r="AG177" s="107">
        <f>IFERROR(MATCH(6,_自动清单!$U$4:$U$2403,0),"")</f>
        <v>207</v>
      </c>
    </row>
    <row r="178" ht="18" customHeight="1" spans="1:33">
      <c r="A178" s="52">
        <f>IF($AG178="","",IF($AG178&lt;=1200,IF(INDEX(对接源_01水果!$B$4:$B$1203,$AG178)=0,"",INDEX(对接源_01水果!$B$4:$B$1203,$AG178)),IF(INDEX(对接源_02物料!$B$4:$B$1203,$AG178-1200)=0,"",INDEX(对接源_02物料!$B$4:$B$1203,$AG178-1200))))</f>
        <v>46279</v>
      </c>
      <c r="B178" s="53" t="str">
        <f>IF($AG178="","",IF($AG178&lt;=1200,IF(INDEX(对接源_01水果!$E$4:$E$1203,$AG178)=0,"",INDEX(对接源_01水果!$E$4:$E$1203,$AG178)),IF(INDEX(对接源_02物料!$E$4:$E$1203,$AG178-1200)=0,"",INDEX(对接源_02物料!$E$4:$E$1203,$AG178-1200))))</f>
        <v>NO:0000860</v>
      </c>
      <c r="C178" s="106" t="str">
        <f>IF($AG178="","",IF($AG178&lt;=1200,IF(INDEX(对接源_01水果!$S$4:$S$1203,$AG178)=0,"",INDEX(对接源_01水果!$S$4:$S$1203,$AG178)),IF(INDEX(对接源_02物料!$S$4:$S$1203,$AG178-1200)=0,"",INDEX(对接源_02物料!$S$4:$S$1203,$AG178-1200))))</f>
        <v>公司红周转筐</v>
      </c>
      <c r="D178" s="116">
        <f>IF($AG178="","",IF($AG178&lt;=1200,IF(INDEX(对接源_01水果!$V$4:$V$1203,$AG178)=0,"",INDEX(对接源_01水果!$V$4:$V$1203,$AG178)),IF(INDEX(对接源_02物料!$V$4:$V$1203,$AG178-1200)=0,"",INDEX(对接源_02物料!$V$4:$V$1203,$AG178-1200))))</f>
        <v>465</v>
      </c>
      <c r="E178" s="53" t="str">
        <f>IF($AG178="","",IF($AG178&lt;=1200,IF(INDEX(对接源_01水果!$W$4:$W$1203,$AG178)=0,"",INDEX(对接源_01水果!$W$4:$W$1203,$AG178)),IF(INDEX(对接源_02物料!$W$4:$W$1203,$AG178-1200)=0,"",INDEX(对接源_02物料!$W$4:$W$1203,$AG178-1200))))</f>
        <v>新N*49209</v>
      </c>
      <c r="F178" s="53" t="str">
        <f t="shared" si="3"/>
        <v>01水果册</v>
      </c>
      <c r="G178" s="106" t="str">
        <f>IF($AG178="","",IF($AG178&lt;=1200,IF(INDEX(对接源_01水果!$M$4:$M$1203,$AG178)=0,"",INDEX(对接源_01水果!$M$4:$M$1203,$AG178)),IF(INDEX(对接源_02物料!$M$4:$M$1203,$AG178-1200)=0,"",INDEX(对接源_02物料!$M$4:$M$1203,$AG178-1200))))</f>
        <v/>
      </c>
      <c r="AG178" s="107">
        <f>IFERROR(MATCH(7,_自动清单!$U$4:$U$2403,0),"")</f>
        <v>232</v>
      </c>
    </row>
    <row r="179" ht="18" customHeight="1" spans="1:33">
      <c r="A179" s="87">
        <f>IF($AG179="","",IF($AG179&lt;=1200,IF(INDEX(对接源_01水果!$B$4:$B$1203,$AG179)=0,"",INDEX(对接源_01水果!$B$4:$B$1203,$AG179)),IF(INDEX(对接源_02物料!$B$4:$B$1203,$AG179-1200)=0,"",INDEX(对接源_02物料!$B$4:$B$1203,$AG179-1200))))</f>
        <v>46279</v>
      </c>
      <c r="B179" s="88" t="str">
        <f>IF($AG179="","",IF($AG179&lt;=1200,IF(INDEX(对接源_01水果!$E$4:$E$1203,$AG179)=0,"",INDEX(对接源_01水果!$E$4:$E$1203,$AG179)),IF(INDEX(对接源_02物料!$E$4:$E$1203,$AG179-1200)=0,"",INDEX(对接源_02物料!$E$4:$E$1203,$AG179-1200))))</f>
        <v>NO:0000860</v>
      </c>
      <c r="C179" s="115" t="str">
        <f>IF($AG179="","",IF($AG179&lt;=1200,IF(INDEX(对接源_01水果!$S$4:$S$1203,$AG179)=0,"",INDEX(对接源_01水果!$S$4:$S$1203,$AG179)),IF(INDEX(对接源_02物料!$S$4:$S$1203,$AG179-1200)=0,"",INDEX(对接源_02物料!$S$4:$S$1203,$AG179-1200))))</f>
        <v>公司红周转筐</v>
      </c>
      <c r="D179" s="117">
        <f>IF($AG179="","",IF($AG179&lt;=1200,IF(INDEX(对接源_01水果!$V$4:$V$1203,$AG179)=0,"",INDEX(对接源_01水果!$V$4:$V$1203,$AG179)),IF(INDEX(对接源_02物料!$V$4:$V$1203,$AG179-1200)=0,"",INDEX(对接源_02物料!$V$4:$V$1203,$AG179-1200))))</f>
        <v>164</v>
      </c>
      <c r="E179" s="88" t="str">
        <f>IF($AG179="","",IF($AG179&lt;=1200,IF(INDEX(对接源_01水果!$W$4:$W$1203,$AG179)=0,"",INDEX(对接源_01水果!$W$4:$W$1203,$AG179)),IF(INDEX(对接源_02物料!$W$4:$W$1203,$AG179-1200)=0,"",INDEX(对接源_02物料!$W$4:$W$1203,$AG179-1200))))</f>
        <v>新N*49209</v>
      </c>
      <c r="F179" s="88" t="str">
        <f t="shared" si="3"/>
        <v>01水果册</v>
      </c>
      <c r="G179" s="115" t="str">
        <f>IF($AG179="","",IF($AG179&lt;=1200,IF(INDEX(对接源_01水果!$M$4:$M$1203,$AG179)=0,"",INDEX(对接源_01水果!$M$4:$M$1203,$AG179)),IF(INDEX(对接源_02物料!$M$4:$M$1203,$AG179-1200)=0,"",INDEX(对接源_02物料!$M$4:$M$1203,$AG179-1200))))</f>
        <v/>
      </c>
      <c r="AG179" s="107">
        <f>IFERROR(MATCH(8,_自动清单!$U$4:$U$2403,0),"")</f>
        <v>233</v>
      </c>
    </row>
    <row r="180" ht="18" customHeight="1" spans="1:33">
      <c r="A180" s="52">
        <f>IF($AG180="","",IF($AG180&lt;=1200,IF(INDEX(对接源_01水果!$B$4:$B$1203,$AG180)=0,"",INDEX(对接源_01水果!$B$4:$B$1203,$AG180)),IF(INDEX(对接源_02物料!$B$4:$B$1203,$AG180-1200)=0,"",INDEX(对接源_02物料!$B$4:$B$1203,$AG180-1200))))</f>
        <v>46279</v>
      </c>
      <c r="B180" s="53" t="str">
        <f>IF($AG180="","",IF($AG180&lt;=1200,IF(INDEX(对接源_01水果!$E$4:$E$1203,$AG180)=0,"",INDEX(对接源_01水果!$E$4:$E$1203,$AG180)),IF(INDEX(对接源_02物料!$E$4:$E$1203,$AG180-1200)=0,"",INDEX(对接源_02物料!$E$4:$E$1203,$AG180-1200))))</f>
        <v>NO:0000860</v>
      </c>
      <c r="C180" s="106" t="str">
        <f>IF($AG180="","",IF($AG180&lt;=1200,IF(INDEX(对接源_01水果!$S$4:$S$1203,$AG180)=0,"",INDEX(对接源_01水果!$S$4:$S$1203,$AG180)),IF(INDEX(对接源_02物料!$S$4:$S$1203,$AG180-1200)=0,"",INDEX(对接源_02物料!$S$4:$S$1203,$AG180-1200))))</f>
        <v>公司红周转筐</v>
      </c>
      <c r="D180" s="116">
        <f>IF($AG180="","",IF($AG180&lt;=1200,IF(INDEX(对接源_01水果!$V$4:$V$1203,$AG180)=0,"",INDEX(对接源_01水果!$V$4:$V$1203,$AG180)),IF(INDEX(对接源_02物料!$V$4:$V$1203,$AG180-1200)=0,"",INDEX(对接源_02物料!$V$4:$V$1203,$AG180-1200))))</f>
        <v>60</v>
      </c>
      <c r="E180" s="53" t="str">
        <f>IF($AG180="","",IF($AG180&lt;=1200,IF(INDEX(对接源_01水果!$W$4:$W$1203,$AG180)=0,"",INDEX(对接源_01水果!$W$4:$W$1203,$AG180)),IF(INDEX(对接源_02物料!$W$4:$W$1203,$AG180-1200)=0,"",INDEX(对接源_02物料!$W$4:$W$1203,$AG180-1200))))</f>
        <v>新N*49209</v>
      </c>
      <c r="F180" s="53" t="str">
        <f t="shared" si="3"/>
        <v>01水果册</v>
      </c>
      <c r="G180" s="106" t="str">
        <f>IF($AG180="","",IF($AG180&lt;=1200,IF(INDEX(对接源_01水果!$M$4:$M$1203,$AG180)=0,"",INDEX(对接源_01水果!$M$4:$M$1203,$AG180)),IF(INDEX(对接源_02物料!$M$4:$M$1203,$AG180-1200)=0,"",INDEX(对接源_02物料!$M$4:$M$1203,$AG180-1200))))</f>
        <v/>
      </c>
      <c r="AG180" s="107">
        <f>IFERROR(MATCH(9,_自动清单!$U$4:$U$2403,0),"")</f>
        <v>234</v>
      </c>
    </row>
    <row r="181" ht="18" customHeight="1" spans="1:33">
      <c r="A181" s="87">
        <f>IF($AG181="","",IF($AG181&lt;=1200,IF(INDEX(对接源_01水果!$B$4:$B$1203,$AG181)=0,"",INDEX(对接源_01水果!$B$4:$B$1203,$AG181)),IF(INDEX(对接源_02物料!$B$4:$B$1203,$AG181-1200)=0,"",INDEX(对接源_02物料!$B$4:$B$1203,$AG181-1200))))</f>
        <v>46280</v>
      </c>
      <c r="B181" s="88" t="str">
        <f>IF($AG181="","",IF($AG181&lt;=1200,IF(INDEX(对接源_01水果!$E$4:$E$1203,$AG181)=0,"",INDEX(对接源_01水果!$E$4:$E$1203,$AG181)),IF(INDEX(对接源_02物料!$E$4:$E$1203,$AG181-1200)=0,"",INDEX(对接源_02物料!$E$4:$E$1203,$AG181-1200))))</f>
        <v>NO:0000874</v>
      </c>
      <c r="C181" s="115" t="str">
        <f>IF($AG181="","",IF($AG181&lt;=1200,IF(INDEX(对接源_01水果!$S$4:$S$1203,$AG181)=0,"",INDEX(对接源_01水果!$S$4:$S$1203,$AG181)),IF(INDEX(对接源_02物料!$S$4:$S$1203,$AG181-1200)=0,"",INDEX(对接源_02物料!$S$4:$S$1203,$AG181-1200))))</f>
        <v>公司红周转筐</v>
      </c>
      <c r="D181" s="117">
        <f>IF($AG181="","",IF($AG181&lt;=1200,IF(INDEX(对接源_01水果!$V$4:$V$1203,$AG181)=0,"",INDEX(对接源_01水果!$V$4:$V$1203,$AG181)),IF(INDEX(对接源_02物料!$V$4:$V$1203,$AG181-1200)=0,"",INDEX(对接源_02物料!$V$4:$V$1203,$AG181-1200))))</f>
        <v>585</v>
      </c>
      <c r="E181" s="88" t="str">
        <f>IF($AG181="","",IF($AG181&lt;=1200,IF(INDEX(对接源_01水果!$W$4:$W$1203,$AG181)=0,"",INDEX(对接源_01水果!$W$4:$W$1203,$AG181)),IF(INDEX(对接源_02物料!$W$4:$W$1203,$AG181-1200)=0,"",INDEX(对接源_02物料!$W$4:$W$1203,$AG181-1200))))</f>
        <v>新N*49209</v>
      </c>
      <c r="F181" s="88" t="str">
        <f t="shared" si="3"/>
        <v>01水果册</v>
      </c>
      <c r="G181" s="115" t="str">
        <f>IF($AG181="","",IF($AG181&lt;=1200,IF(INDEX(对接源_01水果!$M$4:$M$1203,$AG181)=0,"",INDEX(对接源_01水果!$M$4:$M$1203,$AG181)),IF(INDEX(对接源_02物料!$M$4:$M$1203,$AG181-1200)=0,"",INDEX(对接源_02物料!$M$4:$M$1203,$AG181-1200))))</f>
        <v/>
      </c>
      <c r="AG181" s="107">
        <f>IFERROR(MATCH(10,_自动清单!$U$4:$U$2403,0),"")</f>
        <v>254</v>
      </c>
    </row>
    <row r="182" ht="18" customHeight="1" spans="1:33">
      <c r="A182" s="52">
        <f>IF($AG182="","",IF($AG182&lt;=1200,IF(INDEX(对接源_01水果!$B$4:$B$1203,$AG182)=0,"",INDEX(对接源_01水果!$B$4:$B$1203,$AG182)),IF(INDEX(对接源_02物料!$B$4:$B$1203,$AG182-1200)=0,"",INDEX(对接源_02物料!$B$4:$B$1203,$AG182-1200))))</f>
        <v>46280</v>
      </c>
      <c r="B182" s="53" t="str">
        <f>IF($AG182="","",IF($AG182&lt;=1200,IF(INDEX(对接源_01水果!$E$4:$E$1203,$AG182)=0,"",INDEX(对接源_01水果!$E$4:$E$1203,$AG182)),IF(INDEX(对接源_02物料!$E$4:$E$1203,$AG182-1200)=0,"",INDEX(对接源_02物料!$E$4:$E$1203,$AG182-1200))))</f>
        <v>NO:0000874</v>
      </c>
      <c r="C182" s="106" t="str">
        <f>IF($AG182="","",IF($AG182&lt;=1200,IF(INDEX(对接源_01水果!$S$4:$S$1203,$AG182)=0,"",INDEX(对接源_01水果!$S$4:$S$1203,$AG182)),IF(INDEX(对接源_02物料!$S$4:$S$1203,$AG182-1200)=0,"",INDEX(对接源_02物料!$S$4:$S$1203,$AG182-1200))))</f>
        <v>公司红周转筐</v>
      </c>
      <c r="D182" s="116">
        <f>IF($AG182="","",IF($AG182&lt;=1200,IF(INDEX(对接源_01水果!$V$4:$V$1203,$AG182)=0,"",INDEX(对接源_01水果!$V$4:$V$1203,$AG182)),IF(INDEX(对接源_02物料!$V$4:$V$1203,$AG182-1200)=0,"",INDEX(对接源_02物料!$V$4:$V$1203,$AG182-1200))))</f>
        <v>104</v>
      </c>
      <c r="E182" s="53" t="str">
        <f>IF($AG182="","",IF($AG182&lt;=1200,IF(INDEX(对接源_01水果!$W$4:$W$1203,$AG182)=0,"",INDEX(对接源_01水果!$W$4:$W$1203,$AG182)),IF(INDEX(对接源_02物料!$W$4:$W$1203,$AG182-1200)=0,"",INDEX(对接源_02物料!$W$4:$W$1203,$AG182-1200))))</f>
        <v>新N*49209</v>
      </c>
      <c r="F182" s="53" t="str">
        <f t="shared" si="3"/>
        <v>01水果册</v>
      </c>
      <c r="G182" s="106" t="str">
        <f>IF($AG182="","",IF($AG182&lt;=1200,IF(INDEX(对接源_01水果!$M$4:$M$1203,$AG182)=0,"",INDEX(对接源_01水果!$M$4:$M$1203,$AG182)),IF(INDEX(对接源_02物料!$M$4:$M$1203,$AG182-1200)=0,"",INDEX(对接源_02物料!$M$4:$M$1203,$AG182-1200))))</f>
        <v/>
      </c>
      <c r="AG182" s="107">
        <f>IFERROR(MATCH(11,_自动清单!$U$4:$U$2403,0),"")</f>
        <v>255</v>
      </c>
    </row>
    <row r="183" ht="18" customHeight="1" spans="1:33">
      <c r="A183" s="87">
        <f>IF($AG183="","",IF($AG183&lt;=1200,IF(INDEX(对接源_01水果!$B$4:$B$1203,$AG183)=0,"",INDEX(对接源_01水果!$B$4:$B$1203,$AG183)),IF(INDEX(对接源_02物料!$B$4:$B$1203,$AG183-1200)=0,"",INDEX(对接源_02物料!$B$4:$B$1203,$AG183-1200))))</f>
        <v>46281</v>
      </c>
      <c r="B183" s="88" t="str">
        <f>IF($AG183="","",IF($AG183&lt;=1200,IF(INDEX(对接源_01水果!$E$4:$E$1203,$AG183)=0,"",INDEX(对接源_01水果!$E$4:$E$1203,$AG183)),IF(INDEX(对接源_02物料!$E$4:$E$1203,$AG183-1200)=0,"",INDEX(对接源_02物料!$E$4:$E$1203,$AG183-1200))))</f>
        <v>NO:0000881</v>
      </c>
      <c r="C183" s="115" t="str">
        <f>IF($AG183="","",IF($AG183&lt;=1200,IF(INDEX(对接源_01水果!$S$4:$S$1203,$AG183)=0,"",INDEX(对接源_01水果!$S$4:$S$1203,$AG183)),IF(INDEX(对接源_02物料!$S$4:$S$1203,$AG183-1200)=0,"",INDEX(对接源_02物料!$S$4:$S$1203,$AG183-1200))))</f>
        <v>公司红周转筐</v>
      </c>
      <c r="D183" s="117">
        <f>IF($AG183="","",IF($AG183&lt;=1200,IF(INDEX(对接源_01水果!$V$4:$V$1203,$AG183)=0,"",INDEX(对接源_01水果!$V$4:$V$1203,$AG183)),IF(INDEX(对接源_02物料!$V$4:$V$1203,$AG183-1200)=0,"",INDEX(对接源_02物料!$V$4:$V$1203,$AG183-1200))))</f>
        <v>365</v>
      </c>
      <c r="E183" s="88" t="str">
        <f>IF($AG183="","",IF($AG183&lt;=1200,IF(INDEX(对接源_01水果!$W$4:$W$1203,$AG183)=0,"",INDEX(对接源_01水果!$W$4:$W$1203,$AG183)),IF(INDEX(对接源_02物料!$W$4:$W$1203,$AG183-1200)=0,"",INDEX(对接源_02物料!$W$4:$W$1203,$AG183-1200))))</f>
        <v>新N*49209</v>
      </c>
      <c r="F183" s="88" t="str">
        <f t="shared" si="3"/>
        <v>01水果册</v>
      </c>
      <c r="G183" s="115" t="str">
        <f>IF($AG183="","",IF($AG183&lt;=1200,IF(INDEX(对接源_01水果!$M$4:$M$1203,$AG183)=0,"",INDEX(对接源_01水果!$M$4:$M$1203,$AG183)),IF(INDEX(对接源_02物料!$M$4:$M$1203,$AG183-1200)=0,"",INDEX(对接源_02物料!$M$4:$M$1203,$AG183-1200))))</f>
        <v/>
      </c>
      <c r="AG183" s="107">
        <f>IFERROR(MATCH(12,_自动清单!$U$4:$U$2403,0),"")</f>
        <v>262</v>
      </c>
    </row>
    <row r="184" ht="18" customHeight="1" spans="1:33">
      <c r="A184" s="52">
        <f>IF($AG184="","",IF($AG184&lt;=1200,IF(INDEX(对接源_01水果!$B$4:$B$1203,$AG184)=0,"",INDEX(对接源_01水果!$B$4:$B$1203,$AG184)),IF(INDEX(对接源_02物料!$B$4:$B$1203,$AG184-1200)=0,"",INDEX(对接源_02物料!$B$4:$B$1203,$AG184-1200))))</f>
        <v>46281</v>
      </c>
      <c r="B184" s="53" t="str">
        <f>IF($AG184="","",IF($AG184&lt;=1200,IF(INDEX(对接源_01水果!$E$4:$E$1203,$AG184)=0,"",INDEX(对接源_01水果!$E$4:$E$1203,$AG184)),IF(INDEX(对接源_02物料!$E$4:$E$1203,$AG184-1200)=0,"",INDEX(对接源_02物料!$E$4:$E$1203,$AG184-1200))))</f>
        <v>NO:0000881</v>
      </c>
      <c r="C184" s="106" t="str">
        <f>IF($AG184="","",IF($AG184&lt;=1200,IF(INDEX(对接源_01水果!$S$4:$S$1203,$AG184)=0,"",INDEX(对接源_01水果!$S$4:$S$1203,$AG184)),IF(INDEX(对接源_02物料!$S$4:$S$1203,$AG184-1200)=0,"",INDEX(对接源_02物料!$S$4:$S$1203,$AG184-1200))))</f>
        <v>公司红周转筐</v>
      </c>
      <c r="D184" s="116">
        <f>IF($AG184="","",IF($AG184&lt;=1200,IF(INDEX(对接源_01水果!$V$4:$V$1203,$AG184)=0,"",INDEX(对接源_01水果!$V$4:$V$1203,$AG184)),IF(INDEX(对接源_02物料!$V$4:$V$1203,$AG184-1200)=0,"",INDEX(对接源_02物料!$V$4:$V$1203,$AG184-1200))))</f>
        <v>35</v>
      </c>
      <c r="E184" s="53" t="str">
        <f>IF($AG184="","",IF($AG184&lt;=1200,IF(INDEX(对接源_01水果!$W$4:$W$1203,$AG184)=0,"",INDEX(对接源_01水果!$W$4:$W$1203,$AG184)),IF(INDEX(对接源_02物料!$W$4:$W$1203,$AG184-1200)=0,"",INDEX(对接源_02物料!$W$4:$W$1203,$AG184-1200))))</f>
        <v>新N*49209</v>
      </c>
      <c r="F184" s="53" t="str">
        <f t="shared" si="3"/>
        <v>01水果册</v>
      </c>
      <c r="G184" s="106" t="str">
        <f>IF($AG184="","",IF($AG184&lt;=1200,IF(INDEX(对接源_01水果!$M$4:$M$1203,$AG184)=0,"",INDEX(对接源_01水果!$M$4:$M$1203,$AG184)),IF(INDEX(对接源_02物料!$M$4:$M$1203,$AG184-1200)=0,"",INDEX(对接源_02物料!$M$4:$M$1203,$AG184-1200))))</f>
        <v/>
      </c>
      <c r="AG184" s="107">
        <f>IFERROR(MATCH(13,_自动清单!$U$4:$U$2403,0),"")</f>
        <v>263</v>
      </c>
    </row>
    <row r="185" ht="18" customHeight="1" spans="1:33">
      <c r="A185" s="87">
        <f>IF($AG185="","",IF($AG185&lt;=1200,IF(INDEX(对接源_01水果!$B$4:$B$1203,$AG185)=0,"",INDEX(对接源_01水果!$B$4:$B$1203,$AG185)),IF(INDEX(对接源_02物料!$B$4:$B$1203,$AG185-1200)=0,"",INDEX(对接源_02物料!$B$4:$B$1203,$AG185-1200))))</f>
        <v>46281</v>
      </c>
      <c r="B185" s="88" t="str">
        <f>IF($AG185="","",IF($AG185&lt;=1200,IF(INDEX(对接源_01水果!$E$4:$E$1203,$AG185)=0,"",INDEX(对接源_01水果!$E$4:$E$1203,$AG185)),IF(INDEX(对接源_02物料!$E$4:$E$1203,$AG185-1200)=0,"",INDEX(对接源_02物料!$E$4:$E$1203,$AG185-1200))))</f>
        <v>NO:0000881</v>
      </c>
      <c r="C185" s="115" t="str">
        <f>IF($AG185="","",IF($AG185&lt;=1200,IF(INDEX(对接源_01水果!$S$4:$S$1203,$AG185)=0,"",INDEX(对接源_01水果!$S$4:$S$1203,$AG185)),IF(INDEX(对接源_02物料!$S$4:$S$1203,$AG185-1200)=0,"",INDEX(对接源_02物料!$S$4:$S$1203,$AG185-1200))))</f>
        <v>公司红周转筐</v>
      </c>
      <c r="D185" s="117">
        <f>IF($AG185="","",IF($AG185&lt;=1200,IF(INDEX(对接源_01水果!$V$4:$V$1203,$AG185)=0,"",INDEX(对接源_01水果!$V$4:$V$1203,$AG185)),IF(INDEX(对接源_02物料!$V$4:$V$1203,$AG185-1200)=0,"",INDEX(对接源_02物料!$V$4:$V$1203,$AG185-1200))))</f>
        <v>161</v>
      </c>
      <c r="E185" s="88" t="str">
        <f>IF($AG185="","",IF($AG185&lt;=1200,IF(INDEX(对接源_01水果!$W$4:$W$1203,$AG185)=0,"",INDEX(对接源_01水果!$W$4:$W$1203,$AG185)),IF(INDEX(对接源_02物料!$W$4:$W$1203,$AG185-1200)=0,"",INDEX(对接源_02物料!$W$4:$W$1203,$AG185-1200))))</f>
        <v>新N*49209</v>
      </c>
      <c r="F185" s="88" t="str">
        <f t="shared" si="3"/>
        <v>01水果册</v>
      </c>
      <c r="G185" s="115" t="str">
        <f>IF($AG185="","",IF($AG185&lt;=1200,IF(INDEX(对接源_01水果!$M$4:$M$1203,$AG185)=0,"",INDEX(对接源_01水果!$M$4:$M$1203,$AG185)),IF(INDEX(对接源_02物料!$M$4:$M$1203,$AG185-1200)=0,"",INDEX(对接源_02物料!$M$4:$M$1203,$AG185-1200))))</f>
        <v/>
      </c>
      <c r="AG185" s="107">
        <f>IFERROR(MATCH(14,_自动清单!$U$4:$U$2403,0),"")</f>
        <v>264</v>
      </c>
    </row>
    <row r="186" ht="18" customHeight="1" spans="1:33">
      <c r="A186" s="52">
        <f>IF($AG186="","",IF($AG186&lt;=1200,IF(INDEX(对接源_01水果!$B$4:$B$1203,$AG186)=0,"",INDEX(对接源_01水果!$B$4:$B$1203,$AG186)),IF(INDEX(对接源_02物料!$B$4:$B$1203,$AG186-1200)=0,"",INDEX(对接源_02物料!$B$4:$B$1203,$AG186-1200))))</f>
        <v>46282</v>
      </c>
      <c r="B186" s="53" t="str">
        <f>IF($AG186="","",IF($AG186&lt;=1200,IF(INDEX(对接源_01水果!$E$4:$E$1203,$AG186)=0,"",INDEX(对接源_01水果!$E$4:$E$1203,$AG186)),IF(INDEX(对接源_02物料!$E$4:$E$1203,$AG186-1200)=0,"",INDEX(对接源_02物料!$E$4:$E$1203,$AG186-1200))))</f>
        <v>NO:0000892</v>
      </c>
      <c r="C186" s="106" t="str">
        <f>IF($AG186="","",IF($AG186&lt;=1200,IF(INDEX(对接源_01水果!$S$4:$S$1203,$AG186)=0,"",INDEX(对接源_01水果!$S$4:$S$1203,$AG186)),IF(INDEX(对接源_02物料!$S$4:$S$1203,$AG186-1200)=0,"",INDEX(对接源_02物料!$S$4:$S$1203,$AG186-1200))))</f>
        <v>公司红周转筐</v>
      </c>
      <c r="D186" s="116">
        <f>IF($AG186="","",IF($AG186&lt;=1200,IF(INDEX(对接源_01水果!$V$4:$V$1203,$AG186)=0,"",INDEX(对接源_01水果!$V$4:$V$1203,$AG186)),IF(INDEX(对接源_02物料!$V$4:$V$1203,$AG186-1200)=0,"",INDEX(对接源_02物料!$V$4:$V$1203,$AG186-1200))))</f>
        <v>528</v>
      </c>
      <c r="E186" s="53" t="str">
        <f>IF($AG186="","",IF($AG186&lt;=1200,IF(INDEX(对接源_01水果!$W$4:$W$1203,$AG186)=0,"",INDEX(对接源_01水果!$W$4:$W$1203,$AG186)),IF(INDEX(对接源_02物料!$W$4:$W$1203,$AG186-1200)=0,"",INDEX(对接源_02物料!$W$4:$W$1203,$AG186-1200))))</f>
        <v>新N*49209</v>
      </c>
      <c r="F186" s="53" t="str">
        <f t="shared" si="3"/>
        <v>01水果册</v>
      </c>
      <c r="G186" s="106" t="str">
        <f>IF($AG186="","",IF($AG186&lt;=1200,IF(INDEX(对接源_01水果!$M$4:$M$1203,$AG186)=0,"",INDEX(对接源_01水果!$M$4:$M$1203,$AG186)),IF(INDEX(对接源_02物料!$M$4:$M$1203,$AG186-1200)=0,"",INDEX(对接源_02物料!$M$4:$M$1203,$AG186-1200))))</f>
        <v>左</v>
      </c>
      <c r="AG186" s="107">
        <f>IFERROR(MATCH(15,_自动清单!$U$4:$U$2403,0),"")</f>
        <v>280</v>
      </c>
    </row>
    <row r="187" ht="18" customHeight="1" spans="1:33">
      <c r="A187" s="87">
        <f>IF($AG187="","",IF($AG187&lt;=1200,IF(INDEX(对接源_01水果!$B$4:$B$1203,$AG187)=0,"",INDEX(对接源_01水果!$B$4:$B$1203,$AG187)),IF(INDEX(对接源_02物料!$B$4:$B$1203,$AG187-1200)=0,"",INDEX(对接源_02物料!$B$4:$B$1203,$AG187-1200))))</f>
        <v>46282</v>
      </c>
      <c r="B187" s="88" t="str">
        <f>IF($AG187="","",IF($AG187&lt;=1200,IF(INDEX(对接源_01水果!$E$4:$E$1203,$AG187)=0,"",INDEX(对接源_01水果!$E$4:$E$1203,$AG187)),IF(INDEX(对接源_02物料!$E$4:$E$1203,$AG187-1200)=0,"",INDEX(对接源_02物料!$E$4:$E$1203,$AG187-1200))))</f>
        <v>NO:0000892</v>
      </c>
      <c r="C187" s="115" t="str">
        <f>IF($AG187="","",IF($AG187&lt;=1200,IF(INDEX(对接源_01水果!$S$4:$S$1203,$AG187)=0,"",INDEX(对接源_01水果!$S$4:$S$1203,$AG187)),IF(INDEX(对接源_02物料!$S$4:$S$1203,$AG187-1200)=0,"",INDEX(对接源_02物料!$S$4:$S$1203,$AG187-1200))))</f>
        <v>公司红周转筐</v>
      </c>
      <c r="D187" s="117">
        <f>IF($AG187="","",IF($AG187&lt;=1200,IF(INDEX(对接源_01水果!$V$4:$V$1203,$AG187)=0,"",INDEX(对接源_01水果!$V$4:$V$1203,$AG187)),IF(INDEX(对接源_02物料!$V$4:$V$1203,$AG187-1200)=0,"",INDEX(对接源_02物料!$V$4:$V$1203,$AG187-1200))))</f>
        <v>21</v>
      </c>
      <c r="E187" s="88" t="str">
        <f>IF($AG187="","",IF($AG187&lt;=1200,IF(INDEX(对接源_01水果!$W$4:$W$1203,$AG187)=0,"",INDEX(对接源_01水果!$W$4:$W$1203,$AG187)),IF(INDEX(对接源_02物料!$W$4:$W$1203,$AG187-1200)=0,"",INDEX(对接源_02物料!$W$4:$W$1203,$AG187-1200))))</f>
        <v>新N*49209</v>
      </c>
      <c r="F187" s="88" t="str">
        <f t="shared" si="3"/>
        <v>01水果册</v>
      </c>
      <c r="G187" s="115" t="str">
        <f>IF($AG187="","",IF($AG187&lt;=1200,IF(INDEX(对接源_01水果!$M$4:$M$1203,$AG187)=0,"",INDEX(对接源_01水果!$M$4:$M$1203,$AG187)),IF(INDEX(对接源_02物料!$M$4:$M$1203,$AG187-1200)=0,"",INDEX(对接源_02物料!$M$4:$M$1203,$AG187-1200))))</f>
        <v>左</v>
      </c>
      <c r="AG187" s="107">
        <f>IFERROR(MATCH(16,_自动清单!$U$4:$U$2403,0),"")</f>
        <v>281</v>
      </c>
    </row>
    <row r="188" ht="18" customHeight="1" spans="1:33">
      <c r="A188" s="52">
        <f>IF($AG188="","",IF($AG188&lt;=1200,IF(INDEX(对接源_01水果!$B$4:$B$1203,$AG188)=0,"",INDEX(对接源_01水果!$B$4:$B$1203,$AG188)),IF(INDEX(对接源_02物料!$B$4:$B$1203,$AG188-1200)=0,"",INDEX(对接源_02物料!$B$4:$B$1203,$AG188-1200))))</f>
        <v>46283</v>
      </c>
      <c r="B188" s="53" t="str">
        <f>IF($AG188="","",IF($AG188&lt;=1200,IF(INDEX(对接源_01水果!$E$4:$E$1203,$AG188)=0,"",INDEX(对接源_01水果!$E$4:$E$1203,$AG188)),IF(INDEX(对接源_02物料!$E$4:$E$1203,$AG188-1200)=0,"",INDEX(对接源_02物料!$E$4:$E$1203,$AG188-1200))))</f>
        <v>NO:0000901</v>
      </c>
      <c r="C188" s="106" t="str">
        <f>IF($AG188="","",IF($AG188&lt;=1200,IF(INDEX(对接源_01水果!$S$4:$S$1203,$AG188)=0,"",INDEX(对接源_01水果!$S$4:$S$1203,$AG188)),IF(INDEX(对接源_02物料!$S$4:$S$1203,$AG188-1200)=0,"",INDEX(对接源_02物料!$S$4:$S$1203,$AG188-1200))))</f>
        <v>公司红周转筐</v>
      </c>
      <c r="D188" s="116">
        <f>IF($AG188="","",IF($AG188&lt;=1200,IF(INDEX(对接源_01水果!$V$4:$V$1203,$AG188)=0,"",INDEX(对接源_01水果!$V$4:$V$1203,$AG188)),IF(INDEX(对接源_02物料!$V$4:$V$1203,$AG188-1200)=0,"",INDEX(对接源_02物料!$V$4:$V$1203,$AG188-1200))))</f>
        <v>525</v>
      </c>
      <c r="E188" s="53" t="str">
        <f>IF($AG188="","",IF($AG188&lt;=1200,IF(INDEX(对接源_01水果!$W$4:$W$1203,$AG188)=0,"",INDEX(对接源_01水果!$W$4:$W$1203,$AG188)),IF(INDEX(对接源_02物料!$W$4:$W$1203,$AG188-1200)=0,"",INDEX(对接源_02物料!$W$4:$W$1203,$AG188-1200))))</f>
        <v>新N*49209</v>
      </c>
      <c r="F188" s="53" t="str">
        <f t="shared" si="3"/>
        <v>01水果册</v>
      </c>
      <c r="G188" s="106" t="str">
        <f>IF($AG188="","",IF($AG188&lt;=1200,IF(INDEX(对接源_01水果!$M$4:$M$1203,$AG188)=0,"",INDEX(对接源_01水果!$M$4:$M$1203,$AG188)),IF(INDEX(对接源_02物料!$M$4:$M$1203,$AG188-1200)=0,"",INDEX(对接源_02物料!$M$4:$M$1203,$AG188-1200))))</f>
        <v/>
      </c>
      <c r="AG188" s="107">
        <f>IFERROR(MATCH(17,_自动清单!$U$4:$U$2403,0),"")</f>
        <v>294</v>
      </c>
    </row>
    <row r="189" ht="18" customHeight="1" spans="1:33">
      <c r="A189" s="87">
        <f>IF($AG189="","",IF($AG189&lt;=1200,IF(INDEX(对接源_01水果!$B$4:$B$1203,$AG189)=0,"",INDEX(对接源_01水果!$B$4:$B$1203,$AG189)),IF(INDEX(对接源_02物料!$B$4:$B$1203,$AG189-1200)=0,"",INDEX(对接源_02物料!$B$4:$B$1203,$AG189-1200))))</f>
        <v>46283</v>
      </c>
      <c r="B189" s="88" t="str">
        <f>IF($AG189="","",IF($AG189&lt;=1200,IF(INDEX(对接源_01水果!$E$4:$E$1203,$AG189)=0,"",INDEX(对接源_01水果!$E$4:$E$1203,$AG189)),IF(INDEX(对接源_02物料!$E$4:$E$1203,$AG189-1200)=0,"",INDEX(对接源_02物料!$E$4:$E$1203,$AG189-1200))))</f>
        <v>NO:0000901</v>
      </c>
      <c r="C189" s="115" t="str">
        <f>IF($AG189="","",IF($AG189&lt;=1200,IF(INDEX(对接源_01水果!$S$4:$S$1203,$AG189)=0,"",INDEX(对接源_01水果!$S$4:$S$1203,$AG189)),IF(INDEX(对接源_02物料!$S$4:$S$1203,$AG189-1200)=0,"",INDEX(对接源_02物料!$S$4:$S$1203,$AG189-1200))))</f>
        <v>公司红周转筐</v>
      </c>
      <c r="D189" s="117">
        <f>IF($AG189="","",IF($AG189&lt;=1200,IF(INDEX(对接源_01水果!$V$4:$V$1203,$AG189)=0,"",INDEX(对接源_01水果!$V$4:$V$1203,$AG189)),IF(INDEX(对接源_02物料!$V$4:$V$1203,$AG189-1200)=0,"",INDEX(对接源_02物料!$V$4:$V$1203,$AG189-1200))))</f>
        <v>87</v>
      </c>
      <c r="E189" s="88" t="str">
        <f>IF($AG189="","",IF($AG189&lt;=1200,IF(INDEX(对接源_01水果!$W$4:$W$1203,$AG189)=0,"",INDEX(对接源_01水果!$W$4:$W$1203,$AG189)),IF(INDEX(对接源_02物料!$W$4:$W$1203,$AG189-1200)=0,"",INDEX(对接源_02物料!$W$4:$W$1203,$AG189-1200))))</f>
        <v>新N*49209</v>
      </c>
      <c r="F189" s="88" t="str">
        <f t="shared" si="3"/>
        <v>01水果册</v>
      </c>
      <c r="G189" s="115" t="str">
        <f>IF($AG189="","",IF($AG189&lt;=1200,IF(INDEX(对接源_01水果!$M$4:$M$1203,$AG189)=0,"",INDEX(对接源_01水果!$M$4:$M$1203,$AG189)),IF(INDEX(对接源_02物料!$M$4:$M$1203,$AG189-1200)=0,"",INDEX(对接源_02物料!$M$4:$M$1203,$AG189-1200))))</f>
        <v/>
      </c>
      <c r="AG189" s="107">
        <f>IFERROR(MATCH(18,_自动清单!$U$4:$U$2403,0),"")</f>
        <v>295</v>
      </c>
    </row>
    <row r="190" ht="18" customHeight="1" spans="1:33">
      <c r="A190" s="52">
        <f>IF($AG190="","",IF($AG190&lt;=1200,IF(INDEX(对接源_01水果!$B$4:$B$1203,$AG190)=0,"",INDEX(对接源_01水果!$B$4:$B$1203,$AG190)),IF(INDEX(对接源_02物料!$B$4:$B$1203,$AG190-1200)=0,"",INDEX(对接源_02物料!$B$4:$B$1203,$AG190-1200))))</f>
        <v>46283</v>
      </c>
      <c r="B190" s="53" t="str">
        <f>IF($AG190="","",IF($AG190&lt;=1200,IF(INDEX(对接源_01水果!$E$4:$E$1203,$AG190)=0,"",INDEX(对接源_01水果!$E$4:$E$1203,$AG190)),IF(INDEX(对接源_02物料!$E$4:$E$1203,$AG190-1200)=0,"",INDEX(对接源_02物料!$E$4:$E$1203,$AG190-1200))))</f>
        <v>NO:0000901</v>
      </c>
      <c r="C190" s="106" t="str">
        <f>IF($AG190="","",IF($AG190&lt;=1200,IF(INDEX(对接源_01水果!$S$4:$S$1203,$AG190)=0,"",INDEX(对接源_01水果!$S$4:$S$1203,$AG190)),IF(INDEX(对接源_02物料!$S$4:$S$1203,$AG190-1200)=0,"",INDEX(对接源_02物料!$S$4:$S$1203,$AG190-1200))))</f>
        <v>公司红周转筐</v>
      </c>
      <c r="D190" s="116">
        <f>IF($AG190="","",IF($AG190&lt;=1200,IF(INDEX(对接源_01水果!$V$4:$V$1203,$AG190)=0,"",INDEX(对接源_01水果!$V$4:$V$1203,$AG190)),IF(INDEX(对接源_02物料!$V$4:$V$1203,$AG190-1200)=0,"",INDEX(对接源_02物料!$V$4:$V$1203,$AG190-1200))))</f>
        <v>77</v>
      </c>
      <c r="E190" s="53" t="str">
        <f>IF($AG190="","",IF($AG190&lt;=1200,IF(INDEX(对接源_01水果!$W$4:$W$1203,$AG190)=0,"",INDEX(对接源_01水果!$W$4:$W$1203,$AG190)),IF(INDEX(对接源_02物料!$W$4:$W$1203,$AG190-1200)=0,"",INDEX(对接源_02物料!$W$4:$W$1203,$AG190-1200))))</f>
        <v>新N*49209</v>
      </c>
      <c r="F190" s="53" t="str">
        <f t="shared" si="3"/>
        <v>01水果册</v>
      </c>
      <c r="G190" s="106" t="str">
        <f>IF($AG190="","",IF($AG190&lt;=1200,IF(INDEX(对接源_01水果!$M$4:$M$1203,$AG190)=0,"",INDEX(对接源_01水果!$M$4:$M$1203,$AG190)),IF(INDEX(对接源_02物料!$M$4:$M$1203,$AG190-1200)=0,"",INDEX(对接源_02物料!$M$4:$M$1203,$AG190-1200))))</f>
        <v/>
      </c>
      <c r="AG190" s="107">
        <f>IFERROR(MATCH(19,_自动清单!$U$4:$U$2403,0),"")</f>
        <v>296</v>
      </c>
    </row>
    <row r="191" ht="18" customHeight="1" spans="1:33">
      <c r="A191" s="87" t="str">
        <f>IF($AG191="","",IF($AG191&lt;=1200,IF(INDEX(对接源_01水果!$B$4:$B$1203,$AG191)=0,"",INDEX(对接源_01水果!$B$4:$B$1203,$AG191)),IF(INDEX(对接源_02物料!$B$4:$B$1203,$AG191-1200)=0,"",INDEX(对接源_02物料!$B$4:$B$1203,$AG191-1200))))</f>
        <v/>
      </c>
      <c r="B191" s="88" t="str">
        <f>IF($AG191="","",IF($AG191&lt;=1200,IF(INDEX(对接源_01水果!$E$4:$E$1203,$AG191)=0,"",INDEX(对接源_01水果!$E$4:$E$1203,$AG191)),IF(INDEX(对接源_02物料!$E$4:$E$1203,$AG191-1200)=0,"",INDEX(对接源_02物料!$E$4:$E$1203,$AG191-1200))))</f>
        <v/>
      </c>
      <c r="C191" s="115" t="str">
        <f>IF($AG191="","",IF($AG191&lt;=1200,IF(INDEX(对接源_01水果!$S$4:$S$1203,$AG191)=0,"",INDEX(对接源_01水果!$S$4:$S$1203,$AG191)),IF(INDEX(对接源_02物料!$S$4:$S$1203,$AG191-1200)=0,"",INDEX(对接源_02物料!$S$4:$S$1203,$AG191-1200))))</f>
        <v/>
      </c>
      <c r="D191" s="117" t="str">
        <f>IF($AG191="","",IF($AG191&lt;=1200,IF(INDEX(对接源_01水果!$V$4:$V$1203,$AG191)=0,"",INDEX(对接源_01水果!$V$4:$V$1203,$AG191)),IF(INDEX(对接源_02物料!$V$4:$V$1203,$AG191-1200)=0,"",INDEX(对接源_02物料!$V$4:$V$1203,$AG191-1200))))</f>
        <v/>
      </c>
      <c r="E191" s="88" t="str">
        <f>IF($AG191="","",IF($AG191&lt;=1200,IF(INDEX(对接源_01水果!$W$4:$W$1203,$AG191)=0,"",INDEX(对接源_01水果!$W$4:$W$1203,$AG191)),IF(INDEX(对接源_02物料!$W$4:$W$1203,$AG191-1200)=0,"",INDEX(对接源_02物料!$W$4:$W$1203,$AG191-1200))))</f>
        <v/>
      </c>
      <c r="F191" s="88" t="str">
        <f t="shared" si="3"/>
        <v/>
      </c>
      <c r="G191" s="115" t="str">
        <f>IF($AG191="","",IF($AG191&lt;=1200,IF(INDEX(对接源_01水果!$M$4:$M$1203,$AG191)=0,"",INDEX(对接源_01水果!$M$4:$M$1203,$AG191)),IF(INDEX(对接源_02物料!$M$4:$M$1203,$AG191-1200)=0,"",INDEX(对接源_02物料!$M$4:$M$1203,$AG191-1200))))</f>
        <v/>
      </c>
      <c r="AG191" s="107" t="str">
        <f>IFERROR(MATCH(20,_自动清单!$U$4:$U$2403,0),"")</f>
        <v/>
      </c>
    </row>
    <row r="192" ht="18" customHeight="1" spans="1:33">
      <c r="A192" s="52" t="str">
        <f>IF($AG192="","",IF($AG192&lt;=1200,IF(INDEX(对接源_01水果!$B$4:$B$1203,$AG192)=0,"",INDEX(对接源_01水果!$B$4:$B$1203,$AG192)),IF(INDEX(对接源_02物料!$B$4:$B$1203,$AG192-1200)=0,"",INDEX(对接源_02物料!$B$4:$B$1203,$AG192-1200))))</f>
        <v/>
      </c>
      <c r="B192" s="53" t="str">
        <f>IF($AG192="","",IF($AG192&lt;=1200,IF(INDEX(对接源_01水果!$E$4:$E$1203,$AG192)=0,"",INDEX(对接源_01水果!$E$4:$E$1203,$AG192)),IF(INDEX(对接源_02物料!$E$4:$E$1203,$AG192-1200)=0,"",INDEX(对接源_02物料!$E$4:$E$1203,$AG192-1200))))</f>
        <v/>
      </c>
      <c r="C192" s="106" t="str">
        <f>IF($AG192="","",IF($AG192&lt;=1200,IF(INDEX(对接源_01水果!$S$4:$S$1203,$AG192)=0,"",INDEX(对接源_01水果!$S$4:$S$1203,$AG192)),IF(INDEX(对接源_02物料!$S$4:$S$1203,$AG192-1200)=0,"",INDEX(对接源_02物料!$S$4:$S$1203,$AG192-1200))))</f>
        <v/>
      </c>
      <c r="D192" s="116" t="str">
        <f>IF($AG192="","",IF($AG192&lt;=1200,IF(INDEX(对接源_01水果!$V$4:$V$1203,$AG192)=0,"",INDEX(对接源_01水果!$V$4:$V$1203,$AG192)),IF(INDEX(对接源_02物料!$V$4:$V$1203,$AG192-1200)=0,"",INDEX(对接源_02物料!$V$4:$V$1203,$AG192-1200))))</f>
        <v/>
      </c>
      <c r="E192" s="53" t="str">
        <f>IF($AG192="","",IF($AG192&lt;=1200,IF(INDEX(对接源_01水果!$W$4:$W$1203,$AG192)=0,"",INDEX(对接源_01水果!$W$4:$W$1203,$AG192)),IF(INDEX(对接源_02物料!$W$4:$W$1203,$AG192-1200)=0,"",INDEX(对接源_02物料!$W$4:$W$1203,$AG192-1200))))</f>
        <v/>
      </c>
      <c r="F192" s="53" t="str">
        <f t="shared" si="3"/>
        <v/>
      </c>
      <c r="G192" s="106" t="str">
        <f>IF($AG192="","",IF($AG192&lt;=1200,IF(INDEX(对接源_01水果!$M$4:$M$1203,$AG192)=0,"",INDEX(对接源_01水果!$M$4:$M$1203,$AG192)),IF(INDEX(对接源_02物料!$M$4:$M$1203,$AG192-1200)=0,"",INDEX(对接源_02物料!$M$4:$M$1203,$AG192-1200))))</f>
        <v/>
      </c>
      <c r="AG192" s="107" t="str">
        <f>IFERROR(MATCH(21,_自动清单!$U$4:$U$2403,0),"")</f>
        <v/>
      </c>
    </row>
    <row r="193" ht="18" customHeight="1" spans="1:33">
      <c r="A193" s="87" t="str">
        <f>IF($AG193="","",IF($AG193&lt;=1200,IF(INDEX(对接源_01水果!$B$4:$B$1203,$AG193)=0,"",INDEX(对接源_01水果!$B$4:$B$1203,$AG193)),IF(INDEX(对接源_02物料!$B$4:$B$1203,$AG193-1200)=0,"",INDEX(对接源_02物料!$B$4:$B$1203,$AG193-1200))))</f>
        <v/>
      </c>
      <c r="B193" s="88" t="str">
        <f>IF($AG193="","",IF($AG193&lt;=1200,IF(INDEX(对接源_01水果!$E$4:$E$1203,$AG193)=0,"",INDEX(对接源_01水果!$E$4:$E$1203,$AG193)),IF(INDEX(对接源_02物料!$E$4:$E$1203,$AG193-1200)=0,"",INDEX(对接源_02物料!$E$4:$E$1203,$AG193-1200))))</f>
        <v/>
      </c>
      <c r="C193" s="115" t="str">
        <f>IF($AG193="","",IF($AG193&lt;=1200,IF(INDEX(对接源_01水果!$S$4:$S$1203,$AG193)=0,"",INDEX(对接源_01水果!$S$4:$S$1203,$AG193)),IF(INDEX(对接源_02物料!$S$4:$S$1203,$AG193-1200)=0,"",INDEX(对接源_02物料!$S$4:$S$1203,$AG193-1200))))</f>
        <v/>
      </c>
      <c r="D193" s="117" t="str">
        <f>IF($AG193="","",IF($AG193&lt;=1200,IF(INDEX(对接源_01水果!$V$4:$V$1203,$AG193)=0,"",INDEX(对接源_01水果!$V$4:$V$1203,$AG193)),IF(INDEX(对接源_02物料!$V$4:$V$1203,$AG193-1200)=0,"",INDEX(对接源_02物料!$V$4:$V$1203,$AG193-1200))))</f>
        <v/>
      </c>
      <c r="E193" s="88" t="str">
        <f>IF($AG193="","",IF($AG193&lt;=1200,IF(INDEX(对接源_01水果!$W$4:$W$1203,$AG193)=0,"",INDEX(对接源_01水果!$W$4:$W$1203,$AG193)),IF(INDEX(对接源_02物料!$W$4:$W$1203,$AG193-1200)=0,"",INDEX(对接源_02物料!$W$4:$W$1203,$AG193-1200))))</f>
        <v/>
      </c>
      <c r="F193" s="88" t="str">
        <f t="shared" si="3"/>
        <v/>
      </c>
      <c r="G193" s="115" t="str">
        <f>IF($AG193="","",IF($AG193&lt;=1200,IF(INDEX(对接源_01水果!$M$4:$M$1203,$AG193)=0,"",INDEX(对接源_01水果!$M$4:$M$1203,$AG193)),IF(INDEX(对接源_02物料!$M$4:$M$1203,$AG193-1200)=0,"",INDEX(对接源_02物料!$M$4:$M$1203,$AG193-1200))))</f>
        <v/>
      </c>
      <c r="AG193" s="107" t="str">
        <f>IFERROR(MATCH(22,_自动清单!$U$4:$U$2403,0),"")</f>
        <v/>
      </c>
    </row>
    <row r="194" ht="18" customHeight="1" spans="1:33">
      <c r="A194" s="52" t="str">
        <f>IF($AG194="","",IF($AG194&lt;=1200,IF(INDEX(对接源_01水果!$B$4:$B$1203,$AG194)=0,"",INDEX(对接源_01水果!$B$4:$B$1203,$AG194)),IF(INDEX(对接源_02物料!$B$4:$B$1203,$AG194-1200)=0,"",INDEX(对接源_02物料!$B$4:$B$1203,$AG194-1200))))</f>
        <v/>
      </c>
      <c r="B194" s="53" t="str">
        <f>IF($AG194="","",IF($AG194&lt;=1200,IF(INDEX(对接源_01水果!$E$4:$E$1203,$AG194)=0,"",INDEX(对接源_01水果!$E$4:$E$1203,$AG194)),IF(INDEX(对接源_02物料!$E$4:$E$1203,$AG194-1200)=0,"",INDEX(对接源_02物料!$E$4:$E$1203,$AG194-1200))))</f>
        <v/>
      </c>
      <c r="C194" s="106" t="str">
        <f>IF($AG194="","",IF($AG194&lt;=1200,IF(INDEX(对接源_01水果!$S$4:$S$1203,$AG194)=0,"",INDEX(对接源_01水果!$S$4:$S$1203,$AG194)),IF(INDEX(对接源_02物料!$S$4:$S$1203,$AG194-1200)=0,"",INDEX(对接源_02物料!$S$4:$S$1203,$AG194-1200))))</f>
        <v/>
      </c>
      <c r="D194" s="116" t="str">
        <f>IF($AG194="","",IF($AG194&lt;=1200,IF(INDEX(对接源_01水果!$V$4:$V$1203,$AG194)=0,"",INDEX(对接源_01水果!$V$4:$V$1203,$AG194)),IF(INDEX(对接源_02物料!$V$4:$V$1203,$AG194-1200)=0,"",INDEX(对接源_02物料!$V$4:$V$1203,$AG194-1200))))</f>
        <v/>
      </c>
      <c r="E194" s="53" t="str">
        <f>IF($AG194="","",IF($AG194&lt;=1200,IF(INDEX(对接源_01水果!$W$4:$W$1203,$AG194)=0,"",INDEX(对接源_01水果!$W$4:$W$1203,$AG194)),IF(INDEX(对接源_02物料!$W$4:$W$1203,$AG194-1200)=0,"",INDEX(对接源_02物料!$W$4:$W$1203,$AG194-1200))))</f>
        <v/>
      </c>
      <c r="F194" s="53" t="str">
        <f t="shared" si="3"/>
        <v/>
      </c>
      <c r="G194" s="106" t="str">
        <f>IF($AG194="","",IF($AG194&lt;=1200,IF(INDEX(对接源_01水果!$M$4:$M$1203,$AG194)=0,"",INDEX(对接源_01水果!$M$4:$M$1203,$AG194)),IF(INDEX(对接源_02物料!$M$4:$M$1203,$AG194-1200)=0,"",INDEX(对接源_02物料!$M$4:$M$1203,$AG194-1200))))</f>
        <v/>
      </c>
      <c r="AG194" s="107" t="str">
        <f>IFERROR(MATCH(23,_自动清单!$U$4:$U$2403,0),"")</f>
        <v/>
      </c>
    </row>
    <row r="195" ht="18" customHeight="1" spans="1:33">
      <c r="A195" s="87" t="str">
        <f>IF($AG195="","",IF($AG195&lt;=1200,IF(INDEX(对接源_01水果!$B$4:$B$1203,$AG195)=0,"",INDEX(对接源_01水果!$B$4:$B$1203,$AG195)),IF(INDEX(对接源_02物料!$B$4:$B$1203,$AG195-1200)=0,"",INDEX(对接源_02物料!$B$4:$B$1203,$AG195-1200))))</f>
        <v/>
      </c>
      <c r="B195" s="88" t="str">
        <f>IF($AG195="","",IF($AG195&lt;=1200,IF(INDEX(对接源_01水果!$E$4:$E$1203,$AG195)=0,"",INDEX(对接源_01水果!$E$4:$E$1203,$AG195)),IF(INDEX(对接源_02物料!$E$4:$E$1203,$AG195-1200)=0,"",INDEX(对接源_02物料!$E$4:$E$1203,$AG195-1200))))</f>
        <v/>
      </c>
      <c r="C195" s="115" t="str">
        <f>IF($AG195="","",IF($AG195&lt;=1200,IF(INDEX(对接源_01水果!$S$4:$S$1203,$AG195)=0,"",INDEX(对接源_01水果!$S$4:$S$1203,$AG195)),IF(INDEX(对接源_02物料!$S$4:$S$1203,$AG195-1200)=0,"",INDEX(对接源_02物料!$S$4:$S$1203,$AG195-1200))))</f>
        <v/>
      </c>
      <c r="D195" s="117" t="str">
        <f>IF($AG195="","",IF($AG195&lt;=1200,IF(INDEX(对接源_01水果!$V$4:$V$1203,$AG195)=0,"",INDEX(对接源_01水果!$V$4:$V$1203,$AG195)),IF(INDEX(对接源_02物料!$V$4:$V$1203,$AG195-1200)=0,"",INDEX(对接源_02物料!$V$4:$V$1203,$AG195-1200))))</f>
        <v/>
      </c>
      <c r="E195" s="88" t="str">
        <f>IF($AG195="","",IF($AG195&lt;=1200,IF(INDEX(对接源_01水果!$W$4:$W$1203,$AG195)=0,"",INDEX(对接源_01水果!$W$4:$W$1203,$AG195)),IF(INDEX(对接源_02物料!$W$4:$W$1203,$AG195-1200)=0,"",INDEX(对接源_02物料!$W$4:$W$1203,$AG195-1200))))</f>
        <v/>
      </c>
      <c r="F195" s="88" t="str">
        <f t="shared" si="3"/>
        <v/>
      </c>
      <c r="G195" s="115" t="str">
        <f>IF($AG195="","",IF($AG195&lt;=1200,IF(INDEX(对接源_01水果!$M$4:$M$1203,$AG195)=0,"",INDEX(对接源_01水果!$M$4:$M$1203,$AG195)),IF(INDEX(对接源_02物料!$M$4:$M$1203,$AG195-1200)=0,"",INDEX(对接源_02物料!$M$4:$M$1203,$AG195-1200))))</f>
        <v/>
      </c>
      <c r="AG195" s="107" t="str">
        <f>IFERROR(MATCH(24,_自动清单!$U$4:$U$2403,0),"")</f>
        <v/>
      </c>
    </row>
    <row r="196" ht="18" customHeight="1" spans="1:33">
      <c r="A196" s="52" t="str">
        <f>IF($AG196="","",IF($AG196&lt;=1200,IF(INDEX(对接源_01水果!$B$4:$B$1203,$AG196)=0,"",INDEX(对接源_01水果!$B$4:$B$1203,$AG196)),IF(INDEX(对接源_02物料!$B$4:$B$1203,$AG196-1200)=0,"",INDEX(对接源_02物料!$B$4:$B$1203,$AG196-1200))))</f>
        <v/>
      </c>
      <c r="B196" s="53" t="str">
        <f>IF($AG196="","",IF($AG196&lt;=1200,IF(INDEX(对接源_01水果!$E$4:$E$1203,$AG196)=0,"",INDEX(对接源_01水果!$E$4:$E$1203,$AG196)),IF(INDEX(对接源_02物料!$E$4:$E$1203,$AG196-1200)=0,"",INDEX(对接源_02物料!$E$4:$E$1203,$AG196-1200))))</f>
        <v/>
      </c>
      <c r="C196" s="106" t="str">
        <f>IF($AG196="","",IF($AG196&lt;=1200,IF(INDEX(对接源_01水果!$S$4:$S$1203,$AG196)=0,"",INDEX(对接源_01水果!$S$4:$S$1203,$AG196)),IF(INDEX(对接源_02物料!$S$4:$S$1203,$AG196-1200)=0,"",INDEX(对接源_02物料!$S$4:$S$1203,$AG196-1200))))</f>
        <v/>
      </c>
      <c r="D196" s="116" t="str">
        <f>IF($AG196="","",IF($AG196&lt;=1200,IF(INDEX(对接源_01水果!$V$4:$V$1203,$AG196)=0,"",INDEX(对接源_01水果!$V$4:$V$1203,$AG196)),IF(INDEX(对接源_02物料!$V$4:$V$1203,$AG196-1200)=0,"",INDEX(对接源_02物料!$V$4:$V$1203,$AG196-1200))))</f>
        <v/>
      </c>
      <c r="E196" s="53" t="str">
        <f>IF($AG196="","",IF($AG196&lt;=1200,IF(INDEX(对接源_01水果!$W$4:$W$1203,$AG196)=0,"",INDEX(对接源_01水果!$W$4:$W$1203,$AG196)),IF(INDEX(对接源_02物料!$W$4:$W$1203,$AG196-1200)=0,"",INDEX(对接源_02物料!$W$4:$W$1203,$AG196-1200))))</f>
        <v/>
      </c>
      <c r="F196" s="53" t="str">
        <f t="shared" si="3"/>
        <v/>
      </c>
      <c r="G196" s="106" t="str">
        <f>IF($AG196="","",IF($AG196&lt;=1200,IF(INDEX(对接源_01水果!$M$4:$M$1203,$AG196)=0,"",INDEX(对接源_01水果!$M$4:$M$1203,$AG196)),IF(INDEX(对接源_02物料!$M$4:$M$1203,$AG196-1200)=0,"",INDEX(对接源_02物料!$M$4:$M$1203,$AG196-1200))))</f>
        <v/>
      </c>
      <c r="AG196" s="107" t="str">
        <f>IFERROR(MATCH(25,_自动清单!$U$4:$U$2403,0),"")</f>
        <v/>
      </c>
    </row>
    <row r="197" ht="18" customHeight="1" spans="1:33">
      <c r="A197" s="87" t="str">
        <f>IF($AG197="","",IF($AG197&lt;=1200,IF(INDEX(对接源_01水果!$B$4:$B$1203,$AG197)=0,"",INDEX(对接源_01水果!$B$4:$B$1203,$AG197)),IF(INDEX(对接源_02物料!$B$4:$B$1203,$AG197-1200)=0,"",INDEX(对接源_02物料!$B$4:$B$1203,$AG197-1200))))</f>
        <v/>
      </c>
      <c r="B197" s="88" t="str">
        <f>IF($AG197="","",IF($AG197&lt;=1200,IF(INDEX(对接源_01水果!$E$4:$E$1203,$AG197)=0,"",INDEX(对接源_01水果!$E$4:$E$1203,$AG197)),IF(INDEX(对接源_02物料!$E$4:$E$1203,$AG197-1200)=0,"",INDEX(对接源_02物料!$E$4:$E$1203,$AG197-1200))))</f>
        <v/>
      </c>
      <c r="C197" s="115" t="str">
        <f>IF($AG197="","",IF($AG197&lt;=1200,IF(INDEX(对接源_01水果!$S$4:$S$1203,$AG197)=0,"",INDEX(对接源_01水果!$S$4:$S$1203,$AG197)),IF(INDEX(对接源_02物料!$S$4:$S$1203,$AG197-1200)=0,"",INDEX(对接源_02物料!$S$4:$S$1203,$AG197-1200))))</f>
        <v/>
      </c>
      <c r="D197" s="117" t="str">
        <f>IF($AG197="","",IF($AG197&lt;=1200,IF(INDEX(对接源_01水果!$V$4:$V$1203,$AG197)=0,"",INDEX(对接源_01水果!$V$4:$V$1203,$AG197)),IF(INDEX(对接源_02物料!$V$4:$V$1203,$AG197-1200)=0,"",INDEX(对接源_02物料!$V$4:$V$1203,$AG197-1200))))</f>
        <v/>
      </c>
      <c r="E197" s="88" t="str">
        <f>IF($AG197="","",IF($AG197&lt;=1200,IF(INDEX(对接源_01水果!$W$4:$W$1203,$AG197)=0,"",INDEX(对接源_01水果!$W$4:$W$1203,$AG197)),IF(INDEX(对接源_02物料!$W$4:$W$1203,$AG197-1200)=0,"",INDEX(对接源_02物料!$W$4:$W$1203,$AG197-1200))))</f>
        <v/>
      </c>
      <c r="F197" s="88" t="str">
        <f t="shared" si="3"/>
        <v/>
      </c>
      <c r="G197" s="115" t="str">
        <f>IF($AG197="","",IF($AG197&lt;=1200,IF(INDEX(对接源_01水果!$M$4:$M$1203,$AG197)=0,"",INDEX(对接源_01水果!$M$4:$M$1203,$AG197)),IF(INDEX(对接源_02物料!$M$4:$M$1203,$AG197-1200)=0,"",INDEX(对接源_02物料!$M$4:$M$1203,$AG197-1200))))</f>
        <v/>
      </c>
      <c r="AG197" s="107" t="str">
        <f>IFERROR(MATCH(26,_自动清单!$U$4:$U$2403,0),"")</f>
        <v/>
      </c>
    </row>
    <row r="198" ht="18" customHeight="1" spans="1:33">
      <c r="A198" s="52" t="str">
        <f>IF($AG198="","",IF($AG198&lt;=1200,IF(INDEX(对接源_01水果!$B$4:$B$1203,$AG198)=0,"",INDEX(对接源_01水果!$B$4:$B$1203,$AG198)),IF(INDEX(对接源_02物料!$B$4:$B$1203,$AG198-1200)=0,"",INDEX(对接源_02物料!$B$4:$B$1203,$AG198-1200))))</f>
        <v/>
      </c>
      <c r="B198" s="53" t="str">
        <f>IF($AG198="","",IF($AG198&lt;=1200,IF(INDEX(对接源_01水果!$E$4:$E$1203,$AG198)=0,"",INDEX(对接源_01水果!$E$4:$E$1203,$AG198)),IF(INDEX(对接源_02物料!$E$4:$E$1203,$AG198-1200)=0,"",INDEX(对接源_02物料!$E$4:$E$1203,$AG198-1200))))</f>
        <v/>
      </c>
      <c r="C198" s="106" t="str">
        <f>IF($AG198="","",IF($AG198&lt;=1200,IF(INDEX(对接源_01水果!$S$4:$S$1203,$AG198)=0,"",INDEX(对接源_01水果!$S$4:$S$1203,$AG198)),IF(INDEX(对接源_02物料!$S$4:$S$1203,$AG198-1200)=0,"",INDEX(对接源_02物料!$S$4:$S$1203,$AG198-1200))))</f>
        <v/>
      </c>
      <c r="D198" s="116" t="str">
        <f>IF($AG198="","",IF($AG198&lt;=1200,IF(INDEX(对接源_01水果!$V$4:$V$1203,$AG198)=0,"",INDEX(对接源_01水果!$V$4:$V$1203,$AG198)),IF(INDEX(对接源_02物料!$V$4:$V$1203,$AG198-1200)=0,"",INDEX(对接源_02物料!$V$4:$V$1203,$AG198-1200))))</f>
        <v/>
      </c>
      <c r="E198" s="53" t="str">
        <f>IF($AG198="","",IF($AG198&lt;=1200,IF(INDEX(对接源_01水果!$W$4:$W$1203,$AG198)=0,"",INDEX(对接源_01水果!$W$4:$W$1203,$AG198)),IF(INDEX(对接源_02物料!$W$4:$W$1203,$AG198-1200)=0,"",INDEX(对接源_02物料!$W$4:$W$1203,$AG198-1200))))</f>
        <v/>
      </c>
      <c r="F198" s="53" t="str">
        <f t="shared" si="3"/>
        <v/>
      </c>
      <c r="G198" s="106" t="str">
        <f>IF($AG198="","",IF($AG198&lt;=1200,IF(INDEX(对接源_01水果!$M$4:$M$1203,$AG198)=0,"",INDEX(对接源_01水果!$M$4:$M$1203,$AG198)),IF(INDEX(对接源_02物料!$M$4:$M$1203,$AG198-1200)=0,"",INDEX(对接源_02物料!$M$4:$M$1203,$AG198-1200))))</f>
        <v/>
      </c>
      <c r="AG198" s="107" t="str">
        <f>IFERROR(MATCH(27,_自动清单!$U$4:$U$2403,0),"")</f>
        <v/>
      </c>
    </row>
    <row r="199" ht="18" customHeight="1" spans="1:33">
      <c r="A199" s="87" t="str">
        <f>IF($AG199="","",IF($AG199&lt;=1200,IF(INDEX(对接源_01水果!$B$4:$B$1203,$AG199)=0,"",INDEX(对接源_01水果!$B$4:$B$1203,$AG199)),IF(INDEX(对接源_02物料!$B$4:$B$1203,$AG199-1200)=0,"",INDEX(对接源_02物料!$B$4:$B$1203,$AG199-1200))))</f>
        <v/>
      </c>
      <c r="B199" s="88" t="str">
        <f>IF($AG199="","",IF($AG199&lt;=1200,IF(INDEX(对接源_01水果!$E$4:$E$1203,$AG199)=0,"",INDEX(对接源_01水果!$E$4:$E$1203,$AG199)),IF(INDEX(对接源_02物料!$E$4:$E$1203,$AG199-1200)=0,"",INDEX(对接源_02物料!$E$4:$E$1203,$AG199-1200))))</f>
        <v/>
      </c>
      <c r="C199" s="115" t="str">
        <f>IF($AG199="","",IF($AG199&lt;=1200,IF(INDEX(对接源_01水果!$S$4:$S$1203,$AG199)=0,"",INDEX(对接源_01水果!$S$4:$S$1203,$AG199)),IF(INDEX(对接源_02物料!$S$4:$S$1203,$AG199-1200)=0,"",INDEX(对接源_02物料!$S$4:$S$1203,$AG199-1200))))</f>
        <v/>
      </c>
      <c r="D199" s="117" t="str">
        <f>IF($AG199="","",IF($AG199&lt;=1200,IF(INDEX(对接源_01水果!$V$4:$V$1203,$AG199)=0,"",INDEX(对接源_01水果!$V$4:$V$1203,$AG199)),IF(INDEX(对接源_02物料!$V$4:$V$1203,$AG199-1200)=0,"",INDEX(对接源_02物料!$V$4:$V$1203,$AG199-1200))))</f>
        <v/>
      </c>
      <c r="E199" s="88" t="str">
        <f>IF($AG199="","",IF($AG199&lt;=1200,IF(INDEX(对接源_01水果!$W$4:$W$1203,$AG199)=0,"",INDEX(对接源_01水果!$W$4:$W$1203,$AG199)),IF(INDEX(对接源_02物料!$W$4:$W$1203,$AG199-1200)=0,"",INDEX(对接源_02物料!$W$4:$W$1203,$AG199-1200))))</f>
        <v/>
      </c>
      <c r="F199" s="88" t="str">
        <f t="shared" si="3"/>
        <v/>
      </c>
      <c r="G199" s="115" t="str">
        <f>IF($AG199="","",IF($AG199&lt;=1200,IF(INDEX(对接源_01水果!$M$4:$M$1203,$AG199)=0,"",INDEX(对接源_01水果!$M$4:$M$1203,$AG199)),IF(INDEX(对接源_02物料!$M$4:$M$1203,$AG199-1200)=0,"",INDEX(对接源_02物料!$M$4:$M$1203,$AG199-1200))))</f>
        <v/>
      </c>
      <c r="AG199" s="107" t="str">
        <f>IFERROR(MATCH(28,_自动清单!$U$4:$U$2403,0),"")</f>
        <v/>
      </c>
    </row>
    <row r="200" ht="18" customHeight="1" spans="1:33">
      <c r="A200" s="52" t="str">
        <f>IF($AG200="","",IF($AG200&lt;=1200,IF(INDEX(对接源_01水果!$B$4:$B$1203,$AG200)=0,"",INDEX(对接源_01水果!$B$4:$B$1203,$AG200)),IF(INDEX(对接源_02物料!$B$4:$B$1203,$AG200-1200)=0,"",INDEX(对接源_02物料!$B$4:$B$1203,$AG200-1200))))</f>
        <v/>
      </c>
      <c r="B200" s="53" t="str">
        <f>IF($AG200="","",IF($AG200&lt;=1200,IF(INDEX(对接源_01水果!$E$4:$E$1203,$AG200)=0,"",INDEX(对接源_01水果!$E$4:$E$1203,$AG200)),IF(INDEX(对接源_02物料!$E$4:$E$1203,$AG200-1200)=0,"",INDEX(对接源_02物料!$E$4:$E$1203,$AG200-1200))))</f>
        <v/>
      </c>
      <c r="C200" s="106" t="str">
        <f>IF($AG200="","",IF($AG200&lt;=1200,IF(INDEX(对接源_01水果!$S$4:$S$1203,$AG200)=0,"",INDEX(对接源_01水果!$S$4:$S$1203,$AG200)),IF(INDEX(对接源_02物料!$S$4:$S$1203,$AG200-1200)=0,"",INDEX(对接源_02物料!$S$4:$S$1203,$AG200-1200))))</f>
        <v/>
      </c>
      <c r="D200" s="116" t="str">
        <f>IF($AG200="","",IF($AG200&lt;=1200,IF(INDEX(对接源_01水果!$V$4:$V$1203,$AG200)=0,"",INDEX(对接源_01水果!$V$4:$V$1203,$AG200)),IF(INDEX(对接源_02物料!$V$4:$V$1203,$AG200-1200)=0,"",INDEX(对接源_02物料!$V$4:$V$1203,$AG200-1200))))</f>
        <v/>
      </c>
      <c r="E200" s="53" t="str">
        <f>IF($AG200="","",IF($AG200&lt;=1200,IF(INDEX(对接源_01水果!$W$4:$W$1203,$AG200)=0,"",INDEX(对接源_01水果!$W$4:$W$1203,$AG200)),IF(INDEX(对接源_02物料!$W$4:$W$1203,$AG200-1200)=0,"",INDEX(对接源_02物料!$W$4:$W$1203,$AG200-1200))))</f>
        <v/>
      </c>
      <c r="F200" s="53" t="str">
        <f t="shared" si="3"/>
        <v/>
      </c>
      <c r="G200" s="106" t="str">
        <f>IF($AG200="","",IF($AG200&lt;=1200,IF(INDEX(对接源_01水果!$M$4:$M$1203,$AG200)=0,"",INDEX(对接源_01水果!$M$4:$M$1203,$AG200)),IF(INDEX(对接源_02物料!$M$4:$M$1203,$AG200-1200)=0,"",INDEX(对接源_02物料!$M$4:$M$1203,$AG200-1200))))</f>
        <v/>
      </c>
      <c r="AG200" s="107" t="str">
        <f>IFERROR(MATCH(29,_自动清单!$U$4:$U$2403,0),"")</f>
        <v/>
      </c>
    </row>
    <row r="201" ht="18" customHeight="1" spans="1:33">
      <c r="A201" s="87" t="str">
        <f>IF($AG201="","",IF($AG201&lt;=1200,IF(INDEX(对接源_01水果!$B$4:$B$1203,$AG201)=0,"",INDEX(对接源_01水果!$B$4:$B$1203,$AG201)),IF(INDEX(对接源_02物料!$B$4:$B$1203,$AG201-1200)=0,"",INDEX(对接源_02物料!$B$4:$B$1203,$AG201-1200))))</f>
        <v/>
      </c>
      <c r="B201" s="88" t="str">
        <f>IF($AG201="","",IF($AG201&lt;=1200,IF(INDEX(对接源_01水果!$E$4:$E$1203,$AG201)=0,"",INDEX(对接源_01水果!$E$4:$E$1203,$AG201)),IF(INDEX(对接源_02物料!$E$4:$E$1203,$AG201-1200)=0,"",INDEX(对接源_02物料!$E$4:$E$1203,$AG201-1200))))</f>
        <v/>
      </c>
      <c r="C201" s="115" t="str">
        <f>IF($AG201="","",IF($AG201&lt;=1200,IF(INDEX(对接源_01水果!$S$4:$S$1203,$AG201)=0,"",INDEX(对接源_01水果!$S$4:$S$1203,$AG201)),IF(INDEX(对接源_02物料!$S$4:$S$1203,$AG201-1200)=0,"",INDEX(对接源_02物料!$S$4:$S$1203,$AG201-1200))))</f>
        <v/>
      </c>
      <c r="D201" s="117" t="str">
        <f>IF($AG201="","",IF($AG201&lt;=1200,IF(INDEX(对接源_01水果!$V$4:$V$1203,$AG201)=0,"",INDEX(对接源_01水果!$V$4:$V$1203,$AG201)),IF(INDEX(对接源_02物料!$V$4:$V$1203,$AG201-1200)=0,"",INDEX(对接源_02物料!$V$4:$V$1203,$AG201-1200))))</f>
        <v/>
      </c>
      <c r="E201" s="88" t="str">
        <f>IF($AG201="","",IF($AG201&lt;=1200,IF(INDEX(对接源_01水果!$W$4:$W$1203,$AG201)=0,"",INDEX(对接源_01水果!$W$4:$W$1203,$AG201)),IF(INDEX(对接源_02物料!$W$4:$W$1203,$AG201-1200)=0,"",INDEX(对接源_02物料!$W$4:$W$1203,$AG201-1200))))</f>
        <v/>
      </c>
      <c r="F201" s="88" t="str">
        <f t="shared" si="3"/>
        <v/>
      </c>
      <c r="G201" s="115" t="str">
        <f>IF($AG201="","",IF($AG201&lt;=1200,IF(INDEX(对接源_01水果!$M$4:$M$1203,$AG201)=0,"",INDEX(对接源_01水果!$M$4:$M$1203,$AG201)),IF(INDEX(对接源_02物料!$M$4:$M$1203,$AG201-1200)=0,"",INDEX(对接源_02物料!$M$4:$M$1203,$AG201-1200))))</f>
        <v/>
      </c>
      <c r="AG201" s="107" t="str">
        <f>IFERROR(MATCH(30,_自动清单!$U$4:$U$2403,0),"")</f>
        <v/>
      </c>
    </row>
    <row r="202" ht="18" customHeight="1" spans="1:33">
      <c r="A202" s="52" t="str">
        <f>IF($AG202="","",IF($AG202&lt;=1200,IF(INDEX(对接源_01水果!$B$4:$B$1203,$AG202)=0,"",INDEX(对接源_01水果!$B$4:$B$1203,$AG202)),IF(INDEX(对接源_02物料!$B$4:$B$1203,$AG202-1200)=0,"",INDEX(对接源_02物料!$B$4:$B$1203,$AG202-1200))))</f>
        <v/>
      </c>
      <c r="B202" s="53" t="str">
        <f>IF($AG202="","",IF($AG202&lt;=1200,IF(INDEX(对接源_01水果!$E$4:$E$1203,$AG202)=0,"",INDEX(对接源_01水果!$E$4:$E$1203,$AG202)),IF(INDEX(对接源_02物料!$E$4:$E$1203,$AG202-1200)=0,"",INDEX(对接源_02物料!$E$4:$E$1203,$AG202-1200))))</f>
        <v/>
      </c>
      <c r="C202" s="106" t="str">
        <f>IF($AG202="","",IF($AG202&lt;=1200,IF(INDEX(对接源_01水果!$S$4:$S$1203,$AG202)=0,"",INDEX(对接源_01水果!$S$4:$S$1203,$AG202)),IF(INDEX(对接源_02物料!$S$4:$S$1203,$AG202-1200)=0,"",INDEX(对接源_02物料!$S$4:$S$1203,$AG202-1200))))</f>
        <v/>
      </c>
      <c r="D202" s="116" t="str">
        <f>IF($AG202="","",IF($AG202&lt;=1200,IF(INDEX(对接源_01水果!$V$4:$V$1203,$AG202)=0,"",INDEX(对接源_01水果!$V$4:$V$1203,$AG202)),IF(INDEX(对接源_02物料!$V$4:$V$1203,$AG202-1200)=0,"",INDEX(对接源_02物料!$V$4:$V$1203,$AG202-1200))))</f>
        <v/>
      </c>
      <c r="E202" s="53" t="str">
        <f>IF($AG202="","",IF($AG202&lt;=1200,IF(INDEX(对接源_01水果!$W$4:$W$1203,$AG202)=0,"",INDEX(对接源_01水果!$W$4:$W$1203,$AG202)),IF(INDEX(对接源_02物料!$W$4:$W$1203,$AG202-1200)=0,"",INDEX(对接源_02物料!$W$4:$W$1203,$AG202-1200))))</f>
        <v/>
      </c>
      <c r="F202" s="53" t="str">
        <f t="shared" si="3"/>
        <v/>
      </c>
      <c r="G202" s="106" t="str">
        <f>IF($AG202="","",IF($AG202&lt;=1200,IF(INDEX(对接源_01水果!$M$4:$M$1203,$AG202)=0,"",INDEX(对接源_01水果!$M$4:$M$1203,$AG202)),IF(INDEX(对接源_02物料!$M$4:$M$1203,$AG202-1200)=0,"",INDEX(对接源_02物料!$M$4:$M$1203,$AG202-1200))))</f>
        <v/>
      </c>
      <c r="AG202" s="107" t="str">
        <f>IFERROR(MATCH(31,_自动清单!$U$4:$U$2403,0),"")</f>
        <v/>
      </c>
    </row>
    <row r="203" ht="18" customHeight="1" spans="1:33">
      <c r="A203" s="87" t="str">
        <f>IF($AG203="","",IF($AG203&lt;=1200,IF(INDEX(对接源_01水果!$B$4:$B$1203,$AG203)=0,"",INDEX(对接源_01水果!$B$4:$B$1203,$AG203)),IF(INDEX(对接源_02物料!$B$4:$B$1203,$AG203-1200)=0,"",INDEX(对接源_02物料!$B$4:$B$1203,$AG203-1200))))</f>
        <v/>
      </c>
      <c r="B203" s="88" t="str">
        <f>IF($AG203="","",IF($AG203&lt;=1200,IF(INDEX(对接源_01水果!$E$4:$E$1203,$AG203)=0,"",INDEX(对接源_01水果!$E$4:$E$1203,$AG203)),IF(INDEX(对接源_02物料!$E$4:$E$1203,$AG203-1200)=0,"",INDEX(对接源_02物料!$E$4:$E$1203,$AG203-1200))))</f>
        <v/>
      </c>
      <c r="C203" s="115" t="str">
        <f>IF($AG203="","",IF($AG203&lt;=1200,IF(INDEX(对接源_01水果!$S$4:$S$1203,$AG203)=0,"",INDEX(对接源_01水果!$S$4:$S$1203,$AG203)),IF(INDEX(对接源_02物料!$S$4:$S$1203,$AG203-1200)=0,"",INDEX(对接源_02物料!$S$4:$S$1203,$AG203-1200))))</f>
        <v/>
      </c>
      <c r="D203" s="117" t="str">
        <f>IF($AG203="","",IF($AG203&lt;=1200,IF(INDEX(对接源_01水果!$V$4:$V$1203,$AG203)=0,"",INDEX(对接源_01水果!$V$4:$V$1203,$AG203)),IF(INDEX(对接源_02物料!$V$4:$V$1203,$AG203-1200)=0,"",INDEX(对接源_02物料!$V$4:$V$1203,$AG203-1200))))</f>
        <v/>
      </c>
      <c r="E203" s="88" t="str">
        <f>IF($AG203="","",IF($AG203&lt;=1200,IF(INDEX(对接源_01水果!$W$4:$W$1203,$AG203)=0,"",INDEX(对接源_01水果!$W$4:$W$1203,$AG203)),IF(INDEX(对接源_02物料!$W$4:$W$1203,$AG203-1200)=0,"",INDEX(对接源_02物料!$W$4:$W$1203,$AG203-1200))))</f>
        <v/>
      </c>
      <c r="F203" s="88" t="str">
        <f t="shared" si="3"/>
        <v/>
      </c>
      <c r="G203" s="115" t="str">
        <f>IF($AG203="","",IF($AG203&lt;=1200,IF(INDEX(对接源_01水果!$M$4:$M$1203,$AG203)=0,"",INDEX(对接源_01水果!$M$4:$M$1203,$AG203)),IF(INDEX(对接源_02物料!$M$4:$M$1203,$AG203-1200)=0,"",INDEX(对接源_02物料!$M$4:$M$1203,$AG203-1200))))</f>
        <v/>
      </c>
      <c r="AG203" s="107" t="str">
        <f>IFERROR(MATCH(32,_自动清单!$U$4:$U$2403,0),"")</f>
        <v/>
      </c>
    </row>
    <row r="204" ht="18" customHeight="1" spans="1:33">
      <c r="A204" s="52" t="str">
        <f>IF($AG204="","",IF($AG204&lt;=1200,IF(INDEX(对接源_01水果!$B$4:$B$1203,$AG204)=0,"",INDEX(对接源_01水果!$B$4:$B$1203,$AG204)),IF(INDEX(对接源_02物料!$B$4:$B$1203,$AG204-1200)=0,"",INDEX(对接源_02物料!$B$4:$B$1203,$AG204-1200))))</f>
        <v/>
      </c>
      <c r="B204" s="53" t="str">
        <f>IF($AG204="","",IF($AG204&lt;=1200,IF(INDEX(对接源_01水果!$E$4:$E$1203,$AG204)=0,"",INDEX(对接源_01水果!$E$4:$E$1203,$AG204)),IF(INDEX(对接源_02物料!$E$4:$E$1203,$AG204-1200)=0,"",INDEX(对接源_02物料!$E$4:$E$1203,$AG204-1200))))</f>
        <v/>
      </c>
      <c r="C204" s="106" t="str">
        <f>IF($AG204="","",IF($AG204&lt;=1200,IF(INDEX(对接源_01水果!$S$4:$S$1203,$AG204)=0,"",INDEX(对接源_01水果!$S$4:$S$1203,$AG204)),IF(INDEX(对接源_02物料!$S$4:$S$1203,$AG204-1200)=0,"",INDEX(对接源_02物料!$S$4:$S$1203,$AG204-1200))))</f>
        <v/>
      </c>
      <c r="D204" s="116" t="str">
        <f>IF($AG204="","",IF($AG204&lt;=1200,IF(INDEX(对接源_01水果!$V$4:$V$1203,$AG204)=0,"",INDEX(对接源_01水果!$V$4:$V$1203,$AG204)),IF(INDEX(对接源_02物料!$V$4:$V$1203,$AG204-1200)=0,"",INDEX(对接源_02物料!$V$4:$V$1203,$AG204-1200))))</f>
        <v/>
      </c>
      <c r="E204" s="53" t="str">
        <f>IF($AG204="","",IF($AG204&lt;=1200,IF(INDEX(对接源_01水果!$W$4:$W$1203,$AG204)=0,"",INDEX(对接源_01水果!$W$4:$W$1203,$AG204)),IF(INDEX(对接源_02物料!$W$4:$W$1203,$AG204-1200)=0,"",INDEX(对接源_02物料!$W$4:$W$1203,$AG204-1200))))</f>
        <v/>
      </c>
      <c r="F204" s="53" t="str">
        <f t="shared" si="3"/>
        <v/>
      </c>
      <c r="G204" s="106" t="str">
        <f>IF($AG204="","",IF($AG204&lt;=1200,IF(INDEX(对接源_01水果!$M$4:$M$1203,$AG204)=0,"",INDEX(对接源_01水果!$M$4:$M$1203,$AG204)),IF(INDEX(对接源_02物料!$M$4:$M$1203,$AG204-1200)=0,"",INDEX(对接源_02物料!$M$4:$M$1203,$AG204-1200))))</f>
        <v/>
      </c>
      <c r="AG204" s="107" t="str">
        <f>IFERROR(MATCH(33,_自动清单!$U$4:$U$2403,0),"")</f>
        <v/>
      </c>
    </row>
    <row r="205" ht="18" customHeight="1" spans="1:33">
      <c r="A205" s="87" t="str">
        <f>IF($AG205="","",IF($AG205&lt;=1200,IF(INDEX(对接源_01水果!$B$4:$B$1203,$AG205)=0,"",INDEX(对接源_01水果!$B$4:$B$1203,$AG205)),IF(INDEX(对接源_02物料!$B$4:$B$1203,$AG205-1200)=0,"",INDEX(对接源_02物料!$B$4:$B$1203,$AG205-1200))))</f>
        <v/>
      </c>
      <c r="B205" s="88" t="str">
        <f>IF($AG205="","",IF($AG205&lt;=1200,IF(INDEX(对接源_01水果!$E$4:$E$1203,$AG205)=0,"",INDEX(对接源_01水果!$E$4:$E$1203,$AG205)),IF(INDEX(对接源_02物料!$E$4:$E$1203,$AG205-1200)=0,"",INDEX(对接源_02物料!$E$4:$E$1203,$AG205-1200))))</f>
        <v/>
      </c>
      <c r="C205" s="115" t="str">
        <f>IF($AG205="","",IF($AG205&lt;=1200,IF(INDEX(对接源_01水果!$S$4:$S$1203,$AG205)=0,"",INDEX(对接源_01水果!$S$4:$S$1203,$AG205)),IF(INDEX(对接源_02物料!$S$4:$S$1203,$AG205-1200)=0,"",INDEX(对接源_02物料!$S$4:$S$1203,$AG205-1200))))</f>
        <v/>
      </c>
      <c r="D205" s="117" t="str">
        <f>IF($AG205="","",IF($AG205&lt;=1200,IF(INDEX(对接源_01水果!$V$4:$V$1203,$AG205)=0,"",INDEX(对接源_01水果!$V$4:$V$1203,$AG205)),IF(INDEX(对接源_02物料!$V$4:$V$1203,$AG205-1200)=0,"",INDEX(对接源_02物料!$V$4:$V$1203,$AG205-1200))))</f>
        <v/>
      </c>
      <c r="E205" s="88" t="str">
        <f>IF($AG205="","",IF($AG205&lt;=1200,IF(INDEX(对接源_01水果!$W$4:$W$1203,$AG205)=0,"",INDEX(对接源_01水果!$W$4:$W$1203,$AG205)),IF(INDEX(对接源_02物料!$W$4:$W$1203,$AG205-1200)=0,"",INDEX(对接源_02物料!$W$4:$W$1203,$AG205-1200))))</f>
        <v/>
      </c>
      <c r="F205" s="88" t="str">
        <f t="shared" si="3"/>
        <v/>
      </c>
      <c r="G205" s="115" t="str">
        <f>IF($AG205="","",IF($AG205&lt;=1200,IF(INDEX(对接源_01水果!$M$4:$M$1203,$AG205)=0,"",INDEX(对接源_01水果!$M$4:$M$1203,$AG205)),IF(INDEX(对接源_02物料!$M$4:$M$1203,$AG205-1200)=0,"",INDEX(对接源_02物料!$M$4:$M$1203,$AG205-1200))))</f>
        <v/>
      </c>
      <c r="AG205" s="107" t="str">
        <f>IFERROR(MATCH(34,_自动清单!$U$4:$U$2403,0),"")</f>
        <v/>
      </c>
    </row>
    <row r="206" ht="18" customHeight="1" spans="1:33">
      <c r="A206" s="52" t="str">
        <f>IF($AG206="","",IF($AG206&lt;=1200,IF(INDEX(对接源_01水果!$B$4:$B$1203,$AG206)=0,"",INDEX(对接源_01水果!$B$4:$B$1203,$AG206)),IF(INDEX(对接源_02物料!$B$4:$B$1203,$AG206-1200)=0,"",INDEX(对接源_02物料!$B$4:$B$1203,$AG206-1200))))</f>
        <v/>
      </c>
      <c r="B206" s="53" t="str">
        <f>IF($AG206="","",IF($AG206&lt;=1200,IF(INDEX(对接源_01水果!$E$4:$E$1203,$AG206)=0,"",INDEX(对接源_01水果!$E$4:$E$1203,$AG206)),IF(INDEX(对接源_02物料!$E$4:$E$1203,$AG206-1200)=0,"",INDEX(对接源_02物料!$E$4:$E$1203,$AG206-1200))))</f>
        <v/>
      </c>
      <c r="C206" s="106" t="str">
        <f>IF($AG206="","",IF($AG206&lt;=1200,IF(INDEX(对接源_01水果!$S$4:$S$1203,$AG206)=0,"",INDEX(对接源_01水果!$S$4:$S$1203,$AG206)),IF(INDEX(对接源_02物料!$S$4:$S$1203,$AG206-1200)=0,"",INDEX(对接源_02物料!$S$4:$S$1203,$AG206-1200))))</f>
        <v/>
      </c>
      <c r="D206" s="116" t="str">
        <f>IF($AG206="","",IF($AG206&lt;=1200,IF(INDEX(对接源_01水果!$V$4:$V$1203,$AG206)=0,"",INDEX(对接源_01水果!$V$4:$V$1203,$AG206)),IF(INDEX(对接源_02物料!$V$4:$V$1203,$AG206-1200)=0,"",INDEX(对接源_02物料!$V$4:$V$1203,$AG206-1200))))</f>
        <v/>
      </c>
      <c r="E206" s="53" t="str">
        <f>IF($AG206="","",IF($AG206&lt;=1200,IF(INDEX(对接源_01水果!$W$4:$W$1203,$AG206)=0,"",INDEX(对接源_01水果!$W$4:$W$1203,$AG206)),IF(INDEX(对接源_02物料!$W$4:$W$1203,$AG206-1200)=0,"",INDEX(对接源_02物料!$W$4:$W$1203,$AG206-1200))))</f>
        <v/>
      </c>
      <c r="F206" s="53" t="str">
        <f t="shared" si="3"/>
        <v/>
      </c>
      <c r="G206" s="106" t="str">
        <f>IF($AG206="","",IF($AG206&lt;=1200,IF(INDEX(对接源_01水果!$M$4:$M$1203,$AG206)=0,"",INDEX(对接源_01水果!$M$4:$M$1203,$AG206)),IF(INDEX(对接源_02物料!$M$4:$M$1203,$AG206-1200)=0,"",INDEX(对接源_02物料!$M$4:$M$1203,$AG206-1200))))</f>
        <v/>
      </c>
      <c r="AG206" s="107" t="str">
        <f>IFERROR(MATCH(35,_自动清单!$U$4:$U$2403,0),"")</f>
        <v/>
      </c>
    </row>
    <row r="207" ht="18" customHeight="1" spans="1:33">
      <c r="A207" s="87" t="str">
        <f>IF($AG207="","",IF($AG207&lt;=1200,IF(INDEX(对接源_01水果!$B$4:$B$1203,$AG207)=0,"",INDEX(对接源_01水果!$B$4:$B$1203,$AG207)),IF(INDEX(对接源_02物料!$B$4:$B$1203,$AG207-1200)=0,"",INDEX(对接源_02物料!$B$4:$B$1203,$AG207-1200))))</f>
        <v/>
      </c>
      <c r="B207" s="88" t="str">
        <f>IF($AG207="","",IF($AG207&lt;=1200,IF(INDEX(对接源_01水果!$E$4:$E$1203,$AG207)=0,"",INDEX(对接源_01水果!$E$4:$E$1203,$AG207)),IF(INDEX(对接源_02物料!$E$4:$E$1203,$AG207-1200)=0,"",INDEX(对接源_02物料!$E$4:$E$1203,$AG207-1200))))</f>
        <v/>
      </c>
      <c r="C207" s="115" t="str">
        <f>IF($AG207="","",IF($AG207&lt;=1200,IF(INDEX(对接源_01水果!$S$4:$S$1203,$AG207)=0,"",INDEX(对接源_01水果!$S$4:$S$1203,$AG207)),IF(INDEX(对接源_02物料!$S$4:$S$1203,$AG207-1200)=0,"",INDEX(对接源_02物料!$S$4:$S$1203,$AG207-1200))))</f>
        <v/>
      </c>
      <c r="D207" s="117" t="str">
        <f>IF($AG207="","",IF($AG207&lt;=1200,IF(INDEX(对接源_01水果!$V$4:$V$1203,$AG207)=0,"",INDEX(对接源_01水果!$V$4:$V$1203,$AG207)),IF(INDEX(对接源_02物料!$V$4:$V$1203,$AG207-1200)=0,"",INDEX(对接源_02物料!$V$4:$V$1203,$AG207-1200))))</f>
        <v/>
      </c>
      <c r="E207" s="88" t="str">
        <f>IF($AG207="","",IF($AG207&lt;=1200,IF(INDEX(对接源_01水果!$W$4:$W$1203,$AG207)=0,"",INDEX(对接源_01水果!$W$4:$W$1203,$AG207)),IF(INDEX(对接源_02物料!$W$4:$W$1203,$AG207-1200)=0,"",INDEX(对接源_02物料!$W$4:$W$1203,$AG207-1200))))</f>
        <v/>
      </c>
      <c r="F207" s="88" t="str">
        <f t="shared" si="3"/>
        <v/>
      </c>
      <c r="G207" s="115" t="str">
        <f>IF($AG207="","",IF($AG207&lt;=1200,IF(INDEX(对接源_01水果!$M$4:$M$1203,$AG207)=0,"",INDEX(对接源_01水果!$M$4:$M$1203,$AG207)),IF(INDEX(对接源_02物料!$M$4:$M$1203,$AG207-1200)=0,"",INDEX(对接源_02物料!$M$4:$M$1203,$AG207-1200))))</f>
        <v/>
      </c>
      <c r="AG207" s="107" t="str">
        <f>IFERROR(MATCH(36,_自动清单!$U$4:$U$2403,0),"")</f>
        <v/>
      </c>
    </row>
    <row r="208" ht="18" customHeight="1" spans="1:33">
      <c r="A208" s="52" t="str">
        <f>IF($AG208="","",IF($AG208&lt;=1200,IF(INDEX(对接源_01水果!$B$4:$B$1203,$AG208)=0,"",INDEX(对接源_01水果!$B$4:$B$1203,$AG208)),IF(INDEX(对接源_02物料!$B$4:$B$1203,$AG208-1200)=0,"",INDEX(对接源_02物料!$B$4:$B$1203,$AG208-1200))))</f>
        <v/>
      </c>
      <c r="B208" s="53" t="str">
        <f>IF($AG208="","",IF($AG208&lt;=1200,IF(INDEX(对接源_01水果!$E$4:$E$1203,$AG208)=0,"",INDEX(对接源_01水果!$E$4:$E$1203,$AG208)),IF(INDEX(对接源_02物料!$E$4:$E$1203,$AG208-1200)=0,"",INDEX(对接源_02物料!$E$4:$E$1203,$AG208-1200))))</f>
        <v/>
      </c>
      <c r="C208" s="106" t="str">
        <f>IF($AG208="","",IF($AG208&lt;=1200,IF(INDEX(对接源_01水果!$S$4:$S$1203,$AG208)=0,"",INDEX(对接源_01水果!$S$4:$S$1203,$AG208)),IF(INDEX(对接源_02物料!$S$4:$S$1203,$AG208-1200)=0,"",INDEX(对接源_02物料!$S$4:$S$1203,$AG208-1200))))</f>
        <v/>
      </c>
      <c r="D208" s="116" t="str">
        <f>IF($AG208="","",IF($AG208&lt;=1200,IF(INDEX(对接源_01水果!$V$4:$V$1203,$AG208)=0,"",INDEX(对接源_01水果!$V$4:$V$1203,$AG208)),IF(INDEX(对接源_02物料!$V$4:$V$1203,$AG208-1200)=0,"",INDEX(对接源_02物料!$V$4:$V$1203,$AG208-1200))))</f>
        <v/>
      </c>
      <c r="E208" s="53" t="str">
        <f>IF($AG208="","",IF($AG208&lt;=1200,IF(INDEX(对接源_01水果!$W$4:$W$1203,$AG208)=0,"",INDEX(对接源_01水果!$W$4:$W$1203,$AG208)),IF(INDEX(对接源_02物料!$W$4:$W$1203,$AG208-1200)=0,"",INDEX(对接源_02物料!$W$4:$W$1203,$AG208-1200))))</f>
        <v/>
      </c>
      <c r="F208" s="53" t="str">
        <f t="shared" si="3"/>
        <v/>
      </c>
      <c r="G208" s="106" t="str">
        <f>IF($AG208="","",IF($AG208&lt;=1200,IF(INDEX(对接源_01水果!$M$4:$M$1203,$AG208)=0,"",INDEX(对接源_01水果!$M$4:$M$1203,$AG208)),IF(INDEX(对接源_02物料!$M$4:$M$1203,$AG208-1200)=0,"",INDEX(对接源_02物料!$M$4:$M$1203,$AG208-1200))))</f>
        <v/>
      </c>
      <c r="AG208" s="107" t="str">
        <f>IFERROR(MATCH(37,_自动清单!$U$4:$U$2403,0),"")</f>
        <v/>
      </c>
    </row>
    <row r="209" ht="18" customHeight="1" spans="1:33">
      <c r="A209" s="87" t="str">
        <f>IF($AG209="","",IF($AG209&lt;=1200,IF(INDEX(对接源_01水果!$B$4:$B$1203,$AG209)=0,"",INDEX(对接源_01水果!$B$4:$B$1203,$AG209)),IF(INDEX(对接源_02物料!$B$4:$B$1203,$AG209-1200)=0,"",INDEX(对接源_02物料!$B$4:$B$1203,$AG209-1200))))</f>
        <v/>
      </c>
      <c r="B209" s="88" t="str">
        <f>IF($AG209="","",IF($AG209&lt;=1200,IF(INDEX(对接源_01水果!$E$4:$E$1203,$AG209)=0,"",INDEX(对接源_01水果!$E$4:$E$1203,$AG209)),IF(INDEX(对接源_02物料!$E$4:$E$1203,$AG209-1200)=0,"",INDEX(对接源_02物料!$E$4:$E$1203,$AG209-1200))))</f>
        <v/>
      </c>
      <c r="C209" s="115" t="str">
        <f>IF($AG209="","",IF($AG209&lt;=1200,IF(INDEX(对接源_01水果!$S$4:$S$1203,$AG209)=0,"",INDEX(对接源_01水果!$S$4:$S$1203,$AG209)),IF(INDEX(对接源_02物料!$S$4:$S$1203,$AG209-1200)=0,"",INDEX(对接源_02物料!$S$4:$S$1203,$AG209-1200))))</f>
        <v/>
      </c>
      <c r="D209" s="117" t="str">
        <f>IF($AG209="","",IF($AG209&lt;=1200,IF(INDEX(对接源_01水果!$V$4:$V$1203,$AG209)=0,"",INDEX(对接源_01水果!$V$4:$V$1203,$AG209)),IF(INDEX(对接源_02物料!$V$4:$V$1203,$AG209-1200)=0,"",INDEX(对接源_02物料!$V$4:$V$1203,$AG209-1200))))</f>
        <v/>
      </c>
      <c r="E209" s="88" t="str">
        <f>IF($AG209="","",IF($AG209&lt;=1200,IF(INDEX(对接源_01水果!$W$4:$W$1203,$AG209)=0,"",INDEX(对接源_01水果!$W$4:$W$1203,$AG209)),IF(INDEX(对接源_02物料!$W$4:$W$1203,$AG209-1200)=0,"",INDEX(对接源_02物料!$W$4:$W$1203,$AG209-1200))))</f>
        <v/>
      </c>
      <c r="F209" s="88" t="str">
        <f t="shared" si="3"/>
        <v/>
      </c>
      <c r="G209" s="115" t="str">
        <f>IF($AG209="","",IF($AG209&lt;=1200,IF(INDEX(对接源_01水果!$M$4:$M$1203,$AG209)=0,"",INDEX(对接源_01水果!$M$4:$M$1203,$AG209)),IF(INDEX(对接源_02物料!$M$4:$M$1203,$AG209-1200)=0,"",INDEX(对接源_02物料!$M$4:$M$1203,$AG209-1200))))</f>
        <v/>
      </c>
      <c r="AG209" s="107" t="str">
        <f>IFERROR(MATCH(38,_自动清单!$U$4:$U$2403,0),"")</f>
        <v/>
      </c>
    </row>
    <row r="210" ht="18" customHeight="1" spans="1:33">
      <c r="A210" s="52" t="str">
        <f>IF($AG210="","",IF($AG210&lt;=1200,IF(INDEX(对接源_01水果!$B$4:$B$1203,$AG210)=0,"",INDEX(对接源_01水果!$B$4:$B$1203,$AG210)),IF(INDEX(对接源_02物料!$B$4:$B$1203,$AG210-1200)=0,"",INDEX(对接源_02物料!$B$4:$B$1203,$AG210-1200))))</f>
        <v/>
      </c>
      <c r="B210" s="53" t="str">
        <f>IF($AG210="","",IF($AG210&lt;=1200,IF(INDEX(对接源_01水果!$E$4:$E$1203,$AG210)=0,"",INDEX(对接源_01水果!$E$4:$E$1203,$AG210)),IF(INDEX(对接源_02物料!$E$4:$E$1203,$AG210-1200)=0,"",INDEX(对接源_02物料!$E$4:$E$1203,$AG210-1200))))</f>
        <v/>
      </c>
      <c r="C210" s="106" t="str">
        <f>IF($AG210="","",IF($AG210&lt;=1200,IF(INDEX(对接源_01水果!$S$4:$S$1203,$AG210)=0,"",INDEX(对接源_01水果!$S$4:$S$1203,$AG210)),IF(INDEX(对接源_02物料!$S$4:$S$1203,$AG210-1200)=0,"",INDEX(对接源_02物料!$S$4:$S$1203,$AG210-1200))))</f>
        <v/>
      </c>
      <c r="D210" s="116" t="str">
        <f>IF($AG210="","",IF($AG210&lt;=1200,IF(INDEX(对接源_01水果!$V$4:$V$1203,$AG210)=0,"",INDEX(对接源_01水果!$V$4:$V$1203,$AG210)),IF(INDEX(对接源_02物料!$V$4:$V$1203,$AG210-1200)=0,"",INDEX(对接源_02物料!$V$4:$V$1203,$AG210-1200))))</f>
        <v/>
      </c>
      <c r="E210" s="53" t="str">
        <f>IF($AG210="","",IF($AG210&lt;=1200,IF(INDEX(对接源_01水果!$W$4:$W$1203,$AG210)=0,"",INDEX(对接源_01水果!$W$4:$W$1203,$AG210)),IF(INDEX(对接源_02物料!$W$4:$W$1203,$AG210-1200)=0,"",INDEX(对接源_02物料!$W$4:$W$1203,$AG210-1200))))</f>
        <v/>
      </c>
      <c r="F210" s="53" t="str">
        <f t="shared" si="3"/>
        <v/>
      </c>
      <c r="G210" s="106" t="str">
        <f>IF($AG210="","",IF($AG210&lt;=1200,IF(INDEX(对接源_01水果!$M$4:$M$1203,$AG210)=0,"",INDEX(对接源_01水果!$M$4:$M$1203,$AG210)),IF(INDEX(对接源_02物料!$M$4:$M$1203,$AG210-1200)=0,"",INDEX(对接源_02物料!$M$4:$M$1203,$AG210-1200))))</f>
        <v/>
      </c>
      <c r="AG210" s="107" t="str">
        <f>IFERROR(MATCH(39,_自动清单!$U$4:$U$2403,0),"")</f>
        <v/>
      </c>
    </row>
    <row r="211" ht="18" customHeight="1" spans="1:33">
      <c r="A211" s="87" t="str">
        <f>IF($AG211="","",IF($AG211&lt;=1200,IF(INDEX(对接源_01水果!$B$4:$B$1203,$AG211)=0,"",INDEX(对接源_01水果!$B$4:$B$1203,$AG211)),IF(INDEX(对接源_02物料!$B$4:$B$1203,$AG211-1200)=0,"",INDEX(对接源_02物料!$B$4:$B$1203,$AG211-1200))))</f>
        <v/>
      </c>
      <c r="B211" s="88" t="str">
        <f>IF($AG211="","",IF($AG211&lt;=1200,IF(INDEX(对接源_01水果!$E$4:$E$1203,$AG211)=0,"",INDEX(对接源_01水果!$E$4:$E$1203,$AG211)),IF(INDEX(对接源_02物料!$E$4:$E$1203,$AG211-1200)=0,"",INDEX(对接源_02物料!$E$4:$E$1203,$AG211-1200))))</f>
        <v/>
      </c>
      <c r="C211" s="115" t="str">
        <f>IF($AG211="","",IF($AG211&lt;=1200,IF(INDEX(对接源_01水果!$S$4:$S$1203,$AG211)=0,"",INDEX(对接源_01水果!$S$4:$S$1203,$AG211)),IF(INDEX(对接源_02物料!$S$4:$S$1203,$AG211-1200)=0,"",INDEX(对接源_02物料!$S$4:$S$1203,$AG211-1200))))</f>
        <v/>
      </c>
      <c r="D211" s="117" t="str">
        <f>IF($AG211="","",IF($AG211&lt;=1200,IF(INDEX(对接源_01水果!$V$4:$V$1203,$AG211)=0,"",INDEX(对接源_01水果!$V$4:$V$1203,$AG211)),IF(INDEX(对接源_02物料!$V$4:$V$1203,$AG211-1200)=0,"",INDEX(对接源_02物料!$V$4:$V$1203,$AG211-1200))))</f>
        <v/>
      </c>
      <c r="E211" s="88" t="str">
        <f>IF($AG211="","",IF($AG211&lt;=1200,IF(INDEX(对接源_01水果!$W$4:$W$1203,$AG211)=0,"",INDEX(对接源_01水果!$W$4:$W$1203,$AG211)),IF(INDEX(对接源_02物料!$W$4:$W$1203,$AG211-1200)=0,"",INDEX(对接源_02物料!$W$4:$W$1203,$AG211-1200))))</f>
        <v/>
      </c>
      <c r="F211" s="88" t="str">
        <f t="shared" si="3"/>
        <v/>
      </c>
      <c r="G211" s="115" t="str">
        <f>IF($AG211="","",IF($AG211&lt;=1200,IF(INDEX(对接源_01水果!$M$4:$M$1203,$AG211)=0,"",INDEX(对接源_01水果!$M$4:$M$1203,$AG211)),IF(INDEX(对接源_02物料!$M$4:$M$1203,$AG211-1200)=0,"",INDEX(对接源_02物料!$M$4:$M$1203,$AG211-1200))))</f>
        <v/>
      </c>
      <c r="AG211" s="107" t="str">
        <f>IFERROR(MATCH(40,_自动清单!$U$4:$U$2403,0),"")</f>
        <v/>
      </c>
    </row>
    <row r="212" ht="18" customHeight="1" spans="1:33">
      <c r="A212" s="52" t="str">
        <f>IF($AG212="","",IF($AG212&lt;=1200,IF(INDEX(对接源_01水果!$B$4:$B$1203,$AG212)=0,"",INDEX(对接源_01水果!$B$4:$B$1203,$AG212)),IF(INDEX(对接源_02物料!$B$4:$B$1203,$AG212-1200)=0,"",INDEX(对接源_02物料!$B$4:$B$1203,$AG212-1200))))</f>
        <v/>
      </c>
      <c r="B212" s="53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/>
      </c>
      <c r="C212" s="106" t="str">
        <f>IF($AG212="","",IF($AG212&lt;=1200,IF(INDEX(对接源_01水果!$S$4:$S$1203,$AG212)=0,"",INDEX(对接源_01水果!$S$4:$S$1203,$AG212)),IF(INDEX(对接源_02物料!$S$4:$S$1203,$AG212-1200)=0,"",INDEX(对接源_02物料!$S$4:$S$1203,$AG212-1200))))</f>
        <v/>
      </c>
      <c r="D212" s="116" t="str">
        <f>IF($AG212="","",IF($AG212&lt;=1200,IF(INDEX(对接源_01水果!$V$4:$V$1203,$AG212)=0,"",INDEX(对接源_01水果!$V$4:$V$1203,$AG212)),IF(INDEX(对接源_02物料!$V$4:$V$1203,$AG212-1200)=0,"",INDEX(对接源_02物料!$V$4:$V$1203,$AG212-1200))))</f>
        <v/>
      </c>
      <c r="E212" s="53" t="str">
        <f>IF($AG212="","",IF($AG212&lt;=1200,IF(INDEX(对接源_01水果!$W$4:$W$1203,$AG212)=0,"",INDEX(对接源_01水果!$W$4:$W$1203,$AG212)),IF(INDEX(对接源_02物料!$W$4:$W$1203,$AG212-1200)=0,"",INDEX(对接源_02物料!$W$4:$W$1203,$AG212-1200))))</f>
        <v/>
      </c>
      <c r="F212" s="53" t="str">
        <f t="shared" si="3"/>
        <v/>
      </c>
      <c r="G212" s="106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107" t="str">
        <f>IFERROR(MATCH(41,_自动清单!$U$4:$U$2403,0),"")</f>
        <v/>
      </c>
    </row>
    <row r="213" ht="18" customHeight="1" spans="1:33">
      <c r="A213" s="87" t="str">
        <f>IF($AG213="","",IF($AG213&lt;=1200,IF(INDEX(对接源_01水果!$B$4:$B$1203,$AG213)=0,"",INDEX(对接源_01水果!$B$4:$B$1203,$AG213)),IF(INDEX(对接源_02物料!$B$4:$B$1203,$AG213-1200)=0,"",INDEX(对接源_02物料!$B$4:$B$1203,$AG213-1200))))</f>
        <v/>
      </c>
      <c r="B213" s="88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/>
      </c>
      <c r="C213" s="115" t="str">
        <f>IF($AG213="","",IF($AG213&lt;=1200,IF(INDEX(对接源_01水果!$S$4:$S$1203,$AG213)=0,"",INDEX(对接源_01水果!$S$4:$S$1203,$AG213)),IF(INDEX(对接源_02物料!$S$4:$S$1203,$AG213-1200)=0,"",INDEX(对接源_02物料!$S$4:$S$1203,$AG213-1200))))</f>
        <v/>
      </c>
      <c r="D213" s="117" t="str">
        <f>IF($AG213="","",IF($AG213&lt;=1200,IF(INDEX(对接源_01水果!$V$4:$V$1203,$AG213)=0,"",INDEX(对接源_01水果!$V$4:$V$1203,$AG213)),IF(INDEX(对接源_02物料!$V$4:$V$1203,$AG213-1200)=0,"",INDEX(对接源_02物料!$V$4:$V$1203,$AG213-1200))))</f>
        <v/>
      </c>
      <c r="E213" s="88" t="str">
        <f>IF($AG213="","",IF($AG213&lt;=1200,IF(INDEX(对接源_01水果!$W$4:$W$1203,$AG213)=0,"",INDEX(对接源_01水果!$W$4:$W$1203,$AG213)),IF(INDEX(对接源_02物料!$W$4:$W$1203,$AG213-1200)=0,"",INDEX(对接源_02物料!$W$4:$W$1203,$AG213-1200))))</f>
        <v/>
      </c>
      <c r="F213" s="88" t="str">
        <f t="shared" si="3"/>
        <v/>
      </c>
      <c r="G213" s="115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107" t="str">
        <f>IFERROR(MATCH(42,_自动清单!$U$4:$U$2403,0),"")</f>
        <v/>
      </c>
    </row>
    <row r="214" ht="18" customHeight="1" spans="1:33">
      <c r="A214" s="52" t="str">
        <f>IF($AG214="","",IF($AG214&lt;=1200,IF(INDEX(对接源_01水果!$B$4:$B$1203,$AG214)=0,"",INDEX(对接源_01水果!$B$4:$B$1203,$AG214)),IF(INDEX(对接源_02物料!$B$4:$B$1203,$AG214-1200)=0,"",INDEX(对接源_02物料!$B$4:$B$1203,$AG214-1200))))</f>
        <v/>
      </c>
      <c r="B214" s="53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/>
      </c>
      <c r="C214" s="106" t="str">
        <f>IF($AG214="","",IF($AG214&lt;=1200,IF(INDEX(对接源_01水果!$S$4:$S$1203,$AG214)=0,"",INDEX(对接源_01水果!$S$4:$S$1203,$AG214)),IF(INDEX(对接源_02物料!$S$4:$S$1203,$AG214-1200)=0,"",INDEX(对接源_02物料!$S$4:$S$1203,$AG214-1200))))</f>
        <v/>
      </c>
      <c r="D214" s="116" t="str">
        <f>IF($AG214="","",IF($AG214&lt;=1200,IF(INDEX(对接源_01水果!$V$4:$V$1203,$AG214)=0,"",INDEX(对接源_01水果!$V$4:$V$1203,$AG214)),IF(INDEX(对接源_02物料!$V$4:$V$1203,$AG214-1200)=0,"",INDEX(对接源_02物料!$V$4:$V$1203,$AG214-1200))))</f>
        <v/>
      </c>
      <c r="E214" s="53" t="str">
        <f>IF($AG214="","",IF($AG214&lt;=1200,IF(INDEX(对接源_01水果!$W$4:$W$1203,$AG214)=0,"",INDEX(对接源_01水果!$W$4:$W$1203,$AG214)),IF(INDEX(对接源_02物料!$W$4:$W$1203,$AG214-1200)=0,"",INDEX(对接源_02物料!$W$4:$W$1203,$AG214-1200))))</f>
        <v/>
      </c>
      <c r="F214" s="53" t="str">
        <f t="shared" si="3"/>
        <v/>
      </c>
      <c r="G214" s="106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107" t="str">
        <f>IFERROR(MATCH(43,_自动清单!$U$4:$U$2403,0),"")</f>
        <v/>
      </c>
    </row>
    <row r="215" ht="18" customHeight="1" spans="1:33">
      <c r="A215" s="87" t="str">
        <f>IF($AG215="","",IF($AG215&lt;=1200,IF(INDEX(对接源_01水果!$B$4:$B$1203,$AG215)=0,"",INDEX(对接源_01水果!$B$4:$B$1203,$AG215)),IF(INDEX(对接源_02物料!$B$4:$B$1203,$AG215-1200)=0,"",INDEX(对接源_02物料!$B$4:$B$1203,$AG215-1200))))</f>
        <v/>
      </c>
      <c r="B215" s="88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/>
      </c>
      <c r="C215" s="115" t="str">
        <f>IF($AG215="","",IF($AG215&lt;=1200,IF(INDEX(对接源_01水果!$S$4:$S$1203,$AG215)=0,"",INDEX(对接源_01水果!$S$4:$S$1203,$AG215)),IF(INDEX(对接源_02物料!$S$4:$S$1203,$AG215-1200)=0,"",INDEX(对接源_02物料!$S$4:$S$1203,$AG215-1200))))</f>
        <v/>
      </c>
      <c r="D215" s="117" t="str">
        <f>IF($AG215="","",IF($AG215&lt;=1200,IF(INDEX(对接源_01水果!$V$4:$V$1203,$AG215)=0,"",INDEX(对接源_01水果!$V$4:$V$1203,$AG215)),IF(INDEX(对接源_02物料!$V$4:$V$1203,$AG215-1200)=0,"",INDEX(对接源_02物料!$V$4:$V$1203,$AG215-1200))))</f>
        <v/>
      </c>
      <c r="E215" s="88" t="str">
        <f>IF($AG215="","",IF($AG215&lt;=1200,IF(INDEX(对接源_01水果!$W$4:$W$1203,$AG215)=0,"",INDEX(对接源_01水果!$W$4:$W$1203,$AG215)),IF(INDEX(对接源_02物料!$W$4:$W$1203,$AG215-1200)=0,"",INDEX(对接源_02物料!$W$4:$W$1203,$AG215-1200))))</f>
        <v/>
      </c>
      <c r="F215" s="88" t="str">
        <f t="shared" si="3"/>
        <v/>
      </c>
      <c r="G215" s="115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107" t="str">
        <f>IFERROR(MATCH(44,_自动清单!$U$4:$U$2403,0),"")</f>
        <v/>
      </c>
    </row>
    <row r="216" ht="18" customHeight="1" spans="1:33">
      <c r="A216" s="52" t="str">
        <f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53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106" t="str">
        <f>IF($AG216="","",IF($AG216&lt;=1200,IF(INDEX(对接源_01水果!$S$4:$S$1203,$AG216)=0,"",INDEX(对接源_01水果!$S$4:$S$1203,$AG216)),IF(INDEX(对接源_02物料!$S$4:$S$1203,$AG216-1200)=0,"",INDEX(对接源_02物料!$S$4:$S$1203,$AG216-1200))))</f>
        <v/>
      </c>
      <c r="D216" s="116" t="str">
        <f>IF($AG216="","",IF($AG216&lt;=1200,IF(INDEX(对接源_01水果!$V$4:$V$1203,$AG216)=0,"",INDEX(对接源_01水果!$V$4:$V$1203,$AG216)),IF(INDEX(对接源_02物料!$V$4:$V$1203,$AG216-1200)=0,"",INDEX(对接源_02物料!$V$4:$V$1203,$AG216-1200))))</f>
        <v/>
      </c>
      <c r="E216" s="53" t="str">
        <f>IF($AG216="","",IF($AG216&lt;=1200,IF(INDEX(对接源_01水果!$W$4:$W$1203,$AG216)=0,"",INDEX(对接源_01水果!$W$4:$W$1203,$AG216)),IF(INDEX(对接源_02物料!$W$4:$W$1203,$AG216-1200)=0,"",INDEX(对接源_02物料!$W$4:$W$1203,$AG216-1200))))</f>
        <v/>
      </c>
      <c r="F216" s="53" t="str">
        <f t="shared" si="3"/>
        <v/>
      </c>
      <c r="G216" s="106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107" t="str">
        <f>IFERROR(MATCH(45,_自动清单!$U$4:$U$2403,0),"")</f>
        <v/>
      </c>
    </row>
    <row r="217" ht="18" customHeight="1" spans="1:33">
      <c r="A217" s="87" t="str">
        <f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88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115" t="str">
        <f>IF($AG217="","",IF($AG217&lt;=1200,IF(INDEX(对接源_01水果!$S$4:$S$1203,$AG217)=0,"",INDEX(对接源_01水果!$S$4:$S$1203,$AG217)),IF(INDEX(对接源_02物料!$S$4:$S$1203,$AG217-1200)=0,"",INDEX(对接源_02物料!$S$4:$S$1203,$AG217-1200))))</f>
        <v/>
      </c>
      <c r="D217" s="117" t="str">
        <f>IF($AG217="","",IF($AG217&lt;=1200,IF(INDEX(对接源_01水果!$V$4:$V$1203,$AG217)=0,"",INDEX(对接源_01水果!$V$4:$V$1203,$AG217)),IF(INDEX(对接源_02物料!$V$4:$V$1203,$AG217-1200)=0,"",INDEX(对接源_02物料!$V$4:$V$1203,$AG217-1200))))</f>
        <v/>
      </c>
      <c r="E217" s="88" t="str">
        <f>IF($AG217="","",IF($AG217&lt;=1200,IF(INDEX(对接源_01水果!$W$4:$W$1203,$AG217)=0,"",INDEX(对接源_01水果!$W$4:$W$1203,$AG217)),IF(INDEX(对接源_02物料!$W$4:$W$1203,$AG217-1200)=0,"",INDEX(对接源_02物料!$W$4:$W$1203,$AG217-1200))))</f>
        <v/>
      </c>
      <c r="F217" s="88" t="str">
        <f t="shared" si="3"/>
        <v/>
      </c>
      <c r="G217" s="115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107" t="str">
        <f>IFERROR(MATCH(46,_自动清单!$U$4:$U$2403,0),"")</f>
        <v/>
      </c>
    </row>
    <row r="218" ht="18" customHeight="1" spans="1:33">
      <c r="A218" s="52" t="str">
        <f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53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106" t="str">
        <f>IF($AG218="","",IF($AG218&lt;=1200,IF(INDEX(对接源_01水果!$S$4:$S$1203,$AG218)=0,"",INDEX(对接源_01水果!$S$4:$S$1203,$AG218)),IF(INDEX(对接源_02物料!$S$4:$S$1203,$AG218-1200)=0,"",INDEX(对接源_02物料!$S$4:$S$1203,$AG218-1200))))</f>
        <v/>
      </c>
      <c r="D218" s="116" t="str">
        <f>IF($AG218="","",IF($AG218&lt;=1200,IF(INDEX(对接源_01水果!$V$4:$V$1203,$AG218)=0,"",INDEX(对接源_01水果!$V$4:$V$1203,$AG218)),IF(INDEX(对接源_02物料!$V$4:$V$1203,$AG218-1200)=0,"",INDEX(对接源_02物料!$V$4:$V$1203,$AG218-1200))))</f>
        <v/>
      </c>
      <c r="E218" s="53" t="str">
        <f>IF($AG218="","",IF($AG218&lt;=1200,IF(INDEX(对接源_01水果!$W$4:$W$1203,$AG218)=0,"",INDEX(对接源_01水果!$W$4:$W$1203,$AG218)),IF(INDEX(对接源_02物料!$W$4:$W$1203,$AG218-1200)=0,"",INDEX(对接源_02物料!$W$4:$W$1203,$AG218-1200))))</f>
        <v/>
      </c>
      <c r="F218" s="53" t="str">
        <f t="shared" si="3"/>
        <v/>
      </c>
      <c r="G218" s="106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107" t="str">
        <f>IFERROR(MATCH(47,_自动清单!$U$4:$U$2403,0),"")</f>
        <v/>
      </c>
    </row>
    <row r="219" ht="18" customHeight="1" spans="1:33">
      <c r="A219" s="87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88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115" t="str">
        <f>IF($AG219="","",IF($AG219&lt;=1200,IF(INDEX(对接源_01水果!$S$4:$S$1203,$AG219)=0,"",INDEX(对接源_01水果!$S$4:$S$1203,$AG219)),IF(INDEX(对接源_02物料!$S$4:$S$1203,$AG219-1200)=0,"",INDEX(对接源_02物料!$S$4:$S$1203,$AG219-1200))))</f>
        <v/>
      </c>
      <c r="D219" s="117" t="str">
        <f>IF($AG219="","",IF($AG219&lt;=1200,IF(INDEX(对接源_01水果!$V$4:$V$1203,$AG219)=0,"",INDEX(对接源_01水果!$V$4:$V$1203,$AG219)),IF(INDEX(对接源_02物料!$V$4:$V$1203,$AG219-1200)=0,"",INDEX(对接源_02物料!$V$4:$V$1203,$AG219-1200))))</f>
        <v/>
      </c>
      <c r="E219" s="88" t="str">
        <f>IF($AG219="","",IF($AG219&lt;=1200,IF(INDEX(对接源_01水果!$W$4:$W$1203,$AG219)=0,"",INDEX(对接源_01水果!$W$4:$W$1203,$AG219)),IF(INDEX(对接源_02物料!$W$4:$W$1203,$AG219-1200)=0,"",INDEX(对接源_02物料!$W$4:$W$1203,$AG219-1200))))</f>
        <v/>
      </c>
      <c r="F219" s="88" t="str">
        <f t="shared" si="3"/>
        <v/>
      </c>
      <c r="G219" s="115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107" t="str">
        <f>IFERROR(MATCH(48,_自动清单!$U$4:$U$2403,0),"")</f>
        <v/>
      </c>
    </row>
    <row r="220" ht="18" customHeight="1" spans="1:33">
      <c r="A220" s="52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53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106" t="str">
        <f>IF($AG220="","",IF($AG220&lt;=1200,IF(INDEX(对接源_01水果!$S$4:$S$1203,$AG220)=0,"",INDEX(对接源_01水果!$S$4:$S$1203,$AG220)),IF(INDEX(对接源_02物料!$S$4:$S$1203,$AG220-1200)=0,"",INDEX(对接源_02物料!$S$4:$S$1203,$AG220-1200))))</f>
        <v/>
      </c>
      <c r="D220" s="116" t="str">
        <f>IF($AG220="","",IF($AG220&lt;=1200,IF(INDEX(对接源_01水果!$V$4:$V$1203,$AG220)=0,"",INDEX(对接源_01水果!$V$4:$V$1203,$AG220)),IF(INDEX(对接源_02物料!$V$4:$V$1203,$AG220-1200)=0,"",INDEX(对接源_02物料!$V$4:$V$1203,$AG220-1200))))</f>
        <v/>
      </c>
      <c r="E220" s="53" t="str">
        <f>IF($AG220="","",IF($AG220&lt;=1200,IF(INDEX(对接源_01水果!$W$4:$W$1203,$AG220)=0,"",INDEX(对接源_01水果!$W$4:$W$1203,$AG220)),IF(INDEX(对接源_02物料!$W$4:$W$1203,$AG220-1200)=0,"",INDEX(对接源_02物料!$W$4:$W$1203,$AG220-1200))))</f>
        <v/>
      </c>
      <c r="F220" s="53" t="str">
        <f t="shared" si="3"/>
        <v/>
      </c>
      <c r="G220" s="106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107" t="str">
        <f>IFERROR(MATCH(49,_自动清单!$U$4:$U$2403,0),"")</f>
        <v/>
      </c>
    </row>
    <row r="221" ht="18" customHeight="1" spans="1:33">
      <c r="A221" s="87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88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115" t="str">
        <f>IF($AG221="","",IF($AG221&lt;=1200,IF(INDEX(对接源_01水果!$S$4:$S$1203,$AG221)=0,"",INDEX(对接源_01水果!$S$4:$S$1203,$AG221)),IF(INDEX(对接源_02物料!$S$4:$S$1203,$AG221-1200)=0,"",INDEX(对接源_02物料!$S$4:$S$1203,$AG221-1200))))</f>
        <v/>
      </c>
      <c r="D221" s="117" t="str">
        <f>IF($AG221="","",IF($AG221&lt;=1200,IF(INDEX(对接源_01水果!$V$4:$V$1203,$AG221)=0,"",INDEX(对接源_01水果!$V$4:$V$1203,$AG221)),IF(INDEX(对接源_02物料!$V$4:$V$1203,$AG221-1200)=0,"",INDEX(对接源_02物料!$V$4:$V$1203,$AG221-1200))))</f>
        <v/>
      </c>
      <c r="E221" s="88" t="str">
        <f>IF($AG221="","",IF($AG221&lt;=1200,IF(INDEX(对接源_01水果!$W$4:$W$1203,$AG221)=0,"",INDEX(对接源_01水果!$W$4:$W$1203,$AG221)),IF(INDEX(对接源_02物料!$W$4:$W$1203,$AG221-1200)=0,"",INDEX(对接源_02物料!$W$4:$W$1203,$AG221-1200))))</f>
        <v/>
      </c>
      <c r="F221" s="88" t="str">
        <f t="shared" si="3"/>
        <v/>
      </c>
      <c r="G221" s="115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107" t="str">
        <f>IFERROR(MATCH(50,_自动清单!$U$4:$U$2403,0),"")</f>
        <v/>
      </c>
    </row>
    <row r="222" ht="18" customHeight="1" spans="1:33">
      <c r="A222" s="52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53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106" t="str">
        <f>IF($AG222="","",IF($AG222&lt;=1200,IF(INDEX(对接源_01水果!$S$4:$S$1203,$AG222)=0,"",INDEX(对接源_01水果!$S$4:$S$1203,$AG222)),IF(INDEX(对接源_02物料!$S$4:$S$1203,$AG222-1200)=0,"",INDEX(对接源_02物料!$S$4:$S$1203,$AG222-1200))))</f>
        <v/>
      </c>
      <c r="D222" s="116" t="str">
        <f>IF($AG222="","",IF($AG222&lt;=1200,IF(INDEX(对接源_01水果!$V$4:$V$1203,$AG222)=0,"",INDEX(对接源_01水果!$V$4:$V$1203,$AG222)),IF(INDEX(对接源_02物料!$V$4:$V$1203,$AG222-1200)=0,"",INDEX(对接源_02物料!$V$4:$V$1203,$AG222-1200))))</f>
        <v/>
      </c>
      <c r="E222" s="53" t="str">
        <f>IF($AG222="","",IF($AG222&lt;=1200,IF(INDEX(对接源_01水果!$W$4:$W$1203,$AG222)=0,"",INDEX(对接源_01水果!$W$4:$W$1203,$AG222)),IF(INDEX(对接源_02物料!$W$4:$W$1203,$AG222-1200)=0,"",INDEX(对接源_02物料!$W$4:$W$1203,$AG222-1200))))</f>
        <v/>
      </c>
      <c r="F222" s="53" t="str">
        <f t="shared" si="3"/>
        <v/>
      </c>
      <c r="G222" s="106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107" t="str">
        <f>IFERROR(MATCH(51,_自动清单!$U$4:$U$2403,0),"")</f>
        <v/>
      </c>
    </row>
    <row r="223" ht="18" customHeight="1" spans="1:33">
      <c r="A223" s="87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88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115" t="str">
        <f>IF($AG223="","",IF($AG223&lt;=1200,IF(INDEX(对接源_01水果!$S$4:$S$1203,$AG223)=0,"",INDEX(对接源_01水果!$S$4:$S$1203,$AG223)),IF(INDEX(对接源_02物料!$S$4:$S$1203,$AG223-1200)=0,"",INDEX(对接源_02物料!$S$4:$S$1203,$AG223-1200))))</f>
        <v/>
      </c>
      <c r="D223" s="117" t="str">
        <f>IF($AG223="","",IF($AG223&lt;=1200,IF(INDEX(对接源_01水果!$V$4:$V$1203,$AG223)=0,"",INDEX(对接源_01水果!$V$4:$V$1203,$AG223)),IF(INDEX(对接源_02物料!$V$4:$V$1203,$AG223-1200)=0,"",INDEX(对接源_02物料!$V$4:$V$1203,$AG223-1200))))</f>
        <v/>
      </c>
      <c r="E223" s="88" t="str">
        <f>IF($AG223="","",IF($AG223&lt;=1200,IF(INDEX(对接源_01水果!$W$4:$W$1203,$AG223)=0,"",INDEX(对接源_01水果!$W$4:$W$1203,$AG223)),IF(INDEX(对接源_02物料!$W$4:$W$1203,$AG223-1200)=0,"",INDEX(对接源_02物料!$W$4:$W$1203,$AG223-1200))))</f>
        <v/>
      </c>
      <c r="F223" s="88" t="str">
        <f t="shared" si="3"/>
        <v/>
      </c>
      <c r="G223" s="115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107" t="str">
        <f>IFERROR(MATCH(52,_自动清单!$U$4:$U$2403,0),"")</f>
        <v/>
      </c>
    </row>
    <row r="224" ht="18" customHeight="1" spans="1:33">
      <c r="A224" s="52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53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106" t="str">
        <f>IF($AG224="","",IF($AG224&lt;=1200,IF(INDEX(对接源_01水果!$S$4:$S$1203,$AG224)=0,"",INDEX(对接源_01水果!$S$4:$S$1203,$AG224)),IF(INDEX(对接源_02物料!$S$4:$S$1203,$AG224-1200)=0,"",INDEX(对接源_02物料!$S$4:$S$1203,$AG224-1200))))</f>
        <v/>
      </c>
      <c r="D224" s="116" t="str">
        <f>IF($AG224="","",IF($AG224&lt;=1200,IF(INDEX(对接源_01水果!$V$4:$V$1203,$AG224)=0,"",INDEX(对接源_01水果!$V$4:$V$1203,$AG224)),IF(INDEX(对接源_02物料!$V$4:$V$1203,$AG224-1200)=0,"",INDEX(对接源_02物料!$V$4:$V$1203,$AG224-1200))))</f>
        <v/>
      </c>
      <c r="E224" s="53" t="str">
        <f>IF($AG224="","",IF($AG224&lt;=1200,IF(INDEX(对接源_01水果!$W$4:$W$1203,$AG224)=0,"",INDEX(对接源_01水果!$W$4:$W$1203,$AG224)),IF(INDEX(对接源_02物料!$W$4:$W$1203,$AG224-1200)=0,"",INDEX(对接源_02物料!$W$4:$W$1203,$AG224-1200))))</f>
        <v/>
      </c>
      <c r="F224" s="53" t="str">
        <f t="shared" si="3"/>
        <v/>
      </c>
      <c r="G224" s="106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107" t="str">
        <f>IFERROR(MATCH(53,_自动清单!$U$4:$U$2403,0),"")</f>
        <v/>
      </c>
    </row>
    <row r="225" ht="18" customHeight="1" spans="1:33">
      <c r="A225" s="87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88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115" t="str">
        <f>IF($AG225="","",IF($AG225&lt;=1200,IF(INDEX(对接源_01水果!$S$4:$S$1203,$AG225)=0,"",INDEX(对接源_01水果!$S$4:$S$1203,$AG225)),IF(INDEX(对接源_02物料!$S$4:$S$1203,$AG225-1200)=0,"",INDEX(对接源_02物料!$S$4:$S$1203,$AG225-1200))))</f>
        <v/>
      </c>
      <c r="D225" s="117" t="str">
        <f>IF($AG225="","",IF($AG225&lt;=1200,IF(INDEX(对接源_01水果!$V$4:$V$1203,$AG225)=0,"",INDEX(对接源_01水果!$V$4:$V$1203,$AG225)),IF(INDEX(对接源_02物料!$V$4:$V$1203,$AG225-1200)=0,"",INDEX(对接源_02物料!$V$4:$V$1203,$AG225-1200))))</f>
        <v/>
      </c>
      <c r="E225" s="88" t="str">
        <f>IF($AG225="","",IF($AG225&lt;=1200,IF(INDEX(对接源_01水果!$W$4:$W$1203,$AG225)=0,"",INDEX(对接源_01水果!$W$4:$W$1203,$AG225)),IF(INDEX(对接源_02物料!$W$4:$W$1203,$AG225-1200)=0,"",INDEX(对接源_02物料!$W$4:$W$1203,$AG225-1200))))</f>
        <v/>
      </c>
      <c r="F225" s="88" t="str">
        <f t="shared" si="3"/>
        <v/>
      </c>
      <c r="G225" s="115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107" t="str">
        <f>IFERROR(MATCH(54,_自动清单!$U$4:$U$2403,0),"")</f>
        <v/>
      </c>
    </row>
    <row r="226" ht="18" customHeight="1" spans="1:33">
      <c r="A226" s="52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53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106" t="str">
        <f>IF($AG226="","",IF($AG226&lt;=1200,IF(INDEX(对接源_01水果!$S$4:$S$1203,$AG226)=0,"",INDEX(对接源_01水果!$S$4:$S$1203,$AG226)),IF(INDEX(对接源_02物料!$S$4:$S$1203,$AG226-1200)=0,"",INDEX(对接源_02物料!$S$4:$S$1203,$AG226-1200))))</f>
        <v/>
      </c>
      <c r="D226" s="116" t="str">
        <f>IF($AG226="","",IF($AG226&lt;=1200,IF(INDEX(对接源_01水果!$V$4:$V$1203,$AG226)=0,"",INDEX(对接源_01水果!$V$4:$V$1203,$AG226)),IF(INDEX(对接源_02物料!$V$4:$V$1203,$AG226-1200)=0,"",INDEX(对接源_02物料!$V$4:$V$1203,$AG226-1200))))</f>
        <v/>
      </c>
      <c r="E226" s="53" t="str">
        <f>IF($AG226="","",IF($AG226&lt;=1200,IF(INDEX(对接源_01水果!$W$4:$W$1203,$AG226)=0,"",INDEX(对接源_01水果!$W$4:$W$1203,$AG226)),IF(INDEX(对接源_02物料!$W$4:$W$1203,$AG226-1200)=0,"",INDEX(对接源_02物料!$W$4:$W$1203,$AG226-1200))))</f>
        <v/>
      </c>
      <c r="F226" s="53" t="str">
        <f t="shared" si="3"/>
        <v/>
      </c>
      <c r="G226" s="106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107" t="str">
        <f>IFERROR(MATCH(55,_自动清单!$U$4:$U$2403,0),"")</f>
        <v/>
      </c>
    </row>
    <row r="227" ht="18" customHeight="1" spans="1:33">
      <c r="A227" s="87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88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115" t="str">
        <f>IF($AG227="","",IF($AG227&lt;=1200,IF(INDEX(对接源_01水果!$S$4:$S$1203,$AG227)=0,"",INDEX(对接源_01水果!$S$4:$S$1203,$AG227)),IF(INDEX(对接源_02物料!$S$4:$S$1203,$AG227-1200)=0,"",INDEX(对接源_02物料!$S$4:$S$1203,$AG227-1200))))</f>
        <v/>
      </c>
      <c r="D227" s="117" t="str">
        <f>IF($AG227="","",IF($AG227&lt;=1200,IF(INDEX(对接源_01水果!$V$4:$V$1203,$AG227)=0,"",INDEX(对接源_01水果!$V$4:$V$1203,$AG227)),IF(INDEX(对接源_02物料!$V$4:$V$1203,$AG227-1200)=0,"",INDEX(对接源_02物料!$V$4:$V$1203,$AG227-1200))))</f>
        <v/>
      </c>
      <c r="E227" s="88" t="str">
        <f>IF($AG227="","",IF($AG227&lt;=1200,IF(INDEX(对接源_01水果!$W$4:$W$1203,$AG227)=0,"",INDEX(对接源_01水果!$W$4:$W$1203,$AG227)),IF(INDEX(对接源_02物料!$W$4:$W$1203,$AG227-1200)=0,"",INDEX(对接源_02物料!$W$4:$W$1203,$AG227-1200))))</f>
        <v/>
      </c>
      <c r="F227" s="88" t="str">
        <f t="shared" si="3"/>
        <v/>
      </c>
      <c r="G227" s="115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107" t="str">
        <f>IFERROR(MATCH(56,_自动清单!$U$4:$U$2403,0),"")</f>
        <v/>
      </c>
    </row>
    <row r="228" ht="18" customHeight="1" spans="1:33">
      <c r="A228" s="52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53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106" t="str">
        <f>IF($AG228="","",IF($AG228&lt;=1200,IF(INDEX(对接源_01水果!$S$4:$S$1203,$AG228)=0,"",INDEX(对接源_01水果!$S$4:$S$1203,$AG228)),IF(INDEX(对接源_02物料!$S$4:$S$1203,$AG228-1200)=0,"",INDEX(对接源_02物料!$S$4:$S$1203,$AG228-1200))))</f>
        <v/>
      </c>
      <c r="D228" s="116" t="str">
        <f>IF($AG228="","",IF($AG228&lt;=1200,IF(INDEX(对接源_01水果!$V$4:$V$1203,$AG228)=0,"",INDEX(对接源_01水果!$V$4:$V$1203,$AG228)),IF(INDEX(对接源_02物料!$V$4:$V$1203,$AG228-1200)=0,"",INDEX(对接源_02物料!$V$4:$V$1203,$AG228-1200))))</f>
        <v/>
      </c>
      <c r="E228" s="53" t="str">
        <f>IF($AG228="","",IF($AG228&lt;=1200,IF(INDEX(对接源_01水果!$W$4:$W$1203,$AG228)=0,"",INDEX(对接源_01水果!$W$4:$W$1203,$AG228)),IF(INDEX(对接源_02物料!$W$4:$W$1203,$AG228-1200)=0,"",INDEX(对接源_02物料!$W$4:$W$1203,$AG228-1200))))</f>
        <v/>
      </c>
      <c r="F228" s="53" t="str">
        <f t="shared" si="3"/>
        <v/>
      </c>
      <c r="G228" s="106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107" t="str">
        <f>IFERROR(MATCH(57,_自动清单!$U$4:$U$2403,0),"")</f>
        <v/>
      </c>
    </row>
    <row r="229" ht="18" customHeight="1" spans="1:33">
      <c r="A229" s="87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88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115" t="str">
        <f>IF($AG229="","",IF($AG229&lt;=1200,IF(INDEX(对接源_01水果!$S$4:$S$1203,$AG229)=0,"",INDEX(对接源_01水果!$S$4:$S$1203,$AG229)),IF(INDEX(对接源_02物料!$S$4:$S$1203,$AG229-1200)=0,"",INDEX(对接源_02物料!$S$4:$S$1203,$AG229-1200))))</f>
        <v/>
      </c>
      <c r="D229" s="117" t="str">
        <f>IF($AG229="","",IF($AG229&lt;=1200,IF(INDEX(对接源_01水果!$V$4:$V$1203,$AG229)=0,"",INDEX(对接源_01水果!$V$4:$V$1203,$AG229)),IF(INDEX(对接源_02物料!$V$4:$V$1203,$AG229-1200)=0,"",INDEX(对接源_02物料!$V$4:$V$1203,$AG229-1200))))</f>
        <v/>
      </c>
      <c r="E229" s="88" t="str">
        <f>IF($AG229="","",IF($AG229&lt;=1200,IF(INDEX(对接源_01水果!$W$4:$W$1203,$AG229)=0,"",INDEX(对接源_01水果!$W$4:$W$1203,$AG229)),IF(INDEX(对接源_02物料!$W$4:$W$1203,$AG229-1200)=0,"",INDEX(对接源_02物料!$W$4:$W$1203,$AG229-1200))))</f>
        <v/>
      </c>
      <c r="F229" s="88" t="str">
        <f t="shared" si="3"/>
        <v/>
      </c>
      <c r="G229" s="115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107" t="str">
        <f>IFERROR(MATCH(58,_自动清单!$U$4:$U$2403,0),"")</f>
        <v/>
      </c>
    </row>
    <row r="230" ht="18" customHeight="1" spans="1:33">
      <c r="A230" s="52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53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106" t="str">
        <f>IF($AG230="","",IF($AG230&lt;=1200,IF(INDEX(对接源_01水果!$S$4:$S$1203,$AG230)=0,"",INDEX(对接源_01水果!$S$4:$S$1203,$AG230)),IF(INDEX(对接源_02物料!$S$4:$S$1203,$AG230-1200)=0,"",INDEX(对接源_02物料!$S$4:$S$1203,$AG230-1200))))</f>
        <v/>
      </c>
      <c r="D230" s="116" t="str">
        <f>IF($AG230="","",IF($AG230&lt;=1200,IF(INDEX(对接源_01水果!$V$4:$V$1203,$AG230)=0,"",INDEX(对接源_01水果!$V$4:$V$1203,$AG230)),IF(INDEX(对接源_02物料!$V$4:$V$1203,$AG230-1200)=0,"",INDEX(对接源_02物料!$V$4:$V$1203,$AG230-1200))))</f>
        <v/>
      </c>
      <c r="E230" s="53" t="str">
        <f>IF($AG230="","",IF($AG230&lt;=1200,IF(INDEX(对接源_01水果!$W$4:$W$1203,$AG230)=0,"",INDEX(对接源_01水果!$W$4:$W$1203,$AG230)),IF(INDEX(对接源_02物料!$W$4:$W$1203,$AG230-1200)=0,"",INDEX(对接源_02物料!$W$4:$W$1203,$AG230-1200))))</f>
        <v/>
      </c>
      <c r="F230" s="53" t="str">
        <f t="shared" si="3"/>
        <v/>
      </c>
      <c r="G230" s="106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107" t="str">
        <f>IFERROR(MATCH(59,_自动清单!$U$4:$U$2403,0),"")</f>
        <v/>
      </c>
    </row>
    <row r="231" ht="18" customHeight="1" spans="1:33">
      <c r="A231" s="87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88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115" t="str">
        <f>IF($AG231="","",IF($AG231&lt;=1200,IF(INDEX(对接源_01水果!$S$4:$S$1203,$AG231)=0,"",INDEX(对接源_01水果!$S$4:$S$1203,$AG231)),IF(INDEX(对接源_02物料!$S$4:$S$1203,$AG231-1200)=0,"",INDEX(对接源_02物料!$S$4:$S$1203,$AG231-1200))))</f>
        <v/>
      </c>
      <c r="D231" s="117" t="str">
        <f>IF($AG231="","",IF($AG231&lt;=1200,IF(INDEX(对接源_01水果!$V$4:$V$1203,$AG231)=0,"",INDEX(对接源_01水果!$V$4:$V$1203,$AG231)),IF(INDEX(对接源_02物料!$V$4:$V$1203,$AG231-1200)=0,"",INDEX(对接源_02物料!$V$4:$V$1203,$AG231-1200))))</f>
        <v/>
      </c>
      <c r="E231" s="88" t="str">
        <f>IF($AG231="","",IF($AG231&lt;=1200,IF(INDEX(对接源_01水果!$W$4:$W$1203,$AG231)=0,"",INDEX(对接源_01水果!$W$4:$W$1203,$AG231)),IF(INDEX(对接源_02物料!$W$4:$W$1203,$AG231-1200)=0,"",INDEX(对接源_02物料!$W$4:$W$1203,$AG231-1200))))</f>
        <v/>
      </c>
      <c r="F231" s="88" t="str">
        <f t="shared" si="3"/>
        <v/>
      </c>
      <c r="G231" s="115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107" t="str">
        <f>IFERROR(MATCH(60,_自动清单!$U$4:$U$2403,0),"")</f>
        <v/>
      </c>
    </row>
  </sheetData>
  <mergeCells count="15">
    <mergeCell ref="A1:E1"/>
    <mergeCell ref="F1:G1"/>
    <mergeCell ref="B2:C2"/>
    <mergeCell ref="I2:K2"/>
    <mergeCell ref="A3:G3"/>
    <mergeCell ref="I3:J3"/>
    <mergeCell ref="A4:D4"/>
    <mergeCell ref="E4:G4"/>
    <mergeCell ref="I4:J4"/>
    <mergeCell ref="I5:J5"/>
    <mergeCell ref="I6:J6"/>
    <mergeCell ref="A107:D107"/>
    <mergeCell ref="E107:G107"/>
    <mergeCell ref="A170:D170"/>
    <mergeCell ref="E170:G170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F208"/>
  <sheetViews>
    <sheetView showGridLines="0" workbookViewId="0">
      <pane ySplit="3" topLeftCell="A4" activePane="bottomLeft" state="frozen"/>
      <selection/>
      <selection pane="bottomLeft" activeCell="E6" sqref="E6"/>
    </sheetView>
  </sheetViews>
  <sheetFormatPr defaultColWidth="9" defaultRowHeight="13.5"/>
  <cols>
    <col min="1" max="1" width="12" style="8" customWidth="1"/>
    <col min="2" max="2" width="15" style="8" customWidth="1"/>
    <col min="3" max="3" width="16" style="8" customWidth="1"/>
    <col min="4" max="4" width="18" style="8" customWidth="1"/>
    <col min="5" max="5" width="11" style="8" customWidth="1"/>
    <col min="6" max="6" width="7" style="8" customWidth="1"/>
    <col min="7" max="7" width="10" style="8" customWidth="1"/>
    <col min="8" max="8" width="14" style="8" customWidth="1"/>
    <col min="9" max="9" width="12" style="8" customWidth="1"/>
    <col min="10" max="10" width="18" style="8" customWidth="1"/>
    <col min="11" max="11" width="2" style="8" customWidth="1"/>
    <col min="12" max="13" width="13" style="8" customWidth="1"/>
    <col min="14" max="14" width="12" style="8" customWidth="1"/>
    <col min="15" max="15" width="2" style="8" customWidth="1"/>
    <col min="16" max="16" width="12" style="8" customWidth="1"/>
    <col min="17" max="16384" width="9" style="8"/>
  </cols>
  <sheetData>
    <row r="1" ht="49.5" customHeight="1" spans="1:31">
      <c r="A1" s="35" t="s">
        <v>69</v>
      </c>
      <c r="B1" s="35"/>
      <c r="C1" s="35"/>
      <c r="D1" s="35"/>
      <c r="E1" s="35"/>
      <c r="F1" s="35"/>
      <c r="G1" s="35"/>
      <c r="H1" s="35"/>
      <c r="I1" s="77" t="s">
        <v>70</v>
      </c>
      <c r="J1" s="102"/>
      <c r="P1" s="103">
        <f>IF($F$2="",DATE(1900,1,1),$F$2)</f>
        <v>1</v>
      </c>
    </row>
    <row r="2" ht="25.5" customHeight="1" spans="1:31">
      <c r="A2" s="104" t="s">
        <v>71</v>
      </c>
      <c r="B2" s="79" t="s">
        <v>105</v>
      </c>
      <c r="C2" s="79"/>
      <c r="E2" s="10" t="s">
        <v>73</v>
      </c>
      <c r="F2" s="42"/>
      <c r="G2" s="10" t="s">
        <v>74</v>
      </c>
      <c r="H2" s="42"/>
      <c r="L2" s="80" t="s">
        <v>106</v>
      </c>
      <c r="M2" s="80"/>
      <c r="N2" s="80"/>
      <c r="P2" s="103">
        <f>IF($H$2="",DATE(2999,12,31),$H$2)</f>
        <v>401768</v>
      </c>
    </row>
    <row r="3" ht="19.5" customHeight="1" spans="1:31">
      <c r="A3" s="105" t="s">
        <v>107</v>
      </c>
      <c r="B3" s="105"/>
      <c r="C3" s="105"/>
      <c r="D3" s="105"/>
      <c r="E3" s="105"/>
      <c r="F3" s="105"/>
      <c r="G3" s="105"/>
      <c r="H3" s="105"/>
      <c r="I3" s="105"/>
      <c r="J3" s="105"/>
      <c r="L3" s="49" t="s">
        <v>108</v>
      </c>
      <c r="M3" s="49"/>
      <c r="N3" s="84">
        <f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3375</v>
      </c>
    </row>
    <row r="4" ht="24" customHeight="1" spans="1:31">
      <c r="A4" s="47" t="s">
        <v>109</v>
      </c>
      <c r="B4" s="47"/>
      <c r="C4" s="47"/>
      <c r="D4" s="47"/>
      <c r="E4" s="47"/>
      <c r="F4" s="47"/>
      <c r="G4" s="47"/>
      <c r="H4" s="48">
        <f>ROUND(N($N$3)+N($N$4),2)</f>
        <v>3375</v>
      </c>
      <c r="I4" s="48"/>
      <c r="J4" s="48"/>
      <c r="L4" s="49" t="s">
        <v>110</v>
      </c>
      <c r="M4" s="49"/>
      <c r="N4" s="84">
        <f>ROUND(SUMIFS(对接源_01水果!$K$4:$K$1203,对接源_01水果!$C$4:$C$1203,$B$2,对接源_01水果!$B$4:$B$1203,"&gt;="&amp;$P$1,对接源_01水果!$B$4:$B$1203,"&lt;="&amp;$P$2,对接源_01水果!$D$4:$D$1203,"周转筐－销售出库")+SUMIFS(对接源_02物料!$K$4:$K$1203,对接源_02物料!$C$4:$C$1203,$B$2,对接源_02物料!$B$4:$B$1203,"&gt;="&amp;$P$1,对接源_02物料!$B$4:$B$1203,"&lt;="&amp;$P$2,对接源_02物料!$D$4:$D$1203,"周转筐－销售出库"),2)</f>
        <v>0</v>
      </c>
    </row>
    <row r="5" ht="30" customHeight="1" spans="1:31">
      <c r="A5" s="51" t="s">
        <v>80</v>
      </c>
      <c r="B5" s="51" t="s">
        <v>82</v>
      </c>
      <c r="C5" s="51" t="s">
        <v>111</v>
      </c>
      <c r="D5" s="51" t="s">
        <v>112</v>
      </c>
      <c r="E5" s="51" t="s">
        <v>98</v>
      </c>
      <c r="F5" s="51" t="s">
        <v>113</v>
      </c>
      <c r="G5" s="51" t="s">
        <v>114</v>
      </c>
      <c r="H5" s="51" t="s">
        <v>115</v>
      </c>
      <c r="I5" s="51" t="s">
        <v>116</v>
      </c>
      <c r="J5" s="51" t="s">
        <v>88</v>
      </c>
      <c r="L5" s="49" t="s">
        <v>117</v>
      </c>
      <c r="M5" s="49"/>
      <c r="N5" s="84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－销售出库")+SUMIFS(对接源_02物料!$K$4:$K$1203,对接源_02物料!$C$4:$C$1203,$B$2,对接源_02物料!$B$4:$B$1203,"&gt;="&amp;$P$1,对接源_02物料!$B$4:$B$1203,"&lt;="&amp;$P$2,对接源_02物料!$D$4:$D$1203,"周转筐－销售出库")),2)</f>
        <v>3375</v>
      </c>
    </row>
    <row r="6" ht="18" customHeight="1" spans="1:31">
      <c r="A6" s="52">
        <f>IF($AE6="","",IF($AE6&lt;=1200,IF(INDEX(对接源_01水果!$B$4:$B$1203,$AE6)=0,"",INDEX(对接源_01水果!$B$4:$B$1203,$AE6)),IF(INDEX(对接源_02物料!$B$4:$B$1203,$AE6-1200)=0,"",INDEX(对接源_02物料!$B$4:$B$1203,$AE6-1200))))</f>
        <v>46267</v>
      </c>
      <c r="B6" s="53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NO:0001067</v>
      </c>
      <c r="C6" s="106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香梨网</v>
      </c>
      <c r="D6" s="53" t="str">
        <f>IF($AE6="","",IF(IF($AE6&lt;=1200,IF(INDEX(对接源_01水果!$G$4:$G$1203,$AE6)=0,"",INDEX(对接源_01水果!$G$4:$G$1203,$AE6)),IF(INDEX(对接源_02物料!$G$4:$G$1203,$AE6-1200)=0,"",INDEX(对接源_02物料!$G$4:$G$1203,$AE6-1200)))="",IF($AE6&lt;=1200,IF(INDEX(对接源_01水果!$D$4:$D$1203,$AE6)=0,"",INDEX(对接源_01水果!$D$4:$D$1203,$AE6)),IF(INDEX(对接源_02物料!$D$4:$D$1203,$AE6-1200)=0,"",INDEX(对接源_02物料!$D$4:$D$1203,$AE6-1200))),IF($AE6&lt;=1200,IF(INDEX(对接源_01水果!$G$4:$G$1203,$AE6)=0,"",INDEX(对接源_01水果!$G$4:$G$1203,$AE6)),IF(INDEX(对接源_02物料!$G$4:$G$1203,$AE6-1200)=0,"",INDEX(对接源_02物料!$G$4:$G$1203,$AE6-1200)))))</f>
        <v>*包</v>
      </c>
      <c r="E6" s="55">
        <f>IF($AE6="","",IF($AE6&lt;=1200,IF(INDEX(对接源_01水果!$H$4:$H$1203,$AE6)=0,"",INDEX(对接源_01水果!$H$4:$H$1203,$AE6)),IF(INDEX(对接源_02物料!$H$4:$H$1203,$AE6-1200)=0,"",INDEX(对接源_02物料!$H$4:$H$1203,$AE6-1200))))</f>
        <v>24</v>
      </c>
      <c r="F6" s="53" t="str">
        <f>IF($AE6="","",IF($AE6&lt;=1200,IF(INDEX(对接源_01水果!$I$4:$I$1203,$AE6)=0,"",INDEX(对接源_01水果!$I$4:$I$1203,$AE6)),IF(INDEX(对接源_02物料!$I$4:$I$1203,$AE6-1200)=0,"",INDEX(对接源_02物料!$I$4:$I$1203,$AE6-1200))))</f>
        <v>包</v>
      </c>
      <c r="G6" s="55">
        <f>IF($AE6="","",IF(IF($AE6&lt;=1200,N(INDEX(对接源_01水果!$H$4:$H$1203,$AE6)),N(INDEX(对接源_02物料!$H$4:$H$1203,$AE6-1200)))=0,"",ROUND(IF($AE6&lt;=1200,N(INDEX(对接源_01水果!$K$4:$K$1203,$AE6)),N(INDEX(对接源_02物料!$K$4:$K$1203,$AE6-1200)))/IF($AE6&lt;=1200,N(INDEX(对接源_01水果!$H$4:$H$1203,$AE6)),N(INDEX(对接源_02物料!$H$4:$H$1203,$AE6-1200))),2)))</f>
        <v>45</v>
      </c>
      <c r="H6" s="55">
        <f>IF($AE6="","",IF($AE6&lt;=1200,IF(INDEX(对接源_01水果!$K$4:$K$1203,$AE6)=0,"",INDEX(对接源_01水果!$K$4:$K$1203,$AE6)),IF(INDEX(对接源_02物料!$K$4:$K$1203,$AE6-1200)=0,"",INDEX(对接源_02物料!$K$4:$K$1203,$AE6-1200))))</f>
        <v>1080</v>
      </c>
      <c r="I6" s="53" t="str">
        <f>IF($AE6="","",IF($AE6&lt;=1200,IF(INDEX(对接源_01水果!$L$4:$L$1203,$AE6)=0,"",INDEX(对接源_01水果!$L$4:$L$1203,$AE6)),IF(INDEX(对接源_02物料!$L$4:$L$1203,$AE6-1200)=0,"",INDEX(对接源_02物料!$L$4:$L$1203,$AE6-1200))))</f>
        <v>未付款</v>
      </c>
      <c r="J6" s="106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49" t="s">
        <v>118</v>
      </c>
      <c r="M6" s="49"/>
      <c r="N6" s="84">
        <f>ROUND(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+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0</v>
      </c>
      <c r="AE6" s="107">
        <f>IFERROR(MATCH(1,_自动清单!$AS$4:$AS$2403,0),"")</f>
        <v>1208</v>
      </c>
    </row>
    <row r="7" ht="18" customHeight="1" spans="1:31">
      <c r="A7" s="52">
        <f>IF($AE7="","",IF($AE7&lt;=1200,IF(INDEX(对接源_01水果!$B$4:$B$1203,$AE7)=0,"",INDEX(对接源_01水果!$B$4:$B$1203,$AE7)),IF(INDEX(对接源_02物料!$B$4:$B$1203,$AE7-1200)=0,"",INDEX(对接源_02物料!$B$4:$B$1203,$AE7-1200))))</f>
        <v>46274</v>
      </c>
      <c r="B7" s="53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NO:0001100</v>
      </c>
      <c r="C7" s="106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香梨网</v>
      </c>
      <c r="D7" s="53" t="str">
        <f>IF($AE7="","",IF(IF($AE7&lt;=1200,IF(INDEX(对接源_01水果!$G$4:$G$1203,$AE7)=0,"",INDEX(对接源_01水果!$G$4:$G$1203,$AE7)),IF(INDEX(对接源_02物料!$G$4:$G$1203,$AE7-1200)=0,"",INDEX(对接源_02物料!$G$4:$G$1203,$AE7-1200)))="",IF($AE7&lt;=1200,IF(INDEX(对接源_01水果!$D$4:$D$1203,$AE7)=0,"",INDEX(对接源_01水果!$D$4:$D$1203,$AE7)),IF(INDEX(对接源_02物料!$D$4:$D$1203,$AE7-1200)=0,"",INDEX(对接源_02物料!$D$4:$D$1203,$AE7-1200))),IF($AE7&lt;=1200,IF(INDEX(对接源_01水果!$G$4:$G$1203,$AE7)=0,"",INDEX(对接源_01水果!$G$4:$G$1203,$AE7)),IF(INDEX(对接源_02物料!$G$4:$G$1203,$AE7-1200)=0,"",INDEX(对接源_02物料!$G$4:$G$1203,$AE7-1200)))))</f>
        <v>*包</v>
      </c>
      <c r="E7" s="55">
        <f>IF($AE7="","",IF($AE7&lt;=1200,IF(INDEX(对接源_01水果!$H$4:$H$1203,$AE7)=0,"",INDEX(对接源_01水果!$H$4:$H$1203,$AE7)),IF(INDEX(对接源_02物料!$H$4:$H$1203,$AE7-1200)=0,"",INDEX(对接源_02物料!$H$4:$H$1203,$AE7-1200))))</f>
        <v>12</v>
      </c>
      <c r="F7" s="53" t="str">
        <f>IF($AE7="","",IF($AE7&lt;=1200,IF(INDEX(对接源_01水果!$I$4:$I$1203,$AE7)=0,"",INDEX(对接源_01水果!$I$4:$I$1203,$AE7)),IF(INDEX(对接源_02物料!$I$4:$I$1203,$AE7-1200)=0,"",INDEX(对接源_02物料!$I$4:$I$1203,$AE7-1200))))</f>
        <v>包</v>
      </c>
      <c r="G7" s="55">
        <f>IF($AE7="","",IF(IF($AE7&lt;=1200,N(INDEX(对接源_01水果!$H$4:$H$1203,$AE7)),N(INDEX(对接源_02物料!$H$4:$H$1203,$AE7-1200)))=0,"",ROUND(IF($AE7&lt;=1200,N(INDEX(对接源_01水果!$K$4:$K$1203,$AE7)),N(INDEX(对接源_02物料!$K$4:$K$1203,$AE7-1200)))/IF($AE7&lt;=1200,N(INDEX(对接源_01水果!$H$4:$H$1203,$AE7)),N(INDEX(对接源_02物料!$H$4:$H$1203,$AE7-1200))),2)))</f>
        <v>45</v>
      </c>
      <c r="H7" s="55">
        <f>IF($AE7="","",IF($AE7&lt;=1200,IF(INDEX(对接源_01水果!$K$4:$K$1203,$AE7)=0,"",INDEX(对接源_01水果!$K$4:$K$1203,$AE7)),IF(INDEX(对接源_02物料!$K$4:$K$1203,$AE7-1200)=0,"",INDEX(对接源_02物料!$K$4:$K$1203,$AE7-1200))))</f>
        <v>540</v>
      </c>
      <c r="I7" s="53" t="str">
        <f>IF($AE7="","",IF($AE7&lt;=1200,IF(INDEX(对接源_01水果!$L$4:$L$1203,$AE7)=0,"",INDEX(对接源_01水果!$L$4:$L$1203,$AE7)),IF(INDEX(对接源_02物料!$L$4:$L$1203,$AE7-1200)=0,"",INDEX(对接源_02物料!$L$4:$L$1203,$AE7-1200))))</f>
        <v>未付款</v>
      </c>
      <c r="J7" s="106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L7" s="85" t="s">
        <v>119</v>
      </c>
      <c r="M7" s="85"/>
      <c r="N7" s="108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-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-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3375</v>
      </c>
      <c r="AE7" s="107">
        <f>IFERROR(MATCH(2,_自动清单!$AS$4:$AS$2403,0),"")</f>
        <v>1223</v>
      </c>
    </row>
    <row r="8" ht="18" customHeight="1" spans="1:31">
      <c r="A8" s="52">
        <f>IF($AE8="","",IF($AE8&lt;=1200,IF(INDEX(对接源_01水果!$B$4:$B$1203,$AE8)=0,"",INDEX(对接源_01水果!$B$4:$B$1203,$AE8)),IF(INDEX(对接源_02物料!$B$4:$B$1203,$AE8-1200)=0,"",INDEX(对接源_02物料!$B$4:$B$1203,$AE8-1200))))</f>
        <v>46276</v>
      </c>
      <c r="B8" s="53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NO:0001117</v>
      </c>
      <c r="C8" s="106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香梨网</v>
      </c>
      <c r="D8" s="53" t="str">
        <f>IF($AE8="","",IF(IF($AE8&lt;=1200,IF(INDEX(对接源_01水果!$G$4:$G$1203,$AE8)=0,"",INDEX(对接源_01水果!$G$4:$G$1203,$AE8)),IF(INDEX(对接源_02物料!$G$4:$G$1203,$AE8-1200)=0,"",INDEX(对接源_02物料!$G$4:$G$1203,$AE8-1200)))="",IF($AE8&lt;=1200,IF(INDEX(对接源_01水果!$D$4:$D$1203,$AE8)=0,"",INDEX(对接源_01水果!$D$4:$D$1203,$AE8)),IF(INDEX(对接源_02物料!$D$4:$D$1203,$AE8-1200)=0,"",INDEX(对接源_02物料!$D$4:$D$1203,$AE8-1200))),IF($AE8&lt;=1200,IF(INDEX(对接源_01水果!$G$4:$G$1203,$AE8)=0,"",INDEX(对接源_01水果!$G$4:$G$1203,$AE8)),IF(INDEX(对接源_02物料!$G$4:$G$1203,$AE8-1200)=0,"",INDEX(对接源_02物料!$G$4:$G$1203,$AE8-1200)))))</f>
        <v>*包</v>
      </c>
      <c r="E8" s="55">
        <f>IF($AE8="","",IF($AE8&lt;=1200,IF(INDEX(对接源_01水果!$H$4:$H$1203,$AE8)=0,"",INDEX(对接源_01水果!$H$4:$H$1203,$AE8)),IF(INDEX(对接源_02物料!$H$4:$H$1203,$AE8-1200)=0,"",INDEX(对接源_02物料!$H$4:$H$1203,$AE8-1200))))</f>
        <v>3</v>
      </c>
      <c r="F8" s="53" t="str">
        <f>IF($AE8="","",IF($AE8&lt;=1200,IF(INDEX(对接源_01水果!$I$4:$I$1203,$AE8)=0,"",INDEX(对接源_01水果!$I$4:$I$1203,$AE8)),IF(INDEX(对接源_02物料!$I$4:$I$1203,$AE8-1200)=0,"",INDEX(对接源_02物料!$I$4:$I$1203,$AE8-1200))))</f>
        <v>包</v>
      </c>
      <c r="G8" s="55">
        <f>IF($AE8="","",IF(IF($AE8&lt;=1200,N(INDEX(对接源_01水果!$H$4:$H$1203,$AE8)),N(INDEX(对接源_02物料!$H$4:$H$1203,$AE8-1200)))=0,"",ROUND(IF($AE8&lt;=1200,N(INDEX(对接源_01水果!$K$4:$K$1203,$AE8)),N(INDEX(对接源_02物料!$K$4:$K$1203,$AE8-1200)))/IF($AE8&lt;=1200,N(INDEX(对接源_01水果!$H$4:$H$1203,$AE8)),N(INDEX(对接源_02物料!$H$4:$H$1203,$AE8-1200))),2)))</f>
        <v>45</v>
      </c>
      <c r="H8" s="55">
        <f>IF($AE8="","",IF($AE8&lt;=1200,IF(INDEX(对接源_01水果!$K$4:$K$1203,$AE8)=0,"",INDEX(对接源_01水果!$K$4:$K$1203,$AE8)),IF(INDEX(对接源_02物料!$K$4:$K$1203,$AE8-1200)=0,"",INDEX(对接源_02物料!$K$4:$K$1203,$AE8-1200))))</f>
        <v>135</v>
      </c>
      <c r="I8" s="53" t="str">
        <f>IF($AE8="","",IF($AE8&lt;=1200,IF(INDEX(对接源_01水果!$L$4:$L$1203,$AE8)=0,"",INDEX(对接源_01水果!$L$4:$L$1203,$AE8)),IF(INDEX(对接源_02物料!$L$4:$L$1203,$AE8-1200)=0,"",INDEX(对接源_02物料!$L$4:$L$1203,$AE8-1200))))</f>
        <v>未付款</v>
      </c>
      <c r="J8" s="106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107">
        <f>IFERROR(MATCH(3,_自动清单!$AS$4:$AS$2403,0),"")</f>
        <v>1229</v>
      </c>
    </row>
    <row r="9" ht="18" customHeight="1" spans="1:31">
      <c r="A9" s="52">
        <f>IF($AE9="","",IF($AE9&lt;=1200,IF(INDEX(对接源_01水果!$B$4:$B$1203,$AE9)=0,"",INDEX(对接源_01水果!$B$4:$B$1203,$AE9)),IF(INDEX(对接源_02物料!$B$4:$B$1203,$AE9-1200)=0,"",INDEX(对接源_02物料!$B$4:$B$1203,$AE9-1200))))</f>
        <v>46276</v>
      </c>
      <c r="B9" s="53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NO:0001121</v>
      </c>
      <c r="C9" s="106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香梨网</v>
      </c>
      <c r="D9" s="53" t="str">
        <f>IF($AE9="","",IF(IF($AE9&lt;=1200,IF(INDEX(对接源_01水果!$G$4:$G$1203,$AE9)=0,"",INDEX(对接源_01水果!$G$4:$G$1203,$AE9)),IF(INDEX(对接源_02物料!$G$4:$G$1203,$AE9-1200)=0,"",INDEX(对接源_02物料!$G$4:$G$1203,$AE9-1200)))="",IF($AE9&lt;=1200,IF(INDEX(对接源_01水果!$D$4:$D$1203,$AE9)=0,"",INDEX(对接源_01水果!$D$4:$D$1203,$AE9)),IF(INDEX(对接源_02物料!$D$4:$D$1203,$AE9-1200)=0,"",INDEX(对接源_02物料!$D$4:$D$1203,$AE9-1200))),IF($AE9&lt;=1200,IF(INDEX(对接源_01水果!$G$4:$G$1203,$AE9)=0,"",INDEX(对接源_01水果!$G$4:$G$1203,$AE9)),IF(INDEX(对接源_02物料!$G$4:$G$1203,$AE9-1200)=0,"",INDEX(对接源_02物料!$G$4:$G$1203,$AE9-1200)))))</f>
        <v>*包</v>
      </c>
      <c r="E9" s="55">
        <f>IF($AE9="","",IF($AE9&lt;=1200,IF(INDEX(对接源_01水果!$H$4:$H$1203,$AE9)=0,"",INDEX(对接源_01水果!$H$4:$H$1203,$AE9)),IF(INDEX(对接源_02物料!$H$4:$H$1203,$AE9-1200)=0,"",INDEX(对接源_02物料!$H$4:$H$1203,$AE9-1200))))</f>
        <v>12</v>
      </c>
      <c r="F9" s="53" t="str">
        <f>IF($AE9="","",IF($AE9&lt;=1200,IF(INDEX(对接源_01水果!$I$4:$I$1203,$AE9)=0,"",INDEX(对接源_01水果!$I$4:$I$1203,$AE9)),IF(INDEX(对接源_02物料!$I$4:$I$1203,$AE9-1200)=0,"",INDEX(对接源_02物料!$I$4:$I$1203,$AE9-1200))))</f>
        <v>包</v>
      </c>
      <c r="G9" s="55">
        <f>IF($AE9="","",IF(IF($AE9&lt;=1200,N(INDEX(对接源_01水果!$H$4:$H$1203,$AE9)),N(INDEX(对接源_02物料!$H$4:$H$1203,$AE9-1200)))=0,"",ROUND(IF($AE9&lt;=1200,N(INDEX(对接源_01水果!$K$4:$K$1203,$AE9)),N(INDEX(对接源_02物料!$K$4:$K$1203,$AE9-1200)))/IF($AE9&lt;=1200,N(INDEX(对接源_01水果!$H$4:$H$1203,$AE9)),N(INDEX(对接源_02物料!$H$4:$H$1203,$AE9-1200))),2)))</f>
        <v>45</v>
      </c>
      <c r="H9" s="55">
        <f>IF($AE9="","",IF($AE9&lt;=1200,IF(INDEX(对接源_01水果!$K$4:$K$1203,$AE9)=0,"",INDEX(对接源_01水果!$K$4:$K$1203,$AE9)),IF(INDEX(对接源_02物料!$K$4:$K$1203,$AE9-1200)=0,"",INDEX(对接源_02物料!$K$4:$K$1203,$AE9-1200))))</f>
        <v>540</v>
      </c>
      <c r="I9" s="53" t="str">
        <f>IF($AE9="","",IF($AE9&lt;=1200,IF(INDEX(对接源_01水果!$L$4:$L$1203,$AE9)=0,"",INDEX(对接源_01水果!$L$4:$L$1203,$AE9)),IF(INDEX(对接源_02物料!$L$4:$L$1203,$AE9-1200)=0,"",INDEX(对接源_02物料!$L$4:$L$1203,$AE9-1200))))</f>
        <v>未付款</v>
      </c>
      <c r="J9" s="106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107">
        <f>IFERROR(MATCH(4,_自动清单!$AS$4:$AS$2403,0),"")</f>
        <v>1231</v>
      </c>
    </row>
    <row r="10" ht="18" customHeight="1" spans="1:31">
      <c r="A10" s="52">
        <f>IF($AE10="","",IF($AE10&lt;=1200,IF(INDEX(对接源_01水果!$B$4:$B$1203,$AE10)=0,"",INDEX(对接源_01水果!$B$4:$B$1203,$AE10)),IF(INDEX(对接源_02物料!$B$4:$B$1203,$AE10-1200)=0,"",INDEX(对接源_02物料!$B$4:$B$1203,$AE10-1200))))</f>
        <v>46278</v>
      </c>
      <c r="B10" s="53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NO:0001132</v>
      </c>
      <c r="C10" s="106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香梨网</v>
      </c>
      <c r="D10" s="53" t="str">
        <f>IF($AE10="","",IF(IF($AE10&lt;=1200,IF(INDEX(对接源_01水果!$G$4:$G$1203,$AE10)=0,"",INDEX(对接源_01水果!$G$4:$G$1203,$AE10)),IF(INDEX(对接源_02物料!$G$4:$G$1203,$AE10-1200)=0,"",INDEX(对接源_02物料!$G$4:$G$1203,$AE10-1200)))="",IF($AE10&lt;=1200,IF(INDEX(对接源_01水果!$D$4:$D$1203,$AE10)=0,"",INDEX(对接源_01水果!$D$4:$D$1203,$AE10)),IF(INDEX(对接源_02物料!$D$4:$D$1203,$AE10-1200)=0,"",INDEX(对接源_02物料!$D$4:$D$1203,$AE10-1200))),IF($AE10&lt;=1200,IF(INDEX(对接源_01水果!$G$4:$G$1203,$AE10)=0,"",INDEX(对接源_01水果!$G$4:$G$1203,$AE10)),IF(INDEX(对接源_02物料!$G$4:$G$1203,$AE10-1200)=0,"",INDEX(对接源_02物料!$G$4:$G$1203,$AE10-1200)))))</f>
        <v>*包</v>
      </c>
      <c r="E10" s="55">
        <f>IF($AE10="","",IF($AE10&lt;=1200,IF(INDEX(对接源_01水果!$H$4:$H$1203,$AE10)=0,"",INDEX(对接源_01水果!$H$4:$H$1203,$AE10)),IF(INDEX(对接源_02物料!$H$4:$H$1203,$AE10-1200)=0,"",INDEX(对接源_02物料!$H$4:$H$1203,$AE10-1200))))</f>
        <v>24</v>
      </c>
      <c r="F10" s="53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包</v>
      </c>
      <c r="G10" s="55">
        <f>IF($AE10="","",IF(IF($AE10&lt;=1200,N(INDEX(对接源_01水果!$H$4:$H$1203,$AE10)),N(INDEX(对接源_02物料!$H$4:$H$1203,$AE10-1200)))=0,"",ROUND(IF($AE10&lt;=1200,N(INDEX(对接源_01水果!$K$4:$K$1203,$AE10)),N(INDEX(对接源_02物料!$K$4:$K$1203,$AE10-1200)))/IF($AE10&lt;=1200,N(INDEX(对接源_01水果!$H$4:$H$1203,$AE10)),N(INDEX(对接源_02物料!$H$4:$H$1203,$AE10-1200))),2)))</f>
        <v>45</v>
      </c>
      <c r="H10" s="55">
        <f>IF($AE10="","",IF($AE10&lt;=1200,IF(INDEX(对接源_01水果!$K$4:$K$1203,$AE10)=0,"",INDEX(对接源_01水果!$K$4:$K$1203,$AE10)),IF(INDEX(对接源_02物料!$K$4:$K$1203,$AE10-1200)=0,"",INDEX(对接源_02物料!$K$4:$K$1203,$AE10-1200))))</f>
        <v>1080</v>
      </c>
      <c r="I10" s="53" t="str">
        <f>IF($AE10="","",IF($AE10&lt;=1200,IF(INDEX(对接源_01水果!$L$4:$L$1203,$AE10)=0,"",INDEX(对接源_01水果!$L$4:$L$1203,$AE10)),IF(INDEX(对接源_02物料!$L$4:$L$1203,$AE10-1200)=0,"",INDEX(对接源_02物料!$L$4:$L$1203,$AE10-1200))))</f>
        <v>未付款</v>
      </c>
      <c r="J10" s="106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07">
        <f>IFERROR(MATCH(5,_自动清单!$AS$4:$AS$2403,0),"")</f>
        <v>1235</v>
      </c>
    </row>
    <row r="11" ht="18" customHeight="1" spans="1:31">
      <c r="A11" s="52" t="str">
        <f>IF($AE11="","",IF($AE11&lt;=1200,IF(INDEX(对接源_01水果!$B$4:$B$1203,$AE11)=0,"",INDEX(对接源_01水果!$B$4:$B$1203,$AE11)),IF(INDEX(对接源_02物料!$B$4:$B$1203,$AE11-1200)=0,"",INDEX(对接源_02物料!$B$4:$B$1203,$AE11-1200))))</f>
        <v/>
      </c>
      <c r="B11" s="53" t="str">
        <f>IF($AE11="","",IF($AE11&lt;=1200,IF(INDEX(对接源_01水果!$E$4:$E$1203,$AE11)=0,"",INDEX(对接源_01水果!$E$4:$E$1203,$AE11)),IF(INDEX(对接源_02物料!$E$4:$E$1203,$AE11-1200)=0,"",INDEX(对接源_02物料!$E$4:$E$1203,$AE11-1200))))</f>
        <v/>
      </c>
      <c r="C11" s="106" t="str">
        <f>IF($AE11="","",IF($AE11&lt;=1200,IF(INDEX(对接源_01水果!$F$4:$F$1203,$AE11)=0,"",INDEX(对接源_01水果!$F$4:$F$1203,$AE11)),IF(INDEX(对接源_02物料!$F$4:$F$1203,$AE11-1200)=0,"",INDEX(对接源_02物料!$F$4:$F$1203,$AE11-1200))))</f>
        <v/>
      </c>
      <c r="D11" s="53" t="str">
        <f>IF($AE11="","",IF(IF($AE11&lt;=1200,IF(INDEX(对接源_01水果!$G$4:$G$1203,$AE11)=0,"",INDEX(对接源_01水果!$G$4:$G$1203,$AE11)),IF(INDEX(对接源_02物料!$G$4:$G$1203,$AE11-1200)=0,"",INDEX(对接源_02物料!$G$4:$G$1203,$AE11-1200)))="",IF($AE11&lt;=1200,IF(INDEX(对接源_01水果!$D$4:$D$1203,$AE11)=0,"",INDEX(对接源_01水果!$D$4:$D$1203,$AE11)),IF(INDEX(对接源_02物料!$D$4:$D$1203,$AE11-1200)=0,"",INDEX(对接源_02物料!$D$4:$D$1203,$AE11-1200))),IF($AE11&lt;=1200,IF(INDEX(对接源_01水果!$G$4:$G$1203,$AE11)=0,"",INDEX(对接源_01水果!$G$4:$G$1203,$AE11)),IF(INDEX(对接源_02物料!$G$4:$G$1203,$AE11-1200)=0,"",INDEX(对接源_02物料!$G$4:$G$1203,$AE11-1200)))))</f>
        <v/>
      </c>
      <c r="E11" s="55" t="str">
        <f>IF($AE11="","",IF($AE11&lt;=1200,IF(INDEX(对接源_01水果!$H$4:$H$1203,$AE11)=0,"",INDEX(对接源_01水果!$H$4:$H$1203,$AE11)),IF(INDEX(对接源_02物料!$H$4:$H$1203,$AE11-1200)=0,"",INDEX(对接源_02物料!$H$4:$H$1203,$AE11-1200))))</f>
        <v/>
      </c>
      <c r="F11" s="53" t="str">
        <f>IF($AE11="","",IF($AE11&lt;=1200,IF(INDEX(对接源_01水果!$I$4:$I$1203,$AE11)=0,"",INDEX(对接源_01水果!$I$4:$I$1203,$AE11)),IF(INDEX(对接源_02物料!$I$4:$I$1203,$AE11-1200)=0,"",INDEX(对接源_02物料!$I$4:$I$1203,$AE11-1200))))</f>
        <v/>
      </c>
      <c r="G11" s="55" t="str">
        <f>IF($AE11="","",IF(IF($AE11&lt;=1200,N(INDEX(对接源_01水果!$H$4:$H$1203,$AE11)),N(INDEX(对接源_02物料!$H$4:$H$1203,$AE11-1200)))=0,"",ROUND(IF($AE11&lt;=1200,N(INDEX(对接源_01水果!$K$4:$K$1203,$AE11)),N(INDEX(对接源_02物料!$K$4:$K$1203,$AE11-1200)))/IF($AE11&lt;=1200,N(INDEX(对接源_01水果!$H$4:$H$1203,$AE11)),N(INDEX(对接源_02物料!$H$4:$H$1203,$AE11-1200))),2)))</f>
        <v/>
      </c>
      <c r="H11" s="55" t="str">
        <f>IF($AE11="","",IF($AE11&lt;=1200,IF(INDEX(对接源_01水果!$K$4:$K$1203,$AE11)=0,"",INDEX(对接源_01水果!$K$4:$K$1203,$AE11)),IF(INDEX(对接源_02物料!$K$4:$K$1203,$AE11-1200)=0,"",INDEX(对接源_02物料!$K$4:$K$1203,$AE11-1200))))</f>
        <v/>
      </c>
      <c r="I11" s="53" t="str">
        <f>IF($AE11="","",IF($AE11&lt;=1200,IF(INDEX(对接源_01水果!$L$4:$L$1203,$AE11)=0,"",INDEX(对接源_01水果!$L$4:$L$1203,$AE11)),IF(INDEX(对接源_02物料!$L$4:$L$1203,$AE11-1200)=0,"",INDEX(对接源_02物料!$L$4:$L$1203,$AE11-1200))))</f>
        <v/>
      </c>
      <c r="J11" s="106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07" t="str">
        <f>IFERROR(MATCH(6,_自动清单!$AS$4:$AS$2403,0),"")</f>
        <v/>
      </c>
    </row>
    <row r="12" ht="18" customHeight="1" spans="1:31">
      <c r="A12" s="52" t="str">
        <f>IF($AE12="","",IF($AE12&lt;=1200,IF(INDEX(对接源_01水果!$B$4:$B$1203,$AE12)=0,"",INDEX(对接源_01水果!$B$4:$B$1203,$AE12)),IF(INDEX(对接源_02物料!$B$4:$B$1203,$AE12-1200)=0,"",INDEX(对接源_02物料!$B$4:$B$1203,$AE12-1200))))</f>
        <v/>
      </c>
      <c r="B12" s="53" t="str">
        <f>IF($AE12="","",IF($AE12&lt;=1200,IF(INDEX(对接源_01水果!$E$4:$E$1203,$AE12)=0,"",INDEX(对接源_01水果!$E$4:$E$1203,$AE12)),IF(INDEX(对接源_02物料!$E$4:$E$1203,$AE12-1200)=0,"",INDEX(对接源_02物料!$E$4:$E$1203,$AE12-1200))))</f>
        <v/>
      </c>
      <c r="C12" s="106" t="str">
        <f>IF($AE12="","",IF($AE12&lt;=1200,IF(INDEX(对接源_01水果!$F$4:$F$1203,$AE12)=0,"",INDEX(对接源_01水果!$F$4:$F$1203,$AE12)),IF(INDEX(对接源_02物料!$F$4:$F$1203,$AE12-1200)=0,"",INDEX(对接源_02物料!$F$4:$F$1203,$AE12-1200))))</f>
        <v/>
      </c>
      <c r="D12" s="53" t="str">
        <f>IF($AE12="","",IF(IF($AE12&lt;=1200,IF(INDEX(对接源_01水果!$G$4:$G$1203,$AE12)=0,"",INDEX(对接源_01水果!$G$4:$G$1203,$AE12)),IF(INDEX(对接源_02物料!$G$4:$G$1203,$AE12-1200)=0,"",INDEX(对接源_02物料!$G$4:$G$1203,$AE12-1200)))="",IF($AE12&lt;=1200,IF(INDEX(对接源_01水果!$D$4:$D$1203,$AE12)=0,"",INDEX(对接源_01水果!$D$4:$D$1203,$AE12)),IF(INDEX(对接源_02物料!$D$4:$D$1203,$AE12-1200)=0,"",INDEX(对接源_02物料!$D$4:$D$1203,$AE12-1200))),IF($AE12&lt;=1200,IF(INDEX(对接源_01水果!$G$4:$G$1203,$AE12)=0,"",INDEX(对接源_01水果!$G$4:$G$1203,$AE12)),IF(INDEX(对接源_02物料!$G$4:$G$1203,$AE12-1200)=0,"",INDEX(对接源_02物料!$G$4:$G$1203,$AE12-1200)))))</f>
        <v/>
      </c>
      <c r="E12" s="55" t="str">
        <f>IF($AE12="","",IF($AE12&lt;=1200,IF(INDEX(对接源_01水果!$H$4:$H$1203,$AE12)=0,"",INDEX(对接源_01水果!$H$4:$H$1203,$AE12)),IF(INDEX(对接源_02物料!$H$4:$H$1203,$AE12-1200)=0,"",INDEX(对接源_02物料!$H$4:$H$1203,$AE12-1200))))</f>
        <v/>
      </c>
      <c r="F12" s="53" t="str">
        <f>IF($AE12="","",IF($AE12&lt;=1200,IF(INDEX(对接源_01水果!$I$4:$I$1203,$AE12)=0,"",INDEX(对接源_01水果!$I$4:$I$1203,$AE12)),IF(INDEX(对接源_02物料!$I$4:$I$1203,$AE12-1200)=0,"",INDEX(对接源_02物料!$I$4:$I$1203,$AE12-1200))))</f>
        <v/>
      </c>
      <c r="G12" s="55" t="str">
        <f>IF($AE12="","",IF(IF($AE12&lt;=1200,N(INDEX(对接源_01水果!$H$4:$H$1203,$AE12)),N(INDEX(对接源_02物料!$H$4:$H$1203,$AE12-1200)))=0,"",ROUND(IF($AE12&lt;=1200,N(INDEX(对接源_01水果!$K$4:$K$1203,$AE12)),N(INDEX(对接源_02物料!$K$4:$K$1203,$AE12-1200)))/IF($AE12&lt;=1200,N(INDEX(对接源_01水果!$H$4:$H$1203,$AE12)),N(INDEX(对接源_02物料!$H$4:$H$1203,$AE12-1200))),2)))</f>
        <v/>
      </c>
      <c r="H12" s="55" t="str">
        <f>IF($AE12="","",IF($AE12&lt;=1200,IF(INDEX(对接源_01水果!$K$4:$K$1203,$AE12)=0,"",INDEX(对接源_01水果!$K$4:$K$1203,$AE12)),IF(INDEX(对接源_02物料!$K$4:$K$1203,$AE12-1200)=0,"",INDEX(对接源_02物料!$K$4:$K$1203,$AE12-1200))))</f>
        <v/>
      </c>
      <c r="I12" s="53" t="str">
        <f>IF($AE12="","",IF($AE12&lt;=1200,IF(INDEX(对接源_01水果!$L$4:$L$1203,$AE12)=0,"",INDEX(对接源_01水果!$L$4:$L$1203,$AE12)),IF(INDEX(对接源_02物料!$L$4:$L$1203,$AE12-1200)=0,"",INDEX(对接源_02物料!$L$4:$L$1203,$AE12-1200))))</f>
        <v/>
      </c>
      <c r="J12" s="106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07" t="str">
        <f>IFERROR(MATCH(7,_自动清单!$AS$4:$AS$2403,0),"")</f>
        <v/>
      </c>
    </row>
    <row r="13" ht="18" customHeight="1" spans="1:31">
      <c r="A13" s="52" t="str">
        <f>IF($AE13="","",IF($AE13&lt;=1200,IF(INDEX(对接源_01水果!$B$4:$B$1203,$AE13)=0,"",INDEX(对接源_01水果!$B$4:$B$1203,$AE13)),IF(INDEX(对接源_02物料!$B$4:$B$1203,$AE13-1200)=0,"",INDEX(对接源_02物料!$B$4:$B$1203,$AE13-1200))))</f>
        <v/>
      </c>
      <c r="B13" s="53" t="str">
        <f>IF($AE13="","",IF($AE13&lt;=1200,IF(INDEX(对接源_01水果!$E$4:$E$1203,$AE13)=0,"",INDEX(对接源_01水果!$E$4:$E$1203,$AE13)),IF(INDEX(对接源_02物料!$E$4:$E$1203,$AE13-1200)=0,"",INDEX(对接源_02物料!$E$4:$E$1203,$AE13-1200))))</f>
        <v/>
      </c>
      <c r="C13" s="106" t="str">
        <f>IF($AE13="","",IF($AE13&lt;=1200,IF(INDEX(对接源_01水果!$F$4:$F$1203,$AE13)=0,"",INDEX(对接源_01水果!$F$4:$F$1203,$AE13)),IF(INDEX(对接源_02物料!$F$4:$F$1203,$AE13-1200)=0,"",INDEX(对接源_02物料!$F$4:$F$1203,$AE13-1200))))</f>
        <v/>
      </c>
      <c r="D13" s="53" t="str">
        <f>IF($AE13="","",IF(IF($AE13&lt;=1200,IF(INDEX(对接源_01水果!$G$4:$G$1203,$AE13)=0,"",INDEX(对接源_01水果!$G$4:$G$1203,$AE13)),IF(INDEX(对接源_02物料!$G$4:$G$1203,$AE13-1200)=0,"",INDEX(对接源_02物料!$G$4:$G$1203,$AE13-1200)))="",IF($AE13&lt;=1200,IF(INDEX(对接源_01水果!$D$4:$D$1203,$AE13)=0,"",INDEX(对接源_01水果!$D$4:$D$1203,$AE13)),IF(INDEX(对接源_02物料!$D$4:$D$1203,$AE13-1200)=0,"",INDEX(对接源_02物料!$D$4:$D$1203,$AE13-1200))),IF($AE13&lt;=1200,IF(INDEX(对接源_01水果!$G$4:$G$1203,$AE13)=0,"",INDEX(对接源_01水果!$G$4:$G$1203,$AE13)),IF(INDEX(对接源_02物料!$G$4:$G$1203,$AE13-1200)=0,"",INDEX(对接源_02物料!$G$4:$G$1203,$AE13-1200)))))</f>
        <v/>
      </c>
      <c r="E13" s="55" t="str">
        <f>IF($AE13="","",IF($AE13&lt;=1200,IF(INDEX(对接源_01水果!$H$4:$H$1203,$AE13)=0,"",INDEX(对接源_01水果!$H$4:$H$1203,$AE13)),IF(INDEX(对接源_02物料!$H$4:$H$1203,$AE13-1200)=0,"",INDEX(对接源_02物料!$H$4:$H$1203,$AE13-1200))))</f>
        <v/>
      </c>
      <c r="F13" s="53" t="str">
        <f>IF($AE13="","",IF($AE13&lt;=1200,IF(INDEX(对接源_01水果!$I$4:$I$1203,$AE13)=0,"",INDEX(对接源_01水果!$I$4:$I$1203,$AE13)),IF(INDEX(对接源_02物料!$I$4:$I$1203,$AE13-1200)=0,"",INDEX(对接源_02物料!$I$4:$I$1203,$AE13-1200))))</f>
        <v/>
      </c>
      <c r="G13" s="55" t="str">
        <f>IF($AE13="","",IF(IF($AE13&lt;=1200,N(INDEX(对接源_01水果!$H$4:$H$1203,$AE13)),N(INDEX(对接源_02物料!$H$4:$H$1203,$AE13-1200)))=0,"",ROUND(IF($AE13&lt;=1200,N(INDEX(对接源_01水果!$K$4:$K$1203,$AE13)),N(INDEX(对接源_02物料!$K$4:$K$1203,$AE13-1200)))/IF($AE13&lt;=1200,N(INDEX(对接源_01水果!$H$4:$H$1203,$AE13)),N(INDEX(对接源_02物料!$H$4:$H$1203,$AE13-1200))),2)))</f>
        <v/>
      </c>
      <c r="H13" s="55" t="str">
        <f>IF($AE13="","",IF($AE13&lt;=1200,IF(INDEX(对接源_01水果!$K$4:$K$1203,$AE13)=0,"",INDEX(对接源_01水果!$K$4:$K$1203,$AE13)),IF(INDEX(对接源_02物料!$K$4:$K$1203,$AE13-1200)=0,"",INDEX(对接源_02物料!$K$4:$K$1203,$AE13-1200))))</f>
        <v/>
      </c>
      <c r="I13" s="53" t="str">
        <f>IF($AE13="","",IF($AE13&lt;=1200,IF(INDEX(对接源_01水果!$L$4:$L$1203,$AE13)=0,"",INDEX(对接源_01水果!$L$4:$L$1203,$AE13)),IF(INDEX(对接源_02物料!$L$4:$L$1203,$AE13-1200)=0,"",INDEX(对接源_02物料!$L$4:$L$1203,$AE13-1200))))</f>
        <v/>
      </c>
      <c r="J13" s="106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07" t="str">
        <f>IFERROR(MATCH(8,_自动清单!$AS$4:$AS$2403,0),"")</f>
        <v/>
      </c>
    </row>
    <row r="14" ht="18" customHeight="1" spans="1:31">
      <c r="A14" s="52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53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C14" s="106" t="str">
        <f>IF($AE14="","",IF($AE14&lt;=1200,IF(INDEX(对接源_01水果!$F$4:$F$1203,$AE14)=0,"",INDEX(对接源_01水果!$F$4:$F$1203,$AE14)),IF(INDEX(对接源_02物料!$F$4:$F$1203,$AE14-1200)=0,"",INDEX(对接源_02物料!$F$4:$F$1203,$AE14-1200))))</f>
        <v/>
      </c>
      <c r="D14" s="53" t="str">
        <f>IF($AE14="","",IF(IF($AE14&lt;=1200,IF(INDEX(对接源_01水果!$G$4:$G$1203,$AE14)=0,"",INDEX(对接源_01水果!$G$4:$G$1203,$AE14)),IF(INDEX(对接源_02物料!$G$4:$G$1203,$AE14-1200)=0,"",INDEX(对接源_02物料!$G$4:$G$1203,$AE14-1200)))="",IF($AE14&lt;=1200,IF(INDEX(对接源_01水果!$D$4:$D$1203,$AE14)=0,"",INDEX(对接源_01水果!$D$4:$D$1203,$AE14)),IF(INDEX(对接源_02物料!$D$4:$D$1203,$AE14-1200)=0,"",INDEX(对接源_02物料!$D$4:$D$1203,$AE14-1200))),IF($AE14&lt;=1200,IF(INDEX(对接源_01水果!$G$4:$G$1203,$AE14)=0,"",INDEX(对接源_01水果!$G$4:$G$1203,$AE14)),IF(INDEX(对接源_02物料!$G$4:$G$1203,$AE14-1200)=0,"",INDEX(对接源_02物料!$G$4:$G$1203,$AE14-1200)))))</f>
        <v/>
      </c>
      <c r="E14" s="55" t="str">
        <f>IF($AE14="","",IF($AE14&lt;=1200,IF(INDEX(对接源_01水果!$H$4:$H$1203,$AE14)=0,"",INDEX(对接源_01水果!$H$4:$H$1203,$AE14)),IF(INDEX(对接源_02物料!$H$4:$H$1203,$AE14-1200)=0,"",INDEX(对接源_02物料!$H$4:$H$1203,$AE14-1200))))</f>
        <v/>
      </c>
      <c r="F14" s="53" t="str">
        <f>IF($AE14="","",IF($AE14&lt;=1200,IF(INDEX(对接源_01水果!$I$4:$I$1203,$AE14)=0,"",INDEX(对接源_01水果!$I$4:$I$1203,$AE14)),IF(INDEX(对接源_02物料!$I$4:$I$1203,$AE14-1200)=0,"",INDEX(对接源_02物料!$I$4:$I$1203,$AE14-1200))))</f>
        <v/>
      </c>
      <c r="G14" s="55" t="str">
        <f>IF($AE14="","",IF(IF($AE14&lt;=1200,N(INDEX(对接源_01水果!$H$4:$H$1203,$AE14)),N(INDEX(对接源_02物料!$H$4:$H$1203,$AE14-1200)))=0,"",ROUND(IF($AE14&lt;=1200,N(INDEX(对接源_01水果!$K$4:$K$1203,$AE14)),N(INDEX(对接源_02物料!$K$4:$K$1203,$AE14-1200)))/IF($AE14&lt;=1200,N(INDEX(对接源_01水果!$H$4:$H$1203,$AE14)),N(INDEX(对接源_02物料!$H$4:$H$1203,$AE14-1200))),2)))</f>
        <v/>
      </c>
      <c r="H14" s="55" t="str">
        <f>IF($AE14="","",IF($AE14&lt;=1200,IF(INDEX(对接源_01水果!$K$4:$K$1203,$AE14)=0,"",INDEX(对接源_01水果!$K$4:$K$1203,$AE14)),IF(INDEX(对接源_02物料!$K$4:$K$1203,$AE14-1200)=0,"",INDEX(对接源_02物料!$K$4:$K$1203,$AE14-1200))))</f>
        <v/>
      </c>
      <c r="I14" s="53" t="str">
        <f>IF($AE14="","",IF($AE14&lt;=1200,IF(INDEX(对接源_01水果!$L$4:$L$1203,$AE14)=0,"",INDEX(对接源_01水果!$L$4:$L$1203,$AE14)),IF(INDEX(对接源_02物料!$L$4:$L$1203,$AE14-1200)=0,"",INDEX(对接源_02物料!$L$4:$L$1203,$AE14-1200))))</f>
        <v/>
      </c>
      <c r="J14" s="106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107" t="str">
        <f>IFERROR(MATCH(9,_自动清单!$AS$4:$AS$2403,0),"")</f>
        <v/>
      </c>
    </row>
    <row r="15" ht="18" customHeight="1" spans="1:31">
      <c r="A15" s="52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53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C15" s="106" t="str">
        <f>IF($AE15="","",IF($AE15&lt;=1200,IF(INDEX(对接源_01水果!$F$4:$F$1203,$AE15)=0,"",INDEX(对接源_01水果!$F$4:$F$1203,$AE15)),IF(INDEX(对接源_02物料!$F$4:$F$1203,$AE15-1200)=0,"",INDEX(对接源_02物料!$F$4:$F$1203,$AE15-1200))))</f>
        <v/>
      </c>
      <c r="D15" s="53" t="str">
        <f>IF($AE15="","",IF(IF($AE15&lt;=1200,IF(INDEX(对接源_01水果!$G$4:$G$1203,$AE15)=0,"",INDEX(对接源_01水果!$G$4:$G$1203,$AE15)),IF(INDEX(对接源_02物料!$G$4:$G$1203,$AE15-1200)=0,"",INDEX(对接源_02物料!$G$4:$G$1203,$AE15-1200)))="",IF($AE15&lt;=1200,IF(INDEX(对接源_01水果!$D$4:$D$1203,$AE15)=0,"",INDEX(对接源_01水果!$D$4:$D$1203,$AE15)),IF(INDEX(对接源_02物料!$D$4:$D$1203,$AE15-1200)=0,"",INDEX(对接源_02物料!$D$4:$D$1203,$AE15-1200))),IF($AE15&lt;=1200,IF(INDEX(对接源_01水果!$G$4:$G$1203,$AE15)=0,"",INDEX(对接源_01水果!$G$4:$G$1203,$AE15)),IF(INDEX(对接源_02物料!$G$4:$G$1203,$AE15-1200)=0,"",INDEX(对接源_02物料!$G$4:$G$1203,$AE15-1200)))))</f>
        <v/>
      </c>
      <c r="E15" s="55" t="str">
        <f>IF($AE15="","",IF($AE15&lt;=1200,IF(INDEX(对接源_01水果!$H$4:$H$1203,$AE15)=0,"",INDEX(对接源_01水果!$H$4:$H$1203,$AE15)),IF(INDEX(对接源_02物料!$H$4:$H$1203,$AE15-1200)=0,"",INDEX(对接源_02物料!$H$4:$H$1203,$AE15-1200))))</f>
        <v/>
      </c>
      <c r="F15" s="53" t="str">
        <f>IF($AE15="","",IF($AE15&lt;=1200,IF(INDEX(对接源_01水果!$I$4:$I$1203,$AE15)=0,"",INDEX(对接源_01水果!$I$4:$I$1203,$AE15)),IF(INDEX(对接源_02物料!$I$4:$I$1203,$AE15-1200)=0,"",INDEX(对接源_02物料!$I$4:$I$1203,$AE15-1200))))</f>
        <v/>
      </c>
      <c r="G15" s="55" t="str">
        <f>IF($AE15="","",IF(IF($AE15&lt;=1200,N(INDEX(对接源_01水果!$H$4:$H$1203,$AE15)),N(INDEX(对接源_02物料!$H$4:$H$1203,$AE15-1200)))=0,"",ROUND(IF($AE15&lt;=1200,N(INDEX(对接源_01水果!$K$4:$K$1203,$AE15)),N(INDEX(对接源_02物料!$K$4:$K$1203,$AE15-1200)))/IF($AE15&lt;=1200,N(INDEX(对接源_01水果!$H$4:$H$1203,$AE15)),N(INDEX(对接源_02物料!$H$4:$H$1203,$AE15-1200))),2)))</f>
        <v/>
      </c>
      <c r="H15" s="55" t="str">
        <f>IF($AE15="","",IF($AE15&lt;=1200,IF(INDEX(对接源_01水果!$K$4:$K$1203,$AE15)=0,"",INDEX(对接源_01水果!$K$4:$K$1203,$AE15)),IF(INDEX(对接源_02物料!$K$4:$K$1203,$AE15-1200)=0,"",INDEX(对接源_02物料!$K$4:$K$1203,$AE15-1200))))</f>
        <v/>
      </c>
      <c r="I15" s="53" t="str">
        <f>IF($AE15="","",IF($AE15&lt;=1200,IF(INDEX(对接源_01水果!$L$4:$L$1203,$AE15)=0,"",INDEX(对接源_01水果!$L$4:$L$1203,$AE15)),IF(INDEX(对接源_02物料!$L$4:$L$1203,$AE15-1200)=0,"",INDEX(对接源_02物料!$L$4:$L$1203,$AE15-1200))))</f>
        <v/>
      </c>
      <c r="J15" s="106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107" t="str">
        <f>IFERROR(MATCH(10,_自动清单!$AS$4:$AS$2403,0),"")</f>
        <v/>
      </c>
    </row>
    <row r="16" ht="18" customHeight="1" spans="1:31">
      <c r="A16" s="52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53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C16" s="106" t="str">
        <f>IF($AE16="","",IF($AE16&lt;=1200,IF(INDEX(对接源_01水果!$F$4:$F$1203,$AE16)=0,"",INDEX(对接源_01水果!$F$4:$F$1203,$AE16)),IF(INDEX(对接源_02物料!$F$4:$F$1203,$AE16-1200)=0,"",INDEX(对接源_02物料!$F$4:$F$1203,$AE16-1200))))</f>
        <v/>
      </c>
      <c r="D16" s="53" t="str">
        <f>IF($AE16="","",IF(IF($AE16&lt;=1200,IF(INDEX(对接源_01水果!$G$4:$G$1203,$AE16)=0,"",INDEX(对接源_01水果!$G$4:$G$1203,$AE16)),IF(INDEX(对接源_02物料!$G$4:$G$1203,$AE16-1200)=0,"",INDEX(对接源_02物料!$G$4:$G$1203,$AE16-1200)))="",IF($AE16&lt;=1200,IF(INDEX(对接源_01水果!$D$4:$D$1203,$AE16)=0,"",INDEX(对接源_01水果!$D$4:$D$1203,$AE16)),IF(INDEX(对接源_02物料!$D$4:$D$1203,$AE16-1200)=0,"",INDEX(对接源_02物料!$D$4:$D$1203,$AE16-1200))),IF($AE16&lt;=1200,IF(INDEX(对接源_01水果!$G$4:$G$1203,$AE16)=0,"",INDEX(对接源_01水果!$G$4:$G$1203,$AE16)),IF(INDEX(对接源_02物料!$G$4:$G$1203,$AE16-1200)=0,"",INDEX(对接源_02物料!$G$4:$G$1203,$AE16-1200)))))</f>
        <v/>
      </c>
      <c r="E16" s="55" t="str">
        <f>IF($AE16="","",IF($AE16&lt;=1200,IF(INDEX(对接源_01水果!$H$4:$H$1203,$AE16)=0,"",INDEX(对接源_01水果!$H$4:$H$1203,$AE16)),IF(INDEX(对接源_02物料!$H$4:$H$1203,$AE16-1200)=0,"",INDEX(对接源_02物料!$H$4:$H$1203,$AE16-1200))))</f>
        <v/>
      </c>
      <c r="F16" s="53" t="str">
        <f>IF($AE16="","",IF($AE16&lt;=1200,IF(INDEX(对接源_01水果!$I$4:$I$1203,$AE16)=0,"",INDEX(对接源_01水果!$I$4:$I$1203,$AE16)),IF(INDEX(对接源_02物料!$I$4:$I$1203,$AE16-1200)=0,"",INDEX(对接源_02物料!$I$4:$I$1203,$AE16-1200))))</f>
        <v/>
      </c>
      <c r="G16" s="55" t="str">
        <f>IF($AE16="","",IF(IF($AE16&lt;=1200,N(INDEX(对接源_01水果!$H$4:$H$1203,$AE16)),N(INDEX(对接源_02物料!$H$4:$H$1203,$AE16-1200)))=0,"",ROUND(IF($AE16&lt;=1200,N(INDEX(对接源_01水果!$K$4:$K$1203,$AE16)),N(INDEX(对接源_02物料!$K$4:$K$1203,$AE16-1200)))/IF($AE16&lt;=1200,N(INDEX(对接源_01水果!$H$4:$H$1203,$AE16)),N(INDEX(对接源_02物料!$H$4:$H$1203,$AE16-1200))),2)))</f>
        <v/>
      </c>
      <c r="H16" s="55" t="str">
        <f>IF($AE16="","",IF($AE16&lt;=1200,IF(INDEX(对接源_01水果!$K$4:$K$1203,$AE16)=0,"",INDEX(对接源_01水果!$K$4:$K$1203,$AE16)),IF(INDEX(对接源_02物料!$K$4:$K$1203,$AE16-1200)=0,"",INDEX(对接源_02物料!$K$4:$K$1203,$AE16-1200))))</f>
        <v/>
      </c>
      <c r="I16" s="53" t="str">
        <f>IF($AE16="","",IF($AE16&lt;=1200,IF(INDEX(对接源_01水果!$L$4:$L$1203,$AE16)=0,"",INDEX(对接源_01水果!$L$4:$L$1203,$AE16)),IF(INDEX(对接源_02物料!$L$4:$L$1203,$AE16-1200)=0,"",INDEX(对接源_02物料!$L$4:$L$1203,$AE16-1200))))</f>
        <v/>
      </c>
      <c r="J16" s="106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107" t="str">
        <f>IFERROR(MATCH(11,_自动清单!$AS$4:$AS$2403,0),"")</f>
        <v/>
      </c>
    </row>
    <row r="17" ht="18" customHeight="1" spans="1:31">
      <c r="A17" s="52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53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C17" s="106" t="str">
        <f>IF($AE17="","",IF($AE17&lt;=1200,IF(INDEX(对接源_01水果!$F$4:$F$1203,$AE17)=0,"",INDEX(对接源_01水果!$F$4:$F$1203,$AE17)),IF(INDEX(对接源_02物料!$F$4:$F$1203,$AE17-1200)=0,"",INDEX(对接源_02物料!$F$4:$F$1203,$AE17-1200))))</f>
        <v/>
      </c>
      <c r="D17" s="53" t="str">
        <f>IF($AE17="","",IF(IF($AE17&lt;=1200,IF(INDEX(对接源_01水果!$G$4:$G$1203,$AE17)=0,"",INDEX(对接源_01水果!$G$4:$G$1203,$AE17)),IF(INDEX(对接源_02物料!$G$4:$G$1203,$AE17-1200)=0,"",INDEX(对接源_02物料!$G$4:$G$1203,$AE17-1200)))="",IF($AE17&lt;=1200,IF(INDEX(对接源_01水果!$D$4:$D$1203,$AE17)=0,"",INDEX(对接源_01水果!$D$4:$D$1203,$AE17)),IF(INDEX(对接源_02物料!$D$4:$D$1203,$AE17-1200)=0,"",INDEX(对接源_02物料!$D$4:$D$1203,$AE17-1200))),IF($AE17&lt;=1200,IF(INDEX(对接源_01水果!$G$4:$G$1203,$AE17)=0,"",INDEX(对接源_01水果!$G$4:$G$1203,$AE17)),IF(INDEX(对接源_02物料!$G$4:$G$1203,$AE17-1200)=0,"",INDEX(对接源_02物料!$G$4:$G$1203,$AE17-1200)))))</f>
        <v/>
      </c>
      <c r="E17" s="55" t="str">
        <f>IF($AE17="","",IF($AE17&lt;=1200,IF(INDEX(对接源_01水果!$H$4:$H$1203,$AE17)=0,"",INDEX(对接源_01水果!$H$4:$H$1203,$AE17)),IF(INDEX(对接源_02物料!$H$4:$H$1203,$AE17-1200)=0,"",INDEX(对接源_02物料!$H$4:$H$1203,$AE17-1200))))</f>
        <v/>
      </c>
      <c r="F17" s="53" t="str">
        <f>IF($AE17="","",IF($AE17&lt;=1200,IF(INDEX(对接源_01水果!$I$4:$I$1203,$AE17)=0,"",INDEX(对接源_01水果!$I$4:$I$1203,$AE17)),IF(INDEX(对接源_02物料!$I$4:$I$1203,$AE17-1200)=0,"",INDEX(对接源_02物料!$I$4:$I$1203,$AE17-1200))))</f>
        <v/>
      </c>
      <c r="G17" s="55" t="str">
        <f>IF($AE17="","",IF(IF($AE17&lt;=1200,N(INDEX(对接源_01水果!$H$4:$H$1203,$AE17)),N(INDEX(对接源_02物料!$H$4:$H$1203,$AE17-1200)))=0,"",ROUND(IF($AE17&lt;=1200,N(INDEX(对接源_01水果!$K$4:$K$1203,$AE17)),N(INDEX(对接源_02物料!$K$4:$K$1203,$AE17-1200)))/IF($AE17&lt;=1200,N(INDEX(对接源_01水果!$H$4:$H$1203,$AE17)),N(INDEX(对接源_02物料!$H$4:$H$1203,$AE17-1200))),2)))</f>
        <v/>
      </c>
      <c r="H17" s="55" t="str">
        <f>IF($AE17="","",IF($AE17&lt;=1200,IF(INDEX(对接源_01水果!$K$4:$K$1203,$AE17)=0,"",INDEX(对接源_01水果!$K$4:$K$1203,$AE17)),IF(INDEX(对接源_02物料!$K$4:$K$1203,$AE17-1200)=0,"",INDEX(对接源_02物料!$K$4:$K$1203,$AE17-1200))))</f>
        <v/>
      </c>
      <c r="I17" s="53" t="str">
        <f>IF($AE17="","",IF($AE17&lt;=1200,IF(INDEX(对接源_01水果!$L$4:$L$1203,$AE17)=0,"",INDEX(对接源_01水果!$L$4:$L$1203,$AE17)),IF(INDEX(对接源_02物料!$L$4:$L$1203,$AE17-1200)=0,"",INDEX(对接源_02物料!$L$4:$L$1203,$AE17-1200))))</f>
        <v/>
      </c>
      <c r="J17" s="106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07" t="str">
        <f>IFERROR(MATCH(12,_自动清单!$AS$4:$AS$2403,0),"")</f>
        <v/>
      </c>
    </row>
    <row r="18" ht="18" customHeight="1" spans="1:31">
      <c r="A18" s="52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53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C18" s="106" t="str">
        <f>IF($AE18="","",IF($AE18&lt;=1200,IF(INDEX(对接源_01水果!$F$4:$F$1203,$AE18)=0,"",INDEX(对接源_01水果!$F$4:$F$1203,$AE18)),IF(INDEX(对接源_02物料!$F$4:$F$1203,$AE18-1200)=0,"",INDEX(对接源_02物料!$F$4:$F$1203,$AE18-1200))))</f>
        <v/>
      </c>
      <c r="D18" s="53" t="str">
        <f>IF($AE18="","",IF(IF($AE18&lt;=1200,IF(INDEX(对接源_01水果!$G$4:$G$1203,$AE18)=0,"",INDEX(对接源_01水果!$G$4:$G$1203,$AE18)),IF(INDEX(对接源_02物料!$G$4:$G$1203,$AE18-1200)=0,"",INDEX(对接源_02物料!$G$4:$G$1203,$AE18-1200)))="",IF($AE18&lt;=1200,IF(INDEX(对接源_01水果!$D$4:$D$1203,$AE18)=0,"",INDEX(对接源_01水果!$D$4:$D$1203,$AE18)),IF(INDEX(对接源_02物料!$D$4:$D$1203,$AE18-1200)=0,"",INDEX(对接源_02物料!$D$4:$D$1203,$AE18-1200))),IF($AE18&lt;=1200,IF(INDEX(对接源_01水果!$G$4:$G$1203,$AE18)=0,"",INDEX(对接源_01水果!$G$4:$G$1203,$AE18)),IF(INDEX(对接源_02物料!$G$4:$G$1203,$AE18-1200)=0,"",INDEX(对接源_02物料!$G$4:$G$1203,$AE18-1200)))))</f>
        <v/>
      </c>
      <c r="E18" s="55" t="str">
        <f>IF($AE18="","",IF($AE18&lt;=1200,IF(INDEX(对接源_01水果!$H$4:$H$1203,$AE18)=0,"",INDEX(对接源_01水果!$H$4:$H$1203,$AE18)),IF(INDEX(对接源_02物料!$H$4:$H$1203,$AE18-1200)=0,"",INDEX(对接源_02物料!$H$4:$H$1203,$AE18-1200))))</f>
        <v/>
      </c>
      <c r="F18" s="53" t="str">
        <f>IF($AE18="","",IF($AE18&lt;=1200,IF(INDEX(对接源_01水果!$I$4:$I$1203,$AE18)=0,"",INDEX(对接源_01水果!$I$4:$I$1203,$AE18)),IF(INDEX(对接源_02物料!$I$4:$I$1203,$AE18-1200)=0,"",INDEX(对接源_02物料!$I$4:$I$1203,$AE18-1200))))</f>
        <v/>
      </c>
      <c r="G18" s="55" t="str">
        <f>IF($AE18="","",IF(IF($AE18&lt;=1200,N(INDEX(对接源_01水果!$H$4:$H$1203,$AE18)),N(INDEX(对接源_02物料!$H$4:$H$1203,$AE18-1200)))=0,"",ROUND(IF($AE18&lt;=1200,N(INDEX(对接源_01水果!$K$4:$K$1203,$AE18)),N(INDEX(对接源_02物料!$K$4:$K$1203,$AE18-1200)))/IF($AE18&lt;=1200,N(INDEX(对接源_01水果!$H$4:$H$1203,$AE18)),N(INDEX(对接源_02物料!$H$4:$H$1203,$AE18-1200))),2)))</f>
        <v/>
      </c>
      <c r="H18" s="55" t="str">
        <f>IF($AE18="","",IF($AE18&lt;=1200,IF(INDEX(对接源_01水果!$K$4:$K$1203,$AE18)=0,"",INDEX(对接源_01水果!$K$4:$K$1203,$AE18)),IF(INDEX(对接源_02物料!$K$4:$K$1203,$AE18-1200)=0,"",INDEX(对接源_02物料!$K$4:$K$1203,$AE18-1200))))</f>
        <v/>
      </c>
      <c r="I18" s="53" t="str">
        <f>IF($AE18="","",IF($AE18&lt;=1200,IF(INDEX(对接源_01水果!$L$4:$L$1203,$AE18)=0,"",INDEX(对接源_01水果!$L$4:$L$1203,$AE18)),IF(INDEX(对接源_02物料!$L$4:$L$1203,$AE18-1200)=0,"",INDEX(对接源_02物料!$L$4:$L$1203,$AE18-1200))))</f>
        <v/>
      </c>
      <c r="J18" s="106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07" t="str">
        <f>IFERROR(MATCH(13,_自动清单!$AS$4:$AS$2403,0),"")</f>
        <v/>
      </c>
    </row>
    <row r="19" ht="18" customHeight="1" spans="1:31">
      <c r="A19" s="52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53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106" t="str">
        <f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53" t="str">
        <f>IF($AE19="","",IF(IF($AE19&lt;=1200,IF(INDEX(对接源_01水果!$G$4:$G$1203,$AE19)=0,"",INDEX(对接源_01水果!$G$4:$G$1203,$AE19)),IF(INDEX(对接源_02物料!$G$4:$G$1203,$AE19-1200)=0,"",INDEX(对接源_02物料!$G$4:$G$1203,$AE19-1200)))="",IF($AE19&lt;=1200,IF(INDEX(对接源_01水果!$D$4:$D$1203,$AE19)=0,"",INDEX(对接源_01水果!$D$4:$D$1203,$AE19)),IF(INDEX(对接源_02物料!$D$4:$D$1203,$AE19-1200)=0,"",INDEX(对接源_02物料!$D$4:$D$1203,$AE19-1200))),IF($AE19&lt;=1200,IF(INDEX(对接源_01水果!$G$4:$G$1203,$AE19)=0,"",INDEX(对接源_01水果!$G$4:$G$1203,$AE19)),IF(INDEX(对接源_02物料!$G$4:$G$1203,$AE19-1200)=0,"",INDEX(对接源_02物料!$G$4:$G$1203,$AE19-1200)))))</f>
        <v/>
      </c>
      <c r="E19" s="55" t="str">
        <f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53" t="str">
        <f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55" t="str">
        <f>IF($AE19="","",IF(IF($AE19&lt;=1200,N(INDEX(对接源_01水果!$H$4:$H$1203,$AE19)),N(INDEX(对接源_02物料!$H$4:$H$1203,$AE19-1200)))=0,"",ROUND(IF($AE19&lt;=1200,N(INDEX(对接源_01水果!$K$4:$K$1203,$AE19)),N(INDEX(对接源_02物料!$K$4:$K$1203,$AE19-1200)))/IF($AE19&lt;=1200,N(INDEX(对接源_01水果!$H$4:$H$1203,$AE19)),N(INDEX(对接源_02物料!$H$4:$H$1203,$AE19-1200))),2)))</f>
        <v/>
      </c>
      <c r="H19" s="55" t="str">
        <f>IF($AE19="","",IF($AE19&lt;=1200,IF(INDEX(对接源_01水果!$K$4:$K$1203,$AE19)=0,"",INDEX(对接源_01水果!$K$4:$K$1203,$AE19)),IF(INDEX(对接源_02物料!$K$4:$K$1203,$AE19-1200)=0,"",INDEX(对接源_02物料!$K$4:$K$1203,$AE19-1200))))</f>
        <v/>
      </c>
      <c r="I19" s="53" t="str">
        <f>IF($AE19="","",IF($AE19&lt;=1200,IF(INDEX(对接源_01水果!$L$4:$L$1203,$AE19)=0,"",INDEX(对接源_01水果!$L$4:$L$1203,$AE19)),IF(INDEX(对接源_02物料!$L$4:$L$1203,$AE19-1200)=0,"",INDEX(对接源_02物料!$L$4:$L$1203,$AE19-1200))))</f>
        <v/>
      </c>
      <c r="J19" s="106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07" t="str">
        <f>IFERROR(MATCH(14,_自动清单!$AS$4:$AS$2403,0),"")</f>
        <v/>
      </c>
    </row>
    <row r="20" ht="18" customHeight="1" spans="1:31">
      <c r="A20" s="52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53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106" t="str">
        <f>IF($AE20="","",IF($AE20&lt;=1200,IF(INDEX(对接源_01水果!$F$4:$F$1203,$AE20)=0,"",INDEX(对接源_01水果!$F$4:$F$1203,$AE20)),IF(INDEX(对接源_02物料!$F$4:$F$1203,$AE20-1200)=0,"",INDEX(对接源_02物料!$F$4:$F$1203,$AE20-1200))))</f>
        <v/>
      </c>
      <c r="D20" s="53" t="str">
        <f>IF($AE20="","",IF(IF($AE20&lt;=1200,IF(INDEX(对接源_01水果!$G$4:$G$1203,$AE20)=0,"",INDEX(对接源_01水果!$G$4:$G$1203,$AE20)),IF(INDEX(对接源_02物料!$G$4:$G$1203,$AE20-1200)=0,"",INDEX(对接源_02物料!$G$4:$G$1203,$AE20-1200)))="",IF($AE20&lt;=1200,IF(INDEX(对接源_01水果!$D$4:$D$1203,$AE20)=0,"",INDEX(对接源_01水果!$D$4:$D$1203,$AE20)),IF(INDEX(对接源_02物料!$D$4:$D$1203,$AE20-1200)=0,"",INDEX(对接源_02物料!$D$4:$D$1203,$AE20-1200))),IF($AE20&lt;=1200,IF(INDEX(对接源_01水果!$G$4:$G$1203,$AE20)=0,"",INDEX(对接源_01水果!$G$4:$G$1203,$AE20)),IF(INDEX(对接源_02物料!$G$4:$G$1203,$AE20-1200)=0,"",INDEX(对接源_02物料!$G$4:$G$1203,$AE20-1200)))))</f>
        <v/>
      </c>
      <c r="E20" s="55" t="str">
        <f>IF($AE20="","",IF($AE20&lt;=1200,IF(INDEX(对接源_01水果!$H$4:$H$1203,$AE20)=0,"",INDEX(对接源_01水果!$H$4:$H$1203,$AE20)),IF(INDEX(对接源_02物料!$H$4:$H$1203,$AE20-1200)=0,"",INDEX(对接源_02物料!$H$4:$H$1203,$AE20-1200))))</f>
        <v/>
      </c>
      <c r="F20" s="53" t="str">
        <f>IF($AE20="","",IF($AE20&lt;=1200,IF(INDEX(对接源_01水果!$I$4:$I$1203,$AE20)=0,"",INDEX(对接源_01水果!$I$4:$I$1203,$AE20)),IF(INDEX(对接源_02物料!$I$4:$I$1203,$AE20-1200)=0,"",INDEX(对接源_02物料!$I$4:$I$1203,$AE20-1200))))</f>
        <v/>
      </c>
      <c r="G20" s="55" t="str">
        <f>IF($AE20="","",IF(IF($AE20&lt;=1200,N(INDEX(对接源_01水果!$H$4:$H$1203,$AE20)),N(INDEX(对接源_02物料!$H$4:$H$1203,$AE20-1200)))=0,"",ROUND(IF($AE20&lt;=1200,N(INDEX(对接源_01水果!$K$4:$K$1203,$AE20)),N(INDEX(对接源_02物料!$K$4:$K$1203,$AE20-1200)))/IF($AE20&lt;=1200,N(INDEX(对接源_01水果!$H$4:$H$1203,$AE20)),N(INDEX(对接源_02物料!$H$4:$H$1203,$AE20-1200))),2)))</f>
        <v/>
      </c>
      <c r="H20" s="55" t="str">
        <f>IF($AE20="","",IF($AE20&lt;=1200,IF(INDEX(对接源_01水果!$K$4:$K$1203,$AE20)=0,"",INDEX(对接源_01水果!$K$4:$K$1203,$AE20)),IF(INDEX(对接源_02物料!$K$4:$K$1203,$AE20-1200)=0,"",INDEX(对接源_02物料!$K$4:$K$1203,$AE20-1200))))</f>
        <v/>
      </c>
      <c r="I20" s="53" t="str">
        <f>IF($AE20="","",IF($AE20&lt;=1200,IF(INDEX(对接源_01水果!$L$4:$L$1203,$AE20)=0,"",INDEX(对接源_01水果!$L$4:$L$1203,$AE20)),IF(INDEX(对接源_02物料!$L$4:$L$1203,$AE20-1200)=0,"",INDEX(对接源_02物料!$L$4:$L$1203,$AE20-1200))))</f>
        <v/>
      </c>
      <c r="J20" s="106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07" t="str">
        <f>IFERROR(MATCH(15,_自动清单!$AS$4:$AS$2403,0),"")</f>
        <v/>
      </c>
    </row>
    <row r="21" ht="18" customHeight="1" spans="1:31">
      <c r="A21" s="52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53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106" t="str">
        <f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53" t="str">
        <f>IF($AE21="","",IF(IF($AE21&lt;=1200,IF(INDEX(对接源_01水果!$G$4:$G$1203,$AE21)=0,"",INDEX(对接源_01水果!$G$4:$G$1203,$AE21)),IF(INDEX(对接源_02物料!$G$4:$G$1203,$AE21-1200)=0,"",INDEX(对接源_02物料!$G$4:$G$1203,$AE21-1200)))="",IF($AE21&lt;=1200,IF(INDEX(对接源_01水果!$D$4:$D$1203,$AE21)=0,"",INDEX(对接源_01水果!$D$4:$D$1203,$AE21)),IF(INDEX(对接源_02物料!$D$4:$D$1203,$AE21-1200)=0,"",INDEX(对接源_02物料!$D$4:$D$1203,$AE21-1200))),IF($AE21&lt;=1200,IF(INDEX(对接源_01水果!$G$4:$G$1203,$AE21)=0,"",INDEX(对接源_01水果!$G$4:$G$1203,$AE21)),IF(INDEX(对接源_02物料!$G$4:$G$1203,$AE21-1200)=0,"",INDEX(对接源_02物料!$G$4:$G$1203,$AE21-1200)))))</f>
        <v/>
      </c>
      <c r="E21" s="55" t="str">
        <f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53" t="str">
        <f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55" t="str">
        <f>IF($AE21="","",IF(IF($AE21&lt;=1200,N(INDEX(对接源_01水果!$H$4:$H$1203,$AE21)),N(INDEX(对接源_02物料!$H$4:$H$1203,$AE21-1200)))=0,"",ROUND(IF($AE21&lt;=1200,N(INDEX(对接源_01水果!$K$4:$K$1203,$AE21)),N(INDEX(对接源_02物料!$K$4:$K$1203,$AE21-1200)))/IF($AE21&lt;=1200,N(INDEX(对接源_01水果!$H$4:$H$1203,$AE21)),N(INDEX(对接源_02物料!$H$4:$H$1203,$AE21-1200))),2)))</f>
        <v/>
      </c>
      <c r="H21" s="55" t="str">
        <f>IF($AE21="","",IF($AE21&lt;=1200,IF(INDEX(对接源_01水果!$K$4:$K$1203,$AE21)=0,"",INDEX(对接源_01水果!$K$4:$K$1203,$AE21)),IF(INDEX(对接源_02物料!$K$4:$K$1203,$AE21-1200)=0,"",INDEX(对接源_02物料!$K$4:$K$1203,$AE21-1200))))</f>
        <v/>
      </c>
      <c r="I21" s="53" t="str">
        <f>IF($AE21="","",IF($AE21&lt;=1200,IF(INDEX(对接源_01水果!$L$4:$L$1203,$AE21)=0,"",INDEX(对接源_01水果!$L$4:$L$1203,$AE21)),IF(INDEX(对接源_02物料!$L$4:$L$1203,$AE21-1200)=0,"",INDEX(对接源_02物料!$L$4:$L$1203,$AE21-1200))))</f>
        <v/>
      </c>
      <c r="J21" s="106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07" t="str">
        <f>IFERROR(MATCH(16,_自动清单!$AS$4:$AS$2403,0),"")</f>
        <v/>
      </c>
    </row>
    <row r="22" ht="18" customHeight="1" spans="1:31">
      <c r="A22" s="52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53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106" t="str">
        <f>IF($AE22="","",IF($AE22&lt;=1200,IF(INDEX(对接源_01水果!$F$4:$F$1203,$AE22)=0,"",INDEX(对接源_01水果!$F$4:$F$1203,$AE22)),IF(INDEX(对接源_02物料!$F$4:$F$1203,$AE22-1200)=0,"",INDEX(对接源_02物料!$F$4:$F$1203,$AE22-1200))))</f>
        <v/>
      </c>
      <c r="D22" s="53" t="str">
        <f>IF($AE22="","",IF(IF($AE22&lt;=1200,IF(INDEX(对接源_01水果!$G$4:$G$1203,$AE22)=0,"",INDEX(对接源_01水果!$G$4:$G$1203,$AE22)),IF(INDEX(对接源_02物料!$G$4:$G$1203,$AE22-1200)=0,"",INDEX(对接源_02物料!$G$4:$G$1203,$AE22-1200)))="",IF($AE22&lt;=1200,IF(INDEX(对接源_01水果!$D$4:$D$1203,$AE22)=0,"",INDEX(对接源_01水果!$D$4:$D$1203,$AE22)),IF(INDEX(对接源_02物料!$D$4:$D$1203,$AE22-1200)=0,"",INDEX(对接源_02物料!$D$4:$D$1203,$AE22-1200))),IF($AE22&lt;=1200,IF(INDEX(对接源_01水果!$G$4:$G$1203,$AE22)=0,"",INDEX(对接源_01水果!$G$4:$G$1203,$AE22)),IF(INDEX(对接源_02物料!$G$4:$G$1203,$AE22-1200)=0,"",INDEX(对接源_02物料!$G$4:$G$1203,$AE22-1200)))))</f>
        <v/>
      </c>
      <c r="E22" s="55" t="str">
        <f>IF($AE22="","",IF($AE22&lt;=1200,IF(INDEX(对接源_01水果!$H$4:$H$1203,$AE22)=0,"",INDEX(对接源_01水果!$H$4:$H$1203,$AE22)),IF(INDEX(对接源_02物料!$H$4:$H$1203,$AE22-1200)=0,"",INDEX(对接源_02物料!$H$4:$H$1203,$AE22-1200))))</f>
        <v/>
      </c>
      <c r="F22" s="53" t="str">
        <f>IF($AE22="","",IF($AE22&lt;=1200,IF(INDEX(对接源_01水果!$I$4:$I$1203,$AE22)=0,"",INDEX(对接源_01水果!$I$4:$I$1203,$AE22)),IF(INDEX(对接源_02物料!$I$4:$I$1203,$AE22-1200)=0,"",INDEX(对接源_02物料!$I$4:$I$1203,$AE22-1200))))</f>
        <v/>
      </c>
      <c r="G22" s="55" t="str">
        <f>IF($AE22="","",IF(IF($AE22&lt;=1200,N(INDEX(对接源_01水果!$H$4:$H$1203,$AE22)),N(INDEX(对接源_02物料!$H$4:$H$1203,$AE22-1200)))=0,"",ROUND(IF($AE22&lt;=1200,N(INDEX(对接源_01水果!$K$4:$K$1203,$AE22)),N(INDEX(对接源_02物料!$K$4:$K$1203,$AE22-1200)))/IF($AE22&lt;=1200,N(INDEX(对接源_01水果!$H$4:$H$1203,$AE22)),N(INDEX(对接源_02物料!$H$4:$H$1203,$AE22-1200))),2)))</f>
        <v/>
      </c>
      <c r="H22" s="55" t="str">
        <f>IF($AE22="","",IF($AE22&lt;=1200,IF(INDEX(对接源_01水果!$K$4:$K$1203,$AE22)=0,"",INDEX(对接源_01水果!$K$4:$K$1203,$AE22)),IF(INDEX(对接源_02物料!$K$4:$K$1203,$AE22-1200)=0,"",INDEX(对接源_02物料!$K$4:$K$1203,$AE22-1200))))</f>
        <v/>
      </c>
      <c r="I22" s="53" t="str">
        <f>IF($AE22="","",IF($AE22&lt;=1200,IF(INDEX(对接源_01水果!$L$4:$L$1203,$AE22)=0,"",INDEX(对接源_01水果!$L$4:$L$1203,$AE22)),IF(INDEX(对接源_02物料!$L$4:$L$1203,$AE22-1200)=0,"",INDEX(对接源_02物料!$L$4:$L$1203,$AE22-1200))))</f>
        <v/>
      </c>
      <c r="J22" s="106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07" t="str">
        <f>IFERROR(MATCH(17,_自动清单!$AS$4:$AS$2403,0),"")</f>
        <v/>
      </c>
    </row>
    <row r="23" ht="18" customHeight="1" spans="1:31">
      <c r="A23" s="52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53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106" t="str">
        <f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53" t="str">
        <f>IF($AE23="","",IF(IF($AE23&lt;=1200,IF(INDEX(对接源_01水果!$G$4:$G$1203,$AE23)=0,"",INDEX(对接源_01水果!$G$4:$G$1203,$AE23)),IF(INDEX(对接源_02物料!$G$4:$G$1203,$AE23-1200)=0,"",INDEX(对接源_02物料!$G$4:$G$1203,$AE23-1200)))="",IF($AE23&lt;=1200,IF(INDEX(对接源_01水果!$D$4:$D$1203,$AE23)=0,"",INDEX(对接源_01水果!$D$4:$D$1203,$AE23)),IF(INDEX(对接源_02物料!$D$4:$D$1203,$AE23-1200)=0,"",INDEX(对接源_02物料!$D$4:$D$1203,$AE23-1200))),IF($AE23&lt;=1200,IF(INDEX(对接源_01水果!$G$4:$G$1203,$AE23)=0,"",INDEX(对接源_01水果!$G$4:$G$1203,$AE23)),IF(INDEX(对接源_02物料!$G$4:$G$1203,$AE23-1200)=0,"",INDEX(对接源_02物料!$G$4:$G$1203,$AE23-1200)))))</f>
        <v/>
      </c>
      <c r="E23" s="55" t="str">
        <f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53" t="str">
        <f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55" t="str">
        <f>IF($AE23="","",IF(IF($AE23&lt;=1200,N(INDEX(对接源_01水果!$H$4:$H$1203,$AE23)),N(INDEX(对接源_02物料!$H$4:$H$1203,$AE23-1200)))=0,"",ROUND(IF($AE23&lt;=1200,N(INDEX(对接源_01水果!$K$4:$K$1203,$AE23)),N(INDEX(对接源_02物料!$K$4:$K$1203,$AE23-1200)))/IF($AE23&lt;=1200,N(INDEX(对接源_01水果!$H$4:$H$1203,$AE23)),N(INDEX(对接源_02物料!$H$4:$H$1203,$AE23-1200))),2)))</f>
        <v/>
      </c>
      <c r="H23" s="55" t="str">
        <f>IF($AE23="","",IF($AE23&lt;=1200,IF(INDEX(对接源_01水果!$K$4:$K$1203,$AE23)=0,"",INDEX(对接源_01水果!$K$4:$K$1203,$AE23)),IF(INDEX(对接源_02物料!$K$4:$K$1203,$AE23-1200)=0,"",INDEX(对接源_02物料!$K$4:$K$1203,$AE23-1200))))</f>
        <v/>
      </c>
      <c r="I23" s="53" t="str">
        <f>IF($AE23="","",IF($AE23&lt;=1200,IF(INDEX(对接源_01水果!$L$4:$L$1203,$AE23)=0,"",INDEX(对接源_01水果!$L$4:$L$1203,$AE23)),IF(INDEX(对接源_02物料!$L$4:$L$1203,$AE23-1200)=0,"",INDEX(对接源_02物料!$L$4:$L$1203,$AE23-1200))))</f>
        <v/>
      </c>
      <c r="J23" s="106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07" t="str">
        <f>IFERROR(MATCH(18,_自动清单!$AS$4:$AS$2403,0),"")</f>
        <v/>
      </c>
    </row>
    <row r="24" ht="18" customHeight="1" spans="1:31">
      <c r="A24" s="52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53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106" t="str">
        <f>IF($AE24="","",IF($AE24&lt;=1200,IF(INDEX(对接源_01水果!$F$4:$F$1203,$AE24)=0,"",INDEX(对接源_01水果!$F$4:$F$1203,$AE24)),IF(INDEX(对接源_02物料!$F$4:$F$1203,$AE24-1200)=0,"",INDEX(对接源_02物料!$F$4:$F$1203,$AE24-1200))))</f>
        <v/>
      </c>
      <c r="D24" s="53" t="str">
        <f>IF($AE24="","",IF(IF($AE24&lt;=1200,IF(INDEX(对接源_01水果!$G$4:$G$1203,$AE24)=0,"",INDEX(对接源_01水果!$G$4:$G$1203,$AE24)),IF(INDEX(对接源_02物料!$G$4:$G$1203,$AE24-1200)=0,"",INDEX(对接源_02物料!$G$4:$G$1203,$AE24-1200)))="",IF($AE24&lt;=1200,IF(INDEX(对接源_01水果!$D$4:$D$1203,$AE24)=0,"",INDEX(对接源_01水果!$D$4:$D$1203,$AE24)),IF(INDEX(对接源_02物料!$D$4:$D$1203,$AE24-1200)=0,"",INDEX(对接源_02物料!$D$4:$D$1203,$AE24-1200))),IF($AE24&lt;=1200,IF(INDEX(对接源_01水果!$G$4:$G$1203,$AE24)=0,"",INDEX(对接源_01水果!$G$4:$G$1203,$AE24)),IF(INDEX(对接源_02物料!$G$4:$G$1203,$AE24-1200)=0,"",INDEX(对接源_02物料!$G$4:$G$1203,$AE24-1200)))))</f>
        <v/>
      </c>
      <c r="E24" s="55" t="str">
        <f>IF($AE24="","",IF($AE24&lt;=1200,IF(INDEX(对接源_01水果!$H$4:$H$1203,$AE24)=0,"",INDEX(对接源_01水果!$H$4:$H$1203,$AE24)),IF(INDEX(对接源_02物料!$H$4:$H$1203,$AE24-1200)=0,"",INDEX(对接源_02物料!$H$4:$H$1203,$AE24-1200))))</f>
        <v/>
      </c>
      <c r="F24" s="53" t="str">
        <f>IF($AE24="","",IF($AE24&lt;=1200,IF(INDEX(对接源_01水果!$I$4:$I$1203,$AE24)=0,"",INDEX(对接源_01水果!$I$4:$I$1203,$AE24)),IF(INDEX(对接源_02物料!$I$4:$I$1203,$AE24-1200)=0,"",INDEX(对接源_02物料!$I$4:$I$1203,$AE24-1200))))</f>
        <v/>
      </c>
      <c r="G24" s="55" t="str">
        <f>IF($AE24="","",IF(IF($AE24&lt;=1200,N(INDEX(对接源_01水果!$H$4:$H$1203,$AE24)),N(INDEX(对接源_02物料!$H$4:$H$1203,$AE24-1200)))=0,"",ROUND(IF($AE24&lt;=1200,N(INDEX(对接源_01水果!$K$4:$K$1203,$AE24)),N(INDEX(对接源_02物料!$K$4:$K$1203,$AE24-1200)))/IF($AE24&lt;=1200,N(INDEX(对接源_01水果!$H$4:$H$1203,$AE24)),N(INDEX(对接源_02物料!$H$4:$H$1203,$AE24-1200))),2)))</f>
        <v/>
      </c>
      <c r="H24" s="55" t="str">
        <f>IF($AE24="","",IF($AE24&lt;=1200,IF(INDEX(对接源_01水果!$K$4:$K$1203,$AE24)=0,"",INDEX(对接源_01水果!$K$4:$K$1203,$AE24)),IF(INDEX(对接源_02物料!$K$4:$K$1203,$AE24-1200)=0,"",INDEX(对接源_02物料!$K$4:$K$1203,$AE24-1200))))</f>
        <v/>
      </c>
      <c r="I24" s="53" t="str">
        <f>IF($AE24="","",IF($AE24&lt;=1200,IF(INDEX(对接源_01水果!$L$4:$L$1203,$AE24)=0,"",INDEX(对接源_01水果!$L$4:$L$1203,$AE24)),IF(INDEX(对接源_02物料!$L$4:$L$1203,$AE24-1200)=0,"",INDEX(对接源_02物料!$L$4:$L$1203,$AE24-1200))))</f>
        <v/>
      </c>
      <c r="J24" s="106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07" t="str">
        <f>IFERROR(MATCH(19,_自动清单!$AS$4:$AS$2403,0),"")</f>
        <v/>
      </c>
    </row>
    <row r="25" ht="18" customHeight="1" spans="1:31">
      <c r="A25" s="52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53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106" t="str">
        <f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53" t="str">
        <f>IF($AE25="","",IF(IF($AE25&lt;=1200,IF(INDEX(对接源_01水果!$G$4:$G$1203,$AE25)=0,"",INDEX(对接源_01水果!$G$4:$G$1203,$AE25)),IF(INDEX(对接源_02物料!$G$4:$G$1203,$AE25-1200)=0,"",INDEX(对接源_02物料!$G$4:$G$1203,$AE25-1200)))="",IF($AE25&lt;=1200,IF(INDEX(对接源_01水果!$D$4:$D$1203,$AE25)=0,"",INDEX(对接源_01水果!$D$4:$D$1203,$AE25)),IF(INDEX(对接源_02物料!$D$4:$D$1203,$AE25-1200)=0,"",INDEX(对接源_02物料!$D$4:$D$1203,$AE25-1200))),IF($AE25&lt;=1200,IF(INDEX(对接源_01水果!$G$4:$G$1203,$AE25)=0,"",INDEX(对接源_01水果!$G$4:$G$1203,$AE25)),IF(INDEX(对接源_02物料!$G$4:$G$1203,$AE25-1200)=0,"",INDEX(对接源_02物料!$G$4:$G$1203,$AE25-1200)))))</f>
        <v/>
      </c>
      <c r="E25" s="55" t="str">
        <f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53" t="str">
        <f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55" t="str">
        <f>IF($AE25="","",IF(IF($AE25&lt;=1200,N(INDEX(对接源_01水果!$H$4:$H$1203,$AE25)),N(INDEX(对接源_02物料!$H$4:$H$1203,$AE25-1200)))=0,"",ROUND(IF($AE25&lt;=1200,N(INDEX(对接源_01水果!$K$4:$K$1203,$AE25)),N(INDEX(对接源_02物料!$K$4:$K$1203,$AE25-1200)))/IF($AE25&lt;=1200,N(INDEX(对接源_01水果!$H$4:$H$1203,$AE25)),N(INDEX(对接源_02物料!$H$4:$H$1203,$AE25-1200))),2)))</f>
        <v/>
      </c>
      <c r="H25" s="55" t="str">
        <f>IF($AE25="","",IF($AE25&lt;=1200,IF(INDEX(对接源_01水果!$K$4:$K$1203,$AE25)=0,"",INDEX(对接源_01水果!$K$4:$K$1203,$AE25)),IF(INDEX(对接源_02物料!$K$4:$K$1203,$AE25-1200)=0,"",INDEX(对接源_02物料!$K$4:$K$1203,$AE25-1200))))</f>
        <v/>
      </c>
      <c r="I25" s="53" t="str">
        <f>IF($AE25="","",IF($AE25&lt;=1200,IF(INDEX(对接源_01水果!$L$4:$L$1203,$AE25)=0,"",INDEX(对接源_01水果!$L$4:$L$1203,$AE25)),IF(INDEX(对接源_02物料!$L$4:$L$1203,$AE25-1200)=0,"",INDEX(对接源_02物料!$L$4:$L$1203,$AE25-1200))))</f>
        <v/>
      </c>
      <c r="J25" s="106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07" t="str">
        <f>IFERROR(MATCH(20,_自动清单!$AS$4:$AS$2403,0),"")</f>
        <v/>
      </c>
    </row>
    <row r="26" ht="18" customHeight="1" spans="1:31">
      <c r="A26" s="52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53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106" t="str">
        <f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53" t="str">
        <f>IF($AE26="","",IF(IF($AE26&lt;=1200,IF(INDEX(对接源_01水果!$G$4:$G$1203,$AE26)=0,"",INDEX(对接源_01水果!$G$4:$G$1203,$AE26)),IF(INDEX(对接源_02物料!$G$4:$G$1203,$AE26-1200)=0,"",INDEX(对接源_02物料!$G$4:$G$1203,$AE26-1200)))="",IF($AE26&lt;=1200,IF(INDEX(对接源_01水果!$D$4:$D$1203,$AE26)=0,"",INDEX(对接源_01水果!$D$4:$D$1203,$AE26)),IF(INDEX(对接源_02物料!$D$4:$D$1203,$AE26-1200)=0,"",INDEX(对接源_02物料!$D$4:$D$1203,$AE26-1200))),IF($AE26&lt;=1200,IF(INDEX(对接源_01水果!$G$4:$G$1203,$AE26)=0,"",INDEX(对接源_01水果!$G$4:$G$1203,$AE26)),IF(INDEX(对接源_02物料!$G$4:$G$1203,$AE26-1200)=0,"",INDEX(对接源_02物料!$G$4:$G$1203,$AE26-1200)))))</f>
        <v/>
      </c>
      <c r="E26" s="55" t="str">
        <f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53" t="str">
        <f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55" t="str">
        <f>IF($AE26="","",IF(IF($AE26&lt;=1200,N(INDEX(对接源_01水果!$H$4:$H$1203,$AE26)),N(INDEX(对接源_02物料!$H$4:$H$1203,$AE26-1200)))=0,"",ROUND(IF($AE26&lt;=1200,N(INDEX(对接源_01水果!$K$4:$K$1203,$AE26)),N(INDEX(对接源_02物料!$K$4:$K$1203,$AE26-1200)))/IF($AE26&lt;=1200,N(INDEX(对接源_01水果!$H$4:$H$1203,$AE26)),N(INDEX(对接源_02物料!$H$4:$H$1203,$AE26-1200))),2)))</f>
        <v/>
      </c>
      <c r="H26" s="55" t="str">
        <f>IF($AE26="","",IF($AE26&lt;=1200,IF(INDEX(对接源_01水果!$K$4:$K$1203,$AE26)=0,"",INDEX(对接源_01水果!$K$4:$K$1203,$AE26)),IF(INDEX(对接源_02物料!$K$4:$K$1203,$AE26-1200)=0,"",INDEX(对接源_02物料!$K$4:$K$1203,$AE26-1200))))</f>
        <v/>
      </c>
      <c r="I26" s="53" t="str">
        <f>IF($AE26="","",IF($AE26&lt;=1200,IF(INDEX(对接源_01水果!$L$4:$L$1203,$AE26)=0,"",INDEX(对接源_01水果!$L$4:$L$1203,$AE26)),IF(INDEX(对接源_02物料!$L$4:$L$1203,$AE26-1200)=0,"",INDEX(对接源_02物料!$L$4:$L$1203,$AE26-1200))))</f>
        <v/>
      </c>
      <c r="J26" s="106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07" t="str">
        <f>IFERROR(MATCH(21,_自动清单!$AS$4:$AS$2403,0),"")</f>
        <v/>
      </c>
    </row>
    <row r="27" ht="18" customHeight="1" spans="1:31">
      <c r="A27" s="52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53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106" t="str">
        <f>IF($AE27="","",IF($AE27&lt;=1200,IF(INDEX(对接源_01水果!$F$4:$F$1203,$AE27)=0,"",INDEX(对接源_01水果!$F$4:$F$1203,$AE27)),IF(INDEX(对接源_02物料!$F$4:$F$1203,$AE27-1200)=0,"",INDEX(对接源_02物料!$F$4:$F$1203,$AE27-1200))))</f>
        <v/>
      </c>
      <c r="D27" s="53" t="str">
        <f>IF($AE27="","",IF(IF($AE27&lt;=1200,IF(INDEX(对接源_01水果!$G$4:$G$1203,$AE27)=0,"",INDEX(对接源_01水果!$G$4:$G$1203,$AE27)),IF(INDEX(对接源_02物料!$G$4:$G$1203,$AE27-1200)=0,"",INDEX(对接源_02物料!$G$4:$G$1203,$AE27-1200)))="",IF($AE27&lt;=1200,IF(INDEX(对接源_01水果!$D$4:$D$1203,$AE27)=0,"",INDEX(对接源_01水果!$D$4:$D$1203,$AE27)),IF(INDEX(对接源_02物料!$D$4:$D$1203,$AE27-1200)=0,"",INDEX(对接源_02物料!$D$4:$D$1203,$AE27-1200))),IF($AE27&lt;=1200,IF(INDEX(对接源_01水果!$G$4:$G$1203,$AE27)=0,"",INDEX(对接源_01水果!$G$4:$G$1203,$AE27)),IF(INDEX(对接源_02物料!$G$4:$G$1203,$AE27-1200)=0,"",INDEX(对接源_02物料!$G$4:$G$1203,$AE27-1200)))))</f>
        <v/>
      </c>
      <c r="E27" s="55" t="str">
        <f>IF($AE27="","",IF($AE27&lt;=1200,IF(INDEX(对接源_01水果!$H$4:$H$1203,$AE27)=0,"",INDEX(对接源_01水果!$H$4:$H$1203,$AE27)),IF(INDEX(对接源_02物料!$H$4:$H$1203,$AE27-1200)=0,"",INDEX(对接源_02物料!$H$4:$H$1203,$AE27-1200))))</f>
        <v/>
      </c>
      <c r="F27" s="53" t="str">
        <f>IF($AE27="","",IF($AE27&lt;=1200,IF(INDEX(对接源_01水果!$I$4:$I$1203,$AE27)=0,"",INDEX(对接源_01水果!$I$4:$I$1203,$AE27)),IF(INDEX(对接源_02物料!$I$4:$I$1203,$AE27-1200)=0,"",INDEX(对接源_02物料!$I$4:$I$1203,$AE27-1200))))</f>
        <v/>
      </c>
      <c r="G27" s="55" t="str">
        <f>IF($AE27="","",IF(IF($AE27&lt;=1200,N(INDEX(对接源_01水果!$H$4:$H$1203,$AE27)),N(INDEX(对接源_02物料!$H$4:$H$1203,$AE27-1200)))=0,"",ROUND(IF($AE27&lt;=1200,N(INDEX(对接源_01水果!$K$4:$K$1203,$AE27)),N(INDEX(对接源_02物料!$K$4:$K$1203,$AE27-1200)))/IF($AE27&lt;=1200,N(INDEX(对接源_01水果!$H$4:$H$1203,$AE27)),N(INDEX(对接源_02物料!$H$4:$H$1203,$AE27-1200))),2)))</f>
        <v/>
      </c>
      <c r="H27" s="55" t="str">
        <f>IF($AE27="","",IF($AE27&lt;=1200,IF(INDEX(对接源_01水果!$K$4:$K$1203,$AE27)=0,"",INDEX(对接源_01水果!$K$4:$K$1203,$AE27)),IF(INDEX(对接源_02物料!$K$4:$K$1203,$AE27-1200)=0,"",INDEX(对接源_02物料!$K$4:$K$1203,$AE27-1200))))</f>
        <v/>
      </c>
      <c r="I27" s="53" t="str">
        <f>IF($AE27="","",IF($AE27&lt;=1200,IF(INDEX(对接源_01水果!$L$4:$L$1203,$AE27)=0,"",INDEX(对接源_01水果!$L$4:$L$1203,$AE27)),IF(INDEX(对接源_02物料!$L$4:$L$1203,$AE27-1200)=0,"",INDEX(对接源_02物料!$L$4:$L$1203,$AE27-1200))))</f>
        <v/>
      </c>
      <c r="J27" s="106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07" t="str">
        <f>IFERROR(MATCH(22,_自动清单!$AS$4:$AS$2403,0),"")</f>
        <v/>
      </c>
    </row>
    <row r="28" ht="18" customHeight="1" spans="1:31">
      <c r="A28" s="52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53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106" t="str">
        <f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53" t="str">
        <f>IF($AE28="","",IF(IF($AE28&lt;=1200,IF(INDEX(对接源_01水果!$G$4:$G$1203,$AE28)=0,"",INDEX(对接源_01水果!$G$4:$G$1203,$AE28)),IF(INDEX(对接源_02物料!$G$4:$G$1203,$AE28-1200)=0,"",INDEX(对接源_02物料!$G$4:$G$1203,$AE28-1200)))="",IF($AE28&lt;=1200,IF(INDEX(对接源_01水果!$D$4:$D$1203,$AE28)=0,"",INDEX(对接源_01水果!$D$4:$D$1203,$AE28)),IF(INDEX(对接源_02物料!$D$4:$D$1203,$AE28-1200)=0,"",INDEX(对接源_02物料!$D$4:$D$1203,$AE28-1200))),IF($AE28&lt;=1200,IF(INDEX(对接源_01水果!$G$4:$G$1203,$AE28)=0,"",INDEX(对接源_01水果!$G$4:$G$1203,$AE28)),IF(INDEX(对接源_02物料!$G$4:$G$1203,$AE28-1200)=0,"",INDEX(对接源_02物料!$G$4:$G$1203,$AE28-1200)))))</f>
        <v/>
      </c>
      <c r="E28" s="55" t="str">
        <f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53" t="str">
        <f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55" t="str">
        <f>IF($AE28="","",IF(IF($AE28&lt;=1200,N(INDEX(对接源_01水果!$H$4:$H$1203,$AE28)),N(INDEX(对接源_02物料!$H$4:$H$1203,$AE28-1200)))=0,"",ROUND(IF($AE28&lt;=1200,N(INDEX(对接源_01水果!$K$4:$K$1203,$AE28)),N(INDEX(对接源_02物料!$K$4:$K$1203,$AE28-1200)))/IF($AE28&lt;=1200,N(INDEX(对接源_01水果!$H$4:$H$1203,$AE28)),N(INDEX(对接源_02物料!$H$4:$H$1203,$AE28-1200))),2)))</f>
        <v/>
      </c>
      <c r="H28" s="55" t="str">
        <f>IF($AE28="","",IF($AE28&lt;=1200,IF(INDEX(对接源_01水果!$K$4:$K$1203,$AE28)=0,"",INDEX(对接源_01水果!$K$4:$K$1203,$AE28)),IF(INDEX(对接源_02物料!$K$4:$K$1203,$AE28-1200)=0,"",INDEX(对接源_02物料!$K$4:$K$1203,$AE28-1200))))</f>
        <v/>
      </c>
      <c r="I28" s="53" t="str">
        <f>IF($AE28="","",IF($AE28&lt;=1200,IF(INDEX(对接源_01水果!$L$4:$L$1203,$AE28)=0,"",INDEX(对接源_01水果!$L$4:$L$1203,$AE28)),IF(INDEX(对接源_02物料!$L$4:$L$1203,$AE28-1200)=0,"",INDEX(对接源_02物料!$L$4:$L$1203,$AE28-1200))))</f>
        <v/>
      </c>
      <c r="J28" s="106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07" t="str">
        <f>IFERROR(MATCH(23,_自动清单!$AS$4:$AS$2403,0),"")</f>
        <v/>
      </c>
    </row>
    <row r="29" ht="18" customHeight="1" spans="1:31">
      <c r="A29" s="52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53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106" t="str">
        <f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53" t="str">
        <f>IF($AE29="","",IF(IF($AE29&lt;=1200,IF(INDEX(对接源_01水果!$G$4:$G$1203,$AE29)=0,"",INDEX(对接源_01水果!$G$4:$G$1203,$AE29)),IF(INDEX(对接源_02物料!$G$4:$G$1203,$AE29-1200)=0,"",INDEX(对接源_02物料!$G$4:$G$1203,$AE29-1200)))="",IF($AE29&lt;=1200,IF(INDEX(对接源_01水果!$D$4:$D$1203,$AE29)=0,"",INDEX(对接源_01水果!$D$4:$D$1203,$AE29)),IF(INDEX(对接源_02物料!$D$4:$D$1203,$AE29-1200)=0,"",INDEX(对接源_02物料!$D$4:$D$1203,$AE29-1200))),IF($AE29&lt;=1200,IF(INDEX(对接源_01水果!$G$4:$G$1203,$AE29)=0,"",INDEX(对接源_01水果!$G$4:$G$1203,$AE29)),IF(INDEX(对接源_02物料!$G$4:$G$1203,$AE29-1200)=0,"",INDEX(对接源_02物料!$G$4:$G$1203,$AE29-1200)))))</f>
        <v/>
      </c>
      <c r="E29" s="55" t="str">
        <f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53" t="str">
        <f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55" t="str">
        <f>IF($AE29="","",IF(IF($AE29&lt;=1200,N(INDEX(对接源_01水果!$H$4:$H$1203,$AE29)),N(INDEX(对接源_02物料!$H$4:$H$1203,$AE29-1200)))=0,"",ROUND(IF($AE29&lt;=1200,N(INDEX(对接源_01水果!$K$4:$K$1203,$AE29)),N(INDEX(对接源_02物料!$K$4:$K$1203,$AE29-1200)))/IF($AE29&lt;=1200,N(INDEX(对接源_01水果!$H$4:$H$1203,$AE29)),N(INDEX(对接源_02物料!$H$4:$H$1203,$AE29-1200))),2)))</f>
        <v/>
      </c>
      <c r="H29" s="55" t="str">
        <f>IF($AE29="","",IF($AE29&lt;=1200,IF(INDEX(对接源_01水果!$K$4:$K$1203,$AE29)=0,"",INDEX(对接源_01水果!$K$4:$K$1203,$AE29)),IF(INDEX(对接源_02物料!$K$4:$K$1203,$AE29-1200)=0,"",INDEX(对接源_02物料!$K$4:$K$1203,$AE29-1200))))</f>
        <v/>
      </c>
      <c r="I29" s="53" t="str">
        <f>IF($AE29="","",IF($AE29&lt;=1200,IF(INDEX(对接源_01水果!$L$4:$L$1203,$AE29)=0,"",INDEX(对接源_01水果!$L$4:$L$1203,$AE29)),IF(INDEX(对接源_02物料!$L$4:$L$1203,$AE29-1200)=0,"",INDEX(对接源_02物料!$L$4:$L$1203,$AE29-1200))))</f>
        <v/>
      </c>
      <c r="J29" s="106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07" t="str">
        <f>IFERROR(MATCH(24,_自动清单!$AS$4:$AS$2403,0),"")</f>
        <v/>
      </c>
    </row>
    <row r="30" ht="18" customHeight="1" spans="1:31">
      <c r="A30" s="52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53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106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53" t="str">
        <f>IF($AE30="","",IF(IF($AE30&lt;=1200,IF(INDEX(对接源_01水果!$G$4:$G$1203,$AE30)=0,"",INDEX(对接源_01水果!$G$4:$G$1203,$AE30)),IF(INDEX(对接源_02物料!$G$4:$G$1203,$AE30-1200)=0,"",INDEX(对接源_02物料!$G$4:$G$1203,$AE30-1200)))="",IF($AE30&lt;=1200,IF(INDEX(对接源_01水果!$D$4:$D$1203,$AE30)=0,"",INDEX(对接源_01水果!$D$4:$D$1203,$AE30)),IF(INDEX(对接源_02物料!$D$4:$D$1203,$AE30-1200)=0,"",INDEX(对接源_02物料!$D$4:$D$1203,$AE30-1200))),IF($AE30&lt;=1200,IF(INDEX(对接源_01水果!$G$4:$G$1203,$AE30)=0,"",INDEX(对接源_01水果!$G$4:$G$1203,$AE30)),IF(INDEX(对接源_02物料!$G$4:$G$1203,$AE30-1200)=0,"",INDEX(对接源_02物料!$G$4:$G$1203,$AE30-1200)))))</f>
        <v/>
      </c>
      <c r="E30" s="55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53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55" t="str">
        <f>IF($AE30="","",IF(IF($AE30&lt;=1200,N(INDEX(对接源_01水果!$H$4:$H$1203,$AE30)),N(INDEX(对接源_02物料!$H$4:$H$1203,$AE30-1200)))=0,"",ROUND(IF($AE30&lt;=1200,N(INDEX(对接源_01水果!$K$4:$K$1203,$AE30)),N(INDEX(对接源_02物料!$K$4:$K$1203,$AE30-1200)))/IF($AE30&lt;=1200,N(INDEX(对接源_01水果!$H$4:$H$1203,$AE30)),N(INDEX(对接源_02物料!$H$4:$H$1203,$AE30-1200))),2)))</f>
        <v/>
      </c>
      <c r="H30" s="55" t="str">
        <f>IF($AE30="","",IF($AE30&lt;=1200,IF(INDEX(对接源_01水果!$K$4:$K$1203,$AE30)=0,"",INDEX(对接源_01水果!$K$4:$K$1203,$AE30)),IF(INDEX(对接源_02物料!$K$4:$K$1203,$AE30-1200)=0,"",INDEX(对接源_02物料!$K$4:$K$1203,$AE30-1200))))</f>
        <v/>
      </c>
      <c r="I30" s="53" t="str">
        <f>IF($AE30="","",IF($AE30&lt;=1200,IF(INDEX(对接源_01水果!$L$4:$L$1203,$AE30)=0,"",INDEX(对接源_01水果!$L$4:$L$1203,$AE30)),IF(INDEX(对接源_02物料!$L$4:$L$1203,$AE30-1200)=0,"",INDEX(对接源_02物料!$L$4:$L$1203,$AE30-1200))))</f>
        <v/>
      </c>
      <c r="J30" s="106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07" t="str">
        <f>IFERROR(MATCH(25,_自动清单!$AS$4:$AS$2403,0),"")</f>
        <v/>
      </c>
    </row>
    <row r="31" ht="18" customHeight="1" spans="1:31">
      <c r="A31" s="52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3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06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53" t="str">
        <f>IF($AE31="","",IF(IF($AE31&lt;=1200,IF(INDEX(对接源_01水果!$G$4:$G$1203,$AE31)=0,"",INDEX(对接源_01水果!$G$4:$G$1203,$AE31)),IF(INDEX(对接源_02物料!$G$4:$G$1203,$AE31-1200)=0,"",INDEX(对接源_02物料!$G$4:$G$1203,$AE31-1200)))="",IF($AE31&lt;=1200,IF(INDEX(对接源_01水果!$D$4:$D$1203,$AE31)=0,"",INDEX(对接源_01水果!$D$4:$D$1203,$AE31)),IF(INDEX(对接源_02物料!$D$4:$D$1203,$AE31-1200)=0,"",INDEX(对接源_02物料!$D$4:$D$1203,$AE31-1200))),IF($AE31&lt;=1200,IF(INDEX(对接源_01水果!$G$4:$G$1203,$AE31)=0,"",INDEX(对接源_01水果!$G$4:$G$1203,$AE31)),IF(INDEX(对接源_02物料!$G$4:$G$1203,$AE31-1200)=0,"",INDEX(对接源_02物料!$G$4:$G$1203,$AE31-1200)))))</f>
        <v/>
      </c>
      <c r="E31" s="55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53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55" t="str">
        <f>IF($AE31="","",IF(IF($AE31&lt;=1200,N(INDEX(对接源_01水果!$H$4:$H$1203,$AE31)),N(INDEX(对接源_02物料!$H$4:$H$1203,$AE31-1200)))=0,"",ROUND(IF($AE31&lt;=1200,N(INDEX(对接源_01水果!$K$4:$K$1203,$AE31)),N(INDEX(对接源_02物料!$K$4:$K$1203,$AE31-1200)))/IF($AE31&lt;=1200,N(INDEX(对接源_01水果!$H$4:$H$1203,$AE31)),N(INDEX(对接源_02物料!$H$4:$H$1203,$AE31-1200))),2)))</f>
        <v/>
      </c>
      <c r="H31" s="55" t="str">
        <f>IF($AE31="","",IF($AE31&lt;=1200,IF(INDEX(对接源_01水果!$K$4:$K$1203,$AE31)=0,"",INDEX(对接源_01水果!$K$4:$K$1203,$AE31)),IF(INDEX(对接源_02物料!$K$4:$K$1203,$AE31-1200)=0,"",INDEX(对接源_02物料!$K$4:$K$1203,$AE31-1200))))</f>
        <v/>
      </c>
      <c r="I31" s="53" t="str">
        <f>IF($AE31="","",IF($AE31&lt;=1200,IF(INDEX(对接源_01水果!$L$4:$L$1203,$AE31)=0,"",INDEX(对接源_01水果!$L$4:$L$1203,$AE31)),IF(INDEX(对接源_02物料!$L$4:$L$1203,$AE31-1200)=0,"",INDEX(对接源_02物料!$L$4:$L$1203,$AE31-1200))))</f>
        <v/>
      </c>
      <c r="J31" s="106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07" t="str">
        <f>IFERROR(MATCH(26,_自动清单!$AS$4:$AS$2403,0),"")</f>
        <v/>
      </c>
    </row>
    <row r="32" ht="18" customHeight="1" spans="1:31">
      <c r="A32" s="52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3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106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53" t="str">
        <f>IF($AE32="","",IF(IF($AE32&lt;=1200,IF(INDEX(对接源_01水果!$G$4:$G$1203,$AE32)=0,"",INDEX(对接源_01水果!$G$4:$G$1203,$AE32)),IF(INDEX(对接源_02物料!$G$4:$G$1203,$AE32-1200)=0,"",INDEX(对接源_02物料!$G$4:$G$1203,$AE32-1200)))="",IF($AE32&lt;=1200,IF(INDEX(对接源_01水果!$D$4:$D$1203,$AE32)=0,"",INDEX(对接源_01水果!$D$4:$D$1203,$AE32)),IF(INDEX(对接源_02物料!$D$4:$D$1203,$AE32-1200)=0,"",INDEX(对接源_02物料!$D$4:$D$1203,$AE32-1200))),IF($AE32&lt;=1200,IF(INDEX(对接源_01水果!$G$4:$G$1203,$AE32)=0,"",INDEX(对接源_01水果!$G$4:$G$1203,$AE32)),IF(INDEX(对接源_02物料!$G$4:$G$1203,$AE32-1200)=0,"",INDEX(对接源_02物料!$G$4:$G$1203,$AE32-1200)))))</f>
        <v/>
      </c>
      <c r="E32" s="55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53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5" t="str">
        <f>IF($AE32="","",IF(IF($AE32&lt;=1200,N(INDEX(对接源_01水果!$H$4:$H$1203,$AE32)),N(INDEX(对接源_02物料!$H$4:$H$1203,$AE32-1200)))=0,"",ROUND(IF($AE32&lt;=1200,N(INDEX(对接源_01水果!$K$4:$K$1203,$AE32)),N(INDEX(对接源_02物料!$K$4:$K$1203,$AE32-1200)))/IF($AE32&lt;=1200,N(INDEX(对接源_01水果!$H$4:$H$1203,$AE32)),N(INDEX(对接源_02物料!$H$4:$H$1203,$AE32-1200))),2)))</f>
        <v/>
      </c>
      <c r="H32" s="55" t="str">
        <f>IF($AE32="","",IF($AE32&lt;=1200,IF(INDEX(对接源_01水果!$K$4:$K$1203,$AE32)=0,"",INDEX(对接源_01水果!$K$4:$K$1203,$AE32)),IF(INDEX(对接源_02物料!$K$4:$K$1203,$AE32-1200)=0,"",INDEX(对接源_02物料!$K$4:$K$1203,$AE32-1200))))</f>
        <v/>
      </c>
      <c r="I32" s="53" t="str">
        <f>IF($AE32="","",IF($AE32&lt;=1200,IF(INDEX(对接源_01水果!$L$4:$L$1203,$AE32)=0,"",INDEX(对接源_01水果!$L$4:$L$1203,$AE32)),IF(INDEX(对接源_02物料!$L$4:$L$1203,$AE32-1200)=0,"",INDEX(对接源_02物料!$L$4:$L$1203,$AE32-1200))))</f>
        <v/>
      </c>
      <c r="J32" s="106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07" t="str">
        <f>IFERROR(MATCH(27,_自动清单!$AS$4:$AS$2403,0),"")</f>
        <v/>
      </c>
    </row>
    <row r="33" ht="18" customHeight="1" spans="1:31">
      <c r="A33" s="52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53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06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53" t="str">
        <f>IF($AE33="","",IF(IF($AE33&lt;=1200,IF(INDEX(对接源_01水果!$G$4:$G$1203,$AE33)=0,"",INDEX(对接源_01水果!$G$4:$G$1203,$AE33)),IF(INDEX(对接源_02物料!$G$4:$G$1203,$AE33-1200)=0,"",INDEX(对接源_02物料!$G$4:$G$1203,$AE33-1200)))="",IF($AE33&lt;=1200,IF(INDEX(对接源_01水果!$D$4:$D$1203,$AE33)=0,"",INDEX(对接源_01水果!$D$4:$D$1203,$AE33)),IF(INDEX(对接源_02物料!$D$4:$D$1203,$AE33-1200)=0,"",INDEX(对接源_02物料!$D$4:$D$1203,$AE33-1200))),IF($AE33&lt;=1200,IF(INDEX(对接源_01水果!$G$4:$G$1203,$AE33)=0,"",INDEX(对接源_01水果!$G$4:$G$1203,$AE33)),IF(INDEX(对接源_02物料!$G$4:$G$1203,$AE33-1200)=0,"",INDEX(对接源_02物料!$G$4:$G$1203,$AE33-1200)))))</f>
        <v/>
      </c>
      <c r="E33" s="55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53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55" t="str">
        <f>IF($AE33="","",IF(IF($AE33&lt;=1200,N(INDEX(对接源_01水果!$H$4:$H$1203,$AE33)),N(INDEX(对接源_02物料!$H$4:$H$1203,$AE33-1200)))=0,"",ROUND(IF($AE33&lt;=1200,N(INDEX(对接源_01水果!$K$4:$K$1203,$AE33)),N(INDEX(对接源_02物料!$K$4:$K$1203,$AE33-1200)))/IF($AE33&lt;=1200,N(INDEX(对接源_01水果!$H$4:$H$1203,$AE33)),N(INDEX(对接源_02物料!$H$4:$H$1203,$AE33-1200))),2)))</f>
        <v/>
      </c>
      <c r="H33" s="55" t="str">
        <f>IF($AE33="","",IF($AE33&lt;=1200,IF(INDEX(对接源_01水果!$K$4:$K$1203,$AE33)=0,"",INDEX(对接源_01水果!$K$4:$K$1203,$AE33)),IF(INDEX(对接源_02物料!$K$4:$K$1203,$AE33-1200)=0,"",INDEX(对接源_02物料!$K$4:$K$1203,$AE33-1200))))</f>
        <v/>
      </c>
      <c r="I33" s="53" t="str">
        <f>IF($AE33="","",IF($AE33&lt;=1200,IF(INDEX(对接源_01水果!$L$4:$L$1203,$AE33)=0,"",INDEX(对接源_01水果!$L$4:$L$1203,$AE33)),IF(INDEX(对接源_02物料!$L$4:$L$1203,$AE33-1200)=0,"",INDEX(对接源_02物料!$L$4:$L$1203,$AE33-1200))))</f>
        <v/>
      </c>
      <c r="J33" s="106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07" t="str">
        <f>IFERROR(MATCH(28,_自动清单!$AS$4:$AS$2403,0),"")</f>
        <v/>
      </c>
    </row>
    <row r="34" ht="18" customHeight="1" spans="1:31">
      <c r="A34" s="52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3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106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53" t="str">
        <f>IF($AE34="","",IF(IF($AE34&lt;=1200,IF(INDEX(对接源_01水果!$G$4:$G$1203,$AE34)=0,"",INDEX(对接源_01水果!$G$4:$G$1203,$AE34)),IF(INDEX(对接源_02物料!$G$4:$G$1203,$AE34-1200)=0,"",INDEX(对接源_02物料!$G$4:$G$1203,$AE34-1200)))="",IF($AE34&lt;=1200,IF(INDEX(对接源_01水果!$D$4:$D$1203,$AE34)=0,"",INDEX(对接源_01水果!$D$4:$D$1203,$AE34)),IF(INDEX(对接源_02物料!$D$4:$D$1203,$AE34-1200)=0,"",INDEX(对接源_02物料!$D$4:$D$1203,$AE34-1200))),IF($AE34&lt;=1200,IF(INDEX(对接源_01水果!$G$4:$G$1203,$AE34)=0,"",INDEX(对接源_01水果!$G$4:$G$1203,$AE34)),IF(INDEX(对接源_02物料!$G$4:$G$1203,$AE34-1200)=0,"",INDEX(对接源_02物料!$G$4:$G$1203,$AE34-1200)))))</f>
        <v/>
      </c>
      <c r="E34" s="55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53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5" t="str">
        <f>IF($AE34="","",IF(IF($AE34&lt;=1200,N(INDEX(对接源_01水果!$H$4:$H$1203,$AE34)),N(INDEX(对接源_02物料!$H$4:$H$1203,$AE34-1200)))=0,"",ROUND(IF($AE34&lt;=1200,N(INDEX(对接源_01水果!$K$4:$K$1203,$AE34)),N(INDEX(对接源_02物料!$K$4:$K$1203,$AE34-1200)))/IF($AE34&lt;=1200,N(INDEX(对接源_01水果!$H$4:$H$1203,$AE34)),N(INDEX(对接源_02物料!$H$4:$H$1203,$AE34-1200))),2)))</f>
        <v/>
      </c>
      <c r="H34" s="55" t="str">
        <f>IF($AE34="","",IF($AE34&lt;=1200,IF(INDEX(对接源_01水果!$K$4:$K$1203,$AE34)=0,"",INDEX(对接源_01水果!$K$4:$K$1203,$AE34)),IF(INDEX(对接源_02物料!$K$4:$K$1203,$AE34-1200)=0,"",INDEX(对接源_02物料!$K$4:$K$1203,$AE34-1200))))</f>
        <v/>
      </c>
      <c r="I34" s="53" t="str">
        <f>IF($AE34="","",IF($AE34&lt;=1200,IF(INDEX(对接源_01水果!$L$4:$L$1203,$AE34)=0,"",INDEX(对接源_01水果!$L$4:$L$1203,$AE34)),IF(INDEX(对接源_02物料!$L$4:$L$1203,$AE34-1200)=0,"",INDEX(对接源_02物料!$L$4:$L$1203,$AE34-1200))))</f>
        <v/>
      </c>
      <c r="J34" s="106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07" t="str">
        <f>IFERROR(MATCH(29,_自动清单!$AS$4:$AS$2403,0),"")</f>
        <v/>
      </c>
    </row>
    <row r="35" ht="18" customHeight="1" spans="1:31">
      <c r="A35" s="52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3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06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53" t="str">
        <f>IF($AE35="","",IF(IF($AE35&lt;=1200,IF(INDEX(对接源_01水果!$G$4:$G$1203,$AE35)=0,"",INDEX(对接源_01水果!$G$4:$G$1203,$AE35)),IF(INDEX(对接源_02物料!$G$4:$G$1203,$AE35-1200)=0,"",INDEX(对接源_02物料!$G$4:$G$1203,$AE35-1200)))="",IF($AE35&lt;=1200,IF(INDEX(对接源_01水果!$D$4:$D$1203,$AE35)=0,"",INDEX(对接源_01水果!$D$4:$D$1203,$AE35)),IF(INDEX(对接源_02物料!$D$4:$D$1203,$AE35-1200)=0,"",INDEX(对接源_02物料!$D$4:$D$1203,$AE35-1200))),IF($AE35&lt;=1200,IF(INDEX(对接源_01水果!$G$4:$G$1203,$AE35)=0,"",INDEX(对接源_01水果!$G$4:$G$1203,$AE35)),IF(INDEX(对接源_02物料!$G$4:$G$1203,$AE35-1200)=0,"",INDEX(对接源_02物料!$G$4:$G$1203,$AE35-1200)))))</f>
        <v/>
      </c>
      <c r="E35" s="55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53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55" t="str">
        <f>IF($AE35="","",IF(IF($AE35&lt;=1200,N(INDEX(对接源_01水果!$H$4:$H$1203,$AE35)),N(INDEX(对接源_02物料!$H$4:$H$1203,$AE35-1200)))=0,"",ROUND(IF($AE35&lt;=1200,N(INDEX(对接源_01水果!$K$4:$K$1203,$AE35)),N(INDEX(对接源_02物料!$K$4:$K$1203,$AE35-1200)))/IF($AE35&lt;=1200,N(INDEX(对接源_01水果!$H$4:$H$1203,$AE35)),N(INDEX(对接源_02物料!$H$4:$H$1203,$AE35-1200))),2)))</f>
        <v/>
      </c>
      <c r="H35" s="55" t="str">
        <f>IF($AE35="","",IF($AE35&lt;=1200,IF(INDEX(对接源_01水果!$K$4:$K$1203,$AE35)=0,"",INDEX(对接源_01水果!$K$4:$K$1203,$AE35)),IF(INDEX(对接源_02物料!$K$4:$K$1203,$AE35-1200)=0,"",INDEX(对接源_02物料!$K$4:$K$1203,$AE35-1200))))</f>
        <v/>
      </c>
      <c r="I35" s="53" t="str">
        <f>IF($AE35="","",IF($AE35&lt;=1200,IF(INDEX(对接源_01水果!$L$4:$L$1203,$AE35)=0,"",INDEX(对接源_01水果!$L$4:$L$1203,$AE35)),IF(INDEX(对接源_02物料!$L$4:$L$1203,$AE35-1200)=0,"",INDEX(对接源_02物料!$L$4:$L$1203,$AE35-1200))))</f>
        <v/>
      </c>
      <c r="J35" s="106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07" t="str">
        <f>IFERROR(MATCH(30,_自动清单!$AS$4:$AS$2403,0),"")</f>
        <v/>
      </c>
    </row>
    <row r="36" ht="18" customHeight="1" spans="1:31">
      <c r="A36" s="52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53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106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53" t="str">
        <f>IF($AE36="","",IF(IF($AE36&lt;=1200,IF(INDEX(对接源_01水果!$G$4:$G$1203,$AE36)=0,"",INDEX(对接源_01水果!$G$4:$G$1203,$AE36)),IF(INDEX(对接源_02物料!$G$4:$G$1203,$AE36-1200)=0,"",INDEX(对接源_02物料!$G$4:$G$1203,$AE36-1200)))="",IF($AE36&lt;=1200,IF(INDEX(对接源_01水果!$D$4:$D$1203,$AE36)=0,"",INDEX(对接源_01水果!$D$4:$D$1203,$AE36)),IF(INDEX(对接源_02物料!$D$4:$D$1203,$AE36-1200)=0,"",INDEX(对接源_02物料!$D$4:$D$1203,$AE36-1200))),IF($AE36&lt;=1200,IF(INDEX(对接源_01水果!$G$4:$G$1203,$AE36)=0,"",INDEX(对接源_01水果!$G$4:$G$1203,$AE36)),IF(INDEX(对接源_02物料!$G$4:$G$1203,$AE36-1200)=0,"",INDEX(对接源_02物料!$G$4:$G$1203,$AE36-1200)))))</f>
        <v/>
      </c>
      <c r="E36" s="55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53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5" t="str">
        <f>IF($AE36="","",IF(IF($AE36&lt;=1200,N(INDEX(对接源_01水果!$H$4:$H$1203,$AE36)),N(INDEX(对接源_02物料!$H$4:$H$1203,$AE36-1200)))=0,"",ROUND(IF($AE36&lt;=1200,N(INDEX(对接源_01水果!$K$4:$K$1203,$AE36)),N(INDEX(对接源_02物料!$K$4:$K$1203,$AE36-1200)))/IF($AE36&lt;=1200,N(INDEX(对接源_01水果!$H$4:$H$1203,$AE36)),N(INDEX(对接源_02物料!$H$4:$H$1203,$AE36-1200))),2)))</f>
        <v/>
      </c>
      <c r="H36" s="55" t="str">
        <f>IF($AE36="","",IF($AE36&lt;=1200,IF(INDEX(对接源_01水果!$K$4:$K$1203,$AE36)=0,"",INDEX(对接源_01水果!$K$4:$K$1203,$AE36)),IF(INDEX(对接源_02物料!$K$4:$K$1203,$AE36-1200)=0,"",INDEX(对接源_02物料!$K$4:$K$1203,$AE36-1200))))</f>
        <v/>
      </c>
      <c r="I36" s="53" t="str">
        <f>IF($AE36="","",IF($AE36&lt;=1200,IF(INDEX(对接源_01水果!$L$4:$L$1203,$AE36)=0,"",INDEX(对接源_01水果!$L$4:$L$1203,$AE36)),IF(INDEX(对接源_02物料!$L$4:$L$1203,$AE36-1200)=0,"",INDEX(对接源_02物料!$L$4:$L$1203,$AE36-1200))))</f>
        <v/>
      </c>
      <c r="J36" s="106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07" t="str">
        <f>IFERROR(MATCH(31,_自动清单!$AS$4:$AS$2403,0),"")</f>
        <v/>
      </c>
    </row>
    <row r="37" ht="18" customHeight="1" spans="1:31">
      <c r="A37" s="52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3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06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53" t="str">
        <f>IF($AE37="","",IF(IF($AE37&lt;=1200,IF(INDEX(对接源_01水果!$G$4:$G$1203,$AE37)=0,"",INDEX(对接源_01水果!$G$4:$G$1203,$AE37)),IF(INDEX(对接源_02物料!$G$4:$G$1203,$AE37-1200)=0,"",INDEX(对接源_02物料!$G$4:$G$1203,$AE37-1200)))="",IF($AE37&lt;=1200,IF(INDEX(对接源_01水果!$D$4:$D$1203,$AE37)=0,"",INDEX(对接源_01水果!$D$4:$D$1203,$AE37)),IF(INDEX(对接源_02物料!$D$4:$D$1203,$AE37-1200)=0,"",INDEX(对接源_02物料!$D$4:$D$1203,$AE37-1200))),IF($AE37&lt;=1200,IF(INDEX(对接源_01水果!$G$4:$G$1203,$AE37)=0,"",INDEX(对接源_01水果!$G$4:$G$1203,$AE37)),IF(INDEX(对接源_02物料!$G$4:$G$1203,$AE37-1200)=0,"",INDEX(对接源_02物料!$G$4:$G$1203,$AE37-1200)))))</f>
        <v/>
      </c>
      <c r="E37" s="55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53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5" t="str">
        <f>IF($AE37="","",IF(IF($AE37&lt;=1200,N(INDEX(对接源_01水果!$H$4:$H$1203,$AE37)),N(INDEX(对接源_02物料!$H$4:$H$1203,$AE37-1200)))=0,"",ROUND(IF($AE37&lt;=1200,N(INDEX(对接源_01水果!$K$4:$K$1203,$AE37)),N(INDEX(对接源_02物料!$K$4:$K$1203,$AE37-1200)))/IF($AE37&lt;=1200,N(INDEX(对接源_01水果!$H$4:$H$1203,$AE37)),N(INDEX(对接源_02物料!$H$4:$H$1203,$AE37-1200))),2)))</f>
        <v/>
      </c>
      <c r="H37" s="55" t="str">
        <f>IF($AE37="","",IF($AE37&lt;=1200,IF(INDEX(对接源_01水果!$K$4:$K$1203,$AE37)=0,"",INDEX(对接源_01水果!$K$4:$K$1203,$AE37)),IF(INDEX(对接源_02物料!$K$4:$K$1203,$AE37-1200)=0,"",INDEX(对接源_02物料!$K$4:$K$1203,$AE37-1200))))</f>
        <v/>
      </c>
      <c r="I37" s="53" t="str">
        <f>IF($AE37="","",IF($AE37&lt;=1200,IF(INDEX(对接源_01水果!$L$4:$L$1203,$AE37)=0,"",INDEX(对接源_01水果!$L$4:$L$1203,$AE37)),IF(INDEX(对接源_02物料!$L$4:$L$1203,$AE37-1200)=0,"",INDEX(对接源_02物料!$L$4:$L$1203,$AE37-1200))))</f>
        <v/>
      </c>
      <c r="J37" s="106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07" t="str">
        <f>IFERROR(MATCH(32,_自动清单!$AS$4:$AS$2403,0),"")</f>
        <v/>
      </c>
    </row>
    <row r="38" ht="18" customHeight="1" spans="1:31">
      <c r="A38" s="52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3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106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53" t="str">
        <f>IF($AE38="","",IF(IF($AE38&lt;=1200,IF(INDEX(对接源_01水果!$G$4:$G$1203,$AE38)=0,"",INDEX(对接源_01水果!$G$4:$G$1203,$AE38)),IF(INDEX(对接源_02物料!$G$4:$G$1203,$AE38-1200)=0,"",INDEX(对接源_02物料!$G$4:$G$1203,$AE38-1200)))="",IF($AE38&lt;=1200,IF(INDEX(对接源_01水果!$D$4:$D$1203,$AE38)=0,"",INDEX(对接源_01水果!$D$4:$D$1203,$AE38)),IF(INDEX(对接源_02物料!$D$4:$D$1203,$AE38-1200)=0,"",INDEX(对接源_02物料!$D$4:$D$1203,$AE38-1200))),IF($AE38&lt;=1200,IF(INDEX(对接源_01水果!$G$4:$G$1203,$AE38)=0,"",INDEX(对接源_01水果!$G$4:$G$1203,$AE38)),IF(INDEX(对接源_02物料!$G$4:$G$1203,$AE38-1200)=0,"",INDEX(对接源_02物料!$G$4:$G$1203,$AE38-1200)))))</f>
        <v/>
      </c>
      <c r="E38" s="55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53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5" t="str">
        <f>IF($AE38="","",IF(IF($AE38&lt;=1200,N(INDEX(对接源_01水果!$H$4:$H$1203,$AE38)),N(INDEX(对接源_02物料!$H$4:$H$1203,$AE38-1200)))=0,"",ROUND(IF($AE38&lt;=1200,N(INDEX(对接源_01水果!$K$4:$K$1203,$AE38)),N(INDEX(对接源_02物料!$K$4:$K$1203,$AE38-1200)))/IF($AE38&lt;=1200,N(INDEX(对接源_01水果!$H$4:$H$1203,$AE38)),N(INDEX(对接源_02物料!$H$4:$H$1203,$AE38-1200))),2)))</f>
        <v/>
      </c>
      <c r="H38" s="55" t="str">
        <f>IF($AE38="","",IF($AE38&lt;=1200,IF(INDEX(对接源_01水果!$K$4:$K$1203,$AE38)=0,"",INDEX(对接源_01水果!$K$4:$K$1203,$AE38)),IF(INDEX(对接源_02物料!$K$4:$K$1203,$AE38-1200)=0,"",INDEX(对接源_02物料!$K$4:$K$1203,$AE38-1200))))</f>
        <v/>
      </c>
      <c r="I38" s="53" t="str">
        <f>IF($AE38="","",IF($AE38&lt;=1200,IF(INDEX(对接源_01水果!$L$4:$L$1203,$AE38)=0,"",INDEX(对接源_01水果!$L$4:$L$1203,$AE38)),IF(INDEX(对接源_02物料!$L$4:$L$1203,$AE38-1200)=0,"",INDEX(对接源_02物料!$L$4:$L$1203,$AE38-1200))))</f>
        <v/>
      </c>
      <c r="J38" s="106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07" t="str">
        <f>IFERROR(MATCH(33,_自动清单!$AS$4:$AS$2403,0),"")</f>
        <v/>
      </c>
    </row>
    <row r="39" ht="18" customHeight="1" spans="1:31">
      <c r="A39" s="52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3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06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53" t="str">
        <f>IF($AE39="","",IF(IF($AE39&lt;=1200,IF(INDEX(对接源_01水果!$G$4:$G$1203,$AE39)=0,"",INDEX(对接源_01水果!$G$4:$G$1203,$AE39)),IF(INDEX(对接源_02物料!$G$4:$G$1203,$AE39-1200)=0,"",INDEX(对接源_02物料!$G$4:$G$1203,$AE39-1200)))="",IF($AE39&lt;=1200,IF(INDEX(对接源_01水果!$D$4:$D$1203,$AE39)=0,"",INDEX(对接源_01水果!$D$4:$D$1203,$AE39)),IF(INDEX(对接源_02物料!$D$4:$D$1203,$AE39-1200)=0,"",INDEX(对接源_02物料!$D$4:$D$1203,$AE39-1200))),IF($AE39&lt;=1200,IF(INDEX(对接源_01水果!$G$4:$G$1203,$AE39)=0,"",INDEX(对接源_01水果!$G$4:$G$1203,$AE39)),IF(INDEX(对接源_02物料!$G$4:$G$1203,$AE39-1200)=0,"",INDEX(对接源_02物料!$G$4:$G$1203,$AE39-1200)))))</f>
        <v/>
      </c>
      <c r="E39" s="55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53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55" t="str">
        <f>IF($AE39="","",IF(IF($AE39&lt;=1200,N(INDEX(对接源_01水果!$H$4:$H$1203,$AE39)),N(INDEX(对接源_02物料!$H$4:$H$1203,$AE39-1200)))=0,"",ROUND(IF($AE39&lt;=1200,N(INDEX(对接源_01水果!$K$4:$K$1203,$AE39)),N(INDEX(对接源_02物料!$K$4:$K$1203,$AE39-1200)))/IF($AE39&lt;=1200,N(INDEX(对接源_01水果!$H$4:$H$1203,$AE39)),N(INDEX(对接源_02物料!$H$4:$H$1203,$AE39-1200))),2)))</f>
        <v/>
      </c>
      <c r="H39" s="55" t="str">
        <f>IF($AE39="","",IF($AE39&lt;=1200,IF(INDEX(对接源_01水果!$K$4:$K$1203,$AE39)=0,"",INDEX(对接源_01水果!$K$4:$K$1203,$AE39)),IF(INDEX(对接源_02物料!$K$4:$K$1203,$AE39-1200)=0,"",INDEX(对接源_02物料!$K$4:$K$1203,$AE39-1200))))</f>
        <v/>
      </c>
      <c r="I39" s="53" t="str">
        <f>IF($AE39="","",IF($AE39&lt;=1200,IF(INDEX(对接源_01水果!$L$4:$L$1203,$AE39)=0,"",INDEX(对接源_01水果!$L$4:$L$1203,$AE39)),IF(INDEX(对接源_02物料!$L$4:$L$1203,$AE39-1200)=0,"",INDEX(对接源_02物料!$L$4:$L$1203,$AE39-1200))))</f>
        <v/>
      </c>
      <c r="J39" s="106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07" t="str">
        <f>IFERROR(MATCH(34,_自动清单!$AS$4:$AS$2403,0),"")</f>
        <v/>
      </c>
    </row>
    <row r="40" ht="18" customHeight="1" spans="1:31">
      <c r="A40" s="52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3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106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53" t="str">
        <f>IF($AE40="","",IF(IF($AE40&lt;=1200,IF(INDEX(对接源_01水果!$G$4:$G$1203,$AE40)=0,"",INDEX(对接源_01水果!$G$4:$G$1203,$AE40)),IF(INDEX(对接源_02物料!$G$4:$G$1203,$AE40-1200)=0,"",INDEX(对接源_02物料!$G$4:$G$1203,$AE40-1200)))="",IF($AE40&lt;=1200,IF(INDEX(对接源_01水果!$D$4:$D$1203,$AE40)=0,"",INDEX(对接源_01水果!$D$4:$D$1203,$AE40)),IF(INDEX(对接源_02物料!$D$4:$D$1203,$AE40-1200)=0,"",INDEX(对接源_02物料!$D$4:$D$1203,$AE40-1200))),IF($AE40&lt;=1200,IF(INDEX(对接源_01水果!$G$4:$G$1203,$AE40)=0,"",INDEX(对接源_01水果!$G$4:$G$1203,$AE40)),IF(INDEX(对接源_02物料!$G$4:$G$1203,$AE40-1200)=0,"",INDEX(对接源_02物料!$G$4:$G$1203,$AE40-1200)))))</f>
        <v/>
      </c>
      <c r="E40" s="55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53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5" t="str">
        <f>IF($AE40="","",IF(IF($AE40&lt;=1200,N(INDEX(对接源_01水果!$H$4:$H$1203,$AE40)),N(INDEX(对接源_02物料!$H$4:$H$1203,$AE40-1200)))=0,"",ROUND(IF($AE40&lt;=1200,N(INDEX(对接源_01水果!$K$4:$K$1203,$AE40)),N(INDEX(对接源_02物料!$K$4:$K$1203,$AE40-1200)))/IF($AE40&lt;=1200,N(INDEX(对接源_01水果!$H$4:$H$1203,$AE40)),N(INDEX(对接源_02物料!$H$4:$H$1203,$AE40-1200))),2)))</f>
        <v/>
      </c>
      <c r="H40" s="55" t="str">
        <f>IF($AE40="","",IF($AE40&lt;=1200,IF(INDEX(对接源_01水果!$K$4:$K$1203,$AE40)=0,"",INDEX(对接源_01水果!$K$4:$K$1203,$AE40)),IF(INDEX(对接源_02物料!$K$4:$K$1203,$AE40-1200)=0,"",INDEX(对接源_02物料!$K$4:$K$1203,$AE40-1200))))</f>
        <v/>
      </c>
      <c r="I40" s="53" t="str">
        <f>IF($AE40="","",IF($AE40&lt;=1200,IF(INDEX(对接源_01水果!$L$4:$L$1203,$AE40)=0,"",INDEX(对接源_01水果!$L$4:$L$1203,$AE40)),IF(INDEX(对接源_02物料!$L$4:$L$1203,$AE40-1200)=0,"",INDEX(对接源_02物料!$L$4:$L$1203,$AE40-1200))))</f>
        <v/>
      </c>
      <c r="J40" s="106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07" t="str">
        <f>IFERROR(MATCH(35,_自动清单!$AS$4:$AS$2403,0),"")</f>
        <v/>
      </c>
    </row>
    <row r="41" ht="18" customHeight="1" spans="1:31">
      <c r="A41" s="52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3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06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53" t="str">
        <f>IF($AE41="","",IF(IF($AE41&lt;=1200,IF(INDEX(对接源_01水果!$G$4:$G$1203,$AE41)=0,"",INDEX(对接源_01水果!$G$4:$G$1203,$AE41)),IF(INDEX(对接源_02物料!$G$4:$G$1203,$AE41-1200)=0,"",INDEX(对接源_02物料!$G$4:$G$1203,$AE41-1200)))="",IF($AE41&lt;=1200,IF(INDEX(对接源_01水果!$D$4:$D$1203,$AE41)=0,"",INDEX(对接源_01水果!$D$4:$D$1203,$AE41)),IF(INDEX(对接源_02物料!$D$4:$D$1203,$AE41-1200)=0,"",INDEX(对接源_02物料!$D$4:$D$1203,$AE41-1200))),IF($AE41&lt;=1200,IF(INDEX(对接源_01水果!$G$4:$G$1203,$AE41)=0,"",INDEX(对接源_01水果!$G$4:$G$1203,$AE41)),IF(INDEX(对接源_02物料!$G$4:$G$1203,$AE41-1200)=0,"",INDEX(对接源_02物料!$G$4:$G$1203,$AE41-1200)))))</f>
        <v/>
      </c>
      <c r="E41" s="55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53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5" t="str">
        <f>IF($AE41="","",IF(IF($AE41&lt;=1200,N(INDEX(对接源_01水果!$H$4:$H$1203,$AE41)),N(INDEX(对接源_02物料!$H$4:$H$1203,$AE41-1200)))=0,"",ROUND(IF($AE41&lt;=1200,N(INDEX(对接源_01水果!$K$4:$K$1203,$AE41)),N(INDEX(对接源_02物料!$K$4:$K$1203,$AE41-1200)))/IF($AE41&lt;=1200,N(INDEX(对接源_01水果!$H$4:$H$1203,$AE41)),N(INDEX(对接源_02物料!$H$4:$H$1203,$AE41-1200))),2)))</f>
        <v/>
      </c>
      <c r="H41" s="55" t="str">
        <f>IF($AE41="","",IF($AE41&lt;=1200,IF(INDEX(对接源_01水果!$K$4:$K$1203,$AE41)=0,"",INDEX(对接源_01水果!$K$4:$K$1203,$AE41)),IF(INDEX(对接源_02物料!$K$4:$K$1203,$AE41-1200)=0,"",INDEX(对接源_02物料!$K$4:$K$1203,$AE41-1200))))</f>
        <v/>
      </c>
      <c r="I41" s="53" t="str">
        <f>IF($AE41="","",IF($AE41&lt;=1200,IF(INDEX(对接源_01水果!$L$4:$L$1203,$AE41)=0,"",INDEX(对接源_01水果!$L$4:$L$1203,$AE41)),IF(INDEX(对接源_02物料!$L$4:$L$1203,$AE41-1200)=0,"",INDEX(对接源_02物料!$L$4:$L$1203,$AE41-1200))))</f>
        <v/>
      </c>
      <c r="J41" s="106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07" t="str">
        <f>IFERROR(MATCH(36,_自动清单!$AS$4:$AS$2403,0),"")</f>
        <v/>
      </c>
    </row>
    <row r="42" ht="18" customHeight="1" spans="1:31">
      <c r="A42" s="52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53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106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53" t="str">
        <f>IF($AE42="","",IF(IF($AE42&lt;=1200,IF(INDEX(对接源_01水果!$G$4:$G$1203,$AE42)=0,"",INDEX(对接源_01水果!$G$4:$G$1203,$AE42)),IF(INDEX(对接源_02物料!$G$4:$G$1203,$AE42-1200)=0,"",INDEX(对接源_02物料!$G$4:$G$1203,$AE42-1200)))="",IF($AE42&lt;=1200,IF(INDEX(对接源_01水果!$D$4:$D$1203,$AE42)=0,"",INDEX(对接源_01水果!$D$4:$D$1203,$AE42)),IF(INDEX(对接源_02物料!$D$4:$D$1203,$AE42-1200)=0,"",INDEX(对接源_02物料!$D$4:$D$1203,$AE42-1200))),IF($AE42&lt;=1200,IF(INDEX(对接源_01水果!$G$4:$G$1203,$AE42)=0,"",INDEX(对接源_01水果!$G$4:$G$1203,$AE42)),IF(INDEX(对接源_02物料!$G$4:$G$1203,$AE42-1200)=0,"",INDEX(对接源_02物料!$G$4:$G$1203,$AE42-1200)))))</f>
        <v/>
      </c>
      <c r="E42" s="55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53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5" t="str">
        <f>IF($AE42="","",IF(IF($AE42&lt;=1200,N(INDEX(对接源_01水果!$H$4:$H$1203,$AE42)),N(INDEX(对接源_02物料!$H$4:$H$1203,$AE42-1200)))=0,"",ROUND(IF($AE42&lt;=1200,N(INDEX(对接源_01水果!$K$4:$K$1203,$AE42)),N(INDEX(对接源_02物料!$K$4:$K$1203,$AE42-1200)))/IF($AE42&lt;=1200,N(INDEX(对接源_01水果!$H$4:$H$1203,$AE42)),N(INDEX(对接源_02物料!$H$4:$H$1203,$AE42-1200))),2)))</f>
        <v/>
      </c>
      <c r="H42" s="55" t="str">
        <f>IF($AE42="","",IF($AE42&lt;=1200,IF(INDEX(对接源_01水果!$K$4:$K$1203,$AE42)=0,"",INDEX(对接源_01水果!$K$4:$K$1203,$AE42)),IF(INDEX(对接源_02物料!$K$4:$K$1203,$AE42-1200)=0,"",INDEX(对接源_02物料!$K$4:$K$1203,$AE42-1200))))</f>
        <v/>
      </c>
      <c r="I42" s="53" t="str">
        <f>IF($AE42="","",IF($AE42&lt;=1200,IF(INDEX(对接源_01水果!$L$4:$L$1203,$AE42)=0,"",INDEX(对接源_01水果!$L$4:$L$1203,$AE42)),IF(INDEX(对接源_02物料!$L$4:$L$1203,$AE42-1200)=0,"",INDEX(对接源_02物料!$L$4:$L$1203,$AE42-1200))))</f>
        <v/>
      </c>
      <c r="J42" s="106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07" t="str">
        <f>IFERROR(MATCH(37,_自动清单!$AS$4:$AS$2403,0),"")</f>
        <v/>
      </c>
    </row>
    <row r="43" ht="18" customHeight="1" spans="1:31">
      <c r="A43" s="52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3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06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53" t="str">
        <f>IF($AE43="","",IF(IF($AE43&lt;=1200,IF(INDEX(对接源_01水果!$G$4:$G$1203,$AE43)=0,"",INDEX(对接源_01水果!$G$4:$G$1203,$AE43)),IF(INDEX(对接源_02物料!$G$4:$G$1203,$AE43-1200)=0,"",INDEX(对接源_02物料!$G$4:$G$1203,$AE43-1200)))="",IF($AE43&lt;=1200,IF(INDEX(对接源_01水果!$D$4:$D$1203,$AE43)=0,"",INDEX(对接源_01水果!$D$4:$D$1203,$AE43)),IF(INDEX(对接源_02物料!$D$4:$D$1203,$AE43-1200)=0,"",INDEX(对接源_02物料!$D$4:$D$1203,$AE43-1200))),IF($AE43&lt;=1200,IF(INDEX(对接源_01水果!$G$4:$G$1203,$AE43)=0,"",INDEX(对接源_01水果!$G$4:$G$1203,$AE43)),IF(INDEX(对接源_02物料!$G$4:$G$1203,$AE43-1200)=0,"",INDEX(对接源_02物料!$G$4:$G$1203,$AE43-1200)))))</f>
        <v/>
      </c>
      <c r="E43" s="55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53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5" t="str">
        <f>IF($AE43="","",IF(IF($AE43&lt;=1200,N(INDEX(对接源_01水果!$H$4:$H$1203,$AE43)),N(INDEX(对接源_02物料!$H$4:$H$1203,$AE43-1200)))=0,"",ROUND(IF($AE43&lt;=1200,N(INDEX(对接源_01水果!$K$4:$K$1203,$AE43)),N(INDEX(对接源_02物料!$K$4:$K$1203,$AE43-1200)))/IF($AE43&lt;=1200,N(INDEX(对接源_01水果!$H$4:$H$1203,$AE43)),N(INDEX(对接源_02物料!$H$4:$H$1203,$AE43-1200))),2)))</f>
        <v/>
      </c>
      <c r="H43" s="55" t="str">
        <f>IF($AE43="","",IF($AE43&lt;=1200,IF(INDEX(对接源_01水果!$K$4:$K$1203,$AE43)=0,"",INDEX(对接源_01水果!$K$4:$K$1203,$AE43)),IF(INDEX(对接源_02物料!$K$4:$K$1203,$AE43-1200)=0,"",INDEX(对接源_02物料!$K$4:$K$1203,$AE43-1200))))</f>
        <v/>
      </c>
      <c r="I43" s="53" t="str">
        <f>IF($AE43="","",IF($AE43&lt;=1200,IF(INDEX(对接源_01水果!$L$4:$L$1203,$AE43)=0,"",INDEX(对接源_01水果!$L$4:$L$1203,$AE43)),IF(INDEX(对接源_02物料!$L$4:$L$1203,$AE43-1200)=0,"",INDEX(对接源_02物料!$L$4:$L$1203,$AE43-1200))))</f>
        <v/>
      </c>
      <c r="J43" s="106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07" t="str">
        <f>IFERROR(MATCH(38,_自动清单!$AS$4:$AS$2403,0),"")</f>
        <v/>
      </c>
    </row>
    <row r="44" ht="18" customHeight="1" spans="1:31">
      <c r="A44" s="52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3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106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53" t="str">
        <f>IF($AE44="","",IF(IF($AE44&lt;=1200,IF(INDEX(对接源_01水果!$G$4:$G$1203,$AE44)=0,"",INDEX(对接源_01水果!$G$4:$G$1203,$AE44)),IF(INDEX(对接源_02物料!$G$4:$G$1203,$AE44-1200)=0,"",INDEX(对接源_02物料!$G$4:$G$1203,$AE44-1200)))="",IF($AE44&lt;=1200,IF(INDEX(对接源_01水果!$D$4:$D$1203,$AE44)=0,"",INDEX(对接源_01水果!$D$4:$D$1203,$AE44)),IF(INDEX(对接源_02物料!$D$4:$D$1203,$AE44-1200)=0,"",INDEX(对接源_02物料!$D$4:$D$1203,$AE44-1200))),IF($AE44&lt;=1200,IF(INDEX(对接源_01水果!$G$4:$G$1203,$AE44)=0,"",INDEX(对接源_01水果!$G$4:$G$1203,$AE44)),IF(INDEX(对接源_02物料!$G$4:$G$1203,$AE44-1200)=0,"",INDEX(对接源_02物料!$G$4:$G$1203,$AE44-1200)))))</f>
        <v/>
      </c>
      <c r="E44" s="55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53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5" t="str">
        <f>IF($AE44="","",IF(IF($AE44&lt;=1200,N(INDEX(对接源_01水果!$H$4:$H$1203,$AE44)),N(INDEX(对接源_02物料!$H$4:$H$1203,$AE44-1200)))=0,"",ROUND(IF($AE44&lt;=1200,N(INDEX(对接源_01水果!$K$4:$K$1203,$AE44)),N(INDEX(对接源_02物料!$K$4:$K$1203,$AE44-1200)))/IF($AE44&lt;=1200,N(INDEX(对接源_01水果!$H$4:$H$1203,$AE44)),N(INDEX(对接源_02物料!$H$4:$H$1203,$AE44-1200))),2)))</f>
        <v/>
      </c>
      <c r="H44" s="55" t="str">
        <f>IF($AE44="","",IF($AE44&lt;=1200,IF(INDEX(对接源_01水果!$K$4:$K$1203,$AE44)=0,"",INDEX(对接源_01水果!$K$4:$K$1203,$AE44)),IF(INDEX(对接源_02物料!$K$4:$K$1203,$AE44-1200)=0,"",INDEX(对接源_02物料!$K$4:$K$1203,$AE44-1200))))</f>
        <v/>
      </c>
      <c r="I44" s="53" t="str">
        <f>IF($AE44="","",IF($AE44&lt;=1200,IF(INDEX(对接源_01水果!$L$4:$L$1203,$AE44)=0,"",INDEX(对接源_01水果!$L$4:$L$1203,$AE44)),IF(INDEX(对接源_02物料!$L$4:$L$1203,$AE44-1200)=0,"",INDEX(对接源_02物料!$L$4:$L$1203,$AE44-1200))))</f>
        <v/>
      </c>
      <c r="J44" s="106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07" t="str">
        <f>IFERROR(MATCH(39,_自动清单!$AS$4:$AS$2403,0),"")</f>
        <v/>
      </c>
    </row>
    <row r="45" ht="18" customHeight="1" spans="1:31">
      <c r="A45" s="52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3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06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53" t="str">
        <f>IF($AE45="","",IF(IF($AE45&lt;=1200,IF(INDEX(对接源_01水果!$G$4:$G$1203,$AE45)=0,"",INDEX(对接源_01水果!$G$4:$G$1203,$AE45)),IF(INDEX(对接源_02物料!$G$4:$G$1203,$AE45-1200)=0,"",INDEX(对接源_02物料!$G$4:$G$1203,$AE45-1200)))="",IF($AE45&lt;=1200,IF(INDEX(对接源_01水果!$D$4:$D$1203,$AE45)=0,"",INDEX(对接源_01水果!$D$4:$D$1203,$AE45)),IF(INDEX(对接源_02物料!$D$4:$D$1203,$AE45-1200)=0,"",INDEX(对接源_02物料!$D$4:$D$1203,$AE45-1200))),IF($AE45&lt;=1200,IF(INDEX(对接源_01水果!$G$4:$G$1203,$AE45)=0,"",INDEX(对接源_01水果!$G$4:$G$1203,$AE45)),IF(INDEX(对接源_02物料!$G$4:$G$1203,$AE45-1200)=0,"",INDEX(对接源_02物料!$G$4:$G$1203,$AE45-1200)))))</f>
        <v/>
      </c>
      <c r="E45" s="55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53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55" t="str">
        <f>IF($AE45="","",IF(IF($AE45&lt;=1200,N(INDEX(对接源_01水果!$H$4:$H$1203,$AE45)),N(INDEX(对接源_02物料!$H$4:$H$1203,$AE45-1200)))=0,"",ROUND(IF($AE45&lt;=1200,N(INDEX(对接源_01水果!$K$4:$K$1203,$AE45)),N(INDEX(对接源_02物料!$K$4:$K$1203,$AE45-1200)))/IF($AE45&lt;=1200,N(INDEX(对接源_01水果!$H$4:$H$1203,$AE45)),N(INDEX(对接源_02物料!$H$4:$H$1203,$AE45-1200))),2)))</f>
        <v/>
      </c>
      <c r="H45" s="55" t="str">
        <f>IF($AE45="","",IF($AE45&lt;=1200,IF(INDEX(对接源_01水果!$K$4:$K$1203,$AE45)=0,"",INDEX(对接源_01水果!$K$4:$K$1203,$AE45)),IF(INDEX(对接源_02物料!$K$4:$K$1203,$AE45-1200)=0,"",INDEX(对接源_02物料!$K$4:$K$1203,$AE45-1200))))</f>
        <v/>
      </c>
      <c r="I45" s="53" t="str">
        <f>IF($AE45="","",IF($AE45&lt;=1200,IF(INDEX(对接源_01水果!$L$4:$L$1203,$AE45)=0,"",INDEX(对接源_01水果!$L$4:$L$1203,$AE45)),IF(INDEX(对接源_02物料!$L$4:$L$1203,$AE45-1200)=0,"",INDEX(对接源_02物料!$L$4:$L$1203,$AE45-1200))))</f>
        <v/>
      </c>
      <c r="J45" s="106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07" t="str">
        <f>IFERROR(MATCH(40,_自动清单!$AS$4:$AS$2403,0),"")</f>
        <v/>
      </c>
    </row>
    <row r="46" ht="18" customHeight="1" spans="1:31">
      <c r="A46" s="52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3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106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53" t="str">
        <f>IF($AE46="","",IF(IF($AE46&lt;=1200,IF(INDEX(对接源_01水果!$G$4:$G$1203,$AE46)=0,"",INDEX(对接源_01水果!$G$4:$G$1203,$AE46)),IF(INDEX(对接源_02物料!$G$4:$G$1203,$AE46-1200)=0,"",INDEX(对接源_02物料!$G$4:$G$1203,$AE46-1200)))="",IF($AE46&lt;=1200,IF(INDEX(对接源_01水果!$D$4:$D$1203,$AE46)=0,"",INDEX(对接源_01水果!$D$4:$D$1203,$AE46)),IF(INDEX(对接源_02物料!$D$4:$D$1203,$AE46-1200)=0,"",INDEX(对接源_02物料!$D$4:$D$1203,$AE46-1200))),IF($AE46&lt;=1200,IF(INDEX(对接源_01水果!$G$4:$G$1203,$AE46)=0,"",INDEX(对接源_01水果!$G$4:$G$1203,$AE46)),IF(INDEX(对接源_02物料!$G$4:$G$1203,$AE46-1200)=0,"",INDEX(对接源_02物料!$G$4:$G$1203,$AE46-1200)))))</f>
        <v/>
      </c>
      <c r="E46" s="55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53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5" t="str">
        <f>IF($AE46="","",IF(IF($AE46&lt;=1200,N(INDEX(对接源_01水果!$H$4:$H$1203,$AE46)),N(INDEX(对接源_02物料!$H$4:$H$1203,$AE46-1200)))=0,"",ROUND(IF($AE46&lt;=1200,N(INDEX(对接源_01水果!$K$4:$K$1203,$AE46)),N(INDEX(对接源_02物料!$K$4:$K$1203,$AE46-1200)))/IF($AE46&lt;=1200,N(INDEX(对接源_01水果!$H$4:$H$1203,$AE46)),N(INDEX(对接源_02物料!$H$4:$H$1203,$AE46-1200))),2)))</f>
        <v/>
      </c>
      <c r="H46" s="55" t="str">
        <f>IF($AE46="","",IF($AE46&lt;=1200,IF(INDEX(对接源_01水果!$K$4:$K$1203,$AE46)=0,"",INDEX(对接源_01水果!$K$4:$K$1203,$AE46)),IF(INDEX(对接源_02物料!$K$4:$K$1203,$AE46-1200)=0,"",INDEX(对接源_02物料!$K$4:$K$1203,$AE46-1200))))</f>
        <v/>
      </c>
      <c r="I46" s="53" t="str">
        <f>IF($AE46="","",IF($AE46&lt;=1200,IF(INDEX(对接源_01水果!$L$4:$L$1203,$AE46)=0,"",INDEX(对接源_01水果!$L$4:$L$1203,$AE46)),IF(INDEX(对接源_02物料!$L$4:$L$1203,$AE46-1200)=0,"",INDEX(对接源_02物料!$L$4:$L$1203,$AE46-1200))))</f>
        <v/>
      </c>
      <c r="J46" s="106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07" t="str">
        <f>IFERROR(MATCH(41,_自动清单!$AS$4:$AS$2403,0),"")</f>
        <v/>
      </c>
    </row>
    <row r="47" ht="18" customHeight="1" spans="1:31">
      <c r="A47" s="52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3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06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53" t="str">
        <f>IF($AE47="","",IF(IF($AE47&lt;=1200,IF(INDEX(对接源_01水果!$G$4:$G$1203,$AE47)=0,"",INDEX(对接源_01水果!$G$4:$G$1203,$AE47)),IF(INDEX(对接源_02物料!$G$4:$G$1203,$AE47-1200)=0,"",INDEX(对接源_02物料!$G$4:$G$1203,$AE47-1200)))="",IF($AE47&lt;=1200,IF(INDEX(对接源_01水果!$D$4:$D$1203,$AE47)=0,"",INDEX(对接源_01水果!$D$4:$D$1203,$AE47)),IF(INDEX(对接源_02物料!$D$4:$D$1203,$AE47-1200)=0,"",INDEX(对接源_02物料!$D$4:$D$1203,$AE47-1200))),IF($AE47&lt;=1200,IF(INDEX(对接源_01水果!$G$4:$G$1203,$AE47)=0,"",INDEX(对接源_01水果!$G$4:$G$1203,$AE47)),IF(INDEX(对接源_02物料!$G$4:$G$1203,$AE47-1200)=0,"",INDEX(对接源_02物料!$G$4:$G$1203,$AE47-1200)))))</f>
        <v/>
      </c>
      <c r="E47" s="55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53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5" t="str">
        <f>IF($AE47="","",IF(IF($AE47&lt;=1200,N(INDEX(对接源_01水果!$H$4:$H$1203,$AE47)),N(INDEX(对接源_02物料!$H$4:$H$1203,$AE47-1200)))=0,"",ROUND(IF($AE47&lt;=1200,N(INDEX(对接源_01水果!$K$4:$K$1203,$AE47)),N(INDEX(对接源_02物料!$K$4:$K$1203,$AE47-1200)))/IF($AE47&lt;=1200,N(INDEX(对接源_01水果!$H$4:$H$1203,$AE47)),N(INDEX(对接源_02物料!$H$4:$H$1203,$AE47-1200))),2)))</f>
        <v/>
      </c>
      <c r="H47" s="55" t="str">
        <f>IF($AE47="","",IF($AE47&lt;=1200,IF(INDEX(对接源_01水果!$K$4:$K$1203,$AE47)=0,"",INDEX(对接源_01水果!$K$4:$K$1203,$AE47)),IF(INDEX(对接源_02物料!$K$4:$K$1203,$AE47-1200)=0,"",INDEX(对接源_02物料!$K$4:$K$1203,$AE47-1200))))</f>
        <v/>
      </c>
      <c r="I47" s="53" t="str">
        <f>IF($AE47="","",IF($AE47&lt;=1200,IF(INDEX(对接源_01水果!$L$4:$L$1203,$AE47)=0,"",INDEX(对接源_01水果!$L$4:$L$1203,$AE47)),IF(INDEX(对接源_02物料!$L$4:$L$1203,$AE47-1200)=0,"",INDEX(对接源_02物料!$L$4:$L$1203,$AE47-1200))))</f>
        <v/>
      </c>
      <c r="J47" s="106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07" t="str">
        <f>IFERROR(MATCH(42,_自动清单!$AS$4:$AS$2403,0),"")</f>
        <v/>
      </c>
    </row>
    <row r="48" ht="18" customHeight="1" spans="1:31">
      <c r="A48" s="52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53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106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53" t="str">
        <f>IF($AE48="","",IF(IF($AE48&lt;=1200,IF(INDEX(对接源_01水果!$G$4:$G$1203,$AE48)=0,"",INDEX(对接源_01水果!$G$4:$G$1203,$AE48)),IF(INDEX(对接源_02物料!$G$4:$G$1203,$AE48-1200)=0,"",INDEX(对接源_02物料!$G$4:$G$1203,$AE48-1200)))="",IF($AE48&lt;=1200,IF(INDEX(对接源_01水果!$D$4:$D$1203,$AE48)=0,"",INDEX(对接源_01水果!$D$4:$D$1203,$AE48)),IF(INDEX(对接源_02物料!$D$4:$D$1203,$AE48-1200)=0,"",INDEX(对接源_02物料!$D$4:$D$1203,$AE48-1200))),IF($AE48&lt;=1200,IF(INDEX(对接源_01水果!$G$4:$G$1203,$AE48)=0,"",INDEX(对接源_01水果!$G$4:$G$1203,$AE48)),IF(INDEX(对接源_02物料!$G$4:$G$1203,$AE48-1200)=0,"",INDEX(对接源_02物料!$G$4:$G$1203,$AE48-1200)))))</f>
        <v/>
      </c>
      <c r="E48" s="55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53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5" t="str">
        <f>IF($AE48="","",IF(IF($AE48&lt;=1200,N(INDEX(对接源_01水果!$H$4:$H$1203,$AE48)),N(INDEX(对接源_02物料!$H$4:$H$1203,$AE48-1200)))=0,"",ROUND(IF($AE48&lt;=1200,N(INDEX(对接源_01水果!$K$4:$K$1203,$AE48)),N(INDEX(对接源_02物料!$K$4:$K$1203,$AE48-1200)))/IF($AE48&lt;=1200,N(INDEX(对接源_01水果!$H$4:$H$1203,$AE48)),N(INDEX(对接源_02物料!$H$4:$H$1203,$AE48-1200))),2)))</f>
        <v/>
      </c>
      <c r="H48" s="55" t="str">
        <f>IF($AE48="","",IF($AE48&lt;=1200,IF(INDEX(对接源_01水果!$K$4:$K$1203,$AE48)=0,"",INDEX(对接源_01水果!$K$4:$K$1203,$AE48)),IF(INDEX(对接源_02物料!$K$4:$K$1203,$AE48-1200)=0,"",INDEX(对接源_02物料!$K$4:$K$1203,$AE48-1200))))</f>
        <v/>
      </c>
      <c r="I48" s="53" t="str">
        <f>IF($AE48="","",IF($AE48&lt;=1200,IF(INDEX(对接源_01水果!$L$4:$L$1203,$AE48)=0,"",INDEX(对接源_01水果!$L$4:$L$1203,$AE48)),IF(INDEX(对接源_02物料!$L$4:$L$1203,$AE48-1200)=0,"",INDEX(对接源_02物料!$L$4:$L$1203,$AE48-1200))))</f>
        <v/>
      </c>
      <c r="J48" s="106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07" t="str">
        <f>IFERROR(MATCH(43,_自动清单!$AS$4:$AS$2403,0),"")</f>
        <v/>
      </c>
    </row>
    <row r="49" ht="18" customHeight="1" spans="1:31">
      <c r="A49" s="52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3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06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53" t="str">
        <f>IF($AE49="","",IF(IF($AE49&lt;=1200,IF(INDEX(对接源_01水果!$G$4:$G$1203,$AE49)=0,"",INDEX(对接源_01水果!$G$4:$G$1203,$AE49)),IF(INDEX(对接源_02物料!$G$4:$G$1203,$AE49-1200)=0,"",INDEX(对接源_02物料!$G$4:$G$1203,$AE49-1200)))="",IF($AE49&lt;=1200,IF(INDEX(对接源_01水果!$D$4:$D$1203,$AE49)=0,"",INDEX(对接源_01水果!$D$4:$D$1203,$AE49)),IF(INDEX(对接源_02物料!$D$4:$D$1203,$AE49-1200)=0,"",INDEX(对接源_02物料!$D$4:$D$1203,$AE49-1200))),IF($AE49&lt;=1200,IF(INDEX(对接源_01水果!$G$4:$G$1203,$AE49)=0,"",INDEX(对接源_01水果!$G$4:$G$1203,$AE49)),IF(INDEX(对接源_02物料!$G$4:$G$1203,$AE49-1200)=0,"",INDEX(对接源_02物料!$G$4:$G$1203,$AE49-1200)))))</f>
        <v/>
      </c>
      <c r="E49" s="55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53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5" t="str">
        <f>IF($AE49="","",IF(IF($AE49&lt;=1200,N(INDEX(对接源_01水果!$H$4:$H$1203,$AE49)),N(INDEX(对接源_02物料!$H$4:$H$1203,$AE49-1200)))=0,"",ROUND(IF($AE49&lt;=1200,N(INDEX(对接源_01水果!$K$4:$K$1203,$AE49)),N(INDEX(对接源_02物料!$K$4:$K$1203,$AE49-1200)))/IF($AE49&lt;=1200,N(INDEX(对接源_01水果!$H$4:$H$1203,$AE49)),N(INDEX(对接源_02物料!$H$4:$H$1203,$AE49-1200))),2)))</f>
        <v/>
      </c>
      <c r="H49" s="55" t="str">
        <f>IF($AE49="","",IF($AE49&lt;=1200,IF(INDEX(对接源_01水果!$K$4:$K$1203,$AE49)=0,"",INDEX(对接源_01水果!$K$4:$K$1203,$AE49)),IF(INDEX(对接源_02物料!$K$4:$K$1203,$AE49-1200)=0,"",INDEX(对接源_02物料!$K$4:$K$1203,$AE49-1200))))</f>
        <v/>
      </c>
      <c r="I49" s="53" t="str">
        <f>IF($AE49="","",IF($AE49&lt;=1200,IF(INDEX(对接源_01水果!$L$4:$L$1203,$AE49)=0,"",INDEX(对接源_01水果!$L$4:$L$1203,$AE49)),IF(INDEX(对接源_02物料!$L$4:$L$1203,$AE49-1200)=0,"",INDEX(对接源_02物料!$L$4:$L$1203,$AE49-1200))))</f>
        <v/>
      </c>
      <c r="J49" s="106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07" t="str">
        <f>IFERROR(MATCH(44,_自动清单!$AS$4:$AS$2403,0),"")</f>
        <v/>
      </c>
    </row>
    <row r="50" ht="18" customHeight="1" spans="1:31">
      <c r="A50" s="52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3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106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53" t="str">
        <f>IF($AE50="","",IF(IF($AE50&lt;=1200,IF(INDEX(对接源_01水果!$G$4:$G$1203,$AE50)=0,"",INDEX(对接源_01水果!$G$4:$G$1203,$AE50)),IF(INDEX(对接源_02物料!$G$4:$G$1203,$AE50-1200)=0,"",INDEX(对接源_02物料!$G$4:$G$1203,$AE50-1200)))="",IF($AE50&lt;=1200,IF(INDEX(对接源_01水果!$D$4:$D$1203,$AE50)=0,"",INDEX(对接源_01水果!$D$4:$D$1203,$AE50)),IF(INDEX(对接源_02物料!$D$4:$D$1203,$AE50-1200)=0,"",INDEX(对接源_02物料!$D$4:$D$1203,$AE50-1200))),IF($AE50&lt;=1200,IF(INDEX(对接源_01水果!$G$4:$G$1203,$AE50)=0,"",INDEX(对接源_01水果!$G$4:$G$1203,$AE50)),IF(INDEX(对接源_02物料!$G$4:$G$1203,$AE50-1200)=0,"",INDEX(对接源_02物料!$G$4:$G$1203,$AE50-1200)))))</f>
        <v/>
      </c>
      <c r="E50" s="55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53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5" t="str">
        <f>IF($AE50="","",IF(IF($AE50&lt;=1200,N(INDEX(对接源_01水果!$H$4:$H$1203,$AE50)),N(INDEX(对接源_02物料!$H$4:$H$1203,$AE50-1200)))=0,"",ROUND(IF($AE50&lt;=1200,N(INDEX(对接源_01水果!$K$4:$K$1203,$AE50)),N(INDEX(对接源_02物料!$K$4:$K$1203,$AE50-1200)))/IF($AE50&lt;=1200,N(INDEX(对接源_01水果!$H$4:$H$1203,$AE50)),N(INDEX(对接源_02物料!$H$4:$H$1203,$AE50-1200))),2)))</f>
        <v/>
      </c>
      <c r="H50" s="55" t="str">
        <f>IF($AE50="","",IF($AE50&lt;=1200,IF(INDEX(对接源_01水果!$K$4:$K$1203,$AE50)=0,"",INDEX(对接源_01水果!$K$4:$K$1203,$AE50)),IF(INDEX(对接源_02物料!$K$4:$K$1203,$AE50-1200)=0,"",INDEX(对接源_02物料!$K$4:$K$1203,$AE50-1200))))</f>
        <v/>
      </c>
      <c r="I50" s="53" t="str">
        <f>IF($AE50="","",IF($AE50&lt;=1200,IF(INDEX(对接源_01水果!$L$4:$L$1203,$AE50)=0,"",INDEX(对接源_01水果!$L$4:$L$1203,$AE50)),IF(INDEX(对接源_02物料!$L$4:$L$1203,$AE50-1200)=0,"",INDEX(对接源_02物料!$L$4:$L$1203,$AE50-1200))))</f>
        <v/>
      </c>
      <c r="J50" s="106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07" t="str">
        <f>IFERROR(MATCH(45,_自动清单!$AS$4:$AS$2403,0),"")</f>
        <v/>
      </c>
    </row>
    <row r="51" ht="18" customHeight="1" spans="1:31">
      <c r="A51" s="52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3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06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53" t="str">
        <f>IF($AE51="","",IF(IF($AE51&lt;=1200,IF(INDEX(对接源_01水果!$G$4:$G$1203,$AE51)=0,"",INDEX(对接源_01水果!$G$4:$G$1203,$AE51)),IF(INDEX(对接源_02物料!$G$4:$G$1203,$AE51-1200)=0,"",INDEX(对接源_02物料!$G$4:$G$1203,$AE51-1200)))="",IF($AE51&lt;=1200,IF(INDEX(对接源_01水果!$D$4:$D$1203,$AE51)=0,"",INDEX(对接源_01水果!$D$4:$D$1203,$AE51)),IF(INDEX(对接源_02物料!$D$4:$D$1203,$AE51-1200)=0,"",INDEX(对接源_02物料!$D$4:$D$1203,$AE51-1200))),IF($AE51&lt;=1200,IF(INDEX(对接源_01水果!$G$4:$G$1203,$AE51)=0,"",INDEX(对接源_01水果!$G$4:$G$1203,$AE51)),IF(INDEX(对接源_02物料!$G$4:$G$1203,$AE51-1200)=0,"",INDEX(对接源_02物料!$G$4:$G$1203,$AE51-1200)))))</f>
        <v/>
      </c>
      <c r="E51" s="55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53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55" t="str">
        <f>IF($AE51="","",IF(IF($AE51&lt;=1200,N(INDEX(对接源_01水果!$H$4:$H$1203,$AE51)),N(INDEX(对接源_02物料!$H$4:$H$1203,$AE51-1200)))=0,"",ROUND(IF($AE51&lt;=1200,N(INDEX(对接源_01水果!$K$4:$K$1203,$AE51)),N(INDEX(对接源_02物料!$K$4:$K$1203,$AE51-1200)))/IF($AE51&lt;=1200,N(INDEX(对接源_01水果!$H$4:$H$1203,$AE51)),N(INDEX(对接源_02物料!$H$4:$H$1203,$AE51-1200))),2)))</f>
        <v/>
      </c>
      <c r="H51" s="55" t="str">
        <f>IF($AE51="","",IF($AE51&lt;=1200,IF(INDEX(对接源_01水果!$K$4:$K$1203,$AE51)=0,"",INDEX(对接源_01水果!$K$4:$K$1203,$AE51)),IF(INDEX(对接源_02物料!$K$4:$K$1203,$AE51-1200)=0,"",INDEX(对接源_02物料!$K$4:$K$1203,$AE51-1200))))</f>
        <v/>
      </c>
      <c r="I51" s="53" t="str">
        <f>IF($AE51="","",IF($AE51&lt;=1200,IF(INDEX(对接源_01水果!$L$4:$L$1203,$AE51)=0,"",INDEX(对接源_01水果!$L$4:$L$1203,$AE51)),IF(INDEX(对接源_02物料!$L$4:$L$1203,$AE51-1200)=0,"",INDEX(对接源_02物料!$L$4:$L$1203,$AE51-1200))))</f>
        <v/>
      </c>
      <c r="J51" s="106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07" t="str">
        <f>IFERROR(MATCH(46,_自动清单!$AS$4:$AS$2403,0),"")</f>
        <v/>
      </c>
    </row>
    <row r="52" ht="18" customHeight="1" spans="1:31">
      <c r="A52" s="52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3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106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53" t="str">
        <f>IF($AE52="","",IF(IF($AE52&lt;=1200,IF(INDEX(对接源_01水果!$G$4:$G$1203,$AE52)=0,"",INDEX(对接源_01水果!$G$4:$G$1203,$AE52)),IF(INDEX(对接源_02物料!$G$4:$G$1203,$AE52-1200)=0,"",INDEX(对接源_02物料!$G$4:$G$1203,$AE52-1200)))="",IF($AE52&lt;=1200,IF(INDEX(对接源_01水果!$D$4:$D$1203,$AE52)=0,"",INDEX(对接源_01水果!$D$4:$D$1203,$AE52)),IF(INDEX(对接源_02物料!$D$4:$D$1203,$AE52-1200)=0,"",INDEX(对接源_02物料!$D$4:$D$1203,$AE52-1200))),IF($AE52&lt;=1200,IF(INDEX(对接源_01水果!$G$4:$G$1203,$AE52)=0,"",INDEX(对接源_01水果!$G$4:$G$1203,$AE52)),IF(INDEX(对接源_02物料!$G$4:$G$1203,$AE52-1200)=0,"",INDEX(对接源_02物料!$G$4:$G$1203,$AE52-1200)))))</f>
        <v/>
      </c>
      <c r="E52" s="55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53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5" t="str">
        <f>IF($AE52="","",IF(IF($AE52&lt;=1200,N(INDEX(对接源_01水果!$H$4:$H$1203,$AE52)),N(INDEX(对接源_02物料!$H$4:$H$1203,$AE52-1200)))=0,"",ROUND(IF($AE52&lt;=1200,N(INDEX(对接源_01水果!$K$4:$K$1203,$AE52)),N(INDEX(对接源_02物料!$K$4:$K$1203,$AE52-1200)))/IF($AE52&lt;=1200,N(INDEX(对接源_01水果!$H$4:$H$1203,$AE52)),N(INDEX(对接源_02物料!$H$4:$H$1203,$AE52-1200))),2)))</f>
        <v/>
      </c>
      <c r="H52" s="55" t="str">
        <f>IF($AE52="","",IF($AE52&lt;=1200,IF(INDEX(对接源_01水果!$K$4:$K$1203,$AE52)=0,"",INDEX(对接源_01水果!$K$4:$K$1203,$AE52)),IF(INDEX(对接源_02物料!$K$4:$K$1203,$AE52-1200)=0,"",INDEX(对接源_02物料!$K$4:$K$1203,$AE52-1200))))</f>
        <v/>
      </c>
      <c r="I52" s="53" t="str">
        <f>IF($AE52="","",IF($AE52&lt;=1200,IF(INDEX(对接源_01水果!$L$4:$L$1203,$AE52)=0,"",INDEX(对接源_01水果!$L$4:$L$1203,$AE52)),IF(INDEX(对接源_02物料!$L$4:$L$1203,$AE52-1200)=0,"",INDEX(对接源_02物料!$L$4:$L$1203,$AE52-1200))))</f>
        <v/>
      </c>
      <c r="J52" s="106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07" t="str">
        <f>IFERROR(MATCH(47,_自动清单!$AS$4:$AS$2403,0),"")</f>
        <v/>
      </c>
    </row>
    <row r="53" ht="18" customHeight="1" spans="1:31">
      <c r="A53" s="52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3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06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53" t="str">
        <f>IF($AE53="","",IF(IF($AE53&lt;=1200,IF(INDEX(对接源_01水果!$G$4:$G$1203,$AE53)=0,"",INDEX(对接源_01水果!$G$4:$G$1203,$AE53)),IF(INDEX(对接源_02物料!$G$4:$G$1203,$AE53-1200)=0,"",INDEX(对接源_02物料!$G$4:$G$1203,$AE53-1200)))="",IF($AE53&lt;=1200,IF(INDEX(对接源_01水果!$D$4:$D$1203,$AE53)=0,"",INDEX(对接源_01水果!$D$4:$D$1203,$AE53)),IF(INDEX(对接源_02物料!$D$4:$D$1203,$AE53-1200)=0,"",INDEX(对接源_02物料!$D$4:$D$1203,$AE53-1200))),IF($AE53&lt;=1200,IF(INDEX(对接源_01水果!$G$4:$G$1203,$AE53)=0,"",INDEX(对接源_01水果!$G$4:$G$1203,$AE53)),IF(INDEX(对接源_02物料!$G$4:$G$1203,$AE53-1200)=0,"",INDEX(对接源_02物料!$G$4:$G$1203,$AE53-1200)))))</f>
        <v/>
      </c>
      <c r="E53" s="55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53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5" t="str">
        <f>IF($AE53="","",IF(IF($AE53&lt;=1200,N(INDEX(对接源_01水果!$H$4:$H$1203,$AE53)),N(INDEX(对接源_02物料!$H$4:$H$1203,$AE53-1200)))=0,"",ROUND(IF($AE53&lt;=1200,N(INDEX(对接源_01水果!$K$4:$K$1203,$AE53)),N(INDEX(对接源_02物料!$K$4:$K$1203,$AE53-1200)))/IF($AE53&lt;=1200,N(INDEX(对接源_01水果!$H$4:$H$1203,$AE53)),N(INDEX(对接源_02物料!$H$4:$H$1203,$AE53-1200))),2)))</f>
        <v/>
      </c>
      <c r="H53" s="55" t="str">
        <f>IF($AE53="","",IF($AE53&lt;=1200,IF(INDEX(对接源_01水果!$K$4:$K$1203,$AE53)=0,"",INDEX(对接源_01水果!$K$4:$K$1203,$AE53)),IF(INDEX(对接源_02物料!$K$4:$K$1203,$AE53-1200)=0,"",INDEX(对接源_02物料!$K$4:$K$1203,$AE53-1200))))</f>
        <v/>
      </c>
      <c r="I53" s="53" t="str">
        <f>IF($AE53="","",IF($AE53&lt;=1200,IF(INDEX(对接源_01水果!$L$4:$L$1203,$AE53)=0,"",INDEX(对接源_01水果!$L$4:$L$1203,$AE53)),IF(INDEX(对接源_02物料!$L$4:$L$1203,$AE53-1200)=0,"",INDEX(对接源_02物料!$L$4:$L$1203,$AE53-1200))))</f>
        <v/>
      </c>
      <c r="J53" s="106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07" t="str">
        <f>IFERROR(MATCH(48,_自动清单!$AS$4:$AS$2403,0),"")</f>
        <v/>
      </c>
    </row>
    <row r="54" ht="18" customHeight="1" spans="1:31">
      <c r="A54" s="52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53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106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53" t="str">
        <f>IF($AE54="","",IF(IF($AE54&lt;=1200,IF(INDEX(对接源_01水果!$G$4:$G$1203,$AE54)=0,"",INDEX(对接源_01水果!$G$4:$G$1203,$AE54)),IF(INDEX(对接源_02物料!$G$4:$G$1203,$AE54-1200)=0,"",INDEX(对接源_02物料!$G$4:$G$1203,$AE54-1200)))="",IF($AE54&lt;=1200,IF(INDEX(对接源_01水果!$D$4:$D$1203,$AE54)=0,"",INDEX(对接源_01水果!$D$4:$D$1203,$AE54)),IF(INDEX(对接源_02物料!$D$4:$D$1203,$AE54-1200)=0,"",INDEX(对接源_02物料!$D$4:$D$1203,$AE54-1200))),IF($AE54&lt;=1200,IF(INDEX(对接源_01水果!$G$4:$G$1203,$AE54)=0,"",INDEX(对接源_01水果!$G$4:$G$1203,$AE54)),IF(INDEX(对接源_02物料!$G$4:$G$1203,$AE54-1200)=0,"",INDEX(对接源_02物料!$G$4:$G$1203,$AE54-1200)))))</f>
        <v/>
      </c>
      <c r="E54" s="55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53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5" t="str">
        <f>IF($AE54="","",IF(IF($AE54&lt;=1200,N(INDEX(对接源_01水果!$H$4:$H$1203,$AE54)),N(INDEX(对接源_02物料!$H$4:$H$1203,$AE54-1200)))=0,"",ROUND(IF($AE54&lt;=1200,N(INDEX(对接源_01水果!$K$4:$K$1203,$AE54)),N(INDEX(对接源_02物料!$K$4:$K$1203,$AE54-1200)))/IF($AE54&lt;=1200,N(INDEX(对接源_01水果!$H$4:$H$1203,$AE54)),N(INDEX(对接源_02物料!$H$4:$H$1203,$AE54-1200))),2)))</f>
        <v/>
      </c>
      <c r="H54" s="55" t="str">
        <f>IF($AE54="","",IF($AE54&lt;=1200,IF(INDEX(对接源_01水果!$K$4:$K$1203,$AE54)=0,"",INDEX(对接源_01水果!$K$4:$K$1203,$AE54)),IF(INDEX(对接源_02物料!$K$4:$K$1203,$AE54-1200)=0,"",INDEX(对接源_02物料!$K$4:$K$1203,$AE54-1200))))</f>
        <v/>
      </c>
      <c r="I54" s="53" t="str">
        <f>IF($AE54="","",IF($AE54&lt;=1200,IF(INDEX(对接源_01水果!$L$4:$L$1203,$AE54)=0,"",INDEX(对接源_01水果!$L$4:$L$1203,$AE54)),IF(INDEX(对接源_02物料!$L$4:$L$1203,$AE54-1200)=0,"",INDEX(对接源_02物料!$L$4:$L$1203,$AE54-1200))))</f>
        <v/>
      </c>
      <c r="J54" s="106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07" t="str">
        <f>IFERROR(MATCH(49,_自动清单!$AS$4:$AS$2403,0),"")</f>
        <v/>
      </c>
    </row>
    <row r="55" ht="18" customHeight="1" spans="1:31">
      <c r="A55" s="52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3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06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53" t="str">
        <f>IF($AE55="","",IF(IF($AE55&lt;=1200,IF(INDEX(对接源_01水果!$G$4:$G$1203,$AE55)=0,"",INDEX(对接源_01水果!$G$4:$G$1203,$AE55)),IF(INDEX(对接源_02物料!$G$4:$G$1203,$AE55-1200)=0,"",INDEX(对接源_02物料!$G$4:$G$1203,$AE55-1200)))="",IF($AE55&lt;=1200,IF(INDEX(对接源_01水果!$D$4:$D$1203,$AE55)=0,"",INDEX(对接源_01水果!$D$4:$D$1203,$AE55)),IF(INDEX(对接源_02物料!$D$4:$D$1203,$AE55-1200)=0,"",INDEX(对接源_02物料!$D$4:$D$1203,$AE55-1200))),IF($AE55&lt;=1200,IF(INDEX(对接源_01水果!$G$4:$G$1203,$AE55)=0,"",INDEX(对接源_01水果!$G$4:$G$1203,$AE55)),IF(INDEX(对接源_02物料!$G$4:$G$1203,$AE55-1200)=0,"",INDEX(对接源_02物料!$G$4:$G$1203,$AE55-1200)))))</f>
        <v/>
      </c>
      <c r="E55" s="55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53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5" t="str">
        <f>IF($AE55="","",IF(IF($AE55&lt;=1200,N(INDEX(对接源_01水果!$H$4:$H$1203,$AE55)),N(INDEX(对接源_02物料!$H$4:$H$1203,$AE55-1200)))=0,"",ROUND(IF($AE55&lt;=1200,N(INDEX(对接源_01水果!$K$4:$K$1203,$AE55)),N(INDEX(对接源_02物料!$K$4:$K$1203,$AE55-1200)))/IF($AE55&lt;=1200,N(INDEX(对接源_01水果!$H$4:$H$1203,$AE55)),N(INDEX(对接源_02物料!$H$4:$H$1203,$AE55-1200))),2)))</f>
        <v/>
      </c>
      <c r="H55" s="55" t="str">
        <f>IF($AE55="","",IF($AE55&lt;=1200,IF(INDEX(对接源_01水果!$K$4:$K$1203,$AE55)=0,"",INDEX(对接源_01水果!$K$4:$K$1203,$AE55)),IF(INDEX(对接源_02物料!$K$4:$K$1203,$AE55-1200)=0,"",INDEX(对接源_02物料!$K$4:$K$1203,$AE55-1200))))</f>
        <v/>
      </c>
      <c r="I55" s="53" t="str">
        <f>IF($AE55="","",IF($AE55&lt;=1200,IF(INDEX(对接源_01水果!$L$4:$L$1203,$AE55)=0,"",INDEX(对接源_01水果!$L$4:$L$1203,$AE55)),IF(INDEX(对接源_02物料!$L$4:$L$1203,$AE55-1200)=0,"",INDEX(对接源_02物料!$L$4:$L$1203,$AE55-1200))))</f>
        <v/>
      </c>
      <c r="J55" s="106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07" t="str">
        <f>IFERROR(MATCH(50,_自动清单!$AS$4:$AS$2403,0),"")</f>
        <v/>
      </c>
    </row>
    <row r="56" ht="18" customHeight="1" spans="1:31">
      <c r="A56" s="52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3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106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53" t="str">
        <f>IF($AE56="","",IF(IF($AE56&lt;=1200,IF(INDEX(对接源_01水果!$G$4:$G$1203,$AE56)=0,"",INDEX(对接源_01水果!$G$4:$G$1203,$AE56)),IF(INDEX(对接源_02物料!$G$4:$G$1203,$AE56-1200)=0,"",INDEX(对接源_02物料!$G$4:$G$1203,$AE56-1200)))="",IF($AE56&lt;=1200,IF(INDEX(对接源_01水果!$D$4:$D$1203,$AE56)=0,"",INDEX(对接源_01水果!$D$4:$D$1203,$AE56)),IF(INDEX(对接源_02物料!$D$4:$D$1203,$AE56-1200)=0,"",INDEX(对接源_02物料!$D$4:$D$1203,$AE56-1200))),IF($AE56&lt;=1200,IF(INDEX(对接源_01水果!$G$4:$G$1203,$AE56)=0,"",INDEX(对接源_01水果!$G$4:$G$1203,$AE56)),IF(INDEX(对接源_02物料!$G$4:$G$1203,$AE56-1200)=0,"",INDEX(对接源_02物料!$G$4:$G$1203,$AE56-1200)))))</f>
        <v/>
      </c>
      <c r="E56" s="55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53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5" t="str">
        <f>IF($AE56="","",IF(IF($AE56&lt;=1200,N(INDEX(对接源_01水果!$H$4:$H$1203,$AE56)),N(INDEX(对接源_02物料!$H$4:$H$1203,$AE56-1200)))=0,"",ROUND(IF($AE56&lt;=1200,N(INDEX(对接源_01水果!$K$4:$K$1203,$AE56)),N(INDEX(对接源_02物料!$K$4:$K$1203,$AE56-1200)))/IF($AE56&lt;=1200,N(INDEX(对接源_01水果!$H$4:$H$1203,$AE56)),N(INDEX(对接源_02物料!$H$4:$H$1203,$AE56-1200))),2)))</f>
        <v/>
      </c>
      <c r="H56" s="55" t="str">
        <f>IF($AE56="","",IF($AE56&lt;=1200,IF(INDEX(对接源_01水果!$K$4:$K$1203,$AE56)=0,"",INDEX(对接源_01水果!$K$4:$K$1203,$AE56)),IF(INDEX(对接源_02物料!$K$4:$K$1203,$AE56-1200)=0,"",INDEX(对接源_02物料!$K$4:$K$1203,$AE56-1200))))</f>
        <v/>
      </c>
      <c r="I56" s="53" t="str">
        <f>IF($AE56="","",IF($AE56&lt;=1200,IF(INDEX(对接源_01水果!$L$4:$L$1203,$AE56)=0,"",INDEX(对接源_01水果!$L$4:$L$1203,$AE56)),IF(INDEX(对接源_02物料!$L$4:$L$1203,$AE56-1200)=0,"",INDEX(对接源_02物料!$L$4:$L$1203,$AE56-1200))))</f>
        <v/>
      </c>
      <c r="J56" s="106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07" t="str">
        <f>IFERROR(MATCH(51,_自动清单!$AS$4:$AS$2403,0),"")</f>
        <v/>
      </c>
    </row>
    <row r="57" ht="18" customHeight="1" spans="1:31">
      <c r="A57" s="52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3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06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53" t="str">
        <f>IF($AE57="","",IF(IF($AE57&lt;=1200,IF(INDEX(对接源_01水果!$G$4:$G$1203,$AE57)=0,"",INDEX(对接源_01水果!$G$4:$G$1203,$AE57)),IF(INDEX(对接源_02物料!$G$4:$G$1203,$AE57-1200)=0,"",INDEX(对接源_02物料!$G$4:$G$1203,$AE57-1200)))="",IF($AE57&lt;=1200,IF(INDEX(对接源_01水果!$D$4:$D$1203,$AE57)=0,"",INDEX(对接源_01水果!$D$4:$D$1203,$AE57)),IF(INDEX(对接源_02物料!$D$4:$D$1203,$AE57-1200)=0,"",INDEX(对接源_02物料!$D$4:$D$1203,$AE57-1200))),IF($AE57&lt;=1200,IF(INDEX(对接源_01水果!$G$4:$G$1203,$AE57)=0,"",INDEX(对接源_01水果!$G$4:$G$1203,$AE57)),IF(INDEX(对接源_02物料!$G$4:$G$1203,$AE57-1200)=0,"",INDEX(对接源_02物料!$G$4:$G$1203,$AE57-1200)))))</f>
        <v/>
      </c>
      <c r="E57" s="55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53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55" t="str">
        <f>IF($AE57="","",IF(IF($AE57&lt;=1200,N(INDEX(对接源_01水果!$H$4:$H$1203,$AE57)),N(INDEX(对接源_02物料!$H$4:$H$1203,$AE57-1200)))=0,"",ROUND(IF($AE57&lt;=1200,N(INDEX(对接源_01水果!$K$4:$K$1203,$AE57)),N(INDEX(对接源_02物料!$K$4:$K$1203,$AE57-1200)))/IF($AE57&lt;=1200,N(INDEX(对接源_01水果!$H$4:$H$1203,$AE57)),N(INDEX(对接源_02物料!$H$4:$H$1203,$AE57-1200))),2)))</f>
        <v/>
      </c>
      <c r="H57" s="55" t="str">
        <f>IF($AE57="","",IF($AE57&lt;=1200,IF(INDEX(对接源_01水果!$K$4:$K$1203,$AE57)=0,"",INDEX(对接源_01水果!$K$4:$K$1203,$AE57)),IF(INDEX(对接源_02物料!$K$4:$K$1203,$AE57-1200)=0,"",INDEX(对接源_02物料!$K$4:$K$1203,$AE57-1200))))</f>
        <v/>
      </c>
      <c r="I57" s="53" t="str">
        <f>IF($AE57="","",IF($AE57&lt;=1200,IF(INDEX(对接源_01水果!$L$4:$L$1203,$AE57)=0,"",INDEX(对接源_01水果!$L$4:$L$1203,$AE57)),IF(INDEX(对接源_02物料!$L$4:$L$1203,$AE57-1200)=0,"",INDEX(对接源_02物料!$L$4:$L$1203,$AE57-1200))))</f>
        <v/>
      </c>
      <c r="J57" s="106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07" t="str">
        <f>IFERROR(MATCH(52,_自动清单!$AS$4:$AS$2403,0),"")</f>
        <v/>
      </c>
    </row>
    <row r="58" ht="18" customHeight="1" spans="1:31">
      <c r="A58" s="52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3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106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53" t="str">
        <f>IF($AE58="","",IF(IF($AE58&lt;=1200,IF(INDEX(对接源_01水果!$G$4:$G$1203,$AE58)=0,"",INDEX(对接源_01水果!$G$4:$G$1203,$AE58)),IF(INDEX(对接源_02物料!$G$4:$G$1203,$AE58-1200)=0,"",INDEX(对接源_02物料!$G$4:$G$1203,$AE58-1200)))="",IF($AE58&lt;=1200,IF(INDEX(对接源_01水果!$D$4:$D$1203,$AE58)=0,"",INDEX(对接源_01水果!$D$4:$D$1203,$AE58)),IF(INDEX(对接源_02物料!$D$4:$D$1203,$AE58-1200)=0,"",INDEX(对接源_02物料!$D$4:$D$1203,$AE58-1200))),IF($AE58&lt;=1200,IF(INDEX(对接源_01水果!$G$4:$G$1203,$AE58)=0,"",INDEX(对接源_01水果!$G$4:$G$1203,$AE58)),IF(INDEX(对接源_02物料!$G$4:$G$1203,$AE58-1200)=0,"",INDEX(对接源_02物料!$G$4:$G$1203,$AE58-1200)))))</f>
        <v/>
      </c>
      <c r="E58" s="55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53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5" t="str">
        <f>IF($AE58="","",IF(IF($AE58&lt;=1200,N(INDEX(对接源_01水果!$H$4:$H$1203,$AE58)),N(INDEX(对接源_02物料!$H$4:$H$1203,$AE58-1200)))=0,"",ROUND(IF($AE58&lt;=1200,N(INDEX(对接源_01水果!$K$4:$K$1203,$AE58)),N(INDEX(对接源_02物料!$K$4:$K$1203,$AE58-1200)))/IF($AE58&lt;=1200,N(INDEX(对接源_01水果!$H$4:$H$1203,$AE58)),N(INDEX(对接源_02物料!$H$4:$H$1203,$AE58-1200))),2)))</f>
        <v/>
      </c>
      <c r="H58" s="55" t="str">
        <f>IF($AE58="","",IF($AE58&lt;=1200,IF(INDEX(对接源_01水果!$K$4:$K$1203,$AE58)=0,"",INDEX(对接源_01水果!$K$4:$K$1203,$AE58)),IF(INDEX(对接源_02物料!$K$4:$K$1203,$AE58-1200)=0,"",INDEX(对接源_02物料!$K$4:$K$1203,$AE58-1200))))</f>
        <v/>
      </c>
      <c r="I58" s="53" t="str">
        <f>IF($AE58="","",IF($AE58&lt;=1200,IF(INDEX(对接源_01水果!$L$4:$L$1203,$AE58)=0,"",INDEX(对接源_01水果!$L$4:$L$1203,$AE58)),IF(INDEX(对接源_02物料!$L$4:$L$1203,$AE58-1200)=0,"",INDEX(对接源_02物料!$L$4:$L$1203,$AE58-1200))))</f>
        <v/>
      </c>
      <c r="J58" s="106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07" t="str">
        <f>IFERROR(MATCH(53,_自动清单!$AS$4:$AS$2403,0),"")</f>
        <v/>
      </c>
    </row>
    <row r="59" ht="18" customHeight="1" spans="1:31">
      <c r="A59" s="52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3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06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53" t="str">
        <f>IF($AE59="","",IF(IF($AE59&lt;=1200,IF(INDEX(对接源_01水果!$G$4:$G$1203,$AE59)=0,"",INDEX(对接源_01水果!$G$4:$G$1203,$AE59)),IF(INDEX(对接源_02物料!$G$4:$G$1203,$AE59-1200)=0,"",INDEX(对接源_02物料!$G$4:$G$1203,$AE59-1200)))="",IF($AE59&lt;=1200,IF(INDEX(对接源_01水果!$D$4:$D$1203,$AE59)=0,"",INDEX(对接源_01水果!$D$4:$D$1203,$AE59)),IF(INDEX(对接源_02物料!$D$4:$D$1203,$AE59-1200)=0,"",INDEX(对接源_02物料!$D$4:$D$1203,$AE59-1200))),IF($AE59&lt;=1200,IF(INDEX(对接源_01水果!$G$4:$G$1203,$AE59)=0,"",INDEX(对接源_01水果!$G$4:$G$1203,$AE59)),IF(INDEX(对接源_02物料!$G$4:$G$1203,$AE59-1200)=0,"",INDEX(对接源_02物料!$G$4:$G$1203,$AE59-1200)))))</f>
        <v/>
      </c>
      <c r="E59" s="55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53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5" t="str">
        <f>IF($AE59="","",IF(IF($AE59&lt;=1200,N(INDEX(对接源_01水果!$H$4:$H$1203,$AE59)),N(INDEX(对接源_02物料!$H$4:$H$1203,$AE59-1200)))=0,"",ROUND(IF($AE59&lt;=1200,N(INDEX(对接源_01水果!$K$4:$K$1203,$AE59)),N(INDEX(对接源_02物料!$K$4:$K$1203,$AE59-1200)))/IF($AE59&lt;=1200,N(INDEX(对接源_01水果!$H$4:$H$1203,$AE59)),N(INDEX(对接源_02物料!$H$4:$H$1203,$AE59-1200))),2)))</f>
        <v/>
      </c>
      <c r="H59" s="55" t="str">
        <f>IF($AE59="","",IF($AE59&lt;=1200,IF(INDEX(对接源_01水果!$K$4:$K$1203,$AE59)=0,"",INDEX(对接源_01水果!$K$4:$K$1203,$AE59)),IF(INDEX(对接源_02物料!$K$4:$K$1203,$AE59-1200)=0,"",INDEX(对接源_02物料!$K$4:$K$1203,$AE59-1200))))</f>
        <v/>
      </c>
      <c r="I59" s="53" t="str">
        <f>IF($AE59="","",IF($AE59&lt;=1200,IF(INDEX(对接源_01水果!$L$4:$L$1203,$AE59)=0,"",INDEX(对接源_01水果!$L$4:$L$1203,$AE59)),IF(INDEX(对接源_02物料!$L$4:$L$1203,$AE59-1200)=0,"",INDEX(对接源_02物料!$L$4:$L$1203,$AE59-1200))))</f>
        <v/>
      </c>
      <c r="J59" s="106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07" t="str">
        <f>IFERROR(MATCH(54,_自动清单!$AS$4:$AS$2403,0),"")</f>
        <v/>
      </c>
    </row>
    <row r="60" ht="18" customHeight="1" spans="1:31">
      <c r="A60" s="52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3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106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53" t="str">
        <f>IF($AE60="","",IF(IF($AE60&lt;=1200,IF(INDEX(对接源_01水果!$G$4:$G$1203,$AE60)=0,"",INDEX(对接源_01水果!$G$4:$G$1203,$AE60)),IF(INDEX(对接源_02物料!$G$4:$G$1203,$AE60-1200)=0,"",INDEX(对接源_02物料!$G$4:$G$1203,$AE60-1200)))="",IF($AE60&lt;=1200,IF(INDEX(对接源_01水果!$D$4:$D$1203,$AE60)=0,"",INDEX(对接源_01水果!$D$4:$D$1203,$AE60)),IF(INDEX(对接源_02物料!$D$4:$D$1203,$AE60-1200)=0,"",INDEX(对接源_02物料!$D$4:$D$1203,$AE60-1200))),IF($AE60&lt;=1200,IF(INDEX(对接源_01水果!$G$4:$G$1203,$AE60)=0,"",INDEX(对接源_01水果!$G$4:$G$1203,$AE60)),IF(INDEX(对接源_02物料!$G$4:$G$1203,$AE60-1200)=0,"",INDEX(对接源_02物料!$G$4:$G$1203,$AE60-1200)))))</f>
        <v/>
      </c>
      <c r="E60" s="55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53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5" t="str">
        <f>IF($AE60="","",IF(IF($AE60&lt;=1200,N(INDEX(对接源_01水果!$H$4:$H$1203,$AE60)),N(INDEX(对接源_02物料!$H$4:$H$1203,$AE60-1200)))=0,"",ROUND(IF($AE60&lt;=1200,N(INDEX(对接源_01水果!$K$4:$K$1203,$AE60)),N(INDEX(对接源_02物料!$K$4:$K$1203,$AE60-1200)))/IF($AE60&lt;=1200,N(INDEX(对接源_01水果!$H$4:$H$1203,$AE60)),N(INDEX(对接源_02物料!$H$4:$H$1203,$AE60-1200))),2)))</f>
        <v/>
      </c>
      <c r="H60" s="55" t="str">
        <f>IF($AE60="","",IF($AE60&lt;=1200,IF(INDEX(对接源_01水果!$K$4:$K$1203,$AE60)=0,"",INDEX(对接源_01水果!$K$4:$K$1203,$AE60)),IF(INDEX(对接源_02物料!$K$4:$K$1203,$AE60-1200)=0,"",INDEX(对接源_02物料!$K$4:$K$1203,$AE60-1200))))</f>
        <v/>
      </c>
      <c r="I60" s="53" t="str">
        <f>IF($AE60="","",IF($AE60&lt;=1200,IF(INDEX(对接源_01水果!$L$4:$L$1203,$AE60)=0,"",INDEX(对接源_01水果!$L$4:$L$1203,$AE60)),IF(INDEX(对接源_02物料!$L$4:$L$1203,$AE60-1200)=0,"",INDEX(对接源_02物料!$L$4:$L$1203,$AE60-1200))))</f>
        <v/>
      </c>
      <c r="J60" s="106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07" t="str">
        <f>IFERROR(MATCH(55,_自动清单!$AS$4:$AS$2403,0),"")</f>
        <v/>
      </c>
    </row>
    <row r="61" ht="18" customHeight="1" spans="1:31">
      <c r="A61" s="52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3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06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53" t="str">
        <f>IF($AE61="","",IF(IF($AE61&lt;=1200,IF(INDEX(对接源_01水果!$G$4:$G$1203,$AE61)=0,"",INDEX(对接源_01水果!$G$4:$G$1203,$AE61)),IF(INDEX(对接源_02物料!$G$4:$G$1203,$AE61-1200)=0,"",INDEX(对接源_02物料!$G$4:$G$1203,$AE61-1200)))="",IF($AE61&lt;=1200,IF(INDEX(对接源_01水果!$D$4:$D$1203,$AE61)=0,"",INDEX(对接源_01水果!$D$4:$D$1203,$AE61)),IF(INDEX(对接源_02物料!$D$4:$D$1203,$AE61-1200)=0,"",INDEX(对接源_02物料!$D$4:$D$1203,$AE61-1200))),IF($AE61&lt;=1200,IF(INDEX(对接源_01水果!$G$4:$G$1203,$AE61)=0,"",INDEX(对接源_01水果!$G$4:$G$1203,$AE61)),IF(INDEX(对接源_02物料!$G$4:$G$1203,$AE61-1200)=0,"",INDEX(对接源_02物料!$G$4:$G$1203,$AE61-1200)))))</f>
        <v/>
      </c>
      <c r="E61" s="55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53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55" t="str">
        <f>IF($AE61="","",IF(IF($AE61&lt;=1200,N(INDEX(对接源_01水果!$H$4:$H$1203,$AE61)),N(INDEX(对接源_02物料!$H$4:$H$1203,$AE61-1200)))=0,"",ROUND(IF($AE61&lt;=1200,N(INDEX(对接源_01水果!$K$4:$K$1203,$AE61)),N(INDEX(对接源_02物料!$K$4:$K$1203,$AE61-1200)))/IF($AE61&lt;=1200,N(INDEX(对接源_01水果!$H$4:$H$1203,$AE61)),N(INDEX(对接源_02物料!$H$4:$H$1203,$AE61-1200))),2)))</f>
        <v/>
      </c>
      <c r="H61" s="55" t="str">
        <f>IF($AE61="","",IF($AE61&lt;=1200,IF(INDEX(对接源_01水果!$K$4:$K$1203,$AE61)=0,"",INDEX(对接源_01水果!$K$4:$K$1203,$AE61)),IF(INDEX(对接源_02物料!$K$4:$K$1203,$AE61-1200)=0,"",INDEX(对接源_02物料!$K$4:$K$1203,$AE61-1200))))</f>
        <v/>
      </c>
      <c r="I61" s="53" t="str">
        <f>IF($AE61="","",IF($AE61&lt;=1200,IF(INDEX(对接源_01水果!$L$4:$L$1203,$AE61)=0,"",INDEX(对接源_01水果!$L$4:$L$1203,$AE61)),IF(INDEX(对接源_02物料!$L$4:$L$1203,$AE61-1200)=0,"",INDEX(对接源_02物料!$L$4:$L$1203,$AE61-1200))))</f>
        <v/>
      </c>
      <c r="J61" s="106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07" t="str">
        <f>IFERROR(MATCH(56,_自动清单!$AS$4:$AS$2403,0),"")</f>
        <v/>
      </c>
    </row>
    <row r="62" ht="18" customHeight="1" spans="1:31">
      <c r="A62" s="52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3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106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53" t="str">
        <f>IF($AE62="","",IF(IF($AE62&lt;=1200,IF(INDEX(对接源_01水果!$G$4:$G$1203,$AE62)=0,"",INDEX(对接源_01水果!$G$4:$G$1203,$AE62)),IF(INDEX(对接源_02物料!$G$4:$G$1203,$AE62-1200)=0,"",INDEX(对接源_02物料!$G$4:$G$1203,$AE62-1200)))="",IF($AE62&lt;=1200,IF(INDEX(对接源_01水果!$D$4:$D$1203,$AE62)=0,"",INDEX(对接源_01水果!$D$4:$D$1203,$AE62)),IF(INDEX(对接源_02物料!$D$4:$D$1203,$AE62-1200)=0,"",INDEX(对接源_02物料!$D$4:$D$1203,$AE62-1200))),IF($AE62&lt;=1200,IF(INDEX(对接源_01水果!$G$4:$G$1203,$AE62)=0,"",INDEX(对接源_01水果!$G$4:$G$1203,$AE62)),IF(INDEX(对接源_02物料!$G$4:$G$1203,$AE62-1200)=0,"",INDEX(对接源_02物料!$G$4:$G$1203,$AE62-1200)))))</f>
        <v/>
      </c>
      <c r="E62" s="55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53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5" t="str">
        <f>IF($AE62="","",IF(IF($AE62&lt;=1200,N(INDEX(对接源_01水果!$H$4:$H$1203,$AE62)),N(INDEX(对接源_02物料!$H$4:$H$1203,$AE62-1200)))=0,"",ROUND(IF($AE62&lt;=1200,N(INDEX(对接源_01水果!$K$4:$K$1203,$AE62)),N(INDEX(对接源_02物料!$K$4:$K$1203,$AE62-1200)))/IF($AE62&lt;=1200,N(INDEX(对接源_01水果!$H$4:$H$1203,$AE62)),N(INDEX(对接源_02物料!$H$4:$H$1203,$AE62-1200))),2)))</f>
        <v/>
      </c>
      <c r="H62" s="55" t="str">
        <f>IF($AE62="","",IF($AE62&lt;=1200,IF(INDEX(对接源_01水果!$K$4:$K$1203,$AE62)=0,"",INDEX(对接源_01水果!$K$4:$K$1203,$AE62)),IF(INDEX(对接源_02物料!$K$4:$K$1203,$AE62-1200)=0,"",INDEX(对接源_02物料!$K$4:$K$1203,$AE62-1200))))</f>
        <v/>
      </c>
      <c r="I62" s="53" t="str">
        <f>IF($AE62="","",IF($AE62&lt;=1200,IF(INDEX(对接源_01水果!$L$4:$L$1203,$AE62)=0,"",INDEX(对接源_01水果!$L$4:$L$1203,$AE62)),IF(INDEX(对接源_02物料!$L$4:$L$1203,$AE62-1200)=0,"",INDEX(对接源_02物料!$L$4:$L$1203,$AE62-1200))))</f>
        <v/>
      </c>
      <c r="J62" s="106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07" t="str">
        <f>IFERROR(MATCH(57,_自动清单!$AS$4:$AS$2403,0),"")</f>
        <v/>
      </c>
    </row>
    <row r="63" ht="18" customHeight="1" spans="1:31">
      <c r="A63" s="52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3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06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53" t="str">
        <f>IF($AE63="","",IF(IF($AE63&lt;=1200,IF(INDEX(对接源_01水果!$G$4:$G$1203,$AE63)=0,"",INDEX(对接源_01水果!$G$4:$G$1203,$AE63)),IF(INDEX(对接源_02物料!$G$4:$G$1203,$AE63-1200)=0,"",INDEX(对接源_02物料!$G$4:$G$1203,$AE63-1200)))="",IF($AE63&lt;=1200,IF(INDEX(对接源_01水果!$D$4:$D$1203,$AE63)=0,"",INDEX(对接源_01水果!$D$4:$D$1203,$AE63)),IF(INDEX(对接源_02物料!$D$4:$D$1203,$AE63-1200)=0,"",INDEX(对接源_02物料!$D$4:$D$1203,$AE63-1200))),IF($AE63&lt;=1200,IF(INDEX(对接源_01水果!$G$4:$G$1203,$AE63)=0,"",INDEX(对接源_01水果!$G$4:$G$1203,$AE63)),IF(INDEX(对接源_02物料!$G$4:$G$1203,$AE63-1200)=0,"",INDEX(对接源_02物料!$G$4:$G$1203,$AE63-1200)))))</f>
        <v/>
      </c>
      <c r="E63" s="55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53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5" t="str">
        <f>IF($AE63="","",IF(IF($AE63&lt;=1200,N(INDEX(对接源_01水果!$H$4:$H$1203,$AE63)),N(INDEX(对接源_02物料!$H$4:$H$1203,$AE63-1200)))=0,"",ROUND(IF($AE63&lt;=1200,N(INDEX(对接源_01水果!$K$4:$K$1203,$AE63)),N(INDEX(对接源_02物料!$K$4:$K$1203,$AE63-1200)))/IF($AE63&lt;=1200,N(INDEX(对接源_01水果!$H$4:$H$1203,$AE63)),N(INDEX(对接源_02物料!$H$4:$H$1203,$AE63-1200))),2)))</f>
        <v/>
      </c>
      <c r="H63" s="55" t="str">
        <f>IF($AE63="","",IF($AE63&lt;=1200,IF(INDEX(对接源_01水果!$K$4:$K$1203,$AE63)=0,"",INDEX(对接源_01水果!$K$4:$K$1203,$AE63)),IF(INDEX(对接源_02物料!$K$4:$K$1203,$AE63-1200)=0,"",INDEX(对接源_02物料!$K$4:$K$1203,$AE63-1200))))</f>
        <v/>
      </c>
      <c r="I63" s="53" t="str">
        <f>IF($AE63="","",IF($AE63&lt;=1200,IF(INDEX(对接源_01水果!$L$4:$L$1203,$AE63)=0,"",INDEX(对接源_01水果!$L$4:$L$1203,$AE63)),IF(INDEX(对接源_02物料!$L$4:$L$1203,$AE63-1200)=0,"",INDEX(对接源_02物料!$L$4:$L$1203,$AE63-1200))))</f>
        <v/>
      </c>
      <c r="J63" s="106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07" t="str">
        <f>IFERROR(MATCH(58,_自动清单!$AS$4:$AS$2403,0),"")</f>
        <v/>
      </c>
    </row>
    <row r="64" ht="18" customHeight="1" spans="1:31">
      <c r="A64" s="52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3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106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53" t="str">
        <f>IF($AE64="","",IF(IF($AE64&lt;=1200,IF(INDEX(对接源_01水果!$G$4:$G$1203,$AE64)=0,"",INDEX(对接源_01水果!$G$4:$G$1203,$AE64)),IF(INDEX(对接源_02物料!$G$4:$G$1203,$AE64-1200)=0,"",INDEX(对接源_02物料!$G$4:$G$1203,$AE64-1200)))="",IF($AE64&lt;=1200,IF(INDEX(对接源_01水果!$D$4:$D$1203,$AE64)=0,"",INDEX(对接源_01水果!$D$4:$D$1203,$AE64)),IF(INDEX(对接源_02物料!$D$4:$D$1203,$AE64-1200)=0,"",INDEX(对接源_02物料!$D$4:$D$1203,$AE64-1200))),IF($AE64&lt;=1200,IF(INDEX(对接源_01水果!$G$4:$G$1203,$AE64)=0,"",INDEX(对接源_01水果!$G$4:$G$1203,$AE64)),IF(INDEX(对接源_02物料!$G$4:$G$1203,$AE64-1200)=0,"",INDEX(对接源_02物料!$G$4:$G$1203,$AE64-1200)))))</f>
        <v/>
      </c>
      <c r="E64" s="55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53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5" t="str">
        <f>IF($AE64="","",IF(IF($AE64&lt;=1200,N(INDEX(对接源_01水果!$H$4:$H$1203,$AE64)),N(INDEX(对接源_02物料!$H$4:$H$1203,$AE64-1200)))=0,"",ROUND(IF($AE64&lt;=1200,N(INDEX(对接源_01水果!$K$4:$K$1203,$AE64)),N(INDEX(对接源_02物料!$K$4:$K$1203,$AE64-1200)))/IF($AE64&lt;=1200,N(INDEX(对接源_01水果!$H$4:$H$1203,$AE64)),N(INDEX(对接源_02物料!$H$4:$H$1203,$AE64-1200))),2)))</f>
        <v/>
      </c>
      <c r="H64" s="55" t="str">
        <f>IF($AE64="","",IF($AE64&lt;=1200,IF(INDEX(对接源_01水果!$K$4:$K$1203,$AE64)=0,"",INDEX(对接源_01水果!$K$4:$K$1203,$AE64)),IF(INDEX(对接源_02物料!$K$4:$K$1203,$AE64-1200)=0,"",INDEX(对接源_02物料!$K$4:$K$1203,$AE64-1200))))</f>
        <v/>
      </c>
      <c r="I64" s="53" t="str">
        <f>IF($AE64="","",IF($AE64&lt;=1200,IF(INDEX(对接源_01水果!$L$4:$L$1203,$AE64)=0,"",INDEX(对接源_01水果!$L$4:$L$1203,$AE64)),IF(INDEX(对接源_02物料!$L$4:$L$1203,$AE64-1200)=0,"",INDEX(对接源_02物料!$L$4:$L$1203,$AE64-1200))))</f>
        <v/>
      </c>
      <c r="J64" s="106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07" t="str">
        <f>IFERROR(MATCH(59,_自动清单!$AS$4:$AS$2403,0),"")</f>
        <v/>
      </c>
    </row>
    <row r="65" ht="18" customHeight="1" spans="1:31">
      <c r="A65" s="52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3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06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53" t="str">
        <f>IF($AE65="","",IF(IF($AE65&lt;=1200,IF(INDEX(对接源_01水果!$G$4:$G$1203,$AE65)=0,"",INDEX(对接源_01水果!$G$4:$G$1203,$AE65)),IF(INDEX(对接源_02物料!$G$4:$G$1203,$AE65-1200)=0,"",INDEX(对接源_02物料!$G$4:$G$1203,$AE65-1200)))="",IF($AE65&lt;=1200,IF(INDEX(对接源_01水果!$D$4:$D$1203,$AE65)=0,"",INDEX(对接源_01水果!$D$4:$D$1203,$AE65)),IF(INDEX(对接源_02物料!$D$4:$D$1203,$AE65-1200)=0,"",INDEX(对接源_02物料!$D$4:$D$1203,$AE65-1200))),IF($AE65&lt;=1200,IF(INDEX(对接源_01水果!$G$4:$G$1203,$AE65)=0,"",INDEX(对接源_01水果!$G$4:$G$1203,$AE65)),IF(INDEX(对接源_02物料!$G$4:$G$1203,$AE65-1200)=0,"",INDEX(对接源_02物料!$G$4:$G$1203,$AE65-1200)))))</f>
        <v/>
      </c>
      <c r="E65" s="55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53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55" t="str">
        <f>IF($AE65="","",IF(IF($AE65&lt;=1200,N(INDEX(对接源_01水果!$H$4:$H$1203,$AE65)),N(INDEX(对接源_02物料!$H$4:$H$1203,$AE65-1200)))=0,"",ROUND(IF($AE65&lt;=1200,N(INDEX(对接源_01水果!$K$4:$K$1203,$AE65)),N(INDEX(对接源_02物料!$K$4:$K$1203,$AE65-1200)))/IF($AE65&lt;=1200,N(INDEX(对接源_01水果!$H$4:$H$1203,$AE65)),N(INDEX(对接源_02物料!$H$4:$H$1203,$AE65-1200))),2)))</f>
        <v/>
      </c>
      <c r="H65" s="55" t="str">
        <f>IF($AE65="","",IF($AE65&lt;=1200,IF(INDEX(对接源_01水果!$K$4:$K$1203,$AE65)=0,"",INDEX(对接源_01水果!$K$4:$K$1203,$AE65)),IF(INDEX(对接源_02物料!$K$4:$K$1203,$AE65-1200)=0,"",INDEX(对接源_02物料!$K$4:$K$1203,$AE65-1200))))</f>
        <v/>
      </c>
      <c r="I65" s="53" t="str">
        <f>IF($AE65="","",IF($AE65&lt;=1200,IF(INDEX(对接源_01水果!$L$4:$L$1203,$AE65)=0,"",INDEX(对接源_01水果!$L$4:$L$1203,$AE65)),IF(INDEX(对接源_02物料!$L$4:$L$1203,$AE65-1200)=0,"",INDEX(对接源_02物料!$L$4:$L$1203,$AE65-1200))))</f>
        <v/>
      </c>
      <c r="J65" s="106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07" t="str">
        <f>IFERROR(MATCH(60,_自动清单!$AS$4:$AS$2403,0),"")</f>
        <v/>
      </c>
    </row>
    <row r="66" ht="18" customHeight="1" spans="1:31">
      <c r="A66" s="52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3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106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53" t="str">
        <f>IF($AE66="","",IF(IF($AE66&lt;=1200,IF(INDEX(对接源_01水果!$G$4:$G$1203,$AE66)=0,"",INDEX(对接源_01水果!$G$4:$G$1203,$AE66)),IF(INDEX(对接源_02物料!$G$4:$G$1203,$AE66-1200)=0,"",INDEX(对接源_02物料!$G$4:$G$1203,$AE66-1200)))="",IF($AE66&lt;=1200,IF(INDEX(对接源_01水果!$D$4:$D$1203,$AE66)=0,"",INDEX(对接源_01水果!$D$4:$D$1203,$AE66)),IF(INDEX(对接源_02物料!$D$4:$D$1203,$AE66-1200)=0,"",INDEX(对接源_02物料!$D$4:$D$1203,$AE66-1200))),IF($AE66&lt;=1200,IF(INDEX(对接源_01水果!$G$4:$G$1203,$AE66)=0,"",INDEX(对接源_01水果!$G$4:$G$1203,$AE66)),IF(INDEX(对接源_02物料!$G$4:$G$1203,$AE66-1200)=0,"",INDEX(对接源_02物料!$G$4:$G$1203,$AE66-1200)))))</f>
        <v/>
      </c>
      <c r="E66" s="55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53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5" t="str">
        <f>IF($AE66="","",IF(IF($AE66&lt;=1200,N(INDEX(对接源_01水果!$H$4:$H$1203,$AE66)),N(INDEX(对接源_02物料!$H$4:$H$1203,$AE66-1200)))=0,"",ROUND(IF($AE66&lt;=1200,N(INDEX(对接源_01水果!$K$4:$K$1203,$AE66)),N(INDEX(对接源_02物料!$K$4:$K$1203,$AE66-1200)))/IF($AE66&lt;=1200,N(INDEX(对接源_01水果!$H$4:$H$1203,$AE66)),N(INDEX(对接源_02物料!$H$4:$H$1203,$AE66-1200))),2)))</f>
        <v/>
      </c>
      <c r="H66" s="55" t="str">
        <f>IF($AE66="","",IF($AE66&lt;=1200,IF(INDEX(对接源_01水果!$K$4:$K$1203,$AE66)=0,"",INDEX(对接源_01水果!$K$4:$K$1203,$AE66)),IF(INDEX(对接源_02物料!$K$4:$K$1203,$AE66-1200)=0,"",INDEX(对接源_02物料!$K$4:$K$1203,$AE66-1200))))</f>
        <v/>
      </c>
      <c r="I66" s="53" t="str">
        <f>IF($AE66="","",IF($AE66&lt;=1200,IF(INDEX(对接源_01水果!$L$4:$L$1203,$AE66)=0,"",INDEX(对接源_01水果!$L$4:$L$1203,$AE66)),IF(INDEX(对接源_02物料!$L$4:$L$1203,$AE66-1200)=0,"",INDEX(对接源_02物料!$L$4:$L$1203,$AE66-1200))))</f>
        <v/>
      </c>
      <c r="J66" s="106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07" t="str">
        <f>IFERROR(MATCH(61,_自动清单!$AS$4:$AS$2403,0),"")</f>
        <v/>
      </c>
    </row>
    <row r="67" ht="18" customHeight="1" spans="1:31">
      <c r="A67" s="52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3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06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53" t="str">
        <f>IF($AE67="","",IF(IF($AE67&lt;=1200,IF(INDEX(对接源_01水果!$G$4:$G$1203,$AE67)=0,"",INDEX(对接源_01水果!$G$4:$G$1203,$AE67)),IF(INDEX(对接源_02物料!$G$4:$G$1203,$AE67-1200)=0,"",INDEX(对接源_02物料!$G$4:$G$1203,$AE67-1200)))="",IF($AE67&lt;=1200,IF(INDEX(对接源_01水果!$D$4:$D$1203,$AE67)=0,"",INDEX(对接源_01水果!$D$4:$D$1203,$AE67)),IF(INDEX(对接源_02物料!$D$4:$D$1203,$AE67-1200)=0,"",INDEX(对接源_02物料!$D$4:$D$1203,$AE67-1200))),IF($AE67&lt;=1200,IF(INDEX(对接源_01水果!$G$4:$G$1203,$AE67)=0,"",INDEX(对接源_01水果!$G$4:$G$1203,$AE67)),IF(INDEX(对接源_02物料!$G$4:$G$1203,$AE67-1200)=0,"",INDEX(对接源_02物料!$G$4:$G$1203,$AE67-1200)))))</f>
        <v/>
      </c>
      <c r="E67" s="55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53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5" t="str">
        <f>IF($AE67="","",IF(IF($AE67&lt;=1200,N(INDEX(对接源_01水果!$H$4:$H$1203,$AE67)),N(INDEX(对接源_02物料!$H$4:$H$1203,$AE67-1200)))=0,"",ROUND(IF($AE67&lt;=1200,N(INDEX(对接源_01水果!$K$4:$K$1203,$AE67)),N(INDEX(对接源_02物料!$K$4:$K$1203,$AE67-1200)))/IF($AE67&lt;=1200,N(INDEX(对接源_01水果!$H$4:$H$1203,$AE67)),N(INDEX(对接源_02物料!$H$4:$H$1203,$AE67-1200))),2)))</f>
        <v/>
      </c>
      <c r="H67" s="55" t="str">
        <f>IF($AE67="","",IF($AE67&lt;=1200,IF(INDEX(对接源_01水果!$K$4:$K$1203,$AE67)=0,"",INDEX(对接源_01水果!$K$4:$K$1203,$AE67)),IF(INDEX(对接源_02物料!$K$4:$K$1203,$AE67-1200)=0,"",INDEX(对接源_02物料!$K$4:$K$1203,$AE67-1200))))</f>
        <v/>
      </c>
      <c r="I67" s="53" t="str">
        <f>IF($AE67="","",IF($AE67&lt;=1200,IF(INDEX(对接源_01水果!$L$4:$L$1203,$AE67)=0,"",INDEX(对接源_01水果!$L$4:$L$1203,$AE67)),IF(INDEX(对接源_02物料!$L$4:$L$1203,$AE67-1200)=0,"",INDEX(对接源_02物料!$L$4:$L$1203,$AE67-1200))))</f>
        <v/>
      </c>
      <c r="J67" s="106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07" t="str">
        <f>IFERROR(MATCH(62,_自动清单!$AS$4:$AS$2403,0),"")</f>
        <v/>
      </c>
    </row>
    <row r="68" ht="18" customHeight="1" spans="1:31">
      <c r="A68" s="52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3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106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53" t="str">
        <f>IF($AE68="","",IF(IF($AE68&lt;=1200,IF(INDEX(对接源_01水果!$G$4:$G$1203,$AE68)=0,"",INDEX(对接源_01水果!$G$4:$G$1203,$AE68)),IF(INDEX(对接源_02物料!$G$4:$G$1203,$AE68-1200)=0,"",INDEX(对接源_02物料!$G$4:$G$1203,$AE68-1200)))="",IF($AE68&lt;=1200,IF(INDEX(对接源_01水果!$D$4:$D$1203,$AE68)=0,"",INDEX(对接源_01水果!$D$4:$D$1203,$AE68)),IF(INDEX(对接源_02物料!$D$4:$D$1203,$AE68-1200)=0,"",INDEX(对接源_02物料!$D$4:$D$1203,$AE68-1200))),IF($AE68&lt;=1200,IF(INDEX(对接源_01水果!$G$4:$G$1203,$AE68)=0,"",INDEX(对接源_01水果!$G$4:$G$1203,$AE68)),IF(INDEX(对接源_02物料!$G$4:$G$1203,$AE68-1200)=0,"",INDEX(对接源_02物料!$G$4:$G$1203,$AE68-1200)))))</f>
        <v/>
      </c>
      <c r="E68" s="55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53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5" t="str">
        <f>IF($AE68="","",IF(IF($AE68&lt;=1200,N(INDEX(对接源_01水果!$H$4:$H$1203,$AE68)),N(INDEX(对接源_02物料!$H$4:$H$1203,$AE68-1200)))=0,"",ROUND(IF($AE68&lt;=1200,N(INDEX(对接源_01水果!$K$4:$K$1203,$AE68)),N(INDEX(对接源_02物料!$K$4:$K$1203,$AE68-1200)))/IF($AE68&lt;=1200,N(INDEX(对接源_01水果!$H$4:$H$1203,$AE68)),N(INDEX(对接源_02物料!$H$4:$H$1203,$AE68-1200))),2)))</f>
        <v/>
      </c>
      <c r="H68" s="55" t="str">
        <f>IF($AE68="","",IF($AE68&lt;=1200,IF(INDEX(对接源_01水果!$K$4:$K$1203,$AE68)=0,"",INDEX(对接源_01水果!$K$4:$K$1203,$AE68)),IF(INDEX(对接源_02物料!$K$4:$K$1203,$AE68-1200)=0,"",INDEX(对接源_02物料!$K$4:$K$1203,$AE68-1200))))</f>
        <v/>
      </c>
      <c r="I68" s="53" t="str">
        <f>IF($AE68="","",IF($AE68&lt;=1200,IF(INDEX(对接源_01水果!$L$4:$L$1203,$AE68)=0,"",INDEX(对接源_01水果!$L$4:$L$1203,$AE68)),IF(INDEX(对接源_02物料!$L$4:$L$1203,$AE68-1200)=0,"",INDEX(对接源_02物料!$L$4:$L$1203,$AE68-1200))))</f>
        <v/>
      </c>
      <c r="J68" s="106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07" t="str">
        <f>IFERROR(MATCH(63,_自动清单!$AS$4:$AS$2403,0),"")</f>
        <v/>
      </c>
    </row>
    <row r="69" ht="18" customHeight="1" spans="1:31">
      <c r="A69" s="52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3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06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53" t="str">
        <f>IF($AE69="","",IF(IF($AE69&lt;=1200,IF(INDEX(对接源_01水果!$G$4:$G$1203,$AE69)=0,"",INDEX(对接源_01水果!$G$4:$G$1203,$AE69)),IF(INDEX(对接源_02物料!$G$4:$G$1203,$AE69-1200)=0,"",INDEX(对接源_02物料!$G$4:$G$1203,$AE69-1200)))="",IF($AE69&lt;=1200,IF(INDEX(对接源_01水果!$D$4:$D$1203,$AE69)=0,"",INDEX(对接源_01水果!$D$4:$D$1203,$AE69)),IF(INDEX(对接源_02物料!$D$4:$D$1203,$AE69-1200)=0,"",INDEX(对接源_02物料!$D$4:$D$1203,$AE69-1200))),IF($AE69&lt;=1200,IF(INDEX(对接源_01水果!$G$4:$G$1203,$AE69)=0,"",INDEX(对接源_01水果!$G$4:$G$1203,$AE69)),IF(INDEX(对接源_02物料!$G$4:$G$1203,$AE69-1200)=0,"",INDEX(对接源_02物料!$G$4:$G$1203,$AE69-1200)))))</f>
        <v/>
      </c>
      <c r="E69" s="55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53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55" t="str">
        <f>IF($AE69="","",IF(IF($AE69&lt;=1200,N(INDEX(对接源_01水果!$H$4:$H$1203,$AE69)),N(INDEX(对接源_02物料!$H$4:$H$1203,$AE69-1200)))=0,"",ROUND(IF($AE69&lt;=1200,N(INDEX(对接源_01水果!$K$4:$K$1203,$AE69)),N(INDEX(对接源_02物料!$K$4:$K$1203,$AE69-1200)))/IF($AE69&lt;=1200,N(INDEX(对接源_01水果!$H$4:$H$1203,$AE69)),N(INDEX(对接源_02物料!$H$4:$H$1203,$AE69-1200))),2)))</f>
        <v/>
      </c>
      <c r="H69" s="55" t="str">
        <f>IF($AE69="","",IF($AE69&lt;=1200,IF(INDEX(对接源_01水果!$K$4:$K$1203,$AE69)=0,"",INDEX(对接源_01水果!$K$4:$K$1203,$AE69)),IF(INDEX(对接源_02物料!$K$4:$K$1203,$AE69-1200)=0,"",INDEX(对接源_02物料!$K$4:$K$1203,$AE69-1200))))</f>
        <v/>
      </c>
      <c r="I69" s="53" t="str">
        <f>IF($AE69="","",IF($AE69&lt;=1200,IF(INDEX(对接源_01水果!$L$4:$L$1203,$AE69)=0,"",INDEX(对接源_01水果!$L$4:$L$1203,$AE69)),IF(INDEX(对接源_02物料!$L$4:$L$1203,$AE69-1200)=0,"",INDEX(对接源_02物料!$L$4:$L$1203,$AE69-1200))))</f>
        <v/>
      </c>
      <c r="J69" s="106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07" t="str">
        <f>IFERROR(MATCH(64,_自动清单!$AS$4:$AS$2403,0),"")</f>
        <v/>
      </c>
    </row>
    <row r="70" ht="18" customHeight="1" spans="1:31">
      <c r="A70" s="52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3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106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53" t="str">
        <f>IF($AE70="","",IF(IF($AE70&lt;=1200,IF(INDEX(对接源_01水果!$G$4:$G$1203,$AE70)=0,"",INDEX(对接源_01水果!$G$4:$G$1203,$AE70)),IF(INDEX(对接源_02物料!$G$4:$G$1203,$AE70-1200)=0,"",INDEX(对接源_02物料!$G$4:$G$1203,$AE70-1200)))="",IF($AE70&lt;=1200,IF(INDEX(对接源_01水果!$D$4:$D$1203,$AE70)=0,"",INDEX(对接源_01水果!$D$4:$D$1203,$AE70)),IF(INDEX(对接源_02物料!$D$4:$D$1203,$AE70-1200)=0,"",INDEX(对接源_02物料!$D$4:$D$1203,$AE70-1200))),IF($AE70&lt;=1200,IF(INDEX(对接源_01水果!$G$4:$G$1203,$AE70)=0,"",INDEX(对接源_01水果!$G$4:$G$1203,$AE70)),IF(INDEX(对接源_02物料!$G$4:$G$1203,$AE70-1200)=0,"",INDEX(对接源_02物料!$G$4:$G$1203,$AE70-1200)))))</f>
        <v/>
      </c>
      <c r="E70" s="55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53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5" t="str">
        <f>IF($AE70="","",IF(IF($AE70&lt;=1200,N(INDEX(对接源_01水果!$H$4:$H$1203,$AE70)),N(INDEX(对接源_02物料!$H$4:$H$1203,$AE70-1200)))=0,"",ROUND(IF($AE70&lt;=1200,N(INDEX(对接源_01水果!$K$4:$K$1203,$AE70)),N(INDEX(对接源_02物料!$K$4:$K$1203,$AE70-1200)))/IF($AE70&lt;=1200,N(INDEX(对接源_01水果!$H$4:$H$1203,$AE70)),N(INDEX(对接源_02物料!$H$4:$H$1203,$AE70-1200))),2)))</f>
        <v/>
      </c>
      <c r="H70" s="55" t="str">
        <f>IF($AE70="","",IF($AE70&lt;=1200,IF(INDEX(对接源_01水果!$K$4:$K$1203,$AE70)=0,"",INDEX(对接源_01水果!$K$4:$K$1203,$AE70)),IF(INDEX(对接源_02物料!$K$4:$K$1203,$AE70-1200)=0,"",INDEX(对接源_02物料!$K$4:$K$1203,$AE70-1200))))</f>
        <v/>
      </c>
      <c r="I70" s="53" t="str">
        <f>IF($AE70="","",IF($AE70&lt;=1200,IF(INDEX(对接源_01水果!$L$4:$L$1203,$AE70)=0,"",INDEX(对接源_01水果!$L$4:$L$1203,$AE70)),IF(INDEX(对接源_02物料!$L$4:$L$1203,$AE70-1200)=0,"",INDEX(对接源_02物料!$L$4:$L$1203,$AE70-1200))))</f>
        <v/>
      </c>
      <c r="J70" s="106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07" t="str">
        <f>IFERROR(MATCH(65,_自动清单!$AS$4:$AS$2403,0),"")</f>
        <v/>
      </c>
    </row>
    <row r="71" ht="18" customHeight="1" spans="1:31">
      <c r="A71" s="52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3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06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53" t="str">
        <f>IF($AE71="","",IF(IF($AE71&lt;=1200,IF(INDEX(对接源_01水果!$G$4:$G$1203,$AE71)=0,"",INDEX(对接源_01水果!$G$4:$G$1203,$AE71)),IF(INDEX(对接源_02物料!$G$4:$G$1203,$AE71-1200)=0,"",INDEX(对接源_02物料!$G$4:$G$1203,$AE71-1200)))="",IF($AE71&lt;=1200,IF(INDEX(对接源_01水果!$D$4:$D$1203,$AE71)=0,"",INDEX(对接源_01水果!$D$4:$D$1203,$AE71)),IF(INDEX(对接源_02物料!$D$4:$D$1203,$AE71-1200)=0,"",INDEX(对接源_02物料!$D$4:$D$1203,$AE71-1200))),IF($AE71&lt;=1200,IF(INDEX(对接源_01水果!$G$4:$G$1203,$AE71)=0,"",INDEX(对接源_01水果!$G$4:$G$1203,$AE71)),IF(INDEX(对接源_02物料!$G$4:$G$1203,$AE71-1200)=0,"",INDEX(对接源_02物料!$G$4:$G$1203,$AE71-1200)))))</f>
        <v/>
      </c>
      <c r="E71" s="55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53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5" t="str">
        <f>IF($AE71="","",IF(IF($AE71&lt;=1200,N(INDEX(对接源_01水果!$H$4:$H$1203,$AE71)),N(INDEX(对接源_02物料!$H$4:$H$1203,$AE71-1200)))=0,"",ROUND(IF($AE71&lt;=1200,N(INDEX(对接源_01水果!$K$4:$K$1203,$AE71)),N(INDEX(对接源_02物料!$K$4:$K$1203,$AE71-1200)))/IF($AE71&lt;=1200,N(INDEX(对接源_01水果!$H$4:$H$1203,$AE71)),N(INDEX(对接源_02物料!$H$4:$H$1203,$AE71-1200))),2)))</f>
        <v/>
      </c>
      <c r="H71" s="55" t="str">
        <f>IF($AE71="","",IF($AE71&lt;=1200,IF(INDEX(对接源_01水果!$K$4:$K$1203,$AE71)=0,"",INDEX(对接源_01水果!$K$4:$K$1203,$AE71)),IF(INDEX(对接源_02物料!$K$4:$K$1203,$AE71-1200)=0,"",INDEX(对接源_02物料!$K$4:$K$1203,$AE71-1200))))</f>
        <v/>
      </c>
      <c r="I71" s="53" t="str">
        <f>IF($AE71="","",IF($AE71&lt;=1200,IF(INDEX(对接源_01水果!$L$4:$L$1203,$AE71)=0,"",INDEX(对接源_01水果!$L$4:$L$1203,$AE71)),IF(INDEX(对接源_02物料!$L$4:$L$1203,$AE71-1200)=0,"",INDEX(对接源_02物料!$L$4:$L$1203,$AE71-1200))))</f>
        <v/>
      </c>
      <c r="J71" s="106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07" t="str">
        <f>IFERROR(MATCH(66,_自动清单!$AS$4:$AS$2403,0),"")</f>
        <v/>
      </c>
    </row>
    <row r="72" ht="18" customHeight="1" spans="1:31">
      <c r="A72" s="52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3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106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53" t="str">
        <f>IF($AE72="","",IF(IF($AE72&lt;=1200,IF(INDEX(对接源_01水果!$G$4:$G$1203,$AE72)=0,"",INDEX(对接源_01水果!$G$4:$G$1203,$AE72)),IF(INDEX(对接源_02物料!$G$4:$G$1203,$AE72-1200)=0,"",INDEX(对接源_02物料!$G$4:$G$1203,$AE72-1200)))="",IF($AE72&lt;=1200,IF(INDEX(对接源_01水果!$D$4:$D$1203,$AE72)=0,"",INDEX(对接源_01水果!$D$4:$D$1203,$AE72)),IF(INDEX(对接源_02物料!$D$4:$D$1203,$AE72-1200)=0,"",INDEX(对接源_02物料!$D$4:$D$1203,$AE72-1200))),IF($AE72&lt;=1200,IF(INDEX(对接源_01水果!$G$4:$G$1203,$AE72)=0,"",INDEX(对接源_01水果!$G$4:$G$1203,$AE72)),IF(INDEX(对接源_02物料!$G$4:$G$1203,$AE72-1200)=0,"",INDEX(对接源_02物料!$G$4:$G$1203,$AE72-1200)))))</f>
        <v/>
      </c>
      <c r="E72" s="55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53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5" t="str">
        <f>IF($AE72="","",IF(IF($AE72&lt;=1200,N(INDEX(对接源_01水果!$H$4:$H$1203,$AE72)),N(INDEX(对接源_02物料!$H$4:$H$1203,$AE72-1200)))=0,"",ROUND(IF($AE72&lt;=1200,N(INDEX(对接源_01水果!$K$4:$K$1203,$AE72)),N(INDEX(对接源_02物料!$K$4:$K$1203,$AE72-1200)))/IF($AE72&lt;=1200,N(INDEX(对接源_01水果!$H$4:$H$1203,$AE72)),N(INDEX(对接源_02物料!$H$4:$H$1203,$AE72-1200))),2)))</f>
        <v/>
      </c>
      <c r="H72" s="55" t="str">
        <f>IF($AE72="","",IF($AE72&lt;=1200,IF(INDEX(对接源_01水果!$K$4:$K$1203,$AE72)=0,"",INDEX(对接源_01水果!$K$4:$K$1203,$AE72)),IF(INDEX(对接源_02物料!$K$4:$K$1203,$AE72-1200)=0,"",INDEX(对接源_02物料!$K$4:$K$1203,$AE72-1200))))</f>
        <v/>
      </c>
      <c r="I72" s="53" t="str">
        <f>IF($AE72="","",IF($AE72&lt;=1200,IF(INDEX(对接源_01水果!$L$4:$L$1203,$AE72)=0,"",INDEX(对接源_01水果!$L$4:$L$1203,$AE72)),IF(INDEX(对接源_02物料!$L$4:$L$1203,$AE72-1200)=0,"",INDEX(对接源_02物料!$L$4:$L$1203,$AE72-1200))))</f>
        <v/>
      </c>
      <c r="J72" s="106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07" t="str">
        <f>IFERROR(MATCH(67,_自动清单!$AS$4:$AS$2403,0),"")</f>
        <v/>
      </c>
    </row>
    <row r="73" ht="18" customHeight="1" spans="1:31">
      <c r="A73" s="52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3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06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53" t="str">
        <f>IF($AE73="","",IF(IF($AE73&lt;=1200,IF(INDEX(对接源_01水果!$G$4:$G$1203,$AE73)=0,"",INDEX(对接源_01水果!$G$4:$G$1203,$AE73)),IF(INDEX(对接源_02物料!$G$4:$G$1203,$AE73-1200)=0,"",INDEX(对接源_02物料!$G$4:$G$1203,$AE73-1200)))="",IF($AE73&lt;=1200,IF(INDEX(对接源_01水果!$D$4:$D$1203,$AE73)=0,"",INDEX(对接源_01水果!$D$4:$D$1203,$AE73)),IF(INDEX(对接源_02物料!$D$4:$D$1203,$AE73-1200)=0,"",INDEX(对接源_02物料!$D$4:$D$1203,$AE73-1200))),IF($AE73&lt;=1200,IF(INDEX(对接源_01水果!$G$4:$G$1203,$AE73)=0,"",INDEX(对接源_01水果!$G$4:$G$1203,$AE73)),IF(INDEX(对接源_02物料!$G$4:$G$1203,$AE73-1200)=0,"",INDEX(对接源_02物料!$G$4:$G$1203,$AE73-1200)))))</f>
        <v/>
      </c>
      <c r="E73" s="55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53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55" t="str">
        <f>IF($AE73="","",IF(IF($AE73&lt;=1200,N(INDEX(对接源_01水果!$H$4:$H$1203,$AE73)),N(INDEX(对接源_02物料!$H$4:$H$1203,$AE73-1200)))=0,"",ROUND(IF($AE73&lt;=1200,N(INDEX(对接源_01水果!$K$4:$K$1203,$AE73)),N(INDEX(对接源_02物料!$K$4:$K$1203,$AE73-1200)))/IF($AE73&lt;=1200,N(INDEX(对接源_01水果!$H$4:$H$1203,$AE73)),N(INDEX(对接源_02物料!$H$4:$H$1203,$AE73-1200))),2)))</f>
        <v/>
      </c>
      <c r="H73" s="55" t="str">
        <f>IF($AE73="","",IF($AE73&lt;=1200,IF(INDEX(对接源_01水果!$K$4:$K$1203,$AE73)=0,"",INDEX(对接源_01水果!$K$4:$K$1203,$AE73)),IF(INDEX(对接源_02物料!$K$4:$K$1203,$AE73-1200)=0,"",INDEX(对接源_02物料!$K$4:$K$1203,$AE73-1200))))</f>
        <v/>
      </c>
      <c r="I73" s="53" t="str">
        <f>IF($AE73="","",IF($AE73&lt;=1200,IF(INDEX(对接源_01水果!$L$4:$L$1203,$AE73)=0,"",INDEX(对接源_01水果!$L$4:$L$1203,$AE73)),IF(INDEX(对接源_02物料!$L$4:$L$1203,$AE73-1200)=0,"",INDEX(对接源_02物料!$L$4:$L$1203,$AE73-1200))))</f>
        <v/>
      </c>
      <c r="J73" s="106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07" t="str">
        <f>IFERROR(MATCH(68,_自动清单!$AS$4:$AS$2403,0),"")</f>
        <v/>
      </c>
    </row>
    <row r="74" ht="18" customHeight="1" spans="1:31">
      <c r="A74" s="52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3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106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53" t="str">
        <f>IF($AE74="","",IF(IF($AE74&lt;=1200,IF(INDEX(对接源_01水果!$G$4:$G$1203,$AE74)=0,"",INDEX(对接源_01水果!$G$4:$G$1203,$AE74)),IF(INDEX(对接源_02物料!$G$4:$G$1203,$AE74-1200)=0,"",INDEX(对接源_02物料!$G$4:$G$1203,$AE74-1200)))="",IF($AE74&lt;=1200,IF(INDEX(对接源_01水果!$D$4:$D$1203,$AE74)=0,"",INDEX(对接源_01水果!$D$4:$D$1203,$AE74)),IF(INDEX(对接源_02物料!$D$4:$D$1203,$AE74-1200)=0,"",INDEX(对接源_02物料!$D$4:$D$1203,$AE74-1200))),IF($AE74&lt;=1200,IF(INDEX(对接源_01水果!$G$4:$G$1203,$AE74)=0,"",INDEX(对接源_01水果!$G$4:$G$1203,$AE74)),IF(INDEX(对接源_02物料!$G$4:$G$1203,$AE74-1200)=0,"",INDEX(对接源_02物料!$G$4:$G$1203,$AE74-1200)))))</f>
        <v/>
      </c>
      <c r="E74" s="55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53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5" t="str">
        <f>IF($AE74="","",IF(IF($AE74&lt;=1200,N(INDEX(对接源_01水果!$H$4:$H$1203,$AE74)),N(INDEX(对接源_02物料!$H$4:$H$1203,$AE74-1200)))=0,"",ROUND(IF($AE74&lt;=1200,N(INDEX(对接源_01水果!$K$4:$K$1203,$AE74)),N(INDEX(对接源_02物料!$K$4:$K$1203,$AE74-1200)))/IF($AE74&lt;=1200,N(INDEX(对接源_01水果!$H$4:$H$1203,$AE74)),N(INDEX(对接源_02物料!$H$4:$H$1203,$AE74-1200))),2)))</f>
        <v/>
      </c>
      <c r="H74" s="55" t="str">
        <f>IF($AE74="","",IF($AE74&lt;=1200,IF(INDEX(对接源_01水果!$K$4:$K$1203,$AE74)=0,"",INDEX(对接源_01水果!$K$4:$K$1203,$AE74)),IF(INDEX(对接源_02物料!$K$4:$K$1203,$AE74-1200)=0,"",INDEX(对接源_02物料!$K$4:$K$1203,$AE74-1200))))</f>
        <v/>
      </c>
      <c r="I74" s="53" t="str">
        <f>IF($AE74="","",IF($AE74&lt;=1200,IF(INDEX(对接源_01水果!$L$4:$L$1203,$AE74)=0,"",INDEX(对接源_01水果!$L$4:$L$1203,$AE74)),IF(INDEX(对接源_02物料!$L$4:$L$1203,$AE74-1200)=0,"",INDEX(对接源_02物料!$L$4:$L$1203,$AE74-1200))))</f>
        <v/>
      </c>
      <c r="J74" s="106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07" t="str">
        <f>IFERROR(MATCH(69,_自动清单!$AS$4:$AS$2403,0),"")</f>
        <v/>
      </c>
    </row>
    <row r="75" ht="18" customHeight="1" spans="1:31">
      <c r="A75" s="52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3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06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53" t="str">
        <f>IF($AE75="","",IF(IF($AE75&lt;=1200,IF(INDEX(对接源_01水果!$G$4:$G$1203,$AE75)=0,"",INDEX(对接源_01水果!$G$4:$G$1203,$AE75)),IF(INDEX(对接源_02物料!$G$4:$G$1203,$AE75-1200)=0,"",INDEX(对接源_02物料!$G$4:$G$1203,$AE75-1200)))="",IF($AE75&lt;=1200,IF(INDEX(对接源_01水果!$D$4:$D$1203,$AE75)=0,"",INDEX(对接源_01水果!$D$4:$D$1203,$AE75)),IF(INDEX(对接源_02物料!$D$4:$D$1203,$AE75-1200)=0,"",INDEX(对接源_02物料!$D$4:$D$1203,$AE75-1200))),IF($AE75&lt;=1200,IF(INDEX(对接源_01水果!$G$4:$G$1203,$AE75)=0,"",INDEX(对接源_01水果!$G$4:$G$1203,$AE75)),IF(INDEX(对接源_02物料!$G$4:$G$1203,$AE75-1200)=0,"",INDEX(对接源_02物料!$G$4:$G$1203,$AE75-1200)))))</f>
        <v/>
      </c>
      <c r="E75" s="55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53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5" t="str">
        <f>IF($AE75="","",IF(IF($AE75&lt;=1200,N(INDEX(对接源_01水果!$H$4:$H$1203,$AE75)),N(INDEX(对接源_02物料!$H$4:$H$1203,$AE75-1200)))=0,"",ROUND(IF($AE75&lt;=1200,N(INDEX(对接源_01水果!$K$4:$K$1203,$AE75)),N(INDEX(对接源_02物料!$K$4:$K$1203,$AE75-1200)))/IF($AE75&lt;=1200,N(INDEX(对接源_01水果!$H$4:$H$1203,$AE75)),N(INDEX(对接源_02物料!$H$4:$H$1203,$AE75-1200))),2)))</f>
        <v/>
      </c>
      <c r="H75" s="55" t="str">
        <f>IF($AE75="","",IF($AE75&lt;=1200,IF(INDEX(对接源_01水果!$K$4:$K$1203,$AE75)=0,"",INDEX(对接源_01水果!$K$4:$K$1203,$AE75)),IF(INDEX(对接源_02物料!$K$4:$K$1203,$AE75-1200)=0,"",INDEX(对接源_02物料!$K$4:$K$1203,$AE75-1200))))</f>
        <v/>
      </c>
      <c r="I75" s="53" t="str">
        <f>IF($AE75="","",IF($AE75&lt;=1200,IF(INDEX(对接源_01水果!$L$4:$L$1203,$AE75)=0,"",INDEX(对接源_01水果!$L$4:$L$1203,$AE75)),IF(INDEX(对接源_02物料!$L$4:$L$1203,$AE75-1200)=0,"",INDEX(对接源_02物料!$L$4:$L$1203,$AE75-1200))))</f>
        <v/>
      </c>
      <c r="J75" s="106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07" t="str">
        <f>IFERROR(MATCH(70,_自动清单!$AS$4:$AS$2403,0),"")</f>
        <v/>
      </c>
    </row>
    <row r="76" ht="18" customHeight="1" spans="1:31">
      <c r="A76" s="52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3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106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53" t="str">
        <f>IF($AE76="","",IF(IF($AE76&lt;=1200,IF(INDEX(对接源_01水果!$G$4:$G$1203,$AE76)=0,"",INDEX(对接源_01水果!$G$4:$G$1203,$AE76)),IF(INDEX(对接源_02物料!$G$4:$G$1203,$AE76-1200)=0,"",INDEX(对接源_02物料!$G$4:$G$1203,$AE76-1200)))="",IF($AE76&lt;=1200,IF(INDEX(对接源_01水果!$D$4:$D$1203,$AE76)=0,"",INDEX(对接源_01水果!$D$4:$D$1203,$AE76)),IF(INDEX(对接源_02物料!$D$4:$D$1203,$AE76-1200)=0,"",INDEX(对接源_02物料!$D$4:$D$1203,$AE76-1200))),IF($AE76&lt;=1200,IF(INDEX(对接源_01水果!$G$4:$G$1203,$AE76)=0,"",INDEX(对接源_01水果!$G$4:$G$1203,$AE76)),IF(INDEX(对接源_02物料!$G$4:$G$1203,$AE76-1200)=0,"",INDEX(对接源_02物料!$G$4:$G$1203,$AE76-1200)))))</f>
        <v/>
      </c>
      <c r="E76" s="55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53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5" t="str">
        <f>IF($AE76="","",IF(IF($AE76&lt;=1200,N(INDEX(对接源_01水果!$H$4:$H$1203,$AE76)),N(INDEX(对接源_02物料!$H$4:$H$1203,$AE76-1200)))=0,"",ROUND(IF($AE76&lt;=1200,N(INDEX(对接源_01水果!$K$4:$K$1203,$AE76)),N(INDEX(对接源_02物料!$K$4:$K$1203,$AE76-1200)))/IF($AE76&lt;=1200,N(INDEX(对接源_01水果!$H$4:$H$1203,$AE76)),N(INDEX(对接源_02物料!$H$4:$H$1203,$AE76-1200))),2)))</f>
        <v/>
      </c>
      <c r="H76" s="55" t="str">
        <f>IF($AE76="","",IF($AE76&lt;=1200,IF(INDEX(对接源_01水果!$K$4:$K$1203,$AE76)=0,"",INDEX(对接源_01水果!$K$4:$K$1203,$AE76)),IF(INDEX(对接源_02物料!$K$4:$K$1203,$AE76-1200)=0,"",INDEX(对接源_02物料!$K$4:$K$1203,$AE76-1200))))</f>
        <v/>
      </c>
      <c r="I76" s="53" t="str">
        <f>IF($AE76="","",IF($AE76&lt;=1200,IF(INDEX(对接源_01水果!$L$4:$L$1203,$AE76)=0,"",INDEX(对接源_01水果!$L$4:$L$1203,$AE76)),IF(INDEX(对接源_02物料!$L$4:$L$1203,$AE76-1200)=0,"",INDEX(对接源_02物料!$L$4:$L$1203,$AE76-1200))))</f>
        <v/>
      </c>
      <c r="J76" s="106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07" t="str">
        <f>IFERROR(MATCH(71,_自动清单!$AS$4:$AS$2403,0),"")</f>
        <v/>
      </c>
    </row>
    <row r="77" ht="18" customHeight="1" spans="1:31">
      <c r="A77" s="52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3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06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53" t="str">
        <f>IF($AE77="","",IF(IF($AE77&lt;=1200,IF(INDEX(对接源_01水果!$G$4:$G$1203,$AE77)=0,"",INDEX(对接源_01水果!$G$4:$G$1203,$AE77)),IF(INDEX(对接源_02物料!$G$4:$G$1203,$AE77-1200)=0,"",INDEX(对接源_02物料!$G$4:$G$1203,$AE77-1200)))="",IF($AE77&lt;=1200,IF(INDEX(对接源_01水果!$D$4:$D$1203,$AE77)=0,"",INDEX(对接源_01水果!$D$4:$D$1203,$AE77)),IF(INDEX(对接源_02物料!$D$4:$D$1203,$AE77-1200)=0,"",INDEX(对接源_02物料!$D$4:$D$1203,$AE77-1200))),IF($AE77&lt;=1200,IF(INDEX(对接源_01水果!$G$4:$G$1203,$AE77)=0,"",INDEX(对接源_01水果!$G$4:$G$1203,$AE77)),IF(INDEX(对接源_02物料!$G$4:$G$1203,$AE77-1200)=0,"",INDEX(对接源_02物料!$G$4:$G$1203,$AE77-1200)))))</f>
        <v/>
      </c>
      <c r="E77" s="55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53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55" t="str">
        <f>IF($AE77="","",IF(IF($AE77&lt;=1200,N(INDEX(对接源_01水果!$H$4:$H$1203,$AE77)),N(INDEX(对接源_02物料!$H$4:$H$1203,$AE77-1200)))=0,"",ROUND(IF($AE77&lt;=1200,N(INDEX(对接源_01水果!$K$4:$K$1203,$AE77)),N(INDEX(对接源_02物料!$K$4:$K$1203,$AE77-1200)))/IF($AE77&lt;=1200,N(INDEX(对接源_01水果!$H$4:$H$1203,$AE77)),N(INDEX(对接源_02物料!$H$4:$H$1203,$AE77-1200))),2)))</f>
        <v/>
      </c>
      <c r="H77" s="55" t="str">
        <f>IF($AE77="","",IF($AE77&lt;=1200,IF(INDEX(对接源_01水果!$K$4:$K$1203,$AE77)=0,"",INDEX(对接源_01水果!$K$4:$K$1203,$AE77)),IF(INDEX(对接源_02物料!$K$4:$K$1203,$AE77-1200)=0,"",INDEX(对接源_02物料!$K$4:$K$1203,$AE77-1200))))</f>
        <v/>
      </c>
      <c r="I77" s="53" t="str">
        <f>IF($AE77="","",IF($AE77&lt;=1200,IF(INDEX(对接源_01水果!$L$4:$L$1203,$AE77)=0,"",INDEX(对接源_01水果!$L$4:$L$1203,$AE77)),IF(INDEX(对接源_02物料!$L$4:$L$1203,$AE77-1200)=0,"",INDEX(对接源_02物料!$L$4:$L$1203,$AE77-1200))))</f>
        <v/>
      </c>
      <c r="J77" s="106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07" t="str">
        <f>IFERROR(MATCH(72,_自动清单!$AS$4:$AS$2403,0),"")</f>
        <v/>
      </c>
    </row>
    <row r="78" ht="18" customHeight="1" spans="1:31">
      <c r="A78" s="52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3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106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53" t="str">
        <f>IF($AE78="","",IF(IF($AE78&lt;=1200,IF(INDEX(对接源_01水果!$G$4:$G$1203,$AE78)=0,"",INDEX(对接源_01水果!$G$4:$G$1203,$AE78)),IF(INDEX(对接源_02物料!$G$4:$G$1203,$AE78-1200)=0,"",INDEX(对接源_02物料!$G$4:$G$1203,$AE78-1200)))="",IF($AE78&lt;=1200,IF(INDEX(对接源_01水果!$D$4:$D$1203,$AE78)=0,"",INDEX(对接源_01水果!$D$4:$D$1203,$AE78)),IF(INDEX(对接源_02物料!$D$4:$D$1203,$AE78-1200)=0,"",INDEX(对接源_02物料!$D$4:$D$1203,$AE78-1200))),IF($AE78&lt;=1200,IF(INDEX(对接源_01水果!$G$4:$G$1203,$AE78)=0,"",INDEX(对接源_01水果!$G$4:$G$1203,$AE78)),IF(INDEX(对接源_02物料!$G$4:$G$1203,$AE78-1200)=0,"",INDEX(对接源_02物料!$G$4:$G$1203,$AE78-1200)))))</f>
        <v/>
      </c>
      <c r="E78" s="55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53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5" t="str">
        <f>IF($AE78="","",IF(IF($AE78&lt;=1200,N(INDEX(对接源_01水果!$H$4:$H$1203,$AE78)),N(INDEX(对接源_02物料!$H$4:$H$1203,$AE78-1200)))=0,"",ROUND(IF($AE78&lt;=1200,N(INDEX(对接源_01水果!$K$4:$K$1203,$AE78)),N(INDEX(对接源_02物料!$K$4:$K$1203,$AE78-1200)))/IF($AE78&lt;=1200,N(INDEX(对接源_01水果!$H$4:$H$1203,$AE78)),N(INDEX(对接源_02物料!$H$4:$H$1203,$AE78-1200))),2)))</f>
        <v/>
      </c>
      <c r="H78" s="55" t="str">
        <f>IF($AE78="","",IF($AE78&lt;=1200,IF(INDEX(对接源_01水果!$K$4:$K$1203,$AE78)=0,"",INDEX(对接源_01水果!$K$4:$K$1203,$AE78)),IF(INDEX(对接源_02物料!$K$4:$K$1203,$AE78-1200)=0,"",INDEX(对接源_02物料!$K$4:$K$1203,$AE78-1200))))</f>
        <v/>
      </c>
      <c r="I78" s="53" t="str">
        <f>IF($AE78="","",IF($AE78&lt;=1200,IF(INDEX(对接源_01水果!$L$4:$L$1203,$AE78)=0,"",INDEX(对接源_01水果!$L$4:$L$1203,$AE78)),IF(INDEX(对接源_02物料!$L$4:$L$1203,$AE78-1200)=0,"",INDEX(对接源_02物料!$L$4:$L$1203,$AE78-1200))))</f>
        <v/>
      </c>
      <c r="J78" s="106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07" t="str">
        <f>IFERROR(MATCH(73,_自动清单!$AS$4:$AS$2403,0),"")</f>
        <v/>
      </c>
    </row>
    <row r="79" ht="18" customHeight="1" spans="1:31">
      <c r="A79" s="52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3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06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53" t="str">
        <f>IF($AE79="","",IF(IF($AE79&lt;=1200,IF(INDEX(对接源_01水果!$G$4:$G$1203,$AE79)=0,"",INDEX(对接源_01水果!$G$4:$G$1203,$AE79)),IF(INDEX(对接源_02物料!$G$4:$G$1203,$AE79-1200)=0,"",INDEX(对接源_02物料!$G$4:$G$1203,$AE79-1200)))="",IF($AE79&lt;=1200,IF(INDEX(对接源_01水果!$D$4:$D$1203,$AE79)=0,"",INDEX(对接源_01水果!$D$4:$D$1203,$AE79)),IF(INDEX(对接源_02物料!$D$4:$D$1203,$AE79-1200)=0,"",INDEX(对接源_02物料!$D$4:$D$1203,$AE79-1200))),IF($AE79&lt;=1200,IF(INDEX(对接源_01水果!$G$4:$G$1203,$AE79)=0,"",INDEX(对接源_01水果!$G$4:$G$1203,$AE79)),IF(INDEX(对接源_02物料!$G$4:$G$1203,$AE79-1200)=0,"",INDEX(对接源_02物料!$G$4:$G$1203,$AE79-1200)))))</f>
        <v/>
      </c>
      <c r="E79" s="55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53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5" t="str">
        <f>IF($AE79="","",IF(IF($AE79&lt;=1200,N(INDEX(对接源_01水果!$H$4:$H$1203,$AE79)),N(INDEX(对接源_02物料!$H$4:$H$1203,$AE79-1200)))=0,"",ROUND(IF($AE79&lt;=1200,N(INDEX(对接源_01水果!$K$4:$K$1203,$AE79)),N(INDEX(对接源_02物料!$K$4:$K$1203,$AE79-1200)))/IF($AE79&lt;=1200,N(INDEX(对接源_01水果!$H$4:$H$1203,$AE79)),N(INDEX(对接源_02物料!$H$4:$H$1203,$AE79-1200))),2)))</f>
        <v/>
      </c>
      <c r="H79" s="55" t="str">
        <f>IF($AE79="","",IF($AE79&lt;=1200,IF(INDEX(对接源_01水果!$K$4:$K$1203,$AE79)=0,"",INDEX(对接源_01水果!$K$4:$K$1203,$AE79)),IF(INDEX(对接源_02物料!$K$4:$K$1203,$AE79-1200)=0,"",INDEX(对接源_02物料!$K$4:$K$1203,$AE79-1200))))</f>
        <v/>
      </c>
      <c r="I79" s="53" t="str">
        <f>IF($AE79="","",IF($AE79&lt;=1200,IF(INDEX(对接源_01水果!$L$4:$L$1203,$AE79)=0,"",INDEX(对接源_01水果!$L$4:$L$1203,$AE79)),IF(INDEX(对接源_02物料!$L$4:$L$1203,$AE79-1200)=0,"",INDEX(对接源_02物料!$L$4:$L$1203,$AE79-1200))))</f>
        <v/>
      </c>
      <c r="J79" s="106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07" t="str">
        <f>IFERROR(MATCH(74,_自动清单!$AS$4:$AS$2403,0),"")</f>
        <v/>
      </c>
    </row>
    <row r="80" ht="18" customHeight="1" spans="1:31">
      <c r="A80" s="52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3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106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53" t="str">
        <f>IF($AE80="","",IF(IF($AE80&lt;=1200,IF(INDEX(对接源_01水果!$G$4:$G$1203,$AE80)=0,"",INDEX(对接源_01水果!$G$4:$G$1203,$AE80)),IF(INDEX(对接源_02物料!$G$4:$G$1203,$AE80-1200)=0,"",INDEX(对接源_02物料!$G$4:$G$1203,$AE80-1200)))="",IF($AE80&lt;=1200,IF(INDEX(对接源_01水果!$D$4:$D$1203,$AE80)=0,"",INDEX(对接源_01水果!$D$4:$D$1203,$AE80)),IF(INDEX(对接源_02物料!$D$4:$D$1203,$AE80-1200)=0,"",INDEX(对接源_02物料!$D$4:$D$1203,$AE80-1200))),IF($AE80&lt;=1200,IF(INDEX(对接源_01水果!$G$4:$G$1203,$AE80)=0,"",INDEX(对接源_01水果!$G$4:$G$1203,$AE80)),IF(INDEX(对接源_02物料!$G$4:$G$1203,$AE80-1200)=0,"",INDEX(对接源_02物料!$G$4:$G$1203,$AE80-1200)))))</f>
        <v/>
      </c>
      <c r="E80" s="55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53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5" t="str">
        <f>IF($AE80="","",IF(IF($AE80&lt;=1200,N(INDEX(对接源_01水果!$H$4:$H$1203,$AE80)),N(INDEX(对接源_02物料!$H$4:$H$1203,$AE80-1200)))=0,"",ROUND(IF($AE80&lt;=1200,N(INDEX(对接源_01水果!$K$4:$K$1203,$AE80)),N(INDEX(对接源_02物料!$K$4:$K$1203,$AE80-1200)))/IF($AE80&lt;=1200,N(INDEX(对接源_01水果!$H$4:$H$1203,$AE80)),N(INDEX(对接源_02物料!$H$4:$H$1203,$AE80-1200))),2)))</f>
        <v/>
      </c>
      <c r="H80" s="55" t="str">
        <f>IF($AE80="","",IF($AE80&lt;=1200,IF(INDEX(对接源_01水果!$K$4:$K$1203,$AE80)=0,"",INDEX(对接源_01水果!$K$4:$K$1203,$AE80)),IF(INDEX(对接源_02物料!$K$4:$K$1203,$AE80-1200)=0,"",INDEX(对接源_02物料!$K$4:$K$1203,$AE80-1200))))</f>
        <v/>
      </c>
      <c r="I80" s="53" t="str">
        <f>IF($AE80="","",IF($AE80&lt;=1200,IF(INDEX(对接源_01水果!$L$4:$L$1203,$AE80)=0,"",INDEX(对接源_01水果!$L$4:$L$1203,$AE80)),IF(INDEX(对接源_02物料!$L$4:$L$1203,$AE80-1200)=0,"",INDEX(对接源_02物料!$L$4:$L$1203,$AE80-1200))))</f>
        <v/>
      </c>
      <c r="J80" s="106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07" t="str">
        <f>IFERROR(MATCH(75,_自动清单!$AS$4:$AS$2403,0),"")</f>
        <v/>
      </c>
    </row>
    <row r="81" ht="18" customHeight="1" spans="1:31">
      <c r="A81" s="52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3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06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53" t="str">
        <f>IF($AE81="","",IF(IF($AE81&lt;=1200,IF(INDEX(对接源_01水果!$G$4:$G$1203,$AE81)=0,"",INDEX(对接源_01水果!$G$4:$G$1203,$AE81)),IF(INDEX(对接源_02物料!$G$4:$G$1203,$AE81-1200)=0,"",INDEX(对接源_02物料!$G$4:$G$1203,$AE81-1200)))="",IF($AE81&lt;=1200,IF(INDEX(对接源_01水果!$D$4:$D$1203,$AE81)=0,"",INDEX(对接源_01水果!$D$4:$D$1203,$AE81)),IF(INDEX(对接源_02物料!$D$4:$D$1203,$AE81-1200)=0,"",INDEX(对接源_02物料!$D$4:$D$1203,$AE81-1200))),IF($AE81&lt;=1200,IF(INDEX(对接源_01水果!$G$4:$G$1203,$AE81)=0,"",INDEX(对接源_01水果!$G$4:$G$1203,$AE81)),IF(INDEX(对接源_02物料!$G$4:$G$1203,$AE81-1200)=0,"",INDEX(对接源_02物料!$G$4:$G$1203,$AE81-1200)))))</f>
        <v/>
      </c>
      <c r="E81" s="55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53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55" t="str">
        <f>IF($AE81="","",IF(IF($AE81&lt;=1200,N(INDEX(对接源_01水果!$H$4:$H$1203,$AE81)),N(INDEX(对接源_02物料!$H$4:$H$1203,$AE81-1200)))=0,"",ROUND(IF($AE81&lt;=1200,N(INDEX(对接源_01水果!$K$4:$K$1203,$AE81)),N(INDEX(对接源_02物料!$K$4:$K$1203,$AE81-1200)))/IF($AE81&lt;=1200,N(INDEX(对接源_01水果!$H$4:$H$1203,$AE81)),N(INDEX(对接源_02物料!$H$4:$H$1203,$AE81-1200))),2)))</f>
        <v/>
      </c>
      <c r="H81" s="55" t="str">
        <f>IF($AE81="","",IF($AE81&lt;=1200,IF(INDEX(对接源_01水果!$K$4:$K$1203,$AE81)=0,"",INDEX(对接源_01水果!$K$4:$K$1203,$AE81)),IF(INDEX(对接源_02物料!$K$4:$K$1203,$AE81-1200)=0,"",INDEX(对接源_02物料!$K$4:$K$1203,$AE81-1200))))</f>
        <v/>
      </c>
      <c r="I81" s="53" t="str">
        <f>IF($AE81="","",IF($AE81&lt;=1200,IF(INDEX(对接源_01水果!$L$4:$L$1203,$AE81)=0,"",INDEX(对接源_01水果!$L$4:$L$1203,$AE81)),IF(INDEX(对接源_02物料!$L$4:$L$1203,$AE81-1200)=0,"",INDEX(对接源_02物料!$L$4:$L$1203,$AE81-1200))))</f>
        <v/>
      </c>
      <c r="J81" s="106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07" t="str">
        <f>IFERROR(MATCH(76,_自动清单!$AS$4:$AS$2403,0),"")</f>
        <v/>
      </c>
    </row>
    <row r="82" ht="18" customHeight="1" spans="1:31">
      <c r="A82" s="52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3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106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53" t="str">
        <f>IF($AE82="","",IF(IF($AE82&lt;=1200,IF(INDEX(对接源_01水果!$G$4:$G$1203,$AE82)=0,"",INDEX(对接源_01水果!$G$4:$G$1203,$AE82)),IF(INDEX(对接源_02物料!$G$4:$G$1203,$AE82-1200)=0,"",INDEX(对接源_02物料!$G$4:$G$1203,$AE82-1200)))="",IF($AE82&lt;=1200,IF(INDEX(对接源_01水果!$D$4:$D$1203,$AE82)=0,"",INDEX(对接源_01水果!$D$4:$D$1203,$AE82)),IF(INDEX(对接源_02物料!$D$4:$D$1203,$AE82-1200)=0,"",INDEX(对接源_02物料!$D$4:$D$1203,$AE82-1200))),IF($AE82&lt;=1200,IF(INDEX(对接源_01水果!$G$4:$G$1203,$AE82)=0,"",INDEX(对接源_01水果!$G$4:$G$1203,$AE82)),IF(INDEX(对接源_02物料!$G$4:$G$1203,$AE82-1200)=0,"",INDEX(对接源_02物料!$G$4:$G$1203,$AE82-1200)))))</f>
        <v/>
      </c>
      <c r="E82" s="55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53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5" t="str">
        <f>IF($AE82="","",IF(IF($AE82&lt;=1200,N(INDEX(对接源_01水果!$H$4:$H$1203,$AE82)),N(INDEX(对接源_02物料!$H$4:$H$1203,$AE82-1200)))=0,"",ROUND(IF($AE82&lt;=1200,N(INDEX(对接源_01水果!$K$4:$K$1203,$AE82)),N(INDEX(对接源_02物料!$K$4:$K$1203,$AE82-1200)))/IF($AE82&lt;=1200,N(INDEX(对接源_01水果!$H$4:$H$1203,$AE82)),N(INDEX(对接源_02物料!$H$4:$H$1203,$AE82-1200))),2)))</f>
        <v/>
      </c>
      <c r="H82" s="55" t="str">
        <f>IF($AE82="","",IF($AE82&lt;=1200,IF(INDEX(对接源_01水果!$K$4:$K$1203,$AE82)=0,"",INDEX(对接源_01水果!$K$4:$K$1203,$AE82)),IF(INDEX(对接源_02物料!$K$4:$K$1203,$AE82-1200)=0,"",INDEX(对接源_02物料!$K$4:$K$1203,$AE82-1200))))</f>
        <v/>
      </c>
      <c r="I82" s="53" t="str">
        <f>IF($AE82="","",IF($AE82&lt;=1200,IF(INDEX(对接源_01水果!$L$4:$L$1203,$AE82)=0,"",INDEX(对接源_01水果!$L$4:$L$1203,$AE82)),IF(INDEX(对接源_02物料!$L$4:$L$1203,$AE82-1200)=0,"",INDEX(对接源_02物料!$L$4:$L$1203,$AE82-1200))))</f>
        <v/>
      </c>
      <c r="J82" s="106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07" t="str">
        <f>IFERROR(MATCH(77,_自动清单!$AS$4:$AS$2403,0),"")</f>
        <v/>
      </c>
    </row>
    <row r="83" ht="18" customHeight="1" spans="1:31">
      <c r="A83" s="52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3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06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53" t="str">
        <f>IF($AE83="","",IF(IF($AE83&lt;=1200,IF(INDEX(对接源_01水果!$G$4:$G$1203,$AE83)=0,"",INDEX(对接源_01水果!$G$4:$G$1203,$AE83)),IF(INDEX(对接源_02物料!$G$4:$G$1203,$AE83-1200)=0,"",INDEX(对接源_02物料!$G$4:$G$1203,$AE83-1200)))="",IF($AE83&lt;=1200,IF(INDEX(对接源_01水果!$D$4:$D$1203,$AE83)=0,"",INDEX(对接源_01水果!$D$4:$D$1203,$AE83)),IF(INDEX(对接源_02物料!$D$4:$D$1203,$AE83-1200)=0,"",INDEX(对接源_02物料!$D$4:$D$1203,$AE83-1200))),IF($AE83&lt;=1200,IF(INDEX(对接源_01水果!$G$4:$G$1203,$AE83)=0,"",INDEX(对接源_01水果!$G$4:$G$1203,$AE83)),IF(INDEX(对接源_02物料!$G$4:$G$1203,$AE83-1200)=0,"",INDEX(对接源_02物料!$G$4:$G$1203,$AE83-1200)))))</f>
        <v/>
      </c>
      <c r="E83" s="55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53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5" t="str">
        <f>IF($AE83="","",IF(IF($AE83&lt;=1200,N(INDEX(对接源_01水果!$H$4:$H$1203,$AE83)),N(INDEX(对接源_02物料!$H$4:$H$1203,$AE83-1200)))=0,"",ROUND(IF($AE83&lt;=1200,N(INDEX(对接源_01水果!$K$4:$K$1203,$AE83)),N(INDEX(对接源_02物料!$K$4:$K$1203,$AE83-1200)))/IF($AE83&lt;=1200,N(INDEX(对接源_01水果!$H$4:$H$1203,$AE83)),N(INDEX(对接源_02物料!$H$4:$H$1203,$AE83-1200))),2)))</f>
        <v/>
      </c>
      <c r="H83" s="55" t="str">
        <f>IF($AE83="","",IF($AE83&lt;=1200,IF(INDEX(对接源_01水果!$K$4:$K$1203,$AE83)=0,"",INDEX(对接源_01水果!$K$4:$K$1203,$AE83)),IF(INDEX(对接源_02物料!$K$4:$K$1203,$AE83-1200)=0,"",INDEX(对接源_02物料!$K$4:$K$1203,$AE83-1200))))</f>
        <v/>
      </c>
      <c r="I83" s="53" t="str">
        <f>IF($AE83="","",IF($AE83&lt;=1200,IF(INDEX(对接源_01水果!$L$4:$L$1203,$AE83)=0,"",INDEX(对接源_01水果!$L$4:$L$1203,$AE83)),IF(INDEX(对接源_02物料!$L$4:$L$1203,$AE83-1200)=0,"",INDEX(对接源_02物料!$L$4:$L$1203,$AE83-1200))))</f>
        <v/>
      </c>
      <c r="J83" s="106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07" t="str">
        <f>IFERROR(MATCH(78,_自动清单!$AS$4:$AS$2403,0),"")</f>
        <v/>
      </c>
    </row>
    <row r="84" ht="18" customHeight="1" spans="1:31">
      <c r="A84" s="52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3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106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53" t="str">
        <f>IF($AE84="","",IF(IF($AE84&lt;=1200,IF(INDEX(对接源_01水果!$G$4:$G$1203,$AE84)=0,"",INDEX(对接源_01水果!$G$4:$G$1203,$AE84)),IF(INDEX(对接源_02物料!$G$4:$G$1203,$AE84-1200)=0,"",INDEX(对接源_02物料!$G$4:$G$1203,$AE84-1200)))="",IF($AE84&lt;=1200,IF(INDEX(对接源_01水果!$D$4:$D$1203,$AE84)=0,"",INDEX(对接源_01水果!$D$4:$D$1203,$AE84)),IF(INDEX(对接源_02物料!$D$4:$D$1203,$AE84-1200)=0,"",INDEX(对接源_02物料!$D$4:$D$1203,$AE84-1200))),IF($AE84&lt;=1200,IF(INDEX(对接源_01水果!$G$4:$G$1203,$AE84)=0,"",INDEX(对接源_01水果!$G$4:$G$1203,$AE84)),IF(INDEX(对接源_02物料!$G$4:$G$1203,$AE84-1200)=0,"",INDEX(对接源_02物料!$G$4:$G$1203,$AE84-1200)))))</f>
        <v/>
      </c>
      <c r="E84" s="55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53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5" t="str">
        <f>IF($AE84="","",IF(IF($AE84&lt;=1200,N(INDEX(对接源_01水果!$H$4:$H$1203,$AE84)),N(INDEX(对接源_02物料!$H$4:$H$1203,$AE84-1200)))=0,"",ROUND(IF($AE84&lt;=1200,N(INDEX(对接源_01水果!$K$4:$K$1203,$AE84)),N(INDEX(对接源_02物料!$K$4:$K$1203,$AE84-1200)))/IF($AE84&lt;=1200,N(INDEX(对接源_01水果!$H$4:$H$1203,$AE84)),N(INDEX(对接源_02物料!$H$4:$H$1203,$AE84-1200))),2)))</f>
        <v/>
      </c>
      <c r="H84" s="55" t="str">
        <f>IF($AE84="","",IF($AE84&lt;=1200,IF(INDEX(对接源_01水果!$K$4:$K$1203,$AE84)=0,"",INDEX(对接源_01水果!$K$4:$K$1203,$AE84)),IF(INDEX(对接源_02物料!$K$4:$K$1203,$AE84-1200)=0,"",INDEX(对接源_02物料!$K$4:$K$1203,$AE84-1200))))</f>
        <v/>
      </c>
      <c r="I84" s="53" t="str">
        <f>IF($AE84="","",IF($AE84&lt;=1200,IF(INDEX(对接源_01水果!$L$4:$L$1203,$AE84)=0,"",INDEX(对接源_01水果!$L$4:$L$1203,$AE84)),IF(INDEX(对接源_02物料!$L$4:$L$1203,$AE84-1200)=0,"",INDEX(对接源_02物料!$L$4:$L$1203,$AE84-1200))))</f>
        <v/>
      </c>
      <c r="J84" s="106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07" t="str">
        <f>IFERROR(MATCH(79,_自动清单!$AS$4:$AS$2403,0),"")</f>
        <v/>
      </c>
    </row>
    <row r="85" ht="18" customHeight="1" spans="1:31">
      <c r="A85" s="52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3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06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53" t="str">
        <f>IF($AE85="","",IF(IF($AE85&lt;=1200,IF(INDEX(对接源_01水果!$G$4:$G$1203,$AE85)=0,"",INDEX(对接源_01水果!$G$4:$G$1203,$AE85)),IF(INDEX(对接源_02物料!$G$4:$G$1203,$AE85-1200)=0,"",INDEX(对接源_02物料!$G$4:$G$1203,$AE85-1200)))="",IF($AE85&lt;=1200,IF(INDEX(对接源_01水果!$D$4:$D$1203,$AE85)=0,"",INDEX(对接源_01水果!$D$4:$D$1203,$AE85)),IF(INDEX(对接源_02物料!$D$4:$D$1203,$AE85-1200)=0,"",INDEX(对接源_02物料!$D$4:$D$1203,$AE85-1200))),IF($AE85&lt;=1200,IF(INDEX(对接源_01水果!$G$4:$G$1203,$AE85)=0,"",INDEX(对接源_01水果!$G$4:$G$1203,$AE85)),IF(INDEX(对接源_02物料!$G$4:$G$1203,$AE85-1200)=0,"",INDEX(对接源_02物料!$G$4:$G$1203,$AE85-1200)))))</f>
        <v/>
      </c>
      <c r="E85" s="55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53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55" t="str">
        <f>IF($AE85="","",IF(IF($AE85&lt;=1200,N(INDEX(对接源_01水果!$H$4:$H$1203,$AE85)),N(INDEX(对接源_02物料!$H$4:$H$1203,$AE85-1200)))=0,"",ROUND(IF($AE85&lt;=1200,N(INDEX(对接源_01水果!$K$4:$K$1203,$AE85)),N(INDEX(对接源_02物料!$K$4:$K$1203,$AE85-1200)))/IF($AE85&lt;=1200,N(INDEX(对接源_01水果!$H$4:$H$1203,$AE85)),N(INDEX(对接源_02物料!$H$4:$H$1203,$AE85-1200))),2)))</f>
        <v/>
      </c>
      <c r="H85" s="55" t="str">
        <f>IF($AE85="","",IF($AE85&lt;=1200,IF(INDEX(对接源_01水果!$K$4:$K$1203,$AE85)=0,"",INDEX(对接源_01水果!$K$4:$K$1203,$AE85)),IF(INDEX(对接源_02物料!$K$4:$K$1203,$AE85-1200)=0,"",INDEX(对接源_02物料!$K$4:$K$1203,$AE85-1200))))</f>
        <v/>
      </c>
      <c r="I85" s="53" t="str">
        <f>IF($AE85="","",IF($AE85&lt;=1200,IF(INDEX(对接源_01水果!$L$4:$L$1203,$AE85)=0,"",INDEX(对接源_01水果!$L$4:$L$1203,$AE85)),IF(INDEX(对接源_02物料!$L$4:$L$1203,$AE85-1200)=0,"",INDEX(对接源_02物料!$L$4:$L$1203,$AE85-1200))))</f>
        <v/>
      </c>
      <c r="J85" s="106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07" t="str">
        <f>IFERROR(MATCH(80,_自动清单!$AS$4:$AS$2403,0),"")</f>
        <v/>
      </c>
    </row>
    <row r="86" ht="18" customHeight="1" spans="1:31">
      <c r="A86" s="52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3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106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53" t="str">
        <f>IF($AE86="","",IF(IF($AE86&lt;=1200,IF(INDEX(对接源_01水果!$G$4:$G$1203,$AE86)=0,"",INDEX(对接源_01水果!$G$4:$G$1203,$AE86)),IF(INDEX(对接源_02物料!$G$4:$G$1203,$AE86-1200)=0,"",INDEX(对接源_02物料!$G$4:$G$1203,$AE86-1200)))="",IF($AE86&lt;=1200,IF(INDEX(对接源_01水果!$D$4:$D$1203,$AE86)=0,"",INDEX(对接源_01水果!$D$4:$D$1203,$AE86)),IF(INDEX(对接源_02物料!$D$4:$D$1203,$AE86-1200)=0,"",INDEX(对接源_02物料!$D$4:$D$1203,$AE86-1200))),IF($AE86&lt;=1200,IF(INDEX(对接源_01水果!$G$4:$G$1203,$AE86)=0,"",INDEX(对接源_01水果!$G$4:$G$1203,$AE86)),IF(INDEX(对接源_02物料!$G$4:$G$1203,$AE86-1200)=0,"",INDEX(对接源_02物料!$G$4:$G$1203,$AE86-1200)))))</f>
        <v/>
      </c>
      <c r="E86" s="55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53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5" t="str">
        <f>IF($AE86="","",IF(IF($AE86&lt;=1200,N(INDEX(对接源_01水果!$H$4:$H$1203,$AE86)),N(INDEX(对接源_02物料!$H$4:$H$1203,$AE86-1200)))=0,"",ROUND(IF($AE86&lt;=1200,N(INDEX(对接源_01水果!$K$4:$K$1203,$AE86)),N(INDEX(对接源_02物料!$K$4:$K$1203,$AE86-1200)))/IF($AE86&lt;=1200,N(INDEX(对接源_01水果!$H$4:$H$1203,$AE86)),N(INDEX(对接源_02物料!$H$4:$H$1203,$AE86-1200))),2)))</f>
        <v/>
      </c>
      <c r="H86" s="55" t="str">
        <f>IF($AE86="","",IF($AE86&lt;=1200,IF(INDEX(对接源_01水果!$K$4:$K$1203,$AE86)=0,"",INDEX(对接源_01水果!$K$4:$K$1203,$AE86)),IF(INDEX(对接源_02物料!$K$4:$K$1203,$AE86-1200)=0,"",INDEX(对接源_02物料!$K$4:$K$1203,$AE86-1200))))</f>
        <v/>
      </c>
      <c r="I86" s="53" t="str">
        <f>IF($AE86="","",IF($AE86&lt;=1200,IF(INDEX(对接源_01水果!$L$4:$L$1203,$AE86)=0,"",INDEX(对接源_01水果!$L$4:$L$1203,$AE86)),IF(INDEX(对接源_02物料!$L$4:$L$1203,$AE86-1200)=0,"",INDEX(对接源_02物料!$L$4:$L$1203,$AE86-1200))))</f>
        <v/>
      </c>
      <c r="J86" s="106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07" t="str">
        <f>IFERROR(MATCH(81,_自动清单!$AS$4:$AS$2403,0),"")</f>
        <v/>
      </c>
    </row>
    <row r="87" ht="18" customHeight="1" spans="1:31">
      <c r="A87" s="52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3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06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53" t="str">
        <f>IF($AE87="","",IF(IF($AE87&lt;=1200,IF(INDEX(对接源_01水果!$G$4:$G$1203,$AE87)=0,"",INDEX(对接源_01水果!$G$4:$G$1203,$AE87)),IF(INDEX(对接源_02物料!$G$4:$G$1203,$AE87-1200)=0,"",INDEX(对接源_02物料!$G$4:$G$1203,$AE87-1200)))="",IF($AE87&lt;=1200,IF(INDEX(对接源_01水果!$D$4:$D$1203,$AE87)=0,"",INDEX(对接源_01水果!$D$4:$D$1203,$AE87)),IF(INDEX(对接源_02物料!$D$4:$D$1203,$AE87-1200)=0,"",INDEX(对接源_02物料!$D$4:$D$1203,$AE87-1200))),IF($AE87&lt;=1200,IF(INDEX(对接源_01水果!$G$4:$G$1203,$AE87)=0,"",INDEX(对接源_01水果!$G$4:$G$1203,$AE87)),IF(INDEX(对接源_02物料!$G$4:$G$1203,$AE87-1200)=0,"",INDEX(对接源_02物料!$G$4:$G$1203,$AE87-1200)))))</f>
        <v/>
      </c>
      <c r="E87" s="55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53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5" t="str">
        <f>IF($AE87="","",IF(IF($AE87&lt;=1200,N(INDEX(对接源_01水果!$H$4:$H$1203,$AE87)),N(INDEX(对接源_02物料!$H$4:$H$1203,$AE87-1200)))=0,"",ROUND(IF($AE87&lt;=1200,N(INDEX(对接源_01水果!$K$4:$K$1203,$AE87)),N(INDEX(对接源_02物料!$K$4:$K$1203,$AE87-1200)))/IF($AE87&lt;=1200,N(INDEX(对接源_01水果!$H$4:$H$1203,$AE87)),N(INDEX(对接源_02物料!$H$4:$H$1203,$AE87-1200))),2)))</f>
        <v/>
      </c>
      <c r="H87" s="55" t="str">
        <f>IF($AE87="","",IF($AE87&lt;=1200,IF(INDEX(对接源_01水果!$K$4:$K$1203,$AE87)=0,"",INDEX(对接源_01水果!$K$4:$K$1203,$AE87)),IF(INDEX(对接源_02物料!$K$4:$K$1203,$AE87-1200)=0,"",INDEX(对接源_02物料!$K$4:$K$1203,$AE87-1200))))</f>
        <v/>
      </c>
      <c r="I87" s="53" t="str">
        <f>IF($AE87="","",IF($AE87&lt;=1200,IF(INDEX(对接源_01水果!$L$4:$L$1203,$AE87)=0,"",INDEX(对接源_01水果!$L$4:$L$1203,$AE87)),IF(INDEX(对接源_02物料!$L$4:$L$1203,$AE87-1200)=0,"",INDEX(对接源_02物料!$L$4:$L$1203,$AE87-1200))))</f>
        <v/>
      </c>
      <c r="J87" s="106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07" t="str">
        <f>IFERROR(MATCH(82,_自动清单!$AS$4:$AS$2403,0),"")</f>
        <v/>
      </c>
    </row>
    <row r="88" ht="18" customHeight="1" spans="1:31">
      <c r="A88" s="52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3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106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53" t="str">
        <f>IF($AE88="","",IF(IF($AE88&lt;=1200,IF(INDEX(对接源_01水果!$G$4:$G$1203,$AE88)=0,"",INDEX(对接源_01水果!$G$4:$G$1203,$AE88)),IF(INDEX(对接源_02物料!$G$4:$G$1203,$AE88-1200)=0,"",INDEX(对接源_02物料!$G$4:$G$1203,$AE88-1200)))="",IF($AE88&lt;=1200,IF(INDEX(对接源_01水果!$D$4:$D$1203,$AE88)=0,"",INDEX(对接源_01水果!$D$4:$D$1203,$AE88)),IF(INDEX(对接源_02物料!$D$4:$D$1203,$AE88-1200)=0,"",INDEX(对接源_02物料!$D$4:$D$1203,$AE88-1200))),IF($AE88&lt;=1200,IF(INDEX(对接源_01水果!$G$4:$G$1203,$AE88)=0,"",INDEX(对接源_01水果!$G$4:$G$1203,$AE88)),IF(INDEX(对接源_02物料!$G$4:$G$1203,$AE88-1200)=0,"",INDEX(对接源_02物料!$G$4:$G$1203,$AE88-1200)))))</f>
        <v/>
      </c>
      <c r="E88" s="55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53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5" t="str">
        <f>IF($AE88="","",IF(IF($AE88&lt;=1200,N(INDEX(对接源_01水果!$H$4:$H$1203,$AE88)),N(INDEX(对接源_02物料!$H$4:$H$1203,$AE88-1200)))=0,"",ROUND(IF($AE88&lt;=1200,N(INDEX(对接源_01水果!$K$4:$K$1203,$AE88)),N(INDEX(对接源_02物料!$K$4:$K$1203,$AE88-1200)))/IF($AE88&lt;=1200,N(INDEX(对接源_01水果!$H$4:$H$1203,$AE88)),N(INDEX(对接源_02物料!$H$4:$H$1203,$AE88-1200))),2)))</f>
        <v/>
      </c>
      <c r="H88" s="55" t="str">
        <f>IF($AE88="","",IF($AE88&lt;=1200,IF(INDEX(对接源_01水果!$K$4:$K$1203,$AE88)=0,"",INDEX(对接源_01水果!$K$4:$K$1203,$AE88)),IF(INDEX(对接源_02物料!$K$4:$K$1203,$AE88-1200)=0,"",INDEX(对接源_02物料!$K$4:$K$1203,$AE88-1200))))</f>
        <v/>
      </c>
      <c r="I88" s="53" t="str">
        <f>IF($AE88="","",IF($AE88&lt;=1200,IF(INDEX(对接源_01水果!$L$4:$L$1203,$AE88)=0,"",INDEX(对接源_01水果!$L$4:$L$1203,$AE88)),IF(INDEX(对接源_02物料!$L$4:$L$1203,$AE88-1200)=0,"",INDEX(对接源_02物料!$L$4:$L$1203,$AE88-1200))))</f>
        <v/>
      </c>
      <c r="J88" s="106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07" t="str">
        <f>IFERROR(MATCH(83,_自动清单!$AS$4:$AS$2403,0),"")</f>
        <v/>
      </c>
    </row>
    <row r="89" ht="18" customHeight="1" spans="1:31">
      <c r="A89" s="52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3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06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53" t="str">
        <f>IF($AE89="","",IF(IF($AE89&lt;=1200,IF(INDEX(对接源_01水果!$G$4:$G$1203,$AE89)=0,"",INDEX(对接源_01水果!$G$4:$G$1203,$AE89)),IF(INDEX(对接源_02物料!$G$4:$G$1203,$AE89-1200)=0,"",INDEX(对接源_02物料!$G$4:$G$1203,$AE89-1200)))="",IF($AE89&lt;=1200,IF(INDEX(对接源_01水果!$D$4:$D$1203,$AE89)=0,"",INDEX(对接源_01水果!$D$4:$D$1203,$AE89)),IF(INDEX(对接源_02物料!$D$4:$D$1203,$AE89-1200)=0,"",INDEX(对接源_02物料!$D$4:$D$1203,$AE89-1200))),IF($AE89&lt;=1200,IF(INDEX(对接源_01水果!$G$4:$G$1203,$AE89)=0,"",INDEX(对接源_01水果!$G$4:$G$1203,$AE89)),IF(INDEX(对接源_02物料!$G$4:$G$1203,$AE89-1200)=0,"",INDEX(对接源_02物料!$G$4:$G$1203,$AE89-1200)))))</f>
        <v/>
      </c>
      <c r="E89" s="55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53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55" t="str">
        <f>IF($AE89="","",IF(IF($AE89&lt;=1200,N(INDEX(对接源_01水果!$H$4:$H$1203,$AE89)),N(INDEX(对接源_02物料!$H$4:$H$1203,$AE89-1200)))=0,"",ROUND(IF($AE89&lt;=1200,N(INDEX(对接源_01水果!$K$4:$K$1203,$AE89)),N(INDEX(对接源_02物料!$K$4:$K$1203,$AE89-1200)))/IF($AE89&lt;=1200,N(INDEX(对接源_01水果!$H$4:$H$1203,$AE89)),N(INDEX(对接源_02物料!$H$4:$H$1203,$AE89-1200))),2)))</f>
        <v/>
      </c>
      <c r="H89" s="55" t="str">
        <f>IF($AE89="","",IF($AE89&lt;=1200,IF(INDEX(对接源_01水果!$K$4:$K$1203,$AE89)=0,"",INDEX(对接源_01水果!$K$4:$K$1203,$AE89)),IF(INDEX(对接源_02物料!$K$4:$K$1203,$AE89-1200)=0,"",INDEX(对接源_02物料!$K$4:$K$1203,$AE89-1200))))</f>
        <v/>
      </c>
      <c r="I89" s="53" t="str">
        <f>IF($AE89="","",IF($AE89&lt;=1200,IF(INDEX(对接源_01水果!$L$4:$L$1203,$AE89)=0,"",INDEX(对接源_01水果!$L$4:$L$1203,$AE89)),IF(INDEX(对接源_02物料!$L$4:$L$1203,$AE89-1200)=0,"",INDEX(对接源_02物料!$L$4:$L$1203,$AE89-1200))))</f>
        <v/>
      </c>
      <c r="J89" s="106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07" t="str">
        <f>IFERROR(MATCH(84,_自动清单!$AS$4:$AS$2403,0),"")</f>
        <v/>
      </c>
    </row>
    <row r="90" ht="18" customHeight="1" spans="1:31">
      <c r="A90" s="52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3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106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53" t="str">
        <f>IF($AE90="","",IF(IF($AE90&lt;=1200,IF(INDEX(对接源_01水果!$G$4:$G$1203,$AE90)=0,"",INDEX(对接源_01水果!$G$4:$G$1203,$AE90)),IF(INDEX(对接源_02物料!$G$4:$G$1203,$AE90-1200)=0,"",INDEX(对接源_02物料!$G$4:$G$1203,$AE90-1200)))="",IF($AE90&lt;=1200,IF(INDEX(对接源_01水果!$D$4:$D$1203,$AE90)=0,"",INDEX(对接源_01水果!$D$4:$D$1203,$AE90)),IF(INDEX(对接源_02物料!$D$4:$D$1203,$AE90-1200)=0,"",INDEX(对接源_02物料!$D$4:$D$1203,$AE90-1200))),IF($AE90&lt;=1200,IF(INDEX(对接源_01水果!$G$4:$G$1203,$AE90)=0,"",INDEX(对接源_01水果!$G$4:$G$1203,$AE90)),IF(INDEX(对接源_02物料!$G$4:$G$1203,$AE90-1200)=0,"",INDEX(对接源_02物料!$G$4:$G$1203,$AE90-1200)))))</f>
        <v/>
      </c>
      <c r="E90" s="55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53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5" t="str">
        <f>IF($AE90="","",IF(IF($AE90&lt;=1200,N(INDEX(对接源_01水果!$H$4:$H$1203,$AE90)),N(INDEX(对接源_02物料!$H$4:$H$1203,$AE90-1200)))=0,"",ROUND(IF($AE90&lt;=1200,N(INDEX(对接源_01水果!$K$4:$K$1203,$AE90)),N(INDEX(对接源_02物料!$K$4:$K$1203,$AE90-1200)))/IF($AE90&lt;=1200,N(INDEX(对接源_01水果!$H$4:$H$1203,$AE90)),N(INDEX(对接源_02物料!$H$4:$H$1203,$AE90-1200))),2)))</f>
        <v/>
      </c>
      <c r="H90" s="55" t="str">
        <f>IF($AE90="","",IF($AE90&lt;=1200,IF(INDEX(对接源_01水果!$K$4:$K$1203,$AE90)=0,"",INDEX(对接源_01水果!$K$4:$K$1203,$AE90)),IF(INDEX(对接源_02物料!$K$4:$K$1203,$AE90-1200)=0,"",INDEX(对接源_02物料!$K$4:$K$1203,$AE90-1200))))</f>
        <v/>
      </c>
      <c r="I90" s="53" t="str">
        <f>IF($AE90="","",IF($AE90&lt;=1200,IF(INDEX(对接源_01水果!$L$4:$L$1203,$AE90)=0,"",INDEX(对接源_01水果!$L$4:$L$1203,$AE90)),IF(INDEX(对接源_02物料!$L$4:$L$1203,$AE90-1200)=0,"",INDEX(对接源_02物料!$L$4:$L$1203,$AE90-1200))))</f>
        <v/>
      </c>
      <c r="J90" s="106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07" t="str">
        <f>IFERROR(MATCH(85,_自动清单!$AS$4:$AS$2403,0),"")</f>
        <v/>
      </c>
    </row>
    <row r="91" ht="18" customHeight="1" spans="1:31">
      <c r="A91" s="52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3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06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53" t="str">
        <f>IF($AE91="","",IF(IF($AE91&lt;=1200,IF(INDEX(对接源_01水果!$G$4:$G$1203,$AE91)=0,"",INDEX(对接源_01水果!$G$4:$G$1203,$AE91)),IF(INDEX(对接源_02物料!$G$4:$G$1203,$AE91-1200)=0,"",INDEX(对接源_02物料!$G$4:$G$1203,$AE91-1200)))="",IF($AE91&lt;=1200,IF(INDEX(对接源_01水果!$D$4:$D$1203,$AE91)=0,"",INDEX(对接源_01水果!$D$4:$D$1203,$AE91)),IF(INDEX(对接源_02物料!$D$4:$D$1203,$AE91-1200)=0,"",INDEX(对接源_02物料!$D$4:$D$1203,$AE91-1200))),IF($AE91&lt;=1200,IF(INDEX(对接源_01水果!$G$4:$G$1203,$AE91)=0,"",INDEX(对接源_01水果!$G$4:$G$1203,$AE91)),IF(INDEX(对接源_02物料!$G$4:$G$1203,$AE91-1200)=0,"",INDEX(对接源_02物料!$G$4:$G$1203,$AE91-1200)))))</f>
        <v/>
      </c>
      <c r="E91" s="55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53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5" t="str">
        <f>IF($AE91="","",IF(IF($AE91&lt;=1200,N(INDEX(对接源_01水果!$H$4:$H$1203,$AE91)),N(INDEX(对接源_02物料!$H$4:$H$1203,$AE91-1200)))=0,"",ROUND(IF($AE91&lt;=1200,N(INDEX(对接源_01水果!$K$4:$K$1203,$AE91)),N(INDEX(对接源_02物料!$K$4:$K$1203,$AE91-1200)))/IF($AE91&lt;=1200,N(INDEX(对接源_01水果!$H$4:$H$1203,$AE91)),N(INDEX(对接源_02物料!$H$4:$H$1203,$AE91-1200))),2)))</f>
        <v/>
      </c>
      <c r="H91" s="55" t="str">
        <f>IF($AE91="","",IF($AE91&lt;=1200,IF(INDEX(对接源_01水果!$K$4:$K$1203,$AE91)=0,"",INDEX(对接源_01水果!$K$4:$K$1203,$AE91)),IF(INDEX(对接源_02物料!$K$4:$K$1203,$AE91-1200)=0,"",INDEX(对接源_02物料!$K$4:$K$1203,$AE91-1200))))</f>
        <v/>
      </c>
      <c r="I91" s="53" t="str">
        <f>IF($AE91="","",IF($AE91&lt;=1200,IF(INDEX(对接源_01水果!$L$4:$L$1203,$AE91)=0,"",INDEX(对接源_01水果!$L$4:$L$1203,$AE91)),IF(INDEX(对接源_02物料!$L$4:$L$1203,$AE91-1200)=0,"",INDEX(对接源_02物料!$L$4:$L$1203,$AE91-1200))))</f>
        <v/>
      </c>
      <c r="J91" s="106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07" t="str">
        <f>IFERROR(MATCH(86,_自动清单!$AS$4:$AS$2403,0),"")</f>
        <v/>
      </c>
    </row>
    <row r="92" ht="18" customHeight="1" spans="1:31">
      <c r="A92" s="52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3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106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53" t="str">
        <f>IF($AE92="","",IF(IF($AE92&lt;=1200,IF(INDEX(对接源_01水果!$G$4:$G$1203,$AE92)=0,"",INDEX(对接源_01水果!$G$4:$G$1203,$AE92)),IF(INDEX(对接源_02物料!$G$4:$G$1203,$AE92-1200)=0,"",INDEX(对接源_02物料!$G$4:$G$1203,$AE92-1200)))="",IF($AE92&lt;=1200,IF(INDEX(对接源_01水果!$D$4:$D$1203,$AE92)=0,"",INDEX(对接源_01水果!$D$4:$D$1203,$AE92)),IF(INDEX(对接源_02物料!$D$4:$D$1203,$AE92-1200)=0,"",INDEX(对接源_02物料!$D$4:$D$1203,$AE92-1200))),IF($AE92&lt;=1200,IF(INDEX(对接源_01水果!$G$4:$G$1203,$AE92)=0,"",INDEX(对接源_01水果!$G$4:$G$1203,$AE92)),IF(INDEX(对接源_02物料!$G$4:$G$1203,$AE92-1200)=0,"",INDEX(对接源_02物料!$G$4:$G$1203,$AE92-1200)))))</f>
        <v/>
      </c>
      <c r="E92" s="55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53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5" t="str">
        <f>IF($AE92="","",IF(IF($AE92&lt;=1200,N(INDEX(对接源_01水果!$H$4:$H$1203,$AE92)),N(INDEX(对接源_02物料!$H$4:$H$1203,$AE92-1200)))=0,"",ROUND(IF($AE92&lt;=1200,N(INDEX(对接源_01水果!$K$4:$K$1203,$AE92)),N(INDEX(对接源_02物料!$K$4:$K$1203,$AE92-1200)))/IF($AE92&lt;=1200,N(INDEX(对接源_01水果!$H$4:$H$1203,$AE92)),N(INDEX(对接源_02物料!$H$4:$H$1203,$AE92-1200))),2)))</f>
        <v/>
      </c>
      <c r="H92" s="55" t="str">
        <f>IF($AE92="","",IF($AE92&lt;=1200,IF(INDEX(对接源_01水果!$K$4:$K$1203,$AE92)=0,"",INDEX(对接源_01水果!$K$4:$K$1203,$AE92)),IF(INDEX(对接源_02物料!$K$4:$K$1203,$AE92-1200)=0,"",INDEX(对接源_02物料!$K$4:$K$1203,$AE92-1200))))</f>
        <v/>
      </c>
      <c r="I92" s="53" t="str">
        <f>IF($AE92="","",IF($AE92&lt;=1200,IF(INDEX(对接源_01水果!$L$4:$L$1203,$AE92)=0,"",INDEX(对接源_01水果!$L$4:$L$1203,$AE92)),IF(INDEX(对接源_02物料!$L$4:$L$1203,$AE92-1200)=0,"",INDEX(对接源_02物料!$L$4:$L$1203,$AE92-1200))))</f>
        <v/>
      </c>
      <c r="J92" s="106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07" t="str">
        <f>IFERROR(MATCH(87,_自动清单!$AS$4:$AS$2403,0),"")</f>
        <v/>
      </c>
    </row>
    <row r="93" ht="18" customHeight="1" spans="1:31">
      <c r="A93" s="52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3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06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53" t="str">
        <f>IF($AE93="","",IF(IF($AE93&lt;=1200,IF(INDEX(对接源_01水果!$G$4:$G$1203,$AE93)=0,"",INDEX(对接源_01水果!$G$4:$G$1203,$AE93)),IF(INDEX(对接源_02物料!$G$4:$G$1203,$AE93-1200)=0,"",INDEX(对接源_02物料!$G$4:$G$1203,$AE93-1200)))="",IF($AE93&lt;=1200,IF(INDEX(对接源_01水果!$D$4:$D$1203,$AE93)=0,"",INDEX(对接源_01水果!$D$4:$D$1203,$AE93)),IF(INDEX(对接源_02物料!$D$4:$D$1203,$AE93-1200)=0,"",INDEX(对接源_02物料!$D$4:$D$1203,$AE93-1200))),IF($AE93&lt;=1200,IF(INDEX(对接源_01水果!$G$4:$G$1203,$AE93)=0,"",INDEX(对接源_01水果!$G$4:$G$1203,$AE93)),IF(INDEX(对接源_02物料!$G$4:$G$1203,$AE93-1200)=0,"",INDEX(对接源_02物料!$G$4:$G$1203,$AE93-1200)))))</f>
        <v/>
      </c>
      <c r="E93" s="55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53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55" t="str">
        <f>IF($AE93="","",IF(IF($AE93&lt;=1200,N(INDEX(对接源_01水果!$H$4:$H$1203,$AE93)),N(INDEX(对接源_02物料!$H$4:$H$1203,$AE93-1200)))=0,"",ROUND(IF($AE93&lt;=1200,N(INDEX(对接源_01水果!$K$4:$K$1203,$AE93)),N(INDEX(对接源_02物料!$K$4:$K$1203,$AE93-1200)))/IF($AE93&lt;=1200,N(INDEX(对接源_01水果!$H$4:$H$1203,$AE93)),N(INDEX(对接源_02物料!$H$4:$H$1203,$AE93-1200))),2)))</f>
        <v/>
      </c>
      <c r="H93" s="55" t="str">
        <f>IF($AE93="","",IF($AE93&lt;=1200,IF(INDEX(对接源_01水果!$K$4:$K$1203,$AE93)=0,"",INDEX(对接源_01水果!$K$4:$K$1203,$AE93)),IF(INDEX(对接源_02物料!$K$4:$K$1203,$AE93-1200)=0,"",INDEX(对接源_02物料!$K$4:$K$1203,$AE93-1200))))</f>
        <v/>
      </c>
      <c r="I93" s="53" t="str">
        <f>IF($AE93="","",IF($AE93&lt;=1200,IF(INDEX(对接源_01水果!$L$4:$L$1203,$AE93)=0,"",INDEX(对接源_01水果!$L$4:$L$1203,$AE93)),IF(INDEX(对接源_02物料!$L$4:$L$1203,$AE93-1200)=0,"",INDEX(对接源_02物料!$L$4:$L$1203,$AE93-1200))))</f>
        <v/>
      </c>
      <c r="J93" s="106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07" t="str">
        <f>IFERROR(MATCH(88,_自动清单!$AS$4:$AS$2403,0),"")</f>
        <v/>
      </c>
    </row>
    <row r="94" ht="18" customHeight="1" spans="1:31">
      <c r="A94" s="52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3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106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53" t="str">
        <f>IF($AE94="","",IF(IF($AE94&lt;=1200,IF(INDEX(对接源_01水果!$G$4:$G$1203,$AE94)=0,"",INDEX(对接源_01水果!$G$4:$G$1203,$AE94)),IF(INDEX(对接源_02物料!$G$4:$G$1203,$AE94-1200)=0,"",INDEX(对接源_02物料!$G$4:$G$1203,$AE94-1200)))="",IF($AE94&lt;=1200,IF(INDEX(对接源_01水果!$D$4:$D$1203,$AE94)=0,"",INDEX(对接源_01水果!$D$4:$D$1203,$AE94)),IF(INDEX(对接源_02物料!$D$4:$D$1203,$AE94-1200)=0,"",INDEX(对接源_02物料!$D$4:$D$1203,$AE94-1200))),IF($AE94&lt;=1200,IF(INDEX(对接源_01水果!$G$4:$G$1203,$AE94)=0,"",INDEX(对接源_01水果!$G$4:$G$1203,$AE94)),IF(INDEX(对接源_02物料!$G$4:$G$1203,$AE94-1200)=0,"",INDEX(对接源_02物料!$G$4:$G$1203,$AE94-1200)))))</f>
        <v/>
      </c>
      <c r="E94" s="55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53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5" t="str">
        <f>IF($AE94="","",IF(IF($AE94&lt;=1200,N(INDEX(对接源_01水果!$H$4:$H$1203,$AE94)),N(INDEX(对接源_02物料!$H$4:$H$1203,$AE94-1200)))=0,"",ROUND(IF($AE94&lt;=1200,N(INDEX(对接源_01水果!$K$4:$K$1203,$AE94)),N(INDEX(对接源_02物料!$K$4:$K$1203,$AE94-1200)))/IF($AE94&lt;=1200,N(INDEX(对接源_01水果!$H$4:$H$1203,$AE94)),N(INDEX(对接源_02物料!$H$4:$H$1203,$AE94-1200))),2)))</f>
        <v/>
      </c>
      <c r="H94" s="55" t="str">
        <f>IF($AE94="","",IF($AE94&lt;=1200,IF(INDEX(对接源_01水果!$K$4:$K$1203,$AE94)=0,"",INDEX(对接源_01水果!$K$4:$K$1203,$AE94)),IF(INDEX(对接源_02物料!$K$4:$K$1203,$AE94-1200)=0,"",INDEX(对接源_02物料!$K$4:$K$1203,$AE94-1200))))</f>
        <v/>
      </c>
      <c r="I94" s="53" t="str">
        <f>IF($AE94="","",IF($AE94&lt;=1200,IF(INDEX(对接源_01水果!$L$4:$L$1203,$AE94)=0,"",INDEX(对接源_01水果!$L$4:$L$1203,$AE94)),IF(INDEX(对接源_02物料!$L$4:$L$1203,$AE94-1200)=0,"",INDEX(对接源_02物料!$L$4:$L$1203,$AE94-1200))))</f>
        <v/>
      </c>
      <c r="J94" s="106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07" t="str">
        <f>IFERROR(MATCH(89,_自动清单!$AS$4:$AS$2403,0),"")</f>
        <v/>
      </c>
    </row>
    <row r="95" ht="18" customHeight="1" spans="1:31">
      <c r="A95" s="52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3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06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53" t="str">
        <f>IF($AE95="","",IF(IF($AE95&lt;=1200,IF(INDEX(对接源_01水果!$G$4:$G$1203,$AE95)=0,"",INDEX(对接源_01水果!$G$4:$G$1203,$AE95)),IF(INDEX(对接源_02物料!$G$4:$G$1203,$AE95-1200)=0,"",INDEX(对接源_02物料!$G$4:$G$1203,$AE95-1200)))="",IF($AE95&lt;=1200,IF(INDEX(对接源_01水果!$D$4:$D$1203,$AE95)=0,"",INDEX(对接源_01水果!$D$4:$D$1203,$AE95)),IF(INDEX(对接源_02物料!$D$4:$D$1203,$AE95-1200)=0,"",INDEX(对接源_02物料!$D$4:$D$1203,$AE95-1200))),IF($AE95&lt;=1200,IF(INDEX(对接源_01水果!$G$4:$G$1203,$AE95)=0,"",INDEX(对接源_01水果!$G$4:$G$1203,$AE95)),IF(INDEX(对接源_02物料!$G$4:$G$1203,$AE95-1200)=0,"",INDEX(对接源_02物料!$G$4:$G$1203,$AE95-1200)))))</f>
        <v/>
      </c>
      <c r="E95" s="55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53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5" t="str">
        <f>IF($AE95="","",IF(IF($AE95&lt;=1200,N(INDEX(对接源_01水果!$H$4:$H$1203,$AE95)),N(INDEX(对接源_02物料!$H$4:$H$1203,$AE95-1200)))=0,"",ROUND(IF($AE95&lt;=1200,N(INDEX(对接源_01水果!$K$4:$K$1203,$AE95)),N(INDEX(对接源_02物料!$K$4:$K$1203,$AE95-1200)))/IF($AE95&lt;=1200,N(INDEX(对接源_01水果!$H$4:$H$1203,$AE95)),N(INDEX(对接源_02物料!$H$4:$H$1203,$AE95-1200))),2)))</f>
        <v/>
      </c>
      <c r="H95" s="55" t="str">
        <f>IF($AE95="","",IF($AE95&lt;=1200,IF(INDEX(对接源_01水果!$K$4:$K$1203,$AE95)=0,"",INDEX(对接源_01水果!$K$4:$K$1203,$AE95)),IF(INDEX(对接源_02物料!$K$4:$K$1203,$AE95-1200)=0,"",INDEX(对接源_02物料!$K$4:$K$1203,$AE95-1200))))</f>
        <v/>
      </c>
      <c r="I95" s="53" t="str">
        <f>IF($AE95="","",IF($AE95&lt;=1200,IF(INDEX(对接源_01水果!$L$4:$L$1203,$AE95)=0,"",INDEX(对接源_01水果!$L$4:$L$1203,$AE95)),IF(INDEX(对接源_02物料!$L$4:$L$1203,$AE95-1200)=0,"",INDEX(对接源_02物料!$L$4:$L$1203,$AE95-1200))))</f>
        <v/>
      </c>
      <c r="J95" s="106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07" t="str">
        <f>IFERROR(MATCH(90,_自动清单!$AS$4:$AS$2403,0),"")</f>
        <v/>
      </c>
    </row>
    <row r="96" ht="18" customHeight="1" spans="1:31">
      <c r="A96" s="52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3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106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53" t="str">
        <f>IF($AE96="","",IF(IF($AE96&lt;=1200,IF(INDEX(对接源_01水果!$G$4:$G$1203,$AE96)=0,"",INDEX(对接源_01水果!$G$4:$G$1203,$AE96)),IF(INDEX(对接源_02物料!$G$4:$G$1203,$AE96-1200)=0,"",INDEX(对接源_02物料!$G$4:$G$1203,$AE96-1200)))="",IF($AE96&lt;=1200,IF(INDEX(对接源_01水果!$D$4:$D$1203,$AE96)=0,"",INDEX(对接源_01水果!$D$4:$D$1203,$AE96)),IF(INDEX(对接源_02物料!$D$4:$D$1203,$AE96-1200)=0,"",INDEX(对接源_02物料!$D$4:$D$1203,$AE96-1200))),IF($AE96&lt;=1200,IF(INDEX(对接源_01水果!$G$4:$G$1203,$AE96)=0,"",INDEX(对接源_01水果!$G$4:$G$1203,$AE96)),IF(INDEX(对接源_02物料!$G$4:$G$1203,$AE96-1200)=0,"",INDEX(对接源_02物料!$G$4:$G$1203,$AE96-1200)))))</f>
        <v/>
      </c>
      <c r="E96" s="55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53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5" t="str">
        <f>IF($AE96="","",IF(IF($AE96&lt;=1200,N(INDEX(对接源_01水果!$H$4:$H$1203,$AE96)),N(INDEX(对接源_02物料!$H$4:$H$1203,$AE96-1200)))=0,"",ROUND(IF($AE96&lt;=1200,N(INDEX(对接源_01水果!$K$4:$K$1203,$AE96)),N(INDEX(对接源_02物料!$K$4:$K$1203,$AE96-1200)))/IF($AE96&lt;=1200,N(INDEX(对接源_01水果!$H$4:$H$1203,$AE96)),N(INDEX(对接源_02物料!$H$4:$H$1203,$AE96-1200))),2)))</f>
        <v/>
      </c>
      <c r="H96" s="55" t="str">
        <f>IF($AE96="","",IF($AE96&lt;=1200,IF(INDEX(对接源_01水果!$K$4:$K$1203,$AE96)=0,"",INDEX(对接源_01水果!$K$4:$K$1203,$AE96)),IF(INDEX(对接源_02物料!$K$4:$K$1203,$AE96-1200)=0,"",INDEX(对接源_02物料!$K$4:$K$1203,$AE96-1200))))</f>
        <v/>
      </c>
      <c r="I96" s="53" t="str">
        <f>IF($AE96="","",IF($AE96&lt;=1200,IF(INDEX(对接源_01水果!$L$4:$L$1203,$AE96)=0,"",INDEX(对接源_01水果!$L$4:$L$1203,$AE96)),IF(INDEX(对接源_02物料!$L$4:$L$1203,$AE96-1200)=0,"",INDEX(对接源_02物料!$L$4:$L$1203,$AE96-1200))))</f>
        <v/>
      </c>
      <c r="J96" s="106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07" t="str">
        <f>IFERROR(MATCH(91,_自动清单!$AS$4:$AS$2403,0),"")</f>
        <v/>
      </c>
    </row>
    <row r="97" ht="18" customHeight="1" spans="1:32">
      <c r="A97" s="52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3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06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53" t="str">
        <f>IF($AE97="","",IF(IF($AE97&lt;=1200,IF(INDEX(对接源_01水果!$G$4:$G$1203,$AE97)=0,"",INDEX(对接源_01水果!$G$4:$G$1203,$AE97)),IF(INDEX(对接源_02物料!$G$4:$G$1203,$AE97-1200)=0,"",INDEX(对接源_02物料!$G$4:$G$1203,$AE97-1200)))="",IF($AE97&lt;=1200,IF(INDEX(对接源_01水果!$D$4:$D$1203,$AE97)=0,"",INDEX(对接源_01水果!$D$4:$D$1203,$AE97)),IF(INDEX(对接源_02物料!$D$4:$D$1203,$AE97-1200)=0,"",INDEX(对接源_02物料!$D$4:$D$1203,$AE97-1200))),IF($AE97&lt;=1200,IF(INDEX(对接源_01水果!$G$4:$G$1203,$AE97)=0,"",INDEX(对接源_01水果!$G$4:$G$1203,$AE97)),IF(INDEX(对接源_02物料!$G$4:$G$1203,$AE97-1200)=0,"",INDEX(对接源_02物料!$G$4:$G$1203,$AE97-1200)))))</f>
        <v/>
      </c>
      <c r="E97" s="55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53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55" t="str">
        <f>IF($AE97="","",IF(IF($AE97&lt;=1200,N(INDEX(对接源_01水果!$H$4:$H$1203,$AE97)),N(INDEX(对接源_02物料!$H$4:$H$1203,$AE97-1200)))=0,"",ROUND(IF($AE97&lt;=1200,N(INDEX(对接源_01水果!$K$4:$K$1203,$AE97)),N(INDEX(对接源_02物料!$K$4:$K$1203,$AE97-1200)))/IF($AE97&lt;=1200,N(INDEX(对接源_01水果!$H$4:$H$1203,$AE97)),N(INDEX(对接源_02物料!$H$4:$H$1203,$AE97-1200))),2)))</f>
        <v/>
      </c>
      <c r="H97" s="55" t="str">
        <f>IF($AE97="","",IF($AE97&lt;=1200,IF(INDEX(对接源_01水果!$K$4:$K$1203,$AE97)=0,"",INDEX(对接源_01水果!$K$4:$K$1203,$AE97)),IF(INDEX(对接源_02物料!$K$4:$K$1203,$AE97-1200)=0,"",INDEX(对接源_02物料!$K$4:$K$1203,$AE97-1200))))</f>
        <v/>
      </c>
      <c r="I97" s="53" t="str">
        <f>IF($AE97="","",IF($AE97&lt;=1200,IF(INDEX(对接源_01水果!$L$4:$L$1203,$AE97)=0,"",INDEX(对接源_01水果!$L$4:$L$1203,$AE97)),IF(INDEX(对接源_02物料!$L$4:$L$1203,$AE97-1200)=0,"",INDEX(对接源_02物料!$L$4:$L$1203,$AE97-1200))))</f>
        <v/>
      </c>
      <c r="J97" s="106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07" t="str">
        <f>IFERROR(MATCH(92,_自动清单!$AS$4:$AS$2403,0),"")</f>
        <v/>
      </c>
    </row>
    <row r="98" ht="18" customHeight="1" spans="1:32">
      <c r="A98" s="52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3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106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53" t="str">
        <f>IF($AE98="","",IF(IF($AE98&lt;=1200,IF(INDEX(对接源_01水果!$G$4:$G$1203,$AE98)=0,"",INDEX(对接源_01水果!$G$4:$G$1203,$AE98)),IF(INDEX(对接源_02物料!$G$4:$G$1203,$AE98-1200)=0,"",INDEX(对接源_02物料!$G$4:$G$1203,$AE98-1200)))="",IF($AE98&lt;=1200,IF(INDEX(对接源_01水果!$D$4:$D$1203,$AE98)=0,"",INDEX(对接源_01水果!$D$4:$D$1203,$AE98)),IF(INDEX(对接源_02物料!$D$4:$D$1203,$AE98-1200)=0,"",INDEX(对接源_02物料!$D$4:$D$1203,$AE98-1200))),IF($AE98&lt;=1200,IF(INDEX(对接源_01水果!$G$4:$G$1203,$AE98)=0,"",INDEX(对接源_01水果!$G$4:$G$1203,$AE98)),IF(INDEX(对接源_02物料!$G$4:$G$1203,$AE98-1200)=0,"",INDEX(对接源_02物料!$G$4:$G$1203,$AE98-1200)))))</f>
        <v/>
      </c>
      <c r="E98" s="55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53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5" t="str">
        <f>IF($AE98="","",IF(IF($AE98&lt;=1200,N(INDEX(对接源_01水果!$H$4:$H$1203,$AE98)),N(INDEX(对接源_02物料!$H$4:$H$1203,$AE98-1200)))=0,"",ROUND(IF($AE98&lt;=1200,N(INDEX(对接源_01水果!$K$4:$K$1203,$AE98)),N(INDEX(对接源_02物料!$K$4:$K$1203,$AE98-1200)))/IF($AE98&lt;=1200,N(INDEX(对接源_01水果!$H$4:$H$1203,$AE98)),N(INDEX(对接源_02物料!$H$4:$H$1203,$AE98-1200))),2)))</f>
        <v/>
      </c>
      <c r="H98" s="55" t="str">
        <f>IF($AE98="","",IF($AE98&lt;=1200,IF(INDEX(对接源_01水果!$K$4:$K$1203,$AE98)=0,"",INDEX(对接源_01水果!$K$4:$K$1203,$AE98)),IF(INDEX(对接源_02物料!$K$4:$K$1203,$AE98-1200)=0,"",INDEX(对接源_02物料!$K$4:$K$1203,$AE98-1200))))</f>
        <v/>
      </c>
      <c r="I98" s="53" t="str">
        <f>IF($AE98="","",IF($AE98&lt;=1200,IF(INDEX(对接源_01水果!$L$4:$L$1203,$AE98)=0,"",INDEX(对接源_01水果!$L$4:$L$1203,$AE98)),IF(INDEX(对接源_02物料!$L$4:$L$1203,$AE98-1200)=0,"",INDEX(对接源_02物料!$L$4:$L$1203,$AE98-1200))))</f>
        <v/>
      </c>
      <c r="J98" s="106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07" t="str">
        <f>IFERROR(MATCH(93,_自动清单!$AS$4:$AS$2403,0),"")</f>
        <v/>
      </c>
    </row>
    <row r="99" ht="18" customHeight="1" spans="1:32">
      <c r="A99" s="52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3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06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53" t="str">
        <f>IF($AE99="","",IF(IF($AE99&lt;=1200,IF(INDEX(对接源_01水果!$G$4:$G$1203,$AE99)=0,"",INDEX(对接源_01水果!$G$4:$G$1203,$AE99)),IF(INDEX(对接源_02物料!$G$4:$G$1203,$AE99-1200)=0,"",INDEX(对接源_02物料!$G$4:$G$1203,$AE99-1200)))="",IF($AE99&lt;=1200,IF(INDEX(对接源_01水果!$D$4:$D$1203,$AE99)=0,"",INDEX(对接源_01水果!$D$4:$D$1203,$AE99)),IF(INDEX(对接源_02物料!$D$4:$D$1203,$AE99-1200)=0,"",INDEX(对接源_02物料!$D$4:$D$1203,$AE99-1200))),IF($AE99&lt;=1200,IF(INDEX(对接源_01水果!$G$4:$G$1203,$AE99)=0,"",INDEX(对接源_01水果!$G$4:$G$1203,$AE99)),IF(INDEX(对接源_02物料!$G$4:$G$1203,$AE99-1200)=0,"",INDEX(对接源_02物料!$G$4:$G$1203,$AE99-1200)))))</f>
        <v/>
      </c>
      <c r="E99" s="55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53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5" t="str">
        <f>IF($AE99="","",IF(IF($AE99&lt;=1200,N(INDEX(对接源_01水果!$H$4:$H$1203,$AE99)),N(INDEX(对接源_02物料!$H$4:$H$1203,$AE99-1200)))=0,"",ROUND(IF($AE99&lt;=1200,N(INDEX(对接源_01水果!$K$4:$K$1203,$AE99)),N(INDEX(对接源_02物料!$K$4:$K$1203,$AE99-1200)))/IF($AE99&lt;=1200,N(INDEX(对接源_01水果!$H$4:$H$1203,$AE99)),N(INDEX(对接源_02物料!$H$4:$H$1203,$AE99-1200))),2)))</f>
        <v/>
      </c>
      <c r="H99" s="55" t="str">
        <f>IF($AE99="","",IF($AE99&lt;=1200,IF(INDEX(对接源_01水果!$K$4:$K$1203,$AE99)=0,"",INDEX(对接源_01水果!$K$4:$K$1203,$AE99)),IF(INDEX(对接源_02物料!$K$4:$K$1203,$AE99-1200)=0,"",INDEX(对接源_02物料!$K$4:$K$1203,$AE99-1200))))</f>
        <v/>
      </c>
      <c r="I99" s="53" t="str">
        <f>IF($AE99="","",IF($AE99&lt;=1200,IF(INDEX(对接源_01水果!$L$4:$L$1203,$AE99)=0,"",INDEX(对接源_01水果!$L$4:$L$1203,$AE99)),IF(INDEX(对接源_02物料!$L$4:$L$1203,$AE99-1200)=0,"",INDEX(对接源_02物料!$L$4:$L$1203,$AE99-1200))))</f>
        <v/>
      </c>
      <c r="J99" s="106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07" t="str">
        <f>IFERROR(MATCH(94,_自动清单!$AS$4:$AS$2403,0),"")</f>
        <v/>
      </c>
    </row>
    <row r="100" ht="18" customHeight="1" spans="1:32">
      <c r="A100" s="52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3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106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53" t="str">
        <f>IF($AE100="","",IF(IF($AE100&lt;=1200,IF(INDEX(对接源_01水果!$G$4:$G$1203,$AE100)=0,"",INDEX(对接源_01水果!$G$4:$G$1203,$AE100)),IF(INDEX(对接源_02物料!$G$4:$G$1203,$AE100-1200)=0,"",INDEX(对接源_02物料!$G$4:$G$1203,$AE100-1200)))="",IF($AE100&lt;=1200,IF(INDEX(对接源_01水果!$D$4:$D$1203,$AE100)=0,"",INDEX(对接源_01水果!$D$4:$D$1203,$AE100)),IF(INDEX(对接源_02物料!$D$4:$D$1203,$AE100-1200)=0,"",INDEX(对接源_02物料!$D$4:$D$1203,$AE100-1200))),IF($AE100&lt;=1200,IF(INDEX(对接源_01水果!$G$4:$G$1203,$AE100)=0,"",INDEX(对接源_01水果!$G$4:$G$1203,$AE100)),IF(INDEX(对接源_02物料!$G$4:$G$1203,$AE100-1200)=0,"",INDEX(对接源_02物料!$G$4:$G$1203,$AE100-1200)))))</f>
        <v/>
      </c>
      <c r="E100" s="55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53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5" t="str">
        <f>IF($AE100="","",IF(IF($AE100&lt;=1200,N(INDEX(对接源_01水果!$H$4:$H$1203,$AE100)),N(INDEX(对接源_02物料!$H$4:$H$1203,$AE100-1200)))=0,"",ROUND(IF($AE100&lt;=1200,N(INDEX(对接源_01水果!$K$4:$K$1203,$AE100)),N(INDEX(对接源_02物料!$K$4:$K$1203,$AE100-1200)))/IF($AE100&lt;=1200,N(INDEX(对接源_01水果!$H$4:$H$1203,$AE100)),N(INDEX(对接源_02物料!$H$4:$H$1203,$AE100-1200))),2)))</f>
        <v/>
      </c>
      <c r="H100" s="55" t="str">
        <f>IF($AE100="","",IF($AE100&lt;=1200,IF(INDEX(对接源_01水果!$K$4:$K$1203,$AE100)=0,"",INDEX(对接源_01水果!$K$4:$K$1203,$AE100)),IF(INDEX(对接源_02物料!$K$4:$K$1203,$AE100-1200)=0,"",INDEX(对接源_02物料!$K$4:$K$1203,$AE100-1200))))</f>
        <v/>
      </c>
      <c r="I100" s="53" t="str">
        <f>IF($AE100="","",IF($AE100&lt;=1200,IF(INDEX(对接源_01水果!$L$4:$L$1203,$AE100)=0,"",INDEX(对接源_01水果!$L$4:$L$1203,$AE100)),IF(INDEX(对接源_02物料!$L$4:$L$1203,$AE100-1200)=0,"",INDEX(对接源_02物料!$L$4:$L$1203,$AE100-1200))))</f>
        <v/>
      </c>
      <c r="J100" s="106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07" t="str">
        <f>IFERROR(MATCH(95,_自动清单!$AS$4:$AS$2403,0),"")</f>
        <v/>
      </c>
    </row>
    <row r="101" ht="18" customHeight="1" spans="1:32">
      <c r="A101" s="52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3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06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53" t="str">
        <f>IF($AE101="","",IF(IF($AE101&lt;=1200,IF(INDEX(对接源_01水果!$G$4:$G$1203,$AE101)=0,"",INDEX(对接源_01水果!$G$4:$G$1203,$AE101)),IF(INDEX(对接源_02物料!$G$4:$G$1203,$AE101-1200)=0,"",INDEX(对接源_02物料!$G$4:$G$1203,$AE101-1200)))="",IF($AE101&lt;=1200,IF(INDEX(对接源_01水果!$D$4:$D$1203,$AE101)=0,"",INDEX(对接源_01水果!$D$4:$D$1203,$AE101)),IF(INDEX(对接源_02物料!$D$4:$D$1203,$AE101-1200)=0,"",INDEX(对接源_02物料!$D$4:$D$1203,$AE101-1200))),IF($AE101&lt;=1200,IF(INDEX(对接源_01水果!$G$4:$G$1203,$AE101)=0,"",INDEX(对接源_01水果!$G$4:$G$1203,$AE101)),IF(INDEX(对接源_02物料!$G$4:$G$1203,$AE101-1200)=0,"",INDEX(对接源_02物料!$G$4:$G$1203,$AE101-1200)))))</f>
        <v/>
      </c>
      <c r="E101" s="55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53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55" t="str">
        <f>IF($AE101="","",IF(IF($AE101&lt;=1200,N(INDEX(对接源_01水果!$H$4:$H$1203,$AE101)),N(INDEX(对接源_02物料!$H$4:$H$1203,$AE101-1200)))=0,"",ROUND(IF($AE101&lt;=1200,N(INDEX(对接源_01水果!$K$4:$K$1203,$AE101)),N(INDEX(对接源_02物料!$K$4:$K$1203,$AE101-1200)))/IF($AE101&lt;=1200,N(INDEX(对接源_01水果!$H$4:$H$1203,$AE101)),N(INDEX(对接源_02物料!$H$4:$H$1203,$AE101-1200))),2)))</f>
        <v/>
      </c>
      <c r="H101" s="55" t="str">
        <f>IF($AE101="","",IF($AE101&lt;=1200,IF(INDEX(对接源_01水果!$K$4:$K$1203,$AE101)=0,"",INDEX(对接源_01水果!$K$4:$K$1203,$AE101)),IF(INDEX(对接源_02物料!$K$4:$K$1203,$AE101-1200)=0,"",INDEX(对接源_02物料!$K$4:$K$1203,$AE101-1200))))</f>
        <v/>
      </c>
      <c r="I101" s="53" t="str">
        <f>IF($AE101="","",IF($AE101&lt;=1200,IF(INDEX(对接源_01水果!$L$4:$L$1203,$AE101)=0,"",INDEX(对接源_01水果!$L$4:$L$1203,$AE101)),IF(INDEX(对接源_02物料!$L$4:$L$1203,$AE101-1200)=0,"",INDEX(对接源_02物料!$L$4:$L$1203,$AE101-1200))))</f>
        <v/>
      </c>
      <c r="J101" s="106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07" t="str">
        <f>IFERROR(MATCH(96,_自动清单!$AS$4:$AS$2403,0),"")</f>
        <v/>
      </c>
    </row>
    <row r="102" ht="18" customHeight="1" spans="1:32">
      <c r="A102" s="52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3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106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53" t="str">
        <f>IF($AE102="","",IF(IF($AE102&lt;=1200,IF(INDEX(对接源_01水果!$G$4:$G$1203,$AE102)=0,"",INDEX(对接源_01水果!$G$4:$G$1203,$AE102)),IF(INDEX(对接源_02物料!$G$4:$G$1203,$AE102-1200)=0,"",INDEX(对接源_02物料!$G$4:$G$1203,$AE102-1200)))="",IF($AE102&lt;=1200,IF(INDEX(对接源_01水果!$D$4:$D$1203,$AE102)=0,"",INDEX(对接源_01水果!$D$4:$D$1203,$AE102)),IF(INDEX(对接源_02物料!$D$4:$D$1203,$AE102-1200)=0,"",INDEX(对接源_02物料!$D$4:$D$1203,$AE102-1200))),IF($AE102&lt;=1200,IF(INDEX(对接源_01水果!$G$4:$G$1203,$AE102)=0,"",INDEX(对接源_01水果!$G$4:$G$1203,$AE102)),IF(INDEX(对接源_02物料!$G$4:$G$1203,$AE102-1200)=0,"",INDEX(对接源_02物料!$G$4:$G$1203,$AE102-1200)))))</f>
        <v/>
      </c>
      <c r="E102" s="55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53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5" t="str">
        <f>IF($AE102="","",IF(IF($AE102&lt;=1200,N(INDEX(对接源_01水果!$H$4:$H$1203,$AE102)),N(INDEX(对接源_02物料!$H$4:$H$1203,$AE102-1200)))=0,"",ROUND(IF($AE102&lt;=1200,N(INDEX(对接源_01水果!$K$4:$K$1203,$AE102)),N(INDEX(对接源_02物料!$K$4:$K$1203,$AE102-1200)))/IF($AE102&lt;=1200,N(INDEX(对接源_01水果!$H$4:$H$1203,$AE102)),N(INDEX(对接源_02物料!$H$4:$H$1203,$AE102-1200))),2)))</f>
        <v/>
      </c>
      <c r="H102" s="55" t="str">
        <f>IF($AE102="","",IF($AE102&lt;=1200,IF(INDEX(对接源_01水果!$K$4:$K$1203,$AE102)=0,"",INDEX(对接源_01水果!$K$4:$K$1203,$AE102)),IF(INDEX(对接源_02物料!$K$4:$K$1203,$AE102-1200)=0,"",INDEX(对接源_02物料!$K$4:$K$1203,$AE102-1200))))</f>
        <v/>
      </c>
      <c r="I102" s="53" t="str">
        <f>IF($AE102="","",IF($AE102&lt;=1200,IF(INDEX(对接源_01水果!$L$4:$L$1203,$AE102)=0,"",INDEX(对接源_01水果!$L$4:$L$1203,$AE102)),IF(INDEX(对接源_02物料!$L$4:$L$1203,$AE102-1200)=0,"",INDEX(对接源_02物料!$L$4:$L$1203,$AE102-1200))))</f>
        <v/>
      </c>
      <c r="J102" s="106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07" t="str">
        <f>IFERROR(MATCH(97,_自动清单!$AS$4:$AS$2403,0),"")</f>
        <v/>
      </c>
    </row>
    <row r="103" ht="18" customHeight="1" spans="1:32">
      <c r="A103" s="52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3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06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53" t="str">
        <f>IF($AE103="","",IF(IF($AE103&lt;=1200,IF(INDEX(对接源_01水果!$G$4:$G$1203,$AE103)=0,"",INDEX(对接源_01水果!$G$4:$G$1203,$AE103)),IF(INDEX(对接源_02物料!$G$4:$G$1203,$AE103-1200)=0,"",INDEX(对接源_02物料!$G$4:$G$1203,$AE103-1200)))="",IF($AE103&lt;=1200,IF(INDEX(对接源_01水果!$D$4:$D$1203,$AE103)=0,"",INDEX(对接源_01水果!$D$4:$D$1203,$AE103)),IF(INDEX(对接源_02物料!$D$4:$D$1203,$AE103-1200)=0,"",INDEX(对接源_02物料!$D$4:$D$1203,$AE103-1200))),IF($AE103&lt;=1200,IF(INDEX(对接源_01水果!$G$4:$G$1203,$AE103)=0,"",INDEX(对接源_01水果!$G$4:$G$1203,$AE103)),IF(INDEX(对接源_02物料!$G$4:$G$1203,$AE103-1200)=0,"",INDEX(对接源_02物料!$G$4:$G$1203,$AE103-1200)))))</f>
        <v/>
      </c>
      <c r="E103" s="55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53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5" t="str">
        <f>IF($AE103="","",IF(IF($AE103&lt;=1200,N(INDEX(对接源_01水果!$H$4:$H$1203,$AE103)),N(INDEX(对接源_02物料!$H$4:$H$1203,$AE103-1200)))=0,"",ROUND(IF($AE103&lt;=1200,N(INDEX(对接源_01水果!$K$4:$K$1203,$AE103)),N(INDEX(对接源_02物料!$K$4:$K$1203,$AE103-1200)))/IF($AE103&lt;=1200,N(INDEX(对接源_01水果!$H$4:$H$1203,$AE103)),N(INDEX(对接源_02物料!$H$4:$H$1203,$AE103-1200))),2)))</f>
        <v/>
      </c>
      <c r="H103" s="55" t="str">
        <f>IF($AE103="","",IF($AE103&lt;=1200,IF(INDEX(对接源_01水果!$K$4:$K$1203,$AE103)=0,"",INDEX(对接源_01水果!$K$4:$K$1203,$AE103)),IF(INDEX(对接源_02物料!$K$4:$K$1203,$AE103-1200)=0,"",INDEX(对接源_02物料!$K$4:$K$1203,$AE103-1200))))</f>
        <v/>
      </c>
      <c r="I103" s="53" t="str">
        <f>IF($AE103="","",IF($AE103&lt;=1200,IF(INDEX(对接源_01水果!$L$4:$L$1203,$AE103)=0,"",INDEX(对接源_01水果!$L$4:$L$1203,$AE103)),IF(INDEX(对接源_02物料!$L$4:$L$1203,$AE103-1200)=0,"",INDEX(对接源_02物料!$L$4:$L$1203,$AE103-1200))))</f>
        <v/>
      </c>
      <c r="J103" s="106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07" t="str">
        <f>IFERROR(MATCH(98,_自动清单!$AS$4:$AS$2403,0),"")</f>
        <v/>
      </c>
    </row>
    <row r="104" ht="18" customHeight="1" spans="1:32">
      <c r="A104" s="52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3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106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53" t="str">
        <f>IF($AE104="","",IF(IF($AE104&lt;=1200,IF(INDEX(对接源_01水果!$G$4:$G$1203,$AE104)=0,"",INDEX(对接源_01水果!$G$4:$G$1203,$AE104)),IF(INDEX(对接源_02物料!$G$4:$G$1203,$AE104-1200)=0,"",INDEX(对接源_02物料!$G$4:$G$1203,$AE104-1200)))="",IF($AE104&lt;=1200,IF(INDEX(对接源_01水果!$D$4:$D$1203,$AE104)=0,"",INDEX(对接源_01水果!$D$4:$D$1203,$AE104)),IF(INDEX(对接源_02物料!$D$4:$D$1203,$AE104-1200)=0,"",INDEX(对接源_02物料!$D$4:$D$1203,$AE104-1200))),IF($AE104&lt;=1200,IF(INDEX(对接源_01水果!$G$4:$G$1203,$AE104)=0,"",INDEX(对接源_01水果!$G$4:$G$1203,$AE104)),IF(INDEX(对接源_02物料!$G$4:$G$1203,$AE104-1200)=0,"",INDEX(对接源_02物料!$G$4:$G$1203,$AE104-1200)))))</f>
        <v/>
      </c>
      <c r="E104" s="55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53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5" t="str">
        <f>IF($AE104="","",IF(IF($AE104&lt;=1200,N(INDEX(对接源_01水果!$H$4:$H$1203,$AE104)),N(INDEX(对接源_02物料!$H$4:$H$1203,$AE104-1200)))=0,"",ROUND(IF($AE104&lt;=1200,N(INDEX(对接源_01水果!$K$4:$K$1203,$AE104)),N(INDEX(对接源_02物料!$K$4:$K$1203,$AE104-1200)))/IF($AE104&lt;=1200,N(INDEX(对接源_01水果!$H$4:$H$1203,$AE104)),N(INDEX(对接源_02物料!$H$4:$H$1203,$AE104-1200))),2)))</f>
        <v/>
      </c>
      <c r="H104" s="55" t="str">
        <f>IF($AE104="","",IF($AE104&lt;=1200,IF(INDEX(对接源_01水果!$K$4:$K$1203,$AE104)=0,"",INDEX(对接源_01水果!$K$4:$K$1203,$AE104)),IF(INDEX(对接源_02物料!$K$4:$K$1203,$AE104-1200)=0,"",INDEX(对接源_02物料!$K$4:$K$1203,$AE104-1200))))</f>
        <v/>
      </c>
      <c r="I104" s="53" t="str">
        <f>IF($AE104="","",IF($AE104&lt;=1200,IF(INDEX(对接源_01水果!$L$4:$L$1203,$AE104)=0,"",INDEX(对接源_01水果!$L$4:$L$1203,$AE104)),IF(INDEX(对接源_02物料!$L$4:$L$1203,$AE104-1200)=0,"",INDEX(对接源_02物料!$L$4:$L$1203,$AE104-1200))))</f>
        <v/>
      </c>
      <c r="J104" s="106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07" t="str">
        <f>IFERROR(MATCH(99,_自动清单!$AS$4:$AS$2403,0),"")</f>
        <v/>
      </c>
    </row>
    <row r="105" ht="18" customHeight="1" spans="1:32">
      <c r="A105" s="52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3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06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53" t="str">
        <f>IF($AE105="","",IF(IF($AE105&lt;=1200,IF(INDEX(对接源_01水果!$G$4:$G$1203,$AE105)=0,"",INDEX(对接源_01水果!$G$4:$G$1203,$AE105)),IF(INDEX(对接源_02物料!$G$4:$G$1203,$AE105-1200)=0,"",INDEX(对接源_02物料!$G$4:$G$1203,$AE105-1200)))="",IF($AE105&lt;=1200,IF(INDEX(对接源_01水果!$D$4:$D$1203,$AE105)=0,"",INDEX(对接源_01水果!$D$4:$D$1203,$AE105)),IF(INDEX(对接源_02物料!$D$4:$D$1203,$AE105-1200)=0,"",INDEX(对接源_02物料!$D$4:$D$1203,$AE105-1200))),IF($AE105&lt;=1200,IF(INDEX(对接源_01水果!$G$4:$G$1203,$AE105)=0,"",INDEX(对接源_01水果!$G$4:$G$1203,$AE105)),IF(INDEX(对接源_02物料!$G$4:$G$1203,$AE105-1200)=0,"",INDEX(对接源_02物料!$G$4:$G$1203,$AE105-1200)))))</f>
        <v/>
      </c>
      <c r="E105" s="55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53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55" t="str">
        <f>IF($AE105="","",IF(IF($AE105&lt;=1200,N(INDEX(对接源_01水果!$H$4:$H$1203,$AE105)),N(INDEX(对接源_02物料!$H$4:$H$1203,$AE105-1200)))=0,"",ROUND(IF($AE105&lt;=1200,N(INDEX(对接源_01水果!$K$4:$K$1203,$AE105)),N(INDEX(对接源_02物料!$K$4:$K$1203,$AE105-1200)))/IF($AE105&lt;=1200,N(INDEX(对接源_01水果!$H$4:$H$1203,$AE105)),N(INDEX(对接源_02物料!$H$4:$H$1203,$AE105-1200))),2)))</f>
        <v/>
      </c>
      <c r="H105" s="55" t="str">
        <f>IF($AE105="","",IF($AE105&lt;=1200,IF(INDEX(对接源_01水果!$K$4:$K$1203,$AE105)=0,"",INDEX(对接源_01水果!$K$4:$K$1203,$AE105)),IF(INDEX(对接源_02物料!$K$4:$K$1203,$AE105-1200)=0,"",INDEX(对接源_02物料!$K$4:$K$1203,$AE105-1200))))</f>
        <v/>
      </c>
      <c r="I105" s="53" t="str">
        <f>IF($AE105="","",IF($AE105&lt;=1200,IF(INDEX(对接源_01水果!$L$4:$L$1203,$AE105)=0,"",INDEX(对接源_01水果!$L$4:$L$1203,$AE105)),IF(INDEX(对接源_02物料!$L$4:$L$1203,$AE105-1200)=0,"",INDEX(对接源_02物料!$L$4:$L$1203,$AE105-1200))))</f>
        <v/>
      </c>
      <c r="J105" s="106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07" t="str">
        <f>IFERROR(MATCH(100,_自动清单!$AS$4:$AS$2403,0),"")</f>
        <v/>
      </c>
    </row>
    <row r="106" spans="1:32">
      <c r="A106" s="52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53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106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53" t="str">
        <f>IF($AE106="","",IF(IF($AE106&lt;=1200,IF(INDEX(对接源_01水果!$G$4:$G$1203,$AE106)=0,"",INDEX(对接源_01水果!$G$4:$G$1203,$AE106)),IF(INDEX(对接源_02物料!$G$4:$G$1203,$AE106-1200)=0,"",INDEX(对接源_02物料!$G$4:$G$1203,$AE106-1200)))="",IF($AE106&lt;=1200,IF(INDEX(对接源_01水果!$D$4:$D$1203,$AE106)=0,"",INDEX(对接源_01水果!$D$4:$D$1203,$AE106)),IF(INDEX(对接源_02物料!$D$4:$D$1203,$AE106-1200)=0,"",INDEX(对接源_02物料!$D$4:$D$1203,$AE106-1200))),IF($AE106&lt;=1200,IF(INDEX(对接源_01水果!$G$4:$G$1203,$AE106)=0,"",INDEX(对接源_01水果!$G$4:$G$1203,$AE106)),IF(INDEX(对接源_02物料!$G$4:$G$1203,$AE106-1200)=0,"",INDEX(对接源_02物料!$G$4:$G$1203,$AE106-1200)))))</f>
        <v/>
      </c>
      <c r="E106" s="55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53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55" t="str">
        <f>IF($AE106="","",IF(IF($AE106&lt;=1200,N(INDEX(对接源_01水果!$H$4:$H$1203,$AE106)),N(INDEX(对接源_02物料!$H$4:$H$1203,$AE106-1200)))=0,"",ROUND(IF($AE106&lt;=1200,N(INDEX(对接源_01水果!$K$4:$K$1203,$AE106)),N(INDEX(对接源_02物料!$K$4:$K$1203,$AE106-1200)))/IF($AE106&lt;=1200,N(INDEX(对接源_01水果!$H$4:$H$1203,$AE106)),N(INDEX(对接源_02物料!$H$4:$H$1203,$AE106-1200))),2)))</f>
        <v/>
      </c>
      <c r="H106" s="55" t="str">
        <f>IF($AE106="","",IF($AE106&lt;=1200,IF(INDEX(对接源_01水果!$K$4:$K$1203,$AE106)=0,"",INDEX(对接源_01水果!$K$4:$K$1203,$AE106)),IF(INDEX(对接源_02物料!$K$4:$K$1203,$AE106-1200)=0,"",INDEX(对接源_02物料!$K$4:$K$1203,$AE106-1200))))</f>
        <v/>
      </c>
      <c r="I106" s="53" t="str">
        <f>IF($AE106="","",IF($AE106&lt;=1200,IF(INDEX(对接源_01水果!$L$4:$L$1203,$AE106)=0,"",INDEX(对接源_01水果!$L$4:$L$1203,$AE106)),IF(INDEX(对接源_02物料!$L$4:$L$1203,$AE106-1200)=0,"",INDEX(对接源_02物料!$L$4:$L$1203,$AE106-1200))))</f>
        <v/>
      </c>
      <c r="J106" s="106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107" t="str">
        <f>IFERROR(MATCH(101,_自动清单!$AS$4:$AS$2403,0),"")</f>
        <v/>
      </c>
    </row>
    <row r="107" ht="24" customHeight="1" spans="1:32">
      <c r="A107" s="52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53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106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53" t="str">
        <f>IF($AE107="","",IF(IF($AE107&lt;=1200,IF(INDEX(对接源_01水果!$G$4:$G$1203,$AE107)=0,"",INDEX(对接源_01水果!$G$4:$G$1203,$AE107)),IF(INDEX(对接源_02物料!$G$4:$G$1203,$AE107-1200)=0,"",INDEX(对接源_02物料!$G$4:$G$1203,$AE107-1200)))="",IF($AE107&lt;=1200,IF(INDEX(对接源_01水果!$D$4:$D$1203,$AE107)=0,"",INDEX(对接源_01水果!$D$4:$D$1203,$AE107)),IF(INDEX(对接源_02物料!$D$4:$D$1203,$AE107-1200)=0,"",INDEX(对接源_02物料!$D$4:$D$1203,$AE107-1200))),IF($AE107&lt;=1200,IF(INDEX(对接源_01水果!$G$4:$G$1203,$AE107)=0,"",INDEX(对接源_01水果!$G$4:$G$1203,$AE107)),IF(INDEX(对接源_02物料!$G$4:$G$1203,$AE107-1200)=0,"",INDEX(对接源_02物料!$G$4:$G$1203,$AE107-1200)))))</f>
        <v/>
      </c>
      <c r="E107" s="55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53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55" t="str">
        <f>IF($AE107="","",IF(IF($AE107&lt;=1200,N(INDEX(对接源_01水果!$H$4:$H$1203,$AE107)),N(INDEX(对接源_02物料!$H$4:$H$1203,$AE107-1200)))=0,"",ROUND(IF($AE107&lt;=1200,N(INDEX(对接源_01水果!$K$4:$K$1203,$AE107)),N(INDEX(对接源_02物料!$K$4:$K$1203,$AE107-1200)))/IF($AE107&lt;=1200,N(INDEX(对接源_01水果!$H$4:$H$1203,$AE107)),N(INDEX(对接源_02物料!$H$4:$H$1203,$AE107-1200))),2)))</f>
        <v/>
      </c>
      <c r="H107" s="55" t="str">
        <f>IF($AE107="","",IF($AE107&lt;=1200,IF(INDEX(对接源_01水果!$K$4:$K$1203,$AE107)=0,"",INDEX(对接源_01水果!$K$4:$K$1203,$AE107)),IF(INDEX(对接源_02物料!$K$4:$K$1203,$AE107-1200)=0,"",INDEX(对接源_02物料!$K$4:$K$1203,$AE107-1200))))</f>
        <v/>
      </c>
      <c r="I107" s="53" t="str">
        <f>IF($AE107="","",IF($AE107&lt;=1200,IF(INDEX(对接源_01水果!$L$4:$L$1203,$AE107)=0,"",INDEX(对接源_01水果!$L$4:$L$1203,$AE107)),IF(INDEX(对接源_02物料!$L$4:$L$1203,$AE107-1200)=0,"",INDEX(对接源_02物料!$L$4:$L$1203,$AE107-1200))))</f>
        <v/>
      </c>
      <c r="J107" s="106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107" t="str">
        <f>IFERROR(MATCH(102,_自动清单!$AS$4:$AS$2403,0),"")</f>
        <v/>
      </c>
    </row>
    <row r="108" ht="30" customHeight="1" spans="1:32">
      <c r="A108" s="52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53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106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53" t="str">
        <f>IF($AE108="","",IF(IF($AE108&lt;=1200,IF(INDEX(对接源_01水果!$G$4:$G$1203,$AE108)=0,"",INDEX(对接源_01水果!$G$4:$G$1203,$AE108)),IF(INDEX(对接源_02物料!$G$4:$G$1203,$AE108-1200)=0,"",INDEX(对接源_02物料!$G$4:$G$1203,$AE108-1200)))="",IF($AE108&lt;=1200,IF(INDEX(对接源_01水果!$D$4:$D$1203,$AE108)=0,"",INDEX(对接源_01水果!$D$4:$D$1203,$AE108)),IF(INDEX(对接源_02物料!$D$4:$D$1203,$AE108-1200)=0,"",INDEX(对接源_02物料!$D$4:$D$1203,$AE108-1200))),IF($AE108&lt;=1200,IF(INDEX(对接源_01水果!$G$4:$G$1203,$AE108)=0,"",INDEX(对接源_01水果!$G$4:$G$1203,$AE108)),IF(INDEX(对接源_02物料!$G$4:$G$1203,$AE108-1200)=0,"",INDEX(对接源_02物料!$G$4:$G$1203,$AE108-1200)))))</f>
        <v/>
      </c>
      <c r="E108" s="55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53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55" t="str">
        <f>IF($AE108="","",IF(IF($AE108&lt;=1200,N(INDEX(对接源_01水果!$H$4:$H$1203,$AE108)),N(INDEX(对接源_02物料!$H$4:$H$1203,$AE108-1200)))=0,"",ROUND(IF($AE108&lt;=1200,N(INDEX(对接源_01水果!$K$4:$K$1203,$AE108)),N(INDEX(对接源_02物料!$K$4:$K$1203,$AE108-1200)))/IF($AE108&lt;=1200,N(INDEX(对接源_01水果!$H$4:$H$1203,$AE108)),N(INDEX(对接源_02物料!$H$4:$H$1203,$AE108-1200))),2)))</f>
        <v/>
      </c>
      <c r="H108" s="55" t="str">
        <f>IF($AE108="","",IF($AE108&lt;=1200,IF(INDEX(对接源_01水果!$K$4:$K$1203,$AE108)=0,"",INDEX(对接源_01水果!$K$4:$K$1203,$AE108)),IF(INDEX(对接源_02物料!$K$4:$K$1203,$AE108-1200)=0,"",INDEX(对接源_02物料!$K$4:$K$1203,$AE108-1200))))</f>
        <v/>
      </c>
      <c r="I108" s="53" t="str">
        <f>IF($AE108="","",IF($AE108&lt;=1200,IF(INDEX(对接源_01水果!$L$4:$L$1203,$AE108)=0,"",INDEX(对接源_01水果!$L$4:$L$1203,$AE108)),IF(INDEX(对接源_02物料!$L$4:$L$1203,$AE108-1200)=0,"",INDEX(对接源_02物料!$L$4:$L$1203,$AE108-1200))))</f>
        <v/>
      </c>
      <c r="J108" s="106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107" t="str">
        <f>IFERROR(MATCH(103,_自动清单!$AS$4:$AS$2403,0),"")</f>
        <v/>
      </c>
    </row>
    <row r="109" ht="18" customHeight="1" spans="1:32">
      <c r="A109" s="52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53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106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53" t="str">
        <f>IF($AE109="","",IF(IF($AE109&lt;=1200,IF(INDEX(对接源_01水果!$G$4:$G$1203,$AE109)=0,"",INDEX(对接源_01水果!$G$4:$G$1203,$AE109)),IF(INDEX(对接源_02物料!$G$4:$G$1203,$AE109-1200)=0,"",INDEX(对接源_02物料!$G$4:$G$1203,$AE109-1200)))="",IF($AE109&lt;=1200,IF(INDEX(对接源_01水果!$D$4:$D$1203,$AE109)=0,"",INDEX(对接源_01水果!$D$4:$D$1203,$AE109)),IF(INDEX(对接源_02物料!$D$4:$D$1203,$AE109-1200)=0,"",INDEX(对接源_02物料!$D$4:$D$1203,$AE109-1200))),IF($AE109&lt;=1200,IF(INDEX(对接源_01水果!$G$4:$G$1203,$AE109)=0,"",INDEX(对接源_01水果!$G$4:$G$1203,$AE109)),IF(INDEX(对接源_02物料!$G$4:$G$1203,$AE109-1200)=0,"",INDEX(对接源_02物料!$G$4:$G$1203,$AE109-1200)))))</f>
        <v/>
      </c>
      <c r="E109" s="55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53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55" t="str">
        <f>IF($AE109="","",IF(IF($AE109&lt;=1200,N(INDEX(对接源_01水果!$H$4:$H$1203,$AE109)),N(INDEX(对接源_02物料!$H$4:$H$1203,$AE109-1200)))=0,"",ROUND(IF($AE109&lt;=1200,N(INDEX(对接源_01水果!$K$4:$K$1203,$AE109)),N(INDEX(对接源_02物料!$K$4:$K$1203,$AE109-1200)))/IF($AE109&lt;=1200,N(INDEX(对接源_01水果!$H$4:$H$1203,$AE109)),N(INDEX(对接源_02物料!$H$4:$H$1203,$AE109-1200))),2)))</f>
        <v/>
      </c>
      <c r="H109" s="55" t="str">
        <f>IF($AE109="","",IF($AE109&lt;=1200,IF(INDEX(对接源_01水果!$K$4:$K$1203,$AE109)=0,"",INDEX(对接源_01水果!$K$4:$K$1203,$AE109)),IF(INDEX(对接源_02物料!$K$4:$K$1203,$AE109-1200)=0,"",INDEX(对接源_02物料!$K$4:$K$1203,$AE109-1200))))</f>
        <v/>
      </c>
      <c r="I109" s="53" t="str">
        <f>IF($AE109="","",IF($AE109&lt;=1200,IF(INDEX(对接源_01水果!$L$4:$L$1203,$AE109)=0,"",INDEX(对接源_01水果!$L$4:$L$1203,$AE109)),IF(INDEX(对接源_02物料!$L$4:$L$1203,$AE109-1200)=0,"",INDEX(对接源_02物料!$L$4:$L$1203,$AE109-1200))))</f>
        <v/>
      </c>
      <c r="J109" s="106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107" t="str">
        <f>IFERROR(MATCH(104,_自动清单!$AS$4:$AS$2403,0),"")</f>
        <v/>
      </c>
      <c r="AF109" s="107"/>
    </row>
    <row r="110" ht="18" customHeight="1" spans="1:32">
      <c r="A110" s="52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53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106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53" t="str">
        <f>IF($AE110="","",IF(IF($AE110&lt;=1200,IF(INDEX(对接源_01水果!$G$4:$G$1203,$AE110)=0,"",INDEX(对接源_01水果!$G$4:$G$1203,$AE110)),IF(INDEX(对接源_02物料!$G$4:$G$1203,$AE110-1200)=0,"",INDEX(对接源_02物料!$G$4:$G$1203,$AE110-1200)))="",IF($AE110&lt;=1200,IF(INDEX(对接源_01水果!$D$4:$D$1203,$AE110)=0,"",INDEX(对接源_01水果!$D$4:$D$1203,$AE110)),IF(INDEX(对接源_02物料!$D$4:$D$1203,$AE110-1200)=0,"",INDEX(对接源_02物料!$D$4:$D$1203,$AE110-1200))),IF($AE110&lt;=1200,IF(INDEX(对接源_01水果!$G$4:$G$1203,$AE110)=0,"",INDEX(对接源_01水果!$G$4:$G$1203,$AE110)),IF(INDEX(对接源_02物料!$G$4:$G$1203,$AE110-1200)=0,"",INDEX(对接源_02物料!$G$4:$G$1203,$AE110-1200)))))</f>
        <v/>
      </c>
      <c r="E110" s="55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53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55" t="str">
        <f>IF($AE110="","",IF(IF($AE110&lt;=1200,N(INDEX(对接源_01水果!$H$4:$H$1203,$AE110)),N(INDEX(对接源_02物料!$H$4:$H$1203,$AE110-1200)))=0,"",ROUND(IF($AE110&lt;=1200,N(INDEX(对接源_01水果!$K$4:$K$1203,$AE110)),N(INDEX(对接源_02物料!$K$4:$K$1203,$AE110-1200)))/IF($AE110&lt;=1200,N(INDEX(对接源_01水果!$H$4:$H$1203,$AE110)),N(INDEX(对接源_02物料!$H$4:$H$1203,$AE110-1200))),2)))</f>
        <v/>
      </c>
      <c r="H110" s="55" t="str">
        <f>IF($AE110="","",IF($AE110&lt;=1200,IF(INDEX(对接源_01水果!$K$4:$K$1203,$AE110)=0,"",INDEX(对接源_01水果!$K$4:$K$1203,$AE110)),IF(INDEX(对接源_02物料!$K$4:$K$1203,$AE110-1200)=0,"",INDEX(对接源_02物料!$K$4:$K$1203,$AE110-1200))))</f>
        <v/>
      </c>
      <c r="I110" s="53" t="str">
        <f>IF($AE110="","",IF($AE110&lt;=1200,IF(INDEX(对接源_01水果!$L$4:$L$1203,$AE110)=0,"",INDEX(对接源_01水果!$L$4:$L$1203,$AE110)),IF(INDEX(对接源_02物料!$L$4:$L$1203,$AE110-1200)=0,"",INDEX(对接源_02物料!$L$4:$L$1203,$AE110-1200))))</f>
        <v/>
      </c>
      <c r="J110" s="106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107" t="str">
        <f>IFERROR(MATCH(105,_自动清单!$AS$4:$AS$2403,0),"")</f>
        <v/>
      </c>
      <c r="AF110" s="107"/>
    </row>
    <row r="111" ht="18" customHeight="1" spans="1:32">
      <c r="A111" s="52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53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106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53" t="str">
        <f>IF($AE111="","",IF(IF($AE111&lt;=1200,IF(INDEX(对接源_01水果!$G$4:$G$1203,$AE111)=0,"",INDEX(对接源_01水果!$G$4:$G$1203,$AE111)),IF(INDEX(对接源_02物料!$G$4:$G$1203,$AE111-1200)=0,"",INDEX(对接源_02物料!$G$4:$G$1203,$AE111-1200)))="",IF($AE111&lt;=1200,IF(INDEX(对接源_01水果!$D$4:$D$1203,$AE111)=0,"",INDEX(对接源_01水果!$D$4:$D$1203,$AE111)),IF(INDEX(对接源_02物料!$D$4:$D$1203,$AE111-1200)=0,"",INDEX(对接源_02物料!$D$4:$D$1203,$AE111-1200))),IF($AE111&lt;=1200,IF(INDEX(对接源_01水果!$G$4:$G$1203,$AE111)=0,"",INDEX(对接源_01水果!$G$4:$G$1203,$AE111)),IF(INDEX(对接源_02物料!$G$4:$G$1203,$AE111-1200)=0,"",INDEX(对接源_02物料!$G$4:$G$1203,$AE111-1200)))))</f>
        <v/>
      </c>
      <c r="E111" s="55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53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55" t="str">
        <f>IF($AE111="","",IF(IF($AE111&lt;=1200,N(INDEX(对接源_01水果!$H$4:$H$1203,$AE111)),N(INDEX(对接源_02物料!$H$4:$H$1203,$AE111-1200)))=0,"",ROUND(IF($AE111&lt;=1200,N(INDEX(对接源_01水果!$K$4:$K$1203,$AE111)),N(INDEX(对接源_02物料!$K$4:$K$1203,$AE111-1200)))/IF($AE111&lt;=1200,N(INDEX(对接源_01水果!$H$4:$H$1203,$AE111)),N(INDEX(对接源_02物料!$H$4:$H$1203,$AE111-1200))),2)))</f>
        <v/>
      </c>
      <c r="H111" s="55" t="str">
        <f>IF($AE111="","",IF($AE111&lt;=1200,IF(INDEX(对接源_01水果!$K$4:$K$1203,$AE111)=0,"",INDEX(对接源_01水果!$K$4:$K$1203,$AE111)),IF(INDEX(对接源_02物料!$K$4:$K$1203,$AE111-1200)=0,"",INDEX(对接源_02物料!$K$4:$K$1203,$AE111-1200))))</f>
        <v/>
      </c>
      <c r="I111" s="53" t="str">
        <f>IF($AE111="","",IF($AE111&lt;=1200,IF(INDEX(对接源_01水果!$L$4:$L$1203,$AE111)=0,"",INDEX(对接源_01水果!$L$4:$L$1203,$AE111)),IF(INDEX(对接源_02物料!$L$4:$L$1203,$AE111-1200)=0,"",INDEX(对接源_02物料!$L$4:$L$1203,$AE111-1200))))</f>
        <v/>
      </c>
      <c r="J111" s="106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107" t="str">
        <f>IFERROR(MATCH(106,_自动清单!$AS$4:$AS$2403,0),"")</f>
        <v/>
      </c>
      <c r="AF111" s="107"/>
    </row>
    <row r="112" ht="18" customHeight="1" spans="1:32">
      <c r="A112" s="52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53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106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53" t="str">
        <f>IF($AE112="","",IF(IF($AE112&lt;=1200,IF(INDEX(对接源_01水果!$G$4:$G$1203,$AE112)=0,"",INDEX(对接源_01水果!$G$4:$G$1203,$AE112)),IF(INDEX(对接源_02物料!$G$4:$G$1203,$AE112-1200)=0,"",INDEX(对接源_02物料!$G$4:$G$1203,$AE112-1200)))="",IF($AE112&lt;=1200,IF(INDEX(对接源_01水果!$D$4:$D$1203,$AE112)=0,"",INDEX(对接源_01水果!$D$4:$D$1203,$AE112)),IF(INDEX(对接源_02物料!$D$4:$D$1203,$AE112-1200)=0,"",INDEX(对接源_02物料!$D$4:$D$1203,$AE112-1200))),IF($AE112&lt;=1200,IF(INDEX(对接源_01水果!$G$4:$G$1203,$AE112)=0,"",INDEX(对接源_01水果!$G$4:$G$1203,$AE112)),IF(INDEX(对接源_02物料!$G$4:$G$1203,$AE112-1200)=0,"",INDEX(对接源_02物料!$G$4:$G$1203,$AE112-1200)))))</f>
        <v/>
      </c>
      <c r="E112" s="55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53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55" t="str">
        <f>IF($AE112="","",IF(IF($AE112&lt;=1200,N(INDEX(对接源_01水果!$H$4:$H$1203,$AE112)),N(INDEX(对接源_02物料!$H$4:$H$1203,$AE112-1200)))=0,"",ROUND(IF($AE112&lt;=1200,N(INDEX(对接源_01水果!$K$4:$K$1203,$AE112)),N(INDEX(对接源_02物料!$K$4:$K$1203,$AE112-1200)))/IF($AE112&lt;=1200,N(INDEX(对接源_01水果!$H$4:$H$1203,$AE112)),N(INDEX(对接源_02物料!$H$4:$H$1203,$AE112-1200))),2)))</f>
        <v/>
      </c>
      <c r="H112" s="55" t="str">
        <f>IF($AE112="","",IF($AE112&lt;=1200,IF(INDEX(对接源_01水果!$K$4:$K$1203,$AE112)=0,"",INDEX(对接源_01水果!$K$4:$K$1203,$AE112)),IF(INDEX(对接源_02物料!$K$4:$K$1203,$AE112-1200)=0,"",INDEX(对接源_02物料!$K$4:$K$1203,$AE112-1200))))</f>
        <v/>
      </c>
      <c r="I112" s="53" t="str">
        <f>IF($AE112="","",IF($AE112&lt;=1200,IF(INDEX(对接源_01水果!$L$4:$L$1203,$AE112)=0,"",INDEX(对接源_01水果!$L$4:$L$1203,$AE112)),IF(INDEX(对接源_02物料!$L$4:$L$1203,$AE112-1200)=0,"",INDEX(对接源_02物料!$L$4:$L$1203,$AE112-1200))))</f>
        <v/>
      </c>
      <c r="J112" s="106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107" t="str">
        <f>IFERROR(MATCH(107,_自动清单!$AS$4:$AS$2403,0),"")</f>
        <v/>
      </c>
      <c r="AF112" s="107"/>
    </row>
    <row r="113" ht="18" customHeight="1" spans="1:32">
      <c r="A113" s="52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53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106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53" t="str">
        <f>IF($AE113="","",IF(IF($AE113&lt;=1200,IF(INDEX(对接源_01水果!$G$4:$G$1203,$AE113)=0,"",INDEX(对接源_01水果!$G$4:$G$1203,$AE113)),IF(INDEX(对接源_02物料!$G$4:$G$1203,$AE113-1200)=0,"",INDEX(对接源_02物料!$G$4:$G$1203,$AE113-1200)))="",IF($AE113&lt;=1200,IF(INDEX(对接源_01水果!$D$4:$D$1203,$AE113)=0,"",INDEX(对接源_01水果!$D$4:$D$1203,$AE113)),IF(INDEX(对接源_02物料!$D$4:$D$1203,$AE113-1200)=0,"",INDEX(对接源_02物料!$D$4:$D$1203,$AE113-1200))),IF($AE113&lt;=1200,IF(INDEX(对接源_01水果!$G$4:$G$1203,$AE113)=0,"",INDEX(对接源_01水果!$G$4:$G$1203,$AE113)),IF(INDEX(对接源_02物料!$G$4:$G$1203,$AE113-1200)=0,"",INDEX(对接源_02物料!$G$4:$G$1203,$AE113-1200)))))</f>
        <v/>
      </c>
      <c r="E113" s="55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53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55" t="str">
        <f>IF($AE113="","",IF(IF($AE113&lt;=1200,N(INDEX(对接源_01水果!$H$4:$H$1203,$AE113)),N(INDEX(对接源_02物料!$H$4:$H$1203,$AE113-1200)))=0,"",ROUND(IF($AE113&lt;=1200,N(INDEX(对接源_01水果!$K$4:$K$1203,$AE113)),N(INDEX(对接源_02物料!$K$4:$K$1203,$AE113-1200)))/IF($AE113&lt;=1200,N(INDEX(对接源_01水果!$H$4:$H$1203,$AE113)),N(INDEX(对接源_02物料!$H$4:$H$1203,$AE113-1200))),2)))</f>
        <v/>
      </c>
      <c r="H113" s="55" t="str">
        <f>IF($AE113="","",IF($AE113&lt;=1200,IF(INDEX(对接源_01水果!$K$4:$K$1203,$AE113)=0,"",INDEX(对接源_01水果!$K$4:$K$1203,$AE113)),IF(INDEX(对接源_02物料!$K$4:$K$1203,$AE113-1200)=0,"",INDEX(对接源_02物料!$K$4:$K$1203,$AE113-1200))))</f>
        <v/>
      </c>
      <c r="I113" s="53" t="str">
        <f>IF($AE113="","",IF($AE113&lt;=1200,IF(INDEX(对接源_01水果!$L$4:$L$1203,$AE113)=0,"",INDEX(对接源_01水果!$L$4:$L$1203,$AE113)),IF(INDEX(对接源_02物料!$L$4:$L$1203,$AE113-1200)=0,"",INDEX(对接源_02物料!$L$4:$L$1203,$AE113-1200))))</f>
        <v/>
      </c>
      <c r="J113" s="106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107" t="str">
        <f>IFERROR(MATCH(108,_自动清单!$AS$4:$AS$2403,0),"")</f>
        <v/>
      </c>
      <c r="AF113" s="107"/>
    </row>
    <row r="114" ht="18" customHeight="1" spans="1:32">
      <c r="A114" s="52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53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106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53" t="str">
        <f>IF($AE114="","",IF(IF($AE114&lt;=1200,IF(INDEX(对接源_01水果!$G$4:$G$1203,$AE114)=0,"",INDEX(对接源_01水果!$G$4:$G$1203,$AE114)),IF(INDEX(对接源_02物料!$G$4:$G$1203,$AE114-1200)=0,"",INDEX(对接源_02物料!$G$4:$G$1203,$AE114-1200)))="",IF($AE114&lt;=1200,IF(INDEX(对接源_01水果!$D$4:$D$1203,$AE114)=0,"",INDEX(对接源_01水果!$D$4:$D$1203,$AE114)),IF(INDEX(对接源_02物料!$D$4:$D$1203,$AE114-1200)=0,"",INDEX(对接源_02物料!$D$4:$D$1203,$AE114-1200))),IF($AE114&lt;=1200,IF(INDEX(对接源_01水果!$G$4:$G$1203,$AE114)=0,"",INDEX(对接源_01水果!$G$4:$G$1203,$AE114)),IF(INDEX(对接源_02物料!$G$4:$G$1203,$AE114-1200)=0,"",INDEX(对接源_02物料!$G$4:$G$1203,$AE114-1200)))))</f>
        <v/>
      </c>
      <c r="E114" s="55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53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55" t="str">
        <f>IF($AE114="","",IF(IF($AE114&lt;=1200,N(INDEX(对接源_01水果!$H$4:$H$1203,$AE114)),N(INDEX(对接源_02物料!$H$4:$H$1203,$AE114-1200)))=0,"",ROUND(IF($AE114&lt;=1200,N(INDEX(对接源_01水果!$K$4:$K$1203,$AE114)),N(INDEX(对接源_02物料!$K$4:$K$1203,$AE114-1200)))/IF($AE114&lt;=1200,N(INDEX(对接源_01水果!$H$4:$H$1203,$AE114)),N(INDEX(对接源_02物料!$H$4:$H$1203,$AE114-1200))),2)))</f>
        <v/>
      </c>
      <c r="H114" s="55" t="str">
        <f>IF($AE114="","",IF($AE114&lt;=1200,IF(INDEX(对接源_01水果!$K$4:$K$1203,$AE114)=0,"",INDEX(对接源_01水果!$K$4:$K$1203,$AE114)),IF(INDEX(对接源_02物料!$K$4:$K$1203,$AE114-1200)=0,"",INDEX(对接源_02物料!$K$4:$K$1203,$AE114-1200))))</f>
        <v/>
      </c>
      <c r="I114" s="53" t="str">
        <f>IF($AE114="","",IF($AE114&lt;=1200,IF(INDEX(对接源_01水果!$L$4:$L$1203,$AE114)=0,"",INDEX(对接源_01水果!$L$4:$L$1203,$AE114)),IF(INDEX(对接源_02物料!$L$4:$L$1203,$AE114-1200)=0,"",INDEX(对接源_02物料!$L$4:$L$1203,$AE114-1200))))</f>
        <v/>
      </c>
      <c r="J114" s="106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107" t="str">
        <f>IFERROR(MATCH(109,_自动清单!$AS$4:$AS$2403,0),"")</f>
        <v/>
      </c>
      <c r="AF114" s="107"/>
    </row>
    <row r="115" ht="18" customHeight="1" spans="1:32">
      <c r="A115" s="52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53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106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53" t="str">
        <f>IF($AE115="","",IF(IF($AE115&lt;=1200,IF(INDEX(对接源_01水果!$G$4:$G$1203,$AE115)=0,"",INDEX(对接源_01水果!$G$4:$G$1203,$AE115)),IF(INDEX(对接源_02物料!$G$4:$G$1203,$AE115-1200)=0,"",INDEX(对接源_02物料!$G$4:$G$1203,$AE115-1200)))="",IF($AE115&lt;=1200,IF(INDEX(对接源_01水果!$D$4:$D$1203,$AE115)=0,"",INDEX(对接源_01水果!$D$4:$D$1203,$AE115)),IF(INDEX(对接源_02物料!$D$4:$D$1203,$AE115-1200)=0,"",INDEX(对接源_02物料!$D$4:$D$1203,$AE115-1200))),IF($AE115&lt;=1200,IF(INDEX(对接源_01水果!$G$4:$G$1203,$AE115)=0,"",INDEX(对接源_01水果!$G$4:$G$1203,$AE115)),IF(INDEX(对接源_02物料!$G$4:$G$1203,$AE115-1200)=0,"",INDEX(对接源_02物料!$G$4:$G$1203,$AE115-1200)))))</f>
        <v/>
      </c>
      <c r="E115" s="55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53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55" t="str">
        <f>IF($AE115="","",IF(IF($AE115&lt;=1200,N(INDEX(对接源_01水果!$H$4:$H$1203,$AE115)),N(INDEX(对接源_02物料!$H$4:$H$1203,$AE115-1200)))=0,"",ROUND(IF($AE115&lt;=1200,N(INDEX(对接源_01水果!$K$4:$K$1203,$AE115)),N(INDEX(对接源_02物料!$K$4:$K$1203,$AE115-1200)))/IF($AE115&lt;=1200,N(INDEX(对接源_01水果!$H$4:$H$1203,$AE115)),N(INDEX(对接源_02物料!$H$4:$H$1203,$AE115-1200))),2)))</f>
        <v/>
      </c>
      <c r="H115" s="55" t="str">
        <f>IF($AE115="","",IF($AE115&lt;=1200,IF(INDEX(对接源_01水果!$K$4:$K$1203,$AE115)=0,"",INDEX(对接源_01水果!$K$4:$K$1203,$AE115)),IF(INDEX(对接源_02物料!$K$4:$K$1203,$AE115-1200)=0,"",INDEX(对接源_02物料!$K$4:$K$1203,$AE115-1200))))</f>
        <v/>
      </c>
      <c r="I115" s="53" t="str">
        <f>IF($AE115="","",IF($AE115&lt;=1200,IF(INDEX(对接源_01水果!$L$4:$L$1203,$AE115)=0,"",INDEX(对接源_01水果!$L$4:$L$1203,$AE115)),IF(INDEX(对接源_02物料!$L$4:$L$1203,$AE115-1200)=0,"",INDEX(对接源_02物料!$L$4:$L$1203,$AE115-1200))))</f>
        <v/>
      </c>
      <c r="J115" s="106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107" t="str">
        <f>IFERROR(MATCH(110,_自动清单!$AS$4:$AS$2403,0),"")</f>
        <v/>
      </c>
      <c r="AF115" s="107"/>
    </row>
    <row r="116" ht="18" customHeight="1" spans="1:32">
      <c r="A116" s="52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53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106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53" t="str">
        <f>IF($AE116="","",IF(IF($AE116&lt;=1200,IF(INDEX(对接源_01水果!$G$4:$G$1203,$AE116)=0,"",INDEX(对接源_01水果!$G$4:$G$1203,$AE116)),IF(INDEX(对接源_02物料!$G$4:$G$1203,$AE116-1200)=0,"",INDEX(对接源_02物料!$G$4:$G$1203,$AE116-1200)))="",IF($AE116&lt;=1200,IF(INDEX(对接源_01水果!$D$4:$D$1203,$AE116)=0,"",INDEX(对接源_01水果!$D$4:$D$1203,$AE116)),IF(INDEX(对接源_02物料!$D$4:$D$1203,$AE116-1200)=0,"",INDEX(对接源_02物料!$D$4:$D$1203,$AE116-1200))),IF($AE116&lt;=1200,IF(INDEX(对接源_01水果!$G$4:$G$1203,$AE116)=0,"",INDEX(对接源_01水果!$G$4:$G$1203,$AE116)),IF(INDEX(对接源_02物料!$G$4:$G$1203,$AE116-1200)=0,"",INDEX(对接源_02物料!$G$4:$G$1203,$AE116-1200)))))</f>
        <v/>
      </c>
      <c r="E116" s="55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53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55" t="str">
        <f>IF($AE116="","",IF(IF($AE116&lt;=1200,N(INDEX(对接源_01水果!$H$4:$H$1203,$AE116)),N(INDEX(对接源_02物料!$H$4:$H$1203,$AE116-1200)))=0,"",ROUND(IF($AE116&lt;=1200,N(INDEX(对接源_01水果!$K$4:$K$1203,$AE116)),N(INDEX(对接源_02物料!$K$4:$K$1203,$AE116-1200)))/IF($AE116&lt;=1200,N(INDEX(对接源_01水果!$H$4:$H$1203,$AE116)),N(INDEX(对接源_02物料!$H$4:$H$1203,$AE116-1200))),2)))</f>
        <v/>
      </c>
      <c r="H116" s="55" t="str">
        <f>IF($AE116="","",IF($AE116&lt;=1200,IF(INDEX(对接源_01水果!$K$4:$K$1203,$AE116)=0,"",INDEX(对接源_01水果!$K$4:$K$1203,$AE116)),IF(INDEX(对接源_02物料!$K$4:$K$1203,$AE116-1200)=0,"",INDEX(对接源_02物料!$K$4:$K$1203,$AE116-1200))))</f>
        <v/>
      </c>
      <c r="I116" s="53" t="str">
        <f>IF($AE116="","",IF($AE116&lt;=1200,IF(INDEX(对接源_01水果!$L$4:$L$1203,$AE116)=0,"",INDEX(对接源_01水果!$L$4:$L$1203,$AE116)),IF(INDEX(对接源_02物料!$L$4:$L$1203,$AE116-1200)=0,"",INDEX(对接源_02物料!$L$4:$L$1203,$AE116-1200))))</f>
        <v/>
      </c>
      <c r="J116" s="106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107" t="str">
        <f>IFERROR(MATCH(111,_自动清单!$AS$4:$AS$2403,0),"")</f>
        <v/>
      </c>
      <c r="AF116" s="107"/>
    </row>
    <row r="117" ht="18" customHeight="1" spans="1:32">
      <c r="A117" s="52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53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106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53" t="str">
        <f>IF($AE117="","",IF(IF($AE117&lt;=1200,IF(INDEX(对接源_01水果!$G$4:$G$1203,$AE117)=0,"",INDEX(对接源_01水果!$G$4:$G$1203,$AE117)),IF(INDEX(对接源_02物料!$G$4:$G$1203,$AE117-1200)=0,"",INDEX(对接源_02物料!$G$4:$G$1203,$AE117-1200)))="",IF($AE117&lt;=1200,IF(INDEX(对接源_01水果!$D$4:$D$1203,$AE117)=0,"",INDEX(对接源_01水果!$D$4:$D$1203,$AE117)),IF(INDEX(对接源_02物料!$D$4:$D$1203,$AE117-1200)=0,"",INDEX(对接源_02物料!$D$4:$D$1203,$AE117-1200))),IF($AE117&lt;=1200,IF(INDEX(对接源_01水果!$G$4:$G$1203,$AE117)=0,"",INDEX(对接源_01水果!$G$4:$G$1203,$AE117)),IF(INDEX(对接源_02物料!$G$4:$G$1203,$AE117-1200)=0,"",INDEX(对接源_02物料!$G$4:$G$1203,$AE117-1200)))))</f>
        <v/>
      </c>
      <c r="E117" s="55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53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55" t="str">
        <f>IF($AE117="","",IF(IF($AE117&lt;=1200,N(INDEX(对接源_01水果!$H$4:$H$1203,$AE117)),N(INDEX(对接源_02物料!$H$4:$H$1203,$AE117-1200)))=0,"",ROUND(IF($AE117&lt;=1200,N(INDEX(对接源_01水果!$K$4:$K$1203,$AE117)),N(INDEX(对接源_02物料!$K$4:$K$1203,$AE117-1200)))/IF($AE117&lt;=1200,N(INDEX(对接源_01水果!$H$4:$H$1203,$AE117)),N(INDEX(对接源_02物料!$H$4:$H$1203,$AE117-1200))),2)))</f>
        <v/>
      </c>
      <c r="H117" s="55" t="str">
        <f>IF($AE117="","",IF($AE117&lt;=1200,IF(INDEX(对接源_01水果!$K$4:$K$1203,$AE117)=0,"",INDEX(对接源_01水果!$K$4:$K$1203,$AE117)),IF(INDEX(对接源_02物料!$K$4:$K$1203,$AE117-1200)=0,"",INDEX(对接源_02物料!$K$4:$K$1203,$AE117-1200))))</f>
        <v/>
      </c>
      <c r="I117" s="53" t="str">
        <f>IF($AE117="","",IF($AE117&lt;=1200,IF(INDEX(对接源_01水果!$L$4:$L$1203,$AE117)=0,"",INDEX(对接源_01水果!$L$4:$L$1203,$AE117)),IF(INDEX(对接源_02物料!$L$4:$L$1203,$AE117-1200)=0,"",INDEX(对接源_02物料!$L$4:$L$1203,$AE117-1200))))</f>
        <v/>
      </c>
      <c r="J117" s="106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107" t="str">
        <f>IFERROR(MATCH(112,_自动清单!$AS$4:$AS$2403,0),"")</f>
        <v/>
      </c>
      <c r="AF117" s="107"/>
    </row>
    <row r="118" ht="18" customHeight="1" spans="1:32">
      <c r="A118" s="52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53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106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53" t="str">
        <f>IF($AE118="","",IF(IF($AE118&lt;=1200,IF(INDEX(对接源_01水果!$G$4:$G$1203,$AE118)=0,"",INDEX(对接源_01水果!$G$4:$G$1203,$AE118)),IF(INDEX(对接源_02物料!$G$4:$G$1203,$AE118-1200)=0,"",INDEX(对接源_02物料!$G$4:$G$1203,$AE118-1200)))="",IF($AE118&lt;=1200,IF(INDEX(对接源_01水果!$D$4:$D$1203,$AE118)=0,"",INDEX(对接源_01水果!$D$4:$D$1203,$AE118)),IF(INDEX(对接源_02物料!$D$4:$D$1203,$AE118-1200)=0,"",INDEX(对接源_02物料!$D$4:$D$1203,$AE118-1200))),IF($AE118&lt;=1200,IF(INDEX(对接源_01水果!$G$4:$G$1203,$AE118)=0,"",INDEX(对接源_01水果!$G$4:$G$1203,$AE118)),IF(INDEX(对接源_02物料!$G$4:$G$1203,$AE118-1200)=0,"",INDEX(对接源_02物料!$G$4:$G$1203,$AE118-1200)))))</f>
        <v/>
      </c>
      <c r="E118" s="55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53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55" t="str">
        <f>IF($AE118="","",IF(IF($AE118&lt;=1200,N(INDEX(对接源_01水果!$H$4:$H$1203,$AE118)),N(INDEX(对接源_02物料!$H$4:$H$1203,$AE118-1200)))=0,"",ROUND(IF($AE118&lt;=1200,N(INDEX(对接源_01水果!$K$4:$K$1203,$AE118)),N(INDEX(对接源_02物料!$K$4:$K$1203,$AE118-1200)))/IF($AE118&lt;=1200,N(INDEX(对接源_01水果!$H$4:$H$1203,$AE118)),N(INDEX(对接源_02物料!$H$4:$H$1203,$AE118-1200))),2)))</f>
        <v/>
      </c>
      <c r="H118" s="55" t="str">
        <f>IF($AE118="","",IF($AE118&lt;=1200,IF(INDEX(对接源_01水果!$K$4:$K$1203,$AE118)=0,"",INDEX(对接源_01水果!$K$4:$K$1203,$AE118)),IF(INDEX(对接源_02物料!$K$4:$K$1203,$AE118-1200)=0,"",INDEX(对接源_02物料!$K$4:$K$1203,$AE118-1200))))</f>
        <v/>
      </c>
      <c r="I118" s="53" t="str">
        <f>IF($AE118="","",IF($AE118&lt;=1200,IF(INDEX(对接源_01水果!$L$4:$L$1203,$AE118)=0,"",INDEX(对接源_01水果!$L$4:$L$1203,$AE118)),IF(INDEX(对接源_02物料!$L$4:$L$1203,$AE118-1200)=0,"",INDEX(对接源_02物料!$L$4:$L$1203,$AE118-1200))))</f>
        <v/>
      </c>
      <c r="J118" s="106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107" t="str">
        <f>IFERROR(MATCH(113,_自动清单!$AS$4:$AS$2403,0),"")</f>
        <v/>
      </c>
      <c r="AF118" s="107"/>
    </row>
    <row r="119" ht="18" customHeight="1" spans="1:32">
      <c r="A119" s="52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53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106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53" t="str">
        <f>IF($AE119="","",IF(IF($AE119&lt;=1200,IF(INDEX(对接源_01水果!$G$4:$G$1203,$AE119)=0,"",INDEX(对接源_01水果!$G$4:$G$1203,$AE119)),IF(INDEX(对接源_02物料!$G$4:$G$1203,$AE119-1200)=0,"",INDEX(对接源_02物料!$G$4:$G$1203,$AE119-1200)))="",IF($AE119&lt;=1200,IF(INDEX(对接源_01水果!$D$4:$D$1203,$AE119)=0,"",INDEX(对接源_01水果!$D$4:$D$1203,$AE119)),IF(INDEX(对接源_02物料!$D$4:$D$1203,$AE119-1200)=0,"",INDEX(对接源_02物料!$D$4:$D$1203,$AE119-1200))),IF($AE119&lt;=1200,IF(INDEX(对接源_01水果!$G$4:$G$1203,$AE119)=0,"",INDEX(对接源_01水果!$G$4:$G$1203,$AE119)),IF(INDEX(对接源_02物料!$G$4:$G$1203,$AE119-1200)=0,"",INDEX(对接源_02物料!$G$4:$G$1203,$AE119-1200)))))</f>
        <v/>
      </c>
      <c r="E119" s="55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53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55" t="str">
        <f>IF($AE119="","",IF(IF($AE119&lt;=1200,N(INDEX(对接源_01水果!$H$4:$H$1203,$AE119)),N(INDEX(对接源_02物料!$H$4:$H$1203,$AE119-1200)))=0,"",ROUND(IF($AE119&lt;=1200,N(INDEX(对接源_01水果!$K$4:$K$1203,$AE119)),N(INDEX(对接源_02物料!$K$4:$K$1203,$AE119-1200)))/IF($AE119&lt;=1200,N(INDEX(对接源_01水果!$H$4:$H$1203,$AE119)),N(INDEX(对接源_02物料!$H$4:$H$1203,$AE119-1200))),2)))</f>
        <v/>
      </c>
      <c r="H119" s="55" t="str">
        <f>IF($AE119="","",IF($AE119&lt;=1200,IF(INDEX(对接源_01水果!$K$4:$K$1203,$AE119)=0,"",INDEX(对接源_01水果!$K$4:$K$1203,$AE119)),IF(INDEX(对接源_02物料!$K$4:$K$1203,$AE119-1200)=0,"",INDEX(对接源_02物料!$K$4:$K$1203,$AE119-1200))))</f>
        <v/>
      </c>
      <c r="I119" s="53" t="str">
        <f>IF($AE119="","",IF($AE119&lt;=1200,IF(INDEX(对接源_01水果!$L$4:$L$1203,$AE119)=0,"",INDEX(对接源_01水果!$L$4:$L$1203,$AE119)),IF(INDEX(对接源_02物料!$L$4:$L$1203,$AE119-1200)=0,"",INDEX(对接源_02物料!$L$4:$L$1203,$AE119-1200))))</f>
        <v/>
      </c>
      <c r="J119" s="106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107" t="str">
        <f>IFERROR(MATCH(114,_自动清单!$AS$4:$AS$2403,0),"")</f>
        <v/>
      </c>
      <c r="AF119" s="107"/>
    </row>
    <row r="120" ht="18" customHeight="1" spans="1:32">
      <c r="A120" s="52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53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106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53" t="str">
        <f>IF($AE120="","",IF(IF($AE120&lt;=1200,IF(INDEX(对接源_01水果!$G$4:$G$1203,$AE120)=0,"",INDEX(对接源_01水果!$G$4:$G$1203,$AE120)),IF(INDEX(对接源_02物料!$G$4:$G$1203,$AE120-1200)=0,"",INDEX(对接源_02物料!$G$4:$G$1203,$AE120-1200)))="",IF($AE120&lt;=1200,IF(INDEX(对接源_01水果!$D$4:$D$1203,$AE120)=0,"",INDEX(对接源_01水果!$D$4:$D$1203,$AE120)),IF(INDEX(对接源_02物料!$D$4:$D$1203,$AE120-1200)=0,"",INDEX(对接源_02物料!$D$4:$D$1203,$AE120-1200))),IF($AE120&lt;=1200,IF(INDEX(对接源_01水果!$G$4:$G$1203,$AE120)=0,"",INDEX(对接源_01水果!$G$4:$G$1203,$AE120)),IF(INDEX(对接源_02物料!$G$4:$G$1203,$AE120-1200)=0,"",INDEX(对接源_02物料!$G$4:$G$1203,$AE120-1200)))))</f>
        <v/>
      </c>
      <c r="E120" s="55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53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55" t="str">
        <f>IF($AE120="","",IF(IF($AE120&lt;=1200,N(INDEX(对接源_01水果!$H$4:$H$1203,$AE120)),N(INDEX(对接源_02物料!$H$4:$H$1203,$AE120-1200)))=0,"",ROUND(IF($AE120&lt;=1200,N(INDEX(对接源_01水果!$K$4:$K$1203,$AE120)),N(INDEX(对接源_02物料!$K$4:$K$1203,$AE120-1200)))/IF($AE120&lt;=1200,N(INDEX(对接源_01水果!$H$4:$H$1203,$AE120)),N(INDEX(对接源_02物料!$H$4:$H$1203,$AE120-1200))),2)))</f>
        <v/>
      </c>
      <c r="H120" s="55" t="str">
        <f>IF($AE120="","",IF($AE120&lt;=1200,IF(INDEX(对接源_01水果!$K$4:$K$1203,$AE120)=0,"",INDEX(对接源_01水果!$K$4:$K$1203,$AE120)),IF(INDEX(对接源_02物料!$K$4:$K$1203,$AE120-1200)=0,"",INDEX(对接源_02物料!$K$4:$K$1203,$AE120-1200))))</f>
        <v/>
      </c>
      <c r="I120" s="53" t="str">
        <f>IF($AE120="","",IF($AE120&lt;=1200,IF(INDEX(对接源_01水果!$L$4:$L$1203,$AE120)=0,"",INDEX(对接源_01水果!$L$4:$L$1203,$AE120)),IF(INDEX(对接源_02物料!$L$4:$L$1203,$AE120-1200)=0,"",INDEX(对接源_02物料!$L$4:$L$1203,$AE120-1200))))</f>
        <v/>
      </c>
      <c r="J120" s="106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107" t="str">
        <f>IFERROR(MATCH(115,_自动清单!$AS$4:$AS$2403,0),"")</f>
        <v/>
      </c>
      <c r="AF120" s="107"/>
    </row>
    <row r="121" ht="18" customHeight="1" spans="1:32">
      <c r="A121" s="52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53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106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53" t="str">
        <f>IF($AE121="","",IF(IF($AE121&lt;=1200,IF(INDEX(对接源_01水果!$G$4:$G$1203,$AE121)=0,"",INDEX(对接源_01水果!$G$4:$G$1203,$AE121)),IF(INDEX(对接源_02物料!$G$4:$G$1203,$AE121-1200)=0,"",INDEX(对接源_02物料!$G$4:$G$1203,$AE121-1200)))="",IF($AE121&lt;=1200,IF(INDEX(对接源_01水果!$D$4:$D$1203,$AE121)=0,"",INDEX(对接源_01水果!$D$4:$D$1203,$AE121)),IF(INDEX(对接源_02物料!$D$4:$D$1203,$AE121-1200)=0,"",INDEX(对接源_02物料!$D$4:$D$1203,$AE121-1200))),IF($AE121&lt;=1200,IF(INDEX(对接源_01水果!$G$4:$G$1203,$AE121)=0,"",INDEX(对接源_01水果!$G$4:$G$1203,$AE121)),IF(INDEX(对接源_02物料!$G$4:$G$1203,$AE121-1200)=0,"",INDEX(对接源_02物料!$G$4:$G$1203,$AE121-1200)))))</f>
        <v/>
      </c>
      <c r="E121" s="55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53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55" t="str">
        <f>IF($AE121="","",IF(IF($AE121&lt;=1200,N(INDEX(对接源_01水果!$H$4:$H$1203,$AE121)),N(INDEX(对接源_02物料!$H$4:$H$1203,$AE121-1200)))=0,"",ROUND(IF($AE121&lt;=1200,N(INDEX(对接源_01水果!$K$4:$K$1203,$AE121)),N(INDEX(对接源_02物料!$K$4:$K$1203,$AE121-1200)))/IF($AE121&lt;=1200,N(INDEX(对接源_01水果!$H$4:$H$1203,$AE121)),N(INDEX(对接源_02物料!$H$4:$H$1203,$AE121-1200))),2)))</f>
        <v/>
      </c>
      <c r="H121" s="55" t="str">
        <f>IF($AE121="","",IF($AE121&lt;=1200,IF(INDEX(对接源_01水果!$K$4:$K$1203,$AE121)=0,"",INDEX(对接源_01水果!$K$4:$K$1203,$AE121)),IF(INDEX(对接源_02物料!$K$4:$K$1203,$AE121-1200)=0,"",INDEX(对接源_02物料!$K$4:$K$1203,$AE121-1200))))</f>
        <v/>
      </c>
      <c r="I121" s="53" t="str">
        <f>IF($AE121="","",IF($AE121&lt;=1200,IF(INDEX(对接源_01水果!$L$4:$L$1203,$AE121)=0,"",INDEX(对接源_01水果!$L$4:$L$1203,$AE121)),IF(INDEX(对接源_02物料!$L$4:$L$1203,$AE121-1200)=0,"",INDEX(对接源_02物料!$L$4:$L$1203,$AE121-1200))))</f>
        <v/>
      </c>
      <c r="J121" s="106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107" t="str">
        <f>IFERROR(MATCH(116,_自动清单!$AS$4:$AS$2403,0),"")</f>
        <v/>
      </c>
      <c r="AF121" s="107"/>
    </row>
    <row r="122" ht="18" customHeight="1" spans="1:32">
      <c r="A122" s="52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53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106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53" t="str">
        <f>IF($AE122="","",IF(IF($AE122&lt;=1200,IF(INDEX(对接源_01水果!$G$4:$G$1203,$AE122)=0,"",INDEX(对接源_01水果!$G$4:$G$1203,$AE122)),IF(INDEX(对接源_02物料!$G$4:$G$1203,$AE122-1200)=0,"",INDEX(对接源_02物料!$G$4:$G$1203,$AE122-1200)))="",IF($AE122&lt;=1200,IF(INDEX(对接源_01水果!$D$4:$D$1203,$AE122)=0,"",INDEX(对接源_01水果!$D$4:$D$1203,$AE122)),IF(INDEX(对接源_02物料!$D$4:$D$1203,$AE122-1200)=0,"",INDEX(对接源_02物料!$D$4:$D$1203,$AE122-1200))),IF($AE122&lt;=1200,IF(INDEX(对接源_01水果!$G$4:$G$1203,$AE122)=0,"",INDEX(对接源_01水果!$G$4:$G$1203,$AE122)),IF(INDEX(对接源_02物料!$G$4:$G$1203,$AE122-1200)=0,"",INDEX(对接源_02物料!$G$4:$G$1203,$AE122-1200)))))</f>
        <v/>
      </c>
      <c r="E122" s="55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53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55" t="str">
        <f>IF($AE122="","",IF(IF($AE122&lt;=1200,N(INDEX(对接源_01水果!$H$4:$H$1203,$AE122)),N(INDEX(对接源_02物料!$H$4:$H$1203,$AE122-1200)))=0,"",ROUND(IF($AE122&lt;=1200,N(INDEX(对接源_01水果!$K$4:$K$1203,$AE122)),N(INDEX(对接源_02物料!$K$4:$K$1203,$AE122-1200)))/IF($AE122&lt;=1200,N(INDEX(对接源_01水果!$H$4:$H$1203,$AE122)),N(INDEX(对接源_02物料!$H$4:$H$1203,$AE122-1200))),2)))</f>
        <v/>
      </c>
      <c r="H122" s="55" t="str">
        <f>IF($AE122="","",IF($AE122&lt;=1200,IF(INDEX(对接源_01水果!$K$4:$K$1203,$AE122)=0,"",INDEX(对接源_01水果!$K$4:$K$1203,$AE122)),IF(INDEX(对接源_02物料!$K$4:$K$1203,$AE122-1200)=0,"",INDEX(对接源_02物料!$K$4:$K$1203,$AE122-1200))))</f>
        <v/>
      </c>
      <c r="I122" s="53" t="str">
        <f>IF($AE122="","",IF($AE122&lt;=1200,IF(INDEX(对接源_01水果!$L$4:$L$1203,$AE122)=0,"",INDEX(对接源_01水果!$L$4:$L$1203,$AE122)),IF(INDEX(对接源_02物料!$L$4:$L$1203,$AE122-1200)=0,"",INDEX(对接源_02物料!$L$4:$L$1203,$AE122-1200))))</f>
        <v/>
      </c>
      <c r="J122" s="106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107" t="str">
        <f>IFERROR(MATCH(117,_自动清单!$AS$4:$AS$2403,0),"")</f>
        <v/>
      </c>
      <c r="AF122" s="107"/>
    </row>
    <row r="123" ht="18" customHeight="1" spans="1:32">
      <c r="A123" s="52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53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106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53" t="str">
        <f>IF($AE123="","",IF(IF($AE123&lt;=1200,IF(INDEX(对接源_01水果!$G$4:$G$1203,$AE123)=0,"",INDEX(对接源_01水果!$G$4:$G$1203,$AE123)),IF(INDEX(对接源_02物料!$G$4:$G$1203,$AE123-1200)=0,"",INDEX(对接源_02物料!$G$4:$G$1203,$AE123-1200)))="",IF($AE123&lt;=1200,IF(INDEX(对接源_01水果!$D$4:$D$1203,$AE123)=0,"",INDEX(对接源_01水果!$D$4:$D$1203,$AE123)),IF(INDEX(对接源_02物料!$D$4:$D$1203,$AE123-1200)=0,"",INDEX(对接源_02物料!$D$4:$D$1203,$AE123-1200))),IF($AE123&lt;=1200,IF(INDEX(对接源_01水果!$G$4:$G$1203,$AE123)=0,"",INDEX(对接源_01水果!$G$4:$G$1203,$AE123)),IF(INDEX(对接源_02物料!$G$4:$G$1203,$AE123-1200)=0,"",INDEX(对接源_02物料!$G$4:$G$1203,$AE123-1200)))))</f>
        <v/>
      </c>
      <c r="E123" s="55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53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55" t="str">
        <f>IF($AE123="","",IF(IF($AE123&lt;=1200,N(INDEX(对接源_01水果!$H$4:$H$1203,$AE123)),N(INDEX(对接源_02物料!$H$4:$H$1203,$AE123-1200)))=0,"",ROUND(IF($AE123&lt;=1200,N(INDEX(对接源_01水果!$K$4:$K$1203,$AE123)),N(INDEX(对接源_02物料!$K$4:$K$1203,$AE123-1200)))/IF($AE123&lt;=1200,N(INDEX(对接源_01水果!$H$4:$H$1203,$AE123)),N(INDEX(对接源_02物料!$H$4:$H$1203,$AE123-1200))),2)))</f>
        <v/>
      </c>
      <c r="H123" s="55" t="str">
        <f>IF($AE123="","",IF($AE123&lt;=1200,IF(INDEX(对接源_01水果!$K$4:$K$1203,$AE123)=0,"",INDEX(对接源_01水果!$K$4:$K$1203,$AE123)),IF(INDEX(对接源_02物料!$K$4:$K$1203,$AE123-1200)=0,"",INDEX(对接源_02物料!$K$4:$K$1203,$AE123-1200))))</f>
        <v/>
      </c>
      <c r="I123" s="53" t="str">
        <f>IF($AE123="","",IF($AE123&lt;=1200,IF(INDEX(对接源_01水果!$L$4:$L$1203,$AE123)=0,"",INDEX(对接源_01水果!$L$4:$L$1203,$AE123)),IF(INDEX(对接源_02物料!$L$4:$L$1203,$AE123-1200)=0,"",INDEX(对接源_02物料!$L$4:$L$1203,$AE123-1200))))</f>
        <v/>
      </c>
      <c r="J123" s="106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107" t="str">
        <f>IFERROR(MATCH(118,_自动清单!$AS$4:$AS$2403,0),"")</f>
        <v/>
      </c>
      <c r="AF123" s="107"/>
    </row>
    <row r="124" ht="18" customHeight="1" spans="1:32">
      <c r="A124" s="52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53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106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53" t="str">
        <f>IF($AE124="","",IF(IF($AE124&lt;=1200,IF(INDEX(对接源_01水果!$G$4:$G$1203,$AE124)=0,"",INDEX(对接源_01水果!$G$4:$G$1203,$AE124)),IF(INDEX(对接源_02物料!$G$4:$G$1203,$AE124-1200)=0,"",INDEX(对接源_02物料!$G$4:$G$1203,$AE124-1200)))="",IF($AE124&lt;=1200,IF(INDEX(对接源_01水果!$D$4:$D$1203,$AE124)=0,"",INDEX(对接源_01水果!$D$4:$D$1203,$AE124)),IF(INDEX(对接源_02物料!$D$4:$D$1203,$AE124-1200)=0,"",INDEX(对接源_02物料!$D$4:$D$1203,$AE124-1200))),IF($AE124&lt;=1200,IF(INDEX(对接源_01水果!$G$4:$G$1203,$AE124)=0,"",INDEX(对接源_01水果!$G$4:$G$1203,$AE124)),IF(INDEX(对接源_02物料!$G$4:$G$1203,$AE124-1200)=0,"",INDEX(对接源_02物料!$G$4:$G$1203,$AE124-1200)))))</f>
        <v/>
      </c>
      <c r="E124" s="55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53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55" t="str">
        <f>IF($AE124="","",IF(IF($AE124&lt;=1200,N(INDEX(对接源_01水果!$H$4:$H$1203,$AE124)),N(INDEX(对接源_02物料!$H$4:$H$1203,$AE124-1200)))=0,"",ROUND(IF($AE124&lt;=1200,N(INDEX(对接源_01水果!$K$4:$K$1203,$AE124)),N(INDEX(对接源_02物料!$K$4:$K$1203,$AE124-1200)))/IF($AE124&lt;=1200,N(INDEX(对接源_01水果!$H$4:$H$1203,$AE124)),N(INDEX(对接源_02物料!$H$4:$H$1203,$AE124-1200))),2)))</f>
        <v/>
      </c>
      <c r="H124" s="55" t="str">
        <f>IF($AE124="","",IF($AE124&lt;=1200,IF(INDEX(对接源_01水果!$K$4:$K$1203,$AE124)=0,"",INDEX(对接源_01水果!$K$4:$K$1203,$AE124)),IF(INDEX(对接源_02物料!$K$4:$K$1203,$AE124-1200)=0,"",INDEX(对接源_02物料!$K$4:$K$1203,$AE124-1200))))</f>
        <v/>
      </c>
      <c r="I124" s="53" t="str">
        <f>IF($AE124="","",IF($AE124&lt;=1200,IF(INDEX(对接源_01水果!$L$4:$L$1203,$AE124)=0,"",INDEX(对接源_01水果!$L$4:$L$1203,$AE124)),IF(INDEX(对接源_02物料!$L$4:$L$1203,$AE124-1200)=0,"",INDEX(对接源_02物料!$L$4:$L$1203,$AE124-1200))))</f>
        <v/>
      </c>
      <c r="J124" s="106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107" t="str">
        <f>IFERROR(MATCH(119,_自动清单!$AS$4:$AS$2403,0),"")</f>
        <v/>
      </c>
      <c r="AF124" s="107"/>
    </row>
    <row r="125" ht="18" customHeight="1" spans="1:32">
      <c r="A125" s="52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53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106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53" t="str">
        <f>IF($AE125="","",IF(IF($AE125&lt;=1200,IF(INDEX(对接源_01水果!$G$4:$G$1203,$AE125)=0,"",INDEX(对接源_01水果!$G$4:$G$1203,$AE125)),IF(INDEX(对接源_02物料!$G$4:$G$1203,$AE125-1200)=0,"",INDEX(对接源_02物料!$G$4:$G$1203,$AE125-1200)))="",IF($AE125&lt;=1200,IF(INDEX(对接源_01水果!$D$4:$D$1203,$AE125)=0,"",INDEX(对接源_01水果!$D$4:$D$1203,$AE125)),IF(INDEX(对接源_02物料!$D$4:$D$1203,$AE125-1200)=0,"",INDEX(对接源_02物料!$D$4:$D$1203,$AE125-1200))),IF($AE125&lt;=1200,IF(INDEX(对接源_01水果!$G$4:$G$1203,$AE125)=0,"",INDEX(对接源_01水果!$G$4:$G$1203,$AE125)),IF(INDEX(对接源_02物料!$G$4:$G$1203,$AE125-1200)=0,"",INDEX(对接源_02物料!$G$4:$G$1203,$AE125-1200)))))</f>
        <v/>
      </c>
      <c r="E125" s="55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53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55" t="str">
        <f>IF($AE125="","",IF(IF($AE125&lt;=1200,N(INDEX(对接源_01水果!$H$4:$H$1203,$AE125)),N(INDEX(对接源_02物料!$H$4:$H$1203,$AE125-1200)))=0,"",ROUND(IF($AE125&lt;=1200,N(INDEX(对接源_01水果!$K$4:$K$1203,$AE125)),N(INDEX(对接源_02物料!$K$4:$K$1203,$AE125-1200)))/IF($AE125&lt;=1200,N(INDEX(对接源_01水果!$H$4:$H$1203,$AE125)),N(INDEX(对接源_02物料!$H$4:$H$1203,$AE125-1200))),2)))</f>
        <v/>
      </c>
      <c r="H125" s="55" t="str">
        <f>IF($AE125="","",IF($AE125&lt;=1200,IF(INDEX(对接源_01水果!$K$4:$K$1203,$AE125)=0,"",INDEX(对接源_01水果!$K$4:$K$1203,$AE125)),IF(INDEX(对接源_02物料!$K$4:$K$1203,$AE125-1200)=0,"",INDEX(对接源_02物料!$K$4:$K$1203,$AE125-1200))))</f>
        <v/>
      </c>
      <c r="I125" s="53" t="str">
        <f>IF($AE125="","",IF($AE125&lt;=1200,IF(INDEX(对接源_01水果!$L$4:$L$1203,$AE125)=0,"",INDEX(对接源_01水果!$L$4:$L$1203,$AE125)),IF(INDEX(对接源_02物料!$L$4:$L$1203,$AE125-1200)=0,"",INDEX(对接源_02物料!$L$4:$L$1203,$AE125-1200))))</f>
        <v/>
      </c>
      <c r="J125" s="106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107" t="str">
        <f>IFERROR(MATCH(120,_自动清单!$AS$4:$AS$2403,0),"")</f>
        <v/>
      </c>
      <c r="AF125" s="107"/>
    </row>
    <row r="126" ht="18" customHeight="1" spans="1:32">
      <c r="A126" s="52" t="str">
        <f>IF($AE126="","",IF($AE126&lt;=1200,IF(INDEX(对接源_01水果!$B$4:$B$1203,$AE126)=0,"",INDEX(对接源_01水果!$B$4:$B$1203,$AE126)),IF(INDEX(对接源_02物料!$B$4:$B$1203,$AE126-1200)=0,"",INDEX(对接源_02物料!$B$4:$B$1203,$AE126-1200))))</f>
        <v/>
      </c>
      <c r="B126" s="53" t="str">
        <f>IF($AE126="","",IF($AE126&lt;=1200,IF(INDEX(对接源_01水果!$E$4:$E$1203,$AE126)=0,"",INDEX(对接源_01水果!$E$4:$E$1203,$AE126)),IF(INDEX(对接源_02物料!$E$4:$E$1203,$AE126-1200)=0,"",INDEX(对接源_02物料!$E$4:$E$1203,$AE126-1200))))</f>
        <v/>
      </c>
      <c r="C126" s="106" t="str">
        <f>IF($AE126="","",IF($AE126&lt;=1200,IF(INDEX(对接源_01水果!$F$4:$F$1203,$AE126)=0,"",INDEX(对接源_01水果!$F$4:$F$1203,$AE126)),IF(INDEX(对接源_02物料!$F$4:$F$1203,$AE126-1200)=0,"",INDEX(对接源_02物料!$F$4:$F$1203,$AE126-1200))))</f>
        <v/>
      </c>
      <c r="D126" s="53" t="str">
        <f>IF($AE126="","",IF(IF($AE126&lt;=1200,IF(INDEX(对接源_01水果!$G$4:$G$1203,$AE126)=0,"",INDEX(对接源_01水果!$G$4:$G$1203,$AE126)),IF(INDEX(对接源_02物料!$G$4:$G$1203,$AE126-1200)=0,"",INDEX(对接源_02物料!$G$4:$G$1203,$AE126-1200)))="",IF($AE126&lt;=1200,IF(INDEX(对接源_01水果!$D$4:$D$1203,$AE126)=0,"",INDEX(对接源_01水果!$D$4:$D$1203,$AE126)),IF(INDEX(对接源_02物料!$D$4:$D$1203,$AE126-1200)=0,"",INDEX(对接源_02物料!$D$4:$D$1203,$AE126-1200))),IF($AE126&lt;=1200,IF(INDEX(对接源_01水果!$G$4:$G$1203,$AE126)=0,"",INDEX(对接源_01水果!$G$4:$G$1203,$AE126)),IF(INDEX(对接源_02物料!$G$4:$G$1203,$AE126-1200)=0,"",INDEX(对接源_02物料!$G$4:$G$1203,$AE126-1200)))))</f>
        <v/>
      </c>
      <c r="E126" s="55" t="str">
        <f>IF($AE126="","",IF($AE126&lt;=1200,IF(INDEX(对接源_01水果!$H$4:$H$1203,$AE126)=0,"",INDEX(对接源_01水果!$H$4:$H$1203,$AE126)),IF(INDEX(对接源_02物料!$H$4:$H$1203,$AE126-1200)=0,"",INDEX(对接源_02物料!$H$4:$H$1203,$AE126-1200))))</f>
        <v/>
      </c>
      <c r="F126" s="53" t="str">
        <f>IF($AE126="","",IF($AE126&lt;=1200,IF(INDEX(对接源_01水果!$I$4:$I$1203,$AE126)=0,"",INDEX(对接源_01水果!$I$4:$I$1203,$AE126)),IF(INDEX(对接源_02物料!$I$4:$I$1203,$AE126-1200)=0,"",INDEX(对接源_02物料!$I$4:$I$1203,$AE126-1200))))</f>
        <v/>
      </c>
      <c r="G126" s="55" t="str">
        <f>IF($AE126="","",IF(IF($AE126&lt;=1200,N(INDEX(对接源_01水果!$H$4:$H$1203,$AE126)),N(INDEX(对接源_02物料!$H$4:$H$1203,$AE126-1200)))=0,"",ROUND(IF($AE126&lt;=1200,N(INDEX(对接源_01水果!$K$4:$K$1203,$AE126)),N(INDEX(对接源_02物料!$K$4:$K$1203,$AE126-1200)))/IF($AE126&lt;=1200,N(INDEX(对接源_01水果!$H$4:$H$1203,$AE126)),N(INDEX(对接源_02物料!$H$4:$H$1203,$AE126-1200))),2)))</f>
        <v/>
      </c>
      <c r="H126" s="55" t="str">
        <f>IF($AE126="","",IF($AE126&lt;=1200,IF(INDEX(对接源_01水果!$K$4:$K$1203,$AE126)=0,"",INDEX(对接源_01水果!$K$4:$K$1203,$AE126)),IF(INDEX(对接源_02物料!$K$4:$K$1203,$AE126-1200)=0,"",INDEX(对接源_02物料!$K$4:$K$1203,$AE126-1200))))</f>
        <v/>
      </c>
      <c r="I126" s="53" t="str">
        <f>IF($AE126="","",IF($AE126&lt;=1200,IF(INDEX(对接源_01水果!$L$4:$L$1203,$AE126)=0,"",INDEX(对接源_01水果!$L$4:$L$1203,$AE126)),IF(INDEX(对接源_02物料!$L$4:$L$1203,$AE126-1200)=0,"",INDEX(对接源_02物料!$L$4:$L$1203,$AE126-1200))))</f>
        <v/>
      </c>
      <c r="J126" s="106" t="str">
        <f>IF($AE126="","",IF($AE126&lt;=1200,IF(INDEX(对接源_01水果!$M$4:$M$1203,$AE126)=0,"",INDEX(对接源_01水果!$M$4:$M$1203,$AE126)),IF(INDEX(对接源_02物料!$M$4:$M$1203,$AE126-1200)=0,"",INDEX(对接源_02物料!$M$4:$M$1203,$AE126-1200))))</f>
        <v/>
      </c>
      <c r="AE126" s="107" t="str">
        <f>IFERROR(MATCH(121,_自动清单!$AS$4:$AS$2403,0),"")</f>
        <v/>
      </c>
      <c r="AF126" s="107"/>
    </row>
    <row r="127" ht="18" customHeight="1" spans="1:32">
      <c r="A127" s="52" t="str">
        <f>IF($AE127="","",IF($AE127&lt;=1200,IF(INDEX(对接源_01水果!$B$4:$B$1203,$AE127)=0,"",INDEX(对接源_01水果!$B$4:$B$1203,$AE127)),IF(INDEX(对接源_02物料!$B$4:$B$1203,$AE127-1200)=0,"",INDEX(对接源_02物料!$B$4:$B$1203,$AE127-1200))))</f>
        <v/>
      </c>
      <c r="B127" s="53" t="str">
        <f>IF($AE127="","",IF($AE127&lt;=1200,IF(INDEX(对接源_01水果!$E$4:$E$1203,$AE127)=0,"",INDEX(对接源_01水果!$E$4:$E$1203,$AE127)),IF(INDEX(对接源_02物料!$E$4:$E$1203,$AE127-1200)=0,"",INDEX(对接源_02物料!$E$4:$E$1203,$AE127-1200))))</f>
        <v/>
      </c>
      <c r="C127" s="106" t="str">
        <f>IF($AE127="","",IF($AE127&lt;=1200,IF(INDEX(对接源_01水果!$F$4:$F$1203,$AE127)=0,"",INDEX(对接源_01水果!$F$4:$F$1203,$AE127)),IF(INDEX(对接源_02物料!$F$4:$F$1203,$AE127-1200)=0,"",INDEX(对接源_02物料!$F$4:$F$1203,$AE127-1200))))</f>
        <v/>
      </c>
      <c r="D127" s="53" t="str">
        <f>IF($AE127="","",IF(IF($AE127&lt;=1200,IF(INDEX(对接源_01水果!$G$4:$G$1203,$AE127)=0,"",INDEX(对接源_01水果!$G$4:$G$1203,$AE127)),IF(INDEX(对接源_02物料!$G$4:$G$1203,$AE127-1200)=0,"",INDEX(对接源_02物料!$G$4:$G$1203,$AE127-1200)))="",IF($AE127&lt;=1200,IF(INDEX(对接源_01水果!$D$4:$D$1203,$AE127)=0,"",INDEX(对接源_01水果!$D$4:$D$1203,$AE127)),IF(INDEX(对接源_02物料!$D$4:$D$1203,$AE127-1200)=0,"",INDEX(对接源_02物料!$D$4:$D$1203,$AE127-1200))),IF($AE127&lt;=1200,IF(INDEX(对接源_01水果!$G$4:$G$1203,$AE127)=0,"",INDEX(对接源_01水果!$G$4:$G$1203,$AE127)),IF(INDEX(对接源_02物料!$G$4:$G$1203,$AE127-1200)=0,"",INDEX(对接源_02物料!$G$4:$G$1203,$AE127-1200)))))</f>
        <v/>
      </c>
      <c r="E127" s="55" t="str">
        <f>IF($AE127="","",IF($AE127&lt;=1200,IF(INDEX(对接源_01水果!$H$4:$H$1203,$AE127)=0,"",INDEX(对接源_01水果!$H$4:$H$1203,$AE127)),IF(INDEX(对接源_02物料!$H$4:$H$1203,$AE127-1200)=0,"",INDEX(对接源_02物料!$H$4:$H$1203,$AE127-1200))))</f>
        <v/>
      </c>
      <c r="F127" s="53" t="str">
        <f>IF($AE127="","",IF($AE127&lt;=1200,IF(INDEX(对接源_01水果!$I$4:$I$1203,$AE127)=0,"",INDEX(对接源_01水果!$I$4:$I$1203,$AE127)),IF(INDEX(对接源_02物料!$I$4:$I$1203,$AE127-1200)=0,"",INDEX(对接源_02物料!$I$4:$I$1203,$AE127-1200))))</f>
        <v/>
      </c>
      <c r="G127" s="55" t="str">
        <f>IF($AE127="","",IF(IF($AE127&lt;=1200,N(INDEX(对接源_01水果!$H$4:$H$1203,$AE127)),N(INDEX(对接源_02物料!$H$4:$H$1203,$AE127-1200)))=0,"",ROUND(IF($AE127&lt;=1200,N(INDEX(对接源_01水果!$K$4:$K$1203,$AE127)),N(INDEX(对接源_02物料!$K$4:$K$1203,$AE127-1200)))/IF($AE127&lt;=1200,N(INDEX(对接源_01水果!$H$4:$H$1203,$AE127)),N(INDEX(对接源_02物料!$H$4:$H$1203,$AE127-1200))),2)))</f>
        <v/>
      </c>
      <c r="H127" s="55" t="str">
        <f>IF($AE127="","",IF($AE127&lt;=1200,IF(INDEX(对接源_01水果!$K$4:$K$1203,$AE127)=0,"",INDEX(对接源_01水果!$K$4:$K$1203,$AE127)),IF(INDEX(对接源_02物料!$K$4:$K$1203,$AE127-1200)=0,"",INDEX(对接源_02物料!$K$4:$K$1203,$AE127-1200))))</f>
        <v/>
      </c>
      <c r="I127" s="53" t="str">
        <f>IF($AE127="","",IF($AE127&lt;=1200,IF(INDEX(对接源_01水果!$L$4:$L$1203,$AE127)=0,"",INDEX(对接源_01水果!$L$4:$L$1203,$AE127)),IF(INDEX(对接源_02物料!$L$4:$L$1203,$AE127-1200)=0,"",INDEX(对接源_02物料!$L$4:$L$1203,$AE127-1200))))</f>
        <v/>
      </c>
      <c r="J127" s="106" t="str">
        <f>IF($AE127="","",IF($AE127&lt;=1200,IF(INDEX(对接源_01水果!$M$4:$M$1203,$AE127)=0,"",INDEX(对接源_01水果!$M$4:$M$1203,$AE127)),IF(INDEX(对接源_02物料!$M$4:$M$1203,$AE127-1200)=0,"",INDEX(对接源_02物料!$M$4:$M$1203,$AE127-1200))))</f>
        <v/>
      </c>
      <c r="AE127" s="107" t="str">
        <f>IFERROR(MATCH(122,_自动清单!$AS$4:$AS$2403,0),"")</f>
        <v/>
      </c>
      <c r="AF127" s="107"/>
    </row>
    <row r="128" ht="18" customHeight="1" spans="1:32">
      <c r="A128" s="52" t="str">
        <f>IF($AE128="","",IF($AE128&lt;=1200,IF(INDEX(对接源_01水果!$B$4:$B$1203,$AE128)=0,"",INDEX(对接源_01水果!$B$4:$B$1203,$AE128)),IF(INDEX(对接源_02物料!$B$4:$B$1203,$AE128-1200)=0,"",INDEX(对接源_02物料!$B$4:$B$1203,$AE128-1200))))</f>
        <v/>
      </c>
      <c r="B128" s="53" t="str">
        <f>IF($AE128="","",IF($AE128&lt;=1200,IF(INDEX(对接源_01水果!$E$4:$E$1203,$AE128)=0,"",INDEX(对接源_01水果!$E$4:$E$1203,$AE128)),IF(INDEX(对接源_02物料!$E$4:$E$1203,$AE128-1200)=0,"",INDEX(对接源_02物料!$E$4:$E$1203,$AE128-1200))))</f>
        <v/>
      </c>
      <c r="C128" s="106" t="str">
        <f>IF($AE128="","",IF($AE128&lt;=1200,IF(INDEX(对接源_01水果!$F$4:$F$1203,$AE128)=0,"",INDEX(对接源_01水果!$F$4:$F$1203,$AE128)),IF(INDEX(对接源_02物料!$F$4:$F$1203,$AE128-1200)=0,"",INDEX(对接源_02物料!$F$4:$F$1203,$AE128-1200))))</f>
        <v/>
      </c>
      <c r="D128" s="53" t="str">
        <f>IF($AE128="","",IF(IF($AE128&lt;=1200,IF(INDEX(对接源_01水果!$G$4:$G$1203,$AE128)=0,"",INDEX(对接源_01水果!$G$4:$G$1203,$AE128)),IF(INDEX(对接源_02物料!$G$4:$G$1203,$AE128-1200)=0,"",INDEX(对接源_02物料!$G$4:$G$1203,$AE128-1200)))="",IF($AE128&lt;=1200,IF(INDEX(对接源_01水果!$D$4:$D$1203,$AE128)=0,"",INDEX(对接源_01水果!$D$4:$D$1203,$AE128)),IF(INDEX(对接源_02物料!$D$4:$D$1203,$AE128-1200)=0,"",INDEX(对接源_02物料!$D$4:$D$1203,$AE128-1200))),IF($AE128&lt;=1200,IF(INDEX(对接源_01水果!$G$4:$G$1203,$AE128)=0,"",INDEX(对接源_01水果!$G$4:$G$1203,$AE128)),IF(INDEX(对接源_02物料!$G$4:$G$1203,$AE128-1200)=0,"",INDEX(对接源_02物料!$G$4:$G$1203,$AE128-1200)))))</f>
        <v/>
      </c>
      <c r="E128" s="55" t="str">
        <f>IF($AE128="","",IF($AE128&lt;=1200,IF(INDEX(对接源_01水果!$H$4:$H$1203,$AE128)=0,"",INDEX(对接源_01水果!$H$4:$H$1203,$AE128)),IF(INDEX(对接源_02物料!$H$4:$H$1203,$AE128-1200)=0,"",INDEX(对接源_02物料!$H$4:$H$1203,$AE128-1200))))</f>
        <v/>
      </c>
      <c r="F128" s="53" t="str">
        <f>IF($AE128="","",IF($AE128&lt;=1200,IF(INDEX(对接源_01水果!$I$4:$I$1203,$AE128)=0,"",INDEX(对接源_01水果!$I$4:$I$1203,$AE128)),IF(INDEX(对接源_02物料!$I$4:$I$1203,$AE128-1200)=0,"",INDEX(对接源_02物料!$I$4:$I$1203,$AE128-1200))))</f>
        <v/>
      </c>
      <c r="G128" s="55" t="str">
        <f>IF($AE128="","",IF(IF($AE128&lt;=1200,N(INDEX(对接源_01水果!$H$4:$H$1203,$AE128)),N(INDEX(对接源_02物料!$H$4:$H$1203,$AE128-1200)))=0,"",ROUND(IF($AE128&lt;=1200,N(INDEX(对接源_01水果!$K$4:$K$1203,$AE128)),N(INDEX(对接源_02物料!$K$4:$K$1203,$AE128-1200)))/IF($AE128&lt;=1200,N(INDEX(对接源_01水果!$H$4:$H$1203,$AE128)),N(INDEX(对接源_02物料!$H$4:$H$1203,$AE128-1200))),2)))</f>
        <v/>
      </c>
      <c r="H128" s="55" t="str">
        <f>IF($AE128="","",IF($AE128&lt;=1200,IF(INDEX(对接源_01水果!$K$4:$K$1203,$AE128)=0,"",INDEX(对接源_01水果!$K$4:$K$1203,$AE128)),IF(INDEX(对接源_02物料!$K$4:$K$1203,$AE128-1200)=0,"",INDEX(对接源_02物料!$K$4:$K$1203,$AE128-1200))))</f>
        <v/>
      </c>
      <c r="I128" s="53" t="str">
        <f>IF($AE128="","",IF($AE128&lt;=1200,IF(INDEX(对接源_01水果!$L$4:$L$1203,$AE128)=0,"",INDEX(对接源_01水果!$L$4:$L$1203,$AE128)),IF(INDEX(对接源_02物料!$L$4:$L$1203,$AE128-1200)=0,"",INDEX(对接源_02物料!$L$4:$L$1203,$AE128-1200))))</f>
        <v/>
      </c>
      <c r="J128" s="106" t="str">
        <f>IF($AE128="","",IF($AE128&lt;=1200,IF(INDEX(对接源_01水果!$M$4:$M$1203,$AE128)=0,"",INDEX(对接源_01水果!$M$4:$M$1203,$AE128)),IF(INDEX(对接源_02物料!$M$4:$M$1203,$AE128-1200)=0,"",INDEX(对接源_02物料!$M$4:$M$1203,$AE128-1200))))</f>
        <v/>
      </c>
      <c r="AE128" s="107" t="str">
        <f>IFERROR(MATCH(123,_自动清单!$AS$4:$AS$2403,0),"")</f>
        <v/>
      </c>
      <c r="AF128" s="107"/>
    </row>
    <row r="129" ht="18" customHeight="1" spans="1:32">
      <c r="A129" s="52" t="str">
        <f>IF($AE129="","",IF($AE129&lt;=1200,IF(INDEX(对接源_01水果!$B$4:$B$1203,$AE129)=0,"",INDEX(对接源_01水果!$B$4:$B$1203,$AE129)),IF(INDEX(对接源_02物料!$B$4:$B$1203,$AE129-1200)=0,"",INDEX(对接源_02物料!$B$4:$B$1203,$AE129-1200))))</f>
        <v/>
      </c>
      <c r="B129" s="53" t="str">
        <f>IF($AE129="","",IF($AE129&lt;=1200,IF(INDEX(对接源_01水果!$E$4:$E$1203,$AE129)=0,"",INDEX(对接源_01水果!$E$4:$E$1203,$AE129)),IF(INDEX(对接源_02物料!$E$4:$E$1203,$AE129-1200)=0,"",INDEX(对接源_02物料!$E$4:$E$1203,$AE129-1200))))</f>
        <v/>
      </c>
      <c r="C129" s="106" t="str">
        <f>IF($AE129="","",IF($AE129&lt;=1200,IF(INDEX(对接源_01水果!$F$4:$F$1203,$AE129)=0,"",INDEX(对接源_01水果!$F$4:$F$1203,$AE129)),IF(INDEX(对接源_02物料!$F$4:$F$1203,$AE129-1200)=0,"",INDEX(对接源_02物料!$F$4:$F$1203,$AE129-1200))))</f>
        <v/>
      </c>
      <c r="D129" s="53" t="str">
        <f>IF($AE129="","",IF(IF($AE129&lt;=1200,IF(INDEX(对接源_01水果!$G$4:$G$1203,$AE129)=0,"",INDEX(对接源_01水果!$G$4:$G$1203,$AE129)),IF(INDEX(对接源_02物料!$G$4:$G$1203,$AE129-1200)=0,"",INDEX(对接源_02物料!$G$4:$G$1203,$AE129-1200)))="",IF($AE129&lt;=1200,IF(INDEX(对接源_01水果!$D$4:$D$1203,$AE129)=0,"",INDEX(对接源_01水果!$D$4:$D$1203,$AE129)),IF(INDEX(对接源_02物料!$D$4:$D$1203,$AE129-1200)=0,"",INDEX(对接源_02物料!$D$4:$D$1203,$AE129-1200))),IF($AE129&lt;=1200,IF(INDEX(对接源_01水果!$G$4:$G$1203,$AE129)=0,"",INDEX(对接源_01水果!$G$4:$G$1203,$AE129)),IF(INDEX(对接源_02物料!$G$4:$G$1203,$AE129-1200)=0,"",INDEX(对接源_02物料!$G$4:$G$1203,$AE129-1200)))))</f>
        <v/>
      </c>
      <c r="E129" s="55" t="str">
        <f>IF($AE129="","",IF($AE129&lt;=1200,IF(INDEX(对接源_01水果!$H$4:$H$1203,$AE129)=0,"",INDEX(对接源_01水果!$H$4:$H$1203,$AE129)),IF(INDEX(对接源_02物料!$H$4:$H$1203,$AE129-1200)=0,"",INDEX(对接源_02物料!$H$4:$H$1203,$AE129-1200))))</f>
        <v/>
      </c>
      <c r="F129" s="53" t="str">
        <f>IF($AE129="","",IF($AE129&lt;=1200,IF(INDEX(对接源_01水果!$I$4:$I$1203,$AE129)=0,"",INDEX(对接源_01水果!$I$4:$I$1203,$AE129)),IF(INDEX(对接源_02物料!$I$4:$I$1203,$AE129-1200)=0,"",INDEX(对接源_02物料!$I$4:$I$1203,$AE129-1200))))</f>
        <v/>
      </c>
      <c r="G129" s="55" t="str">
        <f>IF($AE129="","",IF(IF($AE129&lt;=1200,N(INDEX(对接源_01水果!$H$4:$H$1203,$AE129)),N(INDEX(对接源_02物料!$H$4:$H$1203,$AE129-1200)))=0,"",ROUND(IF($AE129&lt;=1200,N(INDEX(对接源_01水果!$K$4:$K$1203,$AE129)),N(INDEX(对接源_02物料!$K$4:$K$1203,$AE129-1200)))/IF($AE129&lt;=1200,N(INDEX(对接源_01水果!$H$4:$H$1203,$AE129)),N(INDEX(对接源_02物料!$H$4:$H$1203,$AE129-1200))),2)))</f>
        <v/>
      </c>
      <c r="H129" s="55" t="str">
        <f>IF($AE129="","",IF($AE129&lt;=1200,IF(INDEX(对接源_01水果!$K$4:$K$1203,$AE129)=0,"",INDEX(对接源_01水果!$K$4:$K$1203,$AE129)),IF(INDEX(对接源_02物料!$K$4:$K$1203,$AE129-1200)=0,"",INDEX(对接源_02物料!$K$4:$K$1203,$AE129-1200))))</f>
        <v/>
      </c>
      <c r="I129" s="53" t="str">
        <f>IF($AE129="","",IF($AE129&lt;=1200,IF(INDEX(对接源_01水果!$L$4:$L$1203,$AE129)=0,"",INDEX(对接源_01水果!$L$4:$L$1203,$AE129)),IF(INDEX(对接源_02物料!$L$4:$L$1203,$AE129-1200)=0,"",INDEX(对接源_02物料!$L$4:$L$1203,$AE129-1200))))</f>
        <v/>
      </c>
      <c r="J129" s="106" t="str">
        <f>IF($AE129="","",IF($AE129&lt;=1200,IF(INDEX(对接源_01水果!$M$4:$M$1203,$AE129)=0,"",INDEX(对接源_01水果!$M$4:$M$1203,$AE129)),IF(INDEX(对接源_02物料!$M$4:$M$1203,$AE129-1200)=0,"",INDEX(对接源_02物料!$M$4:$M$1203,$AE129-1200))))</f>
        <v/>
      </c>
      <c r="AE129" s="107" t="str">
        <f>IFERROR(MATCH(124,_自动清单!$AS$4:$AS$2403,0),"")</f>
        <v/>
      </c>
      <c r="AF129" s="107"/>
    </row>
    <row r="130" ht="18" customHeight="1" spans="1:32">
      <c r="A130" s="52" t="str">
        <f>IF($AE130="","",IF($AE130&lt;=1200,IF(INDEX(对接源_01水果!$B$4:$B$1203,$AE130)=0,"",INDEX(对接源_01水果!$B$4:$B$1203,$AE130)),IF(INDEX(对接源_02物料!$B$4:$B$1203,$AE130-1200)=0,"",INDEX(对接源_02物料!$B$4:$B$1203,$AE130-1200))))</f>
        <v/>
      </c>
      <c r="B130" s="53" t="str">
        <f>IF($AE130="","",IF($AE130&lt;=1200,IF(INDEX(对接源_01水果!$E$4:$E$1203,$AE130)=0,"",INDEX(对接源_01水果!$E$4:$E$1203,$AE130)),IF(INDEX(对接源_02物料!$E$4:$E$1203,$AE130-1200)=0,"",INDEX(对接源_02物料!$E$4:$E$1203,$AE130-1200))))</f>
        <v/>
      </c>
      <c r="C130" s="106" t="str">
        <f>IF($AE130="","",IF($AE130&lt;=1200,IF(INDEX(对接源_01水果!$F$4:$F$1203,$AE130)=0,"",INDEX(对接源_01水果!$F$4:$F$1203,$AE130)),IF(INDEX(对接源_02物料!$F$4:$F$1203,$AE130-1200)=0,"",INDEX(对接源_02物料!$F$4:$F$1203,$AE130-1200))))</f>
        <v/>
      </c>
      <c r="D130" s="53" t="str">
        <f>IF($AE130="","",IF(IF($AE130&lt;=1200,IF(INDEX(对接源_01水果!$G$4:$G$1203,$AE130)=0,"",INDEX(对接源_01水果!$G$4:$G$1203,$AE130)),IF(INDEX(对接源_02物料!$G$4:$G$1203,$AE130-1200)=0,"",INDEX(对接源_02物料!$G$4:$G$1203,$AE130-1200)))="",IF($AE130&lt;=1200,IF(INDEX(对接源_01水果!$D$4:$D$1203,$AE130)=0,"",INDEX(对接源_01水果!$D$4:$D$1203,$AE130)),IF(INDEX(对接源_02物料!$D$4:$D$1203,$AE130-1200)=0,"",INDEX(对接源_02物料!$D$4:$D$1203,$AE130-1200))),IF($AE130&lt;=1200,IF(INDEX(对接源_01水果!$G$4:$G$1203,$AE130)=0,"",INDEX(对接源_01水果!$G$4:$G$1203,$AE130)),IF(INDEX(对接源_02物料!$G$4:$G$1203,$AE130-1200)=0,"",INDEX(对接源_02物料!$G$4:$G$1203,$AE130-1200)))))</f>
        <v/>
      </c>
      <c r="E130" s="55" t="str">
        <f>IF($AE130="","",IF($AE130&lt;=1200,IF(INDEX(对接源_01水果!$H$4:$H$1203,$AE130)=0,"",INDEX(对接源_01水果!$H$4:$H$1203,$AE130)),IF(INDEX(对接源_02物料!$H$4:$H$1203,$AE130-1200)=0,"",INDEX(对接源_02物料!$H$4:$H$1203,$AE130-1200))))</f>
        <v/>
      </c>
      <c r="F130" s="53" t="str">
        <f>IF($AE130="","",IF($AE130&lt;=1200,IF(INDEX(对接源_01水果!$I$4:$I$1203,$AE130)=0,"",INDEX(对接源_01水果!$I$4:$I$1203,$AE130)),IF(INDEX(对接源_02物料!$I$4:$I$1203,$AE130-1200)=0,"",INDEX(对接源_02物料!$I$4:$I$1203,$AE130-1200))))</f>
        <v/>
      </c>
      <c r="G130" s="55" t="str">
        <f>IF($AE130="","",IF(IF($AE130&lt;=1200,N(INDEX(对接源_01水果!$H$4:$H$1203,$AE130)),N(INDEX(对接源_02物料!$H$4:$H$1203,$AE130-1200)))=0,"",ROUND(IF($AE130&lt;=1200,N(INDEX(对接源_01水果!$K$4:$K$1203,$AE130)),N(INDEX(对接源_02物料!$K$4:$K$1203,$AE130-1200)))/IF($AE130&lt;=1200,N(INDEX(对接源_01水果!$H$4:$H$1203,$AE130)),N(INDEX(对接源_02物料!$H$4:$H$1203,$AE130-1200))),2)))</f>
        <v/>
      </c>
      <c r="H130" s="55" t="str">
        <f>IF($AE130="","",IF($AE130&lt;=1200,IF(INDEX(对接源_01水果!$K$4:$K$1203,$AE130)=0,"",INDEX(对接源_01水果!$K$4:$K$1203,$AE130)),IF(INDEX(对接源_02物料!$K$4:$K$1203,$AE130-1200)=0,"",INDEX(对接源_02物料!$K$4:$K$1203,$AE130-1200))))</f>
        <v/>
      </c>
      <c r="I130" s="53" t="str">
        <f>IF($AE130="","",IF($AE130&lt;=1200,IF(INDEX(对接源_01水果!$L$4:$L$1203,$AE130)=0,"",INDEX(对接源_01水果!$L$4:$L$1203,$AE130)),IF(INDEX(对接源_02物料!$L$4:$L$1203,$AE130-1200)=0,"",INDEX(对接源_02物料!$L$4:$L$1203,$AE130-1200))))</f>
        <v/>
      </c>
      <c r="J130" s="106" t="str">
        <f>IF($AE130="","",IF($AE130&lt;=1200,IF(INDEX(对接源_01水果!$M$4:$M$1203,$AE130)=0,"",INDEX(对接源_01水果!$M$4:$M$1203,$AE130)),IF(INDEX(对接源_02物料!$M$4:$M$1203,$AE130-1200)=0,"",INDEX(对接源_02物料!$M$4:$M$1203,$AE130-1200))))</f>
        <v/>
      </c>
      <c r="AE130" s="107" t="str">
        <f>IFERROR(MATCH(125,_自动清单!$AS$4:$AS$2403,0),"")</f>
        <v/>
      </c>
      <c r="AF130" s="107"/>
    </row>
    <row r="131" ht="18" customHeight="1" spans="1:32">
      <c r="A131" s="52" t="str">
        <f>IF($AE131="","",IF($AE131&lt;=1200,IF(INDEX(对接源_01水果!$B$4:$B$1203,$AE131)=0,"",INDEX(对接源_01水果!$B$4:$B$1203,$AE131)),IF(INDEX(对接源_02物料!$B$4:$B$1203,$AE131-1200)=0,"",INDEX(对接源_02物料!$B$4:$B$1203,$AE131-1200))))</f>
        <v/>
      </c>
      <c r="B131" s="53" t="str">
        <f>IF($AE131="","",IF($AE131&lt;=1200,IF(INDEX(对接源_01水果!$E$4:$E$1203,$AE131)=0,"",INDEX(对接源_01水果!$E$4:$E$1203,$AE131)),IF(INDEX(对接源_02物料!$E$4:$E$1203,$AE131-1200)=0,"",INDEX(对接源_02物料!$E$4:$E$1203,$AE131-1200))))</f>
        <v/>
      </c>
      <c r="C131" s="106" t="str">
        <f>IF($AE131="","",IF($AE131&lt;=1200,IF(INDEX(对接源_01水果!$F$4:$F$1203,$AE131)=0,"",INDEX(对接源_01水果!$F$4:$F$1203,$AE131)),IF(INDEX(对接源_02物料!$F$4:$F$1203,$AE131-1200)=0,"",INDEX(对接源_02物料!$F$4:$F$1203,$AE131-1200))))</f>
        <v/>
      </c>
      <c r="D131" s="53" t="str">
        <f>IF($AE131="","",IF(IF($AE131&lt;=1200,IF(INDEX(对接源_01水果!$G$4:$G$1203,$AE131)=0,"",INDEX(对接源_01水果!$G$4:$G$1203,$AE131)),IF(INDEX(对接源_02物料!$G$4:$G$1203,$AE131-1200)=0,"",INDEX(对接源_02物料!$G$4:$G$1203,$AE131-1200)))="",IF($AE131&lt;=1200,IF(INDEX(对接源_01水果!$D$4:$D$1203,$AE131)=0,"",INDEX(对接源_01水果!$D$4:$D$1203,$AE131)),IF(INDEX(对接源_02物料!$D$4:$D$1203,$AE131-1200)=0,"",INDEX(对接源_02物料!$D$4:$D$1203,$AE131-1200))),IF($AE131&lt;=1200,IF(INDEX(对接源_01水果!$G$4:$G$1203,$AE131)=0,"",INDEX(对接源_01水果!$G$4:$G$1203,$AE131)),IF(INDEX(对接源_02物料!$G$4:$G$1203,$AE131-1200)=0,"",INDEX(对接源_02物料!$G$4:$G$1203,$AE131-1200)))))</f>
        <v/>
      </c>
      <c r="E131" s="55" t="str">
        <f>IF($AE131="","",IF($AE131&lt;=1200,IF(INDEX(对接源_01水果!$H$4:$H$1203,$AE131)=0,"",INDEX(对接源_01水果!$H$4:$H$1203,$AE131)),IF(INDEX(对接源_02物料!$H$4:$H$1203,$AE131-1200)=0,"",INDEX(对接源_02物料!$H$4:$H$1203,$AE131-1200))))</f>
        <v/>
      </c>
      <c r="F131" s="53" t="str">
        <f>IF($AE131="","",IF($AE131&lt;=1200,IF(INDEX(对接源_01水果!$I$4:$I$1203,$AE131)=0,"",INDEX(对接源_01水果!$I$4:$I$1203,$AE131)),IF(INDEX(对接源_02物料!$I$4:$I$1203,$AE131-1200)=0,"",INDEX(对接源_02物料!$I$4:$I$1203,$AE131-1200))))</f>
        <v/>
      </c>
      <c r="G131" s="55" t="str">
        <f>IF($AE131="","",IF(IF($AE131&lt;=1200,N(INDEX(对接源_01水果!$H$4:$H$1203,$AE131)),N(INDEX(对接源_02物料!$H$4:$H$1203,$AE131-1200)))=0,"",ROUND(IF($AE131&lt;=1200,N(INDEX(对接源_01水果!$K$4:$K$1203,$AE131)),N(INDEX(对接源_02物料!$K$4:$K$1203,$AE131-1200)))/IF($AE131&lt;=1200,N(INDEX(对接源_01水果!$H$4:$H$1203,$AE131)),N(INDEX(对接源_02物料!$H$4:$H$1203,$AE131-1200))),2)))</f>
        <v/>
      </c>
      <c r="H131" s="55" t="str">
        <f>IF($AE131="","",IF($AE131&lt;=1200,IF(INDEX(对接源_01水果!$K$4:$K$1203,$AE131)=0,"",INDEX(对接源_01水果!$K$4:$K$1203,$AE131)),IF(INDEX(对接源_02物料!$K$4:$K$1203,$AE131-1200)=0,"",INDEX(对接源_02物料!$K$4:$K$1203,$AE131-1200))))</f>
        <v/>
      </c>
      <c r="I131" s="53" t="str">
        <f>IF($AE131="","",IF($AE131&lt;=1200,IF(INDEX(对接源_01水果!$L$4:$L$1203,$AE131)=0,"",INDEX(对接源_01水果!$L$4:$L$1203,$AE131)),IF(INDEX(对接源_02物料!$L$4:$L$1203,$AE131-1200)=0,"",INDEX(对接源_02物料!$L$4:$L$1203,$AE131-1200))))</f>
        <v/>
      </c>
      <c r="J131" s="106" t="str">
        <f>IF($AE131="","",IF($AE131&lt;=1200,IF(INDEX(对接源_01水果!$M$4:$M$1203,$AE131)=0,"",INDEX(对接源_01水果!$M$4:$M$1203,$AE131)),IF(INDEX(对接源_02物料!$M$4:$M$1203,$AE131-1200)=0,"",INDEX(对接源_02物料!$M$4:$M$1203,$AE131-1200))))</f>
        <v/>
      </c>
      <c r="AE131" s="107" t="str">
        <f>IFERROR(MATCH(126,_自动清单!$AS$4:$AS$2403,0),"")</f>
        <v/>
      </c>
      <c r="AF131" s="107"/>
    </row>
    <row r="132" ht="18" customHeight="1" spans="1:32">
      <c r="A132" s="52" t="str">
        <f>IF($AE132="","",IF($AE132&lt;=1200,IF(INDEX(对接源_01水果!$B$4:$B$1203,$AE132)=0,"",INDEX(对接源_01水果!$B$4:$B$1203,$AE132)),IF(INDEX(对接源_02物料!$B$4:$B$1203,$AE132-1200)=0,"",INDEX(对接源_02物料!$B$4:$B$1203,$AE132-1200))))</f>
        <v/>
      </c>
      <c r="B132" s="53" t="str">
        <f>IF($AE132="","",IF($AE132&lt;=1200,IF(INDEX(对接源_01水果!$E$4:$E$1203,$AE132)=0,"",INDEX(对接源_01水果!$E$4:$E$1203,$AE132)),IF(INDEX(对接源_02物料!$E$4:$E$1203,$AE132-1200)=0,"",INDEX(对接源_02物料!$E$4:$E$1203,$AE132-1200))))</f>
        <v/>
      </c>
      <c r="C132" s="106" t="str">
        <f>IF($AE132="","",IF($AE132&lt;=1200,IF(INDEX(对接源_01水果!$F$4:$F$1203,$AE132)=0,"",INDEX(对接源_01水果!$F$4:$F$1203,$AE132)),IF(INDEX(对接源_02物料!$F$4:$F$1203,$AE132-1200)=0,"",INDEX(对接源_02物料!$F$4:$F$1203,$AE132-1200))))</f>
        <v/>
      </c>
      <c r="D132" s="53" t="str">
        <f>IF($AE132="","",IF(IF($AE132&lt;=1200,IF(INDEX(对接源_01水果!$G$4:$G$1203,$AE132)=0,"",INDEX(对接源_01水果!$G$4:$G$1203,$AE132)),IF(INDEX(对接源_02物料!$G$4:$G$1203,$AE132-1200)=0,"",INDEX(对接源_02物料!$G$4:$G$1203,$AE132-1200)))="",IF($AE132&lt;=1200,IF(INDEX(对接源_01水果!$D$4:$D$1203,$AE132)=0,"",INDEX(对接源_01水果!$D$4:$D$1203,$AE132)),IF(INDEX(对接源_02物料!$D$4:$D$1203,$AE132-1200)=0,"",INDEX(对接源_02物料!$D$4:$D$1203,$AE132-1200))),IF($AE132&lt;=1200,IF(INDEX(对接源_01水果!$G$4:$G$1203,$AE132)=0,"",INDEX(对接源_01水果!$G$4:$G$1203,$AE132)),IF(INDEX(对接源_02物料!$G$4:$G$1203,$AE132-1200)=0,"",INDEX(对接源_02物料!$G$4:$G$1203,$AE132-1200)))))</f>
        <v/>
      </c>
      <c r="E132" s="55" t="str">
        <f>IF($AE132="","",IF($AE132&lt;=1200,IF(INDEX(对接源_01水果!$H$4:$H$1203,$AE132)=0,"",INDEX(对接源_01水果!$H$4:$H$1203,$AE132)),IF(INDEX(对接源_02物料!$H$4:$H$1203,$AE132-1200)=0,"",INDEX(对接源_02物料!$H$4:$H$1203,$AE132-1200))))</f>
        <v/>
      </c>
      <c r="F132" s="53" t="str">
        <f>IF($AE132="","",IF($AE132&lt;=1200,IF(INDEX(对接源_01水果!$I$4:$I$1203,$AE132)=0,"",INDEX(对接源_01水果!$I$4:$I$1203,$AE132)),IF(INDEX(对接源_02物料!$I$4:$I$1203,$AE132-1200)=0,"",INDEX(对接源_02物料!$I$4:$I$1203,$AE132-1200))))</f>
        <v/>
      </c>
      <c r="G132" s="55" t="str">
        <f>IF($AE132="","",IF(IF($AE132&lt;=1200,N(INDEX(对接源_01水果!$H$4:$H$1203,$AE132)),N(INDEX(对接源_02物料!$H$4:$H$1203,$AE132-1200)))=0,"",ROUND(IF($AE132&lt;=1200,N(INDEX(对接源_01水果!$K$4:$K$1203,$AE132)),N(INDEX(对接源_02物料!$K$4:$K$1203,$AE132-1200)))/IF($AE132&lt;=1200,N(INDEX(对接源_01水果!$H$4:$H$1203,$AE132)),N(INDEX(对接源_02物料!$H$4:$H$1203,$AE132-1200))),2)))</f>
        <v/>
      </c>
      <c r="H132" s="55" t="str">
        <f>IF($AE132="","",IF($AE132&lt;=1200,IF(INDEX(对接源_01水果!$K$4:$K$1203,$AE132)=0,"",INDEX(对接源_01水果!$K$4:$K$1203,$AE132)),IF(INDEX(对接源_02物料!$K$4:$K$1203,$AE132-1200)=0,"",INDEX(对接源_02物料!$K$4:$K$1203,$AE132-1200))))</f>
        <v/>
      </c>
      <c r="I132" s="53" t="str">
        <f>IF($AE132="","",IF($AE132&lt;=1200,IF(INDEX(对接源_01水果!$L$4:$L$1203,$AE132)=0,"",INDEX(对接源_01水果!$L$4:$L$1203,$AE132)),IF(INDEX(对接源_02物料!$L$4:$L$1203,$AE132-1200)=0,"",INDEX(对接源_02物料!$L$4:$L$1203,$AE132-1200))))</f>
        <v/>
      </c>
      <c r="J132" s="106" t="str">
        <f>IF($AE132="","",IF($AE132&lt;=1200,IF(INDEX(对接源_01水果!$M$4:$M$1203,$AE132)=0,"",INDEX(对接源_01水果!$M$4:$M$1203,$AE132)),IF(INDEX(对接源_02物料!$M$4:$M$1203,$AE132-1200)=0,"",INDEX(对接源_02物料!$M$4:$M$1203,$AE132-1200))))</f>
        <v/>
      </c>
      <c r="AE132" s="107" t="str">
        <f>IFERROR(MATCH(127,_自动清单!$AS$4:$AS$2403,0),"")</f>
        <v/>
      </c>
      <c r="AF132" s="107"/>
    </row>
    <row r="133" ht="18" customHeight="1" spans="1:32">
      <c r="A133" s="52" t="str">
        <f>IF($AE133="","",IF($AE133&lt;=1200,IF(INDEX(对接源_01水果!$B$4:$B$1203,$AE133)=0,"",INDEX(对接源_01水果!$B$4:$B$1203,$AE133)),IF(INDEX(对接源_02物料!$B$4:$B$1203,$AE133-1200)=0,"",INDEX(对接源_02物料!$B$4:$B$1203,$AE133-1200))))</f>
        <v/>
      </c>
      <c r="B133" s="53" t="str">
        <f>IF($AE133="","",IF($AE133&lt;=1200,IF(INDEX(对接源_01水果!$E$4:$E$1203,$AE133)=0,"",INDEX(对接源_01水果!$E$4:$E$1203,$AE133)),IF(INDEX(对接源_02物料!$E$4:$E$1203,$AE133-1200)=0,"",INDEX(对接源_02物料!$E$4:$E$1203,$AE133-1200))))</f>
        <v/>
      </c>
      <c r="C133" s="106" t="str">
        <f>IF($AE133="","",IF($AE133&lt;=1200,IF(INDEX(对接源_01水果!$F$4:$F$1203,$AE133)=0,"",INDEX(对接源_01水果!$F$4:$F$1203,$AE133)),IF(INDEX(对接源_02物料!$F$4:$F$1203,$AE133-1200)=0,"",INDEX(对接源_02物料!$F$4:$F$1203,$AE133-1200))))</f>
        <v/>
      </c>
      <c r="D133" s="53" t="str">
        <f>IF($AE133="","",IF(IF($AE133&lt;=1200,IF(INDEX(对接源_01水果!$G$4:$G$1203,$AE133)=0,"",INDEX(对接源_01水果!$G$4:$G$1203,$AE133)),IF(INDEX(对接源_02物料!$G$4:$G$1203,$AE133-1200)=0,"",INDEX(对接源_02物料!$G$4:$G$1203,$AE133-1200)))="",IF($AE133&lt;=1200,IF(INDEX(对接源_01水果!$D$4:$D$1203,$AE133)=0,"",INDEX(对接源_01水果!$D$4:$D$1203,$AE133)),IF(INDEX(对接源_02物料!$D$4:$D$1203,$AE133-1200)=0,"",INDEX(对接源_02物料!$D$4:$D$1203,$AE133-1200))),IF($AE133&lt;=1200,IF(INDEX(对接源_01水果!$G$4:$G$1203,$AE133)=0,"",INDEX(对接源_01水果!$G$4:$G$1203,$AE133)),IF(INDEX(对接源_02物料!$G$4:$G$1203,$AE133-1200)=0,"",INDEX(对接源_02物料!$G$4:$G$1203,$AE133-1200)))))</f>
        <v/>
      </c>
      <c r="E133" s="55" t="str">
        <f>IF($AE133="","",IF($AE133&lt;=1200,IF(INDEX(对接源_01水果!$H$4:$H$1203,$AE133)=0,"",INDEX(对接源_01水果!$H$4:$H$1203,$AE133)),IF(INDEX(对接源_02物料!$H$4:$H$1203,$AE133-1200)=0,"",INDEX(对接源_02物料!$H$4:$H$1203,$AE133-1200))))</f>
        <v/>
      </c>
      <c r="F133" s="53" t="str">
        <f>IF($AE133="","",IF($AE133&lt;=1200,IF(INDEX(对接源_01水果!$I$4:$I$1203,$AE133)=0,"",INDEX(对接源_01水果!$I$4:$I$1203,$AE133)),IF(INDEX(对接源_02物料!$I$4:$I$1203,$AE133-1200)=0,"",INDEX(对接源_02物料!$I$4:$I$1203,$AE133-1200))))</f>
        <v/>
      </c>
      <c r="G133" s="55" t="str">
        <f>IF($AE133="","",IF(IF($AE133&lt;=1200,N(INDEX(对接源_01水果!$H$4:$H$1203,$AE133)),N(INDEX(对接源_02物料!$H$4:$H$1203,$AE133-1200)))=0,"",ROUND(IF($AE133&lt;=1200,N(INDEX(对接源_01水果!$K$4:$K$1203,$AE133)),N(INDEX(对接源_02物料!$K$4:$K$1203,$AE133-1200)))/IF($AE133&lt;=1200,N(INDEX(对接源_01水果!$H$4:$H$1203,$AE133)),N(INDEX(对接源_02物料!$H$4:$H$1203,$AE133-1200))),2)))</f>
        <v/>
      </c>
      <c r="H133" s="55" t="str">
        <f>IF($AE133="","",IF($AE133&lt;=1200,IF(INDEX(对接源_01水果!$K$4:$K$1203,$AE133)=0,"",INDEX(对接源_01水果!$K$4:$K$1203,$AE133)),IF(INDEX(对接源_02物料!$K$4:$K$1203,$AE133-1200)=0,"",INDEX(对接源_02物料!$K$4:$K$1203,$AE133-1200))))</f>
        <v/>
      </c>
      <c r="I133" s="53" t="str">
        <f>IF($AE133="","",IF($AE133&lt;=1200,IF(INDEX(对接源_01水果!$L$4:$L$1203,$AE133)=0,"",INDEX(对接源_01水果!$L$4:$L$1203,$AE133)),IF(INDEX(对接源_02物料!$L$4:$L$1203,$AE133-1200)=0,"",INDEX(对接源_02物料!$L$4:$L$1203,$AE133-1200))))</f>
        <v/>
      </c>
      <c r="J133" s="106" t="str">
        <f>IF($AE133="","",IF($AE133&lt;=1200,IF(INDEX(对接源_01水果!$M$4:$M$1203,$AE133)=0,"",INDEX(对接源_01水果!$M$4:$M$1203,$AE133)),IF(INDEX(对接源_02物料!$M$4:$M$1203,$AE133-1200)=0,"",INDEX(对接源_02物料!$M$4:$M$1203,$AE133-1200))))</f>
        <v/>
      </c>
      <c r="AE133" s="107" t="str">
        <f>IFERROR(MATCH(128,_自动清单!$AS$4:$AS$2403,0),"")</f>
        <v/>
      </c>
      <c r="AF133" s="107"/>
    </row>
    <row r="134" ht="18" customHeight="1" spans="1:32">
      <c r="A134" s="52" t="str">
        <f>IF($AE134="","",IF($AE134&lt;=1200,IF(INDEX(对接源_01水果!$B$4:$B$1203,$AE134)=0,"",INDEX(对接源_01水果!$B$4:$B$1203,$AE134)),IF(INDEX(对接源_02物料!$B$4:$B$1203,$AE134-1200)=0,"",INDEX(对接源_02物料!$B$4:$B$1203,$AE134-1200))))</f>
        <v/>
      </c>
      <c r="B134" s="53" t="str">
        <f>IF($AE134="","",IF($AE134&lt;=1200,IF(INDEX(对接源_01水果!$E$4:$E$1203,$AE134)=0,"",INDEX(对接源_01水果!$E$4:$E$1203,$AE134)),IF(INDEX(对接源_02物料!$E$4:$E$1203,$AE134-1200)=0,"",INDEX(对接源_02物料!$E$4:$E$1203,$AE134-1200))))</f>
        <v/>
      </c>
      <c r="C134" s="106" t="str">
        <f>IF($AE134="","",IF($AE134&lt;=1200,IF(INDEX(对接源_01水果!$F$4:$F$1203,$AE134)=0,"",INDEX(对接源_01水果!$F$4:$F$1203,$AE134)),IF(INDEX(对接源_02物料!$F$4:$F$1203,$AE134-1200)=0,"",INDEX(对接源_02物料!$F$4:$F$1203,$AE134-1200))))</f>
        <v/>
      </c>
      <c r="D134" s="53" t="str">
        <f>IF($AE134="","",IF(IF($AE134&lt;=1200,IF(INDEX(对接源_01水果!$G$4:$G$1203,$AE134)=0,"",INDEX(对接源_01水果!$G$4:$G$1203,$AE134)),IF(INDEX(对接源_02物料!$G$4:$G$1203,$AE134-1200)=0,"",INDEX(对接源_02物料!$G$4:$G$1203,$AE134-1200)))="",IF($AE134&lt;=1200,IF(INDEX(对接源_01水果!$D$4:$D$1203,$AE134)=0,"",INDEX(对接源_01水果!$D$4:$D$1203,$AE134)),IF(INDEX(对接源_02物料!$D$4:$D$1203,$AE134-1200)=0,"",INDEX(对接源_02物料!$D$4:$D$1203,$AE134-1200))),IF($AE134&lt;=1200,IF(INDEX(对接源_01水果!$G$4:$G$1203,$AE134)=0,"",INDEX(对接源_01水果!$G$4:$G$1203,$AE134)),IF(INDEX(对接源_02物料!$G$4:$G$1203,$AE134-1200)=0,"",INDEX(对接源_02物料!$G$4:$G$1203,$AE134-1200)))))</f>
        <v/>
      </c>
      <c r="E134" s="55" t="str">
        <f>IF($AE134="","",IF($AE134&lt;=1200,IF(INDEX(对接源_01水果!$H$4:$H$1203,$AE134)=0,"",INDEX(对接源_01水果!$H$4:$H$1203,$AE134)),IF(INDEX(对接源_02物料!$H$4:$H$1203,$AE134-1200)=0,"",INDEX(对接源_02物料!$H$4:$H$1203,$AE134-1200))))</f>
        <v/>
      </c>
      <c r="F134" s="53" t="str">
        <f>IF($AE134="","",IF($AE134&lt;=1200,IF(INDEX(对接源_01水果!$I$4:$I$1203,$AE134)=0,"",INDEX(对接源_01水果!$I$4:$I$1203,$AE134)),IF(INDEX(对接源_02物料!$I$4:$I$1203,$AE134-1200)=0,"",INDEX(对接源_02物料!$I$4:$I$1203,$AE134-1200))))</f>
        <v/>
      </c>
      <c r="G134" s="55" t="str">
        <f>IF($AE134="","",IF(IF($AE134&lt;=1200,N(INDEX(对接源_01水果!$H$4:$H$1203,$AE134)),N(INDEX(对接源_02物料!$H$4:$H$1203,$AE134-1200)))=0,"",ROUND(IF($AE134&lt;=1200,N(INDEX(对接源_01水果!$K$4:$K$1203,$AE134)),N(INDEX(对接源_02物料!$K$4:$K$1203,$AE134-1200)))/IF($AE134&lt;=1200,N(INDEX(对接源_01水果!$H$4:$H$1203,$AE134)),N(INDEX(对接源_02物料!$H$4:$H$1203,$AE134-1200))),2)))</f>
        <v/>
      </c>
      <c r="H134" s="55" t="str">
        <f>IF($AE134="","",IF($AE134&lt;=1200,IF(INDEX(对接源_01水果!$K$4:$K$1203,$AE134)=0,"",INDEX(对接源_01水果!$K$4:$K$1203,$AE134)),IF(INDEX(对接源_02物料!$K$4:$K$1203,$AE134-1200)=0,"",INDEX(对接源_02物料!$K$4:$K$1203,$AE134-1200))))</f>
        <v/>
      </c>
      <c r="I134" s="53" t="str">
        <f>IF($AE134="","",IF($AE134&lt;=1200,IF(INDEX(对接源_01水果!$L$4:$L$1203,$AE134)=0,"",INDEX(对接源_01水果!$L$4:$L$1203,$AE134)),IF(INDEX(对接源_02物料!$L$4:$L$1203,$AE134-1200)=0,"",INDEX(对接源_02物料!$L$4:$L$1203,$AE134-1200))))</f>
        <v/>
      </c>
      <c r="J134" s="106" t="str">
        <f>IF($AE134="","",IF($AE134&lt;=1200,IF(INDEX(对接源_01水果!$M$4:$M$1203,$AE134)=0,"",INDEX(对接源_01水果!$M$4:$M$1203,$AE134)),IF(INDEX(对接源_02物料!$M$4:$M$1203,$AE134-1200)=0,"",INDEX(对接源_02物料!$M$4:$M$1203,$AE134-1200))))</f>
        <v/>
      </c>
      <c r="AE134" s="107" t="str">
        <f>IFERROR(MATCH(129,_自动清单!$AS$4:$AS$2403,0),"")</f>
        <v/>
      </c>
      <c r="AF134" s="107"/>
    </row>
    <row r="135" ht="18" customHeight="1" spans="1:32">
      <c r="A135" s="52" t="str">
        <f>IF($AE135="","",IF($AE135&lt;=1200,IF(INDEX(对接源_01水果!$B$4:$B$1203,$AE135)=0,"",INDEX(对接源_01水果!$B$4:$B$1203,$AE135)),IF(INDEX(对接源_02物料!$B$4:$B$1203,$AE135-1200)=0,"",INDEX(对接源_02物料!$B$4:$B$1203,$AE135-1200))))</f>
        <v/>
      </c>
      <c r="B135" s="53" t="str">
        <f>IF($AE135="","",IF($AE135&lt;=1200,IF(INDEX(对接源_01水果!$E$4:$E$1203,$AE135)=0,"",INDEX(对接源_01水果!$E$4:$E$1203,$AE135)),IF(INDEX(对接源_02物料!$E$4:$E$1203,$AE135-1200)=0,"",INDEX(对接源_02物料!$E$4:$E$1203,$AE135-1200))))</f>
        <v/>
      </c>
      <c r="C135" s="106" t="str">
        <f>IF($AE135="","",IF($AE135&lt;=1200,IF(INDEX(对接源_01水果!$F$4:$F$1203,$AE135)=0,"",INDEX(对接源_01水果!$F$4:$F$1203,$AE135)),IF(INDEX(对接源_02物料!$F$4:$F$1203,$AE135-1200)=0,"",INDEX(对接源_02物料!$F$4:$F$1203,$AE135-1200))))</f>
        <v/>
      </c>
      <c r="D135" s="53" t="str">
        <f>IF($AE135="","",IF(IF($AE135&lt;=1200,IF(INDEX(对接源_01水果!$G$4:$G$1203,$AE135)=0,"",INDEX(对接源_01水果!$G$4:$G$1203,$AE135)),IF(INDEX(对接源_02物料!$G$4:$G$1203,$AE135-1200)=0,"",INDEX(对接源_02物料!$G$4:$G$1203,$AE135-1200)))="",IF($AE135&lt;=1200,IF(INDEX(对接源_01水果!$D$4:$D$1203,$AE135)=0,"",INDEX(对接源_01水果!$D$4:$D$1203,$AE135)),IF(INDEX(对接源_02物料!$D$4:$D$1203,$AE135-1200)=0,"",INDEX(对接源_02物料!$D$4:$D$1203,$AE135-1200))),IF($AE135&lt;=1200,IF(INDEX(对接源_01水果!$G$4:$G$1203,$AE135)=0,"",INDEX(对接源_01水果!$G$4:$G$1203,$AE135)),IF(INDEX(对接源_02物料!$G$4:$G$1203,$AE135-1200)=0,"",INDEX(对接源_02物料!$G$4:$G$1203,$AE135-1200)))))</f>
        <v/>
      </c>
      <c r="E135" s="55" t="str">
        <f>IF($AE135="","",IF($AE135&lt;=1200,IF(INDEX(对接源_01水果!$H$4:$H$1203,$AE135)=0,"",INDEX(对接源_01水果!$H$4:$H$1203,$AE135)),IF(INDEX(对接源_02物料!$H$4:$H$1203,$AE135-1200)=0,"",INDEX(对接源_02物料!$H$4:$H$1203,$AE135-1200))))</f>
        <v/>
      </c>
      <c r="F135" s="53" t="str">
        <f>IF($AE135="","",IF($AE135&lt;=1200,IF(INDEX(对接源_01水果!$I$4:$I$1203,$AE135)=0,"",INDEX(对接源_01水果!$I$4:$I$1203,$AE135)),IF(INDEX(对接源_02物料!$I$4:$I$1203,$AE135-1200)=0,"",INDEX(对接源_02物料!$I$4:$I$1203,$AE135-1200))))</f>
        <v/>
      </c>
      <c r="G135" s="55" t="str">
        <f>IF($AE135="","",IF(IF($AE135&lt;=1200,N(INDEX(对接源_01水果!$H$4:$H$1203,$AE135)),N(INDEX(对接源_02物料!$H$4:$H$1203,$AE135-1200)))=0,"",ROUND(IF($AE135&lt;=1200,N(INDEX(对接源_01水果!$K$4:$K$1203,$AE135)),N(INDEX(对接源_02物料!$K$4:$K$1203,$AE135-1200)))/IF($AE135&lt;=1200,N(INDEX(对接源_01水果!$H$4:$H$1203,$AE135)),N(INDEX(对接源_02物料!$H$4:$H$1203,$AE135-1200))),2)))</f>
        <v/>
      </c>
      <c r="H135" s="55" t="str">
        <f>IF($AE135="","",IF($AE135&lt;=1200,IF(INDEX(对接源_01水果!$K$4:$K$1203,$AE135)=0,"",INDEX(对接源_01水果!$K$4:$K$1203,$AE135)),IF(INDEX(对接源_02物料!$K$4:$K$1203,$AE135-1200)=0,"",INDEX(对接源_02物料!$K$4:$K$1203,$AE135-1200))))</f>
        <v/>
      </c>
      <c r="I135" s="53" t="str">
        <f>IF($AE135="","",IF($AE135&lt;=1200,IF(INDEX(对接源_01水果!$L$4:$L$1203,$AE135)=0,"",INDEX(对接源_01水果!$L$4:$L$1203,$AE135)),IF(INDEX(对接源_02物料!$L$4:$L$1203,$AE135-1200)=0,"",INDEX(对接源_02物料!$L$4:$L$1203,$AE135-1200))))</f>
        <v/>
      </c>
      <c r="J135" s="106" t="str">
        <f>IF($AE135="","",IF($AE135&lt;=1200,IF(INDEX(对接源_01水果!$M$4:$M$1203,$AE135)=0,"",INDEX(对接源_01水果!$M$4:$M$1203,$AE135)),IF(INDEX(对接源_02物料!$M$4:$M$1203,$AE135-1200)=0,"",INDEX(对接源_02物料!$M$4:$M$1203,$AE135-1200))))</f>
        <v/>
      </c>
      <c r="AE135" s="107" t="str">
        <f>IFERROR(MATCH(130,_自动清单!$AS$4:$AS$2403,0),"")</f>
        <v/>
      </c>
      <c r="AF135" s="107"/>
    </row>
    <row r="136" ht="18" customHeight="1" spans="1:32">
      <c r="A136" s="52" t="str">
        <f>IF($AE136="","",IF($AE136&lt;=1200,IF(INDEX(对接源_01水果!$B$4:$B$1203,$AE136)=0,"",INDEX(对接源_01水果!$B$4:$B$1203,$AE136)),IF(INDEX(对接源_02物料!$B$4:$B$1203,$AE136-1200)=0,"",INDEX(对接源_02物料!$B$4:$B$1203,$AE136-1200))))</f>
        <v/>
      </c>
      <c r="B136" s="53" t="str">
        <f>IF($AE136="","",IF($AE136&lt;=1200,IF(INDEX(对接源_01水果!$E$4:$E$1203,$AE136)=0,"",INDEX(对接源_01水果!$E$4:$E$1203,$AE136)),IF(INDEX(对接源_02物料!$E$4:$E$1203,$AE136-1200)=0,"",INDEX(对接源_02物料!$E$4:$E$1203,$AE136-1200))))</f>
        <v/>
      </c>
      <c r="C136" s="106" t="str">
        <f>IF($AE136="","",IF($AE136&lt;=1200,IF(INDEX(对接源_01水果!$F$4:$F$1203,$AE136)=0,"",INDEX(对接源_01水果!$F$4:$F$1203,$AE136)),IF(INDEX(对接源_02物料!$F$4:$F$1203,$AE136-1200)=0,"",INDEX(对接源_02物料!$F$4:$F$1203,$AE136-1200))))</f>
        <v/>
      </c>
      <c r="D136" s="53" t="str">
        <f>IF($AE136="","",IF(IF($AE136&lt;=1200,IF(INDEX(对接源_01水果!$G$4:$G$1203,$AE136)=0,"",INDEX(对接源_01水果!$G$4:$G$1203,$AE136)),IF(INDEX(对接源_02物料!$G$4:$G$1203,$AE136-1200)=0,"",INDEX(对接源_02物料!$G$4:$G$1203,$AE136-1200)))="",IF($AE136&lt;=1200,IF(INDEX(对接源_01水果!$D$4:$D$1203,$AE136)=0,"",INDEX(对接源_01水果!$D$4:$D$1203,$AE136)),IF(INDEX(对接源_02物料!$D$4:$D$1203,$AE136-1200)=0,"",INDEX(对接源_02物料!$D$4:$D$1203,$AE136-1200))),IF($AE136&lt;=1200,IF(INDEX(对接源_01水果!$G$4:$G$1203,$AE136)=0,"",INDEX(对接源_01水果!$G$4:$G$1203,$AE136)),IF(INDEX(对接源_02物料!$G$4:$G$1203,$AE136-1200)=0,"",INDEX(对接源_02物料!$G$4:$G$1203,$AE136-1200)))))</f>
        <v/>
      </c>
      <c r="E136" s="55" t="str">
        <f>IF($AE136="","",IF($AE136&lt;=1200,IF(INDEX(对接源_01水果!$H$4:$H$1203,$AE136)=0,"",INDEX(对接源_01水果!$H$4:$H$1203,$AE136)),IF(INDEX(对接源_02物料!$H$4:$H$1203,$AE136-1200)=0,"",INDEX(对接源_02物料!$H$4:$H$1203,$AE136-1200))))</f>
        <v/>
      </c>
      <c r="F136" s="53" t="str">
        <f>IF($AE136="","",IF($AE136&lt;=1200,IF(INDEX(对接源_01水果!$I$4:$I$1203,$AE136)=0,"",INDEX(对接源_01水果!$I$4:$I$1203,$AE136)),IF(INDEX(对接源_02物料!$I$4:$I$1203,$AE136-1200)=0,"",INDEX(对接源_02物料!$I$4:$I$1203,$AE136-1200))))</f>
        <v/>
      </c>
      <c r="G136" s="55" t="str">
        <f>IF($AE136="","",IF(IF($AE136&lt;=1200,N(INDEX(对接源_01水果!$H$4:$H$1203,$AE136)),N(INDEX(对接源_02物料!$H$4:$H$1203,$AE136-1200)))=0,"",ROUND(IF($AE136&lt;=1200,N(INDEX(对接源_01水果!$K$4:$K$1203,$AE136)),N(INDEX(对接源_02物料!$K$4:$K$1203,$AE136-1200)))/IF($AE136&lt;=1200,N(INDEX(对接源_01水果!$H$4:$H$1203,$AE136)),N(INDEX(对接源_02物料!$H$4:$H$1203,$AE136-1200))),2)))</f>
        <v/>
      </c>
      <c r="H136" s="55" t="str">
        <f>IF($AE136="","",IF($AE136&lt;=1200,IF(INDEX(对接源_01水果!$K$4:$K$1203,$AE136)=0,"",INDEX(对接源_01水果!$K$4:$K$1203,$AE136)),IF(INDEX(对接源_02物料!$K$4:$K$1203,$AE136-1200)=0,"",INDEX(对接源_02物料!$K$4:$K$1203,$AE136-1200))))</f>
        <v/>
      </c>
      <c r="I136" s="53" t="str">
        <f>IF($AE136="","",IF($AE136&lt;=1200,IF(INDEX(对接源_01水果!$L$4:$L$1203,$AE136)=0,"",INDEX(对接源_01水果!$L$4:$L$1203,$AE136)),IF(INDEX(对接源_02物料!$L$4:$L$1203,$AE136-1200)=0,"",INDEX(对接源_02物料!$L$4:$L$1203,$AE136-1200))))</f>
        <v/>
      </c>
      <c r="J136" s="106" t="str">
        <f>IF($AE136="","",IF($AE136&lt;=1200,IF(INDEX(对接源_01水果!$M$4:$M$1203,$AE136)=0,"",INDEX(对接源_01水果!$M$4:$M$1203,$AE136)),IF(INDEX(对接源_02物料!$M$4:$M$1203,$AE136-1200)=0,"",INDEX(对接源_02物料!$M$4:$M$1203,$AE136-1200))))</f>
        <v/>
      </c>
      <c r="AE136" s="107" t="str">
        <f>IFERROR(MATCH(131,_自动清单!$AS$4:$AS$2403,0),"")</f>
        <v/>
      </c>
      <c r="AF136" s="107"/>
    </row>
    <row r="137" ht="18" customHeight="1" spans="1:32">
      <c r="A137" s="52" t="str">
        <f>IF($AE137="","",IF($AE137&lt;=1200,IF(INDEX(对接源_01水果!$B$4:$B$1203,$AE137)=0,"",INDEX(对接源_01水果!$B$4:$B$1203,$AE137)),IF(INDEX(对接源_02物料!$B$4:$B$1203,$AE137-1200)=0,"",INDEX(对接源_02物料!$B$4:$B$1203,$AE137-1200))))</f>
        <v/>
      </c>
      <c r="B137" s="53" t="str">
        <f>IF($AE137="","",IF($AE137&lt;=1200,IF(INDEX(对接源_01水果!$E$4:$E$1203,$AE137)=0,"",INDEX(对接源_01水果!$E$4:$E$1203,$AE137)),IF(INDEX(对接源_02物料!$E$4:$E$1203,$AE137-1200)=0,"",INDEX(对接源_02物料!$E$4:$E$1203,$AE137-1200))))</f>
        <v/>
      </c>
      <c r="C137" s="106" t="str">
        <f>IF($AE137="","",IF($AE137&lt;=1200,IF(INDEX(对接源_01水果!$F$4:$F$1203,$AE137)=0,"",INDEX(对接源_01水果!$F$4:$F$1203,$AE137)),IF(INDEX(对接源_02物料!$F$4:$F$1203,$AE137-1200)=0,"",INDEX(对接源_02物料!$F$4:$F$1203,$AE137-1200))))</f>
        <v/>
      </c>
      <c r="D137" s="53" t="str">
        <f>IF($AE137="","",IF(IF($AE137&lt;=1200,IF(INDEX(对接源_01水果!$G$4:$G$1203,$AE137)=0,"",INDEX(对接源_01水果!$G$4:$G$1203,$AE137)),IF(INDEX(对接源_02物料!$G$4:$G$1203,$AE137-1200)=0,"",INDEX(对接源_02物料!$G$4:$G$1203,$AE137-1200)))="",IF($AE137&lt;=1200,IF(INDEX(对接源_01水果!$D$4:$D$1203,$AE137)=0,"",INDEX(对接源_01水果!$D$4:$D$1203,$AE137)),IF(INDEX(对接源_02物料!$D$4:$D$1203,$AE137-1200)=0,"",INDEX(对接源_02物料!$D$4:$D$1203,$AE137-1200))),IF($AE137&lt;=1200,IF(INDEX(对接源_01水果!$G$4:$G$1203,$AE137)=0,"",INDEX(对接源_01水果!$G$4:$G$1203,$AE137)),IF(INDEX(对接源_02物料!$G$4:$G$1203,$AE137-1200)=0,"",INDEX(对接源_02物料!$G$4:$G$1203,$AE137-1200)))))</f>
        <v/>
      </c>
      <c r="E137" s="55" t="str">
        <f>IF($AE137="","",IF($AE137&lt;=1200,IF(INDEX(对接源_01水果!$H$4:$H$1203,$AE137)=0,"",INDEX(对接源_01水果!$H$4:$H$1203,$AE137)),IF(INDEX(对接源_02物料!$H$4:$H$1203,$AE137-1200)=0,"",INDEX(对接源_02物料!$H$4:$H$1203,$AE137-1200))))</f>
        <v/>
      </c>
      <c r="F137" s="53" t="str">
        <f>IF($AE137="","",IF($AE137&lt;=1200,IF(INDEX(对接源_01水果!$I$4:$I$1203,$AE137)=0,"",INDEX(对接源_01水果!$I$4:$I$1203,$AE137)),IF(INDEX(对接源_02物料!$I$4:$I$1203,$AE137-1200)=0,"",INDEX(对接源_02物料!$I$4:$I$1203,$AE137-1200))))</f>
        <v/>
      </c>
      <c r="G137" s="55" t="str">
        <f>IF($AE137="","",IF(IF($AE137&lt;=1200,N(INDEX(对接源_01水果!$H$4:$H$1203,$AE137)),N(INDEX(对接源_02物料!$H$4:$H$1203,$AE137-1200)))=0,"",ROUND(IF($AE137&lt;=1200,N(INDEX(对接源_01水果!$K$4:$K$1203,$AE137)),N(INDEX(对接源_02物料!$K$4:$K$1203,$AE137-1200)))/IF($AE137&lt;=1200,N(INDEX(对接源_01水果!$H$4:$H$1203,$AE137)),N(INDEX(对接源_02物料!$H$4:$H$1203,$AE137-1200))),2)))</f>
        <v/>
      </c>
      <c r="H137" s="55" t="str">
        <f>IF($AE137="","",IF($AE137&lt;=1200,IF(INDEX(对接源_01水果!$K$4:$K$1203,$AE137)=0,"",INDEX(对接源_01水果!$K$4:$K$1203,$AE137)),IF(INDEX(对接源_02物料!$K$4:$K$1203,$AE137-1200)=0,"",INDEX(对接源_02物料!$K$4:$K$1203,$AE137-1200))))</f>
        <v/>
      </c>
      <c r="I137" s="53" t="str">
        <f>IF($AE137="","",IF($AE137&lt;=1200,IF(INDEX(对接源_01水果!$L$4:$L$1203,$AE137)=0,"",INDEX(对接源_01水果!$L$4:$L$1203,$AE137)),IF(INDEX(对接源_02物料!$L$4:$L$1203,$AE137-1200)=0,"",INDEX(对接源_02物料!$L$4:$L$1203,$AE137-1200))))</f>
        <v/>
      </c>
      <c r="J137" s="106" t="str">
        <f>IF($AE137="","",IF($AE137&lt;=1200,IF(INDEX(对接源_01水果!$M$4:$M$1203,$AE137)=0,"",INDEX(对接源_01水果!$M$4:$M$1203,$AE137)),IF(INDEX(对接源_02物料!$M$4:$M$1203,$AE137-1200)=0,"",INDEX(对接源_02物料!$M$4:$M$1203,$AE137-1200))))</f>
        <v/>
      </c>
      <c r="AE137" s="107" t="str">
        <f>IFERROR(MATCH(132,_自动清单!$AS$4:$AS$2403,0),"")</f>
        <v/>
      </c>
      <c r="AF137" s="107"/>
    </row>
    <row r="138" ht="18" customHeight="1" spans="1:32">
      <c r="A138" s="52" t="str">
        <f>IF($AE138="","",IF($AE138&lt;=1200,IF(INDEX(对接源_01水果!$B$4:$B$1203,$AE138)=0,"",INDEX(对接源_01水果!$B$4:$B$1203,$AE138)),IF(INDEX(对接源_02物料!$B$4:$B$1203,$AE138-1200)=0,"",INDEX(对接源_02物料!$B$4:$B$1203,$AE138-1200))))</f>
        <v/>
      </c>
      <c r="B138" s="53" t="str">
        <f>IF($AE138="","",IF($AE138&lt;=1200,IF(INDEX(对接源_01水果!$E$4:$E$1203,$AE138)=0,"",INDEX(对接源_01水果!$E$4:$E$1203,$AE138)),IF(INDEX(对接源_02物料!$E$4:$E$1203,$AE138-1200)=0,"",INDEX(对接源_02物料!$E$4:$E$1203,$AE138-1200))))</f>
        <v/>
      </c>
      <c r="C138" s="106" t="str">
        <f>IF($AE138="","",IF($AE138&lt;=1200,IF(INDEX(对接源_01水果!$F$4:$F$1203,$AE138)=0,"",INDEX(对接源_01水果!$F$4:$F$1203,$AE138)),IF(INDEX(对接源_02物料!$F$4:$F$1203,$AE138-1200)=0,"",INDEX(对接源_02物料!$F$4:$F$1203,$AE138-1200))))</f>
        <v/>
      </c>
      <c r="D138" s="53" t="str">
        <f>IF($AE138="","",IF(IF($AE138&lt;=1200,IF(INDEX(对接源_01水果!$G$4:$G$1203,$AE138)=0,"",INDEX(对接源_01水果!$G$4:$G$1203,$AE138)),IF(INDEX(对接源_02物料!$G$4:$G$1203,$AE138-1200)=0,"",INDEX(对接源_02物料!$G$4:$G$1203,$AE138-1200)))="",IF($AE138&lt;=1200,IF(INDEX(对接源_01水果!$D$4:$D$1203,$AE138)=0,"",INDEX(对接源_01水果!$D$4:$D$1203,$AE138)),IF(INDEX(对接源_02物料!$D$4:$D$1203,$AE138-1200)=0,"",INDEX(对接源_02物料!$D$4:$D$1203,$AE138-1200))),IF($AE138&lt;=1200,IF(INDEX(对接源_01水果!$G$4:$G$1203,$AE138)=0,"",INDEX(对接源_01水果!$G$4:$G$1203,$AE138)),IF(INDEX(对接源_02物料!$G$4:$G$1203,$AE138-1200)=0,"",INDEX(对接源_02物料!$G$4:$G$1203,$AE138-1200)))))</f>
        <v/>
      </c>
      <c r="E138" s="55" t="str">
        <f>IF($AE138="","",IF($AE138&lt;=1200,IF(INDEX(对接源_01水果!$H$4:$H$1203,$AE138)=0,"",INDEX(对接源_01水果!$H$4:$H$1203,$AE138)),IF(INDEX(对接源_02物料!$H$4:$H$1203,$AE138-1200)=0,"",INDEX(对接源_02物料!$H$4:$H$1203,$AE138-1200))))</f>
        <v/>
      </c>
      <c r="F138" s="53" t="str">
        <f>IF($AE138="","",IF($AE138&lt;=1200,IF(INDEX(对接源_01水果!$I$4:$I$1203,$AE138)=0,"",INDEX(对接源_01水果!$I$4:$I$1203,$AE138)),IF(INDEX(对接源_02物料!$I$4:$I$1203,$AE138-1200)=0,"",INDEX(对接源_02物料!$I$4:$I$1203,$AE138-1200))))</f>
        <v/>
      </c>
      <c r="G138" s="55" t="str">
        <f>IF($AE138="","",IF(IF($AE138&lt;=1200,N(INDEX(对接源_01水果!$H$4:$H$1203,$AE138)),N(INDEX(对接源_02物料!$H$4:$H$1203,$AE138-1200)))=0,"",ROUND(IF($AE138&lt;=1200,N(INDEX(对接源_01水果!$K$4:$K$1203,$AE138)),N(INDEX(对接源_02物料!$K$4:$K$1203,$AE138-1200)))/IF($AE138&lt;=1200,N(INDEX(对接源_01水果!$H$4:$H$1203,$AE138)),N(INDEX(对接源_02物料!$H$4:$H$1203,$AE138-1200))),2)))</f>
        <v/>
      </c>
      <c r="H138" s="55" t="str">
        <f>IF($AE138="","",IF($AE138&lt;=1200,IF(INDEX(对接源_01水果!$K$4:$K$1203,$AE138)=0,"",INDEX(对接源_01水果!$K$4:$K$1203,$AE138)),IF(INDEX(对接源_02物料!$K$4:$K$1203,$AE138-1200)=0,"",INDEX(对接源_02物料!$K$4:$K$1203,$AE138-1200))))</f>
        <v/>
      </c>
      <c r="I138" s="53" t="str">
        <f>IF($AE138="","",IF($AE138&lt;=1200,IF(INDEX(对接源_01水果!$L$4:$L$1203,$AE138)=0,"",INDEX(对接源_01水果!$L$4:$L$1203,$AE138)),IF(INDEX(对接源_02物料!$L$4:$L$1203,$AE138-1200)=0,"",INDEX(对接源_02物料!$L$4:$L$1203,$AE138-1200))))</f>
        <v/>
      </c>
      <c r="J138" s="106" t="str">
        <f>IF($AE138="","",IF($AE138&lt;=1200,IF(INDEX(对接源_01水果!$M$4:$M$1203,$AE138)=0,"",INDEX(对接源_01水果!$M$4:$M$1203,$AE138)),IF(INDEX(对接源_02物料!$M$4:$M$1203,$AE138-1200)=0,"",INDEX(对接源_02物料!$M$4:$M$1203,$AE138-1200))))</f>
        <v/>
      </c>
      <c r="AE138" s="107" t="str">
        <f>IFERROR(MATCH(133,_自动清单!$AS$4:$AS$2403,0),"")</f>
        <v/>
      </c>
      <c r="AF138" s="107"/>
    </row>
    <row r="139" ht="18" customHeight="1" spans="1:32">
      <c r="A139" s="52" t="str">
        <f>IF($AE139="","",IF($AE139&lt;=1200,IF(INDEX(对接源_01水果!$B$4:$B$1203,$AE139)=0,"",INDEX(对接源_01水果!$B$4:$B$1203,$AE139)),IF(INDEX(对接源_02物料!$B$4:$B$1203,$AE139-1200)=0,"",INDEX(对接源_02物料!$B$4:$B$1203,$AE139-1200))))</f>
        <v/>
      </c>
      <c r="B139" s="53" t="str">
        <f>IF($AE139="","",IF($AE139&lt;=1200,IF(INDEX(对接源_01水果!$E$4:$E$1203,$AE139)=0,"",INDEX(对接源_01水果!$E$4:$E$1203,$AE139)),IF(INDEX(对接源_02物料!$E$4:$E$1203,$AE139-1200)=0,"",INDEX(对接源_02物料!$E$4:$E$1203,$AE139-1200))))</f>
        <v/>
      </c>
      <c r="C139" s="106" t="str">
        <f>IF($AE139="","",IF($AE139&lt;=1200,IF(INDEX(对接源_01水果!$F$4:$F$1203,$AE139)=0,"",INDEX(对接源_01水果!$F$4:$F$1203,$AE139)),IF(INDEX(对接源_02物料!$F$4:$F$1203,$AE139-1200)=0,"",INDEX(对接源_02物料!$F$4:$F$1203,$AE139-1200))))</f>
        <v/>
      </c>
      <c r="D139" s="53" t="str">
        <f>IF($AE139="","",IF(IF($AE139&lt;=1200,IF(INDEX(对接源_01水果!$G$4:$G$1203,$AE139)=0,"",INDEX(对接源_01水果!$G$4:$G$1203,$AE139)),IF(INDEX(对接源_02物料!$G$4:$G$1203,$AE139-1200)=0,"",INDEX(对接源_02物料!$G$4:$G$1203,$AE139-1200)))="",IF($AE139&lt;=1200,IF(INDEX(对接源_01水果!$D$4:$D$1203,$AE139)=0,"",INDEX(对接源_01水果!$D$4:$D$1203,$AE139)),IF(INDEX(对接源_02物料!$D$4:$D$1203,$AE139-1200)=0,"",INDEX(对接源_02物料!$D$4:$D$1203,$AE139-1200))),IF($AE139&lt;=1200,IF(INDEX(对接源_01水果!$G$4:$G$1203,$AE139)=0,"",INDEX(对接源_01水果!$G$4:$G$1203,$AE139)),IF(INDEX(对接源_02物料!$G$4:$G$1203,$AE139-1200)=0,"",INDEX(对接源_02物料!$G$4:$G$1203,$AE139-1200)))))</f>
        <v/>
      </c>
      <c r="E139" s="55" t="str">
        <f>IF($AE139="","",IF($AE139&lt;=1200,IF(INDEX(对接源_01水果!$H$4:$H$1203,$AE139)=0,"",INDEX(对接源_01水果!$H$4:$H$1203,$AE139)),IF(INDEX(对接源_02物料!$H$4:$H$1203,$AE139-1200)=0,"",INDEX(对接源_02物料!$H$4:$H$1203,$AE139-1200))))</f>
        <v/>
      </c>
      <c r="F139" s="53" t="str">
        <f>IF($AE139="","",IF($AE139&lt;=1200,IF(INDEX(对接源_01水果!$I$4:$I$1203,$AE139)=0,"",INDEX(对接源_01水果!$I$4:$I$1203,$AE139)),IF(INDEX(对接源_02物料!$I$4:$I$1203,$AE139-1200)=0,"",INDEX(对接源_02物料!$I$4:$I$1203,$AE139-1200))))</f>
        <v/>
      </c>
      <c r="G139" s="55" t="str">
        <f>IF($AE139="","",IF(IF($AE139&lt;=1200,N(INDEX(对接源_01水果!$H$4:$H$1203,$AE139)),N(INDEX(对接源_02物料!$H$4:$H$1203,$AE139-1200)))=0,"",ROUND(IF($AE139&lt;=1200,N(INDEX(对接源_01水果!$K$4:$K$1203,$AE139)),N(INDEX(对接源_02物料!$K$4:$K$1203,$AE139-1200)))/IF($AE139&lt;=1200,N(INDEX(对接源_01水果!$H$4:$H$1203,$AE139)),N(INDEX(对接源_02物料!$H$4:$H$1203,$AE139-1200))),2)))</f>
        <v/>
      </c>
      <c r="H139" s="55" t="str">
        <f>IF($AE139="","",IF($AE139&lt;=1200,IF(INDEX(对接源_01水果!$K$4:$K$1203,$AE139)=0,"",INDEX(对接源_01水果!$K$4:$K$1203,$AE139)),IF(INDEX(对接源_02物料!$K$4:$K$1203,$AE139-1200)=0,"",INDEX(对接源_02物料!$K$4:$K$1203,$AE139-1200))))</f>
        <v/>
      </c>
      <c r="I139" s="53" t="str">
        <f>IF($AE139="","",IF($AE139&lt;=1200,IF(INDEX(对接源_01水果!$L$4:$L$1203,$AE139)=0,"",INDEX(对接源_01水果!$L$4:$L$1203,$AE139)),IF(INDEX(对接源_02物料!$L$4:$L$1203,$AE139-1200)=0,"",INDEX(对接源_02物料!$L$4:$L$1203,$AE139-1200))))</f>
        <v/>
      </c>
      <c r="J139" s="106" t="str">
        <f>IF($AE139="","",IF($AE139&lt;=1200,IF(INDEX(对接源_01水果!$M$4:$M$1203,$AE139)=0,"",INDEX(对接源_01水果!$M$4:$M$1203,$AE139)),IF(INDEX(对接源_02物料!$M$4:$M$1203,$AE139-1200)=0,"",INDEX(对接源_02物料!$M$4:$M$1203,$AE139-1200))))</f>
        <v/>
      </c>
      <c r="AE139" s="107" t="str">
        <f>IFERROR(MATCH(134,_自动清单!$AS$4:$AS$2403,0),"")</f>
        <v/>
      </c>
      <c r="AF139" s="107"/>
    </row>
    <row r="140" ht="18" customHeight="1" spans="1:32">
      <c r="A140" s="52" t="str">
        <f>IF($AE140="","",IF($AE140&lt;=1200,IF(INDEX(对接源_01水果!$B$4:$B$1203,$AE140)=0,"",INDEX(对接源_01水果!$B$4:$B$1203,$AE140)),IF(INDEX(对接源_02物料!$B$4:$B$1203,$AE140-1200)=0,"",INDEX(对接源_02物料!$B$4:$B$1203,$AE140-1200))))</f>
        <v/>
      </c>
      <c r="B140" s="53" t="str">
        <f>IF($AE140="","",IF($AE140&lt;=1200,IF(INDEX(对接源_01水果!$E$4:$E$1203,$AE140)=0,"",INDEX(对接源_01水果!$E$4:$E$1203,$AE140)),IF(INDEX(对接源_02物料!$E$4:$E$1203,$AE140-1200)=0,"",INDEX(对接源_02物料!$E$4:$E$1203,$AE140-1200))))</f>
        <v/>
      </c>
      <c r="C140" s="106" t="str">
        <f>IF($AE140="","",IF($AE140&lt;=1200,IF(INDEX(对接源_01水果!$F$4:$F$1203,$AE140)=0,"",INDEX(对接源_01水果!$F$4:$F$1203,$AE140)),IF(INDEX(对接源_02物料!$F$4:$F$1203,$AE140-1200)=0,"",INDEX(对接源_02物料!$F$4:$F$1203,$AE140-1200))))</f>
        <v/>
      </c>
      <c r="D140" s="53" t="str">
        <f>IF($AE140="","",IF(IF($AE140&lt;=1200,IF(INDEX(对接源_01水果!$G$4:$G$1203,$AE140)=0,"",INDEX(对接源_01水果!$G$4:$G$1203,$AE140)),IF(INDEX(对接源_02物料!$G$4:$G$1203,$AE140-1200)=0,"",INDEX(对接源_02物料!$G$4:$G$1203,$AE140-1200)))="",IF($AE140&lt;=1200,IF(INDEX(对接源_01水果!$D$4:$D$1203,$AE140)=0,"",INDEX(对接源_01水果!$D$4:$D$1203,$AE140)),IF(INDEX(对接源_02物料!$D$4:$D$1203,$AE140-1200)=0,"",INDEX(对接源_02物料!$D$4:$D$1203,$AE140-1200))),IF($AE140&lt;=1200,IF(INDEX(对接源_01水果!$G$4:$G$1203,$AE140)=0,"",INDEX(对接源_01水果!$G$4:$G$1203,$AE140)),IF(INDEX(对接源_02物料!$G$4:$G$1203,$AE140-1200)=0,"",INDEX(对接源_02物料!$G$4:$G$1203,$AE140-1200)))))</f>
        <v/>
      </c>
      <c r="E140" s="55" t="str">
        <f>IF($AE140="","",IF($AE140&lt;=1200,IF(INDEX(对接源_01水果!$H$4:$H$1203,$AE140)=0,"",INDEX(对接源_01水果!$H$4:$H$1203,$AE140)),IF(INDEX(对接源_02物料!$H$4:$H$1203,$AE140-1200)=0,"",INDEX(对接源_02物料!$H$4:$H$1203,$AE140-1200))))</f>
        <v/>
      </c>
      <c r="F140" s="53" t="str">
        <f>IF($AE140="","",IF($AE140&lt;=1200,IF(INDEX(对接源_01水果!$I$4:$I$1203,$AE140)=0,"",INDEX(对接源_01水果!$I$4:$I$1203,$AE140)),IF(INDEX(对接源_02物料!$I$4:$I$1203,$AE140-1200)=0,"",INDEX(对接源_02物料!$I$4:$I$1203,$AE140-1200))))</f>
        <v/>
      </c>
      <c r="G140" s="55" t="str">
        <f>IF($AE140="","",IF(IF($AE140&lt;=1200,N(INDEX(对接源_01水果!$H$4:$H$1203,$AE140)),N(INDEX(对接源_02物料!$H$4:$H$1203,$AE140-1200)))=0,"",ROUND(IF($AE140&lt;=1200,N(INDEX(对接源_01水果!$K$4:$K$1203,$AE140)),N(INDEX(对接源_02物料!$K$4:$K$1203,$AE140-1200)))/IF($AE140&lt;=1200,N(INDEX(对接源_01水果!$H$4:$H$1203,$AE140)),N(INDEX(对接源_02物料!$H$4:$H$1203,$AE140-1200))),2)))</f>
        <v/>
      </c>
      <c r="H140" s="55" t="str">
        <f>IF($AE140="","",IF($AE140&lt;=1200,IF(INDEX(对接源_01水果!$K$4:$K$1203,$AE140)=0,"",INDEX(对接源_01水果!$K$4:$K$1203,$AE140)),IF(INDEX(对接源_02物料!$K$4:$K$1203,$AE140-1200)=0,"",INDEX(对接源_02物料!$K$4:$K$1203,$AE140-1200))))</f>
        <v/>
      </c>
      <c r="I140" s="53" t="str">
        <f>IF($AE140="","",IF($AE140&lt;=1200,IF(INDEX(对接源_01水果!$L$4:$L$1203,$AE140)=0,"",INDEX(对接源_01水果!$L$4:$L$1203,$AE140)),IF(INDEX(对接源_02物料!$L$4:$L$1203,$AE140-1200)=0,"",INDEX(对接源_02物料!$L$4:$L$1203,$AE140-1200))))</f>
        <v/>
      </c>
      <c r="J140" s="106" t="str">
        <f>IF($AE140="","",IF($AE140&lt;=1200,IF(INDEX(对接源_01水果!$M$4:$M$1203,$AE140)=0,"",INDEX(对接源_01水果!$M$4:$M$1203,$AE140)),IF(INDEX(对接源_02物料!$M$4:$M$1203,$AE140-1200)=0,"",INDEX(对接源_02物料!$M$4:$M$1203,$AE140-1200))))</f>
        <v/>
      </c>
      <c r="AE140" s="107" t="str">
        <f>IFERROR(MATCH(135,_自动清单!$AS$4:$AS$2403,0),"")</f>
        <v/>
      </c>
      <c r="AF140" s="107"/>
    </row>
    <row r="141" ht="18" customHeight="1" spans="1:32">
      <c r="A141" s="52" t="str">
        <f>IF($AE141="","",IF($AE141&lt;=1200,IF(INDEX(对接源_01水果!$B$4:$B$1203,$AE141)=0,"",INDEX(对接源_01水果!$B$4:$B$1203,$AE141)),IF(INDEX(对接源_02物料!$B$4:$B$1203,$AE141-1200)=0,"",INDEX(对接源_02物料!$B$4:$B$1203,$AE141-1200))))</f>
        <v/>
      </c>
      <c r="B141" s="53" t="str">
        <f>IF($AE141="","",IF($AE141&lt;=1200,IF(INDEX(对接源_01水果!$E$4:$E$1203,$AE141)=0,"",INDEX(对接源_01水果!$E$4:$E$1203,$AE141)),IF(INDEX(对接源_02物料!$E$4:$E$1203,$AE141-1200)=0,"",INDEX(对接源_02物料!$E$4:$E$1203,$AE141-1200))))</f>
        <v/>
      </c>
      <c r="C141" s="106" t="str">
        <f>IF($AE141="","",IF($AE141&lt;=1200,IF(INDEX(对接源_01水果!$F$4:$F$1203,$AE141)=0,"",INDEX(对接源_01水果!$F$4:$F$1203,$AE141)),IF(INDEX(对接源_02物料!$F$4:$F$1203,$AE141-1200)=0,"",INDEX(对接源_02物料!$F$4:$F$1203,$AE141-1200))))</f>
        <v/>
      </c>
      <c r="D141" s="53" t="str">
        <f>IF($AE141="","",IF(IF($AE141&lt;=1200,IF(INDEX(对接源_01水果!$G$4:$G$1203,$AE141)=0,"",INDEX(对接源_01水果!$G$4:$G$1203,$AE141)),IF(INDEX(对接源_02物料!$G$4:$G$1203,$AE141-1200)=0,"",INDEX(对接源_02物料!$G$4:$G$1203,$AE141-1200)))="",IF($AE141&lt;=1200,IF(INDEX(对接源_01水果!$D$4:$D$1203,$AE141)=0,"",INDEX(对接源_01水果!$D$4:$D$1203,$AE141)),IF(INDEX(对接源_02物料!$D$4:$D$1203,$AE141-1200)=0,"",INDEX(对接源_02物料!$D$4:$D$1203,$AE141-1200))),IF($AE141&lt;=1200,IF(INDEX(对接源_01水果!$G$4:$G$1203,$AE141)=0,"",INDEX(对接源_01水果!$G$4:$G$1203,$AE141)),IF(INDEX(对接源_02物料!$G$4:$G$1203,$AE141-1200)=0,"",INDEX(对接源_02物料!$G$4:$G$1203,$AE141-1200)))))</f>
        <v/>
      </c>
      <c r="E141" s="55" t="str">
        <f>IF($AE141="","",IF($AE141&lt;=1200,IF(INDEX(对接源_01水果!$H$4:$H$1203,$AE141)=0,"",INDEX(对接源_01水果!$H$4:$H$1203,$AE141)),IF(INDEX(对接源_02物料!$H$4:$H$1203,$AE141-1200)=0,"",INDEX(对接源_02物料!$H$4:$H$1203,$AE141-1200))))</f>
        <v/>
      </c>
      <c r="F141" s="53" t="str">
        <f>IF($AE141="","",IF($AE141&lt;=1200,IF(INDEX(对接源_01水果!$I$4:$I$1203,$AE141)=0,"",INDEX(对接源_01水果!$I$4:$I$1203,$AE141)),IF(INDEX(对接源_02物料!$I$4:$I$1203,$AE141-1200)=0,"",INDEX(对接源_02物料!$I$4:$I$1203,$AE141-1200))))</f>
        <v/>
      </c>
      <c r="G141" s="55" t="str">
        <f>IF($AE141="","",IF(IF($AE141&lt;=1200,N(INDEX(对接源_01水果!$H$4:$H$1203,$AE141)),N(INDEX(对接源_02物料!$H$4:$H$1203,$AE141-1200)))=0,"",ROUND(IF($AE141&lt;=1200,N(INDEX(对接源_01水果!$K$4:$K$1203,$AE141)),N(INDEX(对接源_02物料!$K$4:$K$1203,$AE141-1200)))/IF($AE141&lt;=1200,N(INDEX(对接源_01水果!$H$4:$H$1203,$AE141)),N(INDEX(对接源_02物料!$H$4:$H$1203,$AE141-1200))),2)))</f>
        <v/>
      </c>
      <c r="H141" s="55" t="str">
        <f>IF($AE141="","",IF($AE141&lt;=1200,IF(INDEX(对接源_01水果!$K$4:$K$1203,$AE141)=0,"",INDEX(对接源_01水果!$K$4:$K$1203,$AE141)),IF(INDEX(对接源_02物料!$K$4:$K$1203,$AE141-1200)=0,"",INDEX(对接源_02物料!$K$4:$K$1203,$AE141-1200))))</f>
        <v/>
      </c>
      <c r="I141" s="53" t="str">
        <f>IF($AE141="","",IF($AE141&lt;=1200,IF(INDEX(对接源_01水果!$L$4:$L$1203,$AE141)=0,"",INDEX(对接源_01水果!$L$4:$L$1203,$AE141)),IF(INDEX(对接源_02物料!$L$4:$L$1203,$AE141-1200)=0,"",INDEX(对接源_02物料!$L$4:$L$1203,$AE141-1200))))</f>
        <v/>
      </c>
      <c r="J141" s="106" t="str">
        <f>IF($AE141="","",IF($AE141&lt;=1200,IF(INDEX(对接源_01水果!$M$4:$M$1203,$AE141)=0,"",INDEX(对接源_01水果!$M$4:$M$1203,$AE141)),IF(INDEX(对接源_02物料!$M$4:$M$1203,$AE141-1200)=0,"",INDEX(对接源_02物料!$M$4:$M$1203,$AE141-1200))))</f>
        <v/>
      </c>
      <c r="AE141" s="107" t="str">
        <f>IFERROR(MATCH(136,_自动清单!$AS$4:$AS$2403,0),"")</f>
        <v/>
      </c>
      <c r="AF141" s="107"/>
    </row>
    <row r="142" ht="18" customHeight="1" spans="1:32">
      <c r="A142" s="52" t="str">
        <f>IF($AE142="","",IF($AE142&lt;=1200,IF(INDEX(对接源_01水果!$B$4:$B$1203,$AE142)=0,"",INDEX(对接源_01水果!$B$4:$B$1203,$AE142)),IF(INDEX(对接源_02物料!$B$4:$B$1203,$AE142-1200)=0,"",INDEX(对接源_02物料!$B$4:$B$1203,$AE142-1200))))</f>
        <v/>
      </c>
      <c r="B142" s="53" t="str">
        <f>IF($AE142="","",IF($AE142&lt;=1200,IF(INDEX(对接源_01水果!$E$4:$E$1203,$AE142)=0,"",INDEX(对接源_01水果!$E$4:$E$1203,$AE142)),IF(INDEX(对接源_02物料!$E$4:$E$1203,$AE142-1200)=0,"",INDEX(对接源_02物料!$E$4:$E$1203,$AE142-1200))))</f>
        <v/>
      </c>
      <c r="C142" s="106" t="str">
        <f>IF($AE142="","",IF($AE142&lt;=1200,IF(INDEX(对接源_01水果!$F$4:$F$1203,$AE142)=0,"",INDEX(对接源_01水果!$F$4:$F$1203,$AE142)),IF(INDEX(对接源_02物料!$F$4:$F$1203,$AE142-1200)=0,"",INDEX(对接源_02物料!$F$4:$F$1203,$AE142-1200))))</f>
        <v/>
      </c>
      <c r="D142" s="53" t="str">
        <f>IF($AE142="","",IF(IF($AE142&lt;=1200,IF(INDEX(对接源_01水果!$G$4:$G$1203,$AE142)=0,"",INDEX(对接源_01水果!$G$4:$G$1203,$AE142)),IF(INDEX(对接源_02物料!$G$4:$G$1203,$AE142-1200)=0,"",INDEX(对接源_02物料!$G$4:$G$1203,$AE142-1200)))="",IF($AE142&lt;=1200,IF(INDEX(对接源_01水果!$D$4:$D$1203,$AE142)=0,"",INDEX(对接源_01水果!$D$4:$D$1203,$AE142)),IF(INDEX(对接源_02物料!$D$4:$D$1203,$AE142-1200)=0,"",INDEX(对接源_02物料!$D$4:$D$1203,$AE142-1200))),IF($AE142&lt;=1200,IF(INDEX(对接源_01水果!$G$4:$G$1203,$AE142)=0,"",INDEX(对接源_01水果!$G$4:$G$1203,$AE142)),IF(INDEX(对接源_02物料!$G$4:$G$1203,$AE142-1200)=0,"",INDEX(对接源_02物料!$G$4:$G$1203,$AE142-1200)))))</f>
        <v/>
      </c>
      <c r="E142" s="55" t="str">
        <f>IF($AE142="","",IF($AE142&lt;=1200,IF(INDEX(对接源_01水果!$H$4:$H$1203,$AE142)=0,"",INDEX(对接源_01水果!$H$4:$H$1203,$AE142)),IF(INDEX(对接源_02物料!$H$4:$H$1203,$AE142-1200)=0,"",INDEX(对接源_02物料!$H$4:$H$1203,$AE142-1200))))</f>
        <v/>
      </c>
      <c r="F142" s="53" t="str">
        <f>IF($AE142="","",IF($AE142&lt;=1200,IF(INDEX(对接源_01水果!$I$4:$I$1203,$AE142)=0,"",INDEX(对接源_01水果!$I$4:$I$1203,$AE142)),IF(INDEX(对接源_02物料!$I$4:$I$1203,$AE142-1200)=0,"",INDEX(对接源_02物料!$I$4:$I$1203,$AE142-1200))))</f>
        <v/>
      </c>
      <c r="G142" s="55" t="str">
        <f>IF($AE142="","",IF(IF($AE142&lt;=1200,N(INDEX(对接源_01水果!$H$4:$H$1203,$AE142)),N(INDEX(对接源_02物料!$H$4:$H$1203,$AE142-1200)))=0,"",ROUND(IF($AE142&lt;=1200,N(INDEX(对接源_01水果!$K$4:$K$1203,$AE142)),N(INDEX(对接源_02物料!$K$4:$K$1203,$AE142-1200)))/IF($AE142&lt;=1200,N(INDEX(对接源_01水果!$H$4:$H$1203,$AE142)),N(INDEX(对接源_02物料!$H$4:$H$1203,$AE142-1200))),2)))</f>
        <v/>
      </c>
      <c r="H142" s="55" t="str">
        <f>IF($AE142="","",IF($AE142&lt;=1200,IF(INDEX(对接源_01水果!$K$4:$K$1203,$AE142)=0,"",INDEX(对接源_01水果!$K$4:$K$1203,$AE142)),IF(INDEX(对接源_02物料!$K$4:$K$1203,$AE142-1200)=0,"",INDEX(对接源_02物料!$K$4:$K$1203,$AE142-1200))))</f>
        <v/>
      </c>
      <c r="I142" s="53" t="str">
        <f>IF($AE142="","",IF($AE142&lt;=1200,IF(INDEX(对接源_01水果!$L$4:$L$1203,$AE142)=0,"",INDEX(对接源_01水果!$L$4:$L$1203,$AE142)),IF(INDEX(对接源_02物料!$L$4:$L$1203,$AE142-1200)=0,"",INDEX(对接源_02物料!$L$4:$L$1203,$AE142-1200))))</f>
        <v/>
      </c>
      <c r="J142" s="106" t="str">
        <f>IF($AE142="","",IF($AE142&lt;=1200,IF(INDEX(对接源_01水果!$M$4:$M$1203,$AE142)=0,"",INDEX(对接源_01水果!$M$4:$M$1203,$AE142)),IF(INDEX(对接源_02物料!$M$4:$M$1203,$AE142-1200)=0,"",INDEX(对接源_02物料!$M$4:$M$1203,$AE142-1200))))</f>
        <v/>
      </c>
      <c r="AE142" s="107" t="str">
        <f>IFERROR(MATCH(137,_自动清单!$AS$4:$AS$2403,0),"")</f>
        <v/>
      </c>
      <c r="AF142" s="107"/>
    </row>
    <row r="143" ht="18" customHeight="1" spans="1:32">
      <c r="A143" s="52" t="str">
        <f>IF($AE143="","",IF($AE143&lt;=1200,IF(INDEX(对接源_01水果!$B$4:$B$1203,$AE143)=0,"",INDEX(对接源_01水果!$B$4:$B$1203,$AE143)),IF(INDEX(对接源_02物料!$B$4:$B$1203,$AE143-1200)=0,"",INDEX(对接源_02物料!$B$4:$B$1203,$AE143-1200))))</f>
        <v/>
      </c>
      <c r="B143" s="53" t="str">
        <f>IF($AE143="","",IF($AE143&lt;=1200,IF(INDEX(对接源_01水果!$E$4:$E$1203,$AE143)=0,"",INDEX(对接源_01水果!$E$4:$E$1203,$AE143)),IF(INDEX(对接源_02物料!$E$4:$E$1203,$AE143-1200)=0,"",INDEX(对接源_02物料!$E$4:$E$1203,$AE143-1200))))</f>
        <v/>
      </c>
      <c r="C143" s="106" t="str">
        <f>IF($AE143="","",IF($AE143&lt;=1200,IF(INDEX(对接源_01水果!$F$4:$F$1203,$AE143)=0,"",INDEX(对接源_01水果!$F$4:$F$1203,$AE143)),IF(INDEX(对接源_02物料!$F$4:$F$1203,$AE143-1200)=0,"",INDEX(对接源_02物料!$F$4:$F$1203,$AE143-1200))))</f>
        <v/>
      </c>
      <c r="D143" s="53" t="str">
        <f>IF($AE143="","",IF(IF($AE143&lt;=1200,IF(INDEX(对接源_01水果!$G$4:$G$1203,$AE143)=0,"",INDEX(对接源_01水果!$G$4:$G$1203,$AE143)),IF(INDEX(对接源_02物料!$G$4:$G$1203,$AE143-1200)=0,"",INDEX(对接源_02物料!$G$4:$G$1203,$AE143-1200)))="",IF($AE143&lt;=1200,IF(INDEX(对接源_01水果!$D$4:$D$1203,$AE143)=0,"",INDEX(对接源_01水果!$D$4:$D$1203,$AE143)),IF(INDEX(对接源_02物料!$D$4:$D$1203,$AE143-1200)=0,"",INDEX(对接源_02物料!$D$4:$D$1203,$AE143-1200))),IF($AE143&lt;=1200,IF(INDEX(对接源_01水果!$G$4:$G$1203,$AE143)=0,"",INDEX(对接源_01水果!$G$4:$G$1203,$AE143)),IF(INDEX(对接源_02物料!$G$4:$G$1203,$AE143-1200)=0,"",INDEX(对接源_02物料!$G$4:$G$1203,$AE143-1200)))))</f>
        <v/>
      </c>
      <c r="E143" s="55" t="str">
        <f>IF($AE143="","",IF($AE143&lt;=1200,IF(INDEX(对接源_01水果!$H$4:$H$1203,$AE143)=0,"",INDEX(对接源_01水果!$H$4:$H$1203,$AE143)),IF(INDEX(对接源_02物料!$H$4:$H$1203,$AE143-1200)=0,"",INDEX(对接源_02物料!$H$4:$H$1203,$AE143-1200))))</f>
        <v/>
      </c>
      <c r="F143" s="53" t="str">
        <f>IF($AE143="","",IF($AE143&lt;=1200,IF(INDEX(对接源_01水果!$I$4:$I$1203,$AE143)=0,"",INDEX(对接源_01水果!$I$4:$I$1203,$AE143)),IF(INDEX(对接源_02物料!$I$4:$I$1203,$AE143-1200)=0,"",INDEX(对接源_02物料!$I$4:$I$1203,$AE143-1200))))</f>
        <v/>
      </c>
      <c r="G143" s="55" t="str">
        <f>IF($AE143="","",IF(IF($AE143&lt;=1200,N(INDEX(对接源_01水果!$H$4:$H$1203,$AE143)),N(INDEX(对接源_02物料!$H$4:$H$1203,$AE143-1200)))=0,"",ROUND(IF($AE143&lt;=1200,N(INDEX(对接源_01水果!$K$4:$K$1203,$AE143)),N(INDEX(对接源_02物料!$K$4:$K$1203,$AE143-1200)))/IF($AE143&lt;=1200,N(INDEX(对接源_01水果!$H$4:$H$1203,$AE143)),N(INDEX(对接源_02物料!$H$4:$H$1203,$AE143-1200))),2)))</f>
        <v/>
      </c>
      <c r="H143" s="55" t="str">
        <f>IF($AE143="","",IF($AE143&lt;=1200,IF(INDEX(对接源_01水果!$K$4:$K$1203,$AE143)=0,"",INDEX(对接源_01水果!$K$4:$K$1203,$AE143)),IF(INDEX(对接源_02物料!$K$4:$K$1203,$AE143-1200)=0,"",INDEX(对接源_02物料!$K$4:$K$1203,$AE143-1200))))</f>
        <v/>
      </c>
      <c r="I143" s="53" t="str">
        <f>IF($AE143="","",IF($AE143&lt;=1200,IF(INDEX(对接源_01水果!$L$4:$L$1203,$AE143)=0,"",INDEX(对接源_01水果!$L$4:$L$1203,$AE143)),IF(INDEX(对接源_02物料!$L$4:$L$1203,$AE143-1200)=0,"",INDEX(对接源_02物料!$L$4:$L$1203,$AE143-1200))))</f>
        <v/>
      </c>
      <c r="J143" s="106" t="str">
        <f>IF($AE143="","",IF($AE143&lt;=1200,IF(INDEX(对接源_01水果!$M$4:$M$1203,$AE143)=0,"",INDEX(对接源_01水果!$M$4:$M$1203,$AE143)),IF(INDEX(对接源_02物料!$M$4:$M$1203,$AE143-1200)=0,"",INDEX(对接源_02物料!$M$4:$M$1203,$AE143-1200))))</f>
        <v/>
      </c>
      <c r="AE143" s="107" t="str">
        <f>IFERROR(MATCH(138,_自动清单!$AS$4:$AS$2403,0),"")</f>
        <v/>
      </c>
      <c r="AF143" s="107"/>
    </row>
    <row r="144" ht="18" customHeight="1" spans="1:32">
      <c r="A144" s="52" t="str">
        <f>IF($AE144="","",IF($AE144&lt;=1200,IF(INDEX(对接源_01水果!$B$4:$B$1203,$AE144)=0,"",INDEX(对接源_01水果!$B$4:$B$1203,$AE144)),IF(INDEX(对接源_02物料!$B$4:$B$1203,$AE144-1200)=0,"",INDEX(对接源_02物料!$B$4:$B$1203,$AE144-1200))))</f>
        <v/>
      </c>
      <c r="B144" s="53" t="str">
        <f>IF($AE144="","",IF($AE144&lt;=1200,IF(INDEX(对接源_01水果!$E$4:$E$1203,$AE144)=0,"",INDEX(对接源_01水果!$E$4:$E$1203,$AE144)),IF(INDEX(对接源_02物料!$E$4:$E$1203,$AE144-1200)=0,"",INDEX(对接源_02物料!$E$4:$E$1203,$AE144-1200))))</f>
        <v/>
      </c>
      <c r="C144" s="106" t="str">
        <f>IF($AE144="","",IF($AE144&lt;=1200,IF(INDEX(对接源_01水果!$F$4:$F$1203,$AE144)=0,"",INDEX(对接源_01水果!$F$4:$F$1203,$AE144)),IF(INDEX(对接源_02物料!$F$4:$F$1203,$AE144-1200)=0,"",INDEX(对接源_02物料!$F$4:$F$1203,$AE144-1200))))</f>
        <v/>
      </c>
      <c r="D144" s="53" t="str">
        <f>IF($AE144="","",IF(IF($AE144&lt;=1200,IF(INDEX(对接源_01水果!$G$4:$G$1203,$AE144)=0,"",INDEX(对接源_01水果!$G$4:$G$1203,$AE144)),IF(INDEX(对接源_02物料!$G$4:$G$1203,$AE144-1200)=0,"",INDEX(对接源_02物料!$G$4:$G$1203,$AE144-1200)))="",IF($AE144&lt;=1200,IF(INDEX(对接源_01水果!$D$4:$D$1203,$AE144)=0,"",INDEX(对接源_01水果!$D$4:$D$1203,$AE144)),IF(INDEX(对接源_02物料!$D$4:$D$1203,$AE144-1200)=0,"",INDEX(对接源_02物料!$D$4:$D$1203,$AE144-1200))),IF($AE144&lt;=1200,IF(INDEX(对接源_01水果!$G$4:$G$1203,$AE144)=0,"",INDEX(对接源_01水果!$G$4:$G$1203,$AE144)),IF(INDEX(对接源_02物料!$G$4:$G$1203,$AE144-1200)=0,"",INDEX(对接源_02物料!$G$4:$G$1203,$AE144-1200)))))</f>
        <v/>
      </c>
      <c r="E144" s="55" t="str">
        <f>IF($AE144="","",IF($AE144&lt;=1200,IF(INDEX(对接源_01水果!$H$4:$H$1203,$AE144)=0,"",INDEX(对接源_01水果!$H$4:$H$1203,$AE144)),IF(INDEX(对接源_02物料!$H$4:$H$1203,$AE144-1200)=0,"",INDEX(对接源_02物料!$H$4:$H$1203,$AE144-1200))))</f>
        <v/>
      </c>
      <c r="F144" s="53" t="str">
        <f>IF($AE144="","",IF($AE144&lt;=1200,IF(INDEX(对接源_01水果!$I$4:$I$1203,$AE144)=0,"",INDEX(对接源_01水果!$I$4:$I$1203,$AE144)),IF(INDEX(对接源_02物料!$I$4:$I$1203,$AE144-1200)=0,"",INDEX(对接源_02物料!$I$4:$I$1203,$AE144-1200))))</f>
        <v/>
      </c>
      <c r="G144" s="55" t="str">
        <f>IF($AE144="","",IF(IF($AE144&lt;=1200,N(INDEX(对接源_01水果!$H$4:$H$1203,$AE144)),N(INDEX(对接源_02物料!$H$4:$H$1203,$AE144-1200)))=0,"",ROUND(IF($AE144&lt;=1200,N(INDEX(对接源_01水果!$K$4:$K$1203,$AE144)),N(INDEX(对接源_02物料!$K$4:$K$1203,$AE144-1200)))/IF($AE144&lt;=1200,N(INDEX(对接源_01水果!$H$4:$H$1203,$AE144)),N(INDEX(对接源_02物料!$H$4:$H$1203,$AE144-1200))),2)))</f>
        <v/>
      </c>
      <c r="H144" s="55" t="str">
        <f>IF($AE144="","",IF($AE144&lt;=1200,IF(INDEX(对接源_01水果!$K$4:$K$1203,$AE144)=0,"",INDEX(对接源_01水果!$K$4:$K$1203,$AE144)),IF(INDEX(对接源_02物料!$K$4:$K$1203,$AE144-1200)=0,"",INDEX(对接源_02物料!$K$4:$K$1203,$AE144-1200))))</f>
        <v/>
      </c>
      <c r="I144" s="53" t="str">
        <f>IF($AE144="","",IF($AE144&lt;=1200,IF(INDEX(对接源_01水果!$L$4:$L$1203,$AE144)=0,"",INDEX(对接源_01水果!$L$4:$L$1203,$AE144)),IF(INDEX(对接源_02物料!$L$4:$L$1203,$AE144-1200)=0,"",INDEX(对接源_02物料!$L$4:$L$1203,$AE144-1200))))</f>
        <v/>
      </c>
      <c r="J144" s="106" t="str">
        <f>IF($AE144="","",IF($AE144&lt;=1200,IF(INDEX(对接源_01水果!$M$4:$M$1203,$AE144)=0,"",INDEX(对接源_01水果!$M$4:$M$1203,$AE144)),IF(INDEX(对接源_02物料!$M$4:$M$1203,$AE144-1200)=0,"",INDEX(对接源_02物料!$M$4:$M$1203,$AE144-1200))))</f>
        <v/>
      </c>
      <c r="AE144" s="107" t="str">
        <f>IFERROR(MATCH(139,_自动清单!$AS$4:$AS$2403,0),"")</f>
        <v/>
      </c>
      <c r="AF144" s="107"/>
    </row>
    <row r="145" ht="18" customHeight="1" spans="1:32">
      <c r="A145" s="52" t="str">
        <f>IF($AE145="","",IF($AE145&lt;=1200,IF(INDEX(对接源_01水果!$B$4:$B$1203,$AE145)=0,"",INDEX(对接源_01水果!$B$4:$B$1203,$AE145)),IF(INDEX(对接源_02物料!$B$4:$B$1203,$AE145-1200)=0,"",INDEX(对接源_02物料!$B$4:$B$1203,$AE145-1200))))</f>
        <v/>
      </c>
      <c r="B145" s="53" t="str">
        <f>IF($AE145="","",IF($AE145&lt;=1200,IF(INDEX(对接源_01水果!$E$4:$E$1203,$AE145)=0,"",INDEX(对接源_01水果!$E$4:$E$1203,$AE145)),IF(INDEX(对接源_02物料!$E$4:$E$1203,$AE145-1200)=0,"",INDEX(对接源_02物料!$E$4:$E$1203,$AE145-1200))))</f>
        <v/>
      </c>
      <c r="C145" s="106" t="str">
        <f>IF($AE145="","",IF($AE145&lt;=1200,IF(INDEX(对接源_01水果!$F$4:$F$1203,$AE145)=0,"",INDEX(对接源_01水果!$F$4:$F$1203,$AE145)),IF(INDEX(对接源_02物料!$F$4:$F$1203,$AE145-1200)=0,"",INDEX(对接源_02物料!$F$4:$F$1203,$AE145-1200))))</f>
        <v/>
      </c>
      <c r="D145" s="53" t="str">
        <f>IF($AE145="","",IF(IF($AE145&lt;=1200,IF(INDEX(对接源_01水果!$G$4:$G$1203,$AE145)=0,"",INDEX(对接源_01水果!$G$4:$G$1203,$AE145)),IF(INDEX(对接源_02物料!$G$4:$G$1203,$AE145-1200)=0,"",INDEX(对接源_02物料!$G$4:$G$1203,$AE145-1200)))="",IF($AE145&lt;=1200,IF(INDEX(对接源_01水果!$D$4:$D$1203,$AE145)=0,"",INDEX(对接源_01水果!$D$4:$D$1203,$AE145)),IF(INDEX(对接源_02物料!$D$4:$D$1203,$AE145-1200)=0,"",INDEX(对接源_02物料!$D$4:$D$1203,$AE145-1200))),IF($AE145&lt;=1200,IF(INDEX(对接源_01水果!$G$4:$G$1203,$AE145)=0,"",INDEX(对接源_01水果!$G$4:$G$1203,$AE145)),IF(INDEX(对接源_02物料!$G$4:$G$1203,$AE145-1200)=0,"",INDEX(对接源_02物料!$G$4:$G$1203,$AE145-1200)))))</f>
        <v/>
      </c>
      <c r="E145" s="55" t="str">
        <f>IF($AE145="","",IF($AE145&lt;=1200,IF(INDEX(对接源_01水果!$H$4:$H$1203,$AE145)=0,"",INDEX(对接源_01水果!$H$4:$H$1203,$AE145)),IF(INDEX(对接源_02物料!$H$4:$H$1203,$AE145-1200)=0,"",INDEX(对接源_02物料!$H$4:$H$1203,$AE145-1200))))</f>
        <v/>
      </c>
      <c r="F145" s="53" t="str">
        <f>IF($AE145="","",IF($AE145&lt;=1200,IF(INDEX(对接源_01水果!$I$4:$I$1203,$AE145)=0,"",INDEX(对接源_01水果!$I$4:$I$1203,$AE145)),IF(INDEX(对接源_02物料!$I$4:$I$1203,$AE145-1200)=0,"",INDEX(对接源_02物料!$I$4:$I$1203,$AE145-1200))))</f>
        <v/>
      </c>
      <c r="G145" s="55" t="str">
        <f>IF($AE145="","",IF(IF($AE145&lt;=1200,N(INDEX(对接源_01水果!$H$4:$H$1203,$AE145)),N(INDEX(对接源_02物料!$H$4:$H$1203,$AE145-1200)))=0,"",ROUND(IF($AE145&lt;=1200,N(INDEX(对接源_01水果!$K$4:$K$1203,$AE145)),N(INDEX(对接源_02物料!$K$4:$K$1203,$AE145-1200)))/IF($AE145&lt;=1200,N(INDEX(对接源_01水果!$H$4:$H$1203,$AE145)),N(INDEX(对接源_02物料!$H$4:$H$1203,$AE145-1200))),2)))</f>
        <v/>
      </c>
      <c r="H145" s="55" t="str">
        <f>IF($AE145="","",IF($AE145&lt;=1200,IF(INDEX(对接源_01水果!$K$4:$K$1203,$AE145)=0,"",INDEX(对接源_01水果!$K$4:$K$1203,$AE145)),IF(INDEX(对接源_02物料!$K$4:$K$1203,$AE145-1200)=0,"",INDEX(对接源_02物料!$K$4:$K$1203,$AE145-1200))))</f>
        <v/>
      </c>
      <c r="I145" s="53" t="str">
        <f>IF($AE145="","",IF($AE145&lt;=1200,IF(INDEX(对接源_01水果!$L$4:$L$1203,$AE145)=0,"",INDEX(对接源_01水果!$L$4:$L$1203,$AE145)),IF(INDEX(对接源_02物料!$L$4:$L$1203,$AE145-1200)=0,"",INDEX(对接源_02物料!$L$4:$L$1203,$AE145-1200))))</f>
        <v/>
      </c>
      <c r="J145" s="106" t="str">
        <f>IF($AE145="","",IF($AE145&lt;=1200,IF(INDEX(对接源_01水果!$M$4:$M$1203,$AE145)=0,"",INDEX(对接源_01水果!$M$4:$M$1203,$AE145)),IF(INDEX(对接源_02物料!$M$4:$M$1203,$AE145-1200)=0,"",INDEX(对接源_02物料!$M$4:$M$1203,$AE145-1200))))</f>
        <v/>
      </c>
      <c r="AE145" s="107" t="str">
        <f>IFERROR(MATCH(140,_自动清单!$AS$4:$AS$2403,0),"")</f>
        <v/>
      </c>
      <c r="AF145" s="107"/>
    </row>
    <row r="146" ht="18" customHeight="1" spans="1:32">
      <c r="A146" s="52" t="str">
        <f>IF($AE146="","",IF($AE146&lt;=1200,IF(INDEX(对接源_01水果!$B$4:$B$1203,$AE146)=0,"",INDEX(对接源_01水果!$B$4:$B$1203,$AE146)),IF(INDEX(对接源_02物料!$B$4:$B$1203,$AE146-1200)=0,"",INDEX(对接源_02物料!$B$4:$B$1203,$AE146-1200))))</f>
        <v/>
      </c>
      <c r="B146" s="53" t="str">
        <f>IF($AE146="","",IF($AE146&lt;=1200,IF(INDEX(对接源_01水果!$E$4:$E$1203,$AE146)=0,"",INDEX(对接源_01水果!$E$4:$E$1203,$AE146)),IF(INDEX(对接源_02物料!$E$4:$E$1203,$AE146-1200)=0,"",INDEX(对接源_02物料!$E$4:$E$1203,$AE146-1200))))</f>
        <v/>
      </c>
      <c r="C146" s="106" t="str">
        <f>IF($AE146="","",IF($AE146&lt;=1200,IF(INDEX(对接源_01水果!$F$4:$F$1203,$AE146)=0,"",INDEX(对接源_01水果!$F$4:$F$1203,$AE146)),IF(INDEX(对接源_02物料!$F$4:$F$1203,$AE146-1200)=0,"",INDEX(对接源_02物料!$F$4:$F$1203,$AE146-1200))))</f>
        <v/>
      </c>
      <c r="D146" s="53" t="str">
        <f>IF($AE146="","",IF(IF($AE146&lt;=1200,IF(INDEX(对接源_01水果!$G$4:$G$1203,$AE146)=0,"",INDEX(对接源_01水果!$G$4:$G$1203,$AE146)),IF(INDEX(对接源_02物料!$G$4:$G$1203,$AE146-1200)=0,"",INDEX(对接源_02物料!$G$4:$G$1203,$AE146-1200)))="",IF($AE146&lt;=1200,IF(INDEX(对接源_01水果!$D$4:$D$1203,$AE146)=0,"",INDEX(对接源_01水果!$D$4:$D$1203,$AE146)),IF(INDEX(对接源_02物料!$D$4:$D$1203,$AE146-1200)=0,"",INDEX(对接源_02物料!$D$4:$D$1203,$AE146-1200))),IF($AE146&lt;=1200,IF(INDEX(对接源_01水果!$G$4:$G$1203,$AE146)=0,"",INDEX(对接源_01水果!$G$4:$G$1203,$AE146)),IF(INDEX(对接源_02物料!$G$4:$G$1203,$AE146-1200)=0,"",INDEX(对接源_02物料!$G$4:$G$1203,$AE146-1200)))))</f>
        <v/>
      </c>
      <c r="E146" s="55" t="str">
        <f>IF($AE146="","",IF($AE146&lt;=1200,IF(INDEX(对接源_01水果!$H$4:$H$1203,$AE146)=0,"",INDEX(对接源_01水果!$H$4:$H$1203,$AE146)),IF(INDEX(对接源_02物料!$H$4:$H$1203,$AE146-1200)=0,"",INDEX(对接源_02物料!$H$4:$H$1203,$AE146-1200))))</f>
        <v/>
      </c>
      <c r="F146" s="53" t="str">
        <f>IF($AE146="","",IF($AE146&lt;=1200,IF(INDEX(对接源_01水果!$I$4:$I$1203,$AE146)=0,"",INDEX(对接源_01水果!$I$4:$I$1203,$AE146)),IF(INDEX(对接源_02物料!$I$4:$I$1203,$AE146-1200)=0,"",INDEX(对接源_02物料!$I$4:$I$1203,$AE146-1200))))</f>
        <v/>
      </c>
      <c r="G146" s="55" t="str">
        <f>IF($AE146="","",IF(IF($AE146&lt;=1200,N(INDEX(对接源_01水果!$H$4:$H$1203,$AE146)),N(INDEX(对接源_02物料!$H$4:$H$1203,$AE146-1200)))=0,"",ROUND(IF($AE146&lt;=1200,N(INDEX(对接源_01水果!$K$4:$K$1203,$AE146)),N(INDEX(对接源_02物料!$K$4:$K$1203,$AE146-1200)))/IF($AE146&lt;=1200,N(INDEX(对接源_01水果!$H$4:$H$1203,$AE146)),N(INDEX(对接源_02物料!$H$4:$H$1203,$AE146-1200))),2)))</f>
        <v/>
      </c>
      <c r="H146" s="55" t="str">
        <f>IF($AE146="","",IF($AE146&lt;=1200,IF(INDEX(对接源_01水果!$K$4:$K$1203,$AE146)=0,"",INDEX(对接源_01水果!$K$4:$K$1203,$AE146)),IF(INDEX(对接源_02物料!$K$4:$K$1203,$AE146-1200)=0,"",INDEX(对接源_02物料!$K$4:$K$1203,$AE146-1200))))</f>
        <v/>
      </c>
      <c r="I146" s="53" t="str">
        <f>IF($AE146="","",IF($AE146&lt;=1200,IF(INDEX(对接源_01水果!$L$4:$L$1203,$AE146)=0,"",INDEX(对接源_01水果!$L$4:$L$1203,$AE146)),IF(INDEX(对接源_02物料!$L$4:$L$1203,$AE146-1200)=0,"",INDEX(对接源_02物料!$L$4:$L$1203,$AE146-1200))))</f>
        <v/>
      </c>
      <c r="J146" s="106" t="str">
        <f>IF($AE146="","",IF($AE146&lt;=1200,IF(INDEX(对接源_01水果!$M$4:$M$1203,$AE146)=0,"",INDEX(对接源_01水果!$M$4:$M$1203,$AE146)),IF(INDEX(对接源_02物料!$M$4:$M$1203,$AE146-1200)=0,"",INDEX(对接源_02物料!$M$4:$M$1203,$AE146-1200))))</f>
        <v/>
      </c>
      <c r="AE146" s="107" t="str">
        <f>IFERROR(MATCH(141,_自动清单!$AS$4:$AS$2403,0),"")</f>
        <v/>
      </c>
      <c r="AF146" s="107"/>
    </row>
    <row r="147" ht="18" customHeight="1" spans="1:32">
      <c r="A147" s="52" t="str">
        <f>IF($AE147="","",IF($AE147&lt;=1200,IF(INDEX(对接源_01水果!$B$4:$B$1203,$AE147)=0,"",INDEX(对接源_01水果!$B$4:$B$1203,$AE147)),IF(INDEX(对接源_02物料!$B$4:$B$1203,$AE147-1200)=0,"",INDEX(对接源_02物料!$B$4:$B$1203,$AE147-1200))))</f>
        <v/>
      </c>
      <c r="B147" s="53" t="str">
        <f>IF($AE147="","",IF($AE147&lt;=1200,IF(INDEX(对接源_01水果!$E$4:$E$1203,$AE147)=0,"",INDEX(对接源_01水果!$E$4:$E$1203,$AE147)),IF(INDEX(对接源_02物料!$E$4:$E$1203,$AE147-1200)=0,"",INDEX(对接源_02物料!$E$4:$E$1203,$AE147-1200))))</f>
        <v/>
      </c>
      <c r="C147" s="106" t="str">
        <f>IF($AE147="","",IF($AE147&lt;=1200,IF(INDEX(对接源_01水果!$F$4:$F$1203,$AE147)=0,"",INDEX(对接源_01水果!$F$4:$F$1203,$AE147)),IF(INDEX(对接源_02物料!$F$4:$F$1203,$AE147-1200)=0,"",INDEX(对接源_02物料!$F$4:$F$1203,$AE147-1200))))</f>
        <v/>
      </c>
      <c r="D147" s="53" t="str">
        <f>IF($AE147="","",IF(IF($AE147&lt;=1200,IF(INDEX(对接源_01水果!$G$4:$G$1203,$AE147)=0,"",INDEX(对接源_01水果!$G$4:$G$1203,$AE147)),IF(INDEX(对接源_02物料!$G$4:$G$1203,$AE147-1200)=0,"",INDEX(对接源_02物料!$G$4:$G$1203,$AE147-1200)))="",IF($AE147&lt;=1200,IF(INDEX(对接源_01水果!$D$4:$D$1203,$AE147)=0,"",INDEX(对接源_01水果!$D$4:$D$1203,$AE147)),IF(INDEX(对接源_02物料!$D$4:$D$1203,$AE147-1200)=0,"",INDEX(对接源_02物料!$D$4:$D$1203,$AE147-1200))),IF($AE147&lt;=1200,IF(INDEX(对接源_01水果!$G$4:$G$1203,$AE147)=0,"",INDEX(对接源_01水果!$G$4:$G$1203,$AE147)),IF(INDEX(对接源_02物料!$G$4:$G$1203,$AE147-1200)=0,"",INDEX(对接源_02物料!$G$4:$G$1203,$AE147-1200)))))</f>
        <v/>
      </c>
      <c r="E147" s="55" t="str">
        <f>IF($AE147="","",IF($AE147&lt;=1200,IF(INDEX(对接源_01水果!$H$4:$H$1203,$AE147)=0,"",INDEX(对接源_01水果!$H$4:$H$1203,$AE147)),IF(INDEX(对接源_02物料!$H$4:$H$1203,$AE147-1200)=0,"",INDEX(对接源_02物料!$H$4:$H$1203,$AE147-1200))))</f>
        <v/>
      </c>
      <c r="F147" s="53" t="str">
        <f>IF($AE147="","",IF($AE147&lt;=1200,IF(INDEX(对接源_01水果!$I$4:$I$1203,$AE147)=0,"",INDEX(对接源_01水果!$I$4:$I$1203,$AE147)),IF(INDEX(对接源_02物料!$I$4:$I$1203,$AE147-1200)=0,"",INDEX(对接源_02物料!$I$4:$I$1203,$AE147-1200))))</f>
        <v/>
      </c>
      <c r="G147" s="55" t="str">
        <f>IF($AE147="","",IF(IF($AE147&lt;=1200,N(INDEX(对接源_01水果!$H$4:$H$1203,$AE147)),N(INDEX(对接源_02物料!$H$4:$H$1203,$AE147-1200)))=0,"",ROUND(IF($AE147&lt;=1200,N(INDEX(对接源_01水果!$K$4:$K$1203,$AE147)),N(INDEX(对接源_02物料!$K$4:$K$1203,$AE147-1200)))/IF($AE147&lt;=1200,N(INDEX(对接源_01水果!$H$4:$H$1203,$AE147)),N(INDEX(对接源_02物料!$H$4:$H$1203,$AE147-1200))),2)))</f>
        <v/>
      </c>
      <c r="H147" s="55" t="str">
        <f>IF($AE147="","",IF($AE147&lt;=1200,IF(INDEX(对接源_01水果!$K$4:$K$1203,$AE147)=0,"",INDEX(对接源_01水果!$K$4:$K$1203,$AE147)),IF(INDEX(对接源_02物料!$K$4:$K$1203,$AE147-1200)=0,"",INDEX(对接源_02物料!$K$4:$K$1203,$AE147-1200))))</f>
        <v/>
      </c>
      <c r="I147" s="53" t="str">
        <f>IF($AE147="","",IF($AE147&lt;=1200,IF(INDEX(对接源_01水果!$L$4:$L$1203,$AE147)=0,"",INDEX(对接源_01水果!$L$4:$L$1203,$AE147)),IF(INDEX(对接源_02物料!$L$4:$L$1203,$AE147-1200)=0,"",INDEX(对接源_02物料!$L$4:$L$1203,$AE147-1200))))</f>
        <v/>
      </c>
      <c r="J147" s="106" t="str">
        <f>IF($AE147="","",IF($AE147&lt;=1200,IF(INDEX(对接源_01水果!$M$4:$M$1203,$AE147)=0,"",INDEX(对接源_01水果!$M$4:$M$1203,$AE147)),IF(INDEX(对接源_02物料!$M$4:$M$1203,$AE147-1200)=0,"",INDEX(对接源_02物料!$M$4:$M$1203,$AE147-1200))))</f>
        <v/>
      </c>
      <c r="AE147" s="107" t="str">
        <f>IFERROR(MATCH(142,_自动清单!$AS$4:$AS$2403,0),"")</f>
        <v/>
      </c>
      <c r="AF147" s="107"/>
    </row>
    <row r="148" ht="18" customHeight="1" spans="1:32">
      <c r="A148" s="52" t="str">
        <f>IF($AE148="","",IF($AE148&lt;=1200,IF(INDEX(对接源_01水果!$B$4:$B$1203,$AE148)=0,"",INDEX(对接源_01水果!$B$4:$B$1203,$AE148)),IF(INDEX(对接源_02物料!$B$4:$B$1203,$AE148-1200)=0,"",INDEX(对接源_02物料!$B$4:$B$1203,$AE148-1200))))</f>
        <v/>
      </c>
      <c r="B148" s="53" t="str">
        <f>IF($AE148="","",IF($AE148&lt;=1200,IF(INDEX(对接源_01水果!$E$4:$E$1203,$AE148)=0,"",INDEX(对接源_01水果!$E$4:$E$1203,$AE148)),IF(INDEX(对接源_02物料!$E$4:$E$1203,$AE148-1200)=0,"",INDEX(对接源_02物料!$E$4:$E$1203,$AE148-1200))))</f>
        <v/>
      </c>
      <c r="C148" s="106" t="str">
        <f>IF($AE148="","",IF($AE148&lt;=1200,IF(INDEX(对接源_01水果!$F$4:$F$1203,$AE148)=0,"",INDEX(对接源_01水果!$F$4:$F$1203,$AE148)),IF(INDEX(对接源_02物料!$F$4:$F$1203,$AE148-1200)=0,"",INDEX(对接源_02物料!$F$4:$F$1203,$AE148-1200))))</f>
        <v/>
      </c>
      <c r="D148" s="53" t="str">
        <f>IF($AE148="","",IF(IF($AE148&lt;=1200,IF(INDEX(对接源_01水果!$G$4:$G$1203,$AE148)=0,"",INDEX(对接源_01水果!$G$4:$G$1203,$AE148)),IF(INDEX(对接源_02物料!$G$4:$G$1203,$AE148-1200)=0,"",INDEX(对接源_02物料!$G$4:$G$1203,$AE148-1200)))="",IF($AE148&lt;=1200,IF(INDEX(对接源_01水果!$D$4:$D$1203,$AE148)=0,"",INDEX(对接源_01水果!$D$4:$D$1203,$AE148)),IF(INDEX(对接源_02物料!$D$4:$D$1203,$AE148-1200)=0,"",INDEX(对接源_02物料!$D$4:$D$1203,$AE148-1200))),IF($AE148&lt;=1200,IF(INDEX(对接源_01水果!$G$4:$G$1203,$AE148)=0,"",INDEX(对接源_01水果!$G$4:$G$1203,$AE148)),IF(INDEX(对接源_02物料!$G$4:$G$1203,$AE148-1200)=0,"",INDEX(对接源_02物料!$G$4:$G$1203,$AE148-1200)))))</f>
        <v/>
      </c>
      <c r="E148" s="55" t="str">
        <f>IF($AE148="","",IF($AE148&lt;=1200,IF(INDEX(对接源_01水果!$H$4:$H$1203,$AE148)=0,"",INDEX(对接源_01水果!$H$4:$H$1203,$AE148)),IF(INDEX(对接源_02物料!$H$4:$H$1203,$AE148-1200)=0,"",INDEX(对接源_02物料!$H$4:$H$1203,$AE148-1200))))</f>
        <v/>
      </c>
      <c r="F148" s="53" t="str">
        <f>IF($AE148="","",IF($AE148&lt;=1200,IF(INDEX(对接源_01水果!$I$4:$I$1203,$AE148)=0,"",INDEX(对接源_01水果!$I$4:$I$1203,$AE148)),IF(INDEX(对接源_02物料!$I$4:$I$1203,$AE148-1200)=0,"",INDEX(对接源_02物料!$I$4:$I$1203,$AE148-1200))))</f>
        <v/>
      </c>
      <c r="G148" s="55" t="str">
        <f>IF($AE148="","",IF(IF($AE148&lt;=1200,N(INDEX(对接源_01水果!$H$4:$H$1203,$AE148)),N(INDEX(对接源_02物料!$H$4:$H$1203,$AE148-1200)))=0,"",ROUND(IF($AE148&lt;=1200,N(INDEX(对接源_01水果!$K$4:$K$1203,$AE148)),N(INDEX(对接源_02物料!$K$4:$K$1203,$AE148-1200)))/IF($AE148&lt;=1200,N(INDEX(对接源_01水果!$H$4:$H$1203,$AE148)),N(INDEX(对接源_02物料!$H$4:$H$1203,$AE148-1200))),2)))</f>
        <v/>
      </c>
      <c r="H148" s="55" t="str">
        <f>IF($AE148="","",IF($AE148&lt;=1200,IF(INDEX(对接源_01水果!$K$4:$K$1203,$AE148)=0,"",INDEX(对接源_01水果!$K$4:$K$1203,$AE148)),IF(INDEX(对接源_02物料!$K$4:$K$1203,$AE148-1200)=0,"",INDEX(对接源_02物料!$K$4:$K$1203,$AE148-1200))))</f>
        <v/>
      </c>
      <c r="I148" s="53" t="str">
        <f>IF($AE148="","",IF($AE148&lt;=1200,IF(INDEX(对接源_01水果!$L$4:$L$1203,$AE148)=0,"",INDEX(对接源_01水果!$L$4:$L$1203,$AE148)),IF(INDEX(对接源_02物料!$L$4:$L$1203,$AE148-1200)=0,"",INDEX(对接源_02物料!$L$4:$L$1203,$AE148-1200))))</f>
        <v/>
      </c>
      <c r="J148" s="106" t="str">
        <f>IF($AE148="","",IF($AE148&lt;=1200,IF(INDEX(对接源_01水果!$M$4:$M$1203,$AE148)=0,"",INDEX(对接源_01水果!$M$4:$M$1203,$AE148)),IF(INDEX(对接源_02物料!$M$4:$M$1203,$AE148-1200)=0,"",INDEX(对接源_02物料!$M$4:$M$1203,$AE148-1200))))</f>
        <v/>
      </c>
      <c r="AE148" s="107" t="str">
        <f>IFERROR(MATCH(143,_自动清单!$AS$4:$AS$2403,0),"")</f>
        <v/>
      </c>
      <c r="AF148" s="107"/>
    </row>
    <row r="149" ht="18" customHeight="1" spans="1:32">
      <c r="A149" s="52" t="str">
        <f>IF($AE149="","",IF($AE149&lt;=1200,IF(INDEX(对接源_01水果!$B$4:$B$1203,$AE149)=0,"",INDEX(对接源_01水果!$B$4:$B$1203,$AE149)),IF(INDEX(对接源_02物料!$B$4:$B$1203,$AE149-1200)=0,"",INDEX(对接源_02物料!$B$4:$B$1203,$AE149-1200))))</f>
        <v/>
      </c>
      <c r="B149" s="53" t="str">
        <f>IF($AE149="","",IF($AE149&lt;=1200,IF(INDEX(对接源_01水果!$E$4:$E$1203,$AE149)=0,"",INDEX(对接源_01水果!$E$4:$E$1203,$AE149)),IF(INDEX(对接源_02物料!$E$4:$E$1203,$AE149-1200)=0,"",INDEX(对接源_02物料!$E$4:$E$1203,$AE149-1200))))</f>
        <v/>
      </c>
      <c r="C149" s="106" t="str">
        <f>IF($AE149="","",IF($AE149&lt;=1200,IF(INDEX(对接源_01水果!$F$4:$F$1203,$AE149)=0,"",INDEX(对接源_01水果!$F$4:$F$1203,$AE149)),IF(INDEX(对接源_02物料!$F$4:$F$1203,$AE149-1200)=0,"",INDEX(对接源_02物料!$F$4:$F$1203,$AE149-1200))))</f>
        <v/>
      </c>
      <c r="D149" s="53" t="str">
        <f>IF($AE149="","",IF(IF($AE149&lt;=1200,IF(INDEX(对接源_01水果!$G$4:$G$1203,$AE149)=0,"",INDEX(对接源_01水果!$G$4:$G$1203,$AE149)),IF(INDEX(对接源_02物料!$G$4:$G$1203,$AE149-1200)=0,"",INDEX(对接源_02物料!$G$4:$G$1203,$AE149-1200)))="",IF($AE149&lt;=1200,IF(INDEX(对接源_01水果!$D$4:$D$1203,$AE149)=0,"",INDEX(对接源_01水果!$D$4:$D$1203,$AE149)),IF(INDEX(对接源_02物料!$D$4:$D$1203,$AE149-1200)=0,"",INDEX(对接源_02物料!$D$4:$D$1203,$AE149-1200))),IF($AE149&lt;=1200,IF(INDEX(对接源_01水果!$G$4:$G$1203,$AE149)=0,"",INDEX(对接源_01水果!$G$4:$G$1203,$AE149)),IF(INDEX(对接源_02物料!$G$4:$G$1203,$AE149-1200)=0,"",INDEX(对接源_02物料!$G$4:$G$1203,$AE149-1200)))))</f>
        <v/>
      </c>
      <c r="E149" s="55" t="str">
        <f>IF($AE149="","",IF($AE149&lt;=1200,IF(INDEX(对接源_01水果!$H$4:$H$1203,$AE149)=0,"",INDEX(对接源_01水果!$H$4:$H$1203,$AE149)),IF(INDEX(对接源_02物料!$H$4:$H$1203,$AE149-1200)=0,"",INDEX(对接源_02物料!$H$4:$H$1203,$AE149-1200))))</f>
        <v/>
      </c>
      <c r="F149" s="53" t="str">
        <f>IF($AE149="","",IF($AE149&lt;=1200,IF(INDEX(对接源_01水果!$I$4:$I$1203,$AE149)=0,"",INDEX(对接源_01水果!$I$4:$I$1203,$AE149)),IF(INDEX(对接源_02物料!$I$4:$I$1203,$AE149-1200)=0,"",INDEX(对接源_02物料!$I$4:$I$1203,$AE149-1200))))</f>
        <v/>
      </c>
      <c r="G149" s="55" t="str">
        <f>IF($AE149="","",IF(IF($AE149&lt;=1200,N(INDEX(对接源_01水果!$H$4:$H$1203,$AE149)),N(INDEX(对接源_02物料!$H$4:$H$1203,$AE149-1200)))=0,"",ROUND(IF($AE149&lt;=1200,N(INDEX(对接源_01水果!$K$4:$K$1203,$AE149)),N(INDEX(对接源_02物料!$K$4:$K$1203,$AE149-1200)))/IF($AE149&lt;=1200,N(INDEX(对接源_01水果!$H$4:$H$1203,$AE149)),N(INDEX(对接源_02物料!$H$4:$H$1203,$AE149-1200))),2)))</f>
        <v/>
      </c>
      <c r="H149" s="55" t="str">
        <f>IF($AE149="","",IF($AE149&lt;=1200,IF(INDEX(对接源_01水果!$K$4:$K$1203,$AE149)=0,"",INDEX(对接源_01水果!$K$4:$K$1203,$AE149)),IF(INDEX(对接源_02物料!$K$4:$K$1203,$AE149-1200)=0,"",INDEX(对接源_02物料!$K$4:$K$1203,$AE149-1200))))</f>
        <v/>
      </c>
      <c r="I149" s="53" t="str">
        <f>IF($AE149="","",IF($AE149&lt;=1200,IF(INDEX(对接源_01水果!$L$4:$L$1203,$AE149)=0,"",INDEX(对接源_01水果!$L$4:$L$1203,$AE149)),IF(INDEX(对接源_02物料!$L$4:$L$1203,$AE149-1200)=0,"",INDEX(对接源_02物料!$L$4:$L$1203,$AE149-1200))))</f>
        <v/>
      </c>
      <c r="J149" s="106" t="str">
        <f>IF($AE149="","",IF($AE149&lt;=1200,IF(INDEX(对接源_01水果!$M$4:$M$1203,$AE149)=0,"",INDEX(对接源_01水果!$M$4:$M$1203,$AE149)),IF(INDEX(对接源_02物料!$M$4:$M$1203,$AE149-1200)=0,"",INDEX(对接源_02物料!$M$4:$M$1203,$AE149-1200))))</f>
        <v/>
      </c>
      <c r="AE149" s="107" t="str">
        <f>IFERROR(MATCH(144,_自动清单!$AS$4:$AS$2403,0),"")</f>
        <v/>
      </c>
      <c r="AF149" s="107"/>
    </row>
    <row r="150" ht="18" customHeight="1" spans="1:32">
      <c r="A150" s="52" t="str">
        <f>IF($AE150="","",IF($AE150&lt;=1200,IF(INDEX(对接源_01水果!$B$4:$B$1203,$AE150)=0,"",INDEX(对接源_01水果!$B$4:$B$1203,$AE150)),IF(INDEX(对接源_02物料!$B$4:$B$1203,$AE150-1200)=0,"",INDEX(对接源_02物料!$B$4:$B$1203,$AE150-1200))))</f>
        <v/>
      </c>
      <c r="B150" s="53" t="str">
        <f>IF($AE150="","",IF($AE150&lt;=1200,IF(INDEX(对接源_01水果!$E$4:$E$1203,$AE150)=0,"",INDEX(对接源_01水果!$E$4:$E$1203,$AE150)),IF(INDEX(对接源_02物料!$E$4:$E$1203,$AE150-1200)=0,"",INDEX(对接源_02物料!$E$4:$E$1203,$AE150-1200))))</f>
        <v/>
      </c>
      <c r="C150" s="106" t="str">
        <f>IF($AE150="","",IF($AE150&lt;=1200,IF(INDEX(对接源_01水果!$F$4:$F$1203,$AE150)=0,"",INDEX(对接源_01水果!$F$4:$F$1203,$AE150)),IF(INDEX(对接源_02物料!$F$4:$F$1203,$AE150-1200)=0,"",INDEX(对接源_02物料!$F$4:$F$1203,$AE150-1200))))</f>
        <v/>
      </c>
      <c r="D150" s="53" t="str">
        <f>IF($AE150="","",IF(IF($AE150&lt;=1200,IF(INDEX(对接源_01水果!$G$4:$G$1203,$AE150)=0,"",INDEX(对接源_01水果!$G$4:$G$1203,$AE150)),IF(INDEX(对接源_02物料!$G$4:$G$1203,$AE150-1200)=0,"",INDEX(对接源_02物料!$G$4:$G$1203,$AE150-1200)))="",IF($AE150&lt;=1200,IF(INDEX(对接源_01水果!$D$4:$D$1203,$AE150)=0,"",INDEX(对接源_01水果!$D$4:$D$1203,$AE150)),IF(INDEX(对接源_02物料!$D$4:$D$1203,$AE150-1200)=0,"",INDEX(对接源_02物料!$D$4:$D$1203,$AE150-1200))),IF($AE150&lt;=1200,IF(INDEX(对接源_01水果!$G$4:$G$1203,$AE150)=0,"",INDEX(对接源_01水果!$G$4:$G$1203,$AE150)),IF(INDEX(对接源_02物料!$G$4:$G$1203,$AE150-1200)=0,"",INDEX(对接源_02物料!$G$4:$G$1203,$AE150-1200)))))</f>
        <v/>
      </c>
      <c r="E150" s="55" t="str">
        <f>IF($AE150="","",IF($AE150&lt;=1200,IF(INDEX(对接源_01水果!$H$4:$H$1203,$AE150)=0,"",INDEX(对接源_01水果!$H$4:$H$1203,$AE150)),IF(INDEX(对接源_02物料!$H$4:$H$1203,$AE150-1200)=0,"",INDEX(对接源_02物料!$H$4:$H$1203,$AE150-1200))))</f>
        <v/>
      </c>
      <c r="F150" s="53" t="str">
        <f>IF($AE150="","",IF($AE150&lt;=1200,IF(INDEX(对接源_01水果!$I$4:$I$1203,$AE150)=0,"",INDEX(对接源_01水果!$I$4:$I$1203,$AE150)),IF(INDEX(对接源_02物料!$I$4:$I$1203,$AE150-1200)=0,"",INDEX(对接源_02物料!$I$4:$I$1203,$AE150-1200))))</f>
        <v/>
      </c>
      <c r="G150" s="55" t="str">
        <f>IF($AE150="","",IF(IF($AE150&lt;=1200,N(INDEX(对接源_01水果!$H$4:$H$1203,$AE150)),N(INDEX(对接源_02物料!$H$4:$H$1203,$AE150-1200)))=0,"",ROUND(IF($AE150&lt;=1200,N(INDEX(对接源_01水果!$K$4:$K$1203,$AE150)),N(INDEX(对接源_02物料!$K$4:$K$1203,$AE150-1200)))/IF($AE150&lt;=1200,N(INDEX(对接源_01水果!$H$4:$H$1203,$AE150)),N(INDEX(对接源_02物料!$H$4:$H$1203,$AE150-1200))),2)))</f>
        <v/>
      </c>
      <c r="H150" s="55" t="str">
        <f>IF($AE150="","",IF($AE150&lt;=1200,IF(INDEX(对接源_01水果!$K$4:$K$1203,$AE150)=0,"",INDEX(对接源_01水果!$K$4:$K$1203,$AE150)),IF(INDEX(对接源_02物料!$K$4:$K$1203,$AE150-1200)=0,"",INDEX(对接源_02物料!$K$4:$K$1203,$AE150-1200))))</f>
        <v/>
      </c>
      <c r="I150" s="53" t="str">
        <f>IF($AE150="","",IF($AE150&lt;=1200,IF(INDEX(对接源_01水果!$L$4:$L$1203,$AE150)=0,"",INDEX(对接源_01水果!$L$4:$L$1203,$AE150)),IF(INDEX(对接源_02物料!$L$4:$L$1203,$AE150-1200)=0,"",INDEX(对接源_02物料!$L$4:$L$1203,$AE150-1200))))</f>
        <v/>
      </c>
      <c r="J150" s="106" t="str">
        <f>IF($AE150="","",IF($AE150&lt;=1200,IF(INDEX(对接源_01水果!$M$4:$M$1203,$AE150)=0,"",INDEX(对接源_01水果!$M$4:$M$1203,$AE150)),IF(INDEX(对接源_02物料!$M$4:$M$1203,$AE150-1200)=0,"",INDEX(对接源_02物料!$M$4:$M$1203,$AE150-1200))))</f>
        <v/>
      </c>
      <c r="AE150" s="107" t="str">
        <f>IFERROR(MATCH(145,_自动清单!$AS$4:$AS$2403,0),"")</f>
        <v/>
      </c>
      <c r="AF150" s="107"/>
    </row>
    <row r="151" ht="18" customHeight="1" spans="1:32">
      <c r="A151" s="52" t="str">
        <f>IF($AE151="","",IF($AE151&lt;=1200,IF(INDEX(对接源_01水果!$B$4:$B$1203,$AE151)=0,"",INDEX(对接源_01水果!$B$4:$B$1203,$AE151)),IF(INDEX(对接源_02物料!$B$4:$B$1203,$AE151-1200)=0,"",INDEX(对接源_02物料!$B$4:$B$1203,$AE151-1200))))</f>
        <v/>
      </c>
      <c r="B151" s="53" t="str">
        <f>IF($AE151="","",IF($AE151&lt;=1200,IF(INDEX(对接源_01水果!$E$4:$E$1203,$AE151)=0,"",INDEX(对接源_01水果!$E$4:$E$1203,$AE151)),IF(INDEX(对接源_02物料!$E$4:$E$1203,$AE151-1200)=0,"",INDEX(对接源_02物料!$E$4:$E$1203,$AE151-1200))))</f>
        <v/>
      </c>
      <c r="C151" s="106" t="str">
        <f>IF($AE151="","",IF($AE151&lt;=1200,IF(INDEX(对接源_01水果!$F$4:$F$1203,$AE151)=0,"",INDEX(对接源_01水果!$F$4:$F$1203,$AE151)),IF(INDEX(对接源_02物料!$F$4:$F$1203,$AE151-1200)=0,"",INDEX(对接源_02物料!$F$4:$F$1203,$AE151-1200))))</f>
        <v/>
      </c>
      <c r="D151" s="53" t="str">
        <f>IF($AE151="","",IF(IF($AE151&lt;=1200,IF(INDEX(对接源_01水果!$G$4:$G$1203,$AE151)=0,"",INDEX(对接源_01水果!$G$4:$G$1203,$AE151)),IF(INDEX(对接源_02物料!$G$4:$G$1203,$AE151-1200)=0,"",INDEX(对接源_02物料!$G$4:$G$1203,$AE151-1200)))="",IF($AE151&lt;=1200,IF(INDEX(对接源_01水果!$D$4:$D$1203,$AE151)=0,"",INDEX(对接源_01水果!$D$4:$D$1203,$AE151)),IF(INDEX(对接源_02物料!$D$4:$D$1203,$AE151-1200)=0,"",INDEX(对接源_02物料!$D$4:$D$1203,$AE151-1200))),IF($AE151&lt;=1200,IF(INDEX(对接源_01水果!$G$4:$G$1203,$AE151)=0,"",INDEX(对接源_01水果!$G$4:$G$1203,$AE151)),IF(INDEX(对接源_02物料!$G$4:$G$1203,$AE151-1200)=0,"",INDEX(对接源_02物料!$G$4:$G$1203,$AE151-1200)))))</f>
        <v/>
      </c>
      <c r="E151" s="55" t="str">
        <f>IF($AE151="","",IF($AE151&lt;=1200,IF(INDEX(对接源_01水果!$H$4:$H$1203,$AE151)=0,"",INDEX(对接源_01水果!$H$4:$H$1203,$AE151)),IF(INDEX(对接源_02物料!$H$4:$H$1203,$AE151-1200)=0,"",INDEX(对接源_02物料!$H$4:$H$1203,$AE151-1200))))</f>
        <v/>
      </c>
      <c r="F151" s="53" t="str">
        <f>IF($AE151="","",IF($AE151&lt;=1200,IF(INDEX(对接源_01水果!$I$4:$I$1203,$AE151)=0,"",INDEX(对接源_01水果!$I$4:$I$1203,$AE151)),IF(INDEX(对接源_02物料!$I$4:$I$1203,$AE151-1200)=0,"",INDEX(对接源_02物料!$I$4:$I$1203,$AE151-1200))))</f>
        <v/>
      </c>
      <c r="G151" s="55" t="str">
        <f>IF($AE151="","",IF(IF($AE151&lt;=1200,N(INDEX(对接源_01水果!$H$4:$H$1203,$AE151)),N(INDEX(对接源_02物料!$H$4:$H$1203,$AE151-1200)))=0,"",ROUND(IF($AE151&lt;=1200,N(INDEX(对接源_01水果!$K$4:$K$1203,$AE151)),N(INDEX(对接源_02物料!$K$4:$K$1203,$AE151-1200)))/IF($AE151&lt;=1200,N(INDEX(对接源_01水果!$H$4:$H$1203,$AE151)),N(INDEX(对接源_02物料!$H$4:$H$1203,$AE151-1200))),2)))</f>
        <v/>
      </c>
      <c r="H151" s="55" t="str">
        <f>IF($AE151="","",IF($AE151&lt;=1200,IF(INDEX(对接源_01水果!$K$4:$K$1203,$AE151)=0,"",INDEX(对接源_01水果!$K$4:$K$1203,$AE151)),IF(INDEX(对接源_02物料!$K$4:$K$1203,$AE151-1200)=0,"",INDEX(对接源_02物料!$K$4:$K$1203,$AE151-1200))))</f>
        <v/>
      </c>
      <c r="I151" s="53" t="str">
        <f>IF($AE151="","",IF($AE151&lt;=1200,IF(INDEX(对接源_01水果!$L$4:$L$1203,$AE151)=0,"",INDEX(对接源_01水果!$L$4:$L$1203,$AE151)),IF(INDEX(对接源_02物料!$L$4:$L$1203,$AE151-1200)=0,"",INDEX(对接源_02物料!$L$4:$L$1203,$AE151-1200))))</f>
        <v/>
      </c>
      <c r="J151" s="106" t="str">
        <f>IF($AE151="","",IF($AE151&lt;=1200,IF(INDEX(对接源_01水果!$M$4:$M$1203,$AE151)=0,"",INDEX(对接源_01水果!$M$4:$M$1203,$AE151)),IF(INDEX(对接源_02物料!$M$4:$M$1203,$AE151-1200)=0,"",INDEX(对接源_02物料!$M$4:$M$1203,$AE151-1200))))</f>
        <v/>
      </c>
      <c r="AE151" s="107" t="str">
        <f>IFERROR(MATCH(146,_自动清单!$AS$4:$AS$2403,0),"")</f>
        <v/>
      </c>
      <c r="AF151" s="107"/>
    </row>
    <row r="152" ht="18" customHeight="1" spans="1:32">
      <c r="A152" s="52" t="str">
        <f>IF($AE152="","",IF($AE152&lt;=1200,IF(INDEX(对接源_01水果!$B$4:$B$1203,$AE152)=0,"",INDEX(对接源_01水果!$B$4:$B$1203,$AE152)),IF(INDEX(对接源_02物料!$B$4:$B$1203,$AE152-1200)=0,"",INDEX(对接源_02物料!$B$4:$B$1203,$AE152-1200))))</f>
        <v/>
      </c>
      <c r="B152" s="53" t="str">
        <f>IF($AE152="","",IF($AE152&lt;=1200,IF(INDEX(对接源_01水果!$E$4:$E$1203,$AE152)=0,"",INDEX(对接源_01水果!$E$4:$E$1203,$AE152)),IF(INDEX(对接源_02物料!$E$4:$E$1203,$AE152-1200)=0,"",INDEX(对接源_02物料!$E$4:$E$1203,$AE152-1200))))</f>
        <v/>
      </c>
      <c r="C152" s="106" t="str">
        <f>IF($AE152="","",IF($AE152&lt;=1200,IF(INDEX(对接源_01水果!$F$4:$F$1203,$AE152)=0,"",INDEX(对接源_01水果!$F$4:$F$1203,$AE152)),IF(INDEX(对接源_02物料!$F$4:$F$1203,$AE152-1200)=0,"",INDEX(对接源_02物料!$F$4:$F$1203,$AE152-1200))))</f>
        <v/>
      </c>
      <c r="D152" s="53" t="str">
        <f>IF($AE152="","",IF(IF($AE152&lt;=1200,IF(INDEX(对接源_01水果!$G$4:$G$1203,$AE152)=0,"",INDEX(对接源_01水果!$G$4:$G$1203,$AE152)),IF(INDEX(对接源_02物料!$G$4:$G$1203,$AE152-1200)=0,"",INDEX(对接源_02物料!$G$4:$G$1203,$AE152-1200)))="",IF($AE152&lt;=1200,IF(INDEX(对接源_01水果!$D$4:$D$1203,$AE152)=0,"",INDEX(对接源_01水果!$D$4:$D$1203,$AE152)),IF(INDEX(对接源_02物料!$D$4:$D$1203,$AE152-1200)=0,"",INDEX(对接源_02物料!$D$4:$D$1203,$AE152-1200))),IF($AE152&lt;=1200,IF(INDEX(对接源_01水果!$G$4:$G$1203,$AE152)=0,"",INDEX(对接源_01水果!$G$4:$G$1203,$AE152)),IF(INDEX(对接源_02物料!$G$4:$G$1203,$AE152-1200)=0,"",INDEX(对接源_02物料!$G$4:$G$1203,$AE152-1200)))))</f>
        <v/>
      </c>
      <c r="E152" s="55" t="str">
        <f>IF($AE152="","",IF($AE152&lt;=1200,IF(INDEX(对接源_01水果!$H$4:$H$1203,$AE152)=0,"",INDEX(对接源_01水果!$H$4:$H$1203,$AE152)),IF(INDEX(对接源_02物料!$H$4:$H$1203,$AE152-1200)=0,"",INDEX(对接源_02物料!$H$4:$H$1203,$AE152-1200))))</f>
        <v/>
      </c>
      <c r="F152" s="53" t="str">
        <f>IF($AE152="","",IF($AE152&lt;=1200,IF(INDEX(对接源_01水果!$I$4:$I$1203,$AE152)=0,"",INDEX(对接源_01水果!$I$4:$I$1203,$AE152)),IF(INDEX(对接源_02物料!$I$4:$I$1203,$AE152-1200)=0,"",INDEX(对接源_02物料!$I$4:$I$1203,$AE152-1200))))</f>
        <v/>
      </c>
      <c r="G152" s="55" t="str">
        <f>IF($AE152="","",IF(IF($AE152&lt;=1200,N(INDEX(对接源_01水果!$H$4:$H$1203,$AE152)),N(INDEX(对接源_02物料!$H$4:$H$1203,$AE152-1200)))=0,"",ROUND(IF($AE152&lt;=1200,N(INDEX(对接源_01水果!$K$4:$K$1203,$AE152)),N(INDEX(对接源_02物料!$K$4:$K$1203,$AE152-1200)))/IF($AE152&lt;=1200,N(INDEX(对接源_01水果!$H$4:$H$1203,$AE152)),N(INDEX(对接源_02物料!$H$4:$H$1203,$AE152-1200))),2)))</f>
        <v/>
      </c>
      <c r="H152" s="55" t="str">
        <f>IF($AE152="","",IF($AE152&lt;=1200,IF(INDEX(对接源_01水果!$K$4:$K$1203,$AE152)=0,"",INDEX(对接源_01水果!$K$4:$K$1203,$AE152)),IF(INDEX(对接源_02物料!$K$4:$K$1203,$AE152-1200)=0,"",INDEX(对接源_02物料!$K$4:$K$1203,$AE152-1200))))</f>
        <v/>
      </c>
      <c r="I152" s="53" t="str">
        <f>IF($AE152="","",IF($AE152&lt;=1200,IF(INDEX(对接源_01水果!$L$4:$L$1203,$AE152)=0,"",INDEX(对接源_01水果!$L$4:$L$1203,$AE152)),IF(INDEX(对接源_02物料!$L$4:$L$1203,$AE152-1200)=0,"",INDEX(对接源_02物料!$L$4:$L$1203,$AE152-1200))))</f>
        <v/>
      </c>
      <c r="J152" s="106" t="str">
        <f>IF($AE152="","",IF($AE152&lt;=1200,IF(INDEX(对接源_01水果!$M$4:$M$1203,$AE152)=0,"",INDEX(对接源_01水果!$M$4:$M$1203,$AE152)),IF(INDEX(对接源_02物料!$M$4:$M$1203,$AE152-1200)=0,"",INDEX(对接源_02物料!$M$4:$M$1203,$AE152-1200))))</f>
        <v/>
      </c>
      <c r="AE152" s="107" t="str">
        <f>IFERROR(MATCH(147,_自动清单!$AS$4:$AS$2403,0),"")</f>
        <v/>
      </c>
      <c r="AF152" s="107"/>
    </row>
    <row r="153" ht="18" customHeight="1" spans="1:32">
      <c r="A153" s="52" t="str">
        <f>IF($AE153="","",IF($AE153&lt;=1200,IF(INDEX(对接源_01水果!$B$4:$B$1203,$AE153)=0,"",INDEX(对接源_01水果!$B$4:$B$1203,$AE153)),IF(INDEX(对接源_02物料!$B$4:$B$1203,$AE153-1200)=0,"",INDEX(对接源_02物料!$B$4:$B$1203,$AE153-1200))))</f>
        <v/>
      </c>
      <c r="B153" s="53" t="str">
        <f>IF($AE153="","",IF($AE153&lt;=1200,IF(INDEX(对接源_01水果!$E$4:$E$1203,$AE153)=0,"",INDEX(对接源_01水果!$E$4:$E$1203,$AE153)),IF(INDEX(对接源_02物料!$E$4:$E$1203,$AE153-1200)=0,"",INDEX(对接源_02物料!$E$4:$E$1203,$AE153-1200))))</f>
        <v/>
      </c>
      <c r="C153" s="106" t="str">
        <f>IF($AE153="","",IF($AE153&lt;=1200,IF(INDEX(对接源_01水果!$F$4:$F$1203,$AE153)=0,"",INDEX(对接源_01水果!$F$4:$F$1203,$AE153)),IF(INDEX(对接源_02物料!$F$4:$F$1203,$AE153-1200)=0,"",INDEX(对接源_02物料!$F$4:$F$1203,$AE153-1200))))</f>
        <v/>
      </c>
      <c r="D153" s="53" t="str">
        <f>IF($AE153="","",IF(IF($AE153&lt;=1200,IF(INDEX(对接源_01水果!$G$4:$G$1203,$AE153)=0,"",INDEX(对接源_01水果!$G$4:$G$1203,$AE153)),IF(INDEX(对接源_02物料!$G$4:$G$1203,$AE153-1200)=0,"",INDEX(对接源_02物料!$G$4:$G$1203,$AE153-1200)))="",IF($AE153&lt;=1200,IF(INDEX(对接源_01水果!$D$4:$D$1203,$AE153)=0,"",INDEX(对接源_01水果!$D$4:$D$1203,$AE153)),IF(INDEX(对接源_02物料!$D$4:$D$1203,$AE153-1200)=0,"",INDEX(对接源_02物料!$D$4:$D$1203,$AE153-1200))),IF($AE153&lt;=1200,IF(INDEX(对接源_01水果!$G$4:$G$1203,$AE153)=0,"",INDEX(对接源_01水果!$G$4:$G$1203,$AE153)),IF(INDEX(对接源_02物料!$G$4:$G$1203,$AE153-1200)=0,"",INDEX(对接源_02物料!$G$4:$G$1203,$AE153-1200)))))</f>
        <v/>
      </c>
      <c r="E153" s="55" t="str">
        <f>IF($AE153="","",IF($AE153&lt;=1200,IF(INDEX(对接源_01水果!$H$4:$H$1203,$AE153)=0,"",INDEX(对接源_01水果!$H$4:$H$1203,$AE153)),IF(INDEX(对接源_02物料!$H$4:$H$1203,$AE153-1200)=0,"",INDEX(对接源_02物料!$H$4:$H$1203,$AE153-1200))))</f>
        <v/>
      </c>
      <c r="F153" s="53" t="str">
        <f>IF($AE153="","",IF($AE153&lt;=1200,IF(INDEX(对接源_01水果!$I$4:$I$1203,$AE153)=0,"",INDEX(对接源_01水果!$I$4:$I$1203,$AE153)),IF(INDEX(对接源_02物料!$I$4:$I$1203,$AE153-1200)=0,"",INDEX(对接源_02物料!$I$4:$I$1203,$AE153-1200))))</f>
        <v/>
      </c>
      <c r="G153" s="55" t="str">
        <f>IF($AE153="","",IF(IF($AE153&lt;=1200,N(INDEX(对接源_01水果!$H$4:$H$1203,$AE153)),N(INDEX(对接源_02物料!$H$4:$H$1203,$AE153-1200)))=0,"",ROUND(IF($AE153&lt;=1200,N(INDEX(对接源_01水果!$K$4:$K$1203,$AE153)),N(INDEX(对接源_02物料!$K$4:$K$1203,$AE153-1200)))/IF($AE153&lt;=1200,N(INDEX(对接源_01水果!$H$4:$H$1203,$AE153)),N(INDEX(对接源_02物料!$H$4:$H$1203,$AE153-1200))),2)))</f>
        <v/>
      </c>
      <c r="H153" s="55" t="str">
        <f>IF($AE153="","",IF($AE153&lt;=1200,IF(INDEX(对接源_01水果!$K$4:$K$1203,$AE153)=0,"",INDEX(对接源_01水果!$K$4:$K$1203,$AE153)),IF(INDEX(对接源_02物料!$K$4:$K$1203,$AE153-1200)=0,"",INDEX(对接源_02物料!$K$4:$K$1203,$AE153-1200))))</f>
        <v/>
      </c>
      <c r="I153" s="53" t="str">
        <f>IF($AE153="","",IF($AE153&lt;=1200,IF(INDEX(对接源_01水果!$L$4:$L$1203,$AE153)=0,"",INDEX(对接源_01水果!$L$4:$L$1203,$AE153)),IF(INDEX(对接源_02物料!$L$4:$L$1203,$AE153-1200)=0,"",INDEX(对接源_02物料!$L$4:$L$1203,$AE153-1200))))</f>
        <v/>
      </c>
      <c r="J153" s="106" t="str">
        <f>IF($AE153="","",IF($AE153&lt;=1200,IF(INDEX(对接源_01水果!$M$4:$M$1203,$AE153)=0,"",INDEX(对接源_01水果!$M$4:$M$1203,$AE153)),IF(INDEX(对接源_02物料!$M$4:$M$1203,$AE153-1200)=0,"",INDEX(对接源_02物料!$M$4:$M$1203,$AE153-1200))))</f>
        <v/>
      </c>
      <c r="AE153" s="107" t="str">
        <f>IFERROR(MATCH(148,_自动清单!$AS$4:$AS$2403,0),"")</f>
        <v/>
      </c>
      <c r="AF153" s="107"/>
    </row>
    <row r="154" ht="18" customHeight="1" spans="1:32">
      <c r="A154" s="52" t="str">
        <f>IF($AE154="","",IF($AE154&lt;=1200,IF(INDEX(对接源_01水果!$B$4:$B$1203,$AE154)=0,"",INDEX(对接源_01水果!$B$4:$B$1203,$AE154)),IF(INDEX(对接源_02物料!$B$4:$B$1203,$AE154-1200)=0,"",INDEX(对接源_02物料!$B$4:$B$1203,$AE154-1200))))</f>
        <v/>
      </c>
      <c r="B154" s="53" t="str">
        <f>IF($AE154="","",IF($AE154&lt;=1200,IF(INDEX(对接源_01水果!$E$4:$E$1203,$AE154)=0,"",INDEX(对接源_01水果!$E$4:$E$1203,$AE154)),IF(INDEX(对接源_02物料!$E$4:$E$1203,$AE154-1200)=0,"",INDEX(对接源_02物料!$E$4:$E$1203,$AE154-1200))))</f>
        <v/>
      </c>
      <c r="C154" s="106" t="str">
        <f>IF($AE154="","",IF($AE154&lt;=1200,IF(INDEX(对接源_01水果!$F$4:$F$1203,$AE154)=0,"",INDEX(对接源_01水果!$F$4:$F$1203,$AE154)),IF(INDEX(对接源_02物料!$F$4:$F$1203,$AE154-1200)=0,"",INDEX(对接源_02物料!$F$4:$F$1203,$AE154-1200))))</f>
        <v/>
      </c>
      <c r="D154" s="53" t="str">
        <f>IF($AE154="","",IF(IF($AE154&lt;=1200,IF(INDEX(对接源_01水果!$G$4:$G$1203,$AE154)=0,"",INDEX(对接源_01水果!$G$4:$G$1203,$AE154)),IF(INDEX(对接源_02物料!$G$4:$G$1203,$AE154-1200)=0,"",INDEX(对接源_02物料!$G$4:$G$1203,$AE154-1200)))="",IF($AE154&lt;=1200,IF(INDEX(对接源_01水果!$D$4:$D$1203,$AE154)=0,"",INDEX(对接源_01水果!$D$4:$D$1203,$AE154)),IF(INDEX(对接源_02物料!$D$4:$D$1203,$AE154-1200)=0,"",INDEX(对接源_02物料!$D$4:$D$1203,$AE154-1200))),IF($AE154&lt;=1200,IF(INDEX(对接源_01水果!$G$4:$G$1203,$AE154)=0,"",INDEX(对接源_01水果!$G$4:$G$1203,$AE154)),IF(INDEX(对接源_02物料!$G$4:$G$1203,$AE154-1200)=0,"",INDEX(对接源_02物料!$G$4:$G$1203,$AE154-1200)))))</f>
        <v/>
      </c>
      <c r="E154" s="55" t="str">
        <f>IF($AE154="","",IF($AE154&lt;=1200,IF(INDEX(对接源_01水果!$H$4:$H$1203,$AE154)=0,"",INDEX(对接源_01水果!$H$4:$H$1203,$AE154)),IF(INDEX(对接源_02物料!$H$4:$H$1203,$AE154-1200)=0,"",INDEX(对接源_02物料!$H$4:$H$1203,$AE154-1200))))</f>
        <v/>
      </c>
      <c r="F154" s="53" t="str">
        <f>IF($AE154="","",IF($AE154&lt;=1200,IF(INDEX(对接源_01水果!$I$4:$I$1203,$AE154)=0,"",INDEX(对接源_01水果!$I$4:$I$1203,$AE154)),IF(INDEX(对接源_02物料!$I$4:$I$1203,$AE154-1200)=0,"",INDEX(对接源_02物料!$I$4:$I$1203,$AE154-1200))))</f>
        <v/>
      </c>
      <c r="G154" s="55" t="str">
        <f>IF($AE154="","",IF(IF($AE154&lt;=1200,N(INDEX(对接源_01水果!$H$4:$H$1203,$AE154)),N(INDEX(对接源_02物料!$H$4:$H$1203,$AE154-1200)))=0,"",ROUND(IF($AE154&lt;=1200,N(INDEX(对接源_01水果!$K$4:$K$1203,$AE154)),N(INDEX(对接源_02物料!$K$4:$K$1203,$AE154-1200)))/IF($AE154&lt;=1200,N(INDEX(对接源_01水果!$H$4:$H$1203,$AE154)),N(INDEX(对接源_02物料!$H$4:$H$1203,$AE154-1200))),2)))</f>
        <v/>
      </c>
      <c r="H154" s="55" t="str">
        <f>IF($AE154="","",IF($AE154&lt;=1200,IF(INDEX(对接源_01水果!$K$4:$K$1203,$AE154)=0,"",INDEX(对接源_01水果!$K$4:$K$1203,$AE154)),IF(INDEX(对接源_02物料!$K$4:$K$1203,$AE154-1200)=0,"",INDEX(对接源_02物料!$K$4:$K$1203,$AE154-1200))))</f>
        <v/>
      </c>
      <c r="I154" s="53" t="str">
        <f>IF($AE154="","",IF($AE154&lt;=1200,IF(INDEX(对接源_01水果!$L$4:$L$1203,$AE154)=0,"",INDEX(对接源_01水果!$L$4:$L$1203,$AE154)),IF(INDEX(对接源_02物料!$L$4:$L$1203,$AE154-1200)=0,"",INDEX(对接源_02物料!$L$4:$L$1203,$AE154-1200))))</f>
        <v/>
      </c>
      <c r="J154" s="106" t="str">
        <f>IF($AE154="","",IF($AE154&lt;=1200,IF(INDEX(对接源_01水果!$M$4:$M$1203,$AE154)=0,"",INDEX(对接源_01水果!$M$4:$M$1203,$AE154)),IF(INDEX(对接源_02物料!$M$4:$M$1203,$AE154-1200)=0,"",INDEX(对接源_02物料!$M$4:$M$1203,$AE154-1200))))</f>
        <v/>
      </c>
      <c r="AE154" s="107" t="str">
        <f>IFERROR(MATCH(149,_自动清单!$AS$4:$AS$2403,0),"")</f>
        <v/>
      </c>
      <c r="AF154" s="107"/>
    </row>
    <row r="155" ht="18" customHeight="1" spans="1:32">
      <c r="A155" s="52" t="str">
        <f>IF($AE155="","",IF($AE155&lt;=1200,IF(INDEX(对接源_01水果!$B$4:$B$1203,$AE155)=0,"",INDEX(对接源_01水果!$B$4:$B$1203,$AE155)),IF(INDEX(对接源_02物料!$B$4:$B$1203,$AE155-1200)=0,"",INDEX(对接源_02物料!$B$4:$B$1203,$AE155-1200))))</f>
        <v/>
      </c>
      <c r="B155" s="53" t="str">
        <f>IF($AE155="","",IF($AE155&lt;=1200,IF(INDEX(对接源_01水果!$E$4:$E$1203,$AE155)=0,"",INDEX(对接源_01水果!$E$4:$E$1203,$AE155)),IF(INDEX(对接源_02物料!$E$4:$E$1203,$AE155-1200)=0,"",INDEX(对接源_02物料!$E$4:$E$1203,$AE155-1200))))</f>
        <v/>
      </c>
      <c r="C155" s="106" t="str">
        <f>IF($AE155="","",IF($AE155&lt;=1200,IF(INDEX(对接源_01水果!$F$4:$F$1203,$AE155)=0,"",INDEX(对接源_01水果!$F$4:$F$1203,$AE155)),IF(INDEX(对接源_02物料!$F$4:$F$1203,$AE155-1200)=0,"",INDEX(对接源_02物料!$F$4:$F$1203,$AE155-1200))))</f>
        <v/>
      </c>
      <c r="D155" s="53" t="str">
        <f>IF($AE155="","",IF(IF($AE155&lt;=1200,IF(INDEX(对接源_01水果!$G$4:$G$1203,$AE155)=0,"",INDEX(对接源_01水果!$G$4:$G$1203,$AE155)),IF(INDEX(对接源_02物料!$G$4:$G$1203,$AE155-1200)=0,"",INDEX(对接源_02物料!$G$4:$G$1203,$AE155-1200)))="",IF($AE155&lt;=1200,IF(INDEX(对接源_01水果!$D$4:$D$1203,$AE155)=0,"",INDEX(对接源_01水果!$D$4:$D$1203,$AE155)),IF(INDEX(对接源_02物料!$D$4:$D$1203,$AE155-1200)=0,"",INDEX(对接源_02物料!$D$4:$D$1203,$AE155-1200))),IF($AE155&lt;=1200,IF(INDEX(对接源_01水果!$G$4:$G$1203,$AE155)=0,"",INDEX(对接源_01水果!$G$4:$G$1203,$AE155)),IF(INDEX(对接源_02物料!$G$4:$G$1203,$AE155-1200)=0,"",INDEX(对接源_02物料!$G$4:$G$1203,$AE155-1200)))))</f>
        <v/>
      </c>
      <c r="E155" s="55" t="str">
        <f>IF($AE155="","",IF($AE155&lt;=1200,IF(INDEX(对接源_01水果!$H$4:$H$1203,$AE155)=0,"",INDEX(对接源_01水果!$H$4:$H$1203,$AE155)),IF(INDEX(对接源_02物料!$H$4:$H$1203,$AE155-1200)=0,"",INDEX(对接源_02物料!$H$4:$H$1203,$AE155-1200))))</f>
        <v/>
      </c>
      <c r="F155" s="53" t="str">
        <f>IF($AE155="","",IF($AE155&lt;=1200,IF(INDEX(对接源_01水果!$I$4:$I$1203,$AE155)=0,"",INDEX(对接源_01水果!$I$4:$I$1203,$AE155)),IF(INDEX(对接源_02物料!$I$4:$I$1203,$AE155-1200)=0,"",INDEX(对接源_02物料!$I$4:$I$1203,$AE155-1200))))</f>
        <v/>
      </c>
      <c r="G155" s="55" t="str">
        <f>IF($AE155="","",IF(IF($AE155&lt;=1200,N(INDEX(对接源_01水果!$H$4:$H$1203,$AE155)),N(INDEX(对接源_02物料!$H$4:$H$1203,$AE155-1200)))=0,"",ROUND(IF($AE155&lt;=1200,N(INDEX(对接源_01水果!$K$4:$K$1203,$AE155)),N(INDEX(对接源_02物料!$K$4:$K$1203,$AE155-1200)))/IF($AE155&lt;=1200,N(INDEX(对接源_01水果!$H$4:$H$1203,$AE155)),N(INDEX(对接源_02物料!$H$4:$H$1203,$AE155-1200))),2)))</f>
        <v/>
      </c>
      <c r="H155" s="55" t="str">
        <f>IF($AE155="","",IF($AE155&lt;=1200,IF(INDEX(对接源_01水果!$K$4:$K$1203,$AE155)=0,"",INDEX(对接源_01水果!$K$4:$K$1203,$AE155)),IF(INDEX(对接源_02物料!$K$4:$K$1203,$AE155-1200)=0,"",INDEX(对接源_02物料!$K$4:$K$1203,$AE155-1200))))</f>
        <v/>
      </c>
      <c r="I155" s="53" t="str">
        <f>IF($AE155="","",IF($AE155&lt;=1200,IF(INDEX(对接源_01水果!$L$4:$L$1203,$AE155)=0,"",INDEX(对接源_01水果!$L$4:$L$1203,$AE155)),IF(INDEX(对接源_02物料!$L$4:$L$1203,$AE155-1200)=0,"",INDEX(对接源_02物料!$L$4:$L$1203,$AE155-1200))))</f>
        <v/>
      </c>
      <c r="J155" s="106" t="str">
        <f>IF($AE155="","",IF($AE155&lt;=1200,IF(INDEX(对接源_01水果!$M$4:$M$1203,$AE155)=0,"",INDEX(对接源_01水果!$M$4:$M$1203,$AE155)),IF(INDEX(对接源_02物料!$M$4:$M$1203,$AE155-1200)=0,"",INDEX(对接源_02物料!$M$4:$M$1203,$AE155-1200))))</f>
        <v/>
      </c>
      <c r="AE155" s="107" t="str">
        <f>IFERROR(MATCH(150,_自动清单!$AS$4:$AS$2403,0),"")</f>
        <v/>
      </c>
      <c r="AF155" s="107"/>
    </row>
    <row r="156" ht="18" customHeight="1" spans="1:32">
      <c r="A156" s="52" t="str">
        <f>IF($AE156="","",IF($AE156&lt;=1200,IF(INDEX(对接源_01水果!$B$4:$B$1203,$AE156)=0,"",INDEX(对接源_01水果!$B$4:$B$1203,$AE156)),IF(INDEX(对接源_02物料!$B$4:$B$1203,$AE156-1200)=0,"",INDEX(对接源_02物料!$B$4:$B$1203,$AE156-1200))))</f>
        <v/>
      </c>
      <c r="B156" s="53" t="str">
        <f>IF($AE156="","",IF($AE156&lt;=1200,IF(INDEX(对接源_01水果!$E$4:$E$1203,$AE156)=0,"",INDEX(对接源_01水果!$E$4:$E$1203,$AE156)),IF(INDEX(对接源_02物料!$E$4:$E$1203,$AE156-1200)=0,"",INDEX(对接源_02物料!$E$4:$E$1203,$AE156-1200))))</f>
        <v/>
      </c>
      <c r="C156" s="106" t="str">
        <f>IF($AE156="","",IF($AE156&lt;=1200,IF(INDEX(对接源_01水果!$F$4:$F$1203,$AE156)=0,"",INDEX(对接源_01水果!$F$4:$F$1203,$AE156)),IF(INDEX(对接源_02物料!$F$4:$F$1203,$AE156-1200)=0,"",INDEX(对接源_02物料!$F$4:$F$1203,$AE156-1200))))</f>
        <v/>
      </c>
      <c r="D156" s="53" t="str">
        <f>IF($AE156="","",IF(IF($AE156&lt;=1200,IF(INDEX(对接源_01水果!$G$4:$G$1203,$AE156)=0,"",INDEX(对接源_01水果!$G$4:$G$1203,$AE156)),IF(INDEX(对接源_02物料!$G$4:$G$1203,$AE156-1200)=0,"",INDEX(对接源_02物料!$G$4:$G$1203,$AE156-1200)))="",IF($AE156&lt;=1200,IF(INDEX(对接源_01水果!$D$4:$D$1203,$AE156)=0,"",INDEX(对接源_01水果!$D$4:$D$1203,$AE156)),IF(INDEX(对接源_02物料!$D$4:$D$1203,$AE156-1200)=0,"",INDEX(对接源_02物料!$D$4:$D$1203,$AE156-1200))),IF($AE156&lt;=1200,IF(INDEX(对接源_01水果!$G$4:$G$1203,$AE156)=0,"",INDEX(对接源_01水果!$G$4:$G$1203,$AE156)),IF(INDEX(对接源_02物料!$G$4:$G$1203,$AE156-1200)=0,"",INDEX(对接源_02物料!$G$4:$G$1203,$AE156-1200)))))</f>
        <v/>
      </c>
      <c r="E156" s="55" t="str">
        <f>IF($AE156="","",IF($AE156&lt;=1200,IF(INDEX(对接源_01水果!$H$4:$H$1203,$AE156)=0,"",INDEX(对接源_01水果!$H$4:$H$1203,$AE156)),IF(INDEX(对接源_02物料!$H$4:$H$1203,$AE156-1200)=0,"",INDEX(对接源_02物料!$H$4:$H$1203,$AE156-1200))))</f>
        <v/>
      </c>
      <c r="F156" s="53" t="str">
        <f>IF($AE156="","",IF($AE156&lt;=1200,IF(INDEX(对接源_01水果!$I$4:$I$1203,$AE156)=0,"",INDEX(对接源_01水果!$I$4:$I$1203,$AE156)),IF(INDEX(对接源_02物料!$I$4:$I$1203,$AE156-1200)=0,"",INDEX(对接源_02物料!$I$4:$I$1203,$AE156-1200))))</f>
        <v/>
      </c>
      <c r="G156" s="55" t="str">
        <f>IF($AE156="","",IF(IF($AE156&lt;=1200,N(INDEX(对接源_01水果!$H$4:$H$1203,$AE156)),N(INDEX(对接源_02物料!$H$4:$H$1203,$AE156-1200)))=0,"",ROUND(IF($AE156&lt;=1200,N(INDEX(对接源_01水果!$K$4:$K$1203,$AE156)),N(INDEX(对接源_02物料!$K$4:$K$1203,$AE156-1200)))/IF($AE156&lt;=1200,N(INDEX(对接源_01水果!$H$4:$H$1203,$AE156)),N(INDEX(对接源_02物料!$H$4:$H$1203,$AE156-1200))),2)))</f>
        <v/>
      </c>
      <c r="H156" s="55" t="str">
        <f>IF($AE156="","",IF($AE156&lt;=1200,IF(INDEX(对接源_01水果!$K$4:$K$1203,$AE156)=0,"",INDEX(对接源_01水果!$K$4:$K$1203,$AE156)),IF(INDEX(对接源_02物料!$K$4:$K$1203,$AE156-1200)=0,"",INDEX(对接源_02物料!$K$4:$K$1203,$AE156-1200))))</f>
        <v/>
      </c>
      <c r="I156" s="53" t="str">
        <f>IF($AE156="","",IF($AE156&lt;=1200,IF(INDEX(对接源_01水果!$L$4:$L$1203,$AE156)=0,"",INDEX(对接源_01水果!$L$4:$L$1203,$AE156)),IF(INDEX(对接源_02物料!$L$4:$L$1203,$AE156-1200)=0,"",INDEX(对接源_02物料!$L$4:$L$1203,$AE156-1200))))</f>
        <v/>
      </c>
      <c r="J156" s="106" t="str">
        <f>IF($AE156="","",IF($AE156&lt;=1200,IF(INDEX(对接源_01水果!$M$4:$M$1203,$AE156)=0,"",INDEX(对接源_01水果!$M$4:$M$1203,$AE156)),IF(INDEX(对接源_02物料!$M$4:$M$1203,$AE156-1200)=0,"",INDEX(对接源_02物料!$M$4:$M$1203,$AE156-1200))))</f>
        <v/>
      </c>
      <c r="AE156" s="107" t="str">
        <f>IFERROR(MATCH(151,_自动清单!$AS$4:$AS$2403,0),"")</f>
        <v/>
      </c>
      <c r="AF156" s="107"/>
    </row>
    <row r="157" ht="18" customHeight="1" spans="1:32">
      <c r="A157" s="52" t="str">
        <f>IF($AE157="","",IF($AE157&lt;=1200,IF(INDEX(对接源_01水果!$B$4:$B$1203,$AE157)=0,"",INDEX(对接源_01水果!$B$4:$B$1203,$AE157)),IF(INDEX(对接源_02物料!$B$4:$B$1203,$AE157-1200)=0,"",INDEX(对接源_02物料!$B$4:$B$1203,$AE157-1200))))</f>
        <v/>
      </c>
      <c r="B157" s="53" t="str">
        <f>IF($AE157="","",IF($AE157&lt;=1200,IF(INDEX(对接源_01水果!$E$4:$E$1203,$AE157)=0,"",INDEX(对接源_01水果!$E$4:$E$1203,$AE157)),IF(INDEX(对接源_02物料!$E$4:$E$1203,$AE157-1200)=0,"",INDEX(对接源_02物料!$E$4:$E$1203,$AE157-1200))))</f>
        <v/>
      </c>
      <c r="C157" s="106" t="str">
        <f>IF($AE157="","",IF($AE157&lt;=1200,IF(INDEX(对接源_01水果!$F$4:$F$1203,$AE157)=0,"",INDEX(对接源_01水果!$F$4:$F$1203,$AE157)),IF(INDEX(对接源_02物料!$F$4:$F$1203,$AE157-1200)=0,"",INDEX(对接源_02物料!$F$4:$F$1203,$AE157-1200))))</f>
        <v/>
      </c>
      <c r="D157" s="53" t="str">
        <f>IF($AE157="","",IF(IF($AE157&lt;=1200,IF(INDEX(对接源_01水果!$G$4:$G$1203,$AE157)=0,"",INDEX(对接源_01水果!$G$4:$G$1203,$AE157)),IF(INDEX(对接源_02物料!$G$4:$G$1203,$AE157-1200)=0,"",INDEX(对接源_02物料!$G$4:$G$1203,$AE157-1200)))="",IF($AE157&lt;=1200,IF(INDEX(对接源_01水果!$D$4:$D$1203,$AE157)=0,"",INDEX(对接源_01水果!$D$4:$D$1203,$AE157)),IF(INDEX(对接源_02物料!$D$4:$D$1203,$AE157-1200)=0,"",INDEX(对接源_02物料!$D$4:$D$1203,$AE157-1200))),IF($AE157&lt;=1200,IF(INDEX(对接源_01水果!$G$4:$G$1203,$AE157)=0,"",INDEX(对接源_01水果!$G$4:$G$1203,$AE157)),IF(INDEX(对接源_02物料!$G$4:$G$1203,$AE157-1200)=0,"",INDEX(对接源_02物料!$G$4:$G$1203,$AE157-1200)))))</f>
        <v/>
      </c>
      <c r="E157" s="55" t="str">
        <f>IF($AE157="","",IF($AE157&lt;=1200,IF(INDEX(对接源_01水果!$H$4:$H$1203,$AE157)=0,"",INDEX(对接源_01水果!$H$4:$H$1203,$AE157)),IF(INDEX(对接源_02物料!$H$4:$H$1203,$AE157-1200)=0,"",INDEX(对接源_02物料!$H$4:$H$1203,$AE157-1200))))</f>
        <v/>
      </c>
      <c r="F157" s="53" t="str">
        <f>IF($AE157="","",IF($AE157&lt;=1200,IF(INDEX(对接源_01水果!$I$4:$I$1203,$AE157)=0,"",INDEX(对接源_01水果!$I$4:$I$1203,$AE157)),IF(INDEX(对接源_02物料!$I$4:$I$1203,$AE157-1200)=0,"",INDEX(对接源_02物料!$I$4:$I$1203,$AE157-1200))))</f>
        <v/>
      </c>
      <c r="G157" s="55" t="str">
        <f>IF($AE157="","",IF(IF($AE157&lt;=1200,N(INDEX(对接源_01水果!$H$4:$H$1203,$AE157)),N(INDEX(对接源_02物料!$H$4:$H$1203,$AE157-1200)))=0,"",ROUND(IF($AE157&lt;=1200,N(INDEX(对接源_01水果!$K$4:$K$1203,$AE157)),N(INDEX(对接源_02物料!$K$4:$K$1203,$AE157-1200)))/IF($AE157&lt;=1200,N(INDEX(对接源_01水果!$H$4:$H$1203,$AE157)),N(INDEX(对接源_02物料!$H$4:$H$1203,$AE157-1200))),2)))</f>
        <v/>
      </c>
      <c r="H157" s="55" t="str">
        <f>IF($AE157="","",IF($AE157&lt;=1200,IF(INDEX(对接源_01水果!$K$4:$K$1203,$AE157)=0,"",INDEX(对接源_01水果!$K$4:$K$1203,$AE157)),IF(INDEX(对接源_02物料!$K$4:$K$1203,$AE157-1200)=0,"",INDEX(对接源_02物料!$K$4:$K$1203,$AE157-1200))))</f>
        <v/>
      </c>
      <c r="I157" s="53" t="str">
        <f>IF($AE157="","",IF($AE157&lt;=1200,IF(INDEX(对接源_01水果!$L$4:$L$1203,$AE157)=0,"",INDEX(对接源_01水果!$L$4:$L$1203,$AE157)),IF(INDEX(对接源_02物料!$L$4:$L$1203,$AE157-1200)=0,"",INDEX(对接源_02物料!$L$4:$L$1203,$AE157-1200))))</f>
        <v/>
      </c>
      <c r="J157" s="106" t="str">
        <f>IF($AE157="","",IF($AE157&lt;=1200,IF(INDEX(对接源_01水果!$M$4:$M$1203,$AE157)=0,"",INDEX(对接源_01水果!$M$4:$M$1203,$AE157)),IF(INDEX(对接源_02物料!$M$4:$M$1203,$AE157-1200)=0,"",INDEX(对接源_02物料!$M$4:$M$1203,$AE157-1200))))</f>
        <v/>
      </c>
      <c r="AE157" s="107" t="str">
        <f>IFERROR(MATCH(152,_自动清单!$AS$4:$AS$2403,0),"")</f>
        <v/>
      </c>
      <c r="AF157" s="107"/>
    </row>
    <row r="158" ht="18" customHeight="1" spans="1:32">
      <c r="A158" s="52" t="str">
        <f>IF($AE158="","",IF($AE158&lt;=1200,IF(INDEX(对接源_01水果!$B$4:$B$1203,$AE158)=0,"",INDEX(对接源_01水果!$B$4:$B$1203,$AE158)),IF(INDEX(对接源_02物料!$B$4:$B$1203,$AE158-1200)=0,"",INDEX(对接源_02物料!$B$4:$B$1203,$AE158-1200))))</f>
        <v/>
      </c>
      <c r="B158" s="53" t="str">
        <f>IF($AE158="","",IF($AE158&lt;=1200,IF(INDEX(对接源_01水果!$E$4:$E$1203,$AE158)=0,"",INDEX(对接源_01水果!$E$4:$E$1203,$AE158)),IF(INDEX(对接源_02物料!$E$4:$E$1203,$AE158-1200)=0,"",INDEX(对接源_02物料!$E$4:$E$1203,$AE158-1200))))</f>
        <v/>
      </c>
      <c r="C158" s="106" t="str">
        <f>IF($AE158="","",IF($AE158&lt;=1200,IF(INDEX(对接源_01水果!$F$4:$F$1203,$AE158)=0,"",INDEX(对接源_01水果!$F$4:$F$1203,$AE158)),IF(INDEX(对接源_02物料!$F$4:$F$1203,$AE158-1200)=0,"",INDEX(对接源_02物料!$F$4:$F$1203,$AE158-1200))))</f>
        <v/>
      </c>
      <c r="D158" s="53" t="str">
        <f>IF($AE158="","",IF(IF($AE158&lt;=1200,IF(INDEX(对接源_01水果!$G$4:$G$1203,$AE158)=0,"",INDEX(对接源_01水果!$G$4:$G$1203,$AE158)),IF(INDEX(对接源_02物料!$G$4:$G$1203,$AE158-1200)=0,"",INDEX(对接源_02物料!$G$4:$G$1203,$AE158-1200)))="",IF($AE158&lt;=1200,IF(INDEX(对接源_01水果!$D$4:$D$1203,$AE158)=0,"",INDEX(对接源_01水果!$D$4:$D$1203,$AE158)),IF(INDEX(对接源_02物料!$D$4:$D$1203,$AE158-1200)=0,"",INDEX(对接源_02物料!$D$4:$D$1203,$AE158-1200))),IF($AE158&lt;=1200,IF(INDEX(对接源_01水果!$G$4:$G$1203,$AE158)=0,"",INDEX(对接源_01水果!$G$4:$G$1203,$AE158)),IF(INDEX(对接源_02物料!$G$4:$G$1203,$AE158-1200)=0,"",INDEX(对接源_02物料!$G$4:$G$1203,$AE158-1200)))))</f>
        <v/>
      </c>
      <c r="E158" s="55" t="str">
        <f>IF($AE158="","",IF($AE158&lt;=1200,IF(INDEX(对接源_01水果!$H$4:$H$1203,$AE158)=0,"",INDEX(对接源_01水果!$H$4:$H$1203,$AE158)),IF(INDEX(对接源_02物料!$H$4:$H$1203,$AE158-1200)=0,"",INDEX(对接源_02物料!$H$4:$H$1203,$AE158-1200))))</f>
        <v/>
      </c>
      <c r="F158" s="53" t="str">
        <f>IF($AE158="","",IF($AE158&lt;=1200,IF(INDEX(对接源_01水果!$I$4:$I$1203,$AE158)=0,"",INDEX(对接源_01水果!$I$4:$I$1203,$AE158)),IF(INDEX(对接源_02物料!$I$4:$I$1203,$AE158-1200)=0,"",INDEX(对接源_02物料!$I$4:$I$1203,$AE158-1200))))</f>
        <v/>
      </c>
      <c r="G158" s="55" t="str">
        <f>IF($AE158="","",IF(IF($AE158&lt;=1200,N(INDEX(对接源_01水果!$H$4:$H$1203,$AE158)),N(INDEX(对接源_02物料!$H$4:$H$1203,$AE158-1200)))=0,"",ROUND(IF($AE158&lt;=1200,N(INDEX(对接源_01水果!$K$4:$K$1203,$AE158)),N(INDEX(对接源_02物料!$K$4:$K$1203,$AE158-1200)))/IF($AE158&lt;=1200,N(INDEX(对接源_01水果!$H$4:$H$1203,$AE158)),N(INDEX(对接源_02物料!$H$4:$H$1203,$AE158-1200))),2)))</f>
        <v/>
      </c>
      <c r="H158" s="55" t="str">
        <f>IF($AE158="","",IF($AE158&lt;=1200,IF(INDEX(对接源_01水果!$K$4:$K$1203,$AE158)=0,"",INDEX(对接源_01水果!$K$4:$K$1203,$AE158)),IF(INDEX(对接源_02物料!$K$4:$K$1203,$AE158-1200)=0,"",INDEX(对接源_02物料!$K$4:$K$1203,$AE158-1200))))</f>
        <v/>
      </c>
      <c r="I158" s="53" t="str">
        <f>IF($AE158="","",IF($AE158&lt;=1200,IF(INDEX(对接源_01水果!$L$4:$L$1203,$AE158)=0,"",INDEX(对接源_01水果!$L$4:$L$1203,$AE158)),IF(INDEX(对接源_02物料!$L$4:$L$1203,$AE158-1200)=0,"",INDEX(对接源_02物料!$L$4:$L$1203,$AE158-1200))))</f>
        <v/>
      </c>
      <c r="J158" s="106" t="str">
        <f>IF($AE158="","",IF($AE158&lt;=1200,IF(INDEX(对接源_01水果!$M$4:$M$1203,$AE158)=0,"",INDEX(对接源_01水果!$M$4:$M$1203,$AE158)),IF(INDEX(对接源_02物料!$M$4:$M$1203,$AE158-1200)=0,"",INDEX(对接源_02物料!$M$4:$M$1203,$AE158-1200))))</f>
        <v/>
      </c>
      <c r="AE158" s="107" t="str">
        <f>IFERROR(MATCH(153,_自动清单!$AS$4:$AS$2403,0),"")</f>
        <v/>
      </c>
      <c r="AF158" s="107"/>
    </row>
    <row r="159" ht="18" customHeight="1" spans="1:32">
      <c r="A159" s="52" t="str">
        <f>IF($AE159="","",IF($AE159&lt;=1200,IF(INDEX(对接源_01水果!$B$4:$B$1203,$AE159)=0,"",INDEX(对接源_01水果!$B$4:$B$1203,$AE159)),IF(INDEX(对接源_02物料!$B$4:$B$1203,$AE159-1200)=0,"",INDEX(对接源_02物料!$B$4:$B$1203,$AE159-1200))))</f>
        <v/>
      </c>
      <c r="B159" s="53" t="str">
        <f>IF($AE159="","",IF($AE159&lt;=1200,IF(INDEX(对接源_01水果!$E$4:$E$1203,$AE159)=0,"",INDEX(对接源_01水果!$E$4:$E$1203,$AE159)),IF(INDEX(对接源_02物料!$E$4:$E$1203,$AE159-1200)=0,"",INDEX(对接源_02物料!$E$4:$E$1203,$AE159-1200))))</f>
        <v/>
      </c>
      <c r="C159" s="106" t="str">
        <f>IF($AE159="","",IF($AE159&lt;=1200,IF(INDEX(对接源_01水果!$F$4:$F$1203,$AE159)=0,"",INDEX(对接源_01水果!$F$4:$F$1203,$AE159)),IF(INDEX(对接源_02物料!$F$4:$F$1203,$AE159-1200)=0,"",INDEX(对接源_02物料!$F$4:$F$1203,$AE159-1200))))</f>
        <v/>
      </c>
      <c r="D159" s="53" t="str">
        <f>IF($AE159="","",IF(IF($AE159&lt;=1200,IF(INDEX(对接源_01水果!$G$4:$G$1203,$AE159)=0,"",INDEX(对接源_01水果!$G$4:$G$1203,$AE159)),IF(INDEX(对接源_02物料!$G$4:$G$1203,$AE159-1200)=0,"",INDEX(对接源_02物料!$G$4:$G$1203,$AE159-1200)))="",IF($AE159&lt;=1200,IF(INDEX(对接源_01水果!$D$4:$D$1203,$AE159)=0,"",INDEX(对接源_01水果!$D$4:$D$1203,$AE159)),IF(INDEX(对接源_02物料!$D$4:$D$1203,$AE159-1200)=0,"",INDEX(对接源_02物料!$D$4:$D$1203,$AE159-1200))),IF($AE159&lt;=1200,IF(INDEX(对接源_01水果!$G$4:$G$1203,$AE159)=0,"",INDEX(对接源_01水果!$G$4:$G$1203,$AE159)),IF(INDEX(对接源_02物料!$G$4:$G$1203,$AE159-1200)=0,"",INDEX(对接源_02物料!$G$4:$G$1203,$AE159-1200)))))</f>
        <v/>
      </c>
      <c r="E159" s="55" t="str">
        <f>IF($AE159="","",IF($AE159&lt;=1200,IF(INDEX(对接源_01水果!$H$4:$H$1203,$AE159)=0,"",INDEX(对接源_01水果!$H$4:$H$1203,$AE159)),IF(INDEX(对接源_02物料!$H$4:$H$1203,$AE159-1200)=0,"",INDEX(对接源_02物料!$H$4:$H$1203,$AE159-1200))))</f>
        <v/>
      </c>
      <c r="F159" s="53" t="str">
        <f>IF($AE159="","",IF($AE159&lt;=1200,IF(INDEX(对接源_01水果!$I$4:$I$1203,$AE159)=0,"",INDEX(对接源_01水果!$I$4:$I$1203,$AE159)),IF(INDEX(对接源_02物料!$I$4:$I$1203,$AE159-1200)=0,"",INDEX(对接源_02物料!$I$4:$I$1203,$AE159-1200))))</f>
        <v/>
      </c>
      <c r="G159" s="55" t="str">
        <f>IF($AE159="","",IF(IF($AE159&lt;=1200,N(INDEX(对接源_01水果!$H$4:$H$1203,$AE159)),N(INDEX(对接源_02物料!$H$4:$H$1203,$AE159-1200)))=0,"",ROUND(IF($AE159&lt;=1200,N(INDEX(对接源_01水果!$K$4:$K$1203,$AE159)),N(INDEX(对接源_02物料!$K$4:$K$1203,$AE159-1200)))/IF($AE159&lt;=1200,N(INDEX(对接源_01水果!$H$4:$H$1203,$AE159)),N(INDEX(对接源_02物料!$H$4:$H$1203,$AE159-1200))),2)))</f>
        <v/>
      </c>
      <c r="H159" s="55" t="str">
        <f>IF($AE159="","",IF($AE159&lt;=1200,IF(INDEX(对接源_01水果!$K$4:$K$1203,$AE159)=0,"",INDEX(对接源_01水果!$K$4:$K$1203,$AE159)),IF(INDEX(对接源_02物料!$K$4:$K$1203,$AE159-1200)=0,"",INDEX(对接源_02物料!$K$4:$K$1203,$AE159-1200))))</f>
        <v/>
      </c>
      <c r="I159" s="53" t="str">
        <f>IF($AE159="","",IF($AE159&lt;=1200,IF(INDEX(对接源_01水果!$L$4:$L$1203,$AE159)=0,"",INDEX(对接源_01水果!$L$4:$L$1203,$AE159)),IF(INDEX(对接源_02物料!$L$4:$L$1203,$AE159-1200)=0,"",INDEX(对接源_02物料!$L$4:$L$1203,$AE159-1200))))</f>
        <v/>
      </c>
      <c r="J159" s="106" t="str">
        <f>IF($AE159="","",IF($AE159&lt;=1200,IF(INDEX(对接源_01水果!$M$4:$M$1203,$AE159)=0,"",INDEX(对接源_01水果!$M$4:$M$1203,$AE159)),IF(INDEX(对接源_02物料!$M$4:$M$1203,$AE159-1200)=0,"",INDEX(对接源_02物料!$M$4:$M$1203,$AE159-1200))))</f>
        <v/>
      </c>
      <c r="AE159" s="107" t="str">
        <f>IFERROR(MATCH(154,_自动清单!$AS$4:$AS$2403,0),"")</f>
        <v/>
      </c>
      <c r="AF159" s="107"/>
    </row>
    <row r="160" ht="18" customHeight="1" spans="1:32">
      <c r="A160" s="52" t="str">
        <f>IF($AE160="","",IF($AE160&lt;=1200,IF(INDEX(对接源_01水果!$B$4:$B$1203,$AE160)=0,"",INDEX(对接源_01水果!$B$4:$B$1203,$AE160)),IF(INDEX(对接源_02物料!$B$4:$B$1203,$AE160-1200)=0,"",INDEX(对接源_02物料!$B$4:$B$1203,$AE160-1200))))</f>
        <v/>
      </c>
      <c r="B160" s="53" t="str">
        <f>IF($AE160="","",IF($AE160&lt;=1200,IF(INDEX(对接源_01水果!$E$4:$E$1203,$AE160)=0,"",INDEX(对接源_01水果!$E$4:$E$1203,$AE160)),IF(INDEX(对接源_02物料!$E$4:$E$1203,$AE160-1200)=0,"",INDEX(对接源_02物料!$E$4:$E$1203,$AE160-1200))))</f>
        <v/>
      </c>
      <c r="C160" s="106" t="str">
        <f>IF($AE160="","",IF($AE160&lt;=1200,IF(INDEX(对接源_01水果!$F$4:$F$1203,$AE160)=0,"",INDEX(对接源_01水果!$F$4:$F$1203,$AE160)),IF(INDEX(对接源_02物料!$F$4:$F$1203,$AE160-1200)=0,"",INDEX(对接源_02物料!$F$4:$F$1203,$AE160-1200))))</f>
        <v/>
      </c>
      <c r="D160" s="53" t="str">
        <f>IF($AE160="","",IF(IF($AE160&lt;=1200,IF(INDEX(对接源_01水果!$G$4:$G$1203,$AE160)=0,"",INDEX(对接源_01水果!$G$4:$G$1203,$AE160)),IF(INDEX(对接源_02物料!$G$4:$G$1203,$AE160-1200)=0,"",INDEX(对接源_02物料!$G$4:$G$1203,$AE160-1200)))="",IF($AE160&lt;=1200,IF(INDEX(对接源_01水果!$D$4:$D$1203,$AE160)=0,"",INDEX(对接源_01水果!$D$4:$D$1203,$AE160)),IF(INDEX(对接源_02物料!$D$4:$D$1203,$AE160-1200)=0,"",INDEX(对接源_02物料!$D$4:$D$1203,$AE160-1200))),IF($AE160&lt;=1200,IF(INDEX(对接源_01水果!$G$4:$G$1203,$AE160)=0,"",INDEX(对接源_01水果!$G$4:$G$1203,$AE160)),IF(INDEX(对接源_02物料!$G$4:$G$1203,$AE160-1200)=0,"",INDEX(对接源_02物料!$G$4:$G$1203,$AE160-1200)))))</f>
        <v/>
      </c>
      <c r="E160" s="55" t="str">
        <f>IF($AE160="","",IF($AE160&lt;=1200,IF(INDEX(对接源_01水果!$H$4:$H$1203,$AE160)=0,"",INDEX(对接源_01水果!$H$4:$H$1203,$AE160)),IF(INDEX(对接源_02物料!$H$4:$H$1203,$AE160-1200)=0,"",INDEX(对接源_02物料!$H$4:$H$1203,$AE160-1200))))</f>
        <v/>
      </c>
      <c r="F160" s="53" t="str">
        <f>IF($AE160="","",IF($AE160&lt;=1200,IF(INDEX(对接源_01水果!$I$4:$I$1203,$AE160)=0,"",INDEX(对接源_01水果!$I$4:$I$1203,$AE160)),IF(INDEX(对接源_02物料!$I$4:$I$1203,$AE160-1200)=0,"",INDEX(对接源_02物料!$I$4:$I$1203,$AE160-1200))))</f>
        <v/>
      </c>
      <c r="G160" s="55" t="str">
        <f>IF($AE160="","",IF(IF($AE160&lt;=1200,N(INDEX(对接源_01水果!$H$4:$H$1203,$AE160)),N(INDEX(对接源_02物料!$H$4:$H$1203,$AE160-1200)))=0,"",ROUND(IF($AE160&lt;=1200,N(INDEX(对接源_01水果!$K$4:$K$1203,$AE160)),N(INDEX(对接源_02物料!$K$4:$K$1203,$AE160-1200)))/IF($AE160&lt;=1200,N(INDEX(对接源_01水果!$H$4:$H$1203,$AE160)),N(INDEX(对接源_02物料!$H$4:$H$1203,$AE160-1200))),2)))</f>
        <v/>
      </c>
      <c r="H160" s="55" t="str">
        <f>IF($AE160="","",IF($AE160&lt;=1200,IF(INDEX(对接源_01水果!$K$4:$K$1203,$AE160)=0,"",INDEX(对接源_01水果!$K$4:$K$1203,$AE160)),IF(INDEX(对接源_02物料!$K$4:$K$1203,$AE160-1200)=0,"",INDEX(对接源_02物料!$K$4:$K$1203,$AE160-1200))))</f>
        <v/>
      </c>
      <c r="I160" s="53" t="str">
        <f>IF($AE160="","",IF($AE160&lt;=1200,IF(INDEX(对接源_01水果!$L$4:$L$1203,$AE160)=0,"",INDEX(对接源_01水果!$L$4:$L$1203,$AE160)),IF(INDEX(对接源_02物料!$L$4:$L$1203,$AE160-1200)=0,"",INDEX(对接源_02物料!$L$4:$L$1203,$AE160-1200))))</f>
        <v/>
      </c>
      <c r="J160" s="106" t="str">
        <f>IF($AE160="","",IF($AE160&lt;=1200,IF(INDEX(对接源_01水果!$M$4:$M$1203,$AE160)=0,"",INDEX(对接源_01水果!$M$4:$M$1203,$AE160)),IF(INDEX(对接源_02物料!$M$4:$M$1203,$AE160-1200)=0,"",INDEX(对接源_02物料!$M$4:$M$1203,$AE160-1200))))</f>
        <v/>
      </c>
      <c r="AE160" s="107" t="str">
        <f>IFERROR(MATCH(155,_自动清单!$AS$4:$AS$2403,0),"")</f>
        <v/>
      </c>
      <c r="AF160" s="107"/>
    </row>
    <row r="161" ht="18" customHeight="1" spans="1:32">
      <c r="A161" s="52" t="str">
        <f>IF($AE161="","",IF($AE161&lt;=1200,IF(INDEX(对接源_01水果!$B$4:$B$1203,$AE161)=0,"",INDEX(对接源_01水果!$B$4:$B$1203,$AE161)),IF(INDEX(对接源_02物料!$B$4:$B$1203,$AE161-1200)=0,"",INDEX(对接源_02物料!$B$4:$B$1203,$AE161-1200))))</f>
        <v/>
      </c>
      <c r="B161" s="53" t="str">
        <f>IF($AE161="","",IF($AE161&lt;=1200,IF(INDEX(对接源_01水果!$E$4:$E$1203,$AE161)=0,"",INDEX(对接源_01水果!$E$4:$E$1203,$AE161)),IF(INDEX(对接源_02物料!$E$4:$E$1203,$AE161-1200)=0,"",INDEX(对接源_02物料!$E$4:$E$1203,$AE161-1200))))</f>
        <v/>
      </c>
      <c r="C161" s="106" t="str">
        <f>IF($AE161="","",IF($AE161&lt;=1200,IF(INDEX(对接源_01水果!$F$4:$F$1203,$AE161)=0,"",INDEX(对接源_01水果!$F$4:$F$1203,$AE161)),IF(INDEX(对接源_02物料!$F$4:$F$1203,$AE161-1200)=0,"",INDEX(对接源_02物料!$F$4:$F$1203,$AE161-1200))))</f>
        <v/>
      </c>
      <c r="D161" s="53" t="str">
        <f>IF($AE161="","",IF(IF($AE161&lt;=1200,IF(INDEX(对接源_01水果!$G$4:$G$1203,$AE161)=0,"",INDEX(对接源_01水果!$G$4:$G$1203,$AE161)),IF(INDEX(对接源_02物料!$G$4:$G$1203,$AE161-1200)=0,"",INDEX(对接源_02物料!$G$4:$G$1203,$AE161-1200)))="",IF($AE161&lt;=1200,IF(INDEX(对接源_01水果!$D$4:$D$1203,$AE161)=0,"",INDEX(对接源_01水果!$D$4:$D$1203,$AE161)),IF(INDEX(对接源_02物料!$D$4:$D$1203,$AE161-1200)=0,"",INDEX(对接源_02物料!$D$4:$D$1203,$AE161-1200))),IF($AE161&lt;=1200,IF(INDEX(对接源_01水果!$G$4:$G$1203,$AE161)=0,"",INDEX(对接源_01水果!$G$4:$G$1203,$AE161)),IF(INDEX(对接源_02物料!$G$4:$G$1203,$AE161-1200)=0,"",INDEX(对接源_02物料!$G$4:$G$1203,$AE161-1200)))))</f>
        <v/>
      </c>
      <c r="E161" s="55" t="str">
        <f>IF($AE161="","",IF($AE161&lt;=1200,IF(INDEX(对接源_01水果!$H$4:$H$1203,$AE161)=0,"",INDEX(对接源_01水果!$H$4:$H$1203,$AE161)),IF(INDEX(对接源_02物料!$H$4:$H$1203,$AE161-1200)=0,"",INDEX(对接源_02物料!$H$4:$H$1203,$AE161-1200))))</f>
        <v/>
      </c>
      <c r="F161" s="53" t="str">
        <f>IF($AE161="","",IF($AE161&lt;=1200,IF(INDEX(对接源_01水果!$I$4:$I$1203,$AE161)=0,"",INDEX(对接源_01水果!$I$4:$I$1203,$AE161)),IF(INDEX(对接源_02物料!$I$4:$I$1203,$AE161-1200)=0,"",INDEX(对接源_02物料!$I$4:$I$1203,$AE161-1200))))</f>
        <v/>
      </c>
      <c r="G161" s="55" t="str">
        <f>IF($AE161="","",IF(IF($AE161&lt;=1200,N(INDEX(对接源_01水果!$H$4:$H$1203,$AE161)),N(INDEX(对接源_02物料!$H$4:$H$1203,$AE161-1200)))=0,"",ROUND(IF($AE161&lt;=1200,N(INDEX(对接源_01水果!$K$4:$K$1203,$AE161)),N(INDEX(对接源_02物料!$K$4:$K$1203,$AE161-1200)))/IF($AE161&lt;=1200,N(INDEX(对接源_01水果!$H$4:$H$1203,$AE161)),N(INDEX(对接源_02物料!$H$4:$H$1203,$AE161-1200))),2)))</f>
        <v/>
      </c>
      <c r="H161" s="55" t="str">
        <f>IF($AE161="","",IF($AE161&lt;=1200,IF(INDEX(对接源_01水果!$K$4:$K$1203,$AE161)=0,"",INDEX(对接源_01水果!$K$4:$K$1203,$AE161)),IF(INDEX(对接源_02物料!$K$4:$K$1203,$AE161-1200)=0,"",INDEX(对接源_02物料!$K$4:$K$1203,$AE161-1200))))</f>
        <v/>
      </c>
      <c r="I161" s="53" t="str">
        <f>IF($AE161="","",IF($AE161&lt;=1200,IF(INDEX(对接源_01水果!$L$4:$L$1203,$AE161)=0,"",INDEX(对接源_01水果!$L$4:$L$1203,$AE161)),IF(INDEX(对接源_02物料!$L$4:$L$1203,$AE161-1200)=0,"",INDEX(对接源_02物料!$L$4:$L$1203,$AE161-1200))))</f>
        <v/>
      </c>
      <c r="J161" s="106" t="str">
        <f>IF($AE161="","",IF($AE161&lt;=1200,IF(INDEX(对接源_01水果!$M$4:$M$1203,$AE161)=0,"",INDEX(对接源_01水果!$M$4:$M$1203,$AE161)),IF(INDEX(对接源_02物料!$M$4:$M$1203,$AE161-1200)=0,"",INDEX(对接源_02物料!$M$4:$M$1203,$AE161-1200))))</f>
        <v/>
      </c>
      <c r="AE161" s="107" t="str">
        <f>IFERROR(MATCH(156,_自动清单!$AS$4:$AS$2403,0),"")</f>
        <v/>
      </c>
      <c r="AF161" s="107"/>
    </row>
    <row r="162" ht="18" customHeight="1" spans="1:32">
      <c r="A162" s="52" t="str">
        <f>IF($AE162="","",IF($AE162&lt;=1200,IF(INDEX(对接源_01水果!$B$4:$B$1203,$AE162)=0,"",INDEX(对接源_01水果!$B$4:$B$1203,$AE162)),IF(INDEX(对接源_02物料!$B$4:$B$1203,$AE162-1200)=0,"",INDEX(对接源_02物料!$B$4:$B$1203,$AE162-1200))))</f>
        <v/>
      </c>
      <c r="B162" s="53" t="str">
        <f>IF($AE162="","",IF($AE162&lt;=1200,IF(INDEX(对接源_01水果!$E$4:$E$1203,$AE162)=0,"",INDEX(对接源_01水果!$E$4:$E$1203,$AE162)),IF(INDEX(对接源_02物料!$E$4:$E$1203,$AE162-1200)=0,"",INDEX(对接源_02物料!$E$4:$E$1203,$AE162-1200))))</f>
        <v/>
      </c>
      <c r="C162" s="106" t="str">
        <f>IF($AE162="","",IF($AE162&lt;=1200,IF(INDEX(对接源_01水果!$F$4:$F$1203,$AE162)=0,"",INDEX(对接源_01水果!$F$4:$F$1203,$AE162)),IF(INDEX(对接源_02物料!$F$4:$F$1203,$AE162-1200)=0,"",INDEX(对接源_02物料!$F$4:$F$1203,$AE162-1200))))</f>
        <v/>
      </c>
      <c r="D162" s="53" t="str">
        <f>IF($AE162="","",IF(IF($AE162&lt;=1200,IF(INDEX(对接源_01水果!$G$4:$G$1203,$AE162)=0,"",INDEX(对接源_01水果!$G$4:$G$1203,$AE162)),IF(INDEX(对接源_02物料!$G$4:$G$1203,$AE162-1200)=0,"",INDEX(对接源_02物料!$G$4:$G$1203,$AE162-1200)))="",IF($AE162&lt;=1200,IF(INDEX(对接源_01水果!$D$4:$D$1203,$AE162)=0,"",INDEX(对接源_01水果!$D$4:$D$1203,$AE162)),IF(INDEX(对接源_02物料!$D$4:$D$1203,$AE162-1200)=0,"",INDEX(对接源_02物料!$D$4:$D$1203,$AE162-1200))),IF($AE162&lt;=1200,IF(INDEX(对接源_01水果!$G$4:$G$1203,$AE162)=0,"",INDEX(对接源_01水果!$G$4:$G$1203,$AE162)),IF(INDEX(对接源_02物料!$G$4:$G$1203,$AE162-1200)=0,"",INDEX(对接源_02物料!$G$4:$G$1203,$AE162-1200)))))</f>
        <v/>
      </c>
      <c r="E162" s="55" t="str">
        <f>IF($AE162="","",IF($AE162&lt;=1200,IF(INDEX(对接源_01水果!$H$4:$H$1203,$AE162)=0,"",INDEX(对接源_01水果!$H$4:$H$1203,$AE162)),IF(INDEX(对接源_02物料!$H$4:$H$1203,$AE162-1200)=0,"",INDEX(对接源_02物料!$H$4:$H$1203,$AE162-1200))))</f>
        <v/>
      </c>
      <c r="F162" s="53" t="str">
        <f>IF($AE162="","",IF($AE162&lt;=1200,IF(INDEX(对接源_01水果!$I$4:$I$1203,$AE162)=0,"",INDEX(对接源_01水果!$I$4:$I$1203,$AE162)),IF(INDEX(对接源_02物料!$I$4:$I$1203,$AE162-1200)=0,"",INDEX(对接源_02物料!$I$4:$I$1203,$AE162-1200))))</f>
        <v/>
      </c>
      <c r="G162" s="55" t="str">
        <f>IF($AE162="","",IF(IF($AE162&lt;=1200,N(INDEX(对接源_01水果!$H$4:$H$1203,$AE162)),N(INDEX(对接源_02物料!$H$4:$H$1203,$AE162-1200)))=0,"",ROUND(IF($AE162&lt;=1200,N(INDEX(对接源_01水果!$K$4:$K$1203,$AE162)),N(INDEX(对接源_02物料!$K$4:$K$1203,$AE162-1200)))/IF($AE162&lt;=1200,N(INDEX(对接源_01水果!$H$4:$H$1203,$AE162)),N(INDEX(对接源_02物料!$H$4:$H$1203,$AE162-1200))),2)))</f>
        <v/>
      </c>
      <c r="H162" s="55" t="str">
        <f>IF($AE162="","",IF($AE162&lt;=1200,IF(INDEX(对接源_01水果!$K$4:$K$1203,$AE162)=0,"",INDEX(对接源_01水果!$K$4:$K$1203,$AE162)),IF(INDEX(对接源_02物料!$K$4:$K$1203,$AE162-1200)=0,"",INDEX(对接源_02物料!$K$4:$K$1203,$AE162-1200))))</f>
        <v/>
      </c>
      <c r="I162" s="53" t="str">
        <f>IF($AE162="","",IF($AE162&lt;=1200,IF(INDEX(对接源_01水果!$L$4:$L$1203,$AE162)=0,"",INDEX(对接源_01水果!$L$4:$L$1203,$AE162)),IF(INDEX(对接源_02物料!$L$4:$L$1203,$AE162-1200)=0,"",INDEX(对接源_02物料!$L$4:$L$1203,$AE162-1200))))</f>
        <v/>
      </c>
      <c r="J162" s="106" t="str">
        <f>IF($AE162="","",IF($AE162&lt;=1200,IF(INDEX(对接源_01水果!$M$4:$M$1203,$AE162)=0,"",INDEX(对接源_01水果!$M$4:$M$1203,$AE162)),IF(INDEX(对接源_02物料!$M$4:$M$1203,$AE162-1200)=0,"",INDEX(对接源_02物料!$M$4:$M$1203,$AE162-1200))))</f>
        <v/>
      </c>
      <c r="AE162" s="107" t="str">
        <f>IFERROR(MATCH(157,_自动清单!$AS$4:$AS$2403,0),"")</f>
        <v/>
      </c>
      <c r="AF162" s="107"/>
    </row>
    <row r="163" ht="18" customHeight="1" spans="1:32">
      <c r="A163" s="52" t="str">
        <f>IF($AE163="","",IF($AE163&lt;=1200,IF(INDEX(对接源_01水果!$B$4:$B$1203,$AE163)=0,"",INDEX(对接源_01水果!$B$4:$B$1203,$AE163)),IF(INDEX(对接源_02物料!$B$4:$B$1203,$AE163-1200)=0,"",INDEX(对接源_02物料!$B$4:$B$1203,$AE163-1200))))</f>
        <v/>
      </c>
      <c r="B163" s="53" t="str">
        <f>IF($AE163="","",IF($AE163&lt;=1200,IF(INDEX(对接源_01水果!$E$4:$E$1203,$AE163)=0,"",INDEX(对接源_01水果!$E$4:$E$1203,$AE163)),IF(INDEX(对接源_02物料!$E$4:$E$1203,$AE163-1200)=0,"",INDEX(对接源_02物料!$E$4:$E$1203,$AE163-1200))))</f>
        <v/>
      </c>
      <c r="C163" s="106" t="str">
        <f>IF($AE163="","",IF($AE163&lt;=1200,IF(INDEX(对接源_01水果!$F$4:$F$1203,$AE163)=0,"",INDEX(对接源_01水果!$F$4:$F$1203,$AE163)),IF(INDEX(对接源_02物料!$F$4:$F$1203,$AE163-1200)=0,"",INDEX(对接源_02物料!$F$4:$F$1203,$AE163-1200))))</f>
        <v/>
      </c>
      <c r="D163" s="53" t="str">
        <f>IF($AE163="","",IF(IF($AE163&lt;=1200,IF(INDEX(对接源_01水果!$G$4:$G$1203,$AE163)=0,"",INDEX(对接源_01水果!$G$4:$G$1203,$AE163)),IF(INDEX(对接源_02物料!$G$4:$G$1203,$AE163-1200)=0,"",INDEX(对接源_02物料!$G$4:$G$1203,$AE163-1200)))="",IF($AE163&lt;=1200,IF(INDEX(对接源_01水果!$D$4:$D$1203,$AE163)=0,"",INDEX(对接源_01水果!$D$4:$D$1203,$AE163)),IF(INDEX(对接源_02物料!$D$4:$D$1203,$AE163-1200)=0,"",INDEX(对接源_02物料!$D$4:$D$1203,$AE163-1200))),IF($AE163&lt;=1200,IF(INDEX(对接源_01水果!$G$4:$G$1203,$AE163)=0,"",INDEX(对接源_01水果!$G$4:$G$1203,$AE163)),IF(INDEX(对接源_02物料!$G$4:$G$1203,$AE163-1200)=0,"",INDEX(对接源_02物料!$G$4:$G$1203,$AE163-1200)))))</f>
        <v/>
      </c>
      <c r="E163" s="55" t="str">
        <f>IF($AE163="","",IF($AE163&lt;=1200,IF(INDEX(对接源_01水果!$H$4:$H$1203,$AE163)=0,"",INDEX(对接源_01水果!$H$4:$H$1203,$AE163)),IF(INDEX(对接源_02物料!$H$4:$H$1203,$AE163-1200)=0,"",INDEX(对接源_02物料!$H$4:$H$1203,$AE163-1200))))</f>
        <v/>
      </c>
      <c r="F163" s="53" t="str">
        <f>IF($AE163="","",IF($AE163&lt;=1200,IF(INDEX(对接源_01水果!$I$4:$I$1203,$AE163)=0,"",INDEX(对接源_01水果!$I$4:$I$1203,$AE163)),IF(INDEX(对接源_02物料!$I$4:$I$1203,$AE163-1200)=0,"",INDEX(对接源_02物料!$I$4:$I$1203,$AE163-1200))))</f>
        <v/>
      </c>
      <c r="G163" s="55" t="str">
        <f>IF($AE163="","",IF(IF($AE163&lt;=1200,N(INDEX(对接源_01水果!$H$4:$H$1203,$AE163)),N(INDEX(对接源_02物料!$H$4:$H$1203,$AE163-1200)))=0,"",ROUND(IF($AE163&lt;=1200,N(INDEX(对接源_01水果!$K$4:$K$1203,$AE163)),N(INDEX(对接源_02物料!$K$4:$K$1203,$AE163-1200)))/IF($AE163&lt;=1200,N(INDEX(对接源_01水果!$H$4:$H$1203,$AE163)),N(INDEX(对接源_02物料!$H$4:$H$1203,$AE163-1200))),2)))</f>
        <v/>
      </c>
      <c r="H163" s="55" t="str">
        <f>IF($AE163="","",IF($AE163&lt;=1200,IF(INDEX(对接源_01水果!$K$4:$K$1203,$AE163)=0,"",INDEX(对接源_01水果!$K$4:$K$1203,$AE163)),IF(INDEX(对接源_02物料!$K$4:$K$1203,$AE163-1200)=0,"",INDEX(对接源_02物料!$K$4:$K$1203,$AE163-1200))))</f>
        <v/>
      </c>
      <c r="I163" s="53" t="str">
        <f>IF($AE163="","",IF($AE163&lt;=1200,IF(INDEX(对接源_01水果!$L$4:$L$1203,$AE163)=0,"",INDEX(对接源_01水果!$L$4:$L$1203,$AE163)),IF(INDEX(对接源_02物料!$L$4:$L$1203,$AE163-1200)=0,"",INDEX(对接源_02物料!$L$4:$L$1203,$AE163-1200))))</f>
        <v/>
      </c>
      <c r="J163" s="106" t="str">
        <f>IF($AE163="","",IF($AE163&lt;=1200,IF(INDEX(对接源_01水果!$M$4:$M$1203,$AE163)=0,"",INDEX(对接源_01水果!$M$4:$M$1203,$AE163)),IF(INDEX(对接源_02物料!$M$4:$M$1203,$AE163-1200)=0,"",INDEX(对接源_02物料!$M$4:$M$1203,$AE163-1200))))</f>
        <v/>
      </c>
      <c r="AE163" s="107" t="str">
        <f>IFERROR(MATCH(158,_自动清单!$AS$4:$AS$2403,0),"")</f>
        <v/>
      </c>
      <c r="AF163" s="107"/>
    </row>
    <row r="164" ht="18" customHeight="1" spans="1:32">
      <c r="A164" s="52" t="str">
        <f>IF($AE164="","",IF($AE164&lt;=1200,IF(INDEX(对接源_01水果!$B$4:$B$1203,$AE164)=0,"",INDEX(对接源_01水果!$B$4:$B$1203,$AE164)),IF(INDEX(对接源_02物料!$B$4:$B$1203,$AE164-1200)=0,"",INDEX(对接源_02物料!$B$4:$B$1203,$AE164-1200))))</f>
        <v/>
      </c>
      <c r="B164" s="53" t="str">
        <f>IF($AE164="","",IF($AE164&lt;=1200,IF(INDEX(对接源_01水果!$E$4:$E$1203,$AE164)=0,"",INDEX(对接源_01水果!$E$4:$E$1203,$AE164)),IF(INDEX(对接源_02物料!$E$4:$E$1203,$AE164-1200)=0,"",INDEX(对接源_02物料!$E$4:$E$1203,$AE164-1200))))</f>
        <v/>
      </c>
      <c r="C164" s="106" t="str">
        <f>IF($AE164="","",IF($AE164&lt;=1200,IF(INDEX(对接源_01水果!$F$4:$F$1203,$AE164)=0,"",INDEX(对接源_01水果!$F$4:$F$1203,$AE164)),IF(INDEX(对接源_02物料!$F$4:$F$1203,$AE164-1200)=0,"",INDEX(对接源_02物料!$F$4:$F$1203,$AE164-1200))))</f>
        <v/>
      </c>
      <c r="D164" s="53" t="str">
        <f>IF($AE164="","",IF(IF($AE164&lt;=1200,IF(INDEX(对接源_01水果!$G$4:$G$1203,$AE164)=0,"",INDEX(对接源_01水果!$G$4:$G$1203,$AE164)),IF(INDEX(对接源_02物料!$G$4:$G$1203,$AE164-1200)=0,"",INDEX(对接源_02物料!$G$4:$G$1203,$AE164-1200)))="",IF($AE164&lt;=1200,IF(INDEX(对接源_01水果!$D$4:$D$1203,$AE164)=0,"",INDEX(对接源_01水果!$D$4:$D$1203,$AE164)),IF(INDEX(对接源_02物料!$D$4:$D$1203,$AE164-1200)=0,"",INDEX(对接源_02物料!$D$4:$D$1203,$AE164-1200))),IF($AE164&lt;=1200,IF(INDEX(对接源_01水果!$G$4:$G$1203,$AE164)=0,"",INDEX(对接源_01水果!$G$4:$G$1203,$AE164)),IF(INDEX(对接源_02物料!$G$4:$G$1203,$AE164-1200)=0,"",INDEX(对接源_02物料!$G$4:$G$1203,$AE164-1200)))))</f>
        <v/>
      </c>
      <c r="E164" s="55" t="str">
        <f>IF($AE164="","",IF($AE164&lt;=1200,IF(INDEX(对接源_01水果!$H$4:$H$1203,$AE164)=0,"",INDEX(对接源_01水果!$H$4:$H$1203,$AE164)),IF(INDEX(对接源_02物料!$H$4:$H$1203,$AE164-1200)=0,"",INDEX(对接源_02物料!$H$4:$H$1203,$AE164-1200))))</f>
        <v/>
      </c>
      <c r="F164" s="53" t="str">
        <f>IF($AE164="","",IF($AE164&lt;=1200,IF(INDEX(对接源_01水果!$I$4:$I$1203,$AE164)=0,"",INDEX(对接源_01水果!$I$4:$I$1203,$AE164)),IF(INDEX(对接源_02物料!$I$4:$I$1203,$AE164-1200)=0,"",INDEX(对接源_02物料!$I$4:$I$1203,$AE164-1200))))</f>
        <v/>
      </c>
      <c r="G164" s="55" t="str">
        <f>IF($AE164="","",IF(IF($AE164&lt;=1200,N(INDEX(对接源_01水果!$H$4:$H$1203,$AE164)),N(INDEX(对接源_02物料!$H$4:$H$1203,$AE164-1200)))=0,"",ROUND(IF($AE164&lt;=1200,N(INDEX(对接源_01水果!$K$4:$K$1203,$AE164)),N(INDEX(对接源_02物料!$K$4:$K$1203,$AE164-1200)))/IF($AE164&lt;=1200,N(INDEX(对接源_01水果!$H$4:$H$1203,$AE164)),N(INDEX(对接源_02物料!$H$4:$H$1203,$AE164-1200))),2)))</f>
        <v/>
      </c>
      <c r="H164" s="55" t="str">
        <f>IF($AE164="","",IF($AE164&lt;=1200,IF(INDEX(对接源_01水果!$K$4:$K$1203,$AE164)=0,"",INDEX(对接源_01水果!$K$4:$K$1203,$AE164)),IF(INDEX(对接源_02物料!$K$4:$K$1203,$AE164-1200)=0,"",INDEX(对接源_02物料!$K$4:$K$1203,$AE164-1200))))</f>
        <v/>
      </c>
      <c r="I164" s="53" t="str">
        <f>IF($AE164="","",IF($AE164&lt;=1200,IF(INDEX(对接源_01水果!$L$4:$L$1203,$AE164)=0,"",INDEX(对接源_01水果!$L$4:$L$1203,$AE164)),IF(INDEX(对接源_02物料!$L$4:$L$1203,$AE164-1200)=0,"",INDEX(对接源_02物料!$L$4:$L$1203,$AE164-1200))))</f>
        <v/>
      </c>
      <c r="J164" s="106" t="str">
        <f>IF($AE164="","",IF($AE164&lt;=1200,IF(INDEX(对接源_01水果!$M$4:$M$1203,$AE164)=0,"",INDEX(对接源_01水果!$M$4:$M$1203,$AE164)),IF(INDEX(对接源_02物料!$M$4:$M$1203,$AE164-1200)=0,"",INDEX(对接源_02物料!$M$4:$M$1203,$AE164-1200))))</f>
        <v/>
      </c>
      <c r="AE164" s="107" t="str">
        <f>IFERROR(MATCH(159,_自动清单!$AS$4:$AS$2403,0),"")</f>
        <v/>
      </c>
      <c r="AF164" s="107"/>
    </row>
    <row r="165" ht="18" customHeight="1" spans="1:32">
      <c r="A165" s="52" t="str">
        <f>IF($AE165="","",IF($AE165&lt;=1200,IF(INDEX(对接源_01水果!$B$4:$B$1203,$AE165)=0,"",INDEX(对接源_01水果!$B$4:$B$1203,$AE165)),IF(INDEX(对接源_02物料!$B$4:$B$1203,$AE165-1200)=0,"",INDEX(对接源_02物料!$B$4:$B$1203,$AE165-1200))))</f>
        <v/>
      </c>
      <c r="B165" s="53" t="str">
        <f>IF($AE165="","",IF($AE165&lt;=1200,IF(INDEX(对接源_01水果!$E$4:$E$1203,$AE165)=0,"",INDEX(对接源_01水果!$E$4:$E$1203,$AE165)),IF(INDEX(对接源_02物料!$E$4:$E$1203,$AE165-1200)=0,"",INDEX(对接源_02物料!$E$4:$E$1203,$AE165-1200))))</f>
        <v/>
      </c>
      <c r="C165" s="106" t="str">
        <f>IF($AE165="","",IF($AE165&lt;=1200,IF(INDEX(对接源_01水果!$F$4:$F$1203,$AE165)=0,"",INDEX(对接源_01水果!$F$4:$F$1203,$AE165)),IF(INDEX(对接源_02物料!$F$4:$F$1203,$AE165-1200)=0,"",INDEX(对接源_02物料!$F$4:$F$1203,$AE165-1200))))</f>
        <v/>
      </c>
      <c r="D165" s="53" t="str">
        <f>IF($AE165="","",IF(IF($AE165&lt;=1200,IF(INDEX(对接源_01水果!$G$4:$G$1203,$AE165)=0,"",INDEX(对接源_01水果!$G$4:$G$1203,$AE165)),IF(INDEX(对接源_02物料!$G$4:$G$1203,$AE165-1200)=0,"",INDEX(对接源_02物料!$G$4:$G$1203,$AE165-1200)))="",IF($AE165&lt;=1200,IF(INDEX(对接源_01水果!$D$4:$D$1203,$AE165)=0,"",INDEX(对接源_01水果!$D$4:$D$1203,$AE165)),IF(INDEX(对接源_02物料!$D$4:$D$1203,$AE165-1200)=0,"",INDEX(对接源_02物料!$D$4:$D$1203,$AE165-1200))),IF($AE165&lt;=1200,IF(INDEX(对接源_01水果!$G$4:$G$1203,$AE165)=0,"",INDEX(对接源_01水果!$G$4:$G$1203,$AE165)),IF(INDEX(对接源_02物料!$G$4:$G$1203,$AE165-1200)=0,"",INDEX(对接源_02物料!$G$4:$G$1203,$AE165-1200)))))</f>
        <v/>
      </c>
      <c r="E165" s="55" t="str">
        <f>IF($AE165="","",IF($AE165&lt;=1200,IF(INDEX(对接源_01水果!$H$4:$H$1203,$AE165)=0,"",INDEX(对接源_01水果!$H$4:$H$1203,$AE165)),IF(INDEX(对接源_02物料!$H$4:$H$1203,$AE165-1200)=0,"",INDEX(对接源_02物料!$H$4:$H$1203,$AE165-1200))))</f>
        <v/>
      </c>
      <c r="F165" s="53" t="str">
        <f>IF($AE165="","",IF($AE165&lt;=1200,IF(INDEX(对接源_01水果!$I$4:$I$1203,$AE165)=0,"",INDEX(对接源_01水果!$I$4:$I$1203,$AE165)),IF(INDEX(对接源_02物料!$I$4:$I$1203,$AE165-1200)=0,"",INDEX(对接源_02物料!$I$4:$I$1203,$AE165-1200))))</f>
        <v/>
      </c>
      <c r="G165" s="55" t="str">
        <f>IF($AE165="","",IF(IF($AE165&lt;=1200,N(INDEX(对接源_01水果!$H$4:$H$1203,$AE165)),N(INDEX(对接源_02物料!$H$4:$H$1203,$AE165-1200)))=0,"",ROUND(IF($AE165&lt;=1200,N(INDEX(对接源_01水果!$K$4:$K$1203,$AE165)),N(INDEX(对接源_02物料!$K$4:$K$1203,$AE165-1200)))/IF($AE165&lt;=1200,N(INDEX(对接源_01水果!$H$4:$H$1203,$AE165)),N(INDEX(对接源_02物料!$H$4:$H$1203,$AE165-1200))),2)))</f>
        <v/>
      </c>
      <c r="H165" s="55" t="str">
        <f>IF($AE165="","",IF($AE165&lt;=1200,IF(INDEX(对接源_01水果!$K$4:$K$1203,$AE165)=0,"",INDEX(对接源_01水果!$K$4:$K$1203,$AE165)),IF(INDEX(对接源_02物料!$K$4:$K$1203,$AE165-1200)=0,"",INDEX(对接源_02物料!$K$4:$K$1203,$AE165-1200))))</f>
        <v/>
      </c>
      <c r="I165" s="53" t="str">
        <f>IF($AE165="","",IF($AE165&lt;=1200,IF(INDEX(对接源_01水果!$L$4:$L$1203,$AE165)=0,"",INDEX(对接源_01水果!$L$4:$L$1203,$AE165)),IF(INDEX(对接源_02物料!$L$4:$L$1203,$AE165-1200)=0,"",INDEX(对接源_02物料!$L$4:$L$1203,$AE165-1200))))</f>
        <v/>
      </c>
      <c r="J165" s="106" t="str">
        <f>IF($AE165="","",IF($AE165&lt;=1200,IF(INDEX(对接源_01水果!$M$4:$M$1203,$AE165)=0,"",INDEX(对接源_01水果!$M$4:$M$1203,$AE165)),IF(INDEX(对接源_02物料!$M$4:$M$1203,$AE165-1200)=0,"",INDEX(对接源_02物料!$M$4:$M$1203,$AE165-1200))))</f>
        <v/>
      </c>
      <c r="AE165" s="107" t="str">
        <f>IFERROR(MATCH(160,_自动清单!$AS$4:$AS$2403,0),"")</f>
        <v/>
      </c>
      <c r="AF165" s="107"/>
    </row>
    <row r="166" ht="18" customHeight="1" spans="1:32">
      <c r="A166" s="52" t="str">
        <f>IF($AE166="","",IF($AE166&lt;=1200,IF(INDEX(对接源_01水果!$B$4:$B$1203,$AE166)=0,"",INDEX(对接源_01水果!$B$4:$B$1203,$AE166)),IF(INDEX(对接源_02物料!$B$4:$B$1203,$AE166-1200)=0,"",INDEX(对接源_02物料!$B$4:$B$1203,$AE166-1200))))</f>
        <v/>
      </c>
      <c r="B166" s="53" t="str">
        <f>IF($AE166="","",IF($AE166&lt;=1200,IF(INDEX(对接源_01水果!$E$4:$E$1203,$AE166)=0,"",INDEX(对接源_01水果!$E$4:$E$1203,$AE166)),IF(INDEX(对接源_02物料!$E$4:$E$1203,$AE166-1200)=0,"",INDEX(对接源_02物料!$E$4:$E$1203,$AE166-1200))))</f>
        <v/>
      </c>
      <c r="C166" s="106" t="str">
        <f>IF($AE166="","",IF($AE166&lt;=1200,IF(INDEX(对接源_01水果!$F$4:$F$1203,$AE166)=0,"",INDEX(对接源_01水果!$F$4:$F$1203,$AE166)),IF(INDEX(对接源_02物料!$F$4:$F$1203,$AE166-1200)=0,"",INDEX(对接源_02物料!$F$4:$F$1203,$AE166-1200))))</f>
        <v/>
      </c>
      <c r="D166" s="53" t="str">
        <f>IF($AE166="","",IF(IF($AE166&lt;=1200,IF(INDEX(对接源_01水果!$G$4:$G$1203,$AE166)=0,"",INDEX(对接源_01水果!$G$4:$G$1203,$AE166)),IF(INDEX(对接源_02物料!$G$4:$G$1203,$AE166-1200)=0,"",INDEX(对接源_02物料!$G$4:$G$1203,$AE166-1200)))="",IF($AE166&lt;=1200,IF(INDEX(对接源_01水果!$D$4:$D$1203,$AE166)=0,"",INDEX(对接源_01水果!$D$4:$D$1203,$AE166)),IF(INDEX(对接源_02物料!$D$4:$D$1203,$AE166-1200)=0,"",INDEX(对接源_02物料!$D$4:$D$1203,$AE166-1200))),IF($AE166&lt;=1200,IF(INDEX(对接源_01水果!$G$4:$G$1203,$AE166)=0,"",INDEX(对接源_01水果!$G$4:$G$1203,$AE166)),IF(INDEX(对接源_02物料!$G$4:$G$1203,$AE166-1200)=0,"",INDEX(对接源_02物料!$G$4:$G$1203,$AE166-1200)))))</f>
        <v/>
      </c>
      <c r="E166" s="55" t="str">
        <f>IF($AE166="","",IF($AE166&lt;=1200,IF(INDEX(对接源_01水果!$H$4:$H$1203,$AE166)=0,"",INDEX(对接源_01水果!$H$4:$H$1203,$AE166)),IF(INDEX(对接源_02物料!$H$4:$H$1203,$AE166-1200)=0,"",INDEX(对接源_02物料!$H$4:$H$1203,$AE166-1200))))</f>
        <v/>
      </c>
      <c r="F166" s="53" t="str">
        <f>IF($AE166="","",IF($AE166&lt;=1200,IF(INDEX(对接源_01水果!$I$4:$I$1203,$AE166)=0,"",INDEX(对接源_01水果!$I$4:$I$1203,$AE166)),IF(INDEX(对接源_02物料!$I$4:$I$1203,$AE166-1200)=0,"",INDEX(对接源_02物料!$I$4:$I$1203,$AE166-1200))))</f>
        <v/>
      </c>
      <c r="G166" s="55" t="str">
        <f>IF($AE166="","",IF(IF($AE166&lt;=1200,N(INDEX(对接源_01水果!$H$4:$H$1203,$AE166)),N(INDEX(对接源_02物料!$H$4:$H$1203,$AE166-1200)))=0,"",ROUND(IF($AE166&lt;=1200,N(INDEX(对接源_01水果!$K$4:$K$1203,$AE166)),N(INDEX(对接源_02物料!$K$4:$K$1203,$AE166-1200)))/IF($AE166&lt;=1200,N(INDEX(对接源_01水果!$H$4:$H$1203,$AE166)),N(INDEX(对接源_02物料!$H$4:$H$1203,$AE166-1200))),2)))</f>
        <v/>
      </c>
      <c r="H166" s="55" t="str">
        <f>IF($AE166="","",IF($AE166&lt;=1200,IF(INDEX(对接源_01水果!$K$4:$K$1203,$AE166)=0,"",INDEX(对接源_01水果!$K$4:$K$1203,$AE166)),IF(INDEX(对接源_02物料!$K$4:$K$1203,$AE166-1200)=0,"",INDEX(对接源_02物料!$K$4:$K$1203,$AE166-1200))))</f>
        <v/>
      </c>
      <c r="I166" s="53" t="str">
        <f>IF($AE166="","",IF($AE166&lt;=1200,IF(INDEX(对接源_01水果!$L$4:$L$1203,$AE166)=0,"",INDEX(对接源_01水果!$L$4:$L$1203,$AE166)),IF(INDEX(对接源_02物料!$L$4:$L$1203,$AE166-1200)=0,"",INDEX(对接源_02物料!$L$4:$L$1203,$AE166-1200))))</f>
        <v/>
      </c>
      <c r="J166" s="106" t="str">
        <f>IF($AE166="","",IF($AE166&lt;=1200,IF(INDEX(对接源_01水果!$M$4:$M$1203,$AE166)=0,"",INDEX(对接源_01水果!$M$4:$M$1203,$AE166)),IF(INDEX(对接源_02物料!$M$4:$M$1203,$AE166-1200)=0,"",INDEX(对接源_02物料!$M$4:$M$1203,$AE166-1200))))</f>
        <v/>
      </c>
      <c r="AE166" s="107" t="str">
        <f>IFERROR(MATCH(161,_自动清单!$AS$4:$AS$2403,0),"")</f>
        <v/>
      </c>
      <c r="AF166" s="107"/>
    </row>
    <row r="167" ht="18" customHeight="1" spans="1:32">
      <c r="A167" s="52" t="str">
        <f>IF($AE167="","",IF($AE167&lt;=1200,IF(INDEX(对接源_01水果!$B$4:$B$1203,$AE167)=0,"",INDEX(对接源_01水果!$B$4:$B$1203,$AE167)),IF(INDEX(对接源_02物料!$B$4:$B$1203,$AE167-1200)=0,"",INDEX(对接源_02物料!$B$4:$B$1203,$AE167-1200))))</f>
        <v/>
      </c>
      <c r="B167" s="53" t="str">
        <f>IF($AE167="","",IF($AE167&lt;=1200,IF(INDEX(对接源_01水果!$E$4:$E$1203,$AE167)=0,"",INDEX(对接源_01水果!$E$4:$E$1203,$AE167)),IF(INDEX(对接源_02物料!$E$4:$E$1203,$AE167-1200)=0,"",INDEX(对接源_02物料!$E$4:$E$1203,$AE167-1200))))</f>
        <v/>
      </c>
      <c r="C167" s="106" t="str">
        <f>IF($AE167="","",IF($AE167&lt;=1200,IF(INDEX(对接源_01水果!$F$4:$F$1203,$AE167)=0,"",INDEX(对接源_01水果!$F$4:$F$1203,$AE167)),IF(INDEX(对接源_02物料!$F$4:$F$1203,$AE167-1200)=0,"",INDEX(对接源_02物料!$F$4:$F$1203,$AE167-1200))))</f>
        <v/>
      </c>
      <c r="D167" s="53" t="str">
        <f>IF($AE167="","",IF(IF($AE167&lt;=1200,IF(INDEX(对接源_01水果!$G$4:$G$1203,$AE167)=0,"",INDEX(对接源_01水果!$G$4:$G$1203,$AE167)),IF(INDEX(对接源_02物料!$G$4:$G$1203,$AE167-1200)=0,"",INDEX(对接源_02物料!$G$4:$G$1203,$AE167-1200)))="",IF($AE167&lt;=1200,IF(INDEX(对接源_01水果!$D$4:$D$1203,$AE167)=0,"",INDEX(对接源_01水果!$D$4:$D$1203,$AE167)),IF(INDEX(对接源_02物料!$D$4:$D$1203,$AE167-1200)=0,"",INDEX(对接源_02物料!$D$4:$D$1203,$AE167-1200))),IF($AE167&lt;=1200,IF(INDEX(对接源_01水果!$G$4:$G$1203,$AE167)=0,"",INDEX(对接源_01水果!$G$4:$G$1203,$AE167)),IF(INDEX(对接源_02物料!$G$4:$G$1203,$AE167-1200)=0,"",INDEX(对接源_02物料!$G$4:$G$1203,$AE167-1200)))))</f>
        <v/>
      </c>
      <c r="E167" s="55" t="str">
        <f>IF($AE167="","",IF($AE167&lt;=1200,IF(INDEX(对接源_01水果!$H$4:$H$1203,$AE167)=0,"",INDEX(对接源_01水果!$H$4:$H$1203,$AE167)),IF(INDEX(对接源_02物料!$H$4:$H$1203,$AE167-1200)=0,"",INDEX(对接源_02物料!$H$4:$H$1203,$AE167-1200))))</f>
        <v/>
      </c>
      <c r="F167" s="53" t="str">
        <f>IF($AE167="","",IF($AE167&lt;=1200,IF(INDEX(对接源_01水果!$I$4:$I$1203,$AE167)=0,"",INDEX(对接源_01水果!$I$4:$I$1203,$AE167)),IF(INDEX(对接源_02物料!$I$4:$I$1203,$AE167-1200)=0,"",INDEX(对接源_02物料!$I$4:$I$1203,$AE167-1200))))</f>
        <v/>
      </c>
      <c r="G167" s="55" t="str">
        <f>IF($AE167="","",IF(IF($AE167&lt;=1200,N(INDEX(对接源_01水果!$H$4:$H$1203,$AE167)),N(INDEX(对接源_02物料!$H$4:$H$1203,$AE167-1200)))=0,"",ROUND(IF($AE167&lt;=1200,N(INDEX(对接源_01水果!$K$4:$K$1203,$AE167)),N(INDEX(对接源_02物料!$K$4:$K$1203,$AE167-1200)))/IF($AE167&lt;=1200,N(INDEX(对接源_01水果!$H$4:$H$1203,$AE167)),N(INDEX(对接源_02物料!$H$4:$H$1203,$AE167-1200))),2)))</f>
        <v/>
      </c>
      <c r="H167" s="55" t="str">
        <f>IF($AE167="","",IF($AE167&lt;=1200,IF(INDEX(对接源_01水果!$K$4:$K$1203,$AE167)=0,"",INDEX(对接源_01水果!$K$4:$K$1203,$AE167)),IF(INDEX(对接源_02物料!$K$4:$K$1203,$AE167-1200)=0,"",INDEX(对接源_02物料!$K$4:$K$1203,$AE167-1200))))</f>
        <v/>
      </c>
      <c r="I167" s="53" t="str">
        <f>IF($AE167="","",IF($AE167&lt;=1200,IF(INDEX(对接源_01水果!$L$4:$L$1203,$AE167)=0,"",INDEX(对接源_01水果!$L$4:$L$1203,$AE167)),IF(INDEX(对接源_02物料!$L$4:$L$1203,$AE167-1200)=0,"",INDEX(对接源_02物料!$L$4:$L$1203,$AE167-1200))))</f>
        <v/>
      </c>
      <c r="J167" s="106" t="str">
        <f>IF($AE167="","",IF($AE167&lt;=1200,IF(INDEX(对接源_01水果!$M$4:$M$1203,$AE167)=0,"",INDEX(对接源_01水果!$M$4:$M$1203,$AE167)),IF(INDEX(对接源_02物料!$M$4:$M$1203,$AE167-1200)=0,"",INDEX(对接源_02物料!$M$4:$M$1203,$AE167-1200))))</f>
        <v/>
      </c>
      <c r="AE167" s="107" t="str">
        <f>IFERROR(MATCH(162,_自动清单!$AS$4:$AS$2403,0),"")</f>
        <v/>
      </c>
      <c r="AF167" s="107"/>
    </row>
    <row r="168" ht="18" customHeight="1" spans="1:32">
      <c r="A168" s="52" t="str">
        <f>IF($AE168="","",IF($AE168&lt;=1200,IF(INDEX(对接源_01水果!$B$4:$B$1203,$AE168)=0,"",INDEX(对接源_01水果!$B$4:$B$1203,$AE168)),IF(INDEX(对接源_02物料!$B$4:$B$1203,$AE168-1200)=0,"",INDEX(对接源_02物料!$B$4:$B$1203,$AE168-1200))))</f>
        <v/>
      </c>
      <c r="B168" s="53" t="str">
        <f>IF($AE168="","",IF($AE168&lt;=1200,IF(INDEX(对接源_01水果!$E$4:$E$1203,$AE168)=0,"",INDEX(对接源_01水果!$E$4:$E$1203,$AE168)),IF(INDEX(对接源_02物料!$E$4:$E$1203,$AE168-1200)=0,"",INDEX(对接源_02物料!$E$4:$E$1203,$AE168-1200))))</f>
        <v/>
      </c>
      <c r="C168" s="106" t="str">
        <f>IF($AE168="","",IF($AE168&lt;=1200,IF(INDEX(对接源_01水果!$F$4:$F$1203,$AE168)=0,"",INDEX(对接源_01水果!$F$4:$F$1203,$AE168)),IF(INDEX(对接源_02物料!$F$4:$F$1203,$AE168-1200)=0,"",INDEX(对接源_02物料!$F$4:$F$1203,$AE168-1200))))</f>
        <v/>
      </c>
      <c r="D168" s="53" t="str">
        <f>IF($AE168="","",IF(IF($AE168&lt;=1200,IF(INDEX(对接源_01水果!$G$4:$G$1203,$AE168)=0,"",INDEX(对接源_01水果!$G$4:$G$1203,$AE168)),IF(INDEX(对接源_02物料!$G$4:$G$1203,$AE168-1200)=0,"",INDEX(对接源_02物料!$G$4:$G$1203,$AE168-1200)))="",IF($AE168&lt;=1200,IF(INDEX(对接源_01水果!$D$4:$D$1203,$AE168)=0,"",INDEX(对接源_01水果!$D$4:$D$1203,$AE168)),IF(INDEX(对接源_02物料!$D$4:$D$1203,$AE168-1200)=0,"",INDEX(对接源_02物料!$D$4:$D$1203,$AE168-1200))),IF($AE168&lt;=1200,IF(INDEX(对接源_01水果!$G$4:$G$1203,$AE168)=0,"",INDEX(对接源_01水果!$G$4:$G$1203,$AE168)),IF(INDEX(对接源_02物料!$G$4:$G$1203,$AE168-1200)=0,"",INDEX(对接源_02物料!$G$4:$G$1203,$AE168-1200)))))</f>
        <v/>
      </c>
      <c r="E168" s="55" t="str">
        <f>IF($AE168="","",IF($AE168&lt;=1200,IF(INDEX(对接源_01水果!$H$4:$H$1203,$AE168)=0,"",INDEX(对接源_01水果!$H$4:$H$1203,$AE168)),IF(INDEX(对接源_02物料!$H$4:$H$1203,$AE168-1200)=0,"",INDEX(对接源_02物料!$H$4:$H$1203,$AE168-1200))))</f>
        <v/>
      </c>
      <c r="F168" s="53" t="str">
        <f>IF($AE168="","",IF($AE168&lt;=1200,IF(INDEX(对接源_01水果!$I$4:$I$1203,$AE168)=0,"",INDEX(对接源_01水果!$I$4:$I$1203,$AE168)),IF(INDEX(对接源_02物料!$I$4:$I$1203,$AE168-1200)=0,"",INDEX(对接源_02物料!$I$4:$I$1203,$AE168-1200))))</f>
        <v/>
      </c>
      <c r="G168" s="55" t="str">
        <f>IF($AE168="","",IF(IF($AE168&lt;=1200,N(INDEX(对接源_01水果!$H$4:$H$1203,$AE168)),N(INDEX(对接源_02物料!$H$4:$H$1203,$AE168-1200)))=0,"",ROUND(IF($AE168&lt;=1200,N(INDEX(对接源_01水果!$K$4:$K$1203,$AE168)),N(INDEX(对接源_02物料!$K$4:$K$1203,$AE168-1200)))/IF($AE168&lt;=1200,N(INDEX(对接源_01水果!$H$4:$H$1203,$AE168)),N(INDEX(对接源_02物料!$H$4:$H$1203,$AE168-1200))),2)))</f>
        <v/>
      </c>
      <c r="H168" s="55" t="str">
        <f>IF($AE168="","",IF($AE168&lt;=1200,IF(INDEX(对接源_01水果!$K$4:$K$1203,$AE168)=0,"",INDEX(对接源_01水果!$K$4:$K$1203,$AE168)),IF(INDEX(对接源_02物料!$K$4:$K$1203,$AE168-1200)=0,"",INDEX(对接源_02物料!$K$4:$K$1203,$AE168-1200))))</f>
        <v/>
      </c>
      <c r="I168" s="53" t="str">
        <f>IF($AE168="","",IF($AE168&lt;=1200,IF(INDEX(对接源_01水果!$L$4:$L$1203,$AE168)=0,"",INDEX(对接源_01水果!$L$4:$L$1203,$AE168)),IF(INDEX(对接源_02物料!$L$4:$L$1203,$AE168-1200)=0,"",INDEX(对接源_02物料!$L$4:$L$1203,$AE168-1200))))</f>
        <v/>
      </c>
      <c r="J168" s="106" t="str">
        <f>IF($AE168="","",IF($AE168&lt;=1200,IF(INDEX(对接源_01水果!$M$4:$M$1203,$AE168)=0,"",INDEX(对接源_01水果!$M$4:$M$1203,$AE168)),IF(INDEX(对接源_02物料!$M$4:$M$1203,$AE168-1200)=0,"",INDEX(对接源_02物料!$M$4:$M$1203,$AE168-1200))))</f>
        <v/>
      </c>
      <c r="AE168" s="107" t="str">
        <f>IFERROR(MATCH(163,_自动清单!$AS$4:$AS$2403,0),"")</f>
        <v/>
      </c>
      <c r="AF168" s="107"/>
    </row>
    <row r="169" ht="18" customHeight="1" spans="1:32">
      <c r="A169" s="52" t="str">
        <f>IF($AE169="","",IF($AE169&lt;=1200,IF(INDEX(对接源_01水果!$B$4:$B$1203,$AE169)=0,"",INDEX(对接源_01水果!$B$4:$B$1203,$AE169)),IF(INDEX(对接源_02物料!$B$4:$B$1203,$AE169-1200)=0,"",INDEX(对接源_02物料!$B$4:$B$1203,$AE169-1200))))</f>
        <v/>
      </c>
      <c r="B169" s="53" t="str">
        <f>IF($AE169="","",IF($AE169&lt;=1200,IF(INDEX(对接源_01水果!$E$4:$E$1203,$AE169)=0,"",INDEX(对接源_01水果!$E$4:$E$1203,$AE169)),IF(INDEX(对接源_02物料!$E$4:$E$1203,$AE169-1200)=0,"",INDEX(对接源_02物料!$E$4:$E$1203,$AE169-1200))))</f>
        <v/>
      </c>
      <c r="C169" s="106" t="str">
        <f>IF($AE169="","",IF($AE169&lt;=1200,IF(INDEX(对接源_01水果!$F$4:$F$1203,$AE169)=0,"",INDEX(对接源_01水果!$F$4:$F$1203,$AE169)),IF(INDEX(对接源_02物料!$F$4:$F$1203,$AE169-1200)=0,"",INDEX(对接源_02物料!$F$4:$F$1203,$AE169-1200))))</f>
        <v/>
      </c>
      <c r="D169" s="53" t="str">
        <f>IF($AE169="","",IF(IF($AE169&lt;=1200,IF(INDEX(对接源_01水果!$G$4:$G$1203,$AE169)=0,"",INDEX(对接源_01水果!$G$4:$G$1203,$AE169)),IF(INDEX(对接源_02物料!$G$4:$G$1203,$AE169-1200)=0,"",INDEX(对接源_02物料!$G$4:$G$1203,$AE169-1200)))="",IF($AE169&lt;=1200,IF(INDEX(对接源_01水果!$D$4:$D$1203,$AE169)=0,"",INDEX(对接源_01水果!$D$4:$D$1203,$AE169)),IF(INDEX(对接源_02物料!$D$4:$D$1203,$AE169-1200)=0,"",INDEX(对接源_02物料!$D$4:$D$1203,$AE169-1200))),IF($AE169&lt;=1200,IF(INDEX(对接源_01水果!$G$4:$G$1203,$AE169)=0,"",INDEX(对接源_01水果!$G$4:$G$1203,$AE169)),IF(INDEX(对接源_02物料!$G$4:$G$1203,$AE169-1200)=0,"",INDEX(对接源_02物料!$G$4:$G$1203,$AE169-1200)))))</f>
        <v/>
      </c>
      <c r="E169" s="55" t="str">
        <f>IF($AE169="","",IF($AE169&lt;=1200,IF(INDEX(对接源_01水果!$H$4:$H$1203,$AE169)=0,"",INDEX(对接源_01水果!$H$4:$H$1203,$AE169)),IF(INDEX(对接源_02物料!$H$4:$H$1203,$AE169-1200)=0,"",INDEX(对接源_02物料!$H$4:$H$1203,$AE169-1200))))</f>
        <v/>
      </c>
      <c r="F169" s="53" t="str">
        <f>IF($AE169="","",IF($AE169&lt;=1200,IF(INDEX(对接源_01水果!$I$4:$I$1203,$AE169)=0,"",INDEX(对接源_01水果!$I$4:$I$1203,$AE169)),IF(INDEX(对接源_02物料!$I$4:$I$1203,$AE169-1200)=0,"",INDEX(对接源_02物料!$I$4:$I$1203,$AE169-1200))))</f>
        <v/>
      </c>
      <c r="G169" s="55" t="str">
        <f>IF($AE169="","",IF(IF($AE169&lt;=1200,N(INDEX(对接源_01水果!$H$4:$H$1203,$AE169)),N(INDEX(对接源_02物料!$H$4:$H$1203,$AE169-1200)))=0,"",ROUND(IF($AE169&lt;=1200,N(INDEX(对接源_01水果!$K$4:$K$1203,$AE169)),N(INDEX(对接源_02物料!$K$4:$K$1203,$AE169-1200)))/IF($AE169&lt;=1200,N(INDEX(对接源_01水果!$H$4:$H$1203,$AE169)),N(INDEX(对接源_02物料!$H$4:$H$1203,$AE169-1200))),2)))</f>
        <v/>
      </c>
      <c r="H169" s="55" t="str">
        <f>IF($AE169="","",IF($AE169&lt;=1200,IF(INDEX(对接源_01水果!$K$4:$K$1203,$AE169)=0,"",INDEX(对接源_01水果!$K$4:$K$1203,$AE169)),IF(INDEX(对接源_02物料!$K$4:$K$1203,$AE169-1200)=0,"",INDEX(对接源_02物料!$K$4:$K$1203,$AE169-1200))))</f>
        <v/>
      </c>
      <c r="I169" s="53" t="str">
        <f>IF($AE169="","",IF($AE169&lt;=1200,IF(INDEX(对接源_01水果!$L$4:$L$1203,$AE169)=0,"",INDEX(对接源_01水果!$L$4:$L$1203,$AE169)),IF(INDEX(对接源_02物料!$L$4:$L$1203,$AE169-1200)=0,"",INDEX(对接源_02物料!$L$4:$L$1203,$AE169-1200))))</f>
        <v/>
      </c>
      <c r="J169" s="106" t="str">
        <f>IF($AE169="","",IF($AE169&lt;=1200,IF(INDEX(对接源_01水果!$M$4:$M$1203,$AE169)=0,"",INDEX(对接源_01水果!$M$4:$M$1203,$AE169)),IF(INDEX(对接源_02物料!$M$4:$M$1203,$AE169-1200)=0,"",INDEX(对接源_02物料!$M$4:$M$1203,$AE169-1200))))</f>
        <v/>
      </c>
      <c r="AE169" s="107" t="str">
        <f>IFERROR(MATCH(164,_自动清单!$AS$4:$AS$2403,0),"")</f>
        <v/>
      </c>
      <c r="AF169" s="107"/>
    </row>
    <row r="170" ht="18" customHeight="1" spans="1:32">
      <c r="A170" s="52" t="str">
        <f>IF($AE170="","",IF($AE170&lt;=1200,IF(INDEX(对接源_01水果!$B$4:$B$1203,$AE170)=0,"",INDEX(对接源_01水果!$B$4:$B$1203,$AE170)),IF(INDEX(对接源_02物料!$B$4:$B$1203,$AE170-1200)=0,"",INDEX(对接源_02物料!$B$4:$B$1203,$AE170-1200))))</f>
        <v/>
      </c>
      <c r="B170" s="53" t="str">
        <f>IF($AE170="","",IF($AE170&lt;=1200,IF(INDEX(对接源_01水果!$E$4:$E$1203,$AE170)=0,"",INDEX(对接源_01水果!$E$4:$E$1203,$AE170)),IF(INDEX(对接源_02物料!$E$4:$E$1203,$AE170-1200)=0,"",INDEX(对接源_02物料!$E$4:$E$1203,$AE170-1200))))</f>
        <v/>
      </c>
      <c r="C170" s="106" t="str">
        <f>IF($AE170="","",IF($AE170&lt;=1200,IF(INDEX(对接源_01水果!$F$4:$F$1203,$AE170)=0,"",INDEX(对接源_01水果!$F$4:$F$1203,$AE170)),IF(INDEX(对接源_02物料!$F$4:$F$1203,$AE170-1200)=0,"",INDEX(对接源_02物料!$F$4:$F$1203,$AE170-1200))))</f>
        <v/>
      </c>
      <c r="D170" s="53" t="str">
        <f>IF($AE170="","",IF(IF($AE170&lt;=1200,IF(INDEX(对接源_01水果!$G$4:$G$1203,$AE170)=0,"",INDEX(对接源_01水果!$G$4:$G$1203,$AE170)),IF(INDEX(对接源_02物料!$G$4:$G$1203,$AE170-1200)=0,"",INDEX(对接源_02物料!$G$4:$G$1203,$AE170-1200)))="",IF($AE170&lt;=1200,IF(INDEX(对接源_01水果!$D$4:$D$1203,$AE170)=0,"",INDEX(对接源_01水果!$D$4:$D$1203,$AE170)),IF(INDEX(对接源_02物料!$D$4:$D$1203,$AE170-1200)=0,"",INDEX(对接源_02物料!$D$4:$D$1203,$AE170-1200))),IF($AE170&lt;=1200,IF(INDEX(对接源_01水果!$G$4:$G$1203,$AE170)=0,"",INDEX(对接源_01水果!$G$4:$G$1203,$AE170)),IF(INDEX(对接源_02物料!$G$4:$G$1203,$AE170-1200)=0,"",INDEX(对接源_02物料!$G$4:$G$1203,$AE170-1200)))))</f>
        <v/>
      </c>
      <c r="E170" s="55" t="str">
        <f>IF($AE170="","",IF($AE170&lt;=1200,IF(INDEX(对接源_01水果!$H$4:$H$1203,$AE170)=0,"",INDEX(对接源_01水果!$H$4:$H$1203,$AE170)),IF(INDEX(对接源_02物料!$H$4:$H$1203,$AE170-1200)=0,"",INDEX(对接源_02物料!$H$4:$H$1203,$AE170-1200))))</f>
        <v/>
      </c>
      <c r="F170" s="53" t="str">
        <f>IF($AE170="","",IF($AE170&lt;=1200,IF(INDEX(对接源_01水果!$I$4:$I$1203,$AE170)=0,"",INDEX(对接源_01水果!$I$4:$I$1203,$AE170)),IF(INDEX(对接源_02物料!$I$4:$I$1203,$AE170-1200)=0,"",INDEX(对接源_02物料!$I$4:$I$1203,$AE170-1200))))</f>
        <v/>
      </c>
      <c r="G170" s="55" t="str">
        <f>IF($AE170="","",IF(IF($AE170&lt;=1200,N(INDEX(对接源_01水果!$H$4:$H$1203,$AE170)),N(INDEX(对接源_02物料!$H$4:$H$1203,$AE170-1200)))=0,"",ROUND(IF($AE170&lt;=1200,N(INDEX(对接源_01水果!$K$4:$K$1203,$AE170)),N(INDEX(对接源_02物料!$K$4:$K$1203,$AE170-1200)))/IF($AE170&lt;=1200,N(INDEX(对接源_01水果!$H$4:$H$1203,$AE170)),N(INDEX(对接源_02物料!$H$4:$H$1203,$AE170-1200))),2)))</f>
        <v/>
      </c>
      <c r="H170" s="55" t="str">
        <f>IF($AE170="","",IF($AE170&lt;=1200,IF(INDEX(对接源_01水果!$K$4:$K$1203,$AE170)=0,"",INDEX(对接源_01水果!$K$4:$K$1203,$AE170)),IF(INDEX(对接源_02物料!$K$4:$K$1203,$AE170-1200)=0,"",INDEX(对接源_02物料!$K$4:$K$1203,$AE170-1200))))</f>
        <v/>
      </c>
      <c r="I170" s="53" t="str">
        <f>IF($AE170="","",IF($AE170&lt;=1200,IF(INDEX(对接源_01水果!$L$4:$L$1203,$AE170)=0,"",INDEX(对接源_01水果!$L$4:$L$1203,$AE170)),IF(INDEX(对接源_02物料!$L$4:$L$1203,$AE170-1200)=0,"",INDEX(对接源_02物料!$L$4:$L$1203,$AE170-1200))))</f>
        <v/>
      </c>
      <c r="J170" s="106" t="str">
        <f>IF($AE170="","",IF($AE170&lt;=1200,IF(INDEX(对接源_01水果!$M$4:$M$1203,$AE170)=0,"",INDEX(对接源_01水果!$M$4:$M$1203,$AE170)),IF(INDEX(对接源_02物料!$M$4:$M$1203,$AE170-1200)=0,"",INDEX(对接源_02物料!$M$4:$M$1203,$AE170-1200))))</f>
        <v/>
      </c>
      <c r="AE170" s="107" t="str">
        <f>IFERROR(MATCH(165,_自动清单!$AS$4:$AS$2403,0),"")</f>
        <v/>
      </c>
      <c r="AF170" s="107"/>
    </row>
    <row r="171" ht="18" customHeight="1" spans="1:32">
      <c r="A171" s="52" t="str">
        <f>IF($AE171="","",IF($AE171&lt;=1200,IF(INDEX(对接源_01水果!$B$4:$B$1203,$AE171)=0,"",INDEX(对接源_01水果!$B$4:$B$1203,$AE171)),IF(INDEX(对接源_02物料!$B$4:$B$1203,$AE171-1200)=0,"",INDEX(对接源_02物料!$B$4:$B$1203,$AE171-1200))))</f>
        <v/>
      </c>
      <c r="B171" s="53" t="str">
        <f>IF($AE171="","",IF($AE171&lt;=1200,IF(INDEX(对接源_01水果!$E$4:$E$1203,$AE171)=0,"",INDEX(对接源_01水果!$E$4:$E$1203,$AE171)),IF(INDEX(对接源_02物料!$E$4:$E$1203,$AE171-1200)=0,"",INDEX(对接源_02物料!$E$4:$E$1203,$AE171-1200))))</f>
        <v/>
      </c>
      <c r="C171" s="106" t="str">
        <f>IF($AE171="","",IF($AE171&lt;=1200,IF(INDEX(对接源_01水果!$F$4:$F$1203,$AE171)=0,"",INDEX(对接源_01水果!$F$4:$F$1203,$AE171)),IF(INDEX(对接源_02物料!$F$4:$F$1203,$AE171-1200)=0,"",INDEX(对接源_02物料!$F$4:$F$1203,$AE171-1200))))</f>
        <v/>
      </c>
      <c r="D171" s="53" t="str">
        <f>IF($AE171="","",IF(IF($AE171&lt;=1200,IF(INDEX(对接源_01水果!$G$4:$G$1203,$AE171)=0,"",INDEX(对接源_01水果!$G$4:$G$1203,$AE171)),IF(INDEX(对接源_02物料!$G$4:$G$1203,$AE171-1200)=0,"",INDEX(对接源_02物料!$G$4:$G$1203,$AE171-1200)))="",IF($AE171&lt;=1200,IF(INDEX(对接源_01水果!$D$4:$D$1203,$AE171)=0,"",INDEX(对接源_01水果!$D$4:$D$1203,$AE171)),IF(INDEX(对接源_02物料!$D$4:$D$1203,$AE171-1200)=0,"",INDEX(对接源_02物料!$D$4:$D$1203,$AE171-1200))),IF($AE171&lt;=1200,IF(INDEX(对接源_01水果!$G$4:$G$1203,$AE171)=0,"",INDEX(对接源_01水果!$G$4:$G$1203,$AE171)),IF(INDEX(对接源_02物料!$G$4:$G$1203,$AE171-1200)=0,"",INDEX(对接源_02物料!$G$4:$G$1203,$AE171-1200)))))</f>
        <v/>
      </c>
      <c r="E171" s="55" t="str">
        <f>IF($AE171="","",IF($AE171&lt;=1200,IF(INDEX(对接源_01水果!$H$4:$H$1203,$AE171)=0,"",INDEX(对接源_01水果!$H$4:$H$1203,$AE171)),IF(INDEX(对接源_02物料!$H$4:$H$1203,$AE171-1200)=0,"",INDEX(对接源_02物料!$H$4:$H$1203,$AE171-1200))))</f>
        <v/>
      </c>
      <c r="F171" s="53" t="str">
        <f>IF($AE171="","",IF($AE171&lt;=1200,IF(INDEX(对接源_01水果!$I$4:$I$1203,$AE171)=0,"",INDEX(对接源_01水果!$I$4:$I$1203,$AE171)),IF(INDEX(对接源_02物料!$I$4:$I$1203,$AE171-1200)=0,"",INDEX(对接源_02物料!$I$4:$I$1203,$AE171-1200))))</f>
        <v/>
      </c>
      <c r="G171" s="55" t="str">
        <f>IF($AE171="","",IF(IF($AE171&lt;=1200,N(INDEX(对接源_01水果!$H$4:$H$1203,$AE171)),N(INDEX(对接源_02物料!$H$4:$H$1203,$AE171-1200)))=0,"",ROUND(IF($AE171&lt;=1200,N(INDEX(对接源_01水果!$K$4:$K$1203,$AE171)),N(INDEX(对接源_02物料!$K$4:$K$1203,$AE171-1200)))/IF($AE171&lt;=1200,N(INDEX(对接源_01水果!$H$4:$H$1203,$AE171)),N(INDEX(对接源_02物料!$H$4:$H$1203,$AE171-1200))),2)))</f>
        <v/>
      </c>
      <c r="H171" s="55" t="str">
        <f>IF($AE171="","",IF($AE171&lt;=1200,IF(INDEX(对接源_01水果!$K$4:$K$1203,$AE171)=0,"",INDEX(对接源_01水果!$K$4:$K$1203,$AE171)),IF(INDEX(对接源_02物料!$K$4:$K$1203,$AE171-1200)=0,"",INDEX(对接源_02物料!$K$4:$K$1203,$AE171-1200))))</f>
        <v/>
      </c>
      <c r="I171" s="53" t="str">
        <f>IF($AE171="","",IF($AE171&lt;=1200,IF(INDEX(对接源_01水果!$L$4:$L$1203,$AE171)=0,"",INDEX(对接源_01水果!$L$4:$L$1203,$AE171)),IF(INDEX(对接源_02物料!$L$4:$L$1203,$AE171-1200)=0,"",INDEX(对接源_02物料!$L$4:$L$1203,$AE171-1200))))</f>
        <v/>
      </c>
      <c r="J171" s="106" t="str">
        <f>IF($AE171="","",IF($AE171&lt;=1200,IF(INDEX(对接源_01水果!$M$4:$M$1203,$AE171)=0,"",INDEX(对接源_01水果!$M$4:$M$1203,$AE171)),IF(INDEX(对接源_02物料!$M$4:$M$1203,$AE171-1200)=0,"",INDEX(对接源_02物料!$M$4:$M$1203,$AE171-1200))))</f>
        <v/>
      </c>
      <c r="AE171" s="107" t="str">
        <f>IFERROR(MATCH(166,_自动清单!$AS$4:$AS$2403,0),"")</f>
        <v/>
      </c>
      <c r="AF171" s="107"/>
    </row>
    <row r="172" ht="18" customHeight="1" spans="1:32">
      <c r="A172" s="52" t="str">
        <f>IF($AE172="","",IF($AE172&lt;=1200,IF(INDEX(对接源_01水果!$B$4:$B$1203,$AE172)=0,"",INDEX(对接源_01水果!$B$4:$B$1203,$AE172)),IF(INDEX(对接源_02物料!$B$4:$B$1203,$AE172-1200)=0,"",INDEX(对接源_02物料!$B$4:$B$1203,$AE172-1200))))</f>
        <v/>
      </c>
      <c r="B172" s="53" t="str">
        <f>IF($AE172="","",IF($AE172&lt;=1200,IF(INDEX(对接源_01水果!$E$4:$E$1203,$AE172)=0,"",INDEX(对接源_01水果!$E$4:$E$1203,$AE172)),IF(INDEX(对接源_02物料!$E$4:$E$1203,$AE172-1200)=0,"",INDEX(对接源_02物料!$E$4:$E$1203,$AE172-1200))))</f>
        <v/>
      </c>
      <c r="C172" s="106" t="str">
        <f>IF($AE172="","",IF($AE172&lt;=1200,IF(INDEX(对接源_01水果!$F$4:$F$1203,$AE172)=0,"",INDEX(对接源_01水果!$F$4:$F$1203,$AE172)),IF(INDEX(对接源_02物料!$F$4:$F$1203,$AE172-1200)=0,"",INDEX(对接源_02物料!$F$4:$F$1203,$AE172-1200))))</f>
        <v/>
      </c>
      <c r="D172" s="53" t="str">
        <f>IF($AE172="","",IF(IF($AE172&lt;=1200,IF(INDEX(对接源_01水果!$G$4:$G$1203,$AE172)=0,"",INDEX(对接源_01水果!$G$4:$G$1203,$AE172)),IF(INDEX(对接源_02物料!$G$4:$G$1203,$AE172-1200)=0,"",INDEX(对接源_02物料!$G$4:$G$1203,$AE172-1200)))="",IF($AE172&lt;=1200,IF(INDEX(对接源_01水果!$D$4:$D$1203,$AE172)=0,"",INDEX(对接源_01水果!$D$4:$D$1203,$AE172)),IF(INDEX(对接源_02物料!$D$4:$D$1203,$AE172-1200)=0,"",INDEX(对接源_02物料!$D$4:$D$1203,$AE172-1200))),IF($AE172&lt;=1200,IF(INDEX(对接源_01水果!$G$4:$G$1203,$AE172)=0,"",INDEX(对接源_01水果!$G$4:$G$1203,$AE172)),IF(INDEX(对接源_02物料!$G$4:$G$1203,$AE172-1200)=0,"",INDEX(对接源_02物料!$G$4:$G$1203,$AE172-1200)))))</f>
        <v/>
      </c>
      <c r="E172" s="55" t="str">
        <f>IF($AE172="","",IF($AE172&lt;=1200,IF(INDEX(对接源_01水果!$H$4:$H$1203,$AE172)=0,"",INDEX(对接源_01水果!$H$4:$H$1203,$AE172)),IF(INDEX(对接源_02物料!$H$4:$H$1203,$AE172-1200)=0,"",INDEX(对接源_02物料!$H$4:$H$1203,$AE172-1200))))</f>
        <v/>
      </c>
      <c r="F172" s="53" t="str">
        <f>IF($AE172="","",IF($AE172&lt;=1200,IF(INDEX(对接源_01水果!$I$4:$I$1203,$AE172)=0,"",INDEX(对接源_01水果!$I$4:$I$1203,$AE172)),IF(INDEX(对接源_02物料!$I$4:$I$1203,$AE172-1200)=0,"",INDEX(对接源_02物料!$I$4:$I$1203,$AE172-1200))))</f>
        <v/>
      </c>
      <c r="G172" s="55" t="str">
        <f>IF($AE172="","",IF(IF($AE172&lt;=1200,N(INDEX(对接源_01水果!$H$4:$H$1203,$AE172)),N(INDEX(对接源_02物料!$H$4:$H$1203,$AE172-1200)))=0,"",ROUND(IF($AE172&lt;=1200,N(INDEX(对接源_01水果!$K$4:$K$1203,$AE172)),N(INDEX(对接源_02物料!$K$4:$K$1203,$AE172-1200)))/IF($AE172&lt;=1200,N(INDEX(对接源_01水果!$H$4:$H$1203,$AE172)),N(INDEX(对接源_02物料!$H$4:$H$1203,$AE172-1200))),2)))</f>
        <v/>
      </c>
      <c r="H172" s="55" t="str">
        <f>IF($AE172="","",IF($AE172&lt;=1200,IF(INDEX(对接源_01水果!$K$4:$K$1203,$AE172)=0,"",INDEX(对接源_01水果!$K$4:$K$1203,$AE172)),IF(INDEX(对接源_02物料!$K$4:$K$1203,$AE172-1200)=0,"",INDEX(对接源_02物料!$K$4:$K$1203,$AE172-1200))))</f>
        <v/>
      </c>
      <c r="I172" s="53" t="str">
        <f>IF($AE172="","",IF($AE172&lt;=1200,IF(INDEX(对接源_01水果!$L$4:$L$1203,$AE172)=0,"",INDEX(对接源_01水果!$L$4:$L$1203,$AE172)),IF(INDEX(对接源_02物料!$L$4:$L$1203,$AE172-1200)=0,"",INDEX(对接源_02物料!$L$4:$L$1203,$AE172-1200))))</f>
        <v/>
      </c>
      <c r="J172" s="106" t="str">
        <f>IF($AE172="","",IF($AE172&lt;=1200,IF(INDEX(对接源_01水果!$M$4:$M$1203,$AE172)=0,"",INDEX(对接源_01水果!$M$4:$M$1203,$AE172)),IF(INDEX(对接源_02物料!$M$4:$M$1203,$AE172-1200)=0,"",INDEX(对接源_02物料!$M$4:$M$1203,$AE172-1200))))</f>
        <v/>
      </c>
      <c r="AE172" s="107" t="str">
        <f>IFERROR(MATCH(167,_自动清单!$AS$4:$AS$2403,0),"")</f>
        <v/>
      </c>
      <c r="AF172" s="107"/>
    </row>
    <row r="173" ht="18" customHeight="1" spans="1:32">
      <c r="A173" s="52" t="str">
        <f>IF($AE173="","",IF($AE173&lt;=1200,IF(INDEX(对接源_01水果!$B$4:$B$1203,$AE173)=0,"",INDEX(对接源_01水果!$B$4:$B$1203,$AE173)),IF(INDEX(对接源_02物料!$B$4:$B$1203,$AE173-1200)=0,"",INDEX(对接源_02物料!$B$4:$B$1203,$AE173-1200))))</f>
        <v/>
      </c>
      <c r="B173" s="53" t="str">
        <f>IF($AE173="","",IF($AE173&lt;=1200,IF(INDEX(对接源_01水果!$E$4:$E$1203,$AE173)=0,"",INDEX(对接源_01水果!$E$4:$E$1203,$AE173)),IF(INDEX(对接源_02物料!$E$4:$E$1203,$AE173-1200)=0,"",INDEX(对接源_02物料!$E$4:$E$1203,$AE173-1200))))</f>
        <v/>
      </c>
      <c r="C173" s="106" t="str">
        <f>IF($AE173="","",IF($AE173&lt;=1200,IF(INDEX(对接源_01水果!$F$4:$F$1203,$AE173)=0,"",INDEX(对接源_01水果!$F$4:$F$1203,$AE173)),IF(INDEX(对接源_02物料!$F$4:$F$1203,$AE173-1200)=0,"",INDEX(对接源_02物料!$F$4:$F$1203,$AE173-1200))))</f>
        <v/>
      </c>
      <c r="D173" s="53" t="str">
        <f>IF($AE173="","",IF(IF($AE173&lt;=1200,IF(INDEX(对接源_01水果!$G$4:$G$1203,$AE173)=0,"",INDEX(对接源_01水果!$G$4:$G$1203,$AE173)),IF(INDEX(对接源_02物料!$G$4:$G$1203,$AE173-1200)=0,"",INDEX(对接源_02物料!$G$4:$G$1203,$AE173-1200)))="",IF($AE173&lt;=1200,IF(INDEX(对接源_01水果!$D$4:$D$1203,$AE173)=0,"",INDEX(对接源_01水果!$D$4:$D$1203,$AE173)),IF(INDEX(对接源_02物料!$D$4:$D$1203,$AE173-1200)=0,"",INDEX(对接源_02物料!$D$4:$D$1203,$AE173-1200))),IF($AE173&lt;=1200,IF(INDEX(对接源_01水果!$G$4:$G$1203,$AE173)=0,"",INDEX(对接源_01水果!$G$4:$G$1203,$AE173)),IF(INDEX(对接源_02物料!$G$4:$G$1203,$AE173-1200)=0,"",INDEX(对接源_02物料!$G$4:$G$1203,$AE173-1200)))))</f>
        <v/>
      </c>
      <c r="E173" s="55" t="str">
        <f>IF($AE173="","",IF($AE173&lt;=1200,IF(INDEX(对接源_01水果!$H$4:$H$1203,$AE173)=0,"",INDEX(对接源_01水果!$H$4:$H$1203,$AE173)),IF(INDEX(对接源_02物料!$H$4:$H$1203,$AE173-1200)=0,"",INDEX(对接源_02物料!$H$4:$H$1203,$AE173-1200))))</f>
        <v/>
      </c>
      <c r="F173" s="53" t="str">
        <f>IF($AE173="","",IF($AE173&lt;=1200,IF(INDEX(对接源_01水果!$I$4:$I$1203,$AE173)=0,"",INDEX(对接源_01水果!$I$4:$I$1203,$AE173)),IF(INDEX(对接源_02物料!$I$4:$I$1203,$AE173-1200)=0,"",INDEX(对接源_02物料!$I$4:$I$1203,$AE173-1200))))</f>
        <v/>
      </c>
      <c r="G173" s="55" t="str">
        <f>IF($AE173="","",IF(IF($AE173&lt;=1200,N(INDEX(对接源_01水果!$H$4:$H$1203,$AE173)),N(INDEX(对接源_02物料!$H$4:$H$1203,$AE173-1200)))=0,"",ROUND(IF($AE173&lt;=1200,N(INDEX(对接源_01水果!$K$4:$K$1203,$AE173)),N(INDEX(对接源_02物料!$K$4:$K$1203,$AE173-1200)))/IF($AE173&lt;=1200,N(INDEX(对接源_01水果!$H$4:$H$1203,$AE173)),N(INDEX(对接源_02物料!$H$4:$H$1203,$AE173-1200))),2)))</f>
        <v/>
      </c>
      <c r="H173" s="55" t="str">
        <f>IF($AE173="","",IF($AE173&lt;=1200,IF(INDEX(对接源_01水果!$K$4:$K$1203,$AE173)=0,"",INDEX(对接源_01水果!$K$4:$K$1203,$AE173)),IF(INDEX(对接源_02物料!$K$4:$K$1203,$AE173-1200)=0,"",INDEX(对接源_02物料!$K$4:$K$1203,$AE173-1200))))</f>
        <v/>
      </c>
      <c r="I173" s="53" t="str">
        <f>IF($AE173="","",IF($AE173&lt;=1200,IF(INDEX(对接源_01水果!$L$4:$L$1203,$AE173)=0,"",INDEX(对接源_01水果!$L$4:$L$1203,$AE173)),IF(INDEX(对接源_02物料!$L$4:$L$1203,$AE173-1200)=0,"",INDEX(对接源_02物料!$L$4:$L$1203,$AE173-1200))))</f>
        <v/>
      </c>
      <c r="J173" s="106" t="str">
        <f>IF($AE173="","",IF($AE173&lt;=1200,IF(INDEX(对接源_01水果!$M$4:$M$1203,$AE173)=0,"",INDEX(对接源_01水果!$M$4:$M$1203,$AE173)),IF(INDEX(对接源_02物料!$M$4:$M$1203,$AE173-1200)=0,"",INDEX(对接源_02物料!$M$4:$M$1203,$AE173-1200))))</f>
        <v/>
      </c>
      <c r="AE173" s="107" t="str">
        <f>IFERROR(MATCH(168,_自动清单!$AS$4:$AS$2403,0),"")</f>
        <v/>
      </c>
      <c r="AF173" s="107"/>
    </row>
    <row r="174" ht="18" customHeight="1" spans="1:32">
      <c r="A174" s="52" t="str">
        <f>IF($AE174="","",IF($AE174&lt;=1200,IF(INDEX(对接源_01水果!$B$4:$B$1203,$AE174)=0,"",INDEX(对接源_01水果!$B$4:$B$1203,$AE174)),IF(INDEX(对接源_02物料!$B$4:$B$1203,$AE174-1200)=0,"",INDEX(对接源_02物料!$B$4:$B$1203,$AE174-1200))))</f>
        <v/>
      </c>
      <c r="B174" s="53" t="str">
        <f>IF($AE174="","",IF($AE174&lt;=1200,IF(INDEX(对接源_01水果!$E$4:$E$1203,$AE174)=0,"",INDEX(对接源_01水果!$E$4:$E$1203,$AE174)),IF(INDEX(对接源_02物料!$E$4:$E$1203,$AE174-1200)=0,"",INDEX(对接源_02物料!$E$4:$E$1203,$AE174-1200))))</f>
        <v/>
      </c>
      <c r="C174" s="106" t="str">
        <f>IF($AE174="","",IF($AE174&lt;=1200,IF(INDEX(对接源_01水果!$F$4:$F$1203,$AE174)=0,"",INDEX(对接源_01水果!$F$4:$F$1203,$AE174)),IF(INDEX(对接源_02物料!$F$4:$F$1203,$AE174-1200)=0,"",INDEX(对接源_02物料!$F$4:$F$1203,$AE174-1200))))</f>
        <v/>
      </c>
      <c r="D174" s="53" t="str">
        <f>IF($AE174="","",IF(IF($AE174&lt;=1200,IF(INDEX(对接源_01水果!$G$4:$G$1203,$AE174)=0,"",INDEX(对接源_01水果!$G$4:$G$1203,$AE174)),IF(INDEX(对接源_02物料!$G$4:$G$1203,$AE174-1200)=0,"",INDEX(对接源_02物料!$G$4:$G$1203,$AE174-1200)))="",IF($AE174&lt;=1200,IF(INDEX(对接源_01水果!$D$4:$D$1203,$AE174)=0,"",INDEX(对接源_01水果!$D$4:$D$1203,$AE174)),IF(INDEX(对接源_02物料!$D$4:$D$1203,$AE174-1200)=0,"",INDEX(对接源_02物料!$D$4:$D$1203,$AE174-1200))),IF($AE174&lt;=1200,IF(INDEX(对接源_01水果!$G$4:$G$1203,$AE174)=0,"",INDEX(对接源_01水果!$G$4:$G$1203,$AE174)),IF(INDEX(对接源_02物料!$G$4:$G$1203,$AE174-1200)=0,"",INDEX(对接源_02物料!$G$4:$G$1203,$AE174-1200)))))</f>
        <v/>
      </c>
      <c r="E174" s="55" t="str">
        <f>IF($AE174="","",IF($AE174&lt;=1200,IF(INDEX(对接源_01水果!$H$4:$H$1203,$AE174)=0,"",INDEX(对接源_01水果!$H$4:$H$1203,$AE174)),IF(INDEX(对接源_02物料!$H$4:$H$1203,$AE174-1200)=0,"",INDEX(对接源_02物料!$H$4:$H$1203,$AE174-1200))))</f>
        <v/>
      </c>
      <c r="F174" s="53" t="str">
        <f>IF($AE174="","",IF($AE174&lt;=1200,IF(INDEX(对接源_01水果!$I$4:$I$1203,$AE174)=0,"",INDEX(对接源_01水果!$I$4:$I$1203,$AE174)),IF(INDEX(对接源_02物料!$I$4:$I$1203,$AE174-1200)=0,"",INDEX(对接源_02物料!$I$4:$I$1203,$AE174-1200))))</f>
        <v/>
      </c>
      <c r="G174" s="55" t="str">
        <f>IF($AE174="","",IF(IF($AE174&lt;=1200,N(INDEX(对接源_01水果!$H$4:$H$1203,$AE174)),N(INDEX(对接源_02物料!$H$4:$H$1203,$AE174-1200)))=0,"",ROUND(IF($AE174&lt;=1200,N(INDEX(对接源_01水果!$K$4:$K$1203,$AE174)),N(INDEX(对接源_02物料!$K$4:$K$1203,$AE174-1200)))/IF($AE174&lt;=1200,N(INDEX(对接源_01水果!$H$4:$H$1203,$AE174)),N(INDEX(对接源_02物料!$H$4:$H$1203,$AE174-1200))),2)))</f>
        <v/>
      </c>
      <c r="H174" s="55" t="str">
        <f>IF($AE174="","",IF($AE174&lt;=1200,IF(INDEX(对接源_01水果!$K$4:$K$1203,$AE174)=0,"",INDEX(对接源_01水果!$K$4:$K$1203,$AE174)),IF(INDEX(对接源_02物料!$K$4:$K$1203,$AE174-1200)=0,"",INDEX(对接源_02物料!$K$4:$K$1203,$AE174-1200))))</f>
        <v/>
      </c>
      <c r="I174" s="53" t="str">
        <f>IF($AE174="","",IF($AE174&lt;=1200,IF(INDEX(对接源_01水果!$L$4:$L$1203,$AE174)=0,"",INDEX(对接源_01水果!$L$4:$L$1203,$AE174)),IF(INDEX(对接源_02物料!$L$4:$L$1203,$AE174-1200)=0,"",INDEX(对接源_02物料!$L$4:$L$1203,$AE174-1200))))</f>
        <v/>
      </c>
      <c r="J174" s="106" t="str">
        <f>IF($AE174="","",IF($AE174&lt;=1200,IF(INDEX(对接源_01水果!$M$4:$M$1203,$AE174)=0,"",INDEX(对接源_01水果!$M$4:$M$1203,$AE174)),IF(INDEX(对接源_02物料!$M$4:$M$1203,$AE174-1200)=0,"",INDEX(对接源_02物料!$M$4:$M$1203,$AE174-1200))))</f>
        <v/>
      </c>
      <c r="AE174" s="107" t="str">
        <f>IFERROR(MATCH(169,_自动清单!$AS$4:$AS$2403,0),"")</f>
        <v/>
      </c>
      <c r="AF174" s="107"/>
    </row>
    <row r="175" ht="18" customHeight="1" spans="1:32">
      <c r="A175" s="52" t="str">
        <f>IF($AE175="","",IF($AE175&lt;=1200,IF(INDEX(对接源_01水果!$B$4:$B$1203,$AE175)=0,"",INDEX(对接源_01水果!$B$4:$B$1203,$AE175)),IF(INDEX(对接源_02物料!$B$4:$B$1203,$AE175-1200)=0,"",INDEX(对接源_02物料!$B$4:$B$1203,$AE175-1200))))</f>
        <v/>
      </c>
      <c r="B175" s="53" t="str">
        <f>IF($AE175="","",IF($AE175&lt;=1200,IF(INDEX(对接源_01水果!$E$4:$E$1203,$AE175)=0,"",INDEX(对接源_01水果!$E$4:$E$1203,$AE175)),IF(INDEX(对接源_02物料!$E$4:$E$1203,$AE175-1200)=0,"",INDEX(对接源_02物料!$E$4:$E$1203,$AE175-1200))))</f>
        <v/>
      </c>
      <c r="C175" s="106" t="str">
        <f>IF($AE175="","",IF($AE175&lt;=1200,IF(INDEX(对接源_01水果!$F$4:$F$1203,$AE175)=0,"",INDEX(对接源_01水果!$F$4:$F$1203,$AE175)),IF(INDEX(对接源_02物料!$F$4:$F$1203,$AE175-1200)=0,"",INDEX(对接源_02物料!$F$4:$F$1203,$AE175-1200))))</f>
        <v/>
      </c>
      <c r="D175" s="53" t="str">
        <f>IF($AE175="","",IF(IF($AE175&lt;=1200,IF(INDEX(对接源_01水果!$G$4:$G$1203,$AE175)=0,"",INDEX(对接源_01水果!$G$4:$G$1203,$AE175)),IF(INDEX(对接源_02物料!$G$4:$G$1203,$AE175-1200)=0,"",INDEX(对接源_02物料!$G$4:$G$1203,$AE175-1200)))="",IF($AE175&lt;=1200,IF(INDEX(对接源_01水果!$D$4:$D$1203,$AE175)=0,"",INDEX(对接源_01水果!$D$4:$D$1203,$AE175)),IF(INDEX(对接源_02物料!$D$4:$D$1203,$AE175-1200)=0,"",INDEX(对接源_02物料!$D$4:$D$1203,$AE175-1200))),IF($AE175&lt;=1200,IF(INDEX(对接源_01水果!$G$4:$G$1203,$AE175)=0,"",INDEX(对接源_01水果!$G$4:$G$1203,$AE175)),IF(INDEX(对接源_02物料!$G$4:$G$1203,$AE175-1200)=0,"",INDEX(对接源_02物料!$G$4:$G$1203,$AE175-1200)))))</f>
        <v/>
      </c>
      <c r="E175" s="55" t="str">
        <f>IF($AE175="","",IF($AE175&lt;=1200,IF(INDEX(对接源_01水果!$H$4:$H$1203,$AE175)=0,"",INDEX(对接源_01水果!$H$4:$H$1203,$AE175)),IF(INDEX(对接源_02物料!$H$4:$H$1203,$AE175-1200)=0,"",INDEX(对接源_02物料!$H$4:$H$1203,$AE175-1200))))</f>
        <v/>
      </c>
      <c r="F175" s="53" t="str">
        <f>IF($AE175="","",IF($AE175&lt;=1200,IF(INDEX(对接源_01水果!$I$4:$I$1203,$AE175)=0,"",INDEX(对接源_01水果!$I$4:$I$1203,$AE175)),IF(INDEX(对接源_02物料!$I$4:$I$1203,$AE175-1200)=0,"",INDEX(对接源_02物料!$I$4:$I$1203,$AE175-1200))))</f>
        <v/>
      </c>
      <c r="G175" s="55" t="str">
        <f>IF($AE175="","",IF(IF($AE175&lt;=1200,N(INDEX(对接源_01水果!$H$4:$H$1203,$AE175)),N(INDEX(对接源_02物料!$H$4:$H$1203,$AE175-1200)))=0,"",ROUND(IF($AE175&lt;=1200,N(INDEX(对接源_01水果!$K$4:$K$1203,$AE175)),N(INDEX(对接源_02物料!$K$4:$K$1203,$AE175-1200)))/IF($AE175&lt;=1200,N(INDEX(对接源_01水果!$H$4:$H$1203,$AE175)),N(INDEX(对接源_02物料!$H$4:$H$1203,$AE175-1200))),2)))</f>
        <v/>
      </c>
      <c r="H175" s="55" t="str">
        <f>IF($AE175="","",IF($AE175&lt;=1200,IF(INDEX(对接源_01水果!$K$4:$K$1203,$AE175)=0,"",INDEX(对接源_01水果!$K$4:$K$1203,$AE175)),IF(INDEX(对接源_02物料!$K$4:$K$1203,$AE175-1200)=0,"",INDEX(对接源_02物料!$K$4:$K$1203,$AE175-1200))))</f>
        <v/>
      </c>
      <c r="I175" s="53" t="str">
        <f>IF($AE175="","",IF($AE175&lt;=1200,IF(INDEX(对接源_01水果!$L$4:$L$1203,$AE175)=0,"",INDEX(对接源_01水果!$L$4:$L$1203,$AE175)),IF(INDEX(对接源_02物料!$L$4:$L$1203,$AE175-1200)=0,"",INDEX(对接源_02物料!$L$4:$L$1203,$AE175-1200))))</f>
        <v/>
      </c>
      <c r="J175" s="106" t="str">
        <f>IF($AE175="","",IF($AE175&lt;=1200,IF(INDEX(对接源_01水果!$M$4:$M$1203,$AE175)=0,"",INDEX(对接源_01水果!$M$4:$M$1203,$AE175)),IF(INDEX(对接源_02物料!$M$4:$M$1203,$AE175-1200)=0,"",INDEX(对接源_02物料!$M$4:$M$1203,$AE175-1200))))</f>
        <v/>
      </c>
      <c r="AE175" s="107" t="str">
        <f>IFERROR(MATCH(170,_自动清单!$AS$4:$AS$2403,0),"")</f>
        <v/>
      </c>
      <c r="AF175" s="107"/>
    </row>
    <row r="176" ht="18" customHeight="1" spans="1:32">
      <c r="A176" s="52" t="str">
        <f>IF($AE176="","",IF($AE176&lt;=1200,IF(INDEX(对接源_01水果!$B$4:$B$1203,$AE176)=0,"",INDEX(对接源_01水果!$B$4:$B$1203,$AE176)),IF(INDEX(对接源_02物料!$B$4:$B$1203,$AE176-1200)=0,"",INDEX(对接源_02物料!$B$4:$B$1203,$AE176-1200))))</f>
        <v/>
      </c>
      <c r="B176" s="53" t="str">
        <f>IF($AE176="","",IF($AE176&lt;=1200,IF(INDEX(对接源_01水果!$E$4:$E$1203,$AE176)=0,"",INDEX(对接源_01水果!$E$4:$E$1203,$AE176)),IF(INDEX(对接源_02物料!$E$4:$E$1203,$AE176-1200)=0,"",INDEX(对接源_02物料!$E$4:$E$1203,$AE176-1200))))</f>
        <v/>
      </c>
      <c r="C176" s="106" t="str">
        <f>IF($AE176="","",IF($AE176&lt;=1200,IF(INDEX(对接源_01水果!$F$4:$F$1203,$AE176)=0,"",INDEX(对接源_01水果!$F$4:$F$1203,$AE176)),IF(INDEX(对接源_02物料!$F$4:$F$1203,$AE176-1200)=0,"",INDEX(对接源_02物料!$F$4:$F$1203,$AE176-1200))))</f>
        <v/>
      </c>
      <c r="D176" s="53" t="str">
        <f>IF($AE176="","",IF(IF($AE176&lt;=1200,IF(INDEX(对接源_01水果!$G$4:$G$1203,$AE176)=0,"",INDEX(对接源_01水果!$G$4:$G$1203,$AE176)),IF(INDEX(对接源_02物料!$G$4:$G$1203,$AE176-1200)=0,"",INDEX(对接源_02物料!$G$4:$G$1203,$AE176-1200)))="",IF($AE176&lt;=1200,IF(INDEX(对接源_01水果!$D$4:$D$1203,$AE176)=0,"",INDEX(对接源_01水果!$D$4:$D$1203,$AE176)),IF(INDEX(对接源_02物料!$D$4:$D$1203,$AE176-1200)=0,"",INDEX(对接源_02物料!$D$4:$D$1203,$AE176-1200))),IF($AE176&lt;=1200,IF(INDEX(对接源_01水果!$G$4:$G$1203,$AE176)=0,"",INDEX(对接源_01水果!$G$4:$G$1203,$AE176)),IF(INDEX(对接源_02物料!$G$4:$G$1203,$AE176-1200)=0,"",INDEX(对接源_02物料!$G$4:$G$1203,$AE176-1200)))))</f>
        <v/>
      </c>
      <c r="E176" s="55" t="str">
        <f>IF($AE176="","",IF($AE176&lt;=1200,IF(INDEX(对接源_01水果!$H$4:$H$1203,$AE176)=0,"",INDEX(对接源_01水果!$H$4:$H$1203,$AE176)),IF(INDEX(对接源_02物料!$H$4:$H$1203,$AE176-1200)=0,"",INDEX(对接源_02物料!$H$4:$H$1203,$AE176-1200))))</f>
        <v/>
      </c>
      <c r="F176" s="53" t="str">
        <f>IF($AE176="","",IF($AE176&lt;=1200,IF(INDEX(对接源_01水果!$I$4:$I$1203,$AE176)=0,"",INDEX(对接源_01水果!$I$4:$I$1203,$AE176)),IF(INDEX(对接源_02物料!$I$4:$I$1203,$AE176-1200)=0,"",INDEX(对接源_02物料!$I$4:$I$1203,$AE176-1200))))</f>
        <v/>
      </c>
      <c r="G176" s="55" t="str">
        <f>IF($AE176="","",IF(IF($AE176&lt;=1200,N(INDEX(对接源_01水果!$H$4:$H$1203,$AE176)),N(INDEX(对接源_02物料!$H$4:$H$1203,$AE176-1200)))=0,"",ROUND(IF($AE176&lt;=1200,N(INDEX(对接源_01水果!$K$4:$K$1203,$AE176)),N(INDEX(对接源_02物料!$K$4:$K$1203,$AE176-1200)))/IF($AE176&lt;=1200,N(INDEX(对接源_01水果!$H$4:$H$1203,$AE176)),N(INDEX(对接源_02物料!$H$4:$H$1203,$AE176-1200))),2)))</f>
        <v/>
      </c>
      <c r="H176" s="55" t="str">
        <f>IF($AE176="","",IF($AE176&lt;=1200,IF(INDEX(对接源_01水果!$K$4:$K$1203,$AE176)=0,"",INDEX(对接源_01水果!$K$4:$K$1203,$AE176)),IF(INDEX(对接源_02物料!$K$4:$K$1203,$AE176-1200)=0,"",INDEX(对接源_02物料!$K$4:$K$1203,$AE176-1200))))</f>
        <v/>
      </c>
      <c r="I176" s="53" t="str">
        <f>IF($AE176="","",IF($AE176&lt;=1200,IF(INDEX(对接源_01水果!$L$4:$L$1203,$AE176)=0,"",INDEX(对接源_01水果!$L$4:$L$1203,$AE176)),IF(INDEX(对接源_02物料!$L$4:$L$1203,$AE176-1200)=0,"",INDEX(对接源_02物料!$L$4:$L$1203,$AE176-1200))))</f>
        <v/>
      </c>
      <c r="J176" s="106" t="str">
        <f>IF($AE176="","",IF($AE176&lt;=1200,IF(INDEX(对接源_01水果!$M$4:$M$1203,$AE176)=0,"",INDEX(对接源_01水果!$M$4:$M$1203,$AE176)),IF(INDEX(对接源_02物料!$M$4:$M$1203,$AE176-1200)=0,"",INDEX(对接源_02物料!$M$4:$M$1203,$AE176-1200))))</f>
        <v/>
      </c>
      <c r="AE176" s="107" t="str">
        <f>IFERROR(MATCH(171,_自动清单!$AS$4:$AS$2403,0),"")</f>
        <v/>
      </c>
      <c r="AF176" s="107"/>
    </row>
    <row r="177" ht="18" customHeight="1" spans="1:32">
      <c r="A177" s="52" t="str">
        <f>IF($AE177="","",IF($AE177&lt;=1200,IF(INDEX(对接源_01水果!$B$4:$B$1203,$AE177)=0,"",INDEX(对接源_01水果!$B$4:$B$1203,$AE177)),IF(INDEX(对接源_02物料!$B$4:$B$1203,$AE177-1200)=0,"",INDEX(对接源_02物料!$B$4:$B$1203,$AE177-1200))))</f>
        <v/>
      </c>
      <c r="B177" s="53" t="str">
        <f>IF($AE177="","",IF($AE177&lt;=1200,IF(INDEX(对接源_01水果!$E$4:$E$1203,$AE177)=0,"",INDEX(对接源_01水果!$E$4:$E$1203,$AE177)),IF(INDEX(对接源_02物料!$E$4:$E$1203,$AE177-1200)=0,"",INDEX(对接源_02物料!$E$4:$E$1203,$AE177-1200))))</f>
        <v/>
      </c>
      <c r="C177" s="106" t="str">
        <f>IF($AE177="","",IF($AE177&lt;=1200,IF(INDEX(对接源_01水果!$F$4:$F$1203,$AE177)=0,"",INDEX(对接源_01水果!$F$4:$F$1203,$AE177)),IF(INDEX(对接源_02物料!$F$4:$F$1203,$AE177-1200)=0,"",INDEX(对接源_02物料!$F$4:$F$1203,$AE177-1200))))</f>
        <v/>
      </c>
      <c r="D177" s="53" t="str">
        <f>IF($AE177="","",IF(IF($AE177&lt;=1200,IF(INDEX(对接源_01水果!$G$4:$G$1203,$AE177)=0,"",INDEX(对接源_01水果!$G$4:$G$1203,$AE177)),IF(INDEX(对接源_02物料!$G$4:$G$1203,$AE177-1200)=0,"",INDEX(对接源_02物料!$G$4:$G$1203,$AE177-1200)))="",IF($AE177&lt;=1200,IF(INDEX(对接源_01水果!$D$4:$D$1203,$AE177)=0,"",INDEX(对接源_01水果!$D$4:$D$1203,$AE177)),IF(INDEX(对接源_02物料!$D$4:$D$1203,$AE177-1200)=0,"",INDEX(对接源_02物料!$D$4:$D$1203,$AE177-1200))),IF($AE177&lt;=1200,IF(INDEX(对接源_01水果!$G$4:$G$1203,$AE177)=0,"",INDEX(对接源_01水果!$G$4:$G$1203,$AE177)),IF(INDEX(对接源_02物料!$G$4:$G$1203,$AE177-1200)=0,"",INDEX(对接源_02物料!$G$4:$G$1203,$AE177-1200)))))</f>
        <v/>
      </c>
      <c r="E177" s="55" t="str">
        <f>IF($AE177="","",IF($AE177&lt;=1200,IF(INDEX(对接源_01水果!$H$4:$H$1203,$AE177)=0,"",INDEX(对接源_01水果!$H$4:$H$1203,$AE177)),IF(INDEX(对接源_02物料!$H$4:$H$1203,$AE177-1200)=0,"",INDEX(对接源_02物料!$H$4:$H$1203,$AE177-1200))))</f>
        <v/>
      </c>
      <c r="F177" s="53" t="str">
        <f>IF($AE177="","",IF($AE177&lt;=1200,IF(INDEX(对接源_01水果!$I$4:$I$1203,$AE177)=0,"",INDEX(对接源_01水果!$I$4:$I$1203,$AE177)),IF(INDEX(对接源_02物料!$I$4:$I$1203,$AE177-1200)=0,"",INDEX(对接源_02物料!$I$4:$I$1203,$AE177-1200))))</f>
        <v/>
      </c>
      <c r="G177" s="55" t="str">
        <f>IF($AE177="","",IF(IF($AE177&lt;=1200,N(INDEX(对接源_01水果!$H$4:$H$1203,$AE177)),N(INDEX(对接源_02物料!$H$4:$H$1203,$AE177-1200)))=0,"",ROUND(IF($AE177&lt;=1200,N(INDEX(对接源_01水果!$K$4:$K$1203,$AE177)),N(INDEX(对接源_02物料!$K$4:$K$1203,$AE177-1200)))/IF($AE177&lt;=1200,N(INDEX(对接源_01水果!$H$4:$H$1203,$AE177)),N(INDEX(对接源_02物料!$H$4:$H$1203,$AE177-1200))),2)))</f>
        <v/>
      </c>
      <c r="H177" s="55" t="str">
        <f>IF($AE177="","",IF($AE177&lt;=1200,IF(INDEX(对接源_01水果!$K$4:$K$1203,$AE177)=0,"",INDEX(对接源_01水果!$K$4:$K$1203,$AE177)),IF(INDEX(对接源_02物料!$K$4:$K$1203,$AE177-1200)=0,"",INDEX(对接源_02物料!$K$4:$K$1203,$AE177-1200))))</f>
        <v/>
      </c>
      <c r="I177" s="53" t="str">
        <f>IF($AE177="","",IF($AE177&lt;=1200,IF(INDEX(对接源_01水果!$L$4:$L$1203,$AE177)=0,"",INDEX(对接源_01水果!$L$4:$L$1203,$AE177)),IF(INDEX(对接源_02物料!$L$4:$L$1203,$AE177-1200)=0,"",INDEX(对接源_02物料!$L$4:$L$1203,$AE177-1200))))</f>
        <v/>
      </c>
      <c r="J177" s="106" t="str">
        <f>IF($AE177="","",IF($AE177&lt;=1200,IF(INDEX(对接源_01水果!$M$4:$M$1203,$AE177)=0,"",INDEX(对接源_01水果!$M$4:$M$1203,$AE177)),IF(INDEX(对接源_02物料!$M$4:$M$1203,$AE177-1200)=0,"",INDEX(对接源_02物料!$M$4:$M$1203,$AE177-1200))))</f>
        <v/>
      </c>
      <c r="AE177" s="107" t="str">
        <f>IFERROR(MATCH(172,_自动清单!$AS$4:$AS$2403,0),"")</f>
        <v/>
      </c>
      <c r="AF177" s="107"/>
    </row>
    <row r="178" ht="18" customHeight="1" spans="1:32">
      <c r="A178" s="52" t="str">
        <f>IF($AE178="","",IF($AE178&lt;=1200,IF(INDEX(对接源_01水果!$B$4:$B$1203,$AE178)=0,"",INDEX(对接源_01水果!$B$4:$B$1203,$AE178)),IF(INDEX(对接源_02物料!$B$4:$B$1203,$AE178-1200)=0,"",INDEX(对接源_02物料!$B$4:$B$1203,$AE178-1200))))</f>
        <v/>
      </c>
      <c r="B178" s="53" t="str">
        <f>IF($AE178="","",IF($AE178&lt;=1200,IF(INDEX(对接源_01水果!$E$4:$E$1203,$AE178)=0,"",INDEX(对接源_01水果!$E$4:$E$1203,$AE178)),IF(INDEX(对接源_02物料!$E$4:$E$1203,$AE178-1200)=0,"",INDEX(对接源_02物料!$E$4:$E$1203,$AE178-1200))))</f>
        <v/>
      </c>
      <c r="C178" s="106" t="str">
        <f>IF($AE178="","",IF($AE178&lt;=1200,IF(INDEX(对接源_01水果!$F$4:$F$1203,$AE178)=0,"",INDEX(对接源_01水果!$F$4:$F$1203,$AE178)),IF(INDEX(对接源_02物料!$F$4:$F$1203,$AE178-1200)=0,"",INDEX(对接源_02物料!$F$4:$F$1203,$AE178-1200))))</f>
        <v/>
      </c>
      <c r="D178" s="53" t="str">
        <f>IF($AE178="","",IF(IF($AE178&lt;=1200,IF(INDEX(对接源_01水果!$G$4:$G$1203,$AE178)=0,"",INDEX(对接源_01水果!$G$4:$G$1203,$AE178)),IF(INDEX(对接源_02物料!$G$4:$G$1203,$AE178-1200)=0,"",INDEX(对接源_02物料!$G$4:$G$1203,$AE178-1200)))="",IF($AE178&lt;=1200,IF(INDEX(对接源_01水果!$D$4:$D$1203,$AE178)=0,"",INDEX(对接源_01水果!$D$4:$D$1203,$AE178)),IF(INDEX(对接源_02物料!$D$4:$D$1203,$AE178-1200)=0,"",INDEX(对接源_02物料!$D$4:$D$1203,$AE178-1200))),IF($AE178&lt;=1200,IF(INDEX(对接源_01水果!$G$4:$G$1203,$AE178)=0,"",INDEX(对接源_01水果!$G$4:$G$1203,$AE178)),IF(INDEX(对接源_02物料!$G$4:$G$1203,$AE178-1200)=0,"",INDEX(对接源_02物料!$G$4:$G$1203,$AE178-1200)))))</f>
        <v/>
      </c>
      <c r="E178" s="55" t="str">
        <f>IF($AE178="","",IF($AE178&lt;=1200,IF(INDEX(对接源_01水果!$H$4:$H$1203,$AE178)=0,"",INDEX(对接源_01水果!$H$4:$H$1203,$AE178)),IF(INDEX(对接源_02物料!$H$4:$H$1203,$AE178-1200)=0,"",INDEX(对接源_02物料!$H$4:$H$1203,$AE178-1200))))</f>
        <v/>
      </c>
      <c r="F178" s="53" t="str">
        <f>IF($AE178="","",IF($AE178&lt;=1200,IF(INDEX(对接源_01水果!$I$4:$I$1203,$AE178)=0,"",INDEX(对接源_01水果!$I$4:$I$1203,$AE178)),IF(INDEX(对接源_02物料!$I$4:$I$1203,$AE178-1200)=0,"",INDEX(对接源_02物料!$I$4:$I$1203,$AE178-1200))))</f>
        <v/>
      </c>
      <c r="G178" s="55" t="str">
        <f>IF($AE178="","",IF(IF($AE178&lt;=1200,N(INDEX(对接源_01水果!$H$4:$H$1203,$AE178)),N(INDEX(对接源_02物料!$H$4:$H$1203,$AE178-1200)))=0,"",ROUND(IF($AE178&lt;=1200,N(INDEX(对接源_01水果!$K$4:$K$1203,$AE178)),N(INDEX(对接源_02物料!$K$4:$K$1203,$AE178-1200)))/IF($AE178&lt;=1200,N(INDEX(对接源_01水果!$H$4:$H$1203,$AE178)),N(INDEX(对接源_02物料!$H$4:$H$1203,$AE178-1200))),2)))</f>
        <v/>
      </c>
      <c r="H178" s="55" t="str">
        <f>IF($AE178="","",IF($AE178&lt;=1200,IF(INDEX(对接源_01水果!$K$4:$K$1203,$AE178)=0,"",INDEX(对接源_01水果!$K$4:$K$1203,$AE178)),IF(INDEX(对接源_02物料!$K$4:$K$1203,$AE178-1200)=0,"",INDEX(对接源_02物料!$K$4:$K$1203,$AE178-1200))))</f>
        <v/>
      </c>
      <c r="I178" s="53" t="str">
        <f>IF($AE178="","",IF($AE178&lt;=1200,IF(INDEX(对接源_01水果!$L$4:$L$1203,$AE178)=0,"",INDEX(对接源_01水果!$L$4:$L$1203,$AE178)),IF(INDEX(对接源_02物料!$L$4:$L$1203,$AE178-1200)=0,"",INDEX(对接源_02物料!$L$4:$L$1203,$AE178-1200))))</f>
        <v/>
      </c>
      <c r="J178" s="106" t="str">
        <f>IF($AE178="","",IF($AE178&lt;=1200,IF(INDEX(对接源_01水果!$M$4:$M$1203,$AE178)=0,"",INDEX(对接源_01水果!$M$4:$M$1203,$AE178)),IF(INDEX(对接源_02物料!$M$4:$M$1203,$AE178-1200)=0,"",INDEX(对接源_02物料!$M$4:$M$1203,$AE178-1200))))</f>
        <v/>
      </c>
      <c r="AE178" s="107" t="str">
        <f>IFERROR(MATCH(173,_自动清单!$AS$4:$AS$2403,0),"")</f>
        <v/>
      </c>
      <c r="AF178" s="107"/>
    </row>
    <row r="179" ht="18" customHeight="1" spans="1:32">
      <c r="A179" s="52" t="str">
        <f>IF($AE179="","",IF($AE179&lt;=1200,IF(INDEX(对接源_01水果!$B$4:$B$1203,$AE179)=0,"",INDEX(对接源_01水果!$B$4:$B$1203,$AE179)),IF(INDEX(对接源_02物料!$B$4:$B$1203,$AE179-1200)=0,"",INDEX(对接源_02物料!$B$4:$B$1203,$AE179-1200))))</f>
        <v/>
      </c>
      <c r="B179" s="53" t="str">
        <f>IF($AE179="","",IF($AE179&lt;=1200,IF(INDEX(对接源_01水果!$E$4:$E$1203,$AE179)=0,"",INDEX(对接源_01水果!$E$4:$E$1203,$AE179)),IF(INDEX(对接源_02物料!$E$4:$E$1203,$AE179-1200)=0,"",INDEX(对接源_02物料!$E$4:$E$1203,$AE179-1200))))</f>
        <v/>
      </c>
      <c r="C179" s="106" t="str">
        <f>IF($AE179="","",IF($AE179&lt;=1200,IF(INDEX(对接源_01水果!$F$4:$F$1203,$AE179)=0,"",INDEX(对接源_01水果!$F$4:$F$1203,$AE179)),IF(INDEX(对接源_02物料!$F$4:$F$1203,$AE179-1200)=0,"",INDEX(对接源_02物料!$F$4:$F$1203,$AE179-1200))))</f>
        <v/>
      </c>
      <c r="D179" s="53" t="str">
        <f>IF($AE179="","",IF(IF($AE179&lt;=1200,IF(INDEX(对接源_01水果!$G$4:$G$1203,$AE179)=0,"",INDEX(对接源_01水果!$G$4:$G$1203,$AE179)),IF(INDEX(对接源_02物料!$G$4:$G$1203,$AE179-1200)=0,"",INDEX(对接源_02物料!$G$4:$G$1203,$AE179-1200)))="",IF($AE179&lt;=1200,IF(INDEX(对接源_01水果!$D$4:$D$1203,$AE179)=0,"",INDEX(对接源_01水果!$D$4:$D$1203,$AE179)),IF(INDEX(对接源_02物料!$D$4:$D$1203,$AE179-1200)=0,"",INDEX(对接源_02物料!$D$4:$D$1203,$AE179-1200))),IF($AE179&lt;=1200,IF(INDEX(对接源_01水果!$G$4:$G$1203,$AE179)=0,"",INDEX(对接源_01水果!$G$4:$G$1203,$AE179)),IF(INDEX(对接源_02物料!$G$4:$G$1203,$AE179-1200)=0,"",INDEX(对接源_02物料!$G$4:$G$1203,$AE179-1200)))))</f>
        <v/>
      </c>
      <c r="E179" s="55" t="str">
        <f>IF($AE179="","",IF($AE179&lt;=1200,IF(INDEX(对接源_01水果!$H$4:$H$1203,$AE179)=0,"",INDEX(对接源_01水果!$H$4:$H$1203,$AE179)),IF(INDEX(对接源_02物料!$H$4:$H$1203,$AE179-1200)=0,"",INDEX(对接源_02物料!$H$4:$H$1203,$AE179-1200))))</f>
        <v/>
      </c>
      <c r="F179" s="53" t="str">
        <f>IF($AE179="","",IF($AE179&lt;=1200,IF(INDEX(对接源_01水果!$I$4:$I$1203,$AE179)=0,"",INDEX(对接源_01水果!$I$4:$I$1203,$AE179)),IF(INDEX(对接源_02物料!$I$4:$I$1203,$AE179-1200)=0,"",INDEX(对接源_02物料!$I$4:$I$1203,$AE179-1200))))</f>
        <v/>
      </c>
      <c r="G179" s="55" t="str">
        <f>IF($AE179="","",IF(IF($AE179&lt;=1200,N(INDEX(对接源_01水果!$H$4:$H$1203,$AE179)),N(INDEX(对接源_02物料!$H$4:$H$1203,$AE179-1200)))=0,"",ROUND(IF($AE179&lt;=1200,N(INDEX(对接源_01水果!$K$4:$K$1203,$AE179)),N(INDEX(对接源_02物料!$K$4:$K$1203,$AE179-1200)))/IF($AE179&lt;=1200,N(INDEX(对接源_01水果!$H$4:$H$1203,$AE179)),N(INDEX(对接源_02物料!$H$4:$H$1203,$AE179-1200))),2)))</f>
        <v/>
      </c>
      <c r="H179" s="55" t="str">
        <f>IF($AE179="","",IF($AE179&lt;=1200,IF(INDEX(对接源_01水果!$K$4:$K$1203,$AE179)=0,"",INDEX(对接源_01水果!$K$4:$K$1203,$AE179)),IF(INDEX(对接源_02物料!$K$4:$K$1203,$AE179-1200)=0,"",INDEX(对接源_02物料!$K$4:$K$1203,$AE179-1200))))</f>
        <v/>
      </c>
      <c r="I179" s="53" t="str">
        <f>IF($AE179="","",IF($AE179&lt;=1200,IF(INDEX(对接源_01水果!$L$4:$L$1203,$AE179)=0,"",INDEX(对接源_01水果!$L$4:$L$1203,$AE179)),IF(INDEX(对接源_02物料!$L$4:$L$1203,$AE179-1200)=0,"",INDEX(对接源_02物料!$L$4:$L$1203,$AE179-1200))))</f>
        <v/>
      </c>
      <c r="J179" s="106" t="str">
        <f>IF($AE179="","",IF($AE179&lt;=1200,IF(INDEX(对接源_01水果!$M$4:$M$1203,$AE179)=0,"",INDEX(对接源_01水果!$M$4:$M$1203,$AE179)),IF(INDEX(对接源_02物料!$M$4:$M$1203,$AE179-1200)=0,"",INDEX(对接源_02物料!$M$4:$M$1203,$AE179-1200))))</f>
        <v/>
      </c>
      <c r="AE179" s="107" t="str">
        <f>IFERROR(MATCH(174,_自动清单!$AS$4:$AS$2403,0),"")</f>
        <v/>
      </c>
      <c r="AF179" s="107"/>
    </row>
    <row r="180" ht="18" customHeight="1" spans="1:32">
      <c r="A180" s="52" t="str">
        <f>IF($AE180="","",IF($AE180&lt;=1200,IF(INDEX(对接源_01水果!$B$4:$B$1203,$AE180)=0,"",INDEX(对接源_01水果!$B$4:$B$1203,$AE180)),IF(INDEX(对接源_02物料!$B$4:$B$1203,$AE180-1200)=0,"",INDEX(对接源_02物料!$B$4:$B$1203,$AE180-1200))))</f>
        <v/>
      </c>
      <c r="B180" s="53" t="str">
        <f>IF($AE180="","",IF($AE180&lt;=1200,IF(INDEX(对接源_01水果!$E$4:$E$1203,$AE180)=0,"",INDEX(对接源_01水果!$E$4:$E$1203,$AE180)),IF(INDEX(对接源_02物料!$E$4:$E$1203,$AE180-1200)=0,"",INDEX(对接源_02物料!$E$4:$E$1203,$AE180-1200))))</f>
        <v/>
      </c>
      <c r="C180" s="106" t="str">
        <f>IF($AE180="","",IF($AE180&lt;=1200,IF(INDEX(对接源_01水果!$F$4:$F$1203,$AE180)=0,"",INDEX(对接源_01水果!$F$4:$F$1203,$AE180)),IF(INDEX(对接源_02物料!$F$4:$F$1203,$AE180-1200)=0,"",INDEX(对接源_02物料!$F$4:$F$1203,$AE180-1200))))</f>
        <v/>
      </c>
      <c r="D180" s="53" t="str">
        <f>IF($AE180="","",IF(IF($AE180&lt;=1200,IF(INDEX(对接源_01水果!$G$4:$G$1203,$AE180)=0,"",INDEX(对接源_01水果!$G$4:$G$1203,$AE180)),IF(INDEX(对接源_02物料!$G$4:$G$1203,$AE180-1200)=0,"",INDEX(对接源_02物料!$G$4:$G$1203,$AE180-1200)))="",IF($AE180&lt;=1200,IF(INDEX(对接源_01水果!$D$4:$D$1203,$AE180)=0,"",INDEX(对接源_01水果!$D$4:$D$1203,$AE180)),IF(INDEX(对接源_02物料!$D$4:$D$1203,$AE180-1200)=0,"",INDEX(对接源_02物料!$D$4:$D$1203,$AE180-1200))),IF($AE180&lt;=1200,IF(INDEX(对接源_01水果!$G$4:$G$1203,$AE180)=0,"",INDEX(对接源_01水果!$G$4:$G$1203,$AE180)),IF(INDEX(对接源_02物料!$G$4:$G$1203,$AE180-1200)=0,"",INDEX(对接源_02物料!$G$4:$G$1203,$AE180-1200)))))</f>
        <v/>
      </c>
      <c r="E180" s="55" t="str">
        <f>IF($AE180="","",IF($AE180&lt;=1200,IF(INDEX(对接源_01水果!$H$4:$H$1203,$AE180)=0,"",INDEX(对接源_01水果!$H$4:$H$1203,$AE180)),IF(INDEX(对接源_02物料!$H$4:$H$1203,$AE180-1200)=0,"",INDEX(对接源_02物料!$H$4:$H$1203,$AE180-1200))))</f>
        <v/>
      </c>
      <c r="F180" s="53" t="str">
        <f>IF($AE180="","",IF($AE180&lt;=1200,IF(INDEX(对接源_01水果!$I$4:$I$1203,$AE180)=0,"",INDEX(对接源_01水果!$I$4:$I$1203,$AE180)),IF(INDEX(对接源_02物料!$I$4:$I$1203,$AE180-1200)=0,"",INDEX(对接源_02物料!$I$4:$I$1203,$AE180-1200))))</f>
        <v/>
      </c>
      <c r="G180" s="55" t="str">
        <f>IF($AE180="","",IF(IF($AE180&lt;=1200,N(INDEX(对接源_01水果!$H$4:$H$1203,$AE180)),N(INDEX(对接源_02物料!$H$4:$H$1203,$AE180-1200)))=0,"",ROUND(IF($AE180&lt;=1200,N(INDEX(对接源_01水果!$K$4:$K$1203,$AE180)),N(INDEX(对接源_02物料!$K$4:$K$1203,$AE180-1200)))/IF($AE180&lt;=1200,N(INDEX(对接源_01水果!$H$4:$H$1203,$AE180)),N(INDEX(对接源_02物料!$H$4:$H$1203,$AE180-1200))),2)))</f>
        <v/>
      </c>
      <c r="H180" s="55" t="str">
        <f>IF($AE180="","",IF($AE180&lt;=1200,IF(INDEX(对接源_01水果!$K$4:$K$1203,$AE180)=0,"",INDEX(对接源_01水果!$K$4:$K$1203,$AE180)),IF(INDEX(对接源_02物料!$K$4:$K$1203,$AE180-1200)=0,"",INDEX(对接源_02物料!$K$4:$K$1203,$AE180-1200))))</f>
        <v/>
      </c>
      <c r="I180" s="53" t="str">
        <f>IF($AE180="","",IF($AE180&lt;=1200,IF(INDEX(对接源_01水果!$L$4:$L$1203,$AE180)=0,"",INDEX(对接源_01水果!$L$4:$L$1203,$AE180)),IF(INDEX(对接源_02物料!$L$4:$L$1203,$AE180-1200)=0,"",INDEX(对接源_02物料!$L$4:$L$1203,$AE180-1200))))</f>
        <v/>
      </c>
      <c r="J180" s="106" t="str">
        <f>IF($AE180="","",IF($AE180&lt;=1200,IF(INDEX(对接源_01水果!$M$4:$M$1203,$AE180)=0,"",INDEX(对接源_01水果!$M$4:$M$1203,$AE180)),IF(INDEX(对接源_02物料!$M$4:$M$1203,$AE180-1200)=0,"",INDEX(对接源_02物料!$M$4:$M$1203,$AE180-1200))))</f>
        <v/>
      </c>
      <c r="AE180" s="107" t="str">
        <f>IFERROR(MATCH(175,_自动清单!$AS$4:$AS$2403,0),"")</f>
        <v/>
      </c>
      <c r="AF180" s="107"/>
    </row>
    <row r="181" ht="18" customHeight="1" spans="1:32">
      <c r="A181" s="52" t="str">
        <f>IF($AE181="","",IF($AE181&lt;=1200,IF(INDEX(对接源_01水果!$B$4:$B$1203,$AE181)=0,"",INDEX(对接源_01水果!$B$4:$B$1203,$AE181)),IF(INDEX(对接源_02物料!$B$4:$B$1203,$AE181-1200)=0,"",INDEX(对接源_02物料!$B$4:$B$1203,$AE181-1200))))</f>
        <v/>
      </c>
      <c r="B181" s="53" t="str">
        <f>IF($AE181="","",IF($AE181&lt;=1200,IF(INDEX(对接源_01水果!$E$4:$E$1203,$AE181)=0,"",INDEX(对接源_01水果!$E$4:$E$1203,$AE181)),IF(INDEX(对接源_02物料!$E$4:$E$1203,$AE181-1200)=0,"",INDEX(对接源_02物料!$E$4:$E$1203,$AE181-1200))))</f>
        <v/>
      </c>
      <c r="C181" s="106" t="str">
        <f>IF($AE181="","",IF($AE181&lt;=1200,IF(INDEX(对接源_01水果!$F$4:$F$1203,$AE181)=0,"",INDEX(对接源_01水果!$F$4:$F$1203,$AE181)),IF(INDEX(对接源_02物料!$F$4:$F$1203,$AE181-1200)=0,"",INDEX(对接源_02物料!$F$4:$F$1203,$AE181-1200))))</f>
        <v/>
      </c>
      <c r="D181" s="53" t="str">
        <f>IF($AE181="","",IF(IF($AE181&lt;=1200,IF(INDEX(对接源_01水果!$G$4:$G$1203,$AE181)=0,"",INDEX(对接源_01水果!$G$4:$G$1203,$AE181)),IF(INDEX(对接源_02物料!$G$4:$G$1203,$AE181-1200)=0,"",INDEX(对接源_02物料!$G$4:$G$1203,$AE181-1200)))="",IF($AE181&lt;=1200,IF(INDEX(对接源_01水果!$D$4:$D$1203,$AE181)=0,"",INDEX(对接源_01水果!$D$4:$D$1203,$AE181)),IF(INDEX(对接源_02物料!$D$4:$D$1203,$AE181-1200)=0,"",INDEX(对接源_02物料!$D$4:$D$1203,$AE181-1200))),IF($AE181&lt;=1200,IF(INDEX(对接源_01水果!$G$4:$G$1203,$AE181)=0,"",INDEX(对接源_01水果!$G$4:$G$1203,$AE181)),IF(INDEX(对接源_02物料!$G$4:$G$1203,$AE181-1200)=0,"",INDEX(对接源_02物料!$G$4:$G$1203,$AE181-1200)))))</f>
        <v/>
      </c>
      <c r="E181" s="55" t="str">
        <f>IF($AE181="","",IF($AE181&lt;=1200,IF(INDEX(对接源_01水果!$H$4:$H$1203,$AE181)=0,"",INDEX(对接源_01水果!$H$4:$H$1203,$AE181)),IF(INDEX(对接源_02物料!$H$4:$H$1203,$AE181-1200)=0,"",INDEX(对接源_02物料!$H$4:$H$1203,$AE181-1200))))</f>
        <v/>
      </c>
      <c r="F181" s="53" t="str">
        <f>IF($AE181="","",IF($AE181&lt;=1200,IF(INDEX(对接源_01水果!$I$4:$I$1203,$AE181)=0,"",INDEX(对接源_01水果!$I$4:$I$1203,$AE181)),IF(INDEX(对接源_02物料!$I$4:$I$1203,$AE181-1200)=0,"",INDEX(对接源_02物料!$I$4:$I$1203,$AE181-1200))))</f>
        <v/>
      </c>
      <c r="G181" s="55" t="str">
        <f>IF($AE181="","",IF(IF($AE181&lt;=1200,N(INDEX(对接源_01水果!$H$4:$H$1203,$AE181)),N(INDEX(对接源_02物料!$H$4:$H$1203,$AE181-1200)))=0,"",ROUND(IF($AE181&lt;=1200,N(INDEX(对接源_01水果!$K$4:$K$1203,$AE181)),N(INDEX(对接源_02物料!$K$4:$K$1203,$AE181-1200)))/IF($AE181&lt;=1200,N(INDEX(对接源_01水果!$H$4:$H$1203,$AE181)),N(INDEX(对接源_02物料!$H$4:$H$1203,$AE181-1200))),2)))</f>
        <v/>
      </c>
      <c r="H181" s="55" t="str">
        <f>IF($AE181="","",IF($AE181&lt;=1200,IF(INDEX(对接源_01水果!$K$4:$K$1203,$AE181)=0,"",INDEX(对接源_01水果!$K$4:$K$1203,$AE181)),IF(INDEX(对接源_02物料!$K$4:$K$1203,$AE181-1200)=0,"",INDEX(对接源_02物料!$K$4:$K$1203,$AE181-1200))))</f>
        <v/>
      </c>
      <c r="I181" s="53" t="str">
        <f>IF($AE181="","",IF($AE181&lt;=1200,IF(INDEX(对接源_01水果!$L$4:$L$1203,$AE181)=0,"",INDEX(对接源_01水果!$L$4:$L$1203,$AE181)),IF(INDEX(对接源_02物料!$L$4:$L$1203,$AE181-1200)=0,"",INDEX(对接源_02物料!$L$4:$L$1203,$AE181-1200))))</f>
        <v/>
      </c>
      <c r="J181" s="106" t="str">
        <f>IF($AE181="","",IF($AE181&lt;=1200,IF(INDEX(对接源_01水果!$M$4:$M$1203,$AE181)=0,"",INDEX(对接源_01水果!$M$4:$M$1203,$AE181)),IF(INDEX(对接源_02物料!$M$4:$M$1203,$AE181-1200)=0,"",INDEX(对接源_02物料!$M$4:$M$1203,$AE181-1200))))</f>
        <v/>
      </c>
      <c r="AE181" s="107" t="str">
        <f>IFERROR(MATCH(176,_自动清单!$AS$4:$AS$2403,0),"")</f>
        <v/>
      </c>
      <c r="AF181" s="107"/>
    </row>
    <row r="182" ht="18" customHeight="1" spans="1:32">
      <c r="A182" s="52" t="str">
        <f>IF($AE182="","",IF($AE182&lt;=1200,IF(INDEX(对接源_01水果!$B$4:$B$1203,$AE182)=0,"",INDEX(对接源_01水果!$B$4:$B$1203,$AE182)),IF(INDEX(对接源_02物料!$B$4:$B$1203,$AE182-1200)=0,"",INDEX(对接源_02物料!$B$4:$B$1203,$AE182-1200))))</f>
        <v/>
      </c>
      <c r="B182" s="53" t="str">
        <f>IF($AE182="","",IF($AE182&lt;=1200,IF(INDEX(对接源_01水果!$E$4:$E$1203,$AE182)=0,"",INDEX(对接源_01水果!$E$4:$E$1203,$AE182)),IF(INDEX(对接源_02物料!$E$4:$E$1203,$AE182-1200)=0,"",INDEX(对接源_02物料!$E$4:$E$1203,$AE182-1200))))</f>
        <v/>
      </c>
      <c r="C182" s="106" t="str">
        <f>IF($AE182="","",IF($AE182&lt;=1200,IF(INDEX(对接源_01水果!$F$4:$F$1203,$AE182)=0,"",INDEX(对接源_01水果!$F$4:$F$1203,$AE182)),IF(INDEX(对接源_02物料!$F$4:$F$1203,$AE182-1200)=0,"",INDEX(对接源_02物料!$F$4:$F$1203,$AE182-1200))))</f>
        <v/>
      </c>
      <c r="D182" s="53" t="str">
        <f>IF($AE182="","",IF(IF($AE182&lt;=1200,IF(INDEX(对接源_01水果!$G$4:$G$1203,$AE182)=0,"",INDEX(对接源_01水果!$G$4:$G$1203,$AE182)),IF(INDEX(对接源_02物料!$G$4:$G$1203,$AE182-1200)=0,"",INDEX(对接源_02物料!$G$4:$G$1203,$AE182-1200)))="",IF($AE182&lt;=1200,IF(INDEX(对接源_01水果!$D$4:$D$1203,$AE182)=0,"",INDEX(对接源_01水果!$D$4:$D$1203,$AE182)),IF(INDEX(对接源_02物料!$D$4:$D$1203,$AE182-1200)=0,"",INDEX(对接源_02物料!$D$4:$D$1203,$AE182-1200))),IF($AE182&lt;=1200,IF(INDEX(对接源_01水果!$G$4:$G$1203,$AE182)=0,"",INDEX(对接源_01水果!$G$4:$G$1203,$AE182)),IF(INDEX(对接源_02物料!$G$4:$G$1203,$AE182-1200)=0,"",INDEX(对接源_02物料!$G$4:$G$1203,$AE182-1200)))))</f>
        <v/>
      </c>
      <c r="E182" s="55" t="str">
        <f>IF($AE182="","",IF($AE182&lt;=1200,IF(INDEX(对接源_01水果!$H$4:$H$1203,$AE182)=0,"",INDEX(对接源_01水果!$H$4:$H$1203,$AE182)),IF(INDEX(对接源_02物料!$H$4:$H$1203,$AE182-1200)=0,"",INDEX(对接源_02物料!$H$4:$H$1203,$AE182-1200))))</f>
        <v/>
      </c>
      <c r="F182" s="53" t="str">
        <f>IF($AE182="","",IF($AE182&lt;=1200,IF(INDEX(对接源_01水果!$I$4:$I$1203,$AE182)=0,"",INDEX(对接源_01水果!$I$4:$I$1203,$AE182)),IF(INDEX(对接源_02物料!$I$4:$I$1203,$AE182-1200)=0,"",INDEX(对接源_02物料!$I$4:$I$1203,$AE182-1200))))</f>
        <v/>
      </c>
      <c r="G182" s="55" t="str">
        <f>IF($AE182="","",IF(IF($AE182&lt;=1200,N(INDEX(对接源_01水果!$H$4:$H$1203,$AE182)),N(INDEX(对接源_02物料!$H$4:$H$1203,$AE182-1200)))=0,"",ROUND(IF($AE182&lt;=1200,N(INDEX(对接源_01水果!$K$4:$K$1203,$AE182)),N(INDEX(对接源_02物料!$K$4:$K$1203,$AE182-1200)))/IF($AE182&lt;=1200,N(INDEX(对接源_01水果!$H$4:$H$1203,$AE182)),N(INDEX(对接源_02物料!$H$4:$H$1203,$AE182-1200))),2)))</f>
        <v/>
      </c>
      <c r="H182" s="55" t="str">
        <f>IF($AE182="","",IF($AE182&lt;=1200,IF(INDEX(对接源_01水果!$K$4:$K$1203,$AE182)=0,"",INDEX(对接源_01水果!$K$4:$K$1203,$AE182)),IF(INDEX(对接源_02物料!$K$4:$K$1203,$AE182-1200)=0,"",INDEX(对接源_02物料!$K$4:$K$1203,$AE182-1200))))</f>
        <v/>
      </c>
      <c r="I182" s="53" t="str">
        <f>IF($AE182="","",IF($AE182&lt;=1200,IF(INDEX(对接源_01水果!$L$4:$L$1203,$AE182)=0,"",INDEX(对接源_01水果!$L$4:$L$1203,$AE182)),IF(INDEX(对接源_02物料!$L$4:$L$1203,$AE182-1200)=0,"",INDEX(对接源_02物料!$L$4:$L$1203,$AE182-1200))))</f>
        <v/>
      </c>
      <c r="J182" s="106" t="str">
        <f>IF($AE182="","",IF($AE182&lt;=1200,IF(INDEX(对接源_01水果!$M$4:$M$1203,$AE182)=0,"",INDEX(对接源_01水果!$M$4:$M$1203,$AE182)),IF(INDEX(对接源_02物料!$M$4:$M$1203,$AE182-1200)=0,"",INDEX(对接源_02物料!$M$4:$M$1203,$AE182-1200))))</f>
        <v/>
      </c>
      <c r="AE182" s="107" t="str">
        <f>IFERROR(MATCH(177,_自动清单!$AS$4:$AS$2403,0),"")</f>
        <v/>
      </c>
      <c r="AF182" s="107"/>
    </row>
    <row r="183" ht="18" customHeight="1" spans="1:32">
      <c r="A183" s="52" t="str">
        <f>IF($AE183="","",IF($AE183&lt;=1200,IF(INDEX(对接源_01水果!$B$4:$B$1203,$AE183)=0,"",INDEX(对接源_01水果!$B$4:$B$1203,$AE183)),IF(INDEX(对接源_02物料!$B$4:$B$1203,$AE183-1200)=0,"",INDEX(对接源_02物料!$B$4:$B$1203,$AE183-1200))))</f>
        <v/>
      </c>
      <c r="B183" s="53" t="str">
        <f>IF($AE183="","",IF($AE183&lt;=1200,IF(INDEX(对接源_01水果!$E$4:$E$1203,$AE183)=0,"",INDEX(对接源_01水果!$E$4:$E$1203,$AE183)),IF(INDEX(对接源_02物料!$E$4:$E$1203,$AE183-1200)=0,"",INDEX(对接源_02物料!$E$4:$E$1203,$AE183-1200))))</f>
        <v/>
      </c>
      <c r="C183" s="106" t="str">
        <f>IF($AE183="","",IF($AE183&lt;=1200,IF(INDEX(对接源_01水果!$F$4:$F$1203,$AE183)=0,"",INDEX(对接源_01水果!$F$4:$F$1203,$AE183)),IF(INDEX(对接源_02物料!$F$4:$F$1203,$AE183-1200)=0,"",INDEX(对接源_02物料!$F$4:$F$1203,$AE183-1200))))</f>
        <v/>
      </c>
      <c r="D183" s="53" t="str">
        <f>IF($AE183="","",IF(IF($AE183&lt;=1200,IF(INDEX(对接源_01水果!$G$4:$G$1203,$AE183)=0,"",INDEX(对接源_01水果!$G$4:$G$1203,$AE183)),IF(INDEX(对接源_02物料!$G$4:$G$1203,$AE183-1200)=0,"",INDEX(对接源_02物料!$G$4:$G$1203,$AE183-1200)))="",IF($AE183&lt;=1200,IF(INDEX(对接源_01水果!$D$4:$D$1203,$AE183)=0,"",INDEX(对接源_01水果!$D$4:$D$1203,$AE183)),IF(INDEX(对接源_02物料!$D$4:$D$1203,$AE183-1200)=0,"",INDEX(对接源_02物料!$D$4:$D$1203,$AE183-1200))),IF($AE183&lt;=1200,IF(INDEX(对接源_01水果!$G$4:$G$1203,$AE183)=0,"",INDEX(对接源_01水果!$G$4:$G$1203,$AE183)),IF(INDEX(对接源_02物料!$G$4:$G$1203,$AE183-1200)=0,"",INDEX(对接源_02物料!$G$4:$G$1203,$AE183-1200)))))</f>
        <v/>
      </c>
      <c r="E183" s="55" t="str">
        <f>IF($AE183="","",IF($AE183&lt;=1200,IF(INDEX(对接源_01水果!$H$4:$H$1203,$AE183)=0,"",INDEX(对接源_01水果!$H$4:$H$1203,$AE183)),IF(INDEX(对接源_02物料!$H$4:$H$1203,$AE183-1200)=0,"",INDEX(对接源_02物料!$H$4:$H$1203,$AE183-1200))))</f>
        <v/>
      </c>
      <c r="F183" s="53" t="str">
        <f>IF($AE183="","",IF($AE183&lt;=1200,IF(INDEX(对接源_01水果!$I$4:$I$1203,$AE183)=0,"",INDEX(对接源_01水果!$I$4:$I$1203,$AE183)),IF(INDEX(对接源_02物料!$I$4:$I$1203,$AE183-1200)=0,"",INDEX(对接源_02物料!$I$4:$I$1203,$AE183-1200))))</f>
        <v/>
      </c>
      <c r="G183" s="55" t="str">
        <f>IF($AE183="","",IF(IF($AE183&lt;=1200,N(INDEX(对接源_01水果!$H$4:$H$1203,$AE183)),N(INDEX(对接源_02物料!$H$4:$H$1203,$AE183-1200)))=0,"",ROUND(IF($AE183&lt;=1200,N(INDEX(对接源_01水果!$K$4:$K$1203,$AE183)),N(INDEX(对接源_02物料!$K$4:$K$1203,$AE183-1200)))/IF($AE183&lt;=1200,N(INDEX(对接源_01水果!$H$4:$H$1203,$AE183)),N(INDEX(对接源_02物料!$H$4:$H$1203,$AE183-1200))),2)))</f>
        <v/>
      </c>
      <c r="H183" s="55" t="str">
        <f>IF($AE183="","",IF($AE183&lt;=1200,IF(INDEX(对接源_01水果!$K$4:$K$1203,$AE183)=0,"",INDEX(对接源_01水果!$K$4:$K$1203,$AE183)),IF(INDEX(对接源_02物料!$K$4:$K$1203,$AE183-1200)=0,"",INDEX(对接源_02物料!$K$4:$K$1203,$AE183-1200))))</f>
        <v/>
      </c>
      <c r="I183" s="53" t="str">
        <f>IF($AE183="","",IF($AE183&lt;=1200,IF(INDEX(对接源_01水果!$L$4:$L$1203,$AE183)=0,"",INDEX(对接源_01水果!$L$4:$L$1203,$AE183)),IF(INDEX(对接源_02物料!$L$4:$L$1203,$AE183-1200)=0,"",INDEX(对接源_02物料!$L$4:$L$1203,$AE183-1200))))</f>
        <v/>
      </c>
      <c r="J183" s="106" t="str">
        <f>IF($AE183="","",IF($AE183&lt;=1200,IF(INDEX(对接源_01水果!$M$4:$M$1203,$AE183)=0,"",INDEX(对接源_01水果!$M$4:$M$1203,$AE183)),IF(INDEX(对接源_02物料!$M$4:$M$1203,$AE183-1200)=0,"",INDEX(对接源_02物料!$M$4:$M$1203,$AE183-1200))))</f>
        <v/>
      </c>
      <c r="AE183" s="107" t="str">
        <f>IFERROR(MATCH(178,_自动清单!$AS$4:$AS$2403,0),"")</f>
        <v/>
      </c>
      <c r="AF183" s="107"/>
    </row>
    <row r="184" ht="18" customHeight="1" spans="1:32">
      <c r="A184" s="52" t="str">
        <f>IF($AE184="","",IF($AE184&lt;=1200,IF(INDEX(对接源_01水果!$B$4:$B$1203,$AE184)=0,"",INDEX(对接源_01水果!$B$4:$B$1203,$AE184)),IF(INDEX(对接源_02物料!$B$4:$B$1203,$AE184-1200)=0,"",INDEX(对接源_02物料!$B$4:$B$1203,$AE184-1200))))</f>
        <v/>
      </c>
      <c r="B184" s="53" t="str">
        <f>IF($AE184="","",IF($AE184&lt;=1200,IF(INDEX(对接源_01水果!$E$4:$E$1203,$AE184)=0,"",INDEX(对接源_01水果!$E$4:$E$1203,$AE184)),IF(INDEX(对接源_02物料!$E$4:$E$1203,$AE184-1200)=0,"",INDEX(对接源_02物料!$E$4:$E$1203,$AE184-1200))))</f>
        <v/>
      </c>
      <c r="C184" s="106" t="str">
        <f>IF($AE184="","",IF($AE184&lt;=1200,IF(INDEX(对接源_01水果!$F$4:$F$1203,$AE184)=0,"",INDEX(对接源_01水果!$F$4:$F$1203,$AE184)),IF(INDEX(对接源_02物料!$F$4:$F$1203,$AE184-1200)=0,"",INDEX(对接源_02物料!$F$4:$F$1203,$AE184-1200))))</f>
        <v/>
      </c>
      <c r="D184" s="53" t="str">
        <f>IF($AE184="","",IF(IF($AE184&lt;=1200,IF(INDEX(对接源_01水果!$G$4:$G$1203,$AE184)=0,"",INDEX(对接源_01水果!$G$4:$G$1203,$AE184)),IF(INDEX(对接源_02物料!$G$4:$G$1203,$AE184-1200)=0,"",INDEX(对接源_02物料!$G$4:$G$1203,$AE184-1200)))="",IF($AE184&lt;=1200,IF(INDEX(对接源_01水果!$D$4:$D$1203,$AE184)=0,"",INDEX(对接源_01水果!$D$4:$D$1203,$AE184)),IF(INDEX(对接源_02物料!$D$4:$D$1203,$AE184-1200)=0,"",INDEX(对接源_02物料!$D$4:$D$1203,$AE184-1200))),IF($AE184&lt;=1200,IF(INDEX(对接源_01水果!$G$4:$G$1203,$AE184)=0,"",INDEX(对接源_01水果!$G$4:$G$1203,$AE184)),IF(INDEX(对接源_02物料!$G$4:$G$1203,$AE184-1200)=0,"",INDEX(对接源_02物料!$G$4:$G$1203,$AE184-1200)))))</f>
        <v/>
      </c>
      <c r="E184" s="55" t="str">
        <f>IF($AE184="","",IF($AE184&lt;=1200,IF(INDEX(对接源_01水果!$H$4:$H$1203,$AE184)=0,"",INDEX(对接源_01水果!$H$4:$H$1203,$AE184)),IF(INDEX(对接源_02物料!$H$4:$H$1203,$AE184-1200)=0,"",INDEX(对接源_02物料!$H$4:$H$1203,$AE184-1200))))</f>
        <v/>
      </c>
      <c r="F184" s="53" t="str">
        <f>IF($AE184="","",IF($AE184&lt;=1200,IF(INDEX(对接源_01水果!$I$4:$I$1203,$AE184)=0,"",INDEX(对接源_01水果!$I$4:$I$1203,$AE184)),IF(INDEX(对接源_02物料!$I$4:$I$1203,$AE184-1200)=0,"",INDEX(对接源_02物料!$I$4:$I$1203,$AE184-1200))))</f>
        <v/>
      </c>
      <c r="G184" s="55" t="str">
        <f>IF($AE184="","",IF(IF($AE184&lt;=1200,N(INDEX(对接源_01水果!$H$4:$H$1203,$AE184)),N(INDEX(对接源_02物料!$H$4:$H$1203,$AE184-1200)))=0,"",ROUND(IF($AE184&lt;=1200,N(INDEX(对接源_01水果!$K$4:$K$1203,$AE184)),N(INDEX(对接源_02物料!$K$4:$K$1203,$AE184-1200)))/IF($AE184&lt;=1200,N(INDEX(对接源_01水果!$H$4:$H$1203,$AE184)),N(INDEX(对接源_02物料!$H$4:$H$1203,$AE184-1200))),2)))</f>
        <v/>
      </c>
      <c r="H184" s="55" t="str">
        <f>IF($AE184="","",IF($AE184&lt;=1200,IF(INDEX(对接源_01水果!$K$4:$K$1203,$AE184)=0,"",INDEX(对接源_01水果!$K$4:$K$1203,$AE184)),IF(INDEX(对接源_02物料!$K$4:$K$1203,$AE184-1200)=0,"",INDEX(对接源_02物料!$K$4:$K$1203,$AE184-1200))))</f>
        <v/>
      </c>
      <c r="I184" s="53" t="str">
        <f>IF($AE184="","",IF($AE184&lt;=1200,IF(INDEX(对接源_01水果!$L$4:$L$1203,$AE184)=0,"",INDEX(对接源_01水果!$L$4:$L$1203,$AE184)),IF(INDEX(对接源_02物料!$L$4:$L$1203,$AE184-1200)=0,"",INDEX(对接源_02物料!$L$4:$L$1203,$AE184-1200))))</f>
        <v/>
      </c>
      <c r="J184" s="106" t="str">
        <f>IF($AE184="","",IF($AE184&lt;=1200,IF(INDEX(对接源_01水果!$M$4:$M$1203,$AE184)=0,"",INDEX(对接源_01水果!$M$4:$M$1203,$AE184)),IF(INDEX(对接源_02物料!$M$4:$M$1203,$AE184-1200)=0,"",INDEX(对接源_02物料!$M$4:$M$1203,$AE184-1200))))</f>
        <v/>
      </c>
      <c r="AE184" s="107" t="str">
        <f>IFERROR(MATCH(179,_自动清单!$AS$4:$AS$2403,0),"")</f>
        <v/>
      </c>
      <c r="AF184" s="107"/>
    </row>
    <row r="185" ht="18" customHeight="1" spans="1:32">
      <c r="A185" s="52" t="str">
        <f>IF($AE185="","",IF($AE185&lt;=1200,IF(INDEX(对接源_01水果!$B$4:$B$1203,$AE185)=0,"",INDEX(对接源_01水果!$B$4:$B$1203,$AE185)),IF(INDEX(对接源_02物料!$B$4:$B$1203,$AE185-1200)=0,"",INDEX(对接源_02物料!$B$4:$B$1203,$AE185-1200))))</f>
        <v/>
      </c>
      <c r="B185" s="53" t="str">
        <f>IF($AE185="","",IF($AE185&lt;=1200,IF(INDEX(对接源_01水果!$E$4:$E$1203,$AE185)=0,"",INDEX(对接源_01水果!$E$4:$E$1203,$AE185)),IF(INDEX(对接源_02物料!$E$4:$E$1203,$AE185-1200)=0,"",INDEX(对接源_02物料!$E$4:$E$1203,$AE185-1200))))</f>
        <v/>
      </c>
      <c r="C185" s="106" t="str">
        <f>IF($AE185="","",IF($AE185&lt;=1200,IF(INDEX(对接源_01水果!$F$4:$F$1203,$AE185)=0,"",INDEX(对接源_01水果!$F$4:$F$1203,$AE185)),IF(INDEX(对接源_02物料!$F$4:$F$1203,$AE185-1200)=0,"",INDEX(对接源_02物料!$F$4:$F$1203,$AE185-1200))))</f>
        <v/>
      </c>
      <c r="D185" s="53" t="str">
        <f>IF($AE185="","",IF(IF($AE185&lt;=1200,IF(INDEX(对接源_01水果!$G$4:$G$1203,$AE185)=0,"",INDEX(对接源_01水果!$G$4:$G$1203,$AE185)),IF(INDEX(对接源_02物料!$G$4:$G$1203,$AE185-1200)=0,"",INDEX(对接源_02物料!$G$4:$G$1203,$AE185-1200)))="",IF($AE185&lt;=1200,IF(INDEX(对接源_01水果!$D$4:$D$1203,$AE185)=0,"",INDEX(对接源_01水果!$D$4:$D$1203,$AE185)),IF(INDEX(对接源_02物料!$D$4:$D$1203,$AE185-1200)=0,"",INDEX(对接源_02物料!$D$4:$D$1203,$AE185-1200))),IF($AE185&lt;=1200,IF(INDEX(对接源_01水果!$G$4:$G$1203,$AE185)=0,"",INDEX(对接源_01水果!$G$4:$G$1203,$AE185)),IF(INDEX(对接源_02物料!$G$4:$G$1203,$AE185-1200)=0,"",INDEX(对接源_02物料!$G$4:$G$1203,$AE185-1200)))))</f>
        <v/>
      </c>
      <c r="E185" s="55" t="str">
        <f>IF($AE185="","",IF($AE185&lt;=1200,IF(INDEX(对接源_01水果!$H$4:$H$1203,$AE185)=0,"",INDEX(对接源_01水果!$H$4:$H$1203,$AE185)),IF(INDEX(对接源_02物料!$H$4:$H$1203,$AE185-1200)=0,"",INDEX(对接源_02物料!$H$4:$H$1203,$AE185-1200))))</f>
        <v/>
      </c>
      <c r="F185" s="53" t="str">
        <f>IF($AE185="","",IF($AE185&lt;=1200,IF(INDEX(对接源_01水果!$I$4:$I$1203,$AE185)=0,"",INDEX(对接源_01水果!$I$4:$I$1203,$AE185)),IF(INDEX(对接源_02物料!$I$4:$I$1203,$AE185-1200)=0,"",INDEX(对接源_02物料!$I$4:$I$1203,$AE185-1200))))</f>
        <v/>
      </c>
      <c r="G185" s="55" t="str">
        <f>IF($AE185="","",IF(IF($AE185&lt;=1200,N(INDEX(对接源_01水果!$H$4:$H$1203,$AE185)),N(INDEX(对接源_02物料!$H$4:$H$1203,$AE185-1200)))=0,"",ROUND(IF($AE185&lt;=1200,N(INDEX(对接源_01水果!$K$4:$K$1203,$AE185)),N(INDEX(对接源_02物料!$K$4:$K$1203,$AE185-1200)))/IF($AE185&lt;=1200,N(INDEX(对接源_01水果!$H$4:$H$1203,$AE185)),N(INDEX(对接源_02物料!$H$4:$H$1203,$AE185-1200))),2)))</f>
        <v/>
      </c>
      <c r="H185" s="55" t="str">
        <f>IF($AE185="","",IF($AE185&lt;=1200,IF(INDEX(对接源_01水果!$K$4:$K$1203,$AE185)=0,"",INDEX(对接源_01水果!$K$4:$K$1203,$AE185)),IF(INDEX(对接源_02物料!$K$4:$K$1203,$AE185-1200)=0,"",INDEX(对接源_02物料!$K$4:$K$1203,$AE185-1200))))</f>
        <v/>
      </c>
      <c r="I185" s="53" t="str">
        <f>IF($AE185="","",IF($AE185&lt;=1200,IF(INDEX(对接源_01水果!$L$4:$L$1203,$AE185)=0,"",INDEX(对接源_01水果!$L$4:$L$1203,$AE185)),IF(INDEX(对接源_02物料!$L$4:$L$1203,$AE185-1200)=0,"",INDEX(对接源_02物料!$L$4:$L$1203,$AE185-1200))))</f>
        <v/>
      </c>
      <c r="J185" s="106" t="str">
        <f>IF($AE185="","",IF($AE185&lt;=1200,IF(INDEX(对接源_01水果!$M$4:$M$1203,$AE185)=0,"",INDEX(对接源_01水果!$M$4:$M$1203,$AE185)),IF(INDEX(对接源_02物料!$M$4:$M$1203,$AE185-1200)=0,"",INDEX(对接源_02物料!$M$4:$M$1203,$AE185-1200))))</f>
        <v/>
      </c>
      <c r="AE185" s="107" t="str">
        <f>IFERROR(MATCH(180,_自动清单!$AS$4:$AS$2403,0),"")</f>
        <v/>
      </c>
      <c r="AF185" s="107"/>
    </row>
    <row r="186" ht="18" customHeight="1" spans="1:32">
      <c r="A186" s="52" t="str">
        <f>IF($AE186="","",IF($AE186&lt;=1200,IF(INDEX(对接源_01水果!$B$4:$B$1203,$AE186)=0,"",INDEX(对接源_01水果!$B$4:$B$1203,$AE186)),IF(INDEX(对接源_02物料!$B$4:$B$1203,$AE186-1200)=0,"",INDEX(对接源_02物料!$B$4:$B$1203,$AE186-1200))))</f>
        <v/>
      </c>
      <c r="B186" s="53" t="str">
        <f>IF($AE186="","",IF($AE186&lt;=1200,IF(INDEX(对接源_01水果!$E$4:$E$1203,$AE186)=0,"",INDEX(对接源_01水果!$E$4:$E$1203,$AE186)),IF(INDEX(对接源_02物料!$E$4:$E$1203,$AE186-1200)=0,"",INDEX(对接源_02物料!$E$4:$E$1203,$AE186-1200))))</f>
        <v/>
      </c>
      <c r="C186" s="106" t="str">
        <f>IF($AE186="","",IF($AE186&lt;=1200,IF(INDEX(对接源_01水果!$F$4:$F$1203,$AE186)=0,"",INDEX(对接源_01水果!$F$4:$F$1203,$AE186)),IF(INDEX(对接源_02物料!$F$4:$F$1203,$AE186-1200)=0,"",INDEX(对接源_02物料!$F$4:$F$1203,$AE186-1200))))</f>
        <v/>
      </c>
      <c r="D186" s="53" t="str">
        <f>IF($AE186="","",IF(IF($AE186&lt;=1200,IF(INDEX(对接源_01水果!$G$4:$G$1203,$AE186)=0,"",INDEX(对接源_01水果!$G$4:$G$1203,$AE186)),IF(INDEX(对接源_02物料!$G$4:$G$1203,$AE186-1200)=0,"",INDEX(对接源_02物料!$G$4:$G$1203,$AE186-1200)))="",IF($AE186&lt;=1200,IF(INDEX(对接源_01水果!$D$4:$D$1203,$AE186)=0,"",INDEX(对接源_01水果!$D$4:$D$1203,$AE186)),IF(INDEX(对接源_02物料!$D$4:$D$1203,$AE186-1200)=0,"",INDEX(对接源_02物料!$D$4:$D$1203,$AE186-1200))),IF($AE186&lt;=1200,IF(INDEX(对接源_01水果!$G$4:$G$1203,$AE186)=0,"",INDEX(对接源_01水果!$G$4:$G$1203,$AE186)),IF(INDEX(对接源_02物料!$G$4:$G$1203,$AE186-1200)=0,"",INDEX(对接源_02物料!$G$4:$G$1203,$AE186-1200)))))</f>
        <v/>
      </c>
      <c r="E186" s="55" t="str">
        <f>IF($AE186="","",IF($AE186&lt;=1200,IF(INDEX(对接源_01水果!$H$4:$H$1203,$AE186)=0,"",INDEX(对接源_01水果!$H$4:$H$1203,$AE186)),IF(INDEX(对接源_02物料!$H$4:$H$1203,$AE186-1200)=0,"",INDEX(对接源_02物料!$H$4:$H$1203,$AE186-1200))))</f>
        <v/>
      </c>
      <c r="F186" s="53" t="str">
        <f>IF($AE186="","",IF($AE186&lt;=1200,IF(INDEX(对接源_01水果!$I$4:$I$1203,$AE186)=0,"",INDEX(对接源_01水果!$I$4:$I$1203,$AE186)),IF(INDEX(对接源_02物料!$I$4:$I$1203,$AE186-1200)=0,"",INDEX(对接源_02物料!$I$4:$I$1203,$AE186-1200))))</f>
        <v/>
      </c>
      <c r="G186" s="55" t="str">
        <f>IF($AE186="","",IF(IF($AE186&lt;=1200,N(INDEX(对接源_01水果!$H$4:$H$1203,$AE186)),N(INDEX(对接源_02物料!$H$4:$H$1203,$AE186-1200)))=0,"",ROUND(IF($AE186&lt;=1200,N(INDEX(对接源_01水果!$K$4:$K$1203,$AE186)),N(INDEX(对接源_02物料!$K$4:$K$1203,$AE186-1200)))/IF($AE186&lt;=1200,N(INDEX(对接源_01水果!$H$4:$H$1203,$AE186)),N(INDEX(对接源_02物料!$H$4:$H$1203,$AE186-1200))),2)))</f>
        <v/>
      </c>
      <c r="H186" s="55" t="str">
        <f>IF($AE186="","",IF($AE186&lt;=1200,IF(INDEX(对接源_01水果!$K$4:$K$1203,$AE186)=0,"",INDEX(对接源_01水果!$K$4:$K$1203,$AE186)),IF(INDEX(对接源_02物料!$K$4:$K$1203,$AE186-1200)=0,"",INDEX(对接源_02物料!$K$4:$K$1203,$AE186-1200))))</f>
        <v/>
      </c>
      <c r="I186" s="53" t="str">
        <f>IF($AE186="","",IF($AE186&lt;=1200,IF(INDEX(对接源_01水果!$L$4:$L$1203,$AE186)=0,"",INDEX(对接源_01水果!$L$4:$L$1203,$AE186)),IF(INDEX(对接源_02物料!$L$4:$L$1203,$AE186-1200)=0,"",INDEX(对接源_02物料!$L$4:$L$1203,$AE186-1200))))</f>
        <v/>
      </c>
      <c r="J186" s="106" t="str">
        <f>IF($AE186="","",IF($AE186&lt;=1200,IF(INDEX(对接源_01水果!$M$4:$M$1203,$AE186)=0,"",INDEX(对接源_01水果!$M$4:$M$1203,$AE186)),IF(INDEX(对接源_02物料!$M$4:$M$1203,$AE186-1200)=0,"",INDEX(对接源_02物料!$M$4:$M$1203,$AE186-1200))))</f>
        <v/>
      </c>
      <c r="AE186" s="107" t="str">
        <f>IFERROR(MATCH(181,_自动清单!$AS$4:$AS$2403,0),"")</f>
        <v/>
      </c>
      <c r="AF186" s="107"/>
    </row>
    <row r="187" ht="18" customHeight="1" spans="1:32">
      <c r="A187" s="52" t="str">
        <f>IF($AE187="","",IF($AE187&lt;=1200,IF(INDEX(对接源_01水果!$B$4:$B$1203,$AE187)=0,"",INDEX(对接源_01水果!$B$4:$B$1203,$AE187)),IF(INDEX(对接源_02物料!$B$4:$B$1203,$AE187-1200)=0,"",INDEX(对接源_02物料!$B$4:$B$1203,$AE187-1200))))</f>
        <v/>
      </c>
      <c r="B187" s="53" t="str">
        <f>IF($AE187="","",IF($AE187&lt;=1200,IF(INDEX(对接源_01水果!$E$4:$E$1203,$AE187)=0,"",INDEX(对接源_01水果!$E$4:$E$1203,$AE187)),IF(INDEX(对接源_02物料!$E$4:$E$1203,$AE187-1200)=0,"",INDEX(对接源_02物料!$E$4:$E$1203,$AE187-1200))))</f>
        <v/>
      </c>
      <c r="C187" s="106" t="str">
        <f>IF($AE187="","",IF($AE187&lt;=1200,IF(INDEX(对接源_01水果!$F$4:$F$1203,$AE187)=0,"",INDEX(对接源_01水果!$F$4:$F$1203,$AE187)),IF(INDEX(对接源_02物料!$F$4:$F$1203,$AE187-1200)=0,"",INDEX(对接源_02物料!$F$4:$F$1203,$AE187-1200))))</f>
        <v/>
      </c>
      <c r="D187" s="53" t="str">
        <f>IF($AE187="","",IF(IF($AE187&lt;=1200,IF(INDEX(对接源_01水果!$G$4:$G$1203,$AE187)=0,"",INDEX(对接源_01水果!$G$4:$G$1203,$AE187)),IF(INDEX(对接源_02物料!$G$4:$G$1203,$AE187-1200)=0,"",INDEX(对接源_02物料!$G$4:$G$1203,$AE187-1200)))="",IF($AE187&lt;=1200,IF(INDEX(对接源_01水果!$D$4:$D$1203,$AE187)=0,"",INDEX(对接源_01水果!$D$4:$D$1203,$AE187)),IF(INDEX(对接源_02物料!$D$4:$D$1203,$AE187-1200)=0,"",INDEX(对接源_02物料!$D$4:$D$1203,$AE187-1200))),IF($AE187&lt;=1200,IF(INDEX(对接源_01水果!$G$4:$G$1203,$AE187)=0,"",INDEX(对接源_01水果!$G$4:$G$1203,$AE187)),IF(INDEX(对接源_02物料!$G$4:$G$1203,$AE187-1200)=0,"",INDEX(对接源_02物料!$G$4:$G$1203,$AE187-1200)))))</f>
        <v/>
      </c>
      <c r="E187" s="55" t="str">
        <f>IF($AE187="","",IF($AE187&lt;=1200,IF(INDEX(对接源_01水果!$H$4:$H$1203,$AE187)=0,"",INDEX(对接源_01水果!$H$4:$H$1203,$AE187)),IF(INDEX(对接源_02物料!$H$4:$H$1203,$AE187-1200)=0,"",INDEX(对接源_02物料!$H$4:$H$1203,$AE187-1200))))</f>
        <v/>
      </c>
      <c r="F187" s="53" t="str">
        <f>IF($AE187="","",IF($AE187&lt;=1200,IF(INDEX(对接源_01水果!$I$4:$I$1203,$AE187)=0,"",INDEX(对接源_01水果!$I$4:$I$1203,$AE187)),IF(INDEX(对接源_02物料!$I$4:$I$1203,$AE187-1200)=0,"",INDEX(对接源_02物料!$I$4:$I$1203,$AE187-1200))))</f>
        <v/>
      </c>
      <c r="G187" s="55" t="str">
        <f>IF($AE187="","",IF(IF($AE187&lt;=1200,N(INDEX(对接源_01水果!$H$4:$H$1203,$AE187)),N(INDEX(对接源_02物料!$H$4:$H$1203,$AE187-1200)))=0,"",ROUND(IF($AE187&lt;=1200,N(INDEX(对接源_01水果!$K$4:$K$1203,$AE187)),N(INDEX(对接源_02物料!$K$4:$K$1203,$AE187-1200)))/IF($AE187&lt;=1200,N(INDEX(对接源_01水果!$H$4:$H$1203,$AE187)),N(INDEX(对接源_02物料!$H$4:$H$1203,$AE187-1200))),2)))</f>
        <v/>
      </c>
      <c r="H187" s="55" t="str">
        <f>IF($AE187="","",IF($AE187&lt;=1200,IF(INDEX(对接源_01水果!$K$4:$K$1203,$AE187)=0,"",INDEX(对接源_01水果!$K$4:$K$1203,$AE187)),IF(INDEX(对接源_02物料!$K$4:$K$1203,$AE187-1200)=0,"",INDEX(对接源_02物料!$K$4:$K$1203,$AE187-1200))))</f>
        <v/>
      </c>
      <c r="I187" s="53" t="str">
        <f>IF($AE187="","",IF($AE187&lt;=1200,IF(INDEX(对接源_01水果!$L$4:$L$1203,$AE187)=0,"",INDEX(对接源_01水果!$L$4:$L$1203,$AE187)),IF(INDEX(对接源_02物料!$L$4:$L$1203,$AE187-1200)=0,"",INDEX(对接源_02物料!$L$4:$L$1203,$AE187-1200))))</f>
        <v/>
      </c>
      <c r="J187" s="106" t="str">
        <f>IF($AE187="","",IF($AE187&lt;=1200,IF(INDEX(对接源_01水果!$M$4:$M$1203,$AE187)=0,"",INDEX(对接源_01水果!$M$4:$M$1203,$AE187)),IF(INDEX(对接源_02物料!$M$4:$M$1203,$AE187-1200)=0,"",INDEX(对接源_02物料!$M$4:$M$1203,$AE187-1200))))</f>
        <v/>
      </c>
      <c r="AE187" s="107" t="str">
        <f>IFERROR(MATCH(182,_自动清单!$AS$4:$AS$2403,0),"")</f>
        <v/>
      </c>
      <c r="AF187" s="107"/>
    </row>
    <row r="188" ht="18" customHeight="1" spans="1:32">
      <c r="A188" s="52" t="str">
        <f>IF($AE188="","",IF($AE188&lt;=1200,IF(INDEX(对接源_01水果!$B$4:$B$1203,$AE188)=0,"",INDEX(对接源_01水果!$B$4:$B$1203,$AE188)),IF(INDEX(对接源_02物料!$B$4:$B$1203,$AE188-1200)=0,"",INDEX(对接源_02物料!$B$4:$B$1203,$AE188-1200))))</f>
        <v/>
      </c>
      <c r="B188" s="53" t="str">
        <f>IF($AE188="","",IF($AE188&lt;=1200,IF(INDEX(对接源_01水果!$E$4:$E$1203,$AE188)=0,"",INDEX(对接源_01水果!$E$4:$E$1203,$AE188)),IF(INDEX(对接源_02物料!$E$4:$E$1203,$AE188-1200)=0,"",INDEX(对接源_02物料!$E$4:$E$1203,$AE188-1200))))</f>
        <v/>
      </c>
      <c r="C188" s="106" t="str">
        <f>IF($AE188="","",IF($AE188&lt;=1200,IF(INDEX(对接源_01水果!$F$4:$F$1203,$AE188)=0,"",INDEX(对接源_01水果!$F$4:$F$1203,$AE188)),IF(INDEX(对接源_02物料!$F$4:$F$1203,$AE188-1200)=0,"",INDEX(对接源_02物料!$F$4:$F$1203,$AE188-1200))))</f>
        <v/>
      </c>
      <c r="D188" s="53" t="str">
        <f>IF($AE188="","",IF(IF($AE188&lt;=1200,IF(INDEX(对接源_01水果!$G$4:$G$1203,$AE188)=0,"",INDEX(对接源_01水果!$G$4:$G$1203,$AE188)),IF(INDEX(对接源_02物料!$G$4:$G$1203,$AE188-1200)=0,"",INDEX(对接源_02物料!$G$4:$G$1203,$AE188-1200)))="",IF($AE188&lt;=1200,IF(INDEX(对接源_01水果!$D$4:$D$1203,$AE188)=0,"",INDEX(对接源_01水果!$D$4:$D$1203,$AE188)),IF(INDEX(对接源_02物料!$D$4:$D$1203,$AE188-1200)=0,"",INDEX(对接源_02物料!$D$4:$D$1203,$AE188-1200))),IF($AE188&lt;=1200,IF(INDEX(对接源_01水果!$G$4:$G$1203,$AE188)=0,"",INDEX(对接源_01水果!$G$4:$G$1203,$AE188)),IF(INDEX(对接源_02物料!$G$4:$G$1203,$AE188-1200)=0,"",INDEX(对接源_02物料!$G$4:$G$1203,$AE188-1200)))))</f>
        <v/>
      </c>
      <c r="E188" s="55" t="str">
        <f>IF($AE188="","",IF($AE188&lt;=1200,IF(INDEX(对接源_01水果!$H$4:$H$1203,$AE188)=0,"",INDEX(对接源_01水果!$H$4:$H$1203,$AE188)),IF(INDEX(对接源_02物料!$H$4:$H$1203,$AE188-1200)=0,"",INDEX(对接源_02物料!$H$4:$H$1203,$AE188-1200))))</f>
        <v/>
      </c>
      <c r="F188" s="53" t="str">
        <f>IF($AE188="","",IF($AE188&lt;=1200,IF(INDEX(对接源_01水果!$I$4:$I$1203,$AE188)=0,"",INDEX(对接源_01水果!$I$4:$I$1203,$AE188)),IF(INDEX(对接源_02物料!$I$4:$I$1203,$AE188-1200)=0,"",INDEX(对接源_02物料!$I$4:$I$1203,$AE188-1200))))</f>
        <v/>
      </c>
      <c r="G188" s="55" t="str">
        <f>IF($AE188="","",IF(IF($AE188&lt;=1200,N(INDEX(对接源_01水果!$H$4:$H$1203,$AE188)),N(INDEX(对接源_02物料!$H$4:$H$1203,$AE188-1200)))=0,"",ROUND(IF($AE188&lt;=1200,N(INDEX(对接源_01水果!$K$4:$K$1203,$AE188)),N(INDEX(对接源_02物料!$K$4:$K$1203,$AE188-1200)))/IF($AE188&lt;=1200,N(INDEX(对接源_01水果!$H$4:$H$1203,$AE188)),N(INDEX(对接源_02物料!$H$4:$H$1203,$AE188-1200))),2)))</f>
        <v/>
      </c>
      <c r="H188" s="55" t="str">
        <f>IF($AE188="","",IF($AE188&lt;=1200,IF(INDEX(对接源_01水果!$K$4:$K$1203,$AE188)=0,"",INDEX(对接源_01水果!$K$4:$K$1203,$AE188)),IF(INDEX(对接源_02物料!$K$4:$K$1203,$AE188-1200)=0,"",INDEX(对接源_02物料!$K$4:$K$1203,$AE188-1200))))</f>
        <v/>
      </c>
      <c r="I188" s="53" t="str">
        <f>IF($AE188="","",IF($AE188&lt;=1200,IF(INDEX(对接源_01水果!$L$4:$L$1203,$AE188)=0,"",INDEX(对接源_01水果!$L$4:$L$1203,$AE188)),IF(INDEX(对接源_02物料!$L$4:$L$1203,$AE188-1200)=0,"",INDEX(对接源_02物料!$L$4:$L$1203,$AE188-1200))))</f>
        <v/>
      </c>
      <c r="J188" s="106" t="str">
        <f>IF($AE188="","",IF($AE188&lt;=1200,IF(INDEX(对接源_01水果!$M$4:$M$1203,$AE188)=0,"",INDEX(对接源_01水果!$M$4:$M$1203,$AE188)),IF(INDEX(对接源_02物料!$M$4:$M$1203,$AE188-1200)=0,"",INDEX(对接源_02物料!$M$4:$M$1203,$AE188-1200))))</f>
        <v/>
      </c>
      <c r="AE188" s="107" t="str">
        <f>IFERROR(MATCH(183,_自动清单!$AS$4:$AS$2403,0),"")</f>
        <v/>
      </c>
      <c r="AF188" s="107"/>
    </row>
    <row r="189" ht="18" customHeight="1" spans="1:32">
      <c r="A189" s="52" t="str">
        <f>IF($AE189="","",IF($AE189&lt;=1200,IF(INDEX(对接源_01水果!$B$4:$B$1203,$AE189)=0,"",INDEX(对接源_01水果!$B$4:$B$1203,$AE189)),IF(INDEX(对接源_02物料!$B$4:$B$1203,$AE189-1200)=0,"",INDEX(对接源_02物料!$B$4:$B$1203,$AE189-1200))))</f>
        <v/>
      </c>
      <c r="B189" s="53" t="str">
        <f>IF($AE189="","",IF($AE189&lt;=1200,IF(INDEX(对接源_01水果!$E$4:$E$1203,$AE189)=0,"",INDEX(对接源_01水果!$E$4:$E$1203,$AE189)),IF(INDEX(对接源_02物料!$E$4:$E$1203,$AE189-1200)=0,"",INDEX(对接源_02物料!$E$4:$E$1203,$AE189-1200))))</f>
        <v/>
      </c>
      <c r="C189" s="106" t="str">
        <f>IF($AE189="","",IF($AE189&lt;=1200,IF(INDEX(对接源_01水果!$F$4:$F$1203,$AE189)=0,"",INDEX(对接源_01水果!$F$4:$F$1203,$AE189)),IF(INDEX(对接源_02物料!$F$4:$F$1203,$AE189-1200)=0,"",INDEX(对接源_02物料!$F$4:$F$1203,$AE189-1200))))</f>
        <v/>
      </c>
      <c r="D189" s="53" t="str">
        <f>IF($AE189="","",IF(IF($AE189&lt;=1200,IF(INDEX(对接源_01水果!$G$4:$G$1203,$AE189)=0,"",INDEX(对接源_01水果!$G$4:$G$1203,$AE189)),IF(INDEX(对接源_02物料!$G$4:$G$1203,$AE189-1200)=0,"",INDEX(对接源_02物料!$G$4:$G$1203,$AE189-1200)))="",IF($AE189&lt;=1200,IF(INDEX(对接源_01水果!$D$4:$D$1203,$AE189)=0,"",INDEX(对接源_01水果!$D$4:$D$1203,$AE189)),IF(INDEX(对接源_02物料!$D$4:$D$1203,$AE189-1200)=0,"",INDEX(对接源_02物料!$D$4:$D$1203,$AE189-1200))),IF($AE189&lt;=1200,IF(INDEX(对接源_01水果!$G$4:$G$1203,$AE189)=0,"",INDEX(对接源_01水果!$G$4:$G$1203,$AE189)),IF(INDEX(对接源_02物料!$G$4:$G$1203,$AE189-1200)=0,"",INDEX(对接源_02物料!$G$4:$G$1203,$AE189-1200)))))</f>
        <v/>
      </c>
      <c r="E189" s="55" t="str">
        <f>IF($AE189="","",IF($AE189&lt;=1200,IF(INDEX(对接源_01水果!$H$4:$H$1203,$AE189)=0,"",INDEX(对接源_01水果!$H$4:$H$1203,$AE189)),IF(INDEX(对接源_02物料!$H$4:$H$1203,$AE189-1200)=0,"",INDEX(对接源_02物料!$H$4:$H$1203,$AE189-1200))))</f>
        <v/>
      </c>
      <c r="F189" s="53" t="str">
        <f>IF($AE189="","",IF($AE189&lt;=1200,IF(INDEX(对接源_01水果!$I$4:$I$1203,$AE189)=0,"",INDEX(对接源_01水果!$I$4:$I$1203,$AE189)),IF(INDEX(对接源_02物料!$I$4:$I$1203,$AE189-1200)=0,"",INDEX(对接源_02物料!$I$4:$I$1203,$AE189-1200))))</f>
        <v/>
      </c>
      <c r="G189" s="55" t="str">
        <f>IF($AE189="","",IF(IF($AE189&lt;=1200,N(INDEX(对接源_01水果!$H$4:$H$1203,$AE189)),N(INDEX(对接源_02物料!$H$4:$H$1203,$AE189-1200)))=0,"",ROUND(IF($AE189&lt;=1200,N(INDEX(对接源_01水果!$K$4:$K$1203,$AE189)),N(INDEX(对接源_02物料!$K$4:$K$1203,$AE189-1200)))/IF($AE189&lt;=1200,N(INDEX(对接源_01水果!$H$4:$H$1203,$AE189)),N(INDEX(对接源_02物料!$H$4:$H$1203,$AE189-1200))),2)))</f>
        <v/>
      </c>
      <c r="H189" s="55" t="str">
        <f>IF($AE189="","",IF($AE189&lt;=1200,IF(INDEX(对接源_01水果!$K$4:$K$1203,$AE189)=0,"",INDEX(对接源_01水果!$K$4:$K$1203,$AE189)),IF(INDEX(对接源_02物料!$K$4:$K$1203,$AE189-1200)=0,"",INDEX(对接源_02物料!$K$4:$K$1203,$AE189-1200))))</f>
        <v/>
      </c>
      <c r="I189" s="53" t="str">
        <f>IF($AE189="","",IF($AE189&lt;=1200,IF(INDEX(对接源_01水果!$L$4:$L$1203,$AE189)=0,"",INDEX(对接源_01水果!$L$4:$L$1203,$AE189)),IF(INDEX(对接源_02物料!$L$4:$L$1203,$AE189-1200)=0,"",INDEX(对接源_02物料!$L$4:$L$1203,$AE189-1200))))</f>
        <v/>
      </c>
      <c r="J189" s="106" t="str">
        <f>IF($AE189="","",IF($AE189&lt;=1200,IF(INDEX(对接源_01水果!$M$4:$M$1203,$AE189)=0,"",INDEX(对接源_01水果!$M$4:$M$1203,$AE189)),IF(INDEX(对接源_02物料!$M$4:$M$1203,$AE189-1200)=0,"",INDEX(对接源_02物料!$M$4:$M$1203,$AE189-1200))))</f>
        <v/>
      </c>
      <c r="AE189" s="107" t="str">
        <f>IFERROR(MATCH(184,_自动清单!$AS$4:$AS$2403,0),"")</f>
        <v/>
      </c>
      <c r="AF189" s="107"/>
    </row>
    <row r="190" ht="18" customHeight="1" spans="1:32">
      <c r="A190" s="52" t="str">
        <f>IF($AE190="","",IF($AE190&lt;=1200,IF(INDEX(对接源_01水果!$B$4:$B$1203,$AE190)=0,"",INDEX(对接源_01水果!$B$4:$B$1203,$AE190)),IF(INDEX(对接源_02物料!$B$4:$B$1203,$AE190-1200)=0,"",INDEX(对接源_02物料!$B$4:$B$1203,$AE190-1200))))</f>
        <v/>
      </c>
      <c r="B190" s="53" t="str">
        <f>IF($AE190="","",IF($AE190&lt;=1200,IF(INDEX(对接源_01水果!$E$4:$E$1203,$AE190)=0,"",INDEX(对接源_01水果!$E$4:$E$1203,$AE190)),IF(INDEX(对接源_02物料!$E$4:$E$1203,$AE190-1200)=0,"",INDEX(对接源_02物料!$E$4:$E$1203,$AE190-1200))))</f>
        <v/>
      </c>
      <c r="C190" s="106" t="str">
        <f>IF($AE190="","",IF($AE190&lt;=1200,IF(INDEX(对接源_01水果!$F$4:$F$1203,$AE190)=0,"",INDEX(对接源_01水果!$F$4:$F$1203,$AE190)),IF(INDEX(对接源_02物料!$F$4:$F$1203,$AE190-1200)=0,"",INDEX(对接源_02物料!$F$4:$F$1203,$AE190-1200))))</f>
        <v/>
      </c>
      <c r="D190" s="53" t="str">
        <f>IF($AE190="","",IF(IF($AE190&lt;=1200,IF(INDEX(对接源_01水果!$G$4:$G$1203,$AE190)=0,"",INDEX(对接源_01水果!$G$4:$G$1203,$AE190)),IF(INDEX(对接源_02物料!$G$4:$G$1203,$AE190-1200)=0,"",INDEX(对接源_02物料!$G$4:$G$1203,$AE190-1200)))="",IF($AE190&lt;=1200,IF(INDEX(对接源_01水果!$D$4:$D$1203,$AE190)=0,"",INDEX(对接源_01水果!$D$4:$D$1203,$AE190)),IF(INDEX(对接源_02物料!$D$4:$D$1203,$AE190-1200)=0,"",INDEX(对接源_02物料!$D$4:$D$1203,$AE190-1200))),IF($AE190&lt;=1200,IF(INDEX(对接源_01水果!$G$4:$G$1203,$AE190)=0,"",INDEX(对接源_01水果!$G$4:$G$1203,$AE190)),IF(INDEX(对接源_02物料!$G$4:$G$1203,$AE190-1200)=0,"",INDEX(对接源_02物料!$G$4:$G$1203,$AE190-1200)))))</f>
        <v/>
      </c>
      <c r="E190" s="55" t="str">
        <f>IF($AE190="","",IF($AE190&lt;=1200,IF(INDEX(对接源_01水果!$H$4:$H$1203,$AE190)=0,"",INDEX(对接源_01水果!$H$4:$H$1203,$AE190)),IF(INDEX(对接源_02物料!$H$4:$H$1203,$AE190-1200)=0,"",INDEX(对接源_02物料!$H$4:$H$1203,$AE190-1200))))</f>
        <v/>
      </c>
      <c r="F190" s="53" t="str">
        <f>IF($AE190="","",IF($AE190&lt;=1200,IF(INDEX(对接源_01水果!$I$4:$I$1203,$AE190)=0,"",INDEX(对接源_01水果!$I$4:$I$1203,$AE190)),IF(INDEX(对接源_02物料!$I$4:$I$1203,$AE190-1200)=0,"",INDEX(对接源_02物料!$I$4:$I$1203,$AE190-1200))))</f>
        <v/>
      </c>
      <c r="G190" s="55" t="str">
        <f>IF($AE190="","",IF(IF($AE190&lt;=1200,N(INDEX(对接源_01水果!$H$4:$H$1203,$AE190)),N(INDEX(对接源_02物料!$H$4:$H$1203,$AE190-1200)))=0,"",ROUND(IF($AE190&lt;=1200,N(INDEX(对接源_01水果!$K$4:$K$1203,$AE190)),N(INDEX(对接源_02物料!$K$4:$K$1203,$AE190-1200)))/IF($AE190&lt;=1200,N(INDEX(对接源_01水果!$H$4:$H$1203,$AE190)),N(INDEX(对接源_02物料!$H$4:$H$1203,$AE190-1200))),2)))</f>
        <v/>
      </c>
      <c r="H190" s="55" t="str">
        <f>IF($AE190="","",IF($AE190&lt;=1200,IF(INDEX(对接源_01水果!$K$4:$K$1203,$AE190)=0,"",INDEX(对接源_01水果!$K$4:$K$1203,$AE190)),IF(INDEX(对接源_02物料!$K$4:$K$1203,$AE190-1200)=0,"",INDEX(对接源_02物料!$K$4:$K$1203,$AE190-1200))))</f>
        <v/>
      </c>
      <c r="I190" s="53" t="str">
        <f>IF($AE190="","",IF($AE190&lt;=1200,IF(INDEX(对接源_01水果!$L$4:$L$1203,$AE190)=0,"",INDEX(对接源_01水果!$L$4:$L$1203,$AE190)),IF(INDEX(对接源_02物料!$L$4:$L$1203,$AE190-1200)=0,"",INDEX(对接源_02物料!$L$4:$L$1203,$AE190-1200))))</f>
        <v/>
      </c>
      <c r="J190" s="106" t="str">
        <f>IF($AE190="","",IF($AE190&lt;=1200,IF(INDEX(对接源_01水果!$M$4:$M$1203,$AE190)=0,"",INDEX(对接源_01水果!$M$4:$M$1203,$AE190)),IF(INDEX(对接源_02物料!$M$4:$M$1203,$AE190-1200)=0,"",INDEX(对接源_02物料!$M$4:$M$1203,$AE190-1200))))</f>
        <v/>
      </c>
      <c r="AE190" s="107" t="str">
        <f>IFERROR(MATCH(185,_自动清单!$AS$4:$AS$2403,0),"")</f>
        <v/>
      </c>
      <c r="AF190" s="107"/>
    </row>
    <row r="191" ht="18" customHeight="1" spans="1:32">
      <c r="A191" s="52" t="str">
        <f>IF($AE191="","",IF($AE191&lt;=1200,IF(INDEX(对接源_01水果!$B$4:$B$1203,$AE191)=0,"",INDEX(对接源_01水果!$B$4:$B$1203,$AE191)),IF(INDEX(对接源_02物料!$B$4:$B$1203,$AE191-1200)=0,"",INDEX(对接源_02物料!$B$4:$B$1203,$AE191-1200))))</f>
        <v/>
      </c>
      <c r="B191" s="53" t="str">
        <f>IF($AE191="","",IF($AE191&lt;=1200,IF(INDEX(对接源_01水果!$E$4:$E$1203,$AE191)=0,"",INDEX(对接源_01水果!$E$4:$E$1203,$AE191)),IF(INDEX(对接源_02物料!$E$4:$E$1203,$AE191-1200)=0,"",INDEX(对接源_02物料!$E$4:$E$1203,$AE191-1200))))</f>
        <v/>
      </c>
      <c r="C191" s="106" t="str">
        <f>IF($AE191="","",IF($AE191&lt;=1200,IF(INDEX(对接源_01水果!$F$4:$F$1203,$AE191)=0,"",INDEX(对接源_01水果!$F$4:$F$1203,$AE191)),IF(INDEX(对接源_02物料!$F$4:$F$1203,$AE191-1200)=0,"",INDEX(对接源_02物料!$F$4:$F$1203,$AE191-1200))))</f>
        <v/>
      </c>
      <c r="D191" s="53" t="str">
        <f>IF($AE191="","",IF(IF($AE191&lt;=1200,IF(INDEX(对接源_01水果!$G$4:$G$1203,$AE191)=0,"",INDEX(对接源_01水果!$G$4:$G$1203,$AE191)),IF(INDEX(对接源_02物料!$G$4:$G$1203,$AE191-1200)=0,"",INDEX(对接源_02物料!$G$4:$G$1203,$AE191-1200)))="",IF($AE191&lt;=1200,IF(INDEX(对接源_01水果!$D$4:$D$1203,$AE191)=0,"",INDEX(对接源_01水果!$D$4:$D$1203,$AE191)),IF(INDEX(对接源_02物料!$D$4:$D$1203,$AE191-1200)=0,"",INDEX(对接源_02物料!$D$4:$D$1203,$AE191-1200))),IF($AE191&lt;=1200,IF(INDEX(对接源_01水果!$G$4:$G$1203,$AE191)=0,"",INDEX(对接源_01水果!$G$4:$G$1203,$AE191)),IF(INDEX(对接源_02物料!$G$4:$G$1203,$AE191-1200)=0,"",INDEX(对接源_02物料!$G$4:$G$1203,$AE191-1200)))))</f>
        <v/>
      </c>
      <c r="E191" s="55" t="str">
        <f>IF($AE191="","",IF($AE191&lt;=1200,IF(INDEX(对接源_01水果!$H$4:$H$1203,$AE191)=0,"",INDEX(对接源_01水果!$H$4:$H$1203,$AE191)),IF(INDEX(对接源_02物料!$H$4:$H$1203,$AE191-1200)=0,"",INDEX(对接源_02物料!$H$4:$H$1203,$AE191-1200))))</f>
        <v/>
      </c>
      <c r="F191" s="53" t="str">
        <f>IF($AE191="","",IF($AE191&lt;=1200,IF(INDEX(对接源_01水果!$I$4:$I$1203,$AE191)=0,"",INDEX(对接源_01水果!$I$4:$I$1203,$AE191)),IF(INDEX(对接源_02物料!$I$4:$I$1203,$AE191-1200)=0,"",INDEX(对接源_02物料!$I$4:$I$1203,$AE191-1200))))</f>
        <v/>
      </c>
      <c r="G191" s="55" t="str">
        <f>IF($AE191="","",IF(IF($AE191&lt;=1200,N(INDEX(对接源_01水果!$H$4:$H$1203,$AE191)),N(INDEX(对接源_02物料!$H$4:$H$1203,$AE191-1200)))=0,"",ROUND(IF($AE191&lt;=1200,N(INDEX(对接源_01水果!$K$4:$K$1203,$AE191)),N(INDEX(对接源_02物料!$K$4:$K$1203,$AE191-1200)))/IF($AE191&lt;=1200,N(INDEX(对接源_01水果!$H$4:$H$1203,$AE191)),N(INDEX(对接源_02物料!$H$4:$H$1203,$AE191-1200))),2)))</f>
        <v/>
      </c>
      <c r="H191" s="55" t="str">
        <f>IF($AE191="","",IF($AE191&lt;=1200,IF(INDEX(对接源_01水果!$K$4:$K$1203,$AE191)=0,"",INDEX(对接源_01水果!$K$4:$K$1203,$AE191)),IF(INDEX(对接源_02物料!$K$4:$K$1203,$AE191-1200)=0,"",INDEX(对接源_02物料!$K$4:$K$1203,$AE191-1200))))</f>
        <v/>
      </c>
      <c r="I191" s="53" t="str">
        <f>IF($AE191="","",IF($AE191&lt;=1200,IF(INDEX(对接源_01水果!$L$4:$L$1203,$AE191)=0,"",INDEX(对接源_01水果!$L$4:$L$1203,$AE191)),IF(INDEX(对接源_02物料!$L$4:$L$1203,$AE191-1200)=0,"",INDEX(对接源_02物料!$L$4:$L$1203,$AE191-1200))))</f>
        <v/>
      </c>
      <c r="J191" s="106" t="str">
        <f>IF($AE191="","",IF($AE191&lt;=1200,IF(INDEX(对接源_01水果!$M$4:$M$1203,$AE191)=0,"",INDEX(对接源_01水果!$M$4:$M$1203,$AE191)),IF(INDEX(对接源_02物料!$M$4:$M$1203,$AE191-1200)=0,"",INDEX(对接源_02物料!$M$4:$M$1203,$AE191-1200))))</f>
        <v/>
      </c>
      <c r="AE191" s="107" t="str">
        <f>IFERROR(MATCH(186,_自动清单!$AS$4:$AS$2403,0),"")</f>
        <v/>
      </c>
      <c r="AF191" s="107"/>
    </row>
    <row r="192" ht="18" customHeight="1" spans="1:32">
      <c r="A192" s="52" t="str">
        <f>IF($AE192="","",IF($AE192&lt;=1200,IF(INDEX(对接源_01水果!$B$4:$B$1203,$AE192)=0,"",INDEX(对接源_01水果!$B$4:$B$1203,$AE192)),IF(INDEX(对接源_02物料!$B$4:$B$1203,$AE192-1200)=0,"",INDEX(对接源_02物料!$B$4:$B$1203,$AE192-1200))))</f>
        <v/>
      </c>
      <c r="B192" s="53" t="str">
        <f>IF($AE192="","",IF($AE192&lt;=1200,IF(INDEX(对接源_01水果!$E$4:$E$1203,$AE192)=0,"",INDEX(对接源_01水果!$E$4:$E$1203,$AE192)),IF(INDEX(对接源_02物料!$E$4:$E$1203,$AE192-1200)=0,"",INDEX(对接源_02物料!$E$4:$E$1203,$AE192-1200))))</f>
        <v/>
      </c>
      <c r="C192" s="106" t="str">
        <f>IF($AE192="","",IF($AE192&lt;=1200,IF(INDEX(对接源_01水果!$F$4:$F$1203,$AE192)=0,"",INDEX(对接源_01水果!$F$4:$F$1203,$AE192)),IF(INDEX(对接源_02物料!$F$4:$F$1203,$AE192-1200)=0,"",INDEX(对接源_02物料!$F$4:$F$1203,$AE192-1200))))</f>
        <v/>
      </c>
      <c r="D192" s="53" t="str">
        <f>IF($AE192="","",IF(IF($AE192&lt;=1200,IF(INDEX(对接源_01水果!$G$4:$G$1203,$AE192)=0,"",INDEX(对接源_01水果!$G$4:$G$1203,$AE192)),IF(INDEX(对接源_02物料!$G$4:$G$1203,$AE192-1200)=0,"",INDEX(对接源_02物料!$G$4:$G$1203,$AE192-1200)))="",IF($AE192&lt;=1200,IF(INDEX(对接源_01水果!$D$4:$D$1203,$AE192)=0,"",INDEX(对接源_01水果!$D$4:$D$1203,$AE192)),IF(INDEX(对接源_02物料!$D$4:$D$1203,$AE192-1200)=0,"",INDEX(对接源_02物料!$D$4:$D$1203,$AE192-1200))),IF($AE192&lt;=1200,IF(INDEX(对接源_01水果!$G$4:$G$1203,$AE192)=0,"",INDEX(对接源_01水果!$G$4:$G$1203,$AE192)),IF(INDEX(对接源_02物料!$G$4:$G$1203,$AE192-1200)=0,"",INDEX(对接源_02物料!$G$4:$G$1203,$AE192-1200)))))</f>
        <v/>
      </c>
      <c r="E192" s="55" t="str">
        <f>IF($AE192="","",IF($AE192&lt;=1200,IF(INDEX(对接源_01水果!$H$4:$H$1203,$AE192)=0,"",INDEX(对接源_01水果!$H$4:$H$1203,$AE192)),IF(INDEX(对接源_02物料!$H$4:$H$1203,$AE192-1200)=0,"",INDEX(对接源_02物料!$H$4:$H$1203,$AE192-1200))))</f>
        <v/>
      </c>
      <c r="F192" s="53" t="str">
        <f>IF($AE192="","",IF($AE192&lt;=1200,IF(INDEX(对接源_01水果!$I$4:$I$1203,$AE192)=0,"",INDEX(对接源_01水果!$I$4:$I$1203,$AE192)),IF(INDEX(对接源_02物料!$I$4:$I$1203,$AE192-1200)=0,"",INDEX(对接源_02物料!$I$4:$I$1203,$AE192-1200))))</f>
        <v/>
      </c>
      <c r="G192" s="55" t="str">
        <f>IF($AE192="","",IF(IF($AE192&lt;=1200,N(INDEX(对接源_01水果!$H$4:$H$1203,$AE192)),N(INDEX(对接源_02物料!$H$4:$H$1203,$AE192-1200)))=0,"",ROUND(IF($AE192&lt;=1200,N(INDEX(对接源_01水果!$K$4:$K$1203,$AE192)),N(INDEX(对接源_02物料!$K$4:$K$1203,$AE192-1200)))/IF($AE192&lt;=1200,N(INDEX(对接源_01水果!$H$4:$H$1203,$AE192)),N(INDEX(对接源_02物料!$H$4:$H$1203,$AE192-1200))),2)))</f>
        <v/>
      </c>
      <c r="H192" s="55" t="str">
        <f>IF($AE192="","",IF($AE192&lt;=1200,IF(INDEX(对接源_01水果!$K$4:$K$1203,$AE192)=0,"",INDEX(对接源_01水果!$K$4:$K$1203,$AE192)),IF(INDEX(对接源_02物料!$K$4:$K$1203,$AE192-1200)=0,"",INDEX(对接源_02物料!$K$4:$K$1203,$AE192-1200))))</f>
        <v/>
      </c>
      <c r="I192" s="53" t="str">
        <f>IF($AE192="","",IF($AE192&lt;=1200,IF(INDEX(对接源_01水果!$L$4:$L$1203,$AE192)=0,"",INDEX(对接源_01水果!$L$4:$L$1203,$AE192)),IF(INDEX(对接源_02物料!$L$4:$L$1203,$AE192-1200)=0,"",INDEX(对接源_02物料!$L$4:$L$1203,$AE192-1200))))</f>
        <v/>
      </c>
      <c r="J192" s="106" t="str">
        <f>IF($AE192="","",IF($AE192&lt;=1200,IF(INDEX(对接源_01水果!$M$4:$M$1203,$AE192)=0,"",INDEX(对接源_01水果!$M$4:$M$1203,$AE192)),IF(INDEX(对接源_02物料!$M$4:$M$1203,$AE192-1200)=0,"",INDEX(对接源_02物料!$M$4:$M$1203,$AE192-1200))))</f>
        <v/>
      </c>
      <c r="AE192" s="107" t="str">
        <f>IFERROR(MATCH(187,_自动清单!$AS$4:$AS$2403,0),"")</f>
        <v/>
      </c>
      <c r="AF192" s="107"/>
    </row>
    <row r="193" ht="18" customHeight="1" spans="1:32">
      <c r="A193" s="52" t="str">
        <f>IF($AE193="","",IF($AE193&lt;=1200,IF(INDEX(对接源_01水果!$B$4:$B$1203,$AE193)=0,"",INDEX(对接源_01水果!$B$4:$B$1203,$AE193)),IF(INDEX(对接源_02物料!$B$4:$B$1203,$AE193-1200)=0,"",INDEX(对接源_02物料!$B$4:$B$1203,$AE193-1200))))</f>
        <v/>
      </c>
      <c r="B193" s="53" t="str">
        <f>IF($AE193="","",IF($AE193&lt;=1200,IF(INDEX(对接源_01水果!$E$4:$E$1203,$AE193)=0,"",INDEX(对接源_01水果!$E$4:$E$1203,$AE193)),IF(INDEX(对接源_02物料!$E$4:$E$1203,$AE193-1200)=0,"",INDEX(对接源_02物料!$E$4:$E$1203,$AE193-1200))))</f>
        <v/>
      </c>
      <c r="C193" s="106" t="str">
        <f>IF($AE193="","",IF($AE193&lt;=1200,IF(INDEX(对接源_01水果!$F$4:$F$1203,$AE193)=0,"",INDEX(对接源_01水果!$F$4:$F$1203,$AE193)),IF(INDEX(对接源_02物料!$F$4:$F$1203,$AE193-1200)=0,"",INDEX(对接源_02物料!$F$4:$F$1203,$AE193-1200))))</f>
        <v/>
      </c>
      <c r="D193" s="53" t="str">
        <f>IF($AE193="","",IF(IF($AE193&lt;=1200,IF(INDEX(对接源_01水果!$G$4:$G$1203,$AE193)=0,"",INDEX(对接源_01水果!$G$4:$G$1203,$AE193)),IF(INDEX(对接源_02物料!$G$4:$G$1203,$AE193-1200)=0,"",INDEX(对接源_02物料!$G$4:$G$1203,$AE193-1200)))="",IF($AE193&lt;=1200,IF(INDEX(对接源_01水果!$D$4:$D$1203,$AE193)=0,"",INDEX(对接源_01水果!$D$4:$D$1203,$AE193)),IF(INDEX(对接源_02物料!$D$4:$D$1203,$AE193-1200)=0,"",INDEX(对接源_02物料!$D$4:$D$1203,$AE193-1200))),IF($AE193&lt;=1200,IF(INDEX(对接源_01水果!$G$4:$G$1203,$AE193)=0,"",INDEX(对接源_01水果!$G$4:$G$1203,$AE193)),IF(INDEX(对接源_02物料!$G$4:$G$1203,$AE193-1200)=0,"",INDEX(对接源_02物料!$G$4:$G$1203,$AE193-1200)))))</f>
        <v/>
      </c>
      <c r="E193" s="55" t="str">
        <f>IF($AE193="","",IF($AE193&lt;=1200,IF(INDEX(对接源_01水果!$H$4:$H$1203,$AE193)=0,"",INDEX(对接源_01水果!$H$4:$H$1203,$AE193)),IF(INDEX(对接源_02物料!$H$4:$H$1203,$AE193-1200)=0,"",INDEX(对接源_02物料!$H$4:$H$1203,$AE193-1200))))</f>
        <v/>
      </c>
      <c r="F193" s="53" t="str">
        <f>IF($AE193="","",IF($AE193&lt;=1200,IF(INDEX(对接源_01水果!$I$4:$I$1203,$AE193)=0,"",INDEX(对接源_01水果!$I$4:$I$1203,$AE193)),IF(INDEX(对接源_02物料!$I$4:$I$1203,$AE193-1200)=0,"",INDEX(对接源_02物料!$I$4:$I$1203,$AE193-1200))))</f>
        <v/>
      </c>
      <c r="G193" s="55" t="str">
        <f>IF($AE193="","",IF(IF($AE193&lt;=1200,N(INDEX(对接源_01水果!$H$4:$H$1203,$AE193)),N(INDEX(对接源_02物料!$H$4:$H$1203,$AE193-1200)))=0,"",ROUND(IF($AE193&lt;=1200,N(INDEX(对接源_01水果!$K$4:$K$1203,$AE193)),N(INDEX(对接源_02物料!$K$4:$K$1203,$AE193-1200)))/IF($AE193&lt;=1200,N(INDEX(对接源_01水果!$H$4:$H$1203,$AE193)),N(INDEX(对接源_02物料!$H$4:$H$1203,$AE193-1200))),2)))</f>
        <v/>
      </c>
      <c r="H193" s="55" t="str">
        <f>IF($AE193="","",IF($AE193&lt;=1200,IF(INDEX(对接源_01水果!$K$4:$K$1203,$AE193)=0,"",INDEX(对接源_01水果!$K$4:$K$1203,$AE193)),IF(INDEX(对接源_02物料!$K$4:$K$1203,$AE193-1200)=0,"",INDEX(对接源_02物料!$K$4:$K$1203,$AE193-1200))))</f>
        <v/>
      </c>
      <c r="I193" s="53" t="str">
        <f>IF($AE193="","",IF($AE193&lt;=1200,IF(INDEX(对接源_01水果!$L$4:$L$1203,$AE193)=0,"",INDEX(对接源_01水果!$L$4:$L$1203,$AE193)),IF(INDEX(对接源_02物料!$L$4:$L$1203,$AE193-1200)=0,"",INDEX(对接源_02物料!$L$4:$L$1203,$AE193-1200))))</f>
        <v/>
      </c>
      <c r="J193" s="106" t="str">
        <f>IF($AE193="","",IF($AE193&lt;=1200,IF(INDEX(对接源_01水果!$M$4:$M$1203,$AE193)=0,"",INDEX(对接源_01水果!$M$4:$M$1203,$AE193)),IF(INDEX(对接源_02物料!$M$4:$M$1203,$AE193-1200)=0,"",INDEX(对接源_02物料!$M$4:$M$1203,$AE193-1200))))</f>
        <v/>
      </c>
      <c r="AE193" s="107" t="str">
        <f>IFERROR(MATCH(188,_自动清单!$AS$4:$AS$2403,0),"")</f>
        <v/>
      </c>
      <c r="AF193" s="107"/>
    </row>
    <row r="194" ht="18" customHeight="1" spans="1:32">
      <c r="A194" s="52" t="str">
        <f>IF($AE194="","",IF($AE194&lt;=1200,IF(INDEX(对接源_01水果!$B$4:$B$1203,$AE194)=0,"",INDEX(对接源_01水果!$B$4:$B$1203,$AE194)),IF(INDEX(对接源_02物料!$B$4:$B$1203,$AE194-1200)=0,"",INDEX(对接源_02物料!$B$4:$B$1203,$AE194-1200))))</f>
        <v/>
      </c>
      <c r="B194" s="53" t="str">
        <f>IF($AE194="","",IF($AE194&lt;=1200,IF(INDEX(对接源_01水果!$E$4:$E$1203,$AE194)=0,"",INDEX(对接源_01水果!$E$4:$E$1203,$AE194)),IF(INDEX(对接源_02物料!$E$4:$E$1203,$AE194-1200)=0,"",INDEX(对接源_02物料!$E$4:$E$1203,$AE194-1200))))</f>
        <v/>
      </c>
      <c r="C194" s="106" t="str">
        <f>IF($AE194="","",IF($AE194&lt;=1200,IF(INDEX(对接源_01水果!$F$4:$F$1203,$AE194)=0,"",INDEX(对接源_01水果!$F$4:$F$1203,$AE194)),IF(INDEX(对接源_02物料!$F$4:$F$1203,$AE194-1200)=0,"",INDEX(对接源_02物料!$F$4:$F$1203,$AE194-1200))))</f>
        <v/>
      </c>
      <c r="D194" s="53" t="str">
        <f>IF($AE194="","",IF(IF($AE194&lt;=1200,IF(INDEX(对接源_01水果!$G$4:$G$1203,$AE194)=0,"",INDEX(对接源_01水果!$G$4:$G$1203,$AE194)),IF(INDEX(对接源_02物料!$G$4:$G$1203,$AE194-1200)=0,"",INDEX(对接源_02物料!$G$4:$G$1203,$AE194-1200)))="",IF($AE194&lt;=1200,IF(INDEX(对接源_01水果!$D$4:$D$1203,$AE194)=0,"",INDEX(对接源_01水果!$D$4:$D$1203,$AE194)),IF(INDEX(对接源_02物料!$D$4:$D$1203,$AE194-1200)=0,"",INDEX(对接源_02物料!$D$4:$D$1203,$AE194-1200))),IF($AE194&lt;=1200,IF(INDEX(对接源_01水果!$G$4:$G$1203,$AE194)=0,"",INDEX(对接源_01水果!$G$4:$G$1203,$AE194)),IF(INDEX(对接源_02物料!$G$4:$G$1203,$AE194-1200)=0,"",INDEX(对接源_02物料!$G$4:$G$1203,$AE194-1200)))))</f>
        <v/>
      </c>
      <c r="E194" s="55" t="str">
        <f>IF($AE194="","",IF($AE194&lt;=1200,IF(INDEX(对接源_01水果!$H$4:$H$1203,$AE194)=0,"",INDEX(对接源_01水果!$H$4:$H$1203,$AE194)),IF(INDEX(对接源_02物料!$H$4:$H$1203,$AE194-1200)=0,"",INDEX(对接源_02物料!$H$4:$H$1203,$AE194-1200))))</f>
        <v/>
      </c>
      <c r="F194" s="53" t="str">
        <f>IF($AE194="","",IF($AE194&lt;=1200,IF(INDEX(对接源_01水果!$I$4:$I$1203,$AE194)=0,"",INDEX(对接源_01水果!$I$4:$I$1203,$AE194)),IF(INDEX(对接源_02物料!$I$4:$I$1203,$AE194-1200)=0,"",INDEX(对接源_02物料!$I$4:$I$1203,$AE194-1200))))</f>
        <v/>
      </c>
      <c r="G194" s="55" t="str">
        <f>IF($AE194="","",IF(IF($AE194&lt;=1200,N(INDEX(对接源_01水果!$H$4:$H$1203,$AE194)),N(INDEX(对接源_02物料!$H$4:$H$1203,$AE194-1200)))=0,"",ROUND(IF($AE194&lt;=1200,N(INDEX(对接源_01水果!$K$4:$K$1203,$AE194)),N(INDEX(对接源_02物料!$K$4:$K$1203,$AE194-1200)))/IF($AE194&lt;=1200,N(INDEX(对接源_01水果!$H$4:$H$1203,$AE194)),N(INDEX(对接源_02物料!$H$4:$H$1203,$AE194-1200))),2)))</f>
        <v/>
      </c>
      <c r="H194" s="55" t="str">
        <f>IF($AE194="","",IF($AE194&lt;=1200,IF(INDEX(对接源_01水果!$K$4:$K$1203,$AE194)=0,"",INDEX(对接源_01水果!$K$4:$K$1203,$AE194)),IF(INDEX(对接源_02物料!$K$4:$K$1203,$AE194-1200)=0,"",INDEX(对接源_02物料!$K$4:$K$1203,$AE194-1200))))</f>
        <v/>
      </c>
      <c r="I194" s="53" t="str">
        <f>IF($AE194="","",IF($AE194&lt;=1200,IF(INDEX(对接源_01水果!$L$4:$L$1203,$AE194)=0,"",INDEX(对接源_01水果!$L$4:$L$1203,$AE194)),IF(INDEX(对接源_02物料!$L$4:$L$1203,$AE194-1200)=0,"",INDEX(对接源_02物料!$L$4:$L$1203,$AE194-1200))))</f>
        <v/>
      </c>
      <c r="J194" s="106" t="str">
        <f>IF($AE194="","",IF($AE194&lt;=1200,IF(INDEX(对接源_01水果!$M$4:$M$1203,$AE194)=0,"",INDEX(对接源_01水果!$M$4:$M$1203,$AE194)),IF(INDEX(对接源_02物料!$M$4:$M$1203,$AE194-1200)=0,"",INDEX(对接源_02物料!$M$4:$M$1203,$AE194-1200))))</f>
        <v/>
      </c>
      <c r="AE194" s="107" t="str">
        <f>IFERROR(MATCH(189,_自动清单!$AS$4:$AS$2403,0),"")</f>
        <v/>
      </c>
      <c r="AF194" s="107"/>
    </row>
    <row r="195" ht="18" customHeight="1" spans="1:32">
      <c r="A195" s="52" t="str">
        <f>IF($AE195="","",IF($AE195&lt;=1200,IF(INDEX(对接源_01水果!$B$4:$B$1203,$AE195)=0,"",INDEX(对接源_01水果!$B$4:$B$1203,$AE195)),IF(INDEX(对接源_02物料!$B$4:$B$1203,$AE195-1200)=0,"",INDEX(对接源_02物料!$B$4:$B$1203,$AE195-1200))))</f>
        <v/>
      </c>
      <c r="B195" s="53" t="str">
        <f>IF($AE195="","",IF($AE195&lt;=1200,IF(INDEX(对接源_01水果!$E$4:$E$1203,$AE195)=0,"",INDEX(对接源_01水果!$E$4:$E$1203,$AE195)),IF(INDEX(对接源_02物料!$E$4:$E$1203,$AE195-1200)=0,"",INDEX(对接源_02物料!$E$4:$E$1203,$AE195-1200))))</f>
        <v/>
      </c>
      <c r="C195" s="106" t="str">
        <f>IF($AE195="","",IF($AE195&lt;=1200,IF(INDEX(对接源_01水果!$F$4:$F$1203,$AE195)=0,"",INDEX(对接源_01水果!$F$4:$F$1203,$AE195)),IF(INDEX(对接源_02物料!$F$4:$F$1203,$AE195-1200)=0,"",INDEX(对接源_02物料!$F$4:$F$1203,$AE195-1200))))</f>
        <v/>
      </c>
      <c r="D195" s="53" t="str">
        <f>IF($AE195="","",IF(IF($AE195&lt;=1200,IF(INDEX(对接源_01水果!$G$4:$G$1203,$AE195)=0,"",INDEX(对接源_01水果!$G$4:$G$1203,$AE195)),IF(INDEX(对接源_02物料!$G$4:$G$1203,$AE195-1200)=0,"",INDEX(对接源_02物料!$G$4:$G$1203,$AE195-1200)))="",IF($AE195&lt;=1200,IF(INDEX(对接源_01水果!$D$4:$D$1203,$AE195)=0,"",INDEX(对接源_01水果!$D$4:$D$1203,$AE195)),IF(INDEX(对接源_02物料!$D$4:$D$1203,$AE195-1200)=0,"",INDEX(对接源_02物料!$D$4:$D$1203,$AE195-1200))),IF($AE195&lt;=1200,IF(INDEX(对接源_01水果!$G$4:$G$1203,$AE195)=0,"",INDEX(对接源_01水果!$G$4:$G$1203,$AE195)),IF(INDEX(对接源_02物料!$G$4:$G$1203,$AE195-1200)=0,"",INDEX(对接源_02物料!$G$4:$G$1203,$AE195-1200)))))</f>
        <v/>
      </c>
      <c r="E195" s="55" t="str">
        <f>IF($AE195="","",IF($AE195&lt;=1200,IF(INDEX(对接源_01水果!$H$4:$H$1203,$AE195)=0,"",INDEX(对接源_01水果!$H$4:$H$1203,$AE195)),IF(INDEX(对接源_02物料!$H$4:$H$1203,$AE195-1200)=0,"",INDEX(对接源_02物料!$H$4:$H$1203,$AE195-1200))))</f>
        <v/>
      </c>
      <c r="F195" s="53" t="str">
        <f>IF($AE195="","",IF($AE195&lt;=1200,IF(INDEX(对接源_01水果!$I$4:$I$1203,$AE195)=0,"",INDEX(对接源_01水果!$I$4:$I$1203,$AE195)),IF(INDEX(对接源_02物料!$I$4:$I$1203,$AE195-1200)=0,"",INDEX(对接源_02物料!$I$4:$I$1203,$AE195-1200))))</f>
        <v/>
      </c>
      <c r="G195" s="55" t="str">
        <f>IF($AE195="","",IF(IF($AE195&lt;=1200,N(INDEX(对接源_01水果!$H$4:$H$1203,$AE195)),N(INDEX(对接源_02物料!$H$4:$H$1203,$AE195-1200)))=0,"",ROUND(IF($AE195&lt;=1200,N(INDEX(对接源_01水果!$K$4:$K$1203,$AE195)),N(INDEX(对接源_02物料!$K$4:$K$1203,$AE195-1200)))/IF($AE195&lt;=1200,N(INDEX(对接源_01水果!$H$4:$H$1203,$AE195)),N(INDEX(对接源_02物料!$H$4:$H$1203,$AE195-1200))),2)))</f>
        <v/>
      </c>
      <c r="H195" s="55" t="str">
        <f>IF($AE195="","",IF($AE195&lt;=1200,IF(INDEX(对接源_01水果!$K$4:$K$1203,$AE195)=0,"",INDEX(对接源_01水果!$K$4:$K$1203,$AE195)),IF(INDEX(对接源_02物料!$K$4:$K$1203,$AE195-1200)=0,"",INDEX(对接源_02物料!$K$4:$K$1203,$AE195-1200))))</f>
        <v/>
      </c>
      <c r="I195" s="53" t="str">
        <f>IF($AE195="","",IF($AE195&lt;=1200,IF(INDEX(对接源_01水果!$L$4:$L$1203,$AE195)=0,"",INDEX(对接源_01水果!$L$4:$L$1203,$AE195)),IF(INDEX(对接源_02物料!$L$4:$L$1203,$AE195-1200)=0,"",INDEX(对接源_02物料!$L$4:$L$1203,$AE195-1200))))</f>
        <v/>
      </c>
      <c r="J195" s="106" t="str">
        <f>IF($AE195="","",IF($AE195&lt;=1200,IF(INDEX(对接源_01水果!$M$4:$M$1203,$AE195)=0,"",INDEX(对接源_01水果!$M$4:$M$1203,$AE195)),IF(INDEX(对接源_02物料!$M$4:$M$1203,$AE195-1200)=0,"",INDEX(对接源_02物料!$M$4:$M$1203,$AE195-1200))))</f>
        <v/>
      </c>
      <c r="AE195" s="107" t="str">
        <f>IFERROR(MATCH(190,_自动清单!$AS$4:$AS$2403,0),"")</f>
        <v/>
      </c>
      <c r="AF195" s="107"/>
    </row>
    <row r="196" ht="18" customHeight="1" spans="1:32">
      <c r="A196" s="52" t="str">
        <f>IF($AE196="","",IF($AE196&lt;=1200,IF(INDEX(对接源_01水果!$B$4:$B$1203,$AE196)=0,"",INDEX(对接源_01水果!$B$4:$B$1203,$AE196)),IF(INDEX(对接源_02物料!$B$4:$B$1203,$AE196-1200)=0,"",INDEX(对接源_02物料!$B$4:$B$1203,$AE196-1200))))</f>
        <v/>
      </c>
      <c r="B196" s="53" t="str">
        <f>IF($AE196="","",IF($AE196&lt;=1200,IF(INDEX(对接源_01水果!$E$4:$E$1203,$AE196)=0,"",INDEX(对接源_01水果!$E$4:$E$1203,$AE196)),IF(INDEX(对接源_02物料!$E$4:$E$1203,$AE196-1200)=0,"",INDEX(对接源_02物料!$E$4:$E$1203,$AE196-1200))))</f>
        <v/>
      </c>
      <c r="C196" s="106" t="str">
        <f>IF($AE196="","",IF($AE196&lt;=1200,IF(INDEX(对接源_01水果!$F$4:$F$1203,$AE196)=0,"",INDEX(对接源_01水果!$F$4:$F$1203,$AE196)),IF(INDEX(对接源_02物料!$F$4:$F$1203,$AE196-1200)=0,"",INDEX(对接源_02物料!$F$4:$F$1203,$AE196-1200))))</f>
        <v/>
      </c>
      <c r="D196" s="53" t="str">
        <f>IF($AE196="","",IF(IF($AE196&lt;=1200,IF(INDEX(对接源_01水果!$G$4:$G$1203,$AE196)=0,"",INDEX(对接源_01水果!$G$4:$G$1203,$AE196)),IF(INDEX(对接源_02物料!$G$4:$G$1203,$AE196-1200)=0,"",INDEX(对接源_02物料!$G$4:$G$1203,$AE196-1200)))="",IF($AE196&lt;=1200,IF(INDEX(对接源_01水果!$D$4:$D$1203,$AE196)=0,"",INDEX(对接源_01水果!$D$4:$D$1203,$AE196)),IF(INDEX(对接源_02物料!$D$4:$D$1203,$AE196-1200)=0,"",INDEX(对接源_02物料!$D$4:$D$1203,$AE196-1200))),IF($AE196&lt;=1200,IF(INDEX(对接源_01水果!$G$4:$G$1203,$AE196)=0,"",INDEX(对接源_01水果!$G$4:$G$1203,$AE196)),IF(INDEX(对接源_02物料!$G$4:$G$1203,$AE196-1200)=0,"",INDEX(对接源_02物料!$G$4:$G$1203,$AE196-1200)))))</f>
        <v/>
      </c>
      <c r="E196" s="55" t="str">
        <f>IF($AE196="","",IF($AE196&lt;=1200,IF(INDEX(对接源_01水果!$H$4:$H$1203,$AE196)=0,"",INDEX(对接源_01水果!$H$4:$H$1203,$AE196)),IF(INDEX(对接源_02物料!$H$4:$H$1203,$AE196-1200)=0,"",INDEX(对接源_02物料!$H$4:$H$1203,$AE196-1200))))</f>
        <v/>
      </c>
      <c r="F196" s="53" t="str">
        <f>IF($AE196="","",IF($AE196&lt;=1200,IF(INDEX(对接源_01水果!$I$4:$I$1203,$AE196)=0,"",INDEX(对接源_01水果!$I$4:$I$1203,$AE196)),IF(INDEX(对接源_02物料!$I$4:$I$1203,$AE196-1200)=0,"",INDEX(对接源_02物料!$I$4:$I$1203,$AE196-1200))))</f>
        <v/>
      </c>
      <c r="G196" s="55" t="str">
        <f>IF($AE196="","",IF(IF($AE196&lt;=1200,N(INDEX(对接源_01水果!$H$4:$H$1203,$AE196)),N(INDEX(对接源_02物料!$H$4:$H$1203,$AE196-1200)))=0,"",ROUND(IF($AE196&lt;=1200,N(INDEX(对接源_01水果!$K$4:$K$1203,$AE196)),N(INDEX(对接源_02物料!$K$4:$K$1203,$AE196-1200)))/IF($AE196&lt;=1200,N(INDEX(对接源_01水果!$H$4:$H$1203,$AE196)),N(INDEX(对接源_02物料!$H$4:$H$1203,$AE196-1200))),2)))</f>
        <v/>
      </c>
      <c r="H196" s="55" t="str">
        <f>IF($AE196="","",IF($AE196&lt;=1200,IF(INDEX(对接源_01水果!$K$4:$K$1203,$AE196)=0,"",INDEX(对接源_01水果!$K$4:$K$1203,$AE196)),IF(INDEX(对接源_02物料!$K$4:$K$1203,$AE196-1200)=0,"",INDEX(对接源_02物料!$K$4:$K$1203,$AE196-1200))))</f>
        <v/>
      </c>
      <c r="I196" s="53" t="str">
        <f>IF($AE196="","",IF($AE196&lt;=1200,IF(INDEX(对接源_01水果!$L$4:$L$1203,$AE196)=0,"",INDEX(对接源_01水果!$L$4:$L$1203,$AE196)),IF(INDEX(对接源_02物料!$L$4:$L$1203,$AE196-1200)=0,"",INDEX(对接源_02物料!$L$4:$L$1203,$AE196-1200))))</f>
        <v/>
      </c>
      <c r="J196" s="106" t="str">
        <f>IF($AE196="","",IF($AE196&lt;=1200,IF(INDEX(对接源_01水果!$M$4:$M$1203,$AE196)=0,"",INDEX(对接源_01水果!$M$4:$M$1203,$AE196)),IF(INDEX(对接源_02物料!$M$4:$M$1203,$AE196-1200)=0,"",INDEX(对接源_02物料!$M$4:$M$1203,$AE196-1200))))</f>
        <v/>
      </c>
      <c r="AE196" s="107" t="str">
        <f>IFERROR(MATCH(191,_自动清单!$AS$4:$AS$2403,0),"")</f>
        <v/>
      </c>
      <c r="AF196" s="107"/>
    </row>
    <row r="197" ht="18" customHeight="1" spans="1:32">
      <c r="A197" s="52" t="str">
        <f>IF($AE197="","",IF($AE197&lt;=1200,IF(INDEX(对接源_01水果!$B$4:$B$1203,$AE197)=0,"",INDEX(对接源_01水果!$B$4:$B$1203,$AE197)),IF(INDEX(对接源_02物料!$B$4:$B$1203,$AE197-1200)=0,"",INDEX(对接源_02物料!$B$4:$B$1203,$AE197-1200))))</f>
        <v/>
      </c>
      <c r="B197" s="53" t="str">
        <f>IF($AE197="","",IF($AE197&lt;=1200,IF(INDEX(对接源_01水果!$E$4:$E$1203,$AE197)=0,"",INDEX(对接源_01水果!$E$4:$E$1203,$AE197)),IF(INDEX(对接源_02物料!$E$4:$E$1203,$AE197-1200)=0,"",INDEX(对接源_02物料!$E$4:$E$1203,$AE197-1200))))</f>
        <v/>
      </c>
      <c r="C197" s="106" t="str">
        <f>IF($AE197="","",IF($AE197&lt;=1200,IF(INDEX(对接源_01水果!$F$4:$F$1203,$AE197)=0,"",INDEX(对接源_01水果!$F$4:$F$1203,$AE197)),IF(INDEX(对接源_02物料!$F$4:$F$1203,$AE197-1200)=0,"",INDEX(对接源_02物料!$F$4:$F$1203,$AE197-1200))))</f>
        <v/>
      </c>
      <c r="D197" s="53" t="str">
        <f>IF($AE197="","",IF(IF($AE197&lt;=1200,IF(INDEX(对接源_01水果!$G$4:$G$1203,$AE197)=0,"",INDEX(对接源_01水果!$G$4:$G$1203,$AE197)),IF(INDEX(对接源_02物料!$G$4:$G$1203,$AE197-1200)=0,"",INDEX(对接源_02物料!$G$4:$G$1203,$AE197-1200)))="",IF($AE197&lt;=1200,IF(INDEX(对接源_01水果!$D$4:$D$1203,$AE197)=0,"",INDEX(对接源_01水果!$D$4:$D$1203,$AE197)),IF(INDEX(对接源_02物料!$D$4:$D$1203,$AE197-1200)=0,"",INDEX(对接源_02物料!$D$4:$D$1203,$AE197-1200))),IF($AE197&lt;=1200,IF(INDEX(对接源_01水果!$G$4:$G$1203,$AE197)=0,"",INDEX(对接源_01水果!$G$4:$G$1203,$AE197)),IF(INDEX(对接源_02物料!$G$4:$G$1203,$AE197-1200)=0,"",INDEX(对接源_02物料!$G$4:$G$1203,$AE197-1200)))))</f>
        <v/>
      </c>
      <c r="E197" s="55" t="str">
        <f>IF($AE197="","",IF($AE197&lt;=1200,IF(INDEX(对接源_01水果!$H$4:$H$1203,$AE197)=0,"",INDEX(对接源_01水果!$H$4:$H$1203,$AE197)),IF(INDEX(对接源_02物料!$H$4:$H$1203,$AE197-1200)=0,"",INDEX(对接源_02物料!$H$4:$H$1203,$AE197-1200))))</f>
        <v/>
      </c>
      <c r="F197" s="53" t="str">
        <f>IF($AE197="","",IF($AE197&lt;=1200,IF(INDEX(对接源_01水果!$I$4:$I$1203,$AE197)=0,"",INDEX(对接源_01水果!$I$4:$I$1203,$AE197)),IF(INDEX(对接源_02物料!$I$4:$I$1203,$AE197-1200)=0,"",INDEX(对接源_02物料!$I$4:$I$1203,$AE197-1200))))</f>
        <v/>
      </c>
      <c r="G197" s="55" t="str">
        <f>IF($AE197="","",IF(IF($AE197&lt;=1200,N(INDEX(对接源_01水果!$H$4:$H$1203,$AE197)),N(INDEX(对接源_02物料!$H$4:$H$1203,$AE197-1200)))=0,"",ROUND(IF($AE197&lt;=1200,N(INDEX(对接源_01水果!$K$4:$K$1203,$AE197)),N(INDEX(对接源_02物料!$K$4:$K$1203,$AE197-1200)))/IF($AE197&lt;=1200,N(INDEX(对接源_01水果!$H$4:$H$1203,$AE197)),N(INDEX(对接源_02物料!$H$4:$H$1203,$AE197-1200))),2)))</f>
        <v/>
      </c>
      <c r="H197" s="55" t="str">
        <f>IF($AE197="","",IF($AE197&lt;=1200,IF(INDEX(对接源_01水果!$K$4:$K$1203,$AE197)=0,"",INDEX(对接源_01水果!$K$4:$K$1203,$AE197)),IF(INDEX(对接源_02物料!$K$4:$K$1203,$AE197-1200)=0,"",INDEX(对接源_02物料!$K$4:$K$1203,$AE197-1200))))</f>
        <v/>
      </c>
      <c r="I197" s="53" t="str">
        <f>IF($AE197="","",IF($AE197&lt;=1200,IF(INDEX(对接源_01水果!$L$4:$L$1203,$AE197)=0,"",INDEX(对接源_01水果!$L$4:$L$1203,$AE197)),IF(INDEX(对接源_02物料!$L$4:$L$1203,$AE197-1200)=0,"",INDEX(对接源_02物料!$L$4:$L$1203,$AE197-1200))))</f>
        <v/>
      </c>
      <c r="J197" s="106" t="str">
        <f>IF($AE197="","",IF($AE197&lt;=1200,IF(INDEX(对接源_01水果!$M$4:$M$1203,$AE197)=0,"",INDEX(对接源_01水果!$M$4:$M$1203,$AE197)),IF(INDEX(对接源_02物料!$M$4:$M$1203,$AE197-1200)=0,"",INDEX(对接源_02物料!$M$4:$M$1203,$AE197-1200))))</f>
        <v/>
      </c>
      <c r="AE197" s="107" t="str">
        <f>IFERROR(MATCH(192,_自动清单!$AS$4:$AS$2403,0),"")</f>
        <v/>
      </c>
      <c r="AF197" s="107"/>
    </row>
    <row r="198" ht="18" customHeight="1" spans="1:32">
      <c r="A198" s="52" t="str">
        <f>IF($AE198="","",IF($AE198&lt;=1200,IF(INDEX(对接源_01水果!$B$4:$B$1203,$AE198)=0,"",INDEX(对接源_01水果!$B$4:$B$1203,$AE198)),IF(INDEX(对接源_02物料!$B$4:$B$1203,$AE198-1200)=0,"",INDEX(对接源_02物料!$B$4:$B$1203,$AE198-1200))))</f>
        <v/>
      </c>
      <c r="B198" s="53" t="str">
        <f>IF($AE198="","",IF($AE198&lt;=1200,IF(INDEX(对接源_01水果!$E$4:$E$1203,$AE198)=0,"",INDEX(对接源_01水果!$E$4:$E$1203,$AE198)),IF(INDEX(对接源_02物料!$E$4:$E$1203,$AE198-1200)=0,"",INDEX(对接源_02物料!$E$4:$E$1203,$AE198-1200))))</f>
        <v/>
      </c>
      <c r="C198" s="106" t="str">
        <f>IF($AE198="","",IF($AE198&lt;=1200,IF(INDEX(对接源_01水果!$F$4:$F$1203,$AE198)=0,"",INDEX(对接源_01水果!$F$4:$F$1203,$AE198)),IF(INDEX(对接源_02物料!$F$4:$F$1203,$AE198-1200)=0,"",INDEX(对接源_02物料!$F$4:$F$1203,$AE198-1200))))</f>
        <v/>
      </c>
      <c r="D198" s="53" t="str">
        <f>IF($AE198="","",IF(IF($AE198&lt;=1200,IF(INDEX(对接源_01水果!$G$4:$G$1203,$AE198)=0,"",INDEX(对接源_01水果!$G$4:$G$1203,$AE198)),IF(INDEX(对接源_02物料!$G$4:$G$1203,$AE198-1200)=0,"",INDEX(对接源_02物料!$G$4:$G$1203,$AE198-1200)))="",IF($AE198&lt;=1200,IF(INDEX(对接源_01水果!$D$4:$D$1203,$AE198)=0,"",INDEX(对接源_01水果!$D$4:$D$1203,$AE198)),IF(INDEX(对接源_02物料!$D$4:$D$1203,$AE198-1200)=0,"",INDEX(对接源_02物料!$D$4:$D$1203,$AE198-1200))),IF($AE198&lt;=1200,IF(INDEX(对接源_01水果!$G$4:$G$1203,$AE198)=0,"",INDEX(对接源_01水果!$G$4:$G$1203,$AE198)),IF(INDEX(对接源_02物料!$G$4:$G$1203,$AE198-1200)=0,"",INDEX(对接源_02物料!$G$4:$G$1203,$AE198-1200)))))</f>
        <v/>
      </c>
      <c r="E198" s="55" t="str">
        <f>IF($AE198="","",IF($AE198&lt;=1200,IF(INDEX(对接源_01水果!$H$4:$H$1203,$AE198)=0,"",INDEX(对接源_01水果!$H$4:$H$1203,$AE198)),IF(INDEX(对接源_02物料!$H$4:$H$1203,$AE198-1200)=0,"",INDEX(对接源_02物料!$H$4:$H$1203,$AE198-1200))))</f>
        <v/>
      </c>
      <c r="F198" s="53" t="str">
        <f>IF($AE198="","",IF($AE198&lt;=1200,IF(INDEX(对接源_01水果!$I$4:$I$1203,$AE198)=0,"",INDEX(对接源_01水果!$I$4:$I$1203,$AE198)),IF(INDEX(对接源_02物料!$I$4:$I$1203,$AE198-1200)=0,"",INDEX(对接源_02物料!$I$4:$I$1203,$AE198-1200))))</f>
        <v/>
      </c>
      <c r="G198" s="55" t="str">
        <f>IF($AE198="","",IF(IF($AE198&lt;=1200,N(INDEX(对接源_01水果!$H$4:$H$1203,$AE198)),N(INDEX(对接源_02物料!$H$4:$H$1203,$AE198-1200)))=0,"",ROUND(IF($AE198&lt;=1200,N(INDEX(对接源_01水果!$K$4:$K$1203,$AE198)),N(INDEX(对接源_02物料!$K$4:$K$1203,$AE198-1200)))/IF($AE198&lt;=1200,N(INDEX(对接源_01水果!$H$4:$H$1203,$AE198)),N(INDEX(对接源_02物料!$H$4:$H$1203,$AE198-1200))),2)))</f>
        <v/>
      </c>
      <c r="H198" s="55" t="str">
        <f>IF($AE198="","",IF($AE198&lt;=1200,IF(INDEX(对接源_01水果!$K$4:$K$1203,$AE198)=0,"",INDEX(对接源_01水果!$K$4:$K$1203,$AE198)),IF(INDEX(对接源_02物料!$K$4:$K$1203,$AE198-1200)=0,"",INDEX(对接源_02物料!$K$4:$K$1203,$AE198-1200))))</f>
        <v/>
      </c>
      <c r="I198" s="53" t="str">
        <f>IF($AE198="","",IF($AE198&lt;=1200,IF(INDEX(对接源_01水果!$L$4:$L$1203,$AE198)=0,"",INDEX(对接源_01水果!$L$4:$L$1203,$AE198)),IF(INDEX(对接源_02物料!$L$4:$L$1203,$AE198-1200)=0,"",INDEX(对接源_02物料!$L$4:$L$1203,$AE198-1200))))</f>
        <v/>
      </c>
      <c r="J198" s="106" t="str">
        <f>IF($AE198="","",IF($AE198&lt;=1200,IF(INDEX(对接源_01水果!$M$4:$M$1203,$AE198)=0,"",INDEX(对接源_01水果!$M$4:$M$1203,$AE198)),IF(INDEX(对接源_02物料!$M$4:$M$1203,$AE198-1200)=0,"",INDEX(对接源_02物料!$M$4:$M$1203,$AE198-1200))))</f>
        <v/>
      </c>
      <c r="AE198" s="107" t="str">
        <f>IFERROR(MATCH(193,_自动清单!$AS$4:$AS$2403,0),"")</f>
        <v/>
      </c>
      <c r="AF198" s="107"/>
    </row>
    <row r="199" ht="18" customHeight="1" spans="1:32">
      <c r="A199" s="52" t="str">
        <f>IF($AE199="","",IF($AE199&lt;=1200,IF(INDEX(对接源_01水果!$B$4:$B$1203,$AE199)=0,"",INDEX(对接源_01水果!$B$4:$B$1203,$AE199)),IF(INDEX(对接源_02物料!$B$4:$B$1203,$AE199-1200)=0,"",INDEX(对接源_02物料!$B$4:$B$1203,$AE199-1200))))</f>
        <v/>
      </c>
      <c r="B199" s="53" t="str">
        <f>IF($AE199="","",IF($AE199&lt;=1200,IF(INDEX(对接源_01水果!$E$4:$E$1203,$AE199)=0,"",INDEX(对接源_01水果!$E$4:$E$1203,$AE199)),IF(INDEX(对接源_02物料!$E$4:$E$1203,$AE199-1200)=0,"",INDEX(对接源_02物料!$E$4:$E$1203,$AE199-1200))))</f>
        <v/>
      </c>
      <c r="C199" s="106" t="str">
        <f>IF($AE199="","",IF($AE199&lt;=1200,IF(INDEX(对接源_01水果!$F$4:$F$1203,$AE199)=0,"",INDEX(对接源_01水果!$F$4:$F$1203,$AE199)),IF(INDEX(对接源_02物料!$F$4:$F$1203,$AE199-1200)=0,"",INDEX(对接源_02物料!$F$4:$F$1203,$AE199-1200))))</f>
        <v/>
      </c>
      <c r="D199" s="53" t="str">
        <f>IF($AE199="","",IF(IF($AE199&lt;=1200,IF(INDEX(对接源_01水果!$G$4:$G$1203,$AE199)=0,"",INDEX(对接源_01水果!$G$4:$G$1203,$AE199)),IF(INDEX(对接源_02物料!$G$4:$G$1203,$AE199-1200)=0,"",INDEX(对接源_02物料!$G$4:$G$1203,$AE199-1200)))="",IF($AE199&lt;=1200,IF(INDEX(对接源_01水果!$D$4:$D$1203,$AE199)=0,"",INDEX(对接源_01水果!$D$4:$D$1203,$AE199)),IF(INDEX(对接源_02物料!$D$4:$D$1203,$AE199-1200)=0,"",INDEX(对接源_02物料!$D$4:$D$1203,$AE199-1200))),IF($AE199&lt;=1200,IF(INDEX(对接源_01水果!$G$4:$G$1203,$AE199)=0,"",INDEX(对接源_01水果!$G$4:$G$1203,$AE199)),IF(INDEX(对接源_02物料!$G$4:$G$1203,$AE199-1200)=0,"",INDEX(对接源_02物料!$G$4:$G$1203,$AE199-1200)))))</f>
        <v/>
      </c>
      <c r="E199" s="55" t="str">
        <f>IF($AE199="","",IF($AE199&lt;=1200,IF(INDEX(对接源_01水果!$H$4:$H$1203,$AE199)=0,"",INDEX(对接源_01水果!$H$4:$H$1203,$AE199)),IF(INDEX(对接源_02物料!$H$4:$H$1203,$AE199-1200)=0,"",INDEX(对接源_02物料!$H$4:$H$1203,$AE199-1200))))</f>
        <v/>
      </c>
      <c r="F199" s="53" t="str">
        <f>IF($AE199="","",IF($AE199&lt;=1200,IF(INDEX(对接源_01水果!$I$4:$I$1203,$AE199)=0,"",INDEX(对接源_01水果!$I$4:$I$1203,$AE199)),IF(INDEX(对接源_02物料!$I$4:$I$1203,$AE199-1200)=0,"",INDEX(对接源_02物料!$I$4:$I$1203,$AE199-1200))))</f>
        <v/>
      </c>
      <c r="G199" s="55" t="str">
        <f>IF($AE199="","",IF(IF($AE199&lt;=1200,N(INDEX(对接源_01水果!$H$4:$H$1203,$AE199)),N(INDEX(对接源_02物料!$H$4:$H$1203,$AE199-1200)))=0,"",ROUND(IF($AE199&lt;=1200,N(INDEX(对接源_01水果!$K$4:$K$1203,$AE199)),N(INDEX(对接源_02物料!$K$4:$K$1203,$AE199-1200)))/IF($AE199&lt;=1200,N(INDEX(对接源_01水果!$H$4:$H$1203,$AE199)),N(INDEX(对接源_02物料!$H$4:$H$1203,$AE199-1200))),2)))</f>
        <v/>
      </c>
      <c r="H199" s="55" t="str">
        <f>IF($AE199="","",IF($AE199&lt;=1200,IF(INDEX(对接源_01水果!$K$4:$K$1203,$AE199)=0,"",INDEX(对接源_01水果!$K$4:$K$1203,$AE199)),IF(INDEX(对接源_02物料!$K$4:$K$1203,$AE199-1200)=0,"",INDEX(对接源_02物料!$K$4:$K$1203,$AE199-1200))))</f>
        <v/>
      </c>
      <c r="I199" s="53" t="str">
        <f>IF($AE199="","",IF($AE199&lt;=1200,IF(INDEX(对接源_01水果!$L$4:$L$1203,$AE199)=0,"",INDEX(对接源_01水果!$L$4:$L$1203,$AE199)),IF(INDEX(对接源_02物料!$L$4:$L$1203,$AE199-1200)=0,"",INDEX(对接源_02物料!$L$4:$L$1203,$AE199-1200))))</f>
        <v/>
      </c>
      <c r="J199" s="106" t="str">
        <f>IF($AE199="","",IF($AE199&lt;=1200,IF(INDEX(对接源_01水果!$M$4:$M$1203,$AE199)=0,"",INDEX(对接源_01水果!$M$4:$M$1203,$AE199)),IF(INDEX(对接源_02物料!$M$4:$M$1203,$AE199-1200)=0,"",INDEX(对接源_02物料!$M$4:$M$1203,$AE199-1200))))</f>
        <v/>
      </c>
      <c r="AE199" s="107" t="str">
        <f>IFERROR(MATCH(194,_自动清单!$AS$4:$AS$2403,0),"")</f>
        <v/>
      </c>
      <c r="AF199" s="107"/>
    </row>
    <row r="200" ht="18" customHeight="1" spans="1:32">
      <c r="A200" s="52" t="str">
        <f>IF($AE200="","",IF($AE200&lt;=1200,IF(INDEX(对接源_01水果!$B$4:$B$1203,$AE200)=0,"",INDEX(对接源_01水果!$B$4:$B$1203,$AE200)),IF(INDEX(对接源_02物料!$B$4:$B$1203,$AE200-1200)=0,"",INDEX(对接源_02物料!$B$4:$B$1203,$AE200-1200))))</f>
        <v/>
      </c>
      <c r="B200" s="53" t="str">
        <f>IF($AE200="","",IF($AE200&lt;=1200,IF(INDEX(对接源_01水果!$E$4:$E$1203,$AE200)=0,"",INDEX(对接源_01水果!$E$4:$E$1203,$AE200)),IF(INDEX(对接源_02物料!$E$4:$E$1203,$AE200-1200)=0,"",INDEX(对接源_02物料!$E$4:$E$1203,$AE200-1200))))</f>
        <v/>
      </c>
      <c r="C200" s="106" t="str">
        <f>IF($AE200="","",IF($AE200&lt;=1200,IF(INDEX(对接源_01水果!$F$4:$F$1203,$AE200)=0,"",INDEX(对接源_01水果!$F$4:$F$1203,$AE200)),IF(INDEX(对接源_02物料!$F$4:$F$1203,$AE200-1200)=0,"",INDEX(对接源_02物料!$F$4:$F$1203,$AE200-1200))))</f>
        <v/>
      </c>
      <c r="D200" s="53" t="str">
        <f>IF($AE200="","",IF(IF($AE200&lt;=1200,IF(INDEX(对接源_01水果!$G$4:$G$1203,$AE200)=0,"",INDEX(对接源_01水果!$G$4:$G$1203,$AE200)),IF(INDEX(对接源_02物料!$G$4:$G$1203,$AE200-1200)=0,"",INDEX(对接源_02物料!$G$4:$G$1203,$AE200-1200)))="",IF($AE200&lt;=1200,IF(INDEX(对接源_01水果!$D$4:$D$1203,$AE200)=0,"",INDEX(对接源_01水果!$D$4:$D$1203,$AE200)),IF(INDEX(对接源_02物料!$D$4:$D$1203,$AE200-1200)=0,"",INDEX(对接源_02物料!$D$4:$D$1203,$AE200-1200))),IF($AE200&lt;=1200,IF(INDEX(对接源_01水果!$G$4:$G$1203,$AE200)=0,"",INDEX(对接源_01水果!$G$4:$G$1203,$AE200)),IF(INDEX(对接源_02物料!$G$4:$G$1203,$AE200-1200)=0,"",INDEX(对接源_02物料!$G$4:$G$1203,$AE200-1200)))))</f>
        <v/>
      </c>
      <c r="E200" s="55" t="str">
        <f>IF($AE200="","",IF($AE200&lt;=1200,IF(INDEX(对接源_01水果!$H$4:$H$1203,$AE200)=0,"",INDEX(对接源_01水果!$H$4:$H$1203,$AE200)),IF(INDEX(对接源_02物料!$H$4:$H$1203,$AE200-1200)=0,"",INDEX(对接源_02物料!$H$4:$H$1203,$AE200-1200))))</f>
        <v/>
      </c>
      <c r="F200" s="53" t="str">
        <f>IF($AE200="","",IF($AE200&lt;=1200,IF(INDEX(对接源_01水果!$I$4:$I$1203,$AE200)=0,"",INDEX(对接源_01水果!$I$4:$I$1203,$AE200)),IF(INDEX(对接源_02物料!$I$4:$I$1203,$AE200-1200)=0,"",INDEX(对接源_02物料!$I$4:$I$1203,$AE200-1200))))</f>
        <v/>
      </c>
      <c r="G200" s="55" t="str">
        <f>IF($AE200="","",IF(IF($AE200&lt;=1200,N(INDEX(对接源_01水果!$H$4:$H$1203,$AE200)),N(INDEX(对接源_02物料!$H$4:$H$1203,$AE200-1200)))=0,"",ROUND(IF($AE200&lt;=1200,N(INDEX(对接源_01水果!$K$4:$K$1203,$AE200)),N(INDEX(对接源_02物料!$K$4:$K$1203,$AE200-1200)))/IF($AE200&lt;=1200,N(INDEX(对接源_01水果!$H$4:$H$1203,$AE200)),N(INDEX(对接源_02物料!$H$4:$H$1203,$AE200-1200))),2)))</f>
        <v/>
      </c>
      <c r="H200" s="55" t="str">
        <f>IF($AE200="","",IF($AE200&lt;=1200,IF(INDEX(对接源_01水果!$K$4:$K$1203,$AE200)=0,"",INDEX(对接源_01水果!$K$4:$K$1203,$AE200)),IF(INDEX(对接源_02物料!$K$4:$K$1203,$AE200-1200)=0,"",INDEX(对接源_02物料!$K$4:$K$1203,$AE200-1200))))</f>
        <v/>
      </c>
      <c r="I200" s="53" t="str">
        <f>IF($AE200="","",IF($AE200&lt;=1200,IF(INDEX(对接源_01水果!$L$4:$L$1203,$AE200)=0,"",INDEX(对接源_01水果!$L$4:$L$1203,$AE200)),IF(INDEX(对接源_02物料!$L$4:$L$1203,$AE200-1200)=0,"",INDEX(对接源_02物料!$L$4:$L$1203,$AE200-1200))))</f>
        <v/>
      </c>
      <c r="J200" s="106" t="str">
        <f>IF($AE200="","",IF($AE200&lt;=1200,IF(INDEX(对接源_01水果!$M$4:$M$1203,$AE200)=0,"",INDEX(对接源_01水果!$M$4:$M$1203,$AE200)),IF(INDEX(对接源_02物料!$M$4:$M$1203,$AE200-1200)=0,"",INDEX(对接源_02物料!$M$4:$M$1203,$AE200-1200))))</f>
        <v/>
      </c>
      <c r="AE200" s="107" t="str">
        <f>IFERROR(MATCH(195,_自动清单!$AS$4:$AS$2403,0),"")</f>
        <v/>
      </c>
      <c r="AF200" s="107"/>
    </row>
    <row r="201" ht="18" customHeight="1" spans="1:32">
      <c r="A201" s="52" t="str">
        <f>IF($AE201="","",IF($AE201&lt;=1200,IF(INDEX(对接源_01水果!$B$4:$B$1203,$AE201)=0,"",INDEX(对接源_01水果!$B$4:$B$1203,$AE201)),IF(INDEX(对接源_02物料!$B$4:$B$1203,$AE201-1200)=0,"",INDEX(对接源_02物料!$B$4:$B$1203,$AE201-1200))))</f>
        <v/>
      </c>
      <c r="B201" s="53" t="str">
        <f>IF($AE201="","",IF($AE201&lt;=1200,IF(INDEX(对接源_01水果!$E$4:$E$1203,$AE201)=0,"",INDEX(对接源_01水果!$E$4:$E$1203,$AE201)),IF(INDEX(对接源_02物料!$E$4:$E$1203,$AE201-1200)=0,"",INDEX(对接源_02物料!$E$4:$E$1203,$AE201-1200))))</f>
        <v/>
      </c>
      <c r="C201" s="106" t="str">
        <f>IF($AE201="","",IF($AE201&lt;=1200,IF(INDEX(对接源_01水果!$F$4:$F$1203,$AE201)=0,"",INDEX(对接源_01水果!$F$4:$F$1203,$AE201)),IF(INDEX(对接源_02物料!$F$4:$F$1203,$AE201-1200)=0,"",INDEX(对接源_02物料!$F$4:$F$1203,$AE201-1200))))</f>
        <v/>
      </c>
      <c r="D201" s="53" t="str">
        <f>IF($AE201="","",IF(IF($AE201&lt;=1200,IF(INDEX(对接源_01水果!$G$4:$G$1203,$AE201)=0,"",INDEX(对接源_01水果!$G$4:$G$1203,$AE201)),IF(INDEX(对接源_02物料!$G$4:$G$1203,$AE201-1200)=0,"",INDEX(对接源_02物料!$G$4:$G$1203,$AE201-1200)))="",IF($AE201&lt;=1200,IF(INDEX(对接源_01水果!$D$4:$D$1203,$AE201)=0,"",INDEX(对接源_01水果!$D$4:$D$1203,$AE201)),IF(INDEX(对接源_02物料!$D$4:$D$1203,$AE201-1200)=0,"",INDEX(对接源_02物料!$D$4:$D$1203,$AE201-1200))),IF($AE201&lt;=1200,IF(INDEX(对接源_01水果!$G$4:$G$1203,$AE201)=0,"",INDEX(对接源_01水果!$G$4:$G$1203,$AE201)),IF(INDEX(对接源_02物料!$G$4:$G$1203,$AE201-1200)=0,"",INDEX(对接源_02物料!$G$4:$G$1203,$AE201-1200)))))</f>
        <v/>
      </c>
      <c r="E201" s="55" t="str">
        <f>IF($AE201="","",IF($AE201&lt;=1200,IF(INDEX(对接源_01水果!$H$4:$H$1203,$AE201)=0,"",INDEX(对接源_01水果!$H$4:$H$1203,$AE201)),IF(INDEX(对接源_02物料!$H$4:$H$1203,$AE201-1200)=0,"",INDEX(对接源_02物料!$H$4:$H$1203,$AE201-1200))))</f>
        <v/>
      </c>
      <c r="F201" s="53" t="str">
        <f>IF($AE201="","",IF($AE201&lt;=1200,IF(INDEX(对接源_01水果!$I$4:$I$1203,$AE201)=0,"",INDEX(对接源_01水果!$I$4:$I$1203,$AE201)),IF(INDEX(对接源_02物料!$I$4:$I$1203,$AE201-1200)=0,"",INDEX(对接源_02物料!$I$4:$I$1203,$AE201-1200))))</f>
        <v/>
      </c>
      <c r="G201" s="55" t="str">
        <f>IF($AE201="","",IF(IF($AE201&lt;=1200,N(INDEX(对接源_01水果!$H$4:$H$1203,$AE201)),N(INDEX(对接源_02物料!$H$4:$H$1203,$AE201-1200)))=0,"",ROUND(IF($AE201&lt;=1200,N(INDEX(对接源_01水果!$K$4:$K$1203,$AE201)),N(INDEX(对接源_02物料!$K$4:$K$1203,$AE201-1200)))/IF($AE201&lt;=1200,N(INDEX(对接源_01水果!$H$4:$H$1203,$AE201)),N(INDEX(对接源_02物料!$H$4:$H$1203,$AE201-1200))),2)))</f>
        <v/>
      </c>
      <c r="H201" s="55" t="str">
        <f>IF($AE201="","",IF($AE201&lt;=1200,IF(INDEX(对接源_01水果!$K$4:$K$1203,$AE201)=0,"",INDEX(对接源_01水果!$K$4:$K$1203,$AE201)),IF(INDEX(对接源_02物料!$K$4:$K$1203,$AE201-1200)=0,"",INDEX(对接源_02物料!$K$4:$K$1203,$AE201-1200))))</f>
        <v/>
      </c>
      <c r="I201" s="53" t="str">
        <f>IF($AE201="","",IF($AE201&lt;=1200,IF(INDEX(对接源_01水果!$L$4:$L$1203,$AE201)=0,"",INDEX(对接源_01水果!$L$4:$L$1203,$AE201)),IF(INDEX(对接源_02物料!$L$4:$L$1203,$AE201-1200)=0,"",INDEX(对接源_02物料!$L$4:$L$1203,$AE201-1200))))</f>
        <v/>
      </c>
      <c r="J201" s="106" t="str">
        <f>IF($AE201="","",IF($AE201&lt;=1200,IF(INDEX(对接源_01水果!$M$4:$M$1203,$AE201)=0,"",INDEX(对接源_01水果!$M$4:$M$1203,$AE201)),IF(INDEX(对接源_02物料!$M$4:$M$1203,$AE201-1200)=0,"",INDEX(对接源_02物料!$M$4:$M$1203,$AE201-1200))))</f>
        <v/>
      </c>
      <c r="AE201" s="107" t="str">
        <f>IFERROR(MATCH(196,_自动清单!$AS$4:$AS$2403,0),"")</f>
        <v/>
      </c>
      <c r="AF201" s="107"/>
    </row>
    <row r="202" ht="18" customHeight="1" spans="1:32">
      <c r="A202" s="52" t="str">
        <f>IF($AE202="","",IF($AE202&lt;=1200,IF(INDEX(对接源_01水果!$B$4:$B$1203,$AE202)=0,"",INDEX(对接源_01水果!$B$4:$B$1203,$AE202)),IF(INDEX(对接源_02物料!$B$4:$B$1203,$AE202-1200)=0,"",INDEX(对接源_02物料!$B$4:$B$1203,$AE202-1200))))</f>
        <v/>
      </c>
      <c r="B202" s="53" t="str">
        <f>IF($AE202="","",IF($AE202&lt;=1200,IF(INDEX(对接源_01水果!$E$4:$E$1203,$AE202)=0,"",INDEX(对接源_01水果!$E$4:$E$1203,$AE202)),IF(INDEX(对接源_02物料!$E$4:$E$1203,$AE202-1200)=0,"",INDEX(对接源_02物料!$E$4:$E$1203,$AE202-1200))))</f>
        <v/>
      </c>
      <c r="C202" s="106" t="str">
        <f>IF($AE202="","",IF($AE202&lt;=1200,IF(INDEX(对接源_01水果!$F$4:$F$1203,$AE202)=0,"",INDEX(对接源_01水果!$F$4:$F$1203,$AE202)),IF(INDEX(对接源_02物料!$F$4:$F$1203,$AE202-1200)=0,"",INDEX(对接源_02物料!$F$4:$F$1203,$AE202-1200))))</f>
        <v/>
      </c>
      <c r="D202" s="53" t="str">
        <f>IF($AE202="","",IF(IF($AE202&lt;=1200,IF(INDEX(对接源_01水果!$G$4:$G$1203,$AE202)=0,"",INDEX(对接源_01水果!$G$4:$G$1203,$AE202)),IF(INDEX(对接源_02物料!$G$4:$G$1203,$AE202-1200)=0,"",INDEX(对接源_02物料!$G$4:$G$1203,$AE202-1200)))="",IF($AE202&lt;=1200,IF(INDEX(对接源_01水果!$D$4:$D$1203,$AE202)=0,"",INDEX(对接源_01水果!$D$4:$D$1203,$AE202)),IF(INDEX(对接源_02物料!$D$4:$D$1203,$AE202-1200)=0,"",INDEX(对接源_02物料!$D$4:$D$1203,$AE202-1200))),IF($AE202&lt;=1200,IF(INDEX(对接源_01水果!$G$4:$G$1203,$AE202)=0,"",INDEX(对接源_01水果!$G$4:$G$1203,$AE202)),IF(INDEX(对接源_02物料!$G$4:$G$1203,$AE202-1200)=0,"",INDEX(对接源_02物料!$G$4:$G$1203,$AE202-1200)))))</f>
        <v/>
      </c>
      <c r="E202" s="55" t="str">
        <f>IF($AE202="","",IF($AE202&lt;=1200,IF(INDEX(对接源_01水果!$H$4:$H$1203,$AE202)=0,"",INDEX(对接源_01水果!$H$4:$H$1203,$AE202)),IF(INDEX(对接源_02物料!$H$4:$H$1203,$AE202-1200)=0,"",INDEX(对接源_02物料!$H$4:$H$1203,$AE202-1200))))</f>
        <v/>
      </c>
      <c r="F202" s="53" t="str">
        <f>IF($AE202="","",IF($AE202&lt;=1200,IF(INDEX(对接源_01水果!$I$4:$I$1203,$AE202)=0,"",INDEX(对接源_01水果!$I$4:$I$1203,$AE202)),IF(INDEX(对接源_02物料!$I$4:$I$1203,$AE202-1200)=0,"",INDEX(对接源_02物料!$I$4:$I$1203,$AE202-1200))))</f>
        <v/>
      </c>
      <c r="G202" s="55" t="str">
        <f>IF($AE202="","",IF(IF($AE202&lt;=1200,N(INDEX(对接源_01水果!$H$4:$H$1203,$AE202)),N(INDEX(对接源_02物料!$H$4:$H$1203,$AE202-1200)))=0,"",ROUND(IF($AE202&lt;=1200,N(INDEX(对接源_01水果!$K$4:$K$1203,$AE202)),N(INDEX(对接源_02物料!$K$4:$K$1203,$AE202-1200)))/IF($AE202&lt;=1200,N(INDEX(对接源_01水果!$H$4:$H$1203,$AE202)),N(INDEX(对接源_02物料!$H$4:$H$1203,$AE202-1200))),2)))</f>
        <v/>
      </c>
      <c r="H202" s="55" t="str">
        <f>IF($AE202="","",IF($AE202&lt;=1200,IF(INDEX(对接源_01水果!$K$4:$K$1203,$AE202)=0,"",INDEX(对接源_01水果!$K$4:$K$1203,$AE202)),IF(INDEX(对接源_02物料!$K$4:$K$1203,$AE202-1200)=0,"",INDEX(对接源_02物料!$K$4:$K$1203,$AE202-1200))))</f>
        <v/>
      </c>
      <c r="I202" s="53" t="str">
        <f>IF($AE202="","",IF($AE202&lt;=1200,IF(INDEX(对接源_01水果!$L$4:$L$1203,$AE202)=0,"",INDEX(对接源_01水果!$L$4:$L$1203,$AE202)),IF(INDEX(对接源_02物料!$L$4:$L$1203,$AE202-1200)=0,"",INDEX(对接源_02物料!$L$4:$L$1203,$AE202-1200))))</f>
        <v/>
      </c>
      <c r="J202" s="106" t="str">
        <f>IF($AE202="","",IF($AE202&lt;=1200,IF(INDEX(对接源_01水果!$M$4:$M$1203,$AE202)=0,"",INDEX(对接源_01水果!$M$4:$M$1203,$AE202)),IF(INDEX(对接源_02物料!$M$4:$M$1203,$AE202-1200)=0,"",INDEX(对接源_02物料!$M$4:$M$1203,$AE202-1200))))</f>
        <v/>
      </c>
      <c r="AE202" s="107" t="str">
        <f>IFERROR(MATCH(197,_自动清单!$AS$4:$AS$2403,0),"")</f>
        <v/>
      </c>
      <c r="AF202" s="107"/>
    </row>
    <row r="203" ht="18" customHeight="1" spans="1:32">
      <c r="A203" s="52" t="str">
        <f>IF($AE203="","",IF($AE203&lt;=1200,IF(INDEX(对接源_01水果!$B$4:$B$1203,$AE203)=0,"",INDEX(对接源_01水果!$B$4:$B$1203,$AE203)),IF(INDEX(对接源_02物料!$B$4:$B$1203,$AE203-1200)=0,"",INDEX(对接源_02物料!$B$4:$B$1203,$AE203-1200))))</f>
        <v/>
      </c>
      <c r="B203" s="53" t="str">
        <f>IF($AE203="","",IF($AE203&lt;=1200,IF(INDEX(对接源_01水果!$E$4:$E$1203,$AE203)=0,"",INDEX(对接源_01水果!$E$4:$E$1203,$AE203)),IF(INDEX(对接源_02物料!$E$4:$E$1203,$AE203-1200)=0,"",INDEX(对接源_02物料!$E$4:$E$1203,$AE203-1200))))</f>
        <v/>
      </c>
      <c r="C203" s="106" t="str">
        <f>IF($AE203="","",IF($AE203&lt;=1200,IF(INDEX(对接源_01水果!$F$4:$F$1203,$AE203)=0,"",INDEX(对接源_01水果!$F$4:$F$1203,$AE203)),IF(INDEX(对接源_02物料!$F$4:$F$1203,$AE203-1200)=0,"",INDEX(对接源_02物料!$F$4:$F$1203,$AE203-1200))))</f>
        <v/>
      </c>
      <c r="D203" s="53" t="str">
        <f>IF($AE203="","",IF(IF($AE203&lt;=1200,IF(INDEX(对接源_01水果!$G$4:$G$1203,$AE203)=0,"",INDEX(对接源_01水果!$G$4:$G$1203,$AE203)),IF(INDEX(对接源_02物料!$G$4:$G$1203,$AE203-1200)=0,"",INDEX(对接源_02物料!$G$4:$G$1203,$AE203-1200)))="",IF($AE203&lt;=1200,IF(INDEX(对接源_01水果!$D$4:$D$1203,$AE203)=0,"",INDEX(对接源_01水果!$D$4:$D$1203,$AE203)),IF(INDEX(对接源_02物料!$D$4:$D$1203,$AE203-1200)=0,"",INDEX(对接源_02物料!$D$4:$D$1203,$AE203-1200))),IF($AE203&lt;=1200,IF(INDEX(对接源_01水果!$G$4:$G$1203,$AE203)=0,"",INDEX(对接源_01水果!$G$4:$G$1203,$AE203)),IF(INDEX(对接源_02物料!$G$4:$G$1203,$AE203-1200)=0,"",INDEX(对接源_02物料!$G$4:$G$1203,$AE203-1200)))))</f>
        <v/>
      </c>
      <c r="E203" s="55" t="str">
        <f>IF($AE203="","",IF($AE203&lt;=1200,IF(INDEX(对接源_01水果!$H$4:$H$1203,$AE203)=0,"",INDEX(对接源_01水果!$H$4:$H$1203,$AE203)),IF(INDEX(对接源_02物料!$H$4:$H$1203,$AE203-1200)=0,"",INDEX(对接源_02物料!$H$4:$H$1203,$AE203-1200))))</f>
        <v/>
      </c>
      <c r="F203" s="53" t="str">
        <f>IF($AE203="","",IF($AE203&lt;=1200,IF(INDEX(对接源_01水果!$I$4:$I$1203,$AE203)=0,"",INDEX(对接源_01水果!$I$4:$I$1203,$AE203)),IF(INDEX(对接源_02物料!$I$4:$I$1203,$AE203-1200)=0,"",INDEX(对接源_02物料!$I$4:$I$1203,$AE203-1200))))</f>
        <v/>
      </c>
      <c r="G203" s="55" t="str">
        <f>IF($AE203="","",IF(IF($AE203&lt;=1200,N(INDEX(对接源_01水果!$H$4:$H$1203,$AE203)),N(INDEX(对接源_02物料!$H$4:$H$1203,$AE203-1200)))=0,"",ROUND(IF($AE203&lt;=1200,N(INDEX(对接源_01水果!$K$4:$K$1203,$AE203)),N(INDEX(对接源_02物料!$K$4:$K$1203,$AE203-1200)))/IF($AE203&lt;=1200,N(INDEX(对接源_01水果!$H$4:$H$1203,$AE203)),N(INDEX(对接源_02物料!$H$4:$H$1203,$AE203-1200))),2)))</f>
        <v/>
      </c>
      <c r="H203" s="55" t="str">
        <f>IF($AE203="","",IF($AE203&lt;=1200,IF(INDEX(对接源_01水果!$K$4:$K$1203,$AE203)=0,"",INDEX(对接源_01水果!$K$4:$K$1203,$AE203)),IF(INDEX(对接源_02物料!$K$4:$K$1203,$AE203-1200)=0,"",INDEX(对接源_02物料!$K$4:$K$1203,$AE203-1200))))</f>
        <v/>
      </c>
      <c r="I203" s="53" t="str">
        <f>IF($AE203="","",IF($AE203&lt;=1200,IF(INDEX(对接源_01水果!$L$4:$L$1203,$AE203)=0,"",INDEX(对接源_01水果!$L$4:$L$1203,$AE203)),IF(INDEX(对接源_02物料!$L$4:$L$1203,$AE203-1200)=0,"",INDEX(对接源_02物料!$L$4:$L$1203,$AE203-1200))))</f>
        <v/>
      </c>
      <c r="J203" s="106" t="str">
        <f>IF($AE203="","",IF($AE203&lt;=1200,IF(INDEX(对接源_01水果!$M$4:$M$1203,$AE203)=0,"",INDEX(对接源_01水果!$M$4:$M$1203,$AE203)),IF(INDEX(对接源_02物料!$M$4:$M$1203,$AE203-1200)=0,"",INDEX(对接源_02物料!$M$4:$M$1203,$AE203-1200))))</f>
        <v/>
      </c>
      <c r="AE203" s="107" t="str">
        <f>IFERROR(MATCH(198,_自动清单!$AS$4:$AS$2403,0),"")</f>
        <v/>
      </c>
      <c r="AF203" s="107"/>
    </row>
    <row r="204" ht="18" customHeight="1" spans="1:32">
      <c r="A204" s="52" t="str">
        <f>IF($AE204="","",IF($AE204&lt;=1200,IF(INDEX(对接源_01水果!$B$4:$B$1203,$AE204)=0,"",INDEX(对接源_01水果!$B$4:$B$1203,$AE204)),IF(INDEX(对接源_02物料!$B$4:$B$1203,$AE204-1200)=0,"",INDEX(对接源_02物料!$B$4:$B$1203,$AE204-1200))))</f>
        <v/>
      </c>
      <c r="B204" s="53" t="str">
        <f>IF($AE204="","",IF($AE204&lt;=1200,IF(INDEX(对接源_01水果!$E$4:$E$1203,$AE204)=0,"",INDEX(对接源_01水果!$E$4:$E$1203,$AE204)),IF(INDEX(对接源_02物料!$E$4:$E$1203,$AE204-1200)=0,"",INDEX(对接源_02物料!$E$4:$E$1203,$AE204-1200))))</f>
        <v/>
      </c>
      <c r="C204" s="106" t="str">
        <f>IF($AE204="","",IF($AE204&lt;=1200,IF(INDEX(对接源_01水果!$F$4:$F$1203,$AE204)=0,"",INDEX(对接源_01水果!$F$4:$F$1203,$AE204)),IF(INDEX(对接源_02物料!$F$4:$F$1203,$AE204-1200)=0,"",INDEX(对接源_02物料!$F$4:$F$1203,$AE204-1200))))</f>
        <v/>
      </c>
      <c r="D204" s="53" t="str">
        <f>IF($AE204="","",IF(IF($AE204&lt;=1200,IF(INDEX(对接源_01水果!$G$4:$G$1203,$AE204)=0,"",INDEX(对接源_01水果!$G$4:$G$1203,$AE204)),IF(INDEX(对接源_02物料!$G$4:$G$1203,$AE204-1200)=0,"",INDEX(对接源_02物料!$G$4:$G$1203,$AE204-1200)))="",IF($AE204&lt;=1200,IF(INDEX(对接源_01水果!$D$4:$D$1203,$AE204)=0,"",INDEX(对接源_01水果!$D$4:$D$1203,$AE204)),IF(INDEX(对接源_02物料!$D$4:$D$1203,$AE204-1200)=0,"",INDEX(对接源_02物料!$D$4:$D$1203,$AE204-1200))),IF($AE204&lt;=1200,IF(INDEX(对接源_01水果!$G$4:$G$1203,$AE204)=0,"",INDEX(对接源_01水果!$G$4:$G$1203,$AE204)),IF(INDEX(对接源_02物料!$G$4:$G$1203,$AE204-1200)=0,"",INDEX(对接源_02物料!$G$4:$G$1203,$AE204-1200)))))</f>
        <v/>
      </c>
      <c r="E204" s="55" t="str">
        <f>IF($AE204="","",IF($AE204&lt;=1200,IF(INDEX(对接源_01水果!$H$4:$H$1203,$AE204)=0,"",INDEX(对接源_01水果!$H$4:$H$1203,$AE204)),IF(INDEX(对接源_02物料!$H$4:$H$1203,$AE204-1200)=0,"",INDEX(对接源_02物料!$H$4:$H$1203,$AE204-1200))))</f>
        <v/>
      </c>
      <c r="F204" s="53" t="str">
        <f>IF($AE204="","",IF($AE204&lt;=1200,IF(INDEX(对接源_01水果!$I$4:$I$1203,$AE204)=0,"",INDEX(对接源_01水果!$I$4:$I$1203,$AE204)),IF(INDEX(对接源_02物料!$I$4:$I$1203,$AE204-1200)=0,"",INDEX(对接源_02物料!$I$4:$I$1203,$AE204-1200))))</f>
        <v/>
      </c>
      <c r="G204" s="55" t="str">
        <f>IF($AE204="","",IF(IF($AE204&lt;=1200,N(INDEX(对接源_01水果!$H$4:$H$1203,$AE204)),N(INDEX(对接源_02物料!$H$4:$H$1203,$AE204-1200)))=0,"",ROUND(IF($AE204&lt;=1200,N(INDEX(对接源_01水果!$K$4:$K$1203,$AE204)),N(INDEX(对接源_02物料!$K$4:$K$1203,$AE204-1200)))/IF($AE204&lt;=1200,N(INDEX(对接源_01水果!$H$4:$H$1203,$AE204)),N(INDEX(对接源_02物料!$H$4:$H$1203,$AE204-1200))),2)))</f>
        <v/>
      </c>
      <c r="H204" s="55" t="str">
        <f>IF($AE204="","",IF($AE204&lt;=1200,IF(INDEX(对接源_01水果!$K$4:$K$1203,$AE204)=0,"",INDEX(对接源_01水果!$K$4:$K$1203,$AE204)),IF(INDEX(对接源_02物料!$K$4:$K$1203,$AE204-1200)=0,"",INDEX(对接源_02物料!$K$4:$K$1203,$AE204-1200))))</f>
        <v/>
      </c>
      <c r="I204" s="53" t="str">
        <f>IF($AE204="","",IF($AE204&lt;=1200,IF(INDEX(对接源_01水果!$L$4:$L$1203,$AE204)=0,"",INDEX(对接源_01水果!$L$4:$L$1203,$AE204)),IF(INDEX(对接源_02物料!$L$4:$L$1203,$AE204-1200)=0,"",INDEX(对接源_02物料!$L$4:$L$1203,$AE204-1200))))</f>
        <v/>
      </c>
      <c r="J204" s="106" t="str">
        <f>IF($AE204="","",IF($AE204&lt;=1200,IF(INDEX(对接源_01水果!$M$4:$M$1203,$AE204)=0,"",INDEX(对接源_01水果!$M$4:$M$1203,$AE204)),IF(INDEX(对接源_02物料!$M$4:$M$1203,$AE204-1200)=0,"",INDEX(对接源_02物料!$M$4:$M$1203,$AE204-1200))))</f>
        <v/>
      </c>
      <c r="AE204" s="107" t="str">
        <f>IFERROR(MATCH(199,_自动清单!$AS$4:$AS$2403,0),"")</f>
        <v/>
      </c>
      <c r="AF204" s="107"/>
    </row>
    <row r="205" ht="18" customHeight="1" spans="1:32">
      <c r="A205" s="52" t="str">
        <f>IF($AE205="","",IF($AE205&lt;=1200,IF(INDEX(对接源_01水果!$B$4:$B$1203,$AE205)=0,"",INDEX(对接源_01水果!$B$4:$B$1203,$AE205)),IF(INDEX(对接源_02物料!$B$4:$B$1203,$AE205-1200)=0,"",INDEX(对接源_02物料!$B$4:$B$1203,$AE205-1200))))</f>
        <v/>
      </c>
      <c r="B205" s="53" t="str">
        <f>IF($AE205="","",IF($AE205&lt;=1200,IF(INDEX(对接源_01水果!$E$4:$E$1203,$AE205)=0,"",INDEX(对接源_01水果!$E$4:$E$1203,$AE205)),IF(INDEX(对接源_02物料!$E$4:$E$1203,$AE205-1200)=0,"",INDEX(对接源_02物料!$E$4:$E$1203,$AE205-1200))))</f>
        <v/>
      </c>
      <c r="C205" s="106" t="str">
        <f>IF($AE205="","",IF($AE205&lt;=1200,IF(INDEX(对接源_01水果!$F$4:$F$1203,$AE205)=0,"",INDEX(对接源_01水果!$F$4:$F$1203,$AE205)),IF(INDEX(对接源_02物料!$F$4:$F$1203,$AE205-1200)=0,"",INDEX(对接源_02物料!$F$4:$F$1203,$AE205-1200))))</f>
        <v/>
      </c>
      <c r="D205" s="53" t="str">
        <f>IF($AE205="","",IF(IF($AE205&lt;=1200,IF(INDEX(对接源_01水果!$G$4:$G$1203,$AE205)=0,"",INDEX(对接源_01水果!$G$4:$G$1203,$AE205)),IF(INDEX(对接源_02物料!$G$4:$G$1203,$AE205-1200)=0,"",INDEX(对接源_02物料!$G$4:$G$1203,$AE205-1200)))="",IF($AE205&lt;=1200,IF(INDEX(对接源_01水果!$D$4:$D$1203,$AE205)=0,"",INDEX(对接源_01水果!$D$4:$D$1203,$AE205)),IF(INDEX(对接源_02物料!$D$4:$D$1203,$AE205-1200)=0,"",INDEX(对接源_02物料!$D$4:$D$1203,$AE205-1200))),IF($AE205&lt;=1200,IF(INDEX(对接源_01水果!$G$4:$G$1203,$AE205)=0,"",INDEX(对接源_01水果!$G$4:$G$1203,$AE205)),IF(INDEX(对接源_02物料!$G$4:$G$1203,$AE205-1200)=0,"",INDEX(对接源_02物料!$G$4:$G$1203,$AE205-1200)))))</f>
        <v/>
      </c>
      <c r="E205" s="55" t="str">
        <f>IF($AE205="","",IF($AE205&lt;=1200,IF(INDEX(对接源_01水果!$H$4:$H$1203,$AE205)=0,"",INDEX(对接源_01水果!$H$4:$H$1203,$AE205)),IF(INDEX(对接源_02物料!$H$4:$H$1203,$AE205-1200)=0,"",INDEX(对接源_02物料!$H$4:$H$1203,$AE205-1200))))</f>
        <v/>
      </c>
      <c r="F205" s="53" t="str">
        <f>IF($AE205="","",IF($AE205&lt;=1200,IF(INDEX(对接源_01水果!$I$4:$I$1203,$AE205)=0,"",INDEX(对接源_01水果!$I$4:$I$1203,$AE205)),IF(INDEX(对接源_02物料!$I$4:$I$1203,$AE205-1200)=0,"",INDEX(对接源_02物料!$I$4:$I$1203,$AE205-1200))))</f>
        <v/>
      </c>
      <c r="G205" s="55" t="str">
        <f>IF($AE205="","",IF(IF($AE205&lt;=1200,N(INDEX(对接源_01水果!$H$4:$H$1203,$AE205)),N(INDEX(对接源_02物料!$H$4:$H$1203,$AE205-1200)))=0,"",ROUND(IF($AE205&lt;=1200,N(INDEX(对接源_01水果!$K$4:$K$1203,$AE205)),N(INDEX(对接源_02物料!$K$4:$K$1203,$AE205-1200)))/IF($AE205&lt;=1200,N(INDEX(对接源_01水果!$H$4:$H$1203,$AE205)),N(INDEX(对接源_02物料!$H$4:$H$1203,$AE205-1200))),2)))</f>
        <v/>
      </c>
      <c r="H205" s="55" t="str">
        <f>IF($AE205="","",IF($AE205&lt;=1200,IF(INDEX(对接源_01水果!$K$4:$K$1203,$AE205)=0,"",INDEX(对接源_01水果!$K$4:$K$1203,$AE205)),IF(INDEX(对接源_02物料!$K$4:$K$1203,$AE205-1200)=0,"",INDEX(对接源_02物料!$K$4:$K$1203,$AE205-1200))))</f>
        <v/>
      </c>
      <c r="I205" s="53" t="str">
        <f>IF($AE205="","",IF($AE205&lt;=1200,IF(INDEX(对接源_01水果!$L$4:$L$1203,$AE205)=0,"",INDEX(对接源_01水果!$L$4:$L$1203,$AE205)),IF(INDEX(对接源_02物料!$L$4:$L$1203,$AE205-1200)=0,"",INDEX(对接源_02物料!$L$4:$L$1203,$AE205-1200))))</f>
        <v/>
      </c>
      <c r="J205" s="106" t="str">
        <f>IF($AE205="","",IF($AE205&lt;=1200,IF(INDEX(对接源_01水果!$M$4:$M$1203,$AE205)=0,"",INDEX(对接源_01水果!$M$4:$M$1203,$AE205)),IF(INDEX(对接源_02物料!$M$4:$M$1203,$AE205-1200)=0,"",INDEX(对接源_02物料!$M$4:$M$1203,$AE205-1200))))</f>
        <v/>
      </c>
      <c r="AE205" s="107" t="str">
        <f>IFERROR(MATCH(200,_自动清单!$AS$4:$AS$2403,0),"")</f>
        <v/>
      </c>
      <c r="AF205" s="107"/>
    </row>
    <row r="206" ht="18" customHeight="1" spans="1:32">
      <c r="A206" s="109"/>
      <c r="B206" s="109"/>
      <c r="C206" s="110"/>
      <c r="D206" s="110"/>
      <c r="E206" s="109"/>
      <c r="F206" s="109"/>
      <c r="G206" s="109"/>
      <c r="H206" s="109"/>
      <c r="I206" s="109"/>
      <c r="J206" s="110"/>
      <c r="AE206" s="111"/>
      <c r="AF206" s="112"/>
    </row>
    <row r="207" ht="18" customHeight="1" spans="1:32">
      <c r="A207" s="109"/>
      <c r="B207" s="109"/>
      <c r="C207" s="110"/>
      <c r="D207" s="110"/>
      <c r="E207" s="109"/>
      <c r="F207" s="109"/>
      <c r="G207" s="109"/>
      <c r="H207" s="109"/>
      <c r="I207" s="109"/>
      <c r="J207" s="110"/>
      <c r="AE207" s="111"/>
      <c r="AF207" s="112"/>
    </row>
    <row r="208" ht="18" customHeight="1" spans="1:32">
      <c r="A208" s="109"/>
      <c r="B208" s="109"/>
      <c r="C208" s="110"/>
      <c r="D208" s="110"/>
      <c r="E208" s="109"/>
      <c r="F208" s="109"/>
      <c r="G208" s="109"/>
      <c r="H208" s="109"/>
      <c r="I208" s="109"/>
      <c r="J208" s="110"/>
      <c r="AE208" s="111"/>
      <c r="AF208" s="112"/>
    </row>
  </sheetData>
  <mergeCells count="11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N311"/>
  <sheetViews>
    <sheetView showGridLines="0" zoomScale="120" zoomScaleNormal="120" workbookViewId="0">
      <pane ySplit="3" topLeftCell="A7" activePane="bottomLeft" state="frozen"/>
      <selection/>
      <selection pane="bottomLeft" activeCell="P9" sqref="P9"/>
    </sheetView>
  </sheetViews>
  <sheetFormatPr defaultColWidth="9" defaultRowHeight="13.5"/>
  <cols>
    <col min="1" max="1" width="12" style="3" customWidth="1"/>
    <col min="2" max="2" width="15" style="3" customWidth="1"/>
    <col min="3" max="3" width="11" style="3" customWidth="1"/>
    <col min="4" max="4" width="13" style="3" customWidth="1"/>
    <col min="5" max="5" width="11" style="3" customWidth="1"/>
    <col min="6" max="6" width="7" style="3" customWidth="1"/>
    <col min="7" max="7" width="12" style="3" customWidth="1"/>
    <col min="8" max="8" width="13" style="3" customWidth="1"/>
    <col min="9" max="9" width="15" style="8" customWidth="1"/>
    <col min="10" max="10" width="18" style="3" customWidth="1"/>
    <col min="11" max="11" width="2" style="3" customWidth="1"/>
    <col min="12" max="12" width="13" style="3" customWidth="1"/>
    <col min="13" max="13" width="11" style="3" customWidth="1"/>
    <col min="14" max="14" width="12" style="3" customWidth="1"/>
    <col min="15" max="15" width="2" style="3" customWidth="1"/>
    <col min="16" max="16" width="12" style="3" customWidth="1"/>
  </cols>
  <sheetData>
    <row r="1" ht="49.5" customHeight="1" spans="1:37">
      <c r="A1" s="35" t="s">
        <v>69</v>
      </c>
      <c r="B1" s="35"/>
      <c r="C1" s="35"/>
      <c r="D1" s="35"/>
      <c r="E1" s="35"/>
      <c r="F1" s="35"/>
      <c r="G1" s="35"/>
      <c r="H1" s="35"/>
      <c r="I1" s="77" t="s">
        <v>70</v>
      </c>
      <c r="J1" s="78"/>
      <c r="P1" s="37">
        <f>IF($F$2="",DATE(1900,1,1),$F$2)</f>
        <v>1</v>
      </c>
    </row>
    <row r="2" ht="25.5" customHeight="1" spans="1:37">
      <c r="A2" s="39" t="s">
        <v>71</v>
      </c>
      <c r="B2" s="79" t="s">
        <v>105</v>
      </c>
      <c r="C2" s="79"/>
      <c r="E2" s="41" t="s">
        <v>73</v>
      </c>
      <c r="F2" s="42"/>
      <c r="G2" s="41" t="s">
        <v>74</v>
      </c>
      <c r="H2" s="42"/>
      <c r="L2" s="80" t="s">
        <v>120</v>
      </c>
      <c r="M2" s="80"/>
      <c r="N2" s="80"/>
      <c r="P2" s="37">
        <f>IF($H$2="",DATE(2999,12,31),$H$2)</f>
        <v>401768</v>
      </c>
    </row>
    <row r="3" ht="19.5" customHeight="1" spans="1:37">
      <c r="A3" s="81" t="s">
        <v>121</v>
      </c>
      <c r="B3" s="81"/>
      <c r="C3" s="81"/>
      <c r="D3" s="81"/>
      <c r="E3" s="81"/>
      <c r="F3" s="81"/>
      <c r="G3" s="81"/>
      <c r="H3" s="81"/>
      <c r="I3" s="81"/>
      <c r="J3" s="81"/>
      <c r="L3" s="49" t="s">
        <v>122</v>
      </c>
      <c r="M3" s="49"/>
      <c r="N3" s="82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</f>
        <v>1832</v>
      </c>
    </row>
    <row r="4" ht="24" customHeight="1" spans="1:37">
      <c r="A4" s="47" t="s">
        <v>123</v>
      </c>
      <c r="B4" s="47"/>
      <c r="C4" s="47"/>
      <c r="D4" s="47"/>
      <c r="E4" s="47"/>
      <c r="F4" s="47"/>
      <c r="G4" s="47"/>
      <c r="H4" s="83" t="str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&amp;"　筐（件）　｜　总毛重 "&amp;TEXT(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,"#,##0.00")&amp;" KG"</f>
        <v>1832　筐（件）　｜　总毛重 36,145.60 KG</v>
      </c>
      <c r="I4" s="83"/>
      <c r="J4" s="83"/>
      <c r="L4" s="49" t="s">
        <v>124</v>
      </c>
      <c r="M4" s="49"/>
      <c r="N4" s="84">
        <f>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</f>
        <v>36145.6</v>
      </c>
    </row>
    <row r="5" ht="30" customHeight="1" spans="1:37">
      <c r="A5" s="51" t="s">
        <v>80</v>
      </c>
      <c r="B5" s="51" t="s">
        <v>82</v>
      </c>
      <c r="C5" s="51" t="s">
        <v>125</v>
      </c>
      <c r="D5" s="51" t="s">
        <v>126</v>
      </c>
      <c r="E5" s="51" t="s">
        <v>83</v>
      </c>
      <c r="F5" s="51" t="s">
        <v>113</v>
      </c>
      <c r="G5" s="51" t="s">
        <v>127</v>
      </c>
      <c r="H5" s="51" t="s">
        <v>99</v>
      </c>
      <c r="I5" s="51" t="s">
        <v>128</v>
      </c>
      <c r="J5" s="51" t="s">
        <v>88</v>
      </c>
      <c r="L5" s="49" t="s">
        <v>129</v>
      </c>
      <c r="M5" s="49"/>
      <c r="N5" s="82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</f>
        <v>0</v>
      </c>
    </row>
    <row r="6" ht="18" customHeight="1" spans="1:37">
      <c r="A6" s="52">
        <f>IF($AE6="","",IF($AE6&lt;=1200,IF(INDEX(对接源_01水果!$B$4:$B$1203,$AE6)=0,"",INDEX(对接源_01水果!$B$4:$B$1203,$AE6)),IF(INDEX(对接源_02物料!$B$4:$B$1203,$AE6-1200)=0,"",INDEX(对接源_02物料!$B$4:$B$1203,$AE6-1200))))</f>
        <v>46272</v>
      </c>
      <c r="B6" s="53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NO:0000756</v>
      </c>
      <c r="C6" s="53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</v>
      </c>
      <c r="D6" s="53" t="str">
        <f>IF($AE6="","",IF($AE6&lt;=1200,IF(INDEX(对接源_01水果!$G$4:$G$1203,$AE6)=0,"",INDEX(对接源_01水果!$G$4:$G$1203,$AE6)),IF(INDEX(对接源_02物料!$G$4:$G$1203,$AE6-1200)=0,"",INDEX(对接源_02物料!$G$4:$G$1203,$AE6-1200))))</f>
        <v>香梨特级</v>
      </c>
      <c r="E6" s="54">
        <f>IF($AE6="","",IF($AE6&lt;=1200,IF(INDEX(对接源_01水果!$H$4:$H$1203,$AE6)=0,"",INDEX(对接源_01水果!$H$4:$H$1203,$AE6)),IF(INDEX(对接源_02物料!$H$4:$H$1203,$AE6-1200)=0,"",INDEX(对接源_02物料!$H$4:$H$1203,$AE6-1200))))</f>
        <v>110</v>
      </c>
      <c r="F6" s="53" t="str">
        <f>IF($AE6="","",IF($AE6&lt;=1200,IF(INDEX(对接源_01水果!$I$4:$I$1203,$AE6)=0,"",INDEX(对接源_01水果!$I$4:$I$1203,$AE6)),IF(INDEX(对接源_02物料!$I$4:$I$1203,$AE6-1200)=0,"",INDEX(对接源_02物料!$I$4:$I$1203,$AE6-1200))))</f>
        <v>筐</v>
      </c>
      <c r="G6" s="55">
        <f>IF($AE6="","",IF($AE6&lt;=1200,IF(INDEX(对接源_01水果!$J$4:$J$1203,$AE6)=0,"",INDEX(对接源_01水果!$J$4:$J$1203,$AE6)),IF(INDEX(对接源_02物料!$J$4:$J$1203,$AE6-1200)=0,"",INDEX(对接源_02物料!$J$4:$J$1203,$AE6-1200))))</f>
        <v>2013</v>
      </c>
      <c r="H6" s="53" t="str">
        <f>IF($AE6="","",IF($AE6&lt;=1200,IF(INDEX(对接源_01水果!$W$4:$W$1203,$AE6)=0,"",INDEX(对接源_01水果!$W$4:$W$1203,$AE6)),IF(INDEX(对接源_02物料!$W$4:$W$1203,$AE6-1200)=0,"",INDEX(对接源_02物料!$W$4:$W$1203,$AE6-1200))))</f>
        <v>新N*X8S48</v>
      </c>
      <c r="I6" s="53" t="str">
        <f>IF($AE6="","",IF($AE6&lt;=1200,IF(INDEX(对接源_01水果!$C$4:$C$1203,$AE6)=0,"",INDEX(对接源_01水果!$C$4:$C$1203,$AE6)),IF(INDEX(对接源_02物料!$C$4:$C$1203,$AE6-1200)=0,"",INDEX(对接源_02物料!$C$4:$C$1203,$AE6-1200))))</f>
        <v>吐尔洪</v>
      </c>
      <c r="J6" s="56" t="str">
        <f>IF($AE6="","",IF($AE6&lt;=1200,IF(INDEX(对接源_01水果!$M$4:$M$1203,$AE6)=0,"",INDEX(对接源_01水果!$M$4:$M$1203,$AE6)),IF(INDEX(对接源_02物料!$M$4:$M$1203,$AE6-1200)=0,"",INDEX(对接源_02物料!$M$4:$M$1203,$AE6-1200))))</f>
        <v>麦麦提</v>
      </c>
      <c r="L6" s="85" t="s">
        <v>130</v>
      </c>
      <c r="M6" s="85"/>
      <c r="N6" s="86">
        <f>ROUND(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)-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),0)</f>
        <v>1832</v>
      </c>
      <c r="AE6" s="2">
        <f>IFERROR(MATCH(1,_自动清单!$AA$4:$AA$2403,0),"")</f>
        <v>145</v>
      </c>
      <c r="AI6" s="2" t="str">
        <f t="shared" ref="AI6:AI69" si="0">IF($D6="","",$D6)</f>
        <v>香梨特级</v>
      </c>
      <c r="AJ6" s="2">
        <f>IF(AI6="",0,IF(MATCH(AI6,AI$6:AI$125,0)=1,1,0))</f>
        <v>1</v>
      </c>
      <c r="AK6" s="2">
        <f t="shared" ref="AK6:AK69" si="1">N(AK5)+AJ6</f>
        <v>1</v>
      </c>
    </row>
    <row r="7" ht="18" customHeight="1" spans="1:37">
      <c r="A7" s="87">
        <f>IF($AE7="","",IF($AE7&lt;=1200,IF(INDEX(对接源_01水果!$B$4:$B$1203,$AE7)=0,"",INDEX(对接源_01水果!$B$4:$B$1203,$AE7)),IF(INDEX(对接源_02物料!$B$4:$B$1203,$AE7-1200)=0,"",INDEX(对接源_02物料!$B$4:$B$1203,$AE7-1200))))</f>
        <v>46272</v>
      </c>
      <c r="B7" s="88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NO:0000756</v>
      </c>
      <c r="C7" s="88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</v>
      </c>
      <c r="D7" s="88" t="str">
        <f>IF($AE7="","",IF($AE7&lt;=1200,IF(INDEX(对接源_01水果!$G$4:$G$1203,$AE7)=0,"",INDEX(对接源_01水果!$G$4:$G$1203,$AE7)),IF(INDEX(对接源_02物料!$G$4:$G$1203,$AE7-1200)=0,"",INDEX(对接源_02物料!$G$4:$G$1203,$AE7-1200))))</f>
        <v>香梨二级</v>
      </c>
      <c r="E7" s="89">
        <f>IF($AE7="","",IF($AE7&lt;=1200,IF(INDEX(对接源_01水果!$H$4:$H$1203,$AE7)=0,"",INDEX(对接源_01水果!$H$4:$H$1203,$AE7)),IF(INDEX(对接源_02物料!$H$4:$H$1203,$AE7-1200)=0,"",INDEX(对接源_02物料!$H$4:$H$1203,$AE7-1200))))</f>
        <v>21</v>
      </c>
      <c r="F7" s="88" t="str">
        <f>IF($AE7="","",IF($AE7&lt;=1200,IF(INDEX(对接源_01水果!$I$4:$I$1203,$AE7)=0,"",INDEX(对接源_01水果!$I$4:$I$1203,$AE7)),IF(INDEX(对接源_02物料!$I$4:$I$1203,$AE7-1200)=0,"",INDEX(对接源_02物料!$I$4:$I$1203,$AE7-1200))))</f>
        <v>筐</v>
      </c>
      <c r="G7" s="90">
        <f>IF($AE7="","",IF($AE7&lt;=1200,IF(INDEX(对接源_01水果!$J$4:$J$1203,$AE7)=0,"",INDEX(对接源_01水果!$J$4:$J$1203,$AE7)),IF(INDEX(对接源_02物料!$J$4:$J$1203,$AE7-1200)=0,"",INDEX(对接源_02物料!$J$4:$J$1203,$AE7-1200))))</f>
        <v>384.3</v>
      </c>
      <c r="H7" s="88" t="str">
        <f>IF($AE7="","",IF($AE7&lt;=1200,IF(INDEX(对接源_01水果!$W$4:$W$1203,$AE7)=0,"",INDEX(对接源_01水果!$W$4:$W$1203,$AE7)),IF(INDEX(对接源_02物料!$W$4:$W$1203,$AE7-1200)=0,"",INDEX(对接源_02物料!$W$4:$W$1203,$AE7-1200))))</f>
        <v>新N*X8S48</v>
      </c>
      <c r="I7" s="88" t="str">
        <f>IF($AE7="","",IF($AE7&lt;=1200,IF(INDEX(对接源_01水果!$C$4:$C$1203,$AE7)=0,"",INDEX(对接源_01水果!$C$4:$C$1203,$AE7)),IF(INDEX(对接源_02物料!$C$4:$C$1203,$AE7-1200)=0,"",INDEX(对接源_02物料!$C$4:$C$1203,$AE7-1200))))</f>
        <v>吐尔洪</v>
      </c>
      <c r="J7" s="91" t="str">
        <f>IF($AE7="","",IF($AE7&lt;=1200,IF(INDEX(对接源_01水果!$M$4:$M$1203,$AE7)=0,"",INDEX(对接源_01水果!$M$4:$M$1203,$AE7)),IF(INDEX(对接源_02物料!$M$4:$M$1203,$AE7-1200)=0,"",INDEX(对接源_02物料!$M$4:$M$1203,$AE7-1200))))</f>
        <v>麦麦提</v>
      </c>
      <c r="L7" s="49" t="s">
        <v>131</v>
      </c>
      <c r="M7" s="49"/>
      <c r="N7" s="82">
        <f>ROUND(SUMIFS(对接源_01水果!$H$4:$H$1203,对接源_01水果!$C$4:$C$1203,$B$2,对接源_01水果!$B$4:$B$1203,"&gt;="&amp;$P$1,对接源_01水果!$B$4:$B$1203,"&lt;="&amp;$P$2,对接源_01水果!$D$4:$D$1203,"成品出库*",对接源_01水果!$I$4:$I$1203,"箱")+SUMIFS(对接源_02物料!$H$4:$H$1203,对接源_02物料!$C$4:$C$1203,$B$2,对接源_02物料!$B$4:$B$1203,"&gt;="&amp;$P$1,对接源_02物料!$B$4:$B$1203,"&lt;="&amp;$P$2,对接源_02物料!$D$4:$D$1203,"成品出库*",对接源_02物料!$I$4:$I$1203,"箱"),0)</f>
        <v>0</v>
      </c>
      <c r="AE7" s="2">
        <f>IFERROR(MATCH(2,_自动清单!$AA$4:$AA$2403,0),"")</f>
        <v>146</v>
      </c>
      <c r="AI7" s="2" t="str">
        <f t="shared" si="0"/>
        <v>香梨二级</v>
      </c>
      <c r="AJ7" s="2">
        <f>IF(AI7="",0,IF(MATCH(AI7,AI$6:AI$125,0)=2,1,0))</f>
        <v>1</v>
      </c>
      <c r="AK7" s="2">
        <f t="shared" si="1"/>
        <v>2</v>
      </c>
    </row>
    <row r="8" ht="18" customHeight="1" spans="1:37">
      <c r="A8" s="52">
        <f>IF($AE8="","",IF($AE8&lt;=1200,IF(INDEX(对接源_01水果!$B$4:$B$1203,$AE8)=0,"",INDEX(对接源_01水果!$B$4:$B$1203,$AE8)),IF(INDEX(对接源_02物料!$B$4:$B$1203,$AE8-1200)=0,"",INDEX(对接源_02物料!$B$4:$B$1203,$AE8-1200))))</f>
        <v>46272</v>
      </c>
      <c r="B8" s="53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NO:0000756</v>
      </c>
      <c r="C8" s="53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</v>
      </c>
      <c r="D8" s="53" t="str">
        <f>IF($AE8="","",IF($AE8&lt;=1200,IF(INDEX(对接源_01水果!$G$4:$G$1203,$AE8)=0,"",INDEX(对接源_01水果!$G$4:$G$1203,$AE8)),IF(INDEX(对接源_02物料!$G$4:$G$1203,$AE8-1200)=0,"",INDEX(对接源_02物料!$G$4:$G$1203,$AE8-1200))))</f>
        <v>香梨二级</v>
      </c>
      <c r="E8" s="54">
        <f>IF($AE8="","",IF($AE8&lt;=1200,IF(INDEX(对接源_01水果!$H$4:$H$1203,$AE8)=0,"",INDEX(对接源_01水果!$H$4:$H$1203,$AE8)),IF(INDEX(对接源_02物料!$H$4:$H$1203,$AE8-1200)=0,"",INDEX(对接源_02物料!$H$4:$H$1203,$AE8-1200))))</f>
        <v>67</v>
      </c>
      <c r="F8" s="53" t="str">
        <f>IF($AE8="","",IF($AE8&lt;=1200,IF(INDEX(对接源_01水果!$I$4:$I$1203,$AE8)=0,"",INDEX(对接源_01水果!$I$4:$I$1203,$AE8)),IF(INDEX(对接源_02物料!$I$4:$I$1203,$AE8-1200)=0,"",INDEX(对接源_02物料!$I$4:$I$1203,$AE8-1200))))</f>
        <v>筐</v>
      </c>
      <c r="G8" s="55">
        <f>IF($AE8="","",IF($AE8&lt;=1200,IF(INDEX(对接源_01水果!$J$4:$J$1203,$AE8)=0,"",INDEX(对接源_01水果!$J$4:$J$1203,$AE8)),IF(INDEX(对接源_02物料!$J$4:$J$1203,$AE8-1200)=0,"",INDEX(对接源_02物料!$J$4:$J$1203,$AE8-1200))))</f>
        <v>1494.1</v>
      </c>
      <c r="H8" s="53" t="str">
        <f>IF($AE8="","",IF($AE8&lt;=1200,IF(INDEX(对接源_01水果!$W$4:$W$1203,$AE8)=0,"",INDEX(对接源_01水果!$W$4:$W$1203,$AE8)),IF(INDEX(对接源_02物料!$W$4:$W$1203,$AE8-1200)=0,"",INDEX(对接源_02物料!$W$4:$W$1203,$AE8-1200))))</f>
        <v>新N*X8S48</v>
      </c>
      <c r="I8" s="53" t="str">
        <f>IF($AE8="","",IF($AE8&lt;=1200,IF(INDEX(对接源_01水果!$C$4:$C$1203,$AE8)=0,"",INDEX(对接源_01水果!$C$4:$C$1203,$AE8)),IF(INDEX(对接源_02物料!$C$4:$C$1203,$AE8-1200)=0,"",INDEX(对接源_02物料!$C$4:$C$1203,$AE8-1200))))</f>
        <v>吐尔洪</v>
      </c>
      <c r="J8" s="56" t="str">
        <f>IF($AE8="","",IF($AE8&lt;=1200,IF(INDEX(对接源_01水果!$M$4:$M$1203,$AE8)=0,"",INDEX(对接源_01水果!$M$4:$M$1203,$AE8)),IF(INDEX(对接源_02物料!$M$4:$M$1203,$AE8-1200)=0,"",INDEX(对接源_02物料!$M$4:$M$1203,$AE8-1200))))</f>
        <v>麦麦提</v>
      </c>
      <c r="L8" s="49" t="s">
        <v>132</v>
      </c>
      <c r="M8" s="49"/>
      <c r="N8" s="84">
        <f>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</f>
        <v>0</v>
      </c>
      <c r="AE8" s="2">
        <f>IFERROR(MATCH(3,_自动清单!$AA$4:$AA$2403,0),"")</f>
        <v>147</v>
      </c>
      <c r="AI8" s="2" t="str">
        <f t="shared" si="0"/>
        <v>香梨二级</v>
      </c>
      <c r="AJ8" s="2">
        <f>IF(AI8="",0,IF(MATCH(AI8,AI$6:AI$125,0)=3,1,0))</f>
        <v>0</v>
      </c>
      <c r="AK8" s="2">
        <f t="shared" si="1"/>
        <v>2</v>
      </c>
    </row>
    <row r="9" ht="18" customHeight="1" spans="1:37">
      <c r="A9" s="87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88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NO:0000762</v>
      </c>
      <c r="C9" s="88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</v>
      </c>
      <c r="D9" s="88" t="str">
        <f>IF($AE9="","",IF($AE9&lt;=1200,IF(INDEX(对接源_01水果!$G$4:$G$1203,$AE9)=0,"",INDEX(对接源_01水果!$G$4:$G$1203,$AE9)),IF(INDEX(对接源_02物料!$G$4:$G$1203,$AE9-1200)=0,"",INDEX(对接源_02物料!$G$4:$G$1203,$AE9-1200))))</f>
        <v>香梨特级</v>
      </c>
      <c r="E9" s="89">
        <f>IF($AE9="","",IF($AE9&lt;=1200,IF(INDEX(对接源_01水果!$H$4:$H$1203,$AE9)=0,"",INDEX(对接源_01水果!$H$4:$H$1203,$AE9)),IF(INDEX(对接源_02物料!$H$4:$H$1203,$AE9-1200)=0,"",INDEX(对接源_02物料!$H$4:$H$1203,$AE9-1200))))</f>
        <v>91</v>
      </c>
      <c r="F9" s="88" t="str">
        <f>IF($AE9="","",IF($AE9&lt;=1200,IF(INDEX(对接源_01水果!$I$4:$I$1203,$AE9)=0,"",INDEX(对接源_01水果!$I$4:$I$1203,$AE9)),IF(INDEX(对接源_02物料!$I$4:$I$1203,$AE9-1200)=0,"",INDEX(对接源_02物料!$I$4:$I$1203,$AE9-1200))))</f>
        <v>筐</v>
      </c>
      <c r="G9" s="90">
        <f>IF($AE9="","",IF($AE9&lt;=1200,IF(INDEX(对接源_01水果!$J$4:$J$1203,$AE9)=0,"",INDEX(对接源_01水果!$J$4:$J$1203,$AE9)),IF(INDEX(对接源_02物料!$J$4:$J$1203,$AE9-1200)=0,"",INDEX(对接源_02物料!$J$4:$J$1203,$AE9-1200))))</f>
        <v>1665.3</v>
      </c>
      <c r="H9" s="88" t="str">
        <f>IF($AE9="","",IF($AE9&lt;=1200,IF(INDEX(对接源_01水果!$W$4:$W$1203,$AE9)=0,"",INDEX(对接源_01水果!$W$4:$W$1203,$AE9)),IF(INDEX(对接源_02物料!$W$4:$W$1203,$AE9-1200)=0,"",INDEX(对接源_02物料!$W$4:$W$1203,$AE9-1200))))</f>
        <v>新N*X8S48</v>
      </c>
      <c r="I9" s="88" t="str">
        <f>IF($AE9="","",IF($AE9&lt;=1200,IF(INDEX(对接源_01水果!$C$4:$C$1203,$AE9)=0,"",INDEX(对接源_01水果!$C$4:$C$1203,$AE9)),IF(INDEX(对接源_02物料!$C$4:$C$1203,$AE9-1200)=0,"",INDEX(对接源_02物料!$C$4:$C$1203,$AE9-1200))))</f>
        <v>吐尔洪</v>
      </c>
      <c r="J9" s="91" t="str">
        <f>IF($AE9="","",IF($AE9&lt;=1200,IF(INDEX(对接源_01水果!$M$4:$M$1203,$AE9)=0,"",INDEX(对接源_01水果!$M$4:$M$1203,$AE9)),IF(INDEX(对接源_02物料!$M$4:$M$1203,$AE9-1200)=0,"",INDEX(对接源_02物料!$M$4:$M$1203,$AE9-1200))))</f>
        <v>麦麦提</v>
      </c>
      <c r="L9" s="49" t="s">
        <v>133</v>
      </c>
      <c r="M9" s="49"/>
      <c r="N9" s="82">
        <f>ROUND(SUMIFS(对接源_01水果!$H$4:$H$1203,对接源_01水果!$C$4:$C$1203,$B$2,对接源_01水果!$B$4:$B$1203,"&gt;="&amp;$P$1,对接源_01水果!$B$4:$B$1203,"&lt;="&amp;$P$2,对接源_01水果!$D$4:$D$1203,"成品出库*",对接源_01水果!$I$4:$I$1203,"&lt;&gt;箱")+SUMIFS(对接源_02物料!$H$4:$H$1203,对接源_02物料!$C$4:$C$1203,$B$2,对接源_02物料!$B$4:$B$1203,"&gt;="&amp;$P$1,对接源_02物料!$B$4:$B$1203,"&lt;="&amp;$P$2,对接源_02物料!$D$4:$D$1203,"成品出库*",对接源_02物料!$I$4:$I$1203,"&lt;&gt;箱"),0)</f>
        <v>0</v>
      </c>
      <c r="AE9" s="2">
        <f>IFERROR(MATCH(4,_自动清单!$AA$4:$AA$2403,0),"")</f>
        <v>156</v>
      </c>
      <c r="AI9" s="2" t="str">
        <f t="shared" si="0"/>
        <v>香梨特级</v>
      </c>
      <c r="AJ9" s="2">
        <f>IF(AI9="",0,IF(MATCH(AI9,AI$6:AI$125,0)=4,1,0))</f>
        <v>0</v>
      </c>
      <c r="AK9" s="2">
        <f t="shared" si="1"/>
        <v>2</v>
      </c>
    </row>
    <row r="10" ht="18" customHeight="1" spans="1:37">
      <c r="A10" s="52">
        <f>IF($AE10="","",IF($AE10&lt;=1200,IF(INDEX(对接源_01水果!$B$4:$B$1203,$AE10)=0,"",INDEX(对接源_01水果!$B$4:$B$1203,$AE10)),IF(INDEX(对接源_02物料!$B$4:$B$1203,$AE10-1200)=0,"",INDEX(对接源_02物料!$B$4:$B$1203,$AE10-1200))))</f>
        <v>46274</v>
      </c>
      <c r="B10" s="53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NO:0000762</v>
      </c>
      <c r="C10" s="53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</v>
      </c>
      <c r="D10" s="53" t="str">
        <f>IF($AE10="","",IF($AE10&lt;=1200,IF(INDEX(对接源_01水果!$G$4:$G$1203,$AE10)=0,"",INDEX(对接源_01水果!$G$4:$G$1203,$AE10)),IF(INDEX(对接源_02物料!$G$4:$G$1203,$AE10-1200)=0,"",INDEX(对接源_02物料!$G$4:$G$1203,$AE10-1200))))</f>
        <v>香梨一级</v>
      </c>
      <c r="E10" s="54">
        <f>IF($AE10="","",IF($AE10&lt;=1200,IF(INDEX(对接源_01水果!$H$4:$H$1203,$AE10)=0,"",INDEX(对接源_01水果!$H$4:$H$1203,$AE10)),IF(INDEX(对接源_02物料!$H$4:$H$1203,$AE10-1200)=0,"",INDEX(对接源_02物料!$H$4:$H$1203,$AE10-1200))))</f>
        <v>79</v>
      </c>
      <c r="F10" s="53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筐</v>
      </c>
      <c r="G10" s="55">
        <f>IF($AE10="","",IF($AE10&lt;=1200,IF(INDEX(对接源_01水果!$J$4:$J$1203,$AE10)=0,"",INDEX(对接源_01水果!$J$4:$J$1203,$AE10)),IF(INDEX(对接源_02物料!$J$4:$J$1203,$AE10-1200)=0,"",INDEX(对接源_02物料!$J$4:$J$1203,$AE10-1200))))</f>
        <v>1445.7</v>
      </c>
      <c r="H10" s="53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新N*X8S48</v>
      </c>
      <c r="I10" s="53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吐尔洪</v>
      </c>
      <c r="J10" s="56" t="str">
        <f>IF($AE10="","",IF($AE10&lt;=1200,IF(INDEX(对接源_01水果!$M$4:$M$1203,$AE10)=0,"",INDEX(对接源_01水果!$M$4:$M$1203,$AE10)),IF(INDEX(对接源_02物料!$M$4:$M$1203,$AE10-1200)=0,"",INDEX(对接源_02物料!$M$4:$M$1203,$AE10-1200))))</f>
        <v>麦麦提</v>
      </c>
      <c r="L10" s="92" t="s">
        <v>134</v>
      </c>
      <c r="M10" s="92"/>
      <c r="N10" s="92"/>
      <c r="AE10" s="2">
        <f>IFERROR(MATCH(5,_自动清单!$AA$4:$AA$2403,0),"")</f>
        <v>157</v>
      </c>
      <c r="AI10" s="2" t="str">
        <f t="shared" si="0"/>
        <v>香梨一级</v>
      </c>
      <c r="AJ10" s="2">
        <f>IF(AI10="",0,IF(MATCH(AI10,AI$6:AI$125,0)=5,1,0))</f>
        <v>1</v>
      </c>
      <c r="AK10" s="2">
        <f t="shared" si="1"/>
        <v>3</v>
      </c>
    </row>
    <row r="11" ht="18" customHeight="1" spans="1:37">
      <c r="A11" s="87">
        <f>IF($AE11="","",IF($AE11&lt;=1200,IF(INDEX(对接源_01水果!$B$4:$B$1203,$AE11)=0,"",INDEX(对接源_01水果!$B$4:$B$1203,$AE11)),IF(INDEX(对接源_02物料!$B$4:$B$1203,$AE11-1200)=0,"",INDEX(对接源_02物料!$B$4:$B$1203,$AE11-1200))))</f>
        <v>46274</v>
      </c>
      <c r="B11" s="88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NO:0000762</v>
      </c>
      <c r="C11" s="88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香梨</v>
      </c>
      <c r="D11" s="88" t="str">
        <f>IF($AE11="","",IF($AE11&lt;=1200,IF(INDEX(对接源_01水果!$G$4:$G$1203,$AE11)=0,"",INDEX(对接源_01水果!$G$4:$G$1203,$AE11)),IF(INDEX(对接源_02物料!$G$4:$G$1203,$AE11-1200)=0,"",INDEX(对接源_02物料!$G$4:$G$1203,$AE11-1200))))</f>
        <v>香梨二级</v>
      </c>
      <c r="E11" s="89">
        <f>IF($AE11="","",IF($AE11&lt;=1200,IF(INDEX(对接源_01水果!$H$4:$H$1203,$AE11)=0,"",INDEX(对接源_01水果!$H$4:$H$1203,$AE11)),IF(INDEX(对接源_02物料!$H$4:$H$1203,$AE11-1200)=0,"",INDEX(对接源_02物料!$H$4:$H$1203,$AE11-1200))))</f>
        <v>72</v>
      </c>
      <c r="F11" s="88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筐</v>
      </c>
      <c r="G11" s="90">
        <f>IF($AE11="","",IF($AE11&lt;=1200,IF(INDEX(对接源_01水果!$J$4:$J$1203,$AE11)=0,"",INDEX(对接源_01水果!$J$4:$J$1203,$AE11)),IF(INDEX(对接源_02物料!$J$4:$J$1203,$AE11-1200)=0,"",INDEX(对接源_02物料!$J$4:$J$1203,$AE11-1200))))</f>
        <v>1605.6</v>
      </c>
      <c r="H11" s="88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新N*X8S48</v>
      </c>
      <c r="I11" s="88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吐尔洪</v>
      </c>
      <c r="J11" s="91" t="str">
        <f>IF($AE11="","",IF($AE11&lt;=1200,IF(INDEX(对接源_01水果!$M$4:$M$1203,$AE11)=0,"",INDEX(对接源_01水果!$M$4:$M$1203,$AE11)),IF(INDEX(对接源_02物料!$M$4:$M$1203,$AE11-1200)=0,"",INDEX(对接源_02物料!$M$4:$M$1203,$AE11-1200))))</f>
        <v>麦麦提</v>
      </c>
      <c r="L11" s="93" t="s">
        <v>126</v>
      </c>
      <c r="M11" s="93" t="s">
        <v>135</v>
      </c>
      <c r="N11" s="93" t="s">
        <v>136</v>
      </c>
      <c r="AE11" s="2">
        <f>IFERROR(MATCH(6,_自动清单!$AA$4:$AA$2403,0),"")</f>
        <v>158</v>
      </c>
      <c r="AI11" s="2" t="str">
        <f t="shared" si="0"/>
        <v>香梨二级</v>
      </c>
      <c r="AJ11" s="2">
        <f>IF(AI11="",0,IF(MATCH(AI11,AI$6:AI$125,0)=6,1,0))</f>
        <v>0</v>
      </c>
      <c r="AK11" s="2">
        <f t="shared" si="1"/>
        <v>3</v>
      </c>
    </row>
    <row r="12" ht="18" customHeight="1" spans="1:37">
      <c r="A12" s="52">
        <f>IF($AE12="","",IF($AE12&lt;=1200,IF(INDEX(对接源_01水果!$B$4:$B$1203,$AE12)=0,"",INDEX(对接源_01水果!$B$4:$B$1203,$AE12)),IF(INDEX(对接源_02物料!$B$4:$B$1203,$AE12-1200)=0,"",INDEX(对接源_02物料!$B$4:$B$1203,$AE12-1200))))</f>
        <v>46275</v>
      </c>
      <c r="B12" s="53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NO:0000773</v>
      </c>
      <c r="C12" s="53" t="str">
        <f>IF($AE12="","",IF($AE12&lt;=1200,IF(INDEX(对接源_01水果!$F$4:$F$1203,$AE12)=0,"",INDEX(对接源_01水果!$F$4:$F$1203,$AE12)),IF(INDEX(对接源_02物料!$F$4:$F$1203,$AE12-1200)=0,"",INDEX(对接源_02物料!$F$4:$F$1203,$AE12-1200))))</f>
        <v>香梨</v>
      </c>
      <c r="D12" s="53" t="str">
        <f>IF($AE12="","",IF($AE12&lt;=1200,IF(INDEX(对接源_01水果!$G$4:$G$1203,$AE12)=0,"",INDEX(对接源_01水果!$G$4:$G$1203,$AE12)),IF(INDEX(对接源_02物料!$G$4:$G$1203,$AE12-1200)=0,"",INDEX(对接源_02物料!$G$4:$G$1203,$AE12-1200))))</f>
        <v>香梨特级</v>
      </c>
      <c r="E12" s="54">
        <f>IF($AE12="","",IF($AE12&lt;=1200,IF(INDEX(对接源_01水果!$H$4:$H$1203,$AE12)=0,"",INDEX(对接源_01水果!$H$4:$H$1203,$AE12)),IF(INDEX(对接源_02物料!$H$4:$H$1203,$AE12-1200)=0,"",INDEX(对接源_02物料!$H$4:$H$1203,$AE12-1200))))</f>
        <v>108</v>
      </c>
      <c r="F12" s="53" t="str">
        <f>IF($AE12="","",IF($AE12&lt;=1200,IF(INDEX(对接源_01水果!$I$4:$I$1203,$AE12)=0,"",INDEX(对接源_01水果!$I$4:$I$1203,$AE12)),IF(INDEX(对接源_02物料!$I$4:$I$1203,$AE12-1200)=0,"",INDEX(对接源_02物料!$I$4:$I$1203,$AE12-1200))))</f>
        <v>筐</v>
      </c>
      <c r="G12" s="55">
        <f>IF($AE12="","",IF($AE12&lt;=1200,IF(INDEX(对接源_01水果!$J$4:$J$1203,$AE12)=0,"",INDEX(对接源_01水果!$J$4:$J$1203,$AE12)),IF(INDEX(对接源_02物料!$J$4:$J$1203,$AE12-1200)=0,"",INDEX(对接源_02物料!$J$4:$J$1203,$AE12-1200))))</f>
        <v>1976.4</v>
      </c>
      <c r="H12" s="53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新N*X8S48</v>
      </c>
      <c r="I12" s="53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吐尔洪</v>
      </c>
      <c r="J12" s="56" t="str">
        <f>IF($AE12="","",IF($AE12&lt;=1200,IF(INDEX(对接源_01水果!$M$4:$M$1203,$AE12)=0,"",INDEX(对接源_01水果!$M$4:$M$1203,$AE12)),IF(INDEX(对接源_02物料!$M$4:$M$1203,$AE12-1200)=0,"",INDEX(对接源_02物料!$M$4:$M$1203,$AE12-1200))))</f>
        <v>麦麦提</v>
      </c>
      <c r="L12" s="16" t="str">
        <f>IFERROR(INDEX($D$6:$D$125,MATCH(1,AK$6:AK$125,0)),"")</f>
        <v>香梨特级</v>
      </c>
      <c r="M12" s="17">
        <f t="shared" ref="M12:M29" si="2">IF($L12="","",SUMIF($D$6:$D$125,$L12,$E$6:$E$125))</f>
        <v>868</v>
      </c>
      <c r="N12" s="18">
        <f t="shared" ref="N12:N29" si="3">IF($L12="","",ROUND(SUMIF($D$6:$D$125,$L12,$G$6:$G$125),2))</f>
        <v>15884.4</v>
      </c>
      <c r="AE12" s="2">
        <f>IFERROR(MATCH(7,_自动清单!$AA$4:$AA$2403,0),"")</f>
        <v>171</v>
      </c>
      <c r="AI12" s="2" t="str">
        <f t="shared" si="0"/>
        <v>香梨特级</v>
      </c>
      <c r="AJ12" s="2">
        <f>IF(AI12="",0,IF(MATCH(AI12,AI$6:AI$125,0)=7,1,0))</f>
        <v>0</v>
      </c>
      <c r="AK12" s="2">
        <f t="shared" si="1"/>
        <v>3</v>
      </c>
    </row>
    <row r="13" ht="18" customHeight="1" spans="1:37">
      <c r="A13" s="87">
        <f>IF($AE13="","",IF($AE13&lt;=1200,IF(INDEX(对接源_01水果!$B$4:$B$1203,$AE13)=0,"",INDEX(对接源_01水果!$B$4:$B$1203,$AE13)),IF(INDEX(对接源_02物料!$B$4:$B$1203,$AE13-1200)=0,"",INDEX(对接源_02物料!$B$4:$B$1203,$AE13-1200))))</f>
        <v>46275</v>
      </c>
      <c r="B13" s="88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NO:0000773</v>
      </c>
      <c r="C13" s="88" t="str">
        <f>IF($AE13="","",IF($AE13&lt;=1200,IF(INDEX(对接源_01水果!$F$4:$F$1203,$AE13)=0,"",INDEX(对接源_01水果!$F$4:$F$1203,$AE13)),IF(INDEX(对接源_02物料!$F$4:$F$1203,$AE13-1200)=0,"",INDEX(对接源_02物料!$F$4:$F$1203,$AE13-1200))))</f>
        <v>香梨</v>
      </c>
      <c r="D13" s="88" t="str">
        <f>IF($AE13="","",IF($AE13&lt;=1200,IF(INDEX(对接源_01水果!$G$4:$G$1203,$AE13)=0,"",INDEX(对接源_01水果!$G$4:$G$1203,$AE13)),IF(INDEX(对接源_02物料!$G$4:$G$1203,$AE13-1200)=0,"",INDEX(对接源_02物料!$G$4:$G$1203,$AE13-1200))))</f>
        <v>香梨一级</v>
      </c>
      <c r="E13" s="89">
        <f>IF($AE13="","",IF($AE13&lt;=1200,IF(INDEX(对接源_01水果!$H$4:$H$1203,$AE13)=0,"",INDEX(对接源_01水果!$H$4:$H$1203,$AE13)),IF(INDEX(对接源_02物料!$H$4:$H$1203,$AE13-1200)=0,"",INDEX(对接源_02物料!$H$4:$H$1203,$AE13-1200))))</f>
        <v>38</v>
      </c>
      <c r="F13" s="88" t="str">
        <f>IF($AE13="","",IF($AE13&lt;=1200,IF(INDEX(对接源_01水果!$I$4:$I$1203,$AE13)=0,"",INDEX(对接源_01水果!$I$4:$I$1203,$AE13)),IF(INDEX(对接源_02物料!$I$4:$I$1203,$AE13-1200)=0,"",INDEX(对接源_02物料!$I$4:$I$1203,$AE13-1200))))</f>
        <v>筐</v>
      </c>
      <c r="G13" s="90">
        <f>IF($AE13="","",IF($AE13&lt;=1200,IF(INDEX(对接源_01水果!$J$4:$J$1203,$AE13)=0,"",INDEX(对接源_01水果!$J$4:$J$1203,$AE13)),IF(INDEX(对接源_02物料!$J$4:$J$1203,$AE13-1200)=0,"",INDEX(对接源_02物料!$J$4:$J$1203,$AE13-1200))))</f>
        <v>695.4</v>
      </c>
      <c r="H13" s="88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新N*X8S48</v>
      </c>
      <c r="I13" s="88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吐尔洪</v>
      </c>
      <c r="J13" s="91" t="str">
        <f>IF($AE13="","",IF($AE13&lt;=1200,IF(INDEX(对接源_01水果!$M$4:$M$1203,$AE13)=0,"",INDEX(对接源_01水果!$M$4:$M$1203,$AE13)),IF(INDEX(对接源_02物料!$M$4:$M$1203,$AE13-1200)=0,"",INDEX(对接源_02物料!$M$4:$M$1203,$AE13-1200))))</f>
        <v>麦麦提</v>
      </c>
      <c r="L13" s="16" t="str">
        <f>IFERROR(INDEX($D$6:$D$125,MATCH(2,AK$6:AK$125,0)),"")</f>
        <v>香梨二级</v>
      </c>
      <c r="M13" s="17">
        <f t="shared" si="2"/>
        <v>676</v>
      </c>
      <c r="N13" s="18">
        <f t="shared" si="3"/>
        <v>14990.8</v>
      </c>
      <c r="AE13" s="2">
        <f>IFERROR(MATCH(8,_自动清单!$AA$4:$AA$2403,0),"")</f>
        <v>172</v>
      </c>
      <c r="AI13" s="2" t="str">
        <f t="shared" si="0"/>
        <v>香梨一级</v>
      </c>
      <c r="AJ13" s="2">
        <f>IF(AI13="",0,IF(MATCH(AI13,AI$6:AI$125,0)=8,1,0))</f>
        <v>0</v>
      </c>
      <c r="AK13" s="2">
        <f t="shared" si="1"/>
        <v>3</v>
      </c>
    </row>
    <row r="14" ht="18" customHeight="1" spans="1:37">
      <c r="A14" s="52">
        <f>IF($AE14="","",IF($AE14&lt;=1200,IF(INDEX(对接源_01水果!$B$4:$B$1203,$AE14)=0,"",INDEX(对接源_01水果!$B$4:$B$1203,$AE14)),IF(INDEX(对接源_02物料!$B$4:$B$1203,$AE14-1200)=0,"",INDEX(对接源_02物料!$B$4:$B$1203,$AE14-1200))))</f>
        <v>46275</v>
      </c>
      <c r="B14" s="53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NO:0000773</v>
      </c>
      <c r="C14" s="53" t="str">
        <f>IF($AE14="","",IF($AE14&lt;=1200,IF(INDEX(对接源_01水果!$F$4:$F$1203,$AE14)=0,"",INDEX(对接源_01水果!$F$4:$F$1203,$AE14)),IF(INDEX(对接源_02物料!$F$4:$F$1203,$AE14-1200)=0,"",INDEX(对接源_02物料!$F$4:$F$1203,$AE14-1200))))</f>
        <v>香梨</v>
      </c>
      <c r="D14" s="53" t="str">
        <f>IF($AE14="","",IF($AE14&lt;=1200,IF(INDEX(对接源_01水果!$G$4:$G$1203,$AE14)=0,"",INDEX(对接源_01水果!$G$4:$G$1203,$AE14)),IF(INDEX(对接源_02物料!$G$4:$G$1203,$AE14-1200)=0,"",INDEX(对接源_02物料!$G$4:$G$1203,$AE14-1200))))</f>
        <v>香梨二级</v>
      </c>
      <c r="E14" s="54">
        <f>IF($AE14="","",IF($AE14&lt;=1200,IF(INDEX(对接源_01水果!$H$4:$H$1203,$AE14)=0,"",INDEX(对接源_01水果!$H$4:$H$1203,$AE14)),IF(INDEX(对接源_02物料!$H$4:$H$1203,$AE14-1200)=0,"",INDEX(对接源_02物料!$H$4:$H$1203,$AE14-1200))))</f>
        <v>106</v>
      </c>
      <c r="F14" s="53" t="str">
        <f>IF($AE14="","",IF($AE14&lt;=1200,IF(INDEX(对接源_01水果!$I$4:$I$1203,$AE14)=0,"",INDEX(对接源_01水果!$I$4:$I$1203,$AE14)),IF(INDEX(对接源_02物料!$I$4:$I$1203,$AE14-1200)=0,"",INDEX(对接源_02物料!$I$4:$I$1203,$AE14-1200))))</f>
        <v>筐</v>
      </c>
      <c r="G14" s="55">
        <f>IF($AE14="","",IF($AE14&lt;=1200,IF(INDEX(对接源_01水果!$J$4:$J$1203,$AE14)=0,"",INDEX(对接源_01水果!$J$4:$J$1203,$AE14)),IF(INDEX(对接源_02物料!$J$4:$J$1203,$AE14-1200)=0,"",INDEX(对接源_02物料!$J$4:$J$1203,$AE14-1200))))</f>
        <v>2363.8</v>
      </c>
      <c r="H14" s="53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新N*X8S48</v>
      </c>
      <c r="I14" s="53" t="str">
        <f>IF($AE14="","",IF($AE14&lt;=1200,IF(INDEX(对接源_01水果!$C$4:$C$1203,$AE14)=0,"",INDEX(对接源_01水果!$C$4:$C$1203,$AE14)),IF(INDEX(对接源_02物料!$C$4:$C$1203,$AE14-1200)=0,"",INDEX(对接源_02物料!$C$4:$C$1203,$AE14-1200))))</f>
        <v>吐尔洪</v>
      </c>
      <c r="J14" s="56" t="str">
        <f>IF($AE14="","",IF($AE14&lt;=1200,IF(INDEX(对接源_01水果!$M$4:$M$1203,$AE14)=0,"",INDEX(对接源_01水果!$M$4:$M$1203,$AE14)),IF(INDEX(对接源_02物料!$M$4:$M$1203,$AE14-1200)=0,"",INDEX(对接源_02物料!$M$4:$M$1203,$AE14-1200))))</f>
        <v>麦麦提</v>
      </c>
      <c r="L14" s="16" t="str">
        <f>IFERROR(INDEX($D$6:$D$125,MATCH(3,AK$6:AK$125,0)),"")</f>
        <v>香梨一级</v>
      </c>
      <c r="M14" s="17">
        <f t="shared" si="2"/>
        <v>288</v>
      </c>
      <c r="N14" s="18">
        <f t="shared" si="3"/>
        <v>5270.4</v>
      </c>
      <c r="AE14" s="2">
        <f>IFERROR(MATCH(9,_自动清单!$AA$4:$AA$2403,0),"")</f>
        <v>173</v>
      </c>
      <c r="AI14" s="2" t="str">
        <f t="shared" si="0"/>
        <v>香梨二级</v>
      </c>
      <c r="AJ14" s="2">
        <f>IF(AI14="",0,IF(MATCH(AI14,AI$6:AI$125,0)=9,1,0))</f>
        <v>0</v>
      </c>
      <c r="AK14" s="2">
        <f t="shared" si="1"/>
        <v>3</v>
      </c>
    </row>
    <row r="15" ht="18" customHeight="1" spans="1:37">
      <c r="A15" s="87">
        <f>IF($AE15="","",IF($AE15&lt;=1200,IF(INDEX(对接源_01水果!$B$4:$B$1203,$AE15)=0,"",INDEX(对接源_01水果!$B$4:$B$1203,$AE15)),IF(INDEX(对接源_02物料!$B$4:$B$1203,$AE15-1200)=0,"",INDEX(对接源_02物料!$B$4:$B$1203,$AE15-1200))))</f>
        <v>46276</v>
      </c>
      <c r="B15" s="88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NO:0000786</v>
      </c>
      <c r="C15" s="88" t="str">
        <f>IF($AE15="","",IF($AE15&lt;=1200,IF(INDEX(对接源_01水果!$F$4:$F$1203,$AE15)=0,"",INDEX(对接源_01水果!$F$4:$F$1203,$AE15)),IF(INDEX(对接源_02物料!$F$4:$F$1203,$AE15-1200)=0,"",INDEX(对接源_02物料!$F$4:$F$1203,$AE15-1200))))</f>
        <v>香梨</v>
      </c>
      <c r="D15" s="88" t="str">
        <f>IF($AE15="","",IF($AE15&lt;=1200,IF(INDEX(对接源_01水果!$G$4:$G$1203,$AE15)=0,"",INDEX(对接源_01水果!$G$4:$G$1203,$AE15)),IF(INDEX(对接源_02物料!$G$4:$G$1203,$AE15-1200)=0,"",INDEX(对接源_02物料!$G$4:$G$1203,$AE15-1200))))</f>
        <v>香梨特级</v>
      </c>
      <c r="E15" s="89">
        <f>IF($AE15="","",IF($AE15&lt;=1200,IF(INDEX(对接源_01水果!$H$4:$H$1203,$AE15)=0,"",INDEX(对接源_01水果!$H$4:$H$1203,$AE15)),IF(INDEX(对接源_02物料!$H$4:$H$1203,$AE15-1200)=0,"",INDEX(对接源_02物料!$H$4:$H$1203,$AE15-1200))))</f>
        <v>88</v>
      </c>
      <c r="F15" s="88" t="str">
        <f>IF($AE15="","",IF($AE15&lt;=1200,IF(INDEX(对接源_01水果!$I$4:$I$1203,$AE15)=0,"",INDEX(对接源_01水果!$I$4:$I$1203,$AE15)),IF(INDEX(对接源_02物料!$I$4:$I$1203,$AE15-1200)=0,"",INDEX(对接源_02物料!$I$4:$I$1203,$AE15-1200))))</f>
        <v>筐</v>
      </c>
      <c r="G15" s="90">
        <f>IF($AE15="","",IF($AE15&lt;=1200,IF(INDEX(对接源_01水果!$J$4:$J$1203,$AE15)=0,"",INDEX(对接源_01水果!$J$4:$J$1203,$AE15)),IF(INDEX(对接源_02物料!$J$4:$J$1203,$AE15-1200)=0,"",INDEX(对接源_02物料!$J$4:$J$1203,$AE15-1200))))</f>
        <v>1610.4</v>
      </c>
      <c r="H15" s="88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新N*X8S48</v>
      </c>
      <c r="I15" s="88" t="str">
        <f>IF($AE15="","",IF($AE15&lt;=1200,IF(INDEX(对接源_01水果!$C$4:$C$1203,$AE15)=0,"",INDEX(对接源_01水果!$C$4:$C$1203,$AE15)),IF(INDEX(对接源_02物料!$C$4:$C$1203,$AE15-1200)=0,"",INDEX(对接源_02物料!$C$4:$C$1203,$AE15-1200))))</f>
        <v>吐尔洪</v>
      </c>
      <c r="J15" s="91" t="str">
        <f>IF($AE15="","",IF($AE15&lt;=1200,IF(INDEX(对接源_01水果!$M$4:$M$1203,$AE15)=0,"",INDEX(对接源_01水果!$M$4:$M$1203,$AE15)),IF(INDEX(对接源_02物料!$M$4:$M$1203,$AE15-1200)=0,"",INDEX(对接源_02物料!$M$4:$M$1203,$AE15-1200))))</f>
        <v>麦麦提</v>
      </c>
      <c r="L15" s="16" t="str">
        <f>IFERROR(INDEX($D$6:$D$125,MATCH(4,AK$6:AK$125,0)),"")</f>
        <v/>
      </c>
      <c r="M15" s="17" t="str">
        <f t="shared" si="2"/>
        <v/>
      </c>
      <c r="N15" s="18" t="str">
        <f t="shared" si="3"/>
        <v/>
      </c>
      <c r="AE15" s="2">
        <f>IFERROR(MATCH(10,_自动清单!$AA$4:$AA$2403,0),"")</f>
        <v>189</v>
      </c>
      <c r="AI15" s="2" t="str">
        <f t="shared" si="0"/>
        <v>香梨特级</v>
      </c>
      <c r="AJ15" s="2">
        <f>IF(AI15="",0,IF(MATCH(AI15,AI$6:AI$125,0)=10,1,0))</f>
        <v>0</v>
      </c>
      <c r="AK15" s="2">
        <f t="shared" si="1"/>
        <v>3</v>
      </c>
    </row>
    <row r="16" ht="18" customHeight="1" spans="1:37">
      <c r="A16" s="52">
        <f>IF($AE16="","",IF($AE16&lt;=1200,IF(INDEX(对接源_01水果!$B$4:$B$1203,$AE16)=0,"",INDEX(对接源_01水果!$B$4:$B$1203,$AE16)),IF(INDEX(对接源_02物料!$B$4:$B$1203,$AE16-1200)=0,"",INDEX(对接源_02物料!$B$4:$B$1203,$AE16-1200))))</f>
        <v>46276</v>
      </c>
      <c r="B16" s="53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NO:0000786</v>
      </c>
      <c r="C16" s="53" t="str">
        <f>IF($AE16="","",IF($AE16&lt;=1200,IF(INDEX(对接源_01水果!$F$4:$F$1203,$AE16)=0,"",INDEX(对接源_01水果!$F$4:$F$1203,$AE16)),IF(INDEX(对接源_02物料!$F$4:$F$1203,$AE16-1200)=0,"",INDEX(对接源_02物料!$F$4:$F$1203,$AE16-1200))))</f>
        <v>香梨</v>
      </c>
      <c r="D16" s="53" t="str">
        <f>IF($AE16="","",IF($AE16&lt;=1200,IF(INDEX(对接源_01水果!$G$4:$G$1203,$AE16)=0,"",INDEX(对接源_01水果!$G$4:$G$1203,$AE16)),IF(INDEX(对接源_02物料!$G$4:$G$1203,$AE16-1200)=0,"",INDEX(对接源_02物料!$G$4:$G$1203,$AE16-1200))))</f>
        <v>香梨一级</v>
      </c>
      <c r="E16" s="54">
        <f>IF($AE16="","",IF($AE16&lt;=1200,IF(INDEX(对接源_01水果!$H$4:$H$1203,$AE16)=0,"",INDEX(对接源_01水果!$H$4:$H$1203,$AE16)),IF(INDEX(对接源_02物料!$H$4:$H$1203,$AE16-1200)=0,"",INDEX(对接源_02物料!$H$4:$H$1203,$AE16-1200))))</f>
        <v>43</v>
      </c>
      <c r="F16" s="53" t="str">
        <f>IF($AE16="","",IF($AE16&lt;=1200,IF(INDEX(对接源_01水果!$I$4:$I$1203,$AE16)=0,"",INDEX(对接源_01水果!$I$4:$I$1203,$AE16)),IF(INDEX(对接源_02物料!$I$4:$I$1203,$AE16-1200)=0,"",INDEX(对接源_02物料!$I$4:$I$1203,$AE16-1200))))</f>
        <v>筐</v>
      </c>
      <c r="G16" s="55">
        <f>IF($AE16="","",IF($AE16&lt;=1200,IF(INDEX(对接源_01水果!$J$4:$J$1203,$AE16)=0,"",INDEX(对接源_01水果!$J$4:$J$1203,$AE16)),IF(INDEX(对接源_02物料!$J$4:$J$1203,$AE16-1200)=0,"",INDEX(对接源_02物料!$J$4:$J$1203,$AE16-1200))))</f>
        <v>786.9</v>
      </c>
      <c r="H16" s="53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新N*X8S48</v>
      </c>
      <c r="I16" s="53" t="str">
        <f>IF($AE16="","",IF($AE16&lt;=1200,IF(INDEX(对接源_01水果!$C$4:$C$1203,$AE16)=0,"",INDEX(对接源_01水果!$C$4:$C$1203,$AE16)),IF(INDEX(对接源_02物料!$C$4:$C$1203,$AE16-1200)=0,"",INDEX(对接源_02物料!$C$4:$C$1203,$AE16-1200))))</f>
        <v>吐尔洪</v>
      </c>
      <c r="J16" s="56" t="str">
        <f>IF($AE16="","",IF($AE16&lt;=1200,IF(INDEX(对接源_01水果!$M$4:$M$1203,$AE16)=0,"",INDEX(对接源_01水果!$M$4:$M$1203,$AE16)),IF(INDEX(对接源_02物料!$M$4:$M$1203,$AE16-1200)=0,"",INDEX(对接源_02物料!$M$4:$M$1203,$AE16-1200))))</f>
        <v>麦麦提</v>
      </c>
      <c r="L16" s="16" t="str">
        <f>IFERROR(INDEX($D$6:$D$125,MATCH(5,AK$6:AK$125,0)),"")</f>
        <v/>
      </c>
      <c r="M16" s="17" t="str">
        <f t="shared" si="2"/>
        <v/>
      </c>
      <c r="N16" s="18" t="str">
        <f t="shared" si="3"/>
        <v/>
      </c>
      <c r="AE16" s="2">
        <f>IFERROR(MATCH(11,_自动清单!$AA$4:$AA$2403,0),"")</f>
        <v>190</v>
      </c>
      <c r="AI16" s="2" t="str">
        <f t="shared" si="0"/>
        <v>香梨一级</v>
      </c>
      <c r="AJ16" s="2">
        <f>IF(AI16="",0,IF(MATCH(AI16,AI$6:AI$125,0)=11,1,0))</f>
        <v>0</v>
      </c>
      <c r="AK16" s="2">
        <f t="shared" si="1"/>
        <v>3</v>
      </c>
    </row>
    <row r="17" ht="18" customHeight="1" spans="1:37">
      <c r="A17" s="87">
        <f>IF($AE17="","",IF($AE17&lt;=1200,IF(INDEX(对接源_01水果!$B$4:$B$1203,$AE17)=0,"",INDEX(对接源_01水果!$B$4:$B$1203,$AE17)),IF(INDEX(对接源_02物料!$B$4:$B$1203,$AE17-1200)=0,"",INDEX(对接源_02物料!$B$4:$B$1203,$AE17-1200))))</f>
        <v>46276</v>
      </c>
      <c r="B17" s="88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NO:0000786</v>
      </c>
      <c r="C17" s="88" t="str">
        <f>IF($AE17="","",IF($AE17&lt;=1200,IF(INDEX(对接源_01水果!$F$4:$F$1203,$AE17)=0,"",INDEX(对接源_01水果!$F$4:$F$1203,$AE17)),IF(INDEX(对接源_02物料!$F$4:$F$1203,$AE17-1200)=0,"",INDEX(对接源_02物料!$F$4:$F$1203,$AE17-1200))))</f>
        <v>香梨</v>
      </c>
      <c r="D17" s="88" t="str">
        <f>IF($AE17="","",IF($AE17&lt;=1200,IF(INDEX(对接源_01水果!$G$4:$G$1203,$AE17)=0,"",INDEX(对接源_01水果!$G$4:$G$1203,$AE17)),IF(INDEX(对接源_02物料!$G$4:$G$1203,$AE17-1200)=0,"",INDEX(对接源_02物料!$G$4:$G$1203,$AE17-1200))))</f>
        <v>香梨二级</v>
      </c>
      <c r="E17" s="89">
        <f>IF($AE17="","",IF($AE17&lt;=1200,IF(INDEX(对接源_01水果!$H$4:$H$1203,$AE17)=0,"",INDEX(对接源_01水果!$H$4:$H$1203,$AE17)),IF(INDEX(对接源_02物料!$H$4:$H$1203,$AE17-1200)=0,"",INDEX(对接源_02物料!$H$4:$H$1203,$AE17-1200))))</f>
        <v>88</v>
      </c>
      <c r="F17" s="88" t="str">
        <f>IF($AE17="","",IF($AE17&lt;=1200,IF(INDEX(对接源_01水果!$I$4:$I$1203,$AE17)=0,"",INDEX(对接源_01水果!$I$4:$I$1203,$AE17)),IF(INDEX(对接源_02物料!$I$4:$I$1203,$AE17-1200)=0,"",INDEX(对接源_02物料!$I$4:$I$1203,$AE17-1200))))</f>
        <v>筐</v>
      </c>
      <c r="G17" s="90">
        <f>IF($AE17="","",IF($AE17&lt;=1200,IF(INDEX(对接源_01水果!$J$4:$J$1203,$AE17)=0,"",INDEX(对接源_01水果!$J$4:$J$1203,$AE17)),IF(INDEX(对接源_02物料!$J$4:$J$1203,$AE17-1200)=0,"",INDEX(对接源_02物料!$J$4:$J$1203,$AE17-1200))))</f>
        <v>1962.4</v>
      </c>
      <c r="H17" s="88" t="str">
        <f>IF($AE17="","",IF($AE17&lt;=1200,IF(INDEX(对接源_01水果!$W$4:$W$1203,$AE17)=0,"",INDEX(对接源_01水果!$W$4:$W$1203,$AE17)),IF(INDEX(对接源_02物料!$W$4:$W$1203,$AE17-1200)=0,"",INDEX(对接源_02物料!$W$4:$W$1203,$AE17-1200))))</f>
        <v>新N*X8S48</v>
      </c>
      <c r="I17" s="88" t="str">
        <f>IF($AE17="","",IF($AE17&lt;=1200,IF(INDEX(对接源_01水果!$C$4:$C$1203,$AE17)=0,"",INDEX(对接源_01水果!$C$4:$C$1203,$AE17)),IF(INDEX(对接源_02物料!$C$4:$C$1203,$AE17-1200)=0,"",INDEX(对接源_02物料!$C$4:$C$1203,$AE17-1200))))</f>
        <v>吐尔洪</v>
      </c>
      <c r="J17" s="91" t="str">
        <f>IF($AE17="","",IF($AE17&lt;=1200,IF(INDEX(对接源_01水果!$M$4:$M$1203,$AE17)=0,"",INDEX(对接源_01水果!$M$4:$M$1203,$AE17)),IF(INDEX(对接源_02物料!$M$4:$M$1203,$AE17-1200)=0,"",INDEX(对接源_02物料!$M$4:$M$1203,$AE17-1200))))</f>
        <v>麦麦提</v>
      </c>
      <c r="L17" s="16" t="str">
        <f>IFERROR(INDEX($D$6:$D$125,MATCH(6,AK$6:AK$125,0)),"")</f>
        <v/>
      </c>
      <c r="M17" s="17" t="str">
        <f t="shared" si="2"/>
        <v/>
      </c>
      <c r="N17" s="18" t="str">
        <f t="shared" si="3"/>
        <v/>
      </c>
      <c r="AE17" s="2">
        <f>IFERROR(MATCH(12,_自动清单!$AA$4:$AA$2403,0),"")</f>
        <v>191</v>
      </c>
      <c r="AI17" s="2" t="str">
        <f t="shared" si="0"/>
        <v>香梨二级</v>
      </c>
      <c r="AJ17" s="2">
        <f>IF(AI17="",0,IF(MATCH(AI17,AI$6:AI$125,0)=12,1,0))</f>
        <v>0</v>
      </c>
      <c r="AK17" s="2">
        <f t="shared" si="1"/>
        <v>3</v>
      </c>
    </row>
    <row r="18" ht="18" customHeight="1" spans="1:37">
      <c r="A18" s="52">
        <f>IF($AE18="","",IF($AE18&lt;=1200,IF(INDEX(对接源_01水果!$B$4:$B$1203,$AE18)=0,"",INDEX(对接源_01水果!$B$4:$B$1203,$AE18)),IF(INDEX(对接源_02物料!$B$4:$B$1203,$AE18-1200)=0,"",INDEX(对接源_02物料!$B$4:$B$1203,$AE18-1200))))</f>
        <v>46278</v>
      </c>
      <c r="B18" s="53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NO:0000799</v>
      </c>
      <c r="C18" s="53" t="str">
        <f>IF($AE18="","",IF($AE18&lt;=1200,IF(INDEX(对接源_01水果!$F$4:$F$1203,$AE18)=0,"",INDEX(对接源_01水果!$F$4:$F$1203,$AE18)),IF(INDEX(对接源_02物料!$F$4:$F$1203,$AE18-1200)=0,"",INDEX(对接源_02物料!$F$4:$F$1203,$AE18-1200))))</f>
        <v>香梨</v>
      </c>
      <c r="D18" s="53" t="str">
        <f>IF($AE18="","",IF($AE18&lt;=1200,IF(INDEX(对接源_01水果!$G$4:$G$1203,$AE18)=0,"",INDEX(对接源_01水果!$G$4:$G$1203,$AE18)),IF(INDEX(对接源_02物料!$G$4:$G$1203,$AE18-1200)=0,"",INDEX(对接源_02物料!$G$4:$G$1203,$AE18-1200))))</f>
        <v>香梨特级</v>
      </c>
      <c r="E18" s="54">
        <f>IF($AE18="","",IF($AE18&lt;=1200,IF(INDEX(对接源_01水果!$H$4:$H$1203,$AE18)=0,"",INDEX(对接源_01水果!$H$4:$H$1203,$AE18)),IF(INDEX(对接源_02物料!$H$4:$H$1203,$AE18-1200)=0,"",INDEX(对接源_02物料!$H$4:$H$1203,$AE18-1200))))</f>
        <v>133</v>
      </c>
      <c r="F18" s="53" t="str">
        <f>IF($AE18="","",IF($AE18&lt;=1200,IF(INDEX(对接源_01水果!$I$4:$I$1203,$AE18)=0,"",INDEX(对接源_01水果!$I$4:$I$1203,$AE18)),IF(INDEX(对接源_02物料!$I$4:$I$1203,$AE18-1200)=0,"",INDEX(对接源_02物料!$I$4:$I$1203,$AE18-1200))))</f>
        <v>筐</v>
      </c>
      <c r="G18" s="55">
        <f>IF($AE18="","",IF($AE18&lt;=1200,IF(INDEX(对接源_01水果!$J$4:$J$1203,$AE18)=0,"",INDEX(对接源_01水果!$J$4:$J$1203,$AE18)),IF(INDEX(对接源_02物料!$J$4:$J$1203,$AE18-1200)=0,"",INDEX(对接源_02物料!$J$4:$J$1203,$AE18-1200))))</f>
        <v>2433.9</v>
      </c>
      <c r="H18" s="53" t="str">
        <f>IF($AE18="","",IF($AE18&lt;=1200,IF(INDEX(对接源_01水果!$W$4:$W$1203,$AE18)=0,"",INDEX(对接源_01水果!$W$4:$W$1203,$AE18)),IF(INDEX(对接源_02物料!$W$4:$W$1203,$AE18-1200)=0,"",INDEX(对接源_02物料!$W$4:$W$1203,$AE18-1200))))</f>
        <v>新N*X8S48</v>
      </c>
      <c r="I18" s="53" t="str">
        <f>IF($AE18="","",IF($AE18&lt;=1200,IF(INDEX(对接源_01水果!$C$4:$C$1203,$AE18)=0,"",INDEX(对接源_01水果!$C$4:$C$1203,$AE18)),IF(INDEX(对接源_02物料!$C$4:$C$1203,$AE18-1200)=0,"",INDEX(对接源_02物料!$C$4:$C$1203,$AE18-1200))))</f>
        <v>吐尔洪</v>
      </c>
      <c r="J18" s="56" t="str">
        <f>IF($AE18="","",IF($AE18&lt;=1200,IF(INDEX(对接源_01水果!$M$4:$M$1203,$AE18)=0,"",INDEX(对接源_01水果!$M$4:$M$1203,$AE18)),IF(INDEX(对接源_02物料!$M$4:$M$1203,$AE18-1200)=0,"",INDEX(对接源_02物料!$M$4:$M$1203,$AE18-1200))))</f>
        <v>麦麦提</v>
      </c>
      <c r="L18" s="16" t="str">
        <f>IFERROR(INDEX($D$6:$D$125,MATCH(7,AK$6:AK$125,0)),"")</f>
        <v/>
      </c>
      <c r="M18" s="17" t="str">
        <f t="shared" si="2"/>
        <v/>
      </c>
      <c r="N18" s="18" t="str">
        <f t="shared" si="3"/>
        <v/>
      </c>
      <c r="AE18" s="2">
        <f>IFERROR(MATCH(13,_自动清单!$AA$4:$AA$2403,0),"")</f>
        <v>211</v>
      </c>
      <c r="AI18" s="2" t="str">
        <f t="shared" si="0"/>
        <v>香梨特级</v>
      </c>
      <c r="AJ18" s="2">
        <f>IF(AI18="",0,IF(MATCH(AI18,AI$6:AI$125,0)=13,1,0))</f>
        <v>0</v>
      </c>
      <c r="AK18" s="2">
        <f t="shared" si="1"/>
        <v>3</v>
      </c>
    </row>
    <row r="19" ht="18" customHeight="1" spans="1:37">
      <c r="A19" s="87">
        <f>IF($AE19="","",IF($AE19&lt;=1200,IF(INDEX(对接源_01水果!$B$4:$B$1203,$AE19)=0,"",INDEX(对接源_01水果!$B$4:$B$1203,$AE19)),IF(INDEX(对接源_02物料!$B$4:$B$1203,$AE19-1200)=0,"",INDEX(对接源_02物料!$B$4:$B$1203,$AE19-1200))))</f>
        <v>46278</v>
      </c>
      <c r="B19" s="88" t="str">
        <f>IF($AE19="","",IF($AE19&lt;=1200,IF(INDEX(对接源_01水果!$E$4:$E$1203,$AE19)=0,"",INDEX(对接源_01水果!$E$4:$E$1203,$AE19)),IF(INDEX(对接源_02物料!$E$4:$E$1203,$AE19-1200)=0,"",INDEX(对接源_02物料!$E$4:$E$1203,$AE19-1200))))</f>
        <v>NO:0000799</v>
      </c>
      <c r="C19" s="88" t="str">
        <f>IF($AE19="","",IF($AE19&lt;=1200,IF(INDEX(对接源_01水果!$F$4:$F$1203,$AE19)=0,"",INDEX(对接源_01水果!$F$4:$F$1203,$AE19)),IF(INDEX(对接源_02物料!$F$4:$F$1203,$AE19-1200)=0,"",INDEX(对接源_02物料!$F$4:$F$1203,$AE19-1200))))</f>
        <v>香梨</v>
      </c>
      <c r="D19" s="88" t="str">
        <f>IF($AE19="","",IF($AE19&lt;=1200,IF(INDEX(对接源_01水果!$G$4:$G$1203,$AE19)=0,"",INDEX(对接源_01水果!$G$4:$G$1203,$AE19)),IF(INDEX(对接源_02物料!$G$4:$G$1203,$AE19-1200)=0,"",INDEX(对接源_02物料!$G$4:$G$1203,$AE19-1200))))</f>
        <v>香梨一级</v>
      </c>
      <c r="E19" s="89">
        <f>IF($AE19="","",IF($AE19&lt;=1200,IF(INDEX(对接源_01水果!$H$4:$H$1203,$AE19)=0,"",INDEX(对接源_01水果!$H$4:$H$1203,$AE19)),IF(INDEX(对接源_02物料!$H$4:$H$1203,$AE19-1200)=0,"",INDEX(对接源_02物料!$H$4:$H$1203,$AE19-1200))))</f>
        <v>50</v>
      </c>
      <c r="F19" s="88" t="str">
        <f>IF($AE19="","",IF($AE19&lt;=1200,IF(INDEX(对接源_01水果!$I$4:$I$1203,$AE19)=0,"",INDEX(对接源_01水果!$I$4:$I$1203,$AE19)),IF(INDEX(对接源_02物料!$I$4:$I$1203,$AE19-1200)=0,"",INDEX(对接源_02物料!$I$4:$I$1203,$AE19-1200))))</f>
        <v>筐</v>
      </c>
      <c r="G19" s="90">
        <f>IF($AE19="","",IF($AE19&lt;=1200,IF(INDEX(对接源_01水果!$J$4:$J$1203,$AE19)=0,"",INDEX(对接源_01水果!$J$4:$J$1203,$AE19)),IF(INDEX(对接源_02物料!$J$4:$J$1203,$AE19-1200)=0,"",INDEX(对接源_02物料!$J$4:$J$1203,$AE19-1200))))</f>
        <v>915</v>
      </c>
      <c r="H19" s="88" t="str">
        <f>IF($AE19="","",IF($AE19&lt;=1200,IF(INDEX(对接源_01水果!$W$4:$W$1203,$AE19)=0,"",INDEX(对接源_01水果!$W$4:$W$1203,$AE19)),IF(INDEX(对接源_02物料!$W$4:$W$1203,$AE19-1200)=0,"",INDEX(对接源_02物料!$W$4:$W$1203,$AE19-1200))))</f>
        <v>新N*X8S48</v>
      </c>
      <c r="I19" s="88" t="str">
        <f>IF($AE19="","",IF($AE19&lt;=1200,IF(INDEX(对接源_01水果!$C$4:$C$1203,$AE19)=0,"",INDEX(对接源_01水果!$C$4:$C$1203,$AE19)),IF(INDEX(对接源_02物料!$C$4:$C$1203,$AE19-1200)=0,"",INDEX(对接源_02物料!$C$4:$C$1203,$AE19-1200))))</f>
        <v>吐尔洪</v>
      </c>
      <c r="J19" s="91" t="str">
        <f>IF($AE19="","",IF($AE19&lt;=1200,IF(INDEX(对接源_01水果!$M$4:$M$1203,$AE19)=0,"",INDEX(对接源_01水果!$M$4:$M$1203,$AE19)),IF(INDEX(对接源_02物料!$M$4:$M$1203,$AE19-1200)=0,"",INDEX(对接源_02物料!$M$4:$M$1203,$AE19-1200))))</f>
        <v>麦麦提</v>
      </c>
      <c r="L19" s="16" t="str">
        <f>IFERROR(INDEX($D$6:$D$125,MATCH(8,AK$6:AK$125,0)),"")</f>
        <v/>
      </c>
      <c r="M19" s="17" t="str">
        <f t="shared" si="2"/>
        <v/>
      </c>
      <c r="N19" s="18" t="str">
        <f t="shared" si="3"/>
        <v/>
      </c>
      <c r="AE19" s="2">
        <f>IFERROR(MATCH(14,_自动清单!$AA$4:$AA$2403,0),"")</f>
        <v>212</v>
      </c>
      <c r="AI19" s="2" t="str">
        <f t="shared" si="0"/>
        <v>香梨一级</v>
      </c>
      <c r="AJ19" s="2">
        <f>IF(AI19="",0,IF(MATCH(AI19,AI$6:AI$125,0)=14,1,0))</f>
        <v>0</v>
      </c>
      <c r="AK19" s="2">
        <f t="shared" si="1"/>
        <v>3</v>
      </c>
    </row>
    <row r="20" ht="18" customHeight="1" spans="1:37">
      <c r="A20" s="52">
        <f>IF($AE20="","",IF($AE20&lt;=1200,IF(INDEX(对接源_01水果!$B$4:$B$1203,$AE20)=0,"",INDEX(对接源_01水果!$B$4:$B$1203,$AE20)),IF(INDEX(对接源_02物料!$B$4:$B$1203,$AE20-1200)=0,"",INDEX(对接源_02物料!$B$4:$B$1203,$AE20-1200))))</f>
        <v>46278</v>
      </c>
      <c r="B20" s="53" t="str">
        <f>IF($AE20="","",IF($AE20&lt;=1200,IF(INDEX(对接源_01水果!$E$4:$E$1203,$AE20)=0,"",INDEX(对接源_01水果!$E$4:$E$1203,$AE20)),IF(INDEX(对接源_02物料!$E$4:$E$1203,$AE20-1200)=0,"",INDEX(对接源_02物料!$E$4:$E$1203,$AE20-1200))))</f>
        <v>NO:0000799</v>
      </c>
      <c r="C20" s="53" t="str">
        <f>IF($AE20="","",IF($AE20&lt;=1200,IF(INDEX(对接源_01水果!$F$4:$F$1203,$AE20)=0,"",INDEX(对接源_01水果!$F$4:$F$1203,$AE20)),IF(INDEX(对接源_02物料!$F$4:$F$1203,$AE20-1200)=0,"",INDEX(对接源_02物料!$F$4:$F$1203,$AE20-1200))))</f>
        <v>香梨</v>
      </c>
      <c r="D20" s="53" t="str">
        <f>IF($AE20="","",IF($AE20&lt;=1200,IF(INDEX(对接源_01水果!$G$4:$G$1203,$AE20)=0,"",INDEX(对接源_01水果!$G$4:$G$1203,$AE20)),IF(INDEX(对接源_02物料!$G$4:$G$1203,$AE20-1200)=0,"",INDEX(对接源_02物料!$G$4:$G$1203,$AE20-1200))))</f>
        <v>香梨二级</v>
      </c>
      <c r="E20" s="54">
        <f>IF($AE20="","",IF($AE20&lt;=1200,IF(INDEX(对接源_01水果!$H$4:$H$1203,$AE20)=0,"",INDEX(对接源_01水果!$H$4:$H$1203,$AE20)),IF(INDEX(对接源_02物料!$H$4:$H$1203,$AE20-1200)=0,"",INDEX(对接源_02物料!$H$4:$H$1203,$AE20-1200))))</f>
        <v>101</v>
      </c>
      <c r="F20" s="53" t="str">
        <f>IF($AE20="","",IF($AE20&lt;=1200,IF(INDEX(对接源_01水果!$I$4:$I$1203,$AE20)=0,"",INDEX(对接源_01水果!$I$4:$I$1203,$AE20)),IF(INDEX(对接源_02物料!$I$4:$I$1203,$AE20-1200)=0,"",INDEX(对接源_02物料!$I$4:$I$1203,$AE20-1200))))</f>
        <v>筐</v>
      </c>
      <c r="G20" s="55">
        <f>IF($AE20="","",IF($AE20&lt;=1200,IF(INDEX(对接源_01水果!$J$4:$J$1203,$AE20)=0,"",INDEX(对接源_01水果!$J$4:$J$1203,$AE20)),IF(INDEX(对接源_02物料!$J$4:$J$1203,$AE20-1200)=0,"",INDEX(对接源_02物料!$J$4:$J$1203,$AE20-1200))))</f>
        <v>2252.3</v>
      </c>
      <c r="H20" s="53" t="str">
        <f>IF($AE20="","",IF($AE20&lt;=1200,IF(INDEX(对接源_01水果!$W$4:$W$1203,$AE20)=0,"",INDEX(对接源_01水果!$W$4:$W$1203,$AE20)),IF(INDEX(对接源_02物料!$W$4:$W$1203,$AE20-1200)=0,"",INDEX(对接源_02物料!$W$4:$W$1203,$AE20-1200))))</f>
        <v>新N*X8S48</v>
      </c>
      <c r="I20" s="53" t="str">
        <f>IF($AE20="","",IF($AE20&lt;=1200,IF(INDEX(对接源_01水果!$C$4:$C$1203,$AE20)=0,"",INDEX(对接源_01水果!$C$4:$C$1203,$AE20)),IF(INDEX(对接源_02物料!$C$4:$C$1203,$AE20-1200)=0,"",INDEX(对接源_02物料!$C$4:$C$1203,$AE20-1200))))</f>
        <v>吐尔洪</v>
      </c>
      <c r="J20" s="56" t="str">
        <f>IF($AE20="","",IF($AE20&lt;=1200,IF(INDEX(对接源_01水果!$M$4:$M$1203,$AE20)=0,"",INDEX(对接源_01水果!$M$4:$M$1203,$AE20)),IF(INDEX(对接源_02物料!$M$4:$M$1203,$AE20-1200)=0,"",INDEX(对接源_02物料!$M$4:$M$1203,$AE20-1200))))</f>
        <v>麦麦提</v>
      </c>
      <c r="L20" s="16" t="str">
        <f>IFERROR(INDEX($D$6:$D$125,MATCH(9,AK$6:AK$125,0)),"")</f>
        <v/>
      </c>
      <c r="M20" s="17" t="str">
        <f t="shared" si="2"/>
        <v/>
      </c>
      <c r="N20" s="18" t="str">
        <f t="shared" si="3"/>
        <v/>
      </c>
      <c r="AE20" s="2">
        <f>IFERROR(MATCH(15,_自动清单!$AA$4:$AA$2403,0),"")</f>
        <v>213</v>
      </c>
      <c r="AI20" s="2" t="str">
        <f t="shared" si="0"/>
        <v>香梨二级</v>
      </c>
      <c r="AJ20" s="2">
        <f>IF(AI20="",0,IF(MATCH(AI20,AI$6:AI$125,0)=15,1,0))</f>
        <v>0</v>
      </c>
      <c r="AK20" s="2">
        <f t="shared" si="1"/>
        <v>3</v>
      </c>
    </row>
    <row r="21" ht="18" customHeight="1" spans="1:37">
      <c r="A21" s="87">
        <f>IF($AE21="","",IF($AE21&lt;=1200,IF(INDEX(对接源_01水果!$B$4:$B$1203,$AE21)=0,"",INDEX(对接源_01水果!$B$4:$B$1203,$AE21)),IF(INDEX(对接源_02物料!$B$4:$B$1203,$AE21-1200)=0,"",INDEX(对接源_02物料!$B$4:$B$1203,$AE21-1200))))</f>
        <v>46279</v>
      </c>
      <c r="B21" s="88" t="str">
        <f>IF($AE21="","",IF($AE21&lt;=1200,IF(INDEX(对接源_01水果!$E$4:$E$1203,$AE21)=0,"",INDEX(对接源_01水果!$E$4:$E$1203,$AE21)),IF(INDEX(对接源_02物料!$E$4:$E$1203,$AE21-1200)=0,"",INDEX(对接源_02物料!$E$4:$E$1203,$AE21-1200))))</f>
        <v>NO:0000861</v>
      </c>
      <c r="C21" s="88" t="str">
        <f>IF($AE21="","",IF($AE21&lt;=1200,IF(INDEX(对接源_01水果!$F$4:$F$1203,$AE21)=0,"",INDEX(对接源_01水果!$F$4:$F$1203,$AE21)),IF(INDEX(对接源_02物料!$F$4:$F$1203,$AE21-1200)=0,"",INDEX(对接源_02物料!$F$4:$F$1203,$AE21-1200))))</f>
        <v>香梨</v>
      </c>
      <c r="D21" s="88" t="str">
        <f>IF($AE21="","",IF($AE21&lt;=1200,IF(INDEX(对接源_01水果!$G$4:$G$1203,$AE21)=0,"",INDEX(对接源_01水果!$G$4:$G$1203,$AE21)),IF(INDEX(对接源_02物料!$G$4:$G$1203,$AE21-1200)=0,"",INDEX(对接源_02物料!$G$4:$G$1203,$AE21-1200))))</f>
        <v>香梨特级</v>
      </c>
      <c r="E21" s="89">
        <f>IF($AE21="","",IF($AE21&lt;=1200,IF(INDEX(对接源_01水果!$H$4:$H$1203,$AE21)=0,"",INDEX(对接源_01水果!$H$4:$H$1203,$AE21)),IF(INDEX(对接源_02物料!$H$4:$H$1203,$AE21-1200)=0,"",INDEX(对接源_02物料!$H$4:$H$1203,$AE21-1200))))</f>
        <v>108</v>
      </c>
      <c r="F21" s="88" t="str">
        <f>IF($AE21="","",IF($AE21&lt;=1200,IF(INDEX(对接源_01水果!$I$4:$I$1203,$AE21)=0,"",INDEX(对接源_01水果!$I$4:$I$1203,$AE21)),IF(INDEX(对接源_02物料!$I$4:$I$1203,$AE21-1200)=0,"",INDEX(对接源_02物料!$I$4:$I$1203,$AE21-1200))))</f>
        <v>筐</v>
      </c>
      <c r="G21" s="90">
        <f>IF($AE21="","",IF($AE21&lt;=1200,IF(INDEX(对接源_01水果!$J$4:$J$1203,$AE21)=0,"",INDEX(对接源_01水果!$J$4:$J$1203,$AE21)),IF(INDEX(对接源_02物料!$J$4:$J$1203,$AE21-1200)=0,"",INDEX(对接源_02物料!$J$4:$J$1203,$AE21-1200))))</f>
        <v>1976.4</v>
      </c>
      <c r="H21" s="88" t="str">
        <f>IF($AE21="","",IF($AE21&lt;=1200,IF(INDEX(对接源_01水果!$W$4:$W$1203,$AE21)=0,"",INDEX(对接源_01水果!$W$4:$W$1203,$AE21)),IF(INDEX(对接源_02物料!$W$4:$W$1203,$AE21-1200)=0,"",INDEX(对接源_02物料!$W$4:$W$1203,$AE21-1200))))</f>
        <v>新N*X8S48</v>
      </c>
      <c r="I21" s="88" t="str">
        <f>IF($AE21="","",IF($AE21&lt;=1200,IF(INDEX(对接源_01水果!$C$4:$C$1203,$AE21)=0,"",INDEX(对接源_01水果!$C$4:$C$1203,$AE21)),IF(INDEX(对接源_02物料!$C$4:$C$1203,$AE21-1200)=0,"",INDEX(对接源_02物料!$C$4:$C$1203,$AE21-1200))))</f>
        <v>吐尔洪</v>
      </c>
      <c r="J21" s="91" t="str">
        <f>IF($AE21="","",IF($AE21&lt;=1200,IF(INDEX(对接源_01水果!$M$4:$M$1203,$AE21)=0,"",INDEX(对接源_01水果!$M$4:$M$1203,$AE21)),IF(INDEX(对接源_02物料!$M$4:$M$1203,$AE21-1200)=0,"",INDEX(对接源_02物料!$M$4:$M$1203,$AE21-1200))))</f>
        <v>麦麦提</v>
      </c>
      <c r="L21" s="16" t="str">
        <f>IFERROR(INDEX($D$6:$D$125,MATCH(10,AK$6:AK$125,0)),"")</f>
        <v/>
      </c>
      <c r="M21" s="17" t="str">
        <f t="shared" si="2"/>
        <v/>
      </c>
      <c r="N21" s="18" t="str">
        <f t="shared" si="3"/>
        <v/>
      </c>
      <c r="AE21" s="2">
        <f>IFERROR(MATCH(16,_自动清单!$AA$4:$AA$2403,0),"")</f>
        <v>235</v>
      </c>
      <c r="AI21" s="2" t="str">
        <f t="shared" si="0"/>
        <v>香梨特级</v>
      </c>
      <c r="AJ21" s="2">
        <f>IF(AI21="",0,IF(MATCH(AI21,AI$6:AI$125,0)=16,1,0))</f>
        <v>0</v>
      </c>
      <c r="AK21" s="2">
        <f t="shared" si="1"/>
        <v>3</v>
      </c>
    </row>
    <row r="22" ht="18" customHeight="1" spans="1:37">
      <c r="A22" s="52">
        <f>IF($AE22="","",IF($AE22&lt;=1200,IF(INDEX(对接源_01水果!$B$4:$B$1203,$AE22)=0,"",INDEX(对接源_01水果!$B$4:$B$1203,$AE22)),IF(INDEX(对接源_02物料!$B$4:$B$1203,$AE22-1200)=0,"",INDEX(对接源_02物料!$B$4:$B$1203,$AE22-1200))))</f>
        <v>46279</v>
      </c>
      <c r="B22" s="53" t="str">
        <f>IF($AE22="","",IF($AE22&lt;=1200,IF(INDEX(对接源_01水果!$E$4:$E$1203,$AE22)=0,"",INDEX(对接源_01水果!$E$4:$E$1203,$AE22)),IF(INDEX(对接源_02物料!$E$4:$E$1203,$AE22-1200)=0,"",INDEX(对接源_02物料!$E$4:$E$1203,$AE22-1200))))</f>
        <v>NO:0000861</v>
      </c>
      <c r="C22" s="53" t="str">
        <f>IF($AE22="","",IF($AE22&lt;=1200,IF(INDEX(对接源_01水果!$F$4:$F$1203,$AE22)=0,"",INDEX(对接源_01水果!$F$4:$F$1203,$AE22)),IF(INDEX(对接源_02物料!$F$4:$F$1203,$AE22-1200)=0,"",INDEX(对接源_02物料!$F$4:$F$1203,$AE22-1200))))</f>
        <v>香梨</v>
      </c>
      <c r="D22" s="53" t="str">
        <f>IF($AE22="","",IF($AE22&lt;=1200,IF(INDEX(对接源_01水果!$G$4:$G$1203,$AE22)=0,"",INDEX(对接源_01水果!$G$4:$G$1203,$AE22)),IF(INDEX(对接源_02物料!$G$4:$G$1203,$AE22-1200)=0,"",INDEX(对接源_02物料!$G$4:$G$1203,$AE22-1200))))</f>
        <v>香梨一级</v>
      </c>
      <c r="E22" s="54">
        <f>IF($AE22="","",IF($AE22&lt;=1200,IF(INDEX(对接源_01水果!$H$4:$H$1203,$AE22)=0,"",INDEX(对接源_01水果!$H$4:$H$1203,$AE22)),IF(INDEX(对接源_02物料!$H$4:$H$1203,$AE22-1200)=0,"",INDEX(对接源_02物料!$H$4:$H$1203,$AE22-1200))))</f>
        <v>41</v>
      </c>
      <c r="F22" s="53" t="str">
        <f>IF($AE22="","",IF($AE22&lt;=1200,IF(INDEX(对接源_01水果!$I$4:$I$1203,$AE22)=0,"",INDEX(对接源_01水果!$I$4:$I$1203,$AE22)),IF(INDEX(对接源_02物料!$I$4:$I$1203,$AE22-1200)=0,"",INDEX(对接源_02物料!$I$4:$I$1203,$AE22-1200))))</f>
        <v>筐</v>
      </c>
      <c r="G22" s="55">
        <f>IF($AE22="","",IF($AE22&lt;=1200,IF(INDEX(对接源_01水果!$J$4:$J$1203,$AE22)=0,"",INDEX(对接源_01水果!$J$4:$J$1203,$AE22)),IF(INDEX(对接源_02物料!$J$4:$J$1203,$AE22-1200)=0,"",INDEX(对接源_02物料!$J$4:$J$1203,$AE22-1200))))</f>
        <v>750.3</v>
      </c>
      <c r="H22" s="53" t="str">
        <f>IF($AE22="","",IF($AE22&lt;=1200,IF(INDEX(对接源_01水果!$W$4:$W$1203,$AE22)=0,"",INDEX(对接源_01水果!$W$4:$W$1203,$AE22)),IF(INDEX(对接源_02物料!$W$4:$W$1203,$AE22-1200)=0,"",INDEX(对接源_02物料!$W$4:$W$1203,$AE22-1200))))</f>
        <v>新N*X8S48</v>
      </c>
      <c r="I22" s="53" t="str">
        <f>IF($AE22="","",IF($AE22&lt;=1200,IF(INDEX(对接源_01水果!$C$4:$C$1203,$AE22)=0,"",INDEX(对接源_01水果!$C$4:$C$1203,$AE22)),IF(INDEX(对接源_02物料!$C$4:$C$1203,$AE22-1200)=0,"",INDEX(对接源_02物料!$C$4:$C$1203,$AE22-1200))))</f>
        <v>吐尔洪</v>
      </c>
      <c r="J22" s="56" t="str">
        <f>IF($AE22="","",IF($AE22&lt;=1200,IF(INDEX(对接源_01水果!$M$4:$M$1203,$AE22)=0,"",INDEX(对接源_01水果!$M$4:$M$1203,$AE22)),IF(INDEX(对接源_02物料!$M$4:$M$1203,$AE22-1200)=0,"",INDEX(对接源_02物料!$M$4:$M$1203,$AE22-1200))))</f>
        <v>麦麦提</v>
      </c>
      <c r="L22" s="16" t="str">
        <f>IFERROR(INDEX($D$6:$D$125,MATCH(11,AK$6:AK$125,0)),"")</f>
        <v/>
      </c>
      <c r="M22" s="17" t="str">
        <f t="shared" si="2"/>
        <v/>
      </c>
      <c r="N22" s="18" t="str">
        <f t="shared" si="3"/>
        <v/>
      </c>
      <c r="AE22" s="2">
        <f>IFERROR(MATCH(17,_自动清单!$AA$4:$AA$2403,0),"")</f>
        <v>236</v>
      </c>
      <c r="AI22" s="2" t="str">
        <f t="shared" si="0"/>
        <v>香梨一级</v>
      </c>
      <c r="AJ22" s="2">
        <f>IF(AI22="",0,IF(MATCH(AI22,AI$6:AI$125,0)=17,1,0))</f>
        <v>0</v>
      </c>
      <c r="AK22" s="2">
        <f t="shared" si="1"/>
        <v>3</v>
      </c>
    </row>
    <row r="23" ht="18" customHeight="1" spans="1:37">
      <c r="A23" s="87">
        <f>IF($AE23="","",IF($AE23&lt;=1200,IF(INDEX(对接源_01水果!$B$4:$B$1203,$AE23)=0,"",INDEX(对接源_01水果!$B$4:$B$1203,$AE23)),IF(INDEX(对接源_02物料!$B$4:$B$1203,$AE23-1200)=0,"",INDEX(对接源_02物料!$B$4:$B$1203,$AE23-1200))))</f>
        <v>46279</v>
      </c>
      <c r="B23" s="88" t="str">
        <f>IF($AE23="","",IF($AE23&lt;=1200,IF(INDEX(对接源_01水果!$E$4:$E$1203,$AE23)=0,"",INDEX(对接源_01水果!$E$4:$E$1203,$AE23)),IF(INDEX(对接源_02物料!$E$4:$E$1203,$AE23-1200)=0,"",INDEX(对接源_02物料!$E$4:$E$1203,$AE23-1200))))</f>
        <v>NO:0000861</v>
      </c>
      <c r="C23" s="88" t="str">
        <f>IF($AE23="","",IF($AE23&lt;=1200,IF(INDEX(对接源_01水果!$F$4:$F$1203,$AE23)=0,"",INDEX(对接源_01水果!$F$4:$F$1203,$AE23)),IF(INDEX(对接源_02物料!$F$4:$F$1203,$AE23-1200)=0,"",INDEX(对接源_02物料!$F$4:$F$1203,$AE23-1200))))</f>
        <v>香梨</v>
      </c>
      <c r="D23" s="88" t="str">
        <f>IF($AE23="","",IF($AE23&lt;=1200,IF(INDEX(对接源_01水果!$G$4:$G$1203,$AE23)=0,"",INDEX(对接源_01水果!$G$4:$G$1203,$AE23)),IF(INDEX(对接源_02物料!$G$4:$G$1203,$AE23-1200)=0,"",INDEX(对接源_02物料!$G$4:$G$1203,$AE23-1200))))</f>
        <v>香梨二级</v>
      </c>
      <c r="E23" s="89">
        <f>IF($AE23="","",IF($AE23&lt;=1200,IF(INDEX(对接源_01水果!$H$4:$H$1203,$AE23)=0,"",INDEX(对接源_01水果!$H$4:$H$1203,$AE23)),IF(INDEX(对接源_02物料!$H$4:$H$1203,$AE23-1200)=0,"",INDEX(对接源_02物料!$H$4:$H$1203,$AE23-1200))))</f>
        <v>91</v>
      </c>
      <c r="F23" s="88" t="str">
        <f>IF($AE23="","",IF($AE23&lt;=1200,IF(INDEX(对接源_01水果!$I$4:$I$1203,$AE23)=0,"",INDEX(对接源_01水果!$I$4:$I$1203,$AE23)),IF(INDEX(对接源_02物料!$I$4:$I$1203,$AE23-1200)=0,"",INDEX(对接源_02物料!$I$4:$I$1203,$AE23-1200))))</f>
        <v>筐</v>
      </c>
      <c r="G23" s="90">
        <f>IF($AE23="","",IF($AE23&lt;=1200,IF(INDEX(对接源_01水果!$J$4:$J$1203,$AE23)=0,"",INDEX(对接源_01水果!$J$4:$J$1203,$AE23)),IF(INDEX(对接源_02物料!$J$4:$J$1203,$AE23-1200)=0,"",INDEX(对接源_02物料!$J$4:$J$1203,$AE23-1200))))</f>
        <v>2029.3</v>
      </c>
      <c r="H23" s="88" t="str">
        <f>IF($AE23="","",IF($AE23&lt;=1200,IF(INDEX(对接源_01水果!$W$4:$W$1203,$AE23)=0,"",INDEX(对接源_01水果!$W$4:$W$1203,$AE23)),IF(INDEX(对接源_02物料!$W$4:$W$1203,$AE23-1200)=0,"",INDEX(对接源_02物料!$W$4:$W$1203,$AE23-1200))))</f>
        <v>新N*X8S48</v>
      </c>
      <c r="I23" s="88" t="str">
        <f>IF($AE23="","",IF($AE23&lt;=1200,IF(INDEX(对接源_01水果!$C$4:$C$1203,$AE23)=0,"",INDEX(对接源_01水果!$C$4:$C$1203,$AE23)),IF(INDEX(对接源_02物料!$C$4:$C$1203,$AE23-1200)=0,"",INDEX(对接源_02物料!$C$4:$C$1203,$AE23-1200))))</f>
        <v>吐尔洪</v>
      </c>
      <c r="J23" s="91" t="str">
        <f>IF($AE23="","",IF($AE23&lt;=1200,IF(INDEX(对接源_01水果!$M$4:$M$1203,$AE23)=0,"",INDEX(对接源_01水果!$M$4:$M$1203,$AE23)),IF(INDEX(对接源_02物料!$M$4:$M$1203,$AE23-1200)=0,"",INDEX(对接源_02物料!$M$4:$M$1203,$AE23-1200))))</f>
        <v>麦麦提</v>
      </c>
      <c r="L23" s="16" t="str">
        <f>IFERROR(INDEX($D$6:$D$125,MATCH(12,AK$6:AK$125,0)),"")</f>
        <v/>
      </c>
      <c r="M23" s="17" t="str">
        <f t="shared" si="2"/>
        <v/>
      </c>
      <c r="N23" s="18" t="str">
        <f t="shared" si="3"/>
        <v/>
      </c>
      <c r="AE23" s="2">
        <f>IFERROR(MATCH(18,_自动清单!$AA$4:$AA$2403,0),"")</f>
        <v>237</v>
      </c>
      <c r="AI23" s="2" t="str">
        <f t="shared" si="0"/>
        <v>香梨二级</v>
      </c>
      <c r="AJ23" s="2">
        <f>IF(AI23="",0,IF(MATCH(AI23,AI$6:AI$125,0)=18,1,0))</f>
        <v>0</v>
      </c>
      <c r="AK23" s="2">
        <f t="shared" si="1"/>
        <v>3</v>
      </c>
    </row>
    <row r="24" ht="18" customHeight="1" spans="1:37">
      <c r="A24" s="52">
        <f>IF($AE24="","",IF($AE24&lt;=1200,IF(INDEX(对接源_01水果!$B$4:$B$1203,$AE24)=0,"",INDEX(对接源_01水果!$B$4:$B$1203,$AE24)),IF(INDEX(对接源_02物料!$B$4:$B$1203,$AE24-1200)=0,"",INDEX(对接源_02物料!$B$4:$B$1203,$AE24-1200))))</f>
        <v>46281</v>
      </c>
      <c r="B24" s="53" t="str">
        <f>IF($AE24="","",IF($AE24&lt;=1200,IF(INDEX(对接源_01水果!$E$4:$E$1203,$AE24)=0,"",INDEX(对接源_01水果!$E$4:$E$1203,$AE24)),IF(INDEX(对接源_02物料!$E$4:$E$1203,$AE24-1200)=0,"",INDEX(对接源_02物料!$E$4:$E$1203,$AE24-1200))))</f>
        <v>NO:0000878</v>
      </c>
      <c r="C24" s="53" t="str">
        <f>IF($AE24="","",IF($AE24&lt;=1200,IF(INDEX(对接源_01水果!$F$4:$F$1203,$AE24)=0,"",INDEX(对接源_01水果!$F$4:$F$1203,$AE24)),IF(INDEX(对接源_02物料!$F$4:$F$1203,$AE24-1200)=0,"",INDEX(对接源_02物料!$F$4:$F$1203,$AE24-1200))))</f>
        <v>香梨</v>
      </c>
      <c r="D24" s="53" t="str">
        <f>IF($AE24="","",IF($AE24&lt;=1200,IF(INDEX(对接源_01水果!$G$4:$G$1203,$AE24)=0,"",INDEX(对接源_01水果!$G$4:$G$1203,$AE24)),IF(INDEX(对接源_02物料!$G$4:$G$1203,$AE24-1200)=0,"",INDEX(对接源_02物料!$G$4:$G$1203,$AE24-1200))))</f>
        <v>香梨特级</v>
      </c>
      <c r="E24" s="54">
        <f>IF($AE24="","",IF($AE24&lt;=1200,IF(INDEX(对接源_01水果!$H$4:$H$1203,$AE24)=0,"",INDEX(对接源_01水果!$H$4:$H$1203,$AE24)),IF(INDEX(对接源_02物料!$H$4:$H$1203,$AE24-1200)=0,"",INDEX(对接源_02物料!$H$4:$H$1203,$AE24-1200))))</f>
        <v>116</v>
      </c>
      <c r="F24" s="53" t="str">
        <f>IF($AE24="","",IF($AE24&lt;=1200,IF(INDEX(对接源_01水果!$I$4:$I$1203,$AE24)=0,"",INDEX(对接源_01水果!$I$4:$I$1203,$AE24)),IF(INDEX(对接源_02物料!$I$4:$I$1203,$AE24-1200)=0,"",INDEX(对接源_02物料!$I$4:$I$1203,$AE24-1200))))</f>
        <v>筐</v>
      </c>
      <c r="G24" s="55">
        <f>IF($AE24="","",IF($AE24&lt;=1200,IF(INDEX(对接源_01水果!$J$4:$J$1203,$AE24)=0,"",INDEX(对接源_01水果!$J$4:$J$1203,$AE24)),IF(INDEX(对接源_02物料!$J$4:$J$1203,$AE24-1200)=0,"",INDEX(对接源_02物料!$J$4:$J$1203,$AE24-1200))))</f>
        <v>2122.8</v>
      </c>
      <c r="H24" s="53" t="str">
        <f>IF($AE24="","",IF($AE24&lt;=1200,IF(INDEX(对接源_01水果!$W$4:$W$1203,$AE24)=0,"",INDEX(对接源_01水果!$W$4:$W$1203,$AE24)),IF(INDEX(对接源_02物料!$W$4:$W$1203,$AE24-1200)=0,"",INDEX(对接源_02物料!$W$4:$W$1203,$AE24-1200))))</f>
        <v>新N*X8S48</v>
      </c>
      <c r="I24" s="53" t="str">
        <f>IF($AE24="","",IF($AE24&lt;=1200,IF(INDEX(对接源_01水果!$C$4:$C$1203,$AE24)=0,"",INDEX(对接源_01水果!$C$4:$C$1203,$AE24)),IF(INDEX(对接源_02物料!$C$4:$C$1203,$AE24-1200)=0,"",INDEX(对接源_02物料!$C$4:$C$1203,$AE24-1200))))</f>
        <v>吐尔洪</v>
      </c>
      <c r="J24" s="56" t="str">
        <f>IF($AE24="","",IF($AE24&lt;=1200,IF(INDEX(对接源_01水果!$M$4:$M$1203,$AE24)=0,"",INDEX(对接源_01水果!$M$4:$M$1203,$AE24)),IF(INDEX(对接源_02物料!$M$4:$M$1203,$AE24-1200)=0,"",INDEX(对接源_02物料!$M$4:$M$1203,$AE24-1200))))</f>
        <v>麦麦提</v>
      </c>
      <c r="L24" s="16" t="str">
        <f>IFERROR(INDEX($D$6:$D$125,MATCH(13,AK$6:AK$125,0)),"")</f>
        <v/>
      </c>
      <c r="M24" s="17" t="str">
        <f t="shared" si="2"/>
        <v/>
      </c>
      <c r="N24" s="18" t="str">
        <f t="shared" si="3"/>
        <v/>
      </c>
      <c r="AE24" s="2">
        <f>IFERROR(MATCH(19,_自动清单!$AA$4:$AA$2403,0),"")</f>
        <v>259</v>
      </c>
      <c r="AI24" s="2" t="str">
        <f t="shared" si="0"/>
        <v>香梨特级</v>
      </c>
      <c r="AJ24" s="2">
        <f>IF(AI24="",0,IF(MATCH(AI24,AI$6:AI$125,0)=19,1,0))</f>
        <v>0</v>
      </c>
      <c r="AK24" s="2">
        <f t="shared" si="1"/>
        <v>3</v>
      </c>
    </row>
    <row r="25" ht="18" customHeight="1" spans="1:37">
      <c r="A25" s="87">
        <f>IF($AE25="","",IF($AE25&lt;=1200,IF(INDEX(对接源_01水果!$B$4:$B$1203,$AE25)=0,"",INDEX(对接源_01水果!$B$4:$B$1203,$AE25)),IF(INDEX(对接源_02物料!$B$4:$B$1203,$AE25-1200)=0,"",INDEX(对接源_02物料!$B$4:$B$1203,$AE25-1200))))</f>
        <v>46281</v>
      </c>
      <c r="B25" s="88" t="str">
        <f>IF($AE25="","",IF($AE25&lt;=1200,IF(INDEX(对接源_01水果!$E$4:$E$1203,$AE25)=0,"",INDEX(对接源_01水果!$E$4:$E$1203,$AE25)),IF(INDEX(对接源_02物料!$E$4:$E$1203,$AE25-1200)=0,"",INDEX(对接源_02物料!$E$4:$E$1203,$AE25-1200))))</f>
        <v>NO:0000878</v>
      </c>
      <c r="C25" s="88" t="str">
        <f>IF($AE25="","",IF($AE25&lt;=1200,IF(INDEX(对接源_01水果!$F$4:$F$1203,$AE25)=0,"",INDEX(对接源_01水果!$F$4:$F$1203,$AE25)),IF(INDEX(对接源_02物料!$F$4:$F$1203,$AE25-1200)=0,"",INDEX(对接源_02物料!$F$4:$F$1203,$AE25-1200))))</f>
        <v>香梨</v>
      </c>
      <c r="D25" s="88" t="str">
        <f>IF($AE25="","",IF($AE25&lt;=1200,IF(INDEX(对接源_01水果!$G$4:$G$1203,$AE25)=0,"",INDEX(对接源_01水果!$G$4:$G$1203,$AE25)),IF(INDEX(对接源_02物料!$G$4:$G$1203,$AE25-1200)=0,"",INDEX(对接源_02物料!$G$4:$G$1203,$AE25-1200))))</f>
        <v>香梨一级</v>
      </c>
      <c r="E25" s="89">
        <f>IF($AE25="","",IF($AE25&lt;=1200,IF(INDEX(对接源_01水果!$H$4:$H$1203,$AE25)=0,"",INDEX(对接源_01水果!$H$4:$H$1203,$AE25)),IF(INDEX(对接源_02物料!$H$4:$H$1203,$AE25-1200)=0,"",INDEX(对接源_02物料!$H$4:$H$1203,$AE25-1200))))</f>
        <v>28</v>
      </c>
      <c r="F25" s="88" t="str">
        <f>IF($AE25="","",IF($AE25&lt;=1200,IF(INDEX(对接源_01水果!$I$4:$I$1203,$AE25)=0,"",INDEX(对接源_01水果!$I$4:$I$1203,$AE25)),IF(INDEX(对接源_02物料!$I$4:$I$1203,$AE25-1200)=0,"",INDEX(对接源_02物料!$I$4:$I$1203,$AE25-1200))))</f>
        <v>筐</v>
      </c>
      <c r="G25" s="90">
        <f>IF($AE25="","",IF($AE25&lt;=1200,IF(INDEX(对接源_01水果!$J$4:$J$1203,$AE25)=0,"",INDEX(对接源_01水果!$J$4:$J$1203,$AE25)),IF(INDEX(对接源_02物料!$J$4:$J$1203,$AE25-1200)=0,"",INDEX(对接源_02物料!$J$4:$J$1203,$AE25-1200))))</f>
        <v>512.4</v>
      </c>
      <c r="H25" s="88" t="str">
        <f>IF($AE25="","",IF($AE25&lt;=1200,IF(INDEX(对接源_01水果!$W$4:$W$1203,$AE25)=0,"",INDEX(对接源_01水果!$W$4:$W$1203,$AE25)),IF(INDEX(对接源_02物料!$W$4:$W$1203,$AE25-1200)=0,"",INDEX(对接源_02物料!$W$4:$W$1203,$AE25-1200))))</f>
        <v>新N*X8S48</v>
      </c>
      <c r="I25" s="88" t="str">
        <f>IF($AE25="","",IF($AE25&lt;=1200,IF(INDEX(对接源_01水果!$C$4:$C$1203,$AE25)=0,"",INDEX(对接源_01水果!$C$4:$C$1203,$AE25)),IF(INDEX(对接源_02物料!$C$4:$C$1203,$AE25-1200)=0,"",INDEX(对接源_02物料!$C$4:$C$1203,$AE25-1200))))</f>
        <v>吐尔洪</v>
      </c>
      <c r="J25" s="91" t="str">
        <f>IF($AE25="","",IF($AE25&lt;=1200,IF(INDEX(对接源_01水果!$M$4:$M$1203,$AE25)=0,"",INDEX(对接源_01水果!$M$4:$M$1203,$AE25)),IF(INDEX(对接源_02物料!$M$4:$M$1203,$AE25-1200)=0,"",INDEX(对接源_02物料!$M$4:$M$1203,$AE25-1200))))</f>
        <v>麦麦提</v>
      </c>
      <c r="L25" s="16" t="str">
        <f>IFERROR(INDEX($D$6:$D$125,MATCH(14,AK$6:AK$125,0)),"")</f>
        <v/>
      </c>
      <c r="M25" s="17" t="str">
        <f t="shared" si="2"/>
        <v/>
      </c>
      <c r="N25" s="18" t="str">
        <f t="shared" si="3"/>
        <v/>
      </c>
      <c r="AE25" s="2">
        <f>IFERROR(MATCH(20,_自动清单!$AA$4:$AA$2403,0),"")</f>
        <v>260</v>
      </c>
      <c r="AI25" s="2" t="str">
        <f t="shared" si="0"/>
        <v>香梨一级</v>
      </c>
      <c r="AJ25" s="2">
        <f>IF(AI25="",0,IF(MATCH(AI25,AI$6:AI$125,0)=20,1,0))</f>
        <v>0</v>
      </c>
      <c r="AK25" s="2">
        <f t="shared" si="1"/>
        <v>3</v>
      </c>
    </row>
    <row r="26" ht="18" customHeight="1" spans="1:37">
      <c r="A26" s="52">
        <f>IF($AE26="","",IF($AE26&lt;=1200,IF(INDEX(对接源_01水果!$B$4:$B$1203,$AE26)=0,"",INDEX(对接源_01水果!$B$4:$B$1203,$AE26)),IF(INDEX(对接源_02物料!$B$4:$B$1203,$AE26-1200)=0,"",INDEX(对接源_02物料!$B$4:$B$1203,$AE26-1200))))</f>
        <v>46281</v>
      </c>
      <c r="B26" s="53" t="str">
        <f>IF($AE26="","",IF($AE26&lt;=1200,IF(INDEX(对接源_01水果!$E$4:$E$1203,$AE26)=0,"",INDEX(对接源_01水果!$E$4:$E$1203,$AE26)),IF(INDEX(对接源_02物料!$E$4:$E$1203,$AE26-1200)=0,"",INDEX(对接源_02物料!$E$4:$E$1203,$AE26-1200))))</f>
        <v>NO:0000878</v>
      </c>
      <c r="C26" s="53" t="str">
        <f>IF($AE26="","",IF($AE26&lt;=1200,IF(INDEX(对接源_01水果!$F$4:$F$1203,$AE26)=0,"",INDEX(对接源_01水果!$F$4:$F$1203,$AE26)),IF(INDEX(对接源_02物料!$F$4:$F$1203,$AE26-1200)=0,"",INDEX(对接源_02物料!$F$4:$F$1203,$AE26-1200))))</f>
        <v>香梨</v>
      </c>
      <c r="D26" s="53" t="str">
        <f>IF($AE26="","",IF($AE26&lt;=1200,IF(INDEX(对接源_01水果!$G$4:$G$1203,$AE26)=0,"",INDEX(对接源_01水果!$G$4:$G$1203,$AE26)),IF(INDEX(对接源_02物料!$G$4:$G$1203,$AE26-1200)=0,"",INDEX(对接源_02物料!$G$4:$G$1203,$AE26-1200))))</f>
        <v>香梨二级</v>
      </c>
      <c r="E26" s="54">
        <f>IF($AE26="","",IF($AE26&lt;=1200,IF(INDEX(对接源_01水果!$H$4:$H$1203,$AE26)=0,"",INDEX(对接源_01水果!$H$4:$H$1203,$AE26)),IF(INDEX(对接源_02物料!$H$4:$H$1203,$AE26-1200)=0,"",INDEX(对接源_02物料!$H$4:$H$1203,$AE26-1200))))</f>
        <v>71</v>
      </c>
      <c r="F26" s="53" t="str">
        <f>IF($AE26="","",IF($AE26&lt;=1200,IF(INDEX(对接源_01水果!$I$4:$I$1203,$AE26)=0,"",INDEX(对接源_01水果!$I$4:$I$1203,$AE26)),IF(INDEX(对接源_02物料!$I$4:$I$1203,$AE26-1200)=0,"",INDEX(对接源_02物料!$I$4:$I$1203,$AE26-1200))))</f>
        <v>筐</v>
      </c>
      <c r="G26" s="55">
        <f>IF($AE26="","",IF($AE26&lt;=1200,IF(INDEX(对接源_01水果!$J$4:$J$1203,$AE26)=0,"",INDEX(对接源_01水果!$J$4:$J$1203,$AE26)),IF(INDEX(对接源_02物料!$J$4:$J$1203,$AE26-1200)=0,"",INDEX(对接源_02物料!$J$4:$J$1203,$AE26-1200))))</f>
        <v>1583.3</v>
      </c>
      <c r="H26" s="53" t="str">
        <f>IF($AE26="","",IF($AE26&lt;=1200,IF(INDEX(对接源_01水果!$W$4:$W$1203,$AE26)=0,"",INDEX(对接源_01水果!$W$4:$W$1203,$AE26)),IF(INDEX(对接源_02物料!$W$4:$W$1203,$AE26-1200)=0,"",INDEX(对接源_02物料!$W$4:$W$1203,$AE26-1200))))</f>
        <v>新N*X8S48</v>
      </c>
      <c r="I26" s="53" t="str">
        <f>IF($AE26="","",IF($AE26&lt;=1200,IF(INDEX(对接源_01水果!$C$4:$C$1203,$AE26)=0,"",INDEX(对接源_01水果!$C$4:$C$1203,$AE26)),IF(INDEX(对接源_02物料!$C$4:$C$1203,$AE26-1200)=0,"",INDEX(对接源_02物料!$C$4:$C$1203,$AE26-1200))))</f>
        <v>吐尔洪</v>
      </c>
      <c r="J26" s="56" t="str">
        <f>IF($AE26="","",IF($AE26&lt;=1200,IF(INDEX(对接源_01水果!$M$4:$M$1203,$AE26)=0,"",INDEX(对接源_01水果!$M$4:$M$1203,$AE26)),IF(INDEX(对接源_02物料!$M$4:$M$1203,$AE26-1200)=0,"",INDEX(对接源_02物料!$M$4:$M$1203,$AE26-1200))))</f>
        <v>麦麦提</v>
      </c>
      <c r="L26" s="16" t="str">
        <f>IFERROR(INDEX($D$6:$D$125,MATCH(15,AK$6:AK$125,0)),"")</f>
        <v/>
      </c>
      <c r="M26" s="17" t="str">
        <f t="shared" si="2"/>
        <v/>
      </c>
      <c r="N26" s="18" t="str">
        <f t="shared" si="3"/>
        <v/>
      </c>
      <c r="AE26" s="2">
        <f>IFERROR(MATCH(21,_自动清单!$AA$4:$AA$2403,0),"")</f>
        <v>261</v>
      </c>
      <c r="AI26" s="2" t="str">
        <f t="shared" si="0"/>
        <v>香梨二级</v>
      </c>
      <c r="AJ26" s="2">
        <f>IF(AI26="",0,IF(MATCH(AI26,AI$6:AI$125,0)=21,1,0))</f>
        <v>0</v>
      </c>
      <c r="AK26" s="2">
        <f t="shared" si="1"/>
        <v>3</v>
      </c>
    </row>
    <row r="27" ht="18" customHeight="1" spans="1:37">
      <c r="A27" s="87">
        <f>IF($AE27="","",IF($AE27&lt;=1200,IF(INDEX(对接源_01水果!$B$4:$B$1203,$AE27)=0,"",INDEX(对接源_01水果!$B$4:$B$1203,$AE27)),IF(INDEX(对接源_02物料!$B$4:$B$1203,$AE27-1200)=0,"",INDEX(对接源_02物料!$B$4:$B$1203,$AE27-1200))))</f>
        <v>46283</v>
      </c>
      <c r="B27" s="88" t="str">
        <f>IF($AE27="","",IF($AE27&lt;=1200,IF(INDEX(对接源_01水果!$E$4:$E$1203,$AE27)=0,"",INDEX(对接源_01水果!$E$4:$E$1203,$AE27)),IF(INDEX(对接源_02物料!$E$4:$E$1203,$AE27-1200)=0,"",INDEX(对接源_02物料!$E$4:$E$1203,$AE27-1200))))</f>
        <v>NO:0000897</v>
      </c>
      <c r="C27" s="88" t="str">
        <f>IF($AE27="","",IF($AE27&lt;=1200,IF(INDEX(对接源_01水果!$F$4:$F$1203,$AE27)=0,"",INDEX(对接源_01水果!$F$4:$F$1203,$AE27)),IF(INDEX(对接源_02物料!$F$4:$F$1203,$AE27-1200)=0,"",INDEX(对接源_02物料!$F$4:$F$1203,$AE27-1200))))</f>
        <v>香梨</v>
      </c>
      <c r="D27" s="88" t="str">
        <f>IF($AE27="","",IF($AE27&lt;=1200,IF(INDEX(对接源_01水果!$G$4:$G$1203,$AE27)=0,"",INDEX(对接源_01水果!$G$4:$G$1203,$AE27)),IF(INDEX(对接源_02物料!$G$4:$G$1203,$AE27-1200)=0,"",INDEX(对接源_02物料!$G$4:$G$1203,$AE27-1200))))</f>
        <v>香梨特级</v>
      </c>
      <c r="E27" s="89">
        <f>IF($AE27="","",IF($AE27&lt;=1200,IF(INDEX(对接源_01水果!$H$4:$H$1203,$AE27)=0,"",INDEX(对接源_01水果!$H$4:$H$1203,$AE27)),IF(INDEX(对接源_02物料!$H$4:$H$1203,$AE27-1200)=0,"",INDEX(对接源_02物料!$H$4:$H$1203,$AE27-1200))))</f>
        <v>114</v>
      </c>
      <c r="F27" s="88" t="str">
        <f>IF($AE27="","",IF($AE27&lt;=1200,IF(INDEX(对接源_01水果!$I$4:$I$1203,$AE27)=0,"",INDEX(对接源_01水果!$I$4:$I$1203,$AE27)),IF(INDEX(对接源_02物料!$I$4:$I$1203,$AE27-1200)=0,"",INDEX(对接源_02物料!$I$4:$I$1203,$AE27-1200))))</f>
        <v>筐</v>
      </c>
      <c r="G27" s="90">
        <f>IF($AE27="","",IF($AE27&lt;=1200,IF(INDEX(对接源_01水果!$J$4:$J$1203,$AE27)=0,"",INDEX(对接源_01水果!$J$4:$J$1203,$AE27)),IF(INDEX(对接源_02物料!$J$4:$J$1203,$AE27-1200)=0,"",INDEX(对接源_02物料!$J$4:$J$1203,$AE27-1200))))</f>
        <v>2086.2</v>
      </c>
      <c r="H27" s="88" t="str">
        <f>IF($AE27="","",IF($AE27&lt;=1200,IF(INDEX(对接源_01水果!$W$4:$W$1203,$AE27)=0,"",INDEX(对接源_01水果!$W$4:$W$1203,$AE27)),IF(INDEX(对接源_02物料!$W$4:$W$1203,$AE27-1200)=0,"",INDEX(对接源_02物料!$W$4:$W$1203,$AE27-1200))))</f>
        <v>新N*X8S48</v>
      </c>
      <c r="I27" s="88" t="str">
        <f>IF($AE27="","",IF($AE27&lt;=1200,IF(INDEX(对接源_01水果!$C$4:$C$1203,$AE27)=0,"",INDEX(对接源_01水果!$C$4:$C$1203,$AE27)),IF(INDEX(对接源_02物料!$C$4:$C$1203,$AE27-1200)=0,"",INDEX(对接源_02物料!$C$4:$C$1203,$AE27-1200))))</f>
        <v>吐尔洪</v>
      </c>
      <c r="J27" s="91" t="str">
        <f>IF($AE27="","",IF($AE27&lt;=1200,IF(INDEX(对接源_01水果!$M$4:$M$1203,$AE27)=0,"",INDEX(对接源_01水果!$M$4:$M$1203,$AE27)),IF(INDEX(对接源_02物料!$M$4:$M$1203,$AE27-1200)=0,"",INDEX(对接源_02物料!$M$4:$M$1203,$AE27-1200))))</f>
        <v>麦麦提</v>
      </c>
      <c r="L27" s="16" t="str">
        <f>IFERROR(INDEX($D$6:$D$125,MATCH(16,AK$6:AK$125,0)),"")</f>
        <v/>
      </c>
      <c r="M27" s="17" t="str">
        <f t="shared" si="2"/>
        <v/>
      </c>
      <c r="N27" s="18" t="str">
        <f t="shared" si="3"/>
        <v/>
      </c>
      <c r="AE27" s="2">
        <f>IFERROR(MATCH(22,_自动清单!$AA$4:$AA$2403,0),"")</f>
        <v>288</v>
      </c>
      <c r="AI27" s="2" t="str">
        <f t="shared" si="0"/>
        <v>香梨特级</v>
      </c>
      <c r="AJ27" s="2">
        <f>IF(AI27="",0,IF(MATCH(AI27,AI$6:AI$125,0)=22,1,0))</f>
        <v>0</v>
      </c>
      <c r="AK27" s="2">
        <f t="shared" si="1"/>
        <v>3</v>
      </c>
    </row>
    <row r="28" ht="18" customHeight="1" spans="1:37">
      <c r="A28" s="52">
        <f>IF($AE28="","",IF($AE28&lt;=1200,IF(INDEX(对接源_01水果!$B$4:$B$1203,$AE28)=0,"",INDEX(对接源_01水果!$B$4:$B$1203,$AE28)),IF(INDEX(对接源_02物料!$B$4:$B$1203,$AE28-1200)=0,"",INDEX(对接源_02物料!$B$4:$B$1203,$AE28-1200))))</f>
        <v>46283</v>
      </c>
      <c r="B28" s="53" t="str">
        <f>IF($AE28="","",IF($AE28&lt;=1200,IF(INDEX(对接源_01水果!$E$4:$E$1203,$AE28)=0,"",INDEX(对接源_01水果!$E$4:$E$1203,$AE28)),IF(INDEX(对接源_02物料!$E$4:$E$1203,$AE28-1200)=0,"",INDEX(对接源_02物料!$E$4:$E$1203,$AE28-1200))))</f>
        <v>NO:0000897</v>
      </c>
      <c r="C28" s="53" t="str">
        <f>IF($AE28="","",IF($AE28&lt;=1200,IF(INDEX(对接源_01水果!$F$4:$F$1203,$AE28)=0,"",INDEX(对接源_01水果!$F$4:$F$1203,$AE28)),IF(INDEX(对接源_02物料!$F$4:$F$1203,$AE28-1200)=0,"",INDEX(对接源_02物料!$F$4:$F$1203,$AE28-1200))))</f>
        <v>香梨</v>
      </c>
      <c r="D28" s="53" t="str">
        <f>IF($AE28="","",IF($AE28&lt;=1200,IF(INDEX(对接源_01水果!$G$4:$G$1203,$AE28)=0,"",INDEX(对接源_01水果!$G$4:$G$1203,$AE28)),IF(INDEX(对接源_02物料!$G$4:$G$1203,$AE28-1200)=0,"",INDEX(对接源_02物料!$G$4:$G$1203,$AE28-1200))))</f>
        <v>香梨一级</v>
      </c>
      <c r="E28" s="54">
        <f>IF($AE28="","",IF($AE28&lt;=1200,IF(INDEX(对接源_01水果!$H$4:$H$1203,$AE28)=0,"",INDEX(对接源_01水果!$H$4:$H$1203,$AE28)),IF(INDEX(对接源_02物料!$H$4:$H$1203,$AE28-1200)=0,"",INDEX(对接源_02物料!$H$4:$H$1203,$AE28-1200))))</f>
        <v>9</v>
      </c>
      <c r="F28" s="53" t="str">
        <f>IF($AE28="","",IF($AE28&lt;=1200,IF(INDEX(对接源_01水果!$I$4:$I$1203,$AE28)=0,"",INDEX(对接源_01水果!$I$4:$I$1203,$AE28)),IF(INDEX(对接源_02物料!$I$4:$I$1203,$AE28-1200)=0,"",INDEX(对接源_02物料!$I$4:$I$1203,$AE28-1200))))</f>
        <v>筐</v>
      </c>
      <c r="G28" s="55">
        <f>IF($AE28="","",IF($AE28&lt;=1200,IF(INDEX(对接源_01水果!$J$4:$J$1203,$AE28)=0,"",INDEX(对接源_01水果!$J$4:$J$1203,$AE28)),IF(INDEX(对接源_02物料!$J$4:$J$1203,$AE28-1200)=0,"",INDEX(对接源_02物料!$J$4:$J$1203,$AE28-1200))))</f>
        <v>164.7</v>
      </c>
      <c r="H28" s="53" t="str">
        <f>IF($AE28="","",IF($AE28&lt;=1200,IF(INDEX(对接源_01水果!$W$4:$W$1203,$AE28)=0,"",INDEX(对接源_01水果!$W$4:$W$1203,$AE28)),IF(INDEX(对接源_02物料!$W$4:$W$1203,$AE28-1200)=0,"",INDEX(对接源_02物料!$W$4:$W$1203,$AE28-1200))))</f>
        <v>新N*X8S48</v>
      </c>
      <c r="I28" s="53" t="str">
        <f>IF($AE28="","",IF($AE28&lt;=1200,IF(INDEX(对接源_01水果!$C$4:$C$1203,$AE28)=0,"",INDEX(对接源_01水果!$C$4:$C$1203,$AE28)),IF(INDEX(对接源_02物料!$C$4:$C$1203,$AE28-1200)=0,"",INDEX(对接源_02物料!$C$4:$C$1203,$AE28-1200))))</f>
        <v>吐尔洪</v>
      </c>
      <c r="J28" s="56" t="str">
        <f>IF($AE28="","",IF($AE28&lt;=1200,IF(INDEX(对接源_01水果!$M$4:$M$1203,$AE28)=0,"",INDEX(对接源_01水果!$M$4:$M$1203,$AE28)),IF(INDEX(对接源_02物料!$M$4:$M$1203,$AE28-1200)=0,"",INDEX(对接源_02物料!$M$4:$M$1203,$AE28-1200))))</f>
        <v>麦麦提</v>
      </c>
      <c r="L28" s="16" t="str">
        <f>IFERROR(INDEX($D$6:$D$125,MATCH(17,AK$6:AK$125,0)),"")</f>
        <v/>
      </c>
      <c r="M28" s="17" t="str">
        <f t="shared" si="2"/>
        <v/>
      </c>
      <c r="N28" s="18" t="str">
        <f t="shared" si="3"/>
        <v/>
      </c>
      <c r="AE28" s="2">
        <f>IFERROR(MATCH(23,_自动清单!$AA$4:$AA$2403,0),"")</f>
        <v>289</v>
      </c>
      <c r="AI28" s="2" t="str">
        <f t="shared" si="0"/>
        <v>香梨一级</v>
      </c>
      <c r="AJ28" s="2">
        <f>IF(AI28="",0,IF(MATCH(AI28,AI$6:AI$125,0)=23,1,0))</f>
        <v>0</v>
      </c>
      <c r="AK28" s="2">
        <f t="shared" si="1"/>
        <v>3</v>
      </c>
    </row>
    <row r="29" ht="18" customHeight="1" spans="1:37">
      <c r="A29" s="87">
        <f>IF($AE29="","",IF($AE29&lt;=1200,IF(INDEX(对接源_01水果!$B$4:$B$1203,$AE29)=0,"",INDEX(对接源_01水果!$B$4:$B$1203,$AE29)),IF(INDEX(对接源_02物料!$B$4:$B$1203,$AE29-1200)=0,"",INDEX(对接源_02物料!$B$4:$B$1203,$AE29-1200))))</f>
        <v>46283</v>
      </c>
      <c r="B29" s="88" t="str">
        <f>IF($AE29="","",IF($AE29&lt;=1200,IF(INDEX(对接源_01水果!$E$4:$E$1203,$AE29)=0,"",INDEX(对接源_01水果!$E$4:$E$1203,$AE29)),IF(INDEX(对接源_02物料!$E$4:$E$1203,$AE29-1200)=0,"",INDEX(对接源_02物料!$E$4:$E$1203,$AE29-1200))))</f>
        <v>NO:0000897</v>
      </c>
      <c r="C29" s="88" t="str">
        <f>IF($AE29="","",IF($AE29&lt;=1200,IF(INDEX(对接源_01水果!$F$4:$F$1203,$AE29)=0,"",INDEX(对接源_01水果!$F$4:$F$1203,$AE29)),IF(INDEX(对接源_02物料!$F$4:$F$1203,$AE29-1200)=0,"",INDEX(对接源_02物料!$F$4:$F$1203,$AE29-1200))))</f>
        <v>香梨</v>
      </c>
      <c r="D29" s="88" t="str">
        <f>IF($AE29="","",IF($AE29&lt;=1200,IF(INDEX(对接源_01水果!$G$4:$G$1203,$AE29)=0,"",INDEX(对接源_01水果!$G$4:$G$1203,$AE29)),IF(INDEX(对接源_02物料!$G$4:$G$1203,$AE29-1200)=0,"",INDEX(对接源_02物料!$G$4:$G$1203,$AE29-1200))))</f>
        <v>香梨二级</v>
      </c>
      <c r="E29" s="89">
        <f>IF($AE29="","",IF($AE29&lt;=1200,IF(INDEX(对接源_01水果!$H$4:$H$1203,$AE29)=0,"",INDEX(对接源_01水果!$H$4:$H$1203,$AE29)),IF(INDEX(对接源_02物料!$H$4:$H$1203,$AE29-1200)=0,"",INDEX(对接源_02物料!$H$4:$H$1203,$AE29-1200))))</f>
        <v>59</v>
      </c>
      <c r="F29" s="88" t="str">
        <f>IF($AE29="","",IF($AE29&lt;=1200,IF(INDEX(对接源_01水果!$I$4:$I$1203,$AE29)=0,"",INDEX(对接源_01水果!$I$4:$I$1203,$AE29)),IF(INDEX(对接源_02物料!$I$4:$I$1203,$AE29-1200)=0,"",INDEX(对接源_02物料!$I$4:$I$1203,$AE29-1200))))</f>
        <v>筐</v>
      </c>
      <c r="G29" s="90">
        <f>IF($AE29="","",IF($AE29&lt;=1200,IF(INDEX(对接源_01水果!$J$4:$J$1203,$AE29)=0,"",INDEX(对接源_01水果!$J$4:$J$1203,$AE29)),IF(INDEX(对接源_02物料!$J$4:$J$1203,$AE29-1200)=0,"",INDEX(对接源_02物料!$J$4:$J$1203,$AE29-1200))))</f>
        <v>1315.7</v>
      </c>
      <c r="H29" s="88" t="str">
        <f>IF($AE29="","",IF($AE29&lt;=1200,IF(INDEX(对接源_01水果!$W$4:$W$1203,$AE29)=0,"",INDEX(对接源_01水果!$W$4:$W$1203,$AE29)),IF(INDEX(对接源_02物料!$W$4:$W$1203,$AE29-1200)=0,"",INDEX(对接源_02物料!$W$4:$W$1203,$AE29-1200))))</f>
        <v>新N*X8S48</v>
      </c>
      <c r="I29" s="88" t="str">
        <f>IF($AE29="","",IF($AE29&lt;=1200,IF(INDEX(对接源_01水果!$C$4:$C$1203,$AE29)=0,"",INDEX(对接源_01水果!$C$4:$C$1203,$AE29)),IF(INDEX(对接源_02物料!$C$4:$C$1203,$AE29-1200)=0,"",INDEX(对接源_02物料!$C$4:$C$1203,$AE29-1200))))</f>
        <v>吐尔洪</v>
      </c>
      <c r="J29" s="91" t="str">
        <f>IF($AE29="","",IF($AE29&lt;=1200,IF(INDEX(对接源_01水果!$M$4:$M$1203,$AE29)=0,"",INDEX(对接源_01水果!$M$4:$M$1203,$AE29)),IF(INDEX(对接源_02物料!$M$4:$M$1203,$AE29-1200)=0,"",INDEX(对接源_02物料!$M$4:$M$1203,$AE29-1200))))</f>
        <v>麦麦提</v>
      </c>
      <c r="L29" s="16" t="str">
        <f>IFERROR(INDEX($D$6:$D$125,MATCH(18,AK$6:AK$125,0)),"")</f>
        <v/>
      </c>
      <c r="M29" s="17" t="str">
        <f t="shared" si="2"/>
        <v/>
      </c>
      <c r="N29" s="18" t="str">
        <f t="shared" si="3"/>
        <v/>
      </c>
      <c r="AE29" s="2">
        <f>IFERROR(MATCH(24,_自动清单!$AA$4:$AA$2403,0),"")</f>
        <v>290</v>
      </c>
      <c r="AI29" s="2" t="str">
        <f t="shared" si="0"/>
        <v>香梨二级</v>
      </c>
      <c r="AJ29" s="2">
        <f>IF(AI29="",0,IF(MATCH(AI29,AI$6:AI$125,0)=24,1,0))</f>
        <v>0</v>
      </c>
      <c r="AK29" s="2">
        <f t="shared" si="1"/>
        <v>3</v>
      </c>
    </row>
    <row r="30" ht="18" customHeight="1" spans="1:37">
      <c r="A30" s="52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53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53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53" t="str">
        <f>IF($AE30="","",IF($AE30&lt;=1200,IF(INDEX(对接源_01水果!$G$4:$G$1203,$AE30)=0,"",INDEX(对接源_01水果!$G$4:$G$1203,$AE30)),IF(INDEX(对接源_02物料!$G$4:$G$1203,$AE30-1200)=0,"",INDEX(对接源_02物料!$G$4:$G$1203,$AE30-1200))))</f>
        <v/>
      </c>
      <c r="E30" s="54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53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55" t="str">
        <f>IF($AE30="","",IF($AE30&lt;=1200,IF(INDEX(对接源_01水果!$J$4:$J$1203,$AE30)=0,"",INDEX(对接源_01水果!$J$4:$J$1203,$AE30)),IF(INDEX(对接源_02物料!$J$4:$J$1203,$AE30-1200)=0,"",INDEX(对接源_02物料!$J$4:$J$1203,$AE30-1200))))</f>
        <v/>
      </c>
      <c r="H30" s="53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I30" s="53" t="str">
        <f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J30" s="56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L30" s="94" t="s">
        <v>137</v>
      </c>
      <c r="M30" s="95">
        <f>ROUND(SUM(M12:M29),0)</f>
        <v>1832</v>
      </c>
      <c r="N30" s="96">
        <f>ROUND(SUM(N12:N29),2)</f>
        <v>36145.6</v>
      </c>
      <c r="AE30" s="2" t="str">
        <f>IFERROR(MATCH(25,_自动清单!$AA$4:$AA$2403,0),"")</f>
        <v/>
      </c>
      <c r="AI30" s="2" t="str">
        <f t="shared" si="0"/>
        <v/>
      </c>
      <c r="AJ30" s="2">
        <f>IF(AI30="",0,IF(MATCH(AI30,AI$6:AI$125,0)=25,1,0))</f>
        <v>0</v>
      </c>
      <c r="AK30" s="2">
        <f t="shared" si="1"/>
        <v>3</v>
      </c>
    </row>
    <row r="31" ht="18" customHeight="1" spans="1:37">
      <c r="A31" s="87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88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88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88" t="str">
        <f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89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88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90" t="str">
        <f>IF($AE31="","",IF($AE31&lt;=1200,IF(INDEX(对接源_01水果!$J$4:$J$1203,$AE31)=0,"",INDEX(对接源_01水果!$J$4:$J$1203,$AE31)),IF(INDEX(对接源_02物料!$J$4:$J$1203,$AE31-1200)=0,"",INDEX(对接源_02物料!$J$4:$J$1203,$AE31-1200))))</f>
        <v/>
      </c>
      <c r="H31" s="88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I31" s="88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J31" s="91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L31" s="97"/>
      <c r="M31" s="98"/>
      <c r="N31" s="99"/>
      <c r="AE31" s="2" t="str">
        <f>IFERROR(MATCH(26,_自动清单!$AA$4:$AA$2403,0),"")</f>
        <v/>
      </c>
      <c r="AI31" s="2" t="str">
        <f t="shared" si="0"/>
        <v/>
      </c>
      <c r="AJ31" s="2">
        <f>IF(AI31="",0,IF(MATCH(AI31,AI$6:AI$125,0)=26,1,0))</f>
        <v>0</v>
      </c>
      <c r="AK31" s="2">
        <f t="shared" si="1"/>
        <v>3</v>
      </c>
    </row>
    <row r="32" ht="18" customHeight="1" spans="1:37">
      <c r="A32" s="52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3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53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53" t="str">
        <f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54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53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5" t="str">
        <f>IF($AE32="","",IF($AE32&lt;=1200,IF(INDEX(对接源_01水果!$J$4:$J$1203,$AE32)=0,"",INDEX(对接源_01水果!$J$4:$J$1203,$AE32)),IF(INDEX(对接源_02物料!$J$4:$J$1203,$AE32-1200)=0,"",INDEX(对接源_02物料!$J$4:$J$1203,$AE32-1200))))</f>
        <v/>
      </c>
      <c r="H32" s="53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I32" s="53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J32" s="56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L32" s="92" t="s">
        <v>138</v>
      </c>
      <c r="M32" s="92"/>
      <c r="N32" s="92"/>
      <c r="AE32" s="2" t="str">
        <f>IFERROR(MATCH(27,_自动清单!$AA$4:$AA$2403,0),"")</f>
        <v/>
      </c>
      <c r="AI32" s="2" t="str">
        <f t="shared" si="0"/>
        <v/>
      </c>
      <c r="AJ32" s="2">
        <f>IF(AI32="",0,IF(MATCH(AI32,AI$6:AI$125,0)=27,1,0))</f>
        <v>0</v>
      </c>
      <c r="AK32" s="2">
        <f t="shared" si="1"/>
        <v>3</v>
      </c>
    </row>
    <row r="33" ht="18" customHeight="1" spans="1:37">
      <c r="A33" s="87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88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88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88" t="str">
        <f>IF($AE33="","",IF($AE33&lt;=1200,IF(INDEX(对接源_01水果!$G$4:$G$1203,$AE33)=0,"",INDEX(对接源_01水果!$G$4:$G$1203,$AE33)),IF(INDEX(对接源_02物料!$G$4:$G$1203,$AE33-1200)=0,"",INDEX(对接源_02物料!$G$4:$G$1203,$AE33-1200))))</f>
        <v/>
      </c>
      <c r="E33" s="89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88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90" t="str">
        <f>IF($AE33="","",IF($AE33&lt;=1200,IF(INDEX(对接源_01水果!$J$4:$J$1203,$AE33)=0,"",INDEX(对接源_01水果!$J$4:$J$1203,$AE33)),IF(INDEX(对接源_02物料!$J$4:$J$1203,$AE33-1200)=0,"",INDEX(对接源_02物料!$J$4:$J$1203,$AE33-1200))))</f>
        <v/>
      </c>
      <c r="H33" s="88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I33" s="88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J33" s="91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L33" s="93" t="s">
        <v>126</v>
      </c>
      <c r="M33" s="100" t="s">
        <v>135</v>
      </c>
      <c r="N33" s="101" t="s">
        <v>136</v>
      </c>
      <c r="AE33" s="2" t="str">
        <f>IFERROR(MATCH(28,_自动清单!$AA$4:$AA$2403,0),"")</f>
        <v/>
      </c>
      <c r="AI33" s="2" t="str">
        <f t="shared" si="0"/>
        <v/>
      </c>
      <c r="AJ33" s="2">
        <f>IF(AI33="",0,IF(MATCH(AI33,AI$6:AI$125,0)=28,1,0))</f>
        <v>0</v>
      </c>
      <c r="AK33" s="2">
        <f t="shared" si="1"/>
        <v>3</v>
      </c>
    </row>
    <row r="34" ht="18" customHeight="1" spans="1:37">
      <c r="A34" s="52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3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53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53" t="str">
        <f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54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53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5" t="str">
        <f>IF($AE34="","",IF($AE34&lt;=1200,IF(INDEX(对接源_01水果!$J$4:$J$1203,$AE34)=0,"",INDEX(对接源_01水果!$J$4:$J$1203,$AE34)),IF(INDEX(对接源_02物料!$J$4:$J$1203,$AE34-1200)=0,"",INDEX(对接源_02物料!$J$4:$J$1203,$AE34-1200))))</f>
        <v/>
      </c>
      <c r="H34" s="53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I34" s="53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J34" s="56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L34" s="16" t="str">
        <f>IFERROR(INDEX($D$129:$D$208,MATCH(1,AN$129:AN$208,0)),"")</f>
        <v/>
      </c>
      <c r="M34" s="17" t="str">
        <f t="shared" ref="M34:M51" si="4">IF($L34="","",SUMIF($D$129:$D$208,$L34,$E$129:$E$208))</f>
        <v/>
      </c>
      <c r="N34" s="18" t="str">
        <f t="shared" ref="N34:N51" si="5">IF($L34="","",ROUND(SUMIF($D$129:$D$208,$L34,$G$129:$G$208),2))</f>
        <v/>
      </c>
      <c r="AE34" s="2" t="str">
        <f>IFERROR(MATCH(29,_自动清单!$AA$4:$AA$2403,0),"")</f>
        <v/>
      </c>
      <c r="AI34" s="2" t="str">
        <f t="shared" si="0"/>
        <v/>
      </c>
      <c r="AJ34" s="2">
        <f>IF(AI34="",0,IF(MATCH(AI34,AI$6:AI$125,0)=29,1,0))</f>
        <v>0</v>
      </c>
      <c r="AK34" s="2">
        <f t="shared" si="1"/>
        <v>3</v>
      </c>
    </row>
    <row r="35" ht="18" customHeight="1" spans="1:37">
      <c r="A35" s="87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88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88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88" t="str">
        <f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89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88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90" t="str">
        <f>IF($AE35="","",IF($AE35&lt;=1200,IF(INDEX(对接源_01水果!$J$4:$J$1203,$AE35)=0,"",INDEX(对接源_01水果!$J$4:$J$1203,$AE35)),IF(INDEX(对接源_02物料!$J$4:$J$1203,$AE35-1200)=0,"",INDEX(对接源_02物料!$J$4:$J$1203,$AE35-1200))))</f>
        <v/>
      </c>
      <c r="H35" s="88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I35" s="88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J35" s="91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L35" s="16" t="str">
        <f>IFERROR(INDEX($D$129:$D$208,MATCH(2,AN$129:AN$208,0)),"")</f>
        <v/>
      </c>
      <c r="M35" s="17" t="str">
        <f t="shared" si="4"/>
        <v/>
      </c>
      <c r="N35" s="18" t="str">
        <f t="shared" si="5"/>
        <v/>
      </c>
      <c r="AE35" s="2" t="str">
        <f>IFERROR(MATCH(30,_自动清单!$AA$4:$AA$2403,0),"")</f>
        <v/>
      </c>
      <c r="AI35" s="2" t="str">
        <f t="shared" si="0"/>
        <v/>
      </c>
      <c r="AJ35" s="2">
        <f>IF(AI35="",0,IF(MATCH(AI35,AI$6:AI$125,0)=30,1,0))</f>
        <v>0</v>
      </c>
      <c r="AK35" s="2">
        <f t="shared" si="1"/>
        <v>3</v>
      </c>
    </row>
    <row r="36" ht="18" customHeight="1" spans="1:37">
      <c r="A36" s="52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53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53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53" t="str">
        <f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54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53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5" t="str">
        <f>IF($AE36="","",IF($AE36&lt;=1200,IF(INDEX(对接源_01水果!$J$4:$J$1203,$AE36)=0,"",INDEX(对接源_01水果!$J$4:$J$1203,$AE36)),IF(INDEX(对接源_02物料!$J$4:$J$1203,$AE36-1200)=0,"",INDEX(对接源_02物料!$J$4:$J$1203,$AE36-1200))))</f>
        <v/>
      </c>
      <c r="H36" s="53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I36" s="53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J36" s="56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L36" s="16" t="str">
        <f>IFERROR(INDEX($D$129:$D$208,MATCH(3,AN$129:AN$208,0)),"")</f>
        <v/>
      </c>
      <c r="M36" s="17" t="str">
        <f t="shared" si="4"/>
        <v/>
      </c>
      <c r="N36" s="18" t="str">
        <f t="shared" si="5"/>
        <v/>
      </c>
      <c r="AE36" s="2" t="str">
        <f>IFERROR(MATCH(31,_自动清单!$AA$4:$AA$2403,0),"")</f>
        <v/>
      </c>
      <c r="AI36" s="2" t="str">
        <f t="shared" si="0"/>
        <v/>
      </c>
      <c r="AJ36" s="2">
        <f>IF(AI36="",0,IF(MATCH(AI36,AI$6:AI$125,0)=31,1,0))</f>
        <v>0</v>
      </c>
      <c r="AK36" s="2">
        <f t="shared" si="1"/>
        <v>3</v>
      </c>
    </row>
    <row r="37" ht="18" customHeight="1" spans="1:37">
      <c r="A37" s="87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88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88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88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89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88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90" t="str">
        <f>IF($AE37="","",IF($AE37&lt;=1200,IF(INDEX(对接源_01水果!$J$4:$J$1203,$AE37)=0,"",INDEX(对接源_01水果!$J$4:$J$1203,$AE37)),IF(INDEX(对接源_02物料!$J$4:$J$1203,$AE37-1200)=0,"",INDEX(对接源_02物料!$J$4:$J$1203,$AE37-1200))))</f>
        <v/>
      </c>
      <c r="H37" s="88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I37" s="88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J37" s="91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L37" s="16" t="str">
        <f>IFERROR(INDEX($D$129:$D$208,MATCH(4,AN$129:AN$208,0)),"")</f>
        <v/>
      </c>
      <c r="M37" s="17" t="str">
        <f t="shared" si="4"/>
        <v/>
      </c>
      <c r="N37" s="18" t="str">
        <f t="shared" si="5"/>
        <v/>
      </c>
      <c r="AE37" s="2" t="str">
        <f>IFERROR(MATCH(32,_自动清单!$AA$4:$AA$2403,0),"")</f>
        <v/>
      </c>
      <c r="AI37" s="2" t="str">
        <f t="shared" si="0"/>
        <v/>
      </c>
      <c r="AJ37" s="2">
        <f>IF(AI37="",0,IF(MATCH(AI37,AI$6:AI$125,0)=32,1,0))</f>
        <v>0</v>
      </c>
      <c r="AK37" s="2">
        <f t="shared" si="1"/>
        <v>3</v>
      </c>
    </row>
    <row r="38" ht="18" customHeight="1" spans="1:37">
      <c r="A38" s="52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3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53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53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54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53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5" t="str">
        <f>IF($AE38="","",IF($AE38&lt;=1200,IF(INDEX(对接源_01水果!$J$4:$J$1203,$AE38)=0,"",INDEX(对接源_01水果!$J$4:$J$1203,$AE38)),IF(INDEX(对接源_02物料!$J$4:$J$1203,$AE38-1200)=0,"",INDEX(对接源_02物料!$J$4:$J$1203,$AE38-1200))))</f>
        <v/>
      </c>
      <c r="H38" s="53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I38" s="53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J38" s="56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L38" s="16" t="str">
        <f>IFERROR(INDEX($D$129:$D$208,MATCH(5,AN$129:AN$208,0)),"")</f>
        <v/>
      </c>
      <c r="M38" s="17" t="str">
        <f t="shared" si="4"/>
        <v/>
      </c>
      <c r="N38" s="18" t="str">
        <f t="shared" si="5"/>
        <v/>
      </c>
      <c r="AE38" s="2" t="str">
        <f>IFERROR(MATCH(33,_自动清单!$AA$4:$AA$2403,0),"")</f>
        <v/>
      </c>
      <c r="AI38" s="2" t="str">
        <f t="shared" si="0"/>
        <v/>
      </c>
      <c r="AJ38" s="2">
        <f>IF(AI38="",0,IF(MATCH(AI38,AI$6:AI$125,0)=33,1,0))</f>
        <v>0</v>
      </c>
      <c r="AK38" s="2">
        <f t="shared" si="1"/>
        <v>3</v>
      </c>
    </row>
    <row r="39" ht="18" customHeight="1" spans="1:37">
      <c r="A39" s="87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88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88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88" t="str">
        <f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89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88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90" t="str">
        <f>IF($AE39="","",IF($AE39&lt;=1200,IF(INDEX(对接源_01水果!$J$4:$J$1203,$AE39)=0,"",INDEX(对接源_01水果!$J$4:$J$1203,$AE39)),IF(INDEX(对接源_02物料!$J$4:$J$1203,$AE39-1200)=0,"",INDEX(对接源_02物料!$J$4:$J$1203,$AE39-1200))))</f>
        <v/>
      </c>
      <c r="H39" s="88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I39" s="88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J39" s="91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L39" s="16" t="str">
        <f>IFERROR(INDEX($D$129:$D$208,MATCH(6,AN$129:AN$208,0)),"")</f>
        <v/>
      </c>
      <c r="M39" s="17" t="str">
        <f t="shared" si="4"/>
        <v/>
      </c>
      <c r="N39" s="18" t="str">
        <f t="shared" si="5"/>
        <v/>
      </c>
      <c r="AE39" s="2" t="str">
        <f>IFERROR(MATCH(34,_自动清单!$AA$4:$AA$2403,0),"")</f>
        <v/>
      </c>
      <c r="AI39" s="2" t="str">
        <f t="shared" si="0"/>
        <v/>
      </c>
      <c r="AJ39" s="2">
        <f>IF(AI39="",0,IF(MATCH(AI39,AI$6:AI$125,0)=34,1,0))</f>
        <v>0</v>
      </c>
      <c r="AK39" s="2">
        <f t="shared" si="1"/>
        <v>3</v>
      </c>
    </row>
    <row r="40" ht="18" customHeight="1" spans="1:37">
      <c r="A40" s="52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3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53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53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54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53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5" t="str">
        <f>IF($AE40="","",IF($AE40&lt;=1200,IF(INDEX(对接源_01水果!$J$4:$J$1203,$AE40)=0,"",INDEX(对接源_01水果!$J$4:$J$1203,$AE40)),IF(INDEX(对接源_02物料!$J$4:$J$1203,$AE40-1200)=0,"",INDEX(对接源_02物料!$J$4:$J$1203,$AE40-1200))))</f>
        <v/>
      </c>
      <c r="H40" s="53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I40" s="53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J40" s="56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L40" s="16" t="str">
        <f>IFERROR(INDEX($D$129:$D$208,MATCH(7,AN$129:AN$208,0)),"")</f>
        <v/>
      </c>
      <c r="M40" s="17" t="str">
        <f t="shared" si="4"/>
        <v/>
      </c>
      <c r="N40" s="18" t="str">
        <f t="shared" si="5"/>
        <v/>
      </c>
      <c r="AE40" s="2" t="str">
        <f>IFERROR(MATCH(35,_自动清单!$AA$4:$AA$2403,0),"")</f>
        <v/>
      </c>
      <c r="AI40" s="2" t="str">
        <f t="shared" si="0"/>
        <v/>
      </c>
      <c r="AJ40" s="2">
        <f>IF(AI40="",0,IF(MATCH(AI40,AI$6:AI$125,0)=35,1,0))</f>
        <v>0</v>
      </c>
      <c r="AK40" s="2">
        <f t="shared" si="1"/>
        <v>3</v>
      </c>
    </row>
    <row r="41" ht="18" customHeight="1" spans="1:37">
      <c r="A41" s="87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88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88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88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89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88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90" t="str">
        <f>IF($AE41="","",IF($AE41&lt;=1200,IF(INDEX(对接源_01水果!$J$4:$J$1203,$AE41)=0,"",INDEX(对接源_01水果!$J$4:$J$1203,$AE41)),IF(INDEX(对接源_02物料!$J$4:$J$1203,$AE41-1200)=0,"",INDEX(对接源_02物料!$J$4:$J$1203,$AE41-1200))))</f>
        <v/>
      </c>
      <c r="H41" s="88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I41" s="88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J41" s="91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L41" s="16" t="str">
        <f>IFERROR(INDEX($D$129:$D$208,MATCH(8,AN$129:AN$208,0)),"")</f>
        <v/>
      </c>
      <c r="M41" s="17" t="str">
        <f t="shared" si="4"/>
        <v/>
      </c>
      <c r="N41" s="18" t="str">
        <f t="shared" si="5"/>
        <v/>
      </c>
      <c r="AE41" s="2" t="str">
        <f>IFERROR(MATCH(36,_自动清单!$AA$4:$AA$2403,0),"")</f>
        <v/>
      </c>
      <c r="AI41" s="2" t="str">
        <f t="shared" si="0"/>
        <v/>
      </c>
      <c r="AJ41" s="2">
        <f>IF(AI41="",0,IF(MATCH(AI41,AI$6:AI$125,0)=36,1,0))</f>
        <v>0</v>
      </c>
      <c r="AK41" s="2">
        <f t="shared" si="1"/>
        <v>3</v>
      </c>
    </row>
    <row r="42" ht="18" customHeight="1" spans="1:37">
      <c r="A42" s="52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53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53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53" t="str">
        <f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54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53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5" t="str">
        <f>IF($AE42="","",IF($AE42&lt;=1200,IF(INDEX(对接源_01水果!$J$4:$J$1203,$AE42)=0,"",INDEX(对接源_01水果!$J$4:$J$1203,$AE42)),IF(INDEX(对接源_02物料!$J$4:$J$1203,$AE42-1200)=0,"",INDEX(对接源_02物料!$J$4:$J$1203,$AE42-1200))))</f>
        <v/>
      </c>
      <c r="H42" s="53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I42" s="53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J42" s="56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L42" s="16" t="str">
        <f>IFERROR(INDEX($D$129:$D$208,MATCH(9,AN$129:AN$208,0)),"")</f>
        <v/>
      </c>
      <c r="M42" s="17" t="str">
        <f t="shared" si="4"/>
        <v/>
      </c>
      <c r="N42" s="18" t="str">
        <f t="shared" si="5"/>
        <v/>
      </c>
      <c r="AE42" s="2" t="str">
        <f>IFERROR(MATCH(37,_自动清单!$AA$4:$AA$2403,0),"")</f>
        <v/>
      </c>
      <c r="AI42" s="2" t="str">
        <f t="shared" si="0"/>
        <v/>
      </c>
      <c r="AJ42" s="2">
        <f>IF(AI42="",0,IF(MATCH(AI42,AI$6:AI$125,0)=37,1,0))</f>
        <v>0</v>
      </c>
      <c r="AK42" s="2">
        <f t="shared" si="1"/>
        <v>3</v>
      </c>
    </row>
    <row r="43" ht="18" customHeight="1" spans="1:37">
      <c r="A43" s="87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88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88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88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89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88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90" t="str">
        <f>IF($AE43="","",IF($AE43&lt;=1200,IF(INDEX(对接源_01水果!$J$4:$J$1203,$AE43)=0,"",INDEX(对接源_01水果!$J$4:$J$1203,$AE43)),IF(INDEX(对接源_02物料!$J$4:$J$1203,$AE43-1200)=0,"",INDEX(对接源_02物料!$J$4:$J$1203,$AE43-1200))))</f>
        <v/>
      </c>
      <c r="H43" s="88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I43" s="88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J43" s="91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L43" s="16" t="str">
        <f>IFERROR(INDEX($D$129:$D$208,MATCH(10,AN$129:AN$208,0)),"")</f>
        <v/>
      </c>
      <c r="M43" s="17" t="str">
        <f t="shared" si="4"/>
        <v/>
      </c>
      <c r="N43" s="18" t="str">
        <f t="shared" si="5"/>
        <v/>
      </c>
      <c r="AE43" s="2" t="str">
        <f>IFERROR(MATCH(38,_自动清单!$AA$4:$AA$2403,0),"")</f>
        <v/>
      </c>
      <c r="AI43" s="2" t="str">
        <f t="shared" si="0"/>
        <v/>
      </c>
      <c r="AJ43" s="2">
        <f>IF(AI43="",0,IF(MATCH(AI43,AI$6:AI$125,0)=38,1,0))</f>
        <v>0</v>
      </c>
      <c r="AK43" s="2">
        <f t="shared" si="1"/>
        <v>3</v>
      </c>
    </row>
    <row r="44" ht="18" customHeight="1" spans="1:37">
      <c r="A44" s="52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3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53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53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54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53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5" t="str">
        <f>IF($AE44="","",IF($AE44&lt;=1200,IF(INDEX(对接源_01水果!$J$4:$J$1203,$AE44)=0,"",INDEX(对接源_01水果!$J$4:$J$1203,$AE44)),IF(INDEX(对接源_02物料!$J$4:$J$1203,$AE44-1200)=0,"",INDEX(对接源_02物料!$J$4:$J$1203,$AE44-1200))))</f>
        <v/>
      </c>
      <c r="H44" s="53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I44" s="53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J44" s="56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L44" s="16" t="str">
        <f>IFERROR(INDEX($D$129:$D$208,MATCH(11,AN$129:AN$208,0)),"")</f>
        <v/>
      </c>
      <c r="M44" s="17" t="str">
        <f t="shared" si="4"/>
        <v/>
      </c>
      <c r="N44" s="18" t="str">
        <f t="shared" si="5"/>
        <v/>
      </c>
      <c r="AE44" s="2" t="str">
        <f>IFERROR(MATCH(39,_自动清单!$AA$4:$AA$2403,0),"")</f>
        <v/>
      </c>
      <c r="AI44" s="2" t="str">
        <f t="shared" si="0"/>
        <v/>
      </c>
      <c r="AJ44" s="2">
        <f>IF(AI44="",0,IF(MATCH(AI44,AI$6:AI$125,0)=39,1,0))</f>
        <v>0</v>
      </c>
      <c r="AK44" s="2">
        <f t="shared" si="1"/>
        <v>3</v>
      </c>
    </row>
    <row r="45" ht="18" customHeight="1" spans="1:37">
      <c r="A45" s="87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88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88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88" t="str">
        <f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89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88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90" t="str">
        <f>IF($AE45="","",IF($AE45&lt;=1200,IF(INDEX(对接源_01水果!$J$4:$J$1203,$AE45)=0,"",INDEX(对接源_01水果!$J$4:$J$1203,$AE45)),IF(INDEX(对接源_02物料!$J$4:$J$1203,$AE45-1200)=0,"",INDEX(对接源_02物料!$J$4:$J$1203,$AE45-1200))))</f>
        <v/>
      </c>
      <c r="H45" s="88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I45" s="88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J45" s="91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L45" s="16" t="str">
        <f>IFERROR(INDEX($D$129:$D$208,MATCH(12,AN$129:AN$208,0)),"")</f>
        <v/>
      </c>
      <c r="M45" s="17" t="str">
        <f t="shared" si="4"/>
        <v/>
      </c>
      <c r="N45" s="18" t="str">
        <f t="shared" si="5"/>
        <v/>
      </c>
      <c r="AE45" s="2" t="str">
        <f>IFERROR(MATCH(40,_自动清单!$AA$4:$AA$2403,0),"")</f>
        <v/>
      </c>
      <c r="AI45" s="2" t="str">
        <f t="shared" si="0"/>
        <v/>
      </c>
      <c r="AJ45" s="2">
        <f>IF(AI45="",0,IF(MATCH(AI45,AI$6:AI$125,0)=40,1,0))</f>
        <v>0</v>
      </c>
      <c r="AK45" s="2">
        <f t="shared" si="1"/>
        <v>3</v>
      </c>
    </row>
    <row r="46" ht="18" customHeight="1" spans="1:37">
      <c r="A46" s="52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3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53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53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54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53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5" t="str">
        <f>IF($AE46="","",IF($AE46&lt;=1200,IF(INDEX(对接源_01水果!$J$4:$J$1203,$AE46)=0,"",INDEX(对接源_01水果!$J$4:$J$1203,$AE46)),IF(INDEX(对接源_02物料!$J$4:$J$1203,$AE46-1200)=0,"",INDEX(对接源_02物料!$J$4:$J$1203,$AE46-1200))))</f>
        <v/>
      </c>
      <c r="H46" s="53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I46" s="53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J46" s="56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L46" s="16" t="str">
        <f>IFERROR(INDEX($D$129:$D$208,MATCH(13,AN$129:AN$208,0)),"")</f>
        <v/>
      </c>
      <c r="M46" s="17" t="str">
        <f t="shared" si="4"/>
        <v/>
      </c>
      <c r="N46" s="18" t="str">
        <f t="shared" si="5"/>
        <v/>
      </c>
      <c r="AE46" s="2" t="str">
        <f>IFERROR(MATCH(41,_自动清单!$AA$4:$AA$2403,0),"")</f>
        <v/>
      </c>
      <c r="AI46" s="2" t="str">
        <f t="shared" si="0"/>
        <v/>
      </c>
      <c r="AJ46" s="2">
        <f>IF(AI46="",0,IF(MATCH(AI46,AI$6:AI$125,0)=41,1,0))</f>
        <v>0</v>
      </c>
      <c r="AK46" s="2">
        <f t="shared" si="1"/>
        <v>3</v>
      </c>
    </row>
    <row r="47" ht="18" customHeight="1" spans="1:37">
      <c r="A47" s="87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88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88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88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89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88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90" t="str">
        <f>IF($AE47="","",IF($AE47&lt;=1200,IF(INDEX(对接源_01水果!$J$4:$J$1203,$AE47)=0,"",INDEX(对接源_01水果!$J$4:$J$1203,$AE47)),IF(INDEX(对接源_02物料!$J$4:$J$1203,$AE47-1200)=0,"",INDEX(对接源_02物料!$J$4:$J$1203,$AE47-1200))))</f>
        <v/>
      </c>
      <c r="H47" s="88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I47" s="88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J47" s="91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L47" s="16" t="str">
        <f>IFERROR(INDEX($D$129:$D$208,MATCH(14,AN$129:AN$208,0)),"")</f>
        <v/>
      </c>
      <c r="M47" s="17" t="str">
        <f t="shared" si="4"/>
        <v/>
      </c>
      <c r="N47" s="18" t="str">
        <f t="shared" si="5"/>
        <v/>
      </c>
      <c r="AE47" s="2" t="str">
        <f>IFERROR(MATCH(42,_自动清单!$AA$4:$AA$2403,0),"")</f>
        <v/>
      </c>
      <c r="AI47" s="2" t="str">
        <f t="shared" si="0"/>
        <v/>
      </c>
      <c r="AJ47" s="2">
        <f>IF(AI47="",0,IF(MATCH(AI47,AI$6:AI$125,0)=42,1,0))</f>
        <v>0</v>
      </c>
      <c r="AK47" s="2">
        <f t="shared" si="1"/>
        <v>3</v>
      </c>
    </row>
    <row r="48" ht="18" customHeight="1" spans="1:37">
      <c r="A48" s="52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53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53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53" t="str">
        <f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54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53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5" t="str">
        <f>IF($AE48="","",IF($AE48&lt;=1200,IF(INDEX(对接源_01水果!$J$4:$J$1203,$AE48)=0,"",INDEX(对接源_01水果!$J$4:$J$1203,$AE48)),IF(INDEX(对接源_02物料!$J$4:$J$1203,$AE48-1200)=0,"",INDEX(对接源_02物料!$J$4:$J$1203,$AE48-1200))))</f>
        <v/>
      </c>
      <c r="H48" s="53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I48" s="53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J48" s="56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L48" s="16" t="str">
        <f>IFERROR(INDEX($D$129:$D$208,MATCH(15,AN$129:AN$208,0)),"")</f>
        <v/>
      </c>
      <c r="M48" s="17" t="str">
        <f t="shared" si="4"/>
        <v/>
      </c>
      <c r="N48" s="18" t="str">
        <f t="shared" si="5"/>
        <v/>
      </c>
      <c r="AE48" s="2" t="str">
        <f>IFERROR(MATCH(43,_自动清单!$AA$4:$AA$2403,0),"")</f>
        <v/>
      </c>
      <c r="AI48" s="2" t="str">
        <f t="shared" si="0"/>
        <v/>
      </c>
      <c r="AJ48" s="2">
        <f>IF(AI48="",0,IF(MATCH(AI48,AI$6:AI$125,0)=43,1,0))</f>
        <v>0</v>
      </c>
      <c r="AK48" s="2">
        <f t="shared" si="1"/>
        <v>3</v>
      </c>
    </row>
    <row r="49" ht="18" customHeight="1" spans="1:37">
      <c r="A49" s="87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88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88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88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89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88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90" t="str">
        <f>IF($AE49="","",IF($AE49&lt;=1200,IF(INDEX(对接源_01水果!$J$4:$J$1203,$AE49)=0,"",INDEX(对接源_01水果!$J$4:$J$1203,$AE49)),IF(INDEX(对接源_02物料!$J$4:$J$1203,$AE49-1200)=0,"",INDEX(对接源_02物料!$J$4:$J$1203,$AE49-1200))))</f>
        <v/>
      </c>
      <c r="H49" s="88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I49" s="88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J49" s="91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L49" s="16" t="str">
        <f>IFERROR(INDEX($D$129:$D$208,MATCH(16,AN$129:AN$208,0)),"")</f>
        <v/>
      </c>
      <c r="M49" s="17" t="str">
        <f t="shared" si="4"/>
        <v/>
      </c>
      <c r="N49" s="18" t="str">
        <f t="shared" si="5"/>
        <v/>
      </c>
      <c r="AE49" s="2" t="str">
        <f>IFERROR(MATCH(44,_自动清单!$AA$4:$AA$2403,0),"")</f>
        <v/>
      </c>
      <c r="AI49" s="2" t="str">
        <f t="shared" si="0"/>
        <v/>
      </c>
      <c r="AJ49" s="2">
        <f>IF(AI49="",0,IF(MATCH(AI49,AI$6:AI$125,0)=44,1,0))</f>
        <v>0</v>
      </c>
      <c r="AK49" s="2">
        <f t="shared" si="1"/>
        <v>3</v>
      </c>
    </row>
    <row r="50" ht="18" customHeight="1" spans="1:37">
      <c r="A50" s="52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3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53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53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54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53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5" t="str">
        <f>IF($AE50="","",IF($AE50&lt;=1200,IF(INDEX(对接源_01水果!$J$4:$J$1203,$AE50)=0,"",INDEX(对接源_01水果!$J$4:$J$1203,$AE50)),IF(INDEX(对接源_02物料!$J$4:$J$1203,$AE50-1200)=0,"",INDEX(对接源_02物料!$J$4:$J$1203,$AE50-1200))))</f>
        <v/>
      </c>
      <c r="H50" s="53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I50" s="53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J50" s="56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L50" s="16" t="str">
        <f>IFERROR(INDEX($D$129:$D$208,MATCH(17,AN$129:AN$208,0)),"")</f>
        <v/>
      </c>
      <c r="M50" s="17" t="str">
        <f t="shared" si="4"/>
        <v/>
      </c>
      <c r="N50" s="18" t="str">
        <f t="shared" si="5"/>
        <v/>
      </c>
      <c r="AE50" s="2" t="str">
        <f>IFERROR(MATCH(45,_自动清单!$AA$4:$AA$2403,0),"")</f>
        <v/>
      </c>
      <c r="AI50" s="2" t="str">
        <f t="shared" si="0"/>
        <v/>
      </c>
      <c r="AJ50" s="2">
        <f>IF(AI50="",0,IF(MATCH(AI50,AI$6:AI$125,0)=45,1,0))</f>
        <v>0</v>
      </c>
      <c r="AK50" s="2">
        <f t="shared" si="1"/>
        <v>3</v>
      </c>
    </row>
    <row r="51" ht="18" customHeight="1" spans="1:37">
      <c r="A51" s="87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88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88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88" t="str">
        <f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89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88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90" t="str">
        <f>IF($AE51="","",IF($AE51&lt;=1200,IF(INDEX(对接源_01水果!$J$4:$J$1203,$AE51)=0,"",INDEX(对接源_01水果!$J$4:$J$1203,$AE51)),IF(INDEX(对接源_02物料!$J$4:$J$1203,$AE51-1200)=0,"",INDEX(对接源_02物料!$J$4:$J$1203,$AE51-1200))))</f>
        <v/>
      </c>
      <c r="H51" s="88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I51" s="88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J51" s="91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L51" s="16" t="str">
        <f>IFERROR(INDEX($D$129:$D$208,MATCH(18,AN$129:AN$208,0)),"")</f>
        <v/>
      </c>
      <c r="M51" s="17" t="str">
        <f t="shared" si="4"/>
        <v/>
      </c>
      <c r="N51" s="18" t="str">
        <f t="shared" si="5"/>
        <v/>
      </c>
      <c r="AE51" s="2" t="str">
        <f>IFERROR(MATCH(46,_自动清单!$AA$4:$AA$2403,0),"")</f>
        <v/>
      </c>
      <c r="AI51" s="2" t="str">
        <f t="shared" si="0"/>
        <v/>
      </c>
      <c r="AJ51" s="2">
        <f>IF(AI51="",0,IF(MATCH(AI51,AI$6:AI$125,0)=46,1,0))</f>
        <v>0</v>
      </c>
      <c r="AK51" s="2">
        <f t="shared" si="1"/>
        <v>3</v>
      </c>
    </row>
    <row r="52" ht="18" customHeight="1" spans="1:37">
      <c r="A52" s="52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3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53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53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54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53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5" t="str">
        <f>IF($AE52="","",IF($AE52&lt;=1200,IF(INDEX(对接源_01水果!$J$4:$J$1203,$AE52)=0,"",INDEX(对接源_01水果!$J$4:$J$1203,$AE52)),IF(INDEX(对接源_02物料!$J$4:$J$1203,$AE52-1200)=0,"",INDEX(对接源_02物料!$J$4:$J$1203,$AE52-1200))))</f>
        <v/>
      </c>
      <c r="H52" s="53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I52" s="53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J52" s="56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L52" s="94" t="s">
        <v>137</v>
      </c>
      <c r="M52" s="95">
        <f>ROUND(SUM(M34:M51),0)</f>
        <v>0</v>
      </c>
      <c r="N52" s="96">
        <f>ROUND(SUM(N34:N51),2)</f>
        <v>0</v>
      </c>
      <c r="AE52" s="2" t="str">
        <f>IFERROR(MATCH(47,_自动清单!$AA$4:$AA$2403,0),"")</f>
        <v/>
      </c>
      <c r="AI52" s="2" t="str">
        <f t="shared" si="0"/>
        <v/>
      </c>
      <c r="AJ52" s="2">
        <f>IF(AI52="",0,IF(MATCH(AI52,AI$6:AI$125,0)=47,1,0))</f>
        <v>0</v>
      </c>
      <c r="AK52" s="2">
        <f t="shared" si="1"/>
        <v>3</v>
      </c>
    </row>
    <row r="53" ht="18" customHeight="1" spans="1:37">
      <c r="A53" s="87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88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88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88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89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88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90" t="str">
        <f>IF($AE53="","",IF($AE53&lt;=1200,IF(INDEX(对接源_01水果!$J$4:$J$1203,$AE53)=0,"",INDEX(对接源_01水果!$J$4:$J$1203,$AE53)),IF(INDEX(对接源_02物料!$J$4:$J$1203,$AE53-1200)=0,"",INDEX(对接源_02物料!$J$4:$J$1203,$AE53-1200))))</f>
        <v/>
      </c>
      <c r="H53" s="88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I53" s="88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J53" s="91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IFERROR(MATCH(48,_自动清单!$AA$4:$AA$2403,0),"")</f>
        <v/>
      </c>
      <c r="AI53" s="2" t="str">
        <f t="shared" si="0"/>
        <v/>
      </c>
      <c r="AJ53" s="2">
        <f>IF(AI53="",0,IF(MATCH(AI53,AI$6:AI$125,0)=48,1,0))</f>
        <v>0</v>
      </c>
      <c r="AK53" s="2">
        <f t="shared" si="1"/>
        <v>3</v>
      </c>
    </row>
    <row r="54" ht="18" customHeight="1" spans="1:37">
      <c r="A54" s="52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53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53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53" t="str">
        <f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54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53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5" t="str">
        <f>IF($AE54="","",IF($AE54&lt;=1200,IF(INDEX(对接源_01水果!$J$4:$J$1203,$AE54)=0,"",INDEX(对接源_01水果!$J$4:$J$1203,$AE54)),IF(INDEX(对接源_02物料!$J$4:$J$1203,$AE54-1200)=0,"",INDEX(对接源_02物料!$J$4:$J$1203,$AE54-1200))))</f>
        <v/>
      </c>
      <c r="H54" s="53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I54" s="53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J54" s="56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IFERROR(MATCH(49,_自动清单!$AA$4:$AA$2403,0),"")</f>
        <v/>
      </c>
      <c r="AI54" s="2" t="str">
        <f t="shared" si="0"/>
        <v/>
      </c>
      <c r="AJ54" s="2">
        <f>IF(AI54="",0,IF(MATCH(AI54,AI$6:AI$125,0)=49,1,0))</f>
        <v>0</v>
      </c>
      <c r="AK54" s="2">
        <f t="shared" si="1"/>
        <v>3</v>
      </c>
    </row>
    <row r="55" ht="18" customHeight="1" spans="1:37">
      <c r="A55" s="87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88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88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88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89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88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90" t="str">
        <f>IF($AE55="","",IF($AE55&lt;=1200,IF(INDEX(对接源_01水果!$J$4:$J$1203,$AE55)=0,"",INDEX(对接源_01水果!$J$4:$J$1203,$AE55)),IF(INDEX(对接源_02物料!$J$4:$J$1203,$AE55-1200)=0,"",INDEX(对接源_02物料!$J$4:$J$1203,$AE55-1200))))</f>
        <v/>
      </c>
      <c r="H55" s="88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I55" s="88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J55" s="91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IFERROR(MATCH(50,_自动清单!$AA$4:$AA$2403,0),"")</f>
        <v/>
      </c>
      <c r="AI55" s="2" t="str">
        <f t="shared" si="0"/>
        <v/>
      </c>
      <c r="AJ55" s="2">
        <f>IF(AI55="",0,IF(MATCH(AI55,AI$6:AI$125,0)=50,1,0))</f>
        <v>0</v>
      </c>
      <c r="AK55" s="2">
        <f t="shared" si="1"/>
        <v>3</v>
      </c>
    </row>
    <row r="56" ht="18" customHeight="1" spans="1:37">
      <c r="A56" s="52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3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53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53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54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53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5" t="str">
        <f>IF($AE56="","",IF($AE56&lt;=1200,IF(INDEX(对接源_01水果!$J$4:$J$1203,$AE56)=0,"",INDEX(对接源_01水果!$J$4:$J$1203,$AE56)),IF(INDEX(对接源_02物料!$J$4:$J$1203,$AE56-1200)=0,"",INDEX(对接源_02物料!$J$4:$J$1203,$AE56-1200))))</f>
        <v/>
      </c>
      <c r="H56" s="53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I56" s="53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J56" s="56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IFERROR(MATCH(51,_自动清单!$AA$4:$AA$2403,0),"")</f>
        <v/>
      </c>
      <c r="AI56" s="2" t="str">
        <f t="shared" si="0"/>
        <v/>
      </c>
      <c r="AJ56" s="2">
        <f>IF(AI56="",0,IF(MATCH(AI56,AI$6:AI$125,0)=51,1,0))</f>
        <v>0</v>
      </c>
      <c r="AK56" s="2">
        <f t="shared" si="1"/>
        <v>3</v>
      </c>
    </row>
    <row r="57" ht="18" customHeight="1" spans="1:37">
      <c r="A57" s="87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88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88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88" t="str">
        <f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89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88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90" t="str">
        <f>IF($AE57="","",IF($AE57&lt;=1200,IF(INDEX(对接源_01水果!$J$4:$J$1203,$AE57)=0,"",INDEX(对接源_01水果!$J$4:$J$1203,$AE57)),IF(INDEX(对接源_02物料!$J$4:$J$1203,$AE57-1200)=0,"",INDEX(对接源_02物料!$J$4:$J$1203,$AE57-1200))))</f>
        <v/>
      </c>
      <c r="H57" s="88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I57" s="88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J57" s="91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IFERROR(MATCH(52,_自动清单!$AA$4:$AA$2403,0),"")</f>
        <v/>
      </c>
      <c r="AI57" s="2" t="str">
        <f t="shared" si="0"/>
        <v/>
      </c>
      <c r="AJ57" s="2">
        <f>IF(AI57="",0,IF(MATCH(AI57,AI$6:AI$125,0)=52,1,0))</f>
        <v>0</v>
      </c>
      <c r="AK57" s="2">
        <f t="shared" si="1"/>
        <v>3</v>
      </c>
    </row>
    <row r="58" ht="18" customHeight="1" spans="1:37">
      <c r="A58" s="52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3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53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53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54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53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5" t="str">
        <f>IF($AE58="","",IF($AE58&lt;=1200,IF(INDEX(对接源_01水果!$J$4:$J$1203,$AE58)=0,"",INDEX(对接源_01水果!$J$4:$J$1203,$AE58)),IF(INDEX(对接源_02物料!$J$4:$J$1203,$AE58-1200)=0,"",INDEX(对接源_02物料!$J$4:$J$1203,$AE58-1200))))</f>
        <v/>
      </c>
      <c r="H58" s="53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I58" s="53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J58" s="56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IFERROR(MATCH(53,_自动清单!$AA$4:$AA$2403,0),"")</f>
        <v/>
      </c>
      <c r="AI58" s="2" t="str">
        <f t="shared" si="0"/>
        <v/>
      </c>
      <c r="AJ58" s="2">
        <f>IF(AI58="",0,IF(MATCH(AI58,AI$6:AI$125,0)=53,1,0))</f>
        <v>0</v>
      </c>
      <c r="AK58" s="2">
        <f t="shared" si="1"/>
        <v>3</v>
      </c>
    </row>
    <row r="59" ht="18" customHeight="1" spans="1:37">
      <c r="A59" s="87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88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88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88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89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88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90" t="str">
        <f>IF($AE59="","",IF($AE59&lt;=1200,IF(INDEX(对接源_01水果!$J$4:$J$1203,$AE59)=0,"",INDEX(对接源_01水果!$J$4:$J$1203,$AE59)),IF(INDEX(对接源_02物料!$J$4:$J$1203,$AE59-1200)=0,"",INDEX(对接源_02物料!$J$4:$J$1203,$AE59-1200))))</f>
        <v/>
      </c>
      <c r="H59" s="88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I59" s="88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J59" s="91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IFERROR(MATCH(54,_自动清单!$AA$4:$AA$2403,0),"")</f>
        <v/>
      </c>
      <c r="AI59" s="2" t="str">
        <f t="shared" si="0"/>
        <v/>
      </c>
      <c r="AJ59" s="2">
        <f>IF(AI59="",0,IF(MATCH(AI59,AI$6:AI$125,0)=54,1,0))</f>
        <v>0</v>
      </c>
      <c r="AK59" s="2">
        <f t="shared" si="1"/>
        <v>3</v>
      </c>
    </row>
    <row r="60" ht="18" customHeight="1" spans="1:37">
      <c r="A60" s="52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3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53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53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54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53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5" t="str">
        <f>IF($AE60="","",IF($AE60&lt;=1200,IF(INDEX(对接源_01水果!$J$4:$J$1203,$AE60)=0,"",INDEX(对接源_01水果!$J$4:$J$1203,$AE60)),IF(INDEX(对接源_02物料!$J$4:$J$1203,$AE60-1200)=0,"",INDEX(对接源_02物料!$J$4:$J$1203,$AE60-1200))))</f>
        <v/>
      </c>
      <c r="H60" s="53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I60" s="53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J60" s="56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IFERROR(MATCH(55,_自动清单!$AA$4:$AA$2403,0),"")</f>
        <v/>
      </c>
      <c r="AI60" s="2" t="str">
        <f t="shared" si="0"/>
        <v/>
      </c>
      <c r="AJ60" s="2">
        <f>IF(AI60="",0,IF(MATCH(AI60,AI$6:AI$125,0)=55,1,0))</f>
        <v>0</v>
      </c>
      <c r="AK60" s="2">
        <f t="shared" si="1"/>
        <v>3</v>
      </c>
    </row>
    <row r="61" ht="18" customHeight="1" spans="1:37">
      <c r="A61" s="87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88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88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88" t="str">
        <f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89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88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90" t="str">
        <f>IF($AE61="","",IF($AE61&lt;=1200,IF(INDEX(对接源_01水果!$J$4:$J$1203,$AE61)=0,"",INDEX(对接源_01水果!$J$4:$J$1203,$AE61)),IF(INDEX(对接源_02物料!$J$4:$J$1203,$AE61-1200)=0,"",INDEX(对接源_02物料!$J$4:$J$1203,$AE61-1200))))</f>
        <v/>
      </c>
      <c r="H61" s="88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I61" s="88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J61" s="91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IFERROR(MATCH(56,_自动清单!$AA$4:$AA$2403,0),"")</f>
        <v/>
      </c>
      <c r="AI61" s="2" t="str">
        <f t="shared" si="0"/>
        <v/>
      </c>
      <c r="AJ61" s="2">
        <f>IF(AI61="",0,IF(MATCH(AI61,AI$6:AI$125,0)=56,1,0))</f>
        <v>0</v>
      </c>
      <c r="AK61" s="2">
        <f t="shared" si="1"/>
        <v>3</v>
      </c>
    </row>
    <row r="62" ht="18" customHeight="1" spans="1:37">
      <c r="A62" s="52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3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53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53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54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53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5" t="str">
        <f>IF($AE62="","",IF($AE62&lt;=1200,IF(INDEX(对接源_01水果!$J$4:$J$1203,$AE62)=0,"",INDEX(对接源_01水果!$J$4:$J$1203,$AE62)),IF(INDEX(对接源_02物料!$J$4:$J$1203,$AE62-1200)=0,"",INDEX(对接源_02物料!$J$4:$J$1203,$AE62-1200))))</f>
        <v/>
      </c>
      <c r="H62" s="53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I62" s="53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J62" s="56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IFERROR(MATCH(57,_自动清单!$AA$4:$AA$2403,0),"")</f>
        <v/>
      </c>
      <c r="AI62" s="2" t="str">
        <f t="shared" si="0"/>
        <v/>
      </c>
      <c r="AJ62" s="2">
        <f>IF(AI62="",0,IF(MATCH(AI62,AI$6:AI$125,0)=57,1,0))</f>
        <v>0</v>
      </c>
      <c r="AK62" s="2">
        <f t="shared" si="1"/>
        <v>3</v>
      </c>
    </row>
    <row r="63" ht="18" customHeight="1" spans="1:37">
      <c r="A63" s="87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88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88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88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89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88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90" t="str">
        <f>IF($AE63="","",IF($AE63&lt;=1200,IF(INDEX(对接源_01水果!$J$4:$J$1203,$AE63)=0,"",INDEX(对接源_01水果!$J$4:$J$1203,$AE63)),IF(INDEX(对接源_02物料!$J$4:$J$1203,$AE63-1200)=0,"",INDEX(对接源_02物料!$J$4:$J$1203,$AE63-1200))))</f>
        <v/>
      </c>
      <c r="H63" s="88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I63" s="88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J63" s="91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IFERROR(MATCH(58,_自动清单!$AA$4:$AA$2403,0),"")</f>
        <v/>
      </c>
      <c r="AI63" s="2" t="str">
        <f t="shared" si="0"/>
        <v/>
      </c>
      <c r="AJ63" s="2">
        <f>IF(AI63="",0,IF(MATCH(AI63,AI$6:AI$125,0)=58,1,0))</f>
        <v>0</v>
      </c>
      <c r="AK63" s="2">
        <f t="shared" si="1"/>
        <v>3</v>
      </c>
    </row>
    <row r="64" ht="18" customHeight="1" spans="1:37">
      <c r="A64" s="52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3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53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53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54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53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5" t="str">
        <f>IF($AE64="","",IF($AE64&lt;=1200,IF(INDEX(对接源_01水果!$J$4:$J$1203,$AE64)=0,"",INDEX(对接源_01水果!$J$4:$J$1203,$AE64)),IF(INDEX(对接源_02物料!$J$4:$J$1203,$AE64-1200)=0,"",INDEX(对接源_02物料!$J$4:$J$1203,$AE64-1200))))</f>
        <v/>
      </c>
      <c r="H64" s="53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I64" s="53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J64" s="56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IFERROR(MATCH(59,_自动清单!$AA$4:$AA$2403,0),"")</f>
        <v/>
      </c>
      <c r="AI64" s="2" t="str">
        <f t="shared" si="0"/>
        <v/>
      </c>
      <c r="AJ64" s="2">
        <f>IF(AI64="",0,IF(MATCH(AI64,AI$6:AI$125,0)=59,1,0))</f>
        <v>0</v>
      </c>
      <c r="AK64" s="2">
        <f t="shared" si="1"/>
        <v>3</v>
      </c>
    </row>
    <row r="65" ht="18" customHeight="1" spans="1:37">
      <c r="A65" s="87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88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88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88" t="str">
        <f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89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88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90" t="str">
        <f>IF($AE65="","",IF($AE65&lt;=1200,IF(INDEX(对接源_01水果!$J$4:$J$1203,$AE65)=0,"",INDEX(对接源_01水果!$J$4:$J$1203,$AE65)),IF(INDEX(对接源_02物料!$J$4:$J$1203,$AE65-1200)=0,"",INDEX(对接源_02物料!$J$4:$J$1203,$AE65-1200))))</f>
        <v/>
      </c>
      <c r="H65" s="88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I65" s="88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J65" s="91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IFERROR(MATCH(60,_自动清单!$AA$4:$AA$2403,0),"")</f>
        <v/>
      </c>
      <c r="AI65" s="2" t="str">
        <f t="shared" si="0"/>
        <v/>
      </c>
      <c r="AJ65" s="2">
        <f>IF(AI65="",0,IF(MATCH(AI65,AI$6:AI$125,0)=60,1,0))</f>
        <v>0</v>
      </c>
      <c r="AK65" s="2">
        <f t="shared" si="1"/>
        <v>3</v>
      </c>
    </row>
    <row r="66" ht="18" customHeight="1" spans="1:37">
      <c r="A66" s="52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3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53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53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54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53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5" t="str">
        <f>IF($AE66="","",IF($AE66&lt;=1200,IF(INDEX(对接源_01水果!$J$4:$J$1203,$AE66)=0,"",INDEX(对接源_01水果!$J$4:$J$1203,$AE66)),IF(INDEX(对接源_02物料!$J$4:$J$1203,$AE66-1200)=0,"",INDEX(对接源_02物料!$J$4:$J$1203,$AE66-1200))))</f>
        <v/>
      </c>
      <c r="H66" s="53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I66" s="53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J66" s="56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IFERROR(MATCH(61,_自动清单!$AA$4:$AA$2403,0),"")</f>
        <v/>
      </c>
      <c r="AI66" s="2" t="str">
        <f t="shared" si="0"/>
        <v/>
      </c>
      <c r="AJ66" s="2">
        <f>IF(AI66="",0,IF(MATCH(AI66,AI$6:AI$125,0)=61,1,0))</f>
        <v>0</v>
      </c>
      <c r="AK66" s="2">
        <f t="shared" si="1"/>
        <v>3</v>
      </c>
    </row>
    <row r="67" ht="18" customHeight="1" spans="1:37">
      <c r="A67" s="87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88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88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88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89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88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90" t="str">
        <f>IF($AE67="","",IF($AE67&lt;=1200,IF(INDEX(对接源_01水果!$J$4:$J$1203,$AE67)=0,"",INDEX(对接源_01水果!$J$4:$J$1203,$AE67)),IF(INDEX(对接源_02物料!$J$4:$J$1203,$AE67-1200)=0,"",INDEX(对接源_02物料!$J$4:$J$1203,$AE67-1200))))</f>
        <v/>
      </c>
      <c r="H67" s="88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I67" s="88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J67" s="91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IFERROR(MATCH(62,_自动清单!$AA$4:$AA$2403,0),"")</f>
        <v/>
      </c>
      <c r="AI67" s="2" t="str">
        <f t="shared" si="0"/>
        <v/>
      </c>
      <c r="AJ67" s="2">
        <f>IF(AI67="",0,IF(MATCH(AI67,AI$6:AI$125,0)=62,1,0))</f>
        <v>0</v>
      </c>
      <c r="AK67" s="2">
        <f t="shared" si="1"/>
        <v>3</v>
      </c>
    </row>
    <row r="68" ht="18" customHeight="1" spans="1:37">
      <c r="A68" s="52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3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53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53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54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53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5" t="str">
        <f>IF($AE68="","",IF($AE68&lt;=1200,IF(INDEX(对接源_01水果!$J$4:$J$1203,$AE68)=0,"",INDEX(对接源_01水果!$J$4:$J$1203,$AE68)),IF(INDEX(对接源_02物料!$J$4:$J$1203,$AE68-1200)=0,"",INDEX(对接源_02物料!$J$4:$J$1203,$AE68-1200))))</f>
        <v/>
      </c>
      <c r="H68" s="53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I68" s="53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J68" s="56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IFERROR(MATCH(63,_自动清单!$AA$4:$AA$2403,0),"")</f>
        <v/>
      </c>
      <c r="AI68" s="2" t="str">
        <f t="shared" si="0"/>
        <v/>
      </c>
      <c r="AJ68" s="2">
        <f>IF(AI68="",0,IF(MATCH(AI68,AI$6:AI$125,0)=63,1,0))</f>
        <v>0</v>
      </c>
      <c r="AK68" s="2">
        <f t="shared" si="1"/>
        <v>3</v>
      </c>
    </row>
    <row r="69" ht="18" customHeight="1" spans="1:37">
      <c r="A69" s="87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88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88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88" t="str">
        <f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89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88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90" t="str">
        <f>IF($AE69="","",IF($AE69&lt;=1200,IF(INDEX(对接源_01水果!$J$4:$J$1203,$AE69)=0,"",INDEX(对接源_01水果!$J$4:$J$1203,$AE69)),IF(INDEX(对接源_02物料!$J$4:$J$1203,$AE69-1200)=0,"",INDEX(对接源_02物料!$J$4:$J$1203,$AE69-1200))))</f>
        <v/>
      </c>
      <c r="H69" s="88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I69" s="88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J69" s="91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IFERROR(MATCH(64,_自动清单!$AA$4:$AA$2403,0),"")</f>
        <v/>
      </c>
      <c r="AI69" s="2" t="str">
        <f t="shared" si="0"/>
        <v/>
      </c>
      <c r="AJ69" s="2">
        <f>IF(AI69="",0,IF(MATCH(AI69,AI$6:AI$125,0)=64,1,0))</f>
        <v>0</v>
      </c>
      <c r="AK69" s="2">
        <f t="shared" si="1"/>
        <v>3</v>
      </c>
    </row>
    <row r="70" ht="18" customHeight="1" spans="1:37">
      <c r="A70" s="52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3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53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53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54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53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5" t="str">
        <f>IF($AE70="","",IF($AE70&lt;=1200,IF(INDEX(对接源_01水果!$J$4:$J$1203,$AE70)=0,"",INDEX(对接源_01水果!$J$4:$J$1203,$AE70)),IF(INDEX(对接源_02物料!$J$4:$J$1203,$AE70-1200)=0,"",INDEX(对接源_02物料!$J$4:$J$1203,$AE70-1200))))</f>
        <v/>
      </c>
      <c r="H70" s="53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I70" s="53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J70" s="56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IFERROR(MATCH(65,_自动清单!$AA$4:$AA$2403,0),"")</f>
        <v/>
      </c>
      <c r="AI70" s="2" t="str">
        <f t="shared" ref="AI70:AI125" si="6">IF($D70="","",$D70)</f>
        <v/>
      </c>
      <c r="AJ70" s="2">
        <f>IF(AI70="",0,IF(MATCH(AI70,AI$6:AI$125,0)=65,1,0))</f>
        <v>0</v>
      </c>
      <c r="AK70" s="2">
        <f t="shared" ref="AK70:AK125" si="7">N(AK69)+AJ70</f>
        <v>3</v>
      </c>
    </row>
    <row r="71" ht="18" customHeight="1" spans="1:37">
      <c r="A71" s="87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88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88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88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89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88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90" t="str">
        <f>IF($AE71="","",IF($AE71&lt;=1200,IF(INDEX(对接源_01水果!$J$4:$J$1203,$AE71)=0,"",INDEX(对接源_01水果!$J$4:$J$1203,$AE71)),IF(INDEX(对接源_02物料!$J$4:$J$1203,$AE71-1200)=0,"",INDEX(对接源_02物料!$J$4:$J$1203,$AE71-1200))))</f>
        <v/>
      </c>
      <c r="H71" s="88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I71" s="88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J71" s="91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IFERROR(MATCH(66,_自动清单!$AA$4:$AA$2403,0),"")</f>
        <v/>
      </c>
      <c r="AI71" s="2" t="str">
        <f t="shared" si="6"/>
        <v/>
      </c>
      <c r="AJ71" s="2">
        <f>IF(AI71="",0,IF(MATCH(AI71,AI$6:AI$125,0)=66,1,0))</f>
        <v>0</v>
      </c>
      <c r="AK71" s="2">
        <f t="shared" si="7"/>
        <v>3</v>
      </c>
    </row>
    <row r="72" ht="18" customHeight="1" spans="1:37">
      <c r="A72" s="52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3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53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53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54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53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5" t="str">
        <f>IF($AE72="","",IF($AE72&lt;=1200,IF(INDEX(对接源_01水果!$J$4:$J$1203,$AE72)=0,"",INDEX(对接源_01水果!$J$4:$J$1203,$AE72)),IF(INDEX(对接源_02物料!$J$4:$J$1203,$AE72-1200)=0,"",INDEX(对接源_02物料!$J$4:$J$1203,$AE72-1200))))</f>
        <v/>
      </c>
      <c r="H72" s="53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I72" s="53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J72" s="56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IFERROR(MATCH(67,_自动清单!$AA$4:$AA$2403,0),"")</f>
        <v/>
      </c>
      <c r="AI72" s="2" t="str">
        <f t="shared" si="6"/>
        <v/>
      </c>
      <c r="AJ72" s="2">
        <f>IF(AI72="",0,IF(MATCH(AI72,AI$6:AI$125,0)=67,1,0))</f>
        <v>0</v>
      </c>
      <c r="AK72" s="2">
        <f t="shared" si="7"/>
        <v>3</v>
      </c>
    </row>
    <row r="73" ht="18" customHeight="1" spans="1:37">
      <c r="A73" s="87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88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88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88" t="str">
        <f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89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88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90" t="str">
        <f>IF($AE73="","",IF($AE73&lt;=1200,IF(INDEX(对接源_01水果!$J$4:$J$1203,$AE73)=0,"",INDEX(对接源_01水果!$J$4:$J$1203,$AE73)),IF(INDEX(对接源_02物料!$J$4:$J$1203,$AE73-1200)=0,"",INDEX(对接源_02物料!$J$4:$J$1203,$AE73-1200))))</f>
        <v/>
      </c>
      <c r="H73" s="88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I73" s="88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J73" s="91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IFERROR(MATCH(68,_自动清单!$AA$4:$AA$2403,0),"")</f>
        <v/>
      </c>
      <c r="AI73" s="2" t="str">
        <f t="shared" si="6"/>
        <v/>
      </c>
      <c r="AJ73" s="2">
        <f>IF(AI73="",0,IF(MATCH(AI73,AI$6:AI$125,0)=68,1,0))</f>
        <v>0</v>
      </c>
      <c r="AK73" s="2">
        <f t="shared" si="7"/>
        <v>3</v>
      </c>
    </row>
    <row r="74" ht="18" customHeight="1" spans="1:37">
      <c r="A74" s="52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3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53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53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54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53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5" t="str">
        <f>IF($AE74="","",IF($AE74&lt;=1200,IF(INDEX(对接源_01水果!$J$4:$J$1203,$AE74)=0,"",INDEX(对接源_01水果!$J$4:$J$1203,$AE74)),IF(INDEX(对接源_02物料!$J$4:$J$1203,$AE74-1200)=0,"",INDEX(对接源_02物料!$J$4:$J$1203,$AE74-1200))))</f>
        <v/>
      </c>
      <c r="H74" s="53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I74" s="53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J74" s="56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IFERROR(MATCH(69,_自动清单!$AA$4:$AA$2403,0),"")</f>
        <v/>
      </c>
      <c r="AI74" s="2" t="str">
        <f t="shared" si="6"/>
        <v/>
      </c>
      <c r="AJ74" s="2">
        <f>IF(AI74="",0,IF(MATCH(AI74,AI$6:AI$125,0)=69,1,0))</f>
        <v>0</v>
      </c>
      <c r="AK74" s="2">
        <f t="shared" si="7"/>
        <v>3</v>
      </c>
    </row>
    <row r="75" ht="18" customHeight="1" spans="1:37">
      <c r="A75" s="87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88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88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88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89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88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90" t="str">
        <f>IF($AE75="","",IF($AE75&lt;=1200,IF(INDEX(对接源_01水果!$J$4:$J$1203,$AE75)=0,"",INDEX(对接源_01水果!$J$4:$J$1203,$AE75)),IF(INDEX(对接源_02物料!$J$4:$J$1203,$AE75-1200)=0,"",INDEX(对接源_02物料!$J$4:$J$1203,$AE75-1200))))</f>
        <v/>
      </c>
      <c r="H75" s="88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I75" s="88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J75" s="91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IFERROR(MATCH(70,_自动清单!$AA$4:$AA$2403,0),"")</f>
        <v/>
      </c>
      <c r="AI75" s="2" t="str">
        <f t="shared" si="6"/>
        <v/>
      </c>
      <c r="AJ75" s="2">
        <f>IF(AI75="",0,IF(MATCH(AI75,AI$6:AI$125,0)=70,1,0))</f>
        <v>0</v>
      </c>
      <c r="AK75" s="2">
        <f t="shared" si="7"/>
        <v>3</v>
      </c>
    </row>
    <row r="76" ht="18" customHeight="1" spans="1:37">
      <c r="A76" s="52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3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53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53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54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53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5" t="str">
        <f>IF($AE76="","",IF($AE76&lt;=1200,IF(INDEX(对接源_01水果!$J$4:$J$1203,$AE76)=0,"",INDEX(对接源_01水果!$J$4:$J$1203,$AE76)),IF(INDEX(对接源_02物料!$J$4:$J$1203,$AE76-1200)=0,"",INDEX(对接源_02物料!$J$4:$J$1203,$AE76-1200))))</f>
        <v/>
      </c>
      <c r="H76" s="53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I76" s="53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J76" s="56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IFERROR(MATCH(71,_自动清单!$AA$4:$AA$2403,0),"")</f>
        <v/>
      </c>
      <c r="AI76" s="2" t="str">
        <f t="shared" si="6"/>
        <v/>
      </c>
      <c r="AJ76" s="2">
        <f>IF(AI76="",0,IF(MATCH(AI76,AI$6:AI$125,0)=71,1,0))</f>
        <v>0</v>
      </c>
      <c r="AK76" s="2">
        <f t="shared" si="7"/>
        <v>3</v>
      </c>
    </row>
    <row r="77" ht="18" customHeight="1" spans="1:37">
      <c r="A77" s="87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88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88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88" t="str">
        <f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89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88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90" t="str">
        <f>IF($AE77="","",IF($AE77&lt;=1200,IF(INDEX(对接源_01水果!$J$4:$J$1203,$AE77)=0,"",INDEX(对接源_01水果!$J$4:$J$1203,$AE77)),IF(INDEX(对接源_02物料!$J$4:$J$1203,$AE77-1200)=0,"",INDEX(对接源_02物料!$J$4:$J$1203,$AE77-1200))))</f>
        <v/>
      </c>
      <c r="H77" s="88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I77" s="88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J77" s="91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IFERROR(MATCH(72,_自动清单!$AA$4:$AA$2403,0),"")</f>
        <v/>
      </c>
      <c r="AI77" s="2" t="str">
        <f t="shared" si="6"/>
        <v/>
      </c>
      <c r="AJ77" s="2">
        <f>IF(AI77="",0,IF(MATCH(AI77,AI$6:AI$125,0)=72,1,0))</f>
        <v>0</v>
      </c>
      <c r="AK77" s="2">
        <f t="shared" si="7"/>
        <v>3</v>
      </c>
    </row>
    <row r="78" ht="18" customHeight="1" spans="1:37">
      <c r="A78" s="52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3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53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53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54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53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5" t="str">
        <f>IF($AE78="","",IF($AE78&lt;=1200,IF(INDEX(对接源_01水果!$J$4:$J$1203,$AE78)=0,"",INDEX(对接源_01水果!$J$4:$J$1203,$AE78)),IF(INDEX(对接源_02物料!$J$4:$J$1203,$AE78-1200)=0,"",INDEX(对接源_02物料!$J$4:$J$1203,$AE78-1200))))</f>
        <v/>
      </c>
      <c r="H78" s="53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I78" s="53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J78" s="56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IFERROR(MATCH(73,_自动清单!$AA$4:$AA$2403,0),"")</f>
        <v/>
      </c>
      <c r="AI78" s="2" t="str">
        <f t="shared" si="6"/>
        <v/>
      </c>
      <c r="AJ78" s="2">
        <f>IF(AI78="",0,IF(MATCH(AI78,AI$6:AI$125,0)=73,1,0))</f>
        <v>0</v>
      </c>
      <c r="AK78" s="2">
        <f t="shared" si="7"/>
        <v>3</v>
      </c>
    </row>
    <row r="79" ht="18" customHeight="1" spans="1:37">
      <c r="A79" s="87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88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88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88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89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88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90" t="str">
        <f>IF($AE79="","",IF($AE79&lt;=1200,IF(INDEX(对接源_01水果!$J$4:$J$1203,$AE79)=0,"",INDEX(对接源_01水果!$J$4:$J$1203,$AE79)),IF(INDEX(对接源_02物料!$J$4:$J$1203,$AE79-1200)=0,"",INDEX(对接源_02物料!$J$4:$J$1203,$AE79-1200))))</f>
        <v/>
      </c>
      <c r="H79" s="88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I79" s="88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J79" s="91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IFERROR(MATCH(74,_自动清单!$AA$4:$AA$2403,0),"")</f>
        <v/>
      </c>
      <c r="AI79" s="2" t="str">
        <f t="shared" si="6"/>
        <v/>
      </c>
      <c r="AJ79" s="2">
        <f>IF(AI79="",0,IF(MATCH(AI79,AI$6:AI$125,0)=74,1,0))</f>
        <v>0</v>
      </c>
      <c r="AK79" s="2">
        <f t="shared" si="7"/>
        <v>3</v>
      </c>
    </row>
    <row r="80" ht="18" customHeight="1" spans="1:37">
      <c r="A80" s="52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3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53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53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54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53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5" t="str">
        <f>IF($AE80="","",IF($AE80&lt;=1200,IF(INDEX(对接源_01水果!$J$4:$J$1203,$AE80)=0,"",INDEX(对接源_01水果!$J$4:$J$1203,$AE80)),IF(INDEX(对接源_02物料!$J$4:$J$1203,$AE80-1200)=0,"",INDEX(对接源_02物料!$J$4:$J$1203,$AE80-1200))))</f>
        <v/>
      </c>
      <c r="H80" s="53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I80" s="53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J80" s="56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IFERROR(MATCH(75,_自动清单!$AA$4:$AA$2403,0),"")</f>
        <v/>
      </c>
      <c r="AI80" s="2" t="str">
        <f t="shared" si="6"/>
        <v/>
      </c>
      <c r="AJ80" s="2">
        <f>IF(AI80="",0,IF(MATCH(AI80,AI$6:AI$125,0)=75,1,0))</f>
        <v>0</v>
      </c>
      <c r="AK80" s="2">
        <f t="shared" si="7"/>
        <v>3</v>
      </c>
    </row>
    <row r="81" ht="18" customHeight="1" spans="1:37">
      <c r="A81" s="87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88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88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88" t="str">
        <f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89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88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90" t="str">
        <f>IF($AE81="","",IF($AE81&lt;=1200,IF(INDEX(对接源_01水果!$J$4:$J$1203,$AE81)=0,"",INDEX(对接源_01水果!$J$4:$J$1203,$AE81)),IF(INDEX(对接源_02物料!$J$4:$J$1203,$AE81-1200)=0,"",INDEX(对接源_02物料!$J$4:$J$1203,$AE81-1200))))</f>
        <v/>
      </c>
      <c r="H81" s="88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I81" s="88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J81" s="91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IFERROR(MATCH(76,_自动清单!$AA$4:$AA$2403,0),"")</f>
        <v/>
      </c>
      <c r="AI81" s="2" t="str">
        <f t="shared" si="6"/>
        <v/>
      </c>
      <c r="AJ81" s="2">
        <f>IF(AI81="",0,IF(MATCH(AI81,AI$6:AI$125,0)=76,1,0))</f>
        <v>0</v>
      </c>
      <c r="AK81" s="2">
        <f t="shared" si="7"/>
        <v>3</v>
      </c>
    </row>
    <row r="82" ht="18" customHeight="1" spans="1:37">
      <c r="A82" s="52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3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53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53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54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53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5" t="str">
        <f>IF($AE82="","",IF($AE82&lt;=1200,IF(INDEX(对接源_01水果!$J$4:$J$1203,$AE82)=0,"",INDEX(对接源_01水果!$J$4:$J$1203,$AE82)),IF(INDEX(对接源_02物料!$J$4:$J$1203,$AE82-1200)=0,"",INDEX(对接源_02物料!$J$4:$J$1203,$AE82-1200))))</f>
        <v/>
      </c>
      <c r="H82" s="53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I82" s="53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J82" s="56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IFERROR(MATCH(77,_自动清单!$AA$4:$AA$2403,0),"")</f>
        <v/>
      </c>
      <c r="AI82" s="2" t="str">
        <f t="shared" si="6"/>
        <v/>
      </c>
      <c r="AJ82" s="2">
        <f>IF(AI82="",0,IF(MATCH(AI82,AI$6:AI$125,0)=77,1,0))</f>
        <v>0</v>
      </c>
      <c r="AK82" s="2">
        <f t="shared" si="7"/>
        <v>3</v>
      </c>
    </row>
    <row r="83" ht="18" customHeight="1" spans="1:37">
      <c r="A83" s="87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88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88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88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89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88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90" t="str">
        <f>IF($AE83="","",IF($AE83&lt;=1200,IF(INDEX(对接源_01水果!$J$4:$J$1203,$AE83)=0,"",INDEX(对接源_01水果!$J$4:$J$1203,$AE83)),IF(INDEX(对接源_02物料!$J$4:$J$1203,$AE83-1200)=0,"",INDEX(对接源_02物料!$J$4:$J$1203,$AE83-1200))))</f>
        <v/>
      </c>
      <c r="H83" s="88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I83" s="88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J83" s="91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IFERROR(MATCH(78,_自动清单!$AA$4:$AA$2403,0),"")</f>
        <v/>
      </c>
      <c r="AI83" s="2" t="str">
        <f t="shared" si="6"/>
        <v/>
      </c>
      <c r="AJ83" s="2">
        <f>IF(AI83="",0,IF(MATCH(AI83,AI$6:AI$125,0)=78,1,0))</f>
        <v>0</v>
      </c>
      <c r="AK83" s="2">
        <f t="shared" si="7"/>
        <v>3</v>
      </c>
    </row>
    <row r="84" ht="18" customHeight="1" spans="1:37">
      <c r="A84" s="52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3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53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53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54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53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5" t="str">
        <f>IF($AE84="","",IF($AE84&lt;=1200,IF(INDEX(对接源_01水果!$J$4:$J$1203,$AE84)=0,"",INDEX(对接源_01水果!$J$4:$J$1203,$AE84)),IF(INDEX(对接源_02物料!$J$4:$J$1203,$AE84-1200)=0,"",INDEX(对接源_02物料!$J$4:$J$1203,$AE84-1200))))</f>
        <v/>
      </c>
      <c r="H84" s="53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I84" s="53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J84" s="56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IFERROR(MATCH(79,_自动清单!$AA$4:$AA$2403,0),"")</f>
        <v/>
      </c>
      <c r="AI84" s="2" t="str">
        <f t="shared" si="6"/>
        <v/>
      </c>
      <c r="AJ84" s="2">
        <f>IF(AI84="",0,IF(MATCH(AI84,AI$6:AI$125,0)=79,1,0))</f>
        <v>0</v>
      </c>
      <c r="AK84" s="2">
        <f t="shared" si="7"/>
        <v>3</v>
      </c>
    </row>
    <row r="85" ht="18" customHeight="1" spans="1:37">
      <c r="A85" s="87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88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88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88" t="str">
        <f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89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88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90" t="str">
        <f>IF($AE85="","",IF($AE85&lt;=1200,IF(INDEX(对接源_01水果!$J$4:$J$1203,$AE85)=0,"",INDEX(对接源_01水果!$J$4:$J$1203,$AE85)),IF(INDEX(对接源_02物料!$J$4:$J$1203,$AE85-1200)=0,"",INDEX(对接源_02物料!$J$4:$J$1203,$AE85-1200))))</f>
        <v/>
      </c>
      <c r="H85" s="88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I85" s="88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J85" s="91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IFERROR(MATCH(80,_自动清单!$AA$4:$AA$2403,0),"")</f>
        <v/>
      </c>
      <c r="AI85" s="2" t="str">
        <f t="shared" si="6"/>
        <v/>
      </c>
      <c r="AJ85" s="2">
        <f>IF(AI85="",0,IF(MATCH(AI85,AI$6:AI$125,0)=80,1,0))</f>
        <v>0</v>
      </c>
      <c r="AK85" s="2">
        <f t="shared" si="7"/>
        <v>3</v>
      </c>
    </row>
    <row r="86" ht="18" customHeight="1" spans="1:37">
      <c r="A86" s="52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3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53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53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54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53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5" t="str">
        <f>IF($AE86="","",IF($AE86&lt;=1200,IF(INDEX(对接源_01水果!$J$4:$J$1203,$AE86)=0,"",INDEX(对接源_01水果!$J$4:$J$1203,$AE86)),IF(INDEX(对接源_02物料!$J$4:$J$1203,$AE86-1200)=0,"",INDEX(对接源_02物料!$J$4:$J$1203,$AE86-1200))))</f>
        <v/>
      </c>
      <c r="H86" s="53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I86" s="53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J86" s="56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IFERROR(MATCH(81,_自动清单!$AA$4:$AA$2403,0),"")</f>
        <v/>
      </c>
      <c r="AI86" s="2" t="str">
        <f t="shared" si="6"/>
        <v/>
      </c>
      <c r="AJ86" s="2">
        <f>IF(AI86="",0,IF(MATCH(AI86,AI$6:AI$125,0)=81,1,0))</f>
        <v>0</v>
      </c>
      <c r="AK86" s="2">
        <f t="shared" si="7"/>
        <v>3</v>
      </c>
    </row>
    <row r="87" ht="18" customHeight="1" spans="1:37">
      <c r="A87" s="87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88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88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88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89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88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90" t="str">
        <f>IF($AE87="","",IF($AE87&lt;=1200,IF(INDEX(对接源_01水果!$J$4:$J$1203,$AE87)=0,"",INDEX(对接源_01水果!$J$4:$J$1203,$AE87)),IF(INDEX(对接源_02物料!$J$4:$J$1203,$AE87-1200)=0,"",INDEX(对接源_02物料!$J$4:$J$1203,$AE87-1200))))</f>
        <v/>
      </c>
      <c r="H87" s="88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I87" s="88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J87" s="91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IFERROR(MATCH(82,_自动清单!$AA$4:$AA$2403,0),"")</f>
        <v/>
      </c>
      <c r="AI87" s="2" t="str">
        <f t="shared" si="6"/>
        <v/>
      </c>
      <c r="AJ87" s="2">
        <f>IF(AI87="",0,IF(MATCH(AI87,AI$6:AI$125,0)=82,1,0))</f>
        <v>0</v>
      </c>
      <c r="AK87" s="2">
        <f t="shared" si="7"/>
        <v>3</v>
      </c>
    </row>
    <row r="88" ht="18" customHeight="1" spans="1:37">
      <c r="A88" s="52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3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53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53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54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53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5" t="str">
        <f>IF($AE88="","",IF($AE88&lt;=1200,IF(INDEX(对接源_01水果!$J$4:$J$1203,$AE88)=0,"",INDEX(对接源_01水果!$J$4:$J$1203,$AE88)),IF(INDEX(对接源_02物料!$J$4:$J$1203,$AE88-1200)=0,"",INDEX(对接源_02物料!$J$4:$J$1203,$AE88-1200))))</f>
        <v/>
      </c>
      <c r="H88" s="53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I88" s="53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J88" s="56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IFERROR(MATCH(83,_自动清单!$AA$4:$AA$2403,0),"")</f>
        <v/>
      </c>
      <c r="AI88" s="2" t="str">
        <f t="shared" si="6"/>
        <v/>
      </c>
      <c r="AJ88" s="2">
        <f>IF(AI88="",0,IF(MATCH(AI88,AI$6:AI$125,0)=83,1,0))</f>
        <v>0</v>
      </c>
      <c r="AK88" s="2">
        <f t="shared" si="7"/>
        <v>3</v>
      </c>
    </row>
    <row r="89" ht="18" customHeight="1" spans="1:37">
      <c r="A89" s="87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88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88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88" t="str">
        <f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89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88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90" t="str">
        <f>IF($AE89="","",IF($AE89&lt;=1200,IF(INDEX(对接源_01水果!$J$4:$J$1203,$AE89)=0,"",INDEX(对接源_01水果!$J$4:$J$1203,$AE89)),IF(INDEX(对接源_02物料!$J$4:$J$1203,$AE89-1200)=0,"",INDEX(对接源_02物料!$J$4:$J$1203,$AE89-1200))))</f>
        <v/>
      </c>
      <c r="H89" s="88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I89" s="88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J89" s="91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IFERROR(MATCH(84,_自动清单!$AA$4:$AA$2403,0),"")</f>
        <v/>
      </c>
      <c r="AI89" s="2" t="str">
        <f t="shared" si="6"/>
        <v/>
      </c>
      <c r="AJ89" s="2">
        <f>IF(AI89="",0,IF(MATCH(AI89,AI$6:AI$125,0)=84,1,0))</f>
        <v>0</v>
      </c>
      <c r="AK89" s="2">
        <f t="shared" si="7"/>
        <v>3</v>
      </c>
    </row>
    <row r="90" ht="18" customHeight="1" spans="1:37">
      <c r="A90" s="52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3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53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53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54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53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5" t="str">
        <f>IF($AE90="","",IF($AE90&lt;=1200,IF(INDEX(对接源_01水果!$J$4:$J$1203,$AE90)=0,"",INDEX(对接源_01水果!$J$4:$J$1203,$AE90)),IF(INDEX(对接源_02物料!$J$4:$J$1203,$AE90-1200)=0,"",INDEX(对接源_02物料!$J$4:$J$1203,$AE90-1200))))</f>
        <v/>
      </c>
      <c r="H90" s="53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I90" s="53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J90" s="56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IFERROR(MATCH(85,_自动清单!$AA$4:$AA$2403,0),"")</f>
        <v/>
      </c>
      <c r="AI90" s="2" t="str">
        <f t="shared" si="6"/>
        <v/>
      </c>
      <c r="AJ90" s="2">
        <f>IF(AI90="",0,IF(MATCH(AI90,AI$6:AI$125,0)=85,1,0))</f>
        <v>0</v>
      </c>
      <c r="AK90" s="2">
        <f t="shared" si="7"/>
        <v>3</v>
      </c>
    </row>
    <row r="91" ht="18" customHeight="1" spans="1:37">
      <c r="A91" s="87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88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88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88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89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88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90" t="str">
        <f>IF($AE91="","",IF($AE91&lt;=1200,IF(INDEX(对接源_01水果!$J$4:$J$1203,$AE91)=0,"",INDEX(对接源_01水果!$J$4:$J$1203,$AE91)),IF(INDEX(对接源_02物料!$J$4:$J$1203,$AE91-1200)=0,"",INDEX(对接源_02物料!$J$4:$J$1203,$AE91-1200))))</f>
        <v/>
      </c>
      <c r="H91" s="88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I91" s="88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J91" s="91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IFERROR(MATCH(86,_自动清单!$AA$4:$AA$2403,0),"")</f>
        <v/>
      </c>
      <c r="AI91" s="2" t="str">
        <f t="shared" si="6"/>
        <v/>
      </c>
      <c r="AJ91" s="2">
        <f>IF(AI91="",0,IF(MATCH(AI91,AI$6:AI$125,0)=86,1,0))</f>
        <v>0</v>
      </c>
      <c r="AK91" s="2">
        <f t="shared" si="7"/>
        <v>3</v>
      </c>
    </row>
    <row r="92" ht="18" customHeight="1" spans="1:37">
      <c r="A92" s="52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3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53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53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54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53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5" t="str">
        <f>IF($AE92="","",IF($AE92&lt;=1200,IF(INDEX(对接源_01水果!$J$4:$J$1203,$AE92)=0,"",INDEX(对接源_01水果!$J$4:$J$1203,$AE92)),IF(INDEX(对接源_02物料!$J$4:$J$1203,$AE92-1200)=0,"",INDEX(对接源_02物料!$J$4:$J$1203,$AE92-1200))))</f>
        <v/>
      </c>
      <c r="H92" s="53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I92" s="53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J92" s="56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IFERROR(MATCH(87,_自动清单!$AA$4:$AA$2403,0),"")</f>
        <v/>
      </c>
      <c r="AI92" s="2" t="str">
        <f t="shared" si="6"/>
        <v/>
      </c>
      <c r="AJ92" s="2">
        <f>IF(AI92="",0,IF(MATCH(AI92,AI$6:AI$125,0)=87,1,0))</f>
        <v>0</v>
      </c>
      <c r="AK92" s="2">
        <f t="shared" si="7"/>
        <v>3</v>
      </c>
    </row>
    <row r="93" ht="18" customHeight="1" spans="1:37">
      <c r="A93" s="87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88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88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88" t="str">
        <f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89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88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90" t="str">
        <f>IF($AE93="","",IF($AE93&lt;=1200,IF(INDEX(对接源_01水果!$J$4:$J$1203,$AE93)=0,"",INDEX(对接源_01水果!$J$4:$J$1203,$AE93)),IF(INDEX(对接源_02物料!$J$4:$J$1203,$AE93-1200)=0,"",INDEX(对接源_02物料!$J$4:$J$1203,$AE93-1200))))</f>
        <v/>
      </c>
      <c r="H93" s="88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I93" s="88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J93" s="91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IFERROR(MATCH(88,_自动清单!$AA$4:$AA$2403,0),"")</f>
        <v/>
      </c>
      <c r="AI93" s="2" t="str">
        <f t="shared" si="6"/>
        <v/>
      </c>
      <c r="AJ93" s="2">
        <f>IF(AI93="",0,IF(MATCH(AI93,AI$6:AI$125,0)=88,1,0))</f>
        <v>0</v>
      </c>
      <c r="AK93" s="2">
        <f t="shared" si="7"/>
        <v>3</v>
      </c>
    </row>
    <row r="94" ht="18" customHeight="1" spans="1:37">
      <c r="A94" s="52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3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53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53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54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53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5" t="str">
        <f>IF($AE94="","",IF($AE94&lt;=1200,IF(INDEX(对接源_01水果!$J$4:$J$1203,$AE94)=0,"",INDEX(对接源_01水果!$J$4:$J$1203,$AE94)),IF(INDEX(对接源_02物料!$J$4:$J$1203,$AE94-1200)=0,"",INDEX(对接源_02物料!$J$4:$J$1203,$AE94-1200))))</f>
        <v/>
      </c>
      <c r="H94" s="53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I94" s="53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J94" s="56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IFERROR(MATCH(89,_自动清单!$AA$4:$AA$2403,0),"")</f>
        <v/>
      </c>
      <c r="AI94" s="2" t="str">
        <f t="shared" si="6"/>
        <v/>
      </c>
      <c r="AJ94" s="2">
        <f>IF(AI94="",0,IF(MATCH(AI94,AI$6:AI$125,0)=89,1,0))</f>
        <v>0</v>
      </c>
      <c r="AK94" s="2">
        <f t="shared" si="7"/>
        <v>3</v>
      </c>
    </row>
    <row r="95" ht="18" customHeight="1" spans="1:37">
      <c r="A95" s="87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88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88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88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89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88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90" t="str">
        <f>IF($AE95="","",IF($AE95&lt;=1200,IF(INDEX(对接源_01水果!$J$4:$J$1203,$AE95)=0,"",INDEX(对接源_01水果!$J$4:$J$1203,$AE95)),IF(INDEX(对接源_02物料!$J$4:$J$1203,$AE95-1200)=0,"",INDEX(对接源_02物料!$J$4:$J$1203,$AE95-1200))))</f>
        <v/>
      </c>
      <c r="H95" s="88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I95" s="88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J95" s="91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IFERROR(MATCH(90,_自动清单!$AA$4:$AA$2403,0),"")</f>
        <v/>
      </c>
      <c r="AI95" s="2" t="str">
        <f t="shared" si="6"/>
        <v/>
      </c>
      <c r="AJ95" s="2">
        <f>IF(AI95="",0,IF(MATCH(AI95,AI$6:AI$125,0)=90,1,0))</f>
        <v>0</v>
      </c>
      <c r="AK95" s="2">
        <f t="shared" si="7"/>
        <v>3</v>
      </c>
    </row>
    <row r="96" ht="18" customHeight="1" spans="1:37">
      <c r="A96" s="52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3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53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53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54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53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5" t="str">
        <f>IF($AE96="","",IF($AE96&lt;=1200,IF(INDEX(对接源_01水果!$J$4:$J$1203,$AE96)=0,"",INDEX(对接源_01水果!$J$4:$J$1203,$AE96)),IF(INDEX(对接源_02物料!$J$4:$J$1203,$AE96-1200)=0,"",INDEX(对接源_02物料!$J$4:$J$1203,$AE96-1200))))</f>
        <v/>
      </c>
      <c r="H96" s="53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I96" s="53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J96" s="56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IFERROR(MATCH(91,_自动清单!$AA$4:$AA$2403,0),"")</f>
        <v/>
      </c>
      <c r="AI96" s="2" t="str">
        <f t="shared" si="6"/>
        <v/>
      </c>
      <c r="AJ96" s="2">
        <f>IF(AI96="",0,IF(MATCH(AI96,AI$6:AI$125,0)=91,1,0))</f>
        <v>0</v>
      </c>
      <c r="AK96" s="2">
        <f t="shared" si="7"/>
        <v>3</v>
      </c>
    </row>
    <row r="97" ht="18" customHeight="1" spans="1:37">
      <c r="A97" s="87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88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88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88" t="str">
        <f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89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88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90" t="str">
        <f>IF($AE97="","",IF($AE97&lt;=1200,IF(INDEX(对接源_01水果!$J$4:$J$1203,$AE97)=0,"",INDEX(对接源_01水果!$J$4:$J$1203,$AE97)),IF(INDEX(对接源_02物料!$J$4:$J$1203,$AE97-1200)=0,"",INDEX(对接源_02物料!$J$4:$J$1203,$AE97-1200))))</f>
        <v/>
      </c>
      <c r="H97" s="88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I97" s="88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J97" s="91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IFERROR(MATCH(92,_自动清单!$AA$4:$AA$2403,0),"")</f>
        <v/>
      </c>
      <c r="AI97" s="2" t="str">
        <f t="shared" si="6"/>
        <v/>
      </c>
      <c r="AJ97" s="2">
        <f>IF(AI97="",0,IF(MATCH(AI97,AI$6:AI$125,0)=92,1,0))</f>
        <v>0</v>
      </c>
      <c r="AK97" s="2">
        <f t="shared" si="7"/>
        <v>3</v>
      </c>
    </row>
    <row r="98" ht="18" customHeight="1" spans="1:37">
      <c r="A98" s="52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3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53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53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54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53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5" t="str">
        <f>IF($AE98="","",IF($AE98&lt;=1200,IF(INDEX(对接源_01水果!$J$4:$J$1203,$AE98)=0,"",INDEX(对接源_01水果!$J$4:$J$1203,$AE98)),IF(INDEX(对接源_02物料!$J$4:$J$1203,$AE98-1200)=0,"",INDEX(对接源_02物料!$J$4:$J$1203,$AE98-1200))))</f>
        <v/>
      </c>
      <c r="H98" s="53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I98" s="53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J98" s="56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IFERROR(MATCH(93,_自动清单!$AA$4:$AA$2403,0),"")</f>
        <v/>
      </c>
      <c r="AI98" s="2" t="str">
        <f t="shared" si="6"/>
        <v/>
      </c>
      <c r="AJ98" s="2">
        <f>IF(AI98="",0,IF(MATCH(AI98,AI$6:AI$125,0)=93,1,0))</f>
        <v>0</v>
      </c>
      <c r="AK98" s="2">
        <f t="shared" si="7"/>
        <v>3</v>
      </c>
    </row>
    <row r="99" ht="18" customHeight="1" spans="1:37">
      <c r="A99" s="87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88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88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88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89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88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90" t="str">
        <f>IF($AE99="","",IF($AE99&lt;=1200,IF(INDEX(对接源_01水果!$J$4:$J$1203,$AE99)=0,"",INDEX(对接源_01水果!$J$4:$J$1203,$AE99)),IF(INDEX(对接源_02物料!$J$4:$J$1203,$AE99-1200)=0,"",INDEX(对接源_02物料!$J$4:$J$1203,$AE99-1200))))</f>
        <v/>
      </c>
      <c r="H99" s="88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I99" s="88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J99" s="91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IFERROR(MATCH(94,_自动清单!$AA$4:$AA$2403,0),"")</f>
        <v/>
      </c>
      <c r="AI99" s="2" t="str">
        <f t="shared" si="6"/>
        <v/>
      </c>
      <c r="AJ99" s="2">
        <f>IF(AI99="",0,IF(MATCH(AI99,AI$6:AI$125,0)=94,1,0))</f>
        <v>0</v>
      </c>
      <c r="AK99" s="2">
        <f t="shared" si="7"/>
        <v>3</v>
      </c>
    </row>
    <row r="100" ht="18" customHeight="1" spans="1:37">
      <c r="A100" s="52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3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53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53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54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53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5" t="str">
        <f>IF($AE100="","",IF($AE100&lt;=1200,IF(INDEX(对接源_01水果!$J$4:$J$1203,$AE100)=0,"",INDEX(对接源_01水果!$J$4:$J$1203,$AE100)),IF(INDEX(对接源_02物料!$J$4:$J$1203,$AE100-1200)=0,"",INDEX(对接源_02物料!$J$4:$J$1203,$AE100-1200))))</f>
        <v/>
      </c>
      <c r="H100" s="53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I100" s="53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J100" s="56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IFERROR(MATCH(95,_自动清单!$AA$4:$AA$2403,0),"")</f>
        <v/>
      </c>
      <c r="AI100" s="2" t="str">
        <f t="shared" si="6"/>
        <v/>
      </c>
      <c r="AJ100" s="2">
        <f>IF(AI100="",0,IF(MATCH(AI100,AI$6:AI$125,0)=95,1,0))</f>
        <v>0</v>
      </c>
      <c r="AK100" s="2">
        <f t="shared" si="7"/>
        <v>3</v>
      </c>
    </row>
    <row r="101" ht="18" customHeight="1" spans="1:37">
      <c r="A101" s="87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88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88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88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89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88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90" t="str">
        <f>IF($AE101="","",IF($AE101&lt;=1200,IF(INDEX(对接源_01水果!$J$4:$J$1203,$AE101)=0,"",INDEX(对接源_01水果!$J$4:$J$1203,$AE101)),IF(INDEX(对接源_02物料!$J$4:$J$1203,$AE101-1200)=0,"",INDEX(对接源_02物料!$J$4:$J$1203,$AE101-1200))))</f>
        <v/>
      </c>
      <c r="H101" s="88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I101" s="88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J101" s="91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IFERROR(MATCH(96,_自动清单!$AA$4:$AA$2403,0),"")</f>
        <v/>
      </c>
      <c r="AI101" s="2" t="str">
        <f t="shared" si="6"/>
        <v/>
      </c>
      <c r="AJ101" s="2">
        <f>IF(AI101="",0,IF(MATCH(AI101,AI$6:AI$125,0)=96,1,0))</f>
        <v>0</v>
      </c>
      <c r="AK101" s="2">
        <f t="shared" si="7"/>
        <v>3</v>
      </c>
    </row>
    <row r="102" ht="18" customHeight="1" spans="1:37">
      <c r="A102" s="52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3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53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53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54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53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5" t="str">
        <f>IF($AE102="","",IF($AE102&lt;=1200,IF(INDEX(对接源_01水果!$J$4:$J$1203,$AE102)=0,"",INDEX(对接源_01水果!$J$4:$J$1203,$AE102)),IF(INDEX(对接源_02物料!$J$4:$J$1203,$AE102-1200)=0,"",INDEX(对接源_02物料!$J$4:$J$1203,$AE102-1200))))</f>
        <v/>
      </c>
      <c r="H102" s="53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I102" s="53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J102" s="56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IFERROR(MATCH(97,_自动清单!$AA$4:$AA$2403,0),"")</f>
        <v/>
      </c>
      <c r="AI102" s="2" t="str">
        <f t="shared" si="6"/>
        <v/>
      </c>
      <c r="AJ102" s="2">
        <f>IF(AI102="",0,IF(MATCH(AI102,AI$6:AI$125,0)=97,1,0))</f>
        <v>0</v>
      </c>
      <c r="AK102" s="2">
        <f t="shared" si="7"/>
        <v>3</v>
      </c>
    </row>
    <row r="103" ht="18" customHeight="1" spans="1:37">
      <c r="A103" s="87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88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88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88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89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88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90" t="str">
        <f>IF($AE103="","",IF($AE103&lt;=1200,IF(INDEX(对接源_01水果!$J$4:$J$1203,$AE103)=0,"",INDEX(对接源_01水果!$J$4:$J$1203,$AE103)),IF(INDEX(对接源_02物料!$J$4:$J$1203,$AE103-1200)=0,"",INDEX(对接源_02物料!$J$4:$J$1203,$AE103-1200))))</f>
        <v/>
      </c>
      <c r="H103" s="88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I103" s="88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J103" s="91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IFERROR(MATCH(98,_自动清单!$AA$4:$AA$2403,0),"")</f>
        <v/>
      </c>
      <c r="AI103" s="2" t="str">
        <f t="shared" si="6"/>
        <v/>
      </c>
      <c r="AJ103" s="2">
        <f>IF(AI103="",0,IF(MATCH(AI103,AI$6:AI$125,0)=98,1,0))</f>
        <v>0</v>
      </c>
      <c r="AK103" s="2">
        <f t="shared" si="7"/>
        <v>3</v>
      </c>
    </row>
    <row r="104" ht="18" customHeight="1" spans="1:37">
      <c r="A104" s="52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3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53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53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54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53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5" t="str">
        <f>IF($AE104="","",IF($AE104&lt;=1200,IF(INDEX(对接源_01水果!$J$4:$J$1203,$AE104)=0,"",INDEX(对接源_01水果!$J$4:$J$1203,$AE104)),IF(INDEX(对接源_02物料!$J$4:$J$1203,$AE104-1200)=0,"",INDEX(对接源_02物料!$J$4:$J$1203,$AE104-1200))))</f>
        <v/>
      </c>
      <c r="H104" s="53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I104" s="53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J104" s="56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IFERROR(MATCH(99,_自动清单!$AA$4:$AA$2403,0),"")</f>
        <v/>
      </c>
      <c r="AI104" s="2" t="str">
        <f t="shared" si="6"/>
        <v/>
      </c>
      <c r="AJ104" s="2">
        <f>IF(AI104="",0,IF(MATCH(AI104,AI$6:AI$125,0)=99,1,0))</f>
        <v>0</v>
      </c>
      <c r="AK104" s="2">
        <f t="shared" si="7"/>
        <v>3</v>
      </c>
    </row>
    <row r="105" ht="18" customHeight="1" spans="1:37">
      <c r="A105" s="87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88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88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88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89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88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90" t="str">
        <f>IF($AE105="","",IF($AE105&lt;=1200,IF(INDEX(对接源_01水果!$J$4:$J$1203,$AE105)=0,"",INDEX(对接源_01水果!$J$4:$J$1203,$AE105)),IF(INDEX(对接源_02物料!$J$4:$J$1203,$AE105-1200)=0,"",INDEX(对接源_02物料!$J$4:$J$1203,$AE105-1200))))</f>
        <v/>
      </c>
      <c r="H105" s="88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I105" s="88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J105" s="91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IFERROR(MATCH(100,_自动清单!$AA$4:$AA$2403,0),"")</f>
        <v/>
      </c>
      <c r="AI105" s="2" t="str">
        <f t="shared" si="6"/>
        <v/>
      </c>
      <c r="AJ105" s="2">
        <f>IF(AI105="",0,IF(MATCH(AI105,AI$6:AI$125,0)=100,1,0))</f>
        <v>0</v>
      </c>
      <c r="AK105" s="2">
        <f t="shared" si="7"/>
        <v>3</v>
      </c>
    </row>
    <row r="106" ht="18" customHeight="1" spans="1:37">
      <c r="A106" s="52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53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53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53" t="str">
        <f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54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53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55" t="str">
        <f>IF($AE106="","",IF($AE106&lt;=1200,IF(INDEX(对接源_01水果!$J$4:$J$1203,$AE106)=0,"",INDEX(对接源_01水果!$J$4:$J$1203,$AE106)),IF(INDEX(对接源_02物料!$J$4:$J$1203,$AE106-1200)=0,"",INDEX(对接源_02物料!$J$4:$J$1203,$AE106-1200))))</f>
        <v/>
      </c>
      <c r="H106" s="53" t="str">
        <f>IF($AE106="","",IF($AE106&lt;=1200,IF(INDEX(对接源_01水果!$W$4:$W$1203,$AE106)=0,"",INDEX(对接源_01水果!$W$4:$W$1203,$AE106)),IF(INDEX(对接源_02物料!$W$4:$W$1203,$AE106-1200)=0,"",INDEX(对接源_02物料!$W$4:$W$1203,$AE106-1200))))</f>
        <v/>
      </c>
      <c r="I106" s="53" t="str">
        <f>IF($AE106="","",IF($AE106&lt;=1200,IF(INDEX(对接源_01水果!$C$4:$C$1203,$AE106)=0,"",INDEX(对接源_01水果!$C$4:$C$1203,$AE106)),IF(INDEX(对接源_02物料!$C$4:$C$1203,$AE106-1200)=0,"",INDEX(对接源_02物料!$C$4:$C$1203,$AE106-1200))))</f>
        <v/>
      </c>
      <c r="J106" s="56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2" t="str">
        <f>IFERROR(MATCH(101,_自动清单!$AA$4:$AA$2403,0),"")</f>
        <v/>
      </c>
      <c r="AI106" s="2" t="str">
        <f t="shared" si="6"/>
        <v/>
      </c>
      <c r="AJ106" s="2">
        <f>IF(AI106="",0,IF(MATCH(AI106,AI$6:AI$125,0)=101,1,0))</f>
        <v>0</v>
      </c>
      <c r="AK106" s="2">
        <f t="shared" si="7"/>
        <v>3</v>
      </c>
    </row>
    <row r="107" ht="18" customHeight="1" spans="1:37">
      <c r="A107" s="87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88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88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88" t="str">
        <f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89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88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90" t="str">
        <f>IF($AE107="","",IF($AE107&lt;=1200,IF(INDEX(对接源_01水果!$J$4:$J$1203,$AE107)=0,"",INDEX(对接源_01水果!$J$4:$J$1203,$AE107)),IF(INDEX(对接源_02物料!$J$4:$J$1203,$AE107-1200)=0,"",INDEX(对接源_02物料!$J$4:$J$1203,$AE107-1200))))</f>
        <v/>
      </c>
      <c r="H107" s="88" t="str">
        <f>IF($AE107="","",IF($AE107&lt;=1200,IF(INDEX(对接源_01水果!$W$4:$W$1203,$AE107)=0,"",INDEX(对接源_01水果!$W$4:$W$1203,$AE107)),IF(INDEX(对接源_02物料!$W$4:$W$1203,$AE107-1200)=0,"",INDEX(对接源_02物料!$W$4:$W$1203,$AE107-1200))))</f>
        <v/>
      </c>
      <c r="I107" s="88" t="str">
        <f>IF($AE107="","",IF($AE107&lt;=1200,IF(INDEX(对接源_01水果!$C$4:$C$1203,$AE107)=0,"",INDEX(对接源_01水果!$C$4:$C$1203,$AE107)),IF(INDEX(对接源_02物料!$C$4:$C$1203,$AE107-1200)=0,"",INDEX(对接源_02物料!$C$4:$C$1203,$AE107-1200))))</f>
        <v/>
      </c>
      <c r="J107" s="91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2" t="str">
        <f>IFERROR(MATCH(102,_自动清单!$AA$4:$AA$2403,0),"")</f>
        <v/>
      </c>
      <c r="AI107" s="2" t="str">
        <f t="shared" si="6"/>
        <v/>
      </c>
      <c r="AJ107" s="2">
        <f>IF(AI107="",0,IF(MATCH(AI107,AI$6:AI$125,0)=102,1,0))</f>
        <v>0</v>
      </c>
      <c r="AK107" s="2">
        <f t="shared" si="7"/>
        <v>3</v>
      </c>
    </row>
    <row r="108" ht="18" customHeight="1" spans="1:37">
      <c r="A108" s="52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53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53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53" t="str">
        <f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54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53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55" t="str">
        <f>IF($AE108="","",IF($AE108&lt;=1200,IF(INDEX(对接源_01水果!$J$4:$J$1203,$AE108)=0,"",INDEX(对接源_01水果!$J$4:$J$1203,$AE108)),IF(INDEX(对接源_02物料!$J$4:$J$1203,$AE108-1200)=0,"",INDEX(对接源_02物料!$J$4:$J$1203,$AE108-1200))))</f>
        <v/>
      </c>
      <c r="H108" s="53" t="str">
        <f>IF($AE108="","",IF($AE108&lt;=1200,IF(INDEX(对接源_01水果!$W$4:$W$1203,$AE108)=0,"",INDEX(对接源_01水果!$W$4:$W$1203,$AE108)),IF(INDEX(对接源_02物料!$W$4:$W$1203,$AE108-1200)=0,"",INDEX(对接源_02物料!$W$4:$W$1203,$AE108-1200))))</f>
        <v/>
      </c>
      <c r="I108" s="53" t="str">
        <f>IF($AE108="","",IF($AE108&lt;=1200,IF(INDEX(对接源_01水果!$C$4:$C$1203,$AE108)=0,"",INDEX(对接源_01水果!$C$4:$C$1203,$AE108)),IF(INDEX(对接源_02物料!$C$4:$C$1203,$AE108-1200)=0,"",INDEX(对接源_02物料!$C$4:$C$1203,$AE108-1200))))</f>
        <v/>
      </c>
      <c r="J108" s="56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2" t="str">
        <f>IFERROR(MATCH(103,_自动清单!$AA$4:$AA$2403,0),"")</f>
        <v/>
      </c>
      <c r="AI108" s="2" t="str">
        <f t="shared" si="6"/>
        <v/>
      </c>
      <c r="AJ108" s="2">
        <f>IF(AI108="",0,IF(MATCH(AI108,AI$6:AI$125,0)=103,1,0))</f>
        <v>0</v>
      </c>
      <c r="AK108" s="2">
        <f t="shared" si="7"/>
        <v>3</v>
      </c>
    </row>
    <row r="109" ht="18" customHeight="1" spans="1:37">
      <c r="A109" s="87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88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88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88" t="str">
        <f>IF($AE109="","",IF($AE109&lt;=1200,IF(INDEX(对接源_01水果!$G$4:$G$1203,$AE109)=0,"",INDEX(对接源_01水果!$G$4:$G$1203,$AE109)),IF(INDEX(对接源_02物料!$G$4:$G$1203,$AE109-1200)=0,"",INDEX(对接源_02物料!$G$4:$G$1203,$AE109-1200))))</f>
        <v/>
      </c>
      <c r="E109" s="89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88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90" t="str">
        <f>IF($AE109="","",IF($AE109&lt;=1200,IF(INDEX(对接源_01水果!$J$4:$J$1203,$AE109)=0,"",INDEX(对接源_01水果!$J$4:$J$1203,$AE109)),IF(INDEX(对接源_02物料!$J$4:$J$1203,$AE109-1200)=0,"",INDEX(对接源_02物料!$J$4:$J$1203,$AE109-1200))))</f>
        <v/>
      </c>
      <c r="H109" s="88" t="str">
        <f>IF($AE109="","",IF($AE109&lt;=1200,IF(INDEX(对接源_01水果!$W$4:$W$1203,$AE109)=0,"",INDEX(对接源_01水果!$W$4:$W$1203,$AE109)),IF(INDEX(对接源_02物料!$W$4:$W$1203,$AE109-1200)=0,"",INDEX(对接源_02物料!$W$4:$W$1203,$AE109-1200))))</f>
        <v/>
      </c>
      <c r="I109" s="88" t="str">
        <f>IF($AE109="","",IF($AE109&lt;=1200,IF(INDEX(对接源_01水果!$C$4:$C$1203,$AE109)=0,"",INDEX(对接源_01水果!$C$4:$C$1203,$AE109)),IF(INDEX(对接源_02物料!$C$4:$C$1203,$AE109-1200)=0,"",INDEX(对接源_02物料!$C$4:$C$1203,$AE109-1200))))</f>
        <v/>
      </c>
      <c r="J109" s="91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2" t="str">
        <f>IFERROR(MATCH(104,_自动清单!$AA$4:$AA$2403,0),"")</f>
        <v/>
      </c>
      <c r="AI109" s="2" t="str">
        <f t="shared" si="6"/>
        <v/>
      </c>
      <c r="AJ109" s="2">
        <f>IF(AI109="",0,IF(MATCH(AI109,AI$6:AI$125,0)=104,1,0))</f>
        <v>0</v>
      </c>
      <c r="AK109" s="2">
        <f t="shared" si="7"/>
        <v>3</v>
      </c>
    </row>
    <row r="110" ht="18" customHeight="1" spans="1:37">
      <c r="A110" s="52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53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53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53" t="str">
        <f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54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53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55" t="str">
        <f>IF($AE110="","",IF($AE110&lt;=1200,IF(INDEX(对接源_01水果!$J$4:$J$1203,$AE110)=0,"",INDEX(对接源_01水果!$J$4:$J$1203,$AE110)),IF(INDEX(对接源_02物料!$J$4:$J$1203,$AE110-1200)=0,"",INDEX(对接源_02物料!$J$4:$J$1203,$AE110-1200))))</f>
        <v/>
      </c>
      <c r="H110" s="53" t="str">
        <f>IF($AE110="","",IF($AE110&lt;=1200,IF(INDEX(对接源_01水果!$W$4:$W$1203,$AE110)=0,"",INDEX(对接源_01水果!$W$4:$W$1203,$AE110)),IF(INDEX(对接源_02物料!$W$4:$W$1203,$AE110-1200)=0,"",INDEX(对接源_02物料!$W$4:$W$1203,$AE110-1200))))</f>
        <v/>
      </c>
      <c r="I110" s="53" t="str">
        <f>IF($AE110="","",IF($AE110&lt;=1200,IF(INDEX(对接源_01水果!$C$4:$C$1203,$AE110)=0,"",INDEX(对接源_01水果!$C$4:$C$1203,$AE110)),IF(INDEX(对接源_02物料!$C$4:$C$1203,$AE110-1200)=0,"",INDEX(对接源_02物料!$C$4:$C$1203,$AE110-1200))))</f>
        <v/>
      </c>
      <c r="J110" s="56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2" t="str">
        <f>IFERROR(MATCH(105,_自动清单!$AA$4:$AA$2403,0),"")</f>
        <v/>
      </c>
      <c r="AI110" s="2" t="str">
        <f t="shared" si="6"/>
        <v/>
      </c>
      <c r="AJ110" s="2">
        <f>IF(AI110="",0,IF(MATCH(AI110,AI$6:AI$125,0)=105,1,0))</f>
        <v>0</v>
      </c>
      <c r="AK110" s="2">
        <f t="shared" si="7"/>
        <v>3</v>
      </c>
    </row>
    <row r="111" ht="18" customHeight="1" spans="1:37">
      <c r="A111" s="87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88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88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88" t="str">
        <f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89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88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90" t="str">
        <f>IF($AE111="","",IF($AE111&lt;=1200,IF(INDEX(对接源_01水果!$J$4:$J$1203,$AE111)=0,"",INDEX(对接源_01水果!$J$4:$J$1203,$AE111)),IF(INDEX(对接源_02物料!$J$4:$J$1203,$AE111-1200)=0,"",INDEX(对接源_02物料!$J$4:$J$1203,$AE111-1200))))</f>
        <v/>
      </c>
      <c r="H111" s="88" t="str">
        <f>IF($AE111="","",IF($AE111&lt;=1200,IF(INDEX(对接源_01水果!$W$4:$W$1203,$AE111)=0,"",INDEX(对接源_01水果!$W$4:$W$1203,$AE111)),IF(INDEX(对接源_02物料!$W$4:$W$1203,$AE111-1200)=0,"",INDEX(对接源_02物料!$W$4:$W$1203,$AE111-1200))))</f>
        <v/>
      </c>
      <c r="I111" s="88" t="str">
        <f>IF($AE111="","",IF($AE111&lt;=1200,IF(INDEX(对接源_01水果!$C$4:$C$1203,$AE111)=0,"",INDEX(对接源_01水果!$C$4:$C$1203,$AE111)),IF(INDEX(对接源_02物料!$C$4:$C$1203,$AE111-1200)=0,"",INDEX(对接源_02物料!$C$4:$C$1203,$AE111-1200))))</f>
        <v/>
      </c>
      <c r="J111" s="91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2" t="str">
        <f>IFERROR(MATCH(106,_自动清单!$AA$4:$AA$2403,0),"")</f>
        <v/>
      </c>
      <c r="AI111" s="2" t="str">
        <f t="shared" si="6"/>
        <v/>
      </c>
      <c r="AJ111" s="2">
        <f>IF(AI111="",0,IF(MATCH(AI111,AI$6:AI$125,0)=106,1,0))</f>
        <v>0</v>
      </c>
      <c r="AK111" s="2">
        <f t="shared" si="7"/>
        <v>3</v>
      </c>
    </row>
    <row r="112" ht="18" customHeight="1" spans="1:37">
      <c r="A112" s="52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53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53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53" t="str">
        <f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54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53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55" t="str">
        <f>IF($AE112="","",IF($AE112&lt;=1200,IF(INDEX(对接源_01水果!$J$4:$J$1203,$AE112)=0,"",INDEX(对接源_01水果!$J$4:$J$1203,$AE112)),IF(INDEX(对接源_02物料!$J$4:$J$1203,$AE112-1200)=0,"",INDEX(对接源_02物料!$J$4:$J$1203,$AE112-1200))))</f>
        <v/>
      </c>
      <c r="H112" s="53" t="str">
        <f>IF($AE112="","",IF($AE112&lt;=1200,IF(INDEX(对接源_01水果!$W$4:$W$1203,$AE112)=0,"",INDEX(对接源_01水果!$W$4:$W$1203,$AE112)),IF(INDEX(对接源_02物料!$W$4:$W$1203,$AE112-1200)=0,"",INDEX(对接源_02物料!$W$4:$W$1203,$AE112-1200))))</f>
        <v/>
      </c>
      <c r="I112" s="53" t="str">
        <f>IF($AE112="","",IF($AE112&lt;=1200,IF(INDEX(对接源_01水果!$C$4:$C$1203,$AE112)=0,"",INDEX(对接源_01水果!$C$4:$C$1203,$AE112)),IF(INDEX(对接源_02物料!$C$4:$C$1203,$AE112-1200)=0,"",INDEX(对接源_02物料!$C$4:$C$1203,$AE112-1200))))</f>
        <v/>
      </c>
      <c r="J112" s="56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2" t="str">
        <f>IFERROR(MATCH(107,_自动清单!$AA$4:$AA$2403,0),"")</f>
        <v/>
      </c>
      <c r="AI112" s="2" t="str">
        <f t="shared" si="6"/>
        <v/>
      </c>
      <c r="AJ112" s="2">
        <f>IF(AI112="",0,IF(MATCH(AI112,AI$6:AI$125,0)=107,1,0))</f>
        <v>0</v>
      </c>
      <c r="AK112" s="2">
        <f t="shared" si="7"/>
        <v>3</v>
      </c>
    </row>
    <row r="113" ht="18" customHeight="1" spans="1:37">
      <c r="A113" s="87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88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88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88" t="str">
        <f>IF($AE113="","",IF($AE113&lt;=1200,IF(INDEX(对接源_01水果!$G$4:$G$1203,$AE113)=0,"",INDEX(对接源_01水果!$G$4:$G$1203,$AE113)),IF(INDEX(对接源_02物料!$G$4:$G$1203,$AE113-1200)=0,"",INDEX(对接源_02物料!$G$4:$G$1203,$AE113-1200))))</f>
        <v/>
      </c>
      <c r="E113" s="89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88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90" t="str">
        <f>IF($AE113="","",IF($AE113&lt;=1200,IF(INDEX(对接源_01水果!$J$4:$J$1203,$AE113)=0,"",INDEX(对接源_01水果!$J$4:$J$1203,$AE113)),IF(INDEX(对接源_02物料!$J$4:$J$1203,$AE113-1200)=0,"",INDEX(对接源_02物料!$J$4:$J$1203,$AE113-1200))))</f>
        <v/>
      </c>
      <c r="H113" s="88" t="str">
        <f>IF($AE113="","",IF($AE113&lt;=1200,IF(INDEX(对接源_01水果!$W$4:$W$1203,$AE113)=0,"",INDEX(对接源_01水果!$W$4:$W$1203,$AE113)),IF(INDEX(对接源_02物料!$W$4:$W$1203,$AE113-1200)=0,"",INDEX(对接源_02物料!$W$4:$W$1203,$AE113-1200))))</f>
        <v/>
      </c>
      <c r="I113" s="88" t="str">
        <f>IF($AE113="","",IF($AE113&lt;=1200,IF(INDEX(对接源_01水果!$C$4:$C$1203,$AE113)=0,"",INDEX(对接源_01水果!$C$4:$C$1203,$AE113)),IF(INDEX(对接源_02物料!$C$4:$C$1203,$AE113-1200)=0,"",INDEX(对接源_02物料!$C$4:$C$1203,$AE113-1200))))</f>
        <v/>
      </c>
      <c r="J113" s="91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2" t="str">
        <f>IFERROR(MATCH(108,_自动清单!$AA$4:$AA$2403,0),"")</f>
        <v/>
      </c>
      <c r="AI113" s="2" t="str">
        <f t="shared" si="6"/>
        <v/>
      </c>
      <c r="AJ113" s="2">
        <f>IF(AI113="",0,IF(MATCH(AI113,AI$6:AI$125,0)=108,1,0))</f>
        <v>0</v>
      </c>
      <c r="AK113" s="2">
        <f t="shared" si="7"/>
        <v>3</v>
      </c>
    </row>
    <row r="114" ht="18" customHeight="1" spans="1:37">
      <c r="A114" s="52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53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53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53" t="str">
        <f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54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53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55" t="str">
        <f>IF($AE114="","",IF($AE114&lt;=1200,IF(INDEX(对接源_01水果!$J$4:$J$1203,$AE114)=0,"",INDEX(对接源_01水果!$J$4:$J$1203,$AE114)),IF(INDEX(对接源_02物料!$J$4:$J$1203,$AE114-1200)=0,"",INDEX(对接源_02物料!$J$4:$J$1203,$AE114-1200))))</f>
        <v/>
      </c>
      <c r="H114" s="53" t="str">
        <f>IF($AE114="","",IF($AE114&lt;=1200,IF(INDEX(对接源_01水果!$W$4:$W$1203,$AE114)=0,"",INDEX(对接源_01水果!$W$4:$W$1203,$AE114)),IF(INDEX(对接源_02物料!$W$4:$W$1203,$AE114-1200)=0,"",INDEX(对接源_02物料!$W$4:$W$1203,$AE114-1200))))</f>
        <v/>
      </c>
      <c r="I114" s="53" t="str">
        <f>IF($AE114="","",IF($AE114&lt;=1200,IF(INDEX(对接源_01水果!$C$4:$C$1203,$AE114)=0,"",INDEX(对接源_01水果!$C$4:$C$1203,$AE114)),IF(INDEX(对接源_02物料!$C$4:$C$1203,$AE114-1200)=0,"",INDEX(对接源_02物料!$C$4:$C$1203,$AE114-1200))))</f>
        <v/>
      </c>
      <c r="J114" s="56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2" t="str">
        <f>IFERROR(MATCH(109,_自动清单!$AA$4:$AA$2403,0),"")</f>
        <v/>
      </c>
      <c r="AI114" s="2" t="str">
        <f t="shared" si="6"/>
        <v/>
      </c>
      <c r="AJ114" s="2">
        <f>IF(AI114="",0,IF(MATCH(AI114,AI$6:AI$125,0)=109,1,0))</f>
        <v>0</v>
      </c>
      <c r="AK114" s="2">
        <f t="shared" si="7"/>
        <v>3</v>
      </c>
    </row>
    <row r="115" ht="18" customHeight="1" spans="1:37">
      <c r="A115" s="87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88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88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88" t="str">
        <f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89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88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90" t="str">
        <f>IF($AE115="","",IF($AE115&lt;=1200,IF(INDEX(对接源_01水果!$J$4:$J$1203,$AE115)=0,"",INDEX(对接源_01水果!$J$4:$J$1203,$AE115)),IF(INDEX(对接源_02物料!$J$4:$J$1203,$AE115-1200)=0,"",INDEX(对接源_02物料!$J$4:$J$1203,$AE115-1200))))</f>
        <v/>
      </c>
      <c r="H115" s="88" t="str">
        <f>IF($AE115="","",IF($AE115&lt;=1200,IF(INDEX(对接源_01水果!$W$4:$W$1203,$AE115)=0,"",INDEX(对接源_01水果!$W$4:$W$1203,$AE115)),IF(INDEX(对接源_02物料!$W$4:$W$1203,$AE115-1200)=0,"",INDEX(对接源_02物料!$W$4:$W$1203,$AE115-1200))))</f>
        <v/>
      </c>
      <c r="I115" s="88" t="str">
        <f>IF($AE115="","",IF($AE115&lt;=1200,IF(INDEX(对接源_01水果!$C$4:$C$1203,$AE115)=0,"",INDEX(对接源_01水果!$C$4:$C$1203,$AE115)),IF(INDEX(对接源_02物料!$C$4:$C$1203,$AE115-1200)=0,"",INDEX(对接源_02物料!$C$4:$C$1203,$AE115-1200))))</f>
        <v/>
      </c>
      <c r="J115" s="91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2" t="str">
        <f>IFERROR(MATCH(110,_自动清单!$AA$4:$AA$2403,0),"")</f>
        <v/>
      </c>
      <c r="AI115" s="2" t="str">
        <f t="shared" si="6"/>
        <v/>
      </c>
      <c r="AJ115" s="2">
        <f>IF(AI115="",0,IF(MATCH(AI115,AI$6:AI$125,0)=110,1,0))</f>
        <v>0</v>
      </c>
      <c r="AK115" s="2">
        <f t="shared" si="7"/>
        <v>3</v>
      </c>
    </row>
    <row r="116" ht="18" customHeight="1" spans="1:37">
      <c r="A116" s="52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53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53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53" t="str">
        <f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54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53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55" t="str">
        <f>IF($AE116="","",IF($AE116&lt;=1200,IF(INDEX(对接源_01水果!$J$4:$J$1203,$AE116)=0,"",INDEX(对接源_01水果!$J$4:$J$1203,$AE116)),IF(INDEX(对接源_02物料!$J$4:$J$1203,$AE116-1200)=0,"",INDEX(对接源_02物料!$J$4:$J$1203,$AE116-1200))))</f>
        <v/>
      </c>
      <c r="H116" s="53" t="str">
        <f>IF($AE116="","",IF($AE116&lt;=1200,IF(INDEX(对接源_01水果!$W$4:$W$1203,$AE116)=0,"",INDEX(对接源_01水果!$W$4:$W$1203,$AE116)),IF(INDEX(对接源_02物料!$W$4:$W$1203,$AE116-1200)=0,"",INDEX(对接源_02物料!$W$4:$W$1203,$AE116-1200))))</f>
        <v/>
      </c>
      <c r="I116" s="53" t="str">
        <f>IF($AE116="","",IF($AE116&lt;=1200,IF(INDEX(对接源_01水果!$C$4:$C$1203,$AE116)=0,"",INDEX(对接源_01水果!$C$4:$C$1203,$AE116)),IF(INDEX(对接源_02物料!$C$4:$C$1203,$AE116-1200)=0,"",INDEX(对接源_02物料!$C$4:$C$1203,$AE116-1200))))</f>
        <v/>
      </c>
      <c r="J116" s="56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2" t="str">
        <f>IFERROR(MATCH(111,_自动清单!$AA$4:$AA$2403,0),"")</f>
        <v/>
      </c>
      <c r="AI116" s="2" t="str">
        <f t="shared" si="6"/>
        <v/>
      </c>
      <c r="AJ116" s="2">
        <f>IF(AI116="",0,IF(MATCH(AI116,AI$6:AI$125,0)=111,1,0))</f>
        <v>0</v>
      </c>
      <c r="AK116" s="2">
        <f t="shared" si="7"/>
        <v>3</v>
      </c>
    </row>
    <row r="117" ht="18" customHeight="1" spans="1:37">
      <c r="A117" s="87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88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88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88" t="str">
        <f>IF($AE117="","",IF($AE117&lt;=1200,IF(INDEX(对接源_01水果!$G$4:$G$1203,$AE117)=0,"",INDEX(对接源_01水果!$G$4:$G$1203,$AE117)),IF(INDEX(对接源_02物料!$G$4:$G$1203,$AE117-1200)=0,"",INDEX(对接源_02物料!$G$4:$G$1203,$AE117-1200))))</f>
        <v/>
      </c>
      <c r="E117" s="89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88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90" t="str">
        <f>IF($AE117="","",IF($AE117&lt;=1200,IF(INDEX(对接源_01水果!$J$4:$J$1203,$AE117)=0,"",INDEX(对接源_01水果!$J$4:$J$1203,$AE117)),IF(INDEX(对接源_02物料!$J$4:$J$1203,$AE117-1200)=0,"",INDEX(对接源_02物料!$J$4:$J$1203,$AE117-1200))))</f>
        <v/>
      </c>
      <c r="H117" s="88" t="str">
        <f>IF($AE117="","",IF($AE117&lt;=1200,IF(INDEX(对接源_01水果!$W$4:$W$1203,$AE117)=0,"",INDEX(对接源_01水果!$W$4:$W$1203,$AE117)),IF(INDEX(对接源_02物料!$W$4:$W$1203,$AE117-1200)=0,"",INDEX(对接源_02物料!$W$4:$W$1203,$AE117-1200))))</f>
        <v/>
      </c>
      <c r="I117" s="88" t="str">
        <f>IF($AE117="","",IF($AE117&lt;=1200,IF(INDEX(对接源_01水果!$C$4:$C$1203,$AE117)=0,"",INDEX(对接源_01水果!$C$4:$C$1203,$AE117)),IF(INDEX(对接源_02物料!$C$4:$C$1203,$AE117-1200)=0,"",INDEX(对接源_02物料!$C$4:$C$1203,$AE117-1200))))</f>
        <v/>
      </c>
      <c r="J117" s="91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2" t="str">
        <f>IFERROR(MATCH(112,_自动清单!$AA$4:$AA$2403,0),"")</f>
        <v/>
      </c>
      <c r="AI117" s="2" t="str">
        <f t="shared" si="6"/>
        <v/>
      </c>
      <c r="AJ117" s="2">
        <f>IF(AI117="",0,IF(MATCH(AI117,AI$6:AI$125,0)=112,1,0))</f>
        <v>0</v>
      </c>
      <c r="AK117" s="2">
        <f t="shared" si="7"/>
        <v>3</v>
      </c>
    </row>
    <row r="118" ht="18" customHeight="1" spans="1:37">
      <c r="A118" s="52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53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53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53" t="str">
        <f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54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53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55" t="str">
        <f>IF($AE118="","",IF($AE118&lt;=1200,IF(INDEX(对接源_01水果!$J$4:$J$1203,$AE118)=0,"",INDEX(对接源_01水果!$J$4:$J$1203,$AE118)),IF(INDEX(对接源_02物料!$J$4:$J$1203,$AE118-1200)=0,"",INDEX(对接源_02物料!$J$4:$J$1203,$AE118-1200))))</f>
        <v/>
      </c>
      <c r="H118" s="53" t="str">
        <f>IF($AE118="","",IF($AE118&lt;=1200,IF(INDEX(对接源_01水果!$W$4:$W$1203,$AE118)=0,"",INDEX(对接源_01水果!$W$4:$W$1203,$AE118)),IF(INDEX(对接源_02物料!$W$4:$W$1203,$AE118-1200)=0,"",INDEX(对接源_02物料!$W$4:$W$1203,$AE118-1200))))</f>
        <v/>
      </c>
      <c r="I118" s="53" t="str">
        <f>IF($AE118="","",IF($AE118&lt;=1200,IF(INDEX(对接源_01水果!$C$4:$C$1203,$AE118)=0,"",INDEX(对接源_01水果!$C$4:$C$1203,$AE118)),IF(INDEX(对接源_02物料!$C$4:$C$1203,$AE118-1200)=0,"",INDEX(对接源_02物料!$C$4:$C$1203,$AE118-1200))))</f>
        <v/>
      </c>
      <c r="J118" s="56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2" t="str">
        <f>IFERROR(MATCH(113,_自动清单!$AA$4:$AA$2403,0),"")</f>
        <v/>
      </c>
      <c r="AI118" s="2" t="str">
        <f t="shared" si="6"/>
        <v/>
      </c>
      <c r="AJ118" s="2">
        <f>IF(AI118="",0,IF(MATCH(AI118,AI$6:AI$125,0)=113,1,0))</f>
        <v>0</v>
      </c>
      <c r="AK118" s="2">
        <f t="shared" si="7"/>
        <v>3</v>
      </c>
    </row>
    <row r="119" ht="18" customHeight="1" spans="1:37">
      <c r="A119" s="87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88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88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88" t="str">
        <f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89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88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90" t="str">
        <f>IF($AE119="","",IF($AE119&lt;=1200,IF(INDEX(对接源_01水果!$J$4:$J$1203,$AE119)=0,"",INDEX(对接源_01水果!$J$4:$J$1203,$AE119)),IF(INDEX(对接源_02物料!$J$4:$J$1203,$AE119-1200)=0,"",INDEX(对接源_02物料!$J$4:$J$1203,$AE119-1200))))</f>
        <v/>
      </c>
      <c r="H119" s="88" t="str">
        <f>IF($AE119="","",IF($AE119&lt;=1200,IF(INDEX(对接源_01水果!$W$4:$W$1203,$AE119)=0,"",INDEX(对接源_01水果!$W$4:$W$1203,$AE119)),IF(INDEX(对接源_02物料!$W$4:$W$1203,$AE119-1200)=0,"",INDEX(对接源_02物料!$W$4:$W$1203,$AE119-1200))))</f>
        <v/>
      </c>
      <c r="I119" s="88" t="str">
        <f>IF($AE119="","",IF($AE119&lt;=1200,IF(INDEX(对接源_01水果!$C$4:$C$1203,$AE119)=0,"",INDEX(对接源_01水果!$C$4:$C$1203,$AE119)),IF(INDEX(对接源_02物料!$C$4:$C$1203,$AE119-1200)=0,"",INDEX(对接源_02物料!$C$4:$C$1203,$AE119-1200))))</f>
        <v/>
      </c>
      <c r="J119" s="91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2" t="str">
        <f>IFERROR(MATCH(114,_自动清单!$AA$4:$AA$2403,0),"")</f>
        <v/>
      </c>
      <c r="AI119" s="2" t="str">
        <f t="shared" si="6"/>
        <v/>
      </c>
      <c r="AJ119" s="2">
        <f>IF(AI119="",0,IF(MATCH(AI119,AI$6:AI$125,0)=114,1,0))</f>
        <v>0</v>
      </c>
      <c r="AK119" s="2">
        <f t="shared" si="7"/>
        <v>3</v>
      </c>
    </row>
    <row r="120" ht="18" customHeight="1" spans="1:37">
      <c r="A120" s="52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53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53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53" t="str">
        <f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54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53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55" t="str">
        <f>IF($AE120="","",IF($AE120&lt;=1200,IF(INDEX(对接源_01水果!$J$4:$J$1203,$AE120)=0,"",INDEX(对接源_01水果!$J$4:$J$1203,$AE120)),IF(INDEX(对接源_02物料!$J$4:$J$1203,$AE120-1200)=0,"",INDEX(对接源_02物料!$J$4:$J$1203,$AE120-1200))))</f>
        <v/>
      </c>
      <c r="H120" s="53" t="str">
        <f>IF($AE120="","",IF($AE120&lt;=1200,IF(INDEX(对接源_01水果!$W$4:$W$1203,$AE120)=0,"",INDEX(对接源_01水果!$W$4:$W$1203,$AE120)),IF(INDEX(对接源_02物料!$W$4:$W$1203,$AE120-1200)=0,"",INDEX(对接源_02物料!$W$4:$W$1203,$AE120-1200))))</f>
        <v/>
      </c>
      <c r="I120" s="53" t="str">
        <f>IF($AE120="","",IF($AE120&lt;=1200,IF(INDEX(对接源_01水果!$C$4:$C$1203,$AE120)=0,"",INDEX(对接源_01水果!$C$4:$C$1203,$AE120)),IF(INDEX(对接源_02物料!$C$4:$C$1203,$AE120-1200)=0,"",INDEX(对接源_02物料!$C$4:$C$1203,$AE120-1200))))</f>
        <v/>
      </c>
      <c r="J120" s="56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2" t="str">
        <f>IFERROR(MATCH(115,_自动清单!$AA$4:$AA$2403,0),"")</f>
        <v/>
      </c>
      <c r="AI120" s="2" t="str">
        <f t="shared" si="6"/>
        <v/>
      </c>
      <c r="AJ120" s="2">
        <f>IF(AI120="",0,IF(MATCH(AI120,AI$6:AI$125,0)=115,1,0))</f>
        <v>0</v>
      </c>
      <c r="AK120" s="2">
        <f t="shared" si="7"/>
        <v>3</v>
      </c>
    </row>
    <row r="121" ht="18" customHeight="1" spans="1:37">
      <c r="A121" s="87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88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88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88" t="str">
        <f>IF($AE121="","",IF($AE121&lt;=1200,IF(INDEX(对接源_01水果!$G$4:$G$1203,$AE121)=0,"",INDEX(对接源_01水果!$G$4:$G$1203,$AE121)),IF(INDEX(对接源_02物料!$G$4:$G$1203,$AE121-1200)=0,"",INDEX(对接源_02物料!$G$4:$G$1203,$AE121-1200))))</f>
        <v/>
      </c>
      <c r="E121" s="89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88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90" t="str">
        <f>IF($AE121="","",IF($AE121&lt;=1200,IF(INDEX(对接源_01水果!$J$4:$J$1203,$AE121)=0,"",INDEX(对接源_01水果!$J$4:$J$1203,$AE121)),IF(INDEX(对接源_02物料!$J$4:$J$1203,$AE121-1200)=0,"",INDEX(对接源_02物料!$J$4:$J$1203,$AE121-1200))))</f>
        <v/>
      </c>
      <c r="H121" s="88" t="str">
        <f>IF($AE121="","",IF($AE121&lt;=1200,IF(INDEX(对接源_01水果!$W$4:$W$1203,$AE121)=0,"",INDEX(对接源_01水果!$W$4:$W$1203,$AE121)),IF(INDEX(对接源_02物料!$W$4:$W$1203,$AE121-1200)=0,"",INDEX(对接源_02物料!$W$4:$W$1203,$AE121-1200))))</f>
        <v/>
      </c>
      <c r="I121" s="88" t="str">
        <f>IF($AE121="","",IF($AE121&lt;=1200,IF(INDEX(对接源_01水果!$C$4:$C$1203,$AE121)=0,"",INDEX(对接源_01水果!$C$4:$C$1203,$AE121)),IF(INDEX(对接源_02物料!$C$4:$C$1203,$AE121-1200)=0,"",INDEX(对接源_02物料!$C$4:$C$1203,$AE121-1200))))</f>
        <v/>
      </c>
      <c r="J121" s="91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2" t="str">
        <f>IFERROR(MATCH(116,_自动清单!$AA$4:$AA$2403,0),"")</f>
        <v/>
      </c>
      <c r="AI121" s="2" t="str">
        <f t="shared" si="6"/>
        <v/>
      </c>
      <c r="AJ121" s="2">
        <f>IF(AI121="",0,IF(MATCH(AI121,AI$6:AI$125,0)=116,1,0))</f>
        <v>0</v>
      </c>
      <c r="AK121" s="2">
        <f t="shared" si="7"/>
        <v>3</v>
      </c>
    </row>
    <row r="122" ht="18" customHeight="1" spans="1:37">
      <c r="A122" s="52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53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53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53" t="str">
        <f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54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53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55" t="str">
        <f>IF($AE122="","",IF($AE122&lt;=1200,IF(INDEX(对接源_01水果!$J$4:$J$1203,$AE122)=0,"",INDEX(对接源_01水果!$J$4:$J$1203,$AE122)),IF(INDEX(对接源_02物料!$J$4:$J$1203,$AE122-1200)=0,"",INDEX(对接源_02物料!$J$4:$J$1203,$AE122-1200))))</f>
        <v/>
      </c>
      <c r="H122" s="53" t="str">
        <f>IF($AE122="","",IF($AE122&lt;=1200,IF(INDEX(对接源_01水果!$W$4:$W$1203,$AE122)=0,"",INDEX(对接源_01水果!$W$4:$W$1203,$AE122)),IF(INDEX(对接源_02物料!$W$4:$W$1203,$AE122-1200)=0,"",INDEX(对接源_02物料!$W$4:$W$1203,$AE122-1200))))</f>
        <v/>
      </c>
      <c r="I122" s="53" t="str">
        <f>IF($AE122="","",IF($AE122&lt;=1200,IF(INDEX(对接源_01水果!$C$4:$C$1203,$AE122)=0,"",INDEX(对接源_01水果!$C$4:$C$1203,$AE122)),IF(INDEX(对接源_02物料!$C$4:$C$1203,$AE122-1200)=0,"",INDEX(对接源_02物料!$C$4:$C$1203,$AE122-1200))))</f>
        <v/>
      </c>
      <c r="J122" s="56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2" t="str">
        <f>IFERROR(MATCH(117,_自动清单!$AA$4:$AA$2403,0),"")</f>
        <v/>
      </c>
      <c r="AI122" s="2" t="str">
        <f t="shared" si="6"/>
        <v/>
      </c>
      <c r="AJ122" s="2">
        <f>IF(AI122="",0,IF(MATCH(AI122,AI$6:AI$125,0)=117,1,0))</f>
        <v>0</v>
      </c>
      <c r="AK122" s="2">
        <f t="shared" si="7"/>
        <v>3</v>
      </c>
    </row>
    <row r="123" ht="18" customHeight="1" spans="1:37">
      <c r="A123" s="87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88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88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88" t="str">
        <f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89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88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90" t="str">
        <f>IF($AE123="","",IF($AE123&lt;=1200,IF(INDEX(对接源_01水果!$J$4:$J$1203,$AE123)=0,"",INDEX(对接源_01水果!$J$4:$J$1203,$AE123)),IF(INDEX(对接源_02物料!$J$4:$J$1203,$AE123-1200)=0,"",INDEX(对接源_02物料!$J$4:$J$1203,$AE123-1200))))</f>
        <v/>
      </c>
      <c r="H123" s="88" t="str">
        <f>IF($AE123="","",IF($AE123&lt;=1200,IF(INDEX(对接源_01水果!$W$4:$W$1203,$AE123)=0,"",INDEX(对接源_01水果!$W$4:$W$1203,$AE123)),IF(INDEX(对接源_02物料!$W$4:$W$1203,$AE123-1200)=0,"",INDEX(对接源_02物料!$W$4:$W$1203,$AE123-1200))))</f>
        <v/>
      </c>
      <c r="I123" s="88" t="str">
        <f>IF($AE123="","",IF($AE123&lt;=1200,IF(INDEX(对接源_01水果!$C$4:$C$1203,$AE123)=0,"",INDEX(对接源_01水果!$C$4:$C$1203,$AE123)),IF(INDEX(对接源_02物料!$C$4:$C$1203,$AE123-1200)=0,"",INDEX(对接源_02物料!$C$4:$C$1203,$AE123-1200))))</f>
        <v/>
      </c>
      <c r="J123" s="91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2" t="str">
        <f>IFERROR(MATCH(118,_自动清单!$AA$4:$AA$2403,0),"")</f>
        <v/>
      </c>
      <c r="AI123" s="2" t="str">
        <f t="shared" si="6"/>
        <v/>
      </c>
      <c r="AJ123" s="2">
        <f>IF(AI123="",0,IF(MATCH(AI123,AI$6:AI$125,0)=118,1,0))</f>
        <v>0</v>
      </c>
      <c r="AK123" s="2">
        <f t="shared" si="7"/>
        <v>3</v>
      </c>
    </row>
    <row r="124" ht="18" customHeight="1" spans="1:37">
      <c r="A124" s="52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53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53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53" t="str">
        <f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54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53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55" t="str">
        <f>IF($AE124="","",IF($AE124&lt;=1200,IF(INDEX(对接源_01水果!$J$4:$J$1203,$AE124)=0,"",INDEX(对接源_01水果!$J$4:$J$1203,$AE124)),IF(INDEX(对接源_02物料!$J$4:$J$1203,$AE124-1200)=0,"",INDEX(对接源_02物料!$J$4:$J$1203,$AE124-1200))))</f>
        <v/>
      </c>
      <c r="H124" s="53" t="str">
        <f>IF($AE124="","",IF($AE124&lt;=1200,IF(INDEX(对接源_01水果!$W$4:$W$1203,$AE124)=0,"",INDEX(对接源_01水果!$W$4:$W$1203,$AE124)),IF(INDEX(对接源_02物料!$W$4:$W$1203,$AE124-1200)=0,"",INDEX(对接源_02物料!$W$4:$W$1203,$AE124-1200))))</f>
        <v/>
      </c>
      <c r="I124" s="53" t="str">
        <f>IF($AE124="","",IF($AE124&lt;=1200,IF(INDEX(对接源_01水果!$C$4:$C$1203,$AE124)=0,"",INDEX(对接源_01水果!$C$4:$C$1203,$AE124)),IF(INDEX(对接源_02物料!$C$4:$C$1203,$AE124-1200)=0,"",INDEX(对接源_02物料!$C$4:$C$1203,$AE124-1200))))</f>
        <v/>
      </c>
      <c r="J124" s="56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2" t="str">
        <f>IFERROR(MATCH(119,_自动清单!$AA$4:$AA$2403,0),"")</f>
        <v/>
      </c>
      <c r="AI124" s="2" t="str">
        <f t="shared" si="6"/>
        <v/>
      </c>
      <c r="AJ124" s="2">
        <f>IF(AI124="",0,IF(MATCH(AI124,AI$6:AI$125,0)=119,1,0))</f>
        <v>0</v>
      </c>
      <c r="AK124" s="2">
        <f t="shared" si="7"/>
        <v>3</v>
      </c>
    </row>
    <row r="125" ht="18" customHeight="1" spans="1:37">
      <c r="A125" s="87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88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88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88" t="str">
        <f>IF($AE125="","",IF($AE125&lt;=1200,IF(INDEX(对接源_01水果!$G$4:$G$1203,$AE125)=0,"",INDEX(对接源_01水果!$G$4:$G$1203,$AE125)),IF(INDEX(对接源_02物料!$G$4:$G$1203,$AE125-1200)=0,"",INDEX(对接源_02物料!$G$4:$G$1203,$AE125-1200))))</f>
        <v/>
      </c>
      <c r="E125" s="89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88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90" t="str">
        <f>IF($AE125="","",IF($AE125&lt;=1200,IF(INDEX(对接源_01水果!$J$4:$J$1203,$AE125)=0,"",INDEX(对接源_01水果!$J$4:$J$1203,$AE125)),IF(INDEX(对接源_02物料!$J$4:$J$1203,$AE125-1200)=0,"",INDEX(对接源_02物料!$J$4:$J$1203,$AE125-1200))))</f>
        <v/>
      </c>
      <c r="H125" s="88" t="str">
        <f>IF($AE125="","",IF($AE125&lt;=1200,IF(INDEX(对接源_01水果!$W$4:$W$1203,$AE125)=0,"",INDEX(对接源_01水果!$W$4:$W$1203,$AE125)),IF(INDEX(对接源_02物料!$W$4:$W$1203,$AE125-1200)=0,"",INDEX(对接源_02物料!$W$4:$W$1203,$AE125-1200))))</f>
        <v/>
      </c>
      <c r="I125" s="88" t="str">
        <f>IF($AE125="","",IF($AE125&lt;=1200,IF(INDEX(对接源_01水果!$C$4:$C$1203,$AE125)=0,"",INDEX(对接源_01水果!$C$4:$C$1203,$AE125)),IF(INDEX(对接源_02物料!$C$4:$C$1203,$AE125-1200)=0,"",INDEX(对接源_02物料!$C$4:$C$1203,$AE125-1200))))</f>
        <v/>
      </c>
      <c r="J125" s="91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2" t="str">
        <f>IFERROR(MATCH(120,_自动清单!$AA$4:$AA$2403,0),"")</f>
        <v/>
      </c>
      <c r="AI125" s="2" t="str">
        <f t="shared" si="6"/>
        <v/>
      </c>
      <c r="AJ125" s="2">
        <f>IF(AI125="",0,IF(MATCH(AI125,AI$6:AI$125,0)=120,1,0))</f>
        <v>0</v>
      </c>
      <c r="AK125" s="2">
        <f t="shared" si="7"/>
        <v>3</v>
      </c>
    </row>
    <row r="127" ht="24" customHeight="1" spans="1:37">
      <c r="A127" s="47" t="s">
        <v>139</v>
      </c>
      <c r="B127" s="47"/>
      <c r="C127" s="47"/>
      <c r="D127" s="47"/>
      <c r="E127" s="47"/>
      <c r="F127" s="47"/>
      <c r="G127" s="47"/>
      <c r="H127" s="83" t="str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&amp;"　筐（件）　｜　总毛重 "&amp;TEXT(ROUND(SUMIFS(对接源_01水果!$J$4:$J$1203,对接源_01水果!$C$4:$C$1203,$B$2,对接源_01水果!$B$4:$B$1203,"&gt;="&amp;$P$1,对接源_01水果!$B$4:$B$1203,"&lt;="&amp;$P$2,对接源_01水果!$D$4:$D$1203,"原料出库*")+SUMIFS(对接源_02物料!$J$4:$J$1203,对接源_02物料!$C$4:$C$1203,$B$2,对接源_02物料!$B$4:$B$1203,"&gt;="&amp;$P$1,对接源_02物料!$B$4:$B$1203,"&lt;="&amp;$P$2,对接源_02物料!$D$4:$D$1203,"原料出库*"),2),"#,##0.00")&amp;" KG"</f>
        <v>0　筐（件）　｜　总毛重 0.00 KG</v>
      </c>
      <c r="I127" s="83"/>
      <c r="J127" s="83"/>
    </row>
    <row r="128" ht="30" customHeight="1" spans="1:37">
      <c r="A128" s="51" t="s">
        <v>80</v>
      </c>
      <c r="B128" s="51" t="s">
        <v>82</v>
      </c>
      <c r="C128" s="51" t="s">
        <v>125</v>
      </c>
      <c r="D128" s="51" t="s">
        <v>126</v>
      </c>
      <c r="E128" s="51" t="s">
        <v>91</v>
      </c>
      <c r="F128" s="51" t="s">
        <v>113</v>
      </c>
      <c r="G128" s="51" t="s">
        <v>127</v>
      </c>
      <c r="H128" s="51" t="s">
        <v>99</v>
      </c>
      <c r="I128" s="51" t="s">
        <v>140</v>
      </c>
      <c r="J128" s="51" t="s">
        <v>88</v>
      </c>
    </row>
    <row r="129" ht="18" customHeight="1" spans="1:40">
      <c r="A129" s="52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53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53" t="str">
        <f>IF($AF129="","",IF($AF129&lt;=1200,IF(INDEX(对接源_01水果!$F$4:$F$1203,$AF129)=0,"",INDEX(对接源_01水果!$F$4:$F$1203,$AF129)),IF(INDEX(对接源_02物料!$F$4:$F$1203,$AF129-1200)=0,"",INDEX(对接源_02物料!$F$4:$F$1203,$AF129-1200))))</f>
        <v/>
      </c>
      <c r="D129" s="53" t="str">
        <f>IF($AF129="","",IF($AF129&lt;=1200,IF(INDEX(对接源_01水果!$G$4:$G$1203,$AF129)=0,"",INDEX(对接源_01水果!$G$4:$G$1203,$AF129)),IF(INDEX(对接源_02物料!$G$4:$G$1203,$AF129-1200)=0,"",INDEX(对接源_02物料!$G$4:$G$1203,$AF129-1200))))</f>
        <v/>
      </c>
      <c r="E129" s="54" t="str">
        <f>IF($AF129="","",IF($AF129&lt;=1200,IF(INDEX(对接源_01水果!$H$4:$H$1203,$AF129)=0,"",INDEX(对接源_01水果!$H$4:$H$1203,$AF129)),IF(INDEX(对接源_02物料!$H$4:$H$1203,$AF129-1200)=0,"",INDEX(对接源_02物料!$H$4:$H$1203,$AF129-1200))))</f>
        <v/>
      </c>
      <c r="F129" s="53" t="str">
        <f>IF($AF129="","",IF($AF129&lt;=1200,IF(INDEX(对接源_01水果!$I$4:$I$1203,$AF129)=0,"",INDEX(对接源_01水果!$I$4:$I$1203,$AF129)),IF(INDEX(对接源_02物料!$I$4:$I$1203,$AF129-1200)=0,"",INDEX(对接源_02物料!$I$4:$I$1203,$AF129-1200))))</f>
        <v/>
      </c>
      <c r="G129" s="55" t="str">
        <f>IF($AF129="","",IF($AF129&lt;=1200,IF(INDEX(对接源_01水果!$J$4:$J$1203,$AF129)=0,"",INDEX(对接源_01水果!$J$4:$J$1203,$AF129)),IF(INDEX(对接源_02物料!$J$4:$J$1203,$AF129-1200)=0,"",INDEX(对接源_02物料!$J$4:$J$1203,$AF129-1200))))</f>
        <v/>
      </c>
      <c r="H129" s="53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I129" s="53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J129" s="56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IFERROR(MATCH(1,_自动清单!$AC$4:$AC$2403,0),"")</f>
        <v/>
      </c>
      <c r="AL129" s="2" t="str">
        <f t="shared" ref="AL129:AL192" si="8">IF($D129="","",$D129)</f>
        <v/>
      </c>
      <c r="AM129" s="2">
        <f>IF(AL129="",0,IF(MATCH(AL129,AL$129:AL$208,0)=1,1,0))</f>
        <v>0</v>
      </c>
      <c r="AN129" s="2">
        <f t="shared" ref="AN129:AN192" si="9">N(AN128)+AM129</f>
        <v>0</v>
      </c>
    </row>
    <row r="130" ht="18" customHeight="1" spans="1:40">
      <c r="A130" s="87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88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88" t="str">
        <f>IF($AF130="","",IF($AF130&lt;=1200,IF(INDEX(对接源_01水果!$F$4:$F$1203,$AF130)=0,"",INDEX(对接源_01水果!$F$4:$F$1203,$AF130)),IF(INDEX(对接源_02物料!$F$4:$F$1203,$AF130-1200)=0,"",INDEX(对接源_02物料!$F$4:$F$1203,$AF130-1200))))</f>
        <v/>
      </c>
      <c r="D130" s="88" t="str">
        <f>IF($AF130="","",IF($AF130&lt;=1200,IF(INDEX(对接源_01水果!$G$4:$G$1203,$AF130)=0,"",INDEX(对接源_01水果!$G$4:$G$1203,$AF130)),IF(INDEX(对接源_02物料!$G$4:$G$1203,$AF130-1200)=0,"",INDEX(对接源_02物料!$G$4:$G$1203,$AF130-1200))))</f>
        <v/>
      </c>
      <c r="E130" s="89" t="str">
        <f>IF($AF130="","",IF($AF130&lt;=1200,IF(INDEX(对接源_01水果!$H$4:$H$1203,$AF130)=0,"",INDEX(对接源_01水果!$H$4:$H$1203,$AF130)),IF(INDEX(对接源_02物料!$H$4:$H$1203,$AF130-1200)=0,"",INDEX(对接源_02物料!$H$4:$H$1203,$AF130-1200))))</f>
        <v/>
      </c>
      <c r="F130" s="88" t="str">
        <f>IF($AF130="","",IF($AF130&lt;=1200,IF(INDEX(对接源_01水果!$I$4:$I$1203,$AF130)=0,"",INDEX(对接源_01水果!$I$4:$I$1203,$AF130)),IF(INDEX(对接源_02物料!$I$4:$I$1203,$AF130-1200)=0,"",INDEX(对接源_02物料!$I$4:$I$1203,$AF130-1200))))</f>
        <v/>
      </c>
      <c r="G130" s="90" t="str">
        <f>IF($AF130="","",IF($AF130&lt;=1200,IF(INDEX(对接源_01水果!$J$4:$J$1203,$AF130)=0,"",INDEX(对接源_01水果!$J$4:$J$1203,$AF130)),IF(INDEX(对接源_02物料!$J$4:$J$1203,$AF130-1200)=0,"",INDEX(对接源_02物料!$J$4:$J$1203,$AF130-1200))))</f>
        <v/>
      </c>
      <c r="H130" s="88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I130" s="88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J130" s="91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IFERROR(MATCH(2,_自动清单!$AC$4:$AC$2403,0),"")</f>
        <v/>
      </c>
      <c r="AL130" s="2" t="str">
        <f t="shared" si="8"/>
        <v/>
      </c>
      <c r="AM130" s="2">
        <f>IF(AL130="",0,IF(MATCH(AL130,AL$129:AL$208,0)=2,1,0))</f>
        <v>0</v>
      </c>
      <c r="AN130" s="2">
        <f t="shared" si="9"/>
        <v>0</v>
      </c>
    </row>
    <row r="131" ht="18" customHeight="1" spans="1:40">
      <c r="A131" s="52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53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53" t="str">
        <f>IF($AF131="","",IF($AF131&lt;=1200,IF(INDEX(对接源_01水果!$F$4:$F$1203,$AF131)=0,"",INDEX(对接源_01水果!$F$4:$F$1203,$AF131)),IF(INDEX(对接源_02物料!$F$4:$F$1203,$AF131-1200)=0,"",INDEX(对接源_02物料!$F$4:$F$1203,$AF131-1200))))</f>
        <v/>
      </c>
      <c r="D131" s="53" t="str">
        <f>IF($AF131="","",IF($AF131&lt;=1200,IF(INDEX(对接源_01水果!$G$4:$G$1203,$AF131)=0,"",INDEX(对接源_01水果!$G$4:$G$1203,$AF131)),IF(INDEX(对接源_02物料!$G$4:$G$1203,$AF131-1200)=0,"",INDEX(对接源_02物料!$G$4:$G$1203,$AF131-1200))))</f>
        <v/>
      </c>
      <c r="E131" s="54" t="str">
        <f>IF($AF131="","",IF($AF131&lt;=1200,IF(INDEX(对接源_01水果!$H$4:$H$1203,$AF131)=0,"",INDEX(对接源_01水果!$H$4:$H$1203,$AF131)),IF(INDEX(对接源_02物料!$H$4:$H$1203,$AF131-1200)=0,"",INDEX(对接源_02物料!$H$4:$H$1203,$AF131-1200))))</f>
        <v/>
      </c>
      <c r="F131" s="53" t="str">
        <f>IF($AF131="","",IF($AF131&lt;=1200,IF(INDEX(对接源_01水果!$I$4:$I$1203,$AF131)=0,"",INDEX(对接源_01水果!$I$4:$I$1203,$AF131)),IF(INDEX(对接源_02物料!$I$4:$I$1203,$AF131-1200)=0,"",INDEX(对接源_02物料!$I$4:$I$1203,$AF131-1200))))</f>
        <v/>
      </c>
      <c r="G131" s="55" t="str">
        <f>IF($AF131="","",IF($AF131&lt;=1200,IF(INDEX(对接源_01水果!$J$4:$J$1203,$AF131)=0,"",INDEX(对接源_01水果!$J$4:$J$1203,$AF131)),IF(INDEX(对接源_02物料!$J$4:$J$1203,$AF131-1200)=0,"",INDEX(对接源_02物料!$J$4:$J$1203,$AF131-1200))))</f>
        <v/>
      </c>
      <c r="H131" s="53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I131" s="53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J131" s="56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IFERROR(MATCH(3,_自动清单!$AC$4:$AC$2403,0),"")</f>
        <v/>
      </c>
      <c r="AL131" s="2" t="str">
        <f t="shared" si="8"/>
        <v/>
      </c>
      <c r="AM131" s="2">
        <f>IF(AL131="",0,IF(MATCH(AL131,AL$129:AL$208,0)=3,1,0))</f>
        <v>0</v>
      </c>
      <c r="AN131" s="2">
        <f t="shared" si="9"/>
        <v>0</v>
      </c>
    </row>
    <row r="132" ht="18" customHeight="1" spans="1:40">
      <c r="A132" s="87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88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88" t="str">
        <f>IF($AF132="","",IF($AF132&lt;=1200,IF(INDEX(对接源_01水果!$F$4:$F$1203,$AF132)=0,"",INDEX(对接源_01水果!$F$4:$F$1203,$AF132)),IF(INDEX(对接源_02物料!$F$4:$F$1203,$AF132-1200)=0,"",INDEX(对接源_02物料!$F$4:$F$1203,$AF132-1200))))</f>
        <v/>
      </c>
      <c r="D132" s="88" t="str">
        <f>IF($AF132="","",IF($AF132&lt;=1200,IF(INDEX(对接源_01水果!$G$4:$G$1203,$AF132)=0,"",INDEX(对接源_01水果!$G$4:$G$1203,$AF132)),IF(INDEX(对接源_02物料!$G$4:$G$1203,$AF132-1200)=0,"",INDEX(对接源_02物料!$G$4:$G$1203,$AF132-1200))))</f>
        <v/>
      </c>
      <c r="E132" s="89" t="str">
        <f>IF($AF132="","",IF($AF132&lt;=1200,IF(INDEX(对接源_01水果!$H$4:$H$1203,$AF132)=0,"",INDEX(对接源_01水果!$H$4:$H$1203,$AF132)),IF(INDEX(对接源_02物料!$H$4:$H$1203,$AF132-1200)=0,"",INDEX(对接源_02物料!$H$4:$H$1203,$AF132-1200))))</f>
        <v/>
      </c>
      <c r="F132" s="88" t="str">
        <f>IF($AF132="","",IF($AF132&lt;=1200,IF(INDEX(对接源_01水果!$I$4:$I$1203,$AF132)=0,"",INDEX(对接源_01水果!$I$4:$I$1203,$AF132)),IF(INDEX(对接源_02物料!$I$4:$I$1203,$AF132-1200)=0,"",INDEX(对接源_02物料!$I$4:$I$1203,$AF132-1200))))</f>
        <v/>
      </c>
      <c r="G132" s="90" t="str">
        <f>IF($AF132="","",IF($AF132&lt;=1200,IF(INDEX(对接源_01水果!$J$4:$J$1203,$AF132)=0,"",INDEX(对接源_01水果!$J$4:$J$1203,$AF132)),IF(INDEX(对接源_02物料!$J$4:$J$1203,$AF132-1200)=0,"",INDEX(对接源_02物料!$J$4:$J$1203,$AF132-1200))))</f>
        <v/>
      </c>
      <c r="H132" s="88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I132" s="88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J132" s="91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IFERROR(MATCH(4,_自动清单!$AC$4:$AC$2403,0),"")</f>
        <v/>
      </c>
      <c r="AL132" s="2" t="str">
        <f t="shared" si="8"/>
        <v/>
      </c>
      <c r="AM132" s="2">
        <f>IF(AL132="",0,IF(MATCH(AL132,AL$129:AL$208,0)=4,1,0))</f>
        <v>0</v>
      </c>
      <c r="AN132" s="2">
        <f t="shared" si="9"/>
        <v>0</v>
      </c>
    </row>
    <row r="133" ht="18" customHeight="1" spans="1:40">
      <c r="A133" s="52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53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53" t="str">
        <f>IF($AF133="","",IF($AF133&lt;=1200,IF(INDEX(对接源_01水果!$F$4:$F$1203,$AF133)=0,"",INDEX(对接源_01水果!$F$4:$F$1203,$AF133)),IF(INDEX(对接源_02物料!$F$4:$F$1203,$AF133-1200)=0,"",INDEX(对接源_02物料!$F$4:$F$1203,$AF133-1200))))</f>
        <v/>
      </c>
      <c r="D133" s="53" t="str">
        <f>IF($AF133="","",IF($AF133&lt;=1200,IF(INDEX(对接源_01水果!$G$4:$G$1203,$AF133)=0,"",INDEX(对接源_01水果!$G$4:$G$1203,$AF133)),IF(INDEX(对接源_02物料!$G$4:$G$1203,$AF133-1200)=0,"",INDEX(对接源_02物料!$G$4:$G$1203,$AF133-1200))))</f>
        <v/>
      </c>
      <c r="E133" s="54" t="str">
        <f>IF($AF133="","",IF($AF133&lt;=1200,IF(INDEX(对接源_01水果!$H$4:$H$1203,$AF133)=0,"",INDEX(对接源_01水果!$H$4:$H$1203,$AF133)),IF(INDEX(对接源_02物料!$H$4:$H$1203,$AF133-1200)=0,"",INDEX(对接源_02物料!$H$4:$H$1203,$AF133-1200))))</f>
        <v/>
      </c>
      <c r="F133" s="53" t="str">
        <f>IF($AF133="","",IF($AF133&lt;=1200,IF(INDEX(对接源_01水果!$I$4:$I$1203,$AF133)=0,"",INDEX(对接源_01水果!$I$4:$I$1203,$AF133)),IF(INDEX(对接源_02物料!$I$4:$I$1203,$AF133-1200)=0,"",INDEX(对接源_02物料!$I$4:$I$1203,$AF133-1200))))</f>
        <v/>
      </c>
      <c r="G133" s="55" t="str">
        <f>IF($AF133="","",IF($AF133&lt;=1200,IF(INDEX(对接源_01水果!$J$4:$J$1203,$AF133)=0,"",INDEX(对接源_01水果!$J$4:$J$1203,$AF133)),IF(INDEX(对接源_02物料!$J$4:$J$1203,$AF133-1200)=0,"",INDEX(对接源_02物料!$J$4:$J$1203,$AF133-1200))))</f>
        <v/>
      </c>
      <c r="H133" s="53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I133" s="53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J133" s="56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IFERROR(MATCH(5,_自动清单!$AC$4:$AC$2403,0),"")</f>
        <v/>
      </c>
      <c r="AL133" s="2" t="str">
        <f t="shared" si="8"/>
        <v/>
      </c>
      <c r="AM133" s="2">
        <f>IF(AL133="",0,IF(MATCH(AL133,AL$129:AL$208,0)=5,1,0))</f>
        <v>0</v>
      </c>
      <c r="AN133" s="2">
        <f t="shared" si="9"/>
        <v>0</v>
      </c>
    </row>
    <row r="134" ht="18" customHeight="1" spans="1:40">
      <c r="A134" s="87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88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88" t="str">
        <f>IF($AF134="","",IF($AF134&lt;=1200,IF(INDEX(对接源_01水果!$F$4:$F$1203,$AF134)=0,"",INDEX(对接源_01水果!$F$4:$F$1203,$AF134)),IF(INDEX(对接源_02物料!$F$4:$F$1203,$AF134-1200)=0,"",INDEX(对接源_02物料!$F$4:$F$1203,$AF134-1200))))</f>
        <v/>
      </c>
      <c r="D134" s="88" t="str">
        <f>IF($AF134="","",IF($AF134&lt;=1200,IF(INDEX(对接源_01水果!$G$4:$G$1203,$AF134)=0,"",INDEX(对接源_01水果!$G$4:$G$1203,$AF134)),IF(INDEX(对接源_02物料!$G$4:$G$1203,$AF134-1200)=0,"",INDEX(对接源_02物料!$G$4:$G$1203,$AF134-1200))))</f>
        <v/>
      </c>
      <c r="E134" s="89" t="str">
        <f>IF($AF134="","",IF($AF134&lt;=1200,IF(INDEX(对接源_01水果!$H$4:$H$1203,$AF134)=0,"",INDEX(对接源_01水果!$H$4:$H$1203,$AF134)),IF(INDEX(对接源_02物料!$H$4:$H$1203,$AF134-1200)=0,"",INDEX(对接源_02物料!$H$4:$H$1203,$AF134-1200))))</f>
        <v/>
      </c>
      <c r="F134" s="88" t="str">
        <f>IF($AF134="","",IF($AF134&lt;=1200,IF(INDEX(对接源_01水果!$I$4:$I$1203,$AF134)=0,"",INDEX(对接源_01水果!$I$4:$I$1203,$AF134)),IF(INDEX(对接源_02物料!$I$4:$I$1203,$AF134-1200)=0,"",INDEX(对接源_02物料!$I$4:$I$1203,$AF134-1200))))</f>
        <v/>
      </c>
      <c r="G134" s="90" t="str">
        <f>IF($AF134="","",IF($AF134&lt;=1200,IF(INDEX(对接源_01水果!$J$4:$J$1203,$AF134)=0,"",INDEX(对接源_01水果!$J$4:$J$1203,$AF134)),IF(INDEX(对接源_02物料!$J$4:$J$1203,$AF134-1200)=0,"",INDEX(对接源_02物料!$J$4:$J$1203,$AF134-1200))))</f>
        <v/>
      </c>
      <c r="H134" s="88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I134" s="88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J134" s="91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IFERROR(MATCH(6,_自动清单!$AC$4:$AC$2403,0),"")</f>
        <v/>
      </c>
      <c r="AL134" s="2" t="str">
        <f t="shared" si="8"/>
        <v/>
      </c>
      <c r="AM134" s="2">
        <f>IF(AL134="",0,IF(MATCH(AL134,AL$129:AL$208,0)=6,1,0))</f>
        <v>0</v>
      </c>
      <c r="AN134" s="2">
        <f t="shared" si="9"/>
        <v>0</v>
      </c>
    </row>
    <row r="135" ht="18" customHeight="1" spans="1:40">
      <c r="A135" s="52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53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53" t="str">
        <f>IF($AF135="","",IF($AF135&lt;=1200,IF(INDEX(对接源_01水果!$F$4:$F$1203,$AF135)=0,"",INDEX(对接源_01水果!$F$4:$F$1203,$AF135)),IF(INDEX(对接源_02物料!$F$4:$F$1203,$AF135-1200)=0,"",INDEX(对接源_02物料!$F$4:$F$1203,$AF135-1200))))</f>
        <v/>
      </c>
      <c r="D135" s="53" t="str">
        <f>IF($AF135="","",IF($AF135&lt;=1200,IF(INDEX(对接源_01水果!$G$4:$G$1203,$AF135)=0,"",INDEX(对接源_01水果!$G$4:$G$1203,$AF135)),IF(INDEX(对接源_02物料!$G$4:$G$1203,$AF135-1200)=0,"",INDEX(对接源_02物料!$G$4:$G$1203,$AF135-1200))))</f>
        <v/>
      </c>
      <c r="E135" s="54" t="str">
        <f>IF($AF135="","",IF($AF135&lt;=1200,IF(INDEX(对接源_01水果!$H$4:$H$1203,$AF135)=0,"",INDEX(对接源_01水果!$H$4:$H$1203,$AF135)),IF(INDEX(对接源_02物料!$H$4:$H$1203,$AF135-1200)=0,"",INDEX(对接源_02物料!$H$4:$H$1203,$AF135-1200))))</f>
        <v/>
      </c>
      <c r="F135" s="53" t="str">
        <f>IF($AF135="","",IF($AF135&lt;=1200,IF(INDEX(对接源_01水果!$I$4:$I$1203,$AF135)=0,"",INDEX(对接源_01水果!$I$4:$I$1203,$AF135)),IF(INDEX(对接源_02物料!$I$4:$I$1203,$AF135-1200)=0,"",INDEX(对接源_02物料!$I$4:$I$1203,$AF135-1200))))</f>
        <v/>
      </c>
      <c r="G135" s="55" t="str">
        <f>IF($AF135="","",IF($AF135&lt;=1200,IF(INDEX(对接源_01水果!$J$4:$J$1203,$AF135)=0,"",INDEX(对接源_01水果!$J$4:$J$1203,$AF135)),IF(INDEX(对接源_02物料!$J$4:$J$1203,$AF135-1200)=0,"",INDEX(对接源_02物料!$J$4:$J$1203,$AF135-1200))))</f>
        <v/>
      </c>
      <c r="H135" s="53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I135" s="53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J135" s="56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IFERROR(MATCH(7,_自动清单!$AC$4:$AC$2403,0),"")</f>
        <v/>
      </c>
      <c r="AL135" s="2" t="str">
        <f t="shared" si="8"/>
        <v/>
      </c>
      <c r="AM135" s="2">
        <f>IF(AL135="",0,IF(MATCH(AL135,AL$129:AL$208,0)=7,1,0))</f>
        <v>0</v>
      </c>
      <c r="AN135" s="2">
        <f t="shared" si="9"/>
        <v>0</v>
      </c>
    </row>
    <row r="136" ht="18" customHeight="1" spans="1:40">
      <c r="A136" s="87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88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88" t="str">
        <f>IF($AF136="","",IF($AF136&lt;=1200,IF(INDEX(对接源_01水果!$F$4:$F$1203,$AF136)=0,"",INDEX(对接源_01水果!$F$4:$F$1203,$AF136)),IF(INDEX(对接源_02物料!$F$4:$F$1203,$AF136-1200)=0,"",INDEX(对接源_02物料!$F$4:$F$1203,$AF136-1200))))</f>
        <v/>
      </c>
      <c r="D136" s="88" t="str">
        <f>IF($AF136="","",IF($AF136&lt;=1200,IF(INDEX(对接源_01水果!$G$4:$G$1203,$AF136)=0,"",INDEX(对接源_01水果!$G$4:$G$1203,$AF136)),IF(INDEX(对接源_02物料!$G$4:$G$1203,$AF136-1200)=0,"",INDEX(对接源_02物料!$G$4:$G$1203,$AF136-1200))))</f>
        <v/>
      </c>
      <c r="E136" s="89" t="str">
        <f>IF($AF136="","",IF($AF136&lt;=1200,IF(INDEX(对接源_01水果!$H$4:$H$1203,$AF136)=0,"",INDEX(对接源_01水果!$H$4:$H$1203,$AF136)),IF(INDEX(对接源_02物料!$H$4:$H$1203,$AF136-1200)=0,"",INDEX(对接源_02物料!$H$4:$H$1203,$AF136-1200))))</f>
        <v/>
      </c>
      <c r="F136" s="88" t="str">
        <f>IF($AF136="","",IF($AF136&lt;=1200,IF(INDEX(对接源_01水果!$I$4:$I$1203,$AF136)=0,"",INDEX(对接源_01水果!$I$4:$I$1203,$AF136)),IF(INDEX(对接源_02物料!$I$4:$I$1203,$AF136-1200)=0,"",INDEX(对接源_02物料!$I$4:$I$1203,$AF136-1200))))</f>
        <v/>
      </c>
      <c r="G136" s="90" t="str">
        <f>IF($AF136="","",IF($AF136&lt;=1200,IF(INDEX(对接源_01水果!$J$4:$J$1203,$AF136)=0,"",INDEX(对接源_01水果!$J$4:$J$1203,$AF136)),IF(INDEX(对接源_02物料!$J$4:$J$1203,$AF136-1200)=0,"",INDEX(对接源_02物料!$J$4:$J$1203,$AF136-1200))))</f>
        <v/>
      </c>
      <c r="H136" s="88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I136" s="88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J136" s="91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IFERROR(MATCH(8,_自动清单!$AC$4:$AC$2403,0),"")</f>
        <v/>
      </c>
      <c r="AL136" s="2" t="str">
        <f t="shared" si="8"/>
        <v/>
      </c>
      <c r="AM136" s="2">
        <f>IF(AL136="",0,IF(MATCH(AL136,AL$129:AL$208,0)=8,1,0))</f>
        <v>0</v>
      </c>
      <c r="AN136" s="2">
        <f t="shared" si="9"/>
        <v>0</v>
      </c>
    </row>
    <row r="137" ht="18" customHeight="1" spans="1:40">
      <c r="A137" s="52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53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53" t="str">
        <f>IF($AF137="","",IF($AF137&lt;=1200,IF(INDEX(对接源_01水果!$F$4:$F$1203,$AF137)=0,"",INDEX(对接源_01水果!$F$4:$F$1203,$AF137)),IF(INDEX(对接源_02物料!$F$4:$F$1203,$AF137-1200)=0,"",INDEX(对接源_02物料!$F$4:$F$1203,$AF137-1200))))</f>
        <v/>
      </c>
      <c r="D137" s="53" t="str">
        <f>IF($AF137="","",IF($AF137&lt;=1200,IF(INDEX(对接源_01水果!$G$4:$G$1203,$AF137)=0,"",INDEX(对接源_01水果!$G$4:$G$1203,$AF137)),IF(INDEX(对接源_02物料!$G$4:$G$1203,$AF137-1200)=0,"",INDEX(对接源_02物料!$G$4:$G$1203,$AF137-1200))))</f>
        <v/>
      </c>
      <c r="E137" s="54" t="str">
        <f>IF($AF137="","",IF($AF137&lt;=1200,IF(INDEX(对接源_01水果!$H$4:$H$1203,$AF137)=0,"",INDEX(对接源_01水果!$H$4:$H$1203,$AF137)),IF(INDEX(对接源_02物料!$H$4:$H$1203,$AF137-1200)=0,"",INDEX(对接源_02物料!$H$4:$H$1203,$AF137-1200))))</f>
        <v/>
      </c>
      <c r="F137" s="53" t="str">
        <f>IF($AF137="","",IF($AF137&lt;=1200,IF(INDEX(对接源_01水果!$I$4:$I$1203,$AF137)=0,"",INDEX(对接源_01水果!$I$4:$I$1203,$AF137)),IF(INDEX(对接源_02物料!$I$4:$I$1203,$AF137-1200)=0,"",INDEX(对接源_02物料!$I$4:$I$1203,$AF137-1200))))</f>
        <v/>
      </c>
      <c r="G137" s="55" t="str">
        <f>IF($AF137="","",IF($AF137&lt;=1200,IF(INDEX(对接源_01水果!$J$4:$J$1203,$AF137)=0,"",INDEX(对接源_01水果!$J$4:$J$1203,$AF137)),IF(INDEX(对接源_02物料!$J$4:$J$1203,$AF137-1200)=0,"",INDEX(对接源_02物料!$J$4:$J$1203,$AF137-1200))))</f>
        <v/>
      </c>
      <c r="H137" s="53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I137" s="53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J137" s="56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IFERROR(MATCH(9,_自动清单!$AC$4:$AC$2403,0),"")</f>
        <v/>
      </c>
      <c r="AL137" s="2" t="str">
        <f t="shared" si="8"/>
        <v/>
      </c>
      <c r="AM137" s="2">
        <f>IF(AL137="",0,IF(MATCH(AL137,AL$129:AL$208,0)=9,1,0))</f>
        <v>0</v>
      </c>
      <c r="AN137" s="2">
        <f t="shared" si="9"/>
        <v>0</v>
      </c>
    </row>
    <row r="138" ht="18" customHeight="1" spans="1:40">
      <c r="A138" s="87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88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88" t="str">
        <f>IF($AF138="","",IF($AF138&lt;=1200,IF(INDEX(对接源_01水果!$F$4:$F$1203,$AF138)=0,"",INDEX(对接源_01水果!$F$4:$F$1203,$AF138)),IF(INDEX(对接源_02物料!$F$4:$F$1203,$AF138-1200)=0,"",INDEX(对接源_02物料!$F$4:$F$1203,$AF138-1200))))</f>
        <v/>
      </c>
      <c r="D138" s="88" t="str">
        <f>IF($AF138="","",IF($AF138&lt;=1200,IF(INDEX(对接源_01水果!$G$4:$G$1203,$AF138)=0,"",INDEX(对接源_01水果!$G$4:$G$1203,$AF138)),IF(INDEX(对接源_02物料!$G$4:$G$1203,$AF138-1200)=0,"",INDEX(对接源_02物料!$G$4:$G$1203,$AF138-1200))))</f>
        <v/>
      </c>
      <c r="E138" s="89" t="str">
        <f>IF($AF138="","",IF($AF138&lt;=1200,IF(INDEX(对接源_01水果!$H$4:$H$1203,$AF138)=0,"",INDEX(对接源_01水果!$H$4:$H$1203,$AF138)),IF(INDEX(对接源_02物料!$H$4:$H$1203,$AF138-1200)=0,"",INDEX(对接源_02物料!$H$4:$H$1203,$AF138-1200))))</f>
        <v/>
      </c>
      <c r="F138" s="88" t="str">
        <f>IF($AF138="","",IF($AF138&lt;=1200,IF(INDEX(对接源_01水果!$I$4:$I$1203,$AF138)=0,"",INDEX(对接源_01水果!$I$4:$I$1203,$AF138)),IF(INDEX(对接源_02物料!$I$4:$I$1203,$AF138-1200)=0,"",INDEX(对接源_02物料!$I$4:$I$1203,$AF138-1200))))</f>
        <v/>
      </c>
      <c r="G138" s="90" t="str">
        <f>IF($AF138="","",IF($AF138&lt;=1200,IF(INDEX(对接源_01水果!$J$4:$J$1203,$AF138)=0,"",INDEX(对接源_01水果!$J$4:$J$1203,$AF138)),IF(INDEX(对接源_02物料!$J$4:$J$1203,$AF138-1200)=0,"",INDEX(对接源_02物料!$J$4:$J$1203,$AF138-1200))))</f>
        <v/>
      </c>
      <c r="H138" s="88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I138" s="88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J138" s="91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IFERROR(MATCH(10,_自动清单!$AC$4:$AC$2403,0),"")</f>
        <v/>
      </c>
      <c r="AL138" s="2" t="str">
        <f t="shared" si="8"/>
        <v/>
      </c>
      <c r="AM138" s="2">
        <f>IF(AL138="",0,IF(MATCH(AL138,AL$129:AL$208,0)=10,1,0))</f>
        <v>0</v>
      </c>
      <c r="AN138" s="2">
        <f t="shared" si="9"/>
        <v>0</v>
      </c>
    </row>
    <row r="139" ht="18" customHeight="1" spans="1:40">
      <c r="A139" s="52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53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53" t="str">
        <f>IF($AF139="","",IF($AF139&lt;=1200,IF(INDEX(对接源_01水果!$F$4:$F$1203,$AF139)=0,"",INDEX(对接源_01水果!$F$4:$F$1203,$AF139)),IF(INDEX(对接源_02物料!$F$4:$F$1203,$AF139-1200)=0,"",INDEX(对接源_02物料!$F$4:$F$1203,$AF139-1200))))</f>
        <v/>
      </c>
      <c r="D139" s="53" t="str">
        <f>IF($AF139="","",IF($AF139&lt;=1200,IF(INDEX(对接源_01水果!$G$4:$G$1203,$AF139)=0,"",INDEX(对接源_01水果!$G$4:$G$1203,$AF139)),IF(INDEX(对接源_02物料!$G$4:$G$1203,$AF139-1200)=0,"",INDEX(对接源_02物料!$G$4:$G$1203,$AF139-1200))))</f>
        <v/>
      </c>
      <c r="E139" s="54" t="str">
        <f>IF($AF139="","",IF($AF139&lt;=1200,IF(INDEX(对接源_01水果!$H$4:$H$1203,$AF139)=0,"",INDEX(对接源_01水果!$H$4:$H$1203,$AF139)),IF(INDEX(对接源_02物料!$H$4:$H$1203,$AF139-1200)=0,"",INDEX(对接源_02物料!$H$4:$H$1203,$AF139-1200))))</f>
        <v/>
      </c>
      <c r="F139" s="53" t="str">
        <f>IF($AF139="","",IF($AF139&lt;=1200,IF(INDEX(对接源_01水果!$I$4:$I$1203,$AF139)=0,"",INDEX(对接源_01水果!$I$4:$I$1203,$AF139)),IF(INDEX(对接源_02物料!$I$4:$I$1203,$AF139-1200)=0,"",INDEX(对接源_02物料!$I$4:$I$1203,$AF139-1200))))</f>
        <v/>
      </c>
      <c r="G139" s="55" t="str">
        <f>IF($AF139="","",IF($AF139&lt;=1200,IF(INDEX(对接源_01水果!$J$4:$J$1203,$AF139)=0,"",INDEX(对接源_01水果!$J$4:$J$1203,$AF139)),IF(INDEX(对接源_02物料!$J$4:$J$1203,$AF139-1200)=0,"",INDEX(对接源_02物料!$J$4:$J$1203,$AF139-1200))))</f>
        <v/>
      </c>
      <c r="H139" s="53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I139" s="53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J139" s="56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IFERROR(MATCH(11,_自动清单!$AC$4:$AC$2403,0),"")</f>
        <v/>
      </c>
      <c r="AL139" s="2" t="str">
        <f t="shared" si="8"/>
        <v/>
      </c>
      <c r="AM139" s="2">
        <f>IF(AL139="",0,IF(MATCH(AL139,AL$129:AL$208,0)=11,1,0))</f>
        <v>0</v>
      </c>
      <c r="AN139" s="2">
        <f t="shared" si="9"/>
        <v>0</v>
      </c>
    </row>
    <row r="140" ht="18" customHeight="1" spans="1:40">
      <c r="A140" s="87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88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88" t="str">
        <f>IF($AF140="","",IF($AF140&lt;=1200,IF(INDEX(对接源_01水果!$F$4:$F$1203,$AF140)=0,"",INDEX(对接源_01水果!$F$4:$F$1203,$AF140)),IF(INDEX(对接源_02物料!$F$4:$F$1203,$AF140-1200)=0,"",INDEX(对接源_02物料!$F$4:$F$1203,$AF140-1200))))</f>
        <v/>
      </c>
      <c r="D140" s="88" t="str">
        <f>IF($AF140="","",IF($AF140&lt;=1200,IF(INDEX(对接源_01水果!$G$4:$G$1203,$AF140)=0,"",INDEX(对接源_01水果!$G$4:$G$1203,$AF140)),IF(INDEX(对接源_02物料!$G$4:$G$1203,$AF140-1200)=0,"",INDEX(对接源_02物料!$G$4:$G$1203,$AF140-1200))))</f>
        <v/>
      </c>
      <c r="E140" s="89" t="str">
        <f>IF($AF140="","",IF($AF140&lt;=1200,IF(INDEX(对接源_01水果!$H$4:$H$1203,$AF140)=0,"",INDEX(对接源_01水果!$H$4:$H$1203,$AF140)),IF(INDEX(对接源_02物料!$H$4:$H$1203,$AF140-1200)=0,"",INDEX(对接源_02物料!$H$4:$H$1203,$AF140-1200))))</f>
        <v/>
      </c>
      <c r="F140" s="88" t="str">
        <f>IF($AF140="","",IF($AF140&lt;=1200,IF(INDEX(对接源_01水果!$I$4:$I$1203,$AF140)=0,"",INDEX(对接源_01水果!$I$4:$I$1203,$AF140)),IF(INDEX(对接源_02物料!$I$4:$I$1203,$AF140-1200)=0,"",INDEX(对接源_02物料!$I$4:$I$1203,$AF140-1200))))</f>
        <v/>
      </c>
      <c r="G140" s="90" t="str">
        <f>IF($AF140="","",IF($AF140&lt;=1200,IF(INDEX(对接源_01水果!$J$4:$J$1203,$AF140)=0,"",INDEX(对接源_01水果!$J$4:$J$1203,$AF140)),IF(INDEX(对接源_02物料!$J$4:$J$1203,$AF140-1200)=0,"",INDEX(对接源_02物料!$J$4:$J$1203,$AF140-1200))))</f>
        <v/>
      </c>
      <c r="H140" s="88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I140" s="88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J140" s="91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IFERROR(MATCH(12,_自动清单!$AC$4:$AC$2403,0),"")</f>
        <v/>
      </c>
      <c r="AL140" s="2" t="str">
        <f t="shared" si="8"/>
        <v/>
      </c>
      <c r="AM140" s="2">
        <f>IF(AL140="",0,IF(MATCH(AL140,AL$129:AL$208,0)=12,1,0))</f>
        <v>0</v>
      </c>
      <c r="AN140" s="2">
        <f t="shared" si="9"/>
        <v>0</v>
      </c>
    </row>
    <row r="141" ht="18" customHeight="1" spans="1:40">
      <c r="A141" s="52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53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53" t="str">
        <f>IF($AF141="","",IF($AF141&lt;=1200,IF(INDEX(对接源_01水果!$F$4:$F$1203,$AF141)=0,"",INDEX(对接源_01水果!$F$4:$F$1203,$AF141)),IF(INDEX(对接源_02物料!$F$4:$F$1203,$AF141-1200)=0,"",INDEX(对接源_02物料!$F$4:$F$1203,$AF141-1200))))</f>
        <v/>
      </c>
      <c r="D141" s="53" t="str">
        <f>IF($AF141="","",IF($AF141&lt;=1200,IF(INDEX(对接源_01水果!$G$4:$G$1203,$AF141)=0,"",INDEX(对接源_01水果!$G$4:$G$1203,$AF141)),IF(INDEX(对接源_02物料!$G$4:$G$1203,$AF141-1200)=0,"",INDEX(对接源_02物料!$G$4:$G$1203,$AF141-1200))))</f>
        <v/>
      </c>
      <c r="E141" s="54" t="str">
        <f>IF($AF141="","",IF($AF141&lt;=1200,IF(INDEX(对接源_01水果!$H$4:$H$1203,$AF141)=0,"",INDEX(对接源_01水果!$H$4:$H$1203,$AF141)),IF(INDEX(对接源_02物料!$H$4:$H$1203,$AF141-1200)=0,"",INDEX(对接源_02物料!$H$4:$H$1203,$AF141-1200))))</f>
        <v/>
      </c>
      <c r="F141" s="53" t="str">
        <f>IF($AF141="","",IF($AF141&lt;=1200,IF(INDEX(对接源_01水果!$I$4:$I$1203,$AF141)=0,"",INDEX(对接源_01水果!$I$4:$I$1203,$AF141)),IF(INDEX(对接源_02物料!$I$4:$I$1203,$AF141-1200)=0,"",INDEX(对接源_02物料!$I$4:$I$1203,$AF141-1200))))</f>
        <v/>
      </c>
      <c r="G141" s="55" t="str">
        <f>IF($AF141="","",IF($AF141&lt;=1200,IF(INDEX(对接源_01水果!$J$4:$J$1203,$AF141)=0,"",INDEX(对接源_01水果!$J$4:$J$1203,$AF141)),IF(INDEX(对接源_02物料!$J$4:$J$1203,$AF141-1200)=0,"",INDEX(对接源_02物料!$J$4:$J$1203,$AF141-1200))))</f>
        <v/>
      </c>
      <c r="H141" s="53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I141" s="53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J141" s="56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IFERROR(MATCH(13,_自动清单!$AC$4:$AC$2403,0),"")</f>
        <v/>
      </c>
      <c r="AL141" s="2" t="str">
        <f t="shared" si="8"/>
        <v/>
      </c>
      <c r="AM141" s="2">
        <f>IF(AL141="",0,IF(MATCH(AL141,AL$129:AL$208,0)=13,1,0))</f>
        <v>0</v>
      </c>
      <c r="AN141" s="2">
        <f t="shared" si="9"/>
        <v>0</v>
      </c>
    </row>
    <row r="142" ht="18" customHeight="1" spans="1:40">
      <c r="A142" s="87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88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88" t="str">
        <f>IF($AF142="","",IF($AF142&lt;=1200,IF(INDEX(对接源_01水果!$F$4:$F$1203,$AF142)=0,"",INDEX(对接源_01水果!$F$4:$F$1203,$AF142)),IF(INDEX(对接源_02物料!$F$4:$F$1203,$AF142-1200)=0,"",INDEX(对接源_02物料!$F$4:$F$1203,$AF142-1200))))</f>
        <v/>
      </c>
      <c r="D142" s="88" t="str">
        <f>IF($AF142="","",IF($AF142&lt;=1200,IF(INDEX(对接源_01水果!$G$4:$G$1203,$AF142)=0,"",INDEX(对接源_01水果!$G$4:$G$1203,$AF142)),IF(INDEX(对接源_02物料!$G$4:$G$1203,$AF142-1200)=0,"",INDEX(对接源_02物料!$G$4:$G$1203,$AF142-1200))))</f>
        <v/>
      </c>
      <c r="E142" s="89" t="str">
        <f>IF($AF142="","",IF($AF142&lt;=1200,IF(INDEX(对接源_01水果!$H$4:$H$1203,$AF142)=0,"",INDEX(对接源_01水果!$H$4:$H$1203,$AF142)),IF(INDEX(对接源_02物料!$H$4:$H$1203,$AF142-1200)=0,"",INDEX(对接源_02物料!$H$4:$H$1203,$AF142-1200))))</f>
        <v/>
      </c>
      <c r="F142" s="88" t="str">
        <f>IF($AF142="","",IF($AF142&lt;=1200,IF(INDEX(对接源_01水果!$I$4:$I$1203,$AF142)=0,"",INDEX(对接源_01水果!$I$4:$I$1203,$AF142)),IF(INDEX(对接源_02物料!$I$4:$I$1203,$AF142-1200)=0,"",INDEX(对接源_02物料!$I$4:$I$1203,$AF142-1200))))</f>
        <v/>
      </c>
      <c r="G142" s="90" t="str">
        <f>IF($AF142="","",IF($AF142&lt;=1200,IF(INDEX(对接源_01水果!$J$4:$J$1203,$AF142)=0,"",INDEX(对接源_01水果!$J$4:$J$1203,$AF142)),IF(INDEX(对接源_02物料!$J$4:$J$1203,$AF142-1200)=0,"",INDEX(对接源_02物料!$J$4:$J$1203,$AF142-1200))))</f>
        <v/>
      </c>
      <c r="H142" s="88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I142" s="88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J142" s="91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IFERROR(MATCH(14,_自动清单!$AC$4:$AC$2403,0),"")</f>
        <v/>
      </c>
      <c r="AL142" s="2" t="str">
        <f t="shared" si="8"/>
        <v/>
      </c>
      <c r="AM142" s="2">
        <f>IF(AL142="",0,IF(MATCH(AL142,AL$129:AL$208,0)=14,1,0))</f>
        <v>0</v>
      </c>
      <c r="AN142" s="2">
        <f t="shared" si="9"/>
        <v>0</v>
      </c>
    </row>
    <row r="143" ht="18" customHeight="1" spans="1:40">
      <c r="A143" s="52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53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53" t="str">
        <f>IF($AF143="","",IF($AF143&lt;=1200,IF(INDEX(对接源_01水果!$F$4:$F$1203,$AF143)=0,"",INDEX(对接源_01水果!$F$4:$F$1203,$AF143)),IF(INDEX(对接源_02物料!$F$4:$F$1203,$AF143-1200)=0,"",INDEX(对接源_02物料!$F$4:$F$1203,$AF143-1200))))</f>
        <v/>
      </c>
      <c r="D143" s="53" t="str">
        <f>IF($AF143="","",IF($AF143&lt;=1200,IF(INDEX(对接源_01水果!$G$4:$G$1203,$AF143)=0,"",INDEX(对接源_01水果!$G$4:$G$1203,$AF143)),IF(INDEX(对接源_02物料!$G$4:$G$1203,$AF143-1200)=0,"",INDEX(对接源_02物料!$G$4:$G$1203,$AF143-1200))))</f>
        <v/>
      </c>
      <c r="E143" s="54" t="str">
        <f>IF($AF143="","",IF($AF143&lt;=1200,IF(INDEX(对接源_01水果!$H$4:$H$1203,$AF143)=0,"",INDEX(对接源_01水果!$H$4:$H$1203,$AF143)),IF(INDEX(对接源_02物料!$H$4:$H$1203,$AF143-1200)=0,"",INDEX(对接源_02物料!$H$4:$H$1203,$AF143-1200))))</f>
        <v/>
      </c>
      <c r="F143" s="53" t="str">
        <f>IF($AF143="","",IF($AF143&lt;=1200,IF(INDEX(对接源_01水果!$I$4:$I$1203,$AF143)=0,"",INDEX(对接源_01水果!$I$4:$I$1203,$AF143)),IF(INDEX(对接源_02物料!$I$4:$I$1203,$AF143-1200)=0,"",INDEX(对接源_02物料!$I$4:$I$1203,$AF143-1200))))</f>
        <v/>
      </c>
      <c r="G143" s="55" t="str">
        <f>IF($AF143="","",IF($AF143&lt;=1200,IF(INDEX(对接源_01水果!$J$4:$J$1203,$AF143)=0,"",INDEX(对接源_01水果!$J$4:$J$1203,$AF143)),IF(INDEX(对接源_02物料!$J$4:$J$1203,$AF143-1200)=0,"",INDEX(对接源_02物料!$J$4:$J$1203,$AF143-1200))))</f>
        <v/>
      </c>
      <c r="H143" s="53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I143" s="53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J143" s="56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IFERROR(MATCH(15,_自动清单!$AC$4:$AC$2403,0),"")</f>
        <v/>
      </c>
      <c r="AL143" s="2" t="str">
        <f t="shared" si="8"/>
        <v/>
      </c>
      <c r="AM143" s="2">
        <f>IF(AL143="",0,IF(MATCH(AL143,AL$129:AL$208,0)=15,1,0))</f>
        <v>0</v>
      </c>
      <c r="AN143" s="2">
        <f t="shared" si="9"/>
        <v>0</v>
      </c>
    </row>
    <row r="144" ht="18" customHeight="1" spans="1:40">
      <c r="A144" s="87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88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88" t="str">
        <f>IF($AF144="","",IF($AF144&lt;=1200,IF(INDEX(对接源_01水果!$F$4:$F$1203,$AF144)=0,"",INDEX(对接源_01水果!$F$4:$F$1203,$AF144)),IF(INDEX(对接源_02物料!$F$4:$F$1203,$AF144-1200)=0,"",INDEX(对接源_02物料!$F$4:$F$1203,$AF144-1200))))</f>
        <v/>
      </c>
      <c r="D144" s="88" t="str">
        <f>IF($AF144="","",IF($AF144&lt;=1200,IF(INDEX(对接源_01水果!$G$4:$G$1203,$AF144)=0,"",INDEX(对接源_01水果!$G$4:$G$1203,$AF144)),IF(INDEX(对接源_02物料!$G$4:$G$1203,$AF144-1200)=0,"",INDEX(对接源_02物料!$G$4:$G$1203,$AF144-1200))))</f>
        <v/>
      </c>
      <c r="E144" s="89" t="str">
        <f>IF($AF144="","",IF($AF144&lt;=1200,IF(INDEX(对接源_01水果!$H$4:$H$1203,$AF144)=0,"",INDEX(对接源_01水果!$H$4:$H$1203,$AF144)),IF(INDEX(对接源_02物料!$H$4:$H$1203,$AF144-1200)=0,"",INDEX(对接源_02物料!$H$4:$H$1203,$AF144-1200))))</f>
        <v/>
      </c>
      <c r="F144" s="88" t="str">
        <f>IF($AF144="","",IF($AF144&lt;=1200,IF(INDEX(对接源_01水果!$I$4:$I$1203,$AF144)=0,"",INDEX(对接源_01水果!$I$4:$I$1203,$AF144)),IF(INDEX(对接源_02物料!$I$4:$I$1203,$AF144-1200)=0,"",INDEX(对接源_02物料!$I$4:$I$1203,$AF144-1200))))</f>
        <v/>
      </c>
      <c r="G144" s="90" t="str">
        <f>IF($AF144="","",IF($AF144&lt;=1200,IF(INDEX(对接源_01水果!$J$4:$J$1203,$AF144)=0,"",INDEX(对接源_01水果!$J$4:$J$1203,$AF144)),IF(INDEX(对接源_02物料!$J$4:$J$1203,$AF144-1200)=0,"",INDEX(对接源_02物料!$J$4:$J$1203,$AF144-1200))))</f>
        <v/>
      </c>
      <c r="H144" s="88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I144" s="88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J144" s="91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IFERROR(MATCH(16,_自动清单!$AC$4:$AC$2403,0),"")</f>
        <v/>
      </c>
      <c r="AL144" s="2" t="str">
        <f t="shared" si="8"/>
        <v/>
      </c>
      <c r="AM144" s="2">
        <f>IF(AL144="",0,IF(MATCH(AL144,AL$129:AL$208,0)=16,1,0))</f>
        <v>0</v>
      </c>
      <c r="AN144" s="2">
        <f t="shared" si="9"/>
        <v>0</v>
      </c>
    </row>
    <row r="145" ht="18" customHeight="1" spans="1:40">
      <c r="A145" s="52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53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53" t="str">
        <f>IF($AF145="","",IF($AF145&lt;=1200,IF(INDEX(对接源_01水果!$F$4:$F$1203,$AF145)=0,"",INDEX(对接源_01水果!$F$4:$F$1203,$AF145)),IF(INDEX(对接源_02物料!$F$4:$F$1203,$AF145-1200)=0,"",INDEX(对接源_02物料!$F$4:$F$1203,$AF145-1200))))</f>
        <v/>
      </c>
      <c r="D145" s="53" t="str">
        <f>IF($AF145="","",IF($AF145&lt;=1200,IF(INDEX(对接源_01水果!$G$4:$G$1203,$AF145)=0,"",INDEX(对接源_01水果!$G$4:$G$1203,$AF145)),IF(INDEX(对接源_02物料!$G$4:$G$1203,$AF145-1200)=0,"",INDEX(对接源_02物料!$G$4:$G$1203,$AF145-1200))))</f>
        <v/>
      </c>
      <c r="E145" s="54" t="str">
        <f>IF($AF145="","",IF($AF145&lt;=1200,IF(INDEX(对接源_01水果!$H$4:$H$1203,$AF145)=0,"",INDEX(对接源_01水果!$H$4:$H$1203,$AF145)),IF(INDEX(对接源_02物料!$H$4:$H$1203,$AF145-1200)=0,"",INDEX(对接源_02物料!$H$4:$H$1203,$AF145-1200))))</f>
        <v/>
      </c>
      <c r="F145" s="53" t="str">
        <f>IF($AF145="","",IF($AF145&lt;=1200,IF(INDEX(对接源_01水果!$I$4:$I$1203,$AF145)=0,"",INDEX(对接源_01水果!$I$4:$I$1203,$AF145)),IF(INDEX(对接源_02物料!$I$4:$I$1203,$AF145-1200)=0,"",INDEX(对接源_02物料!$I$4:$I$1203,$AF145-1200))))</f>
        <v/>
      </c>
      <c r="G145" s="55" t="str">
        <f>IF($AF145="","",IF($AF145&lt;=1200,IF(INDEX(对接源_01水果!$J$4:$J$1203,$AF145)=0,"",INDEX(对接源_01水果!$J$4:$J$1203,$AF145)),IF(INDEX(对接源_02物料!$J$4:$J$1203,$AF145-1200)=0,"",INDEX(对接源_02物料!$J$4:$J$1203,$AF145-1200))))</f>
        <v/>
      </c>
      <c r="H145" s="53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I145" s="53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J145" s="56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IFERROR(MATCH(17,_自动清单!$AC$4:$AC$2403,0),"")</f>
        <v/>
      </c>
      <c r="AL145" s="2" t="str">
        <f t="shared" si="8"/>
        <v/>
      </c>
      <c r="AM145" s="2">
        <f>IF(AL145="",0,IF(MATCH(AL145,AL$129:AL$208,0)=17,1,0))</f>
        <v>0</v>
      </c>
      <c r="AN145" s="2">
        <f t="shared" si="9"/>
        <v>0</v>
      </c>
    </row>
    <row r="146" ht="18" customHeight="1" spans="1:40">
      <c r="A146" s="87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88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88" t="str">
        <f>IF($AF146="","",IF($AF146&lt;=1200,IF(INDEX(对接源_01水果!$F$4:$F$1203,$AF146)=0,"",INDEX(对接源_01水果!$F$4:$F$1203,$AF146)),IF(INDEX(对接源_02物料!$F$4:$F$1203,$AF146-1200)=0,"",INDEX(对接源_02物料!$F$4:$F$1203,$AF146-1200))))</f>
        <v/>
      </c>
      <c r="D146" s="88" t="str">
        <f>IF($AF146="","",IF($AF146&lt;=1200,IF(INDEX(对接源_01水果!$G$4:$G$1203,$AF146)=0,"",INDEX(对接源_01水果!$G$4:$G$1203,$AF146)),IF(INDEX(对接源_02物料!$G$4:$G$1203,$AF146-1200)=0,"",INDEX(对接源_02物料!$G$4:$G$1203,$AF146-1200))))</f>
        <v/>
      </c>
      <c r="E146" s="89" t="str">
        <f>IF($AF146="","",IF($AF146&lt;=1200,IF(INDEX(对接源_01水果!$H$4:$H$1203,$AF146)=0,"",INDEX(对接源_01水果!$H$4:$H$1203,$AF146)),IF(INDEX(对接源_02物料!$H$4:$H$1203,$AF146-1200)=0,"",INDEX(对接源_02物料!$H$4:$H$1203,$AF146-1200))))</f>
        <v/>
      </c>
      <c r="F146" s="88" t="str">
        <f>IF($AF146="","",IF($AF146&lt;=1200,IF(INDEX(对接源_01水果!$I$4:$I$1203,$AF146)=0,"",INDEX(对接源_01水果!$I$4:$I$1203,$AF146)),IF(INDEX(对接源_02物料!$I$4:$I$1203,$AF146-1200)=0,"",INDEX(对接源_02物料!$I$4:$I$1203,$AF146-1200))))</f>
        <v/>
      </c>
      <c r="G146" s="90" t="str">
        <f>IF($AF146="","",IF($AF146&lt;=1200,IF(INDEX(对接源_01水果!$J$4:$J$1203,$AF146)=0,"",INDEX(对接源_01水果!$J$4:$J$1203,$AF146)),IF(INDEX(对接源_02物料!$J$4:$J$1203,$AF146-1200)=0,"",INDEX(对接源_02物料!$J$4:$J$1203,$AF146-1200))))</f>
        <v/>
      </c>
      <c r="H146" s="88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I146" s="88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J146" s="91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IFERROR(MATCH(18,_自动清单!$AC$4:$AC$2403,0),"")</f>
        <v/>
      </c>
      <c r="AL146" s="2" t="str">
        <f t="shared" si="8"/>
        <v/>
      </c>
      <c r="AM146" s="2">
        <f>IF(AL146="",0,IF(MATCH(AL146,AL$129:AL$208,0)=18,1,0))</f>
        <v>0</v>
      </c>
      <c r="AN146" s="2">
        <f t="shared" si="9"/>
        <v>0</v>
      </c>
    </row>
    <row r="147" ht="18" customHeight="1" spans="1:40">
      <c r="A147" s="52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53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53" t="str">
        <f>IF($AF147="","",IF($AF147&lt;=1200,IF(INDEX(对接源_01水果!$F$4:$F$1203,$AF147)=0,"",INDEX(对接源_01水果!$F$4:$F$1203,$AF147)),IF(INDEX(对接源_02物料!$F$4:$F$1203,$AF147-1200)=0,"",INDEX(对接源_02物料!$F$4:$F$1203,$AF147-1200))))</f>
        <v/>
      </c>
      <c r="D147" s="53" t="str">
        <f>IF($AF147="","",IF($AF147&lt;=1200,IF(INDEX(对接源_01水果!$G$4:$G$1203,$AF147)=0,"",INDEX(对接源_01水果!$G$4:$G$1203,$AF147)),IF(INDEX(对接源_02物料!$G$4:$G$1203,$AF147-1200)=0,"",INDEX(对接源_02物料!$G$4:$G$1203,$AF147-1200))))</f>
        <v/>
      </c>
      <c r="E147" s="54" t="str">
        <f>IF($AF147="","",IF($AF147&lt;=1200,IF(INDEX(对接源_01水果!$H$4:$H$1203,$AF147)=0,"",INDEX(对接源_01水果!$H$4:$H$1203,$AF147)),IF(INDEX(对接源_02物料!$H$4:$H$1203,$AF147-1200)=0,"",INDEX(对接源_02物料!$H$4:$H$1203,$AF147-1200))))</f>
        <v/>
      </c>
      <c r="F147" s="53" t="str">
        <f>IF($AF147="","",IF($AF147&lt;=1200,IF(INDEX(对接源_01水果!$I$4:$I$1203,$AF147)=0,"",INDEX(对接源_01水果!$I$4:$I$1203,$AF147)),IF(INDEX(对接源_02物料!$I$4:$I$1203,$AF147-1200)=0,"",INDEX(对接源_02物料!$I$4:$I$1203,$AF147-1200))))</f>
        <v/>
      </c>
      <c r="G147" s="55" t="str">
        <f>IF($AF147="","",IF($AF147&lt;=1200,IF(INDEX(对接源_01水果!$J$4:$J$1203,$AF147)=0,"",INDEX(对接源_01水果!$J$4:$J$1203,$AF147)),IF(INDEX(对接源_02物料!$J$4:$J$1203,$AF147-1200)=0,"",INDEX(对接源_02物料!$J$4:$J$1203,$AF147-1200))))</f>
        <v/>
      </c>
      <c r="H147" s="53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I147" s="53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J147" s="56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IFERROR(MATCH(19,_自动清单!$AC$4:$AC$2403,0),"")</f>
        <v/>
      </c>
      <c r="AL147" s="2" t="str">
        <f t="shared" si="8"/>
        <v/>
      </c>
      <c r="AM147" s="2">
        <f>IF(AL147="",0,IF(MATCH(AL147,AL$129:AL$208,0)=19,1,0))</f>
        <v>0</v>
      </c>
      <c r="AN147" s="2">
        <f t="shared" si="9"/>
        <v>0</v>
      </c>
    </row>
    <row r="148" ht="18" customHeight="1" spans="1:40">
      <c r="A148" s="87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88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88" t="str">
        <f>IF($AF148="","",IF($AF148&lt;=1200,IF(INDEX(对接源_01水果!$F$4:$F$1203,$AF148)=0,"",INDEX(对接源_01水果!$F$4:$F$1203,$AF148)),IF(INDEX(对接源_02物料!$F$4:$F$1203,$AF148-1200)=0,"",INDEX(对接源_02物料!$F$4:$F$1203,$AF148-1200))))</f>
        <v/>
      </c>
      <c r="D148" s="88" t="str">
        <f>IF($AF148="","",IF($AF148&lt;=1200,IF(INDEX(对接源_01水果!$G$4:$G$1203,$AF148)=0,"",INDEX(对接源_01水果!$G$4:$G$1203,$AF148)),IF(INDEX(对接源_02物料!$G$4:$G$1203,$AF148-1200)=0,"",INDEX(对接源_02物料!$G$4:$G$1203,$AF148-1200))))</f>
        <v/>
      </c>
      <c r="E148" s="89" t="str">
        <f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88" t="str">
        <f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90" t="str">
        <f>IF($AF148="","",IF($AF148&lt;=1200,IF(INDEX(对接源_01水果!$J$4:$J$1203,$AF148)=0,"",INDEX(对接源_01水果!$J$4:$J$1203,$AF148)),IF(INDEX(对接源_02物料!$J$4:$J$1203,$AF148-1200)=0,"",INDEX(对接源_02物料!$J$4:$J$1203,$AF148-1200))))</f>
        <v/>
      </c>
      <c r="H148" s="88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I148" s="88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J148" s="91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IFERROR(MATCH(20,_自动清单!$AC$4:$AC$2403,0),"")</f>
        <v/>
      </c>
      <c r="AL148" s="2" t="str">
        <f t="shared" si="8"/>
        <v/>
      </c>
      <c r="AM148" s="2">
        <f>IF(AL148="",0,IF(MATCH(AL148,AL$129:AL$208,0)=20,1,0))</f>
        <v>0</v>
      </c>
      <c r="AN148" s="2">
        <f t="shared" si="9"/>
        <v>0</v>
      </c>
    </row>
    <row r="149" ht="18" customHeight="1" spans="1:40">
      <c r="A149" s="52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53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53" t="str">
        <f>IF($AF149="","",IF($AF149&lt;=1200,IF(INDEX(对接源_01水果!$F$4:$F$1203,$AF149)=0,"",INDEX(对接源_01水果!$F$4:$F$1203,$AF149)),IF(INDEX(对接源_02物料!$F$4:$F$1203,$AF149-1200)=0,"",INDEX(对接源_02物料!$F$4:$F$1203,$AF149-1200))))</f>
        <v/>
      </c>
      <c r="D149" s="53" t="str">
        <f>IF($AF149="","",IF($AF149&lt;=1200,IF(INDEX(对接源_01水果!$G$4:$G$1203,$AF149)=0,"",INDEX(对接源_01水果!$G$4:$G$1203,$AF149)),IF(INDEX(对接源_02物料!$G$4:$G$1203,$AF149-1200)=0,"",INDEX(对接源_02物料!$G$4:$G$1203,$AF149-1200))))</f>
        <v/>
      </c>
      <c r="E149" s="54" t="str">
        <f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53" t="str">
        <f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55" t="str">
        <f>IF($AF149="","",IF($AF149&lt;=1200,IF(INDEX(对接源_01水果!$J$4:$J$1203,$AF149)=0,"",INDEX(对接源_01水果!$J$4:$J$1203,$AF149)),IF(INDEX(对接源_02物料!$J$4:$J$1203,$AF149-1200)=0,"",INDEX(对接源_02物料!$J$4:$J$1203,$AF149-1200))))</f>
        <v/>
      </c>
      <c r="H149" s="53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I149" s="53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J149" s="56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IFERROR(MATCH(21,_自动清单!$AC$4:$AC$2403,0),"")</f>
        <v/>
      </c>
      <c r="AL149" s="2" t="str">
        <f t="shared" si="8"/>
        <v/>
      </c>
      <c r="AM149" s="2">
        <f>IF(AL149="",0,IF(MATCH(AL149,AL$129:AL$208,0)=21,1,0))</f>
        <v>0</v>
      </c>
      <c r="AN149" s="2">
        <f t="shared" si="9"/>
        <v>0</v>
      </c>
    </row>
    <row r="150" ht="18" customHeight="1" spans="1:40">
      <c r="A150" s="87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88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88" t="str">
        <f>IF($AF150="","",IF($AF150&lt;=1200,IF(INDEX(对接源_01水果!$F$4:$F$1203,$AF150)=0,"",INDEX(对接源_01水果!$F$4:$F$1203,$AF150)),IF(INDEX(对接源_02物料!$F$4:$F$1203,$AF150-1200)=0,"",INDEX(对接源_02物料!$F$4:$F$1203,$AF150-1200))))</f>
        <v/>
      </c>
      <c r="D150" s="88" t="str">
        <f>IF($AF150="","",IF($AF150&lt;=1200,IF(INDEX(对接源_01水果!$G$4:$G$1203,$AF150)=0,"",INDEX(对接源_01水果!$G$4:$G$1203,$AF150)),IF(INDEX(对接源_02物料!$G$4:$G$1203,$AF150-1200)=0,"",INDEX(对接源_02物料!$G$4:$G$1203,$AF150-1200))))</f>
        <v/>
      </c>
      <c r="E150" s="89" t="str">
        <f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88" t="str">
        <f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90" t="str">
        <f>IF($AF150="","",IF($AF150&lt;=1200,IF(INDEX(对接源_01水果!$J$4:$J$1203,$AF150)=0,"",INDEX(对接源_01水果!$J$4:$J$1203,$AF150)),IF(INDEX(对接源_02物料!$J$4:$J$1203,$AF150-1200)=0,"",INDEX(对接源_02物料!$J$4:$J$1203,$AF150-1200))))</f>
        <v/>
      </c>
      <c r="H150" s="88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I150" s="88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J150" s="91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IFERROR(MATCH(22,_自动清单!$AC$4:$AC$2403,0),"")</f>
        <v/>
      </c>
      <c r="AL150" s="2" t="str">
        <f t="shared" si="8"/>
        <v/>
      </c>
      <c r="AM150" s="2">
        <f>IF(AL150="",0,IF(MATCH(AL150,AL$129:AL$208,0)=22,1,0))</f>
        <v>0</v>
      </c>
      <c r="AN150" s="2">
        <f t="shared" si="9"/>
        <v>0</v>
      </c>
    </row>
    <row r="151" ht="18" customHeight="1" spans="1:40">
      <c r="A151" s="52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53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53" t="str">
        <f>IF($AF151="","",IF($AF151&lt;=1200,IF(INDEX(对接源_01水果!$F$4:$F$1203,$AF151)=0,"",INDEX(对接源_01水果!$F$4:$F$1203,$AF151)),IF(INDEX(对接源_02物料!$F$4:$F$1203,$AF151-1200)=0,"",INDEX(对接源_02物料!$F$4:$F$1203,$AF151-1200))))</f>
        <v/>
      </c>
      <c r="D151" s="53" t="str">
        <f>IF($AF151="","",IF($AF151&lt;=1200,IF(INDEX(对接源_01水果!$G$4:$G$1203,$AF151)=0,"",INDEX(对接源_01水果!$G$4:$G$1203,$AF151)),IF(INDEX(对接源_02物料!$G$4:$G$1203,$AF151-1200)=0,"",INDEX(对接源_02物料!$G$4:$G$1203,$AF151-1200))))</f>
        <v/>
      </c>
      <c r="E151" s="54" t="str">
        <f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53" t="str">
        <f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55" t="str">
        <f>IF($AF151="","",IF($AF151&lt;=1200,IF(INDEX(对接源_01水果!$J$4:$J$1203,$AF151)=0,"",INDEX(对接源_01水果!$J$4:$J$1203,$AF151)),IF(INDEX(对接源_02物料!$J$4:$J$1203,$AF151-1200)=0,"",INDEX(对接源_02物料!$J$4:$J$1203,$AF151-1200))))</f>
        <v/>
      </c>
      <c r="H151" s="53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I151" s="53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J151" s="56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IFERROR(MATCH(23,_自动清单!$AC$4:$AC$2403,0),"")</f>
        <v/>
      </c>
      <c r="AL151" s="2" t="str">
        <f t="shared" si="8"/>
        <v/>
      </c>
      <c r="AM151" s="2">
        <f>IF(AL151="",0,IF(MATCH(AL151,AL$129:AL$208,0)=23,1,0))</f>
        <v>0</v>
      </c>
      <c r="AN151" s="2">
        <f t="shared" si="9"/>
        <v>0</v>
      </c>
    </row>
    <row r="152" ht="18" customHeight="1" spans="1:40">
      <c r="A152" s="87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88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88" t="str">
        <f>IF($AF152="","",IF($AF152&lt;=1200,IF(INDEX(对接源_01水果!$F$4:$F$1203,$AF152)=0,"",INDEX(对接源_01水果!$F$4:$F$1203,$AF152)),IF(INDEX(对接源_02物料!$F$4:$F$1203,$AF152-1200)=0,"",INDEX(对接源_02物料!$F$4:$F$1203,$AF152-1200))))</f>
        <v/>
      </c>
      <c r="D152" s="88" t="str">
        <f>IF($AF152="","",IF($AF152&lt;=1200,IF(INDEX(对接源_01水果!$G$4:$G$1203,$AF152)=0,"",INDEX(对接源_01水果!$G$4:$G$1203,$AF152)),IF(INDEX(对接源_02物料!$G$4:$G$1203,$AF152-1200)=0,"",INDEX(对接源_02物料!$G$4:$G$1203,$AF152-1200))))</f>
        <v/>
      </c>
      <c r="E152" s="89" t="str">
        <f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88" t="str">
        <f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90" t="str">
        <f>IF($AF152="","",IF($AF152&lt;=1200,IF(INDEX(对接源_01水果!$J$4:$J$1203,$AF152)=0,"",INDEX(对接源_01水果!$J$4:$J$1203,$AF152)),IF(INDEX(对接源_02物料!$J$4:$J$1203,$AF152-1200)=0,"",INDEX(对接源_02物料!$J$4:$J$1203,$AF152-1200))))</f>
        <v/>
      </c>
      <c r="H152" s="88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I152" s="88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J152" s="91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IFERROR(MATCH(24,_自动清单!$AC$4:$AC$2403,0),"")</f>
        <v/>
      </c>
      <c r="AL152" s="2" t="str">
        <f t="shared" si="8"/>
        <v/>
      </c>
      <c r="AM152" s="2">
        <f>IF(AL152="",0,IF(MATCH(AL152,AL$129:AL$208,0)=24,1,0))</f>
        <v>0</v>
      </c>
      <c r="AN152" s="2">
        <f t="shared" si="9"/>
        <v>0</v>
      </c>
    </row>
    <row r="153" ht="18" customHeight="1" spans="1:40">
      <c r="A153" s="52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53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53" t="str">
        <f>IF($AF153="","",IF($AF153&lt;=1200,IF(INDEX(对接源_01水果!$F$4:$F$1203,$AF153)=0,"",INDEX(对接源_01水果!$F$4:$F$1203,$AF153)),IF(INDEX(对接源_02物料!$F$4:$F$1203,$AF153-1200)=0,"",INDEX(对接源_02物料!$F$4:$F$1203,$AF153-1200))))</f>
        <v/>
      </c>
      <c r="D153" s="53" t="str">
        <f>IF($AF153="","",IF($AF153&lt;=1200,IF(INDEX(对接源_01水果!$G$4:$G$1203,$AF153)=0,"",INDEX(对接源_01水果!$G$4:$G$1203,$AF153)),IF(INDEX(对接源_02物料!$G$4:$G$1203,$AF153-1200)=0,"",INDEX(对接源_02物料!$G$4:$G$1203,$AF153-1200))))</f>
        <v/>
      </c>
      <c r="E153" s="54" t="str">
        <f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53" t="str">
        <f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55" t="str">
        <f>IF($AF153="","",IF($AF153&lt;=1200,IF(INDEX(对接源_01水果!$J$4:$J$1203,$AF153)=0,"",INDEX(对接源_01水果!$J$4:$J$1203,$AF153)),IF(INDEX(对接源_02物料!$J$4:$J$1203,$AF153-1200)=0,"",INDEX(对接源_02物料!$J$4:$J$1203,$AF153-1200))))</f>
        <v/>
      </c>
      <c r="H153" s="53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I153" s="53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J153" s="56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IFERROR(MATCH(25,_自动清单!$AC$4:$AC$2403,0),"")</f>
        <v/>
      </c>
      <c r="AL153" s="2" t="str">
        <f t="shared" si="8"/>
        <v/>
      </c>
      <c r="AM153" s="2">
        <f>IF(AL153="",0,IF(MATCH(AL153,AL$129:AL$208,0)=25,1,0))</f>
        <v>0</v>
      </c>
      <c r="AN153" s="2">
        <f t="shared" si="9"/>
        <v>0</v>
      </c>
    </row>
    <row r="154" ht="18" customHeight="1" spans="1:40">
      <c r="A154" s="87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88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88" t="str">
        <f>IF($AF154="","",IF($AF154&lt;=1200,IF(INDEX(对接源_01水果!$F$4:$F$1203,$AF154)=0,"",INDEX(对接源_01水果!$F$4:$F$1203,$AF154)),IF(INDEX(对接源_02物料!$F$4:$F$1203,$AF154-1200)=0,"",INDEX(对接源_02物料!$F$4:$F$1203,$AF154-1200))))</f>
        <v/>
      </c>
      <c r="D154" s="88" t="str">
        <f>IF($AF154="","",IF($AF154&lt;=1200,IF(INDEX(对接源_01水果!$G$4:$G$1203,$AF154)=0,"",INDEX(对接源_01水果!$G$4:$G$1203,$AF154)),IF(INDEX(对接源_02物料!$G$4:$G$1203,$AF154-1200)=0,"",INDEX(对接源_02物料!$G$4:$G$1203,$AF154-1200))))</f>
        <v/>
      </c>
      <c r="E154" s="89" t="str">
        <f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88" t="str">
        <f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90" t="str">
        <f>IF($AF154="","",IF($AF154&lt;=1200,IF(INDEX(对接源_01水果!$J$4:$J$1203,$AF154)=0,"",INDEX(对接源_01水果!$J$4:$J$1203,$AF154)),IF(INDEX(对接源_02物料!$J$4:$J$1203,$AF154-1200)=0,"",INDEX(对接源_02物料!$J$4:$J$1203,$AF154-1200))))</f>
        <v/>
      </c>
      <c r="H154" s="88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I154" s="88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J154" s="91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IFERROR(MATCH(26,_自动清单!$AC$4:$AC$2403,0),"")</f>
        <v/>
      </c>
      <c r="AL154" s="2" t="str">
        <f t="shared" si="8"/>
        <v/>
      </c>
      <c r="AM154" s="2">
        <f>IF(AL154="",0,IF(MATCH(AL154,AL$129:AL$208,0)=26,1,0))</f>
        <v>0</v>
      </c>
      <c r="AN154" s="2">
        <f t="shared" si="9"/>
        <v>0</v>
      </c>
    </row>
    <row r="155" ht="18" customHeight="1" spans="1:40">
      <c r="A155" s="52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53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53" t="str">
        <f>IF($AF155="","",IF($AF155&lt;=1200,IF(INDEX(对接源_01水果!$F$4:$F$1203,$AF155)=0,"",INDEX(对接源_01水果!$F$4:$F$1203,$AF155)),IF(INDEX(对接源_02物料!$F$4:$F$1203,$AF155-1200)=0,"",INDEX(对接源_02物料!$F$4:$F$1203,$AF155-1200))))</f>
        <v/>
      </c>
      <c r="D155" s="53" t="str">
        <f>IF($AF155="","",IF($AF155&lt;=1200,IF(INDEX(对接源_01水果!$G$4:$G$1203,$AF155)=0,"",INDEX(对接源_01水果!$G$4:$G$1203,$AF155)),IF(INDEX(对接源_02物料!$G$4:$G$1203,$AF155-1200)=0,"",INDEX(对接源_02物料!$G$4:$G$1203,$AF155-1200))))</f>
        <v/>
      </c>
      <c r="E155" s="54" t="str">
        <f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53" t="str">
        <f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55" t="str">
        <f>IF($AF155="","",IF($AF155&lt;=1200,IF(INDEX(对接源_01水果!$J$4:$J$1203,$AF155)=0,"",INDEX(对接源_01水果!$J$4:$J$1203,$AF155)),IF(INDEX(对接源_02物料!$J$4:$J$1203,$AF155-1200)=0,"",INDEX(对接源_02物料!$J$4:$J$1203,$AF155-1200))))</f>
        <v/>
      </c>
      <c r="H155" s="53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I155" s="53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J155" s="56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IFERROR(MATCH(27,_自动清单!$AC$4:$AC$2403,0),"")</f>
        <v/>
      </c>
      <c r="AL155" s="2" t="str">
        <f t="shared" si="8"/>
        <v/>
      </c>
      <c r="AM155" s="2">
        <f>IF(AL155="",0,IF(MATCH(AL155,AL$129:AL$208,0)=27,1,0))</f>
        <v>0</v>
      </c>
      <c r="AN155" s="2">
        <f t="shared" si="9"/>
        <v>0</v>
      </c>
    </row>
    <row r="156" ht="18" customHeight="1" spans="1:40">
      <c r="A156" s="87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88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88" t="str">
        <f>IF($AF156="","",IF($AF156&lt;=1200,IF(INDEX(对接源_01水果!$F$4:$F$1203,$AF156)=0,"",INDEX(对接源_01水果!$F$4:$F$1203,$AF156)),IF(INDEX(对接源_02物料!$F$4:$F$1203,$AF156-1200)=0,"",INDEX(对接源_02物料!$F$4:$F$1203,$AF156-1200))))</f>
        <v/>
      </c>
      <c r="D156" s="88" t="str">
        <f>IF($AF156="","",IF($AF156&lt;=1200,IF(INDEX(对接源_01水果!$G$4:$G$1203,$AF156)=0,"",INDEX(对接源_01水果!$G$4:$G$1203,$AF156)),IF(INDEX(对接源_02物料!$G$4:$G$1203,$AF156-1200)=0,"",INDEX(对接源_02物料!$G$4:$G$1203,$AF156-1200))))</f>
        <v/>
      </c>
      <c r="E156" s="89" t="str">
        <f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88" t="str">
        <f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90" t="str">
        <f>IF($AF156="","",IF($AF156&lt;=1200,IF(INDEX(对接源_01水果!$J$4:$J$1203,$AF156)=0,"",INDEX(对接源_01水果!$J$4:$J$1203,$AF156)),IF(INDEX(对接源_02物料!$J$4:$J$1203,$AF156-1200)=0,"",INDEX(对接源_02物料!$J$4:$J$1203,$AF156-1200))))</f>
        <v/>
      </c>
      <c r="H156" s="88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I156" s="88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J156" s="91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IFERROR(MATCH(28,_自动清单!$AC$4:$AC$2403,0),"")</f>
        <v/>
      </c>
      <c r="AL156" s="2" t="str">
        <f t="shared" si="8"/>
        <v/>
      </c>
      <c r="AM156" s="2">
        <f>IF(AL156="",0,IF(MATCH(AL156,AL$129:AL$208,0)=28,1,0))</f>
        <v>0</v>
      </c>
      <c r="AN156" s="2">
        <f t="shared" si="9"/>
        <v>0</v>
      </c>
    </row>
    <row r="157" ht="18" customHeight="1" spans="1:40">
      <c r="A157" s="52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53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53" t="str">
        <f>IF($AF157="","",IF($AF157&lt;=1200,IF(INDEX(对接源_01水果!$F$4:$F$1203,$AF157)=0,"",INDEX(对接源_01水果!$F$4:$F$1203,$AF157)),IF(INDEX(对接源_02物料!$F$4:$F$1203,$AF157-1200)=0,"",INDEX(对接源_02物料!$F$4:$F$1203,$AF157-1200))))</f>
        <v/>
      </c>
      <c r="D157" s="53" t="str">
        <f>IF($AF157="","",IF($AF157&lt;=1200,IF(INDEX(对接源_01水果!$G$4:$G$1203,$AF157)=0,"",INDEX(对接源_01水果!$G$4:$G$1203,$AF157)),IF(INDEX(对接源_02物料!$G$4:$G$1203,$AF157-1200)=0,"",INDEX(对接源_02物料!$G$4:$G$1203,$AF157-1200))))</f>
        <v/>
      </c>
      <c r="E157" s="54" t="str">
        <f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53" t="str">
        <f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55" t="str">
        <f>IF($AF157="","",IF($AF157&lt;=1200,IF(INDEX(对接源_01水果!$J$4:$J$1203,$AF157)=0,"",INDEX(对接源_01水果!$J$4:$J$1203,$AF157)),IF(INDEX(对接源_02物料!$J$4:$J$1203,$AF157-1200)=0,"",INDEX(对接源_02物料!$J$4:$J$1203,$AF157-1200))))</f>
        <v/>
      </c>
      <c r="H157" s="53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I157" s="53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J157" s="56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IFERROR(MATCH(29,_自动清单!$AC$4:$AC$2403,0),"")</f>
        <v/>
      </c>
      <c r="AL157" s="2" t="str">
        <f t="shared" si="8"/>
        <v/>
      </c>
      <c r="AM157" s="2">
        <f>IF(AL157="",0,IF(MATCH(AL157,AL$129:AL$208,0)=29,1,0))</f>
        <v>0</v>
      </c>
      <c r="AN157" s="2">
        <f t="shared" si="9"/>
        <v>0</v>
      </c>
    </row>
    <row r="158" ht="18" customHeight="1" spans="1:40">
      <c r="A158" s="87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88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88" t="str">
        <f>IF($AF158="","",IF($AF158&lt;=1200,IF(INDEX(对接源_01水果!$F$4:$F$1203,$AF158)=0,"",INDEX(对接源_01水果!$F$4:$F$1203,$AF158)),IF(INDEX(对接源_02物料!$F$4:$F$1203,$AF158-1200)=0,"",INDEX(对接源_02物料!$F$4:$F$1203,$AF158-1200))))</f>
        <v/>
      </c>
      <c r="D158" s="88" t="str">
        <f>IF($AF158="","",IF($AF158&lt;=1200,IF(INDEX(对接源_01水果!$G$4:$G$1203,$AF158)=0,"",INDEX(对接源_01水果!$G$4:$G$1203,$AF158)),IF(INDEX(对接源_02物料!$G$4:$G$1203,$AF158-1200)=0,"",INDEX(对接源_02物料!$G$4:$G$1203,$AF158-1200))))</f>
        <v/>
      </c>
      <c r="E158" s="89" t="str">
        <f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88" t="str">
        <f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90" t="str">
        <f>IF($AF158="","",IF($AF158&lt;=1200,IF(INDEX(对接源_01水果!$J$4:$J$1203,$AF158)=0,"",INDEX(对接源_01水果!$J$4:$J$1203,$AF158)),IF(INDEX(对接源_02物料!$J$4:$J$1203,$AF158-1200)=0,"",INDEX(对接源_02物料!$J$4:$J$1203,$AF158-1200))))</f>
        <v/>
      </c>
      <c r="H158" s="88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I158" s="88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J158" s="91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IFERROR(MATCH(30,_自动清单!$AC$4:$AC$2403,0),"")</f>
        <v/>
      </c>
      <c r="AL158" s="2" t="str">
        <f t="shared" si="8"/>
        <v/>
      </c>
      <c r="AM158" s="2">
        <f>IF(AL158="",0,IF(MATCH(AL158,AL$129:AL$208,0)=30,1,0))</f>
        <v>0</v>
      </c>
      <c r="AN158" s="2">
        <f t="shared" si="9"/>
        <v>0</v>
      </c>
    </row>
    <row r="159" ht="18" customHeight="1" spans="1:40">
      <c r="A159" s="52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53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53" t="str">
        <f>IF($AF159="","",IF($AF159&lt;=1200,IF(INDEX(对接源_01水果!$F$4:$F$1203,$AF159)=0,"",INDEX(对接源_01水果!$F$4:$F$1203,$AF159)),IF(INDEX(对接源_02物料!$F$4:$F$1203,$AF159-1200)=0,"",INDEX(对接源_02物料!$F$4:$F$1203,$AF159-1200))))</f>
        <v/>
      </c>
      <c r="D159" s="53" t="str">
        <f>IF($AF159="","",IF($AF159&lt;=1200,IF(INDEX(对接源_01水果!$G$4:$G$1203,$AF159)=0,"",INDEX(对接源_01水果!$G$4:$G$1203,$AF159)),IF(INDEX(对接源_02物料!$G$4:$G$1203,$AF159-1200)=0,"",INDEX(对接源_02物料!$G$4:$G$1203,$AF159-1200))))</f>
        <v/>
      </c>
      <c r="E159" s="54" t="str">
        <f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53" t="str">
        <f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55" t="str">
        <f>IF($AF159="","",IF($AF159&lt;=1200,IF(INDEX(对接源_01水果!$J$4:$J$1203,$AF159)=0,"",INDEX(对接源_01水果!$J$4:$J$1203,$AF159)),IF(INDEX(对接源_02物料!$J$4:$J$1203,$AF159-1200)=0,"",INDEX(对接源_02物料!$J$4:$J$1203,$AF159-1200))))</f>
        <v/>
      </c>
      <c r="H159" s="53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I159" s="53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J159" s="56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IFERROR(MATCH(31,_自动清单!$AC$4:$AC$2403,0),"")</f>
        <v/>
      </c>
      <c r="AL159" s="2" t="str">
        <f t="shared" si="8"/>
        <v/>
      </c>
      <c r="AM159" s="2">
        <f>IF(AL159="",0,IF(MATCH(AL159,AL$129:AL$208,0)=31,1,0))</f>
        <v>0</v>
      </c>
      <c r="AN159" s="2">
        <f t="shared" si="9"/>
        <v>0</v>
      </c>
    </row>
    <row r="160" ht="18" customHeight="1" spans="1:40">
      <c r="A160" s="87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88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88" t="str">
        <f>IF($AF160="","",IF($AF160&lt;=1200,IF(INDEX(对接源_01水果!$F$4:$F$1203,$AF160)=0,"",INDEX(对接源_01水果!$F$4:$F$1203,$AF160)),IF(INDEX(对接源_02物料!$F$4:$F$1203,$AF160-1200)=0,"",INDEX(对接源_02物料!$F$4:$F$1203,$AF160-1200))))</f>
        <v/>
      </c>
      <c r="D160" s="88" t="str">
        <f>IF($AF160="","",IF($AF160&lt;=1200,IF(INDEX(对接源_01水果!$G$4:$G$1203,$AF160)=0,"",INDEX(对接源_01水果!$G$4:$G$1203,$AF160)),IF(INDEX(对接源_02物料!$G$4:$G$1203,$AF160-1200)=0,"",INDEX(对接源_02物料!$G$4:$G$1203,$AF160-1200))))</f>
        <v/>
      </c>
      <c r="E160" s="89" t="str">
        <f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88" t="str">
        <f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90" t="str">
        <f>IF($AF160="","",IF($AF160&lt;=1200,IF(INDEX(对接源_01水果!$J$4:$J$1203,$AF160)=0,"",INDEX(对接源_01水果!$J$4:$J$1203,$AF160)),IF(INDEX(对接源_02物料!$J$4:$J$1203,$AF160-1200)=0,"",INDEX(对接源_02物料!$J$4:$J$1203,$AF160-1200))))</f>
        <v/>
      </c>
      <c r="H160" s="88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I160" s="88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J160" s="91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IFERROR(MATCH(32,_自动清单!$AC$4:$AC$2403,0),"")</f>
        <v/>
      </c>
      <c r="AL160" s="2" t="str">
        <f t="shared" si="8"/>
        <v/>
      </c>
      <c r="AM160" s="2">
        <f>IF(AL160="",0,IF(MATCH(AL160,AL$129:AL$208,0)=32,1,0))</f>
        <v>0</v>
      </c>
      <c r="AN160" s="2">
        <f t="shared" si="9"/>
        <v>0</v>
      </c>
    </row>
    <row r="161" ht="18" customHeight="1" spans="1:40">
      <c r="A161" s="52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53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53" t="str">
        <f>IF($AF161="","",IF($AF161&lt;=1200,IF(INDEX(对接源_01水果!$F$4:$F$1203,$AF161)=0,"",INDEX(对接源_01水果!$F$4:$F$1203,$AF161)),IF(INDEX(对接源_02物料!$F$4:$F$1203,$AF161-1200)=0,"",INDEX(对接源_02物料!$F$4:$F$1203,$AF161-1200))))</f>
        <v/>
      </c>
      <c r="D161" s="53" t="str">
        <f>IF($AF161="","",IF($AF161&lt;=1200,IF(INDEX(对接源_01水果!$G$4:$G$1203,$AF161)=0,"",INDEX(对接源_01水果!$G$4:$G$1203,$AF161)),IF(INDEX(对接源_02物料!$G$4:$G$1203,$AF161-1200)=0,"",INDEX(对接源_02物料!$G$4:$G$1203,$AF161-1200))))</f>
        <v/>
      </c>
      <c r="E161" s="54" t="str">
        <f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53" t="str">
        <f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55" t="str">
        <f>IF($AF161="","",IF($AF161&lt;=1200,IF(INDEX(对接源_01水果!$J$4:$J$1203,$AF161)=0,"",INDEX(对接源_01水果!$J$4:$J$1203,$AF161)),IF(INDEX(对接源_02物料!$J$4:$J$1203,$AF161-1200)=0,"",INDEX(对接源_02物料!$J$4:$J$1203,$AF161-1200))))</f>
        <v/>
      </c>
      <c r="H161" s="53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I161" s="53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J161" s="56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IFERROR(MATCH(33,_自动清单!$AC$4:$AC$2403,0),"")</f>
        <v/>
      </c>
      <c r="AL161" s="2" t="str">
        <f t="shared" si="8"/>
        <v/>
      </c>
      <c r="AM161" s="2">
        <f>IF(AL161="",0,IF(MATCH(AL161,AL$129:AL$208,0)=33,1,0))</f>
        <v>0</v>
      </c>
      <c r="AN161" s="2">
        <f t="shared" si="9"/>
        <v>0</v>
      </c>
    </row>
    <row r="162" ht="18" customHeight="1" spans="1:40">
      <c r="A162" s="87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88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88" t="str">
        <f>IF($AF162="","",IF($AF162&lt;=1200,IF(INDEX(对接源_01水果!$F$4:$F$1203,$AF162)=0,"",INDEX(对接源_01水果!$F$4:$F$1203,$AF162)),IF(INDEX(对接源_02物料!$F$4:$F$1203,$AF162-1200)=0,"",INDEX(对接源_02物料!$F$4:$F$1203,$AF162-1200))))</f>
        <v/>
      </c>
      <c r="D162" s="88" t="str">
        <f>IF($AF162="","",IF($AF162&lt;=1200,IF(INDEX(对接源_01水果!$G$4:$G$1203,$AF162)=0,"",INDEX(对接源_01水果!$G$4:$G$1203,$AF162)),IF(INDEX(对接源_02物料!$G$4:$G$1203,$AF162-1200)=0,"",INDEX(对接源_02物料!$G$4:$G$1203,$AF162-1200))))</f>
        <v/>
      </c>
      <c r="E162" s="89" t="str">
        <f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88" t="str">
        <f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90" t="str">
        <f>IF($AF162="","",IF($AF162&lt;=1200,IF(INDEX(对接源_01水果!$J$4:$J$1203,$AF162)=0,"",INDEX(对接源_01水果!$J$4:$J$1203,$AF162)),IF(INDEX(对接源_02物料!$J$4:$J$1203,$AF162-1200)=0,"",INDEX(对接源_02物料!$J$4:$J$1203,$AF162-1200))))</f>
        <v/>
      </c>
      <c r="H162" s="88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I162" s="88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J162" s="91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IFERROR(MATCH(34,_自动清单!$AC$4:$AC$2403,0),"")</f>
        <v/>
      </c>
      <c r="AL162" s="2" t="str">
        <f t="shared" si="8"/>
        <v/>
      </c>
      <c r="AM162" s="2">
        <f>IF(AL162="",0,IF(MATCH(AL162,AL$129:AL$208,0)=34,1,0))</f>
        <v>0</v>
      </c>
      <c r="AN162" s="2">
        <f t="shared" si="9"/>
        <v>0</v>
      </c>
    </row>
    <row r="163" ht="18" customHeight="1" spans="1:40">
      <c r="A163" s="52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53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53" t="str">
        <f>IF($AF163="","",IF($AF163&lt;=1200,IF(INDEX(对接源_01水果!$F$4:$F$1203,$AF163)=0,"",INDEX(对接源_01水果!$F$4:$F$1203,$AF163)),IF(INDEX(对接源_02物料!$F$4:$F$1203,$AF163-1200)=0,"",INDEX(对接源_02物料!$F$4:$F$1203,$AF163-1200))))</f>
        <v/>
      </c>
      <c r="D163" s="53" t="str">
        <f>IF($AF163="","",IF($AF163&lt;=1200,IF(INDEX(对接源_01水果!$G$4:$G$1203,$AF163)=0,"",INDEX(对接源_01水果!$G$4:$G$1203,$AF163)),IF(INDEX(对接源_02物料!$G$4:$G$1203,$AF163-1200)=0,"",INDEX(对接源_02物料!$G$4:$G$1203,$AF163-1200))))</f>
        <v/>
      </c>
      <c r="E163" s="54" t="str">
        <f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53" t="str">
        <f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55" t="str">
        <f>IF($AF163="","",IF($AF163&lt;=1200,IF(INDEX(对接源_01水果!$J$4:$J$1203,$AF163)=0,"",INDEX(对接源_01水果!$J$4:$J$1203,$AF163)),IF(INDEX(对接源_02物料!$J$4:$J$1203,$AF163-1200)=0,"",INDEX(对接源_02物料!$J$4:$J$1203,$AF163-1200))))</f>
        <v/>
      </c>
      <c r="H163" s="53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I163" s="53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J163" s="56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IFERROR(MATCH(35,_自动清单!$AC$4:$AC$2403,0),"")</f>
        <v/>
      </c>
      <c r="AL163" s="2" t="str">
        <f t="shared" si="8"/>
        <v/>
      </c>
      <c r="AM163" s="2">
        <f>IF(AL163="",0,IF(MATCH(AL163,AL$129:AL$208,0)=35,1,0))</f>
        <v>0</v>
      </c>
      <c r="AN163" s="2">
        <f t="shared" si="9"/>
        <v>0</v>
      </c>
    </row>
    <row r="164" ht="18" customHeight="1" spans="1:40">
      <c r="A164" s="87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88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88" t="str">
        <f>IF($AF164="","",IF($AF164&lt;=1200,IF(INDEX(对接源_01水果!$F$4:$F$1203,$AF164)=0,"",INDEX(对接源_01水果!$F$4:$F$1203,$AF164)),IF(INDEX(对接源_02物料!$F$4:$F$1203,$AF164-1200)=0,"",INDEX(对接源_02物料!$F$4:$F$1203,$AF164-1200))))</f>
        <v/>
      </c>
      <c r="D164" s="88" t="str">
        <f>IF($AF164="","",IF($AF164&lt;=1200,IF(INDEX(对接源_01水果!$G$4:$G$1203,$AF164)=0,"",INDEX(对接源_01水果!$G$4:$G$1203,$AF164)),IF(INDEX(对接源_02物料!$G$4:$G$1203,$AF164-1200)=0,"",INDEX(对接源_02物料!$G$4:$G$1203,$AF164-1200))))</f>
        <v/>
      </c>
      <c r="E164" s="89" t="str">
        <f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88" t="str">
        <f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90" t="str">
        <f>IF($AF164="","",IF($AF164&lt;=1200,IF(INDEX(对接源_01水果!$J$4:$J$1203,$AF164)=0,"",INDEX(对接源_01水果!$J$4:$J$1203,$AF164)),IF(INDEX(对接源_02物料!$J$4:$J$1203,$AF164-1200)=0,"",INDEX(对接源_02物料!$J$4:$J$1203,$AF164-1200))))</f>
        <v/>
      </c>
      <c r="H164" s="88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I164" s="88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J164" s="91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IFERROR(MATCH(36,_自动清单!$AC$4:$AC$2403,0),"")</f>
        <v/>
      </c>
      <c r="AL164" s="2" t="str">
        <f t="shared" si="8"/>
        <v/>
      </c>
      <c r="AM164" s="2">
        <f>IF(AL164="",0,IF(MATCH(AL164,AL$129:AL$208,0)=36,1,0))</f>
        <v>0</v>
      </c>
      <c r="AN164" s="2">
        <f t="shared" si="9"/>
        <v>0</v>
      </c>
    </row>
    <row r="165" ht="18" customHeight="1" spans="1:40">
      <c r="A165" s="52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53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53" t="str">
        <f>IF($AF165="","",IF($AF165&lt;=1200,IF(INDEX(对接源_01水果!$F$4:$F$1203,$AF165)=0,"",INDEX(对接源_01水果!$F$4:$F$1203,$AF165)),IF(INDEX(对接源_02物料!$F$4:$F$1203,$AF165-1200)=0,"",INDEX(对接源_02物料!$F$4:$F$1203,$AF165-1200))))</f>
        <v/>
      </c>
      <c r="D165" s="53" t="str">
        <f>IF($AF165="","",IF($AF165&lt;=1200,IF(INDEX(对接源_01水果!$G$4:$G$1203,$AF165)=0,"",INDEX(对接源_01水果!$G$4:$G$1203,$AF165)),IF(INDEX(对接源_02物料!$G$4:$G$1203,$AF165-1200)=0,"",INDEX(对接源_02物料!$G$4:$G$1203,$AF165-1200))))</f>
        <v/>
      </c>
      <c r="E165" s="54" t="str">
        <f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53" t="str">
        <f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55" t="str">
        <f>IF($AF165="","",IF($AF165&lt;=1200,IF(INDEX(对接源_01水果!$J$4:$J$1203,$AF165)=0,"",INDEX(对接源_01水果!$J$4:$J$1203,$AF165)),IF(INDEX(对接源_02物料!$J$4:$J$1203,$AF165-1200)=0,"",INDEX(对接源_02物料!$J$4:$J$1203,$AF165-1200))))</f>
        <v/>
      </c>
      <c r="H165" s="53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I165" s="53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J165" s="56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IFERROR(MATCH(37,_自动清单!$AC$4:$AC$2403,0),"")</f>
        <v/>
      </c>
      <c r="AL165" s="2" t="str">
        <f t="shared" si="8"/>
        <v/>
      </c>
      <c r="AM165" s="2">
        <f>IF(AL165="",0,IF(MATCH(AL165,AL$129:AL$208,0)=37,1,0))</f>
        <v>0</v>
      </c>
      <c r="AN165" s="2">
        <f t="shared" si="9"/>
        <v>0</v>
      </c>
    </row>
    <row r="166" ht="18" customHeight="1" spans="1:40">
      <c r="A166" s="87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88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88" t="str">
        <f>IF($AF166="","",IF($AF166&lt;=1200,IF(INDEX(对接源_01水果!$F$4:$F$1203,$AF166)=0,"",INDEX(对接源_01水果!$F$4:$F$1203,$AF166)),IF(INDEX(对接源_02物料!$F$4:$F$1203,$AF166-1200)=0,"",INDEX(对接源_02物料!$F$4:$F$1203,$AF166-1200))))</f>
        <v/>
      </c>
      <c r="D166" s="88" t="str">
        <f>IF($AF166="","",IF($AF166&lt;=1200,IF(INDEX(对接源_01水果!$G$4:$G$1203,$AF166)=0,"",INDEX(对接源_01水果!$G$4:$G$1203,$AF166)),IF(INDEX(对接源_02物料!$G$4:$G$1203,$AF166-1200)=0,"",INDEX(对接源_02物料!$G$4:$G$1203,$AF166-1200))))</f>
        <v/>
      </c>
      <c r="E166" s="89" t="str">
        <f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88" t="str">
        <f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90" t="str">
        <f>IF($AF166="","",IF($AF166&lt;=1200,IF(INDEX(对接源_01水果!$J$4:$J$1203,$AF166)=0,"",INDEX(对接源_01水果!$J$4:$J$1203,$AF166)),IF(INDEX(对接源_02物料!$J$4:$J$1203,$AF166-1200)=0,"",INDEX(对接源_02物料!$J$4:$J$1203,$AF166-1200))))</f>
        <v/>
      </c>
      <c r="H166" s="88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I166" s="88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J166" s="91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IFERROR(MATCH(38,_自动清单!$AC$4:$AC$2403,0),"")</f>
        <v/>
      </c>
      <c r="AL166" s="2" t="str">
        <f t="shared" si="8"/>
        <v/>
      </c>
      <c r="AM166" s="2">
        <f>IF(AL166="",0,IF(MATCH(AL166,AL$129:AL$208,0)=38,1,0))</f>
        <v>0</v>
      </c>
      <c r="AN166" s="2">
        <f t="shared" si="9"/>
        <v>0</v>
      </c>
    </row>
    <row r="167" ht="18" customHeight="1" spans="1:40">
      <c r="A167" s="52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53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53" t="str">
        <f>IF($AF167="","",IF($AF167&lt;=1200,IF(INDEX(对接源_01水果!$F$4:$F$1203,$AF167)=0,"",INDEX(对接源_01水果!$F$4:$F$1203,$AF167)),IF(INDEX(对接源_02物料!$F$4:$F$1203,$AF167-1200)=0,"",INDEX(对接源_02物料!$F$4:$F$1203,$AF167-1200))))</f>
        <v/>
      </c>
      <c r="D167" s="53" t="str">
        <f>IF($AF167="","",IF($AF167&lt;=1200,IF(INDEX(对接源_01水果!$G$4:$G$1203,$AF167)=0,"",INDEX(对接源_01水果!$G$4:$G$1203,$AF167)),IF(INDEX(对接源_02物料!$G$4:$G$1203,$AF167-1200)=0,"",INDEX(对接源_02物料!$G$4:$G$1203,$AF167-1200))))</f>
        <v/>
      </c>
      <c r="E167" s="54" t="str">
        <f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53" t="str">
        <f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55" t="str">
        <f>IF($AF167="","",IF($AF167&lt;=1200,IF(INDEX(对接源_01水果!$J$4:$J$1203,$AF167)=0,"",INDEX(对接源_01水果!$J$4:$J$1203,$AF167)),IF(INDEX(对接源_02物料!$J$4:$J$1203,$AF167-1200)=0,"",INDEX(对接源_02物料!$J$4:$J$1203,$AF167-1200))))</f>
        <v/>
      </c>
      <c r="H167" s="53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I167" s="53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J167" s="56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IFERROR(MATCH(39,_自动清单!$AC$4:$AC$2403,0),"")</f>
        <v/>
      </c>
      <c r="AL167" s="2" t="str">
        <f t="shared" si="8"/>
        <v/>
      </c>
      <c r="AM167" s="2">
        <f>IF(AL167="",0,IF(MATCH(AL167,AL$129:AL$208,0)=39,1,0))</f>
        <v>0</v>
      </c>
      <c r="AN167" s="2">
        <f t="shared" si="9"/>
        <v>0</v>
      </c>
    </row>
    <row r="168" ht="18" customHeight="1" spans="1:40">
      <c r="A168" s="87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88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88" t="str">
        <f>IF($AF168="","",IF($AF168&lt;=1200,IF(INDEX(对接源_01水果!$F$4:$F$1203,$AF168)=0,"",INDEX(对接源_01水果!$F$4:$F$1203,$AF168)),IF(INDEX(对接源_02物料!$F$4:$F$1203,$AF168-1200)=0,"",INDEX(对接源_02物料!$F$4:$F$1203,$AF168-1200))))</f>
        <v/>
      </c>
      <c r="D168" s="88" t="str">
        <f>IF($AF168="","",IF($AF168&lt;=1200,IF(INDEX(对接源_01水果!$G$4:$G$1203,$AF168)=0,"",INDEX(对接源_01水果!$G$4:$G$1203,$AF168)),IF(INDEX(对接源_02物料!$G$4:$G$1203,$AF168-1200)=0,"",INDEX(对接源_02物料!$G$4:$G$1203,$AF168-1200))))</f>
        <v/>
      </c>
      <c r="E168" s="89" t="str">
        <f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88" t="str">
        <f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90" t="str">
        <f>IF($AF168="","",IF($AF168&lt;=1200,IF(INDEX(对接源_01水果!$J$4:$J$1203,$AF168)=0,"",INDEX(对接源_01水果!$J$4:$J$1203,$AF168)),IF(INDEX(对接源_02物料!$J$4:$J$1203,$AF168-1200)=0,"",INDEX(对接源_02物料!$J$4:$J$1203,$AF168-1200))))</f>
        <v/>
      </c>
      <c r="H168" s="88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I168" s="88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J168" s="91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IFERROR(MATCH(40,_自动清单!$AC$4:$AC$2403,0),"")</f>
        <v/>
      </c>
      <c r="AL168" s="2" t="str">
        <f t="shared" si="8"/>
        <v/>
      </c>
      <c r="AM168" s="2">
        <f>IF(AL168="",0,IF(MATCH(AL168,AL$129:AL$208,0)=40,1,0))</f>
        <v>0</v>
      </c>
      <c r="AN168" s="2">
        <f t="shared" si="9"/>
        <v>0</v>
      </c>
    </row>
    <row r="169" ht="18" customHeight="1" spans="1:40">
      <c r="A169" s="52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53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53" t="str">
        <f>IF($AF169="","",IF($AF169&lt;=1200,IF(INDEX(对接源_01水果!$F$4:$F$1203,$AF169)=0,"",INDEX(对接源_01水果!$F$4:$F$1203,$AF169)),IF(INDEX(对接源_02物料!$F$4:$F$1203,$AF169-1200)=0,"",INDEX(对接源_02物料!$F$4:$F$1203,$AF169-1200))))</f>
        <v/>
      </c>
      <c r="D169" s="53" t="str">
        <f>IF($AF169="","",IF($AF169&lt;=1200,IF(INDEX(对接源_01水果!$G$4:$G$1203,$AF169)=0,"",INDEX(对接源_01水果!$G$4:$G$1203,$AF169)),IF(INDEX(对接源_02物料!$G$4:$G$1203,$AF169-1200)=0,"",INDEX(对接源_02物料!$G$4:$G$1203,$AF169-1200))))</f>
        <v/>
      </c>
      <c r="E169" s="54" t="str">
        <f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53" t="str">
        <f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55" t="str">
        <f>IF($AF169="","",IF($AF169&lt;=1200,IF(INDEX(对接源_01水果!$J$4:$J$1203,$AF169)=0,"",INDEX(对接源_01水果!$J$4:$J$1203,$AF169)),IF(INDEX(对接源_02物料!$J$4:$J$1203,$AF169-1200)=0,"",INDEX(对接源_02物料!$J$4:$J$1203,$AF169-1200))))</f>
        <v/>
      </c>
      <c r="H169" s="53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I169" s="53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J169" s="56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IFERROR(MATCH(41,_自动清单!$AC$4:$AC$2403,0),"")</f>
        <v/>
      </c>
      <c r="AL169" s="2" t="str">
        <f t="shared" si="8"/>
        <v/>
      </c>
      <c r="AM169" s="2">
        <f>IF(AL169="",0,IF(MATCH(AL169,AL$129:AL$208,0)=41,1,0))</f>
        <v>0</v>
      </c>
      <c r="AN169" s="2">
        <f t="shared" si="9"/>
        <v>0</v>
      </c>
    </row>
    <row r="170" ht="18" customHeight="1" spans="1:40">
      <c r="A170" s="87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88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88" t="str">
        <f>IF($AF170="","",IF($AF170&lt;=1200,IF(INDEX(对接源_01水果!$F$4:$F$1203,$AF170)=0,"",INDEX(对接源_01水果!$F$4:$F$1203,$AF170)),IF(INDEX(对接源_02物料!$F$4:$F$1203,$AF170-1200)=0,"",INDEX(对接源_02物料!$F$4:$F$1203,$AF170-1200))))</f>
        <v/>
      </c>
      <c r="D170" s="88" t="str">
        <f>IF($AF170="","",IF($AF170&lt;=1200,IF(INDEX(对接源_01水果!$G$4:$G$1203,$AF170)=0,"",INDEX(对接源_01水果!$G$4:$G$1203,$AF170)),IF(INDEX(对接源_02物料!$G$4:$G$1203,$AF170-1200)=0,"",INDEX(对接源_02物料!$G$4:$G$1203,$AF170-1200))))</f>
        <v/>
      </c>
      <c r="E170" s="89" t="str">
        <f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88" t="str">
        <f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90" t="str">
        <f>IF($AF170="","",IF($AF170&lt;=1200,IF(INDEX(对接源_01水果!$J$4:$J$1203,$AF170)=0,"",INDEX(对接源_01水果!$J$4:$J$1203,$AF170)),IF(INDEX(对接源_02物料!$J$4:$J$1203,$AF170-1200)=0,"",INDEX(对接源_02物料!$J$4:$J$1203,$AF170-1200))))</f>
        <v/>
      </c>
      <c r="H170" s="88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I170" s="88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J170" s="91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IFERROR(MATCH(42,_自动清单!$AC$4:$AC$2403,0),"")</f>
        <v/>
      </c>
      <c r="AL170" s="2" t="str">
        <f t="shared" si="8"/>
        <v/>
      </c>
      <c r="AM170" s="2">
        <f>IF(AL170="",0,IF(MATCH(AL170,AL$129:AL$208,0)=42,1,0))</f>
        <v>0</v>
      </c>
      <c r="AN170" s="2">
        <f t="shared" si="9"/>
        <v>0</v>
      </c>
    </row>
    <row r="171" ht="18" customHeight="1" spans="1:40">
      <c r="A171" s="52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53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53" t="str">
        <f>IF($AF171="","",IF($AF171&lt;=1200,IF(INDEX(对接源_01水果!$F$4:$F$1203,$AF171)=0,"",INDEX(对接源_01水果!$F$4:$F$1203,$AF171)),IF(INDEX(对接源_02物料!$F$4:$F$1203,$AF171-1200)=0,"",INDEX(对接源_02物料!$F$4:$F$1203,$AF171-1200))))</f>
        <v/>
      </c>
      <c r="D171" s="53" t="str">
        <f>IF($AF171="","",IF($AF171&lt;=1200,IF(INDEX(对接源_01水果!$G$4:$G$1203,$AF171)=0,"",INDEX(对接源_01水果!$G$4:$G$1203,$AF171)),IF(INDEX(对接源_02物料!$G$4:$G$1203,$AF171-1200)=0,"",INDEX(对接源_02物料!$G$4:$G$1203,$AF171-1200))))</f>
        <v/>
      </c>
      <c r="E171" s="54" t="str">
        <f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53" t="str">
        <f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55" t="str">
        <f>IF($AF171="","",IF($AF171&lt;=1200,IF(INDEX(对接源_01水果!$J$4:$J$1203,$AF171)=0,"",INDEX(对接源_01水果!$J$4:$J$1203,$AF171)),IF(INDEX(对接源_02物料!$J$4:$J$1203,$AF171-1200)=0,"",INDEX(对接源_02物料!$J$4:$J$1203,$AF171-1200))))</f>
        <v/>
      </c>
      <c r="H171" s="53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I171" s="53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J171" s="56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IFERROR(MATCH(43,_自动清单!$AC$4:$AC$2403,0),"")</f>
        <v/>
      </c>
      <c r="AL171" s="2" t="str">
        <f t="shared" si="8"/>
        <v/>
      </c>
      <c r="AM171" s="2">
        <f>IF(AL171="",0,IF(MATCH(AL171,AL$129:AL$208,0)=43,1,0))</f>
        <v>0</v>
      </c>
      <c r="AN171" s="2">
        <f t="shared" si="9"/>
        <v>0</v>
      </c>
    </row>
    <row r="172" ht="18" customHeight="1" spans="1:40">
      <c r="A172" s="87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88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88" t="str">
        <f>IF($AF172="","",IF($AF172&lt;=1200,IF(INDEX(对接源_01水果!$F$4:$F$1203,$AF172)=0,"",INDEX(对接源_01水果!$F$4:$F$1203,$AF172)),IF(INDEX(对接源_02物料!$F$4:$F$1203,$AF172-1200)=0,"",INDEX(对接源_02物料!$F$4:$F$1203,$AF172-1200))))</f>
        <v/>
      </c>
      <c r="D172" s="88" t="str">
        <f>IF($AF172="","",IF($AF172&lt;=1200,IF(INDEX(对接源_01水果!$G$4:$G$1203,$AF172)=0,"",INDEX(对接源_01水果!$G$4:$G$1203,$AF172)),IF(INDEX(对接源_02物料!$G$4:$G$1203,$AF172-1200)=0,"",INDEX(对接源_02物料!$G$4:$G$1203,$AF172-1200))))</f>
        <v/>
      </c>
      <c r="E172" s="89" t="str">
        <f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88" t="str">
        <f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90" t="str">
        <f>IF($AF172="","",IF($AF172&lt;=1200,IF(INDEX(对接源_01水果!$J$4:$J$1203,$AF172)=0,"",INDEX(对接源_01水果!$J$4:$J$1203,$AF172)),IF(INDEX(对接源_02物料!$J$4:$J$1203,$AF172-1200)=0,"",INDEX(对接源_02物料!$J$4:$J$1203,$AF172-1200))))</f>
        <v/>
      </c>
      <c r="H172" s="88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I172" s="88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J172" s="91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IFERROR(MATCH(44,_自动清单!$AC$4:$AC$2403,0),"")</f>
        <v/>
      </c>
      <c r="AL172" s="2" t="str">
        <f t="shared" si="8"/>
        <v/>
      </c>
      <c r="AM172" s="2">
        <f>IF(AL172="",0,IF(MATCH(AL172,AL$129:AL$208,0)=44,1,0))</f>
        <v>0</v>
      </c>
      <c r="AN172" s="2">
        <f t="shared" si="9"/>
        <v>0</v>
      </c>
    </row>
    <row r="173" ht="18" customHeight="1" spans="1:40">
      <c r="A173" s="52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53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53" t="str">
        <f>IF($AF173="","",IF($AF173&lt;=1200,IF(INDEX(对接源_01水果!$F$4:$F$1203,$AF173)=0,"",INDEX(对接源_01水果!$F$4:$F$1203,$AF173)),IF(INDEX(对接源_02物料!$F$4:$F$1203,$AF173-1200)=0,"",INDEX(对接源_02物料!$F$4:$F$1203,$AF173-1200))))</f>
        <v/>
      </c>
      <c r="D173" s="53" t="str">
        <f>IF($AF173="","",IF($AF173&lt;=1200,IF(INDEX(对接源_01水果!$G$4:$G$1203,$AF173)=0,"",INDEX(对接源_01水果!$G$4:$G$1203,$AF173)),IF(INDEX(对接源_02物料!$G$4:$G$1203,$AF173-1200)=0,"",INDEX(对接源_02物料!$G$4:$G$1203,$AF173-1200))))</f>
        <v/>
      </c>
      <c r="E173" s="54" t="str">
        <f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53" t="str">
        <f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55" t="str">
        <f>IF($AF173="","",IF($AF173&lt;=1200,IF(INDEX(对接源_01水果!$J$4:$J$1203,$AF173)=0,"",INDEX(对接源_01水果!$J$4:$J$1203,$AF173)),IF(INDEX(对接源_02物料!$J$4:$J$1203,$AF173-1200)=0,"",INDEX(对接源_02物料!$J$4:$J$1203,$AF173-1200))))</f>
        <v/>
      </c>
      <c r="H173" s="53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I173" s="53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J173" s="56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IFERROR(MATCH(45,_自动清单!$AC$4:$AC$2403,0),"")</f>
        <v/>
      </c>
      <c r="AL173" s="2" t="str">
        <f t="shared" si="8"/>
        <v/>
      </c>
      <c r="AM173" s="2">
        <f>IF(AL173="",0,IF(MATCH(AL173,AL$129:AL$208,0)=45,1,0))</f>
        <v>0</v>
      </c>
      <c r="AN173" s="2">
        <f t="shared" si="9"/>
        <v>0</v>
      </c>
    </row>
    <row r="174" ht="18" customHeight="1" spans="1:40">
      <c r="A174" s="87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88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88" t="str">
        <f>IF($AF174="","",IF($AF174&lt;=1200,IF(INDEX(对接源_01水果!$F$4:$F$1203,$AF174)=0,"",INDEX(对接源_01水果!$F$4:$F$1203,$AF174)),IF(INDEX(对接源_02物料!$F$4:$F$1203,$AF174-1200)=0,"",INDEX(对接源_02物料!$F$4:$F$1203,$AF174-1200))))</f>
        <v/>
      </c>
      <c r="D174" s="88" t="str">
        <f>IF($AF174="","",IF($AF174&lt;=1200,IF(INDEX(对接源_01水果!$G$4:$G$1203,$AF174)=0,"",INDEX(对接源_01水果!$G$4:$G$1203,$AF174)),IF(INDEX(对接源_02物料!$G$4:$G$1203,$AF174-1200)=0,"",INDEX(对接源_02物料!$G$4:$G$1203,$AF174-1200))))</f>
        <v/>
      </c>
      <c r="E174" s="89" t="str">
        <f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88" t="str">
        <f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90" t="str">
        <f>IF($AF174="","",IF($AF174&lt;=1200,IF(INDEX(对接源_01水果!$J$4:$J$1203,$AF174)=0,"",INDEX(对接源_01水果!$J$4:$J$1203,$AF174)),IF(INDEX(对接源_02物料!$J$4:$J$1203,$AF174-1200)=0,"",INDEX(对接源_02物料!$J$4:$J$1203,$AF174-1200))))</f>
        <v/>
      </c>
      <c r="H174" s="88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I174" s="88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J174" s="91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IFERROR(MATCH(46,_自动清单!$AC$4:$AC$2403,0),"")</f>
        <v/>
      </c>
      <c r="AL174" s="2" t="str">
        <f t="shared" si="8"/>
        <v/>
      </c>
      <c r="AM174" s="2">
        <f>IF(AL174="",0,IF(MATCH(AL174,AL$129:AL$208,0)=46,1,0))</f>
        <v>0</v>
      </c>
      <c r="AN174" s="2">
        <f t="shared" si="9"/>
        <v>0</v>
      </c>
    </row>
    <row r="175" ht="18" customHeight="1" spans="1:40">
      <c r="A175" s="52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53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53" t="str">
        <f>IF($AF175="","",IF($AF175&lt;=1200,IF(INDEX(对接源_01水果!$F$4:$F$1203,$AF175)=0,"",INDEX(对接源_01水果!$F$4:$F$1203,$AF175)),IF(INDEX(对接源_02物料!$F$4:$F$1203,$AF175-1200)=0,"",INDEX(对接源_02物料!$F$4:$F$1203,$AF175-1200))))</f>
        <v/>
      </c>
      <c r="D175" s="53" t="str">
        <f>IF($AF175="","",IF($AF175&lt;=1200,IF(INDEX(对接源_01水果!$G$4:$G$1203,$AF175)=0,"",INDEX(对接源_01水果!$G$4:$G$1203,$AF175)),IF(INDEX(对接源_02物料!$G$4:$G$1203,$AF175-1200)=0,"",INDEX(对接源_02物料!$G$4:$G$1203,$AF175-1200))))</f>
        <v/>
      </c>
      <c r="E175" s="54" t="str">
        <f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53" t="str">
        <f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55" t="str">
        <f>IF($AF175="","",IF($AF175&lt;=1200,IF(INDEX(对接源_01水果!$J$4:$J$1203,$AF175)=0,"",INDEX(对接源_01水果!$J$4:$J$1203,$AF175)),IF(INDEX(对接源_02物料!$J$4:$J$1203,$AF175-1200)=0,"",INDEX(对接源_02物料!$J$4:$J$1203,$AF175-1200))))</f>
        <v/>
      </c>
      <c r="H175" s="53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I175" s="53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J175" s="56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IFERROR(MATCH(47,_自动清单!$AC$4:$AC$2403,0),"")</f>
        <v/>
      </c>
      <c r="AL175" s="2" t="str">
        <f t="shared" si="8"/>
        <v/>
      </c>
      <c r="AM175" s="2">
        <f>IF(AL175="",0,IF(MATCH(AL175,AL$129:AL$208,0)=47,1,0))</f>
        <v>0</v>
      </c>
      <c r="AN175" s="2">
        <f t="shared" si="9"/>
        <v>0</v>
      </c>
    </row>
    <row r="176" ht="18" customHeight="1" spans="1:40">
      <c r="A176" s="87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88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88" t="str">
        <f>IF($AF176="","",IF($AF176&lt;=1200,IF(INDEX(对接源_01水果!$F$4:$F$1203,$AF176)=0,"",INDEX(对接源_01水果!$F$4:$F$1203,$AF176)),IF(INDEX(对接源_02物料!$F$4:$F$1203,$AF176-1200)=0,"",INDEX(对接源_02物料!$F$4:$F$1203,$AF176-1200))))</f>
        <v/>
      </c>
      <c r="D176" s="88" t="str">
        <f>IF($AF176="","",IF($AF176&lt;=1200,IF(INDEX(对接源_01水果!$G$4:$G$1203,$AF176)=0,"",INDEX(对接源_01水果!$G$4:$G$1203,$AF176)),IF(INDEX(对接源_02物料!$G$4:$G$1203,$AF176-1200)=0,"",INDEX(对接源_02物料!$G$4:$G$1203,$AF176-1200))))</f>
        <v/>
      </c>
      <c r="E176" s="89" t="str">
        <f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88" t="str">
        <f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90" t="str">
        <f>IF($AF176="","",IF($AF176&lt;=1200,IF(INDEX(对接源_01水果!$J$4:$J$1203,$AF176)=0,"",INDEX(对接源_01水果!$J$4:$J$1203,$AF176)),IF(INDEX(对接源_02物料!$J$4:$J$1203,$AF176-1200)=0,"",INDEX(对接源_02物料!$J$4:$J$1203,$AF176-1200))))</f>
        <v/>
      </c>
      <c r="H176" s="88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I176" s="88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J176" s="91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IFERROR(MATCH(48,_自动清单!$AC$4:$AC$2403,0),"")</f>
        <v/>
      </c>
      <c r="AL176" s="2" t="str">
        <f t="shared" si="8"/>
        <v/>
      </c>
      <c r="AM176" s="2">
        <f>IF(AL176="",0,IF(MATCH(AL176,AL$129:AL$208,0)=48,1,0))</f>
        <v>0</v>
      </c>
      <c r="AN176" s="2">
        <f t="shared" si="9"/>
        <v>0</v>
      </c>
    </row>
    <row r="177" ht="18" customHeight="1" spans="1:40">
      <c r="A177" s="52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53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53" t="str">
        <f>IF($AF177="","",IF($AF177&lt;=1200,IF(INDEX(对接源_01水果!$F$4:$F$1203,$AF177)=0,"",INDEX(对接源_01水果!$F$4:$F$1203,$AF177)),IF(INDEX(对接源_02物料!$F$4:$F$1203,$AF177-1200)=0,"",INDEX(对接源_02物料!$F$4:$F$1203,$AF177-1200))))</f>
        <v/>
      </c>
      <c r="D177" s="53" t="str">
        <f>IF($AF177="","",IF($AF177&lt;=1200,IF(INDEX(对接源_01水果!$G$4:$G$1203,$AF177)=0,"",INDEX(对接源_01水果!$G$4:$G$1203,$AF177)),IF(INDEX(对接源_02物料!$G$4:$G$1203,$AF177-1200)=0,"",INDEX(对接源_02物料!$G$4:$G$1203,$AF177-1200))))</f>
        <v/>
      </c>
      <c r="E177" s="54" t="str">
        <f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53" t="str">
        <f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55" t="str">
        <f>IF($AF177="","",IF($AF177&lt;=1200,IF(INDEX(对接源_01水果!$J$4:$J$1203,$AF177)=0,"",INDEX(对接源_01水果!$J$4:$J$1203,$AF177)),IF(INDEX(对接源_02物料!$J$4:$J$1203,$AF177-1200)=0,"",INDEX(对接源_02物料!$J$4:$J$1203,$AF177-1200))))</f>
        <v/>
      </c>
      <c r="H177" s="53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I177" s="53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J177" s="56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IFERROR(MATCH(49,_自动清单!$AC$4:$AC$2403,0),"")</f>
        <v/>
      </c>
      <c r="AL177" s="2" t="str">
        <f t="shared" si="8"/>
        <v/>
      </c>
      <c r="AM177" s="2">
        <f>IF(AL177="",0,IF(MATCH(AL177,AL$129:AL$208,0)=49,1,0))</f>
        <v>0</v>
      </c>
      <c r="AN177" s="2">
        <f t="shared" si="9"/>
        <v>0</v>
      </c>
    </row>
    <row r="178" ht="18" customHeight="1" spans="1:40">
      <c r="A178" s="87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88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88" t="str">
        <f>IF($AF178="","",IF($AF178&lt;=1200,IF(INDEX(对接源_01水果!$F$4:$F$1203,$AF178)=0,"",INDEX(对接源_01水果!$F$4:$F$1203,$AF178)),IF(INDEX(对接源_02物料!$F$4:$F$1203,$AF178-1200)=0,"",INDEX(对接源_02物料!$F$4:$F$1203,$AF178-1200))))</f>
        <v/>
      </c>
      <c r="D178" s="88" t="str">
        <f>IF($AF178="","",IF($AF178&lt;=1200,IF(INDEX(对接源_01水果!$G$4:$G$1203,$AF178)=0,"",INDEX(对接源_01水果!$G$4:$G$1203,$AF178)),IF(INDEX(对接源_02物料!$G$4:$G$1203,$AF178-1200)=0,"",INDEX(对接源_02物料!$G$4:$G$1203,$AF178-1200))))</f>
        <v/>
      </c>
      <c r="E178" s="89" t="str">
        <f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88" t="str">
        <f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90" t="str">
        <f>IF($AF178="","",IF($AF178&lt;=1200,IF(INDEX(对接源_01水果!$J$4:$J$1203,$AF178)=0,"",INDEX(对接源_01水果!$J$4:$J$1203,$AF178)),IF(INDEX(对接源_02物料!$J$4:$J$1203,$AF178-1200)=0,"",INDEX(对接源_02物料!$J$4:$J$1203,$AF178-1200))))</f>
        <v/>
      </c>
      <c r="H178" s="88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I178" s="88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J178" s="91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IFERROR(MATCH(50,_自动清单!$AC$4:$AC$2403,0),"")</f>
        <v/>
      </c>
      <c r="AL178" s="2" t="str">
        <f t="shared" si="8"/>
        <v/>
      </c>
      <c r="AM178" s="2">
        <f>IF(AL178="",0,IF(MATCH(AL178,AL$129:AL$208,0)=50,1,0))</f>
        <v>0</v>
      </c>
      <c r="AN178" s="2">
        <f t="shared" si="9"/>
        <v>0</v>
      </c>
    </row>
    <row r="179" ht="18" customHeight="1" spans="1:40">
      <c r="A179" s="52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53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53" t="str">
        <f>IF($AF179="","",IF($AF179&lt;=1200,IF(INDEX(对接源_01水果!$F$4:$F$1203,$AF179)=0,"",INDEX(对接源_01水果!$F$4:$F$1203,$AF179)),IF(INDEX(对接源_02物料!$F$4:$F$1203,$AF179-1200)=0,"",INDEX(对接源_02物料!$F$4:$F$1203,$AF179-1200))))</f>
        <v/>
      </c>
      <c r="D179" s="53" t="str">
        <f>IF($AF179="","",IF($AF179&lt;=1200,IF(INDEX(对接源_01水果!$G$4:$G$1203,$AF179)=0,"",INDEX(对接源_01水果!$G$4:$G$1203,$AF179)),IF(INDEX(对接源_02物料!$G$4:$G$1203,$AF179-1200)=0,"",INDEX(对接源_02物料!$G$4:$G$1203,$AF179-1200))))</f>
        <v/>
      </c>
      <c r="E179" s="54" t="str">
        <f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53" t="str">
        <f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55" t="str">
        <f>IF($AF179="","",IF($AF179&lt;=1200,IF(INDEX(对接源_01水果!$J$4:$J$1203,$AF179)=0,"",INDEX(对接源_01水果!$J$4:$J$1203,$AF179)),IF(INDEX(对接源_02物料!$J$4:$J$1203,$AF179-1200)=0,"",INDEX(对接源_02物料!$J$4:$J$1203,$AF179-1200))))</f>
        <v/>
      </c>
      <c r="H179" s="53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I179" s="53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J179" s="56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IFERROR(MATCH(51,_自动清单!$AC$4:$AC$2403,0),"")</f>
        <v/>
      </c>
      <c r="AL179" s="2" t="str">
        <f t="shared" si="8"/>
        <v/>
      </c>
      <c r="AM179" s="2">
        <f>IF(AL179="",0,IF(MATCH(AL179,AL$129:AL$208,0)=51,1,0))</f>
        <v>0</v>
      </c>
      <c r="AN179" s="2">
        <f t="shared" si="9"/>
        <v>0</v>
      </c>
    </row>
    <row r="180" ht="18" customHeight="1" spans="1:40">
      <c r="A180" s="87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88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88" t="str">
        <f>IF($AF180="","",IF($AF180&lt;=1200,IF(INDEX(对接源_01水果!$F$4:$F$1203,$AF180)=0,"",INDEX(对接源_01水果!$F$4:$F$1203,$AF180)),IF(INDEX(对接源_02物料!$F$4:$F$1203,$AF180-1200)=0,"",INDEX(对接源_02物料!$F$4:$F$1203,$AF180-1200))))</f>
        <v/>
      </c>
      <c r="D180" s="88" t="str">
        <f>IF($AF180="","",IF($AF180&lt;=1200,IF(INDEX(对接源_01水果!$G$4:$G$1203,$AF180)=0,"",INDEX(对接源_01水果!$G$4:$G$1203,$AF180)),IF(INDEX(对接源_02物料!$G$4:$G$1203,$AF180-1200)=0,"",INDEX(对接源_02物料!$G$4:$G$1203,$AF180-1200))))</f>
        <v/>
      </c>
      <c r="E180" s="89" t="str">
        <f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88" t="str">
        <f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90" t="str">
        <f>IF($AF180="","",IF($AF180&lt;=1200,IF(INDEX(对接源_01水果!$J$4:$J$1203,$AF180)=0,"",INDEX(对接源_01水果!$J$4:$J$1203,$AF180)),IF(INDEX(对接源_02物料!$J$4:$J$1203,$AF180-1200)=0,"",INDEX(对接源_02物料!$J$4:$J$1203,$AF180-1200))))</f>
        <v/>
      </c>
      <c r="H180" s="88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I180" s="88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J180" s="91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IFERROR(MATCH(52,_自动清单!$AC$4:$AC$2403,0),"")</f>
        <v/>
      </c>
      <c r="AL180" s="2" t="str">
        <f t="shared" si="8"/>
        <v/>
      </c>
      <c r="AM180" s="2">
        <f>IF(AL180="",0,IF(MATCH(AL180,AL$129:AL$208,0)=52,1,0))</f>
        <v>0</v>
      </c>
      <c r="AN180" s="2">
        <f t="shared" si="9"/>
        <v>0</v>
      </c>
    </row>
    <row r="181" ht="18" customHeight="1" spans="1:40">
      <c r="A181" s="52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53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53" t="str">
        <f>IF($AF181="","",IF($AF181&lt;=1200,IF(INDEX(对接源_01水果!$F$4:$F$1203,$AF181)=0,"",INDEX(对接源_01水果!$F$4:$F$1203,$AF181)),IF(INDEX(对接源_02物料!$F$4:$F$1203,$AF181-1200)=0,"",INDEX(对接源_02物料!$F$4:$F$1203,$AF181-1200))))</f>
        <v/>
      </c>
      <c r="D181" s="53" t="str">
        <f>IF($AF181="","",IF($AF181&lt;=1200,IF(INDEX(对接源_01水果!$G$4:$G$1203,$AF181)=0,"",INDEX(对接源_01水果!$G$4:$G$1203,$AF181)),IF(INDEX(对接源_02物料!$G$4:$G$1203,$AF181-1200)=0,"",INDEX(对接源_02物料!$G$4:$G$1203,$AF181-1200))))</f>
        <v/>
      </c>
      <c r="E181" s="54" t="str">
        <f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53" t="str">
        <f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55" t="str">
        <f>IF($AF181="","",IF($AF181&lt;=1200,IF(INDEX(对接源_01水果!$J$4:$J$1203,$AF181)=0,"",INDEX(对接源_01水果!$J$4:$J$1203,$AF181)),IF(INDEX(对接源_02物料!$J$4:$J$1203,$AF181-1200)=0,"",INDEX(对接源_02物料!$J$4:$J$1203,$AF181-1200))))</f>
        <v/>
      </c>
      <c r="H181" s="53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I181" s="53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J181" s="56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IFERROR(MATCH(53,_自动清单!$AC$4:$AC$2403,0),"")</f>
        <v/>
      </c>
      <c r="AL181" s="2" t="str">
        <f t="shared" si="8"/>
        <v/>
      </c>
      <c r="AM181" s="2">
        <f>IF(AL181="",0,IF(MATCH(AL181,AL$129:AL$208,0)=53,1,0))</f>
        <v>0</v>
      </c>
      <c r="AN181" s="2">
        <f t="shared" si="9"/>
        <v>0</v>
      </c>
    </row>
    <row r="182" ht="18" customHeight="1" spans="1:40">
      <c r="A182" s="87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88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88" t="str">
        <f>IF($AF182="","",IF($AF182&lt;=1200,IF(INDEX(对接源_01水果!$F$4:$F$1203,$AF182)=0,"",INDEX(对接源_01水果!$F$4:$F$1203,$AF182)),IF(INDEX(对接源_02物料!$F$4:$F$1203,$AF182-1200)=0,"",INDEX(对接源_02物料!$F$4:$F$1203,$AF182-1200))))</f>
        <v/>
      </c>
      <c r="D182" s="88" t="str">
        <f>IF($AF182="","",IF($AF182&lt;=1200,IF(INDEX(对接源_01水果!$G$4:$G$1203,$AF182)=0,"",INDEX(对接源_01水果!$G$4:$G$1203,$AF182)),IF(INDEX(对接源_02物料!$G$4:$G$1203,$AF182-1200)=0,"",INDEX(对接源_02物料!$G$4:$G$1203,$AF182-1200))))</f>
        <v/>
      </c>
      <c r="E182" s="89" t="str">
        <f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88" t="str">
        <f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90" t="str">
        <f>IF($AF182="","",IF($AF182&lt;=1200,IF(INDEX(对接源_01水果!$J$4:$J$1203,$AF182)=0,"",INDEX(对接源_01水果!$J$4:$J$1203,$AF182)),IF(INDEX(对接源_02物料!$J$4:$J$1203,$AF182-1200)=0,"",INDEX(对接源_02物料!$J$4:$J$1203,$AF182-1200))))</f>
        <v/>
      </c>
      <c r="H182" s="88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I182" s="88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J182" s="91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IFERROR(MATCH(54,_自动清单!$AC$4:$AC$2403,0),"")</f>
        <v/>
      </c>
      <c r="AL182" s="2" t="str">
        <f t="shared" si="8"/>
        <v/>
      </c>
      <c r="AM182" s="2">
        <f>IF(AL182="",0,IF(MATCH(AL182,AL$129:AL$208,0)=54,1,0))</f>
        <v>0</v>
      </c>
      <c r="AN182" s="2">
        <f t="shared" si="9"/>
        <v>0</v>
      </c>
    </row>
    <row r="183" ht="18" customHeight="1" spans="1:40">
      <c r="A183" s="52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53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53" t="str">
        <f>IF($AF183="","",IF($AF183&lt;=1200,IF(INDEX(对接源_01水果!$F$4:$F$1203,$AF183)=0,"",INDEX(对接源_01水果!$F$4:$F$1203,$AF183)),IF(INDEX(对接源_02物料!$F$4:$F$1203,$AF183-1200)=0,"",INDEX(对接源_02物料!$F$4:$F$1203,$AF183-1200))))</f>
        <v/>
      </c>
      <c r="D183" s="53" t="str">
        <f>IF($AF183="","",IF($AF183&lt;=1200,IF(INDEX(对接源_01水果!$G$4:$G$1203,$AF183)=0,"",INDEX(对接源_01水果!$G$4:$G$1203,$AF183)),IF(INDEX(对接源_02物料!$G$4:$G$1203,$AF183-1200)=0,"",INDEX(对接源_02物料!$G$4:$G$1203,$AF183-1200))))</f>
        <v/>
      </c>
      <c r="E183" s="54" t="str">
        <f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53" t="str">
        <f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55" t="str">
        <f>IF($AF183="","",IF($AF183&lt;=1200,IF(INDEX(对接源_01水果!$J$4:$J$1203,$AF183)=0,"",INDEX(对接源_01水果!$J$4:$J$1203,$AF183)),IF(INDEX(对接源_02物料!$J$4:$J$1203,$AF183-1200)=0,"",INDEX(对接源_02物料!$J$4:$J$1203,$AF183-1200))))</f>
        <v/>
      </c>
      <c r="H183" s="53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I183" s="53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J183" s="56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IFERROR(MATCH(55,_自动清单!$AC$4:$AC$2403,0),"")</f>
        <v/>
      </c>
      <c r="AL183" s="2" t="str">
        <f t="shared" si="8"/>
        <v/>
      </c>
      <c r="AM183" s="2">
        <f>IF(AL183="",0,IF(MATCH(AL183,AL$129:AL$208,0)=55,1,0))</f>
        <v>0</v>
      </c>
      <c r="AN183" s="2">
        <f t="shared" si="9"/>
        <v>0</v>
      </c>
    </row>
    <row r="184" ht="18" customHeight="1" spans="1:40">
      <c r="A184" s="87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88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88" t="str">
        <f>IF($AF184="","",IF($AF184&lt;=1200,IF(INDEX(对接源_01水果!$F$4:$F$1203,$AF184)=0,"",INDEX(对接源_01水果!$F$4:$F$1203,$AF184)),IF(INDEX(对接源_02物料!$F$4:$F$1203,$AF184-1200)=0,"",INDEX(对接源_02物料!$F$4:$F$1203,$AF184-1200))))</f>
        <v/>
      </c>
      <c r="D184" s="88" t="str">
        <f>IF($AF184="","",IF($AF184&lt;=1200,IF(INDEX(对接源_01水果!$G$4:$G$1203,$AF184)=0,"",INDEX(对接源_01水果!$G$4:$G$1203,$AF184)),IF(INDEX(对接源_02物料!$G$4:$G$1203,$AF184-1200)=0,"",INDEX(对接源_02物料!$G$4:$G$1203,$AF184-1200))))</f>
        <v/>
      </c>
      <c r="E184" s="89" t="str">
        <f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88" t="str">
        <f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90" t="str">
        <f>IF($AF184="","",IF($AF184&lt;=1200,IF(INDEX(对接源_01水果!$J$4:$J$1203,$AF184)=0,"",INDEX(对接源_01水果!$J$4:$J$1203,$AF184)),IF(INDEX(对接源_02物料!$J$4:$J$1203,$AF184-1200)=0,"",INDEX(对接源_02物料!$J$4:$J$1203,$AF184-1200))))</f>
        <v/>
      </c>
      <c r="H184" s="88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I184" s="88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J184" s="91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IFERROR(MATCH(56,_自动清单!$AC$4:$AC$2403,0),"")</f>
        <v/>
      </c>
      <c r="AL184" s="2" t="str">
        <f t="shared" si="8"/>
        <v/>
      </c>
      <c r="AM184" s="2">
        <f>IF(AL184="",0,IF(MATCH(AL184,AL$129:AL$208,0)=56,1,0))</f>
        <v>0</v>
      </c>
      <c r="AN184" s="2">
        <f t="shared" si="9"/>
        <v>0</v>
      </c>
    </row>
    <row r="185" ht="18" customHeight="1" spans="1:40">
      <c r="A185" s="52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53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53" t="str">
        <f>IF($AF185="","",IF($AF185&lt;=1200,IF(INDEX(对接源_01水果!$F$4:$F$1203,$AF185)=0,"",INDEX(对接源_01水果!$F$4:$F$1203,$AF185)),IF(INDEX(对接源_02物料!$F$4:$F$1203,$AF185-1200)=0,"",INDEX(对接源_02物料!$F$4:$F$1203,$AF185-1200))))</f>
        <v/>
      </c>
      <c r="D185" s="53" t="str">
        <f>IF($AF185="","",IF($AF185&lt;=1200,IF(INDEX(对接源_01水果!$G$4:$G$1203,$AF185)=0,"",INDEX(对接源_01水果!$G$4:$G$1203,$AF185)),IF(INDEX(对接源_02物料!$G$4:$G$1203,$AF185-1200)=0,"",INDEX(对接源_02物料!$G$4:$G$1203,$AF185-1200))))</f>
        <v/>
      </c>
      <c r="E185" s="54" t="str">
        <f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53" t="str">
        <f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55" t="str">
        <f>IF($AF185="","",IF($AF185&lt;=1200,IF(INDEX(对接源_01水果!$J$4:$J$1203,$AF185)=0,"",INDEX(对接源_01水果!$J$4:$J$1203,$AF185)),IF(INDEX(对接源_02物料!$J$4:$J$1203,$AF185-1200)=0,"",INDEX(对接源_02物料!$J$4:$J$1203,$AF185-1200))))</f>
        <v/>
      </c>
      <c r="H185" s="53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I185" s="53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J185" s="56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IFERROR(MATCH(57,_自动清单!$AC$4:$AC$2403,0),"")</f>
        <v/>
      </c>
      <c r="AL185" s="2" t="str">
        <f t="shared" si="8"/>
        <v/>
      </c>
      <c r="AM185" s="2">
        <f>IF(AL185="",0,IF(MATCH(AL185,AL$129:AL$208,0)=57,1,0))</f>
        <v>0</v>
      </c>
      <c r="AN185" s="2">
        <f t="shared" si="9"/>
        <v>0</v>
      </c>
    </row>
    <row r="186" ht="18" customHeight="1" spans="1:40">
      <c r="A186" s="87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88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88" t="str">
        <f>IF($AF186="","",IF($AF186&lt;=1200,IF(INDEX(对接源_01水果!$F$4:$F$1203,$AF186)=0,"",INDEX(对接源_01水果!$F$4:$F$1203,$AF186)),IF(INDEX(对接源_02物料!$F$4:$F$1203,$AF186-1200)=0,"",INDEX(对接源_02物料!$F$4:$F$1203,$AF186-1200))))</f>
        <v/>
      </c>
      <c r="D186" s="88" t="str">
        <f>IF($AF186="","",IF($AF186&lt;=1200,IF(INDEX(对接源_01水果!$G$4:$G$1203,$AF186)=0,"",INDEX(对接源_01水果!$G$4:$G$1203,$AF186)),IF(INDEX(对接源_02物料!$G$4:$G$1203,$AF186-1200)=0,"",INDEX(对接源_02物料!$G$4:$G$1203,$AF186-1200))))</f>
        <v/>
      </c>
      <c r="E186" s="89" t="str">
        <f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88" t="str">
        <f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90" t="str">
        <f>IF($AF186="","",IF($AF186&lt;=1200,IF(INDEX(对接源_01水果!$J$4:$J$1203,$AF186)=0,"",INDEX(对接源_01水果!$J$4:$J$1203,$AF186)),IF(INDEX(对接源_02物料!$J$4:$J$1203,$AF186-1200)=0,"",INDEX(对接源_02物料!$J$4:$J$1203,$AF186-1200))))</f>
        <v/>
      </c>
      <c r="H186" s="88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I186" s="88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J186" s="91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IFERROR(MATCH(58,_自动清单!$AC$4:$AC$2403,0),"")</f>
        <v/>
      </c>
      <c r="AL186" s="2" t="str">
        <f t="shared" si="8"/>
        <v/>
      </c>
      <c r="AM186" s="2">
        <f>IF(AL186="",0,IF(MATCH(AL186,AL$129:AL$208,0)=58,1,0))</f>
        <v>0</v>
      </c>
      <c r="AN186" s="2">
        <f t="shared" si="9"/>
        <v>0</v>
      </c>
    </row>
    <row r="187" ht="18" customHeight="1" spans="1:40">
      <c r="A187" s="52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53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53" t="str">
        <f>IF($AF187="","",IF($AF187&lt;=1200,IF(INDEX(对接源_01水果!$F$4:$F$1203,$AF187)=0,"",INDEX(对接源_01水果!$F$4:$F$1203,$AF187)),IF(INDEX(对接源_02物料!$F$4:$F$1203,$AF187-1200)=0,"",INDEX(对接源_02物料!$F$4:$F$1203,$AF187-1200))))</f>
        <v/>
      </c>
      <c r="D187" s="53" t="str">
        <f>IF($AF187="","",IF($AF187&lt;=1200,IF(INDEX(对接源_01水果!$G$4:$G$1203,$AF187)=0,"",INDEX(对接源_01水果!$G$4:$G$1203,$AF187)),IF(INDEX(对接源_02物料!$G$4:$G$1203,$AF187-1200)=0,"",INDEX(对接源_02物料!$G$4:$G$1203,$AF187-1200))))</f>
        <v/>
      </c>
      <c r="E187" s="54" t="str">
        <f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53" t="str">
        <f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55" t="str">
        <f>IF($AF187="","",IF($AF187&lt;=1200,IF(INDEX(对接源_01水果!$J$4:$J$1203,$AF187)=0,"",INDEX(对接源_01水果!$J$4:$J$1203,$AF187)),IF(INDEX(对接源_02物料!$J$4:$J$1203,$AF187-1200)=0,"",INDEX(对接源_02物料!$J$4:$J$1203,$AF187-1200))))</f>
        <v/>
      </c>
      <c r="H187" s="53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I187" s="53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J187" s="56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IFERROR(MATCH(59,_自动清单!$AC$4:$AC$2403,0),"")</f>
        <v/>
      </c>
      <c r="AL187" s="2" t="str">
        <f t="shared" si="8"/>
        <v/>
      </c>
      <c r="AM187" s="2">
        <f>IF(AL187="",0,IF(MATCH(AL187,AL$129:AL$208,0)=59,1,0))</f>
        <v>0</v>
      </c>
      <c r="AN187" s="2">
        <f t="shared" si="9"/>
        <v>0</v>
      </c>
    </row>
    <row r="188" ht="18" customHeight="1" spans="1:40">
      <c r="A188" s="87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88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88" t="str">
        <f>IF($AF188="","",IF($AF188&lt;=1200,IF(INDEX(对接源_01水果!$F$4:$F$1203,$AF188)=0,"",INDEX(对接源_01水果!$F$4:$F$1203,$AF188)),IF(INDEX(对接源_02物料!$F$4:$F$1203,$AF188-1200)=0,"",INDEX(对接源_02物料!$F$4:$F$1203,$AF188-1200))))</f>
        <v/>
      </c>
      <c r="D188" s="88" t="str">
        <f>IF($AF188="","",IF($AF188&lt;=1200,IF(INDEX(对接源_01水果!$G$4:$G$1203,$AF188)=0,"",INDEX(对接源_01水果!$G$4:$G$1203,$AF188)),IF(INDEX(对接源_02物料!$G$4:$G$1203,$AF188-1200)=0,"",INDEX(对接源_02物料!$G$4:$G$1203,$AF188-1200))))</f>
        <v/>
      </c>
      <c r="E188" s="89" t="str">
        <f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88" t="str">
        <f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90" t="str">
        <f>IF($AF188="","",IF($AF188&lt;=1200,IF(INDEX(对接源_01水果!$J$4:$J$1203,$AF188)=0,"",INDEX(对接源_01水果!$J$4:$J$1203,$AF188)),IF(INDEX(对接源_02物料!$J$4:$J$1203,$AF188-1200)=0,"",INDEX(对接源_02物料!$J$4:$J$1203,$AF188-1200))))</f>
        <v/>
      </c>
      <c r="H188" s="88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I188" s="88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J188" s="91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IFERROR(MATCH(60,_自动清单!$AC$4:$AC$2403,0),"")</f>
        <v/>
      </c>
      <c r="AL188" s="2" t="str">
        <f t="shared" si="8"/>
        <v/>
      </c>
      <c r="AM188" s="2">
        <f>IF(AL188="",0,IF(MATCH(AL188,AL$129:AL$208,0)=60,1,0))</f>
        <v>0</v>
      </c>
      <c r="AN188" s="2">
        <f t="shared" si="9"/>
        <v>0</v>
      </c>
    </row>
    <row r="189" ht="18" customHeight="1" spans="1:40">
      <c r="A189" s="52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53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53" t="str">
        <f>IF($AF189="","",IF($AF189&lt;=1200,IF(INDEX(对接源_01水果!$F$4:$F$1203,$AF189)=0,"",INDEX(对接源_01水果!$F$4:$F$1203,$AF189)),IF(INDEX(对接源_02物料!$F$4:$F$1203,$AF189-1200)=0,"",INDEX(对接源_02物料!$F$4:$F$1203,$AF189-1200))))</f>
        <v/>
      </c>
      <c r="D189" s="53" t="str">
        <f>IF($AF189="","",IF($AF189&lt;=1200,IF(INDEX(对接源_01水果!$G$4:$G$1203,$AF189)=0,"",INDEX(对接源_01水果!$G$4:$G$1203,$AF189)),IF(INDEX(对接源_02物料!$G$4:$G$1203,$AF189-1200)=0,"",INDEX(对接源_02物料!$G$4:$G$1203,$AF189-1200))))</f>
        <v/>
      </c>
      <c r="E189" s="54" t="str">
        <f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53" t="str">
        <f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55" t="str">
        <f>IF($AF189="","",IF($AF189&lt;=1200,IF(INDEX(对接源_01水果!$J$4:$J$1203,$AF189)=0,"",INDEX(对接源_01水果!$J$4:$J$1203,$AF189)),IF(INDEX(对接源_02物料!$J$4:$J$1203,$AF189-1200)=0,"",INDEX(对接源_02物料!$J$4:$J$1203,$AF189-1200))))</f>
        <v/>
      </c>
      <c r="H189" s="53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I189" s="53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J189" s="56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IFERROR(MATCH(61,_自动清单!$AC$4:$AC$2403,0),"")</f>
        <v/>
      </c>
      <c r="AL189" s="2" t="str">
        <f t="shared" si="8"/>
        <v/>
      </c>
      <c r="AM189" s="2">
        <f>IF(AL189="",0,IF(MATCH(AL189,AL$129:AL$208,0)=61,1,0))</f>
        <v>0</v>
      </c>
      <c r="AN189" s="2">
        <f t="shared" si="9"/>
        <v>0</v>
      </c>
    </row>
    <row r="190" ht="18" customHeight="1" spans="1:40">
      <c r="A190" s="87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88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88" t="str">
        <f>IF($AF190="","",IF($AF190&lt;=1200,IF(INDEX(对接源_01水果!$F$4:$F$1203,$AF190)=0,"",INDEX(对接源_01水果!$F$4:$F$1203,$AF190)),IF(INDEX(对接源_02物料!$F$4:$F$1203,$AF190-1200)=0,"",INDEX(对接源_02物料!$F$4:$F$1203,$AF190-1200))))</f>
        <v/>
      </c>
      <c r="D190" s="88" t="str">
        <f>IF($AF190="","",IF($AF190&lt;=1200,IF(INDEX(对接源_01水果!$G$4:$G$1203,$AF190)=0,"",INDEX(对接源_01水果!$G$4:$G$1203,$AF190)),IF(INDEX(对接源_02物料!$G$4:$G$1203,$AF190-1200)=0,"",INDEX(对接源_02物料!$G$4:$G$1203,$AF190-1200))))</f>
        <v/>
      </c>
      <c r="E190" s="89" t="str">
        <f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88" t="str">
        <f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90" t="str">
        <f>IF($AF190="","",IF($AF190&lt;=1200,IF(INDEX(对接源_01水果!$J$4:$J$1203,$AF190)=0,"",INDEX(对接源_01水果!$J$4:$J$1203,$AF190)),IF(INDEX(对接源_02物料!$J$4:$J$1203,$AF190-1200)=0,"",INDEX(对接源_02物料!$J$4:$J$1203,$AF190-1200))))</f>
        <v/>
      </c>
      <c r="H190" s="88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I190" s="88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J190" s="91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IFERROR(MATCH(62,_自动清单!$AC$4:$AC$2403,0),"")</f>
        <v/>
      </c>
      <c r="AL190" s="2" t="str">
        <f t="shared" si="8"/>
        <v/>
      </c>
      <c r="AM190" s="2">
        <f>IF(AL190="",0,IF(MATCH(AL190,AL$129:AL$208,0)=62,1,0))</f>
        <v>0</v>
      </c>
      <c r="AN190" s="2">
        <f t="shared" si="9"/>
        <v>0</v>
      </c>
    </row>
    <row r="191" ht="18" customHeight="1" spans="1:40">
      <c r="A191" s="52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53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53" t="str">
        <f>IF($AF191="","",IF($AF191&lt;=1200,IF(INDEX(对接源_01水果!$F$4:$F$1203,$AF191)=0,"",INDEX(对接源_01水果!$F$4:$F$1203,$AF191)),IF(INDEX(对接源_02物料!$F$4:$F$1203,$AF191-1200)=0,"",INDEX(对接源_02物料!$F$4:$F$1203,$AF191-1200))))</f>
        <v/>
      </c>
      <c r="D191" s="53" t="str">
        <f>IF($AF191="","",IF($AF191&lt;=1200,IF(INDEX(对接源_01水果!$G$4:$G$1203,$AF191)=0,"",INDEX(对接源_01水果!$G$4:$G$1203,$AF191)),IF(INDEX(对接源_02物料!$G$4:$G$1203,$AF191-1200)=0,"",INDEX(对接源_02物料!$G$4:$G$1203,$AF191-1200))))</f>
        <v/>
      </c>
      <c r="E191" s="54" t="str">
        <f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53" t="str">
        <f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55" t="str">
        <f>IF($AF191="","",IF($AF191&lt;=1200,IF(INDEX(对接源_01水果!$J$4:$J$1203,$AF191)=0,"",INDEX(对接源_01水果!$J$4:$J$1203,$AF191)),IF(INDEX(对接源_02物料!$J$4:$J$1203,$AF191-1200)=0,"",INDEX(对接源_02物料!$J$4:$J$1203,$AF191-1200))))</f>
        <v/>
      </c>
      <c r="H191" s="53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I191" s="53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J191" s="56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IFERROR(MATCH(63,_自动清单!$AC$4:$AC$2403,0),"")</f>
        <v/>
      </c>
      <c r="AL191" s="2" t="str">
        <f t="shared" si="8"/>
        <v/>
      </c>
      <c r="AM191" s="2">
        <f>IF(AL191="",0,IF(MATCH(AL191,AL$129:AL$208,0)=63,1,0))</f>
        <v>0</v>
      </c>
      <c r="AN191" s="2">
        <f t="shared" si="9"/>
        <v>0</v>
      </c>
    </row>
    <row r="192" ht="18" customHeight="1" spans="1:40">
      <c r="A192" s="87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88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88" t="str">
        <f>IF($AF192="","",IF($AF192&lt;=1200,IF(INDEX(对接源_01水果!$F$4:$F$1203,$AF192)=0,"",INDEX(对接源_01水果!$F$4:$F$1203,$AF192)),IF(INDEX(对接源_02物料!$F$4:$F$1203,$AF192-1200)=0,"",INDEX(对接源_02物料!$F$4:$F$1203,$AF192-1200))))</f>
        <v/>
      </c>
      <c r="D192" s="88" t="str">
        <f>IF($AF192="","",IF($AF192&lt;=1200,IF(INDEX(对接源_01水果!$G$4:$G$1203,$AF192)=0,"",INDEX(对接源_01水果!$G$4:$G$1203,$AF192)),IF(INDEX(对接源_02物料!$G$4:$G$1203,$AF192-1200)=0,"",INDEX(对接源_02物料!$G$4:$G$1203,$AF192-1200))))</f>
        <v/>
      </c>
      <c r="E192" s="89" t="str">
        <f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88" t="str">
        <f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90" t="str">
        <f>IF($AF192="","",IF($AF192&lt;=1200,IF(INDEX(对接源_01水果!$J$4:$J$1203,$AF192)=0,"",INDEX(对接源_01水果!$J$4:$J$1203,$AF192)),IF(INDEX(对接源_02物料!$J$4:$J$1203,$AF192-1200)=0,"",INDEX(对接源_02物料!$J$4:$J$1203,$AF192-1200))))</f>
        <v/>
      </c>
      <c r="H192" s="88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I192" s="88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J192" s="91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IFERROR(MATCH(64,_自动清单!$AC$4:$AC$2403,0),"")</f>
        <v/>
      </c>
      <c r="AL192" s="2" t="str">
        <f t="shared" si="8"/>
        <v/>
      </c>
      <c r="AM192" s="2">
        <f>IF(AL192="",0,IF(MATCH(AL192,AL$129:AL$208,0)=64,1,0))</f>
        <v>0</v>
      </c>
      <c r="AN192" s="2">
        <f t="shared" si="9"/>
        <v>0</v>
      </c>
    </row>
    <row r="193" ht="18" customHeight="1" spans="1:40">
      <c r="A193" s="52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53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53" t="str">
        <f>IF($AF193="","",IF($AF193&lt;=1200,IF(INDEX(对接源_01水果!$F$4:$F$1203,$AF193)=0,"",INDEX(对接源_01水果!$F$4:$F$1203,$AF193)),IF(INDEX(对接源_02物料!$F$4:$F$1203,$AF193-1200)=0,"",INDEX(对接源_02物料!$F$4:$F$1203,$AF193-1200))))</f>
        <v/>
      </c>
      <c r="D193" s="53" t="str">
        <f>IF($AF193="","",IF($AF193&lt;=1200,IF(INDEX(对接源_01水果!$G$4:$G$1203,$AF193)=0,"",INDEX(对接源_01水果!$G$4:$G$1203,$AF193)),IF(INDEX(对接源_02物料!$G$4:$G$1203,$AF193-1200)=0,"",INDEX(对接源_02物料!$G$4:$G$1203,$AF193-1200))))</f>
        <v/>
      </c>
      <c r="E193" s="54" t="str">
        <f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53" t="str">
        <f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55" t="str">
        <f>IF($AF193="","",IF($AF193&lt;=1200,IF(INDEX(对接源_01水果!$J$4:$J$1203,$AF193)=0,"",INDEX(对接源_01水果!$J$4:$J$1203,$AF193)),IF(INDEX(对接源_02物料!$J$4:$J$1203,$AF193-1200)=0,"",INDEX(对接源_02物料!$J$4:$J$1203,$AF193-1200))))</f>
        <v/>
      </c>
      <c r="H193" s="53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I193" s="53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J193" s="56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IFERROR(MATCH(65,_自动清单!$AC$4:$AC$2403,0),"")</f>
        <v/>
      </c>
      <c r="AL193" s="2" t="str">
        <f t="shared" ref="AL193:AL208" si="10">IF($D193="","",$D193)</f>
        <v/>
      </c>
      <c r="AM193" s="2">
        <f>IF(AL193="",0,IF(MATCH(AL193,AL$129:AL$208,0)=65,1,0))</f>
        <v>0</v>
      </c>
      <c r="AN193" s="2">
        <f t="shared" ref="AN193:AN208" si="11">N(AN192)+AM193</f>
        <v>0</v>
      </c>
    </row>
    <row r="194" ht="18" customHeight="1" spans="1:40">
      <c r="A194" s="87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88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88" t="str">
        <f>IF($AF194="","",IF($AF194&lt;=1200,IF(INDEX(对接源_01水果!$F$4:$F$1203,$AF194)=0,"",INDEX(对接源_01水果!$F$4:$F$1203,$AF194)),IF(INDEX(对接源_02物料!$F$4:$F$1203,$AF194-1200)=0,"",INDEX(对接源_02物料!$F$4:$F$1203,$AF194-1200))))</f>
        <v/>
      </c>
      <c r="D194" s="88" t="str">
        <f>IF($AF194="","",IF($AF194&lt;=1200,IF(INDEX(对接源_01水果!$G$4:$G$1203,$AF194)=0,"",INDEX(对接源_01水果!$G$4:$G$1203,$AF194)),IF(INDEX(对接源_02物料!$G$4:$G$1203,$AF194-1200)=0,"",INDEX(对接源_02物料!$G$4:$G$1203,$AF194-1200))))</f>
        <v/>
      </c>
      <c r="E194" s="89" t="str">
        <f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88" t="str">
        <f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90" t="str">
        <f>IF($AF194="","",IF($AF194&lt;=1200,IF(INDEX(对接源_01水果!$J$4:$J$1203,$AF194)=0,"",INDEX(对接源_01水果!$J$4:$J$1203,$AF194)),IF(INDEX(对接源_02物料!$J$4:$J$1203,$AF194-1200)=0,"",INDEX(对接源_02物料!$J$4:$J$1203,$AF194-1200))))</f>
        <v/>
      </c>
      <c r="H194" s="88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I194" s="88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J194" s="91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IFERROR(MATCH(66,_自动清单!$AC$4:$AC$2403,0),"")</f>
        <v/>
      </c>
      <c r="AL194" s="2" t="str">
        <f t="shared" si="10"/>
        <v/>
      </c>
      <c r="AM194" s="2">
        <f>IF(AL194="",0,IF(MATCH(AL194,AL$129:AL$208,0)=66,1,0))</f>
        <v>0</v>
      </c>
      <c r="AN194" s="2">
        <f t="shared" si="11"/>
        <v>0</v>
      </c>
    </row>
    <row r="195" ht="18" customHeight="1" spans="1:40">
      <c r="A195" s="52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53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53" t="str">
        <f>IF($AF195="","",IF($AF195&lt;=1200,IF(INDEX(对接源_01水果!$F$4:$F$1203,$AF195)=0,"",INDEX(对接源_01水果!$F$4:$F$1203,$AF195)),IF(INDEX(对接源_02物料!$F$4:$F$1203,$AF195-1200)=0,"",INDEX(对接源_02物料!$F$4:$F$1203,$AF195-1200))))</f>
        <v/>
      </c>
      <c r="D195" s="53" t="str">
        <f>IF($AF195="","",IF($AF195&lt;=1200,IF(INDEX(对接源_01水果!$G$4:$G$1203,$AF195)=0,"",INDEX(对接源_01水果!$G$4:$G$1203,$AF195)),IF(INDEX(对接源_02物料!$G$4:$G$1203,$AF195-1200)=0,"",INDEX(对接源_02物料!$G$4:$G$1203,$AF195-1200))))</f>
        <v/>
      </c>
      <c r="E195" s="54" t="str">
        <f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53" t="str">
        <f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55" t="str">
        <f>IF($AF195="","",IF($AF195&lt;=1200,IF(INDEX(对接源_01水果!$J$4:$J$1203,$AF195)=0,"",INDEX(对接源_01水果!$J$4:$J$1203,$AF195)),IF(INDEX(对接源_02物料!$J$4:$J$1203,$AF195-1200)=0,"",INDEX(对接源_02物料!$J$4:$J$1203,$AF195-1200))))</f>
        <v/>
      </c>
      <c r="H195" s="53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I195" s="53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J195" s="56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IFERROR(MATCH(67,_自动清单!$AC$4:$AC$2403,0),"")</f>
        <v/>
      </c>
      <c r="AL195" s="2" t="str">
        <f t="shared" si="10"/>
        <v/>
      </c>
      <c r="AM195" s="2">
        <f>IF(AL195="",0,IF(MATCH(AL195,AL$129:AL$208,0)=67,1,0))</f>
        <v>0</v>
      </c>
      <c r="AN195" s="2">
        <f t="shared" si="11"/>
        <v>0</v>
      </c>
    </row>
    <row r="196" ht="18" customHeight="1" spans="1:40">
      <c r="A196" s="87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88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88" t="str">
        <f>IF($AF196="","",IF($AF196&lt;=1200,IF(INDEX(对接源_01水果!$F$4:$F$1203,$AF196)=0,"",INDEX(对接源_01水果!$F$4:$F$1203,$AF196)),IF(INDEX(对接源_02物料!$F$4:$F$1203,$AF196-1200)=0,"",INDEX(对接源_02物料!$F$4:$F$1203,$AF196-1200))))</f>
        <v/>
      </c>
      <c r="D196" s="88" t="str">
        <f>IF($AF196="","",IF($AF196&lt;=1200,IF(INDEX(对接源_01水果!$G$4:$G$1203,$AF196)=0,"",INDEX(对接源_01水果!$G$4:$G$1203,$AF196)),IF(INDEX(对接源_02物料!$G$4:$G$1203,$AF196-1200)=0,"",INDEX(对接源_02物料!$G$4:$G$1203,$AF196-1200))))</f>
        <v/>
      </c>
      <c r="E196" s="89" t="str">
        <f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88" t="str">
        <f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90" t="str">
        <f>IF($AF196="","",IF($AF196&lt;=1200,IF(INDEX(对接源_01水果!$J$4:$J$1203,$AF196)=0,"",INDEX(对接源_01水果!$J$4:$J$1203,$AF196)),IF(INDEX(对接源_02物料!$J$4:$J$1203,$AF196-1200)=0,"",INDEX(对接源_02物料!$J$4:$J$1203,$AF196-1200))))</f>
        <v/>
      </c>
      <c r="H196" s="88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I196" s="88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J196" s="91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IFERROR(MATCH(68,_自动清单!$AC$4:$AC$2403,0),"")</f>
        <v/>
      </c>
      <c r="AL196" s="2" t="str">
        <f t="shared" si="10"/>
        <v/>
      </c>
      <c r="AM196" s="2">
        <f>IF(AL196="",0,IF(MATCH(AL196,AL$129:AL$208,0)=68,1,0))</f>
        <v>0</v>
      </c>
      <c r="AN196" s="2">
        <f t="shared" si="11"/>
        <v>0</v>
      </c>
    </row>
    <row r="197" ht="18" customHeight="1" spans="1:40">
      <c r="A197" s="52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53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53" t="str">
        <f>IF($AF197="","",IF($AF197&lt;=1200,IF(INDEX(对接源_01水果!$F$4:$F$1203,$AF197)=0,"",INDEX(对接源_01水果!$F$4:$F$1203,$AF197)),IF(INDEX(对接源_02物料!$F$4:$F$1203,$AF197-1200)=0,"",INDEX(对接源_02物料!$F$4:$F$1203,$AF197-1200))))</f>
        <v/>
      </c>
      <c r="D197" s="53" t="str">
        <f>IF($AF197="","",IF($AF197&lt;=1200,IF(INDEX(对接源_01水果!$G$4:$G$1203,$AF197)=0,"",INDEX(对接源_01水果!$G$4:$G$1203,$AF197)),IF(INDEX(对接源_02物料!$G$4:$G$1203,$AF197-1200)=0,"",INDEX(对接源_02物料!$G$4:$G$1203,$AF197-1200))))</f>
        <v/>
      </c>
      <c r="E197" s="54" t="str">
        <f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53" t="str">
        <f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55" t="str">
        <f>IF($AF197="","",IF($AF197&lt;=1200,IF(INDEX(对接源_01水果!$J$4:$J$1203,$AF197)=0,"",INDEX(对接源_01水果!$J$4:$J$1203,$AF197)),IF(INDEX(对接源_02物料!$J$4:$J$1203,$AF197-1200)=0,"",INDEX(对接源_02物料!$J$4:$J$1203,$AF197-1200))))</f>
        <v/>
      </c>
      <c r="H197" s="53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I197" s="53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J197" s="56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IFERROR(MATCH(69,_自动清单!$AC$4:$AC$2403,0),"")</f>
        <v/>
      </c>
      <c r="AL197" s="2" t="str">
        <f t="shared" si="10"/>
        <v/>
      </c>
      <c r="AM197" s="2">
        <f>IF(AL197="",0,IF(MATCH(AL197,AL$129:AL$208,0)=69,1,0))</f>
        <v>0</v>
      </c>
      <c r="AN197" s="2">
        <f t="shared" si="11"/>
        <v>0</v>
      </c>
    </row>
    <row r="198" ht="18" customHeight="1" spans="1:40">
      <c r="A198" s="87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88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88" t="str">
        <f>IF($AF198="","",IF($AF198&lt;=1200,IF(INDEX(对接源_01水果!$F$4:$F$1203,$AF198)=0,"",INDEX(对接源_01水果!$F$4:$F$1203,$AF198)),IF(INDEX(对接源_02物料!$F$4:$F$1203,$AF198-1200)=0,"",INDEX(对接源_02物料!$F$4:$F$1203,$AF198-1200))))</f>
        <v/>
      </c>
      <c r="D198" s="88" t="str">
        <f>IF($AF198="","",IF($AF198&lt;=1200,IF(INDEX(对接源_01水果!$G$4:$G$1203,$AF198)=0,"",INDEX(对接源_01水果!$G$4:$G$1203,$AF198)),IF(INDEX(对接源_02物料!$G$4:$G$1203,$AF198-1200)=0,"",INDEX(对接源_02物料!$G$4:$G$1203,$AF198-1200))))</f>
        <v/>
      </c>
      <c r="E198" s="89" t="str">
        <f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88" t="str">
        <f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90" t="str">
        <f>IF($AF198="","",IF($AF198&lt;=1200,IF(INDEX(对接源_01水果!$J$4:$J$1203,$AF198)=0,"",INDEX(对接源_01水果!$J$4:$J$1203,$AF198)),IF(INDEX(对接源_02物料!$J$4:$J$1203,$AF198-1200)=0,"",INDEX(对接源_02物料!$J$4:$J$1203,$AF198-1200))))</f>
        <v/>
      </c>
      <c r="H198" s="88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I198" s="88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J198" s="91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IFERROR(MATCH(70,_自动清单!$AC$4:$AC$2403,0),"")</f>
        <v/>
      </c>
      <c r="AL198" s="2" t="str">
        <f t="shared" si="10"/>
        <v/>
      </c>
      <c r="AM198" s="2">
        <f>IF(AL198="",0,IF(MATCH(AL198,AL$129:AL$208,0)=70,1,0))</f>
        <v>0</v>
      </c>
      <c r="AN198" s="2">
        <f t="shared" si="11"/>
        <v>0</v>
      </c>
    </row>
    <row r="199" ht="18" customHeight="1" spans="1:40">
      <c r="A199" s="52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53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53" t="str">
        <f>IF($AF199="","",IF($AF199&lt;=1200,IF(INDEX(对接源_01水果!$F$4:$F$1203,$AF199)=0,"",INDEX(对接源_01水果!$F$4:$F$1203,$AF199)),IF(INDEX(对接源_02物料!$F$4:$F$1203,$AF199-1200)=0,"",INDEX(对接源_02物料!$F$4:$F$1203,$AF199-1200))))</f>
        <v/>
      </c>
      <c r="D199" s="53" t="str">
        <f>IF($AF199="","",IF($AF199&lt;=1200,IF(INDEX(对接源_01水果!$G$4:$G$1203,$AF199)=0,"",INDEX(对接源_01水果!$G$4:$G$1203,$AF199)),IF(INDEX(对接源_02物料!$G$4:$G$1203,$AF199-1200)=0,"",INDEX(对接源_02物料!$G$4:$G$1203,$AF199-1200))))</f>
        <v/>
      </c>
      <c r="E199" s="54" t="str">
        <f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53" t="str">
        <f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55" t="str">
        <f>IF($AF199="","",IF($AF199&lt;=1200,IF(INDEX(对接源_01水果!$J$4:$J$1203,$AF199)=0,"",INDEX(对接源_01水果!$J$4:$J$1203,$AF199)),IF(INDEX(对接源_02物料!$J$4:$J$1203,$AF199-1200)=0,"",INDEX(对接源_02物料!$J$4:$J$1203,$AF199-1200))))</f>
        <v/>
      </c>
      <c r="H199" s="53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I199" s="53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J199" s="56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IFERROR(MATCH(71,_自动清单!$AC$4:$AC$2403,0),"")</f>
        <v/>
      </c>
      <c r="AL199" s="2" t="str">
        <f t="shared" si="10"/>
        <v/>
      </c>
      <c r="AM199" s="2">
        <f>IF(AL199="",0,IF(MATCH(AL199,AL$129:AL$208,0)=71,1,0))</f>
        <v>0</v>
      </c>
      <c r="AN199" s="2">
        <f t="shared" si="11"/>
        <v>0</v>
      </c>
    </row>
    <row r="200" ht="18" customHeight="1" spans="1:40">
      <c r="A200" s="87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88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88" t="str">
        <f>IF($AF200="","",IF($AF200&lt;=1200,IF(INDEX(对接源_01水果!$F$4:$F$1203,$AF200)=0,"",INDEX(对接源_01水果!$F$4:$F$1203,$AF200)),IF(INDEX(对接源_02物料!$F$4:$F$1203,$AF200-1200)=0,"",INDEX(对接源_02物料!$F$4:$F$1203,$AF200-1200))))</f>
        <v/>
      </c>
      <c r="D200" s="88" t="str">
        <f>IF($AF200="","",IF($AF200&lt;=1200,IF(INDEX(对接源_01水果!$G$4:$G$1203,$AF200)=0,"",INDEX(对接源_01水果!$G$4:$G$1203,$AF200)),IF(INDEX(对接源_02物料!$G$4:$G$1203,$AF200-1200)=0,"",INDEX(对接源_02物料!$G$4:$G$1203,$AF200-1200))))</f>
        <v/>
      </c>
      <c r="E200" s="89" t="str">
        <f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88" t="str">
        <f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90" t="str">
        <f>IF($AF200="","",IF($AF200&lt;=1200,IF(INDEX(对接源_01水果!$J$4:$J$1203,$AF200)=0,"",INDEX(对接源_01水果!$J$4:$J$1203,$AF200)),IF(INDEX(对接源_02物料!$J$4:$J$1203,$AF200-1200)=0,"",INDEX(对接源_02物料!$J$4:$J$1203,$AF200-1200))))</f>
        <v/>
      </c>
      <c r="H200" s="88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I200" s="88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J200" s="91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IFERROR(MATCH(72,_自动清单!$AC$4:$AC$2403,0),"")</f>
        <v/>
      </c>
      <c r="AL200" s="2" t="str">
        <f t="shared" si="10"/>
        <v/>
      </c>
      <c r="AM200" s="2">
        <f>IF(AL200="",0,IF(MATCH(AL200,AL$129:AL$208,0)=72,1,0))</f>
        <v>0</v>
      </c>
      <c r="AN200" s="2">
        <f t="shared" si="11"/>
        <v>0</v>
      </c>
    </row>
    <row r="201" ht="18" customHeight="1" spans="1:40">
      <c r="A201" s="52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53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53" t="str">
        <f>IF($AF201="","",IF($AF201&lt;=1200,IF(INDEX(对接源_01水果!$F$4:$F$1203,$AF201)=0,"",INDEX(对接源_01水果!$F$4:$F$1203,$AF201)),IF(INDEX(对接源_02物料!$F$4:$F$1203,$AF201-1200)=0,"",INDEX(对接源_02物料!$F$4:$F$1203,$AF201-1200))))</f>
        <v/>
      </c>
      <c r="D201" s="53" t="str">
        <f>IF($AF201="","",IF($AF201&lt;=1200,IF(INDEX(对接源_01水果!$G$4:$G$1203,$AF201)=0,"",INDEX(对接源_01水果!$G$4:$G$1203,$AF201)),IF(INDEX(对接源_02物料!$G$4:$G$1203,$AF201-1200)=0,"",INDEX(对接源_02物料!$G$4:$G$1203,$AF201-1200))))</f>
        <v/>
      </c>
      <c r="E201" s="54" t="str">
        <f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53" t="str">
        <f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55" t="str">
        <f>IF($AF201="","",IF($AF201&lt;=1200,IF(INDEX(对接源_01水果!$J$4:$J$1203,$AF201)=0,"",INDEX(对接源_01水果!$J$4:$J$1203,$AF201)),IF(INDEX(对接源_02物料!$J$4:$J$1203,$AF201-1200)=0,"",INDEX(对接源_02物料!$J$4:$J$1203,$AF201-1200))))</f>
        <v/>
      </c>
      <c r="H201" s="53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I201" s="53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J201" s="56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IFERROR(MATCH(73,_自动清单!$AC$4:$AC$2403,0),"")</f>
        <v/>
      </c>
      <c r="AL201" s="2" t="str">
        <f t="shared" si="10"/>
        <v/>
      </c>
      <c r="AM201" s="2">
        <f>IF(AL201="",0,IF(MATCH(AL201,AL$129:AL$208,0)=73,1,0))</f>
        <v>0</v>
      </c>
      <c r="AN201" s="2">
        <f t="shared" si="11"/>
        <v>0</v>
      </c>
    </row>
    <row r="202" ht="18" customHeight="1" spans="1:40">
      <c r="A202" s="87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88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88" t="str">
        <f>IF($AF202="","",IF($AF202&lt;=1200,IF(INDEX(对接源_01水果!$F$4:$F$1203,$AF202)=0,"",INDEX(对接源_01水果!$F$4:$F$1203,$AF202)),IF(INDEX(对接源_02物料!$F$4:$F$1203,$AF202-1200)=0,"",INDEX(对接源_02物料!$F$4:$F$1203,$AF202-1200))))</f>
        <v/>
      </c>
      <c r="D202" s="88" t="str">
        <f>IF($AF202="","",IF($AF202&lt;=1200,IF(INDEX(对接源_01水果!$G$4:$G$1203,$AF202)=0,"",INDEX(对接源_01水果!$G$4:$G$1203,$AF202)),IF(INDEX(对接源_02物料!$G$4:$G$1203,$AF202-1200)=0,"",INDEX(对接源_02物料!$G$4:$G$1203,$AF202-1200))))</f>
        <v/>
      </c>
      <c r="E202" s="89" t="str">
        <f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88" t="str">
        <f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90" t="str">
        <f>IF($AF202="","",IF($AF202&lt;=1200,IF(INDEX(对接源_01水果!$J$4:$J$1203,$AF202)=0,"",INDEX(对接源_01水果!$J$4:$J$1203,$AF202)),IF(INDEX(对接源_02物料!$J$4:$J$1203,$AF202-1200)=0,"",INDEX(对接源_02物料!$J$4:$J$1203,$AF202-1200))))</f>
        <v/>
      </c>
      <c r="H202" s="88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I202" s="88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J202" s="91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IFERROR(MATCH(74,_自动清单!$AC$4:$AC$2403,0),"")</f>
        <v/>
      </c>
      <c r="AL202" s="2" t="str">
        <f t="shared" si="10"/>
        <v/>
      </c>
      <c r="AM202" s="2">
        <f>IF(AL202="",0,IF(MATCH(AL202,AL$129:AL$208,0)=74,1,0))</f>
        <v>0</v>
      </c>
      <c r="AN202" s="2">
        <f t="shared" si="11"/>
        <v>0</v>
      </c>
    </row>
    <row r="203" ht="18" customHeight="1" spans="1:40">
      <c r="A203" s="52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53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53" t="str">
        <f>IF($AF203="","",IF($AF203&lt;=1200,IF(INDEX(对接源_01水果!$F$4:$F$1203,$AF203)=0,"",INDEX(对接源_01水果!$F$4:$F$1203,$AF203)),IF(INDEX(对接源_02物料!$F$4:$F$1203,$AF203-1200)=0,"",INDEX(对接源_02物料!$F$4:$F$1203,$AF203-1200))))</f>
        <v/>
      </c>
      <c r="D203" s="53" t="str">
        <f>IF($AF203="","",IF($AF203&lt;=1200,IF(INDEX(对接源_01水果!$G$4:$G$1203,$AF203)=0,"",INDEX(对接源_01水果!$G$4:$G$1203,$AF203)),IF(INDEX(对接源_02物料!$G$4:$G$1203,$AF203-1200)=0,"",INDEX(对接源_02物料!$G$4:$G$1203,$AF203-1200))))</f>
        <v/>
      </c>
      <c r="E203" s="54" t="str">
        <f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53" t="str">
        <f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55" t="str">
        <f>IF($AF203="","",IF($AF203&lt;=1200,IF(INDEX(对接源_01水果!$J$4:$J$1203,$AF203)=0,"",INDEX(对接源_01水果!$J$4:$J$1203,$AF203)),IF(INDEX(对接源_02物料!$J$4:$J$1203,$AF203-1200)=0,"",INDEX(对接源_02物料!$J$4:$J$1203,$AF203-1200))))</f>
        <v/>
      </c>
      <c r="H203" s="53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I203" s="53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J203" s="56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IFERROR(MATCH(75,_自动清单!$AC$4:$AC$2403,0),"")</f>
        <v/>
      </c>
      <c r="AL203" s="2" t="str">
        <f t="shared" si="10"/>
        <v/>
      </c>
      <c r="AM203" s="2">
        <f>IF(AL203="",0,IF(MATCH(AL203,AL$129:AL$208,0)=75,1,0))</f>
        <v>0</v>
      </c>
      <c r="AN203" s="2">
        <f t="shared" si="11"/>
        <v>0</v>
      </c>
    </row>
    <row r="204" ht="18" customHeight="1" spans="1:40">
      <c r="A204" s="87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88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88" t="str">
        <f>IF($AF204="","",IF($AF204&lt;=1200,IF(INDEX(对接源_01水果!$F$4:$F$1203,$AF204)=0,"",INDEX(对接源_01水果!$F$4:$F$1203,$AF204)),IF(INDEX(对接源_02物料!$F$4:$F$1203,$AF204-1200)=0,"",INDEX(对接源_02物料!$F$4:$F$1203,$AF204-1200))))</f>
        <v/>
      </c>
      <c r="D204" s="88" t="str">
        <f>IF($AF204="","",IF($AF204&lt;=1200,IF(INDEX(对接源_01水果!$G$4:$G$1203,$AF204)=0,"",INDEX(对接源_01水果!$G$4:$G$1203,$AF204)),IF(INDEX(对接源_02物料!$G$4:$G$1203,$AF204-1200)=0,"",INDEX(对接源_02物料!$G$4:$G$1203,$AF204-1200))))</f>
        <v/>
      </c>
      <c r="E204" s="89" t="str">
        <f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88" t="str">
        <f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90" t="str">
        <f>IF($AF204="","",IF($AF204&lt;=1200,IF(INDEX(对接源_01水果!$J$4:$J$1203,$AF204)=0,"",INDEX(对接源_01水果!$J$4:$J$1203,$AF204)),IF(INDEX(对接源_02物料!$J$4:$J$1203,$AF204-1200)=0,"",INDEX(对接源_02物料!$J$4:$J$1203,$AF204-1200))))</f>
        <v/>
      </c>
      <c r="H204" s="88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I204" s="88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J204" s="91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IFERROR(MATCH(76,_自动清单!$AC$4:$AC$2403,0),"")</f>
        <v/>
      </c>
      <c r="AL204" s="2" t="str">
        <f t="shared" si="10"/>
        <v/>
      </c>
      <c r="AM204" s="2">
        <f>IF(AL204="",0,IF(MATCH(AL204,AL$129:AL$208,0)=76,1,0))</f>
        <v>0</v>
      </c>
      <c r="AN204" s="2">
        <f t="shared" si="11"/>
        <v>0</v>
      </c>
    </row>
    <row r="205" ht="18" customHeight="1" spans="1:40">
      <c r="A205" s="52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53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53" t="str">
        <f>IF($AF205="","",IF($AF205&lt;=1200,IF(INDEX(对接源_01水果!$F$4:$F$1203,$AF205)=0,"",INDEX(对接源_01水果!$F$4:$F$1203,$AF205)),IF(INDEX(对接源_02物料!$F$4:$F$1203,$AF205-1200)=0,"",INDEX(对接源_02物料!$F$4:$F$1203,$AF205-1200))))</f>
        <v/>
      </c>
      <c r="D205" s="53" t="str">
        <f>IF($AF205="","",IF($AF205&lt;=1200,IF(INDEX(对接源_01水果!$G$4:$G$1203,$AF205)=0,"",INDEX(对接源_01水果!$G$4:$G$1203,$AF205)),IF(INDEX(对接源_02物料!$G$4:$G$1203,$AF205-1200)=0,"",INDEX(对接源_02物料!$G$4:$G$1203,$AF205-1200))))</f>
        <v/>
      </c>
      <c r="E205" s="54" t="str">
        <f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53" t="str">
        <f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55" t="str">
        <f>IF($AF205="","",IF($AF205&lt;=1200,IF(INDEX(对接源_01水果!$J$4:$J$1203,$AF205)=0,"",INDEX(对接源_01水果!$J$4:$J$1203,$AF205)),IF(INDEX(对接源_02物料!$J$4:$J$1203,$AF205-1200)=0,"",INDEX(对接源_02物料!$J$4:$J$1203,$AF205-1200))))</f>
        <v/>
      </c>
      <c r="H205" s="53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I205" s="53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J205" s="56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IFERROR(MATCH(77,_自动清单!$AC$4:$AC$2403,0),"")</f>
        <v/>
      </c>
      <c r="AL205" s="2" t="str">
        <f t="shared" si="10"/>
        <v/>
      </c>
      <c r="AM205" s="2">
        <f>IF(AL205="",0,IF(MATCH(AL205,AL$129:AL$208,0)=77,1,0))</f>
        <v>0</v>
      </c>
      <c r="AN205" s="2">
        <f t="shared" si="11"/>
        <v>0</v>
      </c>
    </row>
    <row r="206" ht="18" customHeight="1" spans="1:40">
      <c r="A206" s="87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88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88" t="str">
        <f>IF($AF206="","",IF($AF206&lt;=1200,IF(INDEX(对接源_01水果!$F$4:$F$1203,$AF206)=0,"",INDEX(对接源_01水果!$F$4:$F$1203,$AF206)),IF(INDEX(对接源_02物料!$F$4:$F$1203,$AF206-1200)=0,"",INDEX(对接源_02物料!$F$4:$F$1203,$AF206-1200))))</f>
        <v/>
      </c>
      <c r="D206" s="88" t="str">
        <f>IF($AF206="","",IF($AF206&lt;=1200,IF(INDEX(对接源_01水果!$G$4:$G$1203,$AF206)=0,"",INDEX(对接源_01水果!$G$4:$G$1203,$AF206)),IF(INDEX(对接源_02物料!$G$4:$G$1203,$AF206-1200)=0,"",INDEX(对接源_02物料!$G$4:$G$1203,$AF206-1200))))</f>
        <v/>
      </c>
      <c r="E206" s="89" t="str">
        <f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88" t="str">
        <f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90" t="str">
        <f>IF($AF206="","",IF($AF206&lt;=1200,IF(INDEX(对接源_01水果!$J$4:$J$1203,$AF206)=0,"",INDEX(对接源_01水果!$J$4:$J$1203,$AF206)),IF(INDEX(对接源_02物料!$J$4:$J$1203,$AF206-1200)=0,"",INDEX(对接源_02物料!$J$4:$J$1203,$AF206-1200))))</f>
        <v/>
      </c>
      <c r="H206" s="88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I206" s="88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J206" s="91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IFERROR(MATCH(78,_自动清单!$AC$4:$AC$2403,0),"")</f>
        <v/>
      </c>
      <c r="AL206" s="2" t="str">
        <f t="shared" si="10"/>
        <v/>
      </c>
      <c r="AM206" s="2">
        <f>IF(AL206="",0,IF(MATCH(AL206,AL$129:AL$208,0)=78,1,0))</f>
        <v>0</v>
      </c>
      <c r="AN206" s="2">
        <f t="shared" si="11"/>
        <v>0</v>
      </c>
    </row>
    <row r="207" ht="18" customHeight="1" spans="1:40">
      <c r="A207" s="52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53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53" t="str">
        <f>IF($AF207="","",IF($AF207&lt;=1200,IF(INDEX(对接源_01水果!$F$4:$F$1203,$AF207)=0,"",INDEX(对接源_01水果!$F$4:$F$1203,$AF207)),IF(INDEX(对接源_02物料!$F$4:$F$1203,$AF207-1200)=0,"",INDEX(对接源_02物料!$F$4:$F$1203,$AF207-1200))))</f>
        <v/>
      </c>
      <c r="D207" s="53" t="str">
        <f>IF($AF207="","",IF($AF207&lt;=1200,IF(INDEX(对接源_01水果!$G$4:$G$1203,$AF207)=0,"",INDEX(对接源_01水果!$G$4:$G$1203,$AF207)),IF(INDEX(对接源_02物料!$G$4:$G$1203,$AF207-1200)=0,"",INDEX(对接源_02物料!$G$4:$G$1203,$AF207-1200))))</f>
        <v/>
      </c>
      <c r="E207" s="54" t="str">
        <f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53" t="str">
        <f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55" t="str">
        <f>IF($AF207="","",IF($AF207&lt;=1200,IF(INDEX(对接源_01水果!$J$4:$J$1203,$AF207)=0,"",INDEX(对接源_01水果!$J$4:$J$1203,$AF207)),IF(INDEX(对接源_02物料!$J$4:$J$1203,$AF207-1200)=0,"",INDEX(对接源_02物料!$J$4:$J$1203,$AF207-1200))))</f>
        <v/>
      </c>
      <c r="H207" s="53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I207" s="53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J207" s="56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IFERROR(MATCH(79,_自动清单!$AC$4:$AC$2403,0),"")</f>
        <v/>
      </c>
      <c r="AL207" s="2" t="str">
        <f t="shared" si="10"/>
        <v/>
      </c>
      <c r="AM207" s="2">
        <f>IF(AL207="",0,IF(MATCH(AL207,AL$129:AL$208,0)=79,1,0))</f>
        <v>0</v>
      </c>
      <c r="AN207" s="2">
        <f t="shared" si="11"/>
        <v>0</v>
      </c>
    </row>
    <row r="208" ht="18" customHeight="1" spans="1:40">
      <c r="A208" s="87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88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88" t="str">
        <f>IF($AF208="","",IF($AF208&lt;=1200,IF(INDEX(对接源_01水果!$F$4:$F$1203,$AF208)=0,"",INDEX(对接源_01水果!$F$4:$F$1203,$AF208)),IF(INDEX(对接源_02物料!$F$4:$F$1203,$AF208-1200)=0,"",INDEX(对接源_02物料!$F$4:$F$1203,$AF208-1200))))</f>
        <v/>
      </c>
      <c r="D208" s="88" t="str">
        <f>IF($AF208="","",IF($AF208&lt;=1200,IF(INDEX(对接源_01水果!$G$4:$G$1203,$AF208)=0,"",INDEX(对接源_01水果!$G$4:$G$1203,$AF208)),IF(INDEX(对接源_02物料!$G$4:$G$1203,$AF208-1200)=0,"",INDEX(对接源_02物料!$G$4:$G$1203,$AF208-1200))))</f>
        <v/>
      </c>
      <c r="E208" s="89" t="str">
        <f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88" t="str">
        <f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90" t="str">
        <f>IF($AF208="","",IF($AF208&lt;=1200,IF(INDEX(对接源_01水果!$J$4:$J$1203,$AF208)=0,"",INDEX(对接源_01水果!$J$4:$J$1203,$AF208)),IF(INDEX(对接源_02物料!$J$4:$J$1203,$AF208-1200)=0,"",INDEX(对接源_02物料!$J$4:$J$1203,$AF208-1200))))</f>
        <v/>
      </c>
      <c r="H208" s="88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I208" s="88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J208" s="91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IFERROR(MATCH(80,_自动清单!$AC$4:$AC$2403,0),"")</f>
        <v/>
      </c>
      <c r="AL208" s="2" t="str">
        <f t="shared" si="10"/>
        <v/>
      </c>
      <c r="AM208" s="2">
        <f>IF(AL208="",0,IF(MATCH(AL208,AL$129:AL$208,0)=80,1,0))</f>
        <v>0</v>
      </c>
      <c r="AN208" s="2">
        <f t="shared" si="11"/>
        <v>0</v>
      </c>
    </row>
    <row r="210" ht="24" customHeight="1" spans="1:33">
      <c r="A210" s="47" t="s">
        <v>141</v>
      </c>
      <c r="B210" s="47"/>
      <c r="C210" s="47"/>
      <c r="D210" s="47"/>
      <c r="E210" s="47"/>
      <c r="F210" s="47"/>
      <c r="G210" s="47"/>
      <c r="H210" s="48" t="str">
        <f>ROUND(SUMIFS(对接源_01水果!$H$4:$H$1203,对接源_01水果!$C$4:$C$1203,$B$2,对接源_01水果!$B$4:$B$1203,"&gt;="&amp;$P$1,对接源_01水果!$B$4:$B$1203,"&lt;="&amp;$P$2,对接源_01水果!$D$4:$D$1203,"成品出库*")+SUMIFS(对接源_02物料!$H$4:$H$1203,对接源_02物料!$C$4:$C$1203,$B$2,对接源_02物料!$B$4:$B$1203,"&gt;="&amp;$P$1,对接源_02物料!$B$4:$B$1203,"&lt;="&amp;$P$2,对接源_02物料!$D$4:$D$1203,"成品出库*"),0)&amp;"　件　｜　应收 "&amp;TEXT(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,"#,##0.00")&amp;" 元"</f>
        <v>0　件　｜　应收 0.00 元</v>
      </c>
      <c r="I210" s="48"/>
      <c r="J210" s="48"/>
    </row>
    <row r="211" ht="30" customHeight="1" spans="1:33">
      <c r="A211" s="51" t="s">
        <v>80</v>
      </c>
      <c r="B211" s="51" t="s">
        <v>82</v>
      </c>
      <c r="C211" s="51" t="s">
        <v>125</v>
      </c>
      <c r="D211" s="51" t="s">
        <v>126</v>
      </c>
      <c r="E211" s="51" t="s">
        <v>91</v>
      </c>
      <c r="F211" s="51" t="s">
        <v>113</v>
      </c>
      <c r="G211" s="51" t="s">
        <v>127</v>
      </c>
      <c r="H211" s="51" t="s">
        <v>115</v>
      </c>
      <c r="I211" s="51" t="s">
        <v>142</v>
      </c>
      <c r="J211" s="51" t="s">
        <v>88</v>
      </c>
    </row>
    <row r="212" ht="18" customHeight="1" spans="1:33">
      <c r="A212" s="52" t="str">
        <f>IF($AG212="","",IF($AG212&lt;=1200,IF(INDEX(对接源_01水果!$B$4:$B$1203,$AG212)=0,"",INDEX(对接源_01水果!$B$4:$B$1203,$AG212)),IF(INDEX(对接源_02物料!$B$4:$B$1203,$AG212-1200)=0,"",INDEX(对接源_02物料!$B$4:$B$1203,$AG212-1200))))</f>
        <v/>
      </c>
      <c r="B212" s="53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/>
      </c>
      <c r="C212" s="53" t="str">
        <f>IF($AG212="","",IF($AG212&lt;=1200,IF(INDEX(对接源_01水果!$F$4:$F$1203,$AG212)=0,"",INDEX(对接源_01水果!$F$4:$F$1203,$AG212)),IF(INDEX(对接源_02物料!$F$4:$F$1203,$AG212-1200)=0,"",INDEX(对接源_02物料!$F$4:$F$1203,$AG212-1200))))</f>
        <v/>
      </c>
      <c r="D212" s="53" t="str">
        <f>IF($AG212="","",IF($AG212&lt;=1200,IF(INDEX(对接源_01水果!$G$4:$G$1203,$AG212)=0,"",INDEX(对接源_01水果!$G$4:$G$1203,$AG212)),IF(INDEX(对接源_02物料!$G$4:$G$1203,$AG212-1200)=0,"",INDEX(对接源_02物料!$G$4:$G$1203,$AG212-1200))))</f>
        <v/>
      </c>
      <c r="E212" s="54" t="str">
        <f>IF($AG212="","",IF($AG212&lt;=1200,IF(INDEX(对接源_01水果!$H$4:$H$1203,$AG212)=0,"",INDEX(对接源_01水果!$H$4:$H$1203,$AG212)),IF(INDEX(对接源_02物料!$H$4:$H$1203,$AG212-1200)=0,"",INDEX(对接源_02物料!$H$4:$H$1203,$AG212-1200))))</f>
        <v/>
      </c>
      <c r="F212" s="53" t="str">
        <f>IF($AG212="","",IF($AG212&lt;=1200,IF(INDEX(对接源_01水果!$I$4:$I$1203,$AG212)=0,"",INDEX(对接源_01水果!$I$4:$I$1203,$AG212)),IF(INDEX(对接源_02物料!$I$4:$I$1203,$AG212-1200)=0,"",INDEX(对接源_02物料!$I$4:$I$1203,$AG212-1200))))</f>
        <v/>
      </c>
      <c r="G212" s="55" t="str">
        <f>IF($AG212="","",IF($AG212&lt;=1200,IF(INDEX(对接源_01水果!$J$4:$J$1203,$AG212)=0,"",INDEX(对接源_01水果!$J$4:$J$1203,$AG212)),IF(INDEX(对接源_02物料!$J$4:$J$1203,$AG212-1200)=0,"",INDEX(对接源_02物料!$J$4:$J$1203,$AG212-1200))))</f>
        <v/>
      </c>
      <c r="H212" s="55" t="str">
        <f>IF($AG212="","",IF($AG212&lt;=1200,IF(INDEX(对接源_01水果!$K$4:$K$1203,$AG212)=0,"",INDEX(对接源_01水果!$K$4:$K$1203,$AG212)),IF(INDEX(对接源_02物料!$K$4:$K$1203,$AG212-1200)=0,"",INDEX(对接源_02物料!$K$4:$K$1203,$AG212-1200))))</f>
        <v/>
      </c>
      <c r="I212" s="53" t="str">
        <f>IF($AG212="","",IF($AG212&lt;=1200,IF(INDEX(对接源_01水果!$L$4:$L$1203,$AG212)=0,"",INDEX(对接源_01水果!$L$4:$L$1203,$AG212)),IF(INDEX(对接源_02物料!$L$4:$L$1203,$AG212-1200)=0,"",INDEX(对接源_02物料!$L$4:$L$1203,$AG212-1200))))</f>
        <v/>
      </c>
      <c r="J212" s="56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2" t="str">
        <f>IFERROR(MATCH(1,_自动清单!$AE$4:$AE$2403,0),"")</f>
        <v/>
      </c>
    </row>
    <row r="213" ht="18" customHeight="1" spans="1:33">
      <c r="A213" s="87" t="str">
        <f>IF($AG213="","",IF($AG213&lt;=1200,IF(INDEX(对接源_01水果!$B$4:$B$1203,$AG213)=0,"",INDEX(对接源_01水果!$B$4:$B$1203,$AG213)),IF(INDEX(对接源_02物料!$B$4:$B$1203,$AG213-1200)=0,"",INDEX(对接源_02物料!$B$4:$B$1203,$AG213-1200))))</f>
        <v/>
      </c>
      <c r="B213" s="88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/>
      </c>
      <c r="C213" s="88" t="str">
        <f>IF($AG213="","",IF($AG213&lt;=1200,IF(INDEX(对接源_01水果!$F$4:$F$1203,$AG213)=0,"",INDEX(对接源_01水果!$F$4:$F$1203,$AG213)),IF(INDEX(对接源_02物料!$F$4:$F$1203,$AG213-1200)=0,"",INDEX(对接源_02物料!$F$4:$F$1203,$AG213-1200))))</f>
        <v/>
      </c>
      <c r="D213" s="88" t="str">
        <f>IF($AG213="","",IF($AG213&lt;=1200,IF(INDEX(对接源_01水果!$G$4:$G$1203,$AG213)=0,"",INDEX(对接源_01水果!$G$4:$G$1203,$AG213)),IF(INDEX(对接源_02物料!$G$4:$G$1203,$AG213-1200)=0,"",INDEX(对接源_02物料!$G$4:$G$1203,$AG213-1200))))</f>
        <v/>
      </c>
      <c r="E213" s="89" t="str">
        <f>IF($AG213="","",IF($AG213&lt;=1200,IF(INDEX(对接源_01水果!$H$4:$H$1203,$AG213)=0,"",INDEX(对接源_01水果!$H$4:$H$1203,$AG213)),IF(INDEX(对接源_02物料!$H$4:$H$1203,$AG213-1200)=0,"",INDEX(对接源_02物料!$H$4:$H$1203,$AG213-1200))))</f>
        <v/>
      </c>
      <c r="F213" s="88" t="str">
        <f>IF($AG213="","",IF($AG213&lt;=1200,IF(INDEX(对接源_01水果!$I$4:$I$1203,$AG213)=0,"",INDEX(对接源_01水果!$I$4:$I$1203,$AG213)),IF(INDEX(对接源_02物料!$I$4:$I$1203,$AG213-1200)=0,"",INDEX(对接源_02物料!$I$4:$I$1203,$AG213-1200))))</f>
        <v/>
      </c>
      <c r="G213" s="90" t="str">
        <f>IF($AG213="","",IF($AG213&lt;=1200,IF(INDEX(对接源_01水果!$J$4:$J$1203,$AG213)=0,"",INDEX(对接源_01水果!$J$4:$J$1203,$AG213)),IF(INDEX(对接源_02物料!$J$4:$J$1203,$AG213-1200)=0,"",INDEX(对接源_02物料!$J$4:$J$1203,$AG213-1200))))</f>
        <v/>
      </c>
      <c r="H213" s="90" t="str">
        <f>IF($AG213="","",IF($AG213&lt;=1200,IF(INDEX(对接源_01水果!$K$4:$K$1203,$AG213)=0,"",INDEX(对接源_01水果!$K$4:$K$1203,$AG213)),IF(INDEX(对接源_02物料!$K$4:$K$1203,$AG213-1200)=0,"",INDEX(对接源_02物料!$K$4:$K$1203,$AG213-1200))))</f>
        <v/>
      </c>
      <c r="I213" s="88" t="str">
        <f>IF($AG213="","",IF($AG213&lt;=1200,IF(INDEX(对接源_01水果!$L$4:$L$1203,$AG213)=0,"",INDEX(对接源_01水果!$L$4:$L$1203,$AG213)),IF(INDEX(对接源_02物料!$L$4:$L$1203,$AG213-1200)=0,"",INDEX(对接源_02物料!$L$4:$L$1203,$AG213-1200))))</f>
        <v/>
      </c>
      <c r="J213" s="91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2" t="str">
        <f>IFERROR(MATCH(2,_自动清单!$AE$4:$AE$2403,0),"")</f>
        <v/>
      </c>
    </row>
    <row r="214" ht="18" customHeight="1" spans="1:33">
      <c r="A214" s="52" t="str">
        <f>IF($AG214="","",IF($AG214&lt;=1200,IF(INDEX(对接源_01水果!$B$4:$B$1203,$AG214)=0,"",INDEX(对接源_01水果!$B$4:$B$1203,$AG214)),IF(INDEX(对接源_02物料!$B$4:$B$1203,$AG214-1200)=0,"",INDEX(对接源_02物料!$B$4:$B$1203,$AG214-1200))))</f>
        <v/>
      </c>
      <c r="B214" s="53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/>
      </c>
      <c r="C214" s="53" t="str">
        <f>IF($AG214="","",IF($AG214&lt;=1200,IF(INDEX(对接源_01水果!$F$4:$F$1203,$AG214)=0,"",INDEX(对接源_01水果!$F$4:$F$1203,$AG214)),IF(INDEX(对接源_02物料!$F$4:$F$1203,$AG214-1200)=0,"",INDEX(对接源_02物料!$F$4:$F$1203,$AG214-1200))))</f>
        <v/>
      </c>
      <c r="D214" s="53" t="str">
        <f>IF($AG214="","",IF($AG214&lt;=1200,IF(INDEX(对接源_01水果!$G$4:$G$1203,$AG214)=0,"",INDEX(对接源_01水果!$G$4:$G$1203,$AG214)),IF(INDEX(对接源_02物料!$G$4:$G$1203,$AG214-1200)=0,"",INDEX(对接源_02物料!$G$4:$G$1203,$AG214-1200))))</f>
        <v/>
      </c>
      <c r="E214" s="54" t="str">
        <f>IF($AG214="","",IF($AG214&lt;=1200,IF(INDEX(对接源_01水果!$H$4:$H$1203,$AG214)=0,"",INDEX(对接源_01水果!$H$4:$H$1203,$AG214)),IF(INDEX(对接源_02物料!$H$4:$H$1203,$AG214-1200)=0,"",INDEX(对接源_02物料!$H$4:$H$1203,$AG214-1200))))</f>
        <v/>
      </c>
      <c r="F214" s="53" t="str">
        <f>IF($AG214="","",IF($AG214&lt;=1200,IF(INDEX(对接源_01水果!$I$4:$I$1203,$AG214)=0,"",INDEX(对接源_01水果!$I$4:$I$1203,$AG214)),IF(INDEX(对接源_02物料!$I$4:$I$1203,$AG214-1200)=0,"",INDEX(对接源_02物料!$I$4:$I$1203,$AG214-1200))))</f>
        <v/>
      </c>
      <c r="G214" s="55" t="str">
        <f>IF($AG214="","",IF($AG214&lt;=1200,IF(INDEX(对接源_01水果!$J$4:$J$1203,$AG214)=0,"",INDEX(对接源_01水果!$J$4:$J$1203,$AG214)),IF(INDEX(对接源_02物料!$J$4:$J$1203,$AG214-1200)=0,"",INDEX(对接源_02物料!$J$4:$J$1203,$AG214-1200))))</f>
        <v/>
      </c>
      <c r="H214" s="55" t="str">
        <f>IF($AG214="","",IF($AG214&lt;=1200,IF(INDEX(对接源_01水果!$K$4:$K$1203,$AG214)=0,"",INDEX(对接源_01水果!$K$4:$K$1203,$AG214)),IF(INDEX(对接源_02物料!$K$4:$K$1203,$AG214-1200)=0,"",INDEX(对接源_02物料!$K$4:$K$1203,$AG214-1200))))</f>
        <v/>
      </c>
      <c r="I214" s="53" t="str">
        <f>IF($AG214="","",IF($AG214&lt;=1200,IF(INDEX(对接源_01水果!$L$4:$L$1203,$AG214)=0,"",INDEX(对接源_01水果!$L$4:$L$1203,$AG214)),IF(INDEX(对接源_02物料!$L$4:$L$1203,$AG214-1200)=0,"",INDEX(对接源_02物料!$L$4:$L$1203,$AG214-1200))))</f>
        <v/>
      </c>
      <c r="J214" s="56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2" t="str">
        <f>IFERROR(MATCH(3,_自动清单!$AE$4:$AE$2403,0),"")</f>
        <v/>
      </c>
    </row>
    <row r="215" ht="18" customHeight="1" spans="1:33">
      <c r="A215" s="87" t="str">
        <f>IF($AG215="","",IF($AG215&lt;=1200,IF(INDEX(对接源_01水果!$B$4:$B$1203,$AG215)=0,"",INDEX(对接源_01水果!$B$4:$B$1203,$AG215)),IF(INDEX(对接源_02物料!$B$4:$B$1203,$AG215-1200)=0,"",INDEX(对接源_02物料!$B$4:$B$1203,$AG215-1200))))</f>
        <v/>
      </c>
      <c r="B215" s="88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/>
      </c>
      <c r="C215" s="88" t="str">
        <f>IF($AG215="","",IF($AG215&lt;=1200,IF(INDEX(对接源_01水果!$F$4:$F$1203,$AG215)=0,"",INDEX(对接源_01水果!$F$4:$F$1203,$AG215)),IF(INDEX(对接源_02物料!$F$4:$F$1203,$AG215-1200)=0,"",INDEX(对接源_02物料!$F$4:$F$1203,$AG215-1200))))</f>
        <v/>
      </c>
      <c r="D215" s="88" t="str">
        <f>IF($AG215="","",IF($AG215&lt;=1200,IF(INDEX(对接源_01水果!$G$4:$G$1203,$AG215)=0,"",INDEX(对接源_01水果!$G$4:$G$1203,$AG215)),IF(INDEX(对接源_02物料!$G$4:$G$1203,$AG215-1200)=0,"",INDEX(对接源_02物料!$G$4:$G$1203,$AG215-1200))))</f>
        <v/>
      </c>
      <c r="E215" s="89" t="str">
        <f>IF($AG215="","",IF($AG215&lt;=1200,IF(INDEX(对接源_01水果!$H$4:$H$1203,$AG215)=0,"",INDEX(对接源_01水果!$H$4:$H$1203,$AG215)),IF(INDEX(对接源_02物料!$H$4:$H$1203,$AG215-1200)=0,"",INDEX(对接源_02物料!$H$4:$H$1203,$AG215-1200))))</f>
        <v/>
      </c>
      <c r="F215" s="88" t="str">
        <f>IF($AG215="","",IF($AG215&lt;=1200,IF(INDEX(对接源_01水果!$I$4:$I$1203,$AG215)=0,"",INDEX(对接源_01水果!$I$4:$I$1203,$AG215)),IF(INDEX(对接源_02物料!$I$4:$I$1203,$AG215-1200)=0,"",INDEX(对接源_02物料!$I$4:$I$1203,$AG215-1200))))</f>
        <v/>
      </c>
      <c r="G215" s="90" t="str">
        <f>IF($AG215="","",IF($AG215&lt;=1200,IF(INDEX(对接源_01水果!$J$4:$J$1203,$AG215)=0,"",INDEX(对接源_01水果!$J$4:$J$1203,$AG215)),IF(INDEX(对接源_02物料!$J$4:$J$1203,$AG215-1200)=0,"",INDEX(对接源_02物料!$J$4:$J$1203,$AG215-1200))))</f>
        <v/>
      </c>
      <c r="H215" s="90" t="str">
        <f>IF($AG215="","",IF($AG215&lt;=1200,IF(INDEX(对接源_01水果!$K$4:$K$1203,$AG215)=0,"",INDEX(对接源_01水果!$K$4:$K$1203,$AG215)),IF(INDEX(对接源_02物料!$K$4:$K$1203,$AG215-1200)=0,"",INDEX(对接源_02物料!$K$4:$K$1203,$AG215-1200))))</f>
        <v/>
      </c>
      <c r="I215" s="88" t="str">
        <f>IF($AG215="","",IF($AG215&lt;=1200,IF(INDEX(对接源_01水果!$L$4:$L$1203,$AG215)=0,"",INDEX(对接源_01水果!$L$4:$L$1203,$AG215)),IF(INDEX(对接源_02物料!$L$4:$L$1203,$AG215-1200)=0,"",INDEX(对接源_02物料!$L$4:$L$1203,$AG215-1200))))</f>
        <v/>
      </c>
      <c r="J215" s="91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2" t="str">
        <f>IFERROR(MATCH(4,_自动清单!$AE$4:$AE$2403,0),"")</f>
        <v/>
      </c>
    </row>
    <row r="216" ht="18" customHeight="1" spans="1:33">
      <c r="A216" s="52" t="str">
        <f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53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53" t="str">
        <f>IF($AG216="","",IF($AG216&lt;=1200,IF(INDEX(对接源_01水果!$F$4:$F$1203,$AG216)=0,"",INDEX(对接源_01水果!$F$4:$F$1203,$AG216)),IF(INDEX(对接源_02物料!$F$4:$F$1203,$AG216-1200)=0,"",INDEX(对接源_02物料!$F$4:$F$1203,$AG216-1200))))</f>
        <v/>
      </c>
      <c r="D216" s="53" t="str">
        <f>IF($AG216="","",IF($AG216&lt;=1200,IF(INDEX(对接源_01水果!$G$4:$G$1203,$AG216)=0,"",INDEX(对接源_01水果!$G$4:$G$1203,$AG216)),IF(INDEX(对接源_02物料!$G$4:$G$1203,$AG216-1200)=0,"",INDEX(对接源_02物料!$G$4:$G$1203,$AG216-1200))))</f>
        <v/>
      </c>
      <c r="E216" s="54" t="str">
        <f>IF($AG216="","",IF($AG216&lt;=1200,IF(INDEX(对接源_01水果!$H$4:$H$1203,$AG216)=0,"",INDEX(对接源_01水果!$H$4:$H$1203,$AG216)),IF(INDEX(对接源_02物料!$H$4:$H$1203,$AG216-1200)=0,"",INDEX(对接源_02物料!$H$4:$H$1203,$AG216-1200))))</f>
        <v/>
      </c>
      <c r="F216" s="53" t="str">
        <f>IF($AG216="","",IF($AG216&lt;=1200,IF(INDEX(对接源_01水果!$I$4:$I$1203,$AG216)=0,"",INDEX(对接源_01水果!$I$4:$I$1203,$AG216)),IF(INDEX(对接源_02物料!$I$4:$I$1203,$AG216-1200)=0,"",INDEX(对接源_02物料!$I$4:$I$1203,$AG216-1200))))</f>
        <v/>
      </c>
      <c r="G216" s="55" t="str">
        <f>IF($AG216="","",IF($AG216&lt;=1200,IF(INDEX(对接源_01水果!$J$4:$J$1203,$AG216)=0,"",INDEX(对接源_01水果!$J$4:$J$1203,$AG216)),IF(INDEX(对接源_02物料!$J$4:$J$1203,$AG216-1200)=0,"",INDEX(对接源_02物料!$J$4:$J$1203,$AG216-1200))))</f>
        <v/>
      </c>
      <c r="H216" s="55" t="str">
        <f>IF($AG216="","",IF($AG216&lt;=1200,IF(INDEX(对接源_01水果!$K$4:$K$1203,$AG216)=0,"",INDEX(对接源_01水果!$K$4:$K$1203,$AG216)),IF(INDEX(对接源_02物料!$K$4:$K$1203,$AG216-1200)=0,"",INDEX(对接源_02物料!$K$4:$K$1203,$AG216-1200))))</f>
        <v/>
      </c>
      <c r="I216" s="53" t="str">
        <f>IF($AG216="","",IF($AG216&lt;=1200,IF(INDEX(对接源_01水果!$L$4:$L$1203,$AG216)=0,"",INDEX(对接源_01水果!$L$4:$L$1203,$AG216)),IF(INDEX(对接源_02物料!$L$4:$L$1203,$AG216-1200)=0,"",INDEX(对接源_02物料!$L$4:$L$1203,$AG216-1200))))</f>
        <v/>
      </c>
      <c r="J216" s="56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2" t="str">
        <f>IFERROR(MATCH(5,_自动清单!$AE$4:$AE$2403,0),"")</f>
        <v/>
      </c>
    </row>
    <row r="217" ht="18" customHeight="1" spans="1:33">
      <c r="A217" s="87" t="str">
        <f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88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88" t="str">
        <f>IF($AG217="","",IF($AG217&lt;=1200,IF(INDEX(对接源_01水果!$F$4:$F$1203,$AG217)=0,"",INDEX(对接源_01水果!$F$4:$F$1203,$AG217)),IF(INDEX(对接源_02物料!$F$4:$F$1203,$AG217-1200)=0,"",INDEX(对接源_02物料!$F$4:$F$1203,$AG217-1200))))</f>
        <v/>
      </c>
      <c r="D217" s="88" t="str">
        <f>IF($AG217="","",IF($AG217&lt;=1200,IF(INDEX(对接源_01水果!$G$4:$G$1203,$AG217)=0,"",INDEX(对接源_01水果!$G$4:$G$1203,$AG217)),IF(INDEX(对接源_02物料!$G$4:$G$1203,$AG217-1200)=0,"",INDEX(对接源_02物料!$G$4:$G$1203,$AG217-1200))))</f>
        <v/>
      </c>
      <c r="E217" s="89" t="str">
        <f>IF($AG217="","",IF($AG217&lt;=1200,IF(INDEX(对接源_01水果!$H$4:$H$1203,$AG217)=0,"",INDEX(对接源_01水果!$H$4:$H$1203,$AG217)),IF(INDEX(对接源_02物料!$H$4:$H$1203,$AG217-1200)=0,"",INDEX(对接源_02物料!$H$4:$H$1203,$AG217-1200))))</f>
        <v/>
      </c>
      <c r="F217" s="88" t="str">
        <f>IF($AG217="","",IF($AG217&lt;=1200,IF(INDEX(对接源_01水果!$I$4:$I$1203,$AG217)=0,"",INDEX(对接源_01水果!$I$4:$I$1203,$AG217)),IF(INDEX(对接源_02物料!$I$4:$I$1203,$AG217-1200)=0,"",INDEX(对接源_02物料!$I$4:$I$1203,$AG217-1200))))</f>
        <v/>
      </c>
      <c r="G217" s="90" t="str">
        <f>IF($AG217="","",IF($AG217&lt;=1200,IF(INDEX(对接源_01水果!$J$4:$J$1203,$AG217)=0,"",INDEX(对接源_01水果!$J$4:$J$1203,$AG217)),IF(INDEX(对接源_02物料!$J$4:$J$1203,$AG217-1200)=0,"",INDEX(对接源_02物料!$J$4:$J$1203,$AG217-1200))))</f>
        <v/>
      </c>
      <c r="H217" s="90" t="str">
        <f>IF($AG217="","",IF($AG217&lt;=1200,IF(INDEX(对接源_01水果!$K$4:$K$1203,$AG217)=0,"",INDEX(对接源_01水果!$K$4:$K$1203,$AG217)),IF(INDEX(对接源_02物料!$K$4:$K$1203,$AG217-1200)=0,"",INDEX(对接源_02物料!$K$4:$K$1203,$AG217-1200))))</f>
        <v/>
      </c>
      <c r="I217" s="88" t="str">
        <f>IF($AG217="","",IF($AG217&lt;=1200,IF(INDEX(对接源_01水果!$L$4:$L$1203,$AG217)=0,"",INDEX(对接源_01水果!$L$4:$L$1203,$AG217)),IF(INDEX(对接源_02物料!$L$4:$L$1203,$AG217-1200)=0,"",INDEX(对接源_02物料!$L$4:$L$1203,$AG217-1200))))</f>
        <v/>
      </c>
      <c r="J217" s="91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2" t="str">
        <f>IFERROR(MATCH(6,_自动清单!$AE$4:$AE$2403,0),"")</f>
        <v/>
      </c>
    </row>
    <row r="218" ht="18" customHeight="1" spans="1:33">
      <c r="A218" s="52" t="str">
        <f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53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53" t="str">
        <f>IF($AG218="","",IF($AG218&lt;=1200,IF(INDEX(对接源_01水果!$F$4:$F$1203,$AG218)=0,"",INDEX(对接源_01水果!$F$4:$F$1203,$AG218)),IF(INDEX(对接源_02物料!$F$4:$F$1203,$AG218-1200)=0,"",INDEX(对接源_02物料!$F$4:$F$1203,$AG218-1200))))</f>
        <v/>
      </c>
      <c r="D218" s="53" t="str">
        <f>IF($AG218="","",IF($AG218&lt;=1200,IF(INDEX(对接源_01水果!$G$4:$G$1203,$AG218)=0,"",INDEX(对接源_01水果!$G$4:$G$1203,$AG218)),IF(INDEX(对接源_02物料!$G$4:$G$1203,$AG218-1200)=0,"",INDEX(对接源_02物料!$G$4:$G$1203,$AG218-1200))))</f>
        <v/>
      </c>
      <c r="E218" s="54" t="str">
        <f>IF($AG218="","",IF($AG218&lt;=1200,IF(INDEX(对接源_01水果!$H$4:$H$1203,$AG218)=0,"",INDEX(对接源_01水果!$H$4:$H$1203,$AG218)),IF(INDEX(对接源_02物料!$H$4:$H$1203,$AG218-1200)=0,"",INDEX(对接源_02物料!$H$4:$H$1203,$AG218-1200))))</f>
        <v/>
      </c>
      <c r="F218" s="53" t="str">
        <f>IF($AG218="","",IF($AG218&lt;=1200,IF(INDEX(对接源_01水果!$I$4:$I$1203,$AG218)=0,"",INDEX(对接源_01水果!$I$4:$I$1203,$AG218)),IF(INDEX(对接源_02物料!$I$4:$I$1203,$AG218-1200)=0,"",INDEX(对接源_02物料!$I$4:$I$1203,$AG218-1200))))</f>
        <v/>
      </c>
      <c r="G218" s="55" t="str">
        <f>IF($AG218="","",IF($AG218&lt;=1200,IF(INDEX(对接源_01水果!$J$4:$J$1203,$AG218)=0,"",INDEX(对接源_01水果!$J$4:$J$1203,$AG218)),IF(INDEX(对接源_02物料!$J$4:$J$1203,$AG218-1200)=0,"",INDEX(对接源_02物料!$J$4:$J$1203,$AG218-1200))))</f>
        <v/>
      </c>
      <c r="H218" s="55" t="str">
        <f>IF($AG218="","",IF($AG218&lt;=1200,IF(INDEX(对接源_01水果!$K$4:$K$1203,$AG218)=0,"",INDEX(对接源_01水果!$K$4:$K$1203,$AG218)),IF(INDEX(对接源_02物料!$K$4:$K$1203,$AG218-1200)=0,"",INDEX(对接源_02物料!$K$4:$K$1203,$AG218-1200))))</f>
        <v/>
      </c>
      <c r="I218" s="53" t="str">
        <f>IF($AG218="","",IF($AG218&lt;=1200,IF(INDEX(对接源_01水果!$L$4:$L$1203,$AG218)=0,"",INDEX(对接源_01水果!$L$4:$L$1203,$AG218)),IF(INDEX(对接源_02物料!$L$4:$L$1203,$AG218-1200)=0,"",INDEX(对接源_02物料!$L$4:$L$1203,$AG218-1200))))</f>
        <v/>
      </c>
      <c r="J218" s="56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2" t="str">
        <f>IFERROR(MATCH(7,_自动清单!$AE$4:$AE$2403,0),"")</f>
        <v/>
      </c>
    </row>
    <row r="219" ht="18" customHeight="1" spans="1:33">
      <c r="A219" s="87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88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88" t="str">
        <f>IF($AG219="","",IF($AG219&lt;=1200,IF(INDEX(对接源_01水果!$F$4:$F$1203,$AG219)=0,"",INDEX(对接源_01水果!$F$4:$F$1203,$AG219)),IF(INDEX(对接源_02物料!$F$4:$F$1203,$AG219-1200)=0,"",INDEX(对接源_02物料!$F$4:$F$1203,$AG219-1200))))</f>
        <v/>
      </c>
      <c r="D219" s="88" t="str">
        <f>IF($AG219="","",IF($AG219&lt;=1200,IF(INDEX(对接源_01水果!$G$4:$G$1203,$AG219)=0,"",INDEX(对接源_01水果!$G$4:$G$1203,$AG219)),IF(INDEX(对接源_02物料!$G$4:$G$1203,$AG219-1200)=0,"",INDEX(对接源_02物料!$G$4:$G$1203,$AG219-1200))))</f>
        <v/>
      </c>
      <c r="E219" s="89" t="str">
        <f>IF($AG219="","",IF($AG219&lt;=1200,IF(INDEX(对接源_01水果!$H$4:$H$1203,$AG219)=0,"",INDEX(对接源_01水果!$H$4:$H$1203,$AG219)),IF(INDEX(对接源_02物料!$H$4:$H$1203,$AG219-1200)=0,"",INDEX(对接源_02物料!$H$4:$H$1203,$AG219-1200))))</f>
        <v/>
      </c>
      <c r="F219" s="88" t="str">
        <f>IF($AG219="","",IF($AG219&lt;=1200,IF(INDEX(对接源_01水果!$I$4:$I$1203,$AG219)=0,"",INDEX(对接源_01水果!$I$4:$I$1203,$AG219)),IF(INDEX(对接源_02物料!$I$4:$I$1203,$AG219-1200)=0,"",INDEX(对接源_02物料!$I$4:$I$1203,$AG219-1200))))</f>
        <v/>
      </c>
      <c r="G219" s="90" t="str">
        <f>IF($AG219="","",IF($AG219&lt;=1200,IF(INDEX(对接源_01水果!$J$4:$J$1203,$AG219)=0,"",INDEX(对接源_01水果!$J$4:$J$1203,$AG219)),IF(INDEX(对接源_02物料!$J$4:$J$1203,$AG219-1200)=0,"",INDEX(对接源_02物料!$J$4:$J$1203,$AG219-1200))))</f>
        <v/>
      </c>
      <c r="H219" s="90" t="str">
        <f>IF($AG219="","",IF($AG219&lt;=1200,IF(INDEX(对接源_01水果!$K$4:$K$1203,$AG219)=0,"",INDEX(对接源_01水果!$K$4:$K$1203,$AG219)),IF(INDEX(对接源_02物料!$K$4:$K$1203,$AG219-1200)=0,"",INDEX(对接源_02物料!$K$4:$K$1203,$AG219-1200))))</f>
        <v/>
      </c>
      <c r="I219" s="88" t="str">
        <f>IF($AG219="","",IF($AG219&lt;=1200,IF(INDEX(对接源_01水果!$L$4:$L$1203,$AG219)=0,"",INDEX(对接源_01水果!$L$4:$L$1203,$AG219)),IF(INDEX(对接源_02物料!$L$4:$L$1203,$AG219-1200)=0,"",INDEX(对接源_02物料!$L$4:$L$1203,$AG219-1200))))</f>
        <v/>
      </c>
      <c r="J219" s="91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2" t="str">
        <f>IFERROR(MATCH(8,_自动清单!$AE$4:$AE$2403,0),"")</f>
        <v/>
      </c>
    </row>
    <row r="220" ht="18" customHeight="1" spans="1:33">
      <c r="A220" s="52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53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53" t="str">
        <f>IF($AG220="","",IF($AG220&lt;=1200,IF(INDEX(对接源_01水果!$F$4:$F$1203,$AG220)=0,"",INDEX(对接源_01水果!$F$4:$F$1203,$AG220)),IF(INDEX(对接源_02物料!$F$4:$F$1203,$AG220-1200)=0,"",INDEX(对接源_02物料!$F$4:$F$1203,$AG220-1200))))</f>
        <v/>
      </c>
      <c r="D220" s="53" t="str">
        <f>IF($AG220="","",IF($AG220&lt;=1200,IF(INDEX(对接源_01水果!$G$4:$G$1203,$AG220)=0,"",INDEX(对接源_01水果!$G$4:$G$1203,$AG220)),IF(INDEX(对接源_02物料!$G$4:$G$1203,$AG220-1200)=0,"",INDEX(对接源_02物料!$G$4:$G$1203,$AG220-1200))))</f>
        <v/>
      </c>
      <c r="E220" s="54" t="str">
        <f>IF($AG220="","",IF($AG220&lt;=1200,IF(INDEX(对接源_01水果!$H$4:$H$1203,$AG220)=0,"",INDEX(对接源_01水果!$H$4:$H$1203,$AG220)),IF(INDEX(对接源_02物料!$H$4:$H$1203,$AG220-1200)=0,"",INDEX(对接源_02物料!$H$4:$H$1203,$AG220-1200))))</f>
        <v/>
      </c>
      <c r="F220" s="53" t="str">
        <f>IF($AG220="","",IF($AG220&lt;=1200,IF(INDEX(对接源_01水果!$I$4:$I$1203,$AG220)=0,"",INDEX(对接源_01水果!$I$4:$I$1203,$AG220)),IF(INDEX(对接源_02物料!$I$4:$I$1203,$AG220-1200)=0,"",INDEX(对接源_02物料!$I$4:$I$1203,$AG220-1200))))</f>
        <v/>
      </c>
      <c r="G220" s="55" t="str">
        <f>IF($AG220="","",IF($AG220&lt;=1200,IF(INDEX(对接源_01水果!$J$4:$J$1203,$AG220)=0,"",INDEX(对接源_01水果!$J$4:$J$1203,$AG220)),IF(INDEX(对接源_02物料!$J$4:$J$1203,$AG220-1200)=0,"",INDEX(对接源_02物料!$J$4:$J$1203,$AG220-1200))))</f>
        <v/>
      </c>
      <c r="H220" s="55" t="str">
        <f>IF($AG220="","",IF($AG220&lt;=1200,IF(INDEX(对接源_01水果!$K$4:$K$1203,$AG220)=0,"",INDEX(对接源_01水果!$K$4:$K$1203,$AG220)),IF(INDEX(对接源_02物料!$K$4:$K$1203,$AG220-1200)=0,"",INDEX(对接源_02物料!$K$4:$K$1203,$AG220-1200))))</f>
        <v/>
      </c>
      <c r="I220" s="53" t="str">
        <f>IF($AG220="","",IF($AG220&lt;=1200,IF(INDEX(对接源_01水果!$L$4:$L$1203,$AG220)=0,"",INDEX(对接源_01水果!$L$4:$L$1203,$AG220)),IF(INDEX(对接源_02物料!$L$4:$L$1203,$AG220-1200)=0,"",INDEX(对接源_02物料!$L$4:$L$1203,$AG220-1200))))</f>
        <v/>
      </c>
      <c r="J220" s="56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2" t="str">
        <f>IFERROR(MATCH(9,_自动清单!$AE$4:$AE$2403,0),"")</f>
        <v/>
      </c>
    </row>
    <row r="221" ht="18" customHeight="1" spans="1:33">
      <c r="A221" s="87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88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88" t="str">
        <f>IF($AG221="","",IF($AG221&lt;=1200,IF(INDEX(对接源_01水果!$F$4:$F$1203,$AG221)=0,"",INDEX(对接源_01水果!$F$4:$F$1203,$AG221)),IF(INDEX(对接源_02物料!$F$4:$F$1203,$AG221-1200)=0,"",INDEX(对接源_02物料!$F$4:$F$1203,$AG221-1200))))</f>
        <v/>
      </c>
      <c r="D221" s="88" t="str">
        <f>IF($AG221="","",IF($AG221&lt;=1200,IF(INDEX(对接源_01水果!$G$4:$G$1203,$AG221)=0,"",INDEX(对接源_01水果!$G$4:$G$1203,$AG221)),IF(INDEX(对接源_02物料!$G$4:$G$1203,$AG221-1200)=0,"",INDEX(对接源_02物料!$G$4:$G$1203,$AG221-1200))))</f>
        <v/>
      </c>
      <c r="E221" s="89" t="str">
        <f>IF($AG221="","",IF($AG221&lt;=1200,IF(INDEX(对接源_01水果!$H$4:$H$1203,$AG221)=0,"",INDEX(对接源_01水果!$H$4:$H$1203,$AG221)),IF(INDEX(对接源_02物料!$H$4:$H$1203,$AG221-1200)=0,"",INDEX(对接源_02物料!$H$4:$H$1203,$AG221-1200))))</f>
        <v/>
      </c>
      <c r="F221" s="88" t="str">
        <f>IF($AG221="","",IF($AG221&lt;=1200,IF(INDEX(对接源_01水果!$I$4:$I$1203,$AG221)=0,"",INDEX(对接源_01水果!$I$4:$I$1203,$AG221)),IF(INDEX(对接源_02物料!$I$4:$I$1203,$AG221-1200)=0,"",INDEX(对接源_02物料!$I$4:$I$1203,$AG221-1200))))</f>
        <v/>
      </c>
      <c r="G221" s="90" t="str">
        <f>IF($AG221="","",IF($AG221&lt;=1200,IF(INDEX(对接源_01水果!$J$4:$J$1203,$AG221)=0,"",INDEX(对接源_01水果!$J$4:$J$1203,$AG221)),IF(INDEX(对接源_02物料!$J$4:$J$1203,$AG221-1200)=0,"",INDEX(对接源_02物料!$J$4:$J$1203,$AG221-1200))))</f>
        <v/>
      </c>
      <c r="H221" s="90" t="str">
        <f>IF($AG221="","",IF($AG221&lt;=1200,IF(INDEX(对接源_01水果!$K$4:$K$1203,$AG221)=0,"",INDEX(对接源_01水果!$K$4:$K$1203,$AG221)),IF(INDEX(对接源_02物料!$K$4:$K$1203,$AG221-1200)=0,"",INDEX(对接源_02物料!$K$4:$K$1203,$AG221-1200))))</f>
        <v/>
      </c>
      <c r="I221" s="88" t="str">
        <f>IF($AG221="","",IF($AG221&lt;=1200,IF(INDEX(对接源_01水果!$L$4:$L$1203,$AG221)=0,"",INDEX(对接源_01水果!$L$4:$L$1203,$AG221)),IF(INDEX(对接源_02物料!$L$4:$L$1203,$AG221-1200)=0,"",INDEX(对接源_02物料!$L$4:$L$1203,$AG221-1200))))</f>
        <v/>
      </c>
      <c r="J221" s="91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2" t="str">
        <f>IFERROR(MATCH(10,_自动清单!$AE$4:$AE$2403,0),"")</f>
        <v/>
      </c>
    </row>
    <row r="222" ht="18" customHeight="1" spans="1:33">
      <c r="A222" s="52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53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53" t="str">
        <f>IF($AG222="","",IF($AG222&lt;=1200,IF(INDEX(对接源_01水果!$F$4:$F$1203,$AG222)=0,"",INDEX(对接源_01水果!$F$4:$F$1203,$AG222)),IF(INDEX(对接源_02物料!$F$4:$F$1203,$AG222-1200)=0,"",INDEX(对接源_02物料!$F$4:$F$1203,$AG222-1200))))</f>
        <v/>
      </c>
      <c r="D222" s="53" t="str">
        <f>IF($AG222="","",IF($AG222&lt;=1200,IF(INDEX(对接源_01水果!$G$4:$G$1203,$AG222)=0,"",INDEX(对接源_01水果!$G$4:$G$1203,$AG222)),IF(INDEX(对接源_02物料!$G$4:$G$1203,$AG222-1200)=0,"",INDEX(对接源_02物料!$G$4:$G$1203,$AG222-1200))))</f>
        <v/>
      </c>
      <c r="E222" s="54" t="str">
        <f>IF($AG222="","",IF($AG222&lt;=1200,IF(INDEX(对接源_01水果!$H$4:$H$1203,$AG222)=0,"",INDEX(对接源_01水果!$H$4:$H$1203,$AG222)),IF(INDEX(对接源_02物料!$H$4:$H$1203,$AG222-1200)=0,"",INDEX(对接源_02物料!$H$4:$H$1203,$AG222-1200))))</f>
        <v/>
      </c>
      <c r="F222" s="53" t="str">
        <f>IF($AG222="","",IF($AG222&lt;=1200,IF(INDEX(对接源_01水果!$I$4:$I$1203,$AG222)=0,"",INDEX(对接源_01水果!$I$4:$I$1203,$AG222)),IF(INDEX(对接源_02物料!$I$4:$I$1203,$AG222-1200)=0,"",INDEX(对接源_02物料!$I$4:$I$1203,$AG222-1200))))</f>
        <v/>
      </c>
      <c r="G222" s="55" t="str">
        <f>IF($AG222="","",IF($AG222&lt;=1200,IF(INDEX(对接源_01水果!$J$4:$J$1203,$AG222)=0,"",INDEX(对接源_01水果!$J$4:$J$1203,$AG222)),IF(INDEX(对接源_02物料!$J$4:$J$1203,$AG222-1200)=0,"",INDEX(对接源_02物料!$J$4:$J$1203,$AG222-1200))))</f>
        <v/>
      </c>
      <c r="H222" s="55" t="str">
        <f>IF($AG222="","",IF($AG222&lt;=1200,IF(INDEX(对接源_01水果!$K$4:$K$1203,$AG222)=0,"",INDEX(对接源_01水果!$K$4:$K$1203,$AG222)),IF(INDEX(对接源_02物料!$K$4:$K$1203,$AG222-1200)=0,"",INDEX(对接源_02物料!$K$4:$K$1203,$AG222-1200))))</f>
        <v/>
      </c>
      <c r="I222" s="53" t="str">
        <f>IF($AG222="","",IF($AG222&lt;=1200,IF(INDEX(对接源_01水果!$L$4:$L$1203,$AG222)=0,"",INDEX(对接源_01水果!$L$4:$L$1203,$AG222)),IF(INDEX(对接源_02物料!$L$4:$L$1203,$AG222-1200)=0,"",INDEX(对接源_02物料!$L$4:$L$1203,$AG222-1200))))</f>
        <v/>
      </c>
      <c r="J222" s="56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2" t="str">
        <f>IFERROR(MATCH(11,_自动清单!$AE$4:$AE$2403,0),"")</f>
        <v/>
      </c>
    </row>
    <row r="223" ht="18" customHeight="1" spans="1:33">
      <c r="A223" s="87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88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88" t="str">
        <f>IF($AG223="","",IF($AG223&lt;=1200,IF(INDEX(对接源_01水果!$F$4:$F$1203,$AG223)=0,"",INDEX(对接源_01水果!$F$4:$F$1203,$AG223)),IF(INDEX(对接源_02物料!$F$4:$F$1203,$AG223-1200)=0,"",INDEX(对接源_02物料!$F$4:$F$1203,$AG223-1200))))</f>
        <v/>
      </c>
      <c r="D223" s="88" t="str">
        <f>IF($AG223="","",IF($AG223&lt;=1200,IF(INDEX(对接源_01水果!$G$4:$G$1203,$AG223)=0,"",INDEX(对接源_01水果!$G$4:$G$1203,$AG223)),IF(INDEX(对接源_02物料!$G$4:$G$1203,$AG223-1200)=0,"",INDEX(对接源_02物料!$G$4:$G$1203,$AG223-1200))))</f>
        <v/>
      </c>
      <c r="E223" s="89" t="str">
        <f>IF($AG223="","",IF($AG223&lt;=1200,IF(INDEX(对接源_01水果!$H$4:$H$1203,$AG223)=0,"",INDEX(对接源_01水果!$H$4:$H$1203,$AG223)),IF(INDEX(对接源_02物料!$H$4:$H$1203,$AG223-1200)=0,"",INDEX(对接源_02物料!$H$4:$H$1203,$AG223-1200))))</f>
        <v/>
      </c>
      <c r="F223" s="88" t="str">
        <f>IF($AG223="","",IF($AG223&lt;=1200,IF(INDEX(对接源_01水果!$I$4:$I$1203,$AG223)=0,"",INDEX(对接源_01水果!$I$4:$I$1203,$AG223)),IF(INDEX(对接源_02物料!$I$4:$I$1203,$AG223-1200)=0,"",INDEX(对接源_02物料!$I$4:$I$1203,$AG223-1200))))</f>
        <v/>
      </c>
      <c r="G223" s="90" t="str">
        <f>IF($AG223="","",IF($AG223&lt;=1200,IF(INDEX(对接源_01水果!$J$4:$J$1203,$AG223)=0,"",INDEX(对接源_01水果!$J$4:$J$1203,$AG223)),IF(INDEX(对接源_02物料!$J$4:$J$1203,$AG223-1200)=0,"",INDEX(对接源_02物料!$J$4:$J$1203,$AG223-1200))))</f>
        <v/>
      </c>
      <c r="H223" s="90" t="str">
        <f>IF($AG223="","",IF($AG223&lt;=1200,IF(INDEX(对接源_01水果!$K$4:$K$1203,$AG223)=0,"",INDEX(对接源_01水果!$K$4:$K$1203,$AG223)),IF(INDEX(对接源_02物料!$K$4:$K$1203,$AG223-1200)=0,"",INDEX(对接源_02物料!$K$4:$K$1203,$AG223-1200))))</f>
        <v/>
      </c>
      <c r="I223" s="88" t="str">
        <f>IF($AG223="","",IF($AG223&lt;=1200,IF(INDEX(对接源_01水果!$L$4:$L$1203,$AG223)=0,"",INDEX(对接源_01水果!$L$4:$L$1203,$AG223)),IF(INDEX(对接源_02物料!$L$4:$L$1203,$AG223-1200)=0,"",INDEX(对接源_02物料!$L$4:$L$1203,$AG223-1200))))</f>
        <v/>
      </c>
      <c r="J223" s="91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2" t="str">
        <f>IFERROR(MATCH(12,_自动清单!$AE$4:$AE$2403,0),"")</f>
        <v/>
      </c>
    </row>
    <row r="224" ht="18" customHeight="1" spans="1:33">
      <c r="A224" s="52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53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53" t="str">
        <f>IF($AG224="","",IF($AG224&lt;=1200,IF(INDEX(对接源_01水果!$F$4:$F$1203,$AG224)=0,"",INDEX(对接源_01水果!$F$4:$F$1203,$AG224)),IF(INDEX(对接源_02物料!$F$4:$F$1203,$AG224-1200)=0,"",INDEX(对接源_02物料!$F$4:$F$1203,$AG224-1200))))</f>
        <v/>
      </c>
      <c r="D224" s="53" t="str">
        <f>IF($AG224="","",IF($AG224&lt;=1200,IF(INDEX(对接源_01水果!$G$4:$G$1203,$AG224)=0,"",INDEX(对接源_01水果!$G$4:$G$1203,$AG224)),IF(INDEX(对接源_02物料!$G$4:$G$1203,$AG224-1200)=0,"",INDEX(对接源_02物料!$G$4:$G$1203,$AG224-1200))))</f>
        <v/>
      </c>
      <c r="E224" s="54" t="str">
        <f>IF($AG224="","",IF($AG224&lt;=1200,IF(INDEX(对接源_01水果!$H$4:$H$1203,$AG224)=0,"",INDEX(对接源_01水果!$H$4:$H$1203,$AG224)),IF(INDEX(对接源_02物料!$H$4:$H$1203,$AG224-1200)=0,"",INDEX(对接源_02物料!$H$4:$H$1203,$AG224-1200))))</f>
        <v/>
      </c>
      <c r="F224" s="53" t="str">
        <f>IF($AG224="","",IF($AG224&lt;=1200,IF(INDEX(对接源_01水果!$I$4:$I$1203,$AG224)=0,"",INDEX(对接源_01水果!$I$4:$I$1203,$AG224)),IF(INDEX(对接源_02物料!$I$4:$I$1203,$AG224-1200)=0,"",INDEX(对接源_02物料!$I$4:$I$1203,$AG224-1200))))</f>
        <v/>
      </c>
      <c r="G224" s="55" t="str">
        <f>IF($AG224="","",IF($AG224&lt;=1200,IF(INDEX(对接源_01水果!$J$4:$J$1203,$AG224)=0,"",INDEX(对接源_01水果!$J$4:$J$1203,$AG224)),IF(INDEX(对接源_02物料!$J$4:$J$1203,$AG224-1200)=0,"",INDEX(对接源_02物料!$J$4:$J$1203,$AG224-1200))))</f>
        <v/>
      </c>
      <c r="H224" s="55" t="str">
        <f>IF($AG224="","",IF($AG224&lt;=1200,IF(INDEX(对接源_01水果!$K$4:$K$1203,$AG224)=0,"",INDEX(对接源_01水果!$K$4:$K$1203,$AG224)),IF(INDEX(对接源_02物料!$K$4:$K$1203,$AG224-1200)=0,"",INDEX(对接源_02物料!$K$4:$K$1203,$AG224-1200))))</f>
        <v/>
      </c>
      <c r="I224" s="53" t="str">
        <f>IF($AG224="","",IF($AG224&lt;=1200,IF(INDEX(对接源_01水果!$L$4:$L$1203,$AG224)=0,"",INDEX(对接源_01水果!$L$4:$L$1203,$AG224)),IF(INDEX(对接源_02物料!$L$4:$L$1203,$AG224-1200)=0,"",INDEX(对接源_02物料!$L$4:$L$1203,$AG224-1200))))</f>
        <v/>
      </c>
      <c r="J224" s="56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2" t="str">
        <f>IFERROR(MATCH(13,_自动清单!$AE$4:$AE$2403,0),"")</f>
        <v/>
      </c>
    </row>
    <row r="225" ht="18" customHeight="1" spans="1:33">
      <c r="A225" s="87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88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88" t="str">
        <f>IF($AG225="","",IF($AG225&lt;=1200,IF(INDEX(对接源_01水果!$F$4:$F$1203,$AG225)=0,"",INDEX(对接源_01水果!$F$4:$F$1203,$AG225)),IF(INDEX(对接源_02物料!$F$4:$F$1203,$AG225-1200)=0,"",INDEX(对接源_02物料!$F$4:$F$1203,$AG225-1200))))</f>
        <v/>
      </c>
      <c r="D225" s="88" t="str">
        <f>IF($AG225="","",IF($AG225&lt;=1200,IF(INDEX(对接源_01水果!$G$4:$G$1203,$AG225)=0,"",INDEX(对接源_01水果!$G$4:$G$1203,$AG225)),IF(INDEX(对接源_02物料!$G$4:$G$1203,$AG225-1200)=0,"",INDEX(对接源_02物料!$G$4:$G$1203,$AG225-1200))))</f>
        <v/>
      </c>
      <c r="E225" s="89" t="str">
        <f>IF($AG225="","",IF($AG225&lt;=1200,IF(INDEX(对接源_01水果!$H$4:$H$1203,$AG225)=0,"",INDEX(对接源_01水果!$H$4:$H$1203,$AG225)),IF(INDEX(对接源_02物料!$H$4:$H$1203,$AG225-1200)=0,"",INDEX(对接源_02物料!$H$4:$H$1203,$AG225-1200))))</f>
        <v/>
      </c>
      <c r="F225" s="88" t="str">
        <f>IF($AG225="","",IF($AG225&lt;=1200,IF(INDEX(对接源_01水果!$I$4:$I$1203,$AG225)=0,"",INDEX(对接源_01水果!$I$4:$I$1203,$AG225)),IF(INDEX(对接源_02物料!$I$4:$I$1203,$AG225-1200)=0,"",INDEX(对接源_02物料!$I$4:$I$1203,$AG225-1200))))</f>
        <v/>
      </c>
      <c r="G225" s="90" t="str">
        <f>IF($AG225="","",IF($AG225&lt;=1200,IF(INDEX(对接源_01水果!$J$4:$J$1203,$AG225)=0,"",INDEX(对接源_01水果!$J$4:$J$1203,$AG225)),IF(INDEX(对接源_02物料!$J$4:$J$1203,$AG225-1200)=0,"",INDEX(对接源_02物料!$J$4:$J$1203,$AG225-1200))))</f>
        <v/>
      </c>
      <c r="H225" s="90" t="str">
        <f>IF($AG225="","",IF($AG225&lt;=1200,IF(INDEX(对接源_01水果!$K$4:$K$1203,$AG225)=0,"",INDEX(对接源_01水果!$K$4:$K$1203,$AG225)),IF(INDEX(对接源_02物料!$K$4:$K$1203,$AG225-1200)=0,"",INDEX(对接源_02物料!$K$4:$K$1203,$AG225-1200))))</f>
        <v/>
      </c>
      <c r="I225" s="88" t="str">
        <f>IF($AG225="","",IF($AG225&lt;=1200,IF(INDEX(对接源_01水果!$L$4:$L$1203,$AG225)=0,"",INDEX(对接源_01水果!$L$4:$L$1203,$AG225)),IF(INDEX(对接源_02物料!$L$4:$L$1203,$AG225-1200)=0,"",INDEX(对接源_02物料!$L$4:$L$1203,$AG225-1200))))</f>
        <v/>
      </c>
      <c r="J225" s="91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2" t="str">
        <f>IFERROR(MATCH(14,_自动清单!$AE$4:$AE$2403,0),"")</f>
        <v/>
      </c>
    </row>
    <row r="226" ht="18" customHeight="1" spans="1:33">
      <c r="A226" s="52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53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53" t="str">
        <f>IF($AG226="","",IF($AG226&lt;=1200,IF(INDEX(对接源_01水果!$F$4:$F$1203,$AG226)=0,"",INDEX(对接源_01水果!$F$4:$F$1203,$AG226)),IF(INDEX(对接源_02物料!$F$4:$F$1203,$AG226-1200)=0,"",INDEX(对接源_02物料!$F$4:$F$1203,$AG226-1200))))</f>
        <v/>
      </c>
      <c r="D226" s="53" t="str">
        <f>IF($AG226="","",IF($AG226&lt;=1200,IF(INDEX(对接源_01水果!$G$4:$G$1203,$AG226)=0,"",INDEX(对接源_01水果!$G$4:$G$1203,$AG226)),IF(INDEX(对接源_02物料!$G$4:$G$1203,$AG226-1200)=0,"",INDEX(对接源_02物料!$G$4:$G$1203,$AG226-1200))))</f>
        <v/>
      </c>
      <c r="E226" s="54" t="str">
        <f>IF($AG226="","",IF($AG226&lt;=1200,IF(INDEX(对接源_01水果!$H$4:$H$1203,$AG226)=0,"",INDEX(对接源_01水果!$H$4:$H$1203,$AG226)),IF(INDEX(对接源_02物料!$H$4:$H$1203,$AG226-1200)=0,"",INDEX(对接源_02物料!$H$4:$H$1203,$AG226-1200))))</f>
        <v/>
      </c>
      <c r="F226" s="53" t="str">
        <f>IF($AG226="","",IF($AG226&lt;=1200,IF(INDEX(对接源_01水果!$I$4:$I$1203,$AG226)=0,"",INDEX(对接源_01水果!$I$4:$I$1203,$AG226)),IF(INDEX(对接源_02物料!$I$4:$I$1203,$AG226-1200)=0,"",INDEX(对接源_02物料!$I$4:$I$1203,$AG226-1200))))</f>
        <v/>
      </c>
      <c r="G226" s="55" t="str">
        <f>IF($AG226="","",IF($AG226&lt;=1200,IF(INDEX(对接源_01水果!$J$4:$J$1203,$AG226)=0,"",INDEX(对接源_01水果!$J$4:$J$1203,$AG226)),IF(INDEX(对接源_02物料!$J$4:$J$1203,$AG226-1200)=0,"",INDEX(对接源_02物料!$J$4:$J$1203,$AG226-1200))))</f>
        <v/>
      </c>
      <c r="H226" s="55" t="str">
        <f>IF($AG226="","",IF($AG226&lt;=1200,IF(INDEX(对接源_01水果!$K$4:$K$1203,$AG226)=0,"",INDEX(对接源_01水果!$K$4:$K$1203,$AG226)),IF(INDEX(对接源_02物料!$K$4:$K$1203,$AG226-1200)=0,"",INDEX(对接源_02物料!$K$4:$K$1203,$AG226-1200))))</f>
        <v/>
      </c>
      <c r="I226" s="53" t="str">
        <f>IF($AG226="","",IF($AG226&lt;=1200,IF(INDEX(对接源_01水果!$L$4:$L$1203,$AG226)=0,"",INDEX(对接源_01水果!$L$4:$L$1203,$AG226)),IF(INDEX(对接源_02物料!$L$4:$L$1203,$AG226-1200)=0,"",INDEX(对接源_02物料!$L$4:$L$1203,$AG226-1200))))</f>
        <v/>
      </c>
      <c r="J226" s="56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2" t="str">
        <f>IFERROR(MATCH(15,_自动清单!$AE$4:$AE$2403,0),"")</f>
        <v/>
      </c>
    </row>
    <row r="227" ht="18" customHeight="1" spans="1:33">
      <c r="A227" s="87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88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88" t="str">
        <f>IF($AG227="","",IF($AG227&lt;=1200,IF(INDEX(对接源_01水果!$F$4:$F$1203,$AG227)=0,"",INDEX(对接源_01水果!$F$4:$F$1203,$AG227)),IF(INDEX(对接源_02物料!$F$4:$F$1203,$AG227-1200)=0,"",INDEX(对接源_02物料!$F$4:$F$1203,$AG227-1200))))</f>
        <v/>
      </c>
      <c r="D227" s="88" t="str">
        <f>IF($AG227="","",IF($AG227&lt;=1200,IF(INDEX(对接源_01水果!$G$4:$G$1203,$AG227)=0,"",INDEX(对接源_01水果!$G$4:$G$1203,$AG227)),IF(INDEX(对接源_02物料!$G$4:$G$1203,$AG227-1200)=0,"",INDEX(对接源_02物料!$G$4:$G$1203,$AG227-1200))))</f>
        <v/>
      </c>
      <c r="E227" s="89" t="str">
        <f>IF($AG227="","",IF($AG227&lt;=1200,IF(INDEX(对接源_01水果!$H$4:$H$1203,$AG227)=0,"",INDEX(对接源_01水果!$H$4:$H$1203,$AG227)),IF(INDEX(对接源_02物料!$H$4:$H$1203,$AG227-1200)=0,"",INDEX(对接源_02物料!$H$4:$H$1203,$AG227-1200))))</f>
        <v/>
      </c>
      <c r="F227" s="88" t="str">
        <f>IF($AG227="","",IF($AG227&lt;=1200,IF(INDEX(对接源_01水果!$I$4:$I$1203,$AG227)=0,"",INDEX(对接源_01水果!$I$4:$I$1203,$AG227)),IF(INDEX(对接源_02物料!$I$4:$I$1203,$AG227-1200)=0,"",INDEX(对接源_02物料!$I$4:$I$1203,$AG227-1200))))</f>
        <v/>
      </c>
      <c r="G227" s="90" t="str">
        <f>IF($AG227="","",IF($AG227&lt;=1200,IF(INDEX(对接源_01水果!$J$4:$J$1203,$AG227)=0,"",INDEX(对接源_01水果!$J$4:$J$1203,$AG227)),IF(INDEX(对接源_02物料!$J$4:$J$1203,$AG227-1200)=0,"",INDEX(对接源_02物料!$J$4:$J$1203,$AG227-1200))))</f>
        <v/>
      </c>
      <c r="H227" s="90" t="str">
        <f>IF($AG227="","",IF($AG227&lt;=1200,IF(INDEX(对接源_01水果!$K$4:$K$1203,$AG227)=0,"",INDEX(对接源_01水果!$K$4:$K$1203,$AG227)),IF(INDEX(对接源_02物料!$K$4:$K$1203,$AG227-1200)=0,"",INDEX(对接源_02物料!$K$4:$K$1203,$AG227-1200))))</f>
        <v/>
      </c>
      <c r="I227" s="88" t="str">
        <f>IF($AG227="","",IF($AG227&lt;=1200,IF(INDEX(对接源_01水果!$L$4:$L$1203,$AG227)=0,"",INDEX(对接源_01水果!$L$4:$L$1203,$AG227)),IF(INDEX(对接源_02物料!$L$4:$L$1203,$AG227-1200)=0,"",INDEX(对接源_02物料!$L$4:$L$1203,$AG227-1200))))</f>
        <v/>
      </c>
      <c r="J227" s="91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2" t="str">
        <f>IFERROR(MATCH(16,_自动清单!$AE$4:$AE$2403,0),"")</f>
        <v/>
      </c>
    </row>
    <row r="228" ht="18" customHeight="1" spans="1:33">
      <c r="A228" s="52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53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53" t="str">
        <f>IF($AG228="","",IF($AG228&lt;=1200,IF(INDEX(对接源_01水果!$F$4:$F$1203,$AG228)=0,"",INDEX(对接源_01水果!$F$4:$F$1203,$AG228)),IF(INDEX(对接源_02物料!$F$4:$F$1203,$AG228-1200)=0,"",INDEX(对接源_02物料!$F$4:$F$1203,$AG228-1200))))</f>
        <v/>
      </c>
      <c r="D228" s="53" t="str">
        <f>IF($AG228="","",IF($AG228&lt;=1200,IF(INDEX(对接源_01水果!$G$4:$G$1203,$AG228)=0,"",INDEX(对接源_01水果!$G$4:$G$1203,$AG228)),IF(INDEX(对接源_02物料!$G$4:$G$1203,$AG228-1200)=0,"",INDEX(对接源_02物料!$G$4:$G$1203,$AG228-1200))))</f>
        <v/>
      </c>
      <c r="E228" s="54" t="str">
        <f>IF($AG228="","",IF($AG228&lt;=1200,IF(INDEX(对接源_01水果!$H$4:$H$1203,$AG228)=0,"",INDEX(对接源_01水果!$H$4:$H$1203,$AG228)),IF(INDEX(对接源_02物料!$H$4:$H$1203,$AG228-1200)=0,"",INDEX(对接源_02物料!$H$4:$H$1203,$AG228-1200))))</f>
        <v/>
      </c>
      <c r="F228" s="53" t="str">
        <f>IF($AG228="","",IF($AG228&lt;=1200,IF(INDEX(对接源_01水果!$I$4:$I$1203,$AG228)=0,"",INDEX(对接源_01水果!$I$4:$I$1203,$AG228)),IF(INDEX(对接源_02物料!$I$4:$I$1203,$AG228-1200)=0,"",INDEX(对接源_02物料!$I$4:$I$1203,$AG228-1200))))</f>
        <v/>
      </c>
      <c r="G228" s="55" t="str">
        <f>IF($AG228="","",IF($AG228&lt;=1200,IF(INDEX(对接源_01水果!$J$4:$J$1203,$AG228)=0,"",INDEX(对接源_01水果!$J$4:$J$1203,$AG228)),IF(INDEX(对接源_02物料!$J$4:$J$1203,$AG228-1200)=0,"",INDEX(对接源_02物料!$J$4:$J$1203,$AG228-1200))))</f>
        <v/>
      </c>
      <c r="H228" s="55" t="str">
        <f>IF($AG228="","",IF($AG228&lt;=1200,IF(INDEX(对接源_01水果!$K$4:$K$1203,$AG228)=0,"",INDEX(对接源_01水果!$K$4:$K$1203,$AG228)),IF(INDEX(对接源_02物料!$K$4:$K$1203,$AG228-1200)=0,"",INDEX(对接源_02物料!$K$4:$K$1203,$AG228-1200))))</f>
        <v/>
      </c>
      <c r="I228" s="53" t="str">
        <f>IF($AG228="","",IF($AG228&lt;=1200,IF(INDEX(对接源_01水果!$L$4:$L$1203,$AG228)=0,"",INDEX(对接源_01水果!$L$4:$L$1203,$AG228)),IF(INDEX(对接源_02物料!$L$4:$L$1203,$AG228-1200)=0,"",INDEX(对接源_02物料!$L$4:$L$1203,$AG228-1200))))</f>
        <v/>
      </c>
      <c r="J228" s="56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2" t="str">
        <f>IFERROR(MATCH(17,_自动清单!$AE$4:$AE$2403,0),"")</f>
        <v/>
      </c>
    </row>
    <row r="229" ht="18" customHeight="1" spans="1:33">
      <c r="A229" s="87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88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88" t="str">
        <f>IF($AG229="","",IF($AG229&lt;=1200,IF(INDEX(对接源_01水果!$F$4:$F$1203,$AG229)=0,"",INDEX(对接源_01水果!$F$4:$F$1203,$AG229)),IF(INDEX(对接源_02物料!$F$4:$F$1203,$AG229-1200)=0,"",INDEX(对接源_02物料!$F$4:$F$1203,$AG229-1200))))</f>
        <v/>
      </c>
      <c r="D229" s="88" t="str">
        <f>IF($AG229="","",IF($AG229&lt;=1200,IF(INDEX(对接源_01水果!$G$4:$G$1203,$AG229)=0,"",INDEX(对接源_01水果!$G$4:$G$1203,$AG229)),IF(INDEX(对接源_02物料!$G$4:$G$1203,$AG229-1200)=0,"",INDEX(对接源_02物料!$G$4:$G$1203,$AG229-1200))))</f>
        <v/>
      </c>
      <c r="E229" s="89" t="str">
        <f>IF($AG229="","",IF($AG229&lt;=1200,IF(INDEX(对接源_01水果!$H$4:$H$1203,$AG229)=0,"",INDEX(对接源_01水果!$H$4:$H$1203,$AG229)),IF(INDEX(对接源_02物料!$H$4:$H$1203,$AG229-1200)=0,"",INDEX(对接源_02物料!$H$4:$H$1203,$AG229-1200))))</f>
        <v/>
      </c>
      <c r="F229" s="88" t="str">
        <f>IF($AG229="","",IF($AG229&lt;=1200,IF(INDEX(对接源_01水果!$I$4:$I$1203,$AG229)=0,"",INDEX(对接源_01水果!$I$4:$I$1203,$AG229)),IF(INDEX(对接源_02物料!$I$4:$I$1203,$AG229-1200)=0,"",INDEX(对接源_02物料!$I$4:$I$1203,$AG229-1200))))</f>
        <v/>
      </c>
      <c r="G229" s="90" t="str">
        <f>IF($AG229="","",IF($AG229&lt;=1200,IF(INDEX(对接源_01水果!$J$4:$J$1203,$AG229)=0,"",INDEX(对接源_01水果!$J$4:$J$1203,$AG229)),IF(INDEX(对接源_02物料!$J$4:$J$1203,$AG229-1200)=0,"",INDEX(对接源_02物料!$J$4:$J$1203,$AG229-1200))))</f>
        <v/>
      </c>
      <c r="H229" s="90" t="str">
        <f>IF($AG229="","",IF($AG229&lt;=1200,IF(INDEX(对接源_01水果!$K$4:$K$1203,$AG229)=0,"",INDEX(对接源_01水果!$K$4:$K$1203,$AG229)),IF(INDEX(对接源_02物料!$K$4:$K$1203,$AG229-1200)=0,"",INDEX(对接源_02物料!$K$4:$K$1203,$AG229-1200))))</f>
        <v/>
      </c>
      <c r="I229" s="88" t="str">
        <f>IF($AG229="","",IF($AG229&lt;=1200,IF(INDEX(对接源_01水果!$L$4:$L$1203,$AG229)=0,"",INDEX(对接源_01水果!$L$4:$L$1203,$AG229)),IF(INDEX(对接源_02物料!$L$4:$L$1203,$AG229-1200)=0,"",INDEX(对接源_02物料!$L$4:$L$1203,$AG229-1200))))</f>
        <v/>
      </c>
      <c r="J229" s="91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2" t="str">
        <f>IFERROR(MATCH(18,_自动清单!$AE$4:$AE$2403,0),"")</f>
        <v/>
      </c>
    </row>
    <row r="230" ht="18" customHeight="1" spans="1:33">
      <c r="A230" s="52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53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53" t="str">
        <f>IF($AG230="","",IF($AG230&lt;=1200,IF(INDEX(对接源_01水果!$F$4:$F$1203,$AG230)=0,"",INDEX(对接源_01水果!$F$4:$F$1203,$AG230)),IF(INDEX(对接源_02物料!$F$4:$F$1203,$AG230-1200)=0,"",INDEX(对接源_02物料!$F$4:$F$1203,$AG230-1200))))</f>
        <v/>
      </c>
      <c r="D230" s="53" t="str">
        <f>IF($AG230="","",IF($AG230&lt;=1200,IF(INDEX(对接源_01水果!$G$4:$G$1203,$AG230)=0,"",INDEX(对接源_01水果!$G$4:$G$1203,$AG230)),IF(INDEX(对接源_02物料!$G$4:$G$1203,$AG230-1200)=0,"",INDEX(对接源_02物料!$G$4:$G$1203,$AG230-1200))))</f>
        <v/>
      </c>
      <c r="E230" s="54" t="str">
        <f>IF($AG230="","",IF($AG230&lt;=1200,IF(INDEX(对接源_01水果!$H$4:$H$1203,$AG230)=0,"",INDEX(对接源_01水果!$H$4:$H$1203,$AG230)),IF(INDEX(对接源_02物料!$H$4:$H$1203,$AG230-1200)=0,"",INDEX(对接源_02物料!$H$4:$H$1203,$AG230-1200))))</f>
        <v/>
      </c>
      <c r="F230" s="53" t="str">
        <f>IF($AG230="","",IF($AG230&lt;=1200,IF(INDEX(对接源_01水果!$I$4:$I$1203,$AG230)=0,"",INDEX(对接源_01水果!$I$4:$I$1203,$AG230)),IF(INDEX(对接源_02物料!$I$4:$I$1203,$AG230-1200)=0,"",INDEX(对接源_02物料!$I$4:$I$1203,$AG230-1200))))</f>
        <v/>
      </c>
      <c r="G230" s="55" t="str">
        <f>IF($AG230="","",IF($AG230&lt;=1200,IF(INDEX(对接源_01水果!$J$4:$J$1203,$AG230)=0,"",INDEX(对接源_01水果!$J$4:$J$1203,$AG230)),IF(INDEX(对接源_02物料!$J$4:$J$1203,$AG230-1200)=0,"",INDEX(对接源_02物料!$J$4:$J$1203,$AG230-1200))))</f>
        <v/>
      </c>
      <c r="H230" s="55" t="str">
        <f>IF($AG230="","",IF($AG230&lt;=1200,IF(INDEX(对接源_01水果!$K$4:$K$1203,$AG230)=0,"",INDEX(对接源_01水果!$K$4:$K$1203,$AG230)),IF(INDEX(对接源_02物料!$K$4:$K$1203,$AG230-1200)=0,"",INDEX(对接源_02物料!$K$4:$K$1203,$AG230-1200))))</f>
        <v/>
      </c>
      <c r="I230" s="53" t="str">
        <f>IF($AG230="","",IF($AG230&lt;=1200,IF(INDEX(对接源_01水果!$L$4:$L$1203,$AG230)=0,"",INDEX(对接源_01水果!$L$4:$L$1203,$AG230)),IF(INDEX(对接源_02物料!$L$4:$L$1203,$AG230-1200)=0,"",INDEX(对接源_02物料!$L$4:$L$1203,$AG230-1200))))</f>
        <v/>
      </c>
      <c r="J230" s="56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2" t="str">
        <f>IFERROR(MATCH(19,_自动清单!$AE$4:$AE$2403,0),"")</f>
        <v/>
      </c>
    </row>
    <row r="231" ht="18" customHeight="1" spans="1:33">
      <c r="A231" s="87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88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88" t="str">
        <f>IF($AG231="","",IF($AG231&lt;=1200,IF(INDEX(对接源_01水果!$F$4:$F$1203,$AG231)=0,"",INDEX(对接源_01水果!$F$4:$F$1203,$AG231)),IF(INDEX(对接源_02物料!$F$4:$F$1203,$AG231-1200)=0,"",INDEX(对接源_02物料!$F$4:$F$1203,$AG231-1200))))</f>
        <v/>
      </c>
      <c r="D231" s="88" t="str">
        <f>IF($AG231="","",IF($AG231&lt;=1200,IF(INDEX(对接源_01水果!$G$4:$G$1203,$AG231)=0,"",INDEX(对接源_01水果!$G$4:$G$1203,$AG231)),IF(INDEX(对接源_02物料!$G$4:$G$1203,$AG231-1200)=0,"",INDEX(对接源_02物料!$G$4:$G$1203,$AG231-1200))))</f>
        <v/>
      </c>
      <c r="E231" s="89" t="str">
        <f>IF($AG231="","",IF($AG231&lt;=1200,IF(INDEX(对接源_01水果!$H$4:$H$1203,$AG231)=0,"",INDEX(对接源_01水果!$H$4:$H$1203,$AG231)),IF(INDEX(对接源_02物料!$H$4:$H$1203,$AG231-1200)=0,"",INDEX(对接源_02物料!$H$4:$H$1203,$AG231-1200))))</f>
        <v/>
      </c>
      <c r="F231" s="88" t="str">
        <f>IF($AG231="","",IF($AG231&lt;=1200,IF(INDEX(对接源_01水果!$I$4:$I$1203,$AG231)=0,"",INDEX(对接源_01水果!$I$4:$I$1203,$AG231)),IF(INDEX(对接源_02物料!$I$4:$I$1203,$AG231-1200)=0,"",INDEX(对接源_02物料!$I$4:$I$1203,$AG231-1200))))</f>
        <v/>
      </c>
      <c r="G231" s="90" t="str">
        <f>IF($AG231="","",IF($AG231&lt;=1200,IF(INDEX(对接源_01水果!$J$4:$J$1203,$AG231)=0,"",INDEX(对接源_01水果!$J$4:$J$1203,$AG231)),IF(INDEX(对接源_02物料!$J$4:$J$1203,$AG231-1200)=0,"",INDEX(对接源_02物料!$J$4:$J$1203,$AG231-1200))))</f>
        <v/>
      </c>
      <c r="H231" s="90" t="str">
        <f>IF($AG231="","",IF($AG231&lt;=1200,IF(INDEX(对接源_01水果!$K$4:$K$1203,$AG231)=0,"",INDEX(对接源_01水果!$K$4:$K$1203,$AG231)),IF(INDEX(对接源_02物料!$K$4:$K$1203,$AG231-1200)=0,"",INDEX(对接源_02物料!$K$4:$K$1203,$AG231-1200))))</f>
        <v/>
      </c>
      <c r="I231" s="88" t="str">
        <f>IF($AG231="","",IF($AG231&lt;=1200,IF(INDEX(对接源_01水果!$L$4:$L$1203,$AG231)=0,"",INDEX(对接源_01水果!$L$4:$L$1203,$AG231)),IF(INDEX(对接源_02物料!$L$4:$L$1203,$AG231-1200)=0,"",INDEX(对接源_02物料!$L$4:$L$1203,$AG231-1200))))</f>
        <v/>
      </c>
      <c r="J231" s="91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2" t="str">
        <f>IFERROR(MATCH(20,_自动清单!$AE$4:$AE$2403,0),"")</f>
        <v/>
      </c>
    </row>
    <row r="232" ht="18" customHeight="1" spans="1:33">
      <c r="A232" s="52" t="str">
        <f>IF($AG232="","",IF($AG232&lt;=1200,IF(INDEX(对接源_01水果!$B$4:$B$1203,$AG232)=0,"",INDEX(对接源_01水果!$B$4:$B$1203,$AG232)),IF(INDEX(对接源_02物料!$B$4:$B$1203,$AG232-1200)=0,"",INDEX(对接源_02物料!$B$4:$B$1203,$AG232-1200))))</f>
        <v/>
      </c>
      <c r="B232" s="53" t="str">
        <f>IF($AG232="","",IF($AG232&lt;=1200,IF(INDEX(对接源_01水果!$E$4:$E$1203,$AG232)=0,"",INDEX(对接源_01水果!$E$4:$E$1203,$AG232)),IF(INDEX(对接源_02物料!$E$4:$E$1203,$AG232-1200)=0,"",INDEX(对接源_02物料!$E$4:$E$1203,$AG232-1200))))</f>
        <v/>
      </c>
      <c r="C232" s="53" t="str">
        <f>IF($AG232="","",IF($AG232&lt;=1200,IF(INDEX(对接源_01水果!$F$4:$F$1203,$AG232)=0,"",INDEX(对接源_01水果!$F$4:$F$1203,$AG232)),IF(INDEX(对接源_02物料!$F$4:$F$1203,$AG232-1200)=0,"",INDEX(对接源_02物料!$F$4:$F$1203,$AG232-1200))))</f>
        <v/>
      </c>
      <c r="D232" s="53" t="str">
        <f>IF($AG232="","",IF($AG232&lt;=1200,IF(INDEX(对接源_01水果!$G$4:$G$1203,$AG232)=0,"",INDEX(对接源_01水果!$G$4:$G$1203,$AG232)),IF(INDEX(对接源_02物料!$G$4:$G$1203,$AG232-1200)=0,"",INDEX(对接源_02物料!$G$4:$G$1203,$AG232-1200))))</f>
        <v/>
      </c>
      <c r="E232" s="54" t="str">
        <f>IF($AG232="","",IF($AG232&lt;=1200,IF(INDEX(对接源_01水果!$H$4:$H$1203,$AG232)=0,"",INDEX(对接源_01水果!$H$4:$H$1203,$AG232)),IF(INDEX(对接源_02物料!$H$4:$H$1203,$AG232-1200)=0,"",INDEX(对接源_02物料!$H$4:$H$1203,$AG232-1200))))</f>
        <v/>
      </c>
      <c r="F232" s="53" t="str">
        <f>IF($AG232="","",IF($AG232&lt;=1200,IF(INDEX(对接源_01水果!$I$4:$I$1203,$AG232)=0,"",INDEX(对接源_01水果!$I$4:$I$1203,$AG232)),IF(INDEX(对接源_02物料!$I$4:$I$1203,$AG232-1200)=0,"",INDEX(对接源_02物料!$I$4:$I$1203,$AG232-1200))))</f>
        <v/>
      </c>
      <c r="G232" s="55" t="str">
        <f>IF($AG232="","",IF($AG232&lt;=1200,IF(INDEX(对接源_01水果!$J$4:$J$1203,$AG232)=0,"",INDEX(对接源_01水果!$J$4:$J$1203,$AG232)),IF(INDEX(对接源_02物料!$J$4:$J$1203,$AG232-1200)=0,"",INDEX(对接源_02物料!$J$4:$J$1203,$AG232-1200))))</f>
        <v/>
      </c>
      <c r="H232" s="55" t="str">
        <f>IF($AG232="","",IF($AG232&lt;=1200,IF(INDEX(对接源_01水果!$K$4:$K$1203,$AG232)=0,"",INDEX(对接源_01水果!$K$4:$K$1203,$AG232)),IF(INDEX(对接源_02物料!$K$4:$K$1203,$AG232-1200)=0,"",INDEX(对接源_02物料!$K$4:$K$1203,$AG232-1200))))</f>
        <v/>
      </c>
      <c r="I232" s="53" t="str">
        <f>IF($AG232="","",IF($AG232&lt;=1200,IF(INDEX(对接源_01水果!$L$4:$L$1203,$AG232)=0,"",INDEX(对接源_01水果!$L$4:$L$1203,$AG232)),IF(INDEX(对接源_02物料!$L$4:$L$1203,$AG232-1200)=0,"",INDEX(对接源_02物料!$L$4:$L$1203,$AG232-1200))))</f>
        <v/>
      </c>
      <c r="J232" s="56" t="str">
        <f>IF($AG232="","",IF($AG232&lt;=1200,IF(INDEX(对接源_01水果!$M$4:$M$1203,$AG232)=0,"",INDEX(对接源_01水果!$M$4:$M$1203,$AG232)),IF(INDEX(对接源_02物料!$M$4:$M$1203,$AG232-1200)=0,"",INDEX(对接源_02物料!$M$4:$M$1203,$AG232-1200))))</f>
        <v/>
      </c>
      <c r="AG232" s="2" t="str">
        <f>IFERROR(MATCH(21,_自动清单!$AE$4:$AE$2403,0),"")</f>
        <v/>
      </c>
    </row>
    <row r="233" ht="18" customHeight="1" spans="1:33">
      <c r="A233" s="87" t="str">
        <f>IF($AG233="","",IF($AG233&lt;=1200,IF(INDEX(对接源_01水果!$B$4:$B$1203,$AG233)=0,"",INDEX(对接源_01水果!$B$4:$B$1203,$AG233)),IF(INDEX(对接源_02物料!$B$4:$B$1203,$AG233-1200)=0,"",INDEX(对接源_02物料!$B$4:$B$1203,$AG233-1200))))</f>
        <v/>
      </c>
      <c r="B233" s="88" t="str">
        <f>IF($AG233="","",IF($AG233&lt;=1200,IF(INDEX(对接源_01水果!$E$4:$E$1203,$AG233)=0,"",INDEX(对接源_01水果!$E$4:$E$1203,$AG233)),IF(INDEX(对接源_02物料!$E$4:$E$1203,$AG233-1200)=0,"",INDEX(对接源_02物料!$E$4:$E$1203,$AG233-1200))))</f>
        <v/>
      </c>
      <c r="C233" s="88" t="str">
        <f>IF($AG233="","",IF($AG233&lt;=1200,IF(INDEX(对接源_01水果!$F$4:$F$1203,$AG233)=0,"",INDEX(对接源_01水果!$F$4:$F$1203,$AG233)),IF(INDEX(对接源_02物料!$F$4:$F$1203,$AG233-1200)=0,"",INDEX(对接源_02物料!$F$4:$F$1203,$AG233-1200))))</f>
        <v/>
      </c>
      <c r="D233" s="88" t="str">
        <f>IF($AG233="","",IF($AG233&lt;=1200,IF(INDEX(对接源_01水果!$G$4:$G$1203,$AG233)=0,"",INDEX(对接源_01水果!$G$4:$G$1203,$AG233)),IF(INDEX(对接源_02物料!$G$4:$G$1203,$AG233-1200)=0,"",INDEX(对接源_02物料!$G$4:$G$1203,$AG233-1200))))</f>
        <v/>
      </c>
      <c r="E233" s="89" t="str">
        <f>IF($AG233="","",IF($AG233&lt;=1200,IF(INDEX(对接源_01水果!$H$4:$H$1203,$AG233)=0,"",INDEX(对接源_01水果!$H$4:$H$1203,$AG233)),IF(INDEX(对接源_02物料!$H$4:$H$1203,$AG233-1200)=0,"",INDEX(对接源_02物料!$H$4:$H$1203,$AG233-1200))))</f>
        <v/>
      </c>
      <c r="F233" s="88" t="str">
        <f>IF($AG233="","",IF($AG233&lt;=1200,IF(INDEX(对接源_01水果!$I$4:$I$1203,$AG233)=0,"",INDEX(对接源_01水果!$I$4:$I$1203,$AG233)),IF(INDEX(对接源_02物料!$I$4:$I$1203,$AG233-1200)=0,"",INDEX(对接源_02物料!$I$4:$I$1203,$AG233-1200))))</f>
        <v/>
      </c>
      <c r="G233" s="90" t="str">
        <f>IF($AG233="","",IF($AG233&lt;=1200,IF(INDEX(对接源_01水果!$J$4:$J$1203,$AG233)=0,"",INDEX(对接源_01水果!$J$4:$J$1203,$AG233)),IF(INDEX(对接源_02物料!$J$4:$J$1203,$AG233-1200)=0,"",INDEX(对接源_02物料!$J$4:$J$1203,$AG233-1200))))</f>
        <v/>
      </c>
      <c r="H233" s="90" t="str">
        <f>IF($AG233="","",IF($AG233&lt;=1200,IF(INDEX(对接源_01水果!$K$4:$K$1203,$AG233)=0,"",INDEX(对接源_01水果!$K$4:$K$1203,$AG233)),IF(INDEX(对接源_02物料!$K$4:$K$1203,$AG233-1200)=0,"",INDEX(对接源_02物料!$K$4:$K$1203,$AG233-1200))))</f>
        <v/>
      </c>
      <c r="I233" s="88" t="str">
        <f>IF($AG233="","",IF($AG233&lt;=1200,IF(INDEX(对接源_01水果!$L$4:$L$1203,$AG233)=0,"",INDEX(对接源_01水果!$L$4:$L$1203,$AG233)),IF(INDEX(对接源_02物料!$L$4:$L$1203,$AG233-1200)=0,"",INDEX(对接源_02物料!$L$4:$L$1203,$AG233-1200))))</f>
        <v/>
      </c>
      <c r="J233" s="91" t="str">
        <f>IF($AG233="","",IF($AG233&lt;=1200,IF(INDEX(对接源_01水果!$M$4:$M$1203,$AG233)=0,"",INDEX(对接源_01水果!$M$4:$M$1203,$AG233)),IF(INDEX(对接源_02物料!$M$4:$M$1203,$AG233-1200)=0,"",INDEX(对接源_02物料!$M$4:$M$1203,$AG233-1200))))</f>
        <v/>
      </c>
      <c r="AG233" s="2" t="str">
        <f>IFERROR(MATCH(22,_自动清单!$AE$4:$AE$2403,0),"")</f>
        <v/>
      </c>
    </row>
    <row r="234" ht="18" customHeight="1" spans="1:33">
      <c r="A234" s="52" t="str">
        <f>IF($AG234="","",IF($AG234&lt;=1200,IF(INDEX(对接源_01水果!$B$4:$B$1203,$AG234)=0,"",INDEX(对接源_01水果!$B$4:$B$1203,$AG234)),IF(INDEX(对接源_02物料!$B$4:$B$1203,$AG234-1200)=0,"",INDEX(对接源_02物料!$B$4:$B$1203,$AG234-1200))))</f>
        <v/>
      </c>
      <c r="B234" s="53" t="str">
        <f>IF($AG234="","",IF($AG234&lt;=1200,IF(INDEX(对接源_01水果!$E$4:$E$1203,$AG234)=0,"",INDEX(对接源_01水果!$E$4:$E$1203,$AG234)),IF(INDEX(对接源_02物料!$E$4:$E$1203,$AG234-1200)=0,"",INDEX(对接源_02物料!$E$4:$E$1203,$AG234-1200))))</f>
        <v/>
      </c>
      <c r="C234" s="53" t="str">
        <f>IF($AG234="","",IF($AG234&lt;=1200,IF(INDEX(对接源_01水果!$F$4:$F$1203,$AG234)=0,"",INDEX(对接源_01水果!$F$4:$F$1203,$AG234)),IF(INDEX(对接源_02物料!$F$4:$F$1203,$AG234-1200)=0,"",INDEX(对接源_02物料!$F$4:$F$1203,$AG234-1200))))</f>
        <v/>
      </c>
      <c r="D234" s="53" t="str">
        <f>IF($AG234="","",IF($AG234&lt;=1200,IF(INDEX(对接源_01水果!$G$4:$G$1203,$AG234)=0,"",INDEX(对接源_01水果!$G$4:$G$1203,$AG234)),IF(INDEX(对接源_02物料!$G$4:$G$1203,$AG234-1200)=0,"",INDEX(对接源_02物料!$G$4:$G$1203,$AG234-1200))))</f>
        <v/>
      </c>
      <c r="E234" s="54" t="str">
        <f>IF($AG234="","",IF($AG234&lt;=1200,IF(INDEX(对接源_01水果!$H$4:$H$1203,$AG234)=0,"",INDEX(对接源_01水果!$H$4:$H$1203,$AG234)),IF(INDEX(对接源_02物料!$H$4:$H$1203,$AG234-1200)=0,"",INDEX(对接源_02物料!$H$4:$H$1203,$AG234-1200))))</f>
        <v/>
      </c>
      <c r="F234" s="53" t="str">
        <f>IF($AG234="","",IF($AG234&lt;=1200,IF(INDEX(对接源_01水果!$I$4:$I$1203,$AG234)=0,"",INDEX(对接源_01水果!$I$4:$I$1203,$AG234)),IF(INDEX(对接源_02物料!$I$4:$I$1203,$AG234-1200)=0,"",INDEX(对接源_02物料!$I$4:$I$1203,$AG234-1200))))</f>
        <v/>
      </c>
      <c r="G234" s="55" t="str">
        <f>IF($AG234="","",IF($AG234&lt;=1200,IF(INDEX(对接源_01水果!$J$4:$J$1203,$AG234)=0,"",INDEX(对接源_01水果!$J$4:$J$1203,$AG234)),IF(INDEX(对接源_02物料!$J$4:$J$1203,$AG234-1200)=0,"",INDEX(对接源_02物料!$J$4:$J$1203,$AG234-1200))))</f>
        <v/>
      </c>
      <c r="H234" s="55" t="str">
        <f>IF($AG234="","",IF($AG234&lt;=1200,IF(INDEX(对接源_01水果!$K$4:$K$1203,$AG234)=0,"",INDEX(对接源_01水果!$K$4:$K$1203,$AG234)),IF(INDEX(对接源_02物料!$K$4:$K$1203,$AG234-1200)=0,"",INDEX(对接源_02物料!$K$4:$K$1203,$AG234-1200))))</f>
        <v/>
      </c>
      <c r="I234" s="53" t="str">
        <f>IF($AG234="","",IF($AG234&lt;=1200,IF(INDEX(对接源_01水果!$L$4:$L$1203,$AG234)=0,"",INDEX(对接源_01水果!$L$4:$L$1203,$AG234)),IF(INDEX(对接源_02物料!$L$4:$L$1203,$AG234-1200)=0,"",INDEX(对接源_02物料!$L$4:$L$1203,$AG234-1200))))</f>
        <v/>
      </c>
      <c r="J234" s="56" t="str">
        <f>IF($AG234="","",IF($AG234&lt;=1200,IF(INDEX(对接源_01水果!$M$4:$M$1203,$AG234)=0,"",INDEX(对接源_01水果!$M$4:$M$1203,$AG234)),IF(INDEX(对接源_02物料!$M$4:$M$1203,$AG234-1200)=0,"",INDEX(对接源_02物料!$M$4:$M$1203,$AG234-1200))))</f>
        <v/>
      </c>
      <c r="AG234" s="2" t="str">
        <f>IFERROR(MATCH(23,_自动清单!$AE$4:$AE$2403,0),"")</f>
        <v/>
      </c>
    </row>
    <row r="235" ht="18" customHeight="1" spans="1:33">
      <c r="A235" s="87" t="str">
        <f>IF($AG235="","",IF($AG235&lt;=1200,IF(INDEX(对接源_01水果!$B$4:$B$1203,$AG235)=0,"",INDEX(对接源_01水果!$B$4:$B$1203,$AG235)),IF(INDEX(对接源_02物料!$B$4:$B$1203,$AG235-1200)=0,"",INDEX(对接源_02物料!$B$4:$B$1203,$AG235-1200))))</f>
        <v/>
      </c>
      <c r="B235" s="88" t="str">
        <f>IF($AG235="","",IF($AG235&lt;=1200,IF(INDEX(对接源_01水果!$E$4:$E$1203,$AG235)=0,"",INDEX(对接源_01水果!$E$4:$E$1203,$AG235)),IF(INDEX(对接源_02物料!$E$4:$E$1203,$AG235-1200)=0,"",INDEX(对接源_02物料!$E$4:$E$1203,$AG235-1200))))</f>
        <v/>
      </c>
      <c r="C235" s="88" t="str">
        <f>IF($AG235="","",IF($AG235&lt;=1200,IF(INDEX(对接源_01水果!$F$4:$F$1203,$AG235)=0,"",INDEX(对接源_01水果!$F$4:$F$1203,$AG235)),IF(INDEX(对接源_02物料!$F$4:$F$1203,$AG235-1200)=0,"",INDEX(对接源_02物料!$F$4:$F$1203,$AG235-1200))))</f>
        <v/>
      </c>
      <c r="D235" s="88" t="str">
        <f>IF($AG235="","",IF($AG235&lt;=1200,IF(INDEX(对接源_01水果!$G$4:$G$1203,$AG235)=0,"",INDEX(对接源_01水果!$G$4:$G$1203,$AG235)),IF(INDEX(对接源_02物料!$G$4:$G$1203,$AG235-1200)=0,"",INDEX(对接源_02物料!$G$4:$G$1203,$AG235-1200))))</f>
        <v/>
      </c>
      <c r="E235" s="89" t="str">
        <f>IF($AG235="","",IF($AG235&lt;=1200,IF(INDEX(对接源_01水果!$H$4:$H$1203,$AG235)=0,"",INDEX(对接源_01水果!$H$4:$H$1203,$AG235)),IF(INDEX(对接源_02物料!$H$4:$H$1203,$AG235-1200)=0,"",INDEX(对接源_02物料!$H$4:$H$1203,$AG235-1200))))</f>
        <v/>
      </c>
      <c r="F235" s="88" t="str">
        <f>IF($AG235="","",IF($AG235&lt;=1200,IF(INDEX(对接源_01水果!$I$4:$I$1203,$AG235)=0,"",INDEX(对接源_01水果!$I$4:$I$1203,$AG235)),IF(INDEX(对接源_02物料!$I$4:$I$1203,$AG235-1200)=0,"",INDEX(对接源_02物料!$I$4:$I$1203,$AG235-1200))))</f>
        <v/>
      </c>
      <c r="G235" s="90" t="str">
        <f>IF($AG235="","",IF($AG235&lt;=1200,IF(INDEX(对接源_01水果!$J$4:$J$1203,$AG235)=0,"",INDEX(对接源_01水果!$J$4:$J$1203,$AG235)),IF(INDEX(对接源_02物料!$J$4:$J$1203,$AG235-1200)=0,"",INDEX(对接源_02物料!$J$4:$J$1203,$AG235-1200))))</f>
        <v/>
      </c>
      <c r="H235" s="90" t="str">
        <f>IF($AG235="","",IF($AG235&lt;=1200,IF(INDEX(对接源_01水果!$K$4:$K$1203,$AG235)=0,"",INDEX(对接源_01水果!$K$4:$K$1203,$AG235)),IF(INDEX(对接源_02物料!$K$4:$K$1203,$AG235-1200)=0,"",INDEX(对接源_02物料!$K$4:$K$1203,$AG235-1200))))</f>
        <v/>
      </c>
      <c r="I235" s="88" t="str">
        <f>IF($AG235="","",IF($AG235&lt;=1200,IF(INDEX(对接源_01水果!$L$4:$L$1203,$AG235)=0,"",INDEX(对接源_01水果!$L$4:$L$1203,$AG235)),IF(INDEX(对接源_02物料!$L$4:$L$1203,$AG235-1200)=0,"",INDEX(对接源_02物料!$L$4:$L$1203,$AG235-1200))))</f>
        <v/>
      </c>
      <c r="J235" s="91" t="str">
        <f>IF($AG235="","",IF($AG235&lt;=1200,IF(INDEX(对接源_01水果!$M$4:$M$1203,$AG235)=0,"",INDEX(对接源_01水果!$M$4:$M$1203,$AG235)),IF(INDEX(对接源_02物料!$M$4:$M$1203,$AG235-1200)=0,"",INDEX(对接源_02物料!$M$4:$M$1203,$AG235-1200))))</f>
        <v/>
      </c>
      <c r="AG235" s="2" t="str">
        <f>IFERROR(MATCH(24,_自动清单!$AE$4:$AE$2403,0),"")</f>
        <v/>
      </c>
    </row>
    <row r="236" ht="18" customHeight="1" spans="1:33">
      <c r="A236" s="52" t="str">
        <f>IF($AG236="","",IF($AG236&lt;=1200,IF(INDEX(对接源_01水果!$B$4:$B$1203,$AG236)=0,"",INDEX(对接源_01水果!$B$4:$B$1203,$AG236)),IF(INDEX(对接源_02物料!$B$4:$B$1203,$AG236-1200)=0,"",INDEX(对接源_02物料!$B$4:$B$1203,$AG236-1200))))</f>
        <v/>
      </c>
      <c r="B236" s="53" t="str">
        <f>IF($AG236="","",IF($AG236&lt;=1200,IF(INDEX(对接源_01水果!$E$4:$E$1203,$AG236)=0,"",INDEX(对接源_01水果!$E$4:$E$1203,$AG236)),IF(INDEX(对接源_02物料!$E$4:$E$1203,$AG236-1200)=0,"",INDEX(对接源_02物料!$E$4:$E$1203,$AG236-1200))))</f>
        <v/>
      </c>
      <c r="C236" s="53" t="str">
        <f>IF($AG236="","",IF($AG236&lt;=1200,IF(INDEX(对接源_01水果!$F$4:$F$1203,$AG236)=0,"",INDEX(对接源_01水果!$F$4:$F$1203,$AG236)),IF(INDEX(对接源_02物料!$F$4:$F$1203,$AG236-1200)=0,"",INDEX(对接源_02物料!$F$4:$F$1203,$AG236-1200))))</f>
        <v/>
      </c>
      <c r="D236" s="53" t="str">
        <f>IF($AG236="","",IF($AG236&lt;=1200,IF(INDEX(对接源_01水果!$G$4:$G$1203,$AG236)=0,"",INDEX(对接源_01水果!$G$4:$G$1203,$AG236)),IF(INDEX(对接源_02物料!$G$4:$G$1203,$AG236-1200)=0,"",INDEX(对接源_02物料!$G$4:$G$1203,$AG236-1200))))</f>
        <v/>
      </c>
      <c r="E236" s="54" t="str">
        <f>IF($AG236="","",IF($AG236&lt;=1200,IF(INDEX(对接源_01水果!$H$4:$H$1203,$AG236)=0,"",INDEX(对接源_01水果!$H$4:$H$1203,$AG236)),IF(INDEX(对接源_02物料!$H$4:$H$1203,$AG236-1200)=0,"",INDEX(对接源_02物料!$H$4:$H$1203,$AG236-1200))))</f>
        <v/>
      </c>
      <c r="F236" s="53" t="str">
        <f>IF($AG236="","",IF($AG236&lt;=1200,IF(INDEX(对接源_01水果!$I$4:$I$1203,$AG236)=0,"",INDEX(对接源_01水果!$I$4:$I$1203,$AG236)),IF(INDEX(对接源_02物料!$I$4:$I$1203,$AG236-1200)=0,"",INDEX(对接源_02物料!$I$4:$I$1203,$AG236-1200))))</f>
        <v/>
      </c>
      <c r="G236" s="55" t="str">
        <f>IF($AG236="","",IF($AG236&lt;=1200,IF(INDEX(对接源_01水果!$J$4:$J$1203,$AG236)=0,"",INDEX(对接源_01水果!$J$4:$J$1203,$AG236)),IF(INDEX(对接源_02物料!$J$4:$J$1203,$AG236-1200)=0,"",INDEX(对接源_02物料!$J$4:$J$1203,$AG236-1200))))</f>
        <v/>
      </c>
      <c r="H236" s="55" t="str">
        <f>IF($AG236="","",IF($AG236&lt;=1200,IF(INDEX(对接源_01水果!$K$4:$K$1203,$AG236)=0,"",INDEX(对接源_01水果!$K$4:$K$1203,$AG236)),IF(INDEX(对接源_02物料!$K$4:$K$1203,$AG236-1200)=0,"",INDEX(对接源_02物料!$K$4:$K$1203,$AG236-1200))))</f>
        <v/>
      </c>
      <c r="I236" s="53" t="str">
        <f>IF($AG236="","",IF($AG236&lt;=1200,IF(INDEX(对接源_01水果!$L$4:$L$1203,$AG236)=0,"",INDEX(对接源_01水果!$L$4:$L$1203,$AG236)),IF(INDEX(对接源_02物料!$L$4:$L$1203,$AG236-1200)=0,"",INDEX(对接源_02物料!$L$4:$L$1203,$AG236-1200))))</f>
        <v/>
      </c>
      <c r="J236" s="56" t="str">
        <f>IF($AG236="","",IF($AG236&lt;=1200,IF(INDEX(对接源_01水果!$M$4:$M$1203,$AG236)=0,"",INDEX(对接源_01水果!$M$4:$M$1203,$AG236)),IF(INDEX(对接源_02物料!$M$4:$M$1203,$AG236-1200)=0,"",INDEX(对接源_02物料!$M$4:$M$1203,$AG236-1200))))</f>
        <v/>
      </c>
      <c r="AG236" s="2" t="str">
        <f>IFERROR(MATCH(25,_自动清单!$AE$4:$AE$2403,0),"")</f>
        <v/>
      </c>
    </row>
    <row r="237" ht="18" customHeight="1" spans="1:33">
      <c r="A237" s="87" t="str">
        <f>IF($AG237="","",IF($AG237&lt;=1200,IF(INDEX(对接源_01水果!$B$4:$B$1203,$AG237)=0,"",INDEX(对接源_01水果!$B$4:$B$1203,$AG237)),IF(INDEX(对接源_02物料!$B$4:$B$1203,$AG237-1200)=0,"",INDEX(对接源_02物料!$B$4:$B$1203,$AG237-1200))))</f>
        <v/>
      </c>
      <c r="B237" s="88" t="str">
        <f>IF($AG237="","",IF($AG237&lt;=1200,IF(INDEX(对接源_01水果!$E$4:$E$1203,$AG237)=0,"",INDEX(对接源_01水果!$E$4:$E$1203,$AG237)),IF(INDEX(对接源_02物料!$E$4:$E$1203,$AG237-1200)=0,"",INDEX(对接源_02物料!$E$4:$E$1203,$AG237-1200))))</f>
        <v/>
      </c>
      <c r="C237" s="88" t="str">
        <f>IF($AG237="","",IF($AG237&lt;=1200,IF(INDEX(对接源_01水果!$F$4:$F$1203,$AG237)=0,"",INDEX(对接源_01水果!$F$4:$F$1203,$AG237)),IF(INDEX(对接源_02物料!$F$4:$F$1203,$AG237-1200)=0,"",INDEX(对接源_02物料!$F$4:$F$1203,$AG237-1200))))</f>
        <v/>
      </c>
      <c r="D237" s="88" t="str">
        <f>IF($AG237="","",IF($AG237&lt;=1200,IF(INDEX(对接源_01水果!$G$4:$G$1203,$AG237)=0,"",INDEX(对接源_01水果!$G$4:$G$1203,$AG237)),IF(INDEX(对接源_02物料!$G$4:$G$1203,$AG237-1200)=0,"",INDEX(对接源_02物料!$G$4:$G$1203,$AG237-1200))))</f>
        <v/>
      </c>
      <c r="E237" s="89" t="str">
        <f>IF($AG237="","",IF($AG237&lt;=1200,IF(INDEX(对接源_01水果!$H$4:$H$1203,$AG237)=0,"",INDEX(对接源_01水果!$H$4:$H$1203,$AG237)),IF(INDEX(对接源_02物料!$H$4:$H$1203,$AG237-1200)=0,"",INDEX(对接源_02物料!$H$4:$H$1203,$AG237-1200))))</f>
        <v/>
      </c>
      <c r="F237" s="88" t="str">
        <f>IF($AG237="","",IF($AG237&lt;=1200,IF(INDEX(对接源_01水果!$I$4:$I$1203,$AG237)=0,"",INDEX(对接源_01水果!$I$4:$I$1203,$AG237)),IF(INDEX(对接源_02物料!$I$4:$I$1203,$AG237-1200)=0,"",INDEX(对接源_02物料!$I$4:$I$1203,$AG237-1200))))</f>
        <v/>
      </c>
      <c r="G237" s="90" t="str">
        <f>IF($AG237="","",IF($AG237&lt;=1200,IF(INDEX(对接源_01水果!$J$4:$J$1203,$AG237)=0,"",INDEX(对接源_01水果!$J$4:$J$1203,$AG237)),IF(INDEX(对接源_02物料!$J$4:$J$1203,$AG237-1200)=0,"",INDEX(对接源_02物料!$J$4:$J$1203,$AG237-1200))))</f>
        <v/>
      </c>
      <c r="H237" s="90" t="str">
        <f>IF($AG237="","",IF($AG237&lt;=1200,IF(INDEX(对接源_01水果!$K$4:$K$1203,$AG237)=0,"",INDEX(对接源_01水果!$K$4:$K$1203,$AG237)),IF(INDEX(对接源_02物料!$K$4:$K$1203,$AG237-1200)=0,"",INDEX(对接源_02物料!$K$4:$K$1203,$AG237-1200))))</f>
        <v/>
      </c>
      <c r="I237" s="88" t="str">
        <f>IF($AG237="","",IF($AG237&lt;=1200,IF(INDEX(对接源_01水果!$L$4:$L$1203,$AG237)=0,"",INDEX(对接源_01水果!$L$4:$L$1203,$AG237)),IF(INDEX(对接源_02物料!$L$4:$L$1203,$AG237-1200)=0,"",INDEX(对接源_02物料!$L$4:$L$1203,$AG237-1200))))</f>
        <v/>
      </c>
      <c r="J237" s="91" t="str">
        <f>IF($AG237="","",IF($AG237&lt;=1200,IF(INDEX(对接源_01水果!$M$4:$M$1203,$AG237)=0,"",INDEX(对接源_01水果!$M$4:$M$1203,$AG237)),IF(INDEX(对接源_02物料!$M$4:$M$1203,$AG237-1200)=0,"",INDEX(对接源_02物料!$M$4:$M$1203,$AG237-1200))))</f>
        <v/>
      </c>
      <c r="AG237" s="2" t="str">
        <f>IFERROR(MATCH(26,_自动清单!$AE$4:$AE$2403,0),"")</f>
        <v/>
      </c>
    </row>
    <row r="238" ht="18" customHeight="1" spans="1:33">
      <c r="A238" s="52" t="str">
        <f>IF($AG238="","",IF($AG238&lt;=1200,IF(INDEX(对接源_01水果!$B$4:$B$1203,$AG238)=0,"",INDEX(对接源_01水果!$B$4:$B$1203,$AG238)),IF(INDEX(对接源_02物料!$B$4:$B$1203,$AG238-1200)=0,"",INDEX(对接源_02物料!$B$4:$B$1203,$AG238-1200))))</f>
        <v/>
      </c>
      <c r="B238" s="53" t="str">
        <f>IF($AG238="","",IF($AG238&lt;=1200,IF(INDEX(对接源_01水果!$E$4:$E$1203,$AG238)=0,"",INDEX(对接源_01水果!$E$4:$E$1203,$AG238)),IF(INDEX(对接源_02物料!$E$4:$E$1203,$AG238-1200)=0,"",INDEX(对接源_02物料!$E$4:$E$1203,$AG238-1200))))</f>
        <v/>
      </c>
      <c r="C238" s="53" t="str">
        <f>IF($AG238="","",IF($AG238&lt;=1200,IF(INDEX(对接源_01水果!$F$4:$F$1203,$AG238)=0,"",INDEX(对接源_01水果!$F$4:$F$1203,$AG238)),IF(INDEX(对接源_02物料!$F$4:$F$1203,$AG238-1200)=0,"",INDEX(对接源_02物料!$F$4:$F$1203,$AG238-1200))))</f>
        <v/>
      </c>
      <c r="D238" s="53" t="str">
        <f>IF($AG238="","",IF($AG238&lt;=1200,IF(INDEX(对接源_01水果!$G$4:$G$1203,$AG238)=0,"",INDEX(对接源_01水果!$G$4:$G$1203,$AG238)),IF(INDEX(对接源_02物料!$G$4:$G$1203,$AG238-1200)=0,"",INDEX(对接源_02物料!$G$4:$G$1203,$AG238-1200))))</f>
        <v/>
      </c>
      <c r="E238" s="54" t="str">
        <f>IF($AG238="","",IF($AG238&lt;=1200,IF(INDEX(对接源_01水果!$H$4:$H$1203,$AG238)=0,"",INDEX(对接源_01水果!$H$4:$H$1203,$AG238)),IF(INDEX(对接源_02物料!$H$4:$H$1203,$AG238-1200)=0,"",INDEX(对接源_02物料!$H$4:$H$1203,$AG238-1200))))</f>
        <v/>
      </c>
      <c r="F238" s="53" t="str">
        <f>IF($AG238="","",IF($AG238&lt;=1200,IF(INDEX(对接源_01水果!$I$4:$I$1203,$AG238)=0,"",INDEX(对接源_01水果!$I$4:$I$1203,$AG238)),IF(INDEX(对接源_02物料!$I$4:$I$1203,$AG238-1200)=0,"",INDEX(对接源_02物料!$I$4:$I$1203,$AG238-1200))))</f>
        <v/>
      </c>
      <c r="G238" s="55" t="str">
        <f>IF($AG238="","",IF($AG238&lt;=1200,IF(INDEX(对接源_01水果!$J$4:$J$1203,$AG238)=0,"",INDEX(对接源_01水果!$J$4:$J$1203,$AG238)),IF(INDEX(对接源_02物料!$J$4:$J$1203,$AG238-1200)=0,"",INDEX(对接源_02物料!$J$4:$J$1203,$AG238-1200))))</f>
        <v/>
      </c>
      <c r="H238" s="55" t="str">
        <f>IF($AG238="","",IF($AG238&lt;=1200,IF(INDEX(对接源_01水果!$K$4:$K$1203,$AG238)=0,"",INDEX(对接源_01水果!$K$4:$K$1203,$AG238)),IF(INDEX(对接源_02物料!$K$4:$K$1203,$AG238-1200)=0,"",INDEX(对接源_02物料!$K$4:$K$1203,$AG238-1200))))</f>
        <v/>
      </c>
      <c r="I238" s="53" t="str">
        <f>IF($AG238="","",IF($AG238&lt;=1200,IF(INDEX(对接源_01水果!$L$4:$L$1203,$AG238)=0,"",INDEX(对接源_01水果!$L$4:$L$1203,$AG238)),IF(INDEX(对接源_02物料!$L$4:$L$1203,$AG238-1200)=0,"",INDEX(对接源_02物料!$L$4:$L$1203,$AG238-1200))))</f>
        <v/>
      </c>
      <c r="J238" s="56" t="str">
        <f>IF($AG238="","",IF($AG238&lt;=1200,IF(INDEX(对接源_01水果!$M$4:$M$1203,$AG238)=0,"",INDEX(对接源_01水果!$M$4:$M$1203,$AG238)),IF(INDEX(对接源_02物料!$M$4:$M$1203,$AG238-1200)=0,"",INDEX(对接源_02物料!$M$4:$M$1203,$AG238-1200))))</f>
        <v/>
      </c>
      <c r="AG238" s="2" t="str">
        <f>IFERROR(MATCH(27,_自动清单!$AE$4:$AE$2403,0),"")</f>
        <v/>
      </c>
    </row>
    <row r="239" ht="18" customHeight="1" spans="1:33">
      <c r="A239" s="87" t="str">
        <f>IF($AG239="","",IF($AG239&lt;=1200,IF(INDEX(对接源_01水果!$B$4:$B$1203,$AG239)=0,"",INDEX(对接源_01水果!$B$4:$B$1203,$AG239)),IF(INDEX(对接源_02物料!$B$4:$B$1203,$AG239-1200)=0,"",INDEX(对接源_02物料!$B$4:$B$1203,$AG239-1200))))</f>
        <v/>
      </c>
      <c r="B239" s="88" t="str">
        <f>IF($AG239="","",IF($AG239&lt;=1200,IF(INDEX(对接源_01水果!$E$4:$E$1203,$AG239)=0,"",INDEX(对接源_01水果!$E$4:$E$1203,$AG239)),IF(INDEX(对接源_02物料!$E$4:$E$1203,$AG239-1200)=0,"",INDEX(对接源_02物料!$E$4:$E$1203,$AG239-1200))))</f>
        <v/>
      </c>
      <c r="C239" s="88" t="str">
        <f>IF($AG239="","",IF($AG239&lt;=1200,IF(INDEX(对接源_01水果!$F$4:$F$1203,$AG239)=0,"",INDEX(对接源_01水果!$F$4:$F$1203,$AG239)),IF(INDEX(对接源_02物料!$F$4:$F$1203,$AG239-1200)=0,"",INDEX(对接源_02物料!$F$4:$F$1203,$AG239-1200))))</f>
        <v/>
      </c>
      <c r="D239" s="88" t="str">
        <f>IF($AG239="","",IF($AG239&lt;=1200,IF(INDEX(对接源_01水果!$G$4:$G$1203,$AG239)=0,"",INDEX(对接源_01水果!$G$4:$G$1203,$AG239)),IF(INDEX(对接源_02物料!$G$4:$G$1203,$AG239-1200)=0,"",INDEX(对接源_02物料!$G$4:$G$1203,$AG239-1200))))</f>
        <v/>
      </c>
      <c r="E239" s="89" t="str">
        <f>IF($AG239="","",IF($AG239&lt;=1200,IF(INDEX(对接源_01水果!$H$4:$H$1203,$AG239)=0,"",INDEX(对接源_01水果!$H$4:$H$1203,$AG239)),IF(INDEX(对接源_02物料!$H$4:$H$1203,$AG239-1200)=0,"",INDEX(对接源_02物料!$H$4:$H$1203,$AG239-1200))))</f>
        <v/>
      </c>
      <c r="F239" s="88" t="str">
        <f>IF($AG239="","",IF($AG239&lt;=1200,IF(INDEX(对接源_01水果!$I$4:$I$1203,$AG239)=0,"",INDEX(对接源_01水果!$I$4:$I$1203,$AG239)),IF(INDEX(对接源_02物料!$I$4:$I$1203,$AG239-1200)=0,"",INDEX(对接源_02物料!$I$4:$I$1203,$AG239-1200))))</f>
        <v/>
      </c>
      <c r="G239" s="90" t="str">
        <f>IF($AG239="","",IF($AG239&lt;=1200,IF(INDEX(对接源_01水果!$J$4:$J$1203,$AG239)=0,"",INDEX(对接源_01水果!$J$4:$J$1203,$AG239)),IF(INDEX(对接源_02物料!$J$4:$J$1203,$AG239-1200)=0,"",INDEX(对接源_02物料!$J$4:$J$1203,$AG239-1200))))</f>
        <v/>
      </c>
      <c r="H239" s="90" t="str">
        <f>IF($AG239="","",IF($AG239&lt;=1200,IF(INDEX(对接源_01水果!$K$4:$K$1203,$AG239)=0,"",INDEX(对接源_01水果!$K$4:$K$1203,$AG239)),IF(INDEX(对接源_02物料!$K$4:$K$1203,$AG239-1200)=0,"",INDEX(对接源_02物料!$K$4:$K$1203,$AG239-1200))))</f>
        <v/>
      </c>
      <c r="I239" s="88" t="str">
        <f>IF($AG239="","",IF($AG239&lt;=1200,IF(INDEX(对接源_01水果!$L$4:$L$1203,$AG239)=0,"",INDEX(对接源_01水果!$L$4:$L$1203,$AG239)),IF(INDEX(对接源_02物料!$L$4:$L$1203,$AG239-1200)=0,"",INDEX(对接源_02物料!$L$4:$L$1203,$AG239-1200))))</f>
        <v/>
      </c>
      <c r="J239" s="91" t="str">
        <f>IF($AG239="","",IF($AG239&lt;=1200,IF(INDEX(对接源_01水果!$M$4:$M$1203,$AG239)=0,"",INDEX(对接源_01水果!$M$4:$M$1203,$AG239)),IF(INDEX(对接源_02物料!$M$4:$M$1203,$AG239-1200)=0,"",INDEX(对接源_02物料!$M$4:$M$1203,$AG239-1200))))</f>
        <v/>
      </c>
      <c r="AG239" s="2" t="str">
        <f>IFERROR(MATCH(28,_自动清单!$AE$4:$AE$2403,0),"")</f>
        <v/>
      </c>
    </row>
    <row r="240" ht="18" customHeight="1" spans="1:33">
      <c r="A240" s="52" t="str">
        <f>IF($AG240="","",IF($AG240&lt;=1200,IF(INDEX(对接源_01水果!$B$4:$B$1203,$AG240)=0,"",INDEX(对接源_01水果!$B$4:$B$1203,$AG240)),IF(INDEX(对接源_02物料!$B$4:$B$1203,$AG240-1200)=0,"",INDEX(对接源_02物料!$B$4:$B$1203,$AG240-1200))))</f>
        <v/>
      </c>
      <c r="B240" s="53" t="str">
        <f>IF($AG240="","",IF($AG240&lt;=1200,IF(INDEX(对接源_01水果!$E$4:$E$1203,$AG240)=0,"",INDEX(对接源_01水果!$E$4:$E$1203,$AG240)),IF(INDEX(对接源_02物料!$E$4:$E$1203,$AG240-1200)=0,"",INDEX(对接源_02物料!$E$4:$E$1203,$AG240-1200))))</f>
        <v/>
      </c>
      <c r="C240" s="53" t="str">
        <f>IF($AG240="","",IF($AG240&lt;=1200,IF(INDEX(对接源_01水果!$F$4:$F$1203,$AG240)=0,"",INDEX(对接源_01水果!$F$4:$F$1203,$AG240)),IF(INDEX(对接源_02物料!$F$4:$F$1203,$AG240-1200)=0,"",INDEX(对接源_02物料!$F$4:$F$1203,$AG240-1200))))</f>
        <v/>
      </c>
      <c r="D240" s="53" t="str">
        <f>IF($AG240="","",IF($AG240&lt;=1200,IF(INDEX(对接源_01水果!$G$4:$G$1203,$AG240)=0,"",INDEX(对接源_01水果!$G$4:$G$1203,$AG240)),IF(INDEX(对接源_02物料!$G$4:$G$1203,$AG240-1200)=0,"",INDEX(对接源_02物料!$G$4:$G$1203,$AG240-1200))))</f>
        <v/>
      </c>
      <c r="E240" s="54" t="str">
        <f>IF($AG240="","",IF($AG240&lt;=1200,IF(INDEX(对接源_01水果!$H$4:$H$1203,$AG240)=0,"",INDEX(对接源_01水果!$H$4:$H$1203,$AG240)),IF(INDEX(对接源_02物料!$H$4:$H$1203,$AG240-1200)=0,"",INDEX(对接源_02物料!$H$4:$H$1203,$AG240-1200))))</f>
        <v/>
      </c>
      <c r="F240" s="53" t="str">
        <f>IF($AG240="","",IF($AG240&lt;=1200,IF(INDEX(对接源_01水果!$I$4:$I$1203,$AG240)=0,"",INDEX(对接源_01水果!$I$4:$I$1203,$AG240)),IF(INDEX(对接源_02物料!$I$4:$I$1203,$AG240-1200)=0,"",INDEX(对接源_02物料!$I$4:$I$1203,$AG240-1200))))</f>
        <v/>
      </c>
      <c r="G240" s="55" t="str">
        <f>IF($AG240="","",IF($AG240&lt;=1200,IF(INDEX(对接源_01水果!$J$4:$J$1203,$AG240)=0,"",INDEX(对接源_01水果!$J$4:$J$1203,$AG240)),IF(INDEX(对接源_02物料!$J$4:$J$1203,$AG240-1200)=0,"",INDEX(对接源_02物料!$J$4:$J$1203,$AG240-1200))))</f>
        <v/>
      </c>
      <c r="H240" s="55" t="str">
        <f>IF($AG240="","",IF($AG240&lt;=1200,IF(INDEX(对接源_01水果!$K$4:$K$1203,$AG240)=0,"",INDEX(对接源_01水果!$K$4:$K$1203,$AG240)),IF(INDEX(对接源_02物料!$K$4:$K$1203,$AG240-1200)=0,"",INDEX(对接源_02物料!$K$4:$K$1203,$AG240-1200))))</f>
        <v/>
      </c>
      <c r="I240" s="53" t="str">
        <f>IF($AG240="","",IF($AG240&lt;=1200,IF(INDEX(对接源_01水果!$L$4:$L$1203,$AG240)=0,"",INDEX(对接源_01水果!$L$4:$L$1203,$AG240)),IF(INDEX(对接源_02物料!$L$4:$L$1203,$AG240-1200)=0,"",INDEX(对接源_02物料!$L$4:$L$1203,$AG240-1200))))</f>
        <v/>
      </c>
      <c r="J240" s="56" t="str">
        <f>IF($AG240="","",IF($AG240&lt;=1200,IF(INDEX(对接源_01水果!$M$4:$M$1203,$AG240)=0,"",INDEX(对接源_01水果!$M$4:$M$1203,$AG240)),IF(INDEX(对接源_02物料!$M$4:$M$1203,$AG240-1200)=0,"",INDEX(对接源_02物料!$M$4:$M$1203,$AG240-1200))))</f>
        <v/>
      </c>
      <c r="AG240" s="2" t="str">
        <f>IFERROR(MATCH(29,_自动清单!$AE$4:$AE$2403,0),"")</f>
        <v/>
      </c>
    </row>
    <row r="241" ht="18" customHeight="1" spans="1:33">
      <c r="A241" s="87" t="str">
        <f>IF($AG241="","",IF($AG241&lt;=1200,IF(INDEX(对接源_01水果!$B$4:$B$1203,$AG241)=0,"",INDEX(对接源_01水果!$B$4:$B$1203,$AG241)),IF(INDEX(对接源_02物料!$B$4:$B$1203,$AG241-1200)=0,"",INDEX(对接源_02物料!$B$4:$B$1203,$AG241-1200))))</f>
        <v/>
      </c>
      <c r="B241" s="88" t="str">
        <f>IF($AG241="","",IF($AG241&lt;=1200,IF(INDEX(对接源_01水果!$E$4:$E$1203,$AG241)=0,"",INDEX(对接源_01水果!$E$4:$E$1203,$AG241)),IF(INDEX(对接源_02物料!$E$4:$E$1203,$AG241-1200)=0,"",INDEX(对接源_02物料!$E$4:$E$1203,$AG241-1200))))</f>
        <v/>
      </c>
      <c r="C241" s="88" t="str">
        <f>IF($AG241="","",IF($AG241&lt;=1200,IF(INDEX(对接源_01水果!$F$4:$F$1203,$AG241)=0,"",INDEX(对接源_01水果!$F$4:$F$1203,$AG241)),IF(INDEX(对接源_02物料!$F$4:$F$1203,$AG241-1200)=0,"",INDEX(对接源_02物料!$F$4:$F$1203,$AG241-1200))))</f>
        <v/>
      </c>
      <c r="D241" s="88" t="str">
        <f>IF($AG241="","",IF($AG241&lt;=1200,IF(INDEX(对接源_01水果!$G$4:$G$1203,$AG241)=0,"",INDEX(对接源_01水果!$G$4:$G$1203,$AG241)),IF(INDEX(对接源_02物料!$G$4:$G$1203,$AG241-1200)=0,"",INDEX(对接源_02物料!$G$4:$G$1203,$AG241-1200))))</f>
        <v/>
      </c>
      <c r="E241" s="89" t="str">
        <f>IF($AG241="","",IF($AG241&lt;=1200,IF(INDEX(对接源_01水果!$H$4:$H$1203,$AG241)=0,"",INDEX(对接源_01水果!$H$4:$H$1203,$AG241)),IF(INDEX(对接源_02物料!$H$4:$H$1203,$AG241-1200)=0,"",INDEX(对接源_02物料!$H$4:$H$1203,$AG241-1200))))</f>
        <v/>
      </c>
      <c r="F241" s="88" t="str">
        <f>IF($AG241="","",IF($AG241&lt;=1200,IF(INDEX(对接源_01水果!$I$4:$I$1203,$AG241)=0,"",INDEX(对接源_01水果!$I$4:$I$1203,$AG241)),IF(INDEX(对接源_02物料!$I$4:$I$1203,$AG241-1200)=0,"",INDEX(对接源_02物料!$I$4:$I$1203,$AG241-1200))))</f>
        <v/>
      </c>
      <c r="G241" s="90" t="str">
        <f>IF($AG241="","",IF($AG241&lt;=1200,IF(INDEX(对接源_01水果!$J$4:$J$1203,$AG241)=0,"",INDEX(对接源_01水果!$J$4:$J$1203,$AG241)),IF(INDEX(对接源_02物料!$J$4:$J$1203,$AG241-1200)=0,"",INDEX(对接源_02物料!$J$4:$J$1203,$AG241-1200))))</f>
        <v/>
      </c>
      <c r="H241" s="90" t="str">
        <f>IF($AG241="","",IF($AG241&lt;=1200,IF(INDEX(对接源_01水果!$K$4:$K$1203,$AG241)=0,"",INDEX(对接源_01水果!$K$4:$K$1203,$AG241)),IF(INDEX(对接源_02物料!$K$4:$K$1203,$AG241-1200)=0,"",INDEX(对接源_02物料!$K$4:$K$1203,$AG241-1200))))</f>
        <v/>
      </c>
      <c r="I241" s="88" t="str">
        <f>IF($AG241="","",IF($AG241&lt;=1200,IF(INDEX(对接源_01水果!$L$4:$L$1203,$AG241)=0,"",INDEX(对接源_01水果!$L$4:$L$1203,$AG241)),IF(INDEX(对接源_02物料!$L$4:$L$1203,$AG241-1200)=0,"",INDEX(对接源_02物料!$L$4:$L$1203,$AG241-1200))))</f>
        <v/>
      </c>
      <c r="J241" s="91" t="str">
        <f>IF($AG241="","",IF($AG241&lt;=1200,IF(INDEX(对接源_01水果!$M$4:$M$1203,$AG241)=0,"",INDEX(对接源_01水果!$M$4:$M$1203,$AG241)),IF(INDEX(对接源_02物料!$M$4:$M$1203,$AG241-1200)=0,"",INDEX(对接源_02物料!$M$4:$M$1203,$AG241-1200))))</f>
        <v/>
      </c>
      <c r="AG241" s="2" t="str">
        <f>IFERROR(MATCH(30,_自动清单!$AE$4:$AE$2403,0),"")</f>
        <v/>
      </c>
    </row>
    <row r="242" ht="18" customHeight="1" spans="1:33">
      <c r="A242" s="52" t="str">
        <f>IF($AG242="","",IF($AG242&lt;=1200,IF(INDEX(对接源_01水果!$B$4:$B$1203,$AG242)=0,"",INDEX(对接源_01水果!$B$4:$B$1203,$AG242)),IF(INDEX(对接源_02物料!$B$4:$B$1203,$AG242-1200)=0,"",INDEX(对接源_02物料!$B$4:$B$1203,$AG242-1200))))</f>
        <v/>
      </c>
      <c r="B242" s="53" t="str">
        <f>IF($AG242="","",IF($AG242&lt;=1200,IF(INDEX(对接源_01水果!$E$4:$E$1203,$AG242)=0,"",INDEX(对接源_01水果!$E$4:$E$1203,$AG242)),IF(INDEX(对接源_02物料!$E$4:$E$1203,$AG242-1200)=0,"",INDEX(对接源_02物料!$E$4:$E$1203,$AG242-1200))))</f>
        <v/>
      </c>
      <c r="C242" s="53" t="str">
        <f>IF($AG242="","",IF($AG242&lt;=1200,IF(INDEX(对接源_01水果!$F$4:$F$1203,$AG242)=0,"",INDEX(对接源_01水果!$F$4:$F$1203,$AG242)),IF(INDEX(对接源_02物料!$F$4:$F$1203,$AG242-1200)=0,"",INDEX(对接源_02物料!$F$4:$F$1203,$AG242-1200))))</f>
        <v/>
      </c>
      <c r="D242" s="53" t="str">
        <f>IF($AG242="","",IF($AG242&lt;=1200,IF(INDEX(对接源_01水果!$G$4:$G$1203,$AG242)=0,"",INDEX(对接源_01水果!$G$4:$G$1203,$AG242)),IF(INDEX(对接源_02物料!$G$4:$G$1203,$AG242-1200)=0,"",INDEX(对接源_02物料!$G$4:$G$1203,$AG242-1200))))</f>
        <v/>
      </c>
      <c r="E242" s="54" t="str">
        <f>IF($AG242="","",IF($AG242&lt;=1200,IF(INDEX(对接源_01水果!$H$4:$H$1203,$AG242)=0,"",INDEX(对接源_01水果!$H$4:$H$1203,$AG242)),IF(INDEX(对接源_02物料!$H$4:$H$1203,$AG242-1200)=0,"",INDEX(对接源_02物料!$H$4:$H$1203,$AG242-1200))))</f>
        <v/>
      </c>
      <c r="F242" s="53" t="str">
        <f>IF($AG242="","",IF($AG242&lt;=1200,IF(INDEX(对接源_01水果!$I$4:$I$1203,$AG242)=0,"",INDEX(对接源_01水果!$I$4:$I$1203,$AG242)),IF(INDEX(对接源_02物料!$I$4:$I$1203,$AG242-1200)=0,"",INDEX(对接源_02物料!$I$4:$I$1203,$AG242-1200))))</f>
        <v/>
      </c>
      <c r="G242" s="55" t="str">
        <f>IF($AG242="","",IF($AG242&lt;=1200,IF(INDEX(对接源_01水果!$J$4:$J$1203,$AG242)=0,"",INDEX(对接源_01水果!$J$4:$J$1203,$AG242)),IF(INDEX(对接源_02物料!$J$4:$J$1203,$AG242-1200)=0,"",INDEX(对接源_02物料!$J$4:$J$1203,$AG242-1200))))</f>
        <v/>
      </c>
      <c r="H242" s="55" t="str">
        <f>IF($AG242="","",IF($AG242&lt;=1200,IF(INDEX(对接源_01水果!$K$4:$K$1203,$AG242)=0,"",INDEX(对接源_01水果!$K$4:$K$1203,$AG242)),IF(INDEX(对接源_02物料!$K$4:$K$1203,$AG242-1200)=0,"",INDEX(对接源_02物料!$K$4:$K$1203,$AG242-1200))))</f>
        <v/>
      </c>
      <c r="I242" s="53" t="str">
        <f>IF($AG242="","",IF($AG242&lt;=1200,IF(INDEX(对接源_01水果!$L$4:$L$1203,$AG242)=0,"",INDEX(对接源_01水果!$L$4:$L$1203,$AG242)),IF(INDEX(对接源_02物料!$L$4:$L$1203,$AG242-1200)=0,"",INDEX(对接源_02物料!$L$4:$L$1203,$AG242-1200))))</f>
        <v/>
      </c>
      <c r="J242" s="56" t="str">
        <f>IF($AG242="","",IF($AG242&lt;=1200,IF(INDEX(对接源_01水果!$M$4:$M$1203,$AG242)=0,"",INDEX(对接源_01水果!$M$4:$M$1203,$AG242)),IF(INDEX(对接源_02物料!$M$4:$M$1203,$AG242-1200)=0,"",INDEX(对接源_02物料!$M$4:$M$1203,$AG242-1200))))</f>
        <v/>
      </c>
      <c r="AG242" s="2" t="str">
        <f>IFERROR(MATCH(31,_自动清单!$AE$4:$AE$2403,0),"")</f>
        <v/>
      </c>
    </row>
    <row r="243" ht="18" customHeight="1" spans="1:33">
      <c r="A243" s="87" t="str">
        <f>IF($AG243="","",IF($AG243&lt;=1200,IF(INDEX(对接源_01水果!$B$4:$B$1203,$AG243)=0,"",INDEX(对接源_01水果!$B$4:$B$1203,$AG243)),IF(INDEX(对接源_02物料!$B$4:$B$1203,$AG243-1200)=0,"",INDEX(对接源_02物料!$B$4:$B$1203,$AG243-1200))))</f>
        <v/>
      </c>
      <c r="B243" s="88" t="str">
        <f>IF($AG243="","",IF($AG243&lt;=1200,IF(INDEX(对接源_01水果!$E$4:$E$1203,$AG243)=0,"",INDEX(对接源_01水果!$E$4:$E$1203,$AG243)),IF(INDEX(对接源_02物料!$E$4:$E$1203,$AG243-1200)=0,"",INDEX(对接源_02物料!$E$4:$E$1203,$AG243-1200))))</f>
        <v/>
      </c>
      <c r="C243" s="88" t="str">
        <f>IF($AG243="","",IF($AG243&lt;=1200,IF(INDEX(对接源_01水果!$F$4:$F$1203,$AG243)=0,"",INDEX(对接源_01水果!$F$4:$F$1203,$AG243)),IF(INDEX(对接源_02物料!$F$4:$F$1203,$AG243-1200)=0,"",INDEX(对接源_02物料!$F$4:$F$1203,$AG243-1200))))</f>
        <v/>
      </c>
      <c r="D243" s="88" t="str">
        <f>IF($AG243="","",IF($AG243&lt;=1200,IF(INDEX(对接源_01水果!$G$4:$G$1203,$AG243)=0,"",INDEX(对接源_01水果!$G$4:$G$1203,$AG243)),IF(INDEX(对接源_02物料!$G$4:$G$1203,$AG243-1200)=0,"",INDEX(对接源_02物料!$G$4:$G$1203,$AG243-1200))))</f>
        <v/>
      </c>
      <c r="E243" s="89" t="str">
        <f>IF($AG243="","",IF($AG243&lt;=1200,IF(INDEX(对接源_01水果!$H$4:$H$1203,$AG243)=0,"",INDEX(对接源_01水果!$H$4:$H$1203,$AG243)),IF(INDEX(对接源_02物料!$H$4:$H$1203,$AG243-1200)=0,"",INDEX(对接源_02物料!$H$4:$H$1203,$AG243-1200))))</f>
        <v/>
      </c>
      <c r="F243" s="88" t="str">
        <f>IF($AG243="","",IF($AG243&lt;=1200,IF(INDEX(对接源_01水果!$I$4:$I$1203,$AG243)=0,"",INDEX(对接源_01水果!$I$4:$I$1203,$AG243)),IF(INDEX(对接源_02物料!$I$4:$I$1203,$AG243-1200)=0,"",INDEX(对接源_02物料!$I$4:$I$1203,$AG243-1200))))</f>
        <v/>
      </c>
      <c r="G243" s="90" t="str">
        <f>IF($AG243="","",IF($AG243&lt;=1200,IF(INDEX(对接源_01水果!$J$4:$J$1203,$AG243)=0,"",INDEX(对接源_01水果!$J$4:$J$1203,$AG243)),IF(INDEX(对接源_02物料!$J$4:$J$1203,$AG243-1200)=0,"",INDEX(对接源_02物料!$J$4:$J$1203,$AG243-1200))))</f>
        <v/>
      </c>
      <c r="H243" s="90" t="str">
        <f>IF($AG243="","",IF($AG243&lt;=1200,IF(INDEX(对接源_01水果!$K$4:$K$1203,$AG243)=0,"",INDEX(对接源_01水果!$K$4:$K$1203,$AG243)),IF(INDEX(对接源_02物料!$K$4:$K$1203,$AG243-1200)=0,"",INDEX(对接源_02物料!$K$4:$K$1203,$AG243-1200))))</f>
        <v/>
      </c>
      <c r="I243" s="88" t="str">
        <f>IF($AG243="","",IF($AG243&lt;=1200,IF(INDEX(对接源_01水果!$L$4:$L$1203,$AG243)=0,"",INDEX(对接源_01水果!$L$4:$L$1203,$AG243)),IF(INDEX(对接源_02物料!$L$4:$L$1203,$AG243-1200)=0,"",INDEX(对接源_02物料!$L$4:$L$1203,$AG243-1200))))</f>
        <v/>
      </c>
      <c r="J243" s="91" t="str">
        <f>IF($AG243="","",IF($AG243&lt;=1200,IF(INDEX(对接源_01水果!$M$4:$M$1203,$AG243)=0,"",INDEX(对接源_01水果!$M$4:$M$1203,$AG243)),IF(INDEX(对接源_02物料!$M$4:$M$1203,$AG243-1200)=0,"",INDEX(对接源_02物料!$M$4:$M$1203,$AG243-1200))))</f>
        <v/>
      </c>
      <c r="AG243" s="2" t="str">
        <f>IFERROR(MATCH(32,_自动清单!$AE$4:$AE$2403,0),"")</f>
        <v/>
      </c>
    </row>
    <row r="244" ht="18" customHeight="1" spans="1:33">
      <c r="A244" s="52" t="str">
        <f>IF($AG244="","",IF($AG244&lt;=1200,IF(INDEX(对接源_01水果!$B$4:$B$1203,$AG244)=0,"",INDEX(对接源_01水果!$B$4:$B$1203,$AG244)),IF(INDEX(对接源_02物料!$B$4:$B$1203,$AG244-1200)=0,"",INDEX(对接源_02物料!$B$4:$B$1203,$AG244-1200))))</f>
        <v/>
      </c>
      <c r="B244" s="53" t="str">
        <f>IF($AG244="","",IF($AG244&lt;=1200,IF(INDEX(对接源_01水果!$E$4:$E$1203,$AG244)=0,"",INDEX(对接源_01水果!$E$4:$E$1203,$AG244)),IF(INDEX(对接源_02物料!$E$4:$E$1203,$AG244-1200)=0,"",INDEX(对接源_02物料!$E$4:$E$1203,$AG244-1200))))</f>
        <v/>
      </c>
      <c r="C244" s="53" t="str">
        <f>IF($AG244="","",IF($AG244&lt;=1200,IF(INDEX(对接源_01水果!$F$4:$F$1203,$AG244)=0,"",INDEX(对接源_01水果!$F$4:$F$1203,$AG244)),IF(INDEX(对接源_02物料!$F$4:$F$1203,$AG244-1200)=0,"",INDEX(对接源_02物料!$F$4:$F$1203,$AG244-1200))))</f>
        <v/>
      </c>
      <c r="D244" s="53" t="str">
        <f>IF($AG244="","",IF($AG244&lt;=1200,IF(INDEX(对接源_01水果!$G$4:$G$1203,$AG244)=0,"",INDEX(对接源_01水果!$G$4:$G$1203,$AG244)),IF(INDEX(对接源_02物料!$G$4:$G$1203,$AG244-1200)=0,"",INDEX(对接源_02物料!$G$4:$G$1203,$AG244-1200))))</f>
        <v/>
      </c>
      <c r="E244" s="54" t="str">
        <f>IF($AG244="","",IF($AG244&lt;=1200,IF(INDEX(对接源_01水果!$H$4:$H$1203,$AG244)=0,"",INDEX(对接源_01水果!$H$4:$H$1203,$AG244)),IF(INDEX(对接源_02物料!$H$4:$H$1203,$AG244-1200)=0,"",INDEX(对接源_02物料!$H$4:$H$1203,$AG244-1200))))</f>
        <v/>
      </c>
      <c r="F244" s="53" t="str">
        <f>IF($AG244="","",IF($AG244&lt;=1200,IF(INDEX(对接源_01水果!$I$4:$I$1203,$AG244)=0,"",INDEX(对接源_01水果!$I$4:$I$1203,$AG244)),IF(INDEX(对接源_02物料!$I$4:$I$1203,$AG244-1200)=0,"",INDEX(对接源_02物料!$I$4:$I$1203,$AG244-1200))))</f>
        <v/>
      </c>
      <c r="G244" s="55" t="str">
        <f>IF($AG244="","",IF($AG244&lt;=1200,IF(INDEX(对接源_01水果!$J$4:$J$1203,$AG244)=0,"",INDEX(对接源_01水果!$J$4:$J$1203,$AG244)),IF(INDEX(对接源_02物料!$J$4:$J$1203,$AG244-1200)=0,"",INDEX(对接源_02物料!$J$4:$J$1203,$AG244-1200))))</f>
        <v/>
      </c>
      <c r="H244" s="55" t="str">
        <f>IF($AG244="","",IF($AG244&lt;=1200,IF(INDEX(对接源_01水果!$K$4:$K$1203,$AG244)=0,"",INDEX(对接源_01水果!$K$4:$K$1203,$AG244)),IF(INDEX(对接源_02物料!$K$4:$K$1203,$AG244-1200)=0,"",INDEX(对接源_02物料!$K$4:$K$1203,$AG244-1200))))</f>
        <v/>
      </c>
      <c r="I244" s="53" t="str">
        <f>IF($AG244="","",IF($AG244&lt;=1200,IF(INDEX(对接源_01水果!$L$4:$L$1203,$AG244)=0,"",INDEX(对接源_01水果!$L$4:$L$1203,$AG244)),IF(INDEX(对接源_02物料!$L$4:$L$1203,$AG244-1200)=0,"",INDEX(对接源_02物料!$L$4:$L$1203,$AG244-1200))))</f>
        <v/>
      </c>
      <c r="J244" s="56" t="str">
        <f>IF($AG244="","",IF($AG244&lt;=1200,IF(INDEX(对接源_01水果!$M$4:$M$1203,$AG244)=0,"",INDEX(对接源_01水果!$M$4:$M$1203,$AG244)),IF(INDEX(对接源_02物料!$M$4:$M$1203,$AG244-1200)=0,"",INDEX(对接源_02物料!$M$4:$M$1203,$AG244-1200))))</f>
        <v/>
      </c>
      <c r="AG244" s="2" t="str">
        <f>IFERROR(MATCH(33,_自动清单!$AE$4:$AE$2403,0),"")</f>
        <v/>
      </c>
    </row>
    <row r="245" ht="18" customHeight="1" spans="1:33">
      <c r="A245" s="87" t="str">
        <f>IF($AG245="","",IF($AG245&lt;=1200,IF(INDEX(对接源_01水果!$B$4:$B$1203,$AG245)=0,"",INDEX(对接源_01水果!$B$4:$B$1203,$AG245)),IF(INDEX(对接源_02物料!$B$4:$B$1203,$AG245-1200)=0,"",INDEX(对接源_02物料!$B$4:$B$1203,$AG245-1200))))</f>
        <v/>
      </c>
      <c r="B245" s="88" t="str">
        <f>IF($AG245="","",IF($AG245&lt;=1200,IF(INDEX(对接源_01水果!$E$4:$E$1203,$AG245)=0,"",INDEX(对接源_01水果!$E$4:$E$1203,$AG245)),IF(INDEX(对接源_02物料!$E$4:$E$1203,$AG245-1200)=0,"",INDEX(对接源_02物料!$E$4:$E$1203,$AG245-1200))))</f>
        <v/>
      </c>
      <c r="C245" s="88" t="str">
        <f>IF($AG245="","",IF($AG245&lt;=1200,IF(INDEX(对接源_01水果!$F$4:$F$1203,$AG245)=0,"",INDEX(对接源_01水果!$F$4:$F$1203,$AG245)),IF(INDEX(对接源_02物料!$F$4:$F$1203,$AG245-1200)=0,"",INDEX(对接源_02物料!$F$4:$F$1203,$AG245-1200))))</f>
        <v/>
      </c>
      <c r="D245" s="88" t="str">
        <f>IF($AG245="","",IF($AG245&lt;=1200,IF(INDEX(对接源_01水果!$G$4:$G$1203,$AG245)=0,"",INDEX(对接源_01水果!$G$4:$G$1203,$AG245)),IF(INDEX(对接源_02物料!$G$4:$G$1203,$AG245-1200)=0,"",INDEX(对接源_02物料!$G$4:$G$1203,$AG245-1200))))</f>
        <v/>
      </c>
      <c r="E245" s="89" t="str">
        <f>IF($AG245="","",IF($AG245&lt;=1200,IF(INDEX(对接源_01水果!$H$4:$H$1203,$AG245)=0,"",INDEX(对接源_01水果!$H$4:$H$1203,$AG245)),IF(INDEX(对接源_02物料!$H$4:$H$1203,$AG245-1200)=0,"",INDEX(对接源_02物料!$H$4:$H$1203,$AG245-1200))))</f>
        <v/>
      </c>
      <c r="F245" s="88" t="str">
        <f>IF($AG245="","",IF($AG245&lt;=1200,IF(INDEX(对接源_01水果!$I$4:$I$1203,$AG245)=0,"",INDEX(对接源_01水果!$I$4:$I$1203,$AG245)),IF(INDEX(对接源_02物料!$I$4:$I$1203,$AG245-1200)=0,"",INDEX(对接源_02物料!$I$4:$I$1203,$AG245-1200))))</f>
        <v/>
      </c>
      <c r="G245" s="90" t="str">
        <f>IF($AG245="","",IF($AG245&lt;=1200,IF(INDEX(对接源_01水果!$J$4:$J$1203,$AG245)=0,"",INDEX(对接源_01水果!$J$4:$J$1203,$AG245)),IF(INDEX(对接源_02物料!$J$4:$J$1203,$AG245-1200)=0,"",INDEX(对接源_02物料!$J$4:$J$1203,$AG245-1200))))</f>
        <v/>
      </c>
      <c r="H245" s="90" t="str">
        <f>IF($AG245="","",IF($AG245&lt;=1200,IF(INDEX(对接源_01水果!$K$4:$K$1203,$AG245)=0,"",INDEX(对接源_01水果!$K$4:$K$1203,$AG245)),IF(INDEX(对接源_02物料!$K$4:$K$1203,$AG245-1200)=0,"",INDEX(对接源_02物料!$K$4:$K$1203,$AG245-1200))))</f>
        <v/>
      </c>
      <c r="I245" s="88" t="str">
        <f>IF($AG245="","",IF($AG245&lt;=1200,IF(INDEX(对接源_01水果!$L$4:$L$1203,$AG245)=0,"",INDEX(对接源_01水果!$L$4:$L$1203,$AG245)),IF(INDEX(对接源_02物料!$L$4:$L$1203,$AG245-1200)=0,"",INDEX(对接源_02物料!$L$4:$L$1203,$AG245-1200))))</f>
        <v/>
      </c>
      <c r="J245" s="91" t="str">
        <f>IF($AG245="","",IF($AG245&lt;=1200,IF(INDEX(对接源_01水果!$M$4:$M$1203,$AG245)=0,"",INDEX(对接源_01水果!$M$4:$M$1203,$AG245)),IF(INDEX(对接源_02物料!$M$4:$M$1203,$AG245-1200)=0,"",INDEX(对接源_02物料!$M$4:$M$1203,$AG245-1200))))</f>
        <v/>
      </c>
      <c r="AG245" s="2" t="str">
        <f>IFERROR(MATCH(34,_自动清单!$AE$4:$AE$2403,0),"")</f>
        <v/>
      </c>
    </row>
    <row r="246" ht="18" customHeight="1" spans="1:33">
      <c r="A246" s="52" t="str">
        <f>IF($AG246="","",IF($AG246&lt;=1200,IF(INDEX(对接源_01水果!$B$4:$B$1203,$AG246)=0,"",INDEX(对接源_01水果!$B$4:$B$1203,$AG246)),IF(INDEX(对接源_02物料!$B$4:$B$1203,$AG246-1200)=0,"",INDEX(对接源_02物料!$B$4:$B$1203,$AG246-1200))))</f>
        <v/>
      </c>
      <c r="B246" s="53" t="str">
        <f>IF($AG246="","",IF($AG246&lt;=1200,IF(INDEX(对接源_01水果!$E$4:$E$1203,$AG246)=0,"",INDEX(对接源_01水果!$E$4:$E$1203,$AG246)),IF(INDEX(对接源_02物料!$E$4:$E$1203,$AG246-1200)=0,"",INDEX(对接源_02物料!$E$4:$E$1203,$AG246-1200))))</f>
        <v/>
      </c>
      <c r="C246" s="53" t="str">
        <f>IF($AG246="","",IF($AG246&lt;=1200,IF(INDEX(对接源_01水果!$F$4:$F$1203,$AG246)=0,"",INDEX(对接源_01水果!$F$4:$F$1203,$AG246)),IF(INDEX(对接源_02物料!$F$4:$F$1203,$AG246-1200)=0,"",INDEX(对接源_02物料!$F$4:$F$1203,$AG246-1200))))</f>
        <v/>
      </c>
      <c r="D246" s="53" t="str">
        <f>IF($AG246="","",IF($AG246&lt;=1200,IF(INDEX(对接源_01水果!$G$4:$G$1203,$AG246)=0,"",INDEX(对接源_01水果!$G$4:$G$1203,$AG246)),IF(INDEX(对接源_02物料!$G$4:$G$1203,$AG246-1200)=0,"",INDEX(对接源_02物料!$G$4:$G$1203,$AG246-1200))))</f>
        <v/>
      </c>
      <c r="E246" s="54" t="str">
        <f>IF($AG246="","",IF($AG246&lt;=1200,IF(INDEX(对接源_01水果!$H$4:$H$1203,$AG246)=0,"",INDEX(对接源_01水果!$H$4:$H$1203,$AG246)),IF(INDEX(对接源_02物料!$H$4:$H$1203,$AG246-1200)=0,"",INDEX(对接源_02物料!$H$4:$H$1203,$AG246-1200))))</f>
        <v/>
      </c>
      <c r="F246" s="53" t="str">
        <f>IF($AG246="","",IF($AG246&lt;=1200,IF(INDEX(对接源_01水果!$I$4:$I$1203,$AG246)=0,"",INDEX(对接源_01水果!$I$4:$I$1203,$AG246)),IF(INDEX(对接源_02物料!$I$4:$I$1203,$AG246-1200)=0,"",INDEX(对接源_02物料!$I$4:$I$1203,$AG246-1200))))</f>
        <v/>
      </c>
      <c r="G246" s="55" t="str">
        <f>IF($AG246="","",IF($AG246&lt;=1200,IF(INDEX(对接源_01水果!$J$4:$J$1203,$AG246)=0,"",INDEX(对接源_01水果!$J$4:$J$1203,$AG246)),IF(INDEX(对接源_02物料!$J$4:$J$1203,$AG246-1200)=0,"",INDEX(对接源_02物料!$J$4:$J$1203,$AG246-1200))))</f>
        <v/>
      </c>
      <c r="H246" s="55" t="str">
        <f>IF($AG246="","",IF($AG246&lt;=1200,IF(INDEX(对接源_01水果!$K$4:$K$1203,$AG246)=0,"",INDEX(对接源_01水果!$K$4:$K$1203,$AG246)),IF(INDEX(对接源_02物料!$K$4:$K$1203,$AG246-1200)=0,"",INDEX(对接源_02物料!$K$4:$K$1203,$AG246-1200))))</f>
        <v/>
      </c>
      <c r="I246" s="53" t="str">
        <f>IF($AG246="","",IF($AG246&lt;=1200,IF(INDEX(对接源_01水果!$L$4:$L$1203,$AG246)=0,"",INDEX(对接源_01水果!$L$4:$L$1203,$AG246)),IF(INDEX(对接源_02物料!$L$4:$L$1203,$AG246-1200)=0,"",INDEX(对接源_02物料!$L$4:$L$1203,$AG246-1200))))</f>
        <v/>
      </c>
      <c r="J246" s="56" t="str">
        <f>IF($AG246="","",IF($AG246&lt;=1200,IF(INDEX(对接源_01水果!$M$4:$M$1203,$AG246)=0,"",INDEX(对接源_01水果!$M$4:$M$1203,$AG246)),IF(INDEX(对接源_02物料!$M$4:$M$1203,$AG246-1200)=0,"",INDEX(对接源_02物料!$M$4:$M$1203,$AG246-1200))))</f>
        <v/>
      </c>
      <c r="AG246" s="2" t="str">
        <f>IFERROR(MATCH(35,_自动清单!$AE$4:$AE$2403,0),"")</f>
        <v/>
      </c>
    </row>
    <row r="247" ht="18" customHeight="1" spans="1:33">
      <c r="A247" s="87" t="str">
        <f>IF($AG247="","",IF($AG247&lt;=1200,IF(INDEX(对接源_01水果!$B$4:$B$1203,$AG247)=0,"",INDEX(对接源_01水果!$B$4:$B$1203,$AG247)),IF(INDEX(对接源_02物料!$B$4:$B$1203,$AG247-1200)=0,"",INDEX(对接源_02物料!$B$4:$B$1203,$AG247-1200))))</f>
        <v/>
      </c>
      <c r="B247" s="88" t="str">
        <f>IF($AG247="","",IF($AG247&lt;=1200,IF(INDEX(对接源_01水果!$E$4:$E$1203,$AG247)=0,"",INDEX(对接源_01水果!$E$4:$E$1203,$AG247)),IF(INDEX(对接源_02物料!$E$4:$E$1203,$AG247-1200)=0,"",INDEX(对接源_02物料!$E$4:$E$1203,$AG247-1200))))</f>
        <v/>
      </c>
      <c r="C247" s="88" t="str">
        <f>IF($AG247="","",IF($AG247&lt;=1200,IF(INDEX(对接源_01水果!$F$4:$F$1203,$AG247)=0,"",INDEX(对接源_01水果!$F$4:$F$1203,$AG247)),IF(INDEX(对接源_02物料!$F$4:$F$1203,$AG247-1200)=0,"",INDEX(对接源_02物料!$F$4:$F$1203,$AG247-1200))))</f>
        <v/>
      </c>
      <c r="D247" s="88" t="str">
        <f>IF($AG247="","",IF($AG247&lt;=1200,IF(INDEX(对接源_01水果!$G$4:$G$1203,$AG247)=0,"",INDEX(对接源_01水果!$G$4:$G$1203,$AG247)),IF(INDEX(对接源_02物料!$G$4:$G$1203,$AG247-1200)=0,"",INDEX(对接源_02物料!$G$4:$G$1203,$AG247-1200))))</f>
        <v/>
      </c>
      <c r="E247" s="89" t="str">
        <f>IF($AG247="","",IF($AG247&lt;=1200,IF(INDEX(对接源_01水果!$H$4:$H$1203,$AG247)=0,"",INDEX(对接源_01水果!$H$4:$H$1203,$AG247)),IF(INDEX(对接源_02物料!$H$4:$H$1203,$AG247-1200)=0,"",INDEX(对接源_02物料!$H$4:$H$1203,$AG247-1200))))</f>
        <v/>
      </c>
      <c r="F247" s="88" t="str">
        <f>IF($AG247="","",IF($AG247&lt;=1200,IF(INDEX(对接源_01水果!$I$4:$I$1203,$AG247)=0,"",INDEX(对接源_01水果!$I$4:$I$1203,$AG247)),IF(INDEX(对接源_02物料!$I$4:$I$1203,$AG247-1200)=0,"",INDEX(对接源_02物料!$I$4:$I$1203,$AG247-1200))))</f>
        <v/>
      </c>
      <c r="G247" s="90" t="str">
        <f>IF($AG247="","",IF($AG247&lt;=1200,IF(INDEX(对接源_01水果!$J$4:$J$1203,$AG247)=0,"",INDEX(对接源_01水果!$J$4:$J$1203,$AG247)),IF(INDEX(对接源_02物料!$J$4:$J$1203,$AG247-1200)=0,"",INDEX(对接源_02物料!$J$4:$J$1203,$AG247-1200))))</f>
        <v/>
      </c>
      <c r="H247" s="90" t="str">
        <f>IF($AG247="","",IF($AG247&lt;=1200,IF(INDEX(对接源_01水果!$K$4:$K$1203,$AG247)=0,"",INDEX(对接源_01水果!$K$4:$K$1203,$AG247)),IF(INDEX(对接源_02物料!$K$4:$K$1203,$AG247-1200)=0,"",INDEX(对接源_02物料!$K$4:$K$1203,$AG247-1200))))</f>
        <v/>
      </c>
      <c r="I247" s="88" t="str">
        <f>IF($AG247="","",IF($AG247&lt;=1200,IF(INDEX(对接源_01水果!$L$4:$L$1203,$AG247)=0,"",INDEX(对接源_01水果!$L$4:$L$1203,$AG247)),IF(INDEX(对接源_02物料!$L$4:$L$1203,$AG247-1200)=0,"",INDEX(对接源_02物料!$L$4:$L$1203,$AG247-1200))))</f>
        <v/>
      </c>
      <c r="J247" s="91" t="str">
        <f>IF($AG247="","",IF($AG247&lt;=1200,IF(INDEX(对接源_01水果!$M$4:$M$1203,$AG247)=0,"",INDEX(对接源_01水果!$M$4:$M$1203,$AG247)),IF(INDEX(对接源_02物料!$M$4:$M$1203,$AG247-1200)=0,"",INDEX(对接源_02物料!$M$4:$M$1203,$AG247-1200))))</f>
        <v/>
      </c>
      <c r="AG247" s="2" t="str">
        <f>IFERROR(MATCH(36,_自动清单!$AE$4:$AE$2403,0),"")</f>
        <v/>
      </c>
    </row>
    <row r="248" ht="18" customHeight="1" spans="1:33">
      <c r="A248" s="52" t="str">
        <f>IF($AG248="","",IF($AG248&lt;=1200,IF(INDEX(对接源_01水果!$B$4:$B$1203,$AG248)=0,"",INDEX(对接源_01水果!$B$4:$B$1203,$AG248)),IF(INDEX(对接源_02物料!$B$4:$B$1203,$AG248-1200)=0,"",INDEX(对接源_02物料!$B$4:$B$1203,$AG248-1200))))</f>
        <v/>
      </c>
      <c r="B248" s="53" t="str">
        <f>IF($AG248="","",IF($AG248&lt;=1200,IF(INDEX(对接源_01水果!$E$4:$E$1203,$AG248)=0,"",INDEX(对接源_01水果!$E$4:$E$1203,$AG248)),IF(INDEX(对接源_02物料!$E$4:$E$1203,$AG248-1200)=0,"",INDEX(对接源_02物料!$E$4:$E$1203,$AG248-1200))))</f>
        <v/>
      </c>
      <c r="C248" s="53" t="str">
        <f>IF($AG248="","",IF($AG248&lt;=1200,IF(INDEX(对接源_01水果!$F$4:$F$1203,$AG248)=0,"",INDEX(对接源_01水果!$F$4:$F$1203,$AG248)),IF(INDEX(对接源_02物料!$F$4:$F$1203,$AG248-1200)=0,"",INDEX(对接源_02物料!$F$4:$F$1203,$AG248-1200))))</f>
        <v/>
      </c>
      <c r="D248" s="53" t="str">
        <f>IF($AG248="","",IF($AG248&lt;=1200,IF(INDEX(对接源_01水果!$G$4:$G$1203,$AG248)=0,"",INDEX(对接源_01水果!$G$4:$G$1203,$AG248)),IF(INDEX(对接源_02物料!$G$4:$G$1203,$AG248-1200)=0,"",INDEX(对接源_02物料!$G$4:$G$1203,$AG248-1200))))</f>
        <v/>
      </c>
      <c r="E248" s="54" t="str">
        <f>IF($AG248="","",IF($AG248&lt;=1200,IF(INDEX(对接源_01水果!$H$4:$H$1203,$AG248)=0,"",INDEX(对接源_01水果!$H$4:$H$1203,$AG248)),IF(INDEX(对接源_02物料!$H$4:$H$1203,$AG248-1200)=0,"",INDEX(对接源_02物料!$H$4:$H$1203,$AG248-1200))))</f>
        <v/>
      </c>
      <c r="F248" s="53" t="str">
        <f>IF($AG248="","",IF($AG248&lt;=1200,IF(INDEX(对接源_01水果!$I$4:$I$1203,$AG248)=0,"",INDEX(对接源_01水果!$I$4:$I$1203,$AG248)),IF(INDEX(对接源_02物料!$I$4:$I$1203,$AG248-1200)=0,"",INDEX(对接源_02物料!$I$4:$I$1203,$AG248-1200))))</f>
        <v/>
      </c>
      <c r="G248" s="55" t="str">
        <f>IF($AG248="","",IF($AG248&lt;=1200,IF(INDEX(对接源_01水果!$J$4:$J$1203,$AG248)=0,"",INDEX(对接源_01水果!$J$4:$J$1203,$AG248)),IF(INDEX(对接源_02物料!$J$4:$J$1203,$AG248-1200)=0,"",INDEX(对接源_02物料!$J$4:$J$1203,$AG248-1200))))</f>
        <v/>
      </c>
      <c r="H248" s="55" t="str">
        <f>IF($AG248="","",IF($AG248&lt;=1200,IF(INDEX(对接源_01水果!$K$4:$K$1203,$AG248)=0,"",INDEX(对接源_01水果!$K$4:$K$1203,$AG248)),IF(INDEX(对接源_02物料!$K$4:$K$1203,$AG248-1200)=0,"",INDEX(对接源_02物料!$K$4:$K$1203,$AG248-1200))))</f>
        <v/>
      </c>
      <c r="I248" s="53" t="str">
        <f>IF($AG248="","",IF($AG248&lt;=1200,IF(INDEX(对接源_01水果!$L$4:$L$1203,$AG248)=0,"",INDEX(对接源_01水果!$L$4:$L$1203,$AG248)),IF(INDEX(对接源_02物料!$L$4:$L$1203,$AG248-1200)=0,"",INDEX(对接源_02物料!$L$4:$L$1203,$AG248-1200))))</f>
        <v/>
      </c>
      <c r="J248" s="56" t="str">
        <f>IF($AG248="","",IF($AG248&lt;=1200,IF(INDEX(对接源_01水果!$M$4:$M$1203,$AG248)=0,"",INDEX(对接源_01水果!$M$4:$M$1203,$AG248)),IF(INDEX(对接源_02物料!$M$4:$M$1203,$AG248-1200)=0,"",INDEX(对接源_02物料!$M$4:$M$1203,$AG248-1200))))</f>
        <v/>
      </c>
      <c r="AG248" s="2" t="str">
        <f>IFERROR(MATCH(37,_自动清单!$AE$4:$AE$2403,0),"")</f>
        <v/>
      </c>
    </row>
    <row r="249" ht="18" customHeight="1" spans="1:33">
      <c r="A249" s="87" t="str">
        <f>IF($AG249="","",IF($AG249&lt;=1200,IF(INDEX(对接源_01水果!$B$4:$B$1203,$AG249)=0,"",INDEX(对接源_01水果!$B$4:$B$1203,$AG249)),IF(INDEX(对接源_02物料!$B$4:$B$1203,$AG249-1200)=0,"",INDEX(对接源_02物料!$B$4:$B$1203,$AG249-1200))))</f>
        <v/>
      </c>
      <c r="B249" s="88" t="str">
        <f>IF($AG249="","",IF($AG249&lt;=1200,IF(INDEX(对接源_01水果!$E$4:$E$1203,$AG249)=0,"",INDEX(对接源_01水果!$E$4:$E$1203,$AG249)),IF(INDEX(对接源_02物料!$E$4:$E$1203,$AG249-1200)=0,"",INDEX(对接源_02物料!$E$4:$E$1203,$AG249-1200))))</f>
        <v/>
      </c>
      <c r="C249" s="88" t="str">
        <f>IF($AG249="","",IF($AG249&lt;=1200,IF(INDEX(对接源_01水果!$F$4:$F$1203,$AG249)=0,"",INDEX(对接源_01水果!$F$4:$F$1203,$AG249)),IF(INDEX(对接源_02物料!$F$4:$F$1203,$AG249-1200)=0,"",INDEX(对接源_02物料!$F$4:$F$1203,$AG249-1200))))</f>
        <v/>
      </c>
      <c r="D249" s="88" t="str">
        <f>IF($AG249="","",IF($AG249&lt;=1200,IF(INDEX(对接源_01水果!$G$4:$G$1203,$AG249)=0,"",INDEX(对接源_01水果!$G$4:$G$1203,$AG249)),IF(INDEX(对接源_02物料!$G$4:$G$1203,$AG249-1200)=0,"",INDEX(对接源_02物料!$G$4:$G$1203,$AG249-1200))))</f>
        <v/>
      </c>
      <c r="E249" s="89" t="str">
        <f>IF($AG249="","",IF($AG249&lt;=1200,IF(INDEX(对接源_01水果!$H$4:$H$1203,$AG249)=0,"",INDEX(对接源_01水果!$H$4:$H$1203,$AG249)),IF(INDEX(对接源_02物料!$H$4:$H$1203,$AG249-1200)=0,"",INDEX(对接源_02物料!$H$4:$H$1203,$AG249-1200))))</f>
        <v/>
      </c>
      <c r="F249" s="88" t="str">
        <f>IF($AG249="","",IF($AG249&lt;=1200,IF(INDEX(对接源_01水果!$I$4:$I$1203,$AG249)=0,"",INDEX(对接源_01水果!$I$4:$I$1203,$AG249)),IF(INDEX(对接源_02物料!$I$4:$I$1203,$AG249-1200)=0,"",INDEX(对接源_02物料!$I$4:$I$1203,$AG249-1200))))</f>
        <v/>
      </c>
      <c r="G249" s="90" t="str">
        <f>IF($AG249="","",IF($AG249&lt;=1200,IF(INDEX(对接源_01水果!$J$4:$J$1203,$AG249)=0,"",INDEX(对接源_01水果!$J$4:$J$1203,$AG249)),IF(INDEX(对接源_02物料!$J$4:$J$1203,$AG249-1200)=0,"",INDEX(对接源_02物料!$J$4:$J$1203,$AG249-1200))))</f>
        <v/>
      </c>
      <c r="H249" s="90" t="str">
        <f>IF($AG249="","",IF($AG249&lt;=1200,IF(INDEX(对接源_01水果!$K$4:$K$1203,$AG249)=0,"",INDEX(对接源_01水果!$K$4:$K$1203,$AG249)),IF(INDEX(对接源_02物料!$K$4:$K$1203,$AG249-1200)=0,"",INDEX(对接源_02物料!$K$4:$K$1203,$AG249-1200))))</f>
        <v/>
      </c>
      <c r="I249" s="88" t="str">
        <f>IF($AG249="","",IF($AG249&lt;=1200,IF(INDEX(对接源_01水果!$L$4:$L$1203,$AG249)=0,"",INDEX(对接源_01水果!$L$4:$L$1203,$AG249)),IF(INDEX(对接源_02物料!$L$4:$L$1203,$AG249-1200)=0,"",INDEX(对接源_02物料!$L$4:$L$1203,$AG249-1200))))</f>
        <v/>
      </c>
      <c r="J249" s="91" t="str">
        <f>IF($AG249="","",IF($AG249&lt;=1200,IF(INDEX(对接源_01水果!$M$4:$M$1203,$AG249)=0,"",INDEX(对接源_01水果!$M$4:$M$1203,$AG249)),IF(INDEX(对接源_02物料!$M$4:$M$1203,$AG249-1200)=0,"",INDEX(对接源_02物料!$M$4:$M$1203,$AG249-1200))))</f>
        <v/>
      </c>
      <c r="AG249" s="2" t="str">
        <f>IFERROR(MATCH(38,_自动清单!$AE$4:$AE$2403,0),"")</f>
        <v/>
      </c>
    </row>
    <row r="250" ht="18" customHeight="1" spans="1:33">
      <c r="A250" s="52" t="str">
        <f>IF($AG250="","",IF($AG250&lt;=1200,IF(INDEX(对接源_01水果!$B$4:$B$1203,$AG250)=0,"",INDEX(对接源_01水果!$B$4:$B$1203,$AG250)),IF(INDEX(对接源_02物料!$B$4:$B$1203,$AG250-1200)=0,"",INDEX(对接源_02物料!$B$4:$B$1203,$AG250-1200))))</f>
        <v/>
      </c>
      <c r="B250" s="53" t="str">
        <f>IF($AG250="","",IF($AG250&lt;=1200,IF(INDEX(对接源_01水果!$E$4:$E$1203,$AG250)=0,"",INDEX(对接源_01水果!$E$4:$E$1203,$AG250)),IF(INDEX(对接源_02物料!$E$4:$E$1203,$AG250-1200)=0,"",INDEX(对接源_02物料!$E$4:$E$1203,$AG250-1200))))</f>
        <v/>
      </c>
      <c r="C250" s="53" t="str">
        <f>IF($AG250="","",IF($AG250&lt;=1200,IF(INDEX(对接源_01水果!$F$4:$F$1203,$AG250)=0,"",INDEX(对接源_01水果!$F$4:$F$1203,$AG250)),IF(INDEX(对接源_02物料!$F$4:$F$1203,$AG250-1200)=0,"",INDEX(对接源_02物料!$F$4:$F$1203,$AG250-1200))))</f>
        <v/>
      </c>
      <c r="D250" s="53" t="str">
        <f>IF($AG250="","",IF($AG250&lt;=1200,IF(INDEX(对接源_01水果!$G$4:$G$1203,$AG250)=0,"",INDEX(对接源_01水果!$G$4:$G$1203,$AG250)),IF(INDEX(对接源_02物料!$G$4:$G$1203,$AG250-1200)=0,"",INDEX(对接源_02物料!$G$4:$G$1203,$AG250-1200))))</f>
        <v/>
      </c>
      <c r="E250" s="54" t="str">
        <f>IF($AG250="","",IF($AG250&lt;=1200,IF(INDEX(对接源_01水果!$H$4:$H$1203,$AG250)=0,"",INDEX(对接源_01水果!$H$4:$H$1203,$AG250)),IF(INDEX(对接源_02物料!$H$4:$H$1203,$AG250-1200)=0,"",INDEX(对接源_02物料!$H$4:$H$1203,$AG250-1200))))</f>
        <v/>
      </c>
      <c r="F250" s="53" t="str">
        <f>IF($AG250="","",IF($AG250&lt;=1200,IF(INDEX(对接源_01水果!$I$4:$I$1203,$AG250)=0,"",INDEX(对接源_01水果!$I$4:$I$1203,$AG250)),IF(INDEX(对接源_02物料!$I$4:$I$1203,$AG250-1200)=0,"",INDEX(对接源_02物料!$I$4:$I$1203,$AG250-1200))))</f>
        <v/>
      </c>
      <c r="G250" s="55" t="str">
        <f>IF($AG250="","",IF($AG250&lt;=1200,IF(INDEX(对接源_01水果!$J$4:$J$1203,$AG250)=0,"",INDEX(对接源_01水果!$J$4:$J$1203,$AG250)),IF(INDEX(对接源_02物料!$J$4:$J$1203,$AG250-1200)=0,"",INDEX(对接源_02物料!$J$4:$J$1203,$AG250-1200))))</f>
        <v/>
      </c>
      <c r="H250" s="55" t="str">
        <f>IF($AG250="","",IF($AG250&lt;=1200,IF(INDEX(对接源_01水果!$K$4:$K$1203,$AG250)=0,"",INDEX(对接源_01水果!$K$4:$K$1203,$AG250)),IF(INDEX(对接源_02物料!$K$4:$K$1203,$AG250-1200)=0,"",INDEX(对接源_02物料!$K$4:$K$1203,$AG250-1200))))</f>
        <v/>
      </c>
      <c r="I250" s="53" t="str">
        <f>IF($AG250="","",IF($AG250&lt;=1200,IF(INDEX(对接源_01水果!$L$4:$L$1203,$AG250)=0,"",INDEX(对接源_01水果!$L$4:$L$1203,$AG250)),IF(INDEX(对接源_02物料!$L$4:$L$1203,$AG250-1200)=0,"",INDEX(对接源_02物料!$L$4:$L$1203,$AG250-1200))))</f>
        <v/>
      </c>
      <c r="J250" s="56" t="str">
        <f>IF($AG250="","",IF($AG250&lt;=1200,IF(INDEX(对接源_01水果!$M$4:$M$1203,$AG250)=0,"",INDEX(对接源_01水果!$M$4:$M$1203,$AG250)),IF(INDEX(对接源_02物料!$M$4:$M$1203,$AG250-1200)=0,"",INDEX(对接源_02物料!$M$4:$M$1203,$AG250-1200))))</f>
        <v/>
      </c>
      <c r="AG250" s="2" t="str">
        <f>IFERROR(MATCH(39,_自动清单!$AE$4:$AE$2403,0),"")</f>
        <v/>
      </c>
    </row>
    <row r="251" ht="18" customHeight="1" spans="1:33">
      <c r="A251" s="87" t="str">
        <f>IF($AG251="","",IF($AG251&lt;=1200,IF(INDEX(对接源_01水果!$B$4:$B$1203,$AG251)=0,"",INDEX(对接源_01水果!$B$4:$B$1203,$AG251)),IF(INDEX(对接源_02物料!$B$4:$B$1203,$AG251-1200)=0,"",INDEX(对接源_02物料!$B$4:$B$1203,$AG251-1200))))</f>
        <v/>
      </c>
      <c r="B251" s="88" t="str">
        <f>IF($AG251="","",IF($AG251&lt;=1200,IF(INDEX(对接源_01水果!$E$4:$E$1203,$AG251)=0,"",INDEX(对接源_01水果!$E$4:$E$1203,$AG251)),IF(INDEX(对接源_02物料!$E$4:$E$1203,$AG251-1200)=0,"",INDEX(对接源_02物料!$E$4:$E$1203,$AG251-1200))))</f>
        <v/>
      </c>
      <c r="C251" s="88" t="str">
        <f>IF($AG251="","",IF($AG251&lt;=1200,IF(INDEX(对接源_01水果!$F$4:$F$1203,$AG251)=0,"",INDEX(对接源_01水果!$F$4:$F$1203,$AG251)),IF(INDEX(对接源_02物料!$F$4:$F$1203,$AG251-1200)=0,"",INDEX(对接源_02物料!$F$4:$F$1203,$AG251-1200))))</f>
        <v/>
      </c>
      <c r="D251" s="88" t="str">
        <f>IF($AG251="","",IF($AG251&lt;=1200,IF(INDEX(对接源_01水果!$G$4:$G$1203,$AG251)=0,"",INDEX(对接源_01水果!$G$4:$G$1203,$AG251)),IF(INDEX(对接源_02物料!$G$4:$G$1203,$AG251-1200)=0,"",INDEX(对接源_02物料!$G$4:$G$1203,$AG251-1200))))</f>
        <v/>
      </c>
      <c r="E251" s="89" t="str">
        <f>IF($AG251="","",IF($AG251&lt;=1200,IF(INDEX(对接源_01水果!$H$4:$H$1203,$AG251)=0,"",INDEX(对接源_01水果!$H$4:$H$1203,$AG251)),IF(INDEX(对接源_02物料!$H$4:$H$1203,$AG251-1200)=0,"",INDEX(对接源_02物料!$H$4:$H$1203,$AG251-1200))))</f>
        <v/>
      </c>
      <c r="F251" s="88" t="str">
        <f>IF($AG251="","",IF($AG251&lt;=1200,IF(INDEX(对接源_01水果!$I$4:$I$1203,$AG251)=0,"",INDEX(对接源_01水果!$I$4:$I$1203,$AG251)),IF(INDEX(对接源_02物料!$I$4:$I$1203,$AG251-1200)=0,"",INDEX(对接源_02物料!$I$4:$I$1203,$AG251-1200))))</f>
        <v/>
      </c>
      <c r="G251" s="90" t="str">
        <f>IF($AG251="","",IF($AG251&lt;=1200,IF(INDEX(对接源_01水果!$J$4:$J$1203,$AG251)=0,"",INDEX(对接源_01水果!$J$4:$J$1203,$AG251)),IF(INDEX(对接源_02物料!$J$4:$J$1203,$AG251-1200)=0,"",INDEX(对接源_02物料!$J$4:$J$1203,$AG251-1200))))</f>
        <v/>
      </c>
      <c r="H251" s="90" t="str">
        <f>IF($AG251="","",IF($AG251&lt;=1200,IF(INDEX(对接源_01水果!$K$4:$K$1203,$AG251)=0,"",INDEX(对接源_01水果!$K$4:$K$1203,$AG251)),IF(INDEX(对接源_02物料!$K$4:$K$1203,$AG251-1200)=0,"",INDEX(对接源_02物料!$K$4:$K$1203,$AG251-1200))))</f>
        <v/>
      </c>
      <c r="I251" s="88" t="str">
        <f>IF($AG251="","",IF($AG251&lt;=1200,IF(INDEX(对接源_01水果!$L$4:$L$1203,$AG251)=0,"",INDEX(对接源_01水果!$L$4:$L$1203,$AG251)),IF(INDEX(对接源_02物料!$L$4:$L$1203,$AG251-1200)=0,"",INDEX(对接源_02物料!$L$4:$L$1203,$AG251-1200))))</f>
        <v/>
      </c>
      <c r="J251" s="91" t="str">
        <f>IF($AG251="","",IF($AG251&lt;=1200,IF(INDEX(对接源_01水果!$M$4:$M$1203,$AG251)=0,"",INDEX(对接源_01水果!$M$4:$M$1203,$AG251)),IF(INDEX(对接源_02物料!$M$4:$M$1203,$AG251-1200)=0,"",INDEX(对接源_02物料!$M$4:$M$1203,$AG251-1200))))</f>
        <v/>
      </c>
      <c r="AG251" s="2" t="str">
        <f>IFERROR(MATCH(40,_自动清单!$AE$4:$AE$2403,0),"")</f>
        <v/>
      </c>
    </row>
    <row r="252" ht="18" customHeight="1" spans="1:33">
      <c r="A252" s="52" t="str">
        <f>IF($AG252="","",IF($AG252&lt;=1200,IF(INDEX(对接源_01水果!$B$4:$B$1203,$AG252)=0,"",INDEX(对接源_01水果!$B$4:$B$1203,$AG252)),IF(INDEX(对接源_02物料!$B$4:$B$1203,$AG252-1200)=0,"",INDEX(对接源_02物料!$B$4:$B$1203,$AG252-1200))))</f>
        <v/>
      </c>
      <c r="B252" s="53" t="str">
        <f>IF($AG252="","",IF($AG252&lt;=1200,IF(INDEX(对接源_01水果!$E$4:$E$1203,$AG252)=0,"",INDEX(对接源_01水果!$E$4:$E$1203,$AG252)),IF(INDEX(对接源_02物料!$E$4:$E$1203,$AG252-1200)=0,"",INDEX(对接源_02物料!$E$4:$E$1203,$AG252-1200))))</f>
        <v/>
      </c>
      <c r="C252" s="53" t="str">
        <f>IF($AG252="","",IF($AG252&lt;=1200,IF(INDEX(对接源_01水果!$F$4:$F$1203,$AG252)=0,"",INDEX(对接源_01水果!$F$4:$F$1203,$AG252)),IF(INDEX(对接源_02物料!$F$4:$F$1203,$AG252-1200)=0,"",INDEX(对接源_02物料!$F$4:$F$1203,$AG252-1200))))</f>
        <v/>
      </c>
      <c r="D252" s="53" t="str">
        <f>IF($AG252="","",IF($AG252&lt;=1200,IF(INDEX(对接源_01水果!$G$4:$G$1203,$AG252)=0,"",INDEX(对接源_01水果!$G$4:$G$1203,$AG252)),IF(INDEX(对接源_02物料!$G$4:$G$1203,$AG252-1200)=0,"",INDEX(对接源_02物料!$G$4:$G$1203,$AG252-1200))))</f>
        <v/>
      </c>
      <c r="E252" s="54" t="str">
        <f>IF($AG252="","",IF($AG252&lt;=1200,IF(INDEX(对接源_01水果!$H$4:$H$1203,$AG252)=0,"",INDEX(对接源_01水果!$H$4:$H$1203,$AG252)),IF(INDEX(对接源_02物料!$H$4:$H$1203,$AG252-1200)=0,"",INDEX(对接源_02物料!$H$4:$H$1203,$AG252-1200))))</f>
        <v/>
      </c>
      <c r="F252" s="53" t="str">
        <f>IF($AG252="","",IF($AG252&lt;=1200,IF(INDEX(对接源_01水果!$I$4:$I$1203,$AG252)=0,"",INDEX(对接源_01水果!$I$4:$I$1203,$AG252)),IF(INDEX(对接源_02物料!$I$4:$I$1203,$AG252-1200)=0,"",INDEX(对接源_02物料!$I$4:$I$1203,$AG252-1200))))</f>
        <v/>
      </c>
      <c r="G252" s="55" t="str">
        <f>IF($AG252="","",IF($AG252&lt;=1200,IF(INDEX(对接源_01水果!$J$4:$J$1203,$AG252)=0,"",INDEX(对接源_01水果!$J$4:$J$1203,$AG252)),IF(INDEX(对接源_02物料!$J$4:$J$1203,$AG252-1200)=0,"",INDEX(对接源_02物料!$J$4:$J$1203,$AG252-1200))))</f>
        <v/>
      </c>
      <c r="H252" s="55" t="str">
        <f>IF($AG252="","",IF($AG252&lt;=1200,IF(INDEX(对接源_01水果!$K$4:$K$1203,$AG252)=0,"",INDEX(对接源_01水果!$K$4:$K$1203,$AG252)),IF(INDEX(对接源_02物料!$K$4:$K$1203,$AG252-1200)=0,"",INDEX(对接源_02物料!$K$4:$K$1203,$AG252-1200))))</f>
        <v/>
      </c>
      <c r="I252" s="53" t="str">
        <f>IF($AG252="","",IF($AG252&lt;=1200,IF(INDEX(对接源_01水果!$L$4:$L$1203,$AG252)=0,"",INDEX(对接源_01水果!$L$4:$L$1203,$AG252)),IF(INDEX(对接源_02物料!$L$4:$L$1203,$AG252-1200)=0,"",INDEX(对接源_02物料!$L$4:$L$1203,$AG252-1200))))</f>
        <v/>
      </c>
      <c r="J252" s="56" t="str">
        <f>IF($AG252="","",IF($AG252&lt;=1200,IF(INDEX(对接源_01水果!$M$4:$M$1203,$AG252)=0,"",INDEX(对接源_01水果!$M$4:$M$1203,$AG252)),IF(INDEX(对接源_02物料!$M$4:$M$1203,$AG252-1200)=0,"",INDEX(对接源_02物料!$M$4:$M$1203,$AG252-1200))))</f>
        <v/>
      </c>
      <c r="AG252" s="2" t="str">
        <f>IFERROR(MATCH(41,_自动清单!$AE$4:$AE$2403,0),"")</f>
        <v/>
      </c>
    </row>
    <row r="253" ht="18" customHeight="1" spans="1:33">
      <c r="A253" s="87" t="str">
        <f>IF($AG253="","",IF($AG253&lt;=1200,IF(INDEX(对接源_01水果!$B$4:$B$1203,$AG253)=0,"",INDEX(对接源_01水果!$B$4:$B$1203,$AG253)),IF(INDEX(对接源_02物料!$B$4:$B$1203,$AG253-1200)=0,"",INDEX(对接源_02物料!$B$4:$B$1203,$AG253-1200))))</f>
        <v/>
      </c>
      <c r="B253" s="88" t="str">
        <f>IF($AG253="","",IF($AG253&lt;=1200,IF(INDEX(对接源_01水果!$E$4:$E$1203,$AG253)=0,"",INDEX(对接源_01水果!$E$4:$E$1203,$AG253)),IF(INDEX(对接源_02物料!$E$4:$E$1203,$AG253-1200)=0,"",INDEX(对接源_02物料!$E$4:$E$1203,$AG253-1200))))</f>
        <v/>
      </c>
      <c r="C253" s="88" t="str">
        <f>IF($AG253="","",IF($AG253&lt;=1200,IF(INDEX(对接源_01水果!$F$4:$F$1203,$AG253)=0,"",INDEX(对接源_01水果!$F$4:$F$1203,$AG253)),IF(INDEX(对接源_02物料!$F$4:$F$1203,$AG253-1200)=0,"",INDEX(对接源_02物料!$F$4:$F$1203,$AG253-1200))))</f>
        <v/>
      </c>
      <c r="D253" s="88" t="str">
        <f>IF($AG253="","",IF($AG253&lt;=1200,IF(INDEX(对接源_01水果!$G$4:$G$1203,$AG253)=0,"",INDEX(对接源_01水果!$G$4:$G$1203,$AG253)),IF(INDEX(对接源_02物料!$G$4:$G$1203,$AG253-1200)=0,"",INDEX(对接源_02物料!$G$4:$G$1203,$AG253-1200))))</f>
        <v/>
      </c>
      <c r="E253" s="89" t="str">
        <f>IF($AG253="","",IF($AG253&lt;=1200,IF(INDEX(对接源_01水果!$H$4:$H$1203,$AG253)=0,"",INDEX(对接源_01水果!$H$4:$H$1203,$AG253)),IF(INDEX(对接源_02物料!$H$4:$H$1203,$AG253-1200)=0,"",INDEX(对接源_02物料!$H$4:$H$1203,$AG253-1200))))</f>
        <v/>
      </c>
      <c r="F253" s="88" t="str">
        <f>IF($AG253="","",IF($AG253&lt;=1200,IF(INDEX(对接源_01水果!$I$4:$I$1203,$AG253)=0,"",INDEX(对接源_01水果!$I$4:$I$1203,$AG253)),IF(INDEX(对接源_02物料!$I$4:$I$1203,$AG253-1200)=0,"",INDEX(对接源_02物料!$I$4:$I$1203,$AG253-1200))))</f>
        <v/>
      </c>
      <c r="G253" s="90" t="str">
        <f>IF($AG253="","",IF($AG253&lt;=1200,IF(INDEX(对接源_01水果!$J$4:$J$1203,$AG253)=0,"",INDEX(对接源_01水果!$J$4:$J$1203,$AG253)),IF(INDEX(对接源_02物料!$J$4:$J$1203,$AG253-1200)=0,"",INDEX(对接源_02物料!$J$4:$J$1203,$AG253-1200))))</f>
        <v/>
      </c>
      <c r="H253" s="90" t="str">
        <f>IF($AG253="","",IF($AG253&lt;=1200,IF(INDEX(对接源_01水果!$K$4:$K$1203,$AG253)=0,"",INDEX(对接源_01水果!$K$4:$K$1203,$AG253)),IF(INDEX(对接源_02物料!$K$4:$K$1203,$AG253-1200)=0,"",INDEX(对接源_02物料!$K$4:$K$1203,$AG253-1200))))</f>
        <v/>
      </c>
      <c r="I253" s="88" t="str">
        <f>IF($AG253="","",IF($AG253&lt;=1200,IF(INDEX(对接源_01水果!$L$4:$L$1203,$AG253)=0,"",INDEX(对接源_01水果!$L$4:$L$1203,$AG253)),IF(INDEX(对接源_02物料!$L$4:$L$1203,$AG253-1200)=0,"",INDEX(对接源_02物料!$L$4:$L$1203,$AG253-1200))))</f>
        <v/>
      </c>
      <c r="J253" s="91" t="str">
        <f>IF($AG253="","",IF($AG253&lt;=1200,IF(INDEX(对接源_01水果!$M$4:$M$1203,$AG253)=0,"",INDEX(对接源_01水果!$M$4:$M$1203,$AG253)),IF(INDEX(对接源_02物料!$M$4:$M$1203,$AG253-1200)=0,"",INDEX(对接源_02物料!$M$4:$M$1203,$AG253-1200))))</f>
        <v/>
      </c>
      <c r="AG253" s="2" t="str">
        <f>IFERROR(MATCH(42,_自动清单!$AE$4:$AE$2403,0),"")</f>
        <v/>
      </c>
    </row>
    <row r="254" ht="18" customHeight="1" spans="1:33">
      <c r="A254" s="52" t="str">
        <f>IF($AG254="","",IF($AG254&lt;=1200,IF(INDEX(对接源_01水果!$B$4:$B$1203,$AG254)=0,"",INDEX(对接源_01水果!$B$4:$B$1203,$AG254)),IF(INDEX(对接源_02物料!$B$4:$B$1203,$AG254-1200)=0,"",INDEX(对接源_02物料!$B$4:$B$1203,$AG254-1200))))</f>
        <v/>
      </c>
      <c r="B254" s="53" t="str">
        <f>IF($AG254="","",IF($AG254&lt;=1200,IF(INDEX(对接源_01水果!$E$4:$E$1203,$AG254)=0,"",INDEX(对接源_01水果!$E$4:$E$1203,$AG254)),IF(INDEX(对接源_02物料!$E$4:$E$1203,$AG254-1200)=0,"",INDEX(对接源_02物料!$E$4:$E$1203,$AG254-1200))))</f>
        <v/>
      </c>
      <c r="C254" s="53" t="str">
        <f>IF($AG254="","",IF($AG254&lt;=1200,IF(INDEX(对接源_01水果!$F$4:$F$1203,$AG254)=0,"",INDEX(对接源_01水果!$F$4:$F$1203,$AG254)),IF(INDEX(对接源_02物料!$F$4:$F$1203,$AG254-1200)=0,"",INDEX(对接源_02物料!$F$4:$F$1203,$AG254-1200))))</f>
        <v/>
      </c>
      <c r="D254" s="53" t="str">
        <f>IF($AG254="","",IF($AG254&lt;=1200,IF(INDEX(对接源_01水果!$G$4:$G$1203,$AG254)=0,"",INDEX(对接源_01水果!$G$4:$G$1203,$AG254)),IF(INDEX(对接源_02物料!$G$4:$G$1203,$AG254-1200)=0,"",INDEX(对接源_02物料!$G$4:$G$1203,$AG254-1200))))</f>
        <v/>
      </c>
      <c r="E254" s="54" t="str">
        <f>IF($AG254="","",IF($AG254&lt;=1200,IF(INDEX(对接源_01水果!$H$4:$H$1203,$AG254)=0,"",INDEX(对接源_01水果!$H$4:$H$1203,$AG254)),IF(INDEX(对接源_02物料!$H$4:$H$1203,$AG254-1200)=0,"",INDEX(对接源_02物料!$H$4:$H$1203,$AG254-1200))))</f>
        <v/>
      </c>
      <c r="F254" s="53" t="str">
        <f>IF($AG254="","",IF($AG254&lt;=1200,IF(INDEX(对接源_01水果!$I$4:$I$1203,$AG254)=0,"",INDEX(对接源_01水果!$I$4:$I$1203,$AG254)),IF(INDEX(对接源_02物料!$I$4:$I$1203,$AG254-1200)=0,"",INDEX(对接源_02物料!$I$4:$I$1203,$AG254-1200))))</f>
        <v/>
      </c>
      <c r="G254" s="55" t="str">
        <f>IF($AG254="","",IF($AG254&lt;=1200,IF(INDEX(对接源_01水果!$J$4:$J$1203,$AG254)=0,"",INDEX(对接源_01水果!$J$4:$J$1203,$AG254)),IF(INDEX(对接源_02物料!$J$4:$J$1203,$AG254-1200)=0,"",INDEX(对接源_02物料!$J$4:$J$1203,$AG254-1200))))</f>
        <v/>
      </c>
      <c r="H254" s="55" t="str">
        <f>IF($AG254="","",IF($AG254&lt;=1200,IF(INDEX(对接源_01水果!$K$4:$K$1203,$AG254)=0,"",INDEX(对接源_01水果!$K$4:$K$1203,$AG254)),IF(INDEX(对接源_02物料!$K$4:$K$1203,$AG254-1200)=0,"",INDEX(对接源_02物料!$K$4:$K$1203,$AG254-1200))))</f>
        <v/>
      </c>
      <c r="I254" s="53" t="str">
        <f>IF($AG254="","",IF($AG254&lt;=1200,IF(INDEX(对接源_01水果!$L$4:$L$1203,$AG254)=0,"",INDEX(对接源_01水果!$L$4:$L$1203,$AG254)),IF(INDEX(对接源_02物料!$L$4:$L$1203,$AG254-1200)=0,"",INDEX(对接源_02物料!$L$4:$L$1203,$AG254-1200))))</f>
        <v/>
      </c>
      <c r="J254" s="56" t="str">
        <f>IF($AG254="","",IF($AG254&lt;=1200,IF(INDEX(对接源_01水果!$M$4:$M$1203,$AG254)=0,"",INDEX(对接源_01水果!$M$4:$M$1203,$AG254)),IF(INDEX(对接源_02物料!$M$4:$M$1203,$AG254-1200)=0,"",INDEX(对接源_02物料!$M$4:$M$1203,$AG254-1200))))</f>
        <v/>
      </c>
      <c r="AG254" s="2" t="str">
        <f>IFERROR(MATCH(43,_自动清单!$AE$4:$AE$2403,0),"")</f>
        <v/>
      </c>
    </row>
    <row r="255" ht="18" customHeight="1" spans="1:33">
      <c r="A255" s="87" t="str">
        <f>IF($AG255="","",IF($AG255&lt;=1200,IF(INDEX(对接源_01水果!$B$4:$B$1203,$AG255)=0,"",INDEX(对接源_01水果!$B$4:$B$1203,$AG255)),IF(INDEX(对接源_02物料!$B$4:$B$1203,$AG255-1200)=0,"",INDEX(对接源_02物料!$B$4:$B$1203,$AG255-1200))))</f>
        <v/>
      </c>
      <c r="B255" s="88" t="str">
        <f>IF($AG255="","",IF($AG255&lt;=1200,IF(INDEX(对接源_01水果!$E$4:$E$1203,$AG255)=0,"",INDEX(对接源_01水果!$E$4:$E$1203,$AG255)),IF(INDEX(对接源_02物料!$E$4:$E$1203,$AG255-1200)=0,"",INDEX(对接源_02物料!$E$4:$E$1203,$AG255-1200))))</f>
        <v/>
      </c>
      <c r="C255" s="88" t="str">
        <f>IF($AG255="","",IF($AG255&lt;=1200,IF(INDEX(对接源_01水果!$F$4:$F$1203,$AG255)=0,"",INDEX(对接源_01水果!$F$4:$F$1203,$AG255)),IF(INDEX(对接源_02物料!$F$4:$F$1203,$AG255-1200)=0,"",INDEX(对接源_02物料!$F$4:$F$1203,$AG255-1200))))</f>
        <v/>
      </c>
      <c r="D255" s="88" t="str">
        <f>IF($AG255="","",IF($AG255&lt;=1200,IF(INDEX(对接源_01水果!$G$4:$G$1203,$AG255)=0,"",INDEX(对接源_01水果!$G$4:$G$1203,$AG255)),IF(INDEX(对接源_02物料!$G$4:$G$1203,$AG255-1200)=0,"",INDEX(对接源_02物料!$G$4:$G$1203,$AG255-1200))))</f>
        <v/>
      </c>
      <c r="E255" s="89" t="str">
        <f>IF($AG255="","",IF($AG255&lt;=1200,IF(INDEX(对接源_01水果!$H$4:$H$1203,$AG255)=0,"",INDEX(对接源_01水果!$H$4:$H$1203,$AG255)),IF(INDEX(对接源_02物料!$H$4:$H$1203,$AG255-1200)=0,"",INDEX(对接源_02物料!$H$4:$H$1203,$AG255-1200))))</f>
        <v/>
      </c>
      <c r="F255" s="88" t="str">
        <f>IF($AG255="","",IF($AG255&lt;=1200,IF(INDEX(对接源_01水果!$I$4:$I$1203,$AG255)=0,"",INDEX(对接源_01水果!$I$4:$I$1203,$AG255)),IF(INDEX(对接源_02物料!$I$4:$I$1203,$AG255-1200)=0,"",INDEX(对接源_02物料!$I$4:$I$1203,$AG255-1200))))</f>
        <v/>
      </c>
      <c r="G255" s="90" t="str">
        <f>IF($AG255="","",IF($AG255&lt;=1200,IF(INDEX(对接源_01水果!$J$4:$J$1203,$AG255)=0,"",INDEX(对接源_01水果!$J$4:$J$1203,$AG255)),IF(INDEX(对接源_02物料!$J$4:$J$1203,$AG255-1200)=0,"",INDEX(对接源_02物料!$J$4:$J$1203,$AG255-1200))))</f>
        <v/>
      </c>
      <c r="H255" s="90" t="str">
        <f>IF($AG255="","",IF($AG255&lt;=1200,IF(INDEX(对接源_01水果!$K$4:$K$1203,$AG255)=0,"",INDEX(对接源_01水果!$K$4:$K$1203,$AG255)),IF(INDEX(对接源_02物料!$K$4:$K$1203,$AG255-1200)=0,"",INDEX(对接源_02物料!$K$4:$K$1203,$AG255-1200))))</f>
        <v/>
      </c>
      <c r="I255" s="88" t="str">
        <f>IF($AG255="","",IF($AG255&lt;=1200,IF(INDEX(对接源_01水果!$L$4:$L$1203,$AG255)=0,"",INDEX(对接源_01水果!$L$4:$L$1203,$AG255)),IF(INDEX(对接源_02物料!$L$4:$L$1203,$AG255-1200)=0,"",INDEX(对接源_02物料!$L$4:$L$1203,$AG255-1200))))</f>
        <v/>
      </c>
      <c r="J255" s="91" t="str">
        <f>IF($AG255="","",IF($AG255&lt;=1200,IF(INDEX(对接源_01水果!$M$4:$M$1203,$AG255)=0,"",INDEX(对接源_01水果!$M$4:$M$1203,$AG255)),IF(INDEX(对接源_02物料!$M$4:$M$1203,$AG255-1200)=0,"",INDEX(对接源_02物料!$M$4:$M$1203,$AG255-1200))))</f>
        <v/>
      </c>
      <c r="AG255" s="2" t="str">
        <f>IFERROR(MATCH(44,_自动清单!$AE$4:$AE$2403,0),"")</f>
        <v/>
      </c>
    </row>
    <row r="256" ht="18" customHeight="1" spans="1:33">
      <c r="A256" s="52" t="str">
        <f>IF($AG256="","",IF($AG256&lt;=1200,IF(INDEX(对接源_01水果!$B$4:$B$1203,$AG256)=0,"",INDEX(对接源_01水果!$B$4:$B$1203,$AG256)),IF(INDEX(对接源_02物料!$B$4:$B$1203,$AG256-1200)=0,"",INDEX(对接源_02物料!$B$4:$B$1203,$AG256-1200))))</f>
        <v/>
      </c>
      <c r="B256" s="53" t="str">
        <f>IF($AG256="","",IF($AG256&lt;=1200,IF(INDEX(对接源_01水果!$E$4:$E$1203,$AG256)=0,"",INDEX(对接源_01水果!$E$4:$E$1203,$AG256)),IF(INDEX(对接源_02物料!$E$4:$E$1203,$AG256-1200)=0,"",INDEX(对接源_02物料!$E$4:$E$1203,$AG256-1200))))</f>
        <v/>
      </c>
      <c r="C256" s="53" t="str">
        <f>IF($AG256="","",IF($AG256&lt;=1200,IF(INDEX(对接源_01水果!$F$4:$F$1203,$AG256)=0,"",INDEX(对接源_01水果!$F$4:$F$1203,$AG256)),IF(INDEX(对接源_02物料!$F$4:$F$1203,$AG256-1200)=0,"",INDEX(对接源_02物料!$F$4:$F$1203,$AG256-1200))))</f>
        <v/>
      </c>
      <c r="D256" s="53" t="str">
        <f>IF($AG256="","",IF($AG256&lt;=1200,IF(INDEX(对接源_01水果!$G$4:$G$1203,$AG256)=0,"",INDEX(对接源_01水果!$G$4:$G$1203,$AG256)),IF(INDEX(对接源_02物料!$G$4:$G$1203,$AG256-1200)=0,"",INDEX(对接源_02物料!$G$4:$G$1203,$AG256-1200))))</f>
        <v/>
      </c>
      <c r="E256" s="54" t="str">
        <f>IF($AG256="","",IF($AG256&lt;=1200,IF(INDEX(对接源_01水果!$H$4:$H$1203,$AG256)=0,"",INDEX(对接源_01水果!$H$4:$H$1203,$AG256)),IF(INDEX(对接源_02物料!$H$4:$H$1203,$AG256-1200)=0,"",INDEX(对接源_02物料!$H$4:$H$1203,$AG256-1200))))</f>
        <v/>
      </c>
      <c r="F256" s="53" t="str">
        <f>IF($AG256="","",IF($AG256&lt;=1200,IF(INDEX(对接源_01水果!$I$4:$I$1203,$AG256)=0,"",INDEX(对接源_01水果!$I$4:$I$1203,$AG256)),IF(INDEX(对接源_02物料!$I$4:$I$1203,$AG256-1200)=0,"",INDEX(对接源_02物料!$I$4:$I$1203,$AG256-1200))))</f>
        <v/>
      </c>
      <c r="G256" s="55" t="str">
        <f>IF($AG256="","",IF($AG256&lt;=1200,IF(INDEX(对接源_01水果!$J$4:$J$1203,$AG256)=0,"",INDEX(对接源_01水果!$J$4:$J$1203,$AG256)),IF(INDEX(对接源_02物料!$J$4:$J$1203,$AG256-1200)=0,"",INDEX(对接源_02物料!$J$4:$J$1203,$AG256-1200))))</f>
        <v/>
      </c>
      <c r="H256" s="55" t="str">
        <f>IF($AG256="","",IF($AG256&lt;=1200,IF(INDEX(对接源_01水果!$K$4:$K$1203,$AG256)=0,"",INDEX(对接源_01水果!$K$4:$K$1203,$AG256)),IF(INDEX(对接源_02物料!$K$4:$K$1203,$AG256-1200)=0,"",INDEX(对接源_02物料!$K$4:$K$1203,$AG256-1200))))</f>
        <v/>
      </c>
      <c r="I256" s="53" t="str">
        <f>IF($AG256="","",IF($AG256&lt;=1200,IF(INDEX(对接源_01水果!$L$4:$L$1203,$AG256)=0,"",INDEX(对接源_01水果!$L$4:$L$1203,$AG256)),IF(INDEX(对接源_02物料!$L$4:$L$1203,$AG256-1200)=0,"",INDEX(对接源_02物料!$L$4:$L$1203,$AG256-1200))))</f>
        <v/>
      </c>
      <c r="J256" s="56" t="str">
        <f>IF($AG256="","",IF($AG256&lt;=1200,IF(INDEX(对接源_01水果!$M$4:$M$1203,$AG256)=0,"",INDEX(对接源_01水果!$M$4:$M$1203,$AG256)),IF(INDEX(对接源_02物料!$M$4:$M$1203,$AG256-1200)=0,"",INDEX(对接源_02物料!$M$4:$M$1203,$AG256-1200))))</f>
        <v/>
      </c>
      <c r="AG256" s="2" t="str">
        <f>IFERROR(MATCH(45,_自动清单!$AE$4:$AE$2403,0),"")</f>
        <v/>
      </c>
    </row>
    <row r="257" ht="18" customHeight="1" spans="1:33">
      <c r="A257" s="87" t="str">
        <f>IF($AG257="","",IF($AG257&lt;=1200,IF(INDEX(对接源_01水果!$B$4:$B$1203,$AG257)=0,"",INDEX(对接源_01水果!$B$4:$B$1203,$AG257)),IF(INDEX(对接源_02物料!$B$4:$B$1203,$AG257-1200)=0,"",INDEX(对接源_02物料!$B$4:$B$1203,$AG257-1200))))</f>
        <v/>
      </c>
      <c r="B257" s="88" t="str">
        <f>IF($AG257="","",IF($AG257&lt;=1200,IF(INDEX(对接源_01水果!$E$4:$E$1203,$AG257)=0,"",INDEX(对接源_01水果!$E$4:$E$1203,$AG257)),IF(INDEX(对接源_02物料!$E$4:$E$1203,$AG257-1200)=0,"",INDEX(对接源_02物料!$E$4:$E$1203,$AG257-1200))))</f>
        <v/>
      </c>
      <c r="C257" s="88" t="str">
        <f>IF($AG257="","",IF($AG257&lt;=1200,IF(INDEX(对接源_01水果!$F$4:$F$1203,$AG257)=0,"",INDEX(对接源_01水果!$F$4:$F$1203,$AG257)),IF(INDEX(对接源_02物料!$F$4:$F$1203,$AG257-1200)=0,"",INDEX(对接源_02物料!$F$4:$F$1203,$AG257-1200))))</f>
        <v/>
      </c>
      <c r="D257" s="88" t="str">
        <f>IF($AG257="","",IF($AG257&lt;=1200,IF(INDEX(对接源_01水果!$G$4:$G$1203,$AG257)=0,"",INDEX(对接源_01水果!$G$4:$G$1203,$AG257)),IF(INDEX(对接源_02物料!$G$4:$G$1203,$AG257-1200)=0,"",INDEX(对接源_02物料!$G$4:$G$1203,$AG257-1200))))</f>
        <v/>
      </c>
      <c r="E257" s="89" t="str">
        <f>IF($AG257="","",IF($AG257&lt;=1200,IF(INDEX(对接源_01水果!$H$4:$H$1203,$AG257)=0,"",INDEX(对接源_01水果!$H$4:$H$1203,$AG257)),IF(INDEX(对接源_02物料!$H$4:$H$1203,$AG257-1200)=0,"",INDEX(对接源_02物料!$H$4:$H$1203,$AG257-1200))))</f>
        <v/>
      </c>
      <c r="F257" s="88" t="str">
        <f>IF($AG257="","",IF($AG257&lt;=1200,IF(INDEX(对接源_01水果!$I$4:$I$1203,$AG257)=0,"",INDEX(对接源_01水果!$I$4:$I$1203,$AG257)),IF(INDEX(对接源_02物料!$I$4:$I$1203,$AG257-1200)=0,"",INDEX(对接源_02物料!$I$4:$I$1203,$AG257-1200))))</f>
        <v/>
      </c>
      <c r="G257" s="90" t="str">
        <f>IF($AG257="","",IF($AG257&lt;=1200,IF(INDEX(对接源_01水果!$J$4:$J$1203,$AG257)=0,"",INDEX(对接源_01水果!$J$4:$J$1203,$AG257)),IF(INDEX(对接源_02物料!$J$4:$J$1203,$AG257-1200)=0,"",INDEX(对接源_02物料!$J$4:$J$1203,$AG257-1200))))</f>
        <v/>
      </c>
      <c r="H257" s="90" t="str">
        <f>IF($AG257="","",IF($AG257&lt;=1200,IF(INDEX(对接源_01水果!$K$4:$K$1203,$AG257)=0,"",INDEX(对接源_01水果!$K$4:$K$1203,$AG257)),IF(INDEX(对接源_02物料!$K$4:$K$1203,$AG257-1200)=0,"",INDEX(对接源_02物料!$K$4:$K$1203,$AG257-1200))))</f>
        <v/>
      </c>
      <c r="I257" s="88" t="str">
        <f>IF($AG257="","",IF($AG257&lt;=1200,IF(INDEX(对接源_01水果!$L$4:$L$1203,$AG257)=0,"",INDEX(对接源_01水果!$L$4:$L$1203,$AG257)),IF(INDEX(对接源_02物料!$L$4:$L$1203,$AG257-1200)=0,"",INDEX(对接源_02物料!$L$4:$L$1203,$AG257-1200))))</f>
        <v/>
      </c>
      <c r="J257" s="91" t="str">
        <f>IF($AG257="","",IF($AG257&lt;=1200,IF(INDEX(对接源_01水果!$M$4:$M$1203,$AG257)=0,"",INDEX(对接源_01水果!$M$4:$M$1203,$AG257)),IF(INDEX(对接源_02物料!$M$4:$M$1203,$AG257-1200)=0,"",INDEX(对接源_02物料!$M$4:$M$1203,$AG257-1200))))</f>
        <v/>
      </c>
      <c r="AG257" s="2" t="str">
        <f>IFERROR(MATCH(46,_自动清单!$AE$4:$AE$2403,0),"")</f>
        <v/>
      </c>
    </row>
    <row r="258" ht="18" customHeight="1" spans="1:33">
      <c r="A258" s="52" t="str">
        <f>IF($AG258="","",IF($AG258&lt;=1200,IF(INDEX(对接源_01水果!$B$4:$B$1203,$AG258)=0,"",INDEX(对接源_01水果!$B$4:$B$1203,$AG258)),IF(INDEX(对接源_02物料!$B$4:$B$1203,$AG258-1200)=0,"",INDEX(对接源_02物料!$B$4:$B$1203,$AG258-1200))))</f>
        <v/>
      </c>
      <c r="B258" s="53" t="str">
        <f>IF($AG258="","",IF($AG258&lt;=1200,IF(INDEX(对接源_01水果!$E$4:$E$1203,$AG258)=0,"",INDEX(对接源_01水果!$E$4:$E$1203,$AG258)),IF(INDEX(对接源_02物料!$E$4:$E$1203,$AG258-1200)=0,"",INDEX(对接源_02物料!$E$4:$E$1203,$AG258-1200))))</f>
        <v/>
      </c>
      <c r="C258" s="53" t="str">
        <f>IF($AG258="","",IF($AG258&lt;=1200,IF(INDEX(对接源_01水果!$F$4:$F$1203,$AG258)=0,"",INDEX(对接源_01水果!$F$4:$F$1203,$AG258)),IF(INDEX(对接源_02物料!$F$4:$F$1203,$AG258-1200)=0,"",INDEX(对接源_02物料!$F$4:$F$1203,$AG258-1200))))</f>
        <v/>
      </c>
      <c r="D258" s="53" t="str">
        <f>IF($AG258="","",IF($AG258&lt;=1200,IF(INDEX(对接源_01水果!$G$4:$G$1203,$AG258)=0,"",INDEX(对接源_01水果!$G$4:$G$1203,$AG258)),IF(INDEX(对接源_02物料!$G$4:$G$1203,$AG258-1200)=0,"",INDEX(对接源_02物料!$G$4:$G$1203,$AG258-1200))))</f>
        <v/>
      </c>
      <c r="E258" s="54" t="str">
        <f>IF($AG258="","",IF($AG258&lt;=1200,IF(INDEX(对接源_01水果!$H$4:$H$1203,$AG258)=0,"",INDEX(对接源_01水果!$H$4:$H$1203,$AG258)),IF(INDEX(对接源_02物料!$H$4:$H$1203,$AG258-1200)=0,"",INDEX(对接源_02物料!$H$4:$H$1203,$AG258-1200))))</f>
        <v/>
      </c>
      <c r="F258" s="53" t="str">
        <f>IF($AG258="","",IF($AG258&lt;=1200,IF(INDEX(对接源_01水果!$I$4:$I$1203,$AG258)=0,"",INDEX(对接源_01水果!$I$4:$I$1203,$AG258)),IF(INDEX(对接源_02物料!$I$4:$I$1203,$AG258-1200)=0,"",INDEX(对接源_02物料!$I$4:$I$1203,$AG258-1200))))</f>
        <v/>
      </c>
      <c r="G258" s="55" t="str">
        <f>IF($AG258="","",IF($AG258&lt;=1200,IF(INDEX(对接源_01水果!$J$4:$J$1203,$AG258)=0,"",INDEX(对接源_01水果!$J$4:$J$1203,$AG258)),IF(INDEX(对接源_02物料!$J$4:$J$1203,$AG258-1200)=0,"",INDEX(对接源_02物料!$J$4:$J$1203,$AG258-1200))))</f>
        <v/>
      </c>
      <c r="H258" s="55" t="str">
        <f>IF($AG258="","",IF($AG258&lt;=1200,IF(INDEX(对接源_01水果!$K$4:$K$1203,$AG258)=0,"",INDEX(对接源_01水果!$K$4:$K$1203,$AG258)),IF(INDEX(对接源_02物料!$K$4:$K$1203,$AG258-1200)=0,"",INDEX(对接源_02物料!$K$4:$K$1203,$AG258-1200))))</f>
        <v/>
      </c>
      <c r="I258" s="53" t="str">
        <f>IF($AG258="","",IF($AG258&lt;=1200,IF(INDEX(对接源_01水果!$L$4:$L$1203,$AG258)=0,"",INDEX(对接源_01水果!$L$4:$L$1203,$AG258)),IF(INDEX(对接源_02物料!$L$4:$L$1203,$AG258-1200)=0,"",INDEX(对接源_02物料!$L$4:$L$1203,$AG258-1200))))</f>
        <v/>
      </c>
      <c r="J258" s="56" t="str">
        <f>IF($AG258="","",IF($AG258&lt;=1200,IF(INDEX(对接源_01水果!$M$4:$M$1203,$AG258)=0,"",INDEX(对接源_01水果!$M$4:$M$1203,$AG258)),IF(INDEX(对接源_02物料!$M$4:$M$1203,$AG258-1200)=0,"",INDEX(对接源_02物料!$M$4:$M$1203,$AG258-1200))))</f>
        <v/>
      </c>
      <c r="AG258" s="2" t="str">
        <f>IFERROR(MATCH(47,_自动清单!$AE$4:$AE$2403,0),"")</f>
        <v/>
      </c>
    </row>
    <row r="259" ht="18" customHeight="1" spans="1:33">
      <c r="A259" s="87" t="str">
        <f>IF($AG259="","",IF($AG259&lt;=1200,IF(INDEX(对接源_01水果!$B$4:$B$1203,$AG259)=0,"",INDEX(对接源_01水果!$B$4:$B$1203,$AG259)),IF(INDEX(对接源_02物料!$B$4:$B$1203,$AG259-1200)=0,"",INDEX(对接源_02物料!$B$4:$B$1203,$AG259-1200))))</f>
        <v/>
      </c>
      <c r="B259" s="88" t="str">
        <f>IF($AG259="","",IF($AG259&lt;=1200,IF(INDEX(对接源_01水果!$E$4:$E$1203,$AG259)=0,"",INDEX(对接源_01水果!$E$4:$E$1203,$AG259)),IF(INDEX(对接源_02物料!$E$4:$E$1203,$AG259-1200)=0,"",INDEX(对接源_02物料!$E$4:$E$1203,$AG259-1200))))</f>
        <v/>
      </c>
      <c r="C259" s="88" t="str">
        <f>IF($AG259="","",IF($AG259&lt;=1200,IF(INDEX(对接源_01水果!$F$4:$F$1203,$AG259)=0,"",INDEX(对接源_01水果!$F$4:$F$1203,$AG259)),IF(INDEX(对接源_02物料!$F$4:$F$1203,$AG259-1200)=0,"",INDEX(对接源_02物料!$F$4:$F$1203,$AG259-1200))))</f>
        <v/>
      </c>
      <c r="D259" s="88" t="str">
        <f>IF($AG259="","",IF($AG259&lt;=1200,IF(INDEX(对接源_01水果!$G$4:$G$1203,$AG259)=0,"",INDEX(对接源_01水果!$G$4:$G$1203,$AG259)),IF(INDEX(对接源_02物料!$G$4:$G$1203,$AG259-1200)=0,"",INDEX(对接源_02物料!$G$4:$G$1203,$AG259-1200))))</f>
        <v/>
      </c>
      <c r="E259" s="89" t="str">
        <f>IF($AG259="","",IF($AG259&lt;=1200,IF(INDEX(对接源_01水果!$H$4:$H$1203,$AG259)=0,"",INDEX(对接源_01水果!$H$4:$H$1203,$AG259)),IF(INDEX(对接源_02物料!$H$4:$H$1203,$AG259-1200)=0,"",INDEX(对接源_02物料!$H$4:$H$1203,$AG259-1200))))</f>
        <v/>
      </c>
      <c r="F259" s="88" t="str">
        <f>IF($AG259="","",IF($AG259&lt;=1200,IF(INDEX(对接源_01水果!$I$4:$I$1203,$AG259)=0,"",INDEX(对接源_01水果!$I$4:$I$1203,$AG259)),IF(INDEX(对接源_02物料!$I$4:$I$1203,$AG259-1200)=0,"",INDEX(对接源_02物料!$I$4:$I$1203,$AG259-1200))))</f>
        <v/>
      </c>
      <c r="G259" s="90" t="str">
        <f>IF($AG259="","",IF($AG259&lt;=1200,IF(INDEX(对接源_01水果!$J$4:$J$1203,$AG259)=0,"",INDEX(对接源_01水果!$J$4:$J$1203,$AG259)),IF(INDEX(对接源_02物料!$J$4:$J$1203,$AG259-1200)=0,"",INDEX(对接源_02物料!$J$4:$J$1203,$AG259-1200))))</f>
        <v/>
      </c>
      <c r="H259" s="90" t="str">
        <f>IF($AG259="","",IF($AG259&lt;=1200,IF(INDEX(对接源_01水果!$K$4:$K$1203,$AG259)=0,"",INDEX(对接源_01水果!$K$4:$K$1203,$AG259)),IF(INDEX(对接源_02物料!$K$4:$K$1203,$AG259-1200)=0,"",INDEX(对接源_02物料!$K$4:$K$1203,$AG259-1200))))</f>
        <v/>
      </c>
      <c r="I259" s="88" t="str">
        <f>IF($AG259="","",IF($AG259&lt;=1200,IF(INDEX(对接源_01水果!$L$4:$L$1203,$AG259)=0,"",INDEX(对接源_01水果!$L$4:$L$1203,$AG259)),IF(INDEX(对接源_02物料!$L$4:$L$1203,$AG259-1200)=0,"",INDEX(对接源_02物料!$L$4:$L$1203,$AG259-1200))))</f>
        <v/>
      </c>
      <c r="J259" s="91" t="str">
        <f>IF($AG259="","",IF($AG259&lt;=1200,IF(INDEX(对接源_01水果!$M$4:$M$1203,$AG259)=0,"",INDEX(对接源_01水果!$M$4:$M$1203,$AG259)),IF(INDEX(对接源_02物料!$M$4:$M$1203,$AG259-1200)=0,"",INDEX(对接源_02物料!$M$4:$M$1203,$AG259-1200))))</f>
        <v/>
      </c>
      <c r="AG259" s="2" t="str">
        <f>IFERROR(MATCH(48,_自动清单!$AE$4:$AE$2403,0),"")</f>
        <v/>
      </c>
    </row>
    <row r="260" ht="18" customHeight="1" spans="1:33">
      <c r="A260" s="52" t="str">
        <f>IF($AG260="","",IF($AG260&lt;=1200,IF(INDEX(对接源_01水果!$B$4:$B$1203,$AG260)=0,"",INDEX(对接源_01水果!$B$4:$B$1203,$AG260)),IF(INDEX(对接源_02物料!$B$4:$B$1203,$AG260-1200)=0,"",INDEX(对接源_02物料!$B$4:$B$1203,$AG260-1200))))</f>
        <v/>
      </c>
      <c r="B260" s="53" t="str">
        <f>IF($AG260="","",IF($AG260&lt;=1200,IF(INDEX(对接源_01水果!$E$4:$E$1203,$AG260)=0,"",INDEX(对接源_01水果!$E$4:$E$1203,$AG260)),IF(INDEX(对接源_02物料!$E$4:$E$1203,$AG260-1200)=0,"",INDEX(对接源_02物料!$E$4:$E$1203,$AG260-1200))))</f>
        <v/>
      </c>
      <c r="C260" s="53" t="str">
        <f>IF($AG260="","",IF($AG260&lt;=1200,IF(INDEX(对接源_01水果!$F$4:$F$1203,$AG260)=0,"",INDEX(对接源_01水果!$F$4:$F$1203,$AG260)),IF(INDEX(对接源_02物料!$F$4:$F$1203,$AG260-1200)=0,"",INDEX(对接源_02物料!$F$4:$F$1203,$AG260-1200))))</f>
        <v/>
      </c>
      <c r="D260" s="53" t="str">
        <f>IF($AG260="","",IF($AG260&lt;=1200,IF(INDEX(对接源_01水果!$G$4:$G$1203,$AG260)=0,"",INDEX(对接源_01水果!$G$4:$G$1203,$AG260)),IF(INDEX(对接源_02物料!$G$4:$G$1203,$AG260-1200)=0,"",INDEX(对接源_02物料!$G$4:$G$1203,$AG260-1200))))</f>
        <v/>
      </c>
      <c r="E260" s="54" t="str">
        <f>IF($AG260="","",IF($AG260&lt;=1200,IF(INDEX(对接源_01水果!$H$4:$H$1203,$AG260)=0,"",INDEX(对接源_01水果!$H$4:$H$1203,$AG260)),IF(INDEX(对接源_02物料!$H$4:$H$1203,$AG260-1200)=0,"",INDEX(对接源_02物料!$H$4:$H$1203,$AG260-1200))))</f>
        <v/>
      </c>
      <c r="F260" s="53" t="str">
        <f>IF($AG260="","",IF($AG260&lt;=1200,IF(INDEX(对接源_01水果!$I$4:$I$1203,$AG260)=0,"",INDEX(对接源_01水果!$I$4:$I$1203,$AG260)),IF(INDEX(对接源_02物料!$I$4:$I$1203,$AG260-1200)=0,"",INDEX(对接源_02物料!$I$4:$I$1203,$AG260-1200))))</f>
        <v/>
      </c>
      <c r="G260" s="55" t="str">
        <f>IF($AG260="","",IF($AG260&lt;=1200,IF(INDEX(对接源_01水果!$J$4:$J$1203,$AG260)=0,"",INDEX(对接源_01水果!$J$4:$J$1203,$AG260)),IF(INDEX(对接源_02物料!$J$4:$J$1203,$AG260-1200)=0,"",INDEX(对接源_02物料!$J$4:$J$1203,$AG260-1200))))</f>
        <v/>
      </c>
      <c r="H260" s="55" t="str">
        <f>IF($AG260="","",IF($AG260&lt;=1200,IF(INDEX(对接源_01水果!$K$4:$K$1203,$AG260)=0,"",INDEX(对接源_01水果!$K$4:$K$1203,$AG260)),IF(INDEX(对接源_02物料!$K$4:$K$1203,$AG260-1200)=0,"",INDEX(对接源_02物料!$K$4:$K$1203,$AG260-1200))))</f>
        <v/>
      </c>
      <c r="I260" s="53" t="str">
        <f>IF($AG260="","",IF($AG260&lt;=1200,IF(INDEX(对接源_01水果!$L$4:$L$1203,$AG260)=0,"",INDEX(对接源_01水果!$L$4:$L$1203,$AG260)),IF(INDEX(对接源_02物料!$L$4:$L$1203,$AG260-1200)=0,"",INDEX(对接源_02物料!$L$4:$L$1203,$AG260-1200))))</f>
        <v/>
      </c>
      <c r="J260" s="56" t="str">
        <f>IF($AG260="","",IF($AG260&lt;=1200,IF(INDEX(对接源_01水果!$M$4:$M$1203,$AG260)=0,"",INDEX(对接源_01水果!$M$4:$M$1203,$AG260)),IF(INDEX(对接源_02物料!$M$4:$M$1203,$AG260-1200)=0,"",INDEX(对接源_02物料!$M$4:$M$1203,$AG260-1200))))</f>
        <v/>
      </c>
      <c r="AG260" s="2" t="str">
        <f>IFERROR(MATCH(49,_自动清单!$AE$4:$AE$2403,0),"")</f>
        <v/>
      </c>
    </row>
    <row r="261" ht="18" customHeight="1" spans="1:33">
      <c r="A261" s="87" t="str">
        <f>IF($AG261="","",IF($AG261&lt;=1200,IF(INDEX(对接源_01水果!$B$4:$B$1203,$AG261)=0,"",INDEX(对接源_01水果!$B$4:$B$1203,$AG261)),IF(INDEX(对接源_02物料!$B$4:$B$1203,$AG261-1200)=0,"",INDEX(对接源_02物料!$B$4:$B$1203,$AG261-1200))))</f>
        <v/>
      </c>
      <c r="B261" s="88" t="str">
        <f>IF($AG261="","",IF($AG261&lt;=1200,IF(INDEX(对接源_01水果!$E$4:$E$1203,$AG261)=0,"",INDEX(对接源_01水果!$E$4:$E$1203,$AG261)),IF(INDEX(对接源_02物料!$E$4:$E$1203,$AG261-1200)=0,"",INDEX(对接源_02物料!$E$4:$E$1203,$AG261-1200))))</f>
        <v/>
      </c>
      <c r="C261" s="88" t="str">
        <f>IF($AG261="","",IF($AG261&lt;=1200,IF(INDEX(对接源_01水果!$F$4:$F$1203,$AG261)=0,"",INDEX(对接源_01水果!$F$4:$F$1203,$AG261)),IF(INDEX(对接源_02物料!$F$4:$F$1203,$AG261-1200)=0,"",INDEX(对接源_02物料!$F$4:$F$1203,$AG261-1200))))</f>
        <v/>
      </c>
      <c r="D261" s="88" t="str">
        <f>IF($AG261="","",IF($AG261&lt;=1200,IF(INDEX(对接源_01水果!$G$4:$G$1203,$AG261)=0,"",INDEX(对接源_01水果!$G$4:$G$1203,$AG261)),IF(INDEX(对接源_02物料!$G$4:$G$1203,$AG261-1200)=0,"",INDEX(对接源_02物料!$G$4:$G$1203,$AG261-1200))))</f>
        <v/>
      </c>
      <c r="E261" s="89" t="str">
        <f>IF($AG261="","",IF($AG261&lt;=1200,IF(INDEX(对接源_01水果!$H$4:$H$1203,$AG261)=0,"",INDEX(对接源_01水果!$H$4:$H$1203,$AG261)),IF(INDEX(对接源_02物料!$H$4:$H$1203,$AG261-1200)=0,"",INDEX(对接源_02物料!$H$4:$H$1203,$AG261-1200))))</f>
        <v/>
      </c>
      <c r="F261" s="88" t="str">
        <f>IF($AG261="","",IF($AG261&lt;=1200,IF(INDEX(对接源_01水果!$I$4:$I$1203,$AG261)=0,"",INDEX(对接源_01水果!$I$4:$I$1203,$AG261)),IF(INDEX(对接源_02物料!$I$4:$I$1203,$AG261-1200)=0,"",INDEX(对接源_02物料!$I$4:$I$1203,$AG261-1200))))</f>
        <v/>
      </c>
      <c r="G261" s="90" t="str">
        <f>IF($AG261="","",IF($AG261&lt;=1200,IF(INDEX(对接源_01水果!$J$4:$J$1203,$AG261)=0,"",INDEX(对接源_01水果!$J$4:$J$1203,$AG261)),IF(INDEX(对接源_02物料!$J$4:$J$1203,$AG261-1200)=0,"",INDEX(对接源_02物料!$J$4:$J$1203,$AG261-1200))))</f>
        <v/>
      </c>
      <c r="H261" s="90" t="str">
        <f>IF($AG261="","",IF($AG261&lt;=1200,IF(INDEX(对接源_01水果!$K$4:$K$1203,$AG261)=0,"",INDEX(对接源_01水果!$K$4:$K$1203,$AG261)),IF(INDEX(对接源_02物料!$K$4:$K$1203,$AG261-1200)=0,"",INDEX(对接源_02物料!$K$4:$K$1203,$AG261-1200))))</f>
        <v/>
      </c>
      <c r="I261" s="88" t="str">
        <f>IF($AG261="","",IF($AG261&lt;=1200,IF(INDEX(对接源_01水果!$L$4:$L$1203,$AG261)=0,"",INDEX(对接源_01水果!$L$4:$L$1203,$AG261)),IF(INDEX(对接源_02物料!$L$4:$L$1203,$AG261-1200)=0,"",INDEX(对接源_02物料!$L$4:$L$1203,$AG261-1200))))</f>
        <v/>
      </c>
      <c r="J261" s="91" t="str">
        <f>IF($AG261="","",IF($AG261&lt;=1200,IF(INDEX(对接源_01水果!$M$4:$M$1203,$AG261)=0,"",INDEX(对接源_01水果!$M$4:$M$1203,$AG261)),IF(INDEX(对接源_02物料!$M$4:$M$1203,$AG261-1200)=0,"",INDEX(对接源_02物料!$M$4:$M$1203,$AG261-1200))))</f>
        <v/>
      </c>
      <c r="AG261" s="2" t="str">
        <f>IFERROR(MATCH(50,_自动清单!$AE$4:$AE$2403,0),"")</f>
        <v/>
      </c>
    </row>
    <row r="262" ht="18" customHeight="1" spans="1:33">
      <c r="A262" s="52" t="str">
        <f>IF($AG262="","",IF($AG262&lt;=1200,IF(INDEX(对接源_01水果!$B$4:$B$1203,$AG262)=0,"",INDEX(对接源_01水果!$B$4:$B$1203,$AG262)),IF(INDEX(对接源_02物料!$B$4:$B$1203,$AG262-1200)=0,"",INDEX(对接源_02物料!$B$4:$B$1203,$AG262-1200))))</f>
        <v/>
      </c>
      <c r="B262" s="53" t="str">
        <f>IF($AG262="","",IF($AG262&lt;=1200,IF(INDEX(对接源_01水果!$E$4:$E$1203,$AG262)=0,"",INDEX(对接源_01水果!$E$4:$E$1203,$AG262)),IF(INDEX(对接源_02物料!$E$4:$E$1203,$AG262-1200)=0,"",INDEX(对接源_02物料!$E$4:$E$1203,$AG262-1200))))</f>
        <v/>
      </c>
      <c r="C262" s="53" t="str">
        <f>IF($AG262="","",IF($AG262&lt;=1200,IF(INDEX(对接源_01水果!$F$4:$F$1203,$AG262)=0,"",INDEX(对接源_01水果!$F$4:$F$1203,$AG262)),IF(INDEX(对接源_02物料!$F$4:$F$1203,$AG262-1200)=0,"",INDEX(对接源_02物料!$F$4:$F$1203,$AG262-1200))))</f>
        <v/>
      </c>
      <c r="D262" s="53" t="str">
        <f>IF($AG262="","",IF($AG262&lt;=1200,IF(INDEX(对接源_01水果!$G$4:$G$1203,$AG262)=0,"",INDEX(对接源_01水果!$G$4:$G$1203,$AG262)),IF(INDEX(对接源_02物料!$G$4:$G$1203,$AG262-1200)=0,"",INDEX(对接源_02物料!$G$4:$G$1203,$AG262-1200))))</f>
        <v/>
      </c>
      <c r="E262" s="54" t="str">
        <f>IF($AG262="","",IF($AG262&lt;=1200,IF(INDEX(对接源_01水果!$H$4:$H$1203,$AG262)=0,"",INDEX(对接源_01水果!$H$4:$H$1203,$AG262)),IF(INDEX(对接源_02物料!$H$4:$H$1203,$AG262-1200)=0,"",INDEX(对接源_02物料!$H$4:$H$1203,$AG262-1200))))</f>
        <v/>
      </c>
      <c r="F262" s="53" t="str">
        <f>IF($AG262="","",IF($AG262&lt;=1200,IF(INDEX(对接源_01水果!$I$4:$I$1203,$AG262)=0,"",INDEX(对接源_01水果!$I$4:$I$1203,$AG262)),IF(INDEX(对接源_02物料!$I$4:$I$1203,$AG262-1200)=0,"",INDEX(对接源_02物料!$I$4:$I$1203,$AG262-1200))))</f>
        <v/>
      </c>
      <c r="G262" s="55" t="str">
        <f>IF($AG262="","",IF($AG262&lt;=1200,IF(INDEX(对接源_01水果!$J$4:$J$1203,$AG262)=0,"",INDEX(对接源_01水果!$J$4:$J$1203,$AG262)),IF(INDEX(对接源_02物料!$J$4:$J$1203,$AG262-1200)=0,"",INDEX(对接源_02物料!$J$4:$J$1203,$AG262-1200))))</f>
        <v/>
      </c>
      <c r="H262" s="55" t="str">
        <f>IF($AG262="","",IF($AG262&lt;=1200,IF(INDEX(对接源_01水果!$K$4:$K$1203,$AG262)=0,"",INDEX(对接源_01水果!$K$4:$K$1203,$AG262)),IF(INDEX(对接源_02物料!$K$4:$K$1203,$AG262-1200)=0,"",INDEX(对接源_02物料!$K$4:$K$1203,$AG262-1200))))</f>
        <v/>
      </c>
      <c r="I262" s="53" t="str">
        <f>IF($AG262="","",IF($AG262&lt;=1200,IF(INDEX(对接源_01水果!$L$4:$L$1203,$AG262)=0,"",INDEX(对接源_01水果!$L$4:$L$1203,$AG262)),IF(INDEX(对接源_02物料!$L$4:$L$1203,$AG262-1200)=0,"",INDEX(对接源_02物料!$L$4:$L$1203,$AG262-1200))))</f>
        <v/>
      </c>
      <c r="J262" s="56" t="str">
        <f>IF($AG262="","",IF($AG262&lt;=1200,IF(INDEX(对接源_01水果!$M$4:$M$1203,$AG262)=0,"",INDEX(对接源_01水果!$M$4:$M$1203,$AG262)),IF(INDEX(对接源_02物料!$M$4:$M$1203,$AG262-1200)=0,"",INDEX(对接源_02物料!$M$4:$M$1203,$AG262-1200))))</f>
        <v/>
      </c>
      <c r="AG262" s="2" t="str">
        <f>IFERROR(MATCH(51,_自动清单!$AE$4:$AE$2403,0),"")</f>
        <v/>
      </c>
    </row>
    <row r="263" ht="18" customHeight="1" spans="1:33">
      <c r="A263" s="87" t="str">
        <f>IF($AG263="","",IF($AG263&lt;=1200,IF(INDEX(对接源_01水果!$B$4:$B$1203,$AG263)=0,"",INDEX(对接源_01水果!$B$4:$B$1203,$AG263)),IF(INDEX(对接源_02物料!$B$4:$B$1203,$AG263-1200)=0,"",INDEX(对接源_02物料!$B$4:$B$1203,$AG263-1200))))</f>
        <v/>
      </c>
      <c r="B263" s="88" t="str">
        <f>IF($AG263="","",IF($AG263&lt;=1200,IF(INDEX(对接源_01水果!$E$4:$E$1203,$AG263)=0,"",INDEX(对接源_01水果!$E$4:$E$1203,$AG263)),IF(INDEX(对接源_02物料!$E$4:$E$1203,$AG263-1200)=0,"",INDEX(对接源_02物料!$E$4:$E$1203,$AG263-1200))))</f>
        <v/>
      </c>
      <c r="C263" s="88" t="str">
        <f>IF($AG263="","",IF($AG263&lt;=1200,IF(INDEX(对接源_01水果!$F$4:$F$1203,$AG263)=0,"",INDEX(对接源_01水果!$F$4:$F$1203,$AG263)),IF(INDEX(对接源_02物料!$F$4:$F$1203,$AG263-1200)=0,"",INDEX(对接源_02物料!$F$4:$F$1203,$AG263-1200))))</f>
        <v/>
      </c>
      <c r="D263" s="88" t="str">
        <f>IF($AG263="","",IF($AG263&lt;=1200,IF(INDEX(对接源_01水果!$G$4:$G$1203,$AG263)=0,"",INDEX(对接源_01水果!$G$4:$G$1203,$AG263)),IF(INDEX(对接源_02物料!$G$4:$G$1203,$AG263-1200)=0,"",INDEX(对接源_02物料!$G$4:$G$1203,$AG263-1200))))</f>
        <v/>
      </c>
      <c r="E263" s="89" t="str">
        <f>IF($AG263="","",IF($AG263&lt;=1200,IF(INDEX(对接源_01水果!$H$4:$H$1203,$AG263)=0,"",INDEX(对接源_01水果!$H$4:$H$1203,$AG263)),IF(INDEX(对接源_02物料!$H$4:$H$1203,$AG263-1200)=0,"",INDEX(对接源_02物料!$H$4:$H$1203,$AG263-1200))))</f>
        <v/>
      </c>
      <c r="F263" s="88" t="str">
        <f>IF($AG263="","",IF($AG263&lt;=1200,IF(INDEX(对接源_01水果!$I$4:$I$1203,$AG263)=0,"",INDEX(对接源_01水果!$I$4:$I$1203,$AG263)),IF(INDEX(对接源_02物料!$I$4:$I$1203,$AG263-1200)=0,"",INDEX(对接源_02物料!$I$4:$I$1203,$AG263-1200))))</f>
        <v/>
      </c>
      <c r="G263" s="90" t="str">
        <f>IF($AG263="","",IF($AG263&lt;=1200,IF(INDEX(对接源_01水果!$J$4:$J$1203,$AG263)=0,"",INDEX(对接源_01水果!$J$4:$J$1203,$AG263)),IF(INDEX(对接源_02物料!$J$4:$J$1203,$AG263-1200)=0,"",INDEX(对接源_02物料!$J$4:$J$1203,$AG263-1200))))</f>
        <v/>
      </c>
      <c r="H263" s="90" t="str">
        <f>IF($AG263="","",IF($AG263&lt;=1200,IF(INDEX(对接源_01水果!$K$4:$K$1203,$AG263)=0,"",INDEX(对接源_01水果!$K$4:$K$1203,$AG263)),IF(INDEX(对接源_02物料!$K$4:$K$1203,$AG263-1200)=0,"",INDEX(对接源_02物料!$K$4:$K$1203,$AG263-1200))))</f>
        <v/>
      </c>
      <c r="I263" s="88" t="str">
        <f>IF($AG263="","",IF($AG263&lt;=1200,IF(INDEX(对接源_01水果!$L$4:$L$1203,$AG263)=0,"",INDEX(对接源_01水果!$L$4:$L$1203,$AG263)),IF(INDEX(对接源_02物料!$L$4:$L$1203,$AG263-1200)=0,"",INDEX(对接源_02物料!$L$4:$L$1203,$AG263-1200))))</f>
        <v/>
      </c>
      <c r="J263" s="91" t="str">
        <f>IF($AG263="","",IF($AG263&lt;=1200,IF(INDEX(对接源_01水果!$M$4:$M$1203,$AG263)=0,"",INDEX(对接源_01水果!$M$4:$M$1203,$AG263)),IF(INDEX(对接源_02物料!$M$4:$M$1203,$AG263-1200)=0,"",INDEX(对接源_02物料!$M$4:$M$1203,$AG263-1200))))</f>
        <v/>
      </c>
      <c r="AG263" s="2" t="str">
        <f>IFERROR(MATCH(52,_自动清单!$AE$4:$AE$2403,0),"")</f>
        <v/>
      </c>
    </row>
    <row r="264" ht="18" customHeight="1" spans="1:33">
      <c r="A264" s="52" t="str">
        <f>IF($AG264="","",IF($AG264&lt;=1200,IF(INDEX(对接源_01水果!$B$4:$B$1203,$AG264)=0,"",INDEX(对接源_01水果!$B$4:$B$1203,$AG264)),IF(INDEX(对接源_02物料!$B$4:$B$1203,$AG264-1200)=0,"",INDEX(对接源_02物料!$B$4:$B$1203,$AG264-1200))))</f>
        <v/>
      </c>
      <c r="B264" s="53" t="str">
        <f>IF($AG264="","",IF($AG264&lt;=1200,IF(INDEX(对接源_01水果!$E$4:$E$1203,$AG264)=0,"",INDEX(对接源_01水果!$E$4:$E$1203,$AG264)),IF(INDEX(对接源_02物料!$E$4:$E$1203,$AG264-1200)=0,"",INDEX(对接源_02物料!$E$4:$E$1203,$AG264-1200))))</f>
        <v/>
      </c>
      <c r="C264" s="53" t="str">
        <f>IF($AG264="","",IF($AG264&lt;=1200,IF(INDEX(对接源_01水果!$F$4:$F$1203,$AG264)=0,"",INDEX(对接源_01水果!$F$4:$F$1203,$AG264)),IF(INDEX(对接源_02物料!$F$4:$F$1203,$AG264-1200)=0,"",INDEX(对接源_02物料!$F$4:$F$1203,$AG264-1200))))</f>
        <v/>
      </c>
      <c r="D264" s="53" t="str">
        <f>IF($AG264="","",IF($AG264&lt;=1200,IF(INDEX(对接源_01水果!$G$4:$G$1203,$AG264)=0,"",INDEX(对接源_01水果!$G$4:$G$1203,$AG264)),IF(INDEX(对接源_02物料!$G$4:$G$1203,$AG264-1200)=0,"",INDEX(对接源_02物料!$G$4:$G$1203,$AG264-1200))))</f>
        <v/>
      </c>
      <c r="E264" s="54" t="str">
        <f>IF($AG264="","",IF($AG264&lt;=1200,IF(INDEX(对接源_01水果!$H$4:$H$1203,$AG264)=0,"",INDEX(对接源_01水果!$H$4:$H$1203,$AG264)),IF(INDEX(对接源_02物料!$H$4:$H$1203,$AG264-1200)=0,"",INDEX(对接源_02物料!$H$4:$H$1203,$AG264-1200))))</f>
        <v/>
      </c>
      <c r="F264" s="53" t="str">
        <f>IF($AG264="","",IF($AG264&lt;=1200,IF(INDEX(对接源_01水果!$I$4:$I$1203,$AG264)=0,"",INDEX(对接源_01水果!$I$4:$I$1203,$AG264)),IF(INDEX(对接源_02物料!$I$4:$I$1203,$AG264-1200)=0,"",INDEX(对接源_02物料!$I$4:$I$1203,$AG264-1200))))</f>
        <v/>
      </c>
      <c r="G264" s="55" t="str">
        <f>IF($AG264="","",IF($AG264&lt;=1200,IF(INDEX(对接源_01水果!$J$4:$J$1203,$AG264)=0,"",INDEX(对接源_01水果!$J$4:$J$1203,$AG264)),IF(INDEX(对接源_02物料!$J$4:$J$1203,$AG264-1200)=0,"",INDEX(对接源_02物料!$J$4:$J$1203,$AG264-1200))))</f>
        <v/>
      </c>
      <c r="H264" s="55" t="str">
        <f>IF($AG264="","",IF($AG264&lt;=1200,IF(INDEX(对接源_01水果!$K$4:$K$1203,$AG264)=0,"",INDEX(对接源_01水果!$K$4:$K$1203,$AG264)),IF(INDEX(对接源_02物料!$K$4:$K$1203,$AG264-1200)=0,"",INDEX(对接源_02物料!$K$4:$K$1203,$AG264-1200))))</f>
        <v/>
      </c>
      <c r="I264" s="53" t="str">
        <f>IF($AG264="","",IF($AG264&lt;=1200,IF(INDEX(对接源_01水果!$L$4:$L$1203,$AG264)=0,"",INDEX(对接源_01水果!$L$4:$L$1203,$AG264)),IF(INDEX(对接源_02物料!$L$4:$L$1203,$AG264-1200)=0,"",INDEX(对接源_02物料!$L$4:$L$1203,$AG264-1200))))</f>
        <v/>
      </c>
      <c r="J264" s="56" t="str">
        <f>IF($AG264="","",IF($AG264&lt;=1200,IF(INDEX(对接源_01水果!$M$4:$M$1203,$AG264)=0,"",INDEX(对接源_01水果!$M$4:$M$1203,$AG264)),IF(INDEX(对接源_02物料!$M$4:$M$1203,$AG264-1200)=0,"",INDEX(对接源_02物料!$M$4:$M$1203,$AG264-1200))))</f>
        <v/>
      </c>
      <c r="AG264" s="2" t="str">
        <f>IFERROR(MATCH(53,_自动清单!$AE$4:$AE$2403,0),"")</f>
        <v/>
      </c>
    </row>
    <row r="265" ht="18" customHeight="1" spans="1:33">
      <c r="A265" s="87" t="str">
        <f>IF($AG265="","",IF($AG265&lt;=1200,IF(INDEX(对接源_01水果!$B$4:$B$1203,$AG265)=0,"",INDEX(对接源_01水果!$B$4:$B$1203,$AG265)),IF(INDEX(对接源_02物料!$B$4:$B$1203,$AG265-1200)=0,"",INDEX(对接源_02物料!$B$4:$B$1203,$AG265-1200))))</f>
        <v/>
      </c>
      <c r="B265" s="88" t="str">
        <f>IF($AG265="","",IF($AG265&lt;=1200,IF(INDEX(对接源_01水果!$E$4:$E$1203,$AG265)=0,"",INDEX(对接源_01水果!$E$4:$E$1203,$AG265)),IF(INDEX(对接源_02物料!$E$4:$E$1203,$AG265-1200)=0,"",INDEX(对接源_02物料!$E$4:$E$1203,$AG265-1200))))</f>
        <v/>
      </c>
      <c r="C265" s="88" t="str">
        <f>IF($AG265="","",IF($AG265&lt;=1200,IF(INDEX(对接源_01水果!$F$4:$F$1203,$AG265)=0,"",INDEX(对接源_01水果!$F$4:$F$1203,$AG265)),IF(INDEX(对接源_02物料!$F$4:$F$1203,$AG265-1200)=0,"",INDEX(对接源_02物料!$F$4:$F$1203,$AG265-1200))))</f>
        <v/>
      </c>
      <c r="D265" s="88" t="str">
        <f>IF($AG265="","",IF($AG265&lt;=1200,IF(INDEX(对接源_01水果!$G$4:$G$1203,$AG265)=0,"",INDEX(对接源_01水果!$G$4:$G$1203,$AG265)),IF(INDEX(对接源_02物料!$G$4:$G$1203,$AG265-1200)=0,"",INDEX(对接源_02物料!$G$4:$G$1203,$AG265-1200))))</f>
        <v/>
      </c>
      <c r="E265" s="89" t="str">
        <f>IF($AG265="","",IF($AG265&lt;=1200,IF(INDEX(对接源_01水果!$H$4:$H$1203,$AG265)=0,"",INDEX(对接源_01水果!$H$4:$H$1203,$AG265)),IF(INDEX(对接源_02物料!$H$4:$H$1203,$AG265-1200)=0,"",INDEX(对接源_02物料!$H$4:$H$1203,$AG265-1200))))</f>
        <v/>
      </c>
      <c r="F265" s="88" t="str">
        <f>IF($AG265="","",IF($AG265&lt;=1200,IF(INDEX(对接源_01水果!$I$4:$I$1203,$AG265)=0,"",INDEX(对接源_01水果!$I$4:$I$1203,$AG265)),IF(INDEX(对接源_02物料!$I$4:$I$1203,$AG265-1200)=0,"",INDEX(对接源_02物料!$I$4:$I$1203,$AG265-1200))))</f>
        <v/>
      </c>
      <c r="G265" s="90" t="str">
        <f>IF($AG265="","",IF($AG265&lt;=1200,IF(INDEX(对接源_01水果!$J$4:$J$1203,$AG265)=0,"",INDEX(对接源_01水果!$J$4:$J$1203,$AG265)),IF(INDEX(对接源_02物料!$J$4:$J$1203,$AG265-1200)=0,"",INDEX(对接源_02物料!$J$4:$J$1203,$AG265-1200))))</f>
        <v/>
      </c>
      <c r="H265" s="90" t="str">
        <f>IF($AG265="","",IF($AG265&lt;=1200,IF(INDEX(对接源_01水果!$K$4:$K$1203,$AG265)=0,"",INDEX(对接源_01水果!$K$4:$K$1203,$AG265)),IF(INDEX(对接源_02物料!$K$4:$K$1203,$AG265-1200)=0,"",INDEX(对接源_02物料!$K$4:$K$1203,$AG265-1200))))</f>
        <v/>
      </c>
      <c r="I265" s="88" t="str">
        <f>IF($AG265="","",IF($AG265&lt;=1200,IF(INDEX(对接源_01水果!$L$4:$L$1203,$AG265)=0,"",INDEX(对接源_01水果!$L$4:$L$1203,$AG265)),IF(INDEX(对接源_02物料!$L$4:$L$1203,$AG265-1200)=0,"",INDEX(对接源_02物料!$L$4:$L$1203,$AG265-1200))))</f>
        <v/>
      </c>
      <c r="J265" s="91" t="str">
        <f>IF($AG265="","",IF($AG265&lt;=1200,IF(INDEX(对接源_01水果!$M$4:$M$1203,$AG265)=0,"",INDEX(对接源_01水果!$M$4:$M$1203,$AG265)),IF(INDEX(对接源_02物料!$M$4:$M$1203,$AG265-1200)=0,"",INDEX(对接源_02物料!$M$4:$M$1203,$AG265-1200))))</f>
        <v/>
      </c>
      <c r="AG265" s="2" t="str">
        <f>IFERROR(MATCH(54,_自动清单!$AE$4:$AE$2403,0),"")</f>
        <v/>
      </c>
    </row>
    <row r="266" ht="18" customHeight="1" spans="1:33">
      <c r="A266" s="52" t="str">
        <f>IF($AG266="","",IF($AG266&lt;=1200,IF(INDEX(对接源_01水果!$B$4:$B$1203,$AG266)=0,"",INDEX(对接源_01水果!$B$4:$B$1203,$AG266)),IF(INDEX(对接源_02物料!$B$4:$B$1203,$AG266-1200)=0,"",INDEX(对接源_02物料!$B$4:$B$1203,$AG266-1200))))</f>
        <v/>
      </c>
      <c r="B266" s="53" t="str">
        <f>IF($AG266="","",IF($AG266&lt;=1200,IF(INDEX(对接源_01水果!$E$4:$E$1203,$AG266)=0,"",INDEX(对接源_01水果!$E$4:$E$1203,$AG266)),IF(INDEX(对接源_02物料!$E$4:$E$1203,$AG266-1200)=0,"",INDEX(对接源_02物料!$E$4:$E$1203,$AG266-1200))))</f>
        <v/>
      </c>
      <c r="C266" s="53" t="str">
        <f>IF($AG266="","",IF($AG266&lt;=1200,IF(INDEX(对接源_01水果!$F$4:$F$1203,$AG266)=0,"",INDEX(对接源_01水果!$F$4:$F$1203,$AG266)),IF(INDEX(对接源_02物料!$F$4:$F$1203,$AG266-1200)=0,"",INDEX(对接源_02物料!$F$4:$F$1203,$AG266-1200))))</f>
        <v/>
      </c>
      <c r="D266" s="53" t="str">
        <f>IF($AG266="","",IF($AG266&lt;=1200,IF(INDEX(对接源_01水果!$G$4:$G$1203,$AG266)=0,"",INDEX(对接源_01水果!$G$4:$G$1203,$AG266)),IF(INDEX(对接源_02物料!$G$4:$G$1203,$AG266-1200)=0,"",INDEX(对接源_02物料!$G$4:$G$1203,$AG266-1200))))</f>
        <v/>
      </c>
      <c r="E266" s="54" t="str">
        <f>IF($AG266="","",IF($AG266&lt;=1200,IF(INDEX(对接源_01水果!$H$4:$H$1203,$AG266)=0,"",INDEX(对接源_01水果!$H$4:$H$1203,$AG266)),IF(INDEX(对接源_02物料!$H$4:$H$1203,$AG266-1200)=0,"",INDEX(对接源_02物料!$H$4:$H$1203,$AG266-1200))))</f>
        <v/>
      </c>
      <c r="F266" s="53" t="str">
        <f>IF($AG266="","",IF($AG266&lt;=1200,IF(INDEX(对接源_01水果!$I$4:$I$1203,$AG266)=0,"",INDEX(对接源_01水果!$I$4:$I$1203,$AG266)),IF(INDEX(对接源_02物料!$I$4:$I$1203,$AG266-1200)=0,"",INDEX(对接源_02物料!$I$4:$I$1203,$AG266-1200))))</f>
        <v/>
      </c>
      <c r="G266" s="55" t="str">
        <f>IF($AG266="","",IF($AG266&lt;=1200,IF(INDEX(对接源_01水果!$J$4:$J$1203,$AG266)=0,"",INDEX(对接源_01水果!$J$4:$J$1203,$AG266)),IF(INDEX(对接源_02物料!$J$4:$J$1203,$AG266-1200)=0,"",INDEX(对接源_02物料!$J$4:$J$1203,$AG266-1200))))</f>
        <v/>
      </c>
      <c r="H266" s="55" t="str">
        <f>IF($AG266="","",IF($AG266&lt;=1200,IF(INDEX(对接源_01水果!$K$4:$K$1203,$AG266)=0,"",INDEX(对接源_01水果!$K$4:$K$1203,$AG266)),IF(INDEX(对接源_02物料!$K$4:$K$1203,$AG266-1200)=0,"",INDEX(对接源_02物料!$K$4:$K$1203,$AG266-1200))))</f>
        <v/>
      </c>
      <c r="I266" s="53" t="str">
        <f>IF($AG266="","",IF($AG266&lt;=1200,IF(INDEX(对接源_01水果!$L$4:$L$1203,$AG266)=0,"",INDEX(对接源_01水果!$L$4:$L$1203,$AG266)),IF(INDEX(对接源_02物料!$L$4:$L$1203,$AG266-1200)=0,"",INDEX(对接源_02物料!$L$4:$L$1203,$AG266-1200))))</f>
        <v/>
      </c>
      <c r="J266" s="56" t="str">
        <f>IF($AG266="","",IF($AG266&lt;=1200,IF(INDEX(对接源_01水果!$M$4:$M$1203,$AG266)=0,"",INDEX(对接源_01水果!$M$4:$M$1203,$AG266)),IF(INDEX(对接源_02物料!$M$4:$M$1203,$AG266-1200)=0,"",INDEX(对接源_02物料!$M$4:$M$1203,$AG266-1200))))</f>
        <v/>
      </c>
      <c r="AG266" s="2" t="str">
        <f>IFERROR(MATCH(55,_自动清单!$AE$4:$AE$2403,0),"")</f>
        <v/>
      </c>
    </row>
    <row r="267" ht="18" customHeight="1" spans="1:33">
      <c r="A267" s="87" t="str">
        <f>IF($AG267="","",IF($AG267&lt;=1200,IF(INDEX(对接源_01水果!$B$4:$B$1203,$AG267)=0,"",INDEX(对接源_01水果!$B$4:$B$1203,$AG267)),IF(INDEX(对接源_02物料!$B$4:$B$1203,$AG267-1200)=0,"",INDEX(对接源_02物料!$B$4:$B$1203,$AG267-1200))))</f>
        <v/>
      </c>
      <c r="B267" s="88" t="str">
        <f>IF($AG267="","",IF($AG267&lt;=1200,IF(INDEX(对接源_01水果!$E$4:$E$1203,$AG267)=0,"",INDEX(对接源_01水果!$E$4:$E$1203,$AG267)),IF(INDEX(对接源_02物料!$E$4:$E$1203,$AG267-1200)=0,"",INDEX(对接源_02物料!$E$4:$E$1203,$AG267-1200))))</f>
        <v/>
      </c>
      <c r="C267" s="88" t="str">
        <f>IF($AG267="","",IF($AG267&lt;=1200,IF(INDEX(对接源_01水果!$F$4:$F$1203,$AG267)=0,"",INDEX(对接源_01水果!$F$4:$F$1203,$AG267)),IF(INDEX(对接源_02物料!$F$4:$F$1203,$AG267-1200)=0,"",INDEX(对接源_02物料!$F$4:$F$1203,$AG267-1200))))</f>
        <v/>
      </c>
      <c r="D267" s="88" t="str">
        <f>IF($AG267="","",IF($AG267&lt;=1200,IF(INDEX(对接源_01水果!$G$4:$G$1203,$AG267)=0,"",INDEX(对接源_01水果!$G$4:$G$1203,$AG267)),IF(INDEX(对接源_02物料!$G$4:$G$1203,$AG267-1200)=0,"",INDEX(对接源_02物料!$G$4:$G$1203,$AG267-1200))))</f>
        <v/>
      </c>
      <c r="E267" s="89" t="str">
        <f>IF($AG267="","",IF($AG267&lt;=1200,IF(INDEX(对接源_01水果!$H$4:$H$1203,$AG267)=0,"",INDEX(对接源_01水果!$H$4:$H$1203,$AG267)),IF(INDEX(对接源_02物料!$H$4:$H$1203,$AG267-1200)=0,"",INDEX(对接源_02物料!$H$4:$H$1203,$AG267-1200))))</f>
        <v/>
      </c>
      <c r="F267" s="88" t="str">
        <f>IF($AG267="","",IF($AG267&lt;=1200,IF(INDEX(对接源_01水果!$I$4:$I$1203,$AG267)=0,"",INDEX(对接源_01水果!$I$4:$I$1203,$AG267)),IF(INDEX(对接源_02物料!$I$4:$I$1203,$AG267-1200)=0,"",INDEX(对接源_02物料!$I$4:$I$1203,$AG267-1200))))</f>
        <v/>
      </c>
      <c r="G267" s="90" t="str">
        <f>IF($AG267="","",IF($AG267&lt;=1200,IF(INDEX(对接源_01水果!$J$4:$J$1203,$AG267)=0,"",INDEX(对接源_01水果!$J$4:$J$1203,$AG267)),IF(INDEX(对接源_02物料!$J$4:$J$1203,$AG267-1200)=0,"",INDEX(对接源_02物料!$J$4:$J$1203,$AG267-1200))))</f>
        <v/>
      </c>
      <c r="H267" s="90" t="str">
        <f>IF($AG267="","",IF($AG267&lt;=1200,IF(INDEX(对接源_01水果!$K$4:$K$1203,$AG267)=0,"",INDEX(对接源_01水果!$K$4:$K$1203,$AG267)),IF(INDEX(对接源_02物料!$K$4:$K$1203,$AG267-1200)=0,"",INDEX(对接源_02物料!$K$4:$K$1203,$AG267-1200))))</f>
        <v/>
      </c>
      <c r="I267" s="88" t="str">
        <f>IF($AG267="","",IF($AG267&lt;=1200,IF(INDEX(对接源_01水果!$L$4:$L$1203,$AG267)=0,"",INDEX(对接源_01水果!$L$4:$L$1203,$AG267)),IF(INDEX(对接源_02物料!$L$4:$L$1203,$AG267-1200)=0,"",INDEX(对接源_02物料!$L$4:$L$1203,$AG267-1200))))</f>
        <v/>
      </c>
      <c r="J267" s="91" t="str">
        <f>IF($AG267="","",IF($AG267&lt;=1200,IF(INDEX(对接源_01水果!$M$4:$M$1203,$AG267)=0,"",INDEX(对接源_01水果!$M$4:$M$1203,$AG267)),IF(INDEX(对接源_02物料!$M$4:$M$1203,$AG267-1200)=0,"",INDEX(对接源_02物料!$M$4:$M$1203,$AG267-1200))))</f>
        <v/>
      </c>
      <c r="AG267" s="2" t="str">
        <f>IFERROR(MATCH(56,_自动清单!$AE$4:$AE$2403,0),"")</f>
        <v/>
      </c>
    </row>
    <row r="268" ht="18" customHeight="1" spans="1:33">
      <c r="A268" s="52" t="str">
        <f>IF($AG268="","",IF($AG268&lt;=1200,IF(INDEX(对接源_01水果!$B$4:$B$1203,$AG268)=0,"",INDEX(对接源_01水果!$B$4:$B$1203,$AG268)),IF(INDEX(对接源_02物料!$B$4:$B$1203,$AG268-1200)=0,"",INDEX(对接源_02物料!$B$4:$B$1203,$AG268-1200))))</f>
        <v/>
      </c>
      <c r="B268" s="53" t="str">
        <f>IF($AG268="","",IF($AG268&lt;=1200,IF(INDEX(对接源_01水果!$E$4:$E$1203,$AG268)=0,"",INDEX(对接源_01水果!$E$4:$E$1203,$AG268)),IF(INDEX(对接源_02物料!$E$4:$E$1203,$AG268-1200)=0,"",INDEX(对接源_02物料!$E$4:$E$1203,$AG268-1200))))</f>
        <v/>
      </c>
      <c r="C268" s="53" t="str">
        <f>IF($AG268="","",IF($AG268&lt;=1200,IF(INDEX(对接源_01水果!$F$4:$F$1203,$AG268)=0,"",INDEX(对接源_01水果!$F$4:$F$1203,$AG268)),IF(INDEX(对接源_02物料!$F$4:$F$1203,$AG268-1200)=0,"",INDEX(对接源_02物料!$F$4:$F$1203,$AG268-1200))))</f>
        <v/>
      </c>
      <c r="D268" s="53" t="str">
        <f>IF($AG268="","",IF($AG268&lt;=1200,IF(INDEX(对接源_01水果!$G$4:$G$1203,$AG268)=0,"",INDEX(对接源_01水果!$G$4:$G$1203,$AG268)),IF(INDEX(对接源_02物料!$G$4:$G$1203,$AG268-1200)=0,"",INDEX(对接源_02物料!$G$4:$G$1203,$AG268-1200))))</f>
        <v/>
      </c>
      <c r="E268" s="54" t="str">
        <f>IF($AG268="","",IF($AG268&lt;=1200,IF(INDEX(对接源_01水果!$H$4:$H$1203,$AG268)=0,"",INDEX(对接源_01水果!$H$4:$H$1203,$AG268)),IF(INDEX(对接源_02物料!$H$4:$H$1203,$AG268-1200)=0,"",INDEX(对接源_02物料!$H$4:$H$1203,$AG268-1200))))</f>
        <v/>
      </c>
      <c r="F268" s="53" t="str">
        <f>IF($AG268="","",IF($AG268&lt;=1200,IF(INDEX(对接源_01水果!$I$4:$I$1203,$AG268)=0,"",INDEX(对接源_01水果!$I$4:$I$1203,$AG268)),IF(INDEX(对接源_02物料!$I$4:$I$1203,$AG268-1200)=0,"",INDEX(对接源_02物料!$I$4:$I$1203,$AG268-1200))))</f>
        <v/>
      </c>
      <c r="G268" s="55" t="str">
        <f>IF($AG268="","",IF($AG268&lt;=1200,IF(INDEX(对接源_01水果!$J$4:$J$1203,$AG268)=0,"",INDEX(对接源_01水果!$J$4:$J$1203,$AG268)),IF(INDEX(对接源_02物料!$J$4:$J$1203,$AG268-1200)=0,"",INDEX(对接源_02物料!$J$4:$J$1203,$AG268-1200))))</f>
        <v/>
      </c>
      <c r="H268" s="55" t="str">
        <f>IF($AG268="","",IF($AG268&lt;=1200,IF(INDEX(对接源_01水果!$K$4:$K$1203,$AG268)=0,"",INDEX(对接源_01水果!$K$4:$K$1203,$AG268)),IF(INDEX(对接源_02物料!$K$4:$K$1203,$AG268-1200)=0,"",INDEX(对接源_02物料!$K$4:$K$1203,$AG268-1200))))</f>
        <v/>
      </c>
      <c r="I268" s="53" t="str">
        <f>IF($AG268="","",IF($AG268&lt;=1200,IF(INDEX(对接源_01水果!$L$4:$L$1203,$AG268)=0,"",INDEX(对接源_01水果!$L$4:$L$1203,$AG268)),IF(INDEX(对接源_02物料!$L$4:$L$1203,$AG268-1200)=0,"",INDEX(对接源_02物料!$L$4:$L$1203,$AG268-1200))))</f>
        <v/>
      </c>
      <c r="J268" s="56" t="str">
        <f>IF($AG268="","",IF($AG268&lt;=1200,IF(INDEX(对接源_01水果!$M$4:$M$1203,$AG268)=0,"",INDEX(对接源_01水果!$M$4:$M$1203,$AG268)),IF(INDEX(对接源_02物料!$M$4:$M$1203,$AG268-1200)=0,"",INDEX(对接源_02物料!$M$4:$M$1203,$AG268-1200))))</f>
        <v/>
      </c>
      <c r="AG268" s="2" t="str">
        <f>IFERROR(MATCH(57,_自动清单!$AE$4:$AE$2403,0),"")</f>
        <v/>
      </c>
    </row>
    <row r="269" ht="18" customHeight="1" spans="1:33">
      <c r="A269" s="87" t="str">
        <f>IF($AG269="","",IF($AG269&lt;=1200,IF(INDEX(对接源_01水果!$B$4:$B$1203,$AG269)=0,"",INDEX(对接源_01水果!$B$4:$B$1203,$AG269)),IF(INDEX(对接源_02物料!$B$4:$B$1203,$AG269-1200)=0,"",INDEX(对接源_02物料!$B$4:$B$1203,$AG269-1200))))</f>
        <v/>
      </c>
      <c r="B269" s="88" t="str">
        <f>IF($AG269="","",IF($AG269&lt;=1200,IF(INDEX(对接源_01水果!$E$4:$E$1203,$AG269)=0,"",INDEX(对接源_01水果!$E$4:$E$1203,$AG269)),IF(INDEX(对接源_02物料!$E$4:$E$1203,$AG269-1200)=0,"",INDEX(对接源_02物料!$E$4:$E$1203,$AG269-1200))))</f>
        <v/>
      </c>
      <c r="C269" s="88" t="str">
        <f>IF($AG269="","",IF($AG269&lt;=1200,IF(INDEX(对接源_01水果!$F$4:$F$1203,$AG269)=0,"",INDEX(对接源_01水果!$F$4:$F$1203,$AG269)),IF(INDEX(对接源_02物料!$F$4:$F$1203,$AG269-1200)=0,"",INDEX(对接源_02物料!$F$4:$F$1203,$AG269-1200))))</f>
        <v/>
      </c>
      <c r="D269" s="88" t="str">
        <f>IF($AG269="","",IF($AG269&lt;=1200,IF(INDEX(对接源_01水果!$G$4:$G$1203,$AG269)=0,"",INDEX(对接源_01水果!$G$4:$G$1203,$AG269)),IF(INDEX(对接源_02物料!$G$4:$G$1203,$AG269-1200)=0,"",INDEX(对接源_02物料!$G$4:$G$1203,$AG269-1200))))</f>
        <v/>
      </c>
      <c r="E269" s="89" t="str">
        <f>IF($AG269="","",IF($AG269&lt;=1200,IF(INDEX(对接源_01水果!$H$4:$H$1203,$AG269)=0,"",INDEX(对接源_01水果!$H$4:$H$1203,$AG269)),IF(INDEX(对接源_02物料!$H$4:$H$1203,$AG269-1200)=0,"",INDEX(对接源_02物料!$H$4:$H$1203,$AG269-1200))))</f>
        <v/>
      </c>
      <c r="F269" s="88" t="str">
        <f>IF($AG269="","",IF($AG269&lt;=1200,IF(INDEX(对接源_01水果!$I$4:$I$1203,$AG269)=0,"",INDEX(对接源_01水果!$I$4:$I$1203,$AG269)),IF(INDEX(对接源_02物料!$I$4:$I$1203,$AG269-1200)=0,"",INDEX(对接源_02物料!$I$4:$I$1203,$AG269-1200))))</f>
        <v/>
      </c>
      <c r="G269" s="90" t="str">
        <f>IF($AG269="","",IF($AG269&lt;=1200,IF(INDEX(对接源_01水果!$J$4:$J$1203,$AG269)=0,"",INDEX(对接源_01水果!$J$4:$J$1203,$AG269)),IF(INDEX(对接源_02物料!$J$4:$J$1203,$AG269-1200)=0,"",INDEX(对接源_02物料!$J$4:$J$1203,$AG269-1200))))</f>
        <v/>
      </c>
      <c r="H269" s="90" t="str">
        <f>IF($AG269="","",IF($AG269&lt;=1200,IF(INDEX(对接源_01水果!$K$4:$K$1203,$AG269)=0,"",INDEX(对接源_01水果!$K$4:$K$1203,$AG269)),IF(INDEX(对接源_02物料!$K$4:$K$1203,$AG269-1200)=0,"",INDEX(对接源_02物料!$K$4:$K$1203,$AG269-1200))))</f>
        <v/>
      </c>
      <c r="I269" s="88" t="str">
        <f>IF($AG269="","",IF($AG269&lt;=1200,IF(INDEX(对接源_01水果!$L$4:$L$1203,$AG269)=0,"",INDEX(对接源_01水果!$L$4:$L$1203,$AG269)),IF(INDEX(对接源_02物料!$L$4:$L$1203,$AG269-1200)=0,"",INDEX(对接源_02物料!$L$4:$L$1203,$AG269-1200))))</f>
        <v/>
      </c>
      <c r="J269" s="91" t="str">
        <f>IF($AG269="","",IF($AG269&lt;=1200,IF(INDEX(对接源_01水果!$M$4:$M$1203,$AG269)=0,"",INDEX(对接源_01水果!$M$4:$M$1203,$AG269)),IF(INDEX(对接源_02物料!$M$4:$M$1203,$AG269-1200)=0,"",INDEX(对接源_02物料!$M$4:$M$1203,$AG269-1200))))</f>
        <v/>
      </c>
      <c r="AG269" s="2" t="str">
        <f>IFERROR(MATCH(58,_自动清单!$AE$4:$AE$2403,0),"")</f>
        <v/>
      </c>
    </row>
    <row r="270" ht="18" customHeight="1" spans="1:33">
      <c r="A270" s="52" t="str">
        <f>IF($AG270="","",IF($AG270&lt;=1200,IF(INDEX(对接源_01水果!$B$4:$B$1203,$AG270)=0,"",INDEX(对接源_01水果!$B$4:$B$1203,$AG270)),IF(INDEX(对接源_02物料!$B$4:$B$1203,$AG270-1200)=0,"",INDEX(对接源_02物料!$B$4:$B$1203,$AG270-1200))))</f>
        <v/>
      </c>
      <c r="B270" s="53" t="str">
        <f>IF($AG270="","",IF($AG270&lt;=1200,IF(INDEX(对接源_01水果!$E$4:$E$1203,$AG270)=0,"",INDEX(对接源_01水果!$E$4:$E$1203,$AG270)),IF(INDEX(对接源_02物料!$E$4:$E$1203,$AG270-1200)=0,"",INDEX(对接源_02物料!$E$4:$E$1203,$AG270-1200))))</f>
        <v/>
      </c>
      <c r="C270" s="53" t="str">
        <f>IF($AG270="","",IF($AG270&lt;=1200,IF(INDEX(对接源_01水果!$F$4:$F$1203,$AG270)=0,"",INDEX(对接源_01水果!$F$4:$F$1203,$AG270)),IF(INDEX(对接源_02物料!$F$4:$F$1203,$AG270-1200)=0,"",INDEX(对接源_02物料!$F$4:$F$1203,$AG270-1200))))</f>
        <v/>
      </c>
      <c r="D270" s="53" t="str">
        <f>IF($AG270="","",IF($AG270&lt;=1200,IF(INDEX(对接源_01水果!$G$4:$G$1203,$AG270)=0,"",INDEX(对接源_01水果!$G$4:$G$1203,$AG270)),IF(INDEX(对接源_02物料!$G$4:$G$1203,$AG270-1200)=0,"",INDEX(对接源_02物料!$G$4:$G$1203,$AG270-1200))))</f>
        <v/>
      </c>
      <c r="E270" s="54" t="str">
        <f>IF($AG270="","",IF($AG270&lt;=1200,IF(INDEX(对接源_01水果!$H$4:$H$1203,$AG270)=0,"",INDEX(对接源_01水果!$H$4:$H$1203,$AG270)),IF(INDEX(对接源_02物料!$H$4:$H$1203,$AG270-1200)=0,"",INDEX(对接源_02物料!$H$4:$H$1203,$AG270-1200))))</f>
        <v/>
      </c>
      <c r="F270" s="53" t="str">
        <f>IF($AG270="","",IF($AG270&lt;=1200,IF(INDEX(对接源_01水果!$I$4:$I$1203,$AG270)=0,"",INDEX(对接源_01水果!$I$4:$I$1203,$AG270)),IF(INDEX(对接源_02物料!$I$4:$I$1203,$AG270-1200)=0,"",INDEX(对接源_02物料!$I$4:$I$1203,$AG270-1200))))</f>
        <v/>
      </c>
      <c r="G270" s="55" t="str">
        <f>IF($AG270="","",IF($AG270&lt;=1200,IF(INDEX(对接源_01水果!$J$4:$J$1203,$AG270)=0,"",INDEX(对接源_01水果!$J$4:$J$1203,$AG270)),IF(INDEX(对接源_02物料!$J$4:$J$1203,$AG270-1200)=0,"",INDEX(对接源_02物料!$J$4:$J$1203,$AG270-1200))))</f>
        <v/>
      </c>
      <c r="H270" s="55" t="str">
        <f>IF($AG270="","",IF($AG270&lt;=1200,IF(INDEX(对接源_01水果!$K$4:$K$1203,$AG270)=0,"",INDEX(对接源_01水果!$K$4:$K$1203,$AG270)),IF(INDEX(对接源_02物料!$K$4:$K$1203,$AG270-1200)=0,"",INDEX(对接源_02物料!$K$4:$K$1203,$AG270-1200))))</f>
        <v/>
      </c>
      <c r="I270" s="53" t="str">
        <f>IF($AG270="","",IF($AG270&lt;=1200,IF(INDEX(对接源_01水果!$L$4:$L$1203,$AG270)=0,"",INDEX(对接源_01水果!$L$4:$L$1203,$AG270)),IF(INDEX(对接源_02物料!$L$4:$L$1203,$AG270-1200)=0,"",INDEX(对接源_02物料!$L$4:$L$1203,$AG270-1200))))</f>
        <v/>
      </c>
      <c r="J270" s="56" t="str">
        <f>IF($AG270="","",IF($AG270&lt;=1200,IF(INDEX(对接源_01水果!$M$4:$M$1203,$AG270)=0,"",INDEX(对接源_01水果!$M$4:$M$1203,$AG270)),IF(INDEX(对接源_02物料!$M$4:$M$1203,$AG270-1200)=0,"",INDEX(对接源_02物料!$M$4:$M$1203,$AG270-1200))))</f>
        <v/>
      </c>
      <c r="AG270" s="2" t="str">
        <f>IFERROR(MATCH(59,_自动清单!$AE$4:$AE$2403,0),"")</f>
        <v/>
      </c>
    </row>
    <row r="271" ht="18" customHeight="1" spans="1:33">
      <c r="A271" s="87" t="str">
        <f>IF($AG271="","",IF($AG271&lt;=1200,IF(INDEX(对接源_01水果!$B$4:$B$1203,$AG271)=0,"",INDEX(对接源_01水果!$B$4:$B$1203,$AG271)),IF(INDEX(对接源_02物料!$B$4:$B$1203,$AG271-1200)=0,"",INDEX(对接源_02物料!$B$4:$B$1203,$AG271-1200))))</f>
        <v/>
      </c>
      <c r="B271" s="88" t="str">
        <f>IF($AG271="","",IF($AG271&lt;=1200,IF(INDEX(对接源_01水果!$E$4:$E$1203,$AG271)=0,"",INDEX(对接源_01水果!$E$4:$E$1203,$AG271)),IF(INDEX(对接源_02物料!$E$4:$E$1203,$AG271-1200)=0,"",INDEX(对接源_02物料!$E$4:$E$1203,$AG271-1200))))</f>
        <v/>
      </c>
      <c r="C271" s="88" t="str">
        <f>IF($AG271="","",IF($AG271&lt;=1200,IF(INDEX(对接源_01水果!$F$4:$F$1203,$AG271)=0,"",INDEX(对接源_01水果!$F$4:$F$1203,$AG271)),IF(INDEX(对接源_02物料!$F$4:$F$1203,$AG271-1200)=0,"",INDEX(对接源_02物料!$F$4:$F$1203,$AG271-1200))))</f>
        <v/>
      </c>
      <c r="D271" s="88" t="str">
        <f>IF($AG271="","",IF($AG271&lt;=1200,IF(INDEX(对接源_01水果!$G$4:$G$1203,$AG271)=0,"",INDEX(对接源_01水果!$G$4:$G$1203,$AG271)),IF(INDEX(对接源_02物料!$G$4:$G$1203,$AG271-1200)=0,"",INDEX(对接源_02物料!$G$4:$G$1203,$AG271-1200))))</f>
        <v/>
      </c>
      <c r="E271" s="89" t="str">
        <f>IF($AG271="","",IF($AG271&lt;=1200,IF(INDEX(对接源_01水果!$H$4:$H$1203,$AG271)=0,"",INDEX(对接源_01水果!$H$4:$H$1203,$AG271)),IF(INDEX(对接源_02物料!$H$4:$H$1203,$AG271-1200)=0,"",INDEX(对接源_02物料!$H$4:$H$1203,$AG271-1200))))</f>
        <v/>
      </c>
      <c r="F271" s="88" t="str">
        <f>IF($AG271="","",IF($AG271&lt;=1200,IF(INDEX(对接源_01水果!$I$4:$I$1203,$AG271)=0,"",INDEX(对接源_01水果!$I$4:$I$1203,$AG271)),IF(INDEX(对接源_02物料!$I$4:$I$1203,$AG271-1200)=0,"",INDEX(对接源_02物料!$I$4:$I$1203,$AG271-1200))))</f>
        <v/>
      </c>
      <c r="G271" s="90" t="str">
        <f>IF($AG271="","",IF($AG271&lt;=1200,IF(INDEX(对接源_01水果!$J$4:$J$1203,$AG271)=0,"",INDEX(对接源_01水果!$J$4:$J$1203,$AG271)),IF(INDEX(对接源_02物料!$J$4:$J$1203,$AG271-1200)=0,"",INDEX(对接源_02物料!$J$4:$J$1203,$AG271-1200))))</f>
        <v/>
      </c>
      <c r="H271" s="90" t="str">
        <f>IF($AG271="","",IF($AG271&lt;=1200,IF(INDEX(对接源_01水果!$K$4:$K$1203,$AG271)=0,"",INDEX(对接源_01水果!$K$4:$K$1203,$AG271)),IF(INDEX(对接源_02物料!$K$4:$K$1203,$AG271-1200)=0,"",INDEX(对接源_02物料!$K$4:$K$1203,$AG271-1200))))</f>
        <v/>
      </c>
      <c r="I271" s="88" t="str">
        <f>IF($AG271="","",IF($AG271&lt;=1200,IF(INDEX(对接源_01水果!$L$4:$L$1203,$AG271)=0,"",INDEX(对接源_01水果!$L$4:$L$1203,$AG271)),IF(INDEX(对接源_02物料!$L$4:$L$1203,$AG271-1200)=0,"",INDEX(对接源_02物料!$L$4:$L$1203,$AG271-1200))))</f>
        <v/>
      </c>
      <c r="J271" s="91" t="str">
        <f>IF($AG271="","",IF($AG271&lt;=1200,IF(INDEX(对接源_01水果!$M$4:$M$1203,$AG271)=0,"",INDEX(对接源_01水果!$M$4:$M$1203,$AG271)),IF(INDEX(对接源_02物料!$M$4:$M$1203,$AG271-1200)=0,"",INDEX(对接源_02物料!$M$4:$M$1203,$AG271-1200))))</f>
        <v/>
      </c>
      <c r="AG271" s="2" t="str">
        <f>IFERROR(MATCH(60,_自动清单!$AE$4:$AE$2403,0),"")</f>
        <v/>
      </c>
    </row>
    <row r="272" ht="18" customHeight="1" spans="1:33">
      <c r="A272" s="52" t="str">
        <f>IF($AG272="","",IF($AG272&lt;=1200,IF(INDEX(对接源_01水果!$B$4:$B$1203,$AG272)=0,"",INDEX(对接源_01水果!$B$4:$B$1203,$AG272)),IF(INDEX(对接源_02物料!$B$4:$B$1203,$AG272-1200)=0,"",INDEX(对接源_02物料!$B$4:$B$1203,$AG272-1200))))</f>
        <v/>
      </c>
      <c r="B272" s="53" t="str">
        <f>IF($AG272="","",IF($AG272&lt;=1200,IF(INDEX(对接源_01水果!$E$4:$E$1203,$AG272)=0,"",INDEX(对接源_01水果!$E$4:$E$1203,$AG272)),IF(INDEX(对接源_02物料!$E$4:$E$1203,$AG272-1200)=0,"",INDEX(对接源_02物料!$E$4:$E$1203,$AG272-1200))))</f>
        <v/>
      </c>
      <c r="C272" s="53" t="str">
        <f>IF($AG272="","",IF($AG272&lt;=1200,IF(INDEX(对接源_01水果!$F$4:$F$1203,$AG272)=0,"",INDEX(对接源_01水果!$F$4:$F$1203,$AG272)),IF(INDEX(对接源_02物料!$F$4:$F$1203,$AG272-1200)=0,"",INDEX(对接源_02物料!$F$4:$F$1203,$AG272-1200))))</f>
        <v/>
      </c>
      <c r="D272" s="53" t="str">
        <f>IF($AG272="","",IF($AG272&lt;=1200,IF(INDEX(对接源_01水果!$G$4:$G$1203,$AG272)=0,"",INDEX(对接源_01水果!$G$4:$G$1203,$AG272)),IF(INDEX(对接源_02物料!$G$4:$G$1203,$AG272-1200)=0,"",INDEX(对接源_02物料!$G$4:$G$1203,$AG272-1200))))</f>
        <v/>
      </c>
      <c r="E272" s="54" t="str">
        <f>IF($AG272="","",IF($AG272&lt;=1200,IF(INDEX(对接源_01水果!$H$4:$H$1203,$AG272)=0,"",INDEX(对接源_01水果!$H$4:$H$1203,$AG272)),IF(INDEX(对接源_02物料!$H$4:$H$1203,$AG272-1200)=0,"",INDEX(对接源_02物料!$H$4:$H$1203,$AG272-1200))))</f>
        <v/>
      </c>
      <c r="F272" s="53" t="str">
        <f>IF($AG272="","",IF($AG272&lt;=1200,IF(INDEX(对接源_01水果!$I$4:$I$1203,$AG272)=0,"",INDEX(对接源_01水果!$I$4:$I$1203,$AG272)),IF(INDEX(对接源_02物料!$I$4:$I$1203,$AG272-1200)=0,"",INDEX(对接源_02物料!$I$4:$I$1203,$AG272-1200))))</f>
        <v/>
      </c>
      <c r="G272" s="55" t="str">
        <f>IF($AG272="","",IF($AG272&lt;=1200,IF(INDEX(对接源_01水果!$J$4:$J$1203,$AG272)=0,"",INDEX(对接源_01水果!$J$4:$J$1203,$AG272)),IF(INDEX(对接源_02物料!$J$4:$J$1203,$AG272-1200)=0,"",INDEX(对接源_02物料!$J$4:$J$1203,$AG272-1200))))</f>
        <v/>
      </c>
      <c r="H272" s="55" t="str">
        <f>IF($AG272="","",IF($AG272&lt;=1200,IF(INDEX(对接源_01水果!$K$4:$K$1203,$AG272)=0,"",INDEX(对接源_01水果!$K$4:$K$1203,$AG272)),IF(INDEX(对接源_02物料!$K$4:$K$1203,$AG272-1200)=0,"",INDEX(对接源_02物料!$K$4:$K$1203,$AG272-1200))))</f>
        <v/>
      </c>
      <c r="I272" s="53" t="str">
        <f>IF($AG272="","",IF($AG272&lt;=1200,IF(INDEX(对接源_01水果!$L$4:$L$1203,$AG272)=0,"",INDEX(对接源_01水果!$L$4:$L$1203,$AG272)),IF(INDEX(对接源_02物料!$L$4:$L$1203,$AG272-1200)=0,"",INDEX(对接源_02物料!$L$4:$L$1203,$AG272-1200))))</f>
        <v/>
      </c>
      <c r="J272" s="56" t="str">
        <f>IF($AG272="","",IF($AG272&lt;=1200,IF(INDEX(对接源_01水果!$M$4:$M$1203,$AG272)=0,"",INDEX(对接源_01水果!$M$4:$M$1203,$AG272)),IF(INDEX(对接源_02物料!$M$4:$M$1203,$AG272-1200)=0,"",INDEX(对接源_02物料!$M$4:$M$1203,$AG272-1200))))</f>
        <v/>
      </c>
      <c r="AG272" s="2" t="str">
        <f>IFERROR(MATCH(61,_自动清单!$AE$4:$AE$2403,0),"")</f>
        <v/>
      </c>
    </row>
    <row r="273" ht="18" customHeight="1" spans="1:33">
      <c r="A273" s="87" t="str">
        <f>IF($AG273="","",IF($AG273&lt;=1200,IF(INDEX(对接源_01水果!$B$4:$B$1203,$AG273)=0,"",INDEX(对接源_01水果!$B$4:$B$1203,$AG273)),IF(INDEX(对接源_02物料!$B$4:$B$1203,$AG273-1200)=0,"",INDEX(对接源_02物料!$B$4:$B$1203,$AG273-1200))))</f>
        <v/>
      </c>
      <c r="B273" s="88" t="str">
        <f>IF($AG273="","",IF($AG273&lt;=1200,IF(INDEX(对接源_01水果!$E$4:$E$1203,$AG273)=0,"",INDEX(对接源_01水果!$E$4:$E$1203,$AG273)),IF(INDEX(对接源_02物料!$E$4:$E$1203,$AG273-1200)=0,"",INDEX(对接源_02物料!$E$4:$E$1203,$AG273-1200))))</f>
        <v/>
      </c>
      <c r="C273" s="88" t="str">
        <f>IF($AG273="","",IF($AG273&lt;=1200,IF(INDEX(对接源_01水果!$F$4:$F$1203,$AG273)=0,"",INDEX(对接源_01水果!$F$4:$F$1203,$AG273)),IF(INDEX(对接源_02物料!$F$4:$F$1203,$AG273-1200)=0,"",INDEX(对接源_02物料!$F$4:$F$1203,$AG273-1200))))</f>
        <v/>
      </c>
      <c r="D273" s="88" t="str">
        <f>IF($AG273="","",IF($AG273&lt;=1200,IF(INDEX(对接源_01水果!$G$4:$G$1203,$AG273)=0,"",INDEX(对接源_01水果!$G$4:$G$1203,$AG273)),IF(INDEX(对接源_02物料!$G$4:$G$1203,$AG273-1200)=0,"",INDEX(对接源_02物料!$G$4:$G$1203,$AG273-1200))))</f>
        <v/>
      </c>
      <c r="E273" s="89" t="str">
        <f>IF($AG273="","",IF($AG273&lt;=1200,IF(INDEX(对接源_01水果!$H$4:$H$1203,$AG273)=0,"",INDEX(对接源_01水果!$H$4:$H$1203,$AG273)),IF(INDEX(对接源_02物料!$H$4:$H$1203,$AG273-1200)=0,"",INDEX(对接源_02物料!$H$4:$H$1203,$AG273-1200))))</f>
        <v/>
      </c>
      <c r="F273" s="88" t="str">
        <f>IF($AG273="","",IF($AG273&lt;=1200,IF(INDEX(对接源_01水果!$I$4:$I$1203,$AG273)=0,"",INDEX(对接源_01水果!$I$4:$I$1203,$AG273)),IF(INDEX(对接源_02物料!$I$4:$I$1203,$AG273-1200)=0,"",INDEX(对接源_02物料!$I$4:$I$1203,$AG273-1200))))</f>
        <v/>
      </c>
      <c r="G273" s="90" t="str">
        <f>IF($AG273="","",IF($AG273&lt;=1200,IF(INDEX(对接源_01水果!$J$4:$J$1203,$AG273)=0,"",INDEX(对接源_01水果!$J$4:$J$1203,$AG273)),IF(INDEX(对接源_02物料!$J$4:$J$1203,$AG273-1200)=0,"",INDEX(对接源_02物料!$J$4:$J$1203,$AG273-1200))))</f>
        <v/>
      </c>
      <c r="H273" s="90" t="str">
        <f>IF($AG273="","",IF($AG273&lt;=1200,IF(INDEX(对接源_01水果!$K$4:$K$1203,$AG273)=0,"",INDEX(对接源_01水果!$K$4:$K$1203,$AG273)),IF(INDEX(对接源_02物料!$K$4:$K$1203,$AG273-1200)=0,"",INDEX(对接源_02物料!$K$4:$K$1203,$AG273-1200))))</f>
        <v/>
      </c>
      <c r="I273" s="88" t="str">
        <f>IF($AG273="","",IF($AG273&lt;=1200,IF(INDEX(对接源_01水果!$L$4:$L$1203,$AG273)=0,"",INDEX(对接源_01水果!$L$4:$L$1203,$AG273)),IF(INDEX(对接源_02物料!$L$4:$L$1203,$AG273-1200)=0,"",INDEX(对接源_02物料!$L$4:$L$1203,$AG273-1200))))</f>
        <v/>
      </c>
      <c r="J273" s="91" t="str">
        <f>IF($AG273="","",IF($AG273&lt;=1200,IF(INDEX(对接源_01水果!$M$4:$M$1203,$AG273)=0,"",INDEX(对接源_01水果!$M$4:$M$1203,$AG273)),IF(INDEX(对接源_02物料!$M$4:$M$1203,$AG273-1200)=0,"",INDEX(对接源_02物料!$M$4:$M$1203,$AG273-1200))))</f>
        <v/>
      </c>
      <c r="AG273" s="2" t="str">
        <f>IFERROR(MATCH(62,_自动清单!$AE$4:$AE$2403,0),"")</f>
        <v/>
      </c>
    </row>
    <row r="274" ht="18" customHeight="1" spans="1:33">
      <c r="A274" s="52" t="str">
        <f>IF($AG274="","",IF($AG274&lt;=1200,IF(INDEX(对接源_01水果!$B$4:$B$1203,$AG274)=0,"",INDEX(对接源_01水果!$B$4:$B$1203,$AG274)),IF(INDEX(对接源_02物料!$B$4:$B$1203,$AG274-1200)=0,"",INDEX(对接源_02物料!$B$4:$B$1203,$AG274-1200))))</f>
        <v/>
      </c>
      <c r="B274" s="53" t="str">
        <f>IF($AG274="","",IF($AG274&lt;=1200,IF(INDEX(对接源_01水果!$E$4:$E$1203,$AG274)=0,"",INDEX(对接源_01水果!$E$4:$E$1203,$AG274)),IF(INDEX(对接源_02物料!$E$4:$E$1203,$AG274-1200)=0,"",INDEX(对接源_02物料!$E$4:$E$1203,$AG274-1200))))</f>
        <v/>
      </c>
      <c r="C274" s="53" t="str">
        <f>IF($AG274="","",IF($AG274&lt;=1200,IF(INDEX(对接源_01水果!$F$4:$F$1203,$AG274)=0,"",INDEX(对接源_01水果!$F$4:$F$1203,$AG274)),IF(INDEX(对接源_02物料!$F$4:$F$1203,$AG274-1200)=0,"",INDEX(对接源_02物料!$F$4:$F$1203,$AG274-1200))))</f>
        <v/>
      </c>
      <c r="D274" s="53" t="str">
        <f>IF($AG274="","",IF($AG274&lt;=1200,IF(INDEX(对接源_01水果!$G$4:$G$1203,$AG274)=0,"",INDEX(对接源_01水果!$G$4:$G$1203,$AG274)),IF(INDEX(对接源_02物料!$G$4:$G$1203,$AG274-1200)=0,"",INDEX(对接源_02物料!$G$4:$G$1203,$AG274-1200))))</f>
        <v/>
      </c>
      <c r="E274" s="54" t="str">
        <f>IF($AG274="","",IF($AG274&lt;=1200,IF(INDEX(对接源_01水果!$H$4:$H$1203,$AG274)=0,"",INDEX(对接源_01水果!$H$4:$H$1203,$AG274)),IF(INDEX(对接源_02物料!$H$4:$H$1203,$AG274-1200)=0,"",INDEX(对接源_02物料!$H$4:$H$1203,$AG274-1200))))</f>
        <v/>
      </c>
      <c r="F274" s="53" t="str">
        <f>IF($AG274="","",IF($AG274&lt;=1200,IF(INDEX(对接源_01水果!$I$4:$I$1203,$AG274)=0,"",INDEX(对接源_01水果!$I$4:$I$1203,$AG274)),IF(INDEX(对接源_02物料!$I$4:$I$1203,$AG274-1200)=0,"",INDEX(对接源_02物料!$I$4:$I$1203,$AG274-1200))))</f>
        <v/>
      </c>
      <c r="G274" s="55" t="str">
        <f>IF($AG274="","",IF($AG274&lt;=1200,IF(INDEX(对接源_01水果!$J$4:$J$1203,$AG274)=0,"",INDEX(对接源_01水果!$J$4:$J$1203,$AG274)),IF(INDEX(对接源_02物料!$J$4:$J$1203,$AG274-1200)=0,"",INDEX(对接源_02物料!$J$4:$J$1203,$AG274-1200))))</f>
        <v/>
      </c>
      <c r="H274" s="55" t="str">
        <f>IF($AG274="","",IF($AG274&lt;=1200,IF(INDEX(对接源_01水果!$K$4:$K$1203,$AG274)=0,"",INDEX(对接源_01水果!$K$4:$K$1203,$AG274)),IF(INDEX(对接源_02物料!$K$4:$K$1203,$AG274-1200)=0,"",INDEX(对接源_02物料!$K$4:$K$1203,$AG274-1200))))</f>
        <v/>
      </c>
      <c r="I274" s="53" t="str">
        <f>IF($AG274="","",IF($AG274&lt;=1200,IF(INDEX(对接源_01水果!$L$4:$L$1203,$AG274)=0,"",INDEX(对接源_01水果!$L$4:$L$1203,$AG274)),IF(INDEX(对接源_02物料!$L$4:$L$1203,$AG274-1200)=0,"",INDEX(对接源_02物料!$L$4:$L$1203,$AG274-1200))))</f>
        <v/>
      </c>
      <c r="J274" s="56" t="str">
        <f>IF($AG274="","",IF($AG274&lt;=1200,IF(INDEX(对接源_01水果!$M$4:$M$1203,$AG274)=0,"",INDEX(对接源_01水果!$M$4:$M$1203,$AG274)),IF(INDEX(对接源_02物料!$M$4:$M$1203,$AG274-1200)=0,"",INDEX(对接源_02物料!$M$4:$M$1203,$AG274-1200))))</f>
        <v/>
      </c>
      <c r="AG274" s="2" t="str">
        <f>IFERROR(MATCH(63,_自动清单!$AE$4:$AE$2403,0),"")</f>
        <v/>
      </c>
    </row>
    <row r="275" ht="18" customHeight="1" spans="1:33">
      <c r="A275" s="87" t="str">
        <f>IF($AG275="","",IF($AG275&lt;=1200,IF(INDEX(对接源_01水果!$B$4:$B$1203,$AG275)=0,"",INDEX(对接源_01水果!$B$4:$B$1203,$AG275)),IF(INDEX(对接源_02物料!$B$4:$B$1203,$AG275-1200)=0,"",INDEX(对接源_02物料!$B$4:$B$1203,$AG275-1200))))</f>
        <v/>
      </c>
      <c r="B275" s="88" t="str">
        <f>IF($AG275="","",IF($AG275&lt;=1200,IF(INDEX(对接源_01水果!$E$4:$E$1203,$AG275)=0,"",INDEX(对接源_01水果!$E$4:$E$1203,$AG275)),IF(INDEX(对接源_02物料!$E$4:$E$1203,$AG275-1200)=0,"",INDEX(对接源_02物料!$E$4:$E$1203,$AG275-1200))))</f>
        <v/>
      </c>
      <c r="C275" s="88" t="str">
        <f>IF($AG275="","",IF($AG275&lt;=1200,IF(INDEX(对接源_01水果!$F$4:$F$1203,$AG275)=0,"",INDEX(对接源_01水果!$F$4:$F$1203,$AG275)),IF(INDEX(对接源_02物料!$F$4:$F$1203,$AG275-1200)=0,"",INDEX(对接源_02物料!$F$4:$F$1203,$AG275-1200))))</f>
        <v/>
      </c>
      <c r="D275" s="88" t="str">
        <f>IF($AG275="","",IF($AG275&lt;=1200,IF(INDEX(对接源_01水果!$G$4:$G$1203,$AG275)=0,"",INDEX(对接源_01水果!$G$4:$G$1203,$AG275)),IF(INDEX(对接源_02物料!$G$4:$G$1203,$AG275-1200)=0,"",INDEX(对接源_02物料!$G$4:$G$1203,$AG275-1200))))</f>
        <v/>
      </c>
      <c r="E275" s="89" t="str">
        <f>IF($AG275="","",IF($AG275&lt;=1200,IF(INDEX(对接源_01水果!$H$4:$H$1203,$AG275)=0,"",INDEX(对接源_01水果!$H$4:$H$1203,$AG275)),IF(INDEX(对接源_02物料!$H$4:$H$1203,$AG275-1200)=0,"",INDEX(对接源_02物料!$H$4:$H$1203,$AG275-1200))))</f>
        <v/>
      </c>
      <c r="F275" s="88" t="str">
        <f>IF($AG275="","",IF($AG275&lt;=1200,IF(INDEX(对接源_01水果!$I$4:$I$1203,$AG275)=0,"",INDEX(对接源_01水果!$I$4:$I$1203,$AG275)),IF(INDEX(对接源_02物料!$I$4:$I$1203,$AG275-1200)=0,"",INDEX(对接源_02物料!$I$4:$I$1203,$AG275-1200))))</f>
        <v/>
      </c>
      <c r="G275" s="90" t="str">
        <f>IF($AG275="","",IF($AG275&lt;=1200,IF(INDEX(对接源_01水果!$J$4:$J$1203,$AG275)=0,"",INDEX(对接源_01水果!$J$4:$J$1203,$AG275)),IF(INDEX(对接源_02物料!$J$4:$J$1203,$AG275-1200)=0,"",INDEX(对接源_02物料!$J$4:$J$1203,$AG275-1200))))</f>
        <v/>
      </c>
      <c r="H275" s="90" t="str">
        <f>IF($AG275="","",IF($AG275&lt;=1200,IF(INDEX(对接源_01水果!$K$4:$K$1203,$AG275)=0,"",INDEX(对接源_01水果!$K$4:$K$1203,$AG275)),IF(INDEX(对接源_02物料!$K$4:$K$1203,$AG275-1200)=0,"",INDEX(对接源_02物料!$K$4:$K$1203,$AG275-1200))))</f>
        <v/>
      </c>
      <c r="I275" s="88" t="str">
        <f>IF($AG275="","",IF($AG275&lt;=1200,IF(INDEX(对接源_01水果!$L$4:$L$1203,$AG275)=0,"",INDEX(对接源_01水果!$L$4:$L$1203,$AG275)),IF(INDEX(对接源_02物料!$L$4:$L$1203,$AG275-1200)=0,"",INDEX(对接源_02物料!$L$4:$L$1203,$AG275-1200))))</f>
        <v/>
      </c>
      <c r="J275" s="91" t="str">
        <f>IF($AG275="","",IF($AG275&lt;=1200,IF(INDEX(对接源_01水果!$M$4:$M$1203,$AG275)=0,"",INDEX(对接源_01水果!$M$4:$M$1203,$AG275)),IF(INDEX(对接源_02物料!$M$4:$M$1203,$AG275-1200)=0,"",INDEX(对接源_02物料!$M$4:$M$1203,$AG275-1200))))</f>
        <v/>
      </c>
      <c r="AG275" s="2" t="str">
        <f>IFERROR(MATCH(64,_自动清单!$AE$4:$AE$2403,0),"")</f>
        <v/>
      </c>
    </row>
    <row r="276" ht="18" customHeight="1" spans="1:33">
      <c r="A276" s="52" t="str">
        <f>IF($AG276="","",IF($AG276&lt;=1200,IF(INDEX(对接源_01水果!$B$4:$B$1203,$AG276)=0,"",INDEX(对接源_01水果!$B$4:$B$1203,$AG276)),IF(INDEX(对接源_02物料!$B$4:$B$1203,$AG276-1200)=0,"",INDEX(对接源_02物料!$B$4:$B$1203,$AG276-1200))))</f>
        <v/>
      </c>
      <c r="B276" s="53" t="str">
        <f>IF($AG276="","",IF($AG276&lt;=1200,IF(INDEX(对接源_01水果!$E$4:$E$1203,$AG276)=0,"",INDEX(对接源_01水果!$E$4:$E$1203,$AG276)),IF(INDEX(对接源_02物料!$E$4:$E$1203,$AG276-1200)=0,"",INDEX(对接源_02物料!$E$4:$E$1203,$AG276-1200))))</f>
        <v/>
      </c>
      <c r="C276" s="53" t="str">
        <f>IF($AG276="","",IF($AG276&lt;=1200,IF(INDEX(对接源_01水果!$F$4:$F$1203,$AG276)=0,"",INDEX(对接源_01水果!$F$4:$F$1203,$AG276)),IF(INDEX(对接源_02物料!$F$4:$F$1203,$AG276-1200)=0,"",INDEX(对接源_02物料!$F$4:$F$1203,$AG276-1200))))</f>
        <v/>
      </c>
      <c r="D276" s="53" t="str">
        <f>IF($AG276="","",IF($AG276&lt;=1200,IF(INDEX(对接源_01水果!$G$4:$G$1203,$AG276)=0,"",INDEX(对接源_01水果!$G$4:$G$1203,$AG276)),IF(INDEX(对接源_02物料!$G$4:$G$1203,$AG276-1200)=0,"",INDEX(对接源_02物料!$G$4:$G$1203,$AG276-1200))))</f>
        <v/>
      </c>
      <c r="E276" s="54" t="str">
        <f>IF($AG276="","",IF($AG276&lt;=1200,IF(INDEX(对接源_01水果!$H$4:$H$1203,$AG276)=0,"",INDEX(对接源_01水果!$H$4:$H$1203,$AG276)),IF(INDEX(对接源_02物料!$H$4:$H$1203,$AG276-1200)=0,"",INDEX(对接源_02物料!$H$4:$H$1203,$AG276-1200))))</f>
        <v/>
      </c>
      <c r="F276" s="53" t="str">
        <f>IF($AG276="","",IF($AG276&lt;=1200,IF(INDEX(对接源_01水果!$I$4:$I$1203,$AG276)=0,"",INDEX(对接源_01水果!$I$4:$I$1203,$AG276)),IF(INDEX(对接源_02物料!$I$4:$I$1203,$AG276-1200)=0,"",INDEX(对接源_02物料!$I$4:$I$1203,$AG276-1200))))</f>
        <v/>
      </c>
      <c r="G276" s="55" t="str">
        <f>IF($AG276="","",IF($AG276&lt;=1200,IF(INDEX(对接源_01水果!$J$4:$J$1203,$AG276)=0,"",INDEX(对接源_01水果!$J$4:$J$1203,$AG276)),IF(INDEX(对接源_02物料!$J$4:$J$1203,$AG276-1200)=0,"",INDEX(对接源_02物料!$J$4:$J$1203,$AG276-1200))))</f>
        <v/>
      </c>
      <c r="H276" s="55" t="str">
        <f>IF($AG276="","",IF($AG276&lt;=1200,IF(INDEX(对接源_01水果!$K$4:$K$1203,$AG276)=0,"",INDEX(对接源_01水果!$K$4:$K$1203,$AG276)),IF(INDEX(对接源_02物料!$K$4:$K$1203,$AG276-1200)=0,"",INDEX(对接源_02物料!$K$4:$K$1203,$AG276-1200))))</f>
        <v/>
      </c>
      <c r="I276" s="53" t="str">
        <f>IF($AG276="","",IF($AG276&lt;=1200,IF(INDEX(对接源_01水果!$L$4:$L$1203,$AG276)=0,"",INDEX(对接源_01水果!$L$4:$L$1203,$AG276)),IF(INDEX(对接源_02物料!$L$4:$L$1203,$AG276-1200)=0,"",INDEX(对接源_02物料!$L$4:$L$1203,$AG276-1200))))</f>
        <v/>
      </c>
      <c r="J276" s="56" t="str">
        <f>IF($AG276="","",IF($AG276&lt;=1200,IF(INDEX(对接源_01水果!$M$4:$M$1203,$AG276)=0,"",INDEX(对接源_01水果!$M$4:$M$1203,$AG276)),IF(INDEX(对接源_02物料!$M$4:$M$1203,$AG276-1200)=0,"",INDEX(对接源_02物料!$M$4:$M$1203,$AG276-1200))))</f>
        <v/>
      </c>
      <c r="AG276" s="2" t="str">
        <f>IFERROR(MATCH(65,_自动清单!$AE$4:$AE$2403,0),"")</f>
        <v/>
      </c>
    </row>
    <row r="277" ht="18" customHeight="1" spans="1:33">
      <c r="A277" s="87" t="str">
        <f>IF($AG277="","",IF($AG277&lt;=1200,IF(INDEX(对接源_01水果!$B$4:$B$1203,$AG277)=0,"",INDEX(对接源_01水果!$B$4:$B$1203,$AG277)),IF(INDEX(对接源_02物料!$B$4:$B$1203,$AG277-1200)=0,"",INDEX(对接源_02物料!$B$4:$B$1203,$AG277-1200))))</f>
        <v/>
      </c>
      <c r="B277" s="88" t="str">
        <f>IF($AG277="","",IF($AG277&lt;=1200,IF(INDEX(对接源_01水果!$E$4:$E$1203,$AG277)=0,"",INDEX(对接源_01水果!$E$4:$E$1203,$AG277)),IF(INDEX(对接源_02物料!$E$4:$E$1203,$AG277-1200)=0,"",INDEX(对接源_02物料!$E$4:$E$1203,$AG277-1200))))</f>
        <v/>
      </c>
      <c r="C277" s="88" t="str">
        <f>IF($AG277="","",IF($AG277&lt;=1200,IF(INDEX(对接源_01水果!$F$4:$F$1203,$AG277)=0,"",INDEX(对接源_01水果!$F$4:$F$1203,$AG277)),IF(INDEX(对接源_02物料!$F$4:$F$1203,$AG277-1200)=0,"",INDEX(对接源_02物料!$F$4:$F$1203,$AG277-1200))))</f>
        <v/>
      </c>
      <c r="D277" s="88" t="str">
        <f>IF($AG277="","",IF($AG277&lt;=1200,IF(INDEX(对接源_01水果!$G$4:$G$1203,$AG277)=0,"",INDEX(对接源_01水果!$G$4:$G$1203,$AG277)),IF(INDEX(对接源_02物料!$G$4:$G$1203,$AG277-1200)=0,"",INDEX(对接源_02物料!$G$4:$G$1203,$AG277-1200))))</f>
        <v/>
      </c>
      <c r="E277" s="89" t="str">
        <f>IF($AG277="","",IF($AG277&lt;=1200,IF(INDEX(对接源_01水果!$H$4:$H$1203,$AG277)=0,"",INDEX(对接源_01水果!$H$4:$H$1203,$AG277)),IF(INDEX(对接源_02物料!$H$4:$H$1203,$AG277-1200)=0,"",INDEX(对接源_02物料!$H$4:$H$1203,$AG277-1200))))</f>
        <v/>
      </c>
      <c r="F277" s="88" t="str">
        <f>IF($AG277="","",IF($AG277&lt;=1200,IF(INDEX(对接源_01水果!$I$4:$I$1203,$AG277)=0,"",INDEX(对接源_01水果!$I$4:$I$1203,$AG277)),IF(INDEX(对接源_02物料!$I$4:$I$1203,$AG277-1200)=0,"",INDEX(对接源_02物料!$I$4:$I$1203,$AG277-1200))))</f>
        <v/>
      </c>
      <c r="G277" s="90" t="str">
        <f>IF($AG277="","",IF($AG277&lt;=1200,IF(INDEX(对接源_01水果!$J$4:$J$1203,$AG277)=0,"",INDEX(对接源_01水果!$J$4:$J$1203,$AG277)),IF(INDEX(对接源_02物料!$J$4:$J$1203,$AG277-1200)=0,"",INDEX(对接源_02物料!$J$4:$J$1203,$AG277-1200))))</f>
        <v/>
      </c>
      <c r="H277" s="90" t="str">
        <f>IF($AG277="","",IF($AG277&lt;=1200,IF(INDEX(对接源_01水果!$K$4:$K$1203,$AG277)=0,"",INDEX(对接源_01水果!$K$4:$K$1203,$AG277)),IF(INDEX(对接源_02物料!$K$4:$K$1203,$AG277-1200)=0,"",INDEX(对接源_02物料!$K$4:$K$1203,$AG277-1200))))</f>
        <v/>
      </c>
      <c r="I277" s="88" t="str">
        <f>IF($AG277="","",IF($AG277&lt;=1200,IF(INDEX(对接源_01水果!$L$4:$L$1203,$AG277)=0,"",INDEX(对接源_01水果!$L$4:$L$1203,$AG277)),IF(INDEX(对接源_02物料!$L$4:$L$1203,$AG277-1200)=0,"",INDEX(对接源_02物料!$L$4:$L$1203,$AG277-1200))))</f>
        <v/>
      </c>
      <c r="J277" s="91" t="str">
        <f>IF($AG277="","",IF($AG277&lt;=1200,IF(INDEX(对接源_01水果!$M$4:$M$1203,$AG277)=0,"",INDEX(对接源_01水果!$M$4:$M$1203,$AG277)),IF(INDEX(对接源_02物料!$M$4:$M$1203,$AG277-1200)=0,"",INDEX(对接源_02物料!$M$4:$M$1203,$AG277-1200))))</f>
        <v/>
      </c>
      <c r="AG277" s="2" t="str">
        <f>IFERROR(MATCH(66,_自动清单!$AE$4:$AE$2403,0),"")</f>
        <v/>
      </c>
    </row>
    <row r="278" ht="18" customHeight="1" spans="1:33">
      <c r="A278" s="52" t="str">
        <f>IF($AG278="","",IF($AG278&lt;=1200,IF(INDEX(对接源_01水果!$B$4:$B$1203,$AG278)=0,"",INDEX(对接源_01水果!$B$4:$B$1203,$AG278)),IF(INDEX(对接源_02物料!$B$4:$B$1203,$AG278-1200)=0,"",INDEX(对接源_02物料!$B$4:$B$1203,$AG278-1200))))</f>
        <v/>
      </c>
      <c r="B278" s="53" t="str">
        <f>IF($AG278="","",IF($AG278&lt;=1200,IF(INDEX(对接源_01水果!$E$4:$E$1203,$AG278)=0,"",INDEX(对接源_01水果!$E$4:$E$1203,$AG278)),IF(INDEX(对接源_02物料!$E$4:$E$1203,$AG278-1200)=0,"",INDEX(对接源_02物料!$E$4:$E$1203,$AG278-1200))))</f>
        <v/>
      </c>
      <c r="C278" s="53" t="str">
        <f>IF($AG278="","",IF($AG278&lt;=1200,IF(INDEX(对接源_01水果!$F$4:$F$1203,$AG278)=0,"",INDEX(对接源_01水果!$F$4:$F$1203,$AG278)),IF(INDEX(对接源_02物料!$F$4:$F$1203,$AG278-1200)=0,"",INDEX(对接源_02物料!$F$4:$F$1203,$AG278-1200))))</f>
        <v/>
      </c>
      <c r="D278" s="53" t="str">
        <f>IF($AG278="","",IF($AG278&lt;=1200,IF(INDEX(对接源_01水果!$G$4:$G$1203,$AG278)=0,"",INDEX(对接源_01水果!$G$4:$G$1203,$AG278)),IF(INDEX(对接源_02物料!$G$4:$G$1203,$AG278-1200)=0,"",INDEX(对接源_02物料!$G$4:$G$1203,$AG278-1200))))</f>
        <v/>
      </c>
      <c r="E278" s="54" t="str">
        <f>IF($AG278="","",IF($AG278&lt;=1200,IF(INDEX(对接源_01水果!$H$4:$H$1203,$AG278)=0,"",INDEX(对接源_01水果!$H$4:$H$1203,$AG278)),IF(INDEX(对接源_02物料!$H$4:$H$1203,$AG278-1200)=0,"",INDEX(对接源_02物料!$H$4:$H$1203,$AG278-1200))))</f>
        <v/>
      </c>
      <c r="F278" s="53" t="str">
        <f>IF($AG278="","",IF($AG278&lt;=1200,IF(INDEX(对接源_01水果!$I$4:$I$1203,$AG278)=0,"",INDEX(对接源_01水果!$I$4:$I$1203,$AG278)),IF(INDEX(对接源_02物料!$I$4:$I$1203,$AG278-1200)=0,"",INDEX(对接源_02物料!$I$4:$I$1203,$AG278-1200))))</f>
        <v/>
      </c>
      <c r="G278" s="55" t="str">
        <f>IF($AG278="","",IF($AG278&lt;=1200,IF(INDEX(对接源_01水果!$J$4:$J$1203,$AG278)=0,"",INDEX(对接源_01水果!$J$4:$J$1203,$AG278)),IF(INDEX(对接源_02物料!$J$4:$J$1203,$AG278-1200)=0,"",INDEX(对接源_02物料!$J$4:$J$1203,$AG278-1200))))</f>
        <v/>
      </c>
      <c r="H278" s="55" t="str">
        <f>IF($AG278="","",IF($AG278&lt;=1200,IF(INDEX(对接源_01水果!$K$4:$K$1203,$AG278)=0,"",INDEX(对接源_01水果!$K$4:$K$1203,$AG278)),IF(INDEX(对接源_02物料!$K$4:$K$1203,$AG278-1200)=0,"",INDEX(对接源_02物料!$K$4:$K$1203,$AG278-1200))))</f>
        <v/>
      </c>
      <c r="I278" s="53" t="str">
        <f>IF($AG278="","",IF($AG278&lt;=1200,IF(INDEX(对接源_01水果!$L$4:$L$1203,$AG278)=0,"",INDEX(对接源_01水果!$L$4:$L$1203,$AG278)),IF(INDEX(对接源_02物料!$L$4:$L$1203,$AG278-1200)=0,"",INDEX(对接源_02物料!$L$4:$L$1203,$AG278-1200))))</f>
        <v/>
      </c>
      <c r="J278" s="56" t="str">
        <f>IF($AG278="","",IF($AG278&lt;=1200,IF(INDEX(对接源_01水果!$M$4:$M$1203,$AG278)=0,"",INDEX(对接源_01水果!$M$4:$M$1203,$AG278)),IF(INDEX(对接源_02物料!$M$4:$M$1203,$AG278-1200)=0,"",INDEX(对接源_02物料!$M$4:$M$1203,$AG278-1200))))</f>
        <v/>
      </c>
      <c r="AG278" s="2" t="str">
        <f>IFERROR(MATCH(67,_自动清单!$AE$4:$AE$2403,0),"")</f>
        <v/>
      </c>
    </row>
    <row r="279" ht="18" customHeight="1" spans="1:33">
      <c r="A279" s="87" t="str">
        <f>IF($AG279="","",IF($AG279&lt;=1200,IF(INDEX(对接源_01水果!$B$4:$B$1203,$AG279)=0,"",INDEX(对接源_01水果!$B$4:$B$1203,$AG279)),IF(INDEX(对接源_02物料!$B$4:$B$1203,$AG279-1200)=0,"",INDEX(对接源_02物料!$B$4:$B$1203,$AG279-1200))))</f>
        <v/>
      </c>
      <c r="B279" s="88" t="str">
        <f>IF($AG279="","",IF($AG279&lt;=1200,IF(INDEX(对接源_01水果!$E$4:$E$1203,$AG279)=0,"",INDEX(对接源_01水果!$E$4:$E$1203,$AG279)),IF(INDEX(对接源_02物料!$E$4:$E$1203,$AG279-1200)=0,"",INDEX(对接源_02物料!$E$4:$E$1203,$AG279-1200))))</f>
        <v/>
      </c>
      <c r="C279" s="88" t="str">
        <f>IF($AG279="","",IF($AG279&lt;=1200,IF(INDEX(对接源_01水果!$F$4:$F$1203,$AG279)=0,"",INDEX(对接源_01水果!$F$4:$F$1203,$AG279)),IF(INDEX(对接源_02物料!$F$4:$F$1203,$AG279-1200)=0,"",INDEX(对接源_02物料!$F$4:$F$1203,$AG279-1200))))</f>
        <v/>
      </c>
      <c r="D279" s="88" t="str">
        <f>IF($AG279="","",IF($AG279&lt;=1200,IF(INDEX(对接源_01水果!$G$4:$G$1203,$AG279)=0,"",INDEX(对接源_01水果!$G$4:$G$1203,$AG279)),IF(INDEX(对接源_02物料!$G$4:$G$1203,$AG279-1200)=0,"",INDEX(对接源_02物料!$G$4:$G$1203,$AG279-1200))))</f>
        <v/>
      </c>
      <c r="E279" s="89" t="str">
        <f>IF($AG279="","",IF($AG279&lt;=1200,IF(INDEX(对接源_01水果!$H$4:$H$1203,$AG279)=0,"",INDEX(对接源_01水果!$H$4:$H$1203,$AG279)),IF(INDEX(对接源_02物料!$H$4:$H$1203,$AG279-1200)=0,"",INDEX(对接源_02物料!$H$4:$H$1203,$AG279-1200))))</f>
        <v/>
      </c>
      <c r="F279" s="88" t="str">
        <f>IF($AG279="","",IF($AG279&lt;=1200,IF(INDEX(对接源_01水果!$I$4:$I$1203,$AG279)=0,"",INDEX(对接源_01水果!$I$4:$I$1203,$AG279)),IF(INDEX(对接源_02物料!$I$4:$I$1203,$AG279-1200)=0,"",INDEX(对接源_02物料!$I$4:$I$1203,$AG279-1200))))</f>
        <v/>
      </c>
      <c r="G279" s="90" t="str">
        <f>IF($AG279="","",IF($AG279&lt;=1200,IF(INDEX(对接源_01水果!$J$4:$J$1203,$AG279)=0,"",INDEX(对接源_01水果!$J$4:$J$1203,$AG279)),IF(INDEX(对接源_02物料!$J$4:$J$1203,$AG279-1200)=0,"",INDEX(对接源_02物料!$J$4:$J$1203,$AG279-1200))))</f>
        <v/>
      </c>
      <c r="H279" s="90" t="str">
        <f>IF($AG279="","",IF($AG279&lt;=1200,IF(INDEX(对接源_01水果!$K$4:$K$1203,$AG279)=0,"",INDEX(对接源_01水果!$K$4:$K$1203,$AG279)),IF(INDEX(对接源_02物料!$K$4:$K$1203,$AG279-1200)=0,"",INDEX(对接源_02物料!$K$4:$K$1203,$AG279-1200))))</f>
        <v/>
      </c>
      <c r="I279" s="88" t="str">
        <f>IF($AG279="","",IF($AG279&lt;=1200,IF(INDEX(对接源_01水果!$L$4:$L$1203,$AG279)=0,"",INDEX(对接源_01水果!$L$4:$L$1203,$AG279)),IF(INDEX(对接源_02物料!$L$4:$L$1203,$AG279-1200)=0,"",INDEX(对接源_02物料!$L$4:$L$1203,$AG279-1200))))</f>
        <v/>
      </c>
      <c r="J279" s="91" t="str">
        <f>IF($AG279="","",IF($AG279&lt;=1200,IF(INDEX(对接源_01水果!$M$4:$M$1203,$AG279)=0,"",INDEX(对接源_01水果!$M$4:$M$1203,$AG279)),IF(INDEX(对接源_02物料!$M$4:$M$1203,$AG279-1200)=0,"",INDEX(对接源_02物料!$M$4:$M$1203,$AG279-1200))))</f>
        <v/>
      </c>
      <c r="AG279" s="2" t="str">
        <f>IFERROR(MATCH(68,_自动清单!$AE$4:$AE$2403,0),"")</f>
        <v/>
      </c>
    </row>
    <row r="280" ht="18" customHeight="1" spans="1:33">
      <c r="A280" s="52" t="str">
        <f>IF($AG280="","",IF($AG280&lt;=1200,IF(INDEX(对接源_01水果!$B$4:$B$1203,$AG280)=0,"",INDEX(对接源_01水果!$B$4:$B$1203,$AG280)),IF(INDEX(对接源_02物料!$B$4:$B$1203,$AG280-1200)=0,"",INDEX(对接源_02物料!$B$4:$B$1203,$AG280-1200))))</f>
        <v/>
      </c>
      <c r="B280" s="53" t="str">
        <f>IF($AG280="","",IF($AG280&lt;=1200,IF(INDEX(对接源_01水果!$E$4:$E$1203,$AG280)=0,"",INDEX(对接源_01水果!$E$4:$E$1203,$AG280)),IF(INDEX(对接源_02物料!$E$4:$E$1203,$AG280-1200)=0,"",INDEX(对接源_02物料!$E$4:$E$1203,$AG280-1200))))</f>
        <v/>
      </c>
      <c r="C280" s="53" t="str">
        <f>IF($AG280="","",IF($AG280&lt;=1200,IF(INDEX(对接源_01水果!$F$4:$F$1203,$AG280)=0,"",INDEX(对接源_01水果!$F$4:$F$1203,$AG280)),IF(INDEX(对接源_02物料!$F$4:$F$1203,$AG280-1200)=0,"",INDEX(对接源_02物料!$F$4:$F$1203,$AG280-1200))))</f>
        <v/>
      </c>
      <c r="D280" s="53" t="str">
        <f>IF($AG280="","",IF($AG280&lt;=1200,IF(INDEX(对接源_01水果!$G$4:$G$1203,$AG280)=0,"",INDEX(对接源_01水果!$G$4:$G$1203,$AG280)),IF(INDEX(对接源_02物料!$G$4:$G$1203,$AG280-1200)=0,"",INDEX(对接源_02物料!$G$4:$G$1203,$AG280-1200))))</f>
        <v/>
      </c>
      <c r="E280" s="54" t="str">
        <f>IF($AG280="","",IF($AG280&lt;=1200,IF(INDEX(对接源_01水果!$H$4:$H$1203,$AG280)=0,"",INDEX(对接源_01水果!$H$4:$H$1203,$AG280)),IF(INDEX(对接源_02物料!$H$4:$H$1203,$AG280-1200)=0,"",INDEX(对接源_02物料!$H$4:$H$1203,$AG280-1200))))</f>
        <v/>
      </c>
      <c r="F280" s="53" t="str">
        <f>IF($AG280="","",IF($AG280&lt;=1200,IF(INDEX(对接源_01水果!$I$4:$I$1203,$AG280)=0,"",INDEX(对接源_01水果!$I$4:$I$1203,$AG280)),IF(INDEX(对接源_02物料!$I$4:$I$1203,$AG280-1200)=0,"",INDEX(对接源_02物料!$I$4:$I$1203,$AG280-1200))))</f>
        <v/>
      </c>
      <c r="G280" s="55" t="str">
        <f>IF($AG280="","",IF($AG280&lt;=1200,IF(INDEX(对接源_01水果!$J$4:$J$1203,$AG280)=0,"",INDEX(对接源_01水果!$J$4:$J$1203,$AG280)),IF(INDEX(对接源_02物料!$J$4:$J$1203,$AG280-1200)=0,"",INDEX(对接源_02物料!$J$4:$J$1203,$AG280-1200))))</f>
        <v/>
      </c>
      <c r="H280" s="55" t="str">
        <f>IF($AG280="","",IF($AG280&lt;=1200,IF(INDEX(对接源_01水果!$K$4:$K$1203,$AG280)=0,"",INDEX(对接源_01水果!$K$4:$K$1203,$AG280)),IF(INDEX(对接源_02物料!$K$4:$K$1203,$AG280-1200)=0,"",INDEX(对接源_02物料!$K$4:$K$1203,$AG280-1200))))</f>
        <v/>
      </c>
      <c r="I280" s="53" t="str">
        <f>IF($AG280="","",IF($AG280&lt;=1200,IF(INDEX(对接源_01水果!$L$4:$L$1203,$AG280)=0,"",INDEX(对接源_01水果!$L$4:$L$1203,$AG280)),IF(INDEX(对接源_02物料!$L$4:$L$1203,$AG280-1200)=0,"",INDEX(对接源_02物料!$L$4:$L$1203,$AG280-1200))))</f>
        <v/>
      </c>
      <c r="J280" s="56" t="str">
        <f>IF($AG280="","",IF($AG280&lt;=1200,IF(INDEX(对接源_01水果!$M$4:$M$1203,$AG280)=0,"",INDEX(对接源_01水果!$M$4:$M$1203,$AG280)),IF(INDEX(对接源_02物料!$M$4:$M$1203,$AG280-1200)=0,"",INDEX(对接源_02物料!$M$4:$M$1203,$AG280-1200))))</f>
        <v/>
      </c>
      <c r="AG280" s="2" t="str">
        <f>IFERROR(MATCH(69,_自动清单!$AE$4:$AE$2403,0),"")</f>
        <v/>
      </c>
    </row>
    <row r="281" ht="18" customHeight="1" spans="1:33">
      <c r="A281" s="87" t="str">
        <f>IF($AG281="","",IF($AG281&lt;=1200,IF(INDEX(对接源_01水果!$B$4:$B$1203,$AG281)=0,"",INDEX(对接源_01水果!$B$4:$B$1203,$AG281)),IF(INDEX(对接源_02物料!$B$4:$B$1203,$AG281-1200)=0,"",INDEX(对接源_02物料!$B$4:$B$1203,$AG281-1200))))</f>
        <v/>
      </c>
      <c r="B281" s="88" t="str">
        <f>IF($AG281="","",IF($AG281&lt;=1200,IF(INDEX(对接源_01水果!$E$4:$E$1203,$AG281)=0,"",INDEX(对接源_01水果!$E$4:$E$1203,$AG281)),IF(INDEX(对接源_02物料!$E$4:$E$1203,$AG281-1200)=0,"",INDEX(对接源_02物料!$E$4:$E$1203,$AG281-1200))))</f>
        <v/>
      </c>
      <c r="C281" s="88" t="str">
        <f>IF($AG281="","",IF($AG281&lt;=1200,IF(INDEX(对接源_01水果!$F$4:$F$1203,$AG281)=0,"",INDEX(对接源_01水果!$F$4:$F$1203,$AG281)),IF(INDEX(对接源_02物料!$F$4:$F$1203,$AG281-1200)=0,"",INDEX(对接源_02物料!$F$4:$F$1203,$AG281-1200))))</f>
        <v/>
      </c>
      <c r="D281" s="88" t="str">
        <f>IF($AG281="","",IF($AG281&lt;=1200,IF(INDEX(对接源_01水果!$G$4:$G$1203,$AG281)=0,"",INDEX(对接源_01水果!$G$4:$G$1203,$AG281)),IF(INDEX(对接源_02物料!$G$4:$G$1203,$AG281-1200)=0,"",INDEX(对接源_02物料!$G$4:$G$1203,$AG281-1200))))</f>
        <v/>
      </c>
      <c r="E281" s="89" t="str">
        <f>IF($AG281="","",IF($AG281&lt;=1200,IF(INDEX(对接源_01水果!$H$4:$H$1203,$AG281)=0,"",INDEX(对接源_01水果!$H$4:$H$1203,$AG281)),IF(INDEX(对接源_02物料!$H$4:$H$1203,$AG281-1200)=0,"",INDEX(对接源_02物料!$H$4:$H$1203,$AG281-1200))))</f>
        <v/>
      </c>
      <c r="F281" s="88" t="str">
        <f>IF($AG281="","",IF($AG281&lt;=1200,IF(INDEX(对接源_01水果!$I$4:$I$1203,$AG281)=0,"",INDEX(对接源_01水果!$I$4:$I$1203,$AG281)),IF(INDEX(对接源_02物料!$I$4:$I$1203,$AG281-1200)=0,"",INDEX(对接源_02物料!$I$4:$I$1203,$AG281-1200))))</f>
        <v/>
      </c>
      <c r="G281" s="90" t="str">
        <f>IF($AG281="","",IF($AG281&lt;=1200,IF(INDEX(对接源_01水果!$J$4:$J$1203,$AG281)=0,"",INDEX(对接源_01水果!$J$4:$J$1203,$AG281)),IF(INDEX(对接源_02物料!$J$4:$J$1203,$AG281-1200)=0,"",INDEX(对接源_02物料!$J$4:$J$1203,$AG281-1200))))</f>
        <v/>
      </c>
      <c r="H281" s="90" t="str">
        <f>IF($AG281="","",IF($AG281&lt;=1200,IF(INDEX(对接源_01水果!$K$4:$K$1203,$AG281)=0,"",INDEX(对接源_01水果!$K$4:$K$1203,$AG281)),IF(INDEX(对接源_02物料!$K$4:$K$1203,$AG281-1200)=0,"",INDEX(对接源_02物料!$K$4:$K$1203,$AG281-1200))))</f>
        <v/>
      </c>
      <c r="I281" s="88" t="str">
        <f>IF($AG281="","",IF($AG281&lt;=1200,IF(INDEX(对接源_01水果!$L$4:$L$1203,$AG281)=0,"",INDEX(对接源_01水果!$L$4:$L$1203,$AG281)),IF(INDEX(对接源_02物料!$L$4:$L$1203,$AG281-1200)=0,"",INDEX(对接源_02物料!$L$4:$L$1203,$AG281-1200))))</f>
        <v/>
      </c>
      <c r="J281" s="91" t="str">
        <f>IF($AG281="","",IF($AG281&lt;=1200,IF(INDEX(对接源_01水果!$M$4:$M$1203,$AG281)=0,"",INDEX(对接源_01水果!$M$4:$M$1203,$AG281)),IF(INDEX(对接源_02物料!$M$4:$M$1203,$AG281-1200)=0,"",INDEX(对接源_02物料!$M$4:$M$1203,$AG281-1200))))</f>
        <v/>
      </c>
      <c r="AG281" s="2" t="str">
        <f>IFERROR(MATCH(70,_自动清单!$AE$4:$AE$2403,0),"")</f>
        <v/>
      </c>
    </row>
    <row r="282" ht="18" customHeight="1" spans="1:33">
      <c r="A282" s="52" t="str">
        <f>IF($AG282="","",IF($AG282&lt;=1200,IF(INDEX(对接源_01水果!$B$4:$B$1203,$AG282)=0,"",INDEX(对接源_01水果!$B$4:$B$1203,$AG282)),IF(INDEX(对接源_02物料!$B$4:$B$1203,$AG282-1200)=0,"",INDEX(对接源_02物料!$B$4:$B$1203,$AG282-1200))))</f>
        <v/>
      </c>
      <c r="B282" s="53" t="str">
        <f>IF($AG282="","",IF($AG282&lt;=1200,IF(INDEX(对接源_01水果!$E$4:$E$1203,$AG282)=0,"",INDEX(对接源_01水果!$E$4:$E$1203,$AG282)),IF(INDEX(对接源_02物料!$E$4:$E$1203,$AG282-1200)=0,"",INDEX(对接源_02物料!$E$4:$E$1203,$AG282-1200))))</f>
        <v/>
      </c>
      <c r="C282" s="53" t="str">
        <f>IF($AG282="","",IF($AG282&lt;=1200,IF(INDEX(对接源_01水果!$F$4:$F$1203,$AG282)=0,"",INDEX(对接源_01水果!$F$4:$F$1203,$AG282)),IF(INDEX(对接源_02物料!$F$4:$F$1203,$AG282-1200)=0,"",INDEX(对接源_02物料!$F$4:$F$1203,$AG282-1200))))</f>
        <v/>
      </c>
      <c r="D282" s="53" t="str">
        <f>IF($AG282="","",IF($AG282&lt;=1200,IF(INDEX(对接源_01水果!$G$4:$G$1203,$AG282)=0,"",INDEX(对接源_01水果!$G$4:$G$1203,$AG282)),IF(INDEX(对接源_02物料!$G$4:$G$1203,$AG282-1200)=0,"",INDEX(对接源_02物料!$G$4:$G$1203,$AG282-1200))))</f>
        <v/>
      </c>
      <c r="E282" s="54" t="str">
        <f>IF($AG282="","",IF($AG282&lt;=1200,IF(INDEX(对接源_01水果!$H$4:$H$1203,$AG282)=0,"",INDEX(对接源_01水果!$H$4:$H$1203,$AG282)),IF(INDEX(对接源_02物料!$H$4:$H$1203,$AG282-1200)=0,"",INDEX(对接源_02物料!$H$4:$H$1203,$AG282-1200))))</f>
        <v/>
      </c>
      <c r="F282" s="53" t="str">
        <f>IF($AG282="","",IF($AG282&lt;=1200,IF(INDEX(对接源_01水果!$I$4:$I$1203,$AG282)=0,"",INDEX(对接源_01水果!$I$4:$I$1203,$AG282)),IF(INDEX(对接源_02物料!$I$4:$I$1203,$AG282-1200)=0,"",INDEX(对接源_02物料!$I$4:$I$1203,$AG282-1200))))</f>
        <v/>
      </c>
      <c r="G282" s="55" t="str">
        <f>IF($AG282="","",IF($AG282&lt;=1200,IF(INDEX(对接源_01水果!$J$4:$J$1203,$AG282)=0,"",INDEX(对接源_01水果!$J$4:$J$1203,$AG282)),IF(INDEX(对接源_02物料!$J$4:$J$1203,$AG282-1200)=0,"",INDEX(对接源_02物料!$J$4:$J$1203,$AG282-1200))))</f>
        <v/>
      </c>
      <c r="H282" s="55" t="str">
        <f>IF($AG282="","",IF($AG282&lt;=1200,IF(INDEX(对接源_01水果!$K$4:$K$1203,$AG282)=0,"",INDEX(对接源_01水果!$K$4:$K$1203,$AG282)),IF(INDEX(对接源_02物料!$K$4:$K$1203,$AG282-1200)=0,"",INDEX(对接源_02物料!$K$4:$K$1203,$AG282-1200))))</f>
        <v/>
      </c>
      <c r="I282" s="53" t="str">
        <f>IF($AG282="","",IF($AG282&lt;=1200,IF(INDEX(对接源_01水果!$L$4:$L$1203,$AG282)=0,"",INDEX(对接源_01水果!$L$4:$L$1203,$AG282)),IF(INDEX(对接源_02物料!$L$4:$L$1203,$AG282-1200)=0,"",INDEX(对接源_02物料!$L$4:$L$1203,$AG282-1200))))</f>
        <v/>
      </c>
      <c r="J282" s="56" t="str">
        <f>IF($AG282="","",IF($AG282&lt;=1200,IF(INDEX(对接源_01水果!$M$4:$M$1203,$AG282)=0,"",INDEX(对接源_01水果!$M$4:$M$1203,$AG282)),IF(INDEX(对接源_02物料!$M$4:$M$1203,$AG282-1200)=0,"",INDEX(对接源_02物料!$M$4:$M$1203,$AG282-1200))))</f>
        <v/>
      </c>
      <c r="AG282" s="2" t="str">
        <f>IFERROR(MATCH(71,_自动清单!$AE$4:$AE$2403,0),"")</f>
        <v/>
      </c>
    </row>
    <row r="283" ht="18" customHeight="1" spans="1:33">
      <c r="A283" s="87" t="str">
        <f>IF($AG283="","",IF($AG283&lt;=1200,IF(INDEX(对接源_01水果!$B$4:$B$1203,$AG283)=0,"",INDEX(对接源_01水果!$B$4:$B$1203,$AG283)),IF(INDEX(对接源_02物料!$B$4:$B$1203,$AG283-1200)=0,"",INDEX(对接源_02物料!$B$4:$B$1203,$AG283-1200))))</f>
        <v/>
      </c>
      <c r="B283" s="88" t="str">
        <f>IF($AG283="","",IF($AG283&lt;=1200,IF(INDEX(对接源_01水果!$E$4:$E$1203,$AG283)=0,"",INDEX(对接源_01水果!$E$4:$E$1203,$AG283)),IF(INDEX(对接源_02物料!$E$4:$E$1203,$AG283-1200)=0,"",INDEX(对接源_02物料!$E$4:$E$1203,$AG283-1200))))</f>
        <v/>
      </c>
      <c r="C283" s="88" t="str">
        <f>IF($AG283="","",IF($AG283&lt;=1200,IF(INDEX(对接源_01水果!$F$4:$F$1203,$AG283)=0,"",INDEX(对接源_01水果!$F$4:$F$1203,$AG283)),IF(INDEX(对接源_02物料!$F$4:$F$1203,$AG283-1200)=0,"",INDEX(对接源_02物料!$F$4:$F$1203,$AG283-1200))))</f>
        <v/>
      </c>
      <c r="D283" s="88" t="str">
        <f>IF($AG283="","",IF($AG283&lt;=1200,IF(INDEX(对接源_01水果!$G$4:$G$1203,$AG283)=0,"",INDEX(对接源_01水果!$G$4:$G$1203,$AG283)),IF(INDEX(对接源_02物料!$G$4:$G$1203,$AG283-1200)=0,"",INDEX(对接源_02物料!$G$4:$G$1203,$AG283-1200))))</f>
        <v/>
      </c>
      <c r="E283" s="89" t="str">
        <f>IF($AG283="","",IF($AG283&lt;=1200,IF(INDEX(对接源_01水果!$H$4:$H$1203,$AG283)=0,"",INDEX(对接源_01水果!$H$4:$H$1203,$AG283)),IF(INDEX(对接源_02物料!$H$4:$H$1203,$AG283-1200)=0,"",INDEX(对接源_02物料!$H$4:$H$1203,$AG283-1200))))</f>
        <v/>
      </c>
      <c r="F283" s="88" t="str">
        <f>IF($AG283="","",IF($AG283&lt;=1200,IF(INDEX(对接源_01水果!$I$4:$I$1203,$AG283)=0,"",INDEX(对接源_01水果!$I$4:$I$1203,$AG283)),IF(INDEX(对接源_02物料!$I$4:$I$1203,$AG283-1200)=0,"",INDEX(对接源_02物料!$I$4:$I$1203,$AG283-1200))))</f>
        <v/>
      </c>
      <c r="G283" s="90" t="str">
        <f>IF($AG283="","",IF($AG283&lt;=1200,IF(INDEX(对接源_01水果!$J$4:$J$1203,$AG283)=0,"",INDEX(对接源_01水果!$J$4:$J$1203,$AG283)),IF(INDEX(对接源_02物料!$J$4:$J$1203,$AG283-1200)=0,"",INDEX(对接源_02物料!$J$4:$J$1203,$AG283-1200))))</f>
        <v/>
      </c>
      <c r="H283" s="90" t="str">
        <f>IF($AG283="","",IF($AG283&lt;=1200,IF(INDEX(对接源_01水果!$K$4:$K$1203,$AG283)=0,"",INDEX(对接源_01水果!$K$4:$K$1203,$AG283)),IF(INDEX(对接源_02物料!$K$4:$K$1203,$AG283-1200)=0,"",INDEX(对接源_02物料!$K$4:$K$1203,$AG283-1200))))</f>
        <v/>
      </c>
      <c r="I283" s="88" t="str">
        <f>IF($AG283="","",IF($AG283&lt;=1200,IF(INDEX(对接源_01水果!$L$4:$L$1203,$AG283)=0,"",INDEX(对接源_01水果!$L$4:$L$1203,$AG283)),IF(INDEX(对接源_02物料!$L$4:$L$1203,$AG283-1200)=0,"",INDEX(对接源_02物料!$L$4:$L$1203,$AG283-1200))))</f>
        <v/>
      </c>
      <c r="J283" s="91" t="str">
        <f>IF($AG283="","",IF($AG283&lt;=1200,IF(INDEX(对接源_01水果!$M$4:$M$1203,$AG283)=0,"",INDEX(对接源_01水果!$M$4:$M$1203,$AG283)),IF(INDEX(对接源_02物料!$M$4:$M$1203,$AG283-1200)=0,"",INDEX(对接源_02物料!$M$4:$M$1203,$AG283-1200))))</f>
        <v/>
      </c>
      <c r="AG283" s="2" t="str">
        <f>IFERROR(MATCH(72,_自动清单!$AE$4:$AE$2403,0),"")</f>
        <v/>
      </c>
    </row>
    <row r="284" ht="18" customHeight="1" spans="1:33">
      <c r="A284" s="52" t="str">
        <f>IF($AG284="","",IF($AG284&lt;=1200,IF(INDEX(对接源_01水果!$B$4:$B$1203,$AG284)=0,"",INDEX(对接源_01水果!$B$4:$B$1203,$AG284)),IF(INDEX(对接源_02物料!$B$4:$B$1203,$AG284-1200)=0,"",INDEX(对接源_02物料!$B$4:$B$1203,$AG284-1200))))</f>
        <v/>
      </c>
      <c r="B284" s="53" t="str">
        <f>IF($AG284="","",IF($AG284&lt;=1200,IF(INDEX(对接源_01水果!$E$4:$E$1203,$AG284)=0,"",INDEX(对接源_01水果!$E$4:$E$1203,$AG284)),IF(INDEX(对接源_02物料!$E$4:$E$1203,$AG284-1200)=0,"",INDEX(对接源_02物料!$E$4:$E$1203,$AG284-1200))))</f>
        <v/>
      </c>
      <c r="C284" s="53" t="str">
        <f>IF($AG284="","",IF($AG284&lt;=1200,IF(INDEX(对接源_01水果!$F$4:$F$1203,$AG284)=0,"",INDEX(对接源_01水果!$F$4:$F$1203,$AG284)),IF(INDEX(对接源_02物料!$F$4:$F$1203,$AG284-1200)=0,"",INDEX(对接源_02物料!$F$4:$F$1203,$AG284-1200))))</f>
        <v/>
      </c>
      <c r="D284" s="53" t="str">
        <f>IF($AG284="","",IF($AG284&lt;=1200,IF(INDEX(对接源_01水果!$G$4:$G$1203,$AG284)=0,"",INDEX(对接源_01水果!$G$4:$G$1203,$AG284)),IF(INDEX(对接源_02物料!$G$4:$G$1203,$AG284-1200)=0,"",INDEX(对接源_02物料!$G$4:$G$1203,$AG284-1200))))</f>
        <v/>
      </c>
      <c r="E284" s="54" t="str">
        <f>IF($AG284="","",IF($AG284&lt;=1200,IF(INDEX(对接源_01水果!$H$4:$H$1203,$AG284)=0,"",INDEX(对接源_01水果!$H$4:$H$1203,$AG284)),IF(INDEX(对接源_02物料!$H$4:$H$1203,$AG284-1200)=0,"",INDEX(对接源_02物料!$H$4:$H$1203,$AG284-1200))))</f>
        <v/>
      </c>
      <c r="F284" s="53" t="str">
        <f>IF($AG284="","",IF($AG284&lt;=1200,IF(INDEX(对接源_01水果!$I$4:$I$1203,$AG284)=0,"",INDEX(对接源_01水果!$I$4:$I$1203,$AG284)),IF(INDEX(对接源_02物料!$I$4:$I$1203,$AG284-1200)=0,"",INDEX(对接源_02物料!$I$4:$I$1203,$AG284-1200))))</f>
        <v/>
      </c>
      <c r="G284" s="55" t="str">
        <f>IF($AG284="","",IF($AG284&lt;=1200,IF(INDEX(对接源_01水果!$J$4:$J$1203,$AG284)=0,"",INDEX(对接源_01水果!$J$4:$J$1203,$AG284)),IF(INDEX(对接源_02物料!$J$4:$J$1203,$AG284-1200)=0,"",INDEX(对接源_02物料!$J$4:$J$1203,$AG284-1200))))</f>
        <v/>
      </c>
      <c r="H284" s="55" t="str">
        <f>IF($AG284="","",IF($AG284&lt;=1200,IF(INDEX(对接源_01水果!$K$4:$K$1203,$AG284)=0,"",INDEX(对接源_01水果!$K$4:$K$1203,$AG284)),IF(INDEX(对接源_02物料!$K$4:$K$1203,$AG284-1200)=0,"",INDEX(对接源_02物料!$K$4:$K$1203,$AG284-1200))))</f>
        <v/>
      </c>
      <c r="I284" s="53" t="str">
        <f>IF($AG284="","",IF($AG284&lt;=1200,IF(INDEX(对接源_01水果!$L$4:$L$1203,$AG284)=0,"",INDEX(对接源_01水果!$L$4:$L$1203,$AG284)),IF(INDEX(对接源_02物料!$L$4:$L$1203,$AG284-1200)=0,"",INDEX(对接源_02物料!$L$4:$L$1203,$AG284-1200))))</f>
        <v/>
      </c>
      <c r="J284" s="56" t="str">
        <f>IF($AG284="","",IF($AG284&lt;=1200,IF(INDEX(对接源_01水果!$M$4:$M$1203,$AG284)=0,"",INDEX(对接源_01水果!$M$4:$M$1203,$AG284)),IF(INDEX(对接源_02物料!$M$4:$M$1203,$AG284-1200)=0,"",INDEX(对接源_02物料!$M$4:$M$1203,$AG284-1200))))</f>
        <v/>
      </c>
      <c r="AG284" s="2" t="str">
        <f>IFERROR(MATCH(73,_自动清单!$AE$4:$AE$2403,0),"")</f>
        <v/>
      </c>
    </row>
    <row r="285" ht="18" customHeight="1" spans="1:33">
      <c r="A285" s="87" t="str">
        <f>IF($AG285="","",IF($AG285&lt;=1200,IF(INDEX(对接源_01水果!$B$4:$B$1203,$AG285)=0,"",INDEX(对接源_01水果!$B$4:$B$1203,$AG285)),IF(INDEX(对接源_02物料!$B$4:$B$1203,$AG285-1200)=0,"",INDEX(对接源_02物料!$B$4:$B$1203,$AG285-1200))))</f>
        <v/>
      </c>
      <c r="B285" s="88" t="str">
        <f>IF($AG285="","",IF($AG285&lt;=1200,IF(INDEX(对接源_01水果!$E$4:$E$1203,$AG285)=0,"",INDEX(对接源_01水果!$E$4:$E$1203,$AG285)),IF(INDEX(对接源_02物料!$E$4:$E$1203,$AG285-1200)=0,"",INDEX(对接源_02物料!$E$4:$E$1203,$AG285-1200))))</f>
        <v/>
      </c>
      <c r="C285" s="88" t="str">
        <f>IF($AG285="","",IF($AG285&lt;=1200,IF(INDEX(对接源_01水果!$F$4:$F$1203,$AG285)=0,"",INDEX(对接源_01水果!$F$4:$F$1203,$AG285)),IF(INDEX(对接源_02物料!$F$4:$F$1203,$AG285-1200)=0,"",INDEX(对接源_02物料!$F$4:$F$1203,$AG285-1200))))</f>
        <v/>
      </c>
      <c r="D285" s="88" t="str">
        <f>IF($AG285="","",IF($AG285&lt;=1200,IF(INDEX(对接源_01水果!$G$4:$G$1203,$AG285)=0,"",INDEX(对接源_01水果!$G$4:$G$1203,$AG285)),IF(INDEX(对接源_02物料!$G$4:$G$1203,$AG285-1200)=0,"",INDEX(对接源_02物料!$G$4:$G$1203,$AG285-1200))))</f>
        <v/>
      </c>
      <c r="E285" s="89" t="str">
        <f>IF($AG285="","",IF($AG285&lt;=1200,IF(INDEX(对接源_01水果!$H$4:$H$1203,$AG285)=0,"",INDEX(对接源_01水果!$H$4:$H$1203,$AG285)),IF(INDEX(对接源_02物料!$H$4:$H$1203,$AG285-1200)=0,"",INDEX(对接源_02物料!$H$4:$H$1203,$AG285-1200))))</f>
        <v/>
      </c>
      <c r="F285" s="88" t="str">
        <f>IF($AG285="","",IF($AG285&lt;=1200,IF(INDEX(对接源_01水果!$I$4:$I$1203,$AG285)=0,"",INDEX(对接源_01水果!$I$4:$I$1203,$AG285)),IF(INDEX(对接源_02物料!$I$4:$I$1203,$AG285-1200)=0,"",INDEX(对接源_02物料!$I$4:$I$1203,$AG285-1200))))</f>
        <v/>
      </c>
      <c r="G285" s="90" t="str">
        <f>IF($AG285="","",IF($AG285&lt;=1200,IF(INDEX(对接源_01水果!$J$4:$J$1203,$AG285)=0,"",INDEX(对接源_01水果!$J$4:$J$1203,$AG285)),IF(INDEX(对接源_02物料!$J$4:$J$1203,$AG285-1200)=0,"",INDEX(对接源_02物料!$J$4:$J$1203,$AG285-1200))))</f>
        <v/>
      </c>
      <c r="H285" s="90" t="str">
        <f>IF($AG285="","",IF($AG285&lt;=1200,IF(INDEX(对接源_01水果!$K$4:$K$1203,$AG285)=0,"",INDEX(对接源_01水果!$K$4:$K$1203,$AG285)),IF(INDEX(对接源_02物料!$K$4:$K$1203,$AG285-1200)=0,"",INDEX(对接源_02物料!$K$4:$K$1203,$AG285-1200))))</f>
        <v/>
      </c>
      <c r="I285" s="88" t="str">
        <f>IF($AG285="","",IF($AG285&lt;=1200,IF(INDEX(对接源_01水果!$L$4:$L$1203,$AG285)=0,"",INDEX(对接源_01水果!$L$4:$L$1203,$AG285)),IF(INDEX(对接源_02物料!$L$4:$L$1203,$AG285-1200)=0,"",INDEX(对接源_02物料!$L$4:$L$1203,$AG285-1200))))</f>
        <v/>
      </c>
      <c r="J285" s="91" t="str">
        <f>IF($AG285="","",IF($AG285&lt;=1200,IF(INDEX(对接源_01水果!$M$4:$M$1203,$AG285)=0,"",INDEX(对接源_01水果!$M$4:$M$1203,$AG285)),IF(INDEX(对接源_02物料!$M$4:$M$1203,$AG285-1200)=0,"",INDEX(对接源_02物料!$M$4:$M$1203,$AG285-1200))))</f>
        <v/>
      </c>
      <c r="AG285" s="2" t="str">
        <f>IFERROR(MATCH(74,_自动清单!$AE$4:$AE$2403,0),"")</f>
        <v/>
      </c>
    </row>
    <row r="286" ht="18" customHeight="1" spans="1:33">
      <c r="A286" s="52" t="str">
        <f>IF($AG286="","",IF($AG286&lt;=1200,IF(INDEX(对接源_01水果!$B$4:$B$1203,$AG286)=0,"",INDEX(对接源_01水果!$B$4:$B$1203,$AG286)),IF(INDEX(对接源_02物料!$B$4:$B$1203,$AG286-1200)=0,"",INDEX(对接源_02物料!$B$4:$B$1203,$AG286-1200))))</f>
        <v/>
      </c>
      <c r="B286" s="53" t="str">
        <f>IF($AG286="","",IF($AG286&lt;=1200,IF(INDEX(对接源_01水果!$E$4:$E$1203,$AG286)=0,"",INDEX(对接源_01水果!$E$4:$E$1203,$AG286)),IF(INDEX(对接源_02物料!$E$4:$E$1203,$AG286-1200)=0,"",INDEX(对接源_02物料!$E$4:$E$1203,$AG286-1200))))</f>
        <v/>
      </c>
      <c r="C286" s="53" t="str">
        <f>IF($AG286="","",IF($AG286&lt;=1200,IF(INDEX(对接源_01水果!$F$4:$F$1203,$AG286)=0,"",INDEX(对接源_01水果!$F$4:$F$1203,$AG286)),IF(INDEX(对接源_02物料!$F$4:$F$1203,$AG286-1200)=0,"",INDEX(对接源_02物料!$F$4:$F$1203,$AG286-1200))))</f>
        <v/>
      </c>
      <c r="D286" s="53" t="str">
        <f>IF($AG286="","",IF($AG286&lt;=1200,IF(INDEX(对接源_01水果!$G$4:$G$1203,$AG286)=0,"",INDEX(对接源_01水果!$G$4:$G$1203,$AG286)),IF(INDEX(对接源_02物料!$G$4:$G$1203,$AG286-1200)=0,"",INDEX(对接源_02物料!$G$4:$G$1203,$AG286-1200))))</f>
        <v/>
      </c>
      <c r="E286" s="54" t="str">
        <f>IF($AG286="","",IF($AG286&lt;=1200,IF(INDEX(对接源_01水果!$H$4:$H$1203,$AG286)=0,"",INDEX(对接源_01水果!$H$4:$H$1203,$AG286)),IF(INDEX(对接源_02物料!$H$4:$H$1203,$AG286-1200)=0,"",INDEX(对接源_02物料!$H$4:$H$1203,$AG286-1200))))</f>
        <v/>
      </c>
      <c r="F286" s="53" t="str">
        <f>IF($AG286="","",IF($AG286&lt;=1200,IF(INDEX(对接源_01水果!$I$4:$I$1203,$AG286)=0,"",INDEX(对接源_01水果!$I$4:$I$1203,$AG286)),IF(INDEX(对接源_02物料!$I$4:$I$1203,$AG286-1200)=0,"",INDEX(对接源_02物料!$I$4:$I$1203,$AG286-1200))))</f>
        <v/>
      </c>
      <c r="G286" s="55" t="str">
        <f>IF($AG286="","",IF($AG286&lt;=1200,IF(INDEX(对接源_01水果!$J$4:$J$1203,$AG286)=0,"",INDEX(对接源_01水果!$J$4:$J$1203,$AG286)),IF(INDEX(对接源_02物料!$J$4:$J$1203,$AG286-1200)=0,"",INDEX(对接源_02物料!$J$4:$J$1203,$AG286-1200))))</f>
        <v/>
      </c>
      <c r="H286" s="55" t="str">
        <f>IF($AG286="","",IF($AG286&lt;=1200,IF(INDEX(对接源_01水果!$K$4:$K$1203,$AG286)=0,"",INDEX(对接源_01水果!$K$4:$K$1203,$AG286)),IF(INDEX(对接源_02物料!$K$4:$K$1203,$AG286-1200)=0,"",INDEX(对接源_02物料!$K$4:$K$1203,$AG286-1200))))</f>
        <v/>
      </c>
      <c r="I286" s="53" t="str">
        <f>IF($AG286="","",IF($AG286&lt;=1200,IF(INDEX(对接源_01水果!$L$4:$L$1203,$AG286)=0,"",INDEX(对接源_01水果!$L$4:$L$1203,$AG286)),IF(INDEX(对接源_02物料!$L$4:$L$1203,$AG286-1200)=0,"",INDEX(对接源_02物料!$L$4:$L$1203,$AG286-1200))))</f>
        <v/>
      </c>
      <c r="J286" s="56" t="str">
        <f>IF($AG286="","",IF($AG286&lt;=1200,IF(INDEX(对接源_01水果!$M$4:$M$1203,$AG286)=0,"",INDEX(对接源_01水果!$M$4:$M$1203,$AG286)),IF(INDEX(对接源_02物料!$M$4:$M$1203,$AG286-1200)=0,"",INDEX(对接源_02物料!$M$4:$M$1203,$AG286-1200))))</f>
        <v/>
      </c>
      <c r="AG286" s="2" t="str">
        <f>IFERROR(MATCH(75,_自动清单!$AE$4:$AE$2403,0),"")</f>
        <v/>
      </c>
    </row>
    <row r="287" ht="18" customHeight="1" spans="1:33">
      <c r="A287" s="87" t="str">
        <f>IF($AG287="","",IF($AG287&lt;=1200,IF(INDEX(对接源_01水果!$B$4:$B$1203,$AG287)=0,"",INDEX(对接源_01水果!$B$4:$B$1203,$AG287)),IF(INDEX(对接源_02物料!$B$4:$B$1203,$AG287-1200)=0,"",INDEX(对接源_02物料!$B$4:$B$1203,$AG287-1200))))</f>
        <v/>
      </c>
      <c r="B287" s="88" t="str">
        <f>IF($AG287="","",IF($AG287&lt;=1200,IF(INDEX(对接源_01水果!$E$4:$E$1203,$AG287)=0,"",INDEX(对接源_01水果!$E$4:$E$1203,$AG287)),IF(INDEX(对接源_02物料!$E$4:$E$1203,$AG287-1200)=0,"",INDEX(对接源_02物料!$E$4:$E$1203,$AG287-1200))))</f>
        <v/>
      </c>
      <c r="C287" s="88" t="str">
        <f>IF($AG287="","",IF($AG287&lt;=1200,IF(INDEX(对接源_01水果!$F$4:$F$1203,$AG287)=0,"",INDEX(对接源_01水果!$F$4:$F$1203,$AG287)),IF(INDEX(对接源_02物料!$F$4:$F$1203,$AG287-1200)=0,"",INDEX(对接源_02物料!$F$4:$F$1203,$AG287-1200))))</f>
        <v/>
      </c>
      <c r="D287" s="88" t="str">
        <f>IF($AG287="","",IF($AG287&lt;=1200,IF(INDEX(对接源_01水果!$G$4:$G$1203,$AG287)=0,"",INDEX(对接源_01水果!$G$4:$G$1203,$AG287)),IF(INDEX(对接源_02物料!$G$4:$G$1203,$AG287-1200)=0,"",INDEX(对接源_02物料!$G$4:$G$1203,$AG287-1200))))</f>
        <v/>
      </c>
      <c r="E287" s="89" t="str">
        <f>IF($AG287="","",IF($AG287&lt;=1200,IF(INDEX(对接源_01水果!$H$4:$H$1203,$AG287)=0,"",INDEX(对接源_01水果!$H$4:$H$1203,$AG287)),IF(INDEX(对接源_02物料!$H$4:$H$1203,$AG287-1200)=0,"",INDEX(对接源_02物料!$H$4:$H$1203,$AG287-1200))))</f>
        <v/>
      </c>
      <c r="F287" s="88" t="str">
        <f>IF($AG287="","",IF($AG287&lt;=1200,IF(INDEX(对接源_01水果!$I$4:$I$1203,$AG287)=0,"",INDEX(对接源_01水果!$I$4:$I$1203,$AG287)),IF(INDEX(对接源_02物料!$I$4:$I$1203,$AG287-1200)=0,"",INDEX(对接源_02物料!$I$4:$I$1203,$AG287-1200))))</f>
        <v/>
      </c>
      <c r="G287" s="90" t="str">
        <f>IF($AG287="","",IF($AG287&lt;=1200,IF(INDEX(对接源_01水果!$J$4:$J$1203,$AG287)=0,"",INDEX(对接源_01水果!$J$4:$J$1203,$AG287)),IF(INDEX(对接源_02物料!$J$4:$J$1203,$AG287-1200)=0,"",INDEX(对接源_02物料!$J$4:$J$1203,$AG287-1200))))</f>
        <v/>
      </c>
      <c r="H287" s="90" t="str">
        <f>IF($AG287="","",IF($AG287&lt;=1200,IF(INDEX(对接源_01水果!$K$4:$K$1203,$AG287)=0,"",INDEX(对接源_01水果!$K$4:$K$1203,$AG287)),IF(INDEX(对接源_02物料!$K$4:$K$1203,$AG287-1200)=0,"",INDEX(对接源_02物料!$K$4:$K$1203,$AG287-1200))))</f>
        <v/>
      </c>
      <c r="I287" s="88" t="str">
        <f>IF($AG287="","",IF($AG287&lt;=1200,IF(INDEX(对接源_01水果!$L$4:$L$1203,$AG287)=0,"",INDEX(对接源_01水果!$L$4:$L$1203,$AG287)),IF(INDEX(对接源_02物料!$L$4:$L$1203,$AG287-1200)=0,"",INDEX(对接源_02物料!$L$4:$L$1203,$AG287-1200))))</f>
        <v/>
      </c>
      <c r="J287" s="91" t="str">
        <f>IF($AG287="","",IF($AG287&lt;=1200,IF(INDEX(对接源_01水果!$M$4:$M$1203,$AG287)=0,"",INDEX(对接源_01水果!$M$4:$M$1203,$AG287)),IF(INDEX(对接源_02物料!$M$4:$M$1203,$AG287-1200)=0,"",INDEX(对接源_02物料!$M$4:$M$1203,$AG287-1200))))</f>
        <v/>
      </c>
      <c r="AG287" s="2" t="str">
        <f>IFERROR(MATCH(76,_自动清单!$AE$4:$AE$2403,0),"")</f>
        <v/>
      </c>
    </row>
    <row r="288" ht="18" customHeight="1" spans="1:33">
      <c r="A288" s="52" t="str">
        <f>IF($AG288="","",IF($AG288&lt;=1200,IF(INDEX(对接源_01水果!$B$4:$B$1203,$AG288)=0,"",INDEX(对接源_01水果!$B$4:$B$1203,$AG288)),IF(INDEX(对接源_02物料!$B$4:$B$1203,$AG288-1200)=0,"",INDEX(对接源_02物料!$B$4:$B$1203,$AG288-1200))))</f>
        <v/>
      </c>
      <c r="B288" s="53" t="str">
        <f>IF($AG288="","",IF($AG288&lt;=1200,IF(INDEX(对接源_01水果!$E$4:$E$1203,$AG288)=0,"",INDEX(对接源_01水果!$E$4:$E$1203,$AG288)),IF(INDEX(对接源_02物料!$E$4:$E$1203,$AG288-1200)=0,"",INDEX(对接源_02物料!$E$4:$E$1203,$AG288-1200))))</f>
        <v/>
      </c>
      <c r="C288" s="53" t="str">
        <f>IF($AG288="","",IF($AG288&lt;=1200,IF(INDEX(对接源_01水果!$F$4:$F$1203,$AG288)=0,"",INDEX(对接源_01水果!$F$4:$F$1203,$AG288)),IF(INDEX(对接源_02物料!$F$4:$F$1203,$AG288-1200)=0,"",INDEX(对接源_02物料!$F$4:$F$1203,$AG288-1200))))</f>
        <v/>
      </c>
      <c r="D288" s="53" t="str">
        <f>IF($AG288="","",IF($AG288&lt;=1200,IF(INDEX(对接源_01水果!$G$4:$G$1203,$AG288)=0,"",INDEX(对接源_01水果!$G$4:$G$1203,$AG288)),IF(INDEX(对接源_02物料!$G$4:$G$1203,$AG288-1200)=0,"",INDEX(对接源_02物料!$G$4:$G$1203,$AG288-1200))))</f>
        <v/>
      </c>
      <c r="E288" s="54" t="str">
        <f>IF($AG288="","",IF($AG288&lt;=1200,IF(INDEX(对接源_01水果!$H$4:$H$1203,$AG288)=0,"",INDEX(对接源_01水果!$H$4:$H$1203,$AG288)),IF(INDEX(对接源_02物料!$H$4:$H$1203,$AG288-1200)=0,"",INDEX(对接源_02物料!$H$4:$H$1203,$AG288-1200))))</f>
        <v/>
      </c>
      <c r="F288" s="53" t="str">
        <f>IF($AG288="","",IF($AG288&lt;=1200,IF(INDEX(对接源_01水果!$I$4:$I$1203,$AG288)=0,"",INDEX(对接源_01水果!$I$4:$I$1203,$AG288)),IF(INDEX(对接源_02物料!$I$4:$I$1203,$AG288-1200)=0,"",INDEX(对接源_02物料!$I$4:$I$1203,$AG288-1200))))</f>
        <v/>
      </c>
      <c r="G288" s="55" t="str">
        <f>IF($AG288="","",IF($AG288&lt;=1200,IF(INDEX(对接源_01水果!$J$4:$J$1203,$AG288)=0,"",INDEX(对接源_01水果!$J$4:$J$1203,$AG288)),IF(INDEX(对接源_02物料!$J$4:$J$1203,$AG288-1200)=0,"",INDEX(对接源_02物料!$J$4:$J$1203,$AG288-1200))))</f>
        <v/>
      </c>
      <c r="H288" s="55" t="str">
        <f>IF($AG288="","",IF($AG288&lt;=1200,IF(INDEX(对接源_01水果!$K$4:$K$1203,$AG288)=0,"",INDEX(对接源_01水果!$K$4:$K$1203,$AG288)),IF(INDEX(对接源_02物料!$K$4:$K$1203,$AG288-1200)=0,"",INDEX(对接源_02物料!$K$4:$K$1203,$AG288-1200))))</f>
        <v/>
      </c>
      <c r="I288" s="53" t="str">
        <f>IF($AG288="","",IF($AG288&lt;=1200,IF(INDEX(对接源_01水果!$L$4:$L$1203,$AG288)=0,"",INDEX(对接源_01水果!$L$4:$L$1203,$AG288)),IF(INDEX(对接源_02物料!$L$4:$L$1203,$AG288-1200)=0,"",INDEX(对接源_02物料!$L$4:$L$1203,$AG288-1200))))</f>
        <v/>
      </c>
      <c r="J288" s="56" t="str">
        <f>IF($AG288="","",IF($AG288&lt;=1200,IF(INDEX(对接源_01水果!$M$4:$M$1203,$AG288)=0,"",INDEX(对接源_01水果!$M$4:$M$1203,$AG288)),IF(INDEX(对接源_02物料!$M$4:$M$1203,$AG288-1200)=0,"",INDEX(对接源_02物料!$M$4:$M$1203,$AG288-1200))))</f>
        <v/>
      </c>
      <c r="AG288" s="2" t="str">
        <f>IFERROR(MATCH(77,_自动清单!$AE$4:$AE$2403,0),"")</f>
        <v/>
      </c>
    </row>
    <row r="289" ht="18" customHeight="1" spans="1:33">
      <c r="A289" s="87" t="str">
        <f>IF($AG289="","",IF($AG289&lt;=1200,IF(INDEX(对接源_01水果!$B$4:$B$1203,$AG289)=0,"",INDEX(对接源_01水果!$B$4:$B$1203,$AG289)),IF(INDEX(对接源_02物料!$B$4:$B$1203,$AG289-1200)=0,"",INDEX(对接源_02物料!$B$4:$B$1203,$AG289-1200))))</f>
        <v/>
      </c>
      <c r="B289" s="88" t="str">
        <f>IF($AG289="","",IF($AG289&lt;=1200,IF(INDEX(对接源_01水果!$E$4:$E$1203,$AG289)=0,"",INDEX(对接源_01水果!$E$4:$E$1203,$AG289)),IF(INDEX(对接源_02物料!$E$4:$E$1203,$AG289-1200)=0,"",INDEX(对接源_02物料!$E$4:$E$1203,$AG289-1200))))</f>
        <v/>
      </c>
      <c r="C289" s="88" t="str">
        <f>IF($AG289="","",IF($AG289&lt;=1200,IF(INDEX(对接源_01水果!$F$4:$F$1203,$AG289)=0,"",INDEX(对接源_01水果!$F$4:$F$1203,$AG289)),IF(INDEX(对接源_02物料!$F$4:$F$1203,$AG289-1200)=0,"",INDEX(对接源_02物料!$F$4:$F$1203,$AG289-1200))))</f>
        <v/>
      </c>
      <c r="D289" s="88" t="str">
        <f>IF($AG289="","",IF($AG289&lt;=1200,IF(INDEX(对接源_01水果!$G$4:$G$1203,$AG289)=0,"",INDEX(对接源_01水果!$G$4:$G$1203,$AG289)),IF(INDEX(对接源_02物料!$G$4:$G$1203,$AG289-1200)=0,"",INDEX(对接源_02物料!$G$4:$G$1203,$AG289-1200))))</f>
        <v/>
      </c>
      <c r="E289" s="89" t="str">
        <f>IF($AG289="","",IF($AG289&lt;=1200,IF(INDEX(对接源_01水果!$H$4:$H$1203,$AG289)=0,"",INDEX(对接源_01水果!$H$4:$H$1203,$AG289)),IF(INDEX(对接源_02物料!$H$4:$H$1203,$AG289-1200)=0,"",INDEX(对接源_02物料!$H$4:$H$1203,$AG289-1200))))</f>
        <v/>
      </c>
      <c r="F289" s="88" t="str">
        <f>IF($AG289="","",IF($AG289&lt;=1200,IF(INDEX(对接源_01水果!$I$4:$I$1203,$AG289)=0,"",INDEX(对接源_01水果!$I$4:$I$1203,$AG289)),IF(INDEX(对接源_02物料!$I$4:$I$1203,$AG289-1200)=0,"",INDEX(对接源_02物料!$I$4:$I$1203,$AG289-1200))))</f>
        <v/>
      </c>
      <c r="G289" s="90" t="str">
        <f>IF($AG289="","",IF($AG289&lt;=1200,IF(INDEX(对接源_01水果!$J$4:$J$1203,$AG289)=0,"",INDEX(对接源_01水果!$J$4:$J$1203,$AG289)),IF(INDEX(对接源_02物料!$J$4:$J$1203,$AG289-1200)=0,"",INDEX(对接源_02物料!$J$4:$J$1203,$AG289-1200))))</f>
        <v/>
      </c>
      <c r="H289" s="90" t="str">
        <f>IF($AG289="","",IF($AG289&lt;=1200,IF(INDEX(对接源_01水果!$K$4:$K$1203,$AG289)=0,"",INDEX(对接源_01水果!$K$4:$K$1203,$AG289)),IF(INDEX(对接源_02物料!$K$4:$K$1203,$AG289-1200)=0,"",INDEX(对接源_02物料!$K$4:$K$1203,$AG289-1200))))</f>
        <v/>
      </c>
      <c r="I289" s="88" t="str">
        <f>IF($AG289="","",IF($AG289&lt;=1200,IF(INDEX(对接源_01水果!$L$4:$L$1203,$AG289)=0,"",INDEX(对接源_01水果!$L$4:$L$1203,$AG289)),IF(INDEX(对接源_02物料!$L$4:$L$1203,$AG289-1200)=0,"",INDEX(对接源_02物料!$L$4:$L$1203,$AG289-1200))))</f>
        <v/>
      </c>
      <c r="J289" s="91" t="str">
        <f>IF($AG289="","",IF($AG289&lt;=1200,IF(INDEX(对接源_01水果!$M$4:$M$1203,$AG289)=0,"",INDEX(对接源_01水果!$M$4:$M$1203,$AG289)),IF(INDEX(对接源_02物料!$M$4:$M$1203,$AG289-1200)=0,"",INDEX(对接源_02物料!$M$4:$M$1203,$AG289-1200))))</f>
        <v/>
      </c>
      <c r="AG289" s="2" t="str">
        <f>IFERROR(MATCH(78,_自动清单!$AE$4:$AE$2403,0),"")</f>
        <v/>
      </c>
    </row>
    <row r="290" ht="18" customHeight="1" spans="1:33">
      <c r="A290" s="52" t="str">
        <f>IF($AG290="","",IF($AG290&lt;=1200,IF(INDEX(对接源_01水果!$B$4:$B$1203,$AG290)=0,"",INDEX(对接源_01水果!$B$4:$B$1203,$AG290)),IF(INDEX(对接源_02物料!$B$4:$B$1203,$AG290-1200)=0,"",INDEX(对接源_02物料!$B$4:$B$1203,$AG290-1200))))</f>
        <v/>
      </c>
      <c r="B290" s="53" t="str">
        <f>IF($AG290="","",IF($AG290&lt;=1200,IF(INDEX(对接源_01水果!$E$4:$E$1203,$AG290)=0,"",INDEX(对接源_01水果!$E$4:$E$1203,$AG290)),IF(INDEX(对接源_02物料!$E$4:$E$1203,$AG290-1200)=0,"",INDEX(对接源_02物料!$E$4:$E$1203,$AG290-1200))))</f>
        <v/>
      </c>
      <c r="C290" s="53" t="str">
        <f>IF($AG290="","",IF($AG290&lt;=1200,IF(INDEX(对接源_01水果!$F$4:$F$1203,$AG290)=0,"",INDEX(对接源_01水果!$F$4:$F$1203,$AG290)),IF(INDEX(对接源_02物料!$F$4:$F$1203,$AG290-1200)=0,"",INDEX(对接源_02物料!$F$4:$F$1203,$AG290-1200))))</f>
        <v/>
      </c>
      <c r="D290" s="53" t="str">
        <f>IF($AG290="","",IF($AG290&lt;=1200,IF(INDEX(对接源_01水果!$G$4:$G$1203,$AG290)=0,"",INDEX(对接源_01水果!$G$4:$G$1203,$AG290)),IF(INDEX(对接源_02物料!$G$4:$G$1203,$AG290-1200)=0,"",INDEX(对接源_02物料!$G$4:$G$1203,$AG290-1200))))</f>
        <v/>
      </c>
      <c r="E290" s="54" t="str">
        <f>IF($AG290="","",IF($AG290&lt;=1200,IF(INDEX(对接源_01水果!$H$4:$H$1203,$AG290)=0,"",INDEX(对接源_01水果!$H$4:$H$1203,$AG290)),IF(INDEX(对接源_02物料!$H$4:$H$1203,$AG290-1200)=0,"",INDEX(对接源_02物料!$H$4:$H$1203,$AG290-1200))))</f>
        <v/>
      </c>
      <c r="F290" s="53" t="str">
        <f>IF($AG290="","",IF($AG290&lt;=1200,IF(INDEX(对接源_01水果!$I$4:$I$1203,$AG290)=0,"",INDEX(对接源_01水果!$I$4:$I$1203,$AG290)),IF(INDEX(对接源_02物料!$I$4:$I$1203,$AG290-1200)=0,"",INDEX(对接源_02物料!$I$4:$I$1203,$AG290-1200))))</f>
        <v/>
      </c>
      <c r="G290" s="55" t="str">
        <f>IF($AG290="","",IF($AG290&lt;=1200,IF(INDEX(对接源_01水果!$J$4:$J$1203,$AG290)=0,"",INDEX(对接源_01水果!$J$4:$J$1203,$AG290)),IF(INDEX(对接源_02物料!$J$4:$J$1203,$AG290-1200)=0,"",INDEX(对接源_02物料!$J$4:$J$1203,$AG290-1200))))</f>
        <v/>
      </c>
      <c r="H290" s="55" t="str">
        <f>IF($AG290="","",IF($AG290&lt;=1200,IF(INDEX(对接源_01水果!$K$4:$K$1203,$AG290)=0,"",INDEX(对接源_01水果!$K$4:$K$1203,$AG290)),IF(INDEX(对接源_02物料!$K$4:$K$1203,$AG290-1200)=0,"",INDEX(对接源_02物料!$K$4:$K$1203,$AG290-1200))))</f>
        <v/>
      </c>
      <c r="I290" s="53" t="str">
        <f>IF($AG290="","",IF($AG290&lt;=1200,IF(INDEX(对接源_01水果!$L$4:$L$1203,$AG290)=0,"",INDEX(对接源_01水果!$L$4:$L$1203,$AG290)),IF(INDEX(对接源_02物料!$L$4:$L$1203,$AG290-1200)=0,"",INDEX(对接源_02物料!$L$4:$L$1203,$AG290-1200))))</f>
        <v/>
      </c>
      <c r="J290" s="56" t="str">
        <f>IF($AG290="","",IF($AG290&lt;=1200,IF(INDEX(对接源_01水果!$M$4:$M$1203,$AG290)=0,"",INDEX(对接源_01水果!$M$4:$M$1203,$AG290)),IF(INDEX(对接源_02物料!$M$4:$M$1203,$AG290-1200)=0,"",INDEX(对接源_02物料!$M$4:$M$1203,$AG290-1200))))</f>
        <v/>
      </c>
      <c r="AG290" s="2" t="str">
        <f>IFERROR(MATCH(79,_自动清单!$AE$4:$AE$2403,0),"")</f>
        <v/>
      </c>
    </row>
    <row r="291" ht="18" customHeight="1" spans="1:33">
      <c r="A291" s="87" t="str">
        <f>IF($AG291="","",IF($AG291&lt;=1200,IF(INDEX(对接源_01水果!$B$4:$B$1203,$AG291)=0,"",INDEX(对接源_01水果!$B$4:$B$1203,$AG291)),IF(INDEX(对接源_02物料!$B$4:$B$1203,$AG291-1200)=0,"",INDEX(对接源_02物料!$B$4:$B$1203,$AG291-1200))))</f>
        <v/>
      </c>
      <c r="B291" s="88" t="str">
        <f>IF($AG291="","",IF($AG291&lt;=1200,IF(INDEX(对接源_01水果!$E$4:$E$1203,$AG291)=0,"",INDEX(对接源_01水果!$E$4:$E$1203,$AG291)),IF(INDEX(对接源_02物料!$E$4:$E$1203,$AG291-1200)=0,"",INDEX(对接源_02物料!$E$4:$E$1203,$AG291-1200))))</f>
        <v/>
      </c>
      <c r="C291" s="88" t="str">
        <f>IF($AG291="","",IF($AG291&lt;=1200,IF(INDEX(对接源_01水果!$F$4:$F$1203,$AG291)=0,"",INDEX(对接源_01水果!$F$4:$F$1203,$AG291)),IF(INDEX(对接源_02物料!$F$4:$F$1203,$AG291-1200)=0,"",INDEX(对接源_02物料!$F$4:$F$1203,$AG291-1200))))</f>
        <v/>
      </c>
      <c r="D291" s="88" t="str">
        <f>IF($AG291="","",IF($AG291&lt;=1200,IF(INDEX(对接源_01水果!$G$4:$G$1203,$AG291)=0,"",INDEX(对接源_01水果!$G$4:$G$1203,$AG291)),IF(INDEX(对接源_02物料!$G$4:$G$1203,$AG291-1200)=0,"",INDEX(对接源_02物料!$G$4:$G$1203,$AG291-1200))))</f>
        <v/>
      </c>
      <c r="E291" s="89" t="str">
        <f>IF($AG291="","",IF($AG291&lt;=1200,IF(INDEX(对接源_01水果!$H$4:$H$1203,$AG291)=0,"",INDEX(对接源_01水果!$H$4:$H$1203,$AG291)),IF(INDEX(对接源_02物料!$H$4:$H$1203,$AG291-1200)=0,"",INDEX(对接源_02物料!$H$4:$H$1203,$AG291-1200))))</f>
        <v/>
      </c>
      <c r="F291" s="88" t="str">
        <f>IF($AG291="","",IF($AG291&lt;=1200,IF(INDEX(对接源_01水果!$I$4:$I$1203,$AG291)=0,"",INDEX(对接源_01水果!$I$4:$I$1203,$AG291)),IF(INDEX(对接源_02物料!$I$4:$I$1203,$AG291-1200)=0,"",INDEX(对接源_02物料!$I$4:$I$1203,$AG291-1200))))</f>
        <v/>
      </c>
      <c r="G291" s="90" t="str">
        <f>IF($AG291="","",IF($AG291&lt;=1200,IF(INDEX(对接源_01水果!$J$4:$J$1203,$AG291)=0,"",INDEX(对接源_01水果!$J$4:$J$1203,$AG291)),IF(INDEX(对接源_02物料!$J$4:$J$1203,$AG291-1200)=0,"",INDEX(对接源_02物料!$J$4:$J$1203,$AG291-1200))))</f>
        <v/>
      </c>
      <c r="H291" s="90" t="str">
        <f>IF($AG291="","",IF($AG291&lt;=1200,IF(INDEX(对接源_01水果!$K$4:$K$1203,$AG291)=0,"",INDEX(对接源_01水果!$K$4:$K$1203,$AG291)),IF(INDEX(对接源_02物料!$K$4:$K$1203,$AG291-1200)=0,"",INDEX(对接源_02物料!$K$4:$K$1203,$AG291-1200))))</f>
        <v/>
      </c>
      <c r="I291" s="88" t="str">
        <f>IF($AG291="","",IF($AG291&lt;=1200,IF(INDEX(对接源_01水果!$L$4:$L$1203,$AG291)=0,"",INDEX(对接源_01水果!$L$4:$L$1203,$AG291)),IF(INDEX(对接源_02物料!$L$4:$L$1203,$AG291-1200)=0,"",INDEX(对接源_02物料!$L$4:$L$1203,$AG291-1200))))</f>
        <v/>
      </c>
      <c r="J291" s="91" t="str">
        <f>IF($AG291="","",IF($AG291&lt;=1200,IF(INDEX(对接源_01水果!$M$4:$M$1203,$AG291)=0,"",INDEX(对接源_01水果!$M$4:$M$1203,$AG291)),IF(INDEX(对接源_02物料!$M$4:$M$1203,$AG291-1200)=0,"",INDEX(对接源_02物料!$M$4:$M$1203,$AG291-1200))))</f>
        <v/>
      </c>
      <c r="AG291" s="2" t="str">
        <f>IFERROR(MATCH(80,_自动清单!$AE$4:$AE$2403,0),"")</f>
        <v/>
      </c>
    </row>
    <row r="292" ht="18" customHeight="1" spans="1:33">
      <c r="A292" s="52" t="str">
        <f>IF($AG292="","",IF($AG292&lt;=1200,IF(INDEX(对接源_01水果!$B$4:$B$1203,$AG292)=0,"",INDEX(对接源_01水果!$B$4:$B$1203,$AG292)),IF(INDEX(对接源_02物料!$B$4:$B$1203,$AG292-1200)=0,"",INDEX(对接源_02物料!$B$4:$B$1203,$AG292-1200))))</f>
        <v/>
      </c>
      <c r="B292" s="53" t="str">
        <f>IF($AG292="","",IF($AG292&lt;=1200,IF(INDEX(对接源_01水果!$E$4:$E$1203,$AG292)=0,"",INDEX(对接源_01水果!$E$4:$E$1203,$AG292)),IF(INDEX(对接源_02物料!$E$4:$E$1203,$AG292-1200)=0,"",INDEX(对接源_02物料!$E$4:$E$1203,$AG292-1200))))</f>
        <v/>
      </c>
      <c r="C292" s="53" t="str">
        <f>IF($AG292="","",IF($AG292&lt;=1200,IF(INDEX(对接源_01水果!$F$4:$F$1203,$AG292)=0,"",INDEX(对接源_01水果!$F$4:$F$1203,$AG292)),IF(INDEX(对接源_02物料!$F$4:$F$1203,$AG292-1200)=0,"",INDEX(对接源_02物料!$F$4:$F$1203,$AG292-1200))))</f>
        <v/>
      </c>
      <c r="D292" s="53" t="str">
        <f>IF($AG292="","",IF($AG292&lt;=1200,IF(INDEX(对接源_01水果!$G$4:$G$1203,$AG292)=0,"",INDEX(对接源_01水果!$G$4:$G$1203,$AG292)),IF(INDEX(对接源_02物料!$G$4:$G$1203,$AG292-1200)=0,"",INDEX(对接源_02物料!$G$4:$G$1203,$AG292-1200))))</f>
        <v/>
      </c>
      <c r="E292" s="54" t="str">
        <f>IF($AG292="","",IF($AG292&lt;=1200,IF(INDEX(对接源_01水果!$H$4:$H$1203,$AG292)=0,"",INDEX(对接源_01水果!$H$4:$H$1203,$AG292)),IF(INDEX(对接源_02物料!$H$4:$H$1203,$AG292-1200)=0,"",INDEX(对接源_02物料!$H$4:$H$1203,$AG292-1200))))</f>
        <v/>
      </c>
      <c r="F292" s="53" t="str">
        <f>IF($AG292="","",IF($AG292&lt;=1200,IF(INDEX(对接源_01水果!$I$4:$I$1203,$AG292)=0,"",INDEX(对接源_01水果!$I$4:$I$1203,$AG292)),IF(INDEX(对接源_02物料!$I$4:$I$1203,$AG292-1200)=0,"",INDEX(对接源_02物料!$I$4:$I$1203,$AG292-1200))))</f>
        <v/>
      </c>
      <c r="G292" s="55" t="str">
        <f>IF($AG292="","",IF($AG292&lt;=1200,IF(INDEX(对接源_01水果!$J$4:$J$1203,$AG292)=0,"",INDEX(对接源_01水果!$J$4:$J$1203,$AG292)),IF(INDEX(对接源_02物料!$J$4:$J$1203,$AG292-1200)=0,"",INDEX(对接源_02物料!$J$4:$J$1203,$AG292-1200))))</f>
        <v/>
      </c>
      <c r="H292" s="55" t="str">
        <f>IF($AG292="","",IF($AG292&lt;=1200,IF(INDEX(对接源_01水果!$K$4:$K$1203,$AG292)=0,"",INDEX(对接源_01水果!$K$4:$K$1203,$AG292)),IF(INDEX(对接源_02物料!$K$4:$K$1203,$AG292-1200)=0,"",INDEX(对接源_02物料!$K$4:$K$1203,$AG292-1200))))</f>
        <v/>
      </c>
      <c r="I292" s="53" t="str">
        <f>IF($AG292="","",IF($AG292&lt;=1200,IF(INDEX(对接源_01水果!$L$4:$L$1203,$AG292)=0,"",INDEX(对接源_01水果!$L$4:$L$1203,$AG292)),IF(INDEX(对接源_02物料!$L$4:$L$1203,$AG292-1200)=0,"",INDEX(对接源_02物料!$L$4:$L$1203,$AG292-1200))))</f>
        <v/>
      </c>
      <c r="J292" s="56" t="str">
        <f>IF($AG292="","",IF($AG292&lt;=1200,IF(INDEX(对接源_01水果!$M$4:$M$1203,$AG292)=0,"",INDEX(对接源_01水果!$M$4:$M$1203,$AG292)),IF(INDEX(对接源_02物料!$M$4:$M$1203,$AG292-1200)=0,"",INDEX(对接源_02物料!$M$4:$M$1203,$AG292-1200))))</f>
        <v/>
      </c>
      <c r="AG292" s="2" t="str">
        <f>IFERROR(MATCH(81,_自动清单!$AE$4:$AE$2403,0),"")</f>
        <v/>
      </c>
    </row>
    <row r="293" ht="18" customHeight="1" spans="1:33">
      <c r="A293" s="87" t="str">
        <f>IF($AG293="","",IF($AG293&lt;=1200,IF(INDEX(对接源_01水果!$B$4:$B$1203,$AG293)=0,"",INDEX(对接源_01水果!$B$4:$B$1203,$AG293)),IF(INDEX(对接源_02物料!$B$4:$B$1203,$AG293-1200)=0,"",INDEX(对接源_02物料!$B$4:$B$1203,$AG293-1200))))</f>
        <v/>
      </c>
      <c r="B293" s="88" t="str">
        <f>IF($AG293="","",IF($AG293&lt;=1200,IF(INDEX(对接源_01水果!$E$4:$E$1203,$AG293)=0,"",INDEX(对接源_01水果!$E$4:$E$1203,$AG293)),IF(INDEX(对接源_02物料!$E$4:$E$1203,$AG293-1200)=0,"",INDEX(对接源_02物料!$E$4:$E$1203,$AG293-1200))))</f>
        <v/>
      </c>
      <c r="C293" s="88" t="str">
        <f>IF($AG293="","",IF($AG293&lt;=1200,IF(INDEX(对接源_01水果!$F$4:$F$1203,$AG293)=0,"",INDEX(对接源_01水果!$F$4:$F$1203,$AG293)),IF(INDEX(对接源_02物料!$F$4:$F$1203,$AG293-1200)=0,"",INDEX(对接源_02物料!$F$4:$F$1203,$AG293-1200))))</f>
        <v/>
      </c>
      <c r="D293" s="88" t="str">
        <f>IF($AG293="","",IF($AG293&lt;=1200,IF(INDEX(对接源_01水果!$G$4:$G$1203,$AG293)=0,"",INDEX(对接源_01水果!$G$4:$G$1203,$AG293)),IF(INDEX(对接源_02物料!$G$4:$G$1203,$AG293-1200)=0,"",INDEX(对接源_02物料!$G$4:$G$1203,$AG293-1200))))</f>
        <v/>
      </c>
      <c r="E293" s="89" t="str">
        <f>IF($AG293="","",IF($AG293&lt;=1200,IF(INDEX(对接源_01水果!$H$4:$H$1203,$AG293)=0,"",INDEX(对接源_01水果!$H$4:$H$1203,$AG293)),IF(INDEX(对接源_02物料!$H$4:$H$1203,$AG293-1200)=0,"",INDEX(对接源_02物料!$H$4:$H$1203,$AG293-1200))))</f>
        <v/>
      </c>
      <c r="F293" s="88" t="str">
        <f>IF($AG293="","",IF($AG293&lt;=1200,IF(INDEX(对接源_01水果!$I$4:$I$1203,$AG293)=0,"",INDEX(对接源_01水果!$I$4:$I$1203,$AG293)),IF(INDEX(对接源_02物料!$I$4:$I$1203,$AG293-1200)=0,"",INDEX(对接源_02物料!$I$4:$I$1203,$AG293-1200))))</f>
        <v/>
      </c>
      <c r="G293" s="90" t="str">
        <f>IF($AG293="","",IF($AG293&lt;=1200,IF(INDEX(对接源_01水果!$J$4:$J$1203,$AG293)=0,"",INDEX(对接源_01水果!$J$4:$J$1203,$AG293)),IF(INDEX(对接源_02物料!$J$4:$J$1203,$AG293-1200)=0,"",INDEX(对接源_02物料!$J$4:$J$1203,$AG293-1200))))</f>
        <v/>
      </c>
      <c r="H293" s="90" t="str">
        <f>IF($AG293="","",IF($AG293&lt;=1200,IF(INDEX(对接源_01水果!$K$4:$K$1203,$AG293)=0,"",INDEX(对接源_01水果!$K$4:$K$1203,$AG293)),IF(INDEX(对接源_02物料!$K$4:$K$1203,$AG293-1200)=0,"",INDEX(对接源_02物料!$K$4:$K$1203,$AG293-1200))))</f>
        <v/>
      </c>
      <c r="I293" s="88" t="str">
        <f>IF($AG293="","",IF($AG293&lt;=1200,IF(INDEX(对接源_01水果!$L$4:$L$1203,$AG293)=0,"",INDEX(对接源_01水果!$L$4:$L$1203,$AG293)),IF(INDEX(对接源_02物料!$L$4:$L$1203,$AG293-1200)=0,"",INDEX(对接源_02物料!$L$4:$L$1203,$AG293-1200))))</f>
        <v/>
      </c>
      <c r="J293" s="91" t="str">
        <f>IF($AG293="","",IF($AG293&lt;=1200,IF(INDEX(对接源_01水果!$M$4:$M$1203,$AG293)=0,"",INDEX(对接源_01水果!$M$4:$M$1203,$AG293)),IF(INDEX(对接源_02物料!$M$4:$M$1203,$AG293-1200)=0,"",INDEX(对接源_02物料!$M$4:$M$1203,$AG293-1200))))</f>
        <v/>
      </c>
      <c r="AG293" s="2" t="str">
        <f>IFERROR(MATCH(82,_自动清单!$AE$4:$AE$2403,0),"")</f>
        <v/>
      </c>
    </row>
    <row r="294" ht="18" customHeight="1" spans="1:33">
      <c r="A294" s="52" t="str">
        <f>IF($AG294="","",IF($AG294&lt;=1200,IF(INDEX(对接源_01水果!$B$4:$B$1203,$AG294)=0,"",INDEX(对接源_01水果!$B$4:$B$1203,$AG294)),IF(INDEX(对接源_02物料!$B$4:$B$1203,$AG294-1200)=0,"",INDEX(对接源_02物料!$B$4:$B$1203,$AG294-1200))))</f>
        <v/>
      </c>
      <c r="B294" s="53" t="str">
        <f>IF($AG294="","",IF($AG294&lt;=1200,IF(INDEX(对接源_01水果!$E$4:$E$1203,$AG294)=0,"",INDEX(对接源_01水果!$E$4:$E$1203,$AG294)),IF(INDEX(对接源_02物料!$E$4:$E$1203,$AG294-1200)=0,"",INDEX(对接源_02物料!$E$4:$E$1203,$AG294-1200))))</f>
        <v/>
      </c>
      <c r="C294" s="53" t="str">
        <f>IF($AG294="","",IF($AG294&lt;=1200,IF(INDEX(对接源_01水果!$F$4:$F$1203,$AG294)=0,"",INDEX(对接源_01水果!$F$4:$F$1203,$AG294)),IF(INDEX(对接源_02物料!$F$4:$F$1203,$AG294-1200)=0,"",INDEX(对接源_02物料!$F$4:$F$1203,$AG294-1200))))</f>
        <v/>
      </c>
      <c r="D294" s="53" t="str">
        <f>IF($AG294="","",IF($AG294&lt;=1200,IF(INDEX(对接源_01水果!$G$4:$G$1203,$AG294)=0,"",INDEX(对接源_01水果!$G$4:$G$1203,$AG294)),IF(INDEX(对接源_02物料!$G$4:$G$1203,$AG294-1200)=0,"",INDEX(对接源_02物料!$G$4:$G$1203,$AG294-1200))))</f>
        <v/>
      </c>
      <c r="E294" s="54" t="str">
        <f>IF($AG294="","",IF($AG294&lt;=1200,IF(INDEX(对接源_01水果!$H$4:$H$1203,$AG294)=0,"",INDEX(对接源_01水果!$H$4:$H$1203,$AG294)),IF(INDEX(对接源_02物料!$H$4:$H$1203,$AG294-1200)=0,"",INDEX(对接源_02物料!$H$4:$H$1203,$AG294-1200))))</f>
        <v/>
      </c>
      <c r="F294" s="53" t="str">
        <f>IF($AG294="","",IF($AG294&lt;=1200,IF(INDEX(对接源_01水果!$I$4:$I$1203,$AG294)=0,"",INDEX(对接源_01水果!$I$4:$I$1203,$AG294)),IF(INDEX(对接源_02物料!$I$4:$I$1203,$AG294-1200)=0,"",INDEX(对接源_02物料!$I$4:$I$1203,$AG294-1200))))</f>
        <v/>
      </c>
      <c r="G294" s="55" t="str">
        <f>IF($AG294="","",IF($AG294&lt;=1200,IF(INDEX(对接源_01水果!$J$4:$J$1203,$AG294)=0,"",INDEX(对接源_01水果!$J$4:$J$1203,$AG294)),IF(INDEX(对接源_02物料!$J$4:$J$1203,$AG294-1200)=0,"",INDEX(对接源_02物料!$J$4:$J$1203,$AG294-1200))))</f>
        <v/>
      </c>
      <c r="H294" s="55" t="str">
        <f>IF($AG294="","",IF($AG294&lt;=1200,IF(INDEX(对接源_01水果!$K$4:$K$1203,$AG294)=0,"",INDEX(对接源_01水果!$K$4:$K$1203,$AG294)),IF(INDEX(对接源_02物料!$K$4:$K$1203,$AG294-1200)=0,"",INDEX(对接源_02物料!$K$4:$K$1203,$AG294-1200))))</f>
        <v/>
      </c>
      <c r="I294" s="53" t="str">
        <f>IF($AG294="","",IF($AG294&lt;=1200,IF(INDEX(对接源_01水果!$L$4:$L$1203,$AG294)=0,"",INDEX(对接源_01水果!$L$4:$L$1203,$AG294)),IF(INDEX(对接源_02物料!$L$4:$L$1203,$AG294-1200)=0,"",INDEX(对接源_02物料!$L$4:$L$1203,$AG294-1200))))</f>
        <v/>
      </c>
      <c r="J294" s="56" t="str">
        <f>IF($AG294="","",IF($AG294&lt;=1200,IF(INDEX(对接源_01水果!$M$4:$M$1203,$AG294)=0,"",INDEX(对接源_01水果!$M$4:$M$1203,$AG294)),IF(INDEX(对接源_02物料!$M$4:$M$1203,$AG294-1200)=0,"",INDEX(对接源_02物料!$M$4:$M$1203,$AG294-1200))))</f>
        <v/>
      </c>
      <c r="AG294" s="2" t="str">
        <f>IFERROR(MATCH(83,_自动清单!$AE$4:$AE$2403,0),"")</f>
        <v/>
      </c>
    </row>
    <row r="295" ht="18" customHeight="1" spans="1:33">
      <c r="A295" s="87" t="str">
        <f>IF($AG295="","",IF($AG295&lt;=1200,IF(INDEX(对接源_01水果!$B$4:$B$1203,$AG295)=0,"",INDEX(对接源_01水果!$B$4:$B$1203,$AG295)),IF(INDEX(对接源_02物料!$B$4:$B$1203,$AG295-1200)=0,"",INDEX(对接源_02物料!$B$4:$B$1203,$AG295-1200))))</f>
        <v/>
      </c>
      <c r="B295" s="88" t="str">
        <f>IF($AG295="","",IF($AG295&lt;=1200,IF(INDEX(对接源_01水果!$E$4:$E$1203,$AG295)=0,"",INDEX(对接源_01水果!$E$4:$E$1203,$AG295)),IF(INDEX(对接源_02物料!$E$4:$E$1203,$AG295-1200)=0,"",INDEX(对接源_02物料!$E$4:$E$1203,$AG295-1200))))</f>
        <v/>
      </c>
      <c r="C295" s="88" t="str">
        <f>IF($AG295="","",IF($AG295&lt;=1200,IF(INDEX(对接源_01水果!$F$4:$F$1203,$AG295)=0,"",INDEX(对接源_01水果!$F$4:$F$1203,$AG295)),IF(INDEX(对接源_02物料!$F$4:$F$1203,$AG295-1200)=0,"",INDEX(对接源_02物料!$F$4:$F$1203,$AG295-1200))))</f>
        <v/>
      </c>
      <c r="D295" s="88" t="str">
        <f>IF($AG295="","",IF($AG295&lt;=1200,IF(INDEX(对接源_01水果!$G$4:$G$1203,$AG295)=0,"",INDEX(对接源_01水果!$G$4:$G$1203,$AG295)),IF(INDEX(对接源_02物料!$G$4:$G$1203,$AG295-1200)=0,"",INDEX(对接源_02物料!$G$4:$G$1203,$AG295-1200))))</f>
        <v/>
      </c>
      <c r="E295" s="89" t="str">
        <f>IF($AG295="","",IF($AG295&lt;=1200,IF(INDEX(对接源_01水果!$H$4:$H$1203,$AG295)=0,"",INDEX(对接源_01水果!$H$4:$H$1203,$AG295)),IF(INDEX(对接源_02物料!$H$4:$H$1203,$AG295-1200)=0,"",INDEX(对接源_02物料!$H$4:$H$1203,$AG295-1200))))</f>
        <v/>
      </c>
      <c r="F295" s="88" t="str">
        <f>IF($AG295="","",IF($AG295&lt;=1200,IF(INDEX(对接源_01水果!$I$4:$I$1203,$AG295)=0,"",INDEX(对接源_01水果!$I$4:$I$1203,$AG295)),IF(INDEX(对接源_02物料!$I$4:$I$1203,$AG295-1200)=0,"",INDEX(对接源_02物料!$I$4:$I$1203,$AG295-1200))))</f>
        <v/>
      </c>
      <c r="G295" s="90" t="str">
        <f>IF($AG295="","",IF($AG295&lt;=1200,IF(INDEX(对接源_01水果!$J$4:$J$1203,$AG295)=0,"",INDEX(对接源_01水果!$J$4:$J$1203,$AG295)),IF(INDEX(对接源_02物料!$J$4:$J$1203,$AG295-1200)=0,"",INDEX(对接源_02物料!$J$4:$J$1203,$AG295-1200))))</f>
        <v/>
      </c>
      <c r="H295" s="90" t="str">
        <f>IF($AG295="","",IF($AG295&lt;=1200,IF(INDEX(对接源_01水果!$K$4:$K$1203,$AG295)=0,"",INDEX(对接源_01水果!$K$4:$K$1203,$AG295)),IF(INDEX(对接源_02物料!$K$4:$K$1203,$AG295-1200)=0,"",INDEX(对接源_02物料!$K$4:$K$1203,$AG295-1200))))</f>
        <v/>
      </c>
      <c r="I295" s="88" t="str">
        <f>IF($AG295="","",IF($AG295&lt;=1200,IF(INDEX(对接源_01水果!$L$4:$L$1203,$AG295)=0,"",INDEX(对接源_01水果!$L$4:$L$1203,$AG295)),IF(INDEX(对接源_02物料!$L$4:$L$1203,$AG295-1200)=0,"",INDEX(对接源_02物料!$L$4:$L$1203,$AG295-1200))))</f>
        <v/>
      </c>
      <c r="J295" s="91" t="str">
        <f>IF($AG295="","",IF($AG295&lt;=1200,IF(INDEX(对接源_01水果!$M$4:$M$1203,$AG295)=0,"",INDEX(对接源_01水果!$M$4:$M$1203,$AG295)),IF(INDEX(对接源_02物料!$M$4:$M$1203,$AG295-1200)=0,"",INDEX(对接源_02物料!$M$4:$M$1203,$AG295-1200))))</f>
        <v/>
      </c>
      <c r="AG295" s="2" t="str">
        <f>IFERROR(MATCH(84,_自动清单!$AE$4:$AE$2403,0),"")</f>
        <v/>
      </c>
    </row>
    <row r="296" ht="18" customHeight="1" spans="1:33">
      <c r="A296" s="52" t="str">
        <f>IF($AG296="","",IF($AG296&lt;=1200,IF(INDEX(对接源_01水果!$B$4:$B$1203,$AG296)=0,"",INDEX(对接源_01水果!$B$4:$B$1203,$AG296)),IF(INDEX(对接源_02物料!$B$4:$B$1203,$AG296-1200)=0,"",INDEX(对接源_02物料!$B$4:$B$1203,$AG296-1200))))</f>
        <v/>
      </c>
      <c r="B296" s="53" t="str">
        <f>IF($AG296="","",IF($AG296&lt;=1200,IF(INDEX(对接源_01水果!$E$4:$E$1203,$AG296)=0,"",INDEX(对接源_01水果!$E$4:$E$1203,$AG296)),IF(INDEX(对接源_02物料!$E$4:$E$1203,$AG296-1200)=0,"",INDEX(对接源_02物料!$E$4:$E$1203,$AG296-1200))))</f>
        <v/>
      </c>
      <c r="C296" s="53" t="str">
        <f>IF($AG296="","",IF($AG296&lt;=1200,IF(INDEX(对接源_01水果!$F$4:$F$1203,$AG296)=0,"",INDEX(对接源_01水果!$F$4:$F$1203,$AG296)),IF(INDEX(对接源_02物料!$F$4:$F$1203,$AG296-1200)=0,"",INDEX(对接源_02物料!$F$4:$F$1203,$AG296-1200))))</f>
        <v/>
      </c>
      <c r="D296" s="53" t="str">
        <f>IF($AG296="","",IF($AG296&lt;=1200,IF(INDEX(对接源_01水果!$G$4:$G$1203,$AG296)=0,"",INDEX(对接源_01水果!$G$4:$G$1203,$AG296)),IF(INDEX(对接源_02物料!$G$4:$G$1203,$AG296-1200)=0,"",INDEX(对接源_02物料!$G$4:$G$1203,$AG296-1200))))</f>
        <v/>
      </c>
      <c r="E296" s="54" t="str">
        <f>IF($AG296="","",IF($AG296&lt;=1200,IF(INDEX(对接源_01水果!$H$4:$H$1203,$AG296)=0,"",INDEX(对接源_01水果!$H$4:$H$1203,$AG296)),IF(INDEX(对接源_02物料!$H$4:$H$1203,$AG296-1200)=0,"",INDEX(对接源_02物料!$H$4:$H$1203,$AG296-1200))))</f>
        <v/>
      </c>
      <c r="F296" s="53" t="str">
        <f>IF($AG296="","",IF($AG296&lt;=1200,IF(INDEX(对接源_01水果!$I$4:$I$1203,$AG296)=0,"",INDEX(对接源_01水果!$I$4:$I$1203,$AG296)),IF(INDEX(对接源_02物料!$I$4:$I$1203,$AG296-1200)=0,"",INDEX(对接源_02物料!$I$4:$I$1203,$AG296-1200))))</f>
        <v/>
      </c>
      <c r="G296" s="55" t="str">
        <f>IF($AG296="","",IF($AG296&lt;=1200,IF(INDEX(对接源_01水果!$J$4:$J$1203,$AG296)=0,"",INDEX(对接源_01水果!$J$4:$J$1203,$AG296)),IF(INDEX(对接源_02物料!$J$4:$J$1203,$AG296-1200)=0,"",INDEX(对接源_02物料!$J$4:$J$1203,$AG296-1200))))</f>
        <v/>
      </c>
      <c r="H296" s="55" t="str">
        <f>IF($AG296="","",IF($AG296&lt;=1200,IF(INDEX(对接源_01水果!$K$4:$K$1203,$AG296)=0,"",INDEX(对接源_01水果!$K$4:$K$1203,$AG296)),IF(INDEX(对接源_02物料!$K$4:$K$1203,$AG296-1200)=0,"",INDEX(对接源_02物料!$K$4:$K$1203,$AG296-1200))))</f>
        <v/>
      </c>
      <c r="I296" s="53" t="str">
        <f>IF($AG296="","",IF($AG296&lt;=1200,IF(INDEX(对接源_01水果!$L$4:$L$1203,$AG296)=0,"",INDEX(对接源_01水果!$L$4:$L$1203,$AG296)),IF(INDEX(对接源_02物料!$L$4:$L$1203,$AG296-1200)=0,"",INDEX(对接源_02物料!$L$4:$L$1203,$AG296-1200))))</f>
        <v/>
      </c>
      <c r="J296" s="56" t="str">
        <f>IF($AG296="","",IF($AG296&lt;=1200,IF(INDEX(对接源_01水果!$M$4:$M$1203,$AG296)=0,"",INDEX(对接源_01水果!$M$4:$M$1203,$AG296)),IF(INDEX(对接源_02物料!$M$4:$M$1203,$AG296-1200)=0,"",INDEX(对接源_02物料!$M$4:$M$1203,$AG296-1200))))</f>
        <v/>
      </c>
      <c r="AG296" s="2" t="str">
        <f>IFERROR(MATCH(85,_自动清单!$AE$4:$AE$2403,0),"")</f>
        <v/>
      </c>
    </row>
    <row r="297" ht="18" customHeight="1" spans="1:33">
      <c r="A297" s="87" t="str">
        <f>IF($AG297="","",IF($AG297&lt;=1200,IF(INDEX(对接源_01水果!$B$4:$B$1203,$AG297)=0,"",INDEX(对接源_01水果!$B$4:$B$1203,$AG297)),IF(INDEX(对接源_02物料!$B$4:$B$1203,$AG297-1200)=0,"",INDEX(对接源_02物料!$B$4:$B$1203,$AG297-1200))))</f>
        <v/>
      </c>
      <c r="B297" s="88" t="str">
        <f>IF($AG297="","",IF($AG297&lt;=1200,IF(INDEX(对接源_01水果!$E$4:$E$1203,$AG297)=0,"",INDEX(对接源_01水果!$E$4:$E$1203,$AG297)),IF(INDEX(对接源_02物料!$E$4:$E$1203,$AG297-1200)=0,"",INDEX(对接源_02物料!$E$4:$E$1203,$AG297-1200))))</f>
        <v/>
      </c>
      <c r="C297" s="88" t="str">
        <f>IF($AG297="","",IF($AG297&lt;=1200,IF(INDEX(对接源_01水果!$F$4:$F$1203,$AG297)=0,"",INDEX(对接源_01水果!$F$4:$F$1203,$AG297)),IF(INDEX(对接源_02物料!$F$4:$F$1203,$AG297-1200)=0,"",INDEX(对接源_02物料!$F$4:$F$1203,$AG297-1200))))</f>
        <v/>
      </c>
      <c r="D297" s="88" t="str">
        <f>IF($AG297="","",IF($AG297&lt;=1200,IF(INDEX(对接源_01水果!$G$4:$G$1203,$AG297)=0,"",INDEX(对接源_01水果!$G$4:$G$1203,$AG297)),IF(INDEX(对接源_02物料!$G$4:$G$1203,$AG297-1200)=0,"",INDEX(对接源_02物料!$G$4:$G$1203,$AG297-1200))))</f>
        <v/>
      </c>
      <c r="E297" s="89" t="str">
        <f>IF($AG297="","",IF($AG297&lt;=1200,IF(INDEX(对接源_01水果!$H$4:$H$1203,$AG297)=0,"",INDEX(对接源_01水果!$H$4:$H$1203,$AG297)),IF(INDEX(对接源_02物料!$H$4:$H$1203,$AG297-1200)=0,"",INDEX(对接源_02物料!$H$4:$H$1203,$AG297-1200))))</f>
        <v/>
      </c>
      <c r="F297" s="88" t="str">
        <f>IF($AG297="","",IF($AG297&lt;=1200,IF(INDEX(对接源_01水果!$I$4:$I$1203,$AG297)=0,"",INDEX(对接源_01水果!$I$4:$I$1203,$AG297)),IF(INDEX(对接源_02物料!$I$4:$I$1203,$AG297-1200)=0,"",INDEX(对接源_02物料!$I$4:$I$1203,$AG297-1200))))</f>
        <v/>
      </c>
      <c r="G297" s="90" t="str">
        <f>IF($AG297="","",IF($AG297&lt;=1200,IF(INDEX(对接源_01水果!$J$4:$J$1203,$AG297)=0,"",INDEX(对接源_01水果!$J$4:$J$1203,$AG297)),IF(INDEX(对接源_02物料!$J$4:$J$1203,$AG297-1200)=0,"",INDEX(对接源_02物料!$J$4:$J$1203,$AG297-1200))))</f>
        <v/>
      </c>
      <c r="H297" s="90" t="str">
        <f>IF($AG297="","",IF($AG297&lt;=1200,IF(INDEX(对接源_01水果!$K$4:$K$1203,$AG297)=0,"",INDEX(对接源_01水果!$K$4:$K$1203,$AG297)),IF(INDEX(对接源_02物料!$K$4:$K$1203,$AG297-1200)=0,"",INDEX(对接源_02物料!$K$4:$K$1203,$AG297-1200))))</f>
        <v/>
      </c>
      <c r="I297" s="88" t="str">
        <f>IF($AG297="","",IF($AG297&lt;=1200,IF(INDEX(对接源_01水果!$L$4:$L$1203,$AG297)=0,"",INDEX(对接源_01水果!$L$4:$L$1203,$AG297)),IF(INDEX(对接源_02物料!$L$4:$L$1203,$AG297-1200)=0,"",INDEX(对接源_02物料!$L$4:$L$1203,$AG297-1200))))</f>
        <v/>
      </c>
      <c r="J297" s="91" t="str">
        <f>IF($AG297="","",IF($AG297&lt;=1200,IF(INDEX(对接源_01水果!$M$4:$M$1203,$AG297)=0,"",INDEX(对接源_01水果!$M$4:$M$1203,$AG297)),IF(INDEX(对接源_02物料!$M$4:$M$1203,$AG297-1200)=0,"",INDEX(对接源_02物料!$M$4:$M$1203,$AG297-1200))))</f>
        <v/>
      </c>
      <c r="AG297" s="2" t="str">
        <f>IFERROR(MATCH(86,_自动清单!$AE$4:$AE$2403,0),"")</f>
        <v/>
      </c>
    </row>
    <row r="298" ht="18" customHeight="1" spans="1:33">
      <c r="A298" s="52" t="str">
        <f>IF($AG298="","",IF($AG298&lt;=1200,IF(INDEX(对接源_01水果!$B$4:$B$1203,$AG298)=0,"",INDEX(对接源_01水果!$B$4:$B$1203,$AG298)),IF(INDEX(对接源_02物料!$B$4:$B$1203,$AG298-1200)=0,"",INDEX(对接源_02物料!$B$4:$B$1203,$AG298-1200))))</f>
        <v/>
      </c>
      <c r="B298" s="53" t="str">
        <f>IF($AG298="","",IF($AG298&lt;=1200,IF(INDEX(对接源_01水果!$E$4:$E$1203,$AG298)=0,"",INDEX(对接源_01水果!$E$4:$E$1203,$AG298)),IF(INDEX(对接源_02物料!$E$4:$E$1203,$AG298-1200)=0,"",INDEX(对接源_02物料!$E$4:$E$1203,$AG298-1200))))</f>
        <v/>
      </c>
      <c r="C298" s="53" t="str">
        <f>IF($AG298="","",IF($AG298&lt;=1200,IF(INDEX(对接源_01水果!$F$4:$F$1203,$AG298)=0,"",INDEX(对接源_01水果!$F$4:$F$1203,$AG298)),IF(INDEX(对接源_02物料!$F$4:$F$1203,$AG298-1200)=0,"",INDEX(对接源_02物料!$F$4:$F$1203,$AG298-1200))))</f>
        <v/>
      </c>
      <c r="D298" s="53" t="str">
        <f>IF($AG298="","",IF($AG298&lt;=1200,IF(INDEX(对接源_01水果!$G$4:$G$1203,$AG298)=0,"",INDEX(对接源_01水果!$G$4:$G$1203,$AG298)),IF(INDEX(对接源_02物料!$G$4:$G$1203,$AG298-1200)=0,"",INDEX(对接源_02物料!$G$4:$G$1203,$AG298-1200))))</f>
        <v/>
      </c>
      <c r="E298" s="54" t="str">
        <f>IF($AG298="","",IF($AG298&lt;=1200,IF(INDEX(对接源_01水果!$H$4:$H$1203,$AG298)=0,"",INDEX(对接源_01水果!$H$4:$H$1203,$AG298)),IF(INDEX(对接源_02物料!$H$4:$H$1203,$AG298-1200)=0,"",INDEX(对接源_02物料!$H$4:$H$1203,$AG298-1200))))</f>
        <v/>
      </c>
      <c r="F298" s="53" t="str">
        <f>IF($AG298="","",IF($AG298&lt;=1200,IF(INDEX(对接源_01水果!$I$4:$I$1203,$AG298)=0,"",INDEX(对接源_01水果!$I$4:$I$1203,$AG298)),IF(INDEX(对接源_02物料!$I$4:$I$1203,$AG298-1200)=0,"",INDEX(对接源_02物料!$I$4:$I$1203,$AG298-1200))))</f>
        <v/>
      </c>
      <c r="G298" s="55" t="str">
        <f>IF($AG298="","",IF($AG298&lt;=1200,IF(INDEX(对接源_01水果!$J$4:$J$1203,$AG298)=0,"",INDEX(对接源_01水果!$J$4:$J$1203,$AG298)),IF(INDEX(对接源_02物料!$J$4:$J$1203,$AG298-1200)=0,"",INDEX(对接源_02物料!$J$4:$J$1203,$AG298-1200))))</f>
        <v/>
      </c>
      <c r="H298" s="55" t="str">
        <f>IF($AG298="","",IF($AG298&lt;=1200,IF(INDEX(对接源_01水果!$K$4:$K$1203,$AG298)=0,"",INDEX(对接源_01水果!$K$4:$K$1203,$AG298)),IF(INDEX(对接源_02物料!$K$4:$K$1203,$AG298-1200)=0,"",INDEX(对接源_02物料!$K$4:$K$1203,$AG298-1200))))</f>
        <v/>
      </c>
      <c r="I298" s="53" t="str">
        <f>IF($AG298="","",IF($AG298&lt;=1200,IF(INDEX(对接源_01水果!$L$4:$L$1203,$AG298)=0,"",INDEX(对接源_01水果!$L$4:$L$1203,$AG298)),IF(INDEX(对接源_02物料!$L$4:$L$1203,$AG298-1200)=0,"",INDEX(对接源_02物料!$L$4:$L$1203,$AG298-1200))))</f>
        <v/>
      </c>
      <c r="J298" s="56" t="str">
        <f>IF($AG298="","",IF($AG298&lt;=1200,IF(INDEX(对接源_01水果!$M$4:$M$1203,$AG298)=0,"",INDEX(对接源_01水果!$M$4:$M$1203,$AG298)),IF(INDEX(对接源_02物料!$M$4:$M$1203,$AG298-1200)=0,"",INDEX(对接源_02物料!$M$4:$M$1203,$AG298-1200))))</f>
        <v/>
      </c>
      <c r="AG298" s="2" t="str">
        <f>IFERROR(MATCH(87,_自动清单!$AE$4:$AE$2403,0),"")</f>
        <v/>
      </c>
    </row>
    <row r="299" ht="18" customHeight="1" spans="1:33">
      <c r="A299" s="87" t="str">
        <f>IF($AG299="","",IF($AG299&lt;=1200,IF(INDEX(对接源_01水果!$B$4:$B$1203,$AG299)=0,"",INDEX(对接源_01水果!$B$4:$B$1203,$AG299)),IF(INDEX(对接源_02物料!$B$4:$B$1203,$AG299-1200)=0,"",INDEX(对接源_02物料!$B$4:$B$1203,$AG299-1200))))</f>
        <v/>
      </c>
      <c r="B299" s="88" t="str">
        <f>IF($AG299="","",IF($AG299&lt;=1200,IF(INDEX(对接源_01水果!$E$4:$E$1203,$AG299)=0,"",INDEX(对接源_01水果!$E$4:$E$1203,$AG299)),IF(INDEX(对接源_02物料!$E$4:$E$1203,$AG299-1200)=0,"",INDEX(对接源_02物料!$E$4:$E$1203,$AG299-1200))))</f>
        <v/>
      </c>
      <c r="C299" s="88" t="str">
        <f>IF($AG299="","",IF($AG299&lt;=1200,IF(INDEX(对接源_01水果!$F$4:$F$1203,$AG299)=0,"",INDEX(对接源_01水果!$F$4:$F$1203,$AG299)),IF(INDEX(对接源_02物料!$F$4:$F$1203,$AG299-1200)=0,"",INDEX(对接源_02物料!$F$4:$F$1203,$AG299-1200))))</f>
        <v/>
      </c>
      <c r="D299" s="88" t="str">
        <f>IF($AG299="","",IF($AG299&lt;=1200,IF(INDEX(对接源_01水果!$G$4:$G$1203,$AG299)=0,"",INDEX(对接源_01水果!$G$4:$G$1203,$AG299)),IF(INDEX(对接源_02物料!$G$4:$G$1203,$AG299-1200)=0,"",INDEX(对接源_02物料!$G$4:$G$1203,$AG299-1200))))</f>
        <v/>
      </c>
      <c r="E299" s="89" t="str">
        <f>IF($AG299="","",IF($AG299&lt;=1200,IF(INDEX(对接源_01水果!$H$4:$H$1203,$AG299)=0,"",INDEX(对接源_01水果!$H$4:$H$1203,$AG299)),IF(INDEX(对接源_02物料!$H$4:$H$1203,$AG299-1200)=0,"",INDEX(对接源_02物料!$H$4:$H$1203,$AG299-1200))))</f>
        <v/>
      </c>
      <c r="F299" s="88" t="str">
        <f>IF($AG299="","",IF($AG299&lt;=1200,IF(INDEX(对接源_01水果!$I$4:$I$1203,$AG299)=0,"",INDEX(对接源_01水果!$I$4:$I$1203,$AG299)),IF(INDEX(对接源_02物料!$I$4:$I$1203,$AG299-1200)=0,"",INDEX(对接源_02物料!$I$4:$I$1203,$AG299-1200))))</f>
        <v/>
      </c>
      <c r="G299" s="90" t="str">
        <f>IF($AG299="","",IF($AG299&lt;=1200,IF(INDEX(对接源_01水果!$J$4:$J$1203,$AG299)=0,"",INDEX(对接源_01水果!$J$4:$J$1203,$AG299)),IF(INDEX(对接源_02物料!$J$4:$J$1203,$AG299-1200)=0,"",INDEX(对接源_02物料!$J$4:$J$1203,$AG299-1200))))</f>
        <v/>
      </c>
      <c r="H299" s="90" t="str">
        <f>IF($AG299="","",IF($AG299&lt;=1200,IF(INDEX(对接源_01水果!$K$4:$K$1203,$AG299)=0,"",INDEX(对接源_01水果!$K$4:$K$1203,$AG299)),IF(INDEX(对接源_02物料!$K$4:$K$1203,$AG299-1200)=0,"",INDEX(对接源_02物料!$K$4:$K$1203,$AG299-1200))))</f>
        <v/>
      </c>
      <c r="I299" s="88" t="str">
        <f>IF($AG299="","",IF($AG299&lt;=1200,IF(INDEX(对接源_01水果!$L$4:$L$1203,$AG299)=0,"",INDEX(对接源_01水果!$L$4:$L$1203,$AG299)),IF(INDEX(对接源_02物料!$L$4:$L$1203,$AG299-1200)=0,"",INDEX(对接源_02物料!$L$4:$L$1203,$AG299-1200))))</f>
        <v/>
      </c>
      <c r="J299" s="91" t="str">
        <f>IF($AG299="","",IF($AG299&lt;=1200,IF(INDEX(对接源_01水果!$M$4:$M$1203,$AG299)=0,"",INDEX(对接源_01水果!$M$4:$M$1203,$AG299)),IF(INDEX(对接源_02物料!$M$4:$M$1203,$AG299-1200)=0,"",INDEX(对接源_02物料!$M$4:$M$1203,$AG299-1200))))</f>
        <v/>
      </c>
      <c r="AG299" s="2" t="str">
        <f>IFERROR(MATCH(88,_自动清单!$AE$4:$AE$2403,0),"")</f>
        <v/>
      </c>
    </row>
    <row r="300" ht="18" customHeight="1" spans="1:33">
      <c r="A300" s="52" t="str">
        <f>IF($AG300="","",IF($AG300&lt;=1200,IF(INDEX(对接源_01水果!$B$4:$B$1203,$AG300)=0,"",INDEX(对接源_01水果!$B$4:$B$1203,$AG300)),IF(INDEX(对接源_02物料!$B$4:$B$1203,$AG300-1200)=0,"",INDEX(对接源_02物料!$B$4:$B$1203,$AG300-1200))))</f>
        <v/>
      </c>
      <c r="B300" s="53" t="str">
        <f>IF($AG300="","",IF($AG300&lt;=1200,IF(INDEX(对接源_01水果!$E$4:$E$1203,$AG300)=0,"",INDEX(对接源_01水果!$E$4:$E$1203,$AG300)),IF(INDEX(对接源_02物料!$E$4:$E$1203,$AG300-1200)=0,"",INDEX(对接源_02物料!$E$4:$E$1203,$AG300-1200))))</f>
        <v/>
      </c>
      <c r="C300" s="53" t="str">
        <f>IF($AG300="","",IF($AG300&lt;=1200,IF(INDEX(对接源_01水果!$F$4:$F$1203,$AG300)=0,"",INDEX(对接源_01水果!$F$4:$F$1203,$AG300)),IF(INDEX(对接源_02物料!$F$4:$F$1203,$AG300-1200)=0,"",INDEX(对接源_02物料!$F$4:$F$1203,$AG300-1200))))</f>
        <v/>
      </c>
      <c r="D300" s="53" t="str">
        <f>IF($AG300="","",IF($AG300&lt;=1200,IF(INDEX(对接源_01水果!$G$4:$G$1203,$AG300)=0,"",INDEX(对接源_01水果!$G$4:$G$1203,$AG300)),IF(INDEX(对接源_02物料!$G$4:$G$1203,$AG300-1200)=0,"",INDEX(对接源_02物料!$G$4:$G$1203,$AG300-1200))))</f>
        <v/>
      </c>
      <c r="E300" s="54" t="str">
        <f>IF($AG300="","",IF($AG300&lt;=1200,IF(INDEX(对接源_01水果!$H$4:$H$1203,$AG300)=0,"",INDEX(对接源_01水果!$H$4:$H$1203,$AG300)),IF(INDEX(对接源_02物料!$H$4:$H$1203,$AG300-1200)=0,"",INDEX(对接源_02物料!$H$4:$H$1203,$AG300-1200))))</f>
        <v/>
      </c>
      <c r="F300" s="53" t="str">
        <f>IF($AG300="","",IF($AG300&lt;=1200,IF(INDEX(对接源_01水果!$I$4:$I$1203,$AG300)=0,"",INDEX(对接源_01水果!$I$4:$I$1203,$AG300)),IF(INDEX(对接源_02物料!$I$4:$I$1203,$AG300-1200)=0,"",INDEX(对接源_02物料!$I$4:$I$1203,$AG300-1200))))</f>
        <v/>
      </c>
      <c r="G300" s="55" t="str">
        <f>IF($AG300="","",IF($AG300&lt;=1200,IF(INDEX(对接源_01水果!$J$4:$J$1203,$AG300)=0,"",INDEX(对接源_01水果!$J$4:$J$1203,$AG300)),IF(INDEX(对接源_02物料!$J$4:$J$1203,$AG300-1200)=0,"",INDEX(对接源_02物料!$J$4:$J$1203,$AG300-1200))))</f>
        <v/>
      </c>
      <c r="H300" s="55" t="str">
        <f>IF($AG300="","",IF($AG300&lt;=1200,IF(INDEX(对接源_01水果!$K$4:$K$1203,$AG300)=0,"",INDEX(对接源_01水果!$K$4:$K$1203,$AG300)),IF(INDEX(对接源_02物料!$K$4:$K$1203,$AG300-1200)=0,"",INDEX(对接源_02物料!$K$4:$K$1203,$AG300-1200))))</f>
        <v/>
      </c>
      <c r="I300" s="53" t="str">
        <f>IF($AG300="","",IF($AG300&lt;=1200,IF(INDEX(对接源_01水果!$L$4:$L$1203,$AG300)=0,"",INDEX(对接源_01水果!$L$4:$L$1203,$AG300)),IF(INDEX(对接源_02物料!$L$4:$L$1203,$AG300-1200)=0,"",INDEX(对接源_02物料!$L$4:$L$1203,$AG300-1200))))</f>
        <v/>
      </c>
      <c r="J300" s="56" t="str">
        <f>IF($AG300="","",IF($AG300&lt;=1200,IF(INDEX(对接源_01水果!$M$4:$M$1203,$AG300)=0,"",INDEX(对接源_01水果!$M$4:$M$1203,$AG300)),IF(INDEX(对接源_02物料!$M$4:$M$1203,$AG300-1200)=0,"",INDEX(对接源_02物料!$M$4:$M$1203,$AG300-1200))))</f>
        <v/>
      </c>
      <c r="AG300" s="2" t="str">
        <f>IFERROR(MATCH(89,_自动清单!$AE$4:$AE$2403,0),"")</f>
        <v/>
      </c>
    </row>
    <row r="301" ht="18" customHeight="1" spans="1:33">
      <c r="A301" s="87" t="str">
        <f>IF($AG301="","",IF($AG301&lt;=1200,IF(INDEX(对接源_01水果!$B$4:$B$1203,$AG301)=0,"",INDEX(对接源_01水果!$B$4:$B$1203,$AG301)),IF(INDEX(对接源_02物料!$B$4:$B$1203,$AG301-1200)=0,"",INDEX(对接源_02物料!$B$4:$B$1203,$AG301-1200))))</f>
        <v/>
      </c>
      <c r="B301" s="88" t="str">
        <f>IF($AG301="","",IF($AG301&lt;=1200,IF(INDEX(对接源_01水果!$E$4:$E$1203,$AG301)=0,"",INDEX(对接源_01水果!$E$4:$E$1203,$AG301)),IF(INDEX(对接源_02物料!$E$4:$E$1203,$AG301-1200)=0,"",INDEX(对接源_02物料!$E$4:$E$1203,$AG301-1200))))</f>
        <v/>
      </c>
      <c r="C301" s="88" t="str">
        <f>IF($AG301="","",IF($AG301&lt;=1200,IF(INDEX(对接源_01水果!$F$4:$F$1203,$AG301)=0,"",INDEX(对接源_01水果!$F$4:$F$1203,$AG301)),IF(INDEX(对接源_02物料!$F$4:$F$1203,$AG301-1200)=0,"",INDEX(对接源_02物料!$F$4:$F$1203,$AG301-1200))))</f>
        <v/>
      </c>
      <c r="D301" s="88" t="str">
        <f>IF($AG301="","",IF($AG301&lt;=1200,IF(INDEX(对接源_01水果!$G$4:$G$1203,$AG301)=0,"",INDEX(对接源_01水果!$G$4:$G$1203,$AG301)),IF(INDEX(对接源_02物料!$G$4:$G$1203,$AG301-1200)=0,"",INDEX(对接源_02物料!$G$4:$G$1203,$AG301-1200))))</f>
        <v/>
      </c>
      <c r="E301" s="89" t="str">
        <f>IF($AG301="","",IF($AG301&lt;=1200,IF(INDEX(对接源_01水果!$H$4:$H$1203,$AG301)=0,"",INDEX(对接源_01水果!$H$4:$H$1203,$AG301)),IF(INDEX(对接源_02物料!$H$4:$H$1203,$AG301-1200)=0,"",INDEX(对接源_02物料!$H$4:$H$1203,$AG301-1200))))</f>
        <v/>
      </c>
      <c r="F301" s="88" t="str">
        <f>IF($AG301="","",IF($AG301&lt;=1200,IF(INDEX(对接源_01水果!$I$4:$I$1203,$AG301)=0,"",INDEX(对接源_01水果!$I$4:$I$1203,$AG301)),IF(INDEX(对接源_02物料!$I$4:$I$1203,$AG301-1200)=0,"",INDEX(对接源_02物料!$I$4:$I$1203,$AG301-1200))))</f>
        <v/>
      </c>
      <c r="G301" s="90" t="str">
        <f>IF($AG301="","",IF($AG301&lt;=1200,IF(INDEX(对接源_01水果!$J$4:$J$1203,$AG301)=0,"",INDEX(对接源_01水果!$J$4:$J$1203,$AG301)),IF(INDEX(对接源_02物料!$J$4:$J$1203,$AG301-1200)=0,"",INDEX(对接源_02物料!$J$4:$J$1203,$AG301-1200))))</f>
        <v/>
      </c>
      <c r="H301" s="90" t="str">
        <f>IF($AG301="","",IF($AG301&lt;=1200,IF(INDEX(对接源_01水果!$K$4:$K$1203,$AG301)=0,"",INDEX(对接源_01水果!$K$4:$K$1203,$AG301)),IF(INDEX(对接源_02物料!$K$4:$K$1203,$AG301-1200)=0,"",INDEX(对接源_02物料!$K$4:$K$1203,$AG301-1200))))</f>
        <v/>
      </c>
      <c r="I301" s="88" t="str">
        <f>IF($AG301="","",IF($AG301&lt;=1200,IF(INDEX(对接源_01水果!$L$4:$L$1203,$AG301)=0,"",INDEX(对接源_01水果!$L$4:$L$1203,$AG301)),IF(INDEX(对接源_02物料!$L$4:$L$1203,$AG301-1200)=0,"",INDEX(对接源_02物料!$L$4:$L$1203,$AG301-1200))))</f>
        <v/>
      </c>
      <c r="J301" s="91" t="str">
        <f>IF($AG301="","",IF($AG301&lt;=1200,IF(INDEX(对接源_01水果!$M$4:$M$1203,$AG301)=0,"",INDEX(对接源_01水果!$M$4:$M$1203,$AG301)),IF(INDEX(对接源_02物料!$M$4:$M$1203,$AG301-1200)=0,"",INDEX(对接源_02物料!$M$4:$M$1203,$AG301-1200))))</f>
        <v/>
      </c>
      <c r="AG301" s="2" t="str">
        <f>IFERROR(MATCH(90,_自动清单!$AE$4:$AE$2403,0),"")</f>
        <v/>
      </c>
    </row>
    <row r="302" ht="18" customHeight="1" spans="1:33">
      <c r="A302" s="52" t="str">
        <f>IF($AG302="","",IF($AG302&lt;=1200,IF(INDEX(对接源_01水果!$B$4:$B$1203,$AG302)=0,"",INDEX(对接源_01水果!$B$4:$B$1203,$AG302)),IF(INDEX(对接源_02物料!$B$4:$B$1203,$AG302-1200)=0,"",INDEX(对接源_02物料!$B$4:$B$1203,$AG302-1200))))</f>
        <v/>
      </c>
      <c r="B302" s="53" t="str">
        <f>IF($AG302="","",IF($AG302&lt;=1200,IF(INDEX(对接源_01水果!$E$4:$E$1203,$AG302)=0,"",INDEX(对接源_01水果!$E$4:$E$1203,$AG302)),IF(INDEX(对接源_02物料!$E$4:$E$1203,$AG302-1200)=0,"",INDEX(对接源_02物料!$E$4:$E$1203,$AG302-1200))))</f>
        <v/>
      </c>
      <c r="C302" s="53" t="str">
        <f>IF($AG302="","",IF($AG302&lt;=1200,IF(INDEX(对接源_01水果!$F$4:$F$1203,$AG302)=0,"",INDEX(对接源_01水果!$F$4:$F$1203,$AG302)),IF(INDEX(对接源_02物料!$F$4:$F$1203,$AG302-1200)=0,"",INDEX(对接源_02物料!$F$4:$F$1203,$AG302-1200))))</f>
        <v/>
      </c>
      <c r="D302" s="53" t="str">
        <f>IF($AG302="","",IF($AG302&lt;=1200,IF(INDEX(对接源_01水果!$G$4:$G$1203,$AG302)=0,"",INDEX(对接源_01水果!$G$4:$G$1203,$AG302)),IF(INDEX(对接源_02物料!$G$4:$G$1203,$AG302-1200)=0,"",INDEX(对接源_02物料!$G$4:$G$1203,$AG302-1200))))</f>
        <v/>
      </c>
      <c r="E302" s="54" t="str">
        <f>IF($AG302="","",IF($AG302&lt;=1200,IF(INDEX(对接源_01水果!$H$4:$H$1203,$AG302)=0,"",INDEX(对接源_01水果!$H$4:$H$1203,$AG302)),IF(INDEX(对接源_02物料!$H$4:$H$1203,$AG302-1200)=0,"",INDEX(对接源_02物料!$H$4:$H$1203,$AG302-1200))))</f>
        <v/>
      </c>
      <c r="F302" s="53" t="str">
        <f>IF($AG302="","",IF($AG302&lt;=1200,IF(INDEX(对接源_01水果!$I$4:$I$1203,$AG302)=0,"",INDEX(对接源_01水果!$I$4:$I$1203,$AG302)),IF(INDEX(对接源_02物料!$I$4:$I$1203,$AG302-1200)=0,"",INDEX(对接源_02物料!$I$4:$I$1203,$AG302-1200))))</f>
        <v/>
      </c>
      <c r="G302" s="55" t="str">
        <f>IF($AG302="","",IF($AG302&lt;=1200,IF(INDEX(对接源_01水果!$J$4:$J$1203,$AG302)=0,"",INDEX(对接源_01水果!$J$4:$J$1203,$AG302)),IF(INDEX(对接源_02物料!$J$4:$J$1203,$AG302-1200)=0,"",INDEX(对接源_02物料!$J$4:$J$1203,$AG302-1200))))</f>
        <v/>
      </c>
      <c r="H302" s="55" t="str">
        <f>IF($AG302="","",IF($AG302&lt;=1200,IF(INDEX(对接源_01水果!$K$4:$K$1203,$AG302)=0,"",INDEX(对接源_01水果!$K$4:$K$1203,$AG302)),IF(INDEX(对接源_02物料!$K$4:$K$1203,$AG302-1200)=0,"",INDEX(对接源_02物料!$K$4:$K$1203,$AG302-1200))))</f>
        <v/>
      </c>
      <c r="I302" s="53" t="str">
        <f>IF($AG302="","",IF($AG302&lt;=1200,IF(INDEX(对接源_01水果!$L$4:$L$1203,$AG302)=0,"",INDEX(对接源_01水果!$L$4:$L$1203,$AG302)),IF(INDEX(对接源_02物料!$L$4:$L$1203,$AG302-1200)=0,"",INDEX(对接源_02物料!$L$4:$L$1203,$AG302-1200))))</f>
        <v/>
      </c>
      <c r="J302" s="56" t="str">
        <f>IF($AG302="","",IF($AG302&lt;=1200,IF(INDEX(对接源_01水果!$M$4:$M$1203,$AG302)=0,"",INDEX(对接源_01水果!$M$4:$M$1203,$AG302)),IF(INDEX(对接源_02物料!$M$4:$M$1203,$AG302-1200)=0,"",INDEX(对接源_02物料!$M$4:$M$1203,$AG302-1200))))</f>
        <v/>
      </c>
      <c r="AG302" s="2" t="str">
        <f>IFERROR(MATCH(91,_自动清单!$AE$4:$AE$2403,0),"")</f>
        <v/>
      </c>
    </row>
    <row r="303" ht="18" customHeight="1" spans="1:33">
      <c r="A303" s="87" t="str">
        <f>IF($AG303="","",IF($AG303&lt;=1200,IF(INDEX(对接源_01水果!$B$4:$B$1203,$AG303)=0,"",INDEX(对接源_01水果!$B$4:$B$1203,$AG303)),IF(INDEX(对接源_02物料!$B$4:$B$1203,$AG303-1200)=0,"",INDEX(对接源_02物料!$B$4:$B$1203,$AG303-1200))))</f>
        <v/>
      </c>
      <c r="B303" s="88" t="str">
        <f>IF($AG303="","",IF($AG303&lt;=1200,IF(INDEX(对接源_01水果!$E$4:$E$1203,$AG303)=0,"",INDEX(对接源_01水果!$E$4:$E$1203,$AG303)),IF(INDEX(对接源_02物料!$E$4:$E$1203,$AG303-1200)=0,"",INDEX(对接源_02物料!$E$4:$E$1203,$AG303-1200))))</f>
        <v/>
      </c>
      <c r="C303" s="88" t="str">
        <f>IF($AG303="","",IF($AG303&lt;=1200,IF(INDEX(对接源_01水果!$F$4:$F$1203,$AG303)=0,"",INDEX(对接源_01水果!$F$4:$F$1203,$AG303)),IF(INDEX(对接源_02物料!$F$4:$F$1203,$AG303-1200)=0,"",INDEX(对接源_02物料!$F$4:$F$1203,$AG303-1200))))</f>
        <v/>
      </c>
      <c r="D303" s="88" t="str">
        <f>IF($AG303="","",IF($AG303&lt;=1200,IF(INDEX(对接源_01水果!$G$4:$G$1203,$AG303)=0,"",INDEX(对接源_01水果!$G$4:$G$1203,$AG303)),IF(INDEX(对接源_02物料!$G$4:$G$1203,$AG303-1200)=0,"",INDEX(对接源_02物料!$G$4:$G$1203,$AG303-1200))))</f>
        <v/>
      </c>
      <c r="E303" s="89" t="str">
        <f>IF($AG303="","",IF($AG303&lt;=1200,IF(INDEX(对接源_01水果!$H$4:$H$1203,$AG303)=0,"",INDEX(对接源_01水果!$H$4:$H$1203,$AG303)),IF(INDEX(对接源_02物料!$H$4:$H$1203,$AG303-1200)=0,"",INDEX(对接源_02物料!$H$4:$H$1203,$AG303-1200))))</f>
        <v/>
      </c>
      <c r="F303" s="88" t="str">
        <f>IF($AG303="","",IF($AG303&lt;=1200,IF(INDEX(对接源_01水果!$I$4:$I$1203,$AG303)=0,"",INDEX(对接源_01水果!$I$4:$I$1203,$AG303)),IF(INDEX(对接源_02物料!$I$4:$I$1203,$AG303-1200)=0,"",INDEX(对接源_02物料!$I$4:$I$1203,$AG303-1200))))</f>
        <v/>
      </c>
      <c r="G303" s="90" t="str">
        <f>IF($AG303="","",IF($AG303&lt;=1200,IF(INDEX(对接源_01水果!$J$4:$J$1203,$AG303)=0,"",INDEX(对接源_01水果!$J$4:$J$1203,$AG303)),IF(INDEX(对接源_02物料!$J$4:$J$1203,$AG303-1200)=0,"",INDEX(对接源_02物料!$J$4:$J$1203,$AG303-1200))))</f>
        <v/>
      </c>
      <c r="H303" s="90" t="str">
        <f>IF($AG303="","",IF($AG303&lt;=1200,IF(INDEX(对接源_01水果!$K$4:$K$1203,$AG303)=0,"",INDEX(对接源_01水果!$K$4:$K$1203,$AG303)),IF(INDEX(对接源_02物料!$K$4:$K$1203,$AG303-1200)=0,"",INDEX(对接源_02物料!$K$4:$K$1203,$AG303-1200))))</f>
        <v/>
      </c>
      <c r="I303" s="88" t="str">
        <f>IF($AG303="","",IF($AG303&lt;=1200,IF(INDEX(对接源_01水果!$L$4:$L$1203,$AG303)=0,"",INDEX(对接源_01水果!$L$4:$L$1203,$AG303)),IF(INDEX(对接源_02物料!$L$4:$L$1203,$AG303-1200)=0,"",INDEX(对接源_02物料!$L$4:$L$1203,$AG303-1200))))</f>
        <v/>
      </c>
      <c r="J303" s="91" t="str">
        <f>IF($AG303="","",IF($AG303&lt;=1200,IF(INDEX(对接源_01水果!$M$4:$M$1203,$AG303)=0,"",INDEX(对接源_01水果!$M$4:$M$1203,$AG303)),IF(INDEX(对接源_02物料!$M$4:$M$1203,$AG303-1200)=0,"",INDEX(对接源_02物料!$M$4:$M$1203,$AG303-1200))))</f>
        <v/>
      </c>
      <c r="AG303" s="2" t="str">
        <f>IFERROR(MATCH(92,_自动清单!$AE$4:$AE$2403,0),"")</f>
        <v/>
      </c>
    </row>
    <row r="304" ht="18" customHeight="1" spans="1:33">
      <c r="A304" s="52" t="str">
        <f>IF($AG304="","",IF($AG304&lt;=1200,IF(INDEX(对接源_01水果!$B$4:$B$1203,$AG304)=0,"",INDEX(对接源_01水果!$B$4:$B$1203,$AG304)),IF(INDEX(对接源_02物料!$B$4:$B$1203,$AG304-1200)=0,"",INDEX(对接源_02物料!$B$4:$B$1203,$AG304-1200))))</f>
        <v/>
      </c>
      <c r="B304" s="53" t="str">
        <f>IF($AG304="","",IF($AG304&lt;=1200,IF(INDEX(对接源_01水果!$E$4:$E$1203,$AG304)=0,"",INDEX(对接源_01水果!$E$4:$E$1203,$AG304)),IF(INDEX(对接源_02物料!$E$4:$E$1203,$AG304-1200)=0,"",INDEX(对接源_02物料!$E$4:$E$1203,$AG304-1200))))</f>
        <v/>
      </c>
      <c r="C304" s="53" t="str">
        <f>IF($AG304="","",IF($AG304&lt;=1200,IF(INDEX(对接源_01水果!$F$4:$F$1203,$AG304)=0,"",INDEX(对接源_01水果!$F$4:$F$1203,$AG304)),IF(INDEX(对接源_02物料!$F$4:$F$1203,$AG304-1200)=0,"",INDEX(对接源_02物料!$F$4:$F$1203,$AG304-1200))))</f>
        <v/>
      </c>
      <c r="D304" s="53" t="str">
        <f>IF($AG304="","",IF($AG304&lt;=1200,IF(INDEX(对接源_01水果!$G$4:$G$1203,$AG304)=0,"",INDEX(对接源_01水果!$G$4:$G$1203,$AG304)),IF(INDEX(对接源_02物料!$G$4:$G$1203,$AG304-1200)=0,"",INDEX(对接源_02物料!$G$4:$G$1203,$AG304-1200))))</f>
        <v/>
      </c>
      <c r="E304" s="54" t="str">
        <f>IF($AG304="","",IF($AG304&lt;=1200,IF(INDEX(对接源_01水果!$H$4:$H$1203,$AG304)=0,"",INDEX(对接源_01水果!$H$4:$H$1203,$AG304)),IF(INDEX(对接源_02物料!$H$4:$H$1203,$AG304-1200)=0,"",INDEX(对接源_02物料!$H$4:$H$1203,$AG304-1200))))</f>
        <v/>
      </c>
      <c r="F304" s="53" t="str">
        <f>IF($AG304="","",IF($AG304&lt;=1200,IF(INDEX(对接源_01水果!$I$4:$I$1203,$AG304)=0,"",INDEX(对接源_01水果!$I$4:$I$1203,$AG304)),IF(INDEX(对接源_02物料!$I$4:$I$1203,$AG304-1200)=0,"",INDEX(对接源_02物料!$I$4:$I$1203,$AG304-1200))))</f>
        <v/>
      </c>
      <c r="G304" s="55" t="str">
        <f>IF($AG304="","",IF($AG304&lt;=1200,IF(INDEX(对接源_01水果!$J$4:$J$1203,$AG304)=0,"",INDEX(对接源_01水果!$J$4:$J$1203,$AG304)),IF(INDEX(对接源_02物料!$J$4:$J$1203,$AG304-1200)=0,"",INDEX(对接源_02物料!$J$4:$J$1203,$AG304-1200))))</f>
        <v/>
      </c>
      <c r="H304" s="55" t="str">
        <f>IF($AG304="","",IF($AG304&lt;=1200,IF(INDEX(对接源_01水果!$K$4:$K$1203,$AG304)=0,"",INDEX(对接源_01水果!$K$4:$K$1203,$AG304)),IF(INDEX(对接源_02物料!$K$4:$K$1203,$AG304-1200)=0,"",INDEX(对接源_02物料!$K$4:$K$1203,$AG304-1200))))</f>
        <v/>
      </c>
      <c r="I304" s="53" t="str">
        <f>IF($AG304="","",IF($AG304&lt;=1200,IF(INDEX(对接源_01水果!$L$4:$L$1203,$AG304)=0,"",INDEX(对接源_01水果!$L$4:$L$1203,$AG304)),IF(INDEX(对接源_02物料!$L$4:$L$1203,$AG304-1200)=0,"",INDEX(对接源_02物料!$L$4:$L$1203,$AG304-1200))))</f>
        <v/>
      </c>
      <c r="J304" s="56" t="str">
        <f>IF($AG304="","",IF($AG304&lt;=1200,IF(INDEX(对接源_01水果!$M$4:$M$1203,$AG304)=0,"",INDEX(对接源_01水果!$M$4:$M$1203,$AG304)),IF(INDEX(对接源_02物料!$M$4:$M$1203,$AG304-1200)=0,"",INDEX(对接源_02物料!$M$4:$M$1203,$AG304-1200))))</f>
        <v/>
      </c>
      <c r="AG304" s="2" t="str">
        <f>IFERROR(MATCH(93,_自动清单!$AE$4:$AE$2403,0),"")</f>
        <v/>
      </c>
    </row>
    <row r="305" ht="18" customHeight="1" spans="1:33">
      <c r="A305" s="87" t="str">
        <f>IF($AG305="","",IF($AG305&lt;=1200,IF(INDEX(对接源_01水果!$B$4:$B$1203,$AG305)=0,"",INDEX(对接源_01水果!$B$4:$B$1203,$AG305)),IF(INDEX(对接源_02物料!$B$4:$B$1203,$AG305-1200)=0,"",INDEX(对接源_02物料!$B$4:$B$1203,$AG305-1200))))</f>
        <v/>
      </c>
      <c r="B305" s="88" t="str">
        <f>IF($AG305="","",IF($AG305&lt;=1200,IF(INDEX(对接源_01水果!$E$4:$E$1203,$AG305)=0,"",INDEX(对接源_01水果!$E$4:$E$1203,$AG305)),IF(INDEX(对接源_02物料!$E$4:$E$1203,$AG305-1200)=0,"",INDEX(对接源_02物料!$E$4:$E$1203,$AG305-1200))))</f>
        <v/>
      </c>
      <c r="C305" s="88" t="str">
        <f>IF($AG305="","",IF($AG305&lt;=1200,IF(INDEX(对接源_01水果!$F$4:$F$1203,$AG305)=0,"",INDEX(对接源_01水果!$F$4:$F$1203,$AG305)),IF(INDEX(对接源_02物料!$F$4:$F$1203,$AG305-1200)=0,"",INDEX(对接源_02物料!$F$4:$F$1203,$AG305-1200))))</f>
        <v/>
      </c>
      <c r="D305" s="88" t="str">
        <f>IF($AG305="","",IF($AG305&lt;=1200,IF(INDEX(对接源_01水果!$G$4:$G$1203,$AG305)=0,"",INDEX(对接源_01水果!$G$4:$G$1203,$AG305)),IF(INDEX(对接源_02物料!$G$4:$G$1203,$AG305-1200)=0,"",INDEX(对接源_02物料!$G$4:$G$1203,$AG305-1200))))</f>
        <v/>
      </c>
      <c r="E305" s="89" t="str">
        <f>IF($AG305="","",IF($AG305&lt;=1200,IF(INDEX(对接源_01水果!$H$4:$H$1203,$AG305)=0,"",INDEX(对接源_01水果!$H$4:$H$1203,$AG305)),IF(INDEX(对接源_02物料!$H$4:$H$1203,$AG305-1200)=0,"",INDEX(对接源_02物料!$H$4:$H$1203,$AG305-1200))))</f>
        <v/>
      </c>
      <c r="F305" s="88" t="str">
        <f>IF($AG305="","",IF($AG305&lt;=1200,IF(INDEX(对接源_01水果!$I$4:$I$1203,$AG305)=0,"",INDEX(对接源_01水果!$I$4:$I$1203,$AG305)),IF(INDEX(对接源_02物料!$I$4:$I$1203,$AG305-1200)=0,"",INDEX(对接源_02物料!$I$4:$I$1203,$AG305-1200))))</f>
        <v/>
      </c>
      <c r="G305" s="90" t="str">
        <f>IF($AG305="","",IF($AG305&lt;=1200,IF(INDEX(对接源_01水果!$J$4:$J$1203,$AG305)=0,"",INDEX(对接源_01水果!$J$4:$J$1203,$AG305)),IF(INDEX(对接源_02物料!$J$4:$J$1203,$AG305-1200)=0,"",INDEX(对接源_02物料!$J$4:$J$1203,$AG305-1200))))</f>
        <v/>
      </c>
      <c r="H305" s="90" t="str">
        <f>IF($AG305="","",IF($AG305&lt;=1200,IF(INDEX(对接源_01水果!$K$4:$K$1203,$AG305)=0,"",INDEX(对接源_01水果!$K$4:$K$1203,$AG305)),IF(INDEX(对接源_02物料!$K$4:$K$1203,$AG305-1200)=0,"",INDEX(对接源_02物料!$K$4:$K$1203,$AG305-1200))))</f>
        <v/>
      </c>
      <c r="I305" s="88" t="str">
        <f>IF($AG305="","",IF($AG305&lt;=1200,IF(INDEX(对接源_01水果!$L$4:$L$1203,$AG305)=0,"",INDEX(对接源_01水果!$L$4:$L$1203,$AG305)),IF(INDEX(对接源_02物料!$L$4:$L$1203,$AG305-1200)=0,"",INDEX(对接源_02物料!$L$4:$L$1203,$AG305-1200))))</f>
        <v/>
      </c>
      <c r="J305" s="91" t="str">
        <f>IF($AG305="","",IF($AG305&lt;=1200,IF(INDEX(对接源_01水果!$M$4:$M$1203,$AG305)=0,"",INDEX(对接源_01水果!$M$4:$M$1203,$AG305)),IF(INDEX(对接源_02物料!$M$4:$M$1203,$AG305-1200)=0,"",INDEX(对接源_02物料!$M$4:$M$1203,$AG305-1200))))</f>
        <v/>
      </c>
      <c r="AG305" s="2" t="str">
        <f>IFERROR(MATCH(94,_自动清单!$AE$4:$AE$2403,0),"")</f>
        <v/>
      </c>
    </row>
    <row r="306" ht="18" customHeight="1" spans="1:33">
      <c r="A306" s="52" t="str">
        <f>IF($AG306="","",IF($AG306&lt;=1200,IF(INDEX(对接源_01水果!$B$4:$B$1203,$AG306)=0,"",INDEX(对接源_01水果!$B$4:$B$1203,$AG306)),IF(INDEX(对接源_02物料!$B$4:$B$1203,$AG306-1200)=0,"",INDEX(对接源_02物料!$B$4:$B$1203,$AG306-1200))))</f>
        <v/>
      </c>
      <c r="B306" s="53" t="str">
        <f>IF($AG306="","",IF($AG306&lt;=1200,IF(INDEX(对接源_01水果!$E$4:$E$1203,$AG306)=0,"",INDEX(对接源_01水果!$E$4:$E$1203,$AG306)),IF(INDEX(对接源_02物料!$E$4:$E$1203,$AG306-1200)=0,"",INDEX(对接源_02物料!$E$4:$E$1203,$AG306-1200))))</f>
        <v/>
      </c>
      <c r="C306" s="53" t="str">
        <f>IF($AG306="","",IF($AG306&lt;=1200,IF(INDEX(对接源_01水果!$F$4:$F$1203,$AG306)=0,"",INDEX(对接源_01水果!$F$4:$F$1203,$AG306)),IF(INDEX(对接源_02物料!$F$4:$F$1203,$AG306-1200)=0,"",INDEX(对接源_02物料!$F$4:$F$1203,$AG306-1200))))</f>
        <v/>
      </c>
      <c r="D306" s="53" t="str">
        <f>IF($AG306="","",IF($AG306&lt;=1200,IF(INDEX(对接源_01水果!$G$4:$G$1203,$AG306)=0,"",INDEX(对接源_01水果!$G$4:$G$1203,$AG306)),IF(INDEX(对接源_02物料!$G$4:$G$1203,$AG306-1200)=0,"",INDEX(对接源_02物料!$G$4:$G$1203,$AG306-1200))))</f>
        <v/>
      </c>
      <c r="E306" s="54" t="str">
        <f>IF($AG306="","",IF($AG306&lt;=1200,IF(INDEX(对接源_01水果!$H$4:$H$1203,$AG306)=0,"",INDEX(对接源_01水果!$H$4:$H$1203,$AG306)),IF(INDEX(对接源_02物料!$H$4:$H$1203,$AG306-1200)=0,"",INDEX(对接源_02物料!$H$4:$H$1203,$AG306-1200))))</f>
        <v/>
      </c>
      <c r="F306" s="53" t="str">
        <f>IF($AG306="","",IF($AG306&lt;=1200,IF(INDEX(对接源_01水果!$I$4:$I$1203,$AG306)=0,"",INDEX(对接源_01水果!$I$4:$I$1203,$AG306)),IF(INDEX(对接源_02物料!$I$4:$I$1203,$AG306-1200)=0,"",INDEX(对接源_02物料!$I$4:$I$1203,$AG306-1200))))</f>
        <v/>
      </c>
      <c r="G306" s="55" t="str">
        <f>IF($AG306="","",IF($AG306&lt;=1200,IF(INDEX(对接源_01水果!$J$4:$J$1203,$AG306)=0,"",INDEX(对接源_01水果!$J$4:$J$1203,$AG306)),IF(INDEX(对接源_02物料!$J$4:$J$1203,$AG306-1200)=0,"",INDEX(对接源_02物料!$J$4:$J$1203,$AG306-1200))))</f>
        <v/>
      </c>
      <c r="H306" s="55" t="str">
        <f>IF($AG306="","",IF($AG306&lt;=1200,IF(INDEX(对接源_01水果!$K$4:$K$1203,$AG306)=0,"",INDEX(对接源_01水果!$K$4:$K$1203,$AG306)),IF(INDEX(对接源_02物料!$K$4:$K$1203,$AG306-1200)=0,"",INDEX(对接源_02物料!$K$4:$K$1203,$AG306-1200))))</f>
        <v/>
      </c>
      <c r="I306" s="53" t="str">
        <f>IF($AG306="","",IF($AG306&lt;=1200,IF(INDEX(对接源_01水果!$L$4:$L$1203,$AG306)=0,"",INDEX(对接源_01水果!$L$4:$L$1203,$AG306)),IF(INDEX(对接源_02物料!$L$4:$L$1203,$AG306-1200)=0,"",INDEX(对接源_02物料!$L$4:$L$1203,$AG306-1200))))</f>
        <v/>
      </c>
      <c r="J306" s="56" t="str">
        <f>IF($AG306="","",IF($AG306&lt;=1200,IF(INDEX(对接源_01水果!$M$4:$M$1203,$AG306)=0,"",INDEX(对接源_01水果!$M$4:$M$1203,$AG306)),IF(INDEX(对接源_02物料!$M$4:$M$1203,$AG306-1200)=0,"",INDEX(对接源_02物料!$M$4:$M$1203,$AG306-1200))))</f>
        <v/>
      </c>
      <c r="AG306" s="2" t="str">
        <f>IFERROR(MATCH(95,_自动清单!$AE$4:$AE$2403,0),"")</f>
        <v/>
      </c>
    </row>
    <row r="307" ht="18" customHeight="1" spans="1:33">
      <c r="A307" s="87" t="str">
        <f>IF($AG307="","",IF($AG307&lt;=1200,IF(INDEX(对接源_01水果!$B$4:$B$1203,$AG307)=0,"",INDEX(对接源_01水果!$B$4:$B$1203,$AG307)),IF(INDEX(对接源_02物料!$B$4:$B$1203,$AG307-1200)=0,"",INDEX(对接源_02物料!$B$4:$B$1203,$AG307-1200))))</f>
        <v/>
      </c>
      <c r="B307" s="88" t="str">
        <f>IF($AG307="","",IF($AG307&lt;=1200,IF(INDEX(对接源_01水果!$E$4:$E$1203,$AG307)=0,"",INDEX(对接源_01水果!$E$4:$E$1203,$AG307)),IF(INDEX(对接源_02物料!$E$4:$E$1203,$AG307-1200)=0,"",INDEX(对接源_02物料!$E$4:$E$1203,$AG307-1200))))</f>
        <v/>
      </c>
      <c r="C307" s="88" t="str">
        <f>IF($AG307="","",IF($AG307&lt;=1200,IF(INDEX(对接源_01水果!$F$4:$F$1203,$AG307)=0,"",INDEX(对接源_01水果!$F$4:$F$1203,$AG307)),IF(INDEX(对接源_02物料!$F$4:$F$1203,$AG307-1200)=0,"",INDEX(对接源_02物料!$F$4:$F$1203,$AG307-1200))))</f>
        <v/>
      </c>
      <c r="D307" s="88" t="str">
        <f>IF($AG307="","",IF($AG307&lt;=1200,IF(INDEX(对接源_01水果!$G$4:$G$1203,$AG307)=0,"",INDEX(对接源_01水果!$G$4:$G$1203,$AG307)),IF(INDEX(对接源_02物料!$G$4:$G$1203,$AG307-1200)=0,"",INDEX(对接源_02物料!$G$4:$G$1203,$AG307-1200))))</f>
        <v/>
      </c>
      <c r="E307" s="89" t="str">
        <f>IF($AG307="","",IF($AG307&lt;=1200,IF(INDEX(对接源_01水果!$H$4:$H$1203,$AG307)=0,"",INDEX(对接源_01水果!$H$4:$H$1203,$AG307)),IF(INDEX(对接源_02物料!$H$4:$H$1203,$AG307-1200)=0,"",INDEX(对接源_02物料!$H$4:$H$1203,$AG307-1200))))</f>
        <v/>
      </c>
      <c r="F307" s="88" t="str">
        <f>IF($AG307="","",IF($AG307&lt;=1200,IF(INDEX(对接源_01水果!$I$4:$I$1203,$AG307)=0,"",INDEX(对接源_01水果!$I$4:$I$1203,$AG307)),IF(INDEX(对接源_02物料!$I$4:$I$1203,$AG307-1200)=0,"",INDEX(对接源_02物料!$I$4:$I$1203,$AG307-1200))))</f>
        <v/>
      </c>
      <c r="G307" s="90" t="str">
        <f>IF($AG307="","",IF($AG307&lt;=1200,IF(INDEX(对接源_01水果!$J$4:$J$1203,$AG307)=0,"",INDEX(对接源_01水果!$J$4:$J$1203,$AG307)),IF(INDEX(对接源_02物料!$J$4:$J$1203,$AG307-1200)=0,"",INDEX(对接源_02物料!$J$4:$J$1203,$AG307-1200))))</f>
        <v/>
      </c>
      <c r="H307" s="90" t="str">
        <f>IF($AG307="","",IF($AG307&lt;=1200,IF(INDEX(对接源_01水果!$K$4:$K$1203,$AG307)=0,"",INDEX(对接源_01水果!$K$4:$K$1203,$AG307)),IF(INDEX(对接源_02物料!$K$4:$K$1203,$AG307-1200)=0,"",INDEX(对接源_02物料!$K$4:$K$1203,$AG307-1200))))</f>
        <v/>
      </c>
      <c r="I307" s="88" t="str">
        <f>IF($AG307="","",IF($AG307&lt;=1200,IF(INDEX(对接源_01水果!$L$4:$L$1203,$AG307)=0,"",INDEX(对接源_01水果!$L$4:$L$1203,$AG307)),IF(INDEX(对接源_02物料!$L$4:$L$1203,$AG307-1200)=0,"",INDEX(对接源_02物料!$L$4:$L$1203,$AG307-1200))))</f>
        <v/>
      </c>
      <c r="J307" s="91" t="str">
        <f>IF($AG307="","",IF($AG307&lt;=1200,IF(INDEX(对接源_01水果!$M$4:$M$1203,$AG307)=0,"",INDEX(对接源_01水果!$M$4:$M$1203,$AG307)),IF(INDEX(对接源_02物料!$M$4:$M$1203,$AG307-1200)=0,"",INDEX(对接源_02物料!$M$4:$M$1203,$AG307-1200))))</f>
        <v/>
      </c>
      <c r="AG307" s="2" t="str">
        <f>IFERROR(MATCH(96,_自动清单!$AE$4:$AE$2403,0),"")</f>
        <v/>
      </c>
    </row>
    <row r="308" ht="18" customHeight="1" spans="1:33">
      <c r="A308" s="52" t="str">
        <f>IF($AG308="","",IF($AG308&lt;=1200,IF(INDEX(对接源_01水果!$B$4:$B$1203,$AG308)=0,"",INDEX(对接源_01水果!$B$4:$B$1203,$AG308)),IF(INDEX(对接源_02物料!$B$4:$B$1203,$AG308-1200)=0,"",INDEX(对接源_02物料!$B$4:$B$1203,$AG308-1200))))</f>
        <v/>
      </c>
      <c r="B308" s="53" t="str">
        <f>IF($AG308="","",IF($AG308&lt;=1200,IF(INDEX(对接源_01水果!$E$4:$E$1203,$AG308)=0,"",INDEX(对接源_01水果!$E$4:$E$1203,$AG308)),IF(INDEX(对接源_02物料!$E$4:$E$1203,$AG308-1200)=0,"",INDEX(对接源_02物料!$E$4:$E$1203,$AG308-1200))))</f>
        <v/>
      </c>
      <c r="C308" s="53" t="str">
        <f>IF($AG308="","",IF($AG308&lt;=1200,IF(INDEX(对接源_01水果!$F$4:$F$1203,$AG308)=0,"",INDEX(对接源_01水果!$F$4:$F$1203,$AG308)),IF(INDEX(对接源_02物料!$F$4:$F$1203,$AG308-1200)=0,"",INDEX(对接源_02物料!$F$4:$F$1203,$AG308-1200))))</f>
        <v/>
      </c>
      <c r="D308" s="53" t="str">
        <f>IF($AG308="","",IF($AG308&lt;=1200,IF(INDEX(对接源_01水果!$G$4:$G$1203,$AG308)=0,"",INDEX(对接源_01水果!$G$4:$G$1203,$AG308)),IF(INDEX(对接源_02物料!$G$4:$G$1203,$AG308-1200)=0,"",INDEX(对接源_02物料!$G$4:$G$1203,$AG308-1200))))</f>
        <v/>
      </c>
      <c r="E308" s="54" t="str">
        <f>IF($AG308="","",IF($AG308&lt;=1200,IF(INDEX(对接源_01水果!$H$4:$H$1203,$AG308)=0,"",INDEX(对接源_01水果!$H$4:$H$1203,$AG308)),IF(INDEX(对接源_02物料!$H$4:$H$1203,$AG308-1200)=0,"",INDEX(对接源_02物料!$H$4:$H$1203,$AG308-1200))))</f>
        <v/>
      </c>
      <c r="F308" s="53" t="str">
        <f>IF($AG308="","",IF($AG308&lt;=1200,IF(INDEX(对接源_01水果!$I$4:$I$1203,$AG308)=0,"",INDEX(对接源_01水果!$I$4:$I$1203,$AG308)),IF(INDEX(对接源_02物料!$I$4:$I$1203,$AG308-1200)=0,"",INDEX(对接源_02物料!$I$4:$I$1203,$AG308-1200))))</f>
        <v/>
      </c>
      <c r="G308" s="55" t="str">
        <f>IF($AG308="","",IF($AG308&lt;=1200,IF(INDEX(对接源_01水果!$J$4:$J$1203,$AG308)=0,"",INDEX(对接源_01水果!$J$4:$J$1203,$AG308)),IF(INDEX(对接源_02物料!$J$4:$J$1203,$AG308-1200)=0,"",INDEX(对接源_02物料!$J$4:$J$1203,$AG308-1200))))</f>
        <v/>
      </c>
      <c r="H308" s="55" t="str">
        <f>IF($AG308="","",IF($AG308&lt;=1200,IF(INDEX(对接源_01水果!$K$4:$K$1203,$AG308)=0,"",INDEX(对接源_01水果!$K$4:$K$1203,$AG308)),IF(INDEX(对接源_02物料!$K$4:$K$1203,$AG308-1200)=0,"",INDEX(对接源_02物料!$K$4:$K$1203,$AG308-1200))))</f>
        <v/>
      </c>
      <c r="I308" s="53" t="str">
        <f>IF($AG308="","",IF($AG308&lt;=1200,IF(INDEX(对接源_01水果!$L$4:$L$1203,$AG308)=0,"",INDEX(对接源_01水果!$L$4:$L$1203,$AG308)),IF(INDEX(对接源_02物料!$L$4:$L$1203,$AG308-1200)=0,"",INDEX(对接源_02物料!$L$4:$L$1203,$AG308-1200))))</f>
        <v/>
      </c>
      <c r="J308" s="56" t="str">
        <f>IF($AG308="","",IF($AG308&lt;=1200,IF(INDEX(对接源_01水果!$M$4:$M$1203,$AG308)=0,"",INDEX(对接源_01水果!$M$4:$M$1203,$AG308)),IF(INDEX(对接源_02物料!$M$4:$M$1203,$AG308-1200)=0,"",INDEX(对接源_02物料!$M$4:$M$1203,$AG308-1200))))</f>
        <v/>
      </c>
      <c r="AG308" s="2" t="str">
        <f>IFERROR(MATCH(97,_自动清单!$AE$4:$AE$2403,0),"")</f>
        <v/>
      </c>
    </row>
    <row r="309" ht="18" customHeight="1" spans="1:33">
      <c r="A309" s="87" t="str">
        <f>IF($AG309="","",IF($AG309&lt;=1200,IF(INDEX(对接源_01水果!$B$4:$B$1203,$AG309)=0,"",INDEX(对接源_01水果!$B$4:$B$1203,$AG309)),IF(INDEX(对接源_02物料!$B$4:$B$1203,$AG309-1200)=0,"",INDEX(对接源_02物料!$B$4:$B$1203,$AG309-1200))))</f>
        <v/>
      </c>
      <c r="B309" s="88" t="str">
        <f>IF($AG309="","",IF($AG309&lt;=1200,IF(INDEX(对接源_01水果!$E$4:$E$1203,$AG309)=0,"",INDEX(对接源_01水果!$E$4:$E$1203,$AG309)),IF(INDEX(对接源_02物料!$E$4:$E$1203,$AG309-1200)=0,"",INDEX(对接源_02物料!$E$4:$E$1203,$AG309-1200))))</f>
        <v/>
      </c>
      <c r="C309" s="88" t="str">
        <f>IF($AG309="","",IF($AG309&lt;=1200,IF(INDEX(对接源_01水果!$F$4:$F$1203,$AG309)=0,"",INDEX(对接源_01水果!$F$4:$F$1203,$AG309)),IF(INDEX(对接源_02物料!$F$4:$F$1203,$AG309-1200)=0,"",INDEX(对接源_02物料!$F$4:$F$1203,$AG309-1200))))</f>
        <v/>
      </c>
      <c r="D309" s="88" t="str">
        <f>IF($AG309="","",IF($AG309&lt;=1200,IF(INDEX(对接源_01水果!$G$4:$G$1203,$AG309)=0,"",INDEX(对接源_01水果!$G$4:$G$1203,$AG309)),IF(INDEX(对接源_02物料!$G$4:$G$1203,$AG309-1200)=0,"",INDEX(对接源_02物料!$G$4:$G$1203,$AG309-1200))))</f>
        <v/>
      </c>
      <c r="E309" s="89" t="str">
        <f>IF($AG309="","",IF($AG309&lt;=1200,IF(INDEX(对接源_01水果!$H$4:$H$1203,$AG309)=0,"",INDEX(对接源_01水果!$H$4:$H$1203,$AG309)),IF(INDEX(对接源_02物料!$H$4:$H$1203,$AG309-1200)=0,"",INDEX(对接源_02物料!$H$4:$H$1203,$AG309-1200))))</f>
        <v/>
      </c>
      <c r="F309" s="88" t="str">
        <f>IF($AG309="","",IF($AG309&lt;=1200,IF(INDEX(对接源_01水果!$I$4:$I$1203,$AG309)=0,"",INDEX(对接源_01水果!$I$4:$I$1203,$AG309)),IF(INDEX(对接源_02物料!$I$4:$I$1203,$AG309-1200)=0,"",INDEX(对接源_02物料!$I$4:$I$1203,$AG309-1200))))</f>
        <v/>
      </c>
      <c r="G309" s="90" t="str">
        <f>IF($AG309="","",IF($AG309&lt;=1200,IF(INDEX(对接源_01水果!$J$4:$J$1203,$AG309)=0,"",INDEX(对接源_01水果!$J$4:$J$1203,$AG309)),IF(INDEX(对接源_02物料!$J$4:$J$1203,$AG309-1200)=0,"",INDEX(对接源_02物料!$J$4:$J$1203,$AG309-1200))))</f>
        <v/>
      </c>
      <c r="H309" s="90" t="str">
        <f>IF($AG309="","",IF($AG309&lt;=1200,IF(INDEX(对接源_01水果!$K$4:$K$1203,$AG309)=0,"",INDEX(对接源_01水果!$K$4:$K$1203,$AG309)),IF(INDEX(对接源_02物料!$K$4:$K$1203,$AG309-1200)=0,"",INDEX(对接源_02物料!$K$4:$K$1203,$AG309-1200))))</f>
        <v/>
      </c>
      <c r="I309" s="88" t="str">
        <f>IF($AG309="","",IF($AG309&lt;=1200,IF(INDEX(对接源_01水果!$L$4:$L$1203,$AG309)=0,"",INDEX(对接源_01水果!$L$4:$L$1203,$AG309)),IF(INDEX(对接源_02物料!$L$4:$L$1203,$AG309-1200)=0,"",INDEX(对接源_02物料!$L$4:$L$1203,$AG309-1200))))</f>
        <v/>
      </c>
      <c r="J309" s="91" t="str">
        <f>IF($AG309="","",IF($AG309&lt;=1200,IF(INDEX(对接源_01水果!$M$4:$M$1203,$AG309)=0,"",INDEX(对接源_01水果!$M$4:$M$1203,$AG309)),IF(INDEX(对接源_02物料!$M$4:$M$1203,$AG309-1200)=0,"",INDEX(对接源_02物料!$M$4:$M$1203,$AG309-1200))))</f>
        <v/>
      </c>
      <c r="AG309" s="2" t="str">
        <f>IFERROR(MATCH(98,_自动清单!$AE$4:$AE$2403,0),"")</f>
        <v/>
      </c>
    </row>
    <row r="310" ht="18" customHeight="1" spans="1:33">
      <c r="A310" s="52" t="str">
        <f>IF($AG310="","",IF($AG310&lt;=1200,IF(INDEX(对接源_01水果!$B$4:$B$1203,$AG310)=0,"",INDEX(对接源_01水果!$B$4:$B$1203,$AG310)),IF(INDEX(对接源_02物料!$B$4:$B$1203,$AG310-1200)=0,"",INDEX(对接源_02物料!$B$4:$B$1203,$AG310-1200))))</f>
        <v/>
      </c>
      <c r="B310" s="53" t="str">
        <f>IF($AG310="","",IF($AG310&lt;=1200,IF(INDEX(对接源_01水果!$E$4:$E$1203,$AG310)=0,"",INDEX(对接源_01水果!$E$4:$E$1203,$AG310)),IF(INDEX(对接源_02物料!$E$4:$E$1203,$AG310-1200)=0,"",INDEX(对接源_02物料!$E$4:$E$1203,$AG310-1200))))</f>
        <v/>
      </c>
      <c r="C310" s="53" t="str">
        <f>IF($AG310="","",IF($AG310&lt;=1200,IF(INDEX(对接源_01水果!$F$4:$F$1203,$AG310)=0,"",INDEX(对接源_01水果!$F$4:$F$1203,$AG310)),IF(INDEX(对接源_02物料!$F$4:$F$1203,$AG310-1200)=0,"",INDEX(对接源_02物料!$F$4:$F$1203,$AG310-1200))))</f>
        <v/>
      </c>
      <c r="D310" s="53" t="str">
        <f>IF($AG310="","",IF($AG310&lt;=1200,IF(INDEX(对接源_01水果!$G$4:$G$1203,$AG310)=0,"",INDEX(对接源_01水果!$G$4:$G$1203,$AG310)),IF(INDEX(对接源_02物料!$G$4:$G$1203,$AG310-1200)=0,"",INDEX(对接源_02物料!$G$4:$G$1203,$AG310-1200))))</f>
        <v/>
      </c>
      <c r="E310" s="54" t="str">
        <f>IF($AG310="","",IF($AG310&lt;=1200,IF(INDEX(对接源_01水果!$H$4:$H$1203,$AG310)=0,"",INDEX(对接源_01水果!$H$4:$H$1203,$AG310)),IF(INDEX(对接源_02物料!$H$4:$H$1203,$AG310-1200)=0,"",INDEX(对接源_02物料!$H$4:$H$1203,$AG310-1200))))</f>
        <v/>
      </c>
      <c r="F310" s="53" t="str">
        <f>IF($AG310="","",IF($AG310&lt;=1200,IF(INDEX(对接源_01水果!$I$4:$I$1203,$AG310)=0,"",INDEX(对接源_01水果!$I$4:$I$1203,$AG310)),IF(INDEX(对接源_02物料!$I$4:$I$1203,$AG310-1200)=0,"",INDEX(对接源_02物料!$I$4:$I$1203,$AG310-1200))))</f>
        <v/>
      </c>
      <c r="G310" s="55" t="str">
        <f>IF($AG310="","",IF($AG310&lt;=1200,IF(INDEX(对接源_01水果!$J$4:$J$1203,$AG310)=0,"",INDEX(对接源_01水果!$J$4:$J$1203,$AG310)),IF(INDEX(对接源_02物料!$J$4:$J$1203,$AG310-1200)=0,"",INDEX(对接源_02物料!$J$4:$J$1203,$AG310-1200))))</f>
        <v/>
      </c>
      <c r="H310" s="55" t="str">
        <f>IF($AG310="","",IF($AG310&lt;=1200,IF(INDEX(对接源_01水果!$K$4:$K$1203,$AG310)=0,"",INDEX(对接源_01水果!$K$4:$K$1203,$AG310)),IF(INDEX(对接源_02物料!$K$4:$K$1203,$AG310-1200)=0,"",INDEX(对接源_02物料!$K$4:$K$1203,$AG310-1200))))</f>
        <v/>
      </c>
      <c r="I310" s="53" t="str">
        <f>IF($AG310="","",IF($AG310&lt;=1200,IF(INDEX(对接源_01水果!$L$4:$L$1203,$AG310)=0,"",INDEX(对接源_01水果!$L$4:$L$1203,$AG310)),IF(INDEX(对接源_02物料!$L$4:$L$1203,$AG310-1200)=0,"",INDEX(对接源_02物料!$L$4:$L$1203,$AG310-1200))))</f>
        <v/>
      </c>
      <c r="J310" s="56" t="str">
        <f>IF($AG310="","",IF($AG310&lt;=1200,IF(INDEX(对接源_01水果!$M$4:$M$1203,$AG310)=0,"",INDEX(对接源_01水果!$M$4:$M$1203,$AG310)),IF(INDEX(对接源_02物料!$M$4:$M$1203,$AG310-1200)=0,"",INDEX(对接源_02物料!$M$4:$M$1203,$AG310-1200))))</f>
        <v/>
      </c>
      <c r="AG310" s="2" t="str">
        <f>IFERROR(MATCH(99,_自动清单!$AE$4:$AE$2403,0),"")</f>
        <v/>
      </c>
    </row>
    <row r="311" ht="18" customHeight="1" spans="1:33">
      <c r="A311" s="87" t="str">
        <f>IF($AG311="","",IF($AG311&lt;=1200,IF(INDEX(对接源_01水果!$B$4:$B$1203,$AG311)=0,"",INDEX(对接源_01水果!$B$4:$B$1203,$AG311)),IF(INDEX(对接源_02物料!$B$4:$B$1203,$AG311-1200)=0,"",INDEX(对接源_02物料!$B$4:$B$1203,$AG311-1200))))</f>
        <v/>
      </c>
      <c r="B311" s="88" t="str">
        <f>IF($AG311="","",IF($AG311&lt;=1200,IF(INDEX(对接源_01水果!$E$4:$E$1203,$AG311)=0,"",INDEX(对接源_01水果!$E$4:$E$1203,$AG311)),IF(INDEX(对接源_02物料!$E$4:$E$1203,$AG311-1200)=0,"",INDEX(对接源_02物料!$E$4:$E$1203,$AG311-1200))))</f>
        <v/>
      </c>
      <c r="C311" s="88" t="str">
        <f>IF($AG311="","",IF($AG311&lt;=1200,IF(INDEX(对接源_01水果!$F$4:$F$1203,$AG311)=0,"",INDEX(对接源_01水果!$F$4:$F$1203,$AG311)),IF(INDEX(对接源_02物料!$F$4:$F$1203,$AG311-1200)=0,"",INDEX(对接源_02物料!$F$4:$F$1203,$AG311-1200))))</f>
        <v/>
      </c>
      <c r="D311" s="88" t="str">
        <f>IF($AG311="","",IF($AG311&lt;=1200,IF(INDEX(对接源_01水果!$G$4:$G$1203,$AG311)=0,"",INDEX(对接源_01水果!$G$4:$G$1203,$AG311)),IF(INDEX(对接源_02物料!$G$4:$G$1203,$AG311-1200)=0,"",INDEX(对接源_02物料!$G$4:$G$1203,$AG311-1200))))</f>
        <v/>
      </c>
      <c r="E311" s="89" t="str">
        <f>IF($AG311="","",IF($AG311&lt;=1200,IF(INDEX(对接源_01水果!$H$4:$H$1203,$AG311)=0,"",INDEX(对接源_01水果!$H$4:$H$1203,$AG311)),IF(INDEX(对接源_02物料!$H$4:$H$1203,$AG311-1200)=0,"",INDEX(对接源_02物料!$H$4:$H$1203,$AG311-1200))))</f>
        <v/>
      </c>
      <c r="F311" s="88" t="str">
        <f>IF($AG311="","",IF($AG311&lt;=1200,IF(INDEX(对接源_01水果!$I$4:$I$1203,$AG311)=0,"",INDEX(对接源_01水果!$I$4:$I$1203,$AG311)),IF(INDEX(对接源_02物料!$I$4:$I$1203,$AG311-1200)=0,"",INDEX(对接源_02物料!$I$4:$I$1203,$AG311-1200))))</f>
        <v/>
      </c>
      <c r="G311" s="90" t="str">
        <f>IF($AG311="","",IF($AG311&lt;=1200,IF(INDEX(对接源_01水果!$J$4:$J$1203,$AG311)=0,"",INDEX(对接源_01水果!$J$4:$J$1203,$AG311)),IF(INDEX(对接源_02物料!$J$4:$J$1203,$AG311-1200)=0,"",INDEX(对接源_02物料!$J$4:$J$1203,$AG311-1200))))</f>
        <v/>
      </c>
      <c r="H311" s="90" t="str">
        <f>IF($AG311="","",IF($AG311&lt;=1200,IF(INDEX(对接源_01水果!$K$4:$K$1203,$AG311)=0,"",INDEX(对接源_01水果!$K$4:$K$1203,$AG311)),IF(INDEX(对接源_02物料!$K$4:$K$1203,$AG311-1200)=0,"",INDEX(对接源_02物料!$K$4:$K$1203,$AG311-1200))))</f>
        <v/>
      </c>
      <c r="I311" s="88" t="str">
        <f>IF($AG311="","",IF($AG311&lt;=1200,IF(INDEX(对接源_01水果!$L$4:$L$1203,$AG311)=0,"",INDEX(对接源_01水果!$L$4:$L$1203,$AG311)),IF(INDEX(对接源_02物料!$L$4:$L$1203,$AG311-1200)=0,"",INDEX(对接源_02物料!$L$4:$L$1203,$AG311-1200))))</f>
        <v/>
      </c>
      <c r="J311" s="91" t="str">
        <f>IF($AG311="","",IF($AG311&lt;=1200,IF(INDEX(对接源_01水果!$M$4:$M$1203,$AG311)=0,"",INDEX(对接源_01水果!$M$4:$M$1203,$AG311)),IF(INDEX(对接源_02物料!$M$4:$M$1203,$AG311-1200)=0,"",INDEX(对接源_02物料!$M$4:$M$1203,$AG311-1200))))</f>
        <v/>
      </c>
      <c r="AG311" s="2" t="str">
        <f>IFERROR(MATCH(100,_自动清单!$AE$4:$AE$2403,0),"")</f>
        <v/>
      </c>
    </row>
  </sheetData>
  <mergeCells count="19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L8:M8"/>
    <mergeCell ref="L9:M9"/>
    <mergeCell ref="L10:N10"/>
    <mergeCell ref="L32:N32"/>
    <mergeCell ref="A127:G127"/>
    <mergeCell ref="H127:J127"/>
    <mergeCell ref="A210:G210"/>
    <mergeCell ref="H210:J210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210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C13" sqref="C13"/>
    </sheetView>
  </sheetViews>
  <sheetFormatPr defaultColWidth="8.54166666666667" defaultRowHeight="13.5"/>
  <cols>
    <col min="1" max="1" width="12" style="3" customWidth="1"/>
    <col min="2" max="2" width="13" style="3" customWidth="1"/>
    <col min="3" max="3" width="10" style="3" customWidth="1"/>
    <col min="4" max="4" width="12" style="3" customWidth="1"/>
    <col min="5" max="5" width="9" style="3" customWidth="1"/>
    <col min="6" max="6" width="7" style="3" customWidth="1"/>
    <col min="7" max="10" width="11" style="3" customWidth="1"/>
    <col min="11" max="11" width="15" style="3" customWidth="1"/>
    <col min="12" max="12" width="11" style="3" customWidth="1"/>
    <col min="13" max="13" width="16" style="3" customWidth="1"/>
    <col min="14" max="14" width="3" style="3" customWidth="1"/>
    <col min="15" max="15" width="18" style="3" customWidth="1"/>
    <col min="16" max="16" width="3" style="3" customWidth="1"/>
    <col min="17" max="18" width="14" style="3" customWidth="1"/>
    <col min="19" max="19" width="6" style="3" hidden="1" customWidth="1"/>
    <col min="20" max="20" width="12" style="3" hidden="1" customWidth="1"/>
  </cols>
  <sheetData>
    <row r="1" ht="25.5" customHeight="1" spans="1:20">
      <c r="A1" s="57" t="s">
        <v>69</v>
      </c>
      <c r="B1" s="57"/>
      <c r="C1" s="57"/>
      <c r="D1" s="57"/>
      <c r="E1" s="57"/>
      <c r="F1" s="57"/>
      <c r="G1" s="57"/>
      <c r="I1" s="58" t="s">
        <v>70</v>
      </c>
      <c r="T1" s="59">
        <f>IF($F$2="",DATE(1900,1,1),$F$2)</f>
        <v>1</v>
      </c>
    </row>
    <row r="2" ht="16.5" customHeight="1" spans="1:20">
      <c r="A2" s="60" t="s">
        <v>143</v>
      </c>
      <c r="B2" s="61" t="s">
        <v>144</v>
      </c>
      <c r="E2" s="60" t="s">
        <v>73</v>
      </c>
      <c r="F2" s="62"/>
      <c r="G2" s="60" t="s">
        <v>74</v>
      </c>
      <c r="H2" s="62"/>
      <c r="N2" s="23"/>
      <c r="O2" s="23" t="s">
        <v>145</v>
      </c>
      <c r="T2" s="59">
        <f>IF($H$2="",DATE(2999,12,31),$H$2)</f>
        <v>401768</v>
      </c>
    </row>
    <row r="3" ht="25.5" customHeight="1" spans="1:20">
      <c r="A3" s="63" t="s">
        <v>146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4" t="s">
        <v>147</v>
      </c>
      <c r="P3" s="65"/>
      <c r="Q3" s="65">
        <f>ROUND(SUMIFS(对接源_01水果!$H$4:$H$1203,对接源_01水果!$AC$4:$AC$1203,$B$2,对接源_01水果!$B$4:$B$1203,"&gt;="&amp;$T$1,对接源_01水果!$B$4:$B$1203,"&lt;="&amp;$T$2,对接源_01水果!$K$4:$K$1203,"&gt;0"),0)</f>
        <v>1</v>
      </c>
    </row>
    <row r="4" ht="15" customHeight="1" spans="1:20">
      <c r="A4" s="64" t="s">
        <v>148</v>
      </c>
      <c r="B4" s="64"/>
      <c r="C4" s="64"/>
      <c r="D4" s="64"/>
      <c r="E4" s="66">
        <f>ROUND(N($Q$7)-N($Q$8),2)</f>
        <v>0</v>
      </c>
      <c r="F4" s="66"/>
      <c r="G4" s="66"/>
      <c r="H4" s="66"/>
      <c r="N4" s="64"/>
      <c r="O4" s="64" t="s">
        <v>149</v>
      </c>
      <c r="P4" s="67"/>
      <c r="Q4" s="67">
        <f>ROUND(SUMIFS(对接源_01水果!$AI$4:$AI$1203,对接源_01水果!$AC$4:$AC$1203,$B$2,对接源_01水果!$B$4:$B$1203,"&gt;="&amp;$T$1,对接源_01水果!$B$4:$B$1203,"&lt;="&amp;$T$2,对接源_01水果!$K$4:$K$1203,"&gt;0"),2)</f>
        <v>40</v>
      </c>
    </row>
    <row r="5" ht="30" customHeight="1" spans="1:20">
      <c r="A5" s="68" t="s">
        <v>80</v>
      </c>
      <c r="B5" s="68" t="s">
        <v>82</v>
      </c>
      <c r="C5" s="68" t="s">
        <v>125</v>
      </c>
      <c r="D5" s="68" t="s">
        <v>126</v>
      </c>
      <c r="E5" s="68" t="s">
        <v>98</v>
      </c>
      <c r="F5" s="68" t="s">
        <v>113</v>
      </c>
      <c r="G5" s="68" t="s">
        <v>150</v>
      </c>
      <c r="H5" s="68" t="s">
        <v>149</v>
      </c>
      <c r="I5" s="68" t="s">
        <v>151</v>
      </c>
      <c r="J5" s="68" t="s">
        <v>152</v>
      </c>
      <c r="K5" s="68" t="s">
        <v>153</v>
      </c>
      <c r="L5" s="68" t="s">
        <v>142</v>
      </c>
      <c r="M5" s="68" t="s">
        <v>88</v>
      </c>
      <c r="N5" s="64"/>
      <c r="O5" s="64" t="s">
        <v>154</v>
      </c>
      <c r="P5" s="67"/>
      <c r="Q5" s="67">
        <f>ROUND(SUMIFS(对接源_01水果!$AE$4:$AE$1203,对接源_01水果!$AC$4:$AC$1203,$B$2,对接源_01水果!$B$4:$B$1203,"&gt;="&amp;$T$1,对接源_01水果!$B$4:$B$1203,"&lt;="&amp;$T$2,对接源_01水果!$K$4:$K$1203,"&gt;0"),2)</f>
        <v>0</v>
      </c>
    </row>
    <row r="6" ht="15.75" customHeight="1" spans="1:20">
      <c r="A6" s="69" t="str">
        <f>IF($S6="","",IF(INDEX(对接源_01水果!$B$4:$B$1203,$S6)=0,"",INDEX(对接源_01水果!$B$4:$B$1203,$S6)))</f>
        <v/>
      </c>
      <c r="B6" s="70" t="str">
        <f>IF($S6="","",IF(INDEX(对接源_01水果!$E$4:$E$1203,$S6)=0,"",INDEX(对接源_01水果!$E$4:$E$1203,$S6)))</f>
        <v/>
      </c>
      <c r="C6" s="70" t="str">
        <f>IF($S6="","",IF(INDEX(对接源_01水果!$F$4:$F$1203,$S6)=0,"",INDEX(对接源_01水果!$F$4:$F$1203,$S6)))</f>
        <v/>
      </c>
      <c r="D6" s="70" t="str">
        <f>IF($S6="","",IF(INDEX(对接源_01水果!$G$4:$G$1203,$S6)=0,"",INDEX(对接源_01水果!$G$4:$G$1203,$S6)))</f>
        <v/>
      </c>
      <c r="E6" s="71" t="str">
        <f>IF($S6="","",IF(INDEX(对接源_01水果!$H$4:$H$1203,$S6)=0,"",INDEX(对接源_01水果!$H$4:$H$1203,$S6)))</f>
        <v/>
      </c>
      <c r="F6" s="70" t="str">
        <f>IF($S6="","",IF(INDEX(对接源_01水果!$I$4:$I$1203,$S6)=0,"",INDEX(对接源_01水果!$I$4:$I$1203,$S6)))</f>
        <v/>
      </c>
      <c r="G6" s="72" t="str">
        <f>IF($S6="","",IF(INDEX(对接源_01水果!$AD$4:$AD$1203,$S6)=0,"",INDEX(对接源_01水果!$AD$4:$AD$1203,$S6)))</f>
        <v/>
      </c>
      <c r="H6" s="72" t="str">
        <f>IF($S6="","",IF(INDEX(对接源_01水果!$AI$4:$AI$1203,$S6)=0,"",INDEX(对接源_01水果!$AI$4:$AI$1203,$S6)))</f>
        <v/>
      </c>
      <c r="I6" s="72" t="str">
        <f>IF($S6="","",IF(INDEX(对接源_01水果!$AE$4:$AE$1203,$S6)=0,"",INDEX(对接源_01水果!$AE$4:$AE$1203,$S6)))</f>
        <v/>
      </c>
      <c r="J6" s="72" t="str">
        <f>IF($S6="","",IF(INDEX(对接源_01水果!$AF$4:$AF$1203,$S6)=0,"",INDEX(对接源_01水果!$AF$4:$AF$1203,$S6)))</f>
        <v/>
      </c>
      <c r="K6" s="72" t="str">
        <f>IF($S6="","",IF(INDEX(对接源_01水果!$K$4:$K$1203,$S6)=0,"",INDEX(对接源_01水果!$K$4:$K$1203,$S6)))</f>
        <v/>
      </c>
      <c r="L6" s="70" t="str">
        <f>IF($S6="","",IF(INDEX(对接源_01水果!$L$4:$L$1203,$S6)=0,"",INDEX(对接源_01水果!$L$4:$L$1203,$S6)))</f>
        <v/>
      </c>
      <c r="M6" s="73" t="str">
        <f>IF($S6="","",IF(INDEX(对接源_01水果!$M$4:$M$1203,$S6)=0,"",INDEX(对接源_01水果!$M$4:$M$1203,$S6)))</f>
        <v/>
      </c>
      <c r="N6" s="64"/>
      <c r="O6" s="64" t="s">
        <v>155</v>
      </c>
      <c r="P6" s="67"/>
      <c r="Q6" s="67">
        <f>ROUND(SUMIFS(对接源_01水果!$AF$4:$AF$1203,对接源_01水果!$AC$4:$AC$1203,$B$2,对接源_01水果!$B$4:$B$1203,"&gt;="&amp;$T$1,对接源_01水果!$B$4:$B$1203,"&lt;="&amp;$T$2,对接源_01水果!$K$4:$K$1203,"&gt;0"),2)</f>
        <v>0</v>
      </c>
      <c r="S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" ht="15.75" customHeight="1" spans="1:20">
      <c r="A7" s="70" t="str">
        <f>IF($S7="","",IF(INDEX(对接源_01水果!$B$4:$B$1203,$S7)=0,"",INDEX(对接源_01水果!$B$4:$B$1203,$S7)))</f>
        <v/>
      </c>
      <c r="B7" s="70" t="str">
        <f>IF($S7="","",IF(INDEX(对接源_01水果!$E$4:$E$1203,$S7)=0,"",INDEX(对接源_01水果!$E$4:$E$1203,$S7)))</f>
        <v/>
      </c>
      <c r="C7" s="70" t="str">
        <f>IF($S7="","",IF(INDEX(对接源_01水果!$F$4:$F$1203,$S7)=0,"",INDEX(对接源_01水果!$F$4:$F$1203,$S7)))</f>
        <v/>
      </c>
      <c r="D7" s="70" t="str">
        <f>IF($S7="","",IF(INDEX(对接源_01水果!$G$4:$G$1203,$S7)=0,"",INDEX(对接源_01水果!$G$4:$G$1203,$S7)))</f>
        <v/>
      </c>
      <c r="E7" s="70" t="str">
        <f>IF($S7="","",IF(INDEX(对接源_01水果!$H$4:$H$1203,$S7)=0,"",INDEX(对接源_01水果!$H$4:$H$1203,$S7)))</f>
        <v/>
      </c>
      <c r="F7" s="70" t="str">
        <f>IF($S7="","",IF(INDEX(对接源_01水果!$I$4:$I$1203,$S7)=0,"",INDEX(对接源_01水果!$I$4:$I$1203,$S7)))</f>
        <v/>
      </c>
      <c r="G7" s="72" t="str">
        <f>IF($S7="","",IF(INDEX(对接源_01水果!$AD$4:$AD$1203,$S7)=0,"",INDEX(对接源_01水果!$AD$4:$AD$1203,$S7)))</f>
        <v/>
      </c>
      <c r="H7" s="72" t="str">
        <f>IF($S7="","",IF(INDEX(对接源_01水果!$AI$4:$AI$1203,$S7)=0,"",INDEX(对接源_01水果!$AI$4:$AI$1203,$S7)))</f>
        <v/>
      </c>
      <c r="I7" s="72" t="str">
        <f>IF($S7="","",IF(INDEX(对接源_01水果!$AE$4:$AE$1203,$S7)=0,"",INDEX(对接源_01水果!$AE$4:$AE$1203,$S7)))</f>
        <v/>
      </c>
      <c r="J7" s="72" t="str">
        <f>IF($S7="","",IF(INDEX(对接源_01水果!$AF$4:$AF$1203,$S7)=0,"",INDEX(对接源_01水果!$AF$4:$AF$1203,$S7)))</f>
        <v/>
      </c>
      <c r="K7" s="72" t="str">
        <f>IF($S7="","",IF(INDEX(对接源_01水果!$K$4:$K$1203,$S7)=0,"",INDEX(对接源_01水果!$K$4:$K$1203,$S7)))</f>
        <v/>
      </c>
      <c r="L7" s="70" t="str">
        <f>IF($S7="","",IF(INDEX(对接源_01水果!$L$4:$L$1203,$S7)=0,"",INDEX(对接源_01水果!$L$4:$L$1203,$S7)))</f>
        <v/>
      </c>
      <c r="M7" s="73" t="str">
        <f>IF($S7="","",IF(INDEX(对接源_01水果!$M$4:$M$1203,$S7)=0,"",INDEX(对接源_01水果!$M$4:$M$1203,$S7)))</f>
        <v/>
      </c>
      <c r="N7" s="64"/>
      <c r="O7" s="64" t="s">
        <v>153</v>
      </c>
      <c r="P7" s="67"/>
      <c r="Q7" s="67">
        <f>ROUND(SUMIFS(对接源_01水果!$K$4:$K$1203,对接源_01水果!$AC$4:$AC$1203,$B$2,对接源_01水果!$B$4:$B$1203,"&gt;="&amp;$T$1,对接源_01水果!$B$4:$B$1203,"&lt;="&amp;$T$2,对接源_01水果!$K$4:$K$1203,"&gt;0"),2)</f>
        <v>40</v>
      </c>
      <c r="S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" ht="15.75" customHeight="1" spans="1:20">
      <c r="A8" s="70" t="str">
        <f>IF($S8="","",IF(INDEX(对接源_01水果!$B$4:$B$1203,$S8)=0,"",INDEX(对接源_01水果!$B$4:$B$1203,$S8)))</f>
        <v/>
      </c>
      <c r="B8" s="70" t="str">
        <f>IF($S8="","",IF(INDEX(对接源_01水果!$E$4:$E$1203,$S8)=0,"",INDEX(对接源_01水果!$E$4:$E$1203,$S8)))</f>
        <v/>
      </c>
      <c r="C8" s="70" t="str">
        <f>IF($S8="","",IF(INDEX(对接源_01水果!$F$4:$F$1203,$S8)=0,"",INDEX(对接源_01水果!$F$4:$F$1203,$S8)))</f>
        <v/>
      </c>
      <c r="D8" s="70" t="str">
        <f>IF($S8="","",IF(INDEX(对接源_01水果!$G$4:$G$1203,$S8)=0,"",INDEX(对接源_01水果!$G$4:$G$1203,$S8)))</f>
        <v/>
      </c>
      <c r="E8" s="70" t="str">
        <f>IF($S8="","",IF(INDEX(对接源_01水果!$H$4:$H$1203,$S8)=0,"",INDEX(对接源_01水果!$H$4:$H$1203,$S8)))</f>
        <v/>
      </c>
      <c r="F8" s="70" t="str">
        <f>IF($S8="","",IF(INDEX(对接源_01水果!$I$4:$I$1203,$S8)=0,"",INDEX(对接源_01水果!$I$4:$I$1203,$S8)))</f>
        <v/>
      </c>
      <c r="G8" s="72" t="str">
        <f>IF($S8="","",IF(INDEX(对接源_01水果!$AD$4:$AD$1203,$S8)=0,"",INDEX(对接源_01水果!$AD$4:$AD$1203,$S8)))</f>
        <v/>
      </c>
      <c r="H8" s="72" t="str">
        <f>IF($S8="","",IF(INDEX(对接源_01水果!$AI$4:$AI$1203,$S8)=0,"",INDEX(对接源_01水果!$AI$4:$AI$1203,$S8)))</f>
        <v/>
      </c>
      <c r="I8" s="72" t="str">
        <f>IF($S8="","",IF(INDEX(对接源_01水果!$AE$4:$AE$1203,$S8)=0,"",INDEX(对接源_01水果!$AE$4:$AE$1203,$S8)))</f>
        <v/>
      </c>
      <c r="J8" s="72" t="str">
        <f>IF($S8="","",IF(INDEX(对接源_01水果!$AF$4:$AF$1203,$S8)=0,"",INDEX(对接源_01水果!$AF$4:$AF$1203,$S8)))</f>
        <v/>
      </c>
      <c r="K8" s="72" t="str">
        <f>IF($S8="","",IF(INDEX(对接源_01水果!$K$4:$K$1203,$S8)=0,"",INDEX(对接源_01水果!$K$4:$K$1203,$S8)))</f>
        <v/>
      </c>
      <c r="L8" s="70" t="str">
        <f>IF($S8="","",IF(INDEX(对接源_01水果!$L$4:$L$1203,$S8)=0,"",INDEX(对接源_01水果!$L$4:$L$1203,$S8)))</f>
        <v/>
      </c>
      <c r="M8" s="73" t="str">
        <f>IF($S8="","",IF(INDEX(对接源_01水果!$M$4:$M$1203,$S8)=0,"",INDEX(对接源_01水果!$M$4:$M$1203,$S8)))</f>
        <v/>
      </c>
      <c r="N8" s="64"/>
      <c r="O8" s="64" t="s">
        <v>118</v>
      </c>
      <c r="P8" s="67"/>
      <c r="Q8" s="67">
        <f>ROUND(SUMIFS(对接源_01水果!$K$4:$K$1203,对接源_01水果!$AC$4:$AC$1203,$B$2,对接源_01水果!$B$4:$B$1203,"&gt;="&amp;$T$1,对接源_01水果!$B$4:$B$1203,"&lt;="&amp;$T$2,对接源_01水果!$K$4:$K$1203,"&gt;0",对接源_01水果!$L$4:$L$1203,"已收讫"),2)</f>
        <v>40</v>
      </c>
      <c r="S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" ht="15.75" customHeight="1" spans="1:20">
      <c r="A9" s="70" t="str">
        <f>IF($S9="","",IF(INDEX(对接源_01水果!$B$4:$B$1203,$S9)=0,"",INDEX(对接源_01水果!$B$4:$B$1203,$S9)))</f>
        <v/>
      </c>
      <c r="B9" s="70" t="str">
        <f>IF($S9="","",IF(INDEX(对接源_01水果!$E$4:$E$1203,$S9)=0,"",INDEX(对接源_01水果!$E$4:$E$1203,$S9)))</f>
        <v/>
      </c>
      <c r="C9" s="70" t="str">
        <f>IF($S9="","",IF(INDEX(对接源_01水果!$F$4:$F$1203,$S9)=0,"",INDEX(对接源_01水果!$F$4:$F$1203,$S9)))</f>
        <v/>
      </c>
      <c r="D9" s="70" t="str">
        <f>IF($S9="","",IF(INDEX(对接源_01水果!$G$4:$G$1203,$S9)=0,"",INDEX(对接源_01水果!$G$4:$G$1203,$S9)))</f>
        <v/>
      </c>
      <c r="E9" s="70" t="str">
        <f>IF($S9="","",IF(INDEX(对接源_01水果!$H$4:$H$1203,$S9)=0,"",INDEX(对接源_01水果!$H$4:$H$1203,$S9)))</f>
        <v/>
      </c>
      <c r="F9" s="70" t="str">
        <f>IF($S9="","",IF(INDEX(对接源_01水果!$I$4:$I$1203,$S9)=0,"",INDEX(对接源_01水果!$I$4:$I$1203,$S9)))</f>
        <v/>
      </c>
      <c r="G9" s="72" t="str">
        <f>IF($S9="","",IF(INDEX(对接源_01水果!$AD$4:$AD$1203,$S9)=0,"",INDEX(对接源_01水果!$AD$4:$AD$1203,$S9)))</f>
        <v/>
      </c>
      <c r="H9" s="72" t="str">
        <f>IF($S9="","",IF(INDEX(对接源_01水果!$AI$4:$AI$1203,$S9)=0,"",INDEX(对接源_01水果!$AI$4:$AI$1203,$S9)))</f>
        <v/>
      </c>
      <c r="I9" s="72" t="str">
        <f>IF($S9="","",IF(INDEX(对接源_01水果!$AE$4:$AE$1203,$S9)=0,"",INDEX(对接源_01水果!$AE$4:$AE$1203,$S9)))</f>
        <v/>
      </c>
      <c r="J9" s="72" t="str">
        <f>IF($S9="","",IF(INDEX(对接源_01水果!$AF$4:$AF$1203,$S9)=0,"",INDEX(对接源_01水果!$AF$4:$AF$1203,$S9)))</f>
        <v/>
      </c>
      <c r="K9" s="72" t="str">
        <f>IF($S9="","",IF(INDEX(对接源_01水果!$K$4:$K$1203,$S9)=0,"",INDEX(对接源_01水果!$K$4:$K$1203,$S9)))</f>
        <v/>
      </c>
      <c r="L9" s="70" t="str">
        <f>IF($S9="","",IF(INDEX(对接源_01水果!$L$4:$L$1203,$S9)=0,"",INDEX(对接源_01水果!$L$4:$L$1203,$S9)))</f>
        <v/>
      </c>
      <c r="M9" s="73" t="str">
        <f>IF($S9="","",IF(INDEX(对接源_01水果!$M$4:$M$1203,$S9)=0,"",INDEX(对接源_01水果!$M$4:$M$1203,$S9)))</f>
        <v/>
      </c>
      <c r="O9" s="64" t="s">
        <v>156</v>
      </c>
      <c r="Q9" s="67">
        <f>ROUND(N($Q$7)-N($Q$8),2)</f>
        <v>0</v>
      </c>
      <c r="S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" ht="15.75" customHeight="1" spans="1:20">
      <c r="A10" s="70" t="str">
        <f>IF($S10="","",IF(INDEX(对接源_01水果!$B$4:$B$1203,$S10)=0,"",INDEX(对接源_01水果!$B$4:$B$1203,$S10)))</f>
        <v/>
      </c>
      <c r="B10" s="70" t="str">
        <f>IF($S10="","",IF(INDEX(对接源_01水果!$E$4:$E$1203,$S10)=0,"",INDEX(对接源_01水果!$E$4:$E$1203,$S10)))</f>
        <v/>
      </c>
      <c r="C10" s="70" t="str">
        <f>IF($S10="","",IF(INDEX(对接源_01水果!$F$4:$F$1203,$S10)=0,"",INDEX(对接源_01水果!$F$4:$F$1203,$S10)))</f>
        <v/>
      </c>
      <c r="D10" s="70" t="str">
        <f>IF($S10="","",IF(INDEX(对接源_01水果!$G$4:$G$1203,$S10)=0,"",INDEX(对接源_01水果!$G$4:$G$1203,$S10)))</f>
        <v/>
      </c>
      <c r="E10" s="70" t="str">
        <f>IF($S10="","",IF(INDEX(对接源_01水果!$H$4:$H$1203,$S10)=0,"",INDEX(对接源_01水果!$H$4:$H$1203,$S10)))</f>
        <v/>
      </c>
      <c r="F10" s="70" t="str">
        <f>IF($S10="","",IF(INDEX(对接源_01水果!$I$4:$I$1203,$S10)=0,"",INDEX(对接源_01水果!$I$4:$I$1203,$S10)))</f>
        <v/>
      </c>
      <c r="G10" s="72" t="str">
        <f>IF($S10="","",IF(INDEX(对接源_01水果!$AD$4:$AD$1203,$S10)=0,"",INDEX(对接源_01水果!$AD$4:$AD$1203,$S10)))</f>
        <v/>
      </c>
      <c r="H10" s="72" t="str">
        <f>IF($S10="","",IF(INDEX(对接源_01水果!$AI$4:$AI$1203,$S10)=0,"",INDEX(对接源_01水果!$AI$4:$AI$1203,$S10)))</f>
        <v/>
      </c>
      <c r="I10" s="72" t="str">
        <f>IF($S10="","",IF(INDEX(对接源_01水果!$AE$4:$AE$1203,$S10)=0,"",INDEX(对接源_01水果!$AE$4:$AE$1203,$S10)))</f>
        <v/>
      </c>
      <c r="J10" s="72" t="str">
        <f>IF($S10="","",IF(INDEX(对接源_01水果!$AF$4:$AF$1203,$S10)=0,"",INDEX(对接源_01水果!$AF$4:$AF$1203,$S10)))</f>
        <v/>
      </c>
      <c r="K10" s="72" t="str">
        <f>IF($S10="","",IF(INDEX(对接源_01水果!$K$4:$K$1203,$S10)=0,"",INDEX(对接源_01水果!$K$4:$K$1203,$S10)))</f>
        <v/>
      </c>
      <c r="L10" s="70" t="str">
        <f>IF($S10="","",IF(INDEX(对接源_01水果!$L$4:$L$1203,$S10)=0,"",INDEX(对接源_01水果!$L$4:$L$1203,$S10)))</f>
        <v/>
      </c>
      <c r="M10" s="73" t="str">
        <f>IF($S10="","",IF(INDEX(对接源_01水果!$M$4:$M$1203,$S10)=0,"",INDEX(对接源_01水果!$M$4:$M$1203,$S10)))</f>
        <v/>
      </c>
      <c r="S1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" ht="15.75" customHeight="1" spans="1:20">
      <c r="A11" s="70" t="str">
        <f>IF($S11="","",IF(INDEX(对接源_01水果!$B$4:$B$1203,$S11)=0,"",INDEX(对接源_01水果!$B$4:$B$1203,$S11)))</f>
        <v/>
      </c>
      <c r="B11" s="70" t="str">
        <f>IF($S11="","",IF(INDEX(对接源_01水果!$E$4:$E$1203,$S11)=0,"",INDEX(对接源_01水果!$E$4:$E$1203,$S11)))</f>
        <v/>
      </c>
      <c r="C11" s="70" t="str">
        <f>IF($S11="","",IF(INDEX(对接源_01水果!$F$4:$F$1203,$S11)=0,"",INDEX(对接源_01水果!$F$4:$F$1203,$S11)))</f>
        <v/>
      </c>
      <c r="D11" s="70" t="str">
        <f>IF($S11="","",IF(INDEX(对接源_01水果!$G$4:$G$1203,$S11)=0,"",INDEX(对接源_01水果!$G$4:$G$1203,$S11)))</f>
        <v/>
      </c>
      <c r="E11" s="70" t="str">
        <f>IF($S11="","",IF(INDEX(对接源_01水果!$H$4:$H$1203,$S11)=0,"",INDEX(对接源_01水果!$H$4:$H$1203,$S11)))</f>
        <v/>
      </c>
      <c r="F11" s="70" t="str">
        <f>IF($S11="","",IF(INDEX(对接源_01水果!$I$4:$I$1203,$S11)=0,"",INDEX(对接源_01水果!$I$4:$I$1203,$S11)))</f>
        <v/>
      </c>
      <c r="G11" s="72" t="str">
        <f>IF($S11="","",IF(INDEX(对接源_01水果!$AD$4:$AD$1203,$S11)=0,"",INDEX(对接源_01水果!$AD$4:$AD$1203,$S11)))</f>
        <v/>
      </c>
      <c r="H11" s="72" t="str">
        <f>IF($S11="","",IF(INDEX(对接源_01水果!$AI$4:$AI$1203,$S11)=0,"",INDEX(对接源_01水果!$AI$4:$AI$1203,$S11)))</f>
        <v/>
      </c>
      <c r="I11" s="72" t="str">
        <f>IF($S11="","",IF(INDEX(对接源_01水果!$AE$4:$AE$1203,$S11)=0,"",INDEX(对接源_01水果!$AE$4:$AE$1203,$S11)))</f>
        <v/>
      </c>
      <c r="J11" s="72" t="str">
        <f>IF($S11="","",IF(INDEX(对接源_01水果!$AF$4:$AF$1203,$S11)=0,"",INDEX(对接源_01水果!$AF$4:$AF$1203,$S11)))</f>
        <v/>
      </c>
      <c r="K11" s="72" t="str">
        <f>IF($S11="","",IF(INDEX(对接源_01水果!$K$4:$K$1203,$S11)=0,"",INDEX(对接源_01水果!$K$4:$K$1203,$S11)))</f>
        <v/>
      </c>
      <c r="L11" s="70" t="str">
        <f>IF($S11="","",IF(INDEX(对接源_01水果!$L$4:$L$1203,$S11)=0,"",INDEX(对接源_01水果!$L$4:$L$1203,$S11)))</f>
        <v/>
      </c>
      <c r="M11" s="73" t="str">
        <f>IF($S11="","",IF(INDEX(对接源_01水果!$M$4:$M$1203,$S11)=0,"",INDEX(对接源_01水果!$M$4:$M$1203,$S11)))</f>
        <v/>
      </c>
      <c r="S1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" ht="15.75" customHeight="1" spans="1:20">
      <c r="A12" s="70" t="str">
        <f>IF($S12="","",IF(INDEX(对接源_01水果!$B$4:$B$1203,$S12)=0,"",INDEX(对接源_01水果!$B$4:$B$1203,$S12)))</f>
        <v/>
      </c>
      <c r="B12" s="70" t="str">
        <f>IF($S12="","",IF(INDEX(对接源_01水果!$E$4:$E$1203,$S12)=0,"",INDEX(对接源_01水果!$E$4:$E$1203,$S12)))</f>
        <v/>
      </c>
      <c r="C12" s="70" t="str">
        <f>IF($S12="","",IF(INDEX(对接源_01水果!$F$4:$F$1203,$S12)=0,"",INDEX(对接源_01水果!$F$4:$F$1203,$S12)))</f>
        <v/>
      </c>
      <c r="D12" s="70" t="str">
        <f>IF($S12="","",IF(INDEX(对接源_01水果!$G$4:$G$1203,$S12)=0,"",INDEX(对接源_01水果!$G$4:$G$1203,$S12)))</f>
        <v/>
      </c>
      <c r="E12" s="70" t="str">
        <f>IF($S12="","",IF(INDEX(对接源_01水果!$H$4:$H$1203,$S12)=0,"",INDEX(对接源_01水果!$H$4:$H$1203,$S12)))</f>
        <v/>
      </c>
      <c r="F12" s="70" t="str">
        <f>IF($S12="","",IF(INDEX(对接源_01水果!$I$4:$I$1203,$S12)=0,"",INDEX(对接源_01水果!$I$4:$I$1203,$S12)))</f>
        <v/>
      </c>
      <c r="G12" s="72" t="str">
        <f>IF($S12="","",IF(INDEX(对接源_01水果!$AD$4:$AD$1203,$S12)=0,"",INDEX(对接源_01水果!$AD$4:$AD$1203,$S12)))</f>
        <v/>
      </c>
      <c r="H12" s="72" t="str">
        <f>IF($S12="","",IF(INDEX(对接源_01水果!$AI$4:$AI$1203,$S12)=0,"",INDEX(对接源_01水果!$AI$4:$AI$1203,$S12)))</f>
        <v/>
      </c>
      <c r="I12" s="72" t="str">
        <f>IF($S12="","",IF(INDEX(对接源_01水果!$AE$4:$AE$1203,$S12)=0,"",INDEX(对接源_01水果!$AE$4:$AE$1203,$S12)))</f>
        <v/>
      </c>
      <c r="J12" s="72" t="str">
        <f>IF($S12="","",IF(INDEX(对接源_01水果!$AF$4:$AF$1203,$S12)=0,"",INDEX(对接源_01水果!$AF$4:$AF$1203,$S12)))</f>
        <v/>
      </c>
      <c r="K12" s="72" t="str">
        <f>IF($S12="","",IF(INDEX(对接源_01水果!$K$4:$K$1203,$S12)=0,"",INDEX(对接源_01水果!$K$4:$K$1203,$S12)))</f>
        <v/>
      </c>
      <c r="L12" s="70" t="str">
        <f>IF($S12="","",IF(INDEX(对接源_01水果!$L$4:$L$1203,$S12)=0,"",INDEX(对接源_01水果!$L$4:$L$1203,$S12)))</f>
        <v/>
      </c>
      <c r="M12" s="73" t="str">
        <f>IF($S12="","",IF(INDEX(对接源_01水果!$M$4:$M$1203,$S12)=0,"",INDEX(对接源_01水果!$M$4:$M$1203,$S12)))</f>
        <v/>
      </c>
      <c r="S1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" ht="15.75" customHeight="1" spans="1:20">
      <c r="A13" s="70" t="str">
        <f>IF($S13="","",IF(INDEX(对接源_01水果!$B$4:$B$1203,$S13)=0,"",INDEX(对接源_01水果!$B$4:$B$1203,$S13)))</f>
        <v/>
      </c>
      <c r="B13" s="70" t="str">
        <f>IF($S13="","",IF(INDEX(对接源_01水果!$E$4:$E$1203,$S13)=0,"",INDEX(对接源_01水果!$E$4:$E$1203,$S13)))</f>
        <v/>
      </c>
      <c r="C13" s="70" t="str">
        <f>IF($S13="","",IF(INDEX(对接源_01水果!$F$4:$F$1203,$S13)=0,"",INDEX(对接源_01水果!$F$4:$F$1203,$S13)))</f>
        <v/>
      </c>
      <c r="D13" s="70" t="str">
        <f>IF($S13="","",IF(INDEX(对接源_01水果!$G$4:$G$1203,$S13)=0,"",INDEX(对接源_01水果!$G$4:$G$1203,$S13)))</f>
        <v/>
      </c>
      <c r="E13" s="70" t="str">
        <f>IF($S13="","",IF(INDEX(对接源_01水果!$H$4:$H$1203,$S13)=0,"",INDEX(对接源_01水果!$H$4:$H$1203,$S13)))</f>
        <v/>
      </c>
      <c r="F13" s="70" t="str">
        <f>IF($S13="","",IF(INDEX(对接源_01水果!$I$4:$I$1203,$S13)=0,"",INDEX(对接源_01水果!$I$4:$I$1203,$S13)))</f>
        <v/>
      </c>
      <c r="G13" s="72" t="str">
        <f>IF($S13="","",IF(INDEX(对接源_01水果!$AD$4:$AD$1203,$S13)=0,"",INDEX(对接源_01水果!$AD$4:$AD$1203,$S13)))</f>
        <v/>
      </c>
      <c r="H13" s="72" t="str">
        <f>IF($S13="","",IF(INDEX(对接源_01水果!$AI$4:$AI$1203,$S13)=0,"",INDEX(对接源_01水果!$AI$4:$AI$1203,$S13)))</f>
        <v/>
      </c>
      <c r="I13" s="72" t="str">
        <f>IF($S13="","",IF(INDEX(对接源_01水果!$AE$4:$AE$1203,$S13)=0,"",INDEX(对接源_01水果!$AE$4:$AE$1203,$S13)))</f>
        <v/>
      </c>
      <c r="J13" s="72" t="str">
        <f>IF($S13="","",IF(INDEX(对接源_01水果!$AF$4:$AF$1203,$S13)=0,"",INDEX(对接源_01水果!$AF$4:$AF$1203,$S13)))</f>
        <v/>
      </c>
      <c r="K13" s="72" t="str">
        <f>IF($S13="","",IF(INDEX(对接源_01水果!$K$4:$K$1203,$S13)=0,"",INDEX(对接源_01水果!$K$4:$K$1203,$S13)))</f>
        <v/>
      </c>
      <c r="L13" s="70" t="str">
        <f>IF($S13="","",IF(INDEX(对接源_01水果!$L$4:$L$1203,$S13)=0,"",INDEX(对接源_01水果!$L$4:$L$1203,$S13)))</f>
        <v/>
      </c>
      <c r="M13" s="73" t="str">
        <f>IF($S13="","",IF(INDEX(对接源_01水果!$M$4:$M$1203,$S13)=0,"",INDEX(对接源_01水果!$M$4:$M$1203,$S13)))</f>
        <v/>
      </c>
      <c r="S1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" ht="15.75" customHeight="1" spans="1:20">
      <c r="A14" s="70" t="str">
        <f>IF($S14="","",IF(INDEX(对接源_01水果!$B$4:$B$1203,$S14)=0,"",INDEX(对接源_01水果!$B$4:$B$1203,$S14)))</f>
        <v/>
      </c>
      <c r="B14" s="70" t="str">
        <f>IF($S14="","",IF(INDEX(对接源_01水果!$E$4:$E$1203,$S14)=0,"",INDEX(对接源_01水果!$E$4:$E$1203,$S14)))</f>
        <v/>
      </c>
      <c r="C14" s="70" t="str">
        <f>IF($S14="","",IF(INDEX(对接源_01水果!$F$4:$F$1203,$S14)=0,"",INDEX(对接源_01水果!$F$4:$F$1203,$S14)))</f>
        <v/>
      </c>
      <c r="D14" s="70" t="str">
        <f>IF($S14="","",IF(INDEX(对接源_01水果!$G$4:$G$1203,$S14)=0,"",INDEX(对接源_01水果!$G$4:$G$1203,$S14)))</f>
        <v/>
      </c>
      <c r="E14" s="70" t="str">
        <f>IF($S14="","",IF(INDEX(对接源_01水果!$H$4:$H$1203,$S14)=0,"",INDEX(对接源_01水果!$H$4:$H$1203,$S14)))</f>
        <v/>
      </c>
      <c r="F14" s="70" t="str">
        <f>IF($S14="","",IF(INDEX(对接源_01水果!$I$4:$I$1203,$S14)=0,"",INDEX(对接源_01水果!$I$4:$I$1203,$S14)))</f>
        <v/>
      </c>
      <c r="G14" s="72" t="str">
        <f>IF($S14="","",IF(INDEX(对接源_01水果!$AD$4:$AD$1203,$S14)=0,"",INDEX(对接源_01水果!$AD$4:$AD$1203,$S14)))</f>
        <v/>
      </c>
      <c r="H14" s="72" t="str">
        <f>IF($S14="","",IF(INDEX(对接源_01水果!$AI$4:$AI$1203,$S14)=0,"",INDEX(对接源_01水果!$AI$4:$AI$1203,$S14)))</f>
        <v/>
      </c>
      <c r="I14" s="72" t="str">
        <f>IF($S14="","",IF(INDEX(对接源_01水果!$AE$4:$AE$1203,$S14)=0,"",INDEX(对接源_01水果!$AE$4:$AE$1203,$S14)))</f>
        <v/>
      </c>
      <c r="J14" s="72" t="str">
        <f>IF($S14="","",IF(INDEX(对接源_01水果!$AF$4:$AF$1203,$S14)=0,"",INDEX(对接源_01水果!$AF$4:$AF$1203,$S14)))</f>
        <v/>
      </c>
      <c r="K14" s="72" t="str">
        <f>IF($S14="","",IF(INDEX(对接源_01水果!$K$4:$K$1203,$S14)=0,"",INDEX(对接源_01水果!$K$4:$K$1203,$S14)))</f>
        <v/>
      </c>
      <c r="L14" s="70" t="str">
        <f>IF($S14="","",IF(INDEX(对接源_01水果!$L$4:$L$1203,$S14)=0,"",INDEX(对接源_01水果!$L$4:$L$1203,$S14)))</f>
        <v/>
      </c>
      <c r="M14" s="73" t="str">
        <f>IF($S14="","",IF(INDEX(对接源_01水果!$M$4:$M$1203,$S14)=0,"",INDEX(对接源_01水果!$M$4:$M$1203,$S14)))</f>
        <v/>
      </c>
      <c r="S1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" ht="15.75" customHeight="1" spans="1:20">
      <c r="A15" s="70" t="str">
        <f>IF($S15="","",IF(INDEX(对接源_01水果!$B$4:$B$1203,$S15)=0,"",INDEX(对接源_01水果!$B$4:$B$1203,$S15)))</f>
        <v/>
      </c>
      <c r="B15" s="70" t="str">
        <f>IF($S15="","",IF(INDEX(对接源_01水果!$E$4:$E$1203,$S15)=0,"",INDEX(对接源_01水果!$E$4:$E$1203,$S15)))</f>
        <v/>
      </c>
      <c r="C15" s="70" t="str">
        <f>IF($S15="","",IF(INDEX(对接源_01水果!$F$4:$F$1203,$S15)=0,"",INDEX(对接源_01水果!$F$4:$F$1203,$S15)))</f>
        <v/>
      </c>
      <c r="D15" s="70" t="str">
        <f>IF($S15="","",IF(INDEX(对接源_01水果!$G$4:$G$1203,$S15)=0,"",INDEX(对接源_01水果!$G$4:$G$1203,$S15)))</f>
        <v/>
      </c>
      <c r="E15" s="70" t="str">
        <f>IF($S15="","",IF(INDEX(对接源_01水果!$H$4:$H$1203,$S15)=0,"",INDEX(对接源_01水果!$H$4:$H$1203,$S15)))</f>
        <v/>
      </c>
      <c r="F15" s="70" t="str">
        <f>IF($S15="","",IF(INDEX(对接源_01水果!$I$4:$I$1203,$S15)=0,"",INDEX(对接源_01水果!$I$4:$I$1203,$S15)))</f>
        <v/>
      </c>
      <c r="G15" s="72" t="str">
        <f>IF($S15="","",IF(INDEX(对接源_01水果!$AD$4:$AD$1203,$S15)=0,"",INDEX(对接源_01水果!$AD$4:$AD$1203,$S15)))</f>
        <v/>
      </c>
      <c r="H15" s="72" t="str">
        <f>IF($S15="","",IF(INDEX(对接源_01水果!$AI$4:$AI$1203,$S15)=0,"",INDEX(对接源_01水果!$AI$4:$AI$1203,$S15)))</f>
        <v/>
      </c>
      <c r="I15" s="72" t="str">
        <f>IF($S15="","",IF(INDEX(对接源_01水果!$AE$4:$AE$1203,$S15)=0,"",INDEX(对接源_01水果!$AE$4:$AE$1203,$S15)))</f>
        <v/>
      </c>
      <c r="J15" s="72" t="str">
        <f>IF($S15="","",IF(INDEX(对接源_01水果!$AF$4:$AF$1203,$S15)=0,"",INDEX(对接源_01水果!$AF$4:$AF$1203,$S15)))</f>
        <v/>
      </c>
      <c r="K15" s="72" t="str">
        <f>IF($S15="","",IF(INDEX(对接源_01水果!$K$4:$K$1203,$S15)=0,"",INDEX(对接源_01水果!$K$4:$K$1203,$S15)))</f>
        <v/>
      </c>
      <c r="L15" s="70" t="str">
        <f>IF($S15="","",IF(INDEX(对接源_01水果!$L$4:$L$1203,$S15)=0,"",INDEX(对接源_01水果!$L$4:$L$1203,$S15)))</f>
        <v/>
      </c>
      <c r="M15" s="73" t="str">
        <f>IF($S15="","",IF(INDEX(对接源_01水果!$M$4:$M$1203,$S15)=0,"",INDEX(对接源_01水果!$M$4:$M$1203,$S15)))</f>
        <v/>
      </c>
      <c r="S1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" ht="15.75" customHeight="1" spans="1:20">
      <c r="A16" s="70" t="str">
        <f>IF($S16="","",IF(INDEX(对接源_01水果!$B$4:$B$1203,$S16)=0,"",INDEX(对接源_01水果!$B$4:$B$1203,$S16)))</f>
        <v/>
      </c>
      <c r="B16" s="70" t="str">
        <f>IF($S16="","",IF(INDEX(对接源_01水果!$E$4:$E$1203,$S16)=0,"",INDEX(对接源_01水果!$E$4:$E$1203,$S16)))</f>
        <v/>
      </c>
      <c r="C16" s="70" t="str">
        <f>IF($S16="","",IF(INDEX(对接源_01水果!$F$4:$F$1203,$S16)=0,"",INDEX(对接源_01水果!$F$4:$F$1203,$S16)))</f>
        <v/>
      </c>
      <c r="D16" s="70" t="str">
        <f>IF($S16="","",IF(INDEX(对接源_01水果!$G$4:$G$1203,$S16)=0,"",INDEX(对接源_01水果!$G$4:$G$1203,$S16)))</f>
        <v/>
      </c>
      <c r="E16" s="70" t="str">
        <f>IF($S16="","",IF(INDEX(对接源_01水果!$H$4:$H$1203,$S16)=0,"",INDEX(对接源_01水果!$H$4:$H$1203,$S16)))</f>
        <v/>
      </c>
      <c r="F16" s="70" t="str">
        <f>IF($S16="","",IF(INDEX(对接源_01水果!$I$4:$I$1203,$S16)=0,"",INDEX(对接源_01水果!$I$4:$I$1203,$S16)))</f>
        <v/>
      </c>
      <c r="G16" s="72" t="str">
        <f>IF($S16="","",IF(INDEX(对接源_01水果!$AD$4:$AD$1203,$S16)=0,"",INDEX(对接源_01水果!$AD$4:$AD$1203,$S16)))</f>
        <v/>
      </c>
      <c r="H16" s="72" t="str">
        <f>IF($S16="","",IF(INDEX(对接源_01水果!$AI$4:$AI$1203,$S16)=0,"",INDEX(对接源_01水果!$AI$4:$AI$1203,$S16)))</f>
        <v/>
      </c>
      <c r="I16" s="72" t="str">
        <f>IF($S16="","",IF(INDEX(对接源_01水果!$AE$4:$AE$1203,$S16)=0,"",INDEX(对接源_01水果!$AE$4:$AE$1203,$S16)))</f>
        <v/>
      </c>
      <c r="J16" s="72" t="str">
        <f>IF($S16="","",IF(INDEX(对接源_01水果!$AF$4:$AF$1203,$S16)=0,"",INDEX(对接源_01水果!$AF$4:$AF$1203,$S16)))</f>
        <v/>
      </c>
      <c r="K16" s="72" t="str">
        <f>IF($S16="","",IF(INDEX(对接源_01水果!$K$4:$K$1203,$S16)=0,"",INDEX(对接源_01水果!$K$4:$K$1203,$S16)))</f>
        <v/>
      </c>
      <c r="L16" s="70" t="str">
        <f>IF($S16="","",IF(INDEX(对接源_01水果!$L$4:$L$1203,$S16)=0,"",INDEX(对接源_01水果!$L$4:$L$1203,$S16)))</f>
        <v/>
      </c>
      <c r="M16" s="73" t="str">
        <f>IF($S16="","",IF(INDEX(对接源_01水果!$M$4:$M$1203,$S16)=0,"",INDEX(对接源_01水果!$M$4:$M$1203,$S16)))</f>
        <v/>
      </c>
      <c r="S1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" ht="15.75" customHeight="1" spans="1:19">
      <c r="A17" s="70" t="str">
        <f>IF($S17="","",IF(INDEX(对接源_01水果!$B$4:$B$1203,$S17)=0,"",INDEX(对接源_01水果!$B$4:$B$1203,$S17)))</f>
        <v/>
      </c>
      <c r="B17" s="70" t="str">
        <f>IF($S17="","",IF(INDEX(对接源_01水果!$E$4:$E$1203,$S17)=0,"",INDEX(对接源_01水果!$E$4:$E$1203,$S17)))</f>
        <v/>
      </c>
      <c r="C17" s="70" t="str">
        <f>IF($S17="","",IF(INDEX(对接源_01水果!$F$4:$F$1203,$S17)=0,"",INDEX(对接源_01水果!$F$4:$F$1203,$S17)))</f>
        <v/>
      </c>
      <c r="D17" s="70" t="str">
        <f>IF($S17="","",IF(INDEX(对接源_01水果!$G$4:$G$1203,$S17)=0,"",INDEX(对接源_01水果!$G$4:$G$1203,$S17)))</f>
        <v/>
      </c>
      <c r="E17" s="70" t="str">
        <f>IF($S17="","",IF(INDEX(对接源_01水果!$H$4:$H$1203,$S17)=0,"",INDEX(对接源_01水果!$H$4:$H$1203,$S17)))</f>
        <v/>
      </c>
      <c r="F17" s="70" t="str">
        <f>IF($S17="","",IF(INDEX(对接源_01水果!$I$4:$I$1203,$S17)=0,"",INDEX(对接源_01水果!$I$4:$I$1203,$S17)))</f>
        <v/>
      </c>
      <c r="G17" s="72" t="str">
        <f>IF($S17="","",IF(INDEX(对接源_01水果!$AD$4:$AD$1203,$S17)=0,"",INDEX(对接源_01水果!$AD$4:$AD$1203,$S17)))</f>
        <v/>
      </c>
      <c r="H17" s="72" t="str">
        <f>IF($S17="","",IF(INDEX(对接源_01水果!$AI$4:$AI$1203,$S17)=0,"",INDEX(对接源_01水果!$AI$4:$AI$1203,$S17)))</f>
        <v/>
      </c>
      <c r="I17" s="72" t="str">
        <f>IF($S17="","",IF(INDEX(对接源_01水果!$AE$4:$AE$1203,$S17)=0,"",INDEX(对接源_01水果!$AE$4:$AE$1203,$S17)))</f>
        <v/>
      </c>
      <c r="J17" s="72" t="str">
        <f>IF($S17="","",IF(INDEX(对接源_01水果!$AF$4:$AF$1203,$S17)=0,"",INDEX(对接源_01水果!$AF$4:$AF$1203,$S17)))</f>
        <v/>
      </c>
      <c r="K17" s="72" t="str">
        <f>IF($S17="","",IF(INDEX(对接源_01水果!$K$4:$K$1203,$S17)=0,"",INDEX(对接源_01水果!$K$4:$K$1203,$S17)))</f>
        <v/>
      </c>
      <c r="L17" s="70" t="str">
        <f>IF($S17="","",IF(INDEX(对接源_01水果!$L$4:$L$1203,$S17)=0,"",INDEX(对接源_01水果!$L$4:$L$1203,$S17)))</f>
        <v/>
      </c>
      <c r="M17" s="73" t="str">
        <f>IF($S17="","",IF(INDEX(对接源_01水果!$M$4:$M$1203,$S17)=0,"",INDEX(对接源_01水果!$M$4:$M$1203,$S17)))</f>
        <v/>
      </c>
      <c r="S1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" ht="15.75" customHeight="1" spans="1:19">
      <c r="A18" s="70" t="str">
        <f>IF($S18="","",IF(INDEX(对接源_01水果!$B$4:$B$1203,$S18)=0,"",INDEX(对接源_01水果!$B$4:$B$1203,$S18)))</f>
        <v/>
      </c>
      <c r="B18" s="70" t="str">
        <f>IF($S18="","",IF(INDEX(对接源_01水果!$E$4:$E$1203,$S18)=0,"",INDEX(对接源_01水果!$E$4:$E$1203,$S18)))</f>
        <v/>
      </c>
      <c r="C18" s="70" t="str">
        <f>IF($S18="","",IF(INDEX(对接源_01水果!$F$4:$F$1203,$S18)=0,"",INDEX(对接源_01水果!$F$4:$F$1203,$S18)))</f>
        <v/>
      </c>
      <c r="D18" s="70" t="str">
        <f>IF($S18="","",IF(INDEX(对接源_01水果!$G$4:$G$1203,$S18)=0,"",INDEX(对接源_01水果!$G$4:$G$1203,$S18)))</f>
        <v/>
      </c>
      <c r="E18" s="70" t="str">
        <f>IF($S18="","",IF(INDEX(对接源_01水果!$H$4:$H$1203,$S18)=0,"",INDEX(对接源_01水果!$H$4:$H$1203,$S18)))</f>
        <v/>
      </c>
      <c r="F18" s="70" t="str">
        <f>IF($S18="","",IF(INDEX(对接源_01水果!$I$4:$I$1203,$S18)=0,"",INDEX(对接源_01水果!$I$4:$I$1203,$S18)))</f>
        <v/>
      </c>
      <c r="G18" s="72" t="str">
        <f>IF($S18="","",IF(INDEX(对接源_01水果!$AD$4:$AD$1203,$S18)=0,"",INDEX(对接源_01水果!$AD$4:$AD$1203,$S18)))</f>
        <v/>
      </c>
      <c r="H18" s="72" t="str">
        <f>IF($S18="","",IF(INDEX(对接源_01水果!$AI$4:$AI$1203,$S18)=0,"",INDEX(对接源_01水果!$AI$4:$AI$1203,$S18)))</f>
        <v/>
      </c>
      <c r="I18" s="72" t="str">
        <f>IF($S18="","",IF(INDEX(对接源_01水果!$AE$4:$AE$1203,$S18)=0,"",INDEX(对接源_01水果!$AE$4:$AE$1203,$S18)))</f>
        <v/>
      </c>
      <c r="J18" s="72" t="str">
        <f>IF($S18="","",IF(INDEX(对接源_01水果!$AF$4:$AF$1203,$S18)=0,"",INDEX(对接源_01水果!$AF$4:$AF$1203,$S18)))</f>
        <v/>
      </c>
      <c r="K18" s="72" t="str">
        <f>IF($S18="","",IF(INDEX(对接源_01水果!$K$4:$K$1203,$S18)=0,"",INDEX(对接源_01水果!$K$4:$K$1203,$S18)))</f>
        <v/>
      </c>
      <c r="L18" s="70" t="str">
        <f>IF($S18="","",IF(INDEX(对接源_01水果!$L$4:$L$1203,$S18)=0,"",INDEX(对接源_01水果!$L$4:$L$1203,$S18)))</f>
        <v/>
      </c>
      <c r="M18" s="73" t="str">
        <f>IF($S18="","",IF(INDEX(对接源_01水果!$M$4:$M$1203,$S18)=0,"",INDEX(对接源_01水果!$M$4:$M$1203,$S18)))</f>
        <v/>
      </c>
      <c r="S1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" ht="15.75" customHeight="1" spans="1:19">
      <c r="A19" s="70" t="str">
        <f>IF($S19="","",IF(INDEX(对接源_01水果!$B$4:$B$1203,$S19)=0,"",INDEX(对接源_01水果!$B$4:$B$1203,$S19)))</f>
        <v/>
      </c>
      <c r="B19" s="70" t="str">
        <f>IF($S19="","",IF(INDEX(对接源_01水果!$E$4:$E$1203,$S19)=0,"",INDEX(对接源_01水果!$E$4:$E$1203,$S19)))</f>
        <v/>
      </c>
      <c r="C19" s="70" t="str">
        <f>IF($S19="","",IF(INDEX(对接源_01水果!$F$4:$F$1203,$S19)=0,"",INDEX(对接源_01水果!$F$4:$F$1203,$S19)))</f>
        <v/>
      </c>
      <c r="D19" s="70" t="str">
        <f>IF($S19="","",IF(INDEX(对接源_01水果!$G$4:$G$1203,$S19)=0,"",INDEX(对接源_01水果!$G$4:$G$1203,$S19)))</f>
        <v/>
      </c>
      <c r="E19" s="70" t="str">
        <f>IF($S19="","",IF(INDEX(对接源_01水果!$H$4:$H$1203,$S19)=0,"",INDEX(对接源_01水果!$H$4:$H$1203,$S19)))</f>
        <v/>
      </c>
      <c r="F19" s="70" t="str">
        <f>IF($S19="","",IF(INDEX(对接源_01水果!$I$4:$I$1203,$S19)=0,"",INDEX(对接源_01水果!$I$4:$I$1203,$S19)))</f>
        <v/>
      </c>
      <c r="G19" s="72" t="str">
        <f>IF($S19="","",IF(INDEX(对接源_01水果!$AD$4:$AD$1203,$S19)=0,"",INDEX(对接源_01水果!$AD$4:$AD$1203,$S19)))</f>
        <v/>
      </c>
      <c r="H19" s="72" t="str">
        <f>IF($S19="","",IF(INDEX(对接源_01水果!$AI$4:$AI$1203,$S19)=0,"",INDEX(对接源_01水果!$AI$4:$AI$1203,$S19)))</f>
        <v/>
      </c>
      <c r="I19" s="72" t="str">
        <f>IF($S19="","",IF(INDEX(对接源_01水果!$AE$4:$AE$1203,$S19)=0,"",INDEX(对接源_01水果!$AE$4:$AE$1203,$S19)))</f>
        <v/>
      </c>
      <c r="J19" s="72" t="str">
        <f>IF($S19="","",IF(INDEX(对接源_01水果!$AF$4:$AF$1203,$S19)=0,"",INDEX(对接源_01水果!$AF$4:$AF$1203,$S19)))</f>
        <v/>
      </c>
      <c r="K19" s="72" t="str">
        <f>IF($S19="","",IF(INDEX(对接源_01水果!$K$4:$K$1203,$S19)=0,"",INDEX(对接源_01水果!$K$4:$K$1203,$S19)))</f>
        <v/>
      </c>
      <c r="L19" s="70" t="str">
        <f>IF($S19="","",IF(INDEX(对接源_01水果!$L$4:$L$1203,$S19)=0,"",INDEX(对接源_01水果!$L$4:$L$1203,$S19)))</f>
        <v/>
      </c>
      <c r="M19" s="73" t="str">
        <f>IF($S19="","",IF(INDEX(对接源_01水果!$M$4:$M$1203,$S19)=0,"",INDEX(对接源_01水果!$M$4:$M$1203,$S19)))</f>
        <v/>
      </c>
      <c r="S1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" ht="15.75" customHeight="1" spans="1:19">
      <c r="A20" s="70" t="str">
        <f>IF($S20="","",IF(INDEX(对接源_01水果!$B$4:$B$1203,$S20)=0,"",INDEX(对接源_01水果!$B$4:$B$1203,$S20)))</f>
        <v/>
      </c>
      <c r="B20" s="70" t="str">
        <f>IF($S20="","",IF(INDEX(对接源_01水果!$E$4:$E$1203,$S20)=0,"",INDEX(对接源_01水果!$E$4:$E$1203,$S20)))</f>
        <v/>
      </c>
      <c r="C20" s="70" t="str">
        <f>IF($S20="","",IF(INDEX(对接源_01水果!$F$4:$F$1203,$S20)=0,"",INDEX(对接源_01水果!$F$4:$F$1203,$S20)))</f>
        <v/>
      </c>
      <c r="D20" s="70" t="str">
        <f>IF($S20="","",IF(INDEX(对接源_01水果!$G$4:$G$1203,$S20)=0,"",INDEX(对接源_01水果!$G$4:$G$1203,$S20)))</f>
        <v/>
      </c>
      <c r="E20" s="70" t="str">
        <f>IF($S20="","",IF(INDEX(对接源_01水果!$H$4:$H$1203,$S20)=0,"",INDEX(对接源_01水果!$H$4:$H$1203,$S20)))</f>
        <v/>
      </c>
      <c r="F20" s="70" t="str">
        <f>IF($S20="","",IF(INDEX(对接源_01水果!$I$4:$I$1203,$S20)=0,"",INDEX(对接源_01水果!$I$4:$I$1203,$S20)))</f>
        <v/>
      </c>
      <c r="G20" s="72" t="str">
        <f>IF($S20="","",IF(INDEX(对接源_01水果!$AD$4:$AD$1203,$S20)=0,"",INDEX(对接源_01水果!$AD$4:$AD$1203,$S20)))</f>
        <v/>
      </c>
      <c r="H20" s="72" t="str">
        <f>IF($S20="","",IF(INDEX(对接源_01水果!$AI$4:$AI$1203,$S20)=0,"",INDEX(对接源_01水果!$AI$4:$AI$1203,$S20)))</f>
        <v/>
      </c>
      <c r="I20" s="72" t="str">
        <f>IF($S20="","",IF(INDEX(对接源_01水果!$AE$4:$AE$1203,$S20)=0,"",INDEX(对接源_01水果!$AE$4:$AE$1203,$S20)))</f>
        <v/>
      </c>
      <c r="J20" s="72" t="str">
        <f>IF($S20="","",IF(INDEX(对接源_01水果!$AF$4:$AF$1203,$S20)=0,"",INDEX(对接源_01水果!$AF$4:$AF$1203,$S20)))</f>
        <v/>
      </c>
      <c r="K20" s="72" t="str">
        <f>IF($S20="","",IF(INDEX(对接源_01水果!$K$4:$K$1203,$S20)=0,"",INDEX(对接源_01水果!$K$4:$K$1203,$S20)))</f>
        <v/>
      </c>
      <c r="L20" s="70" t="str">
        <f>IF($S20="","",IF(INDEX(对接源_01水果!$L$4:$L$1203,$S20)=0,"",INDEX(对接源_01水果!$L$4:$L$1203,$S20)))</f>
        <v/>
      </c>
      <c r="M20" s="73" t="str">
        <f>IF($S20="","",IF(INDEX(对接源_01水果!$M$4:$M$1203,$S20)=0,"",INDEX(对接源_01水果!$M$4:$M$1203,$S20)))</f>
        <v/>
      </c>
      <c r="S2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1" ht="15.75" customHeight="1" spans="1:19">
      <c r="A21" s="70" t="str">
        <f>IF($S21="","",IF(INDEX(对接源_01水果!$B$4:$B$1203,$S21)=0,"",INDEX(对接源_01水果!$B$4:$B$1203,$S21)))</f>
        <v/>
      </c>
      <c r="B21" s="70" t="str">
        <f>IF($S21="","",IF(INDEX(对接源_01水果!$E$4:$E$1203,$S21)=0,"",INDEX(对接源_01水果!$E$4:$E$1203,$S21)))</f>
        <v/>
      </c>
      <c r="C21" s="70" t="str">
        <f>IF($S21="","",IF(INDEX(对接源_01水果!$F$4:$F$1203,$S21)=0,"",INDEX(对接源_01水果!$F$4:$F$1203,$S21)))</f>
        <v/>
      </c>
      <c r="D21" s="70" t="str">
        <f>IF($S21="","",IF(INDEX(对接源_01水果!$G$4:$G$1203,$S21)=0,"",INDEX(对接源_01水果!$G$4:$G$1203,$S21)))</f>
        <v/>
      </c>
      <c r="E21" s="70" t="str">
        <f>IF($S21="","",IF(INDEX(对接源_01水果!$H$4:$H$1203,$S21)=0,"",INDEX(对接源_01水果!$H$4:$H$1203,$S21)))</f>
        <v/>
      </c>
      <c r="F21" s="70" t="str">
        <f>IF($S21="","",IF(INDEX(对接源_01水果!$I$4:$I$1203,$S21)=0,"",INDEX(对接源_01水果!$I$4:$I$1203,$S21)))</f>
        <v/>
      </c>
      <c r="G21" s="72" t="str">
        <f>IF($S21="","",IF(INDEX(对接源_01水果!$AD$4:$AD$1203,$S21)=0,"",INDEX(对接源_01水果!$AD$4:$AD$1203,$S21)))</f>
        <v/>
      </c>
      <c r="H21" s="72" t="str">
        <f>IF($S21="","",IF(INDEX(对接源_01水果!$AI$4:$AI$1203,$S21)=0,"",INDEX(对接源_01水果!$AI$4:$AI$1203,$S21)))</f>
        <v/>
      </c>
      <c r="I21" s="72" t="str">
        <f>IF($S21="","",IF(INDEX(对接源_01水果!$AE$4:$AE$1203,$S21)=0,"",INDEX(对接源_01水果!$AE$4:$AE$1203,$S21)))</f>
        <v/>
      </c>
      <c r="J21" s="72" t="str">
        <f>IF($S21="","",IF(INDEX(对接源_01水果!$AF$4:$AF$1203,$S21)=0,"",INDEX(对接源_01水果!$AF$4:$AF$1203,$S21)))</f>
        <v/>
      </c>
      <c r="K21" s="72" t="str">
        <f>IF($S21="","",IF(INDEX(对接源_01水果!$K$4:$K$1203,$S21)=0,"",INDEX(对接源_01水果!$K$4:$K$1203,$S21)))</f>
        <v/>
      </c>
      <c r="L21" s="70" t="str">
        <f>IF($S21="","",IF(INDEX(对接源_01水果!$L$4:$L$1203,$S21)=0,"",INDEX(对接源_01水果!$L$4:$L$1203,$S21)))</f>
        <v/>
      </c>
      <c r="M21" s="73" t="str">
        <f>IF($S21="","",IF(INDEX(对接源_01水果!$M$4:$M$1203,$S21)=0,"",INDEX(对接源_01水果!$M$4:$M$1203,$S21)))</f>
        <v/>
      </c>
      <c r="S2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2" ht="15.75" customHeight="1" spans="1:19">
      <c r="A22" s="70" t="str">
        <f>IF($S22="","",IF(INDEX(对接源_01水果!$B$4:$B$1203,$S22)=0,"",INDEX(对接源_01水果!$B$4:$B$1203,$S22)))</f>
        <v/>
      </c>
      <c r="B22" s="70" t="str">
        <f>IF($S22="","",IF(INDEX(对接源_01水果!$E$4:$E$1203,$S22)=0,"",INDEX(对接源_01水果!$E$4:$E$1203,$S22)))</f>
        <v/>
      </c>
      <c r="C22" s="70" t="str">
        <f>IF($S22="","",IF(INDEX(对接源_01水果!$F$4:$F$1203,$S22)=0,"",INDEX(对接源_01水果!$F$4:$F$1203,$S22)))</f>
        <v/>
      </c>
      <c r="D22" s="70" t="str">
        <f>IF($S22="","",IF(INDEX(对接源_01水果!$G$4:$G$1203,$S22)=0,"",INDEX(对接源_01水果!$G$4:$G$1203,$S22)))</f>
        <v/>
      </c>
      <c r="E22" s="70" t="str">
        <f>IF($S22="","",IF(INDEX(对接源_01水果!$H$4:$H$1203,$S22)=0,"",INDEX(对接源_01水果!$H$4:$H$1203,$S22)))</f>
        <v/>
      </c>
      <c r="F22" s="70" t="str">
        <f>IF($S22="","",IF(INDEX(对接源_01水果!$I$4:$I$1203,$S22)=0,"",INDEX(对接源_01水果!$I$4:$I$1203,$S22)))</f>
        <v/>
      </c>
      <c r="G22" s="72" t="str">
        <f>IF($S22="","",IF(INDEX(对接源_01水果!$AD$4:$AD$1203,$S22)=0,"",INDEX(对接源_01水果!$AD$4:$AD$1203,$S22)))</f>
        <v/>
      </c>
      <c r="H22" s="72" t="str">
        <f>IF($S22="","",IF(INDEX(对接源_01水果!$AI$4:$AI$1203,$S22)=0,"",INDEX(对接源_01水果!$AI$4:$AI$1203,$S22)))</f>
        <v/>
      </c>
      <c r="I22" s="72" t="str">
        <f>IF($S22="","",IF(INDEX(对接源_01水果!$AE$4:$AE$1203,$S22)=0,"",INDEX(对接源_01水果!$AE$4:$AE$1203,$S22)))</f>
        <v/>
      </c>
      <c r="J22" s="72" t="str">
        <f>IF($S22="","",IF(INDEX(对接源_01水果!$AF$4:$AF$1203,$S22)=0,"",INDEX(对接源_01水果!$AF$4:$AF$1203,$S22)))</f>
        <v/>
      </c>
      <c r="K22" s="72" t="str">
        <f>IF($S22="","",IF(INDEX(对接源_01水果!$K$4:$K$1203,$S22)=0,"",INDEX(对接源_01水果!$K$4:$K$1203,$S22)))</f>
        <v/>
      </c>
      <c r="L22" s="70" t="str">
        <f>IF($S22="","",IF(INDEX(对接源_01水果!$L$4:$L$1203,$S22)=0,"",INDEX(对接源_01水果!$L$4:$L$1203,$S22)))</f>
        <v/>
      </c>
      <c r="M22" s="73" t="str">
        <f>IF($S22="","",IF(INDEX(对接源_01水果!$M$4:$M$1203,$S22)=0,"",INDEX(对接源_01水果!$M$4:$M$1203,$S22)))</f>
        <v/>
      </c>
      <c r="S2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3" ht="15.75" customHeight="1" spans="1:19">
      <c r="A23" s="70" t="str">
        <f>IF($S23="","",IF(INDEX(对接源_01水果!$B$4:$B$1203,$S23)=0,"",INDEX(对接源_01水果!$B$4:$B$1203,$S23)))</f>
        <v/>
      </c>
      <c r="B23" s="70" t="str">
        <f>IF($S23="","",IF(INDEX(对接源_01水果!$E$4:$E$1203,$S23)=0,"",INDEX(对接源_01水果!$E$4:$E$1203,$S23)))</f>
        <v/>
      </c>
      <c r="C23" s="70" t="str">
        <f>IF($S23="","",IF(INDEX(对接源_01水果!$F$4:$F$1203,$S23)=0,"",INDEX(对接源_01水果!$F$4:$F$1203,$S23)))</f>
        <v/>
      </c>
      <c r="D23" s="70" t="str">
        <f>IF($S23="","",IF(INDEX(对接源_01水果!$G$4:$G$1203,$S23)=0,"",INDEX(对接源_01水果!$G$4:$G$1203,$S23)))</f>
        <v/>
      </c>
      <c r="E23" s="70" t="str">
        <f>IF($S23="","",IF(INDEX(对接源_01水果!$H$4:$H$1203,$S23)=0,"",INDEX(对接源_01水果!$H$4:$H$1203,$S23)))</f>
        <v/>
      </c>
      <c r="F23" s="70" t="str">
        <f>IF($S23="","",IF(INDEX(对接源_01水果!$I$4:$I$1203,$S23)=0,"",INDEX(对接源_01水果!$I$4:$I$1203,$S23)))</f>
        <v/>
      </c>
      <c r="G23" s="72" t="str">
        <f>IF($S23="","",IF(INDEX(对接源_01水果!$AD$4:$AD$1203,$S23)=0,"",INDEX(对接源_01水果!$AD$4:$AD$1203,$S23)))</f>
        <v/>
      </c>
      <c r="H23" s="72" t="str">
        <f>IF($S23="","",IF(INDEX(对接源_01水果!$AI$4:$AI$1203,$S23)=0,"",INDEX(对接源_01水果!$AI$4:$AI$1203,$S23)))</f>
        <v/>
      </c>
      <c r="I23" s="72" t="str">
        <f>IF($S23="","",IF(INDEX(对接源_01水果!$AE$4:$AE$1203,$S23)=0,"",INDEX(对接源_01水果!$AE$4:$AE$1203,$S23)))</f>
        <v/>
      </c>
      <c r="J23" s="72" t="str">
        <f>IF($S23="","",IF(INDEX(对接源_01水果!$AF$4:$AF$1203,$S23)=0,"",INDEX(对接源_01水果!$AF$4:$AF$1203,$S23)))</f>
        <v/>
      </c>
      <c r="K23" s="72" t="str">
        <f>IF($S23="","",IF(INDEX(对接源_01水果!$K$4:$K$1203,$S23)=0,"",INDEX(对接源_01水果!$K$4:$K$1203,$S23)))</f>
        <v/>
      </c>
      <c r="L23" s="70" t="str">
        <f>IF($S23="","",IF(INDEX(对接源_01水果!$L$4:$L$1203,$S23)=0,"",INDEX(对接源_01水果!$L$4:$L$1203,$S23)))</f>
        <v/>
      </c>
      <c r="M23" s="73" t="str">
        <f>IF($S23="","",IF(INDEX(对接源_01水果!$M$4:$M$1203,$S23)=0,"",INDEX(对接源_01水果!$M$4:$M$1203,$S23)))</f>
        <v/>
      </c>
      <c r="S2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4" ht="15.75" customHeight="1" spans="1:19">
      <c r="A24" s="70" t="str">
        <f>IF($S24="","",IF(INDEX(对接源_01水果!$B$4:$B$1203,$S24)=0,"",INDEX(对接源_01水果!$B$4:$B$1203,$S24)))</f>
        <v/>
      </c>
      <c r="B24" s="70" t="str">
        <f>IF($S24="","",IF(INDEX(对接源_01水果!$E$4:$E$1203,$S24)=0,"",INDEX(对接源_01水果!$E$4:$E$1203,$S24)))</f>
        <v/>
      </c>
      <c r="C24" s="70" t="str">
        <f>IF($S24="","",IF(INDEX(对接源_01水果!$F$4:$F$1203,$S24)=0,"",INDEX(对接源_01水果!$F$4:$F$1203,$S24)))</f>
        <v/>
      </c>
      <c r="D24" s="70" t="str">
        <f>IF($S24="","",IF(INDEX(对接源_01水果!$G$4:$G$1203,$S24)=0,"",INDEX(对接源_01水果!$G$4:$G$1203,$S24)))</f>
        <v/>
      </c>
      <c r="E24" s="70" t="str">
        <f>IF($S24="","",IF(INDEX(对接源_01水果!$H$4:$H$1203,$S24)=0,"",INDEX(对接源_01水果!$H$4:$H$1203,$S24)))</f>
        <v/>
      </c>
      <c r="F24" s="70" t="str">
        <f>IF($S24="","",IF(INDEX(对接源_01水果!$I$4:$I$1203,$S24)=0,"",INDEX(对接源_01水果!$I$4:$I$1203,$S24)))</f>
        <v/>
      </c>
      <c r="G24" s="72" t="str">
        <f>IF($S24="","",IF(INDEX(对接源_01水果!$AD$4:$AD$1203,$S24)=0,"",INDEX(对接源_01水果!$AD$4:$AD$1203,$S24)))</f>
        <v/>
      </c>
      <c r="H24" s="72" t="str">
        <f>IF($S24="","",IF(INDEX(对接源_01水果!$AI$4:$AI$1203,$S24)=0,"",INDEX(对接源_01水果!$AI$4:$AI$1203,$S24)))</f>
        <v/>
      </c>
      <c r="I24" s="72" t="str">
        <f>IF($S24="","",IF(INDEX(对接源_01水果!$AE$4:$AE$1203,$S24)=0,"",INDEX(对接源_01水果!$AE$4:$AE$1203,$S24)))</f>
        <v/>
      </c>
      <c r="J24" s="72" t="str">
        <f>IF($S24="","",IF(INDEX(对接源_01水果!$AF$4:$AF$1203,$S24)=0,"",INDEX(对接源_01水果!$AF$4:$AF$1203,$S24)))</f>
        <v/>
      </c>
      <c r="K24" s="72" t="str">
        <f>IF($S24="","",IF(INDEX(对接源_01水果!$K$4:$K$1203,$S24)=0,"",INDEX(对接源_01水果!$K$4:$K$1203,$S24)))</f>
        <v/>
      </c>
      <c r="L24" s="70" t="str">
        <f>IF($S24="","",IF(INDEX(对接源_01水果!$L$4:$L$1203,$S24)=0,"",INDEX(对接源_01水果!$L$4:$L$1203,$S24)))</f>
        <v/>
      </c>
      <c r="M24" s="73" t="str">
        <f>IF($S24="","",IF(INDEX(对接源_01水果!$M$4:$M$1203,$S24)=0,"",INDEX(对接源_01水果!$M$4:$M$1203,$S24)))</f>
        <v/>
      </c>
      <c r="S2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5" ht="15.75" customHeight="1" spans="1:19">
      <c r="A25" s="70" t="str">
        <f>IF($S25="","",IF(INDEX(对接源_01水果!$B$4:$B$1203,$S25)=0,"",INDEX(对接源_01水果!$B$4:$B$1203,$S25)))</f>
        <v/>
      </c>
      <c r="B25" s="70" t="str">
        <f>IF($S25="","",IF(INDEX(对接源_01水果!$E$4:$E$1203,$S25)=0,"",INDEX(对接源_01水果!$E$4:$E$1203,$S25)))</f>
        <v/>
      </c>
      <c r="C25" s="70" t="str">
        <f>IF($S25="","",IF(INDEX(对接源_01水果!$F$4:$F$1203,$S25)=0,"",INDEX(对接源_01水果!$F$4:$F$1203,$S25)))</f>
        <v/>
      </c>
      <c r="D25" s="70" t="str">
        <f>IF($S25="","",IF(INDEX(对接源_01水果!$G$4:$G$1203,$S25)=0,"",INDEX(对接源_01水果!$G$4:$G$1203,$S25)))</f>
        <v/>
      </c>
      <c r="E25" s="70" t="str">
        <f>IF($S25="","",IF(INDEX(对接源_01水果!$H$4:$H$1203,$S25)=0,"",INDEX(对接源_01水果!$H$4:$H$1203,$S25)))</f>
        <v/>
      </c>
      <c r="F25" s="70" t="str">
        <f>IF($S25="","",IF(INDEX(对接源_01水果!$I$4:$I$1203,$S25)=0,"",INDEX(对接源_01水果!$I$4:$I$1203,$S25)))</f>
        <v/>
      </c>
      <c r="G25" s="72" t="str">
        <f>IF($S25="","",IF(INDEX(对接源_01水果!$AD$4:$AD$1203,$S25)=0,"",INDEX(对接源_01水果!$AD$4:$AD$1203,$S25)))</f>
        <v/>
      </c>
      <c r="H25" s="72" t="str">
        <f>IF($S25="","",IF(INDEX(对接源_01水果!$AI$4:$AI$1203,$S25)=0,"",INDEX(对接源_01水果!$AI$4:$AI$1203,$S25)))</f>
        <v/>
      </c>
      <c r="I25" s="72" t="str">
        <f>IF($S25="","",IF(INDEX(对接源_01水果!$AE$4:$AE$1203,$S25)=0,"",INDEX(对接源_01水果!$AE$4:$AE$1203,$S25)))</f>
        <v/>
      </c>
      <c r="J25" s="72" t="str">
        <f>IF($S25="","",IF(INDEX(对接源_01水果!$AF$4:$AF$1203,$S25)=0,"",INDEX(对接源_01水果!$AF$4:$AF$1203,$S25)))</f>
        <v/>
      </c>
      <c r="K25" s="72" t="str">
        <f>IF($S25="","",IF(INDEX(对接源_01水果!$K$4:$K$1203,$S25)=0,"",INDEX(对接源_01水果!$K$4:$K$1203,$S25)))</f>
        <v/>
      </c>
      <c r="L25" s="70" t="str">
        <f>IF($S25="","",IF(INDEX(对接源_01水果!$L$4:$L$1203,$S25)=0,"",INDEX(对接源_01水果!$L$4:$L$1203,$S25)))</f>
        <v/>
      </c>
      <c r="M25" s="73" t="str">
        <f>IF($S25="","",IF(INDEX(对接源_01水果!$M$4:$M$1203,$S25)=0,"",INDEX(对接源_01水果!$M$4:$M$1203,$S25)))</f>
        <v/>
      </c>
      <c r="S2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6" ht="15.75" customHeight="1" spans="1:19">
      <c r="A26" s="70" t="str">
        <f>IF($S26="","",IF(INDEX(对接源_01水果!$B$4:$B$1203,$S26)=0,"",INDEX(对接源_01水果!$B$4:$B$1203,$S26)))</f>
        <v/>
      </c>
      <c r="B26" s="70" t="str">
        <f>IF($S26="","",IF(INDEX(对接源_01水果!$E$4:$E$1203,$S26)=0,"",INDEX(对接源_01水果!$E$4:$E$1203,$S26)))</f>
        <v/>
      </c>
      <c r="C26" s="70" t="str">
        <f>IF($S26="","",IF(INDEX(对接源_01水果!$F$4:$F$1203,$S26)=0,"",INDEX(对接源_01水果!$F$4:$F$1203,$S26)))</f>
        <v/>
      </c>
      <c r="D26" s="70" t="str">
        <f>IF($S26="","",IF(INDEX(对接源_01水果!$G$4:$G$1203,$S26)=0,"",INDEX(对接源_01水果!$G$4:$G$1203,$S26)))</f>
        <v/>
      </c>
      <c r="E26" s="70" t="str">
        <f>IF($S26="","",IF(INDEX(对接源_01水果!$H$4:$H$1203,$S26)=0,"",INDEX(对接源_01水果!$H$4:$H$1203,$S26)))</f>
        <v/>
      </c>
      <c r="F26" s="70" t="str">
        <f>IF($S26="","",IF(INDEX(对接源_01水果!$I$4:$I$1203,$S26)=0,"",INDEX(对接源_01水果!$I$4:$I$1203,$S26)))</f>
        <v/>
      </c>
      <c r="G26" s="72" t="str">
        <f>IF($S26="","",IF(INDEX(对接源_01水果!$AD$4:$AD$1203,$S26)=0,"",INDEX(对接源_01水果!$AD$4:$AD$1203,$S26)))</f>
        <v/>
      </c>
      <c r="H26" s="72" t="str">
        <f>IF($S26="","",IF(INDEX(对接源_01水果!$AI$4:$AI$1203,$S26)=0,"",INDEX(对接源_01水果!$AI$4:$AI$1203,$S26)))</f>
        <v/>
      </c>
      <c r="I26" s="72" t="str">
        <f>IF($S26="","",IF(INDEX(对接源_01水果!$AE$4:$AE$1203,$S26)=0,"",INDEX(对接源_01水果!$AE$4:$AE$1203,$S26)))</f>
        <v/>
      </c>
      <c r="J26" s="72" t="str">
        <f>IF($S26="","",IF(INDEX(对接源_01水果!$AF$4:$AF$1203,$S26)=0,"",INDEX(对接源_01水果!$AF$4:$AF$1203,$S26)))</f>
        <v/>
      </c>
      <c r="K26" s="72" t="str">
        <f>IF($S26="","",IF(INDEX(对接源_01水果!$K$4:$K$1203,$S26)=0,"",INDEX(对接源_01水果!$K$4:$K$1203,$S26)))</f>
        <v/>
      </c>
      <c r="L26" s="70" t="str">
        <f>IF($S26="","",IF(INDEX(对接源_01水果!$L$4:$L$1203,$S26)=0,"",INDEX(对接源_01水果!$L$4:$L$1203,$S26)))</f>
        <v/>
      </c>
      <c r="M26" s="73" t="str">
        <f>IF($S26="","",IF(INDEX(对接源_01水果!$M$4:$M$1203,$S26)=0,"",INDEX(对接源_01水果!$M$4:$M$1203,$S26)))</f>
        <v/>
      </c>
      <c r="S2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7" ht="15.75" customHeight="1" spans="1:19">
      <c r="A27" s="70" t="str">
        <f>IF($S27="","",IF(INDEX(对接源_01水果!$B$4:$B$1203,$S27)=0,"",INDEX(对接源_01水果!$B$4:$B$1203,$S27)))</f>
        <v/>
      </c>
      <c r="B27" s="70" t="str">
        <f>IF($S27="","",IF(INDEX(对接源_01水果!$E$4:$E$1203,$S27)=0,"",INDEX(对接源_01水果!$E$4:$E$1203,$S27)))</f>
        <v/>
      </c>
      <c r="C27" s="70" t="str">
        <f>IF($S27="","",IF(INDEX(对接源_01水果!$F$4:$F$1203,$S27)=0,"",INDEX(对接源_01水果!$F$4:$F$1203,$S27)))</f>
        <v/>
      </c>
      <c r="D27" s="70" t="str">
        <f>IF($S27="","",IF(INDEX(对接源_01水果!$G$4:$G$1203,$S27)=0,"",INDEX(对接源_01水果!$G$4:$G$1203,$S27)))</f>
        <v/>
      </c>
      <c r="E27" s="70" t="str">
        <f>IF($S27="","",IF(INDEX(对接源_01水果!$H$4:$H$1203,$S27)=0,"",INDEX(对接源_01水果!$H$4:$H$1203,$S27)))</f>
        <v/>
      </c>
      <c r="F27" s="70" t="str">
        <f>IF($S27="","",IF(INDEX(对接源_01水果!$I$4:$I$1203,$S27)=0,"",INDEX(对接源_01水果!$I$4:$I$1203,$S27)))</f>
        <v/>
      </c>
      <c r="G27" s="72" t="str">
        <f>IF($S27="","",IF(INDEX(对接源_01水果!$AD$4:$AD$1203,$S27)=0,"",INDEX(对接源_01水果!$AD$4:$AD$1203,$S27)))</f>
        <v/>
      </c>
      <c r="H27" s="72" t="str">
        <f>IF($S27="","",IF(INDEX(对接源_01水果!$AI$4:$AI$1203,$S27)=0,"",INDEX(对接源_01水果!$AI$4:$AI$1203,$S27)))</f>
        <v/>
      </c>
      <c r="I27" s="72" t="str">
        <f>IF($S27="","",IF(INDEX(对接源_01水果!$AE$4:$AE$1203,$S27)=0,"",INDEX(对接源_01水果!$AE$4:$AE$1203,$S27)))</f>
        <v/>
      </c>
      <c r="J27" s="72" t="str">
        <f>IF($S27="","",IF(INDEX(对接源_01水果!$AF$4:$AF$1203,$S27)=0,"",INDEX(对接源_01水果!$AF$4:$AF$1203,$S27)))</f>
        <v/>
      </c>
      <c r="K27" s="72" t="str">
        <f>IF($S27="","",IF(INDEX(对接源_01水果!$K$4:$K$1203,$S27)=0,"",INDEX(对接源_01水果!$K$4:$K$1203,$S27)))</f>
        <v/>
      </c>
      <c r="L27" s="70" t="str">
        <f>IF($S27="","",IF(INDEX(对接源_01水果!$L$4:$L$1203,$S27)=0,"",INDEX(对接源_01水果!$L$4:$L$1203,$S27)))</f>
        <v/>
      </c>
      <c r="M27" s="73" t="str">
        <f>IF($S27="","",IF(INDEX(对接源_01水果!$M$4:$M$1203,$S27)=0,"",INDEX(对接源_01水果!$M$4:$M$1203,$S27)))</f>
        <v/>
      </c>
      <c r="S2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8" ht="15.75" customHeight="1" spans="1:19">
      <c r="A28" s="70" t="str">
        <f>IF($S28="","",IF(INDEX(对接源_01水果!$B$4:$B$1203,$S28)=0,"",INDEX(对接源_01水果!$B$4:$B$1203,$S28)))</f>
        <v/>
      </c>
      <c r="B28" s="70" t="str">
        <f>IF($S28="","",IF(INDEX(对接源_01水果!$E$4:$E$1203,$S28)=0,"",INDEX(对接源_01水果!$E$4:$E$1203,$S28)))</f>
        <v/>
      </c>
      <c r="C28" s="70" t="str">
        <f>IF($S28="","",IF(INDEX(对接源_01水果!$F$4:$F$1203,$S28)=0,"",INDEX(对接源_01水果!$F$4:$F$1203,$S28)))</f>
        <v/>
      </c>
      <c r="D28" s="70" t="str">
        <f>IF($S28="","",IF(INDEX(对接源_01水果!$G$4:$G$1203,$S28)=0,"",INDEX(对接源_01水果!$G$4:$G$1203,$S28)))</f>
        <v/>
      </c>
      <c r="E28" s="70" t="str">
        <f>IF($S28="","",IF(INDEX(对接源_01水果!$H$4:$H$1203,$S28)=0,"",INDEX(对接源_01水果!$H$4:$H$1203,$S28)))</f>
        <v/>
      </c>
      <c r="F28" s="70" t="str">
        <f>IF($S28="","",IF(INDEX(对接源_01水果!$I$4:$I$1203,$S28)=0,"",INDEX(对接源_01水果!$I$4:$I$1203,$S28)))</f>
        <v/>
      </c>
      <c r="G28" s="72" t="str">
        <f>IF($S28="","",IF(INDEX(对接源_01水果!$AD$4:$AD$1203,$S28)=0,"",INDEX(对接源_01水果!$AD$4:$AD$1203,$S28)))</f>
        <v/>
      </c>
      <c r="H28" s="72" t="str">
        <f>IF($S28="","",IF(INDEX(对接源_01水果!$AI$4:$AI$1203,$S28)=0,"",INDEX(对接源_01水果!$AI$4:$AI$1203,$S28)))</f>
        <v/>
      </c>
      <c r="I28" s="72" t="str">
        <f>IF($S28="","",IF(INDEX(对接源_01水果!$AE$4:$AE$1203,$S28)=0,"",INDEX(对接源_01水果!$AE$4:$AE$1203,$S28)))</f>
        <v/>
      </c>
      <c r="J28" s="72" t="str">
        <f>IF($S28="","",IF(INDEX(对接源_01水果!$AF$4:$AF$1203,$S28)=0,"",INDEX(对接源_01水果!$AF$4:$AF$1203,$S28)))</f>
        <v/>
      </c>
      <c r="K28" s="72" t="str">
        <f>IF($S28="","",IF(INDEX(对接源_01水果!$K$4:$K$1203,$S28)=0,"",INDEX(对接源_01水果!$K$4:$K$1203,$S28)))</f>
        <v/>
      </c>
      <c r="L28" s="70" t="str">
        <f>IF($S28="","",IF(INDEX(对接源_01水果!$L$4:$L$1203,$S28)=0,"",INDEX(对接源_01水果!$L$4:$L$1203,$S28)))</f>
        <v/>
      </c>
      <c r="M28" s="73" t="str">
        <f>IF($S28="","",IF(INDEX(对接源_01水果!$M$4:$M$1203,$S28)=0,"",INDEX(对接源_01水果!$M$4:$M$1203,$S28)))</f>
        <v/>
      </c>
      <c r="S2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9" ht="15.75" customHeight="1" spans="1:19">
      <c r="A29" s="70" t="str">
        <f>IF($S29="","",IF(INDEX(对接源_01水果!$B$4:$B$1203,$S29)=0,"",INDEX(对接源_01水果!$B$4:$B$1203,$S29)))</f>
        <v/>
      </c>
      <c r="B29" s="70" t="str">
        <f>IF($S29="","",IF(INDEX(对接源_01水果!$E$4:$E$1203,$S29)=0,"",INDEX(对接源_01水果!$E$4:$E$1203,$S29)))</f>
        <v/>
      </c>
      <c r="C29" s="70" t="str">
        <f>IF($S29="","",IF(INDEX(对接源_01水果!$F$4:$F$1203,$S29)=0,"",INDEX(对接源_01水果!$F$4:$F$1203,$S29)))</f>
        <v/>
      </c>
      <c r="D29" s="70" t="str">
        <f>IF($S29="","",IF(INDEX(对接源_01水果!$G$4:$G$1203,$S29)=0,"",INDEX(对接源_01水果!$G$4:$G$1203,$S29)))</f>
        <v/>
      </c>
      <c r="E29" s="70" t="str">
        <f>IF($S29="","",IF(INDEX(对接源_01水果!$H$4:$H$1203,$S29)=0,"",INDEX(对接源_01水果!$H$4:$H$1203,$S29)))</f>
        <v/>
      </c>
      <c r="F29" s="70" t="str">
        <f>IF($S29="","",IF(INDEX(对接源_01水果!$I$4:$I$1203,$S29)=0,"",INDEX(对接源_01水果!$I$4:$I$1203,$S29)))</f>
        <v/>
      </c>
      <c r="G29" s="72" t="str">
        <f>IF($S29="","",IF(INDEX(对接源_01水果!$AD$4:$AD$1203,$S29)=0,"",INDEX(对接源_01水果!$AD$4:$AD$1203,$S29)))</f>
        <v/>
      </c>
      <c r="H29" s="72" t="str">
        <f>IF($S29="","",IF(INDEX(对接源_01水果!$AI$4:$AI$1203,$S29)=0,"",INDEX(对接源_01水果!$AI$4:$AI$1203,$S29)))</f>
        <v/>
      </c>
      <c r="I29" s="72" t="str">
        <f>IF($S29="","",IF(INDEX(对接源_01水果!$AE$4:$AE$1203,$S29)=0,"",INDEX(对接源_01水果!$AE$4:$AE$1203,$S29)))</f>
        <v/>
      </c>
      <c r="J29" s="72" t="str">
        <f>IF($S29="","",IF(INDEX(对接源_01水果!$AF$4:$AF$1203,$S29)=0,"",INDEX(对接源_01水果!$AF$4:$AF$1203,$S29)))</f>
        <v/>
      </c>
      <c r="K29" s="72" t="str">
        <f>IF($S29="","",IF(INDEX(对接源_01水果!$K$4:$K$1203,$S29)=0,"",INDEX(对接源_01水果!$K$4:$K$1203,$S29)))</f>
        <v/>
      </c>
      <c r="L29" s="70" t="str">
        <f>IF($S29="","",IF(INDEX(对接源_01水果!$L$4:$L$1203,$S29)=0,"",INDEX(对接源_01水果!$L$4:$L$1203,$S29)))</f>
        <v/>
      </c>
      <c r="M29" s="73" t="str">
        <f>IF($S29="","",IF(INDEX(对接源_01水果!$M$4:$M$1203,$S29)=0,"",INDEX(对接源_01水果!$M$4:$M$1203,$S29)))</f>
        <v/>
      </c>
      <c r="S2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0" ht="15.75" customHeight="1" spans="1:19">
      <c r="A30" s="70" t="str">
        <f>IF($S30="","",IF(INDEX(对接源_01水果!$B$4:$B$1203,$S30)=0,"",INDEX(对接源_01水果!$B$4:$B$1203,$S30)))</f>
        <v/>
      </c>
      <c r="B30" s="70" t="str">
        <f>IF($S30="","",IF(INDEX(对接源_01水果!$E$4:$E$1203,$S30)=0,"",INDEX(对接源_01水果!$E$4:$E$1203,$S30)))</f>
        <v/>
      </c>
      <c r="C30" s="70" t="str">
        <f>IF($S30="","",IF(INDEX(对接源_01水果!$F$4:$F$1203,$S30)=0,"",INDEX(对接源_01水果!$F$4:$F$1203,$S30)))</f>
        <v/>
      </c>
      <c r="D30" s="70" t="str">
        <f>IF($S30="","",IF(INDEX(对接源_01水果!$G$4:$G$1203,$S30)=0,"",INDEX(对接源_01水果!$G$4:$G$1203,$S30)))</f>
        <v/>
      </c>
      <c r="E30" s="70" t="str">
        <f>IF($S30="","",IF(INDEX(对接源_01水果!$H$4:$H$1203,$S30)=0,"",INDEX(对接源_01水果!$H$4:$H$1203,$S30)))</f>
        <v/>
      </c>
      <c r="F30" s="70" t="str">
        <f>IF($S30="","",IF(INDEX(对接源_01水果!$I$4:$I$1203,$S30)=0,"",INDEX(对接源_01水果!$I$4:$I$1203,$S30)))</f>
        <v/>
      </c>
      <c r="G30" s="72" t="str">
        <f>IF($S30="","",IF(INDEX(对接源_01水果!$AD$4:$AD$1203,$S30)=0,"",INDEX(对接源_01水果!$AD$4:$AD$1203,$S30)))</f>
        <v/>
      </c>
      <c r="H30" s="72" t="str">
        <f>IF($S30="","",IF(INDEX(对接源_01水果!$AI$4:$AI$1203,$S30)=0,"",INDEX(对接源_01水果!$AI$4:$AI$1203,$S30)))</f>
        <v/>
      </c>
      <c r="I30" s="72" t="str">
        <f>IF($S30="","",IF(INDEX(对接源_01水果!$AE$4:$AE$1203,$S30)=0,"",INDEX(对接源_01水果!$AE$4:$AE$1203,$S30)))</f>
        <v/>
      </c>
      <c r="J30" s="72" t="str">
        <f>IF($S30="","",IF(INDEX(对接源_01水果!$AF$4:$AF$1203,$S30)=0,"",INDEX(对接源_01水果!$AF$4:$AF$1203,$S30)))</f>
        <v/>
      </c>
      <c r="K30" s="72" t="str">
        <f>IF($S30="","",IF(INDEX(对接源_01水果!$K$4:$K$1203,$S30)=0,"",INDEX(对接源_01水果!$K$4:$K$1203,$S30)))</f>
        <v/>
      </c>
      <c r="L30" s="70" t="str">
        <f>IF($S30="","",IF(INDEX(对接源_01水果!$L$4:$L$1203,$S30)=0,"",INDEX(对接源_01水果!$L$4:$L$1203,$S30)))</f>
        <v/>
      </c>
      <c r="M30" s="73" t="str">
        <f>IF($S30="","",IF(INDEX(对接源_01水果!$M$4:$M$1203,$S30)=0,"",INDEX(对接源_01水果!$M$4:$M$1203,$S30)))</f>
        <v/>
      </c>
      <c r="S3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1" ht="15.75" customHeight="1" spans="1:19">
      <c r="A31" s="70" t="str">
        <f>IF($S31="","",IF(INDEX(对接源_01水果!$B$4:$B$1203,$S31)=0,"",INDEX(对接源_01水果!$B$4:$B$1203,$S31)))</f>
        <v/>
      </c>
      <c r="B31" s="70" t="str">
        <f>IF($S31="","",IF(INDEX(对接源_01水果!$E$4:$E$1203,$S31)=0,"",INDEX(对接源_01水果!$E$4:$E$1203,$S31)))</f>
        <v/>
      </c>
      <c r="C31" s="70" t="str">
        <f>IF($S31="","",IF(INDEX(对接源_01水果!$F$4:$F$1203,$S31)=0,"",INDEX(对接源_01水果!$F$4:$F$1203,$S31)))</f>
        <v/>
      </c>
      <c r="D31" s="70" t="str">
        <f>IF($S31="","",IF(INDEX(对接源_01水果!$G$4:$G$1203,$S31)=0,"",INDEX(对接源_01水果!$G$4:$G$1203,$S31)))</f>
        <v/>
      </c>
      <c r="E31" s="70" t="str">
        <f>IF($S31="","",IF(INDEX(对接源_01水果!$H$4:$H$1203,$S31)=0,"",INDEX(对接源_01水果!$H$4:$H$1203,$S31)))</f>
        <v/>
      </c>
      <c r="F31" s="70" t="str">
        <f>IF($S31="","",IF(INDEX(对接源_01水果!$I$4:$I$1203,$S31)=0,"",INDEX(对接源_01水果!$I$4:$I$1203,$S31)))</f>
        <v/>
      </c>
      <c r="G31" s="72" t="str">
        <f>IF($S31="","",IF(INDEX(对接源_01水果!$AD$4:$AD$1203,$S31)=0,"",INDEX(对接源_01水果!$AD$4:$AD$1203,$S31)))</f>
        <v/>
      </c>
      <c r="H31" s="72" t="str">
        <f>IF($S31="","",IF(INDEX(对接源_01水果!$AI$4:$AI$1203,$S31)=0,"",INDEX(对接源_01水果!$AI$4:$AI$1203,$S31)))</f>
        <v/>
      </c>
      <c r="I31" s="72" t="str">
        <f>IF($S31="","",IF(INDEX(对接源_01水果!$AE$4:$AE$1203,$S31)=0,"",INDEX(对接源_01水果!$AE$4:$AE$1203,$S31)))</f>
        <v/>
      </c>
      <c r="J31" s="72" t="str">
        <f>IF($S31="","",IF(INDEX(对接源_01水果!$AF$4:$AF$1203,$S31)=0,"",INDEX(对接源_01水果!$AF$4:$AF$1203,$S31)))</f>
        <v/>
      </c>
      <c r="K31" s="72" t="str">
        <f>IF($S31="","",IF(INDEX(对接源_01水果!$K$4:$K$1203,$S31)=0,"",INDEX(对接源_01水果!$K$4:$K$1203,$S31)))</f>
        <v/>
      </c>
      <c r="L31" s="70" t="str">
        <f>IF($S31="","",IF(INDEX(对接源_01水果!$L$4:$L$1203,$S31)=0,"",INDEX(对接源_01水果!$L$4:$L$1203,$S31)))</f>
        <v/>
      </c>
      <c r="M31" s="73" t="str">
        <f>IF($S31="","",IF(INDEX(对接源_01水果!$M$4:$M$1203,$S31)=0,"",INDEX(对接源_01水果!$M$4:$M$1203,$S31)))</f>
        <v/>
      </c>
      <c r="S3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2" ht="15.75" customHeight="1" spans="1:19">
      <c r="A32" s="70" t="str">
        <f>IF($S32="","",IF(INDEX(对接源_01水果!$B$4:$B$1203,$S32)=0,"",INDEX(对接源_01水果!$B$4:$B$1203,$S32)))</f>
        <v/>
      </c>
      <c r="B32" s="70" t="str">
        <f>IF($S32="","",IF(INDEX(对接源_01水果!$E$4:$E$1203,$S32)=0,"",INDEX(对接源_01水果!$E$4:$E$1203,$S32)))</f>
        <v/>
      </c>
      <c r="C32" s="70" t="str">
        <f>IF($S32="","",IF(INDEX(对接源_01水果!$F$4:$F$1203,$S32)=0,"",INDEX(对接源_01水果!$F$4:$F$1203,$S32)))</f>
        <v/>
      </c>
      <c r="D32" s="70" t="str">
        <f>IF($S32="","",IF(INDEX(对接源_01水果!$G$4:$G$1203,$S32)=0,"",INDEX(对接源_01水果!$G$4:$G$1203,$S32)))</f>
        <v/>
      </c>
      <c r="E32" s="70" t="str">
        <f>IF($S32="","",IF(INDEX(对接源_01水果!$H$4:$H$1203,$S32)=0,"",INDEX(对接源_01水果!$H$4:$H$1203,$S32)))</f>
        <v/>
      </c>
      <c r="F32" s="70" t="str">
        <f>IF($S32="","",IF(INDEX(对接源_01水果!$I$4:$I$1203,$S32)=0,"",INDEX(对接源_01水果!$I$4:$I$1203,$S32)))</f>
        <v/>
      </c>
      <c r="G32" s="72" t="str">
        <f>IF($S32="","",IF(INDEX(对接源_01水果!$AD$4:$AD$1203,$S32)=0,"",INDEX(对接源_01水果!$AD$4:$AD$1203,$S32)))</f>
        <v/>
      </c>
      <c r="H32" s="72" t="str">
        <f>IF($S32="","",IF(INDEX(对接源_01水果!$AI$4:$AI$1203,$S32)=0,"",INDEX(对接源_01水果!$AI$4:$AI$1203,$S32)))</f>
        <v/>
      </c>
      <c r="I32" s="72" t="str">
        <f>IF($S32="","",IF(INDEX(对接源_01水果!$AE$4:$AE$1203,$S32)=0,"",INDEX(对接源_01水果!$AE$4:$AE$1203,$S32)))</f>
        <v/>
      </c>
      <c r="J32" s="72" t="str">
        <f>IF($S32="","",IF(INDEX(对接源_01水果!$AF$4:$AF$1203,$S32)=0,"",INDEX(对接源_01水果!$AF$4:$AF$1203,$S32)))</f>
        <v/>
      </c>
      <c r="K32" s="72" t="str">
        <f>IF($S32="","",IF(INDEX(对接源_01水果!$K$4:$K$1203,$S32)=0,"",INDEX(对接源_01水果!$K$4:$K$1203,$S32)))</f>
        <v/>
      </c>
      <c r="L32" s="70" t="str">
        <f>IF($S32="","",IF(INDEX(对接源_01水果!$L$4:$L$1203,$S32)=0,"",INDEX(对接源_01水果!$L$4:$L$1203,$S32)))</f>
        <v/>
      </c>
      <c r="M32" s="73" t="str">
        <f>IF($S32="","",IF(INDEX(对接源_01水果!$M$4:$M$1203,$S32)=0,"",INDEX(对接源_01水果!$M$4:$M$1203,$S32)))</f>
        <v/>
      </c>
      <c r="S3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3" ht="15.75" customHeight="1" spans="1:19">
      <c r="A33" s="70" t="str">
        <f>IF($S33="","",IF(INDEX(对接源_01水果!$B$4:$B$1203,$S33)=0,"",INDEX(对接源_01水果!$B$4:$B$1203,$S33)))</f>
        <v/>
      </c>
      <c r="B33" s="70" t="str">
        <f>IF($S33="","",IF(INDEX(对接源_01水果!$E$4:$E$1203,$S33)=0,"",INDEX(对接源_01水果!$E$4:$E$1203,$S33)))</f>
        <v/>
      </c>
      <c r="C33" s="70" t="str">
        <f>IF($S33="","",IF(INDEX(对接源_01水果!$F$4:$F$1203,$S33)=0,"",INDEX(对接源_01水果!$F$4:$F$1203,$S33)))</f>
        <v/>
      </c>
      <c r="D33" s="70" t="str">
        <f>IF($S33="","",IF(INDEX(对接源_01水果!$G$4:$G$1203,$S33)=0,"",INDEX(对接源_01水果!$G$4:$G$1203,$S33)))</f>
        <v/>
      </c>
      <c r="E33" s="70" t="str">
        <f>IF($S33="","",IF(INDEX(对接源_01水果!$H$4:$H$1203,$S33)=0,"",INDEX(对接源_01水果!$H$4:$H$1203,$S33)))</f>
        <v/>
      </c>
      <c r="F33" s="70" t="str">
        <f>IF($S33="","",IF(INDEX(对接源_01水果!$I$4:$I$1203,$S33)=0,"",INDEX(对接源_01水果!$I$4:$I$1203,$S33)))</f>
        <v/>
      </c>
      <c r="G33" s="72" t="str">
        <f>IF($S33="","",IF(INDEX(对接源_01水果!$AD$4:$AD$1203,$S33)=0,"",INDEX(对接源_01水果!$AD$4:$AD$1203,$S33)))</f>
        <v/>
      </c>
      <c r="H33" s="72" t="str">
        <f>IF($S33="","",IF(INDEX(对接源_01水果!$AI$4:$AI$1203,$S33)=0,"",INDEX(对接源_01水果!$AI$4:$AI$1203,$S33)))</f>
        <v/>
      </c>
      <c r="I33" s="72" t="str">
        <f>IF($S33="","",IF(INDEX(对接源_01水果!$AE$4:$AE$1203,$S33)=0,"",INDEX(对接源_01水果!$AE$4:$AE$1203,$S33)))</f>
        <v/>
      </c>
      <c r="J33" s="72" t="str">
        <f>IF($S33="","",IF(INDEX(对接源_01水果!$AF$4:$AF$1203,$S33)=0,"",INDEX(对接源_01水果!$AF$4:$AF$1203,$S33)))</f>
        <v/>
      </c>
      <c r="K33" s="72" t="str">
        <f>IF($S33="","",IF(INDEX(对接源_01水果!$K$4:$K$1203,$S33)=0,"",INDEX(对接源_01水果!$K$4:$K$1203,$S33)))</f>
        <v/>
      </c>
      <c r="L33" s="70" t="str">
        <f>IF($S33="","",IF(INDEX(对接源_01水果!$L$4:$L$1203,$S33)=0,"",INDEX(对接源_01水果!$L$4:$L$1203,$S33)))</f>
        <v/>
      </c>
      <c r="M33" s="73" t="str">
        <f>IF($S33="","",IF(INDEX(对接源_01水果!$M$4:$M$1203,$S33)=0,"",INDEX(对接源_01水果!$M$4:$M$1203,$S33)))</f>
        <v/>
      </c>
      <c r="S3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4" ht="15.75" customHeight="1" spans="1:19">
      <c r="A34" s="70" t="str">
        <f>IF($S34="","",IF(INDEX(对接源_01水果!$B$4:$B$1203,$S34)=0,"",INDEX(对接源_01水果!$B$4:$B$1203,$S34)))</f>
        <v/>
      </c>
      <c r="B34" s="70" t="str">
        <f>IF($S34="","",IF(INDEX(对接源_01水果!$E$4:$E$1203,$S34)=0,"",INDEX(对接源_01水果!$E$4:$E$1203,$S34)))</f>
        <v/>
      </c>
      <c r="C34" s="70" t="str">
        <f>IF($S34="","",IF(INDEX(对接源_01水果!$F$4:$F$1203,$S34)=0,"",INDEX(对接源_01水果!$F$4:$F$1203,$S34)))</f>
        <v/>
      </c>
      <c r="D34" s="70" t="str">
        <f>IF($S34="","",IF(INDEX(对接源_01水果!$G$4:$G$1203,$S34)=0,"",INDEX(对接源_01水果!$G$4:$G$1203,$S34)))</f>
        <v/>
      </c>
      <c r="E34" s="70" t="str">
        <f>IF($S34="","",IF(INDEX(对接源_01水果!$H$4:$H$1203,$S34)=0,"",INDEX(对接源_01水果!$H$4:$H$1203,$S34)))</f>
        <v/>
      </c>
      <c r="F34" s="70" t="str">
        <f>IF($S34="","",IF(INDEX(对接源_01水果!$I$4:$I$1203,$S34)=0,"",INDEX(对接源_01水果!$I$4:$I$1203,$S34)))</f>
        <v/>
      </c>
      <c r="G34" s="72" t="str">
        <f>IF($S34="","",IF(INDEX(对接源_01水果!$AD$4:$AD$1203,$S34)=0,"",INDEX(对接源_01水果!$AD$4:$AD$1203,$S34)))</f>
        <v/>
      </c>
      <c r="H34" s="72" t="str">
        <f>IF($S34="","",IF(INDEX(对接源_01水果!$AI$4:$AI$1203,$S34)=0,"",INDEX(对接源_01水果!$AI$4:$AI$1203,$S34)))</f>
        <v/>
      </c>
      <c r="I34" s="72" t="str">
        <f>IF($S34="","",IF(INDEX(对接源_01水果!$AE$4:$AE$1203,$S34)=0,"",INDEX(对接源_01水果!$AE$4:$AE$1203,$S34)))</f>
        <v/>
      </c>
      <c r="J34" s="72" t="str">
        <f>IF($S34="","",IF(INDEX(对接源_01水果!$AF$4:$AF$1203,$S34)=0,"",INDEX(对接源_01水果!$AF$4:$AF$1203,$S34)))</f>
        <v/>
      </c>
      <c r="K34" s="72" t="str">
        <f>IF($S34="","",IF(INDEX(对接源_01水果!$K$4:$K$1203,$S34)=0,"",INDEX(对接源_01水果!$K$4:$K$1203,$S34)))</f>
        <v/>
      </c>
      <c r="L34" s="70" t="str">
        <f>IF($S34="","",IF(INDEX(对接源_01水果!$L$4:$L$1203,$S34)=0,"",INDEX(对接源_01水果!$L$4:$L$1203,$S34)))</f>
        <v/>
      </c>
      <c r="M34" s="73" t="str">
        <f>IF($S34="","",IF(INDEX(对接源_01水果!$M$4:$M$1203,$S34)=0,"",INDEX(对接源_01水果!$M$4:$M$1203,$S34)))</f>
        <v/>
      </c>
      <c r="S3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5" ht="15.75" customHeight="1" spans="1:19">
      <c r="A35" s="70" t="str">
        <f>IF($S35="","",IF(INDEX(对接源_01水果!$B$4:$B$1203,$S35)=0,"",INDEX(对接源_01水果!$B$4:$B$1203,$S35)))</f>
        <v/>
      </c>
      <c r="B35" s="70" t="str">
        <f>IF($S35="","",IF(INDEX(对接源_01水果!$E$4:$E$1203,$S35)=0,"",INDEX(对接源_01水果!$E$4:$E$1203,$S35)))</f>
        <v/>
      </c>
      <c r="C35" s="70" t="str">
        <f>IF($S35="","",IF(INDEX(对接源_01水果!$F$4:$F$1203,$S35)=0,"",INDEX(对接源_01水果!$F$4:$F$1203,$S35)))</f>
        <v/>
      </c>
      <c r="D35" s="70" t="str">
        <f>IF($S35="","",IF(INDEX(对接源_01水果!$G$4:$G$1203,$S35)=0,"",INDEX(对接源_01水果!$G$4:$G$1203,$S35)))</f>
        <v/>
      </c>
      <c r="E35" s="70" t="str">
        <f>IF($S35="","",IF(INDEX(对接源_01水果!$H$4:$H$1203,$S35)=0,"",INDEX(对接源_01水果!$H$4:$H$1203,$S35)))</f>
        <v/>
      </c>
      <c r="F35" s="70" t="str">
        <f>IF($S35="","",IF(INDEX(对接源_01水果!$I$4:$I$1203,$S35)=0,"",INDEX(对接源_01水果!$I$4:$I$1203,$S35)))</f>
        <v/>
      </c>
      <c r="G35" s="72" t="str">
        <f>IF($S35="","",IF(INDEX(对接源_01水果!$AD$4:$AD$1203,$S35)=0,"",INDEX(对接源_01水果!$AD$4:$AD$1203,$S35)))</f>
        <v/>
      </c>
      <c r="H35" s="72" t="str">
        <f>IF($S35="","",IF(INDEX(对接源_01水果!$AI$4:$AI$1203,$S35)=0,"",INDEX(对接源_01水果!$AI$4:$AI$1203,$S35)))</f>
        <v/>
      </c>
      <c r="I35" s="72" t="str">
        <f>IF($S35="","",IF(INDEX(对接源_01水果!$AE$4:$AE$1203,$S35)=0,"",INDEX(对接源_01水果!$AE$4:$AE$1203,$S35)))</f>
        <v/>
      </c>
      <c r="J35" s="72" t="str">
        <f>IF($S35="","",IF(INDEX(对接源_01水果!$AF$4:$AF$1203,$S35)=0,"",INDEX(对接源_01水果!$AF$4:$AF$1203,$S35)))</f>
        <v/>
      </c>
      <c r="K35" s="72" t="str">
        <f>IF($S35="","",IF(INDEX(对接源_01水果!$K$4:$K$1203,$S35)=0,"",INDEX(对接源_01水果!$K$4:$K$1203,$S35)))</f>
        <v/>
      </c>
      <c r="L35" s="70" t="str">
        <f>IF($S35="","",IF(INDEX(对接源_01水果!$L$4:$L$1203,$S35)=0,"",INDEX(对接源_01水果!$L$4:$L$1203,$S35)))</f>
        <v/>
      </c>
      <c r="M35" s="73" t="str">
        <f>IF($S35="","",IF(INDEX(对接源_01水果!$M$4:$M$1203,$S35)=0,"",INDEX(对接源_01水果!$M$4:$M$1203,$S35)))</f>
        <v/>
      </c>
      <c r="S3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6" ht="15.75" customHeight="1" spans="1:19">
      <c r="A36" s="70" t="str">
        <f>IF($S36="","",IF(INDEX(对接源_01水果!$B$4:$B$1203,$S36)=0,"",INDEX(对接源_01水果!$B$4:$B$1203,$S36)))</f>
        <v/>
      </c>
      <c r="B36" s="70" t="str">
        <f>IF($S36="","",IF(INDEX(对接源_01水果!$E$4:$E$1203,$S36)=0,"",INDEX(对接源_01水果!$E$4:$E$1203,$S36)))</f>
        <v/>
      </c>
      <c r="C36" s="70" t="str">
        <f>IF($S36="","",IF(INDEX(对接源_01水果!$F$4:$F$1203,$S36)=0,"",INDEX(对接源_01水果!$F$4:$F$1203,$S36)))</f>
        <v/>
      </c>
      <c r="D36" s="70" t="str">
        <f>IF($S36="","",IF(INDEX(对接源_01水果!$G$4:$G$1203,$S36)=0,"",INDEX(对接源_01水果!$G$4:$G$1203,$S36)))</f>
        <v/>
      </c>
      <c r="E36" s="70" t="str">
        <f>IF($S36="","",IF(INDEX(对接源_01水果!$H$4:$H$1203,$S36)=0,"",INDEX(对接源_01水果!$H$4:$H$1203,$S36)))</f>
        <v/>
      </c>
      <c r="F36" s="70" t="str">
        <f>IF($S36="","",IF(INDEX(对接源_01水果!$I$4:$I$1203,$S36)=0,"",INDEX(对接源_01水果!$I$4:$I$1203,$S36)))</f>
        <v/>
      </c>
      <c r="G36" s="72" t="str">
        <f>IF($S36="","",IF(INDEX(对接源_01水果!$AD$4:$AD$1203,$S36)=0,"",INDEX(对接源_01水果!$AD$4:$AD$1203,$S36)))</f>
        <v/>
      </c>
      <c r="H36" s="72" t="str">
        <f>IF($S36="","",IF(INDEX(对接源_01水果!$AI$4:$AI$1203,$S36)=0,"",INDEX(对接源_01水果!$AI$4:$AI$1203,$S36)))</f>
        <v/>
      </c>
      <c r="I36" s="72" t="str">
        <f>IF($S36="","",IF(INDEX(对接源_01水果!$AE$4:$AE$1203,$S36)=0,"",INDEX(对接源_01水果!$AE$4:$AE$1203,$S36)))</f>
        <v/>
      </c>
      <c r="J36" s="72" t="str">
        <f>IF($S36="","",IF(INDEX(对接源_01水果!$AF$4:$AF$1203,$S36)=0,"",INDEX(对接源_01水果!$AF$4:$AF$1203,$S36)))</f>
        <v/>
      </c>
      <c r="K36" s="72" t="str">
        <f>IF($S36="","",IF(INDEX(对接源_01水果!$K$4:$K$1203,$S36)=0,"",INDEX(对接源_01水果!$K$4:$K$1203,$S36)))</f>
        <v/>
      </c>
      <c r="L36" s="70" t="str">
        <f>IF($S36="","",IF(INDEX(对接源_01水果!$L$4:$L$1203,$S36)=0,"",INDEX(对接源_01水果!$L$4:$L$1203,$S36)))</f>
        <v/>
      </c>
      <c r="M36" s="73" t="str">
        <f>IF($S36="","",IF(INDEX(对接源_01水果!$M$4:$M$1203,$S36)=0,"",INDEX(对接源_01水果!$M$4:$M$1203,$S36)))</f>
        <v/>
      </c>
      <c r="S3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7" ht="15.75" customHeight="1" spans="1:19">
      <c r="A37" s="70" t="str">
        <f>IF($S37="","",IF(INDEX(对接源_01水果!$B$4:$B$1203,$S37)=0,"",INDEX(对接源_01水果!$B$4:$B$1203,$S37)))</f>
        <v/>
      </c>
      <c r="B37" s="70" t="str">
        <f>IF($S37="","",IF(INDEX(对接源_01水果!$E$4:$E$1203,$S37)=0,"",INDEX(对接源_01水果!$E$4:$E$1203,$S37)))</f>
        <v/>
      </c>
      <c r="C37" s="70" t="str">
        <f>IF($S37="","",IF(INDEX(对接源_01水果!$F$4:$F$1203,$S37)=0,"",INDEX(对接源_01水果!$F$4:$F$1203,$S37)))</f>
        <v/>
      </c>
      <c r="D37" s="70" t="str">
        <f>IF($S37="","",IF(INDEX(对接源_01水果!$G$4:$G$1203,$S37)=0,"",INDEX(对接源_01水果!$G$4:$G$1203,$S37)))</f>
        <v/>
      </c>
      <c r="E37" s="70" t="str">
        <f>IF($S37="","",IF(INDEX(对接源_01水果!$H$4:$H$1203,$S37)=0,"",INDEX(对接源_01水果!$H$4:$H$1203,$S37)))</f>
        <v/>
      </c>
      <c r="F37" s="70" t="str">
        <f>IF($S37="","",IF(INDEX(对接源_01水果!$I$4:$I$1203,$S37)=0,"",INDEX(对接源_01水果!$I$4:$I$1203,$S37)))</f>
        <v/>
      </c>
      <c r="G37" s="72" t="str">
        <f>IF($S37="","",IF(INDEX(对接源_01水果!$AD$4:$AD$1203,$S37)=0,"",INDEX(对接源_01水果!$AD$4:$AD$1203,$S37)))</f>
        <v/>
      </c>
      <c r="H37" s="72" t="str">
        <f>IF($S37="","",IF(INDEX(对接源_01水果!$AI$4:$AI$1203,$S37)=0,"",INDEX(对接源_01水果!$AI$4:$AI$1203,$S37)))</f>
        <v/>
      </c>
      <c r="I37" s="72" t="str">
        <f>IF($S37="","",IF(INDEX(对接源_01水果!$AE$4:$AE$1203,$S37)=0,"",INDEX(对接源_01水果!$AE$4:$AE$1203,$S37)))</f>
        <v/>
      </c>
      <c r="J37" s="72" t="str">
        <f>IF($S37="","",IF(INDEX(对接源_01水果!$AF$4:$AF$1203,$S37)=0,"",INDEX(对接源_01水果!$AF$4:$AF$1203,$S37)))</f>
        <v/>
      </c>
      <c r="K37" s="72" t="str">
        <f>IF($S37="","",IF(INDEX(对接源_01水果!$K$4:$K$1203,$S37)=0,"",INDEX(对接源_01水果!$K$4:$K$1203,$S37)))</f>
        <v/>
      </c>
      <c r="L37" s="70" t="str">
        <f>IF($S37="","",IF(INDEX(对接源_01水果!$L$4:$L$1203,$S37)=0,"",INDEX(对接源_01水果!$L$4:$L$1203,$S37)))</f>
        <v/>
      </c>
      <c r="M37" s="73" t="str">
        <f>IF($S37="","",IF(INDEX(对接源_01水果!$M$4:$M$1203,$S37)=0,"",INDEX(对接源_01水果!$M$4:$M$1203,$S37)))</f>
        <v/>
      </c>
      <c r="S3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8" ht="15.75" customHeight="1" spans="1:19">
      <c r="A38" s="70" t="str">
        <f>IF($S38="","",IF(INDEX(对接源_01水果!$B$4:$B$1203,$S38)=0,"",INDEX(对接源_01水果!$B$4:$B$1203,$S38)))</f>
        <v/>
      </c>
      <c r="B38" s="70" t="str">
        <f>IF($S38="","",IF(INDEX(对接源_01水果!$E$4:$E$1203,$S38)=0,"",INDEX(对接源_01水果!$E$4:$E$1203,$S38)))</f>
        <v/>
      </c>
      <c r="C38" s="70" t="str">
        <f>IF($S38="","",IF(INDEX(对接源_01水果!$F$4:$F$1203,$S38)=0,"",INDEX(对接源_01水果!$F$4:$F$1203,$S38)))</f>
        <v/>
      </c>
      <c r="D38" s="70" t="str">
        <f>IF($S38="","",IF(INDEX(对接源_01水果!$G$4:$G$1203,$S38)=0,"",INDEX(对接源_01水果!$G$4:$G$1203,$S38)))</f>
        <v/>
      </c>
      <c r="E38" s="70" t="str">
        <f>IF($S38="","",IF(INDEX(对接源_01水果!$H$4:$H$1203,$S38)=0,"",INDEX(对接源_01水果!$H$4:$H$1203,$S38)))</f>
        <v/>
      </c>
      <c r="F38" s="70" t="str">
        <f>IF($S38="","",IF(INDEX(对接源_01水果!$I$4:$I$1203,$S38)=0,"",INDEX(对接源_01水果!$I$4:$I$1203,$S38)))</f>
        <v/>
      </c>
      <c r="G38" s="72" t="str">
        <f>IF($S38="","",IF(INDEX(对接源_01水果!$AD$4:$AD$1203,$S38)=0,"",INDEX(对接源_01水果!$AD$4:$AD$1203,$S38)))</f>
        <v/>
      </c>
      <c r="H38" s="72" t="str">
        <f>IF($S38="","",IF(INDEX(对接源_01水果!$AI$4:$AI$1203,$S38)=0,"",INDEX(对接源_01水果!$AI$4:$AI$1203,$S38)))</f>
        <v/>
      </c>
      <c r="I38" s="72" t="str">
        <f>IF($S38="","",IF(INDEX(对接源_01水果!$AE$4:$AE$1203,$S38)=0,"",INDEX(对接源_01水果!$AE$4:$AE$1203,$S38)))</f>
        <v/>
      </c>
      <c r="J38" s="72" t="str">
        <f>IF($S38="","",IF(INDEX(对接源_01水果!$AF$4:$AF$1203,$S38)=0,"",INDEX(对接源_01水果!$AF$4:$AF$1203,$S38)))</f>
        <v/>
      </c>
      <c r="K38" s="72" t="str">
        <f>IF($S38="","",IF(INDEX(对接源_01水果!$K$4:$K$1203,$S38)=0,"",INDEX(对接源_01水果!$K$4:$K$1203,$S38)))</f>
        <v/>
      </c>
      <c r="L38" s="70" t="str">
        <f>IF($S38="","",IF(INDEX(对接源_01水果!$L$4:$L$1203,$S38)=0,"",INDEX(对接源_01水果!$L$4:$L$1203,$S38)))</f>
        <v/>
      </c>
      <c r="M38" s="73" t="str">
        <f>IF($S38="","",IF(INDEX(对接源_01水果!$M$4:$M$1203,$S38)=0,"",INDEX(对接源_01水果!$M$4:$M$1203,$S38)))</f>
        <v/>
      </c>
      <c r="S3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9" ht="15.75" customHeight="1" spans="1:19">
      <c r="A39" s="70" t="str">
        <f>IF($S39="","",IF(INDEX(对接源_01水果!$B$4:$B$1203,$S39)=0,"",INDEX(对接源_01水果!$B$4:$B$1203,$S39)))</f>
        <v/>
      </c>
      <c r="B39" s="70" t="str">
        <f>IF($S39="","",IF(INDEX(对接源_01水果!$E$4:$E$1203,$S39)=0,"",INDEX(对接源_01水果!$E$4:$E$1203,$S39)))</f>
        <v/>
      </c>
      <c r="C39" s="70" t="str">
        <f>IF($S39="","",IF(INDEX(对接源_01水果!$F$4:$F$1203,$S39)=0,"",INDEX(对接源_01水果!$F$4:$F$1203,$S39)))</f>
        <v/>
      </c>
      <c r="D39" s="70" t="str">
        <f>IF($S39="","",IF(INDEX(对接源_01水果!$G$4:$G$1203,$S39)=0,"",INDEX(对接源_01水果!$G$4:$G$1203,$S39)))</f>
        <v/>
      </c>
      <c r="E39" s="70" t="str">
        <f>IF($S39="","",IF(INDEX(对接源_01水果!$H$4:$H$1203,$S39)=0,"",INDEX(对接源_01水果!$H$4:$H$1203,$S39)))</f>
        <v/>
      </c>
      <c r="F39" s="70" t="str">
        <f>IF($S39="","",IF(INDEX(对接源_01水果!$I$4:$I$1203,$S39)=0,"",INDEX(对接源_01水果!$I$4:$I$1203,$S39)))</f>
        <v/>
      </c>
      <c r="G39" s="72" t="str">
        <f>IF($S39="","",IF(INDEX(对接源_01水果!$AD$4:$AD$1203,$S39)=0,"",INDEX(对接源_01水果!$AD$4:$AD$1203,$S39)))</f>
        <v/>
      </c>
      <c r="H39" s="72" t="str">
        <f>IF($S39="","",IF(INDEX(对接源_01水果!$AI$4:$AI$1203,$S39)=0,"",INDEX(对接源_01水果!$AI$4:$AI$1203,$S39)))</f>
        <v/>
      </c>
      <c r="I39" s="72" t="str">
        <f>IF($S39="","",IF(INDEX(对接源_01水果!$AE$4:$AE$1203,$S39)=0,"",INDEX(对接源_01水果!$AE$4:$AE$1203,$S39)))</f>
        <v/>
      </c>
      <c r="J39" s="72" t="str">
        <f>IF($S39="","",IF(INDEX(对接源_01水果!$AF$4:$AF$1203,$S39)=0,"",INDEX(对接源_01水果!$AF$4:$AF$1203,$S39)))</f>
        <v/>
      </c>
      <c r="K39" s="72" t="str">
        <f>IF($S39="","",IF(INDEX(对接源_01水果!$K$4:$K$1203,$S39)=0,"",INDEX(对接源_01水果!$K$4:$K$1203,$S39)))</f>
        <v/>
      </c>
      <c r="L39" s="70" t="str">
        <f>IF($S39="","",IF(INDEX(对接源_01水果!$L$4:$L$1203,$S39)=0,"",INDEX(对接源_01水果!$L$4:$L$1203,$S39)))</f>
        <v/>
      </c>
      <c r="M39" s="73" t="str">
        <f>IF($S39="","",IF(INDEX(对接源_01水果!$M$4:$M$1203,$S39)=0,"",INDEX(对接源_01水果!$M$4:$M$1203,$S39)))</f>
        <v/>
      </c>
      <c r="S3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0" ht="15.75" customHeight="1" spans="1:19">
      <c r="A40" s="70" t="str">
        <f>IF($S40="","",IF(INDEX(对接源_01水果!$B$4:$B$1203,$S40)=0,"",INDEX(对接源_01水果!$B$4:$B$1203,$S40)))</f>
        <v/>
      </c>
      <c r="B40" s="70" t="str">
        <f>IF($S40="","",IF(INDEX(对接源_01水果!$E$4:$E$1203,$S40)=0,"",INDEX(对接源_01水果!$E$4:$E$1203,$S40)))</f>
        <v/>
      </c>
      <c r="C40" s="70" t="str">
        <f>IF($S40="","",IF(INDEX(对接源_01水果!$F$4:$F$1203,$S40)=0,"",INDEX(对接源_01水果!$F$4:$F$1203,$S40)))</f>
        <v/>
      </c>
      <c r="D40" s="70" t="str">
        <f>IF($S40="","",IF(INDEX(对接源_01水果!$G$4:$G$1203,$S40)=0,"",INDEX(对接源_01水果!$G$4:$G$1203,$S40)))</f>
        <v/>
      </c>
      <c r="E40" s="70" t="str">
        <f>IF($S40="","",IF(INDEX(对接源_01水果!$H$4:$H$1203,$S40)=0,"",INDEX(对接源_01水果!$H$4:$H$1203,$S40)))</f>
        <v/>
      </c>
      <c r="F40" s="70" t="str">
        <f>IF($S40="","",IF(INDEX(对接源_01水果!$I$4:$I$1203,$S40)=0,"",INDEX(对接源_01水果!$I$4:$I$1203,$S40)))</f>
        <v/>
      </c>
      <c r="G40" s="72" t="str">
        <f>IF($S40="","",IF(INDEX(对接源_01水果!$AD$4:$AD$1203,$S40)=0,"",INDEX(对接源_01水果!$AD$4:$AD$1203,$S40)))</f>
        <v/>
      </c>
      <c r="H40" s="72" t="str">
        <f>IF($S40="","",IF(INDEX(对接源_01水果!$AI$4:$AI$1203,$S40)=0,"",INDEX(对接源_01水果!$AI$4:$AI$1203,$S40)))</f>
        <v/>
      </c>
      <c r="I40" s="72" t="str">
        <f>IF($S40="","",IF(INDEX(对接源_01水果!$AE$4:$AE$1203,$S40)=0,"",INDEX(对接源_01水果!$AE$4:$AE$1203,$S40)))</f>
        <v/>
      </c>
      <c r="J40" s="72" t="str">
        <f>IF($S40="","",IF(INDEX(对接源_01水果!$AF$4:$AF$1203,$S40)=0,"",INDEX(对接源_01水果!$AF$4:$AF$1203,$S40)))</f>
        <v/>
      </c>
      <c r="K40" s="72" t="str">
        <f>IF($S40="","",IF(INDEX(对接源_01水果!$K$4:$K$1203,$S40)=0,"",INDEX(对接源_01水果!$K$4:$K$1203,$S40)))</f>
        <v/>
      </c>
      <c r="L40" s="70" t="str">
        <f>IF($S40="","",IF(INDEX(对接源_01水果!$L$4:$L$1203,$S40)=0,"",INDEX(对接源_01水果!$L$4:$L$1203,$S40)))</f>
        <v/>
      </c>
      <c r="M40" s="73" t="str">
        <f>IF($S40="","",IF(INDEX(对接源_01水果!$M$4:$M$1203,$S40)=0,"",INDEX(对接源_01水果!$M$4:$M$1203,$S40)))</f>
        <v/>
      </c>
      <c r="S4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1" ht="15.75" customHeight="1" spans="1:19">
      <c r="A41" s="70" t="str">
        <f>IF($S41="","",IF(INDEX(对接源_01水果!$B$4:$B$1203,$S41)=0,"",INDEX(对接源_01水果!$B$4:$B$1203,$S41)))</f>
        <v/>
      </c>
      <c r="B41" s="70" t="str">
        <f>IF($S41="","",IF(INDEX(对接源_01水果!$E$4:$E$1203,$S41)=0,"",INDEX(对接源_01水果!$E$4:$E$1203,$S41)))</f>
        <v/>
      </c>
      <c r="C41" s="70" t="str">
        <f>IF($S41="","",IF(INDEX(对接源_01水果!$F$4:$F$1203,$S41)=0,"",INDEX(对接源_01水果!$F$4:$F$1203,$S41)))</f>
        <v/>
      </c>
      <c r="D41" s="70" t="str">
        <f>IF($S41="","",IF(INDEX(对接源_01水果!$G$4:$G$1203,$S41)=0,"",INDEX(对接源_01水果!$G$4:$G$1203,$S41)))</f>
        <v/>
      </c>
      <c r="E41" s="70" t="str">
        <f>IF($S41="","",IF(INDEX(对接源_01水果!$H$4:$H$1203,$S41)=0,"",INDEX(对接源_01水果!$H$4:$H$1203,$S41)))</f>
        <v/>
      </c>
      <c r="F41" s="70" t="str">
        <f>IF($S41="","",IF(INDEX(对接源_01水果!$I$4:$I$1203,$S41)=0,"",INDEX(对接源_01水果!$I$4:$I$1203,$S41)))</f>
        <v/>
      </c>
      <c r="G41" s="72" t="str">
        <f>IF($S41="","",IF(INDEX(对接源_01水果!$AD$4:$AD$1203,$S41)=0,"",INDEX(对接源_01水果!$AD$4:$AD$1203,$S41)))</f>
        <v/>
      </c>
      <c r="H41" s="72" t="str">
        <f>IF($S41="","",IF(INDEX(对接源_01水果!$AI$4:$AI$1203,$S41)=0,"",INDEX(对接源_01水果!$AI$4:$AI$1203,$S41)))</f>
        <v/>
      </c>
      <c r="I41" s="72" t="str">
        <f>IF($S41="","",IF(INDEX(对接源_01水果!$AE$4:$AE$1203,$S41)=0,"",INDEX(对接源_01水果!$AE$4:$AE$1203,$S41)))</f>
        <v/>
      </c>
      <c r="J41" s="72" t="str">
        <f>IF($S41="","",IF(INDEX(对接源_01水果!$AF$4:$AF$1203,$S41)=0,"",INDEX(对接源_01水果!$AF$4:$AF$1203,$S41)))</f>
        <v/>
      </c>
      <c r="K41" s="72" t="str">
        <f>IF($S41="","",IF(INDEX(对接源_01水果!$K$4:$K$1203,$S41)=0,"",INDEX(对接源_01水果!$K$4:$K$1203,$S41)))</f>
        <v/>
      </c>
      <c r="L41" s="70" t="str">
        <f>IF($S41="","",IF(INDEX(对接源_01水果!$L$4:$L$1203,$S41)=0,"",INDEX(对接源_01水果!$L$4:$L$1203,$S41)))</f>
        <v/>
      </c>
      <c r="M41" s="73" t="str">
        <f>IF($S41="","",IF(INDEX(对接源_01水果!$M$4:$M$1203,$S41)=0,"",INDEX(对接源_01水果!$M$4:$M$1203,$S41)))</f>
        <v/>
      </c>
      <c r="S4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2" ht="15.75" customHeight="1" spans="1:19">
      <c r="A42" s="70" t="str">
        <f>IF($S42="","",IF(INDEX(对接源_01水果!$B$4:$B$1203,$S42)=0,"",INDEX(对接源_01水果!$B$4:$B$1203,$S42)))</f>
        <v/>
      </c>
      <c r="B42" s="70" t="str">
        <f>IF($S42="","",IF(INDEX(对接源_01水果!$E$4:$E$1203,$S42)=0,"",INDEX(对接源_01水果!$E$4:$E$1203,$S42)))</f>
        <v/>
      </c>
      <c r="C42" s="70" t="str">
        <f>IF($S42="","",IF(INDEX(对接源_01水果!$F$4:$F$1203,$S42)=0,"",INDEX(对接源_01水果!$F$4:$F$1203,$S42)))</f>
        <v/>
      </c>
      <c r="D42" s="70" t="str">
        <f>IF($S42="","",IF(INDEX(对接源_01水果!$G$4:$G$1203,$S42)=0,"",INDEX(对接源_01水果!$G$4:$G$1203,$S42)))</f>
        <v/>
      </c>
      <c r="E42" s="70" t="str">
        <f>IF($S42="","",IF(INDEX(对接源_01水果!$H$4:$H$1203,$S42)=0,"",INDEX(对接源_01水果!$H$4:$H$1203,$S42)))</f>
        <v/>
      </c>
      <c r="F42" s="70" t="str">
        <f>IF($S42="","",IF(INDEX(对接源_01水果!$I$4:$I$1203,$S42)=0,"",INDEX(对接源_01水果!$I$4:$I$1203,$S42)))</f>
        <v/>
      </c>
      <c r="G42" s="72" t="str">
        <f>IF($S42="","",IF(INDEX(对接源_01水果!$AD$4:$AD$1203,$S42)=0,"",INDEX(对接源_01水果!$AD$4:$AD$1203,$S42)))</f>
        <v/>
      </c>
      <c r="H42" s="72" t="str">
        <f>IF($S42="","",IF(INDEX(对接源_01水果!$AI$4:$AI$1203,$S42)=0,"",INDEX(对接源_01水果!$AI$4:$AI$1203,$S42)))</f>
        <v/>
      </c>
      <c r="I42" s="72" t="str">
        <f>IF($S42="","",IF(INDEX(对接源_01水果!$AE$4:$AE$1203,$S42)=0,"",INDEX(对接源_01水果!$AE$4:$AE$1203,$S42)))</f>
        <v/>
      </c>
      <c r="J42" s="72" t="str">
        <f>IF($S42="","",IF(INDEX(对接源_01水果!$AF$4:$AF$1203,$S42)=0,"",INDEX(对接源_01水果!$AF$4:$AF$1203,$S42)))</f>
        <v/>
      </c>
      <c r="K42" s="72" t="str">
        <f>IF($S42="","",IF(INDEX(对接源_01水果!$K$4:$K$1203,$S42)=0,"",INDEX(对接源_01水果!$K$4:$K$1203,$S42)))</f>
        <v/>
      </c>
      <c r="L42" s="70" t="str">
        <f>IF($S42="","",IF(INDEX(对接源_01水果!$L$4:$L$1203,$S42)=0,"",INDEX(对接源_01水果!$L$4:$L$1203,$S42)))</f>
        <v/>
      </c>
      <c r="M42" s="73" t="str">
        <f>IF($S42="","",IF(INDEX(对接源_01水果!$M$4:$M$1203,$S42)=0,"",INDEX(对接源_01水果!$M$4:$M$1203,$S42)))</f>
        <v/>
      </c>
      <c r="S4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3" ht="15.75" customHeight="1" spans="1:19">
      <c r="A43" s="70" t="str">
        <f>IF($S43="","",IF(INDEX(对接源_01水果!$B$4:$B$1203,$S43)=0,"",INDEX(对接源_01水果!$B$4:$B$1203,$S43)))</f>
        <v/>
      </c>
      <c r="B43" s="70" t="str">
        <f>IF($S43="","",IF(INDEX(对接源_01水果!$E$4:$E$1203,$S43)=0,"",INDEX(对接源_01水果!$E$4:$E$1203,$S43)))</f>
        <v/>
      </c>
      <c r="C43" s="70" t="str">
        <f>IF($S43="","",IF(INDEX(对接源_01水果!$F$4:$F$1203,$S43)=0,"",INDEX(对接源_01水果!$F$4:$F$1203,$S43)))</f>
        <v/>
      </c>
      <c r="D43" s="70" t="str">
        <f>IF($S43="","",IF(INDEX(对接源_01水果!$G$4:$G$1203,$S43)=0,"",INDEX(对接源_01水果!$G$4:$G$1203,$S43)))</f>
        <v/>
      </c>
      <c r="E43" s="70" t="str">
        <f>IF($S43="","",IF(INDEX(对接源_01水果!$H$4:$H$1203,$S43)=0,"",INDEX(对接源_01水果!$H$4:$H$1203,$S43)))</f>
        <v/>
      </c>
      <c r="F43" s="70" t="str">
        <f>IF($S43="","",IF(INDEX(对接源_01水果!$I$4:$I$1203,$S43)=0,"",INDEX(对接源_01水果!$I$4:$I$1203,$S43)))</f>
        <v/>
      </c>
      <c r="G43" s="72" t="str">
        <f>IF($S43="","",IF(INDEX(对接源_01水果!$AD$4:$AD$1203,$S43)=0,"",INDEX(对接源_01水果!$AD$4:$AD$1203,$S43)))</f>
        <v/>
      </c>
      <c r="H43" s="72" t="str">
        <f>IF($S43="","",IF(INDEX(对接源_01水果!$AI$4:$AI$1203,$S43)=0,"",INDEX(对接源_01水果!$AI$4:$AI$1203,$S43)))</f>
        <v/>
      </c>
      <c r="I43" s="72" t="str">
        <f>IF($S43="","",IF(INDEX(对接源_01水果!$AE$4:$AE$1203,$S43)=0,"",INDEX(对接源_01水果!$AE$4:$AE$1203,$S43)))</f>
        <v/>
      </c>
      <c r="J43" s="72" t="str">
        <f>IF($S43="","",IF(INDEX(对接源_01水果!$AF$4:$AF$1203,$S43)=0,"",INDEX(对接源_01水果!$AF$4:$AF$1203,$S43)))</f>
        <v/>
      </c>
      <c r="K43" s="72" t="str">
        <f>IF($S43="","",IF(INDEX(对接源_01水果!$K$4:$K$1203,$S43)=0,"",INDEX(对接源_01水果!$K$4:$K$1203,$S43)))</f>
        <v/>
      </c>
      <c r="L43" s="70" t="str">
        <f>IF($S43="","",IF(INDEX(对接源_01水果!$L$4:$L$1203,$S43)=0,"",INDEX(对接源_01水果!$L$4:$L$1203,$S43)))</f>
        <v/>
      </c>
      <c r="M43" s="73" t="str">
        <f>IF($S43="","",IF(INDEX(对接源_01水果!$M$4:$M$1203,$S43)=0,"",INDEX(对接源_01水果!$M$4:$M$1203,$S43)))</f>
        <v/>
      </c>
      <c r="S4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4" ht="15.75" customHeight="1" spans="1:19">
      <c r="A44" s="70" t="str">
        <f>IF($S44="","",IF(INDEX(对接源_01水果!$B$4:$B$1203,$S44)=0,"",INDEX(对接源_01水果!$B$4:$B$1203,$S44)))</f>
        <v/>
      </c>
      <c r="B44" s="70" t="str">
        <f>IF($S44="","",IF(INDEX(对接源_01水果!$E$4:$E$1203,$S44)=0,"",INDEX(对接源_01水果!$E$4:$E$1203,$S44)))</f>
        <v/>
      </c>
      <c r="C44" s="70" t="str">
        <f>IF($S44="","",IF(INDEX(对接源_01水果!$F$4:$F$1203,$S44)=0,"",INDEX(对接源_01水果!$F$4:$F$1203,$S44)))</f>
        <v/>
      </c>
      <c r="D44" s="70" t="str">
        <f>IF($S44="","",IF(INDEX(对接源_01水果!$G$4:$G$1203,$S44)=0,"",INDEX(对接源_01水果!$G$4:$G$1203,$S44)))</f>
        <v/>
      </c>
      <c r="E44" s="70" t="str">
        <f>IF($S44="","",IF(INDEX(对接源_01水果!$H$4:$H$1203,$S44)=0,"",INDEX(对接源_01水果!$H$4:$H$1203,$S44)))</f>
        <v/>
      </c>
      <c r="F44" s="70" t="str">
        <f>IF($S44="","",IF(INDEX(对接源_01水果!$I$4:$I$1203,$S44)=0,"",INDEX(对接源_01水果!$I$4:$I$1203,$S44)))</f>
        <v/>
      </c>
      <c r="G44" s="72" t="str">
        <f>IF($S44="","",IF(INDEX(对接源_01水果!$AD$4:$AD$1203,$S44)=0,"",INDEX(对接源_01水果!$AD$4:$AD$1203,$S44)))</f>
        <v/>
      </c>
      <c r="H44" s="72" t="str">
        <f>IF($S44="","",IF(INDEX(对接源_01水果!$AI$4:$AI$1203,$S44)=0,"",INDEX(对接源_01水果!$AI$4:$AI$1203,$S44)))</f>
        <v/>
      </c>
      <c r="I44" s="72" t="str">
        <f>IF($S44="","",IF(INDEX(对接源_01水果!$AE$4:$AE$1203,$S44)=0,"",INDEX(对接源_01水果!$AE$4:$AE$1203,$S44)))</f>
        <v/>
      </c>
      <c r="J44" s="72" t="str">
        <f>IF($S44="","",IF(INDEX(对接源_01水果!$AF$4:$AF$1203,$S44)=0,"",INDEX(对接源_01水果!$AF$4:$AF$1203,$S44)))</f>
        <v/>
      </c>
      <c r="K44" s="72" t="str">
        <f>IF($S44="","",IF(INDEX(对接源_01水果!$K$4:$K$1203,$S44)=0,"",INDEX(对接源_01水果!$K$4:$K$1203,$S44)))</f>
        <v/>
      </c>
      <c r="L44" s="70" t="str">
        <f>IF($S44="","",IF(INDEX(对接源_01水果!$L$4:$L$1203,$S44)=0,"",INDEX(对接源_01水果!$L$4:$L$1203,$S44)))</f>
        <v/>
      </c>
      <c r="M44" s="73" t="str">
        <f>IF($S44="","",IF(INDEX(对接源_01水果!$M$4:$M$1203,$S44)=0,"",INDEX(对接源_01水果!$M$4:$M$1203,$S44)))</f>
        <v/>
      </c>
      <c r="S4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5" ht="15.75" customHeight="1" spans="1:19">
      <c r="A45" s="70" t="str">
        <f>IF($S45="","",IF(INDEX(对接源_01水果!$B$4:$B$1203,$S45)=0,"",INDEX(对接源_01水果!$B$4:$B$1203,$S45)))</f>
        <v/>
      </c>
      <c r="B45" s="70" t="str">
        <f>IF($S45="","",IF(INDEX(对接源_01水果!$E$4:$E$1203,$S45)=0,"",INDEX(对接源_01水果!$E$4:$E$1203,$S45)))</f>
        <v/>
      </c>
      <c r="C45" s="70" t="str">
        <f>IF($S45="","",IF(INDEX(对接源_01水果!$F$4:$F$1203,$S45)=0,"",INDEX(对接源_01水果!$F$4:$F$1203,$S45)))</f>
        <v/>
      </c>
      <c r="D45" s="70" t="str">
        <f>IF($S45="","",IF(INDEX(对接源_01水果!$G$4:$G$1203,$S45)=0,"",INDEX(对接源_01水果!$G$4:$G$1203,$S45)))</f>
        <v/>
      </c>
      <c r="E45" s="70" t="str">
        <f>IF($S45="","",IF(INDEX(对接源_01水果!$H$4:$H$1203,$S45)=0,"",INDEX(对接源_01水果!$H$4:$H$1203,$S45)))</f>
        <v/>
      </c>
      <c r="F45" s="70" t="str">
        <f>IF($S45="","",IF(INDEX(对接源_01水果!$I$4:$I$1203,$S45)=0,"",INDEX(对接源_01水果!$I$4:$I$1203,$S45)))</f>
        <v/>
      </c>
      <c r="G45" s="72" t="str">
        <f>IF($S45="","",IF(INDEX(对接源_01水果!$AD$4:$AD$1203,$S45)=0,"",INDEX(对接源_01水果!$AD$4:$AD$1203,$S45)))</f>
        <v/>
      </c>
      <c r="H45" s="72" t="str">
        <f>IF($S45="","",IF(INDEX(对接源_01水果!$AI$4:$AI$1203,$S45)=0,"",INDEX(对接源_01水果!$AI$4:$AI$1203,$S45)))</f>
        <v/>
      </c>
      <c r="I45" s="72" t="str">
        <f>IF($S45="","",IF(INDEX(对接源_01水果!$AE$4:$AE$1203,$S45)=0,"",INDEX(对接源_01水果!$AE$4:$AE$1203,$S45)))</f>
        <v/>
      </c>
      <c r="J45" s="72" t="str">
        <f>IF($S45="","",IF(INDEX(对接源_01水果!$AF$4:$AF$1203,$S45)=0,"",INDEX(对接源_01水果!$AF$4:$AF$1203,$S45)))</f>
        <v/>
      </c>
      <c r="K45" s="72" t="str">
        <f>IF($S45="","",IF(INDEX(对接源_01水果!$K$4:$K$1203,$S45)=0,"",INDEX(对接源_01水果!$K$4:$K$1203,$S45)))</f>
        <v/>
      </c>
      <c r="L45" s="70" t="str">
        <f>IF($S45="","",IF(INDEX(对接源_01水果!$L$4:$L$1203,$S45)=0,"",INDEX(对接源_01水果!$L$4:$L$1203,$S45)))</f>
        <v/>
      </c>
      <c r="M45" s="73" t="str">
        <f>IF($S45="","",IF(INDEX(对接源_01水果!$M$4:$M$1203,$S45)=0,"",INDEX(对接源_01水果!$M$4:$M$1203,$S45)))</f>
        <v/>
      </c>
      <c r="S4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6" ht="15.75" customHeight="1" spans="1:19">
      <c r="A46" s="70" t="str">
        <f>IF($S46="","",IF(INDEX(对接源_01水果!$B$4:$B$1203,$S46)=0,"",INDEX(对接源_01水果!$B$4:$B$1203,$S46)))</f>
        <v/>
      </c>
      <c r="B46" s="70" t="str">
        <f>IF($S46="","",IF(INDEX(对接源_01水果!$E$4:$E$1203,$S46)=0,"",INDEX(对接源_01水果!$E$4:$E$1203,$S46)))</f>
        <v/>
      </c>
      <c r="C46" s="70" t="str">
        <f>IF($S46="","",IF(INDEX(对接源_01水果!$F$4:$F$1203,$S46)=0,"",INDEX(对接源_01水果!$F$4:$F$1203,$S46)))</f>
        <v/>
      </c>
      <c r="D46" s="70" t="str">
        <f>IF($S46="","",IF(INDEX(对接源_01水果!$G$4:$G$1203,$S46)=0,"",INDEX(对接源_01水果!$G$4:$G$1203,$S46)))</f>
        <v/>
      </c>
      <c r="E46" s="70" t="str">
        <f>IF($S46="","",IF(INDEX(对接源_01水果!$H$4:$H$1203,$S46)=0,"",INDEX(对接源_01水果!$H$4:$H$1203,$S46)))</f>
        <v/>
      </c>
      <c r="F46" s="70" t="str">
        <f>IF($S46="","",IF(INDEX(对接源_01水果!$I$4:$I$1203,$S46)=0,"",INDEX(对接源_01水果!$I$4:$I$1203,$S46)))</f>
        <v/>
      </c>
      <c r="G46" s="72" t="str">
        <f>IF($S46="","",IF(INDEX(对接源_01水果!$AD$4:$AD$1203,$S46)=0,"",INDEX(对接源_01水果!$AD$4:$AD$1203,$S46)))</f>
        <v/>
      </c>
      <c r="H46" s="72" t="str">
        <f>IF($S46="","",IF(INDEX(对接源_01水果!$AI$4:$AI$1203,$S46)=0,"",INDEX(对接源_01水果!$AI$4:$AI$1203,$S46)))</f>
        <v/>
      </c>
      <c r="I46" s="72" t="str">
        <f>IF($S46="","",IF(INDEX(对接源_01水果!$AE$4:$AE$1203,$S46)=0,"",INDEX(对接源_01水果!$AE$4:$AE$1203,$S46)))</f>
        <v/>
      </c>
      <c r="J46" s="72" t="str">
        <f>IF($S46="","",IF(INDEX(对接源_01水果!$AF$4:$AF$1203,$S46)=0,"",INDEX(对接源_01水果!$AF$4:$AF$1203,$S46)))</f>
        <v/>
      </c>
      <c r="K46" s="72" t="str">
        <f>IF($S46="","",IF(INDEX(对接源_01水果!$K$4:$K$1203,$S46)=0,"",INDEX(对接源_01水果!$K$4:$K$1203,$S46)))</f>
        <v/>
      </c>
      <c r="L46" s="70" t="str">
        <f>IF($S46="","",IF(INDEX(对接源_01水果!$L$4:$L$1203,$S46)=0,"",INDEX(对接源_01水果!$L$4:$L$1203,$S46)))</f>
        <v/>
      </c>
      <c r="M46" s="73" t="str">
        <f>IF($S46="","",IF(INDEX(对接源_01水果!$M$4:$M$1203,$S46)=0,"",INDEX(对接源_01水果!$M$4:$M$1203,$S46)))</f>
        <v/>
      </c>
      <c r="S4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7" ht="15.75" customHeight="1" spans="1:19">
      <c r="A47" s="70" t="str">
        <f>IF($S47="","",IF(INDEX(对接源_01水果!$B$4:$B$1203,$S47)=0,"",INDEX(对接源_01水果!$B$4:$B$1203,$S47)))</f>
        <v/>
      </c>
      <c r="B47" s="70" t="str">
        <f>IF($S47="","",IF(INDEX(对接源_01水果!$E$4:$E$1203,$S47)=0,"",INDEX(对接源_01水果!$E$4:$E$1203,$S47)))</f>
        <v/>
      </c>
      <c r="C47" s="70" t="str">
        <f>IF($S47="","",IF(INDEX(对接源_01水果!$F$4:$F$1203,$S47)=0,"",INDEX(对接源_01水果!$F$4:$F$1203,$S47)))</f>
        <v/>
      </c>
      <c r="D47" s="70" t="str">
        <f>IF($S47="","",IF(INDEX(对接源_01水果!$G$4:$G$1203,$S47)=0,"",INDEX(对接源_01水果!$G$4:$G$1203,$S47)))</f>
        <v/>
      </c>
      <c r="E47" s="70" t="str">
        <f>IF($S47="","",IF(INDEX(对接源_01水果!$H$4:$H$1203,$S47)=0,"",INDEX(对接源_01水果!$H$4:$H$1203,$S47)))</f>
        <v/>
      </c>
      <c r="F47" s="70" t="str">
        <f>IF($S47="","",IF(INDEX(对接源_01水果!$I$4:$I$1203,$S47)=0,"",INDEX(对接源_01水果!$I$4:$I$1203,$S47)))</f>
        <v/>
      </c>
      <c r="G47" s="72" t="str">
        <f>IF($S47="","",IF(INDEX(对接源_01水果!$AD$4:$AD$1203,$S47)=0,"",INDEX(对接源_01水果!$AD$4:$AD$1203,$S47)))</f>
        <v/>
      </c>
      <c r="H47" s="72" t="str">
        <f>IF($S47="","",IF(INDEX(对接源_01水果!$AI$4:$AI$1203,$S47)=0,"",INDEX(对接源_01水果!$AI$4:$AI$1203,$S47)))</f>
        <v/>
      </c>
      <c r="I47" s="72" t="str">
        <f>IF($S47="","",IF(INDEX(对接源_01水果!$AE$4:$AE$1203,$S47)=0,"",INDEX(对接源_01水果!$AE$4:$AE$1203,$S47)))</f>
        <v/>
      </c>
      <c r="J47" s="72" t="str">
        <f>IF($S47="","",IF(INDEX(对接源_01水果!$AF$4:$AF$1203,$S47)=0,"",INDEX(对接源_01水果!$AF$4:$AF$1203,$S47)))</f>
        <v/>
      </c>
      <c r="K47" s="72" t="str">
        <f>IF($S47="","",IF(INDEX(对接源_01水果!$K$4:$K$1203,$S47)=0,"",INDEX(对接源_01水果!$K$4:$K$1203,$S47)))</f>
        <v/>
      </c>
      <c r="L47" s="70" t="str">
        <f>IF($S47="","",IF(INDEX(对接源_01水果!$L$4:$L$1203,$S47)=0,"",INDEX(对接源_01水果!$L$4:$L$1203,$S47)))</f>
        <v/>
      </c>
      <c r="M47" s="73" t="str">
        <f>IF($S47="","",IF(INDEX(对接源_01水果!$M$4:$M$1203,$S47)=0,"",INDEX(对接源_01水果!$M$4:$M$1203,$S47)))</f>
        <v/>
      </c>
      <c r="S4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8" ht="15.75" customHeight="1" spans="1:19">
      <c r="A48" s="70" t="str">
        <f>IF($S48="","",IF(INDEX(对接源_01水果!$B$4:$B$1203,$S48)=0,"",INDEX(对接源_01水果!$B$4:$B$1203,$S48)))</f>
        <v/>
      </c>
      <c r="B48" s="70" t="str">
        <f>IF($S48="","",IF(INDEX(对接源_01水果!$E$4:$E$1203,$S48)=0,"",INDEX(对接源_01水果!$E$4:$E$1203,$S48)))</f>
        <v/>
      </c>
      <c r="C48" s="70" t="str">
        <f>IF($S48="","",IF(INDEX(对接源_01水果!$F$4:$F$1203,$S48)=0,"",INDEX(对接源_01水果!$F$4:$F$1203,$S48)))</f>
        <v/>
      </c>
      <c r="D48" s="70" t="str">
        <f>IF($S48="","",IF(INDEX(对接源_01水果!$G$4:$G$1203,$S48)=0,"",INDEX(对接源_01水果!$G$4:$G$1203,$S48)))</f>
        <v/>
      </c>
      <c r="E48" s="70" t="str">
        <f>IF($S48="","",IF(INDEX(对接源_01水果!$H$4:$H$1203,$S48)=0,"",INDEX(对接源_01水果!$H$4:$H$1203,$S48)))</f>
        <v/>
      </c>
      <c r="F48" s="70" t="str">
        <f>IF($S48="","",IF(INDEX(对接源_01水果!$I$4:$I$1203,$S48)=0,"",INDEX(对接源_01水果!$I$4:$I$1203,$S48)))</f>
        <v/>
      </c>
      <c r="G48" s="72" t="str">
        <f>IF($S48="","",IF(INDEX(对接源_01水果!$AD$4:$AD$1203,$S48)=0,"",INDEX(对接源_01水果!$AD$4:$AD$1203,$S48)))</f>
        <v/>
      </c>
      <c r="H48" s="72" t="str">
        <f>IF($S48="","",IF(INDEX(对接源_01水果!$AI$4:$AI$1203,$S48)=0,"",INDEX(对接源_01水果!$AI$4:$AI$1203,$S48)))</f>
        <v/>
      </c>
      <c r="I48" s="72" t="str">
        <f>IF($S48="","",IF(INDEX(对接源_01水果!$AE$4:$AE$1203,$S48)=0,"",INDEX(对接源_01水果!$AE$4:$AE$1203,$S48)))</f>
        <v/>
      </c>
      <c r="J48" s="72" t="str">
        <f>IF($S48="","",IF(INDEX(对接源_01水果!$AF$4:$AF$1203,$S48)=0,"",INDEX(对接源_01水果!$AF$4:$AF$1203,$S48)))</f>
        <v/>
      </c>
      <c r="K48" s="72" t="str">
        <f>IF($S48="","",IF(INDEX(对接源_01水果!$K$4:$K$1203,$S48)=0,"",INDEX(对接源_01水果!$K$4:$K$1203,$S48)))</f>
        <v/>
      </c>
      <c r="L48" s="70" t="str">
        <f>IF($S48="","",IF(INDEX(对接源_01水果!$L$4:$L$1203,$S48)=0,"",INDEX(对接源_01水果!$L$4:$L$1203,$S48)))</f>
        <v/>
      </c>
      <c r="M48" s="73" t="str">
        <f>IF($S48="","",IF(INDEX(对接源_01水果!$M$4:$M$1203,$S48)=0,"",INDEX(对接源_01水果!$M$4:$M$1203,$S48)))</f>
        <v/>
      </c>
      <c r="S4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9" ht="15.75" customHeight="1" spans="1:19">
      <c r="A49" s="70" t="str">
        <f>IF($S49="","",IF(INDEX(对接源_01水果!$B$4:$B$1203,$S49)=0,"",INDEX(对接源_01水果!$B$4:$B$1203,$S49)))</f>
        <v/>
      </c>
      <c r="B49" s="70" t="str">
        <f>IF($S49="","",IF(INDEX(对接源_01水果!$E$4:$E$1203,$S49)=0,"",INDEX(对接源_01水果!$E$4:$E$1203,$S49)))</f>
        <v/>
      </c>
      <c r="C49" s="70" t="str">
        <f>IF($S49="","",IF(INDEX(对接源_01水果!$F$4:$F$1203,$S49)=0,"",INDEX(对接源_01水果!$F$4:$F$1203,$S49)))</f>
        <v/>
      </c>
      <c r="D49" s="70" t="str">
        <f>IF($S49="","",IF(INDEX(对接源_01水果!$G$4:$G$1203,$S49)=0,"",INDEX(对接源_01水果!$G$4:$G$1203,$S49)))</f>
        <v/>
      </c>
      <c r="E49" s="70" t="str">
        <f>IF($S49="","",IF(INDEX(对接源_01水果!$H$4:$H$1203,$S49)=0,"",INDEX(对接源_01水果!$H$4:$H$1203,$S49)))</f>
        <v/>
      </c>
      <c r="F49" s="70" t="str">
        <f>IF($S49="","",IF(INDEX(对接源_01水果!$I$4:$I$1203,$S49)=0,"",INDEX(对接源_01水果!$I$4:$I$1203,$S49)))</f>
        <v/>
      </c>
      <c r="G49" s="72" t="str">
        <f>IF($S49="","",IF(INDEX(对接源_01水果!$AD$4:$AD$1203,$S49)=0,"",INDEX(对接源_01水果!$AD$4:$AD$1203,$S49)))</f>
        <v/>
      </c>
      <c r="H49" s="72" t="str">
        <f>IF($S49="","",IF(INDEX(对接源_01水果!$AI$4:$AI$1203,$S49)=0,"",INDEX(对接源_01水果!$AI$4:$AI$1203,$S49)))</f>
        <v/>
      </c>
      <c r="I49" s="72" t="str">
        <f>IF($S49="","",IF(INDEX(对接源_01水果!$AE$4:$AE$1203,$S49)=0,"",INDEX(对接源_01水果!$AE$4:$AE$1203,$S49)))</f>
        <v/>
      </c>
      <c r="J49" s="72" t="str">
        <f>IF($S49="","",IF(INDEX(对接源_01水果!$AF$4:$AF$1203,$S49)=0,"",INDEX(对接源_01水果!$AF$4:$AF$1203,$S49)))</f>
        <v/>
      </c>
      <c r="K49" s="72" t="str">
        <f>IF($S49="","",IF(INDEX(对接源_01水果!$K$4:$K$1203,$S49)=0,"",INDEX(对接源_01水果!$K$4:$K$1203,$S49)))</f>
        <v/>
      </c>
      <c r="L49" s="70" t="str">
        <f>IF($S49="","",IF(INDEX(对接源_01水果!$L$4:$L$1203,$S49)=0,"",INDEX(对接源_01水果!$L$4:$L$1203,$S49)))</f>
        <v/>
      </c>
      <c r="M49" s="73" t="str">
        <f>IF($S49="","",IF(INDEX(对接源_01水果!$M$4:$M$1203,$S49)=0,"",INDEX(对接源_01水果!$M$4:$M$1203,$S49)))</f>
        <v/>
      </c>
      <c r="S4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0" ht="15.75" customHeight="1" spans="1:19">
      <c r="A50" s="70" t="str">
        <f>IF($S50="","",IF(INDEX(对接源_01水果!$B$4:$B$1203,$S50)=0,"",INDEX(对接源_01水果!$B$4:$B$1203,$S50)))</f>
        <v/>
      </c>
      <c r="B50" s="70" t="str">
        <f>IF($S50="","",IF(INDEX(对接源_01水果!$E$4:$E$1203,$S50)=0,"",INDEX(对接源_01水果!$E$4:$E$1203,$S50)))</f>
        <v/>
      </c>
      <c r="C50" s="70" t="str">
        <f>IF($S50="","",IF(INDEX(对接源_01水果!$F$4:$F$1203,$S50)=0,"",INDEX(对接源_01水果!$F$4:$F$1203,$S50)))</f>
        <v/>
      </c>
      <c r="D50" s="70" t="str">
        <f>IF($S50="","",IF(INDEX(对接源_01水果!$G$4:$G$1203,$S50)=0,"",INDEX(对接源_01水果!$G$4:$G$1203,$S50)))</f>
        <v/>
      </c>
      <c r="E50" s="70" t="str">
        <f>IF($S50="","",IF(INDEX(对接源_01水果!$H$4:$H$1203,$S50)=0,"",INDEX(对接源_01水果!$H$4:$H$1203,$S50)))</f>
        <v/>
      </c>
      <c r="F50" s="70" t="str">
        <f>IF($S50="","",IF(INDEX(对接源_01水果!$I$4:$I$1203,$S50)=0,"",INDEX(对接源_01水果!$I$4:$I$1203,$S50)))</f>
        <v/>
      </c>
      <c r="G50" s="72" t="str">
        <f>IF($S50="","",IF(INDEX(对接源_01水果!$AD$4:$AD$1203,$S50)=0,"",INDEX(对接源_01水果!$AD$4:$AD$1203,$S50)))</f>
        <v/>
      </c>
      <c r="H50" s="72" t="str">
        <f>IF($S50="","",IF(INDEX(对接源_01水果!$AI$4:$AI$1203,$S50)=0,"",INDEX(对接源_01水果!$AI$4:$AI$1203,$S50)))</f>
        <v/>
      </c>
      <c r="I50" s="72" t="str">
        <f>IF($S50="","",IF(INDEX(对接源_01水果!$AE$4:$AE$1203,$S50)=0,"",INDEX(对接源_01水果!$AE$4:$AE$1203,$S50)))</f>
        <v/>
      </c>
      <c r="J50" s="72" t="str">
        <f>IF($S50="","",IF(INDEX(对接源_01水果!$AF$4:$AF$1203,$S50)=0,"",INDEX(对接源_01水果!$AF$4:$AF$1203,$S50)))</f>
        <v/>
      </c>
      <c r="K50" s="72" t="str">
        <f>IF($S50="","",IF(INDEX(对接源_01水果!$K$4:$K$1203,$S50)=0,"",INDEX(对接源_01水果!$K$4:$K$1203,$S50)))</f>
        <v/>
      </c>
      <c r="L50" s="70" t="str">
        <f>IF($S50="","",IF(INDEX(对接源_01水果!$L$4:$L$1203,$S50)=0,"",INDEX(对接源_01水果!$L$4:$L$1203,$S50)))</f>
        <v/>
      </c>
      <c r="M50" s="73" t="str">
        <f>IF($S50="","",IF(INDEX(对接源_01水果!$M$4:$M$1203,$S50)=0,"",INDEX(对接源_01水果!$M$4:$M$1203,$S50)))</f>
        <v/>
      </c>
      <c r="S5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1" ht="15.75" customHeight="1" spans="1:19">
      <c r="A51" s="70" t="str">
        <f>IF($S51="","",IF(INDEX(对接源_01水果!$B$4:$B$1203,$S51)=0,"",INDEX(对接源_01水果!$B$4:$B$1203,$S51)))</f>
        <v/>
      </c>
      <c r="B51" s="70" t="str">
        <f>IF($S51="","",IF(INDEX(对接源_01水果!$E$4:$E$1203,$S51)=0,"",INDEX(对接源_01水果!$E$4:$E$1203,$S51)))</f>
        <v/>
      </c>
      <c r="C51" s="70" t="str">
        <f>IF($S51="","",IF(INDEX(对接源_01水果!$F$4:$F$1203,$S51)=0,"",INDEX(对接源_01水果!$F$4:$F$1203,$S51)))</f>
        <v/>
      </c>
      <c r="D51" s="70" t="str">
        <f>IF($S51="","",IF(INDEX(对接源_01水果!$G$4:$G$1203,$S51)=0,"",INDEX(对接源_01水果!$G$4:$G$1203,$S51)))</f>
        <v/>
      </c>
      <c r="E51" s="70" t="str">
        <f>IF($S51="","",IF(INDEX(对接源_01水果!$H$4:$H$1203,$S51)=0,"",INDEX(对接源_01水果!$H$4:$H$1203,$S51)))</f>
        <v/>
      </c>
      <c r="F51" s="70" t="str">
        <f>IF($S51="","",IF(INDEX(对接源_01水果!$I$4:$I$1203,$S51)=0,"",INDEX(对接源_01水果!$I$4:$I$1203,$S51)))</f>
        <v/>
      </c>
      <c r="G51" s="72" t="str">
        <f>IF($S51="","",IF(INDEX(对接源_01水果!$AD$4:$AD$1203,$S51)=0,"",INDEX(对接源_01水果!$AD$4:$AD$1203,$S51)))</f>
        <v/>
      </c>
      <c r="H51" s="72" t="str">
        <f>IF($S51="","",IF(INDEX(对接源_01水果!$AI$4:$AI$1203,$S51)=0,"",INDEX(对接源_01水果!$AI$4:$AI$1203,$S51)))</f>
        <v/>
      </c>
      <c r="I51" s="72" t="str">
        <f>IF($S51="","",IF(INDEX(对接源_01水果!$AE$4:$AE$1203,$S51)=0,"",INDEX(对接源_01水果!$AE$4:$AE$1203,$S51)))</f>
        <v/>
      </c>
      <c r="J51" s="72" t="str">
        <f>IF($S51="","",IF(INDEX(对接源_01水果!$AF$4:$AF$1203,$S51)=0,"",INDEX(对接源_01水果!$AF$4:$AF$1203,$S51)))</f>
        <v/>
      </c>
      <c r="K51" s="72" t="str">
        <f>IF($S51="","",IF(INDEX(对接源_01水果!$K$4:$K$1203,$S51)=0,"",INDEX(对接源_01水果!$K$4:$K$1203,$S51)))</f>
        <v/>
      </c>
      <c r="L51" s="70" t="str">
        <f>IF($S51="","",IF(INDEX(对接源_01水果!$L$4:$L$1203,$S51)=0,"",INDEX(对接源_01水果!$L$4:$L$1203,$S51)))</f>
        <v/>
      </c>
      <c r="M51" s="73" t="str">
        <f>IF($S51="","",IF(INDEX(对接源_01水果!$M$4:$M$1203,$S51)=0,"",INDEX(对接源_01水果!$M$4:$M$1203,$S51)))</f>
        <v/>
      </c>
      <c r="S5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2" ht="15.75" customHeight="1" spans="1:19">
      <c r="A52" s="70" t="str">
        <f>IF($S52="","",IF(INDEX(对接源_01水果!$B$4:$B$1203,$S52)=0,"",INDEX(对接源_01水果!$B$4:$B$1203,$S52)))</f>
        <v/>
      </c>
      <c r="B52" s="70" t="str">
        <f>IF($S52="","",IF(INDEX(对接源_01水果!$E$4:$E$1203,$S52)=0,"",INDEX(对接源_01水果!$E$4:$E$1203,$S52)))</f>
        <v/>
      </c>
      <c r="C52" s="70" t="str">
        <f>IF($S52="","",IF(INDEX(对接源_01水果!$F$4:$F$1203,$S52)=0,"",INDEX(对接源_01水果!$F$4:$F$1203,$S52)))</f>
        <v/>
      </c>
      <c r="D52" s="70" t="str">
        <f>IF($S52="","",IF(INDEX(对接源_01水果!$G$4:$G$1203,$S52)=0,"",INDEX(对接源_01水果!$G$4:$G$1203,$S52)))</f>
        <v/>
      </c>
      <c r="E52" s="70" t="str">
        <f>IF($S52="","",IF(INDEX(对接源_01水果!$H$4:$H$1203,$S52)=0,"",INDEX(对接源_01水果!$H$4:$H$1203,$S52)))</f>
        <v/>
      </c>
      <c r="F52" s="70" t="str">
        <f>IF($S52="","",IF(INDEX(对接源_01水果!$I$4:$I$1203,$S52)=0,"",INDEX(对接源_01水果!$I$4:$I$1203,$S52)))</f>
        <v/>
      </c>
      <c r="G52" s="72" t="str">
        <f>IF($S52="","",IF(INDEX(对接源_01水果!$AD$4:$AD$1203,$S52)=0,"",INDEX(对接源_01水果!$AD$4:$AD$1203,$S52)))</f>
        <v/>
      </c>
      <c r="H52" s="72" t="str">
        <f>IF($S52="","",IF(INDEX(对接源_01水果!$AI$4:$AI$1203,$S52)=0,"",INDEX(对接源_01水果!$AI$4:$AI$1203,$S52)))</f>
        <v/>
      </c>
      <c r="I52" s="72" t="str">
        <f>IF($S52="","",IF(INDEX(对接源_01水果!$AE$4:$AE$1203,$S52)=0,"",INDEX(对接源_01水果!$AE$4:$AE$1203,$S52)))</f>
        <v/>
      </c>
      <c r="J52" s="72" t="str">
        <f>IF($S52="","",IF(INDEX(对接源_01水果!$AF$4:$AF$1203,$S52)=0,"",INDEX(对接源_01水果!$AF$4:$AF$1203,$S52)))</f>
        <v/>
      </c>
      <c r="K52" s="72" t="str">
        <f>IF($S52="","",IF(INDEX(对接源_01水果!$K$4:$K$1203,$S52)=0,"",INDEX(对接源_01水果!$K$4:$K$1203,$S52)))</f>
        <v/>
      </c>
      <c r="L52" s="70" t="str">
        <f>IF($S52="","",IF(INDEX(对接源_01水果!$L$4:$L$1203,$S52)=0,"",INDEX(对接源_01水果!$L$4:$L$1203,$S52)))</f>
        <v/>
      </c>
      <c r="M52" s="73" t="str">
        <f>IF($S52="","",IF(INDEX(对接源_01水果!$M$4:$M$1203,$S52)=0,"",INDEX(对接源_01水果!$M$4:$M$1203,$S52)))</f>
        <v/>
      </c>
      <c r="S5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3" ht="15.75" customHeight="1" spans="1:19">
      <c r="A53" s="70" t="str">
        <f>IF($S53="","",IF(INDEX(对接源_01水果!$B$4:$B$1203,$S53)=0,"",INDEX(对接源_01水果!$B$4:$B$1203,$S53)))</f>
        <v/>
      </c>
      <c r="B53" s="70" t="str">
        <f>IF($S53="","",IF(INDEX(对接源_01水果!$E$4:$E$1203,$S53)=0,"",INDEX(对接源_01水果!$E$4:$E$1203,$S53)))</f>
        <v/>
      </c>
      <c r="C53" s="70" t="str">
        <f>IF($S53="","",IF(INDEX(对接源_01水果!$F$4:$F$1203,$S53)=0,"",INDEX(对接源_01水果!$F$4:$F$1203,$S53)))</f>
        <v/>
      </c>
      <c r="D53" s="70" t="str">
        <f>IF($S53="","",IF(INDEX(对接源_01水果!$G$4:$G$1203,$S53)=0,"",INDEX(对接源_01水果!$G$4:$G$1203,$S53)))</f>
        <v/>
      </c>
      <c r="E53" s="70" t="str">
        <f>IF($S53="","",IF(INDEX(对接源_01水果!$H$4:$H$1203,$S53)=0,"",INDEX(对接源_01水果!$H$4:$H$1203,$S53)))</f>
        <v/>
      </c>
      <c r="F53" s="70" t="str">
        <f>IF($S53="","",IF(INDEX(对接源_01水果!$I$4:$I$1203,$S53)=0,"",INDEX(对接源_01水果!$I$4:$I$1203,$S53)))</f>
        <v/>
      </c>
      <c r="G53" s="72" t="str">
        <f>IF($S53="","",IF(INDEX(对接源_01水果!$AD$4:$AD$1203,$S53)=0,"",INDEX(对接源_01水果!$AD$4:$AD$1203,$S53)))</f>
        <v/>
      </c>
      <c r="H53" s="72" t="str">
        <f>IF($S53="","",IF(INDEX(对接源_01水果!$AI$4:$AI$1203,$S53)=0,"",INDEX(对接源_01水果!$AI$4:$AI$1203,$S53)))</f>
        <v/>
      </c>
      <c r="I53" s="72" t="str">
        <f>IF($S53="","",IF(INDEX(对接源_01水果!$AE$4:$AE$1203,$S53)=0,"",INDEX(对接源_01水果!$AE$4:$AE$1203,$S53)))</f>
        <v/>
      </c>
      <c r="J53" s="72" t="str">
        <f>IF($S53="","",IF(INDEX(对接源_01水果!$AF$4:$AF$1203,$S53)=0,"",INDEX(对接源_01水果!$AF$4:$AF$1203,$S53)))</f>
        <v/>
      </c>
      <c r="K53" s="72" t="str">
        <f>IF($S53="","",IF(INDEX(对接源_01水果!$K$4:$K$1203,$S53)=0,"",INDEX(对接源_01水果!$K$4:$K$1203,$S53)))</f>
        <v/>
      </c>
      <c r="L53" s="70" t="str">
        <f>IF($S53="","",IF(INDEX(对接源_01水果!$L$4:$L$1203,$S53)=0,"",INDEX(对接源_01水果!$L$4:$L$1203,$S53)))</f>
        <v/>
      </c>
      <c r="M53" s="73" t="str">
        <f>IF($S53="","",IF(INDEX(对接源_01水果!$M$4:$M$1203,$S53)=0,"",INDEX(对接源_01水果!$M$4:$M$1203,$S53)))</f>
        <v/>
      </c>
      <c r="S5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4" ht="15.75" customHeight="1" spans="1:19">
      <c r="A54" s="70" t="str">
        <f>IF($S54="","",IF(INDEX(对接源_01水果!$B$4:$B$1203,$S54)=0,"",INDEX(对接源_01水果!$B$4:$B$1203,$S54)))</f>
        <v/>
      </c>
      <c r="B54" s="70" t="str">
        <f>IF($S54="","",IF(INDEX(对接源_01水果!$E$4:$E$1203,$S54)=0,"",INDEX(对接源_01水果!$E$4:$E$1203,$S54)))</f>
        <v/>
      </c>
      <c r="C54" s="70" t="str">
        <f>IF($S54="","",IF(INDEX(对接源_01水果!$F$4:$F$1203,$S54)=0,"",INDEX(对接源_01水果!$F$4:$F$1203,$S54)))</f>
        <v/>
      </c>
      <c r="D54" s="70" t="str">
        <f>IF($S54="","",IF(INDEX(对接源_01水果!$G$4:$G$1203,$S54)=0,"",INDEX(对接源_01水果!$G$4:$G$1203,$S54)))</f>
        <v/>
      </c>
      <c r="E54" s="70" t="str">
        <f>IF($S54="","",IF(INDEX(对接源_01水果!$H$4:$H$1203,$S54)=0,"",INDEX(对接源_01水果!$H$4:$H$1203,$S54)))</f>
        <v/>
      </c>
      <c r="F54" s="70" t="str">
        <f>IF($S54="","",IF(INDEX(对接源_01水果!$I$4:$I$1203,$S54)=0,"",INDEX(对接源_01水果!$I$4:$I$1203,$S54)))</f>
        <v/>
      </c>
      <c r="G54" s="72" t="str">
        <f>IF($S54="","",IF(INDEX(对接源_01水果!$AD$4:$AD$1203,$S54)=0,"",INDEX(对接源_01水果!$AD$4:$AD$1203,$S54)))</f>
        <v/>
      </c>
      <c r="H54" s="72" t="str">
        <f>IF($S54="","",IF(INDEX(对接源_01水果!$AI$4:$AI$1203,$S54)=0,"",INDEX(对接源_01水果!$AI$4:$AI$1203,$S54)))</f>
        <v/>
      </c>
      <c r="I54" s="72" t="str">
        <f>IF($S54="","",IF(INDEX(对接源_01水果!$AE$4:$AE$1203,$S54)=0,"",INDEX(对接源_01水果!$AE$4:$AE$1203,$S54)))</f>
        <v/>
      </c>
      <c r="J54" s="72" t="str">
        <f>IF($S54="","",IF(INDEX(对接源_01水果!$AF$4:$AF$1203,$S54)=0,"",INDEX(对接源_01水果!$AF$4:$AF$1203,$S54)))</f>
        <v/>
      </c>
      <c r="K54" s="72" t="str">
        <f>IF($S54="","",IF(INDEX(对接源_01水果!$K$4:$K$1203,$S54)=0,"",INDEX(对接源_01水果!$K$4:$K$1203,$S54)))</f>
        <v/>
      </c>
      <c r="L54" s="70" t="str">
        <f>IF($S54="","",IF(INDEX(对接源_01水果!$L$4:$L$1203,$S54)=0,"",INDEX(对接源_01水果!$L$4:$L$1203,$S54)))</f>
        <v/>
      </c>
      <c r="M54" s="73" t="str">
        <f>IF($S54="","",IF(INDEX(对接源_01水果!$M$4:$M$1203,$S54)=0,"",INDEX(对接源_01水果!$M$4:$M$1203,$S54)))</f>
        <v/>
      </c>
      <c r="S5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5" ht="15.75" customHeight="1" spans="1:19">
      <c r="A55" s="70" t="str">
        <f>IF($S55="","",IF(INDEX(对接源_01水果!$B$4:$B$1203,$S55)=0,"",INDEX(对接源_01水果!$B$4:$B$1203,$S55)))</f>
        <v/>
      </c>
      <c r="B55" s="70" t="str">
        <f>IF($S55="","",IF(INDEX(对接源_01水果!$E$4:$E$1203,$S55)=0,"",INDEX(对接源_01水果!$E$4:$E$1203,$S55)))</f>
        <v/>
      </c>
      <c r="C55" s="70" t="str">
        <f>IF($S55="","",IF(INDEX(对接源_01水果!$F$4:$F$1203,$S55)=0,"",INDEX(对接源_01水果!$F$4:$F$1203,$S55)))</f>
        <v/>
      </c>
      <c r="D55" s="70" t="str">
        <f>IF($S55="","",IF(INDEX(对接源_01水果!$G$4:$G$1203,$S55)=0,"",INDEX(对接源_01水果!$G$4:$G$1203,$S55)))</f>
        <v/>
      </c>
      <c r="E55" s="70" t="str">
        <f>IF($S55="","",IF(INDEX(对接源_01水果!$H$4:$H$1203,$S55)=0,"",INDEX(对接源_01水果!$H$4:$H$1203,$S55)))</f>
        <v/>
      </c>
      <c r="F55" s="70" t="str">
        <f>IF($S55="","",IF(INDEX(对接源_01水果!$I$4:$I$1203,$S55)=0,"",INDEX(对接源_01水果!$I$4:$I$1203,$S55)))</f>
        <v/>
      </c>
      <c r="G55" s="72" t="str">
        <f>IF($S55="","",IF(INDEX(对接源_01水果!$AD$4:$AD$1203,$S55)=0,"",INDEX(对接源_01水果!$AD$4:$AD$1203,$S55)))</f>
        <v/>
      </c>
      <c r="H55" s="72" t="str">
        <f>IF($S55="","",IF(INDEX(对接源_01水果!$AI$4:$AI$1203,$S55)=0,"",INDEX(对接源_01水果!$AI$4:$AI$1203,$S55)))</f>
        <v/>
      </c>
      <c r="I55" s="72" t="str">
        <f>IF($S55="","",IF(INDEX(对接源_01水果!$AE$4:$AE$1203,$S55)=0,"",INDEX(对接源_01水果!$AE$4:$AE$1203,$S55)))</f>
        <v/>
      </c>
      <c r="J55" s="72" t="str">
        <f>IF($S55="","",IF(INDEX(对接源_01水果!$AF$4:$AF$1203,$S55)=0,"",INDEX(对接源_01水果!$AF$4:$AF$1203,$S55)))</f>
        <v/>
      </c>
      <c r="K55" s="72" t="str">
        <f>IF($S55="","",IF(INDEX(对接源_01水果!$K$4:$K$1203,$S55)=0,"",INDEX(对接源_01水果!$K$4:$K$1203,$S55)))</f>
        <v/>
      </c>
      <c r="L55" s="70" t="str">
        <f>IF($S55="","",IF(INDEX(对接源_01水果!$L$4:$L$1203,$S55)=0,"",INDEX(对接源_01水果!$L$4:$L$1203,$S55)))</f>
        <v/>
      </c>
      <c r="M55" s="73" t="str">
        <f>IF($S55="","",IF(INDEX(对接源_01水果!$M$4:$M$1203,$S55)=0,"",INDEX(对接源_01水果!$M$4:$M$1203,$S55)))</f>
        <v/>
      </c>
      <c r="S5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6" ht="15.75" customHeight="1" spans="1:19">
      <c r="A56" s="70" t="str">
        <f>IF($S56="","",IF(INDEX(对接源_01水果!$B$4:$B$1203,$S56)=0,"",INDEX(对接源_01水果!$B$4:$B$1203,$S56)))</f>
        <v/>
      </c>
      <c r="B56" s="70" t="str">
        <f>IF($S56="","",IF(INDEX(对接源_01水果!$E$4:$E$1203,$S56)=0,"",INDEX(对接源_01水果!$E$4:$E$1203,$S56)))</f>
        <v/>
      </c>
      <c r="C56" s="70" t="str">
        <f>IF($S56="","",IF(INDEX(对接源_01水果!$F$4:$F$1203,$S56)=0,"",INDEX(对接源_01水果!$F$4:$F$1203,$S56)))</f>
        <v/>
      </c>
      <c r="D56" s="70" t="str">
        <f>IF($S56="","",IF(INDEX(对接源_01水果!$G$4:$G$1203,$S56)=0,"",INDEX(对接源_01水果!$G$4:$G$1203,$S56)))</f>
        <v/>
      </c>
      <c r="E56" s="70" t="str">
        <f>IF($S56="","",IF(INDEX(对接源_01水果!$H$4:$H$1203,$S56)=0,"",INDEX(对接源_01水果!$H$4:$H$1203,$S56)))</f>
        <v/>
      </c>
      <c r="F56" s="70" t="str">
        <f>IF($S56="","",IF(INDEX(对接源_01水果!$I$4:$I$1203,$S56)=0,"",INDEX(对接源_01水果!$I$4:$I$1203,$S56)))</f>
        <v/>
      </c>
      <c r="G56" s="72" t="str">
        <f>IF($S56="","",IF(INDEX(对接源_01水果!$AD$4:$AD$1203,$S56)=0,"",INDEX(对接源_01水果!$AD$4:$AD$1203,$S56)))</f>
        <v/>
      </c>
      <c r="H56" s="72" t="str">
        <f>IF($S56="","",IF(INDEX(对接源_01水果!$AI$4:$AI$1203,$S56)=0,"",INDEX(对接源_01水果!$AI$4:$AI$1203,$S56)))</f>
        <v/>
      </c>
      <c r="I56" s="72" t="str">
        <f>IF($S56="","",IF(INDEX(对接源_01水果!$AE$4:$AE$1203,$S56)=0,"",INDEX(对接源_01水果!$AE$4:$AE$1203,$S56)))</f>
        <v/>
      </c>
      <c r="J56" s="72" t="str">
        <f>IF($S56="","",IF(INDEX(对接源_01水果!$AF$4:$AF$1203,$S56)=0,"",INDEX(对接源_01水果!$AF$4:$AF$1203,$S56)))</f>
        <v/>
      </c>
      <c r="K56" s="72" t="str">
        <f>IF($S56="","",IF(INDEX(对接源_01水果!$K$4:$K$1203,$S56)=0,"",INDEX(对接源_01水果!$K$4:$K$1203,$S56)))</f>
        <v/>
      </c>
      <c r="L56" s="70" t="str">
        <f>IF($S56="","",IF(INDEX(对接源_01水果!$L$4:$L$1203,$S56)=0,"",INDEX(对接源_01水果!$L$4:$L$1203,$S56)))</f>
        <v/>
      </c>
      <c r="M56" s="73" t="str">
        <f>IF($S56="","",IF(INDEX(对接源_01水果!$M$4:$M$1203,$S56)=0,"",INDEX(对接源_01水果!$M$4:$M$1203,$S56)))</f>
        <v/>
      </c>
      <c r="S5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7" ht="15.75" customHeight="1" spans="1:19">
      <c r="A57" s="70" t="str">
        <f>IF($S57="","",IF(INDEX(对接源_01水果!$B$4:$B$1203,$S57)=0,"",INDEX(对接源_01水果!$B$4:$B$1203,$S57)))</f>
        <v/>
      </c>
      <c r="B57" s="70" t="str">
        <f>IF($S57="","",IF(INDEX(对接源_01水果!$E$4:$E$1203,$S57)=0,"",INDEX(对接源_01水果!$E$4:$E$1203,$S57)))</f>
        <v/>
      </c>
      <c r="C57" s="70" t="str">
        <f>IF($S57="","",IF(INDEX(对接源_01水果!$F$4:$F$1203,$S57)=0,"",INDEX(对接源_01水果!$F$4:$F$1203,$S57)))</f>
        <v/>
      </c>
      <c r="D57" s="70" t="str">
        <f>IF($S57="","",IF(INDEX(对接源_01水果!$G$4:$G$1203,$S57)=0,"",INDEX(对接源_01水果!$G$4:$G$1203,$S57)))</f>
        <v/>
      </c>
      <c r="E57" s="70" t="str">
        <f>IF($S57="","",IF(INDEX(对接源_01水果!$H$4:$H$1203,$S57)=0,"",INDEX(对接源_01水果!$H$4:$H$1203,$S57)))</f>
        <v/>
      </c>
      <c r="F57" s="70" t="str">
        <f>IF($S57="","",IF(INDEX(对接源_01水果!$I$4:$I$1203,$S57)=0,"",INDEX(对接源_01水果!$I$4:$I$1203,$S57)))</f>
        <v/>
      </c>
      <c r="G57" s="72" t="str">
        <f>IF($S57="","",IF(INDEX(对接源_01水果!$AD$4:$AD$1203,$S57)=0,"",INDEX(对接源_01水果!$AD$4:$AD$1203,$S57)))</f>
        <v/>
      </c>
      <c r="H57" s="72" t="str">
        <f>IF($S57="","",IF(INDEX(对接源_01水果!$AI$4:$AI$1203,$S57)=0,"",INDEX(对接源_01水果!$AI$4:$AI$1203,$S57)))</f>
        <v/>
      </c>
      <c r="I57" s="72" t="str">
        <f>IF($S57="","",IF(INDEX(对接源_01水果!$AE$4:$AE$1203,$S57)=0,"",INDEX(对接源_01水果!$AE$4:$AE$1203,$S57)))</f>
        <v/>
      </c>
      <c r="J57" s="72" t="str">
        <f>IF($S57="","",IF(INDEX(对接源_01水果!$AF$4:$AF$1203,$S57)=0,"",INDEX(对接源_01水果!$AF$4:$AF$1203,$S57)))</f>
        <v/>
      </c>
      <c r="K57" s="72" t="str">
        <f>IF($S57="","",IF(INDEX(对接源_01水果!$K$4:$K$1203,$S57)=0,"",INDEX(对接源_01水果!$K$4:$K$1203,$S57)))</f>
        <v/>
      </c>
      <c r="L57" s="70" t="str">
        <f>IF($S57="","",IF(INDEX(对接源_01水果!$L$4:$L$1203,$S57)=0,"",INDEX(对接源_01水果!$L$4:$L$1203,$S57)))</f>
        <v/>
      </c>
      <c r="M57" s="73" t="str">
        <f>IF($S57="","",IF(INDEX(对接源_01水果!$M$4:$M$1203,$S57)=0,"",INDEX(对接源_01水果!$M$4:$M$1203,$S57)))</f>
        <v/>
      </c>
      <c r="S5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8" ht="15.75" customHeight="1" spans="1:19">
      <c r="A58" s="70" t="str">
        <f>IF($S58="","",IF(INDEX(对接源_01水果!$B$4:$B$1203,$S58)=0,"",INDEX(对接源_01水果!$B$4:$B$1203,$S58)))</f>
        <v/>
      </c>
      <c r="B58" s="70" t="str">
        <f>IF($S58="","",IF(INDEX(对接源_01水果!$E$4:$E$1203,$S58)=0,"",INDEX(对接源_01水果!$E$4:$E$1203,$S58)))</f>
        <v/>
      </c>
      <c r="C58" s="70" t="str">
        <f>IF($S58="","",IF(INDEX(对接源_01水果!$F$4:$F$1203,$S58)=0,"",INDEX(对接源_01水果!$F$4:$F$1203,$S58)))</f>
        <v/>
      </c>
      <c r="D58" s="70" t="str">
        <f>IF($S58="","",IF(INDEX(对接源_01水果!$G$4:$G$1203,$S58)=0,"",INDEX(对接源_01水果!$G$4:$G$1203,$S58)))</f>
        <v/>
      </c>
      <c r="E58" s="70" t="str">
        <f>IF($S58="","",IF(INDEX(对接源_01水果!$H$4:$H$1203,$S58)=0,"",INDEX(对接源_01水果!$H$4:$H$1203,$S58)))</f>
        <v/>
      </c>
      <c r="F58" s="70" t="str">
        <f>IF($S58="","",IF(INDEX(对接源_01水果!$I$4:$I$1203,$S58)=0,"",INDEX(对接源_01水果!$I$4:$I$1203,$S58)))</f>
        <v/>
      </c>
      <c r="G58" s="72" t="str">
        <f>IF($S58="","",IF(INDEX(对接源_01水果!$AD$4:$AD$1203,$S58)=0,"",INDEX(对接源_01水果!$AD$4:$AD$1203,$S58)))</f>
        <v/>
      </c>
      <c r="H58" s="72" t="str">
        <f>IF($S58="","",IF(INDEX(对接源_01水果!$AI$4:$AI$1203,$S58)=0,"",INDEX(对接源_01水果!$AI$4:$AI$1203,$S58)))</f>
        <v/>
      </c>
      <c r="I58" s="72" t="str">
        <f>IF($S58="","",IF(INDEX(对接源_01水果!$AE$4:$AE$1203,$S58)=0,"",INDEX(对接源_01水果!$AE$4:$AE$1203,$S58)))</f>
        <v/>
      </c>
      <c r="J58" s="72" t="str">
        <f>IF($S58="","",IF(INDEX(对接源_01水果!$AF$4:$AF$1203,$S58)=0,"",INDEX(对接源_01水果!$AF$4:$AF$1203,$S58)))</f>
        <v/>
      </c>
      <c r="K58" s="72" t="str">
        <f>IF($S58="","",IF(INDEX(对接源_01水果!$K$4:$K$1203,$S58)=0,"",INDEX(对接源_01水果!$K$4:$K$1203,$S58)))</f>
        <v/>
      </c>
      <c r="L58" s="70" t="str">
        <f>IF($S58="","",IF(INDEX(对接源_01水果!$L$4:$L$1203,$S58)=0,"",INDEX(对接源_01水果!$L$4:$L$1203,$S58)))</f>
        <v/>
      </c>
      <c r="M58" s="73" t="str">
        <f>IF($S58="","",IF(INDEX(对接源_01水果!$M$4:$M$1203,$S58)=0,"",INDEX(对接源_01水果!$M$4:$M$1203,$S58)))</f>
        <v/>
      </c>
      <c r="S5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9" ht="15.75" customHeight="1" spans="1:19">
      <c r="A59" s="70" t="str">
        <f>IF($S59="","",IF(INDEX(对接源_01水果!$B$4:$B$1203,$S59)=0,"",INDEX(对接源_01水果!$B$4:$B$1203,$S59)))</f>
        <v/>
      </c>
      <c r="B59" s="70" t="str">
        <f>IF($S59="","",IF(INDEX(对接源_01水果!$E$4:$E$1203,$S59)=0,"",INDEX(对接源_01水果!$E$4:$E$1203,$S59)))</f>
        <v/>
      </c>
      <c r="C59" s="70" t="str">
        <f>IF($S59="","",IF(INDEX(对接源_01水果!$F$4:$F$1203,$S59)=0,"",INDEX(对接源_01水果!$F$4:$F$1203,$S59)))</f>
        <v/>
      </c>
      <c r="D59" s="70" t="str">
        <f>IF($S59="","",IF(INDEX(对接源_01水果!$G$4:$G$1203,$S59)=0,"",INDEX(对接源_01水果!$G$4:$G$1203,$S59)))</f>
        <v/>
      </c>
      <c r="E59" s="70" t="str">
        <f>IF($S59="","",IF(INDEX(对接源_01水果!$H$4:$H$1203,$S59)=0,"",INDEX(对接源_01水果!$H$4:$H$1203,$S59)))</f>
        <v/>
      </c>
      <c r="F59" s="70" t="str">
        <f>IF($S59="","",IF(INDEX(对接源_01水果!$I$4:$I$1203,$S59)=0,"",INDEX(对接源_01水果!$I$4:$I$1203,$S59)))</f>
        <v/>
      </c>
      <c r="G59" s="72" t="str">
        <f>IF($S59="","",IF(INDEX(对接源_01水果!$AD$4:$AD$1203,$S59)=0,"",INDEX(对接源_01水果!$AD$4:$AD$1203,$S59)))</f>
        <v/>
      </c>
      <c r="H59" s="72" t="str">
        <f>IF($S59="","",IF(INDEX(对接源_01水果!$AI$4:$AI$1203,$S59)=0,"",INDEX(对接源_01水果!$AI$4:$AI$1203,$S59)))</f>
        <v/>
      </c>
      <c r="I59" s="72" t="str">
        <f>IF($S59="","",IF(INDEX(对接源_01水果!$AE$4:$AE$1203,$S59)=0,"",INDEX(对接源_01水果!$AE$4:$AE$1203,$S59)))</f>
        <v/>
      </c>
      <c r="J59" s="72" t="str">
        <f>IF($S59="","",IF(INDEX(对接源_01水果!$AF$4:$AF$1203,$S59)=0,"",INDEX(对接源_01水果!$AF$4:$AF$1203,$S59)))</f>
        <v/>
      </c>
      <c r="K59" s="72" t="str">
        <f>IF($S59="","",IF(INDEX(对接源_01水果!$K$4:$K$1203,$S59)=0,"",INDEX(对接源_01水果!$K$4:$K$1203,$S59)))</f>
        <v/>
      </c>
      <c r="L59" s="70" t="str">
        <f>IF($S59="","",IF(INDEX(对接源_01水果!$L$4:$L$1203,$S59)=0,"",INDEX(对接源_01水果!$L$4:$L$1203,$S59)))</f>
        <v/>
      </c>
      <c r="M59" s="73" t="str">
        <f>IF($S59="","",IF(INDEX(对接源_01水果!$M$4:$M$1203,$S59)=0,"",INDEX(对接源_01水果!$M$4:$M$1203,$S59)))</f>
        <v/>
      </c>
      <c r="S5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0" ht="15.75" customHeight="1" spans="1:19">
      <c r="A60" s="70" t="str">
        <f>IF($S60="","",IF(INDEX(对接源_01水果!$B$4:$B$1203,$S60)=0,"",INDEX(对接源_01水果!$B$4:$B$1203,$S60)))</f>
        <v/>
      </c>
      <c r="B60" s="70" t="str">
        <f>IF($S60="","",IF(INDEX(对接源_01水果!$E$4:$E$1203,$S60)=0,"",INDEX(对接源_01水果!$E$4:$E$1203,$S60)))</f>
        <v/>
      </c>
      <c r="C60" s="70" t="str">
        <f>IF($S60="","",IF(INDEX(对接源_01水果!$F$4:$F$1203,$S60)=0,"",INDEX(对接源_01水果!$F$4:$F$1203,$S60)))</f>
        <v/>
      </c>
      <c r="D60" s="70" t="str">
        <f>IF($S60="","",IF(INDEX(对接源_01水果!$G$4:$G$1203,$S60)=0,"",INDEX(对接源_01水果!$G$4:$G$1203,$S60)))</f>
        <v/>
      </c>
      <c r="E60" s="70" t="str">
        <f>IF($S60="","",IF(INDEX(对接源_01水果!$H$4:$H$1203,$S60)=0,"",INDEX(对接源_01水果!$H$4:$H$1203,$S60)))</f>
        <v/>
      </c>
      <c r="F60" s="70" t="str">
        <f>IF($S60="","",IF(INDEX(对接源_01水果!$I$4:$I$1203,$S60)=0,"",INDEX(对接源_01水果!$I$4:$I$1203,$S60)))</f>
        <v/>
      </c>
      <c r="G60" s="72" t="str">
        <f>IF($S60="","",IF(INDEX(对接源_01水果!$AD$4:$AD$1203,$S60)=0,"",INDEX(对接源_01水果!$AD$4:$AD$1203,$S60)))</f>
        <v/>
      </c>
      <c r="H60" s="72" t="str">
        <f>IF($S60="","",IF(INDEX(对接源_01水果!$AI$4:$AI$1203,$S60)=0,"",INDEX(对接源_01水果!$AI$4:$AI$1203,$S60)))</f>
        <v/>
      </c>
      <c r="I60" s="72" t="str">
        <f>IF($S60="","",IF(INDEX(对接源_01水果!$AE$4:$AE$1203,$S60)=0,"",INDEX(对接源_01水果!$AE$4:$AE$1203,$S60)))</f>
        <v/>
      </c>
      <c r="J60" s="72" t="str">
        <f>IF($S60="","",IF(INDEX(对接源_01水果!$AF$4:$AF$1203,$S60)=0,"",INDEX(对接源_01水果!$AF$4:$AF$1203,$S60)))</f>
        <v/>
      </c>
      <c r="K60" s="72" t="str">
        <f>IF($S60="","",IF(INDEX(对接源_01水果!$K$4:$K$1203,$S60)=0,"",INDEX(对接源_01水果!$K$4:$K$1203,$S60)))</f>
        <v/>
      </c>
      <c r="L60" s="70" t="str">
        <f>IF($S60="","",IF(INDEX(对接源_01水果!$L$4:$L$1203,$S60)=0,"",INDEX(对接源_01水果!$L$4:$L$1203,$S60)))</f>
        <v/>
      </c>
      <c r="M60" s="73" t="str">
        <f>IF($S60="","",IF(INDEX(对接源_01水果!$M$4:$M$1203,$S60)=0,"",INDEX(对接源_01水果!$M$4:$M$1203,$S60)))</f>
        <v/>
      </c>
      <c r="S6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1" ht="15.75" customHeight="1" spans="1:19">
      <c r="A61" s="70" t="str">
        <f>IF($S61="","",IF(INDEX(对接源_01水果!$B$4:$B$1203,$S61)=0,"",INDEX(对接源_01水果!$B$4:$B$1203,$S61)))</f>
        <v/>
      </c>
      <c r="B61" s="70" t="str">
        <f>IF($S61="","",IF(INDEX(对接源_01水果!$E$4:$E$1203,$S61)=0,"",INDEX(对接源_01水果!$E$4:$E$1203,$S61)))</f>
        <v/>
      </c>
      <c r="C61" s="70" t="str">
        <f>IF($S61="","",IF(INDEX(对接源_01水果!$F$4:$F$1203,$S61)=0,"",INDEX(对接源_01水果!$F$4:$F$1203,$S61)))</f>
        <v/>
      </c>
      <c r="D61" s="70" t="str">
        <f>IF($S61="","",IF(INDEX(对接源_01水果!$G$4:$G$1203,$S61)=0,"",INDEX(对接源_01水果!$G$4:$G$1203,$S61)))</f>
        <v/>
      </c>
      <c r="E61" s="70" t="str">
        <f>IF($S61="","",IF(INDEX(对接源_01水果!$H$4:$H$1203,$S61)=0,"",INDEX(对接源_01水果!$H$4:$H$1203,$S61)))</f>
        <v/>
      </c>
      <c r="F61" s="70" t="str">
        <f>IF($S61="","",IF(INDEX(对接源_01水果!$I$4:$I$1203,$S61)=0,"",INDEX(对接源_01水果!$I$4:$I$1203,$S61)))</f>
        <v/>
      </c>
      <c r="G61" s="72" t="str">
        <f>IF($S61="","",IF(INDEX(对接源_01水果!$AD$4:$AD$1203,$S61)=0,"",INDEX(对接源_01水果!$AD$4:$AD$1203,$S61)))</f>
        <v/>
      </c>
      <c r="H61" s="72" t="str">
        <f>IF($S61="","",IF(INDEX(对接源_01水果!$AI$4:$AI$1203,$S61)=0,"",INDEX(对接源_01水果!$AI$4:$AI$1203,$S61)))</f>
        <v/>
      </c>
      <c r="I61" s="72" t="str">
        <f>IF($S61="","",IF(INDEX(对接源_01水果!$AE$4:$AE$1203,$S61)=0,"",INDEX(对接源_01水果!$AE$4:$AE$1203,$S61)))</f>
        <v/>
      </c>
      <c r="J61" s="72" t="str">
        <f>IF($S61="","",IF(INDEX(对接源_01水果!$AF$4:$AF$1203,$S61)=0,"",INDEX(对接源_01水果!$AF$4:$AF$1203,$S61)))</f>
        <v/>
      </c>
      <c r="K61" s="72" t="str">
        <f>IF($S61="","",IF(INDEX(对接源_01水果!$K$4:$K$1203,$S61)=0,"",INDEX(对接源_01水果!$K$4:$K$1203,$S61)))</f>
        <v/>
      </c>
      <c r="L61" s="70" t="str">
        <f>IF($S61="","",IF(INDEX(对接源_01水果!$L$4:$L$1203,$S61)=0,"",INDEX(对接源_01水果!$L$4:$L$1203,$S61)))</f>
        <v/>
      </c>
      <c r="M61" s="73" t="str">
        <f>IF($S61="","",IF(INDEX(对接源_01水果!$M$4:$M$1203,$S61)=0,"",INDEX(对接源_01水果!$M$4:$M$1203,$S61)))</f>
        <v/>
      </c>
      <c r="S6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2" ht="15.75" customHeight="1" spans="1:19">
      <c r="A62" s="70" t="str">
        <f>IF($S62="","",IF(INDEX(对接源_01水果!$B$4:$B$1203,$S62)=0,"",INDEX(对接源_01水果!$B$4:$B$1203,$S62)))</f>
        <v/>
      </c>
      <c r="B62" s="70" t="str">
        <f>IF($S62="","",IF(INDEX(对接源_01水果!$E$4:$E$1203,$S62)=0,"",INDEX(对接源_01水果!$E$4:$E$1203,$S62)))</f>
        <v/>
      </c>
      <c r="C62" s="70" t="str">
        <f>IF($S62="","",IF(INDEX(对接源_01水果!$F$4:$F$1203,$S62)=0,"",INDEX(对接源_01水果!$F$4:$F$1203,$S62)))</f>
        <v/>
      </c>
      <c r="D62" s="70" t="str">
        <f>IF($S62="","",IF(INDEX(对接源_01水果!$G$4:$G$1203,$S62)=0,"",INDEX(对接源_01水果!$G$4:$G$1203,$S62)))</f>
        <v/>
      </c>
      <c r="E62" s="70" t="str">
        <f>IF($S62="","",IF(INDEX(对接源_01水果!$H$4:$H$1203,$S62)=0,"",INDEX(对接源_01水果!$H$4:$H$1203,$S62)))</f>
        <v/>
      </c>
      <c r="F62" s="70" t="str">
        <f>IF($S62="","",IF(INDEX(对接源_01水果!$I$4:$I$1203,$S62)=0,"",INDEX(对接源_01水果!$I$4:$I$1203,$S62)))</f>
        <v/>
      </c>
      <c r="G62" s="72" t="str">
        <f>IF($S62="","",IF(INDEX(对接源_01水果!$AD$4:$AD$1203,$S62)=0,"",INDEX(对接源_01水果!$AD$4:$AD$1203,$S62)))</f>
        <v/>
      </c>
      <c r="H62" s="72" t="str">
        <f>IF($S62="","",IF(INDEX(对接源_01水果!$AI$4:$AI$1203,$S62)=0,"",INDEX(对接源_01水果!$AI$4:$AI$1203,$S62)))</f>
        <v/>
      </c>
      <c r="I62" s="72" t="str">
        <f>IF($S62="","",IF(INDEX(对接源_01水果!$AE$4:$AE$1203,$S62)=0,"",INDEX(对接源_01水果!$AE$4:$AE$1203,$S62)))</f>
        <v/>
      </c>
      <c r="J62" s="72" t="str">
        <f>IF($S62="","",IF(INDEX(对接源_01水果!$AF$4:$AF$1203,$S62)=0,"",INDEX(对接源_01水果!$AF$4:$AF$1203,$S62)))</f>
        <v/>
      </c>
      <c r="K62" s="72" t="str">
        <f>IF($S62="","",IF(INDEX(对接源_01水果!$K$4:$K$1203,$S62)=0,"",INDEX(对接源_01水果!$K$4:$K$1203,$S62)))</f>
        <v/>
      </c>
      <c r="L62" s="70" t="str">
        <f>IF($S62="","",IF(INDEX(对接源_01水果!$L$4:$L$1203,$S62)=0,"",INDEX(对接源_01水果!$L$4:$L$1203,$S62)))</f>
        <v/>
      </c>
      <c r="M62" s="73" t="str">
        <f>IF($S62="","",IF(INDEX(对接源_01水果!$M$4:$M$1203,$S62)=0,"",INDEX(对接源_01水果!$M$4:$M$1203,$S62)))</f>
        <v/>
      </c>
      <c r="S6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3" ht="15.75" customHeight="1" spans="1:19">
      <c r="A63" s="70" t="str">
        <f>IF($S63="","",IF(INDEX(对接源_01水果!$B$4:$B$1203,$S63)=0,"",INDEX(对接源_01水果!$B$4:$B$1203,$S63)))</f>
        <v/>
      </c>
      <c r="B63" s="70" t="str">
        <f>IF($S63="","",IF(INDEX(对接源_01水果!$E$4:$E$1203,$S63)=0,"",INDEX(对接源_01水果!$E$4:$E$1203,$S63)))</f>
        <v/>
      </c>
      <c r="C63" s="70" t="str">
        <f>IF($S63="","",IF(INDEX(对接源_01水果!$F$4:$F$1203,$S63)=0,"",INDEX(对接源_01水果!$F$4:$F$1203,$S63)))</f>
        <v/>
      </c>
      <c r="D63" s="70" t="str">
        <f>IF($S63="","",IF(INDEX(对接源_01水果!$G$4:$G$1203,$S63)=0,"",INDEX(对接源_01水果!$G$4:$G$1203,$S63)))</f>
        <v/>
      </c>
      <c r="E63" s="70" t="str">
        <f>IF($S63="","",IF(INDEX(对接源_01水果!$H$4:$H$1203,$S63)=0,"",INDEX(对接源_01水果!$H$4:$H$1203,$S63)))</f>
        <v/>
      </c>
      <c r="F63" s="70" t="str">
        <f>IF($S63="","",IF(INDEX(对接源_01水果!$I$4:$I$1203,$S63)=0,"",INDEX(对接源_01水果!$I$4:$I$1203,$S63)))</f>
        <v/>
      </c>
      <c r="G63" s="72" t="str">
        <f>IF($S63="","",IF(INDEX(对接源_01水果!$AD$4:$AD$1203,$S63)=0,"",INDEX(对接源_01水果!$AD$4:$AD$1203,$S63)))</f>
        <v/>
      </c>
      <c r="H63" s="72" t="str">
        <f>IF($S63="","",IF(INDEX(对接源_01水果!$AI$4:$AI$1203,$S63)=0,"",INDEX(对接源_01水果!$AI$4:$AI$1203,$S63)))</f>
        <v/>
      </c>
      <c r="I63" s="72" t="str">
        <f>IF($S63="","",IF(INDEX(对接源_01水果!$AE$4:$AE$1203,$S63)=0,"",INDEX(对接源_01水果!$AE$4:$AE$1203,$S63)))</f>
        <v/>
      </c>
      <c r="J63" s="72" t="str">
        <f>IF($S63="","",IF(INDEX(对接源_01水果!$AF$4:$AF$1203,$S63)=0,"",INDEX(对接源_01水果!$AF$4:$AF$1203,$S63)))</f>
        <v/>
      </c>
      <c r="K63" s="72" t="str">
        <f>IF($S63="","",IF(INDEX(对接源_01水果!$K$4:$K$1203,$S63)=0,"",INDEX(对接源_01水果!$K$4:$K$1203,$S63)))</f>
        <v/>
      </c>
      <c r="L63" s="70" t="str">
        <f>IF($S63="","",IF(INDEX(对接源_01水果!$L$4:$L$1203,$S63)=0,"",INDEX(对接源_01水果!$L$4:$L$1203,$S63)))</f>
        <v/>
      </c>
      <c r="M63" s="73" t="str">
        <f>IF($S63="","",IF(INDEX(对接源_01水果!$M$4:$M$1203,$S63)=0,"",INDEX(对接源_01水果!$M$4:$M$1203,$S63)))</f>
        <v/>
      </c>
      <c r="S6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4" ht="15.75" customHeight="1" spans="1:19">
      <c r="A64" s="70" t="str">
        <f>IF($S64="","",IF(INDEX(对接源_01水果!$B$4:$B$1203,$S64)=0,"",INDEX(对接源_01水果!$B$4:$B$1203,$S64)))</f>
        <v/>
      </c>
      <c r="B64" s="70" t="str">
        <f>IF($S64="","",IF(INDEX(对接源_01水果!$E$4:$E$1203,$S64)=0,"",INDEX(对接源_01水果!$E$4:$E$1203,$S64)))</f>
        <v/>
      </c>
      <c r="C64" s="70" t="str">
        <f>IF($S64="","",IF(INDEX(对接源_01水果!$F$4:$F$1203,$S64)=0,"",INDEX(对接源_01水果!$F$4:$F$1203,$S64)))</f>
        <v/>
      </c>
      <c r="D64" s="70" t="str">
        <f>IF($S64="","",IF(INDEX(对接源_01水果!$G$4:$G$1203,$S64)=0,"",INDEX(对接源_01水果!$G$4:$G$1203,$S64)))</f>
        <v/>
      </c>
      <c r="E64" s="70" t="str">
        <f>IF($S64="","",IF(INDEX(对接源_01水果!$H$4:$H$1203,$S64)=0,"",INDEX(对接源_01水果!$H$4:$H$1203,$S64)))</f>
        <v/>
      </c>
      <c r="F64" s="70" t="str">
        <f>IF($S64="","",IF(INDEX(对接源_01水果!$I$4:$I$1203,$S64)=0,"",INDEX(对接源_01水果!$I$4:$I$1203,$S64)))</f>
        <v/>
      </c>
      <c r="G64" s="72" t="str">
        <f>IF($S64="","",IF(INDEX(对接源_01水果!$AD$4:$AD$1203,$S64)=0,"",INDEX(对接源_01水果!$AD$4:$AD$1203,$S64)))</f>
        <v/>
      </c>
      <c r="H64" s="72" t="str">
        <f>IF($S64="","",IF(INDEX(对接源_01水果!$AI$4:$AI$1203,$S64)=0,"",INDEX(对接源_01水果!$AI$4:$AI$1203,$S64)))</f>
        <v/>
      </c>
      <c r="I64" s="72" t="str">
        <f>IF($S64="","",IF(INDEX(对接源_01水果!$AE$4:$AE$1203,$S64)=0,"",INDEX(对接源_01水果!$AE$4:$AE$1203,$S64)))</f>
        <v/>
      </c>
      <c r="J64" s="72" t="str">
        <f>IF($S64="","",IF(INDEX(对接源_01水果!$AF$4:$AF$1203,$S64)=0,"",INDEX(对接源_01水果!$AF$4:$AF$1203,$S64)))</f>
        <v/>
      </c>
      <c r="K64" s="72" t="str">
        <f>IF($S64="","",IF(INDEX(对接源_01水果!$K$4:$K$1203,$S64)=0,"",INDEX(对接源_01水果!$K$4:$K$1203,$S64)))</f>
        <v/>
      </c>
      <c r="L64" s="70" t="str">
        <f>IF($S64="","",IF(INDEX(对接源_01水果!$L$4:$L$1203,$S64)=0,"",INDEX(对接源_01水果!$L$4:$L$1203,$S64)))</f>
        <v/>
      </c>
      <c r="M64" s="73" t="str">
        <f>IF($S64="","",IF(INDEX(对接源_01水果!$M$4:$M$1203,$S64)=0,"",INDEX(对接源_01水果!$M$4:$M$1203,$S64)))</f>
        <v/>
      </c>
      <c r="S6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5" ht="15.75" customHeight="1" spans="1:19">
      <c r="A65" s="70" t="str">
        <f>IF($S65="","",IF(INDEX(对接源_01水果!$B$4:$B$1203,$S65)=0,"",INDEX(对接源_01水果!$B$4:$B$1203,$S65)))</f>
        <v/>
      </c>
      <c r="B65" s="70" t="str">
        <f>IF($S65="","",IF(INDEX(对接源_01水果!$E$4:$E$1203,$S65)=0,"",INDEX(对接源_01水果!$E$4:$E$1203,$S65)))</f>
        <v/>
      </c>
      <c r="C65" s="70" t="str">
        <f>IF($S65="","",IF(INDEX(对接源_01水果!$F$4:$F$1203,$S65)=0,"",INDEX(对接源_01水果!$F$4:$F$1203,$S65)))</f>
        <v/>
      </c>
      <c r="D65" s="70" t="str">
        <f>IF($S65="","",IF(INDEX(对接源_01水果!$G$4:$G$1203,$S65)=0,"",INDEX(对接源_01水果!$G$4:$G$1203,$S65)))</f>
        <v/>
      </c>
      <c r="E65" s="70" t="str">
        <f>IF($S65="","",IF(INDEX(对接源_01水果!$H$4:$H$1203,$S65)=0,"",INDEX(对接源_01水果!$H$4:$H$1203,$S65)))</f>
        <v/>
      </c>
      <c r="F65" s="70" t="str">
        <f>IF($S65="","",IF(INDEX(对接源_01水果!$I$4:$I$1203,$S65)=0,"",INDEX(对接源_01水果!$I$4:$I$1203,$S65)))</f>
        <v/>
      </c>
      <c r="G65" s="72" t="str">
        <f>IF($S65="","",IF(INDEX(对接源_01水果!$AD$4:$AD$1203,$S65)=0,"",INDEX(对接源_01水果!$AD$4:$AD$1203,$S65)))</f>
        <v/>
      </c>
      <c r="H65" s="72" t="str">
        <f>IF($S65="","",IF(INDEX(对接源_01水果!$AI$4:$AI$1203,$S65)=0,"",INDEX(对接源_01水果!$AI$4:$AI$1203,$S65)))</f>
        <v/>
      </c>
      <c r="I65" s="72" t="str">
        <f>IF($S65="","",IF(INDEX(对接源_01水果!$AE$4:$AE$1203,$S65)=0,"",INDEX(对接源_01水果!$AE$4:$AE$1203,$S65)))</f>
        <v/>
      </c>
      <c r="J65" s="72" t="str">
        <f>IF($S65="","",IF(INDEX(对接源_01水果!$AF$4:$AF$1203,$S65)=0,"",INDEX(对接源_01水果!$AF$4:$AF$1203,$S65)))</f>
        <v/>
      </c>
      <c r="K65" s="72" t="str">
        <f>IF($S65="","",IF(INDEX(对接源_01水果!$K$4:$K$1203,$S65)=0,"",INDEX(对接源_01水果!$K$4:$K$1203,$S65)))</f>
        <v/>
      </c>
      <c r="L65" s="70" t="str">
        <f>IF($S65="","",IF(INDEX(对接源_01水果!$L$4:$L$1203,$S65)=0,"",INDEX(对接源_01水果!$L$4:$L$1203,$S65)))</f>
        <v/>
      </c>
      <c r="M65" s="73" t="str">
        <f>IF($S65="","",IF(INDEX(对接源_01水果!$M$4:$M$1203,$S65)=0,"",INDEX(对接源_01水果!$M$4:$M$1203,$S65)))</f>
        <v/>
      </c>
      <c r="S6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6" ht="15.75" customHeight="1" spans="1:19">
      <c r="A66" s="70" t="str">
        <f>IF($S66="","",IF(INDEX(对接源_01水果!$B$4:$B$1203,$S66)=0,"",INDEX(对接源_01水果!$B$4:$B$1203,$S66)))</f>
        <v/>
      </c>
      <c r="B66" s="70" t="str">
        <f>IF($S66="","",IF(INDEX(对接源_01水果!$E$4:$E$1203,$S66)=0,"",INDEX(对接源_01水果!$E$4:$E$1203,$S66)))</f>
        <v/>
      </c>
      <c r="C66" s="70" t="str">
        <f>IF($S66="","",IF(INDEX(对接源_01水果!$F$4:$F$1203,$S66)=0,"",INDEX(对接源_01水果!$F$4:$F$1203,$S66)))</f>
        <v/>
      </c>
      <c r="D66" s="70" t="str">
        <f>IF($S66="","",IF(INDEX(对接源_01水果!$G$4:$G$1203,$S66)=0,"",INDEX(对接源_01水果!$G$4:$G$1203,$S66)))</f>
        <v/>
      </c>
      <c r="E66" s="70" t="str">
        <f>IF($S66="","",IF(INDEX(对接源_01水果!$H$4:$H$1203,$S66)=0,"",INDEX(对接源_01水果!$H$4:$H$1203,$S66)))</f>
        <v/>
      </c>
      <c r="F66" s="70" t="str">
        <f>IF($S66="","",IF(INDEX(对接源_01水果!$I$4:$I$1203,$S66)=0,"",INDEX(对接源_01水果!$I$4:$I$1203,$S66)))</f>
        <v/>
      </c>
      <c r="G66" s="72" t="str">
        <f>IF($S66="","",IF(INDEX(对接源_01水果!$AD$4:$AD$1203,$S66)=0,"",INDEX(对接源_01水果!$AD$4:$AD$1203,$S66)))</f>
        <v/>
      </c>
      <c r="H66" s="72" t="str">
        <f>IF($S66="","",IF(INDEX(对接源_01水果!$AI$4:$AI$1203,$S66)=0,"",INDEX(对接源_01水果!$AI$4:$AI$1203,$S66)))</f>
        <v/>
      </c>
      <c r="I66" s="72" t="str">
        <f>IF($S66="","",IF(INDEX(对接源_01水果!$AE$4:$AE$1203,$S66)=0,"",INDEX(对接源_01水果!$AE$4:$AE$1203,$S66)))</f>
        <v/>
      </c>
      <c r="J66" s="72" t="str">
        <f>IF($S66="","",IF(INDEX(对接源_01水果!$AF$4:$AF$1203,$S66)=0,"",INDEX(对接源_01水果!$AF$4:$AF$1203,$S66)))</f>
        <v/>
      </c>
      <c r="K66" s="72" t="str">
        <f>IF($S66="","",IF(INDEX(对接源_01水果!$K$4:$K$1203,$S66)=0,"",INDEX(对接源_01水果!$K$4:$K$1203,$S66)))</f>
        <v/>
      </c>
      <c r="L66" s="70" t="str">
        <f>IF($S66="","",IF(INDEX(对接源_01水果!$L$4:$L$1203,$S66)=0,"",INDEX(对接源_01水果!$L$4:$L$1203,$S66)))</f>
        <v/>
      </c>
      <c r="M66" s="73" t="str">
        <f>IF($S66="","",IF(INDEX(对接源_01水果!$M$4:$M$1203,$S66)=0,"",INDEX(对接源_01水果!$M$4:$M$1203,$S66)))</f>
        <v/>
      </c>
      <c r="S6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7" ht="15.75" customHeight="1" spans="1:19">
      <c r="A67" s="70" t="str">
        <f>IF($S67="","",IF(INDEX(对接源_01水果!$B$4:$B$1203,$S67)=0,"",INDEX(对接源_01水果!$B$4:$B$1203,$S67)))</f>
        <v/>
      </c>
      <c r="B67" s="70" t="str">
        <f>IF($S67="","",IF(INDEX(对接源_01水果!$E$4:$E$1203,$S67)=0,"",INDEX(对接源_01水果!$E$4:$E$1203,$S67)))</f>
        <v/>
      </c>
      <c r="C67" s="70" t="str">
        <f>IF($S67="","",IF(INDEX(对接源_01水果!$F$4:$F$1203,$S67)=0,"",INDEX(对接源_01水果!$F$4:$F$1203,$S67)))</f>
        <v/>
      </c>
      <c r="D67" s="70" t="str">
        <f>IF($S67="","",IF(INDEX(对接源_01水果!$G$4:$G$1203,$S67)=0,"",INDEX(对接源_01水果!$G$4:$G$1203,$S67)))</f>
        <v/>
      </c>
      <c r="E67" s="70" t="str">
        <f>IF($S67="","",IF(INDEX(对接源_01水果!$H$4:$H$1203,$S67)=0,"",INDEX(对接源_01水果!$H$4:$H$1203,$S67)))</f>
        <v/>
      </c>
      <c r="F67" s="70" t="str">
        <f>IF($S67="","",IF(INDEX(对接源_01水果!$I$4:$I$1203,$S67)=0,"",INDEX(对接源_01水果!$I$4:$I$1203,$S67)))</f>
        <v/>
      </c>
      <c r="G67" s="72" t="str">
        <f>IF($S67="","",IF(INDEX(对接源_01水果!$AD$4:$AD$1203,$S67)=0,"",INDEX(对接源_01水果!$AD$4:$AD$1203,$S67)))</f>
        <v/>
      </c>
      <c r="H67" s="72" t="str">
        <f>IF($S67="","",IF(INDEX(对接源_01水果!$AI$4:$AI$1203,$S67)=0,"",INDEX(对接源_01水果!$AI$4:$AI$1203,$S67)))</f>
        <v/>
      </c>
      <c r="I67" s="72" t="str">
        <f>IF($S67="","",IF(INDEX(对接源_01水果!$AE$4:$AE$1203,$S67)=0,"",INDEX(对接源_01水果!$AE$4:$AE$1203,$S67)))</f>
        <v/>
      </c>
      <c r="J67" s="72" t="str">
        <f>IF($S67="","",IF(INDEX(对接源_01水果!$AF$4:$AF$1203,$S67)=0,"",INDEX(对接源_01水果!$AF$4:$AF$1203,$S67)))</f>
        <v/>
      </c>
      <c r="K67" s="72" t="str">
        <f>IF($S67="","",IF(INDEX(对接源_01水果!$K$4:$K$1203,$S67)=0,"",INDEX(对接源_01水果!$K$4:$K$1203,$S67)))</f>
        <v/>
      </c>
      <c r="L67" s="70" t="str">
        <f>IF($S67="","",IF(INDEX(对接源_01水果!$L$4:$L$1203,$S67)=0,"",INDEX(对接源_01水果!$L$4:$L$1203,$S67)))</f>
        <v/>
      </c>
      <c r="M67" s="73" t="str">
        <f>IF($S67="","",IF(INDEX(对接源_01水果!$M$4:$M$1203,$S67)=0,"",INDEX(对接源_01水果!$M$4:$M$1203,$S67)))</f>
        <v/>
      </c>
      <c r="S6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8" ht="15.75" customHeight="1" spans="1:19">
      <c r="A68" s="70" t="str">
        <f>IF($S68="","",IF(INDEX(对接源_01水果!$B$4:$B$1203,$S68)=0,"",INDEX(对接源_01水果!$B$4:$B$1203,$S68)))</f>
        <v/>
      </c>
      <c r="B68" s="70" t="str">
        <f>IF($S68="","",IF(INDEX(对接源_01水果!$E$4:$E$1203,$S68)=0,"",INDEX(对接源_01水果!$E$4:$E$1203,$S68)))</f>
        <v/>
      </c>
      <c r="C68" s="70" t="str">
        <f>IF($S68="","",IF(INDEX(对接源_01水果!$F$4:$F$1203,$S68)=0,"",INDEX(对接源_01水果!$F$4:$F$1203,$S68)))</f>
        <v/>
      </c>
      <c r="D68" s="70" t="str">
        <f>IF($S68="","",IF(INDEX(对接源_01水果!$G$4:$G$1203,$S68)=0,"",INDEX(对接源_01水果!$G$4:$G$1203,$S68)))</f>
        <v/>
      </c>
      <c r="E68" s="70" t="str">
        <f>IF($S68="","",IF(INDEX(对接源_01水果!$H$4:$H$1203,$S68)=0,"",INDEX(对接源_01水果!$H$4:$H$1203,$S68)))</f>
        <v/>
      </c>
      <c r="F68" s="70" t="str">
        <f>IF($S68="","",IF(INDEX(对接源_01水果!$I$4:$I$1203,$S68)=0,"",INDEX(对接源_01水果!$I$4:$I$1203,$S68)))</f>
        <v/>
      </c>
      <c r="G68" s="72" t="str">
        <f>IF($S68="","",IF(INDEX(对接源_01水果!$AD$4:$AD$1203,$S68)=0,"",INDEX(对接源_01水果!$AD$4:$AD$1203,$S68)))</f>
        <v/>
      </c>
      <c r="H68" s="72" t="str">
        <f>IF($S68="","",IF(INDEX(对接源_01水果!$AI$4:$AI$1203,$S68)=0,"",INDEX(对接源_01水果!$AI$4:$AI$1203,$S68)))</f>
        <v/>
      </c>
      <c r="I68" s="72" t="str">
        <f>IF($S68="","",IF(INDEX(对接源_01水果!$AE$4:$AE$1203,$S68)=0,"",INDEX(对接源_01水果!$AE$4:$AE$1203,$S68)))</f>
        <v/>
      </c>
      <c r="J68" s="72" t="str">
        <f>IF($S68="","",IF(INDEX(对接源_01水果!$AF$4:$AF$1203,$S68)=0,"",INDEX(对接源_01水果!$AF$4:$AF$1203,$S68)))</f>
        <v/>
      </c>
      <c r="K68" s="72" t="str">
        <f>IF($S68="","",IF(INDEX(对接源_01水果!$K$4:$K$1203,$S68)=0,"",INDEX(对接源_01水果!$K$4:$K$1203,$S68)))</f>
        <v/>
      </c>
      <c r="L68" s="70" t="str">
        <f>IF($S68="","",IF(INDEX(对接源_01水果!$L$4:$L$1203,$S68)=0,"",INDEX(对接源_01水果!$L$4:$L$1203,$S68)))</f>
        <v/>
      </c>
      <c r="M68" s="73" t="str">
        <f>IF($S68="","",IF(INDEX(对接源_01水果!$M$4:$M$1203,$S68)=0,"",INDEX(对接源_01水果!$M$4:$M$1203,$S68)))</f>
        <v/>
      </c>
      <c r="S6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9" ht="15.75" customHeight="1" spans="1:19">
      <c r="A69" s="70" t="str">
        <f>IF($S69="","",IF(INDEX(对接源_01水果!$B$4:$B$1203,$S69)=0,"",INDEX(对接源_01水果!$B$4:$B$1203,$S69)))</f>
        <v/>
      </c>
      <c r="B69" s="70" t="str">
        <f>IF($S69="","",IF(INDEX(对接源_01水果!$E$4:$E$1203,$S69)=0,"",INDEX(对接源_01水果!$E$4:$E$1203,$S69)))</f>
        <v/>
      </c>
      <c r="C69" s="70" t="str">
        <f>IF($S69="","",IF(INDEX(对接源_01水果!$F$4:$F$1203,$S69)=0,"",INDEX(对接源_01水果!$F$4:$F$1203,$S69)))</f>
        <v/>
      </c>
      <c r="D69" s="70" t="str">
        <f>IF($S69="","",IF(INDEX(对接源_01水果!$G$4:$G$1203,$S69)=0,"",INDEX(对接源_01水果!$G$4:$G$1203,$S69)))</f>
        <v/>
      </c>
      <c r="E69" s="70" t="str">
        <f>IF($S69="","",IF(INDEX(对接源_01水果!$H$4:$H$1203,$S69)=0,"",INDEX(对接源_01水果!$H$4:$H$1203,$S69)))</f>
        <v/>
      </c>
      <c r="F69" s="70" t="str">
        <f>IF($S69="","",IF(INDEX(对接源_01水果!$I$4:$I$1203,$S69)=0,"",INDEX(对接源_01水果!$I$4:$I$1203,$S69)))</f>
        <v/>
      </c>
      <c r="G69" s="72" t="str">
        <f>IF($S69="","",IF(INDEX(对接源_01水果!$AD$4:$AD$1203,$S69)=0,"",INDEX(对接源_01水果!$AD$4:$AD$1203,$S69)))</f>
        <v/>
      </c>
      <c r="H69" s="72" t="str">
        <f>IF($S69="","",IF(INDEX(对接源_01水果!$AI$4:$AI$1203,$S69)=0,"",INDEX(对接源_01水果!$AI$4:$AI$1203,$S69)))</f>
        <v/>
      </c>
      <c r="I69" s="72" t="str">
        <f>IF($S69="","",IF(INDEX(对接源_01水果!$AE$4:$AE$1203,$S69)=0,"",INDEX(对接源_01水果!$AE$4:$AE$1203,$S69)))</f>
        <v/>
      </c>
      <c r="J69" s="72" t="str">
        <f>IF($S69="","",IF(INDEX(对接源_01水果!$AF$4:$AF$1203,$S69)=0,"",INDEX(对接源_01水果!$AF$4:$AF$1203,$S69)))</f>
        <v/>
      </c>
      <c r="K69" s="72" t="str">
        <f>IF($S69="","",IF(INDEX(对接源_01水果!$K$4:$K$1203,$S69)=0,"",INDEX(对接源_01水果!$K$4:$K$1203,$S69)))</f>
        <v/>
      </c>
      <c r="L69" s="70" t="str">
        <f>IF($S69="","",IF(INDEX(对接源_01水果!$L$4:$L$1203,$S69)=0,"",INDEX(对接源_01水果!$L$4:$L$1203,$S69)))</f>
        <v/>
      </c>
      <c r="M69" s="73" t="str">
        <f>IF($S69="","",IF(INDEX(对接源_01水果!$M$4:$M$1203,$S69)=0,"",INDEX(对接源_01水果!$M$4:$M$1203,$S69)))</f>
        <v/>
      </c>
      <c r="S6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0" ht="15.75" customHeight="1" spans="1:19">
      <c r="A70" s="70" t="str">
        <f>IF($S70="","",IF(INDEX(对接源_01水果!$B$4:$B$1203,$S70)=0,"",INDEX(对接源_01水果!$B$4:$B$1203,$S70)))</f>
        <v/>
      </c>
      <c r="B70" s="70" t="str">
        <f>IF($S70="","",IF(INDEX(对接源_01水果!$E$4:$E$1203,$S70)=0,"",INDEX(对接源_01水果!$E$4:$E$1203,$S70)))</f>
        <v/>
      </c>
      <c r="C70" s="70" t="str">
        <f>IF($S70="","",IF(INDEX(对接源_01水果!$F$4:$F$1203,$S70)=0,"",INDEX(对接源_01水果!$F$4:$F$1203,$S70)))</f>
        <v/>
      </c>
      <c r="D70" s="70" t="str">
        <f>IF($S70="","",IF(INDEX(对接源_01水果!$G$4:$G$1203,$S70)=0,"",INDEX(对接源_01水果!$G$4:$G$1203,$S70)))</f>
        <v/>
      </c>
      <c r="E70" s="70" t="str">
        <f>IF($S70="","",IF(INDEX(对接源_01水果!$H$4:$H$1203,$S70)=0,"",INDEX(对接源_01水果!$H$4:$H$1203,$S70)))</f>
        <v/>
      </c>
      <c r="F70" s="70" t="str">
        <f>IF($S70="","",IF(INDEX(对接源_01水果!$I$4:$I$1203,$S70)=0,"",INDEX(对接源_01水果!$I$4:$I$1203,$S70)))</f>
        <v/>
      </c>
      <c r="G70" s="72" t="str">
        <f>IF($S70="","",IF(INDEX(对接源_01水果!$AD$4:$AD$1203,$S70)=0,"",INDEX(对接源_01水果!$AD$4:$AD$1203,$S70)))</f>
        <v/>
      </c>
      <c r="H70" s="72" t="str">
        <f>IF($S70="","",IF(INDEX(对接源_01水果!$AI$4:$AI$1203,$S70)=0,"",INDEX(对接源_01水果!$AI$4:$AI$1203,$S70)))</f>
        <v/>
      </c>
      <c r="I70" s="72" t="str">
        <f>IF($S70="","",IF(INDEX(对接源_01水果!$AE$4:$AE$1203,$S70)=0,"",INDEX(对接源_01水果!$AE$4:$AE$1203,$S70)))</f>
        <v/>
      </c>
      <c r="J70" s="72" t="str">
        <f>IF($S70="","",IF(INDEX(对接源_01水果!$AF$4:$AF$1203,$S70)=0,"",INDEX(对接源_01水果!$AF$4:$AF$1203,$S70)))</f>
        <v/>
      </c>
      <c r="K70" s="72" t="str">
        <f>IF($S70="","",IF(INDEX(对接源_01水果!$K$4:$K$1203,$S70)=0,"",INDEX(对接源_01水果!$K$4:$K$1203,$S70)))</f>
        <v/>
      </c>
      <c r="L70" s="70" t="str">
        <f>IF($S70="","",IF(INDEX(对接源_01水果!$L$4:$L$1203,$S70)=0,"",INDEX(对接源_01水果!$L$4:$L$1203,$S70)))</f>
        <v/>
      </c>
      <c r="M70" s="73" t="str">
        <f>IF($S70="","",IF(INDEX(对接源_01水果!$M$4:$M$1203,$S70)=0,"",INDEX(对接源_01水果!$M$4:$M$1203,$S70)))</f>
        <v/>
      </c>
      <c r="S7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1" ht="15.75" customHeight="1" spans="1:19">
      <c r="A71" s="70" t="str">
        <f>IF($S71="","",IF(INDEX(对接源_01水果!$B$4:$B$1203,$S71)=0,"",INDEX(对接源_01水果!$B$4:$B$1203,$S71)))</f>
        <v/>
      </c>
      <c r="B71" s="70" t="str">
        <f>IF($S71="","",IF(INDEX(对接源_01水果!$E$4:$E$1203,$S71)=0,"",INDEX(对接源_01水果!$E$4:$E$1203,$S71)))</f>
        <v/>
      </c>
      <c r="C71" s="70" t="str">
        <f>IF($S71="","",IF(INDEX(对接源_01水果!$F$4:$F$1203,$S71)=0,"",INDEX(对接源_01水果!$F$4:$F$1203,$S71)))</f>
        <v/>
      </c>
      <c r="D71" s="70" t="str">
        <f>IF($S71="","",IF(INDEX(对接源_01水果!$G$4:$G$1203,$S71)=0,"",INDEX(对接源_01水果!$G$4:$G$1203,$S71)))</f>
        <v/>
      </c>
      <c r="E71" s="70" t="str">
        <f>IF($S71="","",IF(INDEX(对接源_01水果!$H$4:$H$1203,$S71)=0,"",INDEX(对接源_01水果!$H$4:$H$1203,$S71)))</f>
        <v/>
      </c>
      <c r="F71" s="70" t="str">
        <f>IF($S71="","",IF(INDEX(对接源_01水果!$I$4:$I$1203,$S71)=0,"",INDEX(对接源_01水果!$I$4:$I$1203,$S71)))</f>
        <v/>
      </c>
      <c r="G71" s="72" t="str">
        <f>IF($S71="","",IF(INDEX(对接源_01水果!$AD$4:$AD$1203,$S71)=0,"",INDEX(对接源_01水果!$AD$4:$AD$1203,$S71)))</f>
        <v/>
      </c>
      <c r="H71" s="72" t="str">
        <f>IF($S71="","",IF(INDEX(对接源_01水果!$AI$4:$AI$1203,$S71)=0,"",INDEX(对接源_01水果!$AI$4:$AI$1203,$S71)))</f>
        <v/>
      </c>
      <c r="I71" s="72" t="str">
        <f>IF($S71="","",IF(INDEX(对接源_01水果!$AE$4:$AE$1203,$S71)=0,"",INDEX(对接源_01水果!$AE$4:$AE$1203,$S71)))</f>
        <v/>
      </c>
      <c r="J71" s="72" t="str">
        <f>IF($S71="","",IF(INDEX(对接源_01水果!$AF$4:$AF$1203,$S71)=0,"",INDEX(对接源_01水果!$AF$4:$AF$1203,$S71)))</f>
        <v/>
      </c>
      <c r="K71" s="72" t="str">
        <f>IF($S71="","",IF(INDEX(对接源_01水果!$K$4:$K$1203,$S71)=0,"",INDEX(对接源_01水果!$K$4:$K$1203,$S71)))</f>
        <v/>
      </c>
      <c r="L71" s="70" t="str">
        <f>IF($S71="","",IF(INDEX(对接源_01水果!$L$4:$L$1203,$S71)=0,"",INDEX(对接源_01水果!$L$4:$L$1203,$S71)))</f>
        <v/>
      </c>
      <c r="M71" s="73" t="str">
        <f>IF($S71="","",IF(INDEX(对接源_01水果!$M$4:$M$1203,$S71)=0,"",INDEX(对接源_01水果!$M$4:$M$1203,$S71)))</f>
        <v/>
      </c>
      <c r="S7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2" ht="15.75" customHeight="1" spans="1:19">
      <c r="A72" s="70" t="str">
        <f>IF($S72="","",IF(INDEX(对接源_01水果!$B$4:$B$1203,$S72)=0,"",INDEX(对接源_01水果!$B$4:$B$1203,$S72)))</f>
        <v/>
      </c>
      <c r="B72" s="70" t="str">
        <f>IF($S72="","",IF(INDEX(对接源_01水果!$E$4:$E$1203,$S72)=0,"",INDEX(对接源_01水果!$E$4:$E$1203,$S72)))</f>
        <v/>
      </c>
      <c r="C72" s="70" t="str">
        <f>IF($S72="","",IF(INDEX(对接源_01水果!$F$4:$F$1203,$S72)=0,"",INDEX(对接源_01水果!$F$4:$F$1203,$S72)))</f>
        <v/>
      </c>
      <c r="D72" s="70" t="str">
        <f>IF($S72="","",IF(INDEX(对接源_01水果!$G$4:$G$1203,$S72)=0,"",INDEX(对接源_01水果!$G$4:$G$1203,$S72)))</f>
        <v/>
      </c>
      <c r="E72" s="70" t="str">
        <f>IF($S72="","",IF(INDEX(对接源_01水果!$H$4:$H$1203,$S72)=0,"",INDEX(对接源_01水果!$H$4:$H$1203,$S72)))</f>
        <v/>
      </c>
      <c r="F72" s="70" t="str">
        <f>IF($S72="","",IF(INDEX(对接源_01水果!$I$4:$I$1203,$S72)=0,"",INDEX(对接源_01水果!$I$4:$I$1203,$S72)))</f>
        <v/>
      </c>
      <c r="G72" s="72" t="str">
        <f>IF($S72="","",IF(INDEX(对接源_01水果!$AD$4:$AD$1203,$S72)=0,"",INDEX(对接源_01水果!$AD$4:$AD$1203,$S72)))</f>
        <v/>
      </c>
      <c r="H72" s="72" t="str">
        <f>IF($S72="","",IF(INDEX(对接源_01水果!$AI$4:$AI$1203,$S72)=0,"",INDEX(对接源_01水果!$AI$4:$AI$1203,$S72)))</f>
        <v/>
      </c>
      <c r="I72" s="72" t="str">
        <f>IF($S72="","",IF(INDEX(对接源_01水果!$AE$4:$AE$1203,$S72)=0,"",INDEX(对接源_01水果!$AE$4:$AE$1203,$S72)))</f>
        <v/>
      </c>
      <c r="J72" s="72" t="str">
        <f>IF($S72="","",IF(INDEX(对接源_01水果!$AF$4:$AF$1203,$S72)=0,"",INDEX(对接源_01水果!$AF$4:$AF$1203,$S72)))</f>
        <v/>
      </c>
      <c r="K72" s="72" t="str">
        <f>IF($S72="","",IF(INDEX(对接源_01水果!$K$4:$K$1203,$S72)=0,"",INDEX(对接源_01水果!$K$4:$K$1203,$S72)))</f>
        <v/>
      </c>
      <c r="L72" s="70" t="str">
        <f>IF($S72="","",IF(INDEX(对接源_01水果!$L$4:$L$1203,$S72)=0,"",INDEX(对接源_01水果!$L$4:$L$1203,$S72)))</f>
        <v/>
      </c>
      <c r="M72" s="73" t="str">
        <f>IF($S72="","",IF(INDEX(对接源_01水果!$M$4:$M$1203,$S72)=0,"",INDEX(对接源_01水果!$M$4:$M$1203,$S72)))</f>
        <v/>
      </c>
      <c r="S7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3" ht="15.75" customHeight="1" spans="1:19">
      <c r="A73" s="70" t="str">
        <f>IF($S73="","",IF(INDEX(对接源_01水果!$B$4:$B$1203,$S73)=0,"",INDEX(对接源_01水果!$B$4:$B$1203,$S73)))</f>
        <v/>
      </c>
      <c r="B73" s="70" t="str">
        <f>IF($S73="","",IF(INDEX(对接源_01水果!$E$4:$E$1203,$S73)=0,"",INDEX(对接源_01水果!$E$4:$E$1203,$S73)))</f>
        <v/>
      </c>
      <c r="C73" s="70" t="str">
        <f>IF($S73="","",IF(INDEX(对接源_01水果!$F$4:$F$1203,$S73)=0,"",INDEX(对接源_01水果!$F$4:$F$1203,$S73)))</f>
        <v/>
      </c>
      <c r="D73" s="70" t="str">
        <f>IF($S73="","",IF(INDEX(对接源_01水果!$G$4:$G$1203,$S73)=0,"",INDEX(对接源_01水果!$G$4:$G$1203,$S73)))</f>
        <v/>
      </c>
      <c r="E73" s="70" t="str">
        <f>IF($S73="","",IF(INDEX(对接源_01水果!$H$4:$H$1203,$S73)=0,"",INDEX(对接源_01水果!$H$4:$H$1203,$S73)))</f>
        <v/>
      </c>
      <c r="F73" s="70" t="str">
        <f>IF($S73="","",IF(INDEX(对接源_01水果!$I$4:$I$1203,$S73)=0,"",INDEX(对接源_01水果!$I$4:$I$1203,$S73)))</f>
        <v/>
      </c>
      <c r="G73" s="72" t="str">
        <f>IF($S73="","",IF(INDEX(对接源_01水果!$AD$4:$AD$1203,$S73)=0,"",INDEX(对接源_01水果!$AD$4:$AD$1203,$S73)))</f>
        <v/>
      </c>
      <c r="H73" s="72" t="str">
        <f>IF($S73="","",IF(INDEX(对接源_01水果!$AI$4:$AI$1203,$S73)=0,"",INDEX(对接源_01水果!$AI$4:$AI$1203,$S73)))</f>
        <v/>
      </c>
      <c r="I73" s="72" t="str">
        <f>IF($S73="","",IF(INDEX(对接源_01水果!$AE$4:$AE$1203,$S73)=0,"",INDEX(对接源_01水果!$AE$4:$AE$1203,$S73)))</f>
        <v/>
      </c>
      <c r="J73" s="72" t="str">
        <f>IF($S73="","",IF(INDEX(对接源_01水果!$AF$4:$AF$1203,$S73)=0,"",INDEX(对接源_01水果!$AF$4:$AF$1203,$S73)))</f>
        <v/>
      </c>
      <c r="K73" s="72" t="str">
        <f>IF($S73="","",IF(INDEX(对接源_01水果!$K$4:$K$1203,$S73)=0,"",INDEX(对接源_01水果!$K$4:$K$1203,$S73)))</f>
        <v/>
      </c>
      <c r="L73" s="70" t="str">
        <f>IF($S73="","",IF(INDEX(对接源_01水果!$L$4:$L$1203,$S73)=0,"",INDEX(对接源_01水果!$L$4:$L$1203,$S73)))</f>
        <v/>
      </c>
      <c r="M73" s="73" t="str">
        <f>IF($S73="","",IF(INDEX(对接源_01水果!$M$4:$M$1203,$S73)=0,"",INDEX(对接源_01水果!$M$4:$M$1203,$S73)))</f>
        <v/>
      </c>
      <c r="S7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4" ht="15.75" customHeight="1" spans="1:19">
      <c r="A74" s="70" t="str">
        <f>IF($S74="","",IF(INDEX(对接源_01水果!$B$4:$B$1203,$S74)=0,"",INDEX(对接源_01水果!$B$4:$B$1203,$S74)))</f>
        <v/>
      </c>
      <c r="B74" s="70" t="str">
        <f>IF($S74="","",IF(INDEX(对接源_01水果!$E$4:$E$1203,$S74)=0,"",INDEX(对接源_01水果!$E$4:$E$1203,$S74)))</f>
        <v/>
      </c>
      <c r="C74" s="70" t="str">
        <f>IF($S74="","",IF(INDEX(对接源_01水果!$F$4:$F$1203,$S74)=0,"",INDEX(对接源_01水果!$F$4:$F$1203,$S74)))</f>
        <v/>
      </c>
      <c r="D74" s="70" t="str">
        <f>IF($S74="","",IF(INDEX(对接源_01水果!$G$4:$G$1203,$S74)=0,"",INDEX(对接源_01水果!$G$4:$G$1203,$S74)))</f>
        <v/>
      </c>
      <c r="E74" s="70" t="str">
        <f>IF($S74="","",IF(INDEX(对接源_01水果!$H$4:$H$1203,$S74)=0,"",INDEX(对接源_01水果!$H$4:$H$1203,$S74)))</f>
        <v/>
      </c>
      <c r="F74" s="70" t="str">
        <f>IF($S74="","",IF(INDEX(对接源_01水果!$I$4:$I$1203,$S74)=0,"",INDEX(对接源_01水果!$I$4:$I$1203,$S74)))</f>
        <v/>
      </c>
      <c r="G74" s="72" t="str">
        <f>IF($S74="","",IF(INDEX(对接源_01水果!$AD$4:$AD$1203,$S74)=0,"",INDEX(对接源_01水果!$AD$4:$AD$1203,$S74)))</f>
        <v/>
      </c>
      <c r="H74" s="72" t="str">
        <f>IF($S74="","",IF(INDEX(对接源_01水果!$AI$4:$AI$1203,$S74)=0,"",INDEX(对接源_01水果!$AI$4:$AI$1203,$S74)))</f>
        <v/>
      </c>
      <c r="I74" s="72" t="str">
        <f>IF($S74="","",IF(INDEX(对接源_01水果!$AE$4:$AE$1203,$S74)=0,"",INDEX(对接源_01水果!$AE$4:$AE$1203,$S74)))</f>
        <v/>
      </c>
      <c r="J74" s="72" t="str">
        <f>IF($S74="","",IF(INDEX(对接源_01水果!$AF$4:$AF$1203,$S74)=0,"",INDEX(对接源_01水果!$AF$4:$AF$1203,$S74)))</f>
        <v/>
      </c>
      <c r="K74" s="72" t="str">
        <f>IF($S74="","",IF(INDEX(对接源_01水果!$K$4:$K$1203,$S74)=0,"",INDEX(对接源_01水果!$K$4:$K$1203,$S74)))</f>
        <v/>
      </c>
      <c r="L74" s="70" t="str">
        <f>IF($S74="","",IF(INDEX(对接源_01水果!$L$4:$L$1203,$S74)=0,"",INDEX(对接源_01水果!$L$4:$L$1203,$S74)))</f>
        <v/>
      </c>
      <c r="M74" s="73" t="str">
        <f>IF($S74="","",IF(INDEX(对接源_01水果!$M$4:$M$1203,$S74)=0,"",INDEX(对接源_01水果!$M$4:$M$1203,$S74)))</f>
        <v/>
      </c>
      <c r="S7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5" ht="15.75" customHeight="1" spans="1:19">
      <c r="A75" s="70" t="str">
        <f>IF($S75="","",IF(INDEX(对接源_01水果!$B$4:$B$1203,$S75)=0,"",INDEX(对接源_01水果!$B$4:$B$1203,$S75)))</f>
        <v/>
      </c>
      <c r="B75" s="70" t="str">
        <f>IF($S75="","",IF(INDEX(对接源_01水果!$E$4:$E$1203,$S75)=0,"",INDEX(对接源_01水果!$E$4:$E$1203,$S75)))</f>
        <v/>
      </c>
      <c r="C75" s="70" t="str">
        <f>IF($S75="","",IF(INDEX(对接源_01水果!$F$4:$F$1203,$S75)=0,"",INDEX(对接源_01水果!$F$4:$F$1203,$S75)))</f>
        <v/>
      </c>
      <c r="D75" s="70" t="str">
        <f>IF($S75="","",IF(INDEX(对接源_01水果!$G$4:$G$1203,$S75)=0,"",INDEX(对接源_01水果!$G$4:$G$1203,$S75)))</f>
        <v/>
      </c>
      <c r="E75" s="70" t="str">
        <f>IF($S75="","",IF(INDEX(对接源_01水果!$H$4:$H$1203,$S75)=0,"",INDEX(对接源_01水果!$H$4:$H$1203,$S75)))</f>
        <v/>
      </c>
      <c r="F75" s="70" t="str">
        <f>IF($S75="","",IF(INDEX(对接源_01水果!$I$4:$I$1203,$S75)=0,"",INDEX(对接源_01水果!$I$4:$I$1203,$S75)))</f>
        <v/>
      </c>
      <c r="G75" s="72" t="str">
        <f>IF($S75="","",IF(INDEX(对接源_01水果!$AD$4:$AD$1203,$S75)=0,"",INDEX(对接源_01水果!$AD$4:$AD$1203,$S75)))</f>
        <v/>
      </c>
      <c r="H75" s="72" t="str">
        <f>IF($S75="","",IF(INDEX(对接源_01水果!$AI$4:$AI$1203,$S75)=0,"",INDEX(对接源_01水果!$AI$4:$AI$1203,$S75)))</f>
        <v/>
      </c>
      <c r="I75" s="72" t="str">
        <f>IF($S75="","",IF(INDEX(对接源_01水果!$AE$4:$AE$1203,$S75)=0,"",INDEX(对接源_01水果!$AE$4:$AE$1203,$S75)))</f>
        <v/>
      </c>
      <c r="J75" s="72" t="str">
        <f>IF($S75="","",IF(INDEX(对接源_01水果!$AF$4:$AF$1203,$S75)=0,"",INDEX(对接源_01水果!$AF$4:$AF$1203,$S75)))</f>
        <v/>
      </c>
      <c r="K75" s="72" t="str">
        <f>IF($S75="","",IF(INDEX(对接源_01水果!$K$4:$K$1203,$S75)=0,"",INDEX(对接源_01水果!$K$4:$K$1203,$S75)))</f>
        <v/>
      </c>
      <c r="L75" s="70" t="str">
        <f>IF($S75="","",IF(INDEX(对接源_01水果!$L$4:$L$1203,$S75)=0,"",INDEX(对接源_01水果!$L$4:$L$1203,$S75)))</f>
        <v/>
      </c>
      <c r="M75" s="73" t="str">
        <f>IF($S75="","",IF(INDEX(对接源_01水果!$M$4:$M$1203,$S75)=0,"",INDEX(对接源_01水果!$M$4:$M$1203,$S75)))</f>
        <v/>
      </c>
      <c r="S7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6" ht="15.75" customHeight="1" spans="1:19">
      <c r="A76" s="70" t="str">
        <f>IF($S76="","",IF(INDEX(对接源_01水果!$B$4:$B$1203,$S76)=0,"",INDEX(对接源_01水果!$B$4:$B$1203,$S76)))</f>
        <v/>
      </c>
      <c r="B76" s="70" t="str">
        <f>IF($S76="","",IF(INDEX(对接源_01水果!$E$4:$E$1203,$S76)=0,"",INDEX(对接源_01水果!$E$4:$E$1203,$S76)))</f>
        <v/>
      </c>
      <c r="C76" s="70" t="str">
        <f>IF($S76="","",IF(INDEX(对接源_01水果!$F$4:$F$1203,$S76)=0,"",INDEX(对接源_01水果!$F$4:$F$1203,$S76)))</f>
        <v/>
      </c>
      <c r="D76" s="70" t="str">
        <f>IF($S76="","",IF(INDEX(对接源_01水果!$G$4:$G$1203,$S76)=0,"",INDEX(对接源_01水果!$G$4:$G$1203,$S76)))</f>
        <v/>
      </c>
      <c r="E76" s="70" t="str">
        <f>IF($S76="","",IF(INDEX(对接源_01水果!$H$4:$H$1203,$S76)=0,"",INDEX(对接源_01水果!$H$4:$H$1203,$S76)))</f>
        <v/>
      </c>
      <c r="F76" s="70" t="str">
        <f>IF($S76="","",IF(INDEX(对接源_01水果!$I$4:$I$1203,$S76)=0,"",INDEX(对接源_01水果!$I$4:$I$1203,$S76)))</f>
        <v/>
      </c>
      <c r="G76" s="72" t="str">
        <f>IF($S76="","",IF(INDEX(对接源_01水果!$AD$4:$AD$1203,$S76)=0,"",INDEX(对接源_01水果!$AD$4:$AD$1203,$S76)))</f>
        <v/>
      </c>
      <c r="H76" s="72" t="str">
        <f>IF($S76="","",IF(INDEX(对接源_01水果!$AI$4:$AI$1203,$S76)=0,"",INDEX(对接源_01水果!$AI$4:$AI$1203,$S76)))</f>
        <v/>
      </c>
      <c r="I76" s="72" t="str">
        <f>IF($S76="","",IF(INDEX(对接源_01水果!$AE$4:$AE$1203,$S76)=0,"",INDEX(对接源_01水果!$AE$4:$AE$1203,$S76)))</f>
        <v/>
      </c>
      <c r="J76" s="72" t="str">
        <f>IF($S76="","",IF(INDEX(对接源_01水果!$AF$4:$AF$1203,$S76)=0,"",INDEX(对接源_01水果!$AF$4:$AF$1203,$S76)))</f>
        <v/>
      </c>
      <c r="K76" s="72" t="str">
        <f>IF($S76="","",IF(INDEX(对接源_01水果!$K$4:$K$1203,$S76)=0,"",INDEX(对接源_01水果!$K$4:$K$1203,$S76)))</f>
        <v/>
      </c>
      <c r="L76" s="70" t="str">
        <f>IF($S76="","",IF(INDEX(对接源_01水果!$L$4:$L$1203,$S76)=0,"",INDEX(对接源_01水果!$L$4:$L$1203,$S76)))</f>
        <v/>
      </c>
      <c r="M76" s="73" t="str">
        <f>IF($S76="","",IF(INDEX(对接源_01水果!$M$4:$M$1203,$S76)=0,"",INDEX(对接源_01水果!$M$4:$M$1203,$S76)))</f>
        <v/>
      </c>
      <c r="S7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7" ht="15.75" customHeight="1" spans="1:19">
      <c r="A77" s="70" t="str">
        <f>IF($S77="","",IF(INDEX(对接源_01水果!$B$4:$B$1203,$S77)=0,"",INDEX(对接源_01水果!$B$4:$B$1203,$S77)))</f>
        <v/>
      </c>
      <c r="B77" s="70" t="str">
        <f>IF($S77="","",IF(INDEX(对接源_01水果!$E$4:$E$1203,$S77)=0,"",INDEX(对接源_01水果!$E$4:$E$1203,$S77)))</f>
        <v/>
      </c>
      <c r="C77" s="70" t="str">
        <f>IF($S77="","",IF(INDEX(对接源_01水果!$F$4:$F$1203,$S77)=0,"",INDEX(对接源_01水果!$F$4:$F$1203,$S77)))</f>
        <v/>
      </c>
      <c r="D77" s="70" t="str">
        <f>IF($S77="","",IF(INDEX(对接源_01水果!$G$4:$G$1203,$S77)=0,"",INDEX(对接源_01水果!$G$4:$G$1203,$S77)))</f>
        <v/>
      </c>
      <c r="E77" s="70" t="str">
        <f>IF($S77="","",IF(INDEX(对接源_01水果!$H$4:$H$1203,$S77)=0,"",INDEX(对接源_01水果!$H$4:$H$1203,$S77)))</f>
        <v/>
      </c>
      <c r="F77" s="70" t="str">
        <f>IF($S77="","",IF(INDEX(对接源_01水果!$I$4:$I$1203,$S77)=0,"",INDEX(对接源_01水果!$I$4:$I$1203,$S77)))</f>
        <v/>
      </c>
      <c r="G77" s="72" t="str">
        <f>IF($S77="","",IF(INDEX(对接源_01水果!$AD$4:$AD$1203,$S77)=0,"",INDEX(对接源_01水果!$AD$4:$AD$1203,$S77)))</f>
        <v/>
      </c>
      <c r="H77" s="72" t="str">
        <f>IF($S77="","",IF(INDEX(对接源_01水果!$AI$4:$AI$1203,$S77)=0,"",INDEX(对接源_01水果!$AI$4:$AI$1203,$S77)))</f>
        <v/>
      </c>
      <c r="I77" s="72" t="str">
        <f>IF($S77="","",IF(INDEX(对接源_01水果!$AE$4:$AE$1203,$S77)=0,"",INDEX(对接源_01水果!$AE$4:$AE$1203,$S77)))</f>
        <v/>
      </c>
      <c r="J77" s="72" t="str">
        <f>IF($S77="","",IF(INDEX(对接源_01水果!$AF$4:$AF$1203,$S77)=0,"",INDEX(对接源_01水果!$AF$4:$AF$1203,$S77)))</f>
        <v/>
      </c>
      <c r="K77" s="72" t="str">
        <f>IF($S77="","",IF(INDEX(对接源_01水果!$K$4:$K$1203,$S77)=0,"",INDEX(对接源_01水果!$K$4:$K$1203,$S77)))</f>
        <v/>
      </c>
      <c r="L77" s="70" t="str">
        <f>IF($S77="","",IF(INDEX(对接源_01水果!$L$4:$L$1203,$S77)=0,"",INDEX(对接源_01水果!$L$4:$L$1203,$S77)))</f>
        <v/>
      </c>
      <c r="M77" s="73" t="str">
        <f>IF($S77="","",IF(INDEX(对接源_01水果!$M$4:$M$1203,$S77)=0,"",INDEX(对接源_01水果!$M$4:$M$1203,$S77)))</f>
        <v/>
      </c>
      <c r="S7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8" ht="15.75" customHeight="1" spans="1:19">
      <c r="A78" s="70" t="str">
        <f>IF($S78="","",IF(INDEX(对接源_01水果!$B$4:$B$1203,$S78)=0,"",INDEX(对接源_01水果!$B$4:$B$1203,$S78)))</f>
        <v/>
      </c>
      <c r="B78" s="70" t="str">
        <f>IF($S78="","",IF(INDEX(对接源_01水果!$E$4:$E$1203,$S78)=0,"",INDEX(对接源_01水果!$E$4:$E$1203,$S78)))</f>
        <v/>
      </c>
      <c r="C78" s="70" t="str">
        <f>IF($S78="","",IF(INDEX(对接源_01水果!$F$4:$F$1203,$S78)=0,"",INDEX(对接源_01水果!$F$4:$F$1203,$S78)))</f>
        <v/>
      </c>
      <c r="D78" s="70" t="str">
        <f>IF($S78="","",IF(INDEX(对接源_01水果!$G$4:$G$1203,$S78)=0,"",INDEX(对接源_01水果!$G$4:$G$1203,$S78)))</f>
        <v/>
      </c>
      <c r="E78" s="70" t="str">
        <f>IF($S78="","",IF(INDEX(对接源_01水果!$H$4:$H$1203,$S78)=0,"",INDEX(对接源_01水果!$H$4:$H$1203,$S78)))</f>
        <v/>
      </c>
      <c r="F78" s="70" t="str">
        <f>IF($S78="","",IF(INDEX(对接源_01水果!$I$4:$I$1203,$S78)=0,"",INDEX(对接源_01水果!$I$4:$I$1203,$S78)))</f>
        <v/>
      </c>
      <c r="G78" s="72" t="str">
        <f>IF($S78="","",IF(INDEX(对接源_01水果!$AD$4:$AD$1203,$S78)=0,"",INDEX(对接源_01水果!$AD$4:$AD$1203,$S78)))</f>
        <v/>
      </c>
      <c r="H78" s="72" t="str">
        <f>IF($S78="","",IF(INDEX(对接源_01水果!$AI$4:$AI$1203,$S78)=0,"",INDEX(对接源_01水果!$AI$4:$AI$1203,$S78)))</f>
        <v/>
      </c>
      <c r="I78" s="72" t="str">
        <f>IF($S78="","",IF(INDEX(对接源_01水果!$AE$4:$AE$1203,$S78)=0,"",INDEX(对接源_01水果!$AE$4:$AE$1203,$S78)))</f>
        <v/>
      </c>
      <c r="J78" s="72" t="str">
        <f>IF($S78="","",IF(INDEX(对接源_01水果!$AF$4:$AF$1203,$S78)=0,"",INDEX(对接源_01水果!$AF$4:$AF$1203,$S78)))</f>
        <v/>
      </c>
      <c r="K78" s="72" t="str">
        <f>IF($S78="","",IF(INDEX(对接源_01水果!$K$4:$K$1203,$S78)=0,"",INDEX(对接源_01水果!$K$4:$K$1203,$S78)))</f>
        <v/>
      </c>
      <c r="L78" s="70" t="str">
        <f>IF($S78="","",IF(INDEX(对接源_01水果!$L$4:$L$1203,$S78)=0,"",INDEX(对接源_01水果!$L$4:$L$1203,$S78)))</f>
        <v/>
      </c>
      <c r="M78" s="73" t="str">
        <f>IF($S78="","",IF(INDEX(对接源_01水果!$M$4:$M$1203,$S78)=0,"",INDEX(对接源_01水果!$M$4:$M$1203,$S78)))</f>
        <v/>
      </c>
      <c r="S7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9" ht="15.75" customHeight="1" spans="1:19">
      <c r="A79" s="70" t="str">
        <f>IF($S79="","",IF(INDEX(对接源_01水果!$B$4:$B$1203,$S79)=0,"",INDEX(对接源_01水果!$B$4:$B$1203,$S79)))</f>
        <v/>
      </c>
      <c r="B79" s="70" t="str">
        <f>IF($S79="","",IF(INDEX(对接源_01水果!$E$4:$E$1203,$S79)=0,"",INDEX(对接源_01水果!$E$4:$E$1203,$S79)))</f>
        <v/>
      </c>
      <c r="C79" s="70" t="str">
        <f>IF($S79="","",IF(INDEX(对接源_01水果!$F$4:$F$1203,$S79)=0,"",INDEX(对接源_01水果!$F$4:$F$1203,$S79)))</f>
        <v/>
      </c>
      <c r="D79" s="70" t="str">
        <f>IF($S79="","",IF(INDEX(对接源_01水果!$G$4:$G$1203,$S79)=0,"",INDEX(对接源_01水果!$G$4:$G$1203,$S79)))</f>
        <v/>
      </c>
      <c r="E79" s="70" t="str">
        <f>IF($S79="","",IF(INDEX(对接源_01水果!$H$4:$H$1203,$S79)=0,"",INDEX(对接源_01水果!$H$4:$H$1203,$S79)))</f>
        <v/>
      </c>
      <c r="F79" s="70" t="str">
        <f>IF($S79="","",IF(INDEX(对接源_01水果!$I$4:$I$1203,$S79)=0,"",INDEX(对接源_01水果!$I$4:$I$1203,$S79)))</f>
        <v/>
      </c>
      <c r="G79" s="72" t="str">
        <f>IF($S79="","",IF(INDEX(对接源_01水果!$AD$4:$AD$1203,$S79)=0,"",INDEX(对接源_01水果!$AD$4:$AD$1203,$S79)))</f>
        <v/>
      </c>
      <c r="H79" s="72" t="str">
        <f>IF($S79="","",IF(INDEX(对接源_01水果!$AI$4:$AI$1203,$S79)=0,"",INDEX(对接源_01水果!$AI$4:$AI$1203,$S79)))</f>
        <v/>
      </c>
      <c r="I79" s="72" t="str">
        <f>IF($S79="","",IF(INDEX(对接源_01水果!$AE$4:$AE$1203,$S79)=0,"",INDEX(对接源_01水果!$AE$4:$AE$1203,$S79)))</f>
        <v/>
      </c>
      <c r="J79" s="72" t="str">
        <f>IF($S79="","",IF(INDEX(对接源_01水果!$AF$4:$AF$1203,$S79)=0,"",INDEX(对接源_01水果!$AF$4:$AF$1203,$S79)))</f>
        <v/>
      </c>
      <c r="K79" s="72" t="str">
        <f>IF($S79="","",IF(INDEX(对接源_01水果!$K$4:$K$1203,$S79)=0,"",INDEX(对接源_01水果!$K$4:$K$1203,$S79)))</f>
        <v/>
      </c>
      <c r="L79" s="70" t="str">
        <f>IF($S79="","",IF(INDEX(对接源_01水果!$L$4:$L$1203,$S79)=0,"",INDEX(对接源_01水果!$L$4:$L$1203,$S79)))</f>
        <v/>
      </c>
      <c r="M79" s="73" t="str">
        <f>IF($S79="","",IF(INDEX(对接源_01水果!$M$4:$M$1203,$S79)=0,"",INDEX(对接源_01水果!$M$4:$M$1203,$S79)))</f>
        <v/>
      </c>
      <c r="S7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0" ht="15.75" customHeight="1" spans="1:19">
      <c r="A80" s="70" t="str">
        <f>IF($S80="","",IF(INDEX(对接源_01水果!$B$4:$B$1203,$S80)=0,"",INDEX(对接源_01水果!$B$4:$B$1203,$S80)))</f>
        <v/>
      </c>
      <c r="B80" s="70" t="str">
        <f>IF($S80="","",IF(INDEX(对接源_01水果!$E$4:$E$1203,$S80)=0,"",INDEX(对接源_01水果!$E$4:$E$1203,$S80)))</f>
        <v/>
      </c>
      <c r="C80" s="70" t="str">
        <f>IF($S80="","",IF(INDEX(对接源_01水果!$F$4:$F$1203,$S80)=0,"",INDEX(对接源_01水果!$F$4:$F$1203,$S80)))</f>
        <v/>
      </c>
      <c r="D80" s="70" t="str">
        <f>IF($S80="","",IF(INDEX(对接源_01水果!$G$4:$G$1203,$S80)=0,"",INDEX(对接源_01水果!$G$4:$G$1203,$S80)))</f>
        <v/>
      </c>
      <c r="E80" s="70" t="str">
        <f>IF($S80="","",IF(INDEX(对接源_01水果!$H$4:$H$1203,$S80)=0,"",INDEX(对接源_01水果!$H$4:$H$1203,$S80)))</f>
        <v/>
      </c>
      <c r="F80" s="70" t="str">
        <f>IF($S80="","",IF(INDEX(对接源_01水果!$I$4:$I$1203,$S80)=0,"",INDEX(对接源_01水果!$I$4:$I$1203,$S80)))</f>
        <v/>
      </c>
      <c r="G80" s="72" t="str">
        <f>IF($S80="","",IF(INDEX(对接源_01水果!$AD$4:$AD$1203,$S80)=0,"",INDEX(对接源_01水果!$AD$4:$AD$1203,$S80)))</f>
        <v/>
      </c>
      <c r="H80" s="72" t="str">
        <f>IF($S80="","",IF(INDEX(对接源_01水果!$AI$4:$AI$1203,$S80)=0,"",INDEX(对接源_01水果!$AI$4:$AI$1203,$S80)))</f>
        <v/>
      </c>
      <c r="I80" s="72" t="str">
        <f>IF($S80="","",IF(INDEX(对接源_01水果!$AE$4:$AE$1203,$S80)=0,"",INDEX(对接源_01水果!$AE$4:$AE$1203,$S80)))</f>
        <v/>
      </c>
      <c r="J80" s="72" t="str">
        <f>IF($S80="","",IF(INDEX(对接源_01水果!$AF$4:$AF$1203,$S80)=0,"",INDEX(对接源_01水果!$AF$4:$AF$1203,$S80)))</f>
        <v/>
      </c>
      <c r="K80" s="72" t="str">
        <f>IF($S80="","",IF(INDEX(对接源_01水果!$K$4:$K$1203,$S80)=0,"",INDEX(对接源_01水果!$K$4:$K$1203,$S80)))</f>
        <v/>
      </c>
      <c r="L80" s="70" t="str">
        <f>IF($S80="","",IF(INDEX(对接源_01水果!$L$4:$L$1203,$S80)=0,"",INDEX(对接源_01水果!$L$4:$L$1203,$S80)))</f>
        <v/>
      </c>
      <c r="M80" s="73" t="str">
        <f>IF($S80="","",IF(INDEX(对接源_01水果!$M$4:$M$1203,$S80)=0,"",INDEX(对接源_01水果!$M$4:$M$1203,$S80)))</f>
        <v/>
      </c>
      <c r="S8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1" ht="15.75" customHeight="1" spans="1:19">
      <c r="A81" s="70" t="str">
        <f>IF($S81="","",IF(INDEX(对接源_01水果!$B$4:$B$1203,$S81)=0,"",INDEX(对接源_01水果!$B$4:$B$1203,$S81)))</f>
        <v/>
      </c>
      <c r="B81" s="70" t="str">
        <f>IF($S81="","",IF(INDEX(对接源_01水果!$E$4:$E$1203,$S81)=0,"",INDEX(对接源_01水果!$E$4:$E$1203,$S81)))</f>
        <v/>
      </c>
      <c r="C81" s="70" t="str">
        <f>IF($S81="","",IF(INDEX(对接源_01水果!$F$4:$F$1203,$S81)=0,"",INDEX(对接源_01水果!$F$4:$F$1203,$S81)))</f>
        <v/>
      </c>
      <c r="D81" s="70" t="str">
        <f>IF($S81="","",IF(INDEX(对接源_01水果!$G$4:$G$1203,$S81)=0,"",INDEX(对接源_01水果!$G$4:$G$1203,$S81)))</f>
        <v/>
      </c>
      <c r="E81" s="70" t="str">
        <f>IF($S81="","",IF(INDEX(对接源_01水果!$H$4:$H$1203,$S81)=0,"",INDEX(对接源_01水果!$H$4:$H$1203,$S81)))</f>
        <v/>
      </c>
      <c r="F81" s="70" t="str">
        <f>IF($S81="","",IF(INDEX(对接源_01水果!$I$4:$I$1203,$S81)=0,"",INDEX(对接源_01水果!$I$4:$I$1203,$S81)))</f>
        <v/>
      </c>
      <c r="G81" s="72" t="str">
        <f>IF($S81="","",IF(INDEX(对接源_01水果!$AD$4:$AD$1203,$S81)=0,"",INDEX(对接源_01水果!$AD$4:$AD$1203,$S81)))</f>
        <v/>
      </c>
      <c r="H81" s="72" t="str">
        <f>IF($S81="","",IF(INDEX(对接源_01水果!$AI$4:$AI$1203,$S81)=0,"",INDEX(对接源_01水果!$AI$4:$AI$1203,$S81)))</f>
        <v/>
      </c>
      <c r="I81" s="72" t="str">
        <f>IF($S81="","",IF(INDEX(对接源_01水果!$AE$4:$AE$1203,$S81)=0,"",INDEX(对接源_01水果!$AE$4:$AE$1203,$S81)))</f>
        <v/>
      </c>
      <c r="J81" s="72" t="str">
        <f>IF($S81="","",IF(INDEX(对接源_01水果!$AF$4:$AF$1203,$S81)=0,"",INDEX(对接源_01水果!$AF$4:$AF$1203,$S81)))</f>
        <v/>
      </c>
      <c r="K81" s="72" t="str">
        <f>IF($S81="","",IF(INDEX(对接源_01水果!$K$4:$K$1203,$S81)=0,"",INDEX(对接源_01水果!$K$4:$K$1203,$S81)))</f>
        <v/>
      </c>
      <c r="L81" s="70" t="str">
        <f>IF($S81="","",IF(INDEX(对接源_01水果!$L$4:$L$1203,$S81)=0,"",INDEX(对接源_01水果!$L$4:$L$1203,$S81)))</f>
        <v/>
      </c>
      <c r="M81" s="73" t="str">
        <f>IF($S81="","",IF(INDEX(对接源_01水果!$M$4:$M$1203,$S81)=0,"",INDEX(对接源_01水果!$M$4:$M$1203,$S81)))</f>
        <v/>
      </c>
      <c r="S8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2" ht="15.75" customHeight="1" spans="1:19">
      <c r="A82" s="70" t="str">
        <f>IF($S82="","",IF(INDEX(对接源_01水果!$B$4:$B$1203,$S82)=0,"",INDEX(对接源_01水果!$B$4:$B$1203,$S82)))</f>
        <v/>
      </c>
      <c r="B82" s="70" t="str">
        <f>IF($S82="","",IF(INDEX(对接源_01水果!$E$4:$E$1203,$S82)=0,"",INDEX(对接源_01水果!$E$4:$E$1203,$S82)))</f>
        <v/>
      </c>
      <c r="C82" s="70" t="str">
        <f>IF($S82="","",IF(INDEX(对接源_01水果!$F$4:$F$1203,$S82)=0,"",INDEX(对接源_01水果!$F$4:$F$1203,$S82)))</f>
        <v/>
      </c>
      <c r="D82" s="70" t="str">
        <f>IF($S82="","",IF(INDEX(对接源_01水果!$G$4:$G$1203,$S82)=0,"",INDEX(对接源_01水果!$G$4:$G$1203,$S82)))</f>
        <v/>
      </c>
      <c r="E82" s="70" t="str">
        <f>IF($S82="","",IF(INDEX(对接源_01水果!$H$4:$H$1203,$S82)=0,"",INDEX(对接源_01水果!$H$4:$H$1203,$S82)))</f>
        <v/>
      </c>
      <c r="F82" s="70" t="str">
        <f>IF($S82="","",IF(INDEX(对接源_01水果!$I$4:$I$1203,$S82)=0,"",INDEX(对接源_01水果!$I$4:$I$1203,$S82)))</f>
        <v/>
      </c>
      <c r="G82" s="72" t="str">
        <f>IF($S82="","",IF(INDEX(对接源_01水果!$AD$4:$AD$1203,$S82)=0,"",INDEX(对接源_01水果!$AD$4:$AD$1203,$S82)))</f>
        <v/>
      </c>
      <c r="H82" s="72" t="str">
        <f>IF($S82="","",IF(INDEX(对接源_01水果!$AI$4:$AI$1203,$S82)=0,"",INDEX(对接源_01水果!$AI$4:$AI$1203,$S82)))</f>
        <v/>
      </c>
      <c r="I82" s="72" t="str">
        <f>IF($S82="","",IF(INDEX(对接源_01水果!$AE$4:$AE$1203,$S82)=0,"",INDEX(对接源_01水果!$AE$4:$AE$1203,$S82)))</f>
        <v/>
      </c>
      <c r="J82" s="72" t="str">
        <f>IF($S82="","",IF(INDEX(对接源_01水果!$AF$4:$AF$1203,$S82)=0,"",INDEX(对接源_01水果!$AF$4:$AF$1203,$S82)))</f>
        <v/>
      </c>
      <c r="K82" s="72" t="str">
        <f>IF($S82="","",IF(INDEX(对接源_01水果!$K$4:$K$1203,$S82)=0,"",INDEX(对接源_01水果!$K$4:$K$1203,$S82)))</f>
        <v/>
      </c>
      <c r="L82" s="70" t="str">
        <f>IF($S82="","",IF(INDEX(对接源_01水果!$L$4:$L$1203,$S82)=0,"",INDEX(对接源_01水果!$L$4:$L$1203,$S82)))</f>
        <v/>
      </c>
      <c r="M82" s="73" t="str">
        <f>IF($S82="","",IF(INDEX(对接源_01水果!$M$4:$M$1203,$S82)=0,"",INDEX(对接源_01水果!$M$4:$M$1203,$S82)))</f>
        <v/>
      </c>
      <c r="S8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3" ht="15.75" customHeight="1" spans="1:19">
      <c r="A83" s="70" t="str">
        <f>IF($S83="","",IF(INDEX(对接源_01水果!$B$4:$B$1203,$S83)=0,"",INDEX(对接源_01水果!$B$4:$B$1203,$S83)))</f>
        <v/>
      </c>
      <c r="B83" s="70" t="str">
        <f>IF($S83="","",IF(INDEX(对接源_01水果!$E$4:$E$1203,$S83)=0,"",INDEX(对接源_01水果!$E$4:$E$1203,$S83)))</f>
        <v/>
      </c>
      <c r="C83" s="70" t="str">
        <f>IF($S83="","",IF(INDEX(对接源_01水果!$F$4:$F$1203,$S83)=0,"",INDEX(对接源_01水果!$F$4:$F$1203,$S83)))</f>
        <v/>
      </c>
      <c r="D83" s="70" t="str">
        <f>IF($S83="","",IF(INDEX(对接源_01水果!$G$4:$G$1203,$S83)=0,"",INDEX(对接源_01水果!$G$4:$G$1203,$S83)))</f>
        <v/>
      </c>
      <c r="E83" s="70" t="str">
        <f>IF($S83="","",IF(INDEX(对接源_01水果!$H$4:$H$1203,$S83)=0,"",INDEX(对接源_01水果!$H$4:$H$1203,$S83)))</f>
        <v/>
      </c>
      <c r="F83" s="70" t="str">
        <f>IF($S83="","",IF(INDEX(对接源_01水果!$I$4:$I$1203,$S83)=0,"",INDEX(对接源_01水果!$I$4:$I$1203,$S83)))</f>
        <v/>
      </c>
      <c r="G83" s="72" t="str">
        <f>IF($S83="","",IF(INDEX(对接源_01水果!$AD$4:$AD$1203,$S83)=0,"",INDEX(对接源_01水果!$AD$4:$AD$1203,$S83)))</f>
        <v/>
      </c>
      <c r="H83" s="72" t="str">
        <f>IF($S83="","",IF(INDEX(对接源_01水果!$AI$4:$AI$1203,$S83)=0,"",INDEX(对接源_01水果!$AI$4:$AI$1203,$S83)))</f>
        <v/>
      </c>
      <c r="I83" s="72" t="str">
        <f>IF($S83="","",IF(INDEX(对接源_01水果!$AE$4:$AE$1203,$S83)=0,"",INDEX(对接源_01水果!$AE$4:$AE$1203,$S83)))</f>
        <v/>
      </c>
      <c r="J83" s="72" t="str">
        <f>IF($S83="","",IF(INDEX(对接源_01水果!$AF$4:$AF$1203,$S83)=0,"",INDEX(对接源_01水果!$AF$4:$AF$1203,$S83)))</f>
        <v/>
      </c>
      <c r="K83" s="72" t="str">
        <f>IF($S83="","",IF(INDEX(对接源_01水果!$K$4:$K$1203,$S83)=0,"",INDEX(对接源_01水果!$K$4:$K$1203,$S83)))</f>
        <v/>
      </c>
      <c r="L83" s="70" t="str">
        <f>IF($S83="","",IF(INDEX(对接源_01水果!$L$4:$L$1203,$S83)=0,"",INDEX(对接源_01水果!$L$4:$L$1203,$S83)))</f>
        <v/>
      </c>
      <c r="M83" s="73" t="str">
        <f>IF($S83="","",IF(INDEX(对接源_01水果!$M$4:$M$1203,$S83)=0,"",INDEX(对接源_01水果!$M$4:$M$1203,$S83)))</f>
        <v/>
      </c>
      <c r="S8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4" ht="15.75" customHeight="1" spans="1:19">
      <c r="A84" s="70" t="str">
        <f>IF($S84="","",IF(INDEX(对接源_01水果!$B$4:$B$1203,$S84)=0,"",INDEX(对接源_01水果!$B$4:$B$1203,$S84)))</f>
        <v/>
      </c>
      <c r="B84" s="70" t="str">
        <f>IF($S84="","",IF(INDEX(对接源_01水果!$E$4:$E$1203,$S84)=0,"",INDEX(对接源_01水果!$E$4:$E$1203,$S84)))</f>
        <v/>
      </c>
      <c r="C84" s="70" t="str">
        <f>IF($S84="","",IF(INDEX(对接源_01水果!$F$4:$F$1203,$S84)=0,"",INDEX(对接源_01水果!$F$4:$F$1203,$S84)))</f>
        <v/>
      </c>
      <c r="D84" s="70" t="str">
        <f>IF($S84="","",IF(INDEX(对接源_01水果!$G$4:$G$1203,$S84)=0,"",INDEX(对接源_01水果!$G$4:$G$1203,$S84)))</f>
        <v/>
      </c>
      <c r="E84" s="70" t="str">
        <f>IF($S84="","",IF(INDEX(对接源_01水果!$H$4:$H$1203,$S84)=0,"",INDEX(对接源_01水果!$H$4:$H$1203,$S84)))</f>
        <v/>
      </c>
      <c r="F84" s="70" t="str">
        <f>IF($S84="","",IF(INDEX(对接源_01水果!$I$4:$I$1203,$S84)=0,"",INDEX(对接源_01水果!$I$4:$I$1203,$S84)))</f>
        <v/>
      </c>
      <c r="G84" s="72" t="str">
        <f>IF($S84="","",IF(INDEX(对接源_01水果!$AD$4:$AD$1203,$S84)=0,"",INDEX(对接源_01水果!$AD$4:$AD$1203,$S84)))</f>
        <v/>
      </c>
      <c r="H84" s="72" t="str">
        <f>IF($S84="","",IF(INDEX(对接源_01水果!$AI$4:$AI$1203,$S84)=0,"",INDEX(对接源_01水果!$AI$4:$AI$1203,$S84)))</f>
        <v/>
      </c>
      <c r="I84" s="72" t="str">
        <f>IF($S84="","",IF(INDEX(对接源_01水果!$AE$4:$AE$1203,$S84)=0,"",INDEX(对接源_01水果!$AE$4:$AE$1203,$S84)))</f>
        <v/>
      </c>
      <c r="J84" s="72" t="str">
        <f>IF($S84="","",IF(INDEX(对接源_01水果!$AF$4:$AF$1203,$S84)=0,"",INDEX(对接源_01水果!$AF$4:$AF$1203,$S84)))</f>
        <v/>
      </c>
      <c r="K84" s="72" t="str">
        <f>IF($S84="","",IF(INDEX(对接源_01水果!$K$4:$K$1203,$S84)=0,"",INDEX(对接源_01水果!$K$4:$K$1203,$S84)))</f>
        <v/>
      </c>
      <c r="L84" s="70" t="str">
        <f>IF($S84="","",IF(INDEX(对接源_01水果!$L$4:$L$1203,$S84)=0,"",INDEX(对接源_01水果!$L$4:$L$1203,$S84)))</f>
        <v/>
      </c>
      <c r="M84" s="73" t="str">
        <f>IF($S84="","",IF(INDEX(对接源_01水果!$M$4:$M$1203,$S84)=0,"",INDEX(对接源_01水果!$M$4:$M$1203,$S84)))</f>
        <v/>
      </c>
      <c r="S8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5" ht="15.75" customHeight="1" spans="1:19">
      <c r="A85" s="70" t="str">
        <f>IF($S85="","",IF(INDEX(对接源_01水果!$B$4:$B$1203,$S85)=0,"",INDEX(对接源_01水果!$B$4:$B$1203,$S85)))</f>
        <v/>
      </c>
      <c r="B85" s="70" t="str">
        <f>IF($S85="","",IF(INDEX(对接源_01水果!$E$4:$E$1203,$S85)=0,"",INDEX(对接源_01水果!$E$4:$E$1203,$S85)))</f>
        <v/>
      </c>
      <c r="C85" s="70" t="str">
        <f>IF($S85="","",IF(INDEX(对接源_01水果!$F$4:$F$1203,$S85)=0,"",INDEX(对接源_01水果!$F$4:$F$1203,$S85)))</f>
        <v/>
      </c>
      <c r="D85" s="70" t="str">
        <f>IF($S85="","",IF(INDEX(对接源_01水果!$G$4:$G$1203,$S85)=0,"",INDEX(对接源_01水果!$G$4:$G$1203,$S85)))</f>
        <v/>
      </c>
      <c r="E85" s="70" t="str">
        <f>IF($S85="","",IF(INDEX(对接源_01水果!$H$4:$H$1203,$S85)=0,"",INDEX(对接源_01水果!$H$4:$H$1203,$S85)))</f>
        <v/>
      </c>
      <c r="F85" s="70" t="str">
        <f>IF($S85="","",IF(INDEX(对接源_01水果!$I$4:$I$1203,$S85)=0,"",INDEX(对接源_01水果!$I$4:$I$1203,$S85)))</f>
        <v/>
      </c>
      <c r="G85" s="72" t="str">
        <f>IF($S85="","",IF(INDEX(对接源_01水果!$AD$4:$AD$1203,$S85)=0,"",INDEX(对接源_01水果!$AD$4:$AD$1203,$S85)))</f>
        <v/>
      </c>
      <c r="H85" s="72" t="str">
        <f>IF($S85="","",IF(INDEX(对接源_01水果!$AI$4:$AI$1203,$S85)=0,"",INDEX(对接源_01水果!$AI$4:$AI$1203,$S85)))</f>
        <v/>
      </c>
      <c r="I85" s="72" t="str">
        <f>IF($S85="","",IF(INDEX(对接源_01水果!$AE$4:$AE$1203,$S85)=0,"",INDEX(对接源_01水果!$AE$4:$AE$1203,$S85)))</f>
        <v/>
      </c>
      <c r="J85" s="72" t="str">
        <f>IF($S85="","",IF(INDEX(对接源_01水果!$AF$4:$AF$1203,$S85)=0,"",INDEX(对接源_01水果!$AF$4:$AF$1203,$S85)))</f>
        <v/>
      </c>
      <c r="K85" s="72" t="str">
        <f>IF($S85="","",IF(INDEX(对接源_01水果!$K$4:$K$1203,$S85)=0,"",INDEX(对接源_01水果!$K$4:$K$1203,$S85)))</f>
        <v/>
      </c>
      <c r="L85" s="70" t="str">
        <f>IF($S85="","",IF(INDEX(对接源_01水果!$L$4:$L$1203,$S85)=0,"",INDEX(对接源_01水果!$L$4:$L$1203,$S85)))</f>
        <v/>
      </c>
      <c r="M85" s="73" t="str">
        <f>IF($S85="","",IF(INDEX(对接源_01水果!$M$4:$M$1203,$S85)=0,"",INDEX(对接源_01水果!$M$4:$M$1203,$S85)))</f>
        <v/>
      </c>
      <c r="S8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6" ht="15.75" customHeight="1" spans="1:19">
      <c r="A86" s="70" t="str">
        <f>IF($S86="","",IF(INDEX(对接源_01水果!$B$4:$B$1203,$S86)=0,"",INDEX(对接源_01水果!$B$4:$B$1203,$S86)))</f>
        <v/>
      </c>
      <c r="B86" s="70" t="str">
        <f>IF($S86="","",IF(INDEX(对接源_01水果!$E$4:$E$1203,$S86)=0,"",INDEX(对接源_01水果!$E$4:$E$1203,$S86)))</f>
        <v/>
      </c>
      <c r="C86" s="70" t="str">
        <f>IF($S86="","",IF(INDEX(对接源_01水果!$F$4:$F$1203,$S86)=0,"",INDEX(对接源_01水果!$F$4:$F$1203,$S86)))</f>
        <v/>
      </c>
      <c r="D86" s="70" t="str">
        <f>IF($S86="","",IF(INDEX(对接源_01水果!$G$4:$G$1203,$S86)=0,"",INDEX(对接源_01水果!$G$4:$G$1203,$S86)))</f>
        <v/>
      </c>
      <c r="E86" s="70" t="str">
        <f>IF($S86="","",IF(INDEX(对接源_01水果!$H$4:$H$1203,$S86)=0,"",INDEX(对接源_01水果!$H$4:$H$1203,$S86)))</f>
        <v/>
      </c>
      <c r="F86" s="70" t="str">
        <f>IF($S86="","",IF(INDEX(对接源_01水果!$I$4:$I$1203,$S86)=0,"",INDEX(对接源_01水果!$I$4:$I$1203,$S86)))</f>
        <v/>
      </c>
      <c r="G86" s="72" t="str">
        <f>IF($S86="","",IF(INDEX(对接源_01水果!$AD$4:$AD$1203,$S86)=0,"",INDEX(对接源_01水果!$AD$4:$AD$1203,$S86)))</f>
        <v/>
      </c>
      <c r="H86" s="72" t="str">
        <f>IF($S86="","",IF(INDEX(对接源_01水果!$AI$4:$AI$1203,$S86)=0,"",INDEX(对接源_01水果!$AI$4:$AI$1203,$S86)))</f>
        <v/>
      </c>
      <c r="I86" s="72" t="str">
        <f>IF($S86="","",IF(INDEX(对接源_01水果!$AE$4:$AE$1203,$S86)=0,"",INDEX(对接源_01水果!$AE$4:$AE$1203,$S86)))</f>
        <v/>
      </c>
      <c r="J86" s="72" t="str">
        <f>IF($S86="","",IF(INDEX(对接源_01水果!$AF$4:$AF$1203,$S86)=0,"",INDEX(对接源_01水果!$AF$4:$AF$1203,$S86)))</f>
        <v/>
      </c>
      <c r="K86" s="72" t="str">
        <f>IF($S86="","",IF(INDEX(对接源_01水果!$K$4:$K$1203,$S86)=0,"",INDEX(对接源_01水果!$K$4:$K$1203,$S86)))</f>
        <v/>
      </c>
      <c r="L86" s="70" t="str">
        <f>IF($S86="","",IF(INDEX(对接源_01水果!$L$4:$L$1203,$S86)=0,"",INDEX(对接源_01水果!$L$4:$L$1203,$S86)))</f>
        <v/>
      </c>
      <c r="M86" s="73" t="str">
        <f>IF($S86="","",IF(INDEX(对接源_01水果!$M$4:$M$1203,$S86)=0,"",INDEX(对接源_01水果!$M$4:$M$1203,$S86)))</f>
        <v/>
      </c>
      <c r="S8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7" ht="15.75" customHeight="1" spans="1:19">
      <c r="A87" s="70" t="str">
        <f>IF($S87="","",IF(INDEX(对接源_01水果!$B$4:$B$1203,$S87)=0,"",INDEX(对接源_01水果!$B$4:$B$1203,$S87)))</f>
        <v/>
      </c>
      <c r="B87" s="70" t="str">
        <f>IF($S87="","",IF(INDEX(对接源_01水果!$E$4:$E$1203,$S87)=0,"",INDEX(对接源_01水果!$E$4:$E$1203,$S87)))</f>
        <v/>
      </c>
      <c r="C87" s="70" t="str">
        <f>IF($S87="","",IF(INDEX(对接源_01水果!$F$4:$F$1203,$S87)=0,"",INDEX(对接源_01水果!$F$4:$F$1203,$S87)))</f>
        <v/>
      </c>
      <c r="D87" s="70" t="str">
        <f>IF($S87="","",IF(INDEX(对接源_01水果!$G$4:$G$1203,$S87)=0,"",INDEX(对接源_01水果!$G$4:$G$1203,$S87)))</f>
        <v/>
      </c>
      <c r="E87" s="70" t="str">
        <f>IF($S87="","",IF(INDEX(对接源_01水果!$H$4:$H$1203,$S87)=0,"",INDEX(对接源_01水果!$H$4:$H$1203,$S87)))</f>
        <v/>
      </c>
      <c r="F87" s="70" t="str">
        <f>IF($S87="","",IF(INDEX(对接源_01水果!$I$4:$I$1203,$S87)=0,"",INDEX(对接源_01水果!$I$4:$I$1203,$S87)))</f>
        <v/>
      </c>
      <c r="G87" s="72" t="str">
        <f>IF($S87="","",IF(INDEX(对接源_01水果!$AD$4:$AD$1203,$S87)=0,"",INDEX(对接源_01水果!$AD$4:$AD$1203,$S87)))</f>
        <v/>
      </c>
      <c r="H87" s="72" t="str">
        <f>IF($S87="","",IF(INDEX(对接源_01水果!$AI$4:$AI$1203,$S87)=0,"",INDEX(对接源_01水果!$AI$4:$AI$1203,$S87)))</f>
        <v/>
      </c>
      <c r="I87" s="72" t="str">
        <f>IF($S87="","",IF(INDEX(对接源_01水果!$AE$4:$AE$1203,$S87)=0,"",INDEX(对接源_01水果!$AE$4:$AE$1203,$S87)))</f>
        <v/>
      </c>
      <c r="J87" s="72" t="str">
        <f>IF($S87="","",IF(INDEX(对接源_01水果!$AF$4:$AF$1203,$S87)=0,"",INDEX(对接源_01水果!$AF$4:$AF$1203,$S87)))</f>
        <v/>
      </c>
      <c r="K87" s="72" t="str">
        <f>IF($S87="","",IF(INDEX(对接源_01水果!$K$4:$K$1203,$S87)=0,"",INDEX(对接源_01水果!$K$4:$K$1203,$S87)))</f>
        <v/>
      </c>
      <c r="L87" s="70" t="str">
        <f>IF($S87="","",IF(INDEX(对接源_01水果!$L$4:$L$1203,$S87)=0,"",INDEX(对接源_01水果!$L$4:$L$1203,$S87)))</f>
        <v/>
      </c>
      <c r="M87" s="73" t="str">
        <f>IF($S87="","",IF(INDEX(对接源_01水果!$M$4:$M$1203,$S87)=0,"",INDEX(对接源_01水果!$M$4:$M$1203,$S87)))</f>
        <v/>
      </c>
      <c r="S8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8" ht="15.75" customHeight="1" spans="1:19">
      <c r="A88" s="70" t="str">
        <f>IF($S88="","",IF(INDEX(对接源_01水果!$B$4:$B$1203,$S88)=0,"",INDEX(对接源_01水果!$B$4:$B$1203,$S88)))</f>
        <v/>
      </c>
      <c r="B88" s="70" t="str">
        <f>IF($S88="","",IF(INDEX(对接源_01水果!$E$4:$E$1203,$S88)=0,"",INDEX(对接源_01水果!$E$4:$E$1203,$S88)))</f>
        <v/>
      </c>
      <c r="C88" s="70" t="str">
        <f>IF($S88="","",IF(INDEX(对接源_01水果!$F$4:$F$1203,$S88)=0,"",INDEX(对接源_01水果!$F$4:$F$1203,$S88)))</f>
        <v/>
      </c>
      <c r="D88" s="70" t="str">
        <f>IF($S88="","",IF(INDEX(对接源_01水果!$G$4:$G$1203,$S88)=0,"",INDEX(对接源_01水果!$G$4:$G$1203,$S88)))</f>
        <v/>
      </c>
      <c r="E88" s="70" t="str">
        <f>IF($S88="","",IF(INDEX(对接源_01水果!$H$4:$H$1203,$S88)=0,"",INDEX(对接源_01水果!$H$4:$H$1203,$S88)))</f>
        <v/>
      </c>
      <c r="F88" s="70" t="str">
        <f>IF($S88="","",IF(INDEX(对接源_01水果!$I$4:$I$1203,$S88)=0,"",INDEX(对接源_01水果!$I$4:$I$1203,$S88)))</f>
        <v/>
      </c>
      <c r="G88" s="72" t="str">
        <f>IF($S88="","",IF(INDEX(对接源_01水果!$AD$4:$AD$1203,$S88)=0,"",INDEX(对接源_01水果!$AD$4:$AD$1203,$S88)))</f>
        <v/>
      </c>
      <c r="H88" s="72" t="str">
        <f>IF($S88="","",IF(INDEX(对接源_01水果!$AI$4:$AI$1203,$S88)=0,"",INDEX(对接源_01水果!$AI$4:$AI$1203,$S88)))</f>
        <v/>
      </c>
      <c r="I88" s="72" t="str">
        <f>IF($S88="","",IF(INDEX(对接源_01水果!$AE$4:$AE$1203,$S88)=0,"",INDEX(对接源_01水果!$AE$4:$AE$1203,$S88)))</f>
        <v/>
      </c>
      <c r="J88" s="72" t="str">
        <f>IF($S88="","",IF(INDEX(对接源_01水果!$AF$4:$AF$1203,$S88)=0,"",INDEX(对接源_01水果!$AF$4:$AF$1203,$S88)))</f>
        <v/>
      </c>
      <c r="K88" s="72" t="str">
        <f>IF($S88="","",IF(INDEX(对接源_01水果!$K$4:$K$1203,$S88)=0,"",INDEX(对接源_01水果!$K$4:$K$1203,$S88)))</f>
        <v/>
      </c>
      <c r="L88" s="70" t="str">
        <f>IF($S88="","",IF(INDEX(对接源_01水果!$L$4:$L$1203,$S88)=0,"",INDEX(对接源_01水果!$L$4:$L$1203,$S88)))</f>
        <v/>
      </c>
      <c r="M88" s="73" t="str">
        <f>IF($S88="","",IF(INDEX(对接源_01水果!$M$4:$M$1203,$S88)=0,"",INDEX(对接源_01水果!$M$4:$M$1203,$S88)))</f>
        <v/>
      </c>
      <c r="S8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9" ht="15.75" customHeight="1" spans="1:19">
      <c r="A89" s="70" t="str">
        <f>IF($S89="","",IF(INDEX(对接源_01水果!$B$4:$B$1203,$S89)=0,"",INDEX(对接源_01水果!$B$4:$B$1203,$S89)))</f>
        <v/>
      </c>
      <c r="B89" s="70" t="str">
        <f>IF($S89="","",IF(INDEX(对接源_01水果!$E$4:$E$1203,$S89)=0,"",INDEX(对接源_01水果!$E$4:$E$1203,$S89)))</f>
        <v/>
      </c>
      <c r="C89" s="70" t="str">
        <f>IF($S89="","",IF(INDEX(对接源_01水果!$F$4:$F$1203,$S89)=0,"",INDEX(对接源_01水果!$F$4:$F$1203,$S89)))</f>
        <v/>
      </c>
      <c r="D89" s="70" t="str">
        <f>IF($S89="","",IF(INDEX(对接源_01水果!$G$4:$G$1203,$S89)=0,"",INDEX(对接源_01水果!$G$4:$G$1203,$S89)))</f>
        <v/>
      </c>
      <c r="E89" s="70" t="str">
        <f>IF($S89="","",IF(INDEX(对接源_01水果!$H$4:$H$1203,$S89)=0,"",INDEX(对接源_01水果!$H$4:$H$1203,$S89)))</f>
        <v/>
      </c>
      <c r="F89" s="70" t="str">
        <f>IF($S89="","",IF(INDEX(对接源_01水果!$I$4:$I$1203,$S89)=0,"",INDEX(对接源_01水果!$I$4:$I$1203,$S89)))</f>
        <v/>
      </c>
      <c r="G89" s="72" t="str">
        <f>IF($S89="","",IF(INDEX(对接源_01水果!$AD$4:$AD$1203,$S89)=0,"",INDEX(对接源_01水果!$AD$4:$AD$1203,$S89)))</f>
        <v/>
      </c>
      <c r="H89" s="72" t="str">
        <f>IF($S89="","",IF(INDEX(对接源_01水果!$AI$4:$AI$1203,$S89)=0,"",INDEX(对接源_01水果!$AI$4:$AI$1203,$S89)))</f>
        <v/>
      </c>
      <c r="I89" s="72" t="str">
        <f>IF($S89="","",IF(INDEX(对接源_01水果!$AE$4:$AE$1203,$S89)=0,"",INDEX(对接源_01水果!$AE$4:$AE$1203,$S89)))</f>
        <v/>
      </c>
      <c r="J89" s="72" t="str">
        <f>IF($S89="","",IF(INDEX(对接源_01水果!$AF$4:$AF$1203,$S89)=0,"",INDEX(对接源_01水果!$AF$4:$AF$1203,$S89)))</f>
        <v/>
      </c>
      <c r="K89" s="72" t="str">
        <f>IF($S89="","",IF(INDEX(对接源_01水果!$K$4:$K$1203,$S89)=0,"",INDEX(对接源_01水果!$K$4:$K$1203,$S89)))</f>
        <v/>
      </c>
      <c r="L89" s="70" t="str">
        <f>IF($S89="","",IF(INDEX(对接源_01水果!$L$4:$L$1203,$S89)=0,"",INDEX(对接源_01水果!$L$4:$L$1203,$S89)))</f>
        <v/>
      </c>
      <c r="M89" s="73" t="str">
        <f>IF($S89="","",IF(INDEX(对接源_01水果!$M$4:$M$1203,$S89)=0,"",INDEX(对接源_01水果!$M$4:$M$1203,$S89)))</f>
        <v/>
      </c>
      <c r="S8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0" ht="15.75" customHeight="1" spans="1:19">
      <c r="A90" s="70" t="str">
        <f>IF($S90="","",IF(INDEX(对接源_01水果!$B$4:$B$1203,$S90)=0,"",INDEX(对接源_01水果!$B$4:$B$1203,$S90)))</f>
        <v/>
      </c>
      <c r="B90" s="70" t="str">
        <f>IF($S90="","",IF(INDEX(对接源_01水果!$E$4:$E$1203,$S90)=0,"",INDEX(对接源_01水果!$E$4:$E$1203,$S90)))</f>
        <v/>
      </c>
      <c r="C90" s="70" t="str">
        <f>IF($S90="","",IF(INDEX(对接源_01水果!$F$4:$F$1203,$S90)=0,"",INDEX(对接源_01水果!$F$4:$F$1203,$S90)))</f>
        <v/>
      </c>
      <c r="D90" s="70" t="str">
        <f>IF($S90="","",IF(INDEX(对接源_01水果!$G$4:$G$1203,$S90)=0,"",INDEX(对接源_01水果!$G$4:$G$1203,$S90)))</f>
        <v/>
      </c>
      <c r="E90" s="70" t="str">
        <f>IF($S90="","",IF(INDEX(对接源_01水果!$H$4:$H$1203,$S90)=0,"",INDEX(对接源_01水果!$H$4:$H$1203,$S90)))</f>
        <v/>
      </c>
      <c r="F90" s="70" t="str">
        <f>IF($S90="","",IF(INDEX(对接源_01水果!$I$4:$I$1203,$S90)=0,"",INDEX(对接源_01水果!$I$4:$I$1203,$S90)))</f>
        <v/>
      </c>
      <c r="G90" s="72" t="str">
        <f>IF($S90="","",IF(INDEX(对接源_01水果!$AD$4:$AD$1203,$S90)=0,"",INDEX(对接源_01水果!$AD$4:$AD$1203,$S90)))</f>
        <v/>
      </c>
      <c r="H90" s="72" t="str">
        <f>IF($S90="","",IF(INDEX(对接源_01水果!$AI$4:$AI$1203,$S90)=0,"",INDEX(对接源_01水果!$AI$4:$AI$1203,$S90)))</f>
        <v/>
      </c>
      <c r="I90" s="72" t="str">
        <f>IF($S90="","",IF(INDEX(对接源_01水果!$AE$4:$AE$1203,$S90)=0,"",INDEX(对接源_01水果!$AE$4:$AE$1203,$S90)))</f>
        <v/>
      </c>
      <c r="J90" s="72" t="str">
        <f>IF($S90="","",IF(INDEX(对接源_01水果!$AF$4:$AF$1203,$S90)=0,"",INDEX(对接源_01水果!$AF$4:$AF$1203,$S90)))</f>
        <v/>
      </c>
      <c r="K90" s="72" t="str">
        <f>IF($S90="","",IF(INDEX(对接源_01水果!$K$4:$K$1203,$S90)=0,"",INDEX(对接源_01水果!$K$4:$K$1203,$S90)))</f>
        <v/>
      </c>
      <c r="L90" s="70" t="str">
        <f>IF($S90="","",IF(INDEX(对接源_01水果!$L$4:$L$1203,$S90)=0,"",INDEX(对接源_01水果!$L$4:$L$1203,$S90)))</f>
        <v/>
      </c>
      <c r="M90" s="73" t="str">
        <f>IF($S90="","",IF(INDEX(对接源_01水果!$M$4:$M$1203,$S90)=0,"",INDEX(对接源_01水果!$M$4:$M$1203,$S90)))</f>
        <v/>
      </c>
      <c r="S9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1" ht="15.75" customHeight="1" spans="1:19">
      <c r="A91" s="70" t="str">
        <f>IF($S91="","",IF(INDEX(对接源_01水果!$B$4:$B$1203,$S91)=0,"",INDEX(对接源_01水果!$B$4:$B$1203,$S91)))</f>
        <v/>
      </c>
      <c r="B91" s="70" t="str">
        <f>IF($S91="","",IF(INDEX(对接源_01水果!$E$4:$E$1203,$S91)=0,"",INDEX(对接源_01水果!$E$4:$E$1203,$S91)))</f>
        <v/>
      </c>
      <c r="C91" s="70" t="str">
        <f>IF($S91="","",IF(INDEX(对接源_01水果!$F$4:$F$1203,$S91)=0,"",INDEX(对接源_01水果!$F$4:$F$1203,$S91)))</f>
        <v/>
      </c>
      <c r="D91" s="70" t="str">
        <f>IF($S91="","",IF(INDEX(对接源_01水果!$G$4:$G$1203,$S91)=0,"",INDEX(对接源_01水果!$G$4:$G$1203,$S91)))</f>
        <v/>
      </c>
      <c r="E91" s="70" t="str">
        <f>IF($S91="","",IF(INDEX(对接源_01水果!$H$4:$H$1203,$S91)=0,"",INDEX(对接源_01水果!$H$4:$H$1203,$S91)))</f>
        <v/>
      </c>
      <c r="F91" s="70" t="str">
        <f>IF($S91="","",IF(INDEX(对接源_01水果!$I$4:$I$1203,$S91)=0,"",INDEX(对接源_01水果!$I$4:$I$1203,$S91)))</f>
        <v/>
      </c>
      <c r="G91" s="72" t="str">
        <f>IF($S91="","",IF(INDEX(对接源_01水果!$AD$4:$AD$1203,$S91)=0,"",INDEX(对接源_01水果!$AD$4:$AD$1203,$S91)))</f>
        <v/>
      </c>
      <c r="H91" s="72" t="str">
        <f>IF($S91="","",IF(INDEX(对接源_01水果!$AI$4:$AI$1203,$S91)=0,"",INDEX(对接源_01水果!$AI$4:$AI$1203,$S91)))</f>
        <v/>
      </c>
      <c r="I91" s="72" t="str">
        <f>IF($S91="","",IF(INDEX(对接源_01水果!$AE$4:$AE$1203,$S91)=0,"",INDEX(对接源_01水果!$AE$4:$AE$1203,$S91)))</f>
        <v/>
      </c>
      <c r="J91" s="72" t="str">
        <f>IF($S91="","",IF(INDEX(对接源_01水果!$AF$4:$AF$1203,$S91)=0,"",INDEX(对接源_01水果!$AF$4:$AF$1203,$S91)))</f>
        <v/>
      </c>
      <c r="K91" s="72" t="str">
        <f>IF($S91="","",IF(INDEX(对接源_01水果!$K$4:$K$1203,$S91)=0,"",INDEX(对接源_01水果!$K$4:$K$1203,$S91)))</f>
        <v/>
      </c>
      <c r="L91" s="70" t="str">
        <f>IF($S91="","",IF(INDEX(对接源_01水果!$L$4:$L$1203,$S91)=0,"",INDEX(对接源_01水果!$L$4:$L$1203,$S91)))</f>
        <v/>
      </c>
      <c r="M91" s="73" t="str">
        <f>IF($S91="","",IF(INDEX(对接源_01水果!$M$4:$M$1203,$S91)=0,"",INDEX(对接源_01水果!$M$4:$M$1203,$S91)))</f>
        <v/>
      </c>
      <c r="S9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2" ht="15.75" customHeight="1" spans="1:19">
      <c r="A92" s="70" t="str">
        <f>IF($S92="","",IF(INDEX(对接源_01水果!$B$4:$B$1203,$S92)=0,"",INDEX(对接源_01水果!$B$4:$B$1203,$S92)))</f>
        <v/>
      </c>
      <c r="B92" s="70" t="str">
        <f>IF($S92="","",IF(INDEX(对接源_01水果!$E$4:$E$1203,$S92)=0,"",INDEX(对接源_01水果!$E$4:$E$1203,$S92)))</f>
        <v/>
      </c>
      <c r="C92" s="70" t="str">
        <f>IF($S92="","",IF(INDEX(对接源_01水果!$F$4:$F$1203,$S92)=0,"",INDEX(对接源_01水果!$F$4:$F$1203,$S92)))</f>
        <v/>
      </c>
      <c r="D92" s="70" t="str">
        <f>IF($S92="","",IF(INDEX(对接源_01水果!$G$4:$G$1203,$S92)=0,"",INDEX(对接源_01水果!$G$4:$G$1203,$S92)))</f>
        <v/>
      </c>
      <c r="E92" s="70" t="str">
        <f>IF($S92="","",IF(INDEX(对接源_01水果!$H$4:$H$1203,$S92)=0,"",INDEX(对接源_01水果!$H$4:$H$1203,$S92)))</f>
        <v/>
      </c>
      <c r="F92" s="70" t="str">
        <f>IF($S92="","",IF(INDEX(对接源_01水果!$I$4:$I$1203,$S92)=0,"",INDEX(对接源_01水果!$I$4:$I$1203,$S92)))</f>
        <v/>
      </c>
      <c r="G92" s="72" t="str">
        <f>IF($S92="","",IF(INDEX(对接源_01水果!$AD$4:$AD$1203,$S92)=0,"",INDEX(对接源_01水果!$AD$4:$AD$1203,$S92)))</f>
        <v/>
      </c>
      <c r="H92" s="72" t="str">
        <f>IF($S92="","",IF(INDEX(对接源_01水果!$AI$4:$AI$1203,$S92)=0,"",INDEX(对接源_01水果!$AI$4:$AI$1203,$S92)))</f>
        <v/>
      </c>
      <c r="I92" s="72" t="str">
        <f>IF($S92="","",IF(INDEX(对接源_01水果!$AE$4:$AE$1203,$S92)=0,"",INDEX(对接源_01水果!$AE$4:$AE$1203,$S92)))</f>
        <v/>
      </c>
      <c r="J92" s="72" t="str">
        <f>IF($S92="","",IF(INDEX(对接源_01水果!$AF$4:$AF$1203,$S92)=0,"",INDEX(对接源_01水果!$AF$4:$AF$1203,$S92)))</f>
        <v/>
      </c>
      <c r="K92" s="72" t="str">
        <f>IF($S92="","",IF(INDEX(对接源_01水果!$K$4:$K$1203,$S92)=0,"",INDEX(对接源_01水果!$K$4:$K$1203,$S92)))</f>
        <v/>
      </c>
      <c r="L92" s="70" t="str">
        <f>IF($S92="","",IF(INDEX(对接源_01水果!$L$4:$L$1203,$S92)=0,"",INDEX(对接源_01水果!$L$4:$L$1203,$S92)))</f>
        <v/>
      </c>
      <c r="M92" s="73" t="str">
        <f>IF($S92="","",IF(INDEX(对接源_01水果!$M$4:$M$1203,$S92)=0,"",INDEX(对接源_01水果!$M$4:$M$1203,$S92)))</f>
        <v/>
      </c>
      <c r="S9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3" ht="15.75" customHeight="1" spans="1:19">
      <c r="A93" s="70" t="str">
        <f>IF($S93="","",IF(INDEX(对接源_01水果!$B$4:$B$1203,$S93)=0,"",INDEX(对接源_01水果!$B$4:$B$1203,$S93)))</f>
        <v/>
      </c>
      <c r="B93" s="70" t="str">
        <f>IF($S93="","",IF(INDEX(对接源_01水果!$E$4:$E$1203,$S93)=0,"",INDEX(对接源_01水果!$E$4:$E$1203,$S93)))</f>
        <v/>
      </c>
      <c r="C93" s="70" t="str">
        <f>IF($S93="","",IF(INDEX(对接源_01水果!$F$4:$F$1203,$S93)=0,"",INDEX(对接源_01水果!$F$4:$F$1203,$S93)))</f>
        <v/>
      </c>
      <c r="D93" s="70" t="str">
        <f>IF($S93="","",IF(INDEX(对接源_01水果!$G$4:$G$1203,$S93)=0,"",INDEX(对接源_01水果!$G$4:$G$1203,$S93)))</f>
        <v/>
      </c>
      <c r="E93" s="70" t="str">
        <f>IF($S93="","",IF(INDEX(对接源_01水果!$H$4:$H$1203,$S93)=0,"",INDEX(对接源_01水果!$H$4:$H$1203,$S93)))</f>
        <v/>
      </c>
      <c r="F93" s="70" t="str">
        <f>IF($S93="","",IF(INDEX(对接源_01水果!$I$4:$I$1203,$S93)=0,"",INDEX(对接源_01水果!$I$4:$I$1203,$S93)))</f>
        <v/>
      </c>
      <c r="G93" s="72" t="str">
        <f>IF($S93="","",IF(INDEX(对接源_01水果!$AD$4:$AD$1203,$S93)=0,"",INDEX(对接源_01水果!$AD$4:$AD$1203,$S93)))</f>
        <v/>
      </c>
      <c r="H93" s="72" t="str">
        <f>IF($S93="","",IF(INDEX(对接源_01水果!$AI$4:$AI$1203,$S93)=0,"",INDEX(对接源_01水果!$AI$4:$AI$1203,$S93)))</f>
        <v/>
      </c>
      <c r="I93" s="72" t="str">
        <f>IF($S93="","",IF(INDEX(对接源_01水果!$AE$4:$AE$1203,$S93)=0,"",INDEX(对接源_01水果!$AE$4:$AE$1203,$S93)))</f>
        <v/>
      </c>
      <c r="J93" s="72" t="str">
        <f>IF($S93="","",IF(INDEX(对接源_01水果!$AF$4:$AF$1203,$S93)=0,"",INDEX(对接源_01水果!$AF$4:$AF$1203,$S93)))</f>
        <v/>
      </c>
      <c r="K93" s="72" t="str">
        <f>IF($S93="","",IF(INDEX(对接源_01水果!$K$4:$K$1203,$S93)=0,"",INDEX(对接源_01水果!$K$4:$K$1203,$S93)))</f>
        <v/>
      </c>
      <c r="L93" s="70" t="str">
        <f>IF($S93="","",IF(INDEX(对接源_01水果!$L$4:$L$1203,$S93)=0,"",INDEX(对接源_01水果!$L$4:$L$1203,$S93)))</f>
        <v/>
      </c>
      <c r="M93" s="73" t="str">
        <f>IF($S93="","",IF(INDEX(对接源_01水果!$M$4:$M$1203,$S93)=0,"",INDEX(对接源_01水果!$M$4:$M$1203,$S93)))</f>
        <v/>
      </c>
      <c r="S9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4" ht="15.75" customHeight="1" spans="1:19">
      <c r="A94" s="70" t="str">
        <f>IF($S94="","",IF(INDEX(对接源_01水果!$B$4:$B$1203,$S94)=0,"",INDEX(对接源_01水果!$B$4:$B$1203,$S94)))</f>
        <v/>
      </c>
      <c r="B94" s="70" t="str">
        <f>IF($S94="","",IF(INDEX(对接源_01水果!$E$4:$E$1203,$S94)=0,"",INDEX(对接源_01水果!$E$4:$E$1203,$S94)))</f>
        <v/>
      </c>
      <c r="C94" s="70" t="str">
        <f>IF($S94="","",IF(INDEX(对接源_01水果!$F$4:$F$1203,$S94)=0,"",INDEX(对接源_01水果!$F$4:$F$1203,$S94)))</f>
        <v/>
      </c>
      <c r="D94" s="70" t="str">
        <f>IF($S94="","",IF(INDEX(对接源_01水果!$G$4:$G$1203,$S94)=0,"",INDEX(对接源_01水果!$G$4:$G$1203,$S94)))</f>
        <v/>
      </c>
      <c r="E94" s="70" t="str">
        <f>IF($S94="","",IF(INDEX(对接源_01水果!$H$4:$H$1203,$S94)=0,"",INDEX(对接源_01水果!$H$4:$H$1203,$S94)))</f>
        <v/>
      </c>
      <c r="F94" s="70" t="str">
        <f>IF($S94="","",IF(INDEX(对接源_01水果!$I$4:$I$1203,$S94)=0,"",INDEX(对接源_01水果!$I$4:$I$1203,$S94)))</f>
        <v/>
      </c>
      <c r="G94" s="72" t="str">
        <f>IF($S94="","",IF(INDEX(对接源_01水果!$AD$4:$AD$1203,$S94)=0,"",INDEX(对接源_01水果!$AD$4:$AD$1203,$S94)))</f>
        <v/>
      </c>
      <c r="H94" s="72" t="str">
        <f>IF($S94="","",IF(INDEX(对接源_01水果!$AI$4:$AI$1203,$S94)=0,"",INDEX(对接源_01水果!$AI$4:$AI$1203,$S94)))</f>
        <v/>
      </c>
      <c r="I94" s="72" t="str">
        <f>IF($S94="","",IF(INDEX(对接源_01水果!$AE$4:$AE$1203,$S94)=0,"",INDEX(对接源_01水果!$AE$4:$AE$1203,$S94)))</f>
        <v/>
      </c>
      <c r="J94" s="72" t="str">
        <f>IF($S94="","",IF(INDEX(对接源_01水果!$AF$4:$AF$1203,$S94)=0,"",INDEX(对接源_01水果!$AF$4:$AF$1203,$S94)))</f>
        <v/>
      </c>
      <c r="K94" s="72" t="str">
        <f>IF($S94="","",IF(INDEX(对接源_01水果!$K$4:$K$1203,$S94)=0,"",INDEX(对接源_01水果!$K$4:$K$1203,$S94)))</f>
        <v/>
      </c>
      <c r="L94" s="70" t="str">
        <f>IF($S94="","",IF(INDEX(对接源_01水果!$L$4:$L$1203,$S94)=0,"",INDEX(对接源_01水果!$L$4:$L$1203,$S94)))</f>
        <v/>
      </c>
      <c r="M94" s="73" t="str">
        <f>IF($S94="","",IF(INDEX(对接源_01水果!$M$4:$M$1203,$S94)=0,"",INDEX(对接源_01水果!$M$4:$M$1203,$S94)))</f>
        <v/>
      </c>
      <c r="S9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5" ht="15.75" customHeight="1" spans="1:19">
      <c r="A95" s="70" t="str">
        <f>IF($S95="","",IF(INDEX(对接源_01水果!$B$4:$B$1203,$S95)=0,"",INDEX(对接源_01水果!$B$4:$B$1203,$S95)))</f>
        <v/>
      </c>
      <c r="B95" s="70" t="str">
        <f>IF($S95="","",IF(INDEX(对接源_01水果!$E$4:$E$1203,$S95)=0,"",INDEX(对接源_01水果!$E$4:$E$1203,$S95)))</f>
        <v/>
      </c>
      <c r="C95" s="70" t="str">
        <f>IF($S95="","",IF(INDEX(对接源_01水果!$F$4:$F$1203,$S95)=0,"",INDEX(对接源_01水果!$F$4:$F$1203,$S95)))</f>
        <v/>
      </c>
      <c r="D95" s="70" t="str">
        <f>IF($S95="","",IF(INDEX(对接源_01水果!$G$4:$G$1203,$S95)=0,"",INDEX(对接源_01水果!$G$4:$G$1203,$S95)))</f>
        <v/>
      </c>
      <c r="E95" s="70" t="str">
        <f>IF($S95="","",IF(INDEX(对接源_01水果!$H$4:$H$1203,$S95)=0,"",INDEX(对接源_01水果!$H$4:$H$1203,$S95)))</f>
        <v/>
      </c>
      <c r="F95" s="70" t="str">
        <f>IF($S95="","",IF(INDEX(对接源_01水果!$I$4:$I$1203,$S95)=0,"",INDEX(对接源_01水果!$I$4:$I$1203,$S95)))</f>
        <v/>
      </c>
      <c r="G95" s="72" t="str">
        <f>IF($S95="","",IF(INDEX(对接源_01水果!$AD$4:$AD$1203,$S95)=0,"",INDEX(对接源_01水果!$AD$4:$AD$1203,$S95)))</f>
        <v/>
      </c>
      <c r="H95" s="72" t="str">
        <f>IF($S95="","",IF(INDEX(对接源_01水果!$AI$4:$AI$1203,$S95)=0,"",INDEX(对接源_01水果!$AI$4:$AI$1203,$S95)))</f>
        <v/>
      </c>
      <c r="I95" s="72" t="str">
        <f>IF($S95="","",IF(INDEX(对接源_01水果!$AE$4:$AE$1203,$S95)=0,"",INDEX(对接源_01水果!$AE$4:$AE$1203,$S95)))</f>
        <v/>
      </c>
      <c r="J95" s="72" t="str">
        <f>IF($S95="","",IF(INDEX(对接源_01水果!$AF$4:$AF$1203,$S95)=0,"",INDEX(对接源_01水果!$AF$4:$AF$1203,$S95)))</f>
        <v/>
      </c>
      <c r="K95" s="72" t="str">
        <f>IF($S95="","",IF(INDEX(对接源_01水果!$K$4:$K$1203,$S95)=0,"",INDEX(对接源_01水果!$K$4:$K$1203,$S95)))</f>
        <v/>
      </c>
      <c r="L95" s="70" t="str">
        <f>IF($S95="","",IF(INDEX(对接源_01水果!$L$4:$L$1203,$S95)=0,"",INDEX(对接源_01水果!$L$4:$L$1203,$S95)))</f>
        <v/>
      </c>
      <c r="M95" s="73" t="str">
        <f>IF($S95="","",IF(INDEX(对接源_01水果!$M$4:$M$1203,$S95)=0,"",INDEX(对接源_01水果!$M$4:$M$1203,$S95)))</f>
        <v/>
      </c>
      <c r="S9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6" ht="15.75" customHeight="1" spans="1:19">
      <c r="A96" s="70" t="str">
        <f>IF($S96="","",IF(INDEX(对接源_01水果!$B$4:$B$1203,$S96)=0,"",INDEX(对接源_01水果!$B$4:$B$1203,$S96)))</f>
        <v/>
      </c>
      <c r="B96" s="70" t="str">
        <f>IF($S96="","",IF(INDEX(对接源_01水果!$E$4:$E$1203,$S96)=0,"",INDEX(对接源_01水果!$E$4:$E$1203,$S96)))</f>
        <v/>
      </c>
      <c r="C96" s="70" t="str">
        <f>IF($S96="","",IF(INDEX(对接源_01水果!$F$4:$F$1203,$S96)=0,"",INDEX(对接源_01水果!$F$4:$F$1203,$S96)))</f>
        <v/>
      </c>
      <c r="D96" s="70" t="str">
        <f>IF($S96="","",IF(INDEX(对接源_01水果!$G$4:$G$1203,$S96)=0,"",INDEX(对接源_01水果!$G$4:$G$1203,$S96)))</f>
        <v/>
      </c>
      <c r="E96" s="70" t="str">
        <f>IF($S96="","",IF(INDEX(对接源_01水果!$H$4:$H$1203,$S96)=0,"",INDEX(对接源_01水果!$H$4:$H$1203,$S96)))</f>
        <v/>
      </c>
      <c r="F96" s="70" t="str">
        <f>IF($S96="","",IF(INDEX(对接源_01水果!$I$4:$I$1203,$S96)=0,"",INDEX(对接源_01水果!$I$4:$I$1203,$S96)))</f>
        <v/>
      </c>
      <c r="G96" s="72" t="str">
        <f>IF($S96="","",IF(INDEX(对接源_01水果!$AD$4:$AD$1203,$S96)=0,"",INDEX(对接源_01水果!$AD$4:$AD$1203,$S96)))</f>
        <v/>
      </c>
      <c r="H96" s="72" t="str">
        <f>IF($S96="","",IF(INDEX(对接源_01水果!$AI$4:$AI$1203,$S96)=0,"",INDEX(对接源_01水果!$AI$4:$AI$1203,$S96)))</f>
        <v/>
      </c>
      <c r="I96" s="72" t="str">
        <f>IF($S96="","",IF(INDEX(对接源_01水果!$AE$4:$AE$1203,$S96)=0,"",INDEX(对接源_01水果!$AE$4:$AE$1203,$S96)))</f>
        <v/>
      </c>
      <c r="J96" s="72" t="str">
        <f>IF($S96="","",IF(INDEX(对接源_01水果!$AF$4:$AF$1203,$S96)=0,"",INDEX(对接源_01水果!$AF$4:$AF$1203,$S96)))</f>
        <v/>
      </c>
      <c r="K96" s="72" t="str">
        <f>IF($S96="","",IF(INDEX(对接源_01水果!$K$4:$K$1203,$S96)=0,"",INDEX(对接源_01水果!$K$4:$K$1203,$S96)))</f>
        <v/>
      </c>
      <c r="L96" s="70" t="str">
        <f>IF($S96="","",IF(INDEX(对接源_01水果!$L$4:$L$1203,$S96)=0,"",INDEX(对接源_01水果!$L$4:$L$1203,$S96)))</f>
        <v/>
      </c>
      <c r="M96" s="73" t="str">
        <f>IF($S96="","",IF(INDEX(对接源_01水果!$M$4:$M$1203,$S96)=0,"",INDEX(对接源_01水果!$M$4:$M$1203,$S96)))</f>
        <v/>
      </c>
      <c r="S9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7" ht="15.75" customHeight="1" spans="1:19">
      <c r="A97" s="70" t="str">
        <f>IF($S97="","",IF(INDEX(对接源_01水果!$B$4:$B$1203,$S97)=0,"",INDEX(对接源_01水果!$B$4:$B$1203,$S97)))</f>
        <v/>
      </c>
      <c r="B97" s="70" t="str">
        <f>IF($S97="","",IF(INDEX(对接源_01水果!$E$4:$E$1203,$S97)=0,"",INDEX(对接源_01水果!$E$4:$E$1203,$S97)))</f>
        <v/>
      </c>
      <c r="C97" s="70" t="str">
        <f>IF($S97="","",IF(INDEX(对接源_01水果!$F$4:$F$1203,$S97)=0,"",INDEX(对接源_01水果!$F$4:$F$1203,$S97)))</f>
        <v/>
      </c>
      <c r="D97" s="70" t="str">
        <f>IF($S97="","",IF(INDEX(对接源_01水果!$G$4:$G$1203,$S97)=0,"",INDEX(对接源_01水果!$G$4:$G$1203,$S97)))</f>
        <v/>
      </c>
      <c r="E97" s="70" t="str">
        <f>IF($S97="","",IF(INDEX(对接源_01水果!$H$4:$H$1203,$S97)=0,"",INDEX(对接源_01水果!$H$4:$H$1203,$S97)))</f>
        <v/>
      </c>
      <c r="F97" s="70" t="str">
        <f>IF($S97="","",IF(INDEX(对接源_01水果!$I$4:$I$1203,$S97)=0,"",INDEX(对接源_01水果!$I$4:$I$1203,$S97)))</f>
        <v/>
      </c>
      <c r="G97" s="72" t="str">
        <f>IF($S97="","",IF(INDEX(对接源_01水果!$AD$4:$AD$1203,$S97)=0,"",INDEX(对接源_01水果!$AD$4:$AD$1203,$S97)))</f>
        <v/>
      </c>
      <c r="H97" s="72" t="str">
        <f>IF($S97="","",IF(INDEX(对接源_01水果!$AI$4:$AI$1203,$S97)=0,"",INDEX(对接源_01水果!$AI$4:$AI$1203,$S97)))</f>
        <v/>
      </c>
      <c r="I97" s="72" t="str">
        <f>IF($S97="","",IF(INDEX(对接源_01水果!$AE$4:$AE$1203,$S97)=0,"",INDEX(对接源_01水果!$AE$4:$AE$1203,$S97)))</f>
        <v/>
      </c>
      <c r="J97" s="72" t="str">
        <f>IF($S97="","",IF(INDEX(对接源_01水果!$AF$4:$AF$1203,$S97)=0,"",INDEX(对接源_01水果!$AF$4:$AF$1203,$S97)))</f>
        <v/>
      </c>
      <c r="K97" s="72" t="str">
        <f>IF($S97="","",IF(INDEX(对接源_01水果!$K$4:$K$1203,$S97)=0,"",INDEX(对接源_01水果!$K$4:$K$1203,$S97)))</f>
        <v/>
      </c>
      <c r="L97" s="70" t="str">
        <f>IF($S97="","",IF(INDEX(对接源_01水果!$L$4:$L$1203,$S97)=0,"",INDEX(对接源_01水果!$L$4:$L$1203,$S97)))</f>
        <v/>
      </c>
      <c r="M97" s="73" t="str">
        <f>IF($S97="","",IF(INDEX(对接源_01水果!$M$4:$M$1203,$S97)=0,"",INDEX(对接源_01水果!$M$4:$M$1203,$S97)))</f>
        <v/>
      </c>
      <c r="S9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8" ht="15.75" customHeight="1" spans="1:19">
      <c r="A98" s="70" t="str">
        <f>IF($S98="","",IF(INDEX(对接源_01水果!$B$4:$B$1203,$S98)=0,"",INDEX(对接源_01水果!$B$4:$B$1203,$S98)))</f>
        <v/>
      </c>
      <c r="B98" s="70" t="str">
        <f>IF($S98="","",IF(INDEX(对接源_01水果!$E$4:$E$1203,$S98)=0,"",INDEX(对接源_01水果!$E$4:$E$1203,$S98)))</f>
        <v/>
      </c>
      <c r="C98" s="70" t="str">
        <f>IF($S98="","",IF(INDEX(对接源_01水果!$F$4:$F$1203,$S98)=0,"",INDEX(对接源_01水果!$F$4:$F$1203,$S98)))</f>
        <v/>
      </c>
      <c r="D98" s="70" t="str">
        <f>IF($S98="","",IF(INDEX(对接源_01水果!$G$4:$G$1203,$S98)=0,"",INDEX(对接源_01水果!$G$4:$G$1203,$S98)))</f>
        <v/>
      </c>
      <c r="E98" s="70" t="str">
        <f>IF($S98="","",IF(INDEX(对接源_01水果!$H$4:$H$1203,$S98)=0,"",INDEX(对接源_01水果!$H$4:$H$1203,$S98)))</f>
        <v/>
      </c>
      <c r="F98" s="70" t="str">
        <f>IF($S98="","",IF(INDEX(对接源_01水果!$I$4:$I$1203,$S98)=0,"",INDEX(对接源_01水果!$I$4:$I$1203,$S98)))</f>
        <v/>
      </c>
      <c r="G98" s="72" t="str">
        <f>IF($S98="","",IF(INDEX(对接源_01水果!$AD$4:$AD$1203,$S98)=0,"",INDEX(对接源_01水果!$AD$4:$AD$1203,$S98)))</f>
        <v/>
      </c>
      <c r="H98" s="72" t="str">
        <f>IF($S98="","",IF(INDEX(对接源_01水果!$AI$4:$AI$1203,$S98)=0,"",INDEX(对接源_01水果!$AI$4:$AI$1203,$S98)))</f>
        <v/>
      </c>
      <c r="I98" s="72" t="str">
        <f>IF($S98="","",IF(INDEX(对接源_01水果!$AE$4:$AE$1203,$S98)=0,"",INDEX(对接源_01水果!$AE$4:$AE$1203,$S98)))</f>
        <v/>
      </c>
      <c r="J98" s="72" t="str">
        <f>IF($S98="","",IF(INDEX(对接源_01水果!$AF$4:$AF$1203,$S98)=0,"",INDEX(对接源_01水果!$AF$4:$AF$1203,$S98)))</f>
        <v/>
      </c>
      <c r="K98" s="72" t="str">
        <f>IF($S98="","",IF(INDEX(对接源_01水果!$K$4:$K$1203,$S98)=0,"",INDEX(对接源_01水果!$K$4:$K$1203,$S98)))</f>
        <v/>
      </c>
      <c r="L98" s="70" t="str">
        <f>IF($S98="","",IF(INDEX(对接源_01水果!$L$4:$L$1203,$S98)=0,"",INDEX(对接源_01水果!$L$4:$L$1203,$S98)))</f>
        <v/>
      </c>
      <c r="M98" s="73" t="str">
        <f>IF($S98="","",IF(INDEX(对接源_01水果!$M$4:$M$1203,$S98)=0,"",INDEX(对接源_01水果!$M$4:$M$1203,$S98)))</f>
        <v/>
      </c>
      <c r="S9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9" ht="15.75" customHeight="1" spans="1:19">
      <c r="A99" s="70" t="str">
        <f>IF($S99="","",IF(INDEX(对接源_01水果!$B$4:$B$1203,$S99)=0,"",INDEX(对接源_01水果!$B$4:$B$1203,$S99)))</f>
        <v/>
      </c>
      <c r="B99" s="70" t="str">
        <f>IF($S99="","",IF(INDEX(对接源_01水果!$E$4:$E$1203,$S99)=0,"",INDEX(对接源_01水果!$E$4:$E$1203,$S99)))</f>
        <v/>
      </c>
      <c r="C99" s="70" t="str">
        <f>IF($S99="","",IF(INDEX(对接源_01水果!$F$4:$F$1203,$S99)=0,"",INDEX(对接源_01水果!$F$4:$F$1203,$S99)))</f>
        <v/>
      </c>
      <c r="D99" s="70" t="str">
        <f>IF($S99="","",IF(INDEX(对接源_01水果!$G$4:$G$1203,$S99)=0,"",INDEX(对接源_01水果!$G$4:$G$1203,$S99)))</f>
        <v/>
      </c>
      <c r="E99" s="70" t="str">
        <f>IF($S99="","",IF(INDEX(对接源_01水果!$H$4:$H$1203,$S99)=0,"",INDEX(对接源_01水果!$H$4:$H$1203,$S99)))</f>
        <v/>
      </c>
      <c r="F99" s="70" t="str">
        <f>IF($S99="","",IF(INDEX(对接源_01水果!$I$4:$I$1203,$S99)=0,"",INDEX(对接源_01水果!$I$4:$I$1203,$S99)))</f>
        <v/>
      </c>
      <c r="G99" s="72" t="str">
        <f>IF($S99="","",IF(INDEX(对接源_01水果!$AD$4:$AD$1203,$S99)=0,"",INDEX(对接源_01水果!$AD$4:$AD$1203,$S99)))</f>
        <v/>
      </c>
      <c r="H99" s="72" t="str">
        <f>IF($S99="","",IF(INDEX(对接源_01水果!$AI$4:$AI$1203,$S99)=0,"",INDEX(对接源_01水果!$AI$4:$AI$1203,$S99)))</f>
        <v/>
      </c>
      <c r="I99" s="72" t="str">
        <f>IF($S99="","",IF(INDEX(对接源_01水果!$AE$4:$AE$1203,$S99)=0,"",INDEX(对接源_01水果!$AE$4:$AE$1203,$S99)))</f>
        <v/>
      </c>
      <c r="J99" s="72" t="str">
        <f>IF($S99="","",IF(INDEX(对接源_01水果!$AF$4:$AF$1203,$S99)=0,"",INDEX(对接源_01水果!$AF$4:$AF$1203,$S99)))</f>
        <v/>
      </c>
      <c r="K99" s="72" t="str">
        <f>IF($S99="","",IF(INDEX(对接源_01水果!$K$4:$K$1203,$S99)=0,"",INDEX(对接源_01水果!$K$4:$K$1203,$S99)))</f>
        <v/>
      </c>
      <c r="L99" s="70" t="str">
        <f>IF($S99="","",IF(INDEX(对接源_01水果!$L$4:$L$1203,$S99)=0,"",INDEX(对接源_01水果!$L$4:$L$1203,$S99)))</f>
        <v/>
      </c>
      <c r="M99" s="73" t="str">
        <f>IF($S99="","",IF(INDEX(对接源_01水果!$M$4:$M$1203,$S99)=0,"",INDEX(对接源_01水果!$M$4:$M$1203,$S99)))</f>
        <v/>
      </c>
      <c r="S9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0" ht="15.75" customHeight="1" spans="1:19">
      <c r="A100" s="70" t="str">
        <f>IF($S100="","",IF(INDEX(对接源_01水果!$B$4:$B$1203,$S100)=0,"",INDEX(对接源_01水果!$B$4:$B$1203,$S100)))</f>
        <v/>
      </c>
      <c r="B100" s="70" t="str">
        <f>IF($S100="","",IF(INDEX(对接源_01水果!$E$4:$E$1203,$S100)=0,"",INDEX(对接源_01水果!$E$4:$E$1203,$S100)))</f>
        <v/>
      </c>
      <c r="C100" s="70" t="str">
        <f>IF($S100="","",IF(INDEX(对接源_01水果!$F$4:$F$1203,$S100)=0,"",INDEX(对接源_01水果!$F$4:$F$1203,$S100)))</f>
        <v/>
      </c>
      <c r="D100" s="70" t="str">
        <f>IF($S100="","",IF(INDEX(对接源_01水果!$G$4:$G$1203,$S100)=0,"",INDEX(对接源_01水果!$G$4:$G$1203,$S100)))</f>
        <v/>
      </c>
      <c r="E100" s="70" t="str">
        <f>IF($S100="","",IF(INDEX(对接源_01水果!$H$4:$H$1203,$S100)=0,"",INDEX(对接源_01水果!$H$4:$H$1203,$S100)))</f>
        <v/>
      </c>
      <c r="F100" s="70" t="str">
        <f>IF($S100="","",IF(INDEX(对接源_01水果!$I$4:$I$1203,$S100)=0,"",INDEX(对接源_01水果!$I$4:$I$1203,$S100)))</f>
        <v/>
      </c>
      <c r="G100" s="72" t="str">
        <f>IF($S100="","",IF(INDEX(对接源_01水果!$AD$4:$AD$1203,$S100)=0,"",INDEX(对接源_01水果!$AD$4:$AD$1203,$S100)))</f>
        <v/>
      </c>
      <c r="H100" s="72" t="str">
        <f>IF($S100="","",IF(INDEX(对接源_01水果!$AI$4:$AI$1203,$S100)=0,"",INDEX(对接源_01水果!$AI$4:$AI$1203,$S100)))</f>
        <v/>
      </c>
      <c r="I100" s="72" t="str">
        <f>IF($S100="","",IF(INDEX(对接源_01水果!$AE$4:$AE$1203,$S100)=0,"",INDEX(对接源_01水果!$AE$4:$AE$1203,$S100)))</f>
        <v/>
      </c>
      <c r="J100" s="72" t="str">
        <f>IF($S100="","",IF(INDEX(对接源_01水果!$AF$4:$AF$1203,$S100)=0,"",INDEX(对接源_01水果!$AF$4:$AF$1203,$S100)))</f>
        <v/>
      </c>
      <c r="K100" s="72" t="str">
        <f>IF($S100="","",IF(INDEX(对接源_01水果!$K$4:$K$1203,$S100)=0,"",INDEX(对接源_01水果!$K$4:$K$1203,$S100)))</f>
        <v/>
      </c>
      <c r="L100" s="70" t="str">
        <f>IF($S100="","",IF(INDEX(对接源_01水果!$L$4:$L$1203,$S100)=0,"",INDEX(对接源_01水果!$L$4:$L$1203,$S100)))</f>
        <v/>
      </c>
      <c r="M100" s="73" t="str">
        <f>IF($S100="","",IF(INDEX(对接源_01水果!$M$4:$M$1203,$S100)=0,"",INDEX(对接源_01水果!$M$4:$M$1203,$S100)))</f>
        <v/>
      </c>
      <c r="S10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1" ht="15.75" customHeight="1" spans="1:19">
      <c r="A101" s="70" t="str">
        <f>IF($S101="","",IF(INDEX(对接源_01水果!$B$4:$B$1203,$S101)=0,"",INDEX(对接源_01水果!$B$4:$B$1203,$S101)))</f>
        <v/>
      </c>
      <c r="B101" s="70" t="str">
        <f>IF($S101="","",IF(INDEX(对接源_01水果!$E$4:$E$1203,$S101)=0,"",INDEX(对接源_01水果!$E$4:$E$1203,$S101)))</f>
        <v/>
      </c>
      <c r="C101" s="70" t="str">
        <f>IF($S101="","",IF(INDEX(对接源_01水果!$F$4:$F$1203,$S101)=0,"",INDEX(对接源_01水果!$F$4:$F$1203,$S101)))</f>
        <v/>
      </c>
      <c r="D101" s="70" t="str">
        <f>IF($S101="","",IF(INDEX(对接源_01水果!$G$4:$G$1203,$S101)=0,"",INDEX(对接源_01水果!$G$4:$G$1203,$S101)))</f>
        <v/>
      </c>
      <c r="E101" s="70" t="str">
        <f>IF($S101="","",IF(INDEX(对接源_01水果!$H$4:$H$1203,$S101)=0,"",INDEX(对接源_01水果!$H$4:$H$1203,$S101)))</f>
        <v/>
      </c>
      <c r="F101" s="70" t="str">
        <f>IF($S101="","",IF(INDEX(对接源_01水果!$I$4:$I$1203,$S101)=0,"",INDEX(对接源_01水果!$I$4:$I$1203,$S101)))</f>
        <v/>
      </c>
      <c r="G101" s="72" t="str">
        <f>IF($S101="","",IF(INDEX(对接源_01水果!$AD$4:$AD$1203,$S101)=0,"",INDEX(对接源_01水果!$AD$4:$AD$1203,$S101)))</f>
        <v/>
      </c>
      <c r="H101" s="72" t="str">
        <f>IF($S101="","",IF(INDEX(对接源_01水果!$AI$4:$AI$1203,$S101)=0,"",INDEX(对接源_01水果!$AI$4:$AI$1203,$S101)))</f>
        <v/>
      </c>
      <c r="I101" s="72" t="str">
        <f>IF($S101="","",IF(INDEX(对接源_01水果!$AE$4:$AE$1203,$S101)=0,"",INDEX(对接源_01水果!$AE$4:$AE$1203,$S101)))</f>
        <v/>
      </c>
      <c r="J101" s="72" t="str">
        <f>IF($S101="","",IF(INDEX(对接源_01水果!$AF$4:$AF$1203,$S101)=0,"",INDEX(对接源_01水果!$AF$4:$AF$1203,$S101)))</f>
        <v/>
      </c>
      <c r="K101" s="72" t="str">
        <f>IF($S101="","",IF(INDEX(对接源_01水果!$K$4:$K$1203,$S101)=0,"",INDEX(对接源_01水果!$K$4:$K$1203,$S101)))</f>
        <v/>
      </c>
      <c r="L101" s="70" t="str">
        <f>IF($S101="","",IF(INDEX(对接源_01水果!$L$4:$L$1203,$S101)=0,"",INDEX(对接源_01水果!$L$4:$L$1203,$S101)))</f>
        <v/>
      </c>
      <c r="M101" s="73" t="str">
        <f>IF($S101="","",IF(INDEX(对接源_01水果!$M$4:$M$1203,$S101)=0,"",INDEX(对接源_01水果!$M$4:$M$1203,$S101)))</f>
        <v/>
      </c>
      <c r="S10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2" ht="15.75" customHeight="1" spans="1:19">
      <c r="A102" s="70" t="str">
        <f>IF($S102="","",IF(INDEX(对接源_01水果!$B$4:$B$1203,$S102)=0,"",INDEX(对接源_01水果!$B$4:$B$1203,$S102)))</f>
        <v/>
      </c>
      <c r="B102" s="70" t="str">
        <f>IF($S102="","",IF(INDEX(对接源_01水果!$E$4:$E$1203,$S102)=0,"",INDEX(对接源_01水果!$E$4:$E$1203,$S102)))</f>
        <v/>
      </c>
      <c r="C102" s="70" t="str">
        <f>IF($S102="","",IF(INDEX(对接源_01水果!$F$4:$F$1203,$S102)=0,"",INDEX(对接源_01水果!$F$4:$F$1203,$S102)))</f>
        <v/>
      </c>
      <c r="D102" s="70" t="str">
        <f>IF($S102="","",IF(INDEX(对接源_01水果!$G$4:$G$1203,$S102)=0,"",INDEX(对接源_01水果!$G$4:$G$1203,$S102)))</f>
        <v/>
      </c>
      <c r="E102" s="70" t="str">
        <f>IF($S102="","",IF(INDEX(对接源_01水果!$H$4:$H$1203,$S102)=0,"",INDEX(对接源_01水果!$H$4:$H$1203,$S102)))</f>
        <v/>
      </c>
      <c r="F102" s="70" t="str">
        <f>IF($S102="","",IF(INDEX(对接源_01水果!$I$4:$I$1203,$S102)=0,"",INDEX(对接源_01水果!$I$4:$I$1203,$S102)))</f>
        <v/>
      </c>
      <c r="G102" s="72" t="str">
        <f>IF($S102="","",IF(INDEX(对接源_01水果!$AD$4:$AD$1203,$S102)=0,"",INDEX(对接源_01水果!$AD$4:$AD$1203,$S102)))</f>
        <v/>
      </c>
      <c r="H102" s="72" t="str">
        <f>IF($S102="","",IF(INDEX(对接源_01水果!$AI$4:$AI$1203,$S102)=0,"",INDEX(对接源_01水果!$AI$4:$AI$1203,$S102)))</f>
        <v/>
      </c>
      <c r="I102" s="72" t="str">
        <f>IF($S102="","",IF(INDEX(对接源_01水果!$AE$4:$AE$1203,$S102)=0,"",INDEX(对接源_01水果!$AE$4:$AE$1203,$S102)))</f>
        <v/>
      </c>
      <c r="J102" s="72" t="str">
        <f>IF($S102="","",IF(INDEX(对接源_01水果!$AF$4:$AF$1203,$S102)=0,"",INDEX(对接源_01水果!$AF$4:$AF$1203,$S102)))</f>
        <v/>
      </c>
      <c r="K102" s="72" t="str">
        <f>IF($S102="","",IF(INDEX(对接源_01水果!$K$4:$K$1203,$S102)=0,"",INDEX(对接源_01水果!$K$4:$K$1203,$S102)))</f>
        <v/>
      </c>
      <c r="L102" s="70" t="str">
        <f>IF($S102="","",IF(INDEX(对接源_01水果!$L$4:$L$1203,$S102)=0,"",INDEX(对接源_01水果!$L$4:$L$1203,$S102)))</f>
        <v/>
      </c>
      <c r="M102" s="73" t="str">
        <f>IF($S102="","",IF(INDEX(对接源_01水果!$M$4:$M$1203,$S102)=0,"",INDEX(对接源_01水果!$M$4:$M$1203,$S102)))</f>
        <v/>
      </c>
      <c r="S10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3" ht="15.75" customHeight="1" spans="1:19">
      <c r="A103" s="70" t="str">
        <f>IF($S103="","",IF(INDEX(对接源_01水果!$B$4:$B$1203,$S103)=0,"",INDEX(对接源_01水果!$B$4:$B$1203,$S103)))</f>
        <v/>
      </c>
      <c r="B103" s="70" t="str">
        <f>IF($S103="","",IF(INDEX(对接源_01水果!$E$4:$E$1203,$S103)=0,"",INDEX(对接源_01水果!$E$4:$E$1203,$S103)))</f>
        <v/>
      </c>
      <c r="C103" s="70" t="str">
        <f>IF($S103="","",IF(INDEX(对接源_01水果!$F$4:$F$1203,$S103)=0,"",INDEX(对接源_01水果!$F$4:$F$1203,$S103)))</f>
        <v/>
      </c>
      <c r="D103" s="70" t="str">
        <f>IF($S103="","",IF(INDEX(对接源_01水果!$G$4:$G$1203,$S103)=0,"",INDEX(对接源_01水果!$G$4:$G$1203,$S103)))</f>
        <v/>
      </c>
      <c r="E103" s="70" t="str">
        <f>IF($S103="","",IF(INDEX(对接源_01水果!$H$4:$H$1203,$S103)=0,"",INDEX(对接源_01水果!$H$4:$H$1203,$S103)))</f>
        <v/>
      </c>
      <c r="F103" s="70" t="str">
        <f>IF($S103="","",IF(INDEX(对接源_01水果!$I$4:$I$1203,$S103)=0,"",INDEX(对接源_01水果!$I$4:$I$1203,$S103)))</f>
        <v/>
      </c>
      <c r="G103" s="72" t="str">
        <f>IF($S103="","",IF(INDEX(对接源_01水果!$AD$4:$AD$1203,$S103)=0,"",INDEX(对接源_01水果!$AD$4:$AD$1203,$S103)))</f>
        <v/>
      </c>
      <c r="H103" s="72" t="str">
        <f>IF($S103="","",IF(INDEX(对接源_01水果!$AI$4:$AI$1203,$S103)=0,"",INDEX(对接源_01水果!$AI$4:$AI$1203,$S103)))</f>
        <v/>
      </c>
      <c r="I103" s="72" t="str">
        <f>IF($S103="","",IF(INDEX(对接源_01水果!$AE$4:$AE$1203,$S103)=0,"",INDEX(对接源_01水果!$AE$4:$AE$1203,$S103)))</f>
        <v/>
      </c>
      <c r="J103" s="72" t="str">
        <f>IF($S103="","",IF(INDEX(对接源_01水果!$AF$4:$AF$1203,$S103)=0,"",INDEX(对接源_01水果!$AF$4:$AF$1203,$S103)))</f>
        <v/>
      </c>
      <c r="K103" s="72" t="str">
        <f>IF($S103="","",IF(INDEX(对接源_01水果!$K$4:$K$1203,$S103)=0,"",INDEX(对接源_01水果!$K$4:$K$1203,$S103)))</f>
        <v/>
      </c>
      <c r="L103" s="70" t="str">
        <f>IF($S103="","",IF(INDEX(对接源_01水果!$L$4:$L$1203,$S103)=0,"",INDEX(对接源_01水果!$L$4:$L$1203,$S103)))</f>
        <v/>
      </c>
      <c r="M103" s="73" t="str">
        <f>IF($S103="","",IF(INDEX(对接源_01水果!$M$4:$M$1203,$S103)=0,"",INDEX(对接源_01水果!$M$4:$M$1203,$S103)))</f>
        <v/>
      </c>
      <c r="S10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4" ht="15.75" customHeight="1" spans="1:19">
      <c r="A104" s="70" t="str">
        <f>IF($S104="","",IF(INDEX(对接源_01水果!$B$4:$B$1203,$S104)=0,"",INDEX(对接源_01水果!$B$4:$B$1203,$S104)))</f>
        <v/>
      </c>
      <c r="B104" s="70" t="str">
        <f>IF($S104="","",IF(INDEX(对接源_01水果!$E$4:$E$1203,$S104)=0,"",INDEX(对接源_01水果!$E$4:$E$1203,$S104)))</f>
        <v/>
      </c>
      <c r="C104" s="70" t="str">
        <f>IF($S104="","",IF(INDEX(对接源_01水果!$F$4:$F$1203,$S104)=0,"",INDEX(对接源_01水果!$F$4:$F$1203,$S104)))</f>
        <v/>
      </c>
      <c r="D104" s="70" t="str">
        <f>IF($S104="","",IF(INDEX(对接源_01水果!$G$4:$G$1203,$S104)=0,"",INDEX(对接源_01水果!$G$4:$G$1203,$S104)))</f>
        <v/>
      </c>
      <c r="E104" s="70" t="str">
        <f>IF($S104="","",IF(INDEX(对接源_01水果!$H$4:$H$1203,$S104)=0,"",INDEX(对接源_01水果!$H$4:$H$1203,$S104)))</f>
        <v/>
      </c>
      <c r="F104" s="70" t="str">
        <f>IF($S104="","",IF(INDEX(对接源_01水果!$I$4:$I$1203,$S104)=0,"",INDEX(对接源_01水果!$I$4:$I$1203,$S104)))</f>
        <v/>
      </c>
      <c r="G104" s="72" t="str">
        <f>IF($S104="","",IF(INDEX(对接源_01水果!$AD$4:$AD$1203,$S104)=0,"",INDEX(对接源_01水果!$AD$4:$AD$1203,$S104)))</f>
        <v/>
      </c>
      <c r="H104" s="72" t="str">
        <f>IF($S104="","",IF(INDEX(对接源_01水果!$AI$4:$AI$1203,$S104)=0,"",INDEX(对接源_01水果!$AI$4:$AI$1203,$S104)))</f>
        <v/>
      </c>
      <c r="I104" s="72" t="str">
        <f>IF($S104="","",IF(INDEX(对接源_01水果!$AE$4:$AE$1203,$S104)=0,"",INDEX(对接源_01水果!$AE$4:$AE$1203,$S104)))</f>
        <v/>
      </c>
      <c r="J104" s="72" t="str">
        <f>IF($S104="","",IF(INDEX(对接源_01水果!$AF$4:$AF$1203,$S104)=0,"",INDEX(对接源_01水果!$AF$4:$AF$1203,$S104)))</f>
        <v/>
      </c>
      <c r="K104" s="72" t="str">
        <f>IF($S104="","",IF(INDEX(对接源_01水果!$K$4:$K$1203,$S104)=0,"",INDEX(对接源_01水果!$K$4:$K$1203,$S104)))</f>
        <v/>
      </c>
      <c r="L104" s="70" t="str">
        <f>IF($S104="","",IF(INDEX(对接源_01水果!$L$4:$L$1203,$S104)=0,"",INDEX(对接源_01水果!$L$4:$L$1203,$S104)))</f>
        <v/>
      </c>
      <c r="M104" s="73" t="str">
        <f>IF($S104="","",IF(INDEX(对接源_01水果!$M$4:$M$1203,$S104)=0,"",INDEX(对接源_01水果!$M$4:$M$1203,$S104)))</f>
        <v/>
      </c>
      <c r="S10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5" ht="15.75" customHeight="1" spans="1:19">
      <c r="A105" s="70" t="str">
        <f>IF($S105="","",IF(INDEX(对接源_01水果!$B$4:$B$1203,$S105)=0,"",INDEX(对接源_01水果!$B$4:$B$1203,$S105)))</f>
        <v/>
      </c>
      <c r="B105" s="70" t="str">
        <f>IF($S105="","",IF(INDEX(对接源_01水果!$E$4:$E$1203,$S105)=0,"",INDEX(对接源_01水果!$E$4:$E$1203,$S105)))</f>
        <v/>
      </c>
      <c r="C105" s="70" t="str">
        <f>IF($S105="","",IF(INDEX(对接源_01水果!$F$4:$F$1203,$S105)=0,"",INDEX(对接源_01水果!$F$4:$F$1203,$S105)))</f>
        <v/>
      </c>
      <c r="D105" s="70" t="str">
        <f>IF($S105="","",IF(INDEX(对接源_01水果!$G$4:$G$1203,$S105)=0,"",INDEX(对接源_01水果!$G$4:$G$1203,$S105)))</f>
        <v/>
      </c>
      <c r="E105" s="70" t="str">
        <f>IF($S105="","",IF(INDEX(对接源_01水果!$H$4:$H$1203,$S105)=0,"",INDEX(对接源_01水果!$H$4:$H$1203,$S105)))</f>
        <v/>
      </c>
      <c r="F105" s="70" t="str">
        <f>IF($S105="","",IF(INDEX(对接源_01水果!$I$4:$I$1203,$S105)=0,"",INDEX(对接源_01水果!$I$4:$I$1203,$S105)))</f>
        <v/>
      </c>
      <c r="G105" s="72" t="str">
        <f>IF($S105="","",IF(INDEX(对接源_01水果!$AD$4:$AD$1203,$S105)=0,"",INDEX(对接源_01水果!$AD$4:$AD$1203,$S105)))</f>
        <v/>
      </c>
      <c r="H105" s="72" t="str">
        <f>IF($S105="","",IF(INDEX(对接源_01水果!$AI$4:$AI$1203,$S105)=0,"",INDEX(对接源_01水果!$AI$4:$AI$1203,$S105)))</f>
        <v/>
      </c>
      <c r="I105" s="72" t="str">
        <f>IF($S105="","",IF(INDEX(对接源_01水果!$AE$4:$AE$1203,$S105)=0,"",INDEX(对接源_01水果!$AE$4:$AE$1203,$S105)))</f>
        <v/>
      </c>
      <c r="J105" s="72" t="str">
        <f>IF($S105="","",IF(INDEX(对接源_01水果!$AF$4:$AF$1203,$S105)=0,"",INDEX(对接源_01水果!$AF$4:$AF$1203,$S105)))</f>
        <v/>
      </c>
      <c r="K105" s="72" t="str">
        <f>IF($S105="","",IF(INDEX(对接源_01水果!$K$4:$K$1203,$S105)=0,"",INDEX(对接源_01水果!$K$4:$K$1203,$S105)))</f>
        <v/>
      </c>
      <c r="L105" s="70" t="str">
        <f>IF($S105="","",IF(INDEX(对接源_01水果!$L$4:$L$1203,$S105)=0,"",INDEX(对接源_01水果!$L$4:$L$1203,$S105)))</f>
        <v/>
      </c>
      <c r="M105" s="73" t="str">
        <f>IF($S105="","",IF(INDEX(对接源_01水果!$M$4:$M$1203,$S105)=0,"",INDEX(对接源_01水果!$M$4:$M$1203,$S105)))</f>
        <v/>
      </c>
      <c r="S10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6" ht="15.75" customHeight="1" spans="1:19">
      <c r="A106" s="70" t="str">
        <f>IF($S106="","",IF(INDEX(对接源_01水果!$B$4:$B$1203,$S106)=0,"",INDEX(对接源_01水果!$B$4:$B$1203,$S106)))</f>
        <v/>
      </c>
      <c r="B106" s="70" t="str">
        <f>IF($S106="","",IF(INDEX(对接源_01水果!$E$4:$E$1203,$S106)=0,"",INDEX(对接源_01水果!$E$4:$E$1203,$S106)))</f>
        <v/>
      </c>
      <c r="C106" s="70" t="str">
        <f>IF($S106="","",IF(INDEX(对接源_01水果!$F$4:$F$1203,$S106)=0,"",INDEX(对接源_01水果!$F$4:$F$1203,$S106)))</f>
        <v/>
      </c>
      <c r="D106" s="70" t="str">
        <f>IF($S106="","",IF(INDEX(对接源_01水果!$G$4:$G$1203,$S106)=0,"",INDEX(对接源_01水果!$G$4:$G$1203,$S106)))</f>
        <v/>
      </c>
      <c r="E106" s="70" t="str">
        <f>IF($S106="","",IF(INDEX(对接源_01水果!$H$4:$H$1203,$S106)=0,"",INDEX(对接源_01水果!$H$4:$H$1203,$S106)))</f>
        <v/>
      </c>
      <c r="F106" s="70" t="str">
        <f>IF($S106="","",IF(INDEX(对接源_01水果!$I$4:$I$1203,$S106)=0,"",INDEX(对接源_01水果!$I$4:$I$1203,$S106)))</f>
        <v/>
      </c>
      <c r="G106" s="72" t="str">
        <f>IF($S106="","",IF(INDEX(对接源_01水果!$AD$4:$AD$1203,$S106)=0,"",INDEX(对接源_01水果!$AD$4:$AD$1203,$S106)))</f>
        <v/>
      </c>
      <c r="H106" s="72" t="str">
        <f>IF($S106="","",IF(INDEX(对接源_01水果!$AI$4:$AI$1203,$S106)=0,"",INDEX(对接源_01水果!$AI$4:$AI$1203,$S106)))</f>
        <v/>
      </c>
      <c r="I106" s="72" t="str">
        <f>IF($S106="","",IF(INDEX(对接源_01水果!$AE$4:$AE$1203,$S106)=0,"",INDEX(对接源_01水果!$AE$4:$AE$1203,$S106)))</f>
        <v/>
      </c>
      <c r="J106" s="72" t="str">
        <f>IF($S106="","",IF(INDEX(对接源_01水果!$AF$4:$AF$1203,$S106)=0,"",INDEX(对接源_01水果!$AF$4:$AF$1203,$S106)))</f>
        <v/>
      </c>
      <c r="K106" s="72" t="str">
        <f>IF($S106="","",IF(INDEX(对接源_01水果!$K$4:$K$1203,$S106)=0,"",INDEX(对接源_01水果!$K$4:$K$1203,$S106)))</f>
        <v/>
      </c>
      <c r="L106" s="70" t="str">
        <f>IF($S106="","",IF(INDEX(对接源_01水果!$L$4:$L$1203,$S106)=0,"",INDEX(对接源_01水果!$L$4:$L$1203,$S106)))</f>
        <v/>
      </c>
      <c r="M106" s="73" t="str">
        <f>IF($S106="","",IF(INDEX(对接源_01水果!$M$4:$M$1203,$S106)=0,"",INDEX(对接源_01水果!$M$4:$M$1203,$S106)))</f>
        <v/>
      </c>
      <c r="S10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7" ht="15.75" customHeight="1" spans="1:19">
      <c r="A107" s="70" t="str">
        <f>IF($S107="","",IF(INDEX(对接源_01水果!$B$4:$B$1203,$S107)=0,"",INDEX(对接源_01水果!$B$4:$B$1203,$S107)))</f>
        <v/>
      </c>
      <c r="B107" s="70" t="str">
        <f>IF($S107="","",IF(INDEX(对接源_01水果!$E$4:$E$1203,$S107)=0,"",INDEX(对接源_01水果!$E$4:$E$1203,$S107)))</f>
        <v/>
      </c>
      <c r="C107" s="70" t="str">
        <f>IF($S107="","",IF(INDEX(对接源_01水果!$F$4:$F$1203,$S107)=0,"",INDEX(对接源_01水果!$F$4:$F$1203,$S107)))</f>
        <v/>
      </c>
      <c r="D107" s="70" t="str">
        <f>IF($S107="","",IF(INDEX(对接源_01水果!$G$4:$G$1203,$S107)=0,"",INDEX(对接源_01水果!$G$4:$G$1203,$S107)))</f>
        <v/>
      </c>
      <c r="E107" s="70" t="str">
        <f>IF($S107="","",IF(INDEX(对接源_01水果!$H$4:$H$1203,$S107)=0,"",INDEX(对接源_01水果!$H$4:$H$1203,$S107)))</f>
        <v/>
      </c>
      <c r="F107" s="70" t="str">
        <f>IF($S107="","",IF(INDEX(对接源_01水果!$I$4:$I$1203,$S107)=0,"",INDEX(对接源_01水果!$I$4:$I$1203,$S107)))</f>
        <v/>
      </c>
      <c r="G107" s="72" t="str">
        <f>IF($S107="","",IF(INDEX(对接源_01水果!$AD$4:$AD$1203,$S107)=0,"",INDEX(对接源_01水果!$AD$4:$AD$1203,$S107)))</f>
        <v/>
      </c>
      <c r="H107" s="72" t="str">
        <f>IF($S107="","",IF(INDEX(对接源_01水果!$AI$4:$AI$1203,$S107)=0,"",INDEX(对接源_01水果!$AI$4:$AI$1203,$S107)))</f>
        <v/>
      </c>
      <c r="I107" s="72" t="str">
        <f>IF($S107="","",IF(INDEX(对接源_01水果!$AE$4:$AE$1203,$S107)=0,"",INDEX(对接源_01水果!$AE$4:$AE$1203,$S107)))</f>
        <v/>
      </c>
      <c r="J107" s="72" t="str">
        <f>IF($S107="","",IF(INDEX(对接源_01水果!$AF$4:$AF$1203,$S107)=0,"",INDEX(对接源_01水果!$AF$4:$AF$1203,$S107)))</f>
        <v/>
      </c>
      <c r="K107" s="72" t="str">
        <f>IF($S107="","",IF(INDEX(对接源_01水果!$K$4:$K$1203,$S107)=0,"",INDEX(对接源_01水果!$K$4:$K$1203,$S107)))</f>
        <v/>
      </c>
      <c r="L107" s="70" t="str">
        <f>IF($S107="","",IF(INDEX(对接源_01水果!$L$4:$L$1203,$S107)=0,"",INDEX(对接源_01水果!$L$4:$L$1203,$S107)))</f>
        <v/>
      </c>
      <c r="M107" s="73" t="str">
        <f>IF($S107="","",IF(INDEX(对接源_01水果!$M$4:$M$1203,$S107)=0,"",INDEX(对接源_01水果!$M$4:$M$1203,$S107)))</f>
        <v/>
      </c>
      <c r="S10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8" ht="15.75" customHeight="1" spans="1:19">
      <c r="A108" s="70" t="str">
        <f>IF($S108="","",IF(INDEX(对接源_01水果!$B$4:$B$1203,$S108)=0,"",INDEX(对接源_01水果!$B$4:$B$1203,$S108)))</f>
        <v/>
      </c>
      <c r="B108" s="70" t="str">
        <f>IF($S108="","",IF(INDEX(对接源_01水果!$E$4:$E$1203,$S108)=0,"",INDEX(对接源_01水果!$E$4:$E$1203,$S108)))</f>
        <v/>
      </c>
      <c r="C108" s="70" t="str">
        <f>IF($S108="","",IF(INDEX(对接源_01水果!$F$4:$F$1203,$S108)=0,"",INDEX(对接源_01水果!$F$4:$F$1203,$S108)))</f>
        <v/>
      </c>
      <c r="D108" s="70" t="str">
        <f>IF($S108="","",IF(INDEX(对接源_01水果!$G$4:$G$1203,$S108)=0,"",INDEX(对接源_01水果!$G$4:$G$1203,$S108)))</f>
        <v/>
      </c>
      <c r="E108" s="70" t="str">
        <f>IF($S108="","",IF(INDEX(对接源_01水果!$H$4:$H$1203,$S108)=0,"",INDEX(对接源_01水果!$H$4:$H$1203,$S108)))</f>
        <v/>
      </c>
      <c r="F108" s="70" t="str">
        <f>IF($S108="","",IF(INDEX(对接源_01水果!$I$4:$I$1203,$S108)=0,"",INDEX(对接源_01水果!$I$4:$I$1203,$S108)))</f>
        <v/>
      </c>
      <c r="G108" s="72" t="str">
        <f>IF($S108="","",IF(INDEX(对接源_01水果!$AD$4:$AD$1203,$S108)=0,"",INDEX(对接源_01水果!$AD$4:$AD$1203,$S108)))</f>
        <v/>
      </c>
      <c r="H108" s="72" t="str">
        <f>IF($S108="","",IF(INDEX(对接源_01水果!$AI$4:$AI$1203,$S108)=0,"",INDEX(对接源_01水果!$AI$4:$AI$1203,$S108)))</f>
        <v/>
      </c>
      <c r="I108" s="72" t="str">
        <f>IF($S108="","",IF(INDEX(对接源_01水果!$AE$4:$AE$1203,$S108)=0,"",INDEX(对接源_01水果!$AE$4:$AE$1203,$S108)))</f>
        <v/>
      </c>
      <c r="J108" s="72" t="str">
        <f>IF($S108="","",IF(INDEX(对接源_01水果!$AF$4:$AF$1203,$S108)=0,"",INDEX(对接源_01水果!$AF$4:$AF$1203,$S108)))</f>
        <v/>
      </c>
      <c r="K108" s="72" t="str">
        <f>IF($S108="","",IF(INDEX(对接源_01水果!$K$4:$K$1203,$S108)=0,"",INDEX(对接源_01水果!$K$4:$K$1203,$S108)))</f>
        <v/>
      </c>
      <c r="L108" s="70" t="str">
        <f>IF($S108="","",IF(INDEX(对接源_01水果!$L$4:$L$1203,$S108)=0,"",INDEX(对接源_01水果!$L$4:$L$1203,$S108)))</f>
        <v/>
      </c>
      <c r="M108" s="73" t="str">
        <f>IF($S108="","",IF(INDEX(对接源_01水果!$M$4:$M$1203,$S108)=0,"",INDEX(对接源_01水果!$M$4:$M$1203,$S108)))</f>
        <v/>
      </c>
      <c r="S10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9" ht="15.75" customHeight="1" spans="1:19">
      <c r="A109" s="70" t="str">
        <f>IF($S109="","",IF(INDEX(对接源_01水果!$B$4:$B$1203,$S109)=0,"",INDEX(对接源_01水果!$B$4:$B$1203,$S109)))</f>
        <v/>
      </c>
      <c r="B109" s="70" t="str">
        <f>IF($S109="","",IF(INDEX(对接源_01水果!$E$4:$E$1203,$S109)=0,"",INDEX(对接源_01水果!$E$4:$E$1203,$S109)))</f>
        <v/>
      </c>
      <c r="C109" s="70" t="str">
        <f>IF($S109="","",IF(INDEX(对接源_01水果!$F$4:$F$1203,$S109)=0,"",INDEX(对接源_01水果!$F$4:$F$1203,$S109)))</f>
        <v/>
      </c>
      <c r="D109" s="70" t="str">
        <f>IF($S109="","",IF(INDEX(对接源_01水果!$G$4:$G$1203,$S109)=0,"",INDEX(对接源_01水果!$G$4:$G$1203,$S109)))</f>
        <v/>
      </c>
      <c r="E109" s="70" t="str">
        <f>IF($S109="","",IF(INDEX(对接源_01水果!$H$4:$H$1203,$S109)=0,"",INDEX(对接源_01水果!$H$4:$H$1203,$S109)))</f>
        <v/>
      </c>
      <c r="F109" s="70" t="str">
        <f>IF($S109="","",IF(INDEX(对接源_01水果!$I$4:$I$1203,$S109)=0,"",INDEX(对接源_01水果!$I$4:$I$1203,$S109)))</f>
        <v/>
      </c>
      <c r="G109" s="72" t="str">
        <f>IF($S109="","",IF(INDEX(对接源_01水果!$AD$4:$AD$1203,$S109)=0,"",INDEX(对接源_01水果!$AD$4:$AD$1203,$S109)))</f>
        <v/>
      </c>
      <c r="H109" s="72" t="str">
        <f>IF($S109="","",IF(INDEX(对接源_01水果!$AI$4:$AI$1203,$S109)=0,"",INDEX(对接源_01水果!$AI$4:$AI$1203,$S109)))</f>
        <v/>
      </c>
      <c r="I109" s="72" t="str">
        <f>IF($S109="","",IF(INDEX(对接源_01水果!$AE$4:$AE$1203,$S109)=0,"",INDEX(对接源_01水果!$AE$4:$AE$1203,$S109)))</f>
        <v/>
      </c>
      <c r="J109" s="72" t="str">
        <f>IF($S109="","",IF(INDEX(对接源_01水果!$AF$4:$AF$1203,$S109)=0,"",INDEX(对接源_01水果!$AF$4:$AF$1203,$S109)))</f>
        <v/>
      </c>
      <c r="K109" s="72" t="str">
        <f>IF($S109="","",IF(INDEX(对接源_01水果!$K$4:$K$1203,$S109)=0,"",INDEX(对接源_01水果!$K$4:$K$1203,$S109)))</f>
        <v/>
      </c>
      <c r="L109" s="70" t="str">
        <f>IF($S109="","",IF(INDEX(对接源_01水果!$L$4:$L$1203,$S109)=0,"",INDEX(对接源_01水果!$L$4:$L$1203,$S109)))</f>
        <v/>
      </c>
      <c r="M109" s="73" t="str">
        <f>IF($S109="","",IF(INDEX(对接源_01水果!$M$4:$M$1203,$S109)=0,"",INDEX(对接源_01水果!$M$4:$M$1203,$S109)))</f>
        <v/>
      </c>
      <c r="S10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0" ht="15.75" customHeight="1" spans="1:19">
      <c r="A110" s="70" t="str">
        <f>IF($S110="","",IF(INDEX(对接源_01水果!$B$4:$B$1203,$S110)=0,"",INDEX(对接源_01水果!$B$4:$B$1203,$S110)))</f>
        <v/>
      </c>
      <c r="B110" s="70" t="str">
        <f>IF($S110="","",IF(INDEX(对接源_01水果!$E$4:$E$1203,$S110)=0,"",INDEX(对接源_01水果!$E$4:$E$1203,$S110)))</f>
        <v/>
      </c>
      <c r="C110" s="70" t="str">
        <f>IF($S110="","",IF(INDEX(对接源_01水果!$F$4:$F$1203,$S110)=0,"",INDEX(对接源_01水果!$F$4:$F$1203,$S110)))</f>
        <v/>
      </c>
      <c r="D110" s="70" t="str">
        <f>IF($S110="","",IF(INDEX(对接源_01水果!$G$4:$G$1203,$S110)=0,"",INDEX(对接源_01水果!$G$4:$G$1203,$S110)))</f>
        <v/>
      </c>
      <c r="E110" s="70" t="str">
        <f>IF($S110="","",IF(INDEX(对接源_01水果!$H$4:$H$1203,$S110)=0,"",INDEX(对接源_01水果!$H$4:$H$1203,$S110)))</f>
        <v/>
      </c>
      <c r="F110" s="70" t="str">
        <f>IF($S110="","",IF(INDEX(对接源_01水果!$I$4:$I$1203,$S110)=0,"",INDEX(对接源_01水果!$I$4:$I$1203,$S110)))</f>
        <v/>
      </c>
      <c r="G110" s="72" t="str">
        <f>IF($S110="","",IF(INDEX(对接源_01水果!$AD$4:$AD$1203,$S110)=0,"",INDEX(对接源_01水果!$AD$4:$AD$1203,$S110)))</f>
        <v/>
      </c>
      <c r="H110" s="72" t="str">
        <f>IF($S110="","",IF(INDEX(对接源_01水果!$AI$4:$AI$1203,$S110)=0,"",INDEX(对接源_01水果!$AI$4:$AI$1203,$S110)))</f>
        <v/>
      </c>
      <c r="I110" s="72" t="str">
        <f>IF($S110="","",IF(INDEX(对接源_01水果!$AE$4:$AE$1203,$S110)=0,"",INDEX(对接源_01水果!$AE$4:$AE$1203,$S110)))</f>
        <v/>
      </c>
      <c r="J110" s="72" t="str">
        <f>IF($S110="","",IF(INDEX(对接源_01水果!$AF$4:$AF$1203,$S110)=0,"",INDEX(对接源_01水果!$AF$4:$AF$1203,$S110)))</f>
        <v/>
      </c>
      <c r="K110" s="72" t="str">
        <f>IF($S110="","",IF(INDEX(对接源_01水果!$K$4:$K$1203,$S110)=0,"",INDEX(对接源_01水果!$K$4:$K$1203,$S110)))</f>
        <v/>
      </c>
      <c r="L110" s="70" t="str">
        <f>IF($S110="","",IF(INDEX(对接源_01水果!$L$4:$L$1203,$S110)=0,"",INDEX(对接源_01水果!$L$4:$L$1203,$S110)))</f>
        <v/>
      </c>
      <c r="M110" s="73" t="str">
        <f>IF($S110="","",IF(INDEX(对接源_01水果!$M$4:$M$1203,$S110)=0,"",INDEX(对接源_01水果!$M$4:$M$1203,$S110)))</f>
        <v/>
      </c>
      <c r="S11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1" ht="15.75" customHeight="1" spans="1:19">
      <c r="A111" s="70" t="str">
        <f>IF($S111="","",IF(INDEX(对接源_01水果!$B$4:$B$1203,$S111)=0,"",INDEX(对接源_01水果!$B$4:$B$1203,$S111)))</f>
        <v/>
      </c>
      <c r="B111" s="70" t="str">
        <f>IF($S111="","",IF(INDEX(对接源_01水果!$E$4:$E$1203,$S111)=0,"",INDEX(对接源_01水果!$E$4:$E$1203,$S111)))</f>
        <v/>
      </c>
      <c r="C111" s="70" t="str">
        <f>IF($S111="","",IF(INDEX(对接源_01水果!$F$4:$F$1203,$S111)=0,"",INDEX(对接源_01水果!$F$4:$F$1203,$S111)))</f>
        <v/>
      </c>
      <c r="D111" s="70" t="str">
        <f>IF($S111="","",IF(INDEX(对接源_01水果!$G$4:$G$1203,$S111)=0,"",INDEX(对接源_01水果!$G$4:$G$1203,$S111)))</f>
        <v/>
      </c>
      <c r="E111" s="70" t="str">
        <f>IF($S111="","",IF(INDEX(对接源_01水果!$H$4:$H$1203,$S111)=0,"",INDEX(对接源_01水果!$H$4:$H$1203,$S111)))</f>
        <v/>
      </c>
      <c r="F111" s="70" t="str">
        <f>IF($S111="","",IF(INDEX(对接源_01水果!$I$4:$I$1203,$S111)=0,"",INDEX(对接源_01水果!$I$4:$I$1203,$S111)))</f>
        <v/>
      </c>
      <c r="G111" s="72" t="str">
        <f>IF($S111="","",IF(INDEX(对接源_01水果!$AD$4:$AD$1203,$S111)=0,"",INDEX(对接源_01水果!$AD$4:$AD$1203,$S111)))</f>
        <v/>
      </c>
      <c r="H111" s="72" t="str">
        <f>IF($S111="","",IF(INDEX(对接源_01水果!$AI$4:$AI$1203,$S111)=0,"",INDEX(对接源_01水果!$AI$4:$AI$1203,$S111)))</f>
        <v/>
      </c>
      <c r="I111" s="72" t="str">
        <f>IF($S111="","",IF(INDEX(对接源_01水果!$AE$4:$AE$1203,$S111)=0,"",INDEX(对接源_01水果!$AE$4:$AE$1203,$S111)))</f>
        <v/>
      </c>
      <c r="J111" s="72" t="str">
        <f>IF($S111="","",IF(INDEX(对接源_01水果!$AF$4:$AF$1203,$S111)=0,"",INDEX(对接源_01水果!$AF$4:$AF$1203,$S111)))</f>
        <v/>
      </c>
      <c r="K111" s="72" t="str">
        <f>IF($S111="","",IF(INDEX(对接源_01水果!$K$4:$K$1203,$S111)=0,"",INDEX(对接源_01水果!$K$4:$K$1203,$S111)))</f>
        <v/>
      </c>
      <c r="L111" s="70" t="str">
        <f>IF($S111="","",IF(INDEX(对接源_01水果!$L$4:$L$1203,$S111)=0,"",INDEX(对接源_01水果!$L$4:$L$1203,$S111)))</f>
        <v/>
      </c>
      <c r="M111" s="73" t="str">
        <f>IF($S111="","",IF(INDEX(对接源_01水果!$M$4:$M$1203,$S111)=0,"",INDEX(对接源_01水果!$M$4:$M$1203,$S111)))</f>
        <v/>
      </c>
      <c r="S11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2" ht="15.75" customHeight="1" spans="1:19">
      <c r="A112" s="70" t="str">
        <f>IF($S112="","",IF(INDEX(对接源_01水果!$B$4:$B$1203,$S112)=0,"",INDEX(对接源_01水果!$B$4:$B$1203,$S112)))</f>
        <v/>
      </c>
      <c r="B112" s="70" t="str">
        <f>IF($S112="","",IF(INDEX(对接源_01水果!$E$4:$E$1203,$S112)=0,"",INDEX(对接源_01水果!$E$4:$E$1203,$S112)))</f>
        <v/>
      </c>
      <c r="C112" s="70" t="str">
        <f>IF($S112="","",IF(INDEX(对接源_01水果!$F$4:$F$1203,$S112)=0,"",INDEX(对接源_01水果!$F$4:$F$1203,$S112)))</f>
        <v/>
      </c>
      <c r="D112" s="70" t="str">
        <f>IF($S112="","",IF(INDEX(对接源_01水果!$G$4:$G$1203,$S112)=0,"",INDEX(对接源_01水果!$G$4:$G$1203,$S112)))</f>
        <v/>
      </c>
      <c r="E112" s="70" t="str">
        <f>IF($S112="","",IF(INDEX(对接源_01水果!$H$4:$H$1203,$S112)=0,"",INDEX(对接源_01水果!$H$4:$H$1203,$S112)))</f>
        <v/>
      </c>
      <c r="F112" s="70" t="str">
        <f>IF($S112="","",IF(INDEX(对接源_01水果!$I$4:$I$1203,$S112)=0,"",INDEX(对接源_01水果!$I$4:$I$1203,$S112)))</f>
        <v/>
      </c>
      <c r="G112" s="72" t="str">
        <f>IF($S112="","",IF(INDEX(对接源_01水果!$AD$4:$AD$1203,$S112)=0,"",INDEX(对接源_01水果!$AD$4:$AD$1203,$S112)))</f>
        <v/>
      </c>
      <c r="H112" s="72" t="str">
        <f>IF($S112="","",IF(INDEX(对接源_01水果!$AI$4:$AI$1203,$S112)=0,"",INDEX(对接源_01水果!$AI$4:$AI$1203,$S112)))</f>
        <v/>
      </c>
      <c r="I112" s="72" t="str">
        <f>IF($S112="","",IF(INDEX(对接源_01水果!$AE$4:$AE$1203,$S112)=0,"",INDEX(对接源_01水果!$AE$4:$AE$1203,$S112)))</f>
        <v/>
      </c>
      <c r="J112" s="72" t="str">
        <f>IF($S112="","",IF(INDEX(对接源_01水果!$AF$4:$AF$1203,$S112)=0,"",INDEX(对接源_01水果!$AF$4:$AF$1203,$S112)))</f>
        <v/>
      </c>
      <c r="K112" s="72" t="str">
        <f>IF($S112="","",IF(INDEX(对接源_01水果!$K$4:$K$1203,$S112)=0,"",INDEX(对接源_01水果!$K$4:$K$1203,$S112)))</f>
        <v/>
      </c>
      <c r="L112" s="70" t="str">
        <f>IF($S112="","",IF(INDEX(对接源_01水果!$L$4:$L$1203,$S112)=0,"",INDEX(对接源_01水果!$L$4:$L$1203,$S112)))</f>
        <v/>
      </c>
      <c r="M112" s="73" t="str">
        <f>IF($S112="","",IF(INDEX(对接源_01水果!$M$4:$M$1203,$S112)=0,"",INDEX(对接源_01水果!$M$4:$M$1203,$S112)))</f>
        <v/>
      </c>
      <c r="S11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3" ht="15.75" customHeight="1" spans="1:19">
      <c r="A113" s="70" t="str">
        <f>IF($S113="","",IF(INDEX(对接源_01水果!$B$4:$B$1203,$S113)=0,"",INDEX(对接源_01水果!$B$4:$B$1203,$S113)))</f>
        <v/>
      </c>
      <c r="B113" s="70" t="str">
        <f>IF($S113="","",IF(INDEX(对接源_01水果!$E$4:$E$1203,$S113)=0,"",INDEX(对接源_01水果!$E$4:$E$1203,$S113)))</f>
        <v/>
      </c>
      <c r="C113" s="70" t="str">
        <f>IF($S113="","",IF(INDEX(对接源_01水果!$F$4:$F$1203,$S113)=0,"",INDEX(对接源_01水果!$F$4:$F$1203,$S113)))</f>
        <v/>
      </c>
      <c r="D113" s="70" t="str">
        <f>IF($S113="","",IF(INDEX(对接源_01水果!$G$4:$G$1203,$S113)=0,"",INDEX(对接源_01水果!$G$4:$G$1203,$S113)))</f>
        <v/>
      </c>
      <c r="E113" s="70" t="str">
        <f>IF($S113="","",IF(INDEX(对接源_01水果!$H$4:$H$1203,$S113)=0,"",INDEX(对接源_01水果!$H$4:$H$1203,$S113)))</f>
        <v/>
      </c>
      <c r="F113" s="70" t="str">
        <f>IF($S113="","",IF(INDEX(对接源_01水果!$I$4:$I$1203,$S113)=0,"",INDEX(对接源_01水果!$I$4:$I$1203,$S113)))</f>
        <v/>
      </c>
      <c r="G113" s="72" t="str">
        <f>IF($S113="","",IF(INDEX(对接源_01水果!$AD$4:$AD$1203,$S113)=0,"",INDEX(对接源_01水果!$AD$4:$AD$1203,$S113)))</f>
        <v/>
      </c>
      <c r="H113" s="72" t="str">
        <f>IF($S113="","",IF(INDEX(对接源_01水果!$AI$4:$AI$1203,$S113)=0,"",INDEX(对接源_01水果!$AI$4:$AI$1203,$S113)))</f>
        <v/>
      </c>
      <c r="I113" s="72" t="str">
        <f>IF($S113="","",IF(INDEX(对接源_01水果!$AE$4:$AE$1203,$S113)=0,"",INDEX(对接源_01水果!$AE$4:$AE$1203,$S113)))</f>
        <v/>
      </c>
      <c r="J113" s="72" t="str">
        <f>IF($S113="","",IF(INDEX(对接源_01水果!$AF$4:$AF$1203,$S113)=0,"",INDEX(对接源_01水果!$AF$4:$AF$1203,$S113)))</f>
        <v/>
      </c>
      <c r="K113" s="72" t="str">
        <f>IF($S113="","",IF(INDEX(对接源_01水果!$K$4:$K$1203,$S113)=0,"",INDEX(对接源_01水果!$K$4:$K$1203,$S113)))</f>
        <v/>
      </c>
      <c r="L113" s="70" t="str">
        <f>IF($S113="","",IF(INDEX(对接源_01水果!$L$4:$L$1203,$S113)=0,"",INDEX(对接源_01水果!$L$4:$L$1203,$S113)))</f>
        <v/>
      </c>
      <c r="M113" s="73" t="str">
        <f>IF($S113="","",IF(INDEX(对接源_01水果!$M$4:$M$1203,$S113)=0,"",INDEX(对接源_01水果!$M$4:$M$1203,$S113)))</f>
        <v/>
      </c>
      <c r="S11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4" ht="15.75" customHeight="1" spans="1:19">
      <c r="A114" s="70" t="str">
        <f>IF($S114="","",IF(INDEX(对接源_01水果!$B$4:$B$1203,$S114)=0,"",INDEX(对接源_01水果!$B$4:$B$1203,$S114)))</f>
        <v/>
      </c>
      <c r="B114" s="70" t="str">
        <f>IF($S114="","",IF(INDEX(对接源_01水果!$E$4:$E$1203,$S114)=0,"",INDEX(对接源_01水果!$E$4:$E$1203,$S114)))</f>
        <v/>
      </c>
      <c r="C114" s="70" t="str">
        <f>IF($S114="","",IF(INDEX(对接源_01水果!$F$4:$F$1203,$S114)=0,"",INDEX(对接源_01水果!$F$4:$F$1203,$S114)))</f>
        <v/>
      </c>
      <c r="D114" s="70" t="str">
        <f>IF($S114="","",IF(INDEX(对接源_01水果!$G$4:$G$1203,$S114)=0,"",INDEX(对接源_01水果!$G$4:$G$1203,$S114)))</f>
        <v/>
      </c>
      <c r="E114" s="70" t="str">
        <f>IF($S114="","",IF(INDEX(对接源_01水果!$H$4:$H$1203,$S114)=0,"",INDEX(对接源_01水果!$H$4:$H$1203,$S114)))</f>
        <v/>
      </c>
      <c r="F114" s="70" t="str">
        <f>IF($S114="","",IF(INDEX(对接源_01水果!$I$4:$I$1203,$S114)=0,"",INDEX(对接源_01水果!$I$4:$I$1203,$S114)))</f>
        <v/>
      </c>
      <c r="G114" s="72" t="str">
        <f>IF($S114="","",IF(INDEX(对接源_01水果!$AD$4:$AD$1203,$S114)=0,"",INDEX(对接源_01水果!$AD$4:$AD$1203,$S114)))</f>
        <v/>
      </c>
      <c r="H114" s="72" t="str">
        <f>IF($S114="","",IF(INDEX(对接源_01水果!$AI$4:$AI$1203,$S114)=0,"",INDEX(对接源_01水果!$AI$4:$AI$1203,$S114)))</f>
        <v/>
      </c>
      <c r="I114" s="72" t="str">
        <f>IF($S114="","",IF(INDEX(对接源_01水果!$AE$4:$AE$1203,$S114)=0,"",INDEX(对接源_01水果!$AE$4:$AE$1203,$S114)))</f>
        <v/>
      </c>
      <c r="J114" s="72" t="str">
        <f>IF($S114="","",IF(INDEX(对接源_01水果!$AF$4:$AF$1203,$S114)=0,"",INDEX(对接源_01水果!$AF$4:$AF$1203,$S114)))</f>
        <v/>
      </c>
      <c r="K114" s="72" t="str">
        <f>IF($S114="","",IF(INDEX(对接源_01水果!$K$4:$K$1203,$S114)=0,"",INDEX(对接源_01水果!$K$4:$K$1203,$S114)))</f>
        <v/>
      </c>
      <c r="L114" s="70" t="str">
        <f>IF($S114="","",IF(INDEX(对接源_01水果!$L$4:$L$1203,$S114)=0,"",INDEX(对接源_01水果!$L$4:$L$1203,$S114)))</f>
        <v/>
      </c>
      <c r="M114" s="73" t="str">
        <f>IF($S114="","",IF(INDEX(对接源_01水果!$M$4:$M$1203,$S114)=0,"",INDEX(对接源_01水果!$M$4:$M$1203,$S114)))</f>
        <v/>
      </c>
      <c r="S11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5" ht="15.75" customHeight="1" spans="1:19">
      <c r="A115" s="70" t="str">
        <f>IF($S115="","",IF(INDEX(对接源_01水果!$B$4:$B$1203,$S115)=0,"",INDEX(对接源_01水果!$B$4:$B$1203,$S115)))</f>
        <v/>
      </c>
      <c r="B115" s="70" t="str">
        <f>IF($S115="","",IF(INDEX(对接源_01水果!$E$4:$E$1203,$S115)=0,"",INDEX(对接源_01水果!$E$4:$E$1203,$S115)))</f>
        <v/>
      </c>
      <c r="C115" s="70" t="str">
        <f>IF($S115="","",IF(INDEX(对接源_01水果!$F$4:$F$1203,$S115)=0,"",INDEX(对接源_01水果!$F$4:$F$1203,$S115)))</f>
        <v/>
      </c>
      <c r="D115" s="70" t="str">
        <f>IF($S115="","",IF(INDEX(对接源_01水果!$G$4:$G$1203,$S115)=0,"",INDEX(对接源_01水果!$G$4:$G$1203,$S115)))</f>
        <v/>
      </c>
      <c r="E115" s="70" t="str">
        <f>IF($S115="","",IF(INDEX(对接源_01水果!$H$4:$H$1203,$S115)=0,"",INDEX(对接源_01水果!$H$4:$H$1203,$S115)))</f>
        <v/>
      </c>
      <c r="F115" s="70" t="str">
        <f>IF($S115="","",IF(INDEX(对接源_01水果!$I$4:$I$1203,$S115)=0,"",INDEX(对接源_01水果!$I$4:$I$1203,$S115)))</f>
        <v/>
      </c>
      <c r="G115" s="72" t="str">
        <f>IF($S115="","",IF(INDEX(对接源_01水果!$AD$4:$AD$1203,$S115)=0,"",INDEX(对接源_01水果!$AD$4:$AD$1203,$S115)))</f>
        <v/>
      </c>
      <c r="H115" s="72" t="str">
        <f>IF($S115="","",IF(INDEX(对接源_01水果!$AI$4:$AI$1203,$S115)=0,"",INDEX(对接源_01水果!$AI$4:$AI$1203,$S115)))</f>
        <v/>
      </c>
      <c r="I115" s="72" t="str">
        <f>IF($S115="","",IF(INDEX(对接源_01水果!$AE$4:$AE$1203,$S115)=0,"",INDEX(对接源_01水果!$AE$4:$AE$1203,$S115)))</f>
        <v/>
      </c>
      <c r="J115" s="72" t="str">
        <f>IF($S115="","",IF(INDEX(对接源_01水果!$AF$4:$AF$1203,$S115)=0,"",INDEX(对接源_01水果!$AF$4:$AF$1203,$S115)))</f>
        <v/>
      </c>
      <c r="K115" s="72" t="str">
        <f>IF($S115="","",IF(INDEX(对接源_01水果!$K$4:$K$1203,$S115)=0,"",INDEX(对接源_01水果!$K$4:$K$1203,$S115)))</f>
        <v/>
      </c>
      <c r="L115" s="70" t="str">
        <f>IF($S115="","",IF(INDEX(对接源_01水果!$L$4:$L$1203,$S115)=0,"",INDEX(对接源_01水果!$L$4:$L$1203,$S115)))</f>
        <v/>
      </c>
      <c r="M115" s="73" t="str">
        <f>IF($S115="","",IF(INDEX(对接源_01水果!$M$4:$M$1203,$S115)=0,"",INDEX(对接源_01水果!$M$4:$M$1203,$S115)))</f>
        <v/>
      </c>
      <c r="S11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6" ht="15.75" customHeight="1" spans="1:19">
      <c r="A116" s="70" t="str">
        <f>IF($S116="","",IF(INDEX(对接源_01水果!$B$4:$B$1203,$S116)=0,"",INDEX(对接源_01水果!$B$4:$B$1203,$S116)))</f>
        <v/>
      </c>
      <c r="B116" s="70" t="str">
        <f>IF($S116="","",IF(INDEX(对接源_01水果!$E$4:$E$1203,$S116)=0,"",INDEX(对接源_01水果!$E$4:$E$1203,$S116)))</f>
        <v/>
      </c>
      <c r="C116" s="70" t="str">
        <f>IF($S116="","",IF(INDEX(对接源_01水果!$F$4:$F$1203,$S116)=0,"",INDEX(对接源_01水果!$F$4:$F$1203,$S116)))</f>
        <v/>
      </c>
      <c r="D116" s="70" t="str">
        <f>IF($S116="","",IF(INDEX(对接源_01水果!$G$4:$G$1203,$S116)=0,"",INDEX(对接源_01水果!$G$4:$G$1203,$S116)))</f>
        <v/>
      </c>
      <c r="E116" s="70" t="str">
        <f>IF($S116="","",IF(INDEX(对接源_01水果!$H$4:$H$1203,$S116)=0,"",INDEX(对接源_01水果!$H$4:$H$1203,$S116)))</f>
        <v/>
      </c>
      <c r="F116" s="70" t="str">
        <f>IF($S116="","",IF(INDEX(对接源_01水果!$I$4:$I$1203,$S116)=0,"",INDEX(对接源_01水果!$I$4:$I$1203,$S116)))</f>
        <v/>
      </c>
      <c r="G116" s="72" t="str">
        <f>IF($S116="","",IF(INDEX(对接源_01水果!$AD$4:$AD$1203,$S116)=0,"",INDEX(对接源_01水果!$AD$4:$AD$1203,$S116)))</f>
        <v/>
      </c>
      <c r="H116" s="72" t="str">
        <f>IF($S116="","",IF(INDEX(对接源_01水果!$AI$4:$AI$1203,$S116)=0,"",INDEX(对接源_01水果!$AI$4:$AI$1203,$S116)))</f>
        <v/>
      </c>
      <c r="I116" s="72" t="str">
        <f>IF($S116="","",IF(INDEX(对接源_01水果!$AE$4:$AE$1203,$S116)=0,"",INDEX(对接源_01水果!$AE$4:$AE$1203,$S116)))</f>
        <v/>
      </c>
      <c r="J116" s="72" t="str">
        <f>IF($S116="","",IF(INDEX(对接源_01水果!$AF$4:$AF$1203,$S116)=0,"",INDEX(对接源_01水果!$AF$4:$AF$1203,$S116)))</f>
        <v/>
      </c>
      <c r="K116" s="72" t="str">
        <f>IF($S116="","",IF(INDEX(对接源_01水果!$K$4:$K$1203,$S116)=0,"",INDEX(对接源_01水果!$K$4:$K$1203,$S116)))</f>
        <v/>
      </c>
      <c r="L116" s="70" t="str">
        <f>IF($S116="","",IF(INDEX(对接源_01水果!$L$4:$L$1203,$S116)=0,"",INDEX(对接源_01水果!$L$4:$L$1203,$S116)))</f>
        <v/>
      </c>
      <c r="M116" s="73" t="str">
        <f>IF($S116="","",IF(INDEX(对接源_01水果!$M$4:$M$1203,$S116)=0,"",INDEX(对接源_01水果!$M$4:$M$1203,$S116)))</f>
        <v/>
      </c>
      <c r="S11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7" ht="15.75" customHeight="1" spans="1:19">
      <c r="A117" s="70" t="str">
        <f>IF($S117="","",IF(INDEX(对接源_01水果!$B$4:$B$1203,$S117)=0,"",INDEX(对接源_01水果!$B$4:$B$1203,$S117)))</f>
        <v/>
      </c>
      <c r="B117" s="70" t="str">
        <f>IF($S117="","",IF(INDEX(对接源_01水果!$E$4:$E$1203,$S117)=0,"",INDEX(对接源_01水果!$E$4:$E$1203,$S117)))</f>
        <v/>
      </c>
      <c r="C117" s="70" t="str">
        <f>IF($S117="","",IF(INDEX(对接源_01水果!$F$4:$F$1203,$S117)=0,"",INDEX(对接源_01水果!$F$4:$F$1203,$S117)))</f>
        <v/>
      </c>
      <c r="D117" s="70" t="str">
        <f>IF($S117="","",IF(INDEX(对接源_01水果!$G$4:$G$1203,$S117)=0,"",INDEX(对接源_01水果!$G$4:$G$1203,$S117)))</f>
        <v/>
      </c>
      <c r="E117" s="70" t="str">
        <f>IF($S117="","",IF(INDEX(对接源_01水果!$H$4:$H$1203,$S117)=0,"",INDEX(对接源_01水果!$H$4:$H$1203,$S117)))</f>
        <v/>
      </c>
      <c r="F117" s="70" t="str">
        <f>IF($S117="","",IF(INDEX(对接源_01水果!$I$4:$I$1203,$S117)=0,"",INDEX(对接源_01水果!$I$4:$I$1203,$S117)))</f>
        <v/>
      </c>
      <c r="G117" s="72" t="str">
        <f>IF($S117="","",IF(INDEX(对接源_01水果!$AD$4:$AD$1203,$S117)=0,"",INDEX(对接源_01水果!$AD$4:$AD$1203,$S117)))</f>
        <v/>
      </c>
      <c r="H117" s="72" t="str">
        <f>IF($S117="","",IF(INDEX(对接源_01水果!$AI$4:$AI$1203,$S117)=0,"",INDEX(对接源_01水果!$AI$4:$AI$1203,$S117)))</f>
        <v/>
      </c>
      <c r="I117" s="72" t="str">
        <f>IF($S117="","",IF(INDEX(对接源_01水果!$AE$4:$AE$1203,$S117)=0,"",INDEX(对接源_01水果!$AE$4:$AE$1203,$S117)))</f>
        <v/>
      </c>
      <c r="J117" s="72" t="str">
        <f>IF($S117="","",IF(INDEX(对接源_01水果!$AF$4:$AF$1203,$S117)=0,"",INDEX(对接源_01水果!$AF$4:$AF$1203,$S117)))</f>
        <v/>
      </c>
      <c r="K117" s="72" t="str">
        <f>IF($S117="","",IF(INDEX(对接源_01水果!$K$4:$K$1203,$S117)=0,"",INDEX(对接源_01水果!$K$4:$K$1203,$S117)))</f>
        <v/>
      </c>
      <c r="L117" s="70" t="str">
        <f>IF($S117="","",IF(INDEX(对接源_01水果!$L$4:$L$1203,$S117)=0,"",INDEX(对接源_01水果!$L$4:$L$1203,$S117)))</f>
        <v/>
      </c>
      <c r="M117" s="73" t="str">
        <f>IF($S117="","",IF(INDEX(对接源_01水果!$M$4:$M$1203,$S117)=0,"",INDEX(对接源_01水果!$M$4:$M$1203,$S117)))</f>
        <v/>
      </c>
      <c r="S11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8" ht="15.75" customHeight="1" spans="1:19">
      <c r="A118" s="70" t="str">
        <f>IF($S118="","",IF(INDEX(对接源_01水果!$B$4:$B$1203,$S118)=0,"",INDEX(对接源_01水果!$B$4:$B$1203,$S118)))</f>
        <v/>
      </c>
      <c r="B118" s="70" t="str">
        <f>IF($S118="","",IF(INDEX(对接源_01水果!$E$4:$E$1203,$S118)=0,"",INDEX(对接源_01水果!$E$4:$E$1203,$S118)))</f>
        <v/>
      </c>
      <c r="C118" s="70" t="str">
        <f>IF($S118="","",IF(INDEX(对接源_01水果!$F$4:$F$1203,$S118)=0,"",INDEX(对接源_01水果!$F$4:$F$1203,$S118)))</f>
        <v/>
      </c>
      <c r="D118" s="70" t="str">
        <f>IF($S118="","",IF(INDEX(对接源_01水果!$G$4:$G$1203,$S118)=0,"",INDEX(对接源_01水果!$G$4:$G$1203,$S118)))</f>
        <v/>
      </c>
      <c r="E118" s="70" t="str">
        <f>IF($S118="","",IF(INDEX(对接源_01水果!$H$4:$H$1203,$S118)=0,"",INDEX(对接源_01水果!$H$4:$H$1203,$S118)))</f>
        <v/>
      </c>
      <c r="F118" s="70" t="str">
        <f>IF($S118="","",IF(INDEX(对接源_01水果!$I$4:$I$1203,$S118)=0,"",INDEX(对接源_01水果!$I$4:$I$1203,$S118)))</f>
        <v/>
      </c>
      <c r="G118" s="72" t="str">
        <f>IF($S118="","",IF(INDEX(对接源_01水果!$AD$4:$AD$1203,$S118)=0,"",INDEX(对接源_01水果!$AD$4:$AD$1203,$S118)))</f>
        <v/>
      </c>
      <c r="H118" s="72" t="str">
        <f>IF($S118="","",IF(INDEX(对接源_01水果!$AI$4:$AI$1203,$S118)=0,"",INDEX(对接源_01水果!$AI$4:$AI$1203,$S118)))</f>
        <v/>
      </c>
      <c r="I118" s="72" t="str">
        <f>IF($S118="","",IF(INDEX(对接源_01水果!$AE$4:$AE$1203,$S118)=0,"",INDEX(对接源_01水果!$AE$4:$AE$1203,$S118)))</f>
        <v/>
      </c>
      <c r="J118" s="72" t="str">
        <f>IF($S118="","",IF(INDEX(对接源_01水果!$AF$4:$AF$1203,$S118)=0,"",INDEX(对接源_01水果!$AF$4:$AF$1203,$S118)))</f>
        <v/>
      </c>
      <c r="K118" s="72" t="str">
        <f>IF($S118="","",IF(INDEX(对接源_01水果!$K$4:$K$1203,$S118)=0,"",INDEX(对接源_01水果!$K$4:$K$1203,$S118)))</f>
        <v/>
      </c>
      <c r="L118" s="70" t="str">
        <f>IF($S118="","",IF(INDEX(对接源_01水果!$L$4:$L$1203,$S118)=0,"",INDEX(对接源_01水果!$L$4:$L$1203,$S118)))</f>
        <v/>
      </c>
      <c r="M118" s="73" t="str">
        <f>IF($S118="","",IF(INDEX(对接源_01水果!$M$4:$M$1203,$S118)=0,"",INDEX(对接源_01水果!$M$4:$M$1203,$S118)))</f>
        <v/>
      </c>
      <c r="S11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9" ht="15.75" customHeight="1" spans="1:19">
      <c r="A119" s="70" t="str">
        <f>IF($S119="","",IF(INDEX(对接源_01水果!$B$4:$B$1203,$S119)=0,"",INDEX(对接源_01水果!$B$4:$B$1203,$S119)))</f>
        <v/>
      </c>
      <c r="B119" s="70" t="str">
        <f>IF($S119="","",IF(INDEX(对接源_01水果!$E$4:$E$1203,$S119)=0,"",INDEX(对接源_01水果!$E$4:$E$1203,$S119)))</f>
        <v/>
      </c>
      <c r="C119" s="70" t="str">
        <f>IF($S119="","",IF(INDEX(对接源_01水果!$F$4:$F$1203,$S119)=0,"",INDEX(对接源_01水果!$F$4:$F$1203,$S119)))</f>
        <v/>
      </c>
      <c r="D119" s="70" t="str">
        <f>IF($S119="","",IF(INDEX(对接源_01水果!$G$4:$G$1203,$S119)=0,"",INDEX(对接源_01水果!$G$4:$G$1203,$S119)))</f>
        <v/>
      </c>
      <c r="E119" s="70" t="str">
        <f>IF($S119="","",IF(INDEX(对接源_01水果!$H$4:$H$1203,$S119)=0,"",INDEX(对接源_01水果!$H$4:$H$1203,$S119)))</f>
        <v/>
      </c>
      <c r="F119" s="70" t="str">
        <f>IF($S119="","",IF(INDEX(对接源_01水果!$I$4:$I$1203,$S119)=0,"",INDEX(对接源_01水果!$I$4:$I$1203,$S119)))</f>
        <v/>
      </c>
      <c r="G119" s="72" t="str">
        <f>IF($S119="","",IF(INDEX(对接源_01水果!$AD$4:$AD$1203,$S119)=0,"",INDEX(对接源_01水果!$AD$4:$AD$1203,$S119)))</f>
        <v/>
      </c>
      <c r="H119" s="72" t="str">
        <f>IF($S119="","",IF(INDEX(对接源_01水果!$AI$4:$AI$1203,$S119)=0,"",INDEX(对接源_01水果!$AI$4:$AI$1203,$S119)))</f>
        <v/>
      </c>
      <c r="I119" s="72" t="str">
        <f>IF($S119="","",IF(INDEX(对接源_01水果!$AE$4:$AE$1203,$S119)=0,"",INDEX(对接源_01水果!$AE$4:$AE$1203,$S119)))</f>
        <v/>
      </c>
      <c r="J119" s="72" t="str">
        <f>IF($S119="","",IF(INDEX(对接源_01水果!$AF$4:$AF$1203,$S119)=0,"",INDEX(对接源_01水果!$AF$4:$AF$1203,$S119)))</f>
        <v/>
      </c>
      <c r="K119" s="72" t="str">
        <f>IF($S119="","",IF(INDEX(对接源_01水果!$K$4:$K$1203,$S119)=0,"",INDEX(对接源_01水果!$K$4:$K$1203,$S119)))</f>
        <v/>
      </c>
      <c r="L119" s="70" t="str">
        <f>IF($S119="","",IF(INDEX(对接源_01水果!$L$4:$L$1203,$S119)=0,"",INDEX(对接源_01水果!$L$4:$L$1203,$S119)))</f>
        <v/>
      </c>
      <c r="M119" s="73" t="str">
        <f>IF($S119="","",IF(INDEX(对接源_01水果!$M$4:$M$1203,$S119)=0,"",INDEX(对接源_01水果!$M$4:$M$1203,$S119)))</f>
        <v/>
      </c>
      <c r="S11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0" ht="15.75" customHeight="1" spans="1:19">
      <c r="A120" s="70" t="str">
        <f>IF($S120="","",IF(INDEX(对接源_01水果!$B$4:$B$1203,$S120)=0,"",INDEX(对接源_01水果!$B$4:$B$1203,$S120)))</f>
        <v/>
      </c>
      <c r="B120" s="70" t="str">
        <f>IF($S120="","",IF(INDEX(对接源_01水果!$E$4:$E$1203,$S120)=0,"",INDEX(对接源_01水果!$E$4:$E$1203,$S120)))</f>
        <v/>
      </c>
      <c r="C120" s="70" t="str">
        <f>IF($S120="","",IF(INDEX(对接源_01水果!$F$4:$F$1203,$S120)=0,"",INDEX(对接源_01水果!$F$4:$F$1203,$S120)))</f>
        <v/>
      </c>
      <c r="D120" s="70" t="str">
        <f>IF($S120="","",IF(INDEX(对接源_01水果!$G$4:$G$1203,$S120)=0,"",INDEX(对接源_01水果!$G$4:$G$1203,$S120)))</f>
        <v/>
      </c>
      <c r="E120" s="70" t="str">
        <f>IF($S120="","",IF(INDEX(对接源_01水果!$H$4:$H$1203,$S120)=0,"",INDEX(对接源_01水果!$H$4:$H$1203,$S120)))</f>
        <v/>
      </c>
      <c r="F120" s="70" t="str">
        <f>IF($S120="","",IF(INDEX(对接源_01水果!$I$4:$I$1203,$S120)=0,"",INDEX(对接源_01水果!$I$4:$I$1203,$S120)))</f>
        <v/>
      </c>
      <c r="G120" s="72" t="str">
        <f>IF($S120="","",IF(INDEX(对接源_01水果!$AD$4:$AD$1203,$S120)=0,"",INDEX(对接源_01水果!$AD$4:$AD$1203,$S120)))</f>
        <v/>
      </c>
      <c r="H120" s="72" t="str">
        <f>IF($S120="","",IF(INDEX(对接源_01水果!$AI$4:$AI$1203,$S120)=0,"",INDEX(对接源_01水果!$AI$4:$AI$1203,$S120)))</f>
        <v/>
      </c>
      <c r="I120" s="72" t="str">
        <f>IF($S120="","",IF(INDEX(对接源_01水果!$AE$4:$AE$1203,$S120)=0,"",INDEX(对接源_01水果!$AE$4:$AE$1203,$S120)))</f>
        <v/>
      </c>
      <c r="J120" s="72" t="str">
        <f>IF($S120="","",IF(INDEX(对接源_01水果!$AF$4:$AF$1203,$S120)=0,"",INDEX(对接源_01水果!$AF$4:$AF$1203,$S120)))</f>
        <v/>
      </c>
      <c r="K120" s="72" t="str">
        <f>IF($S120="","",IF(INDEX(对接源_01水果!$K$4:$K$1203,$S120)=0,"",INDEX(对接源_01水果!$K$4:$K$1203,$S120)))</f>
        <v/>
      </c>
      <c r="L120" s="70" t="str">
        <f>IF($S120="","",IF(INDEX(对接源_01水果!$L$4:$L$1203,$S120)=0,"",INDEX(对接源_01水果!$L$4:$L$1203,$S120)))</f>
        <v/>
      </c>
      <c r="M120" s="73" t="str">
        <f>IF($S120="","",IF(INDEX(对接源_01水果!$M$4:$M$1203,$S120)=0,"",INDEX(对接源_01水果!$M$4:$M$1203,$S120)))</f>
        <v/>
      </c>
      <c r="S12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1" ht="15.75" customHeight="1" spans="1:19">
      <c r="A121" s="70" t="str">
        <f>IF($S121="","",IF(INDEX(对接源_01水果!$B$4:$B$1203,$S121)=0,"",INDEX(对接源_01水果!$B$4:$B$1203,$S121)))</f>
        <v/>
      </c>
      <c r="B121" s="70" t="str">
        <f>IF($S121="","",IF(INDEX(对接源_01水果!$E$4:$E$1203,$S121)=0,"",INDEX(对接源_01水果!$E$4:$E$1203,$S121)))</f>
        <v/>
      </c>
      <c r="C121" s="70" t="str">
        <f>IF($S121="","",IF(INDEX(对接源_01水果!$F$4:$F$1203,$S121)=0,"",INDEX(对接源_01水果!$F$4:$F$1203,$S121)))</f>
        <v/>
      </c>
      <c r="D121" s="70" t="str">
        <f>IF($S121="","",IF(INDEX(对接源_01水果!$G$4:$G$1203,$S121)=0,"",INDEX(对接源_01水果!$G$4:$G$1203,$S121)))</f>
        <v/>
      </c>
      <c r="E121" s="70" t="str">
        <f>IF($S121="","",IF(INDEX(对接源_01水果!$H$4:$H$1203,$S121)=0,"",INDEX(对接源_01水果!$H$4:$H$1203,$S121)))</f>
        <v/>
      </c>
      <c r="F121" s="70" t="str">
        <f>IF($S121="","",IF(INDEX(对接源_01水果!$I$4:$I$1203,$S121)=0,"",INDEX(对接源_01水果!$I$4:$I$1203,$S121)))</f>
        <v/>
      </c>
      <c r="G121" s="72" t="str">
        <f>IF($S121="","",IF(INDEX(对接源_01水果!$AD$4:$AD$1203,$S121)=0,"",INDEX(对接源_01水果!$AD$4:$AD$1203,$S121)))</f>
        <v/>
      </c>
      <c r="H121" s="72" t="str">
        <f>IF($S121="","",IF(INDEX(对接源_01水果!$AI$4:$AI$1203,$S121)=0,"",INDEX(对接源_01水果!$AI$4:$AI$1203,$S121)))</f>
        <v/>
      </c>
      <c r="I121" s="72" t="str">
        <f>IF($S121="","",IF(INDEX(对接源_01水果!$AE$4:$AE$1203,$S121)=0,"",INDEX(对接源_01水果!$AE$4:$AE$1203,$S121)))</f>
        <v/>
      </c>
      <c r="J121" s="72" t="str">
        <f>IF($S121="","",IF(INDEX(对接源_01水果!$AF$4:$AF$1203,$S121)=0,"",INDEX(对接源_01水果!$AF$4:$AF$1203,$S121)))</f>
        <v/>
      </c>
      <c r="K121" s="72" t="str">
        <f>IF($S121="","",IF(INDEX(对接源_01水果!$K$4:$K$1203,$S121)=0,"",INDEX(对接源_01水果!$K$4:$K$1203,$S121)))</f>
        <v/>
      </c>
      <c r="L121" s="70" t="str">
        <f>IF($S121="","",IF(INDEX(对接源_01水果!$L$4:$L$1203,$S121)=0,"",INDEX(对接源_01水果!$L$4:$L$1203,$S121)))</f>
        <v/>
      </c>
      <c r="M121" s="73" t="str">
        <f>IF($S121="","",IF(INDEX(对接源_01水果!$M$4:$M$1203,$S121)=0,"",INDEX(对接源_01水果!$M$4:$M$1203,$S121)))</f>
        <v/>
      </c>
      <c r="S12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2" ht="15.75" customHeight="1" spans="1:19">
      <c r="A122" s="70" t="str">
        <f>IF($S122="","",IF(INDEX(对接源_01水果!$B$4:$B$1203,$S122)=0,"",INDEX(对接源_01水果!$B$4:$B$1203,$S122)))</f>
        <v/>
      </c>
      <c r="B122" s="70" t="str">
        <f>IF($S122="","",IF(INDEX(对接源_01水果!$E$4:$E$1203,$S122)=0,"",INDEX(对接源_01水果!$E$4:$E$1203,$S122)))</f>
        <v/>
      </c>
      <c r="C122" s="70" t="str">
        <f>IF($S122="","",IF(INDEX(对接源_01水果!$F$4:$F$1203,$S122)=0,"",INDEX(对接源_01水果!$F$4:$F$1203,$S122)))</f>
        <v/>
      </c>
      <c r="D122" s="70" t="str">
        <f>IF($S122="","",IF(INDEX(对接源_01水果!$G$4:$G$1203,$S122)=0,"",INDEX(对接源_01水果!$G$4:$G$1203,$S122)))</f>
        <v/>
      </c>
      <c r="E122" s="70" t="str">
        <f>IF($S122="","",IF(INDEX(对接源_01水果!$H$4:$H$1203,$S122)=0,"",INDEX(对接源_01水果!$H$4:$H$1203,$S122)))</f>
        <v/>
      </c>
      <c r="F122" s="70" t="str">
        <f>IF($S122="","",IF(INDEX(对接源_01水果!$I$4:$I$1203,$S122)=0,"",INDEX(对接源_01水果!$I$4:$I$1203,$S122)))</f>
        <v/>
      </c>
      <c r="G122" s="72" t="str">
        <f>IF($S122="","",IF(INDEX(对接源_01水果!$AD$4:$AD$1203,$S122)=0,"",INDEX(对接源_01水果!$AD$4:$AD$1203,$S122)))</f>
        <v/>
      </c>
      <c r="H122" s="72" t="str">
        <f>IF($S122="","",IF(INDEX(对接源_01水果!$AI$4:$AI$1203,$S122)=0,"",INDEX(对接源_01水果!$AI$4:$AI$1203,$S122)))</f>
        <v/>
      </c>
      <c r="I122" s="72" t="str">
        <f>IF($S122="","",IF(INDEX(对接源_01水果!$AE$4:$AE$1203,$S122)=0,"",INDEX(对接源_01水果!$AE$4:$AE$1203,$S122)))</f>
        <v/>
      </c>
      <c r="J122" s="72" t="str">
        <f>IF($S122="","",IF(INDEX(对接源_01水果!$AF$4:$AF$1203,$S122)=0,"",INDEX(对接源_01水果!$AF$4:$AF$1203,$S122)))</f>
        <v/>
      </c>
      <c r="K122" s="72" t="str">
        <f>IF($S122="","",IF(INDEX(对接源_01水果!$K$4:$K$1203,$S122)=0,"",INDEX(对接源_01水果!$K$4:$K$1203,$S122)))</f>
        <v/>
      </c>
      <c r="L122" s="70" t="str">
        <f>IF($S122="","",IF(INDEX(对接源_01水果!$L$4:$L$1203,$S122)=0,"",INDEX(对接源_01水果!$L$4:$L$1203,$S122)))</f>
        <v/>
      </c>
      <c r="M122" s="73" t="str">
        <f>IF($S122="","",IF(INDEX(对接源_01水果!$M$4:$M$1203,$S122)=0,"",INDEX(对接源_01水果!$M$4:$M$1203,$S122)))</f>
        <v/>
      </c>
      <c r="S12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3" ht="15.75" customHeight="1" spans="1:19">
      <c r="A123" s="70" t="str">
        <f>IF($S123="","",IF(INDEX(对接源_01水果!$B$4:$B$1203,$S123)=0,"",INDEX(对接源_01水果!$B$4:$B$1203,$S123)))</f>
        <v/>
      </c>
      <c r="B123" s="70" t="str">
        <f>IF($S123="","",IF(INDEX(对接源_01水果!$E$4:$E$1203,$S123)=0,"",INDEX(对接源_01水果!$E$4:$E$1203,$S123)))</f>
        <v/>
      </c>
      <c r="C123" s="70" t="str">
        <f>IF($S123="","",IF(INDEX(对接源_01水果!$F$4:$F$1203,$S123)=0,"",INDEX(对接源_01水果!$F$4:$F$1203,$S123)))</f>
        <v/>
      </c>
      <c r="D123" s="70" t="str">
        <f>IF($S123="","",IF(INDEX(对接源_01水果!$G$4:$G$1203,$S123)=0,"",INDEX(对接源_01水果!$G$4:$G$1203,$S123)))</f>
        <v/>
      </c>
      <c r="E123" s="70" t="str">
        <f>IF($S123="","",IF(INDEX(对接源_01水果!$H$4:$H$1203,$S123)=0,"",INDEX(对接源_01水果!$H$4:$H$1203,$S123)))</f>
        <v/>
      </c>
      <c r="F123" s="70" t="str">
        <f>IF($S123="","",IF(INDEX(对接源_01水果!$I$4:$I$1203,$S123)=0,"",INDEX(对接源_01水果!$I$4:$I$1203,$S123)))</f>
        <v/>
      </c>
      <c r="G123" s="72" t="str">
        <f>IF($S123="","",IF(INDEX(对接源_01水果!$AD$4:$AD$1203,$S123)=0,"",INDEX(对接源_01水果!$AD$4:$AD$1203,$S123)))</f>
        <v/>
      </c>
      <c r="H123" s="72" t="str">
        <f>IF($S123="","",IF(INDEX(对接源_01水果!$AI$4:$AI$1203,$S123)=0,"",INDEX(对接源_01水果!$AI$4:$AI$1203,$S123)))</f>
        <v/>
      </c>
      <c r="I123" s="72" t="str">
        <f>IF($S123="","",IF(INDEX(对接源_01水果!$AE$4:$AE$1203,$S123)=0,"",INDEX(对接源_01水果!$AE$4:$AE$1203,$S123)))</f>
        <v/>
      </c>
      <c r="J123" s="72" t="str">
        <f>IF($S123="","",IF(INDEX(对接源_01水果!$AF$4:$AF$1203,$S123)=0,"",INDEX(对接源_01水果!$AF$4:$AF$1203,$S123)))</f>
        <v/>
      </c>
      <c r="K123" s="72" t="str">
        <f>IF($S123="","",IF(INDEX(对接源_01水果!$K$4:$K$1203,$S123)=0,"",INDEX(对接源_01水果!$K$4:$K$1203,$S123)))</f>
        <v/>
      </c>
      <c r="L123" s="70" t="str">
        <f>IF($S123="","",IF(INDEX(对接源_01水果!$L$4:$L$1203,$S123)=0,"",INDEX(对接源_01水果!$L$4:$L$1203,$S123)))</f>
        <v/>
      </c>
      <c r="M123" s="73" t="str">
        <f>IF($S123="","",IF(INDEX(对接源_01水果!$M$4:$M$1203,$S123)=0,"",INDEX(对接源_01水果!$M$4:$M$1203,$S123)))</f>
        <v/>
      </c>
      <c r="S12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4" ht="15.75" customHeight="1" spans="1:19">
      <c r="A124" s="70" t="str">
        <f>IF($S124="","",IF(INDEX(对接源_01水果!$B$4:$B$1203,$S124)=0,"",INDEX(对接源_01水果!$B$4:$B$1203,$S124)))</f>
        <v/>
      </c>
      <c r="B124" s="70" t="str">
        <f>IF($S124="","",IF(INDEX(对接源_01水果!$E$4:$E$1203,$S124)=0,"",INDEX(对接源_01水果!$E$4:$E$1203,$S124)))</f>
        <v/>
      </c>
      <c r="C124" s="70" t="str">
        <f>IF($S124="","",IF(INDEX(对接源_01水果!$F$4:$F$1203,$S124)=0,"",INDEX(对接源_01水果!$F$4:$F$1203,$S124)))</f>
        <v/>
      </c>
      <c r="D124" s="70" t="str">
        <f>IF($S124="","",IF(INDEX(对接源_01水果!$G$4:$G$1203,$S124)=0,"",INDEX(对接源_01水果!$G$4:$G$1203,$S124)))</f>
        <v/>
      </c>
      <c r="E124" s="70" t="str">
        <f>IF($S124="","",IF(INDEX(对接源_01水果!$H$4:$H$1203,$S124)=0,"",INDEX(对接源_01水果!$H$4:$H$1203,$S124)))</f>
        <v/>
      </c>
      <c r="F124" s="70" t="str">
        <f>IF($S124="","",IF(INDEX(对接源_01水果!$I$4:$I$1203,$S124)=0,"",INDEX(对接源_01水果!$I$4:$I$1203,$S124)))</f>
        <v/>
      </c>
      <c r="G124" s="72" t="str">
        <f>IF($S124="","",IF(INDEX(对接源_01水果!$AD$4:$AD$1203,$S124)=0,"",INDEX(对接源_01水果!$AD$4:$AD$1203,$S124)))</f>
        <v/>
      </c>
      <c r="H124" s="72" t="str">
        <f>IF($S124="","",IF(INDEX(对接源_01水果!$AI$4:$AI$1203,$S124)=0,"",INDEX(对接源_01水果!$AI$4:$AI$1203,$S124)))</f>
        <v/>
      </c>
      <c r="I124" s="72" t="str">
        <f>IF($S124="","",IF(INDEX(对接源_01水果!$AE$4:$AE$1203,$S124)=0,"",INDEX(对接源_01水果!$AE$4:$AE$1203,$S124)))</f>
        <v/>
      </c>
      <c r="J124" s="72" t="str">
        <f>IF($S124="","",IF(INDEX(对接源_01水果!$AF$4:$AF$1203,$S124)=0,"",INDEX(对接源_01水果!$AF$4:$AF$1203,$S124)))</f>
        <v/>
      </c>
      <c r="K124" s="72" t="str">
        <f>IF($S124="","",IF(INDEX(对接源_01水果!$K$4:$K$1203,$S124)=0,"",INDEX(对接源_01水果!$K$4:$K$1203,$S124)))</f>
        <v/>
      </c>
      <c r="L124" s="70" t="str">
        <f>IF($S124="","",IF(INDEX(对接源_01水果!$L$4:$L$1203,$S124)=0,"",INDEX(对接源_01水果!$L$4:$L$1203,$S124)))</f>
        <v/>
      </c>
      <c r="M124" s="73" t="str">
        <f>IF($S124="","",IF(INDEX(对接源_01水果!$M$4:$M$1203,$S124)=0,"",INDEX(对接源_01水果!$M$4:$M$1203,$S124)))</f>
        <v/>
      </c>
      <c r="S12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5" ht="15.75" customHeight="1" spans="1:19">
      <c r="A125" s="70" t="str">
        <f>IF($S125="","",IF(INDEX(对接源_01水果!$B$4:$B$1203,$S125)=0,"",INDEX(对接源_01水果!$B$4:$B$1203,$S125)))</f>
        <v/>
      </c>
      <c r="B125" s="70" t="str">
        <f>IF($S125="","",IF(INDEX(对接源_01水果!$E$4:$E$1203,$S125)=0,"",INDEX(对接源_01水果!$E$4:$E$1203,$S125)))</f>
        <v/>
      </c>
      <c r="C125" s="70" t="str">
        <f>IF($S125="","",IF(INDEX(对接源_01水果!$F$4:$F$1203,$S125)=0,"",INDEX(对接源_01水果!$F$4:$F$1203,$S125)))</f>
        <v/>
      </c>
      <c r="D125" s="70" t="str">
        <f>IF($S125="","",IF(INDEX(对接源_01水果!$G$4:$G$1203,$S125)=0,"",INDEX(对接源_01水果!$G$4:$G$1203,$S125)))</f>
        <v/>
      </c>
      <c r="E125" s="70" t="str">
        <f>IF($S125="","",IF(INDEX(对接源_01水果!$H$4:$H$1203,$S125)=0,"",INDEX(对接源_01水果!$H$4:$H$1203,$S125)))</f>
        <v/>
      </c>
      <c r="F125" s="70" t="str">
        <f>IF($S125="","",IF(INDEX(对接源_01水果!$I$4:$I$1203,$S125)=0,"",INDEX(对接源_01水果!$I$4:$I$1203,$S125)))</f>
        <v/>
      </c>
      <c r="G125" s="72" t="str">
        <f>IF($S125="","",IF(INDEX(对接源_01水果!$AD$4:$AD$1203,$S125)=0,"",INDEX(对接源_01水果!$AD$4:$AD$1203,$S125)))</f>
        <v/>
      </c>
      <c r="H125" s="72" t="str">
        <f>IF($S125="","",IF(INDEX(对接源_01水果!$AI$4:$AI$1203,$S125)=0,"",INDEX(对接源_01水果!$AI$4:$AI$1203,$S125)))</f>
        <v/>
      </c>
      <c r="I125" s="72" t="str">
        <f>IF($S125="","",IF(INDEX(对接源_01水果!$AE$4:$AE$1203,$S125)=0,"",INDEX(对接源_01水果!$AE$4:$AE$1203,$S125)))</f>
        <v/>
      </c>
      <c r="J125" s="72" t="str">
        <f>IF($S125="","",IF(INDEX(对接源_01水果!$AF$4:$AF$1203,$S125)=0,"",INDEX(对接源_01水果!$AF$4:$AF$1203,$S125)))</f>
        <v/>
      </c>
      <c r="K125" s="72" t="str">
        <f>IF($S125="","",IF(INDEX(对接源_01水果!$K$4:$K$1203,$S125)=0,"",INDEX(对接源_01水果!$K$4:$K$1203,$S125)))</f>
        <v/>
      </c>
      <c r="L125" s="70" t="str">
        <f>IF($S125="","",IF(INDEX(对接源_01水果!$L$4:$L$1203,$S125)=0,"",INDEX(对接源_01水果!$L$4:$L$1203,$S125)))</f>
        <v/>
      </c>
      <c r="M125" s="73" t="str">
        <f>IF($S125="","",IF(INDEX(对接源_01水果!$M$4:$M$1203,$S125)=0,"",INDEX(对接源_01水果!$M$4:$M$1203,$S125)))</f>
        <v/>
      </c>
      <c r="S12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6" ht="15.75" customHeight="1" spans="1:19">
      <c r="A126" s="70" t="str">
        <f>IF($S126="","",IF(INDEX(对接源_01水果!$B$4:$B$1203,$S126)=0,"",INDEX(对接源_01水果!$B$4:$B$1203,$S126)))</f>
        <v/>
      </c>
      <c r="B126" s="70" t="str">
        <f>IF($S126="","",IF(INDEX(对接源_01水果!$E$4:$E$1203,$S126)=0,"",INDEX(对接源_01水果!$E$4:$E$1203,$S126)))</f>
        <v/>
      </c>
      <c r="C126" s="70" t="str">
        <f>IF($S126="","",IF(INDEX(对接源_01水果!$F$4:$F$1203,$S126)=0,"",INDEX(对接源_01水果!$F$4:$F$1203,$S126)))</f>
        <v/>
      </c>
      <c r="D126" s="70" t="str">
        <f>IF($S126="","",IF(INDEX(对接源_01水果!$G$4:$G$1203,$S126)=0,"",INDEX(对接源_01水果!$G$4:$G$1203,$S126)))</f>
        <v/>
      </c>
      <c r="E126" s="70" t="str">
        <f>IF($S126="","",IF(INDEX(对接源_01水果!$H$4:$H$1203,$S126)=0,"",INDEX(对接源_01水果!$H$4:$H$1203,$S126)))</f>
        <v/>
      </c>
      <c r="F126" s="70" t="str">
        <f>IF($S126="","",IF(INDEX(对接源_01水果!$I$4:$I$1203,$S126)=0,"",INDEX(对接源_01水果!$I$4:$I$1203,$S126)))</f>
        <v/>
      </c>
      <c r="G126" s="72" t="str">
        <f>IF($S126="","",IF(INDEX(对接源_01水果!$AD$4:$AD$1203,$S126)=0,"",INDEX(对接源_01水果!$AD$4:$AD$1203,$S126)))</f>
        <v/>
      </c>
      <c r="H126" s="72" t="str">
        <f>IF($S126="","",IF(INDEX(对接源_01水果!$AI$4:$AI$1203,$S126)=0,"",INDEX(对接源_01水果!$AI$4:$AI$1203,$S126)))</f>
        <v/>
      </c>
      <c r="I126" s="72" t="str">
        <f>IF($S126="","",IF(INDEX(对接源_01水果!$AE$4:$AE$1203,$S126)=0,"",INDEX(对接源_01水果!$AE$4:$AE$1203,$S126)))</f>
        <v/>
      </c>
      <c r="J126" s="72" t="str">
        <f>IF($S126="","",IF(INDEX(对接源_01水果!$AF$4:$AF$1203,$S126)=0,"",INDEX(对接源_01水果!$AF$4:$AF$1203,$S126)))</f>
        <v/>
      </c>
      <c r="K126" s="72" t="str">
        <f>IF($S126="","",IF(INDEX(对接源_01水果!$K$4:$K$1203,$S126)=0,"",INDEX(对接源_01水果!$K$4:$K$1203,$S126)))</f>
        <v/>
      </c>
      <c r="L126" s="70" t="str">
        <f>IF($S126="","",IF(INDEX(对接源_01水果!$L$4:$L$1203,$S126)=0,"",INDEX(对接源_01水果!$L$4:$L$1203,$S126)))</f>
        <v/>
      </c>
      <c r="M126" s="73" t="str">
        <f>IF($S126="","",IF(INDEX(对接源_01水果!$M$4:$M$1203,$S126)=0,"",INDEX(对接源_01水果!$M$4:$M$1203,$S126)))</f>
        <v/>
      </c>
      <c r="S12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7" ht="15.75" customHeight="1" spans="1:19">
      <c r="A127" s="70" t="str">
        <f>IF($S127="","",IF(INDEX(对接源_01水果!$B$4:$B$1203,$S127)=0,"",INDEX(对接源_01水果!$B$4:$B$1203,$S127)))</f>
        <v/>
      </c>
      <c r="B127" s="70" t="str">
        <f>IF($S127="","",IF(INDEX(对接源_01水果!$E$4:$E$1203,$S127)=0,"",INDEX(对接源_01水果!$E$4:$E$1203,$S127)))</f>
        <v/>
      </c>
      <c r="C127" s="70" t="str">
        <f>IF($S127="","",IF(INDEX(对接源_01水果!$F$4:$F$1203,$S127)=0,"",INDEX(对接源_01水果!$F$4:$F$1203,$S127)))</f>
        <v/>
      </c>
      <c r="D127" s="70" t="str">
        <f>IF($S127="","",IF(INDEX(对接源_01水果!$G$4:$G$1203,$S127)=0,"",INDEX(对接源_01水果!$G$4:$G$1203,$S127)))</f>
        <v/>
      </c>
      <c r="E127" s="70" t="str">
        <f>IF($S127="","",IF(INDEX(对接源_01水果!$H$4:$H$1203,$S127)=0,"",INDEX(对接源_01水果!$H$4:$H$1203,$S127)))</f>
        <v/>
      </c>
      <c r="F127" s="70" t="str">
        <f>IF($S127="","",IF(INDEX(对接源_01水果!$I$4:$I$1203,$S127)=0,"",INDEX(对接源_01水果!$I$4:$I$1203,$S127)))</f>
        <v/>
      </c>
      <c r="G127" s="72" t="str">
        <f>IF($S127="","",IF(INDEX(对接源_01水果!$AD$4:$AD$1203,$S127)=0,"",INDEX(对接源_01水果!$AD$4:$AD$1203,$S127)))</f>
        <v/>
      </c>
      <c r="H127" s="72" t="str">
        <f>IF($S127="","",IF(INDEX(对接源_01水果!$AI$4:$AI$1203,$S127)=0,"",INDEX(对接源_01水果!$AI$4:$AI$1203,$S127)))</f>
        <v/>
      </c>
      <c r="I127" s="72" t="str">
        <f>IF($S127="","",IF(INDEX(对接源_01水果!$AE$4:$AE$1203,$S127)=0,"",INDEX(对接源_01水果!$AE$4:$AE$1203,$S127)))</f>
        <v/>
      </c>
      <c r="J127" s="72" t="str">
        <f>IF($S127="","",IF(INDEX(对接源_01水果!$AF$4:$AF$1203,$S127)=0,"",INDEX(对接源_01水果!$AF$4:$AF$1203,$S127)))</f>
        <v/>
      </c>
      <c r="K127" s="72" t="str">
        <f>IF($S127="","",IF(INDEX(对接源_01水果!$K$4:$K$1203,$S127)=0,"",INDEX(对接源_01水果!$K$4:$K$1203,$S127)))</f>
        <v/>
      </c>
      <c r="L127" s="70" t="str">
        <f>IF($S127="","",IF(INDEX(对接源_01水果!$L$4:$L$1203,$S127)=0,"",INDEX(对接源_01水果!$L$4:$L$1203,$S127)))</f>
        <v/>
      </c>
      <c r="M127" s="73" t="str">
        <f>IF($S127="","",IF(INDEX(对接源_01水果!$M$4:$M$1203,$S127)=0,"",INDEX(对接源_01水果!$M$4:$M$1203,$S127)))</f>
        <v/>
      </c>
      <c r="S12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8" ht="15.75" customHeight="1" spans="1:19">
      <c r="A128" s="70" t="str">
        <f>IF($S128="","",IF(INDEX(对接源_01水果!$B$4:$B$1203,$S128)=0,"",INDEX(对接源_01水果!$B$4:$B$1203,$S128)))</f>
        <v/>
      </c>
      <c r="B128" s="70" t="str">
        <f>IF($S128="","",IF(INDEX(对接源_01水果!$E$4:$E$1203,$S128)=0,"",INDEX(对接源_01水果!$E$4:$E$1203,$S128)))</f>
        <v/>
      </c>
      <c r="C128" s="70" t="str">
        <f>IF($S128="","",IF(INDEX(对接源_01水果!$F$4:$F$1203,$S128)=0,"",INDEX(对接源_01水果!$F$4:$F$1203,$S128)))</f>
        <v/>
      </c>
      <c r="D128" s="70" t="str">
        <f>IF($S128="","",IF(INDEX(对接源_01水果!$G$4:$G$1203,$S128)=0,"",INDEX(对接源_01水果!$G$4:$G$1203,$S128)))</f>
        <v/>
      </c>
      <c r="E128" s="70" t="str">
        <f>IF($S128="","",IF(INDEX(对接源_01水果!$H$4:$H$1203,$S128)=0,"",INDEX(对接源_01水果!$H$4:$H$1203,$S128)))</f>
        <v/>
      </c>
      <c r="F128" s="70" t="str">
        <f>IF($S128="","",IF(INDEX(对接源_01水果!$I$4:$I$1203,$S128)=0,"",INDEX(对接源_01水果!$I$4:$I$1203,$S128)))</f>
        <v/>
      </c>
      <c r="G128" s="72" t="str">
        <f>IF($S128="","",IF(INDEX(对接源_01水果!$AD$4:$AD$1203,$S128)=0,"",INDEX(对接源_01水果!$AD$4:$AD$1203,$S128)))</f>
        <v/>
      </c>
      <c r="H128" s="72" t="str">
        <f>IF($S128="","",IF(INDEX(对接源_01水果!$AI$4:$AI$1203,$S128)=0,"",INDEX(对接源_01水果!$AI$4:$AI$1203,$S128)))</f>
        <v/>
      </c>
      <c r="I128" s="72" t="str">
        <f>IF($S128="","",IF(INDEX(对接源_01水果!$AE$4:$AE$1203,$S128)=0,"",INDEX(对接源_01水果!$AE$4:$AE$1203,$S128)))</f>
        <v/>
      </c>
      <c r="J128" s="72" t="str">
        <f>IF($S128="","",IF(INDEX(对接源_01水果!$AF$4:$AF$1203,$S128)=0,"",INDEX(对接源_01水果!$AF$4:$AF$1203,$S128)))</f>
        <v/>
      </c>
      <c r="K128" s="72" t="str">
        <f>IF($S128="","",IF(INDEX(对接源_01水果!$K$4:$K$1203,$S128)=0,"",INDEX(对接源_01水果!$K$4:$K$1203,$S128)))</f>
        <v/>
      </c>
      <c r="L128" s="70" t="str">
        <f>IF($S128="","",IF(INDEX(对接源_01水果!$L$4:$L$1203,$S128)=0,"",INDEX(对接源_01水果!$L$4:$L$1203,$S128)))</f>
        <v/>
      </c>
      <c r="M128" s="73" t="str">
        <f>IF($S128="","",IF(INDEX(对接源_01水果!$M$4:$M$1203,$S128)=0,"",INDEX(对接源_01水果!$M$4:$M$1203,$S128)))</f>
        <v/>
      </c>
      <c r="S12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9" ht="15.75" customHeight="1" spans="1:19">
      <c r="A129" s="70" t="str">
        <f>IF($S129="","",IF(INDEX(对接源_01水果!$B$4:$B$1203,$S129)=0,"",INDEX(对接源_01水果!$B$4:$B$1203,$S129)))</f>
        <v/>
      </c>
      <c r="B129" s="70" t="str">
        <f>IF($S129="","",IF(INDEX(对接源_01水果!$E$4:$E$1203,$S129)=0,"",INDEX(对接源_01水果!$E$4:$E$1203,$S129)))</f>
        <v/>
      </c>
      <c r="C129" s="70" t="str">
        <f>IF($S129="","",IF(INDEX(对接源_01水果!$F$4:$F$1203,$S129)=0,"",INDEX(对接源_01水果!$F$4:$F$1203,$S129)))</f>
        <v/>
      </c>
      <c r="D129" s="70" t="str">
        <f>IF($S129="","",IF(INDEX(对接源_01水果!$G$4:$G$1203,$S129)=0,"",INDEX(对接源_01水果!$G$4:$G$1203,$S129)))</f>
        <v/>
      </c>
      <c r="E129" s="70" t="str">
        <f>IF($S129="","",IF(INDEX(对接源_01水果!$H$4:$H$1203,$S129)=0,"",INDEX(对接源_01水果!$H$4:$H$1203,$S129)))</f>
        <v/>
      </c>
      <c r="F129" s="70" t="str">
        <f>IF($S129="","",IF(INDEX(对接源_01水果!$I$4:$I$1203,$S129)=0,"",INDEX(对接源_01水果!$I$4:$I$1203,$S129)))</f>
        <v/>
      </c>
      <c r="G129" s="72" t="str">
        <f>IF($S129="","",IF(INDEX(对接源_01水果!$AD$4:$AD$1203,$S129)=0,"",INDEX(对接源_01水果!$AD$4:$AD$1203,$S129)))</f>
        <v/>
      </c>
      <c r="H129" s="72" t="str">
        <f>IF($S129="","",IF(INDEX(对接源_01水果!$AI$4:$AI$1203,$S129)=0,"",INDEX(对接源_01水果!$AI$4:$AI$1203,$S129)))</f>
        <v/>
      </c>
      <c r="I129" s="72" t="str">
        <f>IF($S129="","",IF(INDEX(对接源_01水果!$AE$4:$AE$1203,$S129)=0,"",INDEX(对接源_01水果!$AE$4:$AE$1203,$S129)))</f>
        <v/>
      </c>
      <c r="J129" s="72" t="str">
        <f>IF($S129="","",IF(INDEX(对接源_01水果!$AF$4:$AF$1203,$S129)=0,"",INDEX(对接源_01水果!$AF$4:$AF$1203,$S129)))</f>
        <v/>
      </c>
      <c r="K129" s="72" t="str">
        <f>IF($S129="","",IF(INDEX(对接源_01水果!$K$4:$K$1203,$S129)=0,"",INDEX(对接源_01水果!$K$4:$K$1203,$S129)))</f>
        <v/>
      </c>
      <c r="L129" s="70" t="str">
        <f>IF($S129="","",IF(INDEX(对接源_01水果!$L$4:$L$1203,$S129)=0,"",INDEX(对接源_01水果!$L$4:$L$1203,$S129)))</f>
        <v/>
      </c>
      <c r="M129" s="73" t="str">
        <f>IF($S129="","",IF(INDEX(对接源_01水果!$M$4:$M$1203,$S129)=0,"",INDEX(对接源_01水果!$M$4:$M$1203,$S129)))</f>
        <v/>
      </c>
      <c r="S12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0" ht="15.75" customHeight="1" spans="1:19">
      <c r="A130" s="70" t="str">
        <f>IF($S130="","",IF(INDEX(对接源_01水果!$B$4:$B$1203,$S130)=0,"",INDEX(对接源_01水果!$B$4:$B$1203,$S130)))</f>
        <v/>
      </c>
      <c r="B130" s="70" t="str">
        <f>IF($S130="","",IF(INDEX(对接源_01水果!$E$4:$E$1203,$S130)=0,"",INDEX(对接源_01水果!$E$4:$E$1203,$S130)))</f>
        <v/>
      </c>
      <c r="C130" s="70" t="str">
        <f>IF($S130="","",IF(INDEX(对接源_01水果!$F$4:$F$1203,$S130)=0,"",INDEX(对接源_01水果!$F$4:$F$1203,$S130)))</f>
        <v/>
      </c>
      <c r="D130" s="70" t="str">
        <f>IF($S130="","",IF(INDEX(对接源_01水果!$G$4:$G$1203,$S130)=0,"",INDEX(对接源_01水果!$G$4:$G$1203,$S130)))</f>
        <v/>
      </c>
      <c r="E130" s="70" t="str">
        <f>IF($S130="","",IF(INDEX(对接源_01水果!$H$4:$H$1203,$S130)=0,"",INDEX(对接源_01水果!$H$4:$H$1203,$S130)))</f>
        <v/>
      </c>
      <c r="F130" s="70" t="str">
        <f>IF($S130="","",IF(INDEX(对接源_01水果!$I$4:$I$1203,$S130)=0,"",INDEX(对接源_01水果!$I$4:$I$1203,$S130)))</f>
        <v/>
      </c>
      <c r="G130" s="72" t="str">
        <f>IF($S130="","",IF(INDEX(对接源_01水果!$AD$4:$AD$1203,$S130)=0,"",INDEX(对接源_01水果!$AD$4:$AD$1203,$S130)))</f>
        <v/>
      </c>
      <c r="H130" s="72" t="str">
        <f>IF($S130="","",IF(INDEX(对接源_01水果!$AI$4:$AI$1203,$S130)=0,"",INDEX(对接源_01水果!$AI$4:$AI$1203,$S130)))</f>
        <v/>
      </c>
      <c r="I130" s="72" t="str">
        <f>IF($S130="","",IF(INDEX(对接源_01水果!$AE$4:$AE$1203,$S130)=0,"",INDEX(对接源_01水果!$AE$4:$AE$1203,$S130)))</f>
        <v/>
      </c>
      <c r="J130" s="72" t="str">
        <f>IF($S130="","",IF(INDEX(对接源_01水果!$AF$4:$AF$1203,$S130)=0,"",INDEX(对接源_01水果!$AF$4:$AF$1203,$S130)))</f>
        <v/>
      </c>
      <c r="K130" s="72" t="str">
        <f>IF($S130="","",IF(INDEX(对接源_01水果!$K$4:$K$1203,$S130)=0,"",INDEX(对接源_01水果!$K$4:$K$1203,$S130)))</f>
        <v/>
      </c>
      <c r="L130" s="70" t="str">
        <f>IF($S130="","",IF(INDEX(对接源_01水果!$L$4:$L$1203,$S130)=0,"",INDEX(对接源_01水果!$L$4:$L$1203,$S130)))</f>
        <v/>
      </c>
      <c r="M130" s="73" t="str">
        <f>IF($S130="","",IF(INDEX(对接源_01水果!$M$4:$M$1203,$S130)=0,"",INDEX(对接源_01水果!$M$4:$M$1203,$S130)))</f>
        <v/>
      </c>
      <c r="S13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1" ht="15.75" customHeight="1" spans="1:19">
      <c r="A131" s="70" t="str">
        <f>IF($S131="","",IF(INDEX(对接源_01水果!$B$4:$B$1203,$S131)=0,"",INDEX(对接源_01水果!$B$4:$B$1203,$S131)))</f>
        <v/>
      </c>
      <c r="B131" s="70" t="str">
        <f>IF($S131="","",IF(INDEX(对接源_01水果!$E$4:$E$1203,$S131)=0,"",INDEX(对接源_01水果!$E$4:$E$1203,$S131)))</f>
        <v/>
      </c>
      <c r="C131" s="70" t="str">
        <f>IF($S131="","",IF(INDEX(对接源_01水果!$F$4:$F$1203,$S131)=0,"",INDEX(对接源_01水果!$F$4:$F$1203,$S131)))</f>
        <v/>
      </c>
      <c r="D131" s="70" t="str">
        <f>IF($S131="","",IF(INDEX(对接源_01水果!$G$4:$G$1203,$S131)=0,"",INDEX(对接源_01水果!$G$4:$G$1203,$S131)))</f>
        <v/>
      </c>
      <c r="E131" s="70" t="str">
        <f>IF($S131="","",IF(INDEX(对接源_01水果!$H$4:$H$1203,$S131)=0,"",INDEX(对接源_01水果!$H$4:$H$1203,$S131)))</f>
        <v/>
      </c>
      <c r="F131" s="70" t="str">
        <f>IF($S131="","",IF(INDEX(对接源_01水果!$I$4:$I$1203,$S131)=0,"",INDEX(对接源_01水果!$I$4:$I$1203,$S131)))</f>
        <v/>
      </c>
      <c r="G131" s="72" t="str">
        <f>IF($S131="","",IF(INDEX(对接源_01水果!$AD$4:$AD$1203,$S131)=0,"",INDEX(对接源_01水果!$AD$4:$AD$1203,$S131)))</f>
        <v/>
      </c>
      <c r="H131" s="72" t="str">
        <f>IF($S131="","",IF(INDEX(对接源_01水果!$AI$4:$AI$1203,$S131)=0,"",INDEX(对接源_01水果!$AI$4:$AI$1203,$S131)))</f>
        <v/>
      </c>
      <c r="I131" s="72" t="str">
        <f>IF($S131="","",IF(INDEX(对接源_01水果!$AE$4:$AE$1203,$S131)=0,"",INDEX(对接源_01水果!$AE$4:$AE$1203,$S131)))</f>
        <v/>
      </c>
      <c r="J131" s="72" t="str">
        <f>IF($S131="","",IF(INDEX(对接源_01水果!$AF$4:$AF$1203,$S131)=0,"",INDEX(对接源_01水果!$AF$4:$AF$1203,$S131)))</f>
        <v/>
      </c>
      <c r="K131" s="72" t="str">
        <f>IF($S131="","",IF(INDEX(对接源_01水果!$K$4:$K$1203,$S131)=0,"",INDEX(对接源_01水果!$K$4:$K$1203,$S131)))</f>
        <v/>
      </c>
      <c r="L131" s="70" t="str">
        <f>IF($S131="","",IF(INDEX(对接源_01水果!$L$4:$L$1203,$S131)=0,"",INDEX(对接源_01水果!$L$4:$L$1203,$S131)))</f>
        <v/>
      </c>
      <c r="M131" s="73" t="str">
        <f>IF($S131="","",IF(INDEX(对接源_01水果!$M$4:$M$1203,$S131)=0,"",INDEX(对接源_01水果!$M$4:$M$1203,$S131)))</f>
        <v/>
      </c>
      <c r="S13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2" ht="15.75" customHeight="1" spans="1:19">
      <c r="A132" s="70" t="str">
        <f>IF($S132="","",IF(INDEX(对接源_01水果!$B$4:$B$1203,$S132)=0,"",INDEX(对接源_01水果!$B$4:$B$1203,$S132)))</f>
        <v/>
      </c>
      <c r="B132" s="70" t="str">
        <f>IF($S132="","",IF(INDEX(对接源_01水果!$E$4:$E$1203,$S132)=0,"",INDEX(对接源_01水果!$E$4:$E$1203,$S132)))</f>
        <v/>
      </c>
      <c r="C132" s="70" t="str">
        <f>IF($S132="","",IF(INDEX(对接源_01水果!$F$4:$F$1203,$S132)=0,"",INDEX(对接源_01水果!$F$4:$F$1203,$S132)))</f>
        <v/>
      </c>
      <c r="D132" s="70" t="str">
        <f>IF($S132="","",IF(INDEX(对接源_01水果!$G$4:$G$1203,$S132)=0,"",INDEX(对接源_01水果!$G$4:$G$1203,$S132)))</f>
        <v/>
      </c>
      <c r="E132" s="70" t="str">
        <f>IF($S132="","",IF(INDEX(对接源_01水果!$H$4:$H$1203,$S132)=0,"",INDEX(对接源_01水果!$H$4:$H$1203,$S132)))</f>
        <v/>
      </c>
      <c r="F132" s="70" t="str">
        <f>IF($S132="","",IF(INDEX(对接源_01水果!$I$4:$I$1203,$S132)=0,"",INDEX(对接源_01水果!$I$4:$I$1203,$S132)))</f>
        <v/>
      </c>
      <c r="G132" s="72" t="str">
        <f>IF($S132="","",IF(INDEX(对接源_01水果!$AD$4:$AD$1203,$S132)=0,"",INDEX(对接源_01水果!$AD$4:$AD$1203,$S132)))</f>
        <v/>
      </c>
      <c r="H132" s="72" t="str">
        <f>IF($S132="","",IF(INDEX(对接源_01水果!$AI$4:$AI$1203,$S132)=0,"",INDEX(对接源_01水果!$AI$4:$AI$1203,$S132)))</f>
        <v/>
      </c>
      <c r="I132" s="72" t="str">
        <f>IF($S132="","",IF(INDEX(对接源_01水果!$AE$4:$AE$1203,$S132)=0,"",INDEX(对接源_01水果!$AE$4:$AE$1203,$S132)))</f>
        <v/>
      </c>
      <c r="J132" s="72" t="str">
        <f>IF($S132="","",IF(INDEX(对接源_01水果!$AF$4:$AF$1203,$S132)=0,"",INDEX(对接源_01水果!$AF$4:$AF$1203,$S132)))</f>
        <v/>
      </c>
      <c r="K132" s="72" t="str">
        <f>IF($S132="","",IF(INDEX(对接源_01水果!$K$4:$K$1203,$S132)=0,"",INDEX(对接源_01水果!$K$4:$K$1203,$S132)))</f>
        <v/>
      </c>
      <c r="L132" s="70" t="str">
        <f>IF($S132="","",IF(INDEX(对接源_01水果!$L$4:$L$1203,$S132)=0,"",INDEX(对接源_01水果!$L$4:$L$1203,$S132)))</f>
        <v/>
      </c>
      <c r="M132" s="73" t="str">
        <f>IF($S132="","",IF(INDEX(对接源_01水果!$M$4:$M$1203,$S132)=0,"",INDEX(对接源_01水果!$M$4:$M$1203,$S132)))</f>
        <v/>
      </c>
      <c r="S13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3" ht="15.75" customHeight="1" spans="1:19">
      <c r="A133" s="70" t="str">
        <f>IF($S133="","",IF(INDEX(对接源_01水果!$B$4:$B$1203,$S133)=0,"",INDEX(对接源_01水果!$B$4:$B$1203,$S133)))</f>
        <v/>
      </c>
      <c r="B133" s="70" t="str">
        <f>IF($S133="","",IF(INDEX(对接源_01水果!$E$4:$E$1203,$S133)=0,"",INDEX(对接源_01水果!$E$4:$E$1203,$S133)))</f>
        <v/>
      </c>
      <c r="C133" s="70" t="str">
        <f>IF($S133="","",IF(INDEX(对接源_01水果!$F$4:$F$1203,$S133)=0,"",INDEX(对接源_01水果!$F$4:$F$1203,$S133)))</f>
        <v/>
      </c>
      <c r="D133" s="70" t="str">
        <f>IF($S133="","",IF(INDEX(对接源_01水果!$G$4:$G$1203,$S133)=0,"",INDEX(对接源_01水果!$G$4:$G$1203,$S133)))</f>
        <v/>
      </c>
      <c r="E133" s="70" t="str">
        <f>IF($S133="","",IF(INDEX(对接源_01水果!$H$4:$H$1203,$S133)=0,"",INDEX(对接源_01水果!$H$4:$H$1203,$S133)))</f>
        <v/>
      </c>
      <c r="F133" s="70" t="str">
        <f>IF($S133="","",IF(INDEX(对接源_01水果!$I$4:$I$1203,$S133)=0,"",INDEX(对接源_01水果!$I$4:$I$1203,$S133)))</f>
        <v/>
      </c>
      <c r="G133" s="72" t="str">
        <f>IF($S133="","",IF(INDEX(对接源_01水果!$AD$4:$AD$1203,$S133)=0,"",INDEX(对接源_01水果!$AD$4:$AD$1203,$S133)))</f>
        <v/>
      </c>
      <c r="H133" s="72" t="str">
        <f>IF($S133="","",IF(INDEX(对接源_01水果!$AI$4:$AI$1203,$S133)=0,"",INDEX(对接源_01水果!$AI$4:$AI$1203,$S133)))</f>
        <v/>
      </c>
      <c r="I133" s="72" t="str">
        <f>IF($S133="","",IF(INDEX(对接源_01水果!$AE$4:$AE$1203,$S133)=0,"",INDEX(对接源_01水果!$AE$4:$AE$1203,$S133)))</f>
        <v/>
      </c>
      <c r="J133" s="72" t="str">
        <f>IF($S133="","",IF(INDEX(对接源_01水果!$AF$4:$AF$1203,$S133)=0,"",INDEX(对接源_01水果!$AF$4:$AF$1203,$S133)))</f>
        <v/>
      </c>
      <c r="K133" s="72" t="str">
        <f>IF($S133="","",IF(INDEX(对接源_01水果!$K$4:$K$1203,$S133)=0,"",INDEX(对接源_01水果!$K$4:$K$1203,$S133)))</f>
        <v/>
      </c>
      <c r="L133" s="70" t="str">
        <f>IF($S133="","",IF(INDEX(对接源_01水果!$L$4:$L$1203,$S133)=0,"",INDEX(对接源_01水果!$L$4:$L$1203,$S133)))</f>
        <v/>
      </c>
      <c r="M133" s="73" t="str">
        <f>IF($S133="","",IF(INDEX(对接源_01水果!$M$4:$M$1203,$S133)=0,"",INDEX(对接源_01水果!$M$4:$M$1203,$S133)))</f>
        <v/>
      </c>
      <c r="S13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4" ht="15.75" customHeight="1" spans="1:19">
      <c r="A134" s="70" t="str">
        <f>IF($S134="","",IF(INDEX(对接源_01水果!$B$4:$B$1203,$S134)=0,"",INDEX(对接源_01水果!$B$4:$B$1203,$S134)))</f>
        <v/>
      </c>
      <c r="B134" s="70" t="str">
        <f>IF($S134="","",IF(INDEX(对接源_01水果!$E$4:$E$1203,$S134)=0,"",INDEX(对接源_01水果!$E$4:$E$1203,$S134)))</f>
        <v/>
      </c>
      <c r="C134" s="70" t="str">
        <f>IF($S134="","",IF(INDEX(对接源_01水果!$F$4:$F$1203,$S134)=0,"",INDEX(对接源_01水果!$F$4:$F$1203,$S134)))</f>
        <v/>
      </c>
      <c r="D134" s="70" t="str">
        <f>IF($S134="","",IF(INDEX(对接源_01水果!$G$4:$G$1203,$S134)=0,"",INDEX(对接源_01水果!$G$4:$G$1203,$S134)))</f>
        <v/>
      </c>
      <c r="E134" s="70" t="str">
        <f>IF($S134="","",IF(INDEX(对接源_01水果!$H$4:$H$1203,$S134)=0,"",INDEX(对接源_01水果!$H$4:$H$1203,$S134)))</f>
        <v/>
      </c>
      <c r="F134" s="70" t="str">
        <f>IF($S134="","",IF(INDEX(对接源_01水果!$I$4:$I$1203,$S134)=0,"",INDEX(对接源_01水果!$I$4:$I$1203,$S134)))</f>
        <v/>
      </c>
      <c r="G134" s="72" t="str">
        <f>IF($S134="","",IF(INDEX(对接源_01水果!$AD$4:$AD$1203,$S134)=0,"",INDEX(对接源_01水果!$AD$4:$AD$1203,$S134)))</f>
        <v/>
      </c>
      <c r="H134" s="72" t="str">
        <f>IF($S134="","",IF(INDEX(对接源_01水果!$AI$4:$AI$1203,$S134)=0,"",INDEX(对接源_01水果!$AI$4:$AI$1203,$S134)))</f>
        <v/>
      </c>
      <c r="I134" s="72" t="str">
        <f>IF($S134="","",IF(INDEX(对接源_01水果!$AE$4:$AE$1203,$S134)=0,"",INDEX(对接源_01水果!$AE$4:$AE$1203,$S134)))</f>
        <v/>
      </c>
      <c r="J134" s="72" t="str">
        <f>IF($S134="","",IF(INDEX(对接源_01水果!$AF$4:$AF$1203,$S134)=0,"",INDEX(对接源_01水果!$AF$4:$AF$1203,$S134)))</f>
        <v/>
      </c>
      <c r="K134" s="72" t="str">
        <f>IF($S134="","",IF(INDEX(对接源_01水果!$K$4:$K$1203,$S134)=0,"",INDEX(对接源_01水果!$K$4:$K$1203,$S134)))</f>
        <v/>
      </c>
      <c r="L134" s="70" t="str">
        <f>IF($S134="","",IF(INDEX(对接源_01水果!$L$4:$L$1203,$S134)=0,"",INDEX(对接源_01水果!$L$4:$L$1203,$S134)))</f>
        <v/>
      </c>
      <c r="M134" s="73" t="str">
        <f>IF($S134="","",IF(INDEX(对接源_01水果!$M$4:$M$1203,$S134)=0,"",INDEX(对接源_01水果!$M$4:$M$1203,$S134)))</f>
        <v/>
      </c>
      <c r="S13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5" ht="15.75" customHeight="1" spans="1:19">
      <c r="A135" s="70" t="str">
        <f>IF($S135="","",IF(INDEX(对接源_01水果!$B$4:$B$1203,$S135)=0,"",INDEX(对接源_01水果!$B$4:$B$1203,$S135)))</f>
        <v/>
      </c>
      <c r="B135" s="70" t="str">
        <f>IF($S135="","",IF(INDEX(对接源_01水果!$E$4:$E$1203,$S135)=0,"",INDEX(对接源_01水果!$E$4:$E$1203,$S135)))</f>
        <v/>
      </c>
      <c r="C135" s="70" t="str">
        <f>IF($S135="","",IF(INDEX(对接源_01水果!$F$4:$F$1203,$S135)=0,"",INDEX(对接源_01水果!$F$4:$F$1203,$S135)))</f>
        <v/>
      </c>
      <c r="D135" s="70" t="str">
        <f>IF($S135="","",IF(INDEX(对接源_01水果!$G$4:$G$1203,$S135)=0,"",INDEX(对接源_01水果!$G$4:$G$1203,$S135)))</f>
        <v/>
      </c>
      <c r="E135" s="70" t="str">
        <f>IF($S135="","",IF(INDEX(对接源_01水果!$H$4:$H$1203,$S135)=0,"",INDEX(对接源_01水果!$H$4:$H$1203,$S135)))</f>
        <v/>
      </c>
      <c r="F135" s="70" t="str">
        <f>IF($S135="","",IF(INDEX(对接源_01水果!$I$4:$I$1203,$S135)=0,"",INDEX(对接源_01水果!$I$4:$I$1203,$S135)))</f>
        <v/>
      </c>
      <c r="G135" s="72" t="str">
        <f>IF($S135="","",IF(INDEX(对接源_01水果!$AD$4:$AD$1203,$S135)=0,"",INDEX(对接源_01水果!$AD$4:$AD$1203,$S135)))</f>
        <v/>
      </c>
      <c r="H135" s="72" t="str">
        <f>IF($S135="","",IF(INDEX(对接源_01水果!$AI$4:$AI$1203,$S135)=0,"",INDEX(对接源_01水果!$AI$4:$AI$1203,$S135)))</f>
        <v/>
      </c>
      <c r="I135" s="72" t="str">
        <f>IF($S135="","",IF(INDEX(对接源_01水果!$AE$4:$AE$1203,$S135)=0,"",INDEX(对接源_01水果!$AE$4:$AE$1203,$S135)))</f>
        <v/>
      </c>
      <c r="J135" s="72" t="str">
        <f>IF($S135="","",IF(INDEX(对接源_01水果!$AF$4:$AF$1203,$S135)=0,"",INDEX(对接源_01水果!$AF$4:$AF$1203,$S135)))</f>
        <v/>
      </c>
      <c r="K135" s="72" t="str">
        <f>IF($S135="","",IF(INDEX(对接源_01水果!$K$4:$K$1203,$S135)=0,"",INDEX(对接源_01水果!$K$4:$K$1203,$S135)))</f>
        <v/>
      </c>
      <c r="L135" s="70" t="str">
        <f>IF($S135="","",IF(INDEX(对接源_01水果!$L$4:$L$1203,$S135)=0,"",INDEX(对接源_01水果!$L$4:$L$1203,$S135)))</f>
        <v/>
      </c>
      <c r="M135" s="73" t="str">
        <f>IF($S135="","",IF(INDEX(对接源_01水果!$M$4:$M$1203,$S135)=0,"",INDEX(对接源_01水果!$M$4:$M$1203,$S135)))</f>
        <v/>
      </c>
      <c r="S13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6" ht="15.75" customHeight="1" spans="1:19">
      <c r="A136" s="70" t="str">
        <f>IF($S136="","",IF(INDEX(对接源_01水果!$B$4:$B$1203,$S136)=0,"",INDEX(对接源_01水果!$B$4:$B$1203,$S136)))</f>
        <v/>
      </c>
      <c r="B136" s="70" t="str">
        <f>IF($S136="","",IF(INDEX(对接源_01水果!$E$4:$E$1203,$S136)=0,"",INDEX(对接源_01水果!$E$4:$E$1203,$S136)))</f>
        <v/>
      </c>
      <c r="C136" s="70" t="str">
        <f>IF($S136="","",IF(INDEX(对接源_01水果!$F$4:$F$1203,$S136)=0,"",INDEX(对接源_01水果!$F$4:$F$1203,$S136)))</f>
        <v/>
      </c>
      <c r="D136" s="70" t="str">
        <f>IF($S136="","",IF(INDEX(对接源_01水果!$G$4:$G$1203,$S136)=0,"",INDEX(对接源_01水果!$G$4:$G$1203,$S136)))</f>
        <v/>
      </c>
      <c r="E136" s="70" t="str">
        <f>IF($S136="","",IF(INDEX(对接源_01水果!$H$4:$H$1203,$S136)=0,"",INDEX(对接源_01水果!$H$4:$H$1203,$S136)))</f>
        <v/>
      </c>
      <c r="F136" s="70" t="str">
        <f>IF($S136="","",IF(INDEX(对接源_01水果!$I$4:$I$1203,$S136)=0,"",INDEX(对接源_01水果!$I$4:$I$1203,$S136)))</f>
        <v/>
      </c>
      <c r="G136" s="72" t="str">
        <f>IF($S136="","",IF(INDEX(对接源_01水果!$AD$4:$AD$1203,$S136)=0,"",INDEX(对接源_01水果!$AD$4:$AD$1203,$S136)))</f>
        <v/>
      </c>
      <c r="H136" s="72" t="str">
        <f>IF($S136="","",IF(INDEX(对接源_01水果!$AI$4:$AI$1203,$S136)=0,"",INDEX(对接源_01水果!$AI$4:$AI$1203,$S136)))</f>
        <v/>
      </c>
      <c r="I136" s="72" t="str">
        <f>IF($S136="","",IF(INDEX(对接源_01水果!$AE$4:$AE$1203,$S136)=0,"",INDEX(对接源_01水果!$AE$4:$AE$1203,$S136)))</f>
        <v/>
      </c>
      <c r="J136" s="72" t="str">
        <f>IF($S136="","",IF(INDEX(对接源_01水果!$AF$4:$AF$1203,$S136)=0,"",INDEX(对接源_01水果!$AF$4:$AF$1203,$S136)))</f>
        <v/>
      </c>
      <c r="K136" s="72" t="str">
        <f>IF($S136="","",IF(INDEX(对接源_01水果!$K$4:$K$1203,$S136)=0,"",INDEX(对接源_01水果!$K$4:$K$1203,$S136)))</f>
        <v/>
      </c>
      <c r="L136" s="70" t="str">
        <f>IF($S136="","",IF(INDEX(对接源_01水果!$L$4:$L$1203,$S136)=0,"",INDEX(对接源_01水果!$L$4:$L$1203,$S136)))</f>
        <v/>
      </c>
      <c r="M136" s="73" t="str">
        <f>IF($S136="","",IF(INDEX(对接源_01水果!$M$4:$M$1203,$S136)=0,"",INDEX(对接源_01水果!$M$4:$M$1203,$S136)))</f>
        <v/>
      </c>
      <c r="S13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7" ht="15.75" customHeight="1" spans="1:19">
      <c r="A137" s="70" t="str">
        <f>IF($S137="","",IF(INDEX(对接源_01水果!$B$4:$B$1203,$S137)=0,"",INDEX(对接源_01水果!$B$4:$B$1203,$S137)))</f>
        <v/>
      </c>
      <c r="B137" s="70" t="str">
        <f>IF($S137="","",IF(INDEX(对接源_01水果!$E$4:$E$1203,$S137)=0,"",INDEX(对接源_01水果!$E$4:$E$1203,$S137)))</f>
        <v/>
      </c>
      <c r="C137" s="70" t="str">
        <f>IF($S137="","",IF(INDEX(对接源_01水果!$F$4:$F$1203,$S137)=0,"",INDEX(对接源_01水果!$F$4:$F$1203,$S137)))</f>
        <v/>
      </c>
      <c r="D137" s="70" t="str">
        <f>IF($S137="","",IF(INDEX(对接源_01水果!$G$4:$G$1203,$S137)=0,"",INDEX(对接源_01水果!$G$4:$G$1203,$S137)))</f>
        <v/>
      </c>
      <c r="E137" s="70" t="str">
        <f>IF($S137="","",IF(INDEX(对接源_01水果!$H$4:$H$1203,$S137)=0,"",INDEX(对接源_01水果!$H$4:$H$1203,$S137)))</f>
        <v/>
      </c>
      <c r="F137" s="70" t="str">
        <f>IF($S137="","",IF(INDEX(对接源_01水果!$I$4:$I$1203,$S137)=0,"",INDEX(对接源_01水果!$I$4:$I$1203,$S137)))</f>
        <v/>
      </c>
      <c r="G137" s="72" t="str">
        <f>IF($S137="","",IF(INDEX(对接源_01水果!$AD$4:$AD$1203,$S137)=0,"",INDEX(对接源_01水果!$AD$4:$AD$1203,$S137)))</f>
        <v/>
      </c>
      <c r="H137" s="72" t="str">
        <f>IF($S137="","",IF(INDEX(对接源_01水果!$AI$4:$AI$1203,$S137)=0,"",INDEX(对接源_01水果!$AI$4:$AI$1203,$S137)))</f>
        <v/>
      </c>
      <c r="I137" s="72" t="str">
        <f>IF($S137="","",IF(INDEX(对接源_01水果!$AE$4:$AE$1203,$S137)=0,"",INDEX(对接源_01水果!$AE$4:$AE$1203,$S137)))</f>
        <v/>
      </c>
      <c r="J137" s="72" t="str">
        <f>IF($S137="","",IF(INDEX(对接源_01水果!$AF$4:$AF$1203,$S137)=0,"",INDEX(对接源_01水果!$AF$4:$AF$1203,$S137)))</f>
        <v/>
      </c>
      <c r="K137" s="72" t="str">
        <f>IF($S137="","",IF(INDEX(对接源_01水果!$K$4:$K$1203,$S137)=0,"",INDEX(对接源_01水果!$K$4:$K$1203,$S137)))</f>
        <v/>
      </c>
      <c r="L137" s="70" t="str">
        <f>IF($S137="","",IF(INDEX(对接源_01水果!$L$4:$L$1203,$S137)=0,"",INDEX(对接源_01水果!$L$4:$L$1203,$S137)))</f>
        <v/>
      </c>
      <c r="M137" s="73" t="str">
        <f>IF($S137="","",IF(INDEX(对接源_01水果!$M$4:$M$1203,$S137)=0,"",INDEX(对接源_01水果!$M$4:$M$1203,$S137)))</f>
        <v/>
      </c>
      <c r="S13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8" ht="15.75" customHeight="1" spans="1:19">
      <c r="A138" s="70" t="str">
        <f>IF($S138="","",IF(INDEX(对接源_01水果!$B$4:$B$1203,$S138)=0,"",INDEX(对接源_01水果!$B$4:$B$1203,$S138)))</f>
        <v/>
      </c>
      <c r="B138" s="70" t="str">
        <f>IF($S138="","",IF(INDEX(对接源_01水果!$E$4:$E$1203,$S138)=0,"",INDEX(对接源_01水果!$E$4:$E$1203,$S138)))</f>
        <v/>
      </c>
      <c r="C138" s="70" t="str">
        <f>IF($S138="","",IF(INDEX(对接源_01水果!$F$4:$F$1203,$S138)=0,"",INDEX(对接源_01水果!$F$4:$F$1203,$S138)))</f>
        <v/>
      </c>
      <c r="D138" s="70" t="str">
        <f>IF($S138="","",IF(INDEX(对接源_01水果!$G$4:$G$1203,$S138)=0,"",INDEX(对接源_01水果!$G$4:$G$1203,$S138)))</f>
        <v/>
      </c>
      <c r="E138" s="70" t="str">
        <f>IF($S138="","",IF(INDEX(对接源_01水果!$H$4:$H$1203,$S138)=0,"",INDEX(对接源_01水果!$H$4:$H$1203,$S138)))</f>
        <v/>
      </c>
      <c r="F138" s="70" t="str">
        <f>IF($S138="","",IF(INDEX(对接源_01水果!$I$4:$I$1203,$S138)=0,"",INDEX(对接源_01水果!$I$4:$I$1203,$S138)))</f>
        <v/>
      </c>
      <c r="G138" s="72" t="str">
        <f>IF($S138="","",IF(INDEX(对接源_01水果!$AD$4:$AD$1203,$S138)=0,"",INDEX(对接源_01水果!$AD$4:$AD$1203,$S138)))</f>
        <v/>
      </c>
      <c r="H138" s="72" t="str">
        <f>IF($S138="","",IF(INDEX(对接源_01水果!$AI$4:$AI$1203,$S138)=0,"",INDEX(对接源_01水果!$AI$4:$AI$1203,$S138)))</f>
        <v/>
      </c>
      <c r="I138" s="72" t="str">
        <f>IF($S138="","",IF(INDEX(对接源_01水果!$AE$4:$AE$1203,$S138)=0,"",INDEX(对接源_01水果!$AE$4:$AE$1203,$S138)))</f>
        <v/>
      </c>
      <c r="J138" s="72" t="str">
        <f>IF($S138="","",IF(INDEX(对接源_01水果!$AF$4:$AF$1203,$S138)=0,"",INDEX(对接源_01水果!$AF$4:$AF$1203,$S138)))</f>
        <v/>
      </c>
      <c r="K138" s="72" t="str">
        <f>IF($S138="","",IF(INDEX(对接源_01水果!$K$4:$K$1203,$S138)=0,"",INDEX(对接源_01水果!$K$4:$K$1203,$S138)))</f>
        <v/>
      </c>
      <c r="L138" s="70" t="str">
        <f>IF($S138="","",IF(INDEX(对接源_01水果!$L$4:$L$1203,$S138)=0,"",INDEX(对接源_01水果!$L$4:$L$1203,$S138)))</f>
        <v/>
      </c>
      <c r="M138" s="73" t="str">
        <f>IF($S138="","",IF(INDEX(对接源_01水果!$M$4:$M$1203,$S138)=0,"",INDEX(对接源_01水果!$M$4:$M$1203,$S138)))</f>
        <v/>
      </c>
      <c r="S13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9" ht="15.75" customHeight="1" spans="1:19">
      <c r="A139" s="70" t="str">
        <f>IF($S139="","",IF(INDEX(对接源_01水果!$B$4:$B$1203,$S139)=0,"",INDEX(对接源_01水果!$B$4:$B$1203,$S139)))</f>
        <v/>
      </c>
      <c r="B139" s="70" t="str">
        <f>IF($S139="","",IF(INDEX(对接源_01水果!$E$4:$E$1203,$S139)=0,"",INDEX(对接源_01水果!$E$4:$E$1203,$S139)))</f>
        <v/>
      </c>
      <c r="C139" s="70" t="str">
        <f>IF($S139="","",IF(INDEX(对接源_01水果!$F$4:$F$1203,$S139)=0,"",INDEX(对接源_01水果!$F$4:$F$1203,$S139)))</f>
        <v/>
      </c>
      <c r="D139" s="70" t="str">
        <f>IF($S139="","",IF(INDEX(对接源_01水果!$G$4:$G$1203,$S139)=0,"",INDEX(对接源_01水果!$G$4:$G$1203,$S139)))</f>
        <v/>
      </c>
      <c r="E139" s="70" t="str">
        <f>IF($S139="","",IF(INDEX(对接源_01水果!$H$4:$H$1203,$S139)=0,"",INDEX(对接源_01水果!$H$4:$H$1203,$S139)))</f>
        <v/>
      </c>
      <c r="F139" s="70" t="str">
        <f>IF($S139="","",IF(INDEX(对接源_01水果!$I$4:$I$1203,$S139)=0,"",INDEX(对接源_01水果!$I$4:$I$1203,$S139)))</f>
        <v/>
      </c>
      <c r="G139" s="72" t="str">
        <f>IF($S139="","",IF(INDEX(对接源_01水果!$AD$4:$AD$1203,$S139)=0,"",INDEX(对接源_01水果!$AD$4:$AD$1203,$S139)))</f>
        <v/>
      </c>
      <c r="H139" s="72" t="str">
        <f>IF($S139="","",IF(INDEX(对接源_01水果!$AI$4:$AI$1203,$S139)=0,"",INDEX(对接源_01水果!$AI$4:$AI$1203,$S139)))</f>
        <v/>
      </c>
      <c r="I139" s="72" t="str">
        <f>IF($S139="","",IF(INDEX(对接源_01水果!$AE$4:$AE$1203,$S139)=0,"",INDEX(对接源_01水果!$AE$4:$AE$1203,$S139)))</f>
        <v/>
      </c>
      <c r="J139" s="72" t="str">
        <f>IF($S139="","",IF(INDEX(对接源_01水果!$AF$4:$AF$1203,$S139)=0,"",INDEX(对接源_01水果!$AF$4:$AF$1203,$S139)))</f>
        <v/>
      </c>
      <c r="K139" s="72" t="str">
        <f>IF($S139="","",IF(INDEX(对接源_01水果!$K$4:$K$1203,$S139)=0,"",INDEX(对接源_01水果!$K$4:$K$1203,$S139)))</f>
        <v/>
      </c>
      <c r="L139" s="70" t="str">
        <f>IF($S139="","",IF(INDEX(对接源_01水果!$L$4:$L$1203,$S139)=0,"",INDEX(对接源_01水果!$L$4:$L$1203,$S139)))</f>
        <v/>
      </c>
      <c r="M139" s="73" t="str">
        <f>IF($S139="","",IF(INDEX(对接源_01水果!$M$4:$M$1203,$S139)=0,"",INDEX(对接源_01水果!$M$4:$M$1203,$S139)))</f>
        <v/>
      </c>
      <c r="S13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0" ht="15.75" customHeight="1" spans="1:19">
      <c r="A140" s="70" t="str">
        <f>IF($S140="","",IF(INDEX(对接源_01水果!$B$4:$B$1203,$S140)=0,"",INDEX(对接源_01水果!$B$4:$B$1203,$S140)))</f>
        <v/>
      </c>
      <c r="B140" s="70" t="str">
        <f>IF($S140="","",IF(INDEX(对接源_01水果!$E$4:$E$1203,$S140)=0,"",INDEX(对接源_01水果!$E$4:$E$1203,$S140)))</f>
        <v/>
      </c>
      <c r="C140" s="70" t="str">
        <f>IF($S140="","",IF(INDEX(对接源_01水果!$F$4:$F$1203,$S140)=0,"",INDEX(对接源_01水果!$F$4:$F$1203,$S140)))</f>
        <v/>
      </c>
      <c r="D140" s="70" t="str">
        <f>IF($S140="","",IF(INDEX(对接源_01水果!$G$4:$G$1203,$S140)=0,"",INDEX(对接源_01水果!$G$4:$G$1203,$S140)))</f>
        <v/>
      </c>
      <c r="E140" s="70" t="str">
        <f>IF($S140="","",IF(INDEX(对接源_01水果!$H$4:$H$1203,$S140)=0,"",INDEX(对接源_01水果!$H$4:$H$1203,$S140)))</f>
        <v/>
      </c>
      <c r="F140" s="70" t="str">
        <f>IF($S140="","",IF(INDEX(对接源_01水果!$I$4:$I$1203,$S140)=0,"",INDEX(对接源_01水果!$I$4:$I$1203,$S140)))</f>
        <v/>
      </c>
      <c r="G140" s="72" t="str">
        <f>IF($S140="","",IF(INDEX(对接源_01水果!$AD$4:$AD$1203,$S140)=0,"",INDEX(对接源_01水果!$AD$4:$AD$1203,$S140)))</f>
        <v/>
      </c>
      <c r="H140" s="72" t="str">
        <f>IF($S140="","",IF(INDEX(对接源_01水果!$AI$4:$AI$1203,$S140)=0,"",INDEX(对接源_01水果!$AI$4:$AI$1203,$S140)))</f>
        <v/>
      </c>
      <c r="I140" s="72" t="str">
        <f>IF($S140="","",IF(INDEX(对接源_01水果!$AE$4:$AE$1203,$S140)=0,"",INDEX(对接源_01水果!$AE$4:$AE$1203,$S140)))</f>
        <v/>
      </c>
      <c r="J140" s="72" t="str">
        <f>IF($S140="","",IF(INDEX(对接源_01水果!$AF$4:$AF$1203,$S140)=0,"",INDEX(对接源_01水果!$AF$4:$AF$1203,$S140)))</f>
        <v/>
      </c>
      <c r="K140" s="72" t="str">
        <f>IF($S140="","",IF(INDEX(对接源_01水果!$K$4:$K$1203,$S140)=0,"",INDEX(对接源_01水果!$K$4:$K$1203,$S140)))</f>
        <v/>
      </c>
      <c r="L140" s="70" t="str">
        <f>IF($S140="","",IF(INDEX(对接源_01水果!$L$4:$L$1203,$S140)=0,"",INDEX(对接源_01水果!$L$4:$L$1203,$S140)))</f>
        <v/>
      </c>
      <c r="M140" s="73" t="str">
        <f>IF($S140="","",IF(INDEX(对接源_01水果!$M$4:$M$1203,$S140)=0,"",INDEX(对接源_01水果!$M$4:$M$1203,$S140)))</f>
        <v/>
      </c>
      <c r="S14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1" ht="15.75" customHeight="1" spans="1:19">
      <c r="A141" s="70" t="str">
        <f>IF($S141="","",IF(INDEX(对接源_01水果!$B$4:$B$1203,$S141)=0,"",INDEX(对接源_01水果!$B$4:$B$1203,$S141)))</f>
        <v/>
      </c>
      <c r="B141" s="70" t="str">
        <f>IF($S141="","",IF(INDEX(对接源_01水果!$E$4:$E$1203,$S141)=0,"",INDEX(对接源_01水果!$E$4:$E$1203,$S141)))</f>
        <v/>
      </c>
      <c r="C141" s="70" t="str">
        <f>IF($S141="","",IF(INDEX(对接源_01水果!$F$4:$F$1203,$S141)=0,"",INDEX(对接源_01水果!$F$4:$F$1203,$S141)))</f>
        <v/>
      </c>
      <c r="D141" s="70" t="str">
        <f>IF($S141="","",IF(INDEX(对接源_01水果!$G$4:$G$1203,$S141)=0,"",INDEX(对接源_01水果!$G$4:$G$1203,$S141)))</f>
        <v/>
      </c>
      <c r="E141" s="70" t="str">
        <f>IF($S141="","",IF(INDEX(对接源_01水果!$H$4:$H$1203,$S141)=0,"",INDEX(对接源_01水果!$H$4:$H$1203,$S141)))</f>
        <v/>
      </c>
      <c r="F141" s="70" t="str">
        <f>IF($S141="","",IF(INDEX(对接源_01水果!$I$4:$I$1203,$S141)=0,"",INDEX(对接源_01水果!$I$4:$I$1203,$S141)))</f>
        <v/>
      </c>
      <c r="G141" s="72" t="str">
        <f>IF($S141="","",IF(INDEX(对接源_01水果!$AD$4:$AD$1203,$S141)=0,"",INDEX(对接源_01水果!$AD$4:$AD$1203,$S141)))</f>
        <v/>
      </c>
      <c r="H141" s="72" t="str">
        <f>IF($S141="","",IF(INDEX(对接源_01水果!$AI$4:$AI$1203,$S141)=0,"",INDEX(对接源_01水果!$AI$4:$AI$1203,$S141)))</f>
        <v/>
      </c>
      <c r="I141" s="72" t="str">
        <f>IF($S141="","",IF(INDEX(对接源_01水果!$AE$4:$AE$1203,$S141)=0,"",INDEX(对接源_01水果!$AE$4:$AE$1203,$S141)))</f>
        <v/>
      </c>
      <c r="J141" s="72" t="str">
        <f>IF($S141="","",IF(INDEX(对接源_01水果!$AF$4:$AF$1203,$S141)=0,"",INDEX(对接源_01水果!$AF$4:$AF$1203,$S141)))</f>
        <v/>
      </c>
      <c r="K141" s="72" t="str">
        <f>IF($S141="","",IF(INDEX(对接源_01水果!$K$4:$K$1203,$S141)=0,"",INDEX(对接源_01水果!$K$4:$K$1203,$S141)))</f>
        <v/>
      </c>
      <c r="L141" s="70" t="str">
        <f>IF($S141="","",IF(INDEX(对接源_01水果!$L$4:$L$1203,$S141)=0,"",INDEX(对接源_01水果!$L$4:$L$1203,$S141)))</f>
        <v/>
      </c>
      <c r="M141" s="73" t="str">
        <f>IF($S141="","",IF(INDEX(对接源_01水果!$M$4:$M$1203,$S141)=0,"",INDEX(对接源_01水果!$M$4:$M$1203,$S141)))</f>
        <v/>
      </c>
      <c r="S14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2" ht="15.75" customHeight="1" spans="1:19">
      <c r="A142" s="70" t="str">
        <f>IF($S142="","",IF(INDEX(对接源_01水果!$B$4:$B$1203,$S142)=0,"",INDEX(对接源_01水果!$B$4:$B$1203,$S142)))</f>
        <v/>
      </c>
      <c r="B142" s="70" t="str">
        <f>IF($S142="","",IF(INDEX(对接源_01水果!$E$4:$E$1203,$S142)=0,"",INDEX(对接源_01水果!$E$4:$E$1203,$S142)))</f>
        <v/>
      </c>
      <c r="C142" s="70" t="str">
        <f>IF($S142="","",IF(INDEX(对接源_01水果!$F$4:$F$1203,$S142)=0,"",INDEX(对接源_01水果!$F$4:$F$1203,$S142)))</f>
        <v/>
      </c>
      <c r="D142" s="70" t="str">
        <f>IF($S142="","",IF(INDEX(对接源_01水果!$G$4:$G$1203,$S142)=0,"",INDEX(对接源_01水果!$G$4:$G$1203,$S142)))</f>
        <v/>
      </c>
      <c r="E142" s="70" t="str">
        <f>IF($S142="","",IF(INDEX(对接源_01水果!$H$4:$H$1203,$S142)=0,"",INDEX(对接源_01水果!$H$4:$H$1203,$S142)))</f>
        <v/>
      </c>
      <c r="F142" s="70" t="str">
        <f>IF($S142="","",IF(INDEX(对接源_01水果!$I$4:$I$1203,$S142)=0,"",INDEX(对接源_01水果!$I$4:$I$1203,$S142)))</f>
        <v/>
      </c>
      <c r="G142" s="72" t="str">
        <f>IF($S142="","",IF(INDEX(对接源_01水果!$AD$4:$AD$1203,$S142)=0,"",INDEX(对接源_01水果!$AD$4:$AD$1203,$S142)))</f>
        <v/>
      </c>
      <c r="H142" s="72" t="str">
        <f>IF($S142="","",IF(INDEX(对接源_01水果!$AI$4:$AI$1203,$S142)=0,"",INDEX(对接源_01水果!$AI$4:$AI$1203,$S142)))</f>
        <v/>
      </c>
      <c r="I142" s="72" t="str">
        <f>IF($S142="","",IF(INDEX(对接源_01水果!$AE$4:$AE$1203,$S142)=0,"",INDEX(对接源_01水果!$AE$4:$AE$1203,$S142)))</f>
        <v/>
      </c>
      <c r="J142" s="72" t="str">
        <f>IF($S142="","",IF(INDEX(对接源_01水果!$AF$4:$AF$1203,$S142)=0,"",INDEX(对接源_01水果!$AF$4:$AF$1203,$S142)))</f>
        <v/>
      </c>
      <c r="K142" s="72" t="str">
        <f>IF($S142="","",IF(INDEX(对接源_01水果!$K$4:$K$1203,$S142)=0,"",INDEX(对接源_01水果!$K$4:$K$1203,$S142)))</f>
        <v/>
      </c>
      <c r="L142" s="70" t="str">
        <f>IF($S142="","",IF(INDEX(对接源_01水果!$L$4:$L$1203,$S142)=0,"",INDEX(对接源_01水果!$L$4:$L$1203,$S142)))</f>
        <v/>
      </c>
      <c r="M142" s="73" t="str">
        <f>IF($S142="","",IF(INDEX(对接源_01水果!$M$4:$M$1203,$S142)=0,"",INDEX(对接源_01水果!$M$4:$M$1203,$S142)))</f>
        <v/>
      </c>
      <c r="S14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3" ht="15.75" customHeight="1" spans="1:19">
      <c r="A143" s="70" t="str">
        <f>IF($S143="","",IF(INDEX(对接源_01水果!$B$4:$B$1203,$S143)=0,"",INDEX(对接源_01水果!$B$4:$B$1203,$S143)))</f>
        <v/>
      </c>
      <c r="B143" s="70" t="str">
        <f>IF($S143="","",IF(INDEX(对接源_01水果!$E$4:$E$1203,$S143)=0,"",INDEX(对接源_01水果!$E$4:$E$1203,$S143)))</f>
        <v/>
      </c>
      <c r="C143" s="70" t="str">
        <f>IF($S143="","",IF(INDEX(对接源_01水果!$F$4:$F$1203,$S143)=0,"",INDEX(对接源_01水果!$F$4:$F$1203,$S143)))</f>
        <v/>
      </c>
      <c r="D143" s="70" t="str">
        <f>IF($S143="","",IF(INDEX(对接源_01水果!$G$4:$G$1203,$S143)=0,"",INDEX(对接源_01水果!$G$4:$G$1203,$S143)))</f>
        <v/>
      </c>
      <c r="E143" s="70" t="str">
        <f>IF($S143="","",IF(INDEX(对接源_01水果!$H$4:$H$1203,$S143)=0,"",INDEX(对接源_01水果!$H$4:$H$1203,$S143)))</f>
        <v/>
      </c>
      <c r="F143" s="70" t="str">
        <f>IF($S143="","",IF(INDEX(对接源_01水果!$I$4:$I$1203,$S143)=0,"",INDEX(对接源_01水果!$I$4:$I$1203,$S143)))</f>
        <v/>
      </c>
      <c r="G143" s="72" t="str">
        <f>IF($S143="","",IF(INDEX(对接源_01水果!$AD$4:$AD$1203,$S143)=0,"",INDEX(对接源_01水果!$AD$4:$AD$1203,$S143)))</f>
        <v/>
      </c>
      <c r="H143" s="72" t="str">
        <f>IF($S143="","",IF(INDEX(对接源_01水果!$AI$4:$AI$1203,$S143)=0,"",INDEX(对接源_01水果!$AI$4:$AI$1203,$S143)))</f>
        <v/>
      </c>
      <c r="I143" s="72" t="str">
        <f>IF($S143="","",IF(INDEX(对接源_01水果!$AE$4:$AE$1203,$S143)=0,"",INDEX(对接源_01水果!$AE$4:$AE$1203,$S143)))</f>
        <v/>
      </c>
      <c r="J143" s="72" t="str">
        <f>IF($S143="","",IF(INDEX(对接源_01水果!$AF$4:$AF$1203,$S143)=0,"",INDEX(对接源_01水果!$AF$4:$AF$1203,$S143)))</f>
        <v/>
      </c>
      <c r="K143" s="72" t="str">
        <f>IF($S143="","",IF(INDEX(对接源_01水果!$K$4:$K$1203,$S143)=0,"",INDEX(对接源_01水果!$K$4:$K$1203,$S143)))</f>
        <v/>
      </c>
      <c r="L143" s="70" t="str">
        <f>IF($S143="","",IF(INDEX(对接源_01水果!$L$4:$L$1203,$S143)=0,"",INDEX(对接源_01水果!$L$4:$L$1203,$S143)))</f>
        <v/>
      </c>
      <c r="M143" s="73" t="str">
        <f>IF($S143="","",IF(INDEX(对接源_01水果!$M$4:$M$1203,$S143)=0,"",INDEX(对接源_01水果!$M$4:$M$1203,$S143)))</f>
        <v/>
      </c>
      <c r="S14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4" ht="15.75" customHeight="1" spans="1:19">
      <c r="A144" s="70" t="str">
        <f>IF($S144="","",IF(INDEX(对接源_01水果!$B$4:$B$1203,$S144)=0,"",INDEX(对接源_01水果!$B$4:$B$1203,$S144)))</f>
        <v/>
      </c>
      <c r="B144" s="70" t="str">
        <f>IF($S144="","",IF(INDEX(对接源_01水果!$E$4:$E$1203,$S144)=0,"",INDEX(对接源_01水果!$E$4:$E$1203,$S144)))</f>
        <v/>
      </c>
      <c r="C144" s="70" t="str">
        <f>IF($S144="","",IF(INDEX(对接源_01水果!$F$4:$F$1203,$S144)=0,"",INDEX(对接源_01水果!$F$4:$F$1203,$S144)))</f>
        <v/>
      </c>
      <c r="D144" s="70" t="str">
        <f>IF($S144="","",IF(INDEX(对接源_01水果!$G$4:$G$1203,$S144)=0,"",INDEX(对接源_01水果!$G$4:$G$1203,$S144)))</f>
        <v/>
      </c>
      <c r="E144" s="70" t="str">
        <f>IF($S144="","",IF(INDEX(对接源_01水果!$H$4:$H$1203,$S144)=0,"",INDEX(对接源_01水果!$H$4:$H$1203,$S144)))</f>
        <v/>
      </c>
      <c r="F144" s="70" t="str">
        <f>IF($S144="","",IF(INDEX(对接源_01水果!$I$4:$I$1203,$S144)=0,"",INDEX(对接源_01水果!$I$4:$I$1203,$S144)))</f>
        <v/>
      </c>
      <c r="G144" s="72" t="str">
        <f>IF($S144="","",IF(INDEX(对接源_01水果!$AD$4:$AD$1203,$S144)=0,"",INDEX(对接源_01水果!$AD$4:$AD$1203,$S144)))</f>
        <v/>
      </c>
      <c r="H144" s="72" t="str">
        <f>IF($S144="","",IF(INDEX(对接源_01水果!$AI$4:$AI$1203,$S144)=0,"",INDEX(对接源_01水果!$AI$4:$AI$1203,$S144)))</f>
        <v/>
      </c>
      <c r="I144" s="72" t="str">
        <f>IF($S144="","",IF(INDEX(对接源_01水果!$AE$4:$AE$1203,$S144)=0,"",INDEX(对接源_01水果!$AE$4:$AE$1203,$S144)))</f>
        <v/>
      </c>
      <c r="J144" s="72" t="str">
        <f>IF($S144="","",IF(INDEX(对接源_01水果!$AF$4:$AF$1203,$S144)=0,"",INDEX(对接源_01水果!$AF$4:$AF$1203,$S144)))</f>
        <v/>
      </c>
      <c r="K144" s="72" t="str">
        <f>IF($S144="","",IF(INDEX(对接源_01水果!$K$4:$K$1203,$S144)=0,"",INDEX(对接源_01水果!$K$4:$K$1203,$S144)))</f>
        <v/>
      </c>
      <c r="L144" s="70" t="str">
        <f>IF($S144="","",IF(INDEX(对接源_01水果!$L$4:$L$1203,$S144)=0,"",INDEX(对接源_01水果!$L$4:$L$1203,$S144)))</f>
        <v/>
      </c>
      <c r="M144" s="73" t="str">
        <f>IF($S144="","",IF(INDEX(对接源_01水果!$M$4:$M$1203,$S144)=0,"",INDEX(对接源_01水果!$M$4:$M$1203,$S144)))</f>
        <v/>
      </c>
      <c r="S14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5" ht="15.75" customHeight="1" spans="1:19">
      <c r="A145" s="70" t="str">
        <f>IF($S145="","",IF(INDEX(对接源_01水果!$B$4:$B$1203,$S145)=0,"",INDEX(对接源_01水果!$B$4:$B$1203,$S145)))</f>
        <v/>
      </c>
      <c r="B145" s="70" t="str">
        <f>IF($S145="","",IF(INDEX(对接源_01水果!$E$4:$E$1203,$S145)=0,"",INDEX(对接源_01水果!$E$4:$E$1203,$S145)))</f>
        <v/>
      </c>
      <c r="C145" s="70" t="str">
        <f>IF($S145="","",IF(INDEX(对接源_01水果!$F$4:$F$1203,$S145)=0,"",INDEX(对接源_01水果!$F$4:$F$1203,$S145)))</f>
        <v/>
      </c>
      <c r="D145" s="70" t="str">
        <f>IF($S145="","",IF(INDEX(对接源_01水果!$G$4:$G$1203,$S145)=0,"",INDEX(对接源_01水果!$G$4:$G$1203,$S145)))</f>
        <v/>
      </c>
      <c r="E145" s="70" t="str">
        <f>IF($S145="","",IF(INDEX(对接源_01水果!$H$4:$H$1203,$S145)=0,"",INDEX(对接源_01水果!$H$4:$H$1203,$S145)))</f>
        <v/>
      </c>
      <c r="F145" s="70" t="str">
        <f>IF($S145="","",IF(INDEX(对接源_01水果!$I$4:$I$1203,$S145)=0,"",INDEX(对接源_01水果!$I$4:$I$1203,$S145)))</f>
        <v/>
      </c>
      <c r="G145" s="72" t="str">
        <f>IF($S145="","",IF(INDEX(对接源_01水果!$AD$4:$AD$1203,$S145)=0,"",INDEX(对接源_01水果!$AD$4:$AD$1203,$S145)))</f>
        <v/>
      </c>
      <c r="H145" s="72" t="str">
        <f>IF($S145="","",IF(INDEX(对接源_01水果!$AI$4:$AI$1203,$S145)=0,"",INDEX(对接源_01水果!$AI$4:$AI$1203,$S145)))</f>
        <v/>
      </c>
      <c r="I145" s="72" t="str">
        <f>IF($S145="","",IF(INDEX(对接源_01水果!$AE$4:$AE$1203,$S145)=0,"",INDEX(对接源_01水果!$AE$4:$AE$1203,$S145)))</f>
        <v/>
      </c>
      <c r="J145" s="72" t="str">
        <f>IF($S145="","",IF(INDEX(对接源_01水果!$AF$4:$AF$1203,$S145)=0,"",INDEX(对接源_01水果!$AF$4:$AF$1203,$S145)))</f>
        <v/>
      </c>
      <c r="K145" s="72" t="str">
        <f>IF($S145="","",IF(INDEX(对接源_01水果!$K$4:$K$1203,$S145)=0,"",INDEX(对接源_01水果!$K$4:$K$1203,$S145)))</f>
        <v/>
      </c>
      <c r="L145" s="70" t="str">
        <f>IF($S145="","",IF(INDEX(对接源_01水果!$L$4:$L$1203,$S145)=0,"",INDEX(对接源_01水果!$L$4:$L$1203,$S145)))</f>
        <v/>
      </c>
      <c r="M145" s="73" t="str">
        <f>IF($S145="","",IF(INDEX(对接源_01水果!$M$4:$M$1203,$S145)=0,"",INDEX(对接源_01水果!$M$4:$M$1203,$S145)))</f>
        <v/>
      </c>
      <c r="S14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6" ht="15.75" customHeight="1" spans="1:19">
      <c r="A146" s="70" t="str">
        <f>IF($S146="","",IF(INDEX(对接源_01水果!$B$4:$B$1203,$S146)=0,"",INDEX(对接源_01水果!$B$4:$B$1203,$S146)))</f>
        <v/>
      </c>
      <c r="B146" s="70" t="str">
        <f>IF($S146="","",IF(INDEX(对接源_01水果!$E$4:$E$1203,$S146)=0,"",INDEX(对接源_01水果!$E$4:$E$1203,$S146)))</f>
        <v/>
      </c>
      <c r="C146" s="70" t="str">
        <f>IF($S146="","",IF(INDEX(对接源_01水果!$F$4:$F$1203,$S146)=0,"",INDEX(对接源_01水果!$F$4:$F$1203,$S146)))</f>
        <v/>
      </c>
      <c r="D146" s="70" t="str">
        <f>IF($S146="","",IF(INDEX(对接源_01水果!$G$4:$G$1203,$S146)=0,"",INDEX(对接源_01水果!$G$4:$G$1203,$S146)))</f>
        <v/>
      </c>
      <c r="E146" s="70" t="str">
        <f>IF($S146="","",IF(INDEX(对接源_01水果!$H$4:$H$1203,$S146)=0,"",INDEX(对接源_01水果!$H$4:$H$1203,$S146)))</f>
        <v/>
      </c>
      <c r="F146" s="70" t="str">
        <f>IF($S146="","",IF(INDEX(对接源_01水果!$I$4:$I$1203,$S146)=0,"",INDEX(对接源_01水果!$I$4:$I$1203,$S146)))</f>
        <v/>
      </c>
      <c r="G146" s="72" t="str">
        <f>IF($S146="","",IF(INDEX(对接源_01水果!$AD$4:$AD$1203,$S146)=0,"",INDEX(对接源_01水果!$AD$4:$AD$1203,$S146)))</f>
        <v/>
      </c>
      <c r="H146" s="72" t="str">
        <f>IF($S146="","",IF(INDEX(对接源_01水果!$AI$4:$AI$1203,$S146)=0,"",INDEX(对接源_01水果!$AI$4:$AI$1203,$S146)))</f>
        <v/>
      </c>
      <c r="I146" s="72" t="str">
        <f>IF($S146="","",IF(INDEX(对接源_01水果!$AE$4:$AE$1203,$S146)=0,"",INDEX(对接源_01水果!$AE$4:$AE$1203,$S146)))</f>
        <v/>
      </c>
      <c r="J146" s="72" t="str">
        <f>IF($S146="","",IF(INDEX(对接源_01水果!$AF$4:$AF$1203,$S146)=0,"",INDEX(对接源_01水果!$AF$4:$AF$1203,$S146)))</f>
        <v/>
      </c>
      <c r="K146" s="72" t="str">
        <f>IF($S146="","",IF(INDEX(对接源_01水果!$K$4:$K$1203,$S146)=0,"",INDEX(对接源_01水果!$K$4:$K$1203,$S146)))</f>
        <v/>
      </c>
      <c r="L146" s="70" t="str">
        <f>IF($S146="","",IF(INDEX(对接源_01水果!$L$4:$L$1203,$S146)=0,"",INDEX(对接源_01水果!$L$4:$L$1203,$S146)))</f>
        <v/>
      </c>
      <c r="M146" s="73" t="str">
        <f>IF($S146="","",IF(INDEX(对接源_01水果!$M$4:$M$1203,$S146)=0,"",INDEX(对接源_01水果!$M$4:$M$1203,$S146)))</f>
        <v/>
      </c>
      <c r="S14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7" ht="15.75" customHeight="1" spans="1:19">
      <c r="A147" s="70" t="str">
        <f>IF($S147="","",IF(INDEX(对接源_01水果!$B$4:$B$1203,$S147)=0,"",INDEX(对接源_01水果!$B$4:$B$1203,$S147)))</f>
        <v/>
      </c>
      <c r="B147" s="70" t="str">
        <f>IF($S147="","",IF(INDEX(对接源_01水果!$E$4:$E$1203,$S147)=0,"",INDEX(对接源_01水果!$E$4:$E$1203,$S147)))</f>
        <v/>
      </c>
      <c r="C147" s="70" t="str">
        <f>IF($S147="","",IF(INDEX(对接源_01水果!$F$4:$F$1203,$S147)=0,"",INDEX(对接源_01水果!$F$4:$F$1203,$S147)))</f>
        <v/>
      </c>
      <c r="D147" s="70" t="str">
        <f>IF($S147="","",IF(INDEX(对接源_01水果!$G$4:$G$1203,$S147)=0,"",INDEX(对接源_01水果!$G$4:$G$1203,$S147)))</f>
        <v/>
      </c>
      <c r="E147" s="70" t="str">
        <f>IF($S147="","",IF(INDEX(对接源_01水果!$H$4:$H$1203,$S147)=0,"",INDEX(对接源_01水果!$H$4:$H$1203,$S147)))</f>
        <v/>
      </c>
      <c r="F147" s="70" t="str">
        <f>IF($S147="","",IF(INDEX(对接源_01水果!$I$4:$I$1203,$S147)=0,"",INDEX(对接源_01水果!$I$4:$I$1203,$S147)))</f>
        <v/>
      </c>
      <c r="G147" s="72" t="str">
        <f>IF($S147="","",IF(INDEX(对接源_01水果!$AD$4:$AD$1203,$S147)=0,"",INDEX(对接源_01水果!$AD$4:$AD$1203,$S147)))</f>
        <v/>
      </c>
      <c r="H147" s="72" t="str">
        <f>IF($S147="","",IF(INDEX(对接源_01水果!$AI$4:$AI$1203,$S147)=0,"",INDEX(对接源_01水果!$AI$4:$AI$1203,$S147)))</f>
        <v/>
      </c>
      <c r="I147" s="72" t="str">
        <f>IF($S147="","",IF(INDEX(对接源_01水果!$AE$4:$AE$1203,$S147)=0,"",INDEX(对接源_01水果!$AE$4:$AE$1203,$S147)))</f>
        <v/>
      </c>
      <c r="J147" s="72" t="str">
        <f>IF($S147="","",IF(INDEX(对接源_01水果!$AF$4:$AF$1203,$S147)=0,"",INDEX(对接源_01水果!$AF$4:$AF$1203,$S147)))</f>
        <v/>
      </c>
      <c r="K147" s="72" t="str">
        <f>IF($S147="","",IF(INDEX(对接源_01水果!$K$4:$K$1203,$S147)=0,"",INDEX(对接源_01水果!$K$4:$K$1203,$S147)))</f>
        <v/>
      </c>
      <c r="L147" s="70" t="str">
        <f>IF($S147="","",IF(INDEX(对接源_01水果!$L$4:$L$1203,$S147)=0,"",INDEX(对接源_01水果!$L$4:$L$1203,$S147)))</f>
        <v/>
      </c>
      <c r="M147" s="73" t="str">
        <f>IF($S147="","",IF(INDEX(对接源_01水果!$M$4:$M$1203,$S147)=0,"",INDEX(对接源_01水果!$M$4:$M$1203,$S147)))</f>
        <v/>
      </c>
      <c r="S14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8" ht="15.75" customHeight="1" spans="1:19">
      <c r="A148" s="70" t="str">
        <f>IF($S148="","",IF(INDEX(对接源_01水果!$B$4:$B$1203,$S148)=0,"",INDEX(对接源_01水果!$B$4:$B$1203,$S148)))</f>
        <v/>
      </c>
      <c r="B148" s="70" t="str">
        <f>IF($S148="","",IF(INDEX(对接源_01水果!$E$4:$E$1203,$S148)=0,"",INDEX(对接源_01水果!$E$4:$E$1203,$S148)))</f>
        <v/>
      </c>
      <c r="C148" s="70" t="str">
        <f>IF($S148="","",IF(INDEX(对接源_01水果!$F$4:$F$1203,$S148)=0,"",INDEX(对接源_01水果!$F$4:$F$1203,$S148)))</f>
        <v/>
      </c>
      <c r="D148" s="70" t="str">
        <f>IF($S148="","",IF(INDEX(对接源_01水果!$G$4:$G$1203,$S148)=0,"",INDEX(对接源_01水果!$G$4:$G$1203,$S148)))</f>
        <v/>
      </c>
      <c r="E148" s="70" t="str">
        <f>IF($S148="","",IF(INDEX(对接源_01水果!$H$4:$H$1203,$S148)=0,"",INDEX(对接源_01水果!$H$4:$H$1203,$S148)))</f>
        <v/>
      </c>
      <c r="F148" s="70" t="str">
        <f>IF($S148="","",IF(INDEX(对接源_01水果!$I$4:$I$1203,$S148)=0,"",INDEX(对接源_01水果!$I$4:$I$1203,$S148)))</f>
        <v/>
      </c>
      <c r="G148" s="72" t="str">
        <f>IF($S148="","",IF(INDEX(对接源_01水果!$AD$4:$AD$1203,$S148)=0,"",INDEX(对接源_01水果!$AD$4:$AD$1203,$S148)))</f>
        <v/>
      </c>
      <c r="H148" s="72" t="str">
        <f>IF($S148="","",IF(INDEX(对接源_01水果!$AI$4:$AI$1203,$S148)=0,"",INDEX(对接源_01水果!$AI$4:$AI$1203,$S148)))</f>
        <v/>
      </c>
      <c r="I148" s="72" t="str">
        <f>IF($S148="","",IF(INDEX(对接源_01水果!$AE$4:$AE$1203,$S148)=0,"",INDEX(对接源_01水果!$AE$4:$AE$1203,$S148)))</f>
        <v/>
      </c>
      <c r="J148" s="72" t="str">
        <f>IF($S148="","",IF(INDEX(对接源_01水果!$AF$4:$AF$1203,$S148)=0,"",INDEX(对接源_01水果!$AF$4:$AF$1203,$S148)))</f>
        <v/>
      </c>
      <c r="K148" s="72" t="str">
        <f>IF($S148="","",IF(INDEX(对接源_01水果!$K$4:$K$1203,$S148)=0,"",INDEX(对接源_01水果!$K$4:$K$1203,$S148)))</f>
        <v/>
      </c>
      <c r="L148" s="70" t="str">
        <f>IF($S148="","",IF(INDEX(对接源_01水果!$L$4:$L$1203,$S148)=0,"",INDEX(对接源_01水果!$L$4:$L$1203,$S148)))</f>
        <v/>
      </c>
      <c r="M148" s="73" t="str">
        <f>IF($S148="","",IF(INDEX(对接源_01水果!$M$4:$M$1203,$S148)=0,"",INDEX(对接源_01水果!$M$4:$M$1203,$S148)))</f>
        <v/>
      </c>
      <c r="S14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9" ht="15.75" customHeight="1" spans="1:19">
      <c r="A149" s="70" t="str">
        <f>IF($S149="","",IF(INDEX(对接源_01水果!$B$4:$B$1203,$S149)=0,"",INDEX(对接源_01水果!$B$4:$B$1203,$S149)))</f>
        <v/>
      </c>
      <c r="B149" s="70" t="str">
        <f>IF($S149="","",IF(INDEX(对接源_01水果!$E$4:$E$1203,$S149)=0,"",INDEX(对接源_01水果!$E$4:$E$1203,$S149)))</f>
        <v/>
      </c>
      <c r="C149" s="70" t="str">
        <f>IF($S149="","",IF(INDEX(对接源_01水果!$F$4:$F$1203,$S149)=0,"",INDEX(对接源_01水果!$F$4:$F$1203,$S149)))</f>
        <v/>
      </c>
      <c r="D149" s="70" t="str">
        <f>IF($S149="","",IF(INDEX(对接源_01水果!$G$4:$G$1203,$S149)=0,"",INDEX(对接源_01水果!$G$4:$G$1203,$S149)))</f>
        <v/>
      </c>
      <c r="E149" s="70" t="str">
        <f>IF($S149="","",IF(INDEX(对接源_01水果!$H$4:$H$1203,$S149)=0,"",INDEX(对接源_01水果!$H$4:$H$1203,$S149)))</f>
        <v/>
      </c>
      <c r="F149" s="70" t="str">
        <f>IF($S149="","",IF(INDEX(对接源_01水果!$I$4:$I$1203,$S149)=0,"",INDEX(对接源_01水果!$I$4:$I$1203,$S149)))</f>
        <v/>
      </c>
      <c r="G149" s="72" t="str">
        <f>IF($S149="","",IF(INDEX(对接源_01水果!$AD$4:$AD$1203,$S149)=0,"",INDEX(对接源_01水果!$AD$4:$AD$1203,$S149)))</f>
        <v/>
      </c>
      <c r="H149" s="72" t="str">
        <f>IF($S149="","",IF(INDEX(对接源_01水果!$AI$4:$AI$1203,$S149)=0,"",INDEX(对接源_01水果!$AI$4:$AI$1203,$S149)))</f>
        <v/>
      </c>
      <c r="I149" s="72" t="str">
        <f>IF($S149="","",IF(INDEX(对接源_01水果!$AE$4:$AE$1203,$S149)=0,"",INDEX(对接源_01水果!$AE$4:$AE$1203,$S149)))</f>
        <v/>
      </c>
      <c r="J149" s="72" t="str">
        <f>IF($S149="","",IF(INDEX(对接源_01水果!$AF$4:$AF$1203,$S149)=0,"",INDEX(对接源_01水果!$AF$4:$AF$1203,$S149)))</f>
        <v/>
      </c>
      <c r="K149" s="72" t="str">
        <f>IF($S149="","",IF(INDEX(对接源_01水果!$K$4:$K$1203,$S149)=0,"",INDEX(对接源_01水果!$K$4:$K$1203,$S149)))</f>
        <v/>
      </c>
      <c r="L149" s="70" t="str">
        <f>IF($S149="","",IF(INDEX(对接源_01水果!$L$4:$L$1203,$S149)=0,"",INDEX(对接源_01水果!$L$4:$L$1203,$S149)))</f>
        <v/>
      </c>
      <c r="M149" s="73" t="str">
        <f>IF($S149="","",IF(INDEX(对接源_01水果!$M$4:$M$1203,$S149)=0,"",INDEX(对接源_01水果!$M$4:$M$1203,$S149)))</f>
        <v/>
      </c>
      <c r="S14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0" ht="15.75" customHeight="1" spans="1:19">
      <c r="A150" s="70" t="str">
        <f>IF($S150="","",IF(INDEX(对接源_01水果!$B$4:$B$1203,$S150)=0,"",INDEX(对接源_01水果!$B$4:$B$1203,$S150)))</f>
        <v/>
      </c>
      <c r="B150" s="70" t="str">
        <f>IF($S150="","",IF(INDEX(对接源_01水果!$E$4:$E$1203,$S150)=0,"",INDEX(对接源_01水果!$E$4:$E$1203,$S150)))</f>
        <v/>
      </c>
      <c r="C150" s="70" t="str">
        <f>IF($S150="","",IF(INDEX(对接源_01水果!$F$4:$F$1203,$S150)=0,"",INDEX(对接源_01水果!$F$4:$F$1203,$S150)))</f>
        <v/>
      </c>
      <c r="D150" s="70" t="str">
        <f>IF($S150="","",IF(INDEX(对接源_01水果!$G$4:$G$1203,$S150)=0,"",INDEX(对接源_01水果!$G$4:$G$1203,$S150)))</f>
        <v/>
      </c>
      <c r="E150" s="70" t="str">
        <f>IF($S150="","",IF(INDEX(对接源_01水果!$H$4:$H$1203,$S150)=0,"",INDEX(对接源_01水果!$H$4:$H$1203,$S150)))</f>
        <v/>
      </c>
      <c r="F150" s="70" t="str">
        <f>IF($S150="","",IF(INDEX(对接源_01水果!$I$4:$I$1203,$S150)=0,"",INDEX(对接源_01水果!$I$4:$I$1203,$S150)))</f>
        <v/>
      </c>
      <c r="G150" s="72" t="str">
        <f>IF($S150="","",IF(INDEX(对接源_01水果!$AD$4:$AD$1203,$S150)=0,"",INDEX(对接源_01水果!$AD$4:$AD$1203,$S150)))</f>
        <v/>
      </c>
      <c r="H150" s="72" t="str">
        <f>IF($S150="","",IF(INDEX(对接源_01水果!$AI$4:$AI$1203,$S150)=0,"",INDEX(对接源_01水果!$AI$4:$AI$1203,$S150)))</f>
        <v/>
      </c>
      <c r="I150" s="72" t="str">
        <f>IF($S150="","",IF(INDEX(对接源_01水果!$AE$4:$AE$1203,$S150)=0,"",INDEX(对接源_01水果!$AE$4:$AE$1203,$S150)))</f>
        <v/>
      </c>
      <c r="J150" s="72" t="str">
        <f>IF($S150="","",IF(INDEX(对接源_01水果!$AF$4:$AF$1203,$S150)=0,"",INDEX(对接源_01水果!$AF$4:$AF$1203,$S150)))</f>
        <v/>
      </c>
      <c r="K150" s="72" t="str">
        <f>IF($S150="","",IF(INDEX(对接源_01水果!$K$4:$K$1203,$S150)=0,"",INDEX(对接源_01水果!$K$4:$K$1203,$S150)))</f>
        <v/>
      </c>
      <c r="L150" s="70" t="str">
        <f>IF($S150="","",IF(INDEX(对接源_01水果!$L$4:$L$1203,$S150)=0,"",INDEX(对接源_01水果!$L$4:$L$1203,$S150)))</f>
        <v/>
      </c>
      <c r="M150" s="73" t="str">
        <f>IF($S150="","",IF(INDEX(对接源_01水果!$M$4:$M$1203,$S150)=0,"",INDEX(对接源_01水果!$M$4:$M$1203,$S150)))</f>
        <v/>
      </c>
      <c r="S15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1" ht="15.75" customHeight="1" spans="1:19">
      <c r="A151" s="70" t="str">
        <f>IF($S151="","",IF(INDEX(对接源_01水果!$B$4:$B$1203,$S151)=0,"",INDEX(对接源_01水果!$B$4:$B$1203,$S151)))</f>
        <v/>
      </c>
      <c r="B151" s="70" t="str">
        <f>IF($S151="","",IF(INDEX(对接源_01水果!$E$4:$E$1203,$S151)=0,"",INDEX(对接源_01水果!$E$4:$E$1203,$S151)))</f>
        <v/>
      </c>
      <c r="C151" s="70" t="str">
        <f>IF($S151="","",IF(INDEX(对接源_01水果!$F$4:$F$1203,$S151)=0,"",INDEX(对接源_01水果!$F$4:$F$1203,$S151)))</f>
        <v/>
      </c>
      <c r="D151" s="70" t="str">
        <f>IF($S151="","",IF(INDEX(对接源_01水果!$G$4:$G$1203,$S151)=0,"",INDEX(对接源_01水果!$G$4:$G$1203,$S151)))</f>
        <v/>
      </c>
      <c r="E151" s="70" t="str">
        <f>IF($S151="","",IF(INDEX(对接源_01水果!$H$4:$H$1203,$S151)=0,"",INDEX(对接源_01水果!$H$4:$H$1203,$S151)))</f>
        <v/>
      </c>
      <c r="F151" s="70" t="str">
        <f>IF($S151="","",IF(INDEX(对接源_01水果!$I$4:$I$1203,$S151)=0,"",INDEX(对接源_01水果!$I$4:$I$1203,$S151)))</f>
        <v/>
      </c>
      <c r="G151" s="72" t="str">
        <f>IF($S151="","",IF(INDEX(对接源_01水果!$AD$4:$AD$1203,$S151)=0,"",INDEX(对接源_01水果!$AD$4:$AD$1203,$S151)))</f>
        <v/>
      </c>
      <c r="H151" s="72" t="str">
        <f>IF($S151="","",IF(INDEX(对接源_01水果!$AI$4:$AI$1203,$S151)=0,"",INDEX(对接源_01水果!$AI$4:$AI$1203,$S151)))</f>
        <v/>
      </c>
      <c r="I151" s="72" t="str">
        <f>IF($S151="","",IF(INDEX(对接源_01水果!$AE$4:$AE$1203,$S151)=0,"",INDEX(对接源_01水果!$AE$4:$AE$1203,$S151)))</f>
        <v/>
      </c>
      <c r="J151" s="72" t="str">
        <f>IF($S151="","",IF(INDEX(对接源_01水果!$AF$4:$AF$1203,$S151)=0,"",INDEX(对接源_01水果!$AF$4:$AF$1203,$S151)))</f>
        <v/>
      </c>
      <c r="K151" s="72" t="str">
        <f>IF($S151="","",IF(INDEX(对接源_01水果!$K$4:$K$1203,$S151)=0,"",INDEX(对接源_01水果!$K$4:$K$1203,$S151)))</f>
        <v/>
      </c>
      <c r="L151" s="70" t="str">
        <f>IF($S151="","",IF(INDEX(对接源_01水果!$L$4:$L$1203,$S151)=0,"",INDEX(对接源_01水果!$L$4:$L$1203,$S151)))</f>
        <v/>
      </c>
      <c r="M151" s="73" t="str">
        <f>IF($S151="","",IF(INDEX(对接源_01水果!$M$4:$M$1203,$S151)=0,"",INDEX(对接源_01水果!$M$4:$M$1203,$S151)))</f>
        <v/>
      </c>
      <c r="S15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2" ht="15.75" customHeight="1" spans="1:19">
      <c r="A152" s="70" t="str">
        <f>IF($S152="","",IF(INDEX(对接源_01水果!$B$4:$B$1203,$S152)=0,"",INDEX(对接源_01水果!$B$4:$B$1203,$S152)))</f>
        <v/>
      </c>
      <c r="B152" s="70" t="str">
        <f>IF($S152="","",IF(INDEX(对接源_01水果!$E$4:$E$1203,$S152)=0,"",INDEX(对接源_01水果!$E$4:$E$1203,$S152)))</f>
        <v/>
      </c>
      <c r="C152" s="70" t="str">
        <f>IF($S152="","",IF(INDEX(对接源_01水果!$F$4:$F$1203,$S152)=0,"",INDEX(对接源_01水果!$F$4:$F$1203,$S152)))</f>
        <v/>
      </c>
      <c r="D152" s="70" t="str">
        <f>IF($S152="","",IF(INDEX(对接源_01水果!$G$4:$G$1203,$S152)=0,"",INDEX(对接源_01水果!$G$4:$G$1203,$S152)))</f>
        <v/>
      </c>
      <c r="E152" s="70" t="str">
        <f>IF($S152="","",IF(INDEX(对接源_01水果!$H$4:$H$1203,$S152)=0,"",INDEX(对接源_01水果!$H$4:$H$1203,$S152)))</f>
        <v/>
      </c>
      <c r="F152" s="70" t="str">
        <f>IF($S152="","",IF(INDEX(对接源_01水果!$I$4:$I$1203,$S152)=0,"",INDEX(对接源_01水果!$I$4:$I$1203,$S152)))</f>
        <v/>
      </c>
      <c r="G152" s="72" t="str">
        <f>IF($S152="","",IF(INDEX(对接源_01水果!$AD$4:$AD$1203,$S152)=0,"",INDEX(对接源_01水果!$AD$4:$AD$1203,$S152)))</f>
        <v/>
      </c>
      <c r="H152" s="72" t="str">
        <f>IF($S152="","",IF(INDEX(对接源_01水果!$AI$4:$AI$1203,$S152)=0,"",INDEX(对接源_01水果!$AI$4:$AI$1203,$S152)))</f>
        <v/>
      </c>
      <c r="I152" s="72" t="str">
        <f>IF($S152="","",IF(INDEX(对接源_01水果!$AE$4:$AE$1203,$S152)=0,"",INDEX(对接源_01水果!$AE$4:$AE$1203,$S152)))</f>
        <v/>
      </c>
      <c r="J152" s="72" t="str">
        <f>IF($S152="","",IF(INDEX(对接源_01水果!$AF$4:$AF$1203,$S152)=0,"",INDEX(对接源_01水果!$AF$4:$AF$1203,$S152)))</f>
        <v/>
      </c>
      <c r="K152" s="72" t="str">
        <f>IF($S152="","",IF(INDEX(对接源_01水果!$K$4:$K$1203,$S152)=0,"",INDEX(对接源_01水果!$K$4:$K$1203,$S152)))</f>
        <v/>
      </c>
      <c r="L152" s="70" t="str">
        <f>IF($S152="","",IF(INDEX(对接源_01水果!$L$4:$L$1203,$S152)=0,"",INDEX(对接源_01水果!$L$4:$L$1203,$S152)))</f>
        <v/>
      </c>
      <c r="M152" s="73" t="str">
        <f>IF($S152="","",IF(INDEX(对接源_01水果!$M$4:$M$1203,$S152)=0,"",INDEX(对接源_01水果!$M$4:$M$1203,$S152)))</f>
        <v/>
      </c>
      <c r="S15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3" ht="15.75" customHeight="1" spans="1:19">
      <c r="A153" s="70" t="str">
        <f>IF($S153="","",IF(INDEX(对接源_01水果!$B$4:$B$1203,$S153)=0,"",INDEX(对接源_01水果!$B$4:$B$1203,$S153)))</f>
        <v/>
      </c>
      <c r="B153" s="70" t="str">
        <f>IF($S153="","",IF(INDEX(对接源_01水果!$E$4:$E$1203,$S153)=0,"",INDEX(对接源_01水果!$E$4:$E$1203,$S153)))</f>
        <v/>
      </c>
      <c r="C153" s="70" t="str">
        <f>IF($S153="","",IF(INDEX(对接源_01水果!$F$4:$F$1203,$S153)=0,"",INDEX(对接源_01水果!$F$4:$F$1203,$S153)))</f>
        <v/>
      </c>
      <c r="D153" s="70" t="str">
        <f>IF($S153="","",IF(INDEX(对接源_01水果!$G$4:$G$1203,$S153)=0,"",INDEX(对接源_01水果!$G$4:$G$1203,$S153)))</f>
        <v/>
      </c>
      <c r="E153" s="70" t="str">
        <f>IF($S153="","",IF(INDEX(对接源_01水果!$H$4:$H$1203,$S153)=0,"",INDEX(对接源_01水果!$H$4:$H$1203,$S153)))</f>
        <v/>
      </c>
      <c r="F153" s="70" t="str">
        <f>IF($S153="","",IF(INDEX(对接源_01水果!$I$4:$I$1203,$S153)=0,"",INDEX(对接源_01水果!$I$4:$I$1203,$S153)))</f>
        <v/>
      </c>
      <c r="G153" s="72" t="str">
        <f>IF($S153="","",IF(INDEX(对接源_01水果!$AD$4:$AD$1203,$S153)=0,"",INDEX(对接源_01水果!$AD$4:$AD$1203,$S153)))</f>
        <v/>
      </c>
      <c r="H153" s="72" t="str">
        <f>IF($S153="","",IF(INDEX(对接源_01水果!$AI$4:$AI$1203,$S153)=0,"",INDEX(对接源_01水果!$AI$4:$AI$1203,$S153)))</f>
        <v/>
      </c>
      <c r="I153" s="72" t="str">
        <f>IF($S153="","",IF(INDEX(对接源_01水果!$AE$4:$AE$1203,$S153)=0,"",INDEX(对接源_01水果!$AE$4:$AE$1203,$S153)))</f>
        <v/>
      </c>
      <c r="J153" s="72" t="str">
        <f>IF($S153="","",IF(INDEX(对接源_01水果!$AF$4:$AF$1203,$S153)=0,"",INDEX(对接源_01水果!$AF$4:$AF$1203,$S153)))</f>
        <v/>
      </c>
      <c r="K153" s="72" t="str">
        <f>IF($S153="","",IF(INDEX(对接源_01水果!$K$4:$K$1203,$S153)=0,"",INDEX(对接源_01水果!$K$4:$K$1203,$S153)))</f>
        <v/>
      </c>
      <c r="L153" s="70" t="str">
        <f>IF($S153="","",IF(INDEX(对接源_01水果!$L$4:$L$1203,$S153)=0,"",INDEX(对接源_01水果!$L$4:$L$1203,$S153)))</f>
        <v/>
      </c>
      <c r="M153" s="73" t="str">
        <f>IF($S153="","",IF(INDEX(对接源_01水果!$M$4:$M$1203,$S153)=0,"",INDEX(对接源_01水果!$M$4:$M$1203,$S153)))</f>
        <v/>
      </c>
      <c r="S15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4" ht="15.75" customHeight="1" spans="1:19">
      <c r="A154" s="70" t="str">
        <f>IF($S154="","",IF(INDEX(对接源_01水果!$B$4:$B$1203,$S154)=0,"",INDEX(对接源_01水果!$B$4:$B$1203,$S154)))</f>
        <v/>
      </c>
      <c r="B154" s="70" t="str">
        <f>IF($S154="","",IF(INDEX(对接源_01水果!$E$4:$E$1203,$S154)=0,"",INDEX(对接源_01水果!$E$4:$E$1203,$S154)))</f>
        <v/>
      </c>
      <c r="C154" s="70" t="str">
        <f>IF($S154="","",IF(INDEX(对接源_01水果!$F$4:$F$1203,$S154)=0,"",INDEX(对接源_01水果!$F$4:$F$1203,$S154)))</f>
        <v/>
      </c>
      <c r="D154" s="70" t="str">
        <f>IF($S154="","",IF(INDEX(对接源_01水果!$G$4:$G$1203,$S154)=0,"",INDEX(对接源_01水果!$G$4:$G$1203,$S154)))</f>
        <v/>
      </c>
      <c r="E154" s="70" t="str">
        <f>IF($S154="","",IF(INDEX(对接源_01水果!$H$4:$H$1203,$S154)=0,"",INDEX(对接源_01水果!$H$4:$H$1203,$S154)))</f>
        <v/>
      </c>
      <c r="F154" s="70" t="str">
        <f>IF($S154="","",IF(INDEX(对接源_01水果!$I$4:$I$1203,$S154)=0,"",INDEX(对接源_01水果!$I$4:$I$1203,$S154)))</f>
        <v/>
      </c>
      <c r="G154" s="72" t="str">
        <f>IF($S154="","",IF(INDEX(对接源_01水果!$AD$4:$AD$1203,$S154)=0,"",INDEX(对接源_01水果!$AD$4:$AD$1203,$S154)))</f>
        <v/>
      </c>
      <c r="H154" s="72" t="str">
        <f>IF($S154="","",IF(INDEX(对接源_01水果!$AI$4:$AI$1203,$S154)=0,"",INDEX(对接源_01水果!$AI$4:$AI$1203,$S154)))</f>
        <v/>
      </c>
      <c r="I154" s="72" t="str">
        <f>IF($S154="","",IF(INDEX(对接源_01水果!$AE$4:$AE$1203,$S154)=0,"",INDEX(对接源_01水果!$AE$4:$AE$1203,$S154)))</f>
        <v/>
      </c>
      <c r="J154" s="72" t="str">
        <f>IF($S154="","",IF(INDEX(对接源_01水果!$AF$4:$AF$1203,$S154)=0,"",INDEX(对接源_01水果!$AF$4:$AF$1203,$S154)))</f>
        <v/>
      </c>
      <c r="K154" s="72" t="str">
        <f>IF($S154="","",IF(INDEX(对接源_01水果!$K$4:$K$1203,$S154)=0,"",INDEX(对接源_01水果!$K$4:$K$1203,$S154)))</f>
        <v/>
      </c>
      <c r="L154" s="70" t="str">
        <f>IF($S154="","",IF(INDEX(对接源_01水果!$L$4:$L$1203,$S154)=0,"",INDEX(对接源_01水果!$L$4:$L$1203,$S154)))</f>
        <v/>
      </c>
      <c r="M154" s="73" t="str">
        <f>IF($S154="","",IF(INDEX(对接源_01水果!$M$4:$M$1203,$S154)=0,"",INDEX(对接源_01水果!$M$4:$M$1203,$S154)))</f>
        <v/>
      </c>
      <c r="S15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5" ht="15.75" customHeight="1" spans="1:19">
      <c r="A155" s="70" t="str">
        <f>IF($S155="","",IF(INDEX(对接源_01水果!$B$4:$B$1203,$S155)=0,"",INDEX(对接源_01水果!$B$4:$B$1203,$S155)))</f>
        <v/>
      </c>
      <c r="B155" s="70" t="str">
        <f>IF($S155="","",IF(INDEX(对接源_01水果!$E$4:$E$1203,$S155)=0,"",INDEX(对接源_01水果!$E$4:$E$1203,$S155)))</f>
        <v/>
      </c>
      <c r="C155" s="70" t="str">
        <f>IF($S155="","",IF(INDEX(对接源_01水果!$F$4:$F$1203,$S155)=0,"",INDEX(对接源_01水果!$F$4:$F$1203,$S155)))</f>
        <v/>
      </c>
      <c r="D155" s="70" t="str">
        <f>IF($S155="","",IF(INDEX(对接源_01水果!$G$4:$G$1203,$S155)=0,"",INDEX(对接源_01水果!$G$4:$G$1203,$S155)))</f>
        <v/>
      </c>
      <c r="E155" s="70" t="str">
        <f>IF($S155="","",IF(INDEX(对接源_01水果!$H$4:$H$1203,$S155)=0,"",INDEX(对接源_01水果!$H$4:$H$1203,$S155)))</f>
        <v/>
      </c>
      <c r="F155" s="70" t="str">
        <f>IF($S155="","",IF(INDEX(对接源_01水果!$I$4:$I$1203,$S155)=0,"",INDEX(对接源_01水果!$I$4:$I$1203,$S155)))</f>
        <v/>
      </c>
      <c r="G155" s="72" t="str">
        <f>IF($S155="","",IF(INDEX(对接源_01水果!$AD$4:$AD$1203,$S155)=0,"",INDEX(对接源_01水果!$AD$4:$AD$1203,$S155)))</f>
        <v/>
      </c>
      <c r="H155" s="72" t="str">
        <f>IF($S155="","",IF(INDEX(对接源_01水果!$AI$4:$AI$1203,$S155)=0,"",INDEX(对接源_01水果!$AI$4:$AI$1203,$S155)))</f>
        <v/>
      </c>
      <c r="I155" s="72" t="str">
        <f>IF($S155="","",IF(INDEX(对接源_01水果!$AE$4:$AE$1203,$S155)=0,"",INDEX(对接源_01水果!$AE$4:$AE$1203,$S155)))</f>
        <v/>
      </c>
      <c r="J155" s="72" t="str">
        <f>IF($S155="","",IF(INDEX(对接源_01水果!$AF$4:$AF$1203,$S155)=0,"",INDEX(对接源_01水果!$AF$4:$AF$1203,$S155)))</f>
        <v/>
      </c>
      <c r="K155" s="72" t="str">
        <f>IF($S155="","",IF(INDEX(对接源_01水果!$K$4:$K$1203,$S155)=0,"",INDEX(对接源_01水果!$K$4:$K$1203,$S155)))</f>
        <v/>
      </c>
      <c r="L155" s="70" t="str">
        <f>IF($S155="","",IF(INDEX(对接源_01水果!$L$4:$L$1203,$S155)=0,"",INDEX(对接源_01水果!$L$4:$L$1203,$S155)))</f>
        <v/>
      </c>
      <c r="M155" s="73" t="str">
        <f>IF($S155="","",IF(INDEX(对接源_01水果!$M$4:$M$1203,$S155)=0,"",INDEX(对接源_01水果!$M$4:$M$1203,$S155)))</f>
        <v/>
      </c>
      <c r="S15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6" ht="15.75" customHeight="1" spans="1:19">
      <c r="A156" s="70" t="str">
        <f>IF($S156="","",IF(INDEX(对接源_01水果!$B$4:$B$1203,$S156)=0,"",INDEX(对接源_01水果!$B$4:$B$1203,$S156)))</f>
        <v/>
      </c>
      <c r="B156" s="70" t="str">
        <f>IF($S156="","",IF(INDEX(对接源_01水果!$E$4:$E$1203,$S156)=0,"",INDEX(对接源_01水果!$E$4:$E$1203,$S156)))</f>
        <v/>
      </c>
      <c r="C156" s="70" t="str">
        <f>IF($S156="","",IF(INDEX(对接源_01水果!$F$4:$F$1203,$S156)=0,"",INDEX(对接源_01水果!$F$4:$F$1203,$S156)))</f>
        <v/>
      </c>
      <c r="D156" s="70" t="str">
        <f>IF($S156="","",IF(INDEX(对接源_01水果!$G$4:$G$1203,$S156)=0,"",INDEX(对接源_01水果!$G$4:$G$1203,$S156)))</f>
        <v/>
      </c>
      <c r="E156" s="70" t="str">
        <f>IF($S156="","",IF(INDEX(对接源_01水果!$H$4:$H$1203,$S156)=0,"",INDEX(对接源_01水果!$H$4:$H$1203,$S156)))</f>
        <v/>
      </c>
      <c r="F156" s="70" t="str">
        <f>IF($S156="","",IF(INDEX(对接源_01水果!$I$4:$I$1203,$S156)=0,"",INDEX(对接源_01水果!$I$4:$I$1203,$S156)))</f>
        <v/>
      </c>
      <c r="G156" s="72" t="str">
        <f>IF($S156="","",IF(INDEX(对接源_01水果!$AD$4:$AD$1203,$S156)=0,"",INDEX(对接源_01水果!$AD$4:$AD$1203,$S156)))</f>
        <v/>
      </c>
      <c r="H156" s="72" t="str">
        <f>IF($S156="","",IF(INDEX(对接源_01水果!$AI$4:$AI$1203,$S156)=0,"",INDEX(对接源_01水果!$AI$4:$AI$1203,$S156)))</f>
        <v/>
      </c>
      <c r="I156" s="72" t="str">
        <f>IF($S156="","",IF(INDEX(对接源_01水果!$AE$4:$AE$1203,$S156)=0,"",INDEX(对接源_01水果!$AE$4:$AE$1203,$S156)))</f>
        <v/>
      </c>
      <c r="J156" s="72" t="str">
        <f>IF($S156="","",IF(INDEX(对接源_01水果!$AF$4:$AF$1203,$S156)=0,"",INDEX(对接源_01水果!$AF$4:$AF$1203,$S156)))</f>
        <v/>
      </c>
      <c r="K156" s="72" t="str">
        <f>IF($S156="","",IF(INDEX(对接源_01水果!$K$4:$K$1203,$S156)=0,"",INDEX(对接源_01水果!$K$4:$K$1203,$S156)))</f>
        <v/>
      </c>
      <c r="L156" s="70" t="str">
        <f>IF($S156="","",IF(INDEX(对接源_01水果!$L$4:$L$1203,$S156)=0,"",INDEX(对接源_01水果!$L$4:$L$1203,$S156)))</f>
        <v/>
      </c>
      <c r="M156" s="73" t="str">
        <f>IF($S156="","",IF(INDEX(对接源_01水果!$M$4:$M$1203,$S156)=0,"",INDEX(对接源_01水果!$M$4:$M$1203,$S156)))</f>
        <v/>
      </c>
      <c r="S15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7" ht="15.75" customHeight="1" spans="1:19">
      <c r="A157" s="70" t="str">
        <f>IF($S157="","",IF(INDEX(对接源_01水果!$B$4:$B$1203,$S157)=0,"",INDEX(对接源_01水果!$B$4:$B$1203,$S157)))</f>
        <v/>
      </c>
      <c r="B157" s="70" t="str">
        <f>IF($S157="","",IF(INDEX(对接源_01水果!$E$4:$E$1203,$S157)=0,"",INDEX(对接源_01水果!$E$4:$E$1203,$S157)))</f>
        <v/>
      </c>
      <c r="C157" s="70" t="str">
        <f>IF($S157="","",IF(INDEX(对接源_01水果!$F$4:$F$1203,$S157)=0,"",INDEX(对接源_01水果!$F$4:$F$1203,$S157)))</f>
        <v/>
      </c>
      <c r="D157" s="70" t="str">
        <f>IF($S157="","",IF(INDEX(对接源_01水果!$G$4:$G$1203,$S157)=0,"",INDEX(对接源_01水果!$G$4:$G$1203,$S157)))</f>
        <v/>
      </c>
      <c r="E157" s="70" t="str">
        <f>IF($S157="","",IF(INDEX(对接源_01水果!$H$4:$H$1203,$S157)=0,"",INDEX(对接源_01水果!$H$4:$H$1203,$S157)))</f>
        <v/>
      </c>
      <c r="F157" s="70" t="str">
        <f>IF($S157="","",IF(INDEX(对接源_01水果!$I$4:$I$1203,$S157)=0,"",INDEX(对接源_01水果!$I$4:$I$1203,$S157)))</f>
        <v/>
      </c>
      <c r="G157" s="72" t="str">
        <f>IF($S157="","",IF(INDEX(对接源_01水果!$AD$4:$AD$1203,$S157)=0,"",INDEX(对接源_01水果!$AD$4:$AD$1203,$S157)))</f>
        <v/>
      </c>
      <c r="H157" s="72" t="str">
        <f>IF($S157="","",IF(INDEX(对接源_01水果!$AI$4:$AI$1203,$S157)=0,"",INDEX(对接源_01水果!$AI$4:$AI$1203,$S157)))</f>
        <v/>
      </c>
      <c r="I157" s="72" t="str">
        <f>IF($S157="","",IF(INDEX(对接源_01水果!$AE$4:$AE$1203,$S157)=0,"",INDEX(对接源_01水果!$AE$4:$AE$1203,$S157)))</f>
        <v/>
      </c>
      <c r="J157" s="72" t="str">
        <f>IF($S157="","",IF(INDEX(对接源_01水果!$AF$4:$AF$1203,$S157)=0,"",INDEX(对接源_01水果!$AF$4:$AF$1203,$S157)))</f>
        <v/>
      </c>
      <c r="K157" s="72" t="str">
        <f>IF($S157="","",IF(INDEX(对接源_01水果!$K$4:$K$1203,$S157)=0,"",INDEX(对接源_01水果!$K$4:$K$1203,$S157)))</f>
        <v/>
      </c>
      <c r="L157" s="70" t="str">
        <f>IF($S157="","",IF(INDEX(对接源_01水果!$L$4:$L$1203,$S157)=0,"",INDEX(对接源_01水果!$L$4:$L$1203,$S157)))</f>
        <v/>
      </c>
      <c r="M157" s="73" t="str">
        <f>IF($S157="","",IF(INDEX(对接源_01水果!$M$4:$M$1203,$S157)=0,"",INDEX(对接源_01水果!$M$4:$M$1203,$S157)))</f>
        <v/>
      </c>
      <c r="S15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8" ht="15.75" customHeight="1" spans="1:19">
      <c r="A158" s="70" t="str">
        <f>IF($S158="","",IF(INDEX(对接源_01水果!$B$4:$B$1203,$S158)=0,"",INDEX(对接源_01水果!$B$4:$B$1203,$S158)))</f>
        <v/>
      </c>
      <c r="B158" s="70" t="str">
        <f>IF($S158="","",IF(INDEX(对接源_01水果!$E$4:$E$1203,$S158)=0,"",INDEX(对接源_01水果!$E$4:$E$1203,$S158)))</f>
        <v/>
      </c>
      <c r="C158" s="70" t="str">
        <f>IF($S158="","",IF(INDEX(对接源_01水果!$F$4:$F$1203,$S158)=0,"",INDEX(对接源_01水果!$F$4:$F$1203,$S158)))</f>
        <v/>
      </c>
      <c r="D158" s="70" t="str">
        <f>IF($S158="","",IF(INDEX(对接源_01水果!$G$4:$G$1203,$S158)=0,"",INDEX(对接源_01水果!$G$4:$G$1203,$S158)))</f>
        <v/>
      </c>
      <c r="E158" s="70" t="str">
        <f>IF($S158="","",IF(INDEX(对接源_01水果!$H$4:$H$1203,$S158)=0,"",INDEX(对接源_01水果!$H$4:$H$1203,$S158)))</f>
        <v/>
      </c>
      <c r="F158" s="70" t="str">
        <f>IF($S158="","",IF(INDEX(对接源_01水果!$I$4:$I$1203,$S158)=0,"",INDEX(对接源_01水果!$I$4:$I$1203,$S158)))</f>
        <v/>
      </c>
      <c r="G158" s="72" t="str">
        <f>IF($S158="","",IF(INDEX(对接源_01水果!$AD$4:$AD$1203,$S158)=0,"",INDEX(对接源_01水果!$AD$4:$AD$1203,$S158)))</f>
        <v/>
      </c>
      <c r="H158" s="72" t="str">
        <f>IF($S158="","",IF(INDEX(对接源_01水果!$AI$4:$AI$1203,$S158)=0,"",INDEX(对接源_01水果!$AI$4:$AI$1203,$S158)))</f>
        <v/>
      </c>
      <c r="I158" s="72" t="str">
        <f>IF($S158="","",IF(INDEX(对接源_01水果!$AE$4:$AE$1203,$S158)=0,"",INDEX(对接源_01水果!$AE$4:$AE$1203,$S158)))</f>
        <v/>
      </c>
      <c r="J158" s="72" t="str">
        <f>IF($S158="","",IF(INDEX(对接源_01水果!$AF$4:$AF$1203,$S158)=0,"",INDEX(对接源_01水果!$AF$4:$AF$1203,$S158)))</f>
        <v/>
      </c>
      <c r="K158" s="72" t="str">
        <f>IF($S158="","",IF(INDEX(对接源_01水果!$K$4:$K$1203,$S158)=0,"",INDEX(对接源_01水果!$K$4:$K$1203,$S158)))</f>
        <v/>
      </c>
      <c r="L158" s="70" t="str">
        <f>IF($S158="","",IF(INDEX(对接源_01水果!$L$4:$L$1203,$S158)=0,"",INDEX(对接源_01水果!$L$4:$L$1203,$S158)))</f>
        <v/>
      </c>
      <c r="M158" s="73" t="str">
        <f>IF($S158="","",IF(INDEX(对接源_01水果!$M$4:$M$1203,$S158)=0,"",INDEX(对接源_01水果!$M$4:$M$1203,$S158)))</f>
        <v/>
      </c>
      <c r="S15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9" ht="15.75" customHeight="1" spans="1:19">
      <c r="A159" s="70" t="str">
        <f>IF($S159="","",IF(INDEX(对接源_01水果!$B$4:$B$1203,$S159)=0,"",INDEX(对接源_01水果!$B$4:$B$1203,$S159)))</f>
        <v/>
      </c>
      <c r="B159" s="70" t="str">
        <f>IF($S159="","",IF(INDEX(对接源_01水果!$E$4:$E$1203,$S159)=0,"",INDEX(对接源_01水果!$E$4:$E$1203,$S159)))</f>
        <v/>
      </c>
      <c r="C159" s="70" t="str">
        <f>IF($S159="","",IF(INDEX(对接源_01水果!$F$4:$F$1203,$S159)=0,"",INDEX(对接源_01水果!$F$4:$F$1203,$S159)))</f>
        <v/>
      </c>
      <c r="D159" s="70" t="str">
        <f>IF($S159="","",IF(INDEX(对接源_01水果!$G$4:$G$1203,$S159)=0,"",INDEX(对接源_01水果!$G$4:$G$1203,$S159)))</f>
        <v/>
      </c>
      <c r="E159" s="70" t="str">
        <f>IF($S159="","",IF(INDEX(对接源_01水果!$H$4:$H$1203,$S159)=0,"",INDEX(对接源_01水果!$H$4:$H$1203,$S159)))</f>
        <v/>
      </c>
      <c r="F159" s="70" t="str">
        <f>IF($S159="","",IF(INDEX(对接源_01水果!$I$4:$I$1203,$S159)=0,"",INDEX(对接源_01水果!$I$4:$I$1203,$S159)))</f>
        <v/>
      </c>
      <c r="G159" s="72" t="str">
        <f>IF($S159="","",IF(INDEX(对接源_01水果!$AD$4:$AD$1203,$S159)=0,"",INDEX(对接源_01水果!$AD$4:$AD$1203,$S159)))</f>
        <v/>
      </c>
      <c r="H159" s="72" t="str">
        <f>IF($S159="","",IF(INDEX(对接源_01水果!$AI$4:$AI$1203,$S159)=0,"",INDEX(对接源_01水果!$AI$4:$AI$1203,$S159)))</f>
        <v/>
      </c>
      <c r="I159" s="72" t="str">
        <f>IF($S159="","",IF(INDEX(对接源_01水果!$AE$4:$AE$1203,$S159)=0,"",INDEX(对接源_01水果!$AE$4:$AE$1203,$S159)))</f>
        <v/>
      </c>
      <c r="J159" s="72" t="str">
        <f>IF($S159="","",IF(INDEX(对接源_01水果!$AF$4:$AF$1203,$S159)=0,"",INDEX(对接源_01水果!$AF$4:$AF$1203,$S159)))</f>
        <v/>
      </c>
      <c r="K159" s="72" t="str">
        <f>IF($S159="","",IF(INDEX(对接源_01水果!$K$4:$K$1203,$S159)=0,"",INDEX(对接源_01水果!$K$4:$K$1203,$S159)))</f>
        <v/>
      </c>
      <c r="L159" s="70" t="str">
        <f>IF($S159="","",IF(INDEX(对接源_01水果!$L$4:$L$1203,$S159)=0,"",INDEX(对接源_01水果!$L$4:$L$1203,$S159)))</f>
        <v/>
      </c>
      <c r="M159" s="73" t="str">
        <f>IF($S159="","",IF(INDEX(对接源_01水果!$M$4:$M$1203,$S159)=0,"",INDEX(对接源_01水果!$M$4:$M$1203,$S159)))</f>
        <v/>
      </c>
      <c r="S15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0" ht="15.75" customHeight="1" spans="1:19">
      <c r="A160" s="70" t="str">
        <f>IF($S160="","",IF(INDEX(对接源_01水果!$B$4:$B$1203,$S160)=0,"",INDEX(对接源_01水果!$B$4:$B$1203,$S160)))</f>
        <v/>
      </c>
      <c r="B160" s="70" t="str">
        <f>IF($S160="","",IF(INDEX(对接源_01水果!$E$4:$E$1203,$S160)=0,"",INDEX(对接源_01水果!$E$4:$E$1203,$S160)))</f>
        <v/>
      </c>
      <c r="C160" s="70" t="str">
        <f>IF($S160="","",IF(INDEX(对接源_01水果!$F$4:$F$1203,$S160)=0,"",INDEX(对接源_01水果!$F$4:$F$1203,$S160)))</f>
        <v/>
      </c>
      <c r="D160" s="70" t="str">
        <f>IF($S160="","",IF(INDEX(对接源_01水果!$G$4:$G$1203,$S160)=0,"",INDEX(对接源_01水果!$G$4:$G$1203,$S160)))</f>
        <v/>
      </c>
      <c r="E160" s="70" t="str">
        <f>IF($S160="","",IF(INDEX(对接源_01水果!$H$4:$H$1203,$S160)=0,"",INDEX(对接源_01水果!$H$4:$H$1203,$S160)))</f>
        <v/>
      </c>
      <c r="F160" s="70" t="str">
        <f>IF($S160="","",IF(INDEX(对接源_01水果!$I$4:$I$1203,$S160)=0,"",INDEX(对接源_01水果!$I$4:$I$1203,$S160)))</f>
        <v/>
      </c>
      <c r="G160" s="72" t="str">
        <f>IF($S160="","",IF(INDEX(对接源_01水果!$AD$4:$AD$1203,$S160)=0,"",INDEX(对接源_01水果!$AD$4:$AD$1203,$S160)))</f>
        <v/>
      </c>
      <c r="H160" s="72" t="str">
        <f>IF($S160="","",IF(INDEX(对接源_01水果!$AI$4:$AI$1203,$S160)=0,"",INDEX(对接源_01水果!$AI$4:$AI$1203,$S160)))</f>
        <v/>
      </c>
      <c r="I160" s="72" t="str">
        <f>IF($S160="","",IF(INDEX(对接源_01水果!$AE$4:$AE$1203,$S160)=0,"",INDEX(对接源_01水果!$AE$4:$AE$1203,$S160)))</f>
        <v/>
      </c>
      <c r="J160" s="72" t="str">
        <f>IF($S160="","",IF(INDEX(对接源_01水果!$AF$4:$AF$1203,$S160)=0,"",INDEX(对接源_01水果!$AF$4:$AF$1203,$S160)))</f>
        <v/>
      </c>
      <c r="K160" s="72" t="str">
        <f>IF($S160="","",IF(INDEX(对接源_01水果!$K$4:$K$1203,$S160)=0,"",INDEX(对接源_01水果!$K$4:$K$1203,$S160)))</f>
        <v/>
      </c>
      <c r="L160" s="70" t="str">
        <f>IF($S160="","",IF(INDEX(对接源_01水果!$L$4:$L$1203,$S160)=0,"",INDEX(对接源_01水果!$L$4:$L$1203,$S160)))</f>
        <v/>
      </c>
      <c r="M160" s="73" t="str">
        <f>IF($S160="","",IF(INDEX(对接源_01水果!$M$4:$M$1203,$S160)=0,"",INDEX(对接源_01水果!$M$4:$M$1203,$S160)))</f>
        <v/>
      </c>
      <c r="S16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1" ht="15.75" customHeight="1" spans="1:19">
      <c r="A161" s="70" t="str">
        <f>IF($S161="","",IF(INDEX(对接源_01水果!$B$4:$B$1203,$S161)=0,"",INDEX(对接源_01水果!$B$4:$B$1203,$S161)))</f>
        <v/>
      </c>
      <c r="B161" s="70" t="str">
        <f>IF($S161="","",IF(INDEX(对接源_01水果!$E$4:$E$1203,$S161)=0,"",INDEX(对接源_01水果!$E$4:$E$1203,$S161)))</f>
        <v/>
      </c>
      <c r="C161" s="70" t="str">
        <f>IF($S161="","",IF(INDEX(对接源_01水果!$F$4:$F$1203,$S161)=0,"",INDEX(对接源_01水果!$F$4:$F$1203,$S161)))</f>
        <v/>
      </c>
      <c r="D161" s="70" t="str">
        <f>IF($S161="","",IF(INDEX(对接源_01水果!$G$4:$G$1203,$S161)=0,"",INDEX(对接源_01水果!$G$4:$G$1203,$S161)))</f>
        <v/>
      </c>
      <c r="E161" s="70" t="str">
        <f>IF($S161="","",IF(INDEX(对接源_01水果!$H$4:$H$1203,$S161)=0,"",INDEX(对接源_01水果!$H$4:$H$1203,$S161)))</f>
        <v/>
      </c>
      <c r="F161" s="70" t="str">
        <f>IF($S161="","",IF(INDEX(对接源_01水果!$I$4:$I$1203,$S161)=0,"",INDEX(对接源_01水果!$I$4:$I$1203,$S161)))</f>
        <v/>
      </c>
      <c r="G161" s="72" t="str">
        <f>IF($S161="","",IF(INDEX(对接源_01水果!$AD$4:$AD$1203,$S161)=0,"",INDEX(对接源_01水果!$AD$4:$AD$1203,$S161)))</f>
        <v/>
      </c>
      <c r="H161" s="72" t="str">
        <f>IF($S161="","",IF(INDEX(对接源_01水果!$AI$4:$AI$1203,$S161)=0,"",INDEX(对接源_01水果!$AI$4:$AI$1203,$S161)))</f>
        <v/>
      </c>
      <c r="I161" s="72" t="str">
        <f>IF($S161="","",IF(INDEX(对接源_01水果!$AE$4:$AE$1203,$S161)=0,"",INDEX(对接源_01水果!$AE$4:$AE$1203,$S161)))</f>
        <v/>
      </c>
      <c r="J161" s="72" t="str">
        <f>IF($S161="","",IF(INDEX(对接源_01水果!$AF$4:$AF$1203,$S161)=0,"",INDEX(对接源_01水果!$AF$4:$AF$1203,$S161)))</f>
        <v/>
      </c>
      <c r="K161" s="72" t="str">
        <f>IF($S161="","",IF(INDEX(对接源_01水果!$K$4:$K$1203,$S161)=0,"",INDEX(对接源_01水果!$K$4:$K$1203,$S161)))</f>
        <v/>
      </c>
      <c r="L161" s="70" t="str">
        <f>IF($S161="","",IF(INDEX(对接源_01水果!$L$4:$L$1203,$S161)=0,"",INDEX(对接源_01水果!$L$4:$L$1203,$S161)))</f>
        <v/>
      </c>
      <c r="M161" s="73" t="str">
        <f>IF($S161="","",IF(INDEX(对接源_01水果!$M$4:$M$1203,$S161)=0,"",INDEX(对接源_01水果!$M$4:$M$1203,$S161)))</f>
        <v/>
      </c>
      <c r="S16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2" ht="15.75" customHeight="1" spans="1:19">
      <c r="A162" s="70" t="str">
        <f>IF($S162="","",IF(INDEX(对接源_01水果!$B$4:$B$1203,$S162)=0,"",INDEX(对接源_01水果!$B$4:$B$1203,$S162)))</f>
        <v/>
      </c>
      <c r="B162" s="70" t="str">
        <f>IF($S162="","",IF(INDEX(对接源_01水果!$E$4:$E$1203,$S162)=0,"",INDEX(对接源_01水果!$E$4:$E$1203,$S162)))</f>
        <v/>
      </c>
      <c r="C162" s="70" t="str">
        <f>IF($S162="","",IF(INDEX(对接源_01水果!$F$4:$F$1203,$S162)=0,"",INDEX(对接源_01水果!$F$4:$F$1203,$S162)))</f>
        <v/>
      </c>
      <c r="D162" s="70" t="str">
        <f>IF($S162="","",IF(INDEX(对接源_01水果!$G$4:$G$1203,$S162)=0,"",INDEX(对接源_01水果!$G$4:$G$1203,$S162)))</f>
        <v/>
      </c>
      <c r="E162" s="70" t="str">
        <f>IF($S162="","",IF(INDEX(对接源_01水果!$H$4:$H$1203,$S162)=0,"",INDEX(对接源_01水果!$H$4:$H$1203,$S162)))</f>
        <v/>
      </c>
      <c r="F162" s="70" t="str">
        <f>IF($S162="","",IF(INDEX(对接源_01水果!$I$4:$I$1203,$S162)=0,"",INDEX(对接源_01水果!$I$4:$I$1203,$S162)))</f>
        <v/>
      </c>
      <c r="G162" s="72" t="str">
        <f>IF($S162="","",IF(INDEX(对接源_01水果!$AD$4:$AD$1203,$S162)=0,"",INDEX(对接源_01水果!$AD$4:$AD$1203,$S162)))</f>
        <v/>
      </c>
      <c r="H162" s="72" t="str">
        <f>IF($S162="","",IF(INDEX(对接源_01水果!$AI$4:$AI$1203,$S162)=0,"",INDEX(对接源_01水果!$AI$4:$AI$1203,$S162)))</f>
        <v/>
      </c>
      <c r="I162" s="72" t="str">
        <f>IF($S162="","",IF(INDEX(对接源_01水果!$AE$4:$AE$1203,$S162)=0,"",INDEX(对接源_01水果!$AE$4:$AE$1203,$S162)))</f>
        <v/>
      </c>
      <c r="J162" s="72" t="str">
        <f>IF($S162="","",IF(INDEX(对接源_01水果!$AF$4:$AF$1203,$S162)=0,"",INDEX(对接源_01水果!$AF$4:$AF$1203,$S162)))</f>
        <v/>
      </c>
      <c r="K162" s="72" t="str">
        <f>IF($S162="","",IF(INDEX(对接源_01水果!$K$4:$K$1203,$S162)=0,"",INDEX(对接源_01水果!$K$4:$K$1203,$S162)))</f>
        <v/>
      </c>
      <c r="L162" s="70" t="str">
        <f>IF($S162="","",IF(INDEX(对接源_01水果!$L$4:$L$1203,$S162)=0,"",INDEX(对接源_01水果!$L$4:$L$1203,$S162)))</f>
        <v/>
      </c>
      <c r="M162" s="73" t="str">
        <f>IF($S162="","",IF(INDEX(对接源_01水果!$M$4:$M$1203,$S162)=0,"",INDEX(对接源_01水果!$M$4:$M$1203,$S162)))</f>
        <v/>
      </c>
      <c r="S16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3" ht="15.75" customHeight="1" spans="1:19">
      <c r="A163" s="70" t="str">
        <f>IF($S163="","",IF(INDEX(对接源_01水果!$B$4:$B$1203,$S163)=0,"",INDEX(对接源_01水果!$B$4:$B$1203,$S163)))</f>
        <v/>
      </c>
      <c r="B163" s="70" t="str">
        <f>IF($S163="","",IF(INDEX(对接源_01水果!$E$4:$E$1203,$S163)=0,"",INDEX(对接源_01水果!$E$4:$E$1203,$S163)))</f>
        <v/>
      </c>
      <c r="C163" s="70" t="str">
        <f>IF($S163="","",IF(INDEX(对接源_01水果!$F$4:$F$1203,$S163)=0,"",INDEX(对接源_01水果!$F$4:$F$1203,$S163)))</f>
        <v/>
      </c>
      <c r="D163" s="70" t="str">
        <f>IF($S163="","",IF(INDEX(对接源_01水果!$G$4:$G$1203,$S163)=0,"",INDEX(对接源_01水果!$G$4:$G$1203,$S163)))</f>
        <v/>
      </c>
      <c r="E163" s="70" t="str">
        <f>IF($S163="","",IF(INDEX(对接源_01水果!$H$4:$H$1203,$S163)=0,"",INDEX(对接源_01水果!$H$4:$H$1203,$S163)))</f>
        <v/>
      </c>
      <c r="F163" s="70" t="str">
        <f>IF($S163="","",IF(INDEX(对接源_01水果!$I$4:$I$1203,$S163)=0,"",INDEX(对接源_01水果!$I$4:$I$1203,$S163)))</f>
        <v/>
      </c>
      <c r="G163" s="72" t="str">
        <f>IF($S163="","",IF(INDEX(对接源_01水果!$AD$4:$AD$1203,$S163)=0,"",INDEX(对接源_01水果!$AD$4:$AD$1203,$S163)))</f>
        <v/>
      </c>
      <c r="H163" s="72" t="str">
        <f>IF($S163="","",IF(INDEX(对接源_01水果!$AI$4:$AI$1203,$S163)=0,"",INDEX(对接源_01水果!$AI$4:$AI$1203,$S163)))</f>
        <v/>
      </c>
      <c r="I163" s="72" t="str">
        <f>IF($S163="","",IF(INDEX(对接源_01水果!$AE$4:$AE$1203,$S163)=0,"",INDEX(对接源_01水果!$AE$4:$AE$1203,$S163)))</f>
        <v/>
      </c>
      <c r="J163" s="72" t="str">
        <f>IF($S163="","",IF(INDEX(对接源_01水果!$AF$4:$AF$1203,$S163)=0,"",INDEX(对接源_01水果!$AF$4:$AF$1203,$S163)))</f>
        <v/>
      </c>
      <c r="K163" s="72" t="str">
        <f>IF($S163="","",IF(INDEX(对接源_01水果!$K$4:$K$1203,$S163)=0,"",INDEX(对接源_01水果!$K$4:$K$1203,$S163)))</f>
        <v/>
      </c>
      <c r="L163" s="70" t="str">
        <f>IF($S163="","",IF(INDEX(对接源_01水果!$L$4:$L$1203,$S163)=0,"",INDEX(对接源_01水果!$L$4:$L$1203,$S163)))</f>
        <v/>
      </c>
      <c r="M163" s="73" t="str">
        <f>IF($S163="","",IF(INDEX(对接源_01水果!$M$4:$M$1203,$S163)=0,"",INDEX(对接源_01水果!$M$4:$M$1203,$S163)))</f>
        <v/>
      </c>
      <c r="S16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4" ht="15.75" customHeight="1" spans="1:19">
      <c r="A164" s="70" t="str">
        <f>IF($S164="","",IF(INDEX(对接源_01水果!$B$4:$B$1203,$S164)=0,"",INDEX(对接源_01水果!$B$4:$B$1203,$S164)))</f>
        <v/>
      </c>
      <c r="B164" s="70" t="str">
        <f>IF($S164="","",IF(INDEX(对接源_01水果!$E$4:$E$1203,$S164)=0,"",INDEX(对接源_01水果!$E$4:$E$1203,$S164)))</f>
        <v/>
      </c>
      <c r="C164" s="70" t="str">
        <f>IF($S164="","",IF(INDEX(对接源_01水果!$F$4:$F$1203,$S164)=0,"",INDEX(对接源_01水果!$F$4:$F$1203,$S164)))</f>
        <v/>
      </c>
      <c r="D164" s="70" t="str">
        <f>IF($S164="","",IF(INDEX(对接源_01水果!$G$4:$G$1203,$S164)=0,"",INDEX(对接源_01水果!$G$4:$G$1203,$S164)))</f>
        <v/>
      </c>
      <c r="E164" s="70" t="str">
        <f>IF($S164="","",IF(INDEX(对接源_01水果!$H$4:$H$1203,$S164)=0,"",INDEX(对接源_01水果!$H$4:$H$1203,$S164)))</f>
        <v/>
      </c>
      <c r="F164" s="70" t="str">
        <f>IF($S164="","",IF(INDEX(对接源_01水果!$I$4:$I$1203,$S164)=0,"",INDEX(对接源_01水果!$I$4:$I$1203,$S164)))</f>
        <v/>
      </c>
      <c r="G164" s="72" t="str">
        <f>IF($S164="","",IF(INDEX(对接源_01水果!$AD$4:$AD$1203,$S164)=0,"",INDEX(对接源_01水果!$AD$4:$AD$1203,$S164)))</f>
        <v/>
      </c>
      <c r="H164" s="72" t="str">
        <f>IF($S164="","",IF(INDEX(对接源_01水果!$AI$4:$AI$1203,$S164)=0,"",INDEX(对接源_01水果!$AI$4:$AI$1203,$S164)))</f>
        <v/>
      </c>
      <c r="I164" s="72" t="str">
        <f>IF($S164="","",IF(INDEX(对接源_01水果!$AE$4:$AE$1203,$S164)=0,"",INDEX(对接源_01水果!$AE$4:$AE$1203,$S164)))</f>
        <v/>
      </c>
      <c r="J164" s="72" t="str">
        <f>IF($S164="","",IF(INDEX(对接源_01水果!$AF$4:$AF$1203,$S164)=0,"",INDEX(对接源_01水果!$AF$4:$AF$1203,$S164)))</f>
        <v/>
      </c>
      <c r="K164" s="72" t="str">
        <f>IF($S164="","",IF(INDEX(对接源_01水果!$K$4:$K$1203,$S164)=0,"",INDEX(对接源_01水果!$K$4:$K$1203,$S164)))</f>
        <v/>
      </c>
      <c r="L164" s="70" t="str">
        <f>IF($S164="","",IF(INDEX(对接源_01水果!$L$4:$L$1203,$S164)=0,"",INDEX(对接源_01水果!$L$4:$L$1203,$S164)))</f>
        <v/>
      </c>
      <c r="M164" s="73" t="str">
        <f>IF($S164="","",IF(INDEX(对接源_01水果!$M$4:$M$1203,$S164)=0,"",INDEX(对接源_01水果!$M$4:$M$1203,$S164)))</f>
        <v/>
      </c>
      <c r="S16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5" ht="15.75" customHeight="1" spans="1:19">
      <c r="A165" s="70" t="str">
        <f>IF($S165="","",IF(INDEX(对接源_01水果!$B$4:$B$1203,$S165)=0,"",INDEX(对接源_01水果!$B$4:$B$1203,$S165)))</f>
        <v/>
      </c>
      <c r="B165" s="70" t="str">
        <f>IF($S165="","",IF(INDEX(对接源_01水果!$E$4:$E$1203,$S165)=0,"",INDEX(对接源_01水果!$E$4:$E$1203,$S165)))</f>
        <v/>
      </c>
      <c r="C165" s="70" t="str">
        <f>IF($S165="","",IF(INDEX(对接源_01水果!$F$4:$F$1203,$S165)=0,"",INDEX(对接源_01水果!$F$4:$F$1203,$S165)))</f>
        <v/>
      </c>
      <c r="D165" s="70" t="str">
        <f>IF($S165="","",IF(INDEX(对接源_01水果!$G$4:$G$1203,$S165)=0,"",INDEX(对接源_01水果!$G$4:$G$1203,$S165)))</f>
        <v/>
      </c>
      <c r="E165" s="70" t="str">
        <f>IF($S165="","",IF(INDEX(对接源_01水果!$H$4:$H$1203,$S165)=0,"",INDEX(对接源_01水果!$H$4:$H$1203,$S165)))</f>
        <v/>
      </c>
      <c r="F165" s="70" t="str">
        <f>IF($S165="","",IF(INDEX(对接源_01水果!$I$4:$I$1203,$S165)=0,"",INDEX(对接源_01水果!$I$4:$I$1203,$S165)))</f>
        <v/>
      </c>
      <c r="G165" s="72" t="str">
        <f>IF($S165="","",IF(INDEX(对接源_01水果!$AD$4:$AD$1203,$S165)=0,"",INDEX(对接源_01水果!$AD$4:$AD$1203,$S165)))</f>
        <v/>
      </c>
      <c r="H165" s="72" t="str">
        <f>IF($S165="","",IF(INDEX(对接源_01水果!$AI$4:$AI$1203,$S165)=0,"",INDEX(对接源_01水果!$AI$4:$AI$1203,$S165)))</f>
        <v/>
      </c>
      <c r="I165" s="72" t="str">
        <f>IF($S165="","",IF(INDEX(对接源_01水果!$AE$4:$AE$1203,$S165)=0,"",INDEX(对接源_01水果!$AE$4:$AE$1203,$S165)))</f>
        <v/>
      </c>
      <c r="J165" s="72" t="str">
        <f>IF($S165="","",IF(INDEX(对接源_01水果!$AF$4:$AF$1203,$S165)=0,"",INDEX(对接源_01水果!$AF$4:$AF$1203,$S165)))</f>
        <v/>
      </c>
      <c r="K165" s="72" t="str">
        <f>IF($S165="","",IF(INDEX(对接源_01水果!$K$4:$K$1203,$S165)=0,"",INDEX(对接源_01水果!$K$4:$K$1203,$S165)))</f>
        <v/>
      </c>
      <c r="L165" s="70" t="str">
        <f>IF($S165="","",IF(INDEX(对接源_01水果!$L$4:$L$1203,$S165)=0,"",INDEX(对接源_01水果!$L$4:$L$1203,$S165)))</f>
        <v/>
      </c>
      <c r="M165" s="73" t="str">
        <f>IF($S165="","",IF(INDEX(对接源_01水果!$M$4:$M$1203,$S165)=0,"",INDEX(对接源_01水果!$M$4:$M$1203,$S165)))</f>
        <v/>
      </c>
      <c r="S16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6" ht="15.75" customHeight="1" spans="1:19">
      <c r="A166" s="70" t="str">
        <f>IF($S166="","",IF(INDEX(对接源_01水果!$B$4:$B$1203,$S166)=0,"",INDEX(对接源_01水果!$B$4:$B$1203,$S166)))</f>
        <v/>
      </c>
      <c r="B166" s="70" t="str">
        <f>IF($S166="","",IF(INDEX(对接源_01水果!$E$4:$E$1203,$S166)=0,"",INDEX(对接源_01水果!$E$4:$E$1203,$S166)))</f>
        <v/>
      </c>
      <c r="C166" s="70" t="str">
        <f>IF($S166="","",IF(INDEX(对接源_01水果!$F$4:$F$1203,$S166)=0,"",INDEX(对接源_01水果!$F$4:$F$1203,$S166)))</f>
        <v/>
      </c>
      <c r="D166" s="70" t="str">
        <f>IF($S166="","",IF(INDEX(对接源_01水果!$G$4:$G$1203,$S166)=0,"",INDEX(对接源_01水果!$G$4:$G$1203,$S166)))</f>
        <v/>
      </c>
      <c r="E166" s="70" t="str">
        <f>IF($S166="","",IF(INDEX(对接源_01水果!$H$4:$H$1203,$S166)=0,"",INDEX(对接源_01水果!$H$4:$H$1203,$S166)))</f>
        <v/>
      </c>
      <c r="F166" s="70" t="str">
        <f>IF($S166="","",IF(INDEX(对接源_01水果!$I$4:$I$1203,$S166)=0,"",INDEX(对接源_01水果!$I$4:$I$1203,$S166)))</f>
        <v/>
      </c>
      <c r="G166" s="72" t="str">
        <f>IF($S166="","",IF(INDEX(对接源_01水果!$AD$4:$AD$1203,$S166)=0,"",INDEX(对接源_01水果!$AD$4:$AD$1203,$S166)))</f>
        <v/>
      </c>
      <c r="H166" s="72" t="str">
        <f>IF($S166="","",IF(INDEX(对接源_01水果!$AI$4:$AI$1203,$S166)=0,"",INDEX(对接源_01水果!$AI$4:$AI$1203,$S166)))</f>
        <v/>
      </c>
      <c r="I166" s="72" t="str">
        <f>IF($S166="","",IF(INDEX(对接源_01水果!$AE$4:$AE$1203,$S166)=0,"",INDEX(对接源_01水果!$AE$4:$AE$1203,$S166)))</f>
        <v/>
      </c>
      <c r="J166" s="72" t="str">
        <f>IF($S166="","",IF(INDEX(对接源_01水果!$AF$4:$AF$1203,$S166)=0,"",INDEX(对接源_01水果!$AF$4:$AF$1203,$S166)))</f>
        <v/>
      </c>
      <c r="K166" s="72" t="str">
        <f>IF($S166="","",IF(INDEX(对接源_01水果!$K$4:$K$1203,$S166)=0,"",INDEX(对接源_01水果!$K$4:$K$1203,$S166)))</f>
        <v/>
      </c>
      <c r="L166" s="70" t="str">
        <f>IF($S166="","",IF(INDEX(对接源_01水果!$L$4:$L$1203,$S166)=0,"",INDEX(对接源_01水果!$L$4:$L$1203,$S166)))</f>
        <v/>
      </c>
      <c r="M166" s="73" t="str">
        <f>IF($S166="","",IF(INDEX(对接源_01水果!$M$4:$M$1203,$S166)=0,"",INDEX(对接源_01水果!$M$4:$M$1203,$S166)))</f>
        <v/>
      </c>
      <c r="S16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7" ht="15.75" customHeight="1" spans="1:19">
      <c r="A167" s="70" t="str">
        <f>IF($S167="","",IF(INDEX(对接源_01水果!$B$4:$B$1203,$S167)=0,"",INDEX(对接源_01水果!$B$4:$B$1203,$S167)))</f>
        <v/>
      </c>
      <c r="B167" s="70" t="str">
        <f>IF($S167="","",IF(INDEX(对接源_01水果!$E$4:$E$1203,$S167)=0,"",INDEX(对接源_01水果!$E$4:$E$1203,$S167)))</f>
        <v/>
      </c>
      <c r="C167" s="70" t="str">
        <f>IF($S167="","",IF(INDEX(对接源_01水果!$F$4:$F$1203,$S167)=0,"",INDEX(对接源_01水果!$F$4:$F$1203,$S167)))</f>
        <v/>
      </c>
      <c r="D167" s="70" t="str">
        <f>IF($S167="","",IF(INDEX(对接源_01水果!$G$4:$G$1203,$S167)=0,"",INDEX(对接源_01水果!$G$4:$G$1203,$S167)))</f>
        <v/>
      </c>
      <c r="E167" s="70" t="str">
        <f>IF($S167="","",IF(INDEX(对接源_01水果!$H$4:$H$1203,$S167)=0,"",INDEX(对接源_01水果!$H$4:$H$1203,$S167)))</f>
        <v/>
      </c>
      <c r="F167" s="70" t="str">
        <f>IF($S167="","",IF(INDEX(对接源_01水果!$I$4:$I$1203,$S167)=0,"",INDEX(对接源_01水果!$I$4:$I$1203,$S167)))</f>
        <v/>
      </c>
      <c r="G167" s="72" t="str">
        <f>IF($S167="","",IF(INDEX(对接源_01水果!$AD$4:$AD$1203,$S167)=0,"",INDEX(对接源_01水果!$AD$4:$AD$1203,$S167)))</f>
        <v/>
      </c>
      <c r="H167" s="72" t="str">
        <f>IF($S167="","",IF(INDEX(对接源_01水果!$AI$4:$AI$1203,$S167)=0,"",INDEX(对接源_01水果!$AI$4:$AI$1203,$S167)))</f>
        <v/>
      </c>
      <c r="I167" s="72" t="str">
        <f>IF($S167="","",IF(INDEX(对接源_01水果!$AE$4:$AE$1203,$S167)=0,"",INDEX(对接源_01水果!$AE$4:$AE$1203,$S167)))</f>
        <v/>
      </c>
      <c r="J167" s="72" t="str">
        <f>IF($S167="","",IF(INDEX(对接源_01水果!$AF$4:$AF$1203,$S167)=0,"",INDEX(对接源_01水果!$AF$4:$AF$1203,$S167)))</f>
        <v/>
      </c>
      <c r="K167" s="72" t="str">
        <f>IF($S167="","",IF(INDEX(对接源_01水果!$K$4:$K$1203,$S167)=0,"",INDEX(对接源_01水果!$K$4:$K$1203,$S167)))</f>
        <v/>
      </c>
      <c r="L167" s="70" t="str">
        <f>IF($S167="","",IF(INDEX(对接源_01水果!$L$4:$L$1203,$S167)=0,"",INDEX(对接源_01水果!$L$4:$L$1203,$S167)))</f>
        <v/>
      </c>
      <c r="M167" s="73" t="str">
        <f>IF($S167="","",IF(INDEX(对接源_01水果!$M$4:$M$1203,$S167)=0,"",INDEX(对接源_01水果!$M$4:$M$1203,$S167)))</f>
        <v/>
      </c>
      <c r="S16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8" ht="15.75" customHeight="1" spans="1:19">
      <c r="A168" s="70" t="str">
        <f>IF($S168="","",IF(INDEX(对接源_01水果!$B$4:$B$1203,$S168)=0,"",INDEX(对接源_01水果!$B$4:$B$1203,$S168)))</f>
        <v/>
      </c>
      <c r="B168" s="70" t="str">
        <f>IF($S168="","",IF(INDEX(对接源_01水果!$E$4:$E$1203,$S168)=0,"",INDEX(对接源_01水果!$E$4:$E$1203,$S168)))</f>
        <v/>
      </c>
      <c r="C168" s="70" t="str">
        <f>IF($S168="","",IF(INDEX(对接源_01水果!$F$4:$F$1203,$S168)=0,"",INDEX(对接源_01水果!$F$4:$F$1203,$S168)))</f>
        <v/>
      </c>
      <c r="D168" s="70" t="str">
        <f>IF($S168="","",IF(INDEX(对接源_01水果!$G$4:$G$1203,$S168)=0,"",INDEX(对接源_01水果!$G$4:$G$1203,$S168)))</f>
        <v/>
      </c>
      <c r="E168" s="70" t="str">
        <f>IF($S168="","",IF(INDEX(对接源_01水果!$H$4:$H$1203,$S168)=0,"",INDEX(对接源_01水果!$H$4:$H$1203,$S168)))</f>
        <v/>
      </c>
      <c r="F168" s="70" t="str">
        <f>IF($S168="","",IF(INDEX(对接源_01水果!$I$4:$I$1203,$S168)=0,"",INDEX(对接源_01水果!$I$4:$I$1203,$S168)))</f>
        <v/>
      </c>
      <c r="G168" s="72" t="str">
        <f>IF($S168="","",IF(INDEX(对接源_01水果!$AD$4:$AD$1203,$S168)=0,"",INDEX(对接源_01水果!$AD$4:$AD$1203,$S168)))</f>
        <v/>
      </c>
      <c r="H168" s="72" t="str">
        <f>IF($S168="","",IF(INDEX(对接源_01水果!$AI$4:$AI$1203,$S168)=0,"",INDEX(对接源_01水果!$AI$4:$AI$1203,$S168)))</f>
        <v/>
      </c>
      <c r="I168" s="72" t="str">
        <f>IF($S168="","",IF(INDEX(对接源_01水果!$AE$4:$AE$1203,$S168)=0,"",INDEX(对接源_01水果!$AE$4:$AE$1203,$S168)))</f>
        <v/>
      </c>
      <c r="J168" s="72" t="str">
        <f>IF($S168="","",IF(INDEX(对接源_01水果!$AF$4:$AF$1203,$S168)=0,"",INDEX(对接源_01水果!$AF$4:$AF$1203,$S168)))</f>
        <v/>
      </c>
      <c r="K168" s="72" t="str">
        <f>IF($S168="","",IF(INDEX(对接源_01水果!$K$4:$K$1203,$S168)=0,"",INDEX(对接源_01水果!$K$4:$K$1203,$S168)))</f>
        <v/>
      </c>
      <c r="L168" s="70" t="str">
        <f>IF($S168="","",IF(INDEX(对接源_01水果!$L$4:$L$1203,$S168)=0,"",INDEX(对接源_01水果!$L$4:$L$1203,$S168)))</f>
        <v/>
      </c>
      <c r="M168" s="73" t="str">
        <f>IF($S168="","",IF(INDEX(对接源_01水果!$M$4:$M$1203,$S168)=0,"",INDEX(对接源_01水果!$M$4:$M$1203,$S168)))</f>
        <v/>
      </c>
      <c r="S16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9" ht="15.75" customHeight="1" spans="1:19">
      <c r="A169" s="70" t="str">
        <f>IF($S169="","",IF(INDEX(对接源_01水果!$B$4:$B$1203,$S169)=0,"",INDEX(对接源_01水果!$B$4:$B$1203,$S169)))</f>
        <v/>
      </c>
      <c r="B169" s="70" t="str">
        <f>IF($S169="","",IF(INDEX(对接源_01水果!$E$4:$E$1203,$S169)=0,"",INDEX(对接源_01水果!$E$4:$E$1203,$S169)))</f>
        <v/>
      </c>
      <c r="C169" s="70" t="str">
        <f>IF($S169="","",IF(INDEX(对接源_01水果!$F$4:$F$1203,$S169)=0,"",INDEX(对接源_01水果!$F$4:$F$1203,$S169)))</f>
        <v/>
      </c>
      <c r="D169" s="70" t="str">
        <f>IF($S169="","",IF(INDEX(对接源_01水果!$G$4:$G$1203,$S169)=0,"",INDEX(对接源_01水果!$G$4:$G$1203,$S169)))</f>
        <v/>
      </c>
      <c r="E169" s="70" t="str">
        <f>IF($S169="","",IF(INDEX(对接源_01水果!$H$4:$H$1203,$S169)=0,"",INDEX(对接源_01水果!$H$4:$H$1203,$S169)))</f>
        <v/>
      </c>
      <c r="F169" s="70" t="str">
        <f>IF($S169="","",IF(INDEX(对接源_01水果!$I$4:$I$1203,$S169)=0,"",INDEX(对接源_01水果!$I$4:$I$1203,$S169)))</f>
        <v/>
      </c>
      <c r="G169" s="72" t="str">
        <f>IF($S169="","",IF(INDEX(对接源_01水果!$AD$4:$AD$1203,$S169)=0,"",INDEX(对接源_01水果!$AD$4:$AD$1203,$S169)))</f>
        <v/>
      </c>
      <c r="H169" s="72" t="str">
        <f>IF($S169="","",IF(INDEX(对接源_01水果!$AI$4:$AI$1203,$S169)=0,"",INDEX(对接源_01水果!$AI$4:$AI$1203,$S169)))</f>
        <v/>
      </c>
      <c r="I169" s="72" t="str">
        <f>IF($S169="","",IF(INDEX(对接源_01水果!$AE$4:$AE$1203,$S169)=0,"",INDEX(对接源_01水果!$AE$4:$AE$1203,$S169)))</f>
        <v/>
      </c>
      <c r="J169" s="72" t="str">
        <f>IF($S169="","",IF(INDEX(对接源_01水果!$AF$4:$AF$1203,$S169)=0,"",INDEX(对接源_01水果!$AF$4:$AF$1203,$S169)))</f>
        <v/>
      </c>
      <c r="K169" s="72" t="str">
        <f>IF($S169="","",IF(INDEX(对接源_01水果!$K$4:$K$1203,$S169)=0,"",INDEX(对接源_01水果!$K$4:$K$1203,$S169)))</f>
        <v/>
      </c>
      <c r="L169" s="70" t="str">
        <f>IF($S169="","",IF(INDEX(对接源_01水果!$L$4:$L$1203,$S169)=0,"",INDEX(对接源_01水果!$L$4:$L$1203,$S169)))</f>
        <v/>
      </c>
      <c r="M169" s="73" t="str">
        <f>IF($S169="","",IF(INDEX(对接源_01水果!$M$4:$M$1203,$S169)=0,"",INDEX(对接源_01水果!$M$4:$M$1203,$S169)))</f>
        <v/>
      </c>
      <c r="S16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0" ht="15.75" customHeight="1" spans="1:19">
      <c r="A170" s="70" t="str">
        <f>IF($S170="","",IF(INDEX(对接源_01水果!$B$4:$B$1203,$S170)=0,"",INDEX(对接源_01水果!$B$4:$B$1203,$S170)))</f>
        <v/>
      </c>
      <c r="B170" s="70" t="str">
        <f>IF($S170="","",IF(INDEX(对接源_01水果!$E$4:$E$1203,$S170)=0,"",INDEX(对接源_01水果!$E$4:$E$1203,$S170)))</f>
        <v/>
      </c>
      <c r="C170" s="70" t="str">
        <f>IF($S170="","",IF(INDEX(对接源_01水果!$F$4:$F$1203,$S170)=0,"",INDEX(对接源_01水果!$F$4:$F$1203,$S170)))</f>
        <v/>
      </c>
      <c r="D170" s="70" t="str">
        <f>IF($S170="","",IF(INDEX(对接源_01水果!$G$4:$G$1203,$S170)=0,"",INDEX(对接源_01水果!$G$4:$G$1203,$S170)))</f>
        <v/>
      </c>
      <c r="E170" s="70" t="str">
        <f>IF($S170="","",IF(INDEX(对接源_01水果!$H$4:$H$1203,$S170)=0,"",INDEX(对接源_01水果!$H$4:$H$1203,$S170)))</f>
        <v/>
      </c>
      <c r="F170" s="70" t="str">
        <f>IF($S170="","",IF(INDEX(对接源_01水果!$I$4:$I$1203,$S170)=0,"",INDEX(对接源_01水果!$I$4:$I$1203,$S170)))</f>
        <v/>
      </c>
      <c r="G170" s="72" t="str">
        <f>IF($S170="","",IF(INDEX(对接源_01水果!$AD$4:$AD$1203,$S170)=0,"",INDEX(对接源_01水果!$AD$4:$AD$1203,$S170)))</f>
        <v/>
      </c>
      <c r="H170" s="72" t="str">
        <f>IF($S170="","",IF(INDEX(对接源_01水果!$AI$4:$AI$1203,$S170)=0,"",INDEX(对接源_01水果!$AI$4:$AI$1203,$S170)))</f>
        <v/>
      </c>
      <c r="I170" s="72" t="str">
        <f>IF($S170="","",IF(INDEX(对接源_01水果!$AE$4:$AE$1203,$S170)=0,"",INDEX(对接源_01水果!$AE$4:$AE$1203,$S170)))</f>
        <v/>
      </c>
      <c r="J170" s="72" t="str">
        <f>IF($S170="","",IF(INDEX(对接源_01水果!$AF$4:$AF$1203,$S170)=0,"",INDEX(对接源_01水果!$AF$4:$AF$1203,$S170)))</f>
        <v/>
      </c>
      <c r="K170" s="72" t="str">
        <f>IF($S170="","",IF(INDEX(对接源_01水果!$K$4:$K$1203,$S170)=0,"",INDEX(对接源_01水果!$K$4:$K$1203,$S170)))</f>
        <v/>
      </c>
      <c r="L170" s="70" t="str">
        <f>IF($S170="","",IF(INDEX(对接源_01水果!$L$4:$L$1203,$S170)=0,"",INDEX(对接源_01水果!$L$4:$L$1203,$S170)))</f>
        <v/>
      </c>
      <c r="M170" s="73" t="str">
        <f>IF($S170="","",IF(INDEX(对接源_01水果!$M$4:$M$1203,$S170)=0,"",INDEX(对接源_01水果!$M$4:$M$1203,$S170)))</f>
        <v/>
      </c>
      <c r="S17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1" ht="15.75" customHeight="1" spans="1:19">
      <c r="A171" s="70" t="str">
        <f>IF($S171="","",IF(INDEX(对接源_01水果!$B$4:$B$1203,$S171)=0,"",INDEX(对接源_01水果!$B$4:$B$1203,$S171)))</f>
        <v/>
      </c>
      <c r="B171" s="70" t="str">
        <f>IF($S171="","",IF(INDEX(对接源_01水果!$E$4:$E$1203,$S171)=0,"",INDEX(对接源_01水果!$E$4:$E$1203,$S171)))</f>
        <v/>
      </c>
      <c r="C171" s="70" t="str">
        <f>IF($S171="","",IF(INDEX(对接源_01水果!$F$4:$F$1203,$S171)=0,"",INDEX(对接源_01水果!$F$4:$F$1203,$S171)))</f>
        <v/>
      </c>
      <c r="D171" s="70" t="str">
        <f>IF($S171="","",IF(INDEX(对接源_01水果!$G$4:$G$1203,$S171)=0,"",INDEX(对接源_01水果!$G$4:$G$1203,$S171)))</f>
        <v/>
      </c>
      <c r="E171" s="70" t="str">
        <f>IF($S171="","",IF(INDEX(对接源_01水果!$H$4:$H$1203,$S171)=0,"",INDEX(对接源_01水果!$H$4:$H$1203,$S171)))</f>
        <v/>
      </c>
      <c r="F171" s="70" t="str">
        <f>IF($S171="","",IF(INDEX(对接源_01水果!$I$4:$I$1203,$S171)=0,"",INDEX(对接源_01水果!$I$4:$I$1203,$S171)))</f>
        <v/>
      </c>
      <c r="G171" s="72" t="str">
        <f>IF($S171="","",IF(INDEX(对接源_01水果!$AD$4:$AD$1203,$S171)=0,"",INDEX(对接源_01水果!$AD$4:$AD$1203,$S171)))</f>
        <v/>
      </c>
      <c r="H171" s="72" t="str">
        <f>IF($S171="","",IF(INDEX(对接源_01水果!$AI$4:$AI$1203,$S171)=0,"",INDEX(对接源_01水果!$AI$4:$AI$1203,$S171)))</f>
        <v/>
      </c>
      <c r="I171" s="72" t="str">
        <f>IF($S171="","",IF(INDEX(对接源_01水果!$AE$4:$AE$1203,$S171)=0,"",INDEX(对接源_01水果!$AE$4:$AE$1203,$S171)))</f>
        <v/>
      </c>
      <c r="J171" s="72" t="str">
        <f>IF($S171="","",IF(INDEX(对接源_01水果!$AF$4:$AF$1203,$S171)=0,"",INDEX(对接源_01水果!$AF$4:$AF$1203,$S171)))</f>
        <v/>
      </c>
      <c r="K171" s="72" t="str">
        <f>IF($S171="","",IF(INDEX(对接源_01水果!$K$4:$K$1203,$S171)=0,"",INDEX(对接源_01水果!$K$4:$K$1203,$S171)))</f>
        <v/>
      </c>
      <c r="L171" s="70" t="str">
        <f>IF($S171="","",IF(INDEX(对接源_01水果!$L$4:$L$1203,$S171)=0,"",INDEX(对接源_01水果!$L$4:$L$1203,$S171)))</f>
        <v/>
      </c>
      <c r="M171" s="73" t="str">
        <f>IF($S171="","",IF(INDEX(对接源_01水果!$M$4:$M$1203,$S171)=0,"",INDEX(对接源_01水果!$M$4:$M$1203,$S171)))</f>
        <v/>
      </c>
      <c r="S17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2" ht="15.75" customHeight="1" spans="1:19">
      <c r="A172" s="70" t="str">
        <f>IF($S172="","",IF(INDEX(对接源_01水果!$B$4:$B$1203,$S172)=0,"",INDEX(对接源_01水果!$B$4:$B$1203,$S172)))</f>
        <v/>
      </c>
      <c r="B172" s="70" t="str">
        <f>IF($S172="","",IF(INDEX(对接源_01水果!$E$4:$E$1203,$S172)=0,"",INDEX(对接源_01水果!$E$4:$E$1203,$S172)))</f>
        <v/>
      </c>
      <c r="C172" s="70" t="str">
        <f>IF($S172="","",IF(INDEX(对接源_01水果!$F$4:$F$1203,$S172)=0,"",INDEX(对接源_01水果!$F$4:$F$1203,$S172)))</f>
        <v/>
      </c>
      <c r="D172" s="70" t="str">
        <f>IF($S172="","",IF(INDEX(对接源_01水果!$G$4:$G$1203,$S172)=0,"",INDEX(对接源_01水果!$G$4:$G$1203,$S172)))</f>
        <v/>
      </c>
      <c r="E172" s="70" t="str">
        <f>IF($S172="","",IF(INDEX(对接源_01水果!$H$4:$H$1203,$S172)=0,"",INDEX(对接源_01水果!$H$4:$H$1203,$S172)))</f>
        <v/>
      </c>
      <c r="F172" s="70" t="str">
        <f>IF($S172="","",IF(INDEX(对接源_01水果!$I$4:$I$1203,$S172)=0,"",INDEX(对接源_01水果!$I$4:$I$1203,$S172)))</f>
        <v/>
      </c>
      <c r="G172" s="72" t="str">
        <f>IF($S172="","",IF(INDEX(对接源_01水果!$AD$4:$AD$1203,$S172)=0,"",INDEX(对接源_01水果!$AD$4:$AD$1203,$S172)))</f>
        <v/>
      </c>
      <c r="H172" s="72" t="str">
        <f>IF($S172="","",IF(INDEX(对接源_01水果!$AI$4:$AI$1203,$S172)=0,"",INDEX(对接源_01水果!$AI$4:$AI$1203,$S172)))</f>
        <v/>
      </c>
      <c r="I172" s="72" t="str">
        <f>IF($S172="","",IF(INDEX(对接源_01水果!$AE$4:$AE$1203,$S172)=0,"",INDEX(对接源_01水果!$AE$4:$AE$1203,$S172)))</f>
        <v/>
      </c>
      <c r="J172" s="72" t="str">
        <f>IF($S172="","",IF(INDEX(对接源_01水果!$AF$4:$AF$1203,$S172)=0,"",INDEX(对接源_01水果!$AF$4:$AF$1203,$S172)))</f>
        <v/>
      </c>
      <c r="K172" s="72" t="str">
        <f>IF($S172="","",IF(INDEX(对接源_01水果!$K$4:$K$1203,$S172)=0,"",INDEX(对接源_01水果!$K$4:$K$1203,$S172)))</f>
        <v/>
      </c>
      <c r="L172" s="70" t="str">
        <f>IF($S172="","",IF(INDEX(对接源_01水果!$L$4:$L$1203,$S172)=0,"",INDEX(对接源_01水果!$L$4:$L$1203,$S172)))</f>
        <v/>
      </c>
      <c r="M172" s="73" t="str">
        <f>IF($S172="","",IF(INDEX(对接源_01水果!$M$4:$M$1203,$S172)=0,"",INDEX(对接源_01水果!$M$4:$M$1203,$S172)))</f>
        <v/>
      </c>
      <c r="S17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3" ht="15.75" customHeight="1" spans="1:19">
      <c r="A173" s="70" t="str">
        <f>IF($S173="","",IF(INDEX(对接源_01水果!$B$4:$B$1203,$S173)=0,"",INDEX(对接源_01水果!$B$4:$B$1203,$S173)))</f>
        <v/>
      </c>
      <c r="B173" s="70" t="str">
        <f>IF($S173="","",IF(INDEX(对接源_01水果!$E$4:$E$1203,$S173)=0,"",INDEX(对接源_01水果!$E$4:$E$1203,$S173)))</f>
        <v/>
      </c>
      <c r="C173" s="70" t="str">
        <f>IF($S173="","",IF(INDEX(对接源_01水果!$F$4:$F$1203,$S173)=0,"",INDEX(对接源_01水果!$F$4:$F$1203,$S173)))</f>
        <v/>
      </c>
      <c r="D173" s="70" t="str">
        <f>IF($S173="","",IF(INDEX(对接源_01水果!$G$4:$G$1203,$S173)=0,"",INDEX(对接源_01水果!$G$4:$G$1203,$S173)))</f>
        <v/>
      </c>
      <c r="E173" s="70" t="str">
        <f>IF($S173="","",IF(INDEX(对接源_01水果!$H$4:$H$1203,$S173)=0,"",INDEX(对接源_01水果!$H$4:$H$1203,$S173)))</f>
        <v/>
      </c>
      <c r="F173" s="70" t="str">
        <f>IF($S173="","",IF(INDEX(对接源_01水果!$I$4:$I$1203,$S173)=0,"",INDEX(对接源_01水果!$I$4:$I$1203,$S173)))</f>
        <v/>
      </c>
      <c r="G173" s="72" t="str">
        <f>IF($S173="","",IF(INDEX(对接源_01水果!$AD$4:$AD$1203,$S173)=0,"",INDEX(对接源_01水果!$AD$4:$AD$1203,$S173)))</f>
        <v/>
      </c>
      <c r="H173" s="72" t="str">
        <f>IF($S173="","",IF(INDEX(对接源_01水果!$AI$4:$AI$1203,$S173)=0,"",INDEX(对接源_01水果!$AI$4:$AI$1203,$S173)))</f>
        <v/>
      </c>
      <c r="I173" s="72" t="str">
        <f>IF($S173="","",IF(INDEX(对接源_01水果!$AE$4:$AE$1203,$S173)=0,"",INDEX(对接源_01水果!$AE$4:$AE$1203,$S173)))</f>
        <v/>
      </c>
      <c r="J173" s="72" t="str">
        <f>IF($S173="","",IF(INDEX(对接源_01水果!$AF$4:$AF$1203,$S173)=0,"",INDEX(对接源_01水果!$AF$4:$AF$1203,$S173)))</f>
        <v/>
      </c>
      <c r="K173" s="72" t="str">
        <f>IF($S173="","",IF(INDEX(对接源_01水果!$K$4:$K$1203,$S173)=0,"",INDEX(对接源_01水果!$K$4:$K$1203,$S173)))</f>
        <v/>
      </c>
      <c r="L173" s="70" t="str">
        <f>IF($S173="","",IF(INDEX(对接源_01水果!$L$4:$L$1203,$S173)=0,"",INDEX(对接源_01水果!$L$4:$L$1203,$S173)))</f>
        <v/>
      </c>
      <c r="M173" s="73" t="str">
        <f>IF($S173="","",IF(INDEX(对接源_01水果!$M$4:$M$1203,$S173)=0,"",INDEX(对接源_01水果!$M$4:$M$1203,$S173)))</f>
        <v/>
      </c>
      <c r="S17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4" ht="15.75" customHeight="1" spans="1:19">
      <c r="A174" s="70" t="str">
        <f>IF($S174="","",IF(INDEX(对接源_01水果!$B$4:$B$1203,$S174)=0,"",INDEX(对接源_01水果!$B$4:$B$1203,$S174)))</f>
        <v/>
      </c>
      <c r="B174" s="70" t="str">
        <f>IF($S174="","",IF(INDEX(对接源_01水果!$E$4:$E$1203,$S174)=0,"",INDEX(对接源_01水果!$E$4:$E$1203,$S174)))</f>
        <v/>
      </c>
      <c r="C174" s="70" t="str">
        <f>IF($S174="","",IF(INDEX(对接源_01水果!$F$4:$F$1203,$S174)=0,"",INDEX(对接源_01水果!$F$4:$F$1203,$S174)))</f>
        <v/>
      </c>
      <c r="D174" s="70" t="str">
        <f>IF($S174="","",IF(INDEX(对接源_01水果!$G$4:$G$1203,$S174)=0,"",INDEX(对接源_01水果!$G$4:$G$1203,$S174)))</f>
        <v/>
      </c>
      <c r="E174" s="70" t="str">
        <f>IF($S174="","",IF(INDEX(对接源_01水果!$H$4:$H$1203,$S174)=0,"",INDEX(对接源_01水果!$H$4:$H$1203,$S174)))</f>
        <v/>
      </c>
      <c r="F174" s="70" t="str">
        <f>IF($S174="","",IF(INDEX(对接源_01水果!$I$4:$I$1203,$S174)=0,"",INDEX(对接源_01水果!$I$4:$I$1203,$S174)))</f>
        <v/>
      </c>
      <c r="G174" s="72" t="str">
        <f>IF($S174="","",IF(INDEX(对接源_01水果!$AD$4:$AD$1203,$S174)=0,"",INDEX(对接源_01水果!$AD$4:$AD$1203,$S174)))</f>
        <v/>
      </c>
      <c r="H174" s="72" t="str">
        <f>IF($S174="","",IF(INDEX(对接源_01水果!$AI$4:$AI$1203,$S174)=0,"",INDEX(对接源_01水果!$AI$4:$AI$1203,$S174)))</f>
        <v/>
      </c>
      <c r="I174" s="72" t="str">
        <f>IF($S174="","",IF(INDEX(对接源_01水果!$AE$4:$AE$1203,$S174)=0,"",INDEX(对接源_01水果!$AE$4:$AE$1203,$S174)))</f>
        <v/>
      </c>
      <c r="J174" s="72" t="str">
        <f>IF($S174="","",IF(INDEX(对接源_01水果!$AF$4:$AF$1203,$S174)=0,"",INDEX(对接源_01水果!$AF$4:$AF$1203,$S174)))</f>
        <v/>
      </c>
      <c r="K174" s="72" t="str">
        <f>IF($S174="","",IF(INDEX(对接源_01水果!$K$4:$K$1203,$S174)=0,"",INDEX(对接源_01水果!$K$4:$K$1203,$S174)))</f>
        <v/>
      </c>
      <c r="L174" s="70" t="str">
        <f>IF($S174="","",IF(INDEX(对接源_01水果!$L$4:$L$1203,$S174)=0,"",INDEX(对接源_01水果!$L$4:$L$1203,$S174)))</f>
        <v/>
      </c>
      <c r="M174" s="73" t="str">
        <f>IF($S174="","",IF(INDEX(对接源_01水果!$M$4:$M$1203,$S174)=0,"",INDEX(对接源_01水果!$M$4:$M$1203,$S174)))</f>
        <v/>
      </c>
      <c r="S17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5" ht="15.75" customHeight="1" spans="1:19">
      <c r="A175" s="70" t="str">
        <f>IF($S175="","",IF(INDEX(对接源_01水果!$B$4:$B$1203,$S175)=0,"",INDEX(对接源_01水果!$B$4:$B$1203,$S175)))</f>
        <v/>
      </c>
      <c r="B175" s="70" t="str">
        <f>IF($S175="","",IF(INDEX(对接源_01水果!$E$4:$E$1203,$S175)=0,"",INDEX(对接源_01水果!$E$4:$E$1203,$S175)))</f>
        <v/>
      </c>
      <c r="C175" s="70" t="str">
        <f>IF($S175="","",IF(INDEX(对接源_01水果!$F$4:$F$1203,$S175)=0,"",INDEX(对接源_01水果!$F$4:$F$1203,$S175)))</f>
        <v/>
      </c>
      <c r="D175" s="70" t="str">
        <f>IF($S175="","",IF(INDEX(对接源_01水果!$G$4:$G$1203,$S175)=0,"",INDEX(对接源_01水果!$G$4:$G$1203,$S175)))</f>
        <v/>
      </c>
      <c r="E175" s="70" t="str">
        <f>IF($S175="","",IF(INDEX(对接源_01水果!$H$4:$H$1203,$S175)=0,"",INDEX(对接源_01水果!$H$4:$H$1203,$S175)))</f>
        <v/>
      </c>
      <c r="F175" s="70" t="str">
        <f>IF($S175="","",IF(INDEX(对接源_01水果!$I$4:$I$1203,$S175)=0,"",INDEX(对接源_01水果!$I$4:$I$1203,$S175)))</f>
        <v/>
      </c>
      <c r="G175" s="72" t="str">
        <f>IF($S175="","",IF(INDEX(对接源_01水果!$AD$4:$AD$1203,$S175)=0,"",INDEX(对接源_01水果!$AD$4:$AD$1203,$S175)))</f>
        <v/>
      </c>
      <c r="H175" s="72" t="str">
        <f>IF($S175="","",IF(INDEX(对接源_01水果!$AI$4:$AI$1203,$S175)=0,"",INDEX(对接源_01水果!$AI$4:$AI$1203,$S175)))</f>
        <v/>
      </c>
      <c r="I175" s="72" t="str">
        <f>IF($S175="","",IF(INDEX(对接源_01水果!$AE$4:$AE$1203,$S175)=0,"",INDEX(对接源_01水果!$AE$4:$AE$1203,$S175)))</f>
        <v/>
      </c>
      <c r="J175" s="72" t="str">
        <f>IF($S175="","",IF(INDEX(对接源_01水果!$AF$4:$AF$1203,$S175)=0,"",INDEX(对接源_01水果!$AF$4:$AF$1203,$S175)))</f>
        <v/>
      </c>
      <c r="K175" s="72" t="str">
        <f>IF($S175="","",IF(INDEX(对接源_01水果!$K$4:$K$1203,$S175)=0,"",INDEX(对接源_01水果!$K$4:$K$1203,$S175)))</f>
        <v/>
      </c>
      <c r="L175" s="70" t="str">
        <f>IF($S175="","",IF(INDEX(对接源_01水果!$L$4:$L$1203,$S175)=0,"",INDEX(对接源_01水果!$L$4:$L$1203,$S175)))</f>
        <v/>
      </c>
      <c r="M175" s="73" t="str">
        <f>IF($S175="","",IF(INDEX(对接源_01水果!$M$4:$M$1203,$S175)=0,"",INDEX(对接源_01水果!$M$4:$M$1203,$S175)))</f>
        <v/>
      </c>
      <c r="S17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6" ht="15.75" customHeight="1" spans="1:19">
      <c r="A176" s="70" t="str">
        <f>IF($S176="","",IF(INDEX(对接源_01水果!$B$4:$B$1203,$S176)=0,"",INDEX(对接源_01水果!$B$4:$B$1203,$S176)))</f>
        <v/>
      </c>
      <c r="B176" s="70" t="str">
        <f>IF($S176="","",IF(INDEX(对接源_01水果!$E$4:$E$1203,$S176)=0,"",INDEX(对接源_01水果!$E$4:$E$1203,$S176)))</f>
        <v/>
      </c>
      <c r="C176" s="70" t="str">
        <f>IF($S176="","",IF(INDEX(对接源_01水果!$F$4:$F$1203,$S176)=0,"",INDEX(对接源_01水果!$F$4:$F$1203,$S176)))</f>
        <v/>
      </c>
      <c r="D176" s="70" t="str">
        <f>IF($S176="","",IF(INDEX(对接源_01水果!$G$4:$G$1203,$S176)=0,"",INDEX(对接源_01水果!$G$4:$G$1203,$S176)))</f>
        <v/>
      </c>
      <c r="E176" s="70" t="str">
        <f>IF($S176="","",IF(INDEX(对接源_01水果!$H$4:$H$1203,$S176)=0,"",INDEX(对接源_01水果!$H$4:$H$1203,$S176)))</f>
        <v/>
      </c>
      <c r="F176" s="70" t="str">
        <f>IF($S176="","",IF(INDEX(对接源_01水果!$I$4:$I$1203,$S176)=0,"",INDEX(对接源_01水果!$I$4:$I$1203,$S176)))</f>
        <v/>
      </c>
      <c r="G176" s="72" t="str">
        <f>IF($S176="","",IF(INDEX(对接源_01水果!$AD$4:$AD$1203,$S176)=0,"",INDEX(对接源_01水果!$AD$4:$AD$1203,$S176)))</f>
        <v/>
      </c>
      <c r="H176" s="72" t="str">
        <f>IF($S176="","",IF(INDEX(对接源_01水果!$AI$4:$AI$1203,$S176)=0,"",INDEX(对接源_01水果!$AI$4:$AI$1203,$S176)))</f>
        <v/>
      </c>
      <c r="I176" s="72" t="str">
        <f>IF($S176="","",IF(INDEX(对接源_01水果!$AE$4:$AE$1203,$S176)=0,"",INDEX(对接源_01水果!$AE$4:$AE$1203,$S176)))</f>
        <v/>
      </c>
      <c r="J176" s="72" t="str">
        <f>IF($S176="","",IF(INDEX(对接源_01水果!$AF$4:$AF$1203,$S176)=0,"",INDEX(对接源_01水果!$AF$4:$AF$1203,$S176)))</f>
        <v/>
      </c>
      <c r="K176" s="72" t="str">
        <f>IF($S176="","",IF(INDEX(对接源_01水果!$K$4:$K$1203,$S176)=0,"",INDEX(对接源_01水果!$K$4:$K$1203,$S176)))</f>
        <v/>
      </c>
      <c r="L176" s="70" t="str">
        <f>IF($S176="","",IF(INDEX(对接源_01水果!$L$4:$L$1203,$S176)=0,"",INDEX(对接源_01水果!$L$4:$L$1203,$S176)))</f>
        <v/>
      </c>
      <c r="M176" s="73" t="str">
        <f>IF($S176="","",IF(INDEX(对接源_01水果!$M$4:$M$1203,$S176)=0,"",INDEX(对接源_01水果!$M$4:$M$1203,$S176)))</f>
        <v/>
      </c>
      <c r="S17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7" ht="15.75" customHeight="1" spans="1:19">
      <c r="A177" s="70" t="str">
        <f>IF($S177="","",IF(INDEX(对接源_01水果!$B$4:$B$1203,$S177)=0,"",INDEX(对接源_01水果!$B$4:$B$1203,$S177)))</f>
        <v/>
      </c>
      <c r="B177" s="70" t="str">
        <f>IF($S177="","",IF(INDEX(对接源_01水果!$E$4:$E$1203,$S177)=0,"",INDEX(对接源_01水果!$E$4:$E$1203,$S177)))</f>
        <v/>
      </c>
      <c r="C177" s="70" t="str">
        <f>IF($S177="","",IF(INDEX(对接源_01水果!$F$4:$F$1203,$S177)=0,"",INDEX(对接源_01水果!$F$4:$F$1203,$S177)))</f>
        <v/>
      </c>
      <c r="D177" s="70" t="str">
        <f>IF($S177="","",IF(INDEX(对接源_01水果!$G$4:$G$1203,$S177)=0,"",INDEX(对接源_01水果!$G$4:$G$1203,$S177)))</f>
        <v/>
      </c>
      <c r="E177" s="70" t="str">
        <f>IF($S177="","",IF(INDEX(对接源_01水果!$H$4:$H$1203,$S177)=0,"",INDEX(对接源_01水果!$H$4:$H$1203,$S177)))</f>
        <v/>
      </c>
      <c r="F177" s="70" t="str">
        <f>IF($S177="","",IF(INDEX(对接源_01水果!$I$4:$I$1203,$S177)=0,"",INDEX(对接源_01水果!$I$4:$I$1203,$S177)))</f>
        <v/>
      </c>
      <c r="G177" s="72" t="str">
        <f>IF($S177="","",IF(INDEX(对接源_01水果!$AD$4:$AD$1203,$S177)=0,"",INDEX(对接源_01水果!$AD$4:$AD$1203,$S177)))</f>
        <v/>
      </c>
      <c r="H177" s="72" t="str">
        <f>IF($S177="","",IF(INDEX(对接源_01水果!$AI$4:$AI$1203,$S177)=0,"",INDEX(对接源_01水果!$AI$4:$AI$1203,$S177)))</f>
        <v/>
      </c>
      <c r="I177" s="72" t="str">
        <f>IF($S177="","",IF(INDEX(对接源_01水果!$AE$4:$AE$1203,$S177)=0,"",INDEX(对接源_01水果!$AE$4:$AE$1203,$S177)))</f>
        <v/>
      </c>
      <c r="J177" s="72" t="str">
        <f>IF($S177="","",IF(INDEX(对接源_01水果!$AF$4:$AF$1203,$S177)=0,"",INDEX(对接源_01水果!$AF$4:$AF$1203,$S177)))</f>
        <v/>
      </c>
      <c r="K177" s="72" t="str">
        <f>IF($S177="","",IF(INDEX(对接源_01水果!$K$4:$K$1203,$S177)=0,"",INDEX(对接源_01水果!$K$4:$K$1203,$S177)))</f>
        <v/>
      </c>
      <c r="L177" s="70" t="str">
        <f>IF($S177="","",IF(INDEX(对接源_01水果!$L$4:$L$1203,$S177)=0,"",INDEX(对接源_01水果!$L$4:$L$1203,$S177)))</f>
        <v/>
      </c>
      <c r="M177" s="73" t="str">
        <f>IF($S177="","",IF(INDEX(对接源_01水果!$M$4:$M$1203,$S177)=0,"",INDEX(对接源_01水果!$M$4:$M$1203,$S177)))</f>
        <v/>
      </c>
      <c r="S17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8" ht="15.75" customHeight="1" spans="1:19">
      <c r="A178" s="70" t="str">
        <f>IF($S178="","",IF(INDEX(对接源_01水果!$B$4:$B$1203,$S178)=0,"",INDEX(对接源_01水果!$B$4:$B$1203,$S178)))</f>
        <v/>
      </c>
      <c r="B178" s="70" t="str">
        <f>IF($S178="","",IF(INDEX(对接源_01水果!$E$4:$E$1203,$S178)=0,"",INDEX(对接源_01水果!$E$4:$E$1203,$S178)))</f>
        <v/>
      </c>
      <c r="C178" s="70" t="str">
        <f>IF($S178="","",IF(INDEX(对接源_01水果!$F$4:$F$1203,$S178)=0,"",INDEX(对接源_01水果!$F$4:$F$1203,$S178)))</f>
        <v/>
      </c>
      <c r="D178" s="70" t="str">
        <f>IF($S178="","",IF(INDEX(对接源_01水果!$G$4:$G$1203,$S178)=0,"",INDEX(对接源_01水果!$G$4:$G$1203,$S178)))</f>
        <v/>
      </c>
      <c r="E178" s="70" t="str">
        <f>IF($S178="","",IF(INDEX(对接源_01水果!$H$4:$H$1203,$S178)=0,"",INDEX(对接源_01水果!$H$4:$H$1203,$S178)))</f>
        <v/>
      </c>
      <c r="F178" s="70" t="str">
        <f>IF($S178="","",IF(INDEX(对接源_01水果!$I$4:$I$1203,$S178)=0,"",INDEX(对接源_01水果!$I$4:$I$1203,$S178)))</f>
        <v/>
      </c>
      <c r="G178" s="72" t="str">
        <f>IF($S178="","",IF(INDEX(对接源_01水果!$AD$4:$AD$1203,$S178)=0,"",INDEX(对接源_01水果!$AD$4:$AD$1203,$S178)))</f>
        <v/>
      </c>
      <c r="H178" s="72" t="str">
        <f>IF($S178="","",IF(INDEX(对接源_01水果!$AI$4:$AI$1203,$S178)=0,"",INDEX(对接源_01水果!$AI$4:$AI$1203,$S178)))</f>
        <v/>
      </c>
      <c r="I178" s="72" t="str">
        <f>IF($S178="","",IF(INDEX(对接源_01水果!$AE$4:$AE$1203,$S178)=0,"",INDEX(对接源_01水果!$AE$4:$AE$1203,$S178)))</f>
        <v/>
      </c>
      <c r="J178" s="72" t="str">
        <f>IF($S178="","",IF(INDEX(对接源_01水果!$AF$4:$AF$1203,$S178)=0,"",INDEX(对接源_01水果!$AF$4:$AF$1203,$S178)))</f>
        <v/>
      </c>
      <c r="K178" s="72" t="str">
        <f>IF($S178="","",IF(INDEX(对接源_01水果!$K$4:$K$1203,$S178)=0,"",INDEX(对接源_01水果!$K$4:$K$1203,$S178)))</f>
        <v/>
      </c>
      <c r="L178" s="70" t="str">
        <f>IF($S178="","",IF(INDEX(对接源_01水果!$L$4:$L$1203,$S178)=0,"",INDEX(对接源_01水果!$L$4:$L$1203,$S178)))</f>
        <v/>
      </c>
      <c r="M178" s="73" t="str">
        <f>IF($S178="","",IF(INDEX(对接源_01水果!$M$4:$M$1203,$S178)=0,"",INDEX(对接源_01水果!$M$4:$M$1203,$S178)))</f>
        <v/>
      </c>
      <c r="S17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9" ht="15.75" customHeight="1" spans="1:19">
      <c r="A179" s="70" t="str">
        <f>IF($S179="","",IF(INDEX(对接源_01水果!$B$4:$B$1203,$S179)=0,"",INDEX(对接源_01水果!$B$4:$B$1203,$S179)))</f>
        <v/>
      </c>
      <c r="B179" s="70" t="str">
        <f>IF($S179="","",IF(INDEX(对接源_01水果!$E$4:$E$1203,$S179)=0,"",INDEX(对接源_01水果!$E$4:$E$1203,$S179)))</f>
        <v/>
      </c>
      <c r="C179" s="70" t="str">
        <f>IF($S179="","",IF(INDEX(对接源_01水果!$F$4:$F$1203,$S179)=0,"",INDEX(对接源_01水果!$F$4:$F$1203,$S179)))</f>
        <v/>
      </c>
      <c r="D179" s="70" t="str">
        <f>IF($S179="","",IF(INDEX(对接源_01水果!$G$4:$G$1203,$S179)=0,"",INDEX(对接源_01水果!$G$4:$G$1203,$S179)))</f>
        <v/>
      </c>
      <c r="E179" s="70" t="str">
        <f>IF($S179="","",IF(INDEX(对接源_01水果!$H$4:$H$1203,$S179)=0,"",INDEX(对接源_01水果!$H$4:$H$1203,$S179)))</f>
        <v/>
      </c>
      <c r="F179" s="70" t="str">
        <f>IF($S179="","",IF(INDEX(对接源_01水果!$I$4:$I$1203,$S179)=0,"",INDEX(对接源_01水果!$I$4:$I$1203,$S179)))</f>
        <v/>
      </c>
      <c r="G179" s="72" t="str">
        <f>IF($S179="","",IF(INDEX(对接源_01水果!$AD$4:$AD$1203,$S179)=0,"",INDEX(对接源_01水果!$AD$4:$AD$1203,$S179)))</f>
        <v/>
      </c>
      <c r="H179" s="72" t="str">
        <f>IF($S179="","",IF(INDEX(对接源_01水果!$AI$4:$AI$1203,$S179)=0,"",INDEX(对接源_01水果!$AI$4:$AI$1203,$S179)))</f>
        <v/>
      </c>
      <c r="I179" s="72" t="str">
        <f>IF($S179="","",IF(INDEX(对接源_01水果!$AE$4:$AE$1203,$S179)=0,"",INDEX(对接源_01水果!$AE$4:$AE$1203,$S179)))</f>
        <v/>
      </c>
      <c r="J179" s="72" t="str">
        <f>IF($S179="","",IF(INDEX(对接源_01水果!$AF$4:$AF$1203,$S179)=0,"",INDEX(对接源_01水果!$AF$4:$AF$1203,$S179)))</f>
        <v/>
      </c>
      <c r="K179" s="72" t="str">
        <f>IF($S179="","",IF(INDEX(对接源_01水果!$K$4:$K$1203,$S179)=0,"",INDEX(对接源_01水果!$K$4:$K$1203,$S179)))</f>
        <v/>
      </c>
      <c r="L179" s="70" t="str">
        <f>IF($S179="","",IF(INDEX(对接源_01水果!$L$4:$L$1203,$S179)=0,"",INDEX(对接源_01水果!$L$4:$L$1203,$S179)))</f>
        <v/>
      </c>
      <c r="M179" s="73" t="str">
        <f>IF($S179="","",IF(INDEX(对接源_01水果!$M$4:$M$1203,$S179)=0,"",INDEX(对接源_01水果!$M$4:$M$1203,$S179)))</f>
        <v/>
      </c>
      <c r="S17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0" ht="15.75" customHeight="1" spans="1:19">
      <c r="A180" s="70" t="str">
        <f>IF($S180="","",IF(INDEX(对接源_01水果!$B$4:$B$1203,$S180)=0,"",INDEX(对接源_01水果!$B$4:$B$1203,$S180)))</f>
        <v/>
      </c>
      <c r="B180" s="70" t="str">
        <f>IF($S180="","",IF(INDEX(对接源_01水果!$E$4:$E$1203,$S180)=0,"",INDEX(对接源_01水果!$E$4:$E$1203,$S180)))</f>
        <v/>
      </c>
      <c r="C180" s="70" t="str">
        <f>IF($S180="","",IF(INDEX(对接源_01水果!$F$4:$F$1203,$S180)=0,"",INDEX(对接源_01水果!$F$4:$F$1203,$S180)))</f>
        <v/>
      </c>
      <c r="D180" s="70" t="str">
        <f>IF($S180="","",IF(INDEX(对接源_01水果!$G$4:$G$1203,$S180)=0,"",INDEX(对接源_01水果!$G$4:$G$1203,$S180)))</f>
        <v/>
      </c>
      <c r="E180" s="70" t="str">
        <f>IF($S180="","",IF(INDEX(对接源_01水果!$H$4:$H$1203,$S180)=0,"",INDEX(对接源_01水果!$H$4:$H$1203,$S180)))</f>
        <v/>
      </c>
      <c r="F180" s="70" t="str">
        <f>IF($S180="","",IF(INDEX(对接源_01水果!$I$4:$I$1203,$S180)=0,"",INDEX(对接源_01水果!$I$4:$I$1203,$S180)))</f>
        <v/>
      </c>
      <c r="G180" s="72" t="str">
        <f>IF($S180="","",IF(INDEX(对接源_01水果!$AD$4:$AD$1203,$S180)=0,"",INDEX(对接源_01水果!$AD$4:$AD$1203,$S180)))</f>
        <v/>
      </c>
      <c r="H180" s="72" t="str">
        <f>IF($S180="","",IF(INDEX(对接源_01水果!$AI$4:$AI$1203,$S180)=0,"",INDEX(对接源_01水果!$AI$4:$AI$1203,$S180)))</f>
        <v/>
      </c>
      <c r="I180" s="72" t="str">
        <f>IF($S180="","",IF(INDEX(对接源_01水果!$AE$4:$AE$1203,$S180)=0,"",INDEX(对接源_01水果!$AE$4:$AE$1203,$S180)))</f>
        <v/>
      </c>
      <c r="J180" s="72" t="str">
        <f>IF($S180="","",IF(INDEX(对接源_01水果!$AF$4:$AF$1203,$S180)=0,"",INDEX(对接源_01水果!$AF$4:$AF$1203,$S180)))</f>
        <v/>
      </c>
      <c r="K180" s="72" t="str">
        <f>IF($S180="","",IF(INDEX(对接源_01水果!$K$4:$K$1203,$S180)=0,"",INDEX(对接源_01水果!$K$4:$K$1203,$S180)))</f>
        <v/>
      </c>
      <c r="L180" s="70" t="str">
        <f>IF($S180="","",IF(INDEX(对接源_01水果!$L$4:$L$1203,$S180)=0,"",INDEX(对接源_01水果!$L$4:$L$1203,$S180)))</f>
        <v/>
      </c>
      <c r="M180" s="73" t="str">
        <f>IF($S180="","",IF(INDEX(对接源_01水果!$M$4:$M$1203,$S180)=0,"",INDEX(对接源_01水果!$M$4:$M$1203,$S180)))</f>
        <v/>
      </c>
      <c r="S18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1" ht="15.75" customHeight="1" spans="1:19">
      <c r="A181" s="70" t="str">
        <f>IF($S181="","",IF(INDEX(对接源_01水果!$B$4:$B$1203,$S181)=0,"",INDEX(对接源_01水果!$B$4:$B$1203,$S181)))</f>
        <v/>
      </c>
      <c r="B181" s="70" t="str">
        <f>IF($S181="","",IF(INDEX(对接源_01水果!$E$4:$E$1203,$S181)=0,"",INDEX(对接源_01水果!$E$4:$E$1203,$S181)))</f>
        <v/>
      </c>
      <c r="C181" s="70" t="str">
        <f>IF($S181="","",IF(INDEX(对接源_01水果!$F$4:$F$1203,$S181)=0,"",INDEX(对接源_01水果!$F$4:$F$1203,$S181)))</f>
        <v/>
      </c>
      <c r="D181" s="70" t="str">
        <f>IF($S181="","",IF(INDEX(对接源_01水果!$G$4:$G$1203,$S181)=0,"",INDEX(对接源_01水果!$G$4:$G$1203,$S181)))</f>
        <v/>
      </c>
      <c r="E181" s="70" t="str">
        <f>IF($S181="","",IF(INDEX(对接源_01水果!$H$4:$H$1203,$S181)=0,"",INDEX(对接源_01水果!$H$4:$H$1203,$S181)))</f>
        <v/>
      </c>
      <c r="F181" s="70" t="str">
        <f>IF($S181="","",IF(INDEX(对接源_01水果!$I$4:$I$1203,$S181)=0,"",INDEX(对接源_01水果!$I$4:$I$1203,$S181)))</f>
        <v/>
      </c>
      <c r="G181" s="72" t="str">
        <f>IF($S181="","",IF(INDEX(对接源_01水果!$AD$4:$AD$1203,$S181)=0,"",INDEX(对接源_01水果!$AD$4:$AD$1203,$S181)))</f>
        <v/>
      </c>
      <c r="H181" s="72" t="str">
        <f>IF($S181="","",IF(INDEX(对接源_01水果!$AI$4:$AI$1203,$S181)=0,"",INDEX(对接源_01水果!$AI$4:$AI$1203,$S181)))</f>
        <v/>
      </c>
      <c r="I181" s="72" t="str">
        <f>IF($S181="","",IF(INDEX(对接源_01水果!$AE$4:$AE$1203,$S181)=0,"",INDEX(对接源_01水果!$AE$4:$AE$1203,$S181)))</f>
        <v/>
      </c>
      <c r="J181" s="72" t="str">
        <f>IF($S181="","",IF(INDEX(对接源_01水果!$AF$4:$AF$1203,$S181)=0,"",INDEX(对接源_01水果!$AF$4:$AF$1203,$S181)))</f>
        <v/>
      </c>
      <c r="K181" s="72" t="str">
        <f>IF($S181="","",IF(INDEX(对接源_01水果!$K$4:$K$1203,$S181)=0,"",INDEX(对接源_01水果!$K$4:$K$1203,$S181)))</f>
        <v/>
      </c>
      <c r="L181" s="70" t="str">
        <f>IF($S181="","",IF(INDEX(对接源_01水果!$L$4:$L$1203,$S181)=0,"",INDEX(对接源_01水果!$L$4:$L$1203,$S181)))</f>
        <v/>
      </c>
      <c r="M181" s="73" t="str">
        <f>IF($S181="","",IF(INDEX(对接源_01水果!$M$4:$M$1203,$S181)=0,"",INDEX(对接源_01水果!$M$4:$M$1203,$S181)))</f>
        <v/>
      </c>
      <c r="S18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2" ht="15.75" customHeight="1" spans="1:19">
      <c r="A182" s="70" t="str">
        <f>IF($S182="","",IF(INDEX(对接源_01水果!$B$4:$B$1203,$S182)=0,"",INDEX(对接源_01水果!$B$4:$B$1203,$S182)))</f>
        <v/>
      </c>
      <c r="B182" s="70" t="str">
        <f>IF($S182="","",IF(INDEX(对接源_01水果!$E$4:$E$1203,$S182)=0,"",INDEX(对接源_01水果!$E$4:$E$1203,$S182)))</f>
        <v/>
      </c>
      <c r="C182" s="70" t="str">
        <f>IF($S182="","",IF(INDEX(对接源_01水果!$F$4:$F$1203,$S182)=0,"",INDEX(对接源_01水果!$F$4:$F$1203,$S182)))</f>
        <v/>
      </c>
      <c r="D182" s="70" t="str">
        <f>IF($S182="","",IF(INDEX(对接源_01水果!$G$4:$G$1203,$S182)=0,"",INDEX(对接源_01水果!$G$4:$G$1203,$S182)))</f>
        <v/>
      </c>
      <c r="E182" s="70" t="str">
        <f>IF($S182="","",IF(INDEX(对接源_01水果!$H$4:$H$1203,$S182)=0,"",INDEX(对接源_01水果!$H$4:$H$1203,$S182)))</f>
        <v/>
      </c>
      <c r="F182" s="70" t="str">
        <f>IF($S182="","",IF(INDEX(对接源_01水果!$I$4:$I$1203,$S182)=0,"",INDEX(对接源_01水果!$I$4:$I$1203,$S182)))</f>
        <v/>
      </c>
      <c r="G182" s="72" t="str">
        <f>IF($S182="","",IF(INDEX(对接源_01水果!$AD$4:$AD$1203,$S182)=0,"",INDEX(对接源_01水果!$AD$4:$AD$1203,$S182)))</f>
        <v/>
      </c>
      <c r="H182" s="72" t="str">
        <f>IF($S182="","",IF(INDEX(对接源_01水果!$AI$4:$AI$1203,$S182)=0,"",INDEX(对接源_01水果!$AI$4:$AI$1203,$S182)))</f>
        <v/>
      </c>
      <c r="I182" s="72" t="str">
        <f>IF($S182="","",IF(INDEX(对接源_01水果!$AE$4:$AE$1203,$S182)=0,"",INDEX(对接源_01水果!$AE$4:$AE$1203,$S182)))</f>
        <v/>
      </c>
      <c r="J182" s="72" t="str">
        <f>IF($S182="","",IF(INDEX(对接源_01水果!$AF$4:$AF$1203,$S182)=0,"",INDEX(对接源_01水果!$AF$4:$AF$1203,$S182)))</f>
        <v/>
      </c>
      <c r="K182" s="72" t="str">
        <f>IF($S182="","",IF(INDEX(对接源_01水果!$K$4:$K$1203,$S182)=0,"",INDEX(对接源_01水果!$K$4:$K$1203,$S182)))</f>
        <v/>
      </c>
      <c r="L182" s="70" t="str">
        <f>IF($S182="","",IF(INDEX(对接源_01水果!$L$4:$L$1203,$S182)=0,"",INDEX(对接源_01水果!$L$4:$L$1203,$S182)))</f>
        <v/>
      </c>
      <c r="M182" s="73" t="str">
        <f>IF($S182="","",IF(INDEX(对接源_01水果!$M$4:$M$1203,$S182)=0,"",INDEX(对接源_01水果!$M$4:$M$1203,$S182)))</f>
        <v/>
      </c>
      <c r="S18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3" ht="15.75" customHeight="1" spans="1:19">
      <c r="A183" s="70" t="str">
        <f>IF($S183="","",IF(INDEX(对接源_01水果!$B$4:$B$1203,$S183)=0,"",INDEX(对接源_01水果!$B$4:$B$1203,$S183)))</f>
        <v/>
      </c>
      <c r="B183" s="70" t="str">
        <f>IF($S183="","",IF(INDEX(对接源_01水果!$E$4:$E$1203,$S183)=0,"",INDEX(对接源_01水果!$E$4:$E$1203,$S183)))</f>
        <v/>
      </c>
      <c r="C183" s="70" t="str">
        <f>IF($S183="","",IF(INDEX(对接源_01水果!$F$4:$F$1203,$S183)=0,"",INDEX(对接源_01水果!$F$4:$F$1203,$S183)))</f>
        <v/>
      </c>
      <c r="D183" s="70" t="str">
        <f>IF($S183="","",IF(INDEX(对接源_01水果!$G$4:$G$1203,$S183)=0,"",INDEX(对接源_01水果!$G$4:$G$1203,$S183)))</f>
        <v/>
      </c>
      <c r="E183" s="70" t="str">
        <f>IF($S183="","",IF(INDEX(对接源_01水果!$H$4:$H$1203,$S183)=0,"",INDEX(对接源_01水果!$H$4:$H$1203,$S183)))</f>
        <v/>
      </c>
      <c r="F183" s="70" t="str">
        <f>IF($S183="","",IF(INDEX(对接源_01水果!$I$4:$I$1203,$S183)=0,"",INDEX(对接源_01水果!$I$4:$I$1203,$S183)))</f>
        <v/>
      </c>
      <c r="G183" s="72" t="str">
        <f>IF($S183="","",IF(INDEX(对接源_01水果!$AD$4:$AD$1203,$S183)=0,"",INDEX(对接源_01水果!$AD$4:$AD$1203,$S183)))</f>
        <v/>
      </c>
      <c r="H183" s="72" t="str">
        <f>IF($S183="","",IF(INDEX(对接源_01水果!$AI$4:$AI$1203,$S183)=0,"",INDEX(对接源_01水果!$AI$4:$AI$1203,$S183)))</f>
        <v/>
      </c>
      <c r="I183" s="72" t="str">
        <f>IF($S183="","",IF(INDEX(对接源_01水果!$AE$4:$AE$1203,$S183)=0,"",INDEX(对接源_01水果!$AE$4:$AE$1203,$S183)))</f>
        <v/>
      </c>
      <c r="J183" s="72" t="str">
        <f>IF($S183="","",IF(INDEX(对接源_01水果!$AF$4:$AF$1203,$S183)=0,"",INDEX(对接源_01水果!$AF$4:$AF$1203,$S183)))</f>
        <v/>
      </c>
      <c r="K183" s="72" t="str">
        <f>IF($S183="","",IF(INDEX(对接源_01水果!$K$4:$K$1203,$S183)=0,"",INDEX(对接源_01水果!$K$4:$K$1203,$S183)))</f>
        <v/>
      </c>
      <c r="L183" s="70" t="str">
        <f>IF($S183="","",IF(INDEX(对接源_01水果!$L$4:$L$1203,$S183)=0,"",INDEX(对接源_01水果!$L$4:$L$1203,$S183)))</f>
        <v/>
      </c>
      <c r="M183" s="73" t="str">
        <f>IF($S183="","",IF(INDEX(对接源_01水果!$M$4:$M$1203,$S183)=0,"",INDEX(对接源_01水果!$M$4:$M$1203,$S183)))</f>
        <v/>
      </c>
      <c r="S18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4" ht="15.75" customHeight="1" spans="1:19">
      <c r="A184" s="70" t="str">
        <f>IF($S184="","",IF(INDEX(对接源_01水果!$B$4:$B$1203,$S184)=0,"",INDEX(对接源_01水果!$B$4:$B$1203,$S184)))</f>
        <v/>
      </c>
      <c r="B184" s="70" t="str">
        <f>IF($S184="","",IF(INDEX(对接源_01水果!$E$4:$E$1203,$S184)=0,"",INDEX(对接源_01水果!$E$4:$E$1203,$S184)))</f>
        <v/>
      </c>
      <c r="C184" s="70" t="str">
        <f>IF($S184="","",IF(INDEX(对接源_01水果!$F$4:$F$1203,$S184)=0,"",INDEX(对接源_01水果!$F$4:$F$1203,$S184)))</f>
        <v/>
      </c>
      <c r="D184" s="70" t="str">
        <f>IF($S184="","",IF(INDEX(对接源_01水果!$G$4:$G$1203,$S184)=0,"",INDEX(对接源_01水果!$G$4:$G$1203,$S184)))</f>
        <v/>
      </c>
      <c r="E184" s="70" t="str">
        <f>IF($S184="","",IF(INDEX(对接源_01水果!$H$4:$H$1203,$S184)=0,"",INDEX(对接源_01水果!$H$4:$H$1203,$S184)))</f>
        <v/>
      </c>
      <c r="F184" s="70" t="str">
        <f>IF($S184="","",IF(INDEX(对接源_01水果!$I$4:$I$1203,$S184)=0,"",INDEX(对接源_01水果!$I$4:$I$1203,$S184)))</f>
        <v/>
      </c>
      <c r="G184" s="72" t="str">
        <f>IF($S184="","",IF(INDEX(对接源_01水果!$AD$4:$AD$1203,$S184)=0,"",INDEX(对接源_01水果!$AD$4:$AD$1203,$S184)))</f>
        <v/>
      </c>
      <c r="H184" s="72" t="str">
        <f>IF($S184="","",IF(INDEX(对接源_01水果!$AI$4:$AI$1203,$S184)=0,"",INDEX(对接源_01水果!$AI$4:$AI$1203,$S184)))</f>
        <v/>
      </c>
      <c r="I184" s="72" t="str">
        <f>IF($S184="","",IF(INDEX(对接源_01水果!$AE$4:$AE$1203,$S184)=0,"",INDEX(对接源_01水果!$AE$4:$AE$1203,$S184)))</f>
        <v/>
      </c>
      <c r="J184" s="72" t="str">
        <f>IF($S184="","",IF(INDEX(对接源_01水果!$AF$4:$AF$1203,$S184)=0,"",INDEX(对接源_01水果!$AF$4:$AF$1203,$S184)))</f>
        <v/>
      </c>
      <c r="K184" s="72" t="str">
        <f>IF($S184="","",IF(INDEX(对接源_01水果!$K$4:$K$1203,$S184)=0,"",INDEX(对接源_01水果!$K$4:$K$1203,$S184)))</f>
        <v/>
      </c>
      <c r="L184" s="70" t="str">
        <f>IF($S184="","",IF(INDEX(对接源_01水果!$L$4:$L$1203,$S184)=0,"",INDEX(对接源_01水果!$L$4:$L$1203,$S184)))</f>
        <v/>
      </c>
      <c r="M184" s="73" t="str">
        <f>IF($S184="","",IF(INDEX(对接源_01水果!$M$4:$M$1203,$S184)=0,"",INDEX(对接源_01水果!$M$4:$M$1203,$S184)))</f>
        <v/>
      </c>
      <c r="S18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5" ht="15.75" customHeight="1" spans="1:19">
      <c r="A185" s="70" t="str">
        <f>IF($S185="","",IF(INDEX(对接源_01水果!$B$4:$B$1203,$S185)=0,"",INDEX(对接源_01水果!$B$4:$B$1203,$S185)))</f>
        <v/>
      </c>
      <c r="B185" s="70" t="str">
        <f>IF($S185="","",IF(INDEX(对接源_01水果!$E$4:$E$1203,$S185)=0,"",INDEX(对接源_01水果!$E$4:$E$1203,$S185)))</f>
        <v/>
      </c>
      <c r="C185" s="70" t="str">
        <f>IF($S185="","",IF(INDEX(对接源_01水果!$F$4:$F$1203,$S185)=0,"",INDEX(对接源_01水果!$F$4:$F$1203,$S185)))</f>
        <v/>
      </c>
      <c r="D185" s="70" t="str">
        <f>IF($S185="","",IF(INDEX(对接源_01水果!$G$4:$G$1203,$S185)=0,"",INDEX(对接源_01水果!$G$4:$G$1203,$S185)))</f>
        <v/>
      </c>
      <c r="E185" s="70" t="str">
        <f>IF($S185="","",IF(INDEX(对接源_01水果!$H$4:$H$1203,$S185)=0,"",INDEX(对接源_01水果!$H$4:$H$1203,$S185)))</f>
        <v/>
      </c>
      <c r="F185" s="70" t="str">
        <f>IF($S185="","",IF(INDEX(对接源_01水果!$I$4:$I$1203,$S185)=0,"",INDEX(对接源_01水果!$I$4:$I$1203,$S185)))</f>
        <v/>
      </c>
      <c r="G185" s="72" t="str">
        <f>IF($S185="","",IF(INDEX(对接源_01水果!$AD$4:$AD$1203,$S185)=0,"",INDEX(对接源_01水果!$AD$4:$AD$1203,$S185)))</f>
        <v/>
      </c>
      <c r="H185" s="72" t="str">
        <f>IF($S185="","",IF(INDEX(对接源_01水果!$AI$4:$AI$1203,$S185)=0,"",INDEX(对接源_01水果!$AI$4:$AI$1203,$S185)))</f>
        <v/>
      </c>
      <c r="I185" s="72" t="str">
        <f>IF($S185="","",IF(INDEX(对接源_01水果!$AE$4:$AE$1203,$S185)=0,"",INDEX(对接源_01水果!$AE$4:$AE$1203,$S185)))</f>
        <v/>
      </c>
      <c r="J185" s="72" t="str">
        <f>IF($S185="","",IF(INDEX(对接源_01水果!$AF$4:$AF$1203,$S185)=0,"",INDEX(对接源_01水果!$AF$4:$AF$1203,$S185)))</f>
        <v/>
      </c>
      <c r="K185" s="72" t="str">
        <f>IF($S185="","",IF(INDEX(对接源_01水果!$K$4:$K$1203,$S185)=0,"",INDEX(对接源_01水果!$K$4:$K$1203,$S185)))</f>
        <v/>
      </c>
      <c r="L185" s="70" t="str">
        <f>IF($S185="","",IF(INDEX(对接源_01水果!$L$4:$L$1203,$S185)=0,"",INDEX(对接源_01水果!$L$4:$L$1203,$S185)))</f>
        <v/>
      </c>
      <c r="M185" s="73" t="str">
        <f>IF($S185="","",IF(INDEX(对接源_01水果!$M$4:$M$1203,$S185)=0,"",INDEX(对接源_01水果!$M$4:$M$1203,$S185)))</f>
        <v/>
      </c>
      <c r="S18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6" ht="15.75" customHeight="1" spans="1:19">
      <c r="A186" s="70" t="str">
        <f>IF($S186="","",IF(INDEX(对接源_01水果!$B$4:$B$1203,$S186)=0,"",INDEX(对接源_01水果!$B$4:$B$1203,$S186)))</f>
        <v/>
      </c>
      <c r="B186" s="70" t="str">
        <f>IF($S186="","",IF(INDEX(对接源_01水果!$E$4:$E$1203,$S186)=0,"",INDEX(对接源_01水果!$E$4:$E$1203,$S186)))</f>
        <v/>
      </c>
      <c r="C186" s="70" t="str">
        <f>IF($S186="","",IF(INDEX(对接源_01水果!$F$4:$F$1203,$S186)=0,"",INDEX(对接源_01水果!$F$4:$F$1203,$S186)))</f>
        <v/>
      </c>
      <c r="D186" s="70" t="str">
        <f>IF($S186="","",IF(INDEX(对接源_01水果!$G$4:$G$1203,$S186)=0,"",INDEX(对接源_01水果!$G$4:$G$1203,$S186)))</f>
        <v/>
      </c>
      <c r="E186" s="70" t="str">
        <f>IF($S186="","",IF(INDEX(对接源_01水果!$H$4:$H$1203,$S186)=0,"",INDEX(对接源_01水果!$H$4:$H$1203,$S186)))</f>
        <v/>
      </c>
      <c r="F186" s="70" t="str">
        <f>IF($S186="","",IF(INDEX(对接源_01水果!$I$4:$I$1203,$S186)=0,"",INDEX(对接源_01水果!$I$4:$I$1203,$S186)))</f>
        <v/>
      </c>
      <c r="G186" s="72" t="str">
        <f>IF($S186="","",IF(INDEX(对接源_01水果!$AD$4:$AD$1203,$S186)=0,"",INDEX(对接源_01水果!$AD$4:$AD$1203,$S186)))</f>
        <v/>
      </c>
      <c r="H186" s="72" t="str">
        <f>IF($S186="","",IF(INDEX(对接源_01水果!$AI$4:$AI$1203,$S186)=0,"",INDEX(对接源_01水果!$AI$4:$AI$1203,$S186)))</f>
        <v/>
      </c>
      <c r="I186" s="72" t="str">
        <f>IF($S186="","",IF(INDEX(对接源_01水果!$AE$4:$AE$1203,$S186)=0,"",INDEX(对接源_01水果!$AE$4:$AE$1203,$S186)))</f>
        <v/>
      </c>
      <c r="J186" s="72" t="str">
        <f>IF($S186="","",IF(INDEX(对接源_01水果!$AF$4:$AF$1203,$S186)=0,"",INDEX(对接源_01水果!$AF$4:$AF$1203,$S186)))</f>
        <v/>
      </c>
      <c r="K186" s="72" t="str">
        <f>IF($S186="","",IF(INDEX(对接源_01水果!$K$4:$K$1203,$S186)=0,"",INDEX(对接源_01水果!$K$4:$K$1203,$S186)))</f>
        <v/>
      </c>
      <c r="L186" s="70" t="str">
        <f>IF($S186="","",IF(INDEX(对接源_01水果!$L$4:$L$1203,$S186)=0,"",INDEX(对接源_01水果!$L$4:$L$1203,$S186)))</f>
        <v/>
      </c>
      <c r="M186" s="73" t="str">
        <f>IF($S186="","",IF(INDEX(对接源_01水果!$M$4:$M$1203,$S186)=0,"",INDEX(对接源_01水果!$M$4:$M$1203,$S186)))</f>
        <v/>
      </c>
      <c r="S18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7" ht="15.75" customHeight="1" spans="1:19">
      <c r="A187" s="70" t="str">
        <f>IF($S187="","",IF(INDEX(对接源_01水果!$B$4:$B$1203,$S187)=0,"",INDEX(对接源_01水果!$B$4:$B$1203,$S187)))</f>
        <v/>
      </c>
      <c r="B187" s="70" t="str">
        <f>IF($S187="","",IF(INDEX(对接源_01水果!$E$4:$E$1203,$S187)=0,"",INDEX(对接源_01水果!$E$4:$E$1203,$S187)))</f>
        <v/>
      </c>
      <c r="C187" s="70" t="str">
        <f>IF($S187="","",IF(INDEX(对接源_01水果!$F$4:$F$1203,$S187)=0,"",INDEX(对接源_01水果!$F$4:$F$1203,$S187)))</f>
        <v/>
      </c>
      <c r="D187" s="70" t="str">
        <f>IF($S187="","",IF(INDEX(对接源_01水果!$G$4:$G$1203,$S187)=0,"",INDEX(对接源_01水果!$G$4:$G$1203,$S187)))</f>
        <v/>
      </c>
      <c r="E187" s="70" t="str">
        <f>IF($S187="","",IF(INDEX(对接源_01水果!$H$4:$H$1203,$S187)=0,"",INDEX(对接源_01水果!$H$4:$H$1203,$S187)))</f>
        <v/>
      </c>
      <c r="F187" s="70" t="str">
        <f>IF($S187="","",IF(INDEX(对接源_01水果!$I$4:$I$1203,$S187)=0,"",INDEX(对接源_01水果!$I$4:$I$1203,$S187)))</f>
        <v/>
      </c>
      <c r="G187" s="72" t="str">
        <f>IF($S187="","",IF(INDEX(对接源_01水果!$AD$4:$AD$1203,$S187)=0,"",INDEX(对接源_01水果!$AD$4:$AD$1203,$S187)))</f>
        <v/>
      </c>
      <c r="H187" s="72" t="str">
        <f>IF($S187="","",IF(INDEX(对接源_01水果!$AI$4:$AI$1203,$S187)=0,"",INDEX(对接源_01水果!$AI$4:$AI$1203,$S187)))</f>
        <v/>
      </c>
      <c r="I187" s="72" t="str">
        <f>IF($S187="","",IF(INDEX(对接源_01水果!$AE$4:$AE$1203,$S187)=0,"",INDEX(对接源_01水果!$AE$4:$AE$1203,$S187)))</f>
        <v/>
      </c>
      <c r="J187" s="72" t="str">
        <f>IF($S187="","",IF(INDEX(对接源_01水果!$AF$4:$AF$1203,$S187)=0,"",INDEX(对接源_01水果!$AF$4:$AF$1203,$S187)))</f>
        <v/>
      </c>
      <c r="K187" s="72" t="str">
        <f>IF($S187="","",IF(INDEX(对接源_01水果!$K$4:$K$1203,$S187)=0,"",INDEX(对接源_01水果!$K$4:$K$1203,$S187)))</f>
        <v/>
      </c>
      <c r="L187" s="70" t="str">
        <f>IF($S187="","",IF(INDEX(对接源_01水果!$L$4:$L$1203,$S187)=0,"",INDEX(对接源_01水果!$L$4:$L$1203,$S187)))</f>
        <v/>
      </c>
      <c r="M187" s="73" t="str">
        <f>IF($S187="","",IF(INDEX(对接源_01水果!$M$4:$M$1203,$S187)=0,"",INDEX(对接源_01水果!$M$4:$M$1203,$S187)))</f>
        <v/>
      </c>
      <c r="S18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8" ht="15.75" customHeight="1" spans="1:19">
      <c r="A188" s="70" t="str">
        <f>IF($S188="","",IF(INDEX(对接源_01水果!$B$4:$B$1203,$S188)=0,"",INDEX(对接源_01水果!$B$4:$B$1203,$S188)))</f>
        <v/>
      </c>
      <c r="B188" s="70" t="str">
        <f>IF($S188="","",IF(INDEX(对接源_01水果!$E$4:$E$1203,$S188)=0,"",INDEX(对接源_01水果!$E$4:$E$1203,$S188)))</f>
        <v/>
      </c>
      <c r="C188" s="70" t="str">
        <f>IF($S188="","",IF(INDEX(对接源_01水果!$F$4:$F$1203,$S188)=0,"",INDEX(对接源_01水果!$F$4:$F$1203,$S188)))</f>
        <v/>
      </c>
      <c r="D188" s="70" t="str">
        <f>IF($S188="","",IF(INDEX(对接源_01水果!$G$4:$G$1203,$S188)=0,"",INDEX(对接源_01水果!$G$4:$G$1203,$S188)))</f>
        <v/>
      </c>
      <c r="E188" s="70" t="str">
        <f>IF($S188="","",IF(INDEX(对接源_01水果!$H$4:$H$1203,$S188)=0,"",INDEX(对接源_01水果!$H$4:$H$1203,$S188)))</f>
        <v/>
      </c>
      <c r="F188" s="70" t="str">
        <f>IF($S188="","",IF(INDEX(对接源_01水果!$I$4:$I$1203,$S188)=0,"",INDEX(对接源_01水果!$I$4:$I$1203,$S188)))</f>
        <v/>
      </c>
      <c r="G188" s="72" t="str">
        <f>IF($S188="","",IF(INDEX(对接源_01水果!$AD$4:$AD$1203,$S188)=0,"",INDEX(对接源_01水果!$AD$4:$AD$1203,$S188)))</f>
        <v/>
      </c>
      <c r="H188" s="72" t="str">
        <f>IF($S188="","",IF(INDEX(对接源_01水果!$AI$4:$AI$1203,$S188)=0,"",INDEX(对接源_01水果!$AI$4:$AI$1203,$S188)))</f>
        <v/>
      </c>
      <c r="I188" s="72" t="str">
        <f>IF($S188="","",IF(INDEX(对接源_01水果!$AE$4:$AE$1203,$S188)=0,"",INDEX(对接源_01水果!$AE$4:$AE$1203,$S188)))</f>
        <v/>
      </c>
      <c r="J188" s="72" t="str">
        <f>IF($S188="","",IF(INDEX(对接源_01水果!$AF$4:$AF$1203,$S188)=0,"",INDEX(对接源_01水果!$AF$4:$AF$1203,$S188)))</f>
        <v/>
      </c>
      <c r="K188" s="72" t="str">
        <f>IF($S188="","",IF(INDEX(对接源_01水果!$K$4:$K$1203,$S188)=0,"",INDEX(对接源_01水果!$K$4:$K$1203,$S188)))</f>
        <v/>
      </c>
      <c r="L188" s="70" t="str">
        <f>IF($S188="","",IF(INDEX(对接源_01水果!$L$4:$L$1203,$S188)=0,"",INDEX(对接源_01水果!$L$4:$L$1203,$S188)))</f>
        <v/>
      </c>
      <c r="M188" s="73" t="str">
        <f>IF($S188="","",IF(INDEX(对接源_01水果!$M$4:$M$1203,$S188)=0,"",INDEX(对接源_01水果!$M$4:$M$1203,$S188)))</f>
        <v/>
      </c>
      <c r="S18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9" ht="15.75" customHeight="1" spans="1:19">
      <c r="A189" s="70" t="str">
        <f>IF($S189="","",IF(INDEX(对接源_01水果!$B$4:$B$1203,$S189)=0,"",INDEX(对接源_01水果!$B$4:$B$1203,$S189)))</f>
        <v/>
      </c>
      <c r="B189" s="70" t="str">
        <f>IF($S189="","",IF(INDEX(对接源_01水果!$E$4:$E$1203,$S189)=0,"",INDEX(对接源_01水果!$E$4:$E$1203,$S189)))</f>
        <v/>
      </c>
      <c r="C189" s="70" t="str">
        <f>IF($S189="","",IF(INDEX(对接源_01水果!$F$4:$F$1203,$S189)=0,"",INDEX(对接源_01水果!$F$4:$F$1203,$S189)))</f>
        <v/>
      </c>
      <c r="D189" s="70" t="str">
        <f>IF($S189="","",IF(INDEX(对接源_01水果!$G$4:$G$1203,$S189)=0,"",INDEX(对接源_01水果!$G$4:$G$1203,$S189)))</f>
        <v/>
      </c>
      <c r="E189" s="70" t="str">
        <f>IF($S189="","",IF(INDEX(对接源_01水果!$H$4:$H$1203,$S189)=0,"",INDEX(对接源_01水果!$H$4:$H$1203,$S189)))</f>
        <v/>
      </c>
      <c r="F189" s="70" t="str">
        <f>IF($S189="","",IF(INDEX(对接源_01水果!$I$4:$I$1203,$S189)=0,"",INDEX(对接源_01水果!$I$4:$I$1203,$S189)))</f>
        <v/>
      </c>
      <c r="G189" s="72" t="str">
        <f>IF($S189="","",IF(INDEX(对接源_01水果!$AD$4:$AD$1203,$S189)=0,"",INDEX(对接源_01水果!$AD$4:$AD$1203,$S189)))</f>
        <v/>
      </c>
      <c r="H189" s="72" t="str">
        <f>IF($S189="","",IF(INDEX(对接源_01水果!$AI$4:$AI$1203,$S189)=0,"",INDEX(对接源_01水果!$AI$4:$AI$1203,$S189)))</f>
        <v/>
      </c>
      <c r="I189" s="72" t="str">
        <f>IF($S189="","",IF(INDEX(对接源_01水果!$AE$4:$AE$1203,$S189)=0,"",INDEX(对接源_01水果!$AE$4:$AE$1203,$S189)))</f>
        <v/>
      </c>
      <c r="J189" s="72" t="str">
        <f>IF($S189="","",IF(INDEX(对接源_01水果!$AF$4:$AF$1203,$S189)=0,"",INDEX(对接源_01水果!$AF$4:$AF$1203,$S189)))</f>
        <v/>
      </c>
      <c r="K189" s="72" t="str">
        <f>IF($S189="","",IF(INDEX(对接源_01水果!$K$4:$K$1203,$S189)=0,"",INDEX(对接源_01水果!$K$4:$K$1203,$S189)))</f>
        <v/>
      </c>
      <c r="L189" s="70" t="str">
        <f>IF($S189="","",IF(INDEX(对接源_01水果!$L$4:$L$1203,$S189)=0,"",INDEX(对接源_01水果!$L$4:$L$1203,$S189)))</f>
        <v/>
      </c>
      <c r="M189" s="73" t="str">
        <f>IF($S189="","",IF(INDEX(对接源_01水果!$M$4:$M$1203,$S189)=0,"",INDEX(对接源_01水果!$M$4:$M$1203,$S189)))</f>
        <v/>
      </c>
      <c r="S18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0" ht="15.75" customHeight="1" spans="1:19">
      <c r="A190" s="70" t="str">
        <f>IF($S190="","",IF(INDEX(对接源_01水果!$B$4:$B$1203,$S190)=0,"",INDEX(对接源_01水果!$B$4:$B$1203,$S190)))</f>
        <v/>
      </c>
      <c r="B190" s="70" t="str">
        <f>IF($S190="","",IF(INDEX(对接源_01水果!$E$4:$E$1203,$S190)=0,"",INDEX(对接源_01水果!$E$4:$E$1203,$S190)))</f>
        <v/>
      </c>
      <c r="C190" s="70" t="str">
        <f>IF($S190="","",IF(INDEX(对接源_01水果!$F$4:$F$1203,$S190)=0,"",INDEX(对接源_01水果!$F$4:$F$1203,$S190)))</f>
        <v/>
      </c>
      <c r="D190" s="70" t="str">
        <f>IF($S190="","",IF(INDEX(对接源_01水果!$G$4:$G$1203,$S190)=0,"",INDEX(对接源_01水果!$G$4:$G$1203,$S190)))</f>
        <v/>
      </c>
      <c r="E190" s="70" t="str">
        <f>IF($S190="","",IF(INDEX(对接源_01水果!$H$4:$H$1203,$S190)=0,"",INDEX(对接源_01水果!$H$4:$H$1203,$S190)))</f>
        <v/>
      </c>
      <c r="F190" s="70" t="str">
        <f>IF($S190="","",IF(INDEX(对接源_01水果!$I$4:$I$1203,$S190)=0,"",INDEX(对接源_01水果!$I$4:$I$1203,$S190)))</f>
        <v/>
      </c>
      <c r="G190" s="72" t="str">
        <f>IF($S190="","",IF(INDEX(对接源_01水果!$AD$4:$AD$1203,$S190)=0,"",INDEX(对接源_01水果!$AD$4:$AD$1203,$S190)))</f>
        <v/>
      </c>
      <c r="H190" s="72" t="str">
        <f>IF($S190="","",IF(INDEX(对接源_01水果!$AI$4:$AI$1203,$S190)=0,"",INDEX(对接源_01水果!$AI$4:$AI$1203,$S190)))</f>
        <v/>
      </c>
      <c r="I190" s="72" t="str">
        <f>IF($S190="","",IF(INDEX(对接源_01水果!$AE$4:$AE$1203,$S190)=0,"",INDEX(对接源_01水果!$AE$4:$AE$1203,$S190)))</f>
        <v/>
      </c>
      <c r="J190" s="72" t="str">
        <f>IF($S190="","",IF(INDEX(对接源_01水果!$AF$4:$AF$1203,$S190)=0,"",INDEX(对接源_01水果!$AF$4:$AF$1203,$S190)))</f>
        <v/>
      </c>
      <c r="K190" s="72" t="str">
        <f>IF($S190="","",IF(INDEX(对接源_01水果!$K$4:$K$1203,$S190)=0,"",INDEX(对接源_01水果!$K$4:$K$1203,$S190)))</f>
        <v/>
      </c>
      <c r="L190" s="70" t="str">
        <f>IF($S190="","",IF(INDEX(对接源_01水果!$L$4:$L$1203,$S190)=0,"",INDEX(对接源_01水果!$L$4:$L$1203,$S190)))</f>
        <v/>
      </c>
      <c r="M190" s="73" t="str">
        <f>IF($S190="","",IF(INDEX(对接源_01水果!$M$4:$M$1203,$S190)=0,"",INDEX(对接源_01水果!$M$4:$M$1203,$S190)))</f>
        <v/>
      </c>
      <c r="S19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1" ht="15.75" customHeight="1" spans="1:19">
      <c r="A191" s="70" t="str">
        <f>IF($S191="","",IF(INDEX(对接源_01水果!$B$4:$B$1203,$S191)=0,"",INDEX(对接源_01水果!$B$4:$B$1203,$S191)))</f>
        <v/>
      </c>
      <c r="B191" s="70" t="str">
        <f>IF($S191="","",IF(INDEX(对接源_01水果!$E$4:$E$1203,$S191)=0,"",INDEX(对接源_01水果!$E$4:$E$1203,$S191)))</f>
        <v/>
      </c>
      <c r="C191" s="70" t="str">
        <f>IF($S191="","",IF(INDEX(对接源_01水果!$F$4:$F$1203,$S191)=0,"",INDEX(对接源_01水果!$F$4:$F$1203,$S191)))</f>
        <v/>
      </c>
      <c r="D191" s="70" t="str">
        <f>IF($S191="","",IF(INDEX(对接源_01水果!$G$4:$G$1203,$S191)=0,"",INDEX(对接源_01水果!$G$4:$G$1203,$S191)))</f>
        <v/>
      </c>
      <c r="E191" s="70" t="str">
        <f>IF($S191="","",IF(INDEX(对接源_01水果!$H$4:$H$1203,$S191)=0,"",INDEX(对接源_01水果!$H$4:$H$1203,$S191)))</f>
        <v/>
      </c>
      <c r="F191" s="70" t="str">
        <f>IF($S191="","",IF(INDEX(对接源_01水果!$I$4:$I$1203,$S191)=0,"",INDEX(对接源_01水果!$I$4:$I$1203,$S191)))</f>
        <v/>
      </c>
      <c r="G191" s="72" t="str">
        <f>IF($S191="","",IF(INDEX(对接源_01水果!$AD$4:$AD$1203,$S191)=0,"",INDEX(对接源_01水果!$AD$4:$AD$1203,$S191)))</f>
        <v/>
      </c>
      <c r="H191" s="72" t="str">
        <f>IF($S191="","",IF(INDEX(对接源_01水果!$AI$4:$AI$1203,$S191)=0,"",INDEX(对接源_01水果!$AI$4:$AI$1203,$S191)))</f>
        <v/>
      </c>
      <c r="I191" s="72" t="str">
        <f>IF($S191="","",IF(INDEX(对接源_01水果!$AE$4:$AE$1203,$S191)=0,"",INDEX(对接源_01水果!$AE$4:$AE$1203,$S191)))</f>
        <v/>
      </c>
      <c r="J191" s="72" t="str">
        <f>IF($S191="","",IF(INDEX(对接源_01水果!$AF$4:$AF$1203,$S191)=0,"",INDEX(对接源_01水果!$AF$4:$AF$1203,$S191)))</f>
        <v/>
      </c>
      <c r="K191" s="72" t="str">
        <f>IF($S191="","",IF(INDEX(对接源_01水果!$K$4:$K$1203,$S191)=0,"",INDEX(对接源_01水果!$K$4:$K$1203,$S191)))</f>
        <v/>
      </c>
      <c r="L191" s="70" t="str">
        <f>IF($S191="","",IF(INDEX(对接源_01水果!$L$4:$L$1203,$S191)=0,"",INDEX(对接源_01水果!$L$4:$L$1203,$S191)))</f>
        <v/>
      </c>
      <c r="M191" s="73" t="str">
        <f>IF($S191="","",IF(INDEX(对接源_01水果!$M$4:$M$1203,$S191)=0,"",INDEX(对接源_01水果!$M$4:$M$1203,$S191)))</f>
        <v/>
      </c>
      <c r="S19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2" ht="15.75" customHeight="1" spans="1:19">
      <c r="A192" s="70" t="str">
        <f>IF($S192="","",IF(INDEX(对接源_01水果!$B$4:$B$1203,$S192)=0,"",INDEX(对接源_01水果!$B$4:$B$1203,$S192)))</f>
        <v/>
      </c>
      <c r="B192" s="70" t="str">
        <f>IF($S192="","",IF(INDEX(对接源_01水果!$E$4:$E$1203,$S192)=0,"",INDEX(对接源_01水果!$E$4:$E$1203,$S192)))</f>
        <v/>
      </c>
      <c r="C192" s="70" t="str">
        <f>IF($S192="","",IF(INDEX(对接源_01水果!$F$4:$F$1203,$S192)=0,"",INDEX(对接源_01水果!$F$4:$F$1203,$S192)))</f>
        <v/>
      </c>
      <c r="D192" s="70" t="str">
        <f>IF($S192="","",IF(INDEX(对接源_01水果!$G$4:$G$1203,$S192)=0,"",INDEX(对接源_01水果!$G$4:$G$1203,$S192)))</f>
        <v/>
      </c>
      <c r="E192" s="70" t="str">
        <f>IF($S192="","",IF(INDEX(对接源_01水果!$H$4:$H$1203,$S192)=0,"",INDEX(对接源_01水果!$H$4:$H$1203,$S192)))</f>
        <v/>
      </c>
      <c r="F192" s="70" t="str">
        <f>IF($S192="","",IF(INDEX(对接源_01水果!$I$4:$I$1203,$S192)=0,"",INDEX(对接源_01水果!$I$4:$I$1203,$S192)))</f>
        <v/>
      </c>
      <c r="G192" s="72" t="str">
        <f>IF($S192="","",IF(INDEX(对接源_01水果!$AD$4:$AD$1203,$S192)=0,"",INDEX(对接源_01水果!$AD$4:$AD$1203,$S192)))</f>
        <v/>
      </c>
      <c r="H192" s="72" t="str">
        <f>IF($S192="","",IF(INDEX(对接源_01水果!$AI$4:$AI$1203,$S192)=0,"",INDEX(对接源_01水果!$AI$4:$AI$1203,$S192)))</f>
        <v/>
      </c>
      <c r="I192" s="72" t="str">
        <f>IF($S192="","",IF(INDEX(对接源_01水果!$AE$4:$AE$1203,$S192)=0,"",INDEX(对接源_01水果!$AE$4:$AE$1203,$S192)))</f>
        <v/>
      </c>
      <c r="J192" s="72" t="str">
        <f>IF($S192="","",IF(INDEX(对接源_01水果!$AF$4:$AF$1203,$S192)=0,"",INDEX(对接源_01水果!$AF$4:$AF$1203,$S192)))</f>
        <v/>
      </c>
      <c r="K192" s="72" t="str">
        <f>IF($S192="","",IF(INDEX(对接源_01水果!$K$4:$K$1203,$S192)=0,"",INDEX(对接源_01水果!$K$4:$K$1203,$S192)))</f>
        <v/>
      </c>
      <c r="L192" s="70" t="str">
        <f>IF($S192="","",IF(INDEX(对接源_01水果!$L$4:$L$1203,$S192)=0,"",INDEX(对接源_01水果!$L$4:$L$1203,$S192)))</f>
        <v/>
      </c>
      <c r="M192" s="73" t="str">
        <f>IF($S192="","",IF(INDEX(对接源_01水果!$M$4:$M$1203,$S192)=0,"",INDEX(对接源_01水果!$M$4:$M$1203,$S192)))</f>
        <v/>
      </c>
      <c r="S19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3" ht="15.75" customHeight="1" spans="1:19">
      <c r="A193" s="70" t="str">
        <f>IF($S193="","",IF(INDEX(对接源_01水果!$B$4:$B$1203,$S193)=0,"",INDEX(对接源_01水果!$B$4:$B$1203,$S193)))</f>
        <v/>
      </c>
      <c r="B193" s="70" t="str">
        <f>IF($S193="","",IF(INDEX(对接源_01水果!$E$4:$E$1203,$S193)=0,"",INDEX(对接源_01水果!$E$4:$E$1203,$S193)))</f>
        <v/>
      </c>
      <c r="C193" s="70" t="str">
        <f>IF($S193="","",IF(INDEX(对接源_01水果!$F$4:$F$1203,$S193)=0,"",INDEX(对接源_01水果!$F$4:$F$1203,$S193)))</f>
        <v/>
      </c>
      <c r="D193" s="70" t="str">
        <f>IF($S193="","",IF(INDEX(对接源_01水果!$G$4:$G$1203,$S193)=0,"",INDEX(对接源_01水果!$G$4:$G$1203,$S193)))</f>
        <v/>
      </c>
      <c r="E193" s="70" t="str">
        <f>IF($S193="","",IF(INDEX(对接源_01水果!$H$4:$H$1203,$S193)=0,"",INDEX(对接源_01水果!$H$4:$H$1203,$S193)))</f>
        <v/>
      </c>
      <c r="F193" s="70" t="str">
        <f>IF($S193="","",IF(INDEX(对接源_01水果!$I$4:$I$1203,$S193)=0,"",INDEX(对接源_01水果!$I$4:$I$1203,$S193)))</f>
        <v/>
      </c>
      <c r="G193" s="72" t="str">
        <f>IF($S193="","",IF(INDEX(对接源_01水果!$AD$4:$AD$1203,$S193)=0,"",INDEX(对接源_01水果!$AD$4:$AD$1203,$S193)))</f>
        <v/>
      </c>
      <c r="H193" s="72" t="str">
        <f>IF($S193="","",IF(INDEX(对接源_01水果!$AI$4:$AI$1203,$S193)=0,"",INDEX(对接源_01水果!$AI$4:$AI$1203,$S193)))</f>
        <v/>
      </c>
      <c r="I193" s="72" t="str">
        <f>IF($S193="","",IF(INDEX(对接源_01水果!$AE$4:$AE$1203,$S193)=0,"",INDEX(对接源_01水果!$AE$4:$AE$1203,$S193)))</f>
        <v/>
      </c>
      <c r="J193" s="72" t="str">
        <f>IF($S193="","",IF(INDEX(对接源_01水果!$AF$4:$AF$1203,$S193)=0,"",INDEX(对接源_01水果!$AF$4:$AF$1203,$S193)))</f>
        <v/>
      </c>
      <c r="K193" s="72" t="str">
        <f>IF($S193="","",IF(INDEX(对接源_01水果!$K$4:$K$1203,$S193)=0,"",INDEX(对接源_01水果!$K$4:$K$1203,$S193)))</f>
        <v/>
      </c>
      <c r="L193" s="70" t="str">
        <f>IF($S193="","",IF(INDEX(对接源_01水果!$L$4:$L$1203,$S193)=0,"",INDEX(对接源_01水果!$L$4:$L$1203,$S193)))</f>
        <v/>
      </c>
      <c r="M193" s="73" t="str">
        <f>IF($S193="","",IF(INDEX(对接源_01水果!$M$4:$M$1203,$S193)=0,"",INDEX(对接源_01水果!$M$4:$M$1203,$S193)))</f>
        <v/>
      </c>
      <c r="S19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4" ht="15.75" customHeight="1" spans="1:19">
      <c r="A194" s="70" t="str">
        <f>IF($S194="","",IF(INDEX(对接源_01水果!$B$4:$B$1203,$S194)=0,"",INDEX(对接源_01水果!$B$4:$B$1203,$S194)))</f>
        <v/>
      </c>
      <c r="B194" s="70" t="str">
        <f>IF($S194="","",IF(INDEX(对接源_01水果!$E$4:$E$1203,$S194)=0,"",INDEX(对接源_01水果!$E$4:$E$1203,$S194)))</f>
        <v/>
      </c>
      <c r="C194" s="70" t="str">
        <f>IF($S194="","",IF(INDEX(对接源_01水果!$F$4:$F$1203,$S194)=0,"",INDEX(对接源_01水果!$F$4:$F$1203,$S194)))</f>
        <v/>
      </c>
      <c r="D194" s="70" t="str">
        <f>IF($S194="","",IF(INDEX(对接源_01水果!$G$4:$G$1203,$S194)=0,"",INDEX(对接源_01水果!$G$4:$G$1203,$S194)))</f>
        <v/>
      </c>
      <c r="E194" s="70" t="str">
        <f>IF($S194="","",IF(INDEX(对接源_01水果!$H$4:$H$1203,$S194)=0,"",INDEX(对接源_01水果!$H$4:$H$1203,$S194)))</f>
        <v/>
      </c>
      <c r="F194" s="70" t="str">
        <f>IF($S194="","",IF(INDEX(对接源_01水果!$I$4:$I$1203,$S194)=0,"",INDEX(对接源_01水果!$I$4:$I$1203,$S194)))</f>
        <v/>
      </c>
      <c r="G194" s="72" t="str">
        <f>IF($S194="","",IF(INDEX(对接源_01水果!$AD$4:$AD$1203,$S194)=0,"",INDEX(对接源_01水果!$AD$4:$AD$1203,$S194)))</f>
        <v/>
      </c>
      <c r="H194" s="72" t="str">
        <f>IF($S194="","",IF(INDEX(对接源_01水果!$AI$4:$AI$1203,$S194)=0,"",INDEX(对接源_01水果!$AI$4:$AI$1203,$S194)))</f>
        <v/>
      </c>
      <c r="I194" s="72" t="str">
        <f>IF($S194="","",IF(INDEX(对接源_01水果!$AE$4:$AE$1203,$S194)=0,"",INDEX(对接源_01水果!$AE$4:$AE$1203,$S194)))</f>
        <v/>
      </c>
      <c r="J194" s="72" t="str">
        <f>IF($S194="","",IF(INDEX(对接源_01水果!$AF$4:$AF$1203,$S194)=0,"",INDEX(对接源_01水果!$AF$4:$AF$1203,$S194)))</f>
        <v/>
      </c>
      <c r="K194" s="72" t="str">
        <f>IF($S194="","",IF(INDEX(对接源_01水果!$K$4:$K$1203,$S194)=0,"",INDEX(对接源_01水果!$K$4:$K$1203,$S194)))</f>
        <v/>
      </c>
      <c r="L194" s="70" t="str">
        <f>IF($S194="","",IF(INDEX(对接源_01水果!$L$4:$L$1203,$S194)=0,"",INDEX(对接源_01水果!$L$4:$L$1203,$S194)))</f>
        <v/>
      </c>
      <c r="M194" s="73" t="str">
        <f>IF($S194="","",IF(INDEX(对接源_01水果!$M$4:$M$1203,$S194)=0,"",INDEX(对接源_01水果!$M$4:$M$1203,$S194)))</f>
        <v/>
      </c>
      <c r="S19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5" ht="15.75" customHeight="1" spans="1:19">
      <c r="A195" s="70" t="str">
        <f>IF($S195="","",IF(INDEX(对接源_01水果!$B$4:$B$1203,$S195)=0,"",INDEX(对接源_01水果!$B$4:$B$1203,$S195)))</f>
        <v/>
      </c>
      <c r="B195" s="70" t="str">
        <f>IF($S195="","",IF(INDEX(对接源_01水果!$E$4:$E$1203,$S195)=0,"",INDEX(对接源_01水果!$E$4:$E$1203,$S195)))</f>
        <v/>
      </c>
      <c r="C195" s="70" t="str">
        <f>IF($S195="","",IF(INDEX(对接源_01水果!$F$4:$F$1203,$S195)=0,"",INDEX(对接源_01水果!$F$4:$F$1203,$S195)))</f>
        <v/>
      </c>
      <c r="D195" s="70" t="str">
        <f>IF($S195="","",IF(INDEX(对接源_01水果!$G$4:$G$1203,$S195)=0,"",INDEX(对接源_01水果!$G$4:$G$1203,$S195)))</f>
        <v/>
      </c>
      <c r="E195" s="70" t="str">
        <f>IF($S195="","",IF(INDEX(对接源_01水果!$H$4:$H$1203,$S195)=0,"",INDEX(对接源_01水果!$H$4:$H$1203,$S195)))</f>
        <v/>
      </c>
      <c r="F195" s="70" t="str">
        <f>IF($S195="","",IF(INDEX(对接源_01水果!$I$4:$I$1203,$S195)=0,"",INDEX(对接源_01水果!$I$4:$I$1203,$S195)))</f>
        <v/>
      </c>
      <c r="G195" s="72" t="str">
        <f>IF($S195="","",IF(INDEX(对接源_01水果!$AD$4:$AD$1203,$S195)=0,"",INDEX(对接源_01水果!$AD$4:$AD$1203,$S195)))</f>
        <v/>
      </c>
      <c r="H195" s="72" t="str">
        <f>IF($S195="","",IF(INDEX(对接源_01水果!$AI$4:$AI$1203,$S195)=0,"",INDEX(对接源_01水果!$AI$4:$AI$1203,$S195)))</f>
        <v/>
      </c>
      <c r="I195" s="72" t="str">
        <f>IF($S195="","",IF(INDEX(对接源_01水果!$AE$4:$AE$1203,$S195)=0,"",INDEX(对接源_01水果!$AE$4:$AE$1203,$S195)))</f>
        <v/>
      </c>
      <c r="J195" s="72" t="str">
        <f>IF($S195="","",IF(INDEX(对接源_01水果!$AF$4:$AF$1203,$S195)=0,"",INDEX(对接源_01水果!$AF$4:$AF$1203,$S195)))</f>
        <v/>
      </c>
      <c r="K195" s="72" t="str">
        <f>IF($S195="","",IF(INDEX(对接源_01水果!$K$4:$K$1203,$S195)=0,"",INDEX(对接源_01水果!$K$4:$K$1203,$S195)))</f>
        <v/>
      </c>
      <c r="L195" s="70" t="str">
        <f>IF($S195="","",IF(INDEX(对接源_01水果!$L$4:$L$1203,$S195)=0,"",INDEX(对接源_01水果!$L$4:$L$1203,$S195)))</f>
        <v/>
      </c>
      <c r="M195" s="73" t="str">
        <f>IF($S195="","",IF(INDEX(对接源_01水果!$M$4:$M$1203,$S195)=0,"",INDEX(对接源_01水果!$M$4:$M$1203,$S195)))</f>
        <v/>
      </c>
      <c r="S19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6" ht="15.75" customHeight="1" spans="1:19">
      <c r="A196" s="70" t="str">
        <f>IF($S196="","",IF(INDEX(对接源_01水果!$B$4:$B$1203,$S196)=0,"",INDEX(对接源_01水果!$B$4:$B$1203,$S196)))</f>
        <v/>
      </c>
      <c r="B196" s="70" t="str">
        <f>IF($S196="","",IF(INDEX(对接源_01水果!$E$4:$E$1203,$S196)=0,"",INDEX(对接源_01水果!$E$4:$E$1203,$S196)))</f>
        <v/>
      </c>
      <c r="C196" s="70" t="str">
        <f>IF($S196="","",IF(INDEX(对接源_01水果!$F$4:$F$1203,$S196)=0,"",INDEX(对接源_01水果!$F$4:$F$1203,$S196)))</f>
        <v/>
      </c>
      <c r="D196" s="70" t="str">
        <f>IF($S196="","",IF(INDEX(对接源_01水果!$G$4:$G$1203,$S196)=0,"",INDEX(对接源_01水果!$G$4:$G$1203,$S196)))</f>
        <v/>
      </c>
      <c r="E196" s="70" t="str">
        <f>IF($S196="","",IF(INDEX(对接源_01水果!$H$4:$H$1203,$S196)=0,"",INDEX(对接源_01水果!$H$4:$H$1203,$S196)))</f>
        <v/>
      </c>
      <c r="F196" s="70" t="str">
        <f>IF($S196="","",IF(INDEX(对接源_01水果!$I$4:$I$1203,$S196)=0,"",INDEX(对接源_01水果!$I$4:$I$1203,$S196)))</f>
        <v/>
      </c>
      <c r="G196" s="72" t="str">
        <f>IF($S196="","",IF(INDEX(对接源_01水果!$AD$4:$AD$1203,$S196)=0,"",INDEX(对接源_01水果!$AD$4:$AD$1203,$S196)))</f>
        <v/>
      </c>
      <c r="H196" s="72" t="str">
        <f>IF($S196="","",IF(INDEX(对接源_01水果!$AI$4:$AI$1203,$S196)=0,"",INDEX(对接源_01水果!$AI$4:$AI$1203,$S196)))</f>
        <v/>
      </c>
      <c r="I196" s="72" t="str">
        <f>IF($S196="","",IF(INDEX(对接源_01水果!$AE$4:$AE$1203,$S196)=0,"",INDEX(对接源_01水果!$AE$4:$AE$1203,$S196)))</f>
        <v/>
      </c>
      <c r="J196" s="72" t="str">
        <f>IF($S196="","",IF(INDEX(对接源_01水果!$AF$4:$AF$1203,$S196)=0,"",INDEX(对接源_01水果!$AF$4:$AF$1203,$S196)))</f>
        <v/>
      </c>
      <c r="K196" s="72" t="str">
        <f>IF($S196="","",IF(INDEX(对接源_01水果!$K$4:$K$1203,$S196)=0,"",INDEX(对接源_01水果!$K$4:$K$1203,$S196)))</f>
        <v/>
      </c>
      <c r="L196" s="70" t="str">
        <f>IF($S196="","",IF(INDEX(对接源_01水果!$L$4:$L$1203,$S196)=0,"",INDEX(对接源_01水果!$L$4:$L$1203,$S196)))</f>
        <v/>
      </c>
      <c r="M196" s="73" t="str">
        <f>IF($S196="","",IF(INDEX(对接源_01水果!$M$4:$M$1203,$S196)=0,"",INDEX(对接源_01水果!$M$4:$M$1203,$S196)))</f>
        <v/>
      </c>
      <c r="S19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7" ht="15.75" customHeight="1" spans="1:19">
      <c r="A197" s="70" t="str">
        <f>IF($S197="","",IF(INDEX(对接源_01水果!$B$4:$B$1203,$S197)=0,"",INDEX(对接源_01水果!$B$4:$B$1203,$S197)))</f>
        <v/>
      </c>
      <c r="B197" s="70" t="str">
        <f>IF($S197="","",IF(INDEX(对接源_01水果!$E$4:$E$1203,$S197)=0,"",INDEX(对接源_01水果!$E$4:$E$1203,$S197)))</f>
        <v/>
      </c>
      <c r="C197" s="70" t="str">
        <f>IF($S197="","",IF(INDEX(对接源_01水果!$F$4:$F$1203,$S197)=0,"",INDEX(对接源_01水果!$F$4:$F$1203,$S197)))</f>
        <v/>
      </c>
      <c r="D197" s="70" t="str">
        <f>IF($S197="","",IF(INDEX(对接源_01水果!$G$4:$G$1203,$S197)=0,"",INDEX(对接源_01水果!$G$4:$G$1203,$S197)))</f>
        <v/>
      </c>
      <c r="E197" s="70" t="str">
        <f>IF($S197="","",IF(INDEX(对接源_01水果!$H$4:$H$1203,$S197)=0,"",INDEX(对接源_01水果!$H$4:$H$1203,$S197)))</f>
        <v/>
      </c>
      <c r="F197" s="70" t="str">
        <f>IF($S197="","",IF(INDEX(对接源_01水果!$I$4:$I$1203,$S197)=0,"",INDEX(对接源_01水果!$I$4:$I$1203,$S197)))</f>
        <v/>
      </c>
      <c r="G197" s="72" t="str">
        <f>IF($S197="","",IF(INDEX(对接源_01水果!$AD$4:$AD$1203,$S197)=0,"",INDEX(对接源_01水果!$AD$4:$AD$1203,$S197)))</f>
        <v/>
      </c>
      <c r="H197" s="72" t="str">
        <f>IF($S197="","",IF(INDEX(对接源_01水果!$AI$4:$AI$1203,$S197)=0,"",INDEX(对接源_01水果!$AI$4:$AI$1203,$S197)))</f>
        <v/>
      </c>
      <c r="I197" s="72" t="str">
        <f>IF($S197="","",IF(INDEX(对接源_01水果!$AE$4:$AE$1203,$S197)=0,"",INDEX(对接源_01水果!$AE$4:$AE$1203,$S197)))</f>
        <v/>
      </c>
      <c r="J197" s="72" t="str">
        <f>IF($S197="","",IF(INDEX(对接源_01水果!$AF$4:$AF$1203,$S197)=0,"",INDEX(对接源_01水果!$AF$4:$AF$1203,$S197)))</f>
        <v/>
      </c>
      <c r="K197" s="72" t="str">
        <f>IF($S197="","",IF(INDEX(对接源_01水果!$K$4:$K$1203,$S197)=0,"",INDEX(对接源_01水果!$K$4:$K$1203,$S197)))</f>
        <v/>
      </c>
      <c r="L197" s="70" t="str">
        <f>IF($S197="","",IF(INDEX(对接源_01水果!$L$4:$L$1203,$S197)=0,"",INDEX(对接源_01水果!$L$4:$L$1203,$S197)))</f>
        <v/>
      </c>
      <c r="M197" s="73" t="str">
        <f>IF($S197="","",IF(INDEX(对接源_01水果!$M$4:$M$1203,$S197)=0,"",INDEX(对接源_01水果!$M$4:$M$1203,$S197)))</f>
        <v/>
      </c>
      <c r="S19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8" ht="15.75" customHeight="1" spans="1:19">
      <c r="A198" s="70" t="str">
        <f>IF($S198="","",IF(INDEX(对接源_01水果!$B$4:$B$1203,$S198)=0,"",INDEX(对接源_01水果!$B$4:$B$1203,$S198)))</f>
        <v/>
      </c>
      <c r="B198" s="70" t="str">
        <f>IF($S198="","",IF(INDEX(对接源_01水果!$E$4:$E$1203,$S198)=0,"",INDEX(对接源_01水果!$E$4:$E$1203,$S198)))</f>
        <v/>
      </c>
      <c r="C198" s="70" t="str">
        <f>IF($S198="","",IF(INDEX(对接源_01水果!$F$4:$F$1203,$S198)=0,"",INDEX(对接源_01水果!$F$4:$F$1203,$S198)))</f>
        <v/>
      </c>
      <c r="D198" s="70" t="str">
        <f>IF($S198="","",IF(INDEX(对接源_01水果!$G$4:$G$1203,$S198)=0,"",INDEX(对接源_01水果!$G$4:$G$1203,$S198)))</f>
        <v/>
      </c>
      <c r="E198" s="70" t="str">
        <f>IF($S198="","",IF(INDEX(对接源_01水果!$H$4:$H$1203,$S198)=0,"",INDEX(对接源_01水果!$H$4:$H$1203,$S198)))</f>
        <v/>
      </c>
      <c r="F198" s="70" t="str">
        <f>IF($S198="","",IF(INDEX(对接源_01水果!$I$4:$I$1203,$S198)=0,"",INDEX(对接源_01水果!$I$4:$I$1203,$S198)))</f>
        <v/>
      </c>
      <c r="G198" s="72" t="str">
        <f>IF($S198="","",IF(INDEX(对接源_01水果!$AD$4:$AD$1203,$S198)=0,"",INDEX(对接源_01水果!$AD$4:$AD$1203,$S198)))</f>
        <v/>
      </c>
      <c r="H198" s="72" t="str">
        <f>IF($S198="","",IF(INDEX(对接源_01水果!$AI$4:$AI$1203,$S198)=0,"",INDEX(对接源_01水果!$AI$4:$AI$1203,$S198)))</f>
        <v/>
      </c>
      <c r="I198" s="72" t="str">
        <f>IF($S198="","",IF(INDEX(对接源_01水果!$AE$4:$AE$1203,$S198)=0,"",INDEX(对接源_01水果!$AE$4:$AE$1203,$S198)))</f>
        <v/>
      </c>
      <c r="J198" s="72" t="str">
        <f>IF($S198="","",IF(INDEX(对接源_01水果!$AF$4:$AF$1203,$S198)=0,"",INDEX(对接源_01水果!$AF$4:$AF$1203,$S198)))</f>
        <v/>
      </c>
      <c r="K198" s="72" t="str">
        <f>IF($S198="","",IF(INDEX(对接源_01水果!$K$4:$K$1203,$S198)=0,"",INDEX(对接源_01水果!$K$4:$K$1203,$S198)))</f>
        <v/>
      </c>
      <c r="L198" s="70" t="str">
        <f>IF($S198="","",IF(INDEX(对接源_01水果!$L$4:$L$1203,$S198)=0,"",INDEX(对接源_01水果!$L$4:$L$1203,$S198)))</f>
        <v/>
      </c>
      <c r="M198" s="73" t="str">
        <f>IF($S198="","",IF(INDEX(对接源_01水果!$M$4:$M$1203,$S198)=0,"",INDEX(对接源_01水果!$M$4:$M$1203,$S198)))</f>
        <v/>
      </c>
      <c r="S19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9" ht="15.75" customHeight="1" spans="1:19">
      <c r="A199" s="70" t="str">
        <f>IF($S199="","",IF(INDEX(对接源_01水果!$B$4:$B$1203,$S199)=0,"",INDEX(对接源_01水果!$B$4:$B$1203,$S199)))</f>
        <v/>
      </c>
      <c r="B199" s="70" t="str">
        <f>IF($S199="","",IF(INDEX(对接源_01水果!$E$4:$E$1203,$S199)=0,"",INDEX(对接源_01水果!$E$4:$E$1203,$S199)))</f>
        <v/>
      </c>
      <c r="C199" s="70" t="str">
        <f>IF($S199="","",IF(INDEX(对接源_01水果!$F$4:$F$1203,$S199)=0,"",INDEX(对接源_01水果!$F$4:$F$1203,$S199)))</f>
        <v/>
      </c>
      <c r="D199" s="70" t="str">
        <f>IF($S199="","",IF(INDEX(对接源_01水果!$G$4:$G$1203,$S199)=0,"",INDEX(对接源_01水果!$G$4:$G$1203,$S199)))</f>
        <v/>
      </c>
      <c r="E199" s="70" t="str">
        <f>IF($S199="","",IF(INDEX(对接源_01水果!$H$4:$H$1203,$S199)=0,"",INDEX(对接源_01水果!$H$4:$H$1203,$S199)))</f>
        <v/>
      </c>
      <c r="F199" s="70" t="str">
        <f>IF($S199="","",IF(INDEX(对接源_01水果!$I$4:$I$1203,$S199)=0,"",INDEX(对接源_01水果!$I$4:$I$1203,$S199)))</f>
        <v/>
      </c>
      <c r="G199" s="72" t="str">
        <f>IF($S199="","",IF(INDEX(对接源_01水果!$AD$4:$AD$1203,$S199)=0,"",INDEX(对接源_01水果!$AD$4:$AD$1203,$S199)))</f>
        <v/>
      </c>
      <c r="H199" s="72" t="str">
        <f>IF($S199="","",IF(INDEX(对接源_01水果!$AI$4:$AI$1203,$S199)=0,"",INDEX(对接源_01水果!$AI$4:$AI$1203,$S199)))</f>
        <v/>
      </c>
      <c r="I199" s="72" t="str">
        <f>IF($S199="","",IF(INDEX(对接源_01水果!$AE$4:$AE$1203,$S199)=0,"",INDEX(对接源_01水果!$AE$4:$AE$1203,$S199)))</f>
        <v/>
      </c>
      <c r="J199" s="72" t="str">
        <f>IF($S199="","",IF(INDEX(对接源_01水果!$AF$4:$AF$1203,$S199)=0,"",INDEX(对接源_01水果!$AF$4:$AF$1203,$S199)))</f>
        <v/>
      </c>
      <c r="K199" s="72" t="str">
        <f>IF($S199="","",IF(INDEX(对接源_01水果!$K$4:$K$1203,$S199)=0,"",INDEX(对接源_01水果!$K$4:$K$1203,$S199)))</f>
        <v/>
      </c>
      <c r="L199" s="70" t="str">
        <f>IF($S199="","",IF(INDEX(对接源_01水果!$L$4:$L$1203,$S199)=0,"",INDEX(对接源_01水果!$L$4:$L$1203,$S199)))</f>
        <v/>
      </c>
      <c r="M199" s="73" t="str">
        <f>IF($S199="","",IF(INDEX(对接源_01水果!$M$4:$M$1203,$S199)=0,"",INDEX(对接源_01水果!$M$4:$M$1203,$S199)))</f>
        <v/>
      </c>
      <c r="S19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0" ht="15.75" customHeight="1" spans="1:19">
      <c r="A200" s="70" t="str">
        <f>IF($S200="","",IF(INDEX(对接源_01水果!$B$4:$B$1203,$S200)=0,"",INDEX(对接源_01水果!$B$4:$B$1203,$S200)))</f>
        <v/>
      </c>
      <c r="B200" s="70" t="str">
        <f>IF($S200="","",IF(INDEX(对接源_01水果!$E$4:$E$1203,$S200)=0,"",INDEX(对接源_01水果!$E$4:$E$1203,$S200)))</f>
        <v/>
      </c>
      <c r="C200" s="70" t="str">
        <f>IF($S200="","",IF(INDEX(对接源_01水果!$F$4:$F$1203,$S200)=0,"",INDEX(对接源_01水果!$F$4:$F$1203,$S200)))</f>
        <v/>
      </c>
      <c r="D200" s="70" t="str">
        <f>IF($S200="","",IF(INDEX(对接源_01水果!$G$4:$G$1203,$S200)=0,"",INDEX(对接源_01水果!$G$4:$G$1203,$S200)))</f>
        <v/>
      </c>
      <c r="E200" s="70" t="str">
        <f>IF($S200="","",IF(INDEX(对接源_01水果!$H$4:$H$1203,$S200)=0,"",INDEX(对接源_01水果!$H$4:$H$1203,$S200)))</f>
        <v/>
      </c>
      <c r="F200" s="70" t="str">
        <f>IF($S200="","",IF(INDEX(对接源_01水果!$I$4:$I$1203,$S200)=0,"",INDEX(对接源_01水果!$I$4:$I$1203,$S200)))</f>
        <v/>
      </c>
      <c r="G200" s="72" t="str">
        <f>IF($S200="","",IF(INDEX(对接源_01水果!$AD$4:$AD$1203,$S200)=0,"",INDEX(对接源_01水果!$AD$4:$AD$1203,$S200)))</f>
        <v/>
      </c>
      <c r="H200" s="72" t="str">
        <f>IF($S200="","",IF(INDEX(对接源_01水果!$AI$4:$AI$1203,$S200)=0,"",INDEX(对接源_01水果!$AI$4:$AI$1203,$S200)))</f>
        <v/>
      </c>
      <c r="I200" s="72" t="str">
        <f>IF($S200="","",IF(INDEX(对接源_01水果!$AE$4:$AE$1203,$S200)=0,"",INDEX(对接源_01水果!$AE$4:$AE$1203,$S200)))</f>
        <v/>
      </c>
      <c r="J200" s="72" t="str">
        <f>IF($S200="","",IF(INDEX(对接源_01水果!$AF$4:$AF$1203,$S200)=0,"",INDEX(对接源_01水果!$AF$4:$AF$1203,$S200)))</f>
        <v/>
      </c>
      <c r="K200" s="72" t="str">
        <f>IF($S200="","",IF(INDEX(对接源_01水果!$K$4:$K$1203,$S200)=0,"",INDEX(对接源_01水果!$K$4:$K$1203,$S200)))</f>
        <v/>
      </c>
      <c r="L200" s="70" t="str">
        <f>IF($S200="","",IF(INDEX(对接源_01水果!$L$4:$L$1203,$S200)=0,"",INDEX(对接源_01水果!$L$4:$L$1203,$S200)))</f>
        <v/>
      </c>
      <c r="M200" s="73" t="str">
        <f>IF($S200="","",IF(INDEX(对接源_01水果!$M$4:$M$1203,$S200)=0,"",INDEX(对接源_01水果!$M$4:$M$1203,$S200)))</f>
        <v/>
      </c>
      <c r="S20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1" ht="15.75" customHeight="1" spans="1:19">
      <c r="A201" s="70" t="str">
        <f>IF($S201="","",IF(INDEX(对接源_01水果!$B$4:$B$1203,$S201)=0,"",INDEX(对接源_01水果!$B$4:$B$1203,$S201)))</f>
        <v/>
      </c>
      <c r="B201" s="70" t="str">
        <f>IF($S201="","",IF(INDEX(对接源_01水果!$E$4:$E$1203,$S201)=0,"",INDEX(对接源_01水果!$E$4:$E$1203,$S201)))</f>
        <v/>
      </c>
      <c r="C201" s="70" t="str">
        <f>IF($S201="","",IF(INDEX(对接源_01水果!$F$4:$F$1203,$S201)=0,"",INDEX(对接源_01水果!$F$4:$F$1203,$S201)))</f>
        <v/>
      </c>
      <c r="D201" s="70" t="str">
        <f>IF($S201="","",IF(INDEX(对接源_01水果!$G$4:$G$1203,$S201)=0,"",INDEX(对接源_01水果!$G$4:$G$1203,$S201)))</f>
        <v/>
      </c>
      <c r="E201" s="70" t="str">
        <f>IF($S201="","",IF(INDEX(对接源_01水果!$H$4:$H$1203,$S201)=0,"",INDEX(对接源_01水果!$H$4:$H$1203,$S201)))</f>
        <v/>
      </c>
      <c r="F201" s="70" t="str">
        <f>IF($S201="","",IF(INDEX(对接源_01水果!$I$4:$I$1203,$S201)=0,"",INDEX(对接源_01水果!$I$4:$I$1203,$S201)))</f>
        <v/>
      </c>
      <c r="G201" s="72" t="str">
        <f>IF($S201="","",IF(INDEX(对接源_01水果!$AD$4:$AD$1203,$S201)=0,"",INDEX(对接源_01水果!$AD$4:$AD$1203,$S201)))</f>
        <v/>
      </c>
      <c r="H201" s="72" t="str">
        <f>IF($S201="","",IF(INDEX(对接源_01水果!$AI$4:$AI$1203,$S201)=0,"",INDEX(对接源_01水果!$AI$4:$AI$1203,$S201)))</f>
        <v/>
      </c>
      <c r="I201" s="72" t="str">
        <f>IF($S201="","",IF(INDEX(对接源_01水果!$AE$4:$AE$1203,$S201)=0,"",INDEX(对接源_01水果!$AE$4:$AE$1203,$S201)))</f>
        <v/>
      </c>
      <c r="J201" s="72" t="str">
        <f>IF($S201="","",IF(INDEX(对接源_01水果!$AF$4:$AF$1203,$S201)=0,"",INDEX(对接源_01水果!$AF$4:$AF$1203,$S201)))</f>
        <v/>
      </c>
      <c r="K201" s="72" t="str">
        <f>IF($S201="","",IF(INDEX(对接源_01水果!$K$4:$K$1203,$S201)=0,"",INDEX(对接源_01水果!$K$4:$K$1203,$S201)))</f>
        <v/>
      </c>
      <c r="L201" s="70" t="str">
        <f>IF($S201="","",IF(INDEX(对接源_01水果!$L$4:$L$1203,$S201)=0,"",INDEX(对接源_01水果!$L$4:$L$1203,$S201)))</f>
        <v/>
      </c>
      <c r="M201" s="73" t="str">
        <f>IF($S201="","",IF(INDEX(对接源_01水果!$M$4:$M$1203,$S201)=0,"",INDEX(对接源_01水果!$M$4:$M$1203,$S201)))</f>
        <v/>
      </c>
      <c r="S20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2" ht="15.75" customHeight="1" spans="1:19">
      <c r="A202" s="70" t="str">
        <f>IF($S202="","",IF(INDEX(对接源_01水果!$B$4:$B$1203,$S202)=0,"",INDEX(对接源_01水果!$B$4:$B$1203,$S202)))</f>
        <v/>
      </c>
      <c r="B202" s="70" t="str">
        <f>IF($S202="","",IF(INDEX(对接源_01水果!$E$4:$E$1203,$S202)=0,"",INDEX(对接源_01水果!$E$4:$E$1203,$S202)))</f>
        <v/>
      </c>
      <c r="C202" s="70" t="str">
        <f>IF($S202="","",IF(INDEX(对接源_01水果!$F$4:$F$1203,$S202)=0,"",INDEX(对接源_01水果!$F$4:$F$1203,$S202)))</f>
        <v/>
      </c>
      <c r="D202" s="70" t="str">
        <f>IF($S202="","",IF(INDEX(对接源_01水果!$G$4:$G$1203,$S202)=0,"",INDEX(对接源_01水果!$G$4:$G$1203,$S202)))</f>
        <v/>
      </c>
      <c r="E202" s="70" t="str">
        <f>IF($S202="","",IF(INDEX(对接源_01水果!$H$4:$H$1203,$S202)=0,"",INDEX(对接源_01水果!$H$4:$H$1203,$S202)))</f>
        <v/>
      </c>
      <c r="F202" s="70" t="str">
        <f>IF($S202="","",IF(INDEX(对接源_01水果!$I$4:$I$1203,$S202)=0,"",INDEX(对接源_01水果!$I$4:$I$1203,$S202)))</f>
        <v/>
      </c>
      <c r="G202" s="72" t="str">
        <f>IF($S202="","",IF(INDEX(对接源_01水果!$AD$4:$AD$1203,$S202)=0,"",INDEX(对接源_01水果!$AD$4:$AD$1203,$S202)))</f>
        <v/>
      </c>
      <c r="H202" s="72" t="str">
        <f>IF($S202="","",IF(INDEX(对接源_01水果!$AI$4:$AI$1203,$S202)=0,"",INDEX(对接源_01水果!$AI$4:$AI$1203,$S202)))</f>
        <v/>
      </c>
      <c r="I202" s="72" t="str">
        <f>IF($S202="","",IF(INDEX(对接源_01水果!$AE$4:$AE$1203,$S202)=0,"",INDEX(对接源_01水果!$AE$4:$AE$1203,$S202)))</f>
        <v/>
      </c>
      <c r="J202" s="72" t="str">
        <f>IF($S202="","",IF(INDEX(对接源_01水果!$AF$4:$AF$1203,$S202)=0,"",INDEX(对接源_01水果!$AF$4:$AF$1203,$S202)))</f>
        <v/>
      </c>
      <c r="K202" s="72" t="str">
        <f>IF($S202="","",IF(INDEX(对接源_01水果!$K$4:$K$1203,$S202)=0,"",INDEX(对接源_01水果!$K$4:$K$1203,$S202)))</f>
        <v/>
      </c>
      <c r="L202" s="70" t="str">
        <f>IF($S202="","",IF(INDEX(对接源_01水果!$L$4:$L$1203,$S202)=0,"",INDEX(对接源_01水果!$L$4:$L$1203,$S202)))</f>
        <v/>
      </c>
      <c r="M202" s="73" t="str">
        <f>IF($S202="","",IF(INDEX(对接源_01水果!$M$4:$M$1203,$S202)=0,"",INDEX(对接源_01水果!$M$4:$M$1203,$S202)))</f>
        <v/>
      </c>
      <c r="S20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3" ht="15.75" customHeight="1" spans="1:19">
      <c r="A203" s="70" t="str">
        <f>IF($S203="","",IF(INDEX(对接源_01水果!$B$4:$B$1203,$S203)=0,"",INDEX(对接源_01水果!$B$4:$B$1203,$S203)))</f>
        <v/>
      </c>
      <c r="B203" s="70" t="str">
        <f>IF($S203="","",IF(INDEX(对接源_01水果!$E$4:$E$1203,$S203)=0,"",INDEX(对接源_01水果!$E$4:$E$1203,$S203)))</f>
        <v/>
      </c>
      <c r="C203" s="70" t="str">
        <f>IF($S203="","",IF(INDEX(对接源_01水果!$F$4:$F$1203,$S203)=0,"",INDEX(对接源_01水果!$F$4:$F$1203,$S203)))</f>
        <v/>
      </c>
      <c r="D203" s="70" t="str">
        <f>IF($S203="","",IF(INDEX(对接源_01水果!$G$4:$G$1203,$S203)=0,"",INDEX(对接源_01水果!$G$4:$G$1203,$S203)))</f>
        <v/>
      </c>
      <c r="E203" s="70" t="str">
        <f>IF($S203="","",IF(INDEX(对接源_01水果!$H$4:$H$1203,$S203)=0,"",INDEX(对接源_01水果!$H$4:$H$1203,$S203)))</f>
        <v/>
      </c>
      <c r="F203" s="70" t="str">
        <f>IF($S203="","",IF(INDEX(对接源_01水果!$I$4:$I$1203,$S203)=0,"",INDEX(对接源_01水果!$I$4:$I$1203,$S203)))</f>
        <v/>
      </c>
      <c r="G203" s="72" t="str">
        <f>IF($S203="","",IF(INDEX(对接源_01水果!$AD$4:$AD$1203,$S203)=0,"",INDEX(对接源_01水果!$AD$4:$AD$1203,$S203)))</f>
        <v/>
      </c>
      <c r="H203" s="72" t="str">
        <f>IF($S203="","",IF(INDEX(对接源_01水果!$AI$4:$AI$1203,$S203)=0,"",INDEX(对接源_01水果!$AI$4:$AI$1203,$S203)))</f>
        <v/>
      </c>
      <c r="I203" s="72" t="str">
        <f>IF($S203="","",IF(INDEX(对接源_01水果!$AE$4:$AE$1203,$S203)=0,"",INDEX(对接源_01水果!$AE$4:$AE$1203,$S203)))</f>
        <v/>
      </c>
      <c r="J203" s="72" t="str">
        <f>IF($S203="","",IF(INDEX(对接源_01水果!$AF$4:$AF$1203,$S203)=0,"",INDEX(对接源_01水果!$AF$4:$AF$1203,$S203)))</f>
        <v/>
      </c>
      <c r="K203" s="72" t="str">
        <f>IF($S203="","",IF(INDEX(对接源_01水果!$K$4:$K$1203,$S203)=0,"",INDEX(对接源_01水果!$K$4:$K$1203,$S203)))</f>
        <v/>
      </c>
      <c r="L203" s="70" t="str">
        <f>IF($S203="","",IF(INDEX(对接源_01水果!$L$4:$L$1203,$S203)=0,"",INDEX(对接源_01水果!$L$4:$L$1203,$S203)))</f>
        <v/>
      </c>
      <c r="M203" s="73" t="str">
        <f>IF($S203="","",IF(INDEX(对接源_01水果!$M$4:$M$1203,$S203)=0,"",INDEX(对接源_01水果!$M$4:$M$1203,$S203)))</f>
        <v/>
      </c>
      <c r="S20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4" ht="15.75" customHeight="1" spans="1:19">
      <c r="A204" s="70" t="str">
        <f>IF($S204="","",IF(INDEX(对接源_01水果!$B$4:$B$1203,$S204)=0,"",INDEX(对接源_01水果!$B$4:$B$1203,$S204)))</f>
        <v/>
      </c>
      <c r="B204" s="70" t="str">
        <f>IF($S204="","",IF(INDEX(对接源_01水果!$E$4:$E$1203,$S204)=0,"",INDEX(对接源_01水果!$E$4:$E$1203,$S204)))</f>
        <v/>
      </c>
      <c r="C204" s="70" t="str">
        <f>IF($S204="","",IF(INDEX(对接源_01水果!$F$4:$F$1203,$S204)=0,"",INDEX(对接源_01水果!$F$4:$F$1203,$S204)))</f>
        <v/>
      </c>
      <c r="D204" s="70" t="str">
        <f>IF($S204="","",IF(INDEX(对接源_01水果!$G$4:$G$1203,$S204)=0,"",INDEX(对接源_01水果!$G$4:$G$1203,$S204)))</f>
        <v/>
      </c>
      <c r="E204" s="70" t="str">
        <f>IF($S204="","",IF(INDEX(对接源_01水果!$H$4:$H$1203,$S204)=0,"",INDEX(对接源_01水果!$H$4:$H$1203,$S204)))</f>
        <v/>
      </c>
      <c r="F204" s="70" t="str">
        <f>IF($S204="","",IF(INDEX(对接源_01水果!$I$4:$I$1203,$S204)=0,"",INDEX(对接源_01水果!$I$4:$I$1203,$S204)))</f>
        <v/>
      </c>
      <c r="G204" s="72" t="str">
        <f>IF($S204="","",IF(INDEX(对接源_01水果!$AD$4:$AD$1203,$S204)=0,"",INDEX(对接源_01水果!$AD$4:$AD$1203,$S204)))</f>
        <v/>
      </c>
      <c r="H204" s="72" t="str">
        <f>IF($S204="","",IF(INDEX(对接源_01水果!$AI$4:$AI$1203,$S204)=0,"",INDEX(对接源_01水果!$AI$4:$AI$1203,$S204)))</f>
        <v/>
      </c>
      <c r="I204" s="72" t="str">
        <f>IF($S204="","",IF(INDEX(对接源_01水果!$AE$4:$AE$1203,$S204)=0,"",INDEX(对接源_01水果!$AE$4:$AE$1203,$S204)))</f>
        <v/>
      </c>
      <c r="J204" s="72" t="str">
        <f>IF($S204="","",IF(INDEX(对接源_01水果!$AF$4:$AF$1203,$S204)=0,"",INDEX(对接源_01水果!$AF$4:$AF$1203,$S204)))</f>
        <v/>
      </c>
      <c r="K204" s="72" t="str">
        <f>IF($S204="","",IF(INDEX(对接源_01水果!$K$4:$K$1203,$S204)=0,"",INDEX(对接源_01水果!$K$4:$K$1203,$S204)))</f>
        <v/>
      </c>
      <c r="L204" s="70" t="str">
        <f>IF($S204="","",IF(INDEX(对接源_01水果!$L$4:$L$1203,$S204)=0,"",INDEX(对接源_01水果!$L$4:$L$1203,$S204)))</f>
        <v/>
      </c>
      <c r="M204" s="73" t="str">
        <f>IF($S204="","",IF(INDEX(对接源_01水果!$M$4:$M$1203,$S204)=0,"",INDEX(对接源_01水果!$M$4:$M$1203,$S204)))</f>
        <v/>
      </c>
      <c r="S20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5" ht="15.75" customHeight="1" spans="1:19">
      <c r="A205" s="70" t="str">
        <f>IF($S205="","",IF(INDEX(对接源_01水果!$B$4:$B$1203,$S205)=0,"",INDEX(对接源_01水果!$B$4:$B$1203,$S205)))</f>
        <v/>
      </c>
      <c r="B205" s="70" t="str">
        <f>IF($S205="","",IF(INDEX(对接源_01水果!$E$4:$E$1203,$S205)=0,"",INDEX(对接源_01水果!$E$4:$E$1203,$S205)))</f>
        <v/>
      </c>
      <c r="C205" s="70" t="str">
        <f>IF($S205="","",IF(INDEX(对接源_01水果!$F$4:$F$1203,$S205)=0,"",INDEX(对接源_01水果!$F$4:$F$1203,$S205)))</f>
        <v/>
      </c>
      <c r="D205" s="70" t="str">
        <f>IF($S205="","",IF(INDEX(对接源_01水果!$G$4:$G$1203,$S205)=0,"",INDEX(对接源_01水果!$G$4:$G$1203,$S205)))</f>
        <v/>
      </c>
      <c r="E205" s="70" t="str">
        <f>IF($S205="","",IF(INDEX(对接源_01水果!$H$4:$H$1203,$S205)=0,"",INDEX(对接源_01水果!$H$4:$H$1203,$S205)))</f>
        <v/>
      </c>
      <c r="F205" s="70" t="str">
        <f>IF($S205="","",IF(INDEX(对接源_01水果!$I$4:$I$1203,$S205)=0,"",INDEX(对接源_01水果!$I$4:$I$1203,$S205)))</f>
        <v/>
      </c>
      <c r="G205" s="72" t="str">
        <f>IF($S205="","",IF(INDEX(对接源_01水果!$AD$4:$AD$1203,$S205)=0,"",INDEX(对接源_01水果!$AD$4:$AD$1203,$S205)))</f>
        <v/>
      </c>
      <c r="H205" s="72" t="str">
        <f>IF($S205="","",IF(INDEX(对接源_01水果!$AI$4:$AI$1203,$S205)=0,"",INDEX(对接源_01水果!$AI$4:$AI$1203,$S205)))</f>
        <v/>
      </c>
      <c r="I205" s="72" t="str">
        <f>IF($S205="","",IF(INDEX(对接源_01水果!$AE$4:$AE$1203,$S205)=0,"",INDEX(对接源_01水果!$AE$4:$AE$1203,$S205)))</f>
        <v/>
      </c>
      <c r="J205" s="72" t="str">
        <f>IF($S205="","",IF(INDEX(对接源_01水果!$AF$4:$AF$1203,$S205)=0,"",INDEX(对接源_01水果!$AF$4:$AF$1203,$S205)))</f>
        <v/>
      </c>
      <c r="K205" s="72" t="str">
        <f>IF($S205="","",IF(INDEX(对接源_01水果!$K$4:$K$1203,$S205)=0,"",INDEX(对接源_01水果!$K$4:$K$1203,$S205)))</f>
        <v/>
      </c>
      <c r="L205" s="70" t="str">
        <f>IF($S205="","",IF(INDEX(对接源_01水果!$L$4:$L$1203,$S205)=0,"",INDEX(对接源_01水果!$L$4:$L$1203,$S205)))</f>
        <v/>
      </c>
      <c r="M205" s="73" t="str">
        <f>IF($S205="","",IF(INDEX(对接源_01水果!$M$4:$M$1203,$S205)=0,"",INDEX(对接源_01水果!$M$4:$M$1203,$S205)))</f>
        <v/>
      </c>
      <c r="S20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6" ht="16.5" customHeight="1" spans="1:19">
      <c r="A206" s="74" t="s">
        <v>157</v>
      </c>
      <c r="B206" s="74"/>
      <c r="C206" s="74"/>
      <c r="D206" s="74"/>
      <c r="E206" s="74">
        <f>ROUND(SUM(E6:E205),2)</f>
        <v>0</v>
      </c>
      <c r="F206" s="74"/>
      <c r="G206" s="74"/>
      <c r="H206" s="74">
        <f>ROUND(SUM(H6:H205),2)</f>
        <v>0</v>
      </c>
      <c r="I206" s="74">
        <f>ROUND(SUM(I6:I205),2)</f>
        <v>0</v>
      </c>
      <c r="J206" s="74">
        <f>ROUND(SUM(J6:J205),2)</f>
        <v>0</v>
      </c>
      <c r="K206" s="74">
        <f>ROUND(SUM(K6:K205),2)</f>
        <v>0</v>
      </c>
      <c r="L206" s="74"/>
      <c r="M206" s="74"/>
    </row>
    <row r="208" ht="36.75" customHeight="1" spans="1:19">
      <c r="A208" s="75" t="str">
        <f ca="1">("对账日期：　"&amp;TEXT(TODAY(),"yyyy 年 m 月 d 日"))</f>
        <v>对账日期：　2026 年 9 月 21 日</v>
      </c>
      <c r="E208" s="76" t="s">
        <v>158</v>
      </c>
      <c r="F208" s="72">
        <f>ROUND($K$206,2)</f>
        <v>0</v>
      </c>
    </row>
    <row r="209" ht="16.5" customHeight="1" spans="5:6">
      <c r="E209" s="76" t="s">
        <v>159</v>
      </c>
      <c r="F209" s="72">
        <f>ROUND(N($Q$8),2)</f>
        <v>40</v>
      </c>
    </row>
    <row r="210" ht="16.5" customHeight="1" spans="5:6">
      <c r="E210" s="76" t="s">
        <v>160</v>
      </c>
      <c r="F210" s="74">
        <f>ROUND(N($F$208)-N($F$209),2)</f>
        <v>-40</v>
      </c>
    </row>
  </sheetData>
  <mergeCells count="4">
    <mergeCell ref="A1:G1"/>
    <mergeCell ref="A3:M3"/>
    <mergeCell ref="A4:D4"/>
    <mergeCell ref="E4:H4"/>
  </mergeCells>
  <dataValidations count="1">
    <dataValidation type="list" allowBlank="1" showInputMessage="1" promptTitle="选购买方" prompt="名单由【01 成品出库明细】的「购买方」列自动去重生成" sqref="B2">
      <formula1>_自动清单!$AQ$4:$AQ$203</formula1>
    </dataValidation>
  </dataValidations>
  <pageMargins left="0.75" right="0.75" top="1" bottom="1" header="0.511811023622047" footer="0.511811023622047"/>
  <pageSetup paperSize="9" fitToHeight="0" orientation="landscape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E155"/>
  <sheetViews>
    <sheetView showGridLines="0" workbookViewId="0">
      <pane ySplit="3" topLeftCell="A4" activePane="bottomLeft" state="frozen"/>
      <selection/>
      <selection pane="bottomLeft" activeCell="M18" sqref="M18"/>
    </sheetView>
  </sheetViews>
  <sheetFormatPr defaultColWidth="9" defaultRowHeight="13.5"/>
  <cols>
    <col min="1" max="1" width="13" style="3" customWidth="1"/>
    <col min="2" max="2" width="16" style="3" customWidth="1"/>
    <col min="3" max="3" width="11" style="3" customWidth="1"/>
    <col min="4" max="4" width="13" style="3" customWidth="1"/>
    <col min="5" max="5" width="10" style="3" customWidth="1"/>
    <col min="6" max="6" width="7" style="3" customWidth="1"/>
    <col min="7" max="7" width="11" style="3" customWidth="1"/>
    <col min="8" max="8" width="15" style="3" customWidth="1"/>
    <col min="9" max="9" width="13" style="3" customWidth="1"/>
    <col min="10" max="10" width="15" style="3" customWidth="1"/>
    <col min="11" max="11" width="11" style="3" customWidth="1"/>
    <col min="12" max="12" width="18" style="3" customWidth="1"/>
    <col min="13" max="13" width="2" style="3" customWidth="1"/>
    <col min="14" max="14" width="16" style="3" customWidth="1"/>
    <col min="15" max="15" width="12" style="3" customWidth="1"/>
    <col min="16" max="16" width="14" style="3" customWidth="1"/>
    <col min="17" max="17" width="2" style="3" customWidth="1"/>
    <col min="18" max="18" width="12" style="3" customWidth="1"/>
  </cols>
  <sheetData>
    <row r="1" ht="49.5" customHeight="1" spans="1:31">
      <c r="A1" s="35" t="s">
        <v>69</v>
      </c>
      <c r="B1" s="35"/>
      <c r="C1" s="35"/>
      <c r="D1" s="35"/>
      <c r="E1" s="35"/>
      <c r="F1" s="35"/>
      <c r="G1" s="35"/>
      <c r="H1" s="35"/>
      <c r="I1" s="36" t="s">
        <v>70</v>
      </c>
      <c r="J1" s="36"/>
      <c r="P1" s="37"/>
      <c r="R1" s="38">
        <f>IF($F$2="",DATE(1900,1,1),$F$2)</f>
        <v>1</v>
      </c>
    </row>
    <row r="2" ht="25.5" customHeight="1" spans="1:31">
      <c r="A2" s="39" t="s">
        <v>71</v>
      </c>
      <c r="B2" s="40" t="s">
        <v>161</v>
      </c>
      <c r="C2" s="40"/>
      <c r="E2" s="41" t="s">
        <v>73</v>
      </c>
      <c r="F2" s="42"/>
      <c r="G2" s="41" t="s">
        <v>74</v>
      </c>
      <c r="H2" s="42"/>
      <c r="L2" s="43"/>
      <c r="N2" s="44" t="s">
        <v>162</v>
      </c>
      <c r="O2" s="44"/>
      <c r="P2" s="44"/>
      <c r="R2" s="38">
        <f>IF($H$2="",DATE(2999,12,31),$H$2)</f>
        <v>401768</v>
      </c>
    </row>
    <row r="3" ht="19.5" customHeight="1" spans="1:31">
      <c r="A3" s="45" t="s">
        <v>163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N3" s="44" t="s">
        <v>164</v>
      </c>
      <c r="O3" s="44"/>
      <c r="P3" s="46">
        <f>ROUND(SUMIFS(对接源_01水果!$H$4:$H$1203,对接源_01水果!$Y$4:$Y$1203,$B$2,对接源_01水果!$B$4:$B$1203,"&gt;="&amp;$R$1,对接源_01水果!$B$4:$B$1203,"&lt;="&amp;$R$2,对接源_01水果!$AJ$4:$AJ$1203,"&gt;0"),0)</f>
        <v>1</v>
      </c>
    </row>
    <row r="4" ht="24" customHeight="1" spans="1:31">
      <c r="A4" s="47" t="s">
        <v>165</v>
      </c>
      <c r="B4" s="47"/>
      <c r="C4" s="47"/>
      <c r="D4" s="47"/>
      <c r="E4" s="47"/>
      <c r="F4" s="47"/>
      <c r="G4" s="47"/>
      <c r="H4" s="48">
        <f>ROUND(N($P$6),2)</f>
        <v>40</v>
      </c>
      <c r="I4" s="48"/>
      <c r="J4" s="48"/>
      <c r="L4" s="49"/>
      <c r="N4" s="44" t="s">
        <v>166</v>
      </c>
      <c r="O4" s="44"/>
      <c r="P4" s="50">
        <f>ROUND(SUMIFS(对接源_01水果!$AA$4:$AA$1203,对接源_01水果!$Y$4:$Y$1203,$B$2,对接源_01水果!$B$4:$B$1203,"&gt;="&amp;$R$1,对接源_01水果!$B$4:$B$1203,"&lt;="&amp;$R$2,对接源_01水果!$AJ$4:$AJ$1203,"&gt;0"),2)</f>
        <v>30</v>
      </c>
    </row>
    <row r="5" ht="30" customHeight="1" spans="1:31">
      <c r="A5" s="51" t="s">
        <v>80</v>
      </c>
      <c r="B5" s="51" t="s">
        <v>82</v>
      </c>
      <c r="C5" s="51" t="s">
        <v>125</v>
      </c>
      <c r="D5" s="51" t="s">
        <v>126</v>
      </c>
      <c r="E5" s="51" t="s">
        <v>98</v>
      </c>
      <c r="F5" s="51" t="s">
        <v>113</v>
      </c>
      <c r="G5" s="51" t="s">
        <v>167</v>
      </c>
      <c r="H5" s="51" t="s">
        <v>166</v>
      </c>
      <c r="I5" s="51" t="s">
        <v>168</v>
      </c>
      <c r="J5" s="51" t="s">
        <v>169</v>
      </c>
      <c r="K5" s="51" t="s">
        <v>170</v>
      </c>
      <c r="L5" s="51" t="s">
        <v>88</v>
      </c>
      <c r="N5" s="44" t="s">
        <v>171</v>
      </c>
      <c r="O5" s="44"/>
      <c r="P5" s="50">
        <f>ROUND(SUMIFS(对接源_01水果!$AG$4:$AG$1203,对接源_01水果!$Y$4:$Y$1203,$B$2,对接源_01水果!$B$4:$B$1203,"&gt;="&amp;$R$1,对接源_01水果!$B$4:$B$1203,"&lt;="&amp;$R$2,对接源_01水果!$AJ$4:$AJ$1203,"&gt;0"),2)</f>
        <v>10</v>
      </c>
    </row>
    <row r="6" ht="18" customHeight="1" spans="1:31">
      <c r="A6" s="52">
        <f>IF($AE6="","",IF(INDEX(对接源_01水果!$B$4:$B$1203,$AE6)=0,"",INDEX(对接源_01水果!$B$4:$B$1203,$AE6)))</f>
        <v>46280</v>
      </c>
      <c r="B6" s="53" t="str">
        <f>IF($AE6="","",IF(INDEX(对接源_01水果!$E$4:$E$1203,$AE6)=0,"",INDEX(对接源_01水果!$E$4:$E$1203,$AE6)))</f>
        <v>NO:0001148</v>
      </c>
      <c r="C6" s="53" t="str">
        <f>IF($AE6="","",IF(INDEX(对接源_01水果!$F$4:$F$1203,$AE6)=0,"",INDEX(对接源_01水果!$F$4:$F$1203,$AE6)))</f>
        <v>苹果</v>
      </c>
      <c r="D6" s="53" t="str">
        <f>IF($AE6="","",IF(INDEX(对接源_01水果!$G$4:$G$1203,$AE6)=0,"",INDEX(对接源_01水果!$G$4:$G$1203,$AE6)))</f>
        <v>新世纪一级</v>
      </c>
      <c r="E6" s="54">
        <f>IF($AE6="","",IF(INDEX(对接源_01水果!$H$4:$H$1203,$AE6)=0,"",INDEX(对接源_01水果!$H$4:$H$1203,$AE6)))</f>
        <v>1</v>
      </c>
      <c r="F6" s="53" t="str">
        <f>IF($AE6="","",IF(INDEX(对接源_01水果!$I$4:$I$1203,$AE6)=0,"",INDEX(对接源_01水果!$I$4:$I$1203,$AE6)))</f>
        <v>箱</v>
      </c>
      <c r="G6" s="55">
        <f>IF($AE6="","",IF(INDEX(对接源_01水果!$Z$4:$Z$1203,$AE6)=0,"",INDEX(对接源_01水果!$Z$4:$Z$1203,$AE6)))</f>
        <v>30</v>
      </c>
      <c r="H6" s="55">
        <f>IF($AE6="","",IF(INDEX(对接源_01水果!$AA$4:$AA$1203,$AE6)=0,"",INDEX(对接源_01水果!$AA$4:$AA$1203,$AE6)))</f>
        <v>30</v>
      </c>
      <c r="I6" s="55">
        <f>IF($AE6="","",IF(INDEX(对接源_01水果!$AG$4:$AG$1203,$AE6)=0,"",INDEX(对接源_01水果!$AG$4:$AG$1203,$AE6)))</f>
        <v>10</v>
      </c>
      <c r="J6" s="55">
        <f>IF($AE6="","",IF(INDEX(对接源_01水果!$AJ$4:$AJ$1203,$AE6)=0,"",INDEX(对接源_01水果!$AJ$4:$AJ$1203,$AE6)))</f>
        <v>40</v>
      </c>
      <c r="K6" s="53" t="str">
        <f>IF($AE6="","",IF(INDEX(对接源_01水果!$AB$4:$AB$1203,$AE6)=0,"",INDEX(对接源_01水果!$AB$4:$AB$1203,$AE6)))</f>
        <v>已付清</v>
      </c>
      <c r="L6" s="56" t="str">
        <f>IF($AE6="","",IF(INDEX(对接源_01水果!$M$4:$M$1203,$AE6)=0,"",INDEX(对接源_01水果!$M$4:$M$1203,$AE6)))</f>
        <v/>
      </c>
      <c r="N6" s="44" t="s">
        <v>169</v>
      </c>
      <c r="O6" s="44"/>
      <c r="P6" s="50">
        <f>ROUND(SUMIFS(对接源_01水果!$AJ$4:$AJ$1203,对接源_01水果!$Y$4:$Y$1203,$B$2,对接源_01水果!$B$4:$B$1203,"&gt;="&amp;$R$1,对接源_01水果!$B$4:$B$1203,"&lt;="&amp;$R$2,对接源_01水果!$AJ$4:$AJ$1203,"&gt;0"),2)</f>
        <v>40</v>
      </c>
      <c r="AE6" s="2">
        <f>IFERROR(MATCH(1,_自动清单!$AM$4:$AM$2403,0),"")</f>
        <v>407</v>
      </c>
    </row>
    <row r="7" ht="18" customHeight="1" spans="1:31">
      <c r="A7" s="53" t="str">
        <f>IF($AE7="","",IF(INDEX(对接源_01水果!$B$4:$B$1203,$AE7)=0,"",INDEX(对接源_01水果!$B$4:$B$1203,$AE7)))</f>
        <v/>
      </c>
      <c r="B7" s="53" t="str">
        <f>IF($AE7="","",IF(INDEX(对接源_01水果!$E$4:$E$1203,$AE7)=0,"",INDEX(对接源_01水果!$E$4:$E$1203,$AE7)))</f>
        <v/>
      </c>
      <c r="C7" s="53" t="str">
        <f>IF($AE7="","",IF(INDEX(对接源_01水果!$F$4:$F$1203,$AE7)=0,"",INDEX(对接源_01水果!$F$4:$F$1203,$AE7)))</f>
        <v/>
      </c>
      <c r="D7" s="53" t="str">
        <f>IF($AE7="","",IF(INDEX(对接源_01水果!$G$4:$G$1203,$AE7)=0,"",INDEX(对接源_01水果!$G$4:$G$1203,$AE7)))</f>
        <v/>
      </c>
      <c r="E7" s="53" t="str">
        <f>IF($AE7="","",IF(INDEX(对接源_01水果!$H$4:$H$1203,$AE7)=0,"",INDEX(对接源_01水果!$H$4:$H$1203,$AE7)))</f>
        <v/>
      </c>
      <c r="F7" s="53" t="str">
        <f>IF($AE7="","",IF(INDEX(对接源_01水果!$I$4:$I$1203,$AE7)=0,"",INDEX(对接源_01水果!$I$4:$I$1203,$AE7)))</f>
        <v/>
      </c>
      <c r="G7" s="55" t="str">
        <f>IF($AE7="","",IF(INDEX(对接源_01水果!$Z$4:$Z$1203,$AE7)=0,"",INDEX(对接源_01水果!$Z$4:$Z$1203,$AE7)))</f>
        <v/>
      </c>
      <c r="H7" s="55" t="str">
        <f>IF($AE7="","",IF(INDEX(对接源_01水果!$AA$4:$AA$1203,$AE7)=0,"",INDEX(对接源_01水果!$AA$4:$AA$1203,$AE7)))</f>
        <v/>
      </c>
      <c r="I7" s="55" t="str">
        <f>IF($AE7="","",IF(INDEX(对接源_01水果!$AG$4:$AG$1203,$AE7)=0,"",INDEX(对接源_01水果!$AG$4:$AG$1203,$AE7)))</f>
        <v/>
      </c>
      <c r="J7" s="55" t="str">
        <f>IF($AE7="","",IF(INDEX(对接源_01水果!$AJ$4:$AJ$1203,$AE7)=0,"",INDEX(对接源_01水果!$AJ$4:$AJ$1203,$AE7)))</f>
        <v/>
      </c>
      <c r="K7" s="53" t="str">
        <f>IF($AE7="","",IF(INDEX(对接源_01水果!$AB$4:$AB$1203,$AE7)=0,"",INDEX(对接源_01水果!$AB$4:$AB$1203,$AE7)))</f>
        <v/>
      </c>
      <c r="L7" s="56" t="str">
        <f>IF($AE7="","",IF(INDEX(对接源_01水果!$M$4:$M$1203,$AE7)=0,"",INDEX(对接源_01水果!$M$4:$M$1203,$AE7)))</f>
        <v/>
      </c>
      <c r="N7" s="44" t="s">
        <v>172</v>
      </c>
      <c r="O7" s="44"/>
      <c r="P7" s="50">
        <f>ROUND(SUMIFS(对接源_01水果!$AJ$4:$AJ$1203,对接源_01水果!$Y$4:$Y$1203,$B$2,对接源_01水果!$B$4:$B$1203,"&gt;="&amp;$R$1,对接源_01水果!$B$4:$B$1203,"&lt;="&amp;$R$2,对接源_01水果!$AJ$4:$AJ$1203,"&gt;0",对接源_01水果!$AB$4:$AB$1203,"已付清"),2)</f>
        <v>40</v>
      </c>
      <c r="AE7" s="2" t="str">
        <f>IFERROR(MATCH(2,_自动清单!$AM$4:$AM$2403,0),"")</f>
        <v/>
      </c>
    </row>
    <row r="8" ht="18" customHeight="1" spans="1:31">
      <c r="A8" s="53" t="str">
        <f>IF($AE8="","",IF(INDEX(对接源_01水果!$B$4:$B$1203,$AE8)=0,"",INDEX(对接源_01水果!$B$4:$B$1203,$AE8)))</f>
        <v/>
      </c>
      <c r="B8" s="53" t="str">
        <f>IF($AE8="","",IF(INDEX(对接源_01水果!$E$4:$E$1203,$AE8)=0,"",INDEX(对接源_01水果!$E$4:$E$1203,$AE8)))</f>
        <v/>
      </c>
      <c r="C8" s="53" t="str">
        <f>IF($AE8="","",IF(INDEX(对接源_01水果!$F$4:$F$1203,$AE8)=0,"",INDEX(对接源_01水果!$F$4:$F$1203,$AE8)))</f>
        <v/>
      </c>
      <c r="D8" s="53" t="str">
        <f>IF($AE8="","",IF(INDEX(对接源_01水果!$G$4:$G$1203,$AE8)=0,"",INDEX(对接源_01水果!$G$4:$G$1203,$AE8)))</f>
        <v/>
      </c>
      <c r="E8" s="53" t="str">
        <f>IF($AE8="","",IF(INDEX(对接源_01水果!$H$4:$H$1203,$AE8)=0,"",INDEX(对接源_01水果!$H$4:$H$1203,$AE8)))</f>
        <v/>
      </c>
      <c r="F8" s="53" t="str">
        <f>IF($AE8="","",IF(INDEX(对接源_01水果!$I$4:$I$1203,$AE8)=0,"",INDEX(对接源_01水果!$I$4:$I$1203,$AE8)))</f>
        <v/>
      </c>
      <c r="G8" s="55" t="str">
        <f>IF($AE8="","",IF(INDEX(对接源_01水果!$Z$4:$Z$1203,$AE8)=0,"",INDEX(对接源_01水果!$Z$4:$Z$1203,$AE8)))</f>
        <v/>
      </c>
      <c r="H8" s="55" t="str">
        <f>IF($AE8="","",IF(INDEX(对接源_01水果!$AA$4:$AA$1203,$AE8)=0,"",INDEX(对接源_01水果!$AA$4:$AA$1203,$AE8)))</f>
        <v/>
      </c>
      <c r="I8" s="55" t="str">
        <f>IF($AE8="","",IF(INDEX(对接源_01水果!$AG$4:$AG$1203,$AE8)=0,"",INDEX(对接源_01水果!$AG$4:$AG$1203,$AE8)))</f>
        <v/>
      </c>
      <c r="J8" s="55" t="str">
        <f>IF($AE8="","",IF(INDEX(对接源_01水果!$AJ$4:$AJ$1203,$AE8)=0,"",INDEX(对接源_01水果!$AJ$4:$AJ$1203,$AE8)))</f>
        <v/>
      </c>
      <c r="K8" s="53" t="str">
        <f>IF($AE8="","",IF(INDEX(对接源_01水果!$AB$4:$AB$1203,$AE8)=0,"",INDEX(对接源_01水果!$AB$4:$AB$1203,$AE8)))</f>
        <v/>
      </c>
      <c r="L8" s="56" t="str">
        <f>IF($AE8="","",IF(INDEX(对接源_01水果!$M$4:$M$1203,$AE8)=0,"",INDEX(对接源_01水果!$M$4:$M$1203,$AE8)))</f>
        <v/>
      </c>
      <c r="N8" s="44" t="s">
        <v>173</v>
      </c>
      <c r="O8" s="44"/>
      <c r="P8" s="50">
        <f>ROUND(N($P$6)-N($P$7),2)</f>
        <v>0</v>
      </c>
      <c r="AE8" s="2" t="str">
        <f>IFERROR(MATCH(3,_自动清单!$AM$4:$AM$2403,0),"")</f>
        <v/>
      </c>
    </row>
    <row r="9" ht="18" customHeight="1" spans="1:31">
      <c r="A9" s="53" t="str">
        <f>IF($AE9="","",IF(INDEX(对接源_01水果!$B$4:$B$1203,$AE9)=0,"",INDEX(对接源_01水果!$B$4:$B$1203,$AE9)))</f>
        <v/>
      </c>
      <c r="B9" s="53" t="str">
        <f>IF($AE9="","",IF(INDEX(对接源_01水果!$E$4:$E$1203,$AE9)=0,"",INDEX(对接源_01水果!$E$4:$E$1203,$AE9)))</f>
        <v/>
      </c>
      <c r="C9" s="53" t="str">
        <f>IF($AE9="","",IF(INDEX(对接源_01水果!$F$4:$F$1203,$AE9)=0,"",INDEX(对接源_01水果!$F$4:$F$1203,$AE9)))</f>
        <v/>
      </c>
      <c r="D9" s="53" t="str">
        <f>IF($AE9="","",IF(INDEX(对接源_01水果!$G$4:$G$1203,$AE9)=0,"",INDEX(对接源_01水果!$G$4:$G$1203,$AE9)))</f>
        <v/>
      </c>
      <c r="E9" s="53" t="str">
        <f>IF($AE9="","",IF(INDEX(对接源_01水果!$H$4:$H$1203,$AE9)=0,"",INDEX(对接源_01水果!$H$4:$H$1203,$AE9)))</f>
        <v/>
      </c>
      <c r="F9" s="53" t="str">
        <f>IF($AE9="","",IF(INDEX(对接源_01水果!$I$4:$I$1203,$AE9)=0,"",INDEX(对接源_01水果!$I$4:$I$1203,$AE9)))</f>
        <v/>
      </c>
      <c r="G9" s="55" t="str">
        <f>IF($AE9="","",IF(INDEX(对接源_01水果!$Z$4:$Z$1203,$AE9)=0,"",INDEX(对接源_01水果!$Z$4:$Z$1203,$AE9)))</f>
        <v/>
      </c>
      <c r="H9" s="55" t="str">
        <f>IF($AE9="","",IF(INDEX(对接源_01水果!$AA$4:$AA$1203,$AE9)=0,"",INDEX(对接源_01水果!$AA$4:$AA$1203,$AE9)))</f>
        <v/>
      </c>
      <c r="I9" s="55" t="str">
        <f>IF($AE9="","",IF(INDEX(对接源_01水果!$AG$4:$AG$1203,$AE9)=0,"",INDEX(对接源_01水果!$AG$4:$AG$1203,$AE9)))</f>
        <v/>
      </c>
      <c r="J9" s="55" t="str">
        <f>IF($AE9="","",IF(INDEX(对接源_01水果!$AJ$4:$AJ$1203,$AE9)=0,"",INDEX(对接源_01水果!$AJ$4:$AJ$1203,$AE9)))</f>
        <v/>
      </c>
      <c r="K9" s="53" t="str">
        <f>IF($AE9="","",IF(INDEX(对接源_01水果!$AB$4:$AB$1203,$AE9)=0,"",INDEX(对接源_01水果!$AB$4:$AB$1203,$AE9)))</f>
        <v/>
      </c>
      <c r="L9" s="56" t="str">
        <f>IF($AE9="","",IF(INDEX(对接源_01水果!$M$4:$M$1203,$AE9)=0,"",INDEX(对接源_01水果!$M$4:$M$1203,$AE9)))</f>
        <v/>
      </c>
      <c r="AE9" s="2" t="str">
        <f>IFERROR(MATCH(4,_自动清单!$AM$4:$AM$2403,0),"")</f>
        <v/>
      </c>
    </row>
    <row r="10" ht="18" customHeight="1" spans="1:31">
      <c r="A10" s="53" t="str">
        <f>IF($AE10="","",IF(INDEX(对接源_01水果!$B$4:$B$1203,$AE10)=0,"",INDEX(对接源_01水果!$B$4:$B$1203,$AE10)))</f>
        <v/>
      </c>
      <c r="B10" s="53" t="str">
        <f>IF($AE10="","",IF(INDEX(对接源_01水果!$E$4:$E$1203,$AE10)=0,"",INDEX(对接源_01水果!$E$4:$E$1203,$AE10)))</f>
        <v/>
      </c>
      <c r="C10" s="53" t="str">
        <f>IF($AE10="","",IF(INDEX(对接源_01水果!$F$4:$F$1203,$AE10)=0,"",INDEX(对接源_01水果!$F$4:$F$1203,$AE10)))</f>
        <v/>
      </c>
      <c r="D10" s="53" t="str">
        <f>IF($AE10="","",IF(INDEX(对接源_01水果!$G$4:$G$1203,$AE10)=0,"",INDEX(对接源_01水果!$G$4:$G$1203,$AE10)))</f>
        <v/>
      </c>
      <c r="E10" s="53" t="str">
        <f>IF($AE10="","",IF(INDEX(对接源_01水果!$H$4:$H$1203,$AE10)=0,"",INDEX(对接源_01水果!$H$4:$H$1203,$AE10)))</f>
        <v/>
      </c>
      <c r="F10" s="53" t="str">
        <f>IF($AE10="","",IF(INDEX(对接源_01水果!$I$4:$I$1203,$AE10)=0,"",INDEX(对接源_01水果!$I$4:$I$1203,$AE10)))</f>
        <v/>
      </c>
      <c r="G10" s="55" t="str">
        <f>IF($AE10="","",IF(INDEX(对接源_01水果!$Z$4:$Z$1203,$AE10)=0,"",INDEX(对接源_01水果!$Z$4:$Z$1203,$AE10)))</f>
        <v/>
      </c>
      <c r="H10" s="55" t="str">
        <f>IF($AE10="","",IF(INDEX(对接源_01水果!$AA$4:$AA$1203,$AE10)=0,"",INDEX(对接源_01水果!$AA$4:$AA$1203,$AE10)))</f>
        <v/>
      </c>
      <c r="I10" s="55" t="str">
        <f>IF($AE10="","",IF(INDEX(对接源_01水果!$AG$4:$AG$1203,$AE10)=0,"",INDEX(对接源_01水果!$AG$4:$AG$1203,$AE10)))</f>
        <v/>
      </c>
      <c r="J10" s="55" t="str">
        <f>IF($AE10="","",IF(INDEX(对接源_01水果!$AJ$4:$AJ$1203,$AE10)=0,"",INDEX(对接源_01水果!$AJ$4:$AJ$1203,$AE10)))</f>
        <v/>
      </c>
      <c r="K10" s="53" t="str">
        <f>IF($AE10="","",IF(INDEX(对接源_01水果!$AB$4:$AB$1203,$AE10)=0,"",INDEX(对接源_01水果!$AB$4:$AB$1203,$AE10)))</f>
        <v/>
      </c>
      <c r="L10" s="56" t="str">
        <f>IF($AE10="","",IF(INDEX(对接源_01水果!$M$4:$M$1203,$AE10)=0,"",INDEX(对接源_01水果!$M$4:$M$1203,$AE10)))</f>
        <v/>
      </c>
      <c r="AE10" s="2" t="str">
        <f>IFERROR(MATCH(5,_自动清单!$AM$4:$AM$2403,0),"")</f>
        <v/>
      </c>
    </row>
    <row r="11" ht="18" customHeight="1" spans="1:31">
      <c r="A11" s="53" t="str">
        <f>IF($AE11="","",IF(INDEX(对接源_01水果!$B$4:$B$1203,$AE11)=0,"",INDEX(对接源_01水果!$B$4:$B$1203,$AE11)))</f>
        <v/>
      </c>
      <c r="B11" s="53" t="str">
        <f>IF($AE11="","",IF(INDEX(对接源_01水果!$E$4:$E$1203,$AE11)=0,"",INDEX(对接源_01水果!$E$4:$E$1203,$AE11)))</f>
        <v/>
      </c>
      <c r="C11" s="53" t="str">
        <f>IF($AE11="","",IF(INDEX(对接源_01水果!$F$4:$F$1203,$AE11)=0,"",INDEX(对接源_01水果!$F$4:$F$1203,$AE11)))</f>
        <v/>
      </c>
      <c r="D11" s="53" t="str">
        <f>IF($AE11="","",IF(INDEX(对接源_01水果!$G$4:$G$1203,$AE11)=0,"",INDEX(对接源_01水果!$G$4:$G$1203,$AE11)))</f>
        <v/>
      </c>
      <c r="E11" s="53" t="str">
        <f>IF($AE11="","",IF(INDEX(对接源_01水果!$H$4:$H$1203,$AE11)=0,"",INDEX(对接源_01水果!$H$4:$H$1203,$AE11)))</f>
        <v/>
      </c>
      <c r="F11" s="53" t="str">
        <f>IF($AE11="","",IF(INDEX(对接源_01水果!$I$4:$I$1203,$AE11)=0,"",INDEX(对接源_01水果!$I$4:$I$1203,$AE11)))</f>
        <v/>
      </c>
      <c r="G11" s="55" t="str">
        <f>IF($AE11="","",IF(INDEX(对接源_01水果!$Z$4:$Z$1203,$AE11)=0,"",INDEX(对接源_01水果!$Z$4:$Z$1203,$AE11)))</f>
        <v/>
      </c>
      <c r="H11" s="55" t="str">
        <f>IF($AE11="","",IF(INDEX(对接源_01水果!$AA$4:$AA$1203,$AE11)=0,"",INDEX(对接源_01水果!$AA$4:$AA$1203,$AE11)))</f>
        <v/>
      </c>
      <c r="I11" s="55" t="str">
        <f>IF($AE11="","",IF(INDEX(对接源_01水果!$AG$4:$AG$1203,$AE11)=0,"",INDEX(对接源_01水果!$AG$4:$AG$1203,$AE11)))</f>
        <v/>
      </c>
      <c r="J11" s="55" t="str">
        <f>IF($AE11="","",IF(INDEX(对接源_01水果!$AJ$4:$AJ$1203,$AE11)=0,"",INDEX(对接源_01水果!$AJ$4:$AJ$1203,$AE11)))</f>
        <v/>
      </c>
      <c r="K11" s="53" t="str">
        <f>IF($AE11="","",IF(INDEX(对接源_01水果!$AB$4:$AB$1203,$AE11)=0,"",INDEX(对接源_01水果!$AB$4:$AB$1203,$AE11)))</f>
        <v/>
      </c>
      <c r="L11" s="56" t="str">
        <f>IF($AE11="","",IF(INDEX(对接源_01水果!$M$4:$M$1203,$AE11)=0,"",INDEX(对接源_01水果!$M$4:$M$1203,$AE11)))</f>
        <v/>
      </c>
      <c r="AE11" s="2" t="str">
        <f>IFERROR(MATCH(6,_自动清单!$AM$4:$AM$2403,0),"")</f>
        <v/>
      </c>
    </row>
    <row r="12" ht="18" customHeight="1" spans="1:31">
      <c r="A12" s="53" t="str">
        <f>IF($AE12="","",IF(INDEX(对接源_01水果!$B$4:$B$1203,$AE12)=0,"",INDEX(对接源_01水果!$B$4:$B$1203,$AE12)))</f>
        <v/>
      </c>
      <c r="B12" s="53" t="str">
        <f>IF($AE12="","",IF(INDEX(对接源_01水果!$E$4:$E$1203,$AE12)=0,"",INDEX(对接源_01水果!$E$4:$E$1203,$AE12)))</f>
        <v/>
      </c>
      <c r="C12" s="53" t="str">
        <f>IF($AE12="","",IF(INDEX(对接源_01水果!$F$4:$F$1203,$AE12)=0,"",INDEX(对接源_01水果!$F$4:$F$1203,$AE12)))</f>
        <v/>
      </c>
      <c r="D12" s="53" t="str">
        <f>IF($AE12="","",IF(INDEX(对接源_01水果!$G$4:$G$1203,$AE12)=0,"",INDEX(对接源_01水果!$G$4:$G$1203,$AE12)))</f>
        <v/>
      </c>
      <c r="E12" s="53" t="str">
        <f>IF($AE12="","",IF(INDEX(对接源_01水果!$H$4:$H$1203,$AE12)=0,"",INDEX(对接源_01水果!$H$4:$H$1203,$AE12)))</f>
        <v/>
      </c>
      <c r="F12" s="53" t="str">
        <f>IF($AE12="","",IF(INDEX(对接源_01水果!$I$4:$I$1203,$AE12)=0,"",INDEX(对接源_01水果!$I$4:$I$1203,$AE12)))</f>
        <v/>
      </c>
      <c r="G12" s="55" t="str">
        <f>IF($AE12="","",IF(INDEX(对接源_01水果!$Z$4:$Z$1203,$AE12)=0,"",INDEX(对接源_01水果!$Z$4:$Z$1203,$AE12)))</f>
        <v/>
      </c>
      <c r="H12" s="55" t="str">
        <f>IF($AE12="","",IF(INDEX(对接源_01水果!$AA$4:$AA$1203,$AE12)=0,"",INDEX(对接源_01水果!$AA$4:$AA$1203,$AE12)))</f>
        <v/>
      </c>
      <c r="I12" s="55" t="str">
        <f>IF($AE12="","",IF(INDEX(对接源_01水果!$AG$4:$AG$1203,$AE12)=0,"",INDEX(对接源_01水果!$AG$4:$AG$1203,$AE12)))</f>
        <v/>
      </c>
      <c r="J12" s="55" t="str">
        <f>IF($AE12="","",IF(INDEX(对接源_01水果!$AJ$4:$AJ$1203,$AE12)=0,"",INDEX(对接源_01水果!$AJ$4:$AJ$1203,$AE12)))</f>
        <v/>
      </c>
      <c r="K12" s="53" t="str">
        <f>IF($AE12="","",IF(INDEX(对接源_01水果!$AB$4:$AB$1203,$AE12)=0,"",INDEX(对接源_01水果!$AB$4:$AB$1203,$AE12)))</f>
        <v/>
      </c>
      <c r="L12" s="56" t="str">
        <f>IF($AE12="","",IF(INDEX(对接源_01水果!$M$4:$M$1203,$AE12)=0,"",INDEX(对接源_01水果!$M$4:$M$1203,$AE12)))</f>
        <v/>
      </c>
      <c r="AE12" s="2" t="str">
        <f>IFERROR(MATCH(7,_自动清单!$AM$4:$AM$2403,0),"")</f>
        <v/>
      </c>
    </row>
    <row r="13" ht="18" customHeight="1" spans="1:31">
      <c r="A13" s="53" t="str">
        <f>IF($AE13="","",IF(INDEX(对接源_01水果!$B$4:$B$1203,$AE13)=0,"",INDEX(对接源_01水果!$B$4:$B$1203,$AE13)))</f>
        <v/>
      </c>
      <c r="B13" s="53" t="str">
        <f>IF($AE13="","",IF(INDEX(对接源_01水果!$E$4:$E$1203,$AE13)=0,"",INDEX(对接源_01水果!$E$4:$E$1203,$AE13)))</f>
        <v/>
      </c>
      <c r="C13" s="53" t="str">
        <f>IF($AE13="","",IF(INDEX(对接源_01水果!$F$4:$F$1203,$AE13)=0,"",INDEX(对接源_01水果!$F$4:$F$1203,$AE13)))</f>
        <v/>
      </c>
      <c r="D13" s="53" t="str">
        <f>IF($AE13="","",IF(INDEX(对接源_01水果!$G$4:$G$1203,$AE13)=0,"",INDEX(对接源_01水果!$G$4:$G$1203,$AE13)))</f>
        <v/>
      </c>
      <c r="E13" s="53" t="str">
        <f>IF($AE13="","",IF(INDEX(对接源_01水果!$H$4:$H$1203,$AE13)=0,"",INDEX(对接源_01水果!$H$4:$H$1203,$AE13)))</f>
        <v/>
      </c>
      <c r="F13" s="53" t="str">
        <f>IF($AE13="","",IF(INDEX(对接源_01水果!$I$4:$I$1203,$AE13)=0,"",INDEX(对接源_01水果!$I$4:$I$1203,$AE13)))</f>
        <v/>
      </c>
      <c r="G13" s="55" t="str">
        <f>IF($AE13="","",IF(INDEX(对接源_01水果!$Z$4:$Z$1203,$AE13)=0,"",INDEX(对接源_01水果!$Z$4:$Z$1203,$AE13)))</f>
        <v/>
      </c>
      <c r="H13" s="55" t="str">
        <f>IF($AE13="","",IF(INDEX(对接源_01水果!$AA$4:$AA$1203,$AE13)=0,"",INDEX(对接源_01水果!$AA$4:$AA$1203,$AE13)))</f>
        <v/>
      </c>
      <c r="I13" s="55" t="str">
        <f>IF($AE13="","",IF(INDEX(对接源_01水果!$AG$4:$AG$1203,$AE13)=0,"",INDEX(对接源_01水果!$AG$4:$AG$1203,$AE13)))</f>
        <v/>
      </c>
      <c r="J13" s="55" t="str">
        <f>IF($AE13="","",IF(INDEX(对接源_01水果!$AJ$4:$AJ$1203,$AE13)=0,"",INDEX(对接源_01水果!$AJ$4:$AJ$1203,$AE13)))</f>
        <v/>
      </c>
      <c r="K13" s="53" t="str">
        <f>IF($AE13="","",IF(INDEX(对接源_01水果!$AB$4:$AB$1203,$AE13)=0,"",INDEX(对接源_01水果!$AB$4:$AB$1203,$AE13)))</f>
        <v/>
      </c>
      <c r="L13" s="56" t="str">
        <f>IF($AE13="","",IF(INDEX(对接源_01水果!$M$4:$M$1203,$AE13)=0,"",INDEX(对接源_01水果!$M$4:$M$1203,$AE13)))</f>
        <v/>
      </c>
      <c r="AE13" s="2" t="str">
        <f>IFERROR(MATCH(8,_自动清单!$AM$4:$AM$2403,0),"")</f>
        <v/>
      </c>
    </row>
    <row r="14" ht="18" customHeight="1" spans="1:31">
      <c r="A14" s="53" t="str">
        <f>IF($AE14="","",IF(INDEX(对接源_01水果!$B$4:$B$1203,$AE14)=0,"",INDEX(对接源_01水果!$B$4:$B$1203,$AE14)))</f>
        <v/>
      </c>
      <c r="B14" s="53" t="str">
        <f>IF($AE14="","",IF(INDEX(对接源_01水果!$E$4:$E$1203,$AE14)=0,"",INDEX(对接源_01水果!$E$4:$E$1203,$AE14)))</f>
        <v/>
      </c>
      <c r="C14" s="53" t="str">
        <f>IF($AE14="","",IF(INDEX(对接源_01水果!$F$4:$F$1203,$AE14)=0,"",INDEX(对接源_01水果!$F$4:$F$1203,$AE14)))</f>
        <v/>
      </c>
      <c r="D14" s="53" t="str">
        <f>IF($AE14="","",IF(INDEX(对接源_01水果!$G$4:$G$1203,$AE14)=0,"",INDEX(对接源_01水果!$G$4:$G$1203,$AE14)))</f>
        <v/>
      </c>
      <c r="E14" s="53" t="str">
        <f>IF($AE14="","",IF(INDEX(对接源_01水果!$H$4:$H$1203,$AE14)=0,"",INDEX(对接源_01水果!$H$4:$H$1203,$AE14)))</f>
        <v/>
      </c>
      <c r="F14" s="53" t="str">
        <f>IF($AE14="","",IF(INDEX(对接源_01水果!$I$4:$I$1203,$AE14)=0,"",INDEX(对接源_01水果!$I$4:$I$1203,$AE14)))</f>
        <v/>
      </c>
      <c r="G14" s="55" t="str">
        <f>IF($AE14="","",IF(INDEX(对接源_01水果!$Z$4:$Z$1203,$AE14)=0,"",INDEX(对接源_01水果!$Z$4:$Z$1203,$AE14)))</f>
        <v/>
      </c>
      <c r="H14" s="55" t="str">
        <f>IF($AE14="","",IF(INDEX(对接源_01水果!$AA$4:$AA$1203,$AE14)=0,"",INDEX(对接源_01水果!$AA$4:$AA$1203,$AE14)))</f>
        <v/>
      </c>
      <c r="I14" s="55" t="str">
        <f>IF($AE14="","",IF(INDEX(对接源_01水果!$AG$4:$AG$1203,$AE14)=0,"",INDEX(对接源_01水果!$AG$4:$AG$1203,$AE14)))</f>
        <v/>
      </c>
      <c r="J14" s="55" t="str">
        <f>IF($AE14="","",IF(INDEX(对接源_01水果!$AJ$4:$AJ$1203,$AE14)=0,"",INDEX(对接源_01水果!$AJ$4:$AJ$1203,$AE14)))</f>
        <v/>
      </c>
      <c r="K14" s="53" t="str">
        <f>IF($AE14="","",IF(INDEX(对接源_01水果!$AB$4:$AB$1203,$AE14)=0,"",INDEX(对接源_01水果!$AB$4:$AB$1203,$AE14)))</f>
        <v/>
      </c>
      <c r="L14" s="56" t="str">
        <f>IF($AE14="","",IF(INDEX(对接源_01水果!$M$4:$M$1203,$AE14)=0,"",INDEX(对接源_01水果!$M$4:$M$1203,$AE14)))</f>
        <v/>
      </c>
      <c r="AE14" s="2" t="str">
        <f>IFERROR(MATCH(9,_自动清单!$AM$4:$AM$2403,0),"")</f>
        <v/>
      </c>
    </row>
    <row r="15" ht="18" customHeight="1" spans="1:31">
      <c r="A15" s="53" t="str">
        <f>IF($AE15="","",IF(INDEX(对接源_01水果!$B$4:$B$1203,$AE15)=0,"",INDEX(对接源_01水果!$B$4:$B$1203,$AE15)))</f>
        <v/>
      </c>
      <c r="B15" s="53" t="str">
        <f>IF($AE15="","",IF(INDEX(对接源_01水果!$E$4:$E$1203,$AE15)=0,"",INDEX(对接源_01水果!$E$4:$E$1203,$AE15)))</f>
        <v/>
      </c>
      <c r="C15" s="53" t="str">
        <f>IF($AE15="","",IF(INDEX(对接源_01水果!$F$4:$F$1203,$AE15)=0,"",INDEX(对接源_01水果!$F$4:$F$1203,$AE15)))</f>
        <v/>
      </c>
      <c r="D15" s="53" t="str">
        <f>IF($AE15="","",IF(INDEX(对接源_01水果!$G$4:$G$1203,$AE15)=0,"",INDEX(对接源_01水果!$G$4:$G$1203,$AE15)))</f>
        <v/>
      </c>
      <c r="E15" s="53" t="str">
        <f>IF($AE15="","",IF(INDEX(对接源_01水果!$H$4:$H$1203,$AE15)=0,"",INDEX(对接源_01水果!$H$4:$H$1203,$AE15)))</f>
        <v/>
      </c>
      <c r="F15" s="53" t="str">
        <f>IF($AE15="","",IF(INDEX(对接源_01水果!$I$4:$I$1203,$AE15)=0,"",INDEX(对接源_01水果!$I$4:$I$1203,$AE15)))</f>
        <v/>
      </c>
      <c r="G15" s="55" t="str">
        <f>IF($AE15="","",IF(INDEX(对接源_01水果!$Z$4:$Z$1203,$AE15)=0,"",INDEX(对接源_01水果!$Z$4:$Z$1203,$AE15)))</f>
        <v/>
      </c>
      <c r="H15" s="55" t="str">
        <f>IF($AE15="","",IF(INDEX(对接源_01水果!$AA$4:$AA$1203,$AE15)=0,"",INDEX(对接源_01水果!$AA$4:$AA$1203,$AE15)))</f>
        <v/>
      </c>
      <c r="I15" s="55" t="str">
        <f>IF($AE15="","",IF(INDEX(对接源_01水果!$AG$4:$AG$1203,$AE15)=0,"",INDEX(对接源_01水果!$AG$4:$AG$1203,$AE15)))</f>
        <v/>
      </c>
      <c r="J15" s="55" t="str">
        <f>IF($AE15="","",IF(INDEX(对接源_01水果!$AJ$4:$AJ$1203,$AE15)=0,"",INDEX(对接源_01水果!$AJ$4:$AJ$1203,$AE15)))</f>
        <v/>
      </c>
      <c r="K15" s="53" t="str">
        <f>IF($AE15="","",IF(INDEX(对接源_01水果!$AB$4:$AB$1203,$AE15)=0,"",INDEX(对接源_01水果!$AB$4:$AB$1203,$AE15)))</f>
        <v/>
      </c>
      <c r="L15" s="56" t="str">
        <f>IF($AE15="","",IF(INDEX(对接源_01水果!$M$4:$M$1203,$AE15)=0,"",INDEX(对接源_01水果!$M$4:$M$1203,$AE15)))</f>
        <v/>
      </c>
      <c r="AE15" s="2" t="str">
        <f>IFERROR(MATCH(10,_自动清单!$AM$4:$AM$2403,0),"")</f>
        <v/>
      </c>
    </row>
    <row r="16" ht="18" customHeight="1" spans="1:31">
      <c r="A16" s="53" t="str">
        <f>IF($AE16="","",IF(INDEX(对接源_01水果!$B$4:$B$1203,$AE16)=0,"",INDEX(对接源_01水果!$B$4:$B$1203,$AE16)))</f>
        <v/>
      </c>
      <c r="B16" s="53" t="str">
        <f>IF($AE16="","",IF(INDEX(对接源_01水果!$E$4:$E$1203,$AE16)=0,"",INDEX(对接源_01水果!$E$4:$E$1203,$AE16)))</f>
        <v/>
      </c>
      <c r="C16" s="53" t="str">
        <f>IF($AE16="","",IF(INDEX(对接源_01水果!$F$4:$F$1203,$AE16)=0,"",INDEX(对接源_01水果!$F$4:$F$1203,$AE16)))</f>
        <v/>
      </c>
      <c r="D16" s="53" t="str">
        <f>IF($AE16="","",IF(INDEX(对接源_01水果!$G$4:$G$1203,$AE16)=0,"",INDEX(对接源_01水果!$G$4:$G$1203,$AE16)))</f>
        <v/>
      </c>
      <c r="E16" s="53" t="str">
        <f>IF($AE16="","",IF(INDEX(对接源_01水果!$H$4:$H$1203,$AE16)=0,"",INDEX(对接源_01水果!$H$4:$H$1203,$AE16)))</f>
        <v/>
      </c>
      <c r="F16" s="53" t="str">
        <f>IF($AE16="","",IF(INDEX(对接源_01水果!$I$4:$I$1203,$AE16)=0,"",INDEX(对接源_01水果!$I$4:$I$1203,$AE16)))</f>
        <v/>
      </c>
      <c r="G16" s="55" t="str">
        <f>IF($AE16="","",IF(INDEX(对接源_01水果!$Z$4:$Z$1203,$AE16)=0,"",INDEX(对接源_01水果!$Z$4:$Z$1203,$AE16)))</f>
        <v/>
      </c>
      <c r="H16" s="55" t="str">
        <f>IF($AE16="","",IF(INDEX(对接源_01水果!$AA$4:$AA$1203,$AE16)=0,"",INDEX(对接源_01水果!$AA$4:$AA$1203,$AE16)))</f>
        <v/>
      </c>
      <c r="I16" s="55" t="str">
        <f>IF($AE16="","",IF(INDEX(对接源_01水果!$AG$4:$AG$1203,$AE16)=0,"",INDEX(对接源_01水果!$AG$4:$AG$1203,$AE16)))</f>
        <v/>
      </c>
      <c r="J16" s="55" t="str">
        <f>IF($AE16="","",IF(INDEX(对接源_01水果!$AJ$4:$AJ$1203,$AE16)=0,"",INDEX(对接源_01水果!$AJ$4:$AJ$1203,$AE16)))</f>
        <v/>
      </c>
      <c r="K16" s="53" t="str">
        <f>IF($AE16="","",IF(INDEX(对接源_01水果!$AB$4:$AB$1203,$AE16)=0,"",INDEX(对接源_01水果!$AB$4:$AB$1203,$AE16)))</f>
        <v/>
      </c>
      <c r="L16" s="56" t="str">
        <f>IF($AE16="","",IF(INDEX(对接源_01水果!$M$4:$M$1203,$AE16)=0,"",INDEX(对接源_01水果!$M$4:$M$1203,$AE16)))</f>
        <v/>
      </c>
      <c r="AE16" s="2" t="str">
        <f>IFERROR(MATCH(11,_自动清单!$AM$4:$AM$2403,0),"")</f>
        <v/>
      </c>
    </row>
    <row r="17" ht="18" customHeight="1" spans="1:31">
      <c r="A17" s="53" t="str">
        <f>IF($AE17="","",IF(INDEX(对接源_01水果!$B$4:$B$1203,$AE17)=0,"",INDEX(对接源_01水果!$B$4:$B$1203,$AE17)))</f>
        <v/>
      </c>
      <c r="B17" s="53" t="str">
        <f>IF($AE17="","",IF(INDEX(对接源_01水果!$E$4:$E$1203,$AE17)=0,"",INDEX(对接源_01水果!$E$4:$E$1203,$AE17)))</f>
        <v/>
      </c>
      <c r="C17" s="53" t="str">
        <f>IF($AE17="","",IF(INDEX(对接源_01水果!$F$4:$F$1203,$AE17)=0,"",INDEX(对接源_01水果!$F$4:$F$1203,$AE17)))</f>
        <v/>
      </c>
      <c r="D17" s="53" t="str">
        <f>IF($AE17="","",IF(INDEX(对接源_01水果!$G$4:$G$1203,$AE17)=0,"",INDEX(对接源_01水果!$G$4:$G$1203,$AE17)))</f>
        <v/>
      </c>
      <c r="E17" s="53" t="str">
        <f>IF($AE17="","",IF(INDEX(对接源_01水果!$H$4:$H$1203,$AE17)=0,"",INDEX(对接源_01水果!$H$4:$H$1203,$AE17)))</f>
        <v/>
      </c>
      <c r="F17" s="53" t="str">
        <f>IF($AE17="","",IF(INDEX(对接源_01水果!$I$4:$I$1203,$AE17)=0,"",INDEX(对接源_01水果!$I$4:$I$1203,$AE17)))</f>
        <v/>
      </c>
      <c r="G17" s="55" t="str">
        <f>IF($AE17="","",IF(INDEX(对接源_01水果!$Z$4:$Z$1203,$AE17)=0,"",INDEX(对接源_01水果!$Z$4:$Z$1203,$AE17)))</f>
        <v/>
      </c>
      <c r="H17" s="55" t="str">
        <f>IF($AE17="","",IF(INDEX(对接源_01水果!$AA$4:$AA$1203,$AE17)=0,"",INDEX(对接源_01水果!$AA$4:$AA$1203,$AE17)))</f>
        <v/>
      </c>
      <c r="I17" s="55" t="str">
        <f>IF($AE17="","",IF(INDEX(对接源_01水果!$AG$4:$AG$1203,$AE17)=0,"",INDEX(对接源_01水果!$AG$4:$AG$1203,$AE17)))</f>
        <v/>
      </c>
      <c r="J17" s="55" t="str">
        <f>IF($AE17="","",IF(INDEX(对接源_01水果!$AJ$4:$AJ$1203,$AE17)=0,"",INDEX(对接源_01水果!$AJ$4:$AJ$1203,$AE17)))</f>
        <v/>
      </c>
      <c r="K17" s="53" t="str">
        <f>IF($AE17="","",IF(INDEX(对接源_01水果!$AB$4:$AB$1203,$AE17)=0,"",INDEX(对接源_01水果!$AB$4:$AB$1203,$AE17)))</f>
        <v/>
      </c>
      <c r="L17" s="56" t="str">
        <f>IF($AE17="","",IF(INDEX(对接源_01水果!$M$4:$M$1203,$AE17)=0,"",INDEX(对接源_01水果!$M$4:$M$1203,$AE17)))</f>
        <v/>
      </c>
      <c r="AE17" s="2" t="str">
        <f>IFERROR(MATCH(12,_自动清单!$AM$4:$AM$2403,0),"")</f>
        <v/>
      </c>
    </row>
    <row r="18" ht="18" customHeight="1" spans="1:31">
      <c r="A18" s="53" t="str">
        <f>IF($AE18="","",IF(INDEX(对接源_01水果!$B$4:$B$1203,$AE18)=0,"",INDEX(对接源_01水果!$B$4:$B$1203,$AE18)))</f>
        <v/>
      </c>
      <c r="B18" s="53" t="str">
        <f>IF($AE18="","",IF(INDEX(对接源_01水果!$E$4:$E$1203,$AE18)=0,"",INDEX(对接源_01水果!$E$4:$E$1203,$AE18)))</f>
        <v/>
      </c>
      <c r="C18" s="53" t="str">
        <f>IF($AE18="","",IF(INDEX(对接源_01水果!$F$4:$F$1203,$AE18)=0,"",INDEX(对接源_01水果!$F$4:$F$1203,$AE18)))</f>
        <v/>
      </c>
      <c r="D18" s="53" t="str">
        <f>IF($AE18="","",IF(INDEX(对接源_01水果!$G$4:$G$1203,$AE18)=0,"",INDEX(对接源_01水果!$G$4:$G$1203,$AE18)))</f>
        <v/>
      </c>
      <c r="E18" s="53" t="str">
        <f>IF($AE18="","",IF(INDEX(对接源_01水果!$H$4:$H$1203,$AE18)=0,"",INDEX(对接源_01水果!$H$4:$H$1203,$AE18)))</f>
        <v/>
      </c>
      <c r="F18" s="53" t="str">
        <f>IF($AE18="","",IF(INDEX(对接源_01水果!$I$4:$I$1203,$AE18)=0,"",INDEX(对接源_01水果!$I$4:$I$1203,$AE18)))</f>
        <v/>
      </c>
      <c r="G18" s="55" t="str">
        <f>IF($AE18="","",IF(INDEX(对接源_01水果!$Z$4:$Z$1203,$AE18)=0,"",INDEX(对接源_01水果!$Z$4:$Z$1203,$AE18)))</f>
        <v/>
      </c>
      <c r="H18" s="55" t="str">
        <f>IF($AE18="","",IF(INDEX(对接源_01水果!$AA$4:$AA$1203,$AE18)=0,"",INDEX(对接源_01水果!$AA$4:$AA$1203,$AE18)))</f>
        <v/>
      </c>
      <c r="I18" s="55" t="str">
        <f>IF($AE18="","",IF(INDEX(对接源_01水果!$AG$4:$AG$1203,$AE18)=0,"",INDEX(对接源_01水果!$AG$4:$AG$1203,$AE18)))</f>
        <v/>
      </c>
      <c r="J18" s="55" t="str">
        <f>IF($AE18="","",IF(INDEX(对接源_01水果!$AJ$4:$AJ$1203,$AE18)=0,"",INDEX(对接源_01水果!$AJ$4:$AJ$1203,$AE18)))</f>
        <v/>
      </c>
      <c r="K18" s="53" t="str">
        <f>IF($AE18="","",IF(INDEX(对接源_01水果!$AB$4:$AB$1203,$AE18)=0,"",INDEX(对接源_01水果!$AB$4:$AB$1203,$AE18)))</f>
        <v/>
      </c>
      <c r="L18" s="56" t="str">
        <f>IF($AE18="","",IF(INDEX(对接源_01水果!$M$4:$M$1203,$AE18)=0,"",INDEX(对接源_01水果!$M$4:$M$1203,$AE18)))</f>
        <v/>
      </c>
      <c r="AE18" s="2" t="str">
        <f>IFERROR(MATCH(13,_自动清单!$AM$4:$AM$2403,0),"")</f>
        <v/>
      </c>
    </row>
    <row r="19" ht="18" customHeight="1" spans="1:31">
      <c r="A19" s="53" t="str">
        <f>IF($AE19="","",IF(INDEX(对接源_01水果!$B$4:$B$1203,$AE19)=0,"",INDEX(对接源_01水果!$B$4:$B$1203,$AE19)))</f>
        <v/>
      </c>
      <c r="B19" s="53" t="str">
        <f>IF($AE19="","",IF(INDEX(对接源_01水果!$E$4:$E$1203,$AE19)=0,"",INDEX(对接源_01水果!$E$4:$E$1203,$AE19)))</f>
        <v/>
      </c>
      <c r="C19" s="53" t="str">
        <f>IF($AE19="","",IF(INDEX(对接源_01水果!$F$4:$F$1203,$AE19)=0,"",INDEX(对接源_01水果!$F$4:$F$1203,$AE19)))</f>
        <v/>
      </c>
      <c r="D19" s="53" t="str">
        <f>IF($AE19="","",IF(INDEX(对接源_01水果!$G$4:$G$1203,$AE19)=0,"",INDEX(对接源_01水果!$G$4:$G$1203,$AE19)))</f>
        <v/>
      </c>
      <c r="E19" s="53" t="str">
        <f>IF($AE19="","",IF(INDEX(对接源_01水果!$H$4:$H$1203,$AE19)=0,"",INDEX(对接源_01水果!$H$4:$H$1203,$AE19)))</f>
        <v/>
      </c>
      <c r="F19" s="53" t="str">
        <f>IF($AE19="","",IF(INDEX(对接源_01水果!$I$4:$I$1203,$AE19)=0,"",INDEX(对接源_01水果!$I$4:$I$1203,$AE19)))</f>
        <v/>
      </c>
      <c r="G19" s="55" t="str">
        <f>IF($AE19="","",IF(INDEX(对接源_01水果!$Z$4:$Z$1203,$AE19)=0,"",INDEX(对接源_01水果!$Z$4:$Z$1203,$AE19)))</f>
        <v/>
      </c>
      <c r="H19" s="55" t="str">
        <f>IF($AE19="","",IF(INDEX(对接源_01水果!$AA$4:$AA$1203,$AE19)=0,"",INDEX(对接源_01水果!$AA$4:$AA$1203,$AE19)))</f>
        <v/>
      </c>
      <c r="I19" s="55" t="str">
        <f>IF($AE19="","",IF(INDEX(对接源_01水果!$AG$4:$AG$1203,$AE19)=0,"",INDEX(对接源_01水果!$AG$4:$AG$1203,$AE19)))</f>
        <v/>
      </c>
      <c r="J19" s="55" t="str">
        <f>IF($AE19="","",IF(INDEX(对接源_01水果!$AJ$4:$AJ$1203,$AE19)=0,"",INDEX(对接源_01水果!$AJ$4:$AJ$1203,$AE19)))</f>
        <v/>
      </c>
      <c r="K19" s="53" t="str">
        <f>IF($AE19="","",IF(INDEX(对接源_01水果!$AB$4:$AB$1203,$AE19)=0,"",INDEX(对接源_01水果!$AB$4:$AB$1203,$AE19)))</f>
        <v/>
      </c>
      <c r="L19" s="56" t="str">
        <f>IF($AE19="","",IF(INDEX(对接源_01水果!$M$4:$M$1203,$AE19)=0,"",INDEX(对接源_01水果!$M$4:$M$1203,$AE19)))</f>
        <v/>
      </c>
      <c r="AE19" s="2" t="str">
        <f>IFERROR(MATCH(14,_自动清单!$AM$4:$AM$2403,0),"")</f>
        <v/>
      </c>
    </row>
    <row r="20" ht="18" customHeight="1" spans="1:31">
      <c r="A20" s="53" t="str">
        <f>IF($AE20="","",IF(INDEX(对接源_01水果!$B$4:$B$1203,$AE20)=0,"",INDEX(对接源_01水果!$B$4:$B$1203,$AE20)))</f>
        <v/>
      </c>
      <c r="B20" s="53" t="str">
        <f>IF($AE20="","",IF(INDEX(对接源_01水果!$E$4:$E$1203,$AE20)=0,"",INDEX(对接源_01水果!$E$4:$E$1203,$AE20)))</f>
        <v/>
      </c>
      <c r="C20" s="53" t="str">
        <f>IF($AE20="","",IF(INDEX(对接源_01水果!$F$4:$F$1203,$AE20)=0,"",INDEX(对接源_01水果!$F$4:$F$1203,$AE20)))</f>
        <v/>
      </c>
      <c r="D20" s="53" t="str">
        <f>IF($AE20="","",IF(INDEX(对接源_01水果!$G$4:$G$1203,$AE20)=0,"",INDEX(对接源_01水果!$G$4:$G$1203,$AE20)))</f>
        <v/>
      </c>
      <c r="E20" s="53" t="str">
        <f>IF($AE20="","",IF(INDEX(对接源_01水果!$H$4:$H$1203,$AE20)=0,"",INDEX(对接源_01水果!$H$4:$H$1203,$AE20)))</f>
        <v/>
      </c>
      <c r="F20" s="53" t="str">
        <f>IF($AE20="","",IF(INDEX(对接源_01水果!$I$4:$I$1203,$AE20)=0,"",INDEX(对接源_01水果!$I$4:$I$1203,$AE20)))</f>
        <v/>
      </c>
      <c r="G20" s="55" t="str">
        <f>IF($AE20="","",IF(INDEX(对接源_01水果!$Z$4:$Z$1203,$AE20)=0,"",INDEX(对接源_01水果!$Z$4:$Z$1203,$AE20)))</f>
        <v/>
      </c>
      <c r="H20" s="55" t="str">
        <f>IF($AE20="","",IF(INDEX(对接源_01水果!$AA$4:$AA$1203,$AE20)=0,"",INDEX(对接源_01水果!$AA$4:$AA$1203,$AE20)))</f>
        <v/>
      </c>
      <c r="I20" s="55" t="str">
        <f>IF($AE20="","",IF(INDEX(对接源_01水果!$AG$4:$AG$1203,$AE20)=0,"",INDEX(对接源_01水果!$AG$4:$AG$1203,$AE20)))</f>
        <v/>
      </c>
      <c r="J20" s="55" t="str">
        <f>IF($AE20="","",IF(INDEX(对接源_01水果!$AJ$4:$AJ$1203,$AE20)=0,"",INDEX(对接源_01水果!$AJ$4:$AJ$1203,$AE20)))</f>
        <v/>
      </c>
      <c r="K20" s="53" t="str">
        <f>IF($AE20="","",IF(INDEX(对接源_01水果!$AB$4:$AB$1203,$AE20)=0,"",INDEX(对接源_01水果!$AB$4:$AB$1203,$AE20)))</f>
        <v/>
      </c>
      <c r="L20" s="56" t="str">
        <f>IF($AE20="","",IF(INDEX(对接源_01水果!$M$4:$M$1203,$AE20)=0,"",INDEX(对接源_01水果!$M$4:$M$1203,$AE20)))</f>
        <v/>
      </c>
      <c r="AE20" s="2" t="str">
        <f>IFERROR(MATCH(15,_自动清单!$AM$4:$AM$2403,0),"")</f>
        <v/>
      </c>
    </row>
    <row r="21" ht="18" customHeight="1" spans="1:31">
      <c r="A21" s="53" t="str">
        <f>IF($AE21="","",IF(INDEX(对接源_01水果!$B$4:$B$1203,$AE21)=0,"",INDEX(对接源_01水果!$B$4:$B$1203,$AE21)))</f>
        <v/>
      </c>
      <c r="B21" s="53" t="str">
        <f>IF($AE21="","",IF(INDEX(对接源_01水果!$E$4:$E$1203,$AE21)=0,"",INDEX(对接源_01水果!$E$4:$E$1203,$AE21)))</f>
        <v/>
      </c>
      <c r="C21" s="53" t="str">
        <f>IF($AE21="","",IF(INDEX(对接源_01水果!$F$4:$F$1203,$AE21)=0,"",INDEX(对接源_01水果!$F$4:$F$1203,$AE21)))</f>
        <v/>
      </c>
      <c r="D21" s="53" t="str">
        <f>IF($AE21="","",IF(INDEX(对接源_01水果!$G$4:$G$1203,$AE21)=0,"",INDEX(对接源_01水果!$G$4:$G$1203,$AE21)))</f>
        <v/>
      </c>
      <c r="E21" s="53" t="str">
        <f>IF($AE21="","",IF(INDEX(对接源_01水果!$H$4:$H$1203,$AE21)=0,"",INDEX(对接源_01水果!$H$4:$H$1203,$AE21)))</f>
        <v/>
      </c>
      <c r="F21" s="53" t="str">
        <f>IF($AE21="","",IF(INDEX(对接源_01水果!$I$4:$I$1203,$AE21)=0,"",INDEX(对接源_01水果!$I$4:$I$1203,$AE21)))</f>
        <v/>
      </c>
      <c r="G21" s="55" t="str">
        <f>IF($AE21="","",IF(INDEX(对接源_01水果!$Z$4:$Z$1203,$AE21)=0,"",INDEX(对接源_01水果!$Z$4:$Z$1203,$AE21)))</f>
        <v/>
      </c>
      <c r="H21" s="55" t="str">
        <f>IF($AE21="","",IF(INDEX(对接源_01水果!$AA$4:$AA$1203,$AE21)=0,"",INDEX(对接源_01水果!$AA$4:$AA$1203,$AE21)))</f>
        <v/>
      </c>
      <c r="I21" s="55" t="str">
        <f>IF($AE21="","",IF(INDEX(对接源_01水果!$AG$4:$AG$1203,$AE21)=0,"",INDEX(对接源_01水果!$AG$4:$AG$1203,$AE21)))</f>
        <v/>
      </c>
      <c r="J21" s="55" t="str">
        <f>IF($AE21="","",IF(INDEX(对接源_01水果!$AJ$4:$AJ$1203,$AE21)=0,"",INDEX(对接源_01水果!$AJ$4:$AJ$1203,$AE21)))</f>
        <v/>
      </c>
      <c r="K21" s="53" t="str">
        <f>IF($AE21="","",IF(INDEX(对接源_01水果!$AB$4:$AB$1203,$AE21)=0,"",INDEX(对接源_01水果!$AB$4:$AB$1203,$AE21)))</f>
        <v/>
      </c>
      <c r="L21" s="56" t="str">
        <f>IF($AE21="","",IF(INDEX(对接源_01水果!$M$4:$M$1203,$AE21)=0,"",INDEX(对接源_01水果!$M$4:$M$1203,$AE21)))</f>
        <v/>
      </c>
      <c r="AE21" s="2" t="str">
        <f>IFERROR(MATCH(16,_自动清单!$AM$4:$AM$2403,0),"")</f>
        <v/>
      </c>
    </row>
    <row r="22" ht="18" customHeight="1" spans="1:31">
      <c r="A22" s="53" t="str">
        <f>IF($AE22="","",IF(INDEX(对接源_01水果!$B$4:$B$1203,$AE22)=0,"",INDEX(对接源_01水果!$B$4:$B$1203,$AE22)))</f>
        <v/>
      </c>
      <c r="B22" s="53" t="str">
        <f>IF($AE22="","",IF(INDEX(对接源_01水果!$E$4:$E$1203,$AE22)=0,"",INDEX(对接源_01水果!$E$4:$E$1203,$AE22)))</f>
        <v/>
      </c>
      <c r="C22" s="53" t="str">
        <f>IF($AE22="","",IF(INDEX(对接源_01水果!$F$4:$F$1203,$AE22)=0,"",INDEX(对接源_01水果!$F$4:$F$1203,$AE22)))</f>
        <v/>
      </c>
      <c r="D22" s="53" t="str">
        <f>IF($AE22="","",IF(INDEX(对接源_01水果!$G$4:$G$1203,$AE22)=0,"",INDEX(对接源_01水果!$G$4:$G$1203,$AE22)))</f>
        <v/>
      </c>
      <c r="E22" s="53" t="str">
        <f>IF($AE22="","",IF(INDEX(对接源_01水果!$H$4:$H$1203,$AE22)=0,"",INDEX(对接源_01水果!$H$4:$H$1203,$AE22)))</f>
        <v/>
      </c>
      <c r="F22" s="53" t="str">
        <f>IF($AE22="","",IF(INDEX(对接源_01水果!$I$4:$I$1203,$AE22)=0,"",INDEX(对接源_01水果!$I$4:$I$1203,$AE22)))</f>
        <v/>
      </c>
      <c r="G22" s="55" t="str">
        <f>IF($AE22="","",IF(INDEX(对接源_01水果!$Z$4:$Z$1203,$AE22)=0,"",INDEX(对接源_01水果!$Z$4:$Z$1203,$AE22)))</f>
        <v/>
      </c>
      <c r="H22" s="55" t="str">
        <f>IF($AE22="","",IF(INDEX(对接源_01水果!$AA$4:$AA$1203,$AE22)=0,"",INDEX(对接源_01水果!$AA$4:$AA$1203,$AE22)))</f>
        <v/>
      </c>
      <c r="I22" s="55" t="str">
        <f>IF($AE22="","",IF(INDEX(对接源_01水果!$AG$4:$AG$1203,$AE22)=0,"",INDEX(对接源_01水果!$AG$4:$AG$1203,$AE22)))</f>
        <v/>
      </c>
      <c r="J22" s="55" t="str">
        <f>IF($AE22="","",IF(INDEX(对接源_01水果!$AJ$4:$AJ$1203,$AE22)=0,"",INDEX(对接源_01水果!$AJ$4:$AJ$1203,$AE22)))</f>
        <v/>
      </c>
      <c r="K22" s="53" t="str">
        <f>IF($AE22="","",IF(INDEX(对接源_01水果!$AB$4:$AB$1203,$AE22)=0,"",INDEX(对接源_01水果!$AB$4:$AB$1203,$AE22)))</f>
        <v/>
      </c>
      <c r="L22" s="56" t="str">
        <f>IF($AE22="","",IF(INDEX(对接源_01水果!$M$4:$M$1203,$AE22)=0,"",INDEX(对接源_01水果!$M$4:$M$1203,$AE22)))</f>
        <v/>
      </c>
      <c r="AE22" s="2" t="str">
        <f>IFERROR(MATCH(17,_自动清单!$AM$4:$AM$2403,0),"")</f>
        <v/>
      </c>
    </row>
    <row r="23" ht="18" customHeight="1" spans="1:31">
      <c r="A23" s="53" t="str">
        <f>IF($AE23="","",IF(INDEX(对接源_01水果!$B$4:$B$1203,$AE23)=0,"",INDEX(对接源_01水果!$B$4:$B$1203,$AE23)))</f>
        <v/>
      </c>
      <c r="B23" s="53" t="str">
        <f>IF($AE23="","",IF(INDEX(对接源_01水果!$E$4:$E$1203,$AE23)=0,"",INDEX(对接源_01水果!$E$4:$E$1203,$AE23)))</f>
        <v/>
      </c>
      <c r="C23" s="53" t="str">
        <f>IF($AE23="","",IF(INDEX(对接源_01水果!$F$4:$F$1203,$AE23)=0,"",INDEX(对接源_01水果!$F$4:$F$1203,$AE23)))</f>
        <v/>
      </c>
      <c r="D23" s="53" t="str">
        <f>IF($AE23="","",IF(INDEX(对接源_01水果!$G$4:$G$1203,$AE23)=0,"",INDEX(对接源_01水果!$G$4:$G$1203,$AE23)))</f>
        <v/>
      </c>
      <c r="E23" s="53" t="str">
        <f>IF($AE23="","",IF(INDEX(对接源_01水果!$H$4:$H$1203,$AE23)=0,"",INDEX(对接源_01水果!$H$4:$H$1203,$AE23)))</f>
        <v/>
      </c>
      <c r="F23" s="53" t="str">
        <f>IF($AE23="","",IF(INDEX(对接源_01水果!$I$4:$I$1203,$AE23)=0,"",INDEX(对接源_01水果!$I$4:$I$1203,$AE23)))</f>
        <v/>
      </c>
      <c r="G23" s="55" t="str">
        <f>IF($AE23="","",IF(INDEX(对接源_01水果!$Z$4:$Z$1203,$AE23)=0,"",INDEX(对接源_01水果!$Z$4:$Z$1203,$AE23)))</f>
        <v/>
      </c>
      <c r="H23" s="55" t="str">
        <f>IF($AE23="","",IF(INDEX(对接源_01水果!$AA$4:$AA$1203,$AE23)=0,"",INDEX(对接源_01水果!$AA$4:$AA$1203,$AE23)))</f>
        <v/>
      </c>
      <c r="I23" s="55" t="str">
        <f>IF($AE23="","",IF(INDEX(对接源_01水果!$AG$4:$AG$1203,$AE23)=0,"",INDEX(对接源_01水果!$AG$4:$AG$1203,$AE23)))</f>
        <v/>
      </c>
      <c r="J23" s="55" t="str">
        <f>IF($AE23="","",IF(INDEX(对接源_01水果!$AJ$4:$AJ$1203,$AE23)=0,"",INDEX(对接源_01水果!$AJ$4:$AJ$1203,$AE23)))</f>
        <v/>
      </c>
      <c r="K23" s="53" t="str">
        <f>IF($AE23="","",IF(INDEX(对接源_01水果!$AB$4:$AB$1203,$AE23)=0,"",INDEX(对接源_01水果!$AB$4:$AB$1203,$AE23)))</f>
        <v/>
      </c>
      <c r="L23" s="56" t="str">
        <f>IF($AE23="","",IF(INDEX(对接源_01水果!$M$4:$M$1203,$AE23)=0,"",INDEX(对接源_01水果!$M$4:$M$1203,$AE23)))</f>
        <v/>
      </c>
      <c r="AE23" s="2" t="str">
        <f>IFERROR(MATCH(18,_自动清单!$AM$4:$AM$2403,0),"")</f>
        <v/>
      </c>
    </row>
    <row r="24" ht="18" customHeight="1" spans="1:31">
      <c r="A24" s="53" t="str">
        <f>IF($AE24="","",IF(INDEX(对接源_01水果!$B$4:$B$1203,$AE24)=0,"",INDEX(对接源_01水果!$B$4:$B$1203,$AE24)))</f>
        <v/>
      </c>
      <c r="B24" s="53" t="str">
        <f>IF($AE24="","",IF(INDEX(对接源_01水果!$E$4:$E$1203,$AE24)=0,"",INDEX(对接源_01水果!$E$4:$E$1203,$AE24)))</f>
        <v/>
      </c>
      <c r="C24" s="53" t="str">
        <f>IF($AE24="","",IF(INDEX(对接源_01水果!$F$4:$F$1203,$AE24)=0,"",INDEX(对接源_01水果!$F$4:$F$1203,$AE24)))</f>
        <v/>
      </c>
      <c r="D24" s="53" t="str">
        <f>IF($AE24="","",IF(INDEX(对接源_01水果!$G$4:$G$1203,$AE24)=0,"",INDEX(对接源_01水果!$G$4:$G$1203,$AE24)))</f>
        <v/>
      </c>
      <c r="E24" s="53" t="str">
        <f>IF($AE24="","",IF(INDEX(对接源_01水果!$H$4:$H$1203,$AE24)=0,"",INDEX(对接源_01水果!$H$4:$H$1203,$AE24)))</f>
        <v/>
      </c>
      <c r="F24" s="53" t="str">
        <f>IF($AE24="","",IF(INDEX(对接源_01水果!$I$4:$I$1203,$AE24)=0,"",INDEX(对接源_01水果!$I$4:$I$1203,$AE24)))</f>
        <v/>
      </c>
      <c r="G24" s="55" t="str">
        <f>IF($AE24="","",IF(INDEX(对接源_01水果!$Z$4:$Z$1203,$AE24)=0,"",INDEX(对接源_01水果!$Z$4:$Z$1203,$AE24)))</f>
        <v/>
      </c>
      <c r="H24" s="55" t="str">
        <f>IF($AE24="","",IF(INDEX(对接源_01水果!$AA$4:$AA$1203,$AE24)=0,"",INDEX(对接源_01水果!$AA$4:$AA$1203,$AE24)))</f>
        <v/>
      </c>
      <c r="I24" s="55" t="str">
        <f>IF($AE24="","",IF(INDEX(对接源_01水果!$AG$4:$AG$1203,$AE24)=0,"",INDEX(对接源_01水果!$AG$4:$AG$1203,$AE24)))</f>
        <v/>
      </c>
      <c r="J24" s="55" t="str">
        <f>IF($AE24="","",IF(INDEX(对接源_01水果!$AJ$4:$AJ$1203,$AE24)=0,"",INDEX(对接源_01水果!$AJ$4:$AJ$1203,$AE24)))</f>
        <v/>
      </c>
      <c r="K24" s="53" t="str">
        <f>IF($AE24="","",IF(INDEX(对接源_01水果!$AB$4:$AB$1203,$AE24)=0,"",INDEX(对接源_01水果!$AB$4:$AB$1203,$AE24)))</f>
        <v/>
      </c>
      <c r="L24" s="56" t="str">
        <f>IF($AE24="","",IF(INDEX(对接源_01水果!$M$4:$M$1203,$AE24)=0,"",INDEX(对接源_01水果!$M$4:$M$1203,$AE24)))</f>
        <v/>
      </c>
      <c r="AE24" s="2" t="str">
        <f>IFERROR(MATCH(19,_自动清单!$AM$4:$AM$2403,0),"")</f>
        <v/>
      </c>
    </row>
    <row r="25" ht="18" customHeight="1" spans="1:31">
      <c r="A25" s="53" t="str">
        <f>IF($AE25="","",IF(INDEX(对接源_01水果!$B$4:$B$1203,$AE25)=0,"",INDEX(对接源_01水果!$B$4:$B$1203,$AE25)))</f>
        <v/>
      </c>
      <c r="B25" s="53" t="str">
        <f>IF($AE25="","",IF(INDEX(对接源_01水果!$E$4:$E$1203,$AE25)=0,"",INDEX(对接源_01水果!$E$4:$E$1203,$AE25)))</f>
        <v/>
      </c>
      <c r="C25" s="53" t="str">
        <f>IF($AE25="","",IF(INDEX(对接源_01水果!$F$4:$F$1203,$AE25)=0,"",INDEX(对接源_01水果!$F$4:$F$1203,$AE25)))</f>
        <v/>
      </c>
      <c r="D25" s="53" t="str">
        <f>IF($AE25="","",IF(INDEX(对接源_01水果!$G$4:$G$1203,$AE25)=0,"",INDEX(对接源_01水果!$G$4:$G$1203,$AE25)))</f>
        <v/>
      </c>
      <c r="E25" s="53" t="str">
        <f>IF($AE25="","",IF(INDEX(对接源_01水果!$H$4:$H$1203,$AE25)=0,"",INDEX(对接源_01水果!$H$4:$H$1203,$AE25)))</f>
        <v/>
      </c>
      <c r="F25" s="53" t="str">
        <f>IF($AE25="","",IF(INDEX(对接源_01水果!$I$4:$I$1203,$AE25)=0,"",INDEX(对接源_01水果!$I$4:$I$1203,$AE25)))</f>
        <v/>
      </c>
      <c r="G25" s="55" t="str">
        <f>IF($AE25="","",IF(INDEX(对接源_01水果!$Z$4:$Z$1203,$AE25)=0,"",INDEX(对接源_01水果!$Z$4:$Z$1203,$AE25)))</f>
        <v/>
      </c>
      <c r="H25" s="55" t="str">
        <f>IF($AE25="","",IF(INDEX(对接源_01水果!$AA$4:$AA$1203,$AE25)=0,"",INDEX(对接源_01水果!$AA$4:$AA$1203,$AE25)))</f>
        <v/>
      </c>
      <c r="I25" s="55" t="str">
        <f>IF($AE25="","",IF(INDEX(对接源_01水果!$AG$4:$AG$1203,$AE25)=0,"",INDEX(对接源_01水果!$AG$4:$AG$1203,$AE25)))</f>
        <v/>
      </c>
      <c r="J25" s="55" t="str">
        <f>IF($AE25="","",IF(INDEX(对接源_01水果!$AJ$4:$AJ$1203,$AE25)=0,"",INDEX(对接源_01水果!$AJ$4:$AJ$1203,$AE25)))</f>
        <v/>
      </c>
      <c r="K25" s="53" t="str">
        <f>IF($AE25="","",IF(INDEX(对接源_01水果!$AB$4:$AB$1203,$AE25)=0,"",INDEX(对接源_01水果!$AB$4:$AB$1203,$AE25)))</f>
        <v/>
      </c>
      <c r="L25" s="56" t="str">
        <f>IF($AE25="","",IF(INDEX(对接源_01水果!$M$4:$M$1203,$AE25)=0,"",INDEX(对接源_01水果!$M$4:$M$1203,$AE25)))</f>
        <v/>
      </c>
      <c r="AE25" s="2" t="str">
        <f>IFERROR(MATCH(20,_自动清单!$AM$4:$AM$2403,0),"")</f>
        <v/>
      </c>
    </row>
    <row r="26" ht="18" customHeight="1" spans="1:31">
      <c r="A26" s="53" t="str">
        <f>IF($AE26="","",IF(INDEX(对接源_01水果!$B$4:$B$1203,$AE26)=0,"",INDEX(对接源_01水果!$B$4:$B$1203,$AE26)))</f>
        <v/>
      </c>
      <c r="B26" s="53" t="str">
        <f>IF($AE26="","",IF(INDEX(对接源_01水果!$E$4:$E$1203,$AE26)=0,"",INDEX(对接源_01水果!$E$4:$E$1203,$AE26)))</f>
        <v/>
      </c>
      <c r="C26" s="53" t="str">
        <f>IF($AE26="","",IF(INDEX(对接源_01水果!$F$4:$F$1203,$AE26)=0,"",INDEX(对接源_01水果!$F$4:$F$1203,$AE26)))</f>
        <v/>
      </c>
      <c r="D26" s="53" t="str">
        <f>IF($AE26="","",IF(INDEX(对接源_01水果!$G$4:$G$1203,$AE26)=0,"",INDEX(对接源_01水果!$G$4:$G$1203,$AE26)))</f>
        <v/>
      </c>
      <c r="E26" s="53" t="str">
        <f>IF($AE26="","",IF(INDEX(对接源_01水果!$H$4:$H$1203,$AE26)=0,"",INDEX(对接源_01水果!$H$4:$H$1203,$AE26)))</f>
        <v/>
      </c>
      <c r="F26" s="53" t="str">
        <f>IF($AE26="","",IF(INDEX(对接源_01水果!$I$4:$I$1203,$AE26)=0,"",INDEX(对接源_01水果!$I$4:$I$1203,$AE26)))</f>
        <v/>
      </c>
      <c r="G26" s="55" t="str">
        <f>IF($AE26="","",IF(INDEX(对接源_01水果!$Z$4:$Z$1203,$AE26)=0,"",INDEX(对接源_01水果!$Z$4:$Z$1203,$AE26)))</f>
        <v/>
      </c>
      <c r="H26" s="55" t="str">
        <f>IF($AE26="","",IF(INDEX(对接源_01水果!$AA$4:$AA$1203,$AE26)=0,"",INDEX(对接源_01水果!$AA$4:$AA$1203,$AE26)))</f>
        <v/>
      </c>
      <c r="I26" s="55" t="str">
        <f>IF($AE26="","",IF(INDEX(对接源_01水果!$AG$4:$AG$1203,$AE26)=0,"",INDEX(对接源_01水果!$AG$4:$AG$1203,$AE26)))</f>
        <v/>
      </c>
      <c r="J26" s="55" t="str">
        <f>IF($AE26="","",IF(INDEX(对接源_01水果!$AJ$4:$AJ$1203,$AE26)=0,"",INDEX(对接源_01水果!$AJ$4:$AJ$1203,$AE26)))</f>
        <v/>
      </c>
      <c r="K26" s="53" t="str">
        <f>IF($AE26="","",IF(INDEX(对接源_01水果!$AB$4:$AB$1203,$AE26)=0,"",INDEX(对接源_01水果!$AB$4:$AB$1203,$AE26)))</f>
        <v/>
      </c>
      <c r="L26" s="56" t="str">
        <f>IF($AE26="","",IF(INDEX(对接源_01水果!$M$4:$M$1203,$AE26)=0,"",INDEX(对接源_01水果!$M$4:$M$1203,$AE26)))</f>
        <v/>
      </c>
      <c r="AE26" s="2" t="str">
        <f>IFERROR(MATCH(21,_自动清单!$AM$4:$AM$2403,0),"")</f>
        <v/>
      </c>
    </row>
    <row r="27" ht="18" customHeight="1" spans="1:31">
      <c r="A27" s="53" t="str">
        <f>IF($AE27="","",IF(INDEX(对接源_01水果!$B$4:$B$1203,$AE27)=0,"",INDEX(对接源_01水果!$B$4:$B$1203,$AE27)))</f>
        <v/>
      </c>
      <c r="B27" s="53" t="str">
        <f>IF($AE27="","",IF(INDEX(对接源_01水果!$E$4:$E$1203,$AE27)=0,"",INDEX(对接源_01水果!$E$4:$E$1203,$AE27)))</f>
        <v/>
      </c>
      <c r="C27" s="53" t="str">
        <f>IF($AE27="","",IF(INDEX(对接源_01水果!$F$4:$F$1203,$AE27)=0,"",INDEX(对接源_01水果!$F$4:$F$1203,$AE27)))</f>
        <v/>
      </c>
      <c r="D27" s="53" t="str">
        <f>IF($AE27="","",IF(INDEX(对接源_01水果!$G$4:$G$1203,$AE27)=0,"",INDEX(对接源_01水果!$G$4:$G$1203,$AE27)))</f>
        <v/>
      </c>
      <c r="E27" s="53" t="str">
        <f>IF($AE27="","",IF(INDEX(对接源_01水果!$H$4:$H$1203,$AE27)=0,"",INDEX(对接源_01水果!$H$4:$H$1203,$AE27)))</f>
        <v/>
      </c>
      <c r="F27" s="53" t="str">
        <f>IF($AE27="","",IF(INDEX(对接源_01水果!$I$4:$I$1203,$AE27)=0,"",INDEX(对接源_01水果!$I$4:$I$1203,$AE27)))</f>
        <v/>
      </c>
      <c r="G27" s="55" t="str">
        <f>IF($AE27="","",IF(INDEX(对接源_01水果!$Z$4:$Z$1203,$AE27)=0,"",INDEX(对接源_01水果!$Z$4:$Z$1203,$AE27)))</f>
        <v/>
      </c>
      <c r="H27" s="55" t="str">
        <f>IF($AE27="","",IF(INDEX(对接源_01水果!$AA$4:$AA$1203,$AE27)=0,"",INDEX(对接源_01水果!$AA$4:$AA$1203,$AE27)))</f>
        <v/>
      </c>
      <c r="I27" s="55" t="str">
        <f>IF($AE27="","",IF(INDEX(对接源_01水果!$AG$4:$AG$1203,$AE27)=0,"",INDEX(对接源_01水果!$AG$4:$AG$1203,$AE27)))</f>
        <v/>
      </c>
      <c r="J27" s="55" t="str">
        <f>IF($AE27="","",IF(INDEX(对接源_01水果!$AJ$4:$AJ$1203,$AE27)=0,"",INDEX(对接源_01水果!$AJ$4:$AJ$1203,$AE27)))</f>
        <v/>
      </c>
      <c r="K27" s="53" t="str">
        <f>IF($AE27="","",IF(INDEX(对接源_01水果!$AB$4:$AB$1203,$AE27)=0,"",INDEX(对接源_01水果!$AB$4:$AB$1203,$AE27)))</f>
        <v/>
      </c>
      <c r="L27" s="56" t="str">
        <f>IF($AE27="","",IF(INDEX(对接源_01水果!$M$4:$M$1203,$AE27)=0,"",INDEX(对接源_01水果!$M$4:$M$1203,$AE27)))</f>
        <v/>
      </c>
      <c r="AE27" s="2" t="str">
        <f>IFERROR(MATCH(22,_自动清单!$AM$4:$AM$2403,0),"")</f>
        <v/>
      </c>
    </row>
    <row r="28" ht="18" customHeight="1" spans="1:31">
      <c r="A28" s="53" t="str">
        <f>IF($AE28="","",IF(INDEX(对接源_01水果!$B$4:$B$1203,$AE28)=0,"",INDEX(对接源_01水果!$B$4:$B$1203,$AE28)))</f>
        <v/>
      </c>
      <c r="B28" s="53" t="str">
        <f>IF($AE28="","",IF(INDEX(对接源_01水果!$E$4:$E$1203,$AE28)=0,"",INDEX(对接源_01水果!$E$4:$E$1203,$AE28)))</f>
        <v/>
      </c>
      <c r="C28" s="53" t="str">
        <f>IF($AE28="","",IF(INDEX(对接源_01水果!$F$4:$F$1203,$AE28)=0,"",INDEX(对接源_01水果!$F$4:$F$1203,$AE28)))</f>
        <v/>
      </c>
      <c r="D28" s="53" t="str">
        <f>IF($AE28="","",IF(INDEX(对接源_01水果!$G$4:$G$1203,$AE28)=0,"",INDEX(对接源_01水果!$G$4:$G$1203,$AE28)))</f>
        <v/>
      </c>
      <c r="E28" s="53" t="str">
        <f>IF($AE28="","",IF(INDEX(对接源_01水果!$H$4:$H$1203,$AE28)=0,"",INDEX(对接源_01水果!$H$4:$H$1203,$AE28)))</f>
        <v/>
      </c>
      <c r="F28" s="53" t="str">
        <f>IF($AE28="","",IF(INDEX(对接源_01水果!$I$4:$I$1203,$AE28)=0,"",INDEX(对接源_01水果!$I$4:$I$1203,$AE28)))</f>
        <v/>
      </c>
      <c r="G28" s="55" t="str">
        <f>IF($AE28="","",IF(INDEX(对接源_01水果!$Z$4:$Z$1203,$AE28)=0,"",INDEX(对接源_01水果!$Z$4:$Z$1203,$AE28)))</f>
        <v/>
      </c>
      <c r="H28" s="55" t="str">
        <f>IF($AE28="","",IF(INDEX(对接源_01水果!$AA$4:$AA$1203,$AE28)=0,"",INDEX(对接源_01水果!$AA$4:$AA$1203,$AE28)))</f>
        <v/>
      </c>
      <c r="I28" s="55" t="str">
        <f>IF($AE28="","",IF(INDEX(对接源_01水果!$AG$4:$AG$1203,$AE28)=0,"",INDEX(对接源_01水果!$AG$4:$AG$1203,$AE28)))</f>
        <v/>
      </c>
      <c r="J28" s="55" t="str">
        <f>IF($AE28="","",IF(INDEX(对接源_01水果!$AJ$4:$AJ$1203,$AE28)=0,"",INDEX(对接源_01水果!$AJ$4:$AJ$1203,$AE28)))</f>
        <v/>
      </c>
      <c r="K28" s="53" t="str">
        <f>IF($AE28="","",IF(INDEX(对接源_01水果!$AB$4:$AB$1203,$AE28)=0,"",INDEX(对接源_01水果!$AB$4:$AB$1203,$AE28)))</f>
        <v/>
      </c>
      <c r="L28" s="56" t="str">
        <f>IF($AE28="","",IF(INDEX(对接源_01水果!$M$4:$M$1203,$AE28)=0,"",INDEX(对接源_01水果!$M$4:$M$1203,$AE28)))</f>
        <v/>
      </c>
      <c r="AE28" s="2" t="str">
        <f>IFERROR(MATCH(23,_自动清单!$AM$4:$AM$2403,0),"")</f>
        <v/>
      </c>
    </row>
    <row r="29" ht="18" customHeight="1" spans="1:31">
      <c r="A29" s="53" t="str">
        <f>IF($AE29="","",IF(INDEX(对接源_01水果!$B$4:$B$1203,$AE29)=0,"",INDEX(对接源_01水果!$B$4:$B$1203,$AE29)))</f>
        <v/>
      </c>
      <c r="B29" s="53" t="str">
        <f>IF($AE29="","",IF(INDEX(对接源_01水果!$E$4:$E$1203,$AE29)=0,"",INDEX(对接源_01水果!$E$4:$E$1203,$AE29)))</f>
        <v/>
      </c>
      <c r="C29" s="53" t="str">
        <f>IF($AE29="","",IF(INDEX(对接源_01水果!$F$4:$F$1203,$AE29)=0,"",INDEX(对接源_01水果!$F$4:$F$1203,$AE29)))</f>
        <v/>
      </c>
      <c r="D29" s="53" t="str">
        <f>IF($AE29="","",IF(INDEX(对接源_01水果!$G$4:$G$1203,$AE29)=0,"",INDEX(对接源_01水果!$G$4:$G$1203,$AE29)))</f>
        <v/>
      </c>
      <c r="E29" s="53" t="str">
        <f>IF($AE29="","",IF(INDEX(对接源_01水果!$H$4:$H$1203,$AE29)=0,"",INDEX(对接源_01水果!$H$4:$H$1203,$AE29)))</f>
        <v/>
      </c>
      <c r="F29" s="53" t="str">
        <f>IF($AE29="","",IF(INDEX(对接源_01水果!$I$4:$I$1203,$AE29)=0,"",INDEX(对接源_01水果!$I$4:$I$1203,$AE29)))</f>
        <v/>
      </c>
      <c r="G29" s="55" t="str">
        <f>IF($AE29="","",IF(INDEX(对接源_01水果!$Z$4:$Z$1203,$AE29)=0,"",INDEX(对接源_01水果!$Z$4:$Z$1203,$AE29)))</f>
        <v/>
      </c>
      <c r="H29" s="55" t="str">
        <f>IF($AE29="","",IF(INDEX(对接源_01水果!$AA$4:$AA$1203,$AE29)=0,"",INDEX(对接源_01水果!$AA$4:$AA$1203,$AE29)))</f>
        <v/>
      </c>
      <c r="I29" s="55" t="str">
        <f>IF($AE29="","",IF(INDEX(对接源_01水果!$AG$4:$AG$1203,$AE29)=0,"",INDEX(对接源_01水果!$AG$4:$AG$1203,$AE29)))</f>
        <v/>
      </c>
      <c r="J29" s="55" t="str">
        <f>IF($AE29="","",IF(INDEX(对接源_01水果!$AJ$4:$AJ$1203,$AE29)=0,"",INDEX(对接源_01水果!$AJ$4:$AJ$1203,$AE29)))</f>
        <v/>
      </c>
      <c r="K29" s="53" t="str">
        <f>IF($AE29="","",IF(INDEX(对接源_01水果!$AB$4:$AB$1203,$AE29)=0,"",INDEX(对接源_01水果!$AB$4:$AB$1203,$AE29)))</f>
        <v/>
      </c>
      <c r="L29" s="56" t="str">
        <f>IF($AE29="","",IF(INDEX(对接源_01水果!$M$4:$M$1203,$AE29)=0,"",INDEX(对接源_01水果!$M$4:$M$1203,$AE29)))</f>
        <v/>
      </c>
      <c r="AE29" s="2" t="str">
        <f>IFERROR(MATCH(24,_自动清单!$AM$4:$AM$2403,0),"")</f>
        <v/>
      </c>
    </row>
    <row r="30" ht="18" customHeight="1" spans="1:31">
      <c r="A30" s="53" t="str">
        <f>IF($AE30="","",IF(INDEX(对接源_01水果!$B$4:$B$1203,$AE30)=0,"",INDEX(对接源_01水果!$B$4:$B$1203,$AE30)))</f>
        <v/>
      </c>
      <c r="B30" s="53" t="str">
        <f>IF($AE30="","",IF(INDEX(对接源_01水果!$E$4:$E$1203,$AE30)=0,"",INDEX(对接源_01水果!$E$4:$E$1203,$AE30)))</f>
        <v/>
      </c>
      <c r="C30" s="53" t="str">
        <f>IF($AE30="","",IF(INDEX(对接源_01水果!$F$4:$F$1203,$AE30)=0,"",INDEX(对接源_01水果!$F$4:$F$1203,$AE30)))</f>
        <v/>
      </c>
      <c r="D30" s="53" t="str">
        <f>IF($AE30="","",IF(INDEX(对接源_01水果!$G$4:$G$1203,$AE30)=0,"",INDEX(对接源_01水果!$G$4:$G$1203,$AE30)))</f>
        <v/>
      </c>
      <c r="E30" s="53" t="str">
        <f>IF($AE30="","",IF(INDEX(对接源_01水果!$H$4:$H$1203,$AE30)=0,"",INDEX(对接源_01水果!$H$4:$H$1203,$AE30)))</f>
        <v/>
      </c>
      <c r="F30" s="53" t="str">
        <f>IF($AE30="","",IF(INDEX(对接源_01水果!$I$4:$I$1203,$AE30)=0,"",INDEX(对接源_01水果!$I$4:$I$1203,$AE30)))</f>
        <v/>
      </c>
      <c r="G30" s="55" t="str">
        <f>IF($AE30="","",IF(INDEX(对接源_01水果!$Z$4:$Z$1203,$AE30)=0,"",INDEX(对接源_01水果!$Z$4:$Z$1203,$AE30)))</f>
        <v/>
      </c>
      <c r="H30" s="55" t="str">
        <f>IF($AE30="","",IF(INDEX(对接源_01水果!$AA$4:$AA$1203,$AE30)=0,"",INDEX(对接源_01水果!$AA$4:$AA$1203,$AE30)))</f>
        <v/>
      </c>
      <c r="I30" s="55" t="str">
        <f>IF($AE30="","",IF(INDEX(对接源_01水果!$AG$4:$AG$1203,$AE30)=0,"",INDEX(对接源_01水果!$AG$4:$AG$1203,$AE30)))</f>
        <v/>
      </c>
      <c r="J30" s="55" t="str">
        <f>IF($AE30="","",IF(INDEX(对接源_01水果!$AJ$4:$AJ$1203,$AE30)=0,"",INDEX(对接源_01水果!$AJ$4:$AJ$1203,$AE30)))</f>
        <v/>
      </c>
      <c r="K30" s="53" t="str">
        <f>IF($AE30="","",IF(INDEX(对接源_01水果!$AB$4:$AB$1203,$AE30)=0,"",INDEX(对接源_01水果!$AB$4:$AB$1203,$AE30)))</f>
        <v/>
      </c>
      <c r="L30" s="56" t="str">
        <f>IF($AE30="","",IF(INDEX(对接源_01水果!$M$4:$M$1203,$AE30)=0,"",INDEX(对接源_01水果!$M$4:$M$1203,$AE30)))</f>
        <v/>
      </c>
      <c r="AE30" s="2" t="str">
        <f>IFERROR(MATCH(25,_自动清单!$AM$4:$AM$2403,0),"")</f>
        <v/>
      </c>
    </row>
    <row r="31" ht="18" customHeight="1" spans="1:31">
      <c r="A31" s="53" t="str">
        <f>IF($AE31="","",IF(INDEX(对接源_01水果!$B$4:$B$1203,$AE31)=0,"",INDEX(对接源_01水果!$B$4:$B$1203,$AE31)))</f>
        <v/>
      </c>
      <c r="B31" s="53" t="str">
        <f>IF($AE31="","",IF(INDEX(对接源_01水果!$E$4:$E$1203,$AE31)=0,"",INDEX(对接源_01水果!$E$4:$E$1203,$AE31)))</f>
        <v/>
      </c>
      <c r="C31" s="53" t="str">
        <f>IF($AE31="","",IF(INDEX(对接源_01水果!$F$4:$F$1203,$AE31)=0,"",INDEX(对接源_01水果!$F$4:$F$1203,$AE31)))</f>
        <v/>
      </c>
      <c r="D31" s="53" t="str">
        <f>IF($AE31="","",IF(INDEX(对接源_01水果!$G$4:$G$1203,$AE31)=0,"",INDEX(对接源_01水果!$G$4:$G$1203,$AE31)))</f>
        <v/>
      </c>
      <c r="E31" s="53" t="str">
        <f>IF($AE31="","",IF(INDEX(对接源_01水果!$H$4:$H$1203,$AE31)=0,"",INDEX(对接源_01水果!$H$4:$H$1203,$AE31)))</f>
        <v/>
      </c>
      <c r="F31" s="53" t="str">
        <f>IF($AE31="","",IF(INDEX(对接源_01水果!$I$4:$I$1203,$AE31)=0,"",INDEX(对接源_01水果!$I$4:$I$1203,$AE31)))</f>
        <v/>
      </c>
      <c r="G31" s="55" t="str">
        <f>IF($AE31="","",IF(INDEX(对接源_01水果!$Z$4:$Z$1203,$AE31)=0,"",INDEX(对接源_01水果!$Z$4:$Z$1203,$AE31)))</f>
        <v/>
      </c>
      <c r="H31" s="55" t="str">
        <f>IF($AE31="","",IF(INDEX(对接源_01水果!$AA$4:$AA$1203,$AE31)=0,"",INDEX(对接源_01水果!$AA$4:$AA$1203,$AE31)))</f>
        <v/>
      </c>
      <c r="I31" s="55" t="str">
        <f>IF($AE31="","",IF(INDEX(对接源_01水果!$AG$4:$AG$1203,$AE31)=0,"",INDEX(对接源_01水果!$AG$4:$AG$1203,$AE31)))</f>
        <v/>
      </c>
      <c r="J31" s="55" t="str">
        <f>IF($AE31="","",IF(INDEX(对接源_01水果!$AJ$4:$AJ$1203,$AE31)=0,"",INDEX(对接源_01水果!$AJ$4:$AJ$1203,$AE31)))</f>
        <v/>
      </c>
      <c r="K31" s="53" t="str">
        <f>IF($AE31="","",IF(INDEX(对接源_01水果!$AB$4:$AB$1203,$AE31)=0,"",INDEX(对接源_01水果!$AB$4:$AB$1203,$AE31)))</f>
        <v/>
      </c>
      <c r="L31" s="56" t="str">
        <f>IF($AE31="","",IF(INDEX(对接源_01水果!$M$4:$M$1203,$AE31)=0,"",INDEX(对接源_01水果!$M$4:$M$1203,$AE31)))</f>
        <v/>
      </c>
      <c r="AE31" s="2" t="str">
        <f>IFERROR(MATCH(26,_自动清单!$AM$4:$AM$2403,0),"")</f>
        <v/>
      </c>
    </row>
    <row r="32" ht="18" customHeight="1" spans="1:31">
      <c r="A32" s="53" t="str">
        <f>IF($AE32="","",IF(INDEX(对接源_01水果!$B$4:$B$1203,$AE32)=0,"",INDEX(对接源_01水果!$B$4:$B$1203,$AE32)))</f>
        <v/>
      </c>
      <c r="B32" s="53" t="str">
        <f>IF($AE32="","",IF(INDEX(对接源_01水果!$E$4:$E$1203,$AE32)=0,"",INDEX(对接源_01水果!$E$4:$E$1203,$AE32)))</f>
        <v/>
      </c>
      <c r="C32" s="53" t="str">
        <f>IF($AE32="","",IF(INDEX(对接源_01水果!$F$4:$F$1203,$AE32)=0,"",INDEX(对接源_01水果!$F$4:$F$1203,$AE32)))</f>
        <v/>
      </c>
      <c r="D32" s="53" t="str">
        <f>IF($AE32="","",IF(INDEX(对接源_01水果!$G$4:$G$1203,$AE32)=0,"",INDEX(对接源_01水果!$G$4:$G$1203,$AE32)))</f>
        <v/>
      </c>
      <c r="E32" s="53" t="str">
        <f>IF($AE32="","",IF(INDEX(对接源_01水果!$H$4:$H$1203,$AE32)=0,"",INDEX(对接源_01水果!$H$4:$H$1203,$AE32)))</f>
        <v/>
      </c>
      <c r="F32" s="53" t="str">
        <f>IF($AE32="","",IF(INDEX(对接源_01水果!$I$4:$I$1203,$AE32)=0,"",INDEX(对接源_01水果!$I$4:$I$1203,$AE32)))</f>
        <v/>
      </c>
      <c r="G32" s="55" t="str">
        <f>IF($AE32="","",IF(INDEX(对接源_01水果!$Z$4:$Z$1203,$AE32)=0,"",INDEX(对接源_01水果!$Z$4:$Z$1203,$AE32)))</f>
        <v/>
      </c>
      <c r="H32" s="55" t="str">
        <f>IF($AE32="","",IF(INDEX(对接源_01水果!$AA$4:$AA$1203,$AE32)=0,"",INDEX(对接源_01水果!$AA$4:$AA$1203,$AE32)))</f>
        <v/>
      </c>
      <c r="I32" s="55" t="str">
        <f>IF($AE32="","",IF(INDEX(对接源_01水果!$AG$4:$AG$1203,$AE32)=0,"",INDEX(对接源_01水果!$AG$4:$AG$1203,$AE32)))</f>
        <v/>
      </c>
      <c r="J32" s="55" t="str">
        <f>IF($AE32="","",IF(INDEX(对接源_01水果!$AJ$4:$AJ$1203,$AE32)=0,"",INDEX(对接源_01水果!$AJ$4:$AJ$1203,$AE32)))</f>
        <v/>
      </c>
      <c r="K32" s="53" t="str">
        <f>IF($AE32="","",IF(INDEX(对接源_01水果!$AB$4:$AB$1203,$AE32)=0,"",INDEX(对接源_01水果!$AB$4:$AB$1203,$AE32)))</f>
        <v/>
      </c>
      <c r="L32" s="56" t="str">
        <f>IF($AE32="","",IF(INDEX(对接源_01水果!$M$4:$M$1203,$AE32)=0,"",INDEX(对接源_01水果!$M$4:$M$1203,$AE32)))</f>
        <v/>
      </c>
      <c r="AE32" s="2" t="str">
        <f>IFERROR(MATCH(27,_自动清单!$AM$4:$AM$2403,0),"")</f>
        <v/>
      </c>
    </row>
    <row r="33" ht="18" customHeight="1" spans="1:31">
      <c r="A33" s="53" t="str">
        <f>IF($AE33="","",IF(INDEX(对接源_01水果!$B$4:$B$1203,$AE33)=0,"",INDEX(对接源_01水果!$B$4:$B$1203,$AE33)))</f>
        <v/>
      </c>
      <c r="B33" s="53" t="str">
        <f>IF($AE33="","",IF(INDEX(对接源_01水果!$E$4:$E$1203,$AE33)=0,"",INDEX(对接源_01水果!$E$4:$E$1203,$AE33)))</f>
        <v/>
      </c>
      <c r="C33" s="53" t="str">
        <f>IF($AE33="","",IF(INDEX(对接源_01水果!$F$4:$F$1203,$AE33)=0,"",INDEX(对接源_01水果!$F$4:$F$1203,$AE33)))</f>
        <v/>
      </c>
      <c r="D33" s="53" t="str">
        <f>IF($AE33="","",IF(INDEX(对接源_01水果!$G$4:$G$1203,$AE33)=0,"",INDEX(对接源_01水果!$G$4:$G$1203,$AE33)))</f>
        <v/>
      </c>
      <c r="E33" s="53" t="str">
        <f>IF($AE33="","",IF(INDEX(对接源_01水果!$H$4:$H$1203,$AE33)=0,"",INDEX(对接源_01水果!$H$4:$H$1203,$AE33)))</f>
        <v/>
      </c>
      <c r="F33" s="53" t="str">
        <f>IF($AE33="","",IF(INDEX(对接源_01水果!$I$4:$I$1203,$AE33)=0,"",INDEX(对接源_01水果!$I$4:$I$1203,$AE33)))</f>
        <v/>
      </c>
      <c r="G33" s="55" t="str">
        <f>IF($AE33="","",IF(INDEX(对接源_01水果!$Z$4:$Z$1203,$AE33)=0,"",INDEX(对接源_01水果!$Z$4:$Z$1203,$AE33)))</f>
        <v/>
      </c>
      <c r="H33" s="55" t="str">
        <f>IF($AE33="","",IF(INDEX(对接源_01水果!$AA$4:$AA$1203,$AE33)=0,"",INDEX(对接源_01水果!$AA$4:$AA$1203,$AE33)))</f>
        <v/>
      </c>
      <c r="I33" s="55" t="str">
        <f>IF($AE33="","",IF(INDEX(对接源_01水果!$AG$4:$AG$1203,$AE33)=0,"",INDEX(对接源_01水果!$AG$4:$AG$1203,$AE33)))</f>
        <v/>
      </c>
      <c r="J33" s="55" t="str">
        <f>IF($AE33="","",IF(INDEX(对接源_01水果!$AJ$4:$AJ$1203,$AE33)=0,"",INDEX(对接源_01水果!$AJ$4:$AJ$1203,$AE33)))</f>
        <v/>
      </c>
      <c r="K33" s="53" t="str">
        <f>IF($AE33="","",IF(INDEX(对接源_01水果!$AB$4:$AB$1203,$AE33)=0,"",INDEX(对接源_01水果!$AB$4:$AB$1203,$AE33)))</f>
        <v/>
      </c>
      <c r="L33" s="56" t="str">
        <f>IF($AE33="","",IF(INDEX(对接源_01水果!$M$4:$M$1203,$AE33)=0,"",INDEX(对接源_01水果!$M$4:$M$1203,$AE33)))</f>
        <v/>
      </c>
      <c r="AE33" s="2" t="str">
        <f>IFERROR(MATCH(28,_自动清单!$AM$4:$AM$2403,0),"")</f>
        <v/>
      </c>
    </row>
    <row r="34" ht="18" customHeight="1" spans="1:31">
      <c r="A34" s="53" t="str">
        <f>IF($AE34="","",IF(INDEX(对接源_01水果!$B$4:$B$1203,$AE34)=0,"",INDEX(对接源_01水果!$B$4:$B$1203,$AE34)))</f>
        <v/>
      </c>
      <c r="B34" s="53" t="str">
        <f>IF($AE34="","",IF(INDEX(对接源_01水果!$E$4:$E$1203,$AE34)=0,"",INDEX(对接源_01水果!$E$4:$E$1203,$AE34)))</f>
        <v/>
      </c>
      <c r="C34" s="53" t="str">
        <f>IF($AE34="","",IF(INDEX(对接源_01水果!$F$4:$F$1203,$AE34)=0,"",INDEX(对接源_01水果!$F$4:$F$1203,$AE34)))</f>
        <v/>
      </c>
      <c r="D34" s="53" t="str">
        <f>IF($AE34="","",IF(INDEX(对接源_01水果!$G$4:$G$1203,$AE34)=0,"",INDEX(对接源_01水果!$G$4:$G$1203,$AE34)))</f>
        <v/>
      </c>
      <c r="E34" s="53" t="str">
        <f>IF($AE34="","",IF(INDEX(对接源_01水果!$H$4:$H$1203,$AE34)=0,"",INDEX(对接源_01水果!$H$4:$H$1203,$AE34)))</f>
        <v/>
      </c>
      <c r="F34" s="53" t="str">
        <f>IF($AE34="","",IF(INDEX(对接源_01水果!$I$4:$I$1203,$AE34)=0,"",INDEX(对接源_01水果!$I$4:$I$1203,$AE34)))</f>
        <v/>
      </c>
      <c r="G34" s="55" t="str">
        <f>IF($AE34="","",IF(INDEX(对接源_01水果!$Z$4:$Z$1203,$AE34)=0,"",INDEX(对接源_01水果!$Z$4:$Z$1203,$AE34)))</f>
        <v/>
      </c>
      <c r="H34" s="55" t="str">
        <f>IF($AE34="","",IF(INDEX(对接源_01水果!$AA$4:$AA$1203,$AE34)=0,"",INDEX(对接源_01水果!$AA$4:$AA$1203,$AE34)))</f>
        <v/>
      </c>
      <c r="I34" s="55" t="str">
        <f>IF($AE34="","",IF(INDEX(对接源_01水果!$AG$4:$AG$1203,$AE34)=0,"",INDEX(对接源_01水果!$AG$4:$AG$1203,$AE34)))</f>
        <v/>
      </c>
      <c r="J34" s="55" t="str">
        <f>IF($AE34="","",IF(INDEX(对接源_01水果!$AJ$4:$AJ$1203,$AE34)=0,"",INDEX(对接源_01水果!$AJ$4:$AJ$1203,$AE34)))</f>
        <v/>
      </c>
      <c r="K34" s="53" t="str">
        <f>IF($AE34="","",IF(INDEX(对接源_01水果!$AB$4:$AB$1203,$AE34)=0,"",INDEX(对接源_01水果!$AB$4:$AB$1203,$AE34)))</f>
        <v/>
      </c>
      <c r="L34" s="56" t="str">
        <f>IF($AE34="","",IF(INDEX(对接源_01水果!$M$4:$M$1203,$AE34)=0,"",INDEX(对接源_01水果!$M$4:$M$1203,$AE34)))</f>
        <v/>
      </c>
      <c r="AE34" s="2" t="str">
        <f>IFERROR(MATCH(29,_自动清单!$AM$4:$AM$2403,0),"")</f>
        <v/>
      </c>
    </row>
    <row r="35" ht="18" customHeight="1" spans="1:31">
      <c r="A35" s="53" t="str">
        <f>IF($AE35="","",IF(INDEX(对接源_01水果!$B$4:$B$1203,$AE35)=0,"",INDEX(对接源_01水果!$B$4:$B$1203,$AE35)))</f>
        <v/>
      </c>
      <c r="B35" s="53" t="str">
        <f>IF($AE35="","",IF(INDEX(对接源_01水果!$E$4:$E$1203,$AE35)=0,"",INDEX(对接源_01水果!$E$4:$E$1203,$AE35)))</f>
        <v/>
      </c>
      <c r="C35" s="53" t="str">
        <f>IF($AE35="","",IF(INDEX(对接源_01水果!$F$4:$F$1203,$AE35)=0,"",INDEX(对接源_01水果!$F$4:$F$1203,$AE35)))</f>
        <v/>
      </c>
      <c r="D35" s="53" t="str">
        <f>IF($AE35="","",IF(INDEX(对接源_01水果!$G$4:$G$1203,$AE35)=0,"",INDEX(对接源_01水果!$G$4:$G$1203,$AE35)))</f>
        <v/>
      </c>
      <c r="E35" s="53" t="str">
        <f>IF($AE35="","",IF(INDEX(对接源_01水果!$H$4:$H$1203,$AE35)=0,"",INDEX(对接源_01水果!$H$4:$H$1203,$AE35)))</f>
        <v/>
      </c>
      <c r="F35" s="53" t="str">
        <f>IF($AE35="","",IF(INDEX(对接源_01水果!$I$4:$I$1203,$AE35)=0,"",INDEX(对接源_01水果!$I$4:$I$1203,$AE35)))</f>
        <v/>
      </c>
      <c r="G35" s="55" t="str">
        <f>IF($AE35="","",IF(INDEX(对接源_01水果!$Z$4:$Z$1203,$AE35)=0,"",INDEX(对接源_01水果!$Z$4:$Z$1203,$AE35)))</f>
        <v/>
      </c>
      <c r="H35" s="55" t="str">
        <f>IF($AE35="","",IF(INDEX(对接源_01水果!$AA$4:$AA$1203,$AE35)=0,"",INDEX(对接源_01水果!$AA$4:$AA$1203,$AE35)))</f>
        <v/>
      </c>
      <c r="I35" s="55" t="str">
        <f>IF($AE35="","",IF(INDEX(对接源_01水果!$AG$4:$AG$1203,$AE35)=0,"",INDEX(对接源_01水果!$AG$4:$AG$1203,$AE35)))</f>
        <v/>
      </c>
      <c r="J35" s="55" t="str">
        <f>IF($AE35="","",IF(INDEX(对接源_01水果!$AJ$4:$AJ$1203,$AE35)=0,"",INDEX(对接源_01水果!$AJ$4:$AJ$1203,$AE35)))</f>
        <v/>
      </c>
      <c r="K35" s="53" t="str">
        <f>IF($AE35="","",IF(INDEX(对接源_01水果!$AB$4:$AB$1203,$AE35)=0,"",INDEX(对接源_01水果!$AB$4:$AB$1203,$AE35)))</f>
        <v/>
      </c>
      <c r="L35" s="56" t="str">
        <f>IF($AE35="","",IF(INDEX(对接源_01水果!$M$4:$M$1203,$AE35)=0,"",INDEX(对接源_01水果!$M$4:$M$1203,$AE35)))</f>
        <v/>
      </c>
      <c r="AE35" s="2" t="str">
        <f>IFERROR(MATCH(30,_自动清单!$AM$4:$AM$2403,0),"")</f>
        <v/>
      </c>
    </row>
    <row r="36" ht="18" customHeight="1" spans="1:31">
      <c r="A36" s="53" t="str">
        <f>IF($AE36="","",IF(INDEX(对接源_01水果!$B$4:$B$1203,$AE36)=0,"",INDEX(对接源_01水果!$B$4:$B$1203,$AE36)))</f>
        <v/>
      </c>
      <c r="B36" s="53" t="str">
        <f>IF($AE36="","",IF(INDEX(对接源_01水果!$E$4:$E$1203,$AE36)=0,"",INDEX(对接源_01水果!$E$4:$E$1203,$AE36)))</f>
        <v/>
      </c>
      <c r="C36" s="53" t="str">
        <f>IF($AE36="","",IF(INDEX(对接源_01水果!$F$4:$F$1203,$AE36)=0,"",INDEX(对接源_01水果!$F$4:$F$1203,$AE36)))</f>
        <v/>
      </c>
      <c r="D36" s="53" t="str">
        <f>IF($AE36="","",IF(INDEX(对接源_01水果!$G$4:$G$1203,$AE36)=0,"",INDEX(对接源_01水果!$G$4:$G$1203,$AE36)))</f>
        <v/>
      </c>
      <c r="E36" s="53" t="str">
        <f>IF($AE36="","",IF(INDEX(对接源_01水果!$H$4:$H$1203,$AE36)=0,"",INDEX(对接源_01水果!$H$4:$H$1203,$AE36)))</f>
        <v/>
      </c>
      <c r="F36" s="53" t="str">
        <f>IF($AE36="","",IF(INDEX(对接源_01水果!$I$4:$I$1203,$AE36)=0,"",INDEX(对接源_01水果!$I$4:$I$1203,$AE36)))</f>
        <v/>
      </c>
      <c r="G36" s="55" t="str">
        <f>IF($AE36="","",IF(INDEX(对接源_01水果!$Z$4:$Z$1203,$AE36)=0,"",INDEX(对接源_01水果!$Z$4:$Z$1203,$AE36)))</f>
        <v/>
      </c>
      <c r="H36" s="55" t="str">
        <f>IF($AE36="","",IF(INDEX(对接源_01水果!$AA$4:$AA$1203,$AE36)=0,"",INDEX(对接源_01水果!$AA$4:$AA$1203,$AE36)))</f>
        <v/>
      </c>
      <c r="I36" s="55" t="str">
        <f>IF($AE36="","",IF(INDEX(对接源_01水果!$AG$4:$AG$1203,$AE36)=0,"",INDEX(对接源_01水果!$AG$4:$AG$1203,$AE36)))</f>
        <v/>
      </c>
      <c r="J36" s="55" t="str">
        <f>IF($AE36="","",IF(INDEX(对接源_01水果!$AJ$4:$AJ$1203,$AE36)=0,"",INDEX(对接源_01水果!$AJ$4:$AJ$1203,$AE36)))</f>
        <v/>
      </c>
      <c r="K36" s="53" t="str">
        <f>IF($AE36="","",IF(INDEX(对接源_01水果!$AB$4:$AB$1203,$AE36)=0,"",INDEX(对接源_01水果!$AB$4:$AB$1203,$AE36)))</f>
        <v/>
      </c>
      <c r="L36" s="56" t="str">
        <f>IF($AE36="","",IF(INDEX(对接源_01水果!$M$4:$M$1203,$AE36)=0,"",INDEX(对接源_01水果!$M$4:$M$1203,$AE36)))</f>
        <v/>
      </c>
      <c r="AE36" s="2" t="str">
        <f>IFERROR(MATCH(31,_自动清单!$AM$4:$AM$2403,0),"")</f>
        <v/>
      </c>
    </row>
    <row r="37" ht="18" customHeight="1" spans="1:31">
      <c r="A37" s="53" t="str">
        <f>IF($AE37="","",IF(INDEX(对接源_01水果!$B$4:$B$1203,$AE37)=0,"",INDEX(对接源_01水果!$B$4:$B$1203,$AE37)))</f>
        <v/>
      </c>
      <c r="B37" s="53" t="str">
        <f>IF($AE37="","",IF(INDEX(对接源_01水果!$E$4:$E$1203,$AE37)=0,"",INDEX(对接源_01水果!$E$4:$E$1203,$AE37)))</f>
        <v/>
      </c>
      <c r="C37" s="53" t="str">
        <f>IF($AE37="","",IF(INDEX(对接源_01水果!$F$4:$F$1203,$AE37)=0,"",INDEX(对接源_01水果!$F$4:$F$1203,$AE37)))</f>
        <v/>
      </c>
      <c r="D37" s="53" t="str">
        <f>IF($AE37="","",IF(INDEX(对接源_01水果!$G$4:$G$1203,$AE37)=0,"",INDEX(对接源_01水果!$G$4:$G$1203,$AE37)))</f>
        <v/>
      </c>
      <c r="E37" s="53" t="str">
        <f>IF($AE37="","",IF(INDEX(对接源_01水果!$H$4:$H$1203,$AE37)=0,"",INDEX(对接源_01水果!$H$4:$H$1203,$AE37)))</f>
        <v/>
      </c>
      <c r="F37" s="53" t="str">
        <f>IF($AE37="","",IF(INDEX(对接源_01水果!$I$4:$I$1203,$AE37)=0,"",INDEX(对接源_01水果!$I$4:$I$1203,$AE37)))</f>
        <v/>
      </c>
      <c r="G37" s="55" t="str">
        <f>IF($AE37="","",IF(INDEX(对接源_01水果!$Z$4:$Z$1203,$AE37)=0,"",INDEX(对接源_01水果!$Z$4:$Z$1203,$AE37)))</f>
        <v/>
      </c>
      <c r="H37" s="55" t="str">
        <f>IF($AE37="","",IF(INDEX(对接源_01水果!$AA$4:$AA$1203,$AE37)=0,"",INDEX(对接源_01水果!$AA$4:$AA$1203,$AE37)))</f>
        <v/>
      </c>
      <c r="I37" s="55" t="str">
        <f>IF($AE37="","",IF(INDEX(对接源_01水果!$AG$4:$AG$1203,$AE37)=0,"",INDEX(对接源_01水果!$AG$4:$AG$1203,$AE37)))</f>
        <v/>
      </c>
      <c r="J37" s="55" t="str">
        <f>IF($AE37="","",IF(INDEX(对接源_01水果!$AJ$4:$AJ$1203,$AE37)=0,"",INDEX(对接源_01水果!$AJ$4:$AJ$1203,$AE37)))</f>
        <v/>
      </c>
      <c r="K37" s="53" t="str">
        <f>IF($AE37="","",IF(INDEX(对接源_01水果!$AB$4:$AB$1203,$AE37)=0,"",INDEX(对接源_01水果!$AB$4:$AB$1203,$AE37)))</f>
        <v/>
      </c>
      <c r="L37" s="56" t="str">
        <f>IF($AE37="","",IF(INDEX(对接源_01水果!$M$4:$M$1203,$AE37)=0,"",INDEX(对接源_01水果!$M$4:$M$1203,$AE37)))</f>
        <v/>
      </c>
      <c r="AE37" s="2" t="str">
        <f>IFERROR(MATCH(32,_自动清单!$AM$4:$AM$2403,0),"")</f>
        <v/>
      </c>
    </row>
    <row r="38" ht="18" customHeight="1" spans="1:31">
      <c r="A38" s="53" t="str">
        <f>IF($AE38="","",IF(INDEX(对接源_01水果!$B$4:$B$1203,$AE38)=0,"",INDEX(对接源_01水果!$B$4:$B$1203,$AE38)))</f>
        <v/>
      </c>
      <c r="B38" s="53" t="str">
        <f>IF($AE38="","",IF(INDEX(对接源_01水果!$E$4:$E$1203,$AE38)=0,"",INDEX(对接源_01水果!$E$4:$E$1203,$AE38)))</f>
        <v/>
      </c>
      <c r="C38" s="53" t="str">
        <f>IF($AE38="","",IF(INDEX(对接源_01水果!$F$4:$F$1203,$AE38)=0,"",INDEX(对接源_01水果!$F$4:$F$1203,$AE38)))</f>
        <v/>
      </c>
      <c r="D38" s="53" t="str">
        <f>IF($AE38="","",IF(INDEX(对接源_01水果!$G$4:$G$1203,$AE38)=0,"",INDEX(对接源_01水果!$G$4:$G$1203,$AE38)))</f>
        <v/>
      </c>
      <c r="E38" s="53" t="str">
        <f>IF($AE38="","",IF(INDEX(对接源_01水果!$H$4:$H$1203,$AE38)=0,"",INDEX(对接源_01水果!$H$4:$H$1203,$AE38)))</f>
        <v/>
      </c>
      <c r="F38" s="53" t="str">
        <f>IF($AE38="","",IF(INDEX(对接源_01水果!$I$4:$I$1203,$AE38)=0,"",INDEX(对接源_01水果!$I$4:$I$1203,$AE38)))</f>
        <v/>
      </c>
      <c r="G38" s="55" t="str">
        <f>IF($AE38="","",IF(INDEX(对接源_01水果!$Z$4:$Z$1203,$AE38)=0,"",INDEX(对接源_01水果!$Z$4:$Z$1203,$AE38)))</f>
        <v/>
      </c>
      <c r="H38" s="55" t="str">
        <f>IF($AE38="","",IF(INDEX(对接源_01水果!$AA$4:$AA$1203,$AE38)=0,"",INDEX(对接源_01水果!$AA$4:$AA$1203,$AE38)))</f>
        <v/>
      </c>
      <c r="I38" s="55" t="str">
        <f>IF($AE38="","",IF(INDEX(对接源_01水果!$AG$4:$AG$1203,$AE38)=0,"",INDEX(对接源_01水果!$AG$4:$AG$1203,$AE38)))</f>
        <v/>
      </c>
      <c r="J38" s="55" t="str">
        <f>IF($AE38="","",IF(INDEX(对接源_01水果!$AJ$4:$AJ$1203,$AE38)=0,"",INDEX(对接源_01水果!$AJ$4:$AJ$1203,$AE38)))</f>
        <v/>
      </c>
      <c r="K38" s="53" t="str">
        <f>IF($AE38="","",IF(INDEX(对接源_01水果!$AB$4:$AB$1203,$AE38)=0,"",INDEX(对接源_01水果!$AB$4:$AB$1203,$AE38)))</f>
        <v/>
      </c>
      <c r="L38" s="56" t="str">
        <f>IF($AE38="","",IF(INDEX(对接源_01水果!$M$4:$M$1203,$AE38)=0,"",INDEX(对接源_01水果!$M$4:$M$1203,$AE38)))</f>
        <v/>
      </c>
      <c r="AE38" s="2" t="str">
        <f>IFERROR(MATCH(33,_自动清单!$AM$4:$AM$2403,0),"")</f>
        <v/>
      </c>
    </row>
    <row r="39" ht="18" customHeight="1" spans="1:31">
      <c r="A39" s="53" t="str">
        <f>IF($AE39="","",IF(INDEX(对接源_01水果!$B$4:$B$1203,$AE39)=0,"",INDEX(对接源_01水果!$B$4:$B$1203,$AE39)))</f>
        <v/>
      </c>
      <c r="B39" s="53" t="str">
        <f>IF($AE39="","",IF(INDEX(对接源_01水果!$E$4:$E$1203,$AE39)=0,"",INDEX(对接源_01水果!$E$4:$E$1203,$AE39)))</f>
        <v/>
      </c>
      <c r="C39" s="53" t="str">
        <f>IF($AE39="","",IF(INDEX(对接源_01水果!$F$4:$F$1203,$AE39)=0,"",INDEX(对接源_01水果!$F$4:$F$1203,$AE39)))</f>
        <v/>
      </c>
      <c r="D39" s="53" t="str">
        <f>IF($AE39="","",IF(INDEX(对接源_01水果!$G$4:$G$1203,$AE39)=0,"",INDEX(对接源_01水果!$G$4:$G$1203,$AE39)))</f>
        <v/>
      </c>
      <c r="E39" s="53" t="str">
        <f>IF($AE39="","",IF(INDEX(对接源_01水果!$H$4:$H$1203,$AE39)=0,"",INDEX(对接源_01水果!$H$4:$H$1203,$AE39)))</f>
        <v/>
      </c>
      <c r="F39" s="53" t="str">
        <f>IF($AE39="","",IF(INDEX(对接源_01水果!$I$4:$I$1203,$AE39)=0,"",INDEX(对接源_01水果!$I$4:$I$1203,$AE39)))</f>
        <v/>
      </c>
      <c r="G39" s="55" t="str">
        <f>IF($AE39="","",IF(INDEX(对接源_01水果!$Z$4:$Z$1203,$AE39)=0,"",INDEX(对接源_01水果!$Z$4:$Z$1203,$AE39)))</f>
        <v/>
      </c>
      <c r="H39" s="55" t="str">
        <f>IF($AE39="","",IF(INDEX(对接源_01水果!$AA$4:$AA$1203,$AE39)=0,"",INDEX(对接源_01水果!$AA$4:$AA$1203,$AE39)))</f>
        <v/>
      </c>
      <c r="I39" s="55" t="str">
        <f>IF($AE39="","",IF(INDEX(对接源_01水果!$AG$4:$AG$1203,$AE39)=0,"",INDEX(对接源_01水果!$AG$4:$AG$1203,$AE39)))</f>
        <v/>
      </c>
      <c r="J39" s="55" t="str">
        <f>IF($AE39="","",IF(INDEX(对接源_01水果!$AJ$4:$AJ$1203,$AE39)=0,"",INDEX(对接源_01水果!$AJ$4:$AJ$1203,$AE39)))</f>
        <v/>
      </c>
      <c r="K39" s="53" t="str">
        <f>IF($AE39="","",IF(INDEX(对接源_01水果!$AB$4:$AB$1203,$AE39)=0,"",INDEX(对接源_01水果!$AB$4:$AB$1203,$AE39)))</f>
        <v/>
      </c>
      <c r="L39" s="56" t="str">
        <f>IF($AE39="","",IF(INDEX(对接源_01水果!$M$4:$M$1203,$AE39)=0,"",INDEX(对接源_01水果!$M$4:$M$1203,$AE39)))</f>
        <v/>
      </c>
      <c r="AE39" s="2" t="str">
        <f>IFERROR(MATCH(34,_自动清单!$AM$4:$AM$2403,0),"")</f>
        <v/>
      </c>
    </row>
    <row r="40" ht="18" customHeight="1" spans="1:31">
      <c r="A40" s="53" t="str">
        <f>IF($AE40="","",IF(INDEX(对接源_01水果!$B$4:$B$1203,$AE40)=0,"",INDEX(对接源_01水果!$B$4:$B$1203,$AE40)))</f>
        <v/>
      </c>
      <c r="B40" s="53" t="str">
        <f>IF($AE40="","",IF(INDEX(对接源_01水果!$E$4:$E$1203,$AE40)=0,"",INDEX(对接源_01水果!$E$4:$E$1203,$AE40)))</f>
        <v/>
      </c>
      <c r="C40" s="53" t="str">
        <f>IF($AE40="","",IF(INDEX(对接源_01水果!$F$4:$F$1203,$AE40)=0,"",INDEX(对接源_01水果!$F$4:$F$1203,$AE40)))</f>
        <v/>
      </c>
      <c r="D40" s="53" t="str">
        <f>IF($AE40="","",IF(INDEX(对接源_01水果!$G$4:$G$1203,$AE40)=0,"",INDEX(对接源_01水果!$G$4:$G$1203,$AE40)))</f>
        <v/>
      </c>
      <c r="E40" s="53" t="str">
        <f>IF($AE40="","",IF(INDEX(对接源_01水果!$H$4:$H$1203,$AE40)=0,"",INDEX(对接源_01水果!$H$4:$H$1203,$AE40)))</f>
        <v/>
      </c>
      <c r="F40" s="53" t="str">
        <f>IF($AE40="","",IF(INDEX(对接源_01水果!$I$4:$I$1203,$AE40)=0,"",INDEX(对接源_01水果!$I$4:$I$1203,$AE40)))</f>
        <v/>
      </c>
      <c r="G40" s="55" t="str">
        <f>IF($AE40="","",IF(INDEX(对接源_01水果!$Z$4:$Z$1203,$AE40)=0,"",INDEX(对接源_01水果!$Z$4:$Z$1203,$AE40)))</f>
        <v/>
      </c>
      <c r="H40" s="55" t="str">
        <f>IF($AE40="","",IF(INDEX(对接源_01水果!$AA$4:$AA$1203,$AE40)=0,"",INDEX(对接源_01水果!$AA$4:$AA$1203,$AE40)))</f>
        <v/>
      </c>
      <c r="I40" s="55" t="str">
        <f>IF($AE40="","",IF(INDEX(对接源_01水果!$AG$4:$AG$1203,$AE40)=0,"",INDEX(对接源_01水果!$AG$4:$AG$1203,$AE40)))</f>
        <v/>
      </c>
      <c r="J40" s="55" t="str">
        <f>IF($AE40="","",IF(INDEX(对接源_01水果!$AJ$4:$AJ$1203,$AE40)=0,"",INDEX(对接源_01水果!$AJ$4:$AJ$1203,$AE40)))</f>
        <v/>
      </c>
      <c r="K40" s="53" t="str">
        <f>IF($AE40="","",IF(INDEX(对接源_01水果!$AB$4:$AB$1203,$AE40)=0,"",INDEX(对接源_01水果!$AB$4:$AB$1203,$AE40)))</f>
        <v/>
      </c>
      <c r="L40" s="56" t="str">
        <f>IF($AE40="","",IF(INDEX(对接源_01水果!$M$4:$M$1203,$AE40)=0,"",INDEX(对接源_01水果!$M$4:$M$1203,$AE40)))</f>
        <v/>
      </c>
      <c r="AE40" s="2" t="str">
        <f>IFERROR(MATCH(35,_自动清单!$AM$4:$AM$2403,0),"")</f>
        <v/>
      </c>
    </row>
    <row r="41" ht="18" customHeight="1" spans="1:31">
      <c r="A41" s="53" t="str">
        <f>IF($AE41="","",IF(INDEX(对接源_01水果!$B$4:$B$1203,$AE41)=0,"",INDEX(对接源_01水果!$B$4:$B$1203,$AE41)))</f>
        <v/>
      </c>
      <c r="B41" s="53" t="str">
        <f>IF($AE41="","",IF(INDEX(对接源_01水果!$E$4:$E$1203,$AE41)=0,"",INDEX(对接源_01水果!$E$4:$E$1203,$AE41)))</f>
        <v/>
      </c>
      <c r="C41" s="53" t="str">
        <f>IF($AE41="","",IF(INDEX(对接源_01水果!$F$4:$F$1203,$AE41)=0,"",INDEX(对接源_01水果!$F$4:$F$1203,$AE41)))</f>
        <v/>
      </c>
      <c r="D41" s="53" t="str">
        <f>IF($AE41="","",IF(INDEX(对接源_01水果!$G$4:$G$1203,$AE41)=0,"",INDEX(对接源_01水果!$G$4:$G$1203,$AE41)))</f>
        <v/>
      </c>
      <c r="E41" s="53" t="str">
        <f>IF($AE41="","",IF(INDEX(对接源_01水果!$H$4:$H$1203,$AE41)=0,"",INDEX(对接源_01水果!$H$4:$H$1203,$AE41)))</f>
        <v/>
      </c>
      <c r="F41" s="53" t="str">
        <f>IF($AE41="","",IF(INDEX(对接源_01水果!$I$4:$I$1203,$AE41)=0,"",INDEX(对接源_01水果!$I$4:$I$1203,$AE41)))</f>
        <v/>
      </c>
      <c r="G41" s="55" t="str">
        <f>IF($AE41="","",IF(INDEX(对接源_01水果!$Z$4:$Z$1203,$AE41)=0,"",INDEX(对接源_01水果!$Z$4:$Z$1203,$AE41)))</f>
        <v/>
      </c>
      <c r="H41" s="55" t="str">
        <f>IF($AE41="","",IF(INDEX(对接源_01水果!$AA$4:$AA$1203,$AE41)=0,"",INDEX(对接源_01水果!$AA$4:$AA$1203,$AE41)))</f>
        <v/>
      </c>
      <c r="I41" s="55" t="str">
        <f>IF($AE41="","",IF(INDEX(对接源_01水果!$AG$4:$AG$1203,$AE41)=0,"",INDEX(对接源_01水果!$AG$4:$AG$1203,$AE41)))</f>
        <v/>
      </c>
      <c r="J41" s="55" t="str">
        <f>IF($AE41="","",IF(INDEX(对接源_01水果!$AJ$4:$AJ$1203,$AE41)=0,"",INDEX(对接源_01水果!$AJ$4:$AJ$1203,$AE41)))</f>
        <v/>
      </c>
      <c r="K41" s="53" t="str">
        <f>IF($AE41="","",IF(INDEX(对接源_01水果!$AB$4:$AB$1203,$AE41)=0,"",INDEX(对接源_01水果!$AB$4:$AB$1203,$AE41)))</f>
        <v/>
      </c>
      <c r="L41" s="56" t="str">
        <f>IF($AE41="","",IF(INDEX(对接源_01水果!$M$4:$M$1203,$AE41)=0,"",INDEX(对接源_01水果!$M$4:$M$1203,$AE41)))</f>
        <v/>
      </c>
      <c r="AE41" s="2" t="str">
        <f>IFERROR(MATCH(36,_自动清单!$AM$4:$AM$2403,0),"")</f>
        <v/>
      </c>
    </row>
    <row r="42" ht="18" customHeight="1" spans="1:31">
      <c r="A42" s="53" t="str">
        <f>IF($AE42="","",IF(INDEX(对接源_01水果!$B$4:$B$1203,$AE42)=0,"",INDEX(对接源_01水果!$B$4:$B$1203,$AE42)))</f>
        <v/>
      </c>
      <c r="B42" s="53" t="str">
        <f>IF($AE42="","",IF(INDEX(对接源_01水果!$E$4:$E$1203,$AE42)=0,"",INDEX(对接源_01水果!$E$4:$E$1203,$AE42)))</f>
        <v/>
      </c>
      <c r="C42" s="53" t="str">
        <f>IF($AE42="","",IF(INDEX(对接源_01水果!$F$4:$F$1203,$AE42)=0,"",INDEX(对接源_01水果!$F$4:$F$1203,$AE42)))</f>
        <v/>
      </c>
      <c r="D42" s="53" t="str">
        <f>IF($AE42="","",IF(INDEX(对接源_01水果!$G$4:$G$1203,$AE42)=0,"",INDEX(对接源_01水果!$G$4:$G$1203,$AE42)))</f>
        <v/>
      </c>
      <c r="E42" s="53" t="str">
        <f>IF($AE42="","",IF(INDEX(对接源_01水果!$H$4:$H$1203,$AE42)=0,"",INDEX(对接源_01水果!$H$4:$H$1203,$AE42)))</f>
        <v/>
      </c>
      <c r="F42" s="53" t="str">
        <f>IF($AE42="","",IF(INDEX(对接源_01水果!$I$4:$I$1203,$AE42)=0,"",INDEX(对接源_01水果!$I$4:$I$1203,$AE42)))</f>
        <v/>
      </c>
      <c r="G42" s="55" t="str">
        <f>IF($AE42="","",IF(INDEX(对接源_01水果!$Z$4:$Z$1203,$AE42)=0,"",INDEX(对接源_01水果!$Z$4:$Z$1203,$AE42)))</f>
        <v/>
      </c>
      <c r="H42" s="55" t="str">
        <f>IF($AE42="","",IF(INDEX(对接源_01水果!$AA$4:$AA$1203,$AE42)=0,"",INDEX(对接源_01水果!$AA$4:$AA$1203,$AE42)))</f>
        <v/>
      </c>
      <c r="I42" s="55" t="str">
        <f>IF($AE42="","",IF(INDEX(对接源_01水果!$AG$4:$AG$1203,$AE42)=0,"",INDEX(对接源_01水果!$AG$4:$AG$1203,$AE42)))</f>
        <v/>
      </c>
      <c r="J42" s="55" t="str">
        <f>IF($AE42="","",IF(INDEX(对接源_01水果!$AJ$4:$AJ$1203,$AE42)=0,"",INDEX(对接源_01水果!$AJ$4:$AJ$1203,$AE42)))</f>
        <v/>
      </c>
      <c r="K42" s="53" t="str">
        <f>IF($AE42="","",IF(INDEX(对接源_01水果!$AB$4:$AB$1203,$AE42)=0,"",INDEX(对接源_01水果!$AB$4:$AB$1203,$AE42)))</f>
        <v/>
      </c>
      <c r="L42" s="56" t="str">
        <f>IF($AE42="","",IF(INDEX(对接源_01水果!$M$4:$M$1203,$AE42)=0,"",INDEX(对接源_01水果!$M$4:$M$1203,$AE42)))</f>
        <v/>
      </c>
      <c r="AE42" s="2" t="str">
        <f>IFERROR(MATCH(37,_自动清单!$AM$4:$AM$2403,0),"")</f>
        <v/>
      </c>
    </row>
    <row r="43" ht="18" customHeight="1" spans="1:31">
      <c r="A43" s="53" t="str">
        <f>IF($AE43="","",IF(INDEX(对接源_01水果!$B$4:$B$1203,$AE43)=0,"",INDEX(对接源_01水果!$B$4:$B$1203,$AE43)))</f>
        <v/>
      </c>
      <c r="B43" s="53" t="str">
        <f>IF($AE43="","",IF(INDEX(对接源_01水果!$E$4:$E$1203,$AE43)=0,"",INDEX(对接源_01水果!$E$4:$E$1203,$AE43)))</f>
        <v/>
      </c>
      <c r="C43" s="53" t="str">
        <f>IF($AE43="","",IF(INDEX(对接源_01水果!$F$4:$F$1203,$AE43)=0,"",INDEX(对接源_01水果!$F$4:$F$1203,$AE43)))</f>
        <v/>
      </c>
      <c r="D43" s="53" t="str">
        <f>IF($AE43="","",IF(INDEX(对接源_01水果!$G$4:$G$1203,$AE43)=0,"",INDEX(对接源_01水果!$G$4:$G$1203,$AE43)))</f>
        <v/>
      </c>
      <c r="E43" s="53" t="str">
        <f>IF($AE43="","",IF(INDEX(对接源_01水果!$H$4:$H$1203,$AE43)=0,"",INDEX(对接源_01水果!$H$4:$H$1203,$AE43)))</f>
        <v/>
      </c>
      <c r="F43" s="53" t="str">
        <f>IF($AE43="","",IF(INDEX(对接源_01水果!$I$4:$I$1203,$AE43)=0,"",INDEX(对接源_01水果!$I$4:$I$1203,$AE43)))</f>
        <v/>
      </c>
      <c r="G43" s="55" t="str">
        <f>IF($AE43="","",IF(INDEX(对接源_01水果!$Z$4:$Z$1203,$AE43)=0,"",INDEX(对接源_01水果!$Z$4:$Z$1203,$AE43)))</f>
        <v/>
      </c>
      <c r="H43" s="55" t="str">
        <f>IF($AE43="","",IF(INDEX(对接源_01水果!$AA$4:$AA$1203,$AE43)=0,"",INDEX(对接源_01水果!$AA$4:$AA$1203,$AE43)))</f>
        <v/>
      </c>
      <c r="I43" s="55" t="str">
        <f>IF($AE43="","",IF(INDEX(对接源_01水果!$AG$4:$AG$1203,$AE43)=0,"",INDEX(对接源_01水果!$AG$4:$AG$1203,$AE43)))</f>
        <v/>
      </c>
      <c r="J43" s="55" t="str">
        <f>IF($AE43="","",IF(INDEX(对接源_01水果!$AJ$4:$AJ$1203,$AE43)=0,"",INDEX(对接源_01水果!$AJ$4:$AJ$1203,$AE43)))</f>
        <v/>
      </c>
      <c r="K43" s="53" t="str">
        <f>IF($AE43="","",IF(INDEX(对接源_01水果!$AB$4:$AB$1203,$AE43)=0,"",INDEX(对接源_01水果!$AB$4:$AB$1203,$AE43)))</f>
        <v/>
      </c>
      <c r="L43" s="56" t="str">
        <f>IF($AE43="","",IF(INDEX(对接源_01水果!$M$4:$M$1203,$AE43)=0,"",INDEX(对接源_01水果!$M$4:$M$1203,$AE43)))</f>
        <v/>
      </c>
      <c r="AE43" s="2" t="str">
        <f>IFERROR(MATCH(38,_自动清单!$AM$4:$AM$2403,0),"")</f>
        <v/>
      </c>
    </row>
    <row r="44" ht="18" customHeight="1" spans="1:31">
      <c r="A44" s="53" t="str">
        <f>IF($AE44="","",IF(INDEX(对接源_01水果!$B$4:$B$1203,$AE44)=0,"",INDEX(对接源_01水果!$B$4:$B$1203,$AE44)))</f>
        <v/>
      </c>
      <c r="B44" s="53" t="str">
        <f>IF($AE44="","",IF(INDEX(对接源_01水果!$E$4:$E$1203,$AE44)=0,"",INDEX(对接源_01水果!$E$4:$E$1203,$AE44)))</f>
        <v/>
      </c>
      <c r="C44" s="53" t="str">
        <f>IF($AE44="","",IF(INDEX(对接源_01水果!$F$4:$F$1203,$AE44)=0,"",INDEX(对接源_01水果!$F$4:$F$1203,$AE44)))</f>
        <v/>
      </c>
      <c r="D44" s="53" t="str">
        <f>IF($AE44="","",IF(INDEX(对接源_01水果!$G$4:$G$1203,$AE44)=0,"",INDEX(对接源_01水果!$G$4:$G$1203,$AE44)))</f>
        <v/>
      </c>
      <c r="E44" s="53" t="str">
        <f>IF($AE44="","",IF(INDEX(对接源_01水果!$H$4:$H$1203,$AE44)=0,"",INDEX(对接源_01水果!$H$4:$H$1203,$AE44)))</f>
        <v/>
      </c>
      <c r="F44" s="53" t="str">
        <f>IF($AE44="","",IF(INDEX(对接源_01水果!$I$4:$I$1203,$AE44)=0,"",INDEX(对接源_01水果!$I$4:$I$1203,$AE44)))</f>
        <v/>
      </c>
      <c r="G44" s="55" t="str">
        <f>IF($AE44="","",IF(INDEX(对接源_01水果!$Z$4:$Z$1203,$AE44)=0,"",INDEX(对接源_01水果!$Z$4:$Z$1203,$AE44)))</f>
        <v/>
      </c>
      <c r="H44" s="55" t="str">
        <f>IF($AE44="","",IF(INDEX(对接源_01水果!$AA$4:$AA$1203,$AE44)=0,"",INDEX(对接源_01水果!$AA$4:$AA$1203,$AE44)))</f>
        <v/>
      </c>
      <c r="I44" s="55" t="str">
        <f>IF($AE44="","",IF(INDEX(对接源_01水果!$AG$4:$AG$1203,$AE44)=0,"",INDEX(对接源_01水果!$AG$4:$AG$1203,$AE44)))</f>
        <v/>
      </c>
      <c r="J44" s="55" t="str">
        <f>IF($AE44="","",IF(INDEX(对接源_01水果!$AJ$4:$AJ$1203,$AE44)=0,"",INDEX(对接源_01水果!$AJ$4:$AJ$1203,$AE44)))</f>
        <v/>
      </c>
      <c r="K44" s="53" t="str">
        <f>IF($AE44="","",IF(INDEX(对接源_01水果!$AB$4:$AB$1203,$AE44)=0,"",INDEX(对接源_01水果!$AB$4:$AB$1203,$AE44)))</f>
        <v/>
      </c>
      <c r="L44" s="56" t="str">
        <f>IF($AE44="","",IF(INDEX(对接源_01水果!$M$4:$M$1203,$AE44)=0,"",INDEX(对接源_01水果!$M$4:$M$1203,$AE44)))</f>
        <v/>
      </c>
      <c r="AE44" s="2" t="str">
        <f>IFERROR(MATCH(39,_自动清单!$AM$4:$AM$2403,0),"")</f>
        <v/>
      </c>
    </row>
    <row r="45" ht="18" customHeight="1" spans="1:31">
      <c r="A45" s="53" t="str">
        <f>IF($AE45="","",IF(INDEX(对接源_01水果!$B$4:$B$1203,$AE45)=0,"",INDEX(对接源_01水果!$B$4:$B$1203,$AE45)))</f>
        <v/>
      </c>
      <c r="B45" s="53" t="str">
        <f>IF($AE45="","",IF(INDEX(对接源_01水果!$E$4:$E$1203,$AE45)=0,"",INDEX(对接源_01水果!$E$4:$E$1203,$AE45)))</f>
        <v/>
      </c>
      <c r="C45" s="53" t="str">
        <f>IF($AE45="","",IF(INDEX(对接源_01水果!$F$4:$F$1203,$AE45)=0,"",INDEX(对接源_01水果!$F$4:$F$1203,$AE45)))</f>
        <v/>
      </c>
      <c r="D45" s="53" t="str">
        <f>IF($AE45="","",IF(INDEX(对接源_01水果!$G$4:$G$1203,$AE45)=0,"",INDEX(对接源_01水果!$G$4:$G$1203,$AE45)))</f>
        <v/>
      </c>
      <c r="E45" s="53" t="str">
        <f>IF($AE45="","",IF(INDEX(对接源_01水果!$H$4:$H$1203,$AE45)=0,"",INDEX(对接源_01水果!$H$4:$H$1203,$AE45)))</f>
        <v/>
      </c>
      <c r="F45" s="53" t="str">
        <f>IF($AE45="","",IF(INDEX(对接源_01水果!$I$4:$I$1203,$AE45)=0,"",INDEX(对接源_01水果!$I$4:$I$1203,$AE45)))</f>
        <v/>
      </c>
      <c r="G45" s="55" t="str">
        <f>IF($AE45="","",IF(INDEX(对接源_01水果!$Z$4:$Z$1203,$AE45)=0,"",INDEX(对接源_01水果!$Z$4:$Z$1203,$AE45)))</f>
        <v/>
      </c>
      <c r="H45" s="55" t="str">
        <f>IF($AE45="","",IF(INDEX(对接源_01水果!$AA$4:$AA$1203,$AE45)=0,"",INDEX(对接源_01水果!$AA$4:$AA$1203,$AE45)))</f>
        <v/>
      </c>
      <c r="I45" s="55" t="str">
        <f>IF($AE45="","",IF(INDEX(对接源_01水果!$AG$4:$AG$1203,$AE45)=0,"",INDEX(对接源_01水果!$AG$4:$AG$1203,$AE45)))</f>
        <v/>
      </c>
      <c r="J45" s="55" t="str">
        <f>IF($AE45="","",IF(INDEX(对接源_01水果!$AJ$4:$AJ$1203,$AE45)=0,"",INDEX(对接源_01水果!$AJ$4:$AJ$1203,$AE45)))</f>
        <v/>
      </c>
      <c r="K45" s="53" t="str">
        <f>IF($AE45="","",IF(INDEX(对接源_01水果!$AB$4:$AB$1203,$AE45)=0,"",INDEX(对接源_01水果!$AB$4:$AB$1203,$AE45)))</f>
        <v/>
      </c>
      <c r="L45" s="56" t="str">
        <f>IF($AE45="","",IF(INDEX(对接源_01水果!$M$4:$M$1203,$AE45)=0,"",INDEX(对接源_01水果!$M$4:$M$1203,$AE45)))</f>
        <v/>
      </c>
      <c r="AE45" s="2" t="str">
        <f>IFERROR(MATCH(40,_自动清单!$AM$4:$AM$2403,0),"")</f>
        <v/>
      </c>
    </row>
    <row r="46" ht="18" customHeight="1" spans="1:31">
      <c r="A46" s="53" t="str">
        <f>IF($AE46="","",IF(INDEX(对接源_01水果!$B$4:$B$1203,$AE46)=0,"",INDEX(对接源_01水果!$B$4:$B$1203,$AE46)))</f>
        <v/>
      </c>
      <c r="B46" s="53" t="str">
        <f>IF($AE46="","",IF(INDEX(对接源_01水果!$E$4:$E$1203,$AE46)=0,"",INDEX(对接源_01水果!$E$4:$E$1203,$AE46)))</f>
        <v/>
      </c>
      <c r="C46" s="53" t="str">
        <f>IF($AE46="","",IF(INDEX(对接源_01水果!$F$4:$F$1203,$AE46)=0,"",INDEX(对接源_01水果!$F$4:$F$1203,$AE46)))</f>
        <v/>
      </c>
      <c r="D46" s="53" t="str">
        <f>IF($AE46="","",IF(INDEX(对接源_01水果!$G$4:$G$1203,$AE46)=0,"",INDEX(对接源_01水果!$G$4:$G$1203,$AE46)))</f>
        <v/>
      </c>
      <c r="E46" s="53" t="str">
        <f>IF($AE46="","",IF(INDEX(对接源_01水果!$H$4:$H$1203,$AE46)=0,"",INDEX(对接源_01水果!$H$4:$H$1203,$AE46)))</f>
        <v/>
      </c>
      <c r="F46" s="53" t="str">
        <f>IF($AE46="","",IF(INDEX(对接源_01水果!$I$4:$I$1203,$AE46)=0,"",INDEX(对接源_01水果!$I$4:$I$1203,$AE46)))</f>
        <v/>
      </c>
      <c r="G46" s="55" t="str">
        <f>IF($AE46="","",IF(INDEX(对接源_01水果!$Z$4:$Z$1203,$AE46)=0,"",INDEX(对接源_01水果!$Z$4:$Z$1203,$AE46)))</f>
        <v/>
      </c>
      <c r="H46" s="55" t="str">
        <f>IF($AE46="","",IF(INDEX(对接源_01水果!$AA$4:$AA$1203,$AE46)=0,"",INDEX(对接源_01水果!$AA$4:$AA$1203,$AE46)))</f>
        <v/>
      </c>
      <c r="I46" s="55" t="str">
        <f>IF($AE46="","",IF(INDEX(对接源_01水果!$AG$4:$AG$1203,$AE46)=0,"",INDEX(对接源_01水果!$AG$4:$AG$1203,$AE46)))</f>
        <v/>
      </c>
      <c r="J46" s="55" t="str">
        <f>IF($AE46="","",IF(INDEX(对接源_01水果!$AJ$4:$AJ$1203,$AE46)=0,"",INDEX(对接源_01水果!$AJ$4:$AJ$1203,$AE46)))</f>
        <v/>
      </c>
      <c r="K46" s="53" t="str">
        <f>IF($AE46="","",IF(INDEX(对接源_01水果!$AB$4:$AB$1203,$AE46)=0,"",INDEX(对接源_01水果!$AB$4:$AB$1203,$AE46)))</f>
        <v/>
      </c>
      <c r="L46" s="56" t="str">
        <f>IF($AE46="","",IF(INDEX(对接源_01水果!$M$4:$M$1203,$AE46)=0,"",INDEX(对接源_01水果!$M$4:$M$1203,$AE46)))</f>
        <v/>
      </c>
      <c r="AE46" s="2" t="str">
        <f>IFERROR(MATCH(41,_自动清单!$AM$4:$AM$2403,0),"")</f>
        <v/>
      </c>
    </row>
    <row r="47" ht="18" customHeight="1" spans="1:31">
      <c r="A47" s="53" t="str">
        <f>IF($AE47="","",IF(INDEX(对接源_01水果!$B$4:$B$1203,$AE47)=0,"",INDEX(对接源_01水果!$B$4:$B$1203,$AE47)))</f>
        <v/>
      </c>
      <c r="B47" s="53" t="str">
        <f>IF($AE47="","",IF(INDEX(对接源_01水果!$E$4:$E$1203,$AE47)=0,"",INDEX(对接源_01水果!$E$4:$E$1203,$AE47)))</f>
        <v/>
      </c>
      <c r="C47" s="53" t="str">
        <f>IF($AE47="","",IF(INDEX(对接源_01水果!$F$4:$F$1203,$AE47)=0,"",INDEX(对接源_01水果!$F$4:$F$1203,$AE47)))</f>
        <v/>
      </c>
      <c r="D47" s="53" t="str">
        <f>IF($AE47="","",IF(INDEX(对接源_01水果!$G$4:$G$1203,$AE47)=0,"",INDEX(对接源_01水果!$G$4:$G$1203,$AE47)))</f>
        <v/>
      </c>
      <c r="E47" s="53" t="str">
        <f>IF($AE47="","",IF(INDEX(对接源_01水果!$H$4:$H$1203,$AE47)=0,"",INDEX(对接源_01水果!$H$4:$H$1203,$AE47)))</f>
        <v/>
      </c>
      <c r="F47" s="53" t="str">
        <f>IF($AE47="","",IF(INDEX(对接源_01水果!$I$4:$I$1203,$AE47)=0,"",INDEX(对接源_01水果!$I$4:$I$1203,$AE47)))</f>
        <v/>
      </c>
      <c r="G47" s="55" t="str">
        <f>IF($AE47="","",IF(INDEX(对接源_01水果!$Z$4:$Z$1203,$AE47)=0,"",INDEX(对接源_01水果!$Z$4:$Z$1203,$AE47)))</f>
        <v/>
      </c>
      <c r="H47" s="55" t="str">
        <f>IF($AE47="","",IF(INDEX(对接源_01水果!$AA$4:$AA$1203,$AE47)=0,"",INDEX(对接源_01水果!$AA$4:$AA$1203,$AE47)))</f>
        <v/>
      </c>
      <c r="I47" s="55" t="str">
        <f>IF($AE47="","",IF(INDEX(对接源_01水果!$AG$4:$AG$1203,$AE47)=0,"",INDEX(对接源_01水果!$AG$4:$AG$1203,$AE47)))</f>
        <v/>
      </c>
      <c r="J47" s="55" t="str">
        <f>IF($AE47="","",IF(INDEX(对接源_01水果!$AJ$4:$AJ$1203,$AE47)=0,"",INDEX(对接源_01水果!$AJ$4:$AJ$1203,$AE47)))</f>
        <v/>
      </c>
      <c r="K47" s="53" t="str">
        <f>IF($AE47="","",IF(INDEX(对接源_01水果!$AB$4:$AB$1203,$AE47)=0,"",INDEX(对接源_01水果!$AB$4:$AB$1203,$AE47)))</f>
        <v/>
      </c>
      <c r="L47" s="56" t="str">
        <f>IF($AE47="","",IF(INDEX(对接源_01水果!$M$4:$M$1203,$AE47)=0,"",INDEX(对接源_01水果!$M$4:$M$1203,$AE47)))</f>
        <v/>
      </c>
      <c r="AE47" s="2" t="str">
        <f>IFERROR(MATCH(42,_自动清单!$AM$4:$AM$2403,0),"")</f>
        <v/>
      </c>
    </row>
    <row r="48" ht="18" customHeight="1" spans="1:31">
      <c r="A48" s="53" t="str">
        <f>IF($AE48="","",IF(INDEX(对接源_01水果!$B$4:$B$1203,$AE48)=0,"",INDEX(对接源_01水果!$B$4:$B$1203,$AE48)))</f>
        <v/>
      </c>
      <c r="B48" s="53" t="str">
        <f>IF($AE48="","",IF(INDEX(对接源_01水果!$E$4:$E$1203,$AE48)=0,"",INDEX(对接源_01水果!$E$4:$E$1203,$AE48)))</f>
        <v/>
      </c>
      <c r="C48" s="53" t="str">
        <f>IF($AE48="","",IF(INDEX(对接源_01水果!$F$4:$F$1203,$AE48)=0,"",INDEX(对接源_01水果!$F$4:$F$1203,$AE48)))</f>
        <v/>
      </c>
      <c r="D48" s="53" t="str">
        <f>IF($AE48="","",IF(INDEX(对接源_01水果!$G$4:$G$1203,$AE48)=0,"",INDEX(对接源_01水果!$G$4:$G$1203,$AE48)))</f>
        <v/>
      </c>
      <c r="E48" s="53" t="str">
        <f>IF($AE48="","",IF(INDEX(对接源_01水果!$H$4:$H$1203,$AE48)=0,"",INDEX(对接源_01水果!$H$4:$H$1203,$AE48)))</f>
        <v/>
      </c>
      <c r="F48" s="53" t="str">
        <f>IF($AE48="","",IF(INDEX(对接源_01水果!$I$4:$I$1203,$AE48)=0,"",INDEX(对接源_01水果!$I$4:$I$1203,$AE48)))</f>
        <v/>
      </c>
      <c r="G48" s="55" t="str">
        <f>IF($AE48="","",IF(INDEX(对接源_01水果!$Z$4:$Z$1203,$AE48)=0,"",INDEX(对接源_01水果!$Z$4:$Z$1203,$AE48)))</f>
        <v/>
      </c>
      <c r="H48" s="55" t="str">
        <f>IF($AE48="","",IF(INDEX(对接源_01水果!$AA$4:$AA$1203,$AE48)=0,"",INDEX(对接源_01水果!$AA$4:$AA$1203,$AE48)))</f>
        <v/>
      </c>
      <c r="I48" s="55" t="str">
        <f>IF($AE48="","",IF(INDEX(对接源_01水果!$AG$4:$AG$1203,$AE48)=0,"",INDEX(对接源_01水果!$AG$4:$AG$1203,$AE48)))</f>
        <v/>
      </c>
      <c r="J48" s="55" t="str">
        <f>IF($AE48="","",IF(INDEX(对接源_01水果!$AJ$4:$AJ$1203,$AE48)=0,"",INDEX(对接源_01水果!$AJ$4:$AJ$1203,$AE48)))</f>
        <v/>
      </c>
      <c r="K48" s="53" t="str">
        <f>IF($AE48="","",IF(INDEX(对接源_01水果!$AB$4:$AB$1203,$AE48)=0,"",INDEX(对接源_01水果!$AB$4:$AB$1203,$AE48)))</f>
        <v/>
      </c>
      <c r="L48" s="56" t="str">
        <f>IF($AE48="","",IF(INDEX(对接源_01水果!$M$4:$M$1203,$AE48)=0,"",INDEX(对接源_01水果!$M$4:$M$1203,$AE48)))</f>
        <v/>
      </c>
      <c r="AE48" s="2" t="str">
        <f>IFERROR(MATCH(43,_自动清单!$AM$4:$AM$2403,0),"")</f>
        <v/>
      </c>
    </row>
    <row r="49" ht="18" customHeight="1" spans="1:31">
      <c r="A49" s="53" t="str">
        <f>IF($AE49="","",IF(INDEX(对接源_01水果!$B$4:$B$1203,$AE49)=0,"",INDEX(对接源_01水果!$B$4:$B$1203,$AE49)))</f>
        <v/>
      </c>
      <c r="B49" s="53" t="str">
        <f>IF($AE49="","",IF(INDEX(对接源_01水果!$E$4:$E$1203,$AE49)=0,"",INDEX(对接源_01水果!$E$4:$E$1203,$AE49)))</f>
        <v/>
      </c>
      <c r="C49" s="53" t="str">
        <f>IF($AE49="","",IF(INDEX(对接源_01水果!$F$4:$F$1203,$AE49)=0,"",INDEX(对接源_01水果!$F$4:$F$1203,$AE49)))</f>
        <v/>
      </c>
      <c r="D49" s="53" t="str">
        <f>IF($AE49="","",IF(INDEX(对接源_01水果!$G$4:$G$1203,$AE49)=0,"",INDEX(对接源_01水果!$G$4:$G$1203,$AE49)))</f>
        <v/>
      </c>
      <c r="E49" s="53" t="str">
        <f>IF($AE49="","",IF(INDEX(对接源_01水果!$H$4:$H$1203,$AE49)=0,"",INDEX(对接源_01水果!$H$4:$H$1203,$AE49)))</f>
        <v/>
      </c>
      <c r="F49" s="53" t="str">
        <f>IF($AE49="","",IF(INDEX(对接源_01水果!$I$4:$I$1203,$AE49)=0,"",INDEX(对接源_01水果!$I$4:$I$1203,$AE49)))</f>
        <v/>
      </c>
      <c r="G49" s="55" t="str">
        <f>IF($AE49="","",IF(INDEX(对接源_01水果!$Z$4:$Z$1203,$AE49)=0,"",INDEX(对接源_01水果!$Z$4:$Z$1203,$AE49)))</f>
        <v/>
      </c>
      <c r="H49" s="55" t="str">
        <f>IF($AE49="","",IF(INDEX(对接源_01水果!$AA$4:$AA$1203,$AE49)=0,"",INDEX(对接源_01水果!$AA$4:$AA$1203,$AE49)))</f>
        <v/>
      </c>
      <c r="I49" s="55" t="str">
        <f>IF($AE49="","",IF(INDEX(对接源_01水果!$AG$4:$AG$1203,$AE49)=0,"",INDEX(对接源_01水果!$AG$4:$AG$1203,$AE49)))</f>
        <v/>
      </c>
      <c r="J49" s="55" t="str">
        <f>IF($AE49="","",IF(INDEX(对接源_01水果!$AJ$4:$AJ$1203,$AE49)=0,"",INDEX(对接源_01水果!$AJ$4:$AJ$1203,$AE49)))</f>
        <v/>
      </c>
      <c r="K49" s="53" t="str">
        <f>IF($AE49="","",IF(INDEX(对接源_01水果!$AB$4:$AB$1203,$AE49)=0,"",INDEX(对接源_01水果!$AB$4:$AB$1203,$AE49)))</f>
        <v/>
      </c>
      <c r="L49" s="56" t="str">
        <f>IF($AE49="","",IF(INDEX(对接源_01水果!$M$4:$M$1203,$AE49)=0,"",INDEX(对接源_01水果!$M$4:$M$1203,$AE49)))</f>
        <v/>
      </c>
      <c r="AE49" s="2" t="str">
        <f>IFERROR(MATCH(44,_自动清单!$AM$4:$AM$2403,0),"")</f>
        <v/>
      </c>
    </row>
    <row r="50" ht="18" customHeight="1" spans="1:31">
      <c r="A50" s="53" t="str">
        <f>IF($AE50="","",IF(INDEX(对接源_01水果!$B$4:$B$1203,$AE50)=0,"",INDEX(对接源_01水果!$B$4:$B$1203,$AE50)))</f>
        <v/>
      </c>
      <c r="B50" s="53" t="str">
        <f>IF($AE50="","",IF(INDEX(对接源_01水果!$E$4:$E$1203,$AE50)=0,"",INDEX(对接源_01水果!$E$4:$E$1203,$AE50)))</f>
        <v/>
      </c>
      <c r="C50" s="53" t="str">
        <f>IF($AE50="","",IF(INDEX(对接源_01水果!$F$4:$F$1203,$AE50)=0,"",INDEX(对接源_01水果!$F$4:$F$1203,$AE50)))</f>
        <v/>
      </c>
      <c r="D50" s="53" t="str">
        <f>IF($AE50="","",IF(INDEX(对接源_01水果!$G$4:$G$1203,$AE50)=0,"",INDEX(对接源_01水果!$G$4:$G$1203,$AE50)))</f>
        <v/>
      </c>
      <c r="E50" s="53" t="str">
        <f>IF($AE50="","",IF(INDEX(对接源_01水果!$H$4:$H$1203,$AE50)=0,"",INDEX(对接源_01水果!$H$4:$H$1203,$AE50)))</f>
        <v/>
      </c>
      <c r="F50" s="53" t="str">
        <f>IF($AE50="","",IF(INDEX(对接源_01水果!$I$4:$I$1203,$AE50)=0,"",INDEX(对接源_01水果!$I$4:$I$1203,$AE50)))</f>
        <v/>
      </c>
      <c r="G50" s="55" t="str">
        <f>IF($AE50="","",IF(INDEX(对接源_01水果!$Z$4:$Z$1203,$AE50)=0,"",INDEX(对接源_01水果!$Z$4:$Z$1203,$AE50)))</f>
        <v/>
      </c>
      <c r="H50" s="55" t="str">
        <f>IF($AE50="","",IF(INDEX(对接源_01水果!$AA$4:$AA$1203,$AE50)=0,"",INDEX(对接源_01水果!$AA$4:$AA$1203,$AE50)))</f>
        <v/>
      </c>
      <c r="I50" s="55" t="str">
        <f>IF($AE50="","",IF(INDEX(对接源_01水果!$AG$4:$AG$1203,$AE50)=0,"",INDEX(对接源_01水果!$AG$4:$AG$1203,$AE50)))</f>
        <v/>
      </c>
      <c r="J50" s="55" t="str">
        <f>IF($AE50="","",IF(INDEX(对接源_01水果!$AJ$4:$AJ$1203,$AE50)=0,"",INDEX(对接源_01水果!$AJ$4:$AJ$1203,$AE50)))</f>
        <v/>
      </c>
      <c r="K50" s="53" t="str">
        <f>IF($AE50="","",IF(INDEX(对接源_01水果!$AB$4:$AB$1203,$AE50)=0,"",INDEX(对接源_01水果!$AB$4:$AB$1203,$AE50)))</f>
        <v/>
      </c>
      <c r="L50" s="56" t="str">
        <f>IF($AE50="","",IF(INDEX(对接源_01水果!$M$4:$M$1203,$AE50)=0,"",INDEX(对接源_01水果!$M$4:$M$1203,$AE50)))</f>
        <v/>
      </c>
      <c r="AE50" s="2" t="str">
        <f>IFERROR(MATCH(45,_自动清单!$AM$4:$AM$2403,0),"")</f>
        <v/>
      </c>
    </row>
    <row r="51" ht="18" customHeight="1" spans="1:31">
      <c r="A51" s="53" t="str">
        <f>IF($AE51="","",IF(INDEX(对接源_01水果!$B$4:$B$1203,$AE51)=0,"",INDEX(对接源_01水果!$B$4:$B$1203,$AE51)))</f>
        <v/>
      </c>
      <c r="B51" s="53" t="str">
        <f>IF($AE51="","",IF(INDEX(对接源_01水果!$E$4:$E$1203,$AE51)=0,"",INDEX(对接源_01水果!$E$4:$E$1203,$AE51)))</f>
        <v/>
      </c>
      <c r="C51" s="53" t="str">
        <f>IF($AE51="","",IF(INDEX(对接源_01水果!$F$4:$F$1203,$AE51)=0,"",INDEX(对接源_01水果!$F$4:$F$1203,$AE51)))</f>
        <v/>
      </c>
      <c r="D51" s="53" t="str">
        <f>IF($AE51="","",IF(INDEX(对接源_01水果!$G$4:$G$1203,$AE51)=0,"",INDEX(对接源_01水果!$G$4:$G$1203,$AE51)))</f>
        <v/>
      </c>
      <c r="E51" s="53" t="str">
        <f>IF($AE51="","",IF(INDEX(对接源_01水果!$H$4:$H$1203,$AE51)=0,"",INDEX(对接源_01水果!$H$4:$H$1203,$AE51)))</f>
        <v/>
      </c>
      <c r="F51" s="53" t="str">
        <f>IF($AE51="","",IF(INDEX(对接源_01水果!$I$4:$I$1203,$AE51)=0,"",INDEX(对接源_01水果!$I$4:$I$1203,$AE51)))</f>
        <v/>
      </c>
      <c r="G51" s="55" t="str">
        <f>IF($AE51="","",IF(INDEX(对接源_01水果!$Z$4:$Z$1203,$AE51)=0,"",INDEX(对接源_01水果!$Z$4:$Z$1203,$AE51)))</f>
        <v/>
      </c>
      <c r="H51" s="55" t="str">
        <f>IF($AE51="","",IF(INDEX(对接源_01水果!$AA$4:$AA$1203,$AE51)=0,"",INDEX(对接源_01水果!$AA$4:$AA$1203,$AE51)))</f>
        <v/>
      </c>
      <c r="I51" s="55" t="str">
        <f>IF($AE51="","",IF(INDEX(对接源_01水果!$AG$4:$AG$1203,$AE51)=0,"",INDEX(对接源_01水果!$AG$4:$AG$1203,$AE51)))</f>
        <v/>
      </c>
      <c r="J51" s="55" t="str">
        <f>IF($AE51="","",IF(INDEX(对接源_01水果!$AJ$4:$AJ$1203,$AE51)=0,"",INDEX(对接源_01水果!$AJ$4:$AJ$1203,$AE51)))</f>
        <v/>
      </c>
      <c r="K51" s="53" t="str">
        <f>IF($AE51="","",IF(INDEX(对接源_01水果!$AB$4:$AB$1203,$AE51)=0,"",INDEX(对接源_01水果!$AB$4:$AB$1203,$AE51)))</f>
        <v/>
      </c>
      <c r="L51" s="56" t="str">
        <f>IF($AE51="","",IF(INDEX(对接源_01水果!$M$4:$M$1203,$AE51)=0,"",INDEX(对接源_01水果!$M$4:$M$1203,$AE51)))</f>
        <v/>
      </c>
      <c r="AE51" s="2" t="str">
        <f>IFERROR(MATCH(46,_自动清单!$AM$4:$AM$2403,0),"")</f>
        <v/>
      </c>
    </row>
    <row r="52" ht="18" customHeight="1" spans="1:31">
      <c r="A52" s="53" t="str">
        <f>IF($AE52="","",IF(INDEX(对接源_01水果!$B$4:$B$1203,$AE52)=0,"",INDEX(对接源_01水果!$B$4:$B$1203,$AE52)))</f>
        <v/>
      </c>
      <c r="B52" s="53" t="str">
        <f>IF($AE52="","",IF(INDEX(对接源_01水果!$E$4:$E$1203,$AE52)=0,"",INDEX(对接源_01水果!$E$4:$E$1203,$AE52)))</f>
        <v/>
      </c>
      <c r="C52" s="53" t="str">
        <f>IF($AE52="","",IF(INDEX(对接源_01水果!$F$4:$F$1203,$AE52)=0,"",INDEX(对接源_01水果!$F$4:$F$1203,$AE52)))</f>
        <v/>
      </c>
      <c r="D52" s="53" t="str">
        <f>IF($AE52="","",IF(INDEX(对接源_01水果!$G$4:$G$1203,$AE52)=0,"",INDEX(对接源_01水果!$G$4:$G$1203,$AE52)))</f>
        <v/>
      </c>
      <c r="E52" s="53" t="str">
        <f>IF($AE52="","",IF(INDEX(对接源_01水果!$H$4:$H$1203,$AE52)=0,"",INDEX(对接源_01水果!$H$4:$H$1203,$AE52)))</f>
        <v/>
      </c>
      <c r="F52" s="53" t="str">
        <f>IF($AE52="","",IF(INDEX(对接源_01水果!$I$4:$I$1203,$AE52)=0,"",INDEX(对接源_01水果!$I$4:$I$1203,$AE52)))</f>
        <v/>
      </c>
      <c r="G52" s="55" t="str">
        <f>IF($AE52="","",IF(INDEX(对接源_01水果!$Z$4:$Z$1203,$AE52)=0,"",INDEX(对接源_01水果!$Z$4:$Z$1203,$AE52)))</f>
        <v/>
      </c>
      <c r="H52" s="55" t="str">
        <f>IF($AE52="","",IF(INDEX(对接源_01水果!$AA$4:$AA$1203,$AE52)=0,"",INDEX(对接源_01水果!$AA$4:$AA$1203,$AE52)))</f>
        <v/>
      </c>
      <c r="I52" s="55" t="str">
        <f>IF($AE52="","",IF(INDEX(对接源_01水果!$AG$4:$AG$1203,$AE52)=0,"",INDEX(对接源_01水果!$AG$4:$AG$1203,$AE52)))</f>
        <v/>
      </c>
      <c r="J52" s="55" t="str">
        <f>IF($AE52="","",IF(INDEX(对接源_01水果!$AJ$4:$AJ$1203,$AE52)=0,"",INDEX(对接源_01水果!$AJ$4:$AJ$1203,$AE52)))</f>
        <v/>
      </c>
      <c r="K52" s="53" t="str">
        <f>IF($AE52="","",IF(INDEX(对接源_01水果!$AB$4:$AB$1203,$AE52)=0,"",INDEX(对接源_01水果!$AB$4:$AB$1203,$AE52)))</f>
        <v/>
      </c>
      <c r="L52" s="56" t="str">
        <f>IF($AE52="","",IF(INDEX(对接源_01水果!$M$4:$M$1203,$AE52)=0,"",INDEX(对接源_01水果!$M$4:$M$1203,$AE52)))</f>
        <v/>
      </c>
      <c r="AE52" s="2" t="str">
        <f>IFERROR(MATCH(47,_自动清单!$AM$4:$AM$2403,0),"")</f>
        <v/>
      </c>
    </row>
    <row r="53" ht="18" customHeight="1" spans="1:31">
      <c r="A53" s="53" t="str">
        <f>IF($AE53="","",IF(INDEX(对接源_01水果!$B$4:$B$1203,$AE53)=0,"",INDEX(对接源_01水果!$B$4:$B$1203,$AE53)))</f>
        <v/>
      </c>
      <c r="B53" s="53" t="str">
        <f>IF($AE53="","",IF(INDEX(对接源_01水果!$E$4:$E$1203,$AE53)=0,"",INDEX(对接源_01水果!$E$4:$E$1203,$AE53)))</f>
        <v/>
      </c>
      <c r="C53" s="53" t="str">
        <f>IF($AE53="","",IF(INDEX(对接源_01水果!$F$4:$F$1203,$AE53)=0,"",INDEX(对接源_01水果!$F$4:$F$1203,$AE53)))</f>
        <v/>
      </c>
      <c r="D53" s="53" t="str">
        <f>IF($AE53="","",IF(INDEX(对接源_01水果!$G$4:$G$1203,$AE53)=0,"",INDEX(对接源_01水果!$G$4:$G$1203,$AE53)))</f>
        <v/>
      </c>
      <c r="E53" s="53" t="str">
        <f>IF($AE53="","",IF(INDEX(对接源_01水果!$H$4:$H$1203,$AE53)=0,"",INDEX(对接源_01水果!$H$4:$H$1203,$AE53)))</f>
        <v/>
      </c>
      <c r="F53" s="53" t="str">
        <f>IF($AE53="","",IF(INDEX(对接源_01水果!$I$4:$I$1203,$AE53)=0,"",INDEX(对接源_01水果!$I$4:$I$1203,$AE53)))</f>
        <v/>
      </c>
      <c r="G53" s="55" t="str">
        <f>IF($AE53="","",IF(INDEX(对接源_01水果!$Z$4:$Z$1203,$AE53)=0,"",INDEX(对接源_01水果!$Z$4:$Z$1203,$AE53)))</f>
        <v/>
      </c>
      <c r="H53" s="55" t="str">
        <f>IF($AE53="","",IF(INDEX(对接源_01水果!$AA$4:$AA$1203,$AE53)=0,"",INDEX(对接源_01水果!$AA$4:$AA$1203,$AE53)))</f>
        <v/>
      </c>
      <c r="I53" s="55" t="str">
        <f>IF($AE53="","",IF(INDEX(对接源_01水果!$AG$4:$AG$1203,$AE53)=0,"",INDEX(对接源_01水果!$AG$4:$AG$1203,$AE53)))</f>
        <v/>
      </c>
      <c r="J53" s="55" t="str">
        <f>IF($AE53="","",IF(INDEX(对接源_01水果!$AJ$4:$AJ$1203,$AE53)=0,"",INDEX(对接源_01水果!$AJ$4:$AJ$1203,$AE53)))</f>
        <v/>
      </c>
      <c r="K53" s="53" t="str">
        <f>IF($AE53="","",IF(INDEX(对接源_01水果!$AB$4:$AB$1203,$AE53)=0,"",INDEX(对接源_01水果!$AB$4:$AB$1203,$AE53)))</f>
        <v/>
      </c>
      <c r="L53" s="56" t="str">
        <f>IF($AE53="","",IF(INDEX(对接源_01水果!$M$4:$M$1203,$AE53)=0,"",INDEX(对接源_01水果!$M$4:$M$1203,$AE53)))</f>
        <v/>
      </c>
      <c r="AE53" s="2" t="str">
        <f>IFERROR(MATCH(48,_自动清单!$AM$4:$AM$2403,0),"")</f>
        <v/>
      </c>
    </row>
    <row r="54" ht="18" customHeight="1" spans="1:31">
      <c r="A54" s="53" t="str">
        <f>IF($AE54="","",IF(INDEX(对接源_01水果!$B$4:$B$1203,$AE54)=0,"",INDEX(对接源_01水果!$B$4:$B$1203,$AE54)))</f>
        <v/>
      </c>
      <c r="B54" s="53" t="str">
        <f>IF($AE54="","",IF(INDEX(对接源_01水果!$E$4:$E$1203,$AE54)=0,"",INDEX(对接源_01水果!$E$4:$E$1203,$AE54)))</f>
        <v/>
      </c>
      <c r="C54" s="53" t="str">
        <f>IF($AE54="","",IF(INDEX(对接源_01水果!$F$4:$F$1203,$AE54)=0,"",INDEX(对接源_01水果!$F$4:$F$1203,$AE54)))</f>
        <v/>
      </c>
      <c r="D54" s="53" t="str">
        <f>IF($AE54="","",IF(INDEX(对接源_01水果!$G$4:$G$1203,$AE54)=0,"",INDEX(对接源_01水果!$G$4:$G$1203,$AE54)))</f>
        <v/>
      </c>
      <c r="E54" s="53" t="str">
        <f>IF($AE54="","",IF(INDEX(对接源_01水果!$H$4:$H$1203,$AE54)=0,"",INDEX(对接源_01水果!$H$4:$H$1203,$AE54)))</f>
        <v/>
      </c>
      <c r="F54" s="53" t="str">
        <f>IF($AE54="","",IF(INDEX(对接源_01水果!$I$4:$I$1203,$AE54)=0,"",INDEX(对接源_01水果!$I$4:$I$1203,$AE54)))</f>
        <v/>
      </c>
      <c r="G54" s="55" t="str">
        <f>IF($AE54="","",IF(INDEX(对接源_01水果!$Z$4:$Z$1203,$AE54)=0,"",INDEX(对接源_01水果!$Z$4:$Z$1203,$AE54)))</f>
        <v/>
      </c>
      <c r="H54" s="55" t="str">
        <f>IF($AE54="","",IF(INDEX(对接源_01水果!$AA$4:$AA$1203,$AE54)=0,"",INDEX(对接源_01水果!$AA$4:$AA$1203,$AE54)))</f>
        <v/>
      </c>
      <c r="I54" s="55" t="str">
        <f>IF($AE54="","",IF(INDEX(对接源_01水果!$AG$4:$AG$1203,$AE54)=0,"",INDEX(对接源_01水果!$AG$4:$AG$1203,$AE54)))</f>
        <v/>
      </c>
      <c r="J54" s="55" t="str">
        <f>IF($AE54="","",IF(INDEX(对接源_01水果!$AJ$4:$AJ$1203,$AE54)=0,"",INDEX(对接源_01水果!$AJ$4:$AJ$1203,$AE54)))</f>
        <v/>
      </c>
      <c r="K54" s="53" t="str">
        <f>IF($AE54="","",IF(INDEX(对接源_01水果!$AB$4:$AB$1203,$AE54)=0,"",INDEX(对接源_01水果!$AB$4:$AB$1203,$AE54)))</f>
        <v/>
      </c>
      <c r="L54" s="56" t="str">
        <f>IF($AE54="","",IF(INDEX(对接源_01水果!$M$4:$M$1203,$AE54)=0,"",INDEX(对接源_01水果!$M$4:$M$1203,$AE54)))</f>
        <v/>
      </c>
      <c r="AE54" s="2" t="str">
        <f>IFERROR(MATCH(49,_自动清单!$AM$4:$AM$2403,0),"")</f>
        <v/>
      </c>
    </row>
    <row r="55" ht="18" customHeight="1" spans="1:31">
      <c r="A55" s="53" t="str">
        <f>IF($AE55="","",IF(INDEX(对接源_01水果!$B$4:$B$1203,$AE55)=0,"",INDEX(对接源_01水果!$B$4:$B$1203,$AE55)))</f>
        <v/>
      </c>
      <c r="B55" s="53" t="str">
        <f>IF($AE55="","",IF(INDEX(对接源_01水果!$E$4:$E$1203,$AE55)=0,"",INDEX(对接源_01水果!$E$4:$E$1203,$AE55)))</f>
        <v/>
      </c>
      <c r="C55" s="53" t="str">
        <f>IF($AE55="","",IF(INDEX(对接源_01水果!$F$4:$F$1203,$AE55)=0,"",INDEX(对接源_01水果!$F$4:$F$1203,$AE55)))</f>
        <v/>
      </c>
      <c r="D55" s="53" t="str">
        <f>IF($AE55="","",IF(INDEX(对接源_01水果!$G$4:$G$1203,$AE55)=0,"",INDEX(对接源_01水果!$G$4:$G$1203,$AE55)))</f>
        <v/>
      </c>
      <c r="E55" s="53" t="str">
        <f>IF($AE55="","",IF(INDEX(对接源_01水果!$H$4:$H$1203,$AE55)=0,"",INDEX(对接源_01水果!$H$4:$H$1203,$AE55)))</f>
        <v/>
      </c>
      <c r="F55" s="53" t="str">
        <f>IF($AE55="","",IF(INDEX(对接源_01水果!$I$4:$I$1203,$AE55)=0,"",INDEX(对接源_01水果!$I$4:$I$1203,$AE55)))</f>
        <v/>
      </c>
      <c r="G55" s="55" t="str">
        <f>IF($AE55="","",IF(INDEX(对接源_01水果!$Z$4:$Z$1203,$AE55)=0,"",INDEX(对接源_01水果!$Z$4:$Z$1203,$AE55)))</f>
        <v/>
      </c>
      <c r="H55" s="55" t="str">
        <f>IF($AE55="","",IF(INDEX(对接源_01水果!$AA$4:$AA$1203,$AE55)=0,"",INDEX(对接源_01水果!$AA$4:$AA$1203,$AE55)))</f>
        <v/>
      </c>
      <c r="I55" s="55" t="str">
        <f>IF($AE55="","",IF(INDEX(对接源_01水果!$AG$4:$AG$1203,$AE55)=0,"",INDEX(对接源_01水果!$AG$4:$AG$1203,$AE55)))</f>
        <v/>
      </c>
      <c r="J55" s="55" t="str">
        <f>IF($AE55="","",IF(INDEX(对接源_01水果!$AJ$4:$AJ$1203,$AE55)=0,"",INDEX(对接源_01水果!$AJ$4:$AJ$1203,$AE55)))</f>
        <v/>
      </c>
      <c r="K55" s="53" t="str">
        <f>IF($AE55="","",IF(INDEX(对接源_01水果!$AB$4:$AB$1203,$AE55)=0,"",INDEX(对接源_01水果!$AB$4:$AB$1203,$AE55)))</f>
        <v/>
      </c>
      <c r="L55" s="56" t="str">
        <f>IF($AE55="","",IF(INDEX(对接源_01水果!$M$4:$M$1203,$AE55)=0,"",INDEX(对接源_01水果!$M$4:$M$1203,$AE55)))</f>
        <v/>
      </c>
      <c r="AE55" s="2" t="str">
        <f>IFERROR(MATCH(50,_自动清单!$AM$4:$AM$2403,0),"")</f>
        <v/>
      </c>
    </row>
    <row r="56" ht="18" customHeight="1" spans="1:31">
      <c r="A56" s="53" t="str">
        <f>IF($AE56="","",IF(INDEX(对接源_01水果!$B$4:$B$1203,$AE56)=0,"",INDEX(对接源_01水果!$B$4:$B$1203,$AE56)))</f>
        <v/>
      </c>
      <c r="B56" s="53" t="str">
        <f>IF($AE56="","",IF(INDEX(对接源_01水果!$E$4:$E$1203,$AE56)=0,"",INDEX(对接源_01水果!$E$4:$E$1203,$AE56)))</f>
        <v/>
      </c>
      <c r="C56" s="53" t="str">
        <f>IF($AE56="","",IF(INDEX(对接源_01水果!$F$4:$F$1203,$AE56)=0,"",INDEX(对接源_01水果!$F$4:$F$1203,$AE56)))</f>
        <v/>
      </c>
      <c r="D56" s="53" t="str">
        <f>IF($AE56="","",IF(INDEX(对接源_01水果!$G$4:$G$1203,$AE56)=0,"",INDEX(对接源_01水果!$G$4:$G$1203,$AE56)))</f>
        <v/>
      </c>
      <c r="E56" s="53" t="str">
        <f>IF($AE56="","",IF(INDEX(对接源_01水果!$H$4:$H$1203,$AE56)=0,"",INDEX(对接源_01水果!$H$4:$H$1203,$AE56)))</f>
        <v/>
      </c>
      <c r="F56" s="53" t="str">
        <f>IF($AE56="","",IF(INDEX(对接源_01水果!$I$4:$I$1203,$AE56)=0,"",INDEX(对接源_01水果!$I$4:$I$1203,$AE56)))</f>
        <v/>
      </c>
      <c r="G56" s="55" t="str">
        <f>IF($AE56="","",IF(INDEX(对接源_01水果!$Z$4:$Z$1203,$AE56)=0,"",INDEX(对接源_01水果!$Z$4:$Z$1203,$AE56)))</f>
        <v/>
      </c>
      <c r="H56" s="55" t="str">
        <f>IF($AE56="","",IF(INDEX(对接源_01水果!$AA$4:$AA$1203,$AE56)=0,"",INDEX(对接源_01水果!$AA$4:$AA$1203,$AE56)))</f>
        <v/>
      </c>
      <c r="I56" s="55" t="str">
        <f>IF($AE56="","",IF(INDEX(对接源_01水果!$AG$4:$AG$1203,$AE56)=0,"",INDEX(对接源_01水果!$AG$4:$AG$1203,$AE56)))</f>
        <v/>
      </c>
      <c r="J56" s="55" t="str">
        <f>IF($AE56="","",IF(INDEX(对接源_01水果!$AJ$4:$AJ$1203,$AE56)=0,"",INDEX(对接源_01水果!$AJ$4:$AJ$1203,$AE56)))</f>
        <v/>
      </c>
      <c r="K56" s="53" t="str">
        <f>IF($AE56="","",IF(INDEX(对接源_01水果!$AB$4:$AB$1203,$AE56)=0,"",INDEX(对接源_01水果!$AB$4:$AB$1203,$AE56)))</f>
        <v/>
      </c>
      <c r="L56" s="56" t="str">
        <f>IF($AE56="","",IF(INDEX(对接源_01水果!$M$4:$M$1203,$AE56)=0,"",INDEX(对接源_01水果!$M$4:$M$1203,$AE56)))</f>
        <v/>
      </c>
      <c r="AE56" s="2" t="str">
        <f>IFERROR(MATCH(51,_自动清单!$AM$4:$AM$2403,0),"")</f>
        <v/>
      </c>
    </row>
    <row r="57" ht="18" customHeight="1" spans="1:31">
      <c r="A57" s="53" t="str">
        <f>IF($AE57="","",IF(INDEX(对接源_01水果!$B$4:$B$1203,$AE57)=0,"",INDEX(对接源_01水果!$B$4:$B$1203,$AE57)))</f>
        <v/>
      </c>
      <c r="B57" s="53" t="str">
        <f>IF($AE57="","",IF(INDEX(对接源_01水果!$E$4:$E$1203,$AE57)=0,"",INDEX(对接源_01水果!$E$4:$E$1203,$AE57)))</f>
        <v/>
      </c>
      <c r="C57" s="53" t="str">
        <f>IF($AE57="","",IF(INDEX(对接源_01水果!$F$4:$F$1203,$AE57)=0,"",INDEX(对接源_01水果!$F$4:$F$1203,$AE57)))</f>
        <v/>
      </c>
      <c r="D57" s="53" t="str">
        <f>IF($AE57="","",IF(INDEX(对接源_01水果!$G$4:$G$1203,$AE57)=0,"",INDEX(对接源_01水果!$G$4:$G$1203,$AE57)))</f>
        <v/>
      </c>
      <c r="E57" s="53" t="str">
        <f>IF($AE57="","",IF(INDEX(对接源_01水果!$H$4:$H$1203,$AE57)=0,"",INDEX(对接源_01水果!$H$4:$H$1203,$AE57)))</f>
        <v/>
      </c>
      <c r="F57" s="53" t="str">
        <f>IF($AE57="","",IF(INDEX(对接源_01水果!$I$4:$I$1203,$AE57)=0,"",INDEX(对接源_01水果!$I$4:$I$1203,$AE57)))</f>
        <v/>
      </c>
      <c r="G57" s="55" t="str">
        <f>IF($AE57="","",IF(INDEX(对接源_01水果!$Z$4:$Z$1203,$AE57)=0,"",INDEX(对接源_01水果!$Z$4:$Z$1203,$AE57)))</f>
        <v/>
      </c>
      <c r="H57" s="55" t="str">
        <f>IF($AE57="","",IF(INDEX(对接源_01水果!$AA$4:$AA$1203,$AE57)=0,"",INDEX(对接源_01水果!$AA$4:$AA$1203,$AE57)))</f>
        <v/>
      </c>
      <c r="I57" s="55" t="str">
        <f>IF($AE57="","",IF(INDEX(对接源_01水果!$AG$4:$AG$1203,$AE57)=0,"",INDEX(对接源_01水果!$AG$4:$AG$1203,$AE57)))</f>
        <v/>
      </c>
      <c r="J57" s="55" t="str">
        <f>IF($AE57="","",IF(INDEX(对接源_01水果!$AJ$4:$AJ$1203,$AE57)=0,"",INDEX(对接源_01水果!$AJ$4:$AJ$1203,$AE57)))</f>
        <v/>
      </c>
      <c r="K57" s="53" t="str">
        <f>IF($AE57="","",IF(INDEX(对接源_01水果!$AB$4:$AB$1203,$AE57)=0,"",INDEX(对接源_01水果!$AB$4:$AB$1203,$AE57)))</f>
        <v/>
      </c>
      <c r="L57" s="56" t="str">
        <f>IF($AE57="","",IF(INDEX(对接源_01水果!$M$4:$M$1203,$AE57)=0,"",INDEX(对接源_01水果!$M$4:$M$1203,$AE57)))</f>
        <v/>
      </c>
      <c r="AE57" s="2" t="str">
        <f>IFERROR(MATCH(52,_自动清单!$AM$4:$AM$2403,0),"")</f>
        <v/>
      </c>
    </row>
    <row r="58" ht="18" customHeight="1" spans="1:31">
      <c r="A58" s="53" t="str">
        <f>IF($AE58="","",IF(INDEX(对接源_01水果!$B$4:$B$1203,$AE58)=0,"",INDEX(对接源_01水果!$B$4:$B$1203,$AE58)))</f>
        <v/>
      </c>
      <c r="B58" s="53" t="str">
        <f>IF($AE58="","",IF(INDEX(对接源_01水果!$E$4:$E$1203,$AE58)=0,"",INDEX(对接源_01水果!$E$4:$E$1203,$AE58)))</f>
        <v/>
      </c>
      <c r="C58" s="53" t="str">
        <f>IF($AE58="","",IF(INDEX(对接源_01水果!$F$4:$F$1203,$AE58)=0,"",INDEX(对接源_01水果!$F$4:$F$1203,$AE58)))</f>
        <v/>
      </c>
      <c r="D58" s="53" t="str">
        <f>IF($AE58="","",IF(INDEX(对接源_01水果!$G$4:$G$1203,$AE58)=0,"",INDEX(对接源_01水果!$G$4:$G$1203,$AE58)))</f>
        <v/>
      </c>
      <c r="E58" s="53" t="str">
        <f>IF($AE58="","",IF(INDEX(对接源_01水果!$H$4:$H$1203,$AE58)=0,"",INDEX(对接源_01水果!$H$4:$H$1203,$AE58)))</f>
        <v/>
      </c>
      <c r="F58" s="53" t="str">
        <f>IF($AE58="","",IF(INDEX(对接源_01水果!$I$4:$I$1203,$AE58)=0,"",INDEX(对接源_01水果!$I$4:$I$1203,$AE58)))</f>
        <v/>
      </c>
      <c r="G58" s="55" t="str">
        <f>IF($AE58="","",IF(INDEX(对接源_01水果!$Z$4:$Z$1203,$AE58)=0,"",INDEX(对接源_01水果!$Z$4:$Z$1203,$AE58)))</f>
        <v/>
      </c>
      <c r="H58" s="55" t="str">
        <f>IF($AE58="","",IF(INDEX(对接源_01水果!$AA$4:$AA$1203,$AE58)=0,"",INDEX(对接源_01水果!$AA$4:$AA$1203,$AE58)))</f>
        <v/>
      </c>
      <c r="I58" s="55" t="str">
        <f>IF($AE58="","",IF(INDEX(对接源_01水果!$AG$4:$AG$1203,$AE58)=0,"",INDEX(对接源_01水果!$AG$4:$AG$1203,$AE58)))</f>
        <v/>
      </c>
      <c r="J58" s="55" t="str">
        <f>IF($AE58="","",IF(INDEX(对接源_01水果!$AJ$4:$AJ$1203,$AE58)=0,"",INDEX(对接源_01水果!$AJ$4:$AJ$1203,$AE58)))</f>
        <v/>
      </c>
      <c r="K58" s="53" t="str">
        <f>IF($AE58="","",IF(INDEX(对接源_01水果!$AB$4:$AB$1203,$AE58)=0,"",INDEX(对接源_01水果!$AB$4:$AB$1203,$AE58)))</f>
        <v/>
      </c>
      <c r="L58" s="56" t="str">
        <f>IF($AE58="","",IF(INDEX(对接源_01水果!$M$4:$M$1203,$AE58)=0,"",INDEX(对接源_01水果!$M$4:$M$1203,$AE58)))</f>
        <v/>
      </c>
      <c r="AE58" s="2" t="str">
        <f>IFERROR(MATCH(53,_自动清单!$AM$4:$AM$2403,0),"")</f>
        <v/>
      </c>
    </row>
    <row r="59" ht="18" customHeight="1" spans="1:31">
      <c r="A59" s="53" t="str">
        <f>IF($AE59="","",IF(INDEX(对接源_01水果!$B$4:$B$1203,$AE59)=0,"",INDEX(对接源_01水果!$B$4:$B$1203,$AE59)))</f>
        <v/>
      </c>
      <c r="B59" s="53" t="str">
        <f>IF($AE59="","",IF(INDEX(对接源_01水果!$E$4:$E$1203,$AE59)=0,"",INDEX(对接源_01水果!$E$4:$E$1203,$AE59)))</f>
        <v/>
      </c>
      <c r="C59" s="53" t="str">
        <f>IF($AE59="","",IF(INDEX(对接源_01水果!$F$4:$F$1203,$AE59)=0,"",INDEX(对接源_01水果!$F$4:$F$1203,$AE59)))</f>
        <v/>
      </c>
      <c r="D59" s="53" t="str">
        <f>IF($AE59="","",IF(INDEX(对接源_01水果!$G$4:$G$1203,$AE59)=0,"",INDEX(对接源_01水果!$G$4:$G$1203,$AE59)))</f>
        <v/>
      </c>
      <c r="E59" s="53" t="str">
        <f>IF($AE59="","",IF(INDEX(对接源_01水果!$H$4:$H$1203,$AE59)=0,"",INDEX(对接源_01水果!$H$4:$H$1203,$AE59)))</f>
        <v/>
      </c>
      <c r="F59" s="53" t="str">
        <f>IF($AE59="","",IF(INDEX(对接源_01水果!$I$4:$I$1203,$AE59)=0,"",INDEX(对接源_01水果!$I$4:$I$1203,$AE59)))</f>
        <v/>
      </c>
      <c r="G59" s="55" t="str">
        <f>IF($AE59="","",IF(INDEX(对接源_01水果!$Z$4:$Z$1203,$AE59)=0,"",INDEX(对接源_01水果!$Z$4:$Z$1203,$AE59)))</f>
        <v/>
      </c>
      <c r="H59" s="55" t="str">
        <f>IF($AE59="","",IF(INDEX(对接源_01水果!$AA$4:$AA$1203,$AE59)=0,"",INDEX(对接源_01水果!$AA$4:$AA$1203,$AE59)))</f>
        <v/>
      </c>
      <c r="I59" s="55" t="str">
        <f>IF($AE59="","",IF(INDEX(对接源_01水果!$AG$4:$AG$1203,$AE59)=0,"",INDEX(对接源_01水果!$AG$4:$AG$1203,$AE59)))</f>
        <v/>
      </c>
      <c r="J59" s="55" t="str">
        <f>IF($AE59="","",IF(INDEX(对接源_01水果!$AJ$4:$AJ$1203,$AE59)=0,"",INDEX(对接源_01水果!$AJ$4:$AJ$1203,$AE59)))</f>
        <v/>
      </c>
      <c r="K59" s="53" t="str">
        <f>IF($AE59="","",IF(INDEX(对接源_01水果!$AB$4:$AB$1203,$AE59)=0,"",INDEX(对接源_01水果!$AB$4:$AB$1203,$AE59)))</f>
        <v/>
      </c>
      <c r="L59" s="56" t="str">
        <f>IF($AE59="","",IF(INDEX(对接源_01水果!$M$4:$M$1203,$AE59)=0,"",INDEX(对接源_01水果!$M$4:$M$1203,$AE59)))</f>
        <v/>
      </c>
      <c r="AE59" s="2" t="str">
        <f>IFERROR(MATCH(54,_自动清单!$AM$4:$AM$2403,0),"")</f>
        <v/>
      </c>
    </row>
    <row r="60" ht="18" customHeight="1" spans="1:31">
      <c r="A60" s="53" t="str">
        <f>IF($AE60="","",IF(INDEX(对接源_01水果!$B$4:$B$1203,$AE60)=0,"",INDEX(对接源_01水果!$B$4:$B$1203,$AE60)))</f>
        <v/>
      </c>
      <c r="B60" s="53" t="str">
        <f>IF($AE60="","",IF(INDEX(对接源_01水果!$E$4:$E$1203,$AE60)=0,"",INDEX(对接源_01水果!$E$4:$E$1203,$AE60)))</f>
        <v/>
      </c>
      <c r="C60" s="53" t="str">
        <f>IF($AE60="","",IF(INDEX(对接源_01水果!$F$4:$F$1203,$AE60)=0,"",INDEX(对接源_01水果!$F$4:$F$1203,$AE60)))</f>
        <v/>
      </c>
      <c r="D60" s="53" t="str">
        <f>IF($AE60="","",IF(INDEX(对接源_01水果!$G$4:$G$1203,$AE60)=0,"",INDEX(对接源_01水果!$G$4:$G$1203,$AE60)))</f>
        <v/>
      </c>
      <c r="E60" s="53" t="str">
        <f>IF($AE60="","",IF(INDEX(对接源_01水果!$H$4:$H$1203,$AE60)=0,"",INDEX(对接源_01水果!$H$4:$H$1203,$AE60)))</f>
        <v/>
      </c>
      <c r="F60" s="53" t="str">
        <f>IF($AE60="","",IF(INDEX(对接源_01水果!$I$4:$I$1203,$AE60)=0,"",INDEX(对接源_01水果!$I$4:$I$1203,$AE60)))</f>
        <v/>
      </c>
      <c r="G60" s="55" t="str">
        <f>IF($AE60="","",IF(INDEX(对接源_01水果!$Z$4:$Z$1203,$AE60)=0,"",INDEX(对接源_01水果!$Z$4:$Z$1203,$AE60)))</f>
        <v/>
      </c>
      <c r="H60" s="55" t="str">
        <f>IF($AE60="","",IF(INDEX(对接源_01水果!$AA$4:$AA$1203,$AE60)=0,"",INDEX(对接源_01水果!$AA$4:$AA$1203,$AE60)))</f>
        <v/>
      </c>
      <c r="I60" s="55" t="str">
        <f>IF($AE60="","",IF(INDEX(对接源_01水果!$AG$4:$AG$1203,$AE60)=0,"",INDEX(对接源_01水果!$AG$4:$AG$1203,$AE60)))</f>
        <v/>
      </c>
      <c r="J60" s="55" t="str">
        <f>IF($AE60="","",IF(INDEX(对接源_01水果!$AJ$4:$AJ$1203,$AE60)=0,"",INDEX(对接源_01水果!$AJ$4:$AJ$1203,$AE60)))</f>
        <v/>
      </c>
      <c r="K60" s="53" t="str">
        <f>IF($AE60="","",IF(INDEX(对接源_01水果!$AB$4:$AB$1203,$AE60)=0,"",INDEX(对接源_01水果!$AB$4:$AB$1203,$AE60)))</f>
        <v/>
      </c>
      <c r="L60" s="56" t="str">
        <f>IF($AE60="","",IF(INDEX(对接源_01水果!$M$4:$M$1203,$AE60)=0,"",INDEX(对接源_01水果!$M$4:$M$1203,$AE60)))</f>
        <v/>
      </c>
      <c r="AE60" s="2" t="str">
        <f>IFERROR(MATCH(55,_自动清单!$AM$4:$AM$2403,0),"")</f>
        <v/>
      </c>
    </row>
    <row r="61" ht="18" customHeight="1" spans="1:31">
      <c r="A61" s="53" t="str">
        <f>IF($AE61="","",IF(INDEX(对接源_01水果!$B$4:$B$1203,$AE61)=0,"",INDEX(对接源_01水果!$B$4:$B$1203,$AE61)))</f>
        <v/>
      </c>
      <c r="B61" s="53" t="str">
        <f>IF($AE61="","",IF(INDEX(对接源_01水果!$E$4:$E$1203,$AE61)=0,"",INDEX(对接源_01水果!$E$4:$E$1203,$AE61)))</f>
        <v/>
      </c>
      <c r="C61" s="53" t="str">
        <f>IF($AE61="","",IF(INDEX(对接源_01水果!$F$4:$F$1203,$AE61)=0,"",INDEX(对接源_01水果!$F$4:$F$1203,$AE61)))</f>
        <v/>
      </c>
      <c r="D61" s="53" t="str">
        <f>IF($AE61="","",IF(INDEX(对接源_01水果!$G$4:$G$1203,$AE61)=0,"",INDEX(对接源_01水果!$G$4:$G$1203,$AE61)))</f>
        <v/>
      </c>
      <c r="E61" s="53" t="str">
        <f>IF($AE61="","",IF(INDEX(对接源_01水果!$H$4:$H$1203,$AE61)=0,"",INDEX(对接源_01水果!$H$4:$H$1203,$AE61)))</f>
        <v/>
      </c>
      <c r="F61" s="53" t="str">
        <f>IF($AE61="","",IF(INDEX(对接源_01水果!$I$4:$I$1203,$AE61)=0,"",INDEX(对接源_01水果!$I$4:$I$1203,$AE61)))</f>
        <v/>
      </c>
      <c r="G61" s="55" t="str">
        <f>IF($AE61="","",IF(INDEX(对接源_01水果!$Z$4:$Z$1203,$AE61)=0,"",INDEX(对接源_01水果!$Z$4:$Z$1203,$AE61)))</f>
        <v/>
      </c>
      <c r="H61" s="55" t="str">
        <f>IF($AE61="","",IF(INDEX(对接源_01水果!$AA$4:$AA$1203,$AE61)=0,"",INDEX(对接源_01水果!$AA$4:$AA$1203,$AE61)))</f>
        <v/>
      </c>
      <c r="I61" s="55" t="str">
        <f>IF($AE61="","",IF(INDEX(对接源_01水果!$AG$4:$AG$1203,$AE61)=0,"",INDEX(对接源_01水果!$AG$4:$AG$1203,$AE61)))</f>
        <v/>
      </c>
      <c r="J61" s="55" t="str">
        <f>IF($AE61="","",IF(INDEX(对接源_01水果!$AJ$4:$AJ$1203,$AE61)=0,"",INDEX(对接源_01水果!$AJ$4:$AJ$1203,$AE61)))</f>
        <v/>
      </c>
      <c r="K61" s="53" t="str">
        <f>IF($AE61="","",IF(INDEX(对接源_01水果!$AB$4:$AB$1203,$AE61)=0,"",INDEX(对接源_01水果!$AB$4:$AB$1203,$AE61)))</f>
        <v/>
      </c>
      <c r="L61" s="56" t="str">
        <f>IF($AE61="","",IF(INDEX(对接源_01水果!$M$4:$M$1203,$AE61)=0,"",INDEX(对接源_01水果!$M$4:$M$1203,$AE61)))</f>
        <v/>
      </c>
      <c r="AE61" s="2" t="str">
        <f>IFERROR(MATCH(56,_自动清单!$AM$4:$AM$2403,0),"")</f>
        <v/>
      </c>
    </row>
    <row r="62" ht="18" customHeight="1" spans="1:31">
      <c r="A62" s="53" t="str">
        <f>IF($AE62="","",IF(INDEX(对接源_01水果!$B$4:$B$1203,$AE62)=0,"",INDEX(对接源_01水果!$B$4:$B$1203,$AE62)))</f>
        <v/>
      </c>
      <c r="B62" s="53" t="str">
        <f>IF($AE62="","",IF(INDEX(对接源_01水果!$E$4:$E$1203,$AE62)=0,"",INDEX(对接源_01水果!$E$4:$E$1203,$AE62)))</f>
        <v/>
      </c>
      <c r="C62" s="53" t="str">
        <f>IF($AE62="","",IF(INDEX(对接源_01水果!$F$4:$F$1203,$AE62)=0,"",INDEX(对接源_01水果!$F$4:$F$1203,$AE62)))</f>
        <v/>
      </c>
      <c r="D62" s="53" t="str">
        <f>IF($AE62="","",IF(INDEX(对接源_01水果!$G$4:$G$1203,$AE62)=0,"",INDEX(对接源_01水果!$G$4:$G$1203,$AE62)))</f>
        <v/>
      </c>
      <c r="E62" s="53" t="str">
        <f>IF($AE62="","",IF(INDEX(对接源_01水果!$H$4:$H$1203,$AE62)=0,"",INDEX(对接源_01水果!$H$4:$H$1203,$AE62)))</f>
        <v/>
      </c>
      <c r="F62" s="53" t="str">
        <f>IF($AE62="","",IF(INDEX(对接源_01水果!$I$4:$I$1203,$AE62)=0,"",INDEX(对接源_01水果!$I$4:$I$1203,$AE62)))</f>
        <v/>
      </c>
      <c r="G62" s="55" t="str">
        <f>IF($AE62="","",IF(INDEX(对接源_01水果!$Z$4:$Z$1203,$AE62)=0,"",INDEX(对接源_01水果!$Z$4:$Z$1203,$AE62)))</f>
        <v/>
      </c>
      <c r="H62" s="55" t="str">
        <f>IF($AE62="","",IF(INDEX(对接源_01水果!$AA$4:$AA$1203,$AE62)=0,"",INDEX(对接源_01水果!$AA$4:$AA$1203,$AE62)))</f>
        <v/>
      </c>
      <c r="I62" s="55" t="str">
        <f>IF($AE62="","",IF(INDEX(对接源_01水果!$AG$4:$AG$1203,$AE62)=0,"",INDEX(对接源_01水果!$AG$4:$AG$1203,$AE62)))</f>
        <v/>
      </c>
      <c r="J62" s="55" t="str">
        <f>IF($AE62="","",IF(INDEX(对接源_01水果!$AJ$4:$AJ$1203,$AE62)=0,"",INDEX(对接源_01水果!$AJ$4:$AJ$1203,$AE62)))</f>
        <v/>
      </c>
      <c r="K62" s="53" t="str">
        <f>IF($AE62="","",IF(INDEX(对接源_01水果!$AB$4:$AB$1203,$AE62)=0,"",INDEX(对接源_01水果!$AB$4:$AB$1203,$AE62)))</f>
        <v/>
      </c>
      <c r="L62" s="56" t="str">
        <f>IF($AE62="","",IF(INDEX(对接源_01水果!$M$4:$M$1203,$AE62)=0,"",INDEX(对接源_01水果!$M$4:$M$1203,$AE62)))</f>
        <v/>
      </c>
      <c r="AE62" s="2" t="str">
        <f>IFERROR(MATCH(57,_自动清单!$AM$4:$AM$2403,0),"")</f>
        <v/>
      </c>
    </row>
    <row r="63" ht="18" customHeight="1" spans="1:31">
      <c r="A63" s="53" t="str">
        <f>IF($AE63="","",IF(INDEX(对接源_01水果!$B$4:$B$1203,$AE63)=0,"",INDEX(对接源_01水果!$B$4:$B$1203,$AE63)))</f>
        <v/>
      </c>
      <c r="B63" s="53" t="str">
        <f>IF($AE63="","",IF(INDEX(对接源_01水果!$E$4:$E$1203,$AE63)=0,"",INDEX(对接源_01水果!$E$4:$E$1203,$AE63)))</f>
        <v/>
      </c>
      <c r="C63" s="53" t="str">
        <f>IF($AE63="","",IF(INDEX(对接源_01水果!$F$4:$F$1203,$AE63)=0,"",INDEX(对接源_01水果!$F$4:$F$1203,$AE63)))</f>
        <v/>
      </c>
      <c r="D63" s="53" t="str">
        <f>IF($AE63="","",IF(INDEX(对接源_01水果!$G$4:$G$1203,$AE63)=0,"",INDEX(对接源_01水果!$G$4:$G$1203,$AE63)))</f>
        <v/>
      </c>
      <c r="E63" s="53" t="str">
        <f>IF($AE63="","",IF(INDEX(对接源_01水果!$H$4:$H$1203,$AE63)=0,"",INDEX(对接源_01水果!$H$4:$H$1203,$AE63)))</f>
        <v/>
      </c>
      <c r="F63" s="53" t="str">
        <f>IF($AE63="","",IF(INDEX(对接源_01水果!$I$4:$I$1203,$AE63)=0,"",INDEX(对接源_01水果!$I$4:$I$1203,$AE63)))</f>
        <v/>
      </c>
      <c r="G63" s="55" t="str">
        <f>IF($AE63="","",IF(INDEX(对接源_01水果!$Z$4:$Z$1203,$AE63)=0,"",INDEX(对接源_01水果!$Z$4:$Z$1203,$AE63)))</f>
        <v/>
      </c>
      <c r="H63" s="55" t="str">
        <f>IF($AE63="","",IF(INDEX(对接源_01水果!$AA$4:$AA$1203,$AE63)=0,"",INDEX(对接源_01水果!$AA$4:$AA$1203,$AE63)))</f>
        <v/>
      </c>
      <c r="I63" s="55" t="str">
        <f>IF($AE63="","",IF(INDEX(对接源_01水果!$AG$4:$AG$1203,$AE63)=0,"",INDEX(对接源_01水果!$AG$4:$AG$1203,$AE63)))</f>
        <v/>
      </c>
      <c r="J63" s="55" t="str">
        <f>IF($AE63="","",IF(INDEX(对接源_01水果!$AJ$4:$AJ$1203,$AE63)=0,"",INDEX(对接源_01水果!$AJ$4:$AJ$1203,$AE63)))</f>
        <v/>
      </c>
      <c r="K63" s="53" t="str">
        <f>IF($AE63="","",IF(INDEX(对接源_01水果!$AB$4:$AB$1203,$AE63)=0,"",INDEX(对接源_01水果!$AB$4:$AB$1203,$AE63)))</f>
        <v/>
      </c>
      <c r="L63" s="56" t="str">
        <f>IF($AE63="","",IF(INDEX(对接源_01水果!$M$4:$M$1203,$AE63)=0,"",INDEX(对接源_01水果!$M$4:$M$1203,$AE63)))</f>
        <v/>
      </c>
      <c r="AE63" s="2" t="str">
        <f>IFERROR(MATCH(58,_自动清单!$AM$4:$AM$2403,0),"")</f>
        <v/>
      </c>
    </row>
    <row r="64" ht="18" customHeight="1" spans="1:31">
      <c r="A64" s="53" t="str">
        <f>IF($AE64="","",IF(INDEX(对接源_01水果!$B$4:$B$1203,$AE64)=0,"",INDEX(对接源_01水果!$B$4:$B$1203,$AE64)))</f>
        <v/>
      </c>
      <c r="B64" s="53" t="str">
        <f>IF($AE64="","",IF(INDEX(对接源_01水果!$E$4:$E$1203,$AE64)=0,"",INDEX(对接源_01水果!$E$4:$E$1203,$AE64)))</f>
        <v/>
      </c>
      <c r="C64" s="53" t="str">
        <f>IF($AE64="","",IF(INDEX(对接源_01水果!$F$4:$F$1203,$AE64)=0,"",INDEX(对接源_01水果!$F$4:$F$1203,$AE64)))</f>
        <v/>
      </c>
      <c r="D64" s="53" t="str">
        <f>IF($AE64="","",IF(INDEX(对接源_01水果!$G$4:$G$1203,$AE64)=0,"",INDEX(对接源_01水果!$G$4:$G$1203,$AE64)))</f>
        <v/>
      </c>
      <c r="E64" s="53" t="str">
        <f>IF($AE64="","",IF(INDEX(对接源_01水果!$H$4:$H$1203,$AE64)=0,"",INDEX(对接源_01水果!$H$4:$H$1203,$AE64)))</f>
        <v/>
      </c>
      <c r="F64" s="53" t="str">
        <f>IF($AE64="","",IF(INDEX(对接源_01水果!$I$4:$I$1203,$AE64)=0,"",INDEX(对接源_01水果!$I$4:$I$1203,$AE64)))</f>
        <v/>
      </c>
      <c r="G64" s="55" t="str">
        <f>IF($AE64="","",IF(INDEX(对接源_01水果!$Z$4:$Z$1203,$AE64)=0,"",INDEX(对接源_01水果!$Z$4:$Z$1203,$AE64)))</f>
        <v/>
      </c>
      <c r="H64" s="55" t="str">
        <f>IF($AE64="","",IF(INDEX(对接源_01水果!$AA$4:$AA$1203,$AE64)=0,"",INDEX(对接源_01水果!$AA$4:$AA$1203,$AE64)))</f>
        <v/>
      </c>
      <c r="I64" s="55" t="str">
        <f>IF($AE64="","",IF(INDEX(对接源_01水果!$AG$4:$AG$1203,$AE64)=0,"",INDEX(对接源_01水果!$AG$4:$AG$1203,$AE64)))</f>
        <v/>
      </c>
      <c r="J64" s="55" t="str">
        <f>IF($AE64="","",IF(INDEX(对接源_01水果!$AJ$4:$AJ$1203,$AE64)=0,"",INDEX(对接源_01水果!$AJ$4:$AJ$1203,$AE64)))</f>
        <v/>
      </c>
      <c r="K64" s="53" t="str">
        <f>IF($AE64="","",IF(INDEX(对接源_01水果!$AB$4:$AB$1203,$AE64)=0,"",INDEX(对接源_01水果!$AB$4:$AB$1203,$AE64)))</f>
        <v/>
      </c>
      <c r="L64" s="56" t="str">
        <f>IF($AE64="","",IF(INDEX(对接源_01水果!$M$4:$M$1203,$AE64)=0,"",INDEX(对接源_01水果!$M$4:$M$1203,$AE64)))</f>
        <v/>
      </c>
      <c r="AE64" s="2" t="str">
        <f>IFERROR(MATCH(59,_自动清单!$AM$4:$AM$2403,0),"")</f>
        <v/>
      </c>
    </row>
    <row r="65" ht="18" customHeight="1" spans="1:31">
      <c r="A65" s="53" t="str">
        <f>IF($AE65="","",IF(INDEX(对接源_01水果!$B$4:$B$1203,$AE65)=0,"",INDEX(对接源_01水果!$B$4:$B$1203,$AE65)))</f>
        <v/>
      </c>
      <c r="B65" s="53" t="str">
        <f>IF($AE65="","",IF(INDEX(对接源_01水果!$E$4:$E$1203,$AE65)=0,"",INDEX(对接源_01水果!$E$4:$E$1203,$AE65)))</f>
        <v/>
      </c>
      <c r="C65" s="53" t="str">
        <f>IF($AE65="","",IF(INDEX(对接源_01水果!$F$4:$F$1203,$AE65)=0,"",INDEX(对接源_01水果!$F$4:$F$1203,$AE65)))</f>
        <v/>
      </c>
      <c r="D65" s="53" t="str">
        <f>IF($AE65="","",IF(INDEX(对接源_01水果!$G$4:$G$1203,$AE65)=0,"",INDEX(对接源_01水果!$G$4:$G$1203,$AE65)))</f>
        <v/>
      </c>
      <c r="E65" s="53" t="str">
        <f>IF($AE65="","",IF(INDEX(对接源_01水果!$H$4:$H$1203,$AE65)=0,"",INDEX(对接源_01水果!$H$4:$H$1203,$AE65)))</f>
        <v/>
      </c>
      <c r="F65" s="53" t="str">
        <f>IF($AE65="","",IF(INDEX(对接源_01水果!$I$4:$I$1203,$AE65)=0,"",INDEX(对接源_01水果!$I$4:$I$1203,$AE65)))</f>
        <v/>
      </c>
      <c r="G65" s="55" t="str">
        <f>IF($AE65="","",IF(INDEX(对接源_01水果!$Z$4:$Z$1203,$AE65)=0,"",INDEX(对接源_01水果!$Z$4:$Z$1203,$AE65)))</f>
        <v/>
      </c>
      <c r="H65" s="55" t="str">
        <f>IF($AE65="","",IF(INDEX(对接源_01水果!$AA$4:$AA$1203,$AE65)=0,"",INDEX(对接源_01水果!$AA$4:$AA$1203,$AE65)))</f>
        <v/>
      </c>
      <c r="I65" s="55" t="str">
        <f>IF($AE65="","",IF(INDEX(对接源_01水果!$AG$4:$AG$1203,$AE65)=0,"",INDEX(对接源_01水果!$AG$4:$AG$1203,$AE65)))</f>
        <v/>
      </c>
      <c r="J65" s="55" t="str">
        <f>IF($AE65="","",IF(INDEX(对接源_01水果!$AJ$4:$AJ$1203,$AE65)=0,"",INDEX(对接源_01水果!$AJ$4:$AJ$1203,$AE65)))</f>
        <v/>
      </c>
      <c r="K65" s="53" t="str">
        <f>IF($AE65="","",IF(INDEX(对接源_01水果!$AB$4:$AB$1203,$AE65)=0,"",INDEX(对接源_01水果!$AB$4:$AB$1203,$AE65)))</f>
        <v/>
      </c>
      <c r="L65" s="56" t="str">
        <f>IF($AE65="","",IF(INDEX(对接源_01水果!$M$4:$M$1203,$AE65)=0,"",INDEX(对接源_01水果!$M$4:$M$1203,$AE65)))</f>
        <v/>
      </c>
      <c r="AE65" s="2" t="str">
        <f>IFERROR(MATCH(60,_自动清单!$AM$4:$AM$2403,0),"")</f>
        <v/>
      </c>
    </row>
    <row r="66" ht="18" customHeight="1" spans="1:31">
      <c r="A66" s="53" t="str">
        <f>IF($AE66="","",IF(INDEX(对接源_01水果!$B$4:$B$1203,$AE66)=0,"",INDEX(对接源_01水果!$B$4:$B$1203,$AE66)))</f>
        <v/>
      </c>
      <c r="B66" s="53" t="str">
        <f>IF($AE66="","",IF(INDEX(对接源_01水果!$E$4:$E$1203,$AE66)=0,"",INDEX(对接源_01水果!$E$4:$E$1203,$AE66)))</f>
        <v/>
      </c>
      <c r="C66" s="53" t="str">
        <f>IF($AE66="","",IF(INDEX(对接源_01水果!$F$4:$F$1203,$AE66)=0,"",INDEX(对接源_01水果!$F$4:$F$1203,$AE66)))</f>
        <v/>
      </c>
      <c r="D66" s="53" t="str">
        <f>IF($AE66="","",IF(INDEX(对接源_01水果!$G$4:$G$1203,$AE66)=0,"",INDEX(对接源_01水果!$G$4:$G$1203,$AE66)))</f>
        <v/>
      </c>
      <c r="E66" s="53" t="str">
        <f>IF($AE66="","",IF(INDEX(对接源_01水果!$H$4:$H$1203,$AE66)=0,"",INDEX(对接源_01水果!$H$4:$H$1203,$AE66)))</f>
        <v/>
      </c>
      <c r="F66" s="53" t="str">
        <f>IF($AE66="","",IF(INDEX(对接源_01水果!$I$4:$I$1203,$AE66)=0,"",INDEX(对接源_01水果!$I$4:$I$1203,$AE66)))</f>
        <v/>
      </c>
      <c r="G66" s="55" t="str">
        <f>IF($AE66="","",IF(INDEX(对接源_01水果!$Z$4:$Z$1203,$AE66)=0,"",INDEX(对接源_01水果!$Z$4:$Z$1203,$AE66)))</f>
        <v/>
      </c>
      <c r="H66" s="55" t="str">
        <f>IF($AE66="","",IF(INDEX(对接源_01水果!$AA$4:$AA$1203,$AE66)=0,"",INDEX(对接源_01水果!$AA$4:$AA$1203,$AE66)))</f>
        <v/>
      </c>
      <c r="I66" s="55" t="str">
        <f>IF($AE66="","",IF(INDEX(对接源_01水果!$AG$4:$AG$1203,$AE66)=0,"",INDEX(对接源_01水果!$AG$4:$AG$1203,$AE66)))</f>
        <v/>
      </c>
      <c r="J66" s="55" t="str">
        <f>IF($AE66="","",IF(INDEX(对接源_01水果!$AJ$4:$AJ$1203,$AE66)=0,"",INDEX(对接源_01水果!$AJ$4:$AJ$1203,$AE66)))</f>
        <v/>
      </c>
      <c r="K66" s="53" t="str">
        <f>IF($AE66="","",IF(INDEX(对接源_01水果!$AB$4:$AB$1203,$AE66)=0,"",INDEX(对接源_01水果!$AB$4:$AB$1203,$AE66)))</f>
        <v/>
      </c>
      <c r="L66" s="56" t="str">
        <f>IF($AE66="","",IF(INDEX(对接源_01水果!$M$4:$M$1203,$AE66)=0,"",INDEX(对接源_01水果!$M$4:$M$1203,$AE66)))</f>
        <v/>
      </c>
      <c r="AE66" s="2" t="str">
        <f>IFERROR(MATCH(61,_自动清单!$AM$4:$AM$2403,0),"")</f>
        <v/>
      </c>
    </row>
    <row r="67" ht="18" customHeight="1" spans="1:31">
      <c r="A67" s="53" t="str">
        <f>IF($AE67="","",IF(INDEX(对接源_01水果!$B$4:$B$1203,$AE67)=0,"",INDEX(对接源_01水果!$B$4:$B$1203,$AE67)))</f>
        <v/>
      </c>
      <c r="B67" s="53" t="str">
        <f>IF($AE67="","",IF(INDEX(对接源_01水果!$E$4:$E$1203,$AE67)=0,"",INDEX(对接源_01水果!$E$4:$E$1203,$AE67)))</f>
        <v/>
      </c>
      <c r="C67" s="53" t="str">
        <f>IF($AE67="","",IF(INDEX(对接源_01水果!$F$4:$F$1203,$AE67)=0,"",INDEX(对接源_01水果!$F$4:$F$1203,$AE67)))</f>
        <v/>
      </c>
      <c r="D67" s="53" t="str">
        <f>IF($AE67="","",IF(INDEX(对接源_01水果!$G$4:$G$1203,$AE67)=0,"",INDEX(对接源_01水果!$G$4:$G$1203,$AE67)))</f>
        <v/>
      </c>
      <c r="E67" s="53" t="str">
        <f>IF($AE67="","",IF(INDEX(对接源_01水果!$H$4:$H$1203,$AE67)=0,"",INDEX(对接源_01水果!$H$4:$H$1203,$AE67)))</f>
        <v/>
      </c>
      <c r="F67" s="53" t="str">
        <f>IF($AE67="","",IF(INDEX(对接源_01水果!$I$4:$I$1203,$AE67)=0,"",INDEX(对接源_01水果!$I$4:$I$1203,$AE67)))</f>
        <v/>
      </c>
      <c r="G67" s="55" t="str">
        <f>IF($AE67="","",IF(INDEX(对接源_01水果!$Z$4:$Z$1203,$AE67)=0,"",INDEX(对接源_01水果!$Z$4:$Z$1203,$AE67)))</f>
        <v/>
      </c>
      <c r="H67" s="55" t="str">
        <f>IF($AE67="","",IF(INDEX(对接源_01水果!$AA$4:$AA$1203,$AE67)=0,"",INDEX(对接源_01水果!$AA$4:$AA$1203,$AE67)))</f>
        <v/>
      </c>
      <c r="I67" s="55" t="str">
        <f>IF($AE67="","",IF(INDEX(对接源_01水果!$AG$4:$AG$1203,$AE67)=0,"",INDEX(对接源_01水果!$AG$4:$AG$1203,$AE67)))</f>
        <v/>
      </c>
      <c r="J67" s="55" t="str">
        <f>IF($AE67="","",IF(INDEX(对接源_01水果!$AJ$4:$AJ$1203,$AE67)=0,"",INDEX(对接源_01水果!$AJ$4:$AJ$1203,$AE67)))</f>
        <v/>
      </c>
      <c r="K67" s="53" t="str">
        <f>IF($AE67="","",IF(INDEX(对接源_01水果!$AB$4:$AB$1203,$AE67)=0,"",INDEX(对接源_01水果!$AB$4:$AB$1203,$AE67)))</f>
        <v/>
      </c>
      <c r="L67" s="56" t="str">
        <f>IF($AE67="","",IF(INDEX(对接源_01水果!$M$4:$M$1203,$AE67)=0,"",INDEX(对接源_01水果!$M$4:$M$1203,$AE67)))</f>
        <v/>
      </c>
      <c r="AE67" s="2" t="str">
        <f>IFERROR(MATCH(62,_自动清单!$AM$4:$AM$2403,0),"")</f>
        <v/>
      </c>
    </row>
    <row r="68" ht="18" customHeight="1" spans="1:31">
      <c r="A68" s="53" t="str">
        <f>IF($AE68="","",IF(INDEX(对接源_01水果!$B$4:$B$1203,$AE68)=0,"",INDEX(对接源_01水果!$B$4:$B$1203,$AE68)))</f>
        <v/>
      </c>
      <c r="B68" s="53" t="str">
        <f>IF($AE68="","",IF(INDEX(对接源_01水果!$E$4:$E$1203,$AE68)=0,"",INDEX(对接源_01水果!$E$4:$E$1203,$AE68)))</f>
        <v/>
      </c>
      <c r="C68" s="53" t="str">
        <f>IF($AE68="","",IF(INDEX(对接源_01水果!$F$4:$F$1203,$AE68)=0,"",INDEX(对接源_01水果!$F$4:$F$1203,$AE68)))</f>
        <v/>
      </c>
      <c r="D68" s="53" t="str">
        <f>IF($AE68="","",IF(INDEX(对接源_01水果!$G$4:$G$1203,$AE68)=0,"",INDEX(对接源_01水果!$G$4:$G$1203,$AE68)))</f>
        <v/>
      </c>
      <c r="E68" s="53" t="str">
        <f>IF($AE68="","",IF(INDEX(对接源_01水果!$H$4:$H$1203,$AE68)=0,"",INDEX(对接源_01水果!$H$4:$H$1203,$AE68)))</f>
        <v/>
      </c>
      <c r="F68" s="53" t="str">
        <f>IF($AE68="","",IF(INDEX(对接源_01水果!$I$4:$I$1203,$AE68)=0,"",INDEX(对接源_01水果!$I$4:$I$1203,$AE68)))</f>
        <v/>
      </c>
      <c r="G68" s="55" t="str">
        <f>IF($AE68="","",IF(INDEX(对接源_01水果!$Z$4:$Z$1203,$AE68)=0,"",INDEX(对接源_01水果!$Z$4:$Z$1203,$AE68)))</f>
        <v/>
      </c>
      <c r="H68" s="55" t="str">
        <f>IF($AE68="","",IF(INDEX(对接源_01水果!$AA$4:$AA$1203,$AE68)=0,"",INDEX(对接源_01水果!$AA$4:$AA$1203,$AE68)))</f>
        <v/>
      </c>
      <c r="I68" s="55" t="str">
        <f>IF($AE68="","",IF(INDEX(对接源_01水果!$AG$4:$AG$1203,$AE68)=0,"",INDEX(对接源_01水果!$AG$4:$AG$1203,$AE68)))</f>
        <v/>
      </c>
      <c r="J68" s="55" t="str">
        <f>IF($AE68="","",IF(INDEX(对接源_01水果!$AJ$4:$AJ$1203,$AE68)=0,"",INDEX(对接源_01水果!$AJ$4:$AJ$1203,$AE68)))</f>
        <v/>
      </c>
      <c r="K68" s="53" t="str">
        <f>IF($AE68="","",IF(INDEX(对接源_01水果!$AB$4:$AB$1203,$AE68)=0,"",INDEX(对接源_01水果!$AB$4:$AB$1203,$AE68)))</f>
        <v/>
      </c>
      <c r="L68" s="56" t="str">
        <f>IF($AE68="","",IF(INDEX(对接源_01水果!$M$4:$M$1203,$AE68)=0,"",INDEX(对接源_01水果!$M$4:$M$1203,$AE68)))</f>
        <v/>
      </c>
      <c r="AE68" s="2" t="str">
        <f>IFERROR(MATCH(63,_自动清单!$AM$4:$AM$2403,0),"")</f>
        <v/>
      </c>
    </row>
    <row r="69" ht="18" customHeight="1" spans="1:31">
      <c r="A69" s="53" t="str">
        <f>IF($AE69="","",IF(INDEX(对接源_01水果!$B$4:$B$1203,$AE69)=0,"",INDEX(对接源_01水果!$B$4:$B$1203,$AE69)))</f>
        <v/>
      </c>
      <c r="B69" s="53" t="str">
        <f>IF($AE69="","",IF(INDEX(对接源_01水果!$E$4:$E$1203,$AE69)=0,"",INDEX(对接源_01水果!$E$4:$E$1203,$AE69)))</f>
        <v/>
      </c>
      <c r="C69" s="53" t="str">
        <f>IF($AE69="","",IF(INDEX(对接源_01水果!$F$4:$F$1203,$AE69)=0,"",INDEX(对接源_01水果!$F$4:$F$1203,$AE69)))</f>
        <v/>
      </c>
      <c r="D69" s="53" t="str">
        <f>IF($AE69="","",IF(INDEX(对接源_01水果!$G$4:$G$1203,$AE69)=0,"",INDEX(对接源_01水果!$G$4:$G$1203,$AE69)))</f>
        <v/>
      </c>
      <c r="E69" s="53" t="str">
        <f>IF($AE69="","",IF(INDEX(对接源_01水果!$H$4:$H$1203,$AE69)=0,"",INDEX(对接源_01水果!$H$4:$H$1203,$AE69)))</f>
        <v/>
      </c>
      <c r="F69" s="53" t="str">
        <f>IF($AE69="","",IF(INDEX(对接源_01水果!$I$4:$I$1203,$AE69)=0,"",INDEX(对接源_01水果!$I$4:$I$1203,$AE69)))</f>
        <v/>
      </c>
      <c r="G69" s="55" t="str">
        <f>IF($AE69="","",IF(INDEX(对接源_01水果!$Z$4:$Z$1203,$AE69)=0,"",INDEX(对接源_01水果!$Z$4:$Z$1203,$AE69)))</f>
        <v/>
      </c>
      <c r="H69" s="55" t="str">
        <f>IF($AE69="","",IF(INDEX(对接源_01水果!$AA$4:$AA$1203,$AE69)=0,"",INDEX(对接源_01水果!$AA$4:$AA$1203,$AE69)))</f>
        <v/>
      </c>
      <c r="I69" s="55" t="str">
        <f>IF($AE69="","",IF(INDEX(对接源_01水果!$AG$4:$AG$1203,$AE69)=0,"",INDEX(对接源_01水果!$AG$4:$AG$1203,$AE69)))</f>
        <v/>
      </c>
      <c r="J69" s="55" t="str">
        <f>IF($AE69="","",IF(INDEX(对接源_01水果!$AJ$4:$AJ$1203,$AE69)=0,"",INDEX(对接源_01水果!$AJ$4:$AJ$1203,$AE69)))</f>
        <v/>
      </c>
      <c r="K69" s="53" t="str">
        <f>IF($AE69="","",IF(INDEX(对接源_01水果!$AB$4:$AB$1203,$AE69)=0,"",INDEX(对接源_01水果!$AB$4:$AB$1203,$AE69)))</f>
        <v/>
      </c>
      <c r="L69" s="56" t="str">
        <f>IF($AE69="","",IF(INDEX(对接源_01水果!$M$4:$M$1203,$AE69)=0,"",INDEX(对接源_01水果!$M$4:$M$1203,$AE69)))</f>
        <v/>
      </c>
      <c r="AE69" s="2" t="str">
        <f>IFERROR(MATCH(64,_自动清单!$AM$4:$AM$2403,0),"")</f>
        <v/>
      </c>
    </row>
    <row r="70" ht="18" customHeight="1" spans="1:31">
      <c r="A70" s="53" t="str">
        <f>IF($AE70="","",IF(INDEX(对接源_01水果!$B$4:$B$1203,$AE70)=0,"",INDEX(对接源_01水果!$B$4:$B$1203,$AE70)))</f>
        <v/>
      </c>
      <c r="B70" s="53" t="str">
        <f>IF($AE70="","",IF(INDEX(对接源_01水果!$E$4:$E$1203,$AE70)=0,"",INDEX(对接源_01水果!$E$4:$E$1203,$AE70)))</f>
        <v/>
      </c>
      <c r="C70" s="53" t="str">
        <f>IF($AE70="","",IF(INDEX(对接源_01水果!$F$4:$F$1203,$AE70)=0,"",INDEX(对接源_01水果!$F$4:$F$1203,$AE70)))</f>
        <v/>
      </c>
      <c r="D70" s="53" t="str">
        <f>IF($AE70="","",IF(INDEX(对接源_01水果!$G$4:$G$1203,$AE70)=0,"",INDEX(对接源_01水果!$G$4:$G$1203,$AE70)))</f>
        <v/>
      </c>
      <c r="E70" s="53" t="str">
        <f>IF($AE70="","",IF(INDEX(对接源_01水果!$H$4:$H$1203,$AE70)=0,"",INDEX(对接源_01水果!$H$4:$H$1203,$AE70)))</f>
        <v/>
      </c>
      <c r="F70" s="53" t="str">
        <f>IF($AE70="","",IF(INDEX(对接源_01水果!$I$4:$I$1203,$AE70)=0,"",INDEX(对接源_01水果!$I$4:$I$1203,$AE70)))</f>
        <v/>
      </c>
      <c r="G70" s="55" t="str">
        <f>IF($AE70="","",IF(INDEX(对接源_01水果!$Z$4:$Z$1203,$AE70)=0,"",INDEX(对接源_01水果!$Z$4:$Z$1203,$AE70)))</f>
        <v/>
      </c>
      <c r="H70" s="55" t="str">
        <f>IF($AE70="","",IF(INDEX(对接源_01水果!$AA$4:$AA$1203,$AE70)=0,"",INDEX(对接源_01水果!$AA$4:$AA$1203,$AE70)))</f>
        <v/>
      </c>
      <c r="I70" s="55" t="str">
        <f>IF($AE70="","",IF(INDEX(对接源_01水果!$AG$4:$AG$1203,$AE70)=0,"",INDEX(对接源_01水果!$AG$4:$AG$1203,$AE70)))</f>
        <v/>
      </c>
      <c r="J70" s="55" t="str">
        <f>IF($AE70="","",IF(INDEX(对接源_01水果!$AJ$4:$AJ$1203,$AE70)=0,"",INDEX(对接源_01水果!$AJ$4:$AJ$1203,$AE70)))</f>
        <v/>
      </c>
      <c r="K70" s="53" t="str">
        <f>IF($AE70="","",IF(INDEX(对接源_01水果!$AB$4:$AB$1203,$AE70)=0,"",INDEX(对接源_01水果!$AB$4:$AB$1203,$AE70)))</f>
        <v/>
      </c>
      <c r="L70" s="56" t="str">
        <f>IF($AE70="","",IF(INDEX(对接源_01水果!$M$4:$M$1203,$AE70)=0,"",INDEX(对接源_01水果!$M$4:$M$1203,$AE70)))</f>
        <v/>
      </c>
      <c r="AE70" s="2" t="str">
        <f>IFERROR(MATCH(65,_自动清单!$AM$4:$AM$2403,0),"")</f>
        <v/>
      </c>
    </row>
    <row r="71" ht="18" customHeight="1" spans="1:31">
      <c r="A71" s="53" t="str">
        <f>IF($AE71="","",IF(INDEX(对接源_01水果!$B$4:$B$1203,$AE71)=0,"",INDEX(对接源_01水果!$B$4:$B$1203,$AE71)))</f>
        <v/>
      </c>
      <c r="B71" s="53" t="str">
        <f>IF($AE71="","",IF(INDEX(对接源_01水果!$E$4:$E$1203,$AE71)=0,"",INDEX(对接源_01水果!$E$4:$E$1203,$AE71)))</f>
        <v/>
      </c>
      <c r="C71" s="53" t="str">
        <f>IF($AE71="","",IF(INDEX(对接源_01水果!$F$4:$F$1203,$AE71)=0,"",INDEX(对接源_01水果!$F$4:$F$1203,$AE71)))</f>
        <v/>
      </c>
      <c r="D71" s="53" t="str">
        <f>IF($AE71="","",IF(INDEX(对接源_01水果!$G$4:$G$1203,$AE71)=0,"",INDEX(对接源_01水果!$G$4:$G$1203,$AE71)))</f>
        <v/>
      </c>
      <c r="E71" s="53" t="str">
        <f>IF($AE71="","",IF(INDEX(对接源_01水果!$H$4:$H$1203,$AE71)=0,"",INDEX(对接源_01水果!$H$4:$H$1203,$AE71)))</f>
        <v/>
      </c>
      <c r="F71" s="53" t="str">
        <f>IF($AE71="","",IF(INDEX(对接源_01水果!$I$4:$I$1203,$AE71)=0,"",INDEX(对接源_01水果!$I$4:$I$1203,$AE71)))</f>
        <v/>
      </c>
      <c r="G71" s="55" t="str">
        <f>IF($AE71="","",IF(INDEX(对接源_01水果!$Z$4:$Z$1203,$AE71)=0,"",INDEX(对接源_01水果!$Z$4:$Z$1203,$AE71)))</f>
        <v/>
      </c>
      <c r="H71" s="55" t="str">
        <f>IF($AE71="","",IF(INDEX(对接源_01水果!$AA$4:$AA$1203,$AE71)=0,"",INDEX(对接源_01水果!$AA$4:$AA$1203,$AE71)))</f>
        <v/>
      </c>
      <c r="I71" s="55" t="str">
        <f>IF($AE71="","",IF(INDEX(对接源_01水果!$AG$4:$AG$1203,$AE71)=0,"",INDEX(对接源_01水果!$AG$4:$AG$1203,$AE71)))</f>
        <v/>
      </c>
      <c r="J71" s="55" t="str">
        <f>IF($AE71="","",IF(INDEX(对接源_01水果!$AJ$4:$AJ$1203,$AE71)=0,"",INDEX(对接源_01水果!$AJ$4:$AJ$1203,$AE71)))</f>
        <v/>
      </c>
      <c r="K71" s="53" t="str">
        <f>IF($AE71="","",IF(INDEX(对接源_01水果!$AB$4:$AB$1203,$AE71)=0,"",INDEX(对接源_01水果!$AB$4:$AB$1203,$AE71)))</f>
        <v/>
      </c>
      <c r="L71" s="56" t="str">
        <f>IF($AE71="","",IF(INDEX(对接源_01水果!$M$4:$M$1203,$AE71)=0,"",INDEX(对接源_01水果!$M$4:$M$1203,$AE71)))</f>
        <v/>
      </c>
      <c r="AE71" s="2" t="str">
        <f>IFERROR(MATCH(66,_自动清单!$AM$4:$AM$2403,0),"")</f>
        <v/>
      </c>
    </row>
    <row r="72" ht="18" customHeight="1" spans="1:31">
      <c r="A72" s="53" t="str">
        <f>IF($AE72="","",IF(INDEX(对接源_01水果!$B$4:$B$1203,$AE72)=0,"",INDEX(对接源_01水果!$B$4:$B$1203,$AE72)))</f>
        <v/>
      </c>
      <c r="B72" s="53" t="str">
        <f>IF($AE72="","",IF(INDEX(对接源_01水果!$E$4:$E$1203,$AE72)=0,"",INDEX(对接源_01水果!$E$4:$E$1203,$AE72)))</f>
        <v/>
      </c>
      <c r="C72" s="53" t="str">
        <f>IF($AE72="","",IF(INDEX(对接源_01水果!$F$4:$F$1203,$AE72)=0,"",INDEX(对接源_01水果!$F$4:$F$1203,$AE72)))</f>
        <v/>
      </c>
      <c r="D72" s="53" t="str">
        <f>IF($AE72="","",IF(INDEX(对接源_01水果!$G$4:$G$1203,$AE72)=0,"",INDEX(对接源_01水果!$G$4:$G$1203,$AE72)))</f>
        <v/>
      </c>
      <c r="E72" s="53" t="str">
        <f>IF($AE72="","",IF(INDEX(对接源_01水果!$H$4:$H$1203,$AE72)=0,"",INDEX(对接源_01水果!$H$4:$H$1203,$AE72)))</f>
        <v/>
      </c>
      <c r="F72" s="53" t="str">
        <f>IF($AE72="","",IF(INDEX(对接源_01水果!$I$4:$I$1203,$AE72)=0,"",INDEX(对接源_01水果!$I$4:$I$1203,$AE72)))</f>
        <v/>
      </c>
      <c r="G72" s="55" t="str">
        <f>IF($AE72="","",IF(INDEX(对接源_01水果!$Z$4:$Z$1203,$AE72)=0,"",INDEX(对接源_01水果!$Z$4:$Z$1203,$AE72)))</f>
        <v/>
      </c>
      <c r="H72" s="55" t="str">
        <f>IF($AE72="","",IF(INDEX(对接源_01水果!$AA$4:$AA$1203,$AE72)=0,"",INDEX(对接源_01水果!$AA$4:$AA$1203,$AE72)))</f>
        <v/>
      </c>
      <c r="I72" s="55" t="str">
        <f>IF($AE72="","",IF(INDEX(对接源_01水果!$AG$4:$AG$1203,$AE72)=0,"",INDEX(对接源_01水果!$AG$4:$AG$1203,$AE72)))</f>
        <v/>
      </c>
      <c r="J72" s="55" t="str">
        <f>IF($AE72="","",IF(INDEX(对接源_01水果!$AJ$4:$AJ$1203,$AE72)=0,"",INDEX(对接源_01水果!$AJ$4:$AJ$1203,$AE72)))</f>
        <v/>
      </c>
      <c r="K72" s="53" t="str">
        <f>IF($AE72="","",IF(INDEX(对接源_01水果!$AB$4:$AB$1203,$AE72)=0,"",INDEX(对接源_01水果!$AB$4:$AB$1203,$AE72)))</f>
        <v/>
      </c>
      <c r="L72" s="56" t="str">
        <f>IF($AE72="","",IF(INDEX(对接源_01水果!$M$4:$M$1203,$AE72)=0,"",INDEX(对接源_01水果!$M$4:$M$1203,$AE72)))</f>
        <v/>
      </c>
      <c r="AE72" s="2" t="str">
        <f>IFERROR(MATCH(67,_自动清单!$AM$4:$AM$2403,0),"")</f>
        <v/>
      </c>
    </row>
    <row r="73" ht="18" customHeight="1" spans="1:31">
      <c r="A73" s="53" t="str">
        <f>IF($AE73="","",IF(INDEX(对接源_01水果!$B$4:$B$1203,$AE73)=0,"",INDEX(对接源_01水果!$B$4:$B$1203,$AE73)))</f>
        <v/>
      </c>
      <c r="B73" s="53" t="str">
        <f>IF($AE73="","",IF(INDEX(对接源_01水果!$E$4:$E$1203,$AE73)=0,"",INDEX(对接源_01水果!$E$4:$E$1203,$AE73)))</f>
        <v/>
      </c>
      <c r="C73" s="53" t="str">
        <f>IF($AE73="","",IF(INDEX(对接源_01水果!$F$4:$F$1203,$AE73)=0,"",INDEX(对接源_01水果!$F$4:$F$1203,$AE73)))</f>
        <v/>
      </c>
      <c r="D73" s="53" t="str">
        <f>IF($AE73="","",IF(INDEX(对接源_01水果!$G$4:$G$1203,$AE73)=0,"",INDEX(对接源_01水果!$G$4:$G$1203,$AE73)))</f>
        <v/>
      </c>
      <c r="E73" s="53" t="str">
        <f>IF($AE73="","",IF(INDEX(对接源_01水果!$H$4:$H$1203,$AE73)=0,"",INDEX(对接源_01水果!$H$4:$H$1203,$AE73)))</f>
        <v/>
      </c>
      <c r="F73" s="53" t="str">
        <f>IF($AE73="","",IF(INDEX(对接源_01水果!$I$4:$I$1203,$AE73)=0,"",INDEX(对接源_01水果!$I$4:$I$1203,$AE73)))</f>
        <v/>
      </c>
      <c r="G73" s="55" t="str">
        <f>IF($AE73="","",IF(INDEX(对接源_01水果!$Z$4:$Z$1203,$AE73)=0,"",INDEX(对接源_01水果!$Z$4:$Z$1203,$AE73)))</f>
        <v/>
      </c>
      <c r="H73" s="55" t="str">
        <f>IF($AE73="","",IF(INDEX(对接源_01水果!$AA$4:$AA$1203,$AE73)=0,"",INDEX(对接源_01水果!$AA$4:$AA$1203,$AE73)))</f>
        <v/>
      </c>
      <c r="I73" s="55" t="str">
        <f>IF($AE73="","",IF(INDEX(对接源_01水果!$AG$4:$AG$1203,$AE73)=0,"",INDEX(对接源_01水果!$AG$4:$AG$1203,$AE73)))</f>
        <v/>
      </c>
      <c r="J73" s="55" t="str">
        <f>IF($AE73="","",IF(INDEX(对接源_01水果!$AJ$4:$AJ$1203,$AE73)=0,"",INDEX(对接源_01水果!$AJ$4:$AJ$1203,$AE73)))</f>
        <v/>
      </c>
      <c r="K73" s="53" t="str">
        <f>IF($AE73="","",IF(INDEX(对接源_01水果!$AB$4:$AB$1203,$AE73)=0,"",INDEX(对接源_01水果!$AB$4:$AB$1203,$AE73)))</f>
        <v/>
      </c>
      <c r="L73" s="56" t="str">
        <f>IF($AE73="","",IF(INDEX(对接源_01水果!$M$4:$M$1203,$AE73)=0,"",INDEX(对接源_01水果!$M$4:$M$1203,$AE73)))</f>
        <v/>
      </c>
      <c r="AE73" s="2" t="str">
        <f>IFERROR(MATCH(68,_自动清单!$AM$4:$AM$2403,0),"")</f>
        <v/>
      </c>
    </row>
    <row r="74" ht="18" customHeight="1" spans="1:31">
      <c r="A74" s="53" t="str">
        <f>IF($AE74="","",IF(INDEX(对接源_01水果!$B$4:$B$1203,$AE74)=0,"",INDEX(对接源_01水果!$B$4:$B$1203,$AE74)))</f>
        <v/>
      </c>
      <c r="B74" s="53" t="str">
        <f>IF($AE74="","",IF(INDEX(对接源_01水果!$E$4:$E$1203,$AE74)=0,"",INDEX(对接源_01水果!$E$4:$E$1203,$AE74)))</f>
        <v/>
      </c>
      <c r="C74" s="53" t="str">
        <f>IF($AE74="","",IF(INDEX(对接源_01水果!$F$4:$F$1203,$AE74)=0,"",INDEX(对接源_01水果!$F$4:$F$1203,$AE74)))</f>
        <v/>
      </c>
      <c r="D74" s="53" t="str">
        <f>IF($AE74="","",IF(INDEX(对接源_01水果!$G$4:$G$1203,$AE74)=0,"",INDEX(对接源_01水果!$G$4:$G$1203,$AE74)))</f>
        <v/>
      </c>
      <c r="E74" s="53" t="str">
        <f>IF($AE74="","",IF(INDEX(对接源_01水果!$H$4:$H$1203,$AE74)=0,"",INDEX(对接源_01水果!$H$4:$H$1203,$AE74)))</f>
        <v/>
      </c>
      <c r="F74" s="53" t="str">
        <f>IF($AE74="","",IF(INDEX(对接源_01水果!$I$4:$I$1203,$AE74)=0,"",INDEX(对接源_01水果!$I$4:$I$1203,$AE74)))</f>
        <v/>
      </c>
      <c r="G74" s="55" t="str">
        <f>IF($AE74="","",IF(INDEX(对接源_01水果!$Z$4:$Z$1203,$AE74)=0,"",INDEX(对接源_01水果!$Z$4:$Z$1203,$AE74)))</f>
        <v/>
      </c>
      <c r="H74" s="55" t="str">
        <f>IF($AE74="","",IF(INDEX(对接源_01水果!$AA$4:$AA$1203,$AE74)=0,"",INDEX(对接源_01水果!$AA$4:$AA$1203,$AE74)))</f>
        <v/>
      </c>
      <c r="I74" s="55" t="str">
        <f>IF($AE74="","",IF(INDEX(对接源_01水果!$AG$4:$AG$1203,$AE74)=0,"",INDEX(对接源_01水果!$AG$4:$AG$1203,$AE74)))</f>
        <v/>
      </c>
      <c r="J74" s="55" t="str">
        <f>IF($AE74="","",IF(INDEX(对接源_01水果!$AJ$4:$AJ$1203,$AE74)=0,"",INDEX(对接源_01水果!$AJ$4:$AJ$1203,$AE74)))</f>
        <v/>
      </c>
      <c r="K74" s="53" t="str">
        <f>IF($AE74="","",IF(INDEX(对接源_01水果!$AB$4:$AB$1203,$AE74)=0,"",INDEX(对接源_01水果!$AB$4:$AB$1203,$AE74)))</f>
        <v/>
      </c>
      <c r="L74" s="56" t="str">
        <f>IF($AE74="","",IF(INDEX(对接源_01水果!$M$4:$M$1203,$AE74)=0,"",INDEX(对接源_01水果!$M$4:$M$1203,$AE74)))</f>
        <v/>
      </c>
      <c r="AE74" s="2" t="str">
        <f>IFERROR(MATCH(69,_自动清单!$AM$4:$AM$2403,0),"")</f>
        <v/>
      </c>
    </row>
    <row r="75" ht="18" customHeight="1" spans="1:31">
      <c r="A75" s="53" t="str">
        <f>IF($AE75="","",IF(INDEX(对接源_01水果!$B$4:$B$1203,$AE75)=0,"",INDEX(对接源_01水果!$B$4:$B$1203,$AE75)))</f>
        <v/>
      </c>
      <c r="B75" s="53" t="str">
        <f>IF($AE75="","",IF(INDEX(对接源_01水果!$E$4:$E$1203,$AE75)=0,"",INDEX(对接源_01水果!$E$4:$E$1203,$AE75)))</f>
        <v/>
      </c>
      <c r="C75" s="53" t="str">
        <f>IF($AE75="","",IF(INDEX(对接源_01水果!$F$4:$F$1203,$AE75)=0,"",INDEX(对接源_01水果!$F$4:$F$1203,$AE75)))</f>
        <v/>
      </c>
      <c r="D75" s="53" t="str">
        <f>IF($AE75="","",IF(INDEX(对接源_01水果!$G$4:$G$1203,$AE75)=0,"",INDEX(对接源_01水果!$G$4:$G$1203,$AE75)))</f>
        <v/>
      </c>
      <c r="E75" s="53" t="str">
        <f>IF($AE75="","",IF(INDEX(对接源_01水果!$H$4:$H$1203,$AE75)=0,"",INDEX(对接源_01水果!$H$4:$H$1203,$AE75)))</f>
        <v/>
      </c>
      <c r="F75" s="53" t="str">
        <f>IF($AE75="","",IF(INDEX(对接源_01水果!$I$4:$I$1203,$AE75)=0,"",INDEX(对接源_01水果!$I$4:$I$1203,$AE75)))</f>
        <v/>
      </c>
      <c r="G75" s="55" t="str">
        <f>IF($AE75="","",IF(INDEX(对接源_01水果!$Z$4:$Z$1203,$AE75)=0,"",INDEX(对接源_01水果!$Z$4:$Z$1203,$AE75)))</f>
        <v/>
      </c>
      <c r="H75" s="55" t="str">
        <f>IF($AE75="","",IF(INDEX(对接源_01水果!$AA$4:$AA$1203,$AE75)=0,"",INDEX(对接源_01水果!$AA$4:$AA$1203,$AE75)))</f>
        <v/>
      </c>
      <c r="I75" s="55" t="str">
        <f>IF($AE75="","",IF(INDEX(对接源_01水果!$AG$4:$AG$1203,$AE75)=0,"",INDEX(对接源_01水果!$AG$4:$AG$1203,$AE75)))</f>
        <v/>
      </c>
      <c r="J75" s="55" t="str">
        <f>IF($AE75="","",IF(INDEX(对接源_01水果!$AJ$4:$AJ$1203,$AE75)=0,"",INDEX(对接源_01水果!$AJ$4:$AJ$1203,$AE75)))</f>
        <v/>
      </c>
      <c r="K75" s="53" t="str">
        <f>IF($AE75="","",IF(INDEX(对接源_01水果!$AB$4:$AB$1203,$AE75)=0,"",INDEX(对接源_01水果!$AB$4:$AB$1203,$AE75)))</f>
        <v/>
      </c>
      <c r="L75" s="56" t="str">
        <f>IF($AE75="","",IF(INDEX(对接源_01水果!$M$4:$M$1203,$AE75)=0,"",INDEX(对接源_01水果!$M$4:$M$1203,$AE75)))</f>
        <v/>
      </c>
      <c r="AE75" s="2" t="str">
        <f>IFERROR(MATCH(70,_自动清单!$AM$4:$AM$2403,0),"")</f>
        <v/>
      </c>
    </row>
    <row r="76" ht="18" customHeight="1" spans="1:31">
      <c r="A76" s="53" t="str">
        <f>IF($AE76="","",IF(INDEX(对接源_01水果!$B$4:$B$1203,$AE76)=0,"",INDEX(对接源_01水果!$B$4:$B$1203,$AE76)))</f>
        <v/>
      </c>
      <c r="B76" s="53" t="str">
        <f>IF($AE76="","",IF(INDEX(对接源_01水果!$E$4:$E$1203,$AE76)=0,"",INDEX(对接源_01水果!$E$4:$E$1203,$AE76)))</f>
        <v/>
      </c>
      <c r="C76" s="53" t="str">
        <f>IF($AE76="","",IF(INDEX(对接源_01水果!$F$4:$F$1203,$AE76)=0,"",INDEX(对接源_01水果!$F$4:$F$1203,$AE76)))</f>
        <v/>
      </c>
      <c r="D76" s="53" t="str">
        <f>IF($AE76="","",IF(INDEX(对接源_01水果!$G$4:$G$1203,$AE76)=0,"",INDEX(对接源_01水果!$G$4:$G$1203,$AE76)))</f>
        <v/>
      </c>
      <c r="E76" s="53" t="str">
        <f>IF($AE76="","",IF(INDEX(对接源_01水果!$H$4:$H$1203,$AE76)=0,"",INDEX(对接源_01水果!$H$4:$H$1203,$AE76)))</f>
        <v/>
      </c>
      <c r="F76" s="53" t="str">
        <f>IF($AE76="","",IF(INDEX(对接源_01水果!$I$4:$I$1203,$AE76)=0,"",INDEX(对接源_01水果!$I$4:$I$1203,$AE76)))</f>
        <v/>
      </c>
      <c r="G76" s="55" t="str">
        <f>IF($AE76="","",IF(INDEX(对接源_01水果!$Z$4:$Z$1203,$AE76)=0,"",INDEX(对接源_01水果!$Z$4:$Z$1203,$AE76)))</f>
        <v/>
      </c>
      <c r="H76" s="55" t="str">
        <f>IF($AE76="","",IF(INDEX(对接源_01水果!$AA$4:$AA$1203,$AE76)=0,"",INDEX(对接源_01水果!$AA$4:$AA$1203,$AE76)))</f>
        <v/>
      </c>
      <c r="I76" s="55" t="str">
        <f>IF($AE76="","",IF(INDEX(对接源_01水果!$AG$4:$AG$1203,$AE76)=0,"",INDEX(对接源_01水果!$AG$4:$AG$1203,$AE76)))</f>
        <v/>
      </c>
      <c r="J76" s="55" t="str">
        <f>IF($AE76="","",IF(INDEX(对接源_01水果!$AJ$4:$AJ$1203,$AE76)=0,"",INDEX(对接源_01水果!$AJ$4:$AJ$1203,$AE76)))</f>
        <v/>
      </c>
      <c r="K76" s="53" t="str">
        <f>IF($AE76="","",IF(INDEX(对接源_01水果!$AB$4:$AB$1203,$AE76)=0,"",INDEX(对接源_01水果!$AB$4:$AB$1203,$AE76)))</f>
        <v/>
      </c>
      <c r="L76" s="56" t="str">
        <f>IF($AE76="","",IF(INDEX(对接源_01水果!$M$4:$M$1203,$AE76)=0,"",INDEX(对接源_01水果!$M$4:$M$1203,$AE76)))</f>
        <v/>
      </c>
      <c r="AE76" s="2" t="str">
        <f>IFERROR(MATCH(71,_自动清单!$AM$4:$AM$2403,0),"")</f>
        <v/>
      </c>
    </row>
    <row r="77" ht="18" customHeight="1" spans="1:31">
      <c r="A77" s="53" t="str">
        <f>IF($AE77="","",IF(INDEX(对接源_01水果!$B$4:$B$1203,$AE77)=0,"",INDEX(对接源_01水果!$B$4:$B$1203,$AE77)))</f>
        <v/>
      </c>
      <c r="B77" s="53" t="str">
        <f>IF($AE77="","",IF(INDEX(对接源_01水果!$E$4:$E$1203,$AE77)=0,"",INDEX(对接源_01水果!$E$4:$E$1203,$AE77)))</f>
        <v/>
      </c>
      <c r="C77" s="53" t="str">
        <f>IF($AE77="","",IF(INDEX(对接源_01水果!$F$4:$F$1203,$AE77)=0,"",INDEX(对接源_01水果!$F$4:$F$1203,$AE77)))</f>
        <v/>
      </c>
      <c r="D77" s="53" t="str">
        <f>IF($AE77="","",IF(INDEX(对接源_01水果!$G$4:$G$1203,$AE77)=0,"",INDEX(对接源_01水果!$G$4:$G$1203,$AE77)))</f>
        <v/>
      </c>
      <c r="E77" s="53" t="str">
        <f>IF($AE77="","",IF(INDEX(对接源_01水果!$H$4:$H$1203,$AE77)=0,"",INDEX(对接源_01水果!$H$4:$H$1203,$AE77)))</f>
        <v/>
      </c>
      <c r="F77" s="53" t="str">
        <f>IF($AE77="","",IF(INDEX(对接源_01水果!$I$4:$I$1203,$AE77)=0,"",INDEX(对接源_01水果!$I$4:$I$1203,$AE77)))</f>
        <v/>
      </c>
      <c r="G77" s="55" t="str">
        <f>IF($AE77="","",IF(INDEX(对接源_01水果!$Z$4:$Z$1203,$AE77)=0,"",INDEX(对接源_01水果!$Z$4:$Z$1203,$AE77)))</f>
        <v/>
      </c>
      <c r="H77" s="55" t="str">
        <f>IF($AE77="","",IF(INDEX(对接源_01水果!$AA$4:$AA$1203,$AE77)=0,"",INDEX(对接源_01水果!$AA$4:$AA$1203,$AE77)))</f>
        <v/>
      </c>
      <c r="I77" s="55" t="str">
        <f>IF($AE77="","",IF(INDEX(对接源_01水果!$AG$4:$AG$1203,$AE77)=0,"",INDEX(对接源_01水果!$AG$4:$AG$1203,$AE77)))</f>
        <v/>
      </c>
      <c r="J77" s="55" t="str">
        <f>IF($AE77="","",IF(INDEX(对接源_01水果!$AJ$4:$AJ$1203,$AE77)=0,"",INDEX(对接源_01水果!$AJ$4:$AJ$1203,$AE77)))</f>
        <v/>
      </c>
      <c r="K77" s="53" t="str">
        <f>IF($AE77="","",IF(INDEX(对接源_01水果!$AB$4:$AB$1203,$AE77)=0,"",INDEX(对接源_01水果!$AB$4:$AB$1203,$AE77)))</f>
        <v/>
      </c>
      <c r="L77" s="56" t="str">
        <f>IF($AE77="","",IF(INDEX(对接源_01水果!$M$4:$M$1203,$AE77)=0,"",INDEX(对接源_01水果!$M$4:$M$1203,$AE77)))</f>
        <v/>
      </c>
      <c r="AE77" s="2" t="str">
        <f>IFERROR(MATCH(72,_自动清单!$AM$4:$AM$2403,0),"")</f>
        <v/>
      </c>
    </row>
    <row r="78" ht="18" customHeight="1" spans="1:31">
      <c r="A78" s="53" t="str">
        <f>IF($AE78="","",IF(INDEX(对接源_01水果!$B$4:$B$1203,$AE78)=0,"",INDEX(对接源_01水果!$B$4:$B$1203,$AE78)))</f>
        <v/>
      </c>
      <c r="B78" s="53" t="str">
        <f>IF($AE78="","",IF(INDEX(对接源_01水果!$E$4:$E$1203,$AE78)=0,"",INDEX(对接源_01水果!$E$4:$E$1203,$AE78)))</f>
        <v/>
      </c>
      <c r="C78" s="53" t="str">
        <f>IF($AE78="","",IF(INDEX(对接源_01水果!$F$4:$F$1203,$AE78)=0,"",INDEX(对接源_01水果!$F$4:$F$1203,$AE78)))</f>
        <v/>
      </c>
      <c r="D78" s="53" t="str">
        <f>IF($AE78="","",IF(INDEX(对接源_01水果!$G$4:$G$1203,$AE78)=0,"",INDEX(对接源_01水果!$G$4:$G$1203,$AE78)))</f>
        <v/>
      </c>
      <c r="E78" s="53" t="str">
        <f>IF($AE78="","",IF(INDEX(对接源_01水果!$H$4:$H$1203,$AE78)=0,"",INDEX(对接源_01水果!$H$4:$H$1203,$AE78)))</f>
        <v/>
      </c>
      <c r="F78" s="53" t="str">
        <f>IF($AE78="","",IF(INDEX(对接源_01水果!$I$4:$I$1203,$AE78)=0,"",INDEX(对接源_01水果!$I$4:$I$1203,$AE78)))</f>
        <v/>
      </c>
      <c r="G78" s="55" t="str">
        <f>IF($AE78="","",IF(INDEX(对接源_01水果!$Z$4:$Z$1203,$AE78)=0,"",INDEX(对接源_01水果!$Z$4:$Z$1203,$AE78)))</f>
        <v/>
      </c>
      <c r="H78" s="55" t="str">
        <f>IF($AE78="","",IF(INDEX(对接源_01水果!$AA$4:$AA$1203,$AE78)=0,"",INDEX(对接源_01水果!$AA$4:$AA$1203,$AE78)))</f>
        <v/>
      </c>
      <c r="I78" s="55" t="str">
        <f>IF($AE78="","",IF(INDEX(对接源_01水果!$AG$4:$AG$1203,$AE78)=0,"",INDEX(对接源_01水果!$AG$4:$AG$1203,$AE78)))</f>
        <v/>
      </c>
      <c r="J78" s="55" t="str">
        <f>IF($AE78="","",IF(INDEX(对接源_01水果!$AJ$4:$AJ$1203,$AE78)=0,"",INDEX(对接源_01水果!$AJ$4:$AJ$1203,$AE78)))</f>
        <v/>
      </c>
      <c r="K78" s="53" t="str">
        <f>IF($AE78="","",IF(INDEX(对接源_01水果!$AB$4:$AB$1203,$AE78)=0,"",INDEX(对接源_01水果!$AB$4:$AB$1203,$AE78)))</f>
        <v/>
      </c>
      <c r="L78" s="56" t="str">
        <f>IF($AE78="","",IF(INDEX(对接源_01水果!$M$4:$M$1203,$AE78)=0,"",INDEX(对接源_01水果!$M$4:$M$1203,$AE78)))</f>
        <v/>
      </c>
      <c r="AE78" s="2" t="str">
        <f>IFERROR(MATCH(73,_自动清单!$AM$4:$AM$2403,0),"")</f>
        <v/>
      </c>
    </row>
    <row r="79" ht="18" customHeight="1" spans="1:31">
      <c r="A79" s="53" t="str">
        <f>IF($AE79="","",IF(INDEX(对接源_01水果!$B$4:$B$1203,$AE79)=0,"",INDEX(对接源_01水果!$B$4:$B$1203,$AE79)))</f>
        <v/>
      </c>
      <c r="B79" s="53" t="str">
        <f>IF($AE79="","",IF(INDEX(对接源_01水果!$E$4:$E$1203,$AE79)=0,"",INDEX(对接源_01水果!$E$4:$E$1203,$AE79)))</f>
        <v/>
      </c>
      <c r="C79" s="53" t="str">
        <f>IF($AE79="","",IF(INDEX(对接源_01水果!$F$4:$F$1203,$AE79)=0,"",INDEX(对接源_01水果!$F$4:$F$1203,$AE79)))</f>
        <v/>
      </c>
      <c r="D79" s="53" t="str">
        <f>IF($AE79="","",IF(INDEX(对接源_01水果!$G$4:$G$1203,$AE79)=0,"",INDEX(对接源_01水果!$G$4:$G$1203,$AE79)))</f>
        <v/>
      </c>
      <c r="E79" s="53" t="str">
        <f>IF($AE79="","",IF(INDEX(对接源_01水果!$H$4:$H$1203,$AE79)=0,"",INDEX(对接源_01水果!$H$4:$H$1203,$AE79)))</f>
        <v/>
      </c>
      <c r="F79" s="53" t="str">
        <f>IF($AE79="","",IF(INDEX(对接源_01水果!$I$4:$I$1203,$AE79)=0,"",INDEX(对接源_01水果!$I$4:$I$1203,$AE79)))</f>
        <v/>
      </c>
      <c r="G79" s="55" t="str">
        <f>IF($AE79="","",IF(INDEX(对接源_01水果!$Z$4:$Z$1203,$AE79)=0,"",INDEX(对接源_01水果!$Z$4:$Z$1203,$AE79)))</f>
        <v/>
      </c>
      <c r="H79" s="55" t="str">
        <f>IF($AE79="","",IF(INDEX(对接源_01水果!$AA$4:$AA$1203,$AE79)=0,"",INDEX(对接源_01水果!$AA$4:$AA$1203,$AE79)))</f>
        <v/>
      </c>
      <c r="I79" s="55" t="str">
        <f>IF($AE79="","",IF(INDEX(对接源_01水果!$AG$4:$AG$1203,$AE79)=0,"",INDEX(对接源_01水果!$AG$4:$AG$1203,$AE79)))</f>
        <v/>
      </c>
      <c r="J79" s="55" t="str">
        <f>IF($AE79="","",IF(INDEX(对接源_01水果!$AJ$4:$AJ$1203,$AE79)=0,"",INDEX(对接源_01水果!$AJ$4:$AJ$1203,$AE79)))</f>
        <v/>
      </c>
      <c r="K79" s="53" t="str">
        <f>IF($AE79="","",IF(INDEX(对接源_01水果!$AB$4:$AB$1203,$AE79)=0,"",INDEX(对接源_01水果!$AB$4:$AB$1203,$AE79)))</f>
        <v/>
      </c>
      <c r="L79" s="56" t="str">
        <f>IF($AE79="","",IF(INDEX(对接源_01水果!$M$4:$M$1203,$AE79)=0,"",INDEX(对接源_01水果!$M$4:$M$1203,$AE79)))</f>
        <v/>
      </c>
      <c r="AE79" s="2" t="str">
        <f>IFERROR(MATCH(74,_自动清单!$AM$4:$AM$2403,0),"")</f>
        <v/>
      </c>
    </row>
    <row r="80" ht="18" customHeight="1" spans="1:31">
      <c r="A80" s="53" t="str">
        <f>IF($AE80="","",IF(INDEX(对接源_01水果!$B$4:$B$1203,$AE80)=0,"",INDEX(对接源_01水果!$B$4:$B$1203,$AE80)))</f>
        <v/>
      </c>
      <c r="B80" s="53" t="str">
        <f>IF($AE80="","",IF(INDEX(对接源_01水果!$E$4:$E$1203,$AE80)=0,"",INDEX(对接源_01水果!$E$4:$E$1203,$AE80)))</f>
        <v/>
      </c>
      <c r="C80" s="53" t="str">
        <f>IF($AE80="","",IF(INDEX(对接源_01水果!$F$4:$F$1203,$AE80)=0,"",INDEX(对接源_01水果!$F$4:$F$1203,$AE80)))</f>
        <v/>
      </c>
      <c r="D80" s="53" t="str">
        <f>IF($AE80="","",IF(INDEX(对接源_01水果!$G$4:$G$1203,$AE80)=0,"",INDEX(对接源_01水果!$G$4:$G$1203,$AE80)))</f>
        <v/>
      </c>
      <c r="E80" s="53" t="str">
        <f>IF($AE80="","",IF(INDEX(对接源_01水果!$H$4:$H$1203,$AE80)=0,"",INDEX(对接源_01水果!$H$4:$H$1203,$AE80)))</f>
        <v/>
      </c>
      <c r="F80" s="53" t="str">
        <f>IF($AE80="","",IF(INDEX(对接源_01水果!$I$4:$I$1203,$AE80)=0,"",INDEX(对接源_01水果!$I$4:$I$1203,$AE80)))</f>
        <v/>
      </c>
      <c r="G80" s="55" t="str">
        <f>IF($AE80="","",IF(INDEX(对接源_01水果!$Z$4:$Z$1203,$AE80)=0,"",INDEX(对接源_01水果!$Z$4:$Z$1203,$AE80)))</f>
        <v/>
      </c>
      <c r="H80" s="55" t="str">
        <f>IF($AE80="","",IF(INDEX(对接源_01水果!$AA$4:$AA$1203,$AE80)=0,"",INDEX(对接源_01水果!$AA$4:$AA$1203,$AE80)))</f>
        <v/>
      </c>
      <c r="I80" s="55" t="str">
        <f>IF($AE80="","",IF(INDEX(对接源_01水果!$AG$4:$AG$1203,$AE80)=0,"",INDEX(对接源_01水果!$AG$4:$AG$1203,$AE80)))</f>
        <v/>
      </c>
      <c r="J80" s="55" t="str">
        <f>IF($AE80="","",IF(INDEX(对接源_01水果!$AJ$4:$AJ$1203,$AE80)=0,"",INDEX(对接源_01水果!$AJ$4:$AJ$1203,$AE80)))</f>
        <v/>
      </c>
      <c r="K80" s="53" t="str">
        <f>IF($AE80="","",IF(INDEX(对接源_01水果!$AB$4:$AB$1203,$AE80)=0,"",INDEX(对接源_01水果!$AB$4:$AB$1203,$AE80)))</f>
        <v/>
      </c>
      <c r="L80" s="56" t="str">
        <f>IF($AE80="","",IF(INDEX(对接源_01水果!$M$4:$M$1203,$AE80)=0,"",INDEX(对接源_01水果!$M$4:$M$1203,$AE80)))</f>
        <v/>
      </c>
      <c r="AE80" s="2" t="str">
        <f>IFERROR(MATCH(75,_自动清单!$AM$4:$AM$2403,0),"")</f>
        <v/>
      </c>
    </row>
    <row r="81" ht="18" customHeight="1" spans="1:31">
      <c r="A81" s="53" t="str">
        <f>IF($AE81="","",IF(INDEX(对接源_01水果!$B$4:$B$1203,$AE81)=0,"",INDEX(对接源_01水果!$B$4:$B$1203,$AE81)))</f>
        <v/>
      </c>
      <c r="B81" s="53" t="str">
        <f>IF($AE81="","",IF(INDEX(对接源_01水果!$E$4:$E$1203,$AE81)=0,"",INDEX(对接源_01水果!$E$4:$E$1203,$AE81)))</f>
        <v/>
      </c>
      <c r="C81" s="53" t="str">
        <f>IF($AE81="","",IF(INDEX(对接源_01水果!$F$4:$F$1203,$AE81)=0,"",INDEX(对接源_01水果!$F$4:$F$1203,$AE81)))</f>
        <v/>
      </c>
      <c r="D81" s="53" t="str">
        <f>IF($AE81="","",IF(INDEX(对接源_01水果!$G$4:$G$1203,$AE81)=0,"",INDEX(对接源_01水果!$G$4:$G$1203,$AE81)))</f>
        <v/>
      </c>
      <c r="E81" s="53" t="str">
        <f>IF($AE81="","",IF(INDEX(对接源_01水果!$H$4:$H$1203,$AE81)=0,"",INDEX(对接源_01水果!$H$4:$H$1203,$AE81)))</f>
        <v/>
      </c>
      <c r="F81" s="53" t="str">
        <f>IF($AE81="","",IF(INDEX(对接源_01水果!$I$4:$I$1203,$AE81)=0,"",INDEX(对接源_01水果!$I$4:$I$1203,$AE81)))</f>
        <v/>
      </c>
      <c r="G81" s="55" t="str">
        <f>IF($AE81="","",IF(INDEX(对接源_01水果!$Z$4:$Z$1203,$AE81)=0,"",INDEX(对接源_01水果!$Z$4:$Z$1203,$AE81)))</f>
        <v/>
      </c>
      <c r="H81" s="55" t="str">
        <f>IF($AE81="","",IF(INDEX(对接源_01水果!$AA$4:$AA$1203,$AE81)=0,"",INDEX(对接源_01水果!$AA$4:$AA$1203,$AE81)))</f>
        <v/>
      </c>
      <c r="I81" s="55" t="str">
        <f>IF($AE81="","",IF(INDEX(对接源_01水果!$AG$4:$AG$1203,$AE81)=0,"",INDEX(对接源_01水果!$AG$4:$AG$1203,$AE81)))</f>
        <v/>
      </c>
      <c r="J81" s="55" t="str">
        <f>IF($AE81="","",IF(INDEX(对接源_01水果!$AJ$4:$AJ$1203,$AE81)=0,"",INDEX(对接源_01水果!$AJ$4:$AJ$1203,$AE81)))</f>
        <v/>
      </c>
      <c r="K81" s="53" t="str">
        <f>IF($AE81="","",IF(INDEX(对接源_01水果!$AB$4:$AB$1203,$AE81)=0,"",INDEX(对接源_01水果!$AB$4:$AB$1203,$AE81)))</f>
        <v/>
      </c>
      <c r="L81" s="56" t="str">
        <f>IF($AE81="","",IF(INDEX(对接源_01水果!$M$4:$M$1203,$AE81)=0,"",INDEX(对接源_01水果!$M$4:$M$1203,$AE81)))</f>
        <v/>
      </c>
      <c r="AE81" s="2" t="str">
        <f>IFERROR(MATCH(76,_自动清单!$AM$4:$AM$2403,0),"")</f>
        <v/>
      </c>
    </row>
    <row r="82" ht="18" customHeight="1" spans="1:31">
      <c r="A82" s="53" t="str">
        <f>IF($AE82="","",IF(INDEX(对接源_01水果!$B$4:$B$1203,$AE82)=0,"",INDEX(对接源_01水果!$B$4:$B$1203,$AE82)))</f>
        <v/>
      </c>
      <c r="B82" s="53" t="str">
        <f>IF($AE82="","",IF(INDEX(对接源_01水果!$E$4:$E$1203,$AE82)=0,"",INDEX(对接源_01水果!$E$4:$E$1203,$AE82)))</f>
        <v/>
      </c>
      <c r="C82" s="53" t="str">
        <f>IF($AE82="","",IF(INDEX(对接源_01水果!$F$4:$F$1203,$AE82)=0,"",INDEX(对接源_01水果!$F$4:$F$1203,$AE82)))</f>
        <v/>
      </c>
      <c r="D82" s="53" t="str">
        <f>IF($AE82="","",IF(INDEX(对接源_01水果!$G$4:$G$1203,$AE82)=0,"",INDEX(对接源_01水果!$G$4:$G$1203,$AE82)))</f>
        <v/>
      </c>
      <c r="E82" s="53" t="str">
        <f>IF($AE82="","",IF(INDEX(对接源_01水果!$H$4:$H$1203,$AE82)=0,"",INDEX(对接源_01水果!$H$4:$H$1203,$AE82)))</f>
        <v/>
      </c>
      <c r="F82" s="53" t="str">
        <f>IF($AE82="","",IF(INDEX(对接源_01水果!$I$4:$I$1203,$AE82)=0,"",INDEX(对接源_01水果!$I$4:$I$1203,$AE82)))</f>
        <v/>
      </c>
      <c r="G82" s="55" t="str">
        <f>IF($AE82="","",IF(INDEX(对接源_01水果!$Z$4:$Z$1203,$AE82)=0,"",INDEX(对接源_01水果!$Z$4:$Z$1203,$AE82)))</f>
        <v/>
      </c>
      <c r="H82" s="55" t="str">
        <f>IF($AE82="","",IF(INDEX(对接源_01水果!$AA$4:$AA$1203,$AE82)=0,"",INDEX(对接源_01水果!$AA$4:$AA$1203,$AE82)))</f>
        <v/>
      </c>
      <c r="I82" s="55" t="str">
        <f>IF($AE82="","",IF(INDEX(对接源_01水果!$AG$4:$AG$1203,$AE82)=0,"",INDEX(对接源_01水果!$AG$4:$AG$1203,$AE82)))</f>
        <v/>
      </c>
      <c r="J82" s="55" t="str">
        <f>IF($AE82="","",IF(INDEX(对接源_01水果!$AJ$4:$AJ$1203,$AE82)=0,"",INDEX(对接源_01水果!$AJ$4:$AJ$1203,$AE82)))</f>
        <v/>
      </c>
      <c r="K82" s="53" t="str">
        <f>IF($AE82="","",IF(INDEX(对接源_01水果!$AB$4:$AB$1203,$AE82)=0,"",INDEX(对接源_01水果!$AB$4:$AB$1203,$AE82)))</f>
        <v/>
      </c>
      <c r="L82" s="56" t="str">
        <f>IF($AE82="","",IF(INDEX(对接源_01水果!$M$4:$M$1203,$AE82)=0,"",INDEX(对接源_01水果!$M$4:$M$1203,$AE82)))</f>
        <v/>
      </c>
      <c r="AE82" s="2" t="str">
        <f>IFERROR(MATCH(77,_自动清单!$AM$4:$AM$2403,0),"")</f>
        <v/>
      </c>
    </row>
    <row r="83" ht="18" customHeight="1" spans="1:31">
      <c r="A83" s="53" t="str">
        <f>IF($AE83="","",IF(INDEX(对接源_01水果!$B$4:$B$1203,$AE83)=0,"",INDEX(对接源_01水果!$B$4:$B$1203,$AE83)))</f>
        <v/>
      </c>
      <c r="B83" s="53" t="str">
        <f>IF($AE83="","",IF(INDEX(对接源_01水果!$E$4:$E$1203,$AE83)=0,"",INDEX(对接源_01水果!$E$4:$E$1203,$AE83)))</f>
        <v/>
      </c>
      <c r="C83" s="53" t="str">
        <f>IF($AE83="","",IF(INDEX(对接源_01水果!$F$4:$F$1203,$AE83)=0,"",INDEX(对接源_01水果!$F$4:$F$1203,$AE83)))</f>
        <v/>
      </c>
      <c r="D83" s="53" t="str">
        <f>IF($AE83="","",IF(INDEX(对接源_01水果!$G$4:$G$1203,$AE83)=0,"",INDEX(对接源_01水果!$G$4:$G$1203,$AE83)))</f>
        <v/>
      </c>
      <c r="E83" s="53" t="str">
        <f>IF($AE83="","",IF(INDEX(对接源_01水果!$H$4:$H$1203,$AE83)=0,"",INDEX(对接源_01水果!$H$4:$H$1203,$AE83)))</f>
        <v/>
      </c>
      <c r="F83" s="53" t="str">
        <f>IF($AE83="","",IF(INDEX(对接源_01水果!$I$4:$I$1203,$AE83)=0,"",INDEX(对接源_01水果!$I$4:$I$1203,$AE83)))</f>
        <v/>
      </c>
      <c r="G83" s="55" t="str">
        <f>IF($AE83="","",IF(INDEX(对接源_01水果!$Z$4:$Z$1203,$AE83)=0,"",INDEX(对接源_01水果!$Z$4:$Z$1203,$AE83)))</f>
        <v/>
      </c>
      <c r="H83" s="55" t="str">
        <f>IF($AE83="","",IF(INDEX(对接源_01水果!$AA$4:$AA$1203,$AE83)=0,"",INDEX(对接源_01水果!$AA$4:$AA$1203,$AE83)))</f>
        <v/>
      </c>
      <c r="I83" s="55" t="str">
        <f>IF($AE83="","",IF(INDEX(对接源_01水果!$AG$4:$AG$1203,$AE83)=0,"",INDEX(对接源_01水果!$AG$4:$AG$1203,$AE83)))</f>
        <v/>
      </c>
      <c r="J83" s="55" t="str">
        <f>IF($AE83="","",IF(INDEX(对接源_01水果!$AJ$4:$AJ$1203,$AE83)=0,"",INDEX(对接源_01水果!$AJ$4:$AJ$1203,$AE83)))</f>
        <v/>
      </c>
      <c r="K83" s="53" t="str">
        <f>IF($AE83="","",IF(INDEX(对接源_01水果!$AB$4:$AB$1203,$AE83)=0,"",INDEX(对接源_01水果!$AB$4:$AB$1203,$AE83)))</f>
        <v/>
      </c>
      <c r="L83" s="56" t="str">
        <f>IF($AE83="","",IF(INDEX(对接源_01水果!$M$4:$M$1203,$AE83)=0,"",INDEX(对接源_01水果!$M$4:$M$1203,$AE83)))</f>
        <v/>
      </c>
      <c r="AE83" s="2" t="str">
        <f>IFERROR(MATCH(78,_自动清单!$AM$4:$AM$2403,0),"")</f>
        <v/>
      </c>
    </row>
    <row r="84" ht="18" customHeight="1" spans="1:31">
      <c r="A84" s="53" t="str">
        <f>IF($AE84="","",IF(INDEX(对接源_01水果!$B$4:$B$1203,$AE84)=0,"",INDEX(对接源_01水果!$B$4:$B$1203,$AE84)))</f>
        <v/>
      </c>
      <c r="B84" s="53" t="str">
        <f>IF($AE84="","",IF(INDEX(对接源_01水果!$E$4:$E$1203,$AE84)=0,"",INDEX(对接源_01水果!$E$4:$E$1203,$AE84)))</f>
        <v/>
      </c>
      <c r="C84" s="53" t="str">
        <f>IF($AE84="","",IF(INDEX(对接源_01水果!$F$4:$F$1203,$AE84)=0,"",INDEX(对接源_01水果!$F$4:$F$1203,$AE84)))</f>
        <v/>
      </c>
      <c r="D84" s="53" t="str">
        <f>IF($AE84="","",IF(INDEX(对接源_01水果!$G$4:$G$1203,$AE84)=0,"",INDEX(对接源_01水果!$G$4:$G$1203,$AE84)))</f>
        <v/>
      </c>
      <c r="E84" s="53" t="str">
        <f>IF($AE84="","",IF(INDEX(对接源_01水果!$H$4:$H$1203,$AE84)=0,"",INDEX(对接源_01水果!$H$4:$H$1203,$AE84)))</f>
        <v/>
      </c>
      <c r="F84" s="53" t="str">
        <f>IF($AE84="","",IF(INDEX(对接源_01水果!$I$4:$I$1203,$AE84)=0,"",INDEX(对接源_01水果!$I$4:$I$1203,$AE84)))</f>
        <v/>
      </c>
      <c r="G84" s="55" t="str">
        <f>IF($AE84="","",IF(INDEX(对接源_01水果!$Z$4:$Z$1203,$AE84)=0,"",INDEX(对接源_01水果!$Z$4:$Z$1203,$AE84)))</f>
        <v/>
      </c>
      <c r="H84" s="55" t="str">
        <f>IF($AE84="","",IF(INDEX(对接源_01水果!$AA$4:$AA$1203,$AE84)=0,"",INDEX(对接源_01水果!$AA$4:$AA$1203,$AE84)))</f>
        <v/>
      </c>
      <c r="I84" s="55" t="str">
        <f>IF($AE84="","",IF(INDEX(对接源_01水果!$AG$4:$AG$1203,$AE84)=0,"",INDEX(对接源_01水果!$AG$4:$AG$1203,$AE84)))</f>
        <v/>
      </c>
      <c r="J84" s="55" t="str">
        <f>IF($AE84="","",IF(INDEX(对接源_01水果!$AJ$4:$AJ$1203,$AE84)=0,"",INDEX(对接源_01水果!$AJ$4:$AJ$1203,$AE84)))</f>
        <v/>
      </c>
      <c r="K84" s="53" t="str">
        <f>IF($AE84="","",IF(INDEX(对接源_01水果!$AB$4:$AB$1203,$AE84)=0,"",INDEX(对接源_01水果!$AB$4:$AB$1203,$AE84)))</f>
        <v/>
      </c>
      <c r="L84" s="56" t="str">
        <f>IF($AE84="","",IF(INDEX(对接源_01水果!$M$4:$M$1203,$AE84)=0,"",INDEX(对接源_01水果!$M$4:$M$1203,$AE84)))</f>
        <v/>
      </c>
      <c r="AE84" s="2" t="str">
        <f>IFERROR(MATCH(79,_自动清单!$AM$4:$AM$2403,0),"")</f>
        <v/>
      </c>
    </row>
    <row r="85" ht="18" customHeight="1" spans="1:31">
      <c r="A85" s="53" t="str">
        <f>IF($AE85="","",IF(INDEX(对接源_01水果!$B$4:$B$1203,$AE85)=0,"",INDEX(对接源_01水果!$B$4:$B$1203,$AE85)))</f>
        <v/>
      </c>
      <c r="B85" s="53" t="str">
        <f>IF($AE85="","",IF(INDEX(对接源_01水果!$E$4:$E$1203,$AE85)=0,"",INDEX(对接源_01水果!$E$4:$E$1203,$AE85)))</f>
        <v/>
      </c>
      <c r="C85" s="53" t="str">
        <f>IF($AE85="","",IF(INDEX(对接源_01水果!$F$4:$F$1203,$AE85)=0,"",INDEX(对接源_01水果!$F$4:$F$1203,$AE85)))</f>
        <v/>
      </c>
      <c r="D85" s="53" t="str">
        <f>IF($AE85="","",IF(INDEX(对接源_01水果!$G$4:$G$1203,$AE85)=0,"",INDEX(对接源_01水果!$G$4:$G$1203,$AE85)))</f>
        <v/>
      </c>
      <c r="E85" s="53" t="str">
        <f>IF($AE85="","",IF(INDEX(对接源_01水果!$H$4:$H$1203,$AE85)=0,"",INDEX(对接源_01水果!$H$4:$H$1203,$AE85)))</f>
        <v/>
      </c>
      <c r="F85" s="53" t="str">
        <f>IF($AE85="","",IF(INDEX(对接源_01水果!$I$4:$I$1203,$AE85)=0,"",INDEX(对接源_01水果!$I$4:$I$1203,$AE85)))</f>
        <v/>
      </c>
      <c r="G85" s="55" t="str">
        <f>IF($AE85="","",IF(INDEX(对接源_01水果!$Z$4:$Z$1203,$AE85)=0,"",INDEX(对接源_01水果!$Z$4:$Z$1203,$AE85)))</f>
        <v/>
      </c>
      <c r="H85" s="55" t="str">
        <f>IF($AE85="","",IF(INDEX(对接源_01水果!$AA$4:$AA$1203,$AE85)=0,"",INDEX(对接源_01水果!$AA$4:$AA$1203,$AE85)))</f>
        <v/>
      </c>
      <c r="I85" s="55" t="str">
        <f>IF($AE85="","",IF(INDEX(对接源_01水果!$AG$4:$AG$1203,$AE85)=0,"",INDEX(对接源_01水果!$AG$4:$AG$1203,$AE85)))</f>
        <v/>
      </c>
      <c r="J85" s="55" t="str">
        <f>IF($AE85="","",IF(INDEX(对接源_01水果!$AJ$4:$AJ$1203,$AE85)=0,"",INDEX(对接源_01水果!$AJ$4:$AJ$1203,$AE85)))</f>
        <v/>
      </c>
      <c r="K85" s="53" t="str">
        <f>IF($AE85="","",IF(INDEX(对接源_01水果!$AB$4:$AB$1203,$AE85)=0,"",INDEX(对接源_01水果!$AB$4:$AB$1203,$AE85)))</f>
        <v/>
      </c>
      <c r="L85" s="56" t="str">
        <f>IF($AE85="","",IF(INDEX(对接源_01水果!$M$4:$M$1203,$AE85)=0,"",INDEX(对接源_01水果!$M$4:$M$1203,$AE85)))</f>
        <v/>
      </c>
      <c r="AE85" s="2" t="str">
        <f>IFERROR(MATCH(80,_自动清单!$AM$4:$AM$2403,0),"")</f>
        <v/>
      </c>
    </row>
    <row r="86" ht="18" customHeight="1" spans="1:31">
      <c r="A86" s="53" t="str">
        <f>IF($AE86="","",IF(INDEX(对接源_01水果!$B$4:$B$1203,$AE86)=0,"",INDEX(对接源_01水果!$B$4:$B$1203,$AE86)))</f>
        <v/>
      </c>
      <c r="B86" s="53" t="str">
        <f>IF($AE86="","",IF(INDEX(对接源_01水果!$E$4:$E$1203,$AE86)=0,"",INDEX(对接源_01水果!$E$4:$E$1203,$AE86)))</f>
        <v/>
      </c>
      <c r="C86" s="53" t="str">
        <f>IF($AE86="","",IF(INDEX(对接源_01水果!$F$4:$F$1203,$AE86)=0,"",INDEX(对接源_01水果!$F$4:$F$1203,$AE86)))</f>
        <v/>
      </c>
      <c r="D86" s="53" t="str">
        <f>IF($AE86="","",IF(INDEX(对接源_01水果!$G$4:$G$1203,$AE86)=0,"",INDEX(对接源_01水果!$G$4:$G$1203,$AE86)))</f>
        <v/>
      </c>
      <c r="E86" s="53" t="str">
        <f>IF($AE86="","",IF(INDEX(对接源_01水果!$H$4:$H$1203,$AE86)=0,"",INDEX(对接源_01水果!$H$4:$H$1203,$AE86)))</f>
        <v/>
      </c>
      <c r="F86" s="53" t="str">
        <f>IF($AE86="","",IF(INDEX(对接源_01水果!$I$4:$I$1203,$AE86)=0,"",INDEX(对接源_01水果!$I$4:$I$1203,$AE86)))</f>
        <v/>
      </c>
      <c r="G86" s="55" t="str">
        <f>IF($AE86="","",IF(INDEX(对接源_01水果!$Z$4:$Z$1203,$AE86)=0,"",INDEX(对接源_01水果!$Z$4:$Z$1203,$AE86)))</f>
        <v/>
      </c>
      <c r="H86" s="55" t="str">
        <f>IF($AE86="","",IF(INDEX(对接源_01水果!$AA$4:$AA$1203,$AE86)=0,"",INDEX(对接源_01水果!$AA$4:$AA$1203,$AE86)))</f>
        <v/>
      </c>
      <c r="I86" s="55" t="str">
        <f>IF($AE86="","",IF(INDEX(对接源_01水果!$AG$4:$AG$1203,$AE86)=0,"",INDEX(对接源_01水果!$AG$4:$AG$1203,$AE86)))</f>
        <v/>
      </c>
      <c r="J86" s="55" t="str">
        <f>IF($AE86="","",IF(INDEX(对接源_01水果!$AJ$4:$AJ$1203,$AE86)=0,"",INDEX(对接源_01水果!$AJ$4:$AJ$1203,$AE86)))</f>
        <v/>
      </c>
      <c r="K86" s="53" t="str">
        <f>IF($AE86="","",IF(INDEX(对接源_01水果!$AB$4:$AB$1203,$AE86)=0,"",INDEX(对接源_01水果!$AB$4:$AB$1203,$AE86)))</f>
        <v/>
      </c>
      <c r="L86" s="56" t="str">
        <f>IF($AE86="","",IF(INDEX(对接源_01水果!$M$4:$M$1203,$AE86)=0,"",INDEX(对接源_01水果!$M$4:$M$1203,$AE86)))</f>
        <v/>
      </c>
      <c r="AE86" s="2" t="str">
        <f>IFERROR(MATCH(81,_自动清单!$AM$4:$AM$2403,0),"")</f>
        <v/>
      </c>
    </row>
    <row r="87" ht="18" customHeight="1" spans="1:31">
      <c r="A87" s="53" t="str">
        <f>IF($AE87="","",IF(INDEX(对接源_01水果!$B$4:$B$1203,$AE87)=0,"",INDEX(对接源_01水果!$B$4:$B$1203,$AE87)))</f>
        <v/>
      </c>
      <c r="B87" s="53" t="str">
        <f>IF($AE87="","",IF(INDEX(对接源_01水果!$E$4:$E$1203,$AE87)=0,"",INDEX(对接源_01水果!$E$4:$E$1203,$AE87)))</f>
        <v/>
      </c>
      <c r="C87" s="53" t="str">
        <f>IF($AE87="","",IF(INDEX(对接源_01水果!$F$4:$F$1203,$AE87)=0,"",INDEX(对接源_01水果!$F$4:$F$1203,$AE87)))</f>
        <v/>
      </c>
      <c r="D87" s="53" t="str">
        <f>IF($AE87="","",IF(INDEX(对接源_01水果!$G$4:$G$1203,$AE87)=0,"",INDEX(对接源_01水果!$G$4:$G$1203,$AE87)))</f>
        <v/>
      </c>
      <c r="E87" s="53" t="str">
        <f>IF($AE87="","",IF(INDEX(对接源_01水果!$H$4:$H$1203,$AE87)=0,"",INDEX(对接源_01水果!$H$4:$H$1203,$AE87)))</f>
        <v/>
      </c>
      <c r="F87" s="53" t="str">
        <f>IF($AE87="","",IF(INDEX(对接源_01水果!$I$4:$I$1203,$AE87)=0,"",INDEX(对接源_01水果!$I$4:$I$1203,$AE87)))</f>
        <v/>
      </c>
      <c r="G87" s="55" t="str">
        <f>IF($AE87="","",IF(INDEX(对接源_01水果!$Z$4:$Z$1203,$AE87)=0,"",INDEX(对接源_01水果!$Z$4:$Z$1203,$AE87)))</f>
        <v/>
      </c>
      <c r="H87" s="55" t="str">
        <f>IF($AE87="","",IF(INDEX(对接源_01水果!$AA$4:$AA$1203,$AE87)=0,"",INDEX(对接源_01水果!$AA$4:$AA$1203,$AE87)))</f>
        <v/>
      </c>
      <c r="I87" s="55" t="str">
        <f>IF($AE87="","",IF(INDEX(对接源_01水果!$AG$4:$AG$1203,$AE87)=0,"",INDEX(对接源_01水果!$AG$4:$AG$1203,$AE87)))</f>
        <v/>
      </c>
      <c r="J87" s="55" t="str">
        <f>IF($AE87="","",IF(INDEX(对接源_01水果!$AJ$4:$AJ$1203,$AE87)=0,"",INDEX(对接源_01水果!$AJ$4:$AJ$1203,$AE87)))</f>
        <v/>
      </c>
      <c r="K87" s="53" t="str">
        <f>IF($AE87="","",IF(INDEX(对接源_01水果!$AB$4:$AB$1203,$AE87)=0,"",INDEX(对接源_01水果!$AB$4:$AB$1203,$AE87)))</f>
        <v/>
      </c>
      <c r="L87" s="56" t="str">
        <f>IF($AE87="","",IF(INDEX(对接源_01水果!$M$4:$M$1203,$AE87)=0,"",INDEX(对接源_01水果!$M$4:$M$1203,$AE87)))</f>
        <v/>
      </c>
      <c r="AE87" s="2" t="str">
        <f>IFERROR(MATCH(82,_自动清单!$AM$4:$AM$2403,0),"")</f>
        <v/>
      </c>
    </row>
    <row r="88" ht="18" customHeight="1" spans="1:31">
      <c r="A88" s="53" t="str">
        <f>IF($AE88="","",IF(INDEX(对接源_01水果!$B$4:$B$1203,$AE88)=0,"",INDEX(对接源_01水果!$B$4:$B$1203,$AE88)))</f>
        <v/>
      </c>
      <c r="B88" s="53" t="str">
        <f>IF($AE88="","",IF(INDEX(对接源_01水果!$E$4:$E$1203,$AE88)=0,"",INDEX(对接源_01水果!$E$4:$E$1203,$AE88)))</f>
        <v/>
      </c>
      <c r="C88" s="53" t="str">
        <f>IF($AE88="","",IF(INDEX(对接源_01水果!$F$4:$F$1203,$AE88)=0,"",INDEX(对接源_01水果!$F$4:$F$1203,$AE88)))</f>
        <v/>
      </c>
      <c r="D88" s="53" t="str">
        <f>IF($AE88="","",IF(INDEX(对接源_01水果!$G$4:$G$1203,$AE88)=0,"",INDEX(对接源_01水果!$G$4:$G$1203,$AE88)))</f>
        <v/>
      </c>
      <c r="E88" s="53" t="str">
        <f>IF($AE88="","",IF(INDEX(对接源_01水果!$H$4:$H$1203,$AE88)=0,"",INDEX(对接源_01水果!$H$4:$H$1203,$AE88)))</f>
        <v/>
      </c>
      <c r="F88" s="53" t="str">
        <f>IF($AE88="","",IF(INDEX(对接源_01水果!$I$4:$I$1203,$AE88)=0,"",INDEX(对接源_01水果!$I$4:$I$1203,$AE88)))</f>
        <v/>
      </c>
      <c r="G88" s="55" t="str">
        <f>IF($AE88="","",IF(INDEX(对接源_01水果!$Z$4:$Z$1203,$AE88)=0,"",INDEX(对接源_01水果!$Z$4:$Z$1203,$AE88)))</f>
        <v/>
      </c>
      <c r="H88" s="55" t="str">
        <f>IF($AE88="","",IF(INDEX(对接源_01水果!$AA$4:$AA$1203,$AE88)=0,"",INDEX(对接源_01水果!$AA$4:$AA$1203,$AE88)))</f>
        <v/>
      </c>
      <c r="I88" s="55" t="str">
        <f>IF($AE88="","",IF(INDEX(对接源_01水果!$AG$4:$AG$1203,$AE88)=0,"",INDEX(对接源_01水果!$AG$4:$AG$1203,$AE88)))</f>
        <v/>
      </c>
      <c r="J88" s="55" t="str">
        <f>IF($AE88="","",IF(INDEX(对接源_01水果!$AJ$4:$AJ$1203,$AE88)=0,"",INDEX(对接源_01水果!$AJ$4:$AJ$1203,$AE88)))</f>
        <v/>
      </c>
      <c r="K88" s="53" t="str">
        <f>IF($AE88="","",IF(INDEX(对接源_01水果!$AB$4:$AB$1203,$AE88)=0,"",INDEX(对接源_01水果!$AB$4:$AB$1203,$AE88)))</f>
        <v/>
      </c>
      <c r="L88" s="56" t="str">
        <f>IF($AE88="","",IF(INDEX(对接源_01水果!$M$4:$M$1203,$AE88)=0,"",INDEX(对接源_01水果!$M$4:$M$1203,$AE88)))</f>
        <v/>
      </c>
      <c r="AE88" s="2" t="str">
        <f>IFERROR(MATCH(83,_自动清单!$AM$4:$AM$2403,0),"")</f>
        <v/>
      </c>
    </row>
    <row r="89" ht="18" customHeight="1" spans="1:31">
      <c r="A89" s="53" t="str">
        <f>IF($AE89="","",IF(INDEX(对接源_01水果!$B$4:$B$1203,$AE89)=0,"",INDEX(对接源_01水果!$B$4:$B$1203,$AE89)))</f>
        <v/>
      </c>
      <c r="B89" s="53" t="str">
        <f>IF($AE89="","",IF(INDEX(对接源_01水果!$E$4:$E$1203,$AE89)=0,"",INDEX(对接源_01水果!$E$4:$E$1203,$AE89)))</f>
        <v/>
      </c>
      <c r="C89" s="53" t="str">
        <f>IF($AE89="","",IF(INDEX(对接源_01水果!$F$4:$F$1203,$AE89)=0,"",INDEX(对接源_01水果!$F$4:$F$1203,$AE89)))</f>
        <v/>
      </c>
      <c r="D89" s="53" t="str">
        <f>IF($AE89="","",IF(INDEX(对接源_01水果!$G$4:$G$1203,$AE89)=0,"",INDEX(对接源_01水果!$G$4:$G$1203,$AE89)))</f>
        <v/>
      </c>
      <c r="E89" s="53" t="str">
        <f>IF($AE89="","",IF(INDEX(对接源_01水果!$H$4:$H$1203,$AE89)=0,"",INDEX(对接源_01水果!$H$4:$H$1203,$AE89)))</f>
        <v/>
      </c>
      <c r="F89" s="53" t="str">
        <f>IF($AE89="","",IF(INDEX(对接源_01水果!$I$4:$I$1203,$AE89)=0,"",INDEX(对接源_01水果!$I$4:$I$1203,$AE89)))</f>
        <v/>
      </c>
      <c r="G89" s="55" t="str">
        <f>IF($AE89="","",IF(INDEX(对接源_01水果!$Z$4:$Z$1203,$AE89)=0,"",INDEX(对接源_01水果!$Z$4:$Z$1203,$AE89)))</f>
        <v/>
      </c>
      <c r="H89" s="55" t="str">
        <f>IF($AE89="","",IF(INDEX(对接源_01水果!$AA$4:$AA$1203,$AE89)=0,"",INDEX(对接源_01水果!$AA$4:$AA$1203,$AE89)))</f>
        <v/>
      </c>
      <c r="I89" s="55" t="str">
        <f>IF($AE89="","",IF(INDEX(对接源_01水果!$AG$4:$AG$1203,$AE89)=0,"",INDEX(对接源_01水果!$AG$4:$AG$1203,$AE89)))</f>
        <v/>
      </c>
      <c r="J89" s="55" t="str">
        <f>IF($AE89="","",IF(INDEX(对接源_01水果!$AJ$4:$AJ$1203,$AE89)=0,"",INDEX(对接源_01水果!$AJ$4:$AJ$1203,$AE89)))</f>
        <v/>
      </c>
      <c r="K89" s="53" t="str">
        <f>IF($AE89="","",IF(INDEX(对接源_01水果!$AB$4:$AB$1203,$AE89)=0,"",INDEX(对接源_01水果!$AB$4:$AB$1203,$AE89)))</f>
        <v/>
      </c>
      <c r="L89" s="56" t="str">
        <f>IF($AE89="","",IF(INDEX(对接源_01水果!$M$4:$M$1203,$AE89)=0,"",INDEX(对接源_01水果!$M$4:$M$1203,$AE89)))</f>
        <v/>
      </c>
      <c r="AE89" s="2" t="str">
        <f>IFERROR(MATCH(84,_自动清单!$AM$4:$AM$2403,0),"")</f>
        <v/>
      </c>
    </row>
    <row r="90" ht="18" customHeight="1" spans="1:31">
      <c r="A90" s="53" t="str">
        <f>IF($AE90="","",IF(INDEX(对接源_01水果!$B$4:$B$1203,$AE90)=0,"",INDEX(对接源_01水果!$B$4:$B$1203,$AE90)))</f>
        <v/>
      </c>
      <c r="B90" s="53" t="str">
        <f>IF($AE90="","",IF(INDEX(对接源_01水果!$E$4:$E$1203,$AE90)=0,"",INDEX(对接源_01水果!$E$4:$E$1203,$AE90)))</f>
        <v/>
      </c>
      <c r="C90" s="53" t="str">
        <f>IF($AE90="","",IF(INDEX(对接源_01水果!$F$4:$F$1203,$AE90)=0,"",INDEX(对接源_01水果!$F$4:$F$1203,$AE90)))</f>
        <v/>
      </c>
      <c r="D90" s="53" t="str">
        <f>IF($AE90="","",IF(INDEX(对接源_01水果!$G$4:$G$1203,$AE90)=0,"",INDEX(对接源_01水果!$G$4:$G$1203,$AE90)))</f>
        <v/>
      </c>
      <c r="E90" s="53" t="str">
        <f>IF($AE90="","",IF(INDEX(对接源_01水果!$H$4:$H$1203,$AE90)=0,"",INDEX(对接源_01水果!$H$4:$H$1203,$AE90)))</f>
        <v/>
      </c>
      <c r="F90" s="53" t="str">
        <f>IF($AE90="","",IF(INDEX(对接源_01水果!$I$4:$I$1203,$AE90)=0,"",INDEX(对接源_01水果!$I$4:$I$1203,$AE90)))</f>
        <v/>
      </c>
      <c r="G90" s="55" t="str">
        <f>IF($AE90="","",IF(INDEX(对接源_01水果!$Z$4:$Z$1203,$AE90)=0,"",INDEX(对接源_01水果!$Z$4:$Z$1203,$AE90)))</f>
        <v/>
      </c>
      <c r="H90" s="55" t="str">
        <f>IF($AE90="","",IF(INDEX(对接源_01水果!$AA$4:$AA$1203,$AE90)=0,"",INDEX(对接源_01水果!$AA$4:$AA$1203,$AE90)))</f>
        <v/>
      </c>
      <c r="I90" s="55" t="str">
        <f>IF($AE90="","",IF(INDEX(对接源_01水果!$AG$4:$AG$1203,$AE90)=0,"",INDEX(对接源_01水果!$AG$4:$AG$1203,$AE90)))</f>
        <v/>
      </c>
      <c r="J90" s="55" t="str">
        <f>IF($AE90="","",IF(INDEX(对接源_01水果!$AJ$4:$AJ$1203,$AE90)=0,"",INDEX(对接源_01水果!$AJ$4:$AJ$1203,$AE90)))</f>
        <v/>
      </c>
      <c r="K90" s="53" t="str">
        <f>IF($AE90="","",IF(INDEX(对接源_01水果!$AB$4:$AB$1203,$AE90)=0,"",INDEX(对接源_01水果!$AB$4:$AB$1203,$AE90)))</f>
        <v/>
      </c>
      <c r="L90" s="56" t="str">
        <f>IF($AE90="","",IF(INDEX(对接源_01水果!$M$4:$M$1203,$AE90)=0,"",INDEX(对接源_01水果!$M$4:$M$1203,$AE90)))</f>
        <v/>
      </c>
      <c r="AE90" s="2" t="str">
        <f>IFERROR(MATCH(85,_自动清单!$AM$4:$AM$2403,0),"")</f>
        <v/>
      </c>
    </row>
    <row r="91" ht="18" customHeight="1" spans="1:31">
      <c r="A91" s="53" t="str">
        <f>IF($AE91="","",IF(INDEX(对接源_01水果!$B$4:$B$1203,$AE91)=0,"",INDEX(对接源_01水果!$B$4:$B$1203,$AE91)))</f>
        <v/>
      </c>
      <c r="B91" s="53" t="str">
        <f>IF($AE91="","",IF(INDEX(对接源_01水果!$E$4:$E$1203,$AE91)=0,"",INDEX(对接源_01水果!$E$4:$E$1203,$AE91)))</f>
        <v/>
      </c>
      <c r="C91" s="53" t="str">
        <f>IF($AE91="","",IF(INDEX(对接源_01水果!$F$4:$F$1203,$AE91)=0,"",INDEX(对接源_01水果!$F$4:$F$1203,$AE91)))</f>
        <v/>
      </c>
      <c r="D91" s="53" t="str">
        <f>IF($AE91="","",IF(INDEX(对接源_01水果!$G$4:$G$1203,$AE91)=0,"",INDEX(对接源_01水果!$G$4:$G$1203,$AE91)))</f>
        <v/>
      </c>
      <c r="E91" s="53" t="str">
        <f>IF($AE91="","",IF(INDEX(对接源_01水果!$H$4:$H$1203,$AE91)=0,"",INDEX(对接源_01水果!$H$4:$H$1203,$AE91)))</f>
        <v/>
      </c>
      <c r="F91" s="53" t="str">
        <f>IF($AE91="","",IF(INDEX(对接源_01水果!$I$4:$I$1203,$AE91)=0,"",INDEX(对接源_01水果!$I$4:$I$1203,$AE91)))</f>
        <v/>
      </c>
      <c r="G91" s="55" t="str">
        <f>IF($AE91="","",IF(INDEX(对接源_01水果!$Z$4:$Z$1203,$AE91)=0,"",INDEX(对接源_01水果!$Z$4:$Z$1203,$AE91)))</f>
        <v/>
      </c>
      <c r="H91" s="55" t="str">
        <f>IF($AE91="","",IF(INDEX(对接源_01水果!$AA$4:$AA$1203,$AE91)=0,"",INDEX(对接源_01水果!$AA$4:$AA$1203,$AE91)))</f>
        <v/>
      </c>
      <c r="I91" s="55" t="str">
        <f>IF($AE91="","",IF(INDEX(对接源_01水果!$AG$4:$AG$1203,$AE91)=0,"",INDEX(对接源_01水果!$AG$4:$AG$1203,$AE91)))</f>
        <v/>
      </c>
      <c r="J91" s="55" t="str">
        <f>IF($AE91="","",IF(INDEX(对接源_01水果!$AJ$4:$AJ$1203,$AE91)=0,"",INDEX(对接源_01水果!$AJ$4:$AJ$1203,$AE91)))</f>
        <v/>
      </c>
      <c r="K91" s="53" t="str">
        <f>IF($AE91="","",IF(INDEX(对接源_01水果!$AB$4:$AB$1203,$AE91)=0,"",INDEX(对接源_01水果!$AB$4:$AB$1203,$AE91)))</f>
        <v/>
      </c>
      <c r="L91" s="56" t="str">
        <f>IF($AE91="","",IF(INDEX(对接源_01水果!$M$4:$M$1203,$AE91)=0,"",INDEX(对接源_01水果!$M$4:$M$1203,$AE91)))</f>
        <v/>
      </c>
      <c r="AE91" s="2" t="str">
        <f>IFERROR(MATCH(86,_自动清单!$AM$4:$AM$2403,0),"")</f>
        <v/>
      </c>
    </row>
    <row r="92" ht="18" customHeight="1" spans="1:31">
      <c r="A92" s="53" t="str">
        <f>IF($AE92="","",IF(INDEX(对接源_01水果!$B$4:$B$1203,$AE92)=0,"",INDEX(对接源_01水果!$B$4:$B$1203,$AE92)))</f>
        <v/>
      </c>
      <c r="B92" s="53" t="str">
        <f>IF($AE92="","",IF(INDEX(对接源_01水果!$E$4:$E$1203,$AE92)=0,"",INDEX(对接源_01水果!$E$4:$E$1203,$AE92)))</f>
        <v/>
      </c>
      <c r="C92" s="53" t="str">
        <f>IF($AE92="","",IF(INDEX(对接源_01水果!$F$4:$F$1203,$AE92)=0,"",INDEX(对接源_01水果!$F$4:$F$1203,$AE92)))</f>
        <v/>
      </c>
      <c r="D92" s="53" t="str">
        <f>IF($AE92="","",IF(INDEX(对接源_01水果!$G$4:$G$1203,$AE92)=0,"",INDEX(对接源_01水果!$G$4:$G$1203,$AE92)))</f>
        <v/>
      </c>
      <c r="E92" s="53" t="str">
        <f>IF($AE92="","",IF(INDEX(对接源_01水果!$H$4:$H$1203,$AE92)=0,"",INDEX(对接源_01水果!$H$4:$H$1203,$AE92)))</f>
        <v/>
      </c>
      <c r="F92" s="53" t="str">
        <f>IF($AE92="","",IF(INDEX(对接源_01水果!$I$4:$I$1203,$AE92)=0,"",INDEX(对接源_01水果!$I$4:$I$1203,$AE92)))</f>
        <v/>
      </c>
      <c r="G92" s="55" t="str">
        <f>IF($AE92="","",IF(INDEX(对接源_01水果!$Z$4:$Z$1203,$AE92)=0,"",INDEX(对接源_01水果!$Z$4:$Z$1203,$AE92)))</f>
        <v/>
      </c>
      <c r="H92" s="55" t="str">
        <f>IF($AE92="","",IF(INDEX(对接源_01水果!$AA$4:$AA$1203,$AE92)=0,"",INDEX(对接源_01水果!$AA$4:$AA$1203,$AE92)))</f>
        <v/>
      </c>
      <c r="I92" s="55" t="str">
        <f>IF($AE92="","",IF(INDEX(对接源_01水果!$AG$4:$AG$1203,$AE92)=0,"",INDEX(对接源_01水果!$AG$4:$AG$1203,$AE92)))</f>
        <v/>
      </c>
      <c r="J92" s="55" t="str">
        <f>IF($AE92="","",IF(INDEX(对接源_01水果!$AJ$4:$AJ$1203,$AE92)=0,"",INDEX(对接源_01水果!$AJ$4:$AJ$1203,$AE92)))</f>
        <v/>
      </c>
      <c r="K92" s="53" t="str">
        <f>IF($AE92="","",IF(INDEX(对接源_01水果!$AB$4:$AB$1203,$AE92)=0,"",INDEX(对接源_01水果!$AB$4:$AB$1203,$AE92)))</f>
        <v/>
      </c>
      <c r="L92" s="56" t="str">
        <f>IF($AE92="","",IF(INDEX(对接源_01水果!$M$4:$M$1203,$AE92)=0,"",INDEX(对接源_01水果!$M$4:$M$1203,$AE92)))</f>
        <v/>
      </c>
      <c r="AE92" s="2" t="str">
        <f>IFERROR(MATCH(87,_自动清单!$AM$4:$AM$2403,0),"")</f>
        <v/>
      </c>
    </row>
    <row r="93" ht="18" customHeight="1" spans="1:31">
      <c r="A93" s="53" t="str">
        <f>IF($AE93="","",IF(INDEX(对接源_01水果!$B$4:$B$1203,$AE93)=0,"",INDEX(对接源_01水果!$B$4:$B$1203,$AE93)))</f>
        <v/>
      </c>
      <c r="B93" s="53" t="str">
        <f>IF($AE93="","",IF(INDEX(对接源_01水果!$E$4:$E$1203,$AE93)=0,"",INDEX(对接源_01水果!$E$4:$E$1203,$AE93)))</f>
        <v/>
      </c>
      <c r="C93" s="53" t="str">
        <f>IF($AE93="","",IF(INDEX(对接源_01水果!$F$4:$F$1203,$AE93)=0,"",INDEX(对接源_01水果!$F$4:$F$1203,$AE93)))</f>
        <v/>
      </c>
      <c r="D93" s="53" t="str">
        <f>IF($AE93="","",IF(INDEX(对接源_01水果!$G$4:$G$1203,$AE93)=0,"",INDEX(对接源_01水果!$G$4:$G$1203,$AE93)))</f>
        <v/>
      </c>
      <c r="E93" s="53" t="str">
        <f>IF($AE93="","",IF(INDEX(对接源_01水果!$H$4:$H$1203,$AE93)=0,"",INDEX(对接源_01水果!$H$4:$H$1203,$AE93)))</f>
        <v/>
      </c>
      <c r="F93" s="53" t="str">
        <f>IF($AE93="","",IF(INDEX(对接源_01水果!$I$4:$I$1203,$AE93)=0,"",INDEX(对接源_01水果!$I$4:$I$1203,$AE93)))</f>
        <v/>
      </c>
      <c r="G93" s="55" t="str">
        <f>IF($AE93="","",IF(INDEX(对接源_01水果!$Z$4:$Z$1203,$AE93)=0,"",INDEX(对接源_01水果!$Z$4:$Z$1203,$AE93)))</f>
        <v/>
      </c>
      <c r="H93" s="55" t="str">
        <f>IF($AE93="","",IF(INDEX(对接源_01水果!$AA$4:$AA$1203,$AE93)=0,"",INDEX(对接源_01水果!$AA$4:$AA$1203,$AE93)))</f>
        <v/>
      </c>
      <c r="I93" s="55" t="str">
        <f>IF($AE93="","",IF(INDEX(对接源_01水果!$AG$4:$AG$1203,$AE93)=0,"",INDEX(对接源_01水果!$AG$4:$AG$1203,$AE93)))</f>
        <v/>
      </c>
      <c r="J93" s="55" t="str">
        <f>IF($AE93="","",IF(INDEX(对接源_01水果!$AJ$4:$AJ$1203,$AE93)=0,"",INDEX(对接源_01水果!$AJ$4:$AJ$1203,$AE93)))</f>
        <v/>
      </c>
      <c r="K93" s="53" t="str">
        <f>IF($AE93="","",IF(INDEX(对接源_01水果!$AB$4:$AB$1203,$AE93)=0,"",INDEX(对接源_01水果!$AB$4:$AB$1203,$AE93)))</f>
        <v/>
      </c>
      <c r="L93" s="56" t="str">
        <f>IF($AE93="","",IF(INDEX(对接源_01水果!$M$4:$M$1203,$AE93)=0,"",INDEX(对接源_01水果!$M$4:$M$1203,$AE93)))</f>
        <v/>
      </c>
      <c r="AE93" s="2" t="str">
        <f>IFERROR(MATCH(88,_自动清单!$AM$4:$AM$2403,0),"")</f>
        <v/>
      </c>
    </row>
    <row r="94" ht="18" customHeight="1" spans="1:31">
      <c r="A94" s="53" t="str">
        <f>IF($AE94="","",IF(INDEX(对接源_01水果!$B$4:$B$1203,$AE94)=0,"",INDEX(对接源_01水果!$B$4:$B$1203,$AE94)))</f>
        <v/>
      </c>
      <c r="B94" s="53" t="str">
        <f>IF($AE94="","",IF(INDEX(对接源_01水果!$E$4:$E$1203,$AE94)=0,"",INDEX(对接源_01水果!$E$4:$E$1203,$AE94)))</f>
        <v/>
      </c>
      <c r="C94" s="53" t="str">
        <f>IF($AE94="","",IF(INDEX(对接源_01水果!$F$4:$F$1203,$AE94)=0,"",INDEX(对接源_01水果!$F$4:$F$1203,$AE94)))</f>
        <v/>
      </c>
      <c r="D94" s="53" t="str">
        <f>IF($AE94="","",IF(INDEX(对接源_01水果!$G$4:$G$1203,$AE94)=0,"",INDEX(对接源_01水果!$G$4:$G$1203,$AE94)))</f>
        <v/>
      </c>
      <c r="E94" s="53" t="str">
        <f>IF($AE94="","",IF(INDEX(对接源_01水果!$H$4:$H$1203,$AE94)=0,"",INDEX(对接源_01水果!$H$4:$H$1203,$AE94)))</f>
        <v/>
      </c>
      <c r="F94" s="53" t="str">
        <f>IF($AE94="","",IF(INDEX(对接源_01水果!$I$4:$I$1203,$AE94)=0,"",INDEX(对接源_01水果!$I$4:$I$1203,$AE94)))</f>
        <v/>
      </c>
      <c r="G94" s="55" t="str">
        <f>IF($AE94="","",IF(INDEX(对接源_01水果!$Z$4:$Z$1203,$AE94)=0,"",INDEX(对接源_01水果!$Z$4:$Z$1203,$AE94)))</f>
        <v/>
      </c>
      <c r="H94" s="55" t="str">
        <f>IF($AE94="","",IF(INDEX(对接源_01水果!$AA$4:$AA$1203,$AE94)=0,"",INDEX(对接源_01水果!$AA$4:$AA$1203,$AE94)))</f>
        <v/>
      </c>
      <c r="I94" s="55" t="str">
        <f>IF($AE94="","",IF(INDEX(对接源_01水果!$AG$4:$AG$1203,$AE94)=0,"",INDEX(对接源_01水果!$AG$4:$AG$1203,$AE94)))</f>
        <v/>
      </c>
      <c r="J94" s="55" t="str">
        <f>IF($AE94="","",IF(INDEX(对接源_01水果!$AJ$4:$AJ$1203,$AE94)=0,"",INDEX(对接源_01水果!$AJ$4:$AJ$1203,$AE94)))</f>
        <v/>
      </c>
      <c r="K94" s="53" t="str">
        <f>IF($AE94="","",IF(INDEX(对接源_01水果!$AB$4:$AB$1203,$AE94)=0,"",INDEX(对接源_01水果!$AB$4:$AB$1203,$AE94)))</f>
        <v/>
      </c>
      <c r="L94" s="56" t="str">
        <f>IF($AE94="","",IF(INDEX(对接源_01水果!$M$4:$M$1203,$AE94)=0,"",INDEX(对接源_01水果!$M$4:$M$1203,$AE94)))</f>
        <v/>
      </c>
      <c r="AE94" s="2" t="str">
        <f>IFERROR(MATCH(89,_自动清单!$AM$4:$AM$2403,0),"")</f>
        <v/>
      </c>
    </row>
    <row r="95" ht="18" customHeight="1" spans="1:31">
      <c r="A95" s="53" t="str">
        <f>IF($AE95="","",IF(INDEX(对接源_01水果!$B$4:$B$1203,$AE95)=0,"",INDEX(对接源_01水果!$B$4:$B$1203,$AE95)))</f>
        <v/>
      </c>
      <c r="B95" s="53" t="str">
        <f>IF($AE95="","",IF(INDEX(对接源_01水果!$E$4:$E$1203,$AE95)=0,"",INDEX(对接源_01水果!$E$4:$E$1203,$AE95)))</f>
        <v/>
      </c>
      <c r="C95" s="53" t="str">
        <f>IF($AE95="","",IF(INDEX(对接源_01水果!$F$4:$F$1203,$AE95)=0,"",INDEX(对接源_01水果!$F$4:$F$1203,$AE95)))</f>
        <v/>
      </c>
      <c r="D95" s="53" t="str">
        <f>IF($AE95="","",IF(INDEX(对接源_01水果!$G$4:$G$1203,$AE95)=0,"",INDEX(对接源_01水果!$G$4:$G$1203,$AE95)))</f>
        <v/>
      </c>
      <c r="E95" s="53" t="str">
        <f>IF($AE95="","",IF(INDEX(对接源_01水果!$H$4:$H$1203,$AE95)=0,"",INDEX(对接源_01水果!$H$4:$H$1203,$AE95)))</f>
        <v/>
      </c>
      <c r="F95" s="53" t="str">
        <f>IF($AE95="","",IF(INDEX(对接源_01水果!$I$4:$I$1203,$AE95)=0,"",INDEX(对接源_01水果!$I$4:$I$1203,$AE95)))</f>
        <v/>
      </c>
      <c r="G95" s="55" t="str">
        <f>IF($AE95="","",IF(INDEX(对接源_01水果!$Z$4:$Z$1203,$AE95)=0,"",INDEX(对接源_01水果!$Z$4:$Z$1203,$AE95)))</f>
        <v/>
      </c>
      <c r="H95" s="55" t="str">
        <f>IF($AE95="","",IF(INDEX(对接源_01水果!$AA$4:$AA$1203,$AE95)=0,"",INDEX(对接源_01水果!$AA$4:$AA$1203,$AE95)))</f>
        <v/>
      </c>
      <c r="I95" s="55" t="str">
        <f>IF($AE95="","",IF(INDEX(对接源_01水果!$AG$4:$AG$1203,$AE95)=0,"",INDEX(对接源_01水果!$AG$4:$AG$1203,$AE95)))</f>
        <v/>
      </c>
      <c r="J95" s="55" t="str">
        <f>IF($AE95="","",IF(INDEX(对接源_01水果!$AJ$4:$AJ$1203,$AE95)=0,"",INDEX(对接源_01水果!$AJ$4:$AJ$1203,$AE95)))</f>
        <v/>
      </c>
      <c r="K95" s="53" t="str">
        <f>IF($AE95="","",IF(INDEX(对接源_01水果!$AB$4:$AB$1203,$AE95)=0,"",INDEX(对接源_01水果!$AB$4:$AB$1203,$AE95)))</f>
        <v/>
      </c>
      <c r="L95" s="56" t="str">
        <f>IF($AE95="","",IF(INDEX(对接源_01水果!$M$4:$M$1203,$AE95)=0,"",INDEX(对接源_01水果!$M$4:$M$1203,$AE95)))</f>
        <v/>
      </c>
      <c r="AE95" s="2" t="str">
        <f>IFERROR(MATCH(90,_自动清单!$AM$4:$AM$2403,0),"")</f>
        <v/>
      </c>
    </row>
    <row r="96" ht="18" customHeight="1" spans="1:31">
      <c r="A96" s="53" t="str">
        <f>IF($AE96="","",IF(INDEX(对接源_01水果!$B$4:$B$1203,$AE96)=0,"",INDEX(对接源_01水果!$B$4:$B$1203,$AE96)))</f>
        <v/>
      </c>
      <c r="B96" s="53" t="str">
        <f>IF($AE96="","",IF(INDEX(对接源_01水果!$E$4:$E$1203,$AE96)=0,"",INDEX(对接源_01水果!$E$4:$E$1203,$AE96)))</f>
        <v/>
      </c>
      <c r="C96" s="53" t="str">
        <f>IF($AE96="","",IF(INDEX(对接源_01水果!$F$4:$F$1203,$AE96)=0,"",INDEX(对接源_01水果!$F$4:$F$1203,$AE96)))</f>
        <v/>
      </c>
      <c r="D96" s="53" t="str">
        <f>IF($AE96="","",IF(INDEX(对接源_01水果!$G$4:$G$1203,$AE96)=0,"",INDEX(对接源_01水果!$G$4:$G$1203,$AE96)))</f>
        <v/>
      </c>
      <c r="E96" s="53" t="str">
        <f>IF($AE96="","",IF(INDEX(对接源_01水果!$H$4:$H$1203,$AE96)=0,"",INDEX(对接源_01水果!$H$4:$H$1203,$AE96)))</f>
        <v/>
      </c>
      <c r="F96" s="53" t="str">
        <f>IF($AE96="","",IF(INDEX(对接源_01水果!$I$4:$I$1203,$AE96)=0,"",INDEX(对接源_01水果!$I$4:$I$1203,$AE96)))</f>
        <v/>
      </c>
      <c r="G96" s="55" t="str">
        <f>IF($AE96="","",IF(INDEX(对接源_01水果!$Z$4:$Z$1203,$AE96)=0,"",INDEX(对接源_01水果!$Z$4:$Z$1203,$AE96)))</f>
        <v/>
      </c>
      <c r="H96" s="55" t="str">
        <f>IF($AE96="","",IF(INDEX(对接源_01水果!$AA$4:$AA$1203,$AE96)=0,"",INDEX(对接源_01水果!$AA$4:$AA$1203,$AE96)))</f>
        <v/>
      </c>
      <c r="I96" s="55" t="str">
        <f>IF($AE96="","",IF(INDEX(对接源_01水果!$AG$4:$AG$1203,$AE96)=0,"",INDEX(对接源_01水果!$AG$4:$AG$1203,$AE96)))</f>
        <v/>
      </c>
      <c r="J96" s="55" t="str">
        <f>IF($AE96="","",IF(INDEX(对接源_01水果!$AJ$4:$AJ$1203,$AE96)=0,"",INDEX(对接源_01水果!$AJ$4:$AJ$1203,$AE96)))</f>
        <v/>
      </c>
      <c r="K96" s="53" t="str">
        <f>IF($AE96="","",IF(INDEX(对接源_01水果!$AB$4:$AB$1203,$AE96)=0,"",INDEX(对接源_01水果!$AB$4:$AB$1203,$AE96)))</f>
        <v/>
      </c>
      <c r="L96" s="56" t="str">
        <f>IF($AE96="","",IF(INDEX(对接源_01水果!$M$4:$M$1203,$AE96)=0,"",INDEX(对接源_01水果!$M$4:$M$1203,$AE96)))</f>
        <v/>
      </c>
      <c r="AE96" s="2" t="str">
        <f>IFERROR(MATCH(91,_自动清单!$AM$4:$AM$2403,0),"")</f>
        <v/>
      </c>
    </row>
    <row r="97" ht="18" customHeight="1" spans="1:31">
      <c r="A97" s="53" t="str">
        <f>IF($AE97="","",IF(INDEX(对接源_01水果!$B$4:$B$1203,$AE97)=0,"",INDEX(对接源_01水果!$B$4:$B$1203,$AE97)))</f>
        <v/>
      </c>
      <c r="B97" s="53" t="str">
        <f>IF($AE97="","",IF(INDEX(对接源_01水果!$E$4:$E$1203,$AE97)=0,"",INDEX(对接源_01水果!$E$4:$E$1203,$AE97)))</f>
        <v/>
      </c>
      <c r="C97" s="53" t="str">
        <f>IF($AE97="","",IF(INDEX(对接源_01水果!$F$4:$F$1203,$AE97)=0,"",INDEX(对接源_01水果!$F$4:$F$1203,$AE97)))</f>
        <v/>
      </c>
      <c r="D97" s="53" t="str">
        <f>IF($AE97="","",IF(INDEX(对接源_01水果!$G$4:$G$1203,$AE97)=0,"",INDEX(对接源_01水果!$G$4:$G$1203,$AE97)))</f>
        <v/>
      </c>
      <c r="E97" s="53" t="str">
        <f>IF($AE97="","",IF(INDEX(对接源_01水果!$H$4:$H$1203,$AE97)=0,"",INDEX(对接源_01水果!$H$4:$H$1203,$AE97)))</f>
        <v/>
      </c>
      <c r="F97" s="53" t="str">
        <f>IF($AE97="","",IF(INDEX(对接源_01水果!$I$4:$I$1203,$AE97)=0,"",INDEX(对接源_01水果!$I$4:$I$1203,$AE97)))</f>
        <v/>
      </c>
      <c r="G97" s="55" t="str">
        <f>IF($AE97="","",IF(INDEX(对接源_01水果!$Z$4:$Z$1203,$AE97)=0,"",INDEX(对接源_01水果!$Z$4:$Z$1203,$AE97)))</f>
        <v/>
      </c>
      <c r="H97" s="55" t="str">
        <f>IF($AE97="","",IF(INDEX(对接源_01水果!$AA$4:$AA$1203,$AE97)=0,"",INDEX(对接源_01水果!$AA$4:$AA$1203,$AE97)))</f>
        <v/>
      </c>
      <c r="I97" s="55" t="str">
        <f>IF($AE97="","",IF(INDEX(对接源_01水果!$AG$4:$AG$1203,$AE97)=0,"",INDEX(对接源_01水果!$AG$4:$AG$1203,$AE97)))</f>
        <v/>
      </c>
      <c r="J97" s="55" t="str">
        <f>IF($AE97="","",IF(INDEX(对接源_01水果!$AJ$4:$AJ$1203,$AE97)=0,"",INDEX(对接源_01水果!$AJ$4:$AJ$1203,$AE97)))</f>
        <v/>
      </c>
      <c r="K97" s="53" t="str">
        <f>IF($AE97="","",IF(INDEX(对接源_01水果!$AB$4:$AB$1203,$AE97)=0,"",INDEX(对接源_01水果!$AB$4:$AB$1203,$AE97)))</f>
        <v/>
      </c>
      <c r="L97" s="56" t="str">
        <f>IF($AE97="","",IF(INDEX(对接源_01水果!$M$4:$M$1203,$AE97)=0,"",INDEX(对接源_01水果!$M$4:$M$1203,$AE97)))</f>
        <v/>
      </c>
      <c r="AE97" s="2" t="str">
        <f>IFERROR(MATCH(92,_自动清单!$AM$4:$AM$2403,0),"")</f>
        <v/>
      </c>
    </row>
    <row r="98" ht="18" customHeight="1" spans="1:31">
      <c r="A98" s="53" t="str">
        <f>IF($AE98="","",IF(INDEX(对接源_01水果!$B$4:$B$1203,$AE98)=0,"",INDEX(对接源_01水果!$B$4:$B$1203,$AE98)))</f>
        <v/>
      </c>
      <c r="B98" s="53" t="str">
        <f>IF($AE98="","",IF(INDEX(对接源_01水果!$E$4:$E$1203,$AE98)=0,"",INDEX(对接源_01水果!$E$4:$E$1203,$AE98)))</f>
        <v/>
      </c>
      <c r="C98" s="53" t="str">
        <f>IF($AE98="","",IF(INDEX(对接源_01水果!$F$4:$F$1203,$AE98)=0,"",INDEX(对接源_01水果!$F$4:$F$1203,$AE98)))</f>
        <v/>
      </c>
      <c r="D98" s="53" t="str">
        <f>IF($AE98="","",IF(INDEX(对接源_01水果!$G$4:$G$1203,$AE98)=0,"",INDEX(对接源_01水果!$G$4:$G$1203,$AE98)))</f>
        <v/>
      </c>
      <c r="E98" s="53" t="str">
        <f>IF($AE98="","",IF(INDEX(对接源_01水果!$H$4:$H$1203,$AE98)=0,"",INDEX(对接源_01水果!$H$4:$H$1203,$AE98)))</f>
        <v/>
      </c>
      <c r="F98" s="53" t="str">
        <f>IF($AE98="","",IF(INDEX(对接源_01水果!$I$4:$I$1203,$AE98)=0,"",INDEX(对接源_01水果!$I$4:$I$1203,$AE98)))</f>
        <v/>
      </c>
      <c r="G98" s="55" t="str">
        <f>IF($AE98="","",IF(INDEX(对接源_01水果!$Z$4:$Z$1203,$AE98)=0,"",INDEX(对接源_01水果!$Z$4:$Z$1203,$AE98)))</f>
        <v/>
      </c>
      <c r="H98" s="55" t="str">
        <f>IF($AE98="","",IF(INDEX(对接源_01水果!$AA$4:$AA$1203,$AE98)=0,"",INDEX(对接源_01水果!$AA$4:$AA$1203,$AE98)))</f>
        <v/>
      </c>
      <c r="I98" s="55" t="str">
        <f>IF($AE98="","",IF(INDEX(对接源_01水果!$AG$4:$AG$1203,$AE98)=0,"",INDEX(对接源_01水果!$AG$4:$AG$1203,$AE98)))</f>
        <v/>
      </c>
      <c r="J98" s="55" t="str">
        <f>IF($AE98="","",IF(INDEX(对接源_01水果!$AJ$4:$AJ$1203,$AE98)=0,"",INDEX(对接源_01水果!$AJ$4:$AJ$1203,$AE98)))</f>
        <v/>
      </c>
      <c r="K98" s="53" t="str">
        <f>IF($AE98="","",IF(INDEX(对接源_01水果!$AB$4:$AB$1203,$AE98)=0,"",INDEX(对接源_01水果!$AB$4:$AB$1203,$AE98)))</f>
        <v/>
      </c>
      <c r="L98" s="56" t="str">
        <f>IF($AE98="","",IF(INDEX(对接源_01水果!$M$4:$M$1203,$AE98)=0,"",INDEX(对接源_01水果!$M$4:$M$1203,$AE98)))</f>
        <v/>
      </c>
      <c r="AE98" s="2" t="str">
        <f>IFERROR(MATCH(93,_自动清单!$AM$4:$AM$2403,0),"")</f>
        <v/>
      </c>
    </row>
    <row r="99" ht="18" customHeight="1" spans="1:31">
      <c r="A99" s="53" t="str">
        <f>IF($AE99="","",IF(INDEX(对接源_01水果!$B$4:$B$1203,$AE99)=0,"",INDEX(对接源_01水果!$B$4:$B$1203,$AE99)))</f>
        <v/>
      </c>
      <c r="B99" s="53" t="str">
        <f>IF($AE99="","",IF(INDEX(对接源_01水果!$E$4:$E$1203,$AE99)=0,"",INDEX(对接源_01水果!$E$4:$E$1203,$AE99)))</f>
        <v/>
      </c>
      <c r="C99" s="53" t="str">
        <f>IF($AE99="","",IF(INDEX(对接源_01水果!$F$4:$F$1203,$AE99)=0,"",INDEX(对接源_01水果!$F$4:$F$1203,$AE99)))</f>
        <v/>
      </c>
      <c r="D99" s="53" t="str">
        <f>IF($AE99="","",IF(INDEX(对接源_01水果!$G$4:$G$1203,$AE99)=0,"",INDEX(对接源_01水果!$G$4:$G$1203,$AE99)))</f>
        <v/>
      </c>
      <c r="E99" s="53" t="str">
        <f>IF($AE99="","",IF(INDEX(对接源_01水果!$H$4:$H$1203,$AE99)=0,"",INDEX(对接源_01水果!$H$4:$H$1203,$AE99)))</f>
        <v/>
      </c>
      <c r="F99" s="53" t="str">
        <f>IF($AE99="","",IF(INDEX(对接源_01水果!$I$4:$I$1203,$AE99)=0,"",INDEX(对接源_01水果!$I$4:$I$1203,$AE99)))</f>
        <v/>
      </c>
      <c r="G99" s="55" t="str">
        <f>IF($AE99="","",IF(INDEX(对接源_01水果!$Z$4:$Z$1203,$AE99)=0,"",INDEX(对接源_01水果!$Z$4:$Z$1203,$AE99)))</f>
        <v/>
      </c>
      <c r="H99" s="55" t="str">
        <f>IF($AE99="","",IF(INDEX(对接源_01水果!$AA$4:$AA$1203,$AE99)=0,"",INDEX(对接源_01水果!$AA$4:$AA$1203,$AE99)))</f>
        <v/>
      </c>
      <c r="I99" s="55" t="str">
        <f>IF($AE99="","",IF(INDEX(对接源_01水果!$AG$4:$AG$1203,$AE99)=0,"",INDEX(对接源_01水果!$AG$4:$AG$1203,$AE99)))</f>
        <v/>
      </c>
      <c r="J99" s="55" t="str">
        <f>IF($AE99="","",IF(INDEX(对接源_01水果!$AJ$4:$AJ$1203,$AE99)=0,"",INDEX(对接源_01水果!$AJ$4:$AJ$1203,$AE99)))</f>
        <v/>
      </c>
      <c r="K99" s="53" t="str">
        <f>IF($AE99="","",IF(INDEX(对接源_01水果!$AB$4:$AB$1203,$AE99)=0,"",INDEX(对接源_01水果!$AB$4:$AB$1203,$AE99)))</f>
        <v/>
      </c>
      <c r="L99" s="56" t="str">
        <f>IF($AE99="","",IF(INDEX(对接源_01水果!$M$4:$M$1203,$AE99)=0,"",INDEX(对接源_01水果!$M$4:$M$1203,$AE99)))</f>
        <v/>
      </c>
      <c r="AE99" s="2" t="str">
        <f>IFERROR(MATCH(94,_自动清单!$AM$4:$AM$2403,0),"")</f>
        <v/>
      </c>
    </row>
    <row r="100" ht="18" customHeight="1" spans="1:31">
      <c r="A100" s="53" t="str">
        <f>IF($AE100="","",IF(INDEX(对接源_01水果!$B$4:$B$1203,$AE100)=0,"",INDEX(对接源_01水果!$B$4:$B$1203,$AE100)))</f>
        <v/>
      </c>
      <c r="B100" s="53" t="str">
        <f>IF($AE100="","",IF(INDEX(对接源_01水果!$E$4:$E$1203,$AE100)=0,"",INDEX(对接源_01水果!$E$4:$E$1203,$AE100)))</f>
        <v/>
      </c>
      <c r="C100" s="53" t="str">
        <f>IF($AE100="","",IF(INDEX(对接源_01水果!$F$4:$F$1203,$AE100)=0,"",INDEX(对接源_01水果!$F$4:$F$1203,$AE100)))</f>
        <v/>
      </c>
      <c r="D100" s="53" t="str">
        <f>IF($AE100="","",IF(INDEX(对接源_01水果!$G$4:$G$1203,$AE100)=0,"",INDEX(对接源_01水果!$G$4:$G$1203,$AE100)))</f>
        <v/>
      </c>
      <c r="E100" s="53" t="str">
        <f>IF($AE100="","",IF(INDEX(对接源_01水果!$H$4:$H$1203,$AE100)=0,"",INDEX(对接源_01水果!$H$4:$H$1203,$AE100)))</f>
        <v/>
      </c>
      <c r="F100" s="53" t="str">
        <f>IF($AE100="","",IF(INDEX(对接源_01水果!$I$4:$I$1203,$AE100)=0,"",INDEX(对接源_01水果!$I$4:$I$1203,$AE100)))</f>
        <v/>
      </c>
      <c r="G100" s="55" t="str">
        <f>IF($AE100="","",IF(INDEX(对接源_01水果!$Z$4:$Z$1203,$AE100)=0,"",INDEX(对接源_01水果!$Z$4:$Z$1203,$AE100)))</f>
        <v/>
      </c>
      <c r="H100" s="55" t="str">
        <f>IF($AE100="","",IF(INDEX(对接源_01水果!$AA$4:$AA$1203,$AE100)=0,"",INDEX(对接源_01水果!$AA$4:$AA$1203,$AE100)))</f>
        <v/>
      </c>
      <c r="I100" s="55" t="str">
        <f>IF($AE100="","",IF(INDEX(对接源_01水果!$AG$4:$AG$1203,$AE100)=0,"",INDEX(对接源_01水果!$AG$4:$AG$1203,$AE100)))</f>
        <v/>
      </c>
      <c r="J100" s="55" t="str">
        <f>IF($AE100="","",IF(INDEX(对接源_01水果!$AJ$4:$AJ$1203,$AE100)=0,"",INDEX(对接源_01水果!$AJ$4:$AJ$1203,$AE100)))</f>
        <v/>
      </c>
      <c r="K100" s="53" t="str">
        <f>IF($AE100="","",IF(INDEX(对接源_01水果!$AB$4:$AB$1203,$AE100)=0,"",INDEX(对接源_01水果!$AB$4:$AB$1203,$AE100)))</f>
        <v/>
      </c>
      <c r="L100" s="56" t="str">
        <f>IF($AE100="","",IF(INDEX(对接源_01水果!$M$4:$M$1203,$AE100)=0,"",INDEX(对接源_01水果!$M$4:$M$1203,$AE100)))</f>
        <v/>
      </c>
      <c r="AE100" s="2" t="str">
        <f>IFERROR(MATCH(95,_自动清单!$AM$4:$AM$2403,0),"")</f>
        <v/>
      </c>
    </row>
    <row r="101" ht="18" customHeight="1" spans="1:31">
      <c r="A101" s="53" t="str">
        <f>IF($AE101="","",IF(INDEX(对接源_01水果!$B$4:$B$1203,$AE101)=0,"",INDEX(对接源_01水果!$B$4:$B$1203,$AE101)))</f>
        <v/>
      </c>
      <c r="B101" s="53" t="str">
        <f>IF($AE101="","",IF(INDEX(对接源_01水果!$E$4:$E$1203,$AE101)=0,"",INDEX(对接源_01水果!$E$4:$E$1203,$AE101)))</f>
        <v/>
      </c>
      <c r="C101" s="53" t="str">
        <f>IF($AE101="","",IF(INDEX(对接源_01水果!$F$4:$F$1203,$AE101)=0,"",INDEX(对接源_01水果!$F$4:$F$1203,$AE101)))</f>
        <v/>
      </c>
      <c r="D101" s="53" t="str">
        <f>IF($AE101="","",IF(INDEX(对接源_01水果!$G$4:$G$1203,$AE101)=0,"",INDEX(对接源_01水果!$G$4:$G$1203,$AE101)))</f>
        <v/>
      </c>
      <c r="E101" s="53" t="str">
        <f>IF($AE101="","",IF(INDEX(对接源_01水果!$H$4:$H$1203,$AE101)=0,"",INDEX(对接源_01水果!$H$4:$H$1203,$AE101)))</f>
        <v/>
      </c>
      <c r="F101" s="53" t="str">
        <f>IF($AE101="","",IF(INDEX(对接源_01水果!$I$4:$I$1203,$AE101)=0,"",INDEX(对接源_01水果!$I$4:$I$1203,$AE101)))</f>
        <v/>
      </c>
      <c r="G101" s="55" t="str">
        <f>IF($AE101="","",IF(INDEX(对接源_01水果!$Z$4:$Z$1203,$AE101)=0,"",INDEX(对接源_01水果!$Z$4:$Z$1203,$AE101)))</f>
        <v/>
      </c>
      <c r="H101" s="55" t="str">
        <f>IF($AE101="","",IF(INDEX(对接源_01水果!$AA$4:$AA$1203,$AE101)=0,"",INDEX(对接源_01水果!$AA$4:$AA$1203,$AE101)))</f>
        <v/>
      </c>
      <c r="I101" s="55" t="str">
        <f>IF($AE101="","",IF(INDEX(对接源_01水果!$AG$4:$AG$1203,$AE101)=0,"",INDEX(对接源_01水果!$AG$4:$AG$1203,$AE101)))</f>
        <v/>
      </c>
      <c r="J101" s="55" t="str">
        <f>IF($AE101="","",IF(INDEX(对接源_01水果!$AJ$4:$AJ$1203,$AE101)=0,"",INDEX(对接源_01水果!$AJ$4:$AJ$1203,$AE101)))</f>
        <v/>
      </c>
      <c r="K101" s="53" t="str">
        <f>IF($AE101="","",IF(INDEX(对接源_01水果!$AB$4:$AB$1203,$AE101)=0,"",INDEX(对接源_01水果!$AB$4:$AB$1203,$AE101)))</f>
        <v/>
      </c>
      <c r="L101" s="56" t="str">
        <f>IF($AE101="","",IF(INDEX(对接源_01水果!$M$4:$M$1203,$AE101)=0,"",INDEX(对接源_01水果!$M$4:$M$1203,$AE101)))</f>
        <v/>
      </c>
      <c r="AE101" s="2" t="str">
        <f>IFERROR(MATCH(96,_自动清单!$AM$4:$AM$2403,0),"")</f>
        <v/>
      </c>
    </row>
    <row r="102" ht="18" customHeight="1" spans="1:31">
      <c r="A102" s="53" t="str">
        <f>IF($AE102="","",IF(INDEX(对接源_01水果!$B$4:$B$1203,$AE102)=0,"",INDEX(对接源_01水果!$B$4:$B$1203,$AE102)))</f>
        <v/>
      </c>
      <c r="B102" s="53" t="str">
        <f>IF($AE102="","",IF(INDEX(对接源_01水果!$E$4:$E$1203,$AE102)=0,"",INDEX(对接源_01水果!$E$4:$E$1203,$AE102)))</f>
        <v/>
      </c>
      <c r="C102" s="53" t="str">
        <f>IF($AE102="","",IF(INDEX(对接源_01水果!$F$4:$F$1203,$AE102)=0,"",INDEX(对接源_01水果!$F$4:$F$1203,$AE102)))</f>
        <v/>
      </c>
      <c r="D102" s="53" t="str">
        <f>IF($AE102="","",IF(INDEX(对接源_01水果!$G$4:$G$1203,$AE102)=0,"",INDEX(对接源_01水果!$G$4:$G$1203,$AE102)))</f>
        <v/>
      </c>
      <c r="E102" s="53" t="str">
        <f>IF($AE102="","",IF(INDEX(对接源_01水果!$H$4:$H$1203,$AE102)=0,"",INDEX(对接源_01水果!$H$4:$H$1203,$AE102)))</f>
        <v/>
      </c>
      <c r="F102" s="53" t="str">
        <f>IF($AE102="","",IF(INDEX(对接源_01水果!$I$4:$I$1203,$AE102)=0,"",INDEX(对接源_01水果!$I$4:$I$1203,$AE102)))</f>
        <v/>
      </c>
      <c r="G102" s="55" t="str">
        <f>IF($AE102="","",IF(INDEX(对接源_01水果!$Z$4:$Z$1203,$AE102)=0,"",INDEX(对接源_01水果!$Z$4:$Z$1203,$AE102)))</f>
        <v/>
      </c>
      <c r="H102" s="55" t="str">
        <f>IF($AE102="","",IF(INDEX(对接源_01水果!$AA$4:$AA$1203,$AE102)=0,"",INDEX(对接源_01水果!$AA$4:$AA$1203,$AE102)))</f>
        <v/>
      </c>
      <c r="I102" s="55" t="str">
        <f>IF($AE102="","",IF(INDEX(对接源_01水果!$AG$4:$AG$1203,$AE102)=0,"",INDEX(对接源_01水果!$AG$4:$AG$1203,$AE102)))</f>
        <v/>
      </c>
      <c r="J102" s="55" t="str">
        <f>IF($AE102="","",IF(INDEX(对接源_01水果!$AJ$4:$AJ$1203,$AE102)=0,"",INDEX(对接源_01水果!$AJ$4:$AJ$1203,$AE102)))</f>
        <v/>
      </c>
      <c r="K102" s="53" t="str">
        <f>IF($AE102="","",IF(INDEX(对接源_01水果!$AB$4:$AB$1203,$AE102)=0,"",INDEX(对接源_01水果!$AB$4:$AB$1203,$AE102)))</f>
        <v/>
      </c>
      <c r="L102" s="56" t="str">
        <f>IF($AE102="","",IF(INDEX(对接源_01水果!$M$4:$M$1203,$AE102)=0,"",INDEX(对接源_01水果!$M$4:$M$1203,$AE102)))</f>
        <v/>
      </c>
      <c r="AE102" s="2" t="str">
        <f>IFERROR(MATCH(97,_自动清单!$AM$4:$AM$2403,0),"")</f>
        <v/>
      </c>
    </row>
    <row r="103" ht="18" customHeight="1" spans="1:31">
      <c r="A103" s="53" t="str">
        <f>IF($AE103="","",IF(INDEX(对接源_01水果!$B$4:$B$1203,$AE103)=0,"",INDEX(对接源_01水果!$B$4:$B$1203,$AE103)))</f>
        <v/>
      </c>
      <c r="B103" s="53" t="str">
        <f>IF($AE103="","",IF(INDEX(对接源_01水果!$E$4:$E$1203,$AE103)=0,"",INDEX(对接源_01水果!$E$4:$E$1203,$AE103)))</f>
        <v/>
      </c>
      <c r="C103" s="53" t="str">
        <f>IF($AE103="","",IF(INDEX(对接源_01水果!$F$4:$F$1203,$AE103)=0,"",INDEX(对接源_01水果!$F$4:$F$1203,$AE103)))</f>
        <v/>
      </c>
      <c r="D103" s="53" t="str">
        <f>IF($AE103="","",IF(INDEX(对接源_01水果!$G$4:$G$1203,$AE103)=0,"",INDEX(对接源_01水果!$G$4:$G$1203,$AE103)))</f>
        <v/>
      </c>
      <c r="E103" s="53" t="str">
        <f>IF($AE103="","",IF(INDEX(对接源_01水果!$H$4:$H$1203,$AE103)=0,"",INDEX(对接源_01水果!$H$4:$H$1203,$AE103)))</f>
        <v/>
      </c>
      <c r="F103" s="53" t="str">
        <f>IF($AE103="","",IF(INDEX(对接源_01水果!$I$4:$I$1203,$AE103)=0,"",INDEX(对接源_01水果!$I$4:$I$1203,$AE103)))</f>
        <v/>
      </c>
      <c r="G103" s="55" t="str">
        <f>IF($AE103="","",IF(INDEX(对接源_01水果!$Z$4:$Z$1203,$AE103)=0,"",INDEX(对接源_01水果!$Z$4:$Z$1203,$AE103)))</f>
        <v/>
      </c>
      <c r="H103" s="55" t="str">
        <f>IF($AE103="","",IF(INDEX(对接源_01水果!$AA$4:$AA$1203,$AE103)=0,"",INDEX(对接源_01水果!$AA$4:$AA$1203,$AE103)))</f>
        <v/>
      </c>
      <c r="I103" s="55" t="str">
        <f>IF($AE103="","",IF(INDEX(对接源_01水果!$AG$4:$AG$1203,$AE103)=0,"",INDEX(对接源_01水果!$AG$4:$AG$1203,$AE103)))</f>
        <v/>
      </c>
      <c r="J103" s="55" t="str">
        <f>IF($AE103="","",IF(INDEX(对接源_01水果!$AJ$4:$AJ$1203,$AE103)=0,"",INDEX(对接源_01水果!$AJ$4:$AJ$1203,$AE103)))</f>
        <v/>
      </c>
      <c r="K103" s="53" t="str">
        <f>IF($AE103="","",IF(INDEX(对接源_01水果!$AB$4:$AB$1203,$AE103)=0,"",INDEX(对接源_01水果!$AB$4:$AB$1203,$AE103)))</f>
        <v/>
      </c>
      <c r="L103" s="56" t="str">
        <f>IF($AE103="","",IF(INDEX(对接源_01水果!$M$4:$M$1203,$AE103)=0,"",INDEX(对接源_01水果!$M$4:$M$1203,$AE103)))</f>
        <v/>
      </c>
      <c r="AE103" s="2" t="str">
        <f>IFERROR(MATCH(98,_自动清单!$AM$4:$AM$2403,0),"")</f>
        <v/>
      </c>
    </row>
    <row r="104" ht="18" customHeight="1" spans="1:31">
      <c r="A104" s="53" t="str">
        <f>IF($AE104="","",IF(INDEX(对接源_01水果!$B$4:$B$1203,$AE104)=0,"",INDEX(对接源_01水果!$B$4:$B$1203,$AE104)))</f>
        <v/>
      </c>
      <c r="B104" s="53" t="str">
        <f>IF($AE104="","",IF(INDEX(对接源_01水果!$E$4:$E$1203,$AE104)=0,"",INDEX(对接源_01水果!$E$4:$E$1203,$AE104)))</f>
        <v/>
      </c>
      <c r="C104" s="53" t="str">
        <f>IF($AE104="","",IF(INDEX(对接源_01水果!$F$4:$F$1203,$AE104)=0,"",INDEX(对接源_01水果!$F$4:$F$1203,$AE104)))</f>
        <v/>
      </c>
      <c r="D104" s="53" t="str">
        <f>IF($AE104="","",IF(INDEX(对接源_01水果!$G$4:$G$1203,$AE104)=0,"",INDEX(对接源_01水果!$G$4:$G$1203,$AE104)))</f>
        <v/>
      </c>
      <c r="E104" s="53" t="str">
        <f>IF($AE104="","",IF(INDEX(对接源_01水果!$H$4:$H$1203,$AE104)=0,"",INDEX(对接源_01水果!$H$4:$H$1203,$AE104)))</f>
        <v/>
      </c>
      <c r="F104" s="53" t="str">
        <f>IF($AE104="","",IF(INDEX(对接源_01水果!$I$4:$I$1203,$AE104)=0,"",INDEX(对接源_01水果!$I$4:$I$1203,$AE104)))</f>
        <v/>
      </c>
      <c r="G104" s="55" t="str">
        <f>IF($AE104="","",IF(INDEX(对接源_01水果!$Z$4:$Z$1203,$AE104)=0,"",INDEX(对接源_01水果!$Z$4:$Z$1203,$AE104)))</f>
        <v/>
      </c>
      <c r="H104" s="55" t="str">
        <f>IF($AE104="","",IF(INDEX(对接源_01水果!$AA$4:$AA$1203,$AE104)=0,"",INDEX(对接源_01水果!$AA$4:$AA$1203,$AE104)))</f>
        <v/>
      </c>
      <c r="I104" s="55" t="str">
        <f>IF($AE104="","",IF(INDEX(对接源_01水果!$AG$4:$AG$1203,$AE104)=0,"",INDEX(对接源_01水果!$AG$4:$AG$1203,$AE104)))</f>
        <v/>
      </c>
      <c r="J104" s="55" t="str">
        <f>IF($AE104="","",IF(INDEX(对接源_01水果!$AJ$4:$AJ$1203,$AE104)=0,"",INDEX(对接源_01水果!$AJ$4:$AJ$1203,$AE104)))</f>
        <v/>
      </c>
      <c r="K104" s="53" t="str">
        <f>IF($AE104="","",IF(INDEX(对接源_01水果!$AB$4:$AB$1203,$AE104)=0,"",INDEX(对接源_01水果!$AB$4:$AB$1203,$AE104)))</f>
        <v/>
      </c>
      <c r="L104" s="56" t="str">
        <f>IF($AE104="","",IF(INDEX(对接源_01水果!$M$4:$M$1203,$AE104)=0,"",INDEX(对接源_01水果!$M$4:$M$1203,$AE104)))</f>
        <v/>
      </c>
      <c r="AE104" s="2" t="str">
        <f>IFERROR(MATCH(99,_自动清单!$AM$4:$AM$2403,0),"")</f>
        <v/>
      </c>
    </row>
    <row r="105" ht="18" customHeight="1" spans="1:31">
      <c r="A105" s="53" t="str">
        <f>IF($AE105="","",IF(INDEX(对接源_01水果!$B$4:$B$1203,$AE105)=0,"",INDEX(对接源_01水果!$B$4:$B$1203,$AE105)))</f>
        <v/>
      </c>
      <c r="B105" s="53" t="str">
        <f>IF($AE105="","",IF(INDEX(对接源_01水果!$E$4:$E$1203,$AE105)=0,"",INDEX(对接源_01水果!$E$4:$E$1203,$AE105)))</f>
        <v/>
      </c>
      <c r="C105" s="53" t="str">
        <f>IF($AE105="","",IF(INDEX(对接源_01水果!$F$4:$F$1203,$AE105)=0,"",INDEX(对接源_01水果!$F$4:$F$1203,$AE105)))</f>
        <v/>
      </c>
      <c r="D105" s="53" t="str">
        <f>IF($AE105="","",IF(INDEX(对接源_01水果!$G$4:$G$1203,$AE105)=0,"",INDEX(对接源_01水果!$G$4:$G$1203,$AE105)))</f>
        <v/>
      </c>
      <c r="E105" s="53" t="str">
        <f>IF($AE105="","",IF(INDEX(对接源_01水果!$H$4:$H$1203,$AE105)=0,"",INDEX(对接源_01水果!$H$4:$H$1203,$AE105)))</f>
        <v/>
      </c>
      <c r="F105" s="53" t="str">
        <f>IF($AE105="","",IF(INDEX(对接源_01水果!$I$4:$I$1203,$AE105)=0,"",INDEX(对接源_01水果!$I$4:$I$1203,$AE105)))</f>
        <v/>
      </c>
      <c r="G105" s="55" t="str">
        <f>IF($AE105="","",IF(INDEX(对接源_01水果!$Z$4:$Z$1203,$AE105)=0,"",INDEX(对接源_01水果!$Z$4:$Z$1203,$AE105)))</f>
        <v/>
      </c>
      <c r="H105" s="55" t="str">
        <f>IF($AE105="","",IF(INDEX(对接源_01水果!$AA$4:$AA$1203,$AE105)=0,"",INDEX(对接源_01水果!$AA$4:$AA$1203,$AE105)))</f>
        <v/>
      </c>
      <c r="I105" s="55" t="str">
        <f>IF($AE105="","",IF(INDEX(对接源_01水果!$AG$4:$AG$1203,$AE105)=0,"",INDEX(对接源_01水果!$AG$4:$AG$1203,$AE105)))</f>
        <v/>
      </c>
      <c r="J105" s="55" t="str">
        <f>IF($AE105="","",IF(INDEX(对接源_01水果!$AJ$4:$AJ$1203,$AE105)=0,"",INDEX(对接源_01水果!$AJ$4:$AJ$1203,$AE105)))</f>
        <v/>
      </c>
      <c r="K105" s="53" t="str">
        <f>IF($AE105="","",IF(INDEX(对接源_01水果!$AB$4:$AB$1203,$AE105)=0,"",INDEX(对接源_01水果!$AB$4:$AB$1203,$AE105)))</f>
        <v/>
      </c>
      <c r="L105" s="56" t="str">
        <f>IF($AE105="","",IF(INDEX(对接源_01水果!$M$4:$M$1203,$AE105)=0,"",INDEX(对接源_01水果!$M$4:$M$1203,$AE105)))</f>
        <v/>
      </c>
      <c r="AE105" s="2" t="str">
        <f>IFERROR(MATCH(100,_自动清单!$AM$4:$AM$2403,0),"")</f>
        <v/>
      </c>
    </row>
    <row r="106" ht="18" customHeight="1" spans="1:31">
      <c r="A106" s="53" t="str">
        <f>IF($AE106="","",IF(INDEX(对接源_01水果!$B$4:$B$1203,$AE106)=0,"",INDEX(对接源_01水果!$B$4:$B$1203,$AE106)))</f>
        <v/>
      </c>
      <c r="B106" s="53" t="str">
        <f>IF($AE106="","",IF(INDEX(对接源_01水果!$E$4:$E$1203,$AE106)=0,"",INDEX(对接源_01水果!$E$4:$E$1203,$AE106)))</f>
        <v/>
      </c>
      <c r="C106" s="53" t="str">
        <f>IF($AE106="","",IF(INDEX(对接源_01水果!$F$4:$F$1203,$AE106)=0,"",INDEX(对接源_01水果!$F$4:$F$1203,$AE106)))</f>
        <v/>
      </c>
      <c r="D106" s="53" t="str">
        <f>IF($AE106="","",IF(INDEX(对接源_01水果!$G$4:$G$1203,$AE106)=0,"",INDEX(对接源_01水果!$G$4:$G$1203,$AE106)))</f>
        <v/>
      </c>
      <c r="E106" s="53" t="str">
        <f>IF($AE106="","",IF(INDEX(对接源_01水果!$H$4:$H$1203,$AE106)=0,"",INDEX(对接源_01水果!$H$4:$H$1203,$AE106)))</f>
        <v/>
      </c>
      <c r="F106" s="53" t="str">
        <f>IF($AE106="","",IF(INDEX(对接源_01水果!$I$4:$I$1203,$AE106)=0,"",INDEX(对接源_01水果!$I$4:$I$1203,$AE106)))</f>
        <v/>
      </c>
      <c r="G106" s="55" t="str">
        <f>IF($AE106="","",IF(INDEX(对接源_01水果!$Z$4:$Z$1203,$AE106)=0,"",INDEX(对接源_01水果!$Z$4:$Z$1203,$AE106)))</f>
        <v/>
      </c>
      <c r="H106" s="55" t="str">
        <f>IF($AE106="","",IF(INDEX(对接源_01水果!$AA$4:$AA$1203,$AE106)=0,"",INDEX(对接源_01水果!$AA$4:$AA$1203,$AE106)))</f>
        <v/>
      </c>
      <c r="I106" s="55" t="str">
        <f>IF($AE106="","",IF(INDEX(对接源_01水果!$AG$4:$AG$1203,$AE106)=0,"",INDEX(对接源_01水果!$AG$4:$AG$1203,$AE106)))</f>
        <v/>
      </c>
      <c r="J106" s="55" t="str">
        <f>IF($AE106="","",IF(INDEX(对接源_01水果!$AJ$4:$AJ$1203,$AE106)=0,"",INDEX(对接源_01水果!$AJ$4:$AJ$1203,$AE106)))</f>
        <v/>
      </c>
      <c r="K106" s="53" t="str">
        <f>IF($AE106="","",IF(INDEX(对接源_01水果!$AB$4:$AB$1203,$AE106)=0,"",INDEX(对接源_01水果!$AB$4:$AB$1203,$AE106)))</f>
        <v/>
      </c>
      <c r="L106" s="56" t="str">
        <f>IF($AE106="","",IF(INDEX(对接源_01水果!$M$4:$M$1203,$AE106)=0,"",INDEX(对接源_01水果!$M$4:$M$1203,$AE106)))</f>
        <v/>
      </c>
      <c r="AE106" s="2" t="str">
        <f>IFERROR(MATCH(101,_自动清单!$AM$4:$AM$2403,0),"")</f>
        <v/>
      </c>
    </row>
    <row r="107" ht="18" customHeight="1" spans="1:31">
      <c r="A107" s="53" t="str">
        <f>IF($AE107="","",IF(INDEX(对接源_01水果!$B$4:$B$1203,$AE107)=0,"",INDEX(对接源_01水果!$B$4:$B$1203,$AE107)))</f>
        <v/>
      </c>
      <c r="B107" s="53" t="str">
        <f>IF($AE107="","",IF(INDEX(对接源_01水果!$E$4:$E$1203,$AE107)=0,"",INDEX(对接源_01水果!$E$4:$E$1203,$AE107)))</f>
        <v/>
      </c>
      <c r="C107" s="53" t="str">
        <f>IF($AE107="","",IF(INDEX(对接源_01水果!$F$4:$F$1203,$AE107)=0,"",INDEX(对接源_01水果!$F$4:$F$1203,$AE107)))</f>
        <v/>
      </c>
      <c r="D107" s="53" t="str">
        <f>IF($AE107="","",IF(INDEX(对接源_01水果!$G$4:$G$1203,$AE107)=0,"",INDEX(对接源_01水果!$G$4:$G$1203,$AE107)))</f>
        <v/>
      </c>
      <c r="E107" s="53" t="str">
        <f>IF($AE107="","",IF(INDEX(对接源_01水果!$H$4:$H$1203,$AE107)=0,"",INDEX(对接源_01水果!$H$4:$H$1203,$AE107)))</f>
        <v/>
      </c>
      <c r="F107" s="53" t="str">
        <f>IF($AE107="","",IF(INDEX(对接源_01水果!$I$4:$I$1203,$AE107)=0,"",INDEX(对接源_01水果!$I$4:$I$1203,$AE107)))</f>
        <v/>
      </c>
      <c r="G107" s="55" t="str">
        <f>IF($AE107="","",IF(INDEX(对接源_01水果!$Z$4:$Z$1203,$AE107)=0,"",INDEX(对接源_01水果!$Z$4:$Z$1203,$AE107)))</f>
        <v/>
      </c>
      <c r="H107" s="55" t="str">
        <f>IF($AE107="","",IF(INDEX(对接源_01水果!$AA$4:$AA$1203,$AE107)=0,"",INDEX(对接源_01水果!$AA$4:$AA$1203,$AE107)))</f>
        <v/>
      </c>
      <c r="I107" s="55" t="str">
        <f>IF($AE107="","",IF(INDEX(对接源_01水果!$AG$4:$AG$1203,$AE107)=0,"",INDEX(对接源_01水果!$AG$4:$AG$1203,$AE107)))</f>
        <v/>
      </c>
      <c r="J107" s="55" t="str">
        <f>IF($AE107="","",IF(INDEX(对接源_01水果!$AJ$4:$AJ$1203,$AE107)=0,"",INDEX(对接源_01水果!$AJ$4:$AJ$1203,$AE107)))</f>
        <v/>
      </c>
      <c r="K107" s="53" t="str">
        <f>IF($AE107="","",IF(INDEX(对接源_01水果!$AB$4:$AB$1203,$AE107)=0,"",INDEX(对接源_01水果!$AB$4:$AB$1203,$AE107)))</f>
        <v/>
      </c>
      <c r="L107" s="56" t="str">
        <f>IF($AE107="","",IF(INDEX(对接源_01水果!$M$4:$M$1203,$AE107)=0,"",INDEX(对接源_01水果!$M$4:$M$1203,$AE107)))</f>
        <v/>
      </c>
      <c r="AE107" s="2" t="str">
        <f>IFERROR(MATCH(102,_自动清单!$AM$4:$AM$2403,0),"")</f>
        <v/>
      </c>
    </row>
    <row r="108" ht="18" customHeight="1" spans="1:31">
      <c r="A108" s="53" t="str">
        <f>IF($AE108="","",IF(INDEX(对接源_01水果!$B$4:$B$1203,$AE108)=0,"",INDEX(对接源_01水果!$B$4:$B$1203,$AE108)))</f>
        <v/>
      </c>
      <c r="B108" s="53" t="str">
        <f>IF($AE108="","",IF(INDEX(对接源_01水果!$E$4:$E$1203,$AE108)=0,"",INDEX(对接源_01水果!$E$4:$E$1203,$AE108)))</f>
        <v/>
      </c>
      <c r="C108" s="53" t="str">
        <f>IF($AE108="","",IF(INDEX(对接源_01水果!$F$4:$F$1203,$AE108)=0,"",INDEX(对接源_01水果!$F$4:$F$1203,$AE108)))</f>
        <v/>
      </c>
      <c r="D108" s="53" t="str">
        <f>IF($AE108="","",IF(INDEX(对接源_01水果!$G$4:$G$1203,$AE108)=0,"",INDEX(对接源_01水果!$G$4:$G$1203,$AE108)))</f>
        <v/>
      </c>
      <c r="E108" s="53" t="str">
        <f>IF($AE108="","",IF(INDEX(对接源_01水果!$H$4:$H$1203,$AE108)=0,"",INDEX(对接源_01水果!$H$4:$H$1203,$AE108)))</f>
        <v/>
      </c>
      <c r="F108" s="53" t="str">
        <f>IF($AE108="","",IF(INDEX(对接源_01水果!$I$4:$I$1203,$AE108)=0,"",INDEX(对接源_01水果!$I$4:$I$1203,$AE108)))</f>
        <v/>
      </c>
      <c r="G108" s="55" t="str">
        <f>IF($AE108="","",IF(INDEX(对接源_01水果!$Z$4:$Z$1203,$AE108)=0,"",INDEX(对接源_01水果!$Z$4:$Z$1203,$AE108)))</f>
        <v/>
      </c>
      <c r="H108" s="55" t="str">
        <f>IF($AE108="","",IF(INDEX(对接源_01水果!$AA$4:$AA$1203,$AE108)=0,"",INDEX(对接源_01水果!$AA$4:$AA$1203,$AE108)))</f>
        <v/>
      </c>
      <c r="I108" s="55" t="str">
        <f>IF($AE108="","",IF(INDEX(对接源_01水果!$AG$4:$AG$1203,$AE108)=0,"",INDEX(对接源_01水果!$AG$4:$AG$1203,$AE108)))</f>
        <v/>
      </c>
      <c r="J108" s="55" t="str">
        <f>IF($AE108="","",IF(INDEX(对接源_01水果!$AJ$4:$AJ$1203,$AE108)=0,"",INDEX(对接源_01水果!$AJ$4:$AJ$1203,$AE108)))</f>
        <v/>
      </c>
      <c r="K108" s="53" t="str">
        <f>IF($AE108="","",IF(INDEX(对接源_01水果!$AB$4:$AB$1203,$AE108)=0,"",INDEX(对接源_01水果!$AB$4:$AB$1203,$AE108)))</f>
        <v/>
      </c>
      <c r="L108" s="56" t="str">
        <f>IF($AE108="","",IF(INDEX(对接源_01水果!$M$4:$M$1203,$AE108)=0,"",INDEX(对接源_01水果!$M$4:$M$1203,$AE108)))</f>
        <v/>
      </c>
      <c r="AE108" s="2" t="str">
        <f>IFERROR(MATCH(103,_自动清单!$AM$4:$AM$2403,0),"")</f>
        <v/>
      </c>
    </row>
    <row r="109" ht="18" customHeight="1" spans="1:31">
      <c r="A109" s="53" t="str">
        <f>IF($AE109="","",IF(INDEX(对接源_01水果!$B$4:$B$1203,$AE109)=0,"",INDEX(对接源_01水果!$B$4:$B$1203,$AE109)))</f>
        <v/>
      </c>
      <c r="B109" s="53" t="str">
        <f>IF($AE109="","",IF(INDEX(对接源_01水果!$E$4:$E$1203,$AE109)=0,"",INDEX(对接源_01水果!$E$4:$E$1203,$AE109)))</f>
        <v/>
      </c>
      <c r="C109" s="53" t="str">
        <f>IF($AE109="","",IF(INDEX(对接源_01水果!$F$4:$F$1203,$AE109)=0,"",INDEX(对接源_01水果!$F$4:$F$1203,$AE109)))</f>
        <v/>
      </c>
      <c r="D109" s="53" t="str">
        <f>IF($AE109="","",IF(INDEX(对接源_01水果!$G$4:$G$1203,$AE109)=0,"",INDEX(对接源_01水果!$G$4:$G$1203,$AE109)))</f>
        <v/>
      </c>
      <c r="E109" s="53" t="str">
        <f>IF($AE109="","",IF(INDEX(对接源_01水果!$H$4:$H$1203,$AE109)=0,"",INDEX(对接源_01水果!$H$4:$H$1203,$AE109)))</f>
        <v/>
      </c>
      <c r="F109" s="53" t="str">
        <f>IF($AE109="","",IF(INDEX(对接源_01水果!$I$4:$I$1203,$AE109)=0,"",INDEX(对接源_01水果!$I$4:$I$1203,$AE109)))</f>
        <v/>
      </c>
      <c r="G109" s="55" t="str">
        <f>IF($AE109="","",IF(INDEX(对接源_01水果!$Z$4:$Z$1203,$AE109)=0,"",INDEX(对接源_01水果!$Z$4:$Z$1203,$AE109)))</f>
        <v/>
      </c>
      <c r="H109" s="55" t="str">
        <f>IF($AE109="","",IF(INDEX(对接源_01水果!$AA$4:$AA$1203,$AE109)=0,"",INDEX(对接源_01水果!$AA$4:$AA$1203,$AE109)))</f>
        <v/>
      </c>
      <c r="I109" s="55" t="str">
        <f>IF($AE109="","",IF(INDEX(对接源_01水果!$AG$4:$AG$1203,$AE109)=0,"",INDEX(对接源_01水果!$AG$4:$AG$1203,$AE109)))</f>
        <v/>
      </c>
      <c r="J109" s="55" t="str">
        <f>IF($AE109="","",IF(INDEX(对接源_01水果!$AJ$4:$AJ$1203,$AE109)=0,"",INDEX(对接源_01水果!$AJ$4:$AJ$1203,$AE109)))</f>
        <v/>
      </c>
      <c r="K109" s="53" t="str">
        <f>IF($AE109="","",IF(INDEX(对接源_01水果!$AB$4:$AB$1203,$AE109)=0,"",INDEX(对接源_01水果!$AB$4:$AB$1203,$AE109)))</f>
        <v/>
      </c>
      <c r="L109" s="56" t="str">
        <f>IF($AE109="","",IF(INDEX(对接源_01水果!$M$4:$M$1203,$AE109)=0,"",INDEX(对接源_01水果!$M$4:$M$1203,$AE109)))</f>
        <v/>
      </c>
      <c r="AE109" s="2" t="str">
        <f>IFERROR(MATCH(104,_自动清单!$AM$4:$AM$2403,0),"")</f>
        <v/>
      </c>
    </row>
    <row r="110" ht="18" customHeight="1" spans="1:31">
      <c r="A110" s="53" t="str">
        <f>IF($AE110="","",IF(INDEX(对接源_01水果!$B$4:$B$1203,$AE110)=0,"",INDEX(对接源_01水果!$B$4:$B$1203,$AE110)))</f>
        <v/>
      </c>
      <c r="B110" s="53" t="str">
        <f>IF($AE110="","",IF(INDEX(对接源_01水果!$E$4:$E$1203,$AE110)=0,"",INDEX(对接源_01水果!$E$4:$E$1203,$AE110)))</f>
        <v/>
      </c>
      <c r="C110" s="53" t="str">
        <f>IF($AE110="","",IF(INDEX(对接源_01水果!$F$4:$F$1203,$AE110)=0,"",INDEX(对接源_01水果!$F$4:$F$1203,$AE110)))</f>
        <v/>
      </c>
      <c r="D110" s="53" t="str">
        <f>IF($AE110="","",IF(INDEX(对接源_01水果!$G$4:$G$1203,$AE110)=0,"",INDEX(对接源_01水果!$G$4:$G$1203,$AE110)))</f>
        <v/>
      </c>
      <c r="E110" s="53" t="str">
        <f>IF($AE110="","",IF(INDEX(对接源_01水果!$H$4:$H$1203,$AE110)=0,"",INDEX(对接源_01水果!$H$4:$H$1203,$AE110)))</f>
        <v/>
      </c>
      <c r="F110" s="53" t="str">
        <f>IF($AE110="","",IF(INDEX(对接源_01水果!$I$4:$I$1203,$AE110)=0,"",INDEX(对接源_01水果!$I$4:$I$1203,$AE110)))</f>
        <v/>
      </c>
      <c r="G110" s="55" t="str">
        <f>IF($AE110="","",IF(INDEX(对接源_01水果!$Z$4:$Z$1203,$AE110)=0,"",INDEX(对接源_01水果!$Z$4:$Z$1203,$AE110)))</f>
        <v/>
      </c>
      <c r="H110" s="55" t="str">
        <f>IF($AE110="","",IF(INDEX(对接源_01水果!$AA$4:$AA$1203,$AE110)=0,"",INDEX(对接源_01水果!$AA$4:$AA$1203,$AE110)))</f>
        <v/>
      </c>
      <c r="I110" s="55" t="str">
        <f>IF($AE110="","",IF(INDEX(对接源_01水果!$AG$4:$AG$1203,$AE110)=0,"",INDEX(对接源_01水果!$AG$4:$AG$1203,$AE110)))</f>
        <v/>
      </c>
      <c r="J110" s="55" t="str">
        <f>IF($AE110="","",IF(INDEX(对接源_01水果!$AJ$4:$AJ$1203,$AE110)=0,"",INDEX(对接源_01水果!$AJ$4:$AJ$1203,$AE110)))</f>
        <v/>
      </c>
      <c r="K110" s="53" t="str">
        <f>IF($AE110="","",IF(INDEX(对接源_01水果!$AB$4:$AB$1203,$AE110)=0,"",INDEX(对接源_01水果!$AB$4:$AB$1203,$AE110)))</f>
        <v/>
      </c>
      <c r="L110" s="56" t="str">
        <f>IF($AE110="","",IF(INDEX(对接源_01水果!$M$4:$M$1203,$AE110)=0,"",INDEX(对接源_01水果!$M$4:$M$1203,$AE110)))</f>
        <v/>
      </c>
      <c r="AE110" s="2" t="str">
        <f>IFERROR(MATCH(105,_自动清单!$AM$4:$AM$2403,0),"")</f>
        <v/>
      </c>
    </row>
    <row r="111" ht="18" customHeight="1" spans="1:31">
      <c r="A111" s="53" t="str">
        <f>IF($AE111="","",IF(INDEX(对接源_01水果!$B$4:$B$1203,$AE111)=0,"",INDEX(对接源_01水果!$B$4:$B$1203,$AE111)))</f>
        <v/>
      </c>
      <c r="B111" s="53" t="str">
        <f>IF($AE111="","",IF(INDEX(对接源_01水果!$E$4:$E$1203,$AE111)=0,"",INDEX(对接源_01水果!$E$4:$E$1203,$AE111)))</f>
        <v/>
      </c>
      <c r="C111" s="53" t="str">
        <f>IF($AE111="","",IF(INDEX(对接源_01水果!$F$4:$F$1203,$AE111)=0,"",INDEX(对接源_01水果!$F$4:$F$1203,$AE111)))</f>
        <v/>
      </c>
      <c r="D111" s="53" t="str">
        <f>IF($AE111="","",IF(INDEX(对接源_01水果!$G$4:$G$1203,$AE111)=0,"",INDEX(对接源_01水果!$G$4:$G$1203,$AE111)))</f>
        <v/>
      </c>
      <c r="E111" s="53" t="str">
        <f>IF($AE111="","",IF(INDEX(对接源_01水果!$H$4:$H$1203,$AE111)=0,"",INDEX(对接源_01水果!$H$4:$H$1203,$AE111)))</f>
        <v/>
      </c>
      <c r="F111" s="53" t="str">
        <f>IF($AE111="","",IF(INDEX(对接源_01水果!$I$4:$I$1203,$AE111)=0,"",INDEX(对接源_01水果!$I$4:$I$1203,$AE111)))</f>
        <v/>
      </c>
      <c r="G111" s="55" t="str">
        <f>IF($AE111="","",IF(INDEX(对接源_01水果!$Z$4:$Z$1203,$AE111)=0,"",INDEX(对接源_01水果!$Z$4:$Z$1203,$AE111)))</f>
        <v/>
      </c>
      <c r="H111" s="55" t="str">
        <f>IF($AE111="","",IF(INDEX(对接源_01水果!$AA$4:$AA$1203,$AE111)=0,"",INDEX(对接源_01水果!$AA$4:$AA$1203,$AE111)))</f>
        <v/>
      </c>
      <c r="I111" s="55" t="str">
        <f>IF($AE111="","",IF(INDEX(对接源_01水果!$AG$4:$AG$1203,$AE111)=0,"",INDEX(对接源_01水果!$AG$4:$AG$1203,$AE111)))</f>
        <v/>
      </c>
      <c r="J111" s="55" t="str">
        <f>IF($AE111="","",IF(INDEX(对接源_01水果!$AJ$4:$AJ$1203,$AE111)=0,"",INDEX(对接源_01水果!$AJ$4:$AJ$1203,$AE111)))</f>
        <v/>
      </c>
      <c r="K111" s="53" t="str">
        <f>IF($AE111="","",IF(INDEX(对接源_01水果!$AB$4:$AB$1203,$AE111)=0,"",INDEX(对接源_01水果!$AB$4:$AB$1203,$AE111)))</f>
        <v/>
      </c>
      <c r="L111" s="56" t="str">
        <f>IF($AE111="","",IF(INDEX(对接源_01水果!$M$4:$M$1203,$AE111)=0,"",INDEX(对接源_01水果!$M$4:$M$1203,$AE111)))</f>
        <v/>
      </c>
      <c r="AE111" s="2" t="str">
        <f>IFERROR(MATCH(106,_自动清单!$AM$4:$AM$2403,0),"")</f>
        <v/>
      </c>
    </row>
    <row r="112" ht="18" customHeight="1" spans="1:31">
      <c r="A112" s="53" t="str">
        <f>IF($AE112="","",IF(INDEX(对接源_01水果!$B$4:$B$1203,$AE112)=0,"",INDEX(对接源_01水果!$B$4:$B$1203,$AE112)))</f>
        <v/>
      </c>
      <c r="B112" s="53" t="str">
        <f>IF($AE112="","",IF(INDEX(对接源_01水果!$E$4:$E$1203,$AE112)=0,"",INDEX(对接源_01水果!$E$4:$E$1203,$AE112)))</f>
        <v/>
      </c>
      <c r="C112" s="53" t="str">
        <f>IF($AE112="","",IF(INDEX(对接源_01水果!$F$4:$F$1203,$AE112)=0,"",INDEX(对接源_01水果!$F$4:$F$1203,$AE112)))</f>
        <v/>
      </c>
      <c r="D112" s="53" t="str">
        <f>IF($AE112="","",IF(INDEX(对接源_01水果!$G$4:$G$1203,$AE112)=0,"",INDEX(对接源_01水果!$G$4:$G$1203,$AE112)))</f>
        <v/>
      </c>
      <c r="E112" s="53" t="str">
        <f>IF($AE112="","",IF(INDEX(对接源_01水果!$H$4:$H$1203,$AE112)=0,"",INDEX(对接源_01水果!$H$4:$H$1203,$AE112)))</f>
        <v/>
      </c>
      <c r="F112" s="53" t="str">
        <f>IF($AE112="","",IF(INDEX(对接源_01水果!$I$4:$I$1203,$AE112)=0,"",INDEX(对接源_01水果!$I$4:$I$1203,$AE112)))</f>
        <v/>
      </c>
      <c r="G112" s="55" t="str">
        <f>IF($AE112="","",IF(INDEX(对接源_01水果!$Z$4:$Z$1203,$AE112)=0,"",INDEX(对接源_01水果!$Z$4:$Z$1203,$AE112)))</f>
        <v/>
      </c>
      <c r="H112" s="55" t="str">
        <f>IF($AE112="","",IF(INDEX(对接源_01水果!$AA$4:$AA$1203,$AE112)=0,"",INDEX(对接源_01水果!$AA$4:$AA$1203,$AE112)))</f>
        <v/>
      </c>
      <c r="I112" s="55" t="str">
        <f>IF($AE112="","",IF(INDEX(对接源_01水果!$AG$4:$AG$1203,$AE112)=0,"",INDEX(对接源_01水果!$AG$4:$AG$1203,$AE112)))</f>
        <v/>
      </c>
      <c r="J112" s="55" t="str">
        <f>IF($AE112="","",IF(INDEX(对接源_01水果!$AJ$4:$AJ$1203,$AE112)=0,"",INDEX(对接源_01水果!$AJ$4:$AJ$1203,$AE112)))</f>
        <v/>
      </c>
      <c r="K112" s="53" t="str">
        <f>IF($AE112="","",IF(INDEX(对接源_01水果!$AB$4:$AB$1203,$AE112)=0,"",INDEX(对接源_01水果!$AB$4:$AB$1203,$AE112)))</f>
        <v/>
      </c>
      <c r="L112" s="56" t="str">
        <f>IF($AE112="","",IF(INDEX(对接源_01水果!$M$4:$M$1203,$AE112)=0,"",INDEX(对接源_01水果!$M$4:$M$1203,$AE112)))</f>
        <v/>
      </c>
      <c r="AE112" s="2" t="str">
        <f>IFERROR(MATCH(107,_自动清单!$AM$4:$AM$2403,0),"")</f>
        <v/>
      </c>
    </row>
    <row r="113" ht="18" customHeight="1" spans="1:31">
      <c r="A113" s="53" t="str">
        <f>IF($AE113="","",IF(INDEX(对接源_01水果!$B$4:$B$1203,$AE113)=0,"",INDEX(对接源_01水果!$B$4:$B$1203,$AE113)))</f>
        <v/>
      </c>
      <c r="B113" s="53" t="str">
        <f>IF($AE113="","",IF(INDEX(对接源_01水果!$E$4:$E$1203,$AE113)=0,"",INDEX(对接源_01水果!$E$4:$E$1203,$AE113)))</f>
        <v/>
      </c>
      <c r="C113" s="53" t="str">
        <f>IF($AE113="","",IF(INDEX(对接源_01水果!$F$4:$F$1203,$AE113)=0,"",INDEX(对接源_01水果!$F$4:$F$1203,$AE113)))</f>
        <v/>
      </c>
      <c r="D113" s="53" t="str">
        <f>IF($AE113="","",IF(INDEX(对接源_01水果!$G$4:$G$1203,$AE113)=0,"",INDEX(对接源_01水果!$G$4:$G$1203,$AE113)))</f>
        <v/>
      </c>
      <c r="E113" s="53" t="str">
        <f>IF($AE113="","",IF(INDEX(对接源_01水果!$H$4:$H$1203,$AE113)=0,"",INDEX(对接源_01水果!$H$4:$H$1203,$AE113)))</f>
        <v/>
      </c>
      <c r="F113" s="53" t="str">
        <f>IF($AE113="","",IF(INDEX(对接源_01水果!$I$4:$I$1203,$AE113)=0,"",INDEX(对接源_01水果!$I$4:$I$1203,$AE113)))</f>
        <v/>
      </c>
      <c r="G113" s="55" t="str">
        <f>IF($AE113="","",IF(INDEX(对接源_01水果!$Z$4:$Z$1203,$AE113)=0,"",INDEX(对接源_01水果!$Z$4:$Z$1203,$AE113)))</f>
        <v/>
      </c>
      <c r="H113" s="55" t="str">
        <f>IF($AE113="","",IF(INDEX(对接源_01水果!$AA$4:$AA$1203,$AE113)=0,"",INDEX(对接源_01水果!$AA$4:$AA$1203,$AE113)))</f>
        <v/>
      </c>
      <c r="I113" s="55" t="str">
        <f>IF($AE113="","",IF(INDEX(对接源_01水果!$AG$4:$AG$1203,$AE113)=0,"",INDEX(对接源_01水果!$AG$4:$AG$1203,$AE113)))</f>
        <v/>
      </c>
      <c r="J113" s="55" t="str">
        <f>IF($AE113="","",IF(INDEX(对接源_01水果!$AJ$4:$AJ$1203,$AE113)=0,"",INDEX(对接源_01水果!$AJ$4:$AJ$1203,$AE113)))</f>
        <v/>
      </c>
      <c r="K113" s="53" t="str">
        <f>IF($AE113="","",IF(INDEX(对接源_01水果!$AB$4:$AB$1203,$AE113)=0,"",INDEX(对接源_01水果!$AB$4:$AB$1203,$AE113)))</f>
        <v/>
      </c>
      <c r="L113" s="56" t="str">
        <f>IF($AE113="","",IF(INDEX(对接源_01水果!$M$4:$M$1203,$AE113)=0,"",INDEX(对接源_01水果!$M$4:$M$1203,$AE113)))</f>
        <v/>
      </c>
      <c r="AE113" s="2" t="str">
        <f>IFERROR(MATCH(108,_自动清单!$AM$4:$AM$2403,0),"")</f>
        <v/>
      </c>
    </row>
    <row r="114" ht="18" customHeight="1" spans="1:31">
      <c r="A114" s="53" t="str">
        <f>IF($AE114="","",IF(INDEX(对接源_01水果!$B$4:$B$1203,$AE114)=0,"",INDEX(对接源_01水果!$B$4:$B$1203,$AE114)))</f>
        <v/>
      </c>
      <c r="B114" s="53" t="str">
        <f>IF($AE114="","",IF(INDEX(对接源_01水果!$E$4:$E$1203,$AE114)=0,"",INDEX(对接源_01水果!$E$4:$E$1203,$AE114)))</f>
        <v/>
      </c>
      <c r="C114" s="53" t="str">
        <f>IF($AE114="","",IF(INDEX(对接源_01水果!$F$4:$F$1203,$AE114)=0,"",INDEX(对接源_01水果!$F$4:$F$1203,$AE114)))</f>
        <v/>
      </c>
      <c r="D114" s="53" t="str">
        <f>IF($AE114="","",IF(INDEX(对接源_01水果!$G$4:$G$1203,$AE114)=0,"",INDEX(对接源_01水果!$G$4:$G$1203,$AE114)))</f>
        <v/>
      </c>
      <c r="E114" s="53" t="str">
        <f>IF($AE114="","",IF(INDEX(对接源_01水果!$H$4:$H$1203,$AE114)=0,"",INDEX(对接源_01水果!$H$4:$H$1203,$AE114)))</f>
        <v/>
      </c>
      <c r="F114" s="53" t="str">
        <f>IF($AE114="","",IF(INDEX(对接源_01水果!$I$4:$I$1203,$AE114)=0,"",INDEX(对接源_01水果!$I$4:$I$1203,$AE114)))</f>
        <v/>
      </c>
      <c r="G114" s="55" t="str">
        <f>IF($AE114="","",IF(INDEX(对接源_01水果!$Z$4:$Z$1203,$AE114)=0,"",INDEX(对接源_01水果!$Z$4:$Z$1203,$AE114)))</f>
        <v/>
      </c>
      <c r="H114" s="55" t="str">
        <f>IF($AE114="","",IF(INDEX(对接源_01水果!$AA$4:$AA$1203,$AE114)=0,"",INDEX(对接源_01水果!$AA$4:$AA$1203,$AE114)))</f>
        <v/>
      </c>
      <c r="I114" s="55" t="str">
        <f>IF($AE114="","",IF(INDEX(对接源_01水果!$AG$4:$AG$1203,$AE114)=0,"",INDEX(对接源_01水果!$AG$4:$AG$1203,$AE114)))</f>
        <v/>
      </c>
      <c r="J114" s="55" t="str">
        <f>IF($AE114="","",IF(INDEX(对接源_01水果!$AJ$4:$AJ$1203,$AE114)=0,"",INDEX(对接源_01水果!$AJ$4:$AJ$1203,$AE114)))</f>
        <v/>
      </c>
      <c r="K114" s="53" t="str">
        <f>IF($AE114="","",IF(INDEX(对接源_01水果!$AB$4:$AB$1203,$AE114)=0,"",INDEX(对接源_01水果!$AB$4:$AB$1203,$AE114)))</f>
        <v/>
      </c>
      <c r="L114" s="56" t="str">
        <f>IF($AE114="","",IF(INDEX(对接源_01水果!$M$4:$M$1203,$AE114)=0,"",INDEX(对接源_01水果!$M$4:$M$1203,$AE114)))</f>
        <v/>
      </c>
      <c r="AE114" s="2" t="str">
        <f>IFERROR(MATCH(109,_自动清单!$AM$4:$AM$2403,0),"")</f>
        <v/>
      </c>
    </row>
    <row r="115" ht="18" customHeight="1" spans="1:31">
      <c r="A115" s="53" t="str">
        <f>IF($AE115="","",IF(INDEX(对接源_01水果!$B$4:$B$1203,$AE115)=0,"",INDEX(对接源_01水果!$B$4:$B$1203,$AE115)))</f>
        <v/>
      </c>
      <c r="B115" s="53" t="str">
        <f>IF($AE115="","",IF(INDEX(对接源_01水果!$E$4:$E$1203,$AE115)=0,"",INDEX(对接源_01水果!$E$4:$E$1203,$AE115)))</f>
        <v/>
      </c>
      <c r="C115" s="53" t="str">
        <f>IF($AE115="","",IF(INDEX(对接源_01水果!$F$4:$F$1203,$AE115)=0,"",INDEX(对接源_01水果!$F$4:$F$1203,$AE115)))</f>
        <v/>
      </c>
      <c r="D115" s="53" t="str">
        <f>IF($AE115="","",IF(INDEX(对接源_01水果!$G$4:$G$1203,$AE115)=0,"",INDEX(对接源_01水果!$G$4:$G$1203,$AE115)))</f>
        <v/>
      </c>
      <c r="E115" s="53" t="str">
        <f>IF($AE115="","",IF(INDEX(对接源_01水果!$H$4:$H$1203,$AE115)=0,"",INDEX(对接源_01水果!$H$4:$H$1203,$AE115)))</f>
        <v/>
      </c>
      <c r="F115" s="53" t="str">
        <f>IF($AE115="","",IF(INDEX(对接源_01水果!$I$4:$I$1203,$AE115)=0,"",INDEX(对接源_01水果!$I$4:$I$1203,$AE115)))</f>
        <v/>
      </c>
      <c r="G115" s="55" t="str">
        <f>IF($AE115="","",IF(INDEX(对接源_01水果!$Z$4:$Z$1203,$AE115)=0,"",INDEX(对接源_01水果!$Z$4:$Z$1203,$AE115)))</f>
        <v/>
      </c>
      <c r="H115" s="55" t="str">
        <f>IF($AE115="","",IF(INDEX(对接源_01水果!$AA$4:$AA$1203,$AE115)=0,"",INDEX(对接源_01水果!$AA$4:$AA$1203,$AE115)))</f>
        <v/>
      </c>
      <c r="I115" s="55" t="str">
        <f>IF($AE115="","",IF(INDEX(对接源_01水果!$AG$4:$AG$1203,$AE115)=0,"",INDEX(对接源_01水果!$AG$4:$AG$1203,$AE115)))</f>
        <v/>
      </c>
      <c r="J115" s="55" t="str">
        <f>IF($AE115="","",IF(INDEX(对接源_01水果!$AJ$4:$AJ$1203,$AE115)=0,"",INDEX(对接源_01水果!$AJ$4:$AJ$1203,$AE115)))</f>
        <v/>
      </c>
      <c r="K115" s="53" t="str">
        <f>IF($AE115="","",IF(INDEX(对接源_01水果!$AB$4:$AB$1203,$AE115)=0,"",INDEX(对接源_01水果!$AB$4:$AB$1203,$AE115)))</f>
        <v/>
      </c>
      <c r="L115" s="56" t="str">
        <f>IF($AE115="","",IF(INDEX(对接源_01水果!$M$4:$M$1203,$AE115)=0,"",INDEX(对接源_01水果!$M$4:$M$1203,$AE115)))</f>
        <v/>
      </c>
      <c r="AE115" s="2" t="str">
        <f>IFERROR(MATCH(110,_自动清单!$AM$4:$AM$2403,0),"")</f>
        <v/>
      </c>
    </row>
    <row r="116" ht="18" customHeight="1" spans="1:31">
      <c r="A116" s="53" t="str">
        <f>IF($AE116="","",IF(INDEX(对接源_01水果!$B$4:$B$1203,$AE116)=0,"",INDEX(对接源_01水果!$B$4:$B$1203,$AE116)))</f>
        <v/>
      </c>
      <c r="B116" s="53" t="str">
        <f>IF($AE116="","",IF(INDEX(对接源_01水果!$E$4:$E$1203,$AE116)=0,"",INDEX(对接源_01水果!$E$4:$E$1203,$AE116)))</f>
        <v/>
      </c>
      <c r="C116" s="53" t="str">
        <f>IF($AE116="","",IF(INDEX(对接源_01水果!$F$4:$F$1203,$AE116)=0,"",INDEX(对接源_01水果!$F$4:$F$1203,$AE116)))</f>
        <v/>
      </c>
      <c r="D116" s="53" t="str">
        <f>IF($AE116="","",IF(INDEX(对接源_01水果!$G$4:$G$1203,$AE116)=0,"",INDEX(对接源_01水果!$G$4:$G$1203,$AE116)))</f>
        <v/>
      </c>
      <c r="E116" s="53" t="str">
        <f>IF($AE116="","",IF(INDEX(对接源_01水果!$H$4:$H$1203,$AE116)=0,"",INDEX(对接源_01水果!$H$4:$H$1203,$AE116)))</f>
        <v/>
      </c>
      <c r="F116" s="53" t="str">
        <f>IF($AE116="","",IF(INDEX(对接源_01水果!$I$4:$I$1203,$AE116)=0,"",INDEX(对接源_01水果!$I$4:$I$1203,$AE116)))</f>
        <v/>
      </c>
      <c r="G116" s="55" t="str">
        <f>IF($AE116="","",IF(INDEX(对接源_01水果!$Z$4:$Z$1203,$AE116)=0,"",INDEX(对接源_01水果!$Z$4:$Z$1203,$AE116)))</f>
        <v/>
      </c>
      <c r="H116" s="55" t="str">
        <f>IF($AE116="","",IF(INDEX(对接源_01水果!$AA$4:$AA$1203,$AE116)=0,"",INDEX(对接源_01水果!$AA$4:$AA$1203,$AE116)))</f>
        <v/>
      </c>
      <c r="I116" s="55" t="str">
        <f>IF($AE116="","",IF(INDEX(对接源_01水果!$AG$4:$AG$1203,$AE116)=0,"",INDEX(对接源_01水果!$AG$4:$AG$1203,$AE116)))</f>
        <v/>
      </c>
      <c r="J116" s="55" t="str">
        <f>IF($AE116="","",IF(INDEX(对接源_01水果!$AJ$4:$AJ$1203,$AE116)=0,"",INDEX(对接源_01水果!$AJ$4:$AJ$1203,$AE116)))</f>
        <v/>
      </c>
      <c r="K116" s="53" t="str">
        <f>IF($AE116="","",IF(INDEX(对接源_01水果!$AB$4:$AB$1203,$AE116)=0,"",INDEX(对接源_01水果!$AB$4:$AB$1203,$AE116)))</f>
        <v/>
      </c>
      <c r="L116" s="56" t="str">
        <f>IF($AE116="","",IF(INDEX(对接源_01水果!$M$4:$M$1203,$AE116)=0,"",INDEX(对接源_01水果!$M$4:$M$1203,$AE116)))</f>
        <v/>
      </c>
      <c r="AE116" s="2" t="str">
        <f>IFERROR(MATCH(111,_自动清单!$AM$4:$AM$2403,0),"")</f>
        <v/>
      </c>
    </row>
    <row r="117" ht="18" customHeight="1" spans="1:31">
      <c r="A117" s="53" t="str">
        <f>IF($AE117="","",IF(INDEX(对接源_01水果!$B$4:$B$1203,$AE117)=0,"",INDEX(对接源_01水果!$B$4:$B$1203,$AE117)))</f>
        <v/>
      </c>
      <c r="B117" s="53" t="str">
        <f>IF($AE117="","",IF(INDEX(对接源_01水果!$E$4:$E$1203,$AE117)=0,"",INDEX(对接源_01水果!$E$4:$E$1203,$AE117)))</f>
        <v/>
      </c>
      <c r="C117" s="53" t="str">
        <f>IF($AE117="","",IF(INDEX(对接源_01水果!$F$4:$F$1203,$AE117)=0,"",INDEX(对接源_01水果!$F$4:$F$1203,$AE117)))</f>
        <v/>
      </c>
      <c r="D117" s="53" t="str">
        <f>IF($AE117="","",IF(INDEX(对接源_01水果!$G$4:$G$1203,$AE117)=0,"",INDEX(对接源_01水果!$G$4:$G$1203,$AE117)))</f>
        <v/>
      </c>
      <c r="E117" s="53" t="str">
        <f>IF($AE117="","",IF(INDEX(对接源_01水果!$H$4:$H$1203,$AE117)=0,"",INDEX(对接源_01水果!$H$4:$H$1203,$AE117)))</f>
        <v/>
      </c>
      <c r="F117" s="53" t="str">
        <f>IF($AE117="","",IF(INDEX(对接源_01水果!$I$4:$I$1203,$AE117)=0,"",INDEX(对接源_01水果!$I$4:$I$1203,$AE117)))</f>
        <v/>
      </c>
      <c r="G117" s="55" t="str">
        <f>IF($AE117="","",IF(INDEX(对接源_01水果!$Z$4:$Z$1203,$AE117)=0,"",INDEX(对接源_01水果!$Z$4:$Z$1203,$AE117)))</f>
        <v/>
      </c>
      <c r="H117" s="55" t="str">
        <f>IF($AE117="","",IF(INDEX(对接源_01水果!$AA$4:$AA$1203,$AE117)=0,"",INDEX(对接源_01水果!$AA$4:$AA$1203,$AE117)))</f>
        <v/>
      </c>
      <c r="I117" s="55" t="str">
        <f>IF($AE117="","",IF(INDEX(对接源_01水果!$AG$4:$AG$1203,$AE117)=0,"",INDEX(对接源_01水果!$AG$4:$AG$1203,$AE117)))</f>
        <v/>
      </c>
      <c r="J117" s="55" t="str">
        <f>IF($AE117="","",IF(INDEX(对接源_01水果!$AJ$4:$AJ$1203,$AE117)=0,"",INDEX(对接源_01水果!$AJ$4:$AJ$1203,$AE117)))</f>
        <v/>
      </c>
      <c r="K117" s="53" t="str">
        <f>IF($AE117="","",IF(INDEX(对接源_01水果!$AB$4:$AB$1203,$AE117)=0,"",INDEX(对接源_01水果!$AB$4:$AB$1203,$AE117)))</f>
        <v/>
      </c>
      <c r="L117" s="56" t="str">
        <f>IF($AE117="","",IF(INDEX(对接源_01水果!$M$4:$M$1203,$AE117)=0,"",INDEX(对接源_01水果!$M$4:$M$1203,$AE117)))</f>
        <v/>
      </c>
      <c r="AE117" s="2" t="str">
        <f>IFERROR(MATCH(112,_自动清单!$AM$4:$AM$2403,0),"")</f>
        <v/>
      </c>
    </row>
    <row r="118" ht="18" customHeight="1" spans="1:31">
      <c r="A118" s="53" t="str">
        <f>IF($AE118="","",IF(INDEX(对接源_01水果!$B$4:$B$1203,$AE118)=0,"",INDEX(对接源_01水果!$B$4:$B$1203,$AE118)))</f>
        <v/>
      </c>
      <c r="B118" s="53" t="str">
        <f>IF($AE118="","",IF(INDEX(对接源_01水果!$E$4:$E$1203,$AE118)=0,"",INDEX(对接源_01水果!$E$4:$E$1203,$AE118)))</f>
        <v/>
      </c>
      <c r="C118" s="53" t="str">
        <f>IF($AE118="","",IF(INDEX(对接源_01水果!$F$4:$F$1203,$AE118)=0,"",INDEX(对接源_01水果!$F$4:$F$1203,$AE118)))</f>
        <v/>
      </c>
      <c r="D118" s="53" t="str">
        <f>IF($AE118="","",IF(INDEX(对接源_01水果!$G$4:$G$1203,$AE118)=0,"",INDEX(对接源_01水果!$G$4:$G$1203,$AE118)))</f>
        <v/>
      </c>
      <c r="E118" s="53" t="str">
        <f>IF($AE118="","",IF(INDEX(对接源_01水果!$H$4:$H$1203,$AE118)=0,"",INDEX(对接源_01水果!$H$4:$H$1203,$AE118)))</f>
        <v/>
      </c>
      <c r="F118" s="53" t="str">
        <f>IF($AE118="","",IF(INDEX(对接源_01水果!$I$4:$I$1203,$AE118)=0,"",INDEX(对接源_01水果!$I$4:$I$1203,$AE118)))</f>
        <v/>
      </c>
      <c r="G118" s="55" t="str">
        <f>IF($AE118="","",IF(INDEX(对接源_01水果!$Z$4:$Z$1203,$AE118)=0,"",INDEX(对接源_01水果!$Z$4:$Z$1203,$AE118)))</f>
        <v/>
      </c>
      <c r="H118" s="55" t="str">
        <f>IF($AE118="","",IF(INDEX(对接源_01水果!$AA$4:$AA$1203,$AE118)=0,"",INDEX(对接源_01水果!$AA$4:$AA$1203,$AE118)))</f>
        <v/>
      </c>
      <c r="I118" s="55" t="str">
        <f>IF($AE118="","",IF(INDEX(对接源_01水果!$AG$4:$AG$1203,$AE118)=0,"",INDEX(对接源_01水果!$AG$4:$AG$1203,$AE118)))</f>
        <v/>
      </c>
      <c r="J118" s="55" t="str">
        <f>IF($AE118="","",IF(INDEX(对接源_01水果!$AJ$4:$AJ$1203,$AE118)=0,"",INDEX(对接源_01水果!$AJ$4:$AJ$1203,$AE118)))</f>
        <v/>
      </c>
      <c r="K118" s="53" t="str">
        <f>IF($AE118="","",IF(INDEX(对接源_01水果!$AB$4:$AB$1203,$AE118)=0,"",INDEX(对接源_01水果!$AB$4:$AB$1203,$AE118)))</f>
        <v/>
      </c>
      <c r="L118" s="56" t="str">
        <f>IF($AE118="","",IF(INDEX(对接源_01水果!$M$4:$M$1203,$AE118)=0,"",INDEX(对接源_01水果!$M$4:$M$1203,$AE118)))</f>
        <v/>
      </c>
      <c r="AE118" s="2" t="str">
        <f>IFERROR(MATCH(113,_自动清单!$AM$4:$AM$2403,0),"")</f>
        <v/>
      </c>
    </row>
    <row r="119" ht="18" customHeight="1" spans="1:31">
      <c r="A119" s="53" t="str">
        <f>IF($AE119="","",IF(INDEX(对接源_01水果!$B$4:$B$1203,$AE119)=0,"",INDEX(对接源_01水果!$B$4:$B$1203,$AE119)))</f>
        <v/>
      </c>
      <c r="B119" s="53" t="str">
        <f>IF($AE119="","",IF(INDEX(对接源_01水果!$E$4:$E$1203,$AE119)=0,"",INDEX(对接源_01水果!$E$4:$E$1203,$AE119)))</f>
        <v/>
      </c>
      <c r="C119" s="53" t="str">
        <f>IF($AE119="","",IF(INDEX(对接源_01水果!$F$4:$F$1203,$AE119)=0,"",INDEX(对接源_01水果!$F$4:$F$1203,$AE119)))</f>
        <v/>
      </c>
      <c r="D119" s="53" t="str">
        <f>IF($AE119="","",IF(INDEX(对接源_01水果!$G$4:$G$1203,$AE119)=0,"",INDEX(对接源_01水果!$G$4:$G$1203,$AE119)))</f>
        <v/>
      </c>
      <c r="E119" s="53" t="str">
        <f>IF($AE119="","",IF(INDEX(对接源_01水果!$H$4:$H$1203,$AE119)=0,"",INDEX(对接源_01水果!$H$4:$H$1203,$AE119)))</f>
        <v/>
      </c>
      <c r="F119" s="53" t="str">
        <f>IF($AE119="","",IF(INDEX(对接源_01水果!$I$4:$I$1203,$AE119)=0,"",INDEX(对接源_01水果!$I$4:$I$1203,$AE119)))</f>
        <v/>
      </c>
      <c r="G119" s="55" t="str">
        <f>IF($AE119="","",IF(INDEX(对接源_01水果!$Z$4:$Z$1203,$AE119)=0,"",INDEX(对接源_01水果!$Z$4:$Z$1203,$AE119)))</f>
        <v/>
      </c>
      <c r="H119" s="55" t="str">
        <f>IF($AE119="","",IF(INDEX(对接源_01水果!$AA$4:$AA$1203,$AE119)=0,"",INDEX(对接源_01水果!$AA$4:$AA$1203,$AE119)))</f>
        <v/>
      </c>
      <c r="I119" s="55" t="str">
        <f>IF($AE119="","",IF(INDEX(对接源_01水果!$AG$4:$AG$1203,$AE119)=0,"",INDEX(对接源_01水果!$AG$4:$AG$1203,$AE119)))</f>
        <v/>
      </c>
      <c r="J119" s="55" t="str">
        <f>IF($AE119="","",IF(INDEX(对接源_01水果!$AJ$4:$AJ$1203,$AE119)=0,"",INDEX(对接源_01水果!$AJ$4:$AJ$1203,$AE119)))</f>
        <v/>
      </c>
      <c r="K119" s="53" t="str">
        <f>IF($AE119="","",IF(INDEX(对接源_01水果!$AB$4:$AB$1203,$AE119)=0,"",INDEX(对接源_01水果!$AB$4:$AB$1203,$AE119)))</f>
        <v/>
      </c>
      <c r="L119" s="56" t="str">
        <f>IF($AE119="","",IF(INDEX(对接源_01水果!$M$4:$M$1203,$AE119)=0,"",INDEX(对接源_01水果!$M$4:$M$1203,$AE119)))</f>
        <v/>
      </c>
      <c r="AE119" s="2" t="str">
        <f>IFERROR(MATCH(114,_自动清单!$AM$4:$AM$2403,0),"")</f>
        <v/>
      </c>
    </row>
    <row r="120" ht="18" customHeight="1" spans="1:31">
      <c r="A120" s="53" t="str">
        <f>IF($AE120="","",IF(INDEX(对接源_01水果!$B$4:$B$1203,$AE120)=0,"",INDEX(对接源_01水果!$B$4:$B$1203,$AE120)))</f>
        <v/>
      </c>
      <c r="B120" s="53" t="str">
        <f>IF($AE120="","",IF(INDEX(对接源_01水果!$E$4:$E$1203,$AE120)=0,"",INDEX(对接源_01水果!$E$4:$E$1203,$AE120)))</f>
        <v/>
      </c>
      <c r="C120" s="53" t="str">
        <f>IF($AE120="","",IF(INDEX(对接源_01水果!$F$4:$F$1203,$AE120)=0,"",INDEX(对接源_01水果!$F$4:$F$1203,$AE120)))</f>
        <v/>
      </c>
      <c r="D120" s="53" t="str">
        <f>IF($AE120="","",IF(INDEX(对接源_01水果!$G$4:$G$1203,$AE120)=0,"",INDEX(对接源_01水果!$G$4:$G$1203,$AE120)))</f>
        <v/>
      </c>
      <c r="E120" s="53" t="str">
        <f>IF($AE120="","",IF(INDEX(对接源_01水果!$H$4:$H$1203,$AE120)=0,"",INDEX(对接源_01水果!$H$4:$H$1203,$AE120)))</f>
        <v/>
      </c>
      <c r="F120" s="53" t="str">
        <f>IF($AE120="","",IF(INDEX(对接源_01水果!$I$4:$I$1203,$AE120)=0,"",INDEX(对接源_01水果!$I$4:$I$1203,$AE120)))</f>
        <v/>
      </c>
      <c r="G120" s="55" t="str">
        <f>IF($AE120="","",IF(INDEX(对接源_01水果!$Z$4:$Z$1203,$AE120)=0,"",INDEX(对接源_01水果!$Z$4:$Z$1203,$AE120)))</f>
        <v/>
      </c>
      <c r="H120" s="55" t="str">
        <f>IF($AE120="","",IF(INDEX(对接源_01水果!$AA$4:$AA$1203,$AE120)=0,"",INDEX(对接源_01水果!$AA$4:$AA$1203,$AE120)))</f>
        <v/>
      </c>
      <c r="I120" s="55" t="str">
        <f>IF($AE120="","",IF(INDEX(对接源_01水果!$AG$4:$AG$1203,$AE120)=0,"",INDEX(对接源_01水果!$AG$4:$AG$1203,$AE120)))</f>
        <v/>
      </c>
      <c r="J120" s="55" t="str">
        <f>IF($AE120="","",IF(INDEX(对接源_01水果!$AJ$4:$AJ$1203,$AE120)=0,"",INDEX(对接源_01水果!$AJ$4:$AJ$1203,$AE120)))</f>
        <v/>
      </c>
      <c r="K120" s="53" t="str">
        <f>IF($AE120="","",IF(INDEX(对接源_01水果!$AB$4:$AB$1203,$AE120)=0,"",INDEX(对接源_01水果!$AB$4:$AB$1203,$AE120)))</f>
        <v/>
      </c>
      <c r="L120" s="56" t="str">
        <f>IF($AE120="","",IF(INDEX(对接源_01水果!$M$4:$M$1203,$AE120)=0,"",INDEX(对接源_01水果!$M$4:$M$1203,$AE120)))</f>
        <v/>
      </c>
      <c r="AE120" s="2" t="str">
        <f>IFERROR(MATCH(115,_自动清单!$AM$4:$AM$2403,0),"")</f>
        <v/>
      </c>
    </row>
    <row r="121" ht="18" customHeight="1" spans="1:31">
      <c r="A121" s="53" t="str">
        <f>IF($AE121="","",IF(INDEX(对接源_01水果!$B$4:$B$1203,$AE121)=0,"",INDEX(对接源_01水果!$B$4:$B$1203,$AE121)))</f>
        <v/>
      </c>
      <c r="B121" s="53" t="str">
        <f>IF($AE121="","",IF(INDEX(对接源_01水果!$E$4:$E$1203,$AE121)=0,"",INDEX(对接源_01水果!$E$4:$E$1203,$AE121)))</f>
        <v/>
      </c>
      <c r="C121" s="53" t="str">
        <f>IF($AE121="","",IF(INDEX(对接源_01水果!$F$4:$F$1203,$AE121)=0,"",INDEX(对接源_01水果!$F$4:$F$1203,$AE121)))</f>
        <v/>
      </c>
      <c r="D121" s="53" t="str">
        <f>IF($AE121="","",IF(INDEX(对接源_01水果!$G$4:$G$1203,$AE121)=0,"",INDEX(对接源_01水果!$G$4:$G$1203,$AE121)))</f>
        <v/>
      </c>
      <c r="E121" s="53" t="str">
        <f>IF($AE121="","",IF(INDEX(对接源_01水果!$H$4:$H$1203,$AE121)=0,"",INDEX(对接源_01水果!$H$4:$H$1203,$AE121)))</f>
        <v/>
      </c>
      <c r="F121" s="53" t="str">
        <f>IF($AE121="","",IF(INDEX(对接源_01水果!$I$4:$I$1203,$AE121)=0,"",INDEX(对接源_01水果!$I$4:$I$1203,$AE121)))</f>
        <v/>
      </c>
      <c r="G121" s="55" t="str">
        <f>IF($AE121="","",IF(INDEX(对接源_01水果!$Z$4:$Z$1203,$AE121)=0,"",INDEX(对接源_01水果!$Z$4:$Z$1203,$AE121)))</f>
        <v/>
      </c>
      <c r="H121" s="55" t="str">
        <f>IF($AE121="","",IF(INDEX(对接源_01水果!$AA$4:$AA$1203,$AE121)=0,"",INDEX(对接源_01水果!$AA$4:$AA$1203,$AE121)))</f>
        <v/>
      </c>
      <c r="I121" s="55" t="str">
        <f>IF($AE121="","",IF(INDEX(对接源_01水果!$AG$4:$AG$1203,$AE121)=0,"",INDEX(对接源_01水果!$AG$4:$AG$1203,$AE121)))</f>
        <v/>
      </c>
      <c r="J121" s="55" t="str">
        <f>IF($AE121="","",IF(INDEX(对接源_01水果!$AJ$4:$AJ$1203,$AE121)=0,"",INDEX(对接源_01水果!$AJ$4:$AJ$1203,$AE121)))</f>
        <v/>
      </c>
      <c r="K121" s="53" t="str">
        <f>IF($AE121="","",IF(INDEX(对接源_01水果!$AB$4:$AB$1203,$AE121)=0,"",INDEX(对接源_01水果!$AB$4:$AB$1203,$AE121)))</f>
        <v/>
      </c>
      <c r="L121" s="56" t="str">
        <f>IF($AE121="","",IF(INDEX(对接源_01水果!$M$4:$M$1203,$AE121)=0,"",INDEX(对接源_01水果!$M$4:$M$1203,$AE121)))</f>
        <v/>
      </c>
      <c r="AE121" s="2" t="str">
        <f>IFERROR(MATCH(116,_自动清单!$AM$4:$AM$2403,0),"")</f>
        <v/>
      </c>
    </row>
    <row r="122" ht="18" customHeight="1" spans="1:31">
      <c r="A122" s="53" t="str">
        <f>IF($AE122="","",IF(INDEX(对接源_01水果!$B$4:$B$1203,$AE122)=0,"",INDEX(对接源_01水果!$B$4:$B$1203,$AE122)))</f>
        <v/>
      </c>
      <c r="B122" s="53" t="str">
        <f>IF($AE122="","",IF(INDEX(对接源_01水果!$E$4:$E$1203,$AE122)=0,"",INDEX(对接源_01水果!$E$4:$E$1203,$AE122)))</f>
        <v/>
      </c>
      <c r="C122" s="53" t="str">
        <f>IF($AE122="","",IF(INDEX(对接源_01水果!$F$4:$F$1203,$AE122)=0,"",INDEX(对接源_01水果!$F$4:$F$1203,$AE122)))</f>
        <v/>
      </c>
      <c r="D122" s="53" t="str">
        <f>IF($AE122="","",IF(INDEX(对接源_01水果!$G$4:$G$1203,$AE122)=0,"",INDEX(对接源_01水果!$G$4:$G$1203,$AE122)))</f>
        <v/>
      </c>
      <c r="E122" s="53" t="str">
        <f>IF($AE122="","",IF(INDEX(对接源_01水果!$H$4:$H$1203,$AE122)=0,"",INDEX(对接源_01水果!$H$4:$H$1203,$AE122)))</f>
        <v/>
      </c>
      <c r="F122" s="53" t="str">
        <f>IF($AE122="","",IF(INDEX(对接源_01水果!$I$4:$I$1203,$AE122)=0,"",INDEX(对接源_01水果!$I$4:$I$1203,$AE122)))</f>
        <v/>
      </c>
      <c r="G122" s="55" t="str">
        <f>IF($AE122="","",IF(INDEX(对接源_01水果!$Z$4:$Z$1203,$AE122)=0,"",INDEX(对接源_01水果!$Z$4:$Z$1203,$AE122)))</f>
        <v/>
      </c>
      <c r="H122" s="55" t="str">
        <f>IF($AE122="","",IF(INDEX(对接源_01水果!$AA$4:$AA$1203,$AE122)=0,"",INDEX(对接源_01水果!$AA$4:$AA$1203,$AE122)))</f>
        <v/>
      </c>
      <c r="I122" s="55" t="str">
        <f>IF($AE122="","",IF(INDEX(对接源_01水果!$AG$4:$AG$1203,$AE122)=0,"",INDEX(对接源_01水果!$AG$4:$AG$1203,$AE122)))</f>
        <v/>
      </c>
      <c r="J122" s="55" t="str">
        <f>IF($AE122="","",IF(INDEX(对接源_01水果!$AJ$4:$AJ$1203,$AE122)=0,"",INDEX(对接源_01水果!$AJ$4:$AJ$1203,$AE122)))</f>
        <v/>
      </c>
      <c r="K122" s="53" t="str">
        <f>IF($AE122="","",IF(INDEX(对接源_01水果!$AB$4:$AB$1203,$AE122)=0,"",INDEX(对接源_01水果!$AB$4:$AB$1203,$AE122)))</f>
        <v/>
      </c>
      <c r="L122" s="56" t="str">
        <f>IF($AE122="","",IF(INDEX(对接源_01水果!$M$4:$M$1203,$AE122)=0,"",INDEX(对接源_01水果!$M$4:$M$1203,$AE122)))</f>
        <v/>
      </c>
      <c r="AE122" s="2" t="str">
        <f>IFERROR(MATCH(117,_自动清单!$AM$4:$AM$2403,0),"")</f>
        <v/>
      </c>
    </row>
    <row r="123" ht="18" customHeight="1" spans="1:31">
      <c r="A123" s="53" t="str">
        <f>IF($AE123="","",IF(INDEX(对接源_01水果!$B$4:$B$1203,$AE123)=0,"",INDEX(对接源_01水果!$B$4:$B$1203,$AE123)))</f>
        <v/>
      </c>
      <c r="B123" s="53" t="str">
        <f>IF($AE123="","",IF(INDEX(对接源_01水果!$E$4:$E$1203,$AE123)=0,"",INDEX(对接源_01水果!$E$4:$E$1203,$AE123)))</f>
        <v/>
      </c>
      <c r="C123" s="53" t="str">
        <f>IF($AE123="","",IF(INDEX(对接源_01水果!$F$4:$F$1203,$AE123)=0,"",INDEX(对接源_01水果!$F$4:$F$1203,$AE123)))</f>
        <v/>
      </c>
      <c r="D123" s="53" t="str">
        <f>IF($AE123="","",IF(INDEX(对接源_01水果!$G$4:$G$1203,$AE123)=0,"",INDEX(对接源_01水果!$G$4:$G$1203,$AE123)))</f>
        <v/>
      </c>
      <c r="E123" s="53" t="str">
        <f>IF($AE123="","",IF(INDEX(对接源_01水果!$H$4:$H$1203,$AE123)=0,"",INDEX(对接源_01水果!$H$4:$H$1203,$AE123)))</f>
        <v/>
      </c>
      <c r="F123" s="53" t="str">
        <f>IF($AE123="","",IF(INDEX(对接源_01水果!$I$4:$I$1203,$AE123)=0,"",INDEX(对接源_01水果!$I$4:$I$1203,$AE123)))</f>
        <v/>
      </c>
      <c r="G123" s="55" t="str">
        <f>IF($AE123="","",IF(INDEX(对接源_01水果!$Z$4:$Z$1203,$AE123)=0,"",INDEX(对接源_01水果!$Z$4:$Z$1203,$AE123)))</f>
        <v/>
      </c>
      <c r="H123" s="55" t="str">
        <f>IF($AE123="","",IF(INDEX(对接源_01水果!$AA$4:$AA$1203,$AE123)=0,"",INDEX(对接源_01水果!$AA$4:$AA$1203,$AE123)))</f>
        <v/>
      </c>
      <c r="I123" s="55" t="str">
        <f>IF($AE123="","",IF(INDEX(对接源_01水果!$AG$4:$AG$1203,$AE123)=0,"",INDEX(对接源_01水果!$AG$4:$AG$1203,$AE123)))</f>
        <v/>
      </c>
      <c r="J123" s="55" t="str">
        <f>IF($AE123="","",IF(INDEX(对接源_01水果!$AJ$4:$AJ$1203,$AE123)=0,"",INDEX(对接源_01水果!$AJ$4:$AJ$1203,$AE123)))</f>
        <v/>
      </c>
      <c r="K123" s="53" t="str">
        <f>IF($AE123="","",IF(INDEX(对接源_01水果!$AB$4:$AB$1203,$AE123)=0,"",INDEX(对接源_01水果!$AB$4:$AB$1203,$AE123)))</f>
        <v/>
      </c>
      <c r="L123" s="56" t="str">
        <f>IF($AE123="","",IF(INDEX(对接源_01水果!$M$4:$M$1203,$AE123)=0,"",INDEX(对接源_01水果!$M$4:$M$1203,$AE123)))</f>
        <v/>
      </c>
      <c r="AE123" s="2" t="str">
        <f>IFERROR(MATCH(118,_自动清单!$AM$4:$AM$2403,0),"")</f>
        <v/>
      </c>
    </row>
    <row r="124" ht="18" customHeight="1" spans="1:31">
      <c r="A124" s="53" t="str">
        <f>IF($AE124="","",IF(INDEX(对接源_01水果!$B$4:$B$1203,$AE124)=0,"",INDEX(对接源_01水果!$B$4:$B$1203,$AE124)))</f>
        <v/>
      </c>
      <c r="B124" s="53" t="str">
        <f>IF($AE124="","",IF(INDEX(对接源_01水果!$E$4:$E$1203,$AE124)=0,"",INDEX(对接源_01水果!$E$4:$E$1203,$AE124)))</f>
        <v/>
      </c>
      <c r="C124" s="53" t="str">
        <f>IF($AE124="","",IF(INDEX(对接源_01水果!$F$4:$F$1203,$AE124)=0,"",INDEX(对接源_01水果!$F$4:$F$1203,$AE124)))</f>
        <v/>
      </c>
      <c r="D124" s="53" t="str">
        <f>IF($AE124="","",IF(INDEX(对接源_01水果!$G$4:$G$1203,$AE124)=0,"",INDEX(对接源_01水果!$G$4:$G$1203,$AE124)))</f>
        <v/>
      </c>
      <c r="E124" s="53" t="str">
        <f>IF($AE124="","",IF(INDEX(对接源_01水果!$H$4:$H$1203,$AE124)=0,"",INDEX(对接源_01水果!$H$4:$H$1203,$AE124)))</f>
        <v/>
      </c>
      <c r="F124" s="53" t="str">
        <f>IF($AE124="","",IF(INDEX(对接源_01水果!$I$4:$I$1203,$AE124)=0,"",INDEX(对接源_01水果!$I$4:$I$1203,$AE124)))</f>
        <v/>
      </c>
      <c r="G124" s="55" t="str">
        <f>IF($AE124="","",IF(INDEX(对接源_01水果!$Z$4:$Z$1203,$AE124)=0,"",INDEX(对接源_01水果!$Z$4:$Z$1203,$AE124)))</f>
        <v/>
      </c>
      <c r="H124" s="55" t="str">
        <f>IF($AE124="","",IF(INDEX(对接源_01水果!$AA$4:$AA$1203,$AE124)=0,"",INDEX(对接源_01水果!$AA$4:$AA$1203,$AE124)))</f>
        <v/>
      </c>
      <c r="I124" s="55" t="str">
        <f>IF($AE124="","",IF(INDEX(对接源_01水果!$AG$4:$AG$1203,$AE124)=0,"",INDEX(对接源_01水果!$AG$4:$AG$1203,$AE124)))</f>
        <v/>
      </c>
      <c r="J124" s="55" t="str">
        <f>IF($AE124="","",IF(INDEX(对接源_01水果!$AJ$4:$AJ$1203,$AE124)=0,"",INDEX(对接源_01水果!$AJ$4:$AJ$1203,$AE124)))</f>
        <v/>
      </c>
      <c r="K124" s="53" t="str">
        <f>IF($AE124="","",IF(INDEX(对接源_01水果!$AB$4:$AB$1203,$AE124)=0,"",INDEX(对接源_01水果!$AB$4:$AB$1203,$AE124)))</f>
        <v/>
      </c>
      <c r="L124" s="56" t="str">
        <f>IF($AE124="","",IF(INDEX(对接源_01水果!$M$4:$M$1203,$AE124)=0,"",INDEX(对接源_01水果!$M$4:$M$1203,$AE124)))</f>
        <v/>
      </c>
      <c r="AE124" s="2" t="str">
        <f>IFERROR(MATCH(119,_自动清单!$AM$4:$AM$2403,0),"")</f>
        <v/>
      </c>
    </row>
    <row r="125" ht="18" customHeight="1" spans="1:31">
      <c r="A125" s="53" t="str">
        <f>IF($AE125="","",IF(INDEX(对接源_01水果!$B$4:$B$1203,$AE125)=0,"",INDEX(对接源_01水果!$B$4:$B$1203,$AE125)))</f>
        <v/>
      </c>
      <c r="B125" s="53" t="str">
        <f>IF($AE125="","",IF(INDEX(对接源_01水果!$E$4:$E$1203,$AE125)=0,"",INDEX(对接源_01水果!$E$4:$E$1203,$AE125)))</f>
        <v/>
      </c>
      <c r="C125" s="53" t="str">
        <f>IF($AE125="","",IF(INDEX(对接源_01水果!$F$4:$F$1203,$AE125)=0,"",INDEX(对接源_01水果!$F$4:$F$1203,$AE125)))</f>
        <v/>
      </c>
      <c r="D125" s="53" t="str">
        <f>IF($AE125="","",IF(INDEX(对接源_01水果!$G$4:$G$1203,$AE125)=0,"",INDEX(对接源_01水果!$G$4:$G$1203,$AE125)))</f>
        <v/>
      </c>
      <c r="E125" s="53" t="str">
        <f>IF($AE125="","",IF(INDEX(对接源_01水果!$H$4:$H$1203,$AE125)=0,"",INDEX(对接源_01水果!$H$4:$H$1203,$AE125)))</f>
        <v/>
      </c>
      <c r="F125" s="53" t="str">
        <f>IF($AE125="","",IF(INDEX(对接源_01水果!$I$4:$I$1203,$AE125)=0,"",INDEX(对接源_01水果!$I$4:$I$1203,$AE125)))</f>
        <v/>
      </c>
      <c r="G125" s="55" t="str">
        <f>IF($AE125="","",IF(INDEX(对接源_01水果!$Z$4:$Z$1203,$AE125)=0,"",INDEX(对接源_01水果!$Z$4:$Z$1203,$AE125)))</f>
        <v/>
      </c>
      <c r="H125" s="55" t="str">
        <f>IF($AE125="","",IF(INDEX(对接源_01水果!$AA$4:$AA$1203,$AE125)=0,"",INDEX(对接源_01水果!$AA$4:$AA$1203,$AE125)))</f>
        <v/>
      </c>
      <c r="I125" s="55" t="str">
        <f>IF($AE125="","",IF(INDEX(对接源_01水果!$AG$4:$AG$1203,$AE125)=0,"",INDEX(对接源_01水果!$AG$4:$AG$1203,$AE125)))</f>
        <v/>
      </c>
      <c r="J125" s="55" t="str">
        <f>IF($AE125="","",IF(INDEX(对接源_01水果!$AJ$4:$AJ$1203,$AE125)=0,"",INDEX(对接源_01水果!$AJ$4:$AJ$1203,$AE125)))</f>
        <v/>
      </c>
      <c r="K125" s="53" t="str">
        <f>IF($AE125="","",IF(INDEX(对接源_01水果!$AB$4:$AB$1203,$AE125)=0,"",INDEX(对接源_01水果!$AB$4:$AB$1203,$AE125)))</f>
        <v/>
      </c>
      <c r="L125" s="56" t="str">
        <f>IF($AE125="","",IF(INDEX(对接源_01水果!$M$4:$M$1203,$AE125)=0,"",INDEX(对接源_01水果!$M$4:$M$1203,$AE125)))</f>
        <v/>
      </c>
      <c r="AE125" s="2" t="str">
        <f>IFERROR(MATCH(120,_自动清单!$AM$4:$AM$2403,0),"")</f>
        <v/>
      </c>
    </row>
    <row r="126" ht="18" customHeight="1" spans="1:31">
      <c r="A126" s="53" t="str">
        <f>IF($AE126="","",IF(INDEX(对接源_01水果!$B$4:$B$1203,$AE126)=0,"",INDEX(对接源_01水果!$B$4:$B$1203,$AE126)))</f>
        <v/>
      </c>
      <c r="B126" s="53" t="str">
        <f>IF($AE126="","",IF(INDEX(对接源_01水果!$E$4:$E$1203,$AE126)=0,"",INDEX(对接源_01水果!$E$4:$E$1203,$AE126)))</f>
        <v/>
      </c>
      <c r="C126" s="53" t="str">
        <f>IF($AE126="","",IF(INDEX(对接源_01水果!$F$4:$F$1203,$AE126)=0,"",INDEX(对接源_01水果!$F$4:$F$1203,$AE126)))</f>
        <v/>
      </c>
      <c r="D126" s="53" t="str">
        <f>IF($AE126="","",IF(INDEX(对接源_01水果!$G$4:$G$1203,$AE126)=0,"",INDEX(对接源_01水果!$G$4:$G$1203,$AE126)))</f>
        <v/>
      </c>
      <c r="E126" s="53" t="str">
        <f>IF($AE126="","",IF(INDEX(对接源_01水果!$H$4:$H$1203,$AE126)=0,"",INDEX(对接源_01水果!$H$4:$H$1203,$AE126)))</f>
        <v/>
      </c>
      <c r="F126" s="53" t="str">
        <f>IF($AE126="","",IF(INDEX(对接源_01水果!$I$4:$I$1203,$AE126)=0,"",INDEX(对接源_01水果!$I$4:$I$1203,$AE126)))</f>
        <v/>
      </c>
      <c r="G126" s="55" t="str">
        <f>IF($AE126="","",IF(INDEX(对接源_01水果!$Z$4:$Z$1203,$AE126)=0,"",INDEX(对接源_01水果!$Z$4:$Z$1203,$AE126)))</f>
        <v/>
      </c>
      <c r="H126" s="55" t="str">
        <f>IF($AE126="","",IF(INDEX(对接源_01水果!$AA$4:$AA$1203,$AE126)=0,"",INDEX(对接源_01水果!$AA$4:$AA$1203,$AE126)))</f>
        <v/>
      </c>
      <c r="I126" s="55" t="str">
        <f>IF($AE126="","",IF(INDEX(对接源_01水果!$AG$4:$AG$1203,$AE126)=0,"",INDEX(对接源_01水果!$AG$4:$AG$1203,$AE126)))</f>
        <v/>
      </c>
      <c r="J126" s="55" t="str">
        <f>IF($AE126="","",IF(INDEX(对接源_01水果!$AJ$4:$AJ$1203,$AE126)=0,"",INDEX(对接源_01水果!$AJ$4:$AJ$1203,$AE126)))</f>
        <v/>
      </c>
      <c r="K126" s="53" t="str">
        <f>IF($AE126="","",IF(INDEX(对接源_01水果!$AB$4:$AB$1203,$AE126)=0,"",INDEX(对接源_01水果!$AB$4:$AB$1203,$AE126)))</f>
        <v/>
      </c>
      <c r="L126" s="56" t="str">
        <f>IF($AE126="","",IF(INDEX(对接源_01水果!$M$4:$M$1203,$AE126)=0,"",INDEX(对接源_01水果!$M$4:$M$1203,$AE126)))</f>
        <v/>
      </c>
      <c r="AE126" s="2" t="str">
        <f>IFERROR(MATCH(121,_自动清单!$AM$4:$AM$2403,0),"")</f>
        <v/>
      </c>
    </row>
    <row r="127" ht="18" customHeight="1" spans="1:31">
      <c r="A127" s="53" t="str">
        <f>IF($AE127="","",IF(INDEX(对接源_01水果!$B$4:$B$1203,$AE127)=0,"",INDEX(对接源_01水果!$B$4:$B$1203,$AE127)))</f>
        <v/>
      </c>
      <c r="B127" s="53" t="str">
        <f>IF($AE127="","",IF(INDEX(对接源_01水果!$E$4:$E$1203,$AE127)=0,"",INDEX(对接源_01水果!$E$4:$E$1203,$AE127)))</f>
        <v/>
      </c>
      <c r="C127" s="53" t="str">
        <f>IF($AE127="","",IF(INDEX(对接源_01水果!$F$4:$F$1203,$AE127)=0,"",INDEX(对接源_01水果!$F$4:$F$1203,$AE127)))</f>
        <v/>
      </c>
      <c r="D127" s="53" t="str">
        <f>IF($AE127="","",IF(INDEX(对接源_01水果!$G$4:$G$1203,$AE127)=0,"",INDEX(对接源_01水果!$G$4:$G$1203,$AE127)))</f>
        <v/>
      </c>
      <c r="E127" s="53" t="str">
        <f>IF($AE127="","",IF(INDEX(对接源_01水果!$H$4:$H$1203,$AE127)=0,"",INDEX(对接源_01水果!$H$4:$H$1203,$AE127)))</f>
        <v/>
      </c>
      <c r="F127" s="53" t="str">
        <f>IF($AE127="","",IF(INDEX(对接源_01水果!$I$4:$I$1203,$AE127)=0,"",INDEX(对接源_01水果!$I$4:$I$1203,$AE127)))</f>
        <v/>
      </c>
      <c r="G127" s="55" t="str">
        <f>IF($AE127="","",IF(INDEX(对接源_01水果!$Z$4:$Z$1203,$AE127)=0,"",INDEX(对接源_01水果!$Z$4:$Z$1203,$AE127)))</f>
        <v/>
      </c>
      <c r="H127" s="55" t="str">
        <f>IF($AE127="","",IF(INDEX(对接源_01水果!$AA$4:$AA$1203,$AE127)=0,"",INDEX(对接源_01水果!$AA$4:$AA$1203,$AE127)))</f>
        <v/>
      </c>
      <c r="I127" s="55" t="str">
        <f>IF($AE127="","",IF(INDEX(对接源_01水果!$AG$4:$AG$1203,$AE127)=0,"",INDEX(对接源_01水果!$AG$4:$AG$1203,$AE127)))</f>
        <v/>
      </c>
      <c r="J127" s="55" t="str">
        <f>IF($AE127="","",IF(INDEX(对接源_01水果!$AJ$4:$AJ$1203,$AE127)=0,"",INDEX(对接源_01水果!$AJ$4:$AJ$1203,$AE127)))</f>
        <v/>
      </c>
      <c r="K127" s="53" t="str">
        <f>IF($AE127="","",IF(INDEX(对接源_01水果!$AB$4:$AB$1203,$AE127)=0,"",INDEX(对接源_01水果!$AB$4:$AB$1203,$AE127)))</f>
        <v/>
      </c>
      <c r="L127" s="56" t="str">
        <f>IF($AE127="","",IF(INDEX(对接源_01水果!$M$4:$M$1203,$AE127)=0,"",INDEX(对接源_01水果!$M$4:$M$1203,$AE127)))</f>
        <v/>
      </c>
      <c r="AE127" s="2" t="str">
        <f>IFERROR(MATCH(122,_自动清单!$AM$4:$AM$2403,0),"")</f>
        <v/>
      </c>
    </row>
    <row r="128" ht="18" customHeight="1" spans="1:31">
      <c r="A128" s="53" t="str">
        <f>IF($AE128="","",IF(INDEX(对接源_01水果!$B$4:$B$1203,$AE128)=0,"",INDEX(对接源_01水果!$B$4:$B$1203,$AE128)))</f>
        <v/>
      </c>
      <c r="B128" s="53" t="str">
        <f>IF($AE128="","",IF(INDEX(对接源_01水果!$E$4:$E$1203,$AE128)=0,"",INDEX(对接源_01水果!$E$4:$E$1203,$AE128)))</f>
        <v/>
      </c>
      <c r="C128" s="53" t="str">
        <f>IF($AE128="","",IF(INDEX(对接源_01水果!$F$4:$F$1203,$AE128)=0,"",INDEX(对接源_01水果!$F$4:$F$1203,$AE128)))</f>
        <v/>
      </c>
      <c r="D128" s="53" t="str">
        <f>IF($AE128="","",IF(INDEX(对接源_01水果!$G$4:$G$1203,$AE128)=0,"",INDEX(对接源_01水果!$G$4:$G$1203,$AE128)))</f>
        <v/>
      </c>
      <c r="E128" s="53" t="str">
        <f>IF($AE128="","",IF(INDEX(对接源_01水果!$H$4:$H$1203,$AE128)=0,"",INDEX(对接源_01水果!$H$4:$H$1203,$AE128)))</f>
        <v/>
      </c>
      <c r="F128" s="53" t="str">
        <f>IF($AE128="","",IF(INDEX(对接源_01水果!$I$4:$I$1203,$AE128)=0,"",INDEX(对接源_01水果!$I$4:$I$1203,$AE128)))</f>
        <v/>
      </c>
      <c r="G128" s="55" t="str">
        <f>IF($AE128="","",IF(INDEX(对接源_01水果!$Z$4:$Z$1203,$AE128)=0,"",INDEX(对接源_01水果!$Z$4:$Z$1203,$AE128)))</f>
        <v/>
      </c>
      <c r="H128" s="55" t="str">
        <f>IF($AE128="","",IF(INDEX(对接源_01水果!$AA$4:$AA$1203,$AE128)=0,"",INDEX(对接源_01水果!$AA$4:$AA$1203,$AE128)))</f>
        <v/>
      </c>
      <c r="I128" s="55" t="str">
        <f>IF($AE128="","",IF(INDEX(对接源_01水果!$AG$4:$AG$1203,$AE128)=0,"",INDEX(对接源_01水果!$AG$4:$AG$1203,$AE128)))</f>
        <v/>
      </c>
      <c r="J128" s="55" t="str">
        <f>IF($AE128="","",IF(INDEX(对接源_01水果!$AJ$4:$AJ$1203,$AE128)=0,"",INDEX(对接源_01水果!$AJ$4:$AJ$1203,$AE128)))</f>
        <v/>
      </c>
      <c r="K128" s="53" t="str">
        <f>IF($AE128="","",IF(INDEX(对接源_01水果!$AB$4:$AB$1203,$AE128)=0,"",INDEX(对接源_01水果!$AB$4:$AB$1203,$AE128)))</f>
        <v/>
      </c>
      <c r="L128" s="56" t="str">
        <f>IF($AE128="","",IF(INDEX(对接源_01水果!$M$4:$M$1203,$AE128)=0,"",INDEX(对接源_01水果!$M$4:$M$1203,$AE128)))</f>
        <v/>
      </c>
      <c r="AE128" s="2" t="str">
        <f>IFERROR(MATCH(123,_自动清单!$AM$4:$AM$2403,0),"")</f>
        <v/>
      </c>
    </row>
    <row r="129" ht="18" customHeight="1" spans="1:31">
      <c r="A129" s="53" t="str">
        <f>IF($AE129="","",IF(INDEX(对接源_01水果!$B$4:$B$1203,$AE129)=0,"",INDEX(对接源_01水果!$B$4:$B$1203,$AE129)))</f>
        <v/>
      </c>
      <c r="B129" s="53" t="str">
        <f>IF($AE129="","",IF(INDEX(对接源_01水果!$E$4:$E$1203,$AE129)=0,"",INDEX(对接源_01水果!$E$4:$E$1203,$AE129)))</f>
        <v/>
      </c>
      <c r="C129" s="53" t="str">
        <f>IF($AE129="","",IF(INDEX(对接源_01水果!$F$4:$F$1203,$AE129)=0,"",INDEX(对接源_01水果!$F$4:$F$1203,$AE129)))</f>
        <v/>
      </c>
      <c r="D129" s="53" t="str">
        <f>IF($AE129="","",IF(INDEX(对接源_01水果!$G$4:$G$1203,$AE129)=0,"",INDEX(对接源_01水果!$G$4:$G$1203,$AE129)))</f>
        <v/>
      </c>
      <c r="E129" s="53" t="str">
        <f>IF($AE129="","",IF(INDEX(对接源_01水果!$H$4:$H$1203,$AE129)=0,"",INDEX(对接源_01水果!$H$4:$H$1203,$AE129)))</f>
        <v/>
      </c>
      <c r="F129" s="53" t="str">
        <f>IF($AE129="","",IF(INDEX(对接源_01水果!$I$4:$I$1203,$AE129)=0,"",INDEX(对接源_01水果!$I$4:$I$1203,$AE129)))</f>
        <v/>
      </c>
      <c r="G129" s="55" t="str">
        <f>IF($AE129="","",IF(INDEX(对接源_01水果!$Z$4:$Z$1203,$AE129)=0,"",INDEX(对接源_01水果!$Z$4:$Z$1203,$AE129)))</f>
        <v/>
      </c>
      <c r="H129" s="55" t="str">
        <f>IF($AE129="","",IF(INDEX(对接源_01水果!$AA$4:$AA$1203,$AE129)=0,"",INDEX(对接源_01水果!$AA$4:$AA$1203,$AE129)))</f>
        <v/>
      </c>
      <c r="I129" s="55" t="str">
        <f>IF($AE129="","",IF(INDEX(对接源_01水果!$AG$4:$AG$1203,$AE129)=0,"",INDEX(对接源_01水果!$AG$4:$AG$1203,$AE129)))</f>
        <v/>
      </c>
      <c r="J129" s="55" t="str">
        <f>IF($AE129="","",IF(INDEX(对接源_01水果!$AJ$4:$AJ$1203,$AE129)=0,"",INDEX(对接源_01水果!$AJ$4:$AJ$1203,$AE129)))</f>
        <v/>
      </c>
      <c r="K129" s="53" t="str">
        <f>IF($AE129="","",IF(INDEX(对接源_01水果!$AB$4:$AB$1203,$AE129)=0,"",INDEX(对接源_01水果!$AB$4:$AB$1203,$AE129)))</f>
        <v/>
      </c>
      <c r="L129" s="56" t="str">
        <f>IF($AE129="","",IF(INDEX(对接源_01水果!$M$4:$M$1203,$AE129)=0,"",INDEX(对接源_01水果!$M$4:$M$1203,$AE129)))</f>
        <v/>
      </c>
      <c r="AE129" s="2" t="str">
        <f>IFERROR(MATCH(124,_自动清单!$AM$4:$AM$2403,0),"")</f>
        <v/>
      </c>
    </row>
    <row r="130" ht="18" customHeight="1" spans="1:31">
      <c r="A130" s="53" t="str">
        <f>IF($AE130="","",IF(INDEX(对接源_01水果!$B$4:$B$1203,$AE130)=0,"",INDEX(对接源_01水果!$B$4:$B$1203,$AE130)))</f>
        <v/>
      </c>
      <c r="B130" s="53" t="str">
        <f>IF($AE130="","",IF(INDEX(对接源_01水果!$E$4:$E$1203,$AE130)=0,"",INDEX(对接源_01水果!$E$4:$E$1203,$AE130)))</f>
        <v/>
      </c>
      <c r="C130" s="53" t="str">
        <f>IF($AE130="","",IF(INDEX(对接源_01水果!$F$4:$F$1203,$AE130)=0,"",INDEX(对接源_01水果!$F$4:$F$1203,$AE130)))</f>
        <v/>
      </c>
      <c r="D130" s="53" t="str">
        <f>IF($AE130="","",IF(INDEX(对接源_01水果!$G$4:$G$1203,$AE130)=0,"",INDEX(对接源_01水果!$G$4:$G$1203,$AE130)))</f>
        <v/>
      </c>
      <c r="E130" s="53" t="str">
        <f>IF($AE130="","",IF(INDEX(对接源_01水果!$H$4:$H$1203,$AE130)=0,"",INDEX(对接源_01水果!$H$4:$H$1203,$AE130)))</f>
        <v/>
      </c>
      <c r="F130" s="53" t="str">
        <f>IF($AE130="","",IF(INDEX(对接源_01水果!$I$4:$I$1203,$AE130)=0,"",INDEX(对接源_01水果!$I$4:$I$1203,$AE130)))</f>
        <v/>
      </c>
      <c r="G130" s="55" t="str">
        <f>IF($AE130="","",IF(INDEX(对接源_01水果!$Z$4:$Z$1203,$AE130)=0,"",INDEX(对接源_01水果!$Z$4:$Z$1203,$AE130)))</f>
        <v/>
      </c>
      <c r="H130" s="55" t="str">
        <f>IF($AE130="","",IF(INDEX(对接源_01水果!$AA$4:$AA$1203,$AE130)=0,"",INDEX(对接源_01水果!$AA$4:$AA$1203,$AE130)))</f>
        <v/>
      </c>
      <c r="I130" s="55" t="str">
        <f>IF($AE130="","",IF(INDEX(对接源_01水果!$AG$4:$AG$1203,$AE130)=0,"",INDEX(对接源_01水果!$AG$4:$AG$1203,$AE130)))</f>
        <v/>
      </c>
      <c r="J130" s="55" t="str">
        <f>IF($AE130="","",IF(INDEX(对接源_01水果!$AJ$4:$AJ$1203,$AE130)=0,"",INDEX(对接源_01水果!$AJ$4:$AJ$1203,$AE130)))</f>
        <v/>
      </c>
      <c r="K130" s="53" t="str">
        <f>IF($AE130="","",IF(INDEX(对接源_01水果!$AB$4:$AB$1203,$AE130)=0,"",INDEX(对接源_01水果!$AB$4:$AB$1203,$AE130)))</f>
        <v/>
      </c>
      <c r="L130" s="56" t="str">
        <f>IF($AE130="","",IF(INDEX(对接源_01水果!$M$4:$M$1203,$AE130)=0,"",INDEX(对接源_01水果!$M$4:$M$1203,$AE130)))</f>
        <v/>
      </c>
      <c r="AE130" s="2" t="str">
        <f>IFERROR(MATCH(125,_自动清单!$AM$4:$AM$2403,0),"")</f>
        <v/>
      </c>
    </row>
    <row r="131" ht="18" customHeight="1" spans="1:31">
      <c r="A131" s="53" t="str">
        <f>IF($AE131="","",IF(INDEX(对接源_01水果!$B$4:$B$1203,$AE131)=0,"",INDEX(对接源_01水果!$B$4:$B$1203,$AE131)))</f>
        <v/>
      </c>
      <c r="B131" s="53" t="str">
        <f>IF($AE131="","",IF(INDEX(对接源_01水果!$E$4:$E$1203,$AE131)=0,"",INDEX(对接源_01水果!$E$4:$E$1203,$AE131)))</f>
        <v/>
      </c>
      <c r="C131" s="53" t="str">
        <f>IF($AE131="","",IF(INDEX(对接源_01水果!$F$4:$F$1203,$AE131)=0,"",INDEX(对接源_01水果!$F$4:$F$1203,$AE131)))</f>
        <v/>
      </c>
      <c r="D131" s="53" t="str">
        <f>IF($AE131="","",IF(INDEX(对接源_01水果!$G$4:$G$1203,$AE131)=0,"",INDEX(对接源_01水果!$G$4:$G$1203,$AE131)))</f>
        <v/>
      </c>
      <c r="E131" s="53" t="str">
        <f>IF($AE131="","",IF(INDEX(对接源_01水果!$H$4:$H$1203,$AE131)=0,"",INDEX(对接源_01水果!$H$4:$H$1203,$AE131)))</f>
        <v/>
      </c>
      <c r="F131" s="53" t="str">
        <f>IF($AE131="","",IF(INDEX(对接源_01水果!$I$4:$I$1203,$AE131)=0,"",INDEX(对接源_01水果!$I$4:$I$1203,$AE131)))</f>
        <v/>
      </c>
      <c r="G131" s="55" t="str">
        <f>IF($AE131="","",IF(INDEX(对接源_01水果!$Z$4:$Z$1203,$AE131)=0,"",INDEX(对接源_01水果!$Z$4:$Z$1203,$AE131)))</f>
        <v/>
      </c>
      <c r="H131" s="55" t="str">
        <f>IF($AE131="","",IF(INDEX(对接源_01水果!$AA$4:$AA$1203,$AE131)=0,"",INDEX(对接源_01水果!$AA$4:$AA$1203,$AE131)))</f>
        <v/>
      </c>
      <c r="I131" s="55" t="str">
        <f>IF($AE131="","",IF(INDEX(对接源_01水果!$AG$4:$AG$1203,$AE131)=0,"",INDEX(对接源_01水果!$AG$4:$AG$1203,$AE131)))</f>
        <v/>
      </c>
      <c r="J131" s="55" t="str">
        <f>IF($AE131="","",IF(INDEX(对接源_01水果!$AJ$4:$AJ$1203,$AE131)=0,"",INDEX(对接源_01水果!$AJ$4:$AJ$1203,$AE131)))</f>
        <v/>
      </c>
      <c r="K131" s="53" t="str">
        <f>IF($AE131="","",IF(INDEX(对接源_01水果!$AB$4:$AB$1203,$AE131)=0,"",INDEX(对接源_01水果!$AB$4:$AB$1203,$AE131)))</f>
        <v/>
      </c>
      <c r="L131" s="56" t="str">
        <f>IF($AE131="","",IF(INDEX(对接源_01水果!$M$4:$M$1203,$AE131)=0,"",INDEX(对接源_01水果!$M$4:$M$1203,$AE131)))</f>
        <v/>
      </c>
      <c r="AE131" s="2" t="str">
        <f>IFERROR(MATCH(126,_自动清单!$AM$4:$AM$2403,0),"")</f>
        <v/>
      </c>
    </row>
    <row r="132" ht="18" customHeight="1" spans="1:31">
      <c r="A132" s="53" t="str">
        <f>IF($AE132="","",IF(INDEX(对接源_01水果!$B$4:$B$1203,$AE132)=0,"",INDEX(对接源_01水果!$B$4:$B$1203,$AE132)))</f>
        <v/>
      </c>
      <c r="B132" s="53" t="str">
        <f>IF($AE132="","",IF(INDEX(对接源_01水果!$E$4:$E$1203,$AE132)=0,"",INDEX(对接源_01水果!$E$4:$E$1203,$AE132)))</f>
        <v/>
      </c>
      <c r="C132" s="53" t="str">
        <f>IF($AE132="","",IF(INDEX(对接源_01水果!$F$4:$F$1203,$AE132)=0,"",INDEX(对接源_01水果!$F$4:$F$1203,$AE132)))</f>
        <v/>
      </c>
      <c r="D132" s="53" t="str">
        <f>IF($AE132="","",IF(INDEX(对接源_01水果!$G$4:$G$1203,$AE132)=0,"",INDEX(对接源_01水果!$G$4:$G$1203,$AE132)))</f>
        <v/>
      </c>
      <c r="E132" s="53" t="str">
        <f>IF($AE132="","",IF(INDEX(对接源_01水果!$H$4:$H$1203,$AE132)=0,"",INDEX(对接源_01水果!$H$4:$H$1203,$AE132)))</f>
        <v/>
      </c>
      <c r="F132" s="53" t="str">
        <f>IF($AE132="","",IF(INDEX(对接源_01水果!$I$4:$I$1203,$AE132)=0,"",INDEX(对接源_01水果!$I$4:$I$1203,$AE132)))</f>
        <v/>
      </c>
      <c r="G132" s="55" t="str">
        <f>IF($AE132="","",IF(INDEX(对接源_01水果!$Z$4:$Z$1203,$AE132)=0,"",INDEX(对接源_01水果!$Z$4:$Z$1203,$AE132)))</f>
        <v/>
      </c>
      <c r="H132" s="55" t="str">
        <f>IF($AE132="","",IF(INDEX(对接源_01水果!$AA$4:$AA$1203,$AE132)=0,"",INDEX(对接源_01水果!$AA$4:$AA$1203,$AE132)))</f>
        <v/>
      </c>
      <c r="I132" s="55" t="str">
        <f>IF($AE132="","",IF(INDEX(对接源_01水果!$AG$4:$AG$1203,$AE132)=0,"",INDEX(对接源_01水果!$AG$4:$AG$1203,$AE132)))</f>
        <v/>
      </c>
      <c r="J132" s="55" t="str">
        <f>IF($AE132="","",IF(INDEX(对接源_01水果!$AJ$4:$AJ$1203,$AE132)=0,"",INDEX(对接源_01水果!$AJ$4:$AJ$1203,$AE132)))</f>
        <v/>
      </c>
      <c r="K132" s="53" t="str">
        <f>IF($AE132="","",IF(INDEX(对接源_01水果!$AB$4:$AB$1203,$AE132)=0,"",INDEX(对接源_01水果!$AB$4:$AB$1203,$AE132)))</f>
        <v/>
      </c>
      <c r="L132" s="56" t="str">
        <f>IF($AE132="","",IF(INDEX(对接源_01水果!$M$4:$M$1203,$AE132)=0,"",INDEX(对接源_01水果!$M$4:$M$1203,$AE132)))</f>
        <v/>
      </c>
      <c r="AE132" s="2" t="str">
        <f>IFERROR(MATCH(127,_自动清单!$AM$4:$AM$2403,0),"")</f>
        <v/>
      </c>
    </row>
    <row r="133" ht="18" customHeight="1" spans="1:31">
      <c r="A133" s="53" t="str">
        <f>IF($AE133="","",IF(INDEX(对接源_01水果!$B$4:$B$1203,$AE133)=0,"",INDEX(对接源_01水果!$B$4:$B$1203,$AE133)))</f>
        <v/>
      </c>
      <c r="B133" s="53" t="str">
        <f>IF($AE133="","",IF(INDEX(对接源_01水果!$E$4:$E$1203,$AE133)=0,"",INDEX(对接源_01水果!$E$4:$E$1203,$AE133)))</f>
        <v/>
      </c>
      <c r="C133" s="53" t="str">
        <f>IF($AE133="","",IF(INDEX(对接源_01水果!$F$4:$F$1203,$AE133)=0,"",INDEX(对接源_01水果!$F$4:$F$1203,$AE133)))</f>
        <v/>
      </c>
      <c r="D133" s="53" t="str">
        <f>IF($AE133="","",IF(INDEX(对接源_01水果!$G$4:$G$1203,$AE133)=0,"",INDEX(对接源_01水果!$G$4:$G$1203,$AE133)))</f>
        <v/>
      </c>
      <c r="E133" s="53" t="str">
        <f>IF($AE133="","",IF(INDEX(对接源_01水果!$H$4:$H$1203,$AE133)=0,"",INDEX(对接源_01水果!$H$4:$H$1203,$AE133)))</f>
        <v/>
      </c>
      <c r="F133" s="53" t="str">
        <f>IF($AE133="","",IF(INDEX(对接源_01水果!$I$4:$I$1203,$AE133)=0,"",INDEX(对接源_01水果!$I$4:$I$1203,$AE133)))</f>
        <v/>
      </c>
      <c r="G133" s="55" t="str">
        <f>IF($AE133="","",IF(INDEX(对接源_01水果!$Z$4:$Z$1203,$AE133)=0,"",INDEX(对接源_01水果!$Z$4:$Z$1203,$AE133)))</f>
        <v/>
      </c>
      <c r="H133" s="55" t="str">
        <f>IF($AE133="","",IF(INDEX(对接源_01水果!$AA$4:$AA$1203,$AE133)=0,"",INDEX(对接源_01水果!$AA$4:$AA$1203,$AE133)))</f>
        <v/>
      </c>
      <c r="I133" s="55" t="str">
        <f>IF($AE133="","",IF(INDEX(对接源_01水果!$AG$4:$AG$1203,$AE133)=0,"",INDEX(对接源_01水果!$AG$4:$AG$1203,$AE133)))</f>
        <v/>
      </c>
      <c r="J133" s="55" t="str">
        <f>IF($AE133="","",IF(INDEX(对接源_01水果!$AJ$4:$AJ$1203,$AE133)=0,"",INDEX(对接源_01水果!$AJ$4:$AJ$1203,$AE133)))</f>
        <v/>
      </c>
      <c r="K133" s="53" t="str">
        <f>IF($AE133="","",IF(INDEX(对接源_01水果!$AB$4:$AB$1203,$AE133)=0,"",INDEX(对接源_01水果!$AB$4:$AB$1203,$AE133)))</f>
        <v/>
      </c>
      <c r="L133" s="56" t="str">
        <f>IF($AE133="","",IF(INDEX(对接源_01水果!$M$4:$M$1203,$AE133)=0,"",INDEX(对接源_01水果!$M$4:$M$1203,$AE133)))</f>
        <v/>
      </c>
      <c r="AE133" s="2" t="str">
        <f>IFERROR(MATCH(128,_自动清单!$AM$4:$AM$2403,0),"")</f>
        <v/>
      </c>
    </row>
    <row r="134" ht="18" customHeight="1" spans="1:31">
      <c r="A134" s="53" t="str">
        <f>IF($AE134="","",IF(INDEX(对接源_01水果!$B$4:$B$1203,$AE134)=0,"",INDEX(对接源_01水果!$B$4:$B$1203,$AE134)))</f>
        <v/>
      </c>
      <c r="B134" s="53" t="str">
        <f>IF($AE134="","",IF(INDEX(对接源_01水果!$E$4:$E$1203,$AE134)=0,"",INDEX(对接源_01水果!$E$4:$E$1203,$AE134)))</f>
        <v/>
      </c>
      <c r="C134" s="53" t="str">
        <f>IF($AE134="","",IF(INDEX(对接源_01水果!$F$4:$F$1203,$AE134)=0,"",INDEX(对接源_01水果!$F$4:$F$1203,$AE134)))</f>
        <v/>
      </c>
      <c r="D134" s="53" t="str">
        <f>IF($AE134="","",IF(INDEX(对接源_01水果!$G$4:$G$1203,$AE134)=0,"",INDEX(对接源_01水果!$G$4:$G$1203,$AE134)))</f>
        <v/>
      </c>
      <c r="E134" s="53" t="str">
        <f>IF($AE134="","",IF(INDEX(对接源_01水果!$H$4:$H$1203,$AE134)=0,"",INDEX(对接源_01水果!$H$4:$H$1203,$AE134)))</f>
        <v/>
      </c>
      <c r="F134" s="53" t="str">
        <f>IF($AE134="","",IF(INDEX(对接源_01水果!$I$4:$I$1203,$AE134)=0,"",INDEX(对接源_01水果!$I$4:$I$1203,$AE134)))</f>
        <v/>
      </c>
      <c r="G134" s="55" t="str">
        <f>IF($AE134="","",IF(INDEX(对接源_01水果!$Z$4:$Z$1203,$AE134)=0,"",INDEX(对接源_01水果!$Z$4:$Z$1203,$AE134)))</f>
        <v/>
      </c>
      <c r="H134" s="55" t="str">
        <f>IF($AE134="","",IF(INDEX(对接源_01水果!$AA$4:$AA$1203,$AE134)=0,"",INDEX(对接源_01水果!$AA$4:$AA$1203,$AE134)))</f>
        <v/>
      </c>
      <c r="I134" s="55" t="str">
        <f>IF($AE134="","",IF(INDEX(对接源_01水果!$AG$4:$AG$1203,$AE134)=0,"",INDEX(对接源_01水果!$AG$4:$AG$1203,$AE134)))</f>
        <v/>
      </c>
      <c r="J134" s="55" t="str">
        <f>IF($AE134="","",IF(INDEX(对接源_01水果!$AJ$4:$AJ$1203,$AE134)=0,"",INDEX(对接源_01水果!$AJ$4:$AJ$1203,$AE134)))</f>
        <v/>
      </c>
      <c r="K134" s="53" t="str">
        <f>IF($AE134="","",IF(INDEX(对接源_01水果!$AB$4:$AB$1203,$AE134)=0,"",INDEX(对接源_01水果!$AB$4:$AB$1203,$AE134)))</f>
        <v/>
      </c>
      <c r="L134" s="56" t="str">
        <f>IF($AE134="","",IF(INDEX(对接源_01水果!$M$4:$M$1203,$AE134)=0,"",INDEX(对接源_01水果!$M$4:$M$1203,$AE134)))</f>
        <v/>
      </c>
      <c r="AE134" s="2" t="str">
        <f>IFERROR(MATCH(129,_自动清单!$AM$4:$AM$2403,0),"")</f>
        <v/>
      </c>
    </row>
    <row r="135" ht="18" customHeight="1" spans="1:31">
      <c r="A135" s="53" t="str">
        <f>IF($AE135="","",IF(INDEX(对接源_01水果!$B$4:$B$1203,$AE135)=0,"",INDEX(对接源_01水果!$B$4:$B$1203,$AE135)))</f>
        <v/>
      </c>
      <c r="B135" s="53" t="str">
        <f>IF($AE135="","",IF(INDEX(对接源_01水果!$E$4:$E$1203,$AE135)=0,"",INDEX(对接源_01水果!$E$4:$E$1203,$AE135)))</f>
        <v/>
      </c>
      <c r="C135" s="53" t="str">
        <f>IF($AE135="","",IF(INDEX(对接源_01水果!$F$4:$F$1203,$AE135)=0,"",INDEX(对接源_01水果!$F$4:$F$1203,$AE135)))</f>
        <v/>
      </c>
      <c r="D135" s="53" t="str">
        <f>IF($AE135="","",IF(INDEX(对接源_01水果!$G$4:$G$1203,$AE135)=0,"",INDEX(对接源_01水果!$G$4:$G$1203,$AE135)))</f>
        <v/>
      </c>
      <c r="E135" s="53" t="str">
        <f>IF($AE135="","",IF(INDEX(对接源_01水果!$H$4:$H$1203,$AE135)=0,"",INDEX(对接源_01水果!$H$4:$H$1203,$AE135)))</f>
        <v/>
      </c>
      <c r="F135" s="53" t="str">
        <f>IF($AE135="","",IF(INDEX(对接源_01水果!$I$4:$I$1203,$AE135)=0,"",INDEX(对接源_01水果!$I$4:$I$1203,$AE135)))</f>
        <v/>
      </c>
      <c r="G135" s="55" t="str">
        <f>IF($AE135="","",IF(INDEX(对接源_01水果!$Z$4:$Z$1203,$AE135)=0,"",INDEX(对接源_01水果!$Z$4:$Z$1203,$AE135)))</f>
        <v/>
      </c>
      <c r="H135" s="55" t="str">
        <f>IF($AE135="","",IF(INDEX(对接源_01水果!$AA$4:$AA$1203,$AE135)=0,"",INDEX(对接源_01水果!$AA$4:$AA$1203,$AE135)))</f>
        <v/>
      </c>
      <c r="I135" s="55" t="str">
        <f>IF($AE135="","",IF(INDEX(对接源_01水果!$AG$4:$AG$1203,$AE135)=0,"",INDEX(对接源_01水果!$AG$4:$AG$1203,$AE135)))</f>
        <v/>
      </c>
      <c r="J135" s="55" t="str">
        <f>IF($AE135="","",IF(INDEX(对接源_01水果!$AJ$4:$AJ$1203,$AE135)=0,"",INDEX(对接源_01水果!$AJ$4:$AJ$1203,$AE135)))</f>
        <v/>
      </c>
      <c r="K135" s="53" t="str">
        <f>IF($AE135="","",IF(INDEX(对接源_01水果!$AB$4:$AB$1203,$AE135)=0,"",INDEX(对接源_01水果!$AB$4:$AB$1203,$AE135)))</f>
        <v/>
      </c>
      <c r="L135" s="56" t="str">
        <f>IF($AE135="","",IF(INDEX(对接源_01水果!$M$4:$M$1203,$AE135)=0,"",INDEX(对接源_01水果!$M$4:$M$1203,$AE135)))</f>
        <v/>
      </c>
      <c r="AE135" s="2" t="str">
        <f>IFERROR(MATCH(130,_自动清单!$AM$4:$AM$2403,0),"")</f>
        <v/>
      </c>
    </row>
    <row r="136" ht="18" customHeight="1" spans="1:31">
      <c r="A136" s="53" t="str">
        <f>IF($AE136="","",IF(INDEX(对接源_01水果!$B$4:$B$1203,$AE136)=0,"",INDEX(对接源_01水果!$B$4:$B$1203,$AE136)))</f>
        <v/>
      </c>
      <c r="B136" s="53" t="str">
        <f>IF($AE136="","",IF(INDEX(对接源_01水果!$E$4:$E$1203,$AE136)=0,"",INDEX(对接源_01水果!$E$4:$E$1203,$AE136)))</f>
        <v/>
      </c>
      <c r="C136" s="53" t="str">
        <f>IF($AE136="","",IF(INDEX(对接源_01水果!$F$4:$F$1203,$AE136)=0,"",INDEX(对接源_01水果!$F$4:$F$1203,$AE136)))</f>
        <v/>
      </c>
      <c r="D136" s="53" t="str">
        <f>IF($AE136="","",IF(INDEX(对接源_01水果!$G$4:$G$1203,$AE136)=0,"",INDEX(对接源_01水果!$G$4:$G$1203,$AE136)))</f>
        <v/>
      </c>
      <c r="E136" s="53" t="str">
        <f>IF($AE136="","",IF(INDEX(对接源_01水果!$H$4:$H$1203,$AE136)=0,"",INDEX(对接源_01水果!$H$4:$H$1203,$AE136)))</f>
        <v/>
      </c>
      <c r="F136" s="53" t="str">
        <f>IF($AE136="","",IF(INDEX(对接源_01水果!$I$4:$I$1203,$AE136)=0,"",INDEX(对接源_01水果!$I$4:$I$1203,$AE136)))</f>
        <v/>
      </c>
      <c r="G136" s="55" t="str">
        <f>IF($AE136="","",IF(INDEX(对接源_01水果!$Z$4:$Z$1203,$AE136)=0,"",INDEX(对接源_01水果!$Z$4:$Z$1203,$AE136)))</f>
        <v/>
      </c>
      <c r="H136" s="55" t="str">
        <f>IF($AE136="","",IF(INDEX(对接源_01水果!$AA$4:$AA$1203,$AE136)=0,"",INDEX(对接源_01水果!$AA$4:$AA$1203,$AE136)))</f>
        <v/>
      </c>
      <c r="I136" s="55" t="str">
        <f>IF($AE136="","",IF(INDEX(对接源_01水果!$AG$4:$AG$1203,$AE136)=0,"",INDEX(对接源_01水果!$AG$4:$AG$1203,$AE136)))</f>
        <v/>
      </c>
      <c r="J136" s="55" t="str">
        <f>IF($AE136="","",IF(INDEX(对接源_01水果!$AJ$4:$AJ$1203,$AE136)=0,"",INDEX(对接源_01水果!$AJ$4:$AJ$1203,$AE136)))</f>
        <v/>
      </c>
      <c r="K136" s="53" t="str">
        <f>IF($AE136="","",IF(INDEX(对接源_01水果!$AB$4:$AB$1203,$AE136)=0,"",INDEX(对接源_01水果!$AB$4:$AB$1203,$AE136)))</f>
        <v/>
      </c>
      <c r="L136" s="56" t="str">
        <f>IF($AE136="","",IF(INDEX(对接源_01水果!$M$4:$M$1203,$AE136)=0,"",INDEX(对接源_01水果!$M$4:$M$1203,$AE136)))</f>
        <v/>
      </c>
      <c r="AE136" s="2" t="str">
        <f>IFERROR(MATCH(131,_自动清单!$AM$4:$AM$2403,0),"")</f>
        <v/>
      </c>
    </row>
    <row r="137" ht="18" customHeight="1" spans="1:31">
      <c r="A137" s="53" t="str">
        <f>IF($AE137="","",IF(INDEX(对接源_01水果!$B$4:$B$1203,$AE137)=0,"",INDEX(对接源_01水果!$B$4:$B$1203,$AE137)))</f>
        <v/>
      </c>
      <c r="B137" s="53" t="str">
        <f>IF($AE137="","",IF(INDEX(对接源_01水果!$E$4:$E$1203,$AE137)=0,"",INDEX(对接源_01水果!$E$4:$E$1203,$AE137)))</f>
        <v/>
      </c>
      <c r="C137" s="53" t="str">
        <f>IF($AE137="","",IF(INDEX(对接源_01水果!$F$4:$F$1203,$AE137)=0,"",INDEX(对接源_01水果!$F$4:$F$1203,$AE137)))</f>
        <v/>
      </c>
      <c r="D137" s="53" t="str">
        <f>IF($AE137="","",IF(INDEX(对接源_01水果!$G$4:$G$1203,$AE137)=0,"",INDEX(对接源_01水果!$G$4:$G$1203,$AE137)))</f>
        <v/>
      </c>
      <c r="E137" s="53" t="str">
        <f>IF($AE137="","",IF(INDEX(对接源_01水果!$H$4:$H$1203,$AE137)=0,"",INDEX(对接源_01水果!$H$4:$H$1203,$AE137)))</f>
        <v/>
      </c>
      <c r="F137" s="53" t="str">
        <f>IF($AE137="","",IF(INDEX(对接源_01水果!$I$4:$I$1203,$AE137)=0,"",INDEX(对接源_01水果!$I$4:$I$1203,$AE137)))</f>
        <v/>
      </c>
      <c r="G137" s="55" t="str">
        <f>IF($AE137="","",IF(INDEX(对接源_01水果!$Z$4:$Z$1203,$AE137)=0,"",INDEX(对接源_01水果!$Z$4:$Z$1203,$AE137)))</f>
        <v/>
      </c>
      <c r="H137" s="55" t="str">
        <f>IF($AE137="","",IF(INDEX(对接源_01水果!$AA$4:$AA$1203,$AE137)=0,"",INDEX(对接源_01水果!$AA$4:$AA$1203,$AE137)))</f>
        <v/>
      </c>
      <c r="I137" s="55" t="str">
        <f>IF($AE137="","",IF(INDEX(对接源_01水果!$AG$4:$AG$1203,$AE137)=0,"",INDEX(对接源_01水果!$AG$4:$AG$1203,$AE137)))</f>
        <v/>
      </c>
      <c r="J137" s="55" t="str">
        <f>IF($AE137="","",IF(INDEX(对接源_01水果!$AJ$4:$AJ$1203,$AE137)=0,"",INDEX(对接源_01水果!$AJ$4:$AJ$1203,$AE137)))</f>
        <v/>
      </c>
      <c r="K137" s="53" t="str">
        <f>IF($AE137="","",IF(INDEX(对接源_01水果!$AB$4:$AB$1203,$AE137)=0,"",INDEX(对接源_01水果!$AB$4:$AB$1203,$AE137)))</f>
        <v/>
      </c>
      <c r="L137" s="56" t="str">
        <f>IF($AE137="","",IF(INDEX(对接源_01水果!$M$4:$M$1203,$AE137)=0,"",INDEX(对接源_01水果!$M$4:$M$1203,$AE137)))</f>
        <v/>
      </c>
      <c r="AE137" s="2" t="str">
        <f>IFERROR(MATCH(132,_自动清单!$AM$4:$AM$2403,0),"")</f>
        <v/>
      </c>
    </row>
    <row r="138" ht="18" customHeight="1" spans="1:31">
      <c r="A138" s="53" t="str">
        <f>IF($AE138="","",IF(INDEX(对接源_01水果!$B$4:$B$1203,$AE138)=0,"",INDEX(对接源_01水果!$B$4:$B$1203,$AE138)))</f>
        <v/>
      </c>
      <c r="B138" s="53" t="str">
        <f>IF($AE138="","",IF(INDEX(对接源_01水果!$E$4:$E$1203,$AE138)=0,"",INDEX(对接源_01水果!$E$4:$E$1203,$AE138)))</f>
        <v/>
      </c>
      <c r="C138" s="53" t="str">
        <f>IF($AE138="","",IF(INDEX(对接源_01水果!$F$4:$F$1203,$AE138)=0,"",INDEX(对接源_01水果!$F$4:$F$1203,$AE138)))</f>
        <v/>
      </c>
      <c r="D138" s="53" t="str">
        <f>IF($AE138="","",IF(INDEX(对接源_01水果!$G$4:$G$1203,$AE138)=0,"",INDEX(对接源_01水果!$G$4:$G$1203,$AE138)))</f>
        <v/>
      </c>
      <c r="E138" s="53" t="str">
        <f>IF($AE138="","",IF(INDEX(对接源_01水果!$H$4:$H$1203,$AE138)=0,"",INDEX(对接源_01水果!$H$4:$H$1203,$AE138)))</f>
        <v/>
      </c>
      <c r="F138" s="53" t="str">
        <f>IF($AE138="","",IF(INDEX(对接源_01水果!$I$4:$I$1203,$AE138)=0,"",INDEX(对接源_01水果!$I$4:$I$1203,$AE138)))</f>
        <v/>
      </c>
      <c r="G138" s="55" t="str">
        <f>IF($AE138="","",IF(INDEX(对接源_01水果!$Z$4:$Z$1203,$AE138)=0,"",INDEX(对接源_01水果!$Z$4:$Z$1203,$AE138)))</f>
        <v/>
      </c>
      <c r="H138" s="55" t="str">
        <f>IF($AE138="","",IF(INDEX(对接源_01水果!$AA$4:$AA$1203,$AE138)=0,"",INDEX(对接源_01水果!$AA$4:$AA$1203,$AE138)))</f>
        <v/>
      </c>
      <c r="I138" s="55" t="str">
        <f>IF($AE138="","",IF(INDEX(对接源_01水果!$AG$4:$AG$1203,$AE138)=0,"",INDEX(对接源_01水果!$AG$4:$AG$1203,$AE138)))</f>
        <v/>
      </c>
      <c r="J138" s="55" t="str">
        <f>IF($AE138="","",IF(INDEX(对接源_01水果!$AJ$4:$AJ$1203,$AE138)=0,"",INDEX(对接源_01水果!$AJ$4:$AJ$1203,$AE138)))</f>
        <v/>
      </c>
      <c r="K138" s="53" t="str">
        <f>IF($AE138="","",IF(INDEX(对接源_01水果!$AB$4:$AB$1203,$AE138)=0,"",INDEX(对接源_01水果!$AB$4:$AB$1203,$AE138)))</f>
        <v/>
      </c>
      <c r="L138" s="56" t="str">
        <f>IF($AE138="","",IF(INDEX(对接源_01水果!$M$4:$M$1203,$AE138)=0,"",INDEX(对接源_01水果!$M$4:$M$1203,$AE138)))</f>
        <v/>
      </c>
      <c r="AE138" s="2" t="str">
        <f>IFERROR(MATCH(133,_自动清单!$AM$4:$AM$2403,0),"")</f>
        <v/>
      </c>
    </row>
    <row r="139" ht="18" customHeight="1" spans="1:31">
      <c r="A139" s="53" t="str">
        <f>IF($AE139="","",IF(INDEX(对接源_01水果!$B$4:$B$1203,$AE139)=0,"",INDEX(对接源_01水果!$B$4:$B$1203,$AE139)))</f>
        <v/>
      </c>
      <c r="B139" s="53" t="str">
        <f>IF($AE139="","",IF(INDEX(对接源_01水果!$E$4:$E$1203,$AE139)=0,"",INDEX(对接源_01水果!$E$4:$E$1203,$AE139)))</f>
        <v/>
      </c>
      <c r="C139" s="53" t="str">
        <f>IF($AE139="","",IF(INDEX(对接源_01水果!$F$4:$F$1203,$AE139)=0,"",INDEX(对接源_01水果!$F$4:$F$1203,$AE139)))</f>
        <v/>
      </c>
      <c r="D139" s="53" t="str">
        <f>IF($AE139="","",IF(INDEX(对接源_01水果!$G$4:$G$1203,$AE139)=0,"",INDEX(对接源_01水果!$G$4:$G$1203,$AE139)))</f>
        <v/>
      </c>
      <c r="E139" s="53" t="str">
        <f>IF($AE139="","",IF(INDEX(对接源_01水果!$H$4:$H$1203,$AE139)=0,"",INDEX(对接源_01水果!$H$4:$H$1203,$AE139)))</f>
        <v/>
      </c>
      <c r="F139" s="53" t="str">
        <f>IF($AE139="","",IF(INDEX(对接源_01水果!$I$4:$I$1203,$AE139)=0,"",INDEX(对接源_01水果!$I$4:$I$1203,$AE139)))</f>
        <v/>
      </c>
      <c r="G139" s="55" t="str">
        <f>IF($AE139="","",IF(INDEX(对接源_01水果!$Z$4:$Z$1203,$AE139)=0,"",INDEX(对接源_01水果!$Z$4:$Z$1203,$AE139)))</f>
        <v/>
      </c>
      <c r="H139" s="55" t="str">
        <f>IF($AE139="","",IF(INDEX(对接源_01水果!$AA$4:$AA$1203,$AE139)=0,"",INDEX(对接源_01水果!$AA$4:$AA$1203,$AE139)))</f>
        <v/>
      </c>
      <c r="I139" s="55" t="str">
        <f>IF($AE139="","",IF(INDEX(对接源_01水果!$AG$4:$AG$1203,$AE139)=0,"",INDEX(对接源_01水果!$AG$4:$AG$1203,$AE139)))</f>
        <v/>
      </c>
      <c r="J139" s="55" t="str">
        <f>IF($AE139="","",IF(INDEX(对接源_01水果!$AJ$4:$AJ$1203,$AE139)=0,"",INDEX(对接源_01水果!$AJ$4:$AJ$1203,$AE139)))</f>
        <v/>
      </c>
      <c r="K139" s="53" t="str">
        <f>IF($AE139="","",IF(INDEX(对接源_01水果!$AB$4:$AB$1203,$AE139)=0,"",INDEX(对接源_01水果!$AB$4:$AB$1203,$AE139)))</f>
        <v/>
      </c>
      <c r="L139" s="56" t="str">
        <f>IF($AE139="","",IF(INDEX(对接源_01水果!$M$4:$M$1203,$AE139)=0,"",INDEX(对接源_01水果!$M$4:$M$1203,$AE139)))</f>
        <v/>
      </c>
      <c r="AE139" s="2" t="str">
        <f>IFERROR(MATCH(134,_自动清单!$AM$4:$AM$2403,0),"")</f>
        <v/>
      </c>
    </row>
    <row r="140" ht="18" customHeight="1" spans="1:31">
      <c r="A140" s="53" t="str">
        <f>IF($AE140="","",IF(INDEX(对接源_01水果!$B$4:$B$1203,$AE140)=0,"",INDEX(对接源_01水果!$B$4:$B$1203,$AE140)))</f>
        <v/>
      </c>
      <c r="B140" s="53" t="str">
        <f>IF($AE140="","",IF(INDEX(对接源_01水果!$E$4:$E$1203,$AE140)=0,"",INDEX(对接源_01水果!$E$4:$E$1203,$AE140)))</f>
        <v/>
      </c>
      <c r="C140" s="53" t="str">
        <f>IF($AE140="","",IF(INDEX(对接源_01水果!$F$4:$F$1203,$AE140)=0,"",INDEX(对接源_01水果!$F$4:$F$1203,$AE140)))</f>
        <v/>
      </c>
      <c r="D140" s="53" t="str">
        <f>IF($AE140="","",IF(INDEX(对接源_01水果!$G$4:$G$1203,$AE140)=0,"",INDEX(对接源_01水果!$G$4:$G$1203,$AE140)))</f>
        <v/>
      </c>
      <c r="E140" s="53" t="str">
        <f>IF($AE140="","",IF(INDEX(对接源_01水果!$H$4:$H$1203,$AE140)=0,"",INDEX(对接源_01水果!$H$4:$H$1203,$AE140)))</f>
        <v/>
      </c>
      <c r="F140" s="53" t="str">
        <f>IF($AE140="","",IF(INDEX(对接源_01水果!$I$4:$I$1203,$AE140)=0,"",INDEX(对接源_01水果!$I$4:$I$1203,$AE140)))</f>
        <v/>
      </c>
      <c r="G140" s="55" t="str">
        <f>IF($AE140="","",IF(INDEX(对接源_01水果!$Z$4:$Z$1203,$AE140)=0,"",INDEX(对接源_01水果!$Z$4:$Z$1203,$AE140)))</f>
        <v/>
      </c>
      <c r="H140" s="55" t="str">
        <f>IF($AE140="","",IF(INDEX(对接源_01水果!$AA$4:$AA$1203,$AE140)=0,"",INDEX(对接源_01水果!$AA$4:$AA$1203,$AE140)))</f>
        <v/>
      </c>
      <c r="I140" s="55" t="str">
        <f>IF($AE140="","",IF(INDEX(对接源_01水果!$AG$4:$AG$1203,$AE140)=0,"",INDEX(对接源_01水果!$AG$4:$AG$1203,$AE140)))</f>
        <v/>
      </c>
      <c r="J140" s="55" t="str">
        <f>IF($AE140="","",IF(INDEX(对接源_01水果!$AJ$4:$AJ$1203,$AE140)=0,"",INDEX(对接源_01水果!$AJ$4:$AJ$1203,$AE140)))</f>
        <v/>
      </c>
      <c r="K140" s="53" t="str">
        <f>IF($AE140="","",IF(INDEX(对接源_01水果!$AB$4:$AB$1203,$AE140)=0,"",INDEX(对接源_01水果!$AB$4:$AB$1203,$AE140)))</f>
        <v/>
      </c>
      <c r="L140" s="56" t="str">
        <f>IF($AE140="","",IF(INDEX(对接源_01水果!$M$4:$M$1203,$AE140)=0,"",INDEX(对接源_01水果!$M$4:$M$1203,$AE140)))</f>
        <v/>
      </c>
      <c r="AE140" s="2" t="str">
        <f>IFERROR(MATCH(135,_自动清单!$AM$4:$AM$2403,0),"")</f>
        <v/>
      </c>
    </row>
    <row r="141" ht="18" customHeight="1" spans="1:31">
      <c r="A141" s="53" t="str">
        <f>IF($AE141="","",IF(INDEX(对接源_01水果!$B$4:$B$1203,$AE141)=0,"",INDEX(对接源_01水果!$B$4:$B$1203,$AE141)))</f>
        <v/>
      </c>
      <c r="B141" s="53" t="str">
        <f>IF($AE141="","",IF(INDEX(对接源_01水果!$E$4:$E$1203,$AE141)=0,"",INDEX(对接源_01水果!$E$4:$E$1203,$AE141)))</f>
        <v/>
      </c>
      <c r="C141" s="53" t="str">
        <f>IF($AE141="","",IF(INDEX(对接源_01水果!$F$4:$F$1203,$AE141)=0,"",INDEX(对接源_01水果!$F$4:$F$1203,$AE141)))</f>
        <v/>
      </c>
      <c r="D141" s="53" t="str">
        <f>IF($AE141="","",IF(INDEX(对接源_01水果!$G$4:$G$1203,$AE141)=0,"",INDEX(对接源_01水果!$G$4:$G$1203,$AE141)))</f>
        <v/>
      </c>
      <c r="E141" s="53" t="str">
        <f>IF($AE141="","",IF(INDEX(对接源_01水果!$H$4:$H$1203,$AE141)=0,"",INDEX(对接源_01水果!$H$4:$H$1203,$AE141)))</f>
        <v/>
      </c>
      <c r="F141" s="53" t="str">
        <f>IF($AE141="","",IF(INDEX(对接源_01水果!$I$4:$I$1203,$AE141)=0,"",INDEX(对接源_01水果!$I$4:$I$1203,$AE141)))</f>
        <v/>
      </c>
      <c r="G141" s="55" t="str">
        <f>IF($AE141="","",IF(INDEX(对接源_01水果!$Z$4:$Z$1203,$AE141)=0,"",INDEX(对接源_01水果!$Z$4:$Z$1203,$AE141)))</f>
        <v/>
      </c>
      <c r="H141" s="55" t="str">
        <f>IF($AE141="","",IF(INDEX(对接源_01水果!$AA$4:$AA$1203,$AE141)=0,"",INDEX(对接源_01水果!$AA$4:$AA$1203,$AE141)))</f>
        <v/>
      </c>
      <c r="I141" s="55" t="str">
        <f>IF($AE141="","",IF(INDEX(对接源_01水果!$AG$4:$AG$1203,$AE141)=0,"",INDEX(对接源_01水果!$AG$4:$AG$1203,$AE141)))</f>
        <v/>
      </c>
      <c r="J141" s="55" t="str">
        <f>IF($AE141="","",IF(INDEX(对接源_01水果!$AJ$4:$AJ$1203,$AE141)=0,"",INDEX(对接源_01水果!$AJ$4:$AJ$1203,$AE141)))</f>
        <v/>
      </c>
      <c r="K141" s="53" t="str">
        <f>IF($AE141="","",IF(INDEX(对接源_01水果!$AB$4:$AB$1203,$AE141)=0,"",INDEX(对接源_01水果!$AB$4:$AB$1203,$AE141)))</f>
        <v/>
      </c>
      <c r="L141" s="56" t="str">
        <f>IF($AE141="","",IF(INDEX(对接源_01水果!$M$4:$M$1203,$AE141)=0,"",INDEX(对接源_01水果!$M$4:$M$1203,$AE141)))</f>
        <v/>
      </c>
      <c r="AE141" s="2" t="str">
        <f>IFERROR(MATCH(136,_自动清单!$AM$4:$AM$2403,0),"")</f>
        <v/>
      </c>
    </row>
    <row r="142" ht="18" customHeight="1" spans="1:31">
      <c r="A142" s="53" t="str">
        <f>IF($AE142="","",IF(INDEX(对接源_01水果!$B$4:$B$1203,$AE142)=0,"",INDEX(对接源_01水果!$B$4:$B$1203,$AE142)))</f>
        <v/>
      </c>
      <c r="B142" s="53" t="str">
        <f>IF($AE142="","",IF(INDEX(对接源_01水果!$E$4:$E$1203,$AE142)=0,"",INDEX(对接源_01水果!$E$4:$E$1203,$AE142)))</f>
        <v/>
      </c>
      <c r="C142" s="53" t="str">
        <f>IF($AE142="","",IF(INDEX(对接源_01水果!$F$4:$F$1203,$AE142)=0,"",INDEX(对接源_01水果!$F$4:$F$1203,$AE142)))</f>
        <v/>
      </c>
      <c r="D142" s="53" t="str">
        <f>IF($AE142="","",IF(INDEX(对接源_01水果!$G$4:$G$1203,$AE142)=0,"",INDEX(对接源_01水果!$G$4:$G$1203,$AE142)))</f>
        <v/>
      </c>
      <c r="E142" s="53" t="str">
        <f>IF($AE142="","",IF(INDEX(对接源_01水果!$H$4:$H$1203,$AE142)=0,"",INDEX(对接源_01水果!$H$4:$H$1203,$AE142)))</f>
        <v/>
      </c>
      <c r="F142" s="53" t="str">
        <f>IF($AE142="","",IF(INDEX(对接源_01水果!$I$4:$I$1203,$AE142)=0,"",INDEX(对接源_01水果!$I$4:$I$1203,$AE142)))</f>
        <v/>
      </c>
      <c r="G142" s="55" t="str">
        <f>IF($AE142="","",IF(INDEX(对接源_01水果!$Z$4:$Z$1203,$AE142)=0,"",INDEX(对接源_01水果!$Z$4:$Z$1203,$AE142)))</f>
        <v/>
      </c>
      <c r="H142" s="55" t="str">
        <f>IF($AE142="","",IF(INDEX(对接源_01水果!$AA$4:$AA$1203,$AE142)=0,"",INDEX(对接源_01水果!$AA$4:$AA$1203,$AE142)))</f>
        <v/>
      </c>
      <c r="I142" s="55" t="str">
        <f>IF($AE142="","",IF(INDEX(对接源_01水果!$AG$4:$AG$1203,$AE142)=0,"",INDEX(对接源_01水果!$AG$4:$AG$1203,$AE142)))</f>
        <v/>
      </c>
      <c r="J142" s="55" t="str">
        <f>IF($AE142="","",IF(INDEX(对接源_01水果!$AJ$4:$AJ$1203,$AE142)=0,"",INDEX(对接源_01水果!$AJ$4:$AJ$1203,$AE142)))</f>
        <v/>
      </c>
      <c r="K142" s="53" t="str">
        <f>IF($AE142="","",IF(INDEX(对接源_01水果!$AB$4:$AB$1203,$AE142)=0,"",INDEX(对接源_01水果!$AB$4:$AB$1203,$AE142)))</f>
        <v/>
      </c>
      <c r="L142" s="56" t="str">
        <f>IF($AE142="","",IF(INDEX(对接源_01水果!$M$4:$M$1203,$AE142)=0,"",INDEX(对接源_01水果!$M$4:$M$1203,$AE142)))</f>
        <v/>
      </c>
      <c r="AE142" s="2" t="str">
        <f>IFERROR(MATCH(137,_自动清单!$AM$4:$AM$2403,0),"")</f>
        <v/>
      </c>
    </row>
    <row r="143" ht="18" customHeight="1" spans="1:31">
      <c r="A143" s="53" t="str">
        <f>IF($AE143="","",IF(INDEX(对接源_01水果!$B$4:$B$1203,$AE143)=0,"",INDEX(对接源_01水果!$B$4:$B$1203,$AE143)))</f>
        <v/>
      </c>
      <c r="B143" s="53" t="str">
        <f>IF($AE143="","",IF(INDEX(对接源_01水果!$E$4:$E$1203,$AE143)=0,"",INDEX(对接源_01水果!$E$4:$E$1203,$AE143)))</f>
        <v/>
      </c>
      <c r="C143" s="53" t="str">
        <f>IF($AE143="","",IF(INDEX(对接源_01水果!$F$4:$F$1203,$AE143)=0,"",INDEX(对接源_01水果!$F$4:$F$1203,$AE143)))</f>
        <v/>
      </c>
      <c r="D143" s="53" t="str">
        <f>IF($AE143="","",IF(INDEX(对接源_01水果!$G$4:$G$1203,$AE143)=0,"",INDEX(对接源_01水果!$G$4:$G$1203,$AE143)))</f>
        <v/>
      </c>
      <c r="E143" s="53" t="str">
        <f>IF($AE143="","",IF(INDEX(对接源_01水果!$H$4:$H$1203,$AE143)=0,"",INDEX(对接源_01水果!$H$4:$H$1203,$AE143)))</f>
        <v/>
      </c>
      <c r="F143" s="53" t="str">
        <f>IF($AE143="","",IF(INDEX(对接源_01水果!$I$4:$I$1203,$AE143)=0,"",INDEX(对接源_01水果!$I$4:$I$1203,$AE143)))</f>
        <v/>
      </c>
      <c r="G143" s="55" t="str">
        <f>IF($AE143="","",IF(INDEX(对接源_01水果!$Z$4:$Z$1203,$AE143)=0,"",INDEX(对接源_01水果!$Z$4:$Z$1203,$AE143)))</f>
        <v/>
      </c>
      <c r="H143" s="55" t="str">
        <f>IF($AE143="","",IF(INDEX(对接源_01水果!$AA$4:$AA$1203,$AE143)=0,"",INDEX(对接源_01水果!$AA$4:$AA$1203,$AE143)))</f>
        <v/>
      </c>
      <c r="I143" s="55" t="str">
        <f>IF($AE143="","",IF(INDEX(对接源_01水果!$AG$4:$AG$1203,$AE143)=0,"",INDEX(对接源_01水果!$AG$4:$AG$1203,$AE143)))</f>
        <v/>
      </c>
      <c r="J143" s="55" t="str">
        <f>IF($AE143="","",IF(INDEX(对接源_01水果!$AJ$4:$AJ$1203,$AE143)=0,"",INDEX(对接源_01水果!$AJ$4:$AJ$1203,$AE143)))</f>
        <v/>
      </c>
      <c r="K143" s="53" t="str">
        <f>IF($AE143="","",IF(INDEX(对接源_01水果!$AB$4:$AB$1203,$AE143)=0,"",INDEX(对接源_01水果!$AB$4:$AB$1203,$AE143)))</f>
        <v/>
      </c>
      <c r="L143" s="56" t="str">
        <f>IF($AE143="","",IF(INDEX(对接源_01水果!$M$4:$M$1203,$AE143)=0,"",INDEX(对接源_01水果!$M$4:$M$1203,$AE143)))</f>
        <v/>
      </c>
      <c r="AE143" s="2" t="str">
        <f>IFERROR(MATCH(138,_自动清单!$AM$4:$AM$2403,0),"")</f>
        <v/>
      </c>
    </row>
    <row r="144" ht="18" customHeight="1" spans="1:31">
      <c r="A144" s="53" t="str">
        <f>IF($AE144="","",IF(INDEX(对接源_01水果!$B$4:$B$1203,$AE144)=0,"",INDEX(对接源_01水果!$B$4:$B$1203,$AE144)))</f>
        <v/>
      </c>
      <c r="B144" s="53" t="str">
        <f>IF($AE144="","",IF(INDEX(对接源_01水果!$E$4:$E$1203,$AE144)=0,"",INDEX(对接源_01水果!$E$4:$E$1203,$AE144)))</f>
        <v/>
      </c>
      <c r="C144" s="53" t="str">
        <f>IF($AE144="","",IF(INDEX(对接源_01水果!$F$4:$F$1203,$AE144)=0,"",INDEX(对接源_01水果!$F$4:$F$1203,$AE144)))</f>
        <v/>
      </c>
      <c r="D144" s="53" t="str">
        <f>IF($AE144="","",IF(INDEX(对接源_01水果!$G$4:$G$1203,$AE144)=0,"",INDEX(对接源_01水果!$G$4:$G$1203,$AE144)))</f>
        <v/>
      </c>
      <c r="E144" s="53" t="str">
        <f>IF($AE144="","",IF(INDEX(对接源_01水果!$H$4:$H$1203,$AE144)=0,"",INDEX(对接源_01水果!$H$4:$H$1203,$AE144)))</f>
        <v/>
      </c>
      <c r="F144" s="53" t="str">
        <f>IF($AE144="","",IF(INDEX(对接源_01水果!$I$4:$I$1203,$AE144)=0,"",INDEX(对接源_01水果!$I$4:$I$1203,$AE144)))</f>
        <v/>
      </c>
      <c r="G144" s="55" t="str">
        <f>IF($AE144="","",IF(INDEX(对接源_01水果!$Z$4:$Z$1203,$AE144)=0,"",INDEX(对接源_01水果!$Z$4:$Z$1203,$AE144)))</f>
        <v/>
      </c>
      <c r="H144" s="55" t="str">
        <f>IF($AE144="","",IF(INDEX(对接源_01水果!$AA$4:$AA$1203,$AE144)=0,"",INDEX(对接源_01水果!$AA$4:$AA$1203,$AE144)))</f>
        <v/>
      </c>
      <c r="I144" s="55" t="str">
        <f>IF($AE144="","",IF(INDEX(对接源_01水果!$AG$4:$AG$1203,$AE144)=0,"",INDEX(对接源_01水果!$AG$4:$AG$1203,$AE144)))</f>
        <v/>
      </c>
      <c r="J144" s="55" t="str">
        <f>IF($AE144="","",IF(INDEX(对接源_01水果!$AJ$4:$AJ$1203,$AE144)=0,"",INDEX(对接源_01水果!$AJ$4:$AJ$1203,$AE144)))</f>
        <v/>
      </c>
      <c r="K144" s="53" t="str">
        <f>IF($AE144="","",IF(INDEX(对接源_01水果!$AB$4:$AB$1203,$AE144)=0,"",INDEX(对接源_01水果!$AB$4:$AB$1203,$AE144)))</f>
        <v/>
      </c>
      <c r="L144" s="56" t="str">
        <f>IF($AE144="","",IF(INDEX(对接源_01水果!$M$4:$M$1203,$AE144)=0,"",INDEX(对接源_01水果!$M$4:$M$1203,$AE144)))</f>
        <v/>
      </c>
      <c r="AE144" s="2" t="str">
        <f>IFERROR(MATCH(139,_自动清单!$AM$4:$AM$2403,0),"")</f>
        <v/>
      </c>
    </row>
    <row r="145" ht="18" customHeight="1" spans="1:31">
      <c r="A145" s="53" t="str">
        <f>IF($AE145="","",IF(INDEX(对接源_01水果!$B$4:$B$1203,$AE145)=0,"",INDEX(对接源_01水果!$B$4:$B$1203,$AE145)))</f>
        <v/>
      </c>
      <c r="B145" s="53" t="str">
        <f>IF($AE145="","",IF(INDEX(对接源_01水果!$E$4:$E$1203,$AE145)=0,"",INDEX(对接源_01水果!$E$4:$E$1203,$AE145)))</f>
        <v/>
      </c>
      <c r="C145" s="53" t="str">
        <f>IF($AE145="","",IF(INDEX(对接源_01水果!$F$4:$F$1203,$AE145)=0,"",INDEX(对接源_01水果!$F$4:$F$1203,$AE145)))</f>
        <v/>
      </c>
      <c r="D145" s="53" t="str">
        <f>IF($AE145="","",IF(INDEX(对接源_01水果!$G$4:$G$1203,$AE145)=0,"",INDEX(对接源_01水果!$G$4:$G$1203,$AE145)))</f>
        <v/>
      </c>
      <c r="E145" s="53" t="str">
        <f>IF($AE145="","",IF(INDEX(对接源_01水果!$H$4:$H$1203,$AE145)=0,"",INDEX(对接源_01水果!$H$4:$H$1203,$AE145)))</f>
        <v/>
      </c>
      <c r="F145" s="53" t="str">
        <f>IF($AE145="","",IF(INDEX(对接源_01水果!$I$4:$I$1203,$AE145)=0,"",INDEX(对接源_01水果!$I$4:$I$1203,$AE145)))</f>
        <v/>
      </c>
      <c r="G145" s="55" t="str">
        <f>IF($AE145="","",IF(INDEX(对接源_01水果!$Z$4:$Z$1203,$AE145)=0,"",INDEX(对接源_01水果!$Z$4:$Z$1203,$AE145)))</f>
        <v/>
      </c>
      <c r="H145" s="55" t="str">
        <f>IF($AE145="","",IF(INDEX(对接源_01水果!$AA$4:$AA$1203,$AE145)=0,"",INDEX(对接源_01水果!$AA$4:$AA$1203,$AE145)))</f>
        <v/>
      </c>
      <c r="I145" s="55" t="str">
        <f>IF($AE145="","",IF(INDEX(对接源_01水果!$AG$4:$AG$1203,$AE145)=0,"",INDEX(对接源_01水果!$AG$4:$AG$1203,$AE145)))</f>
        <v/>
      </c>
      <c r="J145" s="55" t="str">
        <f>IF($AE145="","",IF(INDEX(对接源_01水果!$AJ$4:$AJ$1203,$AE145)=0,"",INDEX(对接源_01水果!$AJ$4:$AJ$1203,$AE145)))</f>
        <v/>
      </c>
      <c r="K145" s="53" t="str">
        <f>IF($AE145="","",IF(INDEX(对接源_01水果!$AB$4:$AB$1203,$AE145)=0,"",INDEX(对接源_01水果!$AB$4:$AB$1203,$AE145)))</f>
        <v/>
      </c>
      <c r="L145" s="56" t="str">
        <f>IF($AE145="","",IF(INDEX(对接源_01水果!$M$4:$M$1203,$AE145)=0,"",INDEX(对接源_01水果!$M$4:$M$1203,$AE145)))</f>
        <v/>
      </c>
      <c r="AE145" s="2" t="str">
        <f>IFERROR(MATCH(140,_自动清单!$AM$4:$AM$2403,0),"")</f>
        <v/>
      </c>
    </row>
    <row r="146" ht="18" customHeight="1" spans="1:31">
      <c r="A146" s="53" t="str">
        <f>IF($AE146="","",IF(INDEX(对接源_01水果!$B$4:$B$1203,$AE146)=0,"",INDEX(对接源_01水果!$B$4:$B$1203,$AE146)))</f>
        <v/>
      </c>
      <c r="B146" s="53" t="str">
        <f>IF($AE146="","",IF(INDEX(对接源_01水果!$E$4:$E$1203,$AE146)=0,"",INDEX(对接源_01水果!$E$4:$E$1203,$AE146)))</f>
        <v/>
      </c>
      <c r="C146" s="53" t="str">
        <f>IF($AE146="","",IF(INDEX(对接源_01水果!$F$4:$F$1203,$AE146)=0,"",INDEX(对接源_01水果!$F$4:$F$1203,$AE146)))</f>
        <v/>
      </c>
      <c r="D146" s="53" t="str">
        <f>IF($AE146="","",IF(INDEX(对接源_01水果!$G$4:$G$1203,$AE146)=0,"",INDEX(对接源_01水果!$G$4:$G$1203,$AE146)))</f>
        <v/>
      </c>
      <c r="E146" s="53" t="str">
        <f>IF($AE146="","",IF(INDEX(对接源_01水果!$H$4:$H$1203,$AE146)=0,"",INDEX(对接源_01水果!$H$4:$H$1203,$AE146)))</f>
        <v/>
      </c>
      <c r="F146" s="53" t="str">
        <f>IF($AE146="","",IF(INDEX(对接源_01水果!$I$4:$I$1203,$AE146)=0,"",INDEX(对接源_01水果!$I$4:$I$1203,$AE146)))</f>
        <v/>
      </c>
      <c r="G146" s="55" t="str">
        <f>IF($AE146="","",IF(INDEX(对接源_01水果!$Z$4:$Z$1203,$AE146)=0,"",INDEX(对接源_01水果!$Z$4:$Z$1203,$AE146)))</f>
        <v/>
      </c>
      <c r="H146" s="55" t="str">
        <f>IF($AE146="","",IF(INDEX(对接源_01水果!$AA$4:$AA$1203,$AE146)=0,"",INDEX(对接源_01水果!$AA$4:$AA$1203,$AE146)))</f>
        <v/>
      </c>
      <c r="I146" s="55" t="str">
        <f>IF($AE146="","",IF(INDEX(对接源_01水果!$AG$4:$AG$1203,$AE146)=0,"",INDEX(对接源_01水果!$AG$4:$AG$1203,$AE146)))</f>
        <v/>
      </c>
      <c r="J146" s="55" t="str">
        <f>IF($AE146="","",IF(INDEX(对接源_01水果!$AJ$4:$AJ$1203,$AE146)=0,"",INDEX(对接源_01水果!$AJ$4:$AJ$1203,$AE146)))</f>
        <v/>
      </c>
      <c r="K146" s="53" t="str">
        <f>IF($AE146="","",IF(INDEX(对接源_01水果!$AB$4:$AB$1203,$AE146)=0,"",INDEX(对接源_01水果!$AB$4:$AB$1203,$AE146)))</f>
        <v/>
      </c>
      <c r="L146" s="56" t="str">
        <f>IF($AE146="","",IF(INDEX(对接源_01水果!$M$4:$M$1203,$AE146)=0,"",INDEX(对接源_01水果!$M$4:$M$1203,$AE146)))</f>
        <v/>
      </c>
      <c r="AE146" s="2" t="str">
        <f>IFERROR(MATCH(141,_自动清单!$AM$4:$AM$2403,0),"")</f>
        <v/>
      </c>
    </row>
    <row r="147" ht="18" customHeight="1" spans="1:31">
      <c r="A147" s="53" t="str">
        <f>IF($AE147="","",IF(INDEX(对接源_01水果!$B$4:$B$1203,$AE147)=0,"",INDEX(对接源_01水果!$B$4:$B$1203,$AE147)))</f>
        <v/>
      </c>
      <c r="B147" s="53" t="str">
        <f>IF($AE147="","",IF(INDEX(对接源_01水果!$E$4:$E$1203,$AE147)=0,"",INDEX(对接源_01水果!$E$4:$E$1203,$AE147)))</f>
        <v/>
      </c>
      <c r="C147" s="53" t="str">
        <f>IF($AE147="","",IF(INDEX(对接源_01水果!$F$4:$F$1203,$AE147)=0,"",INDEX(对接源_01水果!$F$4:$F$1203,$AE147)))</f>
        <v/>
      </c>
      <c r="D147" s="53" t="str">
        <f>IF($AE147="","",IF(INDEX(对接源_01水果!$G$4:$G$1203,$AE147)=0,"",INDEX(对接源_01水果!$G$4:$G$1203,$AE147)))</f>
        <v/>
      </c>
      <c r="E147" s="53" t="str">
        <f>IF($AE147="","",IF(INDEX(对接源_01水果!$H$4:$H$1203,$AE147)=0,"",INDEX(对接源_01水果!$H$4:$H$1203,$AE147)))</f>
        <v/>
      </c>
      <c r="F147" s="53" t="str">
        <f>IF($AE147="","",IF(INDEX(对接源_01水果!$I$4:$I$1203,$AE147)=0,"",INDEX(对接源_01水果!$I$4:$I$1203,$AE147)))</f>
        <v/>
      </c>
      <c r="G147" s="55" t="str">
        <f>IF($AE147="","",IF(INDEX(对接源_01水果!$Z$4:$Z$1203,$AE147)=0,"",INDEX(对接源_01水果!$Z$4:$Z$1203,$AE147)))</f>
        <v/>
      </c>
      <c r="H147" s="55" t="str">
        <f>IF($AE147="","",IF(INDEX(对接源_01水果!$AA$4:$AA$1203,$AE147)=0,"",INDEX(对接源_01水果!$AA$4:$AA$1203,$AE147)))</f>
        <v/>
      </c>
      <c r="I147" s="55" t="str">
        <f>IF($AE147="","",IF(INDEX(对接源_01水果!$AG$4:$AG$1203,$AE147)=0,"",INDEX(对接源_01水果!$AG$4:$AG$1203,$AE147)))</f>
        <v/>
      </c>
      <c r="J147" s="55" t="str">
        <f>IF($AE147="","",IF(INDEX(对接源_01水果!$AJ$4:$AJ$1203,$AE147)=0,"",INDEX(对接源_01水果!$AJ$4:$AJ$1203,$AE147)))</f>
        <v/>
      </c>
      <c r="K147" s="53" t="str">
        <f>IF($AE147="","",IF(INDEX(对接源_01水果!$AB$4:$AB$1203,$AE147)=0,"",INDEX(对接源_01水果!$AB$4:$AB$1203,$AE147)))</f>
        <v/>
      </c>
      <c r="L147" s="56" t="str">
        <f>IF($AE147="","",IF(INDEX(对接源_01水果!$M$4:$M$1203,$AE147)=0,"",INDEX(对接源_01水果!$M$4:$M$1203,$AE147)))</f>
        <v/>
      </c>
      <c r="AE147" s="2" t="str">
        <f>IFERROR(MATCH(142,_自动清单!$AM$4:$AM$2403,0),"")</f>
        <v/>
      </c>
    </row>
    <row r="148" ht="18" customHeight="1" spans="1:31">
      <c r="A148" s="53" t="str">
        <f>IF($AE148="","",IF(INDEX(对接源_01水果!$B$4:$B$1203,$AE148)=0,"",INDEX(对接源_01水果!$B$4:$B$1203,$AE148)))</f>
        <v/>
      </c>
      <c r="B148" s="53" t="str">
        <f>IF($AE148="","",IF(INDEX(对接源_01水果!$E$4:$E$1203,$AE148)=0,"",INDEX(对接源_01水果!$E$4:$E$1203,$AE148)))</f>
        <v/>
      </c>
      <c r="C148" s="53" t="str">
        <f>IF($AE148="","",IF(INDEX(对接源_01水果!$F$4:$F$1203,$AE148)=0,"",INDEX(对接源_01水果!$F$4:$F$1203,$AE148)))</f>
        <v/>
      </c>
      <c r="D148" s="53" t="str">
        <f>IF($AE148="","",IF(INDEX(对接源_01水果!$G$4:$G$1203,$AE148)=0,"",INDEX(对接源_01水果!$G$4:$G$1203,$AE148)))</f>
        <v/>
      </c>
      <c r="E148" s="53" t="str">
        <f>IF($AE148="","",IF(INDEX(对接源_01水果!$H$4:$H$1203,$AE148)=0,"",INDEX(对接源_01水果!$H$4:$H$1203,$AE148)))</f>
        <v/>
      </c>
      <c r="F148" s="53" t="str">
        <f>IF($AE148="","",IF(INDEX(对接源_01水果!$I$4:$I$1203,$AE148)=0,"",INDEX(对接源_01水果!$I$4:$I$1203,$AE148)))</f>
        <v/>
      </c>
      <c r="G148" s="55" t="str">
        <f>IF($AE148="","",IF(INDEX(对接源_01水果!$Z$4:$Z$1203,$AE148)=0,"",INDEX(对接源_01水果!$Z$4:$Z$1203,$AE148)))</f>
        <v/>
      </c>
      <c r="H148" s="55" t="str">
        <f>IF($AE148="","",IF(INDEX(对接源_01水果!$AA$4:$AA$1203,$AE148)=0,"",INDEX(对接源_01水果!$AA$4:$AA$1203,$AE148)))</f>
        <v/>
      </c>
      <c r="I148" s="55" t="str">
        <f>IF($AE148="","",IF(INDEX(对接源_01水果!$AG$4:$AG$1203,$AE148)=0,"",INDEX(对接源_01水果!$AG$4:$AG$1203,$AE148)))</f>
        <v/>
      </c>
      <c r="J148" s="55" t="str">
        <f>IF($AE148="","",IF(INDEX(对接源_01水果!$AJ$4:$AJ$1203,$AE148)=0,"",INDEX(对接源_01水果!$AJ$4:$AJ$1203,$AE148)))</f>
        <v/>
      </c>
      <c r="K148" s="53" t="str">
        <f>IF($AE148="","",IF(INDEX(对接源_01水果!$AB$4:$AB$1203,$AE148)=0,"",INDEX(对接源_01水果!$AB$4:$AB$1203,$AE148)))</f>
        <v/>
      </c>
      <c r="L148" s="56" t="str">
        <f>IF($AE148="","",IF(INDEX(对接源_01水果!$M$4:$M$1203,$AE148)=0,"",INDEX(对接源_01水果!$M$4:$M$1203,$AE148)))</f>
        <v/>
      </c>
      <c r="AE148" s="2" t="str">
        <f>IFERROR(MATCH(143,_自动清单!$AM$4:$AM$2403,0),"")</f>
        <v/>
      </c>
    </row>
    <row r="149" ht="18" customHeight="1" spans="1:31">
      <c r="A149" s="53" t="str">
        <f>IF($AE149="","",IF(INDEX(对接源_01水果!$B$4:$B$1203,$AE149)=0,"",INDEX(对接源_01水果!$B$4:$B$1203,$AE149)))</f>
        <v/>
      </c>
      <c r="B149" s="53" t="str">
        <f>IF($AE149="","",IF(INDEX(对接源_01水果!$E$4:$E$1203,$AE149)=0,"",INDEX(对接源_01水果!$E$4:$E$1203,$AE149)))</f>
        <v/>
      </c>
      <c r="C149" s="53" t="str">
        <f>IF($AE149="","",IF(INDEX(对接源_01水果!$F$4:$F$1203,$AE149)=0,"",INDEX(对接源_01水果!$F$4:$F$1203,$AE149)))</f>
        <v/>
      </c>
      <c r="D149" s="53" t="str">
        <f>IF($AE149="","",IF(INDEX(对接源_01水果!$G$4:$G$1203,$AE149)=0,"",INDEX(对接源_01水果!$G$4:$G$1203,$AE149)))</f>
        <v/>
      </c>
      <c r="E149" s="53" t="str">
        <f>IF($AE149="","",IF(INDEX(对接源_01水果!$H$4:$H$1203,$AE149)=0,"",INDEX(对接源_01水果!$H$4:$H$1203,$AE149)))</f>
        <v/>
      </c>
      <c r="F149" s="53" t="str">
        <f>IF($AE149="","",IF(INDEX(对接源_01水果!$I$4:$I$1203,$AE149)=0,"",INDEX(对接源_01水果!$I$4:$I$1203,$AE149)))</f>
        <v/>
      </c>
      <c r="G149" s="55" t="str">
        <f>IF($AE149="","",IF(INDEX(对接源_01水果!$Z$4:$Z$1203,$AE149)=0,"",INDEX(对接源_01水果!$Z$4:$Z$1203,$AE149)))</f>
        <v/>
      </c>
      <c r="H149" s="55" t="str">
        <f>IF($AE149="","",IF(INDEX(对接源_01水果!$AA$4:$AA$1203,$AE149)=0,"",INDEX(对接源_01水果!$AA$4:$AA$1203,$AE149)))</f>
        <v/>
      </c>
      <c r="I149" s="55" t="str">
        <f>IF($AE149="","",IF(INDEX(对接源_01水果!$AG$4:$AG$1203,$AE149)=0,"",INDEX(对接源_01水果!$AG$4:$AG$1203,$AE149)))</f>
        <v/>
      </c>
      <c r="J149" s="55" t="str">
        <f>IF($AE149="","",IF(INDEX(对接源_01水果!$AJ$4:$AJ$1203,$AE149)=0,"",INDEX(对接源_01水果!$AJ$4:$AJ$1203,$AE149)))</f>
        <v/>
      </c>
      <c r="K149" s="53" t="str">
        <f>IF($AE149="","",IF(INDEX(对接源_01水果!$AB$4:$AB$1203,$AE149)=0,"",INDEX(对接源_01水果!$AB$4:$AB$1203,$AE149)))</f>
        <v/>
      </c>
      <c r="L149" s="56" t="str">
        <f>IF($AE149="","",IF(INDEX(对接源_01水果!$M$4:$M$1203,$AE149)=0,"",INDEX(对接源_01水果!$M$4:$M$1203,$AE149)))</f>
        <v/>
      </c>
      <c r="AE149" s="2" t="str">
        <f>IFERROR(MATCH(144,_自动清单!$AM$4:$AM$2403,0),"")</f>
        <v/>
      </c>
    </row>
    <row r="150" ht="18" customHeight="1" spans="1:31">
      <c r="A150" s="53" t="str">
        <f>IF($AE150="","",IF(INDEX(对接源_01水果!$B$4:$B$1203,$AE150)=0,"",INDEX(对接源_01水果!$B$4:$B$1203,$AE150)))</f>
        <v/>
      </c>
      <c r="B150" s="53" t="str">
        <f>IF($AE150="","",IF(INDEX(对接源_01水果!$E$4:$E$1203,$AE150)=0,"",INDEX(对接源_01水果!$E$4:$E$1203,$AE150)))</f>
        <v/>
      </c>
      <c r="C150" s="53" t="str">
        <f>IF($AE150="","",IF(INDEX(对接源_01水果!$F$4:$F$1203,$AE150)=0,"",INDEX(对接源_01水果!$F$4:$F$1203,$AE150)))</f>
        <v/>
      </c>
      <c r="D150" s="53" t="str">
        <f>IF($AE150="","",IF(INDEX(对接源_01水果!$G$4:$G$1203,$AE150)=0,"",INDEX(对接源_01水果!$G$4:$G$1203,$AE150)))</f>
        <v/>
      </c>
      <c r="E150" s="53" t="str">
        <f>IF($AE150="","",IF(INDEX(对接源_01水果!$H$4:$H$1203,$AE150)=0,"",INDEX(对接源_01水果!$H$4:$H$1203,$AE150)))</f>
        <v/>
      </c>
      <c r="F150" s="53" t="str">
        <f>IF($AE150="","",IF(INDEX(对接源_01水果!$I$4:$I$1203,$AE150)=0,"",INDEX(对接源_01水果!$I$4:$I$1203,$AE150)))</f>
        <v/>
      </c>
      <c r="G150" s="55" t="str">
        <f>IF($AE150="","",IF(INDEX(对接源_01水果!$Z$4:$Z$1203,$AE150)=0,"",INDEX(对接源_01水果!$Z$4:$Z$1203,$AE150)))</f>
        <v/>
      </c>
      <c r="H150" s="55" t="str">
        <f>IF($AE150="","",IF(INDEX(对接源_01水果!$AA$4:$AA$1203,$AE150)=0,"",INDEX(对接源_01水果!$AA$4:$AA$1203,$AE150)))</f>
        <v/>
      </c>
      <c r="I150" s="55" t="str">
        <f>IF($AE150="","",IF(INDEX(对接源_01水果!$AG$4:$AG$1203,$AE150)=0,"",INDEX(对接源_01水果!$AG$4:$AG$1203,$AE150)))</f>
        <v/>
      </c>
      <c r="J150" s="55" t="str">
        <f>IF($AE150="","",IF(INDEX(对接源_01水果!$AJ$4:$AJ$1203,$AE150)=0,"",INDEX(对接源_01水果!$AJ$4:$AJ$1203,$AE150)))</f>
        <v/>
      </c>
      <c r="K150" s="53" t="str">
        <f>IF($AE150="","",IF(INDEX(对接源_01水果!$AB$4:$AB$1203,$AE150)=0,"",INDEX(对接源_01水果!$AB$4:$AB$1203,$AE150)))</f>
        <v/>
      </c>
      <c r="L150" s="56" t="str">
        <f>IF($AE150="","",IF(INDEX(对接源_01水果!$M$4:$M$1203,$AE150)=0,"",INDEX(对接源_01水果!$M$4:$M$1203,$AE150)))</f>
        <v/>
      </c>
      <c r="AE150" s="2" t="str">
        <f>IFERROR(MATCH(145,_自动清单!$AM$4:$AM$2403,0),"")</f>
        <v/>
      </c>
    </row>
    <row r="151" ht="18" customHeight="1" spans="1:31">
      <c r="A151" s="53" t="str">
        <f>IF($AE151="","",IF(INDEX(对接源_01水果!$B$4:$B$1203,$AE151)=0,"",INDEX(对接源_01水果!$B$4:$B$1203,$AE151)))</f>
        <v/>
      </c>
      <c r="B151" s="53" t="str">
        <f>IF($AE151="","",IF(INDEX(对接源_01水果!$E$4:$E$1203,$AE151)=0,"",INDEX(对接源_01水果!$E$4:$E$1203,$AE151)))</f>
        <v/>
      </c>
      <c r="C151" s="53" t="str">
        <f>IF($AE151="","",IF(INDEX(对接源_01水果!$F$4:$F$1203,$AE151)=0,"",INDEX(对接源_01水果!$F$4:$F$1203,$AE151)))</f>
        <v/>
      </c>
      <c r="D151" s="53" t="str">
        <f>IF($AE151="","",IF(INDEX(对接源_01水果!$G$4:$G$1203,$AE151)=0,"",INDEX(对接源_01水果!$G$4:$G$1203,$AE151)))</f>
        <v/>
      </c>
      <c r="E151" s="53" t="str">
        <f>IF($AE151="","",IF(INDEX(对接源_01水果!$H$4:$H$1203,$AE151)=0,"",INDEX(对接源_01水果!$H$4:$H$1203,$AE151)))</f>
        <v/>
      </c>
      <c r="F151" s="53" t="str">
        <f>IF($AE151="","",IF(INDEX(对接源_01水果!$I$4:$I$1203,$AE151)=0,"",INDEX(对接源_01水果!$I$4:$I$1203,$AE151)))</f>
        <v/>
      </c>
      <c r="G151" s="55" t="str">
        <f>IF($AE151="","",IF(INDEX(对接源_01水果!$Z$4:$Z$1203,$AE151)=0,"",INDEX(对接源_01水果!$Z$4:$Z$1203,$AE151)))</f>
        <v/>
      </c>
      <c r="H151" s="55" t="str">
        <f>IF($AE151="","",IF(INDEX(对接源_01水果!$AA$4:$AA$1203,$AE151)=0,"",INDEX(对接源_01水果!$AA$4:$AA$1203,$AE151)))</f>
        <v/>
      </c>
      <c r="I151" s="55" t="str">
        <f>IF($AE151="","",IF(INDEX(对接源_01水果!$AG$4:$AG$1203,$AE151)=0,"",INDEX(对接源_01水果!$AG$4:$AG$1203,$AE151)))</f>
        <v/>
      </c>
      <c r="J151" s="55" t="str">
        <f>IF($AE151="","",IF(INDEX(对接源_01水果!$AJ$4:$AJ$1203,$AE151)=0,"",INDEX(对接源_01水果!$AJ$4:$AJ$1203,$AE151)))</f>
        <v/>
      </c>
      <c r="K151" s="53" t="str">
        <f>IF($AE151="","",IF(INDEX(对接源_01水果!$AB$4:$AB$1203,$AE151)=0,"",INDEX(对接源_01水果!$AB$4:$AB$1203,$AE151)))</f>
        <v/>
      </c>
      <c r="L151" s="56" t="str">
        <f>IF($AE151="","",IF(INDEX(对接源_01水果!$M$4:$M$1203,$AE151)=0,"",INDEX(对接源_01水果!$M$4:$M$1203,$AE151)))</f>
        <v/>
      </c>
      <c r="AE151" s="2" t="str">
        <f>IFERROR(MATCH(146,_自动清单!$AM$4:$AM$2403,0),"")</f>
        <v/>
      </c>
    </row>
    <row r="152" ht="18" customHeight="1" spans="1:31">
      <c r="A152" s="53" t="str">
        <f>IF($AE152="","",IF(INDEX(对接源_01水果!$B$4:$B$1203,$AE152)=0,"",INDEX(对接源_01水果!$B$4:$B$1203,$AE152)))</f>
        <v/>
      </c>
      <c r="B152" s="53" t="str">
        <f>IF($AE152="","",IF(INDEX(对接源_01水果!$E$4:$E$1203,$AE152)=0,"",INDEX(对接源_01水果!$E$4:$E$1203,$AE152)))</f>
        <v/>
      </c>
      <c r="C152" s="53" t="str">
        <f>IF($AE152="","",IF(INDEX(对接源_01水果!$F$4:$F$1203,$AE152)=0,"",INDEX(对接源_01水果!$F$4:$F$1203,$AE152)))</f>
        <v/>
      </c>
      <c r="D152" s="53" t="str">
        <f>IF($AE152="","",IF(INDEX(对接源_01水果!$G$4:$G$1203,$AE152)=0,"",INDEX(对接源_01水果!$G$4:$G$1203,$AE152)))</f>
        <v/>
      </c>
      <c r="E152" s="53" t="str">
        <f>IF($AE152="","",IF(INDEX(对接源_01水果!$H$4:$H$1203,$AE152)=0,"",INDEX(对接源_01水果!$H$4:$H$1203,$AE152)))</f>
        <v/>
      </c>
      <c r="F152" s="53" t="str">
        <f>IF($AE152="","",IF(INDEX(对接源_01水果!$I$4:$I$1203,$AE152)=0,"",INDEX(对接源_01水果!$I$4:$I$1203,$AE152)))</f>
        <v/>
      </c>
      <c r="G152" s="55" t="str">
        <f>IF($AE152="","",IF(INDEX(对接源_01水果!$Z$4:$Z$1203,$AE152)=0,"",INDEX(对接源_01水果!$Z$4:$Z$1203,$AE152)))</f>
        <v/>
      </c>
      <c r="H152" s="55" t="str">
        <f>IF($AE152="","",IF(INDEX(对接源_01水果!$AA$4:$AA$1203,$AE152)=0,"",INDEX(对接源_01水果!$AA$4:$AA$1203,$AE152)))</f>
        <v/>
      </c>
      <c r="I152" s="55" t="str">
        <f>IF($AE152="","",IF(INDEX(对接源_01水果!$AG$4:$AG$1203,$AE152)=0,"",INDEX(对接源_01水果!$AG$4:$AG$1203,$AE152)))</f>
        <v/>
      </c>
      <c r="J152" s="55" t="str">
        <f>IF($AE152="","",IF(INDEX(对接源_01水果!$AJ$4:$AJ$1203,$AE152)=0,"",INDEX(对接源_01水果!$AJ$4:$AJ$1203,$AE152)))</f>
        <v/>
      </c>
      <c r="K152" s="53" t="str">
        <f>IF($AE152="","",IF(INDEX(对接源_01水果!$AB$4:$AB$1203,$AE152)=0,"",INDEX(对接源_01水果!$AB$4:$AB$1203,$AE152)))</f>
        <v/>
      </c>
      <c r="L152" s="56" t="str">
        <f>IF($AE152="","",IF(INDEX(对接源_01水果!$M$4:$M$1203,$AE152)=0,"",INDEX(对接源_01水果!$M$4:$M$1203,$AE152)))</f>
        <v/>
      </c>
      <c r="AE152" s="2" t="str">
        <f>IFERROR(MATCH(147,_自动清单!$AM$4:$AM$2403,0),"")</f>
        <v/>
      </c>
    </row>
    <row r="153" ht="18" customHeight="1" spans="1:31">
      <c r="A153" s="53" t="str">
        <f>IF($AE153="","",IF(INDEX(对接源_01水果!$B$4:$B$1203,$AE153)=0,"",INDEX(对接源_01水果!$B$4:$B$1203,$AE153)))</f>
        <v/>
      </c>
      <c r="B153" s="53" t="str">
        <f>IF($AE153="","",IF(INDEX(对接源_01水果!$E$4:$E$1203,$AE153)=0,"",INDEX(对接源_01水果!$E$4:$E$1203,$AE153)))</f>
        <v/>
      </c>
      <c r="C153" s="53" t="str">
        <f>IF($AE153="","",IF(INDEX(对接源_01水果!$F$4:$F$1203,$AE153)=0,"",INDEX(对接源_01水果!$F$4:$F$1203,$AE153)))</f>
        <v/>
      </c>
      <c r="D153" s="53" t="str">
        <f>IF($AE153="","",IF(INDEX(对接源_01水果!$G$4:$G$1203,$AE153)=0,"",INDEX(对接源_01水果!$G$4:$G$1203,$AE153)))</f>
        <v/>
      </c>
      <c r="E153" s="53" t="str">
        <f>IF($AE153="","",IF(INDEX(对接源_01水果!$H$4:$H$1203,$AE153)=0,"",INDEX(对接源_01水果!$H$4:$H$1203,$AE153)))</f>
        <v/>
      </c>
      <c r="F153" s="53" t="str">
        <f>IF($AE153="","",IF(INDEX(对接源_01水果!$I$4:$I$1203,$AE153)=0,"",INDEX(对接源_01水果!$I$4:$I$1203,$AE153)))</f>
        <v/>
      </c>
      <c r="G153" s="55" t="str">
        <f>IF($AE153="","",IF(INDEX(对接源_01水果!$Z$4:$Z$1203,$AE153)=0,"",INDEX(对接源_01水果!$Z$4:$Z$1203,$AE153)))</f>
        <v/>
      </c>
      <c r="H153" s="55" t="str">
        <f>IF($AE153="","",IF(INDEX(对接源_01水果!$AA$4:$AA$1203,$AE153)=0,"",INDEX(对接源_01水果!$AA$4:$AA$1203,$AE153)))</f>
        <v/>
      </c>
      <c r="I153" s="55" t="str">
        <f>IF($AE153="","",IF(INDEX(对接源_01水果!$AG$4:$AG$1203,$AE153)=0,"",INDEX(对接源_01水果!$AG$4:$AG$1203,$AE153)))</f>
        <v/>
      </c>
      <c r="J153" s="55" t="str">
        <f>IF($AE153="","",IF(INDEX(对接源_01水果!$AJ$4:$AJ$1203,$AE153)=0,"",INDEX(对接源_01水果!$AJ$4:$AJ$1203,$AE153)))</f>
        <v/>
      </c>
      <c r="K153" s="53" t="str">
        <f>IF($AE153="","",IF(INDEX(对接源_01水果!$AB$4:$AB$1203,$AE153)=0,"",INDEX(对接源_01水果!$AB$4:$AB$1203,$AE153)))</f>
        <v/>
      </c>
      <c r="L153" s="56" t="str">
        <f>IF($AE153="","",IF(INDEX(对接源_01水果!$M$4:$M$1203,$AE153)=0,"",INDEX(对接源_01水果!$M$4:$M$1203,$AE153)))</f>
        <v/>
      </c>
      <c r="AE153" s="2" t="str">
        <f>IFERROR(MATCH(148,_自动清单!$AM$4:$AM$2403,0),"")</f>
        <v/>
      </c>
    </row>
    <row r="154" ht="18" customHeight="1" spans="1:31">
      <c r="A154" s="53" t="str">
        <f>IF($AE154="","",IF(INDEX(对接源_01水果!$B$4:$B$1203,$AE154)=0,"",INDEX(对接源_01水果!$B$4:$B$1203,$AE154)))</f>
        <v/>
      </c>
      <c r="B154" s="53" t="str">
        <f>IF($AE154="","",IF(INDEX(对接源_01水果!$E$4:$E$1203,$AE154)=0,"",INDEX(对接源_01水果!$E$4:$E$1203,$AE154)))</f>
        <v/>
      </c>
      <c r="C154" s="53" t="str">
        <f>IF($AE154="","",IF(INDEX(对接源_01水果!$F$4:$F$1203,$AE154)=0,"",INDEX(对接源_01水果!$F$4:$F$1203,$AE154)))</f>
        <v/>
      </c>
      <c r="D154" s="53" t="str">
        <f>IF($AE154="","",IF(INDEX(对接源_01水果!$G$4:$G$1203,$AE154)=0,"",INDEX(对接源_01水果!$G$4:$G$1203,$AE154)))</f>
        <v/>
      </c>
      <c r="E154" s="53" t="str">
        <f>IF($AE154="","",IF(INDEX(对接源_01水果!$H$4:$H$1203,$AE154)=0,"",INDEX(对接源_01水果!$H$4:$H$1203,$AE154)))</f>
        <v/>
      </c>
      <c r="F154" s="53" t="str">
        <f>IF($AE154="","",IF(INDEX(对接源_01水果!$I$4:$I$1203,$AE154)=0,"",INDEX(对接源_01水果!$I$4:$I$1203,$AE154)))</f>
        <v/>
      </c>
      <c r="G154" s="55" t="str">
        <f>IF($AE154="","",IF(INDEX(对接源_01水果!$Z$4:$Z$1203,$AE154)=0,"",INDEX(对接源_01水果!$Z$4:$Z$1203,$AE154)))</f>
        <v/>
      </c>
      <c r="H154" s="55" t="str">
        <f>IF($AE154="","",IF(INDEX(对接源_01水果!$AA$4:$AA$1203,$AE154)=0,"",INDEX(对接源_01水果!$AA$4:$AA$1203,$AE154)))</f>
        <v/>
      </c>
      <c r="I154" s="55" t="str">
        <f>IF($AE154="","",IF(INDEX(对接源_01水果!$AG$4:$AG$1203,$AE154)=0,"",INDEX(对接源_01水果!$AG$4:$AG$1203,$AE154)))</f>
        <v/>
      </c>
      <c r="J154" s="55" t="str">
        <f>IF($AE154="","",IF(INDEX(对接源_01水果!$AJ$4:$AJ$1203,$AE154)=0,"",INDEX(对接源_01水果!$AJ$4:$AJ$1203,$AE154)))</f>
        <v/>
      </c>
      <c r="K154" s="53" t="str">
        <f>IF($AE154="","",IF(INDEX(对接源_01水果!$AB$4:$AB$1203,$AE154)=0,"",INDEX(对接源_01水果!$AB$4:$AB$1203,$AE154)))</f>
        <v/>
      </c>
      <c r="L154" s="56" t="str">
        <f>IF($AE154="","",IF(INDEX(对接源_01水果!$M$4:$M$1203,$AE154)=0,"",INDEX(对接源_01水果!$M$4:$M$1203,$AE154)))</f>
        <v/>
      </c>
      <c r="AE154" s="2" t="str">
        <f>IFERROR(MATCH(149,_自动清单!$AM$4:$AM$2403,0),"")</f>
        <v/>
      </c>
    </row>
    <row r="155" ht="18" customHeight="1" spans="1:31">
      <c r="A155" s="53" t="str">
        <f>IF($AE155="","",IF(INDEX(对接源_01水果!$B$4:$B$1203,$AE155)=0,"",INDEX(对接源_01水果!$B$4:$B$1203,$AE155)))</f>
        <v/>
      </c>
      <c r="B155" s="53" t="str">
        <f>IF($AE155="","",IF(INDEX(对接源_01水果!$E$4:$E$1203,$AE155)=0,"",INDEX(对接源_01水果!$E$4:$E$1203,$AE155)))</f>
        <v/>
      </c>
      <c r="C155" s="53" t="str">
        <f>IF($AE155="","",IF(INDEX(对接源_01水果!$F$4:$F$1203,$AE155)=0,"",INDEX(对接源_01水果!$F$4:$F$1203,$AE155)))</f>
        <v/>
      </c>
      <c r="D155" s="53" t="str">
        <f>IF($AE155="","",IF(INDEX(对接源_01水果!$G$4:$G$1203,$AE155)=0,"",INDEX(对接源_01水果!$G$4:$G$1203,$AE155)))</f>
        <v/>
      </c>
      <c r="E155" s="53" t="str">
        <f>IF($AE155="","",IF(INDEX(对接源_01水果!$H$4:$H$1203,$AE155)=0,"",INDEX(对接源_01水果!$H$4:$H$1203,$AE155)))</f>
        <v/>
      </c>
      <c r="F155" s="53" t="str">
        <f>IF($AE155="","",IF(INDEX(对接源_01水果!$I$4:$I$1203,$AE155)=0,"",INDEX(对接源_01水果!$I$4:$I$1203,$AE155)))</f>
        <v/>
      </c>
      <c r="G155" s="55" t="str">
        <f>IF($AE155="","",IF(INDEX(对接源_01水果!$Z$4:$Z$1203,$AE155)=0,"",INDEX(对接源_01水果!$Z$4:$Z$1203,$AE155)))</f>
        <v/>
      </c>
      <c r="H155" s="55" t="str">
        <f>IF($AE155="","",IF(INDEX(对接源_01水果!$AA$4:$AA$1203,$AE155)=0,"",INDEX(对接源_01水果!$AA$4:$AA$1203,$AE155)))</f>
        <v/>
      </c>
      <c r="I155" s="55" t="str">
        <f>IF($AE155="","",IF(INDEX(对接源_01水果!$AG$4:$AG$1203,$AE155)=0,"",INDEX(对接源_01水果!$AG$4:$AG$1203,$AE155)))</f>
        <v/>
      </c>
      <c r="J155" s="55" t="str">
        <f>IF($AE155="","",IF(INDEX(对接源_01水果!$AJ$4:$AJ$1203,$AE155)=0,"",INDEX(对接源_01水果!$AJ$4:$AJ$1203,$AE155)))</f>
        <v/>
      </c>
      <c r="K155" s="53" t="str">
        <f>IF($AE155="","",IF(INDEX(对接源_01水果!$AB$4:$AB$1203,$AE155)=0,"",INDEX(对接源_01水果!$AB$4:$AB$1203,$AE155)))</f>
        <v/>
      </c>
      <c r="L155" s="56" t="str">
        <f>IF($AE155="","",IF(INDEX(对接源_01水果!$M$4:$M$1203,$AE155)=0,"",INDEX(对接源_01水果!$M$4:$M$1203,$AE155)))</f>
        <v/>
      </c>
      <c r="AE155" s="2" t="str">
        <f>IFERROR(MATCH(150,_自动清单!$AM$4:$AM$2403,0),"")</f>
        <v/>
      </c>
    </row>
  </sheetData>
  <mergeCells count="13">
    <mergeCell ref="A1:H1"/>
    <mergeCell ref="I1:J1"/>
    <mergeCell ref="B2:C2"/>
    <mergeCell ref="N2:P2"/>
    <mergeCell ref="A3:L3"/>
    <mergeCell ref="N3:O3"/>
    <mergeCell ref="A4:G4"/>
    <mergeCell ref="H4:J4"/>
    <mergeCell ref="N4:O4"/>
    <mergeCell ref="N5:O5"/>
    <mergeCell ref="N6:O6"/>
    <mergeCell ref="N7:O7"/>
    <mergeCell ref="N8:O8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M6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M18" sqref="M18"/>
    </sheetView>
  </sheetViews>
  <sheetFormatPr defaultColWidth="9" defaultRowHeight="13.5"/>
  <cols>
    <col min="1" max="1" width="5" style="3" customWidth="1"/>
    <col min="2" max="2" width="15" style="3" customWidth="1"/>
    <col min="3" max="4" width="11" style="3" customWidth="1"/>
    <col min="5" max="5" width="13" style="3" customWidth="1"/>
    <col min="6" max="8" width="11" style="3" customWidth="1"/>
    <col min="9" max="9" width="13" style="3" customWidth="1"/>
    <col min="10" max="10" width="14" style="3" customWidth="1"/>
    <col min="11" max="11" width="16" style="3" customWidth="1"/>
    <col min="12" max="12" width="14" style="3" customWidth="1"/>
    <col min="13" max="13" width="12" style="3" customWidth="1"/>
  </cols>
  <sheetData>
    <row r="1" ht="30" customHeight="1" spans="1:13">
      <c r="A1" s="9" t="s">
        <v>174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8" customHeight="1" spans="1:13">
      <c r="A2" s="29" t="str">
        <f>IF(N(对接源_02物料!$R$4)=1,"★ 全自动：整表取自《02 物料与周转物台账》的【筐子库存汇总】。公司在库结存＝期初＋采购＋客户退回−发出−销售−报损；公司筐总量＝在库＋客户手上未回的","★★ 取不到《02 物料与周转物台账模板.xlsx》的数据，请到【对接源_02物料】按提示修复链接")</f>
        <v>★ 全自动：整表取自《02 物料与周转物台账》的【筐子库存汇总】。公司在库结存＝期初＋采购＋客户退回−发出−销售−报损；公司筐总量＝在库＋客户手上未回的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ht="30" customHeight="1" spans="1:13">
      <c r="A3" s="13" t="s">
        <v>3</v>
      </c>
      <c r="B3" s="13" t="s">
        <v>175</v>
      </c>
      <c r="C3" s="13" t="s">
        <v>176</v>
      </c>
      <c r="D3" s="13" t="s">
        <v>177</v>
      </c>
      <c r="E3" s="13" t="s">
        <v>178</v>
      </c>
      <c r="F3" s="13" t="s">
        <v>179</v>
      </c>
      <c r="G3" s="13" t="s">
        <v>180</v>
      </c>
      <c r="H3" s="13" t="s">
        <v>181</v>
      </c>
      <c r="I3" s="13" t="s">
        <v>182</v>
      </c>
      <c r="J3" s="13" t="s">
        <v>183</v>
      </c>
      <c r="K3" s="13" t="s">
        <v>184</v>
      </c>
      <c r="L3" s="13" t="s">
        <v>185</v>
      </c>
      <c r="M3" s="13" t="s">
        <v>186</v>
      </c>
    </row>
    <row r="4" customHeight="1" spans="1:13">
      <c r="A4" s="16">
        <f>IFERROR(IF([2]筐子库存汇总!$A$4=0,"",[2]筐子库存汇总!$A$4),"")</f>
        <v>1</v>
      </c>
      <c r="B4" s="30" t="str">
        <f>IFERROR(IF([2]筐子库存汇总!$B$4=0,"",[2]筐子库存汇总!$B$4),"")</f>
        <v>公司一次性筐</v>
      </c>
      <c r="C4" s="17">
        <f>IFERROR(IF([2]筐子库存汇总!$C$4=0,"",[2]筐子库存汇总!$C$4),"")</f>
        <v>69840</v>
      </c>
      <c r="D4" s="17" t="str">
        <f>IFERROR(IF([2]筐子库存汇总!$D$4=0,"",[2]筐子库存汇总!$D$4),"")</f>
        <v/>
      </c>
      <c r="E4" s="31">
        <f>IFERROR(IF([2]筐子库存汇总!$E$4=0,"",[2]筐子库存汇总!$E$4),"")</f>
        <v>1</v>
      </c>
      <c r="F4" s="17">
        <f>IFERROR(IF([2]筐子库存汇总!$F$4=0,"",[2]筐子库存汇总!$F$4),"")</f>
        <v>6060</v>
      </c>
      <c r="G4" s="17" t="str">
        <f>IFERROR(IF([2]筐子库存汇总!$G$4=0,"",[2]筐子库存汇总!$G$4),"")</f>
        <v/>
      </c>
      <c r="H4" s="17" t="str">
        <f>IFERROR(IF([2]筐子库存汇总!$H$4=0,"",[2]筐子库存汇总!$H$4),"")</f>
        <v/>
      </c>
      <c r="I4" s="17">
        <f>IFERROR(IF([2]筐子库存汇总!$I$4=0,"",[2]筐子库存汇总!$I$4),"")</f>
        <v>63781</v>
      </c>
      <c r="J4" s="17">
        <f>IFERROR(IF([2]筐子库存汇总!$J$4=0,"",[2]筐子库存汇总!$J$4),"")</f>
        <v>6059</v>
      </c>
      <c r="K4" s="17">
        <f>IFERROR(IF([2]筐子库存汇总!$K$4=0,"",[2]筐子库存汇总!$K$4),"")</f>
        <v>-2128</v>
      </c>
      <c r="L4" s="17">
        <f>IFERROR(IF([2]筐子库存汇总!$L$4=0,"",[2]筐子库存汇总!$L$4),"")</f>
        <v>67712</v>
      </c>
      <c r="M4" s="16" t="str">
        <f>IFERROR(IF([2]筐子库存汇总!$M$4=0,"",[2]筐子库存汇总!$M$4),"")</f>
        <v/>
      </c>
    </row>
    <row r="5" customHeight="1" spans="1:13">
      <c r="A5" s="16">
        <f>IFERROR(IF([2]筐子库存汇总!$A$5=0,"",[2]筐子库存汇总!$A$5),"")</f>
        <v>2</v>
      </c>
      <c r="B5" s="30" t="str">
        <f>IFERROR(IF([2]筐子库存汇总!$B$5=0,"",[2]筐子库存汇总!$B$5),"")</f>
        <v>公司杂周转筐</v>
      </c>
      <c r="C5" s="17">
        <f>IFERROR(IF([2]筐子库存汇总!$C$5=0,"",[2]筐子库存汇总!$C$5),"")</f>
        <v>35928</v>
      </c>
      <c r="D5" s="17" t="str">
        <f>IFERROR(IF([2]筐子库存汇总!$D$5=0,"",[2]筐子库存汇总!$D$5),"")</f>
        <v/>
      </c>
      <c r="E5" s="31">
        <f>IFERROR(IF([2]筐子库存汇总!$E$5=0,"",[2]筐子库存汇总!$E$5),"")</f>
        <v>103</v>
      </c>
      <c r="F5" s="17">
        <f>IFERROR(IF([2]筐子库存汇总!$F$5=0,"",[2]筐子库存汇总!$F$5),"")</f>
        <v>7741</v>
      </c>
      <c r="G5" s="17" t="str">
        <f>IFERROR(IF([2]筐子库存汇总!$G$5=0,"",[2]筐子库存汇总!$G$5),"")</f>
        <v/>
      </c>
      <c r="H5" s="17" t="str">
        <f>IFERROR(IF([2]筐子库存汇总!$H$5=0,"",[2]筐子库存汇总!$H$5),"")</f>
        <v/>
      </c>
      <c r="I5" s="17">
        <f>IFERROR(IF([2]筐子库存汇总!$I$5=0,"",[2]筐子库存汇总!$I$5),"")</f>
        <v>28290</v>
      </c>
      <c r="J5" s="17">
        <f>IFERROR(IF([2]筐子库存汇总!$J$5=0,"",[2]筐子库存汇总!$J$5),"")</f>
        <v>7638</v>
      </c>
      <c r="K5" s="17">
        <f>IFERROR(IF([2]筐子库存汇总!$K$5=0,"",[2]筐子库存汇总!$K$5),"")</f>
        <v>-5315</v>
      </c>
      <c r="L5" s="17">
        <f>IFERROR(IF([2]筐子库存汇总!$L$5=0,"",[2]筐子库存汇总!$L$5),"")</f>
        <v>30613</v>
      </c>
      <c r="M5" s="16" t="str">
        <f>IFERROR(IF([2]筐子库存汇总!$M$5=0,"",[2]筐子库存汇总!$M$5),"")</f>
        <v/>
      </c>
    </row>
    <row r="6" customHeight="1" spans="1:13">
      <c r="A6" s="16">
        <f>IFERROR(IF([2]筐子库存汇总!$A$6=0,"",[2]筐子库存汇总!$A$6),"")</f>
        <v>3</v>
      </c>
      <c r="B6" s="30" t="str">
        <f>IFERROR(IF([2]筐子库存汇总!$B$6=0,"",[2]筐子库存汇总!$B$6),"")</f>
        <v>公司新周转筐</v>
      </c>
      <c r="C6" s="17">
        <f>IFERROR(IF([2]筐子库存汇总!$C$6=0,"",[2]筐子库存汇总!$C$6),"")</f>
        <v>58032</v>
      </c>
      <c r="D6" s="17" t="str">
        <f>IFERROR(IF([2]筐子库存汇总!$D$6=0,"",[2]筐子库存汇总!$D$6),"")</f>
        <v/>
      </c>
      <c r="E6" s="31" t="str">
        <f>IFERROR(IF([2]筐子库存汇总!$E$6=0,"",[2]筐子库存汇总!$E$6),"")</f>
        <v/>
      </c>
      <c r="F6" s="17">
        <f>IFERROR(IF([2]筐子库存汇总!$F$6=0,"",[2]筐子库存汇总!$F$6),"")</f>
        <v>1011</v>
      </c>
      <c r="G6" s="17" t="str">
        <f>IFERROR(IF([2]筐子库存汇总!$G$6=0,"",[2]筐子库存汇总!$G$6),"")</f>
        <v/>
      </c>
      <c r="H6" s="17" t="str">
        <f>IFERROR(IF([2]筐子库存汇总!$H$6=0,"",[2]筐子库存汇总!$H$6),"")</f>
        <v/>
      </c>
      <c r="I6" s="17">
        <f>IFERROR(IF([2]筐子库存汇总!$I$6=0,"",[2]筐子库存汇总!$I$6),"")</f>
        <v>57021</v>
      </c>
      <c r="J6" s="17">
        <f>IFERROR(IF([2]筐子库存汇总!$J$6=0,"",[2]筐子库存汇总!$J$6),"")</f>
        <v>1011</v>
      </c>
      <c r="K6" s="17">
        <f>IFERROR(IF([2]筐子库存汇总!$K$6=0,"",[2]筐子库存汇总!$K$6),"")</f>
        <v>-74</v>
      </c>
      <c r="L6" s="17">
        <f>IFERROR(IF([2]筐子库存汇总!$L$6=0,"",[2]筐子库存汇总!$L$6),"")</f>
        <v>57958</v>
      </c>
      <c r="M6" s="16" t="str">
        <f>IFERROR(IF([2]筐子库存汇总!$M$6=0,"",[2]筐子库存汇总!$M$6),"")</f>
        <v/>
      </c>
    </row>
    <row r="7" customHeight="1" spans="1:13">
      <c r="A7" s="16">
        <f>IFERROR(IF([2]筐子库存汇总!$A$7=0,"",[2]筐子库存汇总!$A$7),"")</f>
        <v>4</v>
      </c>
      <c r="B7" s="30" t="str">
        <f>IFERROR(IF([2]筐子库存汇总!$B$7=0,"",[2]筐子库存汇总!$B$7),"")</f>
        <v>公司白周转筐</v>
      </c>
      <c r="C7" s="17">
        <f>IFERROR(IF([2]筐子库存汇总!$C$7=0,"",[2]筐子库存汇总!$C$7),"")</f>
        <v>13968</v>
      </c>
      <c r="D7" s="17" t="str">
        <f>IFERROR(IF([2]筐子库存汇总!$D$7=0,"",[2]筐子库存汇总!$D$7),"")</f>
        <v/>
      </c>
      <c r="E7" s="31" t="str">
        <f>IFERROR(IF([2]筐子库存汇总!$E$7=0,"",[2]筐子库存汇总!$E$7),"")</f>
        <v/>
      </c>
      <c r="F7" s="17" t="str">
        <f>IFERROR(IF([2]筐子库存汇总!$F$7=0,"",[2]筐子库存汇总!$F$7),"")</f>
        <v/>
      </c>
      <c r="G7" s="17" t="str">
        <f>IFERROR(IF([2]筐子库存汇总!$G$7=0,"",[2]筐子库存汇总!$G$7),"")</f>
        <v/>
      </c>
      <c r="H7" s="17" t="str">
        <f>IFERROR(IF([2]筐子库存汇总!$H$7=0,"",[2]筐子库存汇总!$H$7),"")</f>
        <v/>
      </c>
      <c r="I7" s="17">
        <f>IFERROR(IF([2]筐子库存汇总!$I$7=0,"",[2]筐子库存汇总!$I$7),"")</f>
        <v>13968</v>
      </c>
      <c r="J7" s="17" t="str">
        <f>IFERROR(IF([2]筐子库存汇总!$J$7=0,"",[2]筐子库存汇总!$J$7),"")</f>
        <v/>
      </c>
      <c r="K7" s="17" t="str">
        <f>IFERROR(IF([2]筐子库存汇总!$K$7=0,"",[2]筐子库存汇总!$K$7),"")</f>
        <v/>
      </c>
      <c r="L7" s="17">
        <f>IFERROR(IF([2]筐子库存汇总!$L$7=0,"",[2]筐子库存汇总!$L$7),"")</f>
        <v>13968</v>
      </c>
      <c r="M7" s="16" t="str">
        <f>IFERROR(IF([2]筐子库存汇总!$M$7=0,"",[2]筐子库存汇总!$M$7),"")</f>
        <v/>
      </c>
    </row>
    <row r="8" customHeight="1" spans="1:13">
      <c r="A8" s="16">
        <f>IFERROR(IF([2]筐子库存汇总!$A$8=0,"",[2]筐子库存汇总!$A$8),"")</f>
        <v>5</v>
      </c>
      <c r="B8" s="30" t="str">
        <f>IFERROR(IF([2]筐子库存汇总!$B$8=0,"",[2]筐子库存汇总!$B$8),"")</f>
        <v>公司红周转筐</v>
      </c>
      <c r="C8" s="17" t="str">
        <f>IFERROR(IF([2]筐子库存汇总!$C$8=0,"",[2]筐子库存汇总!$C$8),"")</f>
        <v/>
      </c>
      <c r="D8" s="17">
        <f>IFERROR(IF([2]筐子库存汇总!$D$8=0,"",[2]筐子库存汇总!$D$8),"")</f>
        <v>28176</v>
      </c>
      <c r="E8" s="31" t="str">
        <f>IFERROR(IF([2]筐子库存汇总!$E$8=0,"",[2]筐子库存汇总!$E$8),"")</f>
        <v/>
      </c>
      <c r="F8" s="17">
        <f>IFERROR(IF([2]筐子库存汇总!$F$8=0,"",[2]筐子库存汇总!$F$8),"")</f>
        <v>28520</v>
      </c>
      <c r="G8" s="17" t="str">
        <f>IFERROR(IF([2]筐子库存汇总!$G$8=0,"",[2]筐子库存汇总!$G$8),"")</f>
        <v/>
      </c>
      <c r="H8" s="17" t="str">
        <f>IFERROR(IF([2]筐子库存汇总!$H$8=0,"",[2]筐子库存汇总!$H$8),"")</f>
        <v/>
      </c>
      <c r="I8" s="17">
        <f>IFERROR(IF([2]筐子库存汇总!$I$8=0,"",[2]筐子库存汇总!$I$8),"")</f>
        <v>-344</v>
      </c>
      <c r="J8" s="17">
        <f>IFERROR(IF([2]筐子库存汇总!$J$8=0,"",[2]筐子库存汇总!$J$8),"")</f>
        <v>28520</v>
      </c>
      <c r="K8" s="17">
        <f>IFERROR(IF([2]筐子库存汇总!$K$8=0,"",[2]筐子库存汇总!$K$8),"")</f>
        <v>-17797</v>
      </c>
      <c r="L8" s="17">
        <f>IFERROR(IF([2]筐子库存汇总!$L$8=0,"",[2]筐子库存汇总!$L$8),"")</f>
        <v>10379</v>
      </c>
      <c r="M8" s="16" t="str">
        <f>IFERROR(IF([2]筐子库存汇总!$M$8=0,"",[2]筐子库存汇总!$M$8),"")</f>
        <v/>
      </c>
    </row>
    <row r="9" customHeight="1" spans="1:13">
      <c r="A9" s="16">
        <f>IFERROR(IF([2]筐子库存汇总!$A$9=0,"",[2]筐子库存汇总!$A$9),"")</f>
        <v>6</v>
      </c>
      <c r="B9" s="30" t="str">
        <f>IFERROR(IF([2]筐子库存汇总!$B$9=0,"",[2]筐子库存汇总!$B$9),"")</f>
        <v>自备一次性筐</v>
      </c>
      <c r="C9" s="17" t="str">
        <f>IFERROR(IF([2]筐子库存汇总!$C$9=0,"",[2]筐子库存汇总!$C$9),"")</f>
        <v/>
      </c>
      <c r="D9" s="17" t="str">
        <f>IFERROR(IF([2]筐子库存汇总!$D$9=0,"",[2]筐子库存汇总!$D$9),"")</f>
        <v/>
      </c>
      <c r="E9" s="31" t="str">
        <f>IFERROR(IF([2]筐子库存汇总!$E$9=0,"",[2]筐子库存汇总!$E$9),"")</f>
        <v/>
      </c>
      <c r="F9" s="17" t="str">
        <f>IFERROR(IF([2]筐子库存汇总!$F$9=0,"",[2]筐子库存汇总!$F$9),"")</f>
        <v/>
      </c>
      <c r="G9" s="17" t="str">
        <f>IFERROR(IF([2]筐子库存汇总!$G$9=0,"",[2]筐子库存汇总!$G$9),"")</f>
        <v/>
      </c>
      <c r="H9" s="17" t="str">
        <f>IFERROR(IF([2]筐子库存汇总!$H$9=0,"",[2]筐子库存汇总!$H$9),"")</f>
        <v/>
      </c>
      <c r="I9" s="17" t="str">
        <f>IFERROR(IF([2]筐子库存汇总!$I$9=0,"",[2]筐子库存汇总!$I$9),"")</f>
        <v/>
      </c>
      <c r="J9" s="17" t="str">
        <f>IFERROR(IF([2]筐子库存汇总!$J$9=0,"",[2]筐子库存汇总!$J$9),"")</f>
        <v/>
      </c>
      <c r="K9" s="17" t="str">
        <f>IFERROR(IF([2]筐子库存汇总!$K$9=0,"",[2]筐子库存汇总!$K$9),"")</f>
        <v/>
      </c>
      <c r="L9" s="17" t="str">
        <f>IFERROR(IF([2]筐子库存汇总!$L$9=0,"",[2]筐子库存汇总!$L$9),"")</f>
        <v/>
      </c>
      <c r="M9" s="30" t="str">
        <f>IFERROR(IF([2]筐子库存汇总!$M$9=0,"",[2]筐子库存汇总!$M$9),"")</f>
        <v>客户自备筐，不计公司资产，见【自备筐汇总】</v>
      </c>
    </row>
    <row r="10" customHeight="1" spans="1:13">
      <c r="A10" s="16">
        <f>IFERROR(IF([2]筐子库存汇总!$A$10=0,"",[2]筐子库存汇总!$A$10),"")</f>
        <v>7</v>
      </c>
      <c r="B10" s="30" t="str">
        <f>IFERROR(IF([2]筐子库存汇总!$B$10=0,"",[2]筐子库存汇总!$B$10),"")</f>
        <v>大托盘</v>
      </c>
      <c r="C10" s="17" t="str">
        <f>IFERROR(IF([2]筐子库存汇总!$C$10=0,"",[2]筐子库存汇总!$C$10),"")</f>
        <v/>
      </c>
      <c r="D10" s="17" t="str">
        <f>IFERROR(IF([2]筐子库存汇总!$D$10=0,"",[2]筐子库存汇总!$D$10),"")</f>
        <v/>
      </c>
      <c r="E10" s="31" t="str">
        <f>IFERROR(IF([2]筐子库存汇总!$E$10=0,"",[2]筐子库存汇总!$E$10),"")</f>
        <v/>
      </c>
      <c r="F10" s="17" t="str">
        <f>IFERROR(IF([2]筐子库存汇总!$F$10=0,"",[2]筐子库存汇总!$F$10),"")</f>
        <v/>
      </c>
      <c r="G10" s="17" t="str">
        <f>IFERROR(IF([2]筐子库存汇总!$G$10=0,"",[2]筐子库存汇总!$G$10),"")</f>
        <v/>
      </c>
      <c r="H10" s="17" t="str">
        <f>IFERROR(IF([2]筐子库存汇总!$H$10=0,"",[2]筐子库存汇总!$H$10),"")</f>
        <v/>
      </c>
      <c r="I10" s="17" t="str">
        <f>IFERROR(IF([2]筐子库存汇总!$I$10=0,"",[2]筐子库存汇总!$I$10),"")</f>
        <v/>
      </c>
      <c r="J10" s="17" t="str">
        <f>IFERROR(IF([2]筐子库存汇总!$J$10=0,"",[2]筐子库存汇总!$J$10),"")</f>
        <v/>
      </c>
      <c r="K10" s="17" t="str">
        <f>IFERROR(IF([2]筐子库存汇总!$K$10=0,"",[2]筐子库存汇总!$K$10),"")</f>
        <v/>
      </c>
      <c r="L10" s="17" t="str">
        <f>IFERROR(IF([2]筐子库存汇总!$L$10=0,"",[2]筐子库存汇总!$L$10),"")</f>
        <v/>
      </c>
      <c r="M10" s="16" t="str">
        <f>IFERROR(IF([2]筐子库存汇总!$M$10=0,"",[2]筐子库存汇总!$M$10),"")</f>
        <v/>
      </c>
    </row>
    <row r="11" customHeight="1" spans="1:13">
      <c r="A11" s="16">
        <f>IFERROR(IF([2]筐子库存汇总!$A$11=0,"",[2]筐子库存汇总!$A$11),"")</f>
        <v>8</v>
      </c>
      <c r="B11" s="30" t="str">
        <f>IFERROR(IF([2]筐子库存汇总!$B$11=0,"",[2]筐子库存汇总!$B$11),"")</f>
        <v>自备杂周转筐</v>
      </c>
      <c r="C11" s="17" t="str">
        <f>IFERROR(IF([2]筐子库存汇总!$C$11=0,"",[2]筐子库存汇总!$C$11),"")</f>
        <v/>
      </c>
      <c r="D11" s="17" t="str">
        <f>IFERROR(IF([2]筐子库存汇总!$D$11=0,"",[2]筐子库存汇总!$D$11),"")</f>
        <v/>
      </c>
      <c r="E11" s="31" t="str">
        <f>IFERROR(IF([2]筐子库存汇总!$E$11=0,"",[2]筐子库存汇总!$E$11),"")</f>
        <v/>
      </c>
      <c r="F11" s="17" t="str">
        <f>IFERROR(IF([2]筐子库存汇总!$F$11=0,"",[2]筐子库存汇总!$F$11),"")</f>
        <v/>
      </c>
      <c r="G11" s="17" t="str">
        <f>IFERROR(IF([2]筐子库存汇总!$G$11=0,"",[2]筐子库存汇总!$G$11),"")</f>
        <v/>
      </c>
      <c r="H11" s="17" t="str">
        <f>IFERROR(IF([2]筐子库存汇总!$H$11=0,"",[2]筐子库存汇总!$H$11),"")</f>
        <v/>
      </c>
      <c r="I11" s="17" t="str">
        <f>IFERROR(IF([2]筐子库存汇总!$I$11=0,"",[2]筐子库存汇总!$I$11),"")</f>
        <v/>
      </c>
      <c r="J11" s="17" t="str">
        <f>IFERROR(IF([2]筐子库存汇总!$J$11=0,"",[2]筐子库存汇总!$J$11),"")</f>
        <v/>
      </c>
      <c r="K11" s="17" t="str">
        <f>IFERROR(IF([2]筐子库存汇总!$K$11=0,"",[2]筐子库存汇总!$K$11),"")</f>
        <v/>
      </c>
      <c r="L11" s="17" t="str">
        <f>IFERROR(IF([2]筐子库存汇总!$L$11=0,"",[2]筐子库存汇总!$L$11),"")</f>
        <v/>
      </c>
      <c r="M11" s="16" t="str">
        <f>IFERROR(IF([2]筐子库存汇总!$M$11=0,"",[2]筐子库存汇总!$M$11),"")</f>
        <v>客户自备筐，不计公司资产，见【自备筐汇总】</v>
      </c>
    </row>
    <row r="12" customHeight="1" spans="1:13">
      <c r="A12" s="16">
        <f>IFERROR(IF([2]筐子库存汇总!$A$12=0,"",[2]筐子库存汇总!$A$12),"")</f>
        <v>9</v>
      </c>
      <c r="B12" s="30" t="str">
        <f>IFERROR(IF([2]筐子库存汇总!$B$12=0,"",[2]筐子库存汇总!$B$12),"")</f>
        <v>纸箱</v>
      </c>
      <c r="C12" s="17" t="str">
        <f>IFERROR(IF([2]筐子库存汇总!$C$12=0,"",[2]筐子库存汇总!$C$12),"")</f>
        <v/>
      </c>
      <c r="D12" s="17" t="str">
        <f>IFERROR(IF([2]筐子库存汇总!$D$12=0,"",[2]筐子库存汇总!$D$12),"")</f>
        <v/>
      </c>
      <c r="E12" s="31" t="str">
        <f>IFERROR(IF([2]筐子库存汇总!$E$12=0,"",[2]筐子库存汇总!$E$12),"")</f>
        <v/>
      </c>
      <c r="F12" s="17" t="str">
        <f>IFERROR(IF([2]筐子库存汇总!$F$12=0,"",[2]筐子库存汇总!$F$12),"")</f>
        <v/>
      </c>
      <c r="G12" s="17" t="str">
        <f>IFERROR(IF([2]筐子库存汇总!$G$12=0,"",[2]筐子库存汇总!$G$12),"")</f>
        <v/>
      </c>
      <c r="H12" s="17" t="str">
        <f>IFERROR(IF([2]筐子库存汇总!$H$12=0,"",[2]筐子库存汇总!$H$12),"")</f>
        <v/>
      </c>
      <c r="I12" s="17" t="str">
        <f>IFERROR(IF([2]筐子库存汇总!$I$12=0,"",[2]筐子库存汇总!$I$12),"")</f>
        <v/>
      </c>
      <c r="J12" s="17" t="str">
        <f>IFERROR(IF([2]筐子库存汇总!$J$12=0,"",[2]筐子库存汇总!$J$12),"")</f>
        <v/>
      </c>
      <c r="K12" s="17" t="str">
        <f>IFERROR(IF([2]筐子库存汇总!$K$12=0,"",[2]筐子库存汇总!$K$12),"")</f>
        <v/>
      </c>
      <c r="L12" s="17" t="str">
        <f>IFERROR(IF([2]筐子库存汇总!$L$12=0,"",[2]筐子库存汇总!$L$12),"")</f>
        <v/>
      </c>
      <c r="M12" s="16" t="str">
        <f>IFERROR(IF([2]筐子库存汇总!$M$12=0,"",[2]筐子库存汇总!$M$12),"")</f>
        <v/>
      </c>
    </row>
    <row r="13" customHeight="1" spans="1:13">
      <c r="A13" s="16" t="str">
        <f>IFERROR(IF([2]筐子库存汇总!$A$13=0,"",[2]筐子库存汇总!$A$13),"")</f>
        <v/>
      </c>
      <c r="B13" s="30" t="str">
        <f>IFERROR(IF([2]筐子库存汇总!$B$13=0,"",[2]筐子库存汇总!$B$13),"")</f>
        <v/>
      </c>
      <c r="C13" s="17" t="str">
        <f>IFERROR(IF([2]筐子库存汇总!$C$13=0,"",[2]筐子库存汇总!$C$13),"")</f>
        <v/>
      </c>
      <c r="D13" s="17" t="str">
        <f>IFERROR(IF([2]筐子库存汇总!$D$13=0,"",[2]筐子库存汇总!$D$13),"")</f>
        <v/>
      </c>
      <c r="E13" s="31" t="str">
        <f>IFERROR(IF([2]筐子库存汇总!$E$13=0,"",[2]筐子库存汇总!$E$13),"")</f>
        <v/>
      </c>
      <c r="F13" s="17" t="str">
        <f>IFERROR(IF([2]筐子库存汇总!$F$13=0,"",[2]筐子库存汇总!$F$13),"")</f>
        <v/>
      </c>
      <c r="G13" s="17" t="str">
        <f>IFERROR(IF([2]筐子库存汇总!$G$13=0,"",[2]筐子库存汇总!$G$13),"")</f>
        <v/>
      </c>
      <c r="H13" s="17" t="str">
        <f>IFERROR(IF([2]筐子库存汇总!$H$13=0,"",[2]筐子库存汇总!$H$13),"")</f>
        <v/>
      </c>
      <c r="I13" s="17" t="str">
        <f>IFERROR(IF([2]筐子库存汇总!$I$13=0,"",[2]筐子库存汇总!$I$13),"")</f>
        <v/>
      </c>
      <c r="J13" s="17" t="str">
        <f>IFERROR(IF([2]筐子库存汇总!$J$13=0,"",[2]筐子库存汇总!$J$13),"")</f>
        <v/>
      </c>
      <c r="K13" s="17" t="str">
        <f>IFERROR(IF([2]筐子库存汇总!$K$13=0,"",[2]筐子库存汇总!$K$13),"")</f>
        <v/>
      </c>
      <c r="L13" s="17" t="str">
        <f>IFERROR(IF([2]筐子库存汇总!$L$13=0,"",[2]筐子库存汇总!$L$13),"")</f>
        <v/>
      </c>
      <c r="M13" s="16" t="str">
        <f>IFERROR(IF([2]筐子库存汇总!$M$13=0,"",[2]筐子库存汇总!$M$13),"")</f>
        <v/>
      </c>
    </row>
    <row r="14" customHeight="1" spans="1:13">
      <c r="A14" s="16" t="str">
        <f>IFERROR(IF([2]筐子库存汇总!$A$14=0,"",[2]筐子库存汇总!$A$14),"")</f>
        <v/>
      </c>
      <c r="B14" s="30" t="str">
        <f>IFERROR(IF([2]筐子库存汇总!$B$14=0,"",[2]筐子库存汇总!$B$14),"")</f>
        <v/>
      </c>
      <c r="C14" s="17" t="str">
        <f>IFERROR(IF([2]筐子库存汇总!$C$14=0,"",[2]筐子库存汇总!$C$14),"")</f>
        <v/>
      </c>
      <c r="D14" s="17" t="str">
        <f>IFERROR(IF([2]筐子库存汇总!$D$14=0,"",[2]筐子库存汇总!$D$14),"")</f>
        <v/>
      </c>
      <c r="E14" s="31" t="str">
        <f>IFERROR(IF([2]筐子库存汇总!$E$14=0,"",[2]筐子库存汇总!$E$14),"")</f>
        <v/>
      </c>
      <c r="F14" s="17" t="str">
        <f>IFERROR(IF([2]筐子库存汇总!$F$14=0,"",[2]筐子库存汇总!$F$14),"")</f>
        <v/>
      </c>
      <c r="G14" s="17" t="str">
        <f>IFERROR(IF([2]筐子库存汇总!$G$14=0,"",[2]筐子库存汇总!$G$14),"")</f>
        <v/>
      </c>
      <c r="H14" s="17" t="str">
        <f>IFERROR(IF([2]筐子库存汇总!$H$14=0,"",[2]筐子库存汇总!$H$14),"")</f>
        <v/>
      </c>
      <c r="I14" s="17" t="str">
        <f>IFERROR(IF([2]筐子库存汇总!$I$14=0,"",[2]筐子库存汇总!$I$14),"")</f>
        <v/>
      </c>
      <c r="J14" s="17" t="str">
        <f>IFERROR(IF([2]筐子库存汇总!$J$14=0,"",[2]筐子库存汇总!$J$14),"")</f>
        <v/>
      </c>
      <c r="K14" s="17" t="str">
        <f>IFERROR(IF([2]筐子库存汇总!$K$14=0,"",[2]筐子库存汇总!$K$14),"")</f>
        <v/>
      </c>
      <c r="L14" s="17" t="str">
        <f>IFERROR(IF([2]筐子库存汇总!$L$14=0,"",[2]筐子库存汇总!$L$14),"")</f>
        <v/>
      </c>
      <c r="M14" s="16" t="str">
        <f>IFERROR(IF([2]筐子库存汇总!$M$14=0,"",[2]筐子库存汇总!$M$14),"")</f>
        <v/>
      </c>
    </row>
    <row r="15" customHeight="1" spans="1:13">
      <c r="A15" s="16" t="str">
        <f>IFERROR(IF([2]筐子库存汇总!$A$15=0,"",[2]筐子库存汇总!$A$15),"")</f>
        <v/>
      </c>
      <c r="B15" s="30" t="str">
        <f>IFERROR(IF([2]筐子库存汇总!$B$15=0,"",[2]筐子库存汇总!$B$15),"")</f>
        <v/>
      </c>
      <c r="C15" s="17" t="str">
        <f>IFERROR(IF([2]筐子库存汇总!$C$15=0,"",[2]筐子库存汇总!$C$15),"")</f>
        <v/>
      </c>
      <c r="D15" s="17" t="str">
        <f>IFERROR(IF([2]筐子库存汇总!$D$15=0,"",[2]筐子库存汇总!$D$15),"")</f>
        <v/>
      </c>
      <c r="E15" s="31" t="str">
        <f>IFERROR(IF([2]筐子库存汇总!$E$15=0,"",[2]筐子库存汇总!$E$15),"")</f>
        <v/>
      </c>
      <c r="F15" s="17" t="str">
        <f>IFERROR(IF([2]筐子库存汇总!$F$15=0,"",[2]筐子库存汇总!$F$15),"")</f>
        <v/>
      </c>
      <c r="G15" s="17" t="str">
        <f>IFERROR(IF([2]筐子库存汇总!$G$15=0,"",[2]筐子库存汇总!$G$15),"")</f>
        <v/>
      </c>
      <c r="H15" s="17" t="str">
        <f>IFERROR(IF([2]筐子库存汇总!$H$15=0,"",[2]筐子库存汇总!$H$15),"")</f>
        <v/>
      </c>
      <c r="I15" s="17" t="str">
        <f>IFERROR(IF([2]筐子库存汇总!$I$15=0,"",[2]筐子库存汇总!$I$15),"")</f>
        <v/>
      </c>
      <c r="J15" s="17" t="str">
        <f>IFERROR(IF([2]筐子库存汇总!$J$15=0,"",[2]筐子库存汇总!$J$15),"")</f>
        <v/>
      </c>
      <c r="K15" s="17" t="str">
        <f>IFERROR(IF([2]筐子库存汇总!$K$15=0,"",[2]筐子库存汇总!$K$15),"")</f>
        <v/>
      </c>
      <c r="L15" s="17" t="str">
        <f>IFERROR(IF([2]筐子库存汇总!$L$15=0,"",[2]筐子库存汇总!$L$15),"")</f>
        <v/>
      </c>
      <c r="M15" s="16" t="str">
        <f>IFERROR(IF([2]筐子库存汇总!$M$15=0,"",[2]筐子库存汇总!$M$15),"")</f>
        <v/>
      </c>
    </row>
    <row r="16" customHeight="1" spans="1:13">
      <c r="A16" s="16" t="str">
        <f>IFERROR(IF([2]筐子库存汇总!$A$16=0,"",[2]筐子库存汇总!$A$16),"")</f>
        <v/>
      </c>
      <c r="B16" s="30" t="str">
        <f>IFERROR(IF([2]筐子库存汇总!$B$16=0,"",[2]筐子库存汇总!$B$16),"")</f>
        <v/>
      </c>
      <c r="C16" s="17" t="str">
        <f>IFERROR(IF([2]筐子库存汇总!$C$16=0,"",[2]筐子库存汇总!$C$16),"")</f>
        <v/>
      </c>
      <c r="D16" s="17" t="str">
        <f>IFERROR(IF([2]筐子库存汇总!$D$16=0,"",[2]筐子库存汇总!$D$16),"")</f>
        <v/>
      </c>
      <c r="E16" s="31" t="str">
        <f>IFERROR(IF([2]筐子库存汇总!$E$16=0,"",[2]筐子库存汇总!$E$16),"")</f>
        <v/>
      </c>
      <c r="F16" s="17" t="str">
        <f>IFERROR(IF([2]筐子库存汇总!$F$16=0,"",[2]筐子库存汇总!$F$16),"")</f>
        <v/>
      </c>
      <c r="G16" s="17" t="str">
        <f>IFERROR(IF([2]筐子库存汇总!$G$16=0,"",[2]筐子库存汇总!$G$16),"")</f>
        <v/>
      </c>
      <c r="H16" s="17" t="str">
        <f>IFERROR(IF([2]筐子库存汇总!$H$16=0,"",[2]筐子库存汇总!$H$16),"")</f>
        <v/>
      </c>
      <c r="I16" s="17" t="str">
        <f>IFERROR(IF([2]筐子库存汇总!$I$16=0,"",[2]筐子库存汇总!$I$16),"")</f>
        <v/>
      </c>
      <c r="J16" s="17" t="str">
        <f>IFERROR(IF([2]筐子库存汇总!$J$16=0,"",[2]筐子库存汇总!$J$16),"")</f>
        <v/>
      </c>
      <c r="K16" s="17" t="str">
        <f>IFERROR(IF([2]筐子库存汇总!$K$16=0,"",[2]筐子库存汇总!$K$16),"")</f>
        <v/>
      </c>
      <c r="L16" s="17" t="str">
        <f>IFERROR(IF([2]筐子库存汇总!$L$16=0,"",[2]筐子库存汇总!$L$16),"")</f>
        <v/>
      </c>
      <c r="M16" s="16" t="str">
        <f>IFERROR(IF([2]筐子库存汇总!$M$16=0,"",[2]筐子库存汇总!$M$16),"")</f>
        <v/>
      </c>
    </row>
    <row r="17" customHeight="1" spans="1:13">
      <c r="A17" s="16" t="str">
        <f>IFERROR(IF([2]筐子库存汇总!$A$17=0,"",[2]筐子库存汇总!$A$17),"")</f>
        <v/>
      </c>
      <c r="B17" s="30" t="str">
        <f>IFERROR(IF([2]筐子库存汇总!$B$17=0,"",[2]筐子库存汇总!$B$17),"")</f>
        <v/>
      </c>
      <c r="C17" s="17" t="str">
        <f>IFERROR(IF([2]筐子库存汇总!$C$17=0,"",[2]筐子库存汇总!$C$17),"")</f>
        <v/>
      </c>
      <c r="D17" s="17" t="str">
        <f>IFERROR(IF([2]筐子库存汇总!$D$17=0,"",[2]筐子库存汇总!$D$17),"")</f>
        <v/>
      </c>
      <c r="E17" s="31" t="str">
        <f>IFERROR(IF([2]筐子库存汇总!$E$17=0,"",[2]筐子库存汇总!$E$17),"")</f>
        <v/>
      </c>
      <c r="F17" s="17" t="str">
        <f>IFERROR(IF([2]筐子库存汇总!$F$17=0,"",[2]筐子库存汇总!$F$17),"")</f>
        <v/>
      </c>
      <c r="G17" s="17" t="str">
        <f>IFERROR(IF([2]筐子库存汇总!$G$17=0,"",[2]筐子库存汇总!$G$17),"")</f>
        <v/>
      </c>
      <c r="H17" s="17" t="str">
        <f>IFERROR(IF([2]筐子库存汇总!$H$17=0,"",[2]筐子库存汇总!$H$17),"")</f>
        <v/>
      </c>
      <c r="I17" s="17" t="str">
        <f>IFERROR(IF([2]筐子库存汇总!$I$17=0,"",[2]筐子库存汇总!$I$17),"")</f>
        <v/>
      </c>
      <c r="J17" s="17" t="str">
        <f>IFERROR(IF([2]筐子库存汇总!$J$17=0,"",[2]筐子库存汇总!$J$17),"")</f>
        <v/>
      </c>
      <c r="K17" s="17" t="str">
        <f>IFERROR(IF([2]筐子库存汇总!$K$17=0,"",[2]筐子库存汇总!$K$17),"")</f>
        <v/>
      </c>
      <c r="L17" s="17" t="str">
        <f>IFERROR(IF([2]筐子库存汇总!$L$17=0,"",[2]筐子库存汇总!$L$17),"")</f>
        <v/>
      </c>
      <c r="M17" s="16" t="str">
        <f>IFERROR(IF([2]筐子库存汇总!$M$17=0,"",[2]筐子库存汇总!$M$17),"")</f>
        <v/>
      </c>
    </row>
    <row r="18" customHeight="1" spans="1:13">
      <c r="A18" s="16" t="str">
        <f>IFERROR(IF([2]筐子库存汇总!$A$18=0,"",[2]筐子库存汇总!$A$18),"")</f>
        <v/>
      </c>
      <c r="B18" s="30" t="str">
        <f>IFERROR(IF([2]筐子库存汇总!$B$18=0,"",[2]筐子库存汇总!$B$18),"")</f>
        <v/>
      </c>
      <c r="C18" s="17" t="str">
        <f>IFERROR(IF([2]筐子库存汇总!$C$18=0,"",[2]筐子库存汇总!$C$18),"")</f>
        <v/>
      </c>
      <c r="D18" s="17" t="str">
        <f>IFERROR(IF([2]筐子库存汇总!$D$18=0,"",[2]筐子库存汇总!$D$18),"")</f>
        <v/>
      </c>
      <c r="E18" s="31" t="str">
        <f>IFERROR(IF([2]筐子库存汇总!$E$18=0,"",[2]筐子库存汇总!$E$18),"")</f>
        <v/>
      </c>
      <c r="F18" s="17" t="str">
        <f>IFERROR(IF([2]筐子库存汇总!$F$18=0,"",[2]筐子库存汇总!$F$18),"")</f>
        <v/>
      </c>
      <c r="G18" s="17" t="str">
        <f>IFERROR(IF([2]筐子库存汇总!$G$18=0,"",[2]筐子库存汇总!$G$18),"")</f>
        <v/>
      </c>
      <c r="H18" s="17" t="str">
        <f>IFERROR(IF([2]筐子库存汇总!$H$18=0,"",[2]筐子库存汇总!$H$18),"")</f>
        <v/>
      </c>
      <c r="I18" s="17" t="str">
        <f>IFERROR(IF([2]筐子库存汇总!$I$18=0,"",[2]筐子库存汇总!$I$18),"")</f>
        <v/>
      </c>
      <c r="J18" s="17" t="str">
        <f>IFERROR(IF([2]筐子库存汇总!$J$18=0,"",[2]筐子库存汇总!$J$18),"")</f>
        <v/>
      </c>
      <c r="K18" s="17" t="str">
        <f>IFERROR(IF([2]筐子库存汇总!$K$18=0,"",[2]筐子库存汇总!$K$18),"")</f>
        <v/>
      </c>
      <c r="L18" s="17" t="str">
        <f>IFERROR(IF([2]筐子库存汇总!$L$18=0,"",[2]筐子库存汇总!$L$18),"")</f>
        <v/>
      </c>
      <c r="M18" s="16" t="str">
        <f>IFERROR(IF([2]筐子库存汇总!$M$18=0,"",[2]筐子库存汇总!$M$18),"")</f>
        <v/>
      </c>
    </row>
    <row r="19" customHeight="1" spans="1:13">
      <c r="A19" s="16" t="str">
        <f>IFERROR(IF([2]筐子库存汇总!$A$19=0,"",[2]筐子库存汇总!$A$19),"")</f>
        <v/>
      </c>
      <c r="B19" s="30" t="str">
        <f>IFERROR(IF([2]筐子库存汇总!$B$19=0,"",[2]筐子库存汇总!$B$19),"")</f>
        <v/>
      </c>
      <c r="C19" s="17" t="str">
        <f>IFERROR(IF([2]筐子库存汇总!$C$19=0,"",[2]筐子库存汇总!$C$19),"")</f>
        <v/>
      </c>
      <c r="D19" s="17" t="str">
        <f>IFERROR(IF([2]筐子库存汇总!$D$19=0,"",[2]筐子库存汇总!$D$19),"")</f>
        <v/>
      </c>
      <c r="E19" s="31" t="str">
        <f>IFERROR(IF([2]筐子库存汇总!$E$19=0,"",[2]筐子库存汇总!$E$19),"")</f>
        <v/>
      </c>
      <c r="F19" s="17" t="str">
        <f>IFERROR(IF([2]筐子库存汇总!$F$19=0,"",[2]筐子库存汇总!$F$19),"")</f>
        <v/>
      </c>
      <c r="G19" s="17" t="str">
        <f>IFERROR(IF([2]筐子库存汇总!$G$19=0,"",[2]筐子库存汇总!$G$19),"")</f>
        <v/>
      </c>
      <c r="H19" s="17" t="str">
        <f>IFERROR(IF([2]筐子库存汇总!$H$19=0,"",[2]筐子库存汇总!$H$19),"")</f>
        <v/>
      </c>
      <c r="I19" s="17" t="str">
        <f>IFERROR(IF([2]筐子库存汇总!$I$19=0,"",[2]筐子库存汇总!$I$19),"")</f>
        <v/>
      </c>
      <c r="J19" s="17" t="str">
        <f>IFERROR(IF([2]筐子库存汇总!$J$19=0,"",[2]筐子库存汇总!$J$19),"")</f>
        <v/>
      </c>
      <c r="K19" s="17" t="str">
        <f>IFERROR(IF([2]筐子库存汇总!$K$19=0,"",[2]筐子库存汇总!$K$19),"")</f>
        <v/>
      </c>
      <c r="L19" s="17" t="str">
        <f>IFERROR(IF([2]筐子库存汇总!$L$19=0,"",[2]筐子库存汇总!$L$19),"")</f>
        <v/>
      </c>
      <c r="M19" s="16" t="str">
        <f>IFERROR(IF([2]筐子库存汇总!$M$19=0,"",[2]筐子库存汇总!$M$19),"")</f>
        <v/>
      </c>
    </row>
    <row r="20" customHeight="1" spans="1:13">
      <c r="A20" s="16" t="str">
        <f>IFERROR(IF([2]筐子库存汇总!$A$20=0,"",[2]筐子库存汇总!$A$20),"")</f>
        <v/>
      </c>
      <c r="B20" s="30" t="str">
        <f>IFERROR(IF([2]筐子库存汇总!$B$20=0,"",[2]筐子库存汇总!$B$20),"")</f>
        <v/>
      </c>
      <c r="C20" s="17" t="str">
        <f>IFERROR(IF([2]筐子库存汇总!$C$20=0,"",[2]筐子库存汇总!$C$20),"")</f>
        <v/>
      </c>
      <c r="D20" s="17" t="str">
        <f>IFERROR(IF([2]筐子库存汇总!$D$20=0,"",[2]筐子库存汇总!$D$20),"")</f>
        <v/>
      </c>
      <c r="E20" s="31" t="str">
        <f>IFERROR(IF([2]筐子库存汇总!$E$20=0,"",[2]筐子库存汇总!$E$20),"")</f>
        <v/>
      </c>
      <c r="F20" s="17" t="str">
        <f>IFERROR(IF([2]筐子库存汇总!$F$20=0,"",[2]筐子库存汇总!$F$20),"")</f>
        <v/>
      </c>
      <c r="G20" s="17" t="str">
        <f>IFERROR(IF([2]筐子库存汇总!$G$20=0,"",[2]筐子库存汇总!$G$20),"")</f>
        <v/>
      </c>
      <c r="H20" s="17" t="str">
        <f>IFERROR(IF([2]筐子库存汇总!$H$20=0,"",[2]筐子库存汇总!$H$20),"")</f>
        <v/>
      </c>
      <c r="I20" s="17" t="str">
        <f>IFERROR(IF([2]筐子库存汇总!$I$20=0,"",[2]筐子库存汇总!$I$20),"")</f>
        <v/>
      </c>
      <c r="J20" s="17" t="str">
        <f>IFERROR(IF([2]筐子库存汇总!$J$20=0,"",[2]筐子库存汇总!$J$20),"")</f>
        <v/>
      </c>
      <c r="K20" s="17" t="str">
        <f>IFERROR(IF([2]筐子库存汇总!$K$20=0,"",[2]筐子库存汇总!$K$20),"")</f>
        <v/>
      </c>
      <c r="L20" s="17" t="str">
        <f>IFERROR(IF([2]筐子库存汇总!$L$20=0,"",[2]筐子库存汇总!$L$20),"")</f>
        <v/>
      </c>
      <c r="M20" s="16" t="str">
        <f>IFERROR(IF([2]筐子库存汇总!$M$20=0,"",[2]筐子库存汇总!$M$20),"")</f>
        <v/>
      </c>
    </row>
    <row r="21" customHeight="1" spans="1:13">
      <c r="A21" s="16" t="str">
        <f>IFERROR(IF([2]筐子库存汇总!$A$21=0,"",[2]筐子库存汇总!$A$21),"")</f>
        <v/>
      </c>
      <c r="B21" s="30" t="str">
        <f>IFERROR(IF([2]筐子库存汇总!$B$21=0,"",[2]筐子库存汇总!$B$21),"")</f>
        <v/>
      </c>
      <c r="C21" s="17" t="str">
        <f>IFERROR(IF([2]筐子库存汇总!$C$21=0,"",[2]筐子库存汇总!$C$21),"")</f>
        <v/>
      </c>
      <c r="D21" s="17" t="str">
        <f>IFERROR(IF([2]筐子库存汇总!$D$21=0,"",[2]筐子库存汇总!$D$21),"")</f>
        <v/>
      </c>
      <c r="E21" s="31" t="str">
        <f>IFERROR(IF([2]筐子库存汇总!$E$21=0,"",[2]筐子库存汇总!$E$21),"")</f>
        <v/>
      </c>
      <c r="F21" s="17" t="str">
        <f>IFERROR(IF([2]筐子库存汇总!$F$21=0,"",[2]筐子库存汇总!$F$21),"")</f>
        <v/>
      </c>
      <c r="G21" s="17" t="str">
        <f>IFERROR(IF([2]筐子库存汇总!$G$21=0,"",[2]筐子库存汇总!$G$21),"")</f>
        <v/>
      </c>
      <c r="H21" s="17" t="str">
        <f>IFERROR(IF([2]筐子库存汇总!$H$21=0,"",[2]筐子库存汇总!$H$21),"")</f>
        <v/>
      </c>
      <c r="I21" s="17" t="str">
        <f>IFERROR(IF([2]筐子库存汇总!$I$21=0,"",[2]筐子库存汇总!$I$21),"")</f>
        <v/>
      </c>
      <c r="J21" s="17" t="str">
        <f>IFERROR(IF([2]筐子库存汇总!$J$21=0,"",[2]筐子库存汇总!$J$21),"")</f>
        <v/>
      </c>
      <c r="K21" s="17" t="str">
        <f>IFERROR(IF([2]筐子库存汇总!$K$21=0,"",[2]筐子库存汇总!$K$21),"")</f>
        <v/>
      </c>
      <c r="L21" s="17" t="str">
        <f>IFERROR(IF([2]筐子库存汇总!$L$21=0,"",[2]筐子库存汇总!$L$21),"")</f>
        <v/>
      </c>
      <c r="M21" s="16" t="str">
        <f>IFERROR(IF([2]筐子库存汇总!$M$21=0,"",[2]筐子库存汇总!$M$21),"")</f>
        <v/>
      </c>
    </row>
    <row r="22" customHeight="1" spans="1:13">
      <c r="A22" s="16" t="str">
        <f>IFERROR(IF([2]筐子库存汇总!$A$22=0,"",[2]筐子库存汇总!$A$22),"")</f>
        <v/>
      </c>
      <c r="B22" s="30" t="str">
        <f>IFERROR(IF([2]筐子库存汇总!$B$22=0,"",[2]筐子库存汇总!$B$22),"")</f>
        <v/>
      </c>
      <c r="C22" s="17" t="str">
        <f>IFERROR(IF([2]筐子库存汇总!$C$22=0,"",[2]筐子库存汇总!$C$22),"")</f>
        <v/>
      </c>
      <c r="D22" s="17" t="str">
        <f>IFERROR(IF([2]筐子库存汇总!$D$22=0,"",[2]筐子库存汇总!$D$22),"")</f>
        <v/>
      </c>
      <c r="E22" s="31" t="str">
        <f>IFERROR(IF([2]筐子库存汇总!$E$22=0,"",[2]筐子库存汇总!$E$22),"")</f>
        <v/>
      </c>
      <c r="F22" s="17" t="str">
        <f>IFERROR(IF([2]筐子库存汇总!$F$22=0,"",[2]筐子库存汇总!$F$22),"")</f>
        <v/>
      </c>
      <c r="G22" s="17" t="str">
        <f>IFERROR(IF([2]筐子库存汇总!$G$22=0,"",[2]筐子库存汇总!$G$22),"")</f>
        <v/>
      </c>
      <c r="H22" s="17" t="str">
        <f>IFERROR(IF([2]筐子库存汇总!$H$22=0,"",[2]筐子库存汇总!$H$22),"")</f>
        <v/>
      </c>
      <c r="I22" s="17" t="str">
        <f>IFERROR(IF([2]筐子库存汇总!$I$22=0,"",[2]筐子库存汇总!$I$22),"")</f>
        <v/>
      </c>
      <c r="J22" s="17" t="str">
        <f>IFERROR(IF([2]筐子库存汇总!$J$22=0,"",[2]筐子库存汇总!$J$22),"")</f>
        <v/>
      </c>
      <c r="K22" s="17" t="str">
        <f>IFERROR(IF([2]筐子库存汇总!$K$22=0,"",[2]筐子库存汇总!$K$22),"")</f>
        <v/>
      </c>
      <c r="L22" s="17" t="str">
        <f>IFERROR(IF([2]筐子库存汇总!$L$22=0,"",[2]筐子库存汇总!$L$22),"")</f>
        <v/>
      </c>
      <c r="M22" s="16" t="str">
        <f>IFERROR(IF([2]筐子库存汇总!$M$22=0,"",[2]筐子库存汇总!$M$22),"")</f>
        <v/>
      </c>
    </row>
    <row r="23" customHeight="1" spans="1:13">
      <c r="A23" s="16" t="str">
        <f>IFERROR(IF([2]筐子库存汇总!$A$23=0,"",[2]筐子库存汇总!$A$23),"")</f>
        <v/>
      </c>
      <c r="B23" s="30" t="str">
        <f>IFERROR(IF([2]筐子库存汇总!$B$23=0,"",[2]筐子库存汇总!$B$23),"")</f>
        <v/>
      </c>
      <c r="C23" s="17" t="str">
        <f>IFERROR(IF([2]筐子库存汇总!$C$23=0,"",[2]筐子库存汇总!$C$23),"")</f>
        <v/>
      </c>
      <c r="D23" s="17" t="str">
        <f>IFERROR(IF([2]筐子库存汇总!$D$23=0,"",[2]筐子库存汇总!$D$23),"")</f>
        <v/>
      </c>
      <c r="E23" s="31" t="str">
        <f>IFERROR(IF([2]筐子库存汇总!$E$23=0,"",[2]筐子库存汇总!$E$23),"")</f>
        <v/>
      </c>
      <c r="F23" s="17" t="str">
        <f>IFERROR(IF([2]筐子库存汇总!$F$23=0,"",[2]筐子库存汇总!$F$23),"")</f>
        <v/>
      </c>
      <c r="G23" s="17" t="str">
        <f>IFERROR(IF([2]筐子库存汇总!$G$23=0,"",[2]筐子库存汇总!$G$23),"")</f>
        <v/>
      </c>
      <c r="H23" s="17" t="str">
        <f>IFERROR(IF([2]筐子库存汇总!$H$23=0,"",[2]筐子库存汇总!$H$23),"")</f>
        <v/>
      </c>
      <c r="I23" s="17" t="str">
        <f>IFERROR(IF([2]筐子库存汇总!$I$23=0,"",[2]筐子库存汇总!$I$23),"")</f>
        <v/>
      </c>
      <c r="J23" s="17" t="str">
        <f>IFERROR(IF([2]筐子库存汇总!$J$23=0,"",[2]筐子库存汇总!$J$23),"")</f>
        <v/>
      </c>
      <c r="K23" s="17" t="str">
        <f>IFERROR(IF([2]筐子库存汇总!$K$23=0,"",[2]筐子库存汇总!$K$23),"")</f>
        <v/>
      </c>
      <c r="L23" s="17" t="str">
        <f>IFERROR(IF([2]筐子库存汇总!$L$23=0,"",[2]筐子库存汇总!$L$23),"")</f>
        <v/>
      </c>
      <c r="M23" s="16" t="str">
        <f>IFERROR(IF([2]筐子库存汇总!$M$23=0,"",[2]筐子库存汇总!$M$23),"")</f>
        <v/>
      </c>
    </row>
    <row r="24" customHeight="1" spans="1:13">
      <c r="A24" s="16" t="str">
        <f>IFERROR(IF([2]筐子库存汇总!$A$24=0,"",[2]筐子库存汇总!$A$24),"")</f>
        <v/>
      </c>
      <c r="B24" s="30" t="str">
        <f>IFERROR(IF([2]筐子库存汇总!$B$24=0,"",[2]筐子库存汇总!$B$24),"")</f>
        <v/>
      </c>
      <c r="C24" s="17" t="str">
        <f>IFERROR(IF([2]筐子库存汇总!$C$24=0,"",[2]筐子库存汇总!$C$24),"")</f>
        <v/>
      </c>
      <c r="D24" s="17" t="str">
        <f>IFERROR(IF([2]筐子库存汇总!$D$24=0,"",[2]筐子库存汇总!$D$24),"")</f>
        <v/>
      </c>
      <c r="E24" s="31" t="str">
        <f>IFERROR(IF([2]筐子库存汇总!$E$24=0,"",[2]筐子库存汇总!$E$24),"")</f>
        <v/>
      </c>
      <c r="F24" s="17" t="str">
        <f>IFERROR(IF([2]筐子库存汇总!$F$24=0,"",[2]筐子库存汇总!$F$24),"")</f>
        <v/>
      </c>
      <c r="G24" s="17" t="str">
        <f>IFERROR(IF([2]筐子库存汇总!$G$24=0,"",[2]筐子库存汇总!$G$24),"")</f>
        <v/>
      </c>
      <c r="H24" s="17" t="str">
        <f>IFERROR(IF([2]筐子库存汇总!$H$24=0,"",[2]筐子库存汇总!$H$24),"")</f>
        <v/>
      </c>
      <c r="I24" s="17" t="str">
        <f>IFERROR(IF([2]筐子库存汇总!$I$24=0,"",[2]筐子库存汇总!$I$24),"")</f>
        <v/>
      </c>
      <c r="J24" s="17" t="str">
        <f>IFERROR(IF([2]筐子库存汇总!$J$24=0,"",[2]筐子库存汇总!$J$24),"")</f>
        <v/>
      </c>
      <c r="K24" s="17" t="str">
        <f>IFERROR(IF([2]筐子库存汇总!$K$24=0,"",[2]筐子库存汇总!$K$24),"")</f>
        <v/>
      </c>
      <c r="L24" s="17" t="str">
        <f>IFERROR(IF([2]筐子库存汇总!$L$24=0,"",[2]筐子库存汇总!$L$24),"")</f>
        <v/>
      </c>
      <c r="M24" s="16" t="str">
        <f>IFERROR(IF([2]筐子库存汇总!$M$24=0,"",[2]筐子库存汇总!$M$24),"")</f>
        <v/>
      </c>
    </row>
    <row r="25" customHeight="1" spans="1:13">
      <c r="A25" s="16" t="str">
        <f>IFERROR(IF([2]筐子库存汇总!$A$25=0,"",[2]筐子库存汇总!$A$25),"")</f>
        <v/>
      </c>
      <c r="B25" s="30" t="str">
        <f>IFERROR(IF([2]筐子库存汇总!$B$25=0,"",[2]筐子库存汇总!$B$25),"")</f>
        <v/>
      </c>
      <c r="C25" s="17" t="str">
        <f>IFERROR(IF([2]筐子库存汇总!$C$25=0,"",[2]筐子库存汇总!$C$25),"")</f>
        <v/>
      </c>
      <c r="D25" s="17" t="str">
        <f>IFERROR(IF([2]筐子库存汇总!$D$25=0,"",[2]筐子库存汇总!$D$25),"")</f>
        <v/>
      </c>
      <c r="E25" s="31" t="str">
        <f>IFERROR(IF([2]筐子库存汇总!$E$25=0,"",[2]筐子库存汇总!$E$25),"")</f>
        <v/>
      </c>
      <c r="F25" s="17" t="str">
        <f>IFERROR(IF([2]筐子库存汇总!$F$25=0,"",[2]筐子库存汇总!$F$25),"")</f>
        <v/>
      </c>
      <c r="G25" s="17" t="str">
        <f>IFERROR(IF([2]筐子库存汇总!$G$25=0,"",[2]筐子库存汇总!$G$25),"")</f>
        <v/>
      </c>
      <c r="H25" s="17" t="str">
        <f>IFERROR(IF([2]筐子库存汇总!$H$25=0,"",[2]筐子库存汇总!$H$25),"")</f>
        <v/>
      </c>
      <c r="I25" s="17" t="str">
        <f>IFERROR(IF([2]筐子库存汇总!$I$25=0,"",[2]筐子库存汇总!$I$25),"")</f>
        <v/>
      </c>
      <c r="J25" s="17" t="str">
        <f>IFERROR(IF([2]筐子库存汇总!$J$25=0,"",[2]筐子库存汇总!$J$25),"")</f>
        <v/>
      </c>
      <c r="K25" s="17" t="str">
        <f>IFERROR(IF([2]筐子库存汇总!$K$25=0,"",[2]筐子库存汇总!$K$25),"")</f>
        <v/>
      </c>
      <c r="L25" s="17" t="str">
        <f>IFERROR(IF([2]筐子库存汇总!$L$25=0,"",[2]筐子库存汇总!$L$25),"")</f>
        <v/>
      </c>
      <c r="M25" s="16" t="str">
        <f>IFERROR(IF([2]筐子库存汇总!$M$25=0,"",[2]筐子库存汇总!$M$25),"")</f>
        <v/>
      </c>
    </row>
    <row r="26" customHeight="1" spans="1:13">
      <c r="A26" s="16" t="str">
        <f>IFERROR(IF([2]筐子库存汇总!$A$26=0,"",[2]筐子库存汇总!$A$26),"")</f>
        <v/>
      </c>
      <c r="B26" s="30" t="str">
        <f>IFERROR(IF([2]筐子库存汇总!$B$26=0,"",[2]筐子库存汇总!$B$26),"")</f>
        <v/>
      </c>
      <c r="C26" s="17" t="str">
        <f>IFERROR(IF([2]筐子库存汇总!$C$26=0,"",[2]筐子库存汇总!$C$26),"")</f>
        <v/>
      </c>
      <c r="D26" s="17" t="str">
        <f>IFERROR(IF([2]筐子库存汇总!$D$26=0,"",[2]筐子库存汇总!$D$26),"")</f>
        <v/>
      </c>
      <c r="E26" s="31" t="str">
        <f>IFERROR(IF([2]筐子库存汇总!$E$26=0,"",[2]筐子库存汇总!$E$26),"")</f>
        <v/>
      </c>
      <c r="F26" s="17" t="str">
        <f>IFERROR(IF([2]筐子库存汇总!$F$26=0,"",[2]筐子库存汇总!$F$26),"")</f>
        <v/>
      </c>
      <c r="G26" s="17" t="str">
        <f>IFERROR(IF([2]筐子库存汇总!$G$26=0,"",[2]筐子库存汇总!$G$26),"")</f>
        <v/>
      </c>
      <c r="H26" s="17" t="str">
        <f>IFERROR(IF([2]筐子库存汇总!$H$26=0,"",[2]筐子库存汇总!$H$26),"")</f>
        <v/>
      </c>
      <c r="I26" s="17" t="str">
        <f>IFERROR(IF([2]筐子库存汇总!$I$26=0,"",[2]筐子库存汇总!$I$26),"")</f>
        <v/>
      </c>
      <c r="J26" s="17" t="str">
        <f>IFERROR(IF([2]筐子库存汇总!$J$26=0,"",[2]筐子库存汇总!$J$26),"")</f>
        <v/>
      </c>
      <c r="K26" s="17" t="str">
        <f>IFERROR(IF([2]筐子库存汇总!$K$26=0,"",[2]筐子库存汇总!$K$26),"")</f>
        <v/>
      </c>
      <c r="L26" s="17" t="str">
        <f>IFERROR(IF([2]筐子库存汇总!$L$26=0,"",[2]筐子库存汇总!$L$26),"")</f>
        <v/>
      </c>
      <c r="M26" s="16" t="str">
        <f>IFERROR(IF([2]筐子库存汇总!$M$26=0,"",[2]筐子库存汇总!$M$26),"")</f>
        <v/>
      </c>
    </row>
    <row r="27" customHeight="1" spans="1:13">
      <c r="A27" s="16" t="str">
        <f>IFERROR(IF([2]筐子库存汇总!$A$27=0,"",[2]筐子库存汇总!$A$27),"")</f>
        <v/>
      </c>
      <c r="B27" s="30" t="str">
        <f>IFERROR(IF([2]筐子库存汇总!$B$27=0,"",[2]筐子库存汇总!$B$27),"")</f>
        <v/>
      </c>
      <c r="C27" s="17" t="str">
        <f>IFERROR(IF([2]筐子库存汇总!$C$27=0,"",[2]筐子库存汇总!$C$27),"")</f>
        <v/>
      </c>
      <c r="D27" s="17" t="str">
        <f>IFERROR(IF([2]筐子库存汇总!$D$27=0,"",[2]筐子库存汇总!$D$27),"")</f>
        <v/>
      </c>
      <c r="E27" s="31" t="str">
        <f>IFERROR(IF([2]筐子库存汇总!$E$27=0,"",[2]筐子库存汇总!$E$27),"")</f>
        <v/>
      </c>
      <c r="F27" s="17" t="str">
        <f>IFERROR(IF([2]筐子库存汇总!$F$27=0,"",[2]筐子库存汇总!$F$27),"")</f>
        <v/>
      </c>
      <c r="G27" s="17" t="str">
        <f>IFERROR(IF([2]筐子库存汇总!$G$27=0,"",[2]筐子库存汇总!$G$27),"")</f>
        <v/>
      </c>
      <c r="H27" s="17" t="str">
        <f>IFERROR(IF([2]筐子库存汇总!$H$27=0,"",[2]筐子库存汇总!$H$27),"")</f>
        <v/>
      </c>
      <c r="I27" s="17" t="str">
        <f>IFERROR(IF([2]筐子库存汇总!$I$27=0,"",[2]筐子库存汇总!$I$27),"")</f>
        <v/>
      </c>
      <c r="J27" s="17" t="str">
        <f>IFERROR(IF([2]筐子库存汇总!$J$27=0,"",[2]筐子库存汇总!$J$27),"")</f>
        <v/>
      </c>
      <c r="K27" s="17" t="str">
        <f>IFERROR(IF([2]筐子库存汇总!$K$27=0,"",[2]筐子库存汇总!$K$27),"")</f>
        <v/>
      </c>
      <c r="L27" s="17" t="str">
        <f>IFERROR(IF([2]筐子库存汇总!$L$27=0,"",[2]筐子库存汇总!$L$27),"")</f>
        <v/>
      </c>
      <c r="M27" s="16" t="str">
        <f>IFERROR(IF([2]筐子库存汇总!$M$27=0,"",[2]筐子库存汇总!$M$27),"")</f>
        <v/>
      </c>
    </row>
    <row r="28" customHeight="1" spans="1:13">
      <c r="A28" s="16" t="str">
        <f>IFERROR(IF([2]筐子库存汇总!$A$28=0,"",[2]筐子库存汇总!$A$28),"")</f>
        <v/>
      </c>
      <c r="B28" s="30" t="str">
        <f>IFERROR(IF([2]筐子库存汇总!$B$28=0,"",[2]筐子库存汇总!$B$28),"")</f>
        <v/>
      </c>
      <c r="C28" s="17" t="str">
        <f>IFERROR(IF([2]筐子库存汇总!$C$28=0,"",[2]筐子库存汇总!$C$28),"")</f>
        <v/>
      </c>
      <c r="D28" s="17" t="str">
        <f>IFERROR(IF([2]筐子库存汇总!$D$28=0,"",[2]筐子库存汇总!$D$28),"")</f>
        <v/>
      </c>
      <c r="E28" s="31" t="str">
        <f>IFERROR(IF([2]筐子库存汇总!$E$28=0,"",[2]筐子库存汇总!$E$28),"")</f>
        <v/>
      </c>
      <c r="F28" s="17" t="str">
        <f>IFERROR(IF([2]筐子库存汇总!$F$28=0,"",[2]筐子库存汇总!$F$28),"")</f>
        <v/>
      </c>
      <c r="G28" s="17" t="str">
        <f>IFERROR(IF([2]筐子库存汇总!$G$28=0,"",[2]筐子库存汇总!$G$28),"")</f>
        <v/>
      </c>
      <c r="H28" s="17" t="str">
        <f>IFERROR(IF([2]筐子库存汇总!$H$28=0,"",[2]筐子库存汇总!$H$28),"")</f>
        <v/>
      </c>
      <c r="I28" s="17" t="str">
        <f>IFERROR(IF([2]筐子库存汇总!$I$28=0,"",[2]筐子库存汇总!$I$28),"")</f>
        <v/>
      </c>
      <c r="J28" s="17" t="str">
        <f>IFERROR(IF([2]筐子库存汇总!$J$28=0,"",[2]筐子库存汇总!$J$28),"")</f>
        <v/>
      </c>
      <c r="K28" s="17" t="str">
        <f>IFERROR(IF([2]筐子库存汇总!$K$28=0,"",[2]筐子库存汇总!$K$28),"")</f>
        <v/>
      </c>
      <c r="L28" s="17" t="str">
        <f>IFERROR(IF([2]筐子库存汇总!$L$28=0,"",[2]筐子库存汇总!$L$28),"")</f>
        <v/>
      </c>
      <c r="M28" s="16" t="str">
        <f>IFERROR(IF([2]筐子库存汇总!$M$28=0,"",[2]筐子库存汇总!$M$28),"")</f>
        <v/>
      </c>
    </row>
    <row r="29" customHeight="1" spans="1:13">
      <c r="A29" s="16" t="str">
        <f>IFERROR(IF([2]筐子库存汇总!$A$29=0,"",[2]筐子库存汇总!$A$29),"")</f>
        <v/>
      </c>
      <c r="B29" s="30" t="str">
        <f>IFERROR(IF([2]筐子库存汇总!$B$29=0,"",[2]筐子库存汇总!$B$29),"")</f>
        <v/>
      </c>
      <c r="C29" s="17" t="str">
        <f>IFERROR(IF([2]筐子库存汇总!$C$29=0,"",[2]筐子库存汇总!$C$29),"")</f>
        <v/>
      </c>
      <c r="D29" s="17" t="str">
        <f>IFERROR(IF([2]筐子库存汇总!$D$29=0,"",[2]筐子库存汇总!$D$29),"")</f>
        <v/>
      </c>
      <c r="E29" s="31" t="str">
        <f>IFERROR(IF([2]筐子库存汇总!$E$29=0,"",[2]筐子库存汇总!$E$29),"")</f>
        <v/>
      </c>
      <c r="F29" s="17" t="str">
        <f>IFERROR(IF([2]筐子库存汇总!$F$29=0,"",[2]筐子库存汇总!$F$29),"")</f>
        <v/>
      </c>
      <c r="G29" s="17" t="str">
        <f>IFERROR(IF([2]筐子库存汇总!$G$29=0,"",[2]筐子库存汇总!$G$29),"")</f>
        <v/>
      </c>
      <c r="H29" s="17" t="str">
        <f>IFERROR(IF([2]筐子库存汇总!$H$29=0,"",[2]筐子库存汇总!$H$29),"")</f>
        <v/>
      </c>
      <c r="I29" s="17" t="str">
        <f>IFERROR(IF([2]筐子库存汇总!$I$29=0,"",[2]筐子库存汇总!$I$29),"")</f>
        <v/>
      </c>
      <c r="J29" s="17" t="str">
        <f>IFERROR(IF([2]筐子库存汇总!$J$29=0,"",[2]筐子库存汇总!$J$29),"")</f>
        <v/>
      </c>
      <c r="K29" s="17" t="str">
        <f>IFERROR(IF([2]筐子库存汇总!$K$29=0,"",[2]筐子库存汇总!$K$29),"")</f>
        <v/>
      </c>
      <c r="L29" s="17" t="str">
        <f>IFERROR(IF([2]筐子库存汇总!$L$29=0,"",[2]筐子库存汇总!$L$29),"")</f>
        <v/>
      </c>
      <c r="M29" s="16" t="str">
        <f>IFERROR(IF([2]筐子库存汇总!$M$29=0,"",[2]筐子库存汇总!$M$29),"")</f>
        <v/>
      </c>
    </row>
    <row r="30" customHeight="1" spans="1:13">
      <c r="A30" s="16" t="str">
        <f>IFERROR(IF([2]筐子库存汇总!$A$30=0,"",[2]筐子库存汇总!$A$30),"")</f>
        <v/>
      </c>
      <c r="B30" s="30" t="str">
        <f>IFERROR(IF([2]筐子库存汇总!$B$30=0,"",[2]筐子库存汇总!$B$30),"")</f>
        <v/>
      </c>
      <c r="C30" s="17" t="str">
        <f>IFERROR(IF([2]筐子库存汇总!$C$30=0,"",[2]筐子库存汇总!$C$30),"")</f>
        <v/>
      </c>
      <c r="D30" s="17" t="str">
        <f>IFERROR(IF([2]筐子库存汇总!$D$30=0,"",[2]筐子库存汇总!$D$30),"")</f>
        <v/>
      </c>
      <c r="E30" s="31" t="str">
        <f>IFERROR(IF([2]筐子库存汇总!$E$30=0,"",[2]筐子库存汇总!$E$30),"")</f>
        <v/>
      </c>
      <c r="F30" s="17" t="str">
        <f>IFERROR(IF([2]筐子库存汇总!$F$30=0,"",[2]筐子库存汇总!$F$30),"")</f>
        <v/>
      </c>
      <c r="G30" s="17" t="str">
        <f>IFERROR(IF([2]筐子库存汇总!$G$30=0,"",[2]筐子库存汇总!$G$30),"")</f>
        <v/>
      </c>
      <c r="H30" s="17" t="str">
        <f>IFERROR(IF([2]筐子库存汇总!$H$30=0,"",[2]筐子库存汇总!$H$30),"")</f>
        <v/>
      </c>
      <c r="I30" s="17" t="str">
        <f>IFERROR(IF([2]筐子库存汇总!$I$30=0,"",[2]筐子库存汇总!$I$30),"")</f>
        <v/>
      </c>
      <c r="J30" s="17" t="str">
        <f>IFERROR(IF([2]筐子库存汇总!$J$30=0,"",[2]筐子库存汇总!$J$30),"")</f>
        <v/>
      </c>
      <c r="K30" s="17" t="str">
        <f>IFERROR(IF([2]筐子库存汇总!$K$30=0,"",[2]筐子库存汇总!$K$30),"")</f>
        <v/>
      </c>
      <c r="L30" s="17" t="str">
        <f>IFERROR(IF([2]筐子库存汇总!$L$30=0,"",[2]筐子库存汇总!$L$30),"")</f>
        <v/>
      </c>
      <c r="M30" s="16" t="str">
        <f>IFERROR(IF([2]筐子库存汇总!$M$30=0,"",[2]筐子库存汇总!$M$30),"")</f>
        <v/>
      </c>
    </row>
    <row r="31" customHeight="1" spans="1:13">
      <c r="A31" s="16" t="str">
        <f>IFERROR(IF([2]筐子库存汇总!$A$31=0,"",[2]筐子库存汇总!$A$31),"")</f>
        <v/>
      </c>
      <c r="B31" s="30" t="str">
        <f>IFERROR(IF([2]筐子库存汇总!$B$31=0,"",[2]筐子库存汇总!$B$31),"")</f>
        <v/>
      </c>
      <c r="C31" s="17" t="str">
        <f>IFERROR(IF([2]筐子库存汇总!$C$31=0,"",[2]筐子库存汇总!$C$31),"")</f>
        <v/>
      </c>
      <c r="D31" s="17" t="str">
        <f>IFERROR(IF([2]筐子库存汇总!$D$31=0,"",[2]筐子库存汇总!$D$31),"")</f>
        <v/>
      </c>
      <c r="E31" s="31" t="str">
        <f>IFERROR(IF([2]筐子库存汇总!$E$31=0,"",[2]筐子库存汇总!$E$31),"")</f>
        <v/>
      </c>
      <c r="F31" s="17" t="str">
        <f>IFERROR(IF([2]筐子库存汇总!$F$31=0,"",[2]筐子库存汇总!$F$31),"")</f>
        <v/>
      </c>
      <c r="G31" s="17" t="str">
        <f>IFERROR(IF([2]筐子库存汇总!$G$31=0,"",[2]筐子库存汇总!$G$31),"")</f>
        <v/>
      </c>
      <c r="H31" s="17" t="str">
        <f>IFERROR(IF([2]筐子库存汇总!$H$31=0,"",[2]筐子库存汇总!$H$31),"")</f>
        <v/>
      </c>
      <c r="I31" s="17" t="str">
        <f>IFERROR(IF([2]筐子库存汇总!$I$31=0,"",[2]筐子库存汇总!$I$31),"")</f>
        <v/>
      </c>
      <c r="J31" s="17" t="str">
        <f>IFERROR(IF([2]筐子库存汇总!$J$31=0,"",[2]筐子库存汇总!$J$31),"")</f>
        <v/>
      </c>
      <c r="K31" s="17" t="str">
        <f>IFERROR(IF([2]筐子库存汇总!$K$31=0,"",[2]筐子库存汇总!$K$31),"")</f>
        <v/>
      </c>
      <c r="L31" s="17" t="str">
        <f>IFERROR(IF([2]筐子库存汇总!$L$31=0,"",[2]筐子库存汇总!$L$31),"")</f>
        <v/>
      </c>
      <c r="M31" s="16" t="str">
        <f>IFERROR(IF([2]筐子库存汇总!$M$31=0,"",[2]筐子库存汇总!$M$31),"")</f>
        <v/>
      </c>
    </row>
    <row r="32" customHeight="1" spans="1:13">
      <c r="A32" s="16" t="str">
        <f>IFERROR(IF([2]筐子库存汇总!$A$32=0,"",[2]筐子库存汇总!$A$32),"")</f>
        <v/>
      </c>
      <c r="B32" s="30" t="str">
        <f>IFERROR(IF([2]筐子库存汇总!$B$32=0,"",[2]筐子库存汇总!$B$32),"")</f>
        <v/>
      </c>
      <c r="C32" s="17" t="str">
        <f>IFERROR(IF([2]筐子库存汇总!$C$32=0,"",[2]筐子库存汇总!$C$32),"")</f>
        <v/>
      </c>
      <c r="D32" s="17" t="str">
        <f>IFERROR(IF([2]筐子库存汇总!$D$32=0,"",[2]筐子库存汇总!$D$32),"")</f>
        <v/>
      </c>
      <c r="E32" s="31" t="str">
        <f>IFERROR(IF([2]筐子库存汇总!$E$32=0,"",[2]筐子库存汇总!$E$32),"")</f>
        <v/>
      </c>
      <c r="F32" s="17" t="str">
        <f>IFERROR(IF([2]筐子库存汇总!$F$32=0,"",[2]筐子库存汇总!$F$32),"")</f>
        <v/>
      </c>
      <c r="G32" s="17" t="str">
        <f>IFERROR(IF([2]筐子库存汇总!$G$32=0,"",[2]筐子库存汇总!$G$32),"")</f>
        <v/>
      </c>
      <c r="H32" s="17" t="str">
        <f>IFERROR(IF([2]筐子库存汇总!$H$32=0,"",[2]筐子库存汇总!$H$32),"")</f>
        <v/>
      </c>
      <c r="I32" s="17" t="str">
        <f>IFERROR(IF([2]筐子库存汇总!$I$32=0,"",[2]筐子库存汇总!$I$32),"")</f>
        <v/>
      </c>
      <c r="J32" s="17" t="str">
        <f>IFERROR(IF([2]筐子库存汇总!$J$32=0,"",[2]筐子库存汇总!$J$32),"")</f>
        <v/>
      </c>
      <c r="K32" s="17" t="str">
        <f>IFERROR(IF([2]筐子库存汇总!$K$32=0,"",[2]筐子库存汇总!$K$32),"")</f>
        <v/>
      </c>
      <c r="L32" s="17" t="str">
        <f>IFERROR(IF([2]筐子库存汇总!$L$32=0,"",[2]筐子库存汇总!$L$32),"")</f>
        <v/>
      </c>
      <c r="M32" s="16" t="str">
        <f>IFERROR(IF([2]筐子库存汇总!$M$32=0,"",[2]筐子库存汇总!$M$32),"")</f>
        <v/>
      </c>
    </row>
    <row r="33" customHeight="1" spans="1:13">
      <c r="A33" s="16" t="str">
        <f>IFERROR(IF([2]筐子库存汇总!$A$33=0,"",[2]筐子库存汇总!$A$33),"")</f>
        <v/>
      </c>
      <c r="B33" s="30" t="str">
        <f>IFERROR(IF([2]筐子库存汇总!$B$33=0,"",[2]筐子库存汇总!$B$33),"")</f>
        <v/>
      </c>
      <c r="C33" s="17" t="str">
        <f>IFERROR(IF([2]筐子库存汇总!$C$33=0,"",[2]筐子库存汇总!$C$33),"")</f>
        <v/>
      </c>
      <c r="D33" s="17" t="str">
        <f>IFERROR(IF([2]筐子库存汇总!$D$33=0,"",[2]筐子库存汇总!$D$33),"")</f>
        <v/>
      </c>
      <c r="E33" s="31" t="str">
        <f>IFERROR(IF([2]筐子库存汇总!$E$33=0,"",[2]筐子库存汇总!$E$33),"")</f>
        <v/>
      </c>
      <c r="F33" s="17" t="str">
        <f>IFERROR(IF([2]筐子库存汇总!$F$33=0,"",[2]筐子库存汇总!$F$33),"")</f>
        <v/>
      </c>
      <c r="G33" s="17" t="str">
        <f>IFERROR(IF([2]筐子库存汇总!$G$33=0,"",[2]筐子库存汇总!$G$33),"")</f>
        <v/>
      </c>
      <c r="H33" s="17" t="str">
        <f>IFERROR(IF([2]筐子库存汇总!$H$33=0,"",[2]筐子库存汇总!$H$33),"")</f>
        <v/>
      </c>
      <c r="I33" s="17" t="str">
        <f>IFERROR(IF([2]筐子库存汇总!$I$33=0,"",[2]筐子库存汇总!$I$33),"")</f>
        <v/>
      </c>
      <c r="J33" s="17" t="str">
        <f>IFERROR(IF([2]筐子库存汇总!$J$33=0,"",[2]筐子库存汇总!$J$33),"")</f>
        <v/>
      </c>
      <c r="K33" s="17" t="str">
        <f>IFERROR(IF([2]筐子库存汇总!$K$33=0,"",[2]筐子库存汇总!$K$33),"")</f>
        <v/>
      </c>
      <c r="L33" s="17" t="str">
        <f>IFERROR(IF([2]筐子库存汇总!$L$33=0,"",[2]筐子库存汇总!$L$33),"")</f>
        <v/>
      </c>
      <c r="M33" s="16" t="str">
        <f>IFERROR(IF([2]筐子库存汇总!$M$33=0,"",[2]筐子库存汇总!$M$33),"")</f>
        <v/>
      </c>
    </row>
    <row r="34" customHeight="1" spans="1:13">
      <c r="A34" s="16" t="str">
        <f>IFERROR(IF([2]筐子库存汇总!$A$34=0,"",[2]筐子库存汇总!$A$34),"")</f>
        <v/>
      </c>
      <c r="B34" s="30" t="str">
        <f>IFERROR(IF([2]筐子库存汇总!$B$34=0,"",[2]筐子库存汇总!$B$34),"")</f>
        <v/>
      </c>
      <c r="C34" s="17" t="str">
        <f>IFERROR(IF([2]筐子库存汇总!$C$34=0,"",[2]筐子库存汇总!$C$34),"")</f>
        <v/>
      </c>
      <c r="D34" s="17" t="str">
        <f>IFERROR(IF([2]筐子库存汇总!$D$34=0,"",[2]筐子库存汇总!$D$34),"")</f>
        <v/>
      </c>
      <c r="E34" s="31" t="str">
        <f>IFERROR(IF([2]筐子库存汇总!$E$34=0,"",[2]筐子库存汇总!$E$34),"")</f>
        <v/>
      </c>
      <c r="F34" s="17" t="str">
        <f>IFERROR(IF([2]筐子库存汇总!$F$34=0,"",[2]筐子库存汇总!$F$34),"")</f>
        <v/>
      </c>
      <c r="G34" s="17" t="str">
        <f>IFERROR(IF([2]筐子库存汇总!$G$34=0,"",[2]筐子库存汇总!$G$34),"")</f>
        <v/>
      </c>
      <c r="H34" s="17" t="str">
        <f>IFERROR(IF([2]筐子库存汇总!$H$34=0,"",[2]筐子库存汇总!$H$34),"")</f>
        <v/>
      </c>
      <c r="I34" s="17" t="str">
        <f>IFERROR(IF([2]筐子库存汇总!$I$34=0,"",[2]筐子库存汇总!$I$34),"")</f>
        <v/>
      </c>
      <c r="J34" s="17" t="str">
        <f>IFERROR(IF([2]筐子库存汇总!$J$34=0,"",[2]筐子库存汇总!$J$34),"")</f>
        <v/>
      </c>
      <c r="K34" s="17" t="str">
        <f>IFERROR(IF([2]筐子库存汇总!$K$34=0,"",[2]筐子库存汇总!$K$34),"")</f>
        <v/>
      </c>
      <c r="L34" s="17" t="str">
        <f>IFERROR(IF([2]筐子库存汇总!$L$34=0,"",[2]筐子库存汇总!$L$34),"")</f>
        <v/>
      </c>
      <c r="M34" s="16" t="str">
        <f>IFERROR(IF([2]筐子库存汇总!$M$34=0,"",[2]筐子库存汇总!$M$34),"")</f>
        <v/>
      </c>
    </row>
    <row r="35" customHeight="1" spans="1:13">
      <c r="A35" s="16" t="str">
        <f>IFERROR(IF([2]筐子库存汇总!$A$35=0,"",[2]筐子库存汇总!$A$35),"")</f>
        <v/>
      </c>
      <c r="B35" s="30" t="str">
        <f>IFERROR(IF([2]筐子库存汇总!$B$35=0,"",[2]筐子库存汇总!$B$35),"")</f>
        <v/>
      </c>
      <c r="C35" s="17" t="str">
        <f>IFERROR(IF([2]筐子库存汇总!$C$35=0,"",[2]筐子库存汇总!$C$35),"")</f>
        <v/>
      </c>
      <c r="D35" s="17" t="str">
        <f>IFERROR(IF([2]筐子库存汇总!$D$35=0,"",[2]筐子库存汇总!$D$35),"")</f>
        <v/>
      </c>
      <c r="E35" s="31" t="str">
        <f>IFERROR(IF([2]筐子库存汇总!$E$35=0,"",[2]筐子库存汇总!$E$35),"")</f>
        <v/>
      </c>
      <c r="F35" s="17" t="str">
        <f>IFERROR(IF([2]筐子库存汇总!$F$35=0,"",[2]筐子库存汇总!$F$35),"")</f>
        <v/>
      </c>
      <c r="G35" s="17" t="str">
        <f>IFERROR(IF([2]筐子库存汇总!$G$35=0,"",[2]筐子库存汇总!$G$35),"")</f>
        <v/>
      </c>
      <c r="H35" s="17" t="str">
        <f>IFERROR(IF([2]筐子库存汇总!$H$35=0,"",[2]筐子库存汇总!$H$35),"")</f>
        <v/>
      </c>
      <c r="I35" s="17" t="str">
        <f>IFERROR(IF([2]筐子库存汇总!$I$35=0,"",[2]筐子库存汇总!$I$35),"")</f>
        <v/>
      </c>
      <c r="J35" s="17" t="str">
        <f>IFERROR(IF([2]筐子库存汇总!$J$35=0,"",[2]筐子库存汇总!$J$35),"")</f>
        <v/>
      </c>
      <c r="K35" s="17" t="str">
        <f>IFERROR(IF([2]筐子库存汇总!$K$35=0,"",[2]筐子库存汇总!$K$35),"")</f>
        <v/>
      </c>
      <c r="L35" s="17" t="str">
        <f>IFERROR(IF([2]筐子库存汇总!$L$35=0,"",[2]筐子库存汇总!$L$35),"")</f>
        <v/>
      </c>
      <c r="M35" s="16" t="str">
        <f>IFERROR(IF([2]筐子库存汇总!$M$35=0,"",[2]筐子库存汇总!$M$35),"")</f>
        <v/>
      </c>
    </row>
    <row r="36" customHeight="1" spans="1:13">
      <c r="A36" s="16" t="str">
        <f>IFERROR(IF([2]筐子库存汇总!$A$36=0,"",[2]筐子库存汇总!$A$36),"")</f>
        <v/>
      </c>
      <c r="B36" s="30" t="str">
        <f>IFERROR(IF([2]筐子库存汇总!$B$36=0,"",[2]筐子库存汇总!$B$36),"")</f>
        <v/>
      </c>
      <c r="C36" s="17" t="str">
        <f>IFERROR(IF([2]筐子库存汇总!$C$36=0,"",[2]筐子库存汇总!$C$36),"")</f>
        <v/>
      </c>
      <c r="D36" s="17" t="str">
        <f>IFERROR(IF([2]筐子库存汇总!$D$36=0,"",[2]筐子库存汇总!$D$36),"")</f>
        <v/>
      </c>
      <c r="E36" s="31" t="str">
        <f>IFERROR(IF([2]筐子库存汇总!$E$36=0,"",[2]筐子库存汇总!$E$36),"")</f>
        <v/>
      </c>
      <c r="F36" s="17" t="str">
        <f>IFERROR(IF([2]筐子库存汇总!$F$36=0,"",[2]筐子库存汇总!$F$36),"")</f>
        <v/>
      </c>
      <c r="G36" s="17" t="str">
        <f>IFERROR(IF([2]筐子库存汇总!$G$36=0,"",[2]筐子库存汇总!$G$36),"")</f>
        <v/>
      </c>
      <c r="H36" s="17" t="str">
        <f>IFERROR(IF([2]筐子库存汇总!$H$36=0,"",[2]筐子库存汇总!$H$36),"")</f>
        <v/>
      </c>
      <c r="I36" s="17" t="str">
        <f>IFERROR(IF([2]筐子库存汇总!$I$36=0,"",[2]筐子库存汇总!$I$36),"")</f>
        <v/>
      </c>
      <c r="J36" s="17" t="str">
        <f>IFERROR(IF([2]筐子库存汇总!$J$36=0,"",[2]筐子库存汇总!$J$36),"")</f>
        <v/>
      </c>
      <c r="K36" s="17" t="str">
        <f>IFERROR(IF([2]筐子库存汇总!$K$36=0,"",[2]筐子库存汇总!$K$36),"")</f>
        <v/>
      </c>
      <c r="L36" s="17" t="str">
        <f>IFERROR(IF([2]筐子库存汇总!$L$36=0,"",[2]筐子库存汇总!$L$36),"")</f>
        <v/>
      </c>
      <c r="M36" s="16" t="str">
        <f>IFERROR(IF([2]筐子库存汇总!$M$36=0,"",[2]筐子库存汇总!$M$36),"")</f>
        <v/>
      </c>
    </row>
    <row r="37" customHeight="1" spans="1:13">
      <c r="A37" s="16" t="str">
        <f>IFERROR(IF([2]筐子库存汇总!$A$37=0,"",[2]筐子库存汇总!$A$37),"")</f>
        <v/>
      </c>
      <c r="B37" s="30" t="str">
        <f>IFERROR(IF([2]筐子库存汇总!$B$37=0,"",[2]筐子库存汇总!$B$37),"")</f>
        <v/>
      </c>
      <c r="C37" s="17" t="str">
        <f>IFERROR(IF([2]筐子库存汇总!$C$37=0,"",[2]筐子库存汇总!$C$37),"")</f>
        <v/>
      </c>
      <c r="D37" s="17" t="str">
        <f>IFERROR(IF([2]筐子库存汇总!$D$37=0,"",[2]筐子库存汇总!$D$37),"")</f>
        <v/>
      </c>
      <c r="E37" s="31" t="str">
        <f>IFERROR(IF([2]筐子库存汇总!$E$37=0,"",[2]筐子库存汇总!$E$37),"")</f>
        <v/>
      </c>
      <c r="F37" s="17" t="str">
        <f>IFERROR(IF([2]筐子库存汇总!$F$37=0,"",[2]筐子库存汇总!$F$37),"")</f>
        <v/>
      </c>
      <c r="G37" s="17" t="str">
        <f>IFERROR(IF([2]筐子库存汇总!$G$37=0,"",[2]筐子库存汇总!$G$37),"")</f>
        <v/>
      </c>
      <c r="H37" s="17" t="str">
        <f>IFERROR(IF([2]筐子库存汇总!$H$37=0,"",[2]筐子库存汇总!$H$37),"")</f>
        <v/>
      </c>
      <c r="I37" s="17" t="str">
        <f>IFERROR(IF([2]筐子库存汇总!$I$37=0,"",[2]筐子库存汇总!$I$37),"")</f>
        <v/>
      </c>
      <c r="J37" s="17" t="str">
        <f>IFERROR(IF([2]筐子库存汇总!$J$37=0,"",[2]筐子库存汇总!$J$37),"")</f>
        <v/>
      </c>
      <c r="K37" s="17" t="str">
        <f>IFERROR(IF([2]筐子库存汇总!$K$37=0,"",[2]筐子库存汇总!$K$37),"")</f>
        <v/>
      </c>
      <c r="L37" s="17" t="str">
        <f>IFERROR(IF([2]筐子库存汇总!$L$37=0,"",[2]筐子库存汇总!$L$37),"")</f>
        <v/>
      </c>
      <c r="M37" s="16" t="str">
        <f>IFERROR(IF([2]筐子库存汇总!$M$37=0,"",[2]筐子库存汇总!$M$37),"")</f>
        <v/>
      </c>
    </row>
    <row r="38" customHeight="1" spans="1:13">
      <c r="A38" s="16" t="str">
        <f>IFERROR(IF([2]筐子库存汇总!$A$38=0,"",[2]筐子库存汇总!$A$38),"")</f>
        <v/>
      </c>
      <c r="B38" s="30" t="str">
        <f>IFERROR(IF([2]筐子库存汇总!$B$38=0,"",[2]筐子库存汇总!$B$38),"")</f>
        <v/>
      </c>
      <c r="C38" s="17" t="str">
        <f>IFERROR(IF([2]筐子库存汇总!$C$38=0,"",[2]筐子库存汇总!$C$38),"")</f>
        <v/>
      </c>
      <c r="D38" s="17" t="str">
        <f>IFERROR(IF([2]筐子库存汇总!$D$38=0,"",[2]筐子库存汇总!$D$38),"")</f>
        <v/>
      </c>
      <c r="E38" s="31" t="str">
        <f>IFERROR(IF([2]筐子库存汇总!$E$38=0,"",[2]筐子库存汇总!$E$38),"")</f>
        <v/>
      </c>
      <c r="F38" s="17" t="str">
        <f>IFERROR(IF([2]筐子库存汇总!$F$38=0,"",[2]筐子库存汇总!$F$38),"")</f>
        <v/>
      </c>
      <c r="G38" s="17" t="str">
        <f>IFERROR(IF([2]筐子库存汇总!$G$38=0,"",[2]筐子库存汇总!$G$38),"")</f>
        <v/>
      </c>
      <c r="H38" s="17" t="str">
        <f>IFERROR(IF([2]筐子库存汇总!$H$38=0,"",[2]筐子库存汇总!$H$38),"")</f>
        <v/>
      </c>
      <c r="I38" s="17" t="str">
        <f>IFERROR(IF([2]筐子库存汇总!$I$38=0,"",[2]筐子库存汇总!$I$38),"")</f>
        <v/>
      </c>
      <c r="J38" s="17" t="str">
        <f>IFERROR(IF([2]筐子库存汇总!$J$38=0,"",[2]筐子库存汇总!$J$38),"")</f>
        <v/>
      </c>
      <c r="K38" s="17" t="str">
        <f>IFERROR(IF([2]筐子库存汇总!$K$38=0,"",[2]筐子库存汇总!$K$38),"")</f>
        <v/>
      </c>
      <c r="L38" s="17" t="str">
        <f>IFERROR(IF([2]筐子库存汇总!$L$38=0,"",[2]筐子库存汇总!$L$38),"")</f>
        <v/>
      </c>
      <c r="M38" s="16" t="str">
        <f>IFERROR(IF([2]筐子库存汇总!$M$38=0,"",[2]筐子库存汇总!$M$38),"")</f>
        <v/>
      </c>
    </row>
    <row r="39" customHeight="1" spans="1:13">
      <c r="A39" s="16" t="str">
        <f>IFERROR(IF([2]筐子库存汇总!$A$39=0,"",[2]筐子库存汇总!$A$39),"")</f>
        <v/>
      </c>
      <c r="B39" s="30" t="str">
        <f>IFERROR(IF([2]筐子库存汇总!$B$39=0,"",[2]筐子库存汇总!$B$39),"")</f>
        <v/>
      </c>
      <c r="C39" s="17" t="str">
        <f>IFERROR(IF([2]筐子库存汇总!$C$39=0,"",[2]筐子库存汇总!$C$39),"")</f>
        <v/>
      </c>
      <c r="D39" s="17" t="str">
        <f>IFERROR(IF([2]筐子库存汇总!$D$39=0,"",[2]筐子库存汇总!$D$39),"")</f>
        <v/>
      </c>
      <c r="E39" s="31" t="str">
        <f>IFERROR(IF([2]筐子库存汇总!$E$39=0,"",[2]筐子库存汇总!$E$39),"")</f>
        <v/>
      </c>
      <c r="F39" s="17" t="str">
        <f>IFERROR(IF([2]筐子库存汇总!$F$39=0,"",[2]筐子库存汇总!$F$39),"")</f>
        <v/>
      </c>
      <c r="G39" s="17" t="str">
        <f>IFERROR(IF([2]筐子库存汇总!$G$39=0,"",[2]筐子库存汇总!$G$39),"")</f>
        <v/>
      </c>
      <c r="H39" s="17" t="str">
        <f>IFERROR(IF([2]筐子库存汇总!$H$39=0,"",[2]筐子库存汇总!$H$39),"")</f>
        <v/>
      </c>
      <c r="I39" s="17" t="str">
        <f>IFERROR(IF([2]筐子库存汇总!$I$39=0,"",[2]筐子库存汇总!$I$39),"")</f>
        <v/>
      </c>
      <c r="J39" s="17" t="str">
        <f>IFERROR(IF([2]筐子库存汇总!$J$39=0,"",[2]筐子库存汇总!$J$39),"")</f>
        <v/>
      </c>
      <c r="K39" s="17" t="str">
        <f>IFERROR(IF([2]筐子库存汇总!$K$39=0,"",[2]筐子库存汇总!$K$39),"")</f>
        <v/>
      </c>
      <c r="L39" s="17" t="str">
        <f>IFERROR(IF([2]筐子库存汇总!$L$39=0,"",[2]筐子库存汇总!$L$39),"")</f>
        <v/>
      </c>
      <c r="M39" s="16" t="str">
        <f>IFERROR(IF([2]筐子库存汇总!$M$39=0,"",[2]筐子库存汇总!$M$39),"")</f>
        <v/>
      </c>
    </row>
    <row r="40" customHeight="1" spans="1:13">
      <c r="A40" s="16" t="str">
        <f>IFERROR(IF([2]筐子库存汇总!$A$40=0,"",[2]筐子库存汇总!$A$40),"")</f>
        <v/>
      </c>
      <c r="B40" s="30" t="str">
        <f>IFERROR(IF([2]筐子库存汇总!$B$40=0,"",[2]筐子库存汇总!$B$40),"")</f>
        <v/>
      </c>
      <c r="C40" s="17" t="str">
        <f>IFERROR(IF([2]筐子库存汇总!$C$40=0,"",[2]筐子库存汇总!$C$40),"")</f>
        <v/>
      </c>
      <c r="D40" s="17" t="str">
        <f>IFERROR(IF([2]筐子库存汇总!$D$40=0,"",[2]筐子库存汇总!$D$40),"")</f>
        <v/>
      </c>
      <c r="E40" s="31" t="str">
        <f>IFERROR(IF([2]筐子库存汇总!$E$40=0,"",[2]筐子库存汇总!$E$40),"")</f>
        <v/>
      </c>
      <c r="F40" s="17" t="str">
        <f>IFERROR(IF([2]筐子库存汇总!$F$40=0,"",[2]筐子库存汇总!$F$40),"")</f>
        <v/>
      </c>
      <c r="G40" s="17" t="str">
        <f>IFERROR(IF([2]筐子库存汇总!$G$40=0,"",[2]筐子库存汇总!$G$40),"")</f>
        <v/>
      </c>
      <c r="H40" s="17" t="str">
        <f>IFERROR(IF([2]筐子库存汇总!$H$40=0,"",[2]筐子库存汇总!$H$40),"")</f>
        <v/>
      </c>
      <c r="I40" s="17" t="str">
        <f>IFERROR(IF([2]筐子库存汇总!$I$40=0,"",[2]筐子库存汇总!$I$40),"")</f>
        <v/>
      </c>
      <c r="J40" s="17" t="str">
        <f>IFERROR(IF([2]筐子库存汇总!$J$40=0,"",[2]筐子库存汇总!$J$40),"")</f>
        <v/>
      </c>
      <c r="K40" s="17" t="str">
        <f>IFERROR(IF([2]筐子库存汇总!$K$40=0,"",[2]筐子库存汇总!$K$40),"")</f>
        <v/>
      </c>
      <c r="L40" s="17" t="str">
        <f>IFERROR(IF([2]筐子库存汇总!$L$40=0,"",[2]筐子库存汇总!$L$40),"")</f>
        <v/>
      </c>
      <c r="M40" s="16" t="str">
        <f>IFERROR(IF([2]筐子库存汇总!$M$40=0,"",[2]筐子库存汇总!$M$40),"")</f>
        <v/>
      </c>
    </row>
    <row r="41" customHeight="1" spans="1:13">
      <c r="A41" s="16" t="str">
        <f>IFERROR(IF([2]筐子库存汇总!$A$41=0,"",[2]筐子库存汇总!$A$41),"")</f>
        <v/>
      </c>
      <c r="B41" s="30" t="str">
        <f>IFERROR(IF([2]筐子库存汇总!$B$41=0,"",[2]筐子库存汇总!$B$41),"")</f>
        <v/>
      </c>
      <c r="C41" s="17" t="str">
        <f>IFERROR(IF([2]筐子库存汇总!$C$41=0,"",[2]筐子库存汇总!$C$41),"")</f>
        <v/>
      </c>
      <c r="D41" s="17" t="str">
        <f>IFERROR(IF([2]筐子库存汇总!$D$41=0,"",[2]筐子库存汇总!$D$41),"")</f>
        <v/>
      </c>
      <c r="E41" s="31" t="str">
        <f>IFERROR(IF([2]筐子库存汇总!$E$41=0,"",[2]筐子库存汇总!$E$41),"")</f>
        <v/>
      </c>
      <c r="F41" s="17" t="str">
        <f>IFERROR(IF([2]筐子库存汇总!$F$41=0,"",[2]筐子库存汇总!$F$41),"")</f>
        <v/>
      </c>
      <c r="G41" s="17" t="str">
        <f>IFERROR(IF([2]筐子库存汇总!$G$41=0,"",[2]筐子库存汇总!$G$41),"")</f>
        <v/>
      </c>
      <c r="H41" s="17" t="str">
        <f>IFERROR(IF([2]筐子库存汇总!$H$41=0,"",[2]筐子库存汇总!$H$41),"")</f>
        <v/>
      </c>
      <c r="I41" s="17" t="str">
        <f>IFERROR(IF([2]筐子库存汇总!$I$41=0,"",[2]筐子库存汇总!$I$41),"")</f>
        <v/>
      </c>
      <c r="J41" s="17" t="str">
        <f>IFERROR(IF([2]筐子库存汇总!$J$41=0,"",[2]筐子库存汇总!$J$41),"")</f>
        <v/>
      </c>
      <c r="K41" s="17" t="str">
        <f>IFERROR(IF([2]筐子库存汇总!$K$41=0,"",[2]筐子库存汇总!$K$41),"")</f>
        <v/>
      </c>
      <c r="L41" s="17" t="str">
        <f>IFERROR(IF([2]筐子库存汇总!$L$41=0,"",[2]筐子库存汇总!$L$41),"")</f>
        <v/>
      </c>
      <c r="M41" s="16" t="str">
        <f>IFERROR(IF([2]筐子库存汇总!$M$41=0,"",[2]筐子库存汇总!$M$41),"")</f>
        <v/>
      </c>
    </row>
    <row r="42" customHeight="1" spans="1:13">
      <c r="A42" s="16" t="str">
        <f>IFERROR(IF([2]筐子库存汇总!$A$42=0,"",[2]筐子库存汇总!$A$42),"")</f>
        <v/>
      </c>
      <c r="B42" s="30" t="str">
        <f>IFERROR(IF([2]筐子库存汇总!$B$42=0,"",[2]筐子库存汇总!$B$42),"")</f>
        <v/>
      </c>
      <c r="C42" s="17" t="str">
        <f>IFERROR(IF([2]筐子库存汇总!$C$42=0,"",[2]筐子库存汇总!$C$42),"")</f>
        <v/>
      </c>
      <c r="D42" s="17" t="str">
        <f>IFERROR(IF([2]筐子库存汇总!$D$42=0,"",[2]筐子库存汇总!$D$42),"")</f>
        <v/>
      </c>
      <c r="E42" s="31" t="str">
        <f>IFERROR(IF([2]筐子库存汇总!$E$42=0,"",[2]筐子库存汇总!$E$42),"")</f>
        <v/>
      </c>
      <c r="F42" s="17" t="str">
        <f>IFERROR(IF([2]筐子库存汇总!$F$42=0,"",[2]筐子库存汇总!$F$42),"")</f>
        <v/>
      </c>
      <c r="G42" s="17" t="str">
        <f>IFERROR(IF([2]筐子库存汇总!$G$42=0,"",[2]筐子库存汇总!$G$42),"")</f>
        <v/>
      </c>
      <c r="H42" s="17" t="str">
        <f>IFERROR(IF([2]筐子库存汇总!$H$42=0,"",[2]筐子库存汇总!$H$42),"")</f>
        <v/>
      </c>
      <c r="I42" s="17" t="str">
        <f>IFERROR(IF([2]筐子库存汇总!$I$42=0,"",[2]筐子库存汇总!$I$42),"")</f>
        <v/>
      </c>
      <c r="J42" s="17" t="str">
        <f>IFERROR(IF([2]筐子库存汇总!$J$42=0,"",[2]筐子库存汇总!$J$42),"")</f>
        <v/>
      </c>
      <c r="K42" s="17" t="str">
        <f>IFERROR(IF([2]筐子库存汇总!$K$42=0,"",[2]筐子库存汇总!$K$42),"")</f>
        <v/>
      </c>
      <c r="L42" s="17" t="str">
        <f>IFERROR(IF([2]筐子库存汇总!$L$42=0,"",[2]筐子库存汇总!$L$42),"")</f>
        <v/>
      </c>
      <c r="M42" s="16" t="str">
        <f>IFERROR(IF([2]筐子库存汇总!$M$42=0,"",[2]筐子库存汇总!$M$42),"")</f>
        <v/>
      </c>
    </row>
    <row r="43" customHeight="1" spans="1:13">
      <c r="A43" s="16" t="str">
        <f>IFERROR(IF([2]筐子库存汇总!$A$43=0,"",[2]筐子库存汇总!$A$43),"")</f>
        <v/>
      </c>
      <c r="B43" s="30" t="str">
        <f>IFERROR(IF([2]筐子库存汇总!$B$43=0,"",[2]筐子库存汇总!$B$43),"")</f>
        <v/>
      </c>
      <c r="C43" s="17" t="str">
        <f>IFERROR(IF([2]筐子库存汇总!$C$43=0,"",[2]筐子库存汇总!$C$43),"")</f>
        <v/>
      </c>
      <c r="D43" s="17" t="str">
        <f>IFERROR(IF([2]筐子库存汇总!$D$43=0,"",[2]筐子库存汇总!$D$43),"")</f>
        <v/>
      </c>
      <c r="E43" s="31" t="str">
        <f>IFERROR(IF([2]筐子库存汇总!$E$43=0,"",[2]筐子库存汇总!$E$43),"")</f>
        <v/>
      </c>
      <c r="F43" s="17" t="str">
        <f>IFERROR(IF([2]筐子库存汇总!$F$43=0,"",[2]筐子库存汇总!$F$43),"")</f>
        <v/>
      </c>
      <c r="G43" s="17" t="str">
        <f>IFERROR(IF([2]筐子库存汇总!$G$43=0,"",[2]筐子库存汇总!$G$43),"")</f>
        <v/>
      </c>
      <c r="H43" s="17" t="str">
        <f>IFERROR(IF([2]筐子库存汇总!$H$43=0,"",[2]筐子库存汇总!$H$43),"")</f>
        <v/>
      </c>
      <c r="I43" s="17" t="str">
        <f>IFERROR(IF([2]筐子库存汇总!$I$43=0,"",[2]筐子库存汇总!$I$43),"")</f>
        <v/>
      </c>
      <c r="J43" s="17" t="str">
        <f>IFERROR(IF([2]筐子库存汇总!$J$43=0,"",[2]筐子库存汇总!$J$43),"")</f>
        <v/>
      </c>
      <c r="K43" s="17" t="str">
        <f>IFERROR(IF([2]筐子库存汇总!$K$43=0,"",[2]筐子库存汇总!$K$43),"")</f>
        <v/>
      </c>
      <c r="L43" s="17" t="str">
        <f>IFERROR(IF([2]筐子库存汇总!$L$43=0,"",[2]筐子库存汇总!$L$43),"")</f>
        <v/>
      </c>
      <c r="M43" s="16" t="str">
        <f>IFERROR(IF([2]筐子库存汇总!$M$43=0,"",[2]筐子库存汇总!$M$43),"")</f>
        <v/>
      </c>
    </row>
    <row r="44" customHeight="1" spans="1:13">
      <c r="A44" s="16" t="str">
        <f>IFERROR(IF([2]筐子库存汇总!$A$44=0,"",[2]筐子库存汇总!$A$44),"")</f>
        <v/>
      </c>
      <c r="B44" s="30" t="str">
        <f>IFERROR(IF([2]筐子库存汇总!$B$44=0,"",[2]筐子库存汇总!$B$44),"")</f>
        <v/>
      </c>
      <c r="C44" s="17" t="str">
        <f>IFERROR(IF([2]筐子库存汇总!$C$44=0,"",[2]筐子库存汇总!$C$44),"")</f>
        <v/>
      </c>
      <c r="D44" s="17" t="str">
        <f>IFERROR(IF([2]筐子库存汇总!$D$44=0,"",[2]筐子库存汇总!$D$44),"")</f>
        <v/>
      </c>
      <c r="E44" s="31" t="str">
        <f>IFERROR(IF([2]筐子库存汇总!$E$44=0,"",[2]筐子库存汇总!$E$44),"")</f>
        <v/>
      </c>
      <c r="F44" s="17" t="str">
        <f>IFERROR(IF([2]筐子库存汇总!$F$44=0,"",[2]筐子库存汇总!$F$44),"")</f>
        <v/>
      </c>
      <c r="G44" s="17" t="str">
        <f>IFERROR(IF([2]筐子库存汇总!$G$44=0,"",[2]筐子库存汇总!$G$44),"")</f>
        <v/>
      </c>
      <c r="H44" s="17" t="str">
        <f>IFERROR(IF([2]筐子库存汇总!$H$44=0,"",[2]筐子库存汇总!$H$44),"")</f>
        <v/>
      </c>
      <c r="I44" s="17" t="str">
        <f>IFERROR(IF([2]筐子库存汇总!$I$44=0,"",[2]筐子库存汇总!$I$44),"")</f>
        <v/>
      </c>
      <c r="J44" s="17" t="str">
        <f>IFERROR(IF([2]筐子库存汇总!$J$44=0,"",[2]筐子库存汇总!$J$44),"")</f>
        <v/>
      </c>
      <c r="K44" s="17" t="str">
        <f>IFERROR(IF([2]筐子库存汇总!$K$44=0,"",[2]筐子库存汇总!$K$44),"")</f>
        <v/>
      </c>
      <c r="L44" s="17" t="str">
        <f>IFERROR(IF([2]筐子库存汇总!$L$44=0,"",[2]筐子库存汇总!$L$44),"")</f>
        <v/>
      </c>
      <c r="M44" s="16" t="str">
        <f>IFERROR(IF([2]筐子库存汇总!$M$44=0,"",[2]筐子库存汇总!$M$44),"")</f>
        <v/>
      </c>
    </row>
    <row r="45" customHeight="1" spans="1:13">
      <c r="A45" s="16" t="str">
        <f>IFERROR(IF([2]筐子库存汇总!$A$45=0,"",[2]筐子库存汇总!$A$45),"")</f>
        <v/>
      </c>
      <c r="B45" s="30" t="str">
        <f>IFERROR(IF([2]筐子库存汇总!$B$45=0,"",[2]筐子库存汇总!$B$45),"")</f>
        <v/>
      </c>
      <c r="C45" s="17" t="str">
        <f>IFERROR(IF([2]筐子库存汇总!$C$45=0,"",[2]筐子库存汇总!$C$45),"")</f>
        <v/>
      </c>
      <c r="D45" s="17" t="str">
        <f>IFERROR(IF([2]筐子库存汇总!$D$45=0,"",[2]筐子库存汇总!$D$45),"")</f>
        <v/>
      </c>
      <c r="E45" s="31" t="str">
        <f>IFERROR(IF([2]筐子库存汇总!$E$45=0,"",[2]筐子库存汇总!$E$45),"")</f>
        <v/>
      </c>
      <c r="F45" s="17" t="str">
        <f>IFERROR(IF([2]筐子库存汇总!$F$45=0,"",[2]筐子库存汇总!$F$45),"")</f>
        <v/>
      </c>
      <c r="G45" s="17" t="str">
        <f>IFERROR(IF([2]筐子库存汇总!$G$45=0,"",[2]筐子库存汇总!$G$45),"")</f>
        <v/>
      </c>
      <c r="H45" s="17" t="str">
        <f>IFERROR(IF([2]筐子库存汇总!$H$45=0,"",[2]筐子库存汇总!$H$45),"")</f>
        <v/>
      </c>
      <c r="I45" s="17" t="str">
        <f>IFERROR(IF([2]筐子库存汇总!$I$45=0,"",[2]筐子库存汇总!$I$45),"")</f>
        <v/>
      </c>
      <c r="J45" s="17" t="str">
        <f>IFERROR(IF([2]筐子库存汇总!$J$45=0,"",[2]筐子库存汇总!$J$45),"")</f>
        <v/>
      </c>
      <c r="K45" s="17" t="str">
        <f>IFERROR(IF([2]筐子库存汇总!$K$45=0,"",[2]筐子库存汇总!$K$45),"")</f>
        <v/>
      </c>
      <c r="L45" s="17" t="str">
        <f>IFERROR(IF([2]筐子库存汇总!$L$45=0,"",[2]筐子库存汇总!$L$45),"")</f>
        <v/>
      </c>
      <c r="M45" s="16" t="str">
        <f>IFERROR(IF([2]筐子库存汇总!$M$45=0,"",[2]筐子库存汇总!$M$45),"")</f>
        <v/>
      </c>
    </row>
    <row r="46" customHeight="1" spans="1:13">
      <c r="A46" s="16" t="str">
        <f>IFERROR(IF([2]筐子库存汇总!$A$46=0,"",[2]筐子库存汇总!$A$46),"")</f>
        <v/>
      </c>
      <c r="B46" s="30" t="str">
        <f>IFERROR(IF([2]筐子库存汇总!$B$46=0,"",[2]筐子库存汇总!$B$46),"")</f>
        <v/>
      </c>
      <c r="C46" s="17" t="str">
        <f>IFERROR(IF([2]筐子库存汇总!$C$46=0,"",[2]筐子库存汇总!$C$46),"")</f>
        <v/>
      </c>
      <c r="D46" s="17" t="str">
        <f>IFERROR(IF([2]筐子库存汇总!$D$46=0,"",[2]筐子库存汇总!$D$46),"")</f>
        <v/>
      </c>
      <c r="E46" s="31" t="str">
        <f>IFERROR(IF([2]筐子库存汇总!$E$46=0,"",[2]筐子库存汇总!$E$46),"")</f>
        <v/>
      </c>
      <c r="F46" s="17" t="str">
        <f>IFERROR(IF([2]筐子库存汇总!$F$46=0,"",[2]筐子库存汇总!$F$46),"")</f>
        <v/>
      </c>
      <c r="G46" s="17" t="str">
        <f>IFERROR(IF([2]筐子库存汇总!$G$46=0,"",[2]筐子库存汇总!$G$46),"")</f>
        <v/>
      </c>
      <c r="H46" s="17" t="str">
        <f>IFERROR(IF([2]筐子库存汇总!$H$46=0,"",[2]筐子库存汇总!$H$46),"")</f>
        <v/>
      </c>
      <c r="I46" s="17" t="str">
        <f>IFERROR(IF([2]筐子库存汇总!$I$46=0,"",[2]筐子库存汇总!$I$46),"")</f>
        <v/>
      </c>
      <c r="J46" s="17" t="str">
        <f>IFERROR(IF([2]筐子库存汇总!$J$46=0,"",[2]筐子库存汇总!$J$46),"")</f>
        <v/>
      </c>
      <c r="K46" s="17" t="str">
        <f>IFERROR(IF([2]筐子库存汇总!$K$46=0,"",[2]筐子库存汇总!$K$46),"")</f>
        <v/>
      </c>
      <c r="L46" s="17" t="str">
        <f>IFERROR(IF([2]筐子库存汇总!$L$46=0,"",[2]筐子库存汇总!$L$46),"")</f>
        <v/>
      </c>
      <c r="M46" s="16" t="str">
        <f>IFERROR(IF([2]筐子库存汇总!$M$46=0,"",[2]筐子库存汇总!$M$46),"")</f>
        <v/>
      </c>
    </row>
    <row r="47" customHeight="1" spans="1:13">
      <c r="A47" s="16" t="str">
        <f>IFERROR(IF([2]筐子库存汇总!$A$47=0,"",[2]筐子库存汇总!$A$47),"")</f>
        <v/>
      </c>
      <c r="B47" s="30" t="str">
        <f>IFERROR(IF([2]筐子库存汇总!$B$47=0,"",[2]筐子库存汇总!$B$47),"")</f>
        <v/>
      </c>
      <c r="C47" s="17" t="str">
        <f>IFERROR(IF([2]筐子库存汇总!$C$47=0,"",[2]筐子库存汇总!$C$47),"")</f>
        <v/>
      </c>
      <c r="D47" s="17" t="str">
        <f>IFERROR(IF([2]筐子库存汇总!$D$47=0,"",[2]筐子库存汇总!$D$47),"")</f>
        <v/>
      </c>
      <c r="E47" s="31" t="str">
        <f>IFERROR(IF([2]筐子库存汇总!$E$47=0,"",[2]筐子库存汇总!$E$47),"")</f>
        <v/>
      </c>
      <c r="F47" s="17" t="str">
        <f>IFERROR(IF([2]筐子库存汇总!$F$47=0,"",[2]筐子库存汇总!$F$47),"")</f>
        <v/>
      </c>
      <c r="G47" s="17" t="str">
        <f>IFERROR(IF([2]筐子库存汇总!$G$47=0,"",[2]筐子库存汇总!$G$47),"")</f>
        <v/>
      </c>
      <c r="H47" s="17" t="str">
        <f>IFERROR(IF([2]筐子库存汇总!$H$47=0,"",[2]筐子库存汇总!$H$47),"")</f>
        <v/>
      </c>
      <c r="I47" s="17" t="str">
        <f>IFERROR(IF([2]筐子库存汇总!$I$47=0,"",[2]筐子库存汇总!$I$47),"")</f>
        <v/>
      </c>
      <c r="J47" s="17" t="str">
        <f>IFERROR(IF([2]筐子库存汇总!$J$47=0,"",[2]筐子库存汇总!$J$47),"")</f>
        <v/>
      </c>
      <c r="K47" s="17" t="str">
        <f>IFERROR(IF([2]筐子库存汇总!$K$47=0,"",[2]筐子库存汇总!$K$47),"")</f>
        <v/>
      </c>
      <c r="L47" s="17" t="str">
        <f>IFERROR(IF([2]筐子库存汇总!$L$47=0,"",[2]筐子库存汇总!$L$47),"")</f>
        <v/>
      </c>
      <c r="M47" s="16" t="str">
        <f>IFERROR(IF([2]筐子库存汇总!$M$47=0,"",[2]筐子库存汇总!$M$47),"")</f>
        <v/>
      </c>
    </row>
    <row r="48" customHeight="1" spans="1:13">
      <c r="A48" s="16" t="str">
        <f>IFERROR(IF([2]筐子库存汇总!$A$48=0,"",[2]筐子库存汇总!$A$48),"")</f>
        <v/>
      </c>
      <c r="B48" s="30" t="str">
        <f>IFERROR(IF([2]筐子库存汇总!$B$48=0,"",[2]筐子库存汇总!$B$48),"")</f>
        <v/>
      </c>
      <c r="C48" s="17" t="str">
        <f>IFERROR(IF([2]筐子库存汇总!$C$48=0,"",[2]筐子库存汇总!$C$48),"")</f>
        <v/>
      </c>
      <c r="D48" s="17" t="str">
        <f>IFERROR(IF([2]筐子库存汇总!$D$48=0,"",[2]筐子库存汇总!$D$48),"")</f>
        <v/>
      </c>
      <c r="E48" s="31" t="str">
        <f>IFERROR(IF([2]筐子库存汇总!$E$48=0,"",[2]筐子库存汇总!$E$48),"")</f>
        <v/>
      </c>
      <c r="F48" s="17" t="str">
        <f>IFERROR(IF([2]筐子库存汇总!$F$48=0,"",[2]筐子库存汇总!$F$48),"")</f>
        <v/>
      </c>
      <c r="G48" s="17" t="str">
        <f>IFERROR(IF([2]筐子库存汇总!$G$48=0,"",[2]筐子库存汇总!$G$48),"")</f>
        <v/>
      </c>
      <c r="H48" s="17" t="str">
        <f>IFERROR(IF([2]筐子库存汇总!$H$48=0,"",[2]筐子库存汇总!$H$48),"")</f>
        <v/>
      </c>
      <c r="I48" s="17" t="str">
        <f>IFERROR(IF([2]筐子库存汇总!$I$48=0,"",[2]筐子库存汇总!$I$48),"")</f>
        <v/>
      </c>
      <c r="J48" s="17" t="str">
        <f>IFERROR(IF([2]筐子库存汇总!$J$48=0,"",[2]筐子库存汇总!$J$48),"")</f>
        <v/>
      </c>
      <c r="K48" s="17" t="str">
        <f>IFERROR(IF([2]筐子库存汇总!$K$48=0,"",[2]筐子库存汇总!$K$48),"")</f>
        <v/>
      </c>
      <c r="L48" s="17" t="str">
        <f>IFERROR(IF([2]筐子库存汇总!$L$48=0,"",[2]筐子库存汇总!$L$48),"")</f>
        <v/>
      </c>
      <c r="M48" s="16" t="str">
        <f>IFERROR(IF([2]筐子库存汇总!$M$48=0,"",[2]筐子库存汇总!$M$48),"")</f>
        <v/>
      </c>
    </row>
    <row r="49" customHeight="1" spans="1:13">
      <c r="A49" s="16" t="str">
        <f>IFERROR(IF([2]筐子库存汇总!$A$49=0,"",[2]筐子库存汇总!$A$49),"")</f>
        <v/>
      </c>
      <c r="B49" s="30" t="str">
        <f>IFERROR(IF([2]筐子库存汇总!$B$49=0,"",[2]筐子库存汇总!$B$49),"")</f>
        <v/>
      </c>
      <c r="C49" s="17" t="str">
        <f>IFERROR(IF([2]筐子库存汇总!$C$49=0,"",[2]筐子库存汇总!$C$49),"")</f>
        <v/>
      </c>
      <c r="D49" s="17" t="str">
        <f>IFERROR(IF([2]筐子库存汇总!$D$49=0,"",[2]筐子库存汇总!$D$49),"")</f>
        <v/>
      </c>
      <c r="E49" s="31" t="str">
        <f>IFERROR(IF([2]筐子库存汇总!$E$49=0,"",[2]筐子库存汇总!$E$49),"")</f>
        <v/>
      </c>
      <c r="F49" s="17" t="str">
        <f>IFERROR(IF([2]筐子库存汇总!$F$49=0,"",[2]筐子库存汇总!$F$49),"")</f>
        <v/>
      </c>
      <c r="G49" s="17" t="str">
        <f>IFERROR(IF([2]筐子库存汇总!$G$49=0,"",[2]筐子库存汇总!$G$49),"")</f>
        <v/>
      </c>
      <c r="H49" s="17" t="str">
        <f>IFERROR(IF([2]筐子库存汇总!$H$49=0,"",[2]筐子库存汇总!$H$49),"")</f>
        <v/>
      </c>
      <c r="I49" s="17" t="str">
        <f>IFERROR(IF([2]筐子库存汇总!$I$49=0,"",[2]筐子库存汇总!$I$49),"")</f>
        <v/>
      </c>
      <c r="J49" s="17" t="str">
        <f>IFERROR(IF([2]筐子库存汇总!$J$49=0,"",[2]筐子库存汇总!$J$49),"")</f>
        <v/>
      </c>
      <c r="K49" s="17" t="str">
        <f>IFERROR(IF([2]筐子库存汇总!$K$49=0,"",[2]筐子库存汇总!$K$49),"")</f>
        <v/>
      </c>
      <c r="L49" s="17" t="str">
        <f>IFERROR(IF([2]筐子库存汇总!$L$49=0,"",[2]筐子库存汇总!$L$49),"")</f>
        <v/>
      </c>
      <c r="M49" s="16" t="str">
        <f>IFERROR(IF([2]筐子库存汇总!$M$49=0,"",[2]筐子库存汇总!$M$49),"")</f>
        <v/>
      </c>
    </row>
    <row r="50" customHeight="1" spans="1:13">
      <c r="A50" s="16" t="str">
        <f>IFERROR(IF([2]筐子库存汇总!$A$50=0,"",[2]筐子库存汇总!$A$50),"")</f>
        <v/>
      </c>
      <c r="B50" s="30" t="str">
        <f>IFERROR(IF([2]筐子库存汇总!$B$50=0,"",[2]筐子库存汇总!$B$50),"")</f>
        <v/>
      </c>
      <c r="C50" s="17" t="str">
        <f>IFERROR(IF([2]筐子库存汇总!$C$50=0,"",[2]筐子库存汇总!$C$50),"")</f>
        <v/>
      </c>
      <c r="D50" s="17" t="str">
        <f>IFERROR(IF([2]筐子库存汇总!$D$50=0,"",[2]筐子库存汇总!$D$50),"")</f>
        <v/>
      </c>
      <c r="E50" s="31" t="str">
        <f>IFERROR(IF([2]筐子库存汇总!$E$50=0,"",[2]筐子库存汇总!$E$50),"")</f>
        <v/>
      </c>
      <c r="F50" s="17" t="str">
        <f>IFERROR(IF([2]筐子库存汇总!$F$50=0,"",[2]筐子库存汇总!$F$50),"")</f>
        <v/>
      </c>
      <c r="G50" s="17" t="str">
        <f>IFERROR(IF([2]筐子库存汇总!$G$50=0,"",[2]筐子库存汇总!$G$50),"")</f>
        <v/>
      </c>
      <c r="H50" s="17" t="str">
        <f>IFERROR(IF([2]筐子库存汇总!$H$50=0,"",[2]筐子库存汇总!$H$50),"")</f>
        <v/>
      </c>
      <c r="I50" s="17" t="str">
        <f>IFERROR(IF([2]筐子库存汇总!$I$50=0,"",[2]筐子库存汇总!$I$50),"")</f>
        <v/>
      </c>
      <c r="J50" s="17" t="str">
        <f>IFERROR(IF([2]筐子库存汇总!$J$50=0,"",[2]筐子库存汇总!$J$50),"")</f>
        <v/>
      </c>
      <c r="K50" s="17" t="str">
        <f>IFERROR(IF([2]筐子库存汇总!$K$50=0,"",[2]筐子库存汇总!$K$50),"")</f>
        <v/>
      </c>
      <c r="L50" s="17" t="str">
        <f>IFERROR(IF([2]筐子库存汇总!$L$50=0,"",[2]筐子库存汇总!$L$50),"")</f>
        <v/>
      </c>
      <c r="M50" s="16" t="str">
        <f>IFERROR(IF([2]筐子库存汇总!$M$50=0,"",[2]筐子库存汇总!$M$50),"")</f>
        <v/>
      </c>
    </row>
    <row r="51" customHeight="1" spans="1:13">
      <c r="A51" s="16" t="str">
        <f>IFERROR(IF([2]筐子库存汇总!$A$51=0,"",[2]筐子库存汇总!$A$51),"")</f>
        <v/>
      </c>
      <c r="B51" s="30" t="str">
        <f>IFERROR(IF([2]筐子库存汇总!$B$51=0,"",[2]筐子库存汇总!$B$51),"")</f>
        <v/>
      </c>
      <c r="C51" s="17" t="str">
        <f>IFERROR(IF([2]筐子库存汇总!$C$51=0,"",[2]筐子库存汇总!$C$51),"")</f>
        <v/>
      </c>
      <c r="D51" s="17" t="str">
        <f>IFERROR(IF([2]筐子库存汇总!$D$51=0,"",[2]筐子库存汇总!$D$51),"")</f>
        <v/>
      </c>
      <c r="E51" s="31" t="str">
        <f>IFERROR(IF([2]筐子库存汇总!$E$51=0,"",[2]筐子库存汇总!$E$51),"")</f>
        <v/>
      </c>
      <c r="F51" s="17" t="str">
        <f>IFERROR(IF([2]筐子库存汇总!$F$51=0,"",[2]筐子库存汇总!$F$51),"")</f>
        <v/>
      </c>
      <c r="G51" s="17" t="str">
        <f>IFERROR(IF([2]筐子库存汇总!$G$51=0,"",[2]筐子库存汇总!$G$51),"")</f>
        <v/>
      </c>
      <c r="H51" s="17" t="str">
        <f>IFERROR(IF([2]筐子库存汇总!$H$51=0,"",[2]筐子库存汇总!$H$51),"")</f>
        <v/>
      </c>
      <c r="I51" s="17" t="str">
        <f>IFERROR(IF([2]筐子库存汇总!$I$51=0,"",[2]筐子库存汇总!$I$51),"")</f>
        <v/>
      </c>
      <c r="J51" s="17" t="str">
        <f>IFERROR(IF([2]筐子库存汇总!$J$51=0,"",[2]筐子库存汇总!$J$51),"")</f>
        <v/>
      </c>
      <c r="K51" s="17" t="str">
        <f>IFERROR(IF([2]筐子库存汇总!$K$51=0,"",[2]筐子库存汇总!$K$51),"")</f>
        <v/>
      </c>
      <c r="L51" s="17" t="str">
        <f>IFERROR(IF([2]筐子库存汇总!$L$51=0,"",[2]筐子库存汇总!$L$51),"")</f>
        <v/>
      </c>
      <c r="M51" s="16" t="str">
        <f>IFERROR(IF([2]筐子库存汇总!$M$51=0,"",[2]筐子库存汇总!$M$51),"")</f>
        <v/>
      </c>
    </row>
    <row r="52" customHeight="1" spans="1:13">
      <c r="A52" s="16" t="str">
        <f>IFERROR(IF([2]筐子库存汇总!$A$52=0,"",[2]筐子库存汇总!$A$52),"")</f>
        <v/>
      </c>
      <c r="B52" s="30" t="str">
        <f>IFERROR(IF([2]筐子库存汇总!$B$52=0,"",[2]筐子库存汇总!$B$52),"")</f>
        <v/>
      </c>
      <c r="C52" s="17" t="str">
        <f>IFERROR(IF([2]筐子库存汇总!$C$52=0,"",[2]筐子库存汇总!$C$52),"")</f>
        <v/>
      </c>
      <c r="D52" s="17" t="str">
        <f>IFERROR(IF([2]筐子库存汇总!$D$52=0,"",[2]筐子库存汇总!$D$52),"")</f>
        <v/>
      </c>
      <c r="E52" s="31" t="str">
        <f>IFERROR(IF([2]筐子库存汇总!$E$52=0,"",[2]筐子库存汇总!$E$52),"")</f>
        <v/>
      </c>
      <c r="F52" s="17" t="str">
        <f>IFERROR(IF([2]筐子库存汇总!$F$52=0,"",[2]筐子库存汇总!$F$52),"")</f>
        <v/>
      </c>
      <c r="G52" s="17" t="str">
        <f>IFERROR(IF([2]筐子库存汇总!$G$52=0,"",[2]筐子库存汇总!$G$52),"")</f>
        <v/>
      </c>
      <c r="H52" s="17" t="str">
        <f>IFERROR(IF([2]筐子库存汇总!$H$52=0,"",[2]筐子库存汇总!$H$52),"")</f>
        <v/>
      </c>
      <c r="I52" s="17" t="str">
        <f>IFERROR(IF([2]筐子库存汇总!$I$52=0,"",[2]筐子库存汇总!$I$52),"")</f>
        <v/>
      </c>
      <c r="J52" s="17" t="str">
        <f>IFERROR(IF([2]筐子库存汇总!$J$52=0,"",[2]筐子库存汇总!$J$52),"")</f>
        <v/>
      </c>
      <c r="K52" s="17" t="str">
        <f>IFERROR(IF([2]筐子库存汇总!$K$52=0,"",[2]筐子库存汇总!$K$52),"")</f>
        <v/>
      </c>
      <c r="L52" s="17" t="str">
        <f>IFERROR(IF([2]筐子库存汇总!$L$52=0,"",[2]筐子库存汇总!$L$52),"")</f>
        <v/>
      </c>
      <c r="M52" s="16" t="str">
        <f>IFERROR(IF([2]筐子库存汇总!$M$52=0,"",[2]筐子库存汇总!$M$52),"")</f>
        <v/>
      </c>
    </row>
    <row r="53" customHeight="1" spans="1:13">
      <c r="A53" s="16" t="str">
        <f>IFERROR(IF([2]筐子库存汇总!$A$53=0,"",[2]筐子库存汇总!$A$53),"")</f>
        <v/>
      </c>
      <c r="B53" s="30" t="str">
        <f>IFERROR(IF([2]筐子库存汇总!$B$53=0,"",[2]筐子库存汇总!$B$53),"")</f>
        <v/>
      </c>
      <c r="C53" s="17" t="str">
        <f>IFERROR(IF([2]筐子库存汇总!$C$53=0,"",[2]筐子库存汇总!$C$53),"")</f>
        <v/>
      </c>
      <c r="D53" s="17" t="str">
        <f>IFERROR(IF([2]筐子库存汇总!$D$53=0,"",[2]筐子库存汇总!$D$53),"")</f>
        <v/>
      </c>
      <c r="E53" s="31" t="str">
        <f>IFERROR(IF([2]筐子库存汇总!$E$53=0,"",[2]筐子库存汇总!$E$53),"")</f>
        <v/>
      </c>
      <c r="F53" s="17" t="str">
        <f>IFERROR(IF([2]筐子库存汇总!$F$53=0,"",[2]筐子库存汇总!$F$53),"")</f>
        <v/>
      </c>
      <c r="G53" s="17" t="str">
        <f>IFERROR(IF([2]筐子库存汇总!$G$53=0,"",[2]筐子库存汇总!$G$53),"")</f>
        <v/>
      </c>
      <c r="H53" s="17" t="str">
        <f>IFERROR(IF([2]筐子库存汇总!$H$53=0,"",[2]筐子库存汇总!$H$53),"")</f>
        <v/>
      </c>
      <c r="I53" s="17" t="str">
        <f>IFERROR(IF([2]筐子库存汇总!$I$53=0,"",[2]筐子库存汇总!$I$53),"")</f>
        <v/>
      </c>
      <c r="J53" s="17" t="str">
        <f>IFERROR(IF([2]筐子库存汇总!$J$53=0,"",[2]筐子库存汇总!$J$53),"")</f>
        <v/>
      </c>
      <c r="K53" s="17" t="str">
        <f>IFERROR(IF([2]筐子库存汇总!$K$53=0,"",[2]筐子库存汇总!$K$53),"")</f>
        <v/>
      </c>
      <c r="L53" s="17" t="str">
        <f>IFERROR(IF([2]筐子库存汇总!$L$53=0,"",[2]筐子库存汇总!$L$53),"")</f>
        <v/>
      </c>
      <c r="M53" s="16" t="str">
        <f>IFERROR(IF([2]筐子库存汇总!$M$53=0,"",[2]筐子库存汇总!$M$53),"")</f>
        <v/>
      </c>
    </row>
    <row r="54" customHeight="1" spans="1:13">
      <c r="A54" s="16" t="str">
        <f>IFERROR(IF([2]筐子库存汇总!$A$54=0,"",[2]筐子库存汇总!$A$54),"")</f>
        <v/>
      </c>
      <c r="B54" s="30" t="str">
        <f>IFERROR(IF([2]筐子库存汇总!$B$54=0,"",[2]筐子库存汇总!$B$54),"")</f>
        <v/>
      </c>
      <c r="C54" s="17" t="str">
        <f>IFERROR(IF([2]筐子库存汇总!$C$54=0,"",[2]筐子库存汇总!$C$54),"")</f>
        <v/>
      </c>
      <c r="D54" s="17" t="str">
        <f>IFERROR(IF([2]筐子库存汇总!$D$54=0,"",[2]筐子库存汇总!$D$54),"")</f>
        <v/>
      </c>
      <c r="E54" s="31" t="str">
        <f>IFERROR(IF([2]筐子库存汇总!$E$54=0,"",[2]筐子库存汇总!$E$54),"")</f>
        <v/>
      </c>
      <c r="F54" s="17" t="str">
        <f>IFERROR(IF([2]筐子库存汇总!$F$54=0,"",[2]筐子库存汇总!$F$54),"")</f>
        <v/>
      </c>
      <c r="G54" s="17" t="str">
        <f>IFERROR(IF([2]筐子库存汇总!$G$54=0,"",[2]筐子库存汇总!$G$54),"")</f>
        <v/>
      </c>
      <c r="H54" s="17" t="str">
        <f>IFERROR(IF([2]筐子库存汇总!$H$54=0,"",[2]筐子库存汇总!$H$54),"")</f>
        <v/>
      </c>
      <c r="I54" s="17" t="str">
        <f>IFERROR(IF([2]筐子库存汇总!$I$54=0,"",[2]筐子库存汇总!$I$54),"")</f>
        <v/>
      </c>
      <c r="J54" s="17" t="str">
        <f>IFERROR(IF([2]筐子库存汇总!$J$54=0,"",[2]筐子库存汇总!$J$54),"")</f>
        <v/>
      </c>
      <c r="K54" s="17" t="str">
        <f>IFERROR(IF([2]筐子库存汇总!$K$54=0,"",[2]筐子库存汇总!$K$54),"")</f>
        <v/>
      </c>
      <c r="L54" s="17" t="str">
        <f>IFERROR(IF([2]筐子库存汇总!$L$54=0,"",[2]筐子库存汇总!$L$54),"")</f>
        <v/>
      </c>
      <c r="M54" s="16" t="str">
        <f>IFERROR(IF([2]筐子库存汇总!$M$54=0,"",[2]筐子库存汇总!$M$54),"")</f>
        <v/>
      </c>
    </row>
    <row r="55" customHeight="1" spans="1:13">
      <c r="A55" s="16" t="str">
        <f>IFERROR(IF([2]筐子库存汇总!$A$55=0,"",[2]筐子库存汇总!$A$55),"")</f>
        <v/>
      </c>
      <c r="B55" s="30" t="str">
        <f>IFERROR(IF([2]筐子库存汇总!$B$55=0,"",[2]筐子库存汇总!$B$55),"")</f>
        <v/>
      </c>
      <c r="C55" s="17" t="str">
        <f>IFERROR(IF([2]筐子库存汇总!$C$55=0,"",[2]筐子库存汇总!$C$55),"")</f>
        <v/>
      </c>
      <c r="D55" s="17" t="str">
        <f>IFERROR(IF([2]筐子库存汇总!$D$55=0,"",[2]筐子库存汇总!$D$55),"")</f>
        <v/>
      </c>
      <c r="E55" s="31" t="str">
        <f>IFERROR(IF([2]筐子库存汇总!$E$55=0,"",[2]筐子库存汇总!$E$55),"")</f>
        <v/>
      </c>
      <c r="F55" s="17" t="str">
        <f>IFERROR(IF([2]筐子库存汇总!$F$55=0,"",[2]筐子库存汇总!$F$55),"")</f>
        <v/>
      </c>
      <c r="G55" s="17" t="str">
        <f>IFERROR(IF([2]筐子库存汇总!$G$55=0,"",[2]筐子库存汇总!$G$55),"")</f>
        <v/>
      </c>
      <c r="H55" s="17" t="str">
        <f>IFERROR(IF([2]筐子库存汇总!$H$55=0,"",[2]筐子库存汇总!$H$55),"")</f>
        <v/>
      </c>
      <c r="I55" s="17" t="str">
        <f>IFERROR(IF([2]筐子库存汇总!$I$55=0,"",[2]筐子库存汇总!$I$55),"")</f>
        <v/>
      </c>
      <c r="J55" s="17" t="str">
        <f>IFERROR(IF([2]筐子库存汇总!$J$55=0,"",[2]筐子库存汇总!$J$55),"")</f>
        <v/>
      </c>
      <c r="K55" s="17" t="str">
        <f>IFERROR(IF([2]筐子库存汇总!$K$55=0,"",[2]筐子库存汇总!$K$55),"")</f>
        <v/>
      </c>
      <c r="L55" s="17" t="str">
        <f>IFERROR(IF([2]筐子库存汇总!$L$55=0,"",[2]筐子库存汇总!$L$55),"")</f>
        <v/>
      </c>
      <c r="M55" s="16" t="str">
        <f>IFERROR(IF([2]筐子库存汇总!$M$55=0,"",[2]筐子库存汇总!$M$55),"")</f>
        <v/>
      </c>
    </row>
    <row r="56" customHeight="1" spans="1:13">
      <c r="A56" s="16" t="str">
        <f>IFERROR(IF([2]筐子库存汇总!$A$56=0,"",[2]筐子库存汇总!$A$56),"")</f>
        <v/>
      </c>
      <c r="B56" s="30" t="str">
        <f>IFERROR(IF([2]筐子库存汇总!$B$56=0,"",[2]筐子库存汇总!$B$56),"")</f>
        <v/>
      </c>
      <c r="C56" s="17" t="str">
        <f>IFERROR(IF([2]筐子库存汇总!$C$56=0,"",[2]筐子库存汇总!$C$56),"")</f>
        <v/>
      </c>
      <c r="D56" s="17" t="str">
        <f>IFERROR(IF([2]筐子库存汇总!$D$56=0,"",[2]筐子库存汇总!$D$56),"")</f>
        <v/>
      </c>
      <c r="E56" s="31" t="str">
        <f>IFERROR(IF([2]筐子库存汇总!$E$56=0,"",[2]筐子库存汇总!$E$56),"")</f>
        <v/>
      </c>
      <c r="F56" s="17" t="str">
        <f>IFERROR(IF([2]筐子库存汇总!$F$56=0,"",[2]筐子库存汇总!$F$56),"")</f>
        <v/>
      </c>
      <c r="G56" s="17" t="str">
        <f>IFERROR(IF([2]筐子库存汇总!$G$56=0,"",[2]筐子库存汇总!$G$56),"")</f>
        <v/>
      </c>
      <c r="H56" s="17" t="str">
        <f>IFERROR(IF([2]筐子库存汇总!$H$56=0,"",[2]筐子库存汇总!$H$56),"")</f>
        <v/>
      </c>
      <c r="I56" s="17" t="str">
        <f>IFERROR(IF([2]筐子库存汇总!$I$56=0,"",[2]筐子库存汇总!$I$56),"")</f>
        <v/>
      </c>
      <c r="J56" s="17" t="str">
        <f>IFERROR(IF([2]筐子库存汇总!$J$56=0,"",[2]筐子库存汇总!$J$56),"")</f>
        <v/>
      </c>
      <c r="K56" s="17" t="str">
        <f>IFERROR(IF([2]筐子库存汇总!$K$56=0,"",[2]筐子库存汇总!$K$56),"")</f>
        <v/>
      </c>
      <c r="L56" s="17" t="str">
        <f>IFERROR(IF([2]筐子库存汇总!$L$56=0,"",[2]筐子库存汇总!$L$56),"")</f>
        <v/>
      </c>
      <c r="M56" s="16" t="str">
        <f>IFERROR(IF([2]筐子库存汇总!$M$56=0,"",[2]筐子库存汇总!$M$56),"")</f>
        <v/>
      </c>
    </row>
    <row r="57" customHeight="1" spans="1:13">
      <c r="A57" s="16" t="str">
        <f>IFERROR(IF([2]筐子库存汇总!$A$57=0,"",[2]筐子库存汇总!$A$57),"")</f>
        <v/>
      </c>
      <c r="B57" s="30" t="str">
        <f>IFERROR(IF([2]筐子库存汇总!$B$57=0,"",[2]筐子库存汇总!$B$57),"")</f>
        <v/>
      </c>
      <c r="C57" s="17" t="str">
        <f>IFERROR(IF([2]筐子库存汇总!$C$57=0,"",[2]筐子库存汇总!$C$57),"")</f>
        <v/>
      </c>
      <c r="D57" s="17" t="str">
        <f>IFERROR(IF([2]筐子库存汇总!$D$57=0,"",[2]筐子库存汇总!$D$57),"")</f>
        <v/>
      </c>
      <c r="E57" s="31" t="str">
        <f>IFERROR(IF([2]筐子库存汇总!$E$57=0,"",[2]筐子库存汇总!$E$57),"")</f>
        <v/>
      </c>
      <c r="F57" s="17" t="str">
        <f>IFERROR(IF([2]筐子库存汇总!$F$57=0,"",[2]筐子库存汇总!$F$57),"")</f>
        <v/>
      </c>
      <c r="G57" s="17" t="str">
        <f>IFERROR(IF([2]筐子库存汇总!$G$57=0,"",[2]筐子库存汇总!$G$57),"")</f>
        <v/>
      </c>
      <c r="H57" s="17" t="str">
        <f>IFERROR(IF([2]筐子库存汇总!$H$57=0,"",[2]筐子库存汇总!$H$57),"")</f>
        <v/>
      </c>
      <c r="I57" s="17" t="str">
        <f>IFERROR(IF([2]筐子库存汇总!$I$57=0,"",[2]筐子库存汇总!$I$57),"")</f>
        <v/>
      </c>
      <c r="J57" s="17" t="str">
        <f>IFERROR(IF([2]筐子库存汇总!$J$57=0,"",[2]筐子库存汇总!$J$57),"")</f>
        <v/>
      </c>
      <c r="K57" s="17" t="str">
        <f>IFERROR(IF([2]筐子库存汇总!$K$57=0,"",[2]筐子库存汇总!$K$57),"")</f>
        <v/>
      </c>
      <c r="L57" s="17" t="str">
        <f>IFERROR(IF([2]筐子库存汇总!$L$57=0,"",[2]筐子库存汇总!$L$57),"")</f>
        <v/>
      </c>
      <c r="M57" s="16" t="str">
        <f>IFERROR(IF([2]筐子库存汇总!$M$57=0,"",[2]筐子库存汇总!$M$57),"")</f>
        <v/>
      </c>
    </row>
    <row r="58" customHeight="1" spans="1:13">
      <c r="A58" s="16" t="str">
        <f>IFERROR(IF([2]筐子库存汇总!$A$58=0,"",[2]筐子库存汇总!$A$58),"")</f>
        <v/>
      </c>
      <c r="B58" s="30" t="str">
        <f>IFERROR(IF([2]筐子库存汇总!$B$58=0,"",[2]筐子库存汇总!$B$58),"")</f>
        <v/>
      </c>
      <c r="C58" s="17" t="str">
        <f>IFERROR(IF([2]筐子库存汇总!$C$58=0,"",[2]筐子库存汇总!$C$58),"")</f>
        <v/>
      </c>
      <c r="D58" s="17" t="str">
        <f>IFERROR(IF([2]筐子库存汇总!$D$58=0,"",[2]筐子库存汇总!$D$58),"")</f>
        <v/>
      </c>
      <c r="E58" s="31" t="str">
        <f>IFERROR(IF([2]筐子库存汇总!$E$58=0,"",[2]筐子库存汇总!$E$58),"")</f>
        <v/>
      </c>
      <c r="F58" s="17" t="str">
        <f>IFERROR(IF([2]筐子库存汇总!$F$58=0,"",[2]筐子库存汇总!$F$58),"")</f>
        <v/>
      </c>
      <c r="G58" s="17" t="str">
        <f>IFERROR(IF([2]筐子库存汇总!$G$58=0,"",[2]筐子库存汇总!$G$58),"")</f>
        <v/>
      </c>
      <c r="H58" s="17" t="str">
        <f>IFERROR(IF([2]筐子库存汇总!$H$58=0,"",[2]筐子库存汇总!$H$58),"")</f>
        <v/>
      </c>
      <c r="I58" s="17" t="str">
        <f>IFERROR(IF([2]筐子库存汇总!$I$58=0,"",[2]筐子库存汇总!$I$58),"")</f>
        <v/>
      </c>
      <c r="J58" s="17" t="str">
        <f>IFERROR(IF([2]筐子库存汇总!$J$58=0,"",[2]筐子库存汇总!$J$58),"")</f>
        <v/>
      </c>
      <c r="K58" s="17" t="str">
        <f>IFERROR(IF([2]筐子库存汇总!$K$58=0,"",[2]筐子库存汇总!$K$58),"")</f>
        <v/>
      </c>
      <c r="L58" s="17" t="str">
        <f>IFERROR(IF([2]筐子库存汇总!$L$58=0,"",[2]筐子库存汇总!$L$58),"")</f>
        <v/>
      </c>
      <c r="M58" s="16" t="str">
        <f>IFERROR(IF([2]筐子库存汇总!$M$58=0,"",[2]筐子库存汇总!$M$58),"")</f>
        <v/>
      </c>
    </row>
    <row r="59" customHeight="1" spans="1:13">
      <c r="A59" s="16" t="str">
        <f>IFERROR(IF([2]筐子库存汇总!$A$59=0,"",[2]筐子库存汇总!$A$59),"")</f>
        <v/>
      </c>
      <c r="B59" s="30" t="str">
        <f>IFERROR(IF([2]筐子库存汇总!$B$59=0,"",[2]筐子库存汇总!$B$59),"")</f>
        <v/>
      </c>
      <c r="C59" s="17" t="str">
        <f>IFERROR(IF([2]筐子库存汇总!$C$59=0,"",[2]筐子库存汇总!$C$59),"")</f>
        <v/>
      </c>
      <c r="D59" s="17" t="str">
        <f>IFERROR(IF([2]筐子库存汇总!$D$59=0,"",[2]筐子库存汇总!$D$59),"")</f>
        <v/>
      </c>
      <c r="E59" s="31" t="str">
        <f>IFERROR(IF([2]筐子库存汇总!$E$59=0,"",[2]筐子库存汇总!$E$59),"")</f>
        <v/>
      </c>
      <c r="F59" s="17" t="str">
        <f>IFERROR(IF([2]筐子库存汇总!$F$59=0,"",[2]筐子库存汇总!$F$59),"")</f>
        <v/>
      </c>
      <c r="G59" s="17" t="str">
        <f>IFERROR(IF([2]筐子库存汇总!$G$59=0,"",[2]筐子库存汇总!$G$59),"")</f>
        <v/>
      </c>
      <c r="H59" s="17" t="str">
        <f>IFERROR(IF([2]筐子库存汇总!$H$59=0,"",[2]筐子库存汇总!$H$59),"")</f>
        <v/>
      </c>
      <c r="I59" s="17" t="str">
        <f>IFERROR(IF([2]筐子库存汇总!$I$59=0,"",[2]筐子库存汇总!$I$59),"")</f>
        <v/>
      </c>
      <c r="J59" s="17" t="str">
        <f>IFERROR(IF([2]筐子库存汇总!$J$59=0,"",[2]筐子库存汇总!$J$59),"")</f>
        <v/>
      </c>
      <c r="K59" s="17" t="str">
        <f>IFERROR(IF([2]筐子库存汇总!$K$59=0,"",[2]筐子库存汇总!$K$59),"")</f>
        <v/>
      </c>
      <c r="L59" s="17" t="str">
        <f>IFERROR(IF([2]筐子库存汇总!$L$59=0,"",[2]筐子库存汇总!$L$59),"")</f>
        <v/>
      </c>
      <c r="M59" s="16" t="str">
        <f>IFERROR(IF([2]筐子库存汇总!$M$59=0,"",[2]筐子库存汇总!$M$59),"")</f>
        <v/>
      </c>
    </row>
    <row r="60" customHeight="1" spans="1:13">
      <c r="A60" s="16" t="str">
        <f>IFERROR(IF([2]筐子库存汇总!$A$60=0,"",[2]筐子库存汇总!$A$60),"")</f>
        <v/>
      </c>
      <c r="B60" s="30" t="str">
        <f>IFERROR(IF([2]筐子库存汇总!$B$60=0,"",[2]筐子库存汇总!$B$60),"")</f>
        <v/>
      </c>
      <c r="C60" s="17" t="str">
        <f>IFERROR(IF([2]筐子库存汇总!$C$60=0,"",[2]筐子库存汇总!$C$60),"")</f>
        <v/>
      </c>
      <c r="D60" s="17" t="str">
        <f>IFERROR(IF([2]筐子库存汇总!$D$60=0,"",[2]筐子库存汇总!$D$60),"")</f>
        <v/>
      </c>
      <c r="E60" s="31" t="str">
        <f>IFERROR(IF([2]筐子库存汇总!$E$60=0,"",[2]筐子库存汇总!$E$60),"")</f>
        <v/>
      </c>
      <c r="F60" s="17" t="str">
        <f>IFERROR(IF([2]筐子库存汇总!$F$60=0,"",[2]筐子库存汇总!$F$60),"")</f>
        <v/>
      </c>
      <c r="G60" s="17" t="str">
        <f>IFERROR(IF([2]筐子库存汇总!$G$60=0,"",[2]筐子库存汇总!$G$60),"")</f>
        <v/>
      </c>
      <c r="H60" s="17" t="str">
        <f>IFERROR(IF([2]筐子库存汇总!$H$60=0,"",[2]筐子库存汇总!$H$60),"")</f>
        <v/>
      </c>
      <c r="I60" s="17" t="str">
        <f>IFERROR(IF([2]筐子库存汇总!$I$60=0,"",[2]筐子库存汇总!$I$60),"")</f>
        <v/>
      </c>
      <c r="J60" s="17" t="str">
        <f>IFERROR(IF([2]筐子库存汇总!$J$60=0,"",[2]筐子库存汇总!$J$60),"")</f>
        <v/>
      </c>
      <c r="K60" s="17" t="str">
        <f>IFERROR(IF([2]筐子库存汇总!$K$60=0,"",[2]筐子库存汇总!$K$60),"")</f>
        <v/>
      </c>
      <c r="L60" s="17" t="str">
        <f>IFERROR(IF([2]筐子库存汇总!$L$60=0,"",[2]筐子库存汇总!$L$60),"")</f>
        <v/>
      </c>
      <c r="M60" s="16" t="str">
        <f>IFERROR(IF([2]筐子库存汇总!$M$60=0,"",[2]筐子库存汇总!$M$60),"")</f>
        <v/>
      </c>
    </row>
    <row r="61" customHeight="1" spans="1:13">
      <c r="A61" s="16" t="str">
        <f>IFERROR(IF([2]筐子库存汇总!$A$61=0,"",[2]筐子库存汇总!$A$61),"")</f>
        <v/>
      </c>
      <c r="B61" s="30" t="str">
        <f>IFERROR(IF([2]筐子库存汇总!$B$61=0,"",[2]筐子库存汇总!$B$61),"")</f>
        <v/>
      </c>
      <c r="C61" s="17" t="str">
        <f>IFERROR(IF([2]筐子库存汇总!$C$61=0,"",[2]筐子库存汇总!$C$61),"")</f>
        <v/>
      </c>
      <c r="D61" s="17" t="str">
        <f>IFERROR(IF([2]筐子库存汇总!$D$61=0,"",[2]筐子库存汇总!$D$61),"")</f>
        <v/>
      </c>
      <c r="E61" s="31" t="str">
        <f>IFERROR(IF([2]筐子库存汇总!$E$61=0,"",[2]筐子库存汇总!$E$61),"")</f>
        <v/>
      </c>
      <c r="F61" s="17" t="str">
        <f>IFERROR(IF([2]筐子库存汇总!$F$61=0,"",[2]筐子库存汇总!$F$61),"")</f>
        <v/>
      </c>
      <c r="G61" s="17" t="str">
        <f>IFERROR(IF([2]筐子库存汇总!$G$61=0,"",[2]筐子库存汇总!$G$61),"")</f>
        <v/>
      </c>
      <c r="H61" s="17" t="str">
        <f>IFERROR(IF([2]筐子库存汇总!$H$61=0,"",[2]筐子库存汇总!$H$61),"")</f>
        <v/>
      </c>
      <c r="I61" s="17" t="str">
        <f>IFERROR(IF([2]筐子库存汇总!$I$61=0,"",[2]筐子库存汇总!$I$61),"")</f>
        <v/>
      </c>
      <c r="J61" s="17" t="str">
        <f>IFERROR(IF([2]筐子库存汇总!$J$61=0,"",[2]筐子库存汇总!$J$61),"")</f>
        <v/>
      </c>
      <c r="K61" s="17" t="str">
        <f>IFERROR(IF([2]筐子库存汇总!$K$61=0,"",[2]筐子库存汇总!$K$61),"")</f>
        <v/>
      </c>
      <c r="L61" s="17" t="str">
        <f>IFERROR(IF([2]筐子库存汇总!$L$61=0,"",[2]筐子库存汇总!$L$61),"")</f>
        <v/>
      </c>
      <c r="M61" s="16" t="str">
        <f>IFERROR(IF([2]筐子库存汇总!$M$61=0,"",[2]筐子库存汇总!$M$61),"")</f>
        <v/>
      </c>
    </row>
    <row r="62" customHeight="1" spans="1:13">
      <c r="A62" s="16" t="str">
        <f>IFERROR(IF([2]筐子库存汇总!$A$62=0,"",[2]筐子库存汇总!$A$62),"")</f>
        <v/>
      </c>
      <c r="B62" s="30" t="str">
        <f>IFERROR(IF([2]筐子库存汇总!$B$62=0,"",[2]筐子库存汇总!$B$62),"")</f>
        <v/>
      </c>
      <c r="C62" s="17" t="str">
        <f>IFERROR(IF([2]筐子库存汇总!$C$62=0,"",[2]筐子库存汇总!$C$62),"")</f>
        <v/>
      </c>
      <c r="D62" s="17" t="str">
        <f>IFERROR(IF([2]筐子库存汇总!$D$62=0,"",[2]筐子库存汇总!$D$62),"")</f>
        <v/>
      </c>
      <c r="E62" s="31" t="str">
        <f>IFERROR(IF([2]筐子库存汇总!$E$62=0,"",[2]筐子库存汇总!$E$62),"")</f>
        <v/>
      </c>
      <c r="F62" s="17" t="str">
        <f>IFERROR(IF([2]筐子库存汇总!$F$62=0,"",[2]筐子库存汇总!$F$62),"")</f>
        <v/>
      </c>
      <c r="G62" s="17" t="str">
        <f>IFERROR(IF([2]筐子库存汇总!$G$62=0,"",[2]筐子库存汇总!$G$62),"")</f>
        <v/>
      </c>
      <c r="H62" s="17" t="str">
        <f>IFERROR(IF([2]筐子库存汇总!$H$62=0,"",[2]筐子库存汇总!$H$62),"")</f>
        <v/>
      </c>
      <c r="I62" s="17" t="str">
        <f>IFERROR(IF([2]筐子库存汇总!$I$62=0,"",[2]筐子库存汇总!$I$62),"")</f>
        <v/>
      </c>
      <c r="J62" s="17" t="str">
        <f>IFERROR(IF([2]筐子库存汇总!$J$62=0,"",[2]筐子库存汇总!$J$62),"")</f>
        <v/>
      </c>
      <c r="K62" s="17" t="str">
        <f>IFERROR(IF([2]筐子库存汇总!$K$62=0,"",[2]筐子库存汇总!$K$62),"")</f>
        <v/>
      </c>
      <c r="L62" s="17" t="str">
        <f>IFERROR(IF([2]筐子库存汇总!$L$62=0,"",[2]筐子库存汇总!$L$62),"")</f>
        <v/>
      </c>
      <c r="M62" s="16" t="str">
        <f>IFERROR(IF([2]筐子库存汇总!$M$62=0,"",[2]筐子库存汇总!$M$62),"")</f>
        <v/>
      </c>
    </row>
    <row r="63" customHeight="1" spans="1:13">
      <c r="A63" s="16" t="str">
        <f>IFERROR(IF([2]筐子库存汇总!$A$63=0,"",[2]筐子库存汇总!$A$63),"")</f>
        <v/>
      </c>
      <c r="B63" s="30" t="str">
        <f>IFERROR(IF([2]筐子库存汇总!$B$63=0,"",[2]筐子库存汇总!$B$63),"")</f>
        <v/>
      </c>
      <c r="C63" s="17" t="str">
        <f>IFERROR(IF([2]筐子库存汇总!$C$63=0,"",[2]筐子库存汇总!$C$63),"")</f>
        <v/>
      </c>
      <c r="D63" s="17" t="str">
        <f>IFERROR(IF([2]筐子库存汇总!$D$63=0,"",[2]筐子库存汇总!$D$63),"")</f>
        <v/>
      </c>
      <c r="E63" s="31" t="str">
        <f>IFERROR(IF([2]筐子库存汇总!$E$63=0,"",[2]筐子库存汇总!$E$63),"")</f>
        <v/>
      </c>
      <c r="F63" s="17" t="str">
        <f>IFERROR(IF([2]筐子库存汇总!$F$63=0,"",[2]筐子库存汇总!$F$63),"")</f>
        <v/>
      </c>
      <c r="G63" s="17" t="str">
        <f>IFERROR(IF([2]筐子库存汇总!$G$63=0,"",[2]筐子库存汇总!$G$63),"")</f>
        <v/>
      </c>
      <c r="H63" s="17" t="str">
        <f>IFERROR(IF([2]筐子库存汇总!$H$63=0,"",[2]筐子库存汇总!$H$63),"")</f>
        <v/>
      </c>
      <c r="I63" s="17" t="str">
        <f>IFERROR(IF([2]筐子库存汇总!$I$63=0,"",[2]筐子库存汇总!$I$63),"")</f>
        <v/>
      </c>
      <c r="J63" s="17" t="str">
        <f>IFERROR(IF([2]筐子库存汇总!$J$63=0,"",[2]筐子库存汇总!$J$63),"")</f>
        <v/>
      </c>
      <c r="K63" s="17" t="str">
        <f>IFERROR(IF([2]筐子库存汇总!$K$63=0,"",[2]筐子库存汇总!$K$63),"")</f>
        <v/>
      </c>
      <c r="L63" s="17" t="str">
        <f>IFERROR(IF([2]筐子库存汇总!$L$63=0,"",[2]筐子库存汇总!$L$63),"")</f>
        <v/>
      </c>
      <c r="M63" s="16" t="str">
        <f>IFERROR(IF([2]筐子库存汇总!$M$63=0,"",[2]筐子库存汇总!$M$63),"")</f>
        <v/>
      </c>
    </row>
    <row r="64" customHeight="1" spans="1:13">
      <c r="A64" s="32"/>
      <c r="B64" s="27" t="s">
        <v>187</v>
      </c>
      <c r="C64" s="33">
        <f t="shared" ref="C64:L64" si="0">ROUND(SUM(C4:C63),2)</f>
        <v>177768</v>
      </c>
      <c r="D64" s="33">
        <f t="shared" si="0"/>
        <v>28176</v>
      </c>
      <c r="E64" s="34">
        <f t="shared" si="0"/>
        <v>104</v>
      </c>
      <c r="F64" s="33">
        <f t="shared" si="0"/>
        <v>43332</v>
      </c>
      <c r="G64" s="33">
        <f t="shared" si="0"/>
        <v>0</v>
      </c>
      <c r="H64" s="33">
        <f t="shared" si="0"/>
        <v>0</v>
      </c>
      <c r="I64" s="33">
        <f t="shared" si="0"/>
        <v>162716</v>
      </c>
      <c r="J64" s="33">
        <f t="shared" si="0"/>
        <v>43228</v>
      </c>
      <c r="K64" s="33">
        <f t="shared" si="0"/>
        <v>-25314</v>
      </c>
      <c r="L64" s="33">
        <f t="shared" si="0"/>
        <v>180630</v>
      </c>
      <c r="M64" s="27"/>
    </row>
  </sheetData>
  <mergeCells count="2">
    <mergeCell ref="A1:M1"/>
    <mergeCell ref="A2:M2"/>
  </mergeCells>
  <conditionalFormatting sqref="A2">
    <cfRule type="expression" dxfId="0" priority="2">
      <formula>N(对接源_02物料!$R$4)=0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L25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N5" sqref="N5"/>
    </sheetView>
  </sheetViews>
  <sheetFormatPr defaultColWidth="9" defaultRowHeight="13.5"/>
  <cols>
    <col min="1" max="1" width="5" style="8" customWidth="1"/>
    <col min="2" max="2" width="16" style="8" customWidth="1"/>
    <col min="3" max="10" width="14" style="8" customWidth="1"/>
    <col min="11" max="11" width="12" style="8" customWidth="1"/>
    <col min="12" max="12" width="16" style="8" customWidth="1"/>
    <col min="13" max="16384" width="9" style="8"/>
  </cols>
  <sheetData>
    <row r="1" ht="30" customHeight="1" spans="1:12">
      <c r="A1" s="9" t="s">
        <v>188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>
      <c r="A2" s="25" t="str">
        <f>IF(N(MAX(_自动清单!$C$4:$C$2403))&gt;250,"★★ 注意：往来单位已有 "&amp;N(MAX(_自动清单!$C$4:$C$2403))&amp;" 个，超过本表 250 个的显示上限，请选中最后一行整行下拉复制扩表（汇总公式范围也要一起改）","★ 全自动：往来单位由 01、02 两册的明细自动去重生成。金额口径与【综合对账单】一致，不受日期限制（是全期累计）。要看某一段时间的，请用【综合对账单】　【往来单位 "&amp;N(MAX(_自动清单!$C$4:$C$2403))&amp;"/250】")</f>
        <v>★ 全自动：往来单位由 01、02 两册的明细自动去重生成。金额口径与【综合对账单】一致，不受日期限制（是全期累计）。要看某一段时间的，请用【综合对账单】　【往来单位 21/250】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ht="30" customHeight="1" spans="1:12">
      <c r="A3" s="13" t="s">
        <v>3</v>
      </c>
      <c r="B3" s="13" t="s">
        <v>189</v>
      </c>
      <c r="C3" s="13" t="s">
        <v>190</v>
      </c>
      <c r="D3" s="13" t="s">
        <v>191</v>
      </c>
      <c r="E3" s="13" t="s">
        <v>192</v>
      </c>
      <c r="F3" s="13" t="s">
        <v>193</v>
      </c>
      <c r="G3" s="13" t="s">
        <v>194</v>
      </c>
      <c r="H3" s="13" t="s">
        <v>195</v>
      </c>
      <c r="I3" s="13" t="s">
        <v>196</v>
      </c>
      <c r="J3" s="13" t="s">
        <v>197</v>
      </c>
      <c r="K3" s="13" t="s">
        <v>198</v>
      </c>
      <c r="L3" s="13" t="s">
        <v>186</v>
      </c>
    </row>
    <row r="4" customHeight="1" spans="1:12">
      <c r="A4" s="16">
        <f t="shared" ref="A4:A67" si="0">IF($B4="","",ROW()-3)</f>
        <v>1</v>
      </c>
      <c r="B4" s="11" t="str">
        <f>IFERROR(INDEX(_自动清单!$E$4:$E$303,ROW()-3),"")</f>
        <v>聂新平</v>
      </c>
      <c r="C4" s="18">
        <f>IF($B4="","",ROUND(SUMIFS(对接源_01水果!$K$4:$K$1203,对接源_01水果!$C$4:$C$1203,$B4,对接源_01水果!$D$4:$D$1203,"成品出库*"),2))</f>
        <v>0</v>
      </c>
      <c r="D4" s="18">
        <f>IF($B4="","",ROUND(SUMIFS(对接源_01水果!$K$4:$K$1203,对接源_01水果!$C$4:$C$1203,$B4,对接源_01水果!$D$4:$D$1203,"其他代存*"),2))</f>
        <v>0</v>
      </c>
      <c r="E4" s="18">
        <f>IF($B4="","",ROUND(SUMIFS(对接源_02物料!$K$4:$K$1203,对接源_02物料!$C$4:$C$1203,$B4,对接源_02物料!$D$4:$D$1203,"包装物料*"),2))</f>
        <v>0</v>
      </c>
      <c r="F4" s="18">
        <f>IF($B4="","",ROUND(SUMIFS(对接源_02物料!$K$4:$K$1203,对接源_02物料!$C$4:$C$1203,$B4,对接源_02物料!$D$4:$D$1203,"周转筐*"),2))</f>
        <v>0</v>
      </c>
      <c r="G4" s="18">
        <f>IF($B4="","",ROUND(SUMIFS(对接源_02物料!$K$4:$K$1203,对接源_02物料!$C$4:$C$1203,$B4,对接源_02物料!$D$4:$D$1203,"次果筐*"),2))</f>
        <v>0</v>
      </c>
      <c r="H4" s="18">
        <f t="shared" ref="H4:H67" si="1">IF($B4="","",ROUND(SUM($C4:$G4),2))</f>
        <v>0</v>
      </c>
      <c r="I4" s="18">
        <f>IF($B4="","",ROUND(SUMIFS(对接源_01水果!$K$4:$K$1203,对接源_01水果!$C$4:$C$1203,$B4,对接源_01水果!$D$4:$D$1203,"成品出库*",对接源_01水果!$L$4:$L$1203,"已收讫")+SUMIFS(对接源_01水果!$K$4:$K$1203,对接源_01水果!$C$4:$C$1203,$B4,对接源_01水果!$D$4:$D$1203,"成品出库*",对接源_01水果!$L$4:$L$1203,"已付款")+SUMIFS(对接源_01水果!$K$4:$K$1203,对接源_01水果!$C$4:$C$1203,$B4,对接源_01水果!$D$4:$D$1203,"其他代存*",对接源_01水果!$L$4:$L$1203,"已收讫")+SUMIFS(对接源_01水果!$K$4:$K$1203,对接源_01水果!$C$4:$C$1203,$B4,对接源_01水果!$D$4:$D$1203,"其他代存*",对接源_01水果!$L$4:$L$1203,"已付款")+SUMIFS(对接源_02物料!$K$4:$K$1203,对接源_02物料!$C$4:$C$1203,$B4,对接源_02物料!$D$4:$D$1203,"包装物料*",对接源_02物料!$L$4:$L$1203,"已收讫")+SUMIFS(对接源_02物料!$K$4:$K$1203,对接源_02物料!$C$4:$C$1203,$B4,对接源_02物料!$D$4:$D$1203,"包装物料*",对接源_02物料!$L$4:$L$1203,"已付款")+SUMIFS(对接源_02物料!$K$4:$K$1203,对接源_02物料!$C$4:$C$1203,$B4,对接源_02物料!$D$4:$D$1203,"周转筐*",对接源_02物料!$L$4:$L$1203,"已收讫")+SUMIFS(对接源_02物料!$K$4:$K$1203,对接源_02物料!$C$4:$C$1203,$B4,对接源_02物料!$D$4:$D$1203,"周转筐*",对接源_02物料!$L$4:$L$1203,"已付款")+SUMIFS(对接源_02物料!$K$4:$K$1203,对接源_02物料!$C$4:$C$1203,$B4,对接源_02物料!$D$4:$D$1203,"次果筐*",对接源_02物料!$L$4:$L$1203,"已收讫")+SUMIFS(对接源_02物料!$K$4:$K$1203,对接源_02物料!$C$4:$C$1203,$B4,对接源_02物料!$D$4:$D$1203,"次果筐*",对接源_02物料!$L$4:$L$1203,"已付款"),2))</f>
        <v>0</v>
      </c>
      <c r="J4" s="18">
        <f t="shared" ref="J4:J67" si="2">IF($B4="","",ROUND(N($H4)-N($I4),2))</f>
        <v>0</v>
      </c>
      <c r="K4" s="16" t="str">
        <f t="shared" ref="K4:K67" si="3">IF($B4="","",IF(ROUND(N($J4),2)&gt;0,"对方欠款",IF(ROUND(N($J4),2)&lt;0,"我方欠款","已两清")))</f>
        <v>已两清</v>
      </c>
      <c r="L4" s="26"/>
    </row>
    <row r="5" customHeight="1" spans="1:12">
      <c r="A5" s="16">
        <f t="shared" si="0"/>
        <v>2</v>
      </c>
      <c r="B5" s="11" t="str">
        <f>IFERROR(INDEX(_自动清单!$E$4:$E$303,ROW()-3),"")</f>
        <v>王照雪</v>
      </c>
      <c r="C5" s="18">
        <f>IF($B5="","",ROUND(SUMIFS(对接源_01水果!$K$4:$K$1203,对接源_01水果!$C$4:$C$1203,$B5,对接源_01水果!$D$4:$D$1203,"成品出库*"),2))</f>
        <v>40</v>
      </c>
      <c r="D5" s="18">
        <f>IF($B5="","",ROUND(SUMIFS(对接源_01水果!$K$4:$K$1203,对接源_01水果!$C$4:$C$1203,$B5,对接源_01水果!$D$4:$D$1203,"其他代存*"),2))</f>
        <v>0</v>
      </c>
      <c r="E5" s="18">
        <f>IF($B5="","",ROUND(SUMIFS(对接源_02物料!$K$4:$K$1203,对接源_02物料!$C$4:$C$1203,$B5,对接源_02物料!$D$4:$D$1203,"包装物料*"),2))</f>
        <v>0</v>
      </c>
      <c r="F5" s="18">
        <f>IF($B5="","",ROUND(SUMIFS(对接源_02物料!$K$4:$K$1203,对接源_02物料!$C$4:$C$1203,$B5,对接源_02物料!$D$4:$D$1203,"周转筐*"),2))</f>
        <v>0</v>
      </c>
      <c r="G5" s="18">
        <f>IF($B5="","",ROUND(SUMIFS(对接源_02物料!$K$4:$K$1203,对接源_02物料!$C$4:$C$1203,$B5,对接源_02物料!$D$4:$D$1203,"次果筐*"),2))</f>
        <v>475</v>
      </c>
      <c r="H5" s="18">
        <f t="shared" si="1"/>
        <v>515</v>
      </c>
      <c r="I5" s="18">
        <f>IF($B5="","",ROUND(SUMIFS(对接源_01水果!$K$4:$K$1203,对接源_01水果!$C$4:$C$1203,$B5,对接源_01水果!$D$4:$D$1203,"成品出库*",对接源_01水果!$L$4:$L$1203,"已收讫")+SUMIFS(对接源_01水果!$K$4:$K$1203,对接源_01水果!$C$4:$C$1203,$B5,对接源_01水果!$D$4:$D$1203,"成品出库*",对接源_01水果!$L$4:$L$1203,"已付款")+SUMIFS(对接源_01水果!$K$4:$K$1203,对接源_01水果!$C$4:$C$1203,$B5,对接源_01水果!$D$4:$D$1203,"其他代存*",对接源_01水果!$L$4:$L$1203,"已收讫")+SUMIFS(对接源_01水果!$K$4:$K$1203,对接源_01水果!$C$4:$C$1203,$B5,对接源_01水果!$D$4:$D$1203,"其他代存*",对接源_01水果!$L$4:$L$1203,"已付款")+SUMIFS(对接源_02物料!$K$4:$K$1203,对接源_02物料!$C$4:$C$1203,$B5,对接源_02物料!$D$4:$D$1203,"包装物料*",对接源_02物料!$L$4:$L$1203,"已收讫")+SUMIFS(对接源_02物料!$K$4:$K$1203,对接源_02物料!$C$4:$C$1203,$B5,对接源_02物料!$D$4:$D$1203,"包装物料*",对接源_02物料!$L$4:$L$1203,"已付款")+SUMIFS(对接源_02物料!$K$4:$K$1203,对接源_02物料!$C$4:$C$1203,$B5,对接源_02物料!$D$4:$D$1203,"周转筐*",对接源_02物料!$L$4:$L$1203,"已收讫")+SUMIFS(对接源_02物料!$K$4:$K$1203,对接源_02物料!$C$4:$C$1203,$B5,对接源_02物料!$D$4:$D$1203,"周转筐*",对接源_02物料!$L$4:$L$1203,"已付款")+SUMIFS(对接源_02物料!$K$4:$K$1203,对接源_02物料!$C$4:$C$1203,$B5,对接源_02物料!$D$4:$D$1203,"次果筐*",对接源_02物料!$L$4:$L$1203,"已收讫")+SUMIFS(对接源_02物料!$K$4:$K$1203,对接源_02物料!$C$4:$C$1203,$B5,对接源_02物料!$D$4:$D$1203,"次果筐*",对接源_02物料!$L$4:$L$1203,"已付款"),2))</f>
        <v>40</v>
      </c>
      <c r="J5" s="18">
        <f t="shared" si="2"/>
        <v>475</v>
      </c>
      <c r="K5" s="16" t="str">
        <f t="shared" si="3"/>
        <v>对方欠款</v>
      </c>
      <c r="L5" s="26"/>
    </row>
    <row r="6" customHeight="1" spans="1:12">
      <c r="A6" s="16">
        <f t="shared" si="0"/>
        <v>3</v>
      </c>
      <c r="B6" s="11" t="str">
        <f>IFERROR(INDEX(_自动清单!$E$4:$E$303,ROW()-3),"")</f>
        <v>伍元虎</v>
      </c>
      <c r="C6" s="18">
        <f>IF($B6="","",ROUND(SUMIFS(对接源_01水果!$K$4:$K$1203,对接源_01水果!$C$4:$C$1203,$B6,对接源_01水果!$D$4:$D$1203,"成品出库*"),2))</f>
        <v>0</v>
      </c>
      <c r="D6" s="18">
        <f>IF($B6="","",ROUND(SUMIFS(对接源_01水果!$K$4:$K$1203,对接源_01水果!$C$4:$C$1203,$B6,对接源_01水果!$D$4:$D$1203,"其他代存*"),2))</f>
        <v>0</v>
      </c>
      <c r="E6" s="18">
        <f>IF($B6="","",ROUND(SUMIFS(对接源_02物料!$K$4:$K$1203,对接源_02物料!$C$4:$C$1203,$B6,对接源_02物料!$D$4:$D$1203,"包装物料*"),2))</f>
        <v>0</v>
      </c>
      <c r="F6" s="18">
        <f>IF($B6="","",ROUND(SUMIFS(对接源_02物料!$K$4:$K$1203,对接源_02物料!$C$4:$C$1203,$B6,对接源_02物料!$D$4:$D$1203,"周转筐*"),2))</f>
        <v>0</v>
      </c>
      <c r="G6" s="18">
        <f>IF($B6="","",ROUND(SUMIFS(对接源_02物料!$K$4:$K$1203,对接源_02物料!$C$4:$C$1203,$B6,对接源_02物料!$D$4:$D$1203,"次果筐*"),2))</f>
        <v>0</v>
      </c>
      <c r="H6" s="18">
        <f t="shared" si="1"/>
        <v>0</v>
      </c>
      <c r="I6" s="18">
        <f>IF($B6="","",ROUND(SUMIFS(对接源_01水果!$K$4:$K$1203,对接源_01水果!$C$4:$C$1203,$B6,对接源_01水果!$D$4:$D$1203,"成品出库*",对接源_01水果!$L$4:$L$1203,"已收讫")+SUMIFS(对接源_01水果!$K$4:$K$1203,对接源_01水果!$C$4:$C$1203,$B6,对接源_01水果!$D$4:$D$1203,"成品出库*",对接源_01水果!$L$4:$L$1203,"已付款")+SUMIFS(对接源_01水果!$K$4:$K$1203,对接源_01水果!$C$4:$C$1203,$B6,对接源_01水果!$D$4:$D$1203,"其他代存*",对接源_01水果!$L$4:$L$1203,"已收讫")+SUMIFS(对接源_01水果!$K$4:$K$1203,对接源_01水果!$C$4:$C$1203,$B6,对接源_01水果!$D$4:$D$1203,"其他代存*",对接源_01水果!$L$4:$L$1203,"已付款")+SUMIFS(对接源_02物料!$K$4:$K$1203,对接源_02物料!$C$4:$C$1203,$B6,对接源_02物料!$D$4:$D$1203,"包装物料*",对接源_02物料!$L$4:$L$1203,"已收讫")+SUMIFS(对接源_02物料!$K$4:$K$1203,对接源_02物料!$C$4:$C$1203,$B6,对接源_02物料!$D$4:$D$1203,"包装物料*",对接源_02物料!$L$4:$L$1203,"已付款")+SUMIFS(对接源_02物料!$K$4:$K$1203,对接源_02物料!$C$4:$C$1203,$B6,对接源_02物料!$D$4:$D$1203,"周转筐*",对接源_02物料!$L$4:$L$1203,"已收讫")+SUMIFS(对接源_02物料!$K$4:$K$1203,对接源_02物料!$C$4:$C$1203,$B6,对接源_02物料!$D$4:$D$1203,"周转筐*",对接源_02物料!$L$4:$L$1203,"已付款")+SUMIFS(对接源_02物料!$K$4:$K$1203,对接源_02物料!$C$4:$C$1203,$B6,对接源_02物料!$D$4:$D$1203,"次果筐*",对接源_02物料!$L$4:$L$1203,"已收讫")+SUMIFS(对接源_02物料!$K$4:$K$1203,对接源_02物料!$C$4:$C$1203,$B6,对接源_02物料!$D$4:$D$1203,"次果筐*",对接源_02物料!$L$4:$L$1203,"已付款"),2))</f>
        <v>0</v>
      </c>
      <c r="J6" s="18">
        <f t="shared" si="2"/>
        <v>0</v>
      </c>
      <c r="K6" s="16" t="str">
        <f t="shared" si="3"/>
        <v>已两清</v>
      </c>
      <c r="L6" s="26"/>
    </row>
    <row r="7" customHeight="1" spans="1:12">
      <c r="A7" s="16">
        <f t="shared" si="0"/>
        <v>4</v>
      </c>
      <c r="B7" s="11" t="str">
        <f>IFERROR(INDEX(_自动清单!$E$4:$E$303,ROW()-3),"")</f>
        <v>马锦祥</v>
      </c>
      <c r="C7" s="18">
        <f>IF($B7="","",ROUND(SUMIFS(对接源_01水果!$K$4:$K$1203,对接源_01水果!$C$4:$C$1203,$B7,对接源_01水果!$D$4:$D$1203,"成品出库*"),2))</f>
        <v>0</v>
      </c>
      <c r="D7" s="18">
        <f>IF($B7="","",ROUND(SUMIFS(对接源_01水果!$K$4:$K$1203,对接源_01水果!$C$4:$C$1203,$B7,对接源_01水果!$D$4:$D$1203,"其他代存*"),2))</f>
        <v>0</v>
      </c>
      <c r="E7" s="18">
        <f>IF($B7="","",ROUND(SUMIFS(对接源_02物料!$K$4:$K$1203,对接源_02物料!$C$4:$C$1203,$B7,对接源_02物料!$D$4:$D$1203,"包装物料*"),2))</f>
        <v>0</v>
      </c>
      <c r="F7" s="18">
        <f>IF($B7="","",ROUND(SUMIFS(对接源_02物料!$K$4:$K$1203,对接源_02物料!$C$4:$C$1203,$B7,对接源_02物料!$D$4:$D$1203,"周转筐*"),2))</f>
        <v>0</v>
      </c>
      <c r="G7" s="18">
        <f>IF($B7="","",ROUND(SUMIFS(对接源_02物料!$K$4:$K$1203,对接源_02物料!$C$4:$C$1203,$B7,对接源_02物料!$D$4:$D$1203,"次果筐*"),2))</f>
        <v>0</v>
      </c>
      <c r="H7" s="18">
        <f t="shared" si="1"/>
        <v>0</v>
      </c>
      <c r="I7" s="18">
        <f>IF($B7="","",ROUND(SUMIFS(对接源_01水果!$K$4:$K$1203,对接源_01水果!$C$4:$C$1203,$B7,对接源_01水果!$D$4:$D$1203,"成品出库*",对接源_01水果!$L$4:$L$1203,"已收讫")+SUMIFS(对接源_01水果!$K$4:$K$1203,对接源_01水果!$C$4:$C$1203,$B7,对接源_01水果!$D$4:$D$1203,"成品出库*",对接源_01水果!$L$4:$L$1203,"已付款")+SUMIFS(对接源_01水果!$K$4:$K$1203,对接源_01水果!$C$4:$C$1203,$B7,对接源_01水果!$D$4:$D$1203,"其他代存*",对接源_01水果!$L$4:$L$1203,"已收讫")+SUMIFS(对接源_01水果!$K$4:$K$1203,对接源_01水果!$C$4:$C$1203,$B7,对接源_01水果!$D$4:$D$1203,"其他代存*",对接源_01水果!$L$4:$L$1203,"已付款")+SUMIFS(对接源_02物料!$K$4:$K$1203,对接源_02物料!$C$4:$C$1203,$B7,对接源_02物料!$D$4:$D$1203,"包装物料*",对接源_02物料!$L$4:$L$1203,"已收讫")+SUMIFS(对接源_02物料!$K$4:$K$1203,对接源_02物料!$C$4:$C$1203,$B7,对接源_02物料!$D$4:$D$1203,"包装物料*",对接源_02物料!$L$4:$L$1203,"已付款")+SUMIFS(对接源_02物料!$K$4:$K$1203,对接源_02物料!$C$4:$C$1203,$B7,对接源_02物料!$D$4:$D$1203,"周转筐*",对接源_02物料!$L$4:$L$1203,"已收讫")+SUMIFS(对接源_02物料!$K$4:$K$1203,对接源_02物料!$C$4:$C$1203,$B7,对接源_02物料!$D$4:$D$1203,"周转筐*",对接源_02物料!$L$4:$L$1203,"已付款")+SUMIFS(对接源_02物料!$K$4:$K$1203,对接源_02物料!$C$4:$C$1203,$B7,对接源_02物料!$D$4:$D$1203,"次果筐*",对接源_02物料!$L$4:$L$1203,"已收讫")+SUMIFS(对接源_02物料!$K$4:$K$1203,对接源_02物料!$C$4:$C$1203,$B7,对接源_02物料!$D$4:$D$1203,"次果筐*",对接源_02物料!$L$4:$L$1203,"已付款"),2))</f>
        <v>0</v>
      </c>
      <c r="J7" s="18">
        <f t="shared" si="2"/>
        <v>0</v>
      </c>
      <c r="K7" s="16" t="str">
        <f t="shared" si="3"/>
        <v>已两清</v>
      </c>
      <c r="L7" s="26"/>
    </row>
    <row r="8" customHeight="1" spans="1:12">
      <c r="A8" s="16">
        <f t="shared" si="0"/>
        <v>5</v>
      </c>
      <c r="B8" s="11" t="str">
        <f>IFERROR(INDEX(_自动清单!$E$4:$E$303,ROW()-3),"")</f>
        <v>麦麦提</v>
      </c>
      <c r="C8" s="18">
        <f>IF($B8="","",ROUND(SUMIFS(对接源_01水果!$K$4:$K$1203,对接源_01水果!$C$4:$C$1203,$B8,对接源_01水果!$D$4:$D$1203,"成品出库*"),2))</f>
        <v>100</v>
      </c>
      <c r="D8" s="18">
        <f>IF($B8="","",ROUND(SUMIFS(对接源_01水果!$K$4:$K$1203,对接源_01水果!$C$4:$C$1203,$B8,对接源_01水果!$D$4:$D$1203,"其他代存*"),2))</f>
        <v>0</v>
      </c>
      <c r="E8" s="18">
        <f>IF($B8="","",ROUND(SUMIFS(对接源_02物料!$K$4:$K$1203,对接源_02物料!$C$4:$C$1203,$B8,对接源_02物料!$D$4:$D$1203,"包装物料*"),2))</f>
        <v>10716</v>
      </c>
      <c r="F8" s="18">
        <f>IF($B8="","",ROUND(SUMIFS(对接源_02物料!$K$4:$K$1203,对接源_02物料!$C$4:$C$1203,$B8,对接源_02物料!$D$4:$D$1203,"周转筐*"),2))</f>
        <v>0</v>
      </c>
      <c r="G8" s="18">
        <f>IF($B8="","",ROUND(SUMIFS(对接源_02物料!$K$4:$K$1203,对接源_02物料!$C$4:$C$1203,$B8,对接源_02物料!$D$4:$D$1203,"次果筐*"),2))</f>
        <v>0</v>
      </c>
      <c r="H8" s="18">
        <f t="shared" si="1"/>
        <v>10816</v>
      </c>
      <c r="I8" s="18">
        <f>IF($B8="","",ROUND(SUMIFS(对接源_01水果!$K$4:$K$1203,对接源_01水果!$C$4:$C$1203,$B8,对接源_01水果!$D$4:$D$1203,"成品出库*",对接源_01水果!$L$4:$L$1203,"已收讫")+SUMIFS(对接源_01水果!$K$4:$K$1203,对接源_01水果!$C$4:$C$1203,$B8,对接源_01水果!$D$4:$D$1203,"成品出库*",对接源_01水果!$L$4:$L$1203,"已付款")+SUMIFS(对接源_01水果!$K$4:$K$1203,对接源_01水果!$C$4:$C$1203,$B8,对接源_01水果!$D$4:$D$1203,"其他代存*",对接源_01水果!$L$4:$L$1203,"已收讫")+SUMIFS(对接源_01水果!$K$4:$K$1203,对接源_01水果!$C$4:$C$1203,$B8,对接源_01水果!$D$4:$D$1203,"其他代存*",对接源_01水果!$L$4:$L$1203,"已付款")+SUMIFS(对接源_02物料!$K$4:$K$1203,对接源_02物料!$C$4:$C$1203,$B8,对接源_02物料!$D$4:$D$1203,"包装物料*",对接源_02物料!$L$4:$L$1203,"已收讫")+SUMIFS(对接源_02物料!$K$4:$K$1203,对接源_02物料!$C$4:$C$1203,$B8,对接源_02物料!$D$4:$D$1203,"包装物料*",对接源_02物料!$L$4:$L$1203,"已付款")+SUMIFS(对接源_02物料!$K$4:$K$1203,对接源_02物料!$C$4:$C$1203,$B8,对接源_02物料!$D$4:$D$1203,"周转筐*",对接源_02物料!$L$4:$L$1203,"已收讫")+SUMIFS(对接源_02物料!$K$4:$K$1203,对接源_02物料!$C$4:$C$1203,$B8,对接源_02物料!$D$4:$D$1203,"周转筐*",对接源_02物料!$L$4:$L$1203,"已付款")+SUMIFS(对接源_02物料!$K$4:$K$1203,对接源_02物料!$C$4:$C$1203,$B8,对接源_02物料!$D$4:$D$1203,"次果筐*",对接源_02物料!$L$4:$L$1203,"已收讫")+SUMIFS(对接源_02物料!$K$4:$K$1203,对接源_02物料!$C$4:$C$1203,$B8,对接源_02物料!$D$4:$D$1203,"次果筐*",对接源_02物料!$L$4:$L$1203,"已付款"),2))</f>
        <v>196</v>
      </c>
      <c r="J8" s="18">
        <f t="shared" si="2"/>
        <v>10620</v>
      </c>
      <c r="K8" s="16" t="str">
        <f t="shared" si="3"/>
        <v>对方欠款</v>
      </c>
      <c r="L8" s="26"/>
    </row>
    <row r="9" customHeight="1" spans="1:12">
      <c r="A9" s="16">
        <f t="shared" si="0"/>
        <v>6</v>
      </c>
      <c r="B9" s="11" t="str">
        <f>IFERROR(INDEX(_自动清单!$E$4:$E$303,ROW()-3),"")</f>
        <v>吐尔洪</v>
      </c>
      <c r="C9" s="18">
        <f>IF($B9="","",ROUND(SUMIFS(对接源_01水果!$K$4:$K$1203,对接源_01水果!$C$4:$C$1203,$B9,对接源_01水果!$D$4:$D$1203,"成品出库*"),2))</f>
        <v>0</v>
      </c>
      <c r="D9" s="18">
        <f>IF($B9="","",ROUND(SUMIFS(对接源_01水果!$K$4:$K$1203,对接源_01水果!$C$4:$C$1203,$B9,对接源_01水果!$D$4:$D$1203,"其他代存*"),2))</f>
        <v>0</v>
      </c>
      <c r="E9" s="18">
        <f>IF($B9="","",ROUND(SUMIFS(对接源_02物料!$K$4:$K$1203,对接源_02物料!$C$4:$C$1203,$B9,对接源_02物料!$D$4:$D$1203,"包装物料*"),2))</f>
        <v>3375</v>
      </c>
      <c r="F9" s="18">
        <f>IF($B9="","",ROUND(SUMIFS(对接源_02物料!$K$4:$K$1203,对接源_02物料!$C$4:$C$1203,$B9,对接源_02物料!$D$4:$D$1203,"周转筐*"),2))</f>
        <v>0</v>
      </c>
      <c r="G9" s="18">
        <f>IF($B9="","",ROUND(SUMIFS(对接源_02物料!$K$4:$K$1203,对接源_02物料!$C$4:$C$1203,$B9,对接源_02物料!$D$4:$D$1203,"次果筐*"),2))</f>
        <v>0</v>
      </c>
      <c r="H9" s="18">
        <f t="shared" si="1"/>
        <v>3375</v>
      </c>
      <c r="I9" s="18">
        <f>IF($B9="","",ROUND(SUMIFS(对接源_01水果!$K$4:$K$1203,对接源_01水果!$C$4:$C$1203,$B9,对接源_01水果!$D$4:$D$1203,"成品出库*",对接源_01水果!$L$4:$L$1203,"已收讫")+SUMIFS(对接源_01水果!$K$4:$K$1203,对接源_01水果!$C$4:$C$1203,$B9,对接源_01水果!$D$4:$D$1203,"成品出库*",对接源_01水果!$L$4:$L$1203,"已付款")+SUMIFS(对接源_01水果!$K$4:$K$1203,对接源_01水果!$C$4:$C$1203,$B9,对接源_01水果!$D$4:$D$1203,"其他代存*",对接源_01水果!$L$4:$L$1203,"已收讫")+SUMIFS(对接源_01水果!$K$4:$K$1203,对接源_01水果!$C$4:$C$1203,$B9,对接源_01水果!$D$4:$D$1203,"其他代存*",对接源_01水果!$L$4:$L$1203,"已付款")+SUMIFS(对接源_02物料!$K$4:$K$1203,对接源_02物料!$C$4:$C$1203,$B9,对接源_02物料!$D$4:$D$1203,"包装物料*",对接源_02物料!$L$4:$L$1203,"已收讫")+SUMIFS(对接源_02物料!$K$4:$K$1203,对接源_02物料!$C$4:$C$1203,$B9,对接源_02物料!$D$4:$D$1203,"包装物料*",对接源_02物料!$L$4:$L$1203,"已付款")+SUMIFS(对接源_02物料!$K$4:$K$1203,对接源_02物料!$C$4:$C$1203,$B9,对接源_02物料!$D$4:$D$1203,"周转筐*",对接源_02物料!$L$4:$L$1203,"已收讫")+SUMIFS(对接源_02物料!$K$4:$K$1203,对接源_02物料!$C$4:$C$1203,$B9,对接源_02物料!$D$4:$D$1203,"周转筐*",对接源_02物料!$L$4:$L$1203,"已付款")+SUMIFS(对接源_02物料!$K$4:$K$1203,对接源_02物料!$C$4:$C$1203,$B9,对接源_02物料!$D$4:$D$1203,"次果筐*",对接源_02物料!$L$4:$L$1203,"已收讫")+SUMIFS(对接源_02物料!$K$4:$K$1203,对接源_02物料!$C$4:$C$1203,$B9,对接源_02物料!$D$4:$D$1203,"次果筐*",对接源_02物料!$L$4:$L$1203,"已付款"),2))</f>
        <v>0</v>
      </c>
      <c r="J9" s="18">
        <f t="shared" si="2"/>
        <v>3375</v>
      </c>
      <c r="K9" s="16" t="str">
        <f t="shared" si="3"/>
        <v>对方欠款</v>
      </c>
      <c r="L9" s="26"/>
    </row>
    <row r="10" customHeight="1" spans="1:12">
      <c r="A10" s="16">
        <f t="shared" si="0"/>
        <v>7</v>
      </c>
      <c r="B10" s="11" t="str">
        <f>IFERROR(INDEX(_自动清单!$E$4:$E$303,ROW()-3),"")</f>
        <v>热合曼</v>
      </c>
      <c r="C10" s="18">
        <f>IF($B10="","",ROUND(SUMIFS(对接源_01水果!$K$4:$K$1203,对接源_01水果!$C$4:$C$1203,$B10,对接源_01水果!$D$4:$D$1203,"成品出库*"),2))</f>
        <v>130</v>
      </c>
      <c r="D10" s="18">
        <f>IF($B10="","",ROUND(SUMIFS(对接源_01水果!$K$4:$K$1203,对接源_01水果!$C$4:$C$1203,$B10,对接源_01水果!$D$4:$D$1203,"其他代存*"),2))</f>
        <v>0</v>
      </c>
      <c r="E10" s="18">
        <f>IF($B10="","",ROUND(SUMIFS(对接源_02物料!$K$4:$K$1203,对接源_02物料!$C$4:$C$1203,$B10,对接源_02物料!$D$4:$D$1203,"包装物料*"),2))</f>
        <v>11276</v>
      </c>
      <c r="F10" s="18">
        <f>IF($B10="","",ROUND(SUMIFS(对接源_02物料!$K$4:$K$1203,对接源_02物料!$C$4:$C$1203,$B10,对接源_02物料!$D$4:$D$1203,"周转筐*"),2))</f>
        <v>0</v>
      </c>
      <c r="G10" s="18">
        <f>IF($B10="","",ROUND(SUMIFS(对接源_02物料!$K$4:$K$1203,对接源_02物料!$C$4:$C$1203,$B10,对接源_02物料!$D$4:$D$1203,"次果筐*"),2))</f>
        <v>0</v>
      </c>
      <c r="H10" s="18">
        <f t="shared" si="1"/>
        <v>11406</v>
      </c>
      <c r="I10" s="18">
        <f>IF($B10="","",ROUND(SUMIFS(对接源_01水果!$K$4:$K$1203,对接源_01水果!$C$4:$C$1203,$B10,对接源_01水果!$D$4:$D$1203,"成品出库*",对接源_01水果!$L$4:$L$1203,"已收讫")+SUMIFS(对接源_01水果!$K$4:$K$1203,对接源_01水果!$C$4:$C$1203,$B10,对接源_01水果!$D$4:$D$1203,"成品出库*",对接源_01水果!$L$4:$L$1203,"已付款")+SUMIFS(对接源_01水果!$K$4:$K$1203,对接源_01水果!$C$4:$C$1203,$B10,对接源_01水果!$D$4:$D$1203,"其他代存*",对接源_01水果!$L$4:$L$1203,"已收讫")+SUMIFS(对接源_01水果!$K$4:$K$1203,对接源_01水果!$C$4:$C$1203,$B10,对接源_01水果!$D$4:$D$1203,"其他代存*",对接源_01水果!$L$4:$L$1203,"已付款")+SUMIFS(对接源_02物料!$K$4:$K$1203,对接源_02物料!$C$4:$C$1203,$B10,对接源_02物料!$D$4:$D$1203,"包装物料*",对接源_02物料!$L$4:$L$1203,"已收讫")+SUMIFS(对接源_02物料!$K$4:$K$1203,对接源_02物料!$C$4:$C$1203,$B10,对接源_02物料!$D$4:$D$1203,"包装物料*",对接源_02物料!$L$4:$L$1203,"已付款")+SUMIFS(对接源_02物料!$K$4:$K$1203,对接源_02物料!$C$4:$C$1203,$B10,对接源_02物料!$D$4:$D$1203,"周转筐*",对接源_02物料!$L$4:$L$1203,"已收讫")+SUMIFS(对接源_02物料!$K$4:$K$1203,对接源_02物料!$C$4:$C$1203,$B10,对接源_02物料!$D$4:$D$1203,"周转筐*",对接源_02物料!$L$4:$L$1203,"已付款")+SUMIFS(对接源_02物料!$K$4:$K$1203,对接源_02物料!$C$4:$C$1203,$B10,对接源_02物料!$D$4:$D$1203,"次果筐*",对接源_02物料!$L$4:$L$1203,"已收讫")+SUMIFS(对接源_02物料!$K$4:$K$1203,对接源_02物料!$C$4:$C$1203,$B10,对接源_02物料!$D$4:$D$1203,"次果筐*",对接源_02物料!$L$4:$L$1203,"已付款"),2))</f>
        <v>96</v>
      </c>
      <c r="J10" s="18">
        <f t="shared" si="2"/>
        <v>11310</v>
      </c>
      <c r="K10" s="16" t="str">
        <f t="shared" si="3"/>
        <v>对方欠款</v>
      </c>
      <c r="L10" s="26"/>
    </row>
    <row r="11" customHeight="1" spans="1:12">
      <c r="A11" s="16">
        <f t="shared" si="0"/>
        <v>8</v>
      </c>
      <c r="B11" s="11" t="str">
        <f>IFERROR(INDEX(_自动清单!$E$4:$E$303,ROW()-3),"")</f>
        <v>贾建国</v>
      </c>
      <c r="C11" s="18">
        <f>IF($B11="","",ROUND(SUMIFS(对接源_01水果!$K$4:$K$1203,对接源_01水果!$C$4:$C$1203,$B11,对接源_01水果!$D$4:$D$1203,"成品出库*"),2))</f>
        <v>0</v>
      </c>
      <c r="D11" s="18">
        <f>IF($B11="","",ROUND(SUMIFS(对接源_01水果!$K$4:$K$1203,对接源_01水果!$C$4:$C$1203,$B11,对接源_01水果!$D$4:$D$1203,"其他代存*"),2))</f>
        <v>0</v>
      </c>
      <c r="E11" s="18">
        <f>IF($B11="","",ROUND(SUMIFS(对接源_02物料!$K$4:$K$1203,对接源_02物料!$C$4:$C$1203,$B11,对接源_02物料!$D$4:$D$1203,"包装物料*"),2))</f>
        <v>1440</v>
      </c>
      <c r="F11" s="18">
        <f>IF($B11="","",ROUND(SUMIFS(对接源_02物料!$K$4:$K$1203,对接源_02物料!$C$4:$C$1203,$B11,对接源_02物料!$D$4:$D$1203,"周转筐*"),2))</f>
        <v>0</v>
      </c>
      <c r="G11" s="18">
        <f>IF($B11="","",ROUND(SUMIFS(对接源_02物料!$K$4:$K$1203,对接源_02物料!$C$4:$C$1203,$B11,对接源_02物料!$D$4:$D$1203,"次果筐*"),2))</f>
        <v>0</v>
      </c>
      <c r="H11" s="18">
        <f t="shared" si="1"/>
        <v>1440</v>
      </c>
      <c r="I11" s="18">
        <f>IF($B11="","",ROUND(SUMIFS(对接源_01水果!$K$4:$K$1203,对接源_01水果!$C$4:$C$1203,$B11,对接源_01水果!$D$4:$D$1203,"成品出库*",对接源_01水果!$L$4:$L$1203,"已收讫")+SUMIFS(对接源_01水果!$K$4:$K$1203,对接源_01水果!$C$4:$C$1203,$B11,对接源_01水果!$D$4:$D$1203,"成品出库*",对接源_01水果!$L$4:$L$1203,"已付款")+SUMIFS(对接源_01水果!$K$4:$K$1203,对接源_01水果!$C$4:$C$1203,$B11,对接源_01水果!$D$4:$D$1203,"其他代存*",对接源_01水果!$L$4:$L$1203,"已收讫")+SUMIFS(对接源_01水果!$K$4:$K$1203,对接源_01水果!$C$4:$C$1203,$B11,对接源_01水果!$D$4:$D$1203,"其他代存*",对接源_01水果!$L$4:$L$1203,"已付款")+SUMIFS(对接源_02物料!$K$4:$K$1203,对接源_02物料!$C$4:$C$1203,$B11,对接源_02物料!$D$4:$D$1203,"包装物料*",对接源_02物料!$L$4:$L$1203,"已收讫")+SUMIFS(对接源_02物料!$K$4:$K$1203,对接源_02物料!$C$4:$C$1203,$B11,对接源_02物料!$D$4:$D$1203,"包装物料*",对接源_02物料!$L$4:$L$1203,"已付款")+SUMIFS(对接源_02物料!$K$4:$K$1203,对接源_02物料!$C$4:$C$1203,$B11,对接源_02物料!$D$4:$D$1203,"周转筐*",对接源_02物料!$L$4:$L$1203,"已收讫")+SUMIFS(对接源_02物料!$K$4:$K$1203,对接源_02物料!$C$4:$C$1203,$B11,对接源_02物料!$D$4:$D$1203,"周转筐*",对接源_02物料!$L$4:$L$1203,"已付款")+SUMIFS(对接源_02物料!$K$4:$K$1203,对接源_02物料!$C$4:$C$1203,$B11,对接源_02物料!$D$4:$D$1203,"次果筐*",对接源_02物料!$L$4:$L$1203,"已收讫")+SUMIFS(对接源_02物料!$K$4:$K$1203,对接源_02物料!$C$4:$C$1203,$B11,对接源_02物料!$D$4:$D$1203,"次果筐*",对接源_02物料!$L$4:$L$1203,"已付款"),2))</f>
        <v>0</v>
      </c>
      <c r="J11" s="18">
        <f t="shared" si="2"/>
        <v>1440</v>
      </c>
      <c r="K11" s="16" t="str">
        <f t="shared" si="3"/>
        <v>对方欠款</v>
      </c>
      <c r="L11" s="26"/>
    </row>
    <row r="12" customHeight="1" spans="1:12">
      <c r="A12" s="16">
        <f t="shared" si="0"/>
        <v>9</v>
      </c>
      <c r="B12" s="11" t="str">
        <f>IFERROR(INDEX(_自动清单!$E$4:$E$303,ROW()-3),"")</f>
        <v>王灵云</v>
      </c>
      <c r="C12" s="18">
        <f>IF($B12="","",ROUND(SUMIFS(对接源_01水果!$K$4:$K$1203,对接源_01水果!$C$4:$C$1203,$B12,对接源_01水果!$D$4:$D$1203,"成品出库*"),2))</f>
        <v>160</v>
      </c>
      <c r="D12" s="18">
        <f>IF($B12="","",ROUND(SUMIFS(对接源_01水果!$K$4:$K$1203,对接源_01水果!$C$4:$C$1203,$B12,对接源_01水果!$D$4:$D$1203,"其他代存*"),2))</f>
        <v>0</v>
      </c>
      <c r="E12" s="18">
        <f>IF($B12="","",ROUND(SUMIFS(对接源_02物料!$K$4:$K$1203,对接源_02物料!$C$4:$C$1203,$B12,对接源_02物料!$D$4:$D$1203,"包装物料*"),2))</f>
        <v>0</v>
      </c>
      <c r="F12" s="18">
        <f>IF($B12="","",ROUND(SUMIFS(对接源_02物料!$K$4:$K$1203,对接源_02物料!$C$4:$C$1203,$B12,对接源_02物料!$D$4:$D$1203,"周转筐*"),2))</f>
        <v>0</v>
      </c>
      <c r="G12" s="18">
        <f>IF($B12="","",ROUND(SUMIFS(对接源_02物料!$K$4:$K$1203,对接源_02物料!$C$4:$C$1203,$B12,对接源_02物料!$D$4:$D$1203,"次果筐*"),2))</f>
        <v>0</v>
      </c>
      <c r="H12" s="18">
        <f t="shared" si="1"/>
        <v>160</v>
      </c>
      <c r="I12" s="18">
        <f>IF($B12="","",ROUND(SUMIFS(对接源_01水果!$K$4:$K$1203,对接源_01水果!$C$4:$C$1203,$B12,对接源_01水果!$D$4:$D$1203,"成品出库*",对接源_01水果!$L$4:$L$1203,"已收讫")+SUMIFS(对接源_01水果!$K$4:$K$1203,对接源_01水果!$C$4:$C$1203,$B12,对接源_01水果!$D$4:$D$1203,"成品出库*",对接源_01水果!$L$4:$L$1203,"已付款")+SUMIFS(对接源_01水果!$K$4:$K$1203,对接源_01水果!$C$4:$C$1203,$B12,对接源_01水果!$D$4:$D$1203,"其他代存*",对接源_01水果!$L$4:$L$1203,"已收讫")+SUMIFS(对接源_01水果!$K$4:$K$1203,对接源_01水果!$C$4:$C$1203,$B12,对接源_01水果!$D$4:$D$1203,"其他代存*",对接源_01水果!$L$4:$L$1203,"已付款")+SUMIFS(对接源_02物料!$K$4:$K$1203,对接源_02物料!$C$4:$C$1203,$B12,对接源_02物料!$D$4:$D$1203,"包装物料*",对接源_02物料!$L$4:$L$1203,"已收讫")+SUMIFS(对接源_02物料!$K$4:$K$1203,对接源_02物料!$C$4:$C$1203,$B12,对接源_02物料!$D$4:$D$1203,"包装物料*",对接源_02物料!$L$4:$L$1203,"已付款")+SUMIFS(对接源_02物料!$K$4:$K$1203,对接源_02物料!$C$4:$C$1203,$B12,对接源_02物料!$D$4:$D$1203,"周转筐*",对接源_02物料!$L$4:$L$1203,"已收讫")+SUMIFS(对接源_02物料!$K$4:$K$1203,对接源_02物料!$C$4:$C$1203,$B12,对接源_02物料!$D$4:$D$1203,"周转筐*",对接源_02物料!$L$4:$L$1203,"已付款")+SUMIFS(对接源_02物料!$K$4:$K$1203,对接源_02物料!$C$4:$C$1203,$B12,对接源_02物料!$D$4:$D$1203,"次果筐*",对接源_02物料!$L$4:$L$1203,"已收讫")+SUMIFS(对接源_02物料!$K$4:$K$1203,对接源_02物料!$C$4:$C$1203,$B12,对接源_02物料!$D$4:$D$1203,"次果筐*",对接源_02物料!$L$4:$L$1203,"已付款"),2))</f>
        <v>160</v>
      </c>
      <c r="J12" s="18">
        <f t="shared" si="2"/>
        <v>0</v>
      </c>
      <c r="K12" s="16" t="str">
        <f t="shared" si="3"/>
        <v>已两清</v>
      </c>
      <c r="L12" s="26"/>
    </row>
    <row r="13" customHeight="1" spans="1:12">
      <c r="A13" s="16">
        <f t="shared" si="0"/>
        <v>10</v>
      </c>
      <c r="B13" s="11" t="str">
        <f>IFERROR(INDEX(_自动清单!$E$4:$E$303,ROW()-3),"")</f>
        <v>杨艳玲</v>
      </c>
      <c r="C13" s="18">
        <f>IF($B13="","",ROUND(SUMIFS(对接源_01水果!$K$4:$K$1203,对接源_01水果!$C$4:$C$1203,$B13,对接源_01水果!$D$4:$D$1203,"成品出库*"),2))</f>
        <v>0</v>
      </c>
      <c r="D13" s="18">
        <f>IF($B13="","",ROUND(SUMIFS(对接源_01水果!$K$4:$K$1203,对接源_01水果!$C$4:$C$1203,$B13,对接源_01水果!$D$4:$D$1203,"其他代存*"),2))</f>
        <v>0</v>
      </c>
      <c r="E13" s="18">
        <f>IF($B13="","",ROUND(SUMIFS(对接源_02物料!$K$4:$K$1203,对接源_02物料!$C$4:$C$1203,$B13,对接源_02物料!$D$4:$D$1203,"包装物料*"),2))</f>
        <v>0</v>
      </c>
      <c r="F13" s="18">
        <f>IF($B13="","",ROUND(SUMIFS(对接源_02物料!$K$4:$K$1203,对接源_02物料!$C$4:$C$1203,$B13,对接源_02物料!$D$4:$D$1203,"周转筐*"),2))</f>
        <v>0</v>
      </c>
      <c r="G13" s="18">
        <f>IF($B13="","",ROUND(SUMIFS(对接源_02物料!$K$4:$K$1203,对接源_02物料!$C$4:$C$1203,$B13,对接源_02物料!$D$4:$D$1203,"次果筐*"),2))</f>
        <v>0</v>
      </c>
      <c r="H13" s="18">
        <f t="shared" si="1"/>
        <v>0</v>
      </c>
      <c r="I13" s="18">
        <f>IF($B13="","",ROUND(SUMIFS(对接源_01水果!$K$4:$K$1203,对接源_01水果!$C$4:$C$1203,$B13,对接源_01水果!$D$4:$D$1203,"成品出库*",对接源_01水果!$L$4:$L$1203,"已收讫")+SUMIFS(对接源_01水果!$K$4:$K$1203,对接源_01水果!$C$4:$C$1203,$B13,对接源_01水果!$D$4:$D$1203,"成品出库*",对接源_01水果!$L$4:$L$1203,"已付款")+SUMIFS(对接源_01水果!$K$4:$K$1203,对接源_01水果!$C$4:$C$1203,$B13,对接源_01水果!$D$4:$D$1203,"其他代存*",对接源_01水果!$L$4:$L$1203,"已收讫")+SUMIFS(对接源_01水果!$K$4:$K$1203,对接源_01水果!$C$4:$C$1203,$B13,对接源_01水果!$D$4:$D$1203,"其他代存*",对接源_01水果!$L$4:$L$1203,"已付款")+SUMIFS(对接源_02物料!$K$4:$K$1203,对接源_02物料!$C$4:$C$1203,$B13,对接源_02物料!$D$4:$D$1203,"包装物料*",对接源_02物料!$L$4:$L$1203,"已收讫")+SUMIFS(对接源_02物料!$K$4:$K$1203,对接源_02物料!$C$4:$C$1203,$B13,对接源_02物料!$D$4:$D$1203,"包装物料*",对接源_02物料!$L$4:$L$1203,"已付款")+SUMIFS(对接源_02物料!$K$4:$K$1203,对接源_02物料!$C$4:$C$1203,$B13,对接源_02物料!$D$4:$D$1203,"周转筐*",对接源_02物料!$L$4:$L$1203,"已收讫")+SUMIFS(对接源_02物料!$K$4:$K$1203,对接源_02物料!$C$4:$C$1203,$B13,对接源_02物料!$D$4:$D$1203,"周转筐*",对接源_02物料!$L$4:$L$1203,"已付款")+SUMIFS(对接源_02物料!$K$4:$K$1203,对接源_02物料!$C$4:$C$1203,$B13,对接源_02物料!$D$4:$D$1203,"次果筐*",对接源_02物料!$L$4:$L$1203,"已收讫")+SUMIFS(对接源_02物料!$K$4:$K$1203,对接源_02物料!$C$4:$C$1203,$B13,对接源_02物料!$D$4:$D$1203,"次果筐*",对接源_02物料!$L$4:$L$1203,"已付款"),2))</f>
        <v>0</v>
      </c>
      <c r="J13" s="18">
        <f t="shared" si="2"/>
        <v>0</v>
      </c>
      <c r="K13" s="16" t="str">
        <f t="shared" si="3"/>
        <v>已两清</v>
      </c>
      <c r="L13" s="26"/>
    </row>
    <row r="14" customHeight="1" spans="1:12">
      <c r="A14" s="16">
        <f t="shared" si="0"/>
        <v>11</v>
      </c>
      <c r="B14" s="11" t="str">
        <f>IFERROR(INDEX(_自动清单!$E$4:$E$303,ROW()-3),"")</f>
        <v>荆建君</v>
      </c>
      <c r="C14" s="18">
        <f>IF($B14="","",ROUND(SUMIFS(对接源_01水果!$K$4:$K$1203,对接源_01水果!$C$4:$C$1203,$B14,对接源_01水果!$D$4:$D$1203,"成品出库*"),2))</f>
        <v>0</v>
      </c>
      <c r="D14" s="18">
        <f>IF($B14="","",ROUND(SUMIFS(对接源_01水果!$K$4:$K$1203,对接源_01水果!$C$4:$C$1203,$B14,对接源_01水果!$D$4:$D$1203,"其他代存*"),2))</f>
        <v>0</v>
      </c>
      <c r="E14" s="18">
        <f>IF($B14="","",ROUND(SUMIFS(对接源_02物料!$K$4:$K$1203,对接源_02物料!$C$4:$C$1203,$B14,对接源_02物料!$D$4:$D$1203,"包装物料*"),2))</f>
        <v>10440</v>
      </c>
      <c r="F14" s="18">
        <f>IF($B14="","",ROUND(SUMIFS(对接源_02物料!$K$4:$K$1203,对接源_02物料!$C$4:$C$1203,$B14,对接源_02物料!$D$4:$D$1203,"周转筐*"),2))</f>
        <v>0</v>
      </c>
      <c r="G14" s="18">
        <f>IF($B14="","",ROUND(SUMIFS(对接源_02物料!$K$4:$K$1203,对接源_02物料!$C$4:$C$1203,$B14,对接源_02物料!$D$4:$D$1203,"次果筐*"),2))</f>
        <v>0</v>
      </c>
      <c r="H14" s="18">
        <f t="shared" si="1"/>
        <v>10440</v>
      </c>
      <c r="I14" s="18">
        <f>IF($B14="","",ROUND(SUMIFS(对接源_01水果!$K$4:$K$1203,对接源_01水果!$C$4:$C$1203,$B14,对接源_01水果!$D$4:$D$1203,"成品出库*",对接源_01水果!$L$4:$L$1203,"已收讫")+SUMIFS(对接源_01水果!$K$4:$K$1203,对接源_01水果!$C$4:$C$1203,$B14,对接源_01水果!$D$4:$D$1203,"成品出库*",对接源_01水果!$L$4:$L$1203,"已付款")+SUMIFS(对接源_01水果!$K$4:$K$1203,对接源_01水果!$C$4:$C$1203,$B14,对接源_01水果!$D$4:$D$1203,"其他代存*",对接源_01水果!$L$4:$L$1203,"已收讫")+SUMIFS(对接源_01水果!$K$4:$K$1203,对接源_01水果!$C$4:$C$1203,$B14,对接源_01水果!$D$4:$D$1203,"其他代存*",对接源_01水果!$L$4:$L$1203,"已付款")+SUMIFS(对接源_02物料!$K$4:$K$1203,对接源_02物料!$C$4:$C$1203,$B14,对接源_02物料!$D$4:$D$1203,"包装物料*",对接源_02物料!$L$4:$L$1203,"已收讫")+SUMIFS(对接源_02物料!$K$4:$K$1203,对接源_02物料!$C$4:$C$1203,$B14,对接源_02物料!$D$4:$D$1203,"包装物料*",对接源_02物料!$L$4:$L$1203,"已付款")+SUMIFS(对接源_02物料!$K$4:$K$1203,对接源_02物料!$C$4:$C$1203,$B14,对接源_02物料!$D$4:$D$1203,"周转筐*",对接源_02物料!$L$4:$L$1203,"已收讫")+SUMIFS(对接源_02物料!$K$4:$K$1203,对接源_02物料!$C$4:$C$1203,$B14,对接源_02物料!$D$4:$D$1203,"周转筐*",对接源_02物料!$L$4:$L$1203,"已付款")+SUMIFS(对接源_02物料!$K$4:$K$1203,对接源_02物料!$C$4:$C$1203,$B14,对接源_02物料!$D$4:$D$1203,"次果筐*",对接源_02物料!$L$4:$L$1203,"已收讫")+SUMIFS(对接源_02物料!$K$4:$K$1203,对接源_02物料!$C$4:$C$1203,$B14,对接源_02物料!$D$4:$D$1203,"次果筐*",对接源_02物料!$L$4:$L$1203,"已付款"),2))</f>
        <v>0</v>
      </c>
      <c r="J14" s="18">
        <f t="shared" si="2"/>
        <v>10440</v>
      </c>
      <c r="K14" s="16" t="str">
        <f t="shared" si="3"/>
        <v>对方欠款</v>
      </c>
      <c r="L14" s="26"/>
    </row>
    <row r="15" customHeight="1" spans="1:12">
      <c r="A15" s="16">
        <f t="shared" si="0"/>
        <v>12</v>
      </c>
      <c r="B15" s="11" t="str">
        <f>IFERROR(INDEX(_自动清单!$E$4:$E$303,ROW()-3),"")</f>
        <v>努尔敦</v>
      </c>
      <c r="C15" s="18">
        <f>IF($B15="","",ROUND(SUMIFS(对接源_01水果!$K$4:$K$1203,对接源_01水果!$C$4:$C$1203,$B15,对接源_01水果!$D$4:$D$1203,"成品出库*"),2))</f>
        <v>0</v>
      </c>
      <c r="D15" s="18">
        <f>IF($B15="","",ROUND(SUMIFS(对接源_01水果!$K$4:$K$1203,对接源_01水果!$C$4:$C$1203,$B15,对接源_01水果!$D$4:$D$1203,"其他代存*"),2))</f>
        <v>0</v>
      </c>
      <c r="E15" s="18">
        <f>IF($B15="","",ROUND(SUMIFS(对接源_02物料!$K$4:$K$1203,对接源_02物料!$C$4:$C$1203,$B15,对接源_02物料!$D$4:$D$1203,"包装物料*"),2))</f>
        <v>16965</v>
      </c>
      <c r="F15" s="18">
        <f>IF($B15="","",ROUND(SUMIFS(对接源_02物料!$K$4:$K$1203,对接源_02物料!$C$4:$C$1203,$B15,对接源_02物料!$D$4:$D$1203,"周转筐*"),2))</f>
        <v>0</v>
      </c>
      <c r="G15" s="18">
        <f>IF($B15="","",ROUND(SUMIFS(对接源_02物料!$K$4:$K$1203,对接源_02物料!$C$4:$C$1203,$B15,对接源_02物料!$D$4:$D$1203,"次果筐*"),2))</f>
        <v>0</v>
      </c>
      <c r="H15" s="18">
        <f t="shared" si="1"/>
        <v>16965</v>
      </c>
      <c r="I15" s="18">
        <f>IF($B15="","",ROUND(SUMIFS(对接源_01水果!$K$4:$K$1203,对接源_01水果!$C$4:$C$1203,$B15,对接源_01水果!$D$4:$D$1203,"成品出库*",对接源_01水果!$L$4:$L$1203,"已收讫")+SUMIFS(对接源_01水果!$K$4:$K$1203,对接源_01水果!$C$4:$C$1203,$B15,对接源_01水果!$D$4:$D$1203,"成品出库*",对接源_01水果!$L$4:$L$1203,"已付款")+SUMIFS(对接源_01水果!$K$4:$K$1203,对接源_01水果!$C$4:$C$1203,$B15,对接源_01水果!$D$4:$D$1203,"其他代存*",对接源_01水果!$L$4:$L$1203,"已收讫")+SUMIFS(对接源_01水果!$K$4:$K$1203,对接源_01水果!$C$4:$C$1203,$B15,对接源_01水果!$D$4:$D$1203,"其他代存*",对接源_01水果!$L$4:$L$1203,"已付款")+SUMIFS(对接源_02物料!$K$4:$K$1203,对接源_02物料!$C$4:$C$1203,$B15,对接源_02物料!$D$4:$D$1203,"包装物料*",对接源_02物料!$L$4:$L$1203,"已收讫")+SUMIFS(对接源_02物料!$K$4:$K$1203,对接源_02物料!$C$4:$C$1203,$B15,对接源_02物料!$D$4:$D$1203,"包装物料*",对接源_02物料!$L$4:$L$1203,"已付款")+SUMIFS(对接源_02物料!$K$4:$K$1203,对接源_02物料!$C$4:$C$1203,$B15,对接源_02物料!$D$4:$D$1203,"周转筐*",对接源_02物料!$L$4:$L$1203,"已收讫")+SUMIFS(对接源_02物料!$K$4:$K$1203,对接源_02物料!$C$4:$C$1203,$B15,对接源_02物料!$D$4:$D$1203,"周转筐*",对接源_02物料!$L$4:$L$1203,"已付款")+SUMIFS(对接源_02物料!$K$4:$K$1203,对接源_02物料!$C$4:$C$1203,$B15,对接源_02物料!$D$4:$D$1203,"次果筐*",对接源_02物料!$L$4:$L$1203,"已收讫")+SUMIFS(对接源_02物料!$K$4:$K$1203,对接源_02物料!$C$4:$C$1203,$B15,对接源_02物料!$D$4:$D$1203,"次果筐*",对接源_02物料!$L$4:$L$1203,"已付款"),2))</f>
        <v>0</v>
      </c>
      <c r="J15" s="18">
        <f t="shared" si="2"/>
        <v>16965</v>
      </c>
      <c r="K15" s="16" t="str">
        <f t="shared" si="3"/>
        <v>对方欠款</v>
      </c>
      <c r="L15" s="26"/>
    </row>
    <row r="16" customHeight="1" spans="1:12">
      <c r="A16" s="16">
        <f t="shared" si="0"/>
        <v>13</v>
      </c>
      <c r="B16" s="11" t="str">
        <f>IFERROR(INDEX(_自动清单!$E$4:$E$303,ROW()-3),"")</f>
        <v>王浩</v>
      </c>
      <c r="C16" s="18">
        <f>IF($B16="","",ROUND(SUMIFS(对接源_01水果!$K$4:$K$1203,对接源_01水果!$C$4:$C$1203,$B16,对接源_01水果!$D$4:$D$1203,"成品出库*"),2))</f>
        <v>0</v>
      </c>
      <c r="D16" s="18">
        <f>IF($B16="","",ROUND(SUMIFS(对接源_01水果!$K$4:$K$1203,对接源_01水果!$C$4:$C$1203,$B16,对接源_01水果!$D$4:$D$1203,"其他代存*"),2))</f>
        <v>0</v>
      </c>
      <c r="E16" s="18">
        <f>IF($B16="","",ROUND(SUMIFS(对接源_02物料!$K$4:$K$1203,对接源_02物料!$C$4:$C$1203,$B16,对接源_02物料!$D$4:$D$1203,"包装物料*"),2))</f>
        <v>0</v>
      </c>
      <c r="F16" s="18">
        <f>IF($B16="","",ROUND(SUMIFS(对接源_02物料!$K$4:$K$1203,对接源_02物料!$C$4:$C$1203,$B16,对接源_02物料!$D$4:$D$1203,"周转筐*"),2))</f>
        <v>0</v>
      </c>
      <c r="G16" s="18">
        <f>IF($B16="","",ROUND(SUMIFS(对接源_02物料!$K$4:$K$1203,对接源_02物料!$C$4:$C$1203,$B16,对接源_02物料!$D$4:$D$1203,"次果筐*"),2))</f>
        <v>0</v>
      </c>
      <c r="H16" s="18">
        <f t="shared" si="1"/>
        <v>0</v>
      </c>
      <c r="I16" s="18">
        <f>IF($B16="","",ROUND(SUMIFS(对接源_01水果!$K$4:$K$1203,对接源_01水果!$C$4:$C$1203,$B16,对接源_01水果!$D$4:$D$1203,"成品出库*",对接源_01水果!$L$4:$L$1203,"已收讫")+SUMIFS(对接源_01水果!$K$4:$K$1203,对接源_01水果!$C$4:$C$1203,$B16,对接源_01水果!$D$4:$D$1203,"成品出库*",对接源_01水果!$L$4:$L$1203,"已付款")+SUMIFS(对接源_01水果!$K$4:$K$1203,对接源_01水果!$C$4:$C$1203,$B16,对接源_01水果!$D$4:$D$1203,"其他代存*",对接源_01水果!$L$4:$L$1203,"已收讫")+SUMIFS(对接源_01水果!$K$4:$K$1203,对接源_01水果!$C$4:$C$1203,$B16,对接源_01水果!$D$4:$D$1203,"其他代存*",对接源_01水果!$L$4:$L$1203,"已付款")+SUMIFS(对接源_02物料!$K$4:$K$1203,对接源_02物料!$C$4:$C$1203,$B16,对接源_02物料!$D$4:$D$1203,"包装物料*",对接源_02物料!$L$4:$L$1203,"已收讫")+SUMIFS(对接源_02物料!$K$4:$K$1203,对接源_02物料!$C$4:$C$1203,$B16,对接源_02物料!$D$4:$D$1203,"包装物料*",对接源_02物料!$L$4:$L$1203,"已付款")+SUMIFS(对接源_02物料!$K$4:$K$1203,对接源_02物料!$C$4:$C$1203,$B16,对接源_02物料!$D$4:$D$1203,"周转筐*",对接源_02物料!$L$4:$L$1203,"已收讫")+SUMIFS(对接源_02物料!$K$4:$K$1203,对接源_02物料!$C$4:$C$1203,$B16,对接源_02物料!$D$4:$D$1203,"周转筐*",对接源_02物料!$L$4:$L$1203,"已付款")+SUMIFS(对接源_02物料!$K$4:$K$1203,对接源_02物料!$C$4:$C$1203,$B16,对接源_02物料!$D$4:$D$1203,"次果筐*",对接源_02物料!$L$4:$L$1203,"已收讫")+SUMIFS(对接源_02物料!$K$4:$K$1203,对接源_02物料!$C$4:$C$1203,$B16,对接源_02物料!$D$4:$D$1203,"次果筐*",对接源_02物料!$L$4:$L$1203,"已付款"),2))</f>
        <v>0</v>
      </c>
      <c r="J16" s="18">
        <f t="shared" si="2"/>
        <v>0</v>
      </c>
      <c r="K16" s="16" t="str">
        <f t="shared" si="3"/>
        <v>已两清</v>
      </c>
      <c r="L16" s="26"/>
    </row>
    <row r="17" customHeight="1" spans="1:12">
      <c r="A17" s="16">
        <f t="shared" si="0"/>
        <v>14</v>
      </c>
      <c r="B17" s="11" t="str">
        <f>IFERROR(INDEX(_自动清单!$E$4:$E$303,ROW()-3),"")</f>
        <v>热合曼+艾则孜</v>
      </c>
      <c r="C17" s="18">
        <f>IF($B17="","",ROUND(SUMIFS(对接源_01水果!$K$4:$K$1203,对接源_01水果!$C$4:$C$1203,$B17,对接源_01水果!$D$4:$D$1203,"成品出库*"),2))</f>
        <v>0</v>
      </c>
      <c r="D17" s="18">
        <f>IF($B17="","",ROUND(SUMIFS(对接源_01水果!$K$4:$K$1203,对接源_01水果!$C$4:$C$1203,$B17,对接源_01水果!$D$4:$D$1203,"其他代存*"),2))</f>
        <v>0</v>
      </c>
      <c r="E17" s="18">
        <f>IF($B17="","",ROUND(SUMIFS(对接源_02物料!$K$4:$K$1203,对接源_02物料!$C$4:$C$1203,$B17,对接源_02物料!$D$4:$D$1203,"包装物料*"),2))</f>
        <v>0</v>
      </c>
      <c r="F17" s="18">
        <f>IF($B17="","",ROUND(SUMIFS(对接源_02物料!$K$4:$K$1203,对接源_02物料!$C$4:$C$1203,$B17,对接源_02物料!$D$4:$D$1203,"周转筐*"),2))</f>
        <v>0</v>
      </c>
      <c r="G17" s="18">
        <f>IF($B17="","",ROUND(SUMIFS(对接源_02物料!$K$4:$K$1203,对接源_02物料!$C$4:$C$1203,$B17,对接源_02物料!$D$4:$D$1203,"次果筐*"),2))</f>
        <v>0</v>
      </c>
      <c r="H17" s="18">
        <f t="shared" si="1"/>
        <v>0</v>
      </c>
      <c r="I17" s="18">
        <f>IF($B17="","",ROUND(SUMIFS(对接源_01水果!$K$4:$K$1203,对接源_01水果!$C$4:$C$1203,$B17,对接源_01水果!$D$4:$D$1203,"成品出库*",对接源_01水果!$L$4:$L$1203,"已收讫")+SUMIFS(对接源_01水果!$K$4:$K$1203,对接源_01水果!$C$4:$C$1203,$B17,对接源_01水果!$D$4:$D$1203,"成品出库*",对接源_01水果!$L$4:$L$1203,"已付款")+SUMIFS(对接源_01水果!$K$4:$K$1203,对接源_01水果!$C$4:$C$1203,$B17,对接源_01水果!$D$4:$D$1203,"其他代存*",对接源_01水果!$L$4:$L$1203,"已收讫")+SUMIFS(对接源_01水果!$K$4:$K$1203,对接源_01水果!$C$4:$C$1203,$B17,对接源_01水果!$D$4:$D$1203,"其他代存*",对接源_01水果!$L$4:$L$1203,"已付款")+SUMIFS(对接源_02物料!$K$4:$K$1203,对接源_02物料!$C$4:$C$1203,$B17,对接源_02物料!$D$4:$D$1203,"包装物料*",对接源_02物料!$L$4:$L$1203,"已收讫")+SUMIFS(对接源_02物料!$K$4:$K$1203,对接源_02物料!$C$4:$C$1203,$B17,对接源_02物料!$D$4:$D$1203,"包装物料*",对接源_02物料!$L$4:$L$1203,"已付款")+SUMIFS(对接源_02物料!$K$4:$K$1203,对接源_02物料!$C$4:$C$1203,$B17,对接源_02物料!$D$4:$D$1203,"周转筐*",对接源_02物料!$L$4:$L$1203,"已收讫")+SUMIFS(对接源_02物料!$K$4:$K$1203,对接源_02物料!$C$4:$C$1203,$B17,对接源_02物料!$D$4:$D$1203,"周转筐*",对接源_02物料!$L$4:$L$1203,"已付款")+SUMIFS(对接源_02物料!$K$4:$K$1203,对接源_02物料!$C$4:$C$1203,$B17,对接源_02物料!$D$4:$D$1203,"次果筐*",对接源_02物料!$L$4:$L$1203,"已收讫")+SUMIFS(对接源_02物料!$K$4:$K$1203,对接源_02物料!$C$4:$C$1203,$B17,对接源_02物料!$D$4:$D$1203,"次果筐*",对接源_02物料!$L$4:$L$1203,"已付款"),2))</f>
        <v>0</v>
      </c>
      <c r="J17" s="18">
        <f t="shared" si="2"/>
        <v>0</v>
      </c>
      <c r="K17" s="16" t="str">
        <f t="shared" si="3"/>
        <v>已两清</v>
      </c>
      <c r="L17" s="26"/>
    </row>
    <row r="18" customHeight="1" spans="1:12">
      <c r="A18" s="16">
        <f t="shared" si="0"/>
        <v>15</v>
      </c>
      <c r="B18" s="11" t="str">
        <f>IFERROR(INDEX(_自动清单!$E$4:$E$303,ROW()-3),"")</f>
        <v>李现东</v>
      </c>
      <c r="C18" s="18">
        <f>IF($B18="","",ROUND(SUMIFS(对接源_01水果!$K$4:$K$1203,对接源_01水果!$C$4:$C$1203,$B18,对接源_01水果!$D$4:$D$1203,"成品出库*"),2))</f>
        <v>0</v>
      </c>
      <c r="D18" s="18">
        <f>IF($B18="","",ROUND(SUMIFS(对接源_01水果!$K$4:$K$1203,对接源_01水果!$C$4:$C$1203,$B18,对接源_01水果!$D$4:$D$1203,"其他代存*"),2))</f>
        <v>0</v>
      </c>
      <c r="E18" s="18">
        <f>IF($B18="","",ROUND(SUMIFS(对接源_02物料!$K$4:$K$1203,对接源_02物料!$C$4:$C$1203,$B18,对接源_02物料!$D$4:$D$1203,"包装物料*"),2))</f>
        <v>0</v>
      </c>
      <c r="F18" s="18">
        <f>IF($B18="","",ROUND(SUMIFS(对接源_02物料!$K$4:$K$1203,对接源_02物料!$C$4:$C$1203,$B18,对接源_02物料!$D$4:$D$1203,"周转筐*"),2))</f>
        <v>0</v>
      </c>
      <c r="G18" s="18">
        <f>IF($B18="","",ROUND(SUMIFS(对接源_02物料!$K$4:$K$1203,对接源_02物料!$C$4:$C$1203,$B18,对接源_02物料!$D$4:$D$1203,"次果筐*"),2))</f>
        <v>0</v>
      </c>
      <c r="H18" s="18">
        <f t="shared" si="1"/>
        <v>0</v>
      </c>
      <c r="I18" s="18">
        <f>IF($B18="","",ROUND(SUMIFS(对接源_01水果!$K$4:$K$1203,对接源_01水果!$C$4:$C$1203,$B18,对接源_01水果!$D$4:$D$1203,"成品出库*",对接源_01水果!$L$4:$L$1203,"已收讫")+SUMIFS(对接源_01水果!$K$4:$K$1203,对接源_01水果!$C$4:$C$1203,$B18,对接源_01水果!$D$4:$D$1203,"成品出库*",对接源_01水果!$L$4:$L$1203,"已付款")+SUMIFS(对接源_01水果!$K$4:$K$1203,对接源_01水果!$C$4:$C$1203,$B18,对接源_01水果!$D$4:$D$1203,"其他代存*",对接源_01水果!$L$4:$L$1203,"已收讫")+SUMIFS(对接源_01水果!$K$4:$K$1203,对接源_01水果!$C$4:$C$1203,$B18,对接源_01水果!$D$4:$D$1203,"其他代存*",对接源_01水果!$L$4:$L$1203,"已付款")+SUMIFS(对接源_02物料!$K$4:$K$1203,对接源_02物料!$C$4:$C$1203,$B18,对接源_02物料!$D$4:$D$1203,"包装物料*",对接源_02物料!$L$4:$L$1203,"已收讫")+SUMIFS(对接源_02物料!$K$4:$K$1203,对接源_02物料!$C$4:$C$1203,$B18,对接源_02物料!$D$4:$D$1203,"包装物料*",对接源_02物料!$L$4:$L$1203,"已付款")+SUMIFS(对接源_02物料!$K$4:$K$1203,对接源_02物料!$C$4:$C$1203,$B18,对接源_02物料!$D$4:$D$1203,"周转筐*",对接源_02物料!$L$4:$L$1203,"已收讫")+SUMIFS(对接源_02物料!$K$4:$K$1203,对接源_02物料!$C$4:$C$1203,$B18,对接源_02物料!$D$4:$D$1203,"周转筐*",对接源_02物料!$L$4:$L$1203,"已付款")+SUMIFS(对接源_02物料!$K$4:$K$1203,对接源_02物料!$C$4:$C$1203,$B18,对接源_02物料!$D$4:$D$1203,"次果筐*",对接源_02物料!$L$4:$L$1203,"已收讫")+SUMIFS(对接源_02物料!$K$4:$K$1203,对接源_02物料!$C$4:$C$1203,$B18,对接源_02物料!$D$4:$D$1203,"次果筐*",对接源_02物料!$L$4:$L$1203,"已付款"),2))</f>
        <v>0</v>
      </c>
      <c r="J18" s="18">
        <f t="shared" si="2"/>
        <v>0</v>
      </c>
      <c r="K18" s="16" t="str">
        <f t="shared" si="3"/>
        <v>已两清</v>
      </c>
      <c r="L18" s="26"/>
    </row>
    <row r="19" customHeight="1" spans="1:12">
      <c r="A19" s="16">
        <f t="shared" si="0"/>
        <v>16</v>
      </c>
      <c r="B19" s="11" t="str">
        <f>IFERROR(INDEX(_自动清单!$E$4:$E$303,ROW()-3),"")</f>
        <v>吐尔逊</v>
      </c>
      <c r="C19" s="18">
        <f>IF($B19="","",ROUND(SUMIFS(对接源_01水果!$K$4:$K$1203,对接源_01水果!$C$4:$C$1203,$B19,对接源_01水果!$D$4:$D$1203,"成品出库*"),2))</f>
        <v>0</v>
      </c>
      <c r="D19" s="18">
        <f>IF($B19="","",ROUND(SUMIFS(对接源_01水果!$K$4:$K$1203,对接源_01水果!$C$4:$C$1203,$B19,对接源_01水果!$D$4:$D$1203,"其他代存*"),2))</f>
        <v>0</v>
      </c>
      <c r="E19" s="18">
        <f>IF($B19="","",ROUND(SUMIFS(对接源_02物料!$K$4:$K$1203,对接源_02物料!$C$4:$C$1203,$B19,对接源_02物料!$D$4:$D$1203,"包装物料*"),2))</f>
        <v>840</v>
      </c>
      <c r="F19" s="18">
        <f>IF($B19="","",ROUND(SUMIFS(对接源_02物料!$K$4:$K$1203,对接源_02物料!$C$4:$C$1203,$B19,对接源_02物料!$D$4:$D$1203,"周转筐*"),2))</f>
        <v>0</v>
      </c>
      <c r="G19" s="18">
        <f>IF($B19="","",ROUND(SUMIFS(对接源_02物料!$K$4:$K$1203,对接源_02物料!$C$4:$C$1203,$B19,对接源_02物料!$D$4:$D$1203,"次果筐*"),2))</f>
        <v>0</v>
      </c>
      <c r="H19" s="18">
        <f t="shared" si="1"/>
        <v>840</v>
      </c>
      <c r="I19" s="18">
        <f>IF($B19="","",ROUND(SUMIFS(对接源_01水果!$K$4:$K$1203,对接源_01水果!$C$4:$C$1203,$B19,对接源_01水果!$D$4:$D$1203,"成品出库*",对接源_01水果!$L$4:$L$1203,"已收讫")+SUMIFS(对接源_01水果!$K$4:$K$1203,对接源_01水果!$C$4:$C$1203,$B19,对接源_01水果!$D$4:$D$1203,"成品出库*",对接源_01水果!$L$4:$L$1203,"已付款")+SUMIFS(对接源_01水果!$K$4:$K$1203,对接源_01水果!$C$4:$C$1203,$B19,对接源_01水果!$D$4:$D$1203,"其他代存*",对接源_01水果!$L$4:$L$1203,"已收讫")+SUMIFS(对接源_01水果!$K$4:$K$1203,对接源_01水果!$C$4:$C$1203,$B19,对接源_01水果!$D$4:$D$1203,"其他代存*",对接源_01水果!$L$4:$L$1203,"已付款")+SUMIFS(对接源_02物料!$K$4:$K$1203,对接源_02物料!$C$4:$C$1203,$B19,对接源_02物料!$D$4:$D$1203,"包装物料*",对接源_02物料!$L$4:$L$1203,"已收讫")+SUMIFS(对接源_02物料!$K$4:$K$1203,对接源_02物料!$C$4:$C$1203,$B19,对接源_02物料!$D$4:$D$1203,"包装物料*",对接源_02物料!$L$4:$L$1203,"已付款")+SUMIFS(对接源_02物料!$K$4:$K$1203,对接源_02物料!$C$4:$C$1203,$B19,对接源_02物料!$D$4:$D$1203,"周转筐*",对接源_02物料!$L$4:$L$1203,"已收讫")+SUMIFS(对接源_02物料!$K$4:$K$1203,对接源_02物料!$C$4:$C$1203,$B19,对接源_02物料!$D$4:$D$1203,"周转筐*",对接源_02物料!$L$4:$L$1203,"已付款")+SUMIFS(对接源_02物料!$K$4:$K$1203,对接源_02物料!$C$4:$C$1203,$B19,对接源_02物料!$D$4:$D$1203,"次果筐*",对接源_02物料!$L$4:$L$1203,"已收讫")+SUMIFS(对接源_02物料!$K$4:$K$1203,对接源_02物料!$C$4:$C$1203,$B19,对接源_02物料!$D$4:$D$1203,"次果筐*",对接源_02物料!$L$4:$L$1203,"已付款"),2))</f>
        <v>0</v>
      </c>
      <c r="J19" s="18">
        <f t="shared" si="2"/>
        <v>840</v>
      </c>
      <c r="K19" s="16" t="str">
        <f t="shared" si="3"/>
        <v>对方欠款</v>
      </c>
      <c r="L19" s="26"/>
    </row>
    <row r="20" customHeight="1" spans="1:12">
      <c r="A20" s="16">
        <f t="shared" si="0"/>
        <v>17</v>
      </c>
      <c r="B20" s="11" t="str">
        <f>IFERROR(INDEX(_自动清单!$E$4:$E$303,ROW()-3),"")</f>
        <v>阿布都</v>
      </c>
      <c r="C20" s="18">
        <f>IF($B20="","",ROUND(SUMIFS(对接源_01水果!$K$4:$K$1203,对接源_01水果!$C$4:$C$1203,$B20,对接源_01水果!$D$4:$D$1203,"成品出库*"),2))</f>
        <v>0</v>
      </c>
      <c r="D20" s="18">
        <f>IF($B20="","",ROUND(SUMIFS(对接源_01水果!$K$4:$K$1203,对接源_01水果!$C$4:$C$1203,$B20,对接源_01水果!$D$4:$D$1203,"其他代存*"),2))</f>
        <v>0</v>
      </c>
      <c r="E20" s="18">
        <f>IF($B20="","",ROUND(SUMIFS(对接源_02物料!$K$4:$K$1203,对接源_02物料!$C$4:$C$1203,$B20,对接源_02物料!$D$4:$D$1203,"包装物料*"),2))</f>
        <v>0</v>
      </c>
      <c r="F20" s="18">
        <f>IF($B20="","",ROUND(SUMIFS(对接源_02物料!$K$4:$K$1203,对接源_02物料!$C$4:$C$1203,$B20,对接源_02物料!$D$4:$D$1203,"周转筐*"),2))</f>
        <v>0</v>
      </c>
      <c r="G20" s="18">
        <f>IF($B20="","",ROUND(SUMIFS(对接源_02物料!$K$4:$K$1203,对接源_02物料!$C$4:$C$1203,$B20,对接源_02物料!$D$4:$D$1203,"次果筐*"),2))</f>
        <v>0</v>
      </c>
      <c r="H20" s="18">
        <f t="shared" si="1"/>
        <v>0</v>
      </c>
      <c r="I20" s="18">
        <f>IF($B20="","",ROUND(SUMIFS(对接源_01水果!$K$4:$K$1203,对接源_01水果!$C$4:$C$1203,$B20,对接源_01水果!$D$4:$D$1203,"成品出库*",对接源_01水果!$L$4:$L$1203,"已收讫")+SUMIFS(对接源_01水果!$K$4:$K$1203,对接源_01水果!$C$4:$C$1203,$B20,对接源_01水果!$D$4:$D$1203,"成品出库*",对接源_01水果!$L$4:$L$1203,"已付款")+SUMIFS(对接源_01水果!$K$4:$K$1203,对接源_01水果!$C$4:$C$1203,$B20,对接源_01水果!$D$4:$D$1203,"其他代存*",对接源_01水果!$L$4:$L$1203,"已收讫")+SUMIFS(对接源_01水果!$K$4:$K$1203,对接源_01水果!$C$4:$C$1203,$B20,对接源_01水果!$D$4:$D$1203,"其他代存*",对接源_01水果!$L$4:$L$1203,"已付款")+SUMIFS(对接源_02物料!$K$4:$K$1203,对接源_02物料!$C$4:$C$1203,$B20,对接源_02物料!$D$4:$D$1203,"包装物料*",对接源_02物料!$L$4:$L$1203,"已收讫")+SUMIFS(对接源_02物料!$K$4:$K$1203,对接源_02物料!$C$4:$C$1203,$B20,对接源_02物料!$D$4:$D$1203,"包装物料*",对接源_02物料!$L$4:$L$1203,"已付款")+SUMIFS(对接源_02物料!$K$4:$K$1203,对接源_02物料!$C$4:$C$1203,$B20,对接源_02物料!$D$4:$D$1203,"周转筐*",对接源_02物料!$L$4:$L$1203,"已收讫")+SUMIFS(对接源_02物料!$K$4:$K$1203,对接源_02物料!$C$4:$C$1203,$B20,对接源_02物料!$D$4:$D$1203,"周转筐*",对接源_02物料!$L$4:$L$1203,"已付款")+SUMIFS(对接源_02物料!$K$4:$K$1203,对接源_02物料!$C$4:$C$1203,$B20,对接源_02物料!$D$4:$D$1203,"次果筐*",对接源_02物料!$L$4:$L$1203,"已收讫")+SUMIFS(对接源_02物料!$K$4:$K$1203,对接源_02物料!$C$4:$C$1203,$B20,对接源_02物料!$D$4:$D$1203,"次果筐*",对接源_02物料!$L$4:$L$1203,"已付款"),2))</f>
        <v>0</v>
      </c>
      <c r="J20" s="18">
        <f t="shared" si="2"/>
        <v>0</v>
      </c>
      <c r="K20" s="16" t="str">
        <f t="shared" si="3"/>
        <v>已两清</v>
      </c>
      <c r="L20" s="26"/>
    </row>
    <row r="21" customHeight="1" spans="1:12">
      <c r="A21" s="16">
        <f t="shared" si="0"/>
        <v>18</v>
      </c>
      <c r="B21" s="11" t="str">
        <f>IFERROR(INDEX(_自动清单!$E$4:$E$303,ROW()-3),"")</f>
        <v>艾则孜</v>
      </c>
      <c r="C21" s="18">
        <f>IF($B21="","",ROUND(SUMIFS(对接源_01水果!$K$4:$K$1203,对接源_01水果!$C$4:$C$1203,$B21,对接源_01水果!$D$4:$D$1203,"成品出库*"),2))</f>
        <v>0</v>
      </c>
      <c r="D21" s="18">
        <f>IF($B21="","",ROUND(SUMIFS(对接源_01水果!$K$4:$K$1203,对接源_01水果!$C$4:$C$1203,$B21,对接源_01水果!$D$4:$D$1203,"其他代存*"),2))</f>
        <v>0</v>
      </c>
      <c r="E21" s="18">
        <f>IF($B21="","",ROUND(SUMIFS(对接源_02物料!$K$4:$K$1203,对接源_02物料!$C$4:$C$1203,$B21,对接源_02物料!$D$4:$D$1203,"包装物料*"),2))</f>
        <v>0</v>
      </c>
      <c r="F21" s="18">
        <f>IF($B21="","",ROUND(SUMIFS(对接源_02物料!$K$4:$K$1203,对接源_02物料!$C$4:$C$1203,$B21,对接源_02物料!$D$4:$D$1203,"周转筐*"),2))</f>
        <v>0</v>
      </c>
      <c r="G21" s="18">
        <f>IF($B21="","",ROUND(SUMIFS(对接源_02物料!$K$4:$K$1203,对接源_02物料!$C$4:$C$1203,$B21,对接源_02物料!$D$4:$D$1203,"次果筐*"),2))</f>
        <v>0</v>
      </c>
      <c r="H21" s="18">
        <f t="shared" si="1"/>
        <v>0</v>
      </c>
      <c r="I21" s="18">
        <f>IF($B21="","",ROUND(SUMIFS(对接源_01水果!$K$4:$K$1203,对接源_01水果!$C$4:$C$1203,$B21,对接源_01水果!$D$4:$D$1203,"成品出库*",对接源_01水果!$L$4:$L$1203,"已收讫")+SUMIFS(对接源_01水果!$K$4:$K$1203,对接源_01水果!$C$4:$C$1203,$B21,对接源_01水果!$D$4:$D$1203,"成品出库*",对接源_01水果!$L$4:$L$1203,"已付款")+SUMIFS(对接源_01水果!$K$4:$K$1203,对接源_01水果!$C$4:$C$1203,$B21,对接源_01水果!$D$4:$D$1203,"其他代存*",对接源_01水果!$L$4:$L$1203,"已收讫")+SUMIFS(对接源_01水果!$K$4:$K$1203,对接源_01水果!$C$4:$C$1203,$B21,对接源_01水果!$D$4:$D$1203,"其他代存*",对接源_01水果!$L$4:$L$1203,"已付款")+SUMIFS(对接源_02物料!$K$4:$K$1203,对接源_02物料!$C$4:$C$1203,$B21,对接源_02物料!$D$4:$D$1203,"包装物料*",对接源_02物料!$L$4:$L$1203,"已收讫")+SUMIFS(对接源_02物料!$K$4:$K$1203,对接源_02物料!$C$4:$C$1203,$B21,对接源_02物料!$D$4:$D$1203,"包装物料*",对接源_02物料!$L$4:$L$1203,"已付款")+SUMIFS(对接源_02物料!$K$4:$K$1203,对接源_02物料!$C$4:$C$1203,$B21,对接源_02物料!$D$4:$D$1203,"周转筐*",对接源_02物料!$L$4:$L$1203,"已收讫")+SUMIFS(对接源_02物料!$K$4:$K$1203,对接源_02物料!$C$4:$C$1203,$B21,对接源_02物料!$D$4:$D$1203,"周转筐*",对接源_02物料!$L$4:$L$1203,"已付款")+SUMIFS(对接源_02物料!$K$4:$K$1203,对接源_02物料!$C$4:$C$1203,$B21,对接源_02物料!$D$4:$D$1203,"次果筐*",对接源_02物料!$L$4:$L$1203,"已收讫")+SUMIFS(对接源_02物料!$K$4:$K$1203,对接源_02物料!$C$4:$C$1203,$B21,对接源_02物料!$D$4:$D$1203,"次果筐*",对接源_02物料!$L$4:$L$1203,"已付款"),2))</f>
        <v>0</v>
      </c>
      <c r="J21" s="18">
        <f t="shared" si="2"/>
        <v>0</v>
      </c>
      <c r="K21" s="16" t="str">
        <f t="shared" si="3"/>
        <v>已两清</v>
      </c>
      <c r="L21" s="26"/>
    </row>
    <row r="22" customHeight="1" spans="1:12">
      <c r="A22" s="16">
        <f t="shared" si="0"/>
        <v>19</v>
      </c>
      <c r="B22" s="11" t="str">
        <f>IFERROR(INDEX(_自动清单!$E$4:$E$303,ROW()-3),"")</f>
        <v>果然鲜</v>
      </c>
      <c r="C22" s="18">
        <f>IF($B22="","",ROUND(SUMIFS(对接源_01水果!$K$4:$K$1203,对接源_01水果!$C$4:$C$1203,$B22,对接源_01水果!$D$4:$D$1203,"成品出库*"),2))</f>
        <v>0</v>
      </c>
      <c r="D22" s="18">
        <f>IF($B22="","",ROUND(SUMIFS(对接源_01水果!$K$4:$K$1203,对接源_01水果!$C$4:$C$1203,$B22,对接源_01水果!$D$4:$D$1203,"其他代存*"),2))</f>
        <v>0</v>
      </c>
      <c r="E22" s="18">
        <f>IF($B22="","",ROUND(SUMIFS(对接源_02物料!$K$4:$K$1203,对接源_02物料!$C$4:$C$1203,$B22,对接源_02物料!$D$4:$D$1203,"包装物料*"),2))</f>
        <v>0</v>
      </c>
      <c r="F22" s="18">
        <f>IF($B22="","",ROUND(SUMIFS(对接源_02物料!$K$4:$K$1203,对接源_02物料!$C$4:$C$1203,$B22,对接源_02物料!$D$4:$D$1203,"周转筐*"),2))</f>
        <v>0</v>
      </c>
      <c r="G22" s="18">
        <f>IF($B22="","",ROUND(SUMIFS(对接源_02物料!$K$4:$K$1203,对接源_02物料!$C$4:$C$1203,$B22,对接源_02物料!$D$4:$D$1203,"次果筐*"),2))</f>
        <v>0</v>
      </c>
      <c r="H22" s="18">
        <f t="shared" si="1"/>
        <v>0</v>
      </c>
      <c r="I22" s="18">
        <f>IF($B22="","",ROUND(SUMIFS(对接源_01水果!$K$4:$K$1203,对接源_01水果!$C$4:$C$1203,$B22,对接源_01水果!$D$4:$D$1203,"成品出库*",对接源_01水果!$L$4:$L$1203,"已收讫")+SUMIFS(对接源_01水果!$K$4:$K$1203,对接源_01水果!$C$4:$C$1203,$B22,对接源_01水果!$D$4:$D$1203,"成品出库*",对接源_01水果!$L$4:$L$1203,"已付款")+SUMIFS(对接源_01水果!$K$4:$K$1203,对接源_01水果!$C$4:$C$1203,$B22,对接源_01水果!$D$4:$D$1203,"其他代存*",对接源_01水果!$L$4:$L$1203,"已收讫")+SUMIFS(对接源_01水果!$K$4:$K$1203,对接源_01水果!$C$4:$C$1203,$B22,对接源_01水果!$D$4:$D$1203,"其他代存*",对接源_01水果!$L$4:$L$1203,"已付款")+SUMIFS(对接源_02物料!$K$4:$K$1203,对接源_02物料!$C$4:$C$1203,$B22,对接源_02物料!$D$4:$D$1203,"包装物料*",对接源_02物料!$L$4:$L$1203,"已收讫")+SUMIFS(对接源_02物料!$K$4:$K$1203,对接源_02物料!$C$4:$C$1203,$B22,对接源_02物料!$D$4:$D$1203,"包装物料*",对接源_02物料!$L$4:$L$1203,"已付款")+SUMIFS(对接源_02物料!$K$4:$K$1203,对接源_02物料!$C$4:$C$1203,$B22,对接源_02物料!$D$4:$D$1203,"周转筐*",对接源_02物料!$L$4:$L$1203,"已收讫")+SUMIFS(对接源_02物料!$K$4:$K$1203,对接源_02物料!$C$4:$C$1203,$B22,对接源_02物料!$D$4:$D$1203,"周转筐*",对接源_02物料!$L$4:$L$1203,"已付款")+SUMIFS(对接源_02物料!$K$4:$K$1203,对接源_02物料!$C$4:$C$1203,$B22,对接源_02物料!$D$4:$D$1203,"次果筐*",对接源_02物料!$L$4:$L$1203,"已收讫")+SUMIFS(对接源_02物料!$K$4:$K$1203,对接源_02物料!$C$4:$C$1203,$B22,对接源_02物料!$D$4:$D$1203,"次果筐*",对接源_02物料!$L$4:$L$1203,"已付款"),2))</f>
        <v>0</v>
      </c>
      <c r="J22" s="18">
        <f t="shared" si="2"/>
        <v>0</v>
      </c>
      <c r="K22" s="16" t="str">
        <f t="shared" si="3"/>
        <v>已两清</v>
      </c>
      <c r="L22" s="26"/>
    </row>
    <row r="23" customHeight="1" spans="1:12">
      <c r="A23" s="16">
        <f t="shared" si="0"/>
        <v>20</v>
      </c>
      <c r="B23" s="11" t="str">
        <f>IFERROR(INDEX(_自动清单!$E$4:$E$303,ROW()-3),"")</f>
        <v>新顺发泡网</v>
      </c>
      <c r="C23" s="18">
        <f>IF($B23="","",ROUND(SUMIFS(对接源_01水果!$K$4:$K$1203,对接源_01水果!$C$4:$C$1203,$B23,对接源_01水果!$D$4:$D$1203,"成品出库*"),2))</f>
        <v>0</v>
      </c>
      <c r="D23" s="18">
        <f>IF($B23="","",ROUND(SUMIFS(对接源_01水果!$K$4:$K$1203,对接源_01水果!$C$4:$C$1203,$B23,对接源_01水果!$D$4:$D$1203,"其他代存*"),2))</f>
        <v>0</v>
      </c>
      <c r="E23" s="18">
        <f>IF($B23="","",ROUND(SUMIFS(对接源_02物料!$K$4:$K$1203,对接源_02物料!$C$4:$C$1203,$B23,对接源_02物料!$D$4:$D$1203,"包装物料*"),2))</f>
        <v>49728</v>
      </c>
      <c r="F23" s="18">
        <f>IF($B23="","",ROUND(SUMIFS(对接源_02物料!$K$4:$K$1203,对接源_02物料!$C$4:$C$1203,$B23,对接源_02物料!$D$4:$D$1203,"周转筐*"),2))</f>
        <v>0</v>
      </c>
      <c r="G23" s="18">
        <f>IF($B23="","",ROUND(SUMIFS(对接源_02物料!$K$4:$K$1203,对接源_02物料!$C$4:$C$1203,$B23,对接源_02物料!$D$4:$D$1203,"次果筐*"),2))</f>
        <v>0</v>
      </c>
      <c r="H23" s="18">
        <f t="shared" si="1"/>
        <v>49728</v>
      </c>
      <c r="I23" s="18">
        <f>IF($B23="","",ROUND(SUMIFS(对接源_01水果!$K$4:$K$1203,对接源_01水果!$C$4:$C$1203,$B23,对接源_01水果!$D$4:$D$1203,"成品出库*",对接源_01水果!$L$4:$L$1203,"已收讫")+SUMIFS(对接源_01水果!$K$4:$K$1203,对接源_01水果!$C$4:$C$1203,$B23,对接源_01水果!$D$4:$D$1203,"成品出库*",对接源_01水果!$L$4:$L$1203,"已付款")+SUMIFS(对接源_01水果!$K$4:$K$1203,对接源_01水果!$C$4:$C$1203,$B23,对接源_01水果!$D$4:$D$1203,"其他代存*",对接源_01水果!$L$4:$L$1203,"已收讫")+SUMIFS(对接源_01水果!$K$4:$K$1203,对接源_01水果!$C$4:$C$1203,$B23,对接源_01水果!$D$4:$D$1203,"其他代存*",对接源_01水果!$L$4:$L$1203,"已付款")+SUMIFS(对接源_02物料!$K$4:$K$1203,对接源_02物料!$C$4:$C$1203,$B23,对接源_02物料!$D$4:$D$1203,"包装物料*",对接源_02物料!$L$4:$L$1203,"已收讫")+SUMIFS(对接源_02物料!$K$4:$K$1203,对接源_02物料!$C$4:$C$1203,$B23,对接源_02物料!$D$4:$D$1203,"包装物料*",对接源_02物料!$L$4:$L$1203,"已付款")+SUMIFS(对接源_02物料!$K$4:$K$1203,对接源_02物料!$C$4:$C$1203,$B23,对接源_02物料!$D$4:$D$1203,"周转筐*",对接源_02物料!$L$4:$L$1203,"已收讫")+SUMIFS(对接源_02物料!$K$4:$K$1203,对接源_02物料!$C$4:$C$1203,$B23,对接源_02物料!$D$4:$D$1203,"周转筐*",对接源_02物料!$L$4:$L$1203,"已付款")+SUMIFS(对接源_02物料!$K$4:$K$1203,对接源_02物料!$C$4:$C$1203,$B23,对接源_02物料!$D$4:$D$1203,"次果筐*",对接源_02物料!$L$4:$L$1203,"已收讫")+SUMIFS(对接源_02物料!$K$4:$K$1203,对接源_02物料!$C$4:$C$1203,$B23,对接源_02物料!$D$4:$D$1203,"次果筐*",对接源_02物料!$L$4:$L$1203,"已付款"),2))</f>
        <v>23828</v>
      </c>
      <c r="J23" s="18">
        <f t="shared" si="2"/>
        <v>25900</v>
      </c>
      <c r="K23" s="16" t="str">
        <f t="shared" si="3"/>
        <v>对方欠款</v>
      </c>
      <c r="L23" s="26"/>
    </row>
    <row r="24" customHeight="1" spans="1:12">
      <c r="A24" s="16">
        <f t="shared" si="0"/>
        <v>21</v>
      </c>
      <c r="B24" s="11" t="str">
        <f>IFERROR(INDEX(_自动清单!$E$4:$E$303,ROW()-3),"")</f>
        <v>全修塑业</v>
      </c>
      <c r="C24" s="18">
        <f>IF($B24="","",ROUND(SUMIFS(对接源_01水果!$K$4:$K$1203,对接源_01水果!$C$4:$C$1203,$B24,对接源_01水果!$D$4:$D$1203,"成品出库*"),2))</f>
        <v>0</v>
      </c>
      <c r="D24" s="18">
        <f>IF($B24="","",ROUND(SUMIFS(对接源_01水果!$K$4:$K$1203,对接源_01水果!$C$4:$C$1203,$B24,对接源_01水果!$D$4:$D$1203,"其他代存*"),2))</f>
        <v>0</v>
      </c>
      <c r="E24" s="18">
        <f>IF($B24="","",ROUND(SUMIFS(对接源_02物料!$K$4:$K$1203,对接源_02物料!$C$4:$C$1203,$B24,对接源_02物料!$D$4:$D$1203,"包装物料*"),2))</f>
        <v>0</v>
      </c>
      <c r="F24" s="18">
        <f>IF($B24="","",ROUND(SUMIFS(对接源_02物料!$K$4:$K$1203,对接源_02物料!$C$4:$C$1203,$B24,对接源_02物料!$D$4:$D$1203,"周转筐*"),2))</f>
        <v>281760</v>
      </c>
      <c r="G24" s="18">
        <f>IF($B24="","",ROUND(SUMIFS(对接源_02物料!$K$4:$K$1203,对接源_02物料!$C$4:$C$1203,$B24,对接源_02物料!$D$4:$D$1203,"次果筐*"),2))</f>
        <v>0</v>
      </c>
      <c r="H24" s="18">
        <f t="shared" si="1"/>
        <v>281760</v>
      </c>
      <c r="I24" s="18">
        <f>IF($B24="","",ROUND(SUMIFS(对接源_01水果!$K$4:$K$1203,对接源_01水果!$C$4:$C$1203,$B24,对接源_01水果!$D$4:$D$1203,"成品出库*",对接源_01水果!$L$4:$L$1203,"已收讫")+SUMIFS(对接源_01水果!$K$4:$K$1203,对接源_01水果!$C$4:$C$1203,$B24,对接源_01水果!$D$4:$D$1203,"成品出库*",对接源_01水果!$L$4:$L$1203,"已付款")+SUMIFS(对接源_01水果!$K$4:$K$1203,对接源_01水果!$C$4:$C$1203,$B24,对接源_01水果!$D$4:$D$1203,"其他代存*",对接源_01水果!$L$4:$L$1203,"已收讫")+SUMIFS(对接源_01水果!$K$4:$K$1203,对接源_01水果!$C$4:$C$1203,$B24,对接源_01水果!$D$4:$D$1203,"其他代存*",对接源_01水果!$L$4:$L$1203,"已付款")+SUMIFS(对接源_02物料!$K$4:$K$1203,对接源_02物料!$C$4:$C$1203,$B24,对接源_02物料!$D$4:$D$1203,"包装物料*",对接源_02物料!$L$4:$L$1203,"已收讫")+SUMIFS(对接源_02物料!$K$4:$K$1203,对接源_02物料!$C$4:$C$1203,$B24,对接源_02物料!$D$4:$D$1203,"包装物料*",对接源_02物料!$L$4:$L$1203,"已付款")+SUMIFS(对接源_02物料!$K$4:$K$1203,对接源_02物料!$C$4:$C$1203,$B24,对接源_02物料!$D$4:$D$1203,"周转筐*",对接源_02物料!$L$4:$L$1203,"已收讫")+SUMIFS(对接源_02物料!$K$4:$K$1203,对接源_02物料!$C$4:$C$1203,$B24,对接源_02物料!$D$4:$D$1203,"周转筐*",对接源_02物料!$L$4:$L$1203,"已付款")+SUMIFS(对接源_02物料!$K$4:$K$1203,对接源_02物料!$C$4:$C$1203,$B24,对接源_02物料!$D$4:$D$1203,"次果筐*",对接源_02物料!$L$4:$L$1203,"已收讫")+SUMIFS(对接源_02物料!$K$4:$K$1203,对接源_02物料!$C$4:$C$1203,$B24,对接源_02物料!$D$4:$D$1203,"次果筐*",对接源_02物料!$L$4:$L$1203,"已付款"),2))</f>
        <v>0</v>
      </c>
      <c r="J24" s="18">
        <f t="shared" si="2"/>
        <v>281760</v>
      </c>
      <c r="K24" s="16" t="str">
        <f t="shared" si="3"/>
        <v>对方欠款</v>
      </c>
      <c r="L24" s="26"/>
    </row>
    <row r="25" customHeight="1" spans="1:12">
      <c r="A25" s="16" t="str">
        <f t="shared" si="0"/>
        <v/>
      </c>
      <c r="B25" s="11" t="str">
        <f>IFERROR(INDEX(_自动清单!$E$4:$E$303,ROW()-3),"")</f>
        <v/>
      </c>
      <c r="C25" s="18" t="str">
        <f>IF($B25="","",ROUND(SUMIFS(对接源_01水果!$K$4:$K$1203,对接源_01水果!$C$4:$C$1203,$B25,对接源_01水果!$D$4:$D$1203,"成品出库*"),2))</f>
        <v/>
      </c>
      <c r="D25" s="18" t="str">
        <f>IF($B25="","",ROUND(SUMIFS(对接源_01水果!$K$4:$K$1203,对接源_01水果!$C$4:$C$1203,$B25,对接源_01水果!$D$4:$D$1203,"其他代存*"),2))</f>
        <v/>
      </c>
      <c r="E25" s="18" t="str">
        <f>IF($B25="","",ROUND(SUMIFS(对接源_02物料!$K$4:$K$1203,对接源_02物料!$C$4:$C$1203,$B25,对接源_02物料!$D$4:$D$1203,"包装物料*"),2))</f>
        <v/>
      </c>
      <c r="F25" s="18" t="str">
        <f>IF($B25="","",ROUND(SUMIFS(对接源_02物料!$K$4:$K$1203,对接源_02物料!$C$4:$C$1203,$B25,对接源_02物料!$D$4:$D$1203,"周转筐*"),2))</f>
        <v/>
      </c>
      <c r="G25" s="18" t="str">
        <f>IF($B25="","",ROUND(SUMIFS(对接源_02物料!$K$4:$K$1203,对接源_02物料!$C$4:$C$1203,$B25,对接源_02物料!$D$4:$D$1203,"次果筐*"),2))</f>
        <v/>
      </c>
      <c r="H25" s="18" t="str">
        <f t="shared" si="1"/>
        <v/>
      </c>
      <c r="I25" s="18" t="str">
        <f>IF($B25="","",ROUND(SUMIFS(对接源_01水果!$K$4:$K$1203,对接源_01水果!$C$4:$C$1203,$B25,对接源_01水果!$D$4:$D$1203,"成品出库*",对接源_01水果!$L$4:$L$1203,"已收讫")+SUMIFS(对接源_01水果!$K$4:$K$1203,对接源_01水果!$C$4:$C$1203,$B25,对接源_01水果!$D$4:$D$1203,"成品出库*",对接源_01水果!$L$4:$L$1203,"已付款")+SUMIFS(对接源_01水果!$K$4:$K$1203,对接源_01水果!$C$4:$C$1203,$B25,对接源_01水果!$D$4:$D$1203,"其他代存*",对接源_01水果!$L$4:$L$1203,"已收讫")+SUMIFS(对接源_01水果!$K$4:$K$1203,对接源_01水果!$C$4:$C$1203,$B25,对接源_01水果!$D$4:$D$1203,"其他代存*",对接源_01水果!$L$4:$L$1203,"已付款")+SUMIFS(对接源_02物料!$K$4:$K$1203,对接源_02物料!$C$4:$C$1203,$B25,对接源_02物料!$D$4:$D$1203,"包装物料*",对接源_02物料!$L$4:$L$1203,"已收讫")+SUMIFS(对接源_02物料!$K$4:$K$1203,对接源_02物料!$C$4:$C$1203,$B25,对接源_02物料!$D$4:$D$1203,"包装物料*",对接源_02物料!$L$4:$L$1203,"已付款")+SUMIFS(对接源_02物料!$K$4:$K$1203,对接源_02物料!$C$4:$C$1203,$B25,对接源_02物料!$D$4:$D$1203,"周转筐*",对接源_02物料!$L$4:$L$1203,"已收讫")+SUMIFS(对接源_02物料!$K$4:$K$1203,对接源_02物料!$C$4:$C$1203,$B25,对接源_02物料!$D$4:$D$1203,"周转筐*",对接源_02物料!$L$4:$L$1203,"已付款")+SUMIFS(对接源_02物料!$K$4:$K$1203,对接源_02物料!$C$4:$C$1203,$B25,对接源_02物料!$D$4:$D$1203,"次果筐*",对接源_02物料!$L$4:$L$1203,"已收讫")+SUMIFS(对接源_02物料!$K$4:$K$1203,对接源_02物料!$C$4:$C$1203,$B25,对接源_02物料!$D$4:$D$1203,"次果筐*",对接源_02物料!$L$4:$L$1203,"已付款"),2))</f>
        <v/>
      </c>
      <c r="J25" s="18" t="str">
        <f t="shared" si="2"/>
        <v/>
      </c>
      <c r="K25" s="16" t="str">
        <f t="shared" si="3"/>
        <v/>
      </c>
      <c r="L25" s="26"/>
    </row>
    <row r="26" customHeight="1" spans="1:12">
      <c r="A26" s="16" t="str">
        <f t="shared" si="0"/>
        <v/>
      </c>
      <c r="B26" s="11" t="str">
        <f>IFERROR(INDEX(_自动清单!$E$4:$E$303,ROW()-3),"")</f>
        <v/>
      </c>
      <c r="C26" s="18" t="str">
        <f>IF($B26="","",ROUND(SUMIFS(对接源_01水果!$K$4:$K$1203,对接源_01水果!$C$4:$C$1203,$B26,对接源_01水果!$D$4:$D$1203,"成品出库*"),2))</f>
        <v/>
      </c>
      <c r="D26" s="18" t="str">
        <f>IF($B26="","",ROUND(SUMIFS(对接源_01水果!$K$4:$K$1203,对接源_01水果!$C$4:$C$1203,$B26,对接源_01水果!$D$4:$D$1203,"其他代存*"),2))</f>
        <v/>
      </c>
      <c r="E26" s="18" t="str">
        <f>IF($B26="","",ROUND(SUMIFS(对接源_02物料!$K$4:$K$1203,对接源_02物料!$C$4:$C$1203,$B26,对接源_02物料!$D$4:$D$1203,"包装物料*"),2))</f>
        <v/>
      </c>
      <c r="F26" s="18" t="str">
        <f>IF($B26="","",ROUND(SUMIFS(对接源_02物料!$K$4:$K$1203,对接源_02物料!$C$4:$C$1203,$B26,对接源_02物料!$D$4:$D$1203,"周转筐*"),2))</f>
        <v/>
      </c>
      <c r="G26" s="18" t="str">
        <f>IF($B26="","",ROUND(SUMIFS(对接源_02物料!$K$4:$K$1203,对接源_02物料!$C$4:$C$1203,$B26,对接源_02物料!$D$4:$D$1203,"次果筐*"),2))</f>
        <v/>
      </c>
      <c r="H26" s="18" t="str">
        <f t="shared" si="1"/>
        <v/>
      </c>
      <c r="I26" s="18" t="str">
        <f>IF($B26="","",ROUND(SUMIFS(对接源_01水果!$K$4:$K$1203,对接源_01水果!$C$4:$C$1203,$B26,对接源_01水果!$D$4:$D$1203,"成品出库*",对接源_01水果!$L$4:$L$1203,"已收讫")+SUMIFS(对接源_01水果!$K$4:$K$1203,对接源_01水果!$C$4:$C$1203,$B26,对接源_01水果!$D$4:$D$1203,"成品出库*",对接源_01水果!$L$4:$L$1203,"已付款")+SUMIFS(对接源_01水果!$K$4:$K$1203,对接源_01水果!$C$4:$C$1203,$B26,对接源_01水果!$D$4:$D$1203,"其他代存*",对接源_01水果!$L$4:$L$1203,"已收讫")+SUMIFS(对接源_01水果!$K$4:$K$1203,对接源_01水果!$C$4:$C$1203,$B26,对接源_01水果!$D$4:$D$1203,"其他代存*",对接源_01水果!$L$4:$L$1203,"已付款")+SUMIFS(对接源_02物料!$K$4:$K$1203,对接源_02物料!$C$4:$C$1203,$B26,对接源_02物料!$D$4:$D$1203,"包装物料*",对接源_02物料!$L$4:$L$1203,"已收讫")+SUMIFS(对接源_02物料!$K$4:$K$1203,对接源_02物料!$C$4:$C$1203,$B26,对接源_02物料!$D$4:$D$1203,"包装物料*",对接源_02物料!$L$4:$L$1203,"已付款")+SUMIFS(对接源_02物料!$K$4:$K$1203,对接源_02物料!$C$4:$C$1203,$B26,对接源_02物料!$D$4:$D$1203,"周转筐*",对接源_02物料!$L$4:$L$1203,"已收讫")+SUMIFS(对接源_02物料!$K$4:$K$1203,对接源_02物料!$C$4:$C$1203,$B26,对接源_02物料!$D$4:$D$1203,"周转筐*",对接源_02物料!$L$4:$L$1203,"已付款")+SUMIFS(对接源_02物料!$K$4:$K$1203,对接源_02物料!$C$4:$C$1203,$B26,对接源_02物料!$D$4:$D$1203,"次果筐*",对接源_02物料!$L$4:$L$1203,"已收讫")+SUMIFS(对接源_02物料!$K$4:$K$1203,对接源_02物料!$C$4:$C$1203,$B26,对接源_02物料!$D$4:$D$1203,"次果筐*",对接源_02物料!$L$4:$L$1203,"已付款"),2))</f>
        <v/>
      </c>
      <c r="J26" s="18" t="str">
        <f t="shared" si="2"/>
        <v/>
      </c>
      <c r="K26" s="16" t="str">
        <f t="shared" si="3"/>
        <v/>
      </c>
      <c r="L26" s="26"/>
    </row>
    <row r="27" customHeight="1" spans="1:12">
      <c r="A27" s="16" t="str">
        <f t="shared" si="0"/>
        <v/>
      </c>
      <c r="B27" s="11" t="str">
        <f>IFERROR(INDEX(_自动清单!$E$4:$E$303,ROW()-3),"")</f>
        <v/>
      </c>
      <c r="C27" s="18" t="str">
        <f>IF($B27="","",ROUND(SUMIFS(对接源_01水果!$K$4:$K$1203,对接源_01水果!$C$4:$C$1203,$B27,对接源_01水果!$D$4:$D$1203,"成品出库*"),2))</f>
        <v/>
      </c>
      <c r="D27" s="18" t="str">
        <f>IF($B27="","",ROUND(SUMIFS(对接源_01水果!$K$4:$K$1203,对接源_01水果!$C$4:$C$1203,$B27,对接源_01水果!$D$4:$D$1203,"其他代存*"),2))</f>
        <v/>
      </c>
      <c r="E27" s="18" t="str">
        <f>IF($B27="","",ROUND(SUMIFS(对接源_02物料!$K$4:$K$1203,对接源_02物料!$C$4:$C$1203,$B27,对接源_02物料!$D$4:$D$1203,"包装物料*"),2))</f>
        <v/>
      </c>
      <c r="F27" s="18" t="str">
        <f>IF($B27="","",ROUND(SUMIFS(对接源_02物料!$K$4:$K$1203,对接源_02物料!$C$4:$C$1203,$B27,对接源_02物料!$D$4:$D$1203,"周转筐*"),2))</f>
        <v/>
      </c>
      <c r="G27" s="18" t="str">
        <f>IF($B27="","",ROUND(SUMIFS(对接源_02物料!$K$4:$K$1203,对接源_02物料!$C$4:$C$1203,$B27,对接源_02物料!$D$4:$D$1203,"次果筐*"),2))</f>
        <v/>
      </c>
      <c r="H27" s="18" t="str">
        <f t="shared" si="1"/>
        <v/>
      </c>
      <c r="I27" s="18" t="str">
        <f>IF($B27="","",ROUND(SUMIFS(对接源_01水果!$K$4:$K$1203,对接源_01水果!$C$4:$C$1203,$B27,对接源_01水果!$D$4:$D$1203,"成品出库*",对接源_01水果!$L$4:$L$1203,"已收讫")+SUMIFS(对接源_01水果!$K$4:$K$1203,对接源_01水果!$C$4:$C$1203,$B27,对接源_01水果!$D$4:$D$1203,"成品出库*",对接源_01水果!$L$4:$L$1203,"已付款")+SUMIFS(对接源_01水果!$K$4:$K$1203,对接源_01水果!$C$4:$C$1203,$B27,对接源_01水果!$D$4:$D$1203,"其他代存*",对接源_01水果!$L$4:$L$1203,"已收讫")+SUMIFS(对接源_01水果!$K$4:$K$1203,对接源_01水果!$C$4:$C$1203,$B27,对接源_01水果!$D$4:$D$1203,"其他代存*",对接源_01水果!$L$4:$L$1203,"已付款")+SUMIFS(对接源_02物料!$K$4:$K$1203,对接源_02物料!$C$4:$C$1203,$B27,对接源_02物料!$D$4:$D$1203,"包装物料*",对接源_02物料!$L$4:$L$1203,"已收讫")+SUMIFS(对接源_02物料!$K$4:$K$1203,对接源_02物料!$C$4:$C$1203,$B27,对接源_02物料!$D$4:$D$1203,"包装物料*",对接源_02物料!$L$4:$L$1203,"已付款")+SUMIFS(对接源_02物料!$K$4:$K$1203,对接源_02物料!$C$4:$C$1203,$B27,对接源_02物料!$D$4:$D$1203,"周转筐*",对接源_02物料!$L$4:$L$1203,"已收讫")+SUMIFS(对接源_02物料!$K$4:$K$1203,对接源_02物料!$C$4:$C$1203,$B27,对接源_02物料!$D$4:$D$1203,"周转筐*",对接源_02物料!$L$4:$L$1203,"已付款")+SUMIFS(对接源_02物料!$K$4:$K$1203,对接源_02物料!$C$4:$C$1203,$B27,对接源_02物料!$D$4:$D$1203,"次果筐*",对接源_02物料!$L$4:$L$1203,"已收讫")+SUMIFS(对接源_02物料!$K$4:$K$1203,对接源_02物料!$C$4:$C$1203,$B27,对接源_02物料!$D$4:$D$1203,"次果筐*",对接源_02物料!$L$4:$L$1203,"已付款"),2))</f>
        <v/>
      </c>
      <c r="J27" s="18" t="str">
        <f t="shared" si="2"/>
        <v/>
      </c>
      <c r="K27" s="16" t="str">
        <f t="shared" si="3"/>
        <v/>
      </c>
      <c r="L27" s="26"/>
    </row>
    <row r="28" customHeight="1" spans="1:12">
      <c r="A28" s="16" t="str">
        <f t="shared" si="0"/>
        <v/>
      </c>
      <c r="B28" s="11" t="str">
        <f>IFERROR(INDEX(_自动清单!$E$4:$E$303,ROW()-3),"")</f>
        <v/>
      </c>
      <c r="C28" s="18" t="str">
        <f>IF($B28="","",ROUND(SUMIFS(对接源_01水果!$K$4:$K$1203,对接源_01水果!$C$4:$C$1203,$B28,对接源_01水果!$D$4:$D$1203,"成品出库*"),2))</f>
        <v/>
      </c>
      <c r="D28" s="18" t="str">
        <f>IF($B28="","",ROUND(SUMIFS(对接源_01水果!$K$4:$K$1203,对接源_01水果!$C$4:$C$1203,$B28,对接源_01水果!$D$4:$D$1203,"其他代存*"),2))</f>
        <v/>
      </c>
      <c r="E28" s="18" t="str">
        <f>IF($B28="","",ROUND(SUMIFS(对接源_02物料!$K$4:$K$1203,对接源_02物料!$C$4:$C$1203,$B28,对接源_02物料!$D$4:$D$1203,"包装物料*"),2))</f>
        <v/>
      </c>
      <c r="F28" s="18" t="str">
        <f>IF($B28="","",ROUND(SUMIFS(对接源_02物料!$K$4:$K$1203,对接源_02物料!$C$4:$C$1203,$B28,对接源_02物料!$D$4:$D$1203,"周转筐*"),2))</f>
        <v/>
      </c>
      <c r="G28" s="18" t="str">
        <f>IF($B28="","",ROUND(SUMIFS(对接源_02物料!$K$4:$K$1203,对接源_02物料!$C$4:$C$1203,$B28,对接源_02物料!$D$4:$D$1203,"次果筐*"),2))</f>
        <v/>
      </c>
      <c r="H28" s="18" t="str">
        <f t="shared" si="1"/>
        <v/>
      </c>
      <c r="I28" s="18" t="str">
        <f>IF($B28="","",ROUND(SUMIFS(对接源_01水果!$K$4:$K$1203,对接源_01水果!$C$4:$C$1203,$B28,对接源_01水果!$D$4:$D$1203,"成品出库*",对接源_01水果!$L$4:$L$1203,"已收讫")+SUMIFS(对接源_01水果!$K$4:$K$1203,对接源_01水果!$C$4:$C$1203,$B28,对接源_01水果!$D$4:$D$1203,"成品出库*",对接源_01水果!$L$4:$L$1203,"已付款")+SUMIFS(对接源_01水果!$K$4:$K$1203,对接源_01水果!$C$4:$C$1203,$B28,对接源_01水果!$D$4:$D$1203,"其他代存*",对接源_01水果!$L$4:$L$1203,"已收讫")+SUMIFS(对接源_01水果!$K$4:$K$1203,对接源_01水果!$C$4:$C$1203,$B28,对接源_01水果!$D$4:$D$1203,"其他代存*",对接源_01水果!$L$4:$L$1203,"已付款")+SUMIFS(对接源_02物料!$K$4:$K$1203,对接源_02物料!$C$4:$C$1203,$B28,对接源_02物料!$D$4:$D$1203,"包装物料*",对接源_02物料!$L$4:$L$1203,"已收讫")+SUMIFS(对接源_02物料!$K$4:$K$1203,对接源_02物料!$C$4:$C$1203,$B28,对接源_02物料!$D$4:$D$1203,"包装物料*",对接源_02物料!$L$4:$L$1203,"已付款")+SUMIFS(对接源_02物料!$K$4:$K$1203,对接源_02物料!$C$4:$C$1203,$B28,对接源_02物料!$D$4:$D$1203,"周转筐*",对接源_02物料!$L$4:$L$1203,"已收讫")+SUMIFS(对接源_02物料!$K$4:$K$1203,对接源_02物料!$C$4:$C$1203,$B28,对接源_02物料!$D$4:$D$1203,"周转筐*",对接源_02物料!$L$4:$L$1203,"已付款")+SUMIFS(对接源_02物料!$K$4:$K$1203,对接源_02物料!$C$4:$C$1203,$B28,对接源_02物料!$D$4:$D$1203,"次果筐*",对接源_02物料!$L$4:$L$1203,"已收讫")+SUMIFS(对接源_02物料!$K$4:$K$1203,对接源_02物料!$C$4:$C$1203,$B28,对接源_02物料!$D$4:$D$1203,"次果筐*",对接源_02物料!$L$4:$L$1203,"已付款"),2))</f>
        <v/>
      </c>
      <c r="J28" s="18" t="str">
        <f t="shared" si="2"/>
        <v/>
      </c>
      <c r="K28" s="16" t="str">
        <f t="shared" si="3"/>
        <v/>
      </c>
      <c r="L28" s="26"/>
    </row>
    <row r="29" customHeight="1" spans="1:12">
      <c r="A29" s="16" t="str">
        <f t="shared" si="0"/>
        <v/>
      </c>
      <c r="B29" s="11" t="str">
        <f>IFERROR(INDEX(_自动清单!$E$4:$E$303,ROW()-3),"")</f>
        <v/>
      </c>
      <c r="C29" s="18" t="str">
        <f>IF($B29="","",ROUND(SUMIFS(对接源_01水果!$K$4:$K$1203,对接源_01水果!$C$4:$C$1203,$B29,对接源_01水果!$D$4:$D$1203,"成品出库*"),2))</f>
        <v/>
      </c>
      <c r="D29" s="18" t="str">
        <f>IF($B29="","",ROUND(SUMIFS(对接源_01水果!$K$4:$K$1203,对接源_01水果!$C$4:$C$1203,$B29,对接源_01水果!$D$4:$D$1203,"其他代存*"),2))</f>
        <v/>
      </c>
      <c r="E29" s="18" t="str">
        <f>IF($B29="","",ROUND(SUMIFS(对接源_02物料!$K$4:$K$1203,对接源_02物料!$C$4:$C$1203,$B29,对接源_02物料!$D$4:$D$1203,"包装物料*"),2))</f>
        <v/>
      </c>
      <c r="F29" s="18" t="str">
        <f>IF($B29="","",ROUND(SUMIFS(对接源_02物料!$K$4:$K$1203,对接源_02物料!$C$4:$C$1203,$B29,对接源_02物料!$D$4:$D$1203,"周转筐*"),2))</f>
        <v/>
      </c>
      <c r="G29" s="18" t="str">
        <f>IF($B29="","",ROUND(SUMIFS(对接源_02物料!$K$4:$K$1203,对接源_02物料!$C$4:$C$1203,$B29,对接源_02物料!$D$4:$D$1203,"次果筐*"),2))</f>
        <v/>
      </c>
      <c r="H29" s="18" t="str">
        <f t="shared" si="1"/>
        <v/>
      </c>
      <c r="I29" s="18" t="str">
        <f>IF($B29="","",ROUND(SUMIFS(对接源_01水果!$K$4:$K$1203,对接源_01水果!$C$4:$C$1203,$B29,对接源_01水果!$D$4:$D$1203,"成品出库*",对接源_01水果!$L$4:$L$1203,"已收讫")+SUMIFS(对接源_01水果!$K$4:$K$1203,对接源_01水果!$C$4:$C$1203,$B29,对接源_01水果!$D$4:$D$1203,"成品出库*",对接源_01水果!$L$4:$L$1203,"已付款")+SUMIFS(对接源_01水果!$K$4:$K$1203,对接源_01水果!$C$4:$C$1203,$B29,对接源_01水果!$D$4:$D$1203,"其他代存*",对接源_01水果!$L$4:$L$1203,"已收讫")+SUMIFS(对接源_01水果!$K$4:$K$1203,对接源_01水果!$C$4:$C$1203,$B29,对接源_01水果!$D$4:$D$1203,"其他代存*",对接源_01水果!$L$4:$L$1203,"已付款")+SUMIFS(对接源_02物料!$K$4:$K$1203,对接源_02物料!$C$4:$C$1203,$B29,对接源_02物料!$D$4:$D$1203,"包装物料*",对接源_02物料!$L$4:$L$1203,"已收讫")+SUMIFS(对接源_02物料!$K$4:$K$1203,对接源_02物料!$C$4:$C$1203,$B29,对接源_02物料!$D$4:$D$1203,"包装物料*",对接源_02物料!$L$4:$L$1203,"已付款")+SUMIFS(对接源_02物料!$K$4:$K$1203,对接源_02物料!$C$4:$C$1203,$B29,对接源_02物料!$D$4:$D$1203,"周转筐*",对接源_02物料!$L$4:$L$1203,"已收讫")+SUMIFS(对接源_02物料!$K$4:$K$1203,对接源_02物料!$C$4:$C$1203,$B29,对接源_02物料!$D$4:$D$1203,"周转筐*",对接源_02物料!$L$4:$L$1203,"已付款")+SUMIFS(对接源_02物料!$K$4:$K$1203,对接源_02物料!$C$4:$C$1203,$B29,对接源_02物料!$D$4:$D$1203,"次果筐*",对接源_02物料!$L$4:$L$1203,"已收讫")+SUMIFS(对接源_02物料!$K$4:$K$1203,对接源_02物料!$C$4:$C$1203,$B29,对接源_02物料!$D$4:$D$1203,"次果筐*",对接源_02物料!$L$4:$L$1203,"已付款"),2))</f>
        <v/>
      </c>
      <c r="J29" s="18" t="str">
        <f t="shared" si="2"/>
        <v/>
      </c>
      <c r="K29" s="16" t="str">
        <f t="shared" si="3"/>
        <v/>
      </c>
      <c r="L29" s="26"/>
    </row>
    <row r="30" customHeight="1" spans="1:12">
      <c r="A30" s="16" t="str">
        <f t="shared" si="0"/>
        <v/>
      </c>
      <c r="B30" s="11" t="str">
        <f>IFERROR(INDEX(_自动清单!$E$4:$E$303,ROW()-3),"")</f>
        <v/>
      </c>
      <c r="C30" s="18" t="str">
        <f>IF($B30="","",ROUND(SUMIFS(对接源_01水果!$K$4:$K$1203,对接源_01水果!$C$4:$C$1203,$B30,对接源_01水果!$D$4:$D$1203,"成品出库*"),2))</f>
        <v/>
      </c>
      <c r="D30" s="18" t="str">
        <f>IF($B30="","",ROUND(SUMIFS(对接源_01水果!$K$4:$K$1203,对接源_01水果!$C$4:$C$1203,$B30,对接源_01水果!$D$4:$D$1203,"其他代存*"),2))</f>
        <v/>
      </c>
      <c r="E30" s="18" t="str">
        <f>IF($B30="","",ROUND(SUMIFS(对接源_02物料!$K$4:$K$1203,对接源_02物料!$C$4:$C$1203,$B30,对接源_02物料!$D$4:$D$1203,"包装物料*"),2))</f>
        <v/>
      </c>
      <c r="F30" s="18" t="str">
        <f>IF($B30="","",ROUND(SUMIFS(对接源_02物料!$K$4:$K$1203,对接源_02物料!$C$4:$C$1203,$B30,对接源_02物料!$D$4:$D$1203,"周转筐*"),2))</f>
        <v/>
      </c>
      <c r="G30" s="18" t="str">
        <f>IF($B30="","",ROUND(SUMIFS(对接源_02物料!$K$4:$K$1203,对接源_02物料!$C$4:$C$1203,$B30,对接源_02物料!$D$4:$D$1203,"次果筐*"),2))</f>
        <v/>
      </c>
      <c r="H30" s="18" t="str">
        <f t="shared" si="1"/>
        <v/>
      </c>
      <c r="I30" s="18" t="str">
        <f>IF($B30="","",ROUND(SUMIFS(对接源_01水果!$K$4:$K$1203,对接源_01水果!$C$4:$C$1203,$B30,对接源_01水果!$D$4:$D$1203,"成品出库*",对接源_01水果!$L$4:$L$1203,"已收讫")+SUMIFS(对接源_01水果!$K$4:$K$1203,对接源_01水果!$C$4:$C$1203,$B30,对接源_01水果!$D$4:$D$1203,"成品出库*",对接源_01水果!$L$4:$L$1203,"已付款")+SUMIFS(对接源_01水果!$K$4:$K$1203,对接源_01水果!$C$4:$C$1203,$B30,对接源_01水果!$D$4:$D$1203,"其他代存*",对接源_01水果!$L$4:$L$1203,"已收讫")+SUMIFS(对接源_01水果!$K$4:$K$1203,对接源_01水果!$C$4:$C$1203,$B30,对接源_01水果!$D$4:$D$1203,"其他代存*",对接源_01水果!$L$4:$L$1203,"已付款")+SUMIFS(对接源_02物料!$K$4:$K$1203,对接源_02物料!$C$4:$C$1203,$B30,对接源_02物料!$D$4:$D$1203,"包装物料*",对接源_02物料!$L$4:$L$1203,"已收讫")+SUMIFS(对接源_02物料!$K$4:$K$1203,对接源_02物料!$C$4:$C$1203,$B30,对接源_02物料!$D$4:$D$1203,"包装物料*",对接源_02物料!$L$4:$L$1203,"已付款")+SUMIFS(对接源_02物料!$K$4:$K$1203,对接源_02物料!$C$4:$C$1203,$B30,对接源_02物料!$D$4:$D$1203,"周转筐*",对接源_02物料!$L$4:$L$1203,"已收讫")+SUMIFS(对接源_02物料!$K$4:$K$1203,对接源_02物料!$C$4:$C$1203,$B30,对接源_02物料!$D$4:$D$1203,"周转筐*",对接源_02物料!$L$4:$L$1203,"已付款")+SUMIFS(对接源_02物料!$K$4:$K$1203,对接源_02物料!$C$4:$C$1203,$B30,对接源_02物料!$D$4:$D$1203,"次果筐*",对接源_02物料!$L$4:$L$1203,"已收讫")+SUMIFS(对接源_02物料!$K$4:$K$1203,对接源_02物料!$C$4:$C$1203,$B30,对接源_02物料!$D$4:$D$1203,"次果筐*",对接源_02物料!$L$4:$L$1203,"已付款"),2))</f>
        <v/>
      </c>
      <c r="J30" s="18" t="str">
        <f t="shared" si="2"/>
        <v/>
      </c>
      <c r="K30" s="16" t="str">
        <f t="shared" si="3"/>
        <v/>
      </c>
      <c r="L30" s="26"/>
    </row>
    <row r="31" customHeight="1" spans="1:12">
      <c r="A31" s="16" t="str">
        <f t="shared" si="0"/>
        <v/>
      </c>
      <c r="B31" s="11" t="str">
        <f>IFERROR(INDEX(_自动清单!$E$4:$E$303,ROW()-3),"")</f>
        <v/>
      </c>
      <c r="C31" s="18" t="str">
        <f>IF($B31="","",ROUND(SUMIFS(对接源_01水果!$K$4:$K$1203,对接源_01水果!$C$4:$C$1203,$B31,对接源_01水果!$D$4:$D$1203,"成品出库*"),2))</f>
        <v/>
      </c>
      <c r="D31" s="18" t="str">
        <f>IF($B31="","",ROUND(SUMIFS(对接源_01水果!$K$4:$K$1203,对接源_01水果!$C$4:$C$1203,$B31,对接源_01水果!$D$4:$D$1203,"其他代存*"),2))</f>
        <v/>
      </c>
      <c r="E31" s="18" t="str">
        <f>IF($B31="","",ROUND(SUMIFS(对接源_02物料!$K$4:$K$1203,对接源_02物料!$C$4:$C$1203,$B31,对接源_02物料!$D$4:$D$1203,"包装物料*"),2))</f>
        <v/>
      </c>
      <c r="F31" s="18" t="str">
        <f>IF($B31="","",ROUND(SUMIFS(对接源_02物料!$K$4:$K$1203,对接源_02物料!$C$4:$C$1203,$B31,对接源_02物料!$D$4:$D$1203,"周转筐*"),2))</f>
        <v/>
      </c>
      <c r="G31" s="18" t="str">
        <f>IF($B31="","",ROUND(SUMIFS(对接源_02物料!$K$4:$K$1203,对接源_02物料!$C$4:$C$1203,$B31,对接源_02物料!$D$4:$D$1203,"次果筐*"),2))</f>
        <v/>
      </c>
      <c r="H31" s="18" t="str">
        <f t="shared" si="1"/>
        <v/>
      </c>
      <c r="I31" s="18" t="str">
        <f>IF($B31="","",ROUND(SUMIFS(对接源_01水果!$K$4:$K$1203,对接源_01水果!$C$4:$C$1203,$B31,对接源_01水果!$D$4:$D$1203,"成品出库*",对接源_01水果!$L$4:$L$1203,"已收讫")+SUMIFS(对接源_01水果!$K$4:$K$1203,对接源_01水果!$C$4:$C$1203,$B31,对接源_01水果!$D$4:$D$1203,"成品出库*",对接源_01水果!$L$4:$L$1203,"已付款")+SUMIFS(对接源_01水果!$K$4:$K$1203,对接源_01水果!$C$4:$C$1203,$B31,对接源_01水果!$D$4:$D$1203,"其他代存*",对接源_01水果!$L$4:$L$1203,"已收讫")+SUMIFS(对接源_01水果!$K$4:$K$1203,对接源_01水果!$C$4:$C$1203,$B31,对接源_01水果!$D$4:$D$1203,"其他代存*",对接源_01水果!$L$4:$L$1203,"已付款")+SUMIFS(对接源_02物料!$K$4:$K$1203,对接源_02物料!$C$4:$C$1203,$B31,对接源_02物料!$D$4:$D$1203,"包装物料*",对接源_02物料!$L$4:$L$1203,"已收讫")+SUMIFS(对接源_02物料!$K$4:$K$1203,对接源_02物料!$C$4:$C$1203,$B31,对接源_02物料!$D$4:$D$1203,"包装物料*",对接源_02物料!$L$4:$L$1203,"已付款")+SUMIFS(对接源_02物料!$K$4:$K$1203,对接源_02物料!$C$4:$C$1203,$B31,对接源_02物料!$D$4:$D$1203,"周转筐*",对接源_02物料!$L$4:$L$1203,"已收讫")+SUMIFS(对接源_02物料!$K$4:$K$1203,对接源_02物料!$C$4:$C$1203,$B31,对接源_02物料!$D$4:$D$1203,"周转筐*",对接源_02物料!$L$4:$L$1203,"已付款")+SUMIFS(对接源_02物料!$K$4:$K$1203,对接源_02物料!$C$4:$C$1203,$B31,对接源_02物料!$D$4:$D$1203,"次果筐*",对接源_02物料!$L$4:$L$1203,"已收讫")+SUMIFS(对接源_02物料!$K$4:$K$1203,对接源_02物料!$C$4:$C$1203,$B31,对接源_02物料!$D$4:$D$1203,"次果筐*",对接源_02物料!$L$4:$L$1203,"已付款"),2))</f>
        <v/>
      </c>
      <c r="J31" s="18" t="str">
        <f t="shared" si="2"/>
        <v/>
      </c>
      <c r="K31" s="16" t="str">
        <f t="shared" si="3"/>
        <v/>
      </c>
      <c r="L31" s="26"/>
    </row>
    <row r="32" customHeight="1" spans="1:12">
      <c r="A32" s="16" t="str">
        <f t="shared" si="0"/>
        <v/>
      </c>
      <c r="B32" s="11" t="str">
        <f>IFERROR(INDEX(_自动清单!$E$4:$E$303,ROW()-3),"")</f>
        <v/>
      </c>
      <c r="C32" s="18" t="str">
        <f>IF($B32="","",ROUND(SUMIFS(对接源_01水果!$K$4:$K$1203,对接源_01水果!$C$4:$C$1203,$B32,对接源_01水果!$D$4:$D$1203,"成品出库*"),2))</f>
        <v/>
      </c>
      <c r="D32" s="18" t="str">
        <f>IF($B32="","",ROUND(SUMIFS(对接源_01水果!$K$4:$K$1203,对接源_01水果!$C$4:$C$1203,$B32,对接源_01水果!$D$4:$D$1203,"其他代存*"),2))</f>
        <v/>
      </c>
      <c r="E32" s="18" t="str">
        <f>IF($B32="","",ROUND(SUMIFS(对接源_02物料!$K$4:$K$1203,对接源_02物料!$C$4:$C$1203,$B32,对接源_02物料!$D$4:$D$1203,"包装物料*"),2))</f>
        <v/>
      </c>
      <c r="F32" s="18" t="str">
        <f>IF($B32="","",ROUND(SUMIFS(对接源_02物料!$K$4:$K$1203,对接源_02物料!$C$4:$C$1203,$B32,对接源_02物料!$D$4:$D$1203,"周转筐*"),2))</f>
        <v/>
      </c>
      <c r="G32" s="18" t="str">
        <f>IF($B32="","",ROUND(SUMIFS(对接源_02物料!$K$4:$K$1203,对接源_02物料!$C$4:$C$1203,$B32,对接源_02物料!$D$4:$D$1203,"次果筐*"),2))</f>
        <v/>
      </c>
      <c r="H32" s="18" t="str">
        <f t="shared" si="1"/>
        <v/>
      </c>
      <c r="I32" s="18" t="str">
        <f>IF($B32="","",ROUND(SUMIFS(对接源_01水果!$K$4:$K$1203,对接源_01水果!$C$4:$C$1203,$B32,对接源_01水果!$D$4:$D$1203,"成品出库*",对接源_01水果!$L$4:$L$1203,"已收讫")+SUMIFS(对接源_01水果!$K$4:$K$1203,对接源_01水果!$C$4:$C$1203,$B32,对接源_01水果!$D$4:$D$1203,"成品出库*",对接源_01水果!$L$4:$L$1203,"已付款")+SUMIFS(对接源_01水果!$K$4:$K$1203,对接源_01水果!$C$4:$C$1203,$B32,对接源_01水果!$D$4:$D$1203,"其他代存*",对接源_01水果!$L$4:$L$1203,"已收讫")+SUMIFS(对接源_01水果!$K$4:$K$1203,对接源_01水果!$C$4:$C$1203,$B32,对接源_01水果!$D$4:$D$1203,"其他代存*",对接源_01水果!$L$4:$L$1203,"已付款")+SUMIFS(对接源_02物料!$K$4:$K$1203,对接源_02物料!$C$4:$C$1203,$B32,对接源_02物料!$D$4:$D$1203,"包装物料*",对接源_02物料!$L$4:$L$1203,"已收讫")+SUMIFS(对接源_02物料!$K$4:$K$1203,对接源_02物料!$C$4:$C$1203,$B32,对接源_02物料!$D$4:$D$1203,"包装物料*",对接源_02物料!$L$4:$L$1203,"已付款")+SUMIFS(对接源_02物料!$K$4:$K$1203,对接源_02物料!$C$4:$C$1203,$B32,对接源_02物料!$D$4:$D$1203,"周转筐*",对接源_02物料!$L$4:$L$1203,"已收讫")+SUMIFS(对接源_02物料!$K$4:$K$1203,对接源_02物料!$C$4:$C$1203,$B32,对接源_02物料!$D$4:$D$1203,"周转筐*",对接源_02物料!$L$4:$L$1203,"已付款")+SUMIFS(对接源_02物料!$K$4:$K$1203,对接源_02物料!$C$4:$C$1203,$B32,对接源_02物料!$D$4:$D$1203,"次果筐*",对接源_02物料!$L$4:$L$1203,"已收讫")+SUMIFS(对接源_02物料!$K$4:$K$1203,对接源_02物料!$C$4:$C$1203,$B32,对接源_02物料!$D$4:$D$1203,"次果筐*",对接源_02物料!$L$4:$L$1203,"已付款"),2))</f>
        <v/>
      </c>
      <c r="J32" s="18" t="str">
        <f t="shared" si="2"/>
        <v/>
      </c>
      <c r="K32" s="16" t="str">
        <f t="shared" si="3"/>
        <v/>
      </c>
      <c r="L32" s="26"/>
    </row>
    <row r="33" customHeight="1" spans="1:12">
      <c r="A33" s="16" t="str">
        <f t="shared" si="0"/>
        <v/>
      </c>
      <c r="B33" s="11" t="str">
        <f>IFERROR(INDEX(_自动清单!$E$4:$E$303,ROW()-3),"")</f>
        <v/>
      </c>
      <c r="C33" s="18" t="str">
        <f>IF($B33="","",ROUND(SUMIFS(对接源_01水果!$K$4:$K$1203,对接源_01水果!$C$4:$C$1203,$B33,对接源_01水果!$D$4:$D$1203,"成品出库*"),2))</f>
        <v/>
      </c>
      <c r="D33" s="18" t="str">
        <f>IF($B33="","",ROUND(SUMIFS(对接源_01水果!$K$4:$K$1203,对接源_01水果!$C$4:$C$1203,$B33,对接源_01水果!$D$4:$D$1203,"其他代存*"),2))</f>
        <v/>
      </c>
      <c r="E33" s="18" t="str">
        <f>IF($B33="","",ROUND(SUMIFS(对接源_02物料!$K$4:$K$1203,对接源_02物料!$C$4:$C$1203,$B33,对接源_02物料!$D$4:$D$1203,"包装物料*"),2))</f>
        <v/>
      </c>
      <c r="F33" s="18" t="str">
        <f>IF($B33="","",ROUND(SUMIFS(对接源_02物料!$K$4:$K$1203,对接源_02物料!$C$4:$C$1203,$B33,对接源_02物料!$D$4:$D$1203,"周转筐*"),2))</f>
        <v/>
      </c>
      <c r="G33" s="18" t="str">
        <f>IF($B33="","",ROUND(SUMIFS(对接源_02物料!$K$4:$K$1203,对接源_02物料!$C$4:$C$1203,$B33,对接源_02物料!$D$4:$D$1203,"次果筐*"),2))</f>
        <v/>
      </c>
      <c r="H33" s="18" t="str">
        <f t="shared" si="1"/>
        <v/>
      </c>
      <c r="I33" s="18" t="str">
        <f>IF($B33="","",ROUND(SUMIFS(对接源_01水果!$K$4:$K$1203,对接源_01水果!$C$4:$C$1203,$B33,对接源_01水果!$D$4:$D$1203,"成品出库*",对接源_01水果!$L$4:$L$1203,"已收讫")+SUMIFS(对接源_01水果!$K$4:$K$1203,对接源_01水果!$C$4:$C$1203,$B33,对接源_01水果!$D$4:$D$1203,"成品出库*",对接源_01水果!$L$4:$L$1203,"已付款")+SUMIFS(对接源_01水果!$K$4:$K$1203,对接源_01水果!$C$4:$C$1203,$B33,对接源_01水果!$D$4:$D$1203,"其他代存*",对接源_01水果!$L$4:$L$1203,"已收讫")+SUMIFS(对接源_01水果!$K$4:$K$1203,对接源_01水果!$C$4:$C$1203,$B33,对接源_01水果!$D$4:$D$1203,"其他代存*",对接源_01水果!$L$4:$L$1203,"已付款")+SUMIFS(对接源_02物料!$K$4:$K$1203,对接源_02物料!$C$4:$C$1203,$B33,对接源_02物料!$D$4:$D$1203,"包装物料*",对接源_02物料!$L$4:$L$1203,"已收讫")+SUMIFS(对接源_02物料!$K$4:$K$1203,对接源_02物料!$C$4:$C$1203,$B33,对接源_02物料!$D$4:$D$1203,"包装物料*",对接源_02物料!$L$4:$L$1203,"已付款")+SUMIFS(对接源_02物料!$K$4:$K$1203,对接源_02物料!$C$4:$C$1203,$B33,对接源_02物料!$D$4:$D$1203,"周转筐*",对接源_02物料!$L$4:$L$1203,"已收讫")+SUMIFS(对接源_02物料!$K$4:$K$1203,对接源_02物料!$C$4:$C$1203,$B33,对接源_02物料!$D$4:$D$1203,"周转筐*",对接源_02物料!$L$4:$L$1203,"已付款")+SUMIFS(对接源_02物料!$K$4:$K$1203,对接源_02物料!$C$4:$C$1203,$B33,对接源_02物料!$D$4:$D$1203,"次果筐*",对接源_02物料!$L$4:$L$1203,"已收讫")+SUMIFS(对接源_02物料!$K$4:$K$1203,对接源_02物料!$C$4:$C$1203,$B33,对接源_02物料!$D$4:$D$1203,"次果筐*",对接源_02物料!$L$4:$L$1203,"已付款"),2))</f>
        <v/>
      </c>
      <c r="J33" s="18" t="str">
        <f t="shared" si="2"/>
        <v/>
      </c>
      <c r="K33" s="16" t="str">
        <f t="shared" si="3"/>
        <v/>
      </c>
      <c r="L33" s="26"/>
    </row>
    <row r="34" customHeight="1" spans="1:12">
      <c r="A34" s="16" t="str">
        <f t="shared" si="0"/>
        <v/>
      </c>
      <c r="B34" s="11" t="str">
        <f>IFERROR(INDEX(_自动清单!$E$4:$E$303,ROW()-3),"")</f>
        <v/>
      </c>
      <c r="C34" s="18" t="str">
        <f>IF($B34="","",ROUND(SUMIFS(对接源_01水果!$K$4:$K$1203,对接源_01水果!$C$4:$C$1203,$B34,对接源_01水果!$D$4:$D$1203,"成品出库*"),2))</f>
        <v/>
      </c>
      <c r="D34" s="18" t="str">
        <f>IF($B34="","",ROUND(SUMIFS(对接源_01水果!$K$4:$K$1203,对接源_01水果!$C$4:$C$1203,$B34,对接源_01水果!$D$4:$D$1203,"其他代存*"),2))</f>
        <v/>
      </c>
      <c r="E34" s="18" t="str">
        <f>IF($B34="","",ROUND(SUMIFS(对接源_02物料!$K$4:$K$1203,对接源_02物料!$C$4:$C$1203,$B34,对接源_02物料!$D$4:$D$1203,"包装物料*"),2))</f>
        <v/>
      </c>
      <c r="F34" s="18" t="str">
        <f>IF($B34="","",ROUND(SUMIFS(对接源_02物料!$K$4:$K$1203,对接源_02物料!$C$4:$C$1203,$B34,对接源_02物料!$D$4:$D$1203,"周转筐*"),2))</f>
        <v/>
      </c>
      <c r="G34" s="18" t="str">
        <f>IF($B34="","",ROUND(SUMIFS(对接源_02物料!$K$4:$K$1203,对接源_02物料!$C$4:$C$1203,$B34,对接源_02物料!$D$4:$D$1203,"次果筐*"),2))</f>
        <v/>
      </c>
      <c r="H34" s="18" t="str">
        <f t="shared" si="1"/>
        <v/>
      </c>
      <c r="I34" s="18" t="str">
        <f>IF($B34="","",ROUND(SUMIFS(对接源_01水果!$K$4:$K$1203,对接源_01水果!$C$4:$C$1203,$B34,对接源_01水果!$D$4:$D$1203,"成品出库*",对接源_01水果!$L$4:$L$1203,"已收讫")+SUMIFS(对接源_01水果!$K$4:$K$1203,对接源_01水果!$C$4:$C$1203,$B34,对接源_01水果!$D$4:$D$1203,"成品出库*",对接源_01水果!$L$4:$L$1203,"已付款")+SUMIFS(对接源_01水果!$K$4:$K$1203,对接源_01水果!$C$4:$C$1203,$B34,对接源_01水果!$D$4:$D$1203,"其他代存*",对接源_01水果!$L$4:$L$1203,"已收讫")+SUMIFS(对接源_01水果!$K$4:$K$1203,对接源_01水果!$C$4:$C$1203,$B34,对接源_01水果!$D$4:$D$1203,"其他代存*",对接源_01水果!$L$4:$L$1203,"已付款")+SUMIFS(对接源_02物料!$K$4:$K$1203,对接源_02物料!$C$4:$C$1203,$B34,对接源_02物料!$D$4:$D$1203,"包装物料*",对接源_02物料!$L$4:$L$1203,"已收讫")+SUMIFS(对接源_02物料!$K$4:$K$1203,对接源_02物料!$C$4:$C$1203,$B34,对接源_02物料!$D$4:$D$1203,"包装物料*",对接源_02物料!$L$4:$L$1203,"已付款")+SUMIFS(对接源_02物料!$K$4:$K$1203,对接源_02物料!$C$4:$C$1203,$B34,对接源_02物料!$D$4:$D$1203,"周转筐*",对接源_02物料!$L$4:$L$1203,"已收讫")+SUMIFS(对接源_02物料!$K$4:$K$1203,对接源_02物料!$C$4:$C$1203,$B34,对接源_02物料!$D$4:$D$1203,"周转筐*",对接源_02物料!$L$4:$L$1203,"已付款")+SUMIFS(对接源_02物料!$K$4:$K$1203,对接源_02物料!$C$4:$C$1203,$B34,对接源_02物料!$D$4:$D$1203,"次果筐*",对接源_02物料!$L$4:$L$1203,"已收讫")+SUMIFS(对接源_02物料!$K$4:$K$1203,对接源_02物料!$C$4:$C$1203,$B34,对接源_02物料!$D$4:$D$1203,"次果筐*",对接源_02物料!$L$4:$L$1203,"已付款"),2))</f>
        <v/>
      </c>
      <c r="J34" s="18" t="str">
        <f t="shared" si="2"/>
        <v/>
      </c>
      <c r="K34" s="16" t="str">
        <f t="shared" si="3"/>
        <v/>
      </c>
      <c r="L34" s="26"/>
    </row>
    <row r="35" customHeight="1" spans="1:12">
      <c r="A35" s="16" t="str">
        <f t="shared" si="0"/>
        <v/>
      </c>
      <c r="B35" s="11" t="str">
        <f>IFERROR(INDEX(_自动清单!$E$4:$E$303,ROW()-3),"")</f>
        <v/>
      </c>
      <c r="C35" s="18" t="str">
        <f>IF($B35="","",ROUND(SUMIFS(对接源_01水果!$K$4:$K$1203,对接源_01水果!$C$4:$C$1203,$B35,对接源_01水果!$D$4:$D$1203,"成品出库*"),2))</f>
        <v/>
      </c>
      <c r="D35" s="18" t="str">
        <f>IF($B35="","",ROUND(SUMIFS(对接源_01水果!$K$4:$K$1203,对接源_01水果!$C$4:$C$1203,$B35,对接源_01水果!$D$4:$D$1203,"其他代存*"),2))</f>
        <v/>
      </c>
      <c r="E35" s="18" t="str">
        <f>IF($B35="","",ROUND(SUMIFS(对接源_02物料!$K$4:$K$1203,对接源_02物料!$C$4:$C$1203,$B35,对接源_02物料!$D$4:$D$1203,"包装物料*"),2))</f>
        <v/>
      </c>
      <c r="F35" s="18" t="str">
        <f>IF($B35="","",ROUND(SUMIFS(对接源_02物料!$K$4:$K$1203,对接源_02物料!$C$4:$C$1203,$B35,对接源_02物料!$D$4:$D$1203,"周转筐*"),2))</f>
        <v/>
      </c>
      <c r="G35" s="18" t="str">
        <f>IF($B35="","",ROUND(SUMIFS(对接源_02物料!$K$4:$K$1203,对接源_02物料!$C$4:$C$1203,$B35,对接源_02物料!$D$4:$D$1203,"次果筐*"),2))</f>
        <v/>
      </c>
      <c r="H35" s="18" t="str">
        <f t="shared" si="1"/>
        <v/>
      </c>
      <c r="I35" s="18" t="str">
        <f>IF($B35="","",ROUND(SUMIFS(对接源_01水果!$K$4:$K$1203,对接源_01水果!$C$4:$C$1203,$B35,对接源_01水果!$D$4:$D$1203,"成品出库*",对接源_01水果!$L$4:$L$1203,"已收讫")+SUMIFS(对接源_01水果!$K$4:$K$1203,对接源_01水果!$C$4:$C$1203,$B35,对接源_01水果!$D$4:$D$1203,"成品出库*",对接源_01水果!$L$4:$L$1203,"已付款")+SUMIFS(对接源_01水果!$K$4:$K$1203,对接源_01水果!$C$4:$C$1203,$B35,对接源_01水果!$D$4:$D$1203,"其他代存*",对接源_01水果!$L$4:$L$1203,"已收讫")+SUMIFS(对接源_01水果!$K$4:$K$1203,对接源_01水果!$C$4:$C$1203,$B35,对接源_01水果!$D$4:$D$1203,"其他代存*",对接源_01水果!$L$4:$L$1203,"已付款")+SUMIFS(对接源_02物料!$K$4:$K$1203,对接源_02物料!$C$4:$C$1203,$B35,对接源_02物料!$D$4:$D$1203,"包装物料*",对接源_02物料!$L$4:$L$1203,"已收讫")+SUMIFS(对接源_02物料!$K$4:$K$1203,对接源_02物料!$C$4:$C$1203,$B35,对接源_02物料!$D$4:$D$1203,"包装物料*",对接源_02物料!$L$4:$L$1203,"已付款")+SUMIFS(对接源_02物料!$K$4:$K$1203,对接源_02物料!$C$4:$C$1203,$B35,对接源_02物料!$D$4:$D$1203,"周转筐*",对接源_02物料!$L$4:$L$1203,"已收讫")+SUMIFS(对接源_02物料!$K$4:$K$1203,对接源_02物料!$C$4:$C$1203,$B35,对接源_02物料!$D$4:$D$1203,"周转筐*",对接源_02物料!$L$4:$L$1203,"已付款")+SUMIFS(对接源_02物料!$K$4:$K$1203,对接源_02物料!$C$4:$C$1203,$B35,对接源_02物料!$D$4:$D$1203,"次果筐*",对接源_02物料!$L$4:$L$1203,"已收讫")+SUMIFS(对接源_02物料!$K$4:$K$1203,对接源_02物料!$C$4:$C$1203,$B35,对接源_02物料!$D$4:$D$1203,"次果筐*",对接源_02物料!$L$4:$L$1203,"已付款"),2))</f>
        <v/>
      </c>
      <c r="J35" s="18" t="str">
        <f t="shared" si="2"/>
        <v/>
      </c>
      <c r="K35" s="16" t="str">
        <f t="shared" si="3"/>
        <v/>
      </c>
      <c r="L35" s="26"/>
    </row>
    <row r="36" customHeight="1" spans="1:12">
      <c r="A36" s="16" t="str">
        <f t="shared" si="0"/>
        <v/>
      </c>
      <c r="B36" s="11" t="str">
        <f>IFERROR(INDEX(_自动清单!$E$4:$E$303,ROW()-3),"")</f>
        <v/>
      </c>
      <c r="C36" s="18" t="str">
        <f>IF($B36="","",ROUND(SUMIFS(对接源_01水果!$K$4:$K$1203,对接源_01水果!$C$4:$C$1203,$B36,对接源_01水果!$D$4:$D$1203,"成品出库*"),2))</f>
        <v/>
      </c>
      <c r="D36" s="18" t="str">
        <f>IF($B36="","",ROUND(SUMIFS(对接源_01水果!$K$4:$K$1203,对接源_01水果!$C$4:$C$1203,$B36,对接源_01水果!$D$4:$D$1203,"其他代存*"),2))</f>
        <v/>
      </c>
      <c r="E36" s="18" t="str">
        <f>IF($B36="","",ROUND(SUMIFS(对接源_02物料!$K$4:$K$1203,对接源_02物料!$C$4:$C$1203,$B36,对接源_02物料!$D$4:$D$1203,"包装物料*"),2))</f>
        <v/>
      </c>
      <c r="F36" s="18" t="str">
        <f>IF($B36="","",ROUND(SUMIFS(对接源_02物料!$K$4:$K$1203,对接源_02物料!$C$4:$C$1203,$B36,对接源_02物料!$D$4:$D$1203,"周转筐*"),2))</f>
        <v/>
      </c>
      <c r="G36" s="18" t="str">
        <f>IF($B36="","",ROUND(SUMIFS(对接源_02物料!$K$4:$K$1203,对接源_02物料!$C$4:$C$1203,$B36,对接源_02物料!$D$4:$D$1203,"次果筐*"),2))</f>
        <v/>
      </c>
      <c r="H36" s="18" t="str">
        <f t="shared" si="1"/>
        <v/>
      </c>
      <c r="I36" s="18" t="str">
        <f>IF($B36="","",ROUND(SUMIFS(对接源_01水果!$K$4:$K$1203,对接源_01水果!$C$4:$C$1203,$B36,对接源_01水果!$D$4:$D$1203,"成品出库*",对接源_01水果!$L$4:$L$1203,"已收讫")+SUMIFS(对接源_01水果!$K$4:$K$1203,对接源_01水果!$C$4:$C$1203,$B36,对接源_01水果!$D$4:$D$1203,"成品出库*",对接源_01水果!$L$4:$L$1203,"已付款")+SUMIFS(对接源_01水果!$K$4:$K$1203,对接源_01水果!$C$4:$C$1203,$B36,对接源_01水果!$D$4:$D$1203,"其他代存*",对接源_01水果!$L$4:$L$1203,"已收讫")+SUMIFS(对接源_01水果!$K$4:$K$1203,对接源_01水果!$C$4:$C$1203,$B36,对接源_01水果!$D$4:$D$1203,"其他代存*",对接源_01水果!$L$4:$L$1203,"已付款")+SUMIFS(对接源_02物料!$K$4:$K$1203,对接源_02物料!$C$4:$C$1203,$B36,对接源_02物料!$D$4:$D$1203,"包装物料*",对接源_02物料!$L$4:$L$1203,"已收讫")+SUMIFS(对接源_02物料!$K$4:$K$1203,对接源_02物料!$C$4:$C$1203,$B36,对接源_02物料!$D$4:$D$1203,"包装物料*",对接源_02物料!$L$4:$L$1203,"已付款")+SUMIFS(对接源_02物料!$K$4:$K$1203,对接源_02物料!$C$4:$C$1203,$B36,对接源_02物料!$D$4:$D$1203,"周转筐*",对接源_02物料!$L$4:$L$1203,"已收讫")+SUMIFS(对接源_02物料!$K$4:$K$1203,对接源_02物料!$C$4:$C$1203,$B36,对接源_02物料!$D$4:$D$1203,"周转筐*",对接源_02物料!$L$4:$L$1203,"已付款")+SUMIFS(对接源_02物料!$K$4:$K$1203,对接源_02物料!$C$4:$C$1203,$B36,对接源_02物料!$D$4:$D$1203,"次果筐*",对接源_02物料!$L$4:$L$1203,"已收讫")+SUMIFS(对接源_02物料!$K$4:$K$1203,对接源_02物料!$C$4:$C$1203,$B36,对接源_02物料!$D$4:$D$1203,"次果筐*",对接源_02物料!$L$4:$L$1203,"已付款"),2))</f>
        <v/>
      </c>
      <c r="J36" s="18" t="str">
        <f t="shared" si="2"/>
        <v/>
      </c>
      <c r="K36" s="16" t="str">
        <f t="shared" si="3"/>
        <v/>
      </c>
      <c r="L36" s="26"/>
    </row>
    <row r="37" customHeight="1" spans="1:12">
      <c r="A37" s="16" t="str">
        <f t="shared" si="0"/>
        <v/>
      </c>
      <c r="B37" s="11" t="str">
        <f>IFERROR(INDEX(_自动清单!$E$4:$E$303,ROW()-3),"")</f>
        <v/>
      </c>
      <c r="C37" s="18" t="str">
        <f>IF($B37="","",ROUND(SUMIFS(对接源_01水果!$K$4:$K$1203,对接源_01水果!$C$4:$C$1203,$B37,对接源_01水果!$D$4:$D$1203,"成品出库*"),2))</f>
        <v/>
      </c>
      <c r="D37" s="18" t="str">
        <f>IF($B37="","",ROUND(SUMIFS(对接源_01水果!$K$4:$K$1203,对接源_01水果!$C$4:$C$1203,$B37,对接源_01水果!$D$4:$D$1203,"其他代存*"),2))</f>
        <v/>
      </c>
      <c r="E37" s="18" t="str">
        <f>IF($B37="","",ROUND(SUMIFS(对接源_02物料!$K$4:$K$1203,对接源_02物料!$C$4:$C$1203,$B37,对接源_02物料!$D$4:$D$1203,"包装物料*"),2))</f>
        <v/>
      </c>
      <c r="F37" s="18" t="str">
        <f>IF($B37="","",ROUND(SUMIFS(对接源_02物料!$K$4:$K$1203,对接源_02物料!$C$4:$C$1203,$B37,对接源_02物料!$D$4:$D$1203,"周转筐*"),2))</f>
        <v/>
      </c>
      <c r="G37" s="18" t="str">
        <f>IF($B37="","",ROUND(SUMIFS(对接源_02物料!$K$4:$K$1203,对接源_02物料!$C$4:$C$1203,$B37,对接源_02物料!$D$4:$D$1203,"次果筐*"),2))</f>
        <v/>
      </c>
      <c r="H37" s="18" t="str">
        <f t="shared" si="1"/>
        <v/>
      </c>
      <c r="I37" s="18" t="str">
        <f>IF($B37="","",ROUND(SUMIFS(对接源_01水果!$K$4:$K$1203,对接源_01水果!$C$4:$C$1203,$B37,对接源_01水果!$D$4:$D$1203,"成品出库*",对接源_01水果!$L$4:$L$1203,"已收讫")+SUMIFS(对接源_01水果!$K$4:$K$1203,对接源_01水果!$C$4:$C$1203,$B37,对接源_01水果!$D$4:$D$1203,"成品出库*",对接源_01水果!$L$4:$L$1203,"已付款")+SUMIFS(对接源_01水果!$K$4:$K$1203,对接源_01水果!$C$4:$C$1203,$B37,对接源_01水果!$D$4:$D$1203,"其他代存*",对接源_01水果!$L$4:$L$1203,"已收讫")+SUMIFS(对接源_01水果!$K$4:$K$1203,对接源_01水果!$C$4:$C$1203,$B37,对接源_01水果!$D$4:$D$1203,"其他代存*",对接源_01水果!$L$4:$L$1203,"已付款")+SUMIFS(对接源_02物料!$K$4:$K$1203,对接源_02物料!$C$4:$C$1203,$B37,对接源_02物料!$D$4:$D$1203,"包装物料*",对接源_02物料!$L$4:$L$1203,"已收讫")+SUMIFS(对接源_02物料!$K$4:$K$1203,对接源_02物料!$C$4:$C$1203,$B37,对接源_02物料!$D$4:$D$1203,"包装物料*",对接源_02物料!$L$4:$L$1203,"已付款")+SUMIFS(对接源_02物料!$K$4:$K$1203,对接源_02物料!$C$4:$C$1203,$B37,对接源_02物料!$D$4:$D$1203,"周转筐*",对接源_02物料!$L$4:$L$1203,"已收讫")+SUMIFS(对接源_02物料!$K$4:$K$1203,对接源_02物料!$C$4:$C$1203,$B37,对接源_02物料!$D$4:$D$1203,"周转筐*",对接源_02物料!$L$4:$L$1203,"已付款")+SUMIFS(对接源_02物料!$K$4:$K$1203,对接源_02物料!$C$4:$C$1203,$B37,对接源_02物料!$D$4:$D$1203,"次果筐*",对接源_02物料!$L$4:$L$1203,"已收讫")+SUMIFS(对接源_02物料!$K$4:$K$1203,对接源_02物料!$C$4:$C$1203,$B37,对接源_02物料!$D$4:$D$1203,"次果筐*",对接源_02物料!$L$4:$L$1203,"已付款"),2))</f>
        <v/>
      </c>
      <c r="J37" s="18" t="str">
        <f t="shared" si="2"/>
        <v/>
      </c>
      <c r="K37" s="16" t="str">
        <f t="shared" si="3"/>
        <v/>
      </c>
      <c r="L37" s="26"/>
    </row>
    <row r="38" customHeight="1" spans="1:12">
      <c r="A38" s="16" t="str">
        <f t="shared" si="0"/>
        <v/>
      </c>
      <c r="B38" s="11" t="str">
        <f>IFERROR(INDEX(_自动清单!$E$4:$E$303,ROW()-3),"")</f>
        <v/>
      </c>
      <c r="C38" s="18" t="str">
        <f>IF($B38="","",ROUND(SUMIFS(对接源_01水果!$K$4:$K$1203,对接源_01水果!$C$4:$C$1203,$B38,对接源_01水果!$D$4:$D$1203,"成品出库*"),2))</f>
        <v/>
      </c>
      <c r="D38" s="18" t="str">
        <f>IF($B38="","",ROUND(SUMIFS(对接源_01水果!$K$4:$K$1203,对接源_01水果!$C$4:$C$1203,$B38,对接源_01水果!$D$4:$D$1203,"其他代存*"),2))</f>
        <v/>
      </c>
      <c r="E38" s="18" t="str">
        <f>IF($B38="","",ROUND(SUMIFS(对接源_02物料!$K$4:$K$1203,对接源_02物料!$C$4:$C$1203,$B38,对接源_02物料!$D$4:$D$1203,"包装物料*"),2))</f>
        <v/>
      </c>
      <c r="F38" s="18" t="str">
        <f>IF($B38="","",ROUND(SUMIFS(对接源_02物料!$K$4:$K$1203,对接源_02物料!$C$4:$C$1203,$B38,对接源_02物料!$D$4:$D$1203,"周转筐*"),2))</f>
        <v/>
      </c>
      <c r="G38" s="18" t="str">
        <f>IF($B38="","",ROUND(SUMIFS(对接源_02物料!$K$4:$K$1203,对接源_02物料!$C$4:$C$1203,$B38,对接源_02物料!$D$4:$D$1203,"次果筐*"),2))</f>
        <v/>
      </c>
      <c r="H38" s="18" t="str">
        <f t="shared" si="1"/>
        <v/>
      </c>
      <c r="I38" s="18" t="str">
        <f>IF($B38="","",ROUND(SUMIFS(对接源_01水果!$K$4:$K$1203,对接源_01水果!$C$4:$C$1203,$B38,对接源_01水果!$D$4:$D$1203,"成品出库*",对接源_01水果!$L$4:$L$1203,"已收讫")+SUMIFS(对接源_01水果!$K$4:$K$1203,对接源_01水果!$C$4:$C$1203,$B38,对接源_01水果!$D$4:$D$1203,"成品出库*",对接源_01水果!$L$4:$L$1203,"已付款")+SUMIFS(对接源_01水果!$K$4:$K$1203,对接源_01水果!$C$4:$C$1203,$B38,对接源_01水果!$D$4:$D$1203,"其他代存*",对接源_01水果!$L$4:$L$1203,"已收讫")+SUMIFS(对接源_01水果!$K$4:$K$1203,对接源_01水果!$C$4:$C$1203,$B38,对接源_01水果!$D$4:$D$1203,"其他代存*",对接源_01水果!$L$4:$L$1203,"已付款")+SUMIFS(对接源_02物料!$K$4:$K$1203,对接源_02物料!$C$4:$C$1203,$B38,对接源_02物料!$D$4:$D$1203,"包装物料*",对接源_02物料!$L$4:$L$1203,"已收讫")+SUMIFS(对接源_02物料!$K$4:$K$1203,对接源_02物料!$C$4:$C$1203,$B38,对接源_02物料!$D$4:$D$1203,"包装物料*",对接源_02物料!$L$4:$L$1203,"已付款")+SUMIFS(对接源_02物料!$K$4:$K$1203,对接源_02物料!$C$4:$C$1203,$B38,对接源_02物料!$D$4:$D$1203,"周转筐*",对接源_02物料!$L$4:$L$1203,"已收讫")+SUMIFS(对接源_02物料!$K$4:$K$1203,对接源_02物料!$C$4:$C$1203,$B38,对接源_02物料!$D$4:$D$1203,"周转筐*",对接源_02物料!$L$4:$L$1203,"已付款")+SUMIFS(对接源_02物料!$K$4:$K$1203,对接源_02物料!$C$4:$C$1203,$B38,对接源_02物料!$D$4:$D$1203,"次果筐*",对接源_02物料!$L$4:$L$1203,"已收讫")+SUMIFS(对接源_02物料!$K$4:$K$1203,对接源_02物料!$C$4:$C$1203,$B38,对接源_02物料!$D$4:$D$1203,"次果筐*",对接源_02物料!$L$4:$L$1203,"已付款"),2))</f>
        <v/>
      </c>
      <c r="J38" s="18" t="str">
        <f t="shared" si="2"/>
        <v/>
      </c>
      <c r="K38" s="16" t="str">
        <f t="shared" si="3"/>
        <v/>
      </c>
      <c r="L38" s="26"/>
    </row>
    <row r="39" customHeight="1" spans="1:12">
      <c r="A39" s="16" t="str">
        <f t="shared" si="0"/>
        <v/>
      </c>
      <c r="B39" s="11" t="str">
        <f>IFERROR(INDEX(_自动清单!$E$4:$E$303,ROW()-3),"")</f>
        <v/>
      </c>
      <c r="C39" s="18" t="str">
        <f>IF($B39="","",ROUND(SUMIFS(对接源_01水果!$K$4:$K$1203,对接源_01水果!$C$4:$C$1203,$B39,对接源_01水果!$D$4:$D$1203,"成品出库*"),2))</f>
        <v/>
      </c>
      <c r="D39" s="18" t="str">
        <f>IF($B39="","",ROUND(SUMIFS(对接源_01水果!$K$4:$K$1203,对接源_01水果!$C$4:$C$1203,$B39,对接源_01水果!$D$4:$D$1203,"其他代存*"),2))</f>
        <v/>
      </c>
      <c r="E39" s="18" t="str">
        <f>IF($B39="","",ROUND(SUMIFS(对接源_02物料!$K$4:$K$1203,对接源_02物料!$C$4:$C$1203,$B39,对接源_02物料!$D$4:$D$1203,"包装物料*"),2))</f>
        <v/>
      </c>
      <c r="F39" s="18" t="str">
        <f>IF($B39="","",ROUND(SUMIFS(对接源_02物料!$K$4:$K$1203,对接源_02物料!$C$4:$C$1203,$B39,对接源_02物料!$D$4:$D$1203,"周转筐*"),2))</f>
        <v/>
      </c>
      <c r="G39" s="18" t="str">
        <f>IF($B39="","",ROUND(SUMIFS(对接源_02物料!$K$4:$K$1203,对接源_02物料!$C$4:$C$1203,$B39,对接源_02物料!$D$4:$D$1203,"次果筐*"),2))</f>
        <v/>
      </c>
      <c r="H39" s="18" t="str">
        <f t="shared" si="1"/>
        <v/>
      </c>
      <c r="I39" s="18" t="str">
        <f>IF($B39="","",ROUND(SUMIFS(对接源_01水果!$K$4:$K$1203,对接源_01水果!$C$4:$C$1203,$B39,对接源_01水果!$D$4:$D$1203,"成品出库*",对接源_01水果!$L$4:$L$1203,"已收讫")+SUMIFS(对接源_01水果!$K$4:$K$1203,对接源_01水果!$C$4:$C$1203,$B39,对接源_01水果!$D$4:$D$1203,"成品出库*",对接源_01水果!$L$4:$L$1203,"已付款")+SUMIFS(对接源_01水果!$K$4:$K$1203,对接源_01水果!$C$4:$C$1203,$B39,对接源_01水果!$D$4:$D$1203,"其他代存*",对接源_01水果!$L$4:$L$1203,"已收讫")+SUMIFS(对接源_01水果!$K$4:$K$1203,对接源_01水果!$C$4:$C$1203,$B39,对接源_01水果!$D$4:$D$1203,"其他代存*",对接源_01水果!$L$4:$L$1203,"已付款")+SUMIFS(对接源_02物料!$K$4:$K$1203,对接源_02物料!$C$4:$C$1203,$B39,对接源_02物料!$D$4:$D$1203,"包装物料*",对接源_02物料!$L$4:$L$1203,"已收讫")+SUMIFS(对接源_02物料!$K$4:$K$1203,对接源_02物料!$C$4:$C$1203,$B39,对接源_02物料!$D$4:$D$1203,"包装物料*",对接源_02物料!$L$4:$L$1203,"已付款")+SUMIFS(对接源_02物料!$K$4:$K$1203,对接源_02物料!$C$4:$C$1203,$B39,对接源_02物料!$D$4:$D$1203,"周转筐*",对接源_02物料!$L$4:$L$1203,"已收讫")+SUMIFS(对接源_02物料!$K$4:$K$1203,对接源_02物料!$C$4:$C$1203,$B39,对接源_02物料!$D$4:$D$1203,"周转筐*",对接源_02物料!$L$4:$L$1203,"已付款")+SUMIFS(对接源_02物料!$K$4:$K$1203,对接源_02物料!$C$4:$C$1203,$B39,对接源_02物料!$D$4:$D$1203,"次果筐*",对接源_02物料!$L$4:$L$1203,"已收讫")+SUMIFS(对接源_02物料!$K$4:$K$1203,对接源_02物料!$C$4:$C$1203,$B39,对接源_02物料!$D$4:$D$1203,"次果筐*",对接源_02物料!$L$4:$L$1203,"已付款"),2))</f>
        <v/>
      </c>
      <c r="J39" s="18" t="str">
        <f t="shared" si="2"/>
        <v/>
      </c>
      <c r="K39" s="16" t="str">
        <f t="shared" si="3"/>
        <v/>
      </c>
      <c r="L39" s="26"/>
    </row>
    <row r="40" customHeight="1" spans="1:12">
      <c r="A40" s="16" t="str">
        <f t="shared" si="0"/>
        <v/>
      </c>
      <c r="B40" s="11" t="str">
        <f>IFERROR(INDEX(_自动清单!$E$4:$E$303,ROW()-3),"")</f>
        <v/>
      </c>
      <c r="C40" s="18" t="str">
        <f>IF($B40="","",ROUND(SUMIFS(对接源_01水果!$K$4:$K$1203,对接源_01水果!$C$4:$C$1203,$B40,对接源_01水果!$D$4:$D$1203,"成品出库*"),2))</f>
        <v/>
      </c>
      <c r="D40" s="18" t="str">
        <f>IF($B40="","",ROUND(SUMIFS(对接源_01水果!$K$4:$K$1203,对接源_01水果!$C$4:$C$1203,$B40,对接源_01水果!$D$4:$D$1203,"其他代存*"),2))</f>
        <v/>
      </c>
      <c r="E40" s="18" t="str">
        <f>IF($B40="","",ROUND(SUMIFS(对接源_02物料!$K$4:$K$1203,对接源_02物料!$C$4:$C$1203,$B40,对接源_02物料!$D$4:$D$1203,"包装物料*"),2))</f>
        <v/>
      </c>
      <c r="F40" s="18" t="str">
        <f>IF($B40="","",ROUND(SUMIFS(对接源_02物料!$K$4:$K$1203,对接源_02物料!$C$4:$C$1203,$B40,对接源_02物料!$D$4:$D$1203,"周转筐*"),2))</f>
        <v/>
      </c>
      <c r="G40" s="18" t="str">
        <f>IF($B40="","",ROUND(SUMIFS(对接源_02物料!$K$4:$K$1203,对接源_02物料!$C$4:$C$1203,$B40,对接源_02物料!$D$4:$D$1203,"次果筐*"),2))</f>
        <v/>
      </c>
      <c r="H40" s="18" t="str">
        <f t="shared" si="1"/>
        <v/>
      </c>
      <c r="I40" s="18" t="str">
        <f>IF($B40="","",ROUND(SUMIFS(对接源_01水果!$K$4:$K$1203,对接源_01水果!$C$4:$C$1203,$B40,对接源_01水果!$D$4:$D$1203,"成品出库*",对接源_01水果!$L$4:$L$1203,"已收讫")+SUMIFS(对接源_01水果!$K$4:$K$1203,对接源_01水果!$C$4:$C$1203,$B40,对接源_01水果!$D$4:$D$1203,"成品出库*",对接源_01水果!$L$4:$L$1203,"已付款")+SUMIFS(对接源_01水果!$K$4:$K$1203,对接源_01水果!$C$4:$C$1203,$B40,对接源_01水果!$D$4:$D$1203,"其他代存*",对接源_01水果!$L$4:$L$1203,"已收讫")+SUMIFS(对接源_01水果!$K$4:$K$1203,对接源_01水果!$C$4:$C$1203,$B40,对接源_01水果!$D$4:$D$1203,"其他代存*",对接源_01水果!$L$4:$L$1203,"已付款")+SUMIFS(对接源_02物料!$K$4:$K$1203,对接源_02物料!$C$4:$C$1203,$B40,对接源_02物料!$D$4:$D$1203,"包装物料*",对接源_02物料!$L$4:$L$1203,"已收讫")+SUMIFS(对接源_02物料!$K$4:$K$1203,对接源_02物料!$C$4:$C$1203,$B40,对接源_02物料!$D$4:$D$1203,"包装物料*",对接源_02物料!$L$4:$L$1203,"已付款")+SUMIFS(对接源_02物料!$K$4:$K$1203,对接源_02物料!$C$4:$C$1203,$B40,对接源_02物料!$D$4:$D$1203,"周转筐*",对接源_02物料!$L$4:$L$1203,"已收讫")+SUMIFS(对接源_02物料!$K$4:$K$1203,对接源_02物料!$C$4:$C$1203,$B40,对接源_02物料!$D$4:$D$1203,"周转筐*",对接源_02物料!$L$4:$L$1203,"已付款")+SUMIFS(对接源_02物料!$K$4:$K$1203,对接源_02物料!$C$4:$C$1203,$B40,对接源_02物料!$D$4:$D$1203,"次果筐*",对接源_02物料!$L$4:$L$1203,"已收讫")+SUMIFS(对接源_02物料!$K$4:$K$1203,对接源_02物料!$C$4:$C$1203,$B40,对接源_02物料!$D$4:$D$1203,"次果筐*",对接源_02物料!$L$4:$L$1203,"已付款"),2))</f>
        <v/>
      </c>
      <c r="J40" s="18" t="str">
        <f t="shared" si="2"/>
        <v/>
      </c>
      <c r="K40" s="16" t="str">
        <f t="shared" si="3"/>
        <v/>
      </c>
      <c r="L40" s="26"/>
    </row>
    <row r="41" customHeight="1" spans="1:12">
      <c r="A41" s="16" t="str">
        <f t="shared" si="0"/>
        <v/>
      </c>
      <c r="B41" s="11" t="str">
        <f>IFERROR(INDEX(_自动清单!$E$4:$E$303,ROW()-3),"")</f>
        <v/>
      </c>
      <c r="C41" s="18" t="str">
        <f>IF($B41="","",ROUND(SUMIFS(对接源_01水果!$K$4:$K$1203,对接源_01水果!$C$4:$C$1203,$B41,对接源_01水果!$D$4:$D$1203,"成品出库*"),2))</f>
        <v/>
      </c>
      <c r="D41" s="18" t="str">
        <f>IF($B41="","",ROUND(SUMIFS(对接源_01水果!$K$4:$K$1203,对接源_01水果!$C$4:$C$1203,$B41,对接源_01水果!$D$4:$D$1203,"其他代存*"),2))</f>
        <v/>
      </c>
      <c r="E41" s="18" t="str">
        <f>IF($B41="","",ROUND(SUMIFS(对接源_02物料!$K$4:$K$1203,对接源_02物料!$C$4:$C$1203,$B41,对接源_02物料!$D$4:$D$1203,"包装物料*"),2))</f>
        <v/>
      </c>
      <c r="F41" s="18" t="str">
        <f>IF($B41="","",ROUND(SUMIFS(对接源_02物料!$K$4:$K$1203,对接源_02物料!$C$4:$C$1203,$B41,对接源_02物料!$D$4:$D$1203,"周转筐*"),2))</f>
        <v/>
      </c>
      <c r="G41" s="18" t="str">
        <f>IF($B41="","",ROUND(SUMIFS(对接源_02物料!$K$4:$K$1203,对接源_02物料!$C$4:$C$1203,$B41,对接源_02物料!$D$4:$D$1203,"次果筐*"),2))</f>
        <v/>
      </c>
      <c r="H41" s="18" t="str">
        <f t="shared" si="1"/>
        <v/>
      </c>
      <c r="I41" s="18" t="str">
        <f>IF($B41="","",ROUND(SUMIFS(对接源_01水果!$K$4:$K$1203,对接源_01水果!$C$4:$C$1203,$B41,对接源_01水果!$D$4:$D$1203,"成品出库*",对接源_01水果!$L$4:$L$1203,"已收讫")+SUMIFS(对接源_01水果!$K$4:$K$1203,对接源_01水果!$C$4:$C$1203,$B41,对接源_01水果!$D$4:$D$1203,"成品出库*",对接源_01水果!$L$4:$L$1203,"已付款")+SUMIFS(对接源_01水果!$K$4:$K$1203,对接源_01水果!$C$4:$C$1203,$B41,对接源_01水果!$D$4:$D$1203,"其他代存*",对接源_01水果!$L$4:$L$1203,"已收讫")+SUMIFS(对接源_01水果!$K$4:$K$1203,对接源_01水果!$C$4:$C$1203,$B41,对接源_01水果!$D$4:$D$1203,"其他代存*",对接源_01水果!$L$4:$L$1203,"已付款")+SUMIFS(对接源_02物料!$K$4:$K$1203,对接源_02物料!$C$4:$C$1203,$B41,对接源_02物料!$D$4:$D$1203,"包装物料*",对接源_02物料!$L$4:$L$1203,"已收讫")+SUMIFS(对接源_02物料!$K$4:$K$1203,对接源_02物料!$C$4:$C$1203,$B41,对接源_02物料!$D$4:$D$1203,"包装物料*",对接源_02物料!$L$4:$L$1203,"已付款")+SUMIFS(对接源_02物料!$K$4:$K$1203,对接源_02物料!$C$4:$C$1203,$B41,对接源_02物料!$D$4:$D$1203,"周转筐*",对接源_02物料!$L$4:$L$1203,"已收讫")+SUMIFS(对接源_02物料!$K$4:$K$1203,对接源_02物料!$C$4:$C$1203,$B41,对接源_02物料!$D$4:$D$1203,"周转筐*",对接源_02物料!$L$4:$L$1203,"已付款")+SUMIFS(对接源_02物料!$K$4:$K$1203,对接源_02物料!$C$4:$C$1203,$B41,对接源_02物料!$D$4:$D$1203,"次果筐*",对接源_02物料!$L$4:$L$1203,"已收讫")+SUMIFS(对接源_02物料!$K$4:$K$1203,对接源_02物料!$C$4:$C$1203,$B41,对接源_02物料!$D$4:$D$1203,"次果筐*",对接源_02物料!$L$4:$L$1203,"已付款"),2))</f>
        <v/>
      </c>
      <c r="J41" s="18" t="str">
        <f t="shared" si="2"/>
        <v/>
      </c>
      <c r="K41" s="16" t="str">
        <f t="shared" si="3"/>
        <v/>
      </c>
      <c r="L41" s="26"/>
    </row>
    <row r="42" customHeight="1" spans="1:12">
      <c r="A42" s="16" t="str">
        <f t="shared" si="0"/>
        <v/>
      </c>
      <c r="B42" s="11" t="str">
        <f>IFERROR(INDEX(_自动清单!$E$4:$E$303,ROW()-3),"")</f>
        <v/>
      </c>
      <c r="C42" s="18" t="str">
        <f>IF($B42="","",ROUND(SUMIFS(对接源_01水果!$K$4:$K$1203,对接源_01水果!$C$4:$C$1203,$B42,对接源_01水果!$D$4:$D$1203,"成品出库*"),2))</f>
        <v/>
      </c>
      <c r="D42" s="18" t="str">
        <f>IF($B42="","",ROUND(SUMIFS(对接源_01水果!$K$4:$K$1203,对接源_01水果!$C$4:$C$1203,$B42,对接源_01水果!$D$4:$D$1203,"其他代存*"),2))</f>
        <v/>
      </c>
      <c r="E42" s="18" t="str">
        <f>IF($B42="","",ROUND(SUMIFS(对接源_02物料!$K$4:$K$1203,对接源_02物料!$C$4:$C$1203,$B42,对接源_02物料!$D$4:$D$1203,"包装物料*"),2))</f>
        <v/>
      </c>
      <c r="F42" s="18" t="str">
        <f>IF($B42="","",ROUND(SUMIFS(对接源_02物料!$K$4:$K$1203,对接源_02物料!$C$4:$C$1203,$B42,对接源_02物料!$D$4:$D$1203,"周转筐*"),2))</f>
        <v/>
      </c>
      <c r="G42" s="18" t="str">
        <f>IF($B42="","",ROUND(SUMIFS(对接源_02物料!$K$4:$K$1203,对接源_02物料!$C$4:$C$1203,$B42,对接源_02物料!$D$4:$D$1203,"次果筐*"),2))</f>
        <v/>
      </c>
      <c r="H42" s="18" t="str">
        <f t="shared" si="1"/>
        <v/>
      </c>
      <c r="I42" s="18" t="str">
        <f>IF($B42="","",ROUND(SUMIFS(对接源_01水果!$K$4:$K$1203,对接源_01水果!$C$4:$C$1203,$B42,对接源_01水果!$D$4:$D$1203,"成品出库*",对接源_01水果!$L$4:$L$1203,"已收讫")+SUMIFS(对接源_01水果!$K$4:$K$1203,对接源_01水果!$C$4:$C$1203,$B42,对接源_01水果!$D$4:$D$1203,"成品出库*",对接源_01水果!$L$4:$L$1203,"已付款")+SUMIFS(对接源_01水果!$K$4:$K$1203,对接源_01水果!$C$4:$C$1203,$B42,对接源_01水果!$D$4:$D$1203,"其他代存*",对接源_01水果!$L$4:$L$1203,"已收讫")+SUMIFS(对接源_01水果!$K$4:$K$1203,对接源_01水果!$C$4:$C$1203,$B42,对接源_01水果!$D$4:$D$1203,"其他代存*",对接源_01水果!$L$4:$L$1203,"已付款")+SUMIFS(对接源_02物料!$K$4:$K$1203,对接源_02物料!$C$4:$C$1203,$B42,对接源_02物料!$D$4:$D$1203,"包装物料*",对接源_02物料!$L$4:$L$1203,"已收讫")+SUMIFS(对接源_02物料!$K$4:$K$1203,对接源_02物料!$C$4:$C$1203,$B42,对接源_02物料!$D$4:$D$1203,"包装物料*",对接源_02物料!$L$4:$L$1203,"已付款")+SUMIFS(对接源_02物料!$K$4:$K$1203,对接源_02物料!$C$4:$C$1203,$B42,对接源_02物料!$D$4:$D$1203,"周转筐*",对接源_02物料!$L$4:$L$1203,"已收讫")+SUMIFS(对接源_02物料!$K$4:$K$1203,对接源_02物料!$C$4:$C$1203,$B42,对接源_02物料!$D$4:$D$1203,"周转筐*",对接源_02物料!$L$4:$L$1203,"已付款")+SUMIFS(对接源_02物料!$K$4:$K$1203,对接源_02物料!$C$4:$C$1203,$B42,对接源_02物料!$D$4:$D$1203,"次果筐*",对接源_02物料!$L$4:$L$1203,"已收讫")+SUMIFS(对接源_02物料!$K$4:$K$1203,对接源_02物料!$C$4:$C$1203,$B42,对接源_02物料!$D$4:$D$1203,"次果筐*",对接源_02物料!$L$4:$L$1203,"已付款"),2))</f>
        <v/>
      </c>
      <c r="J42" s="18" t="str">
        <f t="shared" si="2"/>
        <v/>
      </c>
      <c r="K42" s="16" t="str">
        <f t="shared" si="3"/>
        <v/>
      </c>
      <c r="L42" s="26"/>
    </row>
    <row r="43" customHeight="1" spans="1:12">
      <c r="A43" s="16" t="str">
        <f t="shared" si="0"/>
        <v/>
      </c>
      <c r="B43" s="11" t="str">
        <f>IFERROR(INDEX(_自动清单!$E$4:$E$303,ROW()-3),"")</f>
        <v/>
      </c>
      <c r="C43" s="18" t="str">
        <f>IF($B43="","",ROUND(SUMIFS(对接源_01水果!$K$4:$K$1203,对接源_01水果!$C$4:$C$1203,$B43,对接源_01水果!$D$4:$D$1203,"成品出库*"),2))</f>
        <v/>
      </c>
      <c r="D43" s="18" t="str">
        <f>IF($B43="","",ROUND(SUMIFS(对接源_01水果!$K$4:$K$1203,对接源_01水果!$C$4:$C$1203,$B43,对接源_01水果!$D$4:$D$1203,"其他代存*"),2))</f>
        <v/>
      </c>
      <c r="E43" s="18" t="str">
        <f>IF($B43="","",ROUND(SUMIFS(对接源_02物料!$K$4:$K$1203,对接源_02物料!$C$4:$C$1203,$B43,对接源_02物料!$D$4:$D$1203,"包装物料*"),2))</f>
        <v/>
      </c>
      <c r="F43" s="18" t="str">
        <f>IF($B43="","",ROUND(SUMIFS(对接源_02物料!$K$4:$K$1203,对接源_02物料!$C$4:$C$1203,$B43,对接源_02物料!$D$4:$D$1203,"周转筐*"),2))</f>
        <v/>
      </c>
      <c r="G43" s="18" t="str">
        <f>IF($B43="","",ROUND(SUMIFS(对接源_02物料!$K$4:$K$1203,对接源_02物料!$C$4:$C$1203,$B43,对接源_02物料!$D$4:$D$1203,"次果筐*"),2))</f>
        <v/>
      </c>
      <c r="H43" s="18" t="str">
        <f t="shared" si="1"/>
        <v/>
      </c>
      <c r="I43" s="18" t="str">
        <f>IF($B43="","",ROUND(SUMIFS(对接源_01水果!$K$4:$K$1203,对接源_01水果!$C$4:$C$1203,$B43,对接源_01水果!$D$4:$D$1203,"成品出库*",对接源_01水果!$L$4:$L$1203,"已收讫")+SUMIFS(对接源_01水果!$K$4:$K$1203,对接源_01水果!$C$4:$C$1203,$B43,对接源_01水果!$D$4:$D$1203,"成品出库*",对接源_01水果!$L$4:$L$1203,"已付款")+SUMIFS(对接源_01水果!$K$4:$K$1203,对接源_01水果!$C$4:$C$1203,$B43,对接源_01水果!$D$4:$D$1203,"其他代存*",对接源_01水果!$L$4:$L$1203,"已收讫")+SUMIFS(对接源_01水果!$K$4:$K$1203,对接源_01水果!$C$4:$C$1203,$B43,对接源_01水果!$D$4:$D$1203,"其他代存*",对接源_01水果!$L$4:$L$1203,"已付款")+SUMIFS(对接源_02物料!$K$4:$K$1203,对接源_02物料!$C$4:$C$1203,$B43,对接源_02物料!$D$4:$D$1203,"包装物料*",对接源_02物料!$L$4:$L$1203,"已收讫")+SUMIFS(对接源_02物料!$K$4:$K$1203,对接源_02物料!$C$4:$C$1203,$B43,对接源_02物料!$D$4:$D$1203,"包装物料*",对接源_02物料!$L$4:$L$1203,"已付款")+SUMIFS(对接源_02物料!$K$4:$K$1203,对接源_02物料!$C$4:$C$1203,$B43,对接源_02物料!$D$4:$D$1203,"周转筐*",对接源_02物料!$L$4:$L$1203,"已收讫")+SUMIFS(对接源_02物料!$K$4:$K$1203,对接源_02物料!$C$4:$C$1203,$B43,对接源_02物料!$D$4:$D$1203,"周转筐*",对接源_02物料!$L$4:$L$1203,"已付款")+SUMIFS(对接源_02物料!$K$4:$K$1203,对接源_02物料!$C$4:$C$1203,$B43,对接源_02物料!$D$4:$D$1203,"次果筐*",对接源_02物料!$L$4:$L$1203,"已收讫")+SUMIFS(对接源_02物料!$K$4:$K$1203,对接源_02物料!$C$4:$C$1203,$B43,对接源_02物料!$D$4:$D$1203,"次果筐*",对接源_02物料!$L$4:$L$1203,"已付款"),2))</f>
        <v/>
      </c>
      <c r="J43" s="18" t="str">
        <f t="shared" si="2"/>
        <v/>
      </c>
      <c r="K43" s="16" t="str">
        <f t="shared" si="3"/>
        <v/>
      </c>
      <c r="L43" s="26"/>
    </row>
    <row r="44" customHeight="1" spans="1:12">
      <c r="A44" s="16" t="str">
        <f t="shared" si="0"/>
        <v/>
      </c>
      <c r="B44" s="11" t="str">
        <f>IFERROR(INDEX(_自动清单!$E$4:$E$303,ROW()-3),"")</f>
        <v/>
      </c>
      <c r="C44" s="18" t="str">
        <f>IF($B44="","",ROUND(SUMIFS(对接源_01水果!$K$4:$K$1203,对接源_01水果!$C$4:$C$1203,$B44,对接源_01水果!$D$4:$D$1203,"成品出库*"),2))</f>
        <v/>
      </c>
      <c r="D44" s="18" t="str">
        <f>IF($B44="","",ROUND(SUMIFS(对接源_01水果!$K$4:$K$1203,对接源_01水果!$C$4:$C$1203,$B44,对接源_01水果!$D$4:$D$1203,"其他代存*"),2))</f>
        <v/>
      </c>
      <c r="E44" s="18" t="str">
        <f>IF($B44="","",ROUND(SUMIFS(对接源_02物料!$K$4:$K$1203,对接源_02物料!$C$4:$C$1203,$B44,对接源_02物料!$D$4:$D$1203,"包装物料*"),2))</f>
        <v/>
      </c>
      <c r="F44" s="18" t="str">
        <f>IF($B44="","",ROUND(SUMIFS(对接源_02物料!$K$4:$K$1203,对接源_02物料!$C$4:$C$1203,$B44,对接源_02物料!$D$4:$D$1203,"周转筐*"),2))</f>
        <v/>
      </c>
      <c r="G44" s="18" t="str">
        <f>IF($B44="","",ROUND(SUMIFS(对接源_02物料!$K$4:$K$1203,对接源_02物料!$C$4:$C$1203,$B44,对接源_02物料!$D$4:$D$1203,"次果筐*"),2))</f>
        <v/>
      </c>
      <c r="H44" s="18" t="str">
        <f t="shared" si="1"/>
        <v/>
      </c>
      <c r="I44" s="18" t="str">
        <f>IF($B44="","",ROUND(SUMIFS(对接源_01水果!$K$4:$K$1203,对接源_01水果!$C$4:$C$1203,$B44,对接源_01水果!$D$4:$D$1203,"成品出库*",对接源_01水果!$L$4:$L$1203,"已收讫")+SUMIFS(对接源_01水果!$K$4:$K$1203,对接源_01水果!$C$4:$C$1203,$B44,对接源_01水果!$D$4:$D$1203,"成品出库*",对接源_01水果!$L$4:$L$1203,"已付款")+SUMIFS(对接源_01水果!$K$4:$K$1203,对接源_01水果!$C$4:$C$1203,$B44,对接源_01水果!$D$4:$D$1203,"其他代存*",对接源_01水果!$L$4:$L$1203,"已收讫")+SUMIFS(对接源_01水果!$K$4:$K$1203,对接源_01水果!$C$4:$C$1203,$B44,对接源_01水果!$D$4:$D$1203,"其他代存*",对接源_01水果!$L$4:$L$1203,"已付款")+SUMIFS(对接源_02物料!$K$4:$K$1203,对接源_02物料!$C$4:$C$1203,$B44,对接源_02物料!$D$4:$D$1203,"包装物料*",对接源_02物料!$L$4:$L$1203,"已收讫")+SUMIFS(对接源_02物料!$K$4:$K$1203,对接源_02物料!$C$4:$C$1203,$B44,对接源_02物料!$D$4:$D$1203,"包装物料*",对接源_02物料!$L$4:$L$1203,"已付款")+SUMIFS(对接源_02物料!$K$4:$K$1203,对接源_02物料!$C$4:$C$1203,$B44,对接源_02物料!$D$4:$D$1203,"周转筐*",对接源_02物料!$L$4:$L$1203,"已收讫")+SUMIFS(对接源_02物料!$K$4:$K$1203,对接源_02物料!$C$4:$C$1203,$B44,对接源_02物料!$D$4:$D$1203,"周转筐*",对接源_02物料!$L$4:$L$1203,"已付款")+SUMIFS(对接源_02物料!$K$4:$K$1203,对接源_02物料!$C$4:$C$1203,$B44,对接源_02物料!$D$4:$D$1203,"次果筐*",对接源_02物料!$L$4:$L$1203,"已收讫")+SUMIFS(对接源_02物料!$K$4:$K$1203,对接源_02物料!$C$4:$C$1203,$B44,对接源_02物料!$D$4:$D$1203,"次果筐*",对接源_02物料!$L$4:$L$1203,"已付款"),2))</f>
        <v/>
      </c>
      <c r="J44" s="18" t="str">
        <f t="shared" si="2"/>
        <v/>
      </c>
      <c r="K44" s="16" t="str">
        <f t="shared" si="3"/>
        <v/>
      </c>
      <c r="L44" s="26"/>
    </row>
    <row r="45" customHeight="1" spans="1:12">
      <c r="A45" s="16" t="str">
        <f t="shared" si="0"/>
        <v/>
      </c>
      <c r="B45" s="11" t="str">
        <f>IFERROR(INDEX(_自动清单!$E$4:$E$303,ROW()-3),"")</f>
        <v/>
      </c>
      <c r="C45" s="18" t="str">
        <f>IF($B45="","",ROUND(SUMIFS(对接源_01水果!$K$4:$K$1203,对接源_01水果!$C$4:$C$1203,$B45,对接源_01水果!$D$4:$D$1203,"成品出库*"),2))</f>
        <v/>
      </c>
      <c r="D45" s="18" t="str">
        <f>IF($B45="","",ROUND(SUMIFS(对接源_01水果!$K$4:$K$1203,对接源_01水果!$C$4:$C$1203,$B45,对接源_01水果!$D$4:$D$1203,"其他代存*"),2))</f>
        <v/>
      </c>
      <c r="E45" s="18" t="str">
        <f>IF($B45="","",ROUND(SUMIFS(对接源_02物料!$K$4:$K$1203,对接源_02物料!$C$4:$C$1203,$B45,对接源_02物料!$D$4:$D$1203,"包装物料*"),2))</f>
        <v/>
      </c>
      <c r="F45" s="18" t="str">
        <f>IF($B45="","",ROUND(SUMIFS(对接源_02物料!$K$4:$K$1203,对接源_02物料!$C$4:$C$1203,$B45,对接源_02物料!$D$4:$D$1203,"周转筐*"),2))</f>
        <v/>
      </c>
      <c r="G45" s="18" t="str">
        <f>IF($B45="","",ROUND(SUMIFS(对接源_02物料!$K$4:$K$1203,对接源_02物料!$C$4:$C$1203,$B45,对接源_02物料!$D$4:$D$1203,"次果筐*"),2))</f>
        <v/>
      </c>
      <c r="H45" s="18" t="str">
        <f t="shared" si="1"/>
        <v/>
      </c>
      <c r="I45" s="18" t="str">
        <f>IF($B45="","",ROUND(SUMIFS(对接源_01水果!$K$4:$K$1203,对接源_01水果!$C$4:$C$1203,$B45,对接源_01水果!$D$4:$D$1203,"成品出库*",对接源_01水果!$L$4:$L$1203,"已收讫")+SUMIFS(对接源_01水果!$K$4:$K$1203,对接源_01水果!$C$4:$C$1203,$B45,对接源_01水果!$D$4:$D$1203,"成品出库*",对接源_01水果!$L$4:$L$1203,"已付款")+SUMIFS(对接源_01水果!$K$4:$K$1203,对接源_01水果!$C$4:$C$1203,$B45,对接源_01水果!$D$4:$D$1203,"其他代存*",对接源_01水果!$L$4:$L$1203,"已收讫")+SUMIFS(对接源_01水果!$K$4:$K$1203,对接源_01水果!$C$4:$C$1203,$B45,对接源_01水果!$D$4:$D$1203,"其他代存*",对接源_01水果!$L$4:$L$1203,"已付款")+SUMIFS(对接源_02物料!$K$4:$K$1203,对接源_02物料!$C$4:$C$1203,$B45,对接源_02物料!$D$4:$D$1203,"包装物料*",对接源_02物料!$L$4:$L$1203,"已收讫")+SUMIFS(对接源_02物料!$K$4:$K$1203,对接源_02物料!$C$4:$C$1203,$B45,对接源_02物料!$D$4:$D$1203,"包装物料*",对接源_02物料!$L$4:$L$1203,"已付款")+SUMIFS(对接源_02物料!$K$4:$K$1203,对接源_02物料!$C$4:$C$1203,$B45,对接源_02物料!$D$4:$D$1203,"周转筐*",对接源_02物料!$L$4:$L$1203,"已收讫")+SUMIFS(对接源_02物料!$K$4:$K$1203,对接源_02物料!$C$4:$C$1203,$B45,对接源_02物料!$D$4:$D$1203,"周转筐*",对接源_02物料!$L$4:$L$1203,"已付款")+SUMIFS(对接源_02物料!$K$4:$K$1203,对接源_02物料!$C$4:$C$1203,$B45,对接源_02物料!$D$4:$D$1203,"次果筐*",对接源_02物料!$L$4:$L$1203,"已收讫")+SUMIFS(对接源_02物料!$K$4:$K$1203,对接源_02物料!$C$4:$C$1203,$B45,对接源_02物料!$D$4:$D$1203,"次果筐*",对接源_02物料!$L$4:$L$1203,"已付款"),2))</f>
        <v/>
      </c>
      <c r="J45" s="18" t="str">
        <f t="shared" si="2"/>
        <v/>
      </c>
      <c r="K45" s="16" t="str">
        <f t="shared" si="3"/>
        <v/>
      </c>
      <c r="L45" s="26"/>
    </row>
    <row r="46" customHeight="1" spans="1:12">
      <c r="A46" s="16" t="str">
        <f t="shared" si="0"/>
        <v/>
      </c>
      <c r="B46" s="11" t="str">
        <f>IFERROR(INDEX(_自动清单!$E$4:$E$303,ROW()-3),"")</f>
        <v/>
      </c>
      <c r="C46" s="18" t="str">
        <f>IF($B46="","",ROUND(SUMIFS(对接源_01水果!$K$4:$K$1203,对接源_01水果!$C$4:$C$1203,$B46,对接源_01水果!$D$4:$D$1203,"成品出库*"),2))</f>
        <v/>
      </c>
      <c r="D46" s="18" t="str">
        <f>IF($B46="","",ROUND(SUMIFS(对接源_01水果!$K$4:$K$1203,对接源_01水果!$C$4:$C$1203,$B46,对接源_01水果!$D$4:$D$1203,"其他代存*"),2))</f>
        <v/>
      </c>
      <c r="E46" s="18" t="str">
        <f>IF($B46="","",ROUND(SUMIFS(对接源_02物料!$K$4:$K$1203,对接源_02物料!$C$4:$C$1203,$B46,对接源_02物料!$D$4:$D$1203,"包装物料*"),2))</f>
        <v/>
      </c>
      <c r="F46" s="18" t="str">
        <f>IF($B46="","",ROUND(SUMIFS(对接源_02物料!$K$4:$K$1203,对接源_02物料!$C$4:$C$1203,$B46,对接源_02物料!$D$4:$D$1203,"周转筐*"),2))</f>
        <v/>
      </c>
      <c r="G46" s="18" t="str">
        <f>IF($B46="","",ROUND(SUMIFS(对接源_02物料!$K$4:$K$1203,对接源_02物料!$C$4:$C$1203,$B46,对接源_02物料!$D$4:$D$1203,"次果筐*"),2))</f>
        <v/>
      </c>
      <c r="H46" s="18" t="str">
        <f t="shared" si="1"/>
        <v/>
      </c>
      <c r="I46" s="18" t="str">
        <f>IF($B46="","",ROUND(SUMIFS(对接源_01水果!$K$4:$K$1203,对接源_01水果!$C$4:$C$1203,$B46,对接源_01水果!$D$4:$D$1203,"成品出库*",对接源_01水果!$L$4:$L$1203,"已收讫")+SUMIFS(对接源_01水果!$K$4:$K$1203,对接源_01水果!$C$4:$C$1203,$B46,对接源_01水果!$D$4:$D$1203,"成品出库*",对接源_01水果!$L$4:$L$1203,"已付款")+SUMIFS(对接源_01水果!$K$4:$K$1203,对接源_01水果!$C$4:$C$1203,$B46,对接源_01水果!$D$4:$D$1203,"其他代存*",对接源_01水果!$L$4:$L$1203,"已收讫")+SUMIFS(对接源_01水果!$K$4:$K$1203,对接源_01水果!$C$4:$C$1203,$B46,对接源_01水果!$D$4:$D$1203,"其他代存*",对接源_01水果!$L$4:$L$1203,"已付款")+SUMIFS(对接源_02物料!$K$4:$K$1203,对接源_02物料!$C$4:$C$1203,$B46,对接源_02物料!$D$4:$D$1203,"包装物料*",对接源_02物料!$L$4:$L$1203,"已收讫")+SUMIFS(对接源_02物料!$K$4:$K$1203,对接源_02物料!$C$4:$C$1203,$B46,对接源_02物料!$D$4:$D$1203,"包装物料*",对接源_02物料!$L$4:$L$1203,"已付款")+SUMIFS(对接源_02物料!$K$4:$K$1203,对接源_02物料!$C$4:$C$1203,$B46,对接源_02物料!$D$4:$D$1203,"周转筐*",对接源_02物料!$L$4:$L$1203,"已收讫")+SUMIFS(对接源_02物料!$K$4:$K$1203,对接源_02物料!$C$4:$C$1203,$B46,对接源_02物料!$D$4:$D$1203,"周转筐*",对接源_02物料!$L$4:$L$1203,"已付款")+SUMIFS(对接源_02物料!$K$4:$K$1203,对接源_02物料!$C$4:$C$1203,$B46,对接源_02物料!$D$4:$D$1203,"次果筐*",对接源_02物料!$L$4:$L$1203,"已收讫")+SUMIFS(对接源_02物料!$K$4:$K$1203,对接源_02物料!$C$4:$C$1203,$B46,对接源_02物料!$D$4:$D$1203,"次果筐*",对接源_02物料!$L$4:$L$1203,"已付款"),2))</f>
        <v/>
      </c>
      <c r="J46" s="18" t="str">
        <f t="shared" si="2"/>
        <v/>
      </c>
      <c r="K46" s="16" t="str">
        <f t="shared" si="3"/>
        <v/>
      </c>
      <c r="L46" s="26"/>
    </row>
    <row r="47" customHeight="1" spans="1:12">
      <c r="A47" s="16" t="str">
        <f t="shared" si="0"/>
        <v/>
      </c>
      <c r="B47" s="11" t="str">
        <f>IFERROR(INDEX(_自动清单!$E$4:$E$303,ROW()-3),"")</f>
        <v/>
      </c>
      <c r="C47" s="18" t="str">
        <f>IF($B47="","",ROUND(SUMIFS(对接源_01水果!$K$4:$K$1203,对接源_01水果!$C$4:$C$1203,$B47,对接源_01水果!$D$4:$D$1203,"成品出库*"),2))</f>
        <v/>
      </c>
      <c r="D47" s="18" t="str">
        <f>IF($B47="","",ROUND(SUMIFS(对接源_01水果!$K$4:$K$1203,对接源_01水果!$C$4:$C$1203,$B47,对接源_01水果!$D$4:$D$1203,"其他代存*"),2))</f>
        <v/>
      </c>
      <c r="E47" s="18" t="str">
        <f>IF($B47="","",ROUND(SUMIFS(对接源_02物料!$K$4:$K$1203,对接源_02物料!$C$4:$C$1203,$B47,对接源_02物料!$D$4:$D$1203,"包装物料*"),2))</f>
        <v/>
      </c>
      <c r="F47" s="18" t="str">
        <f>IF($B47="","",ROUND(SUMIFS(对接源_02物料!$K$4:$K$1203,对接源_02物料!$C$4:$C$1203,$B47,对接源_02物料!$D$4:$D$1203,"周转筐*"),2))</f>
        <v/>
      </c>
      <c r="G47" s="18" t="str">
        <f>IF($B47="","",ROUND(SUMIFS(对接源_02物料!$K$4:$K$1203,对接源_02物料!$C$4:$C$1203,$B47,对接源_02物料!$D$4:$D$1203,"次果筐*"),2))</f>
        <v/>
      </c>
      <c r="H47" s="18" t="str">
        <f t="shared" si="1"/>
        <v/>
      </c>
      <c r="I47" s="18" t="str">
        <f>IF($B47="","",ROUND(SUMIFS(对接源_01水果!$K$4:$K$1203,对接源_01水果!$C$4:$C$1203,$B47,对接源_01水果!$D$4:$D$1203,"成品出库*",对接源_01水果!$L$4:$L$1203,"已收讫")+SUMIFS(对接源_01水果!$K$4:$K$1203,对接源_01水果!$C$4:$C$1203,$B47,对接源_01水果!$D$4:$D$1203,"成品出库*",对接源_01水果!$L$4:$L$1203,"已付款")+SUMIFS(对接源_01水果!$K$4:$K$1203,对接源_01水果!$C$4:$C$1203,$B47,对接源_01水果!$D$4:$D$1203,"其他代存*",对接源_01水果!$L$4:$L$1203,"已收讫")+SUMIFS(对接源_01水果!$K$4:$K$1203,对接源_01水果!$C$4:$C$1203,$B47,对接源_01水果!$D$4:$D$1203,"其他代存*",对接源_01水果!$L$4:$L$1203,"已付款")+SUMIFS(对接源_02物料!$K$4:$K$1203,对接源_02物料!$C$4:$C$1203,$B47,对接源_02物料!$D$4:$D$1203,"包装物料*",对接源_02物料!$L$4:$L$1203,"已收讫")+SUMIFS(对接源_02物料!$K$4:$K$1203,对接源_02物料!$C$4:$C$1203,$B47,对接源_02物料!$D$4:$D$1203,"包装物料*",对接源_02物料!$L$4:$L$1203,"已付款")+SUMIFS(对接源_02物料!$K$4:$K$1203,对接源_02物料!$C$4:$C$1203,$B47,对接源_02物料!$D$4:$D$1203,"周转筐*",对接源_02物料!$L$4:$L$1203,"已收讫")+SUMIFS(对接源_02物料!$K$4:$K$1203,对接源_02物料!$C$4:$C$1203,$B47,对接源_02物料!$D$4:$D$1203,"周转筐*",对接源_02物料!$L$4:$L$1203,"已付款")+SUMIFS(对接源_02物料!$K$4:$K$1203,对接源_02物料!$C$4:$C$1203,$B47,对接源_02物料!$D$4:$D$1203,"次果筐*",对接源_02物料!$L$4:$L$1203,"已收讫")+SUMIFS(对接源_02物料!$K$4:$K$1203,对接源_02物料!$C$4:$C$1203,$B47,对接源_02物料!$D$4:$D$1203,"次果筐*",对接源_02物料!$L$4:$L$1203,"已付款"),2))</f>
        <v/>
      </c>
      <c r="J47" s="18" t="str">
        <f t="shared" si="2"/>
        <v/>
      </c>
      <c r="K47" s="16" t="str">
        <f t="shared" si="3"/>
        <v/>
      </c>
      <c r="L47" s="26"/>
    </row>
    <row r="48" customHeight="1" spans="1:12">
      <c r="A48" s="16" t="str">
        <f t="shared" si="0"/>
        <v/>
      </c>
      <c r="B48" s="11" t="str">
        <f>IFERROR(INDEX(_自动清单!$E$4:$E$303,ROW()-3),"")</f>
        <v/>
      </c>
      <c r="C48" s="18" t="str">
        <f>IF($B48="","",ROUND(SUMIFS(对接源_01水果!$K$4:$K$1203,对接源_01水果!$C$4:$C$1203,$B48,对接源_01水果!$D$4:$D$1203,"成品出库*"),2))</f>
        <v/>
      </c>
      <c r="D48" s="18" t="str">
        <f>IF($B48="","",ROUND(SUMIFS(对接源_01水果!$K$4:$K$1203,对接源_01水果!$C$4:$C$1203,$B48,对接源_01水果!$D$4:$D$1203,"其他代存*"),2))</f>
        <v/>
      </c>
      <c r="E48" s="18" t="str">
        <f>IF($B48="","",ROUND(SUMIFS(对接源_02物料!$K$4:$K$1203,对接源_02物料!$C$4:$C$1203,$B48,对接源_02物料!$D$4:$D$1203,"包装物料*"),2))</f>
        <v/>
      </c>
      <c r="F48" s="18" t="str">
        <f>IF($B48="","",ROUND(SUMIFS(对接源_02物料!$K$4:$K$1203,对接源_02物料!$C$4:$C$1203,$B48,对接源_02物料!$D$4:$D$1203,"周转筐*"),2))</f>
        <v/>
      </c>
      <c r="G48" s="18" t="str">
        <f>IF($B48="","",ROUND(SUMIFS(对接源_02物料!$K$4:$K$1203,对接源_02物料!$C$4:$C$1203,$B48,对接源_02物料!$D$4:$D$1203,"次果筐*"),2))</f>
        <v/>
      </c>
      <c r="H48" s="18" t="str">
        <f t="shared" si="1"/>
        <v/>
      </c>
      <c r="I48" s="18" t="str">
        <f>IF($B48="","",ROUND(SUMIFS(对接源_01水果!$K$4:$K$1203,对接源_01水果!$C$4:$C$1203,$B48,对接源_01水果!$D$4:$D$1203,"成品出库*",对接源_01水果!$L$4:$L$1203,"已收讫")+SUMIFS(对接源_01水果!$K$4:$K$1203,对接源_01水果!$C$4:$C$1203,$B48,对接源_01水果!$D$4:$D$1203,"成品出库*",对接源_01水果!$L$4:$L$1203,"已付款")+SUMIFS(对接源_01水果!$K$4:$K$1203,对接源_01水果!$C$4:$C$1203,$B48,对接源_01水果!$D$4:$D$1203,"其他代存*",对接源_01水果!$L$4:$L$1203,"已收讫")+SUMIFS(对接源_01水果!$K$4:$K$1203,对接源_01水果!$C$4:$C$1203,$B48,对接源_01水果!$D$4:$D$1203,"其他代存*",对接源_01水果!$L$4:$L$1203,"已付款")+SUMIFS(对接源_02物料!$K$4:$K$1203,对接源_02物料!$C$4:$C$1203,$B48,对接源_02物料!$D$4:$D$1203,"包装物料*",对接源_02物料!$L$4:$L$1203,"已收讫")+SUMIFS(对接源_02物料!$K$4:$K$1203,对接源_02物料!$C$4:$C$1203,$B48,对接源_02物料!$D$4:$D$1203,"包装物料*",对接源_02物料!$L$4:$L$1203,"已付款")+SUMIFS(对接源_02物料!$K$4:$K$1203,对接源_02物料!$C$4:$C$1203,$B48,对接源_02物料!$D$4:$D$1203,"周转筐*",对接源_02物料!$L$4:$L$1203,"已收讫")+SUMIFS(对接源_02物料!$K$4:$K$1203,对接源_02物料!$C$4:$C$1203,$B48,对接源_02物料!$D$4:$D$1203,"周转筐*",对接源_02物料!$L$4:$L$1203,"已付款")+SUMIFS(对接源_02物料!$K$4:$K$1203,对接源_02物料!$C$4:$C$1203,$B48,对接源_02物料!$D$4:$D$1203,"次果筐*",对接源_02物料!$L$4:$L$1203,"已收讫")+SUMIFS(对接源_02物料!$K$4:$K$1203,对接源_02物料!$C$4:$C$1203,$B48,对接源_02物料!$D$4:$D$1203,"次果筐*",对接源_02物料!$L$4:$L$1203,"已付款"),2))</f>
        <v/>
      </c>
      <c r="J48" s="18" t="str">
        <f t="shared" si="2"/>
        <v/>
      </c>
      <c r="K48" s="16" t="str">
        <f t="shared" si="3"/>
        <v/>
      </c>
      <c r="L48" s="26"/>
    </row>
    <row r="49" customHeight="1" spans="1:12">
      <c r="A49" s="16" t="str">
        <f t="shared" si="0"/>
        <v/>
      </c>
      <c r="B49" s="11" t="str">
        <f>IFERROR(INDEX(_自动清单!$E$4:$E$303,ROW()-3),"")</f>
        <v/>
      </c>
      <c r="C49" s="18" t="str">
        <f>IF($B49="","",ROUND(SUMIFS(对接源_01水果!$K$4:$K$1203,对接源_01水果!$C$4:$C$1203,$B49,对接源_01水果!$D$4:$D$1203,"成品出库*"),2))</f>
        <v/>
      </c>
      <c r="D49" s="18" t="str">
        <f>IF($B49="","",ROUND(SUMIFS(对接源_01水果!$K$4:$K$1203,对接源_01水果!$C$4:$C$1203,$B49,对接源_01水果!$D$4:$D$1203,"其他代存*"),2))</f>
        <v/>
      </c>
      <c r="E49" s="18" t="str">
        <f>IF($B49="","",ROUND(SUMIFS(对接源_02物料!$K$4:$K$1203,对接源_02物料!$C$4:$C$1203,$B49,对接源_02物料!$D$4:$D$1203,"包装物料*"),2))</f>
        <v/>
      </c>
      <c r="F49" s="18" t="str">
        <f>IF($B49="","",ROUND(SUMIFS(对接源_02物料!$K$4:$K$1203,对接源_02物料!$C$4:$C$1203,$B49,对接源_02物料!$D$4:$D$1203,"周转筐*"),2))</f>
        <v/>
      </c>
      <c r="G49" s="18" t="str">
        <f>IF($B49="","",ROUND(SUMIFS(对接源_02物料!$K$4:$K$1203,对接源_02物料!$C$4:$C$1203,$B49,对接源_02物料!$D$4:$D$1203,"次果筐*"),2))</f>
        <v/>
      </c>
      <c r="H49" s="18" t="str">
        <f t="shared" si="1"/>
        <v/>
      </c>
      <c r="I49" s="18" t="str">
        <f>IF($B49="","",ROUND(SUMIFS(对接源_01水果!$K$4:$K$1203,对接源_01水果!$C$4:$C$1203,$B49,对接源_01水果!$D$4:$D$1203,"成品出库*",对接源_01水果!$L$4:$L$1203,"已收讫")+SUMIFS(对接源_01水果!$K$4:$K$1203,对接源_01水果!$C$4:$C$1203,$B49,对接源_01水果!$D$4:$D$1203,"成品出库*",对接源_01水果!$L$4:$L$1203,"已付款")+SUMIFS(对接源_01水果!$K$4:$K$1203,对接源_01水果!$C$4:$C$1203,$B49,对接源_01水果!$D$4:$D$1203,"其他代存*",对接源_01水果!$L$4:$L$1203,"已收讫")+SUMIFS(对接源_01水果!$K$4:$K$1203,对接源_01水果!$C$4:$C$1203,$B49,对接源_01水果!$D$4:$D$1203,"其他代存*",对接源_01水果!$L$4:$L$1203,"已付款")+SUMIFS(对接源_02物料!$K$4:$K$1203,对接源_02物料!$C$4:$C$1203,$B49,对接源_02物料!$D$4:$D$1203,"包装物料*",对接源_02物料!$L$4:$L$1203,"已收讫")+SUMIFS(对接源_02物料!$K$4:$K$1203,对接源_02物料!$C$4:$C$1203,$B49,对接源_02物料!$D$4:$D$1203,"包装物料*",对接源_02物料!$L$4:$L$1203,"已付款")+SUMIFS(对接源_02物料!$K$4:$K$1203,对接源_02物料!$C$4:$C$1203,$B49,对接源_02物料!$D$4:$D$1203,"周转筐*",对接源_02物料!$L$4:$L$1203,"已收讫")+SUMIFS(对接源_02物料!$K$4:$K$1203,对接源_02物料!$C$4:$C$1203,$B49,对接源_02物料!$D$4:$D$1203,"周转筐*",对接源_02物料!$L$4:$L$1203,"已付款")+SUMIFS(对接源_02物料!$K$4:$K$1203,对接源_02物料!$C$4:$C$1203,$B49,对接源_02物料!$D$4:$D$1203,"次果筐*",对接源_02物料!$L$4:$L$1203,"已收讫")+SUMIFS(对接源_02物料!$K$4:$K$1203,对接源_02物料!$C$4:$C$1203,$B49,对接源_02物料!$D$4:$D$1203,"次果筐*",对接源_02物料!$L$4:$L$1203,"已付款"),2))</f>
        <v/>
      </c>
      <c r="J49" s="18" t="str">
        <f t="shared" si="2"/>
        <v/>
      </c>
      <c r="K49" s="16" t="str">
        <f t="shared" si="3"/>
        <v/>
      </c>
      <c r="L49" s="26"/>
    </row>
    <row r="50" customHeight="1" spans="1:12">
      <c r="A50" s="16" t="str">
        <f t="shared" si="0"/>
        <v/>
      </c>
      <c r="B50" s="11" t="str">
        <f>IFERROR(INDEX(_自动清单!$E$4:$E$303,ROW()-3),"")</f>
        <v/>
      </c>
      <c r="C50" s="18" t="str">
        <f>IF($B50="","",ROUND(SUMIFS(对接源_01水果!$K$4:$K$1203,对接源_01水果!$C$4:$C$1203,$B50,对接源_01水果!$D$4:$D$1203,"成品出库*"),2))</f>
        <v/>
      </c>
      <c r="D50" s="18" t="str">
        <f>IF($B50="","",ROUND(SUMIFS(对接源_01水果!$K$4:$K$1203,对接源_01水果!$C$4:$C$1203,$B50,对接源_01水果!$D$4:$D$1203,"其他代存*"),2))</f>
        <v/>
      </c>
      <c r="E50" s="18" t="str">
        <f>IF($B50="","",ROUND(SUMIFS(对接源_02物料!$K$4:$K$1203,对接源_02物料!$C$4:$C$1203,$B50,对接源_02物料!$D$4:$D$1203,"包装物料*"),2))</f>
        <v/>
      </c>
      <c r="F50" s="18" t="str">
        <f>IF($B50="","",ROUND(SUMIFS(对接源_02物料!$K$4:$K$1203,对接源_02物料!$C$4:$C$1203,$B50,对接源_02物料!$D$4:$D$1203,"周转筐*"),2))</f>
        <v/>
      </c>
      <c r="G50" s="18" t="str">
        <f>IF($B50="","",ROUND(SUMIFS(对接源_02物料!$K$4:$K$1203,对接源_02物料!$C$4:$C$1203,$B50,对接源_02物料!$D$4:$D$1203,"次果筐*"),2))</f>
        <v/>
      </c>
      <c r="H50" s="18" t="str">
        <f t="shared" si="1"/>
        <v/>
      </c>
      <c r="I50" s="18" t="str">
        <f>IF($B50="","",ROUND(SUMIFS(对接源_01水果!$K$4:$K$1203,对接源_01水果!$C$4:$C$1203,$B50,对接源_01水果!$D$4:$D$1203,"成品出库*",对接源_01水果!$L$4:$L$1203,"已收讫")+SUMIFS(对接源_01水果!$K$4:$K$1203,对接源_01水果!$C$4:$C$1203,$B50,对接源_01水果!$D$4:$D$1203,"成品出库*",对接源_01水果!$L$4:$L$1203,"已付款")+SUMIFS(对接源_01水果!$K$4:$K$1203,对接源_01水果!$C$4:$C$1203,$B50,对接源_01水果!$D$4:$D$1203,"其他代存*",对接源_01水果!$L$4:$L$1203,"已收讫")+SUMIFS(对接源_01水果!$K$4:$K$1203,对接源_01水果!$C$4:$C$1203,$B50,对接源_01水果!$D$4:$D$1203,"其他代存*",对接源_01水果!$L$4:$L$1203,"已付款")+SUMIFS(对接源_02物料!$K$4:$K$1203,对接源_02物料!$C$4:$C$1203,$B50,对接源_02物料!$D$4:$D$1203,"包装物料*",对接源_02物料!$L$4:$L$1203,"已收讫")+SUMIFS(对接源_02物料!$K$4:$K$1203,对接源_02物料!$C$4:$C$1203,$B50,对接源_02物料!$D$4:$D$1203,"包装物料*",对接源_02物料!$L$4:$L$1203,"已付款")+SUMIFS(对接源_02物料!$K$4:$K$1203,对接源_02物料!$C$4:$C$1203,$B50,对接源_02物料!$D$4:$D$1203,"周转筐*",对接源_02物料!$L$4:$L$1203,"已收讫")+SUMIFS(对接源_02物料!$K$4:$K$1203,对接源_02物料!$C$4:$C$1203,$B50,对接源_02物料!$D$4:$D$1203,"周转筐*",对接源_02物料!$L$4:$L$1203,"已付款")+SUMIFS(对接源_02物料!$K$4:$K$1203,对接源_02物料!$C$4:$C$1203,$B50,对接源_02物料!$D$4:$D$1203,"次果筐*",对接源_02物料!$L$4:$L$1203,"已收讫")+SUMIFS(对接源_02物料!$K$4:$K$1203,对接源_02物料!$C$4:$C$1203,$B50,对接源_02物料!$D$4:$D$1203,"次果筐*",对接源_02物料!$L$4:$L$1203,"已付款"),2))</f>
        <v/>
      </c>
      <c r="J50" s="18" t="str">
        <f t="shared" si="2"/>
        <v/>
      </c>
      <c r="K50" s="16" t="str">
        <f t="shared" si="3"/>
        <v/>
      </c>
      <c r="L50" s="26"/>
    </row>
    <row r="51" customHeight="1" spans="1:12">
      <c r="A51" s="16" t="str">
        <f t="shared" si="0"/>
        <v/>
      </c>
      <c r="B51" s="11" t="str">
        <f>IFERROR(INDEX(_自动清单!$E$4:$E$303,ROW()-3),"")</f>
        <v/>
      </c>
      <c r="C51" s="18" t="str">
        <f>IF($B51="","",ROUND(SUMIFS(对接源_01水果!$K$4:$K$1203,对接源_01水果!$C$4:$C$1203,$B51,对接源_01水果!$D$4:$D$1203,"成品出库*"),2))</f>
        <v/>
      </c>
      <c r="D51" s="18" t="str">
        <f>IF($B51="","",ROUND(SUMIFS(对接源_01水果!$K$4:$K$1203,对接源_01水果!$C$4:$C$1203,$B51,对接源_01水果!$D$4:$D$1203,"其他代存*"),2))</f>
        <v/>
      </c>
      <c r="E51" s="18" t="str">
        <f>IF($B51="","",ROUND(SUMIFS(对接源_02物料!$K$4:$K$1203,对接源_02物料!$C$4:$C$1203,$B51,对接源_02物料!$D$4:$D$1203,"包装物料*"),2))</f>
        <v/>
      </c>
      <c r="F51" s="18" t="str">
        <f>IF($B51="","",ROUND(SUMIFS(对接源_02物料!$K$4:$K$1203,对接源_02物料!$C$4:$C$1203,$B51,对接源_02物料!$D$4:$D$1203,"周转筐*"),2))</f>
        <v/>
      </c>
      <c r="G51" s="18" t="str">
        <f>IF($B51="","",ROUND(SUMIFS(对接源_02物料!$K$4:$K$1203,对接源_02物料!$C$4:$C$1203,$B51,对接源_02物料!$D$4:$D$1203,"次果筐*"),2))</f>
        <v/>
      </c>
      <c r="H51" s="18" t="str">
        <f t="shared" si="1"/>
        <v/>
      </c>
      <c r="I51" s="18" t="str">
        <f>IF($B51="","",ROUND(SUMIFS(对接源_01水果!$K$4:$K$1203,对接源_01水果!$C$4:$C$1203,$B51,对接源_01水果!$D$4:$D$1203,"成品出库*",对接源_01水果!$L$4:$L$1203,"已收讫")+SUMIFS(对接源_01水果!$K$4:$K$1203,对接源_01水果!$C$4:$C$1203,$B51,对接源_01水果!$D$4:$D$1203,"成品出库*",对接源_01水果!$L$4:$L$1203,"已付款")+SUMIFS(对接源_01水果!$K$4:$K$1203,对接源_01水果!$C$4:$C$1203,$B51,对接源_01水果!$D$4:$D$1203,"其他代存*",对接源_01水果!$L$4:$L$1203,"已收讫")+SUMIFS(对接源_01水果!$K$4:$K$1203,对接源_01水果!$C$4:$C$1203,$B51,对接源_01水果!$D$4:$D$1203,"其他代存*",对接源_01水果!$L$4:$L$1203,"已付款")+SUMIFS(对接源_02物料!$K$4:$K$1203,对接源_02物料!$C$4:$C$1203,$B51,对接源_02物料!$D$4:$D$1203,"包装物料*",对接源_02物料!$L$4:$L$1203,"已收讫")+SUMIFS(对接源_02物料!$K$4:$K$1203,对接源_02物料!$C$4:$C$1203,$B51,对接源_02物料!$D$4:$D$1203,"包装物料*",对接源_02物料!$L$4:$L$1203,"已付款")+SUMIFS(对接源_02物料!$K$4:$K$1203,对接源_02物料!$C$4:$C$1203,$B51,对接源_02物料!$D$4:$D$1203,"周转筐*",对接源_02物料!$L$4:$L$1203,"已收讫")+SUMIFS(对接源_02物料!$K$4:$K$1203,对接源_02物料!$C$4:$C$1203,$B51,对接源_02物料!$D$4:$D$1203,"周转筐*",对接源_02物料!$L$4:$L$1203,"已付款")+SUMIFS(对接源_02物料!$K$4:$K$1203,对接源_02物料!$C$4:$C$1203,$B51,对接源_02物料!$D$4:$D$1203,"次果筐*",对接源_02物料!$L$4:$L$1203,"已收讫")+SUMIFS(对接源_02物料!$K$4:$K$1203,对接源_02物料!$C$4:$C$1203,$B51,对接源_02物料!$D$4:$D$1203,"次果筐*",对接源_02物料!$L$4:$L$1203,"已付款"),2))</f>
        <v/>
      </c>
      <c r="J51" s="18" t="str">
        <f t="shared" si="2"/>
        <v/>
      </c>
      <c r="K51" s="16" t="str">
        <f t="shared" si="3"/>
        <v/>
      </c>
      <c r="L51" s="26"/>
    </row>
    <row r="52" customHeight="1" spans="1:12">
      <c r="A52" s="16" t="str">
        <f t="shared" si="0"/>
        <v/>
      </c>
      <c r="B52" s="11" t="str">
        <f>IFERROR(INDEX(_自动清单!$E$4:$E$303,ROW()-3),"")</f>
        <v/>
      </c>
      <c r="C52" s="18" t="str">
        <f>IF($B52="","",ROUND(SUMIFS(对接源_01水果!$K$4:$K$1203,对接源_01水果!$C$4:$C$1203,$B52,对接源_01水果!$D$4:$D$1203,"成品出库*"),2))</f>
        <v/>
      </c>
      <c r="D52" s="18" t="str">
        <f>IF($B52="","",ROUND(SUMIFS(对接源_01水果!$K$4:$K$1203,对接源_01水果!$C$4:$C$1203,$B52,对接源_01水果!$D$4:$D$1203,"其他代存*"),2))</f>
        <v/>
      </c>
      <c r="E52" s="18" t="str">
        <f>IF($B52="","",ROUND(SUMIFS(对接源_02物料!$K$4:$K$1203,对接源_02物料!$C$4:$C$1203,$B52,对接源_02物料!$D$4:$D$1203,"包装物料*"),2))</f>
        <v/>
      </c>
      <c r="F52" s="18" t="str">
        <f>IF($B52="","",ROUND(SUMIFS(对接源_02物料!$K$4:$K$1203,对接源_02物料!$C$4:$C$1203,$B52,对接源_02物料!$D$4:$D$1203,"周转筐*"),2))</f>
        <v/>
      </c>
      <c r="G52" s="18" t="str">
        <f>IF($B52="","",ROUND(SUMIFS(对接源_02物料!$K$4:$K$1203,对接源_02物料!$C$4:$C$1203,$B52,对接源_02物料!$D$4:$D$1203,"次果筐*"),2))</f>
        <v/>
      </c>
      <c r="H52" s="18" t="str">
        <f t="shared" si="1"/>
        <v/>
      </c>
      <c r="I52" s="18" t="str">
        <f>IF($B52="","",ROUND(SUMIFS(对接源_01水果!$K$4:$K$1203,对接源_01水果!$C$4:$C$1203,$B52,对接源_01水果!$D$4:$D$1203,"成品出库*",对接源_01水果!$L$4:$L$1203,"已收讫")+SUMIFS(对接源_01水果!$K$4:$K$1203,对接源_01水果!$C$4:$C$1203,$B52,对接源_01水果!$D$4:$D$1203,"成品出库*",对接源_01水果!$L$4:$L$1203,"已付款")+SUMIFS(对接源_01水果!$K$4:$K$1203,对接源_01水果!$C$4:$C$1203,$B52,对接源_01水果!$D$4:$D$1203,"其他代存*",对接源_01水果!$L$4:$L$1203,"已收讫")+SUMIFS(对接源_01水果!$K$4:$K$1203,对接源_01水果!$C$4:$C$1203,$B52,对接源_01水果!$D$4:$D$1203,"其他代存*",对接源_01水果!$L$4:$L$1203,"已付款")+SUMIFS(对接源_02物料!$K$4:$K$1203,对接源_02物料!$C$4:$C$1203,$B52,对接源_02物料!$D$4:$D$1203,"包装物料*",对接源_02物料!$L$4:$L$1203,"已收讫")+SUMIFS(对接源_02物料!$K$4:$K$1203,对接源_02物料!$C$4:$C$1203,$B52,对接源_02物料!$D$4:$D$1203,"包装物料*",对接源_02物料!$L$4:$L$1203,"已付款")+SUMIFS(对接源_02物料!$K$4:$K$1203,对接源_02物料!$C$4:$C$1203,$B52,对接源_02物料!$D$4:$D$1203,"周转筐*",对接源_02物料!$L$4:$L$1203,"已收讫")+SUMIFS(对接源_02物料!$K$4:$K$1203,对接源_02物料!$C$4:$C$1203,$B52,对接源_02物料!$D$4:$D$1203,"周转筐*",对接源_02物料!$L$4:$L$1203,"已付款")+SUMIFS(对接源_02物料!$K$4:$K$1203,对接源_02物料!$C$4:$C$1203,$B52,对接源_02物料!$D$4:$D$1203,"次果筐*",对接源_02物料!$L$4:$L$1203,"已收讫")+SUMIFS(对接源_02物料!$K$4:$K$1203,对接源_02物料!$C$4:$C$1203,$B52,对接源_02物料!$D$4:$D$1203,"次果筐*",对接源_02物料!$L$4:$L$1203,"已付款"),2))</f>
        <v/>
      </c>
      <c r="J52" s="18" t="str">
        <f t="shared" si="2"/>
        <v/>
      </c>
      <c r="K52" s="16" t="str">
        <f t="shared" si="3"/>
        <v/>
      </c>
      <c r="L52" s="26"/>
    </row>
    <row r="53" customHeight="1" spans="1:12">
      <c r="A53" s="16" t="str">
        <f t="shared" si="0"/>
        <v/>
      </c>
      <c r="B53" s="11" t="str">
        <f>IFERROR(INDEX(_自动清单!$E$4:$E$303,ROW()-3),"")</f>
        <v/>
      </c>
      <c r="C53" s="18" t="str">
        <f>IF($B53="","",ROUND(SUMIFS(对接源_01水果!$K$4:$K$1203,对接源_01水果!$C$4:$C$1203,$B53,对接源_01水果!$D$4:$D$1203,"成品出库*"),2))</f>
        <v/>
      </c>
      <c r="D53" s="18" t="str">
        <f>IF($B53="","",ROUND(SUMIFS(对接源_01水果!$K$4:$K$1203,对接源_01水果!$C$4:$C$1203,$B53,对接源_01水果!$D$4:$D$1203,"其他代存*"),2))</f>
        <v/>
      </c>
      <c r="E53" s="18" t="str">
        <f>IF($B53="","",ROUND(SUMIFS(对接源_02物料!$K$4:$K$1203,对接源_02物料!$C$4:$C$1203,$B53,对接源_02物料!$D$4:$D$1203,"包装物料*"),2))</f>
        <v/>
      </c>
      <c r="F53" s="18" t="str">
        <f>IF($B53="","",ROUND(SUMIFS(对接源_02物料!$K$4:$K$1203,对接源_02物料!$C$4:$C$1203,$B53,对接源_02物料!$D$4:$D$1203,"周转筐*"),2))</f>
        <v/>
      </c>
      <c r="G53" s="18" t="str">
        <f>IF($B53="","",ROUND(SUMIFS(对接源_02物料!$K$4:$K$1203,对接源_02物料!$C$4:$C$1203,$B53,对接源_02物料!$D$4:$D$1203,"次果筐*"),2))</f>
        <v/>
      </c>
      <c r="H53" s="18" t="str">
        <f t="shared" si="1"/>
        <v/>
      </c>
      <c r="I53" s="18" t="str">
        <f>IF($B53="","",ROUND(SUMIFS(对接源_01水果!$K$4:$K$1203,对接源_01水果!$C$4:$C$1203,$B53,对接源_01水果!$D$4:$D$1203,"成品出库*",对接源_01水果!$L$4:$L$1203,"已收讫")+SUMIFS(对接源_01水果!$K$4:$K$1203,对接源_01水果!$C$4:$C$1203,$B53,对接源_01水果!$D$4:$D$1203,"成品出库*",对接源_01水果!$L$4:$L$1203,"已付款")+SUMIFS(对接源_01水果!$K$4:$K$1203,对接源_01水果!$C$4:$C$1203,$B53,对接源_01水果!$D$4:$D$1203,"其他代存*",对接源_01水果!$L$4:$L$1203,"已收讫")+SUMIFS(对接源_01水果!$K$4:$K$1203,对接源_01水果!$C$4:$C$1203,$B53,对接源_01水果!$D$4:$D$1203,"其他代存*",对接源_01水果!$L$4:$L$1203,"已付款")+SUMIFS(对接源_02物料!$K$4:$K$1203,对接源_02物料!$C$4:$C$1203,$B53,对接源_02物料!$D$4:$D$1203,"包装物料*",对接源_02物料!$L$4:$L$1203,"已收讫")+SUMIFS(对接源_02物料!$K$4:$K$1203,对接源_02物料!$C$4:$C$1203,$B53,对接源_02物料!$D$4:$D$1203,"包装物料*",对接源_02物料!$L$4:$L$1203,"已付款")+SUMIFS(对接源_02物料!$K$4:$K$1203,对接源_02物料!$C$4:$C$1203,$B53,对接源_02物料!$D$4:$D$1203,"周转筐*",对接源_02物料!$L$4:$L$1203,"已收讫")+SUMIFS(对接源_02物料!$K$4:$K$1203,对接源_02物料!$C$4:$C$1203,$B53,对接源_02物料!$D$4:$D$1203,"周转筐*",对接源_02物料!$L$4:$L$1203,"已付款")+SUMIFS(对接源_02物料!$K$4:$K$1203,对接源_02物料!$C$4:$C$1203,$B53,对接源_02物料!$D$4:$D$1203,"次果筐*",对接源_02物料!$L$4:$L$1203,"已收讫")+SUMIFS(对接源_02物料!$K$4:$K$1203,对接源_02物料!$C$4:$C$1203,$B53,对接源_02物料!$D$4:$D$1203,"次果筐*",对接源_02物料!$L$4:$L$1203,"已付款"),2))</f>
        <v/>
      </c>
      <c r="J53" s="18" t="str">
        <f t="shared" si="2"/>
        <v/>
      </c>
      <c r="K53" s="16" t="str">
        <f t="shared" si="3"/>
        <v/>
      </c>
      <c r="L53" s="26"/>
    </row>
    <row r="54" customHeight="1" spans="1:12">
      <c r="A54" s="16" t="str">
        <f t="shared" si="0"/>
        <v/>
      </c>
      <c r="B54" s="11" t="str">
        <f>IFERROR(INDEX(_自动清单!$E$4:$E$303,ROW()-3),"")</f>
        <v/>
      </c>
      <c r="C54" s="18" t="str">
        <f>IF($B54="","",ROUND(SUMIFS(对接源_01水果!$K$4:$K$1203,对接源_01水果!$C$4:$C$1203,$B54,对接源_01水果!$D$4:$D$1203,"成品出库*"),2))</f>
        <v/>
      </c>
      <c r="D54" s="18" t="str">
        <f>IF($B54="","",ROUND(SUMIFS(对接源_01水果!$K$4:$K$1203,对接源_01水果!$C$4:$C$1203,$B54,对接源_01水果!$D$4:$D$1203,"其他代存*"),2))</f>
        <v/>
      </c>
      <c r="E54" s="18" t="str">
        <f>IF($B54="","",ROUND(SUMIFS(对接源_02物料!$K$4:$K$1203,对接源_02物料!$C$4:$C$1203,$B54,对接源_02物料!$D$4:$D$1203,"包装物料*"),2))</f>
        <v/>
      </c>
      <c r="F54" s="18" t="str">
        <f>IF($B54="","",ROUND(SUMIFS(对接源_02物料!$K$4:$K$1203,对接源_02物料!$C$4:$C$1203,$B54,对接源_02物料!$D$4:$D$1203,"周转筐*"),2))</f>
        <v/>
      </c>
      <c r="G54" s="18" t="str">
        <f>IF($B54="","",ROUND(SUMIFS(对接源_02物料!$K$4:$K$1203,对接源_02物料!$C$4:$C$1203,$B54,对接源_02物料!$D$4:$D$1203,"次果筐*"),2))</f>
        <v/>
      </c>
      <c r="H54" s="18" t="str">
        <f t="shared" si="1"/>
        <v/>
      </c>
      <c r="I54" s="18" t="str">
        <f>IF($B54="","",ROUND(SUMIFS(对接源_01水果!$K$4:$K$1203,对接源_01水果!$C$4:$C$1203,$B54,对接源_01水果!$D$4:$D$1203,"成品出库*",对接源_01水果!$L$4:$L$1203,"已收讫")+SUMIFS(对接源_01水果!$K$4:$K$1203,对接源_01水果!$C$4:$C$1203,$B54,对接源_01水果!$D$4:$D$1203,"成品出库*",对接源_01水果!$L$4:$L$1203,"已付款")+SUMIFS(对接源_01水果!$K$4:$K$1203,对接源_01水果!$C$4:$C$1203,$B54,对接源_01水果!$D$4:$D$1203,"其他代存*",对接源_01水果!$L$4:$L$1203,"已收讫")+SUMIFS(对接源_01水果!$K$4:$K$1203,对接源_01水果!$C$4:$C$1203,$B54,对接源_01水果!$D$4:$D$1203,"其他代存*",对接源_01水果!$L$4:$L$1203,"已付款")+SUMIFS(对接源_02物料!$K$4:$K$1203,对接源_02物料!$C$4:$C$1203,$B54,对接源_02物料!$D$4:$D$1203,"包装物料*",对接源_02物料!$L$4:$L$1203,"已收讫")+SUMIFS(对接源_02物料!$K$4:$K$1203,对接源_02物料!$C$4:$C$1203,$B54,对接源_02物料!$D$4:$D$1203,"包装物料*",对接源_02物料!$L$4:$L$1203,"已付款")+SUMIFS(对接源_02物料!$K$4:$K$1203,对接源_02物料!$C$4:$C$1203,$B54,对接源_02物料!$D$4:$D$1203,"周转筐*",对接源_02物料!$L$4:$L$1203,"已收讫")+SUMIFS(对接源_02物料!$K$4:$K$1203,对接源_02物料!$C$4:$C$1203,$B54,对接源_02物料!$D$4:$D$1203,"周转筐*",对接源_02物料!$L$4:$L$1203,"已付款")+SUMIFS(对接源_02物料!$K$4:$K$1203,对接源_02物料!$C$4:$C$1203,$B54,对接源_02物料!$D$4:$D$1203,"次果筐*",对接源_02物料!$L$4:$L$1203,"已收讫")+SUMIFS(对接源_02物料!$K$4:$K$1203,对接源_02物料!$C$4:$C$1203,$B54,对接源_02物料!$D$4:$D$1203,"次果筐*",对接源_02物料!$L$4:$L$1203,"已付款"),2))</f>
        <v/>
      </c>
      <c r="J54" s="18" t="str">
        <f t="shared" si="2"/>
        <v/>
      </c>
      <c r="K54" s="16" t="str">
        <f t="shared" si="3"/>
        <v/>
      </c>
      <c r="L54" s="26"/>
    </row>
    <row r="55" customHeight="1" spans="1:12">
      <c r="A55" s="16" t="str">
        <f t="shared" si="0"/>
        <v/>
      </c>
      <c r="B55" s="11" t="str">
        <f>IFERROR(INDEX(_自动清单!$E$4:$E$303,ROW()-3),"")</f>
        <v/>
      </c>
      <c r="C55" s="18" t="str">
        <f>IF($B55="","",ROUND(SUMIFS(对接源_01水果!$K$4:$K$1203,对接源_01水果!$C$4:$C$1203,$B55,对接源_01水果!$D$4:$D$1203,"成品出库*"),2))</f>
        <v/>
      </c>
      <c r="D55" s="18" t="str">
        <f>IF($B55="","",ROUND(SUMIFS(对接源_01水果!$K$4:$K$1203,对接源_01水果!$C$4:$C$1203,$B55,对接源_01水果!$D$4:$D$1203,"其他代存*"),2))</f>
        <v/>
      </c>
      <c r="E55" s="18" t="str">
        <f>IF($B55="","",ROUND(SUMIFS(对接源_02物料!$K$4:$K$1203,对接源_02物料!$C$4:$C$1203,$B55,对接源_02物料!$D$4:$D$1203,"包装物料*"),2))</f>
        <v/>
      </c>
      <c r="F55" s="18" t="str">
        <f>IF($B55="","",ROUND(SUMIFS(对接源_02物料!$K$4:$K$1203,对接源_02物料!$C$4:$C$1203,$B55,对接源_02物料!$D$4:$D$1203,"周转筐*"),2))</f>
        <v/>
      </c>
      <c r="G55" s="18" t="str">
        <f>IF($B55="","",ROUND(SUMIFS(对接源_02物料!$K$4:$K$1203,对接源_02物料!$C$4:$C$1203,$B55,对接源_02物料!$D$4:$D$1203,"次果筐*"),2))</f>
        <v/>
      </c>
      <c r="H55" s="18" t="str">
        <f t="shared" si="1"/>
        <v/>
      </c>
      <c r="I55" s="18" t="str">
        <f>IF($B55="","",ROUND(SUMIFS(对接源_01水果!$K$4:$K$1203,对接源_01水果!$C$4:$C$1203,$B55,对接源_01水果!$D$4:$D$1203,"成品出库*",对接源_01水果!$L$4:$L$1203,"已收讫")+SUMIFS(对接源_01水果!$K$4:$K$1203,对接源_01水果!$C$4:$C$1203,$B55,对接源_01水果!$D$4:$D$1203,"成品出库*",对接源_01水果!$L$4:$L$1203,"已付款")+SUMIFS(对接源_01水果!$K$4:$K$1203,对接源_01水果!$C$4:$C$1203,$B55,对接源_01水果!$D$4:$D$1203,"其他代存*",对接源_01水果!$L$4:$L$1203,"已收讫")+SUMIFS(对接源_01水果!$K$4:$K$1203,对接源_01水果!$C$4:$C$1203,$B55,对接源_01水果!$D$4:$D$1203,"其他代存*",对接源_01水果!$L$4:$L$1203,"已付款")+SUMIFS(对接源_02物料!$K$4:$K$1203,对接源_02物料!$C$4:$C$1203,$B55,对接源_02物料!$D$4:$D$1203,"包装物料*",对接源_02物料!$L$4:$L$1203,"已收讫")+SUMIFS(对接源_02物料!$K$4:$K$1203,对接源_02物料!$C$4:$C$1203,$B55,对接源_02物料!$D$4:$D$1203,"包装物料*",对接源_02物料!$L$4:$L$1203,"已付款")+SUMIFS(对接源_02物料!$K$4:$K$1203,对接源_02物料!$C$4:$C$1203,$B55,对接源_02物料!$D$4:$D$1203,"周转筐*",对接源_02物料!$L$4:$L$1203,"已收讫")+SUMIFS(对接源_02物料!$K$4:$K$1203,对接源_02物料!$C$4:$C$1203,$B55,对接源_02物料!$D$4:$D$1203,"周转筐*",对接源_02物料!$L$4:$L$1203,"已付款")+SUMIFS(对接源_02物料!$K$4:$K$1203,对接源_02物料!$C$4:$C$1203,$B55,对接源_02物料!$D$4:$D$1203,"次果筐*",对接源_02物料!$L$4:$L$1203,"已收讫")+SUMIFS(对接源_02物料!$K$4:$K$1203,对接源_02物料!$C$4:$C$1203,$B55,对接源_02物料!$D$4:$D$1203,"次果筐*",对接源_02物料!$L$4:$L$1203,"已付款"),2))</f>
        <v/>
      </c>
      <c r="J55" s="18" t="str">
        <f t="shared" si="2"/>
        <v/>
      </c>
      <c r="K55" s="16" t="str">
        <f t="shared" si="3"/>
        <v/>
      </c>
      <c r="L55" s="26"/>
    </row>
    <row r="56" customHeight="1" spans="1:12">
      <c r="A56" s="16" t="str">
        <f t="shared" si="0"/>
        <v/>
      </c>
      <c r="B56" s="11" t="str">
        <f>IFERROR(INDEX(_自动清单!$E$4:$E$303,ROW()-3),"")</f>
        <v/>
      </c>
      <c r="C56" s="18" t="str">
        <f>IF($B56="","",ROUND(SUMIFS(对接源_01水果!$K$4:$K$1203,对接源_01水果!$C$4:$C$1203,$B56,对接源_01水果!$D$4:$D$1203,"成品出库*"),2))</f>
        <v/>
      </c>
      <c r="D56" s="18" t="str">
        <f>IF($B56="","",ROUND(SUMIFS(对接源_01水果!$K$4:$K$1203,对接源_01水果!$C$4:$C$1203,$B56,对接源_01水果!$D$4:$D$1203,"其他代存*"),2))</f>
        <v/>
      </c>
      <c r="E56" s="18" t="str">
        <f>IF($B56="","",ROUND(SUMIFS(对接源_02物料!$K$4:$K$1203,对接源_02物料!$C$4:$C$1203,$B56,对接源_02物料!$D$4:$D$1203,"包装物料*"),2))</f>
        <v/>
      </c>
      <c r="F56" s="18" t="str">
        <f>IF($B56="","",ROUND(SUMIFS(对接源_02物料!$K$4:$K$1203,对接源_02物料!$C$4:$C$1203,$B56,对接源_02物料!$D$4:$D$1203,"周转筐*"),2))</f>
        <v/>
      </c>
      <c r="G56" s="18" t="str">
        <f>IF($B56="","",ROUND(SUMIFS(对接源_02物料!$K$4:$K$1203,对接源_02物料!$C$4:$C$1203,$B56,对接源_02物料!$D$4:$D$1203,"次果筐*"),2))</f>
        <v/>
      </c>
      <c r="H56" s="18" t="str">
        <f t="shared" si="1"/>
        <v/>
      </c>
      <c r="I56" s="18" t="str">
        <f>IF($B56="","",ROUND(SUMIFS(对接源_01水果!$K$4:$K$1203,对接源_01水果!$C$4:$C$1203,$B56,对接源_01水果!$D$4:$D$1203,"成品出库*",对接源_01水果!$L$4:$L$1203,"已收讫")+SUMIFS(对接源_01水果!$K$4:$K$1203,对接源_01水果!$C$4:$C$1203,$B56,对接源_01水果!$D$4:$D$1203,"成品出库*",对接源_01水果!$L$4:$L$1203,"已付款")+SUMIFS(对接源_01水果!$K$4:$K$1203,对接源_01水果!$C$4:$C$1203,$B56,对接源_01水果!$D$4:$D$1203,"其他代存*",对接源_01水果!$L$4:$L$1203,"已收讫")+SUMIFS(对接源_01水果!$K$4:$K$1203,对接源_01水果!$C$4:$C$1203,$B56,对接源_01水果!$D$4:$D$1203,"其他代存*",对接源_01水果!$L$4:$L$1203,"已付款")+SUMIFS(对接源_02物料!$K$4:$K$1203,对接源_02物料!$C$4:$C$1203,$B56,对接源_02物料!$D$4:$D$1203,"包装物料*",对接源_02物料!$L$4:$L$1203,"已收讫")+SUMIFS(对接源_02物料!$K$4:$K$1203,对接源_02物料!$C$4:$C$1203,$B56,对接源_02物料!$D$4:$D$1203,"包装物料*",对接源_02物料!$L$4:$L$1203,"已付款")+SUMIFS(对接源_02物料!$K$4:$K$1203,对接源_02物料!$C$4:$C$1203,$B56,对接源_02物料!$D$4:$D$1203,"周转筐*",对接源_02物料!$L$4:$L$1203,"已收讫")+SUMIFS(对接源_02物料!$K$4:$K$1203,对接源_02物料!$C$4:$C$1203,$B56,对接源_02物料!$D$4:$D$1203,"周转筐*",对接源_02物料!$L$4:$L$1203,"已付款")+SUMIFS(对接源_02物料!$K$4:$K$1203,对接源_02物料!$C$4:$C$1203,$B56,对接源_02物料!$D$4:$D$1203,"次果筐*",对接源_02物料!$L$4:$L$1203,"已收讫")+SUMIFS(对接源_02物料!$K$4:$K$1203,对接源_02物料!$C$4:$C$1203,$B56,对接源_02物料!$D$4:$D$1203,"次果筐*",对接源_02物料!$L$4:$L$1203,"已付款"),2))</f>
        <v/>
      </c>
      <c r="J56" s="18" t="str">
        <f t="shared" si="2"/>
        <v/>
      </c>
      <c r="K56" s="16" t="str">
        <f t="shared" si="3"/>
        <v/>
      </c>
      <c r="L56" s="26"/>
    </row>
    <row r="57" customHeight="1" spans="1:12">
      <c r="A57" s="16" t="str">
        <f t="shared" si="0"/>
        <v/>
      </c>
      <c r="B57" s="11" t="str">
        <f>IFERROR(INDEX(_自动清单!$E$4:$E$303,ROW()-3),"")</f>
        <v/>
      </c>
      <c r="C57" s="18" t="str">
        <f>IF($B57="","",ROUND(SUMIFS(对接源_01水果!$K$4:$K$1203,对接源_01水果!$C$4:$C$1203,$B57,对接源_01水果!$D$4:$D$1203,"成品出库*"),2))</f>
        <v/>
      </c>
      <c r="D57" s="18" t="str">
        <f>IF($B57="","",ROUND(SUMIFS(对接源_01水果!$K$4:$K$1203,对接源_01水果!$C$4:$C$1203,$B57,对接源_01水果!$D$4:$D$1203,"其他代存*"),2))</f>
        <v/>
      </c>
      <c r="E57" s="18" t="str">
        <f>IF($B57="","",ROUND(SUMIFS(对接源_02物料!$K$4:$K$1203,对接源_02物料!$C$4:$C$1203,$B57,对接源_02物料!$D$4:$D$1203,"包装物料*"),2))</f>
        <v/>
      </c>
      <c r="F57" s="18" t="str">
        <f>IF($B57="","",ROUND(SUMIFS(对接源_02物料!$K$4:$K$1203,对接源_02物料!$C$4:$C$1203,$B57,对接源_02物料!$D$4:$D$1203,"周转筐*"),2))</f>
        <v/>
      </c>
      <c r="G57" s="18" t="str">
        <f>IF($B57="","",ROUND(SUMIFS(对接源_02物料!$K$4:$K$1203,对接源_02物料!$C$4:$C$1203,$B57,对接源_02物料!$D$4:$D$1203,"次果筐*"),2))</f>
        <v/>
      </c>
      <c r="H57" s="18" t="str">
        <f t="shared" si="1"/>
        <v/>
      </c>
      <c r="I57" s="18" t="str">
        <f>IF($B57="","",ROUND(SUMIFS(对接源_01水果!$K$4:$K$1203,对接源_01水果!$C$4:$C$1203,$B57,对接源_01水果!$D$4:$D$1203,"成品出库*",对接源_01水果!$L$4:$L$1203,"已收讫")+SUMIFS(对接源_01水果!$K$4:$K$1203,对接源_01水果!$C$4:$C$1203,$B57,对接源_01水果!$D$4:$D$1203,"成品出库*",对接源_01水果!$L$4:$L$1203,"已付款")+SUMIFS(对接源_01水果!$K$4:$K$1203,对接源_01水果!$C$4:$C$1203,$B57,对接源_01水果!$D$4:$D$1203,"其他代存*",对接源_01水果!$L$4:$L$1203,"已收讫")+SUMIFS(对接源_01水果!$K$4:$K$1203,对接源_01水果!$C$4:$C$1203,$B57,对接源_01水果!$D$4:$D$1203,"其他代存*",对接源_01水果!$L$4:$L$1203,"已付款")+SUMIFS(对接源_02物料!$K$4:$K$1203,对接源_02物料!$C$4:$C$1203,$B57,对接源_02物料!$D$4:$D$1203,"包装物料*",对接源_02物料!$L$4:$L$1203,"已收讫")+SUMIFS(对接源_02物料!$K$4:$K$1203,对接源_02物料!$C$4:$C$1203,$B57,对接源_02物料!$D$4:$D$1203,"包装物料*",对接源_02物料!$L$4:$L$1203,"已付款")+SUMIFS(对接源_02物料!$K$4:$K$1203,对接源_02物料!$C$4:$C$1203,$B57,对接源_02物料!$D$4:$D$1203,"周转筐*",对接源_02物料!$L$4:$L$1203,"已收讫")+SUMIFS(对接源_02物料!$K$4:$K$1203,对接源_02物料!$C$4:$C$1203,$B57,对接源_02物料!$D$4:$D$1203,"周转筐*",对接源_02物料!$L$4:$L$1203,"已付款")+SUMIFS(对接源_02物料!$K$4:$K$1203,对接源_02物料!$C$4:$C$1203,$B57,对接源_02物料!$D$4:$D$1203,"次果筐*",对接源_02物料!$L$4:$L$1203,"已收讫")+SUMIFS(对接源_02物料!$K$4:$K$1203,对接源_02物料!$C$4:$C$1203,$B57,对接源_02物料!$D$4:$D$1203,"次果筐*",对接源_02物料!$L$4:$L$1203,"已付款"),2))</f>
        <v/>
      </c>
      <c r="J57" s="18" t="str">
        <f t="shared" si="2"/>
        <v/>
      </c>
      <c r="K57" s="16" t="str">
        <f t="shared" si="3"/>
        <v/>
      </c>
      <c r="L57" s="26"/>
    </row>
    <row r="58" customHeight="1" spans="1:12">
      <c r="A58" s="16" t="str">
        <f t="shared" si="0"/>
        <v/>
      </c>
      <c r="B58" s="11" t="str">
        <f>IFERROR(INDEX(_自动清单!$E$4:$E$303,ROW()-3),"")</f>
        <v/>
      </c>
      <c r="C58" s="18" t="str">
        <f>IF($B58="","",ROUND(SUMIFS(对接源_01水果!$K$4:$K$1203,对接源_01水果!$C$4:$C$1203,$B58,对接源_01水果!$D$4:$D$1203,"成品出库*"),2))</f>
        <v/>
      </c>
      <c r="D58" s="18" t="str">
        <f>IF($B58="","",ROUND(SUMIFS(对接源_01水果!$K$4:$K$1203,对接源_01水果!$C$4:$C$1203,$B58,对接源_01水果!$D$4:$D$1203,"其他代存*"),2))</f>
        <v/>
      </c>
      <c r="E58" s="18" t="str">
        <f>IF($B58="","",ROUND(SUMIFS(对接源_02物料!$K$4:$K$1203,对接源_02物料!$C$4:$C$1203,$B58,对接源_02物料!$D$4:$D$1203,"包装物料*"),2))</f>
        <v/>
      </c>
      <c r="F58" s="18" t="str">
        <f>IF($B58="","",ROUND(SUMIFS(对接源_02物料!$K$4:$K$1203,对接源_02物料!$C$4:$C$1203,$B58,对接源_02物料!$D$4:$D$1203,"周转筐*"),2))</f>
        <v/>
      </c>
      <c r="G58" s="18" t="str">
        <f>IF($B58="","",ROUND(SUMIFS(对接源_02物料!$K$4:$K$1203,对接源_02物料!$C$4:$C$1203,$B58,对接源_02物料!$D$4:$D$1203,"次果筐*"),2))</f>
        <v/>
      </c>
      <c r="H58" s="18" t="str">
        <f t="shared" si="1"/>
        <v/>
      </c>
      <c r="I58" s="18" t="str">
        <f>IF($B58="","",ROUND(SUMIFS(对接源_01水果!$K$4:$K$1203,对接源_01水果!$C$4:$C$1203,$B58,对接源_01水果!$D$4:$D$1203,"成品出库*",对接源_01水果!$L$4:$L$1203,"已收讫")+SUMIFS(对接源_01水果!$K$4:$K$1203,对接源_01水果!$C$4:$C$1203,$B58,对接源_01水果!$D$4:$D$1203,"成品出库*",对接源_01水果!$L$4:$L$1203,"已付款")+SUMIFS(对接源_01水果!$K$4:$K$1203,对接源_01水果!$C$4:$C$1203,$B58,对接源_01水果!$D$4:$D$1203,"其他代存*",对接源_01水果!$L$4:$L$1203,"已收讫")+SUMIFS(对接源_01水果!$K$4:$K$1203,对接源_01水果!$C$4:$C$1203,$B58,对接源_01水果!$D$4:$D$1203,"其他代存*",对接源_01水果!$L$4:$L$1203,"已付款")+SUMIFS(对接源_02物料!$K$4:$K$1203,对接源_02物料!$C$4:$C$1203,$B58,对接源_02物料!$D$4:$D$1203,"包装物料*",对接源_02物料!$L$4:$L$1203,"已收讫")+SUMIFS(对接源_02物料!$K$4:$K$1203,对接源_02物料!$C$4:$C$1203,$B58,对接源_02物料!$D$4:$D$1203,"包装物料*",对接源_02物料!$L$4:$L$1203,"已付款")+SUMIFS(对接源_02物料!$K$4:$K$1203,对接源_02物料!$C$4:$C$1203,$B58,对接源_02物料!$D$4:$D$1203,"周转筐*",对接源_02物料!$L$4:$L$1203,"已收讫")+SUMIFS(对接源_02物料!$K$4:$K$1203,对接源_02物料!$C$4:$C$1203,$B58,对接源_02物料!$D$4:$D$1203,"周转筐*",对接源_02物料!$L$4:$L$1203,"已付款")+SUMIFS(对接源_02物料!$K$4:$K$1203,对接源_02物料!$C$4:$C$1203,$B58,对接源_02物料!$D$4:$D$1203,"次果筐*",对接源_02物料!$L$4:$L$1203,"已收讫")+SUMIFS(对接源_02物料!$K$4:$K$1203,对接源_02物料!$C$4:$C$1203,$B58,对接源_02物料!$D$4:$D$1203,"次果筐*",对接源_02物料!$L$4:$L$1203,"已付款"),2))</f>
        <v/>
      </c>
      <c r="J58" s="18" t="str">
        <f t="shared" si="2"/>
        <v/>
      </c>
      <c r="K58" s="16" t="str">
        <f t="shared" si="3"/>
        <v/>
      </c>
      <c r="L58" s="26"/>
    </row>
    <row r="59" customHeight="1" spans="1:12">
      <c r="A59" s="16" t="str">
        <f t="shared" si="0"/>
        <v/>
      </c>
      <c r="B59" s="11" t="str">
        <f>IFERROR(INDEX(_自动清单!$E$4:$E$303,ROW()-3),"")</f>
        <v/>
      </c>
      <c r="C59" s="18" t="str">
        <f>IF($B59="","",ROUND(SUMIFS(对接源_01水果!$K$4:$K$1203,对接源_01水果!$C$4:$C$1203,$B59,对接源_01水果!$D$4:$D$1203,"成品出库*"),2))</f>
        <v/>
      </c>
      <c r="D59" s="18" t="str">
        <f>IF($B59="","",ROUND(SUMIFS(对接源_01水果!$K$4:$K$1203,对接源_01水果!$C$4:$C$1203,$B59,对接源_01水果!$D$4:$D$1203,"其他代存*"),2))</f>
        <v/>
      </c>
      <c r="E59" s="18" t="str">
        <f>IF($B59="","",ROUND(SUMIFS(对接源_02物料!$K$4:$K$1203,对接源_02物料!$C$4:$C$1203,$B59,对接源_02物料!$D$4:$D$1203,"包装物料*"),2))</f>
        <v/>
      </c>
      <c r="F59" s="18" t="str">
        <f>IF($B59="","",ROUND(SUMIFS(对接源_02物料!$K$4:$K$1203,对接源_02物料!$C$4:$C$1203,$B59,对接源_02物料!$D$4:$D$1203,"周转筐*"),2))</f>
        <v/>
      </c>
      <c r="G59" s="18" t="str">
        <f>IF($B59="","",ROUND(SUMIFS(对接源_02物料!$K$4:$K$1203,对接源_02物料!$C$4:$C$1203,$B59,对接源_02物料!$D$4:$D$1203,"次果筐*"),2))</f>
        <v/>
      </c>
      <c r="H59" s="18" t="str">
        <f t="shared" si="1"/>
        <v/>
      </c>
      <c r="I59" s="18" t="str">
        <f>IF($B59="","",ROUND(SUMIFS(对接源_01水果!$K$4:$K$1203,对接源_01水果!$C$4:$C$1203,$B59,对接源_01水果!$D$4:$D$1203,"成品出库*",对接源_01水果!$L$4:$L$1203,"已收讫")+SUMIFS(对接源_01水果!$K$4:$K$1203,对接源_01水果!$C$4:$C$1203,$B59,对接源_01水果!$D$4:$D$1203,"成品出库*",对接源_01水果!$L$4:$L$1203,"已付款")+SUMIFS(对接源_01水果!$K$4:$K$1203,对接源_01水果!$C$4:$C$1203,$B59,对接源_01水果!$D$4:$D$1203,"其他代存*",对接源_01水果!$L$4:$L$1203,"已收讫")+SUMIFS(对接源_01水果!$K$4:$K$1203,对接源_01水果!$C$4:$C$1203,$B59,对接源_01水果!$D$4:$D$1203,"其他代存*",对接源_01水果!$L$4:$L$1203,"已付款")+SUMIFS(对接源_02物料!$K$4:$K$1203,对接源_02物料!$C$4:$C$1203,$B59,对接源_02物料!$D$4:$D$1203,"包装物料*",对接源_02物料!$L$4:$L$1203,"已收讫")+SUMIFS(对接源_02物料!$K$4:$K$1203,对接源_02物料!$C$4:$C$1203,$B59,对接源_02物料!$D$4:$D$1203,"包装物料*",对接源_02物料!$L$4:$L$1203,"已付款")+SUMIFS(对接源_02物料!$K$4:$K$1203,对接源_02物料!$C$4:$C$1203,$B59,对接源_02物料!$D$4:$D$1203,"周转筐*",对接源_02物料!$L$4:$L$1203,"已收讫")+SUMIFS(对接源_02物料!$K$4:$K$1203,对接源_02物料!$C$4:$C$1203,$B59,对接源_02物料!$D$4:$D$1203,"周转筐*",对接源_02物料!$L$4:$L$1203,"已付款")+SUMIFS(对接源_02物料!$K$4:$K$1203,对接源_02物料!$C$4:$C$1203,$B59,对接源_02物料!$D$4:$D$1203,"次果筐*",对接源_02物料!$L$4:$L$1203,"已收讫")+SUMIFS(对接源_02物料!$K$4:$K$1203,对接源_02物料!$C$4:$C$1203,$B59,对接源_02物料!$D$4:$D$1203,"次果筐*",对接源_02物料!$L$4:$L$1203,"已付款"),2))</f>
        <v/>
      </c>
      <c r="J59" s="18" t="str">
        <f t="shared" si="2"/>
        <v/>
      </c>
      <c r="K59" s="16" t="str">
        <f t="shared" si="3"/>
        <v/>
      </c>
      <c r="L59" s="26"/>
    </row>
    <row r="60" customHeight="1" spans="1:12">
      <c r="A60" s="16" t="str">
        <f t="shared" si="0"/>
        <v/>
      </c>
      <c r="B60" s="11" t="str">
        <f>IFERROR(INDEX(_自动清单!$E$4:$E$303,ROW()-3),"")</f>
        <v/>
      </c>
      <c r="C60" s="18" t="str">
        <f>IF($B60="","",ROUND(SUMIFS(对接源_01水果!$K$4:$K$1203,对接源_01水果!$C$4:$C$1203,$B60,对接源_01水果!$D$4:$D$1203,"成品出库*"),2))</f>
        <v/>
      </c>
      <c r="D60" s="18" t="str">
        <f>IF($B60="","",ROUND(SUMIFS(对接源_01水果!$K$4:$K$1203,对接源_01水果!$C$4:$C$1203,$B60,对接源_01水果!$D$4:$D$1203,"其他代存*"),2))</f>
        <v/>
      </c>
      <c r="E60" s="18" t="str">
        <f>IF($B60="","",ROUND(SUMIFS(对接源_02物料!$K$4:$K$1203,对接源_02物料!$C$4:$C$1203,$B60,对接源_02物料!$D$4:$D$1203,"包装物料*"),2))</f>
        <v/>
      </c>
      <c r="F60" s="18" t="str">
        <f>IF($B60="","",ROUND(SUMIFS(对接源_02物料!$K$4:$K$1203,对接源_02物料!$C$4:$C$1203,$B60,对接源_02物料!$D$4:$D$1203,"周转筐*"),2))</f>
        <v/>
      </c>
      <c r="G60" s="18" t="str">
        <f>IF($B60="","",ROUND(SUMIFS(对接源_02物料!$K$4:$K$1203,对接源_02物料!$C$4:$C$1203,$B60,对接源_02物料!$D$4:$D$1203,"次果筐*"),2))</f>
        <v/>
      </c>
      <c r="H60" s="18" t="str">
        <f t="shared" si="1"/>
        <v/>
      </c>
      <c r="I60" s="18" t="str">
        <f>IF($B60="","",ROUND(SUMIFS(对接源_01水果!$K$4:$K$1203,对接源_01水果!$C$4:$C$1203,$B60,对接源_01水果!$D$4:$D$1203,"成品出库*",对接源_01水果!$L$4:$L$1203,"已收讫")+SUMIFS(对接源_01水果!$K$4:$K$1203,对接源_01水果!$C$4:$C$1203,$B60,对接源_01水果!$D$4:$D$1203,"成品出库*",对接源_01水果!$L$4:$L$1203,"已付款")+SUMIFS(对接源_01水果!$K$4:$K$1203,对接源_01水果!$C$4:$C$1203,$B60,对接源_01水果!$D$4:$D$1203,"其他代存*",对接源_01水果!$L$4:$L$1203,"已收讫")+SUMIFS(对接源_01水果!$K$4:$K$1203,对接源_01水果!$C$4:$C$1203,$B60,对接源_01水果!$D$4:$D$1203,"其他代存*",对接源_01水果!$L$4:$L$1203,"已付款")+SUMIFS(对接源_02物料!$K$4:$K$1203,对接源_02物料!$C$4:$C$1203,$B60,对接源_02物料!$D$4:$D$1203,"包装物料*",对接源_02物料!$L$4:$L$1203,"已收讫")+SUMIFS(对接源_02物料!$K$4:$K$1203,对接源_02物料!$C$4:$C$1203,$B60,对接源_02物料!$D$4:$D$1203,"包装物料*",对接源_02物料!$L$4:$L$1203,"已付款")+SUMIFS(对接源_02物料!$K$4:$K$1203,对接源_02物料!$C$4:$C$1203,$B60,对接源_02物料!$D$4:$D$1203,"周转筐*",对接源_02物料!$L$4:$L$1203,"已收讫")+SUMIFS(对接源_02物料!$K$4:$K$1203,对接源_02物料!$C$4:$C$1203,$B60,对接源_02物料!$D$4:$D$1203,"周转筐*",对接源_02物料!$L$4:$L$1203,"已付款")+SUMIFS(对接源_02物料!$K$4:$K$1203,对接源_02物料!$C$4:$C$1203,$B60,对接源_02物料!$D$4:$D$1203,"次果筐*",对接源_02物料!$L$4:$L$1203,"已收讫")+SUMIFS(对接源_02物料!$K$4:$K$1203,对接源_02物料!$C$4:$C$1203,$B60,对接源_02物料!$D$4:$D$1203,"次果筐*",对接源_02物料!$L$4:$L$1203,"已付款"),2))</f>
        <v/>
      </c>
      <c r="J60" s="18" t="str">
        <f t="shared" si="2"/>
        <v/>
      </c>
      <c r="K60" s="16" t="str">
        <f t="shared" si="3"/>
        <v/>
      </c>
      <c r="L60" s="26"/>
    </row>
    <row r="61" customHeight="1" spans="1:12">
      <c r="A61" s="16" t="str">
        <f t="shared" si="0"/>
        <v/>
      </c>
      <c r="B61" s="11" t="str">
        <f>IFERROR(INDEX(_自动清单!$E$4:$E$303,ROW()-3),"")</f>
        <v/>
      </c>
      <c r="C61" s="18" t="str">
        <f>IF($B61="","",ROUND(SUMIFS(对接源_01水果!$K$4:$K$1203,对接源_01水果!$C$4:$C$1203,$B61,对接源_01水果!$D$4:$D$1203,"成品出库*"),2))</f>
        <v/>
      </c>
      <c r="D61" s="18" t="str">
        <f>IF($B61="","",ROUND(SUMIFS(对接源_01水果!$K$4:$K$1203,对接源_01水果!$C$4:$C$1203,$B61,对接源_01水果!$D$4:$D$1203,"其他代存*"),2))</f>
        <v/>
      </c>
      <c r="E61" s="18" t="str">
        <f>IF($B61="","",ROUND(SUMIFS(对接源_02物料!$K$4:$K$1203,对接源_02物料!$C$4:$C$1203,$B61,对接源_02物料!$D$4:$D$1203,"包装物料*"),2))</f>
        <v/>
      </c>
      <c r="F61" s="18" t="str">
        <f>IF($B61="","",ROUND(SUMIFS(对接源_02物料!$K$4:$K$1203,对接源_02物料!$C$4:$C$1203,$B61,对接源_02物料!$D$4:$D$1203,"周转筐*"),2))</f>
        <v/>
      </c>
      <c r="G61" s="18" t="str">
        <f>IF($B61="","",ROUND(SUMIFS(对接源_02物料!$K$4:$K$1203,对接源_02物料!$C$4:$C$1203,$B61,对接源_02物料!$D$4:$D$1203,"次果筐*"),2))</f>
        <v/>
      </c>
      <c r="H61" s="18" t="str">
        <f t="shared" si="1"/>
        <v/>
      </c>
      <c r="I61" s="18" t="str">
        <f>IF($B61="","",ROUND(SUMIFS(对接源_01水果!$K$4:$K$1203,对接源_01水果!$C$4:$C$1203,$B61,对接源_01水果!$D$4:$D$1203,"成品出库*",对接源_01水果!$L$4:$L$1203,"已收讫")+SUMIFS(对接源_01水果!$K$4:$K$1203,对接源_01水果!$C$4:$C$1203,$B61,对接源_01水果!$D$4:$D$1203,"成品出库*",对接源_01水果!$L$4:$L$1203,"已付款")+SUMIFS(对接源_01水果!$K$4:$K$1203,对接源_01水果!$C$4:$C$1203,$B61,对接源_01水果!$D$4:$D$1203,"其他代存*",对接源_01水果!$L$4:$L$1203,"已收讫")+SUMIFS(对接源_01水果!$K$4:$K$1203,对接源_01水果!$C$4:$C$1203,$B61,对接源_01水果!$D$4:$D$1203,"其他代存*",对接源_01水果!$L$4:$L$1203,"已付款")+SUMIFS(对接源_02物料!$K$4:$K$1203,对接源_02物料!$C$4:$C$1203,$B61,对接源_02物料!$D$4:$D$1203,"包装物料*",对接源_02物料!$L$4:$L$1203,"已收讫")+SUMIFS(对接源_02物料!$K$4:$K$1203,对接源_02物料!$C$4:$C$1203,$B61,对接源_02物料!$D$4:$D$1203,"包装物料*",对接源_02物料!$L$4:$L$1203,"已付款")+SUMIFS(对接源_02物料!$K$4:$K$1203,对接源_02物料!$C$4:$C$1203,$B61,对接源_02物料!$D$4:$D$1203,"周转筐*",对接源_02物料!$L$4:$L$1203,"已收讫")+SUMIFS(对接源_02物料!$K$4:$K$1203,对接源_02物料!$C$4:$C$1203,$B61,对接源_02物料!$D$4:$D$1203,"周转筐*",对接源_02物料!$L$4:$L$1203,"已付款")+SUMIFS(对接源_02物料!$K$4:$K$1203,对接源_02物料!$C$4:$C$1203,$B61,对接源_02物料!$D$4:$D$1203,"次果筐*",对接源_02物料!$L$4:$L$1203,"已收讫")+SUMIFS(对接源_02物料!$K$4:$K$1203,对接源_02物料!$C$4:$C$1203,$B61,对接源_02物料!$D$4:$D$1203,"次果筐*",对接源_02物料!$L$4:$L$1203,"已付款"),2))</f>
        <v/>
      </c>
      <c r="J61" s="18" t="str">
        <f t="shared" si="2"/>
        <v/>
      </c>
      <c r="K61" s="16" t="str">
        <f t="shared" si="3"/>
        <v/>
      </c>
      <c r="L61" s="26"/>
    </row>
    <row r="62" customHeight="1" spans="1:12">
      <c r="A62" s="16" t="str">
        <f t="shared" si="0"/>
        <v/>
      </c>
      <c r="B62" s="11" t="str">
        <f>IFERROR(INDEX(_自动清单!$E$4:$E$303,ROW()-3),"")</f>
        <v/>
      </c>
      <c r="C62" s="18" t="str">
        <f>IF($B62="","",ROUND(SUMIFS(对接源_01水果!$K$4:$K$1203,对接源_01水果!$C$4:$C$1203,$B62,对接源_01水果!$D$4:$D$1203,"成品出库*"),2))</f>
        <v/>
      </c>
      <c r="D62" s="18" t="str">
        <f>IF($B62="","",ROUND(SUMIFS(对接源_01水果!$K$4:$K$1203,对接源_01水果!$C$4:$C$1203,$B62,对接源_01水果!$D$4:$D$1203,"其他代存*"),2))</f>
        <v/>
      </c>
      <c r="E62" s="18" t="str">
        <f>IF($B62="","",ROUND(SUMIFS(对接源_02物料!$K$4:$K$1203,对接源_02物料!$C$4:$C$1203,$B62,对接源_02物料!$D$4:$D$1203,"包装物料*"),2))</f>
        <v/>
      </c>
      <c r="F62" s="18" t="str">
        <f>IF($B62="","",ROUND(SUMIFS(对接源_02物料!$K$4:$K$1203,对接源_02物料!$C$4:$C$1203,$B62,对接源_02物料!$D$4:$D$1203,"周转筐*"),2))</f>
        <v/>
      </c>
      <c r="G62" s="18" t="str">
        <f>IF($B62="","",ROUND(SUMIFS(对接源_02物料!$K$4:$K$1203,对接源_02物料!$C$4:$C$1203,$B62,对接源_02物料!$D$4:$D$1203,"次果筐*"),2))</f>
        <v/>
      </c>
      <c r="H62" s="18" t="str">
        <f t="shared" si="1"/>
        <v/>
      </c>
      <c r="I62" s="18" t="str">
        <f>IF($B62="","",ROUND(SUMIFS(对接源_01水果!$K$4:$K$1203,对接源_01水果!$C$4:$C$1203,$B62,对接源_01水果!$D$4:$D$1203,"成品出库*",对接源_01水果!$L$4:$L$1203,"已收讫")+SUMIFS(对接源_01水果!$K$4:$K$1203,对接源_01水果!$C$4:$C$1203,$B62,对接源_01水果!$D$4:$D$1203,"成品出库*",对接源_01水果!$L$4:$L$1203,"已付款")+SUMIFS(对接源_01水果!$K$4:$K$1203,对接源_01水果!$C$4:$C$1203,$B62,对接源_01水果!$D$4:$D$1203,"其他代存*",对接源_01水果!$L$4:$L$1203,"已收讫")+SUMIFS(对接源_01水果!$K$4:$K$1203,对接源_01水果!$C$4:$C$1203,$B62,对接源_01水果!$D$4:$D$1203,"其他代存*",对接源_01水果!$L$4:$L$1203,"已付款")+SUMIFS(对接源_02物料!$K$4:$K$1203,对接源_02物料!$C$4:$C$1203,$B62,对接源_02物料!$D$4:$D$1203,"包装物料*",对接源_02物料!$L$4:$L$1203,"已收讫")+SUMIFS(对接源_02物料!$K$4:$K$1203,对接源_02物料!$C$4:$C$1203,$B62,对接源_02物料!$D$4:$D$1203,"包装物料*",对接源_02物料!$L$4:$L$1203,"已付款")+SUMIFS(对接源_02物料!$K$4:$K$1203,对接源_02物料!$C$4:$C$1203,$B62,对接源_02物料!$D$4:$D$1203,"周转筐*",对接源_02物料!$L$4:$L$1203,"已收讫")+SUMIFS(对接源_02物料!$K$4:$K$1203,对接源_02物料!$C$4:$C$1203,$B62,对接源_02物料!$D$4:$D$1203,"周转筐*",对接源_02物料!$L$4:$L$1203,"已付款")+SUMIFS(对接源_02物料!$K$4:$K$1203,对接源_02物料!$C$4:$C$1203,$B62,对接源_02物料!$D$4:$D$1203,"次果筐*",对接源_02物料!$L$4:$L$1203,"已收讫")+SUMIFS(对接源_02物料!$K$4:$K$1203,对接源_02物料!$C$4:$C$1203,$B62,对接源_02物料!$D$4:$D$1203,"次果筐*",对接源_02物料!$L$4:$L$1203,"已付款"),2))</f>
        <v/>
      </c>
      <c r="J62" s="18" t="str">
        <f t="shared" si="2"/>
        <v/>
      </c>
      <c r="K62" s="16" t="str">
        <f t="shared" si="3"/>
        <v/>
      </c>
      <c r="L62" s="26"/>
    </row>
    <row r="63" customHeight="1" spans="1:12">
      <c r="A63" s="16" t="str">
        <f t="shared" si="0"/>
        <v/>
      </c>
      <c r="B63" s="11" t="str">
        <f>IFERROR(INDEX(_自动清单!$E$4:$E$303,ROW()-3),"")</f>
        <v/>
      </c>
      <c r="C63" s="18" t="str">
        <f>IF($B63="","",ROUND(SUMIFS(对接源_01水果!$K$4:$K$1203,对接源_01水果!$C$4:$C$1203,$B63,对接源_01水果!$D$4:$D$1203,"成品出库*"),2))</f>
        <v/>
      </c>
      <c r="D63" s="18" t="str">
        <f>IF($B63="","",ROUND(SUMIFS(对接源_01水果!$K$4:$K$1203,对接源_01水果!$C$4:$C$1203,$B63,对接源_01水果!$D$4:$D$1203,"其他代存*"),2))</f>
        <v/>
      </c>
      <c r="E63" s="18" t="str">
        <f>IF($B63="","",ROUND(SUMIFS(对接源_02物料!$K$4:$K$1203,对接源_02物料!$C$4:$C$1203,$B63,对接源_02物料!$D$4:$D$1203,"包装物料*"),2))</f>
        <v/>
      </c>
      <c r="F63" s="18" t="str">
        <f>IF($B63="","",ROUND(SUMIFS(对接源_02物料!$K$4:$K$1203,对接源_02物料!$C$4:$C$1203,$B63,对接源_02物料!$D$4:$D$1203,"周转筐*"),2))</f>
        <v/>
      </c>
      <c r="G63" s="18" t="str">
        <f>IF($B63="","",ROUND(SUMIFS(对接源_02物料!$K$4:$K$1203,对接源_02物料!$C$4:$C$1203,$B63,对接源_02物料!$D$4:$D$1203,"次果筐*"),2))</f>
        <v/>
      </c>
      <c r="H63" s="18" t="str">
        <f t="shared" si="1"/>
        <v/>
      </c>
      <c r="I63" s="18" t="str">
        <f>IF($B63="","",ROUND(SUMIFS(对接源_01水果!$K$4:$K$1203,对接源_01水果!$C$4:$C$1203,$B63,对接源_01水果!$D$4:$D$1203,"成品出库*",对接源_01水果!$L$4:$L$1203,"已收讫")+SUMIFS(对接源_01水果!$K$4:$K$1203,对接源_01水果!$C$4:$C$1203,$B63,对接源_01水果!$D$4:$D$1203,"成品出库*",对接源_01水果!$L$4:$L$1203,"已付款")+SUMIFS(对接源_01水果!$K$4:$K$1203,对接源_01水果!$C$4:$C$1203,$B63,对接源_01水果!$D$4:$D$1203,"其他代存*",对接源_01水果!$L$4:$L$1203,"已收讫")+SUMIFS(对接源_01水果!$K$4:$K$1203,对接源_01水果!$C$4:$C$1203,$B63,对接源_01水果!$D$4:$D$1203,"其他代存*",对接源_01水果!$L$4:$L$1203,"已付款")+SUMIFS(对接源_02物料!$K$4:$K$1203,对接源_02物料!$C$4:$C$1203,$B63,对接源_02物料!$D$4:$D$1203,"包装物料*",对接源_02物料!$L$4:$L$1203,"已收讫")+SUMIFS(对接源_02物料!$K$4:$K$1203,对接源_02物料!$C$4:$C$1203,$B63,对接源_02物料!$D$4:$D$1203,"包装物料*",对接源_02物料!$L$4:$L$1203,"已付款")+SUMIFS(对接源_02物料!$K$4:$K$1203,对接源_02物料!$C$4:$C$1203,$B63,对接源_02物料!$D$4:$D$1203,"周转筐*",对接源_02物料!$L$4:$L$1203,"已收讫")+SUMIFS(对接源_02物料!$K$4:$K$1203,对接源_02物料!$C$4:$C$1203,$B63,对接源_02物料!$D$4:$D$1203,"周转筐*",对接源_02物料!$L$4:$L$1203,"已付款")+SUMIFS(对接源_02物料!$K$4:$K$1203,对接源_02物料!$C$4:$C$1203,$B63,对接源_02物料!$D$4:$D$1203,"次果筐*",对接源_02物料!$L$4:$L$1203,"已收讫")+SUMIFS(对接源_02物料!$K$4:$K$1203,对接源_02物料!$C$4:$C$1203,$B63,对接源_02物料!$D$4:$D$1203,"次果筐*",对接源_02物料!$L$4:$L$1203,"已付款"),2))</f>
        <v/>
      </c>
      <c r="J63" s="18" t="str">
        <f t="shared" si="2"/>
        <v/>
      </c>
      <c r="K63" s="16" t="str">
        <f t="shared" si="3"/>
        <v/>
      </c>
      <c r="L63" s="26"/>
    </row>
    <row r="64" customHeight="1" spans="1:12">
      <c r="A64" s="16" t="str">
        <f t="shared" si="0"/>
        <v/>
      </c>
      <c r="B64" s="11" t="str">
        <f>IFERROR(INDEX(_自动清单!$E$4:$E$303,ROW()-3),"")</f>
        <v/>
      </c>
      <c r="C64" s="18" t="str">
        <f>IF($B64="","",ROUND(SUMIFS(对接源_01水果!$K$4:$K$1203,对接源_01水果!$C$4:$C$1203,$B64,对接源_01水果!$D$4:$D$1203,"成品出库*"),2))</f>
        <v/>
      </c>
      <c r="D64" s="18" t="str">
        <f>IF($B64="","",ROUND(SUMIFS(对接源_01水果!$K$4:$K$1203,对接源_01水果!$C$4:$C$1203,$B64,对接源_01水果!$D$4:$D$1203,"其他代存*"),2))</f>
        <v/>
      </c>
      <c r="E64" s="18" t="str">
        <f>IF($B64="","",ROUND(SUMIFS(对接源_02物料!$K$4:$K$1203,对接源_02物料!$C$4:$C$1203,$B64,对接源_02物料!$D$4:$D$1203,"包装物料*"),2))</f>
        <v/>
      </c>
      <c r="F64" s="18" t="str">
        <f>IF($B64="","",ROUND(SUMIFS(对接源_02物料!$K$4:$K$1203,对接源_02物料!$C$4:$C$1203,$B64,对接源_02物料!$D$4:$D$1203,"周转筐*"),2))</f>
        <v/>
      </c>
      <c r="G64" s="18" t="str">
        <f>IF($B64="","",ROUND(SUMIFS(对接源_02物料!$K$4:$K$1203,对接源_02物料!$C$4:$C$1203,$B64,对接源_02物料!$D$4:$D$1203,"次果筐*"),2))</f>
        <v/>
      </c>
      <c r="H64" s="18" t="str">
        <f t="shared" si="1"/>
        <v/>
      </c>
      <c r="I64" s="18" t="str">
        <f>IF($B64="","",ROUND(SUMIFS(对接源_01水果!$K$4:$K$1203,对接源_01水果!$C$4:$C$1203,$B64,对接源_01水果!$D$4:$D$1203,"成品出库*",对接源_01水果!$L$4:$L$1203,"已收讫")+SUMIFS(对接源_01水果!$K$4:$K$1203,对接源_01水果!$C$4:$C$1203,$B64,对接源_01水果!$D$4:$D$1203,"成品出库*",对接源_01水果!$L$4:$L$1203,"已付款")+SUMIFS(对接源_01水果!$K$4:$K$1203,对接源_01水果!$C$4:$C$1203,$B64,对接源_01水果!$D$4:$D$1203,"其他代存*",对接源_01水果!$L$4:$L$1203,"已收讫")+SUMIFS(对接源_01水果!$K$4:$K$1203,对接源_01水果!$C$4:$C$1203,$B64,对接源_01水果!$D$4:$D$1203,"其他代存*",对接源_01水果!$L$4:$L$1203,"已付款")+SUMIFS(对接源_02物料!$K$4:$K$1203,对接源_02物料!$C$4:$C$1203,$B64,对接源_02物料!$D$4:$D$1203,"包装物料*",对接源_02物料!$L$4:$L$1203,"已收讫")+SUMIFS(对接源_02物料!$K$4:$K$1203,对接源_02物料!$C$4:$C$1203,$B64,对接源_02物料!$D$4:$D$1203,"包装物料*",对接源_02物料!$L$4:$L$1203,"已付款")+SUMIFS(对接源_02物料!$K$4:$K$1203,对接源_02物料!$C$4:$C$1203,$B64,对接源_02物料!$D$4:$D$1203,"周转筐*",对接源_02物料!$L$4:$L$1203,"已收讫")+SUMIFS(对接源_02物料!$K$4:$K$1203,对接源_02物料!$C$4:$C$1203,$B64,对接源_02物料!$D$4:$D$1203,"周转筐*",对接源_02物料!$L$4:$L$1203,"已付款")+SUMIFS(对接源_02物料!$K$4:$K$1203,对接源_02物料!$C$4:$C$1203,$B64,对接源_02物料!$D$4:$D$1203,"次果筐*",对接源_02物料!$L$4:$L$1203,"已收讫")+SUMIFS(对接源_02物料!$K$4:$K$1203,对接源_02物料!$C$4:$C$1203,$B64,对接源_02物料!$D$4:$D$1203,"次果筐*",对接源_02物料!$L$4:$L$1203,"已付款"),2))</f>
        <v/>
      </c>
      <c r="J64" s="18" t="str">
        <f t="shared" si="2"/>
        <v/>
      </c>
      <c r="K64" s="16" t="str">
        <f t="shared" si="3"/>
        <v/>
      </c>
      <c r="L64" s="26"/>
    </row>
    <row r="65" customHeight="1" spans="1:12">
      <c r="A65" s="16" t="str">
        <f t="shared" si="0"/>
        <v/>
      </c>
      <c r="B65" s="11" t="str">
        <f>IFERROR(INDEX(_自动清单!$E$4:$E$303,ROW()-3),"")</f>
        <v/>
      </c>
      <c r="C65" s="18" t="str">
        <f>IF($B65="","",ROUND(SUMIFS(对接源_01水果!$K$4:$K$1203,对接源_01水果!$C$4:$C$1203,$B65,对接源_01水果!$D$4:$D$1203,"成品出库*"),2))</f>
        <v/>
      </c>
      <c r="D65" s="18" t="str">
        <f>IF($B65="","",ROUND(SUMIFS(对接源_01水果!$K$4:$K$1203,对接源_01水果!$C$4:$C$1203,$B65,对接源_01水果!$D$4:$D$1203,"其他代存*"),2))</f>
        <v/>
      </c>
      <c r="E65" s="18" t="str">
        <f>IF($B65="","",ROUND(SUMIFS(对接源_02物料!$K$4:$K$1203,对接源_02物料!$C$4:$C$1203,$B65,对接源_02物料!$D$4:$D$1203,"包装物料*"),2))</f>
        <v/>
      </c>
      <c r="F65" s="18" t="str">
        <f>IF($B65="","",ROUND(SUMIFS(对接源_02物料!$K$4:$K$1203,对接源_02物料!$C$4:$C$1203,$B65,对接源_02物料!$D$4:$D$1203,"周转筐*"),2))</f>
        <v/>
      </c>
      <c r="G65" s="18" t="str">
        <f>IF($B65="","",ROUND(SUMIFS(对接源_02物料!$K$4:$K$1203,对接源_02物料!$C$4:$C$1203,$B65,对接源_02物料!$D$4:$D$1203,"次果筐*"),2))</f>
        <v/>
      </c>
      <c r="H65" s="18" t="str">
        <f t="shared" si="1"/>
        <v/>
      </c>
      <c r="I65" s="18" t="str">
        <f>IF($B65="","",ROUND(SUMIFS(对接源_01水果!$K$4:$K$1203,对接源_01水果!$C$4:$C$1203,$B65,对接源_01水果!$D$4:$D$1203,"成品出库*",对接源_01水果!$L$4:$L$1203,"已收讫")+SUMIFS(对接源_01水果!$K$4:$K$1203,对接源_01水果!$C$4:$C$1203,$B65,对接源_01水果!$D$4:$D$1203,"成品出库*",对接源_01水果!$L$4:$L$1203,"已付款")+SUMIFS(对接源_01水果!$K$4:$K$1203,对接源_01水果!$C$4:$C$1203,$B65,对接源_01水果!$D$4:$D$1203,"其他代存*",对接源_01水果!$L$4:$L$1203,"已收讫")+SUMIFS(对接源_01水果!$K$4:$K$1203,对接源_01水果!$C$4:$C$1203,$B65,对接源_01水果!$D$4:$D$1203,"其他代存*",对接源_01水果!$L$4:$L$1203,"已付款")+SUMIFS(对接源_02物料!$K$4:$K$1203,对接源_02物料!$C$4:$C$1203,$B65,对接源_02物料!$D$4:$D$1203,"包装物料*",对接源_02物料!$L$4:$L$1203,"已收讫")+SUMIFS(对接源_02物料!$K$4:$K$1203,对接源_02物料!$C$4:$C$1203,$B65,对接源_02物料!$D$4:$D$1203,"包装物料*",对接源_02物料!$L$4:$L$1203,"已付款")+SUMIFS(对接源_02物料!$K$4:$K$1203,对接源_02物料!$C$4:$C$1203,$B65,对接源_02物料!$D$4:$D$1203,"周转筐*",对接源_02物料!$L$4:$L$1203,"已收讫")+SUMIFS(对接源_02物料!$K$4:$K$1203,对接源_02物料!$C$4:$C$1203,$B65,对接源_02物料!$D$4:$D$1203,"周转筐*",对接源_02物料!$L$4:$L$1203,"已付款")+SUMIFS(对接源_02物料!$K$4:$K$1203,对接源_02物料!$C$4:$C$1203,$B65,对接源_02物料!$D$4:$D$1203,"次果筐*",对接源_02物料!$L$4:$L$1203,"已收讫")+SUMIFS(对接源_02物料!$K$4:$K$1203,对接源_02物料!$C$4:$C$1203,$B65,对接源_02物料!$D$4:$D$1203,"次果筐*",对接源_02物料!$L$4:$L$1203,"已付款"),2))</f>
        <v/>
      </c>
      <c r="J65" s="18" t="str">
        <f t="shared" si="2"/>
        <v/>
      </c>
      <c r="K65" s="16" t="str">
        <f t="shared" si="3"/>
        <v/>
      </c>
      <c r="L65" s="26"/>
    </row>
    <row r="66" customHeight="1" spans="1:12">
      <c r="A66" s="16" t="str">
        <f t="shared" si="0"/>
        <v/>
      </c>
      <c r="B66" s="11" t="str">
        <f>IFERROR(INDEX(_自动清单!$E$4:$E$303,ROW()-3),"")</f>
        <v/>
      </c>
      <c r="C66" s="18" t="str">
        <f>IF($B66="","",ROUND(SUMIFS(对接源_01水果!$K$4:$K$1203,对接源_01水果!$C$4:$C$1203,$B66,对接源_01水果!$D$4:$D$1203,"成品出库*"),2))</f>
        <v/>
      </c>
      <c r="D66" s="18" t="str">
        <f>IF($B66="","",ROUND(SUMIFS(对接源_01水果!$K$4:$K$1203,对接源_01水果!$C$4:$C$1203,$B66,对接源_01水果!$D$4:$D$1203,"其他代存*"),2))</f>
        <v/>
      </c>
      <c r="E66" s="18" t="str">
        <f>IF($B66="","",ROUND(SUMIFS(对接源_02物料!$K$4:$K$1203,对接源_02物料!$C$4:$C$1203,$B66,对接源_02物料!$D$4:$D$1203,"包装物料*"),2))</f>
        <v/>
      </c>
      <c r="F66" s="18" t="str">
        <f>IF($B66="","",ROUND(SUMIFS(对接源_02物料!$K$4:$K$1203,对接源_02物料!$C$4:$C$1203,$B66,对接源_02物料!$D$4:$D$1203,"周转筐*"),2))</f>
        <v/>
      </c>
      <c r="G66" s="18" t="str">
        <f>IF($B66="","",ROUND(SUMIFS(对接源_02物料!$K$4:$K$1203,对接源_02物料!$C$4:$C$1203,$B66,对接源_02物料!$D$4:$D$1203,"次果筐*"),2))</f>
        <v/>
      </c>
      <c r="H66" s="18" t="str">
        <f t="shared" si="1"/>
        <v/>
      </c>
      <c r="I66" s="18" t="str">
        <f>IF($B66="","",ROUND(SUMIFS(对接源_01水果!$K$4:$K$1203,对接源_01水果!$C$4:$C$1203,$B66,对接源_01水果!$D$4:$D$1203,"成品出库*",对接源_01水果!$L$4:$L$1203,"已收讫")+SUMIFS(对接源_01水果!$K$4:$K$1203,对接源_01水果!$C$4:$C$1203,$B66,对接源_01水果!$D$4:$D$1203,"成品出库*",对接源_01水果!$L$4:$L$1203,"已付款")+SUMIFS(对接源_01水果!$K$4:$K$1203,对接源_01水果!$C$4:$C$1203,$B66,对接源_01水果!$D$4:$D$1203,"其他代存*",对接源_01水果!$L$4:$L$1203,"已收讫")+SUMIFS(对接源_01水果!$K$4:$K$1203,对接源_01水果!$C$4:$C$1203,$B66,对接源_01水果!$D$4:$D$1203,"其他代存*",对接源_01水果!$L$4:$L$1203,"已付款")+SUMIFS(对接源_02物料!$K$4:$K$1203,对接源_02物料!$C$4:$C$1203,$B66,对接源_02物料!$D$4:$D$1203,"包装物料*",对接源_02物料!$L$4:$L$1203,"已收讫")+SUMIFS(对接源_02物料!$K$4:$K$1203,对接源_02物料!$C$4:$C$1203,$B66,对接源_02物料!$D$4:$D$1203,"包装物料*",对接源_02物料!$L$4:$L$1203,"已付款")+SUMIFS(对接源_02物料!$K$4:$K$1203,对接源_02物料!$C$4:$C$1203,$B66,对接源_02物料!$D$4:$D$1203,"周转筐*",对接源_02物料!$L$4:$L$1203,"已收讫")+SUMIFS(对接源_02物料!$K$4:$K$1203,对接源_02物料!$C$4:$C$1203,$B66,对接源_02物料!$D$4:$D$1203,"周转筐*",对接源_02物料!$L$4:$L$1203,"已付款")+SUMIFS(对接源_02物料!$K$4:$K$1203,对接源_02物料!$C$4:$C$1203,$B66,对接源_02物料!$D$4:$D$1203,"次果筐*",对接源_02物料!$L$4:$L$1203,"已收讫")+SUMIFS(对接源_02物料!$K$4:$K$1203,对接源_02物料!$C$4:$C$1203,$B66,对接源_02物料!$D$4:$D$1203,"次果筐*",对接源_02物料!$L$4:$L$1203,"已付款"),2))</f>
        <v/>
      </c>
      <c r="J66" s="18" t="str">
        <f t="shared" si="2"/>
        <v/>
      </c>
      <c r="K66" s="16" t="str">
        <f t="shared" si="3"/>
        <v/>
      </c>
      <c r="L66" s="26"/>
    </row>
    <row r="67" customHeight="1" spans="1:12">
      <c r="A67" s="16" t="str">
        <f t="shared" si="0"/>
        <v/>
      </c>
      <c r="B67" s="11" t="str">
        <f>IFERROR(INDEX(_自动清单!$E$4:$E$303,ROW()-3),"")</f>
        <v/>
      </c>
      <c r="C67" s="18" t="str">
        <f>IF($B67="","",ROUND(SUMIFS(对接源_01水果!$K$4:$K$1203,对接源_01水果!$C$4:$C$1203,$B67,对接源_01水果!$D$4:$D$1203,"成品出库*"),2))</f>
        <v/>
      </c>
      <c r="D67" s="18" t="str">
        <f>IF($B67="","",ROUND(SUMIFS(对接源_01水果!$K$4:$K$1203,对接源_01水果!$C$4:$C$1203,$B67,对接源_01水果!$D$4:$D$1203,"其他代存*"),2))</f>
        <v/>
      </c>
      <c r="E67" s="18" t="str">
        <f>IF($B67="","",ROUND(SUMIFS(对接源_02物料!$K$4:$K$1203,对接源_02物料!$C$4:$C$1203,$B67,对接源_02物料!$D$4:$D$1203,"包装物料*"),2))</f>
        <v/>
      </c>
      <c r="F67" s="18" t="str">
        <f>IF($B67="","",ROUND(SUMIFS(对接源_02物料!$K$4:$K$1203,对接源_02物料!$C$4:$C$1203,$B67,对接源_02物料!$D$4:$D$1203,"周转筐*"),2))</f>
        <v/>
      </c>
      <c r="G67" s="18" t="str">
        <f>IF($B67="","",ROUND(SUMIFS(对接源_02物料!$K$4:$K$1203,对接源_02物料!$C$4:$C$1203,$B67,对接源_02物料!$D$4:$D$1203,"次果筐*"),2))</f>
        <v/>
      </c>
      <c r="H67" s="18" t="str">
        <f t="shared" si="1"/>
        <v/>
      </c>
      <c r="I67" s="18" t="str">
        <f>IF($B67="","",ROUND(SUMIFS(对接源_01水果!$K$4:$K$1203,对接源_01水果!$C$4:$C$1203,$B67,对接源_01水果!$D$4:$D$1203,"成品出库*",对接源_01水果!$L$4:$L$1203,"已收讫")+SUMIFS(对接源_01水果!$K$4:$K$1203,对接源_01水果!$C$4:$C$1203,$B67,对接源_01水果!$D$4:$D$1203,"成品出库*",对接源_01水果!$L$4:$L$1203,"已付款")+SUMIFS(对接源_01水果!$K$4:$K$1203,对接源_01水果!$C$4:$C$1203,$B67,对接源_01水果!$D$4:$D$1203,"其他代存*",对接源_01水果!$L$4:$L$1203,"已收讫")+SUMIFS(对接源_01水果!$K$4:$K$1203,对接源_01水果!$C$4:$C$1203,$B67,对接源_01水果!$D$4:$D$1203,"其他代存*",对接源_01水果!$L$4:$L$1203,"已付款")+SUMIFS(对接源_02物料!$K$4:$K$1203,对接源_02物料!$C$4:$C$1203,$B67,对接源_02物料!$D$4:$D$1203,"包装物料*",对接源_02物料!$L$4:$L$1203,"已收讫")+SUMIFS(对接源_02物料!$K$4:$K$1203,对接源_02物料!$C$4:$C$1203,$B67,对接源_02物料!$D$4:$D$1203,"包装物料*",对接源_02物料!$L$4:$L$1203,"已付款")+SUMIFS(对接源_02物料!$K$4:$K$1203,对接源_02物料!$C$4:$C$1203,$B67,对接源_02物料!$D$4:$D$1203,"周转筐*",对接源_02物料!$L$4:$L$1203,"已收讫")+SUMIFS(对接源_02物料!$K$4:$K$1203,对接源_02物料!$C$4:$C$1203,$B67,对接源_02物料!$D$4:$D$1203,"周转筐*",对接源_02物料!$L$4:$L$1203,"已付款")+SUMIFS(对接源_02物料!$K$4:$K$1203,对接源_02物料!$C$4:$C$1203,$B67,对接源_02物料!$D$4:$D$1203,"次果筐*",对接源_02物料!$L$4:$L$1203,"已收讫")+SUMIFS(对接源_02物料!$K$4:$K$1203,对接源_02物料!$C$4:$C$1203,$B67,对接源_02物料!$D$4:$D$1203,"次果筐*",对接源_02物料!$L$4:$L$1203,"已付款"),2))</f>
        <v/>
      </c>
      <c r="J67" s="18" t="str">
        <f t="shared" si="2"/>
        <v/>
      </c>
      <c r="K67" s="16" t="str">
        <f t="shared" si="3"/>
        <v/>
      </c>
      <c r="L67" s="26"/>
    </row>
    <row r="68" customHeight="1" spans="1:12">
      <c r="A68" s="16" t="str">
        <f t="shared" ref="A68:A131" si="4">IF($B68="","",ROW()-3)</f>
        <v/>
      </c>
      <c r="B68" s="11" t="str">
        <f>IFERROR(INDEX(_自动清单!$E$4:$E$303,ROW()-3),"")</f>
        <v/>
      </c>
      <c r="C68" s="18" t="str">
        <f>IF($B68="","",ROUND(SUMIFS(对接源_01水果!$K$4:$K$1203,对接源_01水果!$C$4:$C$1203,$B68,对接源_01水果!$D$4:$D$1203,"成品出库*"),2))</f>
        <v/>
      </c>
      <c r="D68" s="18" t="str">
        <f>IF($B68="","",ROUND(SUMIFS(对接源_01水果!$K$4:$K$1203,对接源_01水果!$C$4:$C$1203,$B68,对接源_01水果!$D$4:$D$1203,"其他代存*"),2))</f>
        <v/>
      </c>
      <c r="E68" s="18" t="str">
        <f>IF($B68="","",ROUND(SUMIFS(对接源_02物料!$K$4:$K$1203,对接源_02物料!$C$4:$C$1203,$B68,对接源_02物料!$D$4:$D$1203,"包装物料*"),2))</f>
        <v/>
      </c>
      <c r="F68" s="18" t="str">
        <f>IF($B68="","",ROUND(SUMIFS(对接源_02物料!$K$4:$K$1203,对接源_02物料!$C$4:$C$1203,$B68,对接源_02物料!$D$4:$D$1203,"周转筐*"),2))</f>
        <v/>
      </c>
      <c r="G68" s="18" t="str">
        <f>IF($B68="","",ROUND(SUMIFS(对接源_02物料!$K$4:$K$1203,对接源_02物料!$C$4:$C$1203,$B68,对接源_02物料!$D$4:$D$1203,"次果筐*"),2))</f>
        <v/>
      </c>
      <c r="H68" s="18" t="str">
        <f t="shared" ref="H68:H131" si="5">IF($B68="","",ROUND(SUM($C68:$G68),2))</f>
        <v/>
      </c>
      <c r="I68" s="18" t="str">
        <f>IF($B68="","",ROUND(SUMIFS(对接源_01水果!$K$4:$K$1203,对接源_01水果!$C$4:$C$1203,$B68,对接源_01水果!$D$4:$D$1203,"成品出库*",对接源_01水果!$L$4:$L$1203,"已收讫")+SUMIFS(对接源_01水果!$K$4:$K$1203,对接源_01水果!$C$4:$C$1203,$B68,对接源_01水果!$D$4:$D$1203,"成品出库*",对接源_01水果!$L$4:$L$1203,"已付款")+SUMIFS(对接源_01水果!$K$4:$K$1203,对接源_01水果!$C$4:$C$1203,$B68,对接源_01水果!$D$4:$D$1203,"其他代存*",对接源_01水果!$L$4:$L$1203,"已收讫")+SUMIFS(对接源_01水果!$K$4:$K$1203,对接源_01水果!$C$4:$C$1203,$B68,对接源_01水果!$D$4:$D$1203,"其他代存*",对接源_01水果!$L$4:$L$1203,"已付款")+SUMIFS(对接源_02物料!$K$4:$K$1203,对接源_02物料!$C$4:$C$1203,$B68,对接源_02物料!$D$4:$D$1203,"包装物料*",对接源_02物料!$L$4:$L$1203,"已收讫")+SUMIFS(对接源_02物料!$K$4:$K$1203,对接源_02物料!$C$4:$C$1203,$B68,对接源_02物料!$D$4:$D$1203,"包装物料*",对接源_02物料!$L$4:$L$1203,"已付款")+SUMIFS(对接源_02物料!$K$4:$K$1203,对接源_02物料!$C$4:$C$1203,$B68,对接源_02物料!$D$4:$D$1203,"周转筐*",对接源_02物料!$L$4:$L$1203,"已收讫")+SUMIFS(对接源_02物料!$K$4:$K$1203,对接源_02物料!$C$4:$C$1203,$B68,对接源_02物料!$D$4:$D$1203,"周转筐*",对接源_02物料!$L$4:$L$1203,"已付款")+SUMIFS(对接源_02物料!$K$4:$K$1203,对接源_02物料!$C$4:$C$1203,$B68,对接源_02物料!$D$4:$D$1203,"次果筐*",对接源_02物料!$L$4:$L$1203,"已收讫")+SUMIFS(对接源_02物料!$K$4:$K$1203,对接源_02物料!$C$4:$C$1203,$B68,对接源_02物料!$D$4:$D$1203,"次果筐*",对接源_02物料!$L$4:$L$1203,"已付款"),2))</f>
        <v/>
      </c>
      <c r="J68" s="18" t="str">
        <f t="shared" ref="J68:J131" si="6">IF($B68="","",ROUND(N($H68)-N($I68),2))</f>
        <v/>
      </c>
      <c r="K68" s="16" t="str">
        <f t="shared" ref="K68:K131" si="7">IF($B68="","",IF(ROUND(N($J68),2)&gt;0,"对方欠款",IF(ROUND(N($J68),2)&lt;0,"我方欠款","已两清")))</f>
        <v/>
      </c>
      <c r="L68" s="26"/>
    </row>
    <row r="69" customHeight="1" spans="1:12">
      <c r="A69" s="16" t="str">
        <f t="shared" si="4"/>
        <v/>
      </c>
      <c r="B69" s="11" t="str">
        <f>IFERROR(INDEX(_自动清单!$E$4:$E$303,ROW()-3),"")</f>
        <v/>
      </c>
      <c r="C69" s="18" t="str">
        <f>IF($B69="","",ROUND(SUMIFS(对接源_01水果!$K$4:$K$1203,对接源_01水果!$C$4:$C$1203,$B69,对接源_01水果!$D$4:$D$1203,"成品出库*"),2))</f>
        <v/>
      </c>
      <c r="D69" s="18" t="str">
        <f>IF($B69="","",ROUND(SUMIFS(对接源_01水果!$K$4:$K$1203,对接源_01水果!$C$4:$C$1203,$B69,对接源_01水果!$D$4:$D$1203,"其他代存*"),2))</f>
        <v/>
      </c>
      <c r="E69" s="18" t="str">
        <f>IF($B69="","",ROUND(SUMIFS(对接源_02物料!$K$4:$K$1203,对接源_02物料!$C$4:$C$1203,$B69,对接源_02物料!$D$4:$D$1203,"包装物料*"),2))</f>
        <v/>
      </c>
      <c r="F69" s="18" t="str">
        <f>IF($B69="","",ROUND(SUMIFS(对接源_02物料!$K$4:$K$1203,对接源_02物料!$C$4:$C$1203,$B69,对接源_02物料!$D$4:$D$1203,"周转筐*"),2))</f>
        <v/>
      </c>
      <c r="G69" s="18" t="str">
        <f>IF($B69="","",ROUND(SUMIFS(对接源_02物料!$K$4:$K$1203,对接源_02物料!$C$4:$C$1203,$B69,对接源_02物料!$D$4:$D$1203,"次果筐*"),2))</f>
        <v/>
      </c>
      <c r="H69" s="18" t="str">
        <f t="shared" si="5"/>
        <v/>
      </c>
      <c r="I69" s="18" t="str">
        <f>IF($B69="","",ROUND(SUMIFS(对接源_01水果!$K$4:$K$1203,对接源_01水果!$C$4:$C$1203,$B69,对接源_01水果!$D$4:$D$1203,"成品出库*",对接源_01水果!$L$4:$L$1203,"已收讫")+SUMIFS(对接源_01水果!$K$4:$K$1203,对接源_01水果!$C$4:$C$1203,$B69,对接源_01水果!$D$4:$D$1203,"成品出库*",对接源_01水果!$L$4:$L$1203,"已付款")+SUMIFS(对接源_01水果!$K$4:$K$1203,对接源_01水果!$C$4:$C$1203,$B69,对接源_01水果!$D$4:$D$1203,"其他代存*",对接源_01水果!$L$4:$L$1203,"已收讫")+SUMIFS(对接源_01水果!$K$4:$K$1203,对接源_01水果!$C$4:$C$1203,$B69,对接源_01水果!$D$4:$D$1203,"其他代存*",对接源_01水果!$L$4:$L$1203,"已付款")+SUMIFS(对接源_02物料!$K$4:$K$1203,对接源_02物料!$C$4:$C$1203,$B69,对接源_02物料!$D$4:$D$1203,"包装物料*",对接源_02物料!$L$4:$L$1203,"已收讫")+SUMIFS(对接源_02物料!$K$4:$K$1203,对接源_02物料!$C$4:$C$1203,$B69,对接源_02物料!$D$4:$D$1203,"包装物料*",对接源_02物料!$L$4:$L$1203,"已付款")+SUMIFS(对接源_02物料!$K$4:$K$1203,对接源_02物料!$C$4:$C$1203,$B69,对接源_02物料!$D$4:$D$1203,"周转筐*",对接源_02物料!$L$4:$L$1203,"已收讫")+SUMIFS(对接源_02物料!$K$4:$K$1203,对接源_02物料!$C$4:$C$1203,$B69,对接源_02物料!$D$4:$D$1203,"周转筐*",对接源_02物料!$L$4:$L$1203,"已付款")+SUMIFS(对接源_02物料!$K$4:$K$1203,对接源_02物料!$C$4:$C$1203,$B69,对接源_02物料!$D$4:$D$1203,"次果筐*",对接源_02物料!$L$4:$L$1203,"已收讫")+SUMIFS(对接源_02物料!$K$4:$K$1203,对接源_02物料!$C$4:$C$1203,$B69,对接源_02物料!$D$4:$D$1203,"次果筐*",对接源_02物料!$L$4:$L$1203,"已付款"),2))</f>
        <v/>
      </c>
      <c r="J69" s="18" t="str">
        <f t="shared" si="6"/>
        <v/>
      </c>
      <c r="K69" s="16" t="str">
        <f t="shared" si="7"/>
        <v/>
      </c>
      <c r="L69" s="26"/>
    </row>
    <row r="70" customHeight="1" spans="1:12">
      <c r="A70" s="16" t="str">
        <f t="shared" si="4"/>
        <v/>
      </c>
      <c r="B70" s="11" t="str">
        <f>IFERROR(INDEX(_自动清单!$E$4:$E$303,ROW()-3),"")</f>
        <v/>
      </c>
      <c r="C70" s="18" t="str">
        <f>IF($B70="","",ROUND(SUMIFS(对接源_01水果!$K$4:$K$1203,对接源_01水果!$C$4:$C$1203,$B70,对接源_01水果!$D$4:$D$1203,"成品出库*"),2))</f>
        <v/>
      </c>
      <c r="D70" s="18" t="str">
        <f>IF($B70="","",ROUND(SUMIFS(对接源_01水果!$K$4:$K$1203,对接源_01水果!$C$4:$C$1203,$B70,对接源_01水果!$D$4:$D$1203,"其他代存*"),2))</f>
        <v/>
      </c>
      <c r="E70" s="18" t="str">
        <f>IF($B70="","",ROUND(SUMIFS(对接源_02物料!$K$4:$K$1203,对接源_02物料!$C$4:$C$1203,$B70,对接源_02物料!$D$4:$D$1203,"包装物料*"),2))</f>
        <v/>
      </c>
      <c r="F70" s="18" t="str">
        <f>IF($B70="","",ROUND(SUMIFS(对接源_02物料!$K$4:$K$1203,对接源_02物料!$C$4:$C$1203,$B70,对接源_02物料!$D$4:$D$1203,"周转筐*"),2))</f>
        <v/>
      </c>
      <c r="G70" s="18" t="str">
        <f>IF($B70="","",ROUND(SUMIFS(对接源_02物料!$K$4:$K$1203,对接源_02物料!$C$4:$C$1203,$B70,对接源_02物料!$D$4:$D$1203,"次果筐*"),2))</f>
        <v/>
      </c>
      <c r="H70" s="18" t="str">
        <f t="shared" si="5"/>
        <v/>
      </c>
      <c r="I70" s="18" t="str">
        <f>IF($B70="","",ROUND(SUMIFS(对接源_01水果!$K$4:$K$1203,对接源_01水果!$C$4:$C$1203,$B70,对接源_01水果!$D$4:$D$1203,"成品出库*",对接源_01水果!$L$4:$L$1203,"已收讫")+SUMIFS(对接源_01水果!$K$4:$K$1203,对接源_01水果!$C$4:$C$1203,$B70,对接源_01水果!$D$4:$D$1203,"成品出库*",对接源_01水果!$L$4:$L$1203,"已付款")+SUMIFS(对接源_01水果!$K$4:$K$1203,对接源_01水果!$C$4:$C$1203,$B70,对接源_01水果!$D$4:$D$1203,"其他代存*",对接源_01水果!$L$4:$L$1203,"已收讫")+SUMIFS(对接源_01水果!$K$4:$K$1203,对接源_01水果!$C$4:$C$1203,$B70,对接源_01水果!$D$4:$D$1203,"其他代存*",对接源_01水果!$L$4:$L$1203,"已付款")+SUMIFS(对接源_02物料!$K$4:$K$1203,对接源_02物料!$C$4:$C$1203,$B70,对接源_02物料!$D$4:$D$1203,"包装物料*",对接源_02物料!$L$4:$L$1203,"已收讫")+SUMIFS(对接源_02物料!$K$4:$K$1203,对接源_02物料!$C$4:$C$1203,$B70,对接源_02物料!$D$4:$D$1203,"包装物料*",对接源_02物料!$L$4:$L$1203,"已付款")+SUMIFS(对接源_02物料!$K$4:$K$1203,对接源_02物料!$C$4:$C$1203,$B70,对接源_02物料!$D$4:$D$1203,"周转筐*",对接源_02物料!$L$4:$L$1203,"已收讫")+SUMIFS(对接源_02物料!$K$4:$K$1203,对接源_02物料!$C$4:$C$1203,$B70,对接源_02物料!$D$4:$D$1203,"周转筐*",对接源_02物料!$L$4:$L$1203,"已付款")+SUMIFS(对接源_02物料!$K$4:$K$1203,对接源_02物料!$C$4:$C$1203,$B70,对接源_02物料!$D$4:$D$1203,"次果筐*",对接源_02物料!$L$4:$L$1203,"已收讫")+SUMIFS(对接源_02物料!$K$4:$K$1203,对接源_02物料!$C$4:$C$1203,$B70,对接源_02物料!$D$4:$D$1203,"次果筐*",对接源_02物料!$L$4:$L$1203,"已付款"),2))</f>
        <v/>
      </c>
      <c r="J70" s="18" t="str">
        <f t="shared" si="6"/>
        <v/>
      </c>
      <c r="K70" s="16" t="str">
        <f t="shared" si="7"/>
        <v/>
      </c>
      <c r="L70" s="26"/>
    </row>
    <row r="71" customHeight="1" spans="1:12">
      <c r="A71" s="16" t="str">
        <f t="shared" si="4"/>
        <v/>
      </c>
      <c r="B71" s="11" t="str">
        <f>IFERROR(INDEX(_自动清单!$E$4:$E$303,ROW()-3),"")</f>
        <v/>
      </c>
      <c r="C71" s="18" t="str">
        <f>IF($B71="","",ROUND(SUMIFS(对接源_01水果!$K$4:$K$1203,对接源_01水果!$C$4:$C$1203,$B71,对接源_01水果!$D$4:$D$1203,"成品出库*"),2))</f>
        <v/>
      </c>
      <c r="D71" s="18" t="str">
        <f>IF($B71="","",ROUND(SUMIFS(对接源_01水果!$K$4:$K$1203,对接源_01水果!$C$4:$C$1203,$B71,对接源_01水果!$D$4:$D$1203,"其他代存*"),2))</f>
        <v/>
      </c>
      <c r="E71" s="18" t="str">
        <f>IF($B71="","",ROUND(SUMIFS(对接源_02物料!$K$4:$K$1203,对接源_02物料!$C$4:$C$1203,$B71,对接源_02物料!$D$4:$D$1203,"包装物料*"),2))</f>
        <v/>
      </c>
      <c r="F71" s="18" t="str">
        <f>IF($B71="","",ROUND(SUMIFS(对接源_02物料!$K$4:$K$1203,对接源_02物料!$C$4:$C$1203,$B71,对接源_02物料!$D$4:$D$1203,"周转筐*"),2))</f>
        <v/>
      </c>
      <c r="G71" s="18" t="str">
        <f>IF($B71="","",ROUND(SUMIFS(对接源_02物料!$K$4:$K$1203,对接源_02物料!$C$4:$C$1203,$B71,对接源_02物料!$D$4:$D$1203,"次果筐*"),2))</f>
        <v/>
      </c>
      <c r="H71" s="18" t="str">
        <f t="shared" si="5"/>
        <v/>
      </c>
      <c r="I71" s="18" t="str">
        <f>IF($B71="","",ROUND(SUMIFS(对接源_01水果!$K$4:$K$1203,对接源_01水果!$C$4:$C$1203,$B71,对接源_01水果!$D$4:$D$1203,"成品出库*",对接源_01水果!$L$4:$L$1203,"已收讫")+SUMIFS(对接源_01水果!$K$4:$K$1203,对接源_01水果!$C$4:$C$1203,$B71,对接源_01水果!$D$4:$D$1203,"成品出库*",对接源_01水果!$L$4:$L$1203,"已付款")+SUMIFS(对接源_01水果!$K$4:$K$1203,对接源_01水果!$C$4:$C$1203,$B71,对接源_01水果!$D$4:$D$1203,"其他代存*",对接源_01水果!$L$4:$L$1203,"已收讫")+SUMIFS(对接源_01水果!$K$4:$K$1203,对接源_01水果!$C$4:$C$1203,$B71,对接源_01水果!$D$4:$D$1203,"其他代存*",对接源_01水果!$L$4:$L$1203,"已付款")+SUMIFS(对接源_02物料!$K$4:$K$1203,对接源_02物料!$C$4:$C$1203,$B71,对接源_02物料!$D$4:$D$1203,"包装物料*",对接源_02物料!$L$4:$L$1203,"已收讫")+SUMIFS(对接源_02物料!$K$4:$K$1203,对接源_02物料!$C$4:$C$1203,$B71,对接源_02物料!$D$4:$D$1203,"包装物料*",对接源_02物料!$L$4:$L$1203,"已付款")+SUMIFS(对接源_02物料!$K$4:$K$1203,对接源_02物料!$C$4:$C$1203,$B71,对接源_02物料!$D$4:$D$1203,"周转筐*",对接源_02物料!$L$4:$L$1203,"已收讫")+SUMIFS(对接源_02物料!$K$4:$K$1203,对接源_02物料!$C$4:$C$1203,$B71,对接源_02物料!$D$4:$D$1203,"周转筐*",对接源_02物料!$L$4:$L$1203,"已付款")+SUMIFS(对接源_02物料!$K$4:$K$1203,对接源_02物料!$C$4:$C$1203,$B71,对接源_02物料!$D$4:$D$1203,"次果筐*",对接源_02物料!$L$4:$L$1203,"已收讫")+SUMIFS(对接源_02物料!$K$4:$K$1203,对接源_02物料!$C$4:$C$1203,$B71,对接源_02物料!$D$4:$D$1203,"次果筐*",对接源_02物料!$L$4:$L$1203,"已付款"),2))</f>
        <v/>
      </c>
      <c r="J71" s="18" t="str">
        <f t="shared" si="6"/>
        <v/>
      </c>
      <c r="K71" s="16" t="str">
        <f t="shared" si="7"/>
        <v/>
      </c>
      <c r="L71" s="26"/>
    </row>
    <row r="72" customHeight="1" spans="1:12">
      <c r="A72" s="16" t="str">
        <f t="shared" si="4"/>
        <v/>
      </c>
      <c r="B72" s="11" t="str">
        <f>IFERROR(INDEX(_自动清单!$E$4:$E$303,ROW()-3),"")</f>
        <v/>
      </c>
      <c r="C72" s="18" t="str">
        <f>IF($B72="","",ROUND(SUMIFS(对接源_01水果!$K$4:$K$1203,对接源_01水果!$C$4:$C$1203,$B72,对接源_01水果!$D$4:$D$1203,"成品出库*"),2))</f>
        <v/>
      </c>
      <c r="D72" s="18" t="str">
        <f>IF($B72="","",ROUND(SUMIFS(对接源_01水果!$K$4:$K$1203,对接源_01水果!$C$4:$C$1203,$B72,对接源_01水果!$D$4:$D$1203,"其他代存*"),2))</f>
        <v/>
      </c>
      <c r="E72" s="18" t="str">
        <f>IF($B72="","",ROUND(SUMIFS(对接源_02物料!$K$4:$K$1203,对接源_02物料!$C$4:$C$1203,$B72,对接源_02物料!$D$4:$D$1203,"包装物料*"),2))</f>
        <v/>
      </c>
      <c r="F72" s="18" t="str">
        <f>IF($B72="","",ROUND(SUMIFS(对接源_02物料!$K$4:$K$1203,对接源_02物料!$C$4:$C$1203,$B72,对接源_02物料!$D$4:$D$1203,"周转筐*"),2))</f>
        <v/>
      </c>
      <c r="G72" s="18" t="str">
        <f>IF($B72="","",ROUND(SUMIFS(对接源_02物料!$K$4:$K$1203,对接源_02物料!$C$4:$C$1203,$B72,对接源_02物料!$D$4:$D$1203,"次果筐*"),2))</f>
        <v/>
      </c>
      <c r="H72" s="18" t="str">
        <f t="shared" si="5"/>
        <v/>
      </c>
      <c r="I72" s="18" t="str">
        <f>IF($B72="","",ROUND(SUMIFS(对接源_01水果!$K$4:$K$1203,对接源_01水果!$C$4:$C$1203,$B72,对接源_01水果!$D$4:$D$1203,"成品出库*",对接源_01水果!$L$4:$L$1203,"已收讫")+SUMIFS(对接源_01水果!$K$4:$K$1203,对接源_01水果!$C$4:$C$1203,$B72,对接源_01水果!$D$4:$D$1203,"成品出库*",对接源_01水果!$L$4:$L$1203,"已付款")+SUMIFS(对接源_01水果!$K$4:$K$1203,对接源_01水果!$C$4:$C$1203,$B72,对接源_01水果!$D$4:$D$1203,"其他代存*",对接源_01水果!$L$4:$L$1203,"已收讫")+SUMIFS(对接源_01水果!$K$4:$K$1203,对接源_01水果!$C$4:$C$1203,$B72,对接源_01水果!$D$4:$D$1203,"其他代存*",对接源_01水果!$L$4:$L$1203,"已付款")+SUMIFS(对接源_02物料!$K$4:$K$1203,对接源_02物料!$C$4:$C$1203,$B72,对接源_02物料!$D$4:$D$1203,"包装物料*",对接源_02物料!$L$4:$L$1203,"已收讫")+SUMIFS(对接源_02物料!$K$4:$K$1203,对接源_02物料!$C$4:$C$1203,$B72,对接源_02物料!$D$4:$D$1203,"包装物料*",对接源_02物料!$L$4:$L$1203,"已付款")+SUMIFS(对接源_02物料!$K$4:$K$1203,对接源_02物料!$C$4:$C$1203,$B72,对接源_02物料!$D$4:$D$1203,"周转筐*",对接源_02物料!$L$4:$L$1203,"已收讫")+SUMIFS(对接源_02物料!$K$4:$K$1203,对接源_02物料!$C$4:$C$1203,$B72,对接源_02物料!$D$4:$D$1203,"周转筐*",对接源_02物料!$L$4:$L$1203,"已付款")+SUMIFS(对接源_02物料!$K$4:$K$1203,对接源_02物料!$C$4:$C$1203,$B72,对接源_02物料!$D$4:$D$1203,"次果筐*",对接源_02物料!$L$4:$L$1203,"已收讫")+SUMIFS(对接源_02物料!$K$4:$K$1203,对接源_02物料!$C$4:$C$1203,$B72,对接源_02物料!$D$4:$D$1203,"次果筐*",对接源_02物料!$L$4:$L$1203,"已付款"),2))</f>
        <v/>
      </c>
      <c r="J72" s="18" t="str">
        <f t="shared" si="6"/>
        <v/>
      </c>
      <c r="K72" s="16" t="str">
        <f t="shared" si="7"/>
        <v/>
      </c>
      <c r="L72" s="26"/>
    </row>
    <row r="73" customHeight="1" spans="1:12">
      <c r="A73" s="16" t="str">
        <f t="shared" si="4"/>
        <v/>
      </c>
      <c r="B73" s="11" t="str">
        <f>IFERROR(INDEX(_自动清单!$E$4:$E$303,ROW()-3),"")</f>
        <v/>
      </c>
      <c r="C73" s="18" t="str">
        <f>IF($B73="","",ROUND(SUMIFS(对接源_01水果!$K$4:$K$1203,对接源_01水果!$C$4:$C$1203,$B73,对接源_01水果!$D$4:$D$1203,"成品出库*"),2))</f>
        <v/>
      </c>
      <c r="D73" s="18" t="str">
        <f>IF($B73="","",ROUND(SUMIFS(对接源_01水果!$K$4:$K$1203,对接源_01水果!$C$4:$C$1203,$B73,对接源_01水果!$D$4:$D$1203,"其他代存*"),2))</f>
        <v/>
      </c>
      <c r="E73" s="18" t="str">
        <f>IF($B73="","",ROUND(SUMIFS(对接源_02物料!$K$4:$K$1203,对接源_02物料!$C$4:$C$1203,$B73,对接源_02物料!$D$4:$D$1203,"包装物料*"),2))</f>
        <v/>
      </c>
      <c r="F73" s="18" t="str">
        <f>IF($B73="","",ROUND(SUMIFS(对接源_02物料!$K$4:$K$1203,对接源_02物料!$C$4:$C$1203,$B73,对接源_02物料!$D$4:$D$1203,"周转筐*"),2))</f>
        <v/>
      </c>
      <c r="G73" s="18" t="str">
        <f>IF($B73="","",ROUND(SUMIFS(对接源_02物料!$K$4:$K$1203,对接源_02物料!$C$4:$C$1203,$B73,对接源_02物料!$D$4:$D$1203,"次果筐*"),2))</f>
        <v/>
      </c>
      <c r="H73" s="18" t="str">
        <f t="shared" si="5"/>
        <v/>
      </c>
      <c r="I73" s="18" t="str">
        <f>IF($B73="","",ROUND(SUMIFS(对接源_01水果!$K$4:$K$1203,对接源_01水果!$C$4:$C$1203,$B73,对接源_01水果!$D$4:$D$1203,"成品出库*",对接源_01水果!$L$4:$L$1203,"已收讫")+SUMIFS(对接源_01水果!$K$4:$K$1203,对接源_01水果!$C$4:$C$1203,$B73,对接源_01水果!$D$4:$D$1203,"成品出库*",对接源_01水果!$L$4:$L$1203,"已付款")+SUMIFS(对接源_01水果!$K$4:$K$1203,对接源_01水果!$C$4:$C$1203,$B73,对接源_01水果!$D$4:$D$1203,"其他代存*",对接源_01水果!$L$4:$L$1203,"已收讫")+SUMIFS(对接源_01水果!$K$4:$K$1203,对接源_01水果!$C$4:$C$1203,$B73,对接源_01水果!$D$4:$D$1203,"其他代存*",对接源_01水果!$L$4:$L$1203,"已付款")+SUMIFS(对接源_02物料!$K$4:$K$1203,对接源_02物料!$C$4:$C$1203,$B73,对接源_02物料!$D$4:$D$1203,"包装物料*",对接源_02物料!$L$4:$L$1203,"已收讫")+SUMIFS(对接源_02物料!$K$4:$K$1203,对接源_02物料!$C$4:$C$1203,$B73,对接源_02物料!$D$4:$D$1203,"包装物料*",对接源_02物料!$L$4:$L$1203,"已付款")+SUMIFS(对接源_02物料!$K$4:$K$1203,对接源_02物料!$C$4:$C$1203,$B73,对接源_02物料!$D$4:$D$1203,"周转筐*",对接源_02物料!$L$4:$L$1203,"已收讫")+SUMIFS(对接源_02物料!$K$4:$K$1203,对接源_02物料!$C$4:$C$1203,$B73,对接源_02物料!$D$4:$D$1203,"周转筐*",对接源_02物料!$L$4:$L$1203,"已付款")+SUMIFS(对接源_02物料!$K$4:$K$1203,对接源_02物料!$C$4:$C$1203,$B73,对接源_02物料!$D$4:$D$1203,"次果筐*",对接源_02物料!$L$4:$L$1203,"已收讫")+SUMIFS(对接源_02物料!$K$4:$K$1203,对接源_02物料!$C$4:$C$1203,$B73,对接源_02物料!$D$4:$D$1203,"次果筐*",对接源_02物料!$L$4:$L$1203,"已付款"),2))</f>
        <v/>
      </c>
      <c r="J73" s="18" t="str">
        <f t="shared" si="6"/>
        <v/>
      </c>
      <c r="K73" s="16" t="str">
        <f t="shared" si="7"/>
        <v/>
      </c>
      <c r="L73" s="26"/>
    </row>
    <row r="74" customHeight="1" spans="1:12">
      <c r="A74" s="16" t="str">
        <f t="shared" si="4"/>
        <v/>
      </c>
      <c r="B74" s="11" t="str">
        <f>IFERROR(INDEX(_自动清单!$E$4:$E$303,ROW()-3),"")</f>
        <v/>
      </c>
      <c r="C74" s="18" t="str">
        <f>IF($B74="","",ROUND(SUMIFS(对接源_01水果!$K$4:$K$1203,对接源_01水果!$C$4:$C$1203,$B74,对接源_01水果!$D$4:$D$1203,"成品出库*"),2))</f>
        <v/>
      </c>
      <c r="D74" s="18" t="str">
        <f>IF($B74="","",ROUND(SUMIFS(对接源_01水果!$K$4:$K$1203,对接源_01水果!$C$4:$C$1203,$B74,对接源_01水果!$D$4:$D$1203,"其他代存*"),2))</f>
        <v/>
      </c>
      <c r="E74" s="18" t="str">
        <f>IF($B74="","",ROUND(SUMIFS(对接源_02物料!$K$4:$K$1203,对接源_02物料!$C$4:$C$1203,$B74,对接源_02物料!$D$4:$D$1203,"包装物料*"),2))</f>
        <v/>
      </c>
      <c r="F74" s="18" t="str">
        <f>IF($B74="","",ROUND(SUMIFS(对接源_02物料!$K$4:$K$1203,对接源_02物料!$C$4:$C$1203,$B74,对接源_02物料!$D$4:$D$1203,"周转筐*"),2))</f>
        <v/>
      </c>
      <c r="G74" s="18" t="str">
        <f>IF($B74="","",ROUND(SUMIFS(对接源_02物料!$K$4:$K$1203,对接源_02物料!$C$4:$C$1203,$B74,对接源_02物料!$D$4:$D$1203,"次果筐*"),2))</f>
        <v/>
      </c>
      <c r="H74" s="18" t="str">
        <f t="shared" si="5"/>
        <v/>
      </c>
      <c r="I74" s="18" t="str">
        <f>IF($B74="","",ROUND(SUMIFS(对接源_01水果!$K$4:$K$1203,对接源_01水果!$C$4:$C$1203,$B74,对接源_01水果!$D$4:$D$1203,"成品出库*",对接源_01水果!$L$4:$L$1203,"已收讫")+SUMIFS(对接源_01水果!$K$4:$K$1203,对接源_01水果!$C$4:$C$1203,$B74,对接源_01水果!$D$4:$D$1203,"成品出库*",对接源_01水果!$L$4:$L$1203,"已付款")+SUMIFS(对接源_01水果!$K$4:$K$1203,对接源_01水果!$C$4:$C$1203,$B74,对接源_01水果!$D$4:$D$1203,"其他代存*",对接源_01水果!$L$4:$L$1203,"已收讫")+SUMIFS(对接源_01水果!$K$4:$K$1203,对接源_01水果!$C$4:$C$1203,$B74,对接源_01水果!$D$4:$D$1203,"其他代存*",对接源_01水果!$L$4:$L$1203,"已付款")+SUMIFS(对接源_02物料!$K$4:$K$1203,对接源_02物料!$C$4:$C$1203,$B74,对接源_02物料!$D$4:$D$1203,"包装物料*",对接源_02物料!$L$4:$L$1203,"已收讫")+SUMIFS(对接源_02物料!$K$4:$K$1203,对接源_02物料!$C$4:$C$1203,$B74,对接源_02物料!$D$4:$D$1203,"包装物料*",对接源_02物料!$L$4:$L$1203,"已付款")+SUMIFS(对接源_02物料!$K$4:$K$1203,对接源_02物料!$C$4:$C$1203,$B74,对接源_02物料!$D$4:$D$1203,"周转筐*",对接源_02物料!$L$4:$L$1203,"已收讫")+SUMIFS(对接源_02物料!$K$4:$K$1203,对接源_02物料!$C$4:$C$1203,$B74,对接源_02物料!$D$4:$D$1203,"周转筐*",对接源_02物料!$L$4:$L$1203,"已付款")+SUMIFS(对接源_02物料!$K$4:$K$1203,对接源_02物料!$C$4:$C$1203,$B74,对接源_02物料!$D$4:$D$1203,"次果筐*",对接源_02物料!$L$4:$L$1203,"已收讫")+SUMIFS(对接源_02物料!$K$4:$K$1203,对接源_02物料!$C$4:$C$1203,$B74,对接源_02物料!$D$4:$D$1203,"次果筐*",对接源_02物料!$L$4:$L$1203,"已付款"),2))</f>
        <v/>
      </c>
      <c r="J74" s="18" t="str">
        <f t="shared" si="6"/>
        <v/>
      </c>
      <c r="K74" s="16" t="str">
        <f t="shared" si="7"/>
        <v/>
      </c>
      <c r="L74" s="26"/>
    </row>
    <row r="75" customHeight="1" spans="1:12">
      <c r="A75" s="16" t="str">
        <f t="shared" si="4"/>
        <v/>
      </c>
      <c r="B75" s="11" t="str">
        <f>IFERROR(INDEX(_自动清单!$E$4:$E$303,ROW()-3),"")</f>
        <v/>
      </c>
      <c r="C75" s="18" t="str">
        <f>IF($B75="","",ROUND(SUMIFS(对接源_01水果!$K$4:$K$1203,对接源_01水果!$C$4:$C$1203,$B75,对接源_01水果!$D$4:$D$1203,"成品出库*"),2))</f>
        <v/>
      </c>
      <c r="D75" s="18" t="str">
        <f>IF($B75="","",ROUND(SUMIFS(对接源_01水果!$K$4:$K$1203,对接源_01水果!$C$4:$C$1203,$B75,对接源_01水果!$D$4:$D$1203,"其他代存*"),2))</f>
        <v/>
      </c>
      <c r="E75" s="18" t="str">
        <f>IF($B75="","",ROUND(SUMIFS(对接源_02物料!$K$4:$K$1203,对接源_02物料!$C$4:$C$1203,$B75,对接源_02物料!$D$4:$D$1203,"包装物料*"),2))</f>
        <v/>
      </c>
      <c r="F75" s="18" t="str">
        <f>IF($B75="","",ROUND(SUMIFS(对接源_02物料!$K$4:$K$1203,对接源_02物料!$C$4:$C$1203,$B75,对接源_02物料!$D$4:$D$1203,"周转筐*"),2))</f>
        <v/>
      </c>
      <c r="G75" s="18" t="str">
        <f>IF($B75="","",ROUND(SUMIFS(对接源_02物料!$K$4:$K$1203,对接源_02物料!$C$4:$C$1203,$B75,对接源_02物料!$D$4:$D$1203,"次果筐*"),2))</f>
        <v/>
      </c>
      <c r="H75" s="18" t="str">
        <f t="shared" si="5"/>
        <v/>
      </c>
      <c r="I75" s="18" t="str">
        <f>IF($B75="","",ROUND(SUMIFS(对接源_01水果!$K$4:$K$1203,对接源_01水果!$C$4:$C$1203,$B75,对接源_01水果!$D$4:$D$1203,"成品出库*",对接源_01水果!$L$4:$L$1203,"已收讫")+SUMIFS(对接源_01水果!$K$4:$K$1203,对接源_01水果!$C$4:$C$1203,$B75,对接源_01水果!$D$4:$D$1203,"成品出库*",对接源_01水果!$L$4:$L$1203,"已付款")+SUMIFS(对接源_01水果!$K$4:$K$1203,对接源_01水果!$C$4:$C$1203,$B75,对接源_01水果!$D$4:$D$1203,"其他代存*",对接源_01水果!$L$4:$L$1203,"已收讫")+SUMIFS(对接源_01水果!$K$4:$K$1203,对接源_01水果!$C$4:$C$1203,$B75,对接源_01水果!$D$4:$D$1203,"其他代存*",对接源_01水果!$L$4:$L$1203,"已付款")+SUMIFS(对接源_02物料!$K$4:$K$1203,对接源_02物料!$C$4:$C$1203,$B75,对接源_02物料!$D$4:$D$1203,"包装物料*",对接源_02物料!$L$4:$L$1203,"已收讫")+SUMIFS(对接源_02物料!$K$4:$K$1203,对接源_02物料!$C$4:$C$1203,$B75,对接源_02物料!$D$4:$D$1203,"包装物料*",对接源_02物料!$L$4:$L$1203,"已付款")+SUMIFS(对接源_02物料!$K$4:$K$1203,对接源_02物料!$C$4:$C$1203,$B75,对接源_02物料!$D$4:$D$1203,"周转筐*",对接源_02物料!$L$4:$L$1203,"已收讫")+SUMIFS(对接源_02物料!$K$4:$K$1203,对接源_02物料!$C$4:$C$1203,$B75,对接源_02物料!$D$4:$D$1203,"周转筐*",对接源_02物料!$L$4:$L$1203,"已付款")+SUMIFS(对接源_02物料!$K$4:$K$1203,对接源_02物料!$C$4:$C$1203,$B75,对接源_02物料!$D$4:$D$1203,"次果筐*",对接源_02物料!$L$4:$L$1203,"已收讫")+SUMIFS(对接源_02物料!$K$4:$K$1203,对接源_02物料!$C$4:$C$1203,$B75,对接源_02物料!$D$4:$D$1203,"次果筐*",对接源_02物料!$L$4:$L$1203,"已付款"),2))</f>
        <v/>
      </c>
      <c r="J75" s="18" t="str">
        <f t="shared" si="6"/>
        <v/>
      </c>
      <c r="K75" s="16" t="str">
        <f t="shared" si="7"/>
        <v/>
      </c>
      <c r="L75" s="26"/>
    </row>
    <row r="76" customHeight="1" spans="1:12">
      <c r="A76" s="16" t="str">
        <f t="shared" si="4"/>
        <v/>
      </c>
      <c r="B76" s="11" t="str">
        <f>IFERROR(INDEX(_自动清单!$E$4:$E$303,ROW()-3),"")</f>
        <v/>
      </c>
      <c r="C76" s="18" t="str">
        <f>IF($B76="","",ROUND(SUMIFS(对接源_01水果!$K$4:$K$1203,对接源_01水果!$C$4:$C$1203,$B76,对接源_01水果!$D$4:$D$1203,"成品出库*"),2))</f>
        <v/>
      </c>
      <c r="D76" s="18" t="str">
        <f>IF($B76="","",ROUND(SUMIFS(对接源_01水果!$K$4:$K$1203,对接源_01水果!$C$4:$C$1203,$B76,对接源_01水果!$D$4:$D$1203,"其他代存*"),2))</f>
        <v/>
      </c>
      <c r="E76" s="18" t="str">
        <f>IF($B76="","",ROUND(SUMIFS(对接源_02物料!$K$4:$K$1203,对接源_02物料!$C$4:$C$1203,$B76,对接源_02物料!$D$4:$D$1203,"包装物料*"),2))</f>
        <v/>
      </c>
      <c r="F76" s="18" t="str">
        <f>IF($B76="","",ROUND(SUMIFS(对接源_02物料!$K$4:$K$1203,对接源_02物料!$C$4:$C$1203,$B76,对接源_02物料!$D$4:$D$1203,"周转筐*"),2))</f>
        <v/>
      </c>
      <c r="G76" s="18" t="str">
        <f>IF($B76="","",ROUND(SUMIFS(对接源_02物料!$K$4:$K$1203,对接源_02物料!$C$4:$C$1203,$B76,对接源_02物料!$D$4:$D$1203,"次果筐*"),2))</f>
        <v/>
      </c>
      <c r="H76" s="18" t="str">
        <f t="shared" si="5"/>
        <v/>
      </c>
      <c r="I76" s="18" t="str">
        <f>IF($B76="","",ROUND(SUMIFS(对接源_01水果!$K$4:$K$1203,对接源_01水果!$C$4:$C$1203,$B76,对接源_01水果!$D$4:$D$1203,"成品出库*",对接源_01水果!$L$4:$L$1203,"已收讫")+SUMIFS(对接源_01水果!$K$4:$K$1203,对接源_01水果!$C$4:$C$1203,$B76,对接源_01水果!$D$4:$D$1203,"成品出库*",对接源_01水果!$L$4:$L$1203,"已付款")+SUMIFS(对接源_01水果!$K$4:$K$1203,对接源_01水果!$C$4:$C$1203,$B76,对接源_01水果!$D$4:$D$1203,"其他代存*",对接源_01水果!$L$4:$L$1203,"已收讫")+SUMIFS(对接源_01水果!$K$4:$K$1203,对接源_01水果!$C$4:$C$1203,$B76,对接源_01水果!$D$4:$D$1203,"其他代存*",对接源_01水果!$L$4:$L$1203,"已付款")+SUMIFS(对接源_02物料!$K$4:$K$1203,对接源_02物料!$C$4:$C$1203,$B76,对接源_02物料!$D$4:$D$1203,"包装物料*",对接源_02物料!$L$4:$L$1203,"已收讫")+SUMIFS(对接源_02物料!$K$4:$K$1203,对接源_02物料!$C$4:$C$1203,$B76,对接源_02物料!$D$4:$D$1203,"包装物料*",对接源_02物料!$L$4:$L$1203,"已付款")+SUMIFS(对接源_02物料!$K$4:$K$1203,对接源_02物料!$C$4:$C$1203,$B76,对接源_02物料!$D$4:$D$1203,"周转筐*",对接源_02物料!$L$4:$L$1203,"已收讫")+SUMIFS(对接源_02物料!$K$4:$K$1203,对接源_02物料!$C$4:$C$1203,$B76,对接源_02物料!$D$4:$D$1203,"周转筐*",对接源_02物料!$L$4:$L$1203,"已付款")+SUMIFS(对接源_02物料!$K$4:$K$1203,对接源_02物料!$C$4:$C$1203,$B76,对接源_02物料!$D$4:$D$1203,"次果筐*",对接源_02物料!$L$4:$L$1203,"已收讫")+SUMIFS(对接源_02物料!$K$4:$K$1203,对接源_02物料!$C$4:$C$1203,$B76,对接源_02物料!$D$4:$D$1203,"次果筐*",对接源_02物料!$L$4:$L$1203,"已付款"),2))</f>
        <v/>
      </c>
      <c r="J76" s="18" t="str">
        <f t="shared" si="6"/>
        <v/>
      </c>
      <c r="K76" s="16" t="str">
        <f t="shared" si="7"/>
        <v/>
      </c>
      <c r="L76" s="26"/>
    </row>
    <row r="77" customHeight="1" spans="1:12">
      <c r="A77" s="16" t="str">
        <f t="shared" si="4"/>
        <v/>
      </c>
      <c r="B77" s="11" t="str">
        <f>IFERROR(INDEX(_自动清单!$E$4:$E$303,ROW()-3),"")</f>
        <v/>
      </c>
      <c r="C77" s="18" t="str">
        <f>IF($B77="","",ROUND(SUMIFS(对接源_01水果!$K$4:$K$1203,对接源_01水果!$C$4:$C$1203,$B77,对接源_01水果!$D$4:$D$1203,"成品出库*"),2))</f>
        <v/>
      </c>
      <c r="D77" s="18" t="str">
        <f>IF($B77="","",ROUND(SUMIFS(对接源_01水果!$K$4:$K$1203,对接源_01水果!$C$4:$C$1203,$B77,对接源_01水果!$D$4:$D$1203,"其他代存*"),2))</f>
        <v/>
      </c>
      <c r="E77" s="18" t="str">
        <f>IF($B77="","",ROUND(SUMIFS(对接源_02物料!$K$4:$K$1203,对接源_02物料!$C$4:$C$1203,$B77,对接源_02物料!$D$4:$D$1203,"包装物料*"),2))</f>
        <v/>
      </c>
      <c r="F77" s="18" t="str">
        <f>IF($B77="","",ROUND(SUMIFS(对接源_02物料!$K$4:$K$1203,对接源_02物料!$C$4:$C$1203,$B77,对接源_02物料!$D$4:$D$1203,"周转筐*"),2))</f>
        <v/>
      </c>
      <c r="G77" s="18" t="str">
        <f>IF($B77="","",ROUND(SUMIFS(对接源_02物料!$K$4:$K$1203,对接源_02物料!$C$4:$C$1203,$B77,对接源_02物料!$D$4:$D$1203,"次果筐*"),2))</f>
        <v/>
      </c>
      <c r="H77" s="18" t="str">
        <f t="shared" si="5"/>
        <v/>
      </c>
      <c r="I77" s="18" t="str">
        <f>IF($B77="","",ROUND(SUMIFS(对接源_01水果!$K$4:$K$1203,对接源_01水果!$C$4:$C$1203,$B77,对接源_01水果!$D$4:$D$1203,"成品出库*",对接源_01水果!$L$4:$L$1203,"已收讫")+SUMIFS(对接源_01水果!$K$4:$K$1203,对接源_01水果!$C$4:$C$1203,$B77,对接源_01水果!$D$4:$D$1203,"成品出库*",对接源_01水果!$L$4:$L$1203,"已付款")+SUMIFS(对接源_01水果!$K$4:$K$1203,对接源_01水果!$C$4:$C$1203,$B77,对接源_01水果!$D$4:$D$1203,"其他代存*",对接源_01水果!$L$4:$L$1203,"已收讫")+SUMIFS(对接源_01水果!$K$4:$K$1203,对接源_01水果!$C$4:$C$1203,$B77,对接源_01水果!$D$4:$D$1203,"其他代存*",对接源_01水果!$L$4:$L$1203,"已付款")+SUMIFS(对接源_02物料!$K$4:$K$1203,对接源_02物料!$C$4:$C$1203,$B77,对接源_02物料!$D$4:$D$1203,"包装物料*",对接源_02物料!$L$4:$L$1203,"已收讫")+SUMIFS(对接源_02物料!$K$4:$K$1203,对接源_02物料!$C$4:$C$1203,$B77,对接源_02物料!$D$4:$D$1203,"包装物料*",对接源_02物料!$L$4:$L$1203,"已付款")+SUMIFS(对接源_02物料!$K$4:$K$1203,对接源_02物料!$C$4:$C$1203,$B77,对接源_02物料!$D$4:$D$1203,"周转筐*",对接源_02物料!$L$4:$L$1203,"已收讫")+SUMIFS(对接源_02物料!$K$4:$K$1203,对接源_02物料!$C$4:$C$1203,$B77,对接源_02物料!$D$4:$D$1203,"周转筐*",对接源_02物料!$L$4:$L$1203,"已付款")+SUMIFS(对接源_02物料!$K$4:$K$1203,对接源_02物料!$C$4:$C$1203,$B77,对接源_02物料!$D$4:$D$1203,"次果筐*",对接源_02物料!$L$4:$L$1203,"已收讫")+SUMIFS(对接源_02物料!$K$4:$K$1203,对接源_02物料!$C$4:$C$1203,$B77,对接源_02物料!$D$4:$D$1203,"次果筐*",对接源_02物料!$L$4:$L$1203,"已付款"),2))</f>
        <v/>
      </c>
      <c r="J77" s="18" t="str">
        <f t="shared" si="6"/>
        <v/>
      </c>
      <c r="K77" s="16" t="str">
        <f t="shared" si="7"/>
        <v/>
      </c>
      <c r="L77" s="26"/>
    </row>
    <row r="78" customHeight="1" spans="1:12">
      <c r="A78" s="16" t="str">
        <f t="shared" si="4"/>
        <v/>
      </c>
      <c r="B78" s="11" t="str">
        <f>IFERROR(INDEX(_自动清单!$E$4:$E$303,ROW()-3),"")</f>
        <v/>
      </c>
      <c r="C78" s="18" t="str">
        <f>IF($B78="","",ROUND(SUMIFS(对接源_01水果!$K$4:$K$1203,对接源_01水果!$C$4:$C$1203,$B78,对接源_01水果!$D$4:$D$1203,"成品出库*"),2))</f>
        <v/>
      </c>
      <c r="D78" s="18" t="str">
        <f>IF($B78="","",ROUND(SUMIFS(对接源_01水果!$K$4:$K$1203,对接源_01水果!$C$4:$C$1203,$B78,对接源_01水果!$D$4:$D$1203,"其他代存*"),2))</f>
        <v/>
      </c>
      <c r="E78" s="18" t="str">
        <f>IF($B78="","",ROUND(SUMIFS(对接源_02物料!$K$4:$K$1203,对接源_02物料!$C$4:$C$1203,$B78,对接源_02物料!$D$4:$D$1203,"包装物料*"),2))</f>
        <v/>
      </c>
      <c r="F78" s="18" t="str">
        <f>IF($B78="","",ROUND(SUMIFS(对接源_02物料!$K$4:$K$1203,对接源_02物料!$C$4:$C$1203,$B78,对接源_02物料!$D$4:$D$1203,"周转筐*"),2))</f>
        <v/>
      </c>
      <c r="G78" s="18" t="str">
        <f>IF($B78="","",ROUND(SUMIFS(对接源_02物料!$K$4:$K$1203,对接源_02物料!$C$4:$C$1203,$B78,对接源_02物料!$D$4:$D$1203,"次果筐*"),2))</f>
        <v/>
      </c>
      <c r="H78" s="18" t="str">
        <f t="shared" si="5"/>
        <v/>
      </c>
      <c r="I78" s="18" t="str">
        <f>IF($B78="","",ROUND(SUMIFS(对接源_01水果!$K$4:$K$1203,对接源_01水果!$C$4:$C$1203,$B78,对接源_01水果!$D$4:$D$1203,"成品出库*",对接源_01水果!$L$4:$L$1203,"已收讫")+SUMIFS(对接源_01水果!$K$4:$K$1203,对接源_01水果!$C$4:$C$1203,$B78,对接源_01水果!$D$4:$D$1203,"成品出库*",对接源_01水果!$L$4:$L$1203,"已付款")+SUMIFS(对接源_01水果!$K$4:$K$1203,对接源_01水果!$C$4:$C$1203,$B78,对接源_01水果!$D$4:$D$1203,"其他代存*",对接源_01水果!$L$4:$L$1203,"已收讫")+SUMIFS(对接源_01水果!$K$4:$K$1203,对接源_01水果!$C$4:$C$1203,$B78,对接源_01水果!$D$4:$D$1203,"其他代存*",对接源_01水果!$L$4:$L$1203,"已付款")+SUMIFS(对接源_02物料!$K$4:$K$1203,对接源_02物料!$C$4:$C$1203,$B78,对接源_02物料!$D$4:$D$1203,"包装物料*",对接源_02物料!$L$4:$L$1203,"已收讫")+SUMIFS(对接源_02物料!$K$4:$K$1203,对接源_02物料!$C$4:$C$1203,$B78,对接源_02物料!$D$4:$D$1203,"包装物料*",对接源_02物料!$L$4:$L$1203,"已付款")+SUMIFS(对接源_02物料!$K$4:$K$1203,对接源_02物料!$C$4:$C$1203,$B78,对接源_02物料!$D$4:$D$1203,"周转筐*",对接源_02物料!$L$4:$L$1203,"已收讫")+SUMIFS(对接源_02物料!$K$4:$K$1203,对接源_02物料!$C$4:$C$1203,$B78,对接源_02物料!$D$4:$D$1203,"周转筐*",对接源_02物料!$L$4:$L$1203,"已付款")+SUMIFS(对接源_02物料!$K$4:$K$1203,对接源_02物料!$C$4:$C$1203,$B78,对接源_02物料!$D$4:$D$1203,"次果筐*",对接源_02物料!$L$4:$L$1203,"已收讫")+SUMIFS(对接源_02物料!$K$4:$K$1203,对接源_02物料!$C$4:$C$1203,$B78,对接源_02物料!$D$4:$D$1203,"次果筐*",对接源_02物料!$L$4:$L$1203,"已付款"),2))</f>
        <v/>
      </c>
      <c r="J78" s="18" t="str">
        <f t="shared" si="6"/>
        <v/>
      </c>
      <c r="K78" s="16" t="str">
        <f t="shared" si="7"/>
        <v/>
      </c>
      <c r="L78" s="26"/>
    </row>
    <row r="79" customHeight="1" spans="1:12">
      <c r="A79" s="16" t="str">
        <f t="shared" si="4"/>
        <v/>
      </c>
      <c r="B79" s="11" t="str">
        <f>IFERROR(INDEX(_自动清单!$E$4:$E$303,ROW()-3),"")</f>
        <v/>
      </c>
      <c r="C79" s="18" t="str">
        <f>IF($B79="","",ROUND(SUMIFS(对接源_01水果!$K$4:$K$1203,对接源_01水果!$C$4:$C$1203,$B79,对接源_01水果!$D$4:$D$1203,"成品出库*"),2))</f>
        <v/>
      </c>
      <c r="D79" s="18" t="str">
        <f>IF($B79="","",ROUND(SUMIFS(对接源_01水果!$K$4:$K$1203,对接源_01水果!$C$4:$C$1203,$B79,对接源_01水果!$D$4:$D$1203,"其他代存*"),2))</f>
        <v/>
      </c>
      <c r="E79" s="18" t="str">
        <f>IF($B79="","",ROUND(SUMIFS(对接源_02物料!$K$4:$K$1203,对接源_02物料!$C$4:$C$1203,$B79,对接源_02物料!$D$4:$D$1203,"包装物料*"),2))</f>
        <v/>
      </c>
      <c r="F79" s="18" t="str">
        <f>IF($B79="","",ROUND(SUMIFS(对接源_02物料!$K$4:$K$1203,对接源_02物料!$C$4:$C$1203,$B79,对接源_02物料!$D$4:$D$1203,"周转筐*"),2))</f>
        <v/>
      </c>
      <c r="G79" s="18" t="str">
        <f>IF($B79="","",ROUND(SUMIFS(对接源_02物料!$K$4:$K$1203,对接源_02物料!$C$4:$C$1203,$B79,对接源_02物料!$D$4:$D$1203,"次果筐*"),2))</f>
        <v/>
      </c>
      <c r="H79" s="18" t="str">
        <f t="shared" si="5"/>
        <v/>
      </c>
      <c r="I79" s="18" t="str">
        <f>IF($B79="","",ROUND(SUMIFS(对接源_01水果!$K$4:$K$1203,对接源_01水果!$C$4:$C$1203,$B79,对接源_01水果!$D$4:$D$1203,"成品出库*",对接源_01水果!$L$4:$L$1203,"已收讫")+SUMIFS(对接源_01水果!$K$4:$K$1203,对接源_01水果!$C$4:$C$1203,$B79,对接源_01水果!$D$4:$D$1203,"成品出库*",对接源_01水果!$L$4:$L$1203,"已付款")+SUMIFS(对接源_01水果!$K$4:$K$1203,对接源_01水果!$C$4:$C$1203,$B79,对接源_01水果!$D$4:$D$1203,"其他代存*",对接源_01水果!$L$4:$L$1203,"已收讫")+SUMIFS(对接源_01水果!$K$4:$K$1203,对接源_01水果!$C$4:$C$1203,$B79,对接源_01水果!$D$4:$D$1203,"其他代存*",对接源_01水果!$L$4:$L$1203,"已付款")+SUMIFS(对接源_02物料!$K$4:$K$1203,对接源_02物料!$C$4:$C$1203,$B79,对接源_02物料!$D$4:$D$1203,"包装物料*",对接源_02物料!$L$4:$L$1203,"已收讫")+SUMIFS(对接源_02物料!$K$4:$K$1203,对接源_02物料!$C$4:$C$1203,$B79,对接源_02物料!$D$4:$D$1203,"包装物料*",对接源_02物料!$L$4:$L$1203,"已付款")+SUMIFS(对接源_02物料!$K$4:$K$1203,对接源_02物料!$C$4:$C$1203,$B79,对接源_02物料!$D$4:$D$1203,"周转筐*",对接源_02物料!$L$4:$L$1203,"已收讫")+SUMIFS(对接源_02物料!$K$4:$K$1203,对接源_02物料!$C$4:$C$1203,$B79,对接源_02物料!$D$4:$D$1203,"周转筐*",对接源_02物料!$L$4:$L$1203,"已付款")+SUMIFS(对接源_02物料!$K$4:$K$1203,对接源_02物料!$C$4:$C$1203,$B79,对接源_02物料!$D$4:$D$1203,"次果筐*",对接源_02物料!$L$4:$L$1203,"已收讫")+SUMIFS(对接源_02物料!$K$4:$K$1203,对接源_02物料!$C$4:$C$1203,$B79,对接源_02物料!$D$4:$D$1203,"次果筐*",对接源_02物料!$L$4:$L$1203,"已付款"),2))</f>
        <v/>
      </c>
      <c r="J79" s="18" t="str">
        <f t="shared" si="6"/>
        <v/>
      </c>
      <c r="K79" s="16" t="str">
        <f t="shared" si="7"/>
        <v/>
      </c>
      <c r="L79" s="26"/>
    </row>
    <row r="80" customHeight="1" spans="1:12">
      <c r="A80" s="16" t="str">
        <f t="shared" si="4"/>
        <v/>
      </c>
      <c r="B80" s="11" t="str">
        <f>IFERROR(INDEX(_自动清单!$E$4:$E$303,ROW()-3),"")</f>
        <v/>
      </c>
      <c r="C80" s="18" t="str">
        <f>IF($B80="","",ROUND(SUMIFS(对接源_01水果!$K$4:$K$1203,对接源_01水果!$C$4:$C$1203,$B80,对接源_01水果!$D$4:$D$1203,"成品出库*"),2))</f>
        <v/>
      </c>
      <c r="D80" s="18" t="str">
        <f>IF($B80="","",ROUND(SUMIFS(对接源_01水果!$K$4:$K$1203,对接源_01水果!$C$4:$C$1203,$B80,对接源_01水果!$D$4:$D$1203,"其他代存*"),2))</f>
        <v/>
      </c>
      <c r="E80" s="18" t="str">
        <f>IF($B80="","",ROUND(SUMIFS(对接源_02物料!$K$4:$K$1203,对接源_02物料!$C$4:$C$1203,$B80,对接源_02物料!$D$4:$D$1203,"包装物料*"),2))</f>
        <v/>
      </c>
      <c r="F80" s="18" t="str">
        <f>IF($B80="","",ROUND(SUMIFS(对接源_02物料!$K$4:$K$1203,对接源_02物料!$C$4:$C$1203,$B80,对接源_02物料!$D$4:$D$1203,"周转筐*"),2))</f>
        <v/>
      </c>
      <c r="G80" s="18" t="str">
        <f>IF($B80="","",ROUND(SUMIFS(对接源_02物料!$K$4:$K$1203,对接源_02物料!$C$4:$C$1203,$B80,对接源_02物料!$D$4:$D$1203,"次果筐*"),2))</f>
        <v/>
      </c>
      <c r="H80" s="18" t="str">
        <f t="shared" si="5"/>
        <v/>
      </c>
      <c r="I80" s="18" t="str">
        <f>IF($B80="","",ROUND(SUMIFS(对接源_01水果!$K$4:$K$1203,对接源_01水果!$C$4:$C$1203,$B80,对接源_01水果!$D$4:$D$1203,"成品出库*",对接源_01水果!$L$4:$L$1203,"已收讫")+SUMIFS(对接源_01水果!$K$4:$K$1203,对接源_01水果!$C$4:$C$1203,$B80,对接源_01水果!$D$4:$D$1203,"成品出库*",对接源_01水果!$L$4:$L$1203,"已付款")+SUMIFS(对接源_01水果!$K$4:$K$1203,对接源_01水果!$C$4:$C$1203,$B80,对接源_01水果!$D$4:$D$1203,"其他代存*",对接源_01水果!$L$4:$L$1203,"已收讫")+SUMIFS(对接源_01水果!$K$4:$K$1203,对接源_01水果!$C$4:$C$1203,$B80,对接源_01水果!$D$4:$D$1203,"其他代存*",对接源_01水果!$L$4:$L$1203,"已付款")+SUMIFS(对接源_02物料!$K$4:$K$1203,对接源_02物料!$C$4:$C$1203,$B80,对接源_02物料!$D$4:$D$1203,"包装物料*",对接源_02物料!$L$4:$L$1203,"已收讫")+SUMIFS(对接源_02物料!$K$4:$K$1203,对接源_02物料!$C$4:$C$1203,$B80,对接源_02物料!$D$4:$D$1203,"包装物料*",对接源_02物料!$L$4:$L$1203,"已付款")+SUMIFS(对接源_02物料!$K$4:$K$1203,对接源_02物料!$C$4:$C$1203,$B80,对接源_02物料!$D$4:$D$1203,"周转筐*",对接源_02物料!$L$4:$L$1203,"已收讫")+SUMIFS(对接源_02物料!$K$4:$K$1203,对接源_02物料!$C$4:$C$1203,$B80,对接源_02物料!$D$4:$D$1203,"周转筐*",对接源_02物料!$L$4:$L$1203,"已付款")+SUMIFS(对接源_02物料!$K$4:$K$1203,对接源_02物料!$C$4:$C$1203,$B80,对接源_02物料!$D$4:$D$1203,"次果筐*",对接源_02物料!$L$4:$L$1203,"已收讫")+SUMIFS(对接源_02物料!$K$4:$K$1203,对接源_02物料!$C$4:$C$1203,$B80,对接源_02物料!$D$4:$D$1203,"次果筐*",对接源_02物料!$L$4:$L$1203,"已付款"),2))</f>
        <v/>
      </c>
      <c r="J80" s="18" t="str">
        <f t="shared" si="6"/>
        <v/>
      </c>
      <c r="K80" s="16" t="str">
        <f t="shared" si="7"/>
        <v/>
      </c>
      <c r="L80" s="26"/>
    </row>
    <row r="81" customHeight="1" spans="1:12">
      <c r="A81" s="16" t="str">
        <f t="shared" si="4"/>
        <v/>
      </c>
      <c r="B81" s="11" t="str">
        <f>IFERROR(INDEX(_自动清单!$E$4:$E$303,ROW()-3),"")</f>
        <v/>
      </c>
      <c r="C81" s="18" t="str">
        <f>IF($B81="","",ROUND(SUMIFS(对接源_01水果!$K$4:$K$1203,对接源_01水果!$C$4:$C$1203,$B81,对接源_01水果!$D$4:$D$1203,"成品出库*"),2))</f>
        <v/>
      </c>
      <c r="D81" s="18" t="str">
        <f>IF($B81="","",ROUND(SUMIFS(对接源_01水果!$K$4:$K$1203,对接源_01水果!$C$4:$C$1203,$B81,对接源_01水果!$D$4:$D$1203,"其他代存*"),2))</f>
        <v/>
      </c>
      <c r="E81" s="18" t="str">
        <f>IF($B81="","",ROUND(SUMIFS(对接源_02物料!$K$4:$K$1203,对接源_02物料!$C$4:$C$1203,$B81,对接源_02物料!$D$4:$D$1203,"包装物料*"),2))</f>
        <v/>
      </c>
      <c r="F81" s="18" t="str">
        <f>IF($B81="","",ROUND(SUMIFS(对接源_02物料!$K$4:$K$1203,对接源_02物料!$C$4:$C$1203,$B81,对接源_02物料!$D$4:$D$1203,"周转筐*"),2))</f>
        <v/>
      </c>
      <c r="G81" s="18" t="str">
        <f>IF($B81="","",ROUND(SUMIFS(对接源_02物料!$K$4:$K$1203,对接源_02物料!$C$4:$C$1203,$B81,对接源_02物料!$D$4:$D$1203,"次果筐*"),2))</f>
        <v/>
      </c>
      <c r="H81" s="18" t="str">
        <f t="shared" si="5"/>
        <v/>
      </c>
      <c r="I81" s="18" t="str">
        <f>IF($B81="","",ROUND(SUMIFS(对接源_01水果!$K$4:$K$1203,对接源_01水果!$C$4:$C$1203,$B81,对接源_01水果!$D$4:$D$1203,"成品出库*",对接源_01水果!$L$4:$L$1203,"已收讫")+SUMIFS(对接源_01水果!$K$4:$K$1203,对接源_01水果!$C$4:$C$1203,$B81,对接源_01水果!$D$4:$D$1203,"成品出库*",对接源_01水果!$L$4:$L$1203,"已付款")+SUMIFS(对接源_01水果!$K$4:$K$1203,对接源_01水果!$C$4:$C$1203,$B81,对接源_01水果!$D$4:$D$1203,"其他代存*",对接源_01水果!$L$4:$L$1203,"已收讫")+SUMIFS(对接源_01水果!$K$4:$K$1203,对接源_01水果!$C$4:$C$1203,$B81,对接源_01水果!$D$4:$D$1203,"其他代存*",对接源_01水果!$L$4:$L$1203,"已付款")+SUMIFS(对接源_02物料!$K$4:$K$1203,对接源_02物料!$C$4:$C$1203,$B81,对接源_02物料!$D$4:$D$1203,"包装物料*",对接源_02物料!$L$4:$L$1203,"已收讫")+SUMIFS(对接源_02物料!$K$4:$K$1203,对接源_02物料!$C$4:$C$1203,$B81,对接源_02物料!$D$4:$D$1203,"包装物料*",对接源_02物料!$L$4:$L$1203,"已付款")+SUMIFS(对接源_02物料!$K$4:$K$1203,对接源_02物料!$C$4:$C$1203,$B81,对接源_02物料!$D$4:$D$1203,"周转筐*",对接源_02物料!$L$4:$L$1203,"已收讫")+SUMIFS(对接源_02物料!$K$4:$K$1203,对接源_02物料!$C$4:$C$1203,$B81,对接源_02物料!$D$4:$D$1203,"周转筐*",对接源_02物料!$L$4:$L$1203,"已付款")+SUMIFS(对接源_02物料!$K$4:$K$1203,对接源_02物料!$C$4:$C$1203,$B81,对接源_02物料!$D$4:$D$1203,"次果筐*",对接源_02物料!$L$4:$L$1203,"已收讫")+SUMIFS(对接源_02物料!$K$4:$K$1203,对接源_02物料!$C$4:$C$1203,$B81,对接源_02物料!$D$4:$D$1203,"次果筐*",对接源_02物料!$L$4:$L$1203,"已付款"),2))</f>
        <v/>
      </c>
      <c r="J81" s="18" t="str">
        <f t="shared" si="6"/>
        <v/>
      </c>
      <c r="K81" s="16" t="str">
        <f t="shared" si="7"/>
        <v/>
      </c>
      <c r="L81" s="26"/>
    </row>
    <row r="82" customHeight="1" spans="1:12">
      <c r="A82" s="16" t="str">
        <f t="shared" si="4"/>
        <v/>
      </c>
      <c r="B82" s="11" t="str">
        <f>IFERROR(INDEX(_自动清单!$E$4:$E$303,ROW()-3),"")</f>
        <v/>
      </c>
      <c r="C82" s="18" t="str">
        <f>IF($B82="","",ROUND(SUMIFS(对接源_01水果!$K$4:$K$1203,对接源_01水果!$C$4:$C$1203,$B82,对接源_01水果!$D$4:$D$1203,"成品出库*"),2))</f>
        <v/>
      </c>
      <c r="D82" s="18" t="str">
        <f>IF($B82="","",ROUND(SUMIFS(对接源_01水果!$K$4:$K$1203,对接源_01水果!$C$4:$C$1203,$B82,对接源_01水果!$D$4:$D$1203,"其他代存*"),2))</f>
        <v/>
      </c>
      <c r="E82" s="18" t="str">
        <f>IF($B82="","",ROUND(SUMIFS(对接源_02物料!$K$4:$K$1203,对接源_02物料!$C$4:$C$1203,$B82,对接源_02物料!$D$4:$D$1203,"包装物料*"),2))</f>
        <v/>
      </c>
      <c r="F82" s="18" t="str">
        <f>IF($B82="","",ROUND(SUMIFS(对接源_02物料!$K$4:$K$1203,对接源_02物料!$C$4:$C$1203,$B82,对接源_02物料!$D$4:$D$1203,"周转筐*"),2))</f>
        <v/>
      </c>
      <c r="G82" s="18" t="str">
        <f>IF($B82="","",ROUND(SUMIFS(对接源_02物料!$K$4:$K$1203,对接源_02物料!$C$4:$C$1203,$B82,对接源_02物料!$D$4:$D$1203,"次果筐*"),2))</f>
        <v/>
      </c>
      <c r="H82" s="18" t="str">
        <f t="shared" si="5"/>
        <v/>
      </c>
      <c r="I82" s="18" t="str">
        <f>IF($B82="","",ROUND(SUMIFS(对接源_01水果!$K$4:$K$1203,对接源_01水果!$C$4:$C$1203,$B82,对接源_01水果!$D$4:$D$1203,"成品出库*",对接源_01水果!$L$4:$L$1203,"已收讫")+SUMIFS(对接源_01水果!$K$4:$K$1203,对接源_01水果!$C$4:$C$1203,$B82,对接源_01水果!$D$4:$D$1203,"成品出库*",对接源_01水果!$L$4:$L$1203,"已付款")+SUMIFS(对接源_01水果!$K$4:$K$1203,对接源_01水果!$C$4:$C$1203,$B82,对接源_01水果!$D$4:$D$1203,"其他代存*",对接源_01水果!$L$4:$L$1203,"已收讫")+SUMIFS(对接源_01水果!$K$4:$K$1203,对接源_01水果!$C$4:$C$1203,$B82,对接源_01水果!$D$4:$D$1203,"其他代存*",对接源_01水果!$L$4:$L$1203,"已付款")+SUMIFS(对接源_02物料!$K$4:$K$1203,对接源_02物料!$C$4:$C$1203,$B82,对接源_02物料!$D$4:$D$1203,"包装物料*",对接源_02物料!$L$4:$L$1203,"已收讫")+SUMIFS(对接源_02物料!$K$4:$K$1203,对接源_02物料!$C$4:$C$1203,$B82,对接源_02物料!$D$4:$D$1203,"包装物料*",对接源_02物料!$L$4:$L$1203,"已付款")+SUMIFS(对接源_02物料!$K$4:$K$1203,对接源_02物料!$C$4:$C$1203,$B82,对接源_02物料!$D$4:$D$1203,"周转筐*",对接源_02物料!$L$4:$L$1203,"已收讫")+SUMIFS(对接源_02物料!$K$4:$K$1203,对接源_02物料!$C$4:$C$1203,$B82,对接源_02物料!$D$4:$D$1203,"周转筐*",对接源_02物料!$L$4:$L$1203,"已付款")+SUMIFS(对接源_02物料!$K$4:$K$1203,对接源_02物料!$C$4:$C$1203,$B82,对接源_02物料!$D$4:$D$1203,"次果筐*",对接源_02物料!$L$4:$L$1203,"已收讫")+SUMIFS(对接源_02物料!$K$4:$K$1203,对接源_02物料!$C$4:$C$1203,$B82,对接源_02物料!$D$4:$D$1203,"次果筐*",对接源_02物料!$L$4:$L$1203,"已付款"),2))</f>
        <v/>
      </c>
      <c r="J82" s="18" t="str">
        <f t="shared" si="6"/>
        <v/>
      </c>
      <c r="K82" s="16" t="str">
        <f t="shared" si="7"/>
        <v/>
      </c>
      <c r="L82" s="26"/>
    </row>
    <row r="83" customHeight="1" spans="1:12">
      <c r="A83" s="16" t="str">
        <f t="shared" si="4"/>
        <v/>
      </c>
      <c r="B83" s="11" t="str">
        <f>IFERROR(INDEX(_自动清单!$E$4:$E$303,ROW()-3),"")</f>
        <v/>
      </c>
      <c r="C83" s="18" t="str">
        <f>IF($B83="","",ROUND(SUMIFS(对接源_01水果!$K$4:$K$1203,对接源_01水果!$C$4:$C$1203,$B83,对接源_01水果!$D$4:$D$1203,"成品出库*"),2))</f>
        <v/>
      </c>
      <c r="D83" s="18" t="str">
        <f>IF($B83="","",ROUND(SUMIFS(对接源_01水果!$K$4:$K$1203,对接源_01水果!$C$4:$C$1203,$B83,对接源_01水果!$D$4:$D$1203,"其他代存*"),2))</f>
        <v/>
      </c>
      <c r="E83" s="18" t="str">
        <f>IF($B83="","",ROUND(SUMIFS(对接源_02物料!$K$4:$K$1203,对接源_02物料!$C$4:$C$1203,$B83,对接源_02物料!$D$4:$D$1203,"包装物料*"),2))</f>
        <v/>
      </c>
      <c r="F83" s="18" t="str">
        <f>IF($B83="","",ROUND(SUMIFS(对接源_02物料!$K$4:$K$1203,对接源_02物料!$C$4:$C$1203,$B83,对接源_02物料!$D$4:$D$1203,"周转筐*"),2))</f>
        <v/>
      </c>
      <c r="G83" s="18" t="str">
        <f>IF($B83="","",ROUND(SUMIFS(对接源_02物料!$K$4:$K$1203,对接源_02物料!$C$4:$C$1203,$B83,对接源_02物料!$D$4:$D$1203,"次果筐*"),2))</f>
        <v/>
      </c>
      <c r="H83" s="18" t="str">
        <f t="shared" si="5"/>
        <v/>
      </c>
      <c r="I83" s="18" t="str">
        <f>IF($B83="","",ROUND(SUMIFS(对接源_01水果!$K$4:$K$1203,对接源_01水果!$C$4:$C$1203,$B83,对接源_01水果!$D$4:$D$1203,"成品出库*",对接源_01水果!$L$4:$L$1203,"已收讫")+SUMIFS(对接源_01水果!$K$4:$K$1203,对接源_01水果!$C$4:$C$1203,$B83,对接源_01水果!$D$4:$D$1203,"成品出库*",对接源_01水果!$L$4:$L$1203,"已付款")+SUMIFS(对接源_01水果!$K$4:$K$1203,对接源_01水果!$C$4:$C$1203,$B83,对接源_01水果!$D$4:$D$1203,"其他代存*",对接源_01水果!$L$4:$L$1203,"已收讫")+SUMIFS(对接源_01水果!$K$4:$K$1203,对接源_01水果!$C$4:$C$1203,$B83,对接源_01水果!$D$4:$D$1203,"其他代存*",对接源_01水果!$L$4:$L$1203,"已付款")+SUMIFS(对接源_02物料!$K$4:$K$1203,对接源_02物料!$C$4:$C$1203,$B83,对接源_02物料!$D$4:$D$1203,"包装物料*",对接源_02物料!$L$4:$L$1203,"已收讫")+SUMIFS(对接源_02物料!$K$4:$K$1203,对接源_02物料!$C$4:$C$1203,$B83,对接源_02物料!$D$4:$D$1203,"包装物料*",对接源_02物料!$L$4:$L$1203,"已付款")+SUMIFS(对接源_02物料!$K$4:$K$1203,对接源_02物料!$C$4:$C$1203,$B83,对接源_02物料!$D$4:$D$1203,"周转筐*",对接源_02物料!$L$4:$L$1203,"已收讫")+SUMIFS(对接源_02物料!$K$4:$K$1203,对接源_02物料!$C$4:$C$1203,$B83,对接源_02物料!$D$4:$D$1203,"周转筐*",对接源_02物料!$L$4:$L$1203,"已付款")+SUMIFS(对接源_02物料!$K$4:$K$1203,对接源_02物料!$C$4:$C$1203,$B83,对接源_02物料!$D$4:$D$1203,"次果筐*",对接源_02物料!$L$4:$L$1203,"已收讫")+SUMIFS(对接源_02物料!$K$4:$K$1203,对接源_02物料!$C$4:$C$1203,$B83,对接源_02物料!$D$4:$D$1203,"次果筐*",对接源_02物料!$L$4:$L$1203,"已付款"),2))</f>
        <v/>
      </c>
      <c r="J83" s="18" t="str">
        <f t="shared" si="6"/>
        <v/>
      </c>
      <c r="K83" s="16" t="str">
        <f t="shared" si="7"/>
        <v/>
      </c>
      <c r="L83" s="26"/>
    </row>
    <row r="84" customHeight="1" spans="1:12">
      <c r="A84" s="16" t="str">
        <f t="shared" si="4"/>
        <v/>
      </c>
      <c r="B84" s="11" t="str">
        <f>IFERROR(INDEX(_自动清单!$E$4:$E$303,ROW()-3),"")</f>
        <v/>
      </c>
      <c r="C84" s="18" t="str">
        <f>IF($B84="","",ROUND(SUMIFS(对接源_01水果!$K$4:$K$1203,对接源_01水果!$C$4:$C$1203,$B84,对接源_01水果!$D$4:$D$1203,"成品出库*"),2))</f>
        <v/>
      </c>
      <c r="D84" s="18" t="str">
        <f>IF($B84="","",ROUND(SUMIFS(对接源_01水果!$K$4:$K$1203,对接源_01水果!$C$4:$C$1203,$B84,对接源_01水果!$D$4:$D$1203,"其他代存*"),2))</f>
        <v/>
      </c>
      <c r="E84" s="18" t="str">
        <f>IF($B84="","",ROUND(SUMIFS(对接源_02物料!$K$4:$K$1203,对接源_02物料!$C$4:$C$1203,$B84,对接源_02物料!$D$4:$D$1203,"包装物料*"),2))</f>
        <v/>
      </c>
      <c r="F84" s="18" t="str">
        <f>IF($B84="","",ROUND(SUMIFS(对接源_02物料!$K$4:$K$1203,对接源_02物料!$C$4:$C$1203,$B84,对接源_02物料!$D$4:$D$1203,"周转筐*"),2))</f>
        <v/>
      </c>
      <c r="G84" s="18" t="str">
        <f>IF($B84="","",ROUND(SUMIFS(对接源_02物料!$K$4:$K$1203,对接源_02物料!$C$4:$C$1203,$B84,对接源_02物料!$D$4:$D$1203,"次果筐*"),2))</f>
        <v/>
      </c>
      <c r="H84" s="18" t="str">
        <f t="shared" si="5"/>
        <v/>
      </c>
      <c r="I84" s="18" t="str">
        <f>IF($B84="","",ROUND(SUMIFS(对接源_01水果!$K$4:$K$1203,对接源_01水果!$C$4:$C$1203,$B84,对接源_01水果!$D$4:$D$1203,"成品出库*",对接源_01水果!$L$4:$L$1203,"已收讫")+SUMIFS(对接源_01水果!$K$4:$K$1203,对接源_01水果!$C$4:$C$1203,$B84,对接源_01水果!$D$4:$D$1203,"成品出库*",对接源_01水果!$L$4:$L$1203,"已付款")+SUMIFS(对接源_01水果!$K$4:$K$1203,对接源_01水果!$C$4:$C$1203,$B84,对接源_01水果!$D$4:$D$1203,"其他代存*",对接源_01水果!$L$4:$L$1203,"已收讫")+SUMIFS(对接源_01水果!$K$4:$K$1203,对接源_01水果!$C$4:$C$1203,$B84,对接源_01水果!$D$4:$D$1203,"其他代存*",对接源_01水果!$L$4:$L$1203,"已付款")+SUMIFS(对接源_02物料!$K$4:$K$1203,对接源_02物料!$C$4:$C$1203,$B84,对接源_02物料!$D$4:$D$1203,"包装物料*",对接源_02物料!$L$4:$L$1203,"已收讫")+SUMIFS(对接源_02物料!$K$4:$K$1203,对接源_02物料!$C$4:$C$1203,$B84,对接源_02物料!$D$4:$D$1203,"包装物料*",对接源_02物料!$L$4:$L$1203,"已付款")+SUMIFS(对接源_02物料!$K$4:$K$1203,对接源_02物料!$C$4:$C$1203,$B84,对接源_02物料!$D$4:$D$1203,"周转筐*",对接源_02物料!$L$4:$L$1203,"已收讫")+SUMIFS(对接源_02物料!$K$4:$K$1203,对接源_02物料!$C$4:$C$1203,$B84,对接源_02物料!$D$4:$D$1203,"周转筐*",对接源_02物料!$L$4:$L$1203,"已付款")+SUMIFS(对接源_02物料!$K$4:$K$1203,对接源_02物料!$C$4:$C$1203,$B84,对接源_02物料!$D$4:$D$1203,"次果筐*",对接源_02物料!$L$4:$L$1203,"已收讫")+SUMIFS(对接源_02物料!$K$4:$K$1203,对接源_02物料!$C$4:$C$1203,$B84,对接源_02物料!$D$4:$D$1203,"次果筐*",对接源_02物料!$L$4:$L$1203,"已付款"),2))</f>
        <v/>
      </c>
      <c r="J84" s="18" t="str">
        <f t="shared" si="6"/>
        <v/>
      </c>
      <c r="K84" s="16" t="str">
        <f t="shared" si="7"/>
        <v/>
      </c>
      <c r="L84" s="26"/>
    </row>
    <row r="85" customHeight="1" spans="1:12">
      <c r="A85" s="16" t="str">
        <f t="shared" si="4"/>
        <v/>
      </c>
      <c r="B85" s="11" t="str">
        <f>IFERROR(INDEX(_自动清单!$E$4:$E$303,ROW()-3),"")</f>
        <v/>
      </c>
      <c r="C85" s="18" t="str">
        <f>IF($B85="","",ROUND(SUMIFS(对接源_01水果!$K$4:$K$1203,对接源_01水果!$C$4:$C$1203,$B85,对接源_01水果!$D$4:$D$1203,"成品出库*"),2))</f>
        <v/>
      </c>
      <c r="D85" s="18" t="str">
        <f>IF($B85="","",ROUND(SUMIFS(对接源_01水果!$K$4:$K$1203,对接源_01水果!$C$4:$C$1203,$B85,对接源_01水果!$D$4:$D$1203,"其他代存*"),2))</f>
        <v/>
      </c>
      <c r="E85" s="18" t="str">
        <f>IF($B85="","",ROUND(SUMIFS(对接源_02物料!$K$4:$K$1203,对接源_02物料!$C$4:$C$1203,$B85,对接源_02物料!$D$4:$D$1203,"包装物料*"),2))</f>
        <v/>
      </c>
      <c r="F85" s="18" t="str">
        <f>IF($B85="","",ROUND(SUMIFS(对接源_02物料!$K$4:$K$1203,对接源_02物料!$C$4:$C$1203,$B85,对接源_02物料!$D$4:$D$1203,"周转筐*"),2))</f>
        <v/>
      </c>
      <c r="G85" s="18" t="str">
        <f>IF($B85="","",ROUND(SUMIFS(对接源_02物料!$K$4:$K$1203,对接源_02物料!$C$4:$C$1203,$B85,对接源_02物料!$D$4:$D$1203,"次果筐*"),2))</f>
        <v/>
      </c>
      <c r="H85" s="18" t="str">
        <f t="shared" si="5"/>
        <v/>
      </c>
      <c r="I85" s="18" t="str">
        <f>IF($B85="","",ROUND(SUMIFS(对接源_01水果!$K$4:$K$1203,对接源_01水果!$C$4:$C$1203,$B85,对接源_01水果!$D$4:$D$1203,"成品出库*",对接源_01水果!$L$4:$L$1203,"已收讫")+SUMIFS(对接源_01水果!$K$4:$K$1203,对接源_01水果!$C$4:$C$1203,$B85,对接源_01水果!$D$4:$D$1203,"成品出库*",对接源_01水果!$L$4:$L$1203,"已付款")+SUMIFS(对接源_01水果!$K$4:$K$1203,对接源_01水果!$C$4:$C$1203,$B85,对接源_01水果!$D$4:$D$1203,"其他代存*",对接源_01水果!$L$4:$L$1203,"已收讫")+SUMIFS(对接源_01水果!$K$4:$K$1203,对接源_01水果!$C$4:$C$1203,$B85,对接源_01水果!$D$4:$D$1203,"其他代存*",对接源_01水果!$L$4:$L$1203,"已付款")+SUMIFS(对接源_02物料!$K$4:$K$1203,对接源_02物料!$C$4:$C$1203,$B85,对接源_02物料!$D$4:$D$1203,"包装物料*",对接源_02物料!$L$4:$L$1203,"已收讫")+SUMIFS(对接源_02物料!$K$4:$K$1203,对接源_02物料!$C$4:$C$1203,$B85,对接源_02物料!$D$4:$D$1203,"包装物料*",对接源_02物料!$L$4:$L$1203,"已付款")+SUMIFS(对接源_02物料!$K$4:$K$1203,对接源_02物料!$C$4:$C$1203,$B85,对接源_02物料!$D$4:$D$1203,"周转筐*",对接源_02物料!$L$4:$L$1203,"已收讫")+SUMIFS(对接源_02物料!$K$4:$K$1203,对接源_02物料!$C$4:$C$1203,$B85,对接源_02物料!$D$4:$D$1203,"周转筐*",对接源_02物料!$L$4:$L$1203,"已付款")+SUMIFS(对接源_02物料!$K$4:$K$1203,对接源_02物料!$C$4:$C$1203,$B85,对接源_02物料!$D$4:$D$1203,"次果筐*",对接源_02物料!$L$4:$L$1203,"已收讫")+SUMIFS(对接源_02物料!$K$4:$K$1203,对接源_02物料!$C$4:$C$1203,$B85,对接源_02物料!$D$4:$D$1203,"次果筐*",对接源_02物料!$L$4:$L$1203,"已付款"),2))</f>
        <v/>
      </c>
      <c r="J85" s="18" t="str">
        <f t="shared" si="6"/>
        <v/>
      </c>
      <c r="K85" s="16" t="str">
        <f t="shared" si="7"/>
        <v/>
      </c>
      <c r="L85" s="26"/>
    </row>
    <row r="86" customHeight="1" spans="1:12">
      <c r="A86" s="16" t="str">
        <f t="shared" si="4"/>
        <v/>
      </c>
      <c r="B86" s="11" t="str">
        <f>IFERROR(INDEX(_自动清单!$E$4:$E$303,ROW()-3),"")</f>
        <v/>
      </c>
      <c r="C86" s="18" t="str">
        <f>IF($B86="","",ROUND(SUMIFS(对接源_01水果!$K$4:$K$1203,对接源_01水果!$C$4:$C$1203,$B86,对接源_01水果!$D$4:$D$1203,"成品出库*"),2))</f>
        <v/>
      </c>
      <c r="D86" s="18" t="str">
        <f>IF($B86="","",ROUND(SUMIFS(对接源_01水果!$K$4:$K$1203,对接源_01水果!$C$4:$C$1203,$B86,对接源_01水果!$D$4:$D$1203,"其他代存*"),2))</f>
        <v/>
      </c>
      <c r="E86" s="18" t="str">
        <f>IF($B86="","",ROUND(SUMIFS(对接源_02物料!$K$4:$K$1203,对接源_02物料!$C$4:$C$1203,$B86,对接源_02物料!$D$4:$D$1203,"包装物料*"),2))</f>
        <v/>
      </c>
      <c r="F86" s="18" t="str">
        <f>IF($B86="","",ROUND(SUMIFS(对接源_02物料!$K$4:$K$1203,对接源_02物料!$C$4:$C$1203,$B86,对接源_02物料!$D$4:$D$1203,"周转筐*"),2))</f>
        <v/>
      </c>
      <c r="G86" s="18" t="str">
        <f>IF($B86="","",ROUND(SUMIFS(对接源_02物料!$K$4:$K$1203,对接源_02物料!$C$4:$C$1203,$B86,对接源_02物料!$D$4:$D$1203,"次果筐*"),2))</f>
        <v/>
      </c>
      <c r="H86" s="18" t="str">
        <f t="shared" si="5"/>
        <v/>
      </c>
      <c r="I86" s="18" t="str">
        <f>IF($B86="","",ROUND(SUMIFS(对接源_01水果!$K$4:$K$1203,对接源_01水果!$C$4:$C$1203,$B86,对接源_01水果!$D$4:$D$1203,"成品出库*",对接源_01水果!$L$4:$L$1203,"已收讫")+SUMIFS(对接源_01水果!$K$4:$K$1203,对接源_01水果!$C$4:$C$1203,$B86,对接源_01水果!$D$4:$D$1203,"成品出库*",对接源_01水果!$L$4:$L$1203,"已付款")+SUMIFS(对接源_01水果!$K$4:$K$1203,对接源_01水果!$C$4:$C$1203,$B86,对接源_01水果!$D$4:$D$1203,"其他代存*",对接源_01水果!$L$4:$L$1203,"已收讫")+SUMIFS(对接源_01水果!$K$4:$K$1203,对接源_01水果!$C$4:$C$1203,$B86,对接源_01水果!$D$4:$D$1203,"其他代存*",对接源_01水果!$L$4:$L$1203,"已付款")+SUMIFS(对接源_02物料!$K$4:$K$1203,对接源_02物料!$C$4:$C$1203,$B86,对接源_02物料!$D$4:$D$1203,"包装物料*",对接源_02物料!$L$4:$L$1203,"已收讫")+SUMIFS(对接源_02物料!$K$4:$K$1203,对接源_02物料!$C$4:$C$1203,$B86,对接源_02物料!$D$4:$D$1203,"包装物料*",对接源_02物料!$L$4:$L$1203,"已付款")+SUMIFS(对接源_02物料!$K$4:$K$1203,对接源_02物料!$C$4:$C$1203,$B86,对接源_02物料!$D$4:$D$1203,"周转筐*",对接源_02物料!$L$4:$L$1203,"已收讫")+SUMIFS(对接源_02物料!$K$4:$K$1203,对接源_02物料!$C$4:$C$1203,$B86,对接源_02物料!$D$4:$D$1203,"周转筐*",对接源_02物料!$L$4:$L$1203,"已付款")+SUMIFS(对接源_02物料!$K$4:$K$1203,对接源_02物料!$C$4:$C$1203,$B86,对接源_02物料!$D$4:$D$1203,"次果筐*",对接源_02物料!$L$4:$L$1203,"已收讫")+SUMIFS(对接源_02物料!$K$4:$K$1203,对接源_02物料!$C$4:$C$1203,$B86,对接源_02物料!$D$4:$D$1203,"次果筐*",对接源_02物料!$L$4:$L$1203,"已付款"),2))</f>
        <v/>
      </c>
      <c r="J86" s="18" t="str">
        <f t="shared" si="6"/>
        <v/>
      </c>
      <c r="K86" s="16" t="str">
        <f t="shared" si="7"/>
        <v/>
      </c>
      <c r="L86" s="26"/>
    </row>
    <row r="87" customHeight="1" spans="1:12">
      <c r="A87" s="16" t="str">
        <f t="shared" si="4"/>
        <v/>
      </c>
      <c r="B87" s="11" t="str">
        <f>IFERROR(INDEX(_自动清单!$E$4:$E$303,ROW()-3),"")</f>
        <v/>
      </c>
      <c r="C87" s="18" t="str">
        <f>IF($B87="","",ROUND(SUMIFS(对接源_01水果!$K$4:$K$1203,对接源_01水果!$C$4:$C$1203,$B87,对接源_01水果!$D$4:$D$1203,"成品出库*"),2))</f>
        <v/>
      </c>
      <c r="D87" s="18" t="str">
        <f>IF($B87="","",ROUND(SUMIFS(对接源_01水果!$K$4:$K$1203,对接源_01水果!$C$4:$C$1203,$B87,对接源_01水果!$D$4:$D$1203,"其他代存*"),2))</f>
        <v/>
      </c>
      <c r="E87" s="18" t="str">
        <f>IF($B87="","",ROUND(SUMIFS(对接源_02物料!$K$4:$K$1203,对接源_02物料!$C$4:$C$1203,$B87,对接源_02物料!$D$4:$D$1203,"包装物料*"),2))</f>
        <v/>
      </c>
      <c r="F87" s="18" t="str">
        <f>IF($B87="","",ROUND(SUMIFS(对接源_02物料!$K$4:$K$1203,对接源_02物料!$C$4:$C$1203,$B87,对接源_02物料!$D$4:$D$1203,"周转筐*"),2))</f>
        <v/>
      </c>
      <c r="G87" s="18" t="str">
        <f>IF($B87="","",ROUND(SUMIFS(对接源_02物料!$K$4:$K$1203,对接源_02物料!$C$4:$C$1203,$B87,对接源_02物料!$D$4:$D$1203,"次果筐*"),2))</f>
        <v/>
      </c>
      <c r="H87" s="18" t="str">
        <f t="shared" si="5"/>
        <v/>
      </c>
      <c r="I87" s="18" t="str">
        <f>IF($B87="","",ROUND(SUMIFS(对接源_01水果!$K$4:$K$1203,对接源_01水果!$C$4:$C$1203,$B87,对接源_01水果!$D$4:$D$1203,"成品出库*",对接源_01水果!$L$4:$L$1203,"已收讫")+SUMIFS(对接源_01水果!$K$4:$K$1203,对接源_01水果!$C$4:$C$1203,$B87,对接源_01水果!$D$4:$D$1203,"成品出库*",对接源_01水果!$L$4:$L$1203,"已付款")+SUMIFS(对接源_01水果!$K$4:$K$1203,对接源_01水果!$C$4:$C$1203,$B87,对接源_01水果!$D$4:$D$1203,"其他代存*",对接源_01水果!$L$4:$L$1203,"已收讫")+SUMIFS(对接源_01水果!$K$4:$K$1203,对接源_01水果!$C$4:$C$1203,$B87,对接源_01水果!$D$4:$D$1203,"其他代存*",对接源_01水果!$L$4:$L$1203,"已付款")+SUMIFS(对接源_02物料!$K$4:$K$1203,对接源_02物料!$C$4:$C$1203,$B87,对接源_02物料!$D$4:$D$1203,"包装物料*",对接源_02物料!$L$4:$L$1203,"已收讫")+SUMIFS(对接源_02物料!$K$4:$K$1203,对接源_02物料!$C$4:$C$1203,$B87,对接源_02物料!$D$4:$D$1203,"包装物料*",对接源_02物料!$L$4:$L$1203,"已付款")+SUMIFS(对接源_02物料!$K$4:$K$1203,对接源_02物料!$C$4:$C$1203,$B87,对接源_02物料!$D$4:$D$1203,"周转筐*",对接源_02物料!$L$4:$L$1203,"已收讫")+SUMIFS(对接源_02物料!$K$4:$K$1203,对接源_02物料!$C$4:$C$1203,$B87,对接源_02物料!$D$4:$D$1203,"周转筐*",对接源_02物料!$L$4:$L$1203,"已付款")+SUMIFS(对接源_02物料!$K$4:$K$1203,对接源_02物料!$C$4:$C$1203,$B87,对接源_02物料!$D$4:$D$1203,"次果筐*",对接源_02物料!$L$4:$L$1203,"已收讫")+SUMIFS(对接源_02物料!$K$4:$K$1203,对接源_02物料!$C$4:$C$1203,$B87,对接源_02物料!$D$4:$D$1203,"次果筐*",对接源_02物料!$L$4:$L$1203,"已付款"),2))</f>
        <v/>
      </c>
      <c r="J87" s="18" t="str">
        <f t="shared" si="6"/>
        <v/>
      </c>
      <c r="K87" s="16" t="str">
        <f t="shared" si="7"/>
        <v/>
      </c>
      <c r="L87" s="26"/>
    </row>
    <row r="88" customHeight="1" spans="1:12">
      <c r="A88" s="16" t="str">
        <f t="shared" si="4"/>
        <v/>
      </c>
      <c r="B88" s="11" t="str">
        <f>IFERROR(INDEX(_自动清单!$E$4:$E$303,ROW()-3),"")</f>
        <v/>
      </c>
      <c r="C88" s="18" t="str">
        <f>IF($B88="","",ROUND(SUMIFS(对接源_01水果!$K$4:$K$1203,对接源_01水果!$C$4:$C$1203,$B88,对接源_01水果!$D$4:$D$1203,"成品出库*"),2))</f>
        <v/>
      </c>
      <c r="D88" s="18" t="str">
        <f>IF($B88="","",ROUND(SUMIFS(对接源_01水果!$K$4:$K$1203,对接源_01水果!$C$4:$C$1203,$B88,对接源_01水果!$D$4:$D$1203,"其他代存*"),2))</f>
        <v/>
      </c>
      <c r="E88" s="18" t="str">
        <f>IF($B88="","",ROUND(SUMIFS(对接源_02物料!$K$4:$K$1203,对接源_02物料!$C$4:$C$1203,$B88,对接源_02物料!$D$4:$D$1203,"包装物料*"),2))</f>
        <v/>
      </c>
      <c r="F88" s="18" t="str">
        <f>IF($B88="","",ROUND(SUMIFS(对接源_02物料!$K$4:$K$1203,对接源_02物料!$C$4:$C$1203,$B88,对接源_02物料!$D$4:$D$1203,"周转筐*"),2))</f>
        <v/>
      </c>
      <c r="G88" s="18" t="str">
        <f>IF($B88="","",ROUND(SUMIFS(对接源_02物料!$K$4:$K$1203,对接源_02物料!$C$4:$C$1203,$B88,对接源_02物料!$D$4:$D$1203,"次果筐*"),2))</f>
        <v/>
      </c>
      <c r="H88" s="18" t="str">
        <f t="shared" si="5"/>
        <v/>
      </c>
      <c r="I88" s="18" t="str">
        <f>IF($B88="","",ROUND(SUMIFS(对接源_01水果!$K$4:$K$1203,对接源_01水果!$C$4:$C$1203,$B88,对接源_01水果!$D$4:$D$1203,"成品出库*",对接源_01水果!$L$4:$L$1203,"已收讫")+SUMIFS(对接源_01水果!$K$4:$K$1203,对接源_01水果!$C$4:$C$1203,$B88,对接源_01水果!$D$4:$D$1203,"成品出库*",对接源_01水果!$L$4:$L$1203,"已付款")+SUMIFS(对接源_01水果!$K$4:$K$1203,对接源_01水果!$C$4:$C$1203,$B88,对接源_01水果!$D$4:$D$1203,"其他代存*",对接源_01水果!$L$4:$L$1203,"已收讫")+SUMIFS(对接源_01水果!$K$4:$K$1203,对接源_01水果!$C$4:$C$1203,$B88,对接源_01水果!$D$4:$D$1203,"其他代存*",对接源_01水果!$L$4:$L$1203,"已付款")+SUMIFS(对接源_02物料!$K$4:$K$1203,对接源_02物料!$C$4:$C$1203,$B88,对接源_02物料!$D$4:$D$1203,"包装物料*",对接源_02物料!$L$4:$L$1203,"已收讫")+SUMIFS(对接源_02物料!$K$4:$K$1203,对接源_02物料!$C$4:$C$1203,$B88,对接源_02物料!$D$4:$D$1203,"包装物料*",对接源_02物料!$L$4:$L$1203,"已付款")+SUMIFS(对接源_02物料!$K$4:$K$1203,对接源_02物料!$C$4:$C$1203,$B88,对接源_02物料!$D$4:$D$1203,"周转筐*",对接源_02物料!$L$4:$L$1203,"已收讫")+SUMIFS(对接源_02物料!$K$4:$K$1203,对接源_02物料!$C$4:$C$1203,$B88,对接源_02物料!$D$4:$D$1203,"周转筐*",对接源_02物料!$L$4:$L$1203,"已付款")+SUMIFS(对接源_02物料!$K$4:$K$1203,对接源_02物料!$C$4:$C$1203,$B88,对接源_02物料!$D$4:$D$1203,"次果筐*",对接源_02物料!$L$4:$L$1203,"已收讫")+SUMIFS(对接源_02物料!$K$4:$K$1203,对接源_02物料!$C$4:$C$1203,$B88,对接源_02物料!$D$4:$D$1203,"次果筐*",对接源_02物料!$L$4:$L$1203,"已付款"),2))</f>
        <v/>
      </c>
      <c r="J88" s="18" t="str">
        <f t="shared" si="6"/>
        <v/>
      </c>
      <c r="K88" s="16" t="str">
        <f t="shared" si="7"/>
        <v/>
      </c>
      <c r="L88" s="26"/>
    </row>
    <row r="89" customHeight="1" spans="1:12">
      <c r="A89" s="16" t="str">
        <f t="shared" si="4"/>
        <v/>
      </c>
      <c r="B89" s="11" t="str">
        <f>IFERROR(INDEX(_自动清单!$E$4:$E$303,ROW()-3),"")</f>
        <v/>
      </c>
      <c r="C89" s="18" t="str">
        <f>IF($B89="","",ROUND(SUMIFS(对接源_01水果!$K$4:$K$1203,对接源_01水果!$C$4:$C$1203,$B89,对接源_01水果!$D$4:$D$1203,"成品出库*"),2))</f>
        <v/>
      </c>
      <c r="D89" s="18" t="str">
        <f>IF($B89="","",ROUND(SUMIFS(对接源_01水果!$K$4:$K$1203,对接源_01水果!$C$4:$C$1203,$B89,对接源_01水果!$D$4:$D$1203,"其他代存*"),2))</f>
        <v/>
      </c>
      <c r="E89" s="18" t="str">
        <f>IF($B89="","",ROUND(SUMIFS(对接源_02物料!$K$4:$K$1203,对接源_02物料!$C$4:$C$1203,$B89,对接源_02物料!$D$4:$D$1203,"包装物料*"),2))</f>
        <v/>
      </c>
      <c r="F89" s="18" t="str">
        <f>IF($B89="","",ROUND(SUMIFS(对接源_02物料!$K$4:$K$1203,对接源_02物料!$C$4:$C$1203,$B89,对接源_02物料!$D$4:$D$1203,"周转筐*"),2))</f>
        <v/>
      </c>
      <c r="G89" s="18" t="str">
        <f>IF($B89="","",ROUND(SUMIFS(对接源_02物料!$K$4:$K$1203,对接源_02物料!$C$4:$C$1203,$B89,对接源_02物料!$D$4:$D$1203,"次果筐*"),2))</f>
        <v/>
      </c>
      <c r="H89" s="18" t="str">
        <f t="shared" si="5"/>
        <v/>
      </c>
      <c r="I89" s="18" t="str">
        <f>IF($B89="","",ROUND(SUMIFS(对接源_01水果!$K$4:$K$1203,对接源_01水果!$C$4:$C$1203,$B89,对接源_01水果!$D$4:$D$1203,"成品出库*",对接源_01水果!$L$4:$L$1203,"已收讫")+SUMIFS(对接源_01水果!$K$4:$K$1203,对接源_01水果!$C$4:$C$1203,$B89,对接源_01水果!$D$4:$D$1203,"成品出库*",对接源_01水果!$L$4:$L$1203,"已付款")+SUMIFS(对接源_01水果!$K$4:$K$1203,对接源_01水果!$C$4:$C$1203,$B89,对接源_01水果!$D$4:$D$1203,"其他代存*",对接源_01水果!$L$4:$L$1203,"已收讫")+SUMIFS(对接源_01水果!$K$4:$K$1203,对接源_01水果!$C$4:$C$1203,$B89,对接源_01水果!$D$4:$D$1203,"其他代存*",对接源_01水果!$L$4:$L$1203,"已付款")+SUMIFS(对接源_02物料!$K$4:$K$1203,对接源_02物料!$C$4:$C$1203,$B89,对接源_02物料!$D$4:$D$1203,"包装物料*",对接源_02物料!$L$4:$L$1203,"已收讫")+SUMIFS(对接源_02物料!$K$4:$K$1203,对接源_02物料!$C$4:$C$1203,$B89,对接源_02物料!$D$4:$D$1203,"包装物料*",对接源_02物料!$L$4:$L$1203,"已付款")+SUMIFS(对接源_02物料!$K$4:$K$1203,对接源_02物料!$C$4:$C$1203,$B89,对接源_02物料!$D$4:$D$1203,"周转筐*",对接源_02物料!$L$4:$L$1203,"已收讫")+SUMIFS(对接源_02物料!$K$4:$K$1203,对接源_02物料!$C$4:$C$1203,$B89,对接源_02物料!$D$4:$D$1203,"周转筐*",对接源_02物料!$L$4:$L$1203,"已付款")+SUMIFS(对接源_02物料!$K$4:$K$1203,对接源_02物料!$C$4:$C$1203,$B89,对接源_02物料!$D$4:$D$1203,"次果筐*",对接源_02物料!$L$4:$L$1203,"已收讫")+SUMIFS(对接源_02物料!$K$4:$K$1203,对接源_02物料!$C$4:$C$1203,$B89,对接源_02物料!$D$4:$D$1203,"次果筐*",对接源_02物料!$L$4:$L$1203,"已付款"),2))</f>
        <v/>
      </c>
      <c r="J89" s="18" t="str">
        <f t="shared" si="6"/>
        <v/>
      </c>
      <c r="K89" s="16" t="str">
        <f t="shared" si="7"/>
        <v/>
      </c>
      <c r="L89" s="26"/>
    </row>
    <row r="90" customHeight="1" spans="1:12">
      <c r="A90" s="16" t="str">
        <f t="shared" si="4"/>
        <v/>
      </c>
      <c r="B90" s="11" t="str">
        <f>IFERROR(INDEX(_自动清单!$E$4:$E$303,ROW()-3),"")</f>
        <v/>
      </c>
      <c r="C90" s="18" t="str">
        <f>IF($B90="","",ROUND(SUMIFS(对接源_01水果!$K$4:$K$1203,对接源_01水果!$C$4:$C$1203,$B90,对接源_01水果!$D$4:$D$1203,"成品出库*"),2))</f>
        <v/>
      </c>
      <c r="D90" s="18" t="str">
        <f>IF($B90="","",ROUND(SUMIFS(对接源_01水果!$K$4:$K$1203,对接源_01水果!$C$4:$C$1203,$B90,对接源_01水果!$D$4:$D$1203,"其他代存*"),2))</f>
        <v/>
      </c>
      <c r="E90" s="18" t="str">
        <f>IF($B90="","",ROUND(SUMIFS(对接源_02物料!$K$4:$K$1203,对接源_02物料!$C$4:$C$1203,$B90,对接源_02物料!$D$4:$D$1203,"包装物料*"),2))</f>
        <v/>
      </c>
      <c r="F90" s="18" t="str">
        <f>IF($B90="","",ROUND(SUMIFS(对接源_02物料!$K$4:$K$1203,对接源_02物料!$C$4:$C$1203,$B90,对接源_02物料!$D$4:$D$1203,"周转筐*"),2))</f>
        <v/>
      </c>
      <c r="G90" s="18" t="str">
        <f>IF($B90="","",ROUND(SUMIFS(对接源_02物料!$K$4:$K$1203,对接源_02物料!$C$4:$C$1203,$B90,对接源_02物料!$D$4:$D$1203,"次果筐*"),2))</f>
        <v/>
      </c>
      <c r="H90" s="18" t="str">
        <f t="shared" si="5"/>
        <v/>
      </c>
      <c r="I90" s="18" t="str">
        <f>IF($B90="","",ROUND(SUMIFS(对接源_01水果!$K$4:$K$1203,对接源_01水果!$C$4:$C$1203,$B90,对接源_01水果!$D$4:$D$1203,"成品出库*",对接源_01水果!$L$4:$L$1203,"已收讫")+SUMIFS(对接源_01水果!$K$4:$K$1203,对接源_01水果!$C$4:$C$1203,$B90,对接源_01水果!$D$4:$D$1203,"成品出库*",对接源_01水果!$L$4:$L$1203,"已付款")+SUMIFS(对接源_01水果!$K$4:$K$1203,对接源_01水果!$C$4:$C$1203,$B90,对接源_01水果!$D$4:$D$1203,"其他代存*",对接源_01水果!$L$4:$L$1203,"已收讫")+SUMIFS(对接源_01水果!$K$4:$K$1203,对接源_01水果!$C$4:$C$1203,$B90,对接源_01水果!$D$4:$D$1203,"其他代存*",对接源_01水果!$L$4:$L$1203,"已付款")+SUMIFS(对接源_02物料!$K$4:$K$1203,对接源_02物料!$C$4:$C$1203,$B90,对接源_02物料!$D$4:$D$1203,"包装物料*",对接源_02物料!$L$4:$L$1203,"已收讫")+SUMIFS(对接源_02物料!$K$4:$K$1203,对接源_02物料!$C$4:$C$1203,$B90,对接源_02物料!$D$4:$D$1203,"包装物料*",对接源_02物料!$L$4:$L$1203,"已付款")+SUMIFS(对接源_02物料!$K$4:$K$1203,对接源_02物料!$C$4:$C$1203,$B90,对接源_02物料!$D$4:$D$1203,"周转筐*",对接源_02物料!$L$4:$L$1203,"已收讫")+SUMIFS(对接源_02物料!$K$4:$K$1203,对接源_02物料!$C$4:$C$1203,$B90,对接源_02物料!$D$4:$D$1203,"周转筐*",对接源_02物料!$L$4:$L$1203,"已付款")+SUMIFS(对接源_02物料!$K$4:$K$1203,对接源_02物料!$C$4:$C$1203,$B90,对接源_02物料!$D$4:$D$1203,"次果筐*",对接源_02物料!$L$4:$L$1203,"已收讫")+SUMIFS(对接源_02物料!$K$4:$K$1203,对接源_02物料!$C$4:$C$1203,$B90,对接源_02物料!$D$4:$D$1203,"次果筐*",对接源_02物料!$L$4:$L$1203,"已付款"),2))</f>
        <v/>
      </c>
      <c r="J90" s="18" t="str">
        <f t="shared" si="6"/>
        <v/>
      </c>
      <c r="K90" s="16" t="str">
        <f t="shared" si="7"/>
        <v/>
      </c>
      <c r="L90" s="26"/>
    </row>
    <row r="91" customHeight="1" spans="1:12">
      <c r="A91" s="16" t="str">
        <f t="shared" si="4"/>
        <v/>
      </c>
      <c r="B91" s="11" t="str">
        <f>IFERROR(INDEX(_自动清单!$E$4:$E$303,ROW()-3),"")</f>
        <v/>
      </c>
      <c r="C91" s="18" t="str">
        <f>IF($B91="","",ROUND(SUMIFS(对接源_01水果!$K$4:$K$1203,对接源_01水果!$C$4:$C$1203,$B91,对接源_01水果!$D$4:$D$1203,"成品出库*"),2))</f>
        <v/>
      </c>
      <c r="D91" s="18" t="str">
        <f>IF($B91="","",ROUND(SUMIFS(对接源_01水果!$K$4:$K$1203,对接源_01水果!$C$4:$C$1203,$B91,对接源_01水果!$D$4:$D$1203,"其他代存*"),2))</f>
        <v/>
      </c>
      <c r="E91" s="18" t="str">
        <f>IF($B91="","",ROUND(SUMIFS(对接源_02物料!$K$4:$K$1203,对接源_02物料!$C$4:$C$1203,$B91,对接源_02物料!$D$4:$D$1203,"包装物料*"),2))</f>
        <v/>
      </c>
      <c r="F91" s="18" t="str">
        <f>IF($B91="","",ROUND(SUMIFS(对接源_02物料!$K$4:$K$1203,对接源_02物料!$C$4:$C$1203,$B91,对接源_02物料!$D$4:$D$1203,"周转筐*"),2))</f>
        <v/>
      </c>
      <c r="G91" s="18" t="str">
        <f>IF($B91="","",ROUND(SUMIFS(对接源_02物料!$K$4:$K$1203,对接源_02物料!$C$4:$C$1203,$B91,对接源_02物料!$D$4:$D$1203,"次果筐*"),2))</f>
        <v/>
      </c>
      <c r="H91" s="18" t="str">
        <f t="shared" si="5"/>
        <v/>
      </c>
      <c r="I91" s="18" t="str">
        <f>IF($B91="","",ROUND(SUMIFS(对接源_01水果!$K$4:$K$1203,对接源_01水果!$C$4:$C$1203,$B91,对接源_01水果!$D$4:$D$1203,"成品出库*",对接源_01水果!$L$4:$L$1203,"已收讫")+SUMIFS(对接源_01水果!$K$4:$K$1203,对接源_01水果!$C$4:$C$1203,$B91,对接源_01水果!$D$4:$D$1203,"成品出库*",对接源_01水果!$L$4:$L$1203,"已付款")+SUMIFS(对接源_01水果!$K$4:$K$1203,对接源_01水果!$C$4:$C$1203,$B91,对接源_01水果!$D$4:$D$1203,"其他代存*",对接源_01水果!$L$4:$L$1203,"已收讫")+SUMIFS(对接源_01水果!$K$4:$K$1203,对接源_01水果!$C$4:$C$1203,$B91,对接源_01水果!$D$4:$D$1203,"其他代存*",对接源_01水果!$L$4:$L$1203,"已付款")+SUMIFS(对接源_02物料!$K$4:$K$1203,对接源_02物料!$C$4:$C$1203,$B91,对接源_02物料!$D$4:$D$1203,"包装物料*",对接源_02物料!$L$4:$L$1203,"已收讫")+SUMIFS(对接源_02物料!$K$4:$K$1203,对接源_02物料!$C$4:$C$1203,$B91,对接源_02物料!$D$4:$D$1203,"包装物料*",对接源_02物料!$L$4:$L$1203,"已付款")+SUMIFS(对接源_02物料!$K$4:$K$1203,对接源_02物料!$C$4:$C$1203,$B91,对接源_02物料!$D$4:$D$1203,"周转筐*",对接源_02物料!$L$4:$L$1203,"已收讫")+SUMIFS(对接源_02物料!$K$4:$K$1203,对接源_02物料!$C$4:$C$1203,$B91,对接源_02物料!$D$4:$D$1203,"周转筐*",对接源_02物料!$L$4:$L$1203,"已付款")+SUMIFS(对接源_02物料!$K$4:$K$1203,对接源_02物料!$C$4:$C$1203,$B91,对接源_02物料!$D$4:$D$1203,"次果筐*",对接源_02物料!$L$4:$L$1203,"已收讫")+SUMIFS(对接源_02物料!$K$4:$K$1203,对接源_02物料!$C$4:$C$1203,$B91,对接源_02物料!$D$4:$D$1203,"次果筐*",对接源_02物料!$L$4:$L$1203,"已付款"),2))</f>
        <v/>
      </c>
      <c r="J91" s="18" t="str">
        <f t="shared" si="6"/>
        <v/>
      </c>
      <c r="K91" s="16" t="str">
        <f t="shared" si="7"/>
        <v/>
      </c>
      <c r="L91" s="26"/>
    </row>
    <row r="92" customHeight="1" spans="1:12">
      <c r="A92" s="16" t="str">
        <f t="shared" si="4"/>
        <v/>
      </c>
      <c r="B92" s="11" t="str">
        <f>IFERROR(INDEX(_自动清单!$E$4:$E$303,ROW()-3),"")</f>
        <v/>
      </c>
      <c r="C92" s="18" t="str">
        <f>IF($B92="","",ROUND(SUMIFS(对接源_01水果!$K$4:$K$1203,对接源_01水果!$C$4:$C$1203,$B92,对接源_01水果!$D$4:$D$1203,"成品出库*"),2))</f>
        <v/>
      </c>
      <c r="D92" s="18" t="str">
        <f>IF($B92="","",ROUND(SUMIFS(对接源_01水果!$K$4:$K$1203,对接源_01水果!$C$4:$C$1203,$B92,对接源_01水果!$D$4:$D$1203,"其他代存*"),2))</f>
        <v/>
      </c>
      <c r="E92" s="18" t="str">
        <f>IF($B92="","",ROUND(SUMIFS(对接源_02物料!$K$4:$K$1203,对接源_02物料!$C$4:$C$1203,$B92,对接源_02物料!$D$4:$D$1203,"包装物料*"),2))</f>
        <v/>
      </c>
      <c r="F92" s="18" t="str">
        <f>IF($B92="","",ROUND(SUMIFS(对接源_02物料!$K$4:$K$1203,对接源_02物料!$C$4:$C$1203,$B92,对接源_02物料!$D$4:$D$1203,"周转筐*"),2))</f>
        <v/>
      </c>
      <c r="G92" s="18" t="str">
        <f>IF($B92="","",ROUND(SUMIFS(对接源_02物料!$K$4:$K$1203,对接源_02物料!$C$4:$C$1203,$B92,对接源_02物料!$D$4:$D$1203,"次果筐*"),2))</f>
        <v/>
      </c>
      <c r="H92" s="18" t="str">
        <f t="shared" si="5"/>
        <v/>
      </c>
      <c r="I92" s="18" t="str">
        <f>IF($B92="","",ROUND(SUMIFS(对接源_01水果!$K$4:$K$1203,对接源_01水果!$C$4:$C$1203,$B92,对接源_01水果!$D$4:$D$1203,"成品出库*",对接源_01水果!$L$4:$L$1203,"已收讫")+SUMIFS(对接源_01水果!$K$4:$K$1203,对接源_01水果!$C$4:$C$1203,$B92,对接源_01水果!$D$4:$D$1203,"成品出库*",对接源_01水果!$L$4:$L$1203,"已付款")+SUMIFS(对接源_01水果!$K$4:$K$1203,对接源_01水果!$C$4:$C$1203,$B92,对接源_01水果!$D$4:$D$1203,"其他代存*",对接源_01水果!$L$4:$L$1203,"已收讫")+SUMIFS(对接源_01水果!$K$4:$K$1203,对接源_01水果!$C$4:$C$1203,$B92,对接源_01水果!$D$4:$D$1203,"其他代存*",对接源_01水果!$L$4:$L$1203,"已付款")+SUMIFS(对接源_02物料!$K$4:$K$1203,对接源_02物料!$C$4:$C$1203,$B92,对接源_02物料!$D$4:$D$1203,"包装物料*",对接源_02物料!$L$4:$L$1203,"已收讫")+SUMIFS(对接源_02物料!$K$4:$K$1203,对接源_02物料!$C$4:$C$1203,$B92,对接源_02物料!$D$4:$D$1203,"包装物料*",对接源_02物料!$L$4:$L$1203,"已付款")+SUMIFS(对接源_02物料!$K$4:$K$1203,对接源_02物料!$C$4:$C$1203,$B92,对接源_02物料!$D$4:$D$1203,"周转筐*",对接源_02物料!$L$4:$L$1203,"已收讫")+SUMIFS(对接源_02物料!$K$4:$K$1203,对接源_02物料!$C$4:$C$1203,$B92,对接源_02物料!$D$4:$D$1203,"周转筐*",对接源_02物料!$L$4:$L$1203,"已付款")+SUMIFS(对接源_02物料!$K$4:$K$1203,对接源_02物料!$C$4:$C$1203,$B92,对接源_02物料!$D$4:$D$1203,"次果筐*",对接源_02物料!$L$4:$L$1203,"已收讫")+SUMIFS(对接源_02物料!$K$4:$K$1203,对接源_02物料!$C$4:$C$1203,$B92,对接源_02物料!$D$4:$D$1203,"次果筐*",对接源_02物料!$L$4:$L$1203,"已付款"),2))</f>
        <v/>
      </c>
      <c r="J92" s="18" t="str">
        <f t="shared" si="6"/>
        <v/>
      </c>
      <c r="K92" s="16" t="str">
        <f t="shared" si="7"/>
        <v/>
      </c>
      <c r="L92" s="26"/>
    </row>
    <row r="93" customHeight="1" spans="1:12">
      <c r="A93" s="16" t="str">
        <f t="shared" si="4"/>
        <v/>
      </c>
      <c r="B93" s="11" t="str">
        <f>IFERROR(INDEX(_自动清单!$E$4:$E$303,ROW()-3),"")</f>
        <v/>
      </c>
      <c r="C93" s="18" t="str">
        <f>IF($B93="","",ROUND(SUMIFS(对接源_01水果!$K$4:$K$1203,对接源_01水果!$C$4:$C$1203,$B93,对接源_01水果!$D$4:$D$1203,"成品出库*"),2))</f>
        <v/>
      </c>
      <c r="D93" s="18" t="str">
        <f>IF($B93="","",ROUND(SUMIFS(对接源_01水果!$K$4:$K$1203,对接源_01水果!$C$4:$C$1203,$B93,对接源_01水果!$D$4:$D$1203,"其他代存*"),2))</f>
        <v/>
      </c>
      <c r="E93" s="18" t="str">
        <f>IF($B93="","",ROUND(SUMIFS(对接源_02物料!$K$4:$K$1203,对接源_02物料!$C$4:$C$1203,$B93,对接源_02物料!$D$4:$D$1203,"包装物料*"),2))</f>
        <v/>
      </c>
      <c r="F93" s="18" t="str">
        <f>IF($B93="","",ROUND(SUMIFS(对接源_02物料!$K$4:$K$1203,对接源_02物料!$C$4:$C$1203,$B93,对接源_02物料!$D$4:$D$1203,"周转筐*"),2))</f>
        <v/>
      </c>
      <c r="G93" s="18" t="str">
        <f>IF($B93="","",ROUND(SUMIFS(对接源_02物料!$K$4:$K$1203,对接源_02物料!$C$4:$C$1203,$B93,对接源_02物料!$D$4:$D$1203,"次果筐*"),2))</f>
        <v/>
      </c>
      <c r="H93" s="18" t="str">
        <f t="shared" si="5"/>
        <v/>
      </c>
      <c r="I93" s="18" t="str">
        <f>IF($B93="","",ROUND(SUMIFS(对接源_01水果!$K$4:$K$1203,对接源_01水果!$C$4:$C$1203,$B93,对接源_01水果!$D$4:$D$1203,"成品出库*",对接源_01水果!$L$4:$L$1203,"已收讫")+SUMIFS(对接源_01水果!$K$4:$K$1203,对接源_01水果!$C$4:$C$1203,$B93,对接源_01水果!$D$4:$D$1203,"成品出库*",对接源_01水果!$L$4:$L$1203,"已付款")+SUMIFS(对接源_01水果!$K$4:$K$1203,对接源_01水果!$C$4:$C$1203,$B93,对接源_01水果!$D$4:$D$1203,"其他代存*",对接源_01水果!$L$4:$L$1203,"已收讫")+SUMIFS(对接源_01水果!$K$4:$K$1203,对接源_01水果!$C$4:$C$1203,$B93,对接源_01水果!$D$4:$D$1203,"其他代存*",对接源_01水果!$L$4:$L$1203,"已付款")+SUMIFS(对接源_02物料!$K$4:$K$1203,对接源_02物料!$C$4:$C$1203,$B93,对接源_02物料!$D$4:$D$1203,"包装物料*",对接源_02物料!$L$4:$L$1203,"已收讫")+SUMIFS(对接源_02物料!$K$4:$K$1203,对接源_02物料!$C$4:$C$1203,$B93,对接源_02物料!$D$4:$D$1203,"包装物料*",对接源_02物料!$L$4:$L$1203,"已付款")+SUMIFS(对接源_02物料!$K$4:$K$1203,对接源_02物料!$C$4:$C$1203,$B93,对接源_02物料!$D$4:$D$1203,"周转筐*",对接源_02物料!$L$4:$L$1203,"已收讫")+SUMIFS(对接源_02物料!$K$4:$K$1203,对接源_02物料!$C$4:$C$1203,$B93,对接源_02物料!$D$4:$D$1203,"周转筐*",对接源_02物料!$L$4:$L$1203,"已付款")+SUMIFS(对接源_02物料!$K$4:$K$1203,对接源_02物料!$C$4:$C$1203,$B93,对接源_02物料!$D$4:$D$1203,"次果筐*",对接源_02物料!$L$4:$L$1203,"已收讫")+SUMIFS(对接源_02物料!$K$4:$K$1203,对接源_02物料!$C$4:$C$1203,$B93,对接源_02物料!$D$4:$D$1203,"次果筐*",对接源_02物料!$L$4:$L$1203,"已付款"),2))</f>
        <v/>
      </c>
      <c r="J93" s="18" t="str">
        <f t="shared" si="6"/>
        <v/>
      </c>
      <c r="K93" s="16" t="str">
        <f t="shared" si="7"/>
        <v/>
      </c>
      <c r="L93" s="26"/>
    </row>
    <row r="94" customHeight="1" spans="1:12">
      <c r="A94" s="16" t="str">
        <f t="shared" si="4"/>
        <v/>
      </c>
      <c r="B94" s="11" t="str">
        <f>IFERROR(INDEX(_自动清单!$E$4:$E$303,ROW()-3),"")</f>
        <v/>
      </c>
      <c r="C94" s="18" t="str">
        <f>IF($B94="","",ROUND(SUMIFS(对接源_01水果!$K$4:$K$1203,对接源_01水果!$C$4:$C$1203,$B94,对接源_01水果!$D$4:$D$1203,"成品出库*"),2))</f>
        <v/>
      </c>
      <c r="D94" s="18" t="str">
        <f>IF($B94="","",ROUND(SUMIFS(对接源_01水果!$K$4:$K$1203,对接源_01水果!$C$4:$C$1203,$B94,对接源_01水果!$D$4:$D$1203,"其他代存*"),2))</f>
        <v/>
      </c>
      <c r="E94" s="18" t="str">
        <f>IF($B94="","",ROUND(SUMIFS(对接源_02物料!$K$4:$K$1203,对接源_02物料!$C$4:$C$1203,$B94,对接源_02物料!$D$4:$D$1203,"包装物料*"),2))</f>
        <v/>
      </c>
      <c r="F94" s="18" t="str">
        <f>IF($B94="","",ROUND(SUMIFS(对接源_02物料!$K$4:$K$1203,对接源_02物料!$C$4:$C$1203,$B94,对接源_02物料!$D$4:$D$1203,"周转筐*"),2))</f>
        <v/>
      </c>
      <c r="G94" s="18" t="str">
        <f>IF($B94="","",ROUND(SUMIFS(对接源_02物料!$K$4:$K$1203,对接源_02物料!$C$4:$C$1203,$B94,对接源_02物料!$D$4:$D$1203,"次果筐*"),2))</f>
        <v/>
      </c>
      <c r="H94" s="18" t="str">
        <f t="shared" si="5"/>
        <v/>
      </c>
      <c r="I94" s="18" t="str">
        <f>IF($B94="","",ROUND(SUMIFS(对接源_01水果!$K$4:$K$1203,对接源_01水果!$C$4:$C$1203,$B94,对接源_01水果!$D$4:$D$1203,"成品出库*",对接源_01水果!$L$4:$L$1203,"已收讫")+SUMIFS(对接源_01水果!$K$4:$K$1203,对接源_01水果!$C$4:$C$1203,$B94,对接源_01水果!$D$4:$D$1203,"成品出库*",对接源_01水果!$L$4:$L$1203,"已付款")+SUMIFS(对接源_01水果!$K$4:$K$1203,对接源_01水果!$C$4:$C$1203,$B94,对接源_01水果!$D$4:$D$1203,"其他代存*",对接源_01水果!$L$4:$L$1203,"已收讫")+SUMIFS(对接源_01水果!$K$4:$K$1203,对接源_01水果!$C$4:$C$1203,$B94,对接源_01水果!$D$4:$D$1203,"其他代存*",对接源_01水果!$L$4:$L$1203,"已付款")+SUMIFS(对接源_02物料!$K$4:$K$1203,对接源_02物料!$C$4:$C$1203,$B94,对接源_02物料!$D$4:$D$1203,"包装物料*",对接源_02物料!$L$4:$L$1203,"已收讫")+SUMIFS(对接源_02物料!$K$4:$K$1203,对接源_02物料!$C$4:$C$1203,$B94,对接源_02物料!$D$4:$D$1203,"包装物料*",对接源_02物料!$L$4:$L$1203,"已付款")+SUMIFS(对接源_02物料!$K$4:$K$1203,对接源_02物料!$C$4:$C$1203,$B94,对接源_02物料!$D$4:$D$1203,"周转筐*",对接源_02物料!$L$4:$L$1203,"已收讫")+SUMIFS(对接源_02物料!$K$4:$K$1203,对接源_02物料!$C$4:$C$1203,$B94,对接源_02物料!$D$4:$D$1203,"周转筐*",对接源_02物料!$L$4:$L$1203,"已付款")+SUMIFS(对接源_02物料!$K$4:$K$1203,对接源_02物料!$C$4:$C$1203,$B94,对接源_02物料!$D$4:$D$1203,"次果筐*",对接源_02物料!$L$4:$L$1203,"已收讫")+SUMIFS(对接源_02物料!$K$4:$K$1203,对接源_02物料!$C$4:$C$1203,$B94,对接源_02物料!$D$4:$D$1203,"次果筐*",对接源_02物料!$L$4:$L$1203,"已付款"),2))</f>
        <v/>
      </c>
      <c r="J94" s="18" t="str">
        <f t="shared" si="6"/>
        <v/>
      </c>
      <c r="K94" s="16" t="str">
        <f t="shared" si="7"/>
        <v/>
      </c>
      <c r="L94" s="26"/>
    </row>
    <row r="95" customHeight="1" spans="1:12">
      <c r="A95" s="16" t="str">
        <f t="shared" si="4"/>
        <v/>
      </c>
      <c r="B95" s="11" t="str">
        <f>IFERROR(INDEX(_自动清单!$E$4:$E$303,ROW()-3),"")</f>
        <v/>
      </c>
      <c r="C95" s="18" t="str">
        <f>IF($B95="","",ROUND(SUMIFS(对接源_01水果!$K$4:$K$1203,对接源_01水果!$C$4:$C$1203,$B95,对接源_01水果!$D$4:$D$1203,"成品出库*"),2))</f>
        <v/>
      </c>
      <c r="D95" s="18" t="str">
        <f>IF($B95="","",ROUND(SUMIFS(对接源_01水果!$K$4:$K$1203,对接源_01水果!$C$4:$C$1203,$B95,对接源_01水果!$D$4:$D$1203,"其他代存*"),2))</f>
        <v/>
      </c>
      <c r="E95" s="18" t="str">
        <f>IF($B95="","",ROUND(SUMIFS(对接源_02物料!$K$4:$K$1203,对接源_02物料!$C$4:$C$1203,$B95,对接源_02物料!$D$4:$D$1203,"包装物料*"),2))</f>
        <v/>
      </c>
      <c r="F95" s="18" t="str">
        <f>IF($B95="","",ROUND(SUMIFS(对接源_02物料!$K$4:$K$1203,对接源_02物料!$C$4:$C$1203,$B95,对接源_02物料!$D$4:$D$1203,"周转筐*"),2))</f>
        <v/>
      </c>
      <c r="G95" s="18" t="str">
        <f>IF($B95="","",ROUND(SUMIFS(对接源_02物料!$K$4:$K$1203,对接源_02物料!$C$4:$C$1203,$B95,对接源_02物料!$D$4:$D$1203,"次果筐*"),2))</f>
        <v/>
      </c>
      <c r="H95" s="18" t="str">
        <f t="shared" si="5"/>
        <v/>
      </c>
      <c r="I95" s="18" t="str">
        <f>IF($B95="","",ROUND(SUMIFS(对接源_01水果!$K$4:$K$1203,对接源_01水果!$C$4:$C$1203,$B95,对接源_01水果!$D$4:$D$1203,"成品出库*",对接源_01水果!$L$4:$L$1203,"已收讫")+SUMIFS(对接源_01水果!$K$4:$K$1203,对接源_01水果!$C$4:$C$1203,$B95,对接源_01水果!$D$4:$D$1203,"成品出库*",对接源_01水果!$L$4:$L$1203,"已付款")+SUMIFS(对接源_01水果!$K$4:$K$1203,对接源_01水果!$C$4:$C$1203,$B95,对接源_01水果!$D$4:$D$1203,"其他代存*",对接源_01水果!$L$4:$L$1203,"已收讫")+SUMIFS(对接源_01水果!$K$4:$K$1203,对接源_01水果!$C$4:$C$1203,$B95,对接源_01水果!$D$4:$D$1203,"其他代存*",对接源_01水果!$L$4:$L$1203,"已付款")+SUMIFS(对接源_02物料!$K$4:$K$1203,对接源_02物料!$C$4:$C$1203,$B95,对接源_02物料!$D$4:$D$1203,"包装物料*",对接源_02物料!$L$4:$L$1203,"已收讫")+SUMIFS(对接源_02物料!$K$4:$K$1203,对接源_02物料!$C$4:$C$1203,$B95,对接源_02物料!$D$4:$D$1203,"包装物料*",对接源_02物料!$L$4:$L$1203,"已付款")+SUMIFS(对接源_02物料!$K$4:$K$1203,对接源_02物料!$C$4:$C$1203,$B95,对接源_02物料!$D$4:$D$1203,"周转筐*",对接源_02物料!$L$4:$L$1203,"已收讫")+SUMIFS(对接源_02物料!$K$4:$K$1203,对接源_02物料!$C$4:$C$1203,$B95,对接源_02物料!$D$4:$D$1203,"周转筐*",对接源_02物料!$L$4:$L$1203,"已付款")+SUMIFS(对接源_02物料!$K$4:$K$1203,对接源_02物料!$C$4:$C$1203,$B95,对接源_02物料!$D$4:$D$1203,"次果筐*",对接源_02物料!$L$4:$L$1203,"已收讫")+SUMIFS(对接源_02物料!$K$4:$K$1203,对接源_02物料!$C$4:$C$1203,$B95,对接源_02物料!$D$4:$D$1203,"次果筐*",对接源_02物料!$L$4:$L$1203,"已付款"),2))</f>
        <v/>
      </c>
      <c r="J95" s="18" t="str">
        <f t="shared" si="6"/>
        <v/>
      </c>
      <c r="K95" s="16" t="str">
        <f t="shared" si="7"/>
        <v/>
      </c>
      <c r="L95" s="26"/>
    </row>
    <row r="96" customHeight="1" spans="1:12">
      <c r="A96" s="16" t="str">
        <f t="shared" si="4"/>
        <v/>
      </c>
      <c r="B96" s="11" t="str">
        <f>IFERROR(INDEX(_自动清单!$E$4:$E$303,ROW()-3),"")</f>
        <v/>
      </c>
      <c r="C96" s="18" t="str">
        <f>IF($B96="","",ROUND(SUMIFS(对接源_01水果!$K$4:$K$1203,对接源_01水果!$C$4:$C$1203,$B96,对接源_01水果!$D$4:$D$1203,"成品出库*"),2))</f>
        <v/>
      </c>
      <c r="D96" s="18" t="str">
        <f>IF($B96="","",ROUND(SUMIFS(对接源_01水果!$K$4:$K$1203,对接源_01水果!$C$4:$C$1203,$B96,对接源_01水果!$D$4:$D$1203,"其他代存*"),2))</f>
        <v/>
      </c>
      <c r="E96" s="18" t="str">
        <f>IF($B96="","",ROUND(SUMIFS(对接源_02物料!$K$4:$K$1203,对接源_02物料!$C$4:$C$1203,$B96,对接源_02物料!$D$4:$D$1203,"包装物料*"),2))</f>
        <v/>
      </c>
      <c r="F96" s="18" t="str">
        <f>IF($B96="","",ROUND(SUMIFS(对接源_02物料!$K$4:$K$1203,对接源_02物料!$C$4:$C$1203,$B96,对接源_02物料!$D$4:$D$1203,"周转筐*"),2))</f>
        <v/>
      </c>
      <c r="G96" s="18" t="str">
        <f>IF($B96="","",ROUND(SUMIFS(对接源_02物料!$K$4:$K$1203,对接源_02物料!$C$4:$C$1203,$B96,对接源_02物料!$D$4:$D$1203,"次果筐*"),2))</f>
        <v/>
      </c>
      <c r="H96" s="18" t="str">
        <f t="shared" si="5"/>
        <v/>
      </c>
      <c r="I96" s="18" t="str">
        <f>IF($B96="","",ROUND(SUMIFS(对接源_01水果!$K$4:$K$1203,对接源_01水果!$C$4:$C$1203,$B96,对接源_01水果!$D$4:$D$1203,"成品出库*",对接源_01水果!$L$4:$L$1203,"已收讫")+SUMIFS(对接源_01水果!$K$4:$K$1203,对接源_01水果!$C$4:$C$1203,$B96,对接源_01水果!$D$4:$D$1203,"成品出库*",对接源_01水果!$L$4:$L$1203,"已付款")+SUMIFS(对接源_01水果!$K$4:$K$1203,对接源_01水果!$C$4:$C$1203,$B96,对接源_01水果!$D$4:$D$1203,"其他代存*",对接源_01水果!$L$4:$L$1203,"已收讫")+SUMIFS(对接源_01水果!$K$4:$K$1203,对接源_01水果!$C$4:$C$1203,$B96,对接源_01水果!$D$4:$D$1203,"其他代存*",对接源_01水果!$L$4:$L$1203,"已付款")+SUMIFS(对接源_02物料!$K$4:$K$1203,对接源_02物料!$C$4:$C$1203,$B96,对接源_02物料!$D$4:$D$1203,"包装物料*",对接源_02物料!$L$4:$L$1203,"已收讫")+SUMIFS(对接源_02物料!$K$4:$K$1203,对接源_02物料!$C$4:$C$1203,$B96,对接源_02物料!$D$4:$D$1203,"包装物料*",对接源_02物料!$L$4:$L$1203,"已付款")+SUMIFS(对接源_02物料!$K$4:$K$1203,对接源_02物料!$C$4:$C$1203,$B96,对接源_02物料!$D$4:$D$1203,"周转筐*",对接源_02物料!$L$4:$L$1203,"已收讫")+SUMIFS(对接源_02物料!$K$4:$K$1203,对接源_02物料!$C$4:$C$1203,$B96,对接源_02物料!$D$4:$D$1203,"周转筐*",对接源_02物料!$L$4:$L$1203,"已付款")+SUMIFS(对接源_02物料!$K$4:$K$1203,对接源_02物料!$C$4:$C$1203,$B96,对接源_02物料!$D$4:$D$1203,"次果筐*",对接源_02物料!$L$4:$L$1203,"已收讫")+SUMIFS(对接源_02物料!$K$4:$K$1203,对接源_02物料!$C$4:$C$1203,$B96,对接源_02物料!$D$4:$D$1203,"次果筐*",对接源_02物料!$L$4:$L$1203,"已付款"),2))</f>
        <v/>
      </c>
      <c r="J96" s="18" t="str">
        <f t="shared" si="6"/>
        <v/>
      </c>
      <c r="K96" s="16" t="str">
        <f t="shared" si="7"/>
        <v/>
      </c>
      <c r="L96" s="26"/>
    </row>
    <row r="97" customHeight="1" spans="1:12">
      <c r="A97" s="16" t="str">
        <f t="shared" si="4"/>
        <v/>
      </c>
      <c r="B97" s="11" t="str">
        <f>IFERROR(INDEX(_自动清单!$E$4:$E$303,ROW()-3),"")</f>
        <v/>
      </c>
      <c r="C97" s="18" t="str">
        <f>IF($B97="","",ROUND(SUMIFS(对接源_01水果!$K$4:$K$1203,对接源_01水果!$C$4:$C$1203,$B97,对接源_01水果!$D$4:$D$1203,"成品出库*"),2))</f>
        <v/>
      </c>
      <c r="D97" s="18" t="str">
        <f>IF($B97="","",ROUND(SUMIFS(对接源_01水果!$K$4:$K$1203,对接源_01水果!$C$4:$C$1203,$B97,对接源_01水果!$D$4:$D$1203,"其他代存*"),2))</f>
        <v/>
      </c>
      <c r="E97" s="18" t="str">
        <f>IF($B97="","",ROUND(SUMIFS(对接源_02物料!$K$4:$K$1203,对接源_02物料!$C$4:$C$1203,$B97,对接源_02物料!$D$4:$D$1203,"包装物料*"),2))</f>
        <v/>
      </c>
      <c r="F97" s="18" t="str">
        <f>IF($B97="","",ROUND(SUMIFS(对接源_02物料!$K$4:$K$1203,对接源_02物料!$C$4:$C$1203,$B97,对接源_02物料!$D$4:$D$1203,"周转筐*"),2))</f>
        <v/>
      </c>
      <c r="G97" s="18" t="str">
        <f>IF($B97="","",ROUND(SUMIFS(对接源_02物料!$K$4:$K$1203,对接源_02物料!$C$4:$C$1203,$B97,对接源_02物料!$D$4:$D$1203,"次果筐*"),2))</f>
        <v/>
      </c>
      <c r="H97" s="18" t="str">
        <f t="shared" si="5"/>
        <v/>
      </c>
      <c r="I97" s="18" t="str">
        <f>IF($B97="","",ROUND(SUMIFS(对接源_01水果!$K$4:$K$1203,对接源_01水果!$C$4:$C$1203,$B97,对接源_01水果!$D$4:$D$1203,"成品出库*",对接源_01水果!$L$4:$L$1203,"已收讫")+SUMIFS(对接源_01水果!$K$4:$K$1203,对接源_01水果!$C$4:$C$1203,$B97,对接源_01水果!$D$4:$D$1203,"成品出库*",对接源_01水果!$L$4:$L$1203,"已付款")+SUMIFS(对接源_01水果!$K$4:$K$1203,对接源_01水果!$C$4:$C$1203,$B97,对接源_01水果!$D$4:$D$1203,"其他代存*",对接源_01水果!$L$4:$L$1203,"已收讫")+SUMIFS(对接源_01水果!$K$4:$K$1203,对接源_01水果!$C$4:$C$1203,$B97,对接源_01水果!$D$4:$D$1203,"其他代存*",对接源_01水果!$L$4:$L$1203,"已付款")+SUMIFS(对接源_02物料!$K$4:$K$1203,对接源_02物料!$C$4:$C$1203,$B97,对接源_02物料!$D$4:$D$1203,"包装物料*",对接源_02物料!$L$4:$L$1203,"已收讫")+SUMIFS(对接源_02物料!$K$4:$K$1203,对接源_02物料!$C$4:$C$1203,$B97,对接源_02物料!$D$4:$D$1203,"包装物料*",对接源_02物料!$L$4:$L$1203,"已付款")+SUMIFS(对接源_02物料!$K$4:$K$1203,对接源_02物料!$C$4:$C$1203,$B97,对接源_02物料!$D$4:$D$1203,"周转筐*",对接源_02物料!$L$4:$L$1203,"已收讫")+SUMIFS(对接源_02物料!$K$4:$K$1203,对接源_02物料!$C$4:$C$1203,$B97,对接源_02物料!$D$4:$D$1203,"周转筐*",对接源_02物料!$L$4:$L$1203,"已付款")+SUMIFS(对接源_02物料!$K$4:$K$1203,对接源_02物料!$C$4:$C$1203,$B97,对接源_02物料!$D$4:$D$1203,"次果筐*",对接源_02物料!$L$4:$L$1203,"已收讫")+SUMIFS(对接源_02物料!$K$4:$K$1203,对接源_02物料!$C$4:$C$1203,$B97,对接源_02物料!$D$4:$D$1203,"次果筐*",对接源_02物料!$L$4:$L$1203,"已付款"),2))</f>
        <v/>
      </c>
      <c r="J97" s="18" t="str">
        <f t="shared" si="6"/>
        <v/>
      </c>
      <c r="K97" s="16" t="str">
        <f t="shared" si="7"/>
        <v/>
      </c>
      <c r="L97" s="26"/>
    </row>
    <row r="98" customHeight="1" spans="1:12">
      <c r="A98" s="16" t="str">
        <f t="shared" si="4"/>
        <v/>
      </c>
      <c r="B98" s="11" t="str">
        <f>IFERROR(INDEX(_自动清单!$E$4:$E$303,ROW()-3),"")</f>
        <v/>
      </c>
      <c r="C98" s="18" t="str">
        <f>IF($B98="","",ROUND(SUMIFS(对接源_01水果!$K$4:$K$1203,对接源_01水果!$C$4:$C$1203,$B98,对接源_01水果!$D$4:$D$1203,"成品出库*"),2))</f>
        <v/>
      </c>
      <c r="D98" s="18" t="str">
        <f>IF($B98="","",ROUND(SUMIFS(对接源_01水果!$K$4:$K$1203,对接源_01水果!$C$4:$C$1203,$B98,对接源_01水果!$D$4:$D$1203,"其他代存*"),2))</f>
        <v/>
      </c>
      <c r="E98" s="18" t="str">
        <f>IF($B98="","",ROUND(SUMIFS(对接源_02物料!$K$4:$K$1203,对接源_02物料!$C$4:$C$1203,$B98,对接源_02物料!$D$4:$D$1203,"包装物料*"),2))</f>
        <v/>
      </c>
      <c r="F98" s="18" t="str">
        <f>IF($B98="","",ROUND(SUMIFS(对接源_02物料!$K$4:$K$1203,对接源_02物料!$C$4:$C$1203,$B98,对接源_02物料!$D$4:$D$1203,"周转筐*"),2))</f>
        <v/>
      </c>
      <c r="G98" s="18" t="str">
        <f>IF($B98="","",ROUND(SUMIFS(对接源_02物料!$K$4:$K$1203,对接源_02物料!$C$4:$C$1203,$B98,对接源_02物料!$D$4:$D$1203,"次果筐*"),2))</f>
        <v/>
      </c>
      <c r="H98" s="18" t="str">
        <f t="shared" si="5"/>
        <v/>
      </c>
      <c r="I98" s="18" t="str">
        <f>IF($B98="","",ROUND(SUMIFS(对接源_01水果!$K$4:$K$1203,对接源_01水果!$C$4:$C$1203,$B98,对接源_01水果!$D$4:$D$1203,"成品出库*",对接源_01水果!$L$4:$L$1203,"已收讫")+SUMIFS(对接源_01水果!$K$4:$K$1203,对接源_01水果!$C$4:$C$1203,$B98,对接源_01水果!$D$4:$D$1203,"成品出库*",对接源_01水果!$L$4:$L$1203,"已付款")+SUMIFS(对接源_01水果!$K$4:$K$1203,对接源_01水果!$C$4:$C$1203,$B98,对接源_01水果!$D$4:$D$1203,"其他代存*",对接源_01水果!$L$4:$L$1203,"已收讫")+SUMIFS(对接源_01水果!$K$4:$K$1203,对接源_01水果!$C$4:$C$1203,$B98,对接源_01水果!$D$4:$D$1203,"其他代存*",对接源_01水果!$L$4:$L$1203,"已付款")+SUMIFS(对接源_02物料!$K$4:$K$1203,对接源_02物料!$C$4:$C$1203,$B98,对接源_02物料!$D$4:$D$1203,"包装物料*",对接源_02物料!$L$4:$L$1203,"已收讫")+SUMIFS(对接源_02物料!$K$4:$K$1203,对接源_02物料!$C$4:$C$1203,$B98,对接源_02物料!$D$4:$D$1203,"包装物料*",对接源_02物料!$L$4:$L$1203,"已付款")+SUMIFS(对接源_02物料!$K$4:$K$1203,对接源_02物料!$C$4:$C$1203,$B98,对接源_02物料!$D$4:$D$1203,"周转筐*",对接源_02物料!$L$4:$L$1203,"已收讫")+SUMIFS(对接源_02物料!$K$4:$K$1203,对接源_02物料!$C$4:$C$1203,$B98,对接源_02物料!$D$4:$D$1203,"周转筐*",对接源_02物料!$L$4:$L$1203,"已付款")+SUMIFS(对接源_02物料!$K$4:$K$1203,对接源_02物料!$C$4:$C$1203,$B98,对接源_02物料!$D$4:$D$1203,"次果筐*",对接源_02物料!$L$4:$L$1203,"已收讫")+SUMIFS(对接源_02物料!$K$4:$K$1203,对接源_02物料!$C$4:$C$1203,$B98,对接源_02物料!$D$4:$D$1203,"次果筐*",对接源_02物料!$L$4:$L$1203,"已付款"),2))</f>
        <v/>
      </c>
      <c r="J98" s="18" t="str">
        <f t="shared" si="6"/>
        <v/>
      </c>
      <c r="K98" s="16" t="str">
        <f t="shared" si="7"/>
        <v/>
      </c>
      <c r="L98" s="26"/>
    </row>
    <row r="99" customHeight="1" spans="1:12">
      <c r="A99" s="16" t="str">
        <f t="shared" si="4"/>
        <v/>
      </c>
      <c r="B99" s="11" t="str">
        <f>IFERROR(INDEX(_自动清单!$E$4:$E$303,ROW()-3),"")</f>
        <v/>
      </c>
      <c r="C99" s="18" t="str">
        <f>IF($B99="","",ROUND(SUMIFS(对接源_01水果!$K$4:$K$1203,对接源_01水果!$C$4:$C$1203,$B99,对接源_01水果!$D$4:$D$1203,"成品出库*"),2))</f>
        <v/>
      </c>
      <c r="D99" s="18" t="str">
        <f>IF($B99="","",ROUND(SUMIFS(对接源_01水果!$K$4:$K$1203,对接源_01水果!$C$4:$C$1203,$B99,对接源_01水果!$D$4:$D$1203,"其他代存*"),2))</f>
        <v/>
      </c>
      <c r="E99" s="18" t="str">
        <f>IF($B99="","",ROUND(SUMIFS(对接源_02物料!$K$4:$K$1203,对接源_02物料!$C$4:$C$1203,$B99,对接源_02物料!$D$4:$D$1203,"包装物料*"),2))</f>
        <v/>
      </c>
      <c r="F99" s="18" t="str">
        <f>IF($B99="","",ROUND(SUMIFS(对接源_02物料!$K$4:$K$1203,对接源_02物料!$C$4:$C$1203,$B99,对接源_02物料!$D$4:$D$1203,"周转筐*"),2))</f>
        <v/>
      </c>
      <c r="G99" s="18" t="str">
        <f>IF($B99="","",ROUND(SUMIFS(对接源_02物料!$K$4:$K$1203,对接源_02物料!$C$4:$C$1203,$B99,对接源_02物料!$D$4:$D$1203,"次果筐*"),2))</f>
        <v/>
      </c>
      <c r="H99" s="18" t="str">
        <f t="shared" si="5"/>
        <v/>
      </c>
      <c r="I99" s="18" t="str">
        <f>IF($B99="","",ROUND(SUMIFS(对接源_01水果!$K$4:$K$1203,对接源_01水果!$C$4:$C$1203,$B99,对接源_01水果!$D$4:$D$1203,"成品出库*",对接源_01水果!$L$4:$L$1203,"已收讫")+SUMIFS(对接源_01水果!$K$4:$K$1203,对接源_01水果!$C$4:$C$1203,$B99,对接源_01水果!$D$4:$D$1203,"成品出库*",对接源_01水果!$L$4:$L$1203,"已付款")+SUMIFS(对接源_01水果!$K$4:$K$1203,对接源_01水果!$C$4:$C$1203,$B99,对接源_01水果!$D$4:$D$1203,"其他代存*",对接源_01水果!$L$4:$L$1203,"已收讫")+SUMIFS(对接源_01水果!$K$4:$K$1203,对接源_01水果!$C$4:$C$1203,$B99,对接源_01水果!$D$4:$D$1203,"其他代存*",对接源_01水果!$L$4:$L$1203,"已付款")+SUMIFS(对接源_02物料!$K$4:$K$1203,对接源_02物料!$C$4:$C$1203,$B99,对接源_02物料!$D$4:$D$1203,"包装物料*",对接源_02物料!$L$4:$L$1203,"已收讫")+SUMIFS(对接源_02物料!$K$4:$K$1203,对接源_02物料!$C$4:$C$1203,$B99,对接源_02物料!$D$4:$D$1203,"包装物料*",对接源_02物料!$L$4:$L$1203,"已付款")+SUMIFS(对接源_02物料!$K$4:$K$1203,对接源_02物料!$C$4:$C$1203,$B99,对接源_02物料!$D$4:$D$1203,"周转筐*",对接源_02物料!$L$4:$L$1203,"已收讫")+SUMIFS(对接源_02物料!$K$4:$K$1203,对接源_02物料!$C$4:$C$1203,$B99,对接源_02物料!$D$4:$D$1203,"周转筐*",对接源_02物料!$L$4:$L$1203,"已付款")+SUMIFS(对接源_02物料!$K$4:$K$1203,对接源_02物料!$C$4:$C$1203,$B99,对接源_02物料!$D$4:$D$1203,"次果筐*",对接源_02物料!$L$4:$L$1203,"已收讫")+SUMIFS(对接源_02物料!$K$4:$K$1203,对接源_02物料!$C$4:$C$1203,$B99,对接源_02物料!$D$4:$D$1203,"次果筐*",对接源_02物料!$L$4:$L$1203,"已付款"),2))</f>
        <v/>
      </c>
      <c r="J99" s="18" t="str">
        <f t="shared" si="6"/>
        <v/>
      </c>
      <c r="K99" s="16" t="str">
        <f t="shared" si="7"/>
        <v/>
      </c>
      <c r="L99" s="26"/>
    </row>
    <row r="100" customHeight="1" spans="1:12">
      <c r="A100" s="16" t="str">
        <f t="shared" si="4"/>
        <v/>
      </c>
      <c r="B100" s="11" t="str">
        <f>IFERROR(INDEX(_自动清单!$E$4:$E$303,ROW()-3),"")</f>
        <v/>
      </c>
      <c r="C100" s="18" t="str">
        <f>IF($B100="","",ROUND(SUMIFS(对接源_01水果!$K$4:$K$1203,对接源_01水果!$C$4:$C$1203,$B100,对接源_01水果!$D$4:$D$1203,"成品出库*"),2))</f>
        <v/>
      </c>
      <c r="D100" s="18" t="str">
        <f>IF($B100="","",ROUND(SUMIFS(对接源_01水果!$K$4:$K$1203,对接源_01水果!$C$4:$C$1203,$B100,对接源_01水果!$D$4:$D$1203,"其他代存*"),2))</f>
        <v/>
      </c>
      <c r="E100" s="18" t="str">
        <f>IF($B100="","",ROUND(SUMIFS(对接源_02物料!$K$4:$K$1203,对接源_02物料!$C$4:$C$1203,$B100,对接源_02物料!$D$4:$D$1203,"包装物料*"),2))</f>
        <v/>
      </c>
      <c r="F100" s="18" t="str">
        <f>IF($B100="","",ROUND(SUMIFS(对接源_02物料!$K$4:$K$1203,对接源_02物料!$C$4:$C$1203,$B100,对接源_02物料!$D$4:$D$1203,"周转筐*"),2))</f>
        <v/>
      </c>
      <c r="G100" s="18" t="str">
        <f>IF($B100="","",ROUND(SUMIFS(对接源_02物料!$K$4:$K$1203,对接源_02物料!$C$4:$C$1203,$B100,对接源_02物料!$D$4:$D$1203,"次果筐*"),2))</f>
        <v/>
      </c>
      <c r="H100" s="18" t="str">
        <f t="shared" si="5"/>
        <v/>
      </c>
      <c r="I100" s="18" t="str">
        <f>IF($B100="","",ROUND(SUMIFS(对接源_01水果!$K$4:$K$1203,对接源_01水果!$C$4:$C$1203,$B100,对接源_01水果!$D$4:$D$1203,"成品出库*",对接源_01水果!$L$4:$L$1203,"已收讫")+SUMIFS(对接源_01水果!$K$4:$K$1203,对接源_01水果!$C$4:$C$1203,$B100,对接源_01水果!$D$4:$D$1203,"成品出库*",对接源_01水果!$L$4:$L$1203,"已付款")+SUMIFS(对接源_01水果!$K$4:$K$1203,对接源_01水果!$C$4:$C$1203,$B100,对接源_01水果!$D$4:$D$1203,"其他代存*",对接源_01水果!$L$4:$L$1203,"已收讫")+SUMIFS(对接源_01水果!$K$4:$K$1203,对接源_01水果!$C$4:$C$1203,$B100,对接源_01水果!$D$4:$D$1203,"其他代存*",对接源_01水果!$L$4:$L$1203,"已付款")+SUMIFS(对接源_02物料!$K$4:$K$1203,对接源_02物料!$C$4:$C$1203,$B100,对接源_02物料!$D$4:$D$1203,"包装物料*",对接源_02物料!$L$4:$L$1203,"已收讫")+SUMIFS(对接源_02物料!$K$4:$K$1203,对接源_02物料!$C$4:$C$1203,$B100,对接源_02物料!$D$4:$D$1203,"包装物料*",对接源_02物料!$L$4:$L$1203,"已付款")+SUMIFS(对接源_02物料!$K$4:$K$1203,对接源_02物料!$C$4:$C$1203,$B100,对接源_02物料!$D$4:$D$1203,"周转筐*",对接源_02物料!$L$4:$L$1203,"已收讫")+SUMIFS(对接源_02物料!$K$4:$K$1203,对接源_02物料!$C$4:$C$1203,$B100,对接源_02物料!$D$4:$D$1203,"周转筐*",对接源_02物料!$L$4:$L$1203,"已付款")+SUMIFS(对接源_02物料!$K$4:$K$1203,对接源_02物料!$C$4:$C$1203,$B100,对接源_02物料!$D$4:$D$1203,"次果筐*",对接源_02物料!$L$4:$L$1203,"已收讫")+SUMIFS(对接源_02物料!$K$4:$K$1203,对接源_02物料!$C$4:$C$1203,$B100,对接源_02物料!$D$4:$D$1203,"次果筐*",对接源_02物料!$L$4:$L$1203,"已付款"),2))</f>
        <v/>
      </c>
      <c r="J100" s="18" t="str">
        <f t="shared" si="6"/>
        <v/>
      </c>
      <c r="K100" s="16" t="str">
        <f t="shared" si="7"/>
        <v/>
      </c>
      <c r="L100" s="26"/>
    </row>
    <row r="101" customHeight="1" spans="1:12">
      <c r="A101" s="16" t="str">
        <f t="shared" si="4"/>
        <v/>
      </c>
      <c r="B101" s="11" t="str">
        <f>IFERROR(INDEX(_自动清单!$E$4:$E$303,ROW()-3),"")</f>
        <v/>
      </c>
      <c r="C101" s="18" t="str">
        <f>IF($B101="","",ROUND(SUMIFS(对接源_01水果!$K$4:$K$1203,对接源_01水果!$C$4:$C$1203,$B101,对接源_01水果!$D$4:$D$1203,"成品出库*"),2))</f>
        <v/>
      </c>
      <c r="D101" s="18" t="str">
        <f>IF($B101="","",ROUND(SUMIFS(对接源_01水果!$K$4:$K$1203,对接源_01水果!$C$4:$C$1203,$B101,对接源_01水果!$D$4:$D$1203,"其他代存*"),2))</f>
        <v/>
      </c>
      <c r="E101" s="18" t="str">
        <f>IF($B101="","",ROUND(SUMIFS(对接源_02物料!$K$4:$K$1203,对接源_02物料!$C$4:$C$1203,$B101,对接源_02物料!$D$4:$D$1203,"包装物料*"),2))</f>
        <v/>
      </c>
      <c r="F101" s="18" t="str">
        <f>IF($B101="","",ROUND(SUMIFS(对接源_02物料!$K$4:$K$1203,对接源_02物料!$C$4:$C$1203,$B101,对接源_02物料!$D$4:$D$1203,"周转筐*"),2))</f>
        <v/>
      </c>
      <c r="G101" s="18" t="str">
        <f>IF($B101="","",ROUND(SUMIFS(对接源_02物料!$K$4:$K$1203,对接源_02物料!$C$4:$C$1203,$B101,对接源_02物料!$D$4:$D$1203,"次果筐*"),2))</f>
        <v/>
      </c>
      <c r="H101" s="18" t="str">
        <f t="shared" si="5"/>
        <v/>
      </c>
      <c r="I101" s="18" t="str">
        <f>IF($B101="","",ROUND(SUMIFS(对接源_01水果!$K$4:$K$1203,对接源_01水果!$C$4:$C$1203,$B101,对接源_01水果!$D$4:$D$1203,"成品出库*",对接源_01水果!$L$4:$L$1203,"已收讫")+SUMIFS(对接源_01水果!$K$4:$K$1203,对接源_01水果!$C$4:$C$1203,$B101,对接源_01水果!$D$4:$D$1203,"成品出库*",对接源_01水果!$L$4:$L$1203,"已付款")+SUMIFS(对接源_01水果!$K$4:$K$1203,对接源_01水果!$C$4:$C$1203,$B101,对接源_01水果!$D$4:$D$1203,"其他代存*",对接源_01水果!$L$4:$L$1203,"已收讫")+SUMIFS(对接源_01水果!$K$4:$K$1203,对接源_01水果!$C$4:$C$1203,$B101,对接源_01水果!$D$4:$D$1203,"其他代存*",对接源_01水果!$L$4:$L$1203,"已付款")+SUMIFS(对接源_02物料!$K$4:$K$1203,对接源_02物料!$C$4:$C$1203,$B101,对接源_02物料!$D$4:$D$1203,"包装物料*",对接源_02物料!$L$4:$L$1203,"已收讫")+SUMIFS(对接源_02物料!$K$4:$K$1203,对接源_02物料!$C$4:$C$1203,$B101,对接源_02物料!$D$4:$D$1203,"包装物料*",对接源_02物料!$L$4:$L$1203,"已付款")+SUMIFS(对接源_02物料!$K$4:$K$1203,对接源_02物料!$C$4:$C$1203,$B101,对接源_02物料!$D$4:$D$1203,"周转筐*",对接源_02物料!$L$4:$L$1203,"已收讫")+SUMIFS(对接源_02物料!$K$4:$K$1203,对接源_02物料!$C$4:$C$1203,$B101,对接源_02物料!$D$4:$D$1203,"周转筐*",对接源_02物料!$L$4:$L$1203,"已付款")+SUMIFS(对接源_02物料!$K$4:$K$1203,对接源_02物料!$C$4:$C$1203,$B101,对接源_02物料!$D$4:$D$1203,"次果筐*",对接源_02物料!$L$4:$L$1203,"已收讫")+SUMIFS(对接源_02物料!$K$4:$K$1203,对接源_02物料!$C$4:$C$1203,$B101,对接源_02物料!$D$4:$D$1203,"次果筐*",对接源_02物料!$L$4:$L$1203,"已付款"),2))</f>
        <v/>
      </c>
      <c r="J101" s="18" t="str">
        <f t="shared" si="6"/>
        <v/>
      </c>
      <c r="K101" s="16" t="str">
        <f t="shared" si="7"/>
        <v/>
      </c>
      <c r="L101" s="26"/>
    </row>
    <row r="102" customHeight="1" spans="1:12">
      <c r="A102" s="16" t="str">
        <f t="shared" si="4"/>
        <v/>
      </c>
      <c r="B102" s="11" t="str">
        <f>IFERROR(INDEX(_自动清单!$E$4:$E$303,ROW()-3),"")</f>
        <v/>
      </c>
      <c r="C102" s="18" t="str">
        <f>IF($B102="","",ROUND(SUMIFS(对接源_01水果!$K$4:$K$1203,对接源_01水果!$C$4:$C$1203,$B102,对接源_01水果!$D$4:$D$1203,"成品出库*"),2))</f>
        <v/>
      </c>
      <c r="D102" s="18" t="str">
        <f>IF($B102="","",ROUND(SUMIFS(对接源_01水果!$K$4:$K$1203,对接源_01水果!$C$4:$C$1203,$B102,对接源_01水果!$D$4:$D$1203,"其他代存*"),2))</f>
        <v/>
      </c>
      <c r="E102" s="18" t="str">
        <f>IF($B102="","",ROUND(SUMIFS(对接源_02物料!$K$4:$K$1203,对接源_02物料!$C$4:$C$1203,$B102,对接源_02物料!$D$4:$D$1203,"包装物料*"),2))</f>
        <v/>
      </c>
      <c r="F102" s="18" t="str">
        <f>IF($B102="","",ROUND(SUMIFS(对接源_02物料!$K$4:$K$1203,对接源_02物料!$C$4:$C$1203,$B102,对接源_02物料!$D$4:$D$1203,"周转筐*"),2))</f>
        <v/>
      </c>
      <c r="G102" s="18" t="str">
        <f>IF($B102="","",ROUND(SUMIFS(对接源_02物料!$K$4:$K$1203,对接源_02物料!$C$4:$C$1203,$B102,对接源_02物料!$D$4:$D$1203,"次果筐*"),2))</f>
        <v/>
      </c>
      <c r="H102" s="18" t="str">
        <f t="shared" si="5"/>
        <v/>
      </c>
      <c r="I102" s="18" t="str">
        <f>IF($B102="","",ROUND(SUMIFS(对接源_01水果!$K$4:$K$1203,对接源_01水果!$C$4:$C$1203,$B102,对接源_01水果!$D$4:$D$1203,"成品出库*",对接源_01水果!$L$4:$L$1203,"已收讫")+SUMIFS(对接源_01水果!$K$4:$K$1203,对接源_01水果!$C$4:$C$1203,$B102,对接源_01水果!$D$4:$D$1203,"成品出库*",对接源_01水果!$L$4:$L$1203,"已付款")+SUMIFS(对接源_01水果!$K$4:$K$1203,对接源_01水果!$C$4:$C$1203,$B102,对接源_01水果!$D$4:$D$1203,"其他代存*",对接源_01水果!$L$4:$L$1203,"已收讫")+SUMIFS(对接源_01水果!$K$4:$K$1203,对接源_01水果!$C$4:$C$1203,$B102,对接源_01水果!$D$4:$D$1203,"其他代存*",对接源_01水果!$L$4:$L$1203,"已付款")+SUMIFS(对接源_02物料!$K$4:$K$1203,对接源_02物料!$C$4:$C$1203,$B102,对接源_02物料!$D$4:$D$1203,"包装物料*",对接源_02物料!$L$4:$L$1203,"已收讫")+SUMIFS(对接源_02物料!$K$4:$K$1203,对接源_02物料!$C$4:$C$1203,$B102,对接源_02物料!$D$4:$D$1203,"包装物料*",对接源_02物料!$L$4:$L$1203,"已付款")+SUMIFS(对接源_02物料!$K$4:$K$1203,对接源_02物料!$C$4:$C$1203,$B102,对接源_02物料!$D$4:$D$1203,"周转筐*",对接源_02物料!$L$4:$L$1203,"已收讫")+SUMIFS(对接源_02物料!$K$4:$K$1203,对接源_02物料!$C$4:$C$1203,$B102,对接源_02物料!$D$4:$D$1203,"周转筐*",对接源_02物料!$L$4:$L$1203,"已付款")+SUMIFS(对接源_02物料!$K$4:$K$1203,对接源_02物料!$C$4:$C$1203,$B102,对接源_02物料!$D$4:$D$1203,"次果筐*",对接源_02物料!$L$4:$L$1203,"已收讫")+SUMIFS(对接源_02物料!$K$4:$K$1203,对接源_02物料!$C$4:$C$1203,$B102,对接源_02物料!$D$4:$D$1203,"次果筐*",对接源_02物料!$L$4:$L$1203,"已付款"),2))</f>
        <v/>
      </c>
      <c r="J102" s="18" t="str">
        <f t="shared" si="6"/>
        <v/>
      </c>
      <c r="K102" s="16" t="str">
        <f t="shared" si="7"/>
        <v/>
      </c>
      <c r="L102" s="26"/>
    </row>
    <row r="103" customHeight="1" spans="1:12">
      <c r="A103" s="16" t="str">
        <f t="shared" si="4"/>
        <v/>
      </c>
      <c r="B103" s="11" t="str">
        <f>IFERROR(INDEX(_自动清单!$E$4:$E$303,ROW()-3),"")</f>
        <v/>
      </c>
      <c r="C103" s="18" t="str">
        <f>IF($B103="","",ROUND(SUMIFS(对接源_01水果!$K$4:$K$1203,对接源_01水果!$C$4:$C$1203,$B103,对接源_01水果!$D$4:$D$1203,"成品出库*"),2))</f>
        <v/>
      </c>
      <c r="D103" s="18" t="str">
        <f>IF($B103="","",ROUND(SUMIFS(对接源_01水果!$K$4:$K$1203,对接源_01水果!$C$4:$C$1203,$B103,对接源_01水果!$D$4:$D$1203,"其他代存*"),2))</f>
        <v/>
      </c>
      <c r="E103" s="18" t="str">
        <f>IF($B103="","",ROUND(SUMIFS(对接源_02物料!$K$4:$K$1203,对接源_02物料!$C$4:$C$1203,$B103,对接源_02物料!$D$4:$D$1203,"包装物料*"),2))</f>
        <v/>
      </c>
      <c r="F103" s="18" t="str">
        <f>IF($B103="","",ROUND(SUMIFS(对接源_02物料!$K$4:$K$1203,对接源_02物料!$C$4:$C$1203,$B103,对接源_02物料!$D$4:$D$1203,"周转筐*"),2))</f>
        <v/>
      </c>
      <c r="G103" s="18" t="str">
        <f>IF($B103="","",ROUND(SUMIFS(对接源_02物料!$K$4:$K$1203,对接源_02物料!$C$4:$C$1203,$B103,对接源_02物料!$D$4:$D$1203,"次果筐*"),2))</f>
        <v/>
      </c>
      <c r="H103" s="18" t="str">
        <f t="shared" si="5"/>
        <v/>
      </c>
      <c r="I103" s="18" t="str">
        <f>IF($B103="","",ROUND(SUMIFS(对接源_01水果!$K$4:$K$1203,对接源_01水果!$C$4:$C$1203,$B103,对接源_01水果!$D$4:$D$1203,"成品出库*",对接源_01水果!$L$4:$L$1203,"已收讫")+SUMIFS(对接源_01水果!$K$4:$K$1203,对接源_01水果!$C$4:$C$1203,$B103,对接源_01水果!$D$4:$D$1203,"成品出库*",对接源_01水果!$L$4:$L$1203,"已付款")+SUMIFS(对接源_01水果!$K$4:$K$1203,对接源_01水果!$C$4:$C$1203,$B103,对接源_01水果!$D$4:$D$1203,"其他代存*",对接源_01水果!$L$4:$L$1203,"已收讫")+SUMIFS(对接源_01水果!$K$4:$K$1203,对接源_01水果!$C$4:$C$1203,$B103,对接源_01水果!$D$4:$D$1203,"其他代存*",对接源_01水果!$L$4:$L$1203,"已付款")+SUMIFS(对接源_02物料!$K$4:$K$1203,对接源_02物料!$C$4:$C$1203,$B103,对接源_02物料!$D$4:$D$1203,"包装物料*",对接源_02物料!$L$4:$L$1203,"已收讫")+SUMIFS(对接源_02物料!$K$4:$K$1203,对接源_02物料!$C$4:$C$1203,$B103,对接源_02物料!$D$4:$D$1203,"包装物料*",对接源_02物料!$L$4:$L$1203,"已付款")+SUMIFS(对接源_02物料!$K$4:$K$1203,对接源_02物料!$C$4:$C$1203,$B103,对接源_02物料!$D$4:$D$1203,"周转筐*",对接源_02物料!$L$4:$L$1203,"已收讫")+SUMIFS(对接源_02物料!$K$4:$K$1203,对接源_02物料!$C$4:$C$1203,$B103,对接源_02物料!$D$4:$D$1203,"周转筐*",对接源_02物料!$L$4:$L$1203,"已付款")+SUMIFS(对接源_02物料!$K$4:$K$1203,对接源_02物料!$C$4:$C$1203,$B103,对接源_02物料!$D$4:$D$1203,"次果筐*",对接源_02物料!$L$4:$L$1203,"已收讫")+SUMIFS(对接源_02物料!$K$4:$K$1203,对接源_02物料!$C$4:$C$1203,$B103,对接源_02物料!$D$4:$D$1203,"次果筐*",对接源_02物料!$L$4:$L$1203,"已付款"),2))</f>
        <v/>
      </c>
      <c r="J103" s="18" t="str">
        <f t="shared" si="6"/>
        <v/>
      </c>
      <c r="K103" s="16" t="str">
        <f t="shared" si="7"/>
        <v/>
      </c>
      <c r="L103" s="26"/>
    </row>
    <row r="104" customHeight="1" spans="1:12">
      <c r="A104" s="16" t="str">
        <f t="shared" si="4"/>
        <v/>
      </c>
      <c r="B104" s="11" t="str">
        <f>IFERROR(INDEX(_自动清单!$E$4:$E$303,ROW()-3),"")</f>
        <v/>
      </c>
      <c r="C104" s="18" t="str">
        <f>IF($B104="","",ROUND(SUMIFS(对接源_01水果!$K$4:$K$1203,对接源_01水果!$C$4:$C$1203,$B104,对接源_01水果!$D$4:$D$1203,"成品出库*"),2))</f>
        <v/>
      </c>
      <c r="D104" s="18" t="str">
        <f>IF($B104="","",ROUND(SUMIFS(对接源_01水果!$K$4:$K$1203,对接源_01水果!$C$4:$C$1203,$B104,对接源_01水果!$D$4:$D$1203,"其他代存*"),2))</f>
        <v/>
      </c>
      <c r="E104" s="18" t="str">
        <f>IF($B104="","",ROUND(SUMIFS(对接源_02物料!$K$4:$K$1203,对接源_02物料!$C$4:$C$1203,$B104,对接源_02物料!$D$4:$D$1203,"包装物料*"),2))</f>
        <v/>
      </c>
      <c r="F104" s="18" t="str">
        <f>IF($B104="","",ROUND(SUMIFS(对接源_02物料!$K$4:$K$1203,对接源_02物料!$C$4:$C$1203,$B104,对接源_02物料!$D$4:$D$1203,"周转筐*"),2))</f>
        <v/>
      </c>
      <c r="G104" s="18" t="str">
        <f>IF($B104="","",ROUND(SUMIFS(对接源_02物料!$K$4:$K$1203,对接源_02物料!$C$4:$C$1203,$B104,对接源_02物料!$D$4:$D$1203,"次果筐*"),2))</f>
        <v/>
      </c>
      <c r="H104" s="18" t="str">
        <f t="shared" si="5"/>
        <v/>
      </c>
      <c r="I104" s="18" t="str">
        <f>IF($B104="","",ROUND(SUMIFS(对接源_01水果!$K$4:$K$1203,对接源_01水果!$C$4:$C$1203,$B104,对接源_01水果!$D$4:$D$1203,"成品出库*",对接源_01水果!$L$4:$L$1203,"已收讫")+SUMIFS(对接源_01水果!$K$4:$K$1203,对接源_01水果!$C$4:$C$1203,$B104,对接源_01水果!$D$4:$D$1203,"成品出库*",对接源_01水果!$L$4:$L$1203,"已付款")+SUMIFS(对接源_01水果!$K$4:$K$1203,对接源_01水果!$C$4:$C$1203,$B104,对接源_01水果!$D$4:$D$1203,"其他代存*",对接源_01水果!$L$4:$L$1203,"已收讫")+SUMIFS(对接源_01水果!$K$4:$K$1203,对接源_01水果!$C$4:$C$1203,$B104,对接源_01水果!$D$4:$D$1203,"其他代存*",对接源_01水果!$L$4:$L$1203,"已付款")+SUMIFS(对接源_02物料!$K$4:$K$1203,对接源_02物料!$C$4:$C$1203,$B104,对接源_02物料!$D$4:$D$1203,"包装物料*",对接源_02物料!$L$4:$L$1203,"已收讫")+SUMIFS(对接源_02物料!$K$4:$K$1203,对接源_02物料!$C$4:$C$1203,$B104,对接源_02物料!$D$4:$D$1203,"包装物料*",对接源_02物料!$L$4:$L$1203,"已付款")+SUMIFS(对接源_02物料!$K$4:$K$1203,对接源_02物料!$C$4:$C$1203,$B104,对接源_02物料!$D$4:$D$1203,"周转筐*",对接源_02物料!$L$4:$L$1203,"已收讫")+SUMIFS(对接源_02物料!$K$4:$K$1203,对接源_02物料!$C$4:$C$1203,$B104,对接源_02物料!$D$4:$D$1203,"周转筐*",对接源_02物料!$L$4:$L$1203,"已付款")+SUMIFS(对接源_02物料!$K$4:$K$1203,对接源_02物料!$C$4:$C$1203,$B104,对接源_02物料!$D$4:$D$1203,"次果筐*",对接源_02物料!$L$4:$L$1203,"已收讫")+SUMIFS(对接源_02物料!$K$4:$K$1203,对接源_02物料!$C$4:$C$1203,$B104,对接源_02物料!$D$4:$D$1203,"次果筐*",对接源_02物料!$L$4:$L$1203,"已付款"),2))</f>
        <v/>
      </c>
      <c r="J104" s="18" t="str">
        <f t="shared" si="6"/>
        <v/>
      </c>
      <c r="K104" s="16" t="str">
        <f t="shared" si="7"/>
        <v/>
      </c>
      <c r="L104" s="26"/>
    </row>
    <row r="105" customHeight="1" spans="1:12">
      <c r="A105" s="16" t="str">
        <f t="shared" si="4"/>
        <v/>
      </c>
      <c r="B105" s="11" t="str">
        <f>IFERROR(INDEX(_自动清单!$E$4:$E$303,ROW()-3),"")</f>
        <v/>
      </c>
      <c r="C105" s="18" t="str">
        <f>IF($B105="","",ROUND(SUMIFS(对接源_01水果!$K$4:$K$1203,对接源_01水果!$C$4:$C$1203,$B105,对接源_01水果!$D$4:$D$1203,"成品出库*"),2))</f>
        <v/>
      </c>
      <c r="D105" s="18" t="str">
        <f>IF($B105="","",ROUND(SUMIFS(对接源_01水果!$K$4:$K$1203,对接源_01水果!$C$4:$C$1203,$B105,对接源_01水果!$D$4:$D$1203,"其他代存*"),2))</f>
        <v/>
      </c>
      <c r="E105" s="18" t="str">
        <f>IF($B105="","",ROUND(SUMIFS(对接源_02物料!$K$4:$K$1203,对接源_02物料!$C$4:$C$1203,$B105,对接源_02物料!$D$4:$D$1203,"包装物料*"),2))</f>
        <v/>
      </c>
      <c r="F105" s="18" t="str">
        <f>IF($B105="","",ROUND(SUMIFS(对接源_02物料!$K$4:$K$1203,对接源_02物料!$C$4:$C$1203,$B105,对接源_02物料!$D$4:$D$1203,"周转筐*"),2))</f>
        <v/>
      </c>
      <c r="G105" s="18" t="str">
        <f>IF($B105="","",ROUND(SUMIFS(对接源_02物料!$K$4:$K$1203,对接源_02物料!$C$4:$C$1203,$B105,对接源_02物料!$D$4:$D$1203,"次果筐*"),2))</f>
        <v/>
      </c>
      <c r="H105" s="18" t="str">
        <f t="shared" si="5"/>
        <v/>
      </c>
      <c r="I105" s="18" t="str">
        <f>IF($B105="","",ROUND(SUMIFS(对接源_01水果!$K$4:$K$1203,对接源_01水果!$C$4:$C$1203,$B105,对接源_01水果!$D$4:$D$1203,"成品出库*",对接源_01水果!$L$4:$L$1203,"已收讫")+SUMIFS(对接源_01水果!$K$4:$K$1203,对接源_01水果!$C$4:$C$1203,$B105,对接源_01水果!$D$4:$D$1203,"成品出库*",对接源_01水果!$L$4:$L$1203,"已付款")+SUMIFS(对接源_01水果!$K$4:$K$1203,对接源_01水果!$C$4:$C$1203,$B105,对接源_01水果!$D$4:$D$1203,"其他代存*",对接源_01水果!$L$4:$L$1203,"已收讫")+SUMIFS(对接源_01水果!$K$4:$K$1203,对接源_01水果!$C$4:$C$1203,$B105,对接源_01水果!$D$4:$D$1203,"其他代存*",对接源_01水果!$L$4:$L$1203,"已付款")+SUMIFS(对接源_02物料!$K$4:$K$1203,对接源_02物料!$C$4:$C$1203,$B105,对接源_02物料!$D$4:$D$1203,"包装物料*",对接源_02物料!$L$4:$L$1203,"已收讫")+SUMIFS(对接源_02物料!$K$4:$K$1203,对接源_02物料!$C$4:$C$1203,$B105,对接源_02物料!$D$4:$D$1203,"包装物料*",对接源_02物料!$L$4:$L$1203,"已付款")+SUMIFS(对接源_02物料!$K$4:$K$1203,对接源_02物料!$C$4:$C$1203,$B105,对接源_02物料!$D$4:$D$1203,"周转筐*",对接源_02物料!$L$4:$L$1203,"已收讫")+SUMIFS(对接源_02物料!$K$4:$K$1203,对接源_02物料!$C$4:$C$1203,$B105,对接源_02物料!$D$4:$D$1203,"周转筐*",对接源_02物料!$L$4:$L$1203,"已付款")+SUMIFS(对接源_02物料!$K$4:$K$1203,对接源_02物料!$C$4:$C$1203,$B105,对接源_02物料!$D$4:$D$1203,"次果筐*",对接源_02物料!$L$4:$L$1203,"已收讫")+SUMIFS(对接源_02物料!$K$4:$K$1203,对接源_02物料!$C$4:$C$1203,$B105,对接源_02物料!$D$4:$D$1203,"次果筐*",对接源_02物料!$L$4:$L$1203,"已付款"),2))</f>
        <v/>
      </c>
      <c r="J105" s="18" t="str">
        <f t="shared" si="6"/>
        <v/>
      </c>
      <c r="K105" s="16" t="str">
        <f t="shared" si="7"/>
        <v/>
      </c>
      <c r="L105" s="26"/>
    </row>
    <row r="106" customHeight="1" spans="1:12">
      <c r="A106" s="16" t="str">
        <f t="shared" si="4"/>
        <v/>
      </c>
      <c r="B106" s="11" t="str">
        <f>IFERROR(INDEX(_自动清单!$E$4:$E$303,ROW()-3),"")</f>
        <v/>
      </c>
      <c r="C106" s="18" t="str">
        <f>IF($B106="","",ROUND(SUMIFS(对接源_01水果!$K$4:$K$1203,对接源_01水果!$C$4:$C$1203,$B106,对接源_01水果!$D$4:$D$1203,"成品出库*"),2))</f>
        <v/>
      </c>
      <c r="D106" s="18" t="str">
        <f>IF($B106="","",ROUND(SUMIFS(对接源_01水果!$K$4:$K$1203,对接源_01水果!$C$4:$C$1203,$B106,对接源_01水果!$D$4:$D$1203,"其他代存*"),2))</f>
        <v/>
      </c>
      <c r="E106" s="18" t="str">
        <f>IF($B106="","",ROUND(SUMIFS(对接源_02物料!$K$4:$K$1203,对接源_02物料!$C$4:$C$1203,$B106,对接源_02物料!$D$4:$D$1203,"包装物料*"),2))</f>
        <v/>
      </c>
      <c r="F106" s="18" t="str">
        <f>IF($B106="","",ROUND(SUMIFS(对接源_02物料!$K$4:$K$1203,对接源_02物料!$C$4:$C$1203,$B106,对接源_02物料!$D$4:$D$1203,"周转筐*"),2))</f>
        <v/>
      </c>
      <c r="G106" s="18" t="str">
        <f>IF($B106="","",ROUND(SUMIFS(对接源_02物料!$K$4:$K$1203,对接源_02物料!$C$4:$C$1203,$B106,对接源_02物料!$D$4:$D$1203,"次果筐*"),2))</f>
        <v/>
      </c>
      <c r="H106" s="18" t="str">
        <f t="shared" si="5"/>
        <v/>
      </c>
      <c r="I106" s="18" t="str">
        <f>IF($B106="","",ROUND(SUMIFS(对接源_01水果!$K$4:$K$1203,对接源_01水果!$C$4:$C$1203,$B106,对接源_01水果!$D$4:$D$1203,"成品出库*",对接源_01水果!$L$4:$L$1203,"已收讫")+SUMIFS(对接源_01水果!$K$4:$K$1203,对接源_01水果!$C$4:$C$1203,$B106,对接源_01水果!$D$4:$D$1203,"成品出库*",对接源_01水果!$L$4:$L$1203,"已付款")+SUMIFS(对接源_01水果!$K$4:$K$1203,对接源_01水果!$C$4:$C$1203,$B106,对接源_01水果!$D$4:$D$1203,"其他代存*",对接源_01水果!$L$4:$L$1203,"已收讫")+SUMIFS(对接源_01水果!$K$4:$K$1203,对接源_01水果!$C$4:$C$1203,$B106,对接源_01水果!$D$4:$D$1203,"其他代存*",对接源_01水果!$L$4:$L$1203,"已付款")+SUMIFS(对接源_02物料!$K$4:$K$1203,对接源_02物料!$C$4:$C$1203,$B106,对接源_02物料!$D$4:$D$1203,"包装物料*",对接源_02物料!$L$4:$L$1203,"已收讫")+SUMIFS(对接源_02物料!$K$4:$K$1203,对接源_02物料!$C$4:$C$1203,$B106,对接源_02物料!$D$4:$D$1203,"包装物料*",对接源_02物料!$L$4:$L$1203,"已付款")+SUMIFS(对接源_02物料!$K$4:$K$1203,对接源_02物料!$C$4:$C$1203,$B106,对接源_02物料!$D$4:$D$1203,"周转筐*",对接源_02物料!$L$4:$L$1203,"已收讫")+SUMIFS(对接源_02物料!$K$4:$K$1203,对接源_02物料!$C$4:$C$1203,$B106,对接源_02物料!$D$4:$D$1203,"周转筐*",对接源_02物料!$L$4:$L$1203,"已付款")+SUMIFS(对接源_02物料!$K$4:$K$1203,对接源_02物料!$C$4:$C$1203,$B106,对接源_02物料!$D$4:$D$1203,"次果筐*",对接源_02物料!$L$4:$L$1203,"已收讫")+SUMIFS(对接源_02物料!$K$4:$K$1203,对接源_02物料!$C$4:$C$1203,$B106,对接源_02物料!$D$4:$D$1203,"次果筐*",对接源_02物料!$L$4:$L$1203,"已付款"),2))</f>
        <v/>
      </c>
      <c r="J106" s="18" t="str">
        <f t="shared" si="6"/>
        <v/>
      </c>
      <c r="K106" s="16" t="str">
        <f t="shared" si="7"/>
        <v/>
      </c>
      <c r="L106" s="26"/>
    </row>
    <row r="107" customHeight="1" spans="1:12">
      <c r="A107" s="16" t="str">
        <f t="shared" si="4"/>
        <v/>
      </c>
      <c r="B107" s="11" t="str">
        <f>IFERROR(INDEX(_自动清单!$E$4:$E$303,ROW()-3),"")</f>
        <v/>
      </c>
      <c r="C107" s="18" t="str">
        <f>IF($B107="","",ROUND(SUMIFS(对接源_01水果!$K$4:$K$1203,对接源_01水果!$C$4:$C$1203,$B107,对接源_01水果!$D$4:$D$1203,"成品出库*"),2))</f>
        <v/>
      </c>
      <c r="D107" s="18" t="str">
        <f>IF($B107="","",ROUND(SUMIFS(对接源_01水果!$K$4:$K$1203,对接源_01水果!$C$4:$C$1203,$B107,对接源_01水果!$D$4:$D$1203,"其他代存*"),2))</f>
        <v/>
      </c>
      <c r="E107" s="18" t="str">
        <f>IF($B107="","",ROUND(SUMIFS(对接源_02物料!$K$4:$K$1203,对接源_02物料!$C$4:$C$1203,$B107,对接源_02物料!$D$4:$D$1203,"包装物料*"),2))</f>
        <v/>
      </c>
      <c r="F107" s="18" t="str">
        <f>IF($B107="","",ROUND(SUMIFS(对接源_02物料!$K$4:$K$1203,对接源_02物料!$C$4:$C$1203,$B107,对接源_02物料!$D$4:$D$1203,"周转筐*"),2))</f>
        <v/>
      </c>
      <c r="G107" s="18" t="str">
        <f>IF($B107="","",ROUND(SUMIFS(对接源_02物料!$K$4:$K$1203,对接源_02物料!$C$4:$C$1203,$B107,对接源_02物料!$D$4:$D$1203,"次果筐*"),2))</f>
        <v/>
      </c>
      <c r="H107" s="18" t="str">
        <f t="shared" si="5"/>
        <v/>
      </c>
      <c r="I107" s="18" t="str">
        <f>IF($B107="","",ROUND(SUMIFS(对接源_01水果!$K$4:$K$1203,对接源_01水果!$C$4:$C$1203,$B107,对接源_01水果!$D$4:$D$1203,"成品出库*",对接源_01水果!$L$4:$L$1203,"已收讫")+SUMIFS(对接源_01水果!$K$4:$K$1203,对接源_01水果!$C$4:$C$1203,$B107,对接源_01水果!$D$4:$D$1203,"成品出库*",对接源_01水果!$L$4:$L$1203,"已付款")+SUMIFS(对接源_01水果!$K$4:$K$1203,对接源_01水果!$C$4:$C$1203,$B107,对接源_01水果!$D$4:$D$1203,"其他代存*",对接源_01水果!$L$4:$L$1203,"已收讫")+SUMIFS(对接源_01水果!$K$4:$K$1203,对接源_01水果!$C$4:$C$1203,$B107,对接源_01水果!$D$4:$D$1203,"其他代存*",对接源_01水果!$L$4:$L$1203,"已付款")+SUMIFS(对接源_02物料!$K$4:$K$1203,对接源_02物料!$C$4:$C$1203,$B107,对接源_02物料!$D$4:$D$1203,"包装物料*",对接源_02物料!$L$4:$L$1203,"已收讫")+SUMIFS(对接源_02物料!$K$4:$K$1203,对接源_02物料!$C$4:$C$1203,$B107,对接源_02物料!$D$4:$D$1203,"包装物料*",对接源_02物料!$L$4:$L$1203,"已付款")+SUMIFS(对接源_02物料!$K$4:$K$1203,对接源_02物料!$C$4:$C$1203,$B107,对接源_02物料!$D$4:$D$1203,"周转筐*",对接源_02物料!$L$4:$L$1203,"已收讫")+SUMIFS(对接源_02物料!$K$4:$K$1203,对接源_02物料!$C$4:$C$1203,$B107,对接源_02物料!$D$4:$D$1203,"周转筐*",对接源_02物料!$L$4:$L$1203,"已付款")+SUMIFS(对接源_02物料!$K$4:$K$1203,对接源_02物料!$C$4:$C$1203,$B107,对接源_02物料!$D$4:$D$1203,"次果筐*",对接源_02物料!$L$4:$L$1203,"已收讫")+SUMIFS(对接源_02物料!$K$4:$K$1203,对接源_02物料!$C$4:$C$1203,$B107,对接源_02物料!$D$4:$D$1203,"次果筐*",对接源_02物料!$L$4:$L$1203,"已付款"),2))</f>
        <v/>
      </c>
      <c r="J107" s="18" t="str">
        <f t="shared" si="6"/>
        <v/>
      </c>
      <c r="K107" s="16" t="str">
        <f t="shared" si="7"/>
        <v/>
      </c>
      <c r="L107" s="26"/>
    </row>
    <row r="108" customHeight="1" spans="1:12">
      <c r="A108" s="16" t="str">
        <f t="shared" si="4"/>
        <v/>
      </c>
      <c r="B108" s="11" t="str">
        <f>IFERROR(INDEX(_自动清单!$E$4:$E$303,ROW()-3),"")</f>
        <v/>
      </c>
      <c r="C108" s="18" t="str">
        <f>IF($B108="","",ROUND(SUMIFS(对接源_01水果!$K$4:$K$1203,对接源_01水果!$C$4:$C$1203,$B108,对接源_01水果!$D$4:$D$1203,"成品出库*"),2))</f>
        <v/>
      </c>
      <c r="D108" s="18" t="str">
        <f>IF($B108="","",ROUND(SUMIFS(对接源_01水果!$K$4:$K$1203,对接源_01水果!$C$4:$C$1203,$B108,对接源_01水果!$D$4:$D$1203,"其他代存*"),2))</f>
        <v/>
      </c>
      <c r="E108" s="18" t="str">
        <f>IF($B108="","",ROUND(SUMIFS(对接源_02物料!$K$4:$K$1203,对接源_02物料!$C$4:$C$1203,$B108,对接源_02物料!$D$4:$D$1203,"包装物料*"),2))</f>
        <v/>
      </c>
      <c r="F108" s="18" t="str">
        <f>IF($B108="","",ROUND(SUMIFS(对接源_02物料!$K$4:$K$1203,对接源_02物料!$C$4:$C$1203,$B108,对接源_02物料!$D$4:$D$1203,"周转筐*"),2))</f>
        <v/>
      </c>
      <c r="G108" s="18" t="str">
        <f>IF($B108="","",ROUND(SUMIFS(对接源_02物料!$K$4:$K$1203,对接源_02物料!$C$4:$C$1203,$B108,对接源_02物料!$D$4:$D$1203,"次果筐*"),2))</f>
        <v/>
      </c>
      <c r="H108" s="18" t="str">
        <f t="shared" si="5"/>
        <v/>
      </c>
      <c r="I108" s="18" t="str">
        <f>IF($B108="","",ROUND(SUMIFS(对接源_01水果!$K$4:$K$1203,对接源_01水果!$C$4:$C$1203,$B108,对接源_01水果!$D$4:$D$1203,"成品出库*",对接源_01水果!$L$4:$L$1203,"已收讫")+SUMIFS(对接源_01水果!$K$4:$K$1203,对接源_01水果!$C$4:$C$1203,$B108,对接源_01水果!$D$4:$D$1203,"成品出库*",对接源_01水果!$L$4:$L$1203,"已付款")+SUMIFS(对接源_01水果!$K$4:$K$1203,对接源_01水果!$C$4:$C$1203,$B108,对接源_01水果!$D$4:$D$1203,"其他代存*",对接源_01水果!$L$4:$L$1203,"已收讫")+SUMIFS(对接源_01水果!$K$4:$K$1203,对接源_01水果!$C$4:$C$1203,$B108,对接源_01水果!$D$4:$D$1203,"其他代存*",对接源_01水果!$L$4:$L$1203,"已付款")+SUMIFS(对接源_02物料!$K$4:$K$1203,对接源_02物料!$C$4:$C$1203,$B108,对接源_02物料!$D$4:$D$1203,"包装物料*",对接源_02物料!$L$4:$L$1203,"已收讫")+SUMIFS(对接源_02物料!$K$4:$K$1203,对接源_02物料!$C$4:$C$1203,$B108,对接源_02物料!$D$4:$D$1203,"包装物料*",对接源_02物料!$L$4:$L$1203,"已付款")+SUMIFS(对接源_02物料!$K$4:$K$1203,对接源_02物料!$C$4:$C$1203,$B108,对接源_02物料!$D$4:$D$1203,"周转筐*",对接源_02物料!$L$4:$L$1203,"已收讫")+SUMIFS(对接源_02物料!$K$4:$K$1203,对接源_02物料!$C$4:$C$1203,$B108,对接源_02物料!$D$4:$D$1203,"周转筐*",对接源_02物料!$L$4:$L$1203,"已付款")+SUMIFS(对接源_02物料!$K$4:$K$1203,对接源_02物料!$C$4:$C$1203,$B108,对接源_02物料!$D$4:$D$1203,"次果筐*",对接源_02物料!$L$4:$L$1203,"已收讫")+SUMIFS(对接源_02物料!$K$4:$K$1203,对接源_02物料!$C$4:$C$1203,$B108,对接源_02物料!$D$4:$D$1203,"次果筐*",对接源_02物料!$L$4:$L$1203,"已付款"),2))</f>
        <v/>
      </c>
      <c r="J108" s="18" t="str">
        <f t="shared" si="6"/>
        <v/>
      </c>
      <c r="K108" s="16" t="str">
        <f t="shared" si="7"/>
        <v/>
      </c>
      <c r="L108" s="26"/>
    </row>
    <row r="109" customHeight="1" spans="1:12">
      <c r="A109" s="16" t="str">
        <f t="shared" si="4"/>
        <v/>
      </c>
      <c r="B109" s="11" t="str">
        <f>IFERROR(INDEX(_自动清单!$E$4:$E$303,ROW()-3),"")</f>
        <v/>
      </c>
      <c r="C109" s="18" t="str">
        <f>IF($B109="","",ROUND(SUMIFS(对接源_01水果!$K$4:$K$1203,对接源_01水果!$C$4:$C$1203,$B109,对接源_01水果!$D$4:$D$1203,"成品出库*"),2))</f>
        <v/>
      </c>
      <c r="D109" s="18" t="str">
        <f>IF($B109="","",ROUND(SUMIFS(对接源_01水果!$K$4:$K$1203,对接源_01水果!$C$4:$C$1203,$B109,对接源_01水果!$D$4:$D$1203,"其他代存*"),2))</f>
        <v/>
      </c>
      <c r="E109" s="18" t="str">
        <f>IF($B109="","",ROUND(SUMIFS(对接源_02物料!$K$4:$K$1203,对接源_02物料!$C$4:$C$1203,$B109,对接源_02物料!$D$4:$D$1203,"包装物料*"),2))</f>
        <v/>
      </c>
      <c r="F109" s="18" t="str">
        <f>IF($B109="","",ROUND(SUMIFS(对接源_02物料!$K$4:$K$1203,对接源_02物料!$C$4:$C$1203,$B109,对接源_02物料!$D$4:$D$1203,"周转筐*"),2))</f>
        <v/>
      </c>
      <c r="G109" s="18" t="str">
        <f>IF($B109="","",ROUND(SUMIFS(对接源_02物料!$K$4:$K$1203,对接源_02物料!$C$4:$C$1203,$B109,对接源_02物料!$D$4:$D$1203,"次果筐*"),2))</f>
        <v/>
      </c>
      <c r="H109" s="18" t="str">
        <f t="shared" si="5"/>
        <v/>
      </c>
      <c r="I109" s="18" t="str">
        <f>IF($B109="","",ROUND(SUMIFS(对接源_01水果!$K$4:$K$1203,对接源_01水果!$C$4:$C$1203,$B109,对接源_01水果!$D$4:$D$1203,"成品出库*",对接源_01水果!$L$4:$L$1203,"已收讫")+SUMIFS(对接源_01水果!$K$4:$K$1203,对接源_01水果!$C$4:$C$1203,$B109,对接源_01水果!$D$4:$D$1203,"成品出库*",对接源_01水果!$L$4:$L$1203,"已付款")+SUMIFS(对接源_01水果!$K$4:$K$1203,对接源_01水果!$C$4:$C$1203,$B109,对接源_01水果!$D$4:$D$1203,"其他代存*",对接源_01水果!$L$4:$L$1203,"已收讫")+SUMIFS(对接源_01水果!$K$4:$K$1203,对接源_01水果!$C$4:$C$1203,$B109,对接源_01水果!$D$4:$D$1203,"其他代存*",对接源_01水果!$L$4:$L$1203,"已付款")+SUMIFS(对接源_02物料!$K$4:$K$1203,对接源_02物料!$C$4:$C$1203,$B109,对接源_02物料!$D$4:$D$1203,"包装物料*",对接源_02物料!$L$4:$L$1203,"已收讫")+SUMIFS(对接源_02物料!$K$4:$K$1203,对接源_02物料!$C$4:$C$1203,$B109,对接源_02物料!$D$4:$D$1203,"包装物料*",对接源_02物料!$L$4:$L$1203,"已付款")+SUMIFS(对接源_02物料!$K$4:$K$1203,对接源_02物料!$C$4:$C$1203,$B109,对接源_02物料!$D$4:$D$1203,"周转筐*",对接源_02物料!$L$4:$L$1203,"已收讫")+SUMIFS(对接源_02物料!$K$4:$K$1203,对接源_02物料!$C$4:$C$1203,$B109,对接源_02物料!$D$4:$D$1203,"周转筐*",对接源_02物料!$L$4:$L$1203,"已付款")+SUMIFS(对接源_02物料!$K$4:$K$1203,对接源_02物料!$C$4:$C$1203,$B109,对接源_02物料!$D$4:$D$1203,"次果筐*",对接源_02物料!$L$4:$L$1203,"已收讫")+SUMIFS(对接源_02物料!$K$4:$K$1203,对接源_02物料!$C$4:$C$1203,$B109,对接源_02物料!$D$4:$D$1203,"次果筐*",对接源_02物料!$L$4:$L$1203,"已付款"),2))</f>
        <v/>
      </c>
      <c r="J109" s="18" t="str">
        <f t="shared" si="6"/>
        <v/>
      </c>
      <c r="K109" s="16" t="str">
        <f t="shared" si="7"/>
        <v/>
      </c>
      <c r="L109" s="26"/>
    </row>
    <row r="110" customHeight="1" spans="1:12">
      <c r="A110" s="16" t="str">
        <f t="shared" si="4"/>
        <v/>
      </c>
      <c r="B110" s="11" t="str">
        <f>IFERROR(INDEX(_自动清单!$E$4:$E$303,ROW()-3),"")</f>
        <v/>
      </c>
      <c r="C110" s="18" t="str">
        <f>IF($B110="","",ROUND(SUMIFS(对接源_01水果!$K$4:$K$1203,对接源_01水果!$C$4:$C$1203,$B110,对接源_01水果!$D$4:$D$1203,"成品出库*"),2))</f>
        <v/>
      </c>
      <c r="D110" s="18" t="str">
        <f>IF($B110="","",ROUND(SUMIFS(对接源_01水果!$K$4:$K$1203,对接源_01水果!$C$4:$C$1203,$B110,对接源_01水果!$D$4:$D$1203,"其他代存*"),2))</f>
        <v/>
      </c>
      <c r="E110" s="18" t="str">
        <f>IF($B110="","",ROUND(SUMIFS(对接源_02物料!$K$4:$K$1203,对接源_02物料!$C$4:$C$1203,$B110,对接源_02物料!$D$4:$D$1203,"包装物料*"),2))</f>
        <v/>
      </c>
      <c r="F110" s="18" t="str">
        <f>IF($B110="","",ROUND(SUMIFS(对接源_02物料!$K$4:$K$1203,对接源_02物料!$C$4:$C$1203,$B110,对接源_02物料!$D$4:$D$1203,"周转筐*"),2))</f>
        <v/>
      </c>
      <c r="G110" s="18" t="str">
        <f>IF($B110="","",ROUND(SUMIFS(对接源_02物料!$K$4:$K$1203,对接源_02物料!$C$4:$C$1203,$B110,对接源_02物料!$D$4:$D$1203,"次果筐*"),2))</f>
        <v/>
      </c>
      <c r="H110" s="18" t="str">
        <f t="shared" si="5"/>
        <v/>
      </c>
      <c r="I110" s="18" t="str">
        <f>IF($B110="","",ROUND(SUMIFS(对接源_01水果!$K$4:$K$1203,对接源_01水果!$C$4:$C$1203,$B110,对接源_01水果!$D$4:$D$1203,"成品出库*",对接源_01水果!$L$4:$L$1203,"已收讫")+SUMIFS(对接源_01水果!$K$4:$K$1203,对接源_01水果!$C$4:$C$1203,$B110,对接源_01水果!$D$4:$D$1203,"成品出库*",对接源_01水果!$L$4:$L$1203,"已付款")+SUMIFS(对接源_01水果!$K$4:$K$1203,对接源_01水果!$C$4:$C$1203,$B110,对接源_01水果!$D$4:$D$1203,"其他代存*",对接源_01水果!$L$4:$L$1203,"已收讫")+SUMIFS(对接源_01水果!$K$4:$K$1203,对接源_01水果!$C$4:$C$1203,$B110,对接源_01水果!$D$4:$D$1203,"其他代存*",对接源_01水果!$L$4:$L$1203,"已付款")+SUMIFS(对接源_02物料!$K$4:$K$1203,对接源_02物料!$C$4:$C$1203,$B110,对接源_02物料!$D$4:$D$1203,"包装物料*",对接源_02物料!$L$4:$L$1203,"已收讫")+SUMIFS(对接源_02物料!$K$4:$K$1203,对接源_02物料!$C$4:$C$1203,$B110,对接源_02物料!$D$4:$D$1203,"包装物料*",对接源_02物料!$L$4:$L$1203,"已付款")+SUMIFS(对接源_02物料!$K$4:$K$1203,对接源_02物料!$C$4:$C$1203,$B110,对接源_02物料!$D$4:$D$1203,"周转筐*",对接源_02物料!$L$4:$L$1203,"已收讫")+SUMIFS(对接源_02物料!$K$4:$K$1203,对接源_02物料!$C$4:$C$1203,$B110,对接源_02物料!$D$4:$D$1203,"周转筐*",对接源_02物料!$L$4:$L$1203,"已付款")+SUMIFS(对接源_02物料!$K$4:$K$1203,对接源_02物料!$C$4:$C$1203,$B110,对接源_02物料!$D$4:$D$1203,"次果筐*",对接源_02物料!$L$4:$L$1203,"已收讫")+SUMIFS(对接源_02物料!$K$4:$K$1203,对接源_02物料!$C$4:$C$1203,$B110,对接源_02物料!$D$4:$D$1203,"次果筐*",对接源_02物料!$L$4:$L$1203,"已付款"),2))</f>
        <v/>
      </c>
      <c r="J110" s="18" t="str">
        <f t="shared" si="6"/>
        <v/>
      </c>
      <c r="K110" s="16" t="str">
        <f t="shared" si="7"/>
        <v/>
      </c>
      <c r="L110" s="26"/>
    </row>
    <row r="111" customHeight="1" spans="1:12">
      <c r="A111" s="16" t="str">
        <f t="shared" si="4"/>
        <v/>
      </c>
      <c r="B111" s="11" t="str">
        <f>IFERROR(INDEX(_自动清单!$E$4:$E$303,ROW()-3),"")</f>
        <v/>
      </c>
      <c r="C111" s="18" t="str">
        <f>IF($B111="","",ROUND(SUMIFS(对接源_01水果!$K$4:$K$1203,对接源_01水果!$C$4:$C$1203,$B111,对接源_01水果!$D$4:$D$1203,"成品出库*"),2))</f>
        <v/>
      </c>
      <c r="D111" s="18" t="str">
        <f>IF($B111="","",ROUND(SUMIFS(对接源_01水果!$K$4:$K$1203,对接源_01水果!$C$4:$C$1203,$B111,对接源_01水果!$D$4:$D$1203,"其他代存*"),2))</f>
        <v/>
      </c>
      <c r="E111" s="18" t="str">
        <f>IF($B111="","",ROUND(SUMIFS(对接源_02物料!$K$4:$K$1203,对接源_02物料!$C$4:$C$1203,$B111,对接源_02物料!$D$4:$D$1203,"包装物料*"),2))</f>
        <v/>
      </c>
      <c r="F111" s="18" t="str">
        <f>IF($B111="","",ROUND(SUMIFS(对接源_02物料!$K$4:$K$1203,对接源_02物料!$C$4:$C$1203,$B111,对接源_02物料!$D$4:$D$1203,"周转筐*"),2))</f>
        <v/>
      </c>
      <c r="G111" s="18" t="str">
        <f>IF($B111="","",ROUND(SUMIFS(对接源_02物料!$K$4:$K$1203,对接源_02物料!$C$4:$C$1203,$B111,对接源_02物料!$D$4:$D$1203,"次果筐*"),2))</f>
        <v/>
      </c>
      <c r="H111" s="18" t="str">
        <f t="shared" si="5"/>
        <v/>
      </c>
      <c r="I111" s="18" t="str">
        <f>IF($B111="","",ROUND(SUMIFS(对接源_01水果!$K$4:$K$1203,对接源_01水果!$C$4:$C$1203,$B111,对接源_01水果!$D$4:$D$1203,"成品出库*",对接源_01水果!$L$4:$L$1203,"已收讫")+SUMIFS(对接源_01水果!$K$4:$K$1203,对接源_01水果!$C$4:$C$1203,$B111,对接源_01水果!$D$4:$D$1203,"成品出库*",对接源_01水果!$L$4:$L$1203,"已付款")+SUMIFS(对接源_01水果!$K$4:$K$1203,对接源_01水果!$C$4:$C$1203,$B111,对接源_01水果!$D$4:$D$1203,"其他代存*",对接源_01水果!$L$4:$L$1203,"已收讫")+SUMIFS(对接源_01水果!$K$4:$K$1203,对接源_01水果!$C$4:$C$1203,$B111,对接源_01水果!$D$4:$D$1203,"其他代存*",对接源_01水果!$L$4:$L$1203,"已付款")+SUMIFS(对接源_02物料!$K$4:$K$1203,对接源_02物料!$C$4:$C$1203,$B111,对接源_02物料!$D$4:$D$1203,"包装物料*",对接源_02物料!$L$4:$L$1203,"已收讫")+SUMIFS(对接源_02物料!$K$4:$K$1203,对接源_02物料!$C$4:$C$1203,$B111,对接源_02物料!$D$4:$D$1203,"包装物料*",对接源_02物料!$L$4:$L$1203,"已付款")+SUMIFS(对接源_02物料!$K$4:$K$1203,对接源_02物料!$C$4:$C$1203,$B111,对接源_02物料!$D$4:$D$1203,"周转筐*",对接源_02物料!$L$4:$L$1203,"已收讫")+SUMIFS(对接源_02物料!$K$4:$K$1203,对接源_02物料!$C$4:$C$1203,$B111,对接源_02物料!$D$4:$D$1203,"周转筐*",对接源_02物料!$L$4:$L$1203,"已付款")+SUMIFS(对接源_02物料!$K$4:$K$1203,对接源_02物料!$C$4:$C$1203,$B111,对接源_02物料!$D$4:$D$1203,"次果筐*",对接源_02物料!$L$4:$L$1203,"已收讫")+SUMIFS(对接源_02物料!$K$4:$K$1203,对接源_02物料!$C$4:$C$1203,$B111,对接源_02物料!$D$4:$D$1203,"次果筐*",对接源_02物料!$L$4:$L$1203,"已付款"),2))</f>
        <v/>
      </c>
      <c r="J111" s="18" t="str">
        <f t="shared" si="6"/>
        <v/>
      </c>
      <c r="K111" s="16" t="str">
        <f t="shared" si="7"/>
        <v/>
      </c>
      <c r="L111" s="26"/>
    </row>
    <row r="112" customHeight="1" spans="1:12">
      <c r="A112" s="16" t="str">
        <f t="shared" si="4"/>
        <v/>
      </c>
      <c r="B112" s="11" t="str">
        <f>IFERROR(INDEX(_自动清单!$E$4:$E$303,ROW()-3),"")</f>
        <v/>
      </c>
      <c r="C112" s="18" t="str">
        <f>IF($B112="","",ROUND(SUMIFS(对接源_01水果!$K$4:$K$1203,对接源_01水果!$C$4:$C$1203,$B112,对接源_01水果!$D$4:$D$1203,"成品出库*"),2))</f>
        <v/>
      </c>
      <c r="D112" s="18" t="str">
        <f>IF($B112="","",ROUND(SUMIFS(对接源_01水果!$K$4:$K$1203,对接源_01水果!$C$4:$C$1203,$B112,对接源_01水果!$D$4:$D$1203,"其他代存*"),2))</f>
        <v/>
      </c>
      <c r="E112" s="18" t="str">
        <f>IF($B112="","",ROUND(SUMIFS(对接源_02物料!$K$4:$K$1203,对接源_02物料!$C$4:$C$1203,$B112,对接源_02物料!$D$4:$D$1203,"包装物料*"),2))</f>
        <v/>
      </c>
      <c r="F112" s="18" t="str">
        <f>IF($B112="","",ROUND(SUMIFS(对接源_02物料!$K$4:$K$1203,对接源_02物料!$C$4:$C$1203,$B112,对接源_02物料!$D$4:$D$1203,"周转筐*"),2))</f>
        <v/>
      </c>
      <c r="G112" s="18" t="str">
        <f>IF($B112="","",ROUND(SUMIFS(对接源_02物料!$K$4:$K$1203,对接源_02物料!$C$4:$C$1203,$B112,对接源_02物料!$D$4:$D$1203,"次果筐*"),2))</f>
        <v/>
      </c>
      <c r="H112" s="18" t="str">
        <f t="shared" si="5"/>
        <v/>
      </c>
      <c r="I112" s="18" t="str">
        <f>IF($B112="","",ROUND(SUMIFS(对接源_01水果!$K$4:$K$1203,对接源_01水果!$C$4:$C$1203,$B112,对接源_01水果!$D$4:$D$1203,"成品出库*",对接源_01水果!$L$4:$L$1203,"已收讫")+SUMIFS(对接源_01水果!$K$4:$K$1203,对接源_01水果!$C$4:$C$1203,$B112,对接源_01水果!$D$4:$D$1203,"成品出库*",对接源_01水果!$L$4:$L$1203,"已付款")+SUMIFS(对接源_01水果!$K$4:$K$1203,对接源_01水果!$C$4:$C$1203,$B112,对接源_01水果!$D$4:$D$1203,"其他代存*",对接源_01水果!$L$4:$L$1203,"已收讫")+SUMIFS(对接源_01水果!$K$4:$K$1203,对接源_01水果!$C$4:$C$1203,$B112,对接源_01水果!$D$4:$D$1203,"其他代存*",对接源_01水果!$L$4:$L$1203,"已付款")+SUMIFS(对接源_02物料!$K$4:$K$1203,对接源_02物料!$C$4:$C$1203,$B112,对接源_02物料!$D$4:$D$1203,"包装物料*",对接源_02物料!$L$4:$L$1203,"已收讫")+SUMIFS(对接源_02物料!$K$4:$K$1203,对接源_02物料!$C$4:$C$1203,$B112,对接源_02物料!$D$4:$D$1203,"包装物料*",对接源_02物料!$L$4:$L$1203,"已付款")+SUMIFS(对接源_02物料!$K$4:$K$1203,对接源_02物料!$C$4:$C$1203,$B112,对接源_02物料!$D$4:$D$1203,"周转筐*",对接源_02物料!$L$4:$L$1203,"已收讫")+SUMIFS(对接源_02物料!$K$4:$K$1203,对接源_02物料!$C$4:$C$1203,$B112,对接源_02物料!$D$4:$D$1203,"周转筐*",对接源_02物料!$L$4:$L$1203,"已付款")+SUMIFS(对接源_02物料!$K$4:$K$1203,对接源_02物料!$C$4:$C$1203,$B112,对接源_02物料!$D$4:$D$1203,"次果筐*",对接源_02物料!$L$4:$L$1203,"已收讫")+SUMIFS(对接源_02物料!$K$4:$K$1203,对接源_02物料!$C$4:$C$1203,$B112,对接源_02物料!$D$4:$D$1203,"次果筐*",对接源_02物料!$L$4:$L$1203,"已付款"),2))</f>
        <v/>
      </c>
      <c r="J112" s="18" t="str">
        <f t="shared" si="6"/>
        <v/>
      </c>
      <c r="K112" s="16" t="str">
        <f t="shared" si="7"/>
        <v/>
      </c>
      <c r="L112" s="26"/>
    </row>
    <row r="113" customHeight="1" spans="1:12">
      <c r="A113" s="16" t="str">
        <f t="shared" si="4"/>
        <v/>
      </c>
      <c r="B113" s="11" t="str">
        <f>IFERROR(INDEX(_自动清单!$E$4:$E$303,ROW()-3),"")</f>
        <v/>
      </c>
      <c r="C113" s="18" t="str">
        <f>IF($B113="","",ROUND(SUMIFS(对接源_01水果!$K$4:$K$1203,对接源_01水果!$C$4:$C$1203,$B113,对接源_01水果!$D$4:$D$1203,"成品出库*"),2))</f>
        <v/>
      </c>
      <c r="D113" s="18" t="str">
        <f>IF($B113="","",ROUND(SUMIFS(对接源_01水果!$K$4:$K$1203,对接源_01水果!$C$4:$C$1203,$B113,对接源_01水果!$D$4:$D$1203,"其他代存*"),2))</f>
        <v/>
      </c>
      <c r="E113" s="18" t="str">
        <f>IF($B113="","",ROUND(SUMIFS(对接源_02物料!$K$4:$K$1203,对接源_02物料!$C$4:$C$1203,$B113,对接源_02物料!$D$4:$D$1203,"包装物料*"),2))</f>
        <v/>
      </c>
      <c r="F113" s="18" t="str">
        <f>IF($B113="","",ROUND(SUMIFS(对接源_02物料!$K$4:$K$1203,对接源_02物料!$C$4:$C$1203,$B113,对接源_02物料!$D$4:$D$1203,"周转筐*"),2))</f>
        <v/>
      </c>
      <c r="G113" s="18" t="str">
        <f>IF($B113="","",ROUND(SUMIFS(对接源_02物料!$K$4:$K$1203,对接源_02物料!$C$4:$C$1203,$B113,对接源_02物料!$D$4:$D$1203,"次果筐*"),2))</f>
        <v/>
      </c>
      <c r="H113" s="18" t="str">
        <f t="shared" si="5"/>
        <v/>
      </c>
      <c r="I113" s="18" t="str">
        <f>IF($B113="","",ROUND(SUMIFS(对接源_01水果!$K$4:$K$1203,对接源_01水果!$C$4:$C$1203,$B113,对接源_01水果!$D$4:$D$1203,"成品出库*",对接源_01水果!$L$4:$L$1203,"已收讫")+SUMIFS(对接源_01水果!$K$4:$K$1203,对接源_01水果!$C$4:$C$1203,$B113,对接源_01水果!$D$4:$D$1203,"成品出库*",对接源_01水果!$L$4:$L$1203,"已付款")+SUMIFS(对接源_01水果!$K$4:$K$1203,对接源_01水果!$C$4:$C$1203,$B113,对接源_01水果!$D$4:$D$1203,"其他代存*",对接源_01水果!$L$4:$L$1203,"已收讫")+SUMIFS(对接源_01水果!$K$4:$K$1203,对接源_01水果!$C$4:$C$1203,$B113,对接源_01水果!$D$4:$D$1203,"其他代存*",对接源_01水果!$L$4:$L$1203,"已付款")+SUMIFS(对接源_02物料!$K$4:$K$1203,对接源_02物料!$C$4:$C$1203,$B113,对接源_02物料!$D$4:$D$1203,"包装物料*",对接源_02物料!$L$4:$L$1203,"已收讫")+SUMIFS(对接源_02物料!$K$4:$K$1203,对接源_02物料!$C$4:$C$1203,$B113,对接源_02物料!$D$4:$D$1203,"包装物料*",对接源_02物料!$L$4:$L$1203,"已付款")+SUMIFS(对接源_02物料!$K$4:$K$1203,对接源_02物料!$C$4:$C$1203,$B113,对接源_02物料!$D$4:$D$1203,"周转筐*",对接源_02物料!$L$4:$L$1203,"已收讫")+SUMIFS(对接源_02物料!$K$4:$K$1203,对接源_02物料!$C$4:$C$1203,$B113,对接源_02物料!$D$4:$D$1203,"周转筐*",对接源_02物料!$L$4:$L$1203,"已付款")+SUMIFS(对接源_02物料!$K$4:$K$1203,对接源_02物料!$C$4:$C$1203,$B113,对接源_02物料!$D$4:$D$1203,"次果筐*",对接源_02物料!$L$4:$L$1203,"已收讫")+SUMIFS(对接源_02物料!$K$4:$K$1203,对接源_02物料!$C$4:$C$1203,$B113,对接源_02物料!$D$4:$D$1203,"次果筐*",对接源_02物料!$L$4:$L$1203,"已付款"),2))</f>
        <v/>
      </c>
      <c r="J113" s="18" t="str">
        <f t="shared" si="6"/>
        <v/>
      </c>
      <c r="K113" s="16" t="str">
        <f t="shared" si="7"/>
        <v/>
      </c>
      <c r="L113" s="26"/>
    </row>
    <row r="114" customHeight="1" spans="1:12">
      <c r="A114" s="16" t="str">
        <f t="shared" si="4"/>
        <v/>
      </c>
      <c r="B114" s="11" t="str">
        <f>IFERROR(INDEX(_自动清单!$E$4:$E$303,ROW()-3),"")</f>
        <v/>
      </c>
      <c r="C114" s="18" t="str">
        <f>IF($B114="","",ROUND(SUMIFS(对接源_01水果!$K$4:$K$1203,对接源_01水果!$C$4:$C$1203,$B114,对接源_01水果!$D$4:$D$1203,"成品出库*"),2))</f>
        <v/>
      </c>
      <c r="D114" s="18" t="str">
        <f>IF($B114="","",ROUND(SUMIFS(对接源_01水果!$K$4:$K$1203,对接源_01水果!$C$4:$C$1203,$B114,对接源_01水果!$D$4:$D$1203,"其他代存*"),2))</f>
        <v/>
      </c>
      <c r="E114" s="18" t="str">
        <f>IF($B114="","",ROUND(SUMIFS(对接源_02物料!$K$4:$K$1203,对接源_02物料!$C$4:$C$1203,$B114,对接源_02物料!$D$4:$D$1203,"包装物料*"),2))</f>
        <v/>
      </c>
      <c r="F114" s="18" t="str">
        <f>IF($B114="","",ROUND(SUMIFS(对接源_02物料!$K$4:$K$1203,对接源_02物料!$C$4:$C$1203,$B114,对接源_02物料!$D$4:$D$1203,"周转筐*"),2))</f>
        <v/>
      </c>
      <c r="G114" s="18" t="str">
        <f>IF($B114="","",ROUND(SUMIFS(对接源_02物料!$K$4:$K$1203,对接源_02物料!$C$4:$C$1203,$B114,对接源_02物料!$D$4:$D$1203,"次果筐*"),2))</f>
        <v/>
      </c>
      <c r="H114" s="18" t="str">
        <f t="shared" si="5"/>
        <v/>
      </c>
      <c r="I114" s="18" t="str">
        <f>IF($B114="","",ROUND(SUMIFS(对接源_01水果!$K$4:$K$1203,对接源_01水果!$C$4:$C$1203,$B114,对接源_01水果!$D$4:$D$1203,"成品出库*",对接源_01水果!$L$4:$L$1203,"已收讫")+SUMIFS(对接源_01水果!$K$4:$K$1203,对接源_01水果!$C$4:$C$1203,$B114,对接源_01水果!$D$4:$D$1203,"成品出库*",对接源_01水果!$L$4:$L$1203,"已付款")+SUMIFS(对接源_01水果!$K$4:$K$1203,对接源_01水果!$C$4:$C$1203,$B114,对接源_01水果!$D$4:$D$1203,"其他代存*",对接源_01水果!$L$4:$L$1203,"已收讫")+SUMIFS(对接源_01水果!$K$4:$K$1203,对接源_01水果!$C$4:$C$1203,$B114,对接源_01水果!$D$4:$D$1203,"其他代存*",对接源_01水果!$L$4:$L$1203,"已付款")+SUMIFS(对接源_02物料!$K$4:$K$1203,对接源_02物料!$C$4:$C$1203,$B114,对接源_02物料!$D$4:$D$1203,"包装物料*",对接源_02物料!$L$4:$L$1203,"已收讫")+SUMIFS(对接源_02物料!$K$4:$K$1203,对接源_02物料!$C$4:$C$1203,$B114,对接源_02物料!$D$4:$D$1203,"包装物料*",对接源_02物料!$L$4:$L$1203,"已付款")+SUMIFS(对接源_02物料!$K$4:$K$1203,对接源_02物料!$C$4:$C$1203,$B114,对接源_02物料!$D$4:$D$1203,"周转筐*",对接源_02物料!$L$4:$L$1203,"已收讫")+SUMIFS(对接源_02物料!$K$4:$K$1203,对接源_02物料!$C$4:$C$1203,$B114,对接源_02物料!$D$4:$D$1203,"周转筐*",对接源_02物料!$L$4:$L$1203,"已付款")+SUMIFS(对接源_02物料!$K$4:$K$1203,对接源_02物料!$C$4:$C$1203,$B114,对接源_02物料!$D$4:$D$1203,"次果筐*",对接源_02物料!$L$4:$L$1203,"已收讫")+SUMIFS(对接源_02物料!$K$4:$K$1203,对接源_02物料!$C$4:$C$1203,$B114,对接源_02物料!$D$4:$D$1203,"次果筐*",对接源_02物料!$L$4:$L$1203,"已付款"),2))</f>
        <v/>
      </c>
      <c r="J114" s="18" t="str">
        <f t="shared" si="6"/>
        <v/>
      </c>
      <c r="K114" s="16" t="str">
        <f t="shared" si="7"/>
        <v/>
      </c>
      <c r="L114" s="26"/>
    </row>
    <row r="115" customHeight="1" spans="1:12">
      <c r="A115" s="16" t="str">
        <f t="shared" si="4"/>
        <v/>
      </c>
      <c r="B115" s="11" t="str">
        <f>IFERROR(INDEX(_自动清单!$E$4:$E$303,ROW()-3),"")</f>
        <v/>
      </c>
      <c r="C115" s="18" t="str">
        <f>IF($B115="","",ROUND(SUMIFS(对接源_01水果!$K$4:$K$1203,对接源_01水果!$C$4:$C$1203,$B115,对接源_01水果!$D$4:$D$1203,"成品出库*"),2))</f>
        <v/>
      </c>
      <c r="D115" s="18" t="str">
        <f>IF($B115="","",ROUND(SUMIFS(对接源_01水果!$K$4:$K$1203,对接源_01水果!$C$4:$C$1203,$B115,对接源_01水果!$D$4:$D$1203,"其他代存*"),2))</f>
        <v/>
      </c>
      <c r="E115" s="18" t="str">
        <f>IF($B115="","",ROUND(SUMIFS(对接源_02物料!$K$4:$K$1203,对接源_02物料!$C$4:$C$1203,$B115,对接源_02物料!$D$4:$D$1203,"包装物料*"),2))</f>
        <v/>
      </c>
      <c r="F115" s="18" t="str">
        <f>IF($B115="","",ROUND(SUMIFS(对接源_02物料!$K$4:$K$1203,对接源_02物料!$C$4:$C$1203,$B115,对接源_02物料!$D$4:$D$1203,"周转筐*"),2))</f>
        <v/>
      </c>
      <c r="G115" s="18" t="str">
        <f>IF($B115="","",ROUND(SUMIFS(对接源_02物料!$K$4:$K$1203,对接源_02物料!$C$4:$C$1203,$B115,对接源_02物料!$D$4:$D$1203,"次果筐*"),2))</f>
        <v/>
      </c>
      <c r="H115" s="18" t="str">
        <f t="shared" si="5"/>
        <v/>
      </c>
      <c r="I115" s="18" t="str">
        <f>IF($B115="","",ROUND(SUMIFS(对接源_01水果!$K$4:$K$1203,对接源_01水果!$C$4:$C$1203,$B115,对接源_01水果!$D$4:$D$1203,"成品出库*",对接源_01水果!$L$4:$L$1203,"已收讫")+SUMIFS(对接源_01水果!$K$4:$K$1203,对接源_01水果!$C$4:$C$1203,$B115,对接源_01水果!$D$4:$D$1203,"成品出库*",对接源_01水果!$L$4:$L$1203,"已付款")+SUMIFS(对接源_01水果!$K$4:$K$1203,对接源_01水果!$C$4:$C$1203,$B115,对接源_01水果!$D$4:$D$1203,"其他代存*",对接源_01水果!$L$4:$L$1203,"已收讫")+SUMIFS(对接源_01水果!$K$4:$K$1203,对接源_01水果!$C$4:$C$1203,$B115,对接源_01水果!$D$4:$D$1203,"其他代存*",对接源_01水果!$L$4:$L$1203,"已付款")+SUMIFS(对接源_02物料!$K$4:$K$1203,对接源_02物料!$C$4:$C$1203,$B115,对接源_02物料!$D$4:$D$1203,"包装物料*",对接源_02物料!$L$4:$L$1203,"已收讫")+SUMIFS(对接源_02物料!$K$4:$K$1203,对接源_02物料!$C$4:$C$1203,$B115,对接源_02物料!$D$4:$D$1203,"包装物料*",对接源_02物料!$L$4:$L$1203,"已付款")+SUMIFS(对接源_02物料!$K$4:$K$1203,对接源_02物料!$C$4:$C$1203,$B115,对接源_02物料!$D$4:$D$1203,"周转筐*",对接源_02物料!$L$4:$L$1203,"已收讫")+SUMIFS(对接源_02物料!$K$4:$K$1203,对接源_02物料!$C$4:$C$1203,$B115,对接源_02物料!$D$4:$D$1203,"周转筐*",对接源_02物料!$L$4:$L$1203,"已付款")+SUMIFS(对接源_02物料!$K$4:$K$1203,对接源_02物料!$C$4:$C$1203,$B115,对接源_02物料!$D$4:$D$1203,"次果筐*",对接源_02物料!$L$4:$L$1203,"已收讫")+SUMIFS(对接源_02物料!$K$4:$K$1203,对接源_02物料!$C$4:$C$1203,$B115,对接源_02物料!$D$4:$D$1203,"次果筐*",对接源_02物料!$L$4:$L$1203,"已付款"),2))</f>
        <v/>
      </c>
      <c r="J115" s="18" t="str">
        <f t="shared" si="6"/>
        <v/>
      </c>
      <c r="K115" s="16" t="str">
        <f t="shared" si="7"/>
        <v/>
      </c>
      <c r="L115" s="26"/>
    </row>
    <row r="116" customHeight="1" spans="1:12">
      <c r="A116" s="16" t="str">
        <f t="shared" si="4"/>
        <v/>
      </c>
      <c r="B116" s="11" t="str">
        <f>IFERROR(INDEX(_自动清单!$E$4:$E$303,ROW()-3),"")</f>
        <v/>
      </c>
      <c r="C116" s="18" t="str">
        <f>IF($B116="","",ROUND(SUMIFS(对接源_01水果!$K$4:$K$1203,对接源_01水果!$C$4:$C$1203,$B116,对接源_01水果!$D$4:$D$1203,"成品出库*"),2))</f>
        <v/>
      </c>
      <c r="D116" s="18" t="str">
        <f>IF($B116="","",ROUND(SUMIFS(对接源_01水果!$K$4:$K$1203,对接源_01水果!$C$4:$C$1203,$B116,对接源_01水果!$D$4:$D$1203,"其他代存*"),2))</f>
        <v/>
      </c>
      <c r="E116" s="18" t="str">
        <f>IF($B116="","",ROUND(SUMIFS(对接源_02物料!$K$4:$K$1203,对接源_02物料!$C$4:$C$1203,$B116,对接源_02物料!$D$4:$D$1203,"包装物料*"),2))</f>
        <v/>
      </c>
      <c r="F116" s="18" t="str">
        <f>IF($B116="","",ROUND(SUMIFS(对接源_02物料!$K$4:$K$1203,对接源_02物料!$C$4:$C$1203,$B116,对接源_02物料!$D$4:$D$1203,"周转筐*"),2))</f>
        <v/>
      </c>
      <c r="G116" s="18" t="str">
        <f>IF($B116="","",ROUND(SUMIFS(对接源_02物料!$K$4:$K$1203,对接源_02物料!$C$4:$C$1203,$B116,对接源_02物料!$D$4:$D$1203,"次果筐*"),2))</f>
        <v/>
      </c>
      <c r="H116" s="18" t="str">
        <f t="shared" si="5"/>
        <v/>
      </c>
      <c r="I116" s="18" t="str">
        <f>IF($B116="","",ROUND(SUMIFS(对接源_01水果!$K$4:$K$1203,对接源_01水果!$C$4:$C$1203,$B116,对接源_01水果!$D$4:$D$1203,"成品出库*",对接源_01水果!$L$4:$L$1203,"已收讫")+SUMIFS(对接源_01水果!$K$4:$K$1203,对接源_01水果!$C$4:$C$1203,$B116,对接源_01水果!$D$4:$D$1203,"成品出库*",对接源_01水果!$L$4:$L$1203,"已付款")+SUMIFS(对接源_01水果!$K$4:$K$1203,对接源_01水果!$C$4:$C$1203,$B116,对接源_01水果!$D$4:$D$1203,"其他代存*",对接源_01水果!$L$4:$L$1203,"已收讫")+SUMIFS(对接源_01水果!$K$4:$K$1203,对接源_01水果!$C$4:$C$1203,$B116,对接源_01水果!$D$4:$D$1203,"其他代存*",对接源_01水果!$L$4:$L$1203,"已付款")+SUMIFS(对接源_02物料!$K$4:$K$1203,对接源_02物料!$C$4:$C$1203,$B116,对接源_02物料!$D$4:$D$1203,"包装物料*",对接源_02物料!$L$4:$L$1203,"已收讫")+SUMIFS(对接源_02物料!$K$4:$K$1203,对接源_02物料!$C$4:$C$1203,$B116,对接源_02物料!$D$4:$D$1203,"包装物料*",对接源_02物料!$L$4:$L$1203,"已付款")+SUMIFS(对接源_02物料!$K$4:$K$1203,对接源_02物料!$C$4:$C$1203,$B116,对接源_02物料!$D$4:$D$1203,"周转筐*",对接源_02物料!$L$4:$L$1203,"已收讫")+SUMIFS(对接源_02物料!$K$4:$K$1203,对接源_02物料!$C$4:$C$1203,$B116,对接源_02物料!$D$4:$D$1203,"周转筐*",对接源_02物料!$L$4:$L$1203,"已付款")+SUMIFS(对接源_02物料!$K$4:$K$1203,对接源_02物料!$C$4:$C$1203,$B116,对接源_02物料!$D$4:$D$1203,"次果筐*",对接源_02物料!$L$4:$L$1203,"已收讫")+SUMIFS(对接源_02物料!$K$4:$K$1203,对接源_02物料!$C$4:$C$1203,$B116,对接源_02物料!$D$4:$D$1203,"次果筐*",对接源_02物料!$L$4:$L$1203,"已付款"),2))</f>
        <v/>
      </c>
      <c r="J116" s="18" t="str">
        <f t="shared" si="6"/>
        <v/>
      </c>
      <c r="K116" s="16" t="str">
        <f t="shared" si="7"/>
        <v/>
      </c>
      <c r="L116" s="26"/>
    </row>
    <row r="117" customHeight="1" spans="1:12">
      <c r="A117" s="16" t="str">
        <f t="shared" si="4"/>
        <v/>
      </c>
      <c r="B117" s="11" t="str">
        <f>IFERROR(INDEX(_自动清单!$E$4:$E$303,ROW()-3),"")</f>
        <v/>
      </c>
      <c r="C117" s="18" t="str">
        <f>IF($B117="","",ROUND(SUMIFS(对接源_01水果!$K$4:$K$1203,对接源_01水果!$C$4:$C$1203,$B117,对接源_01水果!$D$4:$D$1203,"成品出库*"),2))</f>
        <v/>
      </c>
      <c r="D117" s="18" t="str">
        <f>IF($B117="","",ROUND(SUMIFS(对接源_01水果!$K$4:$K$1203,对接源_01水果!$C$4:$C$1203,$B117,对接源_01水果!$D$4:$D$1203,"其他代存*"),2))</f>
        <v/>
      </c>
      <c r="E117" s="18" t="str">
        <f>IF($B117="","",ROUND(SUMIFS(对接源_02物料!$K$4:$K$1203,对接源_02物料!$C$4:$C$1203,$B117,对接源_02物料!$D$4:$D$1203,"包装物料*"),2))</f>
        <v/>
      </c>
      <c r="F117" s="18" t="str">
        <f>IF($B117="","",ROUND(SUMIFS(对接源_02物料!$K$4:$K$1203,对接源_02物料!$C$4:$C$1203,$B117,对接源_02物料!$D$4:$D$1203,"周转筐*"),2))</f>
        <v/>
      </c>
      <c r="G117" s="18" t="str">
        <f>IF($B117="","",ROUND(SUMIFS(对接源_02物料!$K$4:$K$1203,对接源_02物料!$C$4:$C$1203,$B117,对接源_02物料!$D$4:$D$1203,"次果筐*"),2))</f>
        <v/>
      </c>
      <c r="H117" s="18" t="str">
        <f t="shared" si="5"/>
        <v/>
      </c>
      <c r="I117" s="18" t="str">
        <f>IF($B117="","",ROUND(SUMIFS(对接源_01水果!$K$4:$K$1203,对接源_01水果!$C$4:$C$1203,$B117,对接源_01水果!$D$4:$D$1203,"成品出库*",对接源_01水果!$L$4:$L$1203,"已收讫")+SUMIFS(对接源_01水果!$K$4:$K$1203,对接源_01水果!$C$4:$C$1203,$B117,对接源_01水果!$D$4:$D$1203,"成品出库*",对接源_01水果!$L$4:$L$1203,"已付款")+SUMIFS(对接源_01水果!$K$4:$K$1203,对接源_01水果!$C$4:$C$1203,$B117,对接源_01水果!$D$4:$D$1203,"其他代存*",对接源_01水果!$L$4:$L$1203,"已收讫")+SUMIFS(对接源_01水果!$K$4:$K$1203,对接源_01水果!$C$4:$C$1203,$B117,对接源_01水果!$D$4:$D$1203,"其他代存*",对接源_01水果!$L$4:$L$1203,"已付款")+SUMIFS(对接源_02物料!$K$4:$K$1203,对接源_02物料!$C$4:$C$1203,$B117,对接源_02物料!$D$4:$D$1203,"包装物料*",对接源_02物料!$L$4:$L$1203,"已收讫")+SUMIFS(对接源_02物料!$K$4:$K$1203,对接源_02物料!$C$4:$C$1203,$B117,对接源_02物料!$D$4:$D$1203,"包装物料*",对接源_02物料!$L$4:$L$1203,"已付款")+SUMIFS(对接源_02物料!$K$4:$K$1203,对接源_02物料!$C$4:$C$1203,$B117,对接源_02物料!$D$4:$D$1203,"周转筐*",对接源_02物料!$L$4:$L$1203,"已收讫")+SUMIFS(对接源_02物料!$K$4:$K$1203,对接源_02物料!$C$4:$C$1203,$B117,对接源_02物料!$D$4:$D$1203,"周转筐*",对接源_02物料!$L$4:$L$1203,"已付款")+SUMIFS(对接源_02物料!$K$4:$K$1203,对接源_02物料!$C$4:$C$1203,$B117,对接源_02物料!$D$4:$D$1203,"次果筐*",对接源_02物料!$L$4:$L$1203,"已收讫")+SUMIFS(对接源_02物料!$K$4:$K$1203,对接源_02物料!$C$4:$C$1203,$B117,对接源_02物料!$D$4:$D$1203,"次果筐*",对接源_02物料!$L$4:$L$1203,"已付款"),2))</f>
        <v/>
      </c>
      <c r="J117" s="18" t="str">
        <f t="shared" si="6"/>
        <v/>
      </c>
      <c r="K117" s="16" t="str">
        <f t="shared" si="7"/>
        <v/>
      </c>
      <c r="L117" s="26"/>
    </row>
    <row r="118" customHeight="1" spans="1:12">
      <c r="A118" s="16" t="str">
        <f t="shared" si="4"/>
        <v/>
      </c>
      <c r="B118" s="11" t="str">
        <f>IFERROR(INDEX(_自动清单!$E$4:$E$303,ROW()-3),"")</f>
        <v/>
      </c>
      <c r="C118" s="18" t="str">
        <f>IF($B118="","",ROUND(SUMIFS(对接源_01水果!$K$4:$K$1203,对接源_01水果!$C$4:$C$1203,$B118,对接源_01水果!$D$4:$D$1203,"成品出库*"),2))</f>
        <v/>
      </c>
      <c r="D118" s="18" t="str">
        <f>IF($B118="","",ROUND(SUMIFS(对接源_01水果!$K$4:$K$1203,对接源_01水果!$C$4:$C$1203,$B118,对接源_01水果!$D$4:$D$1203,"其他代存*"),2))</f>
        <v/>
      </c>
      <c r="E118" s="18" t="str">
        <f>IF($B118="","",ROUND(SUMIFS(对接源_02物料!$K$4:$K$1203,对接源_02物料!$C$4:$C$1203,$B118,对接源_02物料!$D$4:$D$1203,"包装物料*"),2))</f>
        <v/>
      </c>
      <c r="F118" s="18" t="str">
        <f>IF($B118="","",ROUND(SUMIFS(对接源_02物料!$K$4:$K$1203,对接源_02物料!$C$4:$C$1203,$B118,对接源_02物料!$D$4:$D$1203,"周转筐*"),2))</f>
        <v/>
      </c>
      <c r="G118" s="18" t="str">
        <f>IF($B118="","",ROUND(SUMIFS(对接源_02物料!$K$4:$K$1203,对接源_02物料!$C$4:$C$1203,$B118,对接源_02物料!$D$4:$D$1203,"次果筐*"),2))</f>
        <v/>
      </c>
      <c r="H118" s="18" t="str">
        <f t="shared" si="5"/>
        <v/>
      </c>
      <c r="I118" s="18" t="str">
        <f>IF($B118="","",ROUND(SUMIFS(对接源_01水果!$K$4:$K$1203,对接源_01水果!$C$4:$C$1203,$B118,对接源_01水果!$D$4:$D$1203,"成品出库*",对接源_01水果!$L$4:$L$1203,"已收讫")+SUMIFS(对接源_01水果!$K$4:$K$1203,对接源_01水果!$C$4:$C$1203,$B118,对接源_01水果!$D$4:$D$1203,"成品出库*",对接源_01水果!$L$4:$L$1203,"已付款")+SUMIFS(对接源_01水果!$K$4:$K$1203,对接源_01水果!$C$4:$C$1203,$B118,对接源_01水果!$D$4:$D$1203,"其他代存*",对接源_01水果!$L$4:$L$1203,"已收讫")+SUMIFS(对接源_01水果!$K$4:$K$1203,对接源_01水果!$C$4:$C$1203,$B118,对接源_01水果!$D$4:$D$1203,"其他代存*",对接源_01水果!$L$4:$L$1203,"已付款")+SUMIFS(对接源_02物料!$K$4:$K$1203,对接源_02物料!$C$4:$C$1203,$B118,对接源_02物料!$D$4:$D$1203,"包装物料*",对接源_02物料!$L$4:$L$1203,"已收讫")+SUMIFS(对接源_02物料!$K$4:$K$1203,对接源_02物料!$C$4:$C$1203,$B118,对接源_02物料!$D$4:$D$1203,"包装物料*",对接源_02物料!$L$4:$L$1203,"已付款")+SUMIFS(对接源_02物料!$K$4:$K$1203,对接源_02物料!$C$4:$C$1203,$B118,对接源_02物料!$D$4:$D$1203,"周转筐*",对接源_02物料!$L$4:$L$1203,"已收讫")+SUMIFS(对接源_02物料!$K$4:$K$1203,对接源_02物料!$C$4:$C$1203,$B118,对接源_02物料!$D$4:$D$1203,"周转筐*",对接源_02物料!$L$4:$L$1203,"已付款")+SUMIFS(对接源_02物料!$K$4:$K$1203,对接源_02物料!$C$4:$C$1203,$B118,对接源_02物料!$D$4:$D$1203,"次果筐*",对接源_02物料!$L$4:$L$1203,"已收讫")+SUMIFS(对接源_02物料!$K$4:$K$1203,对接源_02物料!$C$4:$C$1203,$B118,对接源_02物料!$D$4:$D$1203,"次果筐*",对接源_02物料!$L$4:$L$1203,"已付款"),2))</f>
        <v/>
      </c>
      <c r="J118" s="18" t="str">
        <f t="shared" si="6"/>
        <v/>
      </c>
      <c r="K118" s="16" t="str">
        <f t="shared" si="7"/>
        <v/>
      </c>
      <c r="L118" s="26"/>
    </row>
    <row r="119" customHeight="1" spans="1:12">
      <c r="A119" s="16" t="str">
        <f t="shared" si="4"/>
        <v/>
      </c>
      <c r="B119" s="11" t="str">
        <f>IFERROR(INDEX(_自动清单!$E$4:$E$303,ROW()-3),"")</f>
        <v/>
      </c>
      <c r="C119" s="18" t="str">
        <f>IF($B119="","",ROUND(SUMIFS(对接源_01水果!$K$4:$K$1203,对接源_01水果!$C$4:$C$1203,$B119,对接源_01水果!$D$4:$D$1203,"成品出库*"),2))</f>
        <v/>
      </c>
      <c r="D119" s="18" t="str">
        <f>IF($B119="","",ROUND(SUMIFS(对接源_01水果!$K$4:$K$1203,对接源_01水果!$C$4:$C$1203,$B119,对接源_01水果!$D$4:$D$1203,"其他代存*"),2))</f>
        <v/>
      </c>
      <c r="E119" s="18" t="str">
        <f>IF($B119="","",ROUND(SUMIFS(对接源_02物料!$K$4:$K$1203,对接源_02物料!$C$4:$C$1203,$B119,对接源_02物料!$D$4:$D$1203,"包装物料*"),2))</f>
        <v/>
      </c>
      <c r="F119" s="18" t="str">
        <f>IF($B119="","",ROUND(SUMIFS(对接源_02物料!$K$4:$K$1203,对接源_02物料!$C$4:$C$1203,$B119,对接源_02物料!$D$4:$D$1203,"周转筐*"),2))</f>
        <v/>
      </c>
      <c r="G119" s="18" t="str">
        <f>IF($B119="","",ROUND(SUMIFS(对接源_02物料!$K$4:$K$1203,对接源_02物料!$C$4:$C$1203,$B119,对接源_02物料!$D$4:$D$1203,"次果筐*"),2))</f>
        <v/>
      </c>
      <c r="H119" s="18" t="str">
        <f t="shared" si="5"/>
        <v/>
      </c>
      <c r="I119" s="18" t="str">
        <f>IF($B119="","",ROUND(SUMIFS(对接源_01水果!$K$4:$K$1203,对接源_01水果!$C$4:$C$1203,$B119,对接源_01水果!$D$4:$D$1203,"成品出库*",对接源_01水果!$L$4:$L$1203,"已收讫")+SUMIFS(对接源_01水果!$K$4:$K$1203,对接源_01水果!$C$4:$C$1203,$B119,对接源_01水果!$D$4:$D$1203,"成品出库*",对接源_01水果!$L$4:$L$1203,"已付款")+SUMIFS(对接源_01水果!$K$4:$K$1203,对接源_01水果!$C$4:$C$1203,$B119,对接源_01水果!$D$4:$D$1203,"其他代存*",对接源_01水果!$L$4:$L$1203,"已收讫")+SUMIFS(对接源_01水果!$K$4:$K$1203,对接源_01水果!$C$4:$C$1203,$B119,对接源_01水果!$D$4:$D$1203,"其他代存*",对接源_01水果!$L$4:$L$1203,"已付款")+SUMIFS(对接源_02物料!$K$4:$K$1203,对接源_02物料!$C$4:$C$1203,$B119,对接源_02物料!$D$4:$D$1203,"包装物料*",对接源_02物料!$L$4:$L$1203,"已收讫")+SUMIFS(对接源_02物料!$K$4:$K$1203,对接源_02物料!$C$4:$C$1203,$B119,对接源_02物料!$D$4:$D$1203,"包装物料*",对接源_02物料!$L$4:$L$1203,"已付款")+SUMIFS(对接源_02物料!$K$4:$K$1203,对接源_02物料!$C$4:$C$1203,$B119,对接源_02物料!$D$4:$D$1203,"周转筐*",对接源_02物料!$L$4:$L$1203,"已收讫")+SUMIFS(对接源_02物料!$K$4:$K$1203,对接源_02物料!$C$4:$C$1203,$B119,对接源_02物料!$D$4:$D$1203,"周转筐*",对接源_02物料!$L$4:$L$1203,"已付款")+SUMIFS(对接源_02物料!$K$4:$K$1203,对接源_02物料!$C$4:$C$1203,$B119,对接源_02物料!$D$4:$D$1203,"次果筐*",对接源_02物料!$L$4:$L$1203,"已收讫")+SUMIFS(对接源_02物料!$K$4:$K$1203,对接源_02物料!$C$4:$C$1203,$B119,对接源_02物料!$D$4:$D$1203,"次果筐*",对接源_02物料!$L$4:$L$1203,"已付款"),2))</f>
        <v/>
      </c>
      <c r="J119" s="18" t="str">
        <f t="shared" si="6"/>
        <v/>
      </c>
      <c r="K119" s="16" t="str">
        <f t="shared" si="7"/>
        <v/>
      </c>
      <c r="L119" s="26"/>
    </row>
    <row r="120" customHeight="1" spans="1:12">
      <c r="A120" s="16" t="str">
        <f t="shared" si="4"/>
        <v/>
      </c>
      <c r="B120" s="11" t="str">
        <f>IFERROR(INDEX(_自动清单!$E$4:$E$303,ROW()-3),"")</f>
        <v/>
      </c>
      <c r="C120" s="18" t="str">
        <f>IF($B120="","",ROUND(SUMIFS(对接源_01水果!$K$4:$K$1203,对接源_01水果!$C$4:$C$1203,$B120,对接源_01水果!$D$4:$D$1203,"成品出库*"),2))</f>
        <v/>
      </c>
      <c r="D120" s="18" t="str">
        <f>IF($B120="","",ROUND(SUMIFS(对接源_01水果!$K$4:$K$1203,对接源_01水果!$C$4:$C$1203,$B120,对接源_01水果!$D$4:$D$1203,"其他代存*"),2))</f>
        <v/>
      </c>
      <c r="E120" s="18" t="str">
        <f>IF($B120="","",ROUND(SUMIFS(对接源_02物料!$K$4:$K$1203,对接源_02物料!$C$4:$C$1203,$B120,对接源_02物料!$D$4:$D$1203,"包装物料*"),2))</f>
        <v/>
      </c>
      <c r="F120" s="18" t="str">
        <f>IF($B120="","",ROUND(SUMIFS(对接源_02物料!$K$4:$K$1203,对接源_02物料!$C$4:$C$1203,$B120,对接源_02物料!$D$4:$D$1203,"周转筐*"),2))</f>
        <v/>
      </c>
      <c r="G120" s="18" t="str">
        <f>IF($B120="","",ROUND(SUMIFS(对接源_02物料!$K$4:$K$1203,对接源_02物料!$C$4:$C$1203,$B120,对接源_02物料!$D$4:$D$1203,"次果筐*"),2))</f>
        <v/>
      </c>
      <c r="H120" s="18" t="str">
        <f t="shared" si="5"/>
        <v/>
      </c>
      <c r="I120" s="18" t="str">
        <f>IF($B120="","",ROUND(SUMIFS(对接源_01水果!$K$4:$K$1203,对接源_01水果!$C$4:$C$1203,$B120,对接源_01水果!$D$4:$D$1203,"成品出库*",对接源_01水果!$L$4:$L$1203,"已收讫")+SUMIFS(对接源_01水果!$K$4:$K$1203,对接源_01水果!$C$4:$C$1203,$B120,对接源_01水果!$D$4:$D$1203,"成品出库*",对接源_01水果!$L$4:$L$1203,"已付款")+SUMIFS(对接源_01水果!$K$4:$K$1203,对接源_01水果!$C$4:$C$1203,$B120,对接源_01水果!$D$4:$D$1203,"其他代存*",对接源_01水果!$L$4:$L$1203,"已收讫")+SUMIFS(对接源_01水果!$K$4:$K$1203,对接源_01水果!$C$4:$C$1203,$B120,对接源_01水果!$D$4:$D$1203,"其他代存*",对接源_01水果!$L$4:$L$1203,"已付款")+SUMIFS(对接源_02物料!$K$4:$K$1203,对接源_02物料!$C$4:$C$1203,$B120,对接源_02物料!$D$4:$D$1203,"包装物料*",对接源_02物料!$L$4:$L$1203,"已收讫")+SUMIFS(对接源_02物料!$K$4:$K$1203,对接源_02物料!$C$4:$C$1203,$B120,对接源_02物料!$D$4:$D$1203,"包装物料*",对接源_02物料!$L$4:$L$1203,"已付款")+SUMIFS(对接源_02物料!$K$4:$K$1203,对接源_02物料!$C$4:$C$1203,$B120,对接源_02物料!$D$4:$D$1203,"周转筐*",对接源_02物料!$L$4:$L$1203,"已收讫")+SUMIFS(对接源_02物料!$K$4:$K$1203,对接源_02物料!$C$4:$C$1203,$B120,对接源_02物料!$D$4:$D$1203,"周转筐*",对接源_02物料!$L$4:$L$1203,"已付款")+SUMIFS(对接源_02物料!$K$4:$K$1203,对接源_02物料!$C$4:$C$1203,$B120,对接源_02物料!$D$4:$D$1203,"次果筐*",对接源_02物料!$L$4:$L$1203,"已收讫")+SUMIFS(对接源_02物料!$K$4:$K$1203,对接源_02物料!$C$4:$C$1203,$B120,对接源_02物料!$D$4:$D$1203,"次果筐*",对接源_02物料!$L$4:$L$1203,"已付款"),2))</f>
        <v/>
      </c>
      <c r="J120" s="18" t="str">
        <f t="shared" si="6"/>
        <v/>
      </c>
      <c r="K120" s="16" t="str">
        <f t="shared" si="7"/>
        <v/>
      </c>
      <c r="L120" s="26"/>
    </row>
    <row r="121" customHeight="1" spans="1:12">
      <c r="A121" s="16" t="str">
        <f t="shared" si="4"/>
        <v/>
      </c>
      <c r="B121" s="11" t="str">
        <f>IFERROR(INDEX(_自动清单!$E$4:$E$303,ROW()-3),"")</f>
        <v/>
      </c>
      <c r="C121" s="18" t="str">
        <f>IF($B121="","",ROUND(SUMIFS(对接源_01水果!$K$4:$K$1203,对接源_01水果!$C$4:$C$1203,$B121,对接源_01水果!$D$4:$D$1203,"成品出库*"),2))</f>
        <v/>
      </c>
      <c r="D121" s="18" t="str">
        <f>IF($B121="","",ROUND(SUMIFS(对接源_01水果!$K$4:$K$1203,对接源_01水果!$C$4:$C$1203,$B121,对接源_01水果!$D$4:$D$1203,"其他代存*"),2))</f>
        <v/>
      </c>
      <c r="E121" s="18" t="str">
        <f>IF($B121="","",ROUND(SUMIFS(对接源_02物料!$K$4:$K$1203,对接源_02物料!$C$4:$C$1203,$B121,对接源_02物料!$D$4:$D$1203,"包装物料*"),2))</f>
        <v/>
      </c>
      <c r="F121" s="18" t="str">
        <f>IF($B121="","",ROUND(SUMIFS(对接源_02物料!$K$4:$K$1203,对接源_02物料!$C$4:$C$1203,$B121,对接源_02物料!$D$4:$D$1203,"周转筐*"),2))</f>
        <v/>
      </c>
      <c r="G121" s="18" t="str">
        <f>IF($B121="","",ROUND(SUMIFS(对接源_02物料!$K$4:$K$1203,对接源_02物料!$C$4:$C$1203,$B121,对接源_02物料!$D$4:$D$1203,"次果筐*"),2))</f>
        <v/>
      </c>
      <c r="H121" s="18" t="str">
        <f t="shared" si="5"/>
        <v/>
      </c>
      <c r="I121" s="18" t="str">
        <f>IF($B121="","",ROUND(SUMIFS(对接源_01水果!$K$4:$K$1203,对接源_01水果!$C$4:$C$1203,$B121,对接源_01水果!$D$4:$D$1203,"成品出库*",对接源_01水果!$L$4:$L$1203,"已收讫")+SUMIFS(对接源_01水果!$K$4:$K$1203,对接源_01水果!$C$4:$C$1203,$B121,对接源_01水果!$D$4:$D$1203,"成品出库*",对接源_01水果!$L$4:$L$1203,"已付款")+SUMIFS(对接源_01水果!$K$4:$K$1203,对接源_01水果!$C$4:$C$1203,$B121,对接源_01水果!$D$4:$D$1203,"其他代存*",对接源_01水果!$L$4:$L$1203,"已收讫")+SUMIFS(对接源_01水果!$K$4:$K$1203,对接源_01水果!$C$4:$C$1203,$B121,对接源_01水果!$D$4:$D$1203,"其他代存*",对接源_01水果!$L$4:$L$1203,"已付款")+SUMIFS(对接源_02物料!$K$4:$K$1203,对接源_02物料!$C$4:$C$1203,$B121,对接源_02物料!$D$4:$D$1203,"包装物料*",对接源_02物料!$L$4:$L$1203,"已收讫")+SUMIFS(对接源_02物料!$K$4:$K$1203,对接源_02物料!$C$4:$C$1203,$B121,对接源_02物料!$D$4:$D$1203,"包装物料*",对接源_02物料!$L$4:$L$1203,"已付款")+SUMIFS(对接源_02物料!$K$4:$K$1203,对接源_02物料!$C$4:$C$1203,$B121,对接源_02物料!$D$4:$D$1203,"周转筐*",对接源_02物料!$L$4:$L$1203,"已收讫")+SUMIFS(对接源_02物料!$K$4:$K$1203,对接源_02物料!$C$4:$C$1203,$B121,对接源_02物料!$D$4:$D$1203,"周转筐*",对接源_02物料!$L$4:$L$1203,"已付款")+SUMIFS(对接源_02物料!$K$4:$K$1203,对接源_02物料!$C$4:$C$1203,$B121,对接源_02物料!$D$4:$D$1203,"次果筐*",对接源_02物料!$L$4:$L$1203,"已收讫")+SUMIFS(对接源_02物料!$K$4:$K$1203,对接源_02物料!$C$4:$C$1203,$B121,对接源_02物料!$D$4:$D$1203,"次果筐*",对接源_02物料!$L$4:$L$1203,"已付款"),2))</f>
        <v/>
      </c>
      <c r="J121" s="18" t="str">
        <f t="shared" si="6"/>
        <v/>
      </c>
      <c r="K121" s="16" t="str">
        <f t="shared" si="7"/>
        <v/>
      </c>
      <c r="L121" s="26"/>
    </row>
    <row r="122" customHeight="1" spans="1:12">
      <c r="A122" s="16" t="str">
        <f t="shared" si="4"/>
        <v/>
      </c>
      <c r="B122" s="11" t="str">
        <f>IFERROR(INDEX(_自动清单!$E$4:$E$303,ROW()-3),"")</f>
        <v/>
      </c>
      <c r="C122" s="18" t="str">
        <f>IF($B122="","",ROUND(SUMIFS(对接源_01水果!$K$4:$K$1203,对接源_01水果!$C$4:$C$1203,$B122,对接源_01水果!$D$4:$D$1203,"成品出库*"),2))</f>
        <v/>
      </c>
      <c r="D122" s="18" t="str">
        <f>IF($B122="","",ROUND(SUMIFS(对接源_01水果!$K$4:$K$1203,对接源_01水果!$C$4:$C$1203,$B122,对接源_01水果!$D$4:$D$1203,"其他代存*"),2))</f>
        <v/>
      </c>
      <c r="E122" s="18" t="str">
        <f>IF($B122="","",ROUND(SUMIFS(对接源_02物料!$K$4:$K$1203,对接源_02物料!$C$4:$C$1203,$B122,对接源_02物料!$D$4:$D$1203,"包装物料*"),2))</f>
        <v/>
      </c>
      <c r="F122" s="18" t="str">
        <f>IF($B122="","",ROUND(SUMIFS(对接源_02物料!$K$4:$K$1203,对接源_02物料!$C$4:$C$1203,$B122,对接源_02物料!$D$4:$D$1203,"周转筐*"),2))</f>
        <v/>
      </c>
      <c r="G122" s="18" t="str">
        <f>IF($B122="","",ROUND(SUMIFS(对接源_02物料!$K$4:$K$1203,对接源_02物料!$C$4:$C$1203,$B122,对接源_02物料!$D$4:$D$1203,"次果筐*"),2))</f>
        <v/>
      </c>
      <c r="H122" s="18" t="str">
        <f t="shared" si="5"/>
        <v/>
      </c>
      <c r="I122" s="18" t="str">
        <f>IF($B122="","",ROUND(SUMIFS(对接源_01水果!$K$4:$K$1203,对接源_01水果!$C$4:$C$1203,$B122,对接源_01水果!$D$4:$D$1203,"成品出库*",对接源_01水果!$L$4:$L$1203,"已收讫")+SUMIFS(对接源_01水果!$K$4:$K$1203,对接源_01水果!$C$4:$C$1203,$B122,对接源_01水果!$D$4:$D$1203,"成品出库*",对接源_01水果!$L$4:$L$1203,"已付款")+SUMIFS(对接源_01水果!$K$4:$K$1203,对接源_01水果!$C$4:$C$1203,$B122,对接源_01水果!$D$4:$D$1203,"其他代存*",对接源_01水果!$L$4:$L$1203,"已收讫")+SUMIFS(对接源_01水果!$K$4:$K$1203,对接源_01水果!$C$4:$C$1203,$B122,对接源_01水果!$D$4:$D$1203,"其他代存*",对接源_01水果!$L$4:$L$1203,"已付款")+SUMIFS(对接源_02物料!$K$4:$K$1203,对接源_02物料!$C$4:$C$1203,$B122,对接源_02物料!$D$4:$D$1203,"包装物料*",对接源_02物料!$L$4:$L$1203,"已收讫")+SUMIFS(对接源_02物料!$K$4:$K$1203,对接源_02物料!$C$4:$C$1203,$B122,对接源_02物料!$D$4:$D$1203,"包装物料*",对接源_02物料!$L$4:$L$1203,"已付款")+SUMIFS(对接源_02物料!$K$4:$K$1203,对接源_02物料!$C$4:$C$1203,$B122,对接源_02物料!$D$4:$D$1203,"周转筐*",对接源_02物料!$L$4:$L$1203,"已收讫")+SUMIFS(对接源_02物料!$K$4:$K$1203,对接源_02物料!$C$4:$C$1203,$B122,对接源_02物料!$D$4:$D$1203,"周转筐*",对接源_02物料!$L$4:$L$1203,"已付款")+SUMIFS(对接源_02物料!$K$4:$K$1203,对接源_02物料!$C$4:$C$1203,$B122,对接源_02物料!$D$4:$D$1203,"次果筐*",对接源_02物料!$L$4:$L$1203,"已收讫")+SUMIFS(对接源_02物料!$K$4:$K$1203,对接源_02物料!$C$4:$C$1203,$B122,对接源_02物料!$D$4:$D$1203,"次果筐*",对接源_02物料!$L$4:$L$1203,"已付款"),2))</f>
        <v/>
      </c>
      <c r="J122" s="18" t="str">
        <f t="shared" si="6"/>
        <v/>
      </c>
      <c r="K122" s="16" t="str">
        <f t="shared" si="7"/>
        <v/>
      </c>
      <c r="L122" s="26"/>
    </row>
    <row r="123" customHeight="1" spans="1:12">
      <c r="A123" s="16" t="str">
        <f t="shared" si="4"/>
        <v/>
      </c>
      <c r="B123" s="11" t="str">
        <f>IFERROR(INDEX(_自动清单!$E$4:$E$303,ROW()-3),"")</f>
        <v/>
      </c>
      <c r="C123" s="18" t="str">
        <f>IF($B123="","",ROUND(SUMIFS(对接源_01水果!$K$4:$K$1203,对接源_01水果!$C$4:$C$1203,$B123,对接源_01水果!$D$4:$D$1203,"成品出库*"),2))</f>
        <v/>
      </c>
      <c r="D123" s="18" t="str">
        <f>IF($B123="","",ROUND(SUMIFS(对接源_01水果!$K$4:$K$1203,对接源_01水果!$C$4:$C$1203,$B123,对接源_01水果!$D$4:$D$1203,"其他代存*"),2))</f>
        <v/>
      </c>
      <c r="E123" s="18" t="str">
        <f>IF($B123="","",ROUND(SUMIFS(对接源_02物料!$K$4:$K$1203,对接源_02物料!$C$4:$C$1203,$B123,对接源_02物料!$D$4:$D$1203,"包装物料*"),2))</f>
        <v/>
      </c>
      <c r="F123" s="18" t="str">
        <f>IF($B123="","",ROUND(SUMIFS(对接源_02物料!$K$4:$K$1203,对接源_02物料!$C$4:$C$1203,$B123,对接源_02物料!$D$4:$D$1203,"周转筐*"),2))</f>
        <v/>
      </c>
      <c r="G123" s="18" t="str">
        <f>IF($B123="","",ROUND(SUMIFS(对接源_02物料!$K$4:$K$1203,对接源_02物料!$C$4:$C$1203,$B123,对接源_02物料!$D$4:$D$1203,"次果筐*"),2))</f>
        <v/>
      </c>
      <c r="H123" s="18" t="str">
        <f t="shared" si="5"/>
        <v/>
      </c>
      <c r="I123" s="18" t="str">
        <f>IF($B123="","",ROUND(SUMIFS(对接源_01水果!$K$4:$K$1203,对接源_01水果!$C$4:$C$1203,$B123,对接源_01水果!$D$4:$D$1203,"成品出库*",对接源_01水果!$L$4:$L$1203,"已收讫")+SUMIFS(对接源_01水果!$K$4:$K$1203,对接源_01水果!$C$4:$C$1203,$B123,对接源_01水果!$D$4:$D$1203,"成品出库*",对接源_01水果!$L$4:$L$1203,"已付款")+SUMIFS(对接源_01水果!$K$4:$K$1203,对接源_01水果!$C$4:$C$1203,$B123,对接源_01水果!$D$4:$D$1203,"其他代存*",对接源_01水果!$L$4:$L$1203,"已收讫")+SUMIFS(对接源_01水果!$K$4:$K$1203,对接源_01水果!$C$4:$C$1203,$B123,对接源_01水果!$D$4:$D$1203,"其他代存*",对接源_01水果!$L$4:$L$1203,"已付款")+SUMIFS(对接源_02物料!$K$4:$K$1203,对接源_02物料!$C$4:$C$1203,$B123,对接源_02物料!$D$4:$D$1203,"包装物料*",对接源_02物料!$L$4:$L$1203,"已收讫")+SUMIFS(对接源_02物料!$K$4:$K$1203,对接源_02物料!$C$4:$C$1203,$B123,对接源_02物料!$D$4:$D$1203,"包装物料*",对接源_02物料!$L$4:$L$1203,"已付款")+SUMIFS(对接源_02物料!$K$4:$K$1203,对接源_02物料!$C$4:$C$1203,$B123,对接源_02物料!$D$4:$D$1203,"周转筐*",对接源_02物料!$L$4:$L$1203,"已收讫")+SUMIFS(对接源_02物料!$K$4:$K$1203,对接源_02物料!$C$4:$C$1203,$B123,对接源_02物料!$D$4:$D$1203,"周转筐*",对接源_02物料!$L$4:$L$1203,"已付款")+SUMIFS(对接源_02物料!$K$4:$K$1203,对接源_02物料!$C$4:$C$1203,$B123,对接源_02物料!$D$4:$D$1203,"次果筐*",对接源_02物料!$L$4:$L$1203,"已收讫")+SUMIFS(对接源_02物料!$K$4:$K$1203,对接源_02物料!$C$4:$C$1203,$B123,对接源_02物料!$D$4:$D$1203,"次果筐*",对接源_02物料!$L$4:$L$1203,"已付款"),2))</f>
        <v/>
      </c>
      <c r="J123" s="18" t="str">
        <f t="shared" si="6"/>
        <v/>
      </c>
      <c r="K123" s="16" t="str">
        <f t="shared" si="7"/>
        <v/>
      </c>
      <c r="L123" s="26"/>
    </row>
    <row r="124" customHeight="1" spans="1:12">
      <c r="A124" s="16" t="str">
        <f t="shared" si="4"/>
        <v/>
      </c>
      <c r="B124" s="11" t="str">
        <f>IFERROR(INDEX(_自动清单!$E$4:$E$303,ROW()-3),"")</f>
        <v/>
      </c>
      <c r="C124" s="18" t="str">
        <f>IF($B124="","",ROUND(SUMIFS(对接源_01水果!$K$4:$K$1203,对接源_01水果!$C$4:$C$1203,$B124,对接源_01水果!$D$4:$D$1203,"成品出库*"),2))</f>
        <v/>
      </c>
      <c r="D124" s="18" t="str">
        <f>IF($B124="","",ROUND(SUMIFS(对接源_01水果!$K$4:$K$1203,对接源_01水果!$C$4:$C$1203,$B124,对接源_01水果!$D$4:$D$1203,"其他代存*"),2))</f>
        <v/>
      </c>
      <c r="E124" s="18" t="str">
        <f>IF($B124="","",ROUND(SUMIFS(对接源_02物料!$K$4:$K$1203,对接源_02物料!$C$4:$C$1203,$B124,对接源_02物料!$D$4:$D$1203,"包装物料*"),2))</f>
        <v/>
      </c>
      <c r="F124" s="18" t="str">
        <f>IF($B124="","",ROUND(SUMIFS(对接源_02物料!$K$4:$K$1203,对接源_02物料!$C$4:$C$1203,$B124,对接源_02物料!$D$4:$D$1203,"周转筐*"),2))</f>
        <v/>
      </c>
      <c r="G124" s="18" t="str">
        <f>IF($B124="","",ROUND(SUMIFS(对接源_02物料!$K$4:$K$1203,对接源_02物料!$C$4:$C$1203,$B124,对接源_02物料!$D$4:$D$1203,"次果筐*"),2))</f>
        <v/>
      </c>
      <c r="H124" s="18" t="str">
        <f t="shared" si="5"/>
        <v/>
      </c>
      <c r="I124" s="18" t="str">
        <f>IF($B124="","",ROUND(SUMIFS(对接源_01水果!$K$4:$K$1203,对接源_01水果!$C$4:$C$1203,$B124,对接源_01水果!$D$4:$D$1203,"成品出库*",对接源_01水果!$L$4:$L$1203,"已收讫")+SUMIFS(对接源_01水果!$K$4:$K$1203,对接源_01水果!$C$4:$C$1203,$B124,对接源_01水果!$D$4:$D$1203,"成品出库*",对接源_01水果!$L$4:$L$1203,"已付款")+SUMIFS(对接源_01水果!$K$4:$K$1203,对接源_01水果!$C$4:$C$1203,$B124,对接源_01水果!$D$4:$D$1203,"其他代存*",对接源_01水果!$L$4:$L$1203,"已收讫")+SUMIFS(对接源_01水果!$K$4:$K$1203,对接源_01水果!$C$4:$C$1203,$B124,对接源_01水果!$D$4:$D$1203,"其他代存*",对接源_01水果!$L$4:$L$1203,"已付款")+SUMIFS(对接源_02物料!$K$4:$K$1203,对接源_02物料!$C$4:$C$1203,$B124,对接源_02物料!$D$4:$D$1203,"包装物料*",对接源_02物料!$L$4:$L$1203,"已收讫")+SUMIFS(对接源_02物料!$K$4:$K$1203,对接源_02物料!$C$4:$C$1203,$B124,对接源_02物料!$D$4:$D$1203,"包装物料*",对接源_02物料!$L$4:$L$1203,"已付款")+SUMIFS(对接源_02物料!$K$4:$K$1203,对接源_02物料!$C$4:$C$1203,$B124,对接源_02物料!$D$4:$D$1203,"周转筐*",对接源_02物料!$L$4:$L$1203,"已收讫")+SUMIFS(对接源_02物料!$K$4:$K$1203,对接源_02物料!$C$4:$C$1203,$B124,对接源_02物料!$D$4:$D$1203,"周转筐*",对接源_02物料!$L$4:$L$1203,"已付款")+SUMIFS(对接源_02物料!$K$4:$K$1203,对接源_02物料!$C$4:$C$1203,$B124,对接源_02物料!$D$4:$D$1203,"次果筐*",对接源_02物料!$L$4:$L$1203,"已收讫")+SUMIFS(对接源_02物料!$K$4:$K$1203,对接源_02物料!$C$4:$C$1203,$B124,对接源_02物料!$D$4:$D$1203,"次果筐*",对接源_02物料!$L$4:$L$1203,"已付款"),2))</f>
        <v/>
      </c>
      <c r="J124" s="18" t="str">
        <f t="shared" si="6"/>
        <v/>
      </c>
      <c r="K124" s="16" t="str">
        <f t="shared" si="7"/>
        <v/>
      </c>
      <c r="L124" s="26"/>
    </row>
    <row r="125" customHeight="1" spans="1:12">
      <c r="A125" s="16" t="str">
        <f t="shared" si="4"/>
        <v/>
      </c>
      <c r="B125" s="11" t="str">
        <f>IFERROR(INDEX(_自动清单!$E$4:$E$303,ROW()-3),"")</f>
        <v/>
      </c>
      <c r="C125" s="18" t="str">
        <f>IF($B125="","",ROUND(SUMIFS(对接源_01水果!$K$4:$K$1203,对接源_01水果!$C$4:$C$1203,$B125,对接源_01水果!$D$4:$D$1203,"成品出库*"),2))</f>
        <v/>
      </c>
      <c r="D125" s="18" t="str">
        <f>IF($B125="","",ROUND(SUMIFS(对接源_01水果!$K$4:$K$1203,对接源_01水果!$C$4:$C$1203,$B125,对接源_01水果!$D$4:$D$1203,"其他代存*"),2))</f>
        <v/>
      </c>
      <c r="E125" s="18" t="str">
        <f>IF($B125="","",ROUND(SUMIFS(对接源_02物料!$K$4:$K$1203,对接源_02物料!$C$4:$C$1203,$B125,对接源_02物料!$D$4:$D$1203,"包装物料*"),2))</f>
        <v/>
      </c>
      <c r="F125" s="18" t="str">
        <f>IF($B125="","",ROUND(SUMIFS(对接源_02物料!$K$4:$K$1203,对接源_02物料!$C$4:$C$1203,$B125,对接源_02物料!$D$4:$D$1203,"周转筐*"),2))</f>
        <v/>
      </c>
      <c r="G125" s="18" t="str">
        <f>IF($B125="","",ROUND(SUMIFS(对接源_02物料!$K$4:$K$1203,对接源_02物料!$C$4:$C$1203,$B125,对接源_02物料!$D$4:$D$1203,"次果筐*"),2))</f>
        <v/>
      </c>
      <c r="H125" s="18" t="str">
        <f t="shared" si="5"/>
        <v/>
      </c>
      <c r="I125" s="18" t="str">
        <f>IF($B125="","",ROUND(SUMIFS(对接源_01水果!$K$4:$K$1203,对接源_01水果!$C$4:$C$1203,$B125,对接源_01水果!$D$4:$D$1203,"成品出库*",对接源_01水果!$L$4:$L$1203,"已收讫")+SUMIFS(对接源_01水果!$K$4:$K$1203,对接源_01水果!$C$4:$C$1203,$B125,对接源_01水果!$D$4:$D$1203,"成品出库*",对接源_01水果!$L$4:$L$1203,"已付款")+SUMIFS(对接源_01水果!$K$4:$K$1203,对接源_01水果!$C$4:$C$1203,$B125,对接源_01水果!$D$4:$D$1203,"其他代存*",对接源_01水果!$L$4:$L$1203,"已收讫")+SUMIFS(对接源_01水果!$K$4:$K$1203,对接源_01水果!$C$4:$C$1203,$B125,对接源_01水果!$D$4:$D$1203,"其他代存*",对接源_01水果!$L$4:$L$1203,"已付款")+SUMIFS(对接源_02物料!$K$4:$K$1203,对接源_02物料!$C$4:$C$1203,$B125,对接源_02物料!$D$4:$D$1203,"包装物料*",对接源_02物料!$L$4:$L$1203,"已收讫")+SUMIFS(对接源_02物料!$K$4:$K$1203,对接源_02物料!$C$4:$C$1203,$B125,对接源_02物料!$D$4:$D$1203,"包装物料*",对接源_02物料!$L$4:$L$1203,"已付款")+SUMIFS(对接源_02物料!$K$4:$K$1203,对接源_02物料!$C$4:$C$1203,$B125,对接源_02物料!$D$4:$D$1203,"周转筐*",对接源_02物料!$L$4:$L$1203,"已收讫")+SUMIFS(对接源_02物料!$K$4:$K$1203,对接源_02物料!$C$4:$C$1203,$B125,对接源_02物料!$D$4:$D$1203,"周转筐*",对接源_02物料!$L$4:$L$1203,"已付款")+SUMIFS(对接源_02物料!$K$4:$K$1203,对接源_02物料!$C$4:$C$1203,$B125,对接源_02物料!$D$4:$D$1203,"次果筐*",对接源_02物料!$L$4:$L$1203,"已收讫")+SUMIFS(对接源_02物料!$K$4:$K$1203,对接源_02物料!$C$4:$C$1203,$B125,对接源_02物料!$D$4:$D$1203,"次果筐*",对接源_02物料!$L$4:$L$1203,"已付款"),2))</f>
        <v/>
      </c>
      <c r="J125" s="18" t="str">
        <f t="shared" si="6"/>
        <v/>
      </c>
      <c r="K125" s="16" t="str">
        <f t="shared" si="7"/>
        <v/>
      </c>
      <c r="L125" s="26"/>
    </row>
    <row r="126" customHeight="1" spans="1:12">
      <c r="A126" s="16" t="str">
        <f t="shared" si="4"/>
        <v/>
      </c>
      <c r="B126" s="11" t="str">
        <f>IFERROR(INDEX(_自动清单!$E$4:$E$303,ROW()-3),"")</f>
        <v/>
      </c>
      <c r="C126" s="18" t="str">
        <f>IF($B126="","",ROUND(SUMIFS(对接源_01水果!$K$4:$K$1203,对接源_01水果!$C$4:$C$1203,$B126,对接源_01水果!$D$4:$D$1203,"成品出库*"),2))</f>
        <v/>
      </c>
      <c r="D126" s="18" t="str">
        <f>IF($B126="","",ROUND(SUMIFS(对接源_01水果!$K$4:$K$1203,对接源_01水果!$C$4:$C$1203,$B126,对接源_01水果!$D$4:$D$1203,"其他代存*"),2))</f>
        <v/>
      </c>
      <c r="E126" s="18" t="str">
        <f>IF($B126="","",ROUND(SUMIFS(对接源_02物料!$K$4:$K$1203,对接源_02物料!$C$4:$C$1203,$B126,对接源_02物料!$D$4:$D$1203,"包装物料*"),2))</f>
        <v/>
      </c>
      <c r="F126" s="18" t="str">
        <f>IF($B126="","",ROUND(SUMIFS(对接源_02物料!$K$4:$K$1203,对接源_02物料!$C$4:$C$1203,$B126,对接源_02物料!$D$4:$D$1203,"周转筐*"),2))</f>
        <v/>
      </c>
      <c r="G126" s="18" t="str">
        <f>IF($B126="","",ROUND(SUMIFS(对接源_02物料!$K$4:$K$1203,对接源_02物料!$C$4:$C$1203,$B126,对接源_02物料!$D$4:$D$1203,"次果筐*"),2))</f>
        <v/>
      </c>
      <c r="H126" s="18" t="str">
        <f t="shared" si="5"/>
        <v/>
      </c>
      <c r="I126" s="18" t="str">
        <f>IF($B126="","",ROUND(SUMIFS(对接源_01水果!$K$4:$K$1203,对接源_01水果!$C$4:$C$1203,$B126,对接源_01水果!$D$4:$D$1203,"成品出库*",对接源_01水果!$L$4:$L$1203,"已收讫")+SUMIFS(对接源_01水果!$K$4:$K$1203,对接源_01水果!$C$4:$C$1203,$B126,对接源_01水果!$D$4:$D$1203,"成品出库*",对接源_01水果!$L$4:$L$1203,"已付款")+SUMIFS(对接源_01水果!$K$4:$K$1203,对接源_01水果!$C$4:$C$1203,$B126,对接源_01水果!$D$4:$D$1203,"其他代存*",对接源_01水果!$L$4:$L$1203,"已收讫")+SUMIFS(对接源_01水果!$K$4:$K$1203,对接源_01水果!$C$4:$C$1203,$B126,对接源_01水果!$D$4:$D$1203,"其他代存*",对接源_01水果!$L$4:$L$1203,"已付款")+SUMIFS(对接源_02物料!$K$4:$K$1203,对接源_02物料!$C$4:$C$1203,$B126,对接源_02物料!$D$4:$D$1203,"包装物料*",对接源_02物料!$L$4:$L$1203,"已收讫")+SUMIFS(对接源_02物料!$K$4:$K$1203,对接源_02物料!$C$4:$C$1203,$B126,对接源_02物料!$D$4:$D$1203,"包装物料*",对接源_02物料!$L$4:$L$1203,"已付款")+SUMIFS(对接源_02物料!$K$4:$K$1203,对接源_02物料!$C$4:$C$1203,$B126,对接源_02物料!$D$4:$D$1203,"周转筐*",对接源_02物料!$L$4:$L$1203,"已收讫")+SUMIFS(对接源_02物料!$K$4:$K$1203,对接源_02物料!$C$4:$C$1203,$B126,对接源_02物料!$D$4:$D$1203,"周转筐*",对接源_02物料!$L$4:$L$1203,"已付款")+SUMIFS(对接源_02物料!$K$4:$K$1203,对接源_02物料!$C$4:$C$1203,$B126,对接源_02物料!$D$4:$D$1203,"次果筐*",对接源_02物料!$L$4:$L$1203,"已收讫")+SUMIFS(对接源_02物料!$K$4:$K$1203,对接源_02物料!$C$4:$C$1203,$B126,对接源_02物料!$D$4:$D$1203,"次果筐*",对接源_02物料!$L$4:$L$1203,"已付款"),2))</f>
        <v/>
      </c>
      <c r="J126" s="18" t="str">
        <f t="shared" si="6"/>
        <v/>
      </c>
      <c r="K126" s="16" t="str">
        <f t="shared" si="7"/>
        <v/>
      </c>
      <c r="L126" s="26"/>
    </row>
    <row r="127" customHeight="1" spans="1:12">
      <c r="A127" s="16" t="str">
        <f t="shared" si="4"/>
        <v/>
      </c>
      <c r="B127" s="11" t="str">
        <f>IFERROR(INDEX(_自动清单!$E$4:$E$303,ROW()-3),"")</f>
        <v/>
      </c>
      <c r="C127" s="18" t="str">
        <f>IF($B127="","",ROUND(SUMIFS(对接源_01水果!$K$4:$K$1203,对接源_01水果!$C$4:$C$1203,$B127,对接源_01水果!$D$4:$D$1203,"成品出库*"),2))</f>
        <v/>
      </c>
      <c r="D127" s="18" t="str">
        <f>IF($B127="","",ROUND(SUMIFS(对接源_01水果!$K$4:$K$1203,对接源_01水果!$C$4:$C$1203,$B127,对接源_01水果!$D$4:$D$1203,"其他代存*"),2))</f>
        <v/>
      </c>
      <c r="E127" s="18" t="str">
        <f>IF($B127="","",ROUND(SUMIFS(对接源_02物料!$K$4:$K$1203,对接源_02物料!$C$4:$C$1203,$B127,对接源_02物料!$D$4:$D$1203,"包装物料*"),2))</f>
        <v/>
      </c>
      <c r="F127" s="18" t="str">
        <f>IF($B127="","",ROUND(SUMIFS(对接源_02物料!$K$4:$K$1203,对接源_02物料!$C$4:$C$1203,$B127,对接源_02物料!$D$4:$D$1203,"周转筐*"),2))</f>
        <v/>
      </c>
      <c r="G127" s="18" t="str">
        <f>IF($B127="","",ROUND(SUMIFS(对接源_02物料!$K$4:$K$1203,对接源_02物料!$C$4:$C$1203,$B127,对接源_02物料!$D$4:$D$1203,"次果筐*"),2))</f>
        <v/>
      </c>
      <c r="H127" s="18" t="str">
        <f t="shared" si="5"/>
        <v/>
      </c>
      <c r="I127" s="18" t="str">
        <f>IF($B127="","",ROUND(SUMIFS(对接源_01水果!$K$4:$K$1203,对接源_01水果!$C$4:$C$1203,$B127,对接源_01水果!$D$4:$D$1203,"成品出库*",对接源_01水果!$L$4:$L$1203,"已收讫")+SUMIFS(对接源_01水果!$K$4:$K$1203,对接源_01水果!$C$4:$C$1203,$B127,对接源_01水果!$D$4:$D$1203,"成品出库*",对接源_01水果!$L$4:$L$1203,"已付款")+SUMIFS(对接源_01水果!$K$4:$K$1203,对接源_01水果!$C$4:$C$1203,$B127,对接源_01水果!$D$4:$D$1203,"其他代存*",对接源_01水果!$L$4:$L$1203,"已收讫")+SUMIFS(对接源_01水果!$K$4:$K$1203,对接源_01水果!$C$4:$C$1203,$B127,对接源_01水果!$D$4:$D$1203,"其他代存*",对接源_01水果!$L$4:$L$1203,"已付款")+SUMIFS(对接源_02物料!$K$4:$K$1203,对接源_02物料!$C$4:$C$1203,$B127,对接源_02物料!$D$4:$D$1203,"包装物料*",对接源_02物料!$L$4:$L$1203,"已收讫")+SUMIFS(对接源_02物料!$K$4:$K$1203,对接源_02物料!$C$4:$C$1203,$B127,对接源_02物料!$D$4:$D$1203,"包装物料*",对接源_02物料!$L$4:$L$1203,"已付款")+SUMIFS(对接源_02物料!$K$4:$K$1203,对接源_02物料!$C$4:$C$1203,$B127,对接源_02物料!$D$4:$D$1203,"周转筐*",对接源_02物料!$L$4:$L$1203,"已收讫")+SUMIFS(对接源_02物料!$K$4:$K$1203,对接源_02物料!$C$4:$C$1203,$B127,对接源_02物料!$D$4:$D$1203,"周转筐*",对接源_02物料!$L$4:$L$1203,"已付款")+SUMIFS(对接源_02物料!$K$4:$K$1203,对接源_02物料!$C$4:$C$1203,$B127,对接源_02物料!$D$4:$D$1203,"次果筐*",对接源_02物料!$L$4:$L$1203,"已收讫")+SUMIFS(对接源_02物料!$K$4:$K$1203,对接源_02物料!$C$4:$C$1203,$B127,对接源_02物料!$D$4:$D$1203,"次果筐*",对接源_02物料!$L$4:$L$1203,"已付款"),2))</f>
        <v/>
      </c>
      <c r="J127" s="18" t="str">
        <f t="shared" si="6"/>
        <v/>
      </c>
      <c r="K127" s="16" t="str">
        <f t="shared" si="7"/>
        <v/>
      </c>
      <c r="L127" s="26"/>
    </row>
    <row r="128" customHeight="1" spans="1:12">
      <c r="A128" s="16" t="str">
        <f t="shared" si="4"/>
        <v/>
      </c>
      <c r="B128" s="11" t="str">
        <f>IFERROR(INDEX(_自动清单!$E$4:$E$303,ROW()-3),"")</f>
        <v/>
      </c>
      <c r="C128" s="18" t="str">
        <f>IF($B128="","",ROUND(SUMIFS(对接源_01水果!$K$4:$K$1203,对接源_01水果!$C$4:$C$1203,$B128,对接源_01水果!$D$4:$D$1203,"成品出库*"),2))</f>
        <v/>
      </c>
      <c r="D128" s="18" t="str">
        <f>IF($B128="","",ROUND(SUMIFS(对接源_01水果!$K$4:$K$1203,对接源_01水果!$C$4:$C$1203,$B128,对接源_01水果!$D$4:$D$1203,"其他代存*"),2))</f>
        <v/>
      </c>
      <c r="E128" s="18" t="str">
        <f>IF($B128="","",ROUND(SUMIFS(对接源_02物料!$K$4:$K$1203,对接源_02物料!$C$4:$C$1203,$B128,对接源_02物料!$D$4:$D$1203,"包装物料*"),2))</f>
        <v/>
      </c>
      <c r="F128" s="18" t="str">
        <f>IF($B128="","",ROUND(SUMIFS(对接源_02物料!$K$4:$K$1203,对接源_02物料!$C$4:$C$1203,$B128,对接源_02物料!$D$4:$D$1203,"周转筐*"),2))</f>
        <v/>
      </c>
      <c r="G128" s="18" t="str">
        <f>IF($B128="","",ROUND(SUMIFS(对接源_02物料!$K$4:$K$1203,对接源_02物料!$C$4:$C$1203,$B128,对接源_02物料!$D$4:$D$1203,"次果筐*"),2))</f>
        <v/>
      </c>
      <c r="H128" s="18" t="str">
        <f t="shared" si="5"/>
        <v/>
      </c>
      <c r="I128" s="18" t="str">
        <f>IF($B128="","",ROUND(SUMIFS(对接源_01水果!$K$4:$K$1203,对接源_01水果!$C$4:$C$1203,$B128,对接源_01水果!$D$4:$D$1203,"成品出库*",对接源_01水果!$L$4:$L$1203,"已收讫")+SUMIFS(对接源_01水果!$K$4:$K$1203,对接源_01水果!$C$4:$C$1203,$B128,对接源_01水果!$D$4:$D$1203,"成品出库*",对接源_01水果!$L$4:$L$1203,"已付款")+SUMIFS(对接源_01水果!$K$4:$K$1203,对接源_01水果!$C$4:$C$1203,$B128,对接源_01水果!$D$4:$D$1203,"其他代存*",对接源_01水果!$L$4:$L$1203,"已收讫")+SUMIFS(对接源_01水果!$K$4:$K$1203,对接源_01水果!$C$4:$C$1203,$B128,对接源_01水果!$D$4:$D$1203,"其他代存*",对接源_01水果!$L$4:$L$1203,"已付款")+SUMIFS(对接源_02物料!$K$4:$K$1203,对接源_02物料!$C$4:$C$1203,$B128,对接源_02物料!$D$4:$D$1203,"包装物料*",对接源_02物料!$L$4:$L$1203,"已收讫")+SUMIFS(对接源_02物料!$K$4:$K$1203,对接源_02物料!$C$4:$C$1203,$B128,对接源_02物料!$D$4:$D$1203,"包装物料*",对接源_02物料!$L$4:$L$1203,"已付款")+SUMIFS(对接源_02物料!$K$4:$K$1203,对接源_02物料!$C$4:$C$1203,$B128,对接源_02物料!$D$4:$D$1203,"周转筐*",对接源_02物料!$L$4:$L$1203,"已收讫")+SUMIFS(对接源_02物料!$K$4:$K$1203,对接源_02物料!$C$4:$C$1203,$B128,对接源_02物料!$D$4:$D$1203,"周转筐*",对接源_02物料!$L$4:$L$1203,"已付款")+SUMIFS(对接源_02物料!$K$4:$K$1203,对接源_02物料!$C$4:$C$1203,$B128,对接源_02物料!$D$4:$D$1203,"次果筐*",对接源_02物料!$L$4:$L$1203,"已收讫")+SUMIFS(对接源_02物料!$K$4:$K$1203,对接源_02物料!$C$4:$C$1203,$B128,对接源_02物料!$D$4:$D$1203,"次果筐*",对接源_02物料!$L$4:$L$1203,"已付款"),2))</f>
        <v/>
      </c>
      <c r="J128" s="18" t="str">
        <f t="shared" si="6"/>
        <v/>
      </c>
      <c r="K128" s="16" t="str">
        <f t="shared" si="7"/>
        <v/>
      </c>
      <c r="L128" s="26"/>
    </row>
    <row r="129" customHeight="1" spans="1:12">
      <c r="A129" s="16" t="str">
        <f t="shared" si="4"/>
        <v/>
      </c>
      <c r="B129" s="11" t="str">
        <f>IFERROR(INDEX(_自动清单!$E$4:$E$303,ROW()-3),"")</f>
        <v/>
      </c>
      <c r="C129" s="18" t="str">
        <f>IF($B129="","",ROUND(SUMIFS(对接源_01水果!$K$4:$K$1203,对接源_01水果!$C$4:$C$1203,$B129,对接源_01水果!$D$4:$D$1203,"成品出库*"),2))</f>
        <v/>
      </c>
      <c r="D129" s="18" t="str">
        <f>IF($B129="","",ROUND(SUMIFS(对接源_01水果!$K$4:$K$1203,对接源_01水果!$C$4:$C$1203,$B129,对接源_01水果!$D$4:$D$1203,"其他代存*"),2))</f>
        <v/>
      </c>
      <c r="E129" s="18" t="str">
        <f>IF($B129="","",ROUND(SUMIFS(对接源_02物料!$K$4:$K$1203,对接源_02物料!$C$4:$C$1203,$B129,对接源_02物料!$D$4:$D$1203,"包装物料*"),2))</f>
        <v/>
      </c>
      <c r="F129" s="18" t="str">
        <f>IF($B129="","",ROUND(SUMIFS(对接源_02物料!$K$4:$K$1203,对接源_02物料!$C$4:$C$1203,$B129,对接源_02物料!$D$4:$D$1203,"周转筐*"),2))</f>
        <v/>
      </c>
      <c r="G129" s="18" t="str">
        <f>IF($B129="","",ROUND(SUMIFS(对接源_02物料!$K$4:$K$1203,对接源_02物料!$C$4:$C$1203,$B129,对接源_02物料!$D$4:$D$1203,"次果筐*"),2))</f>
        <v/>
      </c>
      <c r="H129" s="18" t="str">
        <f t="shared" si="5"/>
        <v/>
      </c>
      <c r="I129" s="18" t="str">
        <f>IF($B129="","",ROUND(SUMIFS(对接源_01水果!$K$4:$K$1203,对接源_01水果!$C$4:$C$1203,$B129,对接源_01水果!$D$4:$D$1203,"成品出库*",对接源_01水果!$L$4:$L$1203,"已收讫")+SUMIFS(对接源_01水果!$K$4:$K$1203,对接源_01水果!$C$4:$C$1203,$B129,对接源_01水果!$D$4:$D$1203,"成品出库*",对接源_01水果!$L$4:$L$1203,"已付款")+SUMIFS(对接源_01水果!$K$4:$K$1203,对接源_01水果!$C$4:$C$1203,$B129,对接源_01水果!$D$4:$D$1203,"其他代存*",对接源_01水果!$L$4:$L$1203,"已收讫")+SUMIFS(对接源_01水果!$K$4:$K$1203,对接源_01水果!$C$4:$C$1203,$B129,对接源_01水果!$D$4:$D$1203,"其他代存*",对接源_01水果!$L$4:$L$1203,"已付款")+SUMIFS(对接源_02物料!$K$4:$K$1203,对接源_02物料!$C$4:$C$1203,$B129,对接源_02物料!$D$4:$D$1203,"包装物料*",对接源_02物料!$L$4:$L$1203,"已收讫")+SUMIFS(对接源_02物料!$K$4:$K$1203,对接源_02物料!$C$4:$C$1203,$B129,对接源_02物料!$D$4:$D$1203,"包装物料*",对接源_02物料!$L$4:$L$1203,"已付款")+SUMIFS(对接源_02物料!$K$4:$K$1203,对接源_02物料!$C$4:$C$1203,$B129,对接源_02物料!$D$4:$D$1203,"周转筐*",对接源_02物料!$L$4:$L$1203,"已收讫")+SUMIFS(对接源_02物料!$K$4:$K$1203,对接源_02物料!$C$4:$C$1203,$B129,对接源_02物料!$D$4:$D$1203,"周转筐*",对接源_02物料!$L$4:$L$1203,"已付款")+SUMIFS(对接源_02物料!$K$4:$K$1203,对接源_02物料!$C$4:$C$1203,$B129,对接源_02物料!$D$4:$D$1203,"次果筐*",对接源_02物料!$L$4:$L$1203,"已收讫")+SUMIFS(对接源_02物料!$K$4:$K$1203,对接源_02物料!$C$4:$C$1203,$B129,对接源_02物料!$D$4:$D$1203,"次果筐*",对接源_02物料!$L$4:$L$1203,"已付款"),2))</f>
        <v/>
      </c>
      <c r="J129" s="18" t="str">
        <f t="shared" si="6"/>
        <v/>
      </c>
      <c r="K129" s="16" t="str">
        <f t="shared" si="7"/>
        <v/>
      </c>
      <c r="L129" s="26"/>
    </row>
    <row r="130" customHeight="1" spans="1:12">
      <c r="A130" s="16" t="str">
        <f t="shared" si="4"/>
        <v/>
      </c>
      <c r="B130" s="11" t="str">
        <f>IFERROR(INDEX(_自动清单!$E$4:$E$303,ROW()-3),"")</f>
        <v/>
      </c>
      <c r="C130" s="18" t="str">
        <f>IF($B130="","",ROUND(SUMIFS(对接源_01水果!$K$4:$K$1203,对接源_01水果!$C$4:$C$1203,$B130,对接源_01水果!$D$4:$D$1203,"成品出库*"),2))</f>
        <v/>
      </c>
      <c r="D130" s="18" t="str">
        <f>IF($B130="","",ROUND(SUMIFS(对接源_01水果!$K$4:$K$1203,对接源_01水果!$C$4:$C$1203,$B130,对接源_01水果!$D$4:$D$1203,"其他代存*"),2))</f>
        <v/>
      </c>
      <c r="E130" s="18" t="str">
        <f>IF($B130="","",ROUND(SUMIFS(对接源_02物料!$K$4:$K$1203,对接源_02物料!$C$4:$C$1203,$B130,对接源_02物料!$D$4:$D$1203,"包装物料*"),2))</f>
        <v/>
      </c>
      <c r="F130" s="18" t="str">
        <f>IF($B130="","",ROUND(SUMIFS(对接源_02物料!$K$4:$K$1203,对接源_02物料!$C$4:$C$1203,$B130,对接源_02物料!$D$4:$D$1203,"周转筐*"),2))</f>
        <v/>
      </c>
      <c r="G130" s="18" t="str">
        <f>IF($B130="","",ROUND(SUMIFS(对接源_02物料!$K$4:$K$1203,对接源_02物料!$C$4:$C$1203,$B130,对接源_02物料!$D$4:$D$1203,"次果筐*"),2))</f>
        <v/>
      </c>
      <c r="H130" s="18" t="str">
        <f t="shared" si="5"/>
        <v/>
      </c>
      <c r="I130" s="18" t="str">
        <f>IF($B130="","",ROUND(SUMIFS(对接源_01水果!$K$4:$K$1203,对接源_01水果!$C$4:$C$1203,$B130,对接源_01水果!$D$4:$D$1203,"成品出库*",对接源_01水果!$L$4:$L$1203,"已收讫")+SUMIFS(对接源_01水果!$K$4:$K$1203,对接源_01水果!$C$4:$C$1203,$B130,对接源_01水果!$D$4:$D$1203,"成品出库*",对接源_01水果!$L$4:$L$1203,"已付款")+SUMIFS(对接源_01水果!$K$4:$K$1203,对接源_01水果!$C$4:$C$1203,$B130,对接源_01水果!$D$4:$D$1203,"其他代存*",对接源_01水果!$L$4:$L$1203,"已收讫")+SUMIFS(对接源_01水果!$K$4:$K$1203,对接源_01水果!$C$4:$C$1203,$B130,对接源_01水果!$D$4:$D$1203,"其他代存*",对接源_01水果!$L$4:$L$1203,"已付款")+SUMIFS(对接源_02物料!$K$4:$K$1203,对接源_02物料!$C$4:$C$1203,$B130,对接源_02物料!$D$4:$D$1203,"包装物料*",对接源_02物料!$L$4:$L$1203,"已收讫")+SUMIFS(对接源_02物料!$K$4:$K$1203,对接源_02物料!$C$4:$C$1203,$B130,对接源_02物料!$D$4:$D$1203,"包装物料*",对接源_02物料!$L$4:$L$1203,"已付款")+SUMIFS(对接源_02物料!$K$4:$K$1203,对接源_02物料!$C$4:$C$1203,$B130,对接源_02物料!$D$4:$D$1203,"周转筐*",对接源_02物料!$L$4:$L$1203,"已收讫")+SUMIFS(对接源_02物料!$K$4:$K$1203,对接源_02物料!$C$4:$C$1203,$B130,对接源_02物料!$D$4:$D$1203,"周转筐*",对接源_02物料!$L$4:$L$1203,"已付款")+SUMIFS(对接源_02物料!$K$4:$K$1203,对接源_02物料!$C$4:$C$1203,$B130,对接源_02物料!$D$4:$D$1203,"次果筐*",对接源_02物料!$L$4:$L$1203,"已收讫")+SUMIFS(对接源_02物料!$K$4:$K$1203,对接源_02物料!$C$4:$C$1203,$B130,对接源_02物料!$D$4:$D$1203,"次果筐*",对接源_02物料!$L$4:$L$1203,"已付款"),2))</f>
        <v/>
      </c>
      <c r="J130" s="18" t="str">
        <f t="shared" si="6"/>
        <v/>
      </c>
      <c r="K130" s="16" t="str">
        <f t="shared" si="7"/>
        <v/>
      </c>
      <c r="L130" s="26"/>
    </row>
    <row r="131" customHeight="1" spans="1:12">
      <c r="A131" s="16" t="str">
        <f t="shared" si="4"/>
        <v/>
      </c>
      <c r="B131" s="11" t="str">
        <f>IFERROR(INDEX(_自动清单!$E$4:$E$303,ROW()-3),"")</f>
        <v/>
      </c>
      <c r="C131" s="18" t="str">
        <f>IF($B131="","",ROUND(SUMIFS(对接源_01水果!$K$4:$K$1203,对接源_01水果!$C$4:$C$1203,$B131,对接源_01水果!$D$4:$D$1203,"成品出库*"),2))</f>
        <v/>
      </c>
      <c r="D131" s="18" t="str">
        <f>IF($B131="","",ROUND(SUMIFS(对接源_01水果!$K$4:$K$1203,对接源_01水果!$C$4:$C$1203,$B131,对接源_01水果!$D$4:$D$1203,"其他代存*"),2))</f>
        <v/>
      </c>
      <c r="E131" s="18" t="str">
        <f>IF($B131="","",ROUND(SUMIFS(对接源_02物料!$K$4:$K$1203,对接源_02物料!$C$4:$C$1203,$B131,对接源_02物料!$D$4:$D$1203,"包装物料*"),2))</f>
        <v/>
      </c>
      <c r="F131" s="18" t="str">
        <f>IF($B131="","",ROUND(SUMIFS(对接源_02物料!$K$4:$K$1203,对接源_02物料!$C$4:$C$1203,$B131,对接源_02物料!$D$4:$D$1203,"周转筐*"),2))</f>
        <v/>
      </c>
      <c r="G131" s="18" t="str">
        <f>IF($B131="","",ROUND(SUMIFS(对接源_02物料!$K$4:$K$1203,对接源_02物料!$C$4:$C$1203,$B131,对接源_02物料!$D$4:$D$1203,"次果筐*"),2))</f>
        <v/>
      </c>
      <c r="H131" s="18" t="str">
        <f t="shared" si="5"/>
        <v/>
      </c>
      <c r="I131" s="18" t="str">
        <f>IF($B131="","",ROUND(SUMIFS(对接源_01水果!$K$4:$K$1203,对接源_01水果!$C$4:$C$1203,$B131,对接源_01水果!$D$4:$D$1203,"成品出库*",对接源_01水果!$L$4:$L$1203,"已收讫")+SUMIFS(对接源_01水果!$K$4:$K$1203,对接源_01水果!$C$4:$C$1203,$B131,对接源_01水果!$D$4:$D$1203,"成品出库*",对接源_01水果!$L$4:$L$1203,"已付款")+SUMIFS(对接源_01水果!$K$4:$K$1203,对接源_01水果!$C$4:$C$1203,$B131,对接源_01水果!$D$4:$D$1203,"其他代存*",对接源_01水果!$L$4:$L$1203,"已收讫")+SUMIFS(对接源_01水果!$K$4:$K$1203,对接源_01水果!$C$4:$C$1203,$B131,对接源_01水果!$D$4:$D$1203,"其他代存*",对接源_01水果!$L$4:$L$1203,"已付款")+SUMIFS(对接源_02物料!$K$4:$K$1203,对接源_02物料!$C$4:$C$1203,$B131,对接源_02物料!$D$4:$D$1203,"包装物料*",对接源_02物料!$L$4:$L$1203,"已收讫")+SUMIFS(对接源_02物料!$K$4:$K$1203,对接源_02物料!$C$4:$C$1203,$B131,对接源_02物料!$D$4:$D$1203,"包装物料*",对接源_02物料!$L$4:$L$1203,"已付款")+SUMIFS(对接源_02物料!$K$4:$K$1203,对接源_02物料!$C$4:$C$1203,$B131,对接源_02物料!$D$4:$D$1203,"周转筐*",对接源_02物料!$L$4:$L$1203,"已收讫")+SUMIFS(对接源_02物料!$K$4:$K$1203,对接源_02物料!$C$4:$C$1203,$B131,对接源_02物料!$D$4:$D$1203,"周转筐*",对接源_02物料!$L$4:$L$1203,"已付款")+SUMIFS(对接源_02物料!$K$4:$K$1203,对接源_02物料!$C$4:$C$1203,$B131,对接源_02物料!$D$4:$D$1203,"次果筐*",对接源_02物料!$L$4:$L$1203,"已收讫")+SUMIFS(对接源_02物料!$K$4:$K$1203,对接源_02物料!$C$4:$C$1203,$B131,对接源_02物料!$D$4:$D$1203,"次果筐*",对接源_02物料!$L$4:$L$1203,"已付款"),2))</f>
        <v/>
      </c>
      <c r="J131" s="18" t="str">
        <f t="shared" si="6"/>
        <v/>
      </c>
      <c r="K131" s="16" t="str">
        <f t="shared" si="7"/>
        <v/>
      </c>
      <c r="L131" s="26"/>
    </row>
    <row r="132" customHeight="1" spans="1:12">
      <c r="A132" s="16" t="str">
        <f t="shared" ref="A132:A195" si="8">IF($B132="","",ROW()-3)</f>
        <v/>
      </c>
      <c r="B132" s="11" t="str">
        <f>IFERROR(INDEX(_自动清单!$E$4:$E$303,ROW()-3),"")</f>
        <v/>
      </c>
      <c r="C132" s="18" t="str">
        <f>IF($B132="","",ROUND(SUMIFS(对接源_01水果!$K$4:$K$1203,对接源_01水果!$C$4:$C$1203,$B132,对接源_01水果!$D$4:$D$1203,"成品出库*"),2))</f>
        <v/>
      </c>
      <c r="D132" s="18" t="str">
        <f>IF($B132="","",ROUND(SUMIFS(对接源_01水果!$K$4:$K$1203,对接源_01水果!$C$4:$C$1203,$B132,对接源_01水果!$D$4:$D$1203,"其他代存*"),2))</f>
        <v/>
      </c>
      <c r="E132" s="18" t="str">
        <f>IF($B132="","",ROUND(SUMIFS(对接源_02物料!$K$4:$K$1203,对接源_02物料!$C$4:$C$1203,$B132,对接源_02物料!$D$4:$D$1203,"包装物料*"),2))</f>
        <v/>
      </c>
      <c r="F132" s="18" t="str">
        <f>IF($B132="","",ROUND(SUMIFS(对接源_02物料!$K$4:$K$1203,对接源_02物料!$C$4:$C$1203,$B132,对接源_02物料!$D$4:$D$1203,"周转筐*"),2))</f>
        <v/>
      </c>
      <c r="G132" s="18" t="str">
        <f>IF($B132="","",ROUND(SUMIFS(对接源_02物料!$K$4:$K$1203,对接源_02物料!$C$4:$C$1203,$B132,对接源_02物料!$D$4:$D$1203,"次果筐*"),2))</f>
        <v/>
      </c>
      <c r="H132" s="18" t="str">
        <f t="shared" ref="H132:H195" si="9">IF($B132="","",ROUND(SUM($C132:$G132),2))</f>
        <v/>
      </c>
      <c r="I132" s="18" t="str">
        <f>IF($B132="","",ROUND(SUMIFS(对接源_01水果!$K$4:$K$1203,对接源_01水果!$C$4:$C$1203,$B132,对接源_01水果!$D$4:$D$1203,"成品出库*",对接源_01水果!$L$4:$L$1203,"已收讫")+SUMIFS(对接源_01水果!$K$4:$K$1203,对接源_01水果!$C$4:$C$1203,$B132,对接源_01水果!$D$4:$D$1203,"成品出库*",对接源_01水果!$L$4:$L$1203,"已付款")+SUMIFS(对接源_01水果!$K$4:$K$1203,对接源_01水果!$C$4:$C$1203,$B132,对接源_01水果!$D$4:$D$1203,"其他代存*",对接源_01水果!$L$4:$L$1203,"已收讫")+SUMIFS(对接源_01水果!$K$4:$K$1203,对接源_01水果!$C$4:$C$1203,$B132,对接源_01水果!$D$4:$D$1203,"其他代存*",对接源_01水果!$L$4:$L$1203,"已付款")+SUMIFS(对接源_02物料!$K$4:$K$1203,对接源_02物料!$C$4:$C$1203,$B132,对接源_02物料!$D$4:$D$1203,"包装物料*",对接源_02物料!$L$4:$L$1203,"已收讫")+SUMIFS(对接源_02物料!$K$4:$K$1203,对接源_02物料!$C$4:$C$1203,$B132,对接源_02物料!$D$4:$D$1203,"包装物料*",对接源_02物料!$L$4:$L$1203,"已付款")+SUMIFS(对接源_02物料!$K$4:$K$1203,对接源_02物料!$C$4:$C$1203,$B132,对接源_02物料!$D$4:$D$1203,"周转筐*",对接源_02物料!$L$4:$L$1203,"已收讫")+SUMIFS(对接源_02物料!$K$4:$K$1203,对接源_02物料!$C$4:$C$1203,$B132,对接源_02物料!$D$4:$D$1203,"周转筐*",对接源_02物料!$L$4:$L$1203,"已付款")+SUMIFS(对接源_02物料!$K$4:$K$1203,对接源_02物料!$C$4:$C$1203,$B132,对接源_02物料!$D$4:$D$1203,"次果筐*",对接源_02物料!$L$4:$L$1203,"已收讫")+SUMIFS(对接源_02物料!$K$4:$K$1203,对接源_02物料!$C$4:$C$1203,$B132,对接源_02物料!$D$4:$D$1203,"次果筐*",对接源_02物料!$L$4:$L$1203,"已付款"),2))</f>
        <v/>
      </c>
      <c r="J132" s="18" t="str">
        <f t="shared" ref="J132:J195" si="10">IF($B132="","",ROUND(N($H132)-N($I132),2))</f>
        <v/>
      </c>
      <c r="K132" s="16" t="str">
        <f t="shared" ref="K132:K195" si="11">IF($B132="","",IF(ROUND(N($J132),2)&gt;0,"对方欠款",IF(ROUND(N($J132),2)&lt;0,"我方欠款","已两清")))</f>
        <v/>
      </c>
      <c r="L132" s="26"/>
    </row>
    <row r="133" customHeight="1" spans="1:12">
      <c r="A133" s="16" t="str">
        <f t="shared" si="8"/>
        <v/>
      </c>
      <c r="B133" s="11" t="str">
        <f>IFERROR(INDEX(_自动清单!$E$4:$E$303,ROW()-3),"")</f>
        <v/>
      </c>
      <c r="C133" s="18" t="str">
        <f>IF($B133="","",ROUND(SUMIFS(对接源_01水果!$K$4:$K$1203,对接源_01水果!$C$4:$C$1203,$B133,对接源_01水果!$D$4:$D$1203,"成品出库*"),2))</f>
        <v/>
      </c>
      <c r="D133" s="18" t="str">
        <f>IF($B133="","",ROUND(SUMIFS(对接源_01水果!$K$4:$K$1203,对接源_01水果!$C$4:$C$1203,$B133,对接源_01水果!$D$4:$D$1203,"其他代存*"),2))</f>
        <v/>
      </c>
      <c r="E133" s="18" t="str">
        <f>IF($B133="","",ROUND(SUMIFS(对接源_02物料!$K$4:$K$1203,对接源_02物料!$C$4:$C$1203,$B133,对接源_02物料!$D$4:$D$1203,"包装物料*"),2))</f>
        <v/>
      </c>
      <c r="F133" s="18" t="str">
        <f>IF($B133="","",ROUND(SUMIFS(对接源_02物料!$K$4:$K$1203,对接源_02物料!$C$4:$C$1203,$B133,对接源_02物料!$D$4:$D$1203,"周转筐*"),2))</f>
        <v/>
      </c>
      <c r="G133" s="18" t="str">
        <f>IF($B133="","",ROUND(SUMIFS(对接源_02物料!$K$4:$K$1203,对接源_02物料!$C$4:$C$1203,$B133,对接源_02物料!$D$4:$D$1203,"次果筐*"),2))</f>
        <v/>
      </c>
      <c r="H133" s="18" t="str">
        <f t="shared" si="9"/>
        <v/>
      </c>
      <c r="I133" s="18" t="str">
        <f>IF($B133="","",ROUND(SUMIFS(对接源_01水果!$K$4:$K$1203,对接源_01水果!$C$4:$C$1203,$B133,对接源_01水果!$D$4:$D$1203,"成品出库*",对接源_01水果!$L$4:$L$1203,"已收讫")+SUMIFS(对接源_01水果!$K$4:$K$1203,对接源_01水果!$C$4:$C$1203,$B133,对接源_01水果!$D$4:$D$1203,"成品出库*",对接源_01水果!$L$4:$L$1203,"已付款")+SUMIFS(对接源_01水果!$K$4:$K$1203,对接源_01水果!$C$4:$C$1203,$B133,对接源_01水果!$D$4:$D$1203,"其他代存*",对接源_01水果!$L$4:$L$1203,"已收讫")+SUMIFS(对接源_01水果!$K$4:$K$1203,对接源_01水果!$C$4:$C$1203,$B133,对接源_01水果!$D$4:$D$1203,"其他代存*",对接源_01水果!$L$4:$L$1203,"已付款")+SUMIFS(对接源_02物料!$K$4:$K$1203,对接源_02物料!$C$4:$C$1203,$B133,对接源_02物料!$D$4:$D$1203,"包装物料*",对接源_02物料!$L$4:$L$1203,"已收讫")+SUMIFS(对接源_02物料!$K$4:$K$1203,对接源_02物料!$C$4:$C$1203,$B133,对接源_02物料!$D$4:$D$1203,"包装物料*",对接源_02物料!$L$4:$L$1203,"已付款")+SUMIFS(对接源_02物料!$K$4:$K$1203,对接源_02物料!$C$4:$C$1203,$B133,对接源_02物料!$D$4:$D$1203,"周转筐*",对接源_02物料!$L$4:$L$1203,"已收讫")+SUMIFS(对接源_02物料!$K$4:$K$1203,对接源_02物料!$C$4:$C$1203,$B133,对接源_02物料!$D$4:$D$1203,"周转筐*",对接源_02物料!$L$4:$L$1203,"已付款")+SUMIFS(对接源_02物料!$K$4:$K$1203,对接源_02物料!$C$4:$C$1203,$B133,对接源_02物料!$D$4:$D$1203,"次果筐*",对接源_02物料!$L$4:$L$1203,"已收讫")+SUMIFS(对接源_02物料!$K$4:$K$1203,对接源_02物料!$C$4:$C$1203,$B133,对接源_02物料!$D$4:$D$1203,"次果筐*",对接源_02物料!$L$4:$L$1203,"已付款"),2))</f>
        <v/>
      </c>
      <c r="J133" s="18" t="str">
        <f t="shared" si="10"/>
        <v/>
      </c>
      <c r="K133" s="16" t="str">
        <f t="shared" si="11"/>
        <v/>
      </c>
      <c r="L133" s="26"/>
    </row>
    <row r="134" customHeight="1" spans="1:12">
      <c r="A134" s="16" t="str">
        <f t="shared" si="8"/>
        <v/>
      </c>
      <c r="B134" s="11" t="str">
        <f>IFERROR(INDEX(_自动清单!$E$4:$E$303,ROW()-3),"")</f>
        <v/>
      </c>
      <c r="C134" s="18" t="str">
        <f>IF($B134="","",ROUND(SUMIFS(对接源_01水果!$K$4:$K$1203,对接源_01水果!$C$4:$C$1203,$B134,对接源_01水果!$D$4:$D$1203,"成品出库*"),2))</f>
        <v/>
      </c>
      <c r="D134" s="18" t="str">
        <f>IF($B134="","",ROUND(SUMIFS(对接源_01水果!$K$4:$K$1203,对接源_01水果!$C$4:$C$1203,$B134,对接源_01水果!$D$4:$D$1203,"其他代存*"),2))</f>
        <v/>
      </c>
      <c r="E134" s="18" t="str">
        <f>IF($B134="","",ROUND(SUMIFS(对接源_02物料!$K$4:$K$1203,对接源_02物料!$C$4:$C$1203,$B134,对接源_02物料!$D$4:$D$1203,"包装物料*"),2))</f>
        <v/>
      </c>
      <c r="F134" s="18" t="str">
        <f>IF($B134="","",ROUND(SUMIFS(对接源_02物料!$K$4:$K$1203,对接源_02物料!$C$4:$C$1203,$B134,对接源_02物料!$D$4:$D$1203,"周转筐*"),2))</f>
        <v/>
      </c>
      <c r="G134" s="18" t="str">
        <f>IF($B134="","",ROUND(SUMIFS(对接源_02物料!$K$4:$K$1203,对接源_02物料!$C$4:$C$1203,$B134,对接源_02物料!$D$4:$D$1203,"次果筐*"),2))</f>
        <v/>
      </c>
      <c r="H134" s="18" t="str">
        <f t="shared" si="9"/>
        <v/>
      </c>
      <c r="I134" s="18" t="str">
        <f>IF($B134="","",ROUND(SUMIFS(对接源_01水果!$K$4:$K$1203,对接源_01水果!$C$4:$C$1203,$B134,对接源_01水果!$D$4:$D$1203,"成品出库*",对接源_01水果!$L$4:$L$1203,"已收讫")+SUMIFS(对接源_01水果!$K$4:$K$1203,对接源_01水果!$C$4:$C$1203,$B134,对接源_01水果!$D$4:$D$1203,"成品出库*",对接源_01水果!$L$4:$L$1203,"已付款")+SUMIFS(对接源_01水果!$K$4:$K$1203,对接源_01水果!$C$4:$C$1203,$B134,对接源_01水果!$D$4:$D$1203,"其他代存*",对接源_01水果!$L$4:$L$1203,"已收讫")+SUMIFS(对接源_01水果!$K$4:$K$1203,对接源_01水果!$C$4:$C$1203,$B134,对接源_01水果!$D$4:$D$1203,"其他代存*",对接源_01水果!$L$4:$L$1203,"已付款")+SUMIFS(对接源_02物料!$K$4:$K$1203,对接源_02物料!$C$4:$C$1203,$B134,对接源_02物料!$D$4:$D$1203,"包装物料*",对接源_02物料!$L$4:$L$1203,"已收讫")+SUMIFS(对接源_02物料!$K$4:$K$1203,对接源_02物料!$C$4:$C$1203,$B134,对接源_02物料!$D$4:$D$1203,"包装物料*",对接源_02物料!$L$4:$L$1203,"已付款")+SUMIFS(对接源_02物料!$K$4:$K$1203,对接源_02物料!$C$4:$C$1203,$B134,对接源_02物料!$D$4:$D$1203,"周转筐*",对接源_02物料!$L$4:$L$1203,"已收讫")+SUMIFS(对接源_02物料!$K$4:$K$1203,对接源_02物料!$C$4:$C$1203,$B134,对接源_02物料!$D$4:$D$1203,"周转筐*",对接源_02物料!$L$4:$L$1203,"已付款")+SUMIFS(对接源_02物料!$K$4:$K$1203,对接源_02物料!$C$4:$C$1203,$B134,对接源_02物料!$D$4:$D$1203,"次果筐*",对接源_02物料!$L$4:$L$1203,"已收讫")+SUMIFS(对接源_02物料!$K$4:$K$1203,对接源_02物料!$C$4:$C$1203,$B134,对接源_02物料!$D$4:$D$1203,"次果筐*",对接源_02物料!$L$4:$L$1203,"已付款"),2))</f>
        <v/>
      </c>
      <c r="J134" s="18" t="str">
        <f t="shared" si="10"/>
        <v/>
      </c>
      <c r="K134" s="16" t="str">
        <f t="shared" si="11"/>
        <v/>
      </c>
      <c r="L134" s="26"/>
    </row>
    <row r="135" customHeight="1" spans="1:12">
      <c r="A135" s="16" t="str">
        <f t="shared" si="8"/>
        <v/>
      </c>
      <c r="B135" s="11" t="str">
        <f>IFERROR(INDEX(_自动清单!$E$4:$E$303,ROW()-3),"")</f>
        <v/>
      </c>
      <c r="C135" s="18" t="str">
        <f>IF($B135="","",ROUND(SUMIFS(对接源_01水果!$K$4:$K$1203,对接源_01水果!$C$4:$C$1203,$B135,对接源_01水果!$D$4:$D$1203,"成品出库*"),2))</f>
        <v/>
      </c>
      <c r="D135" s="18" t="str">
        <f>IF($B135="","",ROUND(SUMIFS(对接源_01水果!$K$4:$K$1203,对接源_01水果!$C$4:$C$1203,$B135,对接源_01水果!$D$4:$D$1203,"其他代存*"),2))</f>
        <v/>
      </c>
      <c r="E135" s="18" t="str">
        <f>IF($B135="","",ROUND(SUMIFS(对接源_02物料!$K$4:$K$1203,对接源_02物料!$C$4:$C$1203,$B135,对接源_02物料!$D$4:$D$1203,"包装物料*"),2))</f>
        <v/>
      </c>
      <c r="F135" s="18" t="str">
        <f>IF($B135="","",ROUND(SUMIFS(对接源_02物料!$K$4:$K$1203,对接源_02物料!$C$4:$C$1203,$B135,对接源_02物料!$D$4:$D$1203,"周转筐*"),2))</f>
        <v/>
      </c>
      <c r="G135" s="18" t="str">
        <f>IF($B135="","",ROUND(SUMIFS(对接源_02物料!$K$4:$K$1203,对接源_02物料!$C$4:$C$1203,$B135,对接源_02物料!$D$4:$D$1203,"次果筐*"),2))</f>
        <v/>
      </c>
      <c r="H135" s="18" t="str">
        <f t="shared" si="9"/>
        <v/>
      </c>
      <c r="I135" s="18" t="str">
        <f>IF($B135="","",ROUND(SUMIFS(对接源_01水果!$K$4:$K$1203,对接源_01水果!$C$4:$C$1203,$B135,对接源_01水果!$D$4:$D$1203,"成品出库*",对接源_01水果!$L$4:$L$1203,"已收讫")+SUMIFS(对接源_01水果!$K$4:$K$1203,对接源_01水果!$C$4:$C$1203,$B135,对接源_01水果!$D$4:$D$1203,"成品出库*",对接源_01水果!$L$4:$L$1203,"已付款")+SUMIFS(对接源_01水果!$K$4:$K$1203,对接源_01水果!$C$4:$C$1203,$B135,对接源_01水果!$D$4:$D$1203,"其他代存*",对接源_01水果!$L$4:$L$1203,"已收讫")+SUMIFS(对接源_01水果!$K$4:$K$1203,对接源_01水果!$C$4:$C$1203,$B135,对接源_01水果!$D$4:$D$1203,"其他代存*",对接源_01水果!$L$4:$L$1203,"已付款")+SUMIFS(对接源_02物料!$K$4:$K$1203,对接源_02物料!$C$4:$C$1203,$B135,对接源_02物料!$D$4:$D$1203,"包装物料*",对接源_02物料!$L$4:$L$1203,"已收讫")+SUMIFS(对接源_02物料!$K$4:$K$1203,对接源_02物料!$C$4:$C$1203,$B135,对接源_02物料!$D$4:$D$1203,"包装物料*",对接源_02物料!$L$4:$L$1203,"已付款")+SUMIFS(对接源_02物料!$K$4:$K$1203,对接源_02物料!$C$4:$C$1203,$B135,对接源_02物料!$D$4:$D$1203,"周转筐*",对接源_02物料!$L$4:$L$1203,"已收讫")+SUMIFS(对接源_02物料!$K$4:$K$1203,对接源_02物料!$C$4:$C$1203,$B135,对接源_02物料!$D$4:$D$1203,"周转筐*",对接源_02物料!$L$4:$L$1203,"已付款")+SUMIFS(对接源_02物料!$K$4:$K$1203,对接源_02物料!$C$4:$C$1203,$B135,对接源_02物料!$D$4:$D$1203,"次果筐*",对接源_02物料!$L$4:$L$1203,"已收讫")+SUMIFS(对接源_02物料!$K$4:$K$1203,对接源_02物料!$C$4:$C$1203,$B135,对接源_02物料!$D$4:$D$1203,"次果筐*",对接源_02物料!$L$4:$L$1203,"已付款"),2))</f>
        <v/>
      </c>
      <c r="J135" s="18" t="str">
        <f t="shared" si="10"/>
        <v/>
      </c>
      <c r="K135" s="16" t="str">
        <f t="shared" si="11"/>
        <v/>
      </c>
      <c r="L135" s="26"/>
    </row>
    <row r="136" customHeight="1" spans="1:12">
      <c r="A136" s="16" t="str">
        <f t="shared" si="8"/>
        <v/>
      </c>
      <c r="B136" s="11" t="str">
        <f>IFERROR(INDEX(_自动清单!$E$4:$E$303,ROW()-3),"")</f>
        <v/>
      </c>
      <c r="C136" s="18" t="str">
        <f>IF($B136="","",ROUND(SUMIFS(对接源_01水果!$K$4:$K$1203,对接源_01水果!$C$4:$C$1203,$B136,对接源_01水果!$D$4:$D$1203,"成品出库*"),2))</f>
        <v/>
      </c>
      <c r="D136" s="18" t="str">
        <f>IF($B136="","",ROUND(SUMIFS(对接源_01水果!$K$4:$K$1203,对接源_01水果!$C$4:$C$1203,$B136,对接源_01水果!$D$4:$D$1203,"其他代存*"),2))</f>
        <v/>
      </c>
      <c r="E136" s="18" t="str">
        <f>IF($B136="","",ROUND(SUMIFS(对接源_02物料!$K$4:$K$1203,对接源_02物料!$C$4:$C$1203,$B136,对接源_02物料!$D$4:$D$1203,"包装物料*"),2))</f>
        <v/>
      </c>
      <c r="F136" s="18" t="str">
        <f>IF($B136="","",ROUND(SUMIFS(对接源_02物料!$K$4:$K$1203,对接源_02物料!$C$4:$C$1203,$B136,对接源_02物料!$D$4:$D$1203,"周转筐*"),2))</f>
        <v/>
      </c>
      <c r="G136" s="18" t="str">
        <f>IF($B136="","",ROUND(SUMIFS(对接源_02物料!$K$4:$K$1203,对接源_02物料!$C$4:$C$1203,$B136,对接源_02物料!$D$4:$D$1203,"次果筐*"),2))</f>
        <v/>
      </c>
      <c r="H136" s="18" t="str">
        <f t="shared" si="9"/>
        <v/>
      </c>
      <c r="I136" s="18" t="str">
        <f>IF($B136="","",ROUND(SUMIFS(对接源_01水果!$K$4:$K$1203,对接源_01水果!$C$4:$C$1203,$B136,对接源_01水果!$D$4:$D$1203,"成品出库*",对接源_01水果!$L$4:$L$1203,"已收讫")+SUMIFS(对接源_01水果!$K$4:$K$1203,对接源_01水果!$C$4:$C$1203,$B136,对接源_01水果!$D$4:$D$1203,"成品出库*",对接源_01水果!$L$4:$L$1203,"已付款")+SUMIFS(对接源_01水果!$K$4:$K$1203,对接源_01水果!$C$4:$C$1203,$B136,对接源_01水果!$D$4:$D$1203,"其他代存*",对接源_01水果!$L$4:$L$1203,"已收讫")+SUMIFS(对接源_01水果!$K$4:$K$1203,对接源_01水果!$C$4:$C$1203,$B136,对接源_01水果!$D$4:$D$1203,"其他代存*",对接源_01水果!$L$4:$L$1203,"已付款")+SUMIFS(对接源_02物料!$K$4:$K$1203,对接源_02物料!$C$4:$C$1203,$B136,对接源_02物料!$D$4:$D$1203,"包装物料*",对接源_02物料!$L$4:$L$1203,"已收讫")+SUMIFS(对接源_02物料!$K$4:$K$1203,对接源_02物料!$C$4:$C$1203,$B136,对接源_02物料!$D$4:$D$1203,"包装物料*",对接源_02物料!$L$4:$L$1203,"已付款")+SUMIFS(对接源_02物料!$K$4:$K$1203,对接源_02物料!$C$4:$C$1203,$B136,对接源_02物料!$D$4:$D$1203,"周转筐*",对接源_02物料!$L$4:$L$1203,"已收讫")+SUMIFS(对接源_02物料!$K$4:$K$1203,对接源_02物料!$C$4:$C$1203,$B136,对接源_02物料!$D$4:$D$1203,"周转筐*",对接源_02物料!$L$4:$L$1203,"已付款")+SUMIFS(对接源_02物料!$K$4:$K$1203,对接源_02物料!$C$4:$C$1203,$B136,对接源_02物料!$D$4:$D$1203,"次果筐*",对接源_02物料!$L$4:$L$1203,"已收讫")+SUMIFS(对接源_02物料!$K$4:$K$1203,对接源_02物料!$C$4:$C$1203,$B136,对接源_02物料!$D$4:$D$1203,"次果筐*",对接源_02物料!$L$4:$L$1203,"已付款"),2))</f>
        <v/>
      </c>
      <c r="J136" s="18" t="str">
        <f t="shared" si="10"/>
        <v/>
      </c>
      <c r="K136" s="16" t="str">
        <f t="shared" si="11"/>
        <v/>
      </c>
      <c r="L136" s="26"/>
    </row>
    <row r="137" customHeight="1" spans="1:12">
      <c r="A137" s="16" t="str">
        <f t="shared" si="8"/>
        <v/>
      </c>
      <c r="B137" s="11" t="str">
        <f>IFERROR(INDEX(_自动清单!$E$4:$E$303,ROW()-3),"")</f>
        <v/>
      </c>
      <c r="C137" s="18" t="str">
        <f>IF($B137="","",ROUND(SUMIFS(对接源_01水果!$K$4:$K$1203,对接源_01水果!$C$4:$C$1203,$B137,对接源_01水果!$D$4:$D$1203,"成品出库*"),2))</f>
        <v/>
      </c>
      <c r="D137" s="18" t="str">
        <f>IF($B137="","",ROUND(SUMIFS(对接源_01水果!$K$4:$K$1203,对接源_01水果!$C$4:$C$1203,$B137,对接源_01水果!$D$4:$D$1203,"其他代存*"),2))</f>
        <v/>
      </c>
      <c r="E137" s="18" t="str">
        <f>IF($B137="","",ROUND(SUMIFS(对接源_02物料!$K$4:$K$1203,对接源_02物料!$C$4:$C$1203,$B137,对接源_02物料!$D$4:$D$1203,"包装物料*"),2))</f>
        <v/>
      </c>
      <c r="F137" s="18" t="str">
        <f>IF($B137="","",ROUND(SUMIFS(对接源_02物料!$K$4:$K$1203,对接源_02物料!$C$4:$C$1203,$B137,对接源_02物料!$D$4:$D$1203,"周转筐*"),2))</f>
        <v/>
      </c>
      <c r="G137" s="18" t="str">
        <f>IF($B137="","",ROUND(SUMIFS(对接源_02物料!$K$4:$K$1203,对接源_02物料!$C$4:$C$1203,$B137,对接源_02物料!$D$4:$D$1203,"次果筐*"),2))</f>
        <v/>
      </c>
      <c r="H137" s="18" t="str">
        <f t="shared" si="9"/>
        <v/>
      </c>
      <c r="I137" s="18" t="str">
        <f>IF($B137="","",ROUND(SUMIFS(对接源_01水果!$K$4:$K$1203,对接源_01水果!$C$4:$C$1203,$B137,对接源_01水果!$D$4:$D$1203,"成品出库*",对接源_01水果!$L$4:$L$1203,"已收讫")+SUMIFS(对接源_01水果!$K$4:$K$1203,对接源_01水果!$C$4:$C$1203,$B137,对接源_01水果!$D$4:$D$1203,"成品出库*",对接源_01水果!$L$4:$L$1203,"已付款")+SUMIFS(对接源_01水果!$K$4:$K$1203,对接源_01水果!$C$4:$C$1203,$B137,对接源_01水果!$D$4:$D$1203,"其他代存*",对接源_01水果!$L$4:$L$1203,"已收讫")+SUMIFS(对接源_01水果!$K$4:$K$1203,对接源_01水果!$C$4:$C$1203,$B137,对接源_01水果!$D$4:$D$1203,"其他代存*",对接源_01水果!$L$4:$L$1203,"已付款")+SUMIFS(对接源_02物料!$K$4:$K$1203,对接源_02物料!$C$4:$C$1203,$B137,对接源_02物料!$D$4:$D$1203,"包装物料*",对接源_02物料!$L$4:$L$1203,"已收讫")+SUMIFS(对接源_02物料!$K$4:$K$1203,对接源_02物料!$C$4:$C$1203,$B137,对接源_02物料!$D$4:$D$1203,"包装物料*",对接源_02物料!$L$4:$L$1203,"已付款")+SUMIFS(对接源_02物料!$K$4:$K$1203,对接源_02物料!$C$4:$C$1203,$B137,对接源_02物料!$D$4:$D$1203,"周转筐*",对接源_02物料!$L$4:$L$1203,"已收讫")+SUMIFS(对接源_02物料!$K$4:$K$1203,对接源_02物料!$C$4:$C$1203,$B137,对接源_02物料!$D$4:$D$1203,"周转筐*",对接源_02物料!$L$4:$L$1203,"已付款")+SUMIFS(对接源_02物料!$K$4:$K$1203,对接源_02物料!$C$4:$C$1203,$B137,对接源_02物料!$D$4:$D$1203,"次果筐*",对接源_02物料!$L$4:$L$1203,"已收讫")+SUMIFS(对接源_02物料!$K$4:$K$1203,对接源_02物料!$C$4:$C$1203,$B137,对接源_02物料!$D$4:$D$1203,"次果筐*",对接源_02物料!$L$4:$L$1203,"已付款"),2))</f>
        <v/>
      </c>
      <c r="J137" s="18" t="str">
        <f t="shared" si="10"/>
        <v/>
      </c>
      <c r="K137" s="16" t="str">
        <f t="shared" si="11"/>
        <v/>
      </c>
      <c r="L137" s="26"/>
    </row>
    <row r="138" customHeight="1" spans="1:12">
      <c r="A138" s="16" t="str">
        <f t="shared" si="8"/>
        <v/>
      </c>
      <c r="B138" s="11" t="str">
        <f>IFERROR(INDEX(_自动清单!$E$4:$E$303,ROW()-3),"")</f>
        <v/>
      </c>
      <c r="C138" s="18" t="str">
        <f>IF($B138="","",ROUND(SUMIFS(对接源_01水果!$K$4:$K$1203,对接源_01水果!$C$4:$C$1203,$B138,对接源_01水果!$D$4:$D$1203,"成品出库*"),2))</f>
        <v/>
      </c>
      <c r="D138" s="18" t="str">
        <f>IF($B138="","",ROUND(SUMIFS(对接源_01水果!$K$4:$K$1203,对接源_01水果!$C$4:$C$1203,$B138,对接源_01水果!$D$4:$D$1203,"其他代存*"),2))</f>
        <v/>
      </c>
      <c r="E138" s="18" t="str">
        <f>IF($B138="","",ROUND(SUMIFS(对接源_02物料!$K$4:$K$1203,对接源_02物料!$C$4:$C$1203,$B138,对接源_02物料!$D$4:$D$1203,"包装物料*"),2))</f>
        <v/>
      </c>
      <c r="F138" s="18" t="str">
        <f>IF($B138="","",ROUND(SUMIFS(对接源_02物料!$K$4:$K$1203,对接源_02物料!$C$4:$C$1203,$B138,对接源_02物料!$D$4:$D$1203,"周转筐*"),2))</f>
        <v/>
      </c>
      <c r="G138" s="18" t="str">
        <f>IF($B138="","",ROUND(SUMIFS(对接源_02物料!$K$4:$K$1203,对接源_02物料!$C$4:$C$1203,$B138,对接源_02物料!$D$4:$D$1203,"次果筐*"),2))</f>
        <v/>
      </c>
      <c r="H138" s="18" t="str">
        <f t="shared" si="9"/>
        <v/>
      </c>
      <c r="I138" s="18" t="str">
        <f>IF($B138="","",ROUND(SUMIFS(对接源_01水果!$K$4:$K$1203,对接源_01水果!$C$4:$C$1203,$B138,对接源_01水果!$D$4:$D$1203,"成品出库*",对接源_01水果!$L$4:$L$1203,"已收讫")+SUMIFS(对接源_01水果!$K$4:$K$1203,对接源_01水果!$C$4:$C$1203,$B138,对接源_01水果!$D$4:$D$1203,"成品出库*",对接源_01水果!$L$4:$L$1203,"已付款")+SUMIFS(对接源_01水果!$K$4:$K$1203,对接源_01水果!$C$4:$C$1203,$B138,对接源_01水果!$D$4:$D$1203,"其他代存*",对接源_01水果!$L$4:$L$1203,"已收讫")+SUMIFS(对接源_01水果!$K$4:$K$1203,对接源_01水果!$C$4:$C$1203,$B138,对接源_01水果!$D$4:$D$1203,"其他代存*",对接源_01水果!$L$4:$L$1203,"已付款")+SUMIFS(对接源_02物料!$K$4:$K$1203,对接源_02物料!$C$4:$C$1203,$B138,对接源_02物料!$D$4:$D$1203,"包装物料*",对接源_02物料!$L$4:$L$1203,"已收讫")+SUMIFS(对接源_02物料!$K$4:$K$1203,对接源_02物料!$C$4:$C$1203,$B138,对接源_02物料!$D$4:$D$1203,"包装物料*",对接源_02物料!$L$4:$L$1203,"已付款")+SUMIFS(对接源_02物料!$K$4:$K$1203,对接源_02物料!$C$4:$C$1203,$B138,对接源_02物料!$D$4:$D$1203,"周转筐*",对接源_02物料!$L$4:$L$1203,"已收讫")+SUMIFS(对接源_02物料!$K$4:$K$1203,对接源_02物料!$C$4:$C$1203,$B138,对接源_02物料!$D$4:$D$1203,"周转筐*",对接源_02物料!$L$4:$L$1203,"已付款")+SUMIFS(对接源_02物料!$K$4:$K$1203,对接源_02物料!$C$4:$C$1203,$B138,对接源_02物料!$D$4:$D$1203,"次果筐*",对接源_02物料!$L$4:$L$1203,"已收讫")+SUMIFS(对接源_02物料!$K$4:$K$1203,对接源_02物料!$C$4:$C$1203,$B138,对接源_02物料!$D$4:$D$1203,"次果筐*",对接源_02物料!$L$4:$L$1203,"已付款"),2))</f>
        <v/>
      </c>
      <c r="J138" s="18" t="str">
        <f t="shared" si="10"/>
        <v/>
      </c>
      <c r="K138" s="16" t="str">
        <f t="shared" si="11"/>
        <v/>
      </c>
      <c r="L138" s="26"/>
    </row>
    <row r="139" customHeight="1" spans="1:12">
      <c r="A139" s="16" t="str">
        <f t="shared" si="8"/>
        <v/>
      </c>
      <c r="B139" s="11" t="str">
        <f>IFERROR(INDEX(_自动清单!$E$4:$E$303,ROW()-3),"")</f>
        <v/>
      </c>
      <c r="C139" s="18" t="str">
        <f>IF($B139="","",ROUND(SUMIFS(对接源_01水果!$K$4:$K$1203,对接源_01水果!$C$4:$C$1203,$B139,对接源_01水果!$D$4:$D$1203,"成品出库*"),2))</f>
        <v/>
      </c>
      <c r="D139" s="18" t="str">
        <f>IF($B139="","",ROUND(SUMIFS(对接源_01水果!$K$4:$K$1203,对接源_01水果!$C$4:$C$1203,$B139,对接源_01水果!$D$4:$D$1203,"其他代存*"),2))</f>
        <v/>
      </c>
      <c r="E139" s="18" t="str">
        <f>IF($B139="","",ROUND(SUMIFS(对接源_02物料!$K$4:$K$1203,对接源_02物料!$C$4:$C$1203,$B139,对接源_02物料!$D$4:$D$1203,"包装物料*"),2))</f>
        <v/>
      </c>
      <c r="F139" s="18" t="str">
        <f>IF($B139="","",ROUND(SUMIFS(对接源_02物料!$K$4:$K$1203,对接源_02物料!$C$4:$C$1203,$B139,对接源_02物料!$D$4:$D$1203,"周转筐*"),2))</f>
        <v/>
      </c>
      <c r="G139" s="18" t="str">
        <f>IF($B139="","",ROUND(SUMIFS(对接源_02物料!$K$4:$K$1203,对接源_02物料!$C$4:$C$1203,$B139,对接源_02物料!$D$4:$D$1203,"次果筐*"),2))</f>
        <v/>
      </c>
      <c r="H139" s="18" t="str">
        <f t="shared" si="9"/>
        <v/>
      </c>
      <c r="I139" s="18" t="str">
        <f>IF($B139="","",ROUND(SUMIFS(对接源_01水果!$K$4:$K$1203,对接源_01水果!$C$4:$C$1203,$B139,对接源_01水果!$D$4:$D$1203,"成品出库*",对接源_01水果!$L$4:$L$1203,"已收讫")+SUMIFS(对接源_01水果!$K$4:$K$1203,对接源_01水果!$C$4:$C$1203,$B139,对接源_01水果!$D$4:$D$1203,"成品出库*",对接源_01水果!$L$4:$L$1203,"已付款")+SUMIFS(对接源_01水果!$K$4:$K$1203,对接源_01水果!$C$4:$C$1203,$B139,对接源_01水果!$D$4:$D$1203,"其他代存*",对接源_01水果!$L$4:$L$1203,"已收讫")+SUMIFS(对接源_01水果!$K$4:$K$1203,对接源_01水果!$C$4:$C$1203,$B139,对接源_01水果!$D$4:$D$1203,"其他代存*",对接源_01水果!$L$4:$L$1203,"已付款")+SUMIFS(对接源_02物料!$K$4:$K$1203,对接源_02物料!$C$4:$C$1203,$B139,对接源_02物料!$D$4:$D$1203,"包装物料*",对接源_02物料!$L$4:$L$1203,"已收讫")+SUMIFS(对接源_02物料!$K$4:$K$1203,对接源_02物料!$C$4:$C$1203,$B139,对接源_02物料!$D$4:$D$1203,"包装物料*",对接源_02物料!$L$4:$L$1203,"已付款")+SUMIFS(对接源_02物料!$K$4:$K$1203,对接源_02物料!$C$4:$C$1203,$B139,对接源_02物料!$D$4:$D$1203,"周转筐*",对接源_02物料!$L$4:$L$1203,"已收讫")+SUMIFS(对接源_02物料!$K$4:$K$1203,对接源_02物料!$C$4:$C$1203,$B139,对接源_02物料!$D$4:$D$1203,"周转筐*",对接源_02物料!$L$4:$L$1203,"已付款")+SUMIFS(对接源_02物料!$K$4:$K$1203,对接源_02物料!$C$4:$C$1203,$B139,对接源_02物料!$D$4:$D$1203,"次果筐*",对接源_02物料!$L$4:$L$1203,"已收讫")+SUMIFS(对接源_02物料!$K$4:$K$1203,对接源_02物料!$C$4:$C$1203,$B139,对接源_02物料!$D$4:$D$1203,"次果筐*",对接源_02物料!$L$4:$L$1203,"已付款"),2))</f>
        <v/>
      </c>
      <c r="J139" s="18" t="str">
        <f t="shared" si="10"/>
        <v/>
      </c>
      <c r="K139" s="16" t="str">
        <f t="shared" si="11"/>
        <v/>
      </c>
      <c r="L139" s="26"/>
    </row>
    <row r="140" customHeight="1" spans="1:12">
      <c r="A140" s="16" t="str">
        <f t="shared" si="8"/>
        <v/>
      </c>
      <c r="B140" s="11" t="str">
        <f>IFERROR(INDEX(_自动清单!$E$4:$E$303,ROW()-3),"")</f>
        <v/>
      </c>
      <c r="C140" s="18" t="str">
        <f>IF($B140="","",ROUND(SUMIFS(对接源_01水果!$K$4:$K$1203,对接源_01水果!$C$4:$C$1203,$B140,对接源_01水果!$D$4:$D$1203,"成品出库*"),2))</f>
        <v/>
      </c>
      <c r="D140" s="18" t="str">
        <f>IF($B140="","",ROUND(SUMIFS(对接源_01水果!$K$4:$K$1203,对接源_01水果!$C$4:$C$1203,$B140,对接源_01水果!$D$4:$D$1203,"其他代存*"),2))</f>
        <v/>
      </c>
      <c r="E140" s="18" t="str">
        <f>IF($B140="","",ROUND(SUMIFS(对接源_02物料!$K$4:$K$1203,对接源_02物料!$C$4:$C$1203,$B140,对接源_02物料!$D$4:$D$1203,"包装物料*"),2))</f>
        <v/>
      </c>
      <c r="F140" s="18" t="str">
        <f>IF($B140="","",ROUND(SUMIFS(对接源_02物料!$K$4:$K$1203,对接源_02物料!$C$4:$C$1203,$B140,对接源_02物料!$D$4:$D$1203,"周转筐*"),2))</f>
        <v/>
      </c>
      <c r="G140" s="18" t="str">
        <f>IF($B140="","",ROUND(SUMIFS(对接源_02物料!$K$4:$K$1203,对接源_02物料!$C$4:$C$1203,$B140,对接源_02物料!$D$4:$D$1203,"次果筐*"),2))</f>
        <v/>
      </c>
      <c r="H140" s="18" t="str">
        <f t="shared" si="9"/>
        <v/>
      </c>
      <c r="I140" s="18" t="str">
        <f>IF($B140="","",ROUND(SUMIFS(对接源_01水果!$K$4:$K$1203,对接源_01水果!$C$4:$C$1203,$B140,对接源_01水果!$D$4:$D$1203,"成品出库*",对接源_01水果!$L$4:$L$1203,"已收讫")+SUMIFS(对接源_01水果!$K$4:$K$1203,对接源_01水果!$C$4:$C$1203,$B140,对接源_01水果!$D$4:$D$1203,"成品出库*",对接源_01水果!$L$4:$L$1203,"已付款")+SUMIFS(对接源_01水果!$K$4:$K$1203,对接源_01水果!$C$4:$C$1203,$B140,对接源_01水果!$D$4:$D$1203,"其他代存*",对接源_01水果!$L$4:$L$1203,"已收讫")+SUMIFS(对接源_01水果!$K$4:$K$1203,对接源_01水果!$C$4:$C$1203,$B140,对接源_01水果!$D$4:$D$1203,"其他代存*",对接源_01水果!$L$4:$L$1203,"已付款")+SUMIFS(对接源_02物料!$K$4:$K$1203,对接源_02物料!$C$4:$C$1203,$B140,对接源_02物料!$D$4:$D$1203,"包装物料*",对接源_02物料!$L$4:$L$1203,"已收讫")+SUMIFS(对接源_02物料!$K$4:$K$1203,对接源_02物料!$C$4:$C$1203,$B140,对接源_02物料!$D$4:$D$1203,"包装物料*",对接源_02物料!$L$4:$L$1203,"已付款")+SUMIFS(对接源_02物料!$K$4:$K$1203,对接源_02物料!$C$4:$C$1203,$B140,对接源_02物料!$D$4:$D$1203,"周转筐*",对接源_02物料!$L$4:$L$1203,"已收讫")+SUMIFS(对接源_02物料!$K$4:$K$1203,对接源_02物料!$C$4:$C$1203,$B140,对接源_02物料!$D$4:$D$1203,"周转筐*",对接源_02物料!$L$4:$L$1203,"已付款")+SUMIFS(对接源_02物料!$K$4:$K$1203,对接源_02物料!$C$4:$C$1203,$B140,对接源_02物料!$D$4:$D$1203,"次果筐*",对接源_02物料!$L$4:$L$1203,"已收讫")+SUMIFS(对接源_02物料!$K$4:$K$1203,对接源_02物料!$C$4:$C$1203,$B140,对接源_02物料!$D$4:$D$1203,"次果筐*",对接源_02物料!$L$4:$L$1203,"已付款"),2))</f>
        <v/>
      </c>
      <c r="J140" s="18" t="str">
        <f t="shared" si="10"/>
        <v/>
      </c>
      <c r="K140" s="16" t="str">
        <f t="shared" si="11"/>
        <v/>
      </c>
      <c r="L140" s="26"/>
    </row>
    <row r="141" customHeight="1" spans="1:12">
      <c r="A141" s="16" t="str">
        <f t="shared" si="8"/>
        <v/>
      </c>
      <c r="B141" s="11" t="str">
        <f>IFERROR(INDEX(_自动清单!$E$4:$E$303,ROW()-3),"")</f>
        <v/>
      </c>
      <c r="C141" s="18" t="str">
        <f>IF($B141="","",ROUND(SUMIFS(对接源_01水果!$K$4:$K$1203,对接源_01水果!$C$4:$C$1203,$B141,对接源_01水果!$D$4:$D$1203,"成品出库*"),2))</f>
        <v/>
      </c>
      <c r="D141" s="18" t="str">
        <f>IF($B141="","",ROUND(SUMIFS(对接源_01水果!$K$4:$K$1203,对接源_01水果!$C$4:$C$1203,$B141,对接源_01水果!$D$4:$D$1203,"其他代存*"),2))</f>
        <v/>
      </c>
      <c r="E141" s="18" t="str">
        <f>IF($B141="","",ROUND(SUMIFS(对接源_02物料!$K$4:$K$1203,对接源_02物料!$C$4:$C$1203,$B141,对接源_02物料!$D$4:$D$1203,"包装物料*"),2))</f>
        <v/>
      </c>
      <c r="F141" s="18" t="str">
        <f>IF($B141="","",ROUND(SUMIFS(对接源_02物料!$K$4:$K$1203,对接源_02物料!$C$4:$C$1203,$B141,对接源_02物料!$D$4:$D$1203,"周转筐*"),2))</f>
        <v/>
      </c>
      <c r="G141" s="18" t="str">
        <f>IF($B141="","",ROUND(SUMIFS(对接源_02物料!$K$4:$K$1203,对接源_02物料!$C$4:$C$1203,$B141,对接源_02物料!$D$4:$D$1203,"次果筐*"),2))</f>
        <v/>
      </c>
      <c r="H141" s="18" t="str">
        <f t="shared" si="9"/>
        <v/>
      </c>
      <c r="I141" s="18" t="str">
        <f>IF($B141="","",ROUND(SUMIFS(对接源_01水果!$K$4:$K$1203,对接源_01水果!$C$4:$C$1203,$B141,对接源_01水果!$D$4:$D$1203,"成品出库*",对接源_01水果!$L$4:$L$1203,"已收讫")+SUMIFS(对接源_01水果!$K$4:$K$1203,对接源_01水果!$C$4:$C$1203,$B141,对接源_01水果!$D$4:$D$1203,"成品出库*",对接源_01水果!$L$4:$L$1203,"已付款")+SUMIFS(对接源_01水果!$K$4:$K$1203,对接源_01水果!$C$4:$C$1203,$B141,对接源_01水果!$D$4:$D$1203,"其他代存*",对接源_01水果!$L$4:$L$1203,"已收讫")+SUMIFS(对接源_01水果!$K$4:$K$1203,对接源_01水果!$C$4:$C$1203,$B141,对接源_01水果!$D$4:$D$1203,"其他代存*",对接源_01水果!$L$4:$L$1203,"已付款")+SUMIFS(对接源_02物料!$K$4:$K$1203,对接源_02物料!$C$4:$C$1203,$B141,对接源_02物料!$D$4:$D$1203,"包装物料*",对接源_02物料!$L$4:$L$1203,"已收讫")+SUMIFS(对接源_02物料!$K$4:$K$1203,对接源_02物料!$C$4:$C$1203,$B141,对接源_02物料!$D$4:$D$1203,"包装物料*",对接源_02物料!$L$4:$L$1203,"已付款")+SUMIFS(对接源_02物料!$K$4:$K$1203,对接源_02物料!$C$4:$C$1203,$B141,对接源_02物料!$D$4:$D$1203,"周转筐*",对接源_02物料!$L$4:$L$1203,"已收讫")+SUMIFS(对接源_02物料!$K$4:$K$1203,对接源_02物料!$C$4:$C$1203,$B141,对接源_02物料!$D$4:$D$1203,"周转筐*",对接源_02物料!$L$4:$L$1203,"已付款")+SUMIFS(对接源_02物料!$K$4:$K$1203,对接源_02物料!$C$4:$C$1203,$B141,对接源_02物料!$D$4:$D$1203,"次果筐*",对接源_02物料!$L$4:$L$1203,"已收讫")+SUMIFS(对接源_02物料!$K$4:$K$1203,对接源_02物料!$C$4:$C$1203,$B141,对接源_02物料!$D$4:$D$1203,"次果筐*",对接源_02物料!$L$4:$L$1203,"已付款"),2))</f>
        <v/>
      </c>
      <c r="J141" s="18" t="str">
        <f t="shared" si="10"/>
        <v/>
      </c>
      <c r="K141" s="16" t="str">
        <f t="shared" si="11"/>
        <v/>
      </c>
      <c r="L141" s="26"/>
    </row>
    <row r="142" customHeight="1" spans="1:12">
      <c r="A142" s="16" t="str">
        <f t="shared" si="8"/>
        <v/>
      </c>
      <c r="B142" s="11" t="str">
        <f>IFERROR(INDEX(_自动清单!$E$4:$E$303,ROW()-3),"")</f>
        <v/>
      </c>
      <c r="C142" s="18" t="str">
        <f>IF($B142="","",ROUND(SUMIFS(对接源_01水果!$K$4:$K$1203,对接源_01水果!$C$4:$C$1203,$B142,对接源_01水果!$D$4:$D$1203,"成品出库*"),2))</f>
        <v/>
      </c>
      <c r="D142" s="18" t="str">
        <f>IF($B142="","",ROUND(SUMIFS(对接源_01水果!$K$4:$K$1203,对接源_01水果!$C$4:$C$1203,$B142,对接源_01水果!$D$4:$D$1203,"其他代存*"),2))</f>
        <v/>
      </c>
      <c r="E142" s="18" t="str">
        <f>IF($B142="","",ROUND(SUMIFS(对接源_02物料!$K$4:$K$1203,对接源_02物料!$C$4:$C$1203,$B142,对接源_02物料!$D$4:$D$1203,"包装物料*"),2))</f>
        <v/>
      </c>
      <c r="F142" s="18" t="str">
        <f>IF($B142="","",ROUND(SUMIFS(对接源_02物料!$K$4:$K$1203,对接源_02物料!$C$4:$C$1203,$B142,对接源_02物料!$D$4:$D$1203,"周转筐*"),2))</f>
        <v/>
      </c>
      <c r="G142" s="18" t="str">
        <f>IF($B142="","",ROUND(SUMIFS(对接源_02物料!$K$4:$K$1203,对接源_02物料!$C$4:$C$1203,$B142,对接源_02物料!$D$4:$D$1203,"次果筐*"),2))</f>
        <v/>
      </c>
      <c r="H142" s="18" t="str">
        <f t="shared" si="9"/>
        <v/>
      </c>
      <c r="I142" s="18" t="str">
        <f>IF($B142="","",ROUND(SUMIFS(对接源_01水果!$K$4:$K$1203,对接源_01水果!$C$4:$C$1203,$B142,对接源_01水果!$D$4:$D$1203,"成品出库*",对接源_01水果!$L$4:$L$1203,"已收讫")+SUMIFS(对接源_01水果!$K$4:$K$1203,对接源_01水果!$C$4:$C$1203,$B142,对接源_01水果!$D$4:$D$1203,"成品出库*",对接源_01水果!$L$4:$L$1203,"已付款")+SUMIFS(对接源_01水果!$K$4:$K$1203,对接源_01水果!$C$4:$C$1203,$B142,对接源_01水果!$D$4:$D$1203,"其他代存*",对接源_01水果!$L$4:$L$1203,"已收讫")+SUMIFS(对接源_01水果!$K$4:$K$1203,对接源_01水果!$C$4:$C$1203,$B142,对接源_01水果!$D$4:$D$1203,"其他代存*",对接源_01水果!$L$4:$L$1203,"已付款")+SUMIFS(对接源_02物料!$K$4:$K$1203,对接源_02物料!$C$4:$C$1203,$B142,对接源_02物料!$D$4:$D$1203,"包装物料*",对接源_02物料!$L$4:$L$1203,"已收讫")+SUMIFS(对接源_02物料!$K$4:$K$1203,对接源_02物料!$C$4:$C$1203,$B142,对接源_02物料!$D$4:$D$1203,"包装物料*",对接源_02物料!$L$4:$L$1203,"已付款")+SUMIFS(对接源_02物料!$K$4:$K$1203,对接源_02物料!$C$4:$C$1203,$B142,对接源_02物料!$D$4:$D$1203,"周转筐*",对接源_02物料!$L$4:$L$1203,"已收讫")+SUMIFS(对接源_02物料!$K$4:$K$1203,对接源_02物料!$C$4:$C$1203,$B142,对接源_02物料!$D$4:$D$1203,"周转筐*",对接源_02物料!$L$4:$L$1203,"已付款")+SUMIFS(对接源_02物料!$K$4:$K$1203,对接源_02物料!$C$4:$C$1203,$B142,对接源_02物料!$D$4:$D$1203,"次果筐*",对接源_02物料!$L$4:$L$1203,"已收讫")+SUMIFS(对接源_02物料!$K$4:$K$1203,对接源_02物料!$C$4:$C$1203,$B142,对接源_02物料!$D$4:$D$1203,"次果筐*",对接源_02物料!$L$4:$L$1203,"已付款"),2))</f>
        <v/>
      </c>
      <c r="J142" s="18" t="str">
        <f t="shared" si="10"/>
        <v/>
      </c>
      <c r="K142" s="16" t="str">
        <f t="shared" si="11"/>
        <v/>
      </c>
      <c r="L142" s="26"/>
    </row>
    <row r="143" customHeight="1" spans="1:12">
      <c r="A143" s="16" t="str">
        <f t="shared" si="8"/>
        <v/>
      </c>
      <c r="B143" s="11" t="str">
        <f>IFERROR(INDEX(_自动清单!$E$4:$E$303,ROW()-3),"")</f>
        <v/>
      </c>
      <c r="C143" s="18" t="str">
        <f>IF($B143="","",ROUND(SUMIFS(对接源_01水果!$K$4:$K$1203,对接源_01水果!$C$4:$C$1203,$B143,对接源_01水果!$D$4:$D$1203,"成品出库*"),2))</f>
        <v/>
      </c>
      <c r="D143" s="18" t="str">
        <f>IF($B143="","",ROUND(SUMIFS(对接源_01水果!$K$4:$K$1203,对接源_01水果!$C$4:$C$1203,$B143,对接源_01水果!$D$4:$D$1203,"其他代存*"),2))</f>
        <v/>
      </c>
      <c r="E143" s="18" t="str">
        <f>IF($B143="","",ROUND(SUMIFS(对接源_02物料!$K$4:$K$1203,对接源_02物料!$C$4:$C$1203,$B143,对接源_02物料!$D$4:$D$1203,"包装物料*"),2))</f>
        <v/>
      </c>
      <c r="F143" s="18" t="str">
        <f>IF($B143="","",ROUND(SUMIFS(对接源_02物料!$K$4:$K$1203,对接源_02物料!$C$4:$C$1203,$B143,对接源_02物料!$D$4:$D$1203,"周转筐*"),2))</f>
        <v/>
      </c>
      <c r="G143" s="18" t="str">
        <f>IF($B143="","",ROUND(SUMIFS(对接源_02物料!$K$4:$K$1203,对接源_02物料!$C$4:$C$1203,$B143,对接源_02物料!$D$4:$D$1203,"次果筐*"),2))</f>
        <v/>
      </c>
      <c r="H143" s="18" t="str">
        <f t="shared" si="9"/>
        <v/>
      </c>
      <c r="I143" s="18" t="str">
        <f>IF($B143="","",ROUND(SUMIFS(对接源_01水果!$K$4:$K$1203,对接源_01水果!$C$4:$C$1203,$B143,对接源_01水果!$D$4:$D$1203,"成品出库*",对接源_01水果!$L$4:$L$1203,"已收讫")+SUMIFS(对接源_01水果!$K$4:$K$1203,对接源_01水果!$C$4:$C$1203,$B143,对接源_01水果!$D$4:$D$1203,"成品出库*",对接源_01水果!$L$4:$L$1203,"已付款")+SUMIFS(对接源_01水果!$K$4:$K$1203,对接源_01水果!$C$4:$C$1203,$B143,对接源_01水果!$D$4:$D$1203,"其他代存*",对接源_01水果!$L$4:$L$1203,"已收讫")+SUMIFS(对接源_01水果!$K$4:$K$1203,对接源_01水果!$C$4:$C$1203,$B143,对接源_01水果!$D$4:$D$1203,"其他代存*",对接源_01水果!$L$4:$L$1203,"已付款")+SUMIFS(对接源_02物料!$K$4:$K$1203,对接源_02物料!$C$4:$C$1203,$B143,对接源_02物料!$D$4:$D$1203,"包装物料*",对接源_02物料!$L$4:$L$1203,"已收讫")+SUMIFS(对接源_02物料!$K$4:$K$1203,对接源_02物料!$C$4:$C$1203,$B143,对接源_02物料!$D$4:$D$1203,"包装物料*",对接源_02物料!$L$4:$L$1203,"已付款")+SUMIFS(对接源_02物料!$K$4:$K$1203,对接源_02物料!$C$4:$C$1203,$B143,对接源_02物料!$D$4:$D$1203,"周转筐*",对接源_02物料!$L$4:$L$1203,"已收讫")+SUMIFS(对接源_02物料!$K$4:$K$1203,对接源_02物料!$C$4:$C$1203,$B143,对接源_02物料!$D$4:$D$1203,"周转筐*",对接源_02物料!$L$4:$L$1203,"已付款")+SUMIFS(对接源_02物料!$K$4:$K$1203,对接源_02物料!$C$4:$C$1203,$B143,对接源_02物料!$D$4:$D$1203,"次果筐*",对接源_02物料!$L$4:$L$1203,"已收讫")+SUMIFS(对接源_02物料!$K$4:$K$1203,对接源_02物料!$C$4:$C$1203,$B143,对接源_02物料!$D$4:$D$1203,"次果筐*",对接源_02物料!$L$4:$L$1203,"已付款"),2))</f>
        <v/>
      </c>
      <c r="J143" s="18" t="str">
        <f t="shared" si="10"/>
        <v/>
      </c>
      <c r="K143" s="16" t="str">
        <f t="shared" si="11"/>
        <v/>
      </c>
      <c r="L143" s="26"/>
    </row>
    <row r="144" customHeight="1" spans="1:12">
      <c r="A144" s="16" t="str">
        <f t="shared" si="8"/>
        <v/>
      </c>
      <c r="B144" s="11" t="str">
        <f>IFERROR(INDEX(_自动清单!$E$4:$E$303,ROW()-3),"")</f>
        <v/>
      </c>
      <c r="C144" s="18" t="str">
        <f>IF($B144="","",ROUND(SUMIFS(对接源_01水果!$K$4:$K$1203,对接源_01水果!$C$4:$C$1203,$B144,对接源_01水果!$D$4:$D$1203,"成品出库*"),2))</f>
        <v/>
      </c>
      <c r="D144" s="18" t="str">
        <f>IF($B144="","",ROUND(SUMIFS(对接源_01水果!$K$4:$K$1203,对接源_01水果!$C$4:$C$1203,$B144,对接源_01水果!$D$4:$D$1203,"其他代存*"),2))</f>
        <v/>
      </c>
      <c r="E144" s="18" t="str">
        <f>IF($B144="","",ROUND(SUMIFS(对接源_02物料!$K$4:$K$1203,对接源_02物料!$C$4:$C$1203,$B144,对接源_02物料!$D$4:$D$1203,"包装物料*"),2))</f>
        <v/>
      </c>
      <c r="F144" s="18" t="str">
        <f>IF($B144="","",ROUND(SUMIFS(对接源_02物料!$K$4:$K$1203,对接源_02物料!$C$4:$C$1203,$B144,对接源_02物料!$D$4:$D$1203,"周转筐*"),2))</f>
        <v/>
      </c>
      <c r="G144" s="18" t="str">
        <f>IF($B144="","",ROUND(SUMIFS(对接源_02物料!$K$4:$K$1203,对接源_02物料!$C$4:$C$1203,$B144,对接源_02物料!$D$4:$D$1203,"次果筐*"),2))</f>
        <v/>
      </c>
      <c r="H144" s="18" t="str">
        <f t="shared" si="9"/>
        <v/>
      </c>
      <c r="I144" s="18" t="str">
        <f>IF($B144="","",ROUND(SUMIFS(对接源_01水果!$K$4:$K$1203,对接源_01水果!$C$4:$C$1203,$B144,对接源_01水果!$D$4:$D$1203,"成品出库*",对接源_01水果!$L$4:$L$1203,"已收讫")+SUMIFS(对接源_01水果!$K$4:$K$1203,对接源_01水果!$C$4:$C$1203,$B144,对接源_01水果!$D$4:$D$1203,"成品出库*",对接源_01水果!$L$4:$L$1203,"已付款")+SUMIFS(对接源_01水果!$K$4:$K$1203,对接源_01水果!$C$4:$C$1203,$B144,对接源_01水果!$D$4:$D$1203,"其他代存*",对接源_01水果!$L$4:$L$1203,"已收讫")+SUMIFS(对接源_01水果!$K$4:$K$1203,对接源_01水果!$C$4:$C$1203,$B144,对接源_01水果!$D$4:$D$1203,"其他代存*",对接源_01水果!$L$4:$L$1203,"已付款")+SUMIFS(对接源_02物料!$K$4:$K$1203,对接源_02物料!$C$4:$C$1203,$B144,对接源_02物料!$D$4:$D$1203,"包装物料*",对接源_02物料!$L$4:$L$1203,"已收讫")+SUMIFS(对接源_02物料!$K$4:$K$1203,对接源_02物料!$C$4:$C$1203,$B144,对接源_02物料!$D$4:$D$1203,"包装物料*",对接源_02物料!$L$4:$L$1203,"已付款")+SUMIFS(对接源_02物料!$K$4:$K$1203,对接源_02物料!$C$4:$C$1203,$B144,对接源_02物料!$D$4:$D$1203,"周转筐*",对接源_02物料!$L$4:$L$1203,"已收讫")+SUMIFS(对接源_02物料!$K$4:$K$1203,对接源_02物料!$C$4:$C$1203,$B144,对接源_02物料!$D$4:$D$1203,"周转筐*",对接源_02物料!$L$4:$L$1203,"已付款")+SUMIFS(对接源_02物料!$K$4:$K$1203,对接源_02物料!$C$4:$C$1203,$B144,对接源_02物料!$D$4:$D$1203,"次果筐*",对接源_02物料!$L$4:$L$1203,"已收讫")+SUMIFS(对接源_02物料!$K$4:$K$1203,对接源_02物料!$C$4:$C$1203,$B144,对接源_02物料!$D$4:$D$1203,"次果筐*",对接源_02物料!$L$4:$L$1203,"已付款"),2))</f>
        <v/>
      </c>
      <c r="J144" s="18" t="str">
        <f t="shared" si="10"/>
        <v/>
      </c>
      <c r="K144" s="16" t="str">
        <f t="shared" si="11"/>
        <v/>
      </c>
      <c r="L144" s="26"/>
    </row>
    <row r="145" customHeight="1" spans="1:12">
      <c r="A145" s="16" t="str">
        <f t="shared" si="8"/>
        <v/>
      </c>
      <c r="B145" s="11" t="str">
        <f>IFERROR(INDEX(_自动清单!$E$4:$E$303,ROW()-3),"")</f>
        <v/>
      </c>
      <c r="C145" s="18" t="str">
        <f>IF($B145="","",ROUND(SUMIFS(对接源_01水果!$K$4:$K$1203,对接源_01水果!$C$4:$C$1203,$B145,对接源_01水果!$D$4:$D$1203,"成品出库*"),2))</f>
        <v/>
      </c>
      <c r="D145" s="18" t="str">
        <f>IF($B145="","",ROUND(SUMIFS(对接源_01水果!$K$4:$K$1203,对接源_01水果!$C$4:$C$1203,$B145,对接源_01水果!$D$4:$D$1203,"其他代存*"),2))</f>
        <v/>
      </c>
      <c r="E145" s="18" t="str">
        <f>IF($B145="","",ROUND(SUMIFS(对接源_02物料!$K$4:$K$1203,对接源_02物料!$C$4:$C$1203,$B145,对接源_02物料!$D$4:$D$1203,"包装物料*"),2))</f>
        <v/>
      </c>
      <c r="F145" s="18" t="str">
        <f>IF($B145="","",ROUND(SUMIFS(对接源_02物料!$K$4:$K$1203,对接源_02物料!$C$4:$C$1203,$B145,对接源_02物料!$D$4:$D$1203,"周转筐*"),2))</f>
        <v/>
      </c>
      <c r="G145" s="18" t="str">
        <f>IF($B145="","",ROUND(SUMIFS(对接源_02物料!$K$4:$K$1203,对接源_02物料!$C$4:$C$1203,$B145,对接源_02物料!$D$4:$D$1203,"次果筐*"),2))</f>
        <v/>
      </c>
      <c r="H145" s="18" t="str">
        <f t="shared" si="9"/>
        <v/>
      </c>
      <c r="I145" s="18" t="str">
        <f>IF($B145="","",ROUND(SUMIFS(对接源_01水果!$K$4:$K$1203,对接源_01水果!$C$4:$C$1203,$B145,对接源_01水果!$D$4:$D$1203,"成品出库*",对接源_01水果!$L$4:$L$1203,"已收讫")+SUMIFS(对接源_01水果!$K$4:$K$1203,对接源_01水果!$C$4:$C$1203,$B145,对接源_01水果!$D$4:$D$1203,"成品出库*",对接源_01水果!$L$4:$L$1203,"已付款")+SUMIFS(对接源_01水果!$K$4:$K$1203,对接源_01水果!$C$4:$C$1203,$B145,对接源_01水果!$D$4:$D$1203,"其他代存*",对接源_01水果!$L$4:$L$1203,"已收讫")+SUMIFS(对接源_01水果!$K$4:$K$1203,对接源_01水果!$C$4:$C$1203,$B145,对接源_01水果!$D$4:$D$1203,"其他代存*",对接源_01水果!$L$4:$L$1203,"已付款")+SUMIFS(对接源_02物料!$K$4:$K$1203,对接源_02物料!$C$4:$C$1203,$B145,对接源_02物料!$D$4:$D$1203,"包装物料*",对接源_02物料!$L$4:$L$1203,"已收讫")+SUMIFS(对接源_02物料!$K$4:$K$1203,对接源_02物料!$C$4:$C$1203,$B145,对接源_02物料!$D$4:$D$1203,"包装物料*",对接源_02物料!$L$4:$L$1203,"已付款")+SUMIFS(对接源_02物料!$K$4:$K$1203,对接源_02物料!$C$4:$C$1203,$B145,对接源_02物料!$D$4:$D$1203,"周转筐*",对接源_02物料!$L$4:$L$1203,"已收讫")+SUMIFS(对接源_02物料!$K$4:$K$1203,对接源_02物料!$C$4:$C$1203,$B145,对接源_02物料!$D$4:$D$1203,"周转筐*",对接源_02物料!$L$4:$L$1203,"已付款")+SUMIFS(对接源_02物料!$K$4:$K$1203,对接源_02物料!$C$4:$C$1203,$B145,对接源_02物料!$D$4:$D$1203,"次果筐*",对接源_02物料!$L$4:$L$1203,"已收讫")+SUMIFS(对接源_02物料!$K$4:$K$1203,对接源_02物料!$C$4:$C$1203,$B145,对接源_02物料!$D$4:$D$1203,"次果筐*",对接源_02物料!$L$4:$L$1203,"已付款"),2))</f>
        <v/>
      </c>
      <c r="J145" s="18" t="str">
        <f t="shared" si="10"/>
        <v/>
      </c>
      <c r="K145" s="16" t="str">
        <f t="shared" si="11"/>
        <v/>
      </c>
      <c r="L145" s="26"/>
    </row>
    <row r="146" customHeight="1" spans="1:12">
      <c r="A146" s="16" t="str">
        <f t="shared" si="8"/>
        <v/>
      </c>
      <c r="B146" s="11" t="str">
        <f>IFERROR(INDEX(_自动清单!$E$4:$E$303,ROW()-3),"")</f>
        <v/>
      </c>
      <c r="C146" s="18" t="str">
        <f>IF($B146="","",ROUND(SUMIFS(对接源_01水果!$K$4:$K$1203,对接源_01水果!$C$4:$C$1203,$B146,对接源_01水果!$D$4:$D$1203,"成品出库*"),2))</f>
        <v/>
      </c>
      <c r="D146" s="18" t="str">
        <f>IF($B146="","",ROUND(SUMIFS(对接源_01水果!$K$4:$K$1203,对接源_01水果!$C$4:$C$1203,$B146,对接源_01水果!$D$4:$D$1203,"其他代存*"),2))</f>
        <v/>
      </c>
      <c r="E146" s="18" t="str">
        <f>IF($B146="","",ROUND(SUMIFS(对接源_02物料!$K$4:$K$1203,对接源_02物料!$C$4:$C$1203,$B146,对接源_02物料!$D$4:$D$1203,"包装物料*"),2))</f>
        <v/>
      </c>
      <c r="F146" s="18" t="str">
        <f>IF($B146="","",ROUND(SUMIFS(对接源_02物料!$K$4:$K$1203,对接源_02物料!$C$4:$C$1203,$B146,对接源_02物料!$D$4:$D$1203,"周转筐*"),2))</f>
        <v/>
      </c>
      <c r="G146" s="18" t="str">
        <f>IF($B146="","",ROUND(SUMIFS(对接源_02物料!$K$4:$K$1203,对接源_02物料!$C$4:$C$1203,$B146,对接源_02物料!$D$4:$D$1203,"次果筐*"),2))</f>
        <v/>
      </c>
      <c r="H146" s="18" t="str">
        <f t="shared" si="9"/>
        <v/>
      </c>
      <c r="I146" s="18" t="str">
        <f>IF($B146="","",ROUND(SUMIFS(对接源_01水果!$K$4:$K$1203,对接源_01水果!$C$4:$C$1203,$B146,对接源_01水果!$D$4:$D$1203,"成品出库*",对接源_01水果!$L$4:$L$1203,"已收讫")+SUMIFS(对接源_01水果!$K$4:$K$1203,对接源_01水果!$C$4:$C$1203,$B146,对接源_01水果!$D$4:$D$1203,"成品出库*",对接源_01水果!$L$4:$L$1203,"已付款")+SUMIFS(对接源_01水果!$K$4:$K$1203,对接源_01水果!$C$4:$C$1203,$B146,对接源_01水果!$D$4:$D$1203,"其他代存*",对接源_01水果!$L$4:$L$1203,"已收讫")+SUMIFS(对接源_01水果!$K$4:$K$1203,对接源_01水果!$C$4:$C$1203,$B146,对接源_01水果!$D$4:$D$1203,"其他代存*",对接源_01水果!$L$4:$L$1203,"已付款")+SUMIFS(对接源_02物料!$K$4:$K$1203,对接源_02物料!$C$4:$C$1203,$B146,对接源_02物料!$D$4:$D$1203,"包装物料*",对接源_02物料!$L$4:$L$1203,"已收讫")+SUMIFS(对接源_02物料!$K$4:$K$1203,对接源_02物料!$C$4:$C$1203,$B146,对接源_02物料!$D$4:$D$1203,"包装物料*",对接源_02物料!$L$4:$L$1203,"已付款")+SUMIFS(对接源_02物料!$K$4:$K$1203,对接源_02物料!$C$4:$C$1203,$B146,对接源_02物料!$D$4:$D$1203,"周转筐*",对接源_02物料!$L$4:$L$1203,"已收讫")+SUMIFS(对接源_02物料!$K$4:$K$1203,对接源_02物料!$C$4:$C$1203,$B146,对接源_02物料!$D$4:$D$1203,"周转筐*",对接源_02物料!$L$4:$L$1203,"已付款")+SUMIFS(对接源_02物料!$K$4:$K$1203,对接源_02物料!$C$4:$C$1203,$B146,对接源_02物料!$D$4:$D$1203,"次果筐*",对接源_02物料!$L$4:$L$1203,"已收讫")+SUMIFS(对接源_02物料!$K$4:$K$1203,对接源_02物料!$C$4:$C$1203,$B146,对接源_02物料!$D$4:$D$1203,"次果筐*",对接源_02物料!$L$4:$L$1203,"已付款"),2))</f>
        <v/>
      </c>
      <c r="J146" s="18" t="str">
        <f t="shared" si="10"/>
        <v/>
      </c>
      <c r="K146" s="16" t="str">
        <f t="shared" si="11"/>
        <v/>
      </c>
      <c r="L146" s="26"/>
    </row>
    <row r="147" customHeight="1" spans="1:12">
      <c r="A147" s="16" t="str">
        <f t="shared" si="8"/>
        <v/>
      </c>
      <c r="B147" s="11" t="str">
        <f>IFERROR(INDEX(_自动清单!$E$4:$E$303,ROW()-3),"")</f>
        <v/>
      </c>
      <c r="C147" s="18" t="str">
        <f>IF($B147="","",ROUND(SUMIFS(对接源_01水果!$K$4:$K$1203,对接源_01水果!$C$4:$C$1203,$B147,对接源_01水果!$D$4:$D$1203,"成品出库*"),2))</f>
        <v/>
      </c>
      <c r="D147" s="18" t="str">
        <f>IF($B147="","",ROUND(SUMIFS(对接源_01水果!$K$4:$K$1203,对接源_01水果!$C$4:$C$1203,$B147,对接源_01水果!$D$4:$D$1203,"其他代存*"),2))</f>
        <v/>
      </c>
      <c r="E147" s="18" t="str">
        <f>IF($B147="","",ROUND(SUMIFS(对接源_02物料!$K$4:$K$1203,对接源_02物料!$C$4:$C$1203,$B147,对接源_02物料!$D$4:$D$1203,"包装物料*"),2))</f>
        <v/>
      </c>
      <c r="F147" s="18" t="str">
        <f>IF($B147="","",ROUND(SUMIFS(对接源_02物料!$K$4:$K$1203,对接源_02物料!$C$4:$C$1203,$B147,对接源_02物料!$D$4:$D$1203,"周转筐*"),2))</f>
        <v/>
      </c>
      <c r="G147" s="18" t="str">
        <f>IF($B147="","",ROUND(SUMIFS(对接源_02物料!$K$4:$K$1203,对接源_02物料!$C$4:$C$1203,$B147,对接源_02物料!$D$4:$D$1203,"次果筐*"),2))</f>
        <v/>
      </c>
      <c r="H147" s="18" t="str">
        <f t="shared" si="9"/>
        <v/>
      </c>
      <c r="I147" s="18" t="str">
        <f>IF($B147="","",ROUND(SUMIFS(对接源_01水果!$K$4:$K$1203,对接源_01水果!$C$4:$C$1203,$B147,对接源_01水果!$D$4:$D$1203,"成品出库*",对接源_01水果!$L$4:$L$1203,"已收讫")+SUMIFS(对接源_01水果!$K$4:$K$1203,对接源_01水果!$C$4:$C$1203,$B147,对接源_01水果!$D$4:$D$1203,"成品出库*",对接源_01水果!$L$4:$L$1203,"已付款")+SUMIFS(对接源_01水果!$K$4:$K$1203,对接源_01水果!$C$4:$C$1203,$B147,对接源_01水果!$D$4:$D$1203,"其他代存*",对接源_01水果!$L$4:$L$1203,"已收讫")+SUMIFS(对接源_01水果!$K$4:$K$1203,对接源_01水果!$C$4:$C$1203,$B147,对接源_01水果!$D$4:$D$1203,"其他代存*",对接源_01水果!$L$4:$L$1203,"已付款")+SUMIFS(对接源_02物料!$K$4:$K$1203,对接源_02物料!$C$4:$C$1203,$B147,对接源_02物料!$D$4:$D$1203,"包装物料*",对接源_02物料!$L$4:$L$1203,"已收讫")+SUMIFS(对接源_02物料!$K$4:$K$1203,对接源_02物料!$C$4:$C$1203,$B147,对接源_02物料!$D$4:$D$1203,"包装物料*",对接源_02物料!$L$4:$L$1203,"已付款")+SUMIFS(对接源_02物料!$K$4:$K$1203,对接源_02物料!$C$4:$C$1203,$B147,对接源_02物料!$D$4:$D$1203,"周转筐*",对接源_02物料!$L$4:$L$1203,"已收讫")+SUMIFS(对接源_02物料!$K$4:$K$1203,对接源_02物料!$C$4:$C$1203,$B147,对接源_02物料!$D$4:$D$1203,"周转筐*",对接源_02物料!$L$4:$L$1203,"已付款")+SUMIFS(对接源_02物料!$K$4:$K$1203,对接源_02物料!$C$4:$C$1203,$B147,对接源_02物料!$D$4:$D$1203,"次果筐*",对接源_02物料!$L$4:$L$1203,"已收讫")+SUMIFS(对接源_02物料!$K$4:$K$1203,对接源_02物料!$C$4:$C$1203,$B147,对接源_02物料!$D$4:$D$1203,"次果筐*",对接源_02物料!$L$4:$L$1203,"已付款"),2))</f>
        <v/>
      </c>
      <c r="J147" s="18" t="str">
        <f t="shared" si="10"/>
        <v/>
      </c>
      <c r="K147" s="16" t="str">
        <f t="shared" si="11"/>
        <v/>
      </c>
      <c r="L147" s="26"/>
    </row>
    <row r="148" customHeight="1" spans="1:12">
      <c r="A148" s="16" t="str">
        <f t="shared" si="8"/>
        <v/>
      </c>
      <c r="B148" s="11" t="str">
        <f>IFERROR(INDEX(_自动清单!$E$4:$E$303,ROW()-3),"")</f>
        <v/>
      </c>
      <c r="C148" s="18" t="str">
        <f>IF($B148="","",ROUND(SUMIFS(对接源_01水果!$K$4:$K$1203,对接源_01水果!$C$4:$C$1203,$B148,对接源_01水果!$D$4:$D$1203,"成品出库*"),2))</f>
        <v/>
      </c>
      <c r="D148" s="18" t="str">
        <f>IF($B148="","",ROUND(SUMIFS(对接源_01水果!$K$4:$K$1203,对接源_01水果!$C$4:$C$1203,$B148,对接源_01水果!$D$4:$D$1203,"其他代存*"),2))</f>
        <v/>
      </c>
      <c r="E148" s="18" t="str">
        <f>IF($B148="","",ROUND(SUMIFS(对接源_02物料!$K$4:$K$1203,对接源_02物料!$C$4:$C$1203,$B148,对接源_02物料!$D$4:$D$1203,"包装物料*"),2))</f>
        <v/>
      </c>
      <c r="F148" s="18" t="str">
        <f>IF($B148="","",ROUND(SUMIFS(对接源_02物料!$K$4:$K$1203,对接源_02物料!$C$4:$C$1203,$B148,对接源_02物料!$D$4:$D$1203,"周转筐*"),2))</f>
        <v/>
      </c>
      <c r="G148" s="18" t="str">
        <f>IF($B148="","",ROUND(SUMIFS(对接源_02物料!$K$4:$K$1203,对接源_02物料!$C$4:$C$1203,$B148,对接源_02物料!$D$4:$D$1203,"次果筐*"),2))</f>
        <v/>
      </c>
      <c r="H148" s="18" t="str">
        <f t="shared" si="9"/>
        <v/>
      </c>
      <c r="I148" s="18" t="str">
        <f>IF($B148="","",ROUND(SUMIFS(对接源_01水果!$K$4:$K$1203,对接源_01水果!$C$4:$C$1203,$B148,对接源_01水果!$D$4:$D$1203,"成品出库*",对接源_01水果!$L$4:$L$1203,"已收讫")+SUMIFS(对接源_01水果!$K$4:$K$1203,对接源_01水果!$C$4:$C$1203,$B148,对接源_01水果!$D$4:$D$1203,"成品出库*",对接源_01水果!$L$4:$L$1203,"已付款")+SUMIFS(对接源_01水果!$K$4:$K$1203,对接源_01水果!$C$4:$C$1203,$B148,对接源_01水果!$D$4:$D$1203,"其他代存*",对接源_01水果!$L$4:$L$1203,"已收讫")+SUMIFS(对接源_01水果!$K$4:$K$1203,对接源_01水果!$C$4:$C$1203,$B148,对接源_01水果!$D$4:$D$1203,"其他代存*",对接源_01水果!$L$4:$L$1203,"已付款")+SUMIFS(对接源_02物料!$K$4:$K$1203,对接源_02物料!$C$4:$C$1203,$B148,对接源_02物料!$D$4:$D$1203,"包装物料*",对接源_02物料!$L$4:$L$1203,"已收讫")+SUMIFS(对接源_02物料!$K$4:$K$1203,对接源_02物料!$C$4:$C$1203,$B148,对接源_02物料!$D$4:$D$1203,"包装物料*",对接源_02物料!$L$4:$L$1203,"已付款")+SUMIFS(对接源_02物料!$K$4:$K$1203,对接源_02物料!$C$4:$C$1203,$B148,对接源_02物料!$D$4:$D$1203,"周转筐*",对接源_02物料!$L$4:$L$1203,"已收讫")+SUMIFS(对接源_02物料!$K$4:$K$1203,对接源_02物料!$C$4:$C$1203,$B148,对接源_02物料!$D$4:$D$1203,"周转筐*",对接源_02物料!$L$4:$L$1203,"已付款")+SUMIFS(对接源_02物料!$K$4:$K$1203,对接源_02物料!$C$4:$C$1203,$B148,对接源_02物料!$D$4:$D$1203,"次果筐*",对接源_02物料!$L$4:$L$1203,"已收讫")+SUMIFS(对接源_02物料!$K$4:$K$1203,对接源_02物料!$C$4:$C$1203,$B148,对接源_02物料!$D$4:$D$1203,"次果筐*",对接源_02物料!$L$4:$L$1203,"已付款"),2))</f>
        <v/>
      </c>
      <c r="J148" s="18" t="str">
        <f t="shared" si="10"/>
        <v/>
      </c>
      <c r="K148" s="16" t="str">
        <f t="shared" si="11"/>
        <v/>
      </c>
      <c r="L148" s="26"/>
    </row>
    <row r="149" customHeight="1" spans="1:12">
      <c r="A149" s="16" t="str">
        <f t="shared" si="8"/>
        <v/>
      </c>
      <c r="B149" s="11" t="str">
        <f>IFERROR(INDEX(_自动清单!$E$4:$E$303,ROW()-3),"")</f>
        <v/>
      </c>
      <c r="C149" s="18" t="str">
        <f>IF($B149="","",ROUND(SUMIFS(对接源_01水果!$K$4:$K$1203,对接源_01水果!$C$4:$C$1203,$B149,对接源_01水果!$D$4:$D$1203,"成品出库*"),2))</f>
        <v/>
      </c>
      <c r="D149" s="18" t="str">
        <f>IF($B149="","",ROUND(SUMIFS(对接源_01水果!$K$4:$K$1203,对接源_01水果!$C$4:$C$1203,$B149,对接源_01水果!$D$4:$D$1203,"其他代存*"),2))</f>
        <v/>
      </c>
      <c r="E149" s="18" t="str">
        <f>IF($B149="","",ROUND(SUMIFS(对接源_02物料!$K$4:$K$1203,对接源_02物料!$C$4:$C$1203,$B149,对接源_02物料!$D$4:$D$1203,"包装物料*"),2))</f>
        <v/>
      </c>
      <c r="F149" s="18" t="str">
        <f>IF($B149="","",ROUND(SUMIFS(对接源_02物料!$K$4:$K$1203,对接源_02物料!$C$4:$C$1203,$B149,对接源_02物料!$D$4:$D$1203,"周转筐*"),2))</f>
        <v/>
      </c>
      <c r="G149" s="18" t="str">
        <f>IF($B149="","",ROUND(SUMIFS(对接源_02物料!$K$4:$K$1203,对接源_02物料!$C$4:$C$1203,$B149,对接源_02物料!$D$4:$D$1203,"次果筐*"),2))</f>
        <v/>
      </c>
      <c r="H149" s="18" t="str">
        <f t="shared" si="9"/>
        <v/>
      </c>
      <c r="I149" s="18" t="str">
        <f>IF($B149="","",ROUND(SUMIFS(对接源_01水果!$K$4:$K$1203,对接源_01水果!$C$4:$C$1203,$B149,对接源_01水果!$D$4:$D$1203,"成品出库*",对接源_01水果!$L$4:$L$1203,"已收讫")+SUMIFS(对接源_01水果!$K$4:$K$1203,对接源_01水果!$C$4:$C$1203,$B149,对接源_01水果!$D$4:$D$1203,"成品出库*",对接源_01水果!$L$4:$L$1203,"已付款")+SUMIFS(对接源_01水果!$K$4:$K$1203,对接源_01水果!$C$4:$C$1203,$B149,对接源_01水果!$D$4:$D$1203,"其他代存*",对接源_01水果!$L$4:$L$1203,"已收讫")+SUMIFS(对接源_01水果!$K$4:$K$1203,对接源_01水果!$C$4:$C$1203,$B149,对接源_01水果!$D$4:$D$1203,"其他代存*",对接源_01水果!$L$4:$L$1203,"已付款")+SUMIFS(对接源_02物料!$K$4:$K$1203,对接源_02物料!$C$4:$C$1203,$B149,对接源_02物料!$D$4:$D$1203,"包装物料*",对接源_02物料!$L$4:$L$1203,"已收讫")+SUMIFS(对接源_02物料!$K$4:$K$1203,对接源_02物料!$C$4:$C$1203,$B149,对接源_02物料!$D$4:$D$1203,"包装物料*",对接源_02物料!$L$4:$L$1203,"已付款")+SUMIFS(对接源_02物料!$K$4:$K$1203,对接源_02物料!$C$4:$C$1203,$B149,对接源_02物料!$D$4:$D$1203,"周转筐*",对接源_02物料!$L$4:$L$1203,"已收讫")+SUMIFS(对接源_02物料!$K$4:$K$1203,对接源_02物料!$C$4:$C$1203,$B149,对接源_02物料!$D$4:$D$1203,"周转筐*",对接源_02物料!$L$4:$L$1203,"已付款")+SUMIFS(对接源_02物料!$K$4:$K$1203,对接源_02物料!$C$4:$C$1203,$B149,对接源_02物料!$D$4:$D$1203,"次果筐*",对接源_02物料!$L$4:$L$1203,"已收讫")+SUMIFS(对接源_02物料!$K$4:$K$1203,对接源_02物料!$C$4:$C$1203,$B149,对接源_02物料!$D$4:$D$1203,"次果筐*",对接源_02物料!$L$4:$L$1203,"已付款"),2))</f>
        <v/>
      </c>
      <c r="J149" s="18" t="str">
        <f t="shared" si="10"/>
        <v/>
      </c>
      <c r="K149" s="16" t="str">
        <f t="shared" si="11"/>
        <v/>
      </c>
      <c r="L149" s="26"/>
    </row>
    <row r="150" customHeight="1" spans="1:12">
      <c r="A150" s="16" t="str">
        <f t="shared" si="8"/>
        <v/>
      </c>
      <c r="B150" s="11" t="str">
        <f>IFERROR(INDEX(_自动清单!$E$4:$E$303,ROW()-3),"")</f>
        <v/>
      </c>
      <c r="C150" s="18" t="str">
        <f>IF($B150="","",ROUND(SUMIFS(对接源_01水果!$K$4:$K$1203,对接源_01水果!$C$4:$C$1203,$B150,对接源_01水果!$D$4:$D$1203,"成品出库*"),2))</f>
        <v/>
      </c>
      <c r="D150" s="18" t="str">
        <f>IF($B150="","",ROUND(SUMIFS(对接源_01水果!$K$4:$K$1203,对接源_01水果!$C$4:$C$1203,$B150,对接源_01水果!$D$4:$D$1203,"其他代存*"),2))</f>
        <v/>
      </c>
      <c r="E150" s="18" t="str">
        <f>IF($B150="","",ROUND(SUMIFS(对接源_02物料!$K$4:$K$1203,对接源_02物料!$C$4:$C$1203,$B150,对接源_02物料!$D$4:$D$1203,"包装物料*"),2))</f>
        <v/>
      </c>
      <c r="F150" s="18" t="str">
        <f>IF($B150="","",ROUND(SUMIFS(对接源_02物料!$K$4:$K$1203,对接源_02物料!$C$4:$C$1203,$B150,对接源_02物料!$D$4:$D$1203,"周转筐*"),2))</f>
        <v/>
      </c>
      <c r="G150" s="18" t="str">
        <f>IF($B150="","",ROUND(SUMIFS(对接源_02物料!$K$4:$K$1203,对接源_02物料!$C$4:$C$1203,$B150,对接源_02物料!$D$4:$D$1203,"次果筐*"),2))</f>
        <v/>
      </c>
      <c r="H150" s="18" t="str">
        <f t="shared" si="9"/>
        <v/>
      </c>
      <c r="I150" s="18" t="str">
        <f>IF($B150="","",ROUND(SUMIFS(对接源_01水果!$K$4:$K$1203,对接源_01水果!$C$4:$C$1203,$B150,对接源_01水果!$D$4:$D$1203,"成品出库*",对接源_01水果!$L$4:$L$1203,"已收讫")+SUMIFS(对接源_01水果!$K$4:$K$1203,对接源_01水果!$C$4:$C$1203,$B150,对接源_01水果!$D$4:$D$1203,"成品出库*",对接源_01水果!$L$4:$L$1203,"已付款")+SUMIFS(对接源_01水果!$K$4:$K$1203,对接源_01水果!$C$4:$C$1203,$B150,对接源_01水果!$D$4:$D$1203,"其他代存*",对接源_01水果!$L$4:$L$1203,"已收讫")+SUMIFS(对接源_01水果!$K$4:$K$1203,对接源_01水果!$C$4:$C$1203,$B150,对接源_01水果!$D$4:$D$1203,"其他代存*",对接源_01水果!$L$4:$L$1203,"已付款")+SUMIFS(对接源_02物料!$K$4:$K$1203,对接源_02物料!$C$4:$C$1203,$B150,对接源_02物料!$D$4:$D$1203,"包装物料*",对接源_02物料!$L$4:$L$1203,"已收讫")+SUMIFS(对接源_02物料!$K$4:$K$1203,对接源_02物料!$C$4:$C$1203,$B150,对接源_02物料!$D$4:$D$1203,"包装物料*",对接源_02物料!$L$4:$L$1203,"已付款")+SUMIFS(对接源_02物料!$K$4:$K$1203,对接源_02物料!$C$4:$C$1203,$B150,对接源_02物料!$D$4:$D$1203,"周转筐*",对接源_02物料!$L$4:$L$1203,"已收讫")+SUMIFS(对接源_02物料!$K$4:$K$1203,对接源_02物料!$C$4:$C$1203,$B150,对接源_02物料!$D$4:$D$1203,"周转筐*",对接源_02物料!$L$4:$L$1203,"已付款")+SUMIFS(对接源_02物料!$K$4:$K$1203,对接源_02物料!$C$4:$C$1203,$B150,对接源_02物料!$D$4:$D$1203,"次果筐*",对接源_02物料!$L$4:$L$1203,"已收讫")+SUMIFS(对接源_02物料!$K$4:$K$1203,对接源_02物料!$C$4:$C$1203,$B150,对接源_02物料!$D$4:$D$1203,"次果筐*",对接源_02物料!$L$4:$L$1203,"已付款"),2))</f>
        <v/>
      </c>
      <c r="J150" s="18" t="str">
        <f t="shared" si="10"/>
        <v/>
      </c>
      <c r="K150" s="16" t="str">
        <f t="shared" si="11"/>
        <v/>
      </c>
      <c r="L150" s="26"/>
    </row>
    <row r="151" customHeight="1" spans="1:12">
      <c r="A151" s="16" t="str">
        <f t="shared" si="8"/>
        <v/>
      </c>
      <c r="B151" s="11" t="str">
        <f>IFERROR(INDEX(_自动清单!$E$4:$E$303,ROW()-3),"")</f>
        <v/>
      </c>
      <c r="C151" s="18" t="str">
        <f>IF($B151="","",ROUND(SUMIFS(对接源_01水果!$K$4:$K$1203,对接源_01水果!$C$4:$C$1203,$B151,对接源_01水果!$D$4:$D$1203,"成品出库*"),2))</f>
        <v/>
      </c>
      <c r="D151" s="18" t="str">
        <f>IF($B151="","",ROUND(SUMIFS(对接源_01水果!$K$4:$K$1203,对接源_01水果!$C$4:$C$1203,$B151,对接源_01水果!$D$4:$D$1203,"其他代存*"),2))</f>
        <v/>
      </c>
      <c r="E151" s="18" t="str">
        <f>IF($B151="","",ROUND(SUMIFS(对接源_02物料!$K$4:$K$1203,对接源_02物料!$C$4:$C$1203,$B151,对接源_02物料!$D$4:$D$1203,"包装物料*"),2))</f>
        <v/>
      </c>
      <c r="F151" s="18" t="str">
        <f>IF($B151="","",ROUND(SUMIFS(对接源_02物料!$K$4:$K$1203,对接源_02物料!$C$4:$C$1203,$B151,对接源_02物料!$D$4:$D$1203,"周转筐*"),2))</f>
        <v/>
      </c>
      <c r="G151" s="18" t="str">
        <f>IF($B151="","",ROUND(SUMIFS(对接源_02物料!$K$4:$K$1203,对接源_02物料!$C$4:$C$1203,$B151,对接源_02物料!$D$4:$D$1203,"次果筐*"),2))</f>
        <v/>
      </c>
      <c r="H151" s="18" t="str">
        <f t="shared" si="9"/>
        <v/>
      </c>
      <c r="I151" s="18" t="str">
        <f>IF($B151="","",ROUND(SUMIFS(对接源_01水果!$K$4:$K$1203,对接源_01水果!$C$4:$C$1203,$B151,对接源_01水果!$D$4:$D$1203,"成品出库*",对接源_01水果!$L$4:$L$1203,"已收讫")+SUMIFS(对接源_01水果!$K$4:$K$1203,对接源_01水果!$C$4:$C$1203,$B151,对接源_01水果!$D$4:$D$1203,"成品出库*",对接源_01水果!$L$4:$L$1203,"已付款")+SUMIFS(对接源_01水果!$K$4:$K$1203,对接源_01水果!$C$4:$C$1203,$B151,对接源_01水果!$D$4:$D$1203,"其他代存*",对接源_01水果!$L$4:$L$1203,"已收讫")+SUMIFS(对接源_01水果!$K$4:$K$1203,对接源_01水果!$C$4:$C$1203,$B151,对接源_01水果!$D$4:$D$1203,"其他代存*",对接源_01水果!$L$4:$L$1203,"已付款")+SUMIFS(对接源_02物料!$K$4:$K$1203,对接源_02物料!$C$4:$C$1203,$B151,对接源_02物料!$D$4:$D$1203,"包装物料*",对接源_02物料!$L$4:$L$1203,"已收讫")+SUMIFS(对接源_02物料!$K$4:$K$1203,对接源_02物料!$C$4:$C$1203,$B151,对接源_02物料!$D$4:$D$1203,"包装物料*",对接源_02物料!$L$4:$L$1203,"已付款")+SUMIFS(对接源_02物料!$K$4:$K$1203,对接源_02物料!$C$4:$C$1203,$B151,对接源_02物料!$D$4:$D$1203,"周转筐*",对接源_02物料!$L$4:$L$1203,"已收讫")+SUMIFS(对接源_02物料!$K$4:$K$1203,对接源_02物料!$C$4:$C$1203,$B151,对接源_02物料!$D$4:$D$1203,"周转筐*",对接源_02物料!$L$4:$L$1203,"已付款")+SUMIFS(对接源_02物料!$K$4:$K$1203,对接源_02物料!$C$4:$C$1203,$B151,对接源_02物料!$D$4:$D$1203,"次果筐*",对接源_02物料!$L$4:$L$1203,"已收讫")+SUMIFS(对接源_02物料!$K$4:$K$1203,对接源_02物料!$C$4:$C$1203,$B151,对接源_02物料!$D$4:$D$1203,"次果筐*",对接源_02物料!$L$4:$L$1203,"已付款"),2))</f>
        <v/>
      </c>
      <c r="J151" s="18" t="str">
        <f t="shared" si="10"/>
        <v/>
      </c>
      <c r="K151" s="16" t="str">
        <f t="shared" si="11"/>
        <v/>
      </c>
      <c r="L151" s="26"/>
    </row>
    <row r="152" customHeight="1" spans="1:12">
      <c r="A152" s="16" t="str">
        <f t="shared" si="8"/>
        <v/>
      </c>
      <c r="B152" s="11" t="str">
        <f>IFERROR(INDEX(_自动清单!$E$4:$E$303,ROW()-3),"")</f>
        <v/>
      </c>
      <c r="C152" s="18" t="str">
        <f>IF($B152="","",ROUND(SUMIFS(对接源_01水果!$K$4:$K$1203,对接源_01水果!$C$4:$C$1203,$B152,对接源_01水果!$D$4:$D$1203,"成品出库*"),2))</f>
        <v/>
      </c>
      <c r="D152" s="18" t="str">
        <f>IF($B152="","",ROUND(SUMIFS(对接源_01水果!$K$4:$K$1203,对接源_01水果!$C$4:$C$1203,$B152,对接源_01水果!$D$4:$D$1203,"其他代存*"),2))</f>
        <v/>
      </c>
      <c r="E152" s="18" t="str">
        <f>IF($B152="","",ROUND(SUMIFS(对接源_02物料!$K$4:$K$1203,对接源_02物料!$C$4:$C$1203,$B152,对接源_02物料!$D$4:$D$1203,"包装物料*"),2))</f>
        <v/>
      </c>
      <c r="F152" s="18" t="str">
        <f>IF($B152="","",ROUND(SUMIFS(对接源_02物料!$K$4:$K$1203,对接源_02物料!$C$4:$C$1203,$B152,对接源_02物料!$D$4:$D$1203,"周转筐*"),2))</f>
        <v/>
      </c>
      <c r="G152" s="18" t="str">
        <f>IF($B152="","",ROUND(SUMIFS(对接源_02物料!$K$4:$K$1203,对接源_02物料!$C$4:$C$1203,$B152,对接源_02物料!$D$4:$D$1203,"次果筐*"),2))</f>
        <v/>
      </c>
      <c r="H152" s="18" t="str">
        <f t="shared" si="9"/>
        <v/>
      </c>
      <c r="I152" s="18" t="str">
        <f>IF($B152="","",ROUND(SUMIFS(对接源_01水果!$K$4:$K$1203,对接源_01水果!$C$4:$C$1203,$B152,对接源_01水果!$D$4:$D$1203,"成品出库*",对接源_01水果!$L$4:$L$1203,"已收讫")+SUMIFS(对接源_01水果!$K$4:$K$1203,对接源_01水果!$C$4:$C$1203,$B152,对接源_01水果!$D$4:$D$1203,"成品出库*",对接源_01水果!$L$4:$L$1203,"已付款")+SUMIFS(对接源_01水果!$K$4:$K$1203,对接源_01水果!$C$4:$C$1203,$B152,对接源_01水果!$D$4:$D$1203,"其他代存*",对接源_01水果!$L$4:$L$1203,"已收讫")+SUMIFS(对接源_01水果!$K$4:$K$1203,对接源_01水果!$C$4:$C$1203,$B152,对接源_01水果!$D$4:$D$1203,"其他代存*",对接源_01水果!$L$4:$L$1203,"已付款")+SUMIFS(对接源_02物料!$K$4:$K$1203,对接源_02物料!$C$4:$C$1203,$B152,对接源_02物料!$D$4:$D$1203,"包装物料*",对接源_02物料!$L$4:$L$1203,"已收讫")+SUMIFS(对接源_02物料!$K$4:$K$1203,对接源_02物料!$C$4:$C$1203,$B152,对接源_02物料!$D$4:$D$1203,"包装物料*",对接源_02物料!$L$4:$L$1203,"已付款")+SUMIFS(对接源_02物料!$K$4:$K$1203,对接源_02物料!$C$4:$C$1203,$B152,对接源_02物料!$D$4:$D$1203,"周转筐*",对接源_02物料!$L$4:$L$1203,"已收讫")+SUMIFS(对接源_02物料!$K$4:$K$1203,对接源_02物料!$C$4:$C$1203,$B152,对接源_02物料!$D$4:$D$1203,"周转筐*",对接源_02物料!$L$4:$L$1203,"已付款")+SUMIFS(对接源_02物料!$K$4:$K$1203,对接源_02物料!$C$4:$C$1203,$B152,对接源_02物料!$D$4:$D$1203,"次果筐*",对接源_02物料!$L$4:$L$1203,"已收讫")+SUMIFS(对接源_02物料!$K$4:$K$1203,对接源_02物料!$C$4:$C$1203,$B152,对接源_02物料!$D$4:$D$1203,"次果筐*",对接源_02物料!$L$4:$L$1203,"已付款"),2))</f>
        <v/>
      </c>
      <c r="J152" s="18" t="str">
        <f t="shared" si="10"/>
        <v/>
      </c>
      <c r="K152" s="16" t="str">
        <f t="shared" si="11"/>
        <v/>
      </c>
      <c r="L152" s="26"/>
    </row>
    <row r="153" customHeight="1" spans="1:12">
      <c r="A153" s="16" t="str">
        <f t="shared" si="8"/>
        <v/>
      </c>
      <c r="B153" s="11" t="str">
        <f>IFERROR(INDEX(_自动清单!$E$4:$E$303,ROW()-3),"")</f>
        <v/>
      </c>
      <c r="C153" s="18" t="str">
        <f>IF($B153="","",ROUND(SUMIFS(对接源_01水果!$K$4:$K$1203,对接源_01水果!$C$4:$C$1203,$B153,对接源_01水果!$D$4:$D$1203,"成品出库*"),2))</f>
        <v/>
      </c>
      <c r="D153" s="18" t="str">
        <f>IF($B153="","",ROUND(SUMIFS(对接源_01水果!$K$4:$K$1203,对接源_01水果!$C$4:$C$1203,$B153,对接源_01水果!$D$4:$D$1203,"其他代存*"),2))</f>
        <v/>
      </c>
      <c r="E153" s="18" t="str">
        <f>IF($B153="","",ROUND(SUMIFS(对接源_02物料!$K$4:$K$1203,对接源_02物料!$C$4:$C$1203,$B153,对接源_02物料!$D$4:$D$1203,"包装物料*"),2))</f>
        <v/>
      </c>
      <c r="F153" s="18" t="str">
        <f>IF($B153="","",ROUND(SUMIFS(对接源_02物料!$K$4:$K$1203,对接源_02物料!$C$4:$C$1203,$B153,对接源_02物料!$D$4:$D$1203,"周转筐*"),2))</f>
        <v/>
      </c>
      <c r="G153" s="18" t="str">
        <f>IF($B153="","",ROUND(SUMIFS(对接源_02物料!$K$4:$K$1203,对接源_02物料!$C$4:$C$1203,$B153,对接源_02物料!$D$4:$D$1203,"次果筐*"),2))</f>
        <v/>
      </c>
      <c r="H153" s="18" t="str">
        <f t="shared" si="9"/>
        <v/>
      </c>
      <c r="I153" s="18" t="str">
        <f>IF($B153="","",ROUND(SUMIFS(对接源_01水果!$K$4:$K$1203,对接源_01水果!$C$4:$C$1203,$B153,对接源_01水果!$D$4:$D$1203,"成品出库*",对接源_01水果!$L$4:$L$1203,"已收讫")+SUMIFS(对接源_01水果!$K$4:$K$1203,对接源_01水果!$C$4:$C$1203,$B153,对接源_01水果!$D$4:$D$1203,"成品出库*",对接源_01水果!$L$4:$L$1203,"已付款")+SUMIFS(对接源_01水果!$K$4:$K$1203,对接源_01水果!$C$4:$C$1203,$B153,对接源_01水果!$D$4:$D$1203,"其他代存*",对接源_01水果!$L$4:$L$1203,"已收讫")+SUMIFS(对接源_01水果!$K$4:$K$1203,对接源_01水果!$C$4:$C$1203,$B153,对接源_01水果!$D$4:$D$1203,"其他代存*",对接源_01水果!$L$4:$L$1203,"已付款")+SUMIFS(对接源_02物料!$K$4:$K$1203,对接源_02物料!$C$4:$C$1203,$B153,对接源_02物料!$D$4:$D$1203,"包装物料*",对接源_02物料!$L$4:$L$1203,"已收讫")+SUMIFS(对接源_02物料!$K$4:$K$1203,对接源_02物料!$C$4:$C$1203,$B153,对接源_02物料!$D$4:$D$1203,"包装物料*",对接源_02物料!$L$4:$L$1203,"已付款")+SUMIFS(对接源_02物料!$K$4:$K$1203,对接源_02物料!$C$4:$C$1203,$B153,对接源_02物料!$D$4:$D$1203,"周转筐*",对接源_02物料!$L$4:$L$1203,"已收讫")+SUMIFS(对接源_02物料!$K$4:$K$1203,对接源_02物料!$C$4:$C$1203,$B153,对接源_02物料!$D$4:$D$1203,"周转筐*",对接源_02物料!$L$4:$L$1203,"已付款")+SUMIFS(对接源_02物料!$K$4:$K$1203,对接源_02物料!$C$4:$C$1203,$B153,对接源_02物料!$D$4:$D$1203,"次果筐*",对接源_02物料!$L$4:$L$1203,"已收讫")+SUMIFS(对接源_02物料!$K$4:$K$1203,对接源_02物料!$C$4:$C$1203,$B153,对接源_02物料!$D$4:$D$1203,"次果筐*",对接源_02物料!$L$4:$L$1203,"已付款"),2))</f>
        <v/>
      </c>
      <c r="J153" s="18" t="str">
        <f t="shared" si="10"/>
        <v/>
      </c>
      <c r="K153" s="16" t="str">
        <f t="shared" si="11"/>
        <v/>
      </c>
      <c r="L153" s="26"/>
    </row>
    <row r="154" customHeight="1" spans="1:12">
      <c r="A154" s="16" t="str">
        <f t="shared" si="8"/>
        <v/>
      </c>
      <c r="B154" s="11" t="str">
        <f>IFERROR(INDEX(_自动清单!$E$4:$E$303,ROW()-3),"")</f>
        <v/>
      </c>
      <c r="C154" s="18" t="str">
        <f>IF($B154="","",ROUND(SUMIFS(对接源_01水果!$K$4:$K$1203,对接源_01水果!$C$4:$C$1203,$B154,对接源_01水果!$D$4:$D$1203,"成品出库*"),2))</f>
        <v/>
      </c>
      <c r="D154" s="18" t="str">
        <f>IF($B154="","",ROUND(SUMIFS(对接源_01水果!$K$4:$K$1203,对接源_01水果!$C$4:$C$1203,$B154,对接源_01水果!$D$4:$D$1203,"其他代存*"),2))</f>
        <v/>
      </c>
      <c r="E154" s="18" t="str">
        <f>IF($B154="","",ROUND(SUMIFS(对接源_02物料!$K$4:$K$1203,对接源_02物料!$C$4:$C$1203,$B154,对接源_02物料!$D$4:$D$1203,"包装物料*"),2))</f>
        <v/>
      </c>
      <c r="F154" s="18" t="str">
        <f>IF($B154="","",ROUND(SUMIFS(对接源_02物料!$K$4:$K$1203,对接源_02物料!$C$4:$C$1203,$B154,对接源_02物料!$D$4:$D$1203,"周转筐*"),2))</f>
        <v/>
      </c>
      <c r="G154" s="18" t="str">
        <f>IF($B154="","",ROUND(SUMIFS(对接源_02物料!$K$4:$K$1203,对接源_02物料!$C$4:$C$1203,$B154,对接源_02物料!$D$4:$D$1203,"次果筐*"),2))</f>
        <v/>
      </c>
      <c r="H154" s="18" t="str">
        <f t="shared" si="9"/>
        <v/>
      </c>
      <c r="I154" s="18" t="str">
        <f>IF($B154="","",ROUND(SUMIFS(对接源_01水果!$K$4:$K$1203,对接源_01水果!$C$4:$C$1203,$B154,对接源_01水果!$D$4:$D$1203,"成品出库*",对接源_01水果!$L$4:$L$1203,"已收讫")+SUMIFS(对接源_01水果!$K$4:$K$1203,对接源_01水果!$C$4:$C$1203,$B154,对接源_01水果!$D$4:$D$1203,"成品出库*",对接源_01水果!$L$4:$L$1203,"已付款")+SUMIFS(对接源_01水果!$K$4:$K$1203,对接源_01水果!$C$4:$C$1203,$B154,对接源_01水果!$D$4:$D$1203,"其他代存*",对接源_01水果!$L$4:$L$1203,"已收讫")+SUMIFS(对接源_01水果!$K$4:$K$1203,对接源_01水果!$C$4:$C$1203,$B154,对接源_01水果!$D$4:$D$1203,"其他代存*",对接源_01水果!$L$4:$L$1203,"已付款")+SUMIFS(对接源_02物料!$K$4:$K$1203,对接源_02物料!$C$4:$C$1203,$B154,对接源_02物料!$D$4:$D$1203,"包装物料*",对接源_02物料!$L$4:$L$1203,"已收讫")+SUMIFS(对接源_02物料!$K$4:$K$1203,对接源_02物料!$C$4:$C$1203,$B154,对接源_02物料!$D$4:$D$1203,"包装物料*",对接源_02物料!$L$4:$L$1203,"已付款")+SUMIFS(对接源_02物料!$K$4:$K$1203,对接源_02物料!$C$4:$C$1203,$B154,对接源_02物料!$D$4:$D$1203,"周转筐*",对接源_02物料!$L$4:$L$1203,"已收讫")+SUMIFS(对接源_02物料!$K$4:$K$1203,对接源_02物料!$C$4:$C$1203,$B154,对接源_02物料!$D$4:$D$1203,"周转筐*",对接源_02物料!$L$4:$L$1203,"已付款")+SUMIFS(对接源_02物料!$K$4:$K$1203,对接源_02物料!$C$4:$C$1203,$B154,对接源_02物料!$D$4:$D$1203,"次果筐*",对接源_02物料!$L$4:$L$1203,"已收讫")+SUMIFS(对接源_02物料!$K$4:$K$1203,对接源_02物料!$C$4:$C$1203,$B154,对接源_02物料!$D$4:$D$1203,"次果筐*",对接源_02物料!$L$4:$L$1203,"已付款"),2))</f>
        <v/>
      </c>
      <c r="J154" s="18" t="str">
        <f t="shared" si="10"/>
        <v/>
      </c>
      <c r="K154" s="16" t="str">
        <f t="shared" si="11"/>
        <v/>
      </c>
      <c r="L154" s="26"/>
    </row>
    <row r="155" customHeight="1" spans="1:12">
      <c r="A155" s="16" t="str">
        <f t="shared" si="8"/>
        <v/>
      </c>
      <c r="B155" s="11" t="str">
        <f>IFERROR(INDEX(_自动清单!$E$4:$E$303,ROW()-3),"")</f>
        <v/>
      </c>
      <c r="C155" s="18" t="str">
        <f>IF($B155="","",ROUND(SUMIFS(对接源_01水果!$K$4:$K$1203,对接源_01水果!$C$4:$C$1203,$B155,对接源_01水果!$D$4:$D$1203,"成品出库*"),2))</f>
        <v/>
      </c>
      <c r="D155" s="18" t="str">
        <f>IF($B155="","",ROUND(SUMIFS(对接源_01水果!$K$4:$K$1203,对接源_01水果!$C$4:$C$1203,$B155,对接源_01水果!$D$4:$D$1203,"其他代存*"),2))</f>
        <v/>
      </c>
      <c r="E155" s="18" t="str">
        <f>IF($B155="","",ROUND(SUMIFS(对接源_02物料!$K$4:$K$1203,对接源_02物料!$C$4:$C$1203,$B155,对接源_02物料!$D$4:$D$1203,"包装物料*"),2))</f>
        <v/>
      </c>
      <c r="F155" s="18" t="str">
        <f>IF($B155="","",ROUND(SUMIFS(对接源_02物料!$K$4:$K$1203,对接源_02物料!$C$4:$C$1203,$B155,对接源_02物料!$D$4:$D$1203,"周转筐*"),2))</f>
        <v/>
      </c>
      <c r="G155" s="18" t="str">
        <f>IF($B155="","",ROUND(SUMIFS(对接源_02物料!$K$4:$K$1203,对接源_02物料!$C$4:$C$1203,$B155,对接源_02物料!$D$4:$D$1203,"次果筐*"),2))</f>
        <v/>
      </c>
      <c r="H155" s="18" t="str">
        <f t="shared" si="9"/>
        <v/>
      </c>
      <c r="I155" s="18" t="str">
        <f>IF($B155="","",ROUND(SUMIFS(对接源_01水果!$K$4:$K$1203,对接源_01水果!$C$4:$C$1203,$B155,对接源_01水果!$D$4:$D$1203,"成品出库*",对接源_01水果!$L$4:$L$1203,"已收讫")+SUMIFS(对接源_01水果!$K$4:$K$1203,对接源_01水果!$C$4:$C$1203,$B155,对接源_01水果!$D$4:$D$1203,"成品出库*",对接源_01水果!$L$4:$L$1203,"已付款")+SUMIFS(对接源_01水果!$K$4:$K$1203,对接源_01水果!$C$4:$C$1203,$B155,对接源_01水果!$D$4:$D$1203,"其他代存*",对接源_01水果!$L$4:$L$1203,"已收讫")+SUMIFS(对接源_01水果!$K$4:$K$1203,对接源_01水果!$C$4:$C$1203,$B155,对接源_01水果!$D$4:$D$1203,"其他代存*",对接源_01水果!$L$4:$L$1203,"已付款")+SUMIFS(对接源_02物料!$K$4:$K$1203,对接源_02物料!$C$4:$C$1203,$B155,对接源_02物料!$D$4:$D$1203,"包装物料*",对接源_02物料!$L$4:$L$1203,"已收讫")+SUMIFS(对接源_02物料!$K$4:$K$1203,对接源_02物料!$C$4:$C$1203,$B155,对接源_02物料!$D$4:$D$1203,"包装物料*",对接源_02物料!$L$4:$L$1203,"已付款")+SUMIFS(对接源_02物料!$K$4:$K$1203,对接源_02物料!$C$4:$C$1203,$B155,对接源_02物料!$D$4:$D$1203,"周转筐*",对接源_02物料!$L$4:$L$1203,"已收讫")+SUMIFS(对接源_02物料!$K$4:$K$1203,对接源_02物料!$C$4:$C$1203,$B155,对接源_02物料!$D$4:$D$1203,"周转筐*",对接源_02物料!$L$4:$L$1203,"已付款")+SUMIFS(对接源_02物料!$K$4:$K$1203,对接源_02物料!$C$4:$C$1203,$B155,对接源_02物料!$D$4:$D$1203,"次果筐*",对接源_02物料!$L$4:$L$1203,"已收讫")+SUMIFS(对接源_02物料!$K$4:$K$1203,对接源_02物料!$C$4:$C$1203,$B155,对接源_02物料!$D$4:$D$1203,"次果筐*",对接源_02物料!$L$4:$L$1203,"已付款"),2))</f>
        <v/>
      </c>
      <c r="J155" s="18" t="str">
        <f t="shared" si="10"/>
        <v/>
      </c>
      <c r="K155" s="16" t="str">
        <f t="shared" si="11"/>
        <v/>
      </c>
      <c r="L155" s="26"/>
    </row>
    <row r="156" customHeight="1" spans="1:12">
      <c r="A156" s="16" t="str">
        <f t="shared" si="8"/>
        <v/>
      </c>
      <c r="B156" s="11" t="str">
        <f>IFERROR(INDEX(_自动清单!$E$4:$E$303,ROW()-3),"")</f>
        <v/>
      </c>
      <c r="C156" s="18" t="str">
        <f>IF($B156="","",ROUND(SUMIFS(对接源_01水果!$K$4:$K$1203,对接源_01水果!$C$4:$C$1203,$B156,对接源_01水果!$D$4:$D$1203,"成品出库*"),2))</f>
        <v/>
      </c>
      <c r="D156" s="18" t="str">
        <f>IF($B156="","",ROUND(SUMIFS(对接源_01水果!$K$4:$K$1203,对接源_01水果!$C$4:$C$1203,$B156,对接源_01水果!$D$4:$D$1203,"其他代存*"),2))</f>
        <v/>
      </c>
      <c r="E156" s="18" t="str">
        <f>IF($B156="","",ROUND(SUMIFS(对接源_02物料!$K$4:$K$1203,对接源_02物料!$C$4:$C$1203,$B156,对接源_02物料!$D$4:$D$1203,"包装物料*"),2))</f>
        <v/>
      </c>
      <c r="F156" s="18" t="str">
        <f>IF($B156="","",ROUND(SUMIFS(对接源_02物料!$K$4:$K$1203,对接源_02物料!$C$4:$C$1203,$B156,对接源_02物料!$D$4:$D$1203,"周转筐*"),2))</f>
        <v/>
      </c>
      <c r="G156" s="18" t="str">
        <f>IF($B156="","",ROUND(SUMIFS(对接源_02物料!$K$4:$K$1203,对接源_02物料!$C$4:$C$1203,$B156,对接源_02物料!$D$4:$D$1203,"次果筐*"),2))</f>
        <v/>
      </c>
      <c r="H156" s="18" t="str">
        <f t="shared" si="9"/>
        <v/>
      </c>
      <c r="I156" s="18" t="str">
        <f>IF($B156="","",ROUND(SUMIFS(对接源_01水果!$K$4:$K$1203,对接源_01水果!$C$4:$C$1203,$B156,对接源_01水果!$D$4:$D$1203,"成品出库*",对接源_01水果!$L$4:$L$1203,"已收讫")+SUMIFS(对接源_01水果!$K$4:$K$1203,对接源_01水果!$C$4:$C$1203,$B156,对接源_01水果!$D$4:$D$1203,"成品出库*",对接源_01水果!$L$4:$L$1203,"已付款")+SUMIFS(对接源_01水果!$K$4:$K$1203,对接源_01水果!$C$4:$C$1203,$B156,对接源_01水果!$D$4:$D$1203,"其他代存*",对接源_01水果!$L$4:$L$1203,"已收讫")+SUMIFS(对接源_01水果!$K$4:$K$1203,对接源_01水果!$C$4:$C$1203,$B156,对接源_01水果!$D$4:$D$1203,"其他代存*",对接源_01水果!$L$4:$L$1203,"已付款")+SUMIFS(对接源_02物料!$K$4:$K$1203,对接源_02物料!$C$4:$C$1203,$B156,对接源_02物料!$D$4:$D$1203,"包装物料*",对接源_02物料!$L$4:$L$1203,"已收讫")+SUMIFS(对接源_02物料!$K$4:$K$1203,对接源_02物料!$C$4:$C$1203,$B156,对接源_02物料!$D$4:$D$1203,"包装物料*",对接源_02物料!$L$4:$L$1203,"已付款")+SUMIFS(对接源_02物料!$K$4:$K$1203,对接源_02物料!$C$4:$C$1203,$B156,对接源_02物料!$D$4:$D$1203,"周转筐*",对接源_02物料!$L$4:$L$1203,"已收讫")+SUMIFS(对接源_02物料!$K$4:$K$1203,对接源_02物料!$C$4:$C$1203,$B156,对接源_02物料!$D$4:$D$1203,"周转筐*",对接源_02物料!$L$4:$L$1203,"已付款")+SUMIFS(对接源_02物料!$K$4:$K$1203,对接源_02物料!$C$4:$C$1203,$B156,对接源_02物料!$D$4:$D$1203,"次果筐*",对接源_02物料!$L$4:$L$1203,"已收讫")+SUMIFS(对接源_02物料!$K$4:$K$1203,对接源_02物料!$C$4:$C$1203,$B156,对接源_02物料!$D$4:$D$1203,"次果筐*",对接源_02物料!$L$4:$L$1203,"已付款"),2))</f>
        <v/>
      </c>
      <c r="J156" s="18" t="str">
        <f t="shared" si="10"/>
        <v/>
      </c>
      <c r="K156" s="16" t="str">
        <f t="shared" si="11"/>
        <v/>
      </c>
      <c r="L156" s="26"/>
    </row>
    <row r="157" customHeight="1" spans="1:12">
      <c r="A157" s="16" t="str">
        <f t="shared" si="8"/>
        <v/>
      </c>
      <c r="B157" s="11" t="str">
        <f>IFERROR(INDEX(_自动清单!$E$4:$E$303,ROW()-3),"")</f>
        <v/>
      </c>
      <c r="C157" s="18" t="str">
        <f>IF($B157="","",ROUND(SUMIFS(对接源_01水果!$K$4:$K$1203,对接源_01水果!$C$4:$C$1203,$B157,对接源_01水果!$D$4:$D$1203,"成品出库*"),2))</f>
        <v/>
      </c>
      <c r="D157" s="18" t="str">
        <f>IF($B157="","",ROUND(SUMIFS(对接源_01水果!$K$4:$K$1203,对接源_01水果!$C$4:$C$1203,$B157,对接源_01水果!$D$4:$D$1203,"其他代存*"),2))</f>
        <v/>
      </c>
      <c r="E157" s="18" t="str">
        <f>IF($B157="","",ROUND(SUMIFS(对接源_02物料!$K$4:$K$1203,对接源_02物料!$C$4:$C$1203,$B157,对接源_02物料!$D$4:$D$1203,"包装物料*"),2))</f>
        <v/>
      </c>
      <c r="F157" s="18" t="str">
        <f>IF($B157="","",ROUND(SUMIFS(对接源_02物料!$K$4:$K$1203,对接源_02物料!$C$4:$C$1203,$B157,对接源_02物料!$D$4:$D$1203,"周转筐*"),2))</f>
        <v/>
      </c>
      <c r="G157" s="18" t="str">
        <f>IF($B157="","",ROUND(SUMIFS(对接源_02物料!$K$4:$K$1203,对接源_02物料!$C$4:$C$1203,$B157,对接源_02物料!$D$4:$D$1203,"次果筐*"),2))</f>
        <v/>
      </c>
      <c r="H157" s="18" t="str">
        <f t="shared" si="9"/>
        <v/>
      </c>
      <c r="I157" s="18" t="str">
        <f>IF($B157="","",ROUND(SUMIFS(对接源_01水果!$K$4:$K$1203,对接源_01水果!$C$4:$C$1203,$B157,对接源_01水果!$D$4:$D$1203,"成品出库*",对接源_01水果!$L$4:$L$1203,"已收讫")+SUMIFS(对接源_01水果!$K$4:$K$1203,对接源_01水果!$C$4:$C$1203,$B157,对接源_01水果!$D$4:$D$1203,"成品出库*",对接源_01水果!$L$4:$L$1203,"已付款")+SUMIFS(对接源_01水果!$K$4:$K$1203,对接源_01水果!$C$4:$C$1203,$B157,对接源_01水果!$D$4:$D$1203,"其他代存*",对接源_01水果!$L$4:$L$1203,"已收讫")+SUMIFS(对接源_01水果!$K$4:$K$1203,对接源_01水果!$C$4:$C$1203,$B157,对接源_01水果!$D$4:$D$1203,"其他代存*",对接源_01水果!$L$4:$L$1203,"已付款")+SUMIFS(对接源_02物料!$K$4:$K$1203,对接源_02物料!$C$4:$C$1203,$B157,对接源_02物料!$D$4:$D$1203,"包装物料*",对接源_02物料!$L$4:$L$1203,"已收讫")+SUMIFS(对接源_02物料!$K$4:$K$1203,对接源_02物料!$C$4:$C$1203,$B157,对接源_02物料!$D$4:$D$1203,"包装物料*",对接源_02物料!$L$4:$L$1203,"已付款")+SUMIFS(对接源_02物料!$K$4:$K$1203,对接源_02物料!$C$4:$C$1203,$B157,对接源_02物料!$D$4:$D$1203,"周转筐*",对接源_02物料!$L$4:$L$1203,"已收讫")+SUMIFS(对接源_02物料!$K$4:$K$1203,对接源_02物料!$C$4:$C$1203,$B157,对接源_02物料!$D$4:$D$1203,"周转筐*",对接源_02物料!$L$4:$L$1203,"已付款")+SUMIFS(对接源_02物料!$K$4:$K$1203,对接源_02物料!$C$4:$C$1203,$B157,对接源_02物料!$D$4:$D$1203,"次果筐*",对接源_02物料!$L$4:$L$1203,"已收讫")+SUMIFS(对接源_02物料!$K$4:$K$1203,对接源_02物料!$C$4:$C$1203,$B157,对接源_02物料!$D$4:$D$1203,"次果筐*",对接源_02物料!$L$4:$L$1203,"已付款"),2))</f>
        <v/>
      </c>
      <c r="J157" s="18" t="str">
        <f t="shared" si="10"/>
        <v/>
      </c>
      <c r="K157" s="16" t="str">
        <f t="shared" si="11"/>
        <v/>
      </c>
      <c r="L157" s="26"/>
    </row>
    <row r="158" customHeight="1" spans="1:12">
      <c r="A158" s="16" t="str">
        <f t="shared" si="8"/>
        <v/>
      </c>
      <c r="B158" s="11" t="str">
        <f>IFERROR(INDEX(_自动清单!$E$4:$E$303,ROW()-3),"")</f>
        <v/>
      </c>
      <c r="C158" s="18" t="str">
        <f>IF($B158="","",ROUND(SUMIFS(对接源_01水果!$K$4:$K$1203,对接源_01水果!$C$4:$C$1203,$B158,对接源_01水果!$D$4:$D$1203,"成品出库*"),2))</f>
        <v/>
      </c>
      <c r="D158" s="18" t="str">
        <f>IF($B158="","",ROUND(SUMIFS(对接源_01水果!$K$4:$K$1203,对接源_01水果!$C$4:$C$1203,$B158,对接源_01水果!$D$4:$D$1203,"其他代存*"),2))</f>
        <v/>
      </c>
      <c r="E158" s="18" t="str">
        <f>IF($B158="","",ROUND(SUMIFS(对接源_02物料!$K$4:$K$1203,对接源_02物料!$C$4:$C$1203,$B158,对接源_02物料!$D$4:$D$1203,"包装物料*"),2))</f>
        <v/>
      </c>
      <c r="F158" s="18" t="str">
        <f>IF($B158="","",ROUND(SUMIFS(对接源_02物料!$K$4:$K$1203,对接源_02物料!$C$4:$C$1203,$B158,对接源_02物料!$D$4:$D$1203,"周转筐*"),2))</f>
        <v/>
      </c>
      <c r="G158" s="18" t="str">
        <f>IF($B158="","",ROUND(SUMIFS(对接源_02物料!$K$4:$K$1203,对接源_02物料!$C$4:$C$1203,$B158,对接源_02物料!$D$4:$D$1203,"次果筐*"),2))</f>
        <v/>
      </c>
      <c r="H158" s="18" t="str">
        <f t="shared" si="9"/>
        <v/>
      </c>
      <c r="I158" s="18" t="str">
        <f>IF($B158="","",ROUND(SUMIFS(对接源_01水果!$K$4:$K$1203,对接源_01水果!$C$4:$C$1203,$B158,对接源_01水果!$D$4:$D$1203,"成品出库*",对接源_01水果!$L$4:$L$1203,"已收讫")+SUMIFS(对接源_01水果!$K$4:$K$1203,对接源_01水果!$C$4:$C$1203,$B158,对接源_01水果!$D$4:$D$1203,"成品出库*",对接源_01水果!$L$4:$L$1203,"已付款")+SUMIFS(对接源_01水果!$K$4:$K$1203,对接源_01水果!$C$4:$C$1203,$B158,对接源_01水果!$D$4:$D$1203,"其他代存*",对接源_01水果!$L$4:$L$1203,"已收讫")+SUMIFS(对接源_01水果!$K$4:$K$1203,对接源_01水果!$C$4:$C$1203,$B158,对接源_01水果!$D$4:$D$1203,"其他代存*",对接源_01水果!$L$4:$L$1203,"已付款")+SUMIFS(对接源_02物料!$K$4:$K$1203,对接源_02物料!$C$4:$C$1203,$B158,对接源_02物料!$D$4:$D$1203,"包装物料*",对接源_02物料!$L$4:$L$1203,"已收讫")+SUMIFS(对接源_02物料!$K$4:$K$1203,对接源_02物料!$C$4:$C$1203,$B158,对接源_02物料!$D$4:$D$1203,"包装物料*",对接源_02物料!$L$4:$L$1203,"已付款")+SUMIFS(对接源_02物料!$K$4:$K$1203,对接源_02物料!$C$4:$C$1203,$B158,对接源_02物料!$D$4:$D$1203,"周转筐*",对接源_02物料!$L$4:$L$1203,"已收讫")+SUMIFS(对接源_02物料!$K$4:$K$1203,对接源_02物料!$C$4:$C$1203,$B158,对接源_02物料!$D$4:$D$1203,"周转筐*",对接源_02物料!$L$4:$L$1203,"已付款")+SUMIFS(对接源_02物料!$K$4:$K$1203,对接源_02物料!$C$4:$C$1203,$B158,对接源_02物料!$D$4:$D$1203,"次果筐*",对接源_02物料!$L$4:$L$1203,"已收讫")+SUMIFS(对接源_02物料!$K$4:$K$1203,对接源_02物料!$C$4:$C$1203,$B158,对接源_02物料!$D$4:$D$1203,"次果筐*",对接源_02物料!$L$4:$L$1203,"已付款"),2))</f>
        <v/>
      </c>
      <c r="J158" s="18" t="str">
        <f t="shared" si="10"/>
        <v/>
      </c>
      <c r="K158" s="16" t="str">
        <f t="shared" si="11"/>
        <v/>
      </c>
      <c r="L158" s="26"/>
    </row>
    <row r="159" customHeight="1" spans="1:12">
      <c r="A159" s="16" t="str">
        <f t="shared" si="8"/>
        <v/>
      </c>
      <c r="B159" s="11" t="str">
        <f>IFERROR(INDEX(_自动清单!$E$4:$E$303,ROW()-3),"")</f>
        <v/>
      </c>
      <c r="C159" s="18" t="str">
        <f>IF($B159="","",ROUND(SUMIFS(对接源_01水果!$K$4:$K$1203,对接源_01水果!$C$4:$C$1203,$B159,对接源_01水果!$D$4:$D$1203,"成品出库*"),2))</f>
        <v/>
      </c>
      <c r="D159" s="18" t="str">
        <f>IF($B159="","",ROUND(SUMIFS(对接源_01水果!$K$4:$K$1203,对接源_01水果!$C$4:$C$1203,$B159,对接源_01水果!$D$4:$D$1203,"其他代存*"),2))</f>
        <v/>
      </c>
      <c r="E159" s="18" t="str">
        <f>IF($B159="","",ROUND(SUMIFS(对接源_02物料!$K$4:$K$1203,对接源_02物料!$C$4:$C$1203,$B159,对接源_02物料!$D$4:$D$1203,"包装物料*"),2))</f>
        <v/>
      </c>
      <c r="F159" s="18" t="str">
        <f>IF($B159="","",ROUND(SUMIFS(对接源_02物料!$K$4:$K$1203,对接源_02物料!$C$4:$C$1203,$B159,对接源_02物料!$D$4:$D$1203,"周转筐*"),2))</f>
        <v/>
      </c>
      <c r="G159" s="18" t="str">
        <f>IF($B159="","",ROUND(SUMIFS(对接源_02物料!$K$4:$K$1203,对接源_02物料!$C$4:$C$1203,$B159,对接源_02物料!$D$4:$D$1203,"次果筐*"),2))</f>
        <v/>
      </c>
      <c r="H159" s="18" t="str">
        <f t="shared" si="9"/>
        <v/>
      </c>
      <c r="I159" s="18" t="str">
        <f>IF($B159="","",ROUND(SUMIFS(对接源_01水果!$K$4:$K$1203,对接源_01水果!$C$4:$C$1203,$B159,对接源_01水果!$D$4:$D$1203,"成品出库*",对接源_01水果!$L$4:$L$1203,"已收讫")+SUMIFS(对接源_01水果!$K$4:$K$1203,对接源_01水果!$C$4:$C$1203,$B159,对接源_01水果!$D$4:$D$1203,"成品出库*",对接源_01水果!$L$4:$L$1203,"已付款")+SUMIFS(对接源_01水果!$K$4:$K$1203,对接源_01水果!$C$4:$C$1203,$B159,对接源_01水果!$D$4:$D$1203,"其他代存*",对接源_01水果!$L$4:$L$1203,"已收讫")+SUMIFS(对接源_01水果!$K$4:$K$1203,对接源_01水果!$C$4:$C$1203,$B159,对接源_01水果!$D$4:$D$1203,"其他代存*",对接源_01水果!$L$4:$L$1203,"已付款")+SUMIFS(对接源_02物料!$K$4:$K$1203,对接源_02物料!$C$4:$C$1203,$B159,对接源_02物料!$D$4:$D$1203,"包装物料*",对接源_02物料!$L$4:$L$1203,"已收讫")+SUMIFS(对接源_02物料!$K$4:$K$1203,对接源_02物料!$C$4:$C$1203,$B159,对接源_02物料!$D$4:$D$1203,"包装物料*",对接源_02物料!$L$4:$L$1203,"已付款")+SUMIFS(对接源_02物料!$K$4:$K$1203,对接源_02物料!$C$4:$C$1203,$B159,对接源_02物料!$D$4:$D$1203,"周转筐*",对接源_02物料!$L$4:$L$1203,"已收讫")+SUMIFS(对接源_02物料!$K$4:$K$1203,对接源_02物料!$C$4:$C$1203,$B159,对接源_02物料!$D$4:$D$1203,"周转筐*",对接源_02物料!$L$4:$L$1203,"已付款")+SUMIFS(对接源_02物料!$K$4:$K$1203,对接源_02物料!$C$4:$C$1203,$B159,对接源_02物料!$D$4:$D$1203,"次果筐*",对接源_02物料!$L$4:$L$1203,"已收讫")+SUMIFS(对接源_02物料!$K$4:$K$1203,对接源_02物料!$C$4:$C$1203,$B159,对接源_02物料!$D$4:$D$1203,"次果筐*",对接源_02物料!$L$4:$L$1203,"已付款"),2))</f>
        <v/>
      </c>
      <c r="J159" s="18" t="str">
        <f t="shared" si="10"/>
        <v/>
      </c>
      <c r="K159" s="16" t="str">
        <f t="shared" si="11"/>
        <v/>
      </c>
      <c r="L159" s="26"/>
    </row>
    <row r="160" customHeight="1" spans="1:12">
      <c r="A160" s="16" t="str">
        <f t="shared" si="8"/>
        <v/>
      </c>
      <c r="B160" s="11" t="str">
        <f>IFERROR(INDEX(_自动清单!$E$4:$E$303,ROW()-3),"")</f>
        <v/>
      </c>
      <c r="C160" s="18" t="str">
        <f>IF($B160="","",ROUND(SUMIFS(对接源_01水果!$K$4:$K$1203,对接源_01水果!$C$4:$C$1203,$B160,对接源_01水果!$D$4:$D$1203,"成品出库*"),2))</f>
        <v/>
      </c>
      <c r="D160" s="18" t="str">
        <f>IF($B160="","",ROUND(SUMIFS(对接源_01水果!$K$4:$K$1203,对接源_01水果!$C$4:$C$1203,$B160,对接源_01水果!$D$4:$D$1203,"其他代存*"),2))</f>
        <v/>
      </c>
      <c r="E160" s="18" t="str">
        <f>IF($B160="","",ROUND(SUMIFS(对接源_02物料!$K$4:$K$1203,对接源_02物料!$C$4:$C$1203,$B160,对接源_02物料!$D$4:$D$1203,"包装物料*"),2))</f>
        <v/>
      </c>
      <c r="F160" s="18" t="str">
        <f>IF($B160="","",ROUND(SUMIFS(对接源_02物料!$K$4:$K$1203,对接源_02物料!$C$4:$C$1203,$B160,对接源_02物料!$D$4:$D$1203,"周转筐*"),2))</f>
        <v/>
      </c>
      <c r="G160" s="18" t="str">
        <f>IF($B160="","",ROUND(SUMIFS(对接源_02物料!$K$4:$K$1203,对接源_02物料!$C$4:$C$1203,$B160,对接源_02物料!$D$4:$D$1203,"次果筐*"),2))</f>
        <v/>
      </c>
      <c r="H160" s="18" t="str">
        <f t="shared" si="9"/>
        <v/>
      </c>
      <c r="I160" s="18" t="str">
        <f>IF($B160="","",ROUND(SUMIFS(对接源_01水果!$K$4:$K$1203,对接源_01水果!$C$4:$C$1203,$B160,对接源_01水果!$D$4:$D$1203,"成品出库*",对接源_01水果!$L$4:$L$1203,"已收讫")+SUMIFS(对接源_01水果!$K$4:$K$1203,对接源_01水果!$C$4:$C$1203,$B160,对接源_01水果!$D$4:$D$1203,"成品出库*",对接源_01水果!$L$4:$L$1203,"已付款")+SUMIFS(对接源_01水果!$K$4:$K$1203,对接源_01水果!$C$4:$C$1203,$B160,对接源_01水果!$D$4:$D$1203,"其他代存*",对接源_01水果!$L$4:$L$1203,"已收讫")+SUMIFS(对接源_01水果!$K$4:$K$1203,对接源_01水果!$C$4:$C$1203,$B160,对接源_01水果!$D$4:$D$1203,"其他代存*",对接源_01水果!$L$4:$L$1203,"已付款")+SUMIFS(对接源_02物料!$K$4:$K$1203,对接源_02物料!$C$4:$C$1203,$B160,对接源_02物料!$D$4:$D$1203,"包装物料*",对接源_02物料!$L$4:$L$1203,"已收讫")+SUMIFS(对接源_02物料!$K$4:$K$1203,对接源_02物料!$C$4:$C$1203,$B160,对接源_02物料!$D$4:$D$1203,"包装物料*",对接源_02物料!$L$4:$L$1203,"已付款")+SUMIFS(对接源_02物料!$K$4:$K$1203,对接源_02物料!$C$4:$C$1203,$B160,对接源_02物料!$D$4:$D$1203,"周转筐*",对接源_02物料!$L$4:$L$1203,"已收讫")+SUMIFS(对接源_02物料!$K$4:$K$1203,对接源_02物料!$C$4:$C$1203,$B160,对接源_02物料!$D$4:$D$1203,"周转筐*",对接源_02物料!$L$4:$L$1203,"已付款")+SUMIFS(对接源_02物料!$K$4:$K$1203,对接源_02物料!$C$4:$C$1203,$B160,对接源_02物料!$D$4:$D$1203,"次果筐*",对接源_02物料!$L$4:$L$1203,"已收讫")+SUMIFS(对接源_02物料!$K$4:$K$1203,对接源_02物料!$C$4:$C$1203,$B160,对接源_02物料!$D$4:$D$1203,"次果筐*",对接源_02物料!$L$4:$L$1203,"已付款"),2))</f>
        <v/>
      </c>
      <c r="J160" s="18" t="str">
        <f t="shared" si="10"/>
        <v/>
      </c>
      <c r="K160" s="16" t="str">
        <f t="shared" si="11"/>
        <v/>
      </c>
      <c r="L160" s="26"/>
    </row>
    <row r="161" customHeight="1" spans="1:12">
      <c r="A161" s="16" t="str">
        <f t="shared" si="8"/>
        <v/>
      </c>
      <c r="B161" s="11" t="str">
        <f>IFERROR(INDEX(_自动清单!$E$4:$E$303,ROW()-3),"")</f>
        <v/>
      </c>
      <c r="C161" s="18" t="str">
        <f>IF($B161="","",ROUND(SUMIFS(对接源_01水果!$K$4:$K$1203,对接源_01水果!$C$4:$C$1203,$B161,对接源_01水果!$D$4:$D$1203,"成品出库*"),2))</f>
        <v/>
      </c>
      <c r="D161" s="18" t="str">
        <f>IF($B161="","",ROUND(SUMIFS(对接源_01水果!$K$4:$K$1203,对接源_01水果!$C$4:$C$1203,$B161,对接源_01水果!$D$4:$D$1203,"其他代存*"),2))</f>
        <v/>
      </c>
      <c r="E161" s="18" t="str">
        <f>IF($B161="","",ROUND(SUMIFS(对接源_02物料!$K$4:$K$1203,对接源_02物料!$C$4:$C$1203,$B161,对接源_02物料!$D$4:$D$1203,"包装物料*"),2))</f>
        <v/>
      </c>
      <c r="F161" s="18" t="str">
        <f>IF($B161="","",ROUND(SUMIFS(对接源_02物料!$K$4:$K$1203,对接源_02物料!$C$4:$C$1203,$B161,对接源_02物料!$D$4:$D$1203,"周转筐*"),2))</f>
        <v/>
      </c>
      <c r="G161" s="18" t="str">
        <f>IF($B161="","",ROUND(SUMIFS(对接源_02物料!$K$4:$K$1203,对接源_02物料!$C$4:$C$1203,$B161,对接源_02物料!$D$4:$D$1203,"次果筐*"),2))</f>
        <v/>
      </c>
      <c r="H161" s="18" t="str">
        <f t="shared" si="9"/>
        <v/>
      </c>
      <c r="I161" s="18" t="str">
        <f>IF($B161="","",ROUND(SUMIFS(对接源_01水果!$K$4:$K$1203,对接源_01水果!$C$4:$C$1203,$B161,对接源_01水果!$D$4:$D$1203,"成品出库*",对接源_01水果!$L$4:$L$1203,"已收讫")+SUMIFS(对接源_01水果!$K$4:$K$1203,对接源_01水果!$C$4:$C$1203,$B161,对接源_01水果!$D$4:$D$1203,"成品出库*",对接源_01水果!$L$4:$L$1203,"已付款")+SUMIFS(对接源_01水果!$K$4:$K$1203,对接源_01水果!$C$4:$C$1203,$B161,对接源_01水果!$D$4:$D$1203,"其他代存*",对接源_01水果!$L$4:$L$1203,"已收讫")+SUMIFS(对接源_01水果!$K$4:$K$1203,对接源_01水果!$C$4:$C$1203,$B161,对接源_01水果!$D$4:$D$1203,"其他代存*",对接源_01水果!$L$4:$L$1203,"已付款")+SUMIFS(对接源_02物料!$K$4:$K$1203,对接源_02物料!$C$4:$C$1203,$B161,对接源_02物料!$D$4:$D$1203,"包装物料*",对接源_02物料!$L$4:$L$1203,"已收讫")+SUMIFS(对接源_02物料!$K$4:$K$1203,对接源_02物料!$C$4:$C$1203,$B161,对接源_02物料!$D$4:$D$1203,"包装物料*",对接源_02物料!$L$4:$L$1203,"已付款")+SUMIFS(对接源_02物料!$K$4:$K$1203,对接源_02物料!$C$4:$C$1203,$B161,对接源_02物料!$D$4:$D$1203,"周转筐*",对接源_02物料!$L$4:$L$1203,"已收讫")+SUMIFS(对接源_02物料!$K$4:$K$1203,对接源_02物料!$C$4:$C$1203,$B161,对接源_02物料!$D$4:$D$1203,"周转筐*",对接源_02物料!$L$4:$L$1203,"已付款")+SUMIFS(对接源_02物料!$K$4:$K$1203,对接源_02物料!$C$4:$C$1203,$B161,对接源_02物料!$D$4:$D$1203,"次果筐*",对接源_02物料!$L$4:$L$1203,"已收讫")+SUMIFS(对接源_02物料!$K$4:$K$1203,对接源_02物料!$C$4:$C$1203,$B161,对接源_02物料!$D$4:$D$1203,"次果筐*",对接源_02物料!$L$4:$L$1203,"已付款"),2))</f>
        <v/>
      </c>
      <c r="J161" s="18" t="str">
        <f t="shared" si="10"/>
        <v/>
      </c>
      <c r="K161" s="16" t="str">
        <f t="shared" si="11"/>
        <v/>
      </c>
      <c r="L161" s="26"/>
    </row>
    <row r="162" customHeight="1" spans="1:12">
      <c r="A162" s="16" t="str">
        <f t="shared" si="8"/>
        <v/>
      </c>
      <c r="B162" s="11" t="str">
        <f>IFERROR(INDEX(_自动清单!$E$4:$E$303,ROW()-3),"")</f>
        <v/>
      </c>
      <c r="C162" s="18" t="str">
        <f>IF($B162="","",ROUND(SUMIFS(对接源_01水果!$K$4:$K$1203,对接源_01水果!$C$4:$C$1203,$B162,对接源_01水果!$D$4:$D$1203,"成品出库*"),2))</f>
        <v/>
      </c>
      <c r="D162" s="18" t="str">
        <f>IF($B162="","",ROUND(SUMIFS(对接源_01水果!$K$4:$K$1203,对接源_01水果!$C$4:$C$1203,$B162,对接源_01水果!$D$4:$D$1203,"其他代存*"),2))</f>
        <v/>
      </c>
      <c r="E162" s="18" t="str">
        <f>IF($B162="","",ROUND(SUMIFS(对接源_02物料!$K$4:$K$1203,对接源_02物料!$C$4:$C$1203,$B162,对接源_02物料!$D$4:$D$1203,"包装物料*"),2))</f>
        <v/>
      </c>
      <c r="F162" s="18" t="str">
        <f>IF($B162="","",ROUND(SUMIFS(对接源_02物料!$K$4:$K$1203,对接源_02物料!$C$4:$C$1203,$B162,对接源_02物料!$D$4:$D$1203,"周转筐*"),2))</f>
        <v/>
      </c>
      <c r="G162" s="18" t="str">
        <f>IF($B162="","",ROUND(SUMIFS(对接源_02物料!$K$4:$K$1203,对接源_02物料!$C$4:$C$1203,$B162,对接源_02物料!$D$4:$D$1203,"次果筐*"),2))</f>
        <v/>
      </c>
      <c r="H162" s="18" t="str">
        <f t="shared" si="9"/>
        <v/>
      </c>
      <c r="I162" s="18" t="str">
        <f>IF($B162="","",ROUND(SUMIFS(对接源_01水果!$K$4:$K$1203,对接源_01水果!$C$4:$C$1203,$B162,对接源_01水果!$D$4:$D$1203,"成品出库*",对接源_01水果!$L$4:$L$1203,"已收讫")+SUMIFS(对接源_01水果!$K$4:$K$1203,对接源_01水果!$C$4:$C$1203,$B162,对接源_01水果!$D$4:$D$1203,"成品出库*",对接源_01水果!$L$4:$L$1203,"已付款")+SUMIFS(对接源_01水果!$K$4:$K$1203,对接源_01水果!$C$4:$C$1203,$B162,对接源_01水果!$D$4:$D$1203,"其他代存*",对接源_01水果!$L$4:$L$1203,"已收讫")+SUMIFS(对接源_01水果!$K$4:$K$1203,对接源_01水果!$C$4:$C$1203,$B162,对接源_01水果!$D$4:$D$1203,"其他代存*",对接源_01水果!$L$4:$L$1203,"已付款")+SUMIFS(对接源_02物料!$K$4:$K$1203,对接源_02物料!$C$4:$C$1203,$B162,对接源_02物料!$D$4:$D$1203,"包装物料*",对接源_02物料!$L$4:$L$1203,"已收讫")+SUMIFS(对接源_02物料!$K$4:$K$1203,对接源_02物料!$C$4:$C$1203,$B162,对接源_02物料!$D$4:$D$1203,"包装物料*",对接源_02物料!$L$4:$L$1203,"已付款")+SUMIFS(对接源_02物料!$K$4:$K$1203,对接源_02物料!$C$4:$C$1203,$B162,对接源_02物料!$D$4:$D$1203,"周转筐*",对接源_02物料!$L$4:$L$1203,"已收讫")+SUMIFS(对接源_02物料!$K$4:$K$1203,对接源_02物料!$C$4:$C$1203,$B162,对接源_02物料!$D$4:$D$1203,"周转筐*",对接源_02物料!$L$4:$L$1203,"已付款")+SUMIFS(对接源_02物料!$K$4:$K$1203,对接源_02物料!$C$4:$C$1203,$B162,对接源_02物料!$D$4:$D$1203,"次果筐*",对接源_02物料!$L$4:$L$1203,"已收讫")+SUMIFS(对接源_02物料!$K$4:$K$1203,对接源_02物料!$C$4:$C$1203,$B162,对接源_02物料!$D$4:$D$1203,"次果筐*",对接源_02物料!$L$4:$L$1203,"已付款"),2))</f>
        <v/>
      </c>
      <c r="J162" s="18" t="str">
        <f t="shared" si="10"/>
        <v/>
      </c>
      <c r="K162" s="16" t="str">
        <f t="shared" si="11"/>
        <v/>
      </c>
      <c r="L162" s="26"/>
    </row>
    <row r="163" customHeight="1" spans="1:12">
      <c r="A163" s="16" t="str">
        <f t="shared" si="8"/>
        <v/>
      </c>
      <c r="B163" s="11" t="str">
        <f>IFERROR(INDEX(_自动清单!$E$4:$E$303,ROW()-3),"")</f>
        <v/>
      </c>
      <c r="C163" s="18" t="str">
        <f>IF($B163="","",ROUND(SUMIFS(对接源_01水果!$K$4:$K$1203,对接源_01水果!$C$4:$C$1203,$B163,对接源_01水果!$D$4:$D$1203,"成品出库*"),2))</f>
        <v/>
      </c>
      <c r="D163" s="18" t="str">
        <f>IF($B163="","",ROUND(SUMIFS(对接源_01水果!$K$4:$K$1203,对接源_01水果!$C$4:$C$1203,$B163,对接源_01水果!$D$4:$D$1203,"其他代存*"),2))</f>
        <v/>
      </c>
      <c r="E163" s="18" t="str">
        <f>IF($B163="","",ROUND(SUMIFS(对接源_02物料!$K$4:$K$1203,对接源_02物料!$C$4:$C$1203,$B163,对接源_02物料!$D$4:$D$1203,"包装物料*"),2))</f>
        <v/>
      </c>
      <c r="F163" s="18" t="str">
        <f>IF($B163="","",ROUND(SUMIFS(对接源_02物料!$K$4:$K$1203,对接源_02物料!$C$4:$C$1203,$B163,对接源_02物料!$D$4:$D$1203,"周转筐*"),2))</f>
        <v/>
      </c>
      <c r="G163" s="18" t="str">
        <f>IF($B163="","",ROUND(SUMIFS(对接源_02物料!$K$4:$K$1203,对接源_02物料!$C$4:$C$1203,$B163,对接源_02物料!$D$4:$D$1203,"次果筐*"),2))</f>
        <v/>
      </c>
      <c r="H163" s="18" t="str">
        <f t="shared" si="9"/>
        <v/>
      </c>
      <c r="I163" s="18" t="str">
        <f>IF($B163="","",ROUND(SUMIFS(对接源_01水果!$K$4:$K$1203,对接源_01水果!$C$4:$C$1203,$B163,对接源_01水果!$D$4:$D$1203,"成品出库*",对接源_01水果!$L$4:$L$1203,"已收讫")+SUMIFS(对接源_01水果!$K$4:$K$1203,对接源_01水果!$C$4:$C$1203,$B163,对接源_01水果!$D$4:$D$1203,"成品出库*",对接源_01水果!$L$4:$L$1203,"已付款")+SUMIFS(对接源_01水果!$K$4:$K$1203,对接源_01水果!$C$4:$C$1203,$B163,对接源_01水果!$D$4:$D$1203,"其他代存*",对接源_01水果!$L$4:$L$1203,"已收讫")+SUMIFS(对接源_01水果!$K$4:$K$1203,对接源_01水果!$C$4:$C$1203,$B163,对接源_01水果!$D$4:$D$1203,"其他代存*",对接源_01水果!$L$4:$L$1203,"已付款")+SUMIFS(对接源_02物料!$K$4:$K$1203,对接源_02物料!$C$4:$C$1203,$B163,对接源_02物料!$D$4:$D$1203,"包装物料*",对接源_02物料!$L$4:$L$1203,"已收讫")+SUMIFS(对接源_02物料!$K$4:$K$1203,对接源_02物料!$C$4:$C$1203,$B163,对接源_02物料!$D$4:$D$1203,"包装物料*",对接源_02物料!$L$4:$L$1203,"已付款")+SUMIFS(对接源_02物料!$K$4:$K$1203,对接源_02物料!$C$4:$C$1203,$B163,对接源_02物料!$D$4:$D$1203,"周转筐*",对接源_02物料!$L$4:$L$1203,"已收讫")+SUMIFS(对接源_02物料!$K$4:$K$1203,对接源_02物料!$C$4:$C$1203,$B163,对接源_02物料!$D$4:$D$1203,"周转筐*",对接源_02物料!$L$4:$L$1203,"已付款")+SUMIFS(对接源_02物料!$K$4:$K$1203,对接源_02物料!$C$4:$C$1203,$B163,对接源_02物料!$D$4:$D$1203,"次果筐*",对接源_02物料!$L$4:$L$1203,"已收讫")+SUMIFS(对接源_02物料!$K$4:$K$1203,对接源_02物料!$C$4:$C$1203,$B163,对接源_02物料!$D$4:$D$1203,"次果筐*",对接源_02物料!$L$4:$L$1203,"已付款"),2))</f>
        <v/>
      </c>
      <c r="J163" s="18" t="str">
        <f t="shared" si="10"/>
        <v/>
      </c>
      <c r="K163" s="16" t="str">
        <f t="shared" si="11"/>
        <v/>
      </c>
      <c r="L163" s="26"/>
    </row>
    <row r="164" customHeight="1" spans="1:12">
      <c r="A164" s="16" t="str">
        <f t="shared" si="8"/>
        <v/>
      </c>
      <c r="B164" s="11" t="str">
        <f>IFERROR(INDEX(_自动清单!$E$4:$E$303,ROW()-3),"")</f>
        <v/>
      </c>
      <c r="C164" s="18" t="str">
        <f>IF($B164="","",ROUND(SUMIFS(对接源_01水果!$K$4:$K$1203,对接源_01水果!$C$4:$C$1203,$B164,对接源_01水果!$D$4:$D$1203,"成品出库*"),2))</f>
        <v/>
      </c>
      <c r="D164" s="18" t="str">
        <f>IF($B164="","",ROUND(SUMIFS(对接源_01水果!$K$4:$K$1203,对接源_01水果!$C$4:$C$1203,$B164,对接源_01水果!$D$4:$D$1203,"其他代存*"),2))</f>
        <v/>
      </c>
      <c r="E164" s="18" t="str">
        <f>IF($B164="","",ROUND(SUMIFS(对接源_02物料!$K$4:$K$1203,对接源_02物料!$C$4:$C$1203,$B164,对接源_02物料!$D$4:$D$1203,"包装物料*"),2))</f>
        <v/>
      </c>
      <c r="F164" s="18" t="str">
        <f>IF($B164="","",ROUND(SUMIFS(对接源_02物料!$K$4:$K$1203,对接源_02物料!$C$4:$C$1203,$B164,对接源_02物料!$D$4:$D$1203,"周转筐*"),2))</f>
        <v/>
      </c>
      <c r="G164" s="18" t="str">
        <f>IF($B164="","",ROUND(SUMIFS(对接源_02物料!$K$4:$K$1203,对接源_02物料!$C$4:$C$1203,$B164,对接源_02物料!$D$4:$D$1203,"次果筐*"),2))</f>
        <v/>
      </c>
      <c r="H164" s="18" t="str">
        <f t="shared" si="9"/>
        <v/>
      </c>
      <c r="I164" s="18" t="str">
        <f>IF($B164="","",ROUND(SUMIFS(对接源_01水果!$K$4:$K$1203,对接源_01水果!$C$4:$C$1203,$B164,对接源_01水果!$D$4:$D$1203,"成品出库*",对接源_01水果!$L$4:$L$1203,"已收讫")+SUMIFS(对接源_01水果!$K$4:$K$1203,对接源_01水果!$C$4:$C$1203,$B164,对接源_01水果!$D$4:$D$1203,"成品出库*",对接源_01水果!$L$4:$L$1203,"已付款")+SUMIFS(对接源_01水果!$K$4:$K$1203,对接源_01水果!$C$4:$C$1203,$B164,对接源_01水果!$D$4:$D$1203,"其他代存*",对接源_01水果!$L$4:$L$1203,"已收讫")+SUMIFS(对接源_01水果!$K$4:$K$1203,对接源_01水果!$C$4:$C$1203,$B164,对接源_01水果!$D$4:$D$1203,"其他代存*",对接源_01水果!$L$4:$L$1203,"已付款")+SUMIFS(对接源_02物料!$K$4:$K$1203,对接源_02物料!$C$4:$C$1203,$B164,对接源_02物料!$D$4:$D$1203,"包装物料*",对接源_02物料!$L$4:$L$1203,"已收讫")+SUMIFS(对接源_02物料!$K$4:$K$1203,对接源_02物料!$C$4:$C$1203,$B164,对接源_02物料!$D$4:$D$1203,"包装物料*",对接源_02物料!$L$4:$L$1203,"已付款")+SUMIFS(对接源_02物料!$K$4:$K$1203,对接源_02物料!$C$4:$C$1203,$B164,对接源_02物料!$D$4:$D$1203,"周转筐*",对接源_02物料!$L$4:$L$1203,"已收讫")+SUMIFS(对接源_02物料!$K$4:$K$1203,对接源_02物料!$C$4:$C$1203,$B164,对接源_02物料!$D$4:$D$1203,"周转筐*",对接源_02物料!$L$4:$L$1203,"已付款")+SUMIFS(对接源_02物料!$K$4:$K$1203,对接源_02物料!$C$4:$C$1203,$B164,对接源_02物料!$D$4:$D$1203,"次果筐*",对接源_02物料!$L$4:$L$1203,"已收讫")+SUMIFS(对接源_02物料!$K$4:$K$1203,对接源_02物料!$C$4:$C$1203,$B164,对接源_02物料!$D$4:$D$1203,"次果筐*",对接源_02物料!$L$4:$L$1203,"已付款"),2))</f>
        <v/>
      </c>
      <c r="J164" s="18" t="str">
        <f t="shared" si="10"/>
        <v/>
      </c>
      <c r="K164" s="16" t="str">
        <f t="shared" si="11"/>
        <v/>
      </c>
      <c r="L164" s="26"/>
    </row>
    <row r="165" customHeight="1" spans="1:12">
      <c r="A165" s="16" t="str">
        <f t="shared" si="8"/>
        <v/>
      </c>
      <c r="B165" s="11" t="str">
        <f>IFERROR(INDEX(_自动清单!$E$4:$E$303,ROW()-3),"")</f>
        <v/>
      </c>
      <c r="C165" s="18" t="str">
        <f>IF($B165="","",ROUND(SUMIFS(对接源_01水果!$K$4:$K$1203,对接源_01水果!$C$4:$C$1203,$B165,对接源_01水果!$D$4:$D$1203,"成品出库*"),2))</f>
        <v/>
      </c>
      <c r="D165" s="18" t="str">
        <f>IF($B165="","",ROUND(SUMIFS(对接源_01水果!$K$4:$K$1203,对接源_01水果!$C$4:$C$1203,$B165,对接源_01水果!$D$4:$D$1203,"其他代存*"),2))</f>
        <v/>
      </c>
      <c r="E165" s="18" t="str">
        <f>IF($B165="","",ROUND(SUMIFS(对接源_02物料!$K$4:$K$1203,对接源_02物料!$C$4:$C$1203,$B165,对接源_02物料!$D$4:$D$1203,"包装物料*"),2))</f>
        <v/>
      </c>
      <c r="F165" s="18" t="str">
        <f>IF($B165="","",ROUND(SUMIFS(对接源_02物料!$K$4:$K$1203,对接源_02物料!$C$4:$C$1203,$B165,对接源_02物料!$D$4:$D$1203,"周转筐*"),2))</f>
        <v/>
      </c>
      <c r="G165" s="18" t="str">
        <f>IF($B165="","",ROUND(SUMIFS(对接源_02物料!$K$4:$K$1203,对接源_02物料!$C$4:$C$1203,$B165,对接源_02物料!$D$4:$D$1203,"次果筐*"),2))</f>
        <v/>
      </c>
      <c r="H165" s="18" t="str">
        <f t="shared" si="9"/>
        <v/>
      </c>
      <c r="I165" s="18" t="str">
        <f>IF($B165="","",ROUND(SUMIFS(对接源_01水果!$K$4:$K$1203,对接源_01水果!$C$4:$C$1203,$B165,对接源_01水果!$D$4:$D$1203,"成品出库*",对接源_01水果!$L$4:$L$1203,"已收讫")+SUMIFS(对接源_01水果!$K$4:$K$1203,对接源_01水果!$C$4:$C$1203,$B165,对接源_01水果!$D$4:$D$1203,"成品出库*",对接源_01水果!$L$4:$L$1203,"已付款")+SUMIFS(对接源_01水果!$K$4:$K$1203,对接源_01水果!$C$4:$C$1203,$B165,对接源_01水果!$D$4:$D$1203,"其他代存*",对接源_01水果!$L$4:$L$1203,"已收讫")+SUMIFS(对接源_01水果!$K$4:$K$1203,对接源_01水果!$C$4:$C$1203,$B165,对接源_01水果!$D$4:$D$1203,"其他代存*",对接源_01水果!$L$4:$L$1203,"已付款")+SUMIFS(对接源_02物料!$K$4:$K$1203,对接源_02物料!$C$4:$C$1203,$B165,对接源_02物料!$D$4:$D$1203,"包装物料*",对接源_02物料!$L$4:$L$1203,"已收讫")+SUMIFS(对接源_02物料!$K$4:$K$1203,对接源_02物料!$C$4:$C$1203,$B165,对接源_02物料!$D$4:$D$1203,"包装物料*",对接源_02物料!$L$4:$L$1203,"已付款")+SUMIFS(对接源_02物料!$K$4:$K$1203,对接源_02物料!$C$4:$C$1203,$B165,对接源_02物料!$D$4:$D$1203,"周转筐*",对接源_02物料!$L$4:$L$1203,"已收讫")+SUMIFS(对接源_02物料!$K$4:$K$1203,对接源_02物料!$C$4:$C$1203,$B165,对接源_02物料!$D$4:$D$1203,"周转筐*",对接源_02物料!$L$4:$L$1203,"已付款")+SUMIFS(对接源_02物料!$K$4:$K$1203,对接源_02物料!$C$4:$C$1203,$B165,对接源_02物料!$D$4:$D$1203,"次果筐*",对接源_02物料!$L$4:$L$1203,"已收讫")+SUMIFS(对接源_02物料!$K$4:$K$1203,对接源_02物料!$C$4:$C$1203,$B165,对接源_02物料!$D$4:$D$1203,"次果筐*",对接源_02物料!$L$4:$L$1203,"已付款"),2))</f>
        <v/>
      </c>
      <c r="J165" s="18" t="str">
        <f t="shared" si="10"/>
        <v/>
      </c>
      <c r="K165" s="16" t="str">
        <f t="shared" si="11"/>
        <v/>
      </c>
      <c r="L165" s="26"/>
    </row>
    <row r="166" customHeight="1" spans="1:12">
      <c r="A166" s="16" t="str">
        <f t="shared" si="8"/>
        <v/>
      </c>
      <c r="B166" s="11" t="str">
        <f>IFERROR(INDEX(_自动清单!$E$4:$E$303,ROW()-3),"")</f>
        <v/>
      </c>
      <c r="C166" s="18" t="str">
        <f>IF($B166="","",ROUND(SUMIFS(对接源_01水果!$K$4:$K$1203,对接源_01水果!$C$4:$C$1203,$B166,对接源_01水果!$D$4:$D$1203,"成品出库*"),2))</f>
        <v/>
      </c>
      <c r="D166" s="18" t="str">
        <f>IF($B166="","",ROUND(SUMIFS(对接源_01水果!$K$4:$K$1203,对接源_01水果!$C$4:$C$1203,$B166,对接源_01水果!$D$4:$D$1203,"其他代存*"),2))</f>
        <v/>
      </c>
      <c r="E166" s="18" t="str">
        <f>IF($B166="","",ROUND(SUMIFS(对接源_02物料!$K$4:$K$1203,对接源_02物料!$C$4:$C$1203,$B166,对接源_02物料!$D$4:$D$1203,"包装物料*"),2))</f>
        <v/>
      </c>
      <c r="F166" s="18" t="str">
        <f>IF($B166="","",ROUND(SUMIFS(对接源_02物料!$K$4:$K$1203,对接源_02物料!$C$4:$C$1203,$B166,对接源_02物料!$D$4:$D$1203,"周转筐*"),2))</f>
        <v/>
      </c>
      <c r="G166" s="18" t="str">
        <f>IF($B166="","",ROUND(SUMIFS(对接源_02物料!$K$4:$K$1203,对接源_02物料!$C$4:$C$1203,$B166,对接源_02物料!$D$4:$D$1203,"次果筐*"),2))</f>
        <v/>
      </c>
      <c r="H166" s="18" t="str">
        <f t="shared" si="9"/>
        <v/>
      </c>
      <c r="I166" s="18" t="str">
        <f>IF($B166="","",ROUND(SUMIFS(对接源_01水果!$K$4:$K$1203,对接源_01水果!$C$4:$C$1203,$B166,对接源_01水果!$D$4:$D$1203,"成品出库*",对接源_01水果!$L$4:$L$1203,"已收讫")+SUMIFS(对接源_01水果!$K$4:$K$1203,对接源_01水果!$C$4:$C$1203,$B166,对接源_01水果!$D$4:$D$1203,"成品出库*",对接源_01水果!$L$4:$L$1203,"已付款")+SUMIFS(对接源_01水果!$K$4:$K$1203,对接源_01水果!$C$4:$C$1203,$B166,对接源_01水果!$D$4:$D$1203,"其他代存*",对接源_01水果!$L$4:$L$1203,"已收讫")+SUMIFS(对接源_01水果!$K$4:$K$1203,对接源_01水果!$C$4:$C$1203,$B166,对接源_01水果!$D$4:$D$1203,"其他代存*",对接源_01水果!$L$4:$L$1203,"已付款")+SUMIFS(对接源_02物料!$K$4:$K$1203,对接源_02物料!$C$4:$C$1203,$B166,对接源_02物料!$D$4:$D$1203,"包装物料*",对接源_02物料!$L$4:$L$1203,"已收讫")+SUMIFS(对接源_02物料!$K$4:$K$1203,对接源_02物料!$C$4:$C$1203,$B166,对接源_02物料!$D$4:$D$1203,"包装物料*",对接源_02物料!$L$4:$L$1203,"已付款")+SUMIFS(对接源_02物料!$K$4:$K$1203,对接源_02物料!$C$4:$C$1203,$B166,对接源_02物料!$D$4:$D$1203,"周转筐*",对接源_02物料!$L$4:$L$1203,"已收讫")+SUMIFS(对接源_02物料!$K$4:$K$1203,对接源_02物料!$C$4:$C$1203,$B166,对接源_02物料!$D$4:$D$1203,"周转筐*",对接源_02物料!$L$4:$L$1203,"已付款")+SUMIFS(对接源_02物料!$K$4:$K$1203,对接源_02物料!$C$4:$C$1203,$B166,对接源_02物料!$D$4:$D$1203,"次果筐*",对接源_02物料!$L$4:$L$1203,"已收讫")+SUMIFS(对接源_02物料!$K$4:$K$1203,对接源_02物料!$C$4:$C$1203,$B166,对接源_02物料!$D$4:$D$1203,"次果筐*",对接源_02物料!$L$4:$L$1203,"已付款"),2))</f>
        <v/>
      </c>
      <c r="J166" s="18" t="str">
        <f t="shared" si="10"/>
        <v/>
      </c>
      <c r="K166" s="16" t="str">
        <f t="shared" si="11"/>
        <v/>
      </c>
      <c r="L166" s="26"/>
    </row>
    <row r="167" customHeight="1" spans="1:12">
      <c r="A167" s="16" t="str">
        <f t="shared" si="8"/>
        <v/>
      </c>
      <c r="B167" s="11" t="str">
        <f>IFERROR(INDEX(_自动清单!$E$4:$E$303,ROW()-3),"")</f>
        <v/>
      </c>
      <c r="C167" s="18" t="str">
        <f>IF($B167="","",ROUND(SUMIFS(对接源_01水果!$K$4:$K$1203,对接源_01水果!$C$4:$C$1203,$B167,对接源_01水果!$D$4:$D$1203,"成品出库*"),2))</f>
        <v/>
      </c>
      <c r="D167" s="18" t="str">
        <f>IF($B167="","",ROUND(SUMIFS(对接源_01水果!$K$4:$K$1203,对接源_01水果!$C$4:$C$1203,$B167,对接源_01水果!$D$4:$D$1203,"其他代存*"),2))</f>
        <v/>
      </c>
      <c r="E167" s="18" t="str">
        <f>IF($B167="","",ROUND(SUMIFS(对接源_02物料!$K$4:$K$1203,对接源_02物料!$C$4:$C$1203,$B167,对接源_02物料!$D$4:$D$1203,"包装物料*"),2))</f>
        <v/>
      </c>
      <c r="F167" s="18" t="str">
        <f>IF($B167="","",ROUND(SUMIFS(对接源_02物料!$K$4:$K$1203,对接源_02物料!$C$4:$C$1203,$B167,对接源_02物料!$D$4:$D$1203,"周转筐*"),2))</f>
        <v/>
      </c>
      <c r="G167" s="18" t="str">
        <f>IF($B167="","",ROUND(SUMIFS(对接源_02物料!$K$4:$K$1203,对接源_02物料!$C$4:$C$1203,$B167,对接源_02物料!$D$4:$D$1203,"次果筐*"),2))</f>
        <v/>
      </c>
      <c r="H167" s="18" t="str">
        <f t="shared" si="9"/>
        <v/>
      </c>
      <c r="I167" s="18" t="str">
        <f>IF($B167="","",ROUND(SUMIFS(对接源_01水果!$K$4:$K$1203,对接源_01水果!$C$4:$C$1203,$B167,对接源_01水果!$D$4:$D$1203,"成品出库*",对接源_01水果!$L$4:$L$1203,"已收讫")+SUMIFS(对接源_01水果!$K$4:$K$1203,对接源_01水果!$C$4:$C$1203,$B167,对接源_01水果!$D$4:$D$1203,"成品出库*",对接源_01水果!$L$4:$L$1203,"已付款")+SUMIFS(对接源_01水果!$K$4:$K$1203,对接源_01水果!$C$4:$C$1203,$B167,对接源_01水果!$D$4:$D$1203,"其他代存*",对接源_01水果!$L$4:$L$1203,"已收讫")+SUMIFS(对接源_01水果!$K$4:$K$1203,对接源_01水果!$C$4:$C$1203,$B167,对接源_01水果!$D$4:$D$1203,"其他代存*",对接源_01水果!$L$4:$L$1203,"已付款")+SUMIFS(对接源_02物料!$K$4:$K$1203,对接源_02物料!$C$4:$C$1203,$B167,对接源_02物料!$D$4:$D$1203,"包装物料*",对接源_02物料!$L$4:$L$1203,"已收讫")+SUMIFS(对接源_02物料!$K$4:$K$1203,对接源_02物料!$C$4:$C$1203,$B167,对接源_02物料!$D$4:$D$1203,"包装物料*",对接源_02物料!$L$4:$L$1203,"已付款")+SUMIFS(对接源_02物料!$K$4:$K$1203,对接源_02物料!$C$4:$C$1203,$B167,对接源_02物料!$D$4:$D$1203,"周转筐*",对接源_02物料!$L$4:$L$1203,"已收讫")+SUMIFS(对接源_02物料!$K$4:$K$1203,对接源_02物料!$C$4:$C$1203,$B167,对接源_02物料!$D$4:$D$1203,"周转筐*",对接源_02物料!$L$4:$L$1203,"已付款")+SUMIFS(对接源_02物料!$K$4:$K$1203,对接源_02物料!$C$4:$C$1203,$B167,对接源_02物料!$D$4:$D$1203,"次果筐*",对接源_02物料!$L$4:$L$1203,"已收讫")+SUMIFS(对接源_02物料!$K$4:$K$1203,对接源_02物料!$C$4:$C$1203,$B167,对接源_02物料!$D$4:$D$1203,"次果筐*",对接源_02物料!$L$4:$L$1203,"已付款"),2))</f>
        <v/>
      </c>
      <c r="J167" s="18" t="str">
        <f t="shared" si="10"/>
        <v/>
      </c>
      <c r="K167" s="16" t="str">
        <f t="shared" si="11"/>
        <v/>
      </c>
      <c r="L167" s="26"/>
    </row>
    <row r="168" customHeight="1" spans="1:12">
      <c r="A168" s="16" t="str">
        <f t="shared" si="8"/>
        <v/>
      </c>
      <c r="B168" s="11" t="str">
        <f>IFERROR(INDEX(_自动清单!$E$4:$E$303,ROW()-3),"")</f>
        <v/>
      </c>
      <c r="C168" s="18" t="str">
        <f>IF($B168="","",ROUND(SUMIFS(对接源_01水果!$K$4:$K$1203,对接源_01水果!$C$4:$C$1203,$B168,对接源_01水果!$D$4:$D$1203,"成品出库*"),2))</f>
        <v/>
      </c>
      <c r="D168" s="18" t="str">
        <f>IF($B168="","",ROUND(SUMIFS(对接源_01水果!$K$4:$K$1203,对接源_01水果!$C$4:$C$1203,$B168,对接源_01水果!$D$4:$D$1203,"其他代存*"),2))</f>
        <v/>
      </c>
      <c r="E168" s="18" t="str">
        <f>IF($B168="","",ROUND(SUMIFS(对接源_02物料!$K$4:$K$1203,对接源_02物料!$C$4:$C$1203,$B168,对接源_02物料!$D$4:$D$1203,"包装物料*"),2))</f>
        <v/>
      </c>
      <c r="F168" s="18" t="str">
        <f>IF($B168="","",ROUND(SUMIFS(对接源_02物料!$K$4:$K$1203,对接源_02物料!$C$4:$C$1203,$B168,对接源_02物料!$D$4:$D$1203,"周转筐*"),2))</f>
        <v/>
      </c>
      <c r="G168" s="18" t="str">
        <f>IF($B168="","",ROUND(SUMIFS(对接源_02物料!$K$4:$K$1203,对接源_02物料!$C$4:$C$1203,$B168,对接源_02物料!$D$4:$D$1203,"次果筐*"),2))</f>
        <v/>
      </c>
      <c r="H168" s="18" t="str">
        <f t="shared" si="9"/>
        <v/>
      </c>
      <c r="I168" s="18" t="str">
        <f>IF($B168="","",ROUND(SUMIFS(对接源_01水果!$K$4:$K$1203,对接源_01水果!$C$4:$C$1203,$B168,对接源_01水果!$D$4:$D$1203,"成品出库*",对接源_01水果!$L$4:$L$1203,"已收讫")+SUMIFS(对接源_01水果!$K$4:$K$1203,对接源_01水果!$C$4:$C$1203,$B168,对接源_01水果!$D$4:$D$1203,"成品出库*",对接源_01水果!$L$4:$L$1203,"已付款")+SUMIFS(对接源_01水果!$K$4:$K$1203,对接源_01水果!$C$4:$C$1203,$B168,对接源_01水果!$D$4:$D$1203,"其他代存*",对接源_01水果!$L$4:$L$1203,"已收讫")+SUMIFS(对接源_01水果!$K$4:$K$1203,对接源_01水果!$C$4:$C$1203,$B168,对接源_01水果!$D$4:$D$1203,"其他代存*",对接源_01水果!$L$4:$L$1203,"已付款")+SUMIFS(对接源_02物料!$K$4:$K$1203,对接源_02物料!$C$4:$C$1203,$B168,对接源_02物料!$D$4:$D$1203,"包装物料*",对接源_02物料!$L$4:$L$1203,"已收讫")+SUMIFS(对接源_02物料!$K$4:$K$1203,对接源_02物料!$C$4:$C$1203,$B168,对接源_02物料!$D$4:$D$1203,"包装物料*",对接源_02物料!$L$4:$L$1203,"已付款")+SUMIFS(对接源_02物料!$K$4:$K$1203,对接源_02物料!$C$4:$C$1203,$B168,对接源_02物料!$D$4:$D$1203,"周转筐*",对接源_02物料!$L$4:$L$1203,"已收讫")+SUMIFS(对接源_02物料!$K$4:$K$1203,对接源_02物料!$C$4:$C$1203,$B168,对接源_02物料!$D$4:$D$1203,"周转筐*",对接源_02物料!$L$4:$L$1203,"已付款")+SUMIFS(对接源_02物料!$K$4:$K$1203,对接源_02物料!$C$4:$C$1203,$B168,对接源_02物料!$D$4:$D$1203,"次果筐*",对接源_02物料!$L$4:$L$1203,"已收讫")+SUMIFS(对接源_02物料!$K$4:$K$1203,对接源_02物料!$C$4:$C$1203,$B168,对接源_02物料!$D$4:$D$1203,"次果筐*",对接源_02物料!$L$4:$L$1203,"已付款"),2))</f>
        <v/>
      </c>
      <c r="J168" s="18" t="str">
        <f t="shared" si="10"/>
        <v/>
      </c>
      <c r="K168" s="16" t="str">
        <f t="shared" si="11"/>
        <v/>
      </c>
      <c r="L168" s="26"/>
    </row>
    <row r="169" customHeight="1" spans="1:12">
      <c r="A169" s="16" t="str">
        <f t="shared" si="8"/>
        <v/>
      </c>
      <c r="B169" s="11" t="str">
        <f>IFERROR(INDEX(_自动清单!$E$4:$E$303,ROW()-3),"")</f>
        <v/>
      </c>
      <c r="C169" s="18" t="str">
        <f>IF($B169="","",ROUND(SUMIFS(对接源_01水果!$K$4:$K$1203,对接源_01水果!$C$4:$C$1203,$B169,对接源_01水果!$D$4:$D$1203,"成品出库*"),2))</f>
        <v/>
      </c>
      <c r="D169" s="18" t="str">
        <f>IF($B169="","",ROUND(SUMIFS(对接源_01水果!$K$4:$K$1203,对接源_01水果!$C$4:$C$1203,$B169,对接源_01水果!$D$4:$D$1203,"其他代存*"),2))</f>
        <v/>
      </c>
      <c r="E169" s="18" t="str">
        <f>IF($B169="","",ROUND(SUMIFS(对接源_02物料!$K$4:$K$1203,对接源_02物料!$C$4:$C$1203,$B169,对接源_02物料!$D$4:$D$1203,"包装物料*"),2))</f>
        <v/>
      </c>
      <c r="F169" s="18" t="str">
        <f>IF($B169="","",ROUND(SUMIFS(对接源_02物料!$K$4:$K$1203,对接源_02物料!$C$4:$C$1203,$B169,对接源_02物料!$D$4:$D$1203,"周转筐*"),2))</f>
        <v/>
      </c>
      <c r="G169" s="18" t="str">
        <f>IF($B169="","",ROUND(SUMIFS(对接源_02物料!$K$4:$K$1203,对接源_02物料!$C$4:$C$1203,$B169,对接源_02物料!$D$4:$D$1203,"次果筐*"),2))</f>
        <v/>
      </c>
      <c r="H169" s="18" t="str">
        <f t="shared" si="9"/>
        <v/>
      </c>
      <c r="I169" s="18" t="str">
        <f>IF($B169="","",ROUND(SUMIFS(对接源_01水果!$K$4:$K$1203,对接源_01水果!$C$4:$C$1203,$B169,对接源_01水果!$D$4:$D$1203,"成品出库*",对接源_01水果!$L$4:$L$1203,"已收讫")+SUMIFS(对接源_01水果!$K$4:$K$1203,对接源_01水果!$C$4:$C$1203,$B169,对接源_01水果!$D$4:$D$1203,"成品出库*",对接源_01水果!$L$4:$L$1203,"已付款")+SUMIFS(对接源_01水果!$K$4:$K$1203,对接源_01水果!$C$4:$C$1203,$B169,对接源_01水果!$D$4:$D$1203,"其他代存*",对接源_01水果!$L$4:$L$1203,"已收讫")+SUMIFS(对接源_01水果!$K$4:$K$1203,对接源_01水果!$C$4:$C$1203,$B169,对接源_01水果!$D$4:$D$1203,"其他代存*",对接源_01水果!$L$4:$L$1203,"已付款")+SUMIFS(对接源_02物料!$K$4:$K$1203,对接源_02物料!$C$4:$C$1203,$B169,对接源_02物料!$D$4:$D$1203,"包装物料*",对接源_02物料!$L$4:$L$1203,"已收讫")+SUMIFS(对接源_02物料!$K$4:$K$1203,对接源_02物料!$C$4:$C$1203,$B169,对接源_02物料!$D$4:$D$1203,"包装物料*",对接源_02物料!$L$4:$L$1203,"已付款")+SUMIFS(对接源_02物料!$K$4:$K$1203,对接源_02物料!$C$4:$C$1203,$B169,对接源_02物料!$D$4:$D$1203,"周转筐*",对接源_02物料!$L$4:$L$1203,"已收讫")+SUMIFS(对接源_02物料!$K$4:$K$1203,对接源_02物料!$C$4:$C$1203,$B169,对接源_02物料!$D$4:$D$1203,"周转筐*",对接源_02物料!$L$4:$L$1203,"已付款")+SUMIFS(对接源_02物料!$K$4:$K$1203,对接源_02物料!$C$4:$C$1203,$B169,对接源_02物料!$D$4:$D$1203,"次果筐*",对接源_02物料!$L$4:$L$1203,"已收讫")+SUMIFS(对接源_02物料!$K$4:$K$1203,对接源_02物料!$C$4:$C$1203,$B169,对接源_02物料!$D$4:$D$1203,"次果筐*",对接源_02物料!$L$4:$L$1203,"已付款"),2))</f>
        <v/>
      </c>
      <c r="J169" s="18" t="str">
        <f t="shared" si="10"/>
        <v/>
      </c>
      <c r="K169" s="16" t="str">
        <f t="shared" si="11"/>
        <v/>
      </c>
      <c r="L169" s="26"/>
    </row>
    <row r="170" customHeight="1" spans="1:12">
      <c r="A170" s="16" t="str">
        <f t="shared" si="8"/>
        <v/>
      </c>
      <c r="B170" s="11" t="str">
        <f>IFERROR(INDEX(_自动清单!$E$4:$E$303,ROW()-3),"")</f>
        <v/>
      </c>
      <c r="C170" s="18" t="str">
        <f>IF($B170="","",ROUND(SUMIFS(对接源_01水果!$K$4:$K$1203,对接源_01水果!$C$4:$C$1203,$B170,对接源_01水果!$D$4:$D$1203,"成品出库*"),2))</f>
        <v/>
      </c>
      <c r="D170" s="18" t="str">
        <f>IF($B170="","",ROUND(SUMIFS(对接源_01水果!$K$4:$K$1203,对接源_01水果!$C$4:$C$1203,$B170,对接源_01水果!$D$4:$D$1203,"其他代存*"),2))</f>
        <v/>
      </c>
      <c r="E170" s="18" t="str">
        <f>IF($B170="","",ROUND(SUMIFS(对接源_02物料!$K$4:$K$1203,对接源_02物料!$C$4:$C$1203,$B170,对接源_02物料!$D$4:$D$1203,"包装物料*"),2))</f>
        <v/>
      </c>
      <c r="F170" s="18" t="str">
        <f>IF($B170="","",ROUND(SUMIFS(对接源_02物料!$K$4:$K$1203,对接源_02物料!$C$4:$C$1203,$B170,对接源_02物料!$D$4:$D$1203,"周转筐*"),2))</f>
        <v/>
      </c>
      <c r="G170" s="18" t="str">
        <f>IF($B170="","",ROUND(SUMIFS(对接源_02物料!$K$4:$K$1203,对接源_02物料!$C$4:$C$1203,$B170,对接源_02物料!$D$4:$D$1203,"次果筐*"),2))</f>
        <v/>
      </c>
      <c r="H170" s="18" t="str">
        <f t="shared" si="9"/>
        <v/>
      </c>
      <c r="I170" s="18" t="str">
        <f>IF($B170="","",ROUND(SUMIFS(对接源_01水果!$K$4:$K$1203,对接源_01水果!$C$4:$C$1203,$B170,对接源_01水果!$D$4:$D$1203,"成品出库*",对接源_01水果!$L$4:$L$1203,"已收讫")+SUMIFS(对接源_01水果!$K$4:$K$1203,对接源_01水果!$C$4:$C$1203,$B170,对接源_01水果!$D$4:$D$1203,"成品出库*",对接源_01水果!$L$4:$L$1203,"已付款")+SUMIFS(对接源_01水果!$K$4:$K$1203,对接源_01水果!$C$4:$C$1203,$B170,对接源_01水果!$D$4:$D$1203,"其他代存*",对接源_01水果!$L$4:$L$1203,"已收讫")+SUMIFS(对接源_01水果!$K$4:$K$1203,对接源_01水果!$C$4:$C$1203,$B170,对接源_01水果!$D$4:$D$1203,"其他代存*",对接源_01水果!$L$4:$L$1203,"已付款")+SUMIFS(对接源_02物料!$K$4:$K$1203,对接源_02物料!$C$4:$C$1203,$B170,对接源_02物料!$D$4:$D$1203,"包装物料*",对接源_02物料!$L$4:$L$1203,"已收讫")+SUMIFS(对接源_02物料!$K$4:$K$1203,对接源_02物料!$C$4:$C$1203,$B170,对接源_02物料!$D$4:$D$1203,"包装物料*",对接源_02物料!$L$4:$L$1203,"已付款")+SUMIFS(对接源_02物料!$K$4:$K$1203,对接源_02物料!$C$4:$C$1203,$B170,对接源_02物料!$D$4:$D$1203,"周转筐*",对接源_02物料!$L$4:$L$1203,"已收讫")+SUMIFS(对接源_02物料!$K$4:$K$1203,对接源_02物料!$C$4:$C$1203,$B170,对接源_02物料!$D$4:$D$1203,"周转筐*",对接源_02物料!$L$4:$L$1203,"已付款")+SUMIFS(对接源_02物料!$K$4:$K$1203,对接源_02物料!$C$4:$C$1203,$B170,对接源_02物料!$D$4:$D$1203,"次果筐*",对接源_02物料!$L$4:$L$1203,"已收讫")+SUMIFS(对接源_02物料!$K$4:$K$1203,对接源_02物料!$C$4:$C$1203,$B170,对接源_02物料!$D$4:$D$1203,"次果筐*",对接源_02物料!$L$4:$L$1203,"已付款"),2))</f>
        <v/>
      </c>
      <c r="J170" s="18" t="str">
        <f t="shared" si="10"/>
        <v/>
      </c>
      <c r="K170" s="16" t="str">
        <f t="shared" si="11"/>
        <v/>
      </c>
      <c r="L170" s="26"/>
    </row>
    <row r="171" customHeight="1" spans="1:12">
      <c r="A171" s="16" t="str">
        <f t="shared" si="8"/>
        <v/>
      </c>
      <c r="B171" s="11" t="str">
        <f>IFERROR(INDEX(_自动清单!$E$4:$E$303,ROW()-3),"")</f>
        <v/>
      </c>
      <c r="C171" s="18" t="str">
        <f>IF($B171="","",ROUND(SUMIFS(对接源_01水果!$K$4:$K$1203,对接源_01水果!$C$4:$C$1203,$B171,对接源_01水果!$D$4:$D$1203,"成品出库*"),2))</f>
        <v/>
      </c>
      <c r="D171" s="18" t="str">
        <f>IF($B171="","",ROUND(SUMIFS(对接源_01水果!$K$4:$K$1203,对接源_01水果!$C$4:$C$1203,$B171,对接源_01水果!$D$4:$D$1203,"其他代存*"),2))</f>
        <v/>
      </c>
      <c r="E171" s="18" t="str">
        <f>IF($B171="","",ROUND(SUMIFS(对接源_02物料!$K$4:$K$1203,对接源_02物料!$C$4:$C$1203,$B171,对接源_02物料!$D$4:$D$1203,"包装物料*"),2))</f>
        <v/>
      </c>
      <c r="F171" s="18" t="str">
        <f>IF($B171="","",ROUND(SUMIFS(对接源_02物料!$K$4:$K$1203,对接源_02物料!$C$4:$C$1203,$B171,对接源_02物料!$D$4:$D$1203,"周转筐*"),2))</f>
        <v/>
      </c>
      <c r="G171" s="18" t="str">
        <f>IF($B171="","",ROUND(SUMIFS(对接源_02物料!$K$4:$K$1203,对接源_02物料!$C$4:$C$1203,$B171,对接源_02物料!$D$4:$D$1203,"次果筐*"),2))</f>
        <v/>
      </c>
      <c r="H171" s="18" t="str">
        <f t="shared" si="9"/>
        <v/>
      </c>
      <c r="I171" s="18" t="str">
        <f>IF($B171="","",ROUND(SUMIFS(对接源_01水果!$K$4:$K$1203,对接源_01水果!$C$4:$C$1203,$B171,对接源_01水果!$D$4:$D$1203,"成品出库*",对接源_01水果!$L$4:$L$1203,"已收讫")+SUMIFS(对接源_01水果!$K$4:$K$1203,对接源_01水果!$C$4:$C$1203,$B171,对接源_01水果!$D$4:$D$1203,"成品出库*",对接源_01水果!$L$4:$L$1203,"已付款")+SUMIFS(对接源_01水果!$K$4:$K$1203,对接源_01水果!$C$4:$C$1203,$B171,对接源_01水果!$D$4:$D$1203,"其他代存*",对接源_01水果!$L$4:$L$1203,"已收讫")+SUMIFS(对接源_01水果!$K$4:$K$1203,对接源_01水果!$C$4:$C$1203,$B171,对接源_01水果!$D$4:$D$1203,"其他代存*",对接源_01水果!$L$4:$L$1203,"已付款")+SUMIFS(对接源_02物料!$K$4:$K$1203,对接源_02物料!$C$4:$C$1203,$B171,对接源_02物料!$D$4:$D$1203,"包装物料*",对接源_02物料!$L$4:$L$1203,"已收讫")+SUMIFS(对接源_02物料!$K$4:$K$1203,对接源_02物料!$C$4:$C$1203,$B171,对接源_02物料!$D$4:$D$1203,"包装物料*",对接源_02物料!$L$4:$L$1203,"已付款")+SUMIFS(对接源_02物料!$K$4:$K$1203,对接源_02物料!$C$4:$C$1203,$B171,对接源_02物料!$D$4:$D$1203,"周转筐*",对接源_02物料!$L$4:$L$1203,"已收讫")+SUMIFS(对接源_02物料!$K$4:$K$1203,对接源_02物料!$C$4:$C$1203,$B171,对接源_02物料!$D$4:$D$1203,"周转筐*",对接源_02物料!$L$4:$L$1203,"已付款")+SUMIFS(对接源_02物料!$K$4:$K$1203,对接源_02物料!$C$4:$C$1203,$B171,对接源_02物料!$D$4:$D$1203,"次果筐*",对接源_02物料!$L$4:$L$1203,"已收讫")+SUMIFS(对接源_02物料!$K$4:$K$1203,对接源_02物料!$C$4:$C$1203,$B171,对接源_02物料!$D$4:$D$1203,"次果筐*",对接源_02物料!$L$4:$L$1203,"已付款"),2))</f>
        <v/>
      </c>
      <c r="J171" s="18" t="str">
        <f t="shared" si="10"/>
        <v/>
      </c>
      <c r="K171" s="16" t="str">
        <f t="shared" si="11"/>
        <v/>
      </c>
      <c r="L171" s="26"/>
    </row>
    <row r="172" customHeight="1" spans="1:12">
      <c r="A172" s="16" t="str">
        <f t="shared" si="8"/>
        <v/>
      </c>
      <c r="B172" s="11" t="str">
        <f>IFERROR(INDEX(_自动清单!$E$4:$E$303,ROW()-3),"")</f>
        <v/>
      </c>
      <c r="C172" s="18" t="str">
        <f>IF($B172="","",ROUND(SUMIFS(对接源_01水果!$K$4:$K$1203,对接源_01水果!$C$4:$C$1203,$B172,对接源_01水果!$D$4:$D$1203,"成品出库*"),2))</f>
        <v/>
      </c>
      <c r="D172" s="18" t="str">
        <f>IF($B172="","",ROUND(SUMIFS(对接源_01水果!$K$4:$K$1203,对接源_01水果!$C$4:$C$1203,$B172,对接源_01水果!$D$4:$D$1203,"其他代存*"),2))</f>
        <v/>
      </c>
      <c r="E172" s="18" t="str">
        <f>IF($B172="","",ROUND(SUMIFS(对接源_02物料!$K$4:$K$1203,对接源_02物料!$C$4:$C$1203,$B172,对接源_02物料!$D$4:$D$1203,"包装物料*"),2))</f>
        <v/>
      </c>
      <c r="F172" s="18" t="str">
        <f>IF($B172="","",ROUND(SUMIFS(对接源_02物料!$K$4:$K$1203,对接源_02物料!$C$4:$C$1203,$B172,对接源_02物料!$D$4:$D$1203,"周转筐*"),2))</f>
        <v/>
      </c>
      <c r="G172" s="18" t="str">
        <f>IF($B172="","",ROUND(SUMIFS(对接源_02物料!$K$4:$K$1203,对接源_02物料!$C$4:$C$1203,$B172,对接源_02物料!$D$4:$D$1203,"次果筐*"),2))</f>
        <v/>
      </c>
      <c r="H172" s="18" t="str">
        <f t="shared" si="9"/>
        <v/>
      </c>
      <c r="I172" s="18" t="str">
        <f>IF($B172="","",ROUND(SUMIFS(对接源_01水果!$K$4:$K$1203,对接源_01水果!$C$4:$C$1203,$B172,对接源_01水果!$D$4:$D$1203,"成品出库*",对接源_01水果!$L$4:$L$1203,"已收讫")+SUMIFS(对接源_01水果!$K$4:$K$1203,对接源_01水果!$C$4:$C$1203,$B172,对接源_01水果!$D$4:$D$1203,"成品出库*",对接源_01水果!$L$4:$L$1203,"已付款")+SUMIFS(对接源_01水果!$K$4:$K$1203,对接源_01水果!$C$4:$C$1203,$B172,对接源_01水果!$D$4:$D$1203,"其他代存*",对接源_01水果!$L$4:$L$1203,"已收讫")+SUMIFS(对接源_01水果!$K$4:$K$1203,对接源_01水果!$C$4:$C$1203,$B172,对接源_01水果!$D$4:$D$1203,"其他代存*",对接源_01水果!$L$4:$L$1203,"已付款")+SUMIFS(对接源_02物料!$K$4:$K$1203,对接源_02物料!$C$4:$C$1203,$B172,对接源_02物料!$D$4:$D$1203,"包装物料*",对接源_02物料!$L$4:$L$1203,"已收讫")+SUMIFS(对接源_02物料!$K$4:$K$1203,对接源_02物料!$C$4:$C$1203,$B172,对接源_02物料!$D$4:$D$1203,"包装物料*",对接源_02物料!$L$4:$L$1203,"已付款")+SUMIFS(对接源_02物料!$K$4:$K$1203,对接源_02物料!$C$4:$C$1203,$B172,对接源_02物料!$D$4:$D$1203,"周转筐*",对接源_02物料!$L$4:$L$1203,"已收讫")+SUMIFS(对接源_02物料!$K$4:$K$1203,对接源_02物料!$C$4:$C$1203,$B172,对接源_02物料!$D$4:$D$1203,"周转筐*",对接源_02物料!$L$4:$L$1203,"已付款")+SUMIFS(对接源_02物料!$K$4:$K$1203,对接源_02物料!$C$4:$C$1203,$B172,对接源_02物料!$D$4:$D$1203,"次果筐*",对接源_02物料!$L$4:$L$1203,"已收讫")+SUMIFS(对接源_02物料!$K$4:$K$1203,对接源_02物料!$C$4:$C$1203,$B172,对接源_02物料!$D$4:$D$1203,"次果筐*",对接源_02物料!$L$4:$L$1203,"已付款"),2))</f>
        <v/>
      </c>
      <c r="J172" s="18" t="str">
        <f t="shared" si="10"/>
        <v/>
      </c>
      <c r="K172" s="16" t="str">
        <f t="shared" si="11"/>
        <v/>
      </c>
      <c r="L172" s="26"/>
    </row>
    <row r="173" customHeight="1" spans="1:12">
      <c r="A173" s="16" t="str">
        <f t="shared" si="8"/>
        <v/>
      </c>
      <c r="B173" s="11" t="str">
        <f>IFERROR(INDEX(_自动清单!$E$4:$E$303,ROW()-3),"")</f>
        <v/>
      </c>
      <c r="C173" s="18" t="str">
        <f>IF($B173="","",ROUND(SUMIFS(对接源_01水果!$K$4:$K$1203,对接源_01水果!$C$4:$C$1203,$B173,对接源_01水果!$D$4:$D$1203,"成品出库*"),2))</f>
        <v/>
      </c>
      <c r="D173" s="18" t="str">
        <f>IF($B173="","",ROUND(SUMIFS(对接源_01水果!$K$4:$K$1203,对接源_01水果!$C$4:$C$1203,$B173,对接源_01水果!$D$4:$D$1203,"其他代存*"),2))</f>
        <v/>
      </c>
      <c r="E173" s="18" t="str">
        <f>IF($B173="","",ROUND(SUMIFS(对接源_02物料!$K$4:$K$1203,对接源_02物料!$C$4:$C$1203,$B173,对接源_02物料!$D$4:$D$1203,"包装物料*"),2))</f>
        <v/>
      </c>
      <c r="F173" s="18" t="str">
        <f>IF($B173="","",ROUND(SUMIFS(对接源_02物料!$K$4:$K$1203,对接源_02物料!$C$4:$C$1203,$B173,对接源_02物料!$D$4:$D$1203,"周转筐*"),2))</f>
        <v/>
      </c>
      <c r="G173" s="18" t="str">
        <f>IF($B173="","",ROUND(SUMIFS(对接源_02物料!$K$4:$K$1203,对接源_02物料!$C$4:$C$1203,$B173,对接源_02物料!$D$4:$D$1203,"次果筐*"),2))</f>
        <v/>
      </c>
      <c r="H173" s="18" t="str">
        <f t="shared" si="9"/>
        <v/>
      </c>
      <c r="I173" s="18" t="str">
        <f>IF($B173="","",ROUND(SUMIFS(对接源_01水果!$K$4:$K$1203,对接源_01水果!$C$4:$C$1203,$B173,对接源_01水果!$D$4:$D$1203,"成品出库*",对接源_01水果!$L$4:$L$1203,"已收讫")+SUMIFS(对接源_01水果!$K$4:$K$1203,对接源_01水果!$C$4:$C$1203,$B173,对接源_01水果!$D$4:$D$1203,"成品出库*",对接源_01水果!$L$4:$L$1203,"已付款")+SUMIFS(对接源_01水果!$K$4:$K$1203,对接源_01水果!$C$4:$C$1203,$B173,对接源_01水果!$D$4:$D$1203,"其他代存*",对接源_01水果!$L$4:$L$1203,"已收讫")+SUMIFS(对接源_01水果!$K$4:$K$1203,对接源_01水果!$C$4:$C$1203,$B173,对接源_01水果!$D$4:$D$1203,"其他代存*",对接源_01水果!$L$4:$L$1203,"已付款")+SUMIFS(对接源_02物料!$K$4:$K$1203,对接源_02物料!$C$4:$C$1203,$B173,对接源_02物料!$D$4:$D$1203,"包装物料*",对接源_02物料!$L$4:$L$1203,"已收讫")+SUMIFS(对接源_02物料!$K$4:$K$1203,对接源_02物料!$C$4:$C$1203,$B173,对接源_02物料!$D$4:$D$1203,"包装物料*",对接源_02物料!$L$4:$L$1203,"已付款")+SUMIFS(对接源_02物料!$K$4:$K$1203,对接源_02物料!$C$4:$C$1203,$B173,对接源_02物料!$D$4:$D$1203,"周转筐*",对接源_02物料!$L$4:$L$1203,"已收讫")+SUMIFS(对接源_02物料!$K$4:$K$1203,对接源_02物料!$C$4:$C$1203,$B173,对接源_02物料!$D$4:$D$1203,"周转筐*",对接源_02物料!$L$4:$L$1203,"已付款")+SUMIFS(对接源_02物料!$K$4:$K$1203,对接源_02物料!$C$4:$C$1203,$B173,对接源_02物料!$D$4:$D$1203,"次果筐*",对接源_02物料!$L$4:$L$1203,"已收讫")+SUMIFS(对接源_02物料!$K$4:$K$1203,对接源_02物料!$C$4:$C$1203,$B173,对接源_02物料!$D$4:$D$1203,"次果筐*",对接源_02物料!$L$4:$L$1203,"已付款"),2))</f>
        <v/>
      </c>
      <c r="J173" s="18" t="str">
        <f t="shared" si="10"/>
        <v/>
      </c>
      <c r="K173" s="16" t="str">
        <f t="shared" si="11"/>
        <v/>
      </c>
      <c r="L173" s="26"/>
    </row>
    <row r="174" customHeight="1" spans="1:12">
      <c r="A174" s="16" t="str">
        <f t="shared" si="8"/>
        <v/>
      </c>
      <c r="B174" s="11" t="str">
        <f>IFERROR(INDEX(_自动清单!$E$4:$E$303,ROW()-3),"")</f>
        <v/>
      </c>
      <c r="C174" s="18" t="str">
        <f>IF($B174="","",ROUND(SUMIFS(对接源_01水果!$K$4:$K$1203,对接源_01水果!$C$4:$C$1203,$B174,对接源_01水果!$D$4:$D$1203,"成品出库*"),2))</f>
        <v/>
      </c>
      <c r="D174" s="18" t="str">
        <f>IF($B174="","",ROUND(SUMIFS(对接源_01水果!$K$4:$K$1203,对接源_01水果!$C$4:$C$1203,$B174,对接源_01水果!$D$4:$D$1203,"其他代存*"),2))</f>
        <v/>
      </c>
      <c r="E174" s="18" t="str">
        <f>IF($B174="","",ROUND(SUMIFS(对接源_02物料!$K$4:$K$1203,对接源_02物料!$C$4:$C$1203,$B174,对接源_02物料!$D$4:$D$1203,"包装物料*"),2))</f>
        <v/>
      </c>
      <c r="F174" s="18" t="str">
        <f>IF($B174="","",ROUND(SUMIFS(对接源_02物料!$K$4:$K$1203,对接源_02物料!$C$4:$C$1203,$B174,对接源_02物料!$D$4:$D$1203,"周转筐*"),2))</f>
        <v/>
      </c>
      <c r="G174" s="18" t="str">
        <f>IF($B174="","",ROUND(SUMIFS(对接源_02物料!$K$4:$K$1203,对接源_02物料!$C$4:$C$1203,$B174,对接源_02物料!$D$4:$D$1203,"次果筐*"),2))</f>
        <v/>
      </c>
      <c r="H174" s="18" t="str">
        <f t="shared" si="9"/>
        <v/>
      </c>
      <c r="I174" s="18" t="str">
        <f>IF($B174="","",ROUND(SUMIFS(对接源_01水果!$K$4:$K$1203,对接源_01水果!$C$4:$C$1203,$B174,对接源_01水果!$D$4:$D$1203,"成品出库*",对接源_01水果!$L$4:$L$1203,"已收讫")+SUMIFS(对接源_01水果!$K$4:$K$1203,对接源_01水果!$C$4:$C$1203,$B174,对接源_01水果!$D$4:$D$1203,"成品出库*",对接源_01水果!$L$4:$L$1203,"已付款")+SUMIFS(对接源_01水果!$K$4:$K$1203,对接源_01水果!$C$4:$C$1203,$B174,对接源_01水果!$D$4:$D$1203,"其他代存*",对接源_01水果!$L$4:$L$1203,"已收讫")+SUMIFS(对接源_01水果!$K$4:$K$1203,对接源_01水果!$C$4:$C$1203,$B174,对接源_01水果!$D$4:$D$1203,"其他代存*",对接源_01水果!$L$4:$L$1203,"已付款")+SUMIFS(对接源_02物料!$K$4:$K$1203,对接源_02物料!$C$4:$C$1203,$B174,对接源_02物料!$D$4:$D$1203,"包装物料*",对接源_02物料!$L$4:$L$1203,"已收讫")+SUMIFS(对接源_02物料!$K$4:$K$1203,对接源_02物料!$C$4:$C$1203,$B174,对接源_02物料!$D$4:$D$1203,"包装物料*",对接源_02物料!$L$4:$L$1203,"已付款")+SUMIFS(对接源_02物料!$K$4:$K$1203,对接源_02物料!$C$4:$C$1203,$B174,对接源_02物料!$D$4:$D$1203,"周转筐*",对接源_02物料!$L$4:$L$1203,"已收讫")+SUMIFS(对接源_02物料!$K$4:$K$1203,对接源_02物料!$C$4:$C$1203,$B174,对接源_02物料!$D$4:$D$1203,"周转筐*",对接源_02物料!$L$4:$L$1203,"已付款")+SUMIFS(对接源_02物料!$K$4:$K$1203,对接源_02物料!$C$4:$C$1203,$B174,对接源_02物料!$D$4:$D$1203,"次果筐*",对接源_02物料!$L$4:$L$1203,"已收讫")+SUMIFS(对接源_02物料!$K$4:$K$1203,对接源_02物料!$C$4:$C$1203,$B174,对接源_02物料!$D$4:$D$1203,"次果筐*",对接源_02物料!$L$4:$L$1203,"已付款"),2))</f>
        <v/>
      </c>
      <c r="J174" s="18" t="str">
        <f t="shared" si="10"/>
        <v/>
      </c>
      <c r="K174" s="16" t="str">
        <f t="shared" si="11"/>
        <v/>
      </c>
      <c r="L174" s="26"/>
    </row>
    <row r="175" customHeight="1" spans="1:12">
      <c r="A175" s="16" t="str">
        <f t="shared" si="8"/>
        <v/>
      </c>
      <c r="B175" s="11" t="str">
        <f>IFERROR(INDEX(_自动清单!$E$4:$E$303,ROW()-3),"")</f>
        <v/>
      </c>
      <c r="C175" s="18" t="str">
        <f>IF($B175="","",ROUND(SUMIFS(对接源_01水果!$K$4:$K$1203,对接源_01水果!$C$4:$C$1203,$B175,对接源_01水果!$D$4:$D$1203,"成品出库*"),2))</f>
        <v/>
      </c>
      <c r="D175" s="18" t="str">
        <f>IF($B175="","",ROUND(SUMIFS(对接源_01水果!$K$4:$K$1203,对接源_01水果!$C$4:$C$1203,$B175,对接源_01水果!$D$4:$D$1203,"其他代存*"),2))</f>
        <v/>
      </c>
      <c r="E175" s="18" t="str">
        <f>IF($B175="","",ROUND(SUMIFS(对接源_02物料!$K$4:$K$1203,对接源_02物料!$C$4:$C$1203,$B175,对接源_02物料!$D$4:$D$1203,"包装物料*"),2))</f>
        <v/>
      </c>
      <c r="F175" s="18" t="str">
        <f>IF($B175="","",ROUND(SUMIFS(对接源_02物料!$K$4:$K$1203,对接源_02物料!$C$4:$C$1203,$B175,对接源_02物料!$D$4:$D$1203,"周转筐*"),2))</f>
        <v/>
      </c>
      <c r="G175" s="18" t="str">
        <f>IF($B175="","",ROUND(SUMIFS(对接源_02物料!$K$4:$K$1203,对接源_02物料!$C$4:$C$1203,$B175,对接源_02物料!$D$4:$D$1203,"次果筐*"),2))</f>
        <v/>
      </c>
      <c r="H175" s="18" t="str">
        <f t="shared" si="9"/>
        <v/>
      </c>
      <c r="I175" s="18" t="str">
        <f>IF($B175="","",ROUND(SUMIFS(对接源_01水果!$K$4:$K$1203,对接源_01水果!$C$4:$C$1203,$B175,对接源_01水果!$D$4:$D$1203,"成品出库*",对接源_01水果!$L$4:$L$1203,"已收讫")+SUMIFS(对接源_01水果!$K$4:$K$1203,对接源_01水果!$C$4:$C$1203,$B175,对接源_01水果!$D$4:$D$1203,"成品出库*",对接源_01水果!$L$4:$L$1203,"已付款")+SUMIFS(对接源_01水果!$K$4:$K$1203,对接源_01水果!$C$4:$C$1203,$B175,对接源_01水果!$D$4:$D$1203,"其他代存*",对接源_01水果!$L$4:$L$1203,"已收讫")+SUMIFS(对接源_01水果!$K$4:$K$1203,对接源_01水果!$C$4:$C$1203,$B175,对接源_01水果!$D$4:$D$1203,"其他代存*",对接源_01水果!$L$4:$L$1203,"已付款")+SUMIFS(对接源_02物料!$K$4:$K$1203,对接源_02物料!$C$4:$C$1203,$B175,对接源_02物料!$D$4:$D$1203,"包装物料*",对接源_02物料!$L$4:$L$1203,"已收讫")+SUMIFS(对接源_02物料!$K$4:$K$1203,对接源_02物料!$C$4:$C$1203,$B175,对接源_02物料!$D$4:$D$1203,"包装物料*",对接源_02物料!$L$4:$L$1203,"已付款")+SUMIFS(对接源_02物料!$K$4:$K$1203,对接源_02物料!$C$4:$C$1203,$B175,对接源_02物料!$D$4:$D$1203,"周转筐*",对接源_02物料!$L$4:$L$1203,"已收讫")+SUMIFS(对接源_02物料!$K$4:$K$1203,对接源_02物料!$C$4:$C$1203,$B175,对接源_02物料!$D$4:$D$1203,"周转筐*",对接源_02物料!$L$4:$L$1203,"已付款")+SUMIFS(对接源_02物料!$K$4:$K$1203,对接源_02物料!$C$4:$C$1203,$B175,对接源_02物料!$D$4:$D$1203,"次果筐*",对接源_02物料!$L$4:$L$1203,"已收讫")+SUMIFS(对接源_02物料!$K$4:$K$1203,对接源_02物料!$C$4:$C$1203,$B175,对接源_02物料!$D$4:$D$1203,"次果筐*",对接源_02物料!$L$4:$L$1203,"已付款"),2))</f>
        <v/>
      </c>
      <c r="J175" s="18" t="str">
        <f t="shared" si="10"/>
        <v/>
      </c>
      <c r="K175" s="16" t="str">
        <f t="shared" si="11"/>
        <v/>
      </c>
      <c r="L175" s="26"/>
    </row>
    <row r="176" customHeight="1" spans="1:12">
      <c r="A176" s="16" t="str">
        <f t="shared" si="8"/>
        <v/>
      </c>
      <c r="B176" s="11" t="str">
        <f>IFERROR(INDEX(_自动清单!$E$4:$E$303,ROW()-3),"")</f>
        <v/>
      </c>
      <c r="C176" s="18" t="str">
        <f>IF($B176="","",ROUND(SUMIFS(对接源_01水果!$K$4:$K$1203,对接源_01水果!$C$4:$C$1203,$B176,对接源_01水果!$D$4:$D$1203,"成品出库*"),2))</f>
        <v/>
      </c>
      <c r="D176" s="18" t="str">
        <f>IF($B176="","",ROUND(SUMIFS(对接源_01水果!$K$4:$K$1203,对接源_01水果!$C$4:$C$1203,$B176,对接源_01水果!$D$4:$D$1203,"其他代存*"),2))</f>
        <v/>
      </c>
      <c r="E176" s="18" t="str">
        <f>IF($B176="","",ROUND(SUMIFS(对接源_02物料!$K$4:$K$1203,对接源_02物料!$C$4:$C$1203,$B176,对接源_02物料!$D$4:$D$1203,"包装物料*"),2))</f>
        <v/>
      </c>
      <c r="F176" s="18" t="str">
        <f>IF($B176="","",ROUND(SUMIFS(对接源_02物料!$K$4:$K$1203,对接源_02物料!$C$4:$C$1203,$B176,对接源_02物料!$D$4:$D$1203,"周转筐*"),2))</f>
        <v/>
      </c>
      <c r="G176" s="18" t="str">
        <f>IF($B176="","",ROUND(SUMIFS(对接源_02物料!$K$4:$K$1203,对接源_02物料!$C$4:$C$1203,$B176,对接源_02物料!$D$4:$D$1203,"次果筐*"),2))</f>
        <v/>
      </c>
      <c r="H176" s="18" t="str">
        <f t="shared" si="9"/>
        <v/>
      </c>
      <c r="I176" s="18" t="str">
        <f>IF($B176="","",ROUND(SUMIFS(对接源_01水果!$K$4:$K$1203,对接源_01水果!$C$4:$C$1203,$B176,对接源_01水果!$D$4:$D$1203,"成品出库*",对接源_01水果!$L$4:$L$1203,"已收讫")+SUMIFS(对接源_01水果!$K$4:$K$1203,对接源_01水果!$C$4:$C$1203,$B176,对接源_01水果!$D$4:$D$1203,"成品出库*",对接源_01水果!$L$4:$L$1203,"已付款")+SUMIFS(对接源_01水果!$K$4:$K$1203,对接源_01水果!$C$4:$C$1203,$B176,对接源_01水果!$D$4:$D$1203,"其他代存*",对接源_01水果!$L$4:$L$1203,"已收讫")+SUMIFS(对接源_01水果!$K$4:$K$1203,对接源_01水果!$C$4:$C$1203,$B176,对接源_01水果!$D$4:$D$1203,"其他代存*",对接源_01水果!$L$4:$L$1203,"已付款")+SUMIFS(对接源_02物料!$K$4:$K$1203,对接源_02物料!$C$4:$C$1203,$B176,对接源_02物料!$D$4:$D$1203,"包装物料*",对接源_02物料!$L$4:$L$1203,"已收讫")+SUMIFS(对接源_02物料!$K$4:$K$1203,对接源_02物料!$C$4:$C$1203,$B176,对接源_02物料!$D$4:$D$1203,"包装物料*",对接源_02物料!$L$4:$L$1203,"已付款")+SUMIFS(对接源_02物料!$K$4:$K$1203,对接源_02物料!$C$4:$C$1203,$B176,对接源_02物料!$D$4:$D$1203,"周转筐*",对接源_02物料!$L$4:$L$1203,"已收讫")+SUMIFS(对接源_02物料!$K$4:$K$1203,对接源_02物料!$C$4:$C$1203,$B176,对接源_02物料!$D$4:$D$1203,"周转筐*",对接源_02物料!$L$4:$L$1203,"已付款")+SUMIFS(对接源_02物料!$K$4:$K$1203,对接源_02物料!$C$4:$C$1203,$B176,对接源_02物料!$D$4:$D$1203,"次果筐*",对接源_02物料!$L$4:$L$1203,"已收讫")+SUMIFS(对接源_02物料!$K$4:$K$1203,对接源_02物料!$C$4:$C$1203,$B176,对接源_02物料!$D$4:$D$1203,"次果筐*",对接源_02物料!$L$4:$L$1203,"已付款"),2))</f>
        <v/>
      </c>
      <c r="J176" s="18" t="str">
        <f t="shared" si="10"/>
        <v/>
      </c>
      <c r="K176" s="16" t="str">
        <f t="shared" si="11"/>
        <v/>
      </c>
      <c r="L176" s="26"/>
    </row>
    <row r="177" customHeight="1" spans="1:12">
      <c r="A177" s="16" t="str">
        <f t="shared" si="8"/>
        <v/>
      </c>
      <c r="B177" s="11" t="str">
        <f>IFERROR(INDEX(_自动清单!$E$4:$E$303,ROW()-3),"")</f>
        <v/>
      </c>
      <c r="C177" s="18" t="str">
        <f>IF($B177="","",ROUND(SUMIFS(对接源_01水果!$K$4:$K$1203,对接源_01水果!$C$4:$C$1203,$B177,对接源_01水果!$D$4:$D$1203,"成品出库*"),2))</f>
        <v/>
      </c>
      <c r="D177" s="18" t="str">
        <f>IF($B177="","",ROUND(SUMIFS(对接源_01水果!$K$4:$K$1203,对接源_01水果!$C$4:$C$1203,$B177,对接源_01水果!$D$4:$D$1203,"其他代存*"),2))</f>
        <v/>
      </c>
      <c r="E177" s="18" t="str">
        <f>IF($B177="","",ROUND(SUMIFS(对接源_02物料!$K$4:$K$1203,对接源_02物料!$C$4:$C$1203,$B177,对接源_02物料!$D$4:$D$1203,"包装物料*"),2))</f>
        <v/>
      </c>
      <c r="F177" s="18" t="str">
        <f>IF($B177="","",ROUND(SUMIFS(对接源_02物料!$K$4:$K$1203,对接源_02物料!$C$4:$C$1203,$B177,对接源_02物料!$D$4:$D$1203,"周转筐*"),2))</f>
        <v/>
      </c>
      <c r="G177" s="18" t="str">
        <f>IF($B177="","",ROUND(SUMIFS(对接源_02物料!$K$4:$K$1203,对接源_02物料!$C$4:$C$1203,$B177,对接源_02物料!$D$4:$D$1203,"次果筐*"),2))</f>
        <v/>
      </c>
      <c r="H177" s="18" t="str">
        <f t="shared" si="9"/>
        <v/>
      </c>
      <c r="I177" s="18" t="str">
        <f>IF($B177="","",ROUND(SUMIFS(对接源_01水果!$K$4:$K$1203,对接源_01水果!$C$4:$C$1203,$B177,对接源_01水果!$D$4:$D$1203,"成品出库*",对接源_01水果!$L$4:$L$1203,"已收讫")+SUMIFS(对接源_01水果!$K$4:$K$1203,对接源_01水果!$C$4:$C$1203,$B177,对接源_01水果!$D$4:$D$1203,"成品出库*",对接源_01水果!$L$4:$L$1203,"已付款")+SUMIFS(对接源_01水果!$K$4:$K$1203,对接源_01水果!$C$4:$C$1203,$B177,对接源_01水果!$D$4:$D$1203,"其他代存*",对接源_01水果!$L$4:$L$1203,"已收讫")+SUMIFS(对接源_01水果!$K$4:$K$1203,对接源_01水果!$C$4:$C$1203,$B177,对接源_01水果!$D$4:$D$1203,"其他代存*",对接源_01水果!$L$4:$L$1203,"已付款")+SUMIFS(对接源_02物料!$K$4:$K$1203,对接源_02物料!$C$4:$C$1203,$B177,对接源_02物料!$D$4:$D$1203,"包装物料*",对接源_02物料!$L$4:$L$1203,"已收讫")+SUMIFS(对接源_02物料!$K$4:$K$1203,对接源_02物料!$C$4:$C$1203,$B177,对接源_02物料!$D$4:$D$1203,"包装物料*",对接源_02物料!$L$4:$L$1203,"已付款")+SUMIFS(对接源_02物料!$K$4:$K$1203,对接源_02物料!$C$4:$C$1203,$B177,对接源_02物料!$D$4:$D$1203,"周转筐*",对接源_02物料!$L$4:$L$1203,"已收讫")+SUMIFS(对接源_02物料!$K$4:$K$1203,对接源_02物料!$C$4:$C$1203,$B177,对接源_02物料!$D$4:$D$1203,"周转筐*",对接源_02物料!$L$4:$L$1203,"已付款")+SUMIFS(对接源_02物料!$K$4:$K$1203,对接源_02物料!$C$4:$C$1203,$B177,对接源_02物料!$D$4:$D$1203,"次果筐*",对接源_02物料!$L$4:$L$1203,"已收讫")+SUMIFS(对接源_02物料!$K$4:$K$1203,对接源_02物料!$C$4:$C$1203,$B177,对接源_02物料!$D$4:$D$1203,"次果筐*",对接源_02物料!$L$4:$L$1203,"已付款"),2))</f>
        <v/>
      </c>
      <c r="J177" s="18" t="str">
        <f t="shared" si="10"/>
        <v/>
      </c>
      <c r="K177" s="16" t="str">
        <f t="shared" si="11"/>
        <v/>
      </c>
      <c r="L177" s="26"/>
    </row>
    <row r="178" customHeight="1" spans="1:12">
      <c r="A178" s="16" t="str">
        <f t="shared" si="8"/>
        <v/>
      </c>
      <c r="B178" s="11" t="str">
        <f>IFERROR(INDEX(_自动清单!$E$4:$E$303,ROW()-3),"")</f>
        <v/>
      </c>
      <c r="C178" s="18" t="str">
        <f>IF($B178="","",ROUND(SUMIFS(对接源_01水果!$K$4:$K$1203,对接源_01水果!$C$4:$C$1203,$B178,对接源_01水果!$D$4:$D$1203,"成品出库*"),2))</f>
        <v/>
      </c>
      <c r="D178" s="18" t="str">
        <f>IF($B178="","",ROUND(SUMIFS(对接源_01水果!$K$4:$K$1203,对接源_01水果!$C$4:$C$1203,$B178,对接源_01水果!$D$4:$D$1203,"其他代存*"),2))</f>
        <v/>
      </c>
      <c r="E178" s="18" t="str">
        <f>IF($B178="","",ROUND(SUMIFS(对接源_02物料!$K$4:$K$1203,对接源_02物料!$C$4:$C$1203,$B178,对接源_02物料!$D$4:$D$1203,"包装物料*"),2))</f>
        <v/>
      </c>
      <c r="F178" s="18" t="str">
        <f>IF($B178="","",ROUND(SUMIFS(对接源_02物料!$K$4:$K$1203,对接源_02物料!$C$4:$C$1203,$B178,对接源_02物料!$D$4:$D$1203,"周转筐*"),2))</f>
        <v/>
      </c>
      <c r="G178" s="18" t="str">
        <f>IF($B178="","",ROUND(SUMIFS(对接源_02物料!$K$4:$K$1203,对接源_02物料!$C$4:$C$1203,$B178,对接源_02物料!$D$4:$D$1203,"次果筐*"),2))</f>
        <v/>
      </c>
      <c r="H178" s="18" t="str">
        <f t="shared" si="9"/>
        <v/>
      </c>
      <c r="I178" s="18" t="str">
        <f>IF($B178="","",ROUND(SUMIFS(对接源_01水果!$K$4:$K$1203,对接源_01水果!$C$4:$C$1203,$B178,对接源_01水果!$D$4:$D$1203,"成品出库*",对接源_01水果!$L$4:$L$1203,"已收讫")+SUMIFS(对接源_01水果!$K$4:$K$1203,对接源_01水果!$C$4:$C$1203,$B178,对接源_01水果!$D$4:$D$1203,"成品出库*",对接源_01水果!$L$4:$L$1203,"已付款")+SUMIFS(对接源_01水果!$K$4:$K$1203,对接源_01水果!$C$4:$C$1203,$B178,对接源_01水果!$D$4:$D$1203,"其他代存*",对接源_01水果!$L$4:$L$1203,"已收讫")+SUMIFS(对接源_01水果!$K$4:$K$1203,对接源_01水果!$C$4:$C$1203,$B178,对接源_01水果!$D$4:$D$1203,"其他代存*",对接源_01水果!$L$4:$L$1203,"已付款")+SUMIFS(对接源_02物料!$K$4:$K$1203,对接源_02物料!$C$4:$C$1203,$B178,对接源_02物料!$D$4:$D$1203,"包装物料*",对接源_02物料!$L$4:$L$1203,"已收讫")+SUMIFS(对接源_02物料!$K$4:$K$1203,对接源_02物料!$C$4:$C$1203,$B178,对接源_02物料!$D$4:$D$1203,"包装物料*",对接源_02物料!$L$4:$L$1203,"已付款")+SUMIFS(对接源_02物料!$K$4:$K$1203,对接源_02物料!$C$4:$C$1203,$B178,对接源_02物料!$D$4:$D$1203,"周转筐*",对接源_02物料!$L$4:$L$1203,"已收讫")+SUMIFS(对接源_02物料!$K$4:$K$1203,对接源_02物料!$C$4:$C$1203,$B178,对接源_02物料!$D$4:$D$1203,"周转筐*",对接源_02物料!$L$4:$L$1203,"已付款")+SUMIFS(对接源_02物料!$K$4:$K$1203,对接源_02物料!$C$4:$C$1203,$B178,对接源_02物料!$D$4:$D$1203,"次果筐*",对接源_02物料!$L$4:$L$1203,"已收讫")+SUMIFS(对接源_02物料!$K$4:$K$1203,对接源_02物料!$C$4:$C$1203,$B178,对接源_02物料!$D$4:$D$1203,"次果筐*",对接源_02物料!$L$4:$L$1203,"已付款"),2))</f>
        <v/>
      </c>
      <c r="J178" s="18" t="str">
        <f t="shared" si="10"/>
        <v/>
      </c>
      <c r="K178" s="16" t="str">
        <f t="shared" si="11"/>
        <v/>
      </c>
      <c r="L178" s="26"/>
    </row>
    <row r="179" customHeight="1" spans="1:12">
      <c r="A179" s="16" t="str">
        <f t="shared" si="8"/>
        <v/>
      </c>
      <c r="B179" s="11" t="str">
        <f>IFERROR(INDEX(_自动清单!$E$4:$E$303,ROW()-3),"")</f>
        <v/>
      </c>
      <c r="C179" s="18" t="str">
        <f>IF($B179="","",ROUND(SUMIFS(对接源_01水果!$K$4:$K$1203,对接源_01水果!$C$4:$C$1203,$B179,对接源_01水果!$D$4:$D$1203,"成品出库*"),2))</f>
        <v/>
      </c>
      <c r="D179" s="18" t="str">
        <f>IF($B179="","",ROUND(SUMIFS(对接源_01水果!$K$4:$K$1203,对接源_01水果!$C$4:$C$1203,$B179,对接源_01水果!$D$4:$D$1203,"其他代存*"),2))</f>
        <v/>
      </c>
      <c r="E179" s="18" t="str">
        <f>IF($B179="","",ROUND(SUMIFS(对接源_02物料!$K$4:$K$1203,对接源_02物料!$C$4:$C$1203,$B179,对接源_02物料!$D$4:$D$1203,"包装物料*"),2))</f>
        <v/>
      </c>
      <c r="F179" s="18" t="str">
        <f>IF($B179="","",ROUND(SUMIFS(对接源_02物料!$K$4:$K$1203,对接源_02物料!$C$4:$C$1203,$B179,对接源_02物料!$D$4:$D$1203,"周转筐*"),2))</f>
        <v/>
      </c>
      <c r="G179" s="18" t="str">
        <f>IF($B179="","",ROUND(SUMIFS(对接源_02物料!$K$4:$K$1203,对接源_02物料!$C$4:$C$1203,$B179,对接源_02物料!$D$4:$D$1203,"次果筐*"),2))</f>
        <v/>
      </c>
      <c r="H179" s="18" t="str">
        <f t="shared" si="9"/>
        <v/>
      </c>
      <c r="I179" s="18" t="str">
        <f>IF($B179="","",ROUND(SUMIFS(对接源_01水果!$K$4:$K$1203,对接源_01水果!$C$4:$C$1203,$B179,对接源_01水果!$D$4:$D$1203,"成品出库*",对接源_01水果!$L$4:$L$1203,"已收讫")+SUMIFS(对接源_01水果!$K$4:$K$1203,对接源_01水果!$C$4:$C$1203,$B179,对接源_01水果!$D$4:$D$1203,"成品出库*",对接源_01水果!$L$4:$L$1203,"已付款")+SUMIFS(对接源_01水果!$K$4:$K$1203,对接源_01水果!$C$4:$C$1203,$B179,对接源_01水果!$D$4:$D$1203,"其他代存*",对接源_01水果!$L$4:$L$1203,"已收讫")+SUMIFS(对接源_01水果!$K$4:$K$1203,对接源_01水果!$C$4:$C$1203,$B179,对接源_01水果!$D$4:$D$1203,"其他代存*",对接源_01水果!$L$4:$L$1203,"已付款")+SUMIFS(对接源_02物料!$K$4:$K$1203,对接源_02物料!$C$4:$C$1203,$B179,对接源_02物料!$D$4:$D$1203,"包装物料*",对接源_02物料!$L$4:$L$1203,"已收讫")+SUMIFS(对接源_02物料!$K$4:$K$1203,对接源_02物料!$C$4:$C$1203,$B179,对接源_02物料!$D$4:$D$1203,"包装物料*",对接源_02物料!$L$4:$L$1203,"已付款")+SUMIFS(对接源_02物料!$K$4:$K$1203,对接源_02物料!$C$4:$C$1203,$B179,对接源_02物料!$D$4:$D$1203,"周转筐*",对接源_02物料!$L$4:$L$1203,"已收讫")+SUMIFS(对接源_02物料!$K$4:$K$1203,对接源_02物料!$C$4:$C$1203,$B179,对接源_02物料!$D$4:$D$1203,"周转筐*",对接源_02物料!$L$4:$L$1203,"已付款")+SUMIFS(对接源_02物料!$K$4:$K$1203,对接源_02物料!$C$4:$C$1203,$B179,对接源_02物料!$D$4:$D$1203,"次果筐*",对接源_02物料!$L$4:$L$1203,"已收讫")+SUMIFS(对接源_02物料!$K$4:$K$1203,对接源_02物料!$C$4:$C$1203,$B179,对接源_02物料!$D$4:$D$1203,"次果筐*",对接源_02物料!$L$4:$L$1203,"已付款"),2))</f>
        <v/>
      </c>
      <c r="J179" s="18" t="str">
        <f t="shared" si="10"/>
        <v/>
      </c>
      <c r="K179" s="16" t="str">
        <f t="shared" si="11"/>
        <v/>
      </c>
      <c r="L179" s="26"/>
    </row>
    <row r="180" customHeight="1" spans="1:12">
      <c r="A180" s="16" t="str">
        <f t="shared" si="8"/>
        <v/>
      </c>
      <c r="B180" s="11" t="str">
        <f>IFERROR(INDEX(_自动清单!$E$4:$E$303,ROW()-3),"")</f>
        <v/>
      </c>
      <c r="C180" s="18" t="str">
        <f>IF($B180="","",ROUND(SUMIFS(对接源_01水果!$K$4:$K$1203,对接源_01水果!$C$4:$C$1203,$B180,对接源_01水果!$D$4:$D$1203,"成品出库*"),2))</f>
        <v/>
      </c>
      <c r="D180" s="18" t="str">
        <f>IF($B180="","",ROUND(SUMIFS(对接源_01水果!$K$4:$K$1203,对接源_01水果!$C$4:$C$1203,$B180,对接源_01水果!$D$4:$D$1203,"其他代存*"),2))</f>
        <v/>
      </c>
      <c r="E180" s="18" t="str">
        <f>IF($B180="","",ROUND(SUMIFS(对接源_02物料!$K$4:$K$1203,对接源_02物料!$C$4:$C$1203,$B180,对接源_02物料!$D$4:$D$1203,"包装物料*"),2))</f>
        <v/>
      </c>
      <c r="F180" s="18" t="str">
        <f>IF($B180="","",ROUND(SUMIFS(对接源_02物料!$K$4:$K$1203,对接源_02物料!$C$4:$C$1203,$B180,对接源_02物料!$D$4:$D$1203,"周转筐*"),2))</f>
        <v/>
      </c>
      <c r="G180" s="18" t="str">
        <f>IF($B180="","",ROUND(SUMIFS(对接源_02物料!$K$4:$K$1203,对接源_02物料!$C$4:$C$1203,$B180,对接源_02物料!$D$4:$D$1203,"次果筐*"),2))</f>
        <v/>
      </c>
      <c r="H180" s="18" t="str">
        <f t="shared" si="9"/>
        <v/>
      </c>
      <c r="I180" s="18" t="str">
        <f>IF($B180="","",ROUND(SUMIFS(对接源_01水果!$K$4:$K$1203,对接源_01水果!$C$4:$C$1203,$B180,对接源_01水果!$D$4:$D$1203,"成品出库*",对接源_01水果!$L$4:$L$1203,"已收讫")+SUMIFS(对接源_01水果!$K$4:$K$1203,对接源_01水果!$C$4:$C$1203,$B180,对接源_01水果!$D$4:$D$1203,"成品出库*",对接源_01水果!$L$4:$L$1203,"已付款")+SUMIFS(对接源_01水果!$K$4:$K$1203,对接源_01水果!$C$4:$C$1203,$B180,对接源_01水果!$D$4:$D$1203,"其他代存*",对接源_01水果!$L$4:$L$1203,"已收讫")+SUMIFS(对接源_01水果!$K$4:$K$1203,对接源_01水果!$C$4:$C$1203,$B180,对接源_01水果!$D$4:$D$1203,"其他代存*",对接源_01水果!$L$4:$L$1203,"已付款")+SUMIFS(对接源_02物料!$K$4:$K$1203,对接源_02物料!$C$4:$C$1203,$B180,对接源_02物料!$D$4:$D$1203,"包装物料*",对接源_02物料!$L$4:$L$1203,"已收讫")+SUMIFS(对接源_02物料!$K$4:$K$1203,对接源_02物料!$C$4:$C$1203,$B180,对接源_02物料!$D$4:$D$1203,"包装物料*",对接源_02物料!$L$4:$L$1203,"已付款")+SUMIFS(对接源_02物料!$K$4:$K$1203,对接源_02物料!$C$4:$C$1203,$B180,对接源_02物料!$D$4:$D$1203,"周转筐*",对接源_02物料!$L$4:$L$1203,"已收讫")+SUMIFS(对接源_02物料!$K$4:$K$1203,对接源_02物料!$C$4:$C$1203,$B180,对接源_02物料!$D$4:$D$1203,"周转筐*",对接源_02物料!$L$4:$L$1203,"已付款")+SUMIFS(对接源_02物料!$K$4:$K$1203,对接源_02物料!$C$4:$C$1203,$B180,对接源_02物料!$D$4:$D$1203,"次果筐*",对接源_02物料!$L$4:$L$1203,"已收讫")+SUMIFS(对接源_02物料!$K$4:$K$1203,对接源_02物料!$C$4:$C$1203,$B180,对接源_02物料!$D$4:$D$1203,"次果筐*",对接源_02物料!$L$4:$L$1203,"已付款"),2))</f>
        <v/>
      </c>
      <c r="J180" s="18" t="str">
        <f t="shared" si="10"/>
        <v/>
      </c>
      <c r="K180" s="16" t="str">
        <f t="shared" si="11"/>
        <v/>
      </c>
      <c r="L180" s="26"/>
    </row>
    <row r="181" customHeight="1" spans="1:12">
      <c r="A181" s="16" t="str">
        <f t="shared" si="8"/>
        <v/>
      </c>
      <c r="B181" s="11" t="str">
        <f>IFERROR(INDEX(_自动清单!$E$4:$E$303,ROW()-3),"")</f>
        <v/>
      </c>
      <c r="C181" s="18" t="str">
        <f>IF($B181="","",ROUND(SUMIFS(对接源_01水果!$K$4:$K$1203,对接源_01水果!$C$4:$C$1203,$B181,对接源_01水果!$D$4:$D$1203,"成品出库*"),2))</f>
        <v/>
      </c>
      <c r="D181" s="18" t="str">
        <f>IF($B181="","",ROUND(SUMIFS(对接源_01水果!$K$4:$K$1203,对接源_01水果!$C$4:$C$1203,$B181,对接源_01水果!$D$4:$D$1203,"其他代存*"),2))</f>
        <v/>
      </c>
      <c r="E181" s="18" t="str">
        <f>IF($B181="","",ROUND(SUMIFS(对接源_02物料!$K$4:$K$1203,对接源_02物料!$C$4:$C$1203,$B181,对接源_02物料!$D$4:$D$1203,"包装物料*"),2))</f>
        <v/>
      </c>
      <c r="F181" s="18" t="str">
        <f>IF($B181="","",ROUND(SUMIFS(对接源_02物料!$K$4:$K$1203,对接源_02物料!$C$4:$C$1203,$B181,对接源_02物料!$D$4:$D$1203,"周转筐*"),2))</f>
        <v/>
      </c>
      <c r="G181" s="18" t="str">
        <f>IF($B181="","",ROUND(SUMIFS(对接源_02物料!$K$4:$K$1203,对接源_02物料!$C$4:$C$1203,$B181,对接源_02物料!$D$4:$D$1203,"次果筐*"),2))</f>
        <v/>
      </c>
      <c r="H181" s="18" t="str">
        <f t="shared" si="9"/>
        <v/>
      </c>
      <c r="I181" s="18" t="str">
        <f>IF($B181="","",ROUND(SUMIFS(对接源_01水果!$K$4:$K$1203,对接源_01水果!$C$4:$C$1203,$B181,对接源_01水果!$D$4:$D$1203,"成品出库*",对接源_01水果!$L$4:$L$1203,"已收讫")+SUMIFS(对接源_01水果!$K$4:$K$1203,对接源_01水果!$C$4:$C$1203,$B181,对接源_01水果!$D$4:$D$1203,"成品出库*",对接源_01水果!$L$4:$L$1203,"已付款")+SUMIFS(对接源_01水果!$K$4:$K$1203,对接源_01水果!$C$4:$C$1203,$B181,对接源_01水果!$D$4:$D$1203,"其他代存*",对接源_01水果!$L$4:$L$1203,"已收讫")+SUMIFS(对接源_01水果!$K$4:$K$1203,对接源_01水果!$C$4:$C$1203,$B181,对接源_01水果!$D$4:$D$1203,"其他代存*",对接源_01水果!$L$4:$L$1203,"已付款")+SUMIFS(对接源_02物料!$K$4:$K$1203,对接源_02物料!$C$4:$C$1203,$B181,对接源_02物料!$D$4:$D$1203,"包装物料*",对接源_02物料!$L$4:$L$1203,"已收讫")+SUMIFS(对接源_02物料!$K$4:$K$1203,对接源_02物料!$C$4:$C$1203,$B181,对接源_02物料!$D$4:$D$1203,"包装物料*",对接源_02物料!$L$4:$L$1203,"已付款")+SUMIFS(对接源_02物料!$K$4:$K$1203,对接源_02物料!$C$4:$C$1203,$B181,对接源_02物料!$D$4:$D$1203,"周转筐*",对接源_02物料!$L$4:$L$1203,"已收讫")+SUMIFS(对接源_02物料!$K$4:$K$1203,对接源_02物料!$C$4:$C$1203,$B181,对接源_02物料!$D$4:$D$1203,"周转筐*",对接源_02物料!$L$4:$L$1203,"已付款")+SUMIFS(对接源_02物料!$K$4:$K$1203,对接源_02物料!$C$4:$C$1203,$B181,对接源_02物料!$D$4:$D$1203,"次果筐*",对接源_02物料!$L$4:$L$1203,"已收讫")+SUMIFS(对接源_02物料!$K$4:$K$1203,对接源_02物料!$C$4:$C$1203,$B181,对接源_02物料!$D$4:$D$1203,"次果筐*",对接源_02物料!$L$4:$L$1203,"已付款"),2))</f>
        <v/>
      </c>
      <c r="J181" s="18" t="str">
        <f t="shared" si="10"/>
        <v/>
      </c>
      <c r="K181" s="16" t="str">
        <f t="shared" si="11"/>
        <v/>
      </c>
      <c r="L181" s="26"/>
    </row>
    <row r="182" customHeight="1" spans="1:12">
      <c r="A182" s="16" t="str">
        <f t="shared" si="8"/>
        <v/>
      </c>
      <c r="B182" s="11" t="str">
        <f>IFERROR(INDEX(_自动清单!$E$4:$E$303,ROW()-3),"")</f>
        <v/>
      </c>
      <c r="C182" s="18" t="str">
        <f>IF($B182="","",ROUND(SUMIFS(对接源_01水果!$K$4:$K$1203,对接源_01水果!$C$4:$C$1203,$B182,对接源_01水果!$D$4:$D$1203,"成品出库*"),2))</f>
        <v/>
      </c>
      <c r="D182" s="18" t="str">
        <f>IF($B182="","",ROUND(SUMIFS(对接源_01水果!$K$4:$K$1203,对接源_01水果!$C$4:$C$1203,$B182,对接源_01水果!$D$4:$D$1203,"其他代存*"),2))</f>
        <v/>
      </c>
      <c r="E182" s="18" t="str">
        <f>IF($B182="","",ROUND(SUMIFS(对接源_02物料!$K$4:$K$1203,对接源_02物料!$C$4:$C$1203,$B182,对接源_02物料!$D$4:$D$1203,"包装物料*"),2))</f>
        <v/>
      </c>
      <c r="F182" s="18" t="str">
        <f>IF($B182="","",ROUND(SUMIFS(对接源_02物料!$K$4:$K$1203,对接源_02物料!$C$4:$C$1203,$B182,对接源_02物料!$D$4:$D$1203,"周转筐*"),2))</f>
        <v/>
      </c>
      <c r="G182" s="18" t="str">
        <f>IF($B182="","",ROUND(SUMIFS(对接源_02物料!$K$4:$K$1203,对接源_02物料!$C$4:$C$1203,$B182,对接源_02物料!$D$4:$D$1203,"次果筐*"),2))</f>
        <v/>
      </c>
      <c r="H182" s="18" t="str">
        <f t="shared" si="9"/>
        <v/>
      </c>
      <c r="I182" s="18" t="str">
        <f>IF($B182="","",ROUND(SUMIFS(对接源_01水果!$K$4:$K$1203,对接源_01水果!$C$4:$C$1203,$B182,对接源_01水果!$D$4:$D$1203,"成品出库*",对接源_01水果!$L$4:$L$1203,"已收讫")+SUMIFS(对接源_01水果!$K$4:$K$1203,对接源_01水果!$C$4:$C$1203,$B182,对接源_01水果!$D$4:$D$1203,"成品出库*",对接源_01水果!$L$4:$L$1203,"已付款")+SUMIFS(对接源_01水果!$K$4:$K$1203,对接源_01水果!$C$4:$C$1203,$B182,对接源_01水果!$D$4:$D$1203,"其他代存*",对接源_01水果!$L$4:$L$1203,"已收讫")+SUMIFS(对接源_01水果!$K$4:$K$1203,对接源_01水果!$C$4:$C$1203,$B182,对接源_01水果!$D$4:$D$1203,"其他代存*",对接源_01水果!$L$4:$L$1203,"已付款")+SUMIFS(对接源_02物料!$K$4:$K$1203,对接源_02物料!$C$4:$C$1203,$B182,对接源_02物料!$D$4:$D$1203,"包装物料*",对接源_02物料!$L$4:$L$1203,"已收讫")+SUMIFS(对接源_02物料!$K$4:$K$1203,对接源_02物料!$C$4:$C$1203,$B182,对接源_02物料!$D$4:$D$1203,"包装物料*",对接源_02物料!$L$4:$L$1203,"已付款")+SUMIFS(对接源_02物料!$K$4:$K$1203,对接源_02物料!$C$4:$C$1203,$B182,对接源_02物料!$D$4:$D$1203,"周转筐*",对接源_02物料!$L$4:$L$1203,"已收讫")+SUMIFS(对接源_02物料!$K$4:$K$1203,对接源_02物料!$C$4:$C$1203,$B182,对接源_02物料!$D$4:$D$1203,"周转筐*",对接源_02物料!$L$4:$L$1203,"已付款")+SUMIFS(对接源_02物料!$K$4:$K$1203,对接源_02物料!$C$4:$C$1203,$B182,对接源_02物料!$D$4:$D$1203,"次果筐*",对接源_02物料!$L$4:$L$1203,"已收讫")+SUMIFS(对接源_02物料!$K$4:$K$1203,对接源_02物料!$C$4:$C$1203,$B182,对接源_02物料!$D$4:$D$1203,"次果筐*",对接源_02物料!$L$4:$L$1203,"已付款"),2))</f>
        <v/>
      </c>
      <c r="J182" s="18" t="str">
        <f t="shared" si="10"/>
        <v/>
      </c>
      <c r="K182" s="16" t="str">
        <f t="shared" si="11"/>
        <v/>
      </c>
      <c r="L182" s="26"/>
    </row>
    <row r="183" customHeight="1" spans="1:12">
      <c r="A183" s="16" t="str">
        <f t="shared" si="8"/>
        <v/>
      </c>
      <c r="B183" s="11" t="str">
        <f>IFERROR(INDEX(_自动清单!$E$4:$E$303,ROW()-3),"")</f>
        <v/>
      </c>
      <c r="C183" s="18" t="str">
        <f>IF($B183="","",ROUND(SUMIFS(对接源_01水果!$K$4:$K$1203,对接源_01水果!$C$4:$C$1203,$B183,对接源_01水果!$D$4:$D$1203,"成品出库*"),2))</f>
        <v/>
      </c>
      <c r="D183" s="18" t="str">
        <f>IF($B183="","",ROUND(SUMIFS(对接源_01水果!$K$4:$K$1203,对接源_01水果!$C$4:$C$1203,$B183,对接源_01水果!$D$4:$D$1203,"其他代存*"),2))</f>
        <v/>
      </c>
      <c r="E183" s="18" t="str">
        <f>IF($B183="","",ROUND(SUMIFS(对接源_02物料!$K$4:$K$1203,对接源_02物料!$C$4:$C$1203,$B183,对接源_02物料!$D$4:$D$1203,"包装物料*"),2))</f>
        <v/>
      </c>
      <c r="F183" s="18" t="str">
        <f>IF($B183="","",ROUND(SUMIFS(对接源_02物料!$K$4:$K$1203,对接源_02物料!$C$4:$C$1203,$B183,对接源_02物料!$D$4:$D$1203,"周转筐*"),2))</f>
        <v/>
      </c>
      <c r="G183" s="18" t="str">
        <f>IF($B183="","",ROUND(SUMIFS(对接源_02物料!$K$4:$K$1203,对接源_02物料!$C$4:$C$1203,$B183,对接源_02物料!$D$4:$D$1203,"次果筐*"),2))</f>
        <v/>
      </c>
      <c r="H183" s="18" t="str">
        <f t="shared" si="9"/>
        <v/>
      </c>
      <c r="I183" s="18" t="str">
        <f>IF($B183="","",ROUND(SUMIFS(对接源_01水果!$K$4:$K$1203,对接源_01水果!$C$4:$C$1203,$B183,对接源_01水果!$D$4:$D$1203,"成品出库*",对接源_01水果!$L$4:$L$1203,"已收讫")+SUMIFS(对接源_01水果!$K$4:$K$1203,对接源_01水果!$C$4:$C$1203,$B183,对接源_01水果!$D$4:$D$1203,"成品出库*",对接源_01水果!$L$4:$L$1203,"已付款")+SUMIFS(对接源_01水果!$K$4:$K$1203,对接源_01水果!$C$4:$C$1203,$B183,对接源_01水果!$D$4:$D$1203,"其他代存*",对接源_01水果!$L$4:$L$1203,"已收讫")+SUMIFS(对接源_01水果!$K$4:$K$1203,对接源_01水果!$C$4:$C$1203,$B183,对接源_01水果!$D$4:$D$1203,"其他代存*",对接源_01水果!$L$4:$L$1203,"已付款")+SUMIFS(对接源_02物料!$K$4:$K$1203,对接源_02物料!$C$4:$C$1203,$B183,对接源_02物料!$D$4:$D$1203,"包装物料*",对接源_02物料!$L$4:$L$1203,"已收讫")+SUMIFS(对接源_02物料!$K$4:$K$1203,对接源_02物料!$C$4:$C$1203,$B183,对接源_02物料!$D$4:$D$1203,"包装物料*",对接源_02物料!$L$4:$L$1203,"已付款")+SUMIFS(对接源_02物料!$K$4:$K$1203,对接源_02物料!$C$4:$C$1203,$B183,对接源_02物料!$D$4:$D$1203,"周转筐*",对接源_02物料!$L$4:$L$1203,"已收讫")+SUMIFS(对接源_02物料!$K$4:$K$1203,对接源_02物料!$C$4:$C$1203,$B183,对接源_02物料!$D$4:$D$1203,"周转筐*",对接源_02物料!$L$4:$L$1203,"已付款")+SUMIFS(对接源_02物料!$K$4:$K$1203,对接源_02物料!$C$4:$C$1203,$B183,对接源_02物料!$D$4:$D$1203,"次果筐*",对接源_02物料!$L$4:$L$1203,"已收讫")+SUMIFS(对接源_02物料!$K$4:$K$1203,对接源_02物料!$C$4:$C$1203,$B183,对接源_02物料!$D$4:$D$1203,"次果筐*",对接源_02物料!$L$4:$L$1203,"已付款"),2))</f>
        <v/>
      </c>
      <c r="J183" s="18" t="str">
        <f t="shared" si="10"/>
        <v/>
      </c>
      <c r="K183" s="16" t="str">
        <f t="shared" si="11"/>
        <v/>
      </c>
      <c r="L183" s="26"/>
    </row>
    <row r="184" customHeight="1" spans="1:12">
      <c r="A184" s="16" t="str">
        <f t="shared" si="8"/>
        <v/>
      </c>
      <c r="B184" s="11" t="str">
        <f>IFERROR(INDEX(_自动清单!$E$4:$E$303,ROW()-3),"")</f>
        <v/>
      </c>
      <c r="C184" s="18" t="str">
        <f>IF($B184="","",ROUND(SUMIFS(对接源_01水果!$K$4:$K$1203,对接源_01水果!$C$4:$C$1203,$B184,对接源_01水果!$D$4:$D$1203,"成品出库*"),2))</f>
        <v/>
      </c>
      <c r="D184" s="18" t="str">
        <f>IF($B184="","",ROUND(SUMIFS(对接源_01水果!$K$4:$K$1203,对接源_01水果!$C$4:$C$1203,$B184,对接源_01水果!$D$4:$D$1203,"其他代存*"),2))</f>
        <v/>
      </c>
      <c r="E184" s="18" t="str">
        <f>IF($B184="","",ROUND(SUMIFS(对接源_02物料!$K$4:$K$1203,对接源_02物料!$C$4:$C$1203,$B184,对接源_02物料!$D$4:$D$1203,"包装物料*"),2))</f>
        <v/>
      </c>
      <c r="F184" s="18" t="str">
        <f>IF($B184="","",ROUND(SUMIFS(对接源_02物料!$K$4:$K$1203,对接源_02物料!$C$4:$C$1203,$B184,对接源_02物料!$D$4:$D$1203,"周转筐*"),2))</f>
        <v/>
      </c>
      <c r="G184" s="18" t="str">
        <f>IF($B184="","",ROUND(SUMIFS(对接源_02物料!$K$4:$K$1203,对接源_02物料!$C$4:$C$1203,$B184,对接源_02物料!$D$4:$D$1203,"次果筐*"),2))</f>
        <v/>
      </c>
      <c r="H184" s="18" t="str">
        <f t="shared" si="9"/>
        <v/>
      </c>
      <c r="I184" s="18" t="str">
        <f>IF($B184="","",ROUND(SUMIFS(对接源_01水果!$K$4:$K$1203,对接源_01水果!$C$4:$C$1203,$B184,对接源_01水果!$D$4:$D$1203,"成品出库*",对接源_01水果!$L$4:$L$1203,"已收讫")+SUMIFS(对接源_01水果!$K$4:$K$1203,对接源_01水果!$C$4:$C$1203,$B184,对接源_01水果!$D$4:$D$1203,"成品出库*",对接源_01水果!$L$4:$L$1203,"已付款")+SUMIFS(对接源_01水果!$K$4:$K$1203,对接源_01水果!$C$4:$C$1203,$B184,对接源_01水果!$D$4:$D$1203,"其他代存*",对接源_01水果!$L$4:$L$1203,"已收讫")+SUMIFS(对接源_01水果!$K$4:$K$1203,对接源_01水果!$C$4:$C$1203,$B184,对接源_01水果!$D$4:$D$1203,"其他代存*",对接源_01水果!$L$4:$L$1203,"已付款")+SUMIFS(对接源_02物料!$K$4:$K$1203,对接源_02物料!$C$4:$C$1203,$B184,对接源_02物料!$D$4:$D$1203,"包装物料*",对接源_02物料!$L$4:$L$1203,"已收讫")+SUMIFS(对接源_02物料!$K$4:$K$1203,对接源_02物料!$C$4:$C$1203,$B184,对接源_02物料!$D$4:$D$1203,"包装物料*",对接源_02物料!$L$4:$L$1203,"已付款")+SUMIFS(对接源_02物料!$K$4:$K$1203,对接源_02物料!$C$4:$C$1203,$B184,对接源_02物料!$D$4:$D$1203,"周转筐*",对接源_02物料!$L$4:$L$1203,"已收讫")+SUMIFS(对接源_02物料!$K$4:$K$1203,对接源_02物料!$C$4:$C$1203,$B184,对接源_02物料!$D$4:$D$1203,"周转筐*",对接源_02物料!$L$4:$L$1203,"已付款")+SUMIFS(对接源_02物料!$K$4:$K$1203,对接源_02物料!$C$4:$C$1203,$B184,对接源_02物料!$D$4:$D$1203,"次果筐*",对接源_02物料!$L$4:$L$1203,"已收讫")+SUMIFS(对接源_02物料!$K$4:$K$1203,对接源_02物料!$C$4:$C$1203,$B184,对接源_02物料!$D$4:$D$1203,"次果筐*",对接源_02物料!$L$4:$L$1203,"已付款"),2))</f>
        <v/>
      </c>
      <c r="J184" s="18" t="str">
        <f t="shared" si="10"/>
        <v/>
      </c>
      <c r="K184" s="16" t="str">
        <f t="shared" si="11"/>
        <v/>
      </c>
      <c r="L184" s="26"/>
    </row>
    <row r="185" customHeight="1" spans="1:12">
      <c r="A185" s="16" t="str">
        <f t="shared" si="8"/>
        <v/>
      </c>
      <c r="B185" s="11" t="str">
        <f>IFERROR(INDEX(_自动清单!$E$4:$E$303,ROW()-3),"")</f>
        <v/>
      </c>
      <c r="C185" s="18" t="str">
        <f>IF($B185="","",ROUND(SUMIFS(对接源_01水果!$K$4:$K$1203,对接源_01水果!$C$4:$C$1203,$B185,对接源_01水果!$D$4:$D$1203,"成品出库*"),2))</f>
        <v/>
      </c>
      <c r="D185" s="18" t="str">
        <f>IF($B185="","",ROUND(SUMIFS(对接源_01水果!$K$4:$K$1203,对接源_01水果!$C$4:$C$1203,$B185,对接源_01水果!$D$4:$D$1203,"其他代存*"),2))</f>
        <v/>
      </c>
      <c r="E185" s="18" t="str">
        <f>IF($B185="","",ROUND(SUMIFS(对接源_02物料!$K$4:$K$1203,对接源_02物料!$C$4:$C$1203,$B185,对接源_02物料!$D$4:$D$1203,"包装物料*"),2))</f>
        <v/>
      </c>
      <c r="F185" s="18" t="str">
        <f>IF($B185="","",ROUND(SUMIFS(对接源_02物料!$K$4:$K$1203,对接源_02物料!$C$4:$C$1203,$B185,对接源_02物料!$D$4:$D$1203,"周转筐*"),2))</f>
        <v/>
      </c>
      <c r="G185" s="18" t="str">
        <f>IF($B185="","",ROUND(SUMIFS(对接源_02物料!$K$4:$K$1203,对接源_02物料!$C$4:$C$1203,$B185,对接源_02物料!$D$4:$D$1203,"次果筐*"),2))</f>
        <v/>
      </c>
      <c r="H185" s="18" t="str">
        <f t="shared" si="9"/>
        <v/>
      </c>
      <c r="I185" s="18" t="str">
        <f>IF($B185="","",ROUND(SUMIFS(对接源_01水果!$K$4:$K$1203,对接源_01水果!$C$4:$C$1203,$B185,对接源_01水果!$D$4:$D$1203,"成品出库*",对接源_01水果!$L$4:$L$1203,"已收讫")+SUMIFS(对接源_01水果!$K$4:$K$1203,对接源_01水果!$C$4:$C$1203,$B185,对接源_01水果!$D$4:$D$1203,"成品出库*",对接源_01水果!$L$4:$L$1203,"已付款")+SUMIFS(对接源_01水果!$K$4:$K$1203,对接源_01水果!$C$4:$C$1203,$B185,对接源_01水果!$D$4:$D$1203,"其他代存*",对接源_01水果!$L$4:$L$1203,"已收讫")+SUMIFS(对接源_01水果!$K$4:$K$1203,对接源_01水果!$C$4:$C$1203,$B185,对接源_01水果!$D$4:$D$1203,"其他代存*",对接源_01水果!$L$4:$L$1203,"已付款")+SUMIFS(对接源_02物料!$K$4:$K$1203,对接源_02物料!$C$4:$C$1203,$B185,对接源_02物料!$D$4:$D$1203,"包装物料*",对接源_02物料!$L$4:$L$1203,"已收讫")+SUMIFS(对接源_02物料!$K$4:$K$1203,对接源_02物料!$C$4:$C$1203,$B185,对接源_02物料!$D$4:$D$1203,"包装物料*",对接源_02物料!$L$4:$L$1203,"已付款")+SUMIFS(对接源_02物料!$K$4:$K$1203,对接源_02物料!$C$4:$C$1203,$B185,对接源_02物料!$D$4:$D$1203,"周转筐*",对接源_02物料!$L$4:$L$1203,"已收讫")+SUMIFS(对接源_02物料!$K$4:$K$1203,对接源_02物料!$C$4:$C$1203,$B185,对接源_02物料!$D$4:$D$1203,"周转筐*",对接源_02物料!$L$4:$L$1203,"已付款")+SUMIFS(对接源_02物料!$K$4:$K$1203,对接源_02物料!$C$4:$C$1203,$B185,对接源_02物料!$D$4:$D$1203,"次果筐*",对接源_02物料!$L$4:$L$1203,"已收讫")+SUMIFS(对接源_02物料!$K$4:$K$1203,对接源_02物料!$C$4:$C$1203,$B185,对接源_02物料!$D$4:$D$1203,"次果筐*",对接源_02物料!$L$4:$L$1203,"已付款"),2))</f>
        <v/>
      </c>
      <c r="J185" s="18" t="str">
        <f t="shared" si="10"/>
        <v/>
      </c>
      <c r="K185" s="16" t="str">
        <f t="shared" si="11"/>
        <v/>
      </c>
      <c r="L185" s="26"/>
    </row>
    <row r="186" customHeight="1" spans="1:12">
      <c r="A186" s="16" t="str">
        <f t="shared" si="8"/>
        <v/>
      </c>
      <c r="B186" s="11" t="str">
        <f>IFERROR(INDEX(_自动清单!$E$4:$E$303,ROW()-3),"")</f>
        <v/>
      </c>
      <c r="C186" s="18" t="str">
        <f>IF($B186="","",ROUND(SUMIFS(对接源_01水果!$K$4:$K$1203,对接源_01水果!$C$4:$C$1203,$B186,对接源_01水果!$D$4:$D$1203,"成品出库*"),2))</f>
        <v/>
      </c>
      <c r="D186" s="18" t="str">
        <f>IF($B186="","",ROUND(SUMIFS(对接源_01水果!$K$4:$K$1203,对接源_01水果!$C$4:$C$1203,$B186,对接源_01水果!$D$4:$D$1203,"其他代存*"),2))</f>
        <v/>
      </c>
      <c r="E186" s="18" t="str">
        <f>IF($B186="","",ROUND(SUMIFS(对接源_02物料!$K$4:$K$1203,对接源_02物料!$C$4:$C$1203,$B186,对接源_02物料!$D$4:$D$1203,"包装物料*"),2))</f>
        <v/>
      </c>
      <c r="F186" s="18" t="str">
        <f>IF($B186="","",ROUND(SUMIFS(对接源_02物料!$K$4:$K$1203,对接源_02物料!$C$4:$C$1203,$B186,对接源_02物料!$D$4:$D$1203,"周转筐*"),2))</f>
        <v/>
      </c>
      <c r="G186" s="18" t="str">
        <f>IF($B186="","",ROUND(SUMIFS(对接源_02物料!$K$4:$K$1203,对接源_02物料!$C$4:$C$1203,$B186,对接源_02物料!$D$4:$D$1203,"次果筐*"),2))</f>
        <v/>
      </c>
      <c r="H186" s="18" t="str">
        <f t="shared" si="9"/>
        <v/>
      </c>
      <c r="I186" s="18" t="str">
        <f>IF($B186="","",ROUND(SUMIFS(对接源_01水果!$K$4:$K$1203,对接源_01水果!$C$4:$C$1203,$B186,对接源_01水果!$D$4:$D$1203,"成品出库*",对接源_01水果!$L$4:$L$1203,"已收讫")+SUMIFS(对接源_01水果!$K$4:$K$1203,对接源_01水果!$C$4:$C$1203,$B186,对接源_01水果!$D$4:$D$1203,"成品出库*",对接源_01水果!$L$4:$L$1203,"已付款")+SUMIFS(对接源_01水果!$K$4:$K$1203,对接源_01水果!$C$4:$C$1203,$B186,对接源_01水果!$D$4:$D$1203,"其他代存*",对接源_01水果!$L$4:$L$1203,"已收讫")+SUMIFS(对接源_01水果!$K$4:$K$1203,对接源_01水果!$C$4:$C$1203,$B186,对接源_01水果!$D$4:$D$1203,"其他代存*",对接源_01水果!$L$4:$L$1203,"已付款")+SUMIFS(对接源_02物料!$K$4:$K$1203,对接源_02物料!$C$4:$C$1203,$B186,对接源_02物料!$D$4:$D$1203,"包装物料*",对接源_02物料!$L$4:$L$1203,"已收讫")+SUMIFS(对接源_02物料!$K$4:$K$1203,对接源_02物料!$C$4:$C$1203,$B186,对接源_02物料!$D$4:$D$1203,"包装物料*",对接源_02物料!$L$4:$L$1203,"已付款")+SUMIFS(对接源_02物料!$K$4:$K$1203,对接源_02物料!$C$4:$C$1203,$B186,对接源_02物料!$D$4:$D$1203,"周转筐*",对接源_02物料!$L$4:$L$1203,"已收讫")+SUMIFS(对接源_02物料!$K$4:$K$1203,对接源_02物料!$C$4:$C$1203,$B186,对接源_02物料!$D$4:$D$1203,"周转筐*",对接源_02物料!$L$4:$L$1203,"已付款")+SUMIFS(对接源_02物料!$K$4:$K$1203,对接源_02物料!$C$4:$C$1203,$B186,对接源_02物料!$D$4:$D$1203,"次果筐*",对接源_02物料!$L$4:$L$1203,"已收讫")+SUMIFS(对接源_02物料!$K$4:$K$1203,对接源_02物料!$C$4:$C$1203,$B186,对接源_02物料!$D$4:$D$1203,"次果筐*",对接源_02物料!$L$4:$L$1203,"已付款"),2))</f>
        <v/>
      </c>
      <c r="J186" s="18" t="str">
        <f t="shared" si="10"/>
        <v/>
      </c>
      <c r="K186" s="16" t="str">
        <f t="shared" si="11"/>
        <v/>
      </c>
      <c r="L186" s="26"/>
    </row>
    <row r="187" customHeight="1" spans="1:12">
      <c r="A187" s="16" t="str">
        <f t="shared" si="8"/>
        <v/>
      </c>
      <c r="B187" s="11" t="str">
        <f>IFERROR(INDEX(_自动清单!$E$4:$E$303,ROW()-3),"")</f>
        <v/>
      </c>
      <c r="C187" s="18" t="str">
        <f>IF($B187="","",ROUND(SUMIFS(对接源_01水果!$K$4:$K$1203,对接源_01水果!$C$4:$C$1203,$B187,对接源_01水果!$D$4:$D$1203,"成品出库*"),2))</f>
        <v/>
      </c>
      <c r="D187" s="18" t="str">
        <f>IF($B187="","",ROUND(SUMIFS(对接源_01水果!$K$4:$K$1203,对接源_01水果!$C$4:$C$1203,$B187,对接源_01水果!$D$4:$D$1203,"其他代存*"),2))</f>
        <v/>
      </c>
      <c r="E187" s="18" t="str">
        <f>IF($B187="","",ROUND(SUMIFS(对接源_02物料!$K$4:$K$1203,对接源_02物料!$C$4:$C$1203,$B187,对接源_02物料!$D$4:$D$1203,"包装物料*"),2))</f>
        <v/>
      </c>
      <c r="F187" s="18" t="str">
        <f>IF($B187="","",ROUND(SUMIFS(对接源_02物料!$K$4:$K$1203,对接源_02物料!$C$4:$C$1203,$B187,对接源_02物料!$D$4:$D$1203,"周转筐*"),2))</f>
        <v/>
      </c>
      <c r="G187" s="18" t="str">
        <f>IF($B187="","",ROUND(SUMIFS(对接源_02物料!$K$4:$K$1203,对接源_02物料!$C$4:$C$1203,$B187,对接源_02物料!$D$4:$D$1203,"次果筐*"),2))</f>
        <v/>
      </c>
      <c r="H187" s="18" t="str">
        <f t="shared" si="9"/>
        <v/>
      </c>
      <c r="I187" s="18" t="str">
        <f>IF($B187="","",ROUND(SUMIFS(对接源_01水果!$K$4:$K$1203,对接源_01水果!$C$4:$C$1203,$B187,对接源_01水果!$D$4:$D$1203,"成品出库*",对接源_01水果!$L$4:$L$1203,"已收讫")+SUMIFS(对接源_01水果!$K$4:$K$1203,对接源_01水果!$C$4:$C$1203,$B187,对接源_01水果!$D$4:$D$1203,"成品出库*",对接源_01水果!$L$4:$L$1203,"已付款")+SUMIFS(对接源_01水果!$K$4:$K$1203,对接源_01水果!$C$4:$C$1203,$B187,对接源_01水果!$D$4:$D$1203,"其他代存*",对接源_01水果!$L$4:$L$1203,"已收讫")+SUMIFS(对接源_01水果!$K$4:$K$1203,对接源_01水果!$C$4:$C$1203,$B187,对接源_01水果!$D$4:$D$1203,"其他代存*",对接源_01水果!$L$4:$L$1203,"已付款")+SUMIFS(对接源_02物料!$K$4:$K$1203,对接源_02物料!$C$4:$C$1203,$B187,对接源_02物料!$D$4:$D$1203,"包装物料*",对接源_02物料!$L$4:$L$1203,"已收讫")+SUMIFS(对接源_02物料!$K$4:$K$1203,对接源_02物料!$C$4:$C$1203,$B187,对接源_02物料!$D$4:$D$1203,"包装物料*",对接源_02物料!$L$4:$L$1203,"已付款")+SUMIFS(对接源_02物料!$K$4:$K$1203,对接源_02物料!$C$4:$C$1203,$B187,对接源_02物料!$D$4:$D$1203,"周转筐*",对接源_02物料!$L$4:$L$1203,"已收讫")+SUMIFS(对接源_02物料!$K$4:$K$1203,对接源_02物料!$C$4:$C$1203,$B187,对接源_02物料!$D$4:$D$1203,"周转筐*",对接源_02物料!$L$4:$L$1203,"已付款")+SUMIFS(对接源_02物料!$K$4:$K$1203,对接源_02物料!$C$4:$C$1203,$B187,对接源_02物料!$D$4:$D$1203,"次果筐*",对接源_02物料!$L$4:$L$1203,"已收讫")+SUMIFS(对接源_02物料!$K$4:$K$1203,对接源_02物料!$C$4:$C$1203,$B187,对接源_02物料!$D$4:$D$1203,"次果筐*",对接源_02物料!$L$4:$L$1203,"已付款"),2))</f>
        <v/>
      </c>
      <c r="J187" s="18" t="str">
        <f t="shared" si="10"/>
        <v/>
      </c>
      <c r="K187" s="16" t="str">
        <f t="shared" si="11"/>
        <v/>
      </c>
      <c r="L187" s="26"/>
    </row>
    <row r="188" customHeight="1" spans="1:12">
      <c r="A188" s="16" t="str">
        <f t="shared" si="8"/>
        <v/>
      </c>
      <c r="B188" s="11" t="str">
        <f>IFERROR(INDEX(_自动清单!$E$4:$E$303,ROW()-3),"")</f>
        <v/>
      </c>
      <c r="C188" s="18" t="str">
        <f>IF($B188="","",ROUND(SUMIFS(对接源_01水果!$K$4:$K$1203,对接源_01水果!$C$4:$C$1203,$B188,对接源_01水果!$D$4:$D$1203,"成品出库*"),2))</f>
        <v/>
      </c>
      <c r="D188" s="18" t="str">
        <f>IF($B188="","",ROUND(SUMIFS(对接源_01水果!$K$4:$K$1203,对接源_01水果!$C$4:$C$1203,$B188,对接源_01水果!$D$4:$D$1203,"其他代存*"),2))</f>
        <v/>
      </c>
      <c r="E188" s="18" t="str">
        <f>IF($B188="","",ROUND(SUMIFS(对接源_02物料!$K$4:$K$1203,对接源_02物料!$C$4:$C$1203,$B188,对接源_02物料!$D$4:$D$1203,"包装物料*"),2))</f>
        <v/>
      </c>
      <c r="F188" s="18" t="str">
        <f>IF($B188="","",ROUND(SUMIFS(对接源_02物料!$K$4:$K$1203,对接源_02物料!$C$4:$C$1203,$B188,对接源_02物料!$D$4:$D$1203,"周转筐*"),2))</f>
        <v/>
      </c>
      <c r="G188" s="18" t="str">
        <f>IF($B188="","",ROUND(SUMIFS(对接源_02物料!$K$4:$K$1203,对接源_02物料!$C$4:$C$1203,$B188,对接源_02物料!$D$4:$D$1203,"次果筐*"),2))</f>
        <v/>
      </c>
      <c r="H188" s="18" t="str">
        <f t="shared" si="9"/>
        <v/>
      </c>
      <c r="I188" s="18" t="str">
        <f>IF($B188="","",ROUND(SUMIFS(对接源_01水果!$K$4:$K$1203,对接源_01水果!$C$4:$C$1203,$B188,对接源_01水果!$D$4:$D$1203,"成品出库*",对接源_01水果!$L$4:$L$1203,"已收讫")+SUMIFS(对接源_01水果!$K$4:$K$1203,对接源_01水果!$C$4:$C$1203,$B188,对接源_01水果!$D$4:$D$1203,"成品出库*",对接源_01水果!$L$4:$L$1203,"已付款")+SUMIFS(对接源_01水果!$K$4:$K$1203,对接源_01水果!$C$4:$C$1203,$B188,对接源_01水果!$D$4:$D$1203,"其他代存*",对接源_01水果!$L$4:$L$1203,"已收讫")+SUMIFS(对接源_01水果!$K$4:$K$1203,对接源_01水果!$C$4:$C$1203,$B188,对接源_01水果!$D$4:$D$1203,"其他代存*",对接源_01水果!$L$4:$L$1203,"已付款")+SUMIFS(对接源_02物料!$K$4:$K$1203,对接源_02物料!$C$4:$C$1203,$B188,对接源_02物料!$D$4:$D$1203,"包装物料*",对接源_02物料!$L$4:$L$1203,"已收讫")+SUMIFS(对接源_02物料!$K$4:$K$1203,对接源_02物料!$C$4:$C$1203,$B188,对接源_02物料!$D$4:$D$1203,"包装物料*",对接源_02物料!$L$4:$L$1203,"已付款")+SUMIFS(对接源_02物料!$K$4:$K$1203,对接源_02物料!$C$4:$C$1203,$B188,对接源_02物料!$D$4:$D$1203,"周转筐*",对接源_02物料!$L$4:$L$1203,"已收讫")+SUMIFS(对接源_02物料!$K$4:$K$1203,对接源_02物料!$C$4:$C$1203,$B188,对接源_02物料!$D$4:$D$1203,"周转筐*",对接源_02物料!$L$4:$L$1203,"已付款")+SUMIFS(对接源_02物料!$K$4:$K$1203,对接源_02物料!$C$4:$C$1203,$B188,对接源_02物料!$D$4:$D$1203,"次果筐*",对接源_02物料!$L$4:$L$1203,"已收讫")+SUMIFS(对接源_02物料!$K$4:$K$1203,对接源_02物料!$C$4:$C$1203,$B188,对接源_02物料!$D$4:$D$1203,"次果筐*",对接源_02物料!$L$4:$L$1203,"已付款"),2))</f>
        <v/>
      </c>
      <c r="J188" s="18" t="str">
        <f t="shared" si="10"/>
        <v/>
      </c>
      <c r="K188" s="16" t="str">
        <f t="shared" si="11"/>
        <v/>
      </c>
      <c r="L188" s="26"/>
    </row>
    <row r="189" customHeight="1" spans="1:12">
      <c r="A189" s="16" t="str">
        <f t="shared" si="8"/>
        <v/>
      </c>
      <c r="B189" s="11" t="str">
        <f>IFERROR(INDEX(_自动清单!$E$4:$E$303,ROW()-3),"")</f>
        <v/>
      </c>
      <c r="C189" s="18" t="str">
        <f>IF($B189="","",ROUND(SUMIFS(对接源_01水果!$K$4:$K$1203,对接源_01水果!$C$4:$C$1203,$B189,对接源_01水果!$D$4:$D$1203,"成品出库*"),2))</f>
        <v/>
      </c>
      <c r="D189" s="18" t="str">
        <f>IF($B189="","",ROUND(SUMIFS(对接源_01水果!$K$4:$K$1203,对接源_01水果!$C$4:$C$1203,$B189,对接源_01水果!$D$4:$D$1203,"其他代存*"),2))</f>
        <v/>
      </c>
      <c r="E189" s="18" t="str">
        <f>IF($B189="","",ROUND(SUMIFS(对接源_02物料!$K$4:$K$1203,对接源_02物料!$C$4:$C$1203,$B189,对接源_02物料!$D$4:$D$1203,"包装物料*"),2))</f>
        <v/>
      </c>
      <c r="F189" s="18" t="str">
        <f>IF($B189="","",ROUND(SUMIFS(对接源_02物料!$K$4:$K$1203,对接源_02物料!$C$4:$C$1203,$B189,对接源_02物料!$D$4:$D$1203,"周转筐*"),2))</f>
        <v/>
      </c>
      <c r="G189" s="18" t="str">
        <f>IF($B189="","",ROUND(SUMIFS(对接源_02物料!$K$4:$K$1203,对接源_02物料!$C$4:$C$1203,$B189,对接源_02物料!$D$4:$D$1203,"次果筐*"),2))</f>
        <v/>
      </c>
      <c r="H189" s="18" t="str">
        <f t="shared" si="9"/>
        <v/>
      </c>
      <c r="I189" s="18" t="str">
        <f>IF($B189="","",ROUND(SUMIFS(对接源_01水果!$K$4:$K$1203,对接源_01水果!$C$4:$C$1203,$B189,对接源_01水果!$D$4:$D$1203,"成品出库*",对接源_01水果!$L$4:$L$1203,"已收讫")+SUMIFS(对接源_01水果!$K$4:$K$1203,对接源_01水果!$C$4:$C$1203,$B189,对接源_01水果!$D$4:$D$1203,"成品出库*",对接源_01水果!$L$4:$L$1203,"已付款")+SUMIFS(对接源_01水果!$K$4:$K$1203,对接源_01水果!$C$4:$C$1203,$B189,对接源_01水果!$D$4:$D$1203,"其他代存*",对接源_01水果!$L$4:$L$1203,"已收讫")+SUMIFS(对接源_01水果!$K$4:$K$1203,对接源_01水果!$C$4:$C$1203,$B189,对接源_01水果!$D$4:$D$1203,"其他代存*",对接源_01水果!$L$4:$L$1203,"已付款")+SUMIFS(对接源_02物料!$K$4:$K$1203,对接源_02物料!$C$4:$C$1203,$B189,对接源_02物料!$D$4:$D$1203,"包装物料*",对接源_02物料!$L$4:$L$1203,"已收讫")+SUMIFS(对接源_02物料!$K$4:$K$1203,对接源_02物料!$C$4:$C$1203,$B189,对接源_02物料!$D$4:$D$1203,"包装物料*",对接源_02物料!$L$4:$L$1203,"已付款")+SUMIFS(对接源_02物料!$K$4:$K$1203,对接源_02物料!$C$4:$C$1203,$B189,对接源_02物料!$D$4:$D$1203,"周转筐*",对接源_02物料!$L$4:$L$1203,"已收讫")+SUMIFS(对接源_02物料!$K$4:$K$1203,对接源_02物料!$C$4:$C$1203,$B189,对接源_02物料!$D$4:$D$1203,"周转筐*",对接源_02物料!$L$4:$L$1203,"已付款")+SUMIFS(对接源_02物料!$K$4:$K$1203,对接源_02物料!$C$4:$C$1203,$B189,对接源_02物料!$D$4:$D$1203,"次果筐*",对接源_02物料!$L$4:$L$1203,"已收讫")+SUMIFS(对接源_02物料!$K$4:$K$1203,对接源_02物料!$C$4:$C$1203,$B189,对接源_02物料!$D$4:$D$1203,"次果筐*",对接源_02物料!$L$4:$L$1203,"已付款"),2))</f>
        <v/>
      </c>
      <c r="J189" s="18" t="str">
        <f t="shared" si="10"/>
        <v/>
      </c>
      <c r="K189" s="16" t="str">
        <f t="shared" si="11"/>
        <v/>
      </c>
      <c r="L189" s="26"/>
    </row>
    <row r="190" customHeight="1" spans="1:12">
      <c r="A190" s="16" t="str">
        <f t="shared" si="8"/>
        <v/>
      </c>
      <c r="B190" s="11" t="str">
        <f>IFERROR(INDEX(_自动清单!$E$4:$E$303,ROW()-3),"")</f>
        <v/>
      </c>
      <c r="C190" s="18" t="str">
        <f>IF($B190="","",ROUND(SUMIFS(对接源_01水果!$K$4:$K$1203,对接源_01水果!$C$4:$C$1203,$B190,对接源_01水果!$D$4:$D$1203,"成品出库*"),2))</f>
        <v/>
      </c>
      <c r="D190" s="18" t="str">
        <f>IF($B190="","",ROUND(SUMIFS(对接源_01水果!$K$4:$K$1203,对接源_01水果!$C$4:$C$1203,$B190,对接源_01水果!$D$4:$D$1203,"其他代存*"),2))</f>
        <v/>
      </c>
      <c r="E190" s="18" t="str">
        <f>IF($B190="","",ROUND(SUMIFS(对接源_02物料!$K$4:$K$1203,对接源_02物料!$C$4:$C$1203,$B190,对接源_02物料!$D$4:$D$1203,"包装物料*"),2))</f>
        <v/>
      </c>
      <c r="F190" s="18" t="str">
        <f>IF($B190="","",ROUND(SUMIFS(对接源_02物料!$K$4:$K$1203,对接源_02物料!$C$4:$C$1203,$B190,对接源_02物料!$D$4:$D$1203,"周转筐*"),2))</f>
        <v/>
      </c>
      <c r="G190" s="18" t="str">
        <f>IF($B190="","",ROUND(SUMIFS(对接源_02物料!$K$4:$K$1203,对接源_02物料!$C$4:$C$1203,$B190,对接源_02物料!$D$4:$D$1203,"次果筐*"),2))</f>
        <v/>
      </c>
      <c r="H190" s="18" t="str">
        <f t="shared" si="9"/>
        <v/>
      </c>
      <c r="I190" s="18" t="str">
        <f>IF($B190="","",ROUND(SUMIFS(对接源_01水果!$K$4:$K$1203,对接源_01水果!$C$4:$C$1203,$B190,对接源_01水果!$D$4:$D$1203,"成品出库*",对接源_01水果!$L$4:$L$1203,"已收讫")+SUMIFS(对接源_01水果!$K$4:$K$1203,对接源_01水果!$C$4:$C$1203,$B190,对接源_01水果!$D$4:$D$1203,"成品出库*",对接源_01水果!$L$4:$L$1203,"已付款")+SUMIFS(对接源_01水果!$K$4:$K$1203,对接源_01水果!$C$4:$C$1203,$B190,对接源_01水果!$D$4:$D$1203,"其他代存*",对接源_01水果!$L$4:$L$1203,"已收讫")+SUMIFS(对接源_01水果!$K$4:$K$1203,对接源_01水果!$C$4:$C$1203,$B190,对接源_01水果!$D$4:$D$1203,"其他代存*",对接源_01水果!$L$4:$L$1203,"已付款")+SUMIFS(对接源_02物料!$K$4:$K$1203,对接源_02物料!$C$4:$C$1203,$B190,对接源_02物料!$D$4:$D$1203,"包装物料*",对接源_02物料!$L$4:$L$1203,"已收讫")+SUMIFS(对接源_02物料!$K$4:$K$1203,对接源_02物料!$C$4:$C$1203,$B190,对接源_02物料!$D$4:$D$1203,"包装物料*",对接源_02物料!$L$4:$L$1203,"已付款")+SUMIFS(对接源_02物料!$K$4:$K$1203,对接源_02物料!$C$4:$C$1203,$B190,对接源_02物料!$D$4:$D$1203,"周转筐*",对接源_02物料!$L$4:$L$1203,"已收讫")+SUMIFS(对接源_02物料!$K$4:$K$1203,对接源_02物料!$C$4:$C$1203,$B190,对接源_02物料!$D$4:$D$1203,"周转筐*",对接源_02物料!$L$4:$L$1203,"已付款")+SUMIFS(对接源_02物料!$K$4:$K$1203,对接源_02物料!$C$4:$C$1203,$B190,对接源_02物料!$D$4:$D$1203,"次果筐*",对接源_02物料!$L$4:$L$1203,"已收讫")+SUMIFS(对接源_02物料!$K$4:$K$1203,对接源_02物料!$C$4:$C$1203,$B190,对接源_02物料!$D$4:$D$1203,"次果筐*",对接源_02物料!$L$4:$L$1203,"已付款"),2))</f>
        <v/>
      </c>
      <c r="J190" s="18" t="str">
        <f t="shared" si="10"/>
        <v/>
      </c>
      <c r="K190" s="16" t="str">
        <f t="shared" si="11"/>
        <v/>
      </c>
      <c r="L190" s="26"/>
    </row>
    <row r="191" customHeight="1" spans="1:12">
      <c r="A191" s="16" t="str">
        <f t="shared" si="8"/>
        <v/>
      </c>
      <c r="B191" s="11" t="str">
        <f>IFERROR(INDEX(_自动清单!$E$4:$E$303,ROW()-3),"")</f>
        <v/>
      </c>
      <c r="C191" s="18" t="str">
        <f>IF($B191="","",ROUND(SUMIFS(对接源_01水果!$K$4:$K$1203,对接源_01水果!$C$4:$C$1203,$B191,对接源_01水果!$D$4:$D$1203,"成品出库*"),2))</f>
        <v/>
      </c>
      <c r="D191" s="18" t="str">
        <f>IF($B191="","",ROUND(SUMIFS(对接源_01水果!$K$4:$K$1203,对接源_01水果!$C$4:$C$1203,$B191,对接源_01水果!$D$4:$D$1203,"其他代存*"),2))</f>
        <v/>
      </c>
      <c r="E191" s="18" t="str">
        <f>IF($B191="","",ROUND(SUMIFS(对接源_02物料!$K$4:$K$1203,对接源_02物料!$C$4:$C$1203,$B191,对接源_02物料!$D$4:$D$1203,"包装物料*"),2))</f>
        <v/>
      </c>
      <c r="F191" s="18" t="str">
        <f>IF($B191="","",ROUND(SUMIFS(对接源_02物料!$K$4:$K$1203,对接源_02物料!$C$4:$C$1203,$B191,对接源_02物料!$D$4:$D$1203,"周转筐*"),2))</f>
        <v/>
      </c>
      <c r="G191" s="18" t="str">
        <f>IF($B191="","",ROUND(SUMIFS(对接源_02物料!$K$4:$K$1203,对接源_02物料!$C$4:$C$1203,$B191,对接源_02物料!$D$4:$D$1203,"次果筐*"),2))</f>
        <v/>
      </c>
      <c r="H191" s="18" t="str">
        <f t="shared" si="9"/>
        <v/>
      </c>
      <c r="I191" s="18" t="str">
        <f>IF($B191="","",ROUND(SUMIFS(对接源_01水果!$K$4:$K$1203,对接源_01水果!$C$4:$C$1203,$B191,对接源_01水果!$D$4:$D$1203,"成品出库*",对接源_01水果!$L$4:$L$1203,"已收讫")+SUMIFS(对接源_01水果!$K$4:$K$1203,对接源_01水果!$C$4:$C$1203,$B191,对接源_01水果!$D$4:$D$1203,"成品出库*",对接源_01水果!$L$4:$L$1203,"已付款")+SUMIFS(对接源_01水果!$K$4:$K$1203,对接源_01水果!$C$4:$C$1203,$B191,对接源_01水果!$D$4:$D$1203,"其他代存*",对接源_01水果!$L$4:$L$1203,"已收讫")+SUMIFS(对接源_01水果!$K$4:$K$1203,对接源_01水果!$C$4:$C$1203,$B191,对接源_01水果!$D$4:$D$1203,"其他代存*",对接源_01水果!$L$4:$L$1203,"已付款")+SUMIFS(对接源_02物料!$K$4:$K$1203,对接源_02物料!$C$4:$C$1203,$B191,对接源_02物料!$D$4:$D$1203,"包装物料*",对接源_02物料!$L$4:$L$1203,"已收讫")+SUMIFS(对接源_02物料!$K$4:$K$1203,对接源_02物料!$C$4:$C$1203,$B191,对接源_02物料!$D$4:$D$1203,"包装物料*",对接源_02物料!$L$4:$L$1203,"已付款")+SUMIFS(对接源_02物料!$K$4:$K$1203,对接源_02物料!$C$4:$C$1203,$B191,对接源_02物料!$D$4:$D$1203,"周转筐*",对接源_02物料!$L$4:$L$1203,"已收讫")+SUMIFS(对接源_02物料!$K$4:$K$1203,对接源_02物料!$C$4:$C$1203,$B191,对接源_02物料!$D$4:$D$1203,"周转筐*",对接源_02物料!$L$4:$L$1203,"已付款")+SUMIFS(对接源_02物料!$K$4:$K$1203,对接源_02物料!$C$4:$C$1203,$B191,对接源_02物料!$D$4:$D$1203,"次果筐*",对接源_02物料!$L$4:$L$1203,"已收讫")+SUMIFS(对接源_02物料!$K$4:$K$1203,对接源_02物料!$C$4:$C$1203,$B191,对接源_02物料!$D$4:$D$1203,"次果筐*",对接源_02物料!$L$4:$L$1203,"已付款"),2))</f>
        <v/>
      </c>
      <c r="J191" s="18" t="str">
        <f t="shared" si="10"/>
        <v/>
      </c>
      <c r="K191" s="16" t="str">
        <f t="shared" si="11"/>
        <v/>
      </c>
      <c r="L191" s="26"/>
    </row>
    <row r="192" customHeight="1" spans="1:12">
      <c r="A192" s="16" t="str">
        <f t="shared" si="8"/>
        <v/>
      </c>
      <c r="B192" s="11" t="str">
        <f>IFERROR(INDEX(_自动清单!$E$4:$E$303,ROW()-3),"")</f>
        <v/>
      </c>
      <c r="C192" s="18" t="str">
        <f>IF($B192="","",ROUND(SUMIFS(对接源_01水果!$K$4:$K$1203,对接源_01水果!$C$4:$C$1203,$B192,对接源_01水果!$D$4:$D$1203,"成品出库*"),2))</f>
        <v/>
      </c>
      <c r="D192" s="18" t="str">
        <f>IF($B192="","",ROUND(SUMIFS(对接源_01水果!$K$4:$K$1203,对接源_01水果!$C$4:$C$1203,$B192,对接源_01水果!$D$4:$D$1203,"其他代存*"),2))</f>
        <v/>
      </c>
      <c r="E192" s="18" t="str">
        <f>IF($B192="","",ROUND(SUMIFS(对接源_02物料!$K$4:$K$1203,对接源_02物料!$C$4:$C$1203,$B192,对接源_02物料!$D$4:$D$1203,"包装物料*"),2))</f>
        <v/>
      </c>
      <c r="F192" s="18" t="str">
        <f>IF($B192="","",ROUND(SUMIFS(对接源_02物料!$K$4:$K$1203,对接源_02物料!$C$4:$C$1203,$B192,对接源_02物料!$D$4:$D$1203,"周转筐*"),2))</f>
        <v/>
      </c>
      <c r="G192" s="18" t="str">
        <f>IF($B192="","",ROUND(SUMIFS(对接源_02物料!$K$4:$K$1203,对接源_02物料!$C$4:$C$1203,$B192,对接源_02物料!$D$4:$D$1203,"次果筐*"),2))</f>
        <v/>
      </c>
      <c r="H192" s="18" t="str">
        <f t="shared" si="9"/>
        <v/>
      </c>
      <c r="I192" s="18" t="str">
        <f>IF($B192="","",ROUND(SUMIFS(对接源_01水果!$K$4:$K$1203,对接源_01水果!$C$4:$C$1203,$B192,对接源_01水果!$D$4:$D$1203,"成品出库*",对接源_01水果!$L$4:$L$1203,"已收讫")+SUMIFS(对接源_01水果!$K$4:$K$1203,对接源_01水果!$C$4:$C$1203,$B192,对接源_01水果!$D$4:$D$1203,"成品出库*",对接源_01水果!$L$4:$L$1203,"已付款")+SUMIFS(对接源_01水果!$K$4:$K$1203,对接源_01水果!$C$4:$C$1203,$B192,对接源_01水果!$D$4:$D$1203,"其他代存*",对接源_01水果!$L$4:$L$1203,"已收讫")+SUMIFS(对接源_01水果!$K$4:$K$1203,对接源_01水果!$C$4:$C$1203,$B192,对接源_01水果!$D$4:$D$1203,"其他代存*",对接源_01水果!$L$4:$L$1203,"已付款")+SUMIFS(对接源_02物料!$K$4:$K$1203,对接源_02物料!$C$4:$C$1203,$B192,对接源_02物料!$D$4:$D$1203,"包装物料*",对接源_02物料!$L$4:$L$1203,"已收讫")+SUMIFS(对接源_02物料!$K$4:$K$1203,对接源_02物料!$C$4:$C$1203,$B192,对接源_02物料!$D$4:$D$1203,"包装物料*",对接源_02物料!$L$4:$L$1203,"已付款")+SUMIFS(对接源_02物料!$K$4:$K$1203,对接源_02物料!$C$4:$C$1203,$B192,对接源_02物料!$D$4:$D$1203,"周转筐*",对接源_02物料!$L$4:$L$1203,"已收讫")+SUMIFS(对接源_02物料!$K$4:$K$1203,对接源_02物料!$C$4:$C$1203,$B192,对接源_02物料!$D$4:$D$1203,"周转筐*",对接源_02物料!$L$4:$L$1203,"已付款")+SUMIFS(对接源_02物料!$K$4:$K$1203,对接源_02物料!$C$4:$C$1203,$B192,对接源_02物料!$D$4:$D$1203,"次果筐*",对接源_02物料!$L$4:$L$1203,"已收讫")+SUMIFS(对接源_02物料!$K$4:$K$1203,对接源_02物料!$C$4:$C$1203,$B192,对接源_02物料!$D$4:$D$1203,"次果筐*",对接源_02物料!$L$4:$L$1203,"已付款"),2))</f>
        <v/>
      </c>
      <c r="J192" s="18" t="str">
        <f t="shared" si="10"/>
        <v/>
      </c>
      <c r="K192" s="16" t="str">
        <f t="shared" si="11"/>
        <v/>
      </c>
      <c r="L192" s="26"/>
    </row>
    <row r="193" customHeight="1" spans="1:12">
      <c r="A193" s="16" t="str">
        <f t="shared" si="8"/>
        <v/>
      </c>
      <c r="B193" s="11" t="str">
        <f>IFERROR(INDEX(_自动清单!$E$4:$E$303,ROW()-3),"")</f>
        <v/>
      </c>
      <c r="C193" s="18" t="str">
        <f>IF($B193="","",ROUND(SUMIFS(对接源_01水果!$K$4:$K$1203,对接源_01水果!$C$4:$C$1203,$B193,对接源_01水果!$D$4:$D$1203,"成品出库*"),2))</f>
        <v/>
      </c>
      <c r="D193" s="18" t="str">
        <f>IF($B193="","",ROUND(SUMIFS(对接源_01水果!$K$4:$K$1203,对接源_01水果!$C$4:$C$1203,$B193,对接源_01水果!$D$4:$D$1203,"其他代存*"),2))</f>
        <v/>
      </c>
      <c r="E193" s="18" t="str">
        <f>IF($B193="","",ROUND(SUMIFS(对接源_02物料!$K$4:$K$1203,对接源_02物料!$C$4:$C$1203,$B193,对接源_02物料!$D$4:$D$1203,"包装物料*"),2))</f>
        <v/>
      </c>
      <c r="F193" s="18" t="str">
        <f>IF($B193="","",ROUND(SUMIFS(对接源_02物料!$K$4:$K$1203,对接源_02物料!$C$4:$C$1203,$B193,对接源_02物料!$D$4:$D$1203,"周转筐*"),2))</f>
        <v/>
      </c>
      <c r="G193" s="18" t="str">
        <f>IF($B193="","",ROUND(SUMIFS(对接源_02物料!$K$4:$K$1203,对接源_02物料!$C$4:$C$1203,$B193,对接源_02物料!$D$4:$D$1203,"次果筐*"),2))</f>
        <v/>
      </c>
      <c r="H193" s="18" t="str">
        <f t="shared" si="9"/>
        <v/>
      </c>
      <c r="I193" s="18" t="str">
        <f>IF($B193="","",ROUND(SUMIFS(对接源_01水果!$K$4:$K$1203,对接源_01水果!$C$4:$C$1203,$B193,对接源_01水果!$D$4:$D$1203,"成品出库*",对接源_01水果!$L$4:$L$1203,"已收讫")+SUMIFS(对接源_01水果!$K$4:$K$1203,对接源_01水果!$C$4:$C$1203,$B193,对接源_01水果!$D$4:$D$1203,"成品出库*",对接源_01水果!$L$4:$L$1203,"已付款")+SUMIFS(对接源_01水果!$K$4:$K$1203,对接源_01水果!$C$4:$C$1203,$B193,对接源_01水果!$D$4:$D$1203,"其他代存*",对接源_01水果!$L$4:$L$1203,"已收讫")+SUMIFS(对接源_01水果!$K$4:$K$1203,对接源_01水果!$C$4:$C$1203,$B193,对接源_01水果!$D$4:$D$1203,"其他代存*",对接源_01水果!$L$4:$L$1203,"已付款")+SUMIFS(对接源_02物料!$K$4:$K$1203,对接源_02物料!$C$4:$C$1203,$B193,对接源_02物料!$D$4:$D$1203,"包装物料*",对接源_02物料!$L$4:$L$1203,"已收讫")+SUMIFS(对接源_02物料!$K$4:$K$1203,对接源_02物料!$C$4:$C$1203,$B193,对接源_02物料!$D$4:$D$1203,"包装物料*",对接源_02物料!$L$4:$L$1203,"已付款")+SUMIFS(对接源_02物料!$K$4:$K$1203,对接源_02物料!$C$4:$C$1203,$B193,对接源_02物料!$D$4:$D$1203,"周转筐*",对接源_02物料!$L$4:$L$1203,"已收讫")+SUMIFS(对接源_02物料!$K$4:$K$1203,对接源_02物料!$C$4:$C$1203,$B193,对接源_02物料!$D$4:$D$1203,"周转筐*",对接源_02物料!$L$4:$L$1203,"已付款")+SUMIFS(对接源_02物料!$K$4:$K$1203,对接源_02物料!$C$4:$C$1203,$B193,对接源_02物料!$D$4:$D$1203,"次果筐*",对接源_02物料!$L$4:$L$1203,"已收讫")+SUMIFS(对接源_02物料!$K$4:$K$1203,对接源_02物料!$C$4:$C$1203,$B193,对接源_02物料!$D$4:$D$1203,"次果筐*",对接源_02物料!$L$4:$L$1203,"已付款"),2))</f>
        <v/>
      </c>
      <c r="J193" s="18" t="str">
        <f t="shared" si="10"/>
        <v/>
      </c>
      <c r="K193" s="16" t="str">
        <f t="shared" si="11"/>
        <v/>
      </c>
      <c r="L193" s="26"/>
    </row>
    <row r="194" customHeight="1" spans="1:12">
      <c r="A194" s="16" t="str">
        <f t="shared" si="8"/>
        <v/>
      </c>
      <c r="B194" s="11" t="str">
        <f>IFERROR(INDEX(_自动清单!$E$4:$E$303,ROW()-3),"")</f>
        <v/>
      </c>
      <c r="C194" s="18" t="str">
        <f>IF($B194="","",ROUND(SUMIFS(对接源_01水果!$K$4:$K$1203,对接源_01水果!$C$4:$C$1203,$B194,对接源_01水果!$D$4:$D$1203,"成品出库*"),2))</f>
        <v/>
      </c>
      <c r="D194" s="18" t="str">
        <f>IF($B194="","",ROUND(SUMIFS(对接源_01水果!$K$4:$K$1203,对接源_01水果!$C$4:$C$1203,$B194,对接源_01水果!$D$4:$D$1203,"其他代存*"),2))</f>
        <v/>
      </c>
      <c r="E194" s="18" t="str">
        <f>IF($B194="","",ROUND(SUMIFS(对接源_02物料!$K$4:$K$1203,对接源_02物料!$C$4:$C$1203,$B194,对接源_02物料!$D$4:$D$1203,"包装物料*"),2))</f>
        <v/>
      </c>
      <c r="F194" s="18" t="str">
        <f>IF($B194="","",ROUND(SUMIFS(对接源_02物料!$K$4:$K$1203,对接源_02物料!$C$4:$C$1203,$B194,对接源_02物料!$D$4:$D$1203,"周转筐*"),2))</f>
        <v/>
      </c>
      <c r="G194" s="18" t="str">
        <f>IF($B194="","",ROUND(SUMIFS(对接源_02物料!$K$4:$K$1203,对接源_02物料!$C$4:$C$1203,$B194,对接源_02物料!$D$4:$D$1203,"次果筐*"),2))</f>
        <v/>
      </c>
      <c r="H194" s="18" t="str">
        <f t="shared" si="9"/>
        <v/>
      </c>
      <c r="I194" s="18" t="str">
        <f>IF($B194="","",ROUND(SUMIFS(对接源_01水果!$K$4:$K$1203,对接源_01水果!$C$4:$C$1203,$B194,对接源_01水果!$D$4:$D$1203,"成品出库*",对接源_01水果!$L$4:$L$1203,"已收讫")+SUMIFS(对接源_01水果!$K$4:$K$1203,对接源_01水果!$C$4:$C$1203,$B194,对接源_01水果!$D$4:$D$1203,"成品出库*",对接源_01水果!$L$4:$L$1203,"已付款")+SUMIFS(对接源_01水果!$K$4:$K$1203,对接源_01水果!$C$4:$C$1203,$B194,对接源_01水果!$D$4:$D$1203,"其他代存*",对接源_01水果!$L$4:$L$1203,"已收讫")+SUMIFS(对接源_01水果!$K$4:$K$1203,对接源_01水果!$C$4:$C$1203,$B194,对接源_01水果!$D$4:$D$1203,"其他代存*",对接源_01水果!$L$4:$L$1203,"已付款")+SUMIFS(对接源_02物料!$K$4:$K$1203,对接源_02物料!$C$4:$C$1203,$B194,对接源_02物料!$D$4:$D$1203,"包装物料*",对接源_02物料!$L$4:$L$1203,"已收讫")+SUMIFS(对接源_02物料!$K$4:$K$1203,对接源_02物料!$C$4:$C$1203,$B194,对接源_02物料!$D$4:$D$1203,"包装物料*",对接源_02物料!$L$4:$L$1203,"已付款")+SUMIFS(对接源_02物料!$K$4:$K$1203,对接源_02物料!$C$4:$C$1203,$B194,对接源_02物料!$D$4:$D$1203,"周转筐*",对接源_02物料!$L$4:$L$1203,"已收讫")+SUMIFS(对接源_02物料!$K$4:$K$1203,对接源_02物料!$C$4:$C$1203,$B194,对接源_02物料!$D$4:$D$1203,"周转筐*",对接源_02物料!$L$4:$L$1203,"已付款")+SUMIFS(对接源_02物料!$K$4:$K$1203,对接源_02物料!$C$4:$C$1203,$B194,对接源_02物料!$D$4:$D$1203,"次果筐*",对接源_02物料!$L$4:$L$1203,"已收讫")+SUMIFS(对接源_02物料!$K$4:$K$1203,对接源_02物料!$C$4:$C$1203,$B194,对接源_02物料!$D$4:$D$1203,"次果筐*",对接源_02物料!$L$4:$L$1203,"已付款"),2))</f>
        <v/>
      </c>
      <c r="J194" s="18" t="str">
        <f t="shared" si="10"/>
        <v/>
      </c>
      <c r="K194" s="16" t="str">
        <f t="shared" si="11"/>
        <v/>
      </c>
      <c r="L194" s="26"/>
    </row>
    <row r="195" customHeight="1" spans="1:12">
      <c r="A195" s="16" t="str">
        <f t="shared" si="8"/>
        <v/>
      </c>
      <c r="B195" s="11" t="str">
        <f>IFERROR(INDEX(_自动清单!$E$4:$E$303,ROW()-3),"")</f>
        <v/>
      </c>
      <c r="C195" s="18" t="str">
        <f>IF($B195="","",ROUND(SUMIFS(对接源_01水果!$K$4:$K$1203,对接源_01水果!$C$4:$C$1203,$B195,对接源_01水果!$D$4:$D$1203,"成品出库*"),2))</f>
        <v/>
      </c>
      <c r="D195" s="18" t="str">
        <f>IF($B195="","",ROUND(SUMIFS(对接源_01水果!$K$4:$K$1203,对接源_01水果!$C$4:$C$1203,$B195,对接源_01水果!$D$4:$D$1203,"其他代存*"),2))</f>
        <v/>
      </c>
      <c r="E195" s="18" t="str">
        <f>IF($B195="","",ROUND(SUMIFS(对接源_02物料!$K$4:$K$1203,对接源_02物料!$C$4:$C$1203,$B195,对接源_02物料!$D$4:$D$1203,"包装物料*"),2))</f>
        <v/>
      </c>
      <c r="F195" s="18" t="str">
        <f>IF($B195="","",ROUND(SUMIFS(对接源_02物料!$K$4:$K$1203,对接源_02物料!$C$4:$C$1203,$B195,对接源_02物料!$D$4:$D$1203,"周转筐*"),2))</f>
        <v/>
      </c>
      <c r="G195" s="18" t="str">
        <f>IF($B195="","",ROUND(SUMIFS(对接源_02物料!$K$4:$K$1203,对接源_02物料!$C$4:$C$1203,$B195,对接源_02物料!$D$4:$D$1203,"次果筐*"),2))</f>
        <v/>
      </c>
      <c r="H195" s="18" t="str">
        <f t="shared" si="9"/>
        <v/>
      </c>
      <c r="I195" s="18" t="str">
        <f>IF($B195="","",ROUND(SUMIFS(对接源_01水果!$K$4:$K$1203,对接源_01水果!$C$4:$C$1203,$B195,对接源_01水果!$D$4:$D$1203,"成品出库*",对接源_01水果!$L$4:$L$1203,"已收讫")+SUMIFS(对接源_01水果!$K$4:$K$1203,对接源_01水果!$C$4:$C$1203,$B195,对接源_01水果!$D$4:$D$1203,"成品出库*",对接源_01水果!$L$4:$L$1203,"已付款")+SUMIFS(对接源_01水果!$K$4:$K$1203,对接源_01水果!$C$4:$C$1203,$B195,对接源_01水果!$D$4:$D$1203,"其他代存*",对接源_01水果!$L$4:$L$1203,"已收讫")+SUMIFS(对接源_01水果!$K$4:$K$1203,对接源_01水果!$C$4:$C$1203,$B195,对接源_01水果!$D$4:$D$1203,"其他代存*",对接源_01水果!$L$4:$L$1203,"已付款")+SUMIFS(对接源_02物料!$K$4:$K$1203,对接源_02物料!$C$4:$C$1203,$B195,对接源_02物料!$D$4:$D$1203,"包装物料*",对接源_02物料!$L$4:$L$1203,"已收讫")+SUMIFS(对接源_02物料!$K$4:$K$1203,对接源_02物料!$C$4:$C$1203,$B195,对接源_02物料!$D$4:$D$1203,"包装物料*",对接源_02物料!$L$4:$L$1203,"已付款")+SUMIFS(对接源_02物料!$K$4:$K$1203,对接源_02物料!$C$4:$C$1203,$B195,对接源_02物料!$D$4:$D$1203,"周转筐*",对接源_02物料!$L$4:$L$1203,"已收讫")+SUMIFS(对接源_02物料!$K$4:$K$1203,对接源_02物料!$C$4:$C$1203,$B195,对接源_02物料!$D$4:$D$1203,"周转筐*",对接源_02物料!$L$4:$L$1203,"已付款")+SUMIFS(对接源_02物料!$K$4:$K$1203,对接源_02物料!$C$4:$C$1203,$B195,对接源_02物料!$D$4:$D$1203,"次果筐*",对接源_02物料!$L$4:$L$1203,"已收讫")+SUMIFS(对接源_02物料!$K$4:$K$1203,对接源_02物料!$C$4:$C$1203,$B195,对接源_02物料!$D$4:$D$1203,"次果筐*",对接源_02物料!$L$4:$L$1203,"已付款"),2))</f>
        <v/>
      </c>
      <c r="J195" s="18" t="str">
        <f t="shared" si="10"/>
        <v/>
      </c>
      <c r="K195" s="16" t="str">
        <f t="shared" si="11"/>
        <v/>
      </c>
      <c r="L195" s="26"/>
    </row>
    <row r="196" customHeight="1" spans="1:12">
      <c r="A196" s="16" t="str">
        <f t="shared" ref="A196:A253" si="12">IF($B196="","",ROW()-3)</f>
        <v/>
      </c>
      <c r="B196" s="11" t="str">
        <f>IFERROR(INDEX(_自动清单!$E$4:$E$303,ROW()-3),"")</f>
        <v/>
      </c>
      <c r="C196" s="18" t="str">
        <f>IF($B196="","",ROUND(SUMIFS(对接源_01水果!$K$4:$K$1203,对接源_01水果!$C$4:$C$1203,$B196,对接源_01水果!$D$4:$D$1203,"成品出库*"),2))</f>
        <v/>
      </c>
      <c r="D196" s="18" t="str">
        <f>IF($B196="","",ROUND(SUMIFS(对接源_01水果!$K$4:$K$1203,对接源_01水果!$C$4:$C$1203,$B196,对接源_01水果!$D$4:$D$1203,"其他代存*"),2))</f>
        <v/>
      </c>
      <c r="E196" s="18" t="str">
        <f>IF($B196="","",ROUND(SUMIFS(对接源_02物料!$K$4:$K$1203,对接源_02物料!$C$4:$C$1203,$B196,对接源_02物料!$D$4:$D$1203,"包装物料*"),2))</f>
        <v/>
      </c>
      <c r="F196" s="18" t="str">
        <f>IF($B196="","",ROUND(SUMIFS(对接源_02物料!$K$4:$K$1203,对接源_02物料!$C$4:$C$1203,$B196,对接源_02物料!$D$4:$D$1203,"周转筐*"),2))</f>
        <v/>
      </c>
      <c r="G196" s="18" t="str">
        <f>IF($B196="","",ROUND(SUMIFS(对接源_02物料!$K$4:$K$1203,对接源_02物料!$C$4:$C$1203,$B196,对接源_02物料!$D$4:$D$1203,"次果筐*"),2))</f>
        <v/>
      </c>
      <c r="H196" s="18" t="str">
        <f t="shared" ref="H196:H253" si="13">IF($B196="","",ROUND(SUM($C196:$G196),2))</f>
        <v/>
      </c>
      <c r="I196" s="18" t="str">
        <f>IF($B196="","",ROUND(SUMIFS(对接源_01水果!$K$4:$K$1203,对接源_01水果!$C$4:$C$1203,$B196,对接源_01水果!$D$4:$D$1203,"成品出库*",对接源_01水果!$L$4:$L$1203,"已收讫")+SUMIFS(对接源_01水果!$K$4:$K$1203,对接源_01水果!$C$4:$C$1203,$B196,对接源_01水果!$D$4:$D$1203,"成品出库*",对接源_01水果!$L$4:$L$1203,"已付款")+SUMIFS(对接源_01水果!$K$4:$K$1203,对接源_01水果!$C$4:$C$1203,$B196,对接源_01水果!$D$4:$D$1203,"其他代存*",对接源_01水果!$L$4:$L$1203,"已收讫")+SUMIFS(对接源_01水果!$K$4:$K$1203,对接源_01水果!$C$4:$C$1203,$B196,对接源_01水果!$D$4:$D$1203,"其他代存*",对接源_01水果!$L$4:$L$1203,"已付款")+SUMIFS(对接源_02物料!$K$4:$K$1203,对接源_02物料!$C$4:$C$1203,$B196,对接源_02物料!$D$4:$D$1203,"包装物料*",对接源_02物料!$L$4:$L$1203,"已收讫")+SUMIFS(对接源_02物料!$K$4:$K$1203,对接源_02物料!$C$4:$C$1203,$B196,对接源_02物料!$D$4:$D$1203,"包装物料*",对接源_02物料!$L$4:$L$1203,"已付款")+SUMIFS(对接源_02物料!$K$4:$K$1203,对接源_02物料!$C$4:$C$1203,$B196,对接源_02物料!$D$4:$D$1203,"周转筐*",对接源_02物料!$L$4:$L$1203,"已收讫")+SUMIFS(对接源_02物料!$K$4:$K$1203,对接源_02物料!$C$4:$C$1203,$B196,对接源_02物料!$D$4:$D$1203,"周转筐*",对接源_02物料!$L$4:$L$1203,"已付款")+SUMIFS(对接源_02物料!$K$4:$K$1203,对接源_02物料!$C$4:$C$1203,$B196,对接源_02物料!$D$4:$D$1203,"次果筐*",对接源_02物料!$L$4:$L$1203,"已收讫")+SUMIFS(对接源_02物料!$K$4:$K$1203,对接源_02物料!$C$4:$C$1203,$B196,对接源_02物料!$D$4:$D$1203,"次果筐*",对接源_02物料!$L$4:$L$1203,"已付款"),2))</f>
        <v/>
      </c>
      <c r="J196" s="18" t="str">
        <f t="shared" ref="J196:J253" si="14">IF($B196="","",ROUND(N($H196)-N($I196),2))</f>
        <v/>
      </c>
      <c r="K196" s="16" t="str">
        <f t="shared" ref="K196:K253" si="15">IF($B196="","",IF(ROUND(N($J196),2)&gt;0,"对方欠款",IF(ROUND(N($J196),2)&lt;0,"我方欠款","已两清")))</f>
        <v/>
      </c>
      <c r="L196" s="26"/>
    </row>
    <row r="197" customHeight="1" spans="1:12">
      <c r="A197" s="16" t="str">
        <f t="shared" si="12"/>
        <v/>
      </c>
      <c r="B197" s="11" t="str">
        <f>IFERROR(INDEX(_自动清单!$E$4:$E$303,ROW()-3),"")</f>
        <v/>
      </c>
      <c r="C197" s="18" t="str">
        <f>IF($B197="","",ROUND(SUMIFS(对接源_01水果!$K$4:$K$1203,对接源_01水果!$C$4:$C$1203,$B197,对接源_01水果!$D$4:$D$1203,"成品出库*"),2))</f>
        <v/>
      </c>
      <c r="D197" s="18" t="str">
        <f>IF($B197="","",ROUND(SUMIFS(对接源_01水果!$K$4:$K$1203,对接源_01水果!$C$4:$C$1203,$B197,对接源_01水果!$D$4:$D$1203,"其他代存*"),2))</f>
        <v/>
      </c>
      <c r="E197" s="18" t="str">
        <f>IF($B197="","",ROUND(SUMIFS(对接源_02物料!$K$4:$K$1203,对接源_02物料!$C$4:$C$1203,$B197,对接源_02物料!$D$4:$D$1203,"包装物料*"),2))</f>
        <v/>
      </c>
      <c r="F197" s="18" t="str">
        <f>IF($B197="","",ROUND(SUMIFS(对接源_02物料!$K$4:$K$1203,对接源_02物料!$C$4:$C$1203,$B197,对接源_02物料!$D$4:$D$1203,"周转筐*"),2))</f>
        <v/>
      </c>
      <c r="G197" s="18" t="str">
        <f>IF($B197="","",ROUND(SUMIFS(对接源_02物料!$K$4:$K$1203,对接源_02物料!$C$4:$C$1203,$B197,对接源_02物料!$D$4:$D$1203,"次果筐*"),2))</f>
        <v/>
      </c>
      <c r="H197" s="18" t="str">
        <f t="shared" si="13"/>
        <v/>
      </c>
      <c r="I197" s="18" t="str">
        <f>IF($B197="","",ROUND(SUMIFS(对接源_01水果!$K$4:$K$1203,对接源_01水果!$C$4:$C$1203,$B197,对接源_01水果!$D$4:$D$1203,"成品出库*",对接源_01水果!$L$4:$L$1203,"已收讫")+SUMIFS(对接源_01水果!$K$4:$K$1203,对接源_01水果!$C$4:$C$1203,$B197,对接源_01水果!$D$4:$D$1203,"成品出库*",对接源_01水果!$L$4:$L$1203,"已付款")+SUMIFS(对接源_01水果!$K$4:$K$1203,对接源_01水果!$C$4:$C$1203,$B197,对接源_01水果!$D$4:$D$1203,"其他代存*",对接源_01水果!$L$4:$L$1203,"已收讫")+SUMIFS(对接源_01水果!$K$4:$K$1203,对接源_01水果!$C$4:$C$1203,$B197,对接源_01水果!$D$4:$D$1203,"其他代存*",对接源_01水果!$L$4:$L$1203,"已付款")+SUMIFS(对接源_02物料!$K$4:$K$1203,对接源_02物料!$C$4:$C$1203,$B197,对接源_02物料!$D$4:$D$1203,"包装物料*",对接源_02物料!$L$4:$L$1203,"已收讫")+SUMIFS(对接源_02物料!$K$4:$K$1203,对接源_02物料!$C$4:$C$1203,$B197,对接源_02物料!$D$4:$D$1203,"包装物料*",对接源_02物料!$L$4:$L$1203,"已付款")+SUMIFS(对接源_02物料!$K$4:$K$1203,对接源_02物料!$C$4:$C$1203,$B197,对接源_02物料!$D$4:$D$1203,"周转筐*",对接源_02物料!$L$4:$L$1203,"已收讫")+SUMIFS(对接源_02物料!$K$4:$K$1203,对接源_02物料!$C$4:$C$1203,$B197,对接源_02物料!$D$4:$D$1203,"周转筐*",对接源_02物料!$L$4:$L$1203,"已付款")+SUMIFS(对接源_02物料!$K$4:$K$1203,对接源_02物料!$C$4:$C$1203,$B197,对接源_02物料!$D$4:$D$1203,"次果筐*",对接源_02物料!$L$4:$L$1203,"已收讫")+SUMIFS(对接源_02物料!$K$4:$K$1203,对接源_02物料!$C$4:$C$1203,$B197,对接源_02物料!$D$4:$D$1203,"次果筐*",对接源_02物料!$L$4:$L$1203,"已付款"),2))</f>
        <v/>
      </c>
      <c r="J197" s="18" t="str">
        <f t="shared" si="14"/>
        <v/>
      </c>
      <c r="K197" s="16" t="str">
        <f t="shared" si="15"/>
        <v/>
      </c>
      <c r="L197" s="26"/>
    </row>
    <row r="198" customHeight="1" spans="1:12">
      <c r="A198" s="16" t="str">
        <f t="shared" si="12"/>
        <v/>
      </c>
      <c r="B198" s="11" t="str">
        <f>IFERROR(INDEX(_自动清单!$E$4:$E$303,ROW()-3),"")</f>
        <v/>
      </c>
      <c r="C198" s="18" t="str">
        <f>IF($B198="","",ROUND(SUMIFS(对接源_01水果!$K$4:$K$1203,对接源_01水果!$C$4:$C$1203,$B198,对接源_01水果!$D$4:$D$1203,"成品出库*"),2))</f>
        <v/>
      </c>
      <c r="D198" s="18" t="str">
        <f>IF($B198="","",ROUND(SUMIFS(对接源_01水果!$K$4:$K$1203,对接源_01水果!$C$4:$C$1203,$B198,对接源_01水果!$D$4:$D$1203,"其他代存*"),2))</f>
        <v/>
      </c>
      <c r="E198" s="18" t="str">
        <f>IF($B198="","",ROUND(SUMIFS(对接源_02物料!$K$4:$K$1203,对接源_02物料!$C$4:$C$1203,$B198,对接源_02物料!$D$4:$D$1203,"包装物料*"),2))</f>
        <v/>
      </c>
      <c r="F198" s="18" t="str">
        <f>IF($B198="","",ROUND(SUMIFS(对接源_02物料!$K$4:$K$1203,对接源_02物料!$C$4:$C$1203,$B198,对接源_02物料!$D$4:$D$1203,"周转筐*"),2))</f>
        <v/>
      </c>
      <c r="G198" s="18" t="str">
        <f>IF($B198="","",ROUND(SUMIFS(对接源_02物料!$K$4:$K$1203,对接源_02物料!$C$4:$C$1203,$B198,对接源_02物料!$D$4:$D$1203,"次果筐*"),2))</f>
        <v/>
      </c>
      <c r="H198" s="18" t="str">
        <f t="shared" si="13"/>
        <v/>
      </c>
      <c r="I198" s="18" t="str">
        <f>IF($B198="","",ROUND(SUMIFS(对接源_01水果!$K$4:$K$1203,对接源_01水果!$C$4:$C$1203,$B198,对接源_01水果!$D$4:$D$1203,"成品出库*",对接源_01水果!$L$4:$L$1203,"已收讫")+SUMIFS(对接源_01水果!$K$4:$K$1203,对接源_01水果!$C$4:$C$1203,$B198,对接源_01水果!$D$4:$D$1203,"成品出库*",对接源_01水果!$L$4:$L$1203,"已付款")+SUMIFS(对接源_01水果!$K$4:$K$1203,对接源_01水果!$C$4:$C$1203,$B198,对接源_01水果!$D$4:$D$1203,"其他代存*",对接源_01水果!$L$4:$L$1203,"已收讫")+SUMIFS(对接源_01水果!$K$4:$K$1203,对接源_01水果!$C$4:$C$1203,$B198,对接源_01水果!$D$4:$D$1203,"其他代存*",对接源_01水果!$L$4:$L$1203,"已付款")+SUMIFS(对接源_02物料!$K$4:$K$1203,对接源_02物料!$C$4:$C$1203,$B198,对接源_02物料!$D$4:$D$1203,"包装物料*",对接源_02物料!$L$4:$L$1203,"已收讫")+SUMIFS(对接源_02物料!$K$4:$K$1203,对接源_02物料!$C$4:$C$1203,$B198,对接源_02物料!$D$4:$D$1203,"包装物料*",对接源_02物料!$L$4:$L$1203,"已付款")+SUMIFS(对接源_02物料!$K$4:$K$1203,对接源_02物料!$C$4:$C$1203,$B198,对接源_02物料!$D$4:$D$1203,"周转筐*",对接源_02物料!$L$4:$L$1203,"已收讫")+SUMIFS(对接源_02物料!$K$4:$K$1203,对接源_02物料!$C$4:$C$1203,$B198,对接源_02物料!$D$4:$D$1203,"周转筐*",对接源_02物料!$L$4:$L$1203,"已付款")+SUMIFS(对接源_02物料!$K$4:$K$1203,对接源_02物料!$C$4:$C$1203,$B198,对接源_02物料!$D$4:$D$1203,"次果筐*",对接源_02物料!$L$4:$L$1203,"已收讫")+SUMIFS(对接源_02物料!$K$4:$K$1203,对接源_02物料!$C$4:$C$1203,$B198,对接源_02物料!$D$4:$D$1203,"次果筐*",对接源_02物料!$L$4:$L$1203,"已付款"),2))</f>
        <v/>
      </c>
      <c r="J198" s="18" t="str">
        <f t="shared" si="14"/>
        <v/>
      </c>
      <c r="K198" s="16" t="str">
        <f t="shared" si="15"/>
        <v/>
      </c>
      <c r="L198" s="26"/>
    </row>
    <row r="199" customHeight="1" spans="1:12">
      <c r="A199" s="16" t="str">
        <f t="shared" si="12"/>
        <v/>
      </c>
      <c r="B199" s="11" t="str">
        <f>IFERROR(INDEX(_自动清单!$E$4:$E$303,ROW()-3),"")</f>
        <v/>
      </c>
      <c r="C199" s="18" t="str">
        <f>IF($B199="","",ROUND(SUMIFS(对接源_01水果!$K$4:$K$1203,对接源_01水果!$C$4:$C$1203,$B199,对接源_01水果!$D$4:$D$1203,"成品出库*"),2))</f>
        <v/>
      </c>
      <c r="D199" s="18" t="str">
        <f>IF($B199="","",ROUND(SUMIFS(对接源_01水果!$K$4:$K$1203,对接源_01水果!$C$4:$C$1203,$B199,对接源_01水果!$D$4:$D$1203,"其他代存*"),2))</f>
        <v/>
      </c>
      <c r="E199" s="18" t="str">
        <f>IF($B199="","",ROUND(SUMIFS(对接源_02物料!$K$4:$K$1203,对接源_02物料!$C$4:$C$1203,$B199,对接源_02物料!$D$4:$D$1203,"包装物料*"),2))</f>
        <v/>
      </c>
      <c r="F199" s="18" t="str">
        <f>IF($B199="","",ROUND(SUMIFS(对接源_02物料!$K$4:$K$1203,对接源_02物料!$C$4:$C$1203,$B199,对接源_02物料!$D$4:$D$1203,"周转筐*"),2))</f>
        <v/>
      </c>
      <c r="G199" s="18" t="str">
        <f>IF($B199="","",ROUND(SUMIFS(对接源_02物料!$K$4:$K$1203,对接源_02物料!$C$4:$C$1203,$B199,对接源_02物料!$D$4:$D$1203,"次果筐*"),2))</f>
        <v/>
      </c>
      <c r="H199" s="18" t="str">
        <f t="shared" si="13"/>
        <v/>
      </c>
      <c r="I199" s="18" t="str">
        <f>IF($B199="","",ROUND(SUMIFS(对接源_01水果!$K$4:$K$1203,对接源_01水果!$C$4:$C$1203,$B199,对接源_01水果!$D$4:$D$1203,"成品出库*",对接源_01水果!$L$4:$L$1203,"已收讫")+SUMIFS(对接源_01水果!$K$4:$K$1203,对接源_01水果!$C$4:$C$1203,$B199,对接源_01水果!$D$4:$D$1203,"成品出库*",对接源_01水果!$L$4:$L$1203,"已付款")+SUMIFS(对接源_01水果!$K$4:$K$1203,对接源_01水果!$C$4:$C$1203,$B199,对接源_01水果!$D$4:$D$1203,"其他代存*",对接源_01水果!$L$4:$L$1203,"已收讫")+SUMIFS(对接源_01水果!$K$4:$K$1203,对接源_01水果!$C$4:$C$1203,$B199,对接源_01水果!$D$4:$D$1203,"其他代存*",对接源_01水果!$L$4:$L$1203,"已付款")+SUMIFS(对接源_02物料!$K$4:$K$1203,对接源_02物料!$C$4:$C$1203,$B199,对接源_02物料!$D$4:$D$1203,"包装物料*",对接源_02物料!$L$4:$L$1203,"已收讫")+SUMIFS(对接源_02物料!$K$4:$K$1203,对接源_02物料!$C$4:$C$1203,$B199,对接源_02物料!$D$4:$D$1203,"包装物料*",对接源_02物料!$L$4:$L$1203,"已付款")+SUMIFS(对接源_02物料!$K$4:$K$1203,对接源_02物料!$C$4:$C$1203,$B199,对接源_02物料!$D$4:$D$1203,"周转筐*",对接源_02物料!$L$4:$L$1203,"已收讫")+SUMIFS(对接源_02物料!$K$4:$K$1203,对接源_02物料!$C$4:$C$1203,$B199,对接源_02物料!$D$4:$D$1203,"周转筐*",对接源_02物料!$L$4:$L$1203,"已付款")+SUMIFS(对接源_02物料!$K$4:$K$1203,对接源_02物料!$C$4:$C$1203,$B199,对接源_02物料!$D$4:$D$1203,"次果筐*",对接源_02物料!$L$4:$L$1203,"已收讫")+SUMIFS(对接源_02物料!$K$4:$K$1203,对接源_02物料!$C$4:$C$1203,$B199,对接源_02物料!$D$4:$D$1203,"次果筐*",对接源_02物料!$L$4:$L$1203,"已付款"),2))</f>
        <v/>
      </c>
      <c r="J199" s="18" t="str">
        <f t="shared" si="14"/>
        <v/>
      </c>
      <c r="K199" s="16" t="str">
        <f t="shared" si="15"/>
        <v/>
      </c>
      <c r="L199" s="26"/>
    </row>
    <row r="200" customHeight="1" spans="1:12">
      <c r="A200" s="16" t="str">
        <f t="shared" si="12"/>
        <v/>
      </c>
      <c r="B200" s="11" t="str">
        <f>IFERROR(INDEX(_自动清单!$E$4:$E$303,ROW()-3),"")</f>
        <v/>
      </c>
      <c r="C200" s="18" t="str">
        <f>IF($B200="","",ROUND(SUMIFS(对接源_01水果!$K$4:$K$1203,对接源_01水果!$C$4:$C$1203,$B200,对接源_01水果!$D$4:$D$1203,"成品出库*"),2))</f>
        <v/>
      </c>
      <c r="D200" s="18" t="str">
        <f>IF($B200="","",ROUND(SUMIFS(对接源_01水果!$K$4:$K$1203,对接源_01水果!$C$4:$C$1203,$B200,对接源_01水果!$D$4:$D$1203,"其他代存*"),2))</f>
        <v/>
      </c>
      <c r="E200" s="18" t="str">
        <f>IF($B200="","",ROUND(SUMIFS(对接源_02物料!$K$4:$K$1203,对接源_02物料!$C$4:$C$1203,$B200,对接源_02物料!$D$4:$D$1203,"包装物料*"),2))</f>
        <v/>
      </c>
      <c r="F200" s="18" t="str">
        <f>IF($B200="","",ROUND(SUMIFS(对接源_02物料!$K$4:$K$1203,对接源_02物料!$C$4:$C$1203,$B200,对接源_02物料!$D$4:$D$1203,"周转筐*"),2))</f>
        <v/>
      </c>
      <c r="G200" s="18" t="str">
        <f>IF($B200="","",ROUND(SUMIFS(对接源_02物料!$K$4:$K$1203,对接源_02物料!$C$4:$C$1203,$B200,对接源_02物料!$D$4:$D$1203,"次果筐*"),2))</f>
        <v/>
      </c>
      <c r="H200" s="18" t="str">
        <f t="shared" si="13"/>
        <v/>
      </c>
      <c r="I200" s="18" t="str">
        <f>IF($B200="","",ROUND(SUMIFS(对接源_01水果!$K$4:$K$1203,对接源_01水果!$C$4:$C$1203,$B200,对接源_01水果!$D$4:$D$1203,"成品出库*",对接源_01水果!$L$4:$L$1203,"已收讫")+SUMIFS(对接源_01水果!$K$4:$K$1203,对接源_01水果!$C$4:$C$1203,$B200,对接源_01水果!$D$4:$D$1203,"成品出库*",对接源_01水果!$L$4:$L$1203,"已付款")+SUMIFS(对接源_01水果!$K$4:$K$1203,对接源_01水果!$C$4:$C$1203,$B200,对接源_01水果!$D$4:$D$1203,"其他代存*",对接源_01水果!$L$4:$L$1203,"已收讫")+SUMIFS(对接源_01水果!$K$4:$K$1203,对接源_01水果!$C$4:$C$1203,$B200,对接源_01水果!$D$4:$D$1203,"其他代存*",对接源_01水果!$L$4:$L$1203,"已付款")+SUMIFS(对接源_02物料!$K$4:$K$1203,对接源_02物料!$C$4:$C$1203,$B200,对接源_02物料!$D$4:$D$1203,"包装物料*",对接源_02物料!$L$4:$L$1203,"已收讫")+SUMIFS(对接源_02物料!$K$4:$K$1203,对接源_02物料!$C$4:$C$1203,$B200,对接源_02物料!$D$4:$D$1203,"包装物料*",对接源_02物料!$L$4:$L$1203,"已付款")+SUMIFS(对接源_02物料!$K$4:$K$1203,对接源_02物料!$C$4:$C$1203,$B200,对接源_02物料!$D$4:$D$1203,"周转筐*",对接源_02物料!$L$4:$L$1203,"已收讫")+SUMIFS(对接源_02物料!$K$4:$K$1203,对接源_02物料!$C$4:$C$1203,$B200,对接源_02物料!$D$4:$D$1203,"周转筐*",对接源_02物料!$L$4:$L$1203,"已付款")+SUMIFS(对接源_02物料!$K$4:$K$1203,对接源_02物料!$C$4:$C$1203,$B200,对接源_02物料!$D$4:$D$1203,"次果筐*",对接源_02物料!$L$4:$L$1203,"已收讫")+SUMIFS(对接源_02物料!$K$4:$K$1203,对接源_02物料!$C$4:$C$1203,$B200,对接源_02物料!$D$4:$D$1203,"次果筐*",对接源_02物料!$L$4:$L$1203,"已付款"),2))</f>
        <v/>
      </c>
      <c r="J200" s="18" t="str">
        <f t="shared" si="14"/>
        <v/>
      </c>
      <c r="K200" s="16" t="str">
        <f t="shared" si="15"/>
        <v/>
      </c>
      <c r="L200" s="26"/>
    </row>
    <row r="201" customHeight="1" spans="1:12">
      <c r="A201" s="16" t="str">
        <f t="shared" si="12"/>
        <v/>
      </c>
      <c r="B201" s="11" t="str">
        <f>IFERROR(INDEX(_自动清单!$E$4:$E$303,ROW()-3),"")</f>
        <v/>
      </c>
      <c r="C201" s="18" t="str">
        <f>IF($B201="","",ROUND(SUMIFS(对接源_01水果!$K$4:$K$1203,对接源_01水果!$C$4:$C$1203,$B201,对接源_01水果!$D$4:$D$1203,"成品出库*"),2))</f>
        <v/>
      </c>
      <c r="D201" s="18" t="str">
        <f>IF($B201="","",ROUND(SUMIFS(对接源_01水果!$K$4:$K$1203,对接源_01水果!$C$4:$C$1203,$B201,对接源_01水果!$D$4:$D$1203,"其他代存*"),2))</f>
        <v/>
      </c>
      <c r="E201" s="18" t="str">
        <f>IF($B201="","",ROUND(SUMIFS(对接源_02物料!$K$4:$K$1203,对接源_02物料!$C$4:$C$1203,$B201,对接源_02物料!$D$4:$D$1203,"包装物料*"),2))</f>
        <v/>
      </c>
      <c r="F201" s="18" t="str">
        <f>IF($B201="","",ROUND(SUMIFS(对接源_02物料!$K$4:$K$1203,对接源_02物料!$C$4:$C$1203,$B201,对接源_02物料!$D$4:$D$1203,"周转筐*"),2))</f>
        <v/>
      </c>
      <c r="G201" s="18" t="str">
        <f>IF($B201="","",ROUND(SUMIFS(对接源_02物料!$K$4:$K$1203,对接源_02物料!$C$4:$C$1203,$B201,对接源_02物料!$D$4:$D$1203,"次果筐*"),2))</f>
        <v/>
      </c>
      <c r="H201" s="18" t="str">
        <f t="shared" si="13"/>
        <v/>
      </c>
      <c r="I201" s="18" t="str">
        <f>IF($B201="","",ROUND(SUMIFS(对接源_01水果!$K$4:$K$1203,对接源_01水果!$C$4:$C$1203,$B201,对接源_01水果!$D$4:$D$1203,"成品出库*",对接源_01水果!$L$4:$L$1203,"已收讫")+SUMIFS(对接源_01水果!$K$4:$K$1203,对接源_01水果!$C$4:$C$1203,$B201,对接源_01水果!$D$4:$D$1203,"成品出库*",对接源_01水果!$L$4:$L$1203,"已付款")+SUMIFS(对接源_01水果!$K$4:$K$1203,对接源_01水果!$C$4:$C$1203,$B201,对接源_01水果!$D$4:$D$1203,"其他代存*",对接源_01水果!$L$4:$L$1203,"已收讫")+SUMIFS(对接源_01水果!$K$4:$K$1203,对接源_01水果!$C$4:$C$1203,$B201,对接源_01水果!$D$4:$D$1203,"其他代存*",对接源_01水果!$L$4:$L$1203,"已付款")+SUMIFS(对接源_02物料!$K$4:$K$1203,对接源_02物料!$C$4:$C$1203,$B201,对接源_02物料!$D$4:$D$1203,"包装物料*",对接源_02物料!$L$4:$L$1203,"已收讫")+SUMIFS(对接源_02物料!$K$4:$K$1203,对接源_02物料!$C$4:$C$1203,$B201,对接源_02物料!$D$4:$D$1203,"包装物料*",对接源_02物料!$L$4:$L$1203,"已付款")+SUMIFS(对接源_02物料!$K$4:$K$1203,对接源_02物料!$C$4:$C$1203,$B201,对接源_02物料!$D$4:$D$1203,"周转筐*",对接源_02物料!$L$4:$L$1203,"已收讫")+SUMIFS(对接源_02物料!$K$4:$K$1203,对接源_02物料!$C$4:$C$1203,$B201,对接源_02物料!$D$4:$D$1203,"周转筐*",对接源_02物料!$L$4:$L$1203,"已付款")+SUMIFS(对接源_02物料!$K$4:$K$1203,对接源_02物料!$C$4:$C$1203,$B201,对接源_02物料!$D$4:$D$1203,"次果筐*",对接源_02物料!$L$4:$L$1203,"已收讫")+SUMIFS(对接源_02物料!$K$4:$K$1203,对接源_02物料!$C$4:$C$1203,$B201,对接源_02物料!$D$4:$D$1203,"次果筐*",对接源_02物料!$L$4:$L$1203,"已付款"),2))</f>
        <v/>
      </c>
      <c r="J201" s="18" t="str">
        <f t="shared" si="14"/>
        <v/>
      </c>
      <c r="K201" s="16" t="str">
        <f t="shared" si="15"/>
        <v/>
      </c>
      <c r="L201" s="26"/>
    </row>
    <row r="202" customHeight="1" spans="1:12">
      <c r="A202" s="16" t="str">
        <f t="shared" si="12"/>
        <v/>
      </c>
      <c r="B202" s="11" t="str">
        <f>IFERROR(INDEX(_自动清单!$E$4:$E$303,ROW()-3),"")</f>
        <v/>
      </c>
      <c r="C202" s="18" t="str">
        <f>IF($B202="","",ROUND(SUMIFS(对接源_01水果!$K$4:$K$1203,对接源_01水果!$C$4:$C$1203,$B202,对接源_01水果!$D$4:$D$1203,"成品出库*"),2))</f>
        <v/>
      </c>
      <c r="D202" s="18" t="str">
        <f>IF($B202="","",ROUND(SUMIFS(对接源_01水果!$K$4:$K$1203,对接源_01水果!$C$4:$C$1203,$B202,对接源_01水果!$D$4:$D$1203,"其他代存*"),2))</f>
        <v/>
      </c>
      <c r="E202" s="18" t="str">
        <f>IF($B202="","",ROUND(SUMIFS(对接源_02物料!$K$4:$K$1203,对接源_02物料!$C$4:$C$1203,$B202,对接源_02物料!$D$4:$D$1203,"包装物料*"),2))</f>
        <v/>
      </c>
      <c r="F202" s="18" t="str">
        <f>IF($B202="","",ROUND(SUMIFS(对接源_02物料!$K$4:$K$1203,对接源_02物料!$C$4:$C$1203,$B202,对接源_02物料!$D$4:$D$1203,"周转筐*"),2))</f>
        <v/>
      </c>
      <c r="G202" s="18" t="str">
        <f>IF($B202="","",ROUND(SUMIFS(对接源_02物料!$K$4:$K$1203,对接源_02物料!$C$4:$C$1203,$B202,对接源_02物料!$D$4:$D$1203,"次果筐*"),2))</f>
        <v/>
      </c>
      <c r="H202" s="18" t="str">
        <f t="shared" si="13"/>
        <v/>
      </c>
      <c r="I202" s="18" t="str">
        <f>IF($B202="","",ROUND(SUMIFS(对接源_01水果!$K$4:$K$1203,对接源_01水果!$C$4:$C$1203,$B202,对接源_01水果!$D$4:$D$1203,"成品出库*",对接源_01水果!$L$4:$L$1203,"已收讫")+SUMIFS(对接源_01水果!$K$4:$K$1203,对接源_01水果!$C$4:$C$1203,$B202,对接源_01水果!$D$4:$D$1203,"成品出库*",对接源_01水果!$L$4:$L$1203,"已付款")+SUMIFS(对接源_01水果!$K$4:$K$1203,对接源_01水果!$C$4:$C$1203,$B202,对接源_01水果!$D$4:$D$1203,"其他代存*",对接源_01水果!$L$4:$L$1203,"已收讫")+SUMIFS(对接源_01水果!$K$4:$K$1203,对接源_01水果!$C$4:$C$1203,$B202,对接源_01水果!$D$4:$D$1203,"其他代存*",对接源_01水果!$L$4:$L$1203,"已付款")+SUMIFS(对接源_02物料!$K$4:$K$1203,对接源_02物料!$C$4:$C$1203,$B202,对接源_02物料!$D$4:$D$1203,"包装物料*",对接源_02物料!$L$4:$L$1203,"已收讫")+SUMIFS(对接源_02物料!$K$4:$K$1203,对接源_02物料!$C$4:$C$1203,$B202,对接源_02物料!$D$4:$D$1203,"包装物料*",对接源_02物料!$L$4:$L$1203,"已付款")+SUMIFS(对接源_02物料!$K$4:$K$1203,对接源_02物料!$C$4:$C$1203,$B202,对接源_02物料!$D$4:$D$1203,"周转筐*",对接源_02物料!$L$4:$L$1203,"已收讫")+SUMIFS(对接源_02物料!$K$4:$K$1203,对接源_02物料!$C$4:$C$1203,$B202,对接源_02物料!$D$4:$D$1203,"周转筐*",对接源_02物料!$L$4:$L$1203,"已付款")+SUMIFS(对接源_02物料!$K$4:$K$1203,对接源_02物料!$C$4:$C$1203,$B202,对接源_02物料!$D$4:$D$1203,"次果筐*",对接源_02物料!$L$4:$L$1203,"已收讫")+SUMIFS(对接源_02物料!$K$4:$K$1203,对接源_02物料!$C$4:$C$1203,$B202,对接源_02物料!$D$4:$D$1203,"次果筐*",对接源_02物料!$L$4:$L$1203,"已付款"),2))</f>
        <v/>
      </c>
      <c r="J202" s="18" t="str">
        <f t="shared" si="14"/>
        <v/>
      </c>
      <c r="K202" s="16" t="str">
        <f t="shared" si="15"/>
        <v/>
      </c>
      <c r="L202" s="26"/>
    </row>
    <row r="203" customHeight="1" spans="1:12">
      <c r="A203" s="16" t="str">
        <f t="shared" si="12"/>
        <v/>
      </c>
      <c r="B203" s="11" t="str">
        <f>IFERROR(INDEX(_自动清单!$E$4:$E$303,ROW()-3),"")</f>
        <v/>
      </c>
      <c r="C203" s="18" t="str">
        <f>IF($B203="","",ROUND(SUMIFS(对接源_01水果!$K$4:$K$1203,对接源_01水果!$C$4:$C$1203,$B203,对接源_01水果!$D$4:$D$1203,"成品出库*"),2))</f>
        <v/>
      </c>
      <c r="D203" s="18" t="str">
        <f>IF($B203="","",ROUND(SUMIFS(对接源_01水果!$K$4:$K$1203,对接源_01水果!$C$4:$C$1203,$B203,对接源_01水果!$D$4:$D$1203,"其他代存*"),2))</f>
        <v/>
      </c>
      <c r="E203" s="18" t="str">
        <f>IF($B203="","",ROUND(SUMIFS(对接源_02物料!$K$4:$K$1203,对接源_02物料!$C$4:$C$1203,$B203,对接源_02物料!$D$4:$D$1203,"包装物料*"),2))</f>
        <v/>
      </c>
      <c r="F203" s="18" t="str">
        <f>IF($B203="","",ROUND(SUMIFS(对接源_02物料!$K$4:$K$1203,对接源_02物料!$C$4:$C$1203,$B203,对接源_02物料!$D$4:$D$1203,"周转筐*"),2))</f>
        <v/>
      </c>
      <c r="G203" s="18" t="str">
        <f>IF($B203="","",ROUND(SUMIFS(对接源_02物料!$K$4:$K$1203,对接源_02物料!$C$4:$C$1203,$B203,对接源_02物料!$D$4:$D$1203,"次果筐*"),2))</f>
        <v/>
      </c>
      <c r="H203" s="18" t="str">
        <f t="shared" si="13"/>
        <v/>
      </c>
      <c r="I203" s="18" t="str">
        <f>IF($B203="","",ROUND(SUMIFS(对接源_01水果!$K$4:$K$1203,对接源_01水果!$C$4:$C$1203,$B203,对接源_01水果!$D$4:$D$1203,"成品出库*",对接源_01水果!$L$4:$L$1203,"已收讫")+SUMIFS(对接源_01水果!$K$4:$K$1203,对接源_01水果!$C$4:$C$1203,$B203,对接源_01水果!$D$4:$D$1203,"成品出库*",对接源_01水果!$L$4:$L$1203,"已付款")+SUMIFS(对接源_01水果!$K$4:$K$1203,对接源_01水果!$C$4:$C$1203,$B203,对接源_01水果!$D$4:$D$1203,"其他代存*",对接源_01水果!$L$4:$L$1203,"已收讫")+SUMIFS(对接源_01水果!$K$4:$K$1203,对接源_01水果!$C$4:$C$1203,$B203,对接源_01水果!$D$4:$D$1203,"其他代存*",对接源_01水果!$L$4:$L$1203,"已付款")+SUMIFS(对接源_02物料!$K$4:$K$1203,对接源_02物料!$C$4:$C$1203,$B203,对接源_02物料!$D$4:$D$1203,"包装物料*",对接源_02物料!$L$4:$L$1203,"已收讫")+SUMIFS(对接源_02物料!$K$4:$K$1203,对接源_02物料!$C$4:$C$1203,$B203,对接源_02物料!$D$4:$D$1203,"包装物料*",对接源_02物料!$L$4:$L$1203,"已付款")+SUMIFS(对接源_02物料!$K$4:$K$1203,对接源_02物料!$C$4:$C$1203,$B203,对接源_02物料!$D$4:$D$1203,"周转筐*",对接源_02物料!$L$4:$L$1203,"已收讫")+SUMIFS(对接源_02物料!$K$4:$K$1203,对接源_02物料!$C$4:$C$1203,$B203,对接源_02物料!$D$4:$D$1203,"周转筐*",对接源_02物料!$L$4:$L$1203,"已付款")+SUMIFS(对接源_02物料!$K$4:$K$1203,对接源_02物料!$C$4:$C$1203,$B203,对接源_02物料!$D$4:$D$1203,"次果筐*",对接源_02物料!$L$4:$L$1203,"已收讫")+SUMIFS(对接源_02物料!$K$4:$K$1203,对接源_02物料!$C$4:$C$1203,$B203,对接源_02物料!$D$4:$D$1203,"次果筐*",对接源_02物料!$L$4:$L$1203,"已付款"),2))</f>
        <v/>
      </c>
      <c r="J203" s="18" t="str">
        <f t="shared" si="14"/>
        <v/>
      </c>
      <c r="K203" s="16" t="str">
        <f t="shared" si="15"/>
        <v/>
      </c>
      <c r="L203" s="26"/>
    </row>
    <row r="204" customHeight="1" spans="1:12">
      <c r="A204" s="16" t="str">
        <f t="shared" si="12"/>
        <v/>
      </c>
      <c r="B204" s="11" t="str">
        <f>IFERROR(INDEX(_自动清单!$E$4:$E$303,ROW()-3),"")</f>
        <v/>
      </c>
      <c r="C204" s="18" t="str">
        <f>IF($B204="","",ROUND(SUMIFS(对接源_01水果!$K$4:$K$1203,对接源_01水果!$C$4:$C$1203,$B204,对接源_01水果!$D$4:$D$1203,"成品出库*"),2))</f>
        <v/>
      </c>
      <c r="D204" s="18" t="str">
        <f>IF($B204="","",ROUND(SUMIFS(对接源_01水果!$K$4:$K$1203,对接源_01水果!$C$4:$C$1203,$B204,对接源_01水果!$D$4:$D$1203,"其他代存*"),2))</f>
        <v/>
      </c>
      <c r="E204" s="18" t="str">
        <f>IF($B204="","",ROUND(SUMIFS(对接源_02物料!$K$4:$K$1203,对接源_02物料!$C$4:$C$1203,$B204,对接源_02物料!$D$4:$D$1203,"包装物料*"),2))</f>
        <v/>
      </c>
      <c r="F204" s="18" t="str">
        <f>IF($B204="","",ROUND(SUMIFS(对接源_02物料!$K$4:$K$1203,对接源_02物料!$C$4:$C$1203,$B204,对接源_02物料!$D$4:$D$1203,"周转筐*"),2))</f>
        <v/>
      </c>
      <c r="G204" s="18" t="str">
        <f>IF($B204="","",ROUND(SUMIFS(对接源_02物料!$K$4:$K$1203,对接源_02物料!$C$4:$C$1203,$B204,对接源_02物料!$D$4:$D$1203,"次果筐*"),2))</f>
        <v/>
      </c>
      <c r="H204" s="18" t="str">
        <f t="shared" si="13"/>
        <v/>
      </c>
      <c r="I204" s="18" t="str">
        <f>IF($B204="","",ROUND(SUMIFS(对接源_01水果!$K$4:$K$1203,对接源_01水果!$C$4:$C$1203,$B204,对接源_01水果!$D$4:$D$1203,"成品出库*",对接源_01水果!$L$4:$L$1203,"已收讫")+SUMIFS(对接源_01水果!$K$4:$K$1203,对接源_01水果!$C$4:$C$1203,$B204,对接源_01水果!$D$4:$D$1203,"成品出库*",对接源_01水果!$L$4:$L$1203,"已付款")+SUMIFS(对接源_01水果!$K$4:$K$1203,对接源_01水果!$C$4:$C$1203,$B204,对接源_01水果!$D$4:$D$1203,"其他代存*",对接源_01水果!$L$4:$L$1203,"已收讫")+SUMIFS(对接源_01水果!$K$4:$K$1203,对接源_01水果!$C$4:$C$1203,$B204,对接源_01水果!$D$4:$D$1203,"其他代存*",对接源_01水果!$L$4:$L$1203,"已付款")+SUMIFS(对接源_02物料!$K$4:$K$1203,对接源_02物料!$C$4:$C$1203,$B204,对接源_02物料!$D$4:$D$1203,"包装物料*",对接源_02物料!$L$4:$L$1203,"已收讫")+SUMIFS(对接源_02物料!$K$4:$K$1203,对接源_02物料!$C$4:$C$1203,$B204,对接源_02物料!$D$4:$D$1203,"包装物料*",对接源_02物料!$L$4:$L$1203,"已付款")+SUMIFS(对接源_02物料!$K$4:$K$1203,对接源_02物料!$C$4:$C$1203,$B204,对接源_02物料!$D$4:$D$1203,"周转筐*",对接源_02物料!$L$4:$L$1203,"已收讫")+SUMIFS(对接源_02物料!$K$4:$K$1203,对接源_02物料!$C$4:$C$1203,$B204,对接源_02物料!$D$4:$D$1203,"周转筐*",对接源_02物料!$L$4:$L$1203,"已付款")+SUMIFS(对接源_02物料!$K$4:$K$1203,对接源_02物料!$C$4:$C$1203,$B204,对接源_02物料!$D$4:$D$1203,"次果筐*",对接源_02物料!$L$4:$L$1203,"已收讫")+SUMIFS(对接源_02物料!$K$4:$K$1203,对接源_02物料!$C$4:$C$1203,$B204,对接源_02物料!$D$4:$D$1203,"次果筐*",对接源_02物料!$L$4:$L$1203,"已付款"),2))</f>
        <v/>
      </c>
      <c r="J204" s="18" t="str">
        <f t="shared" si="14"/>
        <v/>
      </c>
      <c r="K204" s="16" t="str">
        <f t="shared" si="15"/>
        <v/>
      </c>
      <c r="L204" s="26"/>
    </row>
    <row r="205" customHeight="1" spans="1:12">
      <c r="A205" s="16" t="str">
        <f t="shared" si="12"/>
        <v/>
      </c>
      <c r="B205" s="11" t="str">
        <f>IFERROR(INDEX(_自动清单!$E$4:$E$303,ROW()-3),"")</f>
        <v/>
      </c>
      <c r="C205" s="18" t="str">
        <f>IF($B205="","",ROUND(SUMIFS(对接源_01水果!$K$4:$K$1203,对接源_01水果!$C$4:$C$1203,$B205,对接源_01水果!$D$4:$D$1203,"成品出库*"),2))</f>
        <v/>
      </c>
      <c r="D205" s="18" t="str">
        <f>IF($B205="","",ROUND(SUMIFS(对接源_01水果!$K$4:$K$1203,对接源_01水果!$C$4:$C$1203,$B205,对接源_01水果!$D$4:$D$1203,"其他代存*"),2))</f>
        <v/>
      </c>
      <c r="E205" s="18" t="str">
        <f>IF($B205="","",ROUND(SUMIFS(对接源_02物料!$K$4:$K$1203,对接源_02物料!$C$4:$C$1203,$B205,对接源_02物料!$D$4:$D$1203,"包装物料*"),2))</f>
        <v/>
      </c>
      <c r="F205" s="18" t="str">
        <f>IF($B205="","",ROUND(SUMIFS(对接源_02物料!$K$4:$K$1203,对接源_02物料!$C$4:$C$1203,$B205,对接源_02物料!$D$4:$D$1203,"周转筐*"),2))</f>
        <v/>
      </c>
      <c r="G205" s="18" t="str">
        <f>IF($B205="","",ROUND(SUMIFS(对接源_02物料!$K$4:$K$1203,对接源_02物料!$C$4:$C$1203,$B205,对接源_02物料!$D$4:$D$1203,"次果筐*"),2))</f>
        <v/>
      </c>
      <c r="H205" s="18" t="str">
        <f t="shared" si="13"/>
        <v/>
      </c>
      <c r="I205" s="18" t="str">
        <f>IF($B205="","",ROUND(SUMIFS(对接源_01水果!$K$4:$K$1203,对接源_01水果!$C$4:$C$1203,$B205,对接源_01水果!$D$4:$D$1203,"成品出库*",对接源_01水果!$L$4:$L$1203,"已收讫")+SUMIFS(对接源_01水果!$K$4:$K$1203,对接源_01水果!$C$4:$C$1203,$B205,对接源_01水果!$D$4:$D$1203,"成品出库*",对接源_01水果!$L$4:$L$1203,"已付款")+SUMIFS(对接源_01水果!$K$4:$K$1203,对接源_01水果!$C$4:$C$1203,$B205,对接源_01水果!$D$4:$D$1203,"其他代存*",对接源_01水果!$L$4:$L$1203,"已收讫")+SUMIFS(对接源_01水果!$K$4:$K$1203,对接源_01水果!$C$4:$C$1203,$B205,对接源_01水果!$D$4:$D$1203,"其他代存*",对接源_01水果!$L$4:$L$1203,"已付款")+SUMIFS(对接源_02物料!$K$4:$K$1203,对接源_02物料!$C$4:$C$1203,$B205,对接源_02物料!$D$4:$D$1203,"包装物料*",对接源_02物料!$L$4:$L$1203,"已收讫")+SUMIFS(对接源_02物料!$K$4:$K$1203,对接源_02物料!$C$4:$C$1203,$B205,对接源_02物料!$D$4:$D$1203,"包装物料*",对接源_02物料!$L$4:$L$1203,"已付款")+SUMIFS(对接源_02物料!$K$4:$K$1203,对接源_02物料!$C$4:$C$1203,$B205,对接源_02物料!$D$4:$D$1203,"周转筐*",对接源_02物料!$L$4:$L$1203,"已收讫")+SUMIFS(对接源_02物料!$K$4:$K$1203,对接源_02物料!$C$4:$C$1203,$B205,对接源_02物料!$D$4:$D$1203,"周转筐*",对接源_02物料!$L$4:$L$1203,"已付款")+SUMIFS(对接源_02物料!$K$4:$K$1203,对接源_02物料!$C$4:$C$1203,$B205,对接源_02物料!$D$4:$D$1203,"次果筐*",对接源_02物料!$L$4:$L$1203,"已收讫")+SUMIFS(对接源_02物料!$K$4:$K$1203,对接源_02物料!$C$4:$C$1203,$B205,对接源_02物料!$D$4:$D$1203,"次果筐*",对接源_02物料!$L$4:$L$1203,"已付款"),2))</f>
        <v/>
      </c>
      <c r="J205" s="18" t="str">
        <f t="shared" si="14"/>
        <v/>
      </c>
      <c r="K205" s="16" t="str">
        <f t="shared" si="15"/>
        <v/>
      </c>
      <c r="L205" s="26"/>
    </row>
    <row r="206" customHeight="1" spans="1:12">
      <c r="A206" s="16" t="str">
        <f t="shared" si="12"/>
        <v/>
      </c>
      <c r="B206" s="11" t="str">
        <f>IFERROR(INDEX(_自动清单!$E$4:$E$303,ROW()-3),"")</f>
        <v/>
      </c>
      <c r="C206" s="18" t="str">
        <f>IF($B206="","",ROUND(SUMIFS(对接源_01水果!$K$4:$K$1203,对接源_01水果!$C$4:$C$1203,$B206,对接源_01水果!$D$4:$D$1203,"成品出库*"),2))</f>
        <v/>
      </c>
      <c r="D206" s="18" t="str">
        <f>IF($B206="","",ROUND(SUMIFS(对接源_01水果!$K$4:$K$1203,对接源_01水果!$C$4:$C$1203,$B206,对接源_01水果!$D$4:$D$1203,"其他代存*"),2))</f>
        <v/>
      </c>
      <c r="E206" s="18" t="str">
        <f>IF($B206="","",ROUND(SUMIFS(对接源_02物料!$K$4:$K$1203,对接源_02物料!$C$4:$C$1203,$B206,对接源_02物料!$D$4:$D$1203,"包装物料*"),2))</f>
        <v/>
      </c>
      <c r="F206" s="18" t="str">
        <f>IF($B206="","",ROUND(SUMIFS(对接源_02物料!$K$4:$K$1203,对接源_02物料!$C$4:$C$1203,$B206,对接源_02物料!$D$4:$D$1203,"周转筐*"),2))</f>
        <v/>
      </c>
      <c r="G206" s="18" t="str">
        <f>IF($B206="","",ROUND(SUMIFS(对接源_02物料!$K$4:$K$1203,对接源_02物料!$C$4:$C$1203,$B206,对接源_02物料!$D$4:$D$1203,"次果筐*"),2))</f>
        <v/>
      </c>
      <c r="H206" s="18" t="str">
        <f t="shared" si="13"/>
        <v/>
      </c>
      <c r="I206" s="18" t="str">
        <f>IF($B206="","",ROUND(SUMIFS(对接源_01水果!$K$4:$K$1203,对接源_01水果!$C$4:$C$1203,$B206,对接源_01水果!$D$4:$D$1203,"成品出库*",对接源_01水果!$L$4:$L$1203,"已收讫")+SUMIFS(对接源_01水果!$K$4:$K$1203,对接源_01水果!$C$4:$C$1203,$B206,对接源_01水果!$D$4:$D$1203,"成品出库*",对接源_01水果!$L$4:$L$1203,"已付款")+SUMIFS(对接源_01水果!$K$4:$K$1203,对接源_01水果!$C$4:$C$1203,$B206,对接源_01水果!$D$4:$D$1203,"其他代存*",对接源_01水果!$L$4:$L$1203,"已收讫")+SUMIFS(对接源_01水果!$K$4:$K$1203,对接源_01水果!$C$4:$C$1203,$B206,对接源_01水果!$D$4:$D$1203,"其他代存*",对接源_01水果!$L$4:$L$1203,"已付款")+SUMIFS(对接源_02物料!$K$4:$K$1203,对接源_02物料!$C$4:$C$1203,$B206,对接源_02物料!$D$4:$D$1203,"包装物料*",对接源_02物料!$L$4:$L$1203,"已收讫")+SUMIFS(对接源_02物料!$K$4:$K$1203,对接源_02物料!$C$4:$C$1203,$B206,对接源_02物料!$D$4:$D$1203,"包装物料*",对接源_02物料!$L$4:$L$1203,"已付款")+SUMIFS(对接源_02物料!$K$4:$K$1203,对接源_02物料!$C$4:$C$1203,$B206,对接源_02物料!$D$4:$D$1203,"周转筐*",对接源_02物料!$L$4:$L$1203,"已收讫")+SUMIFS(对接源_02物料!$K$4:$K$1203,对接源_02物料!$C$4:$C$1203,$B206,对接源_02物料!$D$4:$D$1203,"周转筐*",对接源_02物料!$L$4:$L$1203,"已付款")+SUMIFS(对接源_02物料!$K$4:$K$1203,对接源_02物料!$C$4:$C$1203,$B206,对接源_02物料!$D$4:$D$1203,"次果筐*",对接源_02物料!$L$4:$L$1203,"已收讫")+SUMIFS(对接源_02物料!$K$4:$K$1203,对接源_02物料!$C$4:$C$1203,$B206,对接源_02物料!$D$4:$D$1203,"次果筐*",对接源_02物料!$L$4:$L$1203,"已付款"),2))</f>
        <v/>
      </c>
      <c r="J206" s="18" t="str">
        <f t="shared" si="14"/>
        <v/>
      </c>
      <c r="K206" s="16" t="str">
        <f t="shared" si="15"/>
        <v/>
      </c>
      <c r="L206" s="26"/>
    </row>
    <row r="207" customHeight="1" spans="1:12">
      <c r="A207" s="16" t="str">
        <f t="shared" si="12"/>
        <v/>
      </c>
      <c r="B207" s="11" t="str">
        <f>IFERROR(INDEX(_自动清单!$E$4:$E$303,ROW()-3),"")</f>
        <v/>
      </c>
      <c r="C207" s="18" t="str">
        <f>IF($B207="","",ROUND(SUMIFS(对接源_01水果!$K$4:$K$1203,对接源_01水果!$C$4:$C$1203,$B207,对接源_01水果!$D$4:$D$1203,"成品出库*"),2))</f>
        <v/>
      </c>
      <c r="D207" s="18" t="str">
        <f>IF($B207="","",ROUND(SUMIFS(对接源_01水果!$K$4:$K$1203,对接源_01水果!$C$4:$C$1203,$B207,对接源_01水果!$D$4:$D$1203,"其他代存*"),2))</f>
        <v/>
      </c>
      <c r="E207" s="18" t="str">
        <f>IF($B207="","",ROUND(SUMIFS(对接源_02物料!$K$4:$K$1203,对接源_02物料!$C$4:$C$1203,$B207,对接源_02物料!$D$4:$D$1203,"包装物料*"),2))</f>
        <v/>
      </c>
      <c r="F207" s="18" t="str">
        <f>IF($B207="","",ROUND(SUMIFS(对接源_02物料!$K$4:$K$1203,对接源_02物料!$C$4:$C$1203,$B207,对接源_02物料!$D$4:$D$1203,"周转筐*"),2))</f>
        <v/>
      </c>
      <c r="G207" s="18" t="str">
        <f>IF($B207="","",ROUND(SUMIFS(对接源_02物料!$K$4:$K$1203,对接源_02物料!$C$4:$C$1203,$B207,对接源_02物料!$D$4:$D$1203,"次果筐*"),2))</f>
        <v/>
      </c>
      <c r="H207" s="18" t="str">
        <f t="shared" si="13"/>
        <v/>
      </c>
      <c r="I207" s="18" t="str">
        <f>IF($B207="","",ROUND(SUMIFS(对接源_01水果!$K$4:$K$1203,对接源_01水果!$C$4:$C$1203,$B207,对接源_01水果!$D$4:$D$1203,"成品出库*",对接源_01水果!$L$4:$L$1203,"已收讫")+SUMIFS(对接源_01水果!$K$4:$K$1203,对接源_01水果!$C$4:$C$1203,$B207,对接源_01水果!$D$4:$D$1203,"成品出库*",对接源_01水果!$L$4:$L$1203,"已付款")+SUMIFS(对接源_01水果!$K$4:$K$1203,对接源_01水果!$C$4:$C$1203,$B207,对接源_01水果!$D$4:$D$1203,"其他代存*",对接源_01水果!$L$4:$L$1203,"已收讫")+SUMIFS(对接源_01水果!$K$4:$K$1203,对接源_01水果!$C$4:$C$1203,$B207,对接源_01水果!$D$4:$D$1203,"其他代存*",对接源_01水果!$L$4:$L$1203,"已付款")+SUMIFS(对接源_02物料!$K$4:$K$1203,对接源_02物料!$C$4:$C$1203,$B207,对接源_02物料!$D$4:$D$1203,"包装物料*",对接源_02物料!$L$4:$L$1203,"已收讫")+SUMIFS(对接源_02物料!$K$4:$K$1203,对接源_02物料!$C$4:$C$1203,$B207,对接源_02物料!$D$4:$D$1203,"包装物料*",对接源_02物料!$L$4:$L$1203,"已付款")+SUMIFS(对接源_02物料!$K$4:$K$1203,对接源_02物料!$C$4:$C$1203,$B207,对接源_02物料!$D$4:$D$1203,"周转筐*",对接源_02物料!$L$4:$L$1203,"已收讫")+SUMIFS(对接源_02物料!$K$4:$K$1203,对接源_02物料!$C$4:$C$1203,$B207,对接源_02物料!$D$4:$D$1203,"周转筐*",对接源_02物料!$L$4:$L$1203,"已付款")+SUMIFS(对接源_02物料!$K$4:$K$1203,对接源_02物料!$C$4:$C$1203,$B207,对接源_02物料!$D$4:$D$1203,"次果筐*",对接源_02物料!$L$4:$L$1203,"已收讫")+SUMIFS(对接源_02物料!$K$4:$K$1203,对接源_02物料!$C$4:$C$1203,$B207,对接源_02物料!$D$4:$D$1203,"次果筐*",对接源_02物料!$L$4:$L$1203,"已付款"),2))</f>
        <v/>
      </c>
      <c r="J207" s="18" t="str">
        <f t="shared" si="14"/>
        <v/>
      </c>
      <c r="K207" s="16" t="str">
        <f t="shared" si="15"/>
        <v/>
      </c>
      <c r="L207" s="26"/>
    </row>
    <row r="208" customHeight="1" spans="1:12">
      <c r="A208" s="16" t="str">
        <f t="shared" si="12"/>
        <v/>
      </c>
      <c r="B208" s="11" t="str">
        <f>IFERROR(INDEX(_自动清单!$E$4:$E$303,ROW()-3),"")</f>
        <v/>
      </c>
      <c r="C208" s="18" t="str">
        <f>IF($B208="","",ROUND(SUMIFS(对接源_01水果!$K$4:$K$1203,对接源_01水果!$C$4:$C$1203,$B208,对接源_01水果!$D$4:$D$1203,"成品出库*"),2))</f>
        <v/>
      </c>
      <c r="D208" s="18" t="str">
        <f>IF($B208="","",ROUND(SUMIFS(对接源_01水果!$K$4:$K$1203,对接源_01水果!$C$4:$C$1203,$B208,对接源_01水果!$D$4:$D$1203,"其他代存*"),2))</f>
        <v/>
      </c>
      <c r="E208" s="18" t="str">
        <f>IF($B208="","",ROUND(SUMIFS(对接源_02物料!$K$4:$K$1203,对接源_02物料!$C$4:$C$1203,$B208,对接源_02物料!$D$4:$D$1203,"包装物料*"),2))</f>
        <v/>
      </c>
      <c r="F208" s="18" t="str">
        <f>IF($B208="","",ROUND(SUMIFS(对接源_02物料!$K$4:$K$1203,对接源_02物料!$C$4:$C$1203,$B208,对接源_02物料!$D$4:$D$1203,"周转筐*"),2))</f>
        <v/>
      </c>
      <c r="G208" s="18" t="str">
        <f>IF($B208="","",ROUND(SUMIFS(对接源_02物料!$K$4:$K$1203,对接源_02物料!$C$4:$C$1203,$B208,对接源_02物料!$D$4:$D$1203,"次果筐*"),2))</f>
        <v/>
      </c>
      <c r="H208" s="18" t="str">
        <f t="shared" si="13"/>
        <v/>
      </c>
      <c r="I208" s="18" t="str">
        <f>IF($B208="","",ROUND(SUMIFS(对接源_01水果!$K$4:$K$1203,对接源_01水果!$C$4:$C$1203,$B208,对接源_01水果!$D$4:$D$1203,"成品出库*",对接源_01水果!$L$4:$L$1203,"已收讫")+SUMIFS(对接源_01水果!$K$4:$K$1203,对接源_01水果!$C$4:$C$1203,$B208,对接源_01水果!$D$4:$D$1203,"成品出库*",对接源_01水果!$L$4:$L$1203,"已付款")+SUMIFS(对接源_01水果!$K$4:$K$1203,对接源_01水果!$C$4:$C$1203,$B208,对接源_01水果!$D$4:$D$1203,"其他代存*",对接源_01水果!$L$4:$L$1203,"已收讫")+SUMIFS(对接源_01水果!$K$4:$K$1203,对接源_01水果!$C$4:$C$1203,$B208,对接源_01水果!$D$4:$D$1203,"其他代存*",对接源_01水果!$L$4:$L$1203,"已付款")+SUMIFS(对接源_02物料!$K$4:$K$1203,对接源_02物料!$C$4:$C$1203,$B208,对接源_02物料!$D$4:$D$1203,"包装物料*",对接源_02物料!$L$4:$L$1203,"已收讫")+SUMIFS(对接源_02物料!$K$4:$K$1203,对接源_02物料!$C$4:$C$1203,$B208,对接源_02物料!$D$4:$D$1203,"包装物料*",对接源_02物料!$L$4:$L$1203,"已付款")+SUMIFS(对接源_02物料!$K$4:$K$1203,对接源_02物料!$C$4:$C$1203,$B208,对接源_02物料!$D$4:$D$1203,"周转筐*",对接源_02物料!$L$4:$L$1203,"已收讫")+SUMIFS(对接源_02物料!$K$4:$K$1203,对接源_02物料!$C$4:$C$1203,$B208,对接源_02物料!$D$4:$D$1203,"周转筐*",对接源_02物料!$L$4:$L$1203,"已付款")+SUMIFS(对接源_02物料!$K$4:$K$1203,对接源_02物料!$C$4:$C$1203,$B208,对接源_02物料!$D$4:$D$1203,"次果筐*",对接源_02物料!$L$4:$L$1203,"已收讫")+SUMIFS(对接源_02物料!$K$4:$K$1203,对接源_02物料!$C$4:$C$1203,$B208,对接源_02物料!$D$4:$D$1203,"次果筐*",对接源_02物料!$L$4:$L$1203,"已付款"),2))</f>
        <v/>
      </c>
      <c r="J208" s="18" t="str">
        <f t="shared" si="14"/>
        <v/>
      </c>
      <c r="K208" s="16" t="str">
        <f t="shared" si="15"/>
        <v/>
      </c>
      <c r="L208" s="26"/>
    </row>
    <row r="209" customHeight="1" spans="1:12">
      <c r="A209" s="16" t="str">
        <f t="shared" si="12"/>
        <v/>
      </c>
      <c r="B209" s="11" t="str">
        <f>IFERROR(INDEX(_自动清单!$E$4:$E$303,ROW()-3),"")</f>
        <v/>
      </c>
      <c r="C209" s="18" t="str">
        <f>IF($B209="","",ROUND(SUMIFS(对接源_01水果!$K$4:$K$1203,对接源_01水果!$C$4:$C$1203,$B209,对接源_01水果!$D$4:$D$1203,"成品出库*"),2))</f>
        <v/>
      </c>
      <c r="D209" s="18" t="str">
        <f>IF($B209="","",ROUND(SUMIFS(对接源_01水果!$K$4:$K$1203,对接源_01水果!$C$4:$C$1203,$B209,对接源_01水果!$D$4:$D$1203,"其他代存*"),2))</f>
        <v/>
      </c>
      <c r="E209" s="18" t="str">
        <f>IF($B209="","",ROUND(SUMIFS(对接源_02物料!$K$4:$K$1203,对接源_02物料!$C$4:$C$1203,$B209,对接源_02物料!$D$4:$D$1203,"包装物料*"),2))</f>
        <v/>
      </c>
      <c r="F209" s="18" t="str">
        <f>IF($B209="","",ROUND(SUMIFS(对接源_02物料!$K$4:$K$1203,对接源_02物料!$C$4:$C$1203,$B209,对接源_02物料!$D$4:$D$1203,"周转筐*"),2))</f>
        <v/>
      </c>
      <c r="G209" s="18" t="str">
        <f>IF($B209="","",ROUND(SUMIFS(对接源_02物料!$K$4:$K$1203,对接源_02物料!$C$4:$C$1203,$B209,对接源_02物料!$D$4:$D$1203,"次果筐*"),2))</f>
        <v/>
      </c>
      <c r="H209" s="18" t="str">
        <f t="shared" si="13"/>
        <v/>
      </c>
      <c r="I209" s="18" t="str">
        <f>IF($B209="","",ROUND(SUMIFS(对接源_01水果!$K$4:$K$1203,对接源_01水果!$C$4:$C$1203,$B209,对接源_01水果!$D$4:$D$1203,"成品出库*",对接源_01水果!$L$4:$L$1203,"已收讫")+SUMIFS(对接源_01水果!$K$4:$K$1203,对接源_01水果!$C$4:$C$1203,$B209,对接源_01水果!$D$4:$D$1203,"成品出库*",对接源_01水果!$L$4:$L$1203,"已付款")+SUMIFS(对接源_01水果!$K$4:$K$1203,对接源_01水果!$C$4:$C$1203,$B209,对接源_01水果!$D$4:$D$1203,"其他代存*",对接源_01水果!$L$4:$L$1203,"已收讫")+SUMIFS(对接源_01水果!$K$4:$K$1203,对接源_01水果!$C$4:$C$1203,$B209,对接源_01水果!$D$4:$D$1203,"其他代存*",对接源_01水果!$L$4:$L$1203,"已付款")+SUMIFS(对接源_02物料!$K$4:$K$1203,对接源_02物料!$C$4:$C$1203,$B209,对接源_02物料!$D$4:$D$1203,"包装物料*",对接源_02物料!$L$4:$L$1203,"已收讫")+SUMIFS(对接源_02物料!$K$4:$K$1203,对接源_02物料!$C$4:$C$1203,$B209,对接源_02物料!$D$4:$D$1203,"包装物料*",对接源_02物料!$L$4:$L$1203,"已付款")+SUMIFS(对接源_02物料!$K$4:$K$1203,对接源_02物料!$C$4:$C$1203,$B209,对接源_02物料!$D$4:$D$1203,"周转筐*",对接源_02物料!$L$4:$L$1203,"已收讫")+SUMIFS(对接源_02物料!$K$4:$K$1203,对接源_02物料!$C$4:$C$1203,$B209,对接源_02物料!$D$4:$D$1203,"周转筐*",对接源_02物料!$L$4:$L$1203,"已付款")+SUMIFS(对接源_02物料!$K$4:$K$1203,对接源_02物料!$C$4:$C$1203,$B209,对接源_02物料!$D$4:$D$1203,"次果筐*",对接源_02物料!$L$4:$L$1203,"已收讫")+SUMIFS(对接源_02物料!$K$4:$K$1203,对接源_02物料!$C$4:$C$1203,$B209,对接源_02物料!$D$4:$D$1203,"次果筐*",对接源_02物料!$L$4:$L$1203,"已付款"),2))</f>
        <v/>
      </c>
      <c r="J209" s="18" t="str">
        <f t="shared" si="14"/>
        <v/>
      </c>
      <c r="K209" s="16" t="str">
        <f t="shared" si="15"/>
        <v/>
      </c>
      <c r="L209" s="26"/>
    </row>
    <row r="210" customHeight="1" spans="1:12">
      <c r="A210" s="16" t="str">
        <f t="shared" si="12"/>
        <v/>
      </c>
      <c r="B210" s="11" t="str">
        <f>IFERROR(INDEX(_自动清单!$E$4:$E$303,ROW()-3),"")</f>
        <v/>
      </c>
      <c r="C210" s="18" t="str">
        <f>IF($B210="","",ROUND(SUMIFS(对接源_01水果!$K$4:$K$1203,对接源_01水果!$C$4:$C$1203,$B210,对接源_01水果!$D$4:$D$1203,"成品出库*"),2))</f>
        <v/>
      </c>
      <c r="D210" s="18" t="str">
        <f>IF($B210="","",ROUND(SUMIFS(对接源_01水果!$K$4:$K$1203,对接源_01水果!$C$4:$C$1203,$B210,对接源_01水果!$D$4:$D$1203,"其他代存*"),2))</f>
        <v/>
      </c>
      <c r="E210" s="18" t="str">
        <f>IF($B210="","",ROUND(SUMIFS(对接源_02物料!$K$4:$K$1203,对接源_02物料!$C$4:$C$1203,$B210,对接源_02物料!$D$4:$D$1203,"包装物料*"),2))</f>
        <v/>
      </c>
      <c r="F210" s="18" t="str">
        <f>IF($B210="","",ROUND(SUMIFS(对接源_02物料!$K$4:$K$1203,对接源_02物料!$C$4:$C$1203,$B210,对接源_02物料!$D$4:$D$1203,"周转筐*"),2))</f>
        <v/>
      </c>
      <c r="G210" s="18" t="str">
        <f>IF($B210="","",ROUND(SUMIFS(对接源_02物料!$K$4:$K$1203,对接源_02物料!$C$4:$C$1203,$B210,对接源_02物料!$D$4:$D$1203,"次果筐*"),2))</f>
        <v/>
      </c>
      <c r="H210" s="18" t="str">
        <f t="shared" si="13"/>
        <v/>
      </c>
      <c r="I210" s="18" t="str">
        <f>IF($B210="","",ROUND(SUMIFS(对接源_01水果!$K$4:$K$1203,对接源_01水果!$C$4:$C$1203,$B210,对接源_01水果!$D$4:$D$1203,"成品出库*",对接源_01水果!$L$4:$L$1203,"已收讫")+SUMIFS(对接源_01水果!$K$4:$K$1203,对接源_01水果!$C$4:$C$1203,$B210,对接源_01水果!$D$4:$D$1203,"成品出库*",对接源_01水果!$L$4:$L$1203,"已付款")+SUMIFS(对接源_01水果!$K$4:$K$1203,对接源_01水果!$C$4:$C$1203,$B210,对接源_01水果!$D$4:$D$1203,"其他代存*",对接源_01水果!$L$4:$L$1203,"已收讫")+SUMIFS(对接源_01水果!$K$4:$K$1203,对接源_01水果!$C$4:$C$1203,$B210,对接源_01水果!$D$4:$D$1203,"其他代存*",对接源_01水果!$L$4:$L$1203,"已付款")+SUMIFS(对接源_02物料!$K$4:$K$1203,对接源_02物料!$C$4:$C$1203,$B210,对接源_02物料!$D$4:$D$1203,"包装物料*",对接源_02物料!$L$4:$L$1203,"已收讫")+SUMIFS(对接源_02物料!$K$4:$K$1203,对接源_02物料!$C$4:$C$1203,$B210,对接源_02物料!$D$4:$D$1203,"包装物料*",对接源_02物料!$L$4:$L$1203,"已付款")+SUMIFS(对接源_02物料!$K$4:$K$1203,对接源_02物料!$C$4:$C$1203,$B210,对接源_02物料!$D$4:$D$1203,"周转筐*",对接源_02物料!$L$4:$L$1203,"已收讫")+SUMIFS(对接源_02物料!$K$4:$K$1203,对接源_02物料!$C$4:$C$1203,$B210,对接源_02物料!$D$4:$D$1203,"周转筐*",对接源_02物料!$L$4:$L$1203,"已付款")+SUMIFS(对接源_02物料!$K$4:$K$1203,对接源_02物料!$C$4:$C$1203,$B210,对接源_02物料!$D$4:$D$1203,"次果筐*",对接源_02物料!$L$4:$L$1203,"已收讫")+SUMIFS(对接源_02物料!$K$4:$K$1203,对接源_02物料!$C$4:$C$1203,$B210,对接源_02物料!$D$4:$D$1203,"次果筐*",对接源_02物料!$L$4:$L$1203,"已付款"),2))</f>
        <v/>
      </c>
      <c r="J210" s="18" t="str">
        <f t="shared" si="14"/>
        <v/>
      </c>
      <c r="K210" s="16" t="str">
        <f t="shared" si="15"/>
        <v/>
      </c>
      <c r="L210" s="26"/>
    </row>
    <row r="211" customHeight="1" spans="1:12">
      <c r="A211" s="16" t="str">
        <f t="shared" si="12"/>
        <v/>
      </c>
      <c r="B211" s="11" t="str">
        <f>IFERROR(INDEX(_自动清单!$E$4:$E$303,ROW()-3),"")</f>
        <v/>
      </c>
      <c r="C211" s="18" t="str">
        <f>IF($B211="","",ROUND(SUMIFS(对接源_01水果!$K$4:$K$1203,对接源_01水果!$C$4:$C$1203,$B211,对接源_01水果!$D$4:$D$1203,"成品出库*"),2))</f>
        <v/>
      </c>
      <c r="D211" s="18" t="str">
        <f>IF($B211="","",ROUND(SUMIFS(对接源_01水果!$K$4:$K$1203,对接源_01水果!$C$4:$C$1203,$B211,对接源_01水果!$D$4:$D$1203,"其他代存*"),2))</f>
        <v/>
      </c>
      <c r="E211" s="18" t="str">
        <f>IF($B211="","",ROUND(SUMIFS(对接源_02物料!$K$4:$K$1203,对接源_02物料!$C$4:$C$1203,$B211,对接源_02物料!$D$4:$D$1203,"包装物料*"),2))</f>
        <v/>
      </c>
      <c r="F211" s="18" t="str">
        <f>IF($B211="","",ROUND(SUMIFS(对接源_02物料!$K$4:$K$1203,对接源_02物料!$C$4:$C$1203,$B211,对接源_02物料!$D$4:$D$1203,"周转筐*"),2))</f>
        <v/>
      </c>
      <c r="G211" s="18" t="str">
        <f>IF($B211="","",ROUND(SUMIFS(对接源_02物料!$K$4:$K$1203,对接源_02物料!$C$4:$C$1203,$B211,对接源_02物料!$D$4:$D$1203,"次果筐*"),2))</f>
        <v/>
      </c>
      <c r="H211" s="18" t="str">
        <f t="shared" si="13"/>
        <v/>
      </c>
      <c r="I211" s="18" t="str">
        <f>IF($B211="","",ROUND(SUMIFS(对接源_01水果!$K$4:$K$1203,对接源_01水果!$C$4:$C$1203,$B211,对接源_01水果!$D$4:$D$1203,"成品出库*",对接源_01水果!$L$4:$L$1203,"已收讫")+SUMIFS(对接源_01水果!$K$4:$K$1203,对接源_01水果!$C$4:$C$1203,$B211,对接源_01水果!$D$4:$D$1203,"成品出库*",对接源_01水果!$L$4:$L$1203,"已付款")+SUMIFS(对接源_01水果!$K$4:$K$1203,对接源_01水果!$C$4:$C$1203,$B211,对接源_01水果!$D$4:$D$1203,"其他代存*",对接源_01水果!$L$4:$L$1203,"已收讫")+SUMIFS(对接源_01水果!$K$4:$K$1203,对接源_01水果!$C$4:$C$1203,$B211,对接源_01水果!$D$4:$D$1203,"其他代存*",对接源_01水果!$L$4:$L$1203,"已付款")+SUMIFS(对接源_02物料!$K$4:$K$1203,对接源_02物料!$C$4:$C$1203,$B211,对接源_02物料!$D$4:$D$1203,"包装物料*",对接源_02物料!$L$4:$L$1203,"已收讫")+SUMIFS(对接源_02物料!$K$4:$K$1203,对接源_02物料!$C$4:$C$1203,$B211,对接源_02物料!$D$4:$D$1203,"包装物料*",对接源_02物料!$L$4:$L$1203,"已付款")+SUMIFS(对接源_02物料!$K$4:$K$1203,对接源_02物料!$C$4:$C$1203,$B211,对接源_02物料!$D$4:$D$1203,"周转筐*",对接源_02物料!$L$4:$L$1203,"已收讫")+SUMIFS(对接源_02物料!$K$4:$K$1203,对接源_02物料!$C$4:$C$1203,$B211,对接源_02物料!$D$4:$D$1203,"周转筐*",对接源_02物料!$L$4:$L$1203,"已付款")+SUMIFS(对接源_02物料!$K$4:$K$1203,对接源_02物料!$C$4:$C$1203,$B211,对接源_02物料!$D$4:$D$1203,"次果筐*",对接源_02物料!$L$4:$L$1203,"已收讫")+SUMIFS(对接源_02物料!$K$4:$K$1203,对接源_02物料!$C$4:$C$1203,$B211,对接源_02物料!$D$4:$D$1203,"次果筐*",对接源_02物料!$L$4:$L$1203,"已付款"),2))</f>
        <v/>
      </c>
      <c r="J211" s="18" t="str">
        <f t="shared" si="14"/>
        <v/>
      </c>
      <c r="K211" s="16" t="str">
        <f t="shared" si="15"/>
        <v/>
      </c>
      <c r="L211" s="26"/>
    </row>
    <row r="212" customHeight="1" spans="1:12">
      <c r="A212" s="16" t="str">
        <f t="shared" si="12"/>
        <v/>
      </c>
      <c r="B212" s="11" t="str">
        <f>IFERROR(INDEX(_自动清单!$E$4:$E$303,ROW()-3),"")</f>
        <v/>
      </c>
      <c r="C212" s="18" t="str">
        <f>IF($B212="","",ROUND(SUMIFS(对接源_01水果!$K$4:$K$1203,对接源_01水果!$C$4:$C$1203,$B212,对接源_01水果!$D$4:$D$1203,"成品出库*"),2))</f>
        <v/>
      </c>
      <c r="D212" s="18" t="str">
        <f>IF($B212="","",ROUND(SUMIFS(对接源_01水果!$K$4:$K$1203,对接源_01水果!$C$4:$C$1203,$B212,对接源_01水果!$D$4:$D$1203,"其他代存*"),2))</f>
        <v/>
      </c>
      <c r="E212" s="18" t="str">
        <f>IF($B212="","",ROUND(SUMIFS(对接源_02物料!$K$4:$K$1203,对接源_02物料!$C$4:$C$1203,$B212,对接源_02物料!$D$4:$D$1203,"包装物料*"),2))</f>
        <v/>
      </c>
      <c r="F212" s="18" t="str">
        <f>IF($B212="","",ROUND(SUMIFS(对接源_02物料!$K$4:$K$1203,对接源_02物料!$C$4:$C$1203,$B212,对接源_02物料!$D$4:$D$1203,"周转筐*"),2))</f>
        <v/>
      </c>
      <c r="G212" s="18" t="str">
        <f>IF($B212="","",ROUND(SUMIFS(对接源_02物料!$K$4:$K$1203,对接源_02物料!$C$4:$C$1203,$B212,对接源_02物料!$D$4:$D$1203,"次果筐*"),2))</f>
        <v/>
      </c>
      <c r="H212" s="18" t="str">
        <f t="shared" si="13"/>
        <v/>
      </c>
      <c r="I212" s="18" t="str">
        <f>IF($B212="","",ROUND(SUMIFS(对接源_01水果!$K$4:$K$1203,对接源_01水果!$C$4:$C$1203,$B212,对接源_01水果!$D$4:$D$1203,"成品出库*",对接源_01水果!$L$4:$L$1203,"已收讫")+SUMIFS(对接源_01水果!$K$4:$K$1203,对接源_01水果!$C$4:$C$1203,$B212,对接源_01水果!$D$4:$D$1203,"成品出库*",对接源_01水果!$L$4:$L$1203,"已付款")+SUMIFS(对接源_01水果!$K$4:$K$1203,对接源_01水果!$C$4:$C$1203,$B212,对接源_01水果!$D$4:$D$1203,"其他代存*",对接源_01水果!$L$4:$L$1203,"已收讫")+SUMIFS(对接源_01水果!$K$4:$K$1203,对接源_01水果!$C$4:$C$1203,$B212,对接源_01水果!$D$4:$D$1203,"其他代存*",对接源_01水果!$L$4:$L$1203,"已付款")+SUMIFS(对接源_02物料!$K$4:$K$1203,对接源_02物料!$C$4:$C$1203,$B212,对接源_02物料!$D$4:$D$1203,"包装物料*",对接源_02物料!$L$4:$L$1203,"已收讫")+SUMIFS(对接源_02物料!$K$4:$K$1203,对接源_02物料!$C$4:$C$1203,$B212,对接源_02物料!$D$4:$D$1203,"包装物料*",对接源_02物料!$L$4:$L$1203,"已付款")+SUMIFS(对接源_02物料!$K$4:$K$1203,对接源_02物料!$C$4:$C$1203,$B212,对接源_02物料!$D$4:$D$1203,"周转筐*",对接源_02物料!$L$4:$L$1203,"已收讫")+SUMIFS(对接源_02物料!$K$4:$K$1203,对接源_02物料!$C$4:$C$1203,$B212,对接源_02物料!$D$4:$D$1203,"周转筐*",对接源_02物料!$L$4:$L$1203,"已付款")+SUMIFS(对接源_02物料!$K$4:$K$1203,对接源_02物料!$C$4:$C$1203,$B212,对接源_02物料!$D$4:$D$1203,"次果筐*",对接源_02物料!$L$4:$L$1203,"已收讫")+SUMIFS(对接源_02物料!$K$4:$K$1203,对接源_02物料!$C$4:$C$1203,$B212,对接源_02物料!$D$4:$D$1203,"次果筐*",对接源_02物料!$L$4:$L$1203,"已付款"),2))</f>
        <v/>
      </c>
      <c r="J212" s="18" t="str">
        <f t="shared" si="14"/>
        <v/>
      </c>
      <c r="K212" s="16" t="str">
        <f t="shared" si="15"/>
        <v/>
      </c>
      <c r="L212" s="26"/>
    </row>
    <row r="213" customHeight="1" spans="1:12">
      <c r="A213" s="16" t="str">
        <f t="shared" si="12"/>
        <v/>
      </c>
      <c r="B213" s="11" t="str">
        <f>IFERROR(INDEX(_自动清单!$E$4:$E$303,ROW()-3),"")</f>
        <v/>
      </c>
      <c r="C213" s="18" t="str">
        <f>IF($B213="","",ROUND(SUMIFS(对接源_01水果!$K$4:$K$1203,对接源_01水果!$C$4:$C$1203,$B213,对接源_01水果!$D$4:$D$1203,"成品出库*"),2))</f>
        <v/>
      </c>
      <c r="D213" s="18" t="str">
        <f>IF($B213="","",ROUND(SUMIFS(对接源_01水果!$K$4:$K$1203,对接源_01水果!$C$4:$C$1203,$B213,对接源_01水果!$D$4:$D$1203,"其他代存*"),2))</f>
        <v/>
      </c>
      <c r="E213" s="18" t="str">
        <f>IF($B213="","",ROUND(SUMIFS(对接源_02物料!$K$4:$K$1203,对接源_02物料!$C$4:$C$1203,$B213,对接源_02物料!$D$4:$D$1203,"包装物料*"),2))</f>
        <v/>
      </c>
      <c r="F213" s="18" t="str">
        <f>IF($B213="","",ROUND(SUMIFS(对接源_02物料!$K$4:$K$1203,对接源_02物料!$C$4:$C$1203,$B213,对接源_02物料!$D$4:$D$1203,"周转筐*"),2))</f>
        <v/>
      </c>
      <c r="G213" s="18" t="str">
        <f>IF($B213="","",ROUND(SUMIFS(对接源_02物料!$K$4:$K$1203,对接源_02物料!$C$4:$C$1203,$B213,对接源_02物料!$D$4:$D$1203,"次果筐*"),2))</f>
        <v/>
      </c>
      <c r="H213" s="18" t="str">
        <f t="shared" si="13"/>
        <v/>
      </c>
      <c r="I213" s="18" t="str">
        <f>IF($B213="","",ROUND(SUMIFS(对接源_01水果!$K$4:$K$1203,对接源_01水果!$C$4:$C$1203,$B213,对接源_01水果!$D$4:$D$1203,"成品出库*",对接源_01水果!$L$4:$L$1203,"已收讫")+SUMIFS(对接源_01水果!$K$4:$K$1203,对接源_01水果!$C$4:$C$1203,$B213,对接源_01水果!$D$4:$D$1203,"成品出库*",对接源_01水果!$L$4:$L$1203,"已付款")+SUMIFS(对接源_01水果!$K$4:$K$1203,对接源_01水果!$C$4:$C$1203,$B213,对接源_01水果!$D$4:$D$1203,"其他代存*",对接源_01水果!$L$4:$L$1203,"已收讫")+SUMIFS(对接源_01水果!$K$4:$K$1203,对接源_01水果!$C$4:$C$1203,$B213,对接源_01水果!$D$4:$D$1203,"其他代存*",对接源_01水果!$L$4:$L$1203,"已付款")+SUMIFS(对接源_02物料!$K$4:$K$1203,对接源_02物料!$C$4:$C$1203,$B213,对接源_02物料!$D$4:$D$1203,"包装物料*",对接源_02物料!$L$4:$L$1203,"已收讫")+SUMIFS(对接源_02物料!$K$4:$K$1203,对接源_02物料!$C$4:$C$1203,$B213,对接源_02物料!$D$4:$D$1203,"包装物料*",对接源_02物料!$L$4:$L$1203,"已付款")+SUMIFS(对接源_02物料!$K$4:$K$1203,对接源_02物料!$C$4:$C$1203,$B213,对接源_02物料!$D$4:$D$1203,"周转筐*",对接源_02物料!$L$4:$L$1203,"已收讫")+SUMIFS(对接源_02物料!$K$4:$K$1203,对接源_02物料!$C$4:$C$1203,$B213,对接源_02物料!$D$4:$D$1203,"周转筐*",对接源_02物料!$L$4:$L$1203,"已付款")+SUMIFS(对接源_02物料!$K$4:$K$1203,对接源_02物料!$C$4:$C$1203,$B213,对接源_02物料!$D$4:$D$1203,"次果筐*",对接源_02物料!$L$4:$L$1203,"已收讫")+SUMIFS(对接源_02物料!$K$4:$K$1203,对接源_02物料!$C$4:$C$1203,$B213,对接源_02物料!$D$4:$D$1203,"次果筐*",对接源_02物料!$L$4:$L$1203,"已付款"),2))</f>
        <v/>
      </c>
      <c r="J213" s="18" t="str">
        <f t="shared" si="14"/>
        <v/>
      </c>
      <c r="K213" s="16" t="str">
        <f t="shared" si="15"/>
        <v/>
      </c>
      <c r="L213" s="26"/>
    </row>
    <row r="214" customHeight="1" spans="1:12">
      <c r="A214" s="16" t="str">
        <f t="shared" si="12"/>
        <v/>
      </c>
      <c r="B214" s="11" t="str">
        <f>IFERROR(INDEX(_自动清单!$E$4:$E$303,ROW()-3),"")</f>
        <v/>
      </c>
      <c r="C214" s="18" t="str">
        <f>IF($B214="","",ROUND(SUMIFS(对接源_01水果!$K$4:$K$1203,对接源_01水果!$C$4:$C$1203,$B214,对接源_01水果!$D$4:$D$1203,"成品出库*"),2))</f>
        <v/>
      </c>
      <c r="D214" s="18" t="str">
        <f>IF($B214="","",ROUND(SUMIFS(对接源_01水果!$K$4:$K$1203,对接源_01水果!$C$4:$C$1203,$B214,对接源_01水果!$D$4:$D$1203,"其他代存*"),2))</f>
        <v/>
      </c>
      <c r="E214" s="18" t="str">
        <f>IF($B214="","",ROUND(SUMIFS(对接源_02物料!$K$4:$K$1203,对接源_02物料!$C$4:$C$1203,$B214,对接源_02物料!$D$4:$D$1203,"包装物料*"),2))</f>
        <v/>
      </c>
      <c r="F214" s="18" t="str">
        <f>IF($B214="","",ROUND(SUMIFS(对接源_02物料!$K$4:$K$1203,对接源_02物料!$C$4:$C$1203,$B214,对接源_02物料!$D$4:$D$1203,"周转筐*"),2))</f>
        <v/>
      </c>
      <c r="G214" s="18" t="str">
        <f>IF($B214="","",ROUND(SUMIFS(对接源_02物料!$K$4:$K$1203,对接源_02物料!$C$4:$C$1203,$B214,对接源_02物料!$D$4:$D$1203,"次果筐*"),2))</f>
        <v/>
      </c>
      <c r="H214" s="18" t="str">
        <f t="shared" si="13"/>
        <v/>
      </c>
      <c r="I214" s="18" t="str">
        <f>IF($B214="","",ROUND(SUMIFS(对接源_01水果!$K$4:$K$1203,对接源_01水果!$C$4:$C$1203,$B214,对接源_01水果!$D$4:$D$1203,"成品出库*",对接源_01水果!$L$4:$L$1203,"已收讫")+SUMIFS(对接源_01水果!$K$4:$K$1203,对接源_01水果!$C$4:$C$1203,$B214,对接源_01水果!$D$4:$D$1203,"成品出库*",对接源_01水果!$L$4:$L$1203,"已付款")+SUMIFS(对接源_01水果!$K$4:$K$1203,对接源_01水果!$C$4:$C$1203,$B214,对接源_01水果!$D$4:$D$1203,"其他代存*",对接源_01水果!$L$4:$L$1203,"已收讫")+SUMIFS(对接源_01水果!$K$4:$K$1203,对接源_01水果!$C$4:$C$1203,$B214,对接源_01水果!$D$4:$D$1203,"其他代存*",对接源_01水果!$L$4:$L$1203,"已付款")+SUMIFS(对接源_02物料!$K$4:$K$1203,对接源_02物料!$C$4:$C$1203,$B214,对接源_02物料!$D$4:$D$1203,"包装物料*",对接源_02物料!$L$4:$L$1203,"已收讫")+SUMIFS(对接源_02物料!$K$4:$K$1203,对接源_02物料!$C$4:$C$1203,$B214,对接源_02物料!$D$4:$D$1203,"包装物料*",对接源_02物料!$L$4:$L$1203,"已付款")+SUMIFS(对接源_02物料!$K$4:$K$1203,对接源_02物料!$C$4:$C$1203,$B214,对接源_02物料!$D$4:$D$1203,"周转筐*",对接源_02物料!$L$4:$L$1203,"已收讫")+SUMIFS(对接源_02物料!$K$4:$K$1203,对接源_02物料!$C$4:$C$1203,$B214,对接源_02物料!$D$4:$D$1203,"周转筐*",对接源_02物料!$L$4:$L$1203,"已付款")+SUMIFS(对接源_02物料!$K$4:$K$1203,对接源_02物料!$C$4:$C$1203,$B214,对接源_02物料!$D$4:$D$1203,"次果筐*",对接源_02物料!$L$4:$L$1203,"已收讫")+SUMIFS(对接源_02物料!$K$4:$K$1203,对接源_02物料!$C$4:$C$1203,$B214,对接源_02物料!$D$4:$D$1203,"次果筐*",对接源_02物料!$L$4:$L$1203,"已付款"),2))</f>
        <v/>
      </c>
      <c r="J214" s="18" t="str">
        <f t="shared" si="14"/>
        <v/>
      </c>
      <c r="K214" s="16" t="str">
        <f t="shared" si="15"/>
        <v/>
      </c>
      <c r="L214" s="26"/>
    </row>
    <row r="215" customHeight="1" spans="1:12">
      <c r="A215" s="16" t="str">
        <f t="shared" si="12"/>
        <v/>
      </c>
      <c r="B215" s="11" t="str">
        <f>IFERROR(INDEX(_自动清单!$E$4:$E$303,ROW()-3),"")</f>
        <v/>
      </c>
      <c r="C215" s="18" t="str">
        <f>IF($B215="","",ROUND(SUMIFS(对接源_01水果!$K$4:$K$1203,对接源_01水果!$C$4:$C$1203,$B215,对接源_01水果!$D$4:$D$1203,"成品出库*"),2))</f>
        <v/>
      </c>
      <c r="D215" s="18" t="str">
        <f>IF($B215="","",ROUND(SUMIFS(对接源_01水果!$K$4:$K$1203,对接源_01水果!$C$4:$C$1203,$B215,对接源_01水果!$D$4:$D$1203,"其他代存*"),2))</f>
        <v/>
      </c>
      <c r="E215" s="18" t="str">
        <f>IF($B215="","",ROUND(SUMIFS(对接源_02物料!$K$4:$K$1203,对接源_02物料!$C$4:$C$1203,$B215,对接源_02物料!$D$4:$D$1203,"包装物料*"),2))</f>
        <v/>
      </c>
      <c r="F215" s="18" t="str">
        <f>IF($B215="","",ROUND(SUMIFS(对接源_02物料!$K$4:$K$1203,对接源_02物料!$C$4:$C$1203,$B215,对接源_02物料!$D$4:$D$1203,"周转筐*"),2))</f>
        <v/>
      </c>
      <c r="G215" s="18" t="str">
        <f>IF($B215="","",ROUND(SUMIFS(对接源_02物料!$K$4:$K$1203,对接源_02物料!$C$4:$C$1203,$B215,对接源_02物料!$D$4:$D$1203,"次果筐*"),2))</f>
        <v/>
      </c>
      <c r="H215" s="18" t="str">
        <f t="shared" si="13"/>
        <v/>
      </c>
      <c r="I215" s="18" t="str">
        <f>IF($B215="","",ROUND(SUMIFS(对接源_01水果!$K$4:$K$1203,对接源_01水果!$C$4:$C$1203,$B215,对接源_01水果!$D$4:$D$1203,"成品出库*",对接源_01水果!$L$4:$L$1203,"已收讫")+SUMIFS(对接源_01水果!$K$4:$K$1203,对接源_01水果!$C$4:$C$1203,$B215,对接源_01水果!$D$4:$D$1203,"成品出库*",对接源_01水果!$L$4:$L$1203,"已付款")+SUMIFS(对接源_01水果!$K$4:$K$1203,对接源_01水果!$C$4:$C$1203,$B215,对接源_01水果!$D$4:$D$1203,"其他代存*",对接源_01水果!$L$4:$L$1203,"已收讫")+SUMIFS(对接源_01水果!$K$4:$K$1203,对接源_01水果!$C$4:$C$1203,$B215,对接源_01水果!$D$4:$D$1203,"其他代存*",对接源_01水果!$L$4:$L$1203,"已付款")+SUMIFS(对接源_02物料!$K$4:$K$1203,对接源_02物料!$C$4:$C$1203,$B215,对接源_02物料!$D$4:$D$1203,"包装物料*",对接源_02物料!$L$4:$L$1203,"已收讫")+SUMIFS(对接源_02物料!$K$4:$K$1203,对接源_02物料!$C$4:$C$1203,$B215,对接源_02物料!$D$4:$D$1203,"包装物料*",对接源_02物料!$L$4:$L$1203,"已付款")+SUMIFS(对接源_02物料!$K$4:$K$1203,对接源_02物料!$C$4:$C$1203,$B215,对接源_02物料!$D$4:$D$1203,"周转筐*",对接源_02物料!$L$4:$L$1203,"已收讫")+SUMIFS(对接源_02物料!$K$4:$K$1203,对接源_02物料!$C$4:$C$1203,$B215,对接源_02物料!$D$4:$D$1203,"周转筐*",对接源_02物料!$L$4:$L$1203,"已付款")+SUMIFS(对接源_02物料!$K$4:$K$1203,对接源_02物料!$C$4:$C$1203,$B215,对接源_02物料!$D$4:$D$1203,"次果筐*",对接源_02物料!$L$4:$L$1203,"已收讫")+SUMIFS(对接源_02物料!$K$4:$K$1203,对接源_02物料!$C$4:$C$1203,$B215,对接源_02物料!$D$4:$D$1203,"次果筐*",对接源_02物料!$L$4:$L$1203,"已付款"),2))</f>
        <v/>
      </c>
      <c r="J215" s="18" t="str">
        <f t="shared" si="14"/>
        <v/>
      </c>
      <c r="K215" s="16" t="str">
        <f t="shared" si="15"/>
        <v/>
      </c>
      <c r="L215" s="26"/>
    </row>
    <row r="216" customHeight="1" spans="1:12">
      <c r="A216" s="16" t="str">
        <f t="shared" si="12"/>
        <v/>
      </c>
      <c r="B216" s="11" t="str">
        <f>IFERROR(INDEX(_自动清单!$E$4:$E$303,ROW()-3),"")</f>
        <v/>
      </c>
      <c r="C216" s="18" t="str">
        <f>IF($B216="","",ROUND(SUMIFS(对接源_01水果!$K$4:$K$1203,对接源_01水果!$C$4:$C$1203,$B216,对接源_01水果!$D$4:$D$1203,"成品出库*"),2))</f>
        <v/>
      </c>
      <c r="D216" s="18" t="str">
        <f>IF($B216="","",ROUND(SUMIFS(对接源_01水果!$K$4:$K$1203,对接源_01水果!$C$4:$C$1203,$B216,对接源_01水果!$D$4:$D$1203,"其他代存*"),2))</f>
        <v/>
      </c>
      <c r="E216" s="18" t="str">
        <f>IF($B216="","",ROUND(SUMIFS(对接源_02物料!$K$4:$K$1203,对接源_02物料!$C$4:$C$1203,$B216,对接源_02物料!$D$4:$D$1203,"包装物料*"),2))</f>
        <v/>
      </c>
      <c r="F216" s="18" t="str">
        <f>IF($B216="","",ROUND(SUMIFS(对接源_02物料!$K$4:$K$1203,对接源_02物料!$C$4:$C$1203,$B216,对接源_02物料!$D$4:$D$1203,"周转筐*"),2))</f>
        <v/>
      </c>
      <c r="G216" s="18" t="str">
        <f>IF($B216="","",ROUND(SUMIFS(对接源_02物料!$K$4:$K$1203,对接源_02物料!$C$4:$C$1203,$B216,对接源_02物料!$D$4:$D$1203,"次果筐*"),2))</f>
        <v/>
      </c>
      <c r="H216" s="18" t="str">
        <f t="shared" si="13"/>
        <v/>
      </c>
      <c r="I216" s="18" t="str">
        <f>IF($B216="","",ROUND(SUMIFS(对接源_01水果!$K$4:$K$1203,对接源_01水果!$C$4:$C$1203,$B216,对接源_01水果!$D$4:$D$1203,"成品出库*",对接源_01水果!$L$4:$L$1203,"已收讫")+SUMIFS(对接源_01水果!$K$4:$K$1203,对接源_01水果!$C$4:$C$1203,$B216,对接源_01水果!$D$4:$D$1203,"成品出库*",对接源_01水果!$L$4:$L$1203,"已付款")+SUMIFS(对接源_01水果!$K$4:$K$1203,对接源_01水果!$C$4:$C$1203,$B216,对接源_01水果!$D$4:$D$1203,"其他代存*",对接源_01水果!$L$4:$L$1203,"已收讫")+SUMIFS(对接源_01水果!$K$4:$K$1203,对接源_01水果!$C$4:$C$1203,$B216,对接源_01水果!$D$4:$D$1203,"其他代存*",对接源_01水果!$L$4:$L$1203,"已付款")+SUMIFS(对接源_02物料!$K$4:$K$1203,对接源_02物料!$C$4:$C$1203,$B216,对接源_02物料!$D$4:$D$1203,"包装物料*",对接源_02物料!$L$4:$L$1203,"已收讫")+SUMIFS(对接源_02物料!$K$4:$K$1203,对接源_02物料!$C$4:$C$1203,$B216,对接源_02物料!$D$4:$D$1203,"包装物料*",对接源_02物料!$L$4:$L$1203,"已付款")+SUMIFS(对接源_02物料!$K$4:$K$1203,对接源_02物料!$C$4:$C$1203,$B216,对接源_02物料!$D$4:$D$1203,"周转筐*",对接源_02物料!$L$4:$L$1203,"已收讫")+SUMIFS(对接源_02物料!$K$4:$K$1203,对接源_02物料!$C$4:$C$1203,$B216,对接源_02物料!$D$4:$D$1203,"周转筐*",对接源_02物料!$L$4:$L$1203,"已付款")+SUMIFS(对接源_02物料!$K$4:$K$1203,对接源_02物料!$C$4:$C$1203,$B216,对接源_02物料!$D$4:$D$1203,"次果筐*",对接源_02物料!$L$4:$L$1203,"已收讫")+SUMIFS(对接源_02物料!$K$4:$K$1203,对接源_02物料!$C$4:$C$1203,$B216,对接源_02物料!$D$4:$D$1203,"次果筐*",对接源_02物料!$L$4:$L$1203,"已付款"),2))</f>
        <v/>
      </c>
      <c r="J216" s="18" t="str">
        <f t="shared" si="14"/>
        <v/>
      </c>
      <c r="K216" s="16" t="str">
        <f t="shared" si="15"/>
        <v/>
      </c>
      <c r="L216" s="26"/>
    </row>
    <row r="217" customHeight="1" spans="1:12">
      <c r="A217" s="16" t="str">
        <f t="shared" si="12"/>
        <v/>
      </c>
      <c r="B217" s="11" t="str">
        <f>IFERROR(INDEX(_自动清单!$E$4:$E$303,ROW()-3),"")</f>
        <v/>
      </c>
      <c r="C217" s="18" t="str">
        <f>IF($B217="","",ROUND(SUMIFS(对接源_01水果!$K$4:$K$1203,对接源_01水果!$C$4:$C$1203,$B217,对接源_01水果!$D$4:$D$1203,"成品出库*"),2))</f>
        <v/>
      </c>
      <c r="D217" s="18" t="str">
        <f>IF($B217="","",ROUND(SUMIFS(对接源_01水果!$K$4:$K$1203,对接源_01水果!$C$4:$C$1203,$B217,对接源_01水果!$D$4:$D$1203,"其他代存*"),2))</f>
        <v/>
      </c>
      <c r="E217" s="18" t="str">
        <f>IF($B217="","",ROUND(SUMIFS(对接源_02物料!$K$4:$K$1203,对接源_02物料!$C$4:$C$1203,$B217,对接源_02物料!$D$4:$D$1203,"包装物料*"),2))</f>
        <v/>
      </c>
      <c r="F217" s="18" t="str">
        <f>IF($B217="","",ROUND(SUMIFS(对接源_02物料!$K$4:$K$1203,对接源_02物料!$C$4:$C$1203,$B217,对接源_02物料!$D$4:$D$1203,"周转筐*"),2))</f>
        <v/>
      </c>
      <c r="G217" s="18" t="str">
        <f>IF($B217="","",ROUND(SUMIFS(对接源_02物料!$K$4:$K$1203,对接源_02物料!$C$4:$C$1203,$B217,对接源_02物料!$D$4:$D$1203,"次果筐*"),2))</f>
        <v/>
      </c>
      <c r="H217" s="18" t="str">
        <f t="shared" si="13"/>
        <v/>
      </c>
      <c r="I217" s="18" t="str">
        <f>IF($B217="","",ROUND(SUMIFS(对接源_01水果!$K$4:$K$1203,对接源_01水果!$C$4:$C$1203,$B217,对接源_01水果!$D$4:$D$1203,"成品出库*",对接源_01水果!$L$4:$L$1203,"已收讫")+SUMIFS(对接源_01水果!$K$4:$K$1203,对接源_01水果!$C$4:$C$1203,$B217,对接源_01水果!$D$4:$D$1203,"成品出库*",对接源_01水果!$L$4:$L$1203,"已付款")+SUMIFS(对接源_01水果!$K$4:$K$1203,对接源_01水果!$C$4:$C$1203,$B217,对接源_01水果!$D$4:$D$1203,"其他代存*",对接源_01水果!$L$4:$L$1203,"已收讫")+SUMIFS(对接源_01水果!$K$4:$K$1203,对接源_01水果!$C$4:$C$1203,$B217,对接源_01水果!$D$4:$D$1203,"其他代存*",对接源_01水果!$L$4:$L$1203,"已付款")+SUMIFS(对接源_02物料!$K$4:$K$1203,对接源_02物料!$C$4:$C$1203,$B217,对接源_02物料!$D$4:$D$1203,"包装物料*",对接源_02物料!$L$4:$L$1203,"已收讫")+SUMIFS(对接源_02物料!$K$4:$K$1203,对接源_02物料!$C$4:$C$1203,$B217,对接源_02物料!$D$4:$D$1203,"包装物料*",对接源_02物料!$L$4:$L$1203,"已付款")+SUMIFS(对接源_02物料!$K$4:$K$1203,对接源_02物料!$C$4:$C$1203,$B217,对接源_02物料!$D$4:$D$1203,"周转筐*",对接源_02物料!$L$4:$L$1203,"已收讫")+SUMIFS(对接源_02物料!$K$4:$K$1203,对接源_02物料!$C$4:$C$1203,$B217,对接源_02物料!$D$4:$D$1203,"周转筐*",对接源_02物料!$L$4:$L$1203,"已付款")+SUMIFS(对接源_02物料!$K$4:$K$1203,对接源_02物料!$C$4:$C$1203,$B217,对接源_02物料!$D$4:$D$1203,"次果筐*",对接源_02物料!$L$4:$L$1203,"已收讫")+SUMIFS(对接源_02物料!$K$4:$K$1203,对接源_02物料!$C$4:$C$1203,$B217,对接源_02物料!$D$4:$D$1203,"次果筐*",对接源_02物料!$L$4:$L$1203,"已付款"),2))</f>
        <v/>
      </c>
      <c r="J217" s="18" t="str">
        <f t="shared" si="14"/>
        <v/>
      </c>
      <c r="K217" s="16" t="str">
        <f t="shared" si="15"/>
        <v/>
      </c>
      <c r="L217" s="26"/>
    </row>
    <row r="218" customHeight="1" spans="1:12">
      <c r="A218" s="16" t="str">
        <f t="shared" si="12"/>
        <v/>
      </c>
      <c r="B218" s="11" t="str">
        <f>IFERROR(INDEX(_自动清单!$E$4:$E$303,ROW()-3),"")</f>
        <v/>
      </c>
      <c r="C218" s="18" t="str">
        <f>IF($B218="","",ROUND(SUMIFS(对接源_01水果!$K$4:$K$1203,对接源_01水果!$C$4:$C$1203,$B218,对接源_01水果!$D$4:$D$1203,"成品出库*"),2))</f>
        <v/>
      </c>
      <c r="D218" s="18" t="str">
        <f>IF($B218="","",ROUND(SUMIFS(对接源_01水果!$K$4:$K$1203,对接源_01水果!$C$4:$C$1203,$B218,对接源_01水果!$D$4:$D$1203,"其他代存*"),2))</f>
        <v/>
      </c>
      <c r="E218" s="18" t="str">
        <f>IF($B218="","",ROUND(SUMIFS(对接源_02物料!$K$4:$K$1203,对接源_02物料!$C$4:$C$1203,$B218,对接源_02物料!$D$4:$D$1203,"包装物料*"),2))</f>
        <v/>
      </c>
      <c r="F218" s="18" t="str">
        <f>IF($B218="","",ROUND(SUMIFS(对接源_02物料!$K$4:$K$1203,对接源_02物料!$C$4:$C$1203,$B218,对接源_02物料!$D$4:$D$1203,"周转筐*"),2))</f>
        <v/>
      </c>
      <c r="G218" s="18" t="str">
        <f>IF($B218="","",ROUND(SUMIFS(对接源_02物料!$K$4:$K$1203,对接源_02物料!$C$4:$C$1203,$B218,对接源_02物料!$D$4:$D$1203,"次果筐*"),2))</f>
        <v/>
      </c>
      <c r="H218" s="18" t="str">
        <f t="shared" si="13"/>
        <v/>
      </c>
      <c r="I218" s="18" t="str">
        <f>IF($B218="","",ROUND(SUMIFS(对接源_01水果!$K$4:$K$1203,对接源_01水果!$C$4:$C$1203,$B218,对接源_01水果!$D$4:$D$1203,"成品出库*",对接源_01水果!$L$4:$L$1203,"已收讫")+SUMIFS(对接源_01水果!$K$4:$K$1203,对接源_01水果!$C$4:$C$1203,$B218,对接源_01水果!$D$4:$D$1203,"成品出库*",对接源_01水果!$L$4:$L$1203,"已付款")+SUMIFS(对接源_01水果!$K$4:$K$1203,对接源_01水果!$C$4:$C$1203,$B218,对接源_01水果!$D$4:$D$1203,"其他代存*",对接源_01水果!$L$4:$L$1203,"已收讫")+SUMIFS(对接源_01水果!$K$4:$K$1203,对接源_01水果!$C$4:$C$1203,$B218,对接源_01水果!$D$4:$D$1203,"其他代存*",对接源_01水果!$L$4:$L$1203,"已付款")+SUMIFS(对接源_02物料!$K$4:$K$1203,对接源_02物料!$C$4:$C$1203,$B218,对接源_02物料!$D$4:$D$1203,"包装物料*",对接源_02物料!$L$4:$L$1203,"已收讫")+SUMIFS(对接源_02物料!$K$4:$K$1203,对接源_02物料!$C$4:$C$1203,$B218,对接源_02物料!$D$4:$D$1203,"包装物料*",对接源_02物料!$L$4:$L$1203,"已付款")+SUMIFS(对接源_02物料!$K$4:$K$1203,对接源_02物料!$C$4:$C$1203,$B218,对接源_02物料!$D$4:$D$1203,"周转筐*",对接源_02物料!$L$4:$L$1203,"已收讫")+SUMIFS(对接源_02物料!$K$4:$K$1203,对接源_02物料!$C$4:$C$1203,$B218,对接源_02物料!$D$4:$D$1203,"周转筐*",对接源_02物料!$L$4:$L$1203,"已付款")+SUMIFS(对接源_02物料!$K$4:$K$1203,对接源_02物料!$C$4:$C$1203,$B218,对接源_02物料!$D$4:$D$1203,"次果筐*",对接源_02物料!$L$4:$L$1203,"已收讫")+SUMIFS(对接源_02物料!$K$4:$K$1203,对接源_02物料!$C$4:$C$1203,$B218,对接源_02物料!$D$4:$D$1203,"次果筐*",对接源_02物料!$L$4:$L$1203,"已付款"),2))</f>
        <v/>
      </c>
      <c r="J218" s="18" t="str">
        <f t="shared" si="14"/>
        <v/>
      </c>
      <c r="K218" s="16" t="str">
        <f t="shared" si="15"/>
        <v/>
      </c>
      <c r="L218" s="26"/>
    </row>
    <row r="219" customHeight="1" spans="1:12">
      <c r="A219" s="16" t="str">
        <f t="shared" si="12"/>
        <v/>
      </c>
      <c r="B219" s="11" t="str">
        <f>IFERROR(INDEX(_自动清单!$E$4:$E$303,ROW()-3),"")</f>
        <v/>
      </c>
      <c r="C219" s="18" t="str">
        <f>IF($B219="","",ROUND(SUMIFS(对接源_01水果!$K$4:$K$1203,对接源_01水果!$C$4:$C$1203,$B219,对接源_01水果!$D$4:$D$1203,"成品出库*"),2))</f>
        <v/>
      </c>
      <c r="D219" s="18" t="str">
        <f>IF($B219="","",ROUND(SUMIFS(对接源_01水果!$K$4:$K$1203,对接源_01水果!$C$4:$C$1203,$B219,对接源_01水果!$D$4:$D$1203,"其他代存*"),2))</f>
        <v/>
      </c>
      <c r="E219" s="18" t="str">
        <f>IF($B219="","",ROUND(SUMIFS(对接源_02物料!$K$4:$K$1203,对接源_02物料!$C$4:$C$1203,$B219,对接源_02物料!$D$4:$D$1203,"包装物料*"),2))</f>
        <v/>
      </c>
      <c r="F219" s="18" t="str">
        <f>IF($B219="","",ROUND(SUMIFS(对接源_02物料!$K$4:$K$1203,对接源_02物料!$C$4:$C$1203,$B219,对接源_02物料!$D$4:$D$1203,"周转筐*"),2))</f>
        <v/>
      </c>
      <c r="G219" s="18" t="str">
        <f>IF($B219="","",ROUND(SUMIFS(对接源_02物料!$K$4:$K$1203,对接源_02物料!$C$4:$C$1203,$B219,对接源_02物料!$D$4:$D$1203,"次果筐*"),2))</f>
        <v/>
      </c>
      <c r="H219" s="18" t="str">
        <f t="shared" si="13"/>
        <v/>
      </c>
      <c r="I219" s="18" t="str">
        <f>IF($B219="","",ROUND(SUMIFS(对接源_01水果!$K$4:$K$1203,对接源_01水果!$C$4:$C$1203,$B219,对接源_01水果!$D$4:$D$1203,"成品出库*",对接源_01水果!$L$4:$L$1203,"已收讫")+SUMIFS(对接源_01水果!$K$4:$K$1203,对接源_01水果!$C$4:$C$1203,$B219,对接源_01水果!$D$4:$D$1203,"成品出库*",对接源_01水果!$L$4:$L$1203,"已付款")+SUMIFS(对接源_01水果!$K$4:$K$1203,对接源_01水果!$C$4:$C$1203,$B219,对接源_01水果!$D$4:$D$1203,"其他代存*",对接源_01水果!$L$4:$L$1203,"已收讫")+SUMIFS(对接源_01水果!$K$4:$K$1203,对接源_01水果!$C$4:$C$1203,$B219,对接源_01水果!$D$4:$D$1203,"其他代存*",对接源_01水果!$L$4:$L$1203,"已付款")+SUMIFS(对接源_02物料!$K$4:$K$1203,对接源_02物料!$C$4:$C$1203,$B219,对接源_02物料!$D$4:$D$1203,"包装物料*",对接源_02物料!$L$4:$L$1203,"已收讫")+SUMIFS(对接源_02物料!$K$4:$K$1203,对接源_02物料!$C$4:$C$1203,$B219,对接源_02物料!$D$4:$D$1203,"包装物料*",对接源_02物料!$L$4:$L$1203,"已付款")+SUMIFS(对接源_02物料!$K$4:$K$1203,对接源_02物料!$C$4:$C$1203,$B219,对接源_02物料!$D$4:$D$1203,"周转筐*",对接源_02物料!$L$4:$L$1203,"已收讫")+SUMIFS(对接源_02物料!$K$4:$K$1203,对接源_02物料!$C$4:$C$1203,$B219,对接源_02物料!$D$4:$D$1203,"周转筐*",对接源_02物料!$L$4:$L$1203,"已付款")+SUMIFS(对接源_02物料!$K$4:$K$1203,对接源_02物料!$C$4:$C$1203,$B219,对接源_02物料!$D$4:$D$1203,"次果筐*",对接源_02物料!$L$4:$L$1203,"已收讫")+SUMIFS(对接源_02物料!$K$4:$K$1203,对接源_02物料!$C$4:$C$1203,$B219,对接源_02物料!$D$4:$D$1203,"次果筐*",对接源_02物料!$L$4:$L$1203,"已付款"),2))</f>
        <v/>
      </c>
      <c r="J219" s="18" t="str">
        <f t="shared" si="14"/>
        <v/>
      </c>
      <c r="K219" s="16" t="str">
        <f t="shared" si="15"/>
        <v/>
      </c>
      <c r="L219" s="26"/>
    </row>
    <row r="220" customHeight="1" spans="1:12">
      <c r="A220" s="16" t="str">
        <f t="shared" si="12"/>
        <v/>
      </c>
      <c r="B220" s="11" t="str">
        <f>IFERROR(INDEX(_自动清单!$E$4:$E$303,ROW()-3),"")</f>
        <v/>
      </c>
      <c r="C220" s="18" t="str">
        <f>IF($B220="","",ROUND(SUMIFS(对接源_01水果!$K$4:$K$1203,对接源_01水果!$C$4:$C$1203,$B220,对接源_01水果!$D$4:$D$1203,"成品出库*"),2))</f>
        <v/>
      </c>
      <c r="D220" s="18" t="str">
        <f>IF($B220="","",ROUND(SUMIFS(对接源_01水果!$K$4:$K$1203,对接源_01水果!$C$4:$C$1203,$B220,对接源_01水果!$D$4:$D$1203,"其他代存*"),2))</f>
        <v/>
      </c>
      <c r="E220" s="18" t="str">
        <f>IF($B220="","",ROUND(SUMIFS(对接源_02物料!$K$4:$K$1203,对接源_02物料!$C$4:$C$1203,$B220,对接源_02物料!$D$4:$D$1203,"包装物料*"),2))</f>
        <v/>
      </c>
      <c r="F220" s="18" t="str">
        <f>IF($B220="","",ROUND(SUMIFS(对接源_02物料!$K$4:$K$1203,对接源_02物料!$C$4:$C$1203,$B220,对接源_02物料!$D$4:$D$1203,"周转筐*"),2))</f>
        <v/>
      </c>
      <c r="G220" s="18" t="str">
        <f>IF($B220="","",ROUND(SUMIFS(对接源_02物料!$K$4:$K$1203,对接源_02物料!$C$4:$C$1203,$B220,对接源_02物料!$D$4:$D$1203,"次果筐*"),2))</f>
        <v/>
      </c>
      <c r="H220" s="18" t="str">
        <f t="shared" si="13"/>
        <v/>
      </c>
      <c r="I220" s="18" t="str">
        <f>IF($B220="","",ROUND(SUMIFS(对接源_01水果!$K$4:$K$1203,对接源_01水果!$C$4:$C$1203,$B220,对接源_01水果!$D$4:$D$1203,"成品出库*",对接源_01水果!$L$4:$L$1203,"已收讫")+SUMIFS(对接源_01水果!$K$4:$K$1203,对接源_01水果!$C$4:$C$1203,$B220,对接源_01水果!$D$4:$D$1203,"成品出库*",对接源_01水果!$L$4:$L$1203,"已付款")+SUMIFS(对接源_01水果!$K$4:$K$1203,对接源_01水果!$C$4:$C$1203,$B220,对接源_01水果!$D$4:$D$1203,"其他代存*",对接源_01水果!$L$4:$L$1203,"已收讫")+SUMIFS(对接源_01水果!$K$4:$K$1203,对接源_01水果!$C$4:$C$1203,$B220,对接源_01水果!$D$4:$D$1203,"其他代存*",对接源_01水果!$L$4:$L$1203,"已付款")+SUMIFS(对接源_02物料!$K$4:$K$1203,对接源_02物料!$C$4:$C$1203,$B220,对接源_02物料!$D$4:$D$1203,"包装物料*",对接源_02物料!$L$4:$L$1203,"已收讫")+SUMIFS(对接源_02物料!$K$4:$K$1203,对接源_02物料!$C$4:$C$1203,$B220,对接源_02物料!$D$4:$D$1203,"包装物料*",对接源_02物料!$L$4:$L$1203,"已付款")+SUMIFS(对接源_02物料!$K$4:$K$1203,对接源_02物料!$C$4:$C$1203,$B220,对接源_02物料!$D$4:$D$1203,"周转筐*",对接源_02物料!$L$4:$L$1203,"已收讫")+SUMIFS(对接源_02物料!$K$4:$K$1203,对接源_02物料!$C$4:$C$1203,$B220,对接源_02物料!$D$4:$D$1203,"周转筐*",对接源_02物料!$L$4:$L$1203,"已付款")+SUMIFS(对接源_02物料!$K$4:$K$1203,对接源_02物料!$C$4:$C$1203,$B220,对接源_02物料!$D$4:$D$1203,"次果筐*",对接源_02物料!$L$4:$L$1203,"已收讫")+SUMIFS(对接源_02物料!$K$4:$K$1203,对接源_02物料!$C$4:$C$1203,$B220,对接源_02物料!$D$4:$D$1203,"次果筐*",对接源_02物料!$L$4:$L$1203,"已付款"),2))</f>
        <v/>
      </c>
      <c r="J220" s="18" t="str">
        <f t="shared" si="14"/>
        <v/>
      </c>
      <c r="K220" s="16" t="str">
        <f t="shared" si="15"/>
        <v/>
      </c>
      <c r="L220" s="26"/>
    </row>
    <row r="221" customHeight="1" spans="1:12">
      <c r="A221" s="16" t="str">
        <f t="shared" si="12"/>
        <v/>
      </c>
      <c r="B221" s="11" t="str">
        <f>IFERROR(INDEX(_自动清单!$E$4:$E$303,ROW()-3),"")</f>
        <v/>
      </c>
      <c r="C221" s="18" t="str">
        <f>IF($B221="","",ROUND(SUMIFS(对接源_01水果!$K$4:$K$1203,对接源_01水果!$C$4:$C$1203,$B221,对接源_01水果!$D$4:$D$1203,"成品出库*"),2))</f>
        <v/>
      </c>
      <c r="D221" s="18" t="str">
        <f>IF($B221="","",ROUND(SUMIFS(对接源_01水果!$K$4:$K$1203,对接源_01水果!$C$4:$C$1203,$B221,对接源_01水果!$D$4:$D$1203,"其他代存*"),2))</f>
        <v/>
      </c>
      <c r="E221" s="18" t="str">
        <f>IF($B221="","",ROUND(SUMIFS(对接源_02物料!$K$4:$K$1203,对接源_02物料!$C$4:$C$1203,$B221,对接源_02物料!$D$4:$D$1203,"包装物料*"),2))</f>
        <v/>
      </c>
      <c r="F221" s="18" t="str">
        <f>IF($B221="","",ROUND(SUMIFS(对接源_02物料!$K$4:$K$1203,对接源_02物料!$C$4:$C$1203,$B221,对接源_02物料!$D$4:$D$1203,"周转筐*"),2))</f>
        <v/>
      </c>
      <c r="G221" s="18" t="str">
        <f>IF($B221="","",ROUND(SUMIFS(对接源_02物料!$K$4:$K$1203,对接源_02物料!$C$4:$C$1203,$B221,对接源_02物料!$D$4:$D$1203,"次果筐*"),2))</f>
        <v/>
      </c>
      <c r="H221" s="18" t="str">
        <f t="shared" si="13"/>
        <v/>
      </c>
      <c r="I221" s="18" t="str">
        <f>IF($B221="","",ROUND(SUMIFS(对接源_01水果!$K$4:$K$1203,对接源_01水果!$C$4:$C$1203,$B221,对接源_01水果!$D$4:$D$1203,"成品出库*",对接源_01水果!$L$4:$L$1203,"已收讫")+SUMIFS(对接源_01水果!$K$4:$K$1203,对接源_01水果!$C$4:$C$1203,$B221,对接源_01水果!$D$4:$D$1203,"成品出库*",对接源_01水果!$L$4:$L$1203,"已付款")+SUMIFS(对接源_01水果!$K$4:$K$1203,对接源_01水果!$C$4:$C$1203,$B221,对接源_01水果!$D$4:$D$1203,"其他代存*",对接源_01水果!$L$4:$L$1203,"已收讫")+SUMIFS(对接源_01水果!$K$4:$K$1203,对接源_01水果!$C$4:$C$1203,$B221,对接源_01水果!$D$4:$D$1203,"其他代存*",对接源_01水果!$L$4:$L$1203,"已付款")+SUMIFS(对接源_02物料!$K$4:$K$1203,对接源_02物料!$C$4:$C$1203,$B221,对接源_02物料!$D$4:$D$1203,"包装物料*",对接源_02物料!$L$4:$L$1203,"已收讫")+SUMIFS(对接源_02物料!$K$4:$K$1203,对接源_02物料!$C$4:$C$1203,$B221,对接源_02物料!$D$4:$D$1203,"包装物料*",对接源_02物料!$L$4:$L$1203,"已付款")+SUMIFS(对接源_02物料!$K$4:$K$1203,对接源_02物料!$C$4:$C$1203,$B221,对接源_02物料!$D$4:$D$1203,"周转筐*",对接源_02物料!$L$4:$L$1203,"已收讫")+SUMIFS(对接源_02物料!$K$4:$K$1203,对接源_02物料!$C$4:$C$1203,$B221,对接源_02物料!$D$4:$D$1203,"周转筐*",对接源_02物料!$L$4:$L$1203,"已付款")+SUMIFS(对接源_02物料!$K$4:$K$1203,对接源_02物料!$C$4:$C$1203,$B221,对接源_02物料!$D$4:$D$1203,"次果筐*",对接源_02物料!$L$4:$L$1203,"已收讫")+SUMIFS(对接源_02物料!$K$4:$K$1203,对接源_02物料!$C$4:$C$1203,$B221,对接源_02物料!$D$4:$D$1203,"次果筐*",对接源_02物料!$L$4:$L$1203,"已付款"),2))</f>
        <v/>
      </c>
      <c r="J221" s="18" t="str">
        <f t="shared" si="14"/>
        <v/>
      </c>
      <c r="K221" s="16" t="str">
        <f t="shared" si="15"/>
        <v/>
      </c>
      <c r="L221" s="26"/>
    </row>
    <row r="222" customHeight="1" spans="1:12">
      <c r="A222" s="16" t="str">
        <f t="shared" si="12"/>
        <v/>
      </c>
      <c r="B222" s="11" t="str">
        <f>IFERROR(INDEX(_自动清单!$E$4:$E$303,ROW()-3),"")</f>
        <v/>
      </c>
      <c r="C222" s="18" t="str">
        <f>IF($B222="","",ROUND(SUMIFS(对接源_01水果!$K$4:$K$1203,对接源_01水果!$C$4:$C$1203,$B222,对接源_01水果!$D$4:$D$1203,"成品出库*"),2))</f>
        <v/>
      </c>
      <c r="D222" s="18" t="str">
        <f>IF($B222="","",ROUND(SUMIFS(对接源_01水果!$K$4:$K$1203,对接源_01水果!$C$4:$C$1203,$B222,对接源_01水果!$D$4:$D$1203,"其他代存*"),2))</f>
        <v/>
      </c>
      <c r="E222" s="18" t="str">
        <f>IF($B222="","",ROUND(SUMIFS(对接源_02物料!$K$4:$K$1203,对接源_02物料!$C$4:$C$1203,$B222,对接源_02物料!$D$4:$D$1203,"包装物料*"),2))</f>
        <v/>
      </c>
      <c r="F222" s="18" t="str">
        <f>IF($B222="","",ROUND(SUMIFS(对接源_02物料!$K$4:$K$1203,对接源_02物料!$C$4:$C$1203,$B222,对接源_02物料!$D$4:$D$1203,"周转筐*"),2))</f>
        <v/>
      </c>
      <c r="G222" s="18" t="str">
        <f>IF($B222="","",ROUND(SUMIFS(对接源_02物料!$K$4:$K$1203,对接源_02物料!$C$4:$C$1203,$B222,对接源_02物料!$D$4:$D$1203,"次果筐*"),2))</f>
        <v/>
      </c>
      <c r="H222" s="18" t="str">
        <f t="shared" si="13"/>
        <v/>
      </c>
      <c r="I222" s="18" t="str">
        <f>IF($B222="","",ROUND(SUMIFS(对接源_01水果!$K$4:$K$1203,对接源_01水果!$C$4:$C$1203,$B222,对接源_01水果!$D$4:$D$1203,"成品出库*",对接源_01水果!$L$4:$L$1203,"已收讫")+SUMIFS(对接源_01水果!$K$4:$K$1203,对接源_01水果!$C$4:$C$1203,$B222,对接源_01水果!$D$4:$D$1203,"成品出库*",对接源_01水果!$L$4:$L$1203,"已付款")+SUMIFS(对接源_01水果!$K$4:$K$1203,对接源_01水果!$C$4:$C$1203,$B222,对接源_01水果!$D$4:$D$1203,"其他代存*",对接源_01水果!$L$4:$L$1203,"已收讫")+SUMIFS(对接源_01水果!$K$4:$K$1203,对接源_01水果!$C$4:$C$1203,$B222,对接源_01水果!$D$4:$D$1203,"其他代存*",对接源_01水果!$L$4:$L$1203,"已付款")+SUMIFS(对接源_02物料!$K$4:$K$1203,对接源_02物料!$C$4:$C$1203,$B222,对接源_02物料!$D$4:$D$1203,"包装物料*",对接源_02物料!$L$4:$L$1203,"已收讫")+SUMIFS(对接源_02物料!$K$4:$K$1203,对接源_02物料!$C$4:$C$1203,$B222,对接源_02物料!$D$4:$D$1203,"包装物料*",对接源_02物料!$L$4:$L$1203,"已付款")+SUMIFS(对接源_02物料!$K$4:$K$1203,对接源_02物料!$C$4:$C$1203,$B222,对接源_02物料!$D$4:$D$1203,"周转筐*",对接源_02物料!$L$4:$L$1203,"已收讫")+SUMIFS(对接源_02物料!$K$4:$K$1203,对接源_02物料!$C$4:$C$1203,$B222,对接源_02物料!$D$4:$D$1203,"周转筐*",对接源_02物料!$L$4:$L$1203,"已付款")+SUMIFS(对接源_02物料!$K$4:$K$1203,对接源_02物料!$C$4:$C$1203,$B222,对接源_02物料!$D$4:$D$1203,"次果筐*",对接源_02物料!$L$4:$L$1203,"已收讫")+SUMIFS(对接源_02物料!$K$4:$K$1203,对接源_02物料!$C$4:$C$1203,$B222,对接源_02物料!$D$4:$D$1203,"次果筐*",对接源_02物料!$L$4:$L$1203,"已付款"),2))</f>
        <v/>
      </c>
      <c r="J222" s="18" t="str">
        <f t="shared" si="14"/>
        <v/>
      </c>
      <c r="K222" s="16" t="str">
        <f t="shared" si="15"/>
        <v/>
      </c>
      <c r="L222" s="26"/>
    </row>
    <row r="223" customHeight="1" spans="1:12">
      <c r="A223" s="16" t="str">
        <f t="shared" si="12"/>
        <v/>
      </c>
      <c r="B223" s="11" t="str">
        <f>IFERROR(INDEX(_自动清单!$E$4:$E$303,ROW()-3),"")</f>
        <v/>
      </c>
      <c r="C223" s="18" t="str">
        <f>IF($B223="","",ROUND(SUMIFS(对接源_01水果!$K$4:$K$1203,对接源_01水果!$C$4:$C$1203,$B223,对接源_01水果!$D$4:$D$1203,"成品出库*"),2))</f>
        <v/>
      </c>
      <c r="D223" s="18" t="str">
        <f>IF($B223="","",ROUND(SUMIFS(对接源_01水果!$K$4:$K$1203,对接源_01水果!$C$4:$C$1203,$B223,对接源_01水果!$D$4:$D$1203,"其他代存*"),2))</f>
        <v/>
      </c>
      <c r="E223" s="18" t="str">
        <f>IF($B223="","",ROUND(SUMIFS(对接源_02物料!$K$4:$K$1203,对接源_02物料!$C$4:$C$1203,$B223,对接源_02物料!$D$4:$D$1203,"包装物料*"),2))</f>
        <v/>
      </c>
      <c r="F223" s="18" t="str">
        <f>IF($B223="","",ROUND(SUMIFS(对接源_02物料!$K$4:$K$1203,对接源_02物料!$C$4:$C$1203,$B223,对接源_02物料!$D$4:$D$1203,"周转筐*"),2))</f>
        <v/>
      </c>
      <c r="G223" s="18" t="str">
        <f>IF($B223="","",ROUND(SUMIFS(对接源_02物料!$K$4:$K$1203,对接源_02物料!$C$4:$C$1203,$B223,对接源_02物料!$D$4:$D$1203,"次果筐*"),2))</f>
        <v/>
      </c>
      <c r="H223" s="18" t="str">
        <f t="shared" si="13"/>
        <v/>
      </c>
      <c r="I223" s="18" t="str">
        <f>IF($B223="","",ROUND(SUMIFS(对接源_01水果!$K$4:$K$1203,对接源_01水果!$C$4:$C$1203,$B223,对接源_01水果!$D$4:$D$1203,"成品出库*",对接源_01水果!$L$4:$L$1203,"已收讫")+SUMIFS(对接源_01水果!$K$4:$K$1203,对接源_01水果!$C$4:$C$1203,$B223,对接源_01水果!$D$4:$D$1203,"成品出库*",对接源_01水果!$L$4:$L$1203,"已付款")+SUMIFS(对接源_01水果!$K$4:$K$1203,对接源_01水果!$C$4:$C$1203,$B223,对接源_01水果!$D$4:$D$1203,"其他代存*",对接源_01水果!$L$4:$L$1203,"已收讫")+SUMIFS(对接源_01水果!$K$4:$K$1203,对接源_01水果!$C$4:$C$1203,$B223,对接源_01水果!$D$4:$D$1203,"其他代存*",对接源_01水果!$L$4:$L$1203,"已付款")+SUMIFS(对接源_02物料!$K$4:$K$1203,对接源_02物料!$C$4:$C$1203,$B223,对接源_02物料!$D$4:$D$1203,"包装物料*",对接源_02物料!$L$4:$L$1203,"已收讫")+SUMIFS(对接源_02物料!$K$4:$K$1203,对接源_02物料!$C$4:$C$1203,$B223,对接源_02物料!$D$4:$D$1203,"包装物料*",对接源_02物料!$L$4:$L$1203,"已付款")+SUMIFS(对接源_02物料!$K$4:$K$1203,对接源_02物料!$C$4:$C$1203,$B223,对接源_02物料!$D$4:$D$1203,"周转筐*",对接源_02物料!$L$4:$L$1203,"已收讫")+SUMIFS(对接源_02物料!$K$4:$K$1203,对接源_02物料!$C$4:$C$1203,$B223,对接源_02物料!$D$4:$D$1203,"周转筐*",对接源_02物料!$L$4:$L$1203,"已付款")+SUMIFS(对接源_02物料!$K$4:$K$1203,对接源_02物料!$C$4:$C$1203,$B223,对接源_02物料!$D$4:$D$1203,"次果筐*",对接源_02物料!$L$4:$L$1203,"已收讫")+SUMIFS(对接源_02物料!$K$4:$K$1203,对接源_02物料!$C$4:$C$1203,$B223,对接源_02物料!$D$4:$D$1203,"次果筐*",对接源_02物料!$L$4:$L$1203,"已付款"),2))</f>
        <v/>
      </c>
      <c r="J223" s="18" t="str">
        <f t="shared" si="14"/>
        <v/>
      </c>
      <c r="K223" s="16" t="str">
        <f t="shared" si="15"/>
        <v/>
      </c>
      <c r="L223" s="26"/>
    </row>
    <row r="224" customHeight="1" spans="1:12">
      <c r="A224" s="16" t="str">
        <f t="shared" si="12"/>
        <v/>
      </c>
      <c r="B224" s="11" t="str">
        <f>IFERROR(INDEX(_自动清单!$E$4:$E$303,ROW()-3),"")</f>
        <v/>
      </c>
      <c r="C224" s="18" t="str">
        <f>IF($B224="","",ROUND(SUMIFS(对接源_01水果!$K$4:$K$1203,对接源_01水果!$C$4:$C$1203,$B224,对接源_01水果!$D$4:$D$1203,"成品出库*"),2))</f>
        <v/>
      </c>
      <c r="D224" s="18" t="str">
        <f>IF($B224="","",ROUND(SUMIFS(对接源_01水果!$K$4:$K$1203,对接源_01水果!$C$4:$C$1203,$B224,对接源_01水果!$D$4:$D$1203,"其他代存*"),2))</f>
        <v/>
      </c>
      <c r="E224" s="18" t="str">
        <f>IF($B224="","",ROUND(SUMIFS(对接源_02物料!$K$4:$K$1203,对接源_02物料!$C$4:$C$1203,$B224,对接源_02物料!$D$4:$D$1203,"包装物料*"),2))</f>
        <v/>
      </c>
      <c r="F224" s="18" t="str">
        <f>IF($B224="","",ROUND(SUMIFS(对接源_02物料!$K$4:$K$1203,对接源_02物料!$C$4:$C$1203,$B224,对接源_02物料!$D$4:$D$1203,"周转筐*"),2))</f>
        <v/>
      </c>
      <c r="G224" s="18" t="str">
        <f>IF($B224="","",ROUND(SUMIFS(对接源_02物料!$K$4:$K$1203,对接源_02物料!$C$4:$C$1203,$B224,对接源_02物料!$D$4:$D$1203,"次果筐*"),2))</f>
        <v/>
      </c>
      <c r="H224" s="18" t="str">
        <f t="shared" si="13"/>
        <v/>
      </c>
      <c r="I224" s="18" t="str">
        <f>IF($B224="","",ROUND(SUMIFS(对接源_01水果!$K$4:$K$1203,对接源_01水果!$C$4:$C$1203,$B224,对接源_01水果!$D$4:$D$1203,"成品出库*",对接源_01水果!$L$4:$L$1203,"已收讫")+SUMIFS(对接源_01水果!$K$4:$K$1203,对接源_01水果!$C$4:$C$1203,$B224,对接源_01水果!$D$4:$D$1203,"成品出库*",对接源_01水果!$L$4:$L$1203,"已付款")+SUMIFS(对接源_01水果!$K$4:$K$1203,对接源_01水果!$C$4:$C$1203,$B224,对接源_01水果!$D$4:$D$1203,"其他代存*",对接源_01水果!$L$4:$L$1203,"已收讫")+SUMIFS(对接源_01水果!$K$4:$K$1203,对接源_01水果!$C$4:$C$1203,$B224,对接源_01水果!$D$4:$D$1203,"其他代存*",对接源_01水果!$L$4:$L$1203,"已付款")+SUMIFS(对接源_02物料!$K$4:$K$1203,对接源_02物料!$C$4:$C$1203,$B224,对接源_02物料!$D$4:$D$1203,"包装物料*",对接源_02物料!$L$4:$L$1203,"已收讫")+SUMIFS(对接源_02物料!$K$4:$K$1203,对接源_02物料!$C$4:$C$1203,$B224,对接源_02物料!$D$4:$D$1203,"包装物料*",对接源_02物料!$L$4:$L$1203,"已付款")+SUMIFS(对接源_02物料!$K$4:$K$1203,对接源_02物料!$C$4:$C$1203,$B224,对接源_02物料!$D$4:$D$1203,"周转筐*",对接源_02物料!$L$4:$L$1203,"已收讫")+SUMIFS(对接源_02物料!$K$4:$K$1203,对接源_02物料!$C$4:$C$1203,$B224,对接源_02物料!$D$4:$D$1203,"周转筐*",对接源_02物料!$L$4:$L$1203,"已付款")+SUMIFS(对接源_02物料!$K$4:$K$1203,对接源_02物料!$C$4:$C$1203,$B224,对接源_02物料!$D$4:$D$1203,"次果筐*",对接源_02物料!$L$4:$L$1203,"已收讫")+SUMIFS(对接源_02物料!$K$4:$K$1203,对接源_02物料!$C$4:$C$1203,$B224,对接源_02物料!$D$4:$D$1203,"次果筐*",对接源_02物料!$L$4:$L$1203,"已付款"),2))</f>
        <v/>
      </c>
      <c r="J224" s="18" t="str">
        <f t="shared" si="14"/>
        <v/>
      </c>
      <c r="K224" s="16" t="str">
        <f t="shared" si="15"/>
        <v/>
      </c>
      <c r="L224" s="26"/>
    </row>
    <row r="225" customHeight="1" spans="1:12">
      <c r="A225" s="16" t="str">
        <f t="shared" si="12"/>
        <v/>
      </c>
      <c r="B225" s="11" t="str">
        <f>IFERROR(INDEX(_自动清单!$E$4:$E$303,ROW()-3),"")</f>
        <v/>
      </c>
      <c r="C225" s="18" t="str">
        <f>IF($B225="","",ROUND(SUMIFS(对接源_01水果!$K$4:$K$1203,对接源_01水果!$C$4:$C$1203,$B225,对接源_01水果!$D$4:$D$1203,"成品出库*"),2))</f>
        <v/>
      </c>
      <c r="D225" s="18" t="str">
        <f>IF($B225="","",ROUND(SUMIFS(对接源_01水果!$K$4:$K$1203,对接源_01水果!$C$4:$C$1203,$B225,对接源_01水果!$D$4:$D$1203,"其他代存*"),2))</f>
        <v/>
      </c>
      <c r="E225" s="18" t="str">
        <f>IF($B225="","",ROUND(SUMIFS(对接源_02物料!$K$4:$K$1203,对接源_02物料!$C$4:$C$1203,$B225,对接源_02物料!$D$4:$D$1203,"包装物料*"),2))</f>
        <v/>
      </c>
      <c r="F225" s="18" t="str">
        <f>IF($B225="","",ROUND(SUMIFS(对接源_02物料!$K$4:$K$1203,对接源_02物料!$C$4:$C$1203,$B225,对接源_02物料!$D$4:$D$1203,"周转筐*"),2))</f>
        <v/>
      </c>
      <c r="G225" s="18" t="str">
        <f>IF($B225="","",ROUND(SUMIFS(对接源_02物料!$K$4:$K$1203,对接源_02物料!$C$4:$C$1203,$B225,对接源_02物料!$D$4:$D$1203,"次果筐*"),2))</f>
        <v/>
      </c>
      <c r="H225" s="18" t="str">
        <f t="shared" si="13"/>
        <v/>
      </c>
      <c r="I225" s="18" t="str">
        <f>IF($B225="","",ROUND(SUMIFS(对接源_01水果!$K$4:$K$1203,对接源_01水果!$C$4:$C$1203,$B225,对接源_01水果!$D$4:$D$1203,"成品出库*",对接源_01水果!$L$4:$L$1203,"已收讫")+SUMIFS(对接源_01水果!$K$4:$K$1203,对接源_01水果!$C$4:$C$1203,$B225,对接源_01水果!$D$4:$D$1203,"成品出库*",对接源_01水果!$L$4:$L$1203,"已付款")+SUMIFS(对接源_01水果!$K$4:$K$1203,对接源_01水果!$C$4:$C$1203,$B225,对接源_01水果!$D$4:$D$1203,"其他代存*",对接源_01水果!$L$4:$L$1203,"已收讫")+SUMIFS(对接源_01水果!$K$4:$K$1203,对接源_01水果!$C$4:$C$1203,$B225,对接源_01水果!$D$4:$D$1203,"其他代存*",对接源_01水果!$L$4:$L$1203,"已付款")+SUMIFS(对接源_02物料!$K$4:$K$1203,对接源_02物料!$C$4:$C$1203,$B225,对接源_02物料!$D$4:$D$1203,"包装物料*",对接源_02物料!$L$4:$L$1203,"已收讫")+SUMIFS(对接源_02物料!$K$4:$K$1203,对接源_02物料!$C$4:$C$1203,$B225,对接源_02物料!$D$4:$D$1203,"包装物料*",对接源_02物料!$L$4:$L$1203,"已付款")+SUMIFS(对接源_02物料!$K$4:$K$1203,对接源_02物料!$C$4:$C$1203,$B225,对接源_02物料!$D$4:$D$1203,"周转筐*",对接源_02物料!$L$4:$L$1203,"已收讫")+SUMIFS(对接源_02物料!$K$4:$K$1203,对接源_02物料!$C$4:$C$1203,$B225,对接源_02物料!$D$4:$D$1203,"周转筐*",对接源_02物料!$L$4:$L$1203,"已付款")+SUMIFS(对接源_02物料!$K$4:$K$1203,对接源_02物料!$C$4:$C$1203,$B225,对接源_02物料!$D$4:$D$1203,"次果筐*",对接源_02物料!$L$4:$L$1203,"已收讫")+SUMIFS(对接源_02物料!$K$4:$K$1203,对接源_02物料!$C$4:$C$1203,$B225,对接源_02物料!$D$4:$D$1203,"次果筐*",对接源_02物料!$L$4:$L$1203,"已付款"),2))</f>
        <v/>
      </c>
      <c r="J225" s="18" t="str">
        <f t="shared" si="14"/>
        <v/>
      </c>
      <c r="K225" s="16" t="str">
        <f t="shared" si="15"/>
        <v/>
      </c>
      <c r="L225" s="26"/>
    </row>
    <row r="226" customHeight="1" spans="1:12">
      <c r="A226" s="16" t="str">
        <f t="shared" si="12"/>
        <v/>
      </c>
      <c r="B226" s="11" t="str">
        <f>IFERROR(INDEX(_自动清单!$E$4:$E$303,ROW()-3),"")</f>
        <v/>
      </c>
      <c r="C226" s="18" t="str">
        <f>IF($B226="","",ROUND(SUMIFS(对接源_01水果!$K$4:$K$1203,对接源_01水果!$C$4:$C$1203,$B226,对接源_01水果!$D$4:$D$1203,"成品出库*"),2))</f>
        <v/>
      </c>
      <c r="D226" s="18" t="str">
        <f>IF($B226="","",ROUND(SUMIFS(对接源_01水果!$K$4:$K$1203,对接源_01水果!$C$4:$C$1203,$B226,对接源_01水果!$D$4:$D$1203,"其他代存*"),2))</f>
        <v/>
      </c>
      <c r="E226" s="18" t="str">
        <f>IF($B226="","",ROUND(SUMIFS(对接源_02物料!$K$4:$K$1203,对接源_02物料!$C$4:$C$1203,$B226,对接源_02物料!$D$4:$D$1203,"包装物料*"),2))</f>
        <v/>
      </c>
      <c r="F226" s="18" t="str">
        <f>IF($B226="","",ROUND(SUMIFS(对接源_02物料!$K$4:$K$1203,对接源_02物料!$C$4:$C$1203,$B226,对接源_02物料!$D$4:$D$1203,"周转筐*"),2))</f>
        <v/>
      </c>
      <c r="G226" s="18" t="str">
        <f>IF($B226="","",ROUND(SUMIFS(对接源_02物料!$K$4:$K$1203,对接源_02物料!$C$4:$C$1203,$B226,对接源_02物料!$D$4:$D$1203,"次果筐*"),2))</f>
        <v/>
      </c>
      <c r="H226" s="18" t="str">
        <f t="shared" si="13"/>
        <v/>
      </c>
      <c r="I226" s="18" t="str">
        <f>IF($B226="","",ROUND(SUMIFS(对接源_01水果!$K$4:$K$1203,对接源_01水果!$C$4:$C$1203,$B226,对接源_01水果!$D$4:$D$1203,"成品出库*",对接源_01水果!$L$4:$L$1203,"已收讫")+SUMIFS(对接源_01水果!$K$4:$K$1203,对接源_01水果!$C$4:$C$1203,$B226,对接源_01水果!$D$4:$D$1203,"成品出库*",对接源_01水果!$L$4:$L$1203,"已付款")+SUMIFS(对接源_01水果!$K$4:$K$1203,对接源_01水果!$C$4:$C$1203,$B226,对接源_01水果!$D$4:$D$1203,"其他代存*",对接源_01水果!$L$4:$L$1203,"已收讫")+SUMIFS(对接源_01水果!$K$4:$K$1203,对接源_01水果!$C$4:$C$1203,$B226,对接源_01水果!$D$4:$D$1203,"其他代存*",对接源_01水果!$L$4:$L$1203,"已付款")+SUMIFS(对接源_02物料!$K$4:$K$1203,对接源_02物料!$C$4:$C$1203,$B226,对接源_02物料!$D$4:$D$1203,"包装物料*",对接源_02物料!$L$4:$L$1203,"已收讫")+SUMIFS(对接源_02物料!$K$4:$K$1203,对接源_02物料!$C$4:$C$1203,$B226,对接源_02物料!$D$4:$D$1203,"包装物料*",对接源_02物料!$L$4:$L$1203,"已付款")+SUMIFS(对接源_02物料!$K$4:$K$1203,对接源_02物料!$C$4:$C$1203,$B226,对接源_02物料!$D$4:$D$1203,"周转筐*",对接源_02物料!$L$4:$L$1203,"已收讫")+SUMIFS(对接源_02物料!$K$4:$K$1203,对接源_02物料!$C$4:$C$1203,$B226,对接源_02物料!$D$4:$D$1203,"周转筐*",对接源_02物料!$L$4:$L$1203,"已付款")+SUMIFS(对接源_02物料!$K$4:$K$1203,对接源_02物料!$C$4:$C$1203,$B226,对接源_02物料!$D$4:$D$1203,"次果筐*",对接源_02物料!$L$4:$L$1203,"已收讫")+SUMIFS(对接源_02物料!$K$4:$K$1203,对接源_02物料!$C$4:$C$1203,$B226,对接源_02物料!$D$4:$D$1203,"次果筐*",对接源_02物料!$L$4:$L$1203,"已付款"),2))</f>
        <v/>
      </c>
      <c r="J226" s="18" t="str">
        <f t="shared" si="14"/>
        <v/>
      </c>
      <c r="K226" s="16" t="str">
        <f t="shared" si="15"/>
        <v/>
      </c>
      <c r="L226" s="26"/>
    </row>
    <row r="227" customHeight="1" spans="1:12">
      <c r="A227" s="16" t="str">
        <f t="shared" si="12"/>
        <v/>
      </c>
      <c r="B227" s="11" t="str">
        <f>IFERROR(INDEX(_自动清单!$E$4:$E$303,ROW()-3),"")</f>
        <v/>
      </c>
      <c r="C227" s="18" t="str">
        <f>IF($B227="","",ROUND(SUMIFS(对接源_01水果!$K$4:$K$1203,对接源_01水果!$C$4:$C$1203,$B227,对接源_01水果!$D$4:$D$1203,"成品出库*"),2))</f>
        <v/>
      </c>
      <c r="D227" s="18" t="str">
        <f>IF($B227="","",ROUND(SUMIFS(对接源_01水果!$K$4:$K$1203,对接源_01水果!$C$4:$C$1203,$B227,对接源_01水果!$D$4:$D$1203,"其他代存*"),2))</f>
        <v/>
      </c>
      <c r="E227" s="18" t="str">
        <f>IF($B227="","",ROUND(SUMIFS(对接源_02物料!$K$4:$K$1203,对接源_02物料!$C$4:$C$1203,$B227,对接源_02物料!$D$4:$D$1203,"包装物料*"),2))</f>
        <v/>
      </c>
      <c r="F227" s="18" t="str">
        <f>IF($B227="","",ROUND(SUMIFS(对接源_02物料!$K$4:$K$1203,对接源_02物料!$C$4:$C$1203,$B227,对接源_02物料!$D$4:$D$1203,"周转筐*"),2))</f>
        <v/>
      </c>
      <c r="G227" s="18" t="str">
        <f>IF($B227="","",ROUND(SUMIFS(对接源_02物料!$K$4:$K$1203,对接源_02物料!$C$4:$C$1203,$B227,对接源_02物料!$D$4:$D$1203,"次果筐*"),2))</f>
        <v/>
      </c>
      <c r="H227" s="18" t="str">
        <f t="shared" si="13"/>
        <v/>
      </c>
      <c r="I227" s="18" t="str">
        <f>IF($B227="","",ROUND(SUMIFS(对接源_01水果!$K$4:$K$1203,对接源_01水果!$C$4:$C$1203,$B227,对接源_01水果!$D$4:$D$1203,"成品出库*",对接源_01水果!$L$4:$L$1203,"已收讫")+SUMIFS(对接源_01水果!$K$4:$K$1203,对接源_01水果!$C$4:$C$1203,$B227,对接源_01水果!$D$4:$D$1203,"成品出库*",对接源_01水果!$L$4:$L$1203,"已付款")+SUMIFS(对接源_01水果!$K$4:$K$1203,对接源_01水果!$C$4:$C$1203,$B227,对接源_01水果!$D$4:$D$1203,"其他代存*",对接源_01水果!$L$4:$L$1203,"已收讫")+SUMIFS(对接源_01水果!$K$4:$K$1203,对接源_01水果!$C$4:$C$1203,$B227,对接源_01水果!$D$4:$D$1203,"其他代存*",对接源_01水果!$L$4:$L$1203,"已付款")+SUMIFS(对接源_02物料!$K$4:$K$1203,对接源_02物料!$C$4:$C$1203,$B227,对接源_02物料!$D$4:$D$1203,"包装物料*",对接源_02物料!$L$4:$L$1203,"已收讫")+SUMIFS(对接源_02物料!$K$4:$K$1203,对接源_02物料!$C$4:$C$1203,$B227,对接源_02物料!$D$4:$D$1203,"包装物料*",对接源_02物料!$L$4:$L$1203,"已付款")+SUMIFS(对接源_02物料!$K$4:$K$1203,对接源_02物料!$C$4:$C$1203,$B227,对接源_02物料!$D$4:$D$1203,"周转筐*",对接源_02物料!$L$4:$L$1203,"已收讫")+SUMIFS(对接源_02物料!$K$4:$K$1203,对接源_02物料!$C$4:$C$1203,$B227,对接源_02物料!$D$4:$D$1203,"周转筐*",对接源_02物料!$L$4:$L$1203,"已付款")+SUMIFS(对接源_02物料!$K$4:$K$1203,对接源_02物料!$C$4:$C$1203,$B227,对接源_02物料!$D$4:$D$1203,"次果筐*",对接源_02物料!$L$4:$L$1203,"已收讫")+SUMIFS(对接源_02物料!$K$4:$K$1203,对接源_02物料!$C$4:$C$1203,$B227,对接源_02物料!$D$4:$D$1203,"次果筐*",对接源_02物料!$L$4:$L$1203,"已付款"),2))</f>
        <v/>
      </c>
      <c r="J227" s="18" t="str">
        <f t="shared" si="14"/>
        <v/>
      </c>
      <c r="K227" s="16" t="str">
        <f t="shared" si="15"/>
        <v/>
      </c>
      <c r="L227" s="26"/>
    </row>
    <row r="228" customHeight="1" spans="1:12">
      <c r="A228" s="16" t="str">
        <f t="shared" si="12"/>
        <v/>
      </c>
      <c r="B228" s="11" t="str">
        <f>IFERROR(INDEX(_自动清单!$E$4:$E$303,ROW()-3),"")</f>
        <v/>
      </c>
      <c r="C228" s="18" t="str">
        <f>IF($B228="","",ROUND(SUMIFS(对接源_01水果!$K$4:$K$1203,对接源_01水果!$C$4:$C$1203,$B228,对接源_01水果!$D$4:$D$1203,"成品出库*"),2))</f>
        <v/>
      </c>
      <c r="D228" s="18" t="str">
        <f>IF($B228="","",ROUND(SUMIFS(对接源_01水果!$K$4:$K$1203,对接源_01水果!$C$4:$C$1203,$B228,对接源_01水果!$D$4:$D$1203,"其他代存*"),2))</f>
        <v/>
      </c>
      <c r="E228" s="18" t="str">
        <f>IF($B228="","",ROUND(SUMIFS(对接源_02物料!$K$4:$K$1203,对接源_02物料!$C$4:$C$1203,$B228,对接源_02物料!$D$4:$D$1203,"包装物料*"),2))</f>
        <v/>
      </c>
      <c r="F228" s="18" t="str">
        <f>IF($B228="","",ROUND(SUMIFS(对接源_02物料!$K$4:$K$1203,对接源_02物料!$C$4:$C$1203,$B228,对接源_02物料!$D$4:$D$1203,"周转筐*"),2))</f>
        <v/>
      </c>
      <c r="G228" s="18" t="str">
        <f>IF($B228="","",ROUND(SUMIFS(对接源_02物料!$K$4:$K$1203,对接源_02物料!$C$4:$C$1203,$B228,对接源_02物料!$D$4:$D$1203,"次果筐*"),2))</f>
        <v/>
      </c>
      <c r="H228" s="18" t="str">
        <f t="shared" si="13"/>
        <v/>
      </c>
      <c r="I228" s="18" t="str">
        <f>IF($B228="","",ROUND(SUMIFS(对接源_01水果!$K$4:$K$1203,对接源_01水果!$C$4:$C$1203,$B228,对接源_01水果!$D$4:$D$1203,"成品出库*",对接源_01水果!$L$4:$L$1203,"已收讫")+SUMIFS(对接源_01水果!$K$4:$K$1203,对接源_01水果!$C$4:$C$1203,$B228,对接源_01水果!$D$4:$D$1203,"成品出库*",对接源_01水果!$L$4:$L$1203,"已付款")+SUMIFS(对接源_01水果!$K$4:$K$1203,对接源_01水果!$C$4:$C$1203,$B228,对接源_01水果!$D$4:$D$1203,"其他代存*",对接源_01水果!$L$4:$L$1203,"已收讫")+SUMIFS(对接源_01水果!$K$4:$K$1203,对接源_01水果!$C$4:$C$1203,$B228,对接源_01水果!$D$4:$D$1203,"其他代存*",对接源_01水果!$L$4:$L$1203,"已付款")+SUMIFS(对接源_02物料!$K$4:$K$1203,对接源_02物料!$C$4:$C$1203,$B228,对接源_02物料!$D$4:$D$1203,"包装物料*",对接源_02物料!$L$4:$L$1203,"已收讫")+SUMIFS(对接源_02物料!$K$4:$K$1203,对接源_02物料!$C$4:$C$1203,$B228,对接源_02物料!$D$4:$D$1203,"包装物料*",对接源_02物料!$L$4:$L$1203,"已付款")+SUMIFS(对接源_02物料!$K$4:$K$1203,对接源_02物料!$C$4:$C$1203,$B228,对接源_02物料!$D$4:$D$1203,"周转筐*",对接源_02物料!$L$4:$L$1203,"已收讫")+SUMIFS(对接源_02物料!$K$4:$K$1203,对接源_02物料!$C$4:$C$1203,$B228,对接源_02物料!$D$4:$D$1203,"周转筐*",对接源_02物料!$L$4:$L$1203,"已付款")+SUMIFS(对接源_02物料!$K$4:$K$1203,对接源_02物料!$C$4:$C$1203,$B228,对接源_02物料!$D$4:$D$1203,"次果筐*",对接源_02物料!$L$4:$L$1203,"已收讫")+SUMIFS(对接源_02物料!$K$4:$K$1203,对接源_02物料!$C$4:$C$1203,$B228,对接源_02物料!$D$4:$D$1203,"次果筐*",对接源_02物料!$L$4:$L$1203,"已付款"),2))</f>
        <v/>
      </c>
      <c r="J228" s="18" t="str">
        <f t="shared" si="14"/>
        <v/>
      </c>
      <c r="K228" s="16" t="str">
        <f t="shared" si="15"/>
        <v/>
      </c>
      <c r="L228" s="26"/>
    </row>
    <row r="229" customHeight="1" spans="1:12">
      <c r="A229" s="16" t="str">
        <f t="shared" si="12"/>
        <v/>
      </c>
      <c r="B229" s="11" t="str">
        <f>IFERROR(INDEX(_自动清单!$E$4:$E$303,ROW()-3),"")</f>
        <v/>
      </c>
      <c r="C229" s="18" t="str">
        <f>IF($B229="","",ROUND(SUMIFS(对接源_01水果!$K$4:$K$1203,对接源_01水果!$C$4:$C$1203,$B229,对接源_01水果!$D$4:$D$1203,"成品出库*"),2))</f>
        <v/>
      </c>
      <c r="D229" s="18" t="str">
        <f>IF($B229="","",ROUND(SUMIFS(对接源_01水果!$K$4:$K$1203,对接源_01水果!$C$4:$C$1203,$B229,对接源_01水果!$D$4:$D$1203,"其他代存*"),2))</f>
        <v/>
      </c>
      <c r="E229" s="18" t="str">
        <f>IF($B229="","",ROUND(SUMIFS(对接源_02物料!$K$4:$K$1203,对接源_02物料!$C$4:$C$1203,$B229,对接源_02物料!$D$4:$D$1203,"包装物料*"),2))</f>
        <v/>
      </c>
      <c r="F229" s="18" t="str">
        <f>IF($B229="","",ROUND(SUMIFS(对接源_02物料!$K$4:$K$1203,对接源_02物料!$C$4:$C$1203,$B229,对接源_02物料!$D$4:$D$1203,"周转筐*"),2))</f>
        <v/>
      </c>
      <c r="G229" s="18" t="str">
        <f>IF($B229="","",ROUND(SUMIFS(对接源_02物料!$K$4:$K$1203,对接源_02物料!$C$4:$C$1203,$B229,对接源_02物料!$D$4:$D$1203,"次果筐*"),2))</f>
        <v/>
      </c>
      <c r="H229" s="18" t="str">
        <f t="shared" si="13"/>
        <v/>
      </c>
      <c r="I229" s="18" t="str">
        <f>IF($B229="","",ROUND(SUMIFS(对接源_01水果!$K$4:$K$1203,对接源_01水果!$C$4:$C$1203,$B229,对接源_01水果!$D$4:$D$1203,"成品出库*",对接源_01水果!$L$4:$L$1203,"已收讫")+SUMIFS(对接源_01水果!$K$4:$K$1203,对接源_01水果!$C$4:$C$1203,$B229,对接源_01水果!$D$4:$D$1203,"成品出库*",对接源_01水果!$L$4:$L$1203,"已付款")+SUMIFS(对接源_01水果!$K$4:$K$1203,对接源_01水果!$C$4:$C$1203,$B229,对接源_01水果!$D$4:$D$1203,"其他代存*",对接源_01水果!$L$4:$L$1203,"已收讫")+SUMIFS(对接源_01水果!$K$4:$K$1203,对接源_01水果!$C$4:$C$1203,$B229,对接源_01水果!$D$4:$D$1203,"其他代存*",对接源_01水果!$L$4:$L$1203,"已付款")+SUMIFS(对接源_02物料!$K$4:$K$1203,对接源_02物料!$C$4:$C$1203,$B229,对接源_02物料!$D$4:$D$1203,"包装物料*",对接源_02物料!$L$4:$L$1203,"已收讫")+SUMIFS(对接源_02物料!$K$4:$K$1203,对接源_02物料!$C$4:$C$1203,$B229,对接源_02物料!$D$4:$D$1203,"包装物料*",对接源_02物料!$L$4:$L$1203,"已付款")+SUMIFS(对接源_02物料!$K$4:$K$1203,对接源_02物料!$C$4:$C$1203,$B229,对接源_02物料!$D$4:$D$1203,"周转筐*",对接源_02物料!$L$4:$L$1203,"已收讫")+SUMIFS(对接源_02物料!$K$4:$K$1203,对接源_02物料!$C$4:$C$1203,$B229,对接源_02物料!$D$4:$D$1203,"周转筐*",对接源_02物料!$L$4:$L$1203,"已付款")+SUMIFS(对接源_02物料!$K$4:$K$1203,对接源_02物料!$C$4:$C$1203,$B229,对接源_02物料!$D$4:$D$1203,"次果筐*",对接源_02物料!$L$4:$L$1203,"已收讫")+SUMIFS(对接源_02物料!$K$4:$K$1203,对接源_02物料!$C$4:$C$1203,$B229,对接源_02物料!$D$4:$D$1203,"次果筐*",对接源_02物料!$L$4:$L$1203,"已付款"),2))</f>
        <v/>
      </c>
      <c r="J229" s="18" t="str">
        <f t="shared" si="14"/>
        <v/>
      </c>
      <c r="K229" s="16" t="str">
        <f t="shared" si="15"/>
        <v/>
      </c>
      <c r="L229" s="26"/>
    </row>
    <row r="230" customHeight="1" spans="1:12">
      <c r="A230" s="16" t="str">
        <f t="shared" si="12"/>
        <v/>
      </c>
      <c r="B230" s="11" t="str">
        <f>IFERROR(INDEX(_自动清单!$E$4:$E$303,ROW()-3),"")</f>
        <v/>
      </c>
      <c r="C230" s="18" t="str">
        <f>IF($B230="","",ROUND(SUMIFS(对接源_01水果!$K$4:$K$1203,对接源_01水果!$C$4:$C$1203,$B230,对接源_01水果!$D$4:$D$1203,"成品出库*"),2))</f>
        <v/>
      </c>
      <c r="D230" s="18" t="str">
        <f>IF($B230="","",ROUND(SUMIFS(对接源_01水果!$K$4:$K$1203,对接源_01水果!$C$4:$C$1203,$B230,对接源_01水果!$D$4:$D$1203,"其他代存*"),2))</f>
        <v/>
      </c>
      <c r="E230" s="18" t="str">
        <f>IF($B230="","",ROUND(SUMIFS(对接源_02物料!$K$4:$K$1203,对接源_02物料!$C$4:$C$1203,$B230,对接源_02物料!$D$4:$D$1203,"包装物料*"),2))</f>
        <v/>
      </c>
      <c r="F230" s="18" t="str">
        <f>IF($B230="","",ROUND(SUMIFS(对接源_02物料!$K$4:$K$1203,对接源_02物料!$C$4:$C$1203,$B230,对接源_02物料!$D$4:$D$1203,"周转筐*"),2))</f>
        <v/>
      </c>
      <c r="G230" s="18" t="str">
        <f>IF($B230="","",ROUND(SUMIFS(对接源_02物料!$K$4:$K$1203,对接源_02物料!$C$4:$C$1203,$B230,对接源_02物料!$D$4:$D$1203,"次果筐*"),2))</f>
        <v/>
      </c>
      <c r="H230" s="18" t="str">
        <f t="shared" si="13"/>
        <v/>
      </c>
      <c r="I230" s="18" t="str">
        <f>IF($B230="","",ROUND(SUMIFS(对接源_01水果!$K$4:$K$1203,对接源_01水果!$C$4:$C$1203,$B230,对接源_01水果!$D$4:$D$1203,"成品出库*",对接源_01水果!$L$4:$L$1203,"已收讫")+SUMIFS(对接源_01水果!$K$4:$K$1203,对接源_01水果!$C$4:$C$1203,$B230,对接源_01水果!$D$4:$D$1203,"成品出库*",对接源_01水果!$L$4:$L$1203,"已付款")+SUMIFS(对接源_01水果!$K$4:$K$1203,对接源_01水果!$C$4:$C$1203,$B230,对接源_01水果!$D$4:$D$1203,"其他代存*",对接源_01水果!$L$4:$L$1203,"已收讫")+SUMIFS(对接源_01水果!$K$4:$K$1203,对接源_01水果!$C$4:$C$1203,$B230,对接源_01水果!$D$4:$D$1203,"其他代存*",对接源_01水果!$L$4:$L$1203,"已付款")+SUMIFS(对接源_02物料!$K$4:$K$1203,对接源_02物料!$C$4:$C$1203,$B230,对接源_02物料!$D$4:$D$1203,"包装物料*",对接源_02物料!$L$4:$L$1203,"已收讫")+SUMIFS(对接源_02物料!$K$4:$K$1203,对接源_02物料!$C$4:$C$1203,$B230,对接源_02物料!$D$4:$D$1203,"包装物料*",对接源_02物料!$L$4:$L$1203,"已付款")+SUMIFS(对接源_02物料!$K$4:$K$1203,对接源_02物料!$C$4:$C$1203,$B230,对接源_02物料!$D$4:$D$1203,"周转筐*",对接源_02物料!$L$4:$L$1203,"已收讫")+SUMIFS(对接源_02物料!$K$4:$K$1203,对接源_02物料!$C$4:$C$1203,$B230,对接源_02物料!$D$4:$D$1203,"周转筐*",对接源_02物料!$L$4:$L$1203,"已付款")+SUMIFS(对接源_02物料!$K$4:$K$1203,对接源_02物料!$C$4:$C$1203,$B230,对接源_02物料!$D$4:$D$1203,"次果筐*",对接源_02物料!$L$4:$L$1203,"已收讫")+SUMIFS(对接源_02物料!$K$4:$K$1203,对接源_02物料!$C$4:$C$1203,$B230,对接源_02物料!$D$4:$D$1203,"次果筐*",对接源_02物料!$L$4:$L$1203,"已付款"),2))</f>
        <v/>
      </c>
      <c r="J230" s="18" t="str">
        <f t="shared" si="14"/>
        <v/>
      </c>
      <c r="K230" s="16" t="str">
        <f t="shared" si="15"/>
        <v/>
      </c>
      <c r="L230" s="26"/>
    </row>
    <row r="231" customHeight="1" spans="1:12">
      <c r="A231" s="16" t="str">
        <f t="shared" si="12"/>
        <v/>
      </c>
      <c r="B231" s="11" t="str">
        <f>IFERROR(INDEX(_自动清单!$E$4:$E$303,ROW()-3),"")</f>
        <v/>
      </c>
      <c r="C231" s="18" t="str">
        <f>IF($B231="","",ROUND(SUMIFS(对接源_01水果!$K$4:$K$1203,对接源_01水果!$C$4:$C$1203,$B231,对接源_01水果!$D$4:$D$1203,"成品出库*"),2))</f>
        <v/>
      </c>
      <c r="D231" s="18" t="str">
        <f>IF($B231="","",ROUND(SUMIFS(对接源_01水果!$K$4:$K$1203,对接源_01水果!$C$4:$C$1203,$B231,对接源_01水果!$D$4:$D$1203,"其他代存*"),2))</f>
        <v/>
      </c>
      <c r="E231" s="18" t="str">
        <f>IF($B231="","",ROUND(SUMIFS(对接源_02物料!$K$4:$K$1203,对接源_02物料!$C$4:$C$1203,$B231,对接源_02物料!$D$4:$D$1203,"包装物料*"),2))</f>
        <v/>
      </c>
      <c r="F231" s="18" t="str">
        <f>IF($B231="","",ROUND(SUMIFS(对接源_02物料!$K$4:$K$1203,对接源_02物料!$C$4:$C$1203,$B231,对接源_02物料!$D$4:$D$1203,"周转筐*"),2))</f>
        <v/>
      </c>
      <c r="G231" s="18" t="str">
        <f>IF($B231="","",ROUND(SUMIFS(对接源_02物料!$K$4:$K$1203,对接源_02物料!$C$4:$C$1203,$B231,对接源_02物料!$D$4:$D$1203,"次果筐*"),2))</f>
        <v/>
      </c>
      <c r="H231" s="18" t="str">
        <f t="shared" si="13"/>
        <v/>
      </c>
      <c r="I231" s="18" t="str">
        <f>IF($B231="","",ROUND(SUMIFS(对接源_01水果!$K$4:$K$1203,对接源_01水果!$C$4:$C$1203,$B231,对接源_01水果!$D$4:$D$1203,"成品出库*",对接源_01水果!$L$4:$L$1203,"已收讫")+SUMIFS(对接源_01水果!$K$4:$K$1203,对接源_01水果!$C$4:$C$1203,$B231,对接源_01水果!$D$4:$D$1203,"成品出库*",对接源_01水果!$L$4:$L$1203,"已付款")+SUMIFS(对接源_01水果!$K$4:$K$1203,对接源_01水果!$C$4:$C$1203,$B231,对接源_01水果!$D$4:$D$1203,"其他代存*",对接源_01水果!$L$4:$L$1203,"已收讫")+SUMIFS(对接源_01水果!$K$4:$K$1203,对接源_01水果!$C$4:$C$1203,$B231,对接源_01水果!$D$4:$D$1203,"其他代存*",对接源_01水果!$L$4:$L$1203,"已付款")+SUMIFS(对接源_02物料!$K$4:$K$1203,对接源_02物料!$C$4:$C$1203,$B231,对接源_02物料!$D$4:$D$1203,"包装物料*",对接源_02物料!$L$4:$L$1203,"已收讫")+SUMIFS(对接源_02物料!$K$4:$K$1203,对接源_02物料!$C$4:$C$1203,$B231,对接源_02物料!$D$4:$D$1203,"包装物料*",对接源_02物料!$L$4:$L$1203,"已付款")+SUMIFS(对接源_02物料!$K$4:$K$1203,对接源_02物料!$C$4:$C$1203,$B231,对接源_02物料!$D$4:$D$1203,"周转筐*",对接源_02物料!$L$4:$L$1203,"已收讫")+SUMIFS(对接源_02物料!$K$4:$K$1203,对接源_02物料!$C$4:$C$1203,$B231,对接源_02物料!$D$4:$D$1203,"周转筐*",对接源_02物料!$L$4:$L$1203,"已付款")+SUMIFS(对接源_02物料!$K$4:$K$1203,对接源_02物料!$C$4:$C$1203,$B231,对接源_02物料!$D$4:$D$1203,"次果筐*",对接源_02物料!$L$4:$L$1203,"已收讫")+SUMIFS(对接源_02物料!$K$4:$K$1203,对接源_02物料!$C$4:$C$1203,$B231,对接源_02物料!$D$4:$D$1203,"次果筐*",对接源_02物料!$L$4:$L$1203,"已付款"),2))</f>
        <v/>
      </c>
      <c r="J231" s="18" t="str">
        <f t="shared" si="14"/>
        <v/>
      </c>
      <c r="K231" s="16" t="str">
        <f t="shared" si="15"/>
        <v/>
      </c>
      <c r="L231" s="26"/>
    </row>
    <row r="232" customHeight="1" spans="1:12">
      <c r="A232" s="16" t="str">
        <f t="shared" si="12"/>
        <v/>
      </c>
      <c r="B232" s="11" t="str">
        <f>IFERROR(INDEX(_自动清单!$E$4:$E$303,ROW()-3),"")</f>
        <v/>
      </c>
      <c r="C232" s="18" t="str">
        <f>IF($B232="","",ROUND(SUMIFS(对接源_01水果!$K$4:$K$1203,对接源_01水果!$C$4:$C$1203,$B232,对接源_01水果!$D$4:$D$1203,"成品出库*"),2))</f>
        <v/>
      </c>
      <c r="D232" s="18" t="str">
        <f>IF($B232="","",ROUND(SUMIFS(对接源_01水果!$K$4:$K$1203,对接源_01水果!$C$4:$C$1203,$B232,对接源_01水果!$D$4:$D$1203,"其他代存*"),2))</f>
        <v/>
      </c>
      <c r="E232" s="18" t="str">
        <f>IF($B232="","",ROUND(SUMIFS(对接源_02物料!$K$4:$K$1203,对接源_02物料!$C$4:$C$1203,$B232,对接源_02物料!$D$4:$D$1203,"包装物料*"),2))</f>
        <v/>
      </c>
      <c r="F232" s="18" t="str">
        <f>IF($B232="","",ROUND(SUMIFS(对接源_02物料!$K$4:$K$1203,对接源_02物料!$C$4:$C$1203,$B232,对接源_02物料!$D$4:$D$1203,"周转筐*"),2))</f>
        <v/>
      </c>
      <c r="G232" s="18" t="str">
        <f>IF($B232="","",ROUND(SUMIFS(对接源_02物料!$K$4:$K$1203,对接源_02物料!$C$4:$C$1203,$B232,对接源_02物料!$D$4:$D$1203,"次果筐*"),2))</f>
        <v/>
      </c>
      <c r="H232" s="18" t="str">
        <f t="shared" si="13"/>
        <v/>
      </c>
      <c r="I232" s="18" t="str">
        <f>IF($B232="","",ROUND(SUMIFS(对接源_01水果!$K$4:$K$1203,对接源_01水果!$C$4:$C$1203,$B232,对接源_01水果!$D$4:$D$1203,"成品出库*",对接源_01水果!$L$4:$L$1203,"已收讫")+SUMIFS(对接源_01水果!$K$4:$K$1203,对接源_01水果!$C$4:$C$1203,$B232,对接源_01水果!$D$4:$D$1203,"成品出库*",对接源_01水果!$L$4:$L$1203,"已付款")+SUMIFS(对接源_01水果!$K$4:$K$1203,对接源_01水果!$C$4:$C$1203,$B232,对接源_01水果!$D$4:$D$1203,"其他代存*",对接源_01水果!$L$4:$L$1203,"已收讫")+SUMIFS(对接源_01水果!$K$4:$K$1203,对接源_01水果!$C$4:$C$1203,$B232,对接源_01水果!$D$4:$D$1203,"其他代存*",对接源_01水果!$L$4:$L$1203,"已付款")+SUMIFS(对接源_02物料!$K$4:$K$1203,对接源_02物料!$C$4:$C$1203,$B232,对接源_02物料!$D$4:$D$1203,"包装物料*",对接源_02物料!$L$4:$L$1203,"已收讫")+SUMIFS(对接源_02物料!$K$4:$K$1203,对接源_02物料!$C$4:$C$1203,$B232,对接源_02物料!$D$4:$D$1203,"包装物料*",对接源_02物料!$L$4:$L$1203,"已付款")+SUMIFS(对接源_02物料!$K$4:$K$1203,对接源_02物料!$C$4:$C$1203,$B232,对接源_02物料!$D$4:$D$1203,"周转筐*",对接源_02物料!$L$4:$L$1203,"已收讫")+SUMIFS(对接源_02物料!$K$4:$K$1203,对接源_02物料!$C$4:$C$1203,$B232,对接源_02物料!$D$4:$D$1203,"周转筐*",对接源_02物料!$L$4:$L$1203,"已付款")+SUMIFS(对接源_02物料!$K$4:$K$1203,对接源_02物料!$C$4:$C$1203,$B232,对接源_02物料!$D$4:$D$1203,"次果筐*",对接源_02物料!$L$4:$L$1203,"已收讫")+SUMIFS(对接源_02物料!$K$4:$K$1203,对接源_02物料!$C$4:$C$1203,$B232,对接源_02物料!$D$4:$D$1203,"次果筐*",对接源_02物料!$L$4:$L$1203,"已付款"),2))</f>
        <v/>
      </c>
      <c r="J232" s="18" t="str">
        <f t="shared" si="14"/>
        <v/>
      </c>
      <c r="K232" s="16" t="str">
        <f t="shared" si="15"/>
        <v/>
      </c>
      <c r="L232" s="26"/>
    </row>
    <row r="233" customHeight="1" spans="1:12">
      <c r="A233" s="16" t="str">
        <f t="shared" si="12"/>
        <v/>
      </c>
      <c r="B233" s="11" t="str">
        <f>IFERROR(INDEX(_自动清单!$E$4:$E$303,ROW()-3),"")</f>
        <v/>
      </c>
      <c r="C233" s="18" t="str">
        <f>IF($B233="","",ROUND(SUMIFS(对接源_01水果!$K$4:$K$1203,对接源_01水果!$C$4:$C$1203,$B233,对接源_01水果!$D$4:$D$1203,"成品出库*"),2))</f>
        <v/>
      </c>
      <c r="D233" s="18" t="str">
        <f>IF($B233="","",ROUND(SUMIFS(对接源_01水果!$K$4:$K$1203,对接源_01水果!$C$4:$C$1203,$B233,对接源_01水果!$D$4:$D$1203,"其他代存*"),2))</f>
        <v/>
      </c>
      <c r="E233" s="18" t="str">
        <f>IF($B233="","",ROUND(SUMIFS(对接源_02物料!$K$4:$K$1203,对接源_02物料!$C$4:$C$1203,$B233,对接源_02物料!$D$4:$D$1203,"包装物料*"),2))</f>
        <v/>
      </c>
      <c r="F233" s="18" t="str">
        <f>IF($B233="","",ROUND(SUMIFS(对接源_02物料!$K$4:$K$1203,对接源_02物料!$C$4:$C$1203,$B233,对接源_02物料!$D$4:$D$1203,"周转筐*"),2))</f>
        <v/>
      </c>
      <c r="G233" s="18" t="str">
        <f>IF($B233="","",ROUND(SUMIFS(对接源_02物料!$K$4:$K$1203,对接源_02物料!$C$4:$C$1203,$B233,对接源_02物料!$D$4:$D$1203,"次果筐*"),2))</f>
        <v/>
      </c>
      <c r="H233" s="18" t="str">
        <f t="shared" si="13"/>
        <v/>
      </c>
      <c r="I233" s="18" t="str">
        <f>IF($B233="","",ROUND(SUMIFS(对接源_01水果!$K$4:$K$1203,对接源_01水果!$C$4:$C$1203,$B233,对接源_01水果!$D$4:$D$1203,"成品出库*",对接源_01水果!$L$4:$L$1203,"已收讫")+SUMIFS(对接源_01水果!$K$4:$K$1203,对接源_01水果!$C$4:$C$1203,$B233,对接源_01水果!$D$4:$D$1203,"成品出库*",对接源_01水果!$L$4:$L$1203,"已付款")+SUMIFS(对接源_01水果!$K$4:$K$1203,对接源_01水果!$C$4:$C$1203,$B233,对接源_01水果!$D$4:$D$1203,"其他代存*",对接源_01水果!$L$4:$L$1203,"已收讫")+SUMIFS(对接源_01水果!$K$4:$K$1203,对接源_01水果!$C$4:$C$1203,$B233,对接源_01水果!$D$4:$D$1203,"其他代存*",对接源_01水果!$L$4:$L$1203,"已付款")+SUMIFS(对接源_02物料!$K$4:$K$1203,对接源_02物料!$C$4:$C$1203,$B233,对接源_02物料!$D$4:$D$1203,"包装物料*",对接源_02物料!$L$4:$L$1203,"已收讫")+SUMIFS(对接源_02物料!$K$4:$K$1203,对接源_02物料!$C$4:$C$1203,$B233,对接源_02物料!$D$4:$D$1203,"包装物料*",对接源_02物料!$L$4:$L$1203,"已付款")+SUMIFS(对接源_02物料!$K$4:$K$1203,对接源_02物料!$C$4:$C$1203,$B233,对接源_02物料!$D$4:$D$1203,"周转筐*",对接源_02物料!$L$4:$L$1203,"已收讫")+SUMIFS(对接源_02物料!$K$4:$K$1203,对接源_02物料!$C$4:$C$1203,$B233,对接源_02物料!$D$4:$D$1203,"周转筐*",对接源_02物料!$L$4:$L$1203,"已付款")+SUMIFS(对接源_02物料!$K$4:$K$1203,对接源_02物料!$C$4:$C$1203,$B233,对接源_02物料!$D$4:$D$1203,"次果筐*",对接源_02物料!$L$4:$L$1203,"已收讫")+SUMIFS(对接源_02物料!$K$4:$K$1203,对接源_02物料!$C$4:$C$1203,$B233,对接源_02物料!$D$4:$D$1203,"次果筐*",对接源_02物料!$L$4:$L$1203,"已付款"),2))</f>
        <v/>
      </c>
      <c r="J233" s="18" t="str">
        <f t="shared" si="14"/>
        <v/>
      </c>
      <c r="K233" s="16" t="str">
        <f t="shared" si="15"/>
        <v/>
      </c>
      <c r="L233" s="26"/>
    </row>
    <row r="234" customHeight="1" spans="1:12">
      <c r="A234" s="16" t="str">
        <f t="shared" si="12"/>
        <v/>
      </c>
      <c r="B234" s="11" t="str">
        <f>IFERROR(INDEX(_自动清单!$E$4:$E$303,ROW()-3),"")</f>
        <v/>
      </c>
      <c r="C234" s="18" t="str">
        <f>IF($B234="","",ROUND(SUMIFS(对接源_01水果!$K$4:$K$1203,对接源_01水果!$C$4:$C$1203,$B234,对接源_01水果!$D$4:$D$1203,"成品出库*"),2))</f>
        <v/>
      </c>
      <c r="D234" s="18" t="str">
        <f>IF($B234="","",ROUND(SUMIFS(对接源_01水果!$K$4:$K$1203,对接源_01水果!$C$4:$C$1203,$B234,对接源_01水果!$D$4:$D$1203,"其他代存*"),2))</f>
        <v/>
      </c>
      <c r="E234" s="18" t="str">
        <f>IF($B234="","",ROUND(SUMIFS(对接源_02物料!$K$4:$K$1203,对接源_02物料!$C$4:$C$1203,$B234,对接源_02物料!$D$4:$D$1203,"包装物料*"),2))</f>
        <v/>
      </c>
      <c r="F234" s="18" t="str">
        <f>IF($B234="","",ROUND(SUMIFS(对接源_02物料!$K$4:$K$1203,对接源_02物料!$C$4:$C$1203,$B234,对接源_02物料!$D$4:$D$1203,"周转筐*"),2))</f>
        <v/>
      </c>
      <c r="G234" s="18" t="str">
        <f>IF($B234="","",ROUND(SUMIFS(对接源_02物料!$K$4:$K$1203,对接源_02物料!$C$4:$C$1203,$B234,对接源_02物料!$D$4:$D$1203,"次果筐*"),2))</f>
        <v/>
      </c>
      <c r="H234" s="18" t="str">
        <f t="shared" si="13"/>
        <v/>
      </c>
      <c r="I234" s="18" t="str">
        <f>IF($B234="","",ROUND(SUMIFS(对接源_01水果!$K$4:$K$1203,对接源_01水果!$C$4:$C$1203,$B234,对接源_01水果!$D$4:$D$1203,"成品出库*",对接源_01水果!$L$4:$L$1203,"已收讫")+SUMIFS(对接源_01水果!$K$4:$K$1203,对接源_01水果!$C$4:$C$1203,$B234,对接源_01水果!$D$4:$D$1203,"成品出库*",对接源_01水果!$L$4:$L$1203,"已付款")+SUMIFS(对接源_01水果!$K$4:$K$1203,对接源_01水果!$C$4:$C$1203,$B234,对接源_01水果!$D$4:$D$1203,"其他代存*",对接源_01水果!$L$4:$L$1203,"已收讫")+SUMIFS(对接源_01水果!$K$4:$K$1203,对接源_01水果!$C$4:$C$1203,$B234,对接源_01水果!$D$4:$D$1203,"其他代存*",对接源_01水果!$L$4:$L$1203,"已付款")+SUMIFS(对接源_02物料!$K$4:$K$1203,对接源_02物料!$C$4:$C$1203,$B234,对接源_02物料!$D$4:$D$1203,"包装物料*",对接源_02物料!$L$4:$L$1203,"已收讫")+SUMIFS(对接源_02物料!$K$4:$K$1203,对接源_02物料!$C$4:$C$1203,$B234,对接源_02物料!$D$4:$D$1203,"包装物料*",对接源_02物料!$L$4:$L$1203,"已付款")+SUMIFS(对接源_02物料!$K$4:$K$1203,对接源_02物料!$C$4:$C$1203,$B234,对接源_02物料!$D$4:$D$1203,"周转筐*",对接源_02物料!$L$4:$L$1203,"已收讫")+SUMIFS(对接源_02物料!$K$4:$K$1203,对接源_02物料!$C$4:$C$1203,$B234,对接源_02物料!$D$4:$D$1203,"周转筐*",对接源_02物料!$L$4:$L$1203,"已付款")+SUMIFS(对接源_02物料!$K$4:$K$1203,对接源_02物料!$C$4:$C$1203,$B234,对接源_02物料!$D$4:$D$1203,"次果筐*",对接源_02物料!$L$4:$L$1203,"已收讫")+SUMIFS(对接源_02物料!$K$4:$K$1203,对接源_02物料!$C$4:$C$1203,$B234,对接源_02物料!$D$4:$D$1203,"次果筐*",对接源_02物料!$L$4:$L$1203,"已付款"),2))</f>
        <v/>
      </c>
      <c r="J234" s="18" t="str">
        <f t="shared" si="14"/>
        <v/>
      </c>
      <c r="K234" s="16" t="str">
        <f t="shared" si="15"/>
        <v/>
      </c>
      <c r="L234" s="26"/>
    </row>
    <row r="235" customHeight="1" spans="1:12">
      <c r="A235" s="16" t="str">
        <f t="shared" si="12"/>
        <v/>
      </c>
      <c r="B235" s="11" t="str">
        <f>IFERROR(INDEX(_自动清单!$E$4:$E$303,ROW()-3),"")</f>
        <v/>
      </c>
      <c r="C235" s="18" t="str">
        <f>IF($B235="","",ROUND(SUMIFS(对接源_01水果!$K$4:$K$1203,对接源_01水果!$C$4:$C$1203,$B235,对接源_01水果!$D$4:$D$1203,"成品出库*"),2))</f>
        <v/>
      </c>
      <c r="D235" s="18" t="str">
        <f>IF($B235="","",ROUND(SUMIFS(对接源_01水果!$K$4:$K$1203,对接源_01水果!$C$4:$C$1203,$B235,对接源_01水果!$D$4:$D$1203,"其他代存*"),2))</f>
        <v/>
      </c>
      <c r="E235" s="18" t="str">
        <f>IF($B235="","",ROUND(SUMIFS(对接源_02物料!$K$4:$K$1203,对接源_02物料!$C$4:$C$1203,$B235,对接源_02物料!$D$4:$D$1203,"包装物料*"),2))</f>
        <v/>
      </c>
      <c r="F235" s="18" t="str">
        <f>IF($B235="","",ROUND(SUMIFS(对接源_02物料!$K$4:$K$1203,对接源_02物料!$C$4:$C$1203,$B235,对接源_02物料!$D$4:$D$1203,"周转筐*"),2))</f>
        <v/>
      </c>
      <c r="G235" s="18" t="str">
        <f>IF($B235="","",ROUND(SUMIFS(对接源_02物料!$K$4:$K$1203,对接源_02物料!$C$4:$C$1203,$B235,对接源_02物料!$D$4:$D$1203,"次果筐*"),2))</f>
        <v/>
      </c>
      <c r="H235" s="18" t="str">
        <f t="shared" si="13"/>
        <v/>
      </c>
      <c r="I235" s="18" t="str">
        <f>IF($B235="","",ROUND(SUMIFS(对接源_01水果!$K$4:$K$1203,对接源_01水果!$C$4:$C$1203,$B235,对接源_01水果!$D$4:$D$1203,"成品出库*",对接源_01水果!$L$4:$L$1203,"已收讫")+SUMIFS(对接源_01水果!$K$4:$K$1203,对接源_01水果!$C$4:$C$1203,$B235,对接源_01水果!$D$4:$D$1203,"成品出库*",对接源_01水果!$L$4:$L$1203,"已付款")+SUMIFS(对接源_01水果!$K$4:$K$1203,对接源_01水果!$C$4:$C$1203,$B235,对接源_01水果!$D$4:$D$1203,"其他代存*",对接源_01水果!$L$4:$L$1203,"已收讫")+SUMIFS(对接源_01水果!$K$4:$K$1203,对接源_01水果!$C$4:$C$1203,$B235,对接源_01水果!$D$4:$D$1203,"其他代存*",对接源_01水果!$L$4:$L$1203,"已付款")+SUMIFS(对接源_02物料!$K$4:$K$1203,对接源_02物料!$C$4:$C$1203,$B235,对接源_02物料!$D$4:$D$1203,"包装物料*",对接源_02物料!$L$4:$L$1203,"已收讫")+SUMIFS(对接源_02物料!$K$4:$K$1203,对接源_02物料!$C$4:$C$1203,$B235,对接源_02物料!$D$4:$D$1203,"包装物料*",对接源_02物料!$L$4:$L$1203,"已付款")+SUMIFS(对接源_02物料!$K$4:$K$1203,对接源_02物料!$C$4:$C$1203,$B235,对接源_02物料!$D$4:$D$1203,"周转筐*",对接源_02物料!$L$4:$L$1203,"已收讫")+SUMIFS(对接源_02物料!$K$4:$K$1203,对接源_02物料!$C$4:$C$1203,$B235,对接源_02物料!$D$4:$D$1203,"周转筐*",对接源_02物料!$L$4:$L$1203,"已付款")+SUMIFS(对接源_02物料!$K$4:$K$1203,对接源_02物料!$C$4:$C$1203,$B235,对接源_02物料!$D$4:$D$1203,"次果筐*",对接源_02物料!$L$4:$L$1203,"已收讫")+SUMIFS(对接源_02物料!$K$4:$K$1203,对接源_02物料!$C$4:$C$1203,$B235,对接源_02物料!$D$4:$D$1203,"次果筐*",对接源_02物料!$L$4:$L$1203,"已付款"),2))</f>
        <v/>
      </c>
      <c r="J235" s="18" t="str">
        <f t="shared" si="14"/>
        <v/>
      </c>
      <c r="K235" s="16" t="str">
        <f t="shared" si="15"/>
        <v/>
      </c>
      <c r="L235" s="26"/>
    </row>
    <row r="236" customHeight="1" spans="1:12">
      <c r="A236" s="16" t="str">
        <f t="shared" si="12"/>
        <v/>
      </c>
      <c r="B236" s="11" t="str">
        <f>IFERROR(INDEX(_自动清单!$E$4:$E$303,ROW()-3),"")</f>
        <v/>
      </c>
      <c r="C236" s="18" t="str">
        <f>IF($B236="","",ROUND(SUMIFS(对接源_01水果!$K$4:$K$1203,对接源_01水果!$C$4:$C$1203,$B236,对接源_01水果!$D$4:$D$1203,"成品出库*"),2))</f>
        <v/>
      </c>
      <c r="D236" s="18" t="str">
        <f>IF($B236="","",ROUND(SUMIFS(对接源_01水果!$K$4:$K$1203,对接源_01水果!$C$4:$C$1203,$B236,对接源_01水果!$D$4:$D$1203,"其他代存*"),2))</f>
        <v/>
      </c>
      <c r="E236" s="18" t="str">
        <f>IF($B236="","",ROUND(SUMIFS(对接源_02物料!$K$4:$K$1203,对接源_02物料!$C$4:$C$1203,$B236,对接源_02物料!$D$4:$D$1203,"包装物料*"),2))</f>
        <v/>
      </c>
      <c r="F236" s="18" t="str">
        <f>IF($B236="","",ROUND(SUMIFS(对接源_02物料!$K$4:$K$1203,对接源_02物料!$C$4:$C$1203,$B236,对接源_02物料!$D$4:$D$1203,"周转筐*"),2))</f>
        <v/>
      </c>
      <c r="G236" s="18" t="str">
        <f>IF($B236="","",ROUND(SUMIFS(对接源_02物料!$K$4:$K$1203,对接源_02物料!$C$4:$C$1203,$B236,对接源_02物料!$D$4:$D$1203,"次果筐*"),2))</f>
        <v/>
      </c>
      <c r="H236" s="18" t="str">
        <f t="shared" si="13"/>
        <v/>
      </c>
      <c r="I236" s="18" t="str">
        <f>IF($B236="","",ROUND(SUMIFS(对接源_01水果!$K$4:$K$1203,对接源_01水果!$C$4:$C$1203,$B236,对接源_01水果!$D$4:$D$1203,"成品出库*",对接源_01水果!$L$4:$L$1203,"已收讫")+SUMIFS(对接源_01水果!$K$4:$K$1203,对接源_01水果!$C$4:$C$1203,$B236,对接源_01水果!$D$4:$D$1203,"成品出库*",对接源_01水果!$L$4:$L$1203,"已付款")+SUMIFS(对接源_01水果!$K$4:$K$1203,对接源_01水果!$C$4:$C$1203,$B236,对接源_01水果!$D$4:$D$1203,"其他代存*",对接源_01水果!$L$4:$L$1203,"已收讫")+SUMIFS(对接源_01水果!$K$4:$K$1203,对接源_01水果!$C$4:$C$1203,$B236,对接源_01水果!$D$4:$D$1203,"其他代存*",对接源_01水果!$L$4:$L$1203,"已付款")+SUMIFS(对接源_02物料!$K$4:$K$1203,对接源_02物料!$C$4:$C$1203,$B236,对接源_02物料!$D$4:$D$1203,"包装物料*",对接源_02物料!$L$4:$L$1203,"已收讫")+SUMIFS(对接源_02物料!$K$4:$K$1203,对接源_02物料!$C$4:$C$1203,$B236,对接源_02物料!$D$4:$D$1203,"包装物料*",对接源_02物料!$L$4:$L$1203,"已付款")+SUMIFS(对接源_02物料!$K$4:$K$1203,对接源_02物料!$C$4:$C$1203,$B236,对接源_02物料!$D$4:$D$1203,"周转筐*",对接源_02物料!$L$4:$L$1203,"已收讫")+SUMIFS(对接源_02物料!$K$4:$K$1203,对接源_02物料!$C$4:$C$1203,$B236,对接源_02物料!$D$4:$D$1203,"周转筐*",对接源_02物料!$L$4:$L$1203,"已付款")+SUMIFS(对接源_02物料!$K$4:$K$1203,对接源_02物料!$C$4:$C$1203,$B236,对接源_02物料!$D$4:$D$1203,"次果筐*",对接源_02物料!$L$4:$L$1203,"已收讫")+SUMIFS(对接源_02物料!$K$4:$K$1203,对接源_02物料!$C$4:$C$1203,$B236,对接源_02物料!$D$4:$D$1203,"次果筐*",对接源_02物料!$L$4:$L$1203,"已付款"),2))</f>
        <v/>
      </c>
      <c r="J236" s="18" t="str">
        <f t="shared" si="14"/>
        <v/>
      </c>
      <c r="K236" s="16" t="str">
        <f t="shared" si="15"/>
        <v/>
      </c>
      <c r="L236" s="26"/>
    </row>
    <row r="237" customHeight="1" spans="1:12">
      <c r="A237" s="16" t="str">
        <f t="shared" si="12"/>
        <v/>
      </c>
      <c r="B237" s="11" t="str">
        <f>IFERROR(INDEX(_自动清单!$E$4:$E$303,ROW()-3),"")</f>
        <v/>
      </c>
      <c r="C237" s="18" t="str">
        <f>IF($B237="","",ROUND(SUMIFS(对接源_01水果!$K$4:$K$1203,对接源_01水果!$C$4:$C$1203,$B237,对接源_01水果!$D$4:$D$1203,"成品出库*"),2))</f>
        <v/>
      </c>
      <c r="D237" s="18" t="str">
        <f>IF($B237="","",ROUND(SUMIFS(对接源_01水果!$K$4:$K$1203,对接源_01水果!$C$4:$C$1203,$B237,对接源_01水果!$D$4:$D$1203,"其他代存*"),2))</f>
        <v/>
      </c>
      <c r="E237" s="18" t="str">
        <f>IF($B237="","",ROUND(SUMIFS(对接源_02物料!$K$4:$K$1203,对接源_02物料!$C$4:$C$1203,$B237,对接源_02物料!$D$4:$D$1203,"包装物料*"),2))</f>
        <v/>
      </c>
      <c r="F237" s="18" t="str">
        <f>IF($B237="","",ROUND(SUMIFS(对接源_02物料!$K$4:$K$1203,对接源_02物料!$C$4:$C$1203,$B237,对接源_02物料!$D$4:$D$1203,"周转筐*"),2))</f>
        <v/>
      </c>
      <c r="G237" s="18" t="str">
        <f>IF($B237="","",ROUND(SUMIFS(对接源_02物料!$K$4:$K$1203,对接源_02物料!$C$4:$C$1203,$B237,对接源_02物料!$D$4:$D$1203,"次果筐*"),2))</f>
        <v/>
      </c>
      <c r="H237" s="18" t="str">
        <f t="shared" si="13"/>
        <v/>
      </c>
      <c r="I237" s="18" t="str">
        <f>IF($B237="","",ROUND(SUMIFS(对接源_01水果!$K$4:$K$1203,对接源_01水果!$C$4:$C$1203,$B237,对接源_01水果!$D$4:$D$1203,"成品出库*",对接源_01水果!$L$4:$L$1203,"已收讫")+SUMIFS(对接源_01水果!$K$4:$K$1203,对接源_01水果!$C$4:$C$1203,$B237,对接源_01水果!$D$4:$D$1203,"成品出库*",对接源_01水果!$L$4:$L$1203,"已付款")+SUMIFS(对接源_01水果!$K$4:$K$1203,对接源_01水果!$C$4:$C$1203,$B237,对接源_01水果!$D$4:$D$1203,"其他代存*",对接源_01水果!$L$4:$L$1203,"已收讫")+SUMIFS(对接源_01水果!$K$4:$K$1203,对接源_01水果!$C$4:$C$1203,$B237,对接源_01水果!$D$4:$D$1203,"其他代存*",对接源_01水果!$L$4:$L$1203,"已付款")+SUMIFS(对接源_02物料!$K$4:$K$1203,对接源_02物料!$C$4:$C$1203,$B237,对接源_02物料!$D$4:$D$1203,"包装物料*",对接源_02物料!$L$4:$L$1203,"已收讫")+SUMIFS(对接源_02物料!$K$4:$K$1203,对接源_02物料!$C$4:$C$1203,$B237,对接源_02物料!$D$4:$D$1203,"包装物料*",对接源_02物料!$L$4:$L$1203,"已付款")+SUMIFS(对接源_02物料!$K$4:$K$1203,对接源_02物料!$C$4:$C$1203,$B237,对接源_02物料!$D$4:$D$1203,"周转筐*",对接源_02物料!$L$4:$L$1203,"已收讫")+SUMIFS(对接源_02物料!$K$4:$K$1203,对接源_02物料!$C$4:$C$1203,$B237,对接源_02物料!$D$4:$D$1203,"周转筐*",对接源_02物料!$L$4:$L$1203,"已付款")+SUMIFS(对接源_02物料!$K$4:$K$1203,对接源_02物料!$C$4:$C$1203,$B237,对接源_02物料!$D$4:$D$1203,"次果筐*",对接源_02物料!$L$4:$L$1203,"已收讫")+SUMIFS(对接源_02物料!$K$4:$K$1203,对接源_02物料!$C$4:$C$1203,$B237,对接源_02物料!$D$4:$D$1203,"次果筐*",对接源_02物料!$L$4:$L$1203,"已付款"),2))</f>
        <v/>
      </c>
      <c r="J237" s="18" t="str">
        <f t="shared" si="14"/>
        <v/>
      </c>
      <c r="K237" s="16" t="str">
        <f t="shared" si="15"/>
        <v/>
      </c>
      <c r="L237" s="26"/>
    </row>
    <row r="238" customHeight="1" spans="1:12">
      <c r="A238" s="16" t="str">
        <f t="shared" si="12"/>
        <v/>
      </c>
      <c r="B238" s="11" t="str">
        <f>IFERROR(INDEX(_自动清单!$E$4:$E$303,ROW()-3),"")</f>
        <v/>
      </c>
      <c r="C238" s="18" t="str">
        <f>IF($B238="","",ROUND(SUMIFS(对接源_01水果!$K$4:$K$1203,对接源_01水果!$C$4:$C$1203,$B238,对接源_01水果!$D$4:$D$1203,"成品出库*"),2))</f>
        <v/>
      </c>
      <c r="D238" s="18" t="str">
        <f>IF($B238="","",ROUND(SUMIFS(对接源_01水果!$K$4:$K$1203,对接源_01水果!$C$4:$C$1203,$B238,对接源_01水果!$D$4:$D$1203,"其他代存*"),2))</f>
        <v/>
      </c>
      <c r="E238" s="18" t="str">
        <f>IF($B238="","",ROUND(SUMIFS(对接源_02物料!$K$4:$K$1203,对接源_02物料!$C$4:$C$1203,$B238,对接源_02物料!$D$4:$D$1203,"包装物料*"),2))</f>
        <v/>
      </c>
      <c r="F238" s="18" t="str">
        <f>IF($B238="","",ROUND(SUMIFS(对接源_02物料!$K$4:$K$1203,对接源_02物料!$C$4:$C$1203,$B238,对接源_02物料!$D$4:$D$1203,"周转筐*"),2))</f>
        <v/>
      </c>
      <c r="G238" s="18" t="str">
        <f>IF($B238="","",ROUND(SUMIFS(对接源_02物料!$K$4:$K$1203,对接源_02物料!$C$4:$C$1203,$B238,对接源_02物料!$D$4:$D$1203,"次果筐*"),2))</f>
        <v/>
      </c>
      <c r="H238" s="18" t="str">
        <f t="shared" si="13"/>
        <v/>
      </c>
      <c r="I238" s="18" t="str">
        <f>IF($B238="","",ROUND(SUMIFS(对接源_01水果!$K$4:$K$1203,对接源_01水果!$C$4:$C$1203,$B238,对接源_01水果!$D$4:$D$1203,"成品出库*",对接源_01水果!$L$4:$L$1203,"已收讫")+SUMIFS(对接源_01水果!$K$4:$K$1203,对接源_01水果!$C$4:$C$1203,$B238,对接源_01水果!$D$4:$D$1203,"成品出库*",对接源_01水果!$L$4:$L$1203,"已付款")+SUMIFS(对接源_01水果!$K$4:$K$1203,对接源_01水果!$C$4:$C$1203,$B238,对接源_01水果!$D$4:$D$1203,"其他代存*",对接源_01水果!$L$4:$L$1203,"已收讫")+SUMIFS(对接源_01水果!$K$4:$K$1203,对接源_01水果!$C$4:$C$1203,$B238,对接源_01水果!$D$4:$D$1203,"其他代存*",对接源_01水果!$L$4:$L$1203,"已付款")+SUMIFS(对接源_02物料!$K$4:$K$1203,对接源_02物料!$C$4:$C$1203,$B238,对接源_02物料!$D$4:$D$1203,"包装物料*",对接源_02物料!$L$4:$L$1203,"已收讫")+SUMIFS(对接源_02物料!$K$4:$K$1203,对接源_02物料!$C$4:$C$1203,$B238,对接源_02物料!$D$4:$D$1203,"包装物料*",对接源_02物料!$L$4:$L$1203,"已付款")+SUMIFS(对接源_02物料!$K$4:$K$1203,对接源_02物料!$C$4:$C$1203,$B238,对接源_02物料!$D$4:$D$1203,"周转筐*",对接源_02物料!$L$4:$L$1203,"已收讫")+SUMIFS(对接源_02物料!$K$4:$K$1203,对接源_02物料!$C$4:$C$1203,$B238,对接源_02物料!$D$4:$D$1203,"周转筐*",对接源_02物料!$L$4:$L$1203,"已付款")+SUMIFS(对接源_02物料!$K$4:$K$1203,对接源_02物料!$C$4:$C$1203,$B238,对接源_02物料!$D$4:$D$1203,"次果筐*",对接源_02物料!$L$4:$L$1203,"已收讫")+SUMIFS(对接源_02物料!$K$4:$K$1203,对接源_02物料!$C$4:$C$1203,$B238,对接源_02物料!$D$4:$D$1203,"次果筐*",对接源_02物料!$L$4:$L$1203,"已付款"),2))</f>
        <v/>
      </c>
      <c r="J238" s="18" t="str">
        <f t="shared" si="14"/>
        <v/>
      </c>
      <c r="K238" s="16" t="str">
        <f t="shared" si="15"/>
        <v/>
      </c>
      <c r="L238" s="26"/>
    </row>
    <row r="239" customHeight="1" spans="1:12">
      <c r="A239" s="16" t="str">
        <f t="shared" si="12"/>
        <v/>
      </c>
      <c r="B239" s="11" t="str">
        <f>IFERROR(INDEX(_自动清单!$E$4:$E$303,ROW()-3),"")</f>
        <v/>
      </c>
      <c r="C239" s="18" t="str">
        <f>IF($B239="","",ROUND(SUMIFS(对接源_01水果!$K$4:$K$1203,对接源_01水果!$C$4:$C$1203,$B239,对接源_01水果!$D$4:$D$1203,"成品出库*"),2))</f>
        <v/>
      </c>
      <c r="D239" s="18" t="str">
        <f>IF($B239="","",ROUND(SUMIFS(对接源_01水果!$K$4:$K$1203,对接源_01水果!$C$4:$C$1203,$B239,对接源_01水果!$D$4:$D$1203,"其他代存*"),2))</f>
        <v/>
      </c>
      <c r="E239" s="18" t="str">
        <f>IF($B239="","",ROUND(SUMIFS(对接源_02物料!$K$4:$K$1203,对接源_02物料!$C$4:$C$1203,$B239,对接源_02物料!$D$4:$D$1203,"包装物料*"),2))</f>
        <v/>
      </c>
      <c r="F239" s="18" t="str">
        <f>IF($B239="","",ROUND(SUMIFS(对接源_02物料!$K$4:$K$1203,对接源_02物料!$C$4:$C$1203,$B239,对接源_02物料!$D$4:$D$1203,"周转筐*"),2))</f>
        <v/>
      </c>
      <c r="G239" s="18" t="str">
        <f>IF($B239="","",ROUND(SUMIFS(对接源_02物料!$K$4:$K$1203,对接源_02物料!$C$4:$C$1203,$B239,对接源_02物料!$D$4:$D$1203,"次果筐*"),2))</f>
        <v/>
      </c>
      <c r="H239" s="18" t="str">
        <f t="shared" si="13"/>
        <v/>
      </c>
      <c r="I239" s="18" t="str">
        <f>IF($B239="","",ROUND(SUMIFS(对接源_01水果!$K$4:$K$1203,对接源_01水果!$C$4:$C$1203,$B239,对接源_01水果!$D$4:$D$1203,"成品出库*",对接源_01水果!$L$4:$L$1203,"已收讫")+SUMIFS(对接源_01水果!$K$4:$K$1203,对接源_01水果!$C$4:$C$1203,$B239,对接源_01水果!$D$4:$D$1203,"成品出库*",对接源_01水果!$L$4:$L$1203,"已付款")+SUMIFS(对接源_01水果!$K$4:$K$1203,对接源_01水果!$C$4:$C$1203,$B239,对接源_01水果!$D$4:$D$1203,"其他代存*",对接源_01水果!$L$4:$L$1203,"已收讫")+SUMIFS(对接源_01水果!$K$4:$K$1203,对接源_01水果!$C$4:$C$1203,$B239,对接源_01水果!$D$4:$D$1203,"其他代存*",对接源_01水果!$L$4:$L$1203,"已付款")+SUMIFS(对接源_02物料!$K$4:$K$1203,对接源_02物料!$C$4:$C$1203,$B239,对接源_02物料!$D$4:$D$1203,"包装物料*",对接源_02物料!$L$4:$L$1203,"已收讫")+SUMIFS(对接源_02物料!$K$4:$K$1203,对接源_02物料!$C$4:$C$1203,$B239,对接源_02物料!$D$4:$D$1203,"包装物料*",对接源_02物料!$L$4:$L$1203,"已付款")+SUMIFS(对接源_02物料!$K$4:$K$1203,对接源_02物料!$C$4:$C$1203,$B239,对接源_02物料!$D$4:$D$1203,"周转筐*",对接源_02物料!$L$4:$L$1203,"已收讫")+SUMIFS(对接源_02物料!$K$4:$K$1203,对接源_02物料!$C$4:$C$1203,$B239,对接源_02物料!$D$4:$D$1203,"周转筐*",对接源_02物料!$L$4:$L$1203,"已付款")+SUMIFS(对接源_02物料!$K$4:$K$1203,对接源_02物料!$C$4:$C$1203,$B239,对接源_02物料!$D$4:$D$1203,"次果筐*",对接源_02物料!$L$4:$L$1203,"已收讫")+SUMIFS(对接源_02物料!$K$4:$K$1203,对接源_02物料!$C$4:$C$1203,$B239,对接源_02物料!$D$4:$D$1203,"次果筐*",对接源_02物料!$L$4:$L$1203,"已付款"),2))</f>
        <v/>
      </c>
      <c r="J239" s="18" t="str">
        <f t="shared" si="14"/>
        <v/>
      </c>
      <c r="K239" s="16" t="str">
        <f t="shared" si="15"/>
        <v/>
      </c>
      <c r="L239" s="26"/>
    </row>
    <row r="240" customHeight="1" spans="1:12">
      <c r="A240" s="16" t="str">
        <f t="shared" si="12"/>
        <v/>
      </c>
      <c r="B240" s="11" t="str">
        <f>IFERROR(INDEX(_自动清单!$E$4:$E$303,ROW()-3),"")</f>
        <v/>
      </c>
      <c r="C240" s="18" t="str">
        <f>IF($B240="","",ROUND(SUMIFS(对接源_01水果!$K$4:$K$1203,对接源_01水果!$C$4:$C$1203,$B240,对接源_01水果!$D$4:$D$1203,"成品出库*"),2))</f>
        <v/>
      </c>
      <c r="D240" s="18" t="str">
        <f>IF($B240="","",ROUND(SUMIFS(对接源_01水果!$K$4:$K$1203,对接源_01水果!$C$4:$C$1203,$B240,对接源_01水果!$D$4:$D$1203,"其他代存*"),2))</f>
        <v/>
      </c>
      <c r="E240" s="18" t="str">
        <f>IF($B240="","",ROUND(SUMIFS(对接源_02物料!$K$4:$K$1203,对接源_02物料!$C$4:$C$1203,$B240,对接源_02物料!$D$4:$D$1203,"包装物料*"),2))</f>
        <v/>
      </c>
      <c r="F240" s="18" t="str">
        <f>IF($B240="","",ROUND(SUMIFS(对接源_02物料!$K$4:$K$1203,对接源_02物料!$C$4:$C$1203,$B240,对接源_02物料!$D$4:$D$1203,"周转筐*"),2))</f>
        <v/>
      </c>
      <c r="G240" s="18" t="str">
        <f>IF($B240="","",ROUND(SUMIFS(对接源_02物料!$K$4:$K$1203,对接源_02物料!$C$4:$C$1203,$B240,对接源_02物料!$D$4:$D$1203,"次果筐*"),2))</f>
        <v/>
      </c>
      <c r="H240" s="18" t="str">
        <f t="shared" si="13"/>
        <v/>
      </c>
      <c r="I240" s="18" t="str">
        <f>IF($B240="","",ROUND(SUMIFS(对接源_01水果!$K$4:$K$1203,对接源_01水果!$C$4:$C$1203,$B240,对接源_01水果!$D$4:$D$1203,"成品出库*",对接源_01水果!$L$4:$L$1203,"已收讫")+SUMIFS(对接源_01水果!$K$4:$K$1203,对接源_01水果!$C$4:$C$1203,$B240,对接源_01水果!$D$4:$D$1203,"成品出库*",对接源_01水果!$L$4:$L$1203,"已付款")+SUMIFS(对接源_01水果!$K$4:$K$1203,对接源_01水果!$C$4:$C$1203,$B240,对接源_01水果!$D$4:$D$1203,"其他代存*",对接源_01水果!$L$4:$L$1203,"已收讫")+SUMIFS(对接源_01水果!$K$4:$K$1203,对接源_01水果!$C$4:$C$1203,$B240,对接源_01水果!$D$4:$D$1203,"其他代存*",对接源_01水果!$L$4:$L$1203,"已付款")+SUMIFS(对接源_02物料!$K$4:$K$1203,对接源_02物料!$C$4:$C$1203,$B240,对接源_02物料!$D$4:$D$1203,"包装物料*",对接源_02物料!$L$4:$L$1203,"已收讫")+SUMIFS(对接源_02物料!$K$4:$K$1203,对接源_02物料!$C$4:$C$1203,$B240,对接源_02物料!$D$4:$D$1203,"包装物料*",对接源_02物料!$L$4:$L$1203,"已付款")+SUMIFS(对接源_02物料!$K$4:$K$1203,对接源_02物料!$C$4:$C$1203,$B240,对接源_02物料!$D$4:$D$1203,"周转筐*",对接源_02物料!$L$4:$L$1203,"已收讫")+SUMIFS(对接源_02物料!$K$4:$K$1203,对接源_02物料!$C$4:$C$1203,$B240,对接源_02物料!$D$4:$D$1203,"周转筐*",对接源_02物料!$L$4:$L$1203,"已付款")+SUMIFS(对接源_02物料!$K$4:$K$1203,对接源_02物料!$C$4:$C$1203,$B240,对接源_02物料!$D$4:$D$1203,"次果筐*",对接源_02物料!$L$4:$L$1203,"已收讫")+SUMIFS(对接源_02物料!$K$4:$K$1203,对接源_02物料!$C$4:$C$1203,$B240,对接源_02物料!$D$4:$D$1203,"次果筐*",对接源_02物料!$L$4:$L$1203,"已付款"),2))</f>
        <v/>
      </c>
      <c r="J240" s="18" t="str">
        <f t="shared" si="14"/>
        <v/>
      </c>
      <c r="K240" s="16" t="str">
        <f t="shared" si="15"/>
        <v/>
      </c>
      <c r="L240" s="26"/>
    </row>
    <row r="241" customHeight="1" spans="1:12">
      <c r="A241" s="16" t="str">
        <f t="shared" si="12"/>
        <v/>
      </c>
      <c r="B241" s="11" t="str">
        <f>IFERROR(INDEX(_自动清单!$E$4:$E$303,ROW()-3),"")</f>
        <v/>
      </c>
      <c r="C241" s="18" t="str">
        <f>IF($B241="","",ROUND(SUMIFS(对接源_01水果!$K$4:$K$1203,对接源_01水果!$C$4:$C$1203,$B241,对接源_01水果!$D$4:$D$1203,"成品出库*"),2))</f>
        <v/>
      </c>
      <c r="D241" s="18" t="str">
        <f>IF($B241="","",ROUND(SUMIFS(对接源_01水果!$K$4:$K$1203,对接源_01水果!$C$4:$C$1203,$B241,对接源_01水果!$D$4:$D$1203,"其他代存*"),2))</f>
        <v/>
      </c>
      <c r="E241" s="18" t="str">
        <f>IF($B241="","",ROUND(SUMIFS(对接源_02物料!$K$4:$K$1203,对接源_02物料!$C$4:$C$1203,$B241,对接源_02物料!$D$4:$D$1203,"包装物料*"),2))</f>
        <v/>
      </c>
      <c r="F241" s="18" t="str">
        <f>IF($B241="","",ROUND(SUMIFS(对接源_02物料!$K$4:$K$1203,对接源_02物料!$C$4:$C$1203,$B241,对接源_02物料!$D$4:$D$1203,"周转筐*"),2))</f>
        <v/>
      </c>
      <c r="G241" s="18" t="str">
        <f>IF($B241="","",ROUND(SUMIFS(对接源_02物料!$K$4:$K$1203,对接源_02物料!$C$4:$C$1203,$B241,对接源_02物料!$D$4:$D$1203,"次果筐*"),2))</f>
        <v/>
      </c>
      <c r="H241" s="18" t="str">
        <f t="shared" si="13"/>
        <v/>
      </c>
      <c r="I241" s="18" t="str">
        <f>IF($B241="","",ROUND(SUMIFS(对接源_01水果!$K$4:$K$1203,对接源_01水果!$C$4:$C$1203,$B241,对接源_01水果!$D$4:$D$1203,"成品出库*",对接源_01水果!$L$4:$L$1203,"已收讫")+SUMIFS(对接源_01水果!$K$4:$K$1203,对接源_01水果!$C$4:$C$1203,$B241,对接源_01水果!$D$4:$D$1203,"成品出库*",对接源_01水果!$L$4:$L$1203,"已付款")+SUMIFS(对接源_01水果!$K$4:$K$1203,对接源_01水果!$C$4:$C$1203,$B241,对接源_01水果!$D$4:$D$1203,"其他代存*",对接源_01水果!$L$4:$L$1203,"已收讫")+SUMIFS(对接源_01水果!$K$4:$K$1203,对接源_01水果!$C$4:$C$1203,$B241,对接源_01水果!$D$4:$D$1203,"其他代存*",对接源_01水果!$L$4:$L$1203,"已付款")+SUMIFS(对接源_02物料!$K$4:$K$1203,对接源_02物料!$C$4:$C$1203,$B241,对接源_02物料!$D$4:$D$1203,"包装物料*",对接源_02物料!$L$4:$L$1203,"已收讫")+SUMIFS(对接源_02物料!$K$4:$K$1203,对接源_02物料!$C$4:$C$1203,$B241,对接源_02物料!$D$4:$D$1203,"包装物料*",对接源_02物料!$L$4:$L$1203,"已付款")+SUMIFS(对接源_02物料!$K$4:$K$1203,对接源_02物料!$C$4:$C$1203,$B241,对接源_02物料!$D$4:$D$1203,"周转筐*",对接源_02物料!$L$4:$L$1203,"已收讫")+SUMIFS(对接源_02物料!$K$4:$K$1203,对接源_02物料!$C$4:$C$1203,$B241,对接源_02物料!$D$4:$D$1203,"周转筐*",对接源_02物料!$L$4:$L$1203,"已付款")+SUMIFS(对接源_02物料!$K$4:$K$1203,对接源_02物料!$C$4:$C$1203,$B241,对接源_02物料!$D$4:$D$1203,"次果筐*",对接源_02物料!$L$4:$L$1203,"已收讫")+SUMIFS(对接源_02物料!$K$4:$K$1203,对接源_02物料!$C$4:$C$1203,$B241,对接源_02物料!$D$4:$D$1203,"次果筐*",对接源_02物料!$L$4:$L$1203,"已付款"),2))</f>
        <v/>
      </c>
      <c r="J241" s="18" t="str">
        <f t="shared" si="14"/>
        <v/>
      </c>
      <c r="K241" s="16" t="str">
        <f t="shared" si="15"/>
        <v/>
      </c>
      <c r="L241" s="26"/>
    </row>
    <row r="242" customHeight="1" spans="1:12">
      <c r="A242" s="16" t="str">
        <f t="shared" si="12"/>
        <v/>
      </c>
      <c r="B242" s="11" t="str">
        <f>IFERROR(INDEX(_自动清单!$E$4:$E$303,ROW()-3),"")</f>
        <v/>
      </c>
      <c r="C242" s="18" t="str">
        <f>IF($B242="","",ROUND(SUMIFS(对接源_01水果!$K$4:$K$1203,对接源_01水果!$C$4:$C$1203,$B242,对接源_01水果!$D$4:$D$1203,"成品出库*"),2))</f>
        <v/>
      </c>
      <c r="D242" s="18" t="str">
        <f>IF($B242="","",ROUND(SUMIFS(对接源_01水果!$K$4:$K$1203,对接源_01水果!$C$4:$C$1203,$B242,对接源_01水果!$D$4:$D$1203,"其他代存*"),2))</f>
        <v/>
      </c>
      <c r="E242" s="18" t="str">
        <f>IF($B242="","",ROUND(SUMIFS(对接源_02物料!$K$4:$K$1203,对接源_02物料!$C$4:$C$1203,$B242,对接源_02物料!$D$4:$D$1203,"包装物料*"),2))</f>
        <v/>
      </c>
      <c r="F242" s="18" t="str">
        <f>IF($B242="","",ROUND(SUMIFS(对接源_02物料!$K$4:$K$1203,对接源_02物料!$C$4:$C$1203,$B242,对接源_02物料!$D$4:$D$1203,"周转筐*"),2))</f>
        <v/>
      </c>
      <c r="G242" s="18" t="str">
        <f>IF($B242="","",ROUND(SUMIFS(对接源_02物料!$K$4:$K$1203,对接源_02物料!$C$4:$C$1203,$B242,对接源_02物料!$D$4:$D$1203,"次果筐*"),2))</f>
        <v/>
      </c>
      <c r="H242" s="18" t="str">
        <f t="shared" si="13"/>
        <v/>
      </c>
      <c r="I242" s="18" t="str">
        <f>IF($B242="","",ROUND(SUMIFS(对接源_01水果!$K$4:$K$1203,对接源_01水果!$C$4:$C$1203,$B242,对接源_01水果!$D$4:$D$1203,"成品出库*",对接源_01水果!$L$4:$L$1203,"已收讫")+SUMIFS(对接源_01水果!$K$4:$K$1203,对接源_01水果!$C$4:$C$1203,$B242,对接源_01水果!$D$4:$D$1203,"成品出库*",对接源_01水果!$L$4:$L$1203,"已付款")+SUMIFS(对接源_01水果!$K$4:$K$1203,对接源_01水果!$C$4:$C$1203,$B242,对接源_01水果!$D$4:$D$1203,"其他代存*",对接源_01水果!$L$4:$L$1203,"已收讫")+SUMIFS(对接源_01水果!$K$4:$K$1203,对接源_01水果!$C$4:$C$1203,$B242,对接源_01水果!$D$4:$D$1203,"其他代存*",对接源_01水果!$L$4:$L$1203,"已付款")+SUMIFS(对接源_02物料!$K$4:$K$1203,对接源_02物料!$C$4:$C$1203,$B242,对接源_02物料!$D$4:$D$1203,"包装物料*",对接源_02物料!$L$4:$L$1203,"已收讫")+SUMIFS(对接源_02物料!$K$4:$K$1203,对接源_02物料!$C$4:$C$1203,$B242,对接源_02物料!$D$4:$D$1203,"包装物料*",对接源_02物料!$L$4:$L$1203,"已付款")+SUMIFS(对接源_02物料!$K$4:$K$1203,对接源_02物料!$C$4:$C$1203,$B242,对接源_02物料!$D$4:$D$1203,"周转筐*",对接源_02物料!$L$4:$L$1203,"已收讫")+SUMIFS(对接源_02物料!$K$4:$K$1203,对接源_02物料!$C$4:$C$1203,$B242,对接源_02物料!$D$4:$D$1203,"周转筐*",对接源_02物料!$L$4:$L$1203,"已付款")+SUMIFS(对接源_02物料!$K$4:$K$1203,对接源_02物料!$C$4:$C$1203,$B242,对接源_02物料!$D$4:$D$1203,"次果筐*",对接源_02物料!$L$4:$L$1203,"已收讫")+SUMIFS(对接源_02物料!$K$4:$K$1203,对接源_02物料!$C$4:$C$1203,$B242,对接源_02物料!$D$4:$D$1203,"次果筐*",对接源_02物料!$L$4:$L$1203,"已付款"),2))</f>
        <v/>
      </c>
      <c r="J242" s="18" t="str">
        <f t="shared" si="14"/>
        <v/>
      </c>
      <c r="K242" s="16" t="str">
        <f t="shared" si="15"/>
        <v/>
      </c>
      <c r="L242" s="26"/>
    </row>
    <row r="243" customHeight="1" spans="1:12">
      <c r="A243" s="16" t="str">
        <f t="shared" si="12"/>
        <v/>
      </c>
      <c r="B243" s="11" t="str">
        <f>IFERROR(INDEX(_自动清单!$E$4:$E$303,ROW()-3),"")</f>
        <v/>
      </c>
      <c r="C243" s="18" t="str">
        <f>IF($B243="","",ROUND(SUMIFS(对接源_01水果!$K$4:$K$1203,对接源_01水果!$C$4:$C$1203,$B243,对接源_01水果!$D$4:$D$1203,"成品出库*"),2))</f>
        <v/>
      </c>
      <c r="D243" s="18" t="str">
        <f>IF($B243="","",ROUND(SUMIFS(对接源_01水果!$K$4:$K$1203,对接源_01水果!$C$4:$C$1203,$B243,对接源_01水果!$D$4:$D$1203,"其他代存*"),2))</f>
        <v/>
      </c>
      <c r="E243" s="18" t="str">
        <f>IF($B243="","",ROUND(SUMIFS(对接源_02物料!$K$4:$K$1203,对接源_02物料!$C$4:$C$1203,$B243,对接源_02物料!$D$4:$D$1203,"包装物料*"),2))</f>
        <v/>
      </c>
      <c r="F243" s="18" t="str">
        <f>IF($B243="","",ROUND(SUMIFS(对接源_02物料!$K$4:$K$1203,对接源_02物料!$C$4:$C$1203,$B243,对接源_02物料!$D$4:$D$1203,"周转筐*"),2))</f>
        <v/>
      </c>
      <c r="G243" s="18" t="str">
        <f>IF($B243="","",ROUND(SUMIFS(对接源_02物料!$K$4:$K$1203,对接源_02物料!$C$4:$C$1203,$B243,对接源_02物料!$D$4:$D$1203,"次果筐*"),2))</f>
        <v/>
      </c>
      <c r="H243" s="18" t="str">
        <f t="shared" si="13"/>
        <v/>
      </c>
      <c r="I243" s="18" t="str">
        <f>IF($B243="","",ROUND(SUMIFS(对接源_01水果!$K$4:$K$1203,对接源_01水果!$C$4:$C$1203,$B243,对接源_01水果!$D$4:$D$1203,"成品出库*",对接源_01水果!$L$4:$L$1203,"已收讫")+SUMIFS(对接源_01水果!$K$4:$K$1203,对接源_01水果!$C$4:$C$1203,$B243,对接源_01水果!$D$4:$D$1203,"成品出库*",对接源_01水果!$L$4:$L$1203,"已付款")+SUMIFS(对接源_01水果!$K$4:$K$1203,对接源_01水果!$C$4:$C$1203,$B243,对接源_01水果!$D$4:$D$1203,"其他代存*",对接源_01水果!$L$4:$L$1203,"已收讫")+SUMIFS(对接源_01水果!$K$4:$K$1203,对接源_01水果!$C$4:$C$1203,$B243,对接源_01水果!$D$4:$D$1203,"其他代存*",对接源_01水果!$L$4:$L$1203,"已付款")+SUMIFS(对接源_02物料!$K$4:$K$1203,对接源_02物料!$C$4:$C$1203,$B243,对接源_02物料!$D$4:$D$1203,"包装物料*",对接源_02物料!$L$4:$L$1203,"已收讫")+SUMIFS(对接源_02物料!$K$4:$K$1203,对接源_02物料!$C$4:$C$1203,$B243,对接源_02物料!$D$4:$D$1203,"包装物料*",对接源_02物料!$L$4:$L$1203,"已付款")+SUMIFS(对接源_02物料!$K$4:$K$1203,对接源_02物料!$C$4:$C$1203,$B243,对接源_02物料!$D$4:$D$1203,"周转筐*",对接源_02物料!$L$4:$L$1203,"已收讫")+SUMIFS(对接源_02物料!$K$4:$K$1203,对接源_02物料!$C$4:$C$1203,$B243,对接源_02物料!$D$4:$D$1203,"周转筐*",对接源_02物料!$L$4:$L$1203,"已付款")+SUMIFS(对接源_02物料!$K$4:$K$1203,对接源_02物料!$C$4:$C$1203,$B243,对接源_02物料!$D$4:$D$1203,"次果筐*",对接源_02物料!$L$4:$L$1203,"已收讫")+SUMIFS(对接源_02物料!$K$4:$K$1203,对接源_02物料!$C$4:$C$1203,$B243,对接源_02物料!$D$4:$D$1203,"次果筐*",对接源_02物料!$L$4:$L$1203,"已付款"),2))</f>
        <v/>
      </c>
      <c r="J243" s="18" t="str">
        <f t="shared" si="14"/>
        <v/>
      </c>
      <c r="K243" s="16" t="str">
        <f t="shared" si="15"/>
        <v/>
      </c>
      <c r="L243" s="26"/>
    </row>
    <row r="244" customHeight="1" spans="1:12">
      <c r="A244" s="16" t="str">
        <f t="shared" si="12"/>
        <v/>
      </c>
      <c r="B244" s="11" t="str">
        <f>IFERROR(INDEX(_自动清单!$E$4:$E$303,ROW()-3),"")</f>
        <v/>
      </c>
      <c r="C244" s="18" t="str">
        <f>IF($B244="","",ROUND(SUMIFS(对接源_01水果!$K$4:$K$1203,对接源_01水果!$C$4:$C$1203,$B244,对接源_01水果!$D$4:$D$1203,"成品出库*"),2))</f>
        <v/>
      </c>
      <c r="D244" s="18" t="str">
        <f>IF($B244="","",ROUND(SUMIFS(对接源_01水果!$K$4:$K$1203,对接源_01水果!$C$4:$C$1203,$B244,对接源_01水果!$D$4:$D$1203,"其他代存*"),2))</f>
        <v/>
      </c>
      <c r="E244" s="18" t="str">
        <f>IF($B244="","",ROUND(SUMIFS(对接源_02物料!$K$4:$K$1203,对接源_02物料!$C$4:$C$1203,$B244,对接源_02物料!$D$4:$D$1203,"包装物料*"),2))</f>
        <v/>
      </c>
      <c r="F244" s="18" t="str">
        <f>IF($B244="","",ROUND(SUMIFS(对接源_02物料!$K$4:$K$1203,对接源_02物料!$C$4:$C$1203,$B244,对接源_02物料!$D$4:$D$1203,"周转筐*"),2))</f>
        <v/>
      </c>
      <c r="G244" s="18" t="str">
        <f>IF($B244="","",ROUND(SUMIFS(对接源_02物料!$K$4:$K$1203,对接源_02物料!$C$4:$C$1203,$B244,对接源_02物料!$D$4:$D$1203,"次果筐*"),2))</f>
        <v/>
      </c>
      <c r="H244" s="18" t="str">
        <f t="shared" si="13"/>
        <v/>
      </c>
      <c r="I244" s="18" t="str">
        <f>IF($B244="","",ROUND(SUMIFS(对接源_01水果!$K$4:$K$1203,对接源_01水果!$C$4:$C$1203,$B244,对接源_01水果!$D$4:$D$1203,"成品出库*",对接源_01水果!$L$4:$L$1203,"已收讫")+SUMIFS(对接源_01水果!$K$4:$K$1203,对接源_01水果!$C$4:$C$1203,$B244,对接源_01水果!$D$4:$D$1203,"成品出库*",对接源_01水果!$L$4:$L$1203,"已付款")+SUMIFS(对接源_01水果!$K$4:$K$1203,对接源_01水果!$C$4:$C$1203,$B244,对接源_01水果!$D$4:$D$1203,"其他代存*",对接源_01水果!$L$4:$L$1203,"已收讫")+SUMIFS(对接源_01水果!$K$4:$K$1203,对接源_01水果!$C$4:$C$1203,$B244,对接源_01水果!$D$4:$D$1203,"其他代存*",对接源_01水果!$L$4:$L$1203,"已付款")+SUMIFS(对接源_02物料!$K$4:$K$1203,对接源_02物料!$C$4:$C$1203,$B244,对接源_02物料!$D$4:$D$1203,"包装物料*",对接源_02物料!$L$4:$L$1203,"已收讫")+SUMIFS(对接源_02物料!$K$4:$K$1203,对接源_02物料!$C$4:$C$1203,$B244,对接源_02物料!$D$4:$D$1203,"包装物料*",对接源_02物料!$L$4:$L$1203,"已付款")+SUMIFS(对接源_02物料!$K$4:$K$1203,对接源_02物料!$C$4:$C$1203,$B244,对接源_02物料!$D$4:$D$1203,"周转筐*",对接源_02物料!$L$4:$L$1203,"已收讫")+SUMIFS(对接源_02物料!$K$4:$K$1203,对接源_02物料!$C$4:$C$1203,$B244,对接源_02物料!$D$4:$D$1203,"周转筐*",对接源_02物料!$L$4:$L$1203,"已付款")+SUMIFS(对接源_02物料!$K$4:$K$1203,对接源_02物料!$C$4:$C$1203,$B244,对接源_02物料!$D$4:$D$1203,"次果筐*",对接源_02物料!$L$4:$L$1203,"已收讫")+SUMIFS(对接源_02物料!$K$4:$K$1203,对接源_02物料!$C$4:$C$1203,$B244,对接源_02物料!$D$4:$D$1203,"次果筐*",对接源_02物料!$L$4:$L$1203,"已付款"),2))</f>
        <v/>
      </c>
      <c r="J244" s="18" t="str">
        <f t="shared" si="14"/>
        <v/>
      </c>
      <c r="K244" s="16" t="str">
        <f t="shared" si="15"/>
        <v/>
      </c>
      <c r="L244" s="26"/>
    </row>
    <row r="245" customHeight="1" spans="1:12">
      <c r="A245" s="16" t="str">
        <f t="shared" si="12"/>
        <v/>
      </c>
      <c r="B245" s="11" t="str">
        <f>IFERROR(INDEX(_自动清单!$E$4:$E$303,ROW()-3),"")</f>
        <v/>
      </c>
      <c r="C245" s="18" t="str">
        <f>IF($B245="","",ROUND(SUMIFS(对接源_01水果!$K$4:$K$1203,对接源_01水果!$C$4:$C$1203,$B245,对接源_01水果!$D$4:$D$1203,"成品出库*"),2))</f>
        <v/>
      </c>
      <c r="D245" s="18" t="str">
        <f>IF($B245="","",ROUND(SUMIFS(对接源_01水果!$K$4:$K$1203,对接源_01水果!$C$4:$C$1203,$B245,对接源_01水果!$D$4:$D$1203,"其他代存*"),2))</f>
        <v/>
      </c>
      <c r="E245" s="18" t="str">
        <f>IF($B245="","",ROUND(SUMIFS(对接源_02物料!$K$4:$K$1203,对接源_02物料!$C$4:$C$1203,$B245,对接源_02物料!$D$4:$D$1203,"包装物料*"),2))</f>
        <v/>
      </c>
      <c r="F245" s="18" t="str">
        <f>IF($B245="","",ROUND(SUMIFS(对接源_02物料!$K$4:$K$1203,对接源_02物料!$C$4:$C$1203,$B245,对接源_02物料!$D$4:$D$1203,"周转筐*"),2))</f>
        <v/>
      </c>
      <c r="G245" s="18" t="str">
        <f>IF($B245="","",ROUND(SUMIFS(对接源_02物料!$K$4:$K$1203,对接源_02物料!$C$4:$C$1203,$B245,对接源_02物料!$D$4:$D$1203,"次果筐*"),2))</f>
        <v/>
      </c>
      <c r="H245" s="18" t="str">
        <f t="shared" si="13"/>
        <v/>
      </c>
      <c r="I245" s="18" t="str">
        <f>IF($B245="","",ROUND(SUMIFS(对接源_01水果!$K$4:$K$1203,对接源_01水果!$C$4:$C$1203,$B245,对接源_01水果!$D$4:$D$1203,"成品出库*",对接源_01水果!$L$4:$L$1203,"已收讫")+SUMIFS(对接源_01水果!$K$4:$K$1203,对接源_01水果!$C$4:$C$1203,$B245,对接源_01水果!$D$4:$D$1203,"成品出库*",对接源_01水果!$L$4:$L$1203,"已付款")+SUMIFS(对接源_01水果!$K$4:$K$1203,对接源_01水果!$C$4:$C$1203,$B245,对接源_01水果!$D$4:$D$1203,"其他代存*",对接源_01水果!$L$4:$L$1203,"已收讫")+SUMIFS(对接源_01水果!$K$4:$K$1203,对接源_01水果!$C$4:$C$1203,$B245,对接源_01水果!$D$4:$D$1203,"其他代存*",对接源_01水果!$L$4:$L$1203,"已付款")+SUMIFS(对接源_02物料!$K$4:$K$1203,对接源_02物料!$C$4:$C$1203,$B245,对接源_02物料!$D$4:$D$1203,"包装物料*",对接源_02物料!$L$4:$L$1203,"已收讫")+SUMIFS(对接源_02物料!$K$4:$K$1203,对接源_02物料!$C$4:$C$1203,$B245,对接源_02物料!$D$4:$D$1203,"包装物料*",对接源_02物料!$L$4:$L$1203,"已付款")+SUMIFS(对接源_02物料!$K$4:$K$1203,对接源_02物料!$C$4:$C$1203,$B245,对接源_02物料!$D$4:$D$1203,"周转筐*",对接源_02物料!$L$4:$L$1203,"已收讫")+SUMIFS(对接源_02物料!$K$4:$K$1203,对接源_02物料!$C$4:$C$1203,$B245,对接源_02物料!$D$4:$D$1203,"周转筐*",对接源_02物料!$L$4:$L$1203,"已付款")+SUMIFS(对接源_02物料!$K$4:$K$1203,对接源_02物料!$C$4:$C$1203,$B245,对接源_02物料!$D$4:$D$1203,"次果筐*",对接源_02物料!$L$4:$L$1203,"已收讫")+SUMIFS(对接源_02物料!$K$4:$K$1203,对接源_02物料!$C$4:$C$1203,$B245,对接源_02物料!$D$4:$D$1203,"次果筐*",对接源_02物料!$L$4:$L$1203,"已付款"),2))</f>
        <v/>
      </c>
      <c r="J245" s="18" t="str">
        <f t="shared" si="14"/>
        <v/>
      </c>
      <c r="K245" s="16" t="str">
        <f t="shared" si="15"/>
        <v/>
      </c>
      <c r="L245" s="26"/>
    </row>
    <row r="246" customHeight="1" spans="1:12">
      <c r="A246" s="16" t="str">
        <f t="shared" si="12"/>
        <v/>
      </c>
      <c r="B246" s="11" t="str">
        <f>IFERROR(INDEX(_自动清单!$E$4:$E$303,ROW()-3),"")</f>
        <v/>
      </c>
      <c r="C246" s="18" t="str">
        <f>IF($B246="","",ROUND(SUMIFS(对接源_01水果!$K$4:$K$1203,对接源_01水果!$C$4:$C$1203,$B246,对接源_01水果!$D$4:$D$1203,"成品出库*"),2))</f>
        <v/>
      </c>
      <c r="D246" s="18" t="str">
        <f>IF($B246="","",ROUND(SUMIFS(对接源_01水果!$K$4:$K$1203,对接源_01水果!$C$4:$C$1203,$B246,对接源_01水果!$D$4:$D$1203,"其他代存*"),2))</f>
        <v/>
      </c>
      <c r="E246" s="18" t="str">
        <f>IF($B246="","",ROUND(SUMIFS(对接源_02物料!$K$4:$K$1203,对接源_02物料!$C$4:$C$1203,$B246,对接源_02物料!$D$4:$D$1203,"包装物料*"),2))</f>
        <v/>
      </c>
      <c r="F246" s="18" t="str">
        <f>IF($B246="","",ROUND(SUMIFS(对接源_02物料!$K$4:$K$1203,对接源_02物料!$C$4:$C$1203,$B246,对接源_02物料!$D$4:$D$1203,"周转筐*"),2))</f>
        <v/>
      </c>
      <c r="G246" s="18" t="str">
        <f>IF($B246="","",ROUND(SUMIFS(对接源_02物料!$K$4:$K$1203,对接源_02物料!$C$4:$C$1203,$B246,对接源_02物料!$D$4:$D$1203,"次果筐*"),2))</f>
        <v/>
      </c>
      <c r="H246" s="18" t="str">
        <f t="shared" si="13"/>
        <v/>
      </c>
      <c r="I246" s="18" t="str">
        <f>IF($B246="","",ROUND(SUMIFS(对接源_01水果!$K$4:$K$1203,对接源_01水果!$C$4:$C$1203,$B246,对接源_01水果!$D$4:$D$1203,"成品出库*",对接源_01水果!$L$4:$L$1203,"已收讫")+SUMIFS(对接源_01水果!$K$4:$K$1203,对接源_01水果!$C$4:$C$1203,$B246,对接源_01水果!$D$4:$D$1203,"成品出库*",对接源_01水果!$L$4:$L$1203,"已付款")+SUMIFS(对接源_01水果!$K$4:$K$1203,对接源_01水果!$C$4:$C$1203,$B246,对接源_01水果!$D$4:$D$1203,"其他代存*",对接源_01水果!$L$4:$L$1203,"已收讫")+SUMIFS(对接源_01水果!$K$4:$K$1203,对接源_01水果!$C$4:$C$1203,$B246,对接源_01水果!$D$4:$D$1203,"其他代存*",对接源_01水果!$L$4:$L$1203,"已付款")+SUMIFS(对接源_02物料!$K$4:$K$1203,对接源_02物料!$C$4:$C$1203,$B246,对接源_02物料!$D$4:$D$1203,"包装物料*",对接源_02物料!$L$4:$L$1203,"已收讫")+SUMIFS(对接源_02物料!$K$4:$K$1203,对接源_02物料!$C$4:$C$1203,$B246,对接源_02物料!$D$4:$D$1203,"包装物料*",对接源_02物料!$L$4:$L$1203,"已付款")+SUMIFS(对接源_02物料!$K$4:$K$1203,对接源_02物料!$C$4:$C$1203,$B246,对接源_02物料!$D$4:$D$1203,"周转筐*",对接源_02物料!$L$4:$L$1203,"已收讫")+SUMIFS(对接源_02物料!$K$4:$K$1203,对接源_02物料!$C$4:$C$1203,$B246,对接源_02物料!$D$4:$D$1203,"周转筐*",对接源_02物料!$L$4:$L$1203,"已付款")+SUMIFS(对接源_02物料!$K$4:$K$1203,对接源_02物料!$C$4:$C$1203,$B246,对接源_02物料!$D$4:$D$1203,"次果筐*",对接源_02物料!$L$4:$L$1203,"已收讫")+SUMIFS(对接源_02物料!$K$4:$K$1203,对接源_02物料!$C$4:$C$1203,$B246,对接源_02物料!$D$4:$D$1203,"次果筐*",对接源_02物料!$L$4:$L$1203,"已付款"),2))</f>
        <v/>
      </c>
      <c r="J246" s="18" t="str">
        <f t="shared" si="14"/>
        <v/>
      </c>
      <c r="K246" s="16" t="str">
        <f t="shared" si="15"/>
        <v/>
      </c>
      <c r="L246" s="26"/>
    </row>
    <row r="247" customHeight="1" spans="1:12">
      <c r="A247" s="16" t="str">
        <f t="shared" si="12"/>
        <v/>
      </c>
      <c r="B247" s="11" t="str">
        <f>IFERROR(INDEX(_自动清单!$E$4:$E$303,ROW()-3),"")</f>
        <v/>
      </c>
      <c r="C247" s="18" t="str">
        <f>IF($B247="","",ROUND(SUMIFS(对接源_01水果!$K$4:$K$1203,对接源_01水果!$C$4:$C$1203,$B247,对接源_01水果!$D$4:$D$1203,"成品出库*"),2))</f>
        <v/>
      </c>
      <c r="D247" s="18" t="str">
        <f>IF($B247="","",ROUND(SUMIFS(对接源_01水果!$K$4:$K$1203,对接源_01水果!$C$4:$C$1203,$B247,对接源_01水果!$D$4:$D$1203,"其他代存*"),2))</f>
        <v/>
      </c>
      <c r="E247" s="18" t="str">
        <f>IF($B247="","",ROUND(SUMIFS(对接源_02物料!$K$4:$K$1203,对接源_02物料!$C$4:$C$1203,$B247,对接源_02物料!$D$4:$D$1203,"包装物料*"),2))</f>
        <v/>
      </c>
      <c r="F247" s="18" t="str">
        <f>IF($B247="","",ROUND(SUMIFS(对接源_02物料!$K$4:$K$1203,对接源_02物料!$C$4:$C$1203,$B247,对接源_02物料!$D$4:$D$1203,"周转筐*"),2))</f>
        <v/>
      </c>
      <c r="G247" s="18" t="str">
        <f>IF($B247="","",ROUND(SUMIFS(对接源_02物料!$K$4:$K$1203,对接源_02物料!$C$4:$C$1203,$B247,对接源_02物料!$D$4:$D$1203,"次果筐*"),2))</f>
        <v/>
      </c>
      <c r="H247" s="18" t="str">
        <f t="shared" si="13"/>
        <v/>
      </c>
      <c r="I247" s="18" t="str">
        <f>IF($B247="","",ROUND(SUMIFS(对接源_01水果!$K$4:$K$1203,对接源_01水果!$C$4:$C$1203,$B247,对接源_01水果!$D$4:$D$1203,"成品出库*",对接源_01水果!$L$4:$L$1203,"已收讫")+SUMIFS(对接源_01水果!$K$4:$K$1203,对接源_01水果!$C$4:$C$1203,$B247,对接源_01水果!$D$4:$D$1203,"成品出库*",对接源_01水果!$L$4:$L$1203,"已付款")+SUMIFS(对接源_01水果!$K$4:$K$1203,对接源_01水果!$C$4:$C$1203,$B247,对接源_01水果!$D$4:$D$1203,"其他代存*",对接源_01水果!$L$4:$L$1203,"已收讫")+SUMIFS(对接源_01水果!$K$4:$K$1203,对接源_01水果!$C$4:$C$1203,$B247,对接源_01水果!$D$4:$D$1203,"其他代存*",对接源_01水果!$L$4:$L$1203,"已付款")+SUMIFS(对接源_02物料!$K$4:$K$1203,对接源_02物料!$C$4:$C$1203,$B247,对接源_02物料!$D$4:$D$1203,"包装物料*",对接源_02物料!$L$4:$L$1203,"已收讫")+SUMIFS(对接源_02物料!$K$4:$K$1203,对接源_02物料!$C$4:$C$1203,$B247,对接源_02物料!$D$4:$D$1203,"包装物料*",对接源_02物料!$L$4:$L$1203,"已付款")+SUMIFS(对接源_02物料!$K$4:$K$1203,对接源_02物料!$C$4:$C$1203,$B247,对接源_02物料!$D$4:$D$1203,"周转筐*",对接源_02物料!$L$4:$L$1203,"已收讫")+SUMIFS(对接源_02物料!$K$4:$K$1203,对接源_02物料!$C$4:$C$1203,$B247,对接源_02物料!$D$4:$D$1203,"周转筐*",对接源_02物料!$L$4:$L$1203,"已付款")+SUMIFS(对接源_02物料!$K$4:$K$1203,对接源_02物料!$C$4:$C$1203,$B247,对接源_02物料!$D$4:$D$1203,"次果筐*",对接源_02物料!$L$4:$L$1203,"已收讫")+SUMIFS(对接源_02物料!$K$4:$K$1203,对接源_02物料!$C$4:$C$1203,$B247,对接源_02物料!$D$4:$D$1203,"次果筐*",对接源_02物料!$L$4:$L$1203,"已付款"),2))</f>
        <v/>
      </c>
      <c r="J247" s="18" t="str">
        <f t="shared" si="14"/>
        <v/>
      </c>
      <c r="K247" s="16" t="str">
        <f t="shared" si="15"/>
        <v/>
      </c>
      <c r="L247" s="26"/>
    </row>
    <row r="248" customHeight="1" spans="1:12">
      <c r="A248" s="16" t="str">
        <f t="shared" si="12"/>
        <v/>
      </c>
      <c r="B248" s="11" t="str">
        <f>IFERROR(INDEX(_自动清单!$E$4:$E$303,ROW()-3),"")</f>
        <v/>
      </c>
      <c r="C248" s="18" t="str">
        <f>IF($B248="","",ROUND(SUMIFS(对接源_01水果!$K$4:$K$1203,对接源_01水果!$C$4:$C$1203,$B248,对接源_01水果!$D$4:$D$1203,"成品出库*"),2))</f>
        <v/>
      </c>
      <c r="D248" s="18" t="str">
        <f>IF($B248="","",ROUND(SUMIFS(对接源_01水果!$K$4:$K$1203,对接源_01水果!$C$4:$C$1203,$B248,对接源_01水果!$D$4:$D$1203,"其他代存*"),2))</f>
        <v/>
      </c>
      <c r="E248" s="18" t="str">
        <f>IF($B248="","",ROUND(SUMIFS(对接源_02物料!$K$4:$K$1203,对接源_02物料!$C$4:$C$1203,$B248,对接源_02物料!$D$4:$D$1203,"包装物料*"),2))</f>
        <v/>
      </c>
      <c r="F248" s="18" t="str">
        <f>IF($B248="","",ROUND(SUMIFS(对接源_02物料!$K$4:$K$1203,对接源_02物料!$C$4:$C$1203,$B248,对接源_02物料!$D$4:$D$1203,"周转筐*"),2))</f>
        <v/>
      </c>
      <c r="G248" s="18" t="str">
        <f>IF($B248="","",ROUND(SUMIFS(对接源_02物料!$K$4:$K$1203,对接源_02物料!$C$4:$C$1203,$B248,对接源_02物料!$D$4:$D$1203,"次果筐*"),2))</f>
        <v/>
      </c>
      <c r="H248" s="18" t="str">
        <f t="shared" si="13"/>
        <v/>
      </c>
      <c r="I248" s="18" t="str">
        <f>IF($B248="","",ROUND(SUMIFS(对接源_01水果!$K$4:$K$1203,对接源_01水果!$C$4:$C$1203,$B248,对接源_01水果!$D$4:$D$1203,"成品出库*",对接源_01水果!$L$4:$L$1203,"已收讫")+SUMIFS(对接源_01水果!$K$4:$K$1203,对接源_01水果!$C$4:$C$1203,$B248,对接源_01水果!$D$4:$D$1203,"成品出库*",对接源_01水果!$L$4:$L$1203,"已付款")+SUMIFS(对接源_01水果!$K$4:$K$1203,对接源_01水果!$C$4:$C$1203,$B248,对接源_01水果!$D$4:$D$1203,"其他代存*",对接源_01水果!$L$4:$L$1203,"已收讫")+SUMIFS(对接源_01水果!$K$4:$K$1203,对接源_01水果!$C$4:$C$1203,$B248,对接源_01水果!$D$4:$D$1203,"其他代存*",对接源_01水果!$L$4:$L$1203,"已付款")+SUMIFS(对接源_02物料!$K$4:$K$1203,对接源_02物料!$C$4:$C$1203,$B248,对接源_02物料!$D$4:$D$1203,"包装物料*",对接源_02物料!$L$4:$L$1203,"已收讫")+SUMIFS(对接源_02物料!$K$4:$K$1203,对接源_02物料!$C$4:$C$1203,$B248,对接源_02物料!$D$4:$D$1203,"包装物料*",对接源_02物料!$L$4:$L$1203,"已付款")+SUMIFS(对接源_02物料!$K$4:$K$1203,对接源_02物料!$C$4:$C$1203,$B248,对接源_02物料!$D$4:$D$1203,"周转筐*",对接源_02物料!$L$4:$L$1203,"已收讫")+SUMIFS(对接源_02物料!$K$4:$K$1203,对接源_02物料!$C$4:$C$1203,$B248,对接源_02物料!$D$4:$D$1203,"周转筐*",对接源_02物料!$L$4:$L$1203,"已付款")+SUMIFS(对接源_02物料!$K$4:$K$1203,对接源_02物料!$C$4:$C$1203,$B248,对接源_02物料!$D$4:$D$1203,"次果筐*",对接源_02物料!$L$4:$L$1203,"已收讫")+SUMIFS(对接源_02物料!$K$4:$K$1203,对接源_02物料!$C$4:$C$1203,$B248,对接源_02物料!$D$4:$D$1203,"次果筐*",对接源_02物料!$L$4:$L$1203,"已付款"),2))</f>
        <v/>
      </c>
      <c r="J248" s="18" t="str">
        <f t="shared" si="14"/>
        <v/>
      </c>
      <c r="K248" s="16" t="str">
        <f t="shared" si="15"/>
        <v/>
      </c>
      <c r="L248" s="26"/>
    </row>
    <row r="249" customHeight="1" spans="1:12">
      <c r="A249" s="16" t="str">
        <f t="shared" si="12"/>
        <v/>
      </c>
      <c r="B249" s="11" t="str">
        <f>IFERROR(INDEX(_自动清单!$E$4:$E$303,ROW()-3),"")</f>
        <v/>
      </c>
      <c r="C249" s="18" t="str">
        <f>IF($B249="","",ROUND(SUMIFS(对接源_01水果!$K$4:$K$1203,对接源_01水果!$C$4:$C$1203,$B249,对接源_01水果!$D$4:$D$1203,"成品出库*"),2))</f>
        <v/>
      </c>
      <c r="D249" s="18" t="str">
        <f>IF($B249="","",ROUND(SUMIFS(对接源_01水果!$K$4:$K$1203,对接源_01水果!$C$4:$C$1203,$B249,对接源_01水果!$D$4:$D$1203,"其他代存*"),2))</f>
        <v/>
      </c>
      <c r="E249" s="18" t="str">
        <f>IF($B249="","",ROUND(SUMIFS(对接源_02物料!$K$4:$K$1203,对接源_02物料!$C$4:$C$1203,$B249,对接源_02物料!$D$4:$D$1203,"包装物料*"),2))</f>
        <v/>
      </c>
      <c r="F249" s="18" t="str">
        <f>IF($B249="","",ROUND(SUMIFS(对接源_02物料!$K$4:$K$1203,对接源_02物料!$C$4:$C$1203,$B249,对接源_02物料!$D$4:$D$1203,"周转筐*"),2))</f>
        <v/>
      </c>
      <c r="G249" s="18" t="str">
        <f>IF($B249="","",ROUND(SUMIFS(对接源_02物料!$K$4:$K$1203,对接源_02物料!$C$4:$C$1203,$B249,对接源_02物料!$D$4:$D$1203,"次果筐*"),2))</f>
        <v/>
      </c>
      <c r="H249" s="18" t="str">
        <f t="shared" si="13"/>
        <v/>
      </c>
      <c r="I249" s="18" t="str">
        <f>IF($B249="","",ROUND(SUMIFS(对接源_01水果!$K$4:$K$1203,对接源_01水果!$C$4:$C$1203,$B249,对接源_01水果!$D$4:$D$1203,"成品出库*",对接源_01水果!$L$4:$L$1203,"已收讫")+SUMIFS(对接源_01水果!$K$4:$K$1203,对接源_01水果!$C$4:$C$1203,$B249,对接源_01水果!$D$4:$D$1203,"成品出库*",对接源_01水果!$L$4:$L$1203,"已付款")+SUMIFS(对接源_01水果!$K$4:$K$1203,对接源_01水果!$C$4:$C$1203,$B249,对接源_01水果!$D$4:$D$1203,"其他代存*",对接源_01水果!$L$4:$L$1203,"已收讫")+SUMIFS(对接源_01水果!$K$4:$K$1203,对接源_01水果!$C$4:$C$1203,$B249,对接源_01水果!$D$4:$D$1203,"其他代存*",对接源_01水果!$L$4:$L$1203,"已付款")+SUMIFS(对接源_02物料!$K$4:$K$1203,对接源_02物料!$C$4:$C$1203,$B249,对接源_02物料!$D$4:$D$1203,"包装物料*",对接源_02物料!$L$4:$L$1203,"已收讫")+SUMIFS(对接源_02物料!$K$4:$K$1203,对接源_02物料!$C$4:$C$1203,$B249,对接源_02物料!$D$4:$D$1203,"包装物料*",对接源_02物料!$L$4:$L$1203,"已付款")+SUMIFS(对接源_02物料!$K$4:$K$1203,对接源_02物料!$C$4:$C$1203,$B249,对接源_02物料!$D$4:$D$1203,"周转筐*",对接源_02物料!$L$4:$L$1203,"已收讫")+SUMIFS(对接源_02物料!$K$4:$K$1203,对接源_02物料!$C$4:$C$1203,$B249,对接源_02物料!$D$4:$D$1203,"周转筐*",对接源_02物料!$L$4:$L$1203,"已付款")+SUMIFS(对接源_02物料!$K$4:$K$1203,对接源_02物料!$C$4:$C$1203,$B249,对接源_02物料!$D$4:$D$1203,"次果筐*",对接源_02物料!$L$4:$L$1203,"已收讫")+SUMIFS(对接源_02物料!$K$4:$K$1203,对接源_02物料!$C$4:$C$1203,$B249,对接源_02物料!$D$4:$D$1203,"次果筐*",对接源_02物料!$L$4:$L$1203,"已付款"),2))</f>
        <v/>
      </c>
      <c r="J249" s="18" t="str">
        <f t="shared" si="14"/>
        <v/>
      </c>
      <c r="K249" s="16" t="str">
        <f t="shared" si="15"/>
        <v/>
      </c>
      <c r="L249" s="26"/>
    </row>
    <row r="250" customHeight="1" spans="1:12">
      <c r="A250" s="16" t="str">
        <f t="shared" si="12"/>
        <v/>
      </c>
      <c r="B250" s="11" t="str">
        <f>IFERROR(INDEX(_自动清单!$E$4:$E$303,ROW()-3),"")</f>
        <v/>
      </c>
      <c r="C250" s="18" t="str">
        <f>IF($B250="","",ROUND(SUMIFS(对接源_01水果!$K$4:$K$1203,对接源_01水果!$C$4:$C$1203,$B250,对接源_01水果!$D$4:$D$1203,"成品出库*"),2))</f>
        <v/>
      </c>
      <c r="D250" s="18" t="str">
        <f>IF($B250="","",ROUND(SUMIFS(对接源_01水果!$K$4:$K$1203,对接源_01水果!$C$4:$C$1203,$B250,对接源_01水果!$D$4:$D$1203,"其他代存*"),2))</f>
        <v/>
      </c>
      <c r="E250" s="18" t="str">
        <f>IF($B250="","",ROUND(SUMIFS(对接源_02物料!$K$4:$K$1203,对接源_02物料!$C$4:$C$1203,$B250,对接源_02物料!$D$4:$D$1203,"包装物料*"),2))</f>
        <v/>
      </c>
      <c r="F250" s="18" t="str">
        <f>IF($B250="","",ROUND(SUMIFS(对接源_02物料!$K$4:$K$1203,对接源_02物料!$C$4:$C$1203,$B250,对接源_02物料!$D$4:$D$1203,"周转筐*"),2))</f>
        <v/>
      </c>
      <c r="G250" s="18" t="str">
        <f>IF($B250="","",ROUND(SUMIFS(对接源_02物料!$K$4:$K$1203,对接源_02物料!$C$4:$C$1203,$B250,对接源_02物料!$D$4:$D$1203,"次果筐*"),2))</f>
        <v/>
      </c>
      <c r="H250" s="18" t="str">
        <f t="shared" si="13"/>
        <v/>
      </c>
      <c r="I250" s="18" t="str">
        <f>IF($B250="","",ROUND(SUMIFS(对接源_01水果!$K$4:$K$1203,对接源_01水果!$C$4:$C$1203,$B250,对接源_01水果!$D$4:$D$1203,"成品出库*",对接源_01水果!$L$4:$L$1203,"已收讫")+SUMIFS(对接源_01水果!$K$4:$K$1203,对接源_01水果!$C$4:$C$1203,$B250,对接源_01水果!$D$4:$D$1203,"成品出库*",对接源_01水果!$L$4:$L$1203,"已付款")+SUMIFS(对接源_01水果!$K$4:$K$1203,对接源_01水果!$C$4:$C$1203,$B250,对接源_01水果!$D$4:$D$1203,"其他代存*",对接源_01水果!$L$4:$L$1203,"已收讫")+SUMIFS(对接源_01水果!$K$4:$K$1203,对接源_01水果!$C$4:$C$1203,$B250,对接源_01水果!$D$4:$D$1203,"其他代存*",对接源_01水果!$L$4:$L$1203,"已付款")+SUMIFS(对接源_02物料!$K$4:$K$1203,对接源_02物料!$C$4:$C$1203,$B250,对接源_02物料!$D$4:$D$1203,"包装物料*",对接源_02物料!$L$4:$L$1203,"已收讫")+SUMIFS(对接源_02物料!$K$4:$K$1203,对接源_02物料!$C$4:$C$1203,$B250,对接源_02物料!$D$4:$D$1203,"包装物料*",对接源_02物料!$L$4:$L$1203,"已付款")+SUMIFS(对接源_02物料!$K$4:$K$1203,对接源_02物料!$C$4:$C$1203,$B250,对接源_02物料!$D$4:$D$1203,"周转筐*",对接源_02物料!$L$4:$L$1203,"已收讫")+SUMIFS(对接源_02物料!$K$4:$K$1203,对接源_02物料!$C$4:$C$1203,$B250,对接源_02物料!$D$4:$D$1203,"周转筐*",对接源_02物料!$L$4:$L$1203,"已付款")+SUMIFS(对接源_02物料!$K$4:$K$1203,对接源_02物料!$C$4:$C$1203,$B250,对接源_02物料!$D$4:$D$1203,"次果筐*",对接源_02物料!$L$4:$L$1203,"已收讫")+SUMIFS(对接源_02物料!$K$4:$K$1203,对接源_02物料!$C$4:$C$1203,$B250,对接源_02物料!$D$4:$D$1203,"次果筐*",对接源_02物料!$L$4:$L$1203,"已付款"),2))</f>
        <v/>
      </c>
      <c r="J250" s="18" t="str">
        <f t="shared" si="14"/>
        <v/>
      </c>
      <c r="K250" s="16" t="str">
        <f t="shared" si="15"/>
        <v/>
      </c>
      <c r="L250" s="26"/>
    </row>
    <row r="251" customHeight="1" spans="1:12">
      <c r="A251" s="16" t="str">
        <f t="shared" si="12"/>
        <v/>
      </c>
      <c r="B251" s="11" t="str">
        <f>IFERROR(INDEX(_自动清单!$E$4:$E$303,ROW()-3),"")</f>
        <v/>
      </c>
      <c r="C251" s="18" t="str">
        <f>IF($B251="","",ROUND(SUMIFS(对接源_01水果!$K$4:$K$1203,对接源_01水果!$C$4:$C$1203,$B251,对接源_01水果!$D$4:$D$1203,"成品出库*"),2))</f>
        <v/>
      </c>
      <c r="D251" s="18" t="str">
        <f>IF($B251="","",ROUND(SUMIFS(对接源_01水果!$K$4:$K$1203,对接源_01水果!$C$4:$C$1203,$B251,对接源_01水果!$D$4:$D$1203,"其他代存*"),2))</f>
        <v/>
      </c>
      <c r="E251" s="18" t="str">
        <f>IF($B251="","",ROUND(SUMIFS(对接源_02物料!$K$4:$K$1203,对接源_02物料!$C$4:$C$1203,$B251,对接源_02物料!$D$4:$D$1203,"包装物料*"),2))</f>
        <v/>
      </c>
      <c r="F251" s="18" t="str">
        <f>IF($B251="","",ROUND(SUMIFS(对接源_02物料!$K$4:$K$1203,对接源_02物料!$C$4:$C$1203,$B251,对接源_02物料!$D$4:$D$1203,"周转筐*"),2))</f>
        <v/>
      </c>
      <c r="G251" s="18" t="str">
        <f>IF($B251="","",ROUND(SUMIFS(对接源_02物料!$K$4:$K$1203,对接源_02物料!$C$4:$C$1203,$B251,对接源_02物料!$D$4:$D$1203,"次果筐*"),2))</f>
        <v/>
      </c>
      <c r="H251" s="18" t="str">
        <f t="shared" si="13"/>
        <v/>
      </c>
      <c r="I251" s="18" t="str">
        <f>IF($B251="","",ROUND(SUMIFS(对接源_01水果!$K$4:$K$1203,对接源_01水果!$C$4:$C$1203,$B251,对接源_01水果!$D$4:$D$1203,"成品出库*",对接源_01水果!$L$4:$L$1203,"已收讫")+SUMIFS(对接源_01水果!$K$4:$K$1203,对接源_01水果!$C$4:$C$1203,$B251,对接源_01水果!$D$4:$D$1203,"成品出库*",对接源_01水果!$L$4:$L$1203,"已付款")+SUMIFS(对接源_01水果!$K$4:$K$1203,对接源_01水果!$C$4:$C$1203,$B251,对接源_01水果!$D$4:$D$1203,"其他代存*",对接源_01水果!$L$4:$L$1203,"已收讫")+SUMIFS(对接源_01水果!$K$4:$K$1203,对接源_01水果!$C$4:$C$1203,$B251,对接源_01水果!$D$4:$D$1203,"其他代存*",对接源_01水果!$L$4:$L$1203,"已付款")+SUMIFS(对接源_02物料!$K$4:$K$1203,对接源_02物料!$C$4:$C$1203,$B251,对接源_02物料!$D$4:$D$1203,"包装物料*",对接源_02物料!$L$4:$L$1203,"已收讫")+SUMIFS(对接源_02物料!$K$4:$K$1203,对接源_02物料!$C$4:$C$1203,$B251,对接源_02物料!$D$4:$D$1203,"包装物料*",对接源_02物料!$L$4:$L$1203,"已付款")+SUMIFS(对接源_02物料!$K$4:$K$1203,对接源_02物料!$C$4:$C$1203,$B251,对接源_02物料!$D$4:$D$1203,"周转筐*",对接源_02物料!$L$4:$L$1203,"已收讫")+SUMIFS(对接源_02物料!$K$4:$K$1203,对接源_02物料!$C$4:$C$1203,$B251,对接源_02物料!$D$4:$D$1203,"周转筐*",对接源_02物料!$L$4:$L$1203,"已付款")+SUMIFS(对接源_02物料!$K$4:$K$1203,对接源_02物料!$C$4:$C$1203,$B251,对接源_02物料!$D$4:$D$1203,"次果筐*",对接源_02物料!$L$4:$L$1203,"已收讫")+SUMIFS(对接源_02物料!$K$4:$K$1203,对接源_02物料!$C$4:$C$1203,$B251,对接源_02物料!$D$4:$D$1203,"次果筐*",对接源_02物料!$L$4:$L$1203,"已付款"),2))</f>
        <v/>
      </c>
      <c r="J251" s="18" t="str">
        <f t="shared" si="14"/>
        <v/>
      </c>
      <c r="K251" s="16" t="str">
        <f t="shared" si="15"/>
        <v/>
      </c>
      <c r="L251" s="26"/>
    </row>
    <row r="252" customHeight="1" spans="1:12">
      <c r="A252" s="16" t="str">
        <f t="shared" si="12"/>
        <v/>
      </c>
      <c r="B252" s="11" t="str">
        <f>IFERROR(INDEX(_自动清单!$E$4:$E$303,ROW()-3),"")</f>
        <v/>
      </c>
      <c r="C252" s="18" t="str">
        <f>IF($B252="","",ROUND(SUMIFS(对接源_01水果!$K$4:$K$1203,对接源_01水果!$C$4:$C$1203,$B252,对接源_01水果!$D$4:$D$1203,"成品出库*"),2))</f>
        <v/>
      </c>
      <c r="D252" s="18" t="str">
        <f>IF($B252="","",ROUND(SUMIFS(对接源_01水果!$K$4:$K$1203,对接源_01水果!$C$4:$C$1203,$B252,对接源_01水果!$D$4:$D$1203,"其他代存*"),2))</f>
        <v/>
      </c>
      <c r="E252" s="18" t="str">
        <f>IF($B252="","",ROUND(SUMIFS(对接源_02物料!$K$4:$K$1203,对接源_02物料!$C$4:$C$1203,$B252,对接源_02物料!$D$4:$D$1203,"包装物料*"),2))</f>
        <v/>
      </c>
      <c r="F252" s="18" t="str">
        <f>IF($B252="","",ROUND(SUMIFS(对接源_02物料!$K$4:$K$1203,对接源_02物料!$C$4:$C$1203,$B252,对接源_02物料!$D$4:$D$1203,"周转筐*"),2))</f>
        <v/>
      </c>
      <c r="G252" s="18" t="str">
        <f>IF($B252="","",ROUND(SUMIFS(对接源_02物料!$K$4:$K$1203,对接源_02物料!$C$4:$C$1203,$B252,对接源_02物料!$D$4:$D$1203,"次果筐*"),2))</f>
        <v/>
      </c>
      <c r="H252" s="18" t="str">
        <f t="shared" si="13"/>
        <v/>
      </c>
      <c r="I252" s="18" t="str">
        <f>IF($B252="","",ROUND(SUMIFS(对接源_01水果!$K$4:$K$1203,对接源_01水果!$C$4:$C$1203,$B252,对接源_01水果!$D$4:$D$1203,"成品出库*",对接源_01水果!$L$4:$L$1203,"已收讫")+SUMIFS(对接源_01水果!$K$4:$K$1203,对接源_01水果!$C$4:$C$1203,$B252,对接源_01水果!$D$4:$D$1203,"成品出库*",对接源_01水果!$L$4:$L$1203,"已付款")+SUMIFS(对接源_01水果!$K$4:$K$1203,对接源_01水果!$C$4:$C$1203,$B252,对接源_01水果!$D$4:$D$1203,"其他代存*",对接源_01水果!$L$4:$L$1203,"已收讫")+SUMIFS(对接源_01水果!$K$4:$K$1203,对接源_01水果!$C$4:$C$1203,$B252,对接源_01水果!$D$4:$D$1203,"其他代存*",对接源_01水果!$L$4:$L$1203,"已付款")+SUMIFS(对接源_02物料!$K$4:$K$1203,对接源_02物料!$C$4:$C$1203,$B252,对接源_02物料!$D$4:$D$1203,"包装物料*",对接源_02物料!$L$4:$L$1203,"已收讫")+SUMIFS(对接源_02物料!$K$4:$K$1203,对接源_02物料!$C$4:$C$1203,$B252,对接源_02物料!$D$4:$D$1203,"包装物料*",对接源_02物料!$L$4:$L$1203,"已付款")+SUMIFS(对接源_02物料!$K$4:$K$1203,对接源_02物料!$C$4:$C$1203,$B252,对接源_02物料!$D$4:$D$1203,"周转筐*",对接源_02物料!$L$4:$L$1203,"已收讫")+SUMIFS(对接源_02物料!$K$4:$K$1203,对接源_02物料!$C$4:$C$1203,$B252,对接源_02物料!$D$4:$D$1203,"周转筐*",对接源_02物料!$L$4:$L$1203,"已付款")+SUMIFS(对接源_02物料!$K$4:$K$1203,对接源_02物料!$C$4:$C$1203,$B252,对接源_02物料!$D$4:$D$1203,"次果筐*",对接源_02物料!$L$4:$L$1203,"已收讫")+SUMIFS(对接源_02物料!$K$4:$K$1203,对接源_02物料!$C$4:$C$1203,$B252,对接源_02物料!$D$4:$D$1203,"次果筐*",对接源_02物料!$L$4:$L$1203,"已付款"),2))</f>
        <v/>
      </c>
      <c r="J252" s="18" t="str">
        <f t="shared" si="14"/>
        <v/>
      </c>
      <c r="K252" s="16" t="str">
        <f t="shared" si="15"/>
        <v/>
      </c>
      <c r="L252" s="26"/>
    </row>
    <row r="253" customHeight="1" spans="1:12">
      <c r="A253" s="16" t="str">
        <f t="shared" si="12"/>
        <v/>
      </c>
      <c r="B253" s="11" t="str">
        <f>IFERROR(INDEX(_自动清单!$E$4:$E$303,ROW()-3),"")</f>
        <v/>
      </c>
      <c r="C253" s="18" t="str">
        <f>IF($B253="","",ROUND(SUMIFS(对接源_01水果!$K$4:$K$1203,对接源_01水果!$C$4:$C$1203,$B253,对接源_01水果!$D$4:$D$1203,"成品出库*"),2))</f>
        <v/>
      </c>
      <c r="D253" s="18" t="str">
        <f>IF($B253="","",ROUND(SUMIFS(对接源_01水果!$K$4:$K$1203,对接源_01水果!$C$4:$C$1203,$B253,对接源_01水果!$D$4:$D$1203,"其他代存*"),2))</f>
        <v/>
      </c>
      <c r="E253" s="18" t="str">
        <f>IF($B253="","",ROUND(SUMIFS(对接源_02物料!$K$4:$K$1203,对接源_02物料!$C$4:$C$1203,$B253,对接源_02物料!$D$4:$D$1203,"包装物料*"),2))</f>
        <v/>
      </c>
      <c r="F253" s="18" t="str">
        <f>IF($B253="","",ROUND(SUMIFS(对接源_02物料!$K$4:$K$1203,对接源_02物料!$C$4:$C$1203,$B253,对接源_02物料!$D$4:$D$1203,"周转筐*"),2))</f>
        <v/>
      </c>
      <c r="G253" s="18" t="str">
        <f>IF($B253="","",ROUND(SUMIFS(对接源_02物料!$K$4:$K$1203,对接源_02物料!$C$4:$C$1203,$B253,对接源_02物料!$D$4:$D$1203,"次果筐*"),2))</f>
        <v/>
      </c>
      <c r="H253" s="18" t="str">
        <f t="shared" si="13"/>
        <v/>
      </c>
      <c r="I253" s="18" t="str">
        <f>IF($B253="","",ROUND(SUMIFS(对接源_01水果!$K$4:$K$1203,对接源_01水果!$C$4:$C$1203,$B253,对接源_01水果!$D$4:$D$1203,"成品出库*",对接源_01水果!$L$4:$L$1203,"已收讫")+SUMIFS(对接源_01水果!$K$4:$K$1203,对接源_01水果!$C$4:$C$1203,$B253,对接源_01水果!$D$4:$D$1203,"成品出库*",对接源_01水果!$L$4:$L$1203,"已付款")+SUMIFS(对接源_01水果!$K$4:$K$1203,对接源_01水果!$C$4:$C$1203,$B253,对接源_01水果!$D$4:$D$1203,"其他代存*",对接源_01水果!$L$4:$L$1203,"已收讫")+SUMIFS(对接源_01水果!$K$4:$K$1203,对接源_01水果!$C$4:$C$1203,$B253,对接源_01水果!$D$4:$D$1203,"其他代存*",对接源_01水果!$L$4:$L$1203,"已付款")+SUMIFS(对接源_02物料!$K$4:$K$1203,对接源_02物料!$C$4:$C$1203,$B253,对接源_02物料!$D$4:$D$1203,"包装物料*",对接源_02物料!$L$4:$L$1203,"已收讫")+SUMIFS(对接源_02物料!$K$4:$K$1203,对接源_02物料!$C$4:$C$1203,$B253,对接源_02物料!$D$4:$D$1203,"包装物料*",对接源_02物料!$L$4:$L$1203,"已付款")+SUMIFS(对接源_02物料!$K$4:$K$1203,对接源_02物料!$C$4:$C$1203,$B253,对接源_02物料!$D$4:$D$1203,"周转筐*",对接源_02物料!$L$4:$L$1203,"已收讫")+SUMIFS(对接源_02物料!$K$4:$K$1203,对接源_02物料!$C$4:$C$1203,$B253,对接源_02物料!$D$4:$D$1203,"周转筐*",对接源_02物料!$L$4:$L$1203,"已付款")+SUMIFS(对接源_02物料!$K$4:$K$1203,对接源_02物料!$C$4:$C$1203,$B253,对接源_02物料!$D$4:$D$1203,"次果筐*",对接源_02物料!$L$4:$L$1203,"已收讫")+SUMIFS(对接源_02物料!$K$4:$K$1203,对接源_02物料!$C$4:$C$1203,$B253,对接源_02物料!$D$4:$D$1203,"次果筐*",对接源_02物料!$L$4:$L$1203,"已付款"),2))</f>
        <v/>
      </c>
      <c r="J253" s="18" t="str">
        <f t="shared" si="14"/>
        <v/>
      </c>
      <c r="K253" s="16" t="str">
        <f t="shared" si="15"/>
        <v/>
      </c>
      <c r="L253" s="26"/>
    </row>
    <row r="254" customHeight="1" spans="1:12">
      <c r="A254" s="27"/>
      <c r="B254" s="27" t="s">
        <v>187</v>
      </c>
      <c r="C254" s="28">
        <f t="shared" ref="C254:J254" si="16">ROUND(SUM(C4:C253),2)</f>
        <v>430</v>
      </c>
      <c r="D254" s="28">
        <f t="shared" si="16"/>
        <v>0</v>
      </c>
      <c r="E254" s="28">
        <f t="shared" si="16"/>
        <v>104780</v>
      </c>
      <c r="F254" s="28">
        <f t="shared" si="16"/>
        <v>281760</v>
      </c>
      <c r="G254" s="28">
        <f t="shared" si="16"/>
        <v>475</v>
      </c>
      <c r="H254" s="28">
        <f t="shared" si="16"/>
        <v>387445</v>
      </c>
      <c r="I254" s="28">
        <f t="shared" si="16"/>
        <v>24320</v>
      </c>
      <c r="J254" s="28">
        <f t="shared" si="16"/>
        <v>363125</v>
      </c>
      <c r="K254" s="27"/>
      <c r="L254" s="27"/>
    </row>
  </sheetData>
  <mergeCells count="2">
    <mergeCell ref="A1:L1"/>
    <mergeCell ref="A2:L2"/>
  </mergeCells>
  <conditionalFormatting sqref="A2">
    <cfRule type="expression" dxfId="0" priority="2">
      <formula>(N(_自动清单!$A$1)&gt;250)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AJ1203"/>
  <sheetViews>
    <sheetView showGridLines="0" workbookViewId="0">
      <pane xSplit="1" ySplit="3" topLeftCell="B115" activePane="bottomRight" state="frozen"/>
      <selection/>
      <selection pane="topRight"/>
      <selection pane="bottomLeft"/>
      <selection pane="bottomRight" activeCell="R58" sqref="R58"/>
    </sheetView>
  </sheetViews>
  <sheetFormatPr defaultColWidth="12" defaultRowHeight="13.5"/>
  <cols>
    <col min="1" max="1" width="6" style="8" customWidth="1"/>
    <col min="2" max="2" width="12" style="8"/>
    <col min="3" max="3" width="10.1416666666667" style="8" customWidth="1"/>
    <col min="4" max="4" width="10.5" style="8" customWidth="1"/>
    <col min="5" max="5" width="14" style="8" customWidth="1"/>
    <col min="6" max="6" width="8.14166666666667" style="8" customWidth="1"/>
    <col min="7" max="7" width="12" style="8"/>
    <col min="8" max="8" width="7.64166666666667" style="8" customWidth="1"/>
    <col min="9" max="9" width="7" style="8" customWidth="1"/>
    <col min="10" max="10" width="12" style="8"/>
    <col min="11" max="11" width="13" style="8" customWidth="1"/>
    <col min="12" max="12" width="11" style="8" customWidth="1"/>
    <col min="13" max="13" width="16" style="8" customWidth="1"/>
    <col min="14" max="15" width="6" style="8" customWidth="1"/>
    <col min="16" max="16" width="2" style="8" customWidth="1"/>
    <col min="17" max="17" width="13" style="8" customWidth="1"/>
    <col min="18" max="18" width="60" style="8" customWidth="1"/>
    <col min="19" max="19" width="13" style="8" customWidth="1"/>
    <col min="20" max="22" width="10" style="8" customWidth="1"/>
    <col min="23" max="23" width="12" style="8"/>
    <col min="24" max="24" width="10" style="8" customWidth="1"/>
    <col min="25" max="25" width="13" style="8" customWidth="1"/>
    <col min="26" max="26" width="11" style="8" customWidth="1"/>
    <col min="27" max="27" width="15" style="8" customWidth="1"/>
    <col min="28" max="28" width="11" style="8" customWidth="1"/>
    <col min="29" max="16384" width="12" style="8"/>
  </cols>
  <sheetData>
    <row r="1" ht="30" customHeight="1" spans="1:36">
      <c r="A1" s="9" t="s">
        <v>199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Q1" s="10" t="s">
        <v>200</v>
      </c>
      <c r="R1" s="11">
        <f>MAX($O$4:$O$1203)</f>
        <v>420</v>
      </c>
    </row>
    <row r="2" ht="18" customHeight="1" spans="1:36">
      <c r="A2" s="12" t="str">
        <f>IF($R$4=1,"✔ 链接正常，已取到 "&amp;$R$1&amp;" 笔业务　｜　本表 1:1 对应《01 水果进销存台账》的【对账明细接口】，三个文件必须放在同一个文件夹，文件名也不要改","★★ 链接没接上！→ 请看本表右边 Q6 格的修复说明（往右拉一屏）")</f>
        <v>✔ 链接正常，已取到 420 笔业务　｜　本表 1:1 对应《01 水果进销存台账》的【对账明细接口】，三个文件必须放在同一个文件夹，文件名也不要改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Q2" s="10" t="s">
        <v>201</v>
      </c>
      <c r="R2" s="11" t="str">
        <f>IFERROR(IF([1]对账明细接口!$C$4=0,"未更新",[1]对账明细接口!$C$4),"断开")</f>
        <v>聂新平</v>
      </c>
    </row>
    <row r="3" ht="30" customHeight="1" spans="1:36">
      <c r="A3" s="13" t="s">
        <v>202</v>
      </c>
      <c r="B3" s="13" t="s">
        <v>203</v>
      </c>
      <c r="C3" s="13" t="s">
        <v>189</v>
      </c>
      <c r="D3" s="13" t="s">
        <v>86</v>
      </c>
      <c r="E3" s="13" t="s">
        <v>82</v>
      </c>
      <c r="F3" s="13" t="s">
        <v>204</v>
      </c>
      <c r="G3" s="13" t="s">
        <v>205</v>
      </c>
      <c r="H3" s="13" t="s">
        <v>135</v>
      </c>
      <c r="I3" s="13" t="s">
        <v>113</v>
      </c>
      <c r="J3" s="13" t="s">
        <v>206</v>
      </c>
      <c r="K3" s="13" t="s">
        <v>207</v>
      </c>
      <c r="L3" s="13" t="s">
        <v>116</v>
      </c>
      <c r="M3" s="13" t="s">
        <v>186</v>
      </c>
      <c r="N3" s="13" t="s">
        <v>208</v>
      </c>
      <c r="O3" s="13" t="s">
        <v>209</v>
      </c>
      <c r="Q3" s="10" t="s">
        <v>210</v>
      </c>
      <c r="R3" s="11">
        <f>COUNTA($C$4:$C$1203)</f>
        <v>1200</v>
      </c>
      <c r="S3" s="13" t="s">
        <v>81</v>
      </c>
      <c r="T3" s="13" t="s">
        <v>211</v>
      </c>
      <c r="U3" s="13" t="s">
        <v>212</v>
      </c>
      <c r="V3" s="13" t="s">
        <v>213</v>
      </c>
      <c r="W3" s="13" t="s">
        <v>99</v>
      </c>
      <c r="X3" s="13" t="s">
        <v>214</v>
      </c>
      <c r="Y3" s="13" t="s">
        <v>215</v>
      </c>
      <c r="Z3" s="13" t="s">
        <v>167</v>
      </c>
      <c r="AA3" s="13" t="s">
        <v>166</v>
      </c>
      <c r="AB3" s="13" t="s">
        <v>170</v>
      </c>
      <c r="AC3" s="23" t="s">
        <v>216</v>
      </c>
      <c r="AD3" s="23" t="s">
        <v>150</v>
      </c>
      <c r="AE3" s="23" t="s">
        <v>151</v>
      </c>
      <c r="AF3" s="23" t="s">
        <v>152</v>
      </c>
      <c r="AG3" s="23" t="s">
        <v>168</v>
      </c>
      <c r="AH3" s="23" t="s">
        <v>217</v>
      </c>
      <c r="AI3" s="23" t="s">
        <v>218</v>
      </c>
      <c r="AJ3" s="23" t="s">
        <v>169</v>
      </c>
    </row>
    <row r="4" ht="14.25" customHeight="1" spans="1:36">
      <c r="A4" s="14">
        <v>4</v>
      </c>
      <c r="B4" s="15">
        <f>IFERROR(IF([1]对账明细接口!$B$4=0,"",[1]对账明细接口!$B$4),"")</f>
        <v>46245</v>
      </c>
      <c r="C4" s="16" t="str">
        <f>IFERROR(IF([1]对账明细接口!$C$4=0,"",[1]对账明细接口!$C$4),"")</f>
        <v>聂新平</v>
      </c>
      <c r="D4" s="16" t="str">
        <f>IFERROR(IF([1]对账明细接口!$D$4=0,"",[1]对账明细接口!$D$4),"")</f>
        <v>原料入库</v>
      </c>
      <c r="E4" s="16" t="str">
        <f>IFERROR(IF([1]对账明细接口!$E$4=0,"",[1]对账明细接口!$E$4),"")</f>
        <v>NO0000756</v>
      </c>
      <c r="F4" s="16" t="str">
        <f>IFERROR(IF([1]对账明细接口!$F$4=0,"",[1]对账明细接口!$F$4),"")</f>
        <v>苹果</v>
      </c>
      <c r="G4" s="16" t="str">
        <f>IFERROR(IF([1]对账明细接口!$G$4=0,"",[1]对账明细接口!$G$4),"")</f>
        <v>嘎啦85#</v>
      </c>
      <c r="H4" s="17">
        <f>IFERROR(IF([1]对账明细接口!$H$4=0,"",[1]对账明细接口!$H$4),"")</f>
        <v>35</v>
      </c>
      <c r="I4" s="16" t="str">
        <f>IFERROR(IF([1]对账明细接口!$I$4=0,"",[1]对账明细接口!$I$4),"")</f>
        <v>筐</v>
      </c>
      <c r="J4" s="18">
        <f>IFERROR(IF([1]对账明细接口!$J$4=0,"",[1]对账明细接口!$J$4),"")</f>
        <v>763</v>
      </c>
      <c r="K4" s="18" t="str">
        <f>IFERROR(IF([1]对账明细接口!$K$4=0,"",[1]对账明细接口!$K$4),"")</f>
        <v/>
      </c>
      <c r="L4" s="16" t="str">
        <f>IFERROR(IF([1]对账明细接口!$L$4=0,"",[1]对账明细接口!$L$4),"")</f>
        <v/>
      </c>
      <c r="M4" s="16" t="str">
        <f>IFERROR(IF([1]对账明细接口!$M$4=0,"",[1]对账明细接口!$M$4),"")</f>
        <v/>
      </c>
      <c r="N4" s="19">
        <f t="shared" ref="N4:N67" si="0">IF($C4="",0,1)</f>
        <v>1</v>
      </c>
      <c r="O4" s="19">
        <f t="shared" ref="O4:O67" si="1">N(O3)+$N4</f>
        <v>1</v>
      </c>
      <c r="Q4" s="10" t="s">
        <v>219</v>
      </c>
      <c r="R4" s="11">
        <f>IF(OR($R$2="断开",$R$2="未更新"),0,1)</f>
        <v>1</v>
      </c>
      <c r="S4" s="20" t="str">
        <f>IFERROR(IF([1]对账明细接口!$N4=0,"",[1]对账明细接口!$N4),"")</f>
        <v>自备一次性筐</v>
      </c>
      <c r="T4" s="21" t="str">
        <f>IFERROR(IF([1]对账明细接口!$O4=0,"",[1]对账明细接口!$O4),"")</f>
        <v/>
      </c>
      <c r="U4" s="21" t="str">
        <f>IFERROR(IF([1]对账明细接口!$P4=0,"",[1]对账明细接口!$P4),"")</f>
        <v/>
      </c>
      <c r="V4" s="21">
        <f>IFERROR(IF([1]对账明细接口!$Q4=0,"",[1]对账明细接口!$Q4),"")</f>
        <v>35</v>
      </c>
      <c r="W4" s="20" t="str">
        <f>IFERROR(IF([1]对账明细接口!$R4=0,"",[1]对账明细接口!$R4),"")</f>
        <v>苏M*7G796</v>
      </c>
      <c r="X4" s="20" t="str">
        <f>IFERROR(IF([1]对账明细接口!$S4=0,"",[1]对账明细接口!$S4),"")</f>
        <v>自备筐</v>
      </c>
      <c r="Y4" s="20" t="str">
        <f>IFERROR(IF([1]对账明细接口!$T4=0,"",[1]对账明细接口!$T4),"")</f>
        <v/>
      </c>
      <c r="Z4" s="24" t="str">
        <f>IFERROR(IF([1]对账明细接口!$U4=0,"",[1]对账明细接口!$U4),"")</f>
        <v/>
      </c>
      <c r="AA4" s="24" t="str">
        <f>IFERROR(IF([1]对账明细接口!$V4=0,"",[1]对账明细接口!$V4),"")</f>
        <v/>
      </c>
      <c r="AB4" s="20" t="str">
        <f>IFERROR(IF([1]对账明细接口!$W4=0,"",[1]对账明细接口!$W4),"")</f>
        <v/>
      </c>
      <c r="AC4" s="7" t="str">
        <f>IFERROR(IF([1]对账明细接口!$X4=0,"",[1]对账明细接口!$X4),"")</f>
        <v/>
      </c>
      <c r="AD4" s="7" t="str">
        <f>IFERROR(IF([1]对账明细接口!$Y4=0,"",[1]对账明细接口!$Y4),"")</f>
        <v/>
      </c>
      <c r="AE4" s="7" t="str">
        <f>IFERROR(IF([1]对账明细接口!$AA4=0,"",[1]对账明细接口!$AA4),"")</f>
        <v/>
      </c>
      <c r="AF4" s="7" t="str">
        <f>IFERROR(IF([1]对账明细接口!$AB4=0,"",[1]对账明细接口!$AB4),"")</f>
        <v/>
      </c>
      <c r="AG4" s="7" t="str">
        <f>IFERROR(IF([1]对账明细接口!$AC4=0,"",[1]对账明细接口!$AC4),"")</f>
        <v/>
      </c>
      <c r="AH4" s="7" t="str">
        <f>IFERROR(IF([1]对账明细接口!$AD4=0,"",[1]对账明细接口!$AD4),"")</f>
        <v/>
      </c>
      <c r="AI4" s="7" t="str">
        <f>IFERROR(IF([1]对账明细接口!$AE4=0,"",[1]对账明细接口!$AE4),"")</f>
        <v/>
      </c>
      <c r="AJ4" s="7" t="str">
        <f>IFERROR(IF([1]对账明细接口!$AF4=0,"",[1]对账明细接口!$AF4),"")</f>
        <v/>
      </c>
    </row>
    <row r="5" ht="14.25" customHeight="1" spans="1:36">
      <c r="A5" s="14">
        <v>5</v>
      </c>
      <c r="B5" s="15">
        <f>IFERROR(IF([1]对账明细接口!$B$5=0,"",[1]对账明细接口!$B$5),"")</f>
        <v>46245</v>
      </c>
      <c r="C5" s="16" t="str">
        <f>IFERROR(IF([1]对账明细接口!$C$5=0,"",[1]对账明细接口!$C$5),"")</f>
        <v>聂新平</v>
      </c>
      <c r="D5" s="16" t="str">
        <f>IFERROR(IF([1]对账明细接口!$D$5=0,"",[1]对账明细接口!$D$5),"")</f>
        <v>原料入库</v>
      </c>
      <c r="E5" s="16" t="str">
        <f>IFERROR(IF([1]对账明细接口!$E$5=0,"",[1]对账明细接口!$E$5),"")</f>
        <v>NO0000756</v>
      </c>
      <c r="F5" s="16" t="str">
        <f>IFERROR(IF([1]对账明细接口!$F$5=0,"",[1]对账明细接口!$F$5),"")</f>
        <v>苹果</v>
      </c>
      <c r="G5" s="16" t="str">
        <f>IFERROR(IF([1]对账明细接口!$G$5=0,"",[1]对账明细接口!$G$5),"")</f>
        <v>嘎啦100#</v>
      </c>
      <c r="H5" s="17">
        <f>IFERROR(IF([1]对账明细接口!$H$5=0,"",[1]对账明细接口!$H$5),"")</f>
        <v>20</v>
      </c>
      <c r="I5" s="16" t="str">
        <f>IFERROR(IF([1]对账明细接口!$I$5=0,"",[1]对账明细接口!$I$5),"")</f>
        <v>筐</v>
      </c>
      <c r="J5" s="18">
        <f>IFERROR(IF([1]对账明细接口!$J$5=0,"",[1]对账明细接口!$J$5),"")</f>
        <v>436</v>
      </c>
      <c r="K5" s="18" t="str">
        <f>IFERROR(IF([1]对账明细接口!$K$5=0,"",[1]对账明细接口!$K$5),"")</f>
        <v/>
      </c>
      <c r="L5" s="16" t="str">
        <f>IFERROR(IF([1]对账明细接口!$L$5=0,"",[1]对账明细接口!$L$5),"")</f>
        <v/>
      </c>
      <c r="M5" s="16" t="str">
        <f>IFERROR(IF([1]对账明细接口!$M$5=0,"",[1]对账明细接口!$M$5),"")</f>
        <v/>
      </c>
      <c r="N5" s="19">
        <f t="shared" si="0"/>
        <v>1</v>
      </c>
      <c r="O5" s="19">
        <f t="shared" si="1"/>
        <v>2</v>
      </c>
      <c r="S5" s="20" t="str">
        <f>IFERROR(IF([1]对账明细接口!$N5=0,"",[1]对账明细接口!$N5),"")</f>
        <v>自备一次性筐</v>
      </c>
      <c r="T5" s="21" t="str">
        <f>IFERROR(IF([1]对账明细接口!$O5=0,"",[1]对账明细接口!$O5),"")</f>
        <v/>
      </c>
      <c r="U5" s="21" t="str">
        <f>IFERROR(IF([1]对账明细接口!$P5=0,"",[1]对账明细接口!$P5),"")</f>
        <v/>
      </c>
      <c r="V5" s="21">
        <f>IFERROR(IF([1]对账明细接口!$Q5=0,"",[1]对账明细接口!$Q5),"")</f>
        <v>20</v>
      </c>
      <c r="W5" s="20" t="str">
        <f>IFERROR(IF([1]对账明细接口!$R5=0,"",[1]对账明细接口!$R5),"")</f>
        <v>苏M*7G796</v>
      </c>
      <c r="X5" s="20" t="str">
        <f>IFERROR(IF([1]对账明细接口!$S5=0,"",[1]对账明细接口!$S5),"")</f>
        <v>自备筐</v>
      </c>
      <c r="Y5" s="20" t="str">
        <f>IFERROR(IF([1]对账明细接口!$T5=0,"",[1]对账明细接口!$T5),"")</f>
        <v/>
      </c>
      <c r="Z5" s="24" t="str">
        <f>IFERROR(IF([1]对账明细接口!$U5=0,"",[1]对账明细接口!$U5),"")</f>
        <v/>
      </c>
      <c r="AA5" s="24" t="str">
        <f>IFERROR(IF([1]对账明细接口!$V5=0,"",[1]对账明细接口!$V5),"")</f>
        <v/>
      </c>
      <c r="AB5" s="20" t="str">
        <f>IFERROR(IF([1]对账明细接口!$W5=0,"",[1]对账明细接口!$W5),"")</f>
        <v/>
      </c>
      <c r="AC5" s="7" t="str">
        <f>IFERROR(IF([1]对账明细接口!$X5=0,"",[1]对账明细接口!$X5),"")</f>
        <v/>
      </c>
      <c r="AD5" s="7" t="str">
        <f>IFERROR(IF([1]对账明细接口!$Y5=0,"",[1]对账明细接口!$Y5),"")</f>
        <v/>
      </c>
      <c r="AE5" s="7" t="str">
        <f>IFERROR(IF([1]对账明细接口!$AA5=0,"",[1]对账明细接口!$AA5),"")</f>
        <v/>
      </c>
      <c r="AF5" s="7" t="str">
        <f>IFERROR(IF([1]对账明细接口!$AB5=0,"",[1]对账明细接口!$AB5),"")</f>
        <v/>
      </c>
      <c r="AG5" s="7" t="str">
        <f>IFERROR(IF([1]对账明细接口!$AC5=0,"",[1]对账明细接口!$AC5),"")</f>
        <v/>
      </c>
      <c r="AH5" s="7" t="str">
        <f>IFERROR(IF([1]对账明细接口!$AD5=0,"",[1]对账明细接口!$AD5),"")</f>
        <v/>
      </c>
      <c r="AI5" s="7" t="str">
        <f>IFERROR(IF([1]对账明细接口!$AE5=0,"",[1]对账明细接口!$AE5),"")</f>
        <v/>
      </c>
      <c r="AJ5" s="7" t="str">
        <f>IFERROR(IF([1]对账明细接口!$AF5=0,"",[1]对账明细接口!$AF5),"")</f>
        <v/>
      </c>
    </row>
    <row r="6" ht="14.25" customHeight="1" spans="1:36">
      <c r="A6" s="14">
        <v>6</v>
      </c>
      <c r="B6" s="15">
        <f>IFERROR(IF([1]对账明细接口!$B$6=0,"",[1]对账明细接口!$B$6),"")</f>
        <v>46246</v>
      </c>
      <c r="C6" s="16" t="str">
        <f>IFERROR(IF([1]对账明细接口!$C$6=0,"",[1]对账明细接口!$C$6),"")</f>
        <v>聂新平</v>
      </c>
      <c r="D6" s="16" t="str">
        <f>IFERROR(IF([1]对账明细接口!$D$6=0,"",[1]对账明细接口!$D$6),"")</f>
        <v>原料入库</v>
      </c>
      <c r="E6" s="16" t="str">
        <f>IFERROR(IF([1]对账明细接口!$E$6=0,"",[1]对账明细接口!$E$6),"")</f>
        <v>NO0000758</v>
      </c>
      <c r="F6" s="16" t="str">
        <f>IFERROR(IF([1]对账明细接口!$F$6=0,"",[1]对账明细接口!$F$6),"")</f>
        <v>苹果</v>
      </c>
      <c r="G6" s="16" t="str">
        <f>IFERROR(IF([1]对账明细接口!$G$6=0,"",[1]对账明细接口!$G$6),"")</f>
        <v>嘎啦85#</v>
      </c>
      <c r="H6" s="17">
        <f>IFERROR(IF([1]对账明细接口!$H$6=0,"",[1]对账明细接口!$H$6),"")</f>
        <v>53</v>
      </c>
      <c r="I6" s="16" t="str">
        <f>IFERROR(IF([1]对账明细接口!$I$6=0,"",[1]对账明细接口!$I$6),"")</f>
        <v>筐</v>
      </c>
      <c r="J6" s="18">
        <f>IFERROR(IF([1]对账明细接口!$J$6=0,"",[1]对账明细接口!$J$6),"")</f>
        <v>1155.4</v>
      </c>
      <c r="K6" s="18" t="str">
        <f>IFERROR(IF([1]对账明细接口!$K$6=0,"",[1]对账明细接口!$K$6),"")</f>
        <v/>
      </c>
      <c r="L6" s="16" t="str">
        <f>IFERROR(IF([1]对账明细接口!$L$6=0,"",[1]对账明细接口!$L$6),"")</f>
        <v/>
      </c>
      <c r="M6" s="16" t="str">
        <f>IFERROR(IF([1]对账明细接口!$M$6=0,"",[1]对账明细接口!$M$6),"")</f>
        <v/>
      </c>
      <c r="N6" s="19">
        <f t="shared" si="0"/>
        <v>1</v>
      </c>
      <c r="O6" s="19">
        <f t="shared" si="1"/>
        <v>3</v>
      </c>
      <c r="Q6" s="22" t="str">
        <f>IF($R$4=1,"✔ 链接正常，已自动取到 "&amp;$R$1&amp;" 笔业务。","★★ 取不到《01_水果进销存台账模板.xlsx》的数据。可能是：① 打开本文件时没点【更新】；② 那个文件被改名或挪走了。修复：菜单【数据】→【编辑链接】→先点【立即更新值】；还取不到数就点【更改源】重新指向《01_水果进销存台账模板.xlsx》。注意：本册只是查询工具，取不到数就是空的，不会算错账，放心。")</f>
        <v>✔ 链接正常，已自动取到 420 笔业务。</v>
      </c>
      <c r="R6" s="22"/>
      <c r="S6" s="20" t="str">
        <f>IFERROR(IF([1]对账明细接口!$N6=0,"",[1]对账明细接口!$N6),"")</f>
        <v>自备一次性筐</v>
      </c>
      <c r="T6" s="21" t="str">
        <f>IFERROR(IF([1]对账明细接口!$O6=0,"",[1]对账明细接口!$O6),"")</f>
        <v/>
      </c>
      <c r="U6" s="21" t="str">
        <f>IFERROR(IF([1]对账明细接口!$P6=0,"",[1]对账明细接口!$P6),"")</f>
        <v/>
      </c>
      <c r="V6" s="21">
        <f>IFERROR(IF([1]对账明细接口!$Q6=0,"",[1]对账明细接口!$Q6),"")</f>
        <v>53</v>
      </c>
      <c r="W6" s="20" t="str">
        <f>IFERROR(IF([1]对账明细接口!$R6=0,"",[1]对账明细接口!$R6),"")</f>
        <v>苏M*7G796</v>
      </c>
      <c r="X6" s="20" t="str">
        <f>IFERROR(IF([1]对账明细接口!$S6=0,"",[1]对账明细接口!$S6),"")</f>
        <v>自备筐</v>
      </c>
      <c r="Y6" s="20" t="str">
        <f>IFERROR(IF([1]对账明细接口!$T6=0,"",[1]对账明细接口!$T6),"")</f>
        <v/>
      </c>
      <c r="Z6" s="24" t="str">
        <f>IFERROR(IF([1]对账明细接口!$U6=0,"",[1]对账明细接口!$U6),"")</f>
        <v/>
      </c>
      <c r="AA6" s="24" t="str">
        <f>IFERROR(IF([1]对账明细接口!$V6=0,"",[1]对账明细接口!$V6),"")</f>
        <v/>
      </c>
      <c r="AB6" s="20" t="str">
        <f>IFERROR(IF([1]对账明细接口!$W6=0,"",[1]对账明细接口!$W6),"")</f>
        <v/>
      </c>
      <c r="AC6" s="7" t="str">
        <f>IFERROR(IF([1]对账明细接口!$X6=0,"",[1]对账明细接口!$X6),"")</f>
        <v/>
      </c>
      <c r="AD6" s="7" t="str">
        <f>IFERROR(IF([1]对账明细接口!$Y6=0,"",[1]对账明细接口!$Y6),"")</f>
        <v/>
      </c>
      <c r="AE6" s="7" t="str">
        <f>IFERROR(IF([1]对账明细接口!$AA6=0,"",[1]对账明细接口!$AA6),"")</f>
        <v/>
      </c>
      <c r="AF6" s="7" t="str">
        <f>IFERROR(IF([1]对账明细接口!$AB6=0,"",[1]对账明细接口!$AB6),"")</f>
        <v/>
      </c>
      <c r="AG6" s="7" t="str">
        <f>IFERROR(IF([1]对账明细接口!$AC6=0,"",[1]对账明细接口!$AC6),"")</f>
        <v/>
      </c>
      <c r="AH6" s="7" t="str">
        <f>IFERROR(IF([1]对账明细接口!$AD6=0,"",[1]对账明细接口!$AD6),"")</f>
        <v/>
      </c>
      <c r="AI6" s="7" t="str">
        <f>IFERROR(IF([1]对账明细接口!$AE6=0,"",[1]对账明细接口!$AE6),"")</f>
        <v/>
      </c>
      <c r="AJ6" s="7" t="str">
        <f>IFERROR(IF([1]对账明细接口!$AF6=0,"",[1]对账明细接口!$AF6),"")</f>
        <v/>
      </c>
    </row>
    <row r="7" ht="14.25" customHeight="1" spans="1:36">
      <c r="A7" s="14">
        <v>7</v>
      </c>
      <c r="B7" s="15">
        <f>IFERROR(IF([1]对账明细接口!$B$7=0,"",[1]对账明细接口!$B$7),"")</f>
        <v>46246</v>
      </c>
      <c r="C7" s="16" t="str">
        <f>IFERROR(IF([1]对账明细接口!$C$7=0,"",[1]对账明细接口!$C$7),"")</f>
        <v>聂新平</v>
      </c>
      <c r="D7" s="16" t="str">
        <f>IFERROR(IF([1]对账明细接口!$D$7=0,"",[1]对账明细接口!$D$7),"")</f>
        <v>原料入库</v>
      </c>
      <c r="E7" s="16" t="str">
        <f>IFERROR(IF([1]对账明细接口!$E$7=0,"",[1]对账明细接口!$E$7),"")</f>
        <v>NO0000758</v>
      </c>
      <c r="F7" s="16" t="str">
        <f>IFERROR(IF([1]对账明细接口!$F$7=0,"",[1]对账明细接口!$F$7),"")</f>
        <v>苹果</v>
      </c>
      <c r="G7" s="16" t="str">
        <f>IFERROR(IF([1]对账明细接口!$G$7=0,"",[1]对账明细接口!$G$7),"")</f>
        <v>嘎啦100#</v>
      </c>
      <c r="H7" s="17">
        <f>IFERROR(IF([1]对账明细接口!$H$7=0,"",[1]对账明细接口!$H$7),"")</f>
        <v>7</v>
      </c>
      <c r="I7" s="16" t="str">
        <f>IFERROR(IF([1]对账明细接口!$I$7=0,"",[1]对账明细接口!$I$7),"")</f>
        <v>筐</v>
      </c>
      <c r="J7" s="18">
        <f>IFERROR(IF([1]对账明细接口!$J$7=0,"",[1]对账明细接口!$J$7),"")</f>
        <v>152.6</v>
      </c>
      <c r="K7" s="18" t="str">
        <f>IFERROR(IF([1]对账明细接口!$K$7=0,"",[1]对账明细接口!$K$7),"")</f>
        <v/>
      </c>
      <c r="L7" s="16" t="str">
        <f>IFERROR(IF([1]对账明细接口!$L$7=0,"",[1]对账明细接口!$L$7),"")</f>
        <v/>
      </c>
      <c r="M7" s="16" t="str">
        <f>IFERROR(IF([1]对账明细接口!$M$7=0,"",[1]对账明细接口!$M$7),"")</f>
        <v/>
      </c>
      <c r="N7" s="19">
        <f t="shared" si="0"/>
        <v>1</v>
      </c>
      <c r="O7" s="19">
        <f t="shared" si="1"/>
        <v>4</v>
      </c>
      <c r="Q7" s="22"/>
      <c r="R7" s="22"/>
      <c r="S7" s="20" t="str">
        <f>IFERROR(IF([1]对账明细接口!$N7=0,"",[1]对账明细接口!$N7),"")</f>
        <v>自备一次性筐</v>
      </c>
      <c r="T7" s="21" t="str">
        <f>IFERROR(IF([1]对账明细接口!$O7=0,"",[1]对账明细接口!$O7),"")</f>
        <v/>
      </c>
      <c r="U7" s="21" t="str">
        <f>IFERROR(IF([1]对账明细接口!$P7=0,"",[1]对账明细接口!$P7),"")</f>
        <v/>
      </c>
      <c r="V7" s="21">
        <f>IFERROR(IF([1]对账明细接口!$Q7=0,"",[1]对账明细接口!$Q7),"")</f>
        <v>7</v>
      </c>
      <c r="W7" s="20" t="str">
        <f>IFERROR(IF([1]对账明细接口!$R7=0,"",[1]对账明细接口!$R7),"")</f>
        <v>苏M*7G796</v>
      </c>
      <c r="X7" s="20" t="str">
        <f>IFERROR(IF([1]对账明细接口!$S7=0,"",[1]对账明细接口!$S7),"")</f>
        <v>自备筐</v>
      </c>
      <c r="Y7" s="20" t="str">
        <f>IFERROR(IF([1]对账明细接口!$T7=0,"",[1]对账明细接口!$T7),"")</f>
        <v/>
      </c>
      <c r="Z7" s="24" t="str">
        <f>IFERROR(IF([1]对账明细接口!$U7=0,"",[1]对账明细接口!$U7),"")</f>
        <v/>
      </c>
      <c r="AA7" s="24" t="str">
        <f>IFERROR(IF([1]对账明细接口!$V7=0,"",[1]对账明细接口!$V7),"")</f>
        <v/>
      </c>
      <c r="AB7" s="20" t="str">
        <f>IFERROR(IF([1]对账明细接口!$W7=0,"",[1]对账明细接口!$W7),"")</f>
        <v/>
      </c>
      <c r="AC7" s="7" t="str">
        <f>IFERROR(IF([1]对账明细接口!$X7=0,"",[1]对账明细接口!$X7),"")</f>
        <v/>
      </c>
      <c r="AD7" s="7" t="str">
        <f>IFERROR(IF([1]对账明细接口!$Y7=0,"",[1]对账明细接口!$Y7),"")</f>
        <v/>
      </c>
      <c r="AE7" s="7" t="str">
        <f>IFERROR(IF([1]对账明细接口!$AA7=0,"",[1]对账明细接口!$AA7),"")</f>
        <v/>
      </c>
      <c r="AF7" s="7" t="str">
        <f>IFERROR(IF([1]对账明细接口!$AB7=0,"",[1]对账明细接口!$AB7),"")</f>
        <v/>
      </c>
      <c r="AG7" s="7" t="str">
        <f>IFERROR(IF([1]对账明细接口!$AC7=0,"",[1]对账明细接口!$AC7),"")</f>
        <v/>
      </c>
      <c r="AH7" s="7" t="str">
        <f>IFERROR(IF([1]对账明细接口!$AD7=0,"",[1]对账明细接口!$AD7),"")</f>
        <v/>
      </c>
      <c r="AI7" s="7" t="str">
        <f>IFERROR(IF([1]对账明细接口!$AE7=0,"",[1]对账明细接口!$AE7),"")</f>
        <v/>
      </c>
      <c r="AJ7" s="7" t="str">
        <f>IFERROR(IF([1]对账明细接口!$AF7=0,"",[1]对账明细接口!$AF7),"")</f>
        <v/>
      </c>
    </row>
    <row r="8" ht="14.25" customHeight="1" spans="1:36">
      <c r="A8" s="14">
        <v>8</v>
      </c>
      <c r="B8" s="15">
        <f>IFERROR(IF([1]对账明细接口!$B$8=0,"",[1]对账明细接口!$B$8),"")</f>
        <v>46246</v>
      </c>
      <c r="C8" s="16" t="str">
        <f>IFERROR(IF([1]对账明细接口!$C$8=0,"",[1]对账明细接口!$C$8),"")</f>
        <v>聂新平</v>
      </c>
      <c r="D8" s="16" t="str">
        <f>IFERROR(IF([1]对账明细接口!$D$8=0,"",[1]对账明细接口!$D$8),"")</f>
        <v>原料入库</v>
      </c>
      <c r="E8" s="16" t="str">
        <f>IFERROR(IF([1]对账明细接口!$E$8=0,"",[1]对账明细接口!$E$8),"")</f>
        <v>NO0000759</v>
      </c>
      <c r="F8" s="16" t="str">
        <f>IFERROR(IF([1]对账明细接口!$F$8=0,"",[1]对账明细接口!$F$8),"")</f>
        <v>苹果</v>
      </c>
      <c r="G8" s="16" t="str">
        <f>IFERROR(IF([1]对账明细接口!$G$8=0,"",[1]对账明细接口!$G$8),"")</f>
        <v>嘎啦85#</v>
      </c>
      <c r="H8" s="17">
        <f>IFERROR(IF([1]对账明细接口!$H$8=0,"",[1]对账明细接口!$H$8),"")</f>
        <v>20</v>
      </c>
      <c r="I8" s="16" t="str">
        <f>IFERROR(IF([1]对账明细接口!$I$8=0,"",[1]对账明细接口!$I$8),"")</f>
        <v>筐</v>
      </c>
      <c r="J8" s="18">
        <f>IFERROR(IF([1]对账明细接口!$J$8=0,"",[1]对账明细接口!$J$8),"")</f>
        <v>436</v>
      </c>
      <c r="K8" s="18" t="str">
        <f>IFERROR(IF([1]对账明细接口!$K$8=0,"",[1]对账明细接口!$K$8),"")</f>
        <v/>
      </c>
      <c r="L8" s="16" t="str">
        <f>IFERROR(IF([1]对账明细接口!$L$8=0,"",[1]对账明细接口!$L$8),"")</f>
        <v/>
      </c>
      <c r="M8" s="16" t="str">
        <f>IFERROR(IF([1]对账明细接口!$M$8=0,"",[1]对账明细接口!$M$8),"")</f>
        <v/>
      </c>
      <c r="N8" s="19">
        <f t="shared" si="0"/>
        <v>1</v>
      </c>
      <c r="O8" s="19">
        <f t="shared" si="1"/>
        <v>5</v>
      </c>
      <c r="Q8" s="22"/>
      <c r="R8" s="22"/>
      <c r="S8" s="20" t="str">
        <f>IFERROR(IF([1]对账明细接口!$N8=0,"",[1]对账明细接口!$N8),"")</f>
        <v>自备一次性筐</v>
      </c>
      <c r="T8" s="21" t="str">
        <f>IFERROR(IF([1]对账明细接口!$O8=0,"",[1]对账明细接口!$O8),"")</f>
        <v/>
      </c>
      <c r="U8" s="21" t="str">
        <f>IFERROR(IF([1]对账明细接口!$P8=0,"",[1]对账明细接口!$P8),"")</f>
        <v/>
      </c>
      <c r="V8" s="21">
        <f>IFERROR(IF([1]对账明细接口!$Q8=0,"",[1]对账明细接口!$Q8),"")</f>
        <v>20</v>
      </c>
      <c r="W8" s="20" t="str">
        <f>IFERROR(IF([1]对账明细接口!$R8=0,"",[1]对账明细接口!$R8),"")</f>
        <v>苏M*7G796</v>
      </c>
      <c r="X8" s="20" t="str">
        <f>IFERROR(IF([1]对账明细接口!$S8=0,"",[1]对账明细接口!$S8),"")</f>
        <v>自备筐</v>
      </c>
      <c r="Y8" s="20" t="str">
        <f>IFERROR(IF([1]对账明细接口!$T8=0,"",[1]对账明细接口!$T8),"")</f>
        <v/>
      </c>
      <c r="Z8" s="24" t="str">
        <f>IFERROR(IF([1]对账明细接口!$U8=0,"",[1]对账明细接口!$U8),"")</f>
        <v/>
      </c>
      <c r="AA8" s="24" t="str">
        <f>IFERROR(IF([1]对账明细接口!$V8=0,"",[1]对账明细接口!$V8),"")</f>
        <v/>
      </c>
      <c r="AB8" s="20" t="str">
        <f>IFERROR(IF([1]对账明细接口!$W8=0,"",[1]对账明细接口!$W8),"")</f>
        <v/>
      </c>
      <c r="AC8" s="7" t="str">
        <f>IFERROR(IF([1]对账明细接口!$X8=0,"",[1]对账明细接口!$X8),"")</f>
        <v/>
      </c>
      <c r="AD8" s="7" t="str">
        <f>IFERROR(IF([1]对账明细接口!$Y8=0,"",[1]对账明细接口!$Y8),"")</f>
        <v/>
      </c>
      <c r="AE8" s="7" t="str">
        <f>IFERROR(IF([1]对账明细接口!$AA8=0,"",[1]对账明细接口!$AA8),"")</f>
        <v/>
      </c>
      <c r="AF8" s="7" t="str">
        <f>IFERROR(IF([1]对账明细接口!$AB8=0,"",[1]对账明细接口!$AB8),"")</f>
        <v/>
      </c>
      <c r="AG8" s="7" t="str">
        <f>IFERROR(IF([1]对账明细接口!$AC8=0,"",[1]对账明细接口!$AC8),"")</f>
        <v/>
      </c>
      <c r="AH8" s="7" t="str">
        <f>IFERROR(IF([1]对账明细接口!$AD8=0,"",[1]对账明细接口!$AD8),"")</f>
        <v/>
      </c>
      <c r="AI8" s="7" t="str">
        <f>IFERROR(IF([1]对账明细接口!$AE8=0,"",[1]对账明细接口!$AE8),"")</f>
        <v/>
      </c>
      <c r="AJ8" s="7" t="str">
        <f>IFERROR(IF([1]对账明细接口!$AF8=0,"",[1]对账明细接口!$AF8),"")</f>
        <v/>
      </c>
    </row>
    <row r="9" ht="14.25" customHeight="1" spans="1:36">
      <c r="A9" s="14">
        <v>9</v>
      </c>
      <c r="B9" s="15">
        <f>IFERROR(IF([1]对账明细接口!$B$9=0,"",[1]对账明细接口!$B$9),"")</f>
        <v>46246</v>
      </c>
      <c r="C9" s="16" t="str">
        <f>IFERROR(IF([1]对账明细接口!$C$9=0,"",[1]对账明细接口!$C$9),"")</f>
        <v>聂新平</v>
      </c>
      <c r="D9" s="16" t="str">
        <f>IFERROR(IF([1]对账明细接口!$D$9=0,"",[1]对账明细接口!$D$9),"")</f>
        <v>原料入库</v>
      </c>
      <c r="E9" s="16" t="str">
        <f>IFERROR(IF([1]对账明细接口!$E$9=0,"",[1]对账明细接口!$E$9),"")</f>
        <v>NO0000759</v>
      </c>
      <c r="F9" s="16" t="str">
        <f>IFERROR(IF([1]对账明细接口!$F$9=0,"",[1]对账明细接口!$F$9),"")</f>
        <v>苹果</v>
      </c>
      <c r="G9" s="16" t="str">
        <f>IFERROR(IF([1]对账明细接口!$G$9=0,"",[1]对账明细接口!$G$9),"")</f>
        <v>嘎啦100#</v>
      </c>
      <c r="H9" s="17">
        <f>IFERROR(IF([1]对账明细接口!$H$9=0,"",[1]对账明细接口!$H$9),"")</f>
        <v>28</v>
      </c>
      <c r="I9" s="16" t="str">
        <f>IFERROR(IF([1]对账明细接口!$I$9=0,"",[1]对账明细接口!$I$9),"")</f>
        <v>筐</v>
      </c>
      <c r="J9" s="18">
        <f>IFERROR(IF([1]对账明细接口!$J$9=0,"",[1]对账明细接口!$J$9),"")</f>
        <v>610.4</v>
      </c>
      <c r="K9" s="18" t="str">
        <f>IFERROR(IF([1]对账明细接口!$K$9=0,"",[1]对账明细接口!$K$9),"")</f>
        <v/>
      </c>
      <c r="L9" s="16" t="str">
        <f>IFERROR(IF([1]对账明细接口!$L$9=0,"",[1]对账明细接口!$L$9),"")</f>
        <v/>
      </c>
      <c r="M9" s="16" t="str">
        <f>IFERROR(IF([1]对账明细接口!$M$9=0,"",[1]对账明细接口!$M$9),"")</f>
        <v/>
      </c>
      <c r="N9" s="19">
        <f t="shared" si="0"/>
        <v>1</v>
      </c>
      <c r="O9" s="19">
        <f t="shared" si="1"/>
        <v>6</v>
      </c>
      <c r="Q9" s="22"/>
      <c r="R9" s="22"/>
      <c r="S9" s="20" t="str">
        <f>IFERROR(IF([1]对账明细接口!$N9=0,"",[1]对账明细接口!$N9),"")</f>
        <v>自备一次性筐</v>
      </c>
      <c r="T9" s="21" t="str">
        <f>IFERROR(IF([1]对账明细接口!$O9=0,"",[1]对账明细接口!$O9),"")</f>
        <v/>
      </c>
      <c r="U9" s="21" t="str">
        <f>IFERROR(IF([1]对账明细接口!$P9=0,"",[1]对账明细接口!$P9),"")</f>
        <v/>
      </c>
      <c r="V9" s="21">
        <f>IFERROR(IF([1]对账明细接口!$Q9=0,"",[1]对账明细接口!$Q9),"")</f>
        <v>28</v>
      </c>
      <c r="W9" s="20" t="str">
        <f>IFERROR(IF([1]对账明细接口!$R9=0,"",[1]对账明细接口!$R9),"")</f>
        <v>苏M*7G796</v>
      </c>
      <c r="X9" s="20" t="str">
        <f>IFERROR(IF([1]对账明细接口!$S9=0,"",[1]对账明细接口!$S9),"")</f>
        <v>自备筐</v>
      </c>
      <c r="Y9" s="20" t="str">
        <f>IFERROR(IF([1]对账明细接口!$T9=0,"",[1]对账明细接口!$T9),"")</f>
        <v/>
      </c>
      <c r="Z9" s="24" t="str">
        <f>IFERROR(IF([1]对账明细接口!$U9=0,"",[1]对账明细接口!$U9),"")</f>
        <v/>
      </c>
      <c r="AA9" s="24" t="str">
        <f>IFERROR(IF([1]对账明细接口!$V9=0,"",[1]对账明细接口!$V9),"")</f>
        <v/>
      </c>
      <c r="AB9" s="20" t="str">
        <f>IFERROR(IF([1]对账明细接口!$W9=0,"",[1]对账明细接口!$W9),"")</f>
        <v/>
      </c>
      <c r="AC9" s="7" t="str">
        <f>IFERROR(IF([1]对账明细接口!$X9=0,"",[1]对账明细接口!$X9),"")</f>
        <v/>
      </c>
      <c r="AD9" s="7" t="str">
        <f>IFERROR(IF([1]对账明细接口!$Y9=0,"",[1]对账明细接口!$Y9),"")</f>
        <v/>
      </c>
      <c r="AE9" s="7" t="str">
        <f>IFERROR(IF([1]对账明细接口!$AA9=0,"",[1]对账明细接口!$AA9),"")</f>
        <v/>
      </c>
      <c r="AF9" s="7" t="str">
        <f>IFERROR(IF([1]对账明细接口!$AB9=0,"",[1]对账明细接口!$AB9),"")</f>
        <v/>
      </c>
      <c r="AG9" s="7" t="str">
        <f>IFERROR(IF([1]对账明细接口!$AC9=0,"",[1]对账明细接口!$AC9),"")</f>
        <v/>
      </c>
      <c r="AH9" s="7" t="str">
        <f>IFERROR(IF([1]对账明细接口!$AD9=0,"",[1]对账明细接口!$AD9),"")</f>
        <v/>
      </c>
      <c r="AI9" s="7" t="str">
        <f>IFERROR(IF([1]对账明细接口!$AE9=0,"",[1]对账明细接口!$AE9),"")</f>
        <v/>
      </c>
      <c r="AJ9" s="7" t="str">
        <f>IFERROR(IF([1]对账明细接口!$AF9=0,"",[1]对账明细接口!$AF9),"")</f>
        <v/>
      </c>
    </row>
    <row r="10" ht="14.25" customHeight="1" spans="1:36">
      <c r="A10" s="14">
        <v>10</v>
      </c>
      <c r="B10" s="15">
        <f>IFERROR(IF([1]对账明细接口!$B$10=0,"",[1]对账明细接口!$B$10),"")</f>
        <v>46246</v>
      </c>
      <c r="C10" s="16" t="str">
        <f>IFERROR(IF([1]对账明细接口!$C$10=0,"",[1]对账明细接口!$C$10),"")</f>
        <v>聂新平</v>
      </c>
      <c r="D10" s="16" t="str">
        <f>IFERROR(IF([1]对账明细接口!$D$10=0,"",[1]对账明细接口!$D$10),"")</f>
        <v>原料入库</v>
      </c>
      <c r="E10" s="16" t="str">
        <f>IFERROR(IF([1]对账明细接口!$E$10=0,"",[1]对账明细接口!$E$10),"")</f>
        <v>NO0000760</v>
      </c>
      <c r="F10" s="16" t="str">
        <f>IFERROR(IF([1]对账明细接口!$F$10=0,"",[1]对账明细接口!$F$10),"")</f>
        <v>苹果</v>
      </c>
      <c r="G10" s="16" t="str">
        <f>IFERROR(IF([1]对账明细接口!$G$10=0,"",[1]对账明细接口!$G$10),"")</f>
        <v>嘎啦85#</v>
      </c>
      <c r="H10" s="17">
        <f>IFERROR(IF([1]对账明细接口!$H$10=0,"",[1]对账明细接口!$H$10),"")</f>
        <v>19</v>
      </c>
      <c r="I10" s="16" t="str">
        <f>IFERROR(IF([1]对账明细接口!$I$10=0,"",[1]对账明细接口!$I$10),"")</f>
        <v>筐</v>
      </c>
      <c r="J10" s="18">
        <f>IFERROR(IF([1]对账明细接口!$J$10=0,"",[1]对账明细接口!$J$10),"")</f>
        <v>414.2</v>
      </c>
      <c r="K10" s="18" t="str">
        <f>IFERROR(IF([1]对账明细接口!$K$10=0,"",[1]对账明细接口!$K$10),"")</f>
        <v/>
      </c>
      <c r="L10" s="16" t="str">
        <f>IFERROR(IF([1]对账明细接口!$L$10=0,"",[1]对账明细接口!$L$10),"")</f>
        <v/>
      </c>
      <c r="M10" s="16" t="str">
        <f>IFERROR(IF([1]对账明细接口!$M$10=0,"",[1]对账明细接口!$M$10),"")</f>
        <v/>
      </c>
      <c r="N10" s="19">
        <f t="shared" si="0"/>
        <v>1</v>
      </c>
      <c r="O10" s="19">
        <f t="shared" si="1"/>
        <v>7</v>
      </c>
      <c r="S10" s="20" t="str">
        <f>IFERROR(IF([1]对账明细接口!$N10=0,"",[1]对账明细接口!$N10),"")</f>
        <v>自备一次性筐</v>
      </c>
      <c r="T10" s="21" t="str">
        <f>IFERROR(IF([1]对账明细接口!$O10=0,"",[1]对账明细接口!$O10),"")</f>
        <v/>
      </c>
      <c r="U10" s="21" t="str">
        <f>IFERROR(IF([1]对账明细接口!$P10=0,"",[1]对账明细接口!$P10),"")</f>
        <v/>
      </c>
      <c r="V10" s="21">
        <f>IFERROR(IF([1]对账明细接口!$Q10=0,"",[1]对账明细接口!$Q10),"")</f>
        <v>19</v>
      </c>
      <c r="W10" s="20" t="str">
        <f>IFERROR(IF([1]对账明细接口!$R10=0,"",[1]对账明细接口!$R10),"")</f>
        <v>苏M*7G796</v>
      </c>
      <c r="X10" s="20" t="str">
        <f>IFERROR(IF([1]对账明细接口!$S10=0,"",[1]对账明细接口!$S10),"")</f>
        <v>自备筐</v>
      </c>
      <c r="Y10" s="20" t="str">
        <f>IFERROR(IF([1]对账明细接口!$T10=0,"",[1]对账明细接口!$T10),"")</f>
        <v/>
      </c>
      <c r="Z10" s="24" t="str">
        <f>IFERROR(IF([1]对账明细接口!$U10=0,"",[1]对账明细接口!$U10),"")</f>
        <v/>
      </c>
      <c r="AA10" s="24" t="str">
        <f>IFERROR(IF([1]对账明细接口!$V10=0,"",[1]对账明细接口!$V10),"")</f>
        <v/>
      </c>
      <c r="AB10" s="20" t="str">
        <f>IFERROR(IF([1]对账明细接口!$W10=0,"",[1]对账明细接口!$W10),"")</f>
        <v/>
      </c>
      <c r="AC10" s="7" t="str">
        <f>IFERROR(IF([1]对账明细接口!$X10=0,"",[1]对账明细接口!$X10),"")</f>
        <v/>
      </c>
      <c r="AD10" s="7" t="str">
        <f>IFERROR(IF([1]对账明细接口!$Y10=0,"",[1]对账明细接口!$Y10),"")</f>
        <v/>
      </c>
      <c r="AE10" s="7" t="str">
        <f>IFERROR(IF([1]对账明细接口!$AA10=0,"",[1]对账明细接口!$AA10),"")</f>
        <v/>
      </c>
      <c r="AF10" s="7" t="str">
        <f>IFERROR(IF([1]对账明细接口!$AB10=0,"",[1]对账明细接口!$AB10),"")</f>
        <v/>
      </c>
      <c r="AG10" s="7" t="str">
        <f>IFERROR(IF([1]对账明细接口!$AC10=0,"",[1]对账明细接口!$AC10),"")</f>
        <v/>
      </c>
      <c r="AH10" s="7" t="str">
        <f>IFERROR(IF([1]对账明细接口!$AD10=0,"",[1]对账明细接口!$AD10),"")</f>
        <v/>
      </c>
      <c r="AI10" s="7" t="str">
        <f>IFERROR(IF([1]对账明细接口!$AE10=0,"",[1]对账明细接口!$AE10),"")</f>
        <v/>
      </c>
      <c r="AJ10" s="7" t="str">
        <f>IFERROR(IF([1]对账明细接口!$AF10=0,"",[1]对账明细接口!$AF10),"")</f>
        <v/>
      </c>
    </row>
    <row r="11" ht="14.25" customHeight="1" spans="1:36">
      <c r="A11" s="14">
        <v>11</v>
      </c>
      <c r="B11" s="15">
        <f>IFERROR(IF([1]对账明细接口!$B$11=0,"",[1]对账明细接口!$B$11),"")</f>
        <v>46246</v>
      </c>
      <c r="C11" s="16" t="str">
        <f>IFERROR(IF([1]对账明细接口!$C$11=0,"",[1]对账明细接口!$C$11),"")</f>
        <v>聂新平</v>
      </c>
      <c r="D11" s="16" t="str">
        <f>IFERROR(IF([1]对账明细接口!$D$11=0,"",[1]对账明细接口!$D$11),"")</f>
        <v>原料入库</v>
      </c>
      <c r="E11" s="16" t="str">
        <f>IFERROR(IF([1]对账明细接口!$E$11=0,"",[1]对账明细接口!$E$11),"")</f>
        <v>NO0000760</v>
      </c>
      <c r="F11" s="16" t="str">
        <f>IFERROR(IF([1]对账明细接口!$F$11=0,"",[1]对账明细接口!$F$11),"")</f>
        <v>苹果</v>
      </c>
      <c r="G11" s="16" t="str">
        <f>IFERROR(IF([1]对账明细接口!$G$11=0,"",[1]对账明细接口!$G$11),"")</f>
        <v>嘎啦100#</v>
      </c>
      <c r="H11" s="17">
        <f>IFERROR(IF([1]对账明细接口!$H$11=0,"",[1]对账明细接口!$H$11),"")</f>
        <v>14</v>
      </c>
      <c r="I11" s="16" t="str">
        <f>IFERROR(IF([1]对账明细接口!$I$11=0,"",[1]对账明细接口!$I$11),"")</f>
        <v>筐</v>
      </c>
      <c r="J11" s="18">
        <f>IFERROR(IF([1]对账明细接口!$J$11=0,"",[1]对账明细接口!$J$11),"")</f>
        <v>305.2</v>
      </c>
      <c r="K11" s="18" t="str">
        <f>IFERROR(IF([1]对账明细接口!$K$11=0,"",[1]对账明细接口!$K$11),"")</f>
        <v/>
      </c>
      <c r="L11" s="16" t="str">
        <f>IFERROR(IF([1]对账明细接口!$L$11=0,"",[1]对账明细接口!$L$11),"")</f>
        <v/>
      </c>
      <c r="M11" s="16" t="str">
        <f>IFERROR(IF([1]对账明细接口!$M$11=0,"",[1]对账明细接口!$M$11),"")</f>
        <v/>
      </c>
      <c r="N11" s="19">
        <f t="shared" si="0"/>
        <v>1</v>
      </c>
      <c r="O11" s="19">
        <f t="shared" si="1"/>
        <v>8</v>
      </c>
      <c r="S11" s="20" t="str">
        <f>IFERROR(IF([1]对账明细接口!$N11=0,"",[1]对账明细接口!$N11),"")</f>
        <v>自备一次性筐</v>
      </c>
      <c r="T11" s="21" t="str">
        <f>IFERROR(IF([1]对账明细接口!$O11=0,"",[1]对账明细接口!$O11),"")</f>
        <v/>
      </c>
      <c r="U11" s="21" t="str">
        <f>IFERROR(IF([1]对账明细接口!$P11=0,"",[1]对账明细接口!$P11),"")</f>
        <v/>
      </c>
      <c r="V11" s="21">
        <f>IFERROR(IF([1]对账明细接口!$Q11=0,"",[1]对账明细接口!$Q11),"")</f>
        <v>14</v>
      </c>
      <c r="W11" s="20" t="str">
        <f>IFERROR(IF([1]对账明细接口!$R11=0,"",[1]对账明细接口!$R11),"")</f>
        <v>苏M*7G796</v>
      </c>
      <c r="X11" s="20" t="str">
        <f>IFERROR(IF([1]对账明细接口!$S11=0,"",[1]对账明细接口!$S11),"")</f>
        <v>自备筐</v>
      </c>
      <c r="Y11" s="20" t="str">
        <f>IFERROR(IF([1]对账明细接口!$T11=0,"",[1]对账明细接口!$T11),"")</f>
        <v/>
      </c>
      <c r="Z11" s="24" t="str">
        <f>IFERROR(IF([1]对账明细接口!$U11=0,"",[1]对账明细接口!$U11),"")</f>
        <v/>
      </c>
      <c r="AA11" s="24" t="str">
        <f>IFERROR(IF([1]对账明细接口!$V11=0,"",[1]对账明细接口!$V11),"")</f>
        <v/>
      </c>
      <c r="AB11" s="20" t="str">
        <f>IFERROR(IF([1]对账明细接口!$W11=0,"",[1]对账明细接口!$W11),"")</f>
        <v/>
      </c>
      <c r="AC11" s="7" t="str">
        <f>IFERROR(IF([1]对账明细接口!$X11=0,"",[1]对账明细接口!$X11),"")</f>
        <v/>
      </c>
      <c r="AD11" s="7" t="str">
        <f>IFERROR(IF([1]对账明细接口!$Y11=0,"",[1]对账明细接口!$Y11),"")</f>
        <v/>
      </c>
      <c r="AE11" s="7" t="str">
        <f>IFERROR(IF([1]对账明细接口!$AA11=0,"",[1]对账明细接口!$AA11),"")</f>
        <v/>
      </c>
      <c r="AF11" s="7" t="str">
        <f>IFERROR(IF([1]对账明细接口!$AB11=0,"",[1]对账明细接口!$AB11),"")</f>
        <v/>
      </c>
      <c r="AG11" s="7" t="str">
        <f>IFERROR(IF([1]对账明细接口!$AC11=0,"",[1]对账明细接口!$AC11),"")</f>
        <v/>
      </c>
      <c r="AH11" s="7" t="str">
        <f>IFERROR(IF([1]对账明细接口!$AD11=0,"",[1]对账明细接口!$AD11),"")</f>
        <v/>
      </c>
      <c r="AI11" s="7" t="str">
        <f>IFERROR(IF([1]对账明细接口!$AE11=0,"",[1]对账明细接口!$AE11),"")</f>
        <v/>
      </c>
      <c r="AJ11" s="7" t="str">
        <f>IFERROR(IF([1]对账明细接口!$AF11=0,"",[1]对账明细接口!$AF11),"")</f>
        <v/>
      </c>
    </row>
    <row r="12" ht="14.25" customHeight="1" spans="1:36">
      <c r="A12" s="14">
        <v>12</v>
      </c>
      <c r="B12" s="15">
        <f>IFERROR(IF([1]对账明细接口!$B$12=0,"",[1]对账明细接口!$B$12),"")</f>
        <v>46247</v>
      </c>
      <c r="C12" s="16" t="str">
        <f>IFERROR(IF([1]对账明细接口!$C$12=0,"",[1]对账明细接口!$C$12),"")</f>
        <v>聂新平</v>
      </c>
      <c r="D12" s="16" t="str">
        <f>IFERROR(IF([1]对账明细接口!$D$12=0,"",[1]对账明细接口!$D$12),"")</f>
        <v>原料入库</v>
      </c>
      <c r="E12" s="16" t="str">
        <f>IFERROR(IF([1]对账明细接口!$E$12=0,"",[1]对账明细接口!$E$12),"")</f>
        <v>NO0000761</v>
      </c>
      <c r="F12" s="16" t="str">
        <f>IFERROR(IF([1]对账明细接口!$F$12=0,"",[1]对账明细接口!$F$12),"")</f>
        <v>苹果</v>
      </c>
      <c r="G12" s="16" t="str">
        <f>IFERROR(IF([1]对账明细接口!$G$12=0,"",[1]对账明细接口!$G$12),"")</f>
        <v>嘎啦85#</v>
      </c>
      <c r="H12" s="17">
        <f>IFERROR(IF([1]对账明细接口!$H$12=0,"",[1]对账明细接口!$H$12),"")</f>
        <v>17</v>
      </c>
      <c r="I12" s="16" t="str">
        <f>IFERROR(IF([1]对账明细接口!$I$12=0,"",[1]对账明细接口!$I$12),"")</f>
        <v>筐</v>
      </c>
      <c r="J12" s="18">
        <f>IFERROR(IF([1]对账明细接口!$J$12=0,"",[1]对账明细接口!$J$12),"")</f>
        <v>370.6</v>
      </c>
      <c r="K12" s="18" t="str">
        <f>IFERROR(IF([1]对账明细接口!$K$12=0,"",[1]对账明细接口!$K$12),"")</f>
        <v/>
      </c>
      <c r="L12" s="16" t="str">
        <f>IFERROR(IF([1]对账明细接口!$L$12=0,"",[1]对账明细接口!$L$12),"")</f>
        <v/>
      </c>
      <c r="M12" s="16" t="str">
        <f>IFERROR(IF([1]对账明细接口!$M$12=0,"",[1]对账明细接口!$M$12),"")</f>
        <v/>
      </c>
      <c r="N12" s="19">
        <f t="shared" si="0"/>
        <v>1</v>
      </c>
      <c r="O12" s="19">
        <f t="shared" si="1"/>
        <v>9</v>
      </c>
      <c r="S12" s="20" t="str">
        <f>IFERROR(IF([1]对账明细接口!$N12=0,"",[1]对账明细接口!$N12),"")</f>
        <v>自备一次性筐</v>
      </c>
      <c r="T12" s="21" t="str">
        <f>IFERROR(IF([1]对账明细接口!$O12=0,"",[1]对账明细接口!$O12),"")</f>
        <v/>
      </c>
      <c r="U12" s="21" t="str">
        <f>IFERROR(IF([1]对账明细接口!$P12=0,"",[1]对账明细接口!$P12),"")</f>
        <v/>
      </c>
      <c r="V12" s="21">
        <f>IFERROR(IF([1]对账明细接口!$Q12=0,"",[1]对账明细接口!$Q12),"")</f>
        <v>17</v>
      </c>
      <c r="W12" s="20" t="str">
        <f>IFERROR(IF([1]对账明细接口!$R12=0,"",[1]对账明细接口!$R12),"")</f>
        <v>苏M*7G796</v>
      </c>
      <c r="X12" s="20" t="str">
        <f>IFERROR(IF([1]对账明细接口!$S12=0,"",[1]对账明细接口!$S12),"")</f>
        <v>自备筐</v>
      </c>
      <c r="Y12" s="20" t="str">
        <f>IFERROR(IF([1]对账明细接口!$T12=0,"",[1]对账明细接口!$T12),"")</f>
        <v/>
      </c>
      <c r="Z12" s="24" t="str">
        <f>IFERROR(IF([1]对账明细接口!$U12=0,"",[1]对账明细接口!$U12),"")</f>
        <v/>
      </c>
      <c r="AA12" s="24" t="str">
        <f>IFERROR(IF([1]对账明细接口!$V12=0,"",[1]对账明细接口!$V12),"")</f>
        <v/>
      </c>
      <c r="AB12" s="20" t="str">
        <f>IFERROR(IF([1]对账明细接口!$W12=0,"",[1]对账明细接口!$W12),"")</f>
        <v/>
      </c>
      <c r="AC12" s="7" t="str">
        <f>IFERROR(IF([1]对账明细接口!$X12=0,"",[1]对账明细接口!$X12),"")</f>
        <v/>
      </c>
      <c r="AD12" s="7" t="str">
        <f>IFERROR(IF([1]对账明细接口!$Y12=0,"",[1]对账明细接口!$Y12),"")</f>
        <v/>
      </c>
      <c r="AE12" s="7" t="str">
        <f>IFERROR(IF([1]对账明细接口!$AA12=0,"",[1]对账明细接口!$AA12),"")</f>
        <v/>
      </c>
      <c r="AF12" s="7" t="str">
        <f>IFERROR(IF([1]对账明细接口!$AB12=0,"",[1]对账明细接口!$AB12),"")</f>
        <v/>
      </c>
      <c r="AG12" s="7" t="str">
        <f>IFERROR(IF([1]对账明细接口!$AC12=0,"",[1]对账明细接口!$AC12),"")</f>
        <v/>
      </c>
      <c r="AH12" s="7" t="str">
        <f>IFERROR(IF([1]对账明细接口!$AD12=0,"",[1]对账明细接口!$AD12),"")</f>
        <v/>
      </c>
      <c r="AI12" s="7" t="str">
        <f>IFERROR(IF([1]对账明细接口!$AE12=0,"",[1]对账明细接口!$AE12),"")</f>
        <v/>
      </c>
      <c r="AJ12" s="7" t="str">
        <f>IFERROR(IF([1]对账明细接口!$AF12=0,"",[1]对账明细接口!$AF12),"")</f>
        <v/>
      </c>
    </row>
    <row r="13" ht="14.25" customHeight="1" spans="1:36">
      <c r="A13" s="14">
        <v>13</v>
      </c>
      <c r="B13" s="15">
        <f>IFERROR(IF([1]对账明细接口!$B$13=0,"",[1]对账明细接口!$B$13),"")</f>
        <v>46247</v>
      </c>
      <c r="C13" s="16" t="str">
        <f>IFERROR(IF([1]对账明细接口!$C$13=0,"",[1]对账明细接口!$C$13),"")</f>
        <v>聂新平</v>
      </c>
      <c r="D13" s="16" t="str">
        <f>IFERROR(IF([1]对账明细接口!$D$13=0,"",[1]对账明细接口!$D$13),"")</f>
        <v>原料入库</v>
      </c>
      <c r="E13" s="16" t="str">
        <f>IFERROR(IF([1]对账明细接口!$E$13=0,"",[1]对账明细接口!$E$13),"")</f>
        <v>NO0000761</v>
      </c>
      <c r="F13" s="16" t="str">
        <f>IFERROR(IF([1]对账明细接口!$F$13=0,"",[1]对账明细接口!$F$13),"")</f>
        <v>苹果</v>
      </c>
      <c r="G13" s="16" t="str">
        <f>IFERROR(IF([1]对账明细接口!$G$13=0,"",[1]对账明细接口!$G$13),"")</f>
        <v>嘎啦100#</v>
      </c>
      <c r="H13" s="17">
        <f>IFERROR(IF([1]对账明细接口!$H$13=0,"",[1]对账明细接口!$H$13),"")</f>
        <v>43</v>
      </c>
      <c r="I13" s="16" t="str">
        <f>IFERROR(IF([1]对账明细接口!$I$13=0,"",[1]对账明细接口!$I$13),"")</f>
        <v>筐</v>
      </c>
      <c r="J13" s="18">
        <f>IFERROR(IF([1]对账明细接口!$J$13=0,"",[1]对账明细接口!$J$13),"")</f>
        <v>937.4</v>
      </c>
      <c r="K13" s="18" t="str">
        <f>IFERROR(IF([1]对账明细接口!$K$13=0,"",[1]对账明细接口!$K$13),"")</f>
        <v/>
      </c>
      <c r="L13" s="16" t="str">
        <f>IFERROR(IF([1]对账明细接口!$L$13=0,"",[1]对账明细接口!$L$13),"")</f>
        <v/>
      </c>
      <c r="M13" s="16" t="str">
        <f>IFERROR(IF([1]对账明细接口!$M$13=0,"",[1]对账明细接口!$M$13),"")</f>
        <v/>
      </c>
      <c r="N13" s="19">
        <f t="shared" si="0"/>
        <v>1</v>
      </c>
      <c r="O13" s="19">
        <f t="shared" si="1"/>
        <v>10</v>
      </c>
      <c r="S13" s="20" t="str">
        <f>IFERROR(IF([1]对账明细接口!$N13=0,"",[1]对账明细接口!$N13),"")</f>
        <v>自备一次性筐</v>
      </c>
      <c r="T13" s="21" t="str">
        <f>IFERROR(IF([1]对账明细接口!$O13=0,"",[1]对账明细接口!$O13),"")</f>
        <v/>
      </c>
      <c r="U13" s="21" t="str">
        <f>IFERROR(IF([1]对账明细接口!$P13=0,"",[1]对账明细接口!$P13),"")</f>
        <v/>
      </c>
      <c r="V13" s="21">
        <f>IFERROR(IF([1]对账明细接口!$Q13=0,"",[1]对账明细接口!$Q13),"")</f>
        <v>43</v>
      </c>
      <c r="W13" s="20" t="str">
        <f>IFERROR(IF([1]对账明细接口!$R13=0,"",[1]对账明细接口!$R13),"")</f>
        <v>苏M*7G796</v>
      </c>
      <c r="X13" s="20" t="str">
        <f>IFERROR(IF([1]对账明细接口!$S13=0,"",[1]对账明细接口!$S13),"")</f>
        <v>自备筐</v>
      </c>
      <c r="Y13" s="20" t="str">
        <f>IFERROR(IF([1]对账明细接口!$T13=0,"",[1]对账明细接口!$T13),"")</f>
        <v/>
      </c>
      <c r="Z13" s="24" t="str">
        <f>IFERROR(IF([1]对账明细接口!$U13=0,"",[1]对账明细接口!$U13),"")</f>
        <v/>
      </c>
      <c r="AA13" s="24" t="str">
        <f>IFERROR(IF([1]对账明细接口!$V13=0,"",[1]对账明细接口!$V13),"")</f>
        <v/>
      </c>
      <c r="AB13" s="20" t="str">
        <f>IFERROR(IF([1]对账明细接口!$W13=0,"",[1]对账明细接口!$W13),"")</f>
        <v/>
      </c>
      <c r="AC13" s="7" t="str">
        <f>IFERROR(IF([1]对账明细接口!$X13=0,"",[1]对账明细接口!$X13),"")</f>
        <v/>
      </c>
      <c r="AD13" s="7" t="str">
        <f>IFERROR(IF([1]对账明细接口!$Y13=0,"",[1]对账明细接口!$Y13),"")</f>
        <v/>
      </c>
      <c r="AE13" s="7" t="str">
        <f>IFERROR(IF([1]对账明细接口!$AA13=0,"",[1]对账明细接口!$AA13),"")</f>
        <v/>
      </c>
      <c r="AF13" s="7" t="str">
        <f>IFERROR(IF([1]对账明细接口!$AB13=0,"",[1]对账明细接口!$AB13),"")</f>
        <v/>
      </c>
      <c r="AG13" s="7" t="str">
        <f>IFERROR(IF([1]对账明细接口!$AC13=0,"",[1]对账明细接口!$AC13),"")</f>
        <v/>
      </c>
      <c r="AH13" s="7" t="str">
        <f>IFERROR(IF([1]对账明细接口!$AD13=0,"",[1]对账明细接口!$AD13),"")</f>
        <v/>
      </c>
      <c r="AI13" s="7" t="str">
        <f>IFERROR(IF([1]对账明细接口!$AE13=0,"",[1]对账明细接口!$AE13),"")</f>
        <v/>
      </c>
      <c r="AJ13" s="7" t="str">
        <f>IFERROR(IF([1]对账明细接口!$AF13=0,"",[1]对账明细接口!$AF13),"")</f>
        <v/>
      </c>
    </row>
    <row r="14" ht="14.25" customHeight="1" spans="1:36">
      <c r="A14" s="14">
        <v>14</v>
      </c>
      <c r="B14" s="15">
        <f>IFERROR(IF([1]对账明细接口!$B$14=0,"",[1]对账明细接口!$B$14),"")</f>
        <v>46247</v>
      </c>
      <c r="C14" s="16" t="str">
        <f>IFERROR(IF([1]对账明细接口!$C$14=0,"",[1]对账明细接口!$C$14),"")</f>
        <v>聂新平</v>
      </c>
      <c r="D14" s="16" t="str">
        <f>IFERROR(IF([1]对账明细接口!$D$14=0,"",[1]对账明细接口!$D$14),"")</f>
        <v>原料入库</v>
      </c>
      <c r="E14" s="16" t="str">
        <f>IFERROR(IF([1]对账明细接口!$E$14=0,"",[1]对账明细接口!$E$14),"")</f>
        <v>NO0000762</v>
      </c>
      <c r="F14" s="16" t="str">
        <f>IFERROR(IF([1]对账明细接口!$F$14=0,"",[1]对账明细接口!$F$14),"")</f>
        <v>苹果</v>
      </c>
      <c r="G14" s="16" t="str">
        <f>IFERROR(IF([1]对账明细接口!$G$14=0,"",[1]对账明细接口!$G$14),"")</f>
        <v>嘎啦85#</v>
      </c>
      <c r="H14" s="17">
        <f>IFERROR(IF([1]对账明细接口!$H$14=0,"",[1]对账明细接口!$H$14),"")</f>
        <v>20</v>
      </c>
      <c r="I14" s="16" t="str">
        <f>IFERROR(IF([1]对账明细接口!$I$14=0,"",[1]对账明细接口!$I$14),"")</f>
        <v>筐</v>
      </c>
      <c r="J14" s="18">
        <f>IFERROR(IF([1]对账明细接口!$J$14=0,"",[1]对账明细接口!$J$14),"")</f>
        <v>436</v>
      </c>
      <c r="K14" s="18" t="str">
        <f>IFERROR(IF([1]对账明细接口!$K$14=0,"",[1]对账明细接口!$K$14),"")</f>
        <v/>
      </c>
      <c r="L14" s="16" t="str">
        <f>IFERROR(IF([1]对账明细接口!$L$14=0,"",[1]对账明细接口!$L$14),"")</f>
        <v/>
      </c>
      <c r="M14" s="16" t="str">
        <f>IFERROR(IF([1]对账明细接口!$M$14=0,"",[1]对账明细接口!$M$14),"")</f>
        <v/>
      </c>
      <c r="N14" s="19">
        <f t="shared" si="0"/>
        <v>1</v>
      </c>
      <c r="O14" s="19">
        <f t="shared" si="1"/>
        <v>11</v>
      </c>
      <c r="S14" s="20" t="str">
        <f>IFERROR(IF([1]对账明细接口!$N14=0,"",[1]对账明细接口!$N14),"")</f>
        <v>自备一次性筐</v>
      </c>
      <c r="T14" s="21" t="str">
        <f>IFERROR(IF([1]对账明细接口!$O14=0,"",[1]对账明细接口!$O14),"")</f>
        <v/>
      </c>
      <c r="U14" s="21" t="str">
        <f>IFERROR(IF([1]对账明细接口!$P14=0,"",[1]对账明细接口!$P14),"")</f>
        <v/>
      </c>
      <c r="V14" s="21">
        <f>IFERROR(IF([1]对账明细接口!$Q14=0,"",[1]对账明细接口!$Q14),"")</f>
        <v>20</v>
      </c>
      <c r="W14" s="20" t="str">
        <f>IFERROR(IF([1]对账明细接口!$R14=0,"",[1]对账明细接口!$R14),"")</f>
        <v>苏M*7G796</v>
      </c>
      <c r="X14" s="20" t="str">
        <f>IFERROR(IF([1]对账明细接口!$S14=0,"",[1]对账明细接口!$S14),"")</f>
        <v>自备筐</v>
      </c>
      <c r="Y14" s="20" t="str">
        <f>IFERROR(IF([1]对账明细接口!$T14=0,"",[1]对账明细接口!$T14),"")</f>
        <v/>
      </c>
      <c r="Z14" s="24" t="str">
        <f>IFERROR(IF([1]对账明细接口!$U14=0,"",[1]对账明细接口!$U14),"")</f>
        <v/>
      </c>
      <c r="AA14" s="24" t="str">
        <f>IFERROR(IF([1]对账明细接口!$V14=0,"",[1]对账明细接口!$V14),"")</f>
        <v/>
      </c>
      <c r="AB14" s="20" t="str">
        <f>IFERROR(IF([1]对账明细接口!$W14=0,"",[1]对账明细接口!$W14),"")</f>
        <v/>
      </c>
      <c r="AC14" s="7" t="str">
        <f>IFERROR(IF([1]对账明细接口!$X14=0,"",[1]对账明细接口!$X14),"")</f>
        <v/>
      </c>
      <c r="AD14" s="7" t="str">
        <f>IFERROR(IF([1]对账明细接口!$Y14=0,"",[1]对账明细接口!$Y14),"")</f>
        <v/>
      </c>
      <c r="AE14" s="7" t="str">
        <f>IFERROR(IF([1]对账明细接口!$AA14=0,"",[1]对账明细接口!$AA14),"")</f>
        <v/>
      </c>
      <c r="AF14" s="7" t="str">
        <f>IFERROR(IF([1]对账明细接口!$AB14=0,"",[1]对账明细接口!$AB14),"")</f>
        <v/>
      </c>
      <c r="AG14" s="7" t="str">
        <f>IFERROR(IF([1]对账明细接口!$AC14=0,"",[1]对账明细接口!$AC14),"")</f>
        <v/>
      </c>
      <c r="AH14" s="7" t="str">
        <f>IFERROR(IF([1]对账明细接口!$AD14=0,"",[1]对账明细接口!$AD14),"")</f>
        <v/>
      </c>
      <c r="AI14" s="7" t="str">
        <f>IFERROR(IF([1]对账明细接口!$AE14=0,"",[1]对账明细接口!$AE14),"")</f>
        <v/>
      </c>
      <c r="AJ14" s="7" t="str">
        <f>IFERROR(IF([1]对账明细接口!$AF14=0,"",[1]对账明细接口!$AF14),"")</f>
        <v/>
      </c>
    </row>
    <row r="15" ht="14.25" customHeight="1" spans="1:36">
      <c r="A15" s="14">
        <v>15</v>
      </c>
      <c r="B15" s="15">
        <f>IFERROR(IF([1]对账明细接口!$B$15=0,"",[1]对账明细接口!$B$15),"")</f>
        <v>46247</v>
      </c>
      <c r="C15" s="16" t="str">
        <f>IFERROR(IF([1]对账明细接口!$C$15=0,"",[1]对账明细接口!$C$15),"")</f>
        <v>聂新平</v>
      </c>
      <c r="D15" s="16" t="str">
        <f>IFERROR(IF([1]对账明细接口!$D$15=0,"",[1]对账明细接口!$D$15),"")</f>
        <v>原料入库</v>
      </c>
      <c r="E15" s="16" t="str">
        <f>IFERROR(IF([1]对账明细接口!$E$15=0,"",[1]对账明细接口!$E$15),"")</f>
        <v>NO0000762</v>
      </c>
      <c r="F15" s="16" t="str">
        <f>IFERROR(IF([1]对账明细接口!$F$15=0,"",[1]对账明细接口!$F$15),"")</f>
        <v>苹果</v>
      </c>
      <c r="G15" s="16" t="str">
        <f>IFERROR(IF([1]对账明细接口!$G$15=0,"",[1]对账明细接口!$G$15),"")</f>
        <v>嘎啦100#</v>
      </c>
      <c r="H15" s="17">
        <f>IFERROR(IF([1]对账明细接口!$H$15=0,"",[1]对账明细接口!$H$15),"")</f>
        <v>31</v>
      </c>
      <c r="I15" s="16" t="str">
        <f>IFERROR(IF([1]对账明细接口!$I$15=0,"",[1]对账明细接口!$I$15),"")</f>
        <v>筐</v>
      </c>
      <c r="J15" s="18">
        <f>IFERROR(IF([1]对账明细接口!$J$15=0,"",[1]对账明细接口!$J$15),"")</f>
        <v>675.8</v>
      </c>
      <c r="K15" s="18" t="str">
        <f>IFERROR(IF([1]对账明细接口!$K$15=0,"",[1]对账明细接口!$K$15),"")</f>
        <v/>
      </c>
      <c r="L15" s="16" t="str">
        <f>IFERROR(IF([1]对账明细接口!$L$15=0,"",[1]对账明细接口!$L$15),"")</f>
        <v/>
      </c>
      <c r="M15" s="16" t="str">
        <f>IFERROR(IF([1]对账明细接口!$M$15=0,"",[1]对账明细接口!$M$15),"")</f>
        <v/>
      </c>
      <c r="N15" s="19">
        <f t="shared" si="0"/>
        <v>1</v>
      </c>
      <c r="O15" s="19">
        <f t="shared" si="1"/>
        <v>12</v>
      </c>
      <c r="S15" s="20" t="str">
        <f>IFERROR(IF([1]对账明细接口!$N15=0,"",[1]对账明细接口!$N15),"")</f>
        <v>自备一次性筐</v>
      </c>
      <c r="T15" s="21" t="str">
        <f>IFERROR(IF([1]对账明细接口!$O15=0,"",[1]对账明细接口!$O15),"")</f>
        <v/>
      </c>
      <c r="U15" s="21" t="str">
        <f>IFERROR(IF([1]对账明细接口!$P15=0,"",[1]对账明细接口!$P15),"")</f>
        <v/>
      </c>
      <c r="V15" s="21">
        <f>IFERROR(IF([1]对账明细接口!$Q15=0,"",[1]对账明细接口!$Q15),"")</f>
        <v>31</v>
      </c>
      <c r="W15" s="20" t="str">
        <f>IFERROR(IF([1]对账明细接口!$R15=0,"",[1]对账明细接口!$R15),"")</f>
        <v>苏M*7G796</v>
      </c>
      <c r="X15" s="20" t="str">
        <f>IFERROR(IF([1]对账明细接口!$S15=0,"",[1]对账明细接口!$S15),"")</f>
        <v>自备筐</v>
      </c>
      <c r="Y15" s="20" t="str">
        <f>IFERROR(IF([1]对账明细接口!$T15=0,"",[1]对账明细接口!$T15),"")</f>
        <v/>
      </c>
      <c r="Z15" s="24" t="str">
        <f>IFERROR(IF([1]对账明细接口!$U15=0,"",[1]对账明细接口!$U15),"")</f>
        <v/>
      </c>
      <c r="AA15" s="24" t="str">
        <f>IFERROR(IF([1]对账明细接口!$V15=0,"",[1]对账明细接口!$V15),"")</f>
        <v/>
      </c>
      <c r="AB15" s="20" t="str">
        <f>IFERROR(IF([1]对账明细接口!$W15=0,"",[1]对账明细接口!$W15),"")</f>
        <v/>
      </c>
      <c r="AC15" s="7" t="str">
        <f>IFERROR(IF([1]对账明细接口!$X15=0,"",[1]对账明细接口!$X15),"")</f>
        <v/>
      </c>
      <c r="AD15" s="7" t="str">
        <f>IFERROR(IF([1]对账明细接口!$Y15=0,"",[1]对账明细接口!$Y15),"")</f>
        <v/>
      </c>
      <c r="AE15" s="7" t="str">
        <f>IFERROR(IF([1]对账明细接口!$AA15=0,"",[1]对账明细接口!$AA15),"")</f>
        <v/>
      </c>
      <c r="AF15" s="7" t="str">
        <f>IFERROR(IF([1]对账明细接口!$AB15=0,"",[1]对账明细接口!$AB15),"")</f>
        <v/>
      </c>
      <c r="AG15" s="7" t="str">
        <f>IFERROR(IF([1]对账明细接口!$AC15=0,"",[1]对账明细接口!$AC15),"")</f>
        <v/>
      </c>
      <c r="AH15" s="7" t="str">
        <f>IFERROR(IF([1]对账明细接口!$AD15=0,"",[1]对账明细接口!$AD15),"")</f>
        <v/>
      </c>
      <c r="AI15" s="7" t="str">
        <f>IFERROR(IF([1]对账明细接口!$AE15=0,"",[1]对账明细接口!$AE15),"")</f>
        <v/>
      </c>
      <c r="AJ15" s="7" t="str">
        <f>IFERROR(IF([1]对账明细接口!$AF15=0,"",[1]对账明细接口!$AF15),"")</f>
        <v/>
      </c>
    </row>
    <row r="16" ht="14.25" customHeight="1" spans="1:36">
      <c r="A16" s="14">
        <v>16</v>
      </c>
      <c r="B16" s="15">
        <f>IFERROR(IF([1]对账明细接口!$B$16=0,"",[1]对账明细接口!$B$16),"")</f>
        <v>46247</v>
      </c>
      <c r="C16" s="16" t="str">
        <f>IFERROR(IF([1]对账明细接口!$C$16=0,"",[1]对账明细接口!$C$16),"")</f>
        <v>聂新平</v>
      </c>
      <c r="D16" s="16" t="str">
        <f>IFERROR(IF([1]对账明细接口!$D$16=0,"",[1]对账明细接口!$D$16),"")</f>
        <v>原料入库</v>
      </c>
      <c r="E16" s="16" t="str">
        <f>IFERROR(IF([1]对账明细接口!$E$16=0,"",[1]对账明细接口!$E$16),"")</f>
        <v>NO0000764</v>
      </c>
      <c r="F16" s="16" t="str">
        <f>IFERROR(IF([1]对账明细接口!$F$16=0,"",[1]对账明细接口!$F$16),"")</f>
        <v>苹果</v>
      </c>
      <c r="G16" s="16" t="str">
        <f>IFERROR(IF([1]对账明细接口!$G$16=0,"",[1]对账明细接口!$G$16),"")</f>
        <v>嘎啦85#</v>
      </c>
      <c r="H16" s="17">
        <f>IFERROR(IF([1]对账明细接口!$H$16=0,"",[1]对账明细接口!$H$16),"")</f>
        <v>10</v>
      </c>
      <c r="I16" s="16" t="str">
        <f>IFERROR(IF([1]对账明细接口!$I$16=0,"",[1]对账明细接口!$I$16),"")</f>
        <v>筐</v>
      </c>
      <c r="J16" s="18">
        <f>IFERROR(IF([1]对账明细接口!$J$16=0,"",[1]对账明细接口!$J$16),"")</f>
        <v>218</v>
      </c>
      <c r="K16" s="18" t="str">
        <f>IFERROR(IF([1]对账明细接口!$K$16=0,"",[1]对账明细接口!$K$16),"")</f>
        <v/>
      </c>
      <c r="L16" s="16" t="str">
        <f>IFERROR(IF([1]对账明细接口!$L$16=0,"",[1]对账明细接口!$L$16),"")</f>
        <v/>
      </c>
      <c r="M16" s="16" t="str">
        <f>IFERROR(IF([1]对账明细接口!$M$16=0,"",[1]对账明细接口!$M$16),"")</f>
        <v/>
      </c>
      <c r="N16" s="19">
        <f t="shared" si="0"/>
        <v>1</v>
      </c>
      <c r="O16" s="19">
        <f t="shared" si="1"/>
        <v>13</v>
      </c>
      <c r="S16" s="20" t="str">
        <f>IFERROR(IF([1]对账明细接口!$N16=0,"",[1]对账明细接口!$N16),"")</f>
        <v>自备一次性筐</v>
      </c>
      <c r="T16" s="21" t="str">
        <f>IFERROR(IF([1]对账明细接口!$O16=0,"",[1]对账明细接口!$O16),"")</f>
        <v/>
      </c>
      <c r="U16" s="21" t="str">
        <f>IFERROR(IF([1]对账明细接口!$P16=0,"",[1]对账明细接口!$P16),"")</f>
        <v/>
      </c>
      <c r="V16" s="21">
        <f>IFERROR(IF([1]对账明细接口!$Q16=0,"",[1]对账明细接口!$Q16),"")</f>
        <v>10</v>
      </c>
      <c r="W16" s="20" t="str">
        <f>IFERROR(IF([1]对账明细接口!$R16=0,"",[1]对账明细接口!$R16),"")</f>
        <v>苏M*7G796</v>
      </c>
      <c r="X16" s="20" t="str">
        <f>IFERROR(IF([1]对账明细接口!$S16=0,"",[1]对账明细接口!$S16),"")</f>
        <v>自备筐</v>
      </c>
      <c r="Y16" s="20" t="str">
        <f>IFERROR(IF([1]对账明细接口!$T16=0,"",[1]对账明细接口!$T16),"")</f>
        <v/>
      </c>
      <c r="Z16" s="24" t="str">
        <f>IFERROR(IF([1]对账明细接口!$U16=0,"",[1]对账明细接口!$U16),"")</f>
        <v/>
      </c>
      <c r="AA16" s="24" t="str">
        <f>IFERROR(IF([1]对账明细接口!$V16=0,"",[1]对账明细接口!$V16),"")</f>
        <v/>
      </c>
      <c r="AB16" s="20" t="str">
        <f>IFERROR(IF([1]对账明细接口!$W16=0,"",[1]对账明细接口!$W16),"")</f>
        <v/>
      </c>
      <c r="AC16" s="7" t="str">
        <f>IFERROR(IF([1]对账明细接口!$X16=0,"",[1]对账明细接口!$X16),"")</f>
        <v/>
      </c>
      <c r="AD16" s="7" t="str">
        <f>IFERROR(IF([1]对账明细接口!$Y16=0,"",[1]对账明细接口!$Y16),"")</f>
        <v/>
      </c>
      <c r="AE16" s="7" t="str">
        <f>IFERROR(IF([1]对账明细接口!$AA16=0,"",[1]对账明细接口!$AA16),"")</f>
        <v/>
      </c>
      <c r="AF16" s="7" t="str">
        <f>IFERROR(IF([1]对账明细接口!$AB16=0,"",[1]对账明细接口!$AB16),"")</f>
        <v/>
      </c>
      <c r="AG16" s="7" t="str">
        <f>IFERROR(IF([1]对账明细接口!$AC16=0,"",[1]对账明细接口!$AC16),"")</f>
        <v/>
      </c>
      <c r="AH16" s="7" t="str">
        <f>IFERROR(IF([1]对账明细接口!$AD16=0,"",[1]对账明细接口!$AD16),"")</f>
        <v/>
      </c>
      <c r="AI16" s="7" t="str">
        <f>IFERROR(IF([1]对账明细接口!$AE16=0,"",[1]对账明细接口!$AE16),"")</f>
        <v/>
      </c>
      <c r="AJ16" s="7" t="str">
        <f>IFERROR(IF([1]对账明细接口!$AF16=0,"",[1]对账明细接口!$AF16),"")</f>
        <v/>
      </c>
    </row>
    <row r="17" ht="14.25" customHeight="1" spans="1:36">
      <c r="A17" s="14">
        <v>17</v>
      </c>
      <c r="B17" s="15">
        <f>IFERROR(IF([1]对账明细接口!$B$17=0,"",[1]对账明细接口!$B$17),"")</f>
        <v>46247</v>
      </c>
      <c r="C17" s="16" t="str">
        <f>IFERROR(IF([1]对账明细接口!$C$17=0,"",[1]对账明细接口!$C$17),"")</f>
        <v>聂新平</v>
      </c>
      <c r="D17" s="16" t="str">
        <f>IFERROR(IF([1]对账明细接口!$D$17=0,"",[1]对账明细接口!$D$17),"")</f>
        <v>原料入库</v>
      </c>
      <c r="E17" s="16" t="str">
        <f>IFERROR(IF([1]对账明细接口!$E$17=0,"",[1]对账明细接口!$E$17),"")</f>
        <v>NO0000764</v>
      </c>
      <c r="F17" s="16" t="str">
        <f>IFERROR(IF([1]对账明细接口!$F$17=0,"",[1]对账明细接口!$F$17),"")</f>
        <v>苹果</v>
      </c>
      <c r="G17" s="16" t="str">
        <f>IFERROR(IF([1]对账明细接口!$G$17=0,"",[1]对账明细接口!$G$17),"")</f>
        <v>嘎啦100#</v>
      </c>
      <c r="H17" s="17">
        <f>IFERROR(IF([1]对账明细接口!$H$17=0,"",[1]对账明细接口!$H$17),"")</f>
        <v>7</v>
      </c>
      <c r="I17" s="16" t="str">
        <f>IFERROR(IF([1]对账明细接口!$I$17=0,"",[1]对账明细接口!$I$17),"")</f>
        <v>筐</v>
      </c>
      <c r="J17" s="18">
        <f>IFERROR(IF([1]对账明细接口!$J$17=0,"",[1]对账明细接口!$J$17),"")</f>
        <v>152.6</v>
      </c>
      <c r="K17" s="18" t="str">
        <f>IFERROR(IF([1]对账明细接口!$K$17=0,"",[1]对账明细接口!$K$17),"")</f>
        <v/>
      </c>
      <c r="L17" s="16" t="str">
        <f>IFERROR(IF([1]对账明细接口!$L$17=0,"",[1]对账明细接口!$L$17),"")</f>
        <v/>
      </c>
      <c r="M17" s="16" t="str">
        <f>IFERROR(IF([1]对账明细接口!$M$17=0,"",[1]对账明细接口!$M$17),"")</f>
        <v/>
      </c>
      <c r="N17" s="19">
        <f t="shared" si="0"/>
        <v>1</v>
      </c>
      <c r="O17" s="19">
        <f t="shared" si="1"/>
        <v>14</v>
      </c>
      <c r="S17" s="20" t="str">
        <f>IFERROR(IF([1]对账明细接口!$N17=0,"",[1]对账明细接口!$N17),"")</f>
        <v>自备一次性筐</v>
      </c>
      <c r="T17" s="21" t="str">
        <f>IFERROR(IF([1]对账明细接口!$O17=0,"",[1]对账明细接口!$O17),"")</f>
        <v/>
      </c>
      <c r="U17" s="21" t="str">
        <f>IFERROR(IF([1]对账明细接口!$P17=0,"",[1]对账明细接口!$P17),"")</f>
        <v/>
      </c>
      <c r="V17" s="21">
        <f>IFERROR(IF([1]对账明细接口!$Q17=0,"",[1]对账明细接口!$Q17),"")</f>
        <v>7</v>
      </c>
      <c r="W17" s="20" t="str">
        <f>IFERROR(IF([1]对账明细接口!$R17=0,"",[1]对账明细接口!$R17),"")</f>
        <v>苏M*7G796</v>
      </c>
      <c r="X17" s="20" t="str">
        <f>IFERROR(IF([1]对账明细接口!$S17=0,"",[1]对账明细接口!$S17),"")</f>
        <v>自备筐</v>
      </c>
      <c r="Y17" s="20" t="str">
        <f>IFERROR(IF([1]对账明细接口!$T17=0,"",[1]对账明细接口!$T17),"")</f>
        <v/>
      </c>
      <c r="Z17" s="24" t="str">
        <f>IFERROR(IF([1]对账明细接口!$U17=0,"",[1]对账明细接口!$U17),"")</f>
        <v/>
      </c>
      <c r="AA17" s="24" t="str">
        <f>IFERROR(IF([1]对账明细接口!$V17=0,"",[1]对账明细接口!$V17),"")</f>
        <v/>
      </c>
      <c r="AB17" s="20" t="str">
        <f>IFERROR(IF([1]对账明细接口!$W17=0,"",[1]对账明细接口!$W17),"")</f>
        <v/>
      </c>
      <c r="AC17" s="7" t="str">
        <f>IFERROR(IF([1]对账明细接口!$X17=0,"",[1]对账明细接口!$X17),"")</f>
        <v/>
      </c>
      <c r="AD17" s="7" t="str">
        <f>IFERROR(IF([1]对账明细接口!$Y17=0,"",[1]对账明细接口!$Y17),"")</f>
        <v/>
      </c>
      <c r="AE17" s="7" t="str">
        <f>IFERROR(IF([1]对账明细接口!$AA17=0,"",[1]对账明细接口!$AA17),"")</f>
        <v/>
      </c>
      <c r="AF17" s="7" t="str">
        <f>IFERROR(IF([1]对账明细接口!$AB17=0,"",[1]对账明细接口!$AB17),"")</f>
        <v/>
      </c>
      <c r="AG17" s="7" t="str">
        <f>IFERROR(IF([1]对账明细接口!$AC17=0,"",[1]对账明细接口!$AC17),"")</f>
        <v/>
      </c>
      <c r="AH17" s="7" t="str">
        <f>IFERROR(IF([1]对账明细接口!$AD17=0,"",[1]对账明细接口!$AD17),"")</f>
        <v/>
      </c>
      <c r="AI17" s="7" t="str">
        <f>IFERROR(IF([1]对账明细接口!$AE17=0,"",[1]对账明细接口!$AE17),"")</f>
        <v/>
      </c>
      <c r="AJ17" s="7" t="str">
        <f>IFERROR(IF([1]对账明细接口!$AF17=0,"",[1]对账明细接口!$AF17),"")</f>
        <v/>
      </c>
    </row>
    <row r="18" ht="14.25" customHeight="1" spans="1:36">
      <c r="A18" s="14">
        <v>18</v>
      </c>
      <c r="B18" s="15">
        <f>IFERROR(IF([1]对账明细接口!$B$18=0,"",[1]对账明细接口!$B$18),"")</f>
        <v>46247</v>
      </c>
      <c r="C18" s="16" t="str">
        <f>IFERROR(IF([1]对账明细接口!$C$18=0,"",[1]对账明细接口!$C$18),"")</f>
        <v>王照雪</v>
      </c>
      <c r="D18" s="16" t="str">
        <f>IFERROR(IF([1]对账明细接口!$D$18=0,"",[1]对账明细接口!$D$18),"")</f>
        <v>原料入库</v>
      </c>
      <c r="E18" s="16" t="str">
        <f>IFERROR(IF([1]对账明细接口!$E$18=0,"",[1]对账明细接口!$E$18),"")</f>
        <v>NO0000765</v>
      </c>
      <c r="F18" s="16" t="str">
        <f>IFERROR(IF([1]对账明细接口!$F$18=0,"",[1]对账明细接口!$F$18),"")</f>
        <v>苹果</v>
      </c>
      <c r="G18" s="16" t="str">
        <f>IFERROR(IF([1]对账明细接口!$G$18=0,"",[1]对账明细接口!$G$18),"")</f>
        <v>华硕一级</v>
      </c>
      <c r="H18" s="17">
        <f>IFERROR(IF([1]对账明细接口!$H$18=0,"",[1]对账明细接口!$H$18),"")</f>
        <v>187</v>
      </c>
      <c r="I18" s="16" t="str">
        <f>IFERROR(IF([1]对账明细接口!$I$18=0,"",[1]对账明细接口!$I$18),"")</f>
        <v>筐</v>
      </c>
      <c r="J18" s="18">
        <f>IFERROR(IF([1]对账明细接口!$J$18=0,"",[1]对账明细接口!$J$18),"")</f>
        <v>3235.1</v>
      </c>
      <c r="K18" s="18" t="str">
        <f>IFERROR(IF([1]对账明细接口!$K$18=0,"",[1]对账明细接口!$K$18),"")</f>
        <v/>
      </c>
      <c r="L18" s="16" t="str">
        <f>IFERROR(IF([1]对账明细接口!$L$18=0,"",[1]对账明细接口!$L$18),"")</f>
        <v/>
      </c>
      <c r="M18" s="16" t="str">
        <f>IFERROR(IF([1]对账明细接口!$M$18=0,"",[1]对账明细接口!$M$18),"")</f>
        <v/>
      </c>
      <c r="N18" s="19">
        <f t="shared" si="0"/>
        <v>1</v>
      </c>
      <c r="O18" s="19">
        <f t="shared" si="1"/>
        <v>15</v>
      </c>
      <c r="S18" s="20" t="str">
        <f>IFERROR(IF([1]对账明细接口!$N18=0,"",[1]对账明细接口!$N18),"")</f>
        <v>公司杂周转筐</v>
      </c>
      <c r="T18" s="21" t="str">
        <f>IFERROR(IF([1]对账明细接口!$O18=0,"",[1]对账明细接口!$O18),"")</f>
        <v/>
      </c>
      <c r="U18" s="21" t="str">
        <f>IFERROR(IF([1]对账明细接口!$P18=0,"",[1]对账明细接口!$P18),"")</f>
        <v/>
      </c>
      <c r="V18" s="21">
        <f>IFERROR(IF([1]对账明细接口!$Q18=0,"",[1]对账明细接口!$Q18),"")</f>
        <v>187</v>
      </c>
      <c r="W18" s="20" t="str">
        <f>IFERROR(IF([1]对账明细接口!$R18=0,"",[1]对账明细接口!$R18),"")</f>
        <v>豫L*88X19</v>
      </c>
      <c r="X18" s="20" t="str">
        <f>IFERROR(IF([1]对账明细接口!$S18=0,"",[1]对账明细接口!$S18),"")</f>
        <v>公司筐</v>
      </c>
      <c r="Y18" s="20" t="str">
        <f>IFERROR(IF([1]对账明细接口!$T18=0,"",[1]对账明细接口!$T18),"")</f>
        <v/>
      </c>
      <c r="Z18" s="24" t="str">
        <f>IFERROR(IF([1]对账明细接口!$U18=0,"",[1]对账明细接口!$U18),"")</f>
        <v/>
      </c>
      <c r="AA18" s="24" t="str">
        <f>IFERROR(IF([1]对账明细接口!$V18=0,"",[1]对账明细接口!$V18),"")</f>
        <v/>
      </c>
      <c r="AB18" s="20" t="str">
        <f>IFERROR(IF([1]对账明细接口!$W18=0,"",[1]对账明细接口!$W18),"")</f>
        <v/>
      </c>
      <c r="AC18" s="7" t="str">
        <f>IFERROR(IF([1]对账明细接口!$X18=0,"",[1]对账明细接口!$X18),"")</f>
        <v/>
      </c>
      <c r="AD18" s="7" t="str">
        <f>IFERROR(IF([1]对账明细接口!$Y18=0,"",[1]对账明细接口!$Y18),"")</f>
        <v/>
      </c>
      <c r="AE18" s="7" t="str">
        <f>IFERROR(IF([1]对账明细接口!$AA18=0,"",[1]对账明细接口!$AA18),"")</f>
        <v/>
      </c>
      <c r="AF18" s="7" t="str">
        <f>IFERROR(IF([1]对账明细接口!$AB18=0,"",[1]对账明细接口!$AB18),"")</f>
        <v/>
      </c>
      <c r="AG18" s="7" t="str">
        <f>IFERROR(IF([1]对账明细接口!$AC18=0,"",[1]对账明细接口!$AC18),"")</f>
        <v/>
      </c>
      <c r="AH18" s="7" t="str">
        <f>IFERROR(IF([1]对账明细接口!$AD18=0,"",[1]对账明细接口!$AD18),"")</f>
        <v/>
      </c>
      <c r="AI18" s="7" t="str">
        <f>IFERROR(IF([1]对账明细接口!$AE18=0,"",[1]对账明细接口!$AE18),"")</f>
        <v/>
      </c>
      <c r="AJ18" s="7" t="str">
        <f>IFERROR(IF([1]对账明细接口!$AF18=0,"",[1]对账明细接口!$AF18),"")</f>
        <v/>
      </c>
    </row>
    <row r="19" ht="14.25" customHeight="1" spans="1:36">
      <c r="A19" s="14">
        <v>19</v>
      </c>
      <c r="B19" s="15">
        <f>IFERROR(IF([1]对账明细接口!$B$19=0,"",[1]对账明细接口!$B$19),"")</f>
        <v>46247</v>
      </c>
      <c r="C19" s="16" t="str">
        <f>IFERROR(IF([1]对账明细接口!$C$19=0,"",[1]对账明细接口!$C$19),"")</f>
        <v>王照雪</v>
      </c>
      <c r="D19" s="16" t="str">
        <f>IFERROR(IF([1]对账明细接口!$D$19=0,"",[1]对账明细接口!$D$19),"")</f>
        <v>原料入库</v>
      </c>
      <c r="E19" s="16" t="str">
        <f>IFERROR(IF([1]对账明细接口!$E$19=0,"",[1]对账明细接口!$E$19),"")</f>
        <v>NO0000765</v>
      </c>
      <c r="F19" s="16" t="str">
        <f>IFERROR(IF([1]对账明细接口!$F$19=0,"",[1]对账明细接口!$F$19),"")</f>
        <v>苹果</v>
      </c>
      <c r="G19" s="16" t="str">
        <f>IFERROR(IF([1]对账明细接口!$G$19=0,"",[1]对账明细接口!$G$19),"")</f>
        <v>华硕二级</v>
      </c>
      <c r="H19" s="17">
        <f>IFERROR(IF([1]对账明细接口!$H$19=0,"",[1]对账明细接口!$H$19),"")</f>
        <v>49</v>
      </c>
      <c r="I19" s="16" t="str">
        <f>IFERROR(IF([1]对账明细接口!$I$19=0,"",[1]对账明细接口!$I$19),"")</f>
        <v>筐</v>
      </c>
      <c r="J19" s="18">
        <f>IFERROR(IF([1]对账明细接口!$J$19=0,"",[1]对账明细接口!$J$19),"")</f>
        <v>798.7</v>
      </c>
      <c r="K19" s="18" t="str">
        <f>IFERROR(IF([1]对账明细接口!$K$19=0,"",[1]对账明细接口!$K$19),"")</f>
        <v/>
      </c>
      <c r="L19" s="16" t="str">
        <f>IFERROR(IF([1]对账明细接口!$L$19=0,"",[1]对账明细接口!$L$19),"")</f>
        <v/>
      </c>
      <c r="M19" s="16" t="str">
        <f>IFERROR(IF([1]对账明细接口!$M$19=0,"",[1]对账明细接口!$M$19),"")</f>
        <v/>
      </c>
      <c r="N19" s="19">
        <f t="shared" si="0"/>
        <v>1</v>
      </c>
      <c r="O19" s="19">
        <f t="shared" si="1"/>
        <v>16</v>
      </c>
      <c r="S19" s="20" t="str">
        <f>IFERROR(IF([1]对账明细接口!$N19=0,"",[1]对账明细接口!$N19),"")</f>
        <v>公司杂周转筐</v>
      </c>
      <c r="T19" s="21" t="str">
        <f>IFERROR(IF([1]对账明细接口!$O19=0,"",[1]对账明细接口!$O19),"")</f>
        <v/>
      </c>
      <c r="U19" s="21" t="str">
        <f>IFERROR(IF([1]对账明细接口!$P19=0,"",[1]对账明细接口!$P19),"")</f>
        <v/>
      </c>
      <c r="V19" s="21">
        <f>IFERROR(IF([1]对账明细接口!$Q19=0,"",[1]对账明细接口!$Q19),"")</f>
        <v>49</v>
      </c>
      <c r="W19" s="20" t="str">
        <f>IFERROR(IF([1]对账明细接口!$R19=0,"",[1]对账明细接口!$R19),"")</f>
        <v>豫L*88X19</v>
      </c>
      <c r="X19" s="20" t="str">
        <f>IFERROR(IF([1]对账明细接口!$S19=0,"",[1]对账明细接口!$S19),"")</f>
        <v>公司筐</v>
      </c>
      <c r="Y19" s="20" t="str">
        <f>IFERROR(IF([1]对账明细接口!$T19=0,"",[1]对账明细接口!$T19),"")</f>
        <v/>
      </c>
      <c r="Z19" s="24" t="str">
        <f>IFERROR(IF([1]对账明细接口!$U19=0,"",[1]对账明细接口!$U19),"")</f>
        <v/>
      </c>
      <c r="AA19" s="24" t="str">
        <f>IFERROR(IF([1]对账明细接口!$V19=0,"",[1]对账明细接口!$V19),"")</f>
        <v/>
      </c>
      <c r="AB19" s="20" t="str">
        <f>IFERROR(IF([1]对账明细接口!$W19=0,"",[1]对账明细接口!$W19),"")</f>
        <v/>
      </c>
      <c r="AC19" s="7" t="str">
        <f>IFERROR(IF([1]对账明细接口!$X19=0,"",[1]对账明细接口!$X19),"")</f>
        <v/>
      </c>
      <c r="AD19" s="7" t="str">
        <f>IFERROR(IF([1]对账明细接口!$Y19=0,"",[1]对账明细接口!$Y19),"")</f>
        <v/>
      </c>
      <c r="AE19" s="7" t="str">
        <f>IFERROR(IF([1]对账明细接口!$AA19=0,"",[1]对账明细接口!$AA19),"")</f>
        <v/>
      </c>
      <c r="AF19" s="7" t="str">
        <f>IFERROR(IF([1]对账明细接口!$AB19=0,"",[1]对账明细接口!$AB19),"")</f>
        <v/>
      </c>
      <c r="AG19" s="7" t="str">
        <f>IFERROR(IF([1]对账明细接口!$AC19=0,"",[1]对账明细接口!$AC19),"")</f>
        <v/>
      </c>
      <c r="AH19" s="7" t="str">
        <f>IFERROR(IF([1]对账明细接口!$AD19=0,"",[1]对账明细接口!$AD19),"")</f>
        <v/>
      </c>
      <c r="AI19" s="7" t="str">
        <f>IFERROR(IF([1]对账明细接口!$AE19=0,"",[1]对账明细接口!$AE19),"")</f>
        <v/>
      </c>
      <c r="AJ19" s="7" t="str">
        <f>IFERROR(IF([1]对账明细接口!$AF19=0,"",[1]对账明细接口!$AF19),"")</f>
        <v/>
      </c>
    </row>
    <row r="20" ht="14.25" customHeight="1" spans="1:36">
      <c r="A20" s="14">
        <v>20</v>
      </c>
      <c r="B20" s="15">
        <f>IFERROR(IF([1]对账明细接口!$B$20=0,"",[1]对账明细接口!$B$20),"")</f>
        <v>46247</v>
      </c>
      <c r="C20" s="16" t="str">
        <f>IFERROR(IF([1]对账明细接口!$C$20=0,"",[1]对账明细接口!$C$20),"")</f>
        <v>王照雪</v>
      </c>
      <c r="D20" s="16" t="str">
        <f>IFERROR(IF([1]对账明细接口!$D$20=0,"",[1]对账明细接口!$D$20),"")</f>
        <v>原料入库</v>
      </c>
      <c r="E20" s="16" t="str">
        <f>IFERROR(IF([1]对账明细接口!$E$20=0,"",[1]对账明细接口!$E$20),"")</f>
        <v>NO0000765</v>
      </c>
      <c r="F20" s="16" t="str">
        <f>IFERROR(IF([1]对账明细接口!$F$20=0,"",[1]对账明细接口!$F$20),"")</f>
        <v>苹果</v>
      </c>
      <c r="G20" s="16" t="str">
        <f>IFERROR(IF([1]对账明细接口!$G$20=0,"",[1]对账明细接口!$G$20),"")</f>
        <v>华硕高次</v>
      </c>
      <c r="H20" s="17">
        <f>IFERROR(IF([1]对账明细接口!$H$20=0,"",[1]对账明细接口!$H$20),"")</f>
        <v>11</v>
      </c>
      <c r="I20" s="16" t="str">
        <f>IFERROR(IF([1]对账明细接口!$I$20=0,"",[1]对账明细接口!$I$20),"")</f>
        <v>筐</v>
      </c>
      <c r="J20" s="18">
        <f>IFERROR(IF([1]对账明细接口!$J$20=0,"",[1]对账明细接口!$J$20),"")</f>
        <v>190.3</v>
      </c>
      <c r="K20" s="18" t="str">
        <f>IFERROR(IF([1]对账明细接口!$K$20=0,"",[1]对账明细接口!$K$20),"")</f>
        <v/>
      </c>
      <c r="L20" s="16" t="str">
        <f>IFERROR(IF([1]对账明细接口!$L$20=0,"",[1]对账明细接口!$L$20),"")</f>
        <v/>
      </c>
      <c r="M20" s="16" t="str">
        <f>IFERROR(IF([1]对账明细接口!$M$20=0,"",[1]对账明细接口!$M$20),"")</f>
        <v/>
      </c>
      <c r="N20" s="19">
        <f t="shared" si="0"/>
        <v>1</v>
      </c>
      <c r="O20" s="19">
        <f t="shared" si="1"/>
        <v>17</v>
      </c>
      <c r="S20" s="20" t="str">
        <f>IFERROR(IF([1]对账明细接口!$N20=0,"",[1]对账明细接口!$N20),"")</f>
        <v>公司杂周转筐</v>
      </c>
      <c r="T20" s="21" t="str">
        <f>IFERROR(IF([1]对账明细接口!$O20=0,"",[1]对账明细接口!$O20),"")</f>
        <v/>
      </c>
      <c r="U20" s="21" t="str">
        <f>IFERROR(IF([1]对账明细接口!$P20=0,"",[1]对账明细接口!$P20),"")</f>
        <v/>
      </c>
      <c r="V20" s="21">
        <f>IFERROR(IF([1]对账明细接口!$Q20=0,"",[1]对账明细接口!$Q20),"")</f>
        <v>11</v>
      </c>
      <c r="W20" s="20" t="str">
        <f>IFERROR(IF([1]对账明细接口!$R20=0,"",[1]对账明细接口!$R20),"")</f>
        <v>豫L*88X19</v>
      </c>
      <c r="X20" s="20" t="str">
        <f>IFERROR(IF([1]对账明细接口!$S20=0,"",[1]对账明细接口!$S20),"")</f>
        <v>公司筐</v>
      </c>
      <c r="Y20" s="20" t="str">
        <f>IFERROR(IF([1]对账明细接口!$T20=0,"",[1]对账明细接口!$T20),"")</f>
        <v/>
      </c>
      <c r="Z20" s="24" t="str">
        <f>IFERROR(IF([1]对账明细接口!$U20=0,"",[1]对账明细接口!$U20),"")</f>
        <v/>
      </c>
      <c r="AA20" s="24" t="str">
        <f>IFERROR(IF([1]对账明细接口!$V20=0,"",[1]对账明细接口!$V20),"")</f>
        <v/>
      </c>
      <c r="AB20" s="20" t="str">
        <f>IFERROR(IF([1]对账明细接口!$W20=0,"",[1]对账明细接口!$W20),"")</f>
        <v/>
      </c>
      <c r="AC20" s="7" t="str">
        <f>IFERROR(IF([1]对账明细接口!$X20=0,"",[1]对账明细接口!$X20),"")</f>
        <v/>
      </c>
      <c r="AD20" s="7" t="str">
        <f>IFERROR(IF([1]对账明细接口!$Y20=0,"",[1]对账明细接口!$Y20),"")</f>
        <v/>
      </c>
      <c r="AE20" s="7" t="str">
        <f>IFERROR(IF([1]对账明细接口!$AA20=0,"",[1]对账明细接口!$AA20),"")</f>
        <v/>
      </c>
      <c r="AF20" s="7" t="str">
        <f>IFERROR(IF([1]对账明细接口!$AB20=0,"",[1]对账明细接口!$AB20),"")</f>
        <v/>
      </c>
      <c r="AG20" s="7" t="str">
        <f>IFERROR(IF([1]对账明细接口!$AC20=0,"",[1]对账明细接口!$AC20),"")</f>
        <v/>
      </c>
      <c r="AH20" s="7" t="str">
        <f>IFERROR(IF([1]对账明细接口!$AD20=0,"",[1]对账明细接口!$AD20),"")</f>
        <v/>
      </c>
      <c r="AI20" s="7" t="str">
        <f>IFERROR(IF([1]对账明细接口!$AE20=0,"",[1]对账明细接口!$AE20),"")</f>
        <v/>
      </c>
      <c r="AJ20" s="7" t="str">
        <f>IFERROR(IF([1]对账明细接口!$AF20=0,"",[1]对账明细接口!$AF20),"")</f>
        <v/>
      </c>
    </row>
    <row r="21" ht="14.25" customHeight="1" spans="1:36">
      <c r="A21" s="14">
        <v>21</v>
      </c>
      <c r="B21" s="15">
        <f>IFERROR(IF([1]对账明细接口!$B$21=0,"",[1]对账明细接口!$B$21),"")</f>
        <v>46248</v>
      </c>
      <c r="C21" s="16" t="str">
        <f>IFERROR(IF([1]对账明细接口!$C$21=0,"",[1]对账明细接口!$C$21),"")</f>
        <v>聂新平</v>
      </c>
      <c r="D21" s="16" t="str">
        <f>IFERROR(IF([1]对账明细接口!$D$21=0,"",[1]对账明细接口!$D$21),"")</f>
        <v>原料入库</v>
      </c>
      <c r="E21" s="16" t="str">
        <f>IFERROR(IF([1]对账明细接口!$E$21=0,"",[1]对账明细接口!$E$21),"")</f>
        <v>NO0000766</v>
      </c>
      <c r="F21" s="16" t="str">
        <f>IFERROR(IF([1]对账明细接口!$F$21=0,"",[1]对账明细接口!$F$21),"")</f>
        <v>苹果</v>
      </c>
      <c r="G21" s="16" t="str">
        <f>IFERROR(IF([1]对账明细接口!$G$21=0,"",[1]对账明细接口!$G$21),"")</f>
        <v>嘎啦85#</v>
      </c>
      <c r="H21" s="17">
        <f>IFERROR(IF([1]对账明细接口!$H$21=0,"",[1]对账明细接口!$H$21),"")</f>
        <v>40</v>
      </c>
      <c r="I21" s="16" t="str">
        <f>IFERROR(IF([1]对账明细接口!$I$21=0,"",[1]对账明细接口!$I$21),"")</f>
        <v>筐</v>
      </c>
      <c r="J21" s="18">
        <f>IFERROR(IF([1]对账明细接口!$J$21=0,"",[1]对账明细接口!$J$21),"")</f>
        <v>872</v>
      </c>
      <c r="K21" s="18" t="str">
        <f>IFERROR(IF([1]对账明细接口!$K$21=0,"",[1]对账明细接口!$K$21),"")</f>
        <v/>
      </c>
      <c r="L21" s="16" t="str">
        <f>IFERROR(IF([1]对账明细接口!$L$21=0,"",[1]对账明细接口!$L$21),"")</f>
        <v/>
      </c>
      <c r="M21" s="16" t="str">
        <f>IFERROR(IF([1]对账明细接口!$M$21=0,"",[1]对账明细接口!$M$21),"")</f>
        <v/>
      </c>
      <c r="N21" s="19">
        <f t="shared" si="0"/>
        <v>1</v>
      </c>
      <c r="O21" s="19">
        <f t="shared" si="1"/>
        <v>18</v>
      </c>
      <c r="S21" s="20" t="str">
        <f>IFERROR(IF([1]对账明细接口!$N21=0,"",[1]对账明细接口!$N21),"")</f>
        <v>自备一次性筐</v>
      </c>
      <c r="T21" s="21" t="str">
        <f>IFERROR(IF([1]对账明细接口!$O21=0,"",[1]对账明细接口!$O21),"")</f>
        <v/>
      </c>
      <c r="U21" s="21" t="str">
        <f>IFERROR(IF([1]对账明细接口!$P21=0,"",[1]对账明细接口!$P21),"")</f>
        <v/>
      </c>
      <c r="V21" s="21">
        <f>IFERROR(IF([1]对账明细接口!$Q21=0,"",[1]对账明细接口!$Q21),"")</f>
        <v>40</v>
      </c>
      <c r="W21" s="20" t="str">
        <f>IFERROR(IF([1]对账明细接口!$R21=0,"",[1]对账明细接口!$R21),"")</f>
        <v>苏M*7G796</v>
      </c>
      <c r="X21" s="20" t="str">
        <f>IFERROR(IF([1]对账明细接口!$S21=0,"",[1]对账明细接口!$S21),"")</f>
        <v>自备筐</v>
      </c>
      <c r="Y21" s="20" t="str">
        <f>IFERROR(IF([1]对账明细接口!$T21=0,"",[1]对账明细接口!$T21),"")</f>
        <v/>
      </c>
      <c r="Z21" s="24" t="str">
        <f>IFERROR(IF([1]对账明细接口!$U21=0,"",[1]对账明细接口!$U21),"")</f>
        <v/>
      </c>
      <c r="AA21" s="24" t="str">
        <f>IFERROR(IF([1]对账明细接口!$V21=0,"",[1]对账明细接口!$V21),"")</f>
        <v/>
      </c>
      <c r="AB21" s="20" t="str">
        <f>IFERROR(IF([1]对账明细接口!$W21=0,"",[1]对账明细接口!$W21),"")</f>
        <v/>
      </c>
      <c r="AC21" s="7" t="str">
        <f>IFERROR(IF([1]对账明细接口!$X21=0,"",[1]对账明细接口!$X21),"")</f>
        <v/>
      </c>
      <c r="AD21" s="7" t="str">
        <f>IFERROR(IF([1]对账明细接口!$Y21=0,"",[1]对账明细接口!$Y21),"")</f>
        <v/>
      </c>
      <c r="AE21" s="7" t="str">
        <f>IFERROR(IF([1]对账明细接口!$AA21=0,"",[1]对账明细接口!$AA21),"")</f>
        <v/>
      </c>
      <c r="AF21" s="7" t="str">
        <f>IFERROR(IF([1]对账明细接口!$AB21=0,"",[1]对账明细接口!$AB21),"")</f>
        <v/>
      </c>
      <c r="AG21" s="7" t="str">
        <f>IFERROR(IF([1]对账明细接口!$AC21=0,"",[1]对账明细接口!$AC21),"")</f>
        <v/>
      </c>
      <c r="AH21" s="7" t="str">
        <f>IFERROR(IF([1]对账明细接口!$AD21=0,"",[1]对账明细接口!$AD21),"")</f>
        <v/>
      </c>
      <c r="AI21" s="7" t="str">
        <f>IFERROR(IF([1]对账明细接口!$AE21=0,"",[1]对账明细接口!$AE21),"")</f>
        <v/>
      </c>
      <c r="AJ21" s="7" t="str">
        <f>IFERROR(IF([1]对账明细接口!$AF21=0,"",[1]对账明细接口!$AF21),"")</f>
        <v/>
      </c>
    </row>
    <row r="22" ht="14.25" customHeight="1" spans="1:36">
      <c r="A22" s="14">
        <v>22</v>
      </c>
      <c r="B22" s="15">
        <f>IFERROR(IF([1]对账明细接口!$B$22=0,"",[1]对账明细接口!$B$22),"")</f>
        <v>46248</v>
      </c>
      <c r="C22" s="16" t="str">
        <f>IFERROR(IF([1]对账明细接口!$C$22=0,"",[1]对账明细接口!$C$22),"")</f>
        <v>聂新平</v>
      </c>
      <c r="D22" s="16" t="str">
        <f>IFERROR(IF([1]对账明细接口!$D$22=0,"",[1]对账明细接口!$D$22),"")</f>
        <v>原料入库</v>
      </c>
      <c r="E22" s="16" t="str">
        <f>IFERROR(IF([1]对账明细接口!$E$22=0,"",[1]对账明细接口!$E$22),"")</f>
        <v>NO0000766</v>
      </c>
      <c r="F22" s="16" t="str">
        <f>IFERROR(IF([1]对账明细接口!$F$22=0,"",[1]对账明细接口!$F$22),"")</f>
        <v>苹果</v>
      </c>
      <c r="G22" s="16" t="str">
        <f>IFERROR(IF([1]对账明细接口!$G$22=0,"",[1]对账明细接口!$G$22),"")</f>
        <v>嘎啦100#</v>
      </c>
      <c r="H22" s="17">
        <f>IFERROR(IF([1]对账明细接口!$H$22=0,"",[1]对账明细接口!$H$22),"")</f>
        <v>74</v>
      </c>
      <c r="I22" s="16" t="str">
        <f>IFERROR(IF([1]对账明细接口!$I$22=0,"",[1]对账明细接口!$I$22),"")</f>
        <v>筐</v>
      </c>
      <c r="J22" s="18">
        <f>IFERROR(IF([1]对账明细接口!$J$22=0,"",[1]对账明细接口!$J$22),"")</f>
        <v>1613.2</v>
      </c>
      <c r="K22" s="18" t="str">
        <f>IFERROR(IF([1]对账明细接口!$K$22=0,"",[1]对账明细接口!$K$22),"")</f>
        <v/>
      </c>
      <c r="L22" s="16" t="str">
        <f>IFERROR(IF([1]对账明细接口!$L$22=0,"",[1]对账明细接口!$L$22),"")</f>
        <v/>
      </c>
      <c r="M22" s="16" t="str">
        <f>IFERROR(IF([1]对账明细接口!$M$22=0,"",[1]对账明细接口!$M$22),"")</f>
        <v/>
      </c>
      <c r="N22" s="19">
        <f t="shared" si="0"/>
        <v>1</v>
      </c>
      <c r="O22" s="19">
        <f t="shared" si="1"/>
        <v>19</v>
      </c>
      <c r="S22" s="20" t="str">
        <f>IFERROR(IF([1]对账明细接口!$N22=0,"",[1]对账明细接口!$N22),"")</f>
        <v>自备一次性筐</v>
      </c>
      <c r="T22" s="21" t="str">
        <f>IFERROR(IF([1]对账明细接口!$O22=0,"",[1]对账明细接口!$O22),"")</f>
        <v/>
      </c>
      <c r="U22" s="21" t="str">
        <f>IFERROR(IF([1]对账明细接口!$P22=0,"",[1]对账明细接口!$P22),"")</f>
        <v/>
      </c>
      <c r="V22" s="21">
        <f>IFERROR(IF([1]对账明细接口!$Q22=0,"",[1]对账明细接口!$Q22),"")</f>
        <v>74</v>
      </c>
      <c r="W22" s="20" t="str">
        <f>IFERROR(IF([1]对账明细接口!$R22=0,"",[1]对账明细接口!$R22),"")</f>
        <v>苏M*7G796</v>
      </c>
      <c r="X22" s="20" t="str">
        <f>IFERROR(IF([1]对账明细接口!$S22=0,"",[1]对账明细接口!$S22),"")</f>
        <v>自备筐</v>
      </c>
      <c r="Y22" s="20" t="str">
        <f>IFERROR(IF([1]对账明细接口!$T22=0,"",[1]对账明细接口!$T22),"")</f>
        <v/>
      </c>
      <c r="Z22" s="24" t="str">
        <f>IFERROR(IF([1]对账明细接口!$U22=0,"",[1]对账明细接口!$U22),"")</f>
        <v/>
      </c>
      <c r="AA22" s="24" t="str">
        <f>IFERROR(IF([1]对账明细接口!$V22=0,"",[1]对账明细接口!$V22),"")</f>
        <v/>
      </c>
      <c r="AB22" s="20" t="str">
        <f>IFERROR(IF([1]对账明细接口!$W22=0,"",[1]对账明细接口!$W22),"")</f>
        <v/>
      </c>
      <c r="AC22" s="7" t="str">
        <f>IFERROR(IF([1]对账明细接口!$X22=0,"",[1]对账明细接口!$X22),"")</f>
        <v/>
      </c>
      <c r="AD22" s="7" t="str">
        <f>IFERROR(IF([1]对账明细接口!$Y22=0,"",[1]对账明细接口!$Y22),"")</f>
        <v/>
      </c>
      <c r="AE22" s="7" t="str">
        <f>IFERROR(IF([1]对账明细接口!$AA22=0,"",[1]对账明细接口!$AA22),"")</f>
        <v/>
      </c>
      <c r="AF22" s="7" t="str">
        <f>IFERROR(IF([1]对账明细接口!$AB22=0,"",[1]对账明细接口!$AB22),"")</f>
        <v/>
      </c>
      <c r="AG22" s="7" t="str">
        <f>IFERROR(IF([1]对账明细接口!$AC22=0,"",[1]对账明细接口!$AC22),"")</f>
        <v/>
      </c>
      <c r="AH22" s="7" t="str">
        <f>IFERROR(IF([1]对账明细接口!$AD22=0,"",[1]对账明细接口!$AD22),"")</f>
        <v/>
      </c>
      <c r="AI22" s="7" t="str">
        <f>IFERROR(IF([1]对账明细接口!$AE22=0,"",[1]对账明细接口!$AE22),"")</f>
        <v/>
      </c>
      <c r="AJ22" s="7" t="str">
        <f>IFERROR(IF([1]对账明细接口!$AF22=0,"",[1]对账明细接口!$AF22),"")</f>
        <v/>
      </c>
    </row>
    <row r="23" ht="14.25" customHeight="1" spans="1:36">
      <c r="A23" s="14">
        <v>23</v>
      </c>
      <c r="B23" s="15">
        <f>IFERROR(IF([1]对账明细接口!$B$23=0,"",[1]对账明细接口!$B$23),"")</f>
        <v>46248</v>
      </c>
      <c r="C23" s="16" t="str">
        <f>IFERROR(IF([1]对账明细接口!$C$23=0,"",[1]对账明细接口!$C$23),"")</f>
        <v>伍元虎</v>
      </c>
      <c r="D23" s="16" t="str">
        <f>IFERROR(IF([1]对账明细接口!$D$23=0,"",[1]对账明细接口!$D$23),"")</f>
        <v>原料入库</v>
      </c>
      <c r="E23" s="16" t="str">
        <f>IFERROR(IF([1]对账明细接口!$E$23=0,"",[1]对账明细接口!$E$23),"")</f>
        <v>NO0000767</v>
      </c>
      <c r="F23" s="16" t="str">
        <f>IFERROR(IF([1]对账明细接口!$F$23=0,"",[1]对账明细接口!$F$23),"")</f>
        <v>苹果</v>
      </c>
      <c r="G23" s="16" t="str">
        <f>IFERROR(IF([1]对账明细接口!$G$23=0,"",[1]对账明细接口!$G$23),"")</f>
        <v>海棠果</v>
      </c>
      <c r="H23" s="17">
        <f>IFERROR(IF([1]对账明细接口!$H$23=0,"",[1]对账明细接口!$H$23),"")</f>
        <v>24</v>
      </c>
      <c r="I23" s="16" t="str">
        <f>IFERROR(IF([1]对账明细接口!$I$23=0,"",[1]对账明细接口!$I$23),"")</f>
        <v>筐</v>
      </c>
      <c r="J23" s="18">
        <f>IFERROR(IF([1]对账明细接口!$J$23=0,"",[1]对账明细接口!$J$23),"")</f>
        <v>540</v>
      </c>
      <c r="K23" s="18" t="str">
        <f>IFERROR(IF([1]对账明细接口!$K$23=0,"",[1]对账明细接口!$K$23),"")</f>
        <v/>
      </c>
      <c r="L23" s="16" t="str">
        <f>IFERROR(IF([1]对账明细接口!$L$23=0,"",[1]对账明细接口!$L$23),"")</f>
        <v/>
      </c>
      <c r="M23" s="16" t="str">
        <f>IFERROR(IF([1]对账明细接口!$M$23=0,"",[1]对账明细接口!$M$23),"")</f>
        <v/>
      </c>
      <c r="N23" s="19">
        <f t="shared" si="0"/>
        <v>1</v>
      </c>
      <c r="O23" s="19">
        <f t="shared" si="1"/>
        <v>20</v>
      </c>
      <c r="S23" s="20" t="str">
        <f>IFERROR(IF([1]对账明细接口!$N23=0,"",[1]对账明细接口!$N23),"")</f>
        <v>自备一次性筐</v>
      </c>
      <c r="T23" s="21" t="str">
        <f>IFERROR(IF([1]对账明细接口!$O23=0,"",[1]对账明细接口!$O23),"")</f>
        <v/>
      </c>
      <c r="U23" s="21" t="str">
        <f>IFERROR(IF([1]对账明细接口!$P23=0,"",[1]对账明细接口!$P23),"")</f>
        <v/>
      </c>
      <c r="V23" s="21">
        <f>IFERROR(IF([1]对账明细接口!$Q23=0,"",[1]对账明细接口!$Q23),"")</f>
        <v>24</v>
      </c>
      <c r="W23" s="20" t="str">
        <f>IFERROR(IF([1]对账明细接口!$R23=0,"",[1]对账明细接口!$R23),"")</f>
        <v>三轮车</v>
      </c>
      <c r="X23" s="20" t="str">
        <f>IFERROR(IF([1]对账明细接口!$S23=0,"",[1]对账明细接口!$S23),"")</f>
        <v>自备筐</v>
      </c>
      <c r="Y23" s="20" t="str">
        <f>IFERROR(IF([1]对账明细接口!$T23=0,"",[1]对账明细接口!$T23),"")</f>
        <v/>
      </c>
      <c r="Z23" s="24" t="str">
        <f>IFERROR(IF([1]对账明细接口!$U23=0,"",[1]对账明细接口!$U23),"")</f>
        <v/>
      </c>
      <c r="AA23" s="24" t="str">
        <f>IFERROR(IF([1]对账明细接口!$V23=0,"",[1]对账明细接口!$V23),"")</f>
        <v/>
      </c>
      <c r="AB23" s="20" t="str">
        <f>IFERROR(IF([1]对账明细接口!$W23=0,"",[1]对账明细接口!$W23),"")</f>
        <v/>
      </c>
      <c r="AC23" s="7" t="str">
        <f>IFERROR(IF([1]对账明细接口!$X23=0,"",[1]对账明细接口!$X23),"")</f>
        <v/>
      </c>
      <c r="AD23" s="7" t="str">
        <f>IFERROR(IF([1]对账明细接口!$Y23=0,"",[1]对账明细接口!$Y23),"")</f>
        <v/>
      </c>
      <c r="AE23" s="7" t="str">
        <f>IFERROR(IF([1]对账明细接口!$AA23=0,"",[1]对账明细接口!$AA23),"")</f>
        <v/>
      </c>
      <c r="AF23" s="7" t="str">
        <f>IFERROR(IF([1]对账明细接口!$AB23=0,"",[1]对账明细接口!$AB23),"")</f>
        <v/>
      </c>
      <c r="AG23" s="7" t="str">
        <f>IFERROR(IF([1]对账明细接口!$AC23=0,"",[1]对账明细接口!$AC23),"")</f>
        <v/>
      </c>
      <c r="AH23" s="7" t="str">
        <f>IFERROR(IF([1]对账明细接口!$AD23=0,"",[1]对账明细接口!$AD23),"")</f>
        <v/>
      </c>
      <c r="AI23" s="7" t="str">
        <f>IFERROR(IF([1]对账明细接口!$AE23=0,"",[1]对账明细接口!$AE23),"")</f>
        <v/>
      </c>
      <c r="AJ23" s="7" t="str">
        <f>IFERROR(IF([1]对账明细接口!$AF23=0,"",[1]对账明细接口!$AF23),"")</f>
        <v/>
      </c>
    </row>
    <row r="24" ht="14.25" customHeight="1" spans="1:36">
      <c r="A24" s="14">
        <v>24</v>
      </c>
      <c r="B24" s="15">
        <f>IFERROR(IF([1]对账明细接口!$B$24=0,"",[1]对账明细接口!$B$24),"")</f>
        <v>46248</v>
      </c>
      <c r="C24" s="16" t="str">
        <f>IFERROR(IF([1]对账明细接口!$C$24=0,"",[1]对账明细接口!$C$24),"")</f>
        <v>王照雪</v>
      </c>
      <c r="D24" s="16" t="str">
        <f>IFERROR(IF([1]对账明细接口!$D$24=0,"",[1]对账明细接口!$D$24),"")</f>
        <v>原料入库</v>
      </c>
      <c r="E24" s="16" t="str">
        <f>IFERROR(IF([1]对账明细接口!$E$24=0,"",[1]对账明细接口!$E$24),"")</f>
        <v>NO0000768</v>
      </c>
      <c r="F24" s="16" t="str">
        <f>IFERROR(IF([1]对账明细接口!$F$24=0,"",[1]对账明细接口!$F$24),"")</f>
        <v>李子</v>
      </c>
      <c r="G24" s="16" t="str">
        <f>IFERROR(IF([1]对账明细接口!$G$24=0,"",[1]对账明细接口!$G$24),"")</f>
        <v>樱桃李</v>
      </c>
      <c r="H24" s="17">
        <f>IFERROR(IF([1]对账明细接口!$H$24=0,"",[1]对账明细接口!$H$24),"")</f>
        <v>317</v>
      </c>
      <c r="I24" s="16" t="str">
        <f>IFERROR(IF([1]对账明细接口!$I$24=0,"",[1]对账明细接口!$I$24),"")</f>
        <v>筐</v>
      </c>
      <c r="J24" s="18">
        <f>IFERROR(IF([1]对账明细接口!$J$24=0,"",[1]对账明细接口!$J$24),"")</f>
        <v>5167.1</v>
      </c>
      <c r="K24" s="18" t="str">
        <f>IFERROR(IF([1]对账明细接口!$K$24=0,"",[1]对账明细接口!$K$24),"")</f>
        <v/>
      </c>
      <c r="L24" s="16" t="str">
        <f>IFERROR(IF([1]对账明细接口!$L$24=0,"",[1]对账明细接口!$L$24),"")</f>
        <v/>
      </c>
      <c r="M24" s="16" t="str">
        <f>IFERROR(IF([1]对账明细接口!$M$24=0,"",[1]对账明细接口!$M$24),"")</f>
        <v/>
      </c>
      <c r="N24" s="19">
        <f t="shared" si="0"/>
        <v>1</v>
      </c>
      <c r="O24" s="19">
        <f t="shared" si="1"/>
        <v>21</v>
      </c>
      <c r="S24" s="20" t="str">
        <f>IFERROR(IF([1]对账明细接口!$N24=0,"",[1]对账明细接口!$N24),"")</f>
        <v>自备一次性筐</v>
      </c>
      <c r="T24" s="21" t="str">
        <f>IFERROR(IF([1]对账明细接口!$O24=0,"",[1]对账明细接口!$O24),"")</f>
        <v/>
      </c>
      <c r="U24" s="21" t="str">
        <f>IFERROR(IF([1]对账明细接口!$P24=0,"",[1]对账明细接口!$P24),"")</f>
        <v/>
      </c>
      <c r="V24" s="21">
        <f>IFERROR(IF([1]对账明细接口!$Q24=0,"",[1]对账明细接口!$Q24),"")</f>
        <v>317</v>
      </c>
      <c r="W24" s="20" t="str">
        <f>IFERROR(IF([1]对账明细接口!$R24=0,"",[1]对账明细接口!$R24),"")</f>
        <v>豫L*88X19</v>
      </c>
      <c r="X24" s="20" t="str">
        <f>IFERROR(IF([1]对账明细接口!$S24=0,"",[1]对账明细接口!$S24),"")</f>
        <v>自备筐</v>
      </c>
      <c r="Y24" s="20" t="str">
        <f>IFERROR(IF([1]对账明细接口!$T24=0,"",[1]对账明细接口!$T24),"")</f>
        <v/>
      </c>
      <c r="Z24" s="24" t="str">
        <f>IFERROR(IF([1]对账明细接口!$U24=0,"",[1]对账明细接口!$U24),"")</f>
        <v/>
      </c>
      <c r="AA24" s="24" t="str">
        <f>IFERROR(IF([1]对账明细接口!$V24=0,"",[1]对账明细接口!$V24),"")</f>
        <v/>
      </c>
      <c r="AB24" s="20" t="str">
        <f>IFERROR(IF([1]对账明细接口!$W24=0,"",[1]对账明细接口!$W24),"")</f>
        <v/>
      </c>
      <c r="AC24" s="7" t="str">
        <f>IFERROR(IF([1]对账明细接口!$X24=0,"",[1]对账明细接口!$X24),"")</f>
        <v/>
      </c>
      <c r="AD24" s="7" t="str">
        <f>IFERROR(IF([1]对账明细接口!$Y24=0,"",[1]对账明细接口!$Y24),"")</f>
        <v/>
      </c>
      <c r="AE24" s="7" t="str">
        <f>IFERROR(IF([1]对账明细接口!$AA24=0,"",[1]对账明细接口!$AA24),"")</f>
        <v/>
      </c>
      <c r="AF24" s="7" t="str">
        <f>IFERROR(IF([1]对账明细接口!$AB24=0,"",[1]对账明细接口!$AB24),"")</f>
        <v/>
      </c>
      <c r="AG24" s="7" t="str">
        <f>IFERROR(IF([1]对账明细接口!$AC24=0,"",[1]对账明细接口!$AC24),"")</f>
        <v/>
      </c>
      <c r="AH24" s="7" t="str">
        <f>IFERROR(IF([1]对账明细接口!$AD24=0,"",[1]对账明细接口!$AD24),"")</f>
        <v/>
      </c>
      <c r="AI24" s="7" t="str">
        <f>IFERROR(IF([1]对账明细接口!$AE24=0,"",[1]对账明细接口!$AE24),"")</f>
        <v/>
      </c>
      <c r="AJ24" s="7" t="str">
        <f>IFERROR(IF([1]对账明细接口!$AF24=0,"",[1]对账明细接口!$AF24),"")</f>
        <v/>
      </c>
    </row>
    <row r="25" ht="14.25" customHeight="1" spans="1:36">
      <c r="A25" s="14">
        <v>25</v>
      </c>
      <c r="B25" s="15">
        <f>IFERROR(IF([1]对账明细接口!$B$25=0,"",[1]对账明细接口!$B$25),"")</f>
        <v>46249</v>
      </c>
      <c r="C25" s="16" t="str">
        <f>IFERROR(IF([1]对账明细接口!$C$25=0,"",[1]对账明细接口!$C$25),"")</f>
        <v>伍元虎</v>
      </c>
      <c r="D25" s="16" t="str">
        <f>IFERROR(IF([1]对账明细接口!$D$25=0,"",[1]对账明细接口!$D$25),"")</f>
        <v>原料入库</v>
      </c>
      <c r="E25" s="16" t="str">
        <f>IFERROR(IF([1]对账明细接口!$E$25=0,"",[1]对账明细接口!$E$25),"")</f>
        <v>NO0000769</v>
      </c>
      <c r="F25" s="16" t="str">
        <f>IFERROR(IF([1]对账明细接口!$F$25=0,"",[1]对账明细接口!$F$25),"")</f>
        <v>苹果</v>
      </c>
      <c r="G25" s="16" t="str">
        <f>IFERROR(IF([1]对账明细接口!$G$25=0,"",[1]对账明细接口!$G$25),"")</f>
        <v>海棠果</v>
      </c>
      <c r="H25" s="17">
        <f>IFERROR(IF([1]对账明细接口!$H$25=0,"",[1]对账明细接口!$H$25),"")</f>
        <v>34</v>
      </c>
      <c r="I25" s="16" t="str">
        <f>IFERROR(IF([1]对账明细接口!$I$25=0,"",[1]对账明细接口!$I$25),"")</f>
        <v>筐</v>
      </c>
      <c r="J25" s="18">
        <f>IFERROR(IF([1]对账明细接口!$J$25=0,"",[1]对账明细接口!$J$25),"")</f>
        <v>765</v>
      </c>
      <c r="K25" s="18" t="str">
        <f>IFERROR(IF([1]对账明细接口!$K$25=0,"",[1]对账明细接口!$K$25),"")</f>
        <v/>
      </c>
      <c r="L25" s="16" t="str">
        <f>IFERROR(IF([1]对账明细接口!$L$25=0,"",[1]对账明细接口!$L$25),"")</f>
        <v/>
      </c>
      <c r="M25" s="16" t="str">
        <f>IFERROR(IF([1]对账明细接口!$M$25=0,"",[1]对账明细接口!$M$25),"")</f>
        <v/>
      </c>
      <c r="N25" s="19">
        <f t="shared" si="0"/>
        <v>1</v>
      </c>
      <c r="O25" s="19">
        <f t="shared" si="1"/>
        <v>22</v>
      </c>
      <c r="S25" s="20" t="str">
        <f>IFERROR(IF([1]对账明细接口!$N25=0,"",[1]对账明细接口!$N25),"")</f>
        <v>自备一次性筐</v>
      </c>
      <c r="T25" s="21" t="str">
        <f>IFERROR(IF([1]对账明细接口!$O25=0,"",[1]对账明细接口!$O25),"")</f>
        <v/>
      </c>
      <c r="U25" s="21" t="str">
        <f>IFERROR(IF([1]对账明细接口!$P25=0,"",[1]对账明细接口!$P25),"")</f>
        <v/>
      </c>
      <c r="V25" s="21">
        <f>IFERROR(IF([1]对账明细接口!$Q25=0,"",[1]对账明细接口!$Q25),"")</f>
        <v>34</v>
      </c>
      <c r="W25" s="20" t="str">
        <f>IFERROR(IF([1]对账明细接口!$R25=0,"",[1]对账明细接口!$R25),"")</f>
        <v>三轮车</v>
      </c>
      <c r="X25" s="20" t="str">
        <f>IFERROR(IF([1]对账明细接口!$S25=0,"",[1]对账明细接口!$S25),"")</f>
        <v>自备筐</v>
      </c>
      <c r="Y25" s="20" t="str">
        <f>IFERROR(IF([1]对账明细接口!$T25=0,"",[1]对账明细接口!$T25),"")</f>
        <v/>
      </c>
      <c r="Z25" s="24" t="str">
        <f>IFERROR(IF([1]对账明细接口!$U25=0,"",[1]对账明细接口!$U25),"")</f>
        <v/>
      </c>
      <c r="AA25" s="24" t="str">
        <f>IFERROR(IF([1]对账明细接口!$V25=0,"",[1]对账明细接口!$V25),"")</f>
        <v/>
      </c>
      <c r="AB25" s="20" t="str">
        <f>IFERROR(IF([1]对账明细接口!$W25=0,"",[1]对账明细接口!$W25),"")</f>
        <v/>
      </c>
      <c r="AC25" s="7" t="str">
        <f>IFERROR(IF([1]对账明细接口!$X25=0,"",[1]对账明细接口!$X25),"")</f>
        <v/>
      </c>
      <c r="AD25" s="7" t="str">
        <f>IFERROR(IF([1]对账明细接口!$Y25=0,"",[1]对账明细接口!$Y25),"")</f>
        <v/>
      </c>
      <c r="AE25" s="7" t="str">
        <f>IFERROR(IF([1]对账明细接口!$AA25=0,"",[1]对账明细接口!$AA25),"")</f>
        <v/>
      </c>
      <c r="AF25" s="7" t="str">
        <f>IFERROR(IF([1]对账明细接口!$AB25=0,"",[1]对账明细接口!$AB25),"")</f>
        <v/>
      </c>
      <c r="AG25" s="7" t="str">
        <f>IFERROR(IF([1]对账明细接口!$AC25=0,"",[1]对账明细接口!$AC25),"")</f>
        <v/>
      </c>
      <c r="AH25" s="7" t="str">
        <f>IFERROR(IF([1]对账明细接口!$AD25=0,"",[1]对账明细接口!$AD25),"")</f>
        <v/>
      </c>
      <c r="AI25" s="7" t="str">
        <f>IFERROR(IF([1]对账明细接口!$AE25=0,"",[1]对账明细接口!$AE25),"")</f>
        <v/>
      </c>
      <c r="AJ25" s="7" t="str">
        <f>IFERROR(IF([1]对账明细接口!$AF25=0,"",[1]对账明细接口!$AF25),"")</f>
        <v/>
      </c>
    </row>
    <row r="26" ht="14.25" customHeight="1" spans="1:36">
      <c r="A26" s="14">
        <v>26</v>
      </c>
      <c r="B26" s="15">
        <f>IFERROR(IF([1]对账明细接口!$B$26=0,"",[1]对账明细接口!$B$26),"")</f>
        <v>46249</v>
      </c>
      <c r="C26" s="16" t="str">
        <f>IFERROR(IF([1]对账明细接口!$C$26=0,"",[1]对账明细接口!$C$26),"")</f>
        <v>聂新平</v>
      </c>
      <c r="D26" s="16" t="str">
        <f>IFERROR(IF([1]对账明细接口!$D$26=0,"",[1]对账明细接口!$D$26),"")</f>
        <v>原料入库</v>
      </c>
      <c r="E26" s="16" t="str">
        <f>IFERROR(IF([1]对账明细接口!$E$26=0,"",[1]对账明细接口!$E$26),"")</f>
        <v>NO0000770</v>
      </c>
      <c r="F26" s="16" t="str">
        <f>IFERROR(IF([1]对账明细接口!$F$26=0,"",[1]对账明细接口!$F$26),"")</f>
        <v>苹果</v>
      </c>
      <c r="G26" s="16" t="str">
        <f>IFERROR(IF([1]对账明细接口!$G$26=0,"",[1]对账明细接口!$G$26),"")</f>
        <v>嘎啦85#</v>
      </c>
      <c r="H26" s="17">
        <f>IFERROR(IF([1]对账明细接口!$H$26=0,"",[1]对账明细接口!$H$26),"")</f>
        <v>34</v>
      </c>
      <c r="I26" s="16" t="str">
        <f>IFERROR(IF([1]对账明细接口!$I$26=0,"",[1]对账明细接口!$I$26),"")</f>
        <v>筐</v>
      </c>
      <c r="J26" s="18">
        <f>IFERROR(IF([1]对账明细接口!$J$26=0,"",[1]对账明细接口!$J$26),"")</f>
        <v>741.2</v>
      </c>
      <c r="K26" s="18" t="str">
        <f>IFERROR(IF([1]对账明细接口!$K$26=0,"",[1]对账明细接口!$K$26),"")</f>
        <v/>
      </c>
      <c r="L26" s="16" t="str">
        <f>IFERROR(IF([1]对账明细接口!$L$26=0,"",[1]对账明细接口!$L$26),"")</f>
        <v/>
      </c>
      <c r="M26" s="16" t="str">
        <f>IFERROR(IF([1]对账明细接口!$M$26=0,"",[1]对账明细接口!$M$26),"")</f>
        <v/>
      </c>
      <c r="N26" s="19">
        <f t="shared" si="0"/>
        <v>1</v>
      </c>
      <c r="O26" s="19">
        <f t="shared" si="1"/>
        <v>23</v>
      </c>
      <c r="S26" s="20" t="str">
        <f>IFERROR(IF([1]对账明细接口!$N26=0,"",[1]对账明细接口!$N26),"")</f>
        <v>自备一次性筐</v>
      </c>
      <c r="T26" s="21" t="str">
        <f>IFERROR(IF([1]对账明细接口!$O26=0,"",[1]对账明细接口!$O26),"")</f>
        <v/>
      </c>
      <c r="U26" s="21" t="str">
        <f>IFERROR(IF([1]对账明细接口!$P26=0,"",[1]对账明细接口!$P26),"")</f>
        <v/>
      </c>
      <c r="V26" s="21">
        <f>IFERROR(IF([1]对账明细接口!$Q26=0,"",[1]对账明细接口!$Q26),"")</f>
        <v>34</v>
      </c>
      <c r="W26" s="20" t="str">
        <f>IFERROR(IF([1]对账明细接口!$R26=0,"",[1]对账明细接口!$R26),"")</f>
        <v>苏M*7G796</v>
      </c>
      <c r="X26" s="20" t="str">
        <f>IFERROR(IF([1]对账明细接口!$S26=0,"",[1]对账明细接口!$S26),"")</f>
        <v>自备筐</v>
      </c>
      <c r="Y26" s="20" t="str">
        <f>IFERROR(IF([1]对账明细接口!$T26=0,"",[1]对账明细接口!$T26),"")</f>
        <v/>
      </c>
      <c r="Z26" s="24" t="str">
        <f>IFERROR(IF([1]对账明细接口!$U26=0,"",[1]对账明细接口!$U26),"")</f>
        <v/>
      </c>
      <c r="AA26" s="24" t="str">
        <f>IFERROR(IF([1]对账明细接口!$V26=0,"",[1]对账明细接口!$V26),"")</f>
        <v/>
      </c>
      <c r="AB26" s="20" t="str">
        <f>IFERROR(IF([1]对账明细接口!$W26=0,"",[1]对账明细接口!$W26),"")</f>
        <v/>
      </c>
      <c r="AC26" s="7" t="str">
        <f>IFERROR(IF([1]对账明细接口!$X26=0,"",[1]对账明细接口!$X26),"")</f>
        <v/>
      </c>
      <c r="AD26" s="7" t="str">
        <f>IFERROR(IF([1]对账明细接口!$Y26=0,"",[1]对账明细接口!$Y26),"")</f>
        <v/>
      </c>
      <c r="AE26" s="7" t="str">
        <f>IFERROR(IF([1]对账明细接口!$AA26=0,"",[1]对账明细接口!$AA26),"")</f>
        <v/>
      </c>
      <c r="AF26" s="7" t="str">
        <f>IFERROR(IF([1]对账明细接口!$AB26=0,"",[1]对账明细接口!$AB26),"")</f>
        <v/>
      </c>
      <c r="AG26" s="7" t="str">
        <f>IFERROR(IF([1]对账明细接口!$AC26=0,"",[1]对账明细接口!$AC26),"")</f>
        <v/>
      </c>
      <c r="AH26" s="7" t="str">
        <f>IFERROR(IF([1]对账明细接口!$AD26=0,"",[1]对账明细接口!$AD26),"")</f>
        <v/>
      </c>
      <c r="AI26" s="7" t="str">
        <f>IFERROR(IF([1]对账明细接口!$AE26=0,"",[1]对账明细接口!$AE26),"")</f>
        <v/>
      </c>
      <c r="AJ26" s="7" t="str">
        <f>IFERROR(IF([1]对账明细接口!$AF26=0,"",[1]对账明细接口!$AF26),"")</f>
        <v/>
      </c>
    </row>
    <row r="27" ht="14.25" customHeight="1" spans="1:36">
      <c r="A27" s="14">
        <v>27</v>
      </c>
      <c r="B27" s="15">
        <f>IFERROR(IF([1]对账明细接口!$B$27=0,"",[1]对账明细接口!$B$27),"")</f>
        <v>46249</v>
      </c>
      <c r="C27" s="16" t="str">
        <f>IFERROR(IF([1]对账明细接口!$C$27=0,"",[1]对账明细接口!$C$27),"")</f>
        <v>聂新平</v>
      </c>
      <c r="D27" s="16" t="str">
        <f>IFERROR(IF([1]对账明细接口!$D$27=0,"",[1]对账明细接口!$D$27),"")</f>
        <v>原料入库</v>
      </c>
      <c r="E27" s="16" t="str">
        <f>IFERROR(IF([1]对账明细接口!$E$27=0,"",[1]对账明细接口!$E$27),"")</f>
        <v>NO0000770</v>
      </c>
      <c r="F27" s="16" t="str">
        <f>IFERROR(IF([1]对账明细接口!$F$27=0,"",[1]对账明细接口!$F$27),"")</f>
        <v>苹果</v>
      </c>
      <c r="G27" s="16" t="str">
        <f>IFERROR(IF([1]对账明细接口!$G$27=0,"",[1]对账明细接口!$G$27),"")</f>
        <v>嘎啦100#</v>
      </c>
      <c r="H27" s="17">
        <f>IFERROR(IF([1]对账明细接口!$H$27=0,"",[1]对账明细接口!$H$27),"")</f>
        <v>64</v>
      </c>
      <c r="I27" s="16" t="str">
        <f>IFERROR(IF([1]对账明细接口!$I$27=0,"",[1]对账明细接口!$I$27),"")</f>
        <v>筐</v>
      </c>
      <c r="J27" s="18">
        <f>IFERROR(IF([1]对账明细接口!$J$27=0,"",[1]对账明细接口!$J$27),"")</f>
        <v>1395.2</v>
      </c>
      <c r="K27" s="18" t="str">
        <f>IFERROR(IF([1]对账明细接口!$K$27=0,"",[1]对账明细接口!$K$27),"")</f>
        <v/>
      </c>
      <c r="L27" s="16" t="str">
        <f>IFERROR(IF([1]对账明细接口!$L$27=0,"",[1]对账明细接口!$L$27),"")</f>
        <v/>
      </c>
      <c r="M27" s="16" t="str">
        <f>IFERROR(IF([1]对账明细接口!$M$27=0,"",[1]对账明细接口!$M$27),"")</f>
        <v/>
      </c>
      <c r="N27" s="19">
        <f t="shared" si="0"/>
        <v>1</v>
      </c>
      <c r="O27" s="19">
        <f t="shared" si="1"/>
        <v>24</v>
      </c>
      <c r="S27" s="20" t="str">
        <f>IFERROR(IF([1]对账明细接口!$N27=0,"",[1]对账明细接口!$N27),"")</f>
        <v>自备一次性筐</v>
      </c>
      <c r="T27" s="21" t="str">
        <f>IFERROR(IF([1]对账明细接口!$O27=0,"",[1]对账明细接口!$O27),"")</f>
        <v/>
      </c>
      <c r="U27" s="21" t="str">
        <f>IFERROR(IF([1]对账明细接口!$P27=0,"",[1]对账明细接口!$P27),"")</f>
        <v/>
      </c>
      <c r="V27" s="21">
        <f>IFERROR(IF([1]对账明细接口!$Q27=0,"",[1]对账明细接口!$Q27),"")</f>
        <v>64</v>
      </c>
      <c r="W27" s="20" t="str">
        <f>IFERROR(IF([1]对账明细接口!$R27=0,"",[1]对账明细接口!$R27),"")</f>
        <v>苏M*7G796</v>
      </c>
      <c r="X27" s="20" t="str">
        <f>IFERROR(IF([1]对账明细接口!$S27=0,"",[1]对账明细接口!$S27),"")</f>
        <v>自备筐</v>
      </c>
      <c r="Y27" s="20" t="str">
        <f>IFERROR(IF([1]对账明细接口!$T27=0,"",[1]对账明细接口!$T27),"")</f>
        <v/>
      </c>
      <c r="Z27" s="24" t="str">
        <f>IFERROR(IF([1]对账明细接口!$U27=0,"",[1]对账明细接口!$U27),"")</f>
        <v/>
      </c>
      <c r="AA27" s="24" t="str">
        <f>IFERROR(IF([1]对账明细接口!$V27=0,"",[1]对账明细接口!$V27),"")</f>
        <v/>
      </c>
      <c r="AB27" s="20" t="str">
        <f>IFERROR(IF([1]对账明细接口!$W27=0,"",[1]对账明细接口!$W27),"")</f>
        <v/>
      </c>
      <c r="AC27" s="7" t="str">
        <f>IFERROR(IF([1]对账明细接口!$X27=0,"",[1]对账明细接口!$X27),"")</f>
        <v/>
      </c>
      <c r="AD27" s="7" t="str">
        <f>IFERROR(IF([1]对账明细接口!$Y27=0,"",[1]对账明细接口!$Y27),"")</f>
        <v/>
      </c>
      <c r="AE27" s="7" t="str">
        <f>IFERROR(IF([1]对账明细接口!$AA27=0,"",[1]对账明细接口!$AA27),"")</f>
        <v/>
      </c>
      <c r="AF27" s="7" t="str">
        <f>IFERROR(IF([1]对账明细接口!$AB27=0,"",[1]对账明细接口!$AB27),"")</f>
        <v/>
      </c>
      <c r="AG27" s="7" t="str">
        <f>IFERROR(IF([1]对账明细接口!$AC27=0,"",[1]对账明细接口!$AC27),"")</f>
        <v/>
      </c>
      <c r="AH27" s="7" t="str">
        <f>IFERROR(IF([1]对账明细接口!$AD27=0,"",[1]对账明细接口!$AD27),"")</f>
        <v/>
      </c>
      <c r="AI27" s="7" t="str">
        <f>IFERROR(IF([1]对账明细接口!$AE27=0,"",[1]对账明细接口!$AE27),"")</f>
        <v/>
      </c>
      <c r="AJ27" s="7" t="str">
        <f>IFERROR(IF([1]对账明细接口!$AF27=0,"",[1]对账明细接口!$AF27),"")</f>
        <v/>
      </c>
    </row>
    <row r="28" ht="14.25" customHeight="1" spans="1:36">
      <c r="A28" s="14">
        <v>28</v>
      </c>
      <c r="B28" s="15">
        <f>IFERROR(IF([1]对账明细接口!$B$28=0,"",[1]对账明细接口!$B$28),"")</f>
        <v>46249</v>
      </c>
      <c r="C28" s="16" t="str">
        <f>IFERROR(IF([1]对账明细接口!$C$28=0,"",[1]对账明细接口!$C$28),"")</f>
        <v>王照雪</v>
      </c>
      <c r="D28" s="16" t="str">
        <f>IFERROR(IF([1]对账明细接口!$D$28=0,"",[1]对账明细接口!$D$28),"")</f>
        <v>原料入库</v>
      </c>
      <c r="E28" s="16" t="str">
        <f>IFERROR(IF([1]对账明细接口!$E$28=0,"",[1]对账明细接口!$E$28),"")</f>
        <v>NO0000771</v>
      </c>
      <c r="F28" s="16" t="str">
        <f>IFERROR(IF([1]对账明细接口!$F$28=0,"",[1]对账明细接口!$F$28),"")</f>
        <v>李子</v>
      </c>
      <c r="G28" s="16" t="str">
        <f>IFERROR(IF([1]对账明细接口!$G$28=0,"",[1]对账明细接口!$G$28),"")</f>
        <v>樱桃李</v>
      </c>
      <c r="H28" s="17">
        <f>IFERROR(IF([1]对账明细接口!$H$28=0,"",[1]对账明细接口!$H$28),"")</f>
        <v>105</v>
      </c>
      <c r="I28" s="16" t="str">
        <f>IFERROR(IF([1]对账明细接口!$I$28=0,"",[1]对账明细接口!$I$28),"")</f>
        <v>筐</v>
      </c>
      <c r="J28" s="18">
        <f>IFERROR(IF([1]对账明细接口!$J$28=0,"",[1]对账明细接口!$J$28),"")</f>
        <v>1711.5</v>
      </c>
      <c r="K28" s="18" t="str">
        <f>IFERROR(IF([1]对账明细接口!$K$28=0,"",[1]对账明细接口!$K$28),"")</f>
        <v/>
      </c>
      <c r="L28" s="16" t="str">
        <f>IFERROR(IF([1]对账明细接口!$L$28=0,"",[1]对账明细接口!$L$28),"")</f>
        <v/>
      </c>
      <c r="M28" s="16" t="str">
        <f>IFERROR(IF([1]对账明细接口!$M$28=0,"",[1]对账明细接口!$M$28),"")</f>
        <v/>
      </c>
      <c r="N28" s="19">
        <f t="shared" si="0"/>
        <v>1</v>
      </c>
      <c r="O28" s="19">
        <f t="shared" si="1"/>
        <v>25</v>
      </c>
      <c r="S28" s="20" t="str">
        <f>IFERROR(IF([1]对账明细接口!$N28=0,"",[1]对账明细接口!$N28),"")</f>
        <v>自备一次性筐</v>
      </c>
      <c r="T28" s="21" t="str">
        <f>IFERROR(IF([1]对账明细接口!$O28=0,"",[1]对账明细接口!$O28),"")</f>
        <v/>
      </c>
      <c r="U28" s="21" t="str">
        <f>IFERROR(IF([1]对账明细接口!$P28=0,"",[1]对账明细接口!$P28),"")</f>
        <v/>
      </c>
      <c r="V28" s="21">
        <f>IFERROR(IF([1]对账明细接口!$Q28=0,"",[1]对账明细接口!$Q28),"")</f>
        <v>105</v>
      </c>
      <c r="W28" s="20" t="str">
        <f>IFERROR(IF([1]对账明细接口!$R28=0,"",[1]对账明细接口!$R28),"")</f>
        <v>豫L*88X19</v>
      </c>
      <c r="X28" s="20" t="str">
        <f>IFERROR(IF([1]对账明细接口!$S28=0,"",[1]对账明细接口!$S28),"")</f>
        <v>自备筐</v>
      </c>
      <c r="Y28" s="20" t="str">
        <f>IFERROR(IF([1]对账明细接口!$T28=0,"",[1]对账明细接口!$T28),"")</f>
        <v/>
      </c>
      <c r="Z28" s="24" t="str">
        <f>IFERROR(IF([1]对账明细接口!$U28=0,"",[1]对账明细接口!$U28),"")</f>
        <v/>
      </c>
      <c r="AA28" s="24" t="str">
        <f>IFERROR(IF([1]对账明细接口!$V28=0,"",[1]对账明细接口!$V28),"")</f>
        <v/>
      </c>
      <c r="AB28" s="20" t="str">
        <f>IFERROR(IF([1]对账明细接口!$W28=0,"",[1]对账明细接口!$W28),"")</f>
        <v/>
      </c>
      <c r="AC28" s="7" t="str">
        <f>IFERROR(IF([1]对账明细接口!$X28=0,"",[1]对账明细接口!$X28),"")</f>
        <v/>
      </c>
      <c r="AD28" s="7" t="str">
        <f>IFERROR(IF([1]对账明细接口!$Y28=0,"",[1]对账明细接口!$Y28),"")</f>
        <v/>
      </c>
      <c r="AE28" s="7" t="str">
        <f>IFERROR(IF([1]对账明细接口!$AA28=0,"",[1]对账明细接口!$AA28),"")</f>
        <v/>
      </c>
      <c r="AF28" s="7" t="str">
        <f>IFERROR(IF([1]对账明细接口!$AB28=0,"",[1]对账明细接口!$AB28),"")</f>
        <v/>
      </c>
      <c r="AG28" s="7" t="str">
        <f>IFERROR(IF([1]对账明细接口!$AC28=0,"",[1]对账明细接口!$AC28),"")</f>
        <v/>
      </c>
      <c r="AH28" s="7" t="str">
        <f>IFERROR(IF([1]对账明细接口!$AD28=0,"",[1]对账明细接口!$AD28),"")</f>
        <v/>
      </c>
      <c r="AI28" s="7" t="str">
        <f>IFERROR(IF([1]对账明细接口!$AE28=0,"",[1]对账明细接口!$AE28),"")</f>
        <v/>
      </c>
      <c r="AJ28" s="7" t="str">
        <f>IFERROR(IF([1]对账明细接口!$AF28=0,"",[1]对账明细接口!$AF28),"")</f>
        <v/>
      </c>
    </row>
    <row r="29" ht="14.25" customHeight="1" spans="1:36">
      <c r="A29" s="14">
        <v>29</v>
      </c>
      <c r="B29" s="15">
        <f>IFERROR(IF([1]对账明细接口!$B$29=0,"",[1]对账明细接口!$B$29),"")</f>
        <v>46250</v>
      </c>
      <c r="C29" s="16" t="str">
        <f>IFERROR(IF([1]对账明细接口!$C$29=0,"",[1]对账明细接口!$C$29),"")</f>
        <v>聂新平</v>
      </c>
      <c r="D29" s="16" t="str">
        <f>IFERROR(IF([1]对账明细接口!$D$29=0,"",[1]对账明细接口!$D$29),"")</f>
        <v>原料入库</v>
      </c>
      <c r="E29" s="16" t="str">
        <f>IFERROR(IF([1]对账明细接口!$E$29=0,"",[1]对账明细接口!$E$29),"")</f>
        <v>NO0000772</v>
      </c>
      <c r="F29" s="16" t="str">
        <f>IFERROR(IF([1]对账明细接口!$F$29=0,"",[1]对账明细接口!$F$29),"")</f>
        <v>苹果</v>
      </c>
      <c r="G29" s="16" t="str">
        <f>IFERROR(IF([1]对账明细接口!$G$29=0,"",[1]对账明细接口!$G$29),"")</f>
        <v>嘎啦85#</v>
      </c>
      <c r="H29" s="17">
        <f>IFERROR(IF([1]对账明细接口!$H$29=0,"",[1]对账明细接口!$H$29),"")</f>
        <v>10</v>
      </c>
      <c r="I29" s="16" t="str">
        <f>IFERROR(IF([1]对账明细接口!$I$29=0,"",[1]对账明细接口!$I$29),"")</f>
        <v>筐</v>
      </c>
      <c r="J29" s="18">
        <f>IFERROR(IF([1]对账明细接口!$J$29=0,"",[1]对账明细接口!$J$29),"")</f>
        <v>218</v>
      </c>
      <c r="K29" s="18" t="str">
        <f>IFERROR(IF([1]对账明细接口!$K$29=0,"",[1]对账明细接口!$K$29),"")</f>
        <v/>
      </c>
      <c r="L29" s="16" t="str">
        <f>IFERROR(IF([1]对账明细接口!$L$29=0,"",[1]对账明细接口!$L$29),"")</f>
        <v/>
      </c>
      <c r="M29" s="16" t="str">
        <f>IFERROR(IF([1]对账明细接口!$M$29=0,"",[1]对账明细接口!$M$29),"")</f>
        <v/>
      </c>
      <c r="N29" s="19">
        <f t="shared" si="0"/>
        <v>1</v>
      </c>
      <c r="O29" s="19">
        <f t="shared" si="1"/>
        <v>26</v>
      </c>
      <c r="S29" s="20" t="str">
        <f>IFERROR(IF([1]对账明细接口!$N29=0,"",[1]对账明细接口!$N29),"")</f>
        <v>自备一次性筐</v>
      </c>
      <c r="T29" s="21" t="str">
        <f>IFERROR(IF([1]对账明细接口!$O29=0,"",[1]对账明细接口!$O29),"")</f>
        <v/>
      </c>
      <c r="U29" s="21" t="str">
        <f>IFERROR(IF([1]对账明细接口!$P29=0,"",[1]对账明细接口!$P29),"")</f>
        <v/>
      </c>
      <c r="V29" s="21">
        <f>IFERROR(IF([1]对账明细接口!$Q29=0,"",[1]对账明细接口!$Q29),"")</f>
        <v>10</v>
      </c>
      <c r="W29" s="20" t="str">
        <f>IFERROR(IF([1]对账明细接口!$R29=0,"",[1]对账明细接口!$R29),"")</f>
        <v>苏M*7G796</v>
      </c>
      <c r="X29" s="20" t="str">
        <f>IFERROR(IF([1]对账明细接口!$S29=0,"",[1]对账明细接口!$S29),"")</f>
        <v>自备筐</v>
      </c>
      <c r="Y29" s="20" t="str">
        <f>IFERROR(IF([1]对账明细接口!$T29=0,"",[1]对账明细接口!$T29),"")</f>
        <v/>
      </c>
      <c r="Z29" s="24" t="str">
        <f>IFERROR(IF([1]对账明细接口!$U29=0,"",[1]对账明细接口!$U29),"")</f>
        <v/>
      </c>
      <c r="AA29" s="24" t="str">
        <f>IFERROR(IF([1]对账明细接口!$V29=0,"",[1]对账明细接口!$V29),"")</f>
        <v/>
      </c>
      <c r="AB29" s="20" t="str">
        <f>IFERROR(IF([1]对账明细接口!$W29=0,"",[1]对账明细接口!$W29),"")</f>
        <v/>
      </c>
      <c r="AC29" s="7" t="str">
        <f>IFERROR(IF([1]对账明细接口!$X29=0,"",[1]对账明细接口!$X29),"")</f>
        <v/>
      </c>
      <c r="AD29" s="7" t="str">
        <f>IFERROR(IF([1]对账明细接口!$Y29=0,"",[1]对账明细接口!$Y29),"")</f>
        <v/>
      </c>
      <c r="AE29" s="7" t="str">
        <f>IFERROR(IF([1]对账明细接口!$AA29=0,"",[1]对账明细接口!$AA29),"")</f>
        <v/>
      </c>
      <c r="AF29" s="7" t="str">
        <f>IFERROR(IF([1]对账明细接口!$AB29=0,"",[1]对账明细接口!$AB29),"")</f>
        <v/>
      </c>
      <c r="AG29" s="7" t="str">
        <f>IFERROR(IF([1]对账明细接口!$AC29=0,"",[1]对账明细接口!$AC29),"")</f>
        <v/>
      </c>
      <c r="AH29" s="7" t="str">
        <f>IFERROR(IF([1]对账明细接口!$AD29=0,"",[1]对账明细接口!$AD29),"")</f>
        <v/>
      </c>
      <c r="AI29" s="7" t="str">
        <f>IFERROR(IF([1]对账明细接口!$AE29=0,"",[1]对账明细接口!$AE29),"")</f>
        <v/>
      </c>
      <c r="AJ29" s="7" t="str">
        <f>IFERROR(IF([1]对账明细接口!$AF29=0,"",[1]对账明细接口!$AF29),"")</f>
        <v/>
      </c>
    </row>
    <row r="30" ht="14.25" customHeight="1" spans="1:36">
      <c r="A30" s="14">
        <v>30</v>
      </c>
      <c r="B30" s="15">
        <f>IFERROR(IF([1]对账明细接口!$B$30=0,"",[1]对账明细接口!$B$30),"")</f>
        <v>46250</v>
      </c>
      <c r="C30" s="16" t="str">
        <f>IFERROR(IF([1]对账明细接口!$C$30=0,"",[1]对账明细接口!$C$30),"")</f>
        <v>聂新平</v>
      </c>
      <c r="D30" s="16" t="str">
        <f>IFERROR(IF([1]对账明细接口!$D$30=0,"",[1]对账明细接口!$D$30),"")</f>
        <v>原料入库</v>
      </c>
      <c r="E30" s="16" t="str">
        <f>IFERROR(IF([1]对账明细接口!$E$30=0,"",[1]对账明细接口!$E$30),"")</f>
        <v>NO0000772</v>
      </c>
      <c r="F30" s="16" t="str">
        <f>IFERROR(IF([1]对账明细接口!$F$30=0,"",[1]对账明细接口!$F$30),"")</f>
        <v>苹果</v>
      </c>
      <c r="G30" s="16" t="str">
        <f>IFERROR(IF([1]对账明细接口!$G$30=0,"",[1]对账明细接口!$G$30),"")</f>
        <v>嘎啦100#</v>
      </c>
      <c r="H30" s="17">
        <f>IFERROR(IF([1]对账明细接口!$H$30=0,"",[1]对账明细接口!$H$30),"")</f>
        <v>28</v>
      </c>
      <c r="I30" s="16" t="str">
        <f>IFERROR(IF([1]对账明细接口!$I$30=0,"",[1]对账明细接口!$I$30),"")</f>
        <v>筐</v>
      </c>
      <c r="J30" s="18">
        <f>IFERROR(IF([1]对账明细接口!$J$30=0,"",[1]对账明细接口!$J$30),"")</f>
        <v>610.4</v>
      </c>
      <c r="K30" s="18" t="str">
        <f>IFERROR(IF([1]对账明细接口!$K$30=0,"",[1]对账明细接口!$K$30),"")</f>
        <v/>
      </c>
      <c r="L30" s="16" t="str">
        <f>IFERROR(IF([1]对账明细接口!$L$30=0,"",[1]对账明细接口!$L$30),"")</f>
        <v/>
      </c>
      <c r="M30" s="16" t="str">
        <f>IFERROR(IF([1]对账明细接口!$M$30=0,"",[1]对账明细接口!$M$30),"")</f>
        <v/>
      </c>
      <c r="N30" s="19">
        <f t="shared" si="0"/>
        <v>1</v>
      </c>
      <c r="O30" s="19">
        <f t="shared" si="1"/>
        <v>27</v>
      </c>
      <c r="S30" s="20" t="str">
        <f>IFERROR(IF([1]对账明细接口!$N30=0,"",[1]对账明细接口!$N30),"")</f>
        <v>自备一次性筐</v>
      </c>
      <c r="T30" s="21" t="str">
        <f>IFERROR(IF([1]对账明细接口!$O30=0,"",[1]对账明细接口!$O30),"")</f>
        <v/>
      </c>
      <c r="U30" s="21" t="str">
        <f>IFERROR(IF([1]对账明细接口!$P30=0,"",[1]对账明细接口!$P30),"")</f>
        <v/>
      </c>
      <c r="V30" s="21">
        <f>IFERROR(IF([1]对账明细接口!$Q30=0,"",[1]对账明细接口!$Q30),"")</f>
        <v>28</v>
      </c>
      <c r="W30" s="20" t="str">
        <f>IFERROR(IF([1]对账明细接口!$R30=0,"",[1]对账明细接口!$R30),"")</f>
        <v>苏M*7G796</v>
      </c>
      <c r="X30" s="20" t="str">
        <f>IFERROR(IF([1]对账明细接口!$S30=0,"",[1]对账明细接口!$S30),"")</f>
        <v>自备筐</v>
      </c>
      <c r="Y30" s="20" t="str">
        <f>IFERROR(IF([1]对账明细接口!$T30=0,"",[1]对账明细接口!$T30),"")</f>
        <v/>
      </c>
      <c r="Z30" s="24" t="str">
        <f>IFERROR(IF([1]对账明细接口!$U30=0,"",[1]对账明细接口!$U30),"")</f>
        <v/>
      </c>
      <c r="AA30" s="24" t="str">
        <f>IFERROR(IF([1]对账明细接口!$V30=0,"",[1]对账明细接口!$V30),"")</f>
        <v/>
      </c>
      <c r="AB30" s="20" t="str">
        <f>IFERROR(IF([1]对账明细接口!$W30=0,"",[1]对账明细接口!$W30),"")</f>
        <v/>
      </c>
      <c r="AC30" s="7" t="str">
        <f>IFERROR(IF([1]对账明细接口!$X30=0,"",[1]对账明细接口!$X30),"")</f>
        <v/>
      </c>
      <c r="AD30" s="7" t="str">
        <f>IFERROR(IF([1]对账明细接口!$Y30=0,"",[1]对账明细接口!$Y30),"")</f>
        <v/>
      </c>
      <c r="AE30" s="7" t="str">
        <f>IFERROR(IF([1]对账明细接口!$AA30=0,"",[1]对账明细接口!$AA30),"")</f>
        <v/>
      </c>
      <c r="AF30" s="7" t="str">
        <f>IFERROR(IF([1]对账明细接口!$AB30=0,"",[1]对账明细接口!$AB30),"")</f>
        <v/>
      </c>
      <c r="AG30" s="7" t="str">
        <f>IFERROR(IF([1]对账明细接口!$AC30=0,"",[1]对账明细接口!$AC30),"")</f>
        <v/>
      </c>
      <c r="AH30" s="7" t="str">
        <f>IFERROR(IF([1]对账明细接口!$AD30=0,"",[1]对账明细接口!$AD30),"")</f>
        <v/>
      </c>
      <c r="AI30" s="7" t="str">
        <f>IFERROR(IF([1]对账明细接口!$AE30=0,"",[1]对账明细接口!$AE30),"")</f>
        <v/>
      </c>
      <c r="AJ30" s="7" t="str">
        <f>IFERROR(IF([1]对账明细接口!$AF30=0,"",[1]对账明细接口!$AF30),"")</f>
        <v/>
      </c>
    </row>
    <row r="31" ht="14.25" customHeight="1" spans="1:36">
      <c r="A31" s="14">
        <v>31</v>
      </c>
      <c r="B31" s="15">
        <f>IFERROR(IF([1]对账明细接口!$B$31=0,"",[1]对账明细接口!$B$31),"")</f>
        <v>46251</v>
      </c>
      <c r="C31" s="16" t="str">
        <f>IFERROR(IF([1]对账明细接口!$C$31=0,"",[1]对账明细接口!$C$31),"")</f>
        <v>伍元虎</v>
      </c>
      <c r="D31" s="16" t="str">
        <f>IFERROR(IF([1]对账明细接口!$D$31=0,"",[1]对账明细接口!$D$31),"")</f>
        <v>原料入库</v>
      </c>
      <c r="E31" s="16" t="str">
        <f>IFERROR(IF([1]对账明细接口!$E$31=0,"",[1]对账明细接口!$E$31),"")</f>
        <v>NO0000773</v>
      </c>
      <c r="F31" s="16" t="str">
        <f>IFERROR(IF([1]对账明细接口!$F$31=0,"",[1]对账明细接口!$F$31),"")</f>
        <v>苹果</v>
      </c>
      <c r="G31" s="16" t="str">
        <f>IFERROR(IF([1]对账明细接口!$G$31=0,"",[1]对账明细接口!$G$31),"")</f>
        <v>海棠果</v>
      </c>
      <c r="H31" s="17">
        <f>IFERROR(IF([1]对账明细接口!$H$31=0,"",[1]对账明细接口!$H$31),"")</f>
        <v>29</v>
      </c>
      <c r="I31" s="16" t="str">
        <f>IFERROR(IF([1]对账明细接口!$I$31=0,"",[1]对账明细接口!$I$31),"")</f>
        <v>筐</v>
      </c>
      <c r="J31" s="18">
        <f>IFERROR(IF([1]对账明细接口!$J$31=0,"",[1]对账明细接口!$J$31),"")</f>
        <v>652.5</v>
      </c>
      <c r="K31" s="18" t="str">
        <f>IFERROR(IF([1]对账明细接口!$K$31=0,"",[1]对账明细接口!$K$31),"")</f>
        <v/>
      </c>
      <c r="L31" s="16" t="str">
        <f>IFERROR(IF([1]对账明细接口!$L$31=0,"",[1]对账明细接口!$L$31),"")</f>
        <v/>
      </c>
      <c r="M31" s="16" t="str">
        <f>IFERROR(IF([1]对账明细接口!$M$31=0,"",[1]对账明细接口!$M$31),"")</f>
        <v/>
      </c>
      <c r="N31" s="19">
        <f t="shared" si="0"/>
        <v>1</v>
      </c>
      <c r="O31" s="19">
        <f t="shared" si="1"/>
        <v>28</v>
      </c>
      <c r="S31" s="20" t="str">
        <f>IFERROR(IF([1]对账明细接口!$N31=0,"",[1]对账明细接口!$N31),"")</f>
        <v>自备一次性筐</v>
      </c>
      <c r="T31" s="21" t="str">
        <f>IFERROR(IF([1]对账明细接口!$O31=0,"",[1]对账明细接口!$O31),"")</f>
        <v/>
      </c>
      <c r="U31" s="21" t="str">
        <f>IFERROR(IF([1]对账明细接口!$P31=0,"",[1]对账明细接口!$P31),"")</f>
        <v/>
      </c>
      <c r="V31" s="21">
        <f>IFERROR(IF([1]对账明细接口!$Q31=0,"",[1]对账明细接口!$Q31),"")</f>
        <v>29</v>
      </c>
      <c r="W31" s="20" t="str">
        <f>IFERROR(IF([1]对账明细接口!$R31=0,"",[1]对账明细接口!$R31),"")</f>
        <v>三轮车</v>
      </c>
      <c r="X31" s="20" t="str">
        <f>IFERROR(IF([1]对账明细接口!$S31=0,"",[1]对账明细接口!$S31),"")</f>
        <v>自备筐</v>
      </c>
      <c r="Y31" s="20" t="str">
        <f>IFERROR(IF([1]对账明细接口!$T31=0,"",[1]对账明细接口!$T31),"")</f>
        <v/>
      </c>
      <c r="Z31" s="24" t="str">
        <f>IFERROR(IF([1]对账明细接口!$U31=0,"",[1]对账明细接口!$U31),"")</f>
        <v/>
      </c>
      <c r="AA31" s="24" t="str">
        <f>IFERROR(IF([1]对账明细接口!$V31=0,"",[1]对账明细接口!$V31),"")</f>
        <v/>
      </c>
      <c r="AB31" s="20" t="str">
        <f>IFERROR(IF([1]对账明细接口!$W31=0,"",[1]对账明细接口!$W31),"")</f>
        <v/>
      </c>
      <c r="AC31" s="7" t="str">
        <f>IFERROR(IF([1]对账明细接口!$X31=0,"",[1]对账明细接口!$X31),"")</f>
        <v/>
      </c>
      <c r="AD31" s="7" t="str">
        <f>IFERROR(IF([1]对账明细接口!$Y31=0,"",[1]对账明细接口!$Y31),"")</f>
        <v/>
      </c>
      <c r="AE31" s="7" t="str">
        <f>IFERROR(IF([1]对账明细接口!$AA31=0,"",[1]对账明细接口!$AA31),"")</f>
        <v/>
      </c>
      <c r="AF31" s="7" t="str">
        <f>IFERROR(IF([1]对账明细接口!$AB31=0,"",[1]对账明细接口!$AB31),"")</f>
        <v/>
      </c>
      <c r="AG31" s="7" t="str">
        <f>IFERROR(IF([1]对账明细接口!$AC31=0,"",[1]对账明细接口!$AC31),"")</f>
        <v/>
      </c>
      <c r="AH31" s="7" t="str">
        <f>IFERROR(IF([1]对账明细接口!$AD31=0,"",[1]对账明细接口!$AD31),"")</f>
        <v/>
      </c>
      <c r="AI31" s="7" t="str">
        <f>IFERROR(IF([1]对账明细接口!$AE31=0,"",[1]对账明细接口!$AE31),"")</f>
        <v/>
      </c>
      <c r="AJ31" s="7" t="str">
        <f>IFERROR(IF([1]对账明细接口!$AF31=0,"",[1]对账明细接口!$AF31),"")</f>
        <v/>
      </c>
    </row>
    <row r="32" ht="14.25" customHeight="1" spans="1:36">
      <c r="A32" s="14">
        <v>32</v>
      </c>
      <c r="B32" s="15">
        <f>IFERROR(IF([1]对账明细接口!$B$32=0,"",[1]对账明细接口!$B$32),"")</f>
        <v>46252</v>
      </c>
      <c r="C32" s="16" t="str">
        <f>IFERROR(IF([1]对账明细接口!$C$32=0,"",[1]对账明细接口!$C$32),"")</f>
        <v>聂新平</v>
      </c>
      <c r="D32" s="16" t="str">
        <f>IFERROR(IF([1]对账明细接口!$D$32=0,"",[1]对账明细接口!$D$32),"")</f>
        <v>原料入库</v>
      </c>
      <c r="E32" s="16" t="str">
        <f>IFERROR(IF([1]对账明细接口!$E$32=0,"",[1]对账明细接口!$E$32),"")</f>
        <v>NO0000774</v>
      </c>
      <c r="F32" s="16" t="str">
        <f>IFERROR(IF([1]对账明细接口!$F$32=0,"",[1]对账明细接口!$F$32),"")</f>
        <v>苹果</v>
      </c>
      <c r="G32" s="16" t="str">
        <f>IFERROR(IF([1]对账明细接口!$G$32=0,"",[1]对账明细接口!$G$32),"")</f>
        <v>嘎啦85#</v>
      </c>
      <c r="H32" s="17">
        <f>IFERROR(IF([1]对账明细接口!$H$32=0,"",[1]对账明细接口!$H$32),"")</f>
        <v>1</v>
      </c>
      <c r="I32" s="16" t="str">
        <f>IFERROR(IF([1]对账明细接口!$I$32=0,"",[1]对账明细接口!$I$32),"")</f>
        <v>筐</v>
      </c>
      <c r="J32" s="18">
        <f>IFERROR(IF([1]对账明细接口!$J$32=0,"",[1]对账明细接口!$J$32),"")</f>
        <v>21.8</v>
      </c>
      <c r="K32" s="18" t="str">
        <f>IFERROR(IF([1]对账明细接口!$K$32=0,"",[1]对账明细接口!$K$32),"")</f>
        <v/>
      </c>
      <c r="L32" s="16" t="str">
        <f>IFERROR(IF([1]对账明细接口!$L$32=0,"",[1]对账明细接口!$L$32),"")</f>
        <v/>
      </c>
      <c r="M32" s="16" t="str">
        <f>IFERROR(IF([1]对账明细接口!$M$32=0,"",[1]对账明细接口!$M$32),"")</f>
        <v/>
      </c>
      <c r="N32" s="19">
        <f t="shared" si="0"/>
        <v>1</v>
      </c>
      <c r="O32" s="19">
        <f t="shared" si="1"/>
        <v>29</v>
      </c>
      <c r="S32" s="20" t="str">
        <f>IFERROR(IF([1]对账明细接口!$N32=0,"",[1]对账明细接口!$N32),"")</f>
        <v>自备一次性筐</v>
      </c>
      <c r="T32" s="21" t="str">
        <f>IFERROR(IF([1]对账明细接口!$O32=0,"",[1]对账明细接口!$O32),"")</f>
        <v/>
      </c>
      <c r="U32" s="21" t="str">
        <f>IFERROR(IF([1]对账明细接口!$P32=0,"",[1]对账明细接口!$P32),"")</f>
        <v/>
      </c>
      <c r="V32" s="21">
        <f>IFERROR(IF([1]对账明细接口!$Q32=0,"",[1]对账明细接口!$Q32),"")</f>
        <v>1</v>
      </c>
      <c r="W32" s="20" t="str">
        <f>IFERROR(IF([1]对账明细接口!$R32=0,"",[1]对账明细接口!$R32),"")</f>
        <v>苏M*7G796</v>
      </c>
      <c r="X32" s="20" t="str">
        <f>IFERROR(IF([1]对账明细接口!$S32=0,"",[1]对账明细接口!$S32),"")</f>
        <v>自备筐</v>
      </c>
      <c r="Y32" s="20" t="str">
        <f>IFERROR(IF([1]对账明细接口!$T32=0,"",[1]对账明细接口!$T32),"")</f>
        <v/>
      </c>
      <c r="Z32" s="24" t="str">
        <f>IFERROR(IF([1]对账明细接口!$U32=0,"",[1]对账明细接口!$U32),"")</f>
        <v/>
      </c>
      <c r="AA32" s="24" t="str">
        <f>IFERROR(IF([1]对账明细接口!$V32=0,"",[1]对账明细接口!$V32),"")</f>
        <v/>
      </c>
      <c r="AB32" s="20" t="str">
        <f>IFERROR(IF([1]对账明细接口!$W32=0,"",[1]对账明细接口!$W32),"")</f>
        <v/>
      </c>
      <c r="AC32" s="7" t="str">
        <f>IFERROR(IF([1]对账明细接口!$X32=0,"",[1]对账明细接口!$X32),"")</f>
        <v/>
      </c>
      <c r="AD32" s="7" t="str">
        <f>IFERROR(IF([1]对账明细接口!$Y32=0,"",[1]对账明细接口!$Y32),"")</f>
        <v/>
      </c>
      <c r="AE32" s="7" t="str">
        <f>IFERROR(IF([1]对账明细接口!$AA32=0,"",[1]对账明细接口!$AA32),"")</f>
        <v/>
      </c>
      <c r="AF32" s="7" t="str">
        <f>IFERROR(IF([1]对账明细接口!$AB32=0,"",[1]对账明细接口!$AB32),"")</f>
        <v/>
      </c>
      <c r="AG32" s="7" t="str">
        <f>IFERROR(IF([1]对账明细接口!$AC32=0,"",[1]对账明细接口!$AC32),"")</f>
        <v/>
      </c>
      <c r="AH32" s="7" t="str">
        <f>IFERROR(IF([1]对账明细接口!$AD32=0,"",[1]对账明细接口!$AD32),"")</f>
        <v/>
      </c>
      <c r="AI32" s="7" t="str">
        <f>IFERROR(IF([1]对账明细接口!$AE32=0,"",[1]对账明细接口!$AE32),"")</f>
        <v/>
      </c>
      <c r="AJ32" s="7" t="str">
        <f>IFERROR(IF([1]对账明细接口!$AF32=0,"",[1]对账明细接口!$AF32),"")</f>
        <v/>
      </c>
    </row>
    <row r="33" ht="14.25" customHeight="1" spans="1:36">
      <c r="A33" s="14">
        <v>33</v>
      </c>
      <c r="B33" s="15">
        <f>IFERROR(IF([1]对账明细接口!$B$33=0,"",[1]对账明细接口!$B$33),"")</f>
        <v>46252</v>
      </c>
      <c r="C33" s="16" t="str">
        <f>IFERROR(IF([1]对账明细接口!$C$33=0,"",[1]对账明细接口!$C$33),"")</f>
        <v>聂新平</v>
      </c>
      <c r="D33" s="16" t="str">
        <f>IFERROR(IF([1]对账明细接口!$D$33=0,"",[1]对账明细接口!$D$33),"")</f>
        <v>原料入库</v>
      </c>
      <c r="E33" s="16" t="str">
        <f>IFERROR(IF([1]对账明细接口!$E$33=0,"",[1]对账明细接口!$E$33),"")</f>
        <v>NO0000774</v>
      </c>
      <c r="F33" s="16" t="str">
        <f>IFERROR(IF([1]对账明细接口!$F$33=0,"",[1]对账明细接口!$F$33),"")</f>
        <v>苹果</v>
      </c>
      <c r="G33" s="16" t="str">
        <f>IFERROR(IF([1]对账明细接口!$G$33=0,"",[1]对账明细接口!$G$33),"")</f>
        <v>嘎啦100#</v>
      </c>
      <c r="H33" s="17">
        <f>IFERROR(IF([1]对账明细接口!$H$33=0,"",[1]对账明细接口!$H$33),"")</f>
        <v>11</v>
      </c>
      <c r="I33" s="16" t="str">
        <f>IFERROR(IF([1]对账明细接口!$I$33=0,"",[1]对账明细接口!$I$33),"")</f>
        <v>筐</v>
      </c>
      <c r="J33" s="18">
        <f>IFERROR(IF([1]对账明细接口!$J$33=0,"",[1]对账明细接口!$J$33),"")</f>
        <v>239.8</v>
      </c>
      <c r="K33" s="18" t="str">
        <f>IFERROR(IF([1]对账明细接口!$K$33=0,"",[1]对账明细接口!$K$33),"")</f>
        <v/>
      </c>
      <c r="L33" s="16" t="str">
        <f>IFERROR(IF([1]对账明细接口!$L$33=0,"",[1]对账明细接口!$L$33),"")</f>
        <v/>
      </c>
      <c r="M33" s="16" t="str">
        <f>IFERROR(IF([1]对账明细接口!$M$33=0,"",[1]对账明细接口!$M$33),"")</f>
        <v/>
      </c>
      <c r="N33" s="19">
        <f t="shared" si="0"/>
        <v>1</v>
      </c>
      <c r="O33" s="19">
        <f t="shared" si="1"/>
        <v>30</v>
      </c>
      <c r="S33" s="20" t="str">
        <f>IFERROR(IF([1]对账明细接口!$N33=0,"",[1]对账明细接口!$N33),"")</f>
        <v>自备一次性筐</v>
      </c>
      <c r="T33" s="21" t="str">
        <f>IFERROR(IF([1]对账明细接口!$O33=0,"",[1]对账明细接口!$O33),"")</f>
        <v/>
      </c>
      <c r="U33" s="21" t="str">
        <f>IFERROR(IF([1]对账明细接口!$P33=0,"",[1]对账明细接口!$P33),"")</f>
        <v/>
      </c>
      <c r="V33" s="21">
        <f>IFERROR(IF([1]对账明细接口!$Q33=0,"",[1]对账明细接口!$Q33),"")</f>
        <v>11</v>
      </c>
      <c r="W33" s="20" t="str">
        <f>IFERROR(IF([1]对账明细接口!$R33=0,"",[1]对账明细接口!$R33),"")</f>
        <v>苏M*7G796</v>
      </c>
      <c r="X33" s="20" t="str">
        <f>IFERROR(IF([1]对账明细接口!$S33=0,"",[1]对账明细接口!$S33),"")</f>
        <v>自备筐</v>
      </c>
      <c r="Y33" s="20" t="str">
        <f>IFERROR(IF([1]对账明细接口!$T33=0,"",[1]对账明细接口!$T33),"")</f>
        <v/>
      </c>
      <c r="Z33" s="24" t="str">
        <f>IFERROR(IF([1]对账明细接口!$U33=0,"",[1]对账明细接口!$U33),"")</f>
        <v/>
      </c>
      <c r="AA33" s="24" t="str">
        <f>IFERROR(IF([1]对账明细接口!$V33=0,"",[1]对账明细接口!$V33),"")</f>
        <v/>
      </c>
      <c r="AB33" s="20" t="str">
        <f>IFERROR(IF([1]对账明细接口!$W33=0,"",[1]对账明细接口!$W33),"")</f>
        <v/>
      </c>
      <c r="AC33" s="7" t="str">
        <f>IFERROR(IF([1]对账明细接口!$X33=0,"",[1]对账明细接口!$X33),"")</f>
        <v/>
      </c>
      <c r="AD33" s="7" t="str">
        <f>IFERROR(IF([1]对账明细接口!$Y33=0,"",[1]对账明细接口!$Y33),"")</f>
        <v/>
      </c>
      <c r="AE33" s="7" t="str">
        <f>IFERROR(IF([1]对账明细接口!$AA33=0,"",[1]对账明细接口!$AA33),"")</f>
        <v/>
      </c>
      <c r="AF33" s="7" t="str">
        <f>IFERROR(IF([1]对账明细接口!$AB33=0,"",[1]对账明细接口!$AB33),"")</f>
        <v/>
      </c>
      <c r="AG33" s="7" t="str">
        <f>IFERROR(IF([1]对账明细接口!$AC33=0,"",[1]对账明细接口!$AC33),"")</f>
        <v/>
      </c>
      <c r="AH33" s="7" t="str">
        <f>IFERROR(IF([1]对账明细接口!$AD33=0,"",[1]对账明细接口!$AD33),"")</f>
        <v/>
      </c>
      <c r="AI33" s="7" t="str">
        <f>IFERROR(IF([1]对账明细接口!$AE33=0,"",[1]对账明细接口!$AE33),"")</f>
        <v/>
      </c>
      <c r="AJ33" s="7" t="str">
        <f>IFERROR(IF([1]对账明细接口!$AF33=0,"",[1]对账明细接口!$AF33),"")</f>
        <v/>
      </c>
    </row>
    <row r="34" ht="14.25" customHeight="1" spans="1:36">
      <c r="A34" s="14">
        <v>34</v>
      </c>
      <c r="B34" s="15">
        <f>IFERROR(IF([1]对账明细接口!$B$34=0,"",[1]对账明细接口!$B$34),"")</f>
        <v>46253</v>
      </c>
      <c r="C34" s="16" t="str">
        <f>IFERROR(IF([1]对账明细接口!$C$34=0,"",[1]对账明细接口!$C$34),"")</f>
        <v>聂新平</v>
      </c>
      <c r="D34" s="16" t="str">
        <f>IFERROR(IF([1]对账明细接口!$D$34=0,"",[1]对账明细接口!$D$34),"")</f>
        <v>原料入库</v>
      </c>
      <c r="E34" s="16" t="str">
        <f>IFERROR(IF([1]对账明细接口!$E$34=0,"",[1]对账明细接口!$E$34),"")</f>
        <v>NO0000702</v>
      </c>
      <c r="F34" s="16" t="str">
        <f>IFERROR(IF([1]对账明细接口!$F$34=0,"",[1]对账明细接口!$F$34),"")</f>
        <v>苹果</v>
      </c>
      <c r="G34" s="16" t="str">
        <f>IFERROR(IF([1]对账明细接口!$G$34=0,"",[1]对账明细接口!$G$34),"")</f>
        <v>嘎啦85#</v>
      </c>
      <c r="H34" s="17">
        <f>IFERROR(IF([1]对账明细接口!$H$34=0,"",[1]对账明细接口!$H$34),"")</f>
        <v>8</v>
      </c>
      <c r="I34" s="16" t="str">
        <f>IFERROR(IF([1]对账明细接口!$I$34=0,"",[1]对账明细接口!$I$34),"")</f>
        <v>筐</v>
      </c>
      <c r="J34" s="18">
        <f>IFERROR(IF([1]对账明细接口!$J$34=0,"",[1]对账明细接口!$J$34),"")</f>
        <v>174.4</v>
      </c>
      <c r="K34" s="18" t="str">
        <f>IFERROR(IF([1]对账明细接口!$K$34=0,"",[1]对账明细接口!$K$34),"")</f>
        <v/>
      </c>
      <c r="L34" s="16" t="str">
        <f>IFERROR(IF([1]对账明细接口!$L$34=0,"",[1]对账明细接口!$L$34),"")</f>
        <v/>
      </c>
      <c r="M34" s="16" t="str">
        <f>IFERROR(IF([1]对账明细接口!$M$34=0,"",[1]对账明细接口!$M$34),"")</f>
        <v/>
      </c>
      <c r="N34" s="19">
        <f t="shared" si="0"/>
        <v>1</v>
      </c>
      <c r="O34" s="19">
        <f t="shared" si="1"/>
        <v>31</v>
      </c>
      <c r="S34" s="20" t="str">
        <f>IFERROR(IF([1]对账明细接口!$N34=0,"",[1]对账明细接口!$N34),"")</f>
        <v>自备一次性筐</v>
      </c>
      <c r="T34" s="21" t="str">
        <f>IFERROR(IF([1]对账明细接口!$O34=0,"",[1]对账明细接口!$O34),"")</f>
        <v/>
      </c>
      <c r="U34" s="21" t="str">
        <f>IFERROR(IF([1]对账明细接口!$P34=0,"",[1]对账明细接口!$P34),"")</f>
        <v/>
      </c>
      <c r="V34" s="21">
        <f>IFERROR(IF([1]对账明细接口!$Q34=0,"",[1]对账明细接口!$Q34),"")</f>
        <v>8</v>
      </c>
      <c r="W34" s="20" t="str">
        <f>IFERROR(IF([1]对账明细接口!$R34=0,"",[1]对账明细接口!$R34),"")</f>
        <v>苏M*7G796</v>
      </c>
      <c r="X34" s="20" t="str">
        <f>IFERROR(IF([1]对账明细接口!$S34=0,"",[1]对账明细接口!$S34),"")</f>
        <v>自备筐</v>
      </c>
      <c r="Y34" s="20" t="str">
        <f>IFERROR(IF([1]对账明细接口!$T34=0,"",[1]对账明细接口!$T34),"")</f>
        <v/>
      </c>
      <c r="Z34" s="24" t="str">
        <f>IFERROR(IF([1]对账明细接口!$U34=0,"",[1]对账明细接口!$U34),"")</f>
        <v/>
      </c>
      <c r="AA34" s="24" t="str">
        <f>IFERROR(IF([1]对账明细接口!$V34=0,"",[1]对账明细接口!$V34),"")</f>
        <v/>
      </c>
      <c r="AB34" s="20" t="str">
        <f>IFERROR(IF([1]对账明细接口!$W34=0,"",[1]对账明细接口!$W34),"")</f>
        <v/>
      </c>
      <c r="AC34" s="7" t="str">
        <f>IFERROR(IF([1]对账明细接口!$X34=0,"",[1]对账明细接口!$X34),"")</f>
        <v/>
      </c>
      <c r="AD34" s="7" t="str">
        <f>IFERROR(IF([1]对账明细接口!$Y34=0,"",[1]对账明细接口!$Y34),"")</f>
        <v/>
      </c>
      <c r="AE34" s="7" t="str">
        <f>IFERROR(IF([1]对账明细接口!$AA34=0,"",[1]对账明细接口!$AA34),"")</f>
        <v/>
      </c>
      <c r="AF34" s="7" t="str">
        <f>IFERROR(IF([1]对账明细接口!$AB34=0,"",[1]对账明细接口!$AB34),"")</f>
        <v/>
      </c>
      <c r="AG34" s="7" t="str">
        <f>IFERROR(IF([1]对账明细接口!$AC34=0,"",[1]对账明细接口!$AC34),"")</f>
        <v/>
      </c>
      <c r="AH34" s="7" t="str">
        <f>IFERROR(IF([1]对账明细接口!$AD34=0,"",[1]对账明细接口!$AD34),"")</f>
        <v/>
      </c>
      <c r="AI34" s="7" t="str">
        <f>IFERROR(IF([1]对账明细接口!$AE34=0,"",[1]对账明细接口!$AE34),"")</f>
        <v/>
      </c>
      <c r="AJ34" s="7" t="str">
        <f>IFERROR(IF([1]对账明细接口!$AF34=0,"",[1]对账明细接口!$AF34),"")</f>
        <v/>
      </c>
    </row>
    <row r="35" ht="14.25" customHeight="1" spans="1:36">
      <c r="A35" s="14">
        <v>35</v>
      </c>
      <c r="B35" s="15">
        <f>IFERROR(IF([1]对账明细接口!$B$35=0,"",[1]对账明细接口!$B$35),"")</f>
        <v>46253</v>
      </c>
      <c r="C35" s="16" t="str">
        <f>IFERROR(IF([1]对账明细接口!$C$35=0,"",[1]对账明细接口!$C$35),"")</f>
        <v>聂新平</v>
      </c>
      <c r="D35" s="16" t="str">
        <f>IFERROR(IF([1]对账明细接口!$D$35=0,"",[1]对账明细接口!$D$35),"")</f>
        <v>原料入库</v>
      </c>
      <c r="E35" s="16" t="str">
        <f>IFERROR(IF([1]对账明细接口!$E$35=0,"",[1]对账明细接口!$E$35),"")</f>
        <v>NO0000702</v>
      </c>
      <c r="F35" s="16" t="str">
        <f>IFERROR(IF([1]对账明细接口!$F$35=0,"",[1]对账明细接口!$F$35),"")</f>
        <v>苹果</v>
      </c>
      <c r="G35" s="16" t="str">
        <f>IFERROR(IF([1]对账明细接口!$G$35=0,"",[1]对账明细接口!$G$35),"")</f>
        <v>嘎啦100#</v>
      </c>
      <c r="H35" s="17">
        <f>IFERROR(IF([1]对账明细接口!$H$35=0,"",[1]对账明细接口!$H$35),"")</f>
        <v>16</v>
      </c>
      <c r="I35" s="16" t="str">
        <f>IFERROR(IF([1]对账明细接口!$I$35=0,"",[1]对账明细接口!$I$35),"")</f>
        <v>筐</v>
      </c>
      <c r="J35" s="18">
        <f>IFERROR(IF([1]对账明细接口!$J$35=0,"",[1]对账明细接口!$J$35),"")</f>
        <v>348.8</v>
      </c>
      <c r="K35" s="18" t="str">
        <f>IFERROR(IF([1]对账明细接口!$K$35=0,"",[1]对账明细接口!$K$35),"")</f>
        <v/>
      </c>
      <c r="L35" s="16" t="str">
        <f>IFERROR(IF([1]对账明细接口!$L$35=0,"",[1]对账明细接口!$L$35),"")</f>
        <v/>
      </c>
      <c r="M35" s="16" t="str">
        <f>IFERROR(IF([1]对账明细接口!$M$35=0,"",[1]对账明细接口!$M$35),"")</f>
        <v/>
      </c>
      <c r="N35" s="19">
        <f t="shared" si="0"/>
        <v>1</v>
      </c>
      <c r="O35" s="19">
        <f t="shared" si="1"/>
        <v>32</v>
      </c>
      <c r="S35" s="20" t="str">
        <f>IFERROR(IF([1]对账明细接口!$N35=0,"",[1]对账明细接口!$N35),"")</f>
        <v>自备一次性筐</v>
      </c>
      <c r="T35" s="21" t="str">
        <f>IFERROR(IF([1]对账明细接口!$O35=0,"",[1]对账明细接口!$O35),"")</f>
        <v/>
      </c>
      <c r="U35" s="21" t="str">
        <f>IFERROR(IF([1]对账明细接口!$P35=0,"",[1]对账明细接口!$P35),"")</f>
        <v/>
      </c>
      <c r="V35" s="21">
        <f>IFERROR(IF([1]对账明细接口!$Q35=0,"",[1]对账明细接口!$Q35),"")</f>
        <v>16</v>
      </c>
      <c r="W35" s="20" t="str">
        <f>IFERROR(IF([1]对账明细接口!$R35=0,"",[1]对账明细接口!$R35),"")</f>
        <v>苏M*7G796</v>
      </c>
      <c r="X35" s="20" t="str">
        <f>IFERROR(IF([1]对账明细接口!$S35=0,"",[1]对账明细接口!$S35),"")</f>
        <v>自备筐</v>
      </c>
      <c r="Y35" s="20" t="str">
        <f>IFERROR(IF([1]对账明细接口!$T35=0,"",[1]对账明细接口!$T35),"")</f>
        <v/>
      </c>
      <c r="Z35" s="24" t="str">
        <f>IFERROR(IF([1]对账明细接口!$U35=0,"",[1]对账明细接口!$U35),"")</f>
        <v/>
      </c>
      <c r="AA35" s="24" t="str">
        <f>IFERROR(IF([1]对账明细接口!$V35=0,"",[1]对账明细接口!$V35),"")</f>
        <v/>
      </c>
      <c r="AB35" s="20" t="str">
        <f>IFERROR(IF([1]对账明细接口!$W35=0,"",[1]对账明细接口!$W35),"")</f>
        <v/>
      </c>
      <c r="AC35" s="7" t="str">
        <f>IFERROR(IF([1]对账明细接口!$X35=0,"",[1]对账明细接口!$X35),"")</f>
        <v/>
      </c>
      <c r="AD35" s="7" t="str">
        <f>IFERROR(IF([1]对账明细接口!$Y35=0,"",[1]对账明细接口!$Y35),"")</f>
        <v/>
      </c>
      <c r="AE35" s="7" t="str">
        <f>IFERROR(IF([1]对账明细接口!$AA35=0,"",[1]对账明细接口!$AA35),"")</f>
        <v/>
      </c>
      <c r="AF35" s="7" t="str">
        <f>IFERROR(IF([1]对账明细接口!$AB35=0,"",[1]对账明细接口!$AB35),"")</f>
        <v/>
      </c>
      <c r="AG35" s="7" t="str">
        <f>IFERROR(IF([1]对账明细接口!$AC35=0,"",[1]对账明细接口!$AC35),"")</f>
        <v/>
      </c>
      <c r="AH35" s="7" t="str">
        <f>IFERROR(IF([1]对账明细接口!$AD35=0,"",[1]对账明细接口!$AD35),"")</f>
        <v/>
      </c>
      <c r="AI35" s="7" t="str">
        <f>IFERROR(IF([1]对账明细接口!$AE35=0,"",[1]对账明细接口!$AE35),"")</f>
        <v/>
      </c>
      <c r="AJ35" s="7" t="str">
        <f>IFERROR(IF([1]对账明细接口!$AF35=0,"",[1]对账明细接口!$AF35),"")</f>
        <v/>
      </c>
    </row>
    <row r="36" ht="14.25" customHeight="1" spans="1:36">
      <c r="A36" s="14">
        <v>36</v>
      </c>
      <c r="B36" s="15">
        <f>IFERROR(IF([1]对账明细接口!$B$36=0,"",[1]对账明细接口!$B$36),"")</f>
        <v>46254</v>
      </c>
      <c r="C36" s="16" t="str">
        <f>IFERROR(IF([1]对账明细接口!$C$36=0,"",[1]对账明细接口!$C$36),"")</f>
        <v>聂新平</v>
      </c>
      <c r="D36" s="16" t="str">
        <f>IFERROR(IF([1]对账明细接口!$D$36=0,"",[1]对账明细接口!$D$36),"")</f>
        <v>原料入库</v>
      </c>
      <c r="E36" s="16" t="str">
        <f>IFERROR(IF([1]对账明细接口!$E$36=0,"",[1]对账明细接口!$E$36),"")</f>
        <v>NO0000708</v>
      </c>
      <c r="F36" s="16" t="str">
        <f>IFERROR(IF([1]对账明细接口!$F$36=0,"",[1]对账明细接口!$F$36),"")</f>
        <v>苹果</v>
      </c>
      <c r="G36" s="16" t="str">
        <f>IFERROR(IF([1]对账明细接口!$G$36=0,"",[1]对账明细接口!$G$36),"")</f>
        <v>嘎啦85#</v>
      </c>
      <c r="H36" s="17">
        <f>IFERROR(IF([1]对账明细接口!$H$36=0,"",[1]对账明细接口!$H$36),"")</f>
        <v>9</v>
      </c>
      <c r="I36" s="16" t="str">
        <f>IFERROR(IF([1]对账明细接口!$I$36=0,"",[1]对账明细接口!$I$36),"")</f>
        <v>筐</v>
      </c>
      <c r="J36" s="18">
        <f>IFERROR(IF([1]对账明细接口!$J$36=0,"",[1]对账明细接口!$J$36),"")</f>
        <v>196.2</v>
      </c>
      <c r="K36" s="18" t="str">
        <f>IFERROR(IF([1]对账明细接口!$K$36=0,"",[1]对账明细接口!$K$36),"")</f>
        <v/>
      </c>
      <c r="L36" s="16" t="str">
        <f>IFERROR(IF([1]对账明细接口!$L$36=0,"",[1]对账明细接口!$L$36),"")</f>
        <v/>
      </c>
      <c r="M36" s="16" t="str">
        <f>IFERROR(IF([1]对账明细接口!$M$36=0,"",[1]对账明细接口!$M$36),"")</f>
        <v/>
      </c>
      <c r="N36" s="19">
        <f t="shared" si="0"/>
        <v>1</v>
      </c>
      <c r="O36" s="19">
        <f t="shared" si="1"/>
        <v>33</v>
      </c>
      <c r="S36" s="20" t="str">
        <f>IFERROR(IF([1]对账明细接口!$N36=0,"",[1]对账明细接口!$N36),"")</f>
        <v>自备一次性筐</v>
      </c>
      <c r="T36" s="21" t="str">
        <f>IFERROR(IF([1]对账明细接口!$O36=0,"",[1]对账明细接口!$O36),"")</f>
        <v/>
      </c>
      <c r="U36" s="21" t="str">
        <f>IFERROR(IF([1]对账明细接口!$P36=0,"",[1]对账明细接口!$P36),"")</f>
        <v/>
      </c>
      <c r="V36" s="21">
        <f>IFERROR(IF([1]对账明细接口!$Q36=0,"",[1]对账明细接口!$Q36),"")</f>
        <v>9</v>
      </c>
      <c r="W36" s="20" t="str">
        <f>IFERROR(IF([1]对账明细接口!$R36=0,"",[1]对账明细接口!$R36),"")</f>
        <v>苏M*7G796</v>
      </c>
      <c r="X36" s="20" t="str">
        <f>IFERROR(IF([1]对账明细接口!$S36=0,"",[1]对账明细接口!$S36),"")</f>
        <v>自备筐</v>
      </c>
      <c r="Y36" s="20" t="str">
        <f>IFERROR(IF([1]对账明细接口!$T36=0,"",[1]对账明细接口!$T36),"")</f>
        <v/>
      </c>
      <c r="Z36" s="24" t="str">
        <f>IFERROR(IF([1]对账明细接口!$U36=0,"",[1]对账明细接口!$U36),"")</f>
        <v/>
      </c>
      <c r="AA36" s="24" t="str">
        <f>IFERROR(IF([1]对账明细接口!$V36=0,"",[1]对账明细接口!$V36),"")</f>
        <v/>
      </c>
      <c r="AB36" s="20" t="str">
        <f>IFERROR(IF([1]对账明细接口!$W36=0,"",[1]对账明细接口!$W36),"")</f>
        <v/>
      </c>
      <c r="AC36" s="7" t="str">
        <f>IFERROR(IF([1]对账明细接口!$X36=0,"",[1]对账明细接口!$X36),"")</f>
        <v/>
      </c>
      <c r="AD36" s="7" t="str">
        <f>IFERROR(IF([1]对账明细接口!$Y36=0,"",[1]对账明细接口!$Y36),"")</f>
        <v/>
      </c>
      <c r="AE36" s="7" t="str">
        <f>IFERROR(IF([1]对账明细接口!$AA36=0,"",[1]对账明细接口!$AA36),"")</f>
        <v/>
      </c>
      <c r="AF36" s="7" t="str">
        <f>IFERROR(IF([1]对账明细接口!$AB36=0,"",[1]对账明细接口!$AB36),"")</f>
        <v/>
      </c>
      <c r="AG36" s="7" t="str">
        <f>IFERROR(IF([1]对账明细接口!$AC36=0,"",[1]对账明细接口!$AC36),"")</f>
        <v/>
      </c>
      <c r="AH36" s="7" t="str">
        <f>IFERROR(IF([1]对账明细接口!$AD36=0,"",[1]对账明细接口!$AD36),"")</f>
        <v/>
      </c>
      <c r="AI36" s="7" t="str">
        <f>IFERROR(IF([1]对账明细接口!$AE36=0,"",[1]对账明细接口!$AE36),"")</f>
        <v/>
      </c>
      <c r="AJ36" s="7" t="str">
        <f>IFERROR(IF([1]对账明细接口!$AF36=0,"",[1]对账明细接口!$AF36),"")</f>
        <v/>
      </c>
    </row>
    <row r="37" ht="14.25" customHeight="1" spans="1:36">
      <c r="A37" s="14">
        <v>37</v>
      </c>
      <c r="B37" s="15">
        <f>IFERROR(IF([1]对账明细接口!$B$37=0,"",[1]对账明细接口!$B$37),"")</f>
        <v>46255</v>
      </c>
      <c r="C37" s="16" t="str">
        <f>IFERROR(IF([1]对账明细接口!$C$37=0,"",[1]对账明细接口!$C$37),"")</f>
        <v>王照雪</v>
      </c>
      <c r="D37" s="16" t="str">
        <f>IFERROR(IF([1]对账明细接口!$D$37=0,"",[1]对账明细接口!$D$37),"")</f>
        <v>原料入库</v>
      </c>
      <c r="E37" s="16" t="str">
        <f>IFERROR(IF([1]对账明细接口!$E$37=0,"",[1]对账明细接口!$E$37),"")</f>
        <v>NO0000710</v>
      </c>
      <c r="F37" s="16" t="str">
        <f>IFERROR(IF([1]对账明细接口!$F$37=0,"",[1]对账明细接口!$F$37),"")</f>
        <v>苹果</v>
      </c>
      <c r="G37" s="16" t="str">
        <f>IFERROR(IF([1]对账明细接口!$G$37=0,"",[1]对账明细接口!$G$37),"")</f>
        <v>华硕一级</v>
      </c>
      <c r="H37" s="17">
        <f>IFERROR(IF([1]对账明细接口!$H$37=0,"",[1]对账明细接口!$H$37),"")</f>
        <v>57</v>
      </c>
      <c r="I37" s="16" t="str">
        <f>IFERROR(IF([1]对账明细接口!$I$37=0,"",[1]对账明细接口!$I$37),"")</f>
        <v>筐</v>
      </c>
      <c r="J37" s="18">
        <f>IFERROR(IF([1]对账明细接口!$J$37=0,"",[1]对账明细接口!$J$37),"")</f>
        <v>986.1</v>
      </c>
      <c r="K37" s="18" t="str">
        <f>IFERROR(IF([1]对账明细接口!$K$37=0,"",[1]对账明细接口!$K$37),"")</f>
        <v/>
      </c>
      <c r="L37" s="16" t="str">
        <f>IFERROR(IF([1]对账明细接口!$L$37=0,"",[1]对账明细接口!$L$37),"")</f>
        <v/>
      </c>
      <c r="M37" s="16" t="str">
        <f>IFERROR(IF([1]对账明细接口!$M$37=0,"",[1]对账明细接口!$M$37),"")</f>
        <v/>
      </c>
      <c r="N37" s="19">
        <f t="shared" si="0"/>
        <v>1</v>
      </c>
      <c r="O37" s="19">
        <f t="shared" si="1"/>
        <v>34</v>
      </c>
      <c r="S37" s="20" t="str">
        <f>IFERROR(IF([1]对账明细接口!$N37=0,"",[1]对账明细接口!$N37),"")</f>
        <v>公司杂周转筐</v>
      </c>
      <c r="T37" s="21" t="str">
        <f>IFERROR(IF([1]对账明细接口!$O37=0,"",[1]对账明细接口!$O37),"")</f>
        <v/>
      </c>
      <c r="U37" s="21" t="str">
        <f>IFERROR(IF([1]对账明细接口!$P37=0,"",[1]对账明细接口!$P37),"")</f>
        <v/>
      </c>
      <c r="V37" s="21">
        <f>IFERROR(IF([1]对账明细接口!$Q37=0,"",[1]对账明细接口!$Q37),"")</f>
        <v>57</v>
      </c>
      <c r="W37" s="20" t="str">
        <f>IFERROR(IF([1]对账明细接口!$R37=0,"",[1]对账明细接口!$R37),"")</f>
        <v>豫L*88X19</v>
      </c>
      <c r="X37" s="20" t="str">
        <f>IFERROR(IF([1]对账明细接口!$S37=0,"",[1]对账明细接口!$S37),"")</f>
        <v>公司筐</v>
      </c>
      <c r="Y37" s="20" t="str">
        <f>IFERROR(IF([1]对账明细接口!$T37=0,"",[1]对账明细接口!$T37),"")</f>
        <v/>
      </c>
      <c r="Z37" s="24" t="str">
        <f>IFERROR(IF([1]对账明细接口!$U37=0,"",[1]对账明细接口!$U37),"")</f>
        <v/>
      </c>
      <c r="AA37" s="24" t="str">
        <f>IFERROR(IF([1]对账明细接口!$V37=0,"",[1]对账明细接口!$V37),"")</f>
        <v/>
      </c>
      <c r="AB37" s="20" t="str">
        <f>IFERROR(IF([1]对账明细接口!$W37=0,"",[1]对账明细接口!$W37),"")</f>
        <v/>
      </c>
      <c r="AC37" s="7" t="str">
        <f>IFERROR(IF([1]对账明细接口!$X37=0,"",[1]对账明细接口!$X37),"")</f>
        <v/>
      </c>
      <c r="AD37" s="7" t="str">
        <f>IFERROR(IF([1]对账明细接口!$Y37=0,"",[1]对账明细接口!$Y37),"")</f>
        <v/>
      </c>
      <c r="AE37" s="7" t="str">
        <f>IFERROR(IF([1]对账明细接口!$AA37=0,"",[1]对账明细接口!$AA37),"")</f>
        <v/>
      </c>
      <c r="AF37" s="7" t="str">
        <f>IFERROR(IF([1]对账明细接口!$AB37=0,"",[1]对账明细接口!$AB37),"")</f>
        <v/>
      </c>
      <c r="AG37" s="7" t="str">
        <f>IFERROR(IF([1]对账明细接口!$AC37=0,"",[1]对账明细接口!$AC37),"")</f>
        <v/>
      </c>
      <c r="AH37" s="7" t="str">
        <f>IFERROR(IF([1]对账明细接口!$AD37=0,"",[1]对账明细接口!$AD37),"")</f>
        <v/>
      </c>
      <c r="AI37" s="7" t="str">
        <f>IFERROR(IF([1]对账明细接口!$AE37=0,"",[1]对账明细接口!$AE37),"")</f>
        <v/>
      </c>
      <c r="AJ37" s="7" t="str">
        <f>IFERROR(IF([1]对账明细接口!$AF37=0,"",[1]对账明细接口!$AF37),"")</f>
        <v/>
      </c>
    </row>
    <row r="38" ht="14.25" customHeight="1" spans="1:36">
      <c r="A38" s="14">
        <v>38</v>
      </c>
      <c r="B38" s="15">
        <f>IFERROR(IF([1]对账明细接口!$B$38=0,"",[1]对账明细接口!$B$38),"")</f>
        <v>46255</v>
      </c>
      <c r="C38" s="16" t="str">
        <f>IFERROR(IF([1]对账明细接口!$C$38=0,"",[1]对账明细接口!$C$38),"")</f>
        <v>王照雪</v>
      </c>
      <c r="D38" s="16" t="str">
        <f>IFERROR(IF([1]对账明细接口!$D$38=0,"",[1]对账明细接口!$D$38),"")</f>
        <v>原料入库</v>
      </c>
      <c r="E38" s="16" t="str">
        <f>IFERROR(IF([1]对账明细接口!$E$38=0,"",[1]对账明细接口!$E$38),"")</f>
        <v>NO0000710</v>
      </c>
      <c r="F38" s="16" t="str">
        <f>IFERROR(IF([1]对账明细接口!$F$38=0,"",[1]对账明细接口!$F$38),"")</f>
        <v>苹果</v>
      </c>
      <c r="G38" s="16" t="str">
        <f>IFERROR(IF([1]对账明细接口!$G$38=0,"",[1]对账明细接口!$G$38),"")</f>
        <v>华硕二级</v>
      </c>
      <c r="H38" s="17">
        <f>IFERROR(IF([1]对账明细接口!$H$38=0,"",[1]对账明细接口!$H$38),"")</f>
        <v>18</v>
      </c>
      <c r="I38" s="16" t="str">
        <f>IFERROR(IF([1]对账明细接口!$I$38=0,"",[1]对账明细接口!$I$38),"")</f>
        <v>筐</v>
      </c>
      <c r="J38" s="18">
        <f>IFERROR(IF([1]对账明细接口!$J$38=0,"",[1]对账明细接口!$J$38),"")</f>
        <v>293.4</v>
      </c>
      <c r="K38" s="18" t="str">
        <f>IFERROR(IF([1]对账明细接口!$K$38=0,"",[1]对账明细接口!$K$38),"")</f>
        <v/>
      </c>
      <c r="L38" s="16" t="str">
        <f>IFERROR(IF([1]对账明细接口!$L$38=0,"",[1]对账明细接口!$L$38),"")</f>
        <v/>
      </c>
      <c r="M38" s="16" t="str">
        <f>IFERROR(IF([1]对账明细接口!$M$38=0,"",[1]对账明细接口!$M$38),"")</f>
        <v/>
      </c>
      <c r="N38" s="19">
        <f t="shared" si="0"/>
        <v>1</v>
      </c>
      <c r="O38" s="19">
        <f t="shared" si="1"/>
        <v>35</v>
      </c>
      <c r="S38" s="20" t="str">
        <f>IFERROR(IF([1]对账明细接口!$N38=0,"",[1]对账明细接口!$N38),"")</f>
        <v>公司杂周转筐</v>
      </c>
      <c r="T38" s="21" t="str">
        <f>IFERROR(IF([1]对账明细接口!$O38=0,"",[1]对账明细接口!$O38),"")</f>
        <v/>
      </c>
      <c r="U38" s="21" t="str">
        <f>IFERROR(IF([1]对账明细接口!$P38=0,"",[1]对账明细接口!$P38),"")</f>
        <v/>
      </c>
      <c r="V38" s="21">
        <f>IFERROR(IF([1]对账明细接口!$Q38=0,"",[1]对账明细接口!$Q38),"")</f>
        <v>18</v>
      </c>
      <c r="W38" s="20" t="str">
        <f>IFERROR(IF([1]对账明细接口!$R38=0,"",[1]对账明细接口!$R38),"")</f>
        <v>豫L*88X19</v>
      </c>
      <c r="X38" s="20" t="str">
        <f>IFERROR(IF([1]对账明细接口!$S38=0,"",[1]对账明细接口!$S38),"")</f>
        <v>公司筐</v>
      </c>
      <c r="Y38" s="20" t="str">
        <f>IFERROR(IF([1]对账明细接口!$T38=0,"",[1]对账明细接口!$T38),"")</f>
        <v/>
      </c>
      <c r="Z38" s="24" t="str">
        <f>IFERROR(IF([1]对账明细接口!$U38=0,"",[1]对账明细接口!$U38),"")</f>
        <v/>
      </c>
      <c r="AA38" s="24" t="str">
        <f>IFERROR(IF([1]对账明细接口!$V38=0,"",[1]对账明细接口!$V38),"")</f>
        <v/>
      </c>
      <c r="AB38" s="20" t="str">
        <f>IFERROR(IF([1]对账明细接口!$W38=0,"",[1]对账明细接口!$W38),"")</f>
        <v/>
      </c>
      <c r="AC38" s="7" t="str">
        <f>IFERROR(IF([1]对账明细接口!$X38=0,"",[1]对账明细接口!$X38),"")</f>
        <v/>
      </c>
      <c r="AD38" s="7" t="str">
        <f>IFERROR(IF([1]对账明细接口!$Y38=0,"",[1]对账明细接口!$Y38),"")</f>
        <v/>
      </c>
      <c r="AE38" s="7" t="str">
        <f>IFERROR(IF([1]对账明细接口!$AA38=0,"",[1]对账明细接口!$AA38),"")</f>
        <v/>
      </c>
      <c r="AF38" s="7" t="str">
        <f>IFERROR(IF([1]对账明细接口!$AB38=0,"",[1]对账明细接口!$AB38),"")</f>
        <v/>
      </c>
      <c r="AG38" s="7" t="str">
        <f>IFERROR(IF([1]对账明细接口!$AC38=0,"",[1]对账明细接口!$AC38),"")</f>
        <v/>
      </c>
      <c r="AH38" s="7" t="str">
        <f>IFERROR(IF([1]对账明细接口!$AD38=0,"",[1]对账明细接口!$AD38),"")</f>
        <v/>
      </c>
      <c r="AI38" s="7" t="str">
        <f>IFERROR(IF([1]对账明细接口!$AE38=0,"",[1]对账明细接口!$AE38),"")</f>
        <v/>
      </c>
      <c r="AJ38" s="7" t="str">
        <f>IFERROR(IF([1]对账明细接口!$AF38=0,"",[1]对账明细接口!$AF38),"")</f>
        <v/>
      </c>
    </row>
    <row r="39" ht="14.25" customHeight="1" spans="1:36">
      <c r="A39" s="14">
        <v>39</v>
      </c>
      <c r="B39" s="15">
        <f>IFERROR(IF([1]对账明细接口!$B$39=0,"",[1]对账明细接口!$B$39),"")</f>
        <v>46255</v>
      </c>
      <c r="C39" s="16" t="str">
        <f>IFERROR(IF([1]对账明细接口!$C$39=0,"",[1]对账明细接口!$C$39),"")</f>
        <v>王照雪</v>
      </c>
      <c r="D39" s="16" t="str">
        <f>IFERROR(IF([1]对账明细接口!$D$39=0,"",[1]对账明细接口!$D$39),"")</f>
        <v>原料入库</v>
      </c>
      <c r="E39" s="16" t="str">
        <f>IFERROR(IF([1]对账明细接口!$E$39=0,"",[1]对账明细接口!$E$39),"")</f>
        <v>NO0000710</v>
      </c>
      <c r="F39" s="16" t="str">
        <f>IFERROR(IF([1]对账明细接口!$F$39=0,"",[1]对账明细接口!$F$39),"")</f>
        <v>苹果</v>
      </c>
      <c r="G39" s="16" t="str">
        <f>IFERROR(IF([1]对账明细接口!$G$39=0,"",[1]对账明细接口!$G$39),"")</f>
        <v>华硕高次</v>
      </c>
      <c r="H39" s="17">
        <f>IFERROR(IF([1]对账明细接口!$H$39=0,"",[1]对账明细接口!$H$39),"")</f>
        <v>18</v>
      </c>
      <c r="I39" s="16" t="str">
        <f>IFERROR(IF([1]对账明细接口!$I$39=0,"",[1]对账明细接口!$I$39),"")</f>
        <v>筐</v>
      </c>
      <c r="J39" s="18">
        <f>IFERROR(IF([1]对账明细接口!$J$39=0,"",[1]对账明细接口!$J$39),"")</f>
        <v>311.4</v>
      </c>
      <c r="K39" s="18" t="str">
        <f>IFERROR(IF([1]对账明细接口!$K$39=0,"",[1]对账明细接口!$K$39),"")</f>
        <v/>
      </c>
      <c r="L39" s="16" t="str">
        <f>IFERROR(IF([1]对账明细接口!$L$39=0,"",[1]对账明细接口!$L$39),"")</f>
        <v/>
      </c>
      <c r="M39" s="16" t="str">
        <f>IFERROR(IF([1]对账明细接口!$M$39=0,"",[1]对账明细接口!$M$39),"")</f>
        <v/>
      </c>
      <c r="N39" s="19">
        <f t="shared" si="0"/>
        <v>1</v>
      </c>
      <c r="O39" s="19">
        <f t="shared" si="1"/>
        <v>36</v>
      </c>
      <c r="S39" s="20" t="str">
        <f>IFERROR(IF([1]对账明细接口!$N39=0,"",[1]对账明细接口!$N39),"")</f>
        <v>公司杂周转筐</v>
      </c>
      <c r="T39" s="21" t="str">
        <f>IFERROR(IF([1]对账明细接口!$O39=0,"",[1]对账明细接口!$O39),"")</f>
        <v/>
      </c>
      <c r="U39" s="21" t="str">
        <f>IFERROR(IF([1]对账明细接口!$P39=0,"",[1]对账明细接口!$P39),"")</f>
        <v/>
      </c>
      <c r="V39" s="21">
        <f>IFERROR(IF([1]对账明细接口!$Q39=0,"",[1]对账明细接口!$Q39),"")</f>
        <v>18</v>
      </c>
      <c r="W39" s="20" t="str">
        <f>IFERROR(IF([1]对账明细接口!$R39=0,"",[1]对账明细接口!$R39),"")</f>
        <v>豫L*88X19</v>
      </c>
      <c r="X39" s="20" t="str">
        <f>IFERROR(IF([1]对账明细接口!$S39=0,"",[1]对账明细接口!$S39),"")</f>
        <v>公司筐</v>
      </c>
      <c r="Y39" s="20" t="str">
        <f>IFERROR(IF([1]对账明细接口!$T39=0,"",[1]对账明细接口!$T39),"")</f>
        <v/>
      </c>
      <c r="Z39" s="24" t="str">
        <f>IFERROR(IF([1]对账明细接口!$U39=0,"",[1]对账明细接口!$U39),"")</f>
        <v/>
      </c>
      <c r="AA39" s="24" t="str">
        <f>IFERROR(IF([1]对账明细接口!$V39=0,"",[1]对账明细接口!$V39),"")</f>
        <v/>
      </c>
      <c r="AB39" s="20" t="str">
        <f>IFERROR(IF([1]对账明细接口!$W39=0,"",[1]对账明细接口!$W39),"")</f>
        <v/>
      </c>
      <c r="AC39" s="7" t="str">
        <f>IFERROR(IF([1]对账明细接口!$X39=0,"",[1]对账明细接口!$X39),"")</f>
        <v/>
      </c>
      <c r="AD39" s="7" t="str">
        <f>IFERROR(IF([1]对账明细接口!$Y39=0,"",[1]对账明细接口!$Y39),"")</f>
        <v/>
      </c>
      <c r="AE39" s="7" t="str">
        <f>IFERROR(IF([1]对账明细接口!$AA39=0,"",[1]对账明细接口!$AA39),"")</f>
        <v/>
      </c>
      <c r="AF39" s="7" t="str">
        <f>IFERROR(IF([1]对账明细接口!$AB39=0,"",[1]对账明细接口!$AB39),"")</f>
        <v/>
      </c>
      <c r="AG39" s="7" t="str">
        <f>IFERROR(IF([1]对账明细接口!$AC39=0,"",[1]对账明细接口!$AC39),"")</f>
        <v/>
      </c>
      <c r="AH39" s="7" t="str">
        <f>IFERROR(IF([1]对账明细接口!$AD39=0,"",[1]对账明细接口!$AD39),"")</f>
        <v/>
      </c>
      <c r="AI39" s="7" t="str">
        <f>IFERROR(IF([1]对账明细接口!$AE39=0,"",[1]对账明细接口!$AE39),"")</f>
        <v/>
      </c>
      <c r="AJ39" s="7" t="str">
        <f>IFERROR(IF([1]对账明细接口!$AF39=0,"",[1]对账明细接口!$AF39),"")</f>
        <v/>
      </c>
    </row>
    <row r="40" ht="14.25" customHeight="1" spans="1:36">
      <c r="A40" s="14">
        <v>40</v>
      </c>
      <c r="B40" s="15">
        <f>IFERROR(IF([1]对账明细接口!$B$40=0,"",[1]对账明细接口!$B$40),"")</f>
        <v>46256</v>
      </c>
      <c r="C40" s="16" t="str">
        <f>IFERROR(IF([1]对账明细接口!$C$40=0,"",[1]对账明细接口!$C$40),"")</f>
        <v>聂新平</v>
      </c>
      <c r="D40" s="16" t="str">
        <f>IFERROR(IF([1]对账明细接口!$D$40=0,"",[1]对账明细接口!$D$40),"")</f>
        <v>原料入库</v>
      </c>
      <c r="E40" s="16" t="str">
        <f>IFERROR(IF([1]对账明细接口!$E$40=0,"",[1]对账明细接口!$E$40),"")</f>
        <v>NO0000713</v>
      </c>
      <c r="F40" s="16" t="str">
        <f>IFERROR(IF([1]对账明细接口!$F$40=0,"",[1]对账明细接口!$F$40),"")</f>
        <v>苹果</v>
      </c>
      <c r="G40" s="16" t="str">
        <f>IFERROR(IF([1]对账明细接口!$G$40=0,"",[1]对账明细接口!$G$40),"")</f>
        <v>嘎啦100#</v>
      </c>
      <c r="H40" s="17">
        <f>IFERROR(IF([1]对账明细接口!$H$40=0,"",[1]对账明细接口!$H$40),"")</f>
        <v>92</v>
      </c>
      <c r="I40" s="16" t="str">
        <f>IFERROR(IF([1]对账明细接口!$I$40=0,"",[1]对账明细接口!$I$40),"")</f>
        <v>筐</v>
      </c>
      <c r="J40" s="18">
        <f>IFERROR(IF([1]对账明细接口!$J$40=0,"",[1]对账明细接口!$J$40),"")</f>
        <v>2005.6</v>
      </c>
      <c r="K40" s="18" t="str">
        <f>IFERROR(IF([1]对账明细接口!$K$40=0,"",[1]对账明细接口!$K$40),"")</f>
        <v/>
      </c>
      <c r="L40" s="16" t="str">
        <f>IFERROR(IF([1]对账明细接口!$L$40=0,"",[1]对账明细接口!$L$40),"")</f>
        <v/>
      </c>
      <c r="M40" s="16" t="str">
        <f>IFERROR(IF([1]对账明细接口!$M$40=0,"",[1]对账明细接口!$M$40),"")</f>
        <v/>
      </c>
      <c r="N40" s="19">
        <f t="shared" si="0"/>
        <v>1</v>
      </c>
      <c r="O40" s="19">
        <f t="shared" si="1"/>
        <v>37</v>
      </c>
      <c r="S40" s="20" t="str">
        <f>IFERROR(IF([1]对账明细接口!$N40=0,"",[1]对账明细接口!$N40),"")</f>
        <v>自备一次性筐</v>
      </c>
      <c r="T40" s="21" t="str">
        <f>IFERROR(IF([1]对账明细接口!$O40=0,"",[1]对账明细接口!$O40),"")</f>
        <v/>
      </c>
      <c r="U40" s="21" t="str">
        <f>IFERROR(IF([1]对账明细接口!$P40=0,"",[1]对账明细接口!$P40),"")</f>
        <v/>
      </c>
      <c r="V40" s="21">
        <f>IFERROR(IF([1]对账明细接口!$Q40=0,"",[1]对账明细接口!$Q40),"")</f>
        <v>92</v>
      </c>
      <c r="W40" s="20" t="str">
        <f>IFERROR(IF([1]对账明细接口!$R40=0,"",[1]对账明细接口!$R40),"")</f>
        <v>新N*9F701</v>
      </c>
      <c r="X40" s="20" t="str">
        <f>IFERROR(IF([1]对账明细接口!$S40=0,"",[1]对账明细接口!$S40),"")</f>
        <v>自备筐</v>
      </c>
      <c r="Y40" s="20" t="str">
        <f>IFERROR(IF([1]对账明细接口!$T40=0,"",[1]对账明细接口!$T40),"")</f>
        <v/>
      </c>
      <c r="Z40" s="24" t="str">
        <f>IFERROR(IF([1]对账明细接口!$U40=0,"",[1]对账明细接口!$U40),"")</f>
        <v/>
      </c>
      <c r="AA40" s="24" t="str">
        <f>IFERROR(IF([1]对账明细接口!$V40=0,"",[1]对账明细接口!$V40),"")</f>
        <v/>
      </c>
      <c r="AB40" s="20" t="str">
        <f>IFERROR(IF([1]对账明细接口!$W40=0,"",[1]对账明细接口!$W40),"")</f>
        <v/>
      </c>
      <c r="AC40" s="7" t="str">
        <f>IFERROR(IF([1]对账明细接口!$X40=0,"",[1]对账明细接口!$X40),"")</f>
        <v/>
      </c>
      <c r="AD40" s="7" t="str">
        <f>IFERROR(IF([1]对账明细接口!$Y40=0,"",[1]对账明细接口!$Y40),"")</f>
        <v/>
      </c>
      <c r="AE40" s="7" t="str">
        <f>IFERROR(IF([1]对账明细接口!$AA40=0,"",[1]对账明细接口!$AA40),"")</f>
        <v/>
      </c>
      <c r="AF40" s="7" t="str">
        <f>IFERROR(IF([1]对账明细接口!$AB40=0,"",[1]对账明细接口!$AB40),"")</f>
        <v/>
      </c>
      <c r="AG40" s="7" t="str">
        <f>IFERROR(IF([1]对账明细接口!$AC40=0,"",[1]对账明细接口!$AC40),"")</f>
        <v/>
      </c>
      <c r="AH40" s="7" t="str">
        <f>IFERROR(IF([1]对账明细接口!$AD40=0,"",[1]对账明细接口!$AD40),"")</f>
        <v/>
      </c>
      <c r="AI40" s="7" t="str">
        <f>IFERROR(IF([1]对账明细接口!$AE40=0,"",[1]对账明细接口!$AE40),"")</f>
        <v/>
      </c>
      <c r="AJ40" s="7" t="str">
        <f>IFERROR(IF([1]对账明细接口!$AF40=0,"",[1]对账明细接口!$AF40),"")</f>
        <v/>
      </c>
    </row>
    <row r="41" ht="14.25" customHeight="1" spans="1:36">
      <c r="A41" s="14">
        <v>41</v>
      </c>
      <c r="B41" s="15">
        <f>IFERROR(IF([1]对账明细接口!$B$41=0,"",[1]对账明细接口!$B$41),"")</f>
        <v>46256</v>
      </c>
      <c r="C41" s="16" t="str">
        <f>IFERROR(IF([1]对账明细接口!$C$41=0,"",[1]对账明细接口!$C$41),"")</f>
        <v>聂新平</v>
      </c>
      <c r="D41" s="16" t="str">
        <f>IFERROR(IF([1]对账明细接口!$D$41=0,"",[1]对账明细接口!$D$41),"")</f>
        <v>原料入库</v>
      </c>
      <c r="E41" s="16" t="str">
        <f>IFERROR(IF([1]对账明细接口!$E$41=0,"",[1]对账明细接口!$E$41),"")</f>
        <v>NO0000715</v>
      </c>
      <c r="F41" s="16" t="str">
        <f>IFERROR(IF([1]对账明细接口!$F$41=0,"",[1]对账明细接口!$F$41),"")</f>
        <v>苹果</v>
      </c>
      <c r="G41" s="16" t="str">
        <f>IFERROR(IF([1]对账明细接口!$G$41=0,"",[1]对账明细接口!$G$41),"")</f>
        <v>嘎啦100#</v>
      </c>
      <c r="H41" s="17">
        <f>IFERROR(IF([1]对账明细接口!$H$41=0,"",[1]对账明细接口!$H$41),"")</f>
        <v>55</v>
      </c>
      <c r="I41" s="16" t="str">
        <f>IFERROR(IF([1]对账明细接口!$I$41=0,"",[1]对账明细接口!$I$41),"")</f>
        <v>筐</v>
      </c>
      <c r="J41" s="18">
        <f>IFERROR(IF([1]对账明细接口!$J$41=0,"",[1]对账明细接口!$J$41),"")</f>
        <v>1199</v>
      </c>
      <c r="K41" s="18" t="str">
        <f>IFERROR(IF([1]对账明细接口!$K$41=0,"",[1]对账明细接口!$K$41),"")</f>
        <v/>
      </c>
      <c r="L41" s="16" t="str">
        <f>IFERROR(IF([1]对账明细接口!$L$41=0,"",[1]对账明细接口!$L$41),"")</f>
        <v/>
      </c>
      <c r="M41" s="16" t="str">
        <f>IFERROR(IF([1]对账明细接口!$M$41=0,"",[1]对账明细接口!$M$41),"")</f>
        <v/>
      </c>
      <c r="N41" s="19">
        <f t="shared" si="0"/>
        <v>1</v>
      </c>
      <c r="O41" s="19">
        <f t="shared" si="1"/>
        <v>38</v>
      </c>
      <c r="S41" s="20" t="str">
        <f>IFERROR(IF([1]对账明细接口!$N41=0,"",[1]对账明细接口!$N41),"")</f>
        <v>自备一次性筐</v>
      </c>
      <c r="T41" s="21" t="str">
        <f>IFERROR(IF([1]对账明细接口!$O41=0,"",[1]对账明细接口!$O41),"")</f>
        <v/>
      </c>
      <c r="U41" s="21" t="str">
        <f>IFERROR(IF([1]对账明细接口!$P41=0,"",[1]对账明细接口!$P41),"")</f>
        <v/>
      </c>
      <c r="V41" s="21">
        <f>IFERROR(IF([1]对账明细接口!$Q41=0,"",[1]对账明细接口!$Q41),"")</f>
        <v>55</v>
      </c>
      <c r="W41" s="20" t="str">
        <f>IFERROR(IF([1]对账明细接口!$R41=0,"",[1]对账明细接口!$R41),"")</f>
        <v>苏M*7G796</v>
      </c>
      <c r="X41" s="20" t="str">
        <f>IFERROR(IF([1]对账明细接口!$S41=0,"",[1]对账明细接口!$S41),"")</f>
        <v>自备筐</v>
      </c>
      <c r="Y41" s="20" t="str">
        <f>IFERROR(IF([1]对账明细接口!$T41=0,"",[1]对账明细接口!$T41),"")</f>
        <v/>
      </c>
      <c r="Z41" s="24" t="str">
        <f>IFERROR(IF([1]对账明细接口!$U41=0,"",[1]对账明细接口!$U41),"")</f>
        <v/>
      </c>
      <c r="AA41" s="24" t="str">
        <f>IFERROR(IF([1]对账明细接口!$V41=0,"",[1]对账明细接口!$V41),"")</f>
        <v/>
      </c>
      <c r="AB41" s="20" t="str">
        <f>IFERROR(IF([1]对账明细接口!$W41=0,"",[1]对账明细接口!$W41),"")</f>
        <v/>
      </c>
      <c r="AC41" s="7" t="str">
        <f>IFERROR(IF([1]对账明细接口!$X41=0,"",[1]对账明细接口!$X41),"")</f>
        <v/>
      </c>
      <c r="AD41" s="7" t="str">
        <f>IFERROR(IF([1]对账明细接口!$Y41=0,"",[1]对账明细接口!$Y41),"")</f>
        <v/>
      </c>
      <c r="AE41" s="7" t="str">
        <f>IFERROR(IF([1]对账明细接口!$AA41=0,"",[1]对账明细接口!$AA41),"")</f>
        <v/>
      </c>
      <c r="AF41" s="7" t="str">
        <f>IFERROR(IF([1]对账明细接口!$AB41=0,"",[1]对账明细接口!$AB41),"")</f>
        <v/>
      </c>
      <c r="AG41" s="7" t="str">
        <f>IFERROR(IF([1]对账明细接口!$AC41=0,"",[1]对账明细接口!$AC41),"")</f>
        <v/>
      </c>
      <c r="AH41" s="7" t="str">
        <f>IFERROR(IF([1]对账明细接口!$AD41=0,"",[1]对账明细接口!$AD41),"")</f>
        <v/>
      </c>
      <c r="AI41" s="7" t="str">
        <f>IFERROR(IF([1]对账明细接口!$AE41=0,"",[1]对账明细接口!$AE41),"")</f>
        <v/>
      </c>
      <c r="AJ41" s="7" t="str">
        <f>IFERROR(IF([1]对账明细接口!$AF41=0,"",[1]对账明细接口!$AF41),"")</f>
        <v/>
      </c>
    </row>
    <row r="42" ht="14.25" customHeight="1" spans="1:36">
      <c r="A42" s="14">
        <v>42</v>
      </c>
      <c r="B42" s="15">
        <f>IFERROR(IF([1]对账明细接口!$B$42=0,"",[1]对账明细接口!$B$42),"")</f>
        <v>46258</v>
      </c>
      <c r="C42" s="16" t="str">
        <f>IFERROR(IF([1]对账明细接口!$C$42=0,"",[1]对账明细接口!$C$42),"")</f>
        <v>聂新平</v>
      </c>
      <c r="D42" s="16" t="str">
        <f>IFERROR(IF([1]对账明细接口!$D$42=0,"",[1]对账明细接口!$D$42),"")</f>
        <v>原料入库</v>
      </c>
      <c r="E42" s="16" t="str">
        <f>IFERROR(IF([1]对账明细接口!$E$42=0,"",[1]对账明细接口!$E$42),"")</f>
        <v>NO0000718</v>
      </c>
      <c r="F42" s="16" t="str">
        <f>IFERROR(IF([1]对账明细接口!$F$42=0,"",[1]对账明细接口!$F$42),"")</f>
        <v>苹果</v>
      </c>
      <c r="G42" s="16" t="str">
        <f>IFERROR(IF([1]对账明细接口!$G$42=0,"",[1]对账明细接口!$G$42),"")</f>
        <v>嘎啦85#</v>
      </c>
      <c r="H42" s="17">
        <f>IFERROR(IF([1]对账明细接口!$H$42=0,"",[1]对账明细接口!$H$42),"")</f>
        <v>10</v>
      </c>
      <c r="I42" s="16" t="str">
        <f>IFERROR(IF([1]对账明细接口!$I$42=0,"",[1]对账明细接口!$I$42),"")</f>
        <v>筐</v>
      </c>
      <c r="J42" s="18">
        <f>IFERROR(IF([1]对账明细接口!$J$42=0,"",[1]对账明细接口!$J$42),"")</f>
        <v>218</v>
      </c>
      <c r="K42" s="18" t="str">
        <f>IFERROR(IF([1]对账明细接口!$K$42=0,"",[1]对账明细接口!$K$42),"")</f>
        <v/>
      </c>
      <c r="L42" s="16" t="str">
        <f>IFERROR(IF([1]对账明细接口!$L$42=0,"",[1]对账明细接口!$L$42),"")</f>
        <v/>
      </c>
      <c r="M42" s="16" t="str">
        <f>IFERROR(IF([1]对账明细接口!$M$42=0,"",[1]对账明细接口!$M$42),"")</f>
        <v/>
      </c>
      <c r="N42" s="19">
        <f t="shared" si="0"/>
        <v>1</v>
      </c>
      <c r="O42" s="19">
        <f t="shared" si="1"/>
        <v>39</v>
      </c>
      <c r="S42" s="20" t="str">
        <f>IFERROR(IF([1]对账明细接口!$N42=0,"",[1]对账明细接口!$N42),"")</f>
        <v>自备一次性筐</v>
      </c>
      <c r="T42" s="21" t="str">
        <f>IFERROR(IF([1]对账明细接口!$O42=0,"",[1]对账明细接口!$O42),"")</f>
        <v/>
      </c>
      <c r="U42" s="21" t="str">
        <f>IFERROR(IF([1]对账明细接口!$P42=0,"",[1]对账明细接口!$P42),"")</f>
        <v/>
      </c>
      <c r="V42" s="21">
        <f>IFERROR(IF([1]对账明细接口!$Q42=0,"",[1]对账明细接口!$Q42),"")</f>
        <v>10</v>
      </c>
      <c r="W42" s="20" t="str">
        <f>IFERROR(IF([1]对账明细接口!$R42=0,"",[1]对账明细接口!$R42),"")</f>
        <v>苏M*7G796</v>
      </c>
      <c r="X42" s="20" t="str">
        <f>IFERROR(IF([1]对账明细接口!$S42=0,"",[1]对账明细接口!$S42),"")</f>
        <v>自备筐</v>
      </c>
      <c r="Y42" s="20" t="str">
        <f>IFERROR(IF([1]对账明细接口!$T42=0,"",[1]对账明细接口!$T42),"")</f>
        <v/>
      </c>
      <c r="Z42" s="24" t="str">
        <f>IFERROR(IF([1]对账明细接口!$U42=0,"",[1]对账明细接口!$U42),"")</f>
        <v/>
      </c>
      <c r="AA42" s="24" t="str">
        <f>IFERROR(IF([1]对账明细接口!$V42=0,"",[1]对账明细接口!$V42),"")</f>
        <v/>
      </c>
      <c r="AB42" s="20" t="str">
        <f>IFERROR(IF([1]对账明细接口!$W42=0,"",[1]对账明细接口!$W42),"")</f>
        <v/>
      </c>
      <c r="AC42" s="7" t="str">
        <f>IFERROR(IF([1]对账明细接口!$X42=0,"",[1]对账明细接口!$X42),"")</f>
        <v/>
      </c>
      <c r="AD42" s="7" t="str">
        <f>IFERROR(IF([1]对账明细接口!$Y42=0,"",[1]对账明细接口!$Y42),"")</f>
        <v/>
      </c>
      <c r="AE42" s="7" t="str">
        <f>IFERROR(IF([1]对账明细接口!$AA42=0,"",[1]对账明细接口!$AA42),"")</f>
        <v/>
      </c>
      <c r="AF42" s="7" t="str">
        <f>IFERROR(IF([1]对账明细接口!$AB42=0,"",[1]对账明细接口!$AB42),"")</f>
        <v/>
      </c>
      <c r="AG42" s="7" t="str">
        <f>IFERROR(IF([1]对账明细接口!$AC42=0,"",[1]对账明细接口!$AC42),"")</f>
        <v/>
      </c>
      <c r="AH42" s="7" t="str">
        <f>IFERROR(IF([1]对账明细接口!$AD42=0,"",[1]对账明细接口!$AD42),"")</f>
        <v/>
      </c>
      <c r="AI42" s="7" t="str">
        <f>IFERROR(IF([1]对账明细接口!$AE42=0,"",[1]对账明细接口!$AE42),"")</f>
        <v/>
      </c>
      <c r="AJ42" s="7" t="str">
        <f>IFERROR(IF([1]对账明细接口!$AF42=0,"",[1]对账明细接口!$AF42),"")</f>
        <v/>
      </c>
    </row>
    <row r="43" ht="14.25" customHeight="1" spans="1:36">
      <c r="A43" s="14">
        <v>43</v>
      </c>
      <c r="B43" s="15">
        <f>IFERROR(IF([1]对账明细接口!$B$43=0,"",[1]对账明细接口!$B$43),"")</f>
        <v>46258</v>
      </c>
      <c r="C43" s="16" t="str">
        <f>IFERROR(IF([1]对账明细接口!$C$43=0,"",[1]对账明细接口!$C$43),"")</f>
        <v>聂新平</v>
      </c>
      <c r="D43" s="16" t="str">
        <f>IFERROR(IF([1]对账明细接口!$D$43=0,"",[1]对账明细接口!$D$43),"")</f>
        <v>原料入库</v>
      </c>
      <c r="E43" s="16" t="str">
        <f>IFERROR(IF([1]对账明细接口!$E$43=0,"",[1]对账明细接口!$E$43),"")</f>
        <v>NO0000718</v>
      </c>
      <c r="F43" s="16" t="str">
        <f>IFERROR(IF([1]对账明细接口!$F$43=0,"",[1]对账明细接口!$F$43),"")</f>
        <v>苹果</v>
      </c>
      <c r="G43" s="16" t="str">
        <f>IFERROR(IF([1]对账明细接口!$G$43=0,"",[1]对账明细接口!$G$43),"")</f>
        <v>嘎啦100#</v>
      </c>
      <c r="H43" s="17">
        <f>IFERROR(IF([1]对账明细接口!$H$43=0,"",[1]对账明细接口!$H$43),"")</f>
        <v>19</v>
      </c>
      <c r="I43" s="16" t="str">
        <f>IFERROR(IF([1]对账明细接口!$I$43=0,"",[1]对账明细接口!$I$43),"")</f>
        <v>筐</v>
      </c>
      <c r="J43" s="18">
        <f>IFERROR(IF([1]对账明细接口!$J$43=0,"",[1]对账明细接口!$J$43),"")</f>
        <v>414.2</v>
      </c>
      <c r="K43" s="18" t="str">
        <f>IFERROR(IF([1]对账明细接口!$K$43=0,"",[1]对账明细接口!$K$43),"")</f>
        <v/>
      </c>
      <c r="L43" s="16" t="str">
        <f>IFERROR(IF([1]对账明细接口!$L$43=0,"",[1]对账明细接口!$L$43),"")</f>
        <v/>
      </c>
      <c r="M43" s="16" t="str">
        <f>IFERROR(IF([1]对账明细接口!$M$43=0,"",[1]对账明细接口!$M$43),"")</f>
        <v/>
      </c>
      <c r="N43" s="19">
        <f t="shared" si="0"/>
        <v>1</v>
      </c>
      <c r="O43" s="19">
        <f t="shared" si="1"/>
        <v>40</v>
      </c>
      <c r="S43" s="20" t="str">
        <f>IFERROR(IF([1]对账明细接口!$N43=0,"",[1]对账明细接口!$N43),"")</f>
        <v>自备一次性筐</v>
      </c>
      <c r="T43" s="21" t="str">
        <f>IFERROR(IF([1]对账明细接口!$O43=0,"",[1]对账明细接口!$O43),"")</f>
        <v/>
      </c>
      <c r="U43" s="21" t="str">
        <f>IFERROR(IF([1]对账明细接口!$P43=0,"",[1]对账明细接口!$P43),"")</f>
        <v/>
      </c>
      <c r="V43" s="21">
        <f>IFERROR(IF([1]对账明细接口!$Q43=0,"",[1]对账明细接口!$Q43),"")</f>
        <v>19</v>
      </c>
      <c r="W43" s="20" t="str">
        <f>IFERROR(IF([1]对账明细接口!$R43=0,"",[1]对账明细接口!$R43),"")</f>
        <v>苏M*7G796</v>
      </c>
      <c r="X43" s="20" t="str">
        <f>IFERROR(IF([1]对账明细接口!$S43=0,"",[1]对账明细接口!$S43),"")</f>
        <v>自备筐</v>
      </c>
      <c r="Y43" s="20" t="str">
        <f>IFERROR(IF([1]对账明细接口!$T43=0,"",[1]对账明细接口!$T43),"")</f>
        <v/>
      </c>
      <c r="Z43" s="24" t="str">
        <f>IFERROR(IF([1]对账明细接口!$U43=0,"",[1]对账明细接口!$U43),"")</f>
        <v/>
      </c>
      <c r="AA43" s="24" t="str">
        <f>IFERROR(IF([1]对账明细接口!$V43=0,"",[1]对账明细接口!$V43),"")</f>
        <v/>
      </c>
      <c r="AB43" s="20" t="str">
        <f>IFERROR(IF([1]对账明细接口!$W43=0,"",[1]对账明细接口!$W43),"")</f>
        <v/>
      </c>
      <c r="AC43" s="7" t="str">
        <f>IFERROR(IF([1]对账明细接口!$X43=0,"",[1]对账明细接口!$X43),"")</f>
        <v/>
      </c>
      <c r="AD43" s="7" t="str">
        <f>IFERROR(IF([1]对账明细接口!$Y43=0,"",[1]对账明细接口!$Y43),"")</f>
        <v/>
      </c>
      <c r="AE43" s="7" t="str">
        <f>IFERROR(IF([1]对账明细接口!$AA43=0,"",[1]对账明细接口!$AA43),"")</f>
        <v/>
      </c>
      <c r="AF43" s="7" t="str">
        <f>IFERROR(IF([1]对账明细接口!$AB43=0,"",[1]对账明细接口!$AB43),"")</f>
        <v/>
      </c>
      <c r="AG43" s="7" t="str">
        <f>IFERROR(IF([1]对账明细接口!$AC43=0,"",[1]对账明细接口!$AC43),"")</f>
        <v/>
      </c>
      <c r="AH43" s="7" t="str">
        <f>IFERROR(IF([1]对账明细接口!$AD43=0,"",[1]对账明细接口!$AD43),"")</f>
        <v/>
      </c>
      <c r="AI43" s="7" t="str">
        <f>IFERROR(IF([1]对账明细接口!$AE43=0,"",[1]对账明细接口!$AE43),"")</f>
        <v/>
      </c>
      <c r="AJ43" s="7" t="str">
        <f>IFERROR(IF([1]对账明细接口!$AF43=0,"",[1]对账明细接口!$AF43),"")</f>
        <v/>
      </c>
    </row>
    <row r="44" ht="14.25" customHeight="1" spans="1:36">
      <c r="A44" s="14">
        <v>44</v>
      </c>
      <c r="B44" s="15">
        <f>IFERROR(IF([1]对账明细接口!$B$44=0,"",[1]对账明细接口!$B$44),"")</f>
        <v>46258</v>
      </c>
      <c r="C44" s="16" t="str">
        <f>IFERROR(IF([1]对账明细接口!$C$44=0,"",[1]对账明细接口!$C$44),"")</f>
        <v>聂新平</v>
      </c>
      <c r="D44" s="16" t="str">
        <f>IFERROR(IF([1]对账明细接口!$D$44=0,"",[1]对账明细接口!$D$44),"")</f>
        <v>原料入库</v>
      </c>
      <c r="E44" s="16" t="str">
        <f>IFERROR(IF([1]对账明细接口!$E$44=0,"",[1]对账明细接口!$E$44),"")</f>
        <v>NO0000719</v>
      </c>
      <c r="F44" s="16" t="str">
        <f>IFERROR(IF([1]对账明细接口!$F$44=0,"",[1]对账明细接口!$F$44),"")</f>
        <v>苹果</v>
      </c>
      <c r="G44" s="16" t="str">
        <f>IFERROR(IF([1]对账明细接口!$G$44=0,"",[1]对账明细接口!$G$44),"")</f>
        <v>嘎啦85#</v>
      </c>
      <c r="H44" s="17">
        <f>IFERROR(IF([1]对账明细接口!$H$44=0,"",[1]对账明细接口!$H$44),"")</f>
        <v>141</v>
      </c>
      <c r="I44" s="16" t="str">
        <f>IFERROR(IF([1]对账明细接口!$I$44=0,"",[1]对账明细接口!$I$44),"")</f>
        <v>筐</v>
      </c>
      <c r="J44" s="18">
        <f>IFERROR(IF([1]对账明细接口!$J$44=0,"",[1]对账明细接口!$J$44),"")</f>
        <v>3073.8</v>
      </c>
      <c r="K44" s="18" t="str">
        <f>IFERROR(IF([1]对账明细接口!$K$44=0,"",[1]对账明细接口!$K$44),"")</f>
        <v/>
      </c>
      <c r="L44" s="16" t="str">
        <f>IFERROR(IF([1]对账明细接口!$L$44=0,"",[1]对账明细接口!$L$44),"")</f>
        <v/>
      </c>
      <c r="M44" s="16" t="str">
        <f>IFERROR(IF([1]对账明细接口!$M$44=0,"",[1]对账明细接口!$M$44),"")</f>
        <v/>
      </c>
      <c r="N44" s="19">
        <f t="shared" si="0"/>
        <v>1</v>
      </c>
      <c r="O44" s="19">
        <f t="shared" si="1"/>
        <v>41</v>
      </c>
      <c r="S44" s="20" t="str">
        <f>IFERROR(IF([1]对账明细接口!$N44=0,"",[1]对账明细接口!$N44),"")</f>
        <v>自备一次性筐</v>
      </c>
      <c r="T44" s="21" t="str">
        <f>IFERROR(IF([1]对账明细接口!$O44=0,"",[1]对账明细接口!$O44),"")</f>
        <v/>
      </c>
      <c r="U44" s="21" t="str">
        <f>IFERROR(IF([1]对账明细接口!$P44=0,"",[1]对账明细接口!$P44),"")</f>
        <v/>
      </c>
      <c r="V44" s="21">
        <f>IFERROR(IF([1]对账明细接口!$Q44=0,"",[1]对账明细接口!$Q44),"")</f>
        <v>141</v>
      </c>
      <c r="W44" s="20" t="str">
        <f>IFERROR(IF([1]对账明细接口!$R44=0,"",[1]对账明细接口!$R44),"")</f>
        <v>新N*E3V16</v>
      </c>
      <c r="X44" s="20" t="str">
        <f>IFERROR(IF([1]对账明细接口!$S44=0,"",[1]对账明细接口!$S44),"")</f>
        <v>自备筐</v>
      </c>
      <c r="Y44" s="20" t="str">
        <f>IFERROR(IF([1]对账明细接口!$T44=0,"",[1]对账明细接口!$T44),"")</f>
        <v/>
      </c>
      <c r="Z44" s="24" t="str">
        <f>IFERROR(IF([1]对账明细接口!$U44=0,"",[1]对账明细接口!$U44),"")</f>
        <v/>
      </c>
      <c r="AA44" s="24" t="str">
        <f>IFERROR(IF([1]对账明细接口!$V44=0,"",[1]对账明细接口!$V44),"")</f>
        <v/>
      </c>
      <c r="AB44" s="20" t="str">
        <f>IFERROR(IF([1]对账明细接口!$W44=0,"",[1]对账明细接口!$W44),"")</f>
        <v/>
      </c>
      <c r="AC44" s="7" t="str">
        <f>IFERROR(IF([1]对账明细接口!$X44=0,"",[1]对账明细接口!$X44),"")</f>
        <v/>
      </c>
      <c r="AD44" s="7" t="str">
        <f>IFERROR(IF([1]对账明细接口!$Y44=0,"",[1]对账明细接口!$Y44),"")</f>
        <v/>
      </c>
      <c r="AE44" s="7" t="str">
        <f>IFERROR(IF([1]对账明细接口!$AA44=0,"",[1]对账明细接口!$AA44),"")</f>
        <v/>
      </c>
      <c r="AF44" s="7" t="str">
        <f>IFERROR(IF([1]对账明细接口!$AB44=0,"",[1]对账明细接口!$AB44),"")</f>
        <v/>
      </c>
      <c r="AG44" s="7" t="str">
        <f>IFERROR(IF([1]对账明细接口!$AC44=0,"",[1]对账明细接口!$AC44),"")</f>
        <v/>
      </c>
      <c r="AH44" s="7" t="str">
        <f>IFERROR(IF([1]对账明细接口!$AD44=0,"",[1]对账明细接口!$AD44),"")</f>
        <v/>
      </c>
      <c r="AI44" s="7" t="str">
        <f>IFERROR(IF([1]对账明细接口!$AE44=0,"",[1]对账明细接口!$AE44),"")</f>
        <v/>
      </c>
      <c r="AJ44" s="7" t="str">
        <f>IFERROR(IF([1]对账明细接口!$AF44=0,"",[1]对账明细接口!$AF44),"")</f>
        <v/>
      </c>
    </row>
    <row r="45" ht="14.25" customHeight="1" spans="1:36">
      <c r="A45" s="14">
        <v>45</v>
      </c>
      <c r="B45" s="15">
        <f>IFERROR(IF([1]对账明细接口!$B$45=0,"",[1]对账明细接口!$B$45),"")</f>
        <v>46258</v>
      </c>
      <c r="C45" s="16" t="str">
        <f>IFERROR(IF([1]对账明细接口!$C$45=0,"",[1]对账明细接口!$C$45),"")</f>
        <v>聂新平</v>
      </c>
      <c r="D45" s="16" t="str">
        <f>IFERROR(IF([1]对账明细接口!$D$45=0,"",[1]对账明细接口!$D$45),"")</f>
        <v>原料入库</v>
      </c>
      <c r="E45" s="16" t="str">
        <f>IFERROR(IF([1]对账明细接口!$E$45=0,"",[1]对账明细接口!$E$45),"")</f>
        <v>NO0000719</v>
      </c>
      <c r="F45" s="16" t="str">
        <f>IFERROR(IF([1]对账明细接口!$F$45=0,"",[1]对账明细接口!$F$45),"")</f>
        <v>苹果</v>
      </c>
      <c r="G45" s="16" t="str">
        <f>IFERROR(IF([1]对账明细接口!$G$45=0,"",[1]对账明细接口!$G$45),"")</f>
        <v>嘎啦100#</v>
      </c>
      <c r="H45" s="17">
        <f>IFERROR(IF([1]对账明细接口!$H$45=0,"",[1]对账明细接口!$H$45),"")</f>
        <v>233</v>
      </c>
      <c r="I45" s="16" t="str">
        <f>IFERROR(IF([1]对账明细接口!$I$45=0,"",[1]对账明细接口!$I$45),"")</f>
        <v>筐</v>
      </c>
      <c r="J45" s="18">
        <f>IFERROR(IF([1]对账明细接口!$J$45=0,"",[1]对账明细接口!$J$45),"")</f>
        <v>5079.4</v>
      </c>
      <c r="K45" s="18" t="str">
        <f>IFERROR(IF([1]对账明细接口!$K$45=0,"",[1]对账明细接口!$K$45),"")</f>
        <v/>
      </c>
      <c r="L45" s="16" t="str">
        <f>IFERROR(IF([1]对账明细接口!$L$45=0,"",[1]对账明细接口!$L$45),"")</f>
        <v/>
      </c>
      <c r="M45" s="16" t="str">
        <f>IFERROR(IF([1]对账明细接口!$M$45=0,"",[1]对账明细接口!$M$45),"")</f>
        <v/>
      </c>
      <c r="N45" s="19">
        <f t="shared" si="0"/>
        <v>1</v>
      </c>
      <c r="O45" s="19">
        <f t="shared" si="1"/>
        <v>42</v>
      </c>
      <c r="S45" s="20" t="str">
        <f>IFERROR(IF([1]对账明细接口!$N45=0,"",[1]对账明细接口!$N45),"")</f>
        <v>自备一次性筐</v>
      </c>
      <c r="T45" s="21" t="str">
        <f>IFERROR(IF([1]对账明细接口!$O45=0,"",[1]对账明细接口!$O45),"")</f>
        <v/>
      </c>
      <c r="U45" s="21" t="str">
        <f>IFERROR(IF([1]对账明细接口!$P45=0,"",[1]对账明细接口!$P45),"")</f>
        <v/>
      </c>
      <c r="V45" s="21">
        <f>IFERROR(IF([1]对账明细接口!$Q45=0,"",[1]对账明细接口!$Q45),"")</f>
        <v>233</v>
      </c>
      <c r="W45" s="20" t="str">
        <f>IFERROR(IF([1]对账明细接口!$R45=0,"",[1]对账明细接口!$R45),"")</f>
        <v>新N*E3V16</v>
      </c>
      <c r="X45" s="20" t="str">
        <f>IFERROR(IF([1]对账明细接口!$S45=0,"",[1]对账明细接口!$S45),"")</f>
        <v>自备筐</v>
      </c>
      <c r="Y45" s="20" t="str">
        <f>IFERROR(IF([1]对账明细接口!$T45=0,"",[1]对账明细接口!$T45),"")</f>
        <v/>
      </c>
      <c r="Z45" s="24" t="str">
        <f>IFERROR(IF([1]对账明细接口!$U45=0,"",[1]对账明细接口!$U45),"")</f>
        <v/>
      </c>
      <c r="AA45" s="24" t="str">
        <f>IFERROR(IF([1]对账明细接口!$V45=0,"",[1]对账明细接口!$V45),"")</f>
        <v/>
      </c>
      <c r="AB45" s="20" t="str">
        <f>IFERROR(IF([1]对账明细接口!$W45=0,"",[1]对账明细接口!$W45),"")</f>
        <v/>
      </c>
      <c r="AC45" s="7" t="str">
        <f>IFERROR(IF([1]对账明细接口!$X45=0,"",[1]对账明细接口!$X45),"")</f>
        <v/>
      </c>
      <c r="AD45" s="7" t="str">
        <f>IFERROR(IF([1]对账明细接口!$Y45=0,"",[1]对账明细接口!$Y45),"")</f>
        <v/>
      </c>
      <c r="AE45" s="7" t="str">
        <f>IFERROR(IF([1]对账明细接口!$AA45=0,"",[1]对账明细接口!$AA45),"")</f>
        <v/>
      </c>
      <c r="AF45" s="7" t="str">
        <f>IFERROR(IF([1]对账明细接口!$AB45=0,"",[1]对账明细接口!$AB45),"")</f>
        <v/>
      </c>
      <c r="AG45" s="7" t="str">
        <f>IFERROR(IF([1]对账明细接口!$AC45=0,"",[1]对账明细接口!$AC45),"")</f>
        <v/>
      </c>
      <c r="AH45" s="7" t="str">
        <f>IFERROR(IF([1]对账明细接口!$AD45=0,"",[1]对账明细接口!$AD45),"")</f>
        <v/>
      </c>
      <c r="AI45" s="7" t="str">
        <f>IFERROR(IF([1]对账明细接口!$AE45=0,"",[1]对账明细接口!$AE45),"")</f>
        <v/>
      </c>
      <c r="AJ45" s="7" t="str">
        <f>IFERROR(IF([1]对账明细接口!$AF45=0,"",[1]对账明细接口!$AF45),"")</f>
        <v/>
      </c>
    </row>
    <row r="46" ht="14.25" customHeight="1" spans="1:36">
      <c r="A46" s="14">
        <v>46</v>
      </c>
      <c r="B46" s="15">
        <f>IFERROR(IF([1]对账明细接口!$B$46=0,"",[1]对账明细接口!$B$46),"")</f>
        <v>46258</v>
      </c>
      <c r="C46" s="16" t="str">
        <f>IFERROR(IF([1]对账明细接口!$C$46=0,"",[1]对账明细接口!$C$46),"")</f>
        <v>王照雪</v>
      </c>
      <c r="D46" s="16" t="str">
        <f>IFERROR(IF([1]对账明细接口!$D$46=0,"",[1]对账明细接口!$D$46),"")</f>
        <v>原料入库</v>
      </c>
      <c r="E46" s="16" t="str">
        <f>IFERROR(IF([1]对账明细接口!$E$46=0,"",[1]对账明细接口!$E$46),"")</f>
        <v>NO0000721</v>
      </c>
      <c r="F46" s="16" t="str">
        <f>IFERROR(IF([1]对账明细接口!$F$46=0,"",[1]对账明细接口!$F$46),"")</f>
        <v>苹果</v>
      </c>
      <c r="G46" s="16" t="str">
        <f>IFERROR(IF([1]对账明细接口!$G$46=0,"",[1]对账明细接口!$G$46),"")</f>
        <v>华硕一级</v>
      </c>
      <c r="H46" s="17">
        <f>IFERROR(IF([1]对账明细接口!$H$46=0,"",[1]对账明细接口!$H$46),"")</f>
        <v>136</v>
      </c>
      <c r="I46" s="16" t="str">
        <f>IFERROR(IF([1]对账明细接口!$I$46=0,"",[1]对账明细接口!$I$46),"")</f>
        <v>筐</v>
      </c>
      <c r="J46" s="18">
        <f>IFERROR(IF([1]对账明细接口!$J$46=0,"",[1]对账明细接口!$J$46),"")</f>
        <v>2352.8</v>
      </c>
      <c r="K46" s="18" t="str">
        <f>IFERROR(IF([1]对账明细接口!$K$46=0,"",[1]对账明细接口!$K$46),"")</f>
        <v/>
      </c>
      <c r="L46" s="16" t="str">
        <f>IFERROR(IF([1]对账明细接口!$L$46=0,"",[1]对账明细接口!$L$46),"")</f>
        <v/>
      </c>
      <c r="M46" s="16" t="str">
        <f>IFERROR(IF([1]对账明细接口!$M$46=0,"",[1]对账明细接口!$M$46),"")</f>
        <v/>
      </c>
      <c r="N46" s="19">
        <f t="shared" si="0"/>
        <v>1</v>
      </c>
      <c r="O46" s="19">
        <f t="shared" si="1"/>
        <v>43</v>
      </c>
      <c r="S46" s="20" t="str">
        <f>IFERROR(IF([1]对账明细接口!$N46=0,"",[1]对账明细接口!$N46),"")</f>
        <v>公司杂周转筐</v>
      </c>
      <c r="T46" s="21" t="str">
        <f>IFERROR(IF([1]对账明细接口!$O46=0,"",[1]对账明细接口!$O46),"")</f>
        <v/>
      </c>
      <c r="U46" s="21" t="str">
        <f>IFERROR(IF([1]对账明细接口!$P46=0,"",[1]对账明细接口!$P46),"")</f>
        <v/>
      </c>
      <c r="V46" s="21">
        <f>IFERROR(IF([1]对账明细接口!$Q46=0,"",[1]对账明细接口!$Q46),"")</f>
        <v>136</v>
      </c>
      <c r="W46" s="20" t="str">
        <f>IFERROR(IF([1]对账明细接口!$R46=0,"",[1]对账明细接口!$R46),"")</f>
        <v>豫L*88X19</v>
      </c>
      <c r="X46" s="20" t="str">
        <f>IFERROR(IF([1]对账明细接口!$S46=0,"",[1]对账明细接口!$S46),"")</f>
        <v>公司筐</v>
      </c>
      <c r="Y46" s="20" t="str">
        <f>IFERROR(IF([1]对账明细接口!$T46=0,"",[1]对账明细接口!$T46),"")</f>
        <v/>
      </c>
      <c r="Z46" s="24" t="str">
        <f>IFERROR(IF([1]对账明细接口!$U46=0,"",[1]对账明细接口!$U46),"")</f>
        <v/>
      </c>
      <c r="AA46" s="24" t="str">
        <f>IFERROR(IF([1]对账明细接口!$V46=0,"",[1]对账明细接口!$V46),"")</f>
        <v/>
      </c>
      <c r="AB46" s="20" t="str">
        <f>IFERROR(IF([1]对账明细接口!$W46=0,"",[1]对账明细接口!$W46),"")</f>
        <v/>
      </c>
      <c r="AC46" s="7" t="str">
        <f>IFERROR(IF([1]对账明细接口!$X46=0,"",[1]对账明细接口!$X46),"")</f>
        <v/>
      </c>
      <c r="AD46" s="7" t="str">
        <f>IFERROR(IF([1]对账明细接口!$Y46=0,"",[1]对账明细接口!$Y46),"")</f>
        <v/>
      </c>
      <c r="AE46" s="7" t="str">
        <f>IFERROR(IF([1]对账明细接口!$AA46=0,"",[1]对账明细接口!$AA46),"")</f>
        <v/>
      </c>
      <c r="AF46" s="7" t="str">
        <f>IFERROR(IF([1]对账明细接口!$AB46=0,"",[1]对账明细接口!$AB46),"")</f>
        <v/>
      </c>
      <c r="AG46" s="7" t="str">
        <f>IFERROR(IF([1]对账明细接口!$AC46=0,"",[1]对账明细接口!$AC46),"")</f>
        <v/>
      </c>
      <c r="AH46" s="7" t="str">
        <f>IFERROR(IF([1]对账明细接口!$AD46=0,"",[1]对账明细接口!$AD46),"")</f>
        <v/>
      </c>
      <c r="AI46" s="7" t="str">
        <f>IFERROR(IF([1]对账明细接口!$AE46=0,"",[1]对账明细接口!$AE46),"")</f>
        <v/>
      </c>
      <c r="AJ46" s="7" t="str">
        <f>IFERROR(IF([1]对账明细接口!$AF46=0,"",[1]对账明细接口!$AF46),"")</f>
        <v/>
      </c>
    </row>
    <row r="47" ht="14.25" customHeight="1" spans="1:36">
      <c r="A47" s="14">
        <v>47</v>
      </c>
      <c r="B47" s="15">
        <f>IFERROR(IF([1]对账明细接口!$B$47=0,"",[1]对账明细接口!$B$47),"")</f>
        <v>46258</v>
      </c>
      <c r="C47" s="16" t="str">
        <f>IFERROR(IF([1]对账明细接口!$C$47=0,"",[1]对账明细接口!$C$47),"")</f>
        <v>王照雪</v>
      </c>
      <c r="D47" s="16" t="str">
        <f>IFERROR(IF([1]对账明细接口!$D$47=0,"",[1]对账明细接口!$D$47),"")</f>
        <v>原料入库</v>
      </c>
      <c r="E47" s="16" t="str">
        <f>IFERROR(IF([1]对账明细接口!$E$47=0,"",[1]对账明细接口!$E$47),"")</f>
        <v>NO0000721</v>
      </c>
      <c r="F47" s="16" t="str">
        <f>IFERROR(IF([1]对账明细接口!$F$47=0,"",[1]对账明细接口!$F$47),"")</f>
        <v>苹果</v>
      </c>
      <c r="G47" s="16" t="str">
        <f>IFERROR(IF([1]对账明细接口!$G$47=0,"",[1]对账明细接口!$G$47),"")</f>
        <v>华硕二级</v>
      </c>
      <c r="H47" s="17">
        <f>IFERROR(IF([1]对账明细接口!$H$47=0,"",[1]对账明细接口!$H$47),"")</f>
        <v>66</v>
      </c>
      <c r="I47" s="16" t="str">
        <f>IFERROR(IF([1]对账明细接口!$I$47=0,"",[1]对账明细接口!$I$47),"")</f>
        <v>筐</v>
      </c>
      <c r="J47" s="18">
        <f>IFERROR(IF([1]对账明细接口!$J$47=0,"",[1]对账明细接口!$J$47),"")</f>
        <v>1075.8</v>
      </c>
      <c r="K47" s="18" t="str">
        <f>IFERROR(IF([1]对账明细接口!$K$47=0,"",[1]对账明细接口!$K$47),"")</f>
        <v/>
      </c>
      <c r="L47" s="16" t="str">
        <f>IFERROR(IF([1]对账明细接口!$L$47=0,"",[1]对账明细接口!$L$47),"")</f>
        <v/>
      </c>
      <c r="M47" s="16" t="str">
        <f>IFERROR(IF([1]对账明细接口!$M$47=0,"",[1]对账明细接口!$M$47),"")</f>
        <v/>
      </c>
      <c r="N47" s="19">
        <f t="shared" si="0"/>
        <v>1</v>
      </c>
      <c r="O47" s="19">
        <f t="shared" si="1"/>
        <v>44</v>
      </c>
      <c r="S47" s="20" t="str">
        <f>IFERROR(IF([1]对账明细接口!$N47=0,"",[1]对账明细接口!$N47),"")</f>
        <v>公司杂周转筐</v>
      </c>
      <c r="T47" s="21" t="str">
        <f>IFERROR(IF([1]对账明细接口!$O47=0,"",[1]对账明细接口!$O47),"")</f>
        <v/>
      </c>
      <c r="U47" s="21" t="str">
        <f>IFERROR(IF([1]对账明细接口!$P47=0,"",[1]对账明细接口!$P47),"")</f>
        <v/>
      </c>
      <c r="V47" s="21">
        <f>IFERROR(IF([1]对账明细接口!$Q47=0,"",[1]对账明细接口!$Q47),"")</f>
        <v>66</v>
      </c>
      <c r="W47" s="20" t="str">
        <f>IFERROR(IF([1]对账明细接口!$R47=0,"",[1]对账明细接口!$R47),"")</f>
        <v>豫L*88X19</v>
      </c>
      <c r="X47" s="20" t="str">
        <f>IFERROR(IF([1]对账明细接口!$S47=0,"",[1]对账明细接口!$S47),"")</f>
        <v>公司筐</v>
      </c>
      <c r="Y47" s="20" t="str">
        <f>IFERROR(IF([1]对账明细接口!$T47=0,"",[1]对账明细接口!$T47),"")</f>
        <v/>
      </c>
      <c r="Z47" s="24" t="str">
        <f>IFERROR(IF([1]对账明细接口!$U47=0,"",[1]对账明细接口!$U47),"")</f>
        <v/>
      </c>
      <c r="AA47" s="24" t="str">
        <f>IFERROR(IF([1]对账明细接口!$V47=0,"",[1]对账明细接口!$V47),"")</f>
        <v/>
      </c>
      <c r="AB47" s="20" t="str">
        <f>IFERROR(IF([1]对账明细接口!$W47=0,"",[1]对账明细接口!$W47),"")</f>
        <v/>
      </c>
      <c r="AC47" s="7" t="str">
        <f>IFERROR(IF([1]对账明细接口!$X47=0,"",[1]对账明细接口!$X47),"")</f>
        <v/>
      </c>
      <c r="AD47" s="7" t="str">
        <f>IFERROR(IF([1]对账明细接口!$Y47=0,"",[1]对账明细接口!$Y47),"")</f>
        <v/>
      </c>
      <c r="AE47" s="7" t="str">
        <f>IFERROR(IF([1]对账明细接口!$AA47=0,"",[1]对账明细接口!$AA47),"")</f>
        <v/>
      </c>
      <c r="AF47" s="7" t="str">
        <f>IFERROR(IF([1]对账明细接口!$AB47=0,"",[1]对账明细接口!$AB47),"")</f>
        <v/>
      </c>
      <c r="AG47" s="7" t="str">
        <f>IFERROR(IF([1]对账明细接口!$AC47=0,"",[1]对账明细接口!$AC47),"")</f>
        <v/>
      </c>
      <c r="AH47" s="7" t="str">
        <f>IFERROR(IF([1]对账明细接口!$AD47=0,"",[1]对账明细接口!$AD47),"")</f>
        <v/>
      </c>
      <c r="AI47" s="7" t="str">
        <f>IFERROR(IF([1]对账明细接口!$AE47=0,"",[1]对账明细接口!$AE47),"")</f>
        <v/>
      </c>
      <c r="AJ47" s="7" t="str">
        <f>IFERROR(IF([1]对账明细接口!$AF47=0,"",[1]对账明细接口!$AF47),"")</f>
        <v/>
      </c>
    </row>
    <row r="48" ht="14.25" customHeight="1" spans="1:36">
      <c r="A48" s="14">
        <v>48</v>
      </c>
      <c r="B48" s="15">
        <f>IFERROR(IF([1]对账明细接口!$B$48=0,"",[1]对账明细接口!$B$48),"")</f>
        <v>46258</v>
      </c>
      <c r="C48" s="16" t="str">
        <f>IFERROR(IF([1]对账明细接口!$C$48=0,"",[1]对账明细接口!$C$48),"")</f>
        <v>王照雪</v>
      </c>
      <c r="D48" s="16" t="str">
        <f>IFERROR(IF([1]对账明细接口!$D$48=0,"",[1]对账明细接口!$D$48),"")</f>
        <v>原料入库</v>
      </c>
      <c r="E48" s="16" t="str">
        <f>IFERROR(IF([1]对账明细接口!$E$48=0,"",[1]对账明细接口!$E$48),"")</f>
        <v>NO0000721</v>
      </c>
      <c r="F48" s="16" t="str">
        <f>IFERROR(IF([1]对账明细接口!$F$48=0,"",[1]对账明细接口!$F$48),"")</f>
        <v>苹果</v>
      </c>
      <c r="G48" s="16" t="str">
        <f>IFERROR(IF([1]对账明细接口!$G$48=0,"",[1]对账明细接口!$G$48),"")</f>
        <v>华硕高次</v>
      </c>
      <c r="H48" s="17">
        <f>IFERROR(IF([1]对账明细接口!$H$48=0,"",[1]对账明细接口!$H$48),"")</f>
        <v>48</v>
      </c>
      <c r="I48" s="16" t="str">
        <f>IFERROR(IF([1]对账明细接口!$I$48=0,"",[1]对账明细接口!$I$48),"")</f>
        <v>筐</v>
      </c>
      <c r="J48" s="18">
        <f>IFERROR(IF([1]对账明细接口!$J$48=0,"",[1]对账明细接口!$J$48),"")</f>
        <v>830.4</v>
      </c>
      <c r="K48" s="18" t="str">
        <f>IFERROR(IF([1]对账明细接口!$K$48=0,"",[1]对账明细接口!$K$48),"")</f>
        <v/>
      </c>
      <c r="L48" s="16" t="str">
        <f>IFERROR(IF([1]对账明细接口!$L$48=0,"",[1]对账明细接口!$L$48),"")</f>
        <v/>
      </c>
      <c r="M48" s="16" t="str">
        <f>IFERROR(IF([1]对账明细接口!$M$48=0,"",[1]对账明细接口!$M$48),"")</f>
        <v/>
      </c>
      <c r="N48" s="19">
        <f t="shared" si="0"/>
        <v>1</v>
      </c>
      <c r="O48" s="19">
        <f t="shared" si="1"/>
        <v>45</v>
      </c>
      <c r="S48" s="20" t="str">
        <f>IFERROR(IF([1]对账明细接口!$N48=0,"",[1]对账明细接口!$N48),"")</f>
        <v>公司杂周转筐</v>
      </c>
      <c r="T48" s="21" t="str">
        <f>IFERROR(IF([1]对账明细接口!$O48=0,"",[1]对账明细接口!$O48),"")</f>
        <v/>
      </c>
      <c r="U48" s="21" t="str">
        <f>IFERROR(IF([1]对账明细接口!$P48=0,"",[1]对账明细接口!$P48),"")</f>
        <v/>
      </c>
      <c r="V48" s="21">
        <f>IFERROR(IF([1]对账明细接口!$Q48=0,"",[1]对账明细接口!$Q48),"")</f>
        <v>48</v>
      </c>
      <c r="W48" s="20" t="str">
        <f>IFERROR(IF([1]对账明细接口!$R48=0,"",[1]对账明细接口!$R48),"")</f>
        <v>豫L*88X19</v>
      </c>
      <c r="X48" s="20" t="str">
        <f>IFERROR(IF([1]对账明细接口!$S48=0,"",[1]对账明细接口!$S48),"")</f>
        <v>公司筐</v>
      </c>
      <c r="Y48" s="20" t="str">
        <f>IFERROR(IF([1]对账明细接口!$T48=0,"",[1]对账明细接口!$T48),"")</f>
        <v/>
      </c>
      <c r="Z48" s="24" t="str">
        <f>IFERROR(IF([1]对账明细接口!$U48=0,"",[1]对账明细接口!$U48),"")</f>
        <v/>
      </c>
      <c r="AA48" s="24" t="str">
        <f>IFERROR(IF([1]对账明细接口!$V48=0,"",[1]对账明细接口!$V48),"")</f>
        <v/>
      </c>
      <c r="AB48" s="20" t="str">
        <f>IFERROR(IF([1]对账明细接口!$W48=0,"",[1]对账明细接口!$W48),"")</f>
        <v/>
      </c>
      <c r="AC48" s="7" t="str">
        <f>IFERROR(IF([1]对账明细接口!$X48=0,"",[1]对账明细接口!$X48),"")</f>
        <v/>
      </c>
      <c r="AD48" s="7" t="str">
        <f>IFERROR(IF([1]对账明细接口!$Y48=0,"",[1]对账明细接口!$Y48),"")</f>
        <v/>
      </c>
      <c r="AE48" s="7" t="str">
        <f>IFERROR(IF([1]对账明细接口!$AA48=0,"",[1]对账明细接口!$AA48),"")</f>
        <v/>
      </c>
      <c r="AF48" s="7" t="str">
        <f>IFERROR(IF([1]对账明细接口!$AB48=0,"",[1]对账明细接口!$AB48),"")</f>
        <v/>
      </c>
      <c r="AG48" s="7" t="str">
        <f>IFERROR(IF([1]对账明细接口!$AC48=0,"",[1]对账明细接口!$AC48),"")</f>
        <v/>
      </c>
      <c r="AH48" s="7" t="str">
        <f>IFERROR(IF([1]对账明细接口!$AD48=0,"",[1]对账明细接口!$AD48),"")</f>
        <v/>
      </c>
      <c r="AI48" s="7" t="str">
        <f>IFERROR(IF([1]对账明细接口!$AE48=0,"",[1]对账明细接口!$AE48),"")</f>
        <v/>
      </c>
      <c r="AJ48" s="7" t="str">
        <f>IFERROR(IF([1]对账明细接口!$AF48=0,"",[1]对账明细接口!$AF48),"")</f>
        <v/>
      </c>
    </row>
    <row r="49" ht="14.25" customHeight="1" spans="1:36">
      <c r="A49" s="14">
        <v>49</v>
      </c>
      <c r="B49" s="15">
        <f>IFERROR(IF([1]对账明细接口!$B$49=0,"",[1]对账明细接口!$B$49),"")</f>
        <v>46259</v>
      </c>
      <c r="C49" s="16" t="str">
        <f>IFERROR(IF([1]对账明细接口!$C$49=0,"",[1]对账明细接口!$C$49),"")</f>
        <v>马锦祥</v>
      </c>
      <c r="D49" s="16" t="str">
        <f>IFERROR(IF([1]对账明细接口!$D$49=0,"",[1]对账明细接口!$D$49),"")</f>
        <v>原料入库</v>
      </c>
      <c r="E49" s="16" t="str">
        <f>IFERROR(IF([1]对账明细接口!$E$49=0,"",[1]对账明细接口!$E$49),"")</f>
        <v>NO0000727</v>
      </c>
      <c r="F49" s="16" t="str">
        <f>IFERROR(IF([1]对账明细接口!$F$49=0,"",[1]对账明细接口!$F$49),"")</f>
        <v>苹果</v>
      </c>
      <c r="G49" s="16" t="str">
        <f>IFERROR(IF([1]对账明细接口!$G$49=0,"",[1]对账明细接口!$G$49),"")</f>
        <v>海棠果</v>
      </c>
      <c r="H49" s="17">
        <f>IFERROR(IF([1]对账明细接口!$H$49=0,"",[1]对账明细接口!$H$49),"")</f>
        <v>68</v>
      </c>
      <c r="I49" s="16" t="str">
        <f>IFERROR(IF([1]对账明细接口!$I$49=0,"",[1]对账明细接口!$I$49),"")</f>
        <v>筐</v>
      </c>
      <c r="J49" s="18">
        <f>IFERROR(IF([1]对账明细接口!$J$49=0,"",[1]对账明细接口!$J$49),"")</f>
        <v>204</v>
      </c>
      <c r="K49" s="18" t="str">
        <f>IFERROR(IF([1]对账明细接口!$K$49=0,"",[1]对账明细接口!$K$49),"")</f>
        <v/>
      </c>
      <c r="L49" s="16" t="str">
        <f>IFERROR(IF([1]对账明细接口!$L$49=0,"",[1]对账明细接口!$L$49),"")</f>
        <v/>
      </c>
      <c r="M49" s="16" t="str">
        <f>IFERROR(IF([1]对账明细接口!$M$49=0,"",[1]对账明细接口!$M$49),"")</f>
        <v/>
      </c>
      <c r="N49" s="19">
        <f t="shared" si="0"/>
        <v>1</v>
      </c>
      <c r="O49" s="19">
        <f t="shared" si="1"/>
        <v>46</v>
      </c>
      <c r="S49" s="20" t="str">
        <f>IFERROR(IF([1]对账明细接口!$N49=0,"",[1]对账明细接口!$N49),"")</f>
        <v>自备一次性筐</v>
      </c>
      <c r="T49" s="21" t="str">
        <f>IFERROR(IF([1]对账明细接口!$O49=0,"",[1]对账明细接口!$O49),"")</f>
        <v/>
      </c>
      <c r="U49" s="21" t="str">
        <f>IFERROR(IF([1]对账明细接口!$P49=0,"",[1]对账明细接口!$P49),"")</f>
        <v/>
      </c>
      <c r="V49" s="21">
        <f>IFERROR(IF([1]对账明细接口!$Q49=0,"",[1]对账明细接口!$Q49),"")</f>
        <v>68</v>
      </c>
      <c r="W49" s="20" t="str">
        <f>IFERROR(IF([1]对账明细接口!$R49=0,"",[1]对账明细接口!$R49),"")</f>
        <v>新N*B6R39</v>
      </c>
      <c r="X49" s="20" t="str">
        <f>IFERROR(IF([1]对账明细接口!$S49=0,"",[1]对账明细接口!$S49),"")</f>
        <v>自备筐</v>
      </c>
      <c r="Y49" s="20" t="str">
        <f>IFERROR(IF([1]对账明细接口!$T49=0,"",[1]对账明细接口!$T49),"")</f>
        <v/>
      </c>
      <c r="Z49" s="24" t="str">
        <f>IFERROR(IF([1]对账明细接口!$U49=0,"",[1]对账明细接口!$U49),"")</f>
        <v/>
      </c>
      <c r="AA49" s="24" t="str">
        <f>IFERROR(IF([1]对账明细接口!$V49=0,"",[1]对账明细接口!$V49),"")</f>
        <v/>
      </c>
      <c r="AB49" s="20" t="str">
        <f>IFERROR(IF([1]对账明细接口!$W49=0,"",[1]对账明细接口!$W49),"")</f>
        <v/>
      </c>
      <c r="AC49" s="7" t="str">
        <f>IFERROR(IF([1]对账明细接口!$X49=0,"",[1]对账明细接口!$X49),"")</f>
        <v/>
      </c>
      <c r="AD49" s="7" t="str">
        <f>IFERROR(IF([1]对账明细接口!$Y49=0,"",[1]对账明细接口!$Y49),"")</f>
        <v/>
      </c>
      <c r="AE49" s="7" t="str">
        <f>IFERROR(IF([1]对账明细接口!$AA49=0,"",[1]对账明细接口!$AA49),"")</f>
        <v/>
      </c>
      <c r="AF49" s="7" t="str">
        <f>IFERROR(IF([1]对账明细接口!$AB49=0,"",[1]对账明细接口!$AB49),"")</f>
        <v/>
      </c>
      <c r="AG49" s="7" t="str">
        <f>IFERROR(IF([1]对账明细接口!$AC49=0,"",[1]对账明细接口!$AC49),"")</f>
        <v/>
      </c>
      <c r="AH49" s="7" t="str">
        <f>IFERROR(IF([1]对账明细接口!$AD49=0,"",[1]对账明细接口!$AD49),"")</f>
        <v/>
      </c>
      <c r="AI49" s="7" t="str">
        <f>IFERROR(IF([1]对账明细接口!$AE49=0,"",[1]对账明细接口!$AE49),"")</f>
        <v/>
      </c>
      <c r="AJ49" s="7" t="str">
        <f>IFERROR(IF([1]对账明细接口!$AF49=0,"",[1]对账明细接口!$AF49),"")</f>
        <v/>
      </c>
    </row>
    <row r="50" ht="14.25" customHeight="1" spans="1:36">
      <c r="A50" s="14">
        <v>50</v>
      </c>
      <c r="B50" s="15">
        <f>IFERROR(IF([1]对账明细接口!$B$50=0,"",[1]对账明细接口!$B$50),"")</f>
        <v>46260</v>
      </c>
      <c r="C50" s="16" t="str">
        <f>IFERROR(IF([1]对账明细接口!$C$50=0,"",[1]对账明细接口!$C$50),"")</f>
        <v>聂新平</v>
      </c>
      <c r="D50" s="16" t="str">
        <f>IFERROR(IF([1]对账明细接口!$D$50=0,"",[1]对账明细接口!$D$50),"")</f>
        <v>原料入库</v>
      </c>
      <c r="E50" s="16" t="str">
        <f>IFERROR(IF([1]对账明细接口!$E$50=0,"",[1]对账明细接口!$E$50),"")</f>
        <v>NO0000729</v>
      </c>
      <c r="F50" s="16" t="str">
        <f>IFERROR(IF([1]对账明细接口!$F$50=0,"",[1]对账明细接口!$F$50),"")</f>
        <v>苹果</v>
      </c>
      <c r="G50" s="16" t="str">
        <f>IFERROR(IF([1]对账明细接口!$G$50=0,"",[1]对账明细接口!$G$50),"")</f>
        <v>嘎啦85#</v>
      </c>
      <c r="H50" s="17">
        <f>IFERROR(IF([1]对账明细接口!$H$50=0,"",[1]对账明细接口!$H$50),"")</f>
        <v>80</v>
      </c>
      <c r="I50" s="16" t="str">
        <f>IFERROR(IF([1]对账明细接口!$I$50=0,"",[1]对账明细接口!$I$50),"")</f>
        <v>筐</v>
      </c>
      <c r="J50" s="18">
        <f>IFERROR(IF([1]对账明细接口!$J$50=0,"",[1]对账明细接口!$J$50),"")</f>
        <v>1744</v>
      </c>
      <c r="K50" s="18" t="str">
        <f>IFERROR(IF([1]对账明细接口!$K$50=0,"",[1]对账明细接口!$K$50),"")</f>
        <v/>
      </c>
      <c r="L50" s="16" t="str">
        <f>IFERROR(IF([1]对账明细接口!$L$50=0,"",[1]对账明细接口!$L$50),"")</f>
        <v/>
      </c>
      <c r="M50" s="16" t="str">
        <f>IFERROR(IF([1]对账明细接口!$M$50=0,"",[1]对账明细接口!$M$50),"")</f>
        <v/>
      </c>
      <c r="N50" s="19">
        <f t="shared" si="0"/>
        <v>1</v>
      </c>
      <c r="O50" s="19">
        <f t="shared" si="1"/>
        <v>47</v>
      </c>
      <c r="S50" s="20" t="str">
        <f>IFERROR(IF([1]对账明细接口!$N50=0,"",[1]对账明细接口!$N50),"")</f>
        <v>自备一次性筐</v>
      </c>
      <c r="T50" s="21" t="str">
        <f>IFERROR(IF([1]对账明细接口!$O50=0,"",[1]对账明细接口!$O50),"")</f>
        <v/>
      </c>
      <c r="U50" s="21" t="str">
        <f>IFERROR(IF([1]对账明细接口!$P50=0,"",[1]对账明细接口!$P50),"")</f>
        <v/>
      </c>
      <c r="V50" s="21">
        <f>IFERROR(IF([1]对账明细接口!$Q50=0,"",[1]对账明细接口!$Q50),"")</f>
        <v>80</v>
      </c>
      <c r="W50" s="20" t="str">
        <f>IFERROR(IF([1]对账明细接口!$R50=0,"",[1]对账明细接口!$R50),"")</f>
        <v>新N*E3V16</v>
      </c>
      <c r="X50" s="20" t="str">
        <f>IFERROR(IF([1]对账明细接口!$S50=0,"",[1]对账明细接口!$S50),"")</f>
        <v>自备筐</v>
      </c>
      <c r="Y50" s="20" t="str">
        <f>IFERROR(IF([1]对账明细接口!$T50=0,"",[1]对账明细接口!$T50),"")</f>
        <v/>
      </c>
      <c r="Z50" s="24" t="str">
        <f>IFERROR(IF([1]对账明细接口!$U50=0,"",[1]对账明细接口!$U50),"")</f>
        <v/>
      </c>
      <c r="AA50" s="24" t="str">
        <f>IFERROR(IF([1]对账明细接口!$V50=0,"",[1]对账明细接口!$V50),"")</f>
        <v/>
      </c>
      <c r="AB50" s="20" t="str">
        <f>IFERROR(IF([1]对账明细接口!$W50=0,"",[1]对账明细接口!$W50),"")</f>
        <v/>
      </c>
      <c r="AC50" s="7" t="str">
        <f>IFERROR(IF([1]对账明细接口!$X50=0,"",[1]对账明细接口!$X50),"")</f>
        <v/>
      </c>
      <c r="AD50" s="7" t="str">
        <f>IFERROR(IF([1]对账明细接口!$Y50=0,"",[1]对账明细接口!$Y50),"")</f>
        <v/>
      </c>
      <c r="AE50" s="7" t="str">
        <f>IFERROR(IF([1]对账明细接口!$AA50=0,"",[1]对账明细接口!$AA50),"")</f>
        <v/>
      </c>
      <c r="AF50" s="7" t="str">
        <f>IFERROR(IF([1]对账明细接口!$AB50=0,"",[1]对账明细接口!$AB50),"")</f>
        <v/>
      </c>
      <c r="AG50" s="7" t="str">
        <f>IFERROR(IF([1]对账明细接口!$AC50=0,"",[1]对账明细接口!$AC50),"")</f>
        <v/>
      </c>
      <c r="AH50" s="7" t="str">
        <f>IFERROR(IF([1]对账明细接口!$AD50=0,"",[1]对账明细接口!$AD50),"")</f>
        <v/>
      </c>
      <c r="AI50" s="7" t="str">
        <f>IFERROR(IF([1]对账明细接口!$AE50=0,"",[1]对账明细接口!$AE50),"")</f>
        <v/>
      </c>
      <c r="AJ50" s="7" t="str">
        <f>IFERROR(IF([1]对账明细接口!$AF50=0,"",[1]对账明细接口!$AF50),"")</f>
        <v/>
      </c>
    </row>
    <row r="51" ht="14.25" customHeight="1" spans="1:36">
      <c r="A51" s="14">
        <v>51</v>
      </c>
      <c r="B51" s="15">
        <f>IFERROR(IF([1]对账明细接口!$B$51=0,"",[1]对账明细接口!$B$51),"")</f>
        <v>46260</v>
      </c>
      <c r="C51" s="16" t="str">
        <f>IFERROR(IF([1]对账明细接口!$C$51=0,"",[1]对账明细接口!$C$51),"")</f>
        <v>聂新平</v>
      </c>
      <c r="D51" s="16" t="str">
        <f>IFERROR(IF([1]对账明细接口!$D$51=0,"",[1]对账明细接口!$D$51),"")</f>
        <v>原料入库</v>
      </c>
      <c r="E51" s="16" t="str">
        <f>IFERROR(IF([1]对账明细接口!$E$51=0,"",[1]对账明细接口!$E$51),"")</f>
        <v>NO0000729</v>
      </c>
      <c r="F51" s="16" t="str">
        <f>IFERROR(IF([1]对账明细接口!$F$51=0,"",[1]对账明细接口!$F$51),"")</f>
        <v>苹果</v>
      </c>
      <c r="G51" s="16" t="str">
        <f>IFERROR(IF([1]对账明细接口!$G$51=0,"",[1]对账明细接口!$G$51),"")</f>
        <v>嘎啦100#</v>
      </c>
      <c r="H51" s="17">
        <f>IFERROR(IF([1]对账明细接口!$H$51=0,"",[1]对账明细接口!$H$51),"")</f>
        <v>132</v>
      </c>
      <c r="I51" s="16" t="str">
        <f>IFERROR(IF([1]对账明细接口!$I$51=0,"",[1]对账明细接口!$I$51),"")</f>
        <v>筐</v>
      </c>
      <c r="J51" s="18">
        <f>IFERROR(IF([1]对账明细接口!$J$51=0,"",[1]对账明细接口!$J$51),"")</f>
        <v>2877.6</v>
      </c>
      <c r="K51" s="18" t="str">
        <f>IFERROR(IF([1]对账明细接口!$K$51=0,"",[1]对账明细接口!$K$51),"")</f>
        <v/>
      </c>
      <c r="L51" s="16" t="str">
        <f>IFERROR(IF([1]对账明细接口!$L$51=0,"",[1]对账明细接口!$L$51),"")</f>
        <v/>
      </c>
      <c r="M51" s="16" t="str">
        <f>IFERROR(IF([1]对账明细接口!$M$51=0,"",[1]对账明细接口!$M$51),"")</f>
        <v/>
      </c>
      <c r="N51" s="19">
        <f t="shared" si="0"/>
        <v>1</v>
      </c>
      <c r="O51" s="19">
        <f t="shared" si="1"/>
        <v>48</v>
      </c>
      <c r="S51" s="20" t="str">
        <f>IFERROR(IF([1]对账明细接口!$N51=0,"",[1]对账明细接口!$N51),"")</f>
        <v>自备一次性筐</v>
      </c>
      <c r="T51" s="21" t="str">
        <f>IFERROR(IF([1]对账明细接口!$O51=0,"",[1]对账明细接口!$O51),"")</f>
        <v/>
      </c>
      <c r="U51" s="21" t="str">
        <f>IFERROR(IF([1]对账明细接口!$P51=0,"",[1]对账明细接口!$P51),"")</f>
        <v/>
      </c>
      <c r="V51" s="21">
        <f>IFERROR(IF([1]对账明细接口!$Q51=0,"",[1]对账明细接口!$Q51),"")</f>
        <v>132</v>
      </c>
      <c r="W51" s="20" t="str">
        <f>IFERROR(IF([1]对账明细接口!$R51=0,"",[1]对账明细接口!$R51),"")</f>
        <v>新N*E3V16</v>
      </c>
      <c r="X51" s="20" t="str">
        <f>IFERROR(IF([1]对账明细接口!$S51=0,"",[1]对账明细接口!$S51),"")</f>
        <v>自备筐</v>
      </c>
      <c r="Y51" s="20" t="str">
        <f>IFERROR(IF([1]对账明细接口!$T51=0,"",[1]对账明细接口!$T51),"")</f>
        <v/>
      </c>
      <c r="Z51" s="24" t="str">
        <f>IFERROR(IF([1]对账明细接口!$U51=0,"",[1]对账明细接口!$U51),"")</f>
        <v/>
      </c>
      <c r="AA51" s="24" t="str">
        <f>IFERROR(IF([1]对账明细接口!$V51=0,"",[1]对账明细接口!$V51),"")</f>
        <v/>
      </c>
      <c r="AB51" s="20" t="str">
        <f>IFERROR(IF([1]对账明细接口!$W51=0,"",[1]对账明细接口!$W51),"")</f>
        <v/>
      </c>
      <c r="AC51" s="7" t="str">
        <f>IFERROR(IF([1]对账明细接口!$X51=0,"",[1]对账明细接口!$X51),"")</f>
        <v/>
      </c>
      <c r="AD51" s="7" t="str">
        <f>IFERROR(IF([1]对账明细接口!$Y51=0,"",[1]对账明细接口!$Y51),"")</f>
        <v/>
      </c>
      <c r="AE51" s="7" t="str">
        <f>IFERROR(IF([1]对账明细接口!$AA51=0,"",[1]对账明细接口!$AA51),"")</f>
        <v/>
      </c>
      <c r="AF51" s="7" t="str">
        <f>IFERROR(IF([1]对账明细接口!$AB51=0,"",[1]对账明细接口!$AB51),"")</f>
        <v/>
      </c>
      <c r="AG51" s="7" t="str">
        <f>IFERROR(IF([1]对账明细接口!$AC51=0,"",[1]对账明细接口!$AC51),"")</f>
        <v/>
      </c>
      <c r="AH51" s="7" t="str">
        <f>IFERROR(IF([1]对账明细接口!$AD51=0,"",[1]对账明细接口!$AD51),"")</f>
        <v/>
      </c>
      <c r="AI51" s="7" t="str">
        <f>IFERROR(IF([1]对账明细接口!$AE51=0,"",[1]对账明细接口!$AE51),"")</f>
        <v/>
      </c>
      <c r="AJ51" s="7" t="str">
        <f>IFERROR(IF([1]对账明细接口!$AF51=0,"",[1]对账明细接口!$AF51),"")</f>
        <v/>
      </c>
    </row>
    <row r="52" ht="14.25" customHeight="1" spans="1:36">
      <c r="A52" s="14">
        <v>52</v>
      </c>
      <c r="B52" s="15">
        <f>IFERROR(IF([1]对账明细接口!$B$52=0,"",[1]对账明细接口!$B$52),"")</f>
        <v>46260</v>
      </c>
      <c r="C52" s="16" t="str">
        <f>IFERROR(IF([1]对账明细接口!$C$52=0,"",[1]对账明细接口!$C$52),"")</f>
        <v>王照雪</v>
      </c>
      <c r="D52" s="16" t="str">
        <f>IFERROR(IF([1]对账明细接口!$D$52=0,"",[1]对账明细接口!$D$52),"")</f>
        <v>原料入库</v>
      </c>
      <c r="E52" s="16" t="str">
        <f>IFERROR(IF([1]对账明细接口!$E$52=0,"",[1]对账明细接口!$E$52),"")</f>
        <v>NO0000732</v>
      </c>
      <c r="F52" s="16" t="str">
        <f>IFERROR(IF([1]对账明细接口!$F$52=0,"",[1]对账明细接口!$F$52),"")</f>
        <v>苹果</v>
      </c>
      <c r="G52" s="16" t="str">
        <f>IFERROR(IF([1]对账明细接口!$G$52=0,"",[1]对账明细接口!$G$52),"")</f>
        <v>华硕一级</v>
      </c>
      <c r="H52" s="17">
        <f>IFERROR(IF([1]对账明细接口!$H$52=0,"",[1]对账明细接口!$H$52),"")</f>
        <v>174</v>
      </c>
      <c r="I52" s="16" t="str">
        <f>IFERROR(IF([1]对账明细接口!$I$52=0,"",[1]对账明细接口!$I$52),"")</f>
        <v>筐</v>
      </c>
      <c r="J52" s="18">
        <f>IFERROR(IF([1]对账明细接口!$J$52=0,"",[1]对账明细接口!$J$52),"")</f>
        <v>3010.2</v>
      </c>
      <c r="K52" s="18" t="str">
        <f>IFERROR(IF([1]对账明细接口!$K$52=0,"",[1]对账明细接口!$K$52),"")</f>
        <v/>
      </c>
      <c r="L52" s="16" t="str">
        <f>IFERROR(IF([1]对账明细接口!$L$52=0,"",[1]对账明细接口!$L$52),"")</f>
        <v/>
      </c>
      <c r="M52" s="16" t="str">
        <f>IFERROR(IF([1]对账明细接口!$M$52=0,"",[1]对账明细接口!$M$52),"")</f>
        <v/>
      </c>
      <c r="N52" s="19">
        <f t="shared" si="0"/>
        <v>1</v>
      </c>
      <c r="O52" s="19">
        <f t="shared" si="1"/>
        <v>49</v>
      </c>
      <c r="S52" s="20" t="str">
        <f>IFERROR(IF([1]对账明细接口!$N52=0,"",[1]对账明细接口!$N52),"")</f>
        <v>公司杂周转筐</v>
      </c>
      <c r="T52" s="21" t="str">
        <f>IFERROR(IF([1]对账明细接口!$O52=0,"",[1]对账明细接口!$O52),"")</f>
        <v/>
      </c>
      <c r="U52" s="21" t="str">
        <f>IFERROR(IF([1]对账明细接口!$P52=0,"",[1]对账明细接口!$P52),"")</f>
        <v/>
      </c>
      <c r="V52" s="21">
        <f>IFERROR(IF([1]对账明细接口!$Q52=0,"",[1]对账明细接口!$Q52),"")</f>
        <v>174</v>
      </c>
      <c r="W52" s="20" t="str">
        <f>IFERROR(IF([1]对账明细接口!$R52=0,"",[1]对账明细接口!$R52),"")</f>
        <v>豫L*88X19</v>
      </c>
      <c r="X52" s="20" t="str">
        <f>IFERROR(IF([1]对账明细接口!$S52=0,"",[1]对账明细接口!$S52),"")</f>
        <v>公司筐</v>
      </c>
      <c r="Y52" s="20" t="str">
        <f>IFERROR(IF([1]对账明细接口!$T52=0,"",[1]对账明细接口!$T52),"")</f>
        <v/>
      </c>
      <c r="Z52" s="24" t="str">
        <f>IFERROR(IF([1]对账明细接口!$U52=0,"",[1]对账明细接口!$U52),"")</f>
        <v/>
      </c>
      <c r="AA52" s="24" t="str">
        <f>IFERROR(IF([1]对账明细接口!$V52=0,"",[1]对账明细接口!$V52),"")</f>
        <v/>
      </c>
      <c r="AB52" s="20" t="str">
        <f>IFERROR(IF([1]对账明细接口!$W52=0,"",[1]对账明细接口!$W52),"")</f>
        <v/>
      </c>
      <c r="AC52" s="7" t="str">
        <f>IFERROR(IF([1]对账明细接口!$X52=0,"",[1]对账明细接口!$X52),"")</f>
        <v/>
      </c>
      <c r="AD52" s="7" t="str">
        <f>IFERROR(IF([1]对账明细接口!$Y52=0,"",[1]对账明细接口!$Y52),"")</f>
        <v/>
      </c>
      <c r="AE52" s="7" t="str">
        <f>IFERROR(IF([1]对账明细接口!$AA52=0,"",[1]对账明细接口!$AA52),"")</f>
        <v/>
      </c>
      <c r="AF52" s="7" t="str">
        <f>IFERROR(IF([1]对账明细接口!$AB52=0,"",[1]对账明细接口!$AB52),"")</f>
        <v/>
      </c>
      <c r="AG52" s="7" t="str">
        <f>IFERROR(IF([1]对账明细接口!$AC52=0,"",[1]对账明细接口!$AC52),"")</f>
        <v/>
      </c>
      <c r="AH52" s="7" t="str">
        <f>IFERROR(IF([1]对账明细接口!$AD52=0,"",[1]对账明细接口!$AD52),"")</f>
        <v/>
      </c>
      <c r="AI52" s="7" t="str">
        <f>IFERROR(IF([1]对账明细接口!$AE52=0,"",[1]对账明细接口!$AE52),"")</f>
        <v/>
      </c>
      <c r="AJ52" s="7" t="str">
        <f>IFERROR(IF([1]对账明细接口!$AF52=0,"",[1]对账明细接口!$AF52),"")</f>
        <v/>
      </c>
    </row>
    <row r="53" ht="14.25" customHeight="1" spans="1:36">
      <c r="A53" s="14">
        <v>53</v>
      </c>
      <c r="B53" s="15">
        <f>IFERROR(IF([1]对账明细接口!$B$53=0,"",[1]对账明细接口!$B$53),"")</f>
        <v>46260</v>
      </c>
      <c r="C53" s="16" t="str">
        <f>IFERROR(IF([1]对账明细接口!$C$53=0,"",[1]对账明细接口!$C$53),"")</f>
        <v>王照雪</v>
      </c>
      <c r="D53" s="16" t="str">
        <f>IFERROR(IF([1]对账明细接口!$D$53=0,"",[1]对账明细接口!$D$53),"")</f>
        <v>原料入库</v>
      </c>
      <c r="E53" s="16" t="str">
        <f>IFERROR(IF([1]对账明细接口!$E$53=0,"",[1]对账明细接口!$E$53),"")</f>
        <v>NO0000732</v>
      </c>
      <c r="F53" s="16" t="str">
        <f>IFERROR(IF([1]对账明细接口!$F$53=0,"",[1]对账明细接口!$F$53),"")</f>
        <v>苹果</v>
      </c>
      <c r="G53" s="16" t="str">
        <f>IFERROR(IF([1]对账明细接口!$G$53=0,"",[1]对账明细接口!$G$53),"")</f>
        <v>华硕二级</v>
      </c>
      <c r="H53" s="17">
        <f>IFERROR(IF([1]对账明细接口!$H$53=0,"",[1]对账明细接口!$H$53),"")</f>
        <v>88</v>
      </c>
      <c r="I53" s="16" t="str">
        <f>IFERROR(IF([1]对账明细接口!$I$53=0,"",[1]对账明细接口!$I$53),"")</f>
        <v>筐</v>
      </c>
      <c r="J53" s="18">
        <f>IFERROR(IF([1]对账明细接口!$J$53=0,"",[1]对账明细接口!$J$53),"")</f>
        <v>1434.4</v>
      </c>
      <c r="K53" s="18" t="str">
        <f>IFERROR(IF([1]对账明细接口!$K$53=0,"",[1]对账明细接口!$K$53),"")</f>
        <v/>
      </c>
      <c r="L53" s="16" t="str">
        <f>IFERROR(IF([1]对账明细接口!$L$53=0,"",[1]对账明细接口!$L$53),"")</f>
        <v/>
      </c>
      <c r="M53" s="16" t="str">
        <f>IFERROR(IF([1]对账明细接口!$M$53=0,"",[1]对账明细接口!$M$53),"")</f>
        <v/>
      </c>
      <c r="N53" s="19">
        <f t="shared" si="0"/>
        <v>1</v>
      </c>
      <c r="O53" s="19">
        <f t="shared" si="1"/>
        <v>50</v>
      </c>
      <c r="S53" s="20" t="str">
        <f>IFERROR(IF([1]对账明细接口!$N53=0,"",[1]对账明细接口!$N53),"")</f>
        <v>公司杂周转筐</v>
      </c>
      <c r="T53" s="21" t="str">
        <f>IFERROR(IF([1]对账明细接口!$O53=0,"",[1]对账明细接口!$O53),"")</f>
        <v/>
      </c>
      <c r="U53" s="21" t="str">
        <f>IFERROR(IF([1]对账明细接口!$P53=0,"",[1]对账明细接口!$P53),"")</f>
        <v/>
      </c>
      <c r="V53" s="21">
        <f>IFERROR(IF([1]对账明细接口!$Q53=0,"",[1]对账明细接口!$Q53),"")</f>
        <v>88</v>
      </c>
      <c r="W53" s="20" t="str">
        <f>IFERROR(IF([1]对账明细接口!$R53=0,"",[1]对账明细接口!$R53),"")</f>
        <v>豫L*88X19</v>
      </c>
      <c r="X53" s="20" t="str">
        <f>IFERROR(IF([1]对账明细接口!$S53=0,"",[1]对账明细接口!$S53),"")</f>
        <v>公司筐</v>
      </c>
      <c r="Y53" s="20" t="str">
        <f>IFERROR(IF([1]对账明细接口!$T53=0,"",[1]对账明细接口!$T53),"")</f>
        <v/>
      </c>
      <c r="Z53" s="24" t="str">
        <f>IFERROR(IF([1]对账明细接口!$U53=0,"",[1]对账明细接口!$U53),"")</f>
        <v/>
      </c>
      <c r="AA53" s="24" t="str">
        <f>IFERROR(IF([1]对账明细接口!$V53=0,"",[1]对账明细接口!$V53),"")</f>
        <v/>
      </c>
      <c r="AB53" s="20" t="str">
        <f>IFERROR(IF([1]对账明细接口!$W53=0,"",[1]对账明细接口!$W53),"")</f>
        <v/>
      </c>
      <c r="AC53" s="7" t="str">
        <f>IFERROR(IF([1]对账明细接口!$X53=0,"",[1]对账明细接口!$X53),"")</f>
        <v/>
      </c>
      <c r="AD53" s="7" t="str">
        <f>IFERROR(IF([1]对账明细接口!$Y53=0,"",[1]对账明细接口!$Y53),"")</f>
        <v/>
      </c>
      <c r="AE53" s="7" t="str">
        <f>IFERROR(IF([1]对账明细接口!$AA53=0,"",[1]对账明细接口!$AA53),"")</f>
        <v/>
      </c>
      <c r="AF53" s="7" t="str">
        <f>IFERROR(IF([1]对账明细接口!$AB53=0,"",[1]对账明细接口!$AB53),"")</f>
        <v/>
      </c>
      <c r="AG53" s="7" t="str">
        <f>IFERROR(IF([1]对账明细接口!$AC53=0,"",[1]对账明细接口!$AC53),"")</f>
        <v/>
      </c>
      <c r="AH53" s="7" t="str">
        <f>IFERROR(IF([1]对账明细接口!$AD53=0,"",[1]对账明细接口!$AD53),"")</f>
        <v/>
      </c>
      <c r="AI53" s="7" t="str">
        <f>IFERROR(IF([1]对账明细接口!$AE53=0,"",[1]对账明细接口!$AE53),"")</f>
        <v/>
      </c>
      <c r="AJ53" s="7" t="str">
        <f>IFERROR(IF([1]对账明细接口!$AF53=0,"",[1]对账明细接口!$AF53),"")</f>
        <v/>
      </c>
    </row>
    <row r="54" ht="14.25" customHeight="1" spans="1:36">
      <c r="A54" s="14">
        <v>54</v>
      </c>
      <c r="B54" s="15">
        <f>IFERROR(IF([1]对账明细接口!$B$54=0,"",[1]对账明细接口!$B$54),"")</f>
        <v>46260</v>
      </c>
      <c r="C54" s="16" t="str">
        <f>IFERROR(IF([1]对账明细接口!$C$54=0,"",[1]对账明细接口!$C$54),"")</f>
        <v>王照雪</v>
      </c>
      <c r="D54" s="16" t="str">
        <f>IFERROR(IF([1]对账明细接口!$D$54=0,"",[1]对账明细接口!$D$54),"")</f>
        <v>原料入库</v>
      </c>
      <c r="E54" s="16" t="str">
        <f>IFERROR(IF([1]对账明细接口!$E$54=0,"",[1]对账明细接口!$E$54),"")</f>
        <v>NO0000732</v>
      </c>
      <c r="F54" s="16" t="str">
        <f>IFERROR(IF([1]对账明细接口!$F$54=0,"",[1]对账明细接口!$F$54),"")</f>
        <v>苹果</v>
      </c>
      <c r="G54" s="16" t="str">
        <f>IFERROR(IF([1]对账明细接口!$G$54=0,"",[1]对账明细接口!$G$54),"")</f>
        <v>华硕高次</v>
      </c>
      <c r="H54" s="17">
        <f>IFERROR(IF([1]对账明细接口!$H$54=0,"",[1]对账明细接口!$H$54),"")</f>
        <v>64</v>
      </c>
      <c r="I54" s="16" t="str">
        <f>IFERROR(IF([1]对账明细接口!$I$54=0,"",[1]对账明细接口!$I$54),"")</f>
        <v>筐</v>
      </c>
      <c r="J54" s="18">
        <f>IFERROR(IF([1]对账明细接口!$J$54=0,"",[1]对账明细接口!$J$54),"")</f>
        <v>1107.2</v>
      </c>
      <c r="K54" s="18" t="str">
        <f>IFERROR(IF([1]对账明细接口!$K$54=0,"",[1]对账明细接口!$K$54),"")</f>
        <v/>
      </c>
      <c r="L54" s="16" t="str">
        <f>IFERROR(IF([1]对账明细接口!$L$54=0,"",[1]对账明细接口!$L$54),"")</f>
        <v/>
      </c>
      <c r="M54" s="16" t="str">
        <f>IFERROR(IF([1]对账明细接口!$M$54=0,"",[1]对账明细接口!$M$54),"")</f>
        <v/>
      </c>
      <c r="N54" s="19">
        <f t="shared" si="0"/>
        <v>1</v>
      </c>
      <c r="O54" s="19">
        <f t="shared" si="1"/>
        <v>51</v>
      </c>
      <c r="S54" s="20" t="str">
        <f>IFERROR(IF([1]对账明细接口!$N54=0,"",[1]对账明细接口!$N54),"")</f>
        <v>公司杂周转筐</v>
      </c>
      <c r="T54" s="21" t="str">
        <f>IFERROR(IF([1]对账明细接口!$O54=0,"",[1]对账明细接口!$O54),"")</f>
        <v/>
      </c>
      <c r="U54" s="21" t="str">
        <f>IFERROR(IF([1]对账明细接口!$P54=0,"",[1]对账明细接口!$P54),"")</f>
        <v/>
      </c>
      <c r="V54" s="21">
        <f>IFERROR(IF([1]对账明细接口!$Q54=0,"",[1]对账明细接口!$Q54),"")</f>
        <v>64</v>
      </c>
      <c r="W54" s="20" t="str">
        <f>IFERROR(IF([1]对账明细接口!$R54=0,"",[1]对账明细接口!$R54),"")</f>
        <v>豫L*88X19</v>
      </c>
      <c r="X54" s="20" t="str">
        <f>IFERROR(IF([1]对账明细接口!$S54=0,"",[1]对账明细接口!$S54),"")</f>
        <v>公司筐</v>
      </c>
      <c r="Y54" s="20" t="str">
        <f>IFERROR(IF([1]对账明细接口!$T54=0,"",[1]对账明细接口!$T54),"")</f>
        <v/>
      </c>
      <c r="Z54" s="24" t="str">
        <f>IFERROR(IF([1]对账明细接口!$U54=0,"",[1]对账明细接口!$U54),"")</f>
        <v/>
      </c>
      <c r="AA54" s="24" t="str">
        <f>IFERROR(IF([1]对账明细接口!$V54=0,"",[1]对账明细接口!$V54),"")</f>
        <v/>
      </c>
      <c r="AB54" s="20" t="str">
        <f>IFERROR(IF([1]对账明细接口!$W54=0,"",[1]对账明细接口!$W54),"")</f>
        <v/>
      </c>
      <c r="AC54" s="7" t="str">
        <f>IFERROR(IF([1]对账明细接口!$X54=0,"",[1]对账明细接口!$X54),"")</f>
        <v/>
      </c>
      <c r="AD54" s="7" t="str">
        <f>IFERROR(IF([1]对账明细接口!$Y54=0,"",[1]对账明细接口!$Y54),"")</f>
        <v/>
      </c>
      <c r="AE54" s="7" t="str">
        <f>IFERROR(IF([1]对账明细接口!$AA54=0,"",[1]对账明细接口!$AA54),"")</f>
        <v/>
      </c>
      <c r="AF54" s="7" t="str">
        <f>IFERROR(IF([1]对账明细接口!$AB54=0,"",[1]对账明细接口!$AB54),"")</f>
        <v/>
      </c>
      <c r="AG54" s="7" t="str">
        <f>IFERROR(IF([1]对账明细接口!$AC54=0,"",[1]对账明细接口!$AC54),"")</f>
        <v/>
      </c>
      <c r="AH54" s="7" t="str">
        <f>IFERROR(IF([1]对账明细接口!$AD54=0,"",[1]对账明细接口!$AD54),"")</f>
        <v/>
      </c>
      <c r="AI54" s="7" t="str">
        <f>IFERROR(IF([1]对账明细接口!$AE54=0,"",[1]对账明细接口!$AE54),"")</f>
        <v/>
      </c>
      <c r="AJ54" s="7" t="str">
        <f>IFERROR(IF([1]对账明细接口!$AF54=0,"",[1]对账明细接口!$AF54),"")</f>
        <v/>
      </c>
    </row>
    <row r="55" ht="14.25" customHeight="1" spans="1:36">
      <c r="A55" s="14">
        <v>55</v>
      </c>
      <c r="B55" s="15">
        <f>IFERROR(IF([1]对账明细接口!$B$55=0,"",[1]对账明细接口!$B$55),"")</f>
        <v>46262</v>
      </c>
      <c r="C55" s="16" t="str">
        <f>IFERROR(IF([1]对账明细接口!$C$55=0,"",[1]对账明细接口!$C$55),"")</f>
        <v>聂新平</v>
      </c>
      <c r="D55" s="16" t="str">
        <f>IFERROR(IF([1]对账明细接口!$D$55=0,"",[1]对账明细接口!$D$55),"")</f>
        <v>原料入库</v>
      </c>
      <c r="E55" s="16" t="str">
        <f>IFERROR(IF([1]对账明细接口!$E$55=0,"",[1]对账明细接口!$E$55),"")</f>
        <v>NO0000737</v>
      </c>
      <c r="F55" s="16" t="str">
        <f>IFERROR(IF([1]对账明细接口!$F$55=0,"",[1]对账明细接口!$F$55),"")</f>
        <v>苹果</v>
      </c>
      <c r="G55" s="16" t="str">
        <f>IFERROR(IF([1]对账明细接口!$G$55=0,"",[1]对账明细接口!$G$55),"")</f>
        <v>嘎啦85#</v>
      </c>
      <c r="H55" s="17">
        <f>IFERROR(IF([1]对账明细接口!$H$55=0,"",[1]对账明细接口!$H$55),"")</f>
        <v>69</v>
      </c>
      <c r="I55" s="16" t="str">
        <f>IFERROR(IF([1]对账明细接口!$I$55=0,"",[1]对账明细接口!$I$55),"")</f>
        <v>筐</v>
      </c>
      <c r="J55" s="18">
        <f>IFERROR(IF([1]对账明细接口!$J$55=0,"",[1]对账明细接口!$J$55),"")</f>
        <v>1504.2</v>
      </c>
      <c r="K55" s="18" t="str">
        <f>IFERROR(IF([1]对账明细接口!$K$55=0,"",[1]对账明细接口!$K$55),"")</f>
        <v/>
      </c>
      <c r="L55" s="16" t="str">
        <f>IFERROR(IF([1]对账明细接口!$L$55=0,"",[1]对账明细接口!$L$55),"")</f>
        <v/>
      </c>
      <c r="M55" s="16" t="str">
        <f>IFERROR(IF([1]对账明细接口!$M$55=0,"",[1]对账明细接口!$M$55),"")</f>
        <v/>
      </c>
      <c r="N55" s="19">
        <f t="shared" si="0"/>
        <v>1</v>
      </c>
      <c r="O55" s="19">
        <f t="shared" si="1"/>
        <v>52</v>
      </c>
      <c r="S55" s="20" t="str">
        <f>IFERROR(IF([1]对账明细接口!$N55=0,"",[1]对账明细接口!$N55),"")</f>
        <v>自备一次性筐</v>
      </c>
      <c r="T55" s="21" t="str">
        <f>IFERROR(IF([1]对账明细接口!$O55=0,"",[1]对账明细接口!$O55),"")</f>
        <v/>
      </c>
      <c r="U55" s="21" t="str">
        <f>IFERROR(IF([1]对账明细接口!$P55=0,"",[1]对账明细接口!$P55),"")</f>
        <v/>
      </c>
      <c r="V55" s="21">
        <f>IFERROR(IF([1]对账明细接口!$Q55=0,"",[1]对账明细接口!$Q55),"")</f>
        <v>69</v>
      </c>
      <c r="W55" s="20" t="str">
        <f>IFERROR(IF([1]对账明细接口!$R55=0,"",[1]对账明细接口!$R55),"")</f>
        <v>新N*E3V16</v>
      </c>
      <c r="X55" s="20" t="str">
        <f>IFERROR(IF([1]对账明细接口!$S55=0,"",[1]对账明细接口!$S55),"")</f>
        <v>自备筐</v>
      </c>
      <c r="Y55" s="20" t="str">
        <f>IFERROR(IF([1]对账明细接口!$T55=0,"",[1]对账明细接口!$T55),"")</f>
        <v/>
      </c>
      <c r="Z55" s="24" t="str">
        <f>IFERROR(IF([1]对账明细接口!$U55=0,"",[1]对账明细接口!$U55),"")</f>
        <v/>
      </c>
      <c r="AA55" s="24" t="str">
        <f>IFERROR(IF([1]对账明细接口!$V55=0,"",[1]对账明细接口!$V55),"")</f>
        <v/>
      </c>
      <c r="AB55" s="20" t="str">
        <f>IFERROR(IF([1]对账明细接口!$W55=0,"",[1]对账明细接口!$W55),"")</f>
        <v/>
      </c>
      <c r="AC55" s="7" t="str">
        <f>IFERROR(IF([1]对账明细接口!$X55=0,"",[1]对账明细接口!$X55),"")</f>
        <v/>
      </c>
      <c r="AD55" s="7" t="str">
        <f>IFERROR(IF([1]对账明细接口!$Y55=0,"",[1]对账明细接口!$Y55),"")</f>
        <v/>
      </c>
      <c r="AE55" s="7" t="str">
        <f>IFERROR(IF([1]对账明细接口!$AA55=0,"",[1]对账明细接口!$AA55),"")</f>
        <v/>
      </c>
      <c r="AF55" s="7" t="str">
        <f>IFERROR(IF([1]对账明细接口!$AB55=0,"",[1]对账明细接口!$AB55),"")</f>
        <v/>
      </c>
      <c r="AG55" s="7" t="str">
        <f>IFERROR(IF([1]对账明细接口!$AC55=0,"",[1]对账明细接口!$AC55),"")</f>
        <v/>
      </c>
      <c r="AH55" s="7" t="str">
        <f>IFERROR(IF([1]对账明细接口!$AD55=0,"",[1]对账明细接口!$AD55),"")</f>
        <v/>
      </c>
      <c r="AI55" s="7" t="str">
        <f>IFERROR(IF([1]对账明细接口!$AE55=0,"",[1]对账明细接口!$AE55),"")</f>
        <v/>
      </c>
      <c r="AJ55" s="7" t="str">
        <f>IFERROR(IF([1]对账明细接口!$AF55=0,"",[1]对账明细接口!$AF55),"")</f>
        <v/>
      </c>
    </row>
    <row r="56" ht="14.25" customHeight="1" spans="1:36">
      <c r="A56" s="14">
        <v>56</v>
      </c>
      <c r="B56" s="15">
        <f>IFERROR(IF([1]对账明细接口!$B$56=0,"",[1]对账明细接口!$B$56),"")</f>
        <v>46262</v>
      </c>
      <c r="C56" s="16" t="str">
        <f>IFERROR(IF([1]对账明细接口!$C$56=0,"",[1]对账明细接口!$C$56),"")</f>
        <v>聂新平</v>
      </c>
      <c r="D56" s="16" t="str">
        <f>IFERROR(IF([1]对账明细接口!$D$56=0,"",[1]对账明细接口!$D$56),"")</f>
        <v>原料入库</v>
      </c>
      <c r="E56" s="16" t="str">
        <f>IFERROR(IF([1]对账明细接口!$E$56=0,"",[1]对账明细接口!$E$56),"")</f>
        <v>NO0000737</v>
      </c>
      <c r="F56" s="16" t="str">
        <f>IFERROR(IF([1]对账明细接口!$F$56=0,"",[1]对账明细接口!$F$56),"")</f>
        <v>苹果</v>
      </c>
      <c r="G56" s="16" t="str">
        <f>IFERROR(IF([1]对账明细接口!$G$56=0,"",[1]对账明细接口!$G$56),"")</f>
        <v>嘎啦100#</v>
      </c>
      <c r="H56" s="17">
        <f>IFERROR(IF([1]对账明细接口!$H$56=0,"",[1]对账明细接口!$H$56),"")</f>
        <v>175</v>
      </c>
      <c r="I56" s="16" t="str">
        <f>IFERROR(IF([1]对账明细接口!$I$56=0,"",[1]对账明细接口!$I$56),"")</f>
        <v>筐</v>
      </c>
      <c r="J56" s="18">
        <f>IFERROR(IF([1]对账明细接口!$J$56=0,"",[1]对账明细接口!$J$56),"")</f>
        <v>3815</v>
      </c>
      <c r="K56" s="18" t="str">
        <f>IFERROR(IF([1]对账明细接口!$K$56=0,"",[1]对账明细接口!$K$56),"")</f>
        <v/>
      </c>
      <c r="L56" s="16" t="str">
        <f>IFERROR(IF([1]对账明细接口!$L$56=0,"",[1]对账明细接口!$L$56),"")</f>
        <v/>
      </c>
      <c r="M56" s="16" t="str">
        <f>IFERROR(IF([1]对账明细接口!$M$56=0,"",[1]对账明细接口!$M$56),"")</f>
        <v/>
      </c>
      <c r="N56" s="19">
        <f t="shared" si="0"/>
        <v>1</v>
      </c>
      <c r="O56" s="19">
        <f t="shared" si="1"/>
        <v>53</v>
      </c>
      <c r="S56" s="20" t="str">
        <f>IFERROR(IF([1]对账明细接口!$N56=0,"",[1]对账明细接口!$N56),"")</f>
        <v>自备一次性筐</v>
      </c>
      <c r="T56" s="21" t="str">
        <f>IFERROR(IF([1]对账明细接口!$O56=0,"",[1]对账明细接口!$O56),"")</f>
        <v/>
      </c>
      <c r="U56" s="21" t="str">
        <f>IFERROR(IF([1]对账明细接口!$P56=0,"",[1]对账明细接口!$P56),"")</f>
        <v/>
      </c>
      <c r="V56" s="21">
        <f>IFERROR(IF([1]对账明细接口!$Q56=0,"",[1]对账明细接口!$Q56),"")</f>
        <v>175</v>
      </c>
      <c r="W56" s="20" t="str">
        <f>IFERROR(IF([1]对账明细接口!$R56=0,"",[1]对账明细接口!$R56),"")</f>
        <v>新N*E3V16</v>
      </c>
      <c r="X56" s="20" t="str">
        <f>IFERROR(IF([1]对账明细接口!$S56=0,"",[1]对账明细接口!$S56),"")</f>
        <v>自备筐</v>
      </c>
      <c r="Y56" s="20" t="str">
        <f>IFERROR(IF([1]对账明细接口!$T56=0,"",[1]对账明细接口!$T56),"")</f>
        <v/>
      </c>
      <c r="Z56" s="24" t="str">
        <f>IFERROR(IF([1]对账明细接口!$U56=0,"",[1]对账明细接口!$U56),"")</f>
        <v/>
      </c>
      <c r="AA56" s="24" t="str">
        <f>IFERROR(IF([1]对账明细接口!$V56=0,"",[1]对账明细接口!$V56),"")</f>
        <v/>
      </c>
      <c r="AB56" s="20" t="str">
        <f>IFERROR(IF([1]对账明细接口!$W56=0,"",[1]对账明细接口!$W56),"")</f>
        <v/>
      </c>
      <c r="AC56" s="7" t="str">
        <f>IFERROR(IF([1]对账明细接口!$X56=0,"",[1]对账明细接口!$X56),"")</f>
        <v/>
      </c>
      <c r="AD56" s="7" t="str">
        <f>IFERROR(IF([1]对账明细接口!$Y56=0,"",[1]对账明细接口!$Y56),"")</f>
        <v/>
      </c>
      <c r="AE56" s="7" t="str">
        <f>IFERROR(IF([1]对账明细接口!$AA56=0,"",[1]对账明细接口!$AA56),"")</f>
        <v/>
      </c>
      <c r="AF56" s="7" t="str">
        <f>IFERROR(IF([1]对账明细接口!$AB56=0,"",[1]对账明细接口!$AB56),"")</f>
        <v/>
      </c>
      <c r="AG56" s="7" t="str">
        <f>IFERROR(IF([1]对账明细接口!$AC56=0,"",[1]对账明细接口!$AC56),"")</f>
        <v/>
      </c>
      <c r="AH56" s="7" t="str">
        <f>IFERROR(IF([1]对账明细接口!$AD56=0,"",[1]对账明细接口!$AD56),"")</f>
        <v/>
      </c>
      <c r="AI56" s="7" t="str">
        <f>IFERROR(IF([1]对账明细接口!$AE56=0,"",[1]对账明细接口!$AE56),"")</f>
        <v/>
      </c>
      <c r="AJ56" s="7" t="str">
        <f>IFERROR(IF([1]对账明细接口!$AF56=0,"",[1]对账明细接口!$AF56),"")</f>
        <v/>
      </c>
    </row>
    <row r="57" ht="14.25" customHeight="1" spans="1:36">
      <c r="A57" s="14">
        <v>57</v>
      </c>
      <c r="B57" s="15">
        <f>IFERROR(IF([1]对账明细接口!$B$57=0,"",[1]对账明细接口!$B$57),"")</f>
        <v>46262</v>
      </c>
      <c r="C57" s="16" t="str">
        <f>IFERROR(IF([1]对账明细接口!$C$57=0,"",[1]对账明细接口!$C$57),"")</f>
        <v>聂新平</v>
      </c>
      <c r="D57" s="16" t="str">
        <f>IFERROR(IF([1]对账明细接口!$D$57=0,"",[1]对账明细接口!$D$57),"")</f>
        <v>原料入库</v>
      </c>
      <c r="E57" s="16" t="str">
        <f>IFERROR(IF([1]对账明细接口!$E$57=0,"",[1]对账明细接口!$E$57),"")</f>
        <v>NO0000738</v>
      </c>
      <c r="F57" s="16" t="str">
        <f>IFERROR(IF([1]对账明细接口!$F$57=0,"",[1]对账明细接口!$F$57),"")</f>
        <v>苹果</v>
      </c>
      <c r="G57" s="16" t="str">
        <f>IFERROR(IF([1]对账明细接口!$G$57=0,"",[1]对账明细接口!$G$57),"")</f>
        <v>嘎啦85#</v>
      </c>
      <c r="H57" s="17">
        <f>IFERROR(IF([1]对账明细接口!$H$57=0,"",[1]对账明细接口!$H$57),"")</f>
        <v>20</v>
      </c>
      <c r="I57" s="16" t="str">
        <f>IFERROR(IF([1]对账明细接口!$I$57=0,"",[1]对账明细接口!$I$57),"")</f>
        <v>筐</v>
      </c>
      <c r="J57" s="18">
        <f>IFERROR(IF([1]对账明细接口!$J$57=0,"",[1]对账明细接口!$J$57),"")</f>
        <v>436</v>
      </c>
      <c r="K57" s="18" t="str">
        <f>IFERROR(IF([1]对账明细接口!$K$57=0,"",[1]对账明细接口!$K$57),"")</f>
        <v/>
      </c>
      <c r="L57" s="16" t="str">
        <f>IFERROR(IF([1]对账明细接口!$L$57=0,"",[1]对账明细接口!$L$57),"")</f>
        <v/>
      </c>
      <c r="M57" s="16" t="str">
        <f>IFERROR(IF([1]对账明细接口!$M$57=0,"",[1]对账明细接口!$M$57),"")</f>
        <v/>
      </c>
      <c r="N57" s="19">
        <f t="shared" si="0"/>
        <v>1</v>
      </c>
      <c r="O57" s="19">
        <f t="shared" si="1"/>
        <v>54</v>
      </c>
      <c r="S57" s="20" t="str">
        <f>IFERROR(IF([1]对账明细接口!$N57=0,"",[1]对账明细接口!$N57),"")</f>
        <v>自备一次性筐</v>
      </c>
      <c r="T57" s="21" t="str">
        <f>IFERROR(IF([1]对账明细接口!$O57=0,"",[1]对账明细接口!$O57),"")</f>
        <v/>
      </c>
      <c r="U57" s="21" t="str">
        <f>IFERROR(IF([1]对账明细接口!$P57=0,"",[1]对账明细接口!$P57),"")</f>
        <v/>
      </c>
      <c r="V57" s="21">
        <f>IFERROR(IF([1]对账明细接口!$Q57=0,"",[1]对账明细接口!$Q57),"")</f>
        <v>20</v>
      </c>
      <c r="W57" s="20" t="str">
        <f>IFERROR(IF([1]对账明细接口!$R57=0,"",[1]对账明细接口!$R57),"")</f>
        <v>苏M*7G796</v>
      </c>
      <c r="X57" s="20" t="str">
        <f>IFERROR(IF([1]对账明细接口!$S57=0,"",[1]对账明细接口!$S57),"")</f>
        <v>自备筐</v>
      </c>
      <c r="Y57" s="20" t="str">
        <f>IFERROR(IF([1]对账明细接口!$T57=0,"",[1]对账明细接口!$T57),"")</f>
        <v/>
      </c>
      <c r="Z57" s="24" t="str">
        <f>IFERROR(IF([1]对账明细接口!$U57=0,"",[1]对账明细接口!$U57),"")</f>
        <v/>
      </c>
      <c r="AA57" s="24" t="str">
        <f>IFERROR(IF([1]对账明细接口!$V57=0,"",[1]对账明细接口!$V57),"")</f>
        <v/>
      </c>
      <c r="AB57" s="20" t="str">
        <f>IFERROR(IF([1]对账明细接口!$W57=0,"",[1]对账明细接口!$W57),"")</f>
        <v/>
      </c>
      <c r="AC57" s="7" t="str">
        <f>IFERROR(IF([1]对账明细接口!$X57=0,"",[1]对账明细接口!$X57),"")</f>
        <v/>
      </c>
      <c r="AD57" s="7" t="str">
        <f>IFERROR(IF([1]对账明细接口!$Y57=0,"",[1]对账明细接口!$Y57),"")</f>
        <v/>
      </c>
      <c r="AE57" s="7" t="str">
        <f>IFERROR(IF([1]对账明细接口!$AA57=0,"",[1]对账明细接口!$AA57),"")</f>
        <v/>
      </c>
      <c r="AF57" s="7" t="str">
        <f>IFERROR(IF([1]对账明细接口!$AB57=0,"",[1]对账明细接口!$AB57),"")</f>
        <v/>
      </c>
      <c r="AG57" s="7" t="str">
        <f>IFERROR(IF([1]对账明细接口!$AC57=0,"",[1]对账明细接口!$AC57),"")</f>
        <v/>
      </c>
      <c r="AH57" s="7" t="str">
        <f>IFERROR(IF([1]对账明细接口!$AD57=0,"",[1]对账明细接口!$AD57),"")</f>
        <v/>
      </c>
      <c r="AI57" s="7" t="str">
        <f>IFERROR(IF([1]对账明细接口!$AE57=0,"",[1]对账明细接口!$AE57),"")</f>
        <v/>
      </c>
      <c r="AJ57" s="7" t="str">
        <f>IFERROR(IF([1]对账明细接口!$AF57=0,"",[1]对账明细接口!$AF57),"")</f>
        <v/>
      </c>
    </row>
    <row r="58" ht="14.25" customHeight="1" spans="1:36">
      <c r="A58" s="14">
        <v>58</v>
      </c>
      <c r="B58" s="15">
        <f>IFERROR(IF([1]对账明细接口!$B$58=0,"",[1]对账明细接口!$B$58),"")</f>
        <v>46262</v>
      </c>
      <c r="C58" s="16" t="str">
        <f>IFERROR(IF([1]对账明细接口!$C$58=0,"",[1]对账明细接口!$C$58),"")</f>
        <v>王照雪</v>
      </c>
      <c r="D58" s="16" t="str">
        <f>IFERROR(IF([1]对账明细接口!$D$58=0,"",[1]对账明细接口!$D$58),"")</f>
        <v>原料入库</v>
      </c>
      <c r="E58" s="16" t="str">
        <f>IFERROR(IF([1]对账明细接口!$E$58=0,"",[1]对账明细接口!$E$58),"")</f>
        <v>NO0000739</v>
      </c>
      <c r="F58" s="16" t="str">
        <f>IFERROR(IF([1]对账明细接口!$F$58=0,"",[1]对账明细接口!$F$58),"")</f>
        <v>苹果</v>
      </c>
      <c r="G58" s="16" t="str">
        <f>IFERROR(IF([1]对账明细接口!$G$58=0,"",[1]对账明细接口!$G$58),"")</f>
        <v>华硕一级</v>
      </c>
      <c r="H58" s="17">
        <f>IFERROR(IF([1]对账明细接口!$H$58=0,"",[1]对账明细接口!$H$58),"")</f>
        <v>103</v>
      </c>
      <c r="I58" s="16" t="str">
        <f>IFERROR(IF([1]对账明细接口!$I$58=0,"",[1]对账明细接口!$I$58),"")</f>
        <v>筐</v>
      </c>
      <c r="J58" s="18">
        <f>IFERROR(IF([1]对账明细接口!$J$58=0,"",[1]对账明细接口!$J$58),"")</f>
        <v>1781.9</v>
      </c>
      <c r="K58" s="18" t="str">
        <f>IFERROR(IF([1]对账明细接口!$K$58=0,"",[1]对账明细接口!$K$58),"")</f>
        <v/>
      </c>
      <c r="L58" s="16" t="str">
        <f>IFERROR(IF([1]对账明细接口!$L$58=0,"",[1]对账明细接口!$L$58),"")</f>
        <v/>
      </c>
      <c r="M58" s="16" t="str">
        <f>IFERROR(IF([1]对账明细接口!$M$58=0,"",[1]对账明细接口!$M$58),"")</f>
        <v/>
      </c>
      <c r="N58" s="19">
        <f t="shared" si="0"/>
        <v>1</v>
      </c>
      <c r="O58" s="19">
        <f t="shared" si="1"/>
        <v>55</v>
      </c>
      <c r="S58" s="20" t="str">
        <f>IFERROR(IF([1]对账明细接口!$N58=0,"",[1]对账明细接口!$N58),"")</f>
        <v>公司杂周转筐</v>
      </c>
      <c r="T58" s="21" t="str">
        <f>IFERROR(IF([1]对账明细接口!$O58=0,"",[1]对账明细接口!$O58),"")</f>
        <v/>
      </c>
      <c r="U58" s="21" t="str">
        <f>IFERROR(IF([1]对账明细接口!$P58=0,"",[1]对账明细接口!$P58),"")</f>
        <v/>
      </c>
      <c r="V58" s="21">
        <f>IFERROR(IF([1]对账明细接口!$Q58=0,"",[1]对账明细接口!$Q58),"")</f>
        <v>103</v>
      </c>
      <c r="W58" s="20" t="str">
        <f>IFERROR(IF([1]对账明细接口!$R58=0,"",[1]对账明细接口!$R58),"")</f>
        <v>豫L*88X19</v>
      </c>
      <c r="X58" s="20" t="str">
        <f>IFERROR(IF([1]对账明细接口!$S58=0,"",[1]对账明细接口!$S58),"")</f>
        <v>公司筐</v>
      </c>
      <c r="Y58" s="20" t="str">
        <f>IFERROR(IF([1]对账明细接口!$T58=0,"",[1]对账明细接口!$T58),"")</f>
        <v/>
      </c>
      <c r="Z58" s="24" t="str">
        <f>IFERROR(IF([1]对账明细接口!$U58=0,"",[1]对账明细接口!$U58),"")</f>
        <v/>
      </c>
      <c r="AA58" s="24" t="str">
        <f>IFERROR(IF([1]对账明细接口!$V58=0,"",[1]对账明细接口!$V58),"")</f>
        <v/>
      </c>
      <c r="AB58" s="20" t="str">
        <f>IFERROR(IF([1]对账明细接口!$W58=0,"",[1]对账明细接口!$W58),"")</f>
        <v/>
      </c>
      <c r="AC58" s="7" t="str">
        <f>IFERROR(IF([1]对账明细接口!$X58=0,"",[1]对账明细接口!$X58),"")</f>
        <v/>
      </c>
      <c r="AD58" s="7" t="str">
        <f>IFERROR(IF([1]对账明细接口!$Y58=0,"",[1]对账明细接口!$Y58),"")</f>
        <v/>
      </c>
      <c r="AE58" s="7" t="str">
        <f>IFERROR(IF([1]对账明细接口!$AA58=0,"",[1]对账明细接口!$AA58),"")</f>
        <v/>
      </c>
      <c r="AF58" s="7" t="str">
        <f>IFERROR(IF([1]对账明细接口!$AB58=0,"",[1]对账明细接口!$AB58),"")</f>
        <v/>
      </c>
      <c r="AG58" s="7" t="str">
        <f>IFERROR(IF([1]对账明细接口!$AC58=0,"",[1]对账明细接口!$AC58),"")</f>
        <v/>
      </c>
      <c r="AH58" s="7" t="str">
        <f>IFERROR(IF([1]对账明细接口!$AD58=0,"",[1]对账明细接口!$AD58),"")</f>
        <v/>
      </c>
      <c r="AI58" s="7" t="str">
        <f>IFERROR(IF([1]对账明细接口!$AE58=0,"",[1]对账明细接口!$AE58),"")</f>
        <v/>
      </c>
      <c r="AJ58" s="7" t="str">
        <f>IFERROR(IF([1]对账明细接口!$AF58=0,"",[1]对账明细接口!$AF58),"")</f>
        <v/>
      </c>
    </row>
    <row r="59" ht="14.25" customHeight="1" spans="1:36">
      <c r="A59" s="14">
        <v>59</v>
      </c>
      <c r="B59" s="15">
        <f>IFERROR(IF([1]对账明细接口!$B$59=0,"",[1]对账明细接口!$B$59),"")</f>
        <v>46262</v>
      </c>
      <c r="C59" s="16" t="str">
        <f>IFERROR(IF([1]对账明细接口!$C$59=0,"",[1]对账明细接口!$C$59),"")</f>
        <v>王照雪</v>
      </c>
      <c r="D59" s="16" t="str">
        <f>IFERROR(IF([1]对账明细接口!$D$59=0,"",[1]对账明细接口!$D$59),"")</f>
        <v>原料入库</v>
      </c>
      <c r="E59" s="16" t="str">
        <f>IFERROR(IF([1]对账明细接口!$E$59=0,"",[1]对账明细接口!$E$59),"")</f>
        <v>NO0000739</v>
      </c>
      <c r="F59" s="16" t="str">
        <f>IFERROR(IF([1]对账明细接口!$F$59=0,"",[1]对账明细接口!$F$59),"")</f>
        <v>苹果</v>
      </c>
      <c r="G59" s="16" t="str">
        <f>IFERROR(IF([1]对账明细接口!$G$59=0,"",[1]对账明细接口!$G$59),"")</f>
        <v>华硕二级</v>
      </c>
      <c r="H59" s="17">
        <f>IFERROR(IF([1]对账明细接口!$H$59=0,"",[1]对账明细接口!$H$59),"")</f>
        <v>81</v>
      </c>
      <c r="I59" s="16" t="str">
        <f>IFERROR(IF([1]对账明细接口!$I$59=0,"",[1]对账明细接口!$I$59),"")</f>
        <v>筐</v>
      </c>
      <c r="J59" s="18">
        <f>IFERROR(IF([1]对账明细接口!$J$59=0,"",[1]对账明细接口!$J$59),"")</f>
        <v>1320.3</v>
      </c>
      <c r="K59" s="18" t="str">
        <f>IFERROR(IF([1]对账明细接口!$K$59=0,"",[1]对账明细接口!$K$59),"")</f>
        <v/>
      </c>
      <c r="L59" s="16" t="str">
        <f>IFERROR(IF([1]对账明细接口!$L$59=0,"",[1]对账明细接口!$L$59),"")</f>
        <v/>
      </c>
      <c r="M59" s="16" t="str">
        <f>IFERROR(IF([1]对账明细接口!$M$59=0,"",[1]对账明细接口!$M$59),"")</f>
        <v/>
      </c>
      <c r="N59" s="19">
        <f t="shared" si="0"/>
        <v>1</v>
      </c>
      <c r="O59" s="19">
        <f t="shared" si="1"/>
        <v>56</v>
      </c>
      <c r="S59" s="20" t="str">
        <f>IFERROR(IF([1]对账明细接口!$N59=0,"",[1]对账明细接口!$N59),"")</f>
        <v>公司杂周转筐</v>
      </c>
      <c r="T59" s="21" t="str">
        <f>IFERROR(IF([1]对账明细接口!$O59=0,"",[1]对账明细接口!$O59),"")</f>
        <v/>
      </c>
      <c r="U59" s="21" t="str">
        <f>IFERROR(IF([1]对账明细接口!$P59=0,"",[1]对账明细接口!$P59),"")</f>
        <v/>
      </c>
      <c r="V59" s="21">
        <f>IFERROR(IF([1]对账明细接口!$Q59=0,"",[1]对账明细接口!$Q59),"")</f>
        <v>81</v>
      </c>
      <c r="W59" s="20" t="str">
        <f>IFERROR(IF([1]对账明细接口!$R59=0,"",[1]对账明细接口!$R59),"")</f>
        <v>豫L*88X19</v>
      </c>
      <c r="X59" s="20" t="str">
        <f>IFERROR(IF([1]对账明细接口!$S59=0,"",[1]对账明细接口!$S59),"")</f>
        <v>公司筐</v>
      </c>
      <c r="Y59" s="20" t="str">
        <f>IFERROR(IF([1]对账明细接口!$T59=0,"",[1]对账明细接口!$T59),"")</f>
        <v/>
      </c>
      <c r="Z59" s="24" t="str">
        <f>IFERROR(IF([1]对账明细接口!$U59=0,"",[1]对账明细接口!$U59),"")</f>
        <v/>
      </c>
      <c r="AA59" s="24" t="str">
        <f>IFERROR(IF([1]对账明细接口!$V59=0,"",[1]对账明细接口!$V59),"")</f>
        <v/>
      </c>
      <c r="AB59" s="20" t="str">
        <f>IFERROR(IF([1]对账明细接口!$W59=0,"",[1]对账明细接口!$W59),"")</f>
        <v/>
      </c>
      <c r="AC59" s="7" t="str">
        <f>IFERROR(IF([1]对账明细接口!$X59=0,"",[1]对账明细接口!$X59),"")</f>
        <v/>
      </c>
      <c r="AD59" s="7" t="str">
        <f>IFERROR(IF([1]对账明细接口!$Y59=0,"",[1]对账明细接口!$Y59),"")</f>
        <v/>
      </c>
      <c r="AE59" s="7" t="str">
        <f>IFERROR(IF([1]对账明细接口!$AA59=0,"",[1]对账明细接口!$AA59),"")</f>
        <v/>
      </c>
      <c r="AF59" s="7" t="str">
        <f>IFERROR(IF([1]对账明细接口!$AB59=0,"",[1]对账明细接口!$AB59),"")</f>
        <v/>
      </c>
      <c r="AG59" s="7" t="str">
        <f>IFERROR(IF([1]对账明细接口!$AC59=0,"",[1]对账明细接口!$AC59),"")</f>
        <v/>
      </c>
      <c r="AH59" s="7" t="str">
        <f>IFERROR(IF([1]对账明细接口!$AD59=0,"",[1]对账明细接口!$AD59),"")</f>
        <v/>
      </c>
      <c r="AI59" s="7" t="str">
        <f>IFERROR(IF([1]对账明细接口!$AE59=0,"",[1]对账明细接口!$AE59),"")</f>
        <v/>
      </c>
      <c r="AJ59" s="7" t="str">
        <f>IFERROR(IF([1]对账明细接口!$AF59=0,"",[1]对账明细接口!$AF59),"")</f>
        <v/>
      </c>
    </row>
    <row r="60" ht="14.25" customHeight="1" spans="1:36">
      <c r="A60" s="14">
        <v>60</v>
      </c>
      <c r="B60" s="15">
        <f>IFERROR(IF([1]对账明细接口!$B$60=0,"",[1]对账明细接口!$B$60),"")</f>
        <v>46262</v>
      </c>
      <c r="C60" s="16" t="str">
        <f>IFERROR(IF([1]对账明细接口!$C$60=0,"",[1]对账明细接口!$C$60),"")</f>
        <v>王照雪</v>
      </c>
      <c r="D60" s="16" t="str">
        <f>IFERROR(IF([1]对账明细接口!$D$60=0,"",[1]对账明细接口!$D$60),"")</f>
        <v>原料入库</v>
      </c>
      <c r="E60" s="16" t="str">
        <f>IFERROR(IF([1]对账明细接口!$E$60=0,"",[1]对账明细接口!$E$60),"")</f>
        <v>NO0000739</v>
      </c>
      <c r="F60" s="16" t="str">
        <f>IFERROR(IF([1]对账明细接口!$F$60=0,"",[1]对账明细接口!$F$60),"")</f>
        <v>苹果</v>
      </c>
      <c r="G60" s="16" t="str">
        <f>IFERROR(IF([1]对账明细接口!$G$60=0,"",[1]对账明细接口!$G$60),"")</f>
        <v>华硕高次</v>
      </c>
      <c r="H60" s="17">
        <f>IFERROR(IF([1]对账明细接口!$H$60=0,"",[1]对账明细接口!$H$60),"")</f>
        <v>20</v>
      </c>
      <c r="I60" s="16" t="str">
        <f>IFERROR(IF([1]对账明细接口!$I$60=0,"",[1]对账明细接口!$I$60),"")</f>
        <v>筐</v>
      </c>
      <c r="J60" s="18">
        <f>IFERROR(IF([1]对账明细接口!$J$60=0,"",[1]对账明细接口!$J$60),"")</f>
        <v>346</v>
      </c>
      <c r="K60" s="18" t="str">
        <f>IFERROR(IF([1]对账明细接口!$K$60=0,"",[1]对账明细接口!$K$60),"")</f>
        <v/>
      </c>
      <c r="L60" s="16" t="str">
        <f>IFERROR(IF([1]对账明细接口!$L$60=0,"",[1]对账明细接口!$L$60),"")</f>
        <v/>
      </c>
      <c r="M60" s="16" t="str">
        <f>IFERROR(IF([1]对账明细接口!$M$60=0,"",[1]对账明细接口!$M$60),"")</f>
        <v/>
      </c>
      <c r="N60" s="19">
        <f t="shared" si="0"/>
        <v>1</v>
      </c>
      <c r="O60" s="19">
        <f t="shared" si="1"/>
        <v>57</v>
      </c>
      <c r="S60" s="20" t="str">
        <f>IFERROR(IF([1]对账明细接口!$N60=0,"",[1]对账明细接口!$N60),"")</f>
        <v>公司杂周转筐</v>
      </c>
      <c r="T60" s="21" t="str">
        <f>IFERROR(IF([1]对账明细接口!$O60=0,"",[1]对账明细接口!$O60),"")</f>
        <v/>
      </c>
      <c r="U60" s="21" t="str">
        <f>IFERROR(IF([1]对账明细接口!$P60=0,"",[1]对账明细接口!$P60),"")</f>
        <v/>
      </c>
      <c r="V60" s="21">
        <f>IFERROR(IF([1]对账明细接口!$Q60=0,"",[1]对账明细接口!$Q60),"")</f>
        <v>20</v>
      </c>
      <c r="W60" s="20" t="str">
        <f>IFERROR(IF([1]对账明细接口!$R60=0,"",[1]对账明细接口!$R60),"")</f>
        <v>豫L*88X19</v>
      </c>
      <c r="X60" s="20" t="str">
        <f>IFERROR(IF([1]对账明细接口!$S60=0,"",[1]对账明细接口!$S60),"")</f>
        <v>公司筐</v>
      </c>
      <c r="Y60" s="20" t="str">
        <f>IFERROR(IF([1]对账明细接口!$T60=0,"",[1]对账明细接口!$T60),"")</f>
        <v/>
      </c>
      <c r="Z60" s="24" t="str">
        <f>IFERROR(IF([1]对账明细接口!$U60=0,"",[1]对账明细接口!$U60),"")</f>
        <v/>
      </c>
      <c r="AA60" s="24" t="str">
        <f>IFERROR(IF([1]对账明细接口!$V60=0,"",[1]对账明细接口!$V60),"")</f>
        <v/>
      </c>
      <c r="AB60" s="20" t="str">
        <f>IFERROR(IF([1]对账明细接口!$W60=0,"",[1]对账明细接口!$W60),"")</f>
        <v/>
      </c>
      <c r="AC60" s="7" t="str">
        <f>IFERROR(IF([1]对账明细接口!$X60=0,"",[1]对账明细接口!$X60),"")</f>
        <v/>
      </c>
      <c r="AD60" s="7" t="str">
        <f>IFERROR(IF([1]对账明细接口!$Y60=0,"",[1]对账明细接口!$Y60),"")</f>
        <v/>
      </c>
      <c r="AE60" s="7" t="str">
        <f>IFERROR(IF([1]对账明细接口!$AA60=0,"",[1]对账明细接口!$AA60),"")</f>
        <v/>
      </c>
      <c r="AF60" s="7" t="str">
        <f>IFERROR(IF([1]对账明细接口!$AB60=0,"",[1]对账明细接口!$AB60),"")</f>
        <v/>
      </c>
      <c r="AG60" s="7" t="str">
        <f>IFERROR(IF([1]对账明细接口!$AC60=0,"",[1]对账明细接口!$AC60),"")</f>
        <v/>
      </c>
      <c r="AH60" s="7" t="str">
        <f>IFERROR(IF([1]对账明细接口!$AD60=0,"",[1]对账明细接口!$AD60),"")</f>
        <v/>
      </c>
      <c r="AI60" s="7" t="str">
        <f>IFERROR(IF([1]对账明细接口!$AE60=0,"",[1]对账明细接口!$AE60),"")</f>
        <v/>
      </c>
      <c r="AJ60" s="7" t="str">
        <f>IFERROR(IF([1]对账明细接口!$AF60=0,"",[1]对账明细接口!$AF60),"")</f>
        <v/>
      </c>
    </row>
    <row r="61" ht="14.25" customHeight="1" spans="1:36">
      <c r="A61" s="14">
        <v>61</v>
      </c>
      <c r="B61" s="15">
        <f>IFERROR(IF([1]对账明细接口!$B$61=0,"",[1]对账明细接口!$B$61),"")</f>
        <v>46263</v>
      </c>
      <c r="C61" s="16" t="str">
        <f>IFERROR(IF([1]对账明细接口!$C$61=0,"",[1]对账明细接口!$C$61),"")</f>
        <v>聂新平</v>
      </c>
      <c r="D61" s="16" t="str">
        <f>IFERROR(IF([1]对账明细接口!$D$61=0,"",[1]对账明细接口!$D$61),"")</f>
        <v>原料入库</v>
      </c>
      <c r="E61" s="16" t="str">
        <f>IFERROR(IF([1]对账明细接口!$E$61=0,"",[1]对账明细接口!$E$61),"")</f>
        <v>NO0000740</v>
      </c>
      <c r="F61" s="16" t="str">
        <f>IFERROR(IF([1]对账明细接口!$F$61=0,"",[1]对账明细接口!$F$61),"")</f>
        <v>苹果</v>
      </c>
      <c r="G61" s="16" t="str">
        <f>IFERROR(IF([1]对账明细接口!$G$61=0,"",[1]对账明细接口!$G$61),"")</f>
        <v>嘎啦85#</v>
      </c>
      <c r="H61" s="17">
        <f>IFERROR(IF([1]对账明细接口!$H$61=0,"",[1]对账明细接口!$H$61),"")</f>
        <v>22</v>
      </c>
      <c r="I61" s="16" t="str">
        <f>IFERROR(IF([1]对账明细接口!$I$61=0,"",[1]对账明细接口!$I$61),"")</f>
        <v>筐</v>
      </c>
      <c r="J61" s="18">
        <f>IFERROR(IF([1]对账明细接口!$J$61=0,"",[1]对账明细接口!$J$61),"")</f>
        <v>479.6</v>
      </c>
      <c r="K61" s="18" t="str">
        <f>IFERROR(IF([1]对账明细接口!$K$61=0,"",[1]对账明细接口!$K$61),"")</f>
        <v/>
      </c>
      <c r="L61" s="16" t="str">
        <f>IFERROR(IF([1]对账明细接口!$L$61=0,"",[1]对账明细接口!$L$61),"")</f>
        <v/>
      </c>
      <c r="M61" s="16" t="str">
        <f>IFERROR(IF([1]对账明细接口!$M$61=0,"",[1]对账明细接口!$M$61),"")</f>
        <v/>
      </c>
      <c r="N61" s="19">
        <f t="shared" si="0"/>
        <v>1</v>
      </c>
      <c r="O61" s="19">
        <f t="shared" si="1"/>
        <v>58</v>
      </c>
      <c r="S61" s="20" t="str">
        <f>IFERROR(IF([1]对账明细接口!$N61=0,"",[1]对账明细接口!$N61),"")</f>
        <v>自备一次性筐</v>
      </c>
      <c r="T61" s="21" t="str">
        <f>IFERROR(IF([1]对账明细接口!$O61=0,"",[1]对账明细接口!$O61),"")</f>
        <v/>
      </c>
      <c r="U61" s="21" t="str">
        <f>IFERROR(IF([1]对账明细接口!$P61=0,"",[1]对账明细接口!$P61),"")</f>
        <v/>
      </c>
      <c r="V61" s="21">
        <f>IFERROR(IF([1]对账明细接口!$Q61=0,"",[1]对账明细接口!$Q61),"")</f>
        <v>22</v>
      </c>
      <c r="W61" s="20" t="str">
        <f>IFERROR(IF([1]对账明细接口!$R61=0,"",[1]对账明细接口!$R61),"")</f>
        <v>新N*E3V16</v>
      </c>
      <c r="X61" s="20" t="str">
        <f>IFERROR(IF([1]对账明细接口!$S61=0,"",[1]对账明细接口!$S61),"")</f>
        <v>自备筐</v>
      </c>
      <c r="Y61" s="20" t="str">
        <f>IFERROR(IF([1]对账明细接口!$T61=0,"",[1]对账明细接口!$T61),"")</f>
        <v/>
      </c>
      <c r="Z61" s="24" t="str">
        <f>IFERROR(IF([1]对账明细接口!$U61=0,"",[1]对账明细接口!$U61),"")</f>
        <v/>
      </c>
      <c r="AA61" s="24" t="str">
        <f>IFERROR(IF([1]对账明细接口!$V61=0,"",[1]对账明细接口!$V61),"")</f>
        <v/>
      </c>
      <c r="AB61" s="20" t="str">
        <f>IFERROR(IF([1]对账明细接口!$W61=0,"",[1]对账明细接口!$W61),"")</f>
        <v/>
      </c>
      <c r="AC61" s="7" t="str">
        <f>IFERROR(IF([1]对账明细接口!$X61=0,"",[1]对账明细接口!$X61),"")</f>
        <v/>
      </c>
      <c r="AD61" s="7" t="str">
        <f>IFERROR(IF([1]对账明细接口!$Y61=0,"",[1]对账明细接口!$Y61),"")</f>
        <v/>
      </c>
      <c r="AE61" s="7" t="str">
        <f>IFERROR(IF([1]对账明细接口!$AA61=0,"",[1]对账明细接口!$AA61),"")</f>
        <v/>
      </c>
      <c r="AF61" s="7" t="str">
        <f>IFERROR(IF([1]对账明细接口!$AB61=0,"",[1]对账明细接口!$AB61),"")</f>
        <v/>
      </c>
      <c r="AG61" s="7" t="str">
        <f>IFERROR(IF([1]对账明细接口!$AC61=0,"",[1]对账明细接口!$AC61),"")</f>
        <v/>
      </c>
      <c r="AH61" s="7" t="str">
        <f>IFERROR(IF([1]对账明细接口!$AD61=0,"",[1]对账明细接口!$AD61),"")</f>
        <v/>
      </c>
      <c r="AI61" s="7" t="str">
        <f>IFERROR(IF([1]对账明细接口!$AE61=0,"",[1]对账明细接口!$AE61),"")</f>
        <v/>
      </c>
      <c r="AJ61" s="7" t="str">
        <f>IFERROR(IF([1]对账明细接口!$AF61=0,"",[1]对账明细接口!$AF61),"")</f>
        <v/>
      </c>
    </row>
    <row r="62" ht="14.25" customHeight="1" spans="1:36">
      <c r="A62" s="14">
        <v>62</v>
      </c>
      <c r="B62" s="15">
        <f>IFERROR(IF([1]对账明细接口!$B$62=0,"",[1]对账明细接口!$B$62),"")</f>
        <v>46263</v>
      </c>
      <c r="C62" s="16" t="str">
        <f>IFERROR(IF([1]对账明细接口!$C$62=0,"",[1]对账明细接口!$C$62),"")</f>
        <v>聂新平</v>
      </c>
      <c r="D62" s="16" t="str">
        <f>IFERROR(IF([1]对账明细接口!$D$62=0,"",[1]对账明细接口!$D$62),"")</f>
        <v>原料入库</v>
      </c>
      <c r="E62" s="16" t="str">
        <f>IFERROR(IF([1]对账明细接口!$E$62=0,"",[1]对账明细接口!$E$62),"")</f>
        <v>NO0000740</v>
      </c>
      <c r="F62" s="16" t="str">
        <f>IFERROR(IF([1]对账明细接口!$F$62=0,"",[1]对账明细接口!$F$62),"")</f>
        <v>苹果</v>
      </c>
      <c r="G62" s="16" t="str">
        <f>IFERROR(IF([1]对账明细接口!$G$62=0,"",[1]对账明细接口!$G$62),"")</f>
        <v>嘎啦100#</v>
      </c>
      <c r="H62" s="17">
        <f>IFERROR(IF([1]对账明细接口!$H$62=0,"",[1]对账明细接口!$H$62),"")</f>
        <v>48</v>
      </c>
      <c r="I62" s="16" t="str">
        <f>IFERROR(IF([1]对账明细接口!$I$62=0,"",[1]对账明细接口!$I$62),"")</f>
        <v>筐</v>
      </c>
      <c r="J62" s="18">
        <f>IFERROR(IF([1]对账明细接口!$J$62=0,"",[1]对账明细接口!$J$62),"")</f>
        <v>1046.4</v>
      </c>
      <c r="K62" s="18" t="str">
        <f>IFERROR(IF([1]对账明细接口!$K$62=0,"",[1]对账明细接口!$K$62),"")</f>
        <v/>
      </c>
      <c r="L62" s="16" t="str">
        <f>IFERROR(IF([1]对账明细接口!$L$62=0,"",[1]对账明细接口!$L$62),"")</f>
        <v/>
      </c>
      <c r="M62" s="16" t="str">
        <f>IFERROR(IF([1]对账明细接口!$M$62=0,"",[1]对账明细接口!$M$62),"")</f>
        <v/>
      </c>
      <c r="N62" s="19">
        <f t="shared" si="0"/>
        <v>1</v>
      </c>
      <c r="O62" s="19">
        <f t="shared" si="1"/>
        <v>59</v>
      </c>
      <c r="S62" s="20" t="str">
        <f>IFERROR(IF([1]对账明细接口!$N62=0,"",[1]对账明细接口!$N62),"")</f>
        <v>自备一次性筐</v>
      </c>
      <c r="T62" s="21" t="str">
        <f>IFERROR(IF([1]对账明细接口!$O62=0,"",[1]对账明细接口!$O62),"")</f>
        <v/>
      </c>
      <c r="U62" s="21" t="str">
        <f>IFERROR(IF([1]对账明细接口!$P62=0,"",[1]对账明细接口!$P62),"")</f>
        <v/>
      </c>
      <c r="V62" s="21">
        <f>IFERROR(IF([1]对账明细接口!$Q62=0,"",[1]对账明细接口!$Q62),"")</f>
        <v>48</v>
      </c>
      <c r="W62" s="20" t="str">
        <f>IFERROR(IF([1]对账明细接口!$R62=0,"",[1]对账明细接口!$R62),"")</f>
        <v>新N*E3V16</v>
      </c>
      <c r="X62" s="20" t="str">
        <f>IFERROR(IF([1]对账明细接口!$S62=0,"",[1]对账明细接口!$S62),"")</f>
        <v>自备筐</v>
      </c>
      <c r="Y62" s="20" t="str">
        <f>IFERROR(IF([1]对账明细接口!$T62=0,"",[1]对账明细接口!$T62),"")</f>
        <v/>
      </c>
      <c r="Z62" s="24" t="str">
        <f>IFERROR(IF([1]对账明细接口!$U62=0,"",[1]对账明细接口!$U62),"")</f>
        <v/>
      </c>
      <c r="AA62" s="24" t="str">
        <f>IFERROR(IF([1]对账明细接口!$V62=0,"",[1]对账明细接口!$V62),"")</f>
        <v/>
      </c>
      <c r="AB62" s="20" t="str">
        <f>IFERROR(IF([1]对账明细接口!$W62=0,"",[1]对账明细接口!$W62),"")</f>
        <v/>
      </c>
      <c r="AC62" s="7" t="str">
        <f>IFERROR(IF([1]对账明细接口!$X62=0,"",[1]对账明细接口!$X62),"")</f>
        <v/>
      </c>
      <c r="AD62" s="7" t="str">
        <f>IFERROR(IF([1]对账明细接口!$Y62=0,"",[1]对账明细接口!$Y62),"")</f>
        <v/>
      </c>
      <c r="AE62" s="7" t="str">
        <f>IFERROR(IF([1]对账明细接口!$AA62=0,"",[1]对账明细接口!$AA62),"")</f>
        <v/>
      </c>
      <c r="AF62" s="7" t="str">
        <f>IFERROR(IF([1]对账明细接口!$AB62=0,"",[1]对账明细接口!$AB62),"")</f>
        <v/>
      </c>
      <c r="AG62" s="7" t="str">
        <f>IFERROR(IF([1]对账明细接口!$AC62=0,"",[1]对账明细接口!$AC62),"")</f>
        <v/>
      </c>
      <c r="AH62" s="7" t="str">
        <f>IFERROR(IF([1]对账明细接口!$AD62=0,"",[1]对账明细接口!$AD62),"")</f>
        <v/>
      </c>
      <c r="AI62" s="7" t="str">
        <f>IFERROR(IF([1]对账明细接口!$AE62=0,"",[1]对账明细接口!$AE62),"")</f>
        <v/>
      </c>
      <c r="AJ62" s="7" t="str">
        <f>IFERROR(IF([1]对账明细接口!$AF62=0,"",[1]对账明细接口!$AF62),"")</f>
        <v/>
      </c>
    </row>
    <row r="63" ht="14.25" customHeight="1" spans="1:36">
      <c r="A63" s="14">
        <v>63</v>
      </c>
      <c r="B63" s="15">
        <f>IFERROR(IF([1]对账明细接口!$B$63=0,"",[1]对账明细接口!$B$63),"")</f>
        <v>46266</v>
      </c>
      <c r="C63" s="16" t="str">
        <f>IFERROR(IF([1]对账明细接口!$C$63=0,"",[1]对账明细接口!$C$63),"")</f>
        <v>聂新平</v>
      </c>
      <c r="D63" s="16" t="str">
        <f>IFERROR(IF([1]对账明细接口!$D$63=0,"",[1]对账明细接口!$D$63),"")</f>
        <v>原料入库</v>
      </c>
      <c r="E63" s="16" t="str">
        <f>IFERROR(IF([1]对账明细接口!$E$63=0,"",[1]对账明细接口!$E$63),"")</f>
        <v>NO0000741</v>
      </c>
      <c r="F63" s="16" t="str">
        <f>IFERROR(IF([1]对账明细接口!$F$63=0,"",[1]对账明细接口!$F$63),"")</f>
        <v>苹果</v>
      </c>
      <c r="G63" s="16" t="str">
        <f>IFERROR(IF([1]对账明细接口!$G$63=0,"",[1]对账明细接口!$G$63),"")</f>
        <v>嘎啦85#</v>
      </c>
      <c r="H63" s="17">
        <f>IFERROR(IF([1]对账明细接口!$H$63=0,"",[1]对账明细接口!$H$63),"")</f>
        <v>14</v>
      </c>
      <c r="I63" s="16" t="str">
        <f>IFERROR(IF([1]对账明细接口!$I$63=0,"",[1]对账明细接口!$I$63),"")</f>
        <v>筐</v>
      </c>
      <c r="J63" s="18">
        <f>IFERROR(IF([1]对账明细接口!$J$63=0,"",[1]对账明细接口!$J$63),"")</f>
        <v>305.2</v>
      </c>
      <c r="K63" s="18" t="str">
        <f>IFERROR(IF([1]对账明细接口!$K$63=0,"",[1]对账明细接口!$K$63),"")</f>
        <v/>
      </c>
      <c r="L63" s="16" t="str">
        <f>IFERROR(IF([1]对账明细接口!$L$63=0,"",[1]对账明细接口!$L$63),"")</f>
        <v/>
      </c>
      <c r="M63" s="16" t="str">
        <f>IFERROR(IF([1]对账明细接口!$M$63=0,"",[1]对账明细接口!$M$63),"")</f>
        <v/>
      </c>
      <c r="N63" s="19">
        <f t="shared" si="0"/>
        <v>1</v>
      </c>
      <c r="O63" s="19">
        <f t="shared" si="1"/>
        <v>60</v>
      </c>
      <c r="S63" s="20" t="str">
        <f>IFERROR(IF([1]对账明细接口!$N63=0,"",[1]对账明细接口!$N63),"")</f>
        <v>自备一次性筐</v>
      </c>
      <c r="T63" s="21" t="str">
        <f>IFERROR(IF([1]对账明细接口!$O63=0,"",[1]对账明细接口!$O63),"")</f>
        <v/>
      </c>
      <c r="U63" s="21" t="str">
        <f>IFERROR(IF([1]对账明细接口!$P63=0,"",[1]对账明细接口!$P63),"")</f>
        <v/>
      </c>
      <c r="V63" s="21">
        <f>IFERROR(IF([1]对账明细接口!$Q63=0,"",[1]对账明细接口!$Q63),"")</f>
        <v>14</v>
      </c>
      <c r="W63" s="20" t="str">
        <f>IFERROR(IF([1]对账明细接口!$R63=0,"",[1]对账明细接口!$R63),"")</f>
        <v>苏M*7G796</v>
      </c>
      <c r="X63" s="20" t="str">
        <f>IFERROR(IF([1]对账明细接口!$S63=0,"",[1]对账明细接口!$S63),"")</f>
        <v>自备筐</v>
      </c>
      <c r="Y63" s="20" t="str">
        <f>IFERROR(IF([1]对账明细接口!$T63=0,"",[1]对账明细接口!$T63),"")</f>
        <v/>
      </c>
      <c r="Z63" s="24" t="str">
        <f>IFERROR(IF([1]对账明细接口!$U63=0,"",[1]对账明细接口!$U63),"")</f>
        <v/>
      </c>
      <c r="AA63" s="24" t="str">
        <f>IFERROR(IF([1]对账明细接口!$V63=0,"",[1]对账明细接口!$V63),"")</f>
        <v/>
      </c>
      <c r="AB63" s="20" t="str">
        <f>IFERROR(IF([1]对账明细接口!$W63=0,"",[1]对账明细接口!$W63),"")</f>
        <v/>
      </c>
      <c r="AC63" s="7" t="str">
        <f>IFERROR(IF([1]对账明细接口!$X63=0,"",[1]对账明细接口!$X63),"")</f>
        <v/>
      </c>
      <c r="AD63" s="7" t="str">
        <f>IFERROR(IF([1]对账明细接口!$Y63=0,"",[1]对账明细接口!$Y63),"")</f>
        <v/>
      </c>
      <c r="AE63" s="7" t="str">
        <f>IFERROR(IF([1]对账明细接口!$AA63=0,"",[1]对账明细接口!$AA63),"")</f>
        <v/>
      </c>
      <c r="AF63" s="7" t="str">
        <f>IFERROR(IF([1]对账明细接口!$AB63=0,"",[1]对账明细接口!$AB63),"")</f>
        <v/>
      </c>
      <c r="AG63" s="7" t="str">
        <f>IFERROR(IF([1]对账明细接口!$AC63=0,"",[1]对账明细接口!$AC63),"")</f>
        <v/>
      </c>
      <c r="AH63" s="7" t="str">
        <f>IFERROR(IF([1]对账明细接口!$AD63=0,"",[1]对账明细接口!$AD63),"")</f>
        <v/>
      </c>
      <c r="AI63" s="7" t="str">
        <f>IFERROR(IF([1]对账明细接口!$AE63=0,"",[1]对账明细接口!$AE63),"")</f>
        <v/>
      </c>
      <c r="AJ63" s="7" t="str">
        <f>IFERROR(IF([1]对账明细接口!$AF63=0,"",[1]对账明细接口!$AF63),"")</f>
        <v/>
      </c>
    </row>
    <row r="64" ht="14.25" customHeight="1" spans="1:36">
      <c r="A64" s="14">
        <v>64</v>
      </c>
      <c r="B64" s="15">
        <f>IFERROR(IF([1]对账明细接口!$B$64=0,"",[1]对账明细接口!$B$64),"")</f>
        <v>46266</v>
      </c>
      <c r="C64" s="16" t="str">
        <f>IFERROR(IF([1]对账明细接口!$C$64=0,"",[1]对账明细接口!$C$64),"")</f>
        <v>王照雪</v>
      </c>
      <c r="D64" s="16" t="str">
        <f>IFERROR(IF([1]对账明细接口!$D$64=0,"",[1]对账明细接口!$D$64),"")</f>
        <v>原料入库</v>
      </c>
      <c r="E64" s="16" t="str">
        <f>IFERROR(IF([1]对账明细接口!$E$64=0,"",[1]对账明细接口!$E$64),"")</f>
        <v>NO0000742</v>
      </c>
      <c r="F64" s="16" t="str">
        <f>IFERROR(IF([1]对账明细接口!$F$64=0,"",[1]对账明细接口!$F$64),"")</f>
        <v>苹果</v>
      </c>
      <c r="G64" s="16" t="str">
        <f>IFERROR(IF([1]对账明细接口!$G$64=0,"",[1]对账明细接口!$G$64),"")</f>
        <v>华硕一级</v>
      </c>
      <c r="H64" s="17">
        <f>IFERROR(IF([1]对账明细接口!$H$64=0,"",[1]对账明细接口!$H$64),"")</f>
        <v>13</v>
      </c>
      <c r="I64" s="16" t="str">
        <f>IFERROR(IF([1]对账明细接口!$I$64=0,"",[1]对账明细接口!$I$64),"")</f>
        <v>筐</v>
      </c>
      <c r="J64" s="18">
        <f>IFERROR(IF([1]对账明细接口!$J$64=0,"",[1]对账明细接口!$J$64),"")</f>
        <v>224.9</v>
      </c>
      <c r="K64" s="18" t="str">
        <f>IFERROR(IF([1]对账明细接口!$K$64=0,"",[1]对账明细接口!$K$64),"")</f>
        <v/>
      </c>
      <c r="L64" s="16" t="str">
        <f>IFERROR(IF([1]对账明细接口!$L$64=0,"",[1]对账明细接口!$L$64),"")</f>
        <v/>
      </c>
      <c r="M64" s="16" t="str">
        <f>IFERROR(IF([1]对账明细接口!$M$64=0,"",[1]对账明细接口!$M$64),"")</f>
        <v/>
      </c>
      <c r="N64" s="19">
        <f t="shared" si="0"/>
        <v>1</v>
      </c>
      <c r="O64" s="19">
        <f t="shared" si="1"/>
        <v>61</v>
      </c>
      <c r="S64" s="20" t="str">
        <f>IFERROR(IF([1]对账明细接口!$N64=0,"",[1]对账明细接口!$N64),"")</f>
        <v>公司杂周转筐</v>
      </c>
      <c r="T64" s="21" t="str">
        <f>IFERROR(IF([1]对账明细接口!$O64=0,"",[1]对账明细接口!$O64),"")</f>
        <v/>
      </c>
      <c r="U64" s="21" t="str">
        <f>IFERROR(IF([1]对账明细接口!$P64=0,"",[1]对账明细接口!$P64),"")</f>
        <v/>
      </c>
      <c r="V64" s="21">
        <f>IFERROR(IF([1]对账明细接口!$Q64=0,"",[1]对账明细接口!$Q64),"")</f>
        <v>13</v>
      </c>
      <c r="W64" s="20" t="str">
        <f>IFERROR(IF([1]对账明细接口!$R64=0,"",[1]对账明细接口!$R64),"")</f>
        <v>新N*D1W48</v>
      </c>
      <c r="X64" s="20" t="str">
        <f>IFERROR(IF([1]对账明细接口!$S64=0,"",[1]对账明细接口!$S64),"")</f>
        <v>公司筐</v>
      </c>
      <c r="Y64" s="20" t="str">
        <f>IFERROR(IF([1]对账明细接口!$T64=0,"",[1]对账明细接口!$T64),"")</f>
        <v/>
      </c>
      <c r="Z64" s="24" t="str">
        <f>IFERROR(IF([1]对账明细接口!$U64=0,"",[1]对账明细接口!$U64),"")</f>
        <v/>
      </c>
      <c r="AA64" s="24" t="str">
        <f>IFERROR(IF([1]对账明细接口!$V64=0,"",[1]对账明细接口!$V64),"")</f>
        <v/>
      </c>
      <c r="AB64" s="20" t="str">
        <f>IFERROR(IF([1]对账明细接口!$W64=0,"",[1]对账明细接口!$W64),"")</f>
        <v/>
      </c>
      <c r="AC64" s="7" t="str">
        <f>IFERROR(IF([1]对账明细接口!$X64=0,"",[1]对账明细接口!$X64),"")</f>
        <v/>
      </c>
      <c r="AD64" s="7" t="str">
        <f>IFERROR(IF([1]对账明细接口!$Y64=0,"",[1]对账明细接口!$Y64),"")</f>
        <v/>
      </c>
      <c r="AE64" s="7" t="str">
        <f>IFERROR(IF([1]对账明细接口!$AA64=0,"",[1]对账明细接口!$AA64),"")</f>
        <v/>
      </c>
      <c r="AF64" s="7" t="str">
        <f>IFERROR(IF([1]对账明细接口!$AB64=0,"",[1]对账明细接口!$AB64),"")</f>
        <v/>
      </c>
      <c r="AG64" s="7" t="str">
        <f>IFERROR(IF([1]对账明细接口!$AC64=0,"",[1]对账明细接口!$AC64),"")</f>
        <v/>
      </c>
      <c r="AH64" s="7" t="str">
        <f>IFERROR(IF([1]对账明细接口!$AD64=0,"",[1]对账明细接口!$AD64),"")</f>
        <v/>
      </c>
      <c r="AI64" s="7" t="str">
        <f>IFERROR(IF([1]对账明细接口!$AE64=0,"",[1]对账明细接口!$AE64),"")</f>
        <v/>
      </c>
      <c r="AJ64" s="7" t="str">
        <f>IFERROR(IF([1]对账明细接口!$AF64=0,"",[1]对账明细接口!$AF64),"")</f>
        <v/>
      </c>
    </row>
    <row r="65" ht="14.25" customHeight="1" spans="1:36">
      <c r="A65" s="14">
        <v>65</v>
      </c>
      <c r="B65" s="15">
        <f>IFERROR(IF([1]对账明细接口!$B$65=0,"",[1]对账明细接口!$B$65),"")</f>
        <v>46266</v>
      </c>
      <c r="C65" s="16" t="str">
        <f>IFERROR(IF([1]对账明细接口!$C$65=0,"",[1]对账明细接口!$C$65),"")</f>
        <v>王照雪</v>
      </c>
      <c r="D65" s="16" t="str">
        <f>IFERROR(IF([1]对账明细接口!$D$65=0,"",[1]对账明细接口!$D$65),"")</f>
        <v>原料入库</v>
      </c>
      <c r="E65" s="16" t="str">
        <f>IFERROR(IF([1]对账明细接口!$E$65=0,"",[1]对账明细接口!$E$65),"")</f>
        <v>NO0000742</v>
      </c>
      <c r="F65" s="16" t="str">
        <f>IFERROR(IF([1]对账明细接口!$F$65=0,"",[1]对账明细接口!$F$65),"")</f>
        <v>苹果</v>
      </c>
      <c r="G65" s="16" t="str">
        <f>IFERROR(IF([1]对账明细接口!$G$65=0,"",[1]对账明细接口!$G$65),"")</f>
        <v>华硕二级</v>
      </c>
      <c r="H65" s="17">
        <f>IFERROR(IF([1]对账明细接口!$H$65=0,"",[1]对账明细接口!$H$65),"")</f>
        <v>27</v>
      </c>
      <c r="I65" s="16" t="str">
        <f>IFERROR(IF([1]对账明细接口!$I$65=0,"",[1]对账明细接口!$I$65),"")</f>
        <v>筐</v>
      </c>
      <c r="J65" s="18">
        <f>IFERROR(IF([1]对账明细接口!$J$65=0,"",[1]对账明细接口!$J$65),"")</f>
        <v>440.1</v>
      </c>
      <c r="K65" s="18" t="str">
        <f>IFERROR(IF([1]对账明细接口!$K$65=0,"",[1]对账明细接口!$K$65),"")</f>
        <v/>
      </c>
      <c r="L65" s="16" t="str">
        <f>IFERROR(IF([1]对账明细接口!$L$65=0,"",[1]对账明细接口!$L$65),"")</f>
        <v/>
      </c>
      <c r="M65" s="16" t="str">
        <f>IFERROR(IF([1]对账明细接口!$M$65=0,"",[1]对账明细接口!$M$65),"")</f>
        <v/>
      </c>
      <c r="N65" s="19">
        <f t="shared" si="0"/>
        <v>1</v>
      </c>
      <c r="O65" s="19">
        <f t="shared" si="1"/>
        <v>62</v>
      </c>
      <c r="S65" s="20" t="str">
        <f>IFERROR(IF([1]对账明细接口!$N65=0,"",[1]对账明细接口!$N65),"")</f>
        <v>公司杂周转筐</v>
      </c>
      <c r="T65" s="21" t="str">
        <f>IFERROR(IF([1]对账明细接口!$O65=0,"",[1]对账明细接口!$O65),"")</f>
        <v/>
      </c>
      <c r="U65" s="21" t="str">
        <f>IFERROR(IF([1]对账明细接口!$P65=0,"",[1]对账明细接口!$P65),"")</f>
        <v/>
      </c>
      <c r="V65" s="21">
        <f>IFERROR(IF([1]对账明细接口!$Q65=0,"",[1]对账明细接口!$Q65),"")</f>
        <v>27</v>
      </c>
      <c r="W65" s="20" t="str">
        <f>IFERROR(IF([1]对账明细接口!$R65=0,"",[1]对账明细接口!$R65),"")</f>
        <v>新N*D1W48</v>
      </c>
      <c r="X65" s="20" t="str">
        <f>IFERROR(IF([1]对账明细接口!$S65=0,"",[1]对账明细接口!$S65),"")</f>
        <v>公司筐</v>
      </c>
      <c r="Y65" s="20" t="str">
        <f>IFERROR(IF([1]对账明细接口!$T65=0,"",[1]对账明细接口!$T65),"")</f>
        <v/>
      </c>
      <c r="Z65" s="24" t="str">
        <f>IFERROR(IF([1]对账明细接口!$U65=0,"",[1]对账明细接口!$U65),"")</f>
        <v/>
      </c>
      <c r="AA65" s="24" t="str">
        <f>IFERROR(IF([1]对账明细接口!$V65=0,"",[1]对账明细接口!$V65),"")</f>
        <v/>
      </c>
      <c r="AB65" s="20" t="str">
        <f>IFERROR(IF([1]对账明细接口!$W65=0,"",[1]对账明细接口!$W65),"")</f>
        <v/>
      </c>
      <c r="AC65" s="7" t="str">
        <f>IFERROR(IF([1]对账明细接口!$X65=0,"",[1]对账明细接口!$X65),"")</f>
        <v/>
      </c>
      <c r="AD65" s="7" t="str">
        <f>IFERROR(IF([1]对账明细接口!$Y65=0,"",[1]对账明细接口!$Y65),"")</f>
        <v/>
      </c>
      <c r="AE65" s="7" t="str">
        <f>IFERROR(IF([1]对账明细接口!$AA65=0,"",[1]对账明细接口!$AA65),"")</f>
        <v/>
      </c>
      <c r="AF65" s="7" t="str">
        <f>IFERROR(IF([1]对账明细接口!$AB65=0,"",[1]对账明细接口!$AB65),"")</f>
        <v/>
      </c>
      <c r="AG65" s="7" t="str">
        <f>IFERROR(IF([1]对账明细接口!$AC65=0,"",[1]对账明细接口!$AC65),"")</f>
        <v/>
      </c>
      <c r="AH65" s="7" t="str">
        <f>IFERROR(IF([1]对账明细接口!$AD65=0,"",[1]对账明细接口!$AD65),"")</f>
        <v/>
      </c>
      <c r="AI65" s="7" t="str">
        <f>IFERROR(IF([1]对账明细接口!$AE65=0,"",[1]对账明细接口!$AE65),"")</f>
        <v/>
      </c>
      <c r="AJ65" s="7" t="str">
        <f>IFERROR(IF([1]对账明细接口!$AF65=0,"",[1]对账明细接口!$AF65),"")</f>
        <v/>
      </c>
    </row>
    <row r="66" ht="14.25" customHeight="1" spans="1:36">
      <c r="A66" s="14">
        <v>66</v>
      </c>
      <c r="B66" s="15">
        <f>IFERROR(IF([1]对账明细接口!$B$66=0,"",[1]对账明细接口!$B$66),"")</f>
        <v>46266</v>
      </c>
      <c r="C66" s="16" t="str">
        <f>IFERROR(IF([1]对账明细接口!$C$66=0,"",[1]对账明细接口!$C$66),"")</f>
        <v>王照雪</v>
      </c>
      <c r="D66" s="16" t="str">
        <f>IFERROR(IF([1]对账明细接口!$D$66=0,"",[1]对账明细接口!$D$66),"")</f>
        <v>原料入库</v>
      </c>
      <c r="E66" s="16" t="str">
        <f>IFERROR(IF([1]对账明细接口!$E$66=0,"",[1]对账明细接口!$E$66),"")</f>
        <v>NO0000742</v>
      </c>
      <c r="F66" s="16" t="str">
        <f>IFERROR(IF([1]对账明细接口!$F$66=0,"",[1]对账明细接口!$F$66),"")</f>
        <v>苹果</v>
      </c>
      <c r="G66" s="16" t="str">
        <f>IFERROR(IF([1]对账明细接口!$G$66=0,"",[1]对账明细接口!$G$66),"")</f>
        <v>华硕高次</v>
      </c>
      <c r="H66" s="17">
        <f>IFERROR(IF([1]对账明细接口!$H$66=0,"",[1]对账明细接口!$H$66),"")</f>
        <v>13</v>
      </c>
      <c r="I66" s="16" t="str">
        <f>IFERROR(IF([1]对账明细接口!$I$66=0,"",[1]对账明细接口!$I$66),"")</f>
        <v>筐</v>
      </c>
      <c r="J66" s="18">
        <f>IFERROR(IF([1]对账明细接口!$J$66=0,"",[1]对账明细接口!$J$66),"")</f>
        <v>224.9</v>
      </c>
      <c r="K66" s="18" t="str">
        <f>IFERROR(IF([1]对账明细接口!$K$66=0,"",[1]对账明细接口!$K$66),"")</f>
        <v/>
      </c>
      <c r="L66" s="16" t="str">
        <f>IFERROR(IF([1]对账明细接口!$L$66=0,"",[1]对账明细接口!$L$66),"")</f>
        <v/>
      </c>
      <c r="M66" s="16" t="str">
        <f>IFERROR(IF([1]对账明细接口!$M$66=0,"",[1]对账明细接口!$M$66),"")</f>
        <v/>
      </c>
      <c r="N66" s="19">
        <f t="shared" si="0"/>
        <v>1</v>
      </c>
      <c r="O66" s="19">
        <f t="shared" si="1"/>
        <v>63</v>
      </c>
      <c r="S66" s="20" t="str">
        <f>IFERROR(IF([1]对账明细接口!$N66=0,"",[1]对账明细接口!$N66),"")</f>
        <v>公司杂周转筐</v>
      </c>
      <c r="T66" s="21" t="str">
        <f>IFERROR(IF([1]对账明细接口!$O66=0,"",[1]对账明细接口!$O66),"")</f>
        <v/>
      </c>
      <c r="U66" s="21" t="str">
        <f>IFERROR(IF([1]对账明细接口!$P66=0,"",[1]对账明细接口!$P66),"")</f>
        <v/>
      </c>
      <c r="V66" s="21">
        <f>IFERROR(IF([1]对账明细接口!$Q66=0,"",[1]对账明细接口!$Q66),"")</f>
        <v>13</v>
      </c>
      <c r="W66" s="20" t="str">
        <f>IFERROR(IF([1]对账明细接口!$R66=0,"",[1]对账明细接口!$R66),"")</f>
        <v>新N*D1W48</v>
      </c>
      <c r="X66" s="20" t="str">
        <f>IFERROR(IF([1]对账明细接口!$S66=0,"",[1]对账明细接口!$S66),"")</f>
        <v>公司筐</v>
      </c>
      <c r="Y66" s="20" t="str">
        <f>IFERROR(IF([1]对账明细接口!$T66=0,"",[1]对账明细接口!$T66),"")</f>
        <v/>
      </c>
      <c r="Z66" s="24" t="str">
        <f>IFERROR(IF([1]对账明细接口!$U66=0,"",[1]对账明细接口!$U66),"")</f>
        <v/>
      </c>
      <c r="AA66" s="24" t="str">
        <f>IFERROR(IF([1]对账明细接口!$V66=0,"",[1]对账明细接口!$V66),"")</f>
        <v/>
      </c>
      <c r="AB66" s="20" t="str">
        <f>IFERROR(IF([1]对账明细接口!$W66=0,"",[1]对账明细接口!$W66),"")</f>
        <v/>
      </c>
      <c r="AC66" s="7" t="str">
        <f>IFERROR(IF([1]对账明细接口!$X66=0,"",[1]对账明细接口!$X66),"")</f>
        <v/>
      </c>
      <c r="AD66" s="7" t="str">
        <f>IFERROR(IF([1]对账明细接口!$Y66=0,"",[1]对账明细接口!$Y66),"")</f>
        <v/>
      </c>
      <c r="AE66" s="7" t="str">
        <f>IFERROR(IF([1]对账明细接口!$AA66=0,"",[1]对账明细接口!$AA66),"")</f>
        <v/>
      </c>
      <c r="AF66" s="7" t="str">
        <f>IFERROR(IF([1]对账明细接口!$AB66=0,"",[1]对账明细接口!$AB66),"")</f>
        <v/>
      </c>
      <c r="AG66" s="7" t="str">
        <f>IFERROR(IF([1]对账明细接口!$AC66=0,"",[1]对账明细接口!$AC66),"")</f>
        <v/>
      </c>
      <c r="AH66" s="7" t="str">
        <f>IFERROR(IF([1]对账明细接口!$AD66=0,"",[1]对账明细接口!$AD66),"")</f>
        <v/>
      </c>
      <c r="AI66" s="7" t="str">
        <f>IFERROR(IF([1]对账明细接口!$AE66=0,"",[1]对账明细接口!$AE66),"")</f>
        <v/>
      </c>
      <c r="AJ66" s="7" t="str">
        <f>IFERROR(IF([1]对账明细接口!$AF66=0,"",[1]对账明细接口!$AF66),"")</f>
        <v/>
      </c>
    </row>
    <row r="67" ht="14.25" customHeight="1" spans="1:36">
      <c r="A67" s="14">
        <v>67</v>
      </c>
      <c r="B67" s="15">
        <f>IFERROR(IF([1]对账明细接口!$B$67=0,"",[1]对账明细接口!$B$67),"")</f>
        <v>46252</v>
      </c>
      <c r="C67" s="16" t="str">
        <f>IFERROR(IF([1]对账明细接口!$C$67=0,"",[1]对账明细接口!$C$67),"")</f>
        <v>聂新平</v>
      </c>
      <c r="D67" s="16" t="str">
        <f>IFERROR(IF([1]对账明细接口!$D$67=0,"",[1]对账明细接口!$D$67),"")</f>
        <v>原料入库</v>
      </c>
      <c r="E67" s="16" t="str">
        <f>IFERROR(IF([1]对账明细接口!$E$67=0,"",[1]对账明细接口!$E$67),"")</f>
        <v>NO:0000775</v>
      </c>
      <c r="F67" s="16" t="str">
        <f>IFERROR(IF([1]对账明细接口!$F$67=0,"",[1]对账明细接口!$F$67),"")</f>
        <v>西梅</v>
      </c>
      <c r="G67" s="16" t="str">
        <f>IFERROR(IF([1]对账明细接口!$G$67=0,"",[1]对账明细接口!$G$67),"")</f>
        <v>西梅二级</v>
      </c>
      <c r="H67" s="17">
        <f>IFERROR(IF([1]对账明细接口!$H$67=0,"",[1]对账明细接口!$H$67),"")</f>
        <v>336</v>
      </c>
      <c r="I67" s="16" t="str">
        <f>IFERROR(IF([1]对账明细接口!$I$67=0,"",[1]对账明细接口!$I$67),"")</f>
        <v>筐</v>
      </c>
      <c r="J67" s="18">
        <f>IFERROR(IF([1]对账明细接口!$J$67=0,"",[1]对账明细接口!$J$67),"")</f>
        <v>672</v>
      </c>
      <c r="K67" s="18" t="str">
        <f>IFERROR(IF([1]对账明细接口!$K$67=0,"",[1]对账明细接口!$K$67),"")</f>
        <v/>
      </c>
      <c r="L67" s="16" t="str">
        <f>IFERROR(IF([1]对账明细接口!$L$67=0,"",[1]对账明细接口!$L$67),"")</f>
        <v/>
      </c>
      <c r="M67" s="16" t="str">
        <f>IFERROR(IF([1]对账明细接口!$M$67=0,"",[1]对账明细接口!$M$67),"")</f>
        <v/>
      </c>
      <c r="N67" s="19">
        <f t="shared" si="0"/>
        <v>1</v>
      </c>
      <c r="O67" s="19">
        <f t="shared" si="1"/>
        <v>64</v>
      </c>
      <c r="S67" s="20" t="str">
        <f>IFERROR(IF([1]对账明细接口!$N67=0,"",[1]对账明细接口!$N67),"")</f>
        <v>自备一次性筐</v>
      </c>
      <c r="T67" s="21" t="str">
        <f>IFERROR(IF([1]对账明细接口!$O67=0,"",[1]对账明细接口!$O67),"")</f>
        <v/>
      </c>
      <c r="U67" s="21" t="str">
        <f>IFERROR(IF([1]对账明细接口!$P67=0,"",[1]对账明细接口!$P67),"")</f>
        <v/>
      </c>
      <c r="V67" s="21">
        <f>IFERROR(IF([1]对账明细接口!$Q67=0,"",[1]对账明细接口!$Q67),"")</f>
        <v>336</v>
      </c>
      <c r="W67" s="20" t="str">
        <f>IFERROR(IF([1]对账明细接口!$R67=0,"",[1]对账明细接口!$R67),"")</f>
        <v>苏M*7G796</v>
      </c>
      <c r="X67" s="20" t="str">
        <f>IFERROR(IF([1]对账明细接口!$S67=0,"",[1]对账明细接口!$S67),"")</f>
        <v>自备筐</v>
      </c>
      <c r="Y67" s="20" t="str">
        <f>IFERROR(IF([1]对账明细接口!$T67=0,"",[1]对账明细接口!$T67),"")</f>
        <v/>
      </c>
      <c r="Z67" s="24" t="str">
        <f>IFERROR(IF([1]对账明细接口!$U67=0,"",[1]对账明细接口!$U67),"")</f>
        <v/>
      </c>
      <c r="AA67" s="24" t="str">
        <f>IFERROR(IF([1]对账明细接口!$V67=0,"",[1]对账明细接口!$V67),"")</f>
        <v/>
      </c>
      <c r="AB67" s="20" t="str">
        <f>IFERROR(IF([1]对账明细接口!$W67=0,"",[1]对账明细接口!$W67),"")</f>
        <v/>
      </c>
      <c r="AC67" s="7" t="str">
        <f>IFERROR(IF([1]对账明细接口!$X67=0,"",[1]对账明细接口!$X67),"")</f>
        <v/>
      </c>
      <c r="AD67" s="7" t="str">
        <f>IFERROR(IF([1]对账明细接口!$Y67=0,"",[1]对账明细接口!$Y67),"")</f>
        <v/>
      </c>
      <c r="AE67" s="7" t="str">
        <f>IFERROR(IF([1]对账明细接口!$AA67=0,"",[1]对账明细接口!$AA67),"")</f>
        <v/>
      </c>
      <c r="AF67" s="7" t="str">
        <f>IFERROR(IF([1]对账明细接口!$AB67=0,"",[1]对账明细接口!$AB67),"")</f>
        <v/>
      </c>
      <c r="AG67" s="7" t="str">
        <f>IFERROR(IF([1]对账明细接口!$AC67=0,"",[1]对账明细接口!$AC67),"")</f>
        <v/>
      </c>
      <c r="AH67" s="7" t="str">
        <f>IFERROR(IF([1]对账明细接口!$AD67=0,"",[1]对账明细接口!$AD67),"")</f>
        <v/>
      </c>
      <c r="AI67" s="7" t="str">
        <f>IFERROR(IF([1]对账明细接口!$AE67=0,"",[1]对账明细接口!$AE67),"")</f>
        <v/>
      </c>
      <c r="AJ67" s="7" t="str">
        <f>IFERROR(IF([1]对账明细接口!$AF67=0,"",[1]对账明细接口!$AF67),"")</f>
        <v/>
      </c>
    </row>
    <row r="68" ht="14.25" customHeight="1" spans="1:36">
      <c r="A68" s="14">
        <v>68</v>
      </c>
      <c r="B68" s="15">
        <f>IFERROR(IF([1]对账明细接口!$B$68=0,"",[1]对账明细接口!$B$68),"")</f>
        <v>46252</v>
      </c>
      <c r="C68" s="16" t="str">
        <f>IFERROR(IF([1]对账明细接口!$C$68=0,"",[1]对账明细接口!$C$68),"")</f>
        <v>聂新平</v>
      </c>
      <c r="D68" s="16" t="str">
        <f>IFERROR(IF([1]对账明细接口!$D$68=0,"",[1]对账明细接口!$D$68),"")</f>
        <v>原料入库</v>
      </c>
      <c r="E68" s="16" t="str">
        <f>IFERROR(IF([1]对账明细接口!$E$68=0,"",[1]对账明细接口!$E$68),"")</f>
        <v>NO:0000775</v>
      </c>
      <c r="F68" s="16" t="str">
        <f>IFERROR(IF([1]对账明细接口!$F$68=0,"",[1]对账明细接口!$F$68),"")</f>
        <v>西梅</v>
      </c>
      <c r="G68" s="16" t="str">
        <f>IFERROR(IF([1]对账明细接口!$G$68=0,"",[1]对账明细接口!$G$68),"")</f>
        <v>西梅三级</v>
      </c>
      <c r="H68" s="17">
        <f>IFERROR(IF([1]对账明细接口!$H$68=0,"",[1]对账明细接口!$H$68),"")</f>
        <v>96</v>
      </c>
      <c r="I68" s="16" t="str">
        <f>IFERROR(IF([1]对账明细接口!$I$68=0,"",[1]对账明细接口!$I$68),"")</f>
        <v>筐</v>
      </c>
      <c r="J68" s="18">
        <f>IFERROR(IF([1]对账明细接口!$J$68=0,"",[1]对账明细接口!$J$68),"")</f>
        <v>192</v>
      </c>
      <c r="K68" s="18" t="str">
        <f>IFERROR(IF([1]对账明细接口!$K$68=0,"",[1]对账明细接口!$K$68),"")</f>
        <v/>
      </c>
      <c r="L68" s="16" t="str">
        <f>IFERROR(IF([1]对账明细接口!$L$68=0,"",[1]对账明细接口!$L$68),"")</f>
        <v/>
      </c>
      <c r="M68" s="16" t="str">
        <f>IFERROR(IF([1]对账明细接口!$M$68=0,"",[1]对账明细接口!$M$68),"")</f>
        <v/>
      </c>
      <c r="N68" s="19">
        <f t="shared" ref="N68:N131" si="2">IF($C68="",0,1)</f>
        <v>1</v>
      </c>
      <c r="O68" s="19">
        <f t="shared" ref="O68:O131" si="3">N(O67)+$N68</f>
        <v>65</v>
      </c>
      <c r="S68" s="20" t="str">
        <f>IFERROR(IF([1]对账明细接口!$N68=0,"",[1]对账明细接口!$N68),"")</f>
        <v>自备一次性筐</v>
      </c>
      <c r="T68" s="21" t="str">
        <f>IFERROR(IF([1]对账明细接口!$O68=0,"",[1]对账明细接口!$O68),"")</f>
        <v/>
      </c>
      <c r="U68" s="21" t="str">
        <f>IFERROR(IF([1]对账明细接口!$P68=0,"",[1]对账明细接口!$P68),"")</f>
        <v/>
      </c>
      <c r="V68" s="21">
        <f>IFERROR(IF([1]对账明细接口!$Q68=0,"",[1]对账明细接口!$Q68),"")</f>
        <v>96</v>
      </c>
      <c r="W68" s="20" t="str">
        <f>IFERROR(IF([1]对账明细接口!$R68=0,"",[1]对账明细接口!$R68),"")</f>
        <v>苏M*7G796</v>
      </c>
      <c r="X68" s="20" t="str">
        <f>IFERROR(IF([1]对账明细接口!$S68=0,"",[1]对账明细接口!$S68),"")</f>
        <v>自备筐</v>
      </c>
      <c r="Y68" s="20" t="str">
        <f>IFERROR(IF([1]对账明细接口!$T68=0,"",[1]对账明细接口!$T68),"")</f>
        <v/>
      </c>
      <c r="Z68" s="24" t="str">
        <f>IFERROR(IF([1]对账明细接口!$U68=0,"",[1]对账明细接口!$U68),"")</f>
        <v/>
      </c>
      <c r="AA68" s="24" t="str">
        <f>IFERROR(IF([1]对账明细接口!$V68=0,"",[1]对账明细接口!$V68),"")</f>
        <v/>
      </c>
      <c r="AB68" s="20" t="str">
        <f>IFERROR(IF([1]对账明细接口!$W68=0,"",[1]对账明细接口!$W68),"")</f>
        <v/>
      </c>
      <c r="AC68" s="7" t="str">
        <f>IFERROR(IF([1]对账明细接口!$X68=0,"",[1]对账明细接口!$X68),"")</f>
        <v/>
      </c>
      <c r="AD68" s="7" t="str">
        <f>IFERROR(IF([1]对账明细接口!$Y68=0,"",[1]对账明细接口!$Y68),"")</f>
        <v/>
      </c>
      <c r="AE68" s="7" t="str">
        <f>IFERROR(IF([1]对账明细接口!$AA68=0,"",[1]对账明细接口!$AA68),"")</f>
        <v/>
      </c>
      <c r="AF68" s="7" t="str">
        <f>IFERROR(IF([1]对账明细接口!$AB68=0,"",[1]对账明细接口!$AB68),"")</f>
        <v/>
      </c>
      <c r="AG68" s="7" t="str">
        <f>IFERROR(IF([1]对账明细接口!$AC68=0,"",[1]对账明细接口!$AC68),"")</f>
        <v/>
      </c>
      <c r="AH68" s="7" t="str">
        <f>IFERROR(IF([1]对账明细接口!$AD68=0,"",[1]对账明细接口!$AD68),"")</f>
        <v/>
      </c>
      <c r="AI68" s="7" t="str">
        <f>IFERROR(IF([1]对账明细接口!$AE68=0,"",[1]对账明细接口!$AE68),"")</f>
        <v/>
      </c>
      <c r="AJ68" s="7" t="str">
        <f>IFERROR(IF([1]对账明细接口!$AF68=0,"",[1]对账明细接口!$AF68),"")</f>
        <v/>
      </c>
    </row>
    <row r="69" ht="14.25" customHeight="1" spans="1:36">
      <c r="A69" s="14">
        <v>69</v>
      </c>
      <c r="B69" s="15">
        <f>IFERROR(IF([1]对账明细接口!$B$69=0,"",[1]对账明细接口!$B$69),"")</f>
        <v>46252</v>
      </c>
      <c r="C69" s="16" t="str">
        <f>IFERROR(IF([1]对账明细接口!$C$69=0,"",[1]对账明细接口!$C$69),"")</f>
        <v>聂新平</v>
      </c>
      <c r="D69" s="16" t="str">
        <f>IFERROR(IF([1]对账明细接口!$D$69=0,"",[1]对账明细接口!$D$69),"")</f>
        <v>原料入库</v>
      </c>
      <c r="E69" s="16" t="str">
        <f>IFERROR(IF([1]对账明细接口!$E$69=0,"",[1]对账明细接口!$E$69),"")</f>
        <v>NO:0000701</v>
      </c>
      <c r="F69" s="16" t="str">
        <f>IFERROR(IF([1]对账明细接口!$F$69=0,"",[1]对账明细接口!$F$69),"")</f>
        <v>西梅</v>
      </c>
      <c r="G69" s="16" t="str">
        <f>IFERROR(IF([1]对账明细接口!$G$69=0,"",[1]对账明细接口!$G$69),"")</f>
        <v>西梅一级</v>
      </c>
      <c r="H69" s="17">
        <f>IFERROR(IF([1]对账明细接口!$H$69=0,"",[1]对账明细接口!$H$69),"")</f>
        <v>41</v>
      </c>
      <c r="I69" s="16" t="str">
        <f>IFERROR(IF([1]对账明细接口!$I$69=0,"",[1]对账明细接口!$I$69),"")</f>
        <v>筐</v>
      </c>
      <c r="J69" s="18">
        <f>IFERROR(IF([1]对账明细接口!$J$69=0,"",[1]对账明细接口!$J$69),"")</f>
        <v>287</v>
      </c>
      <c r="K69" s="18" t="str">
        <f>IFERROR(IF([1]对账明细接口!$K$69=0,"",[1]对账明细接口!$K$69),"")</f>
        <v/>
      </c>
      <c r="L69" s="16" t="str">
        <f>IFERROR(IF([1]对账明细接口!$L$69=0,"",[1]对账明细接口!$L$69),"")</f>
        <v/>
      </c>
      <c r="M69" s="16" t="str">
        <f>IFERROR(IF([1]对账明细接口!$M$69=0,"",[1]对账明细接口!$M$69),"")</f>
        <v/>
      </c>
      <c r="N69" s="19">
        <f t="shared" si="2"/>
        <v>1</v>
      </c>
      <c r="O69" s="19">
        <f t="shared" si="3"/>
        <v>66</v>
      </c>
      <c r="S69" s="20" t="str">
        <f>IFERROR(IF([1]对账明细接口!$N69=0,"",[1]对账明细接口!$N69),"")</f>
        <v>自备一次性筐</v>
      </c>
      <c r="T69" s="21" t="str">
        <f>IFERROR(IF([1]对账明细接口!$O69=0,"",[1]对账明细接口!$O69),"")</f>
        <v/>
      </c>
      <c r="U69" s="21" t="str">
        <f>IFERROR(IF([1]对账明细接口!$P69=0,"",[1]对账明细接口!$P69),"")</f>
        <v/>
      </c>
      <c r="V69" s="21">
        <f>IFERROR(IF([1]对账明细接口!$Q69=0,"",[1]对账明细接口!$Q69),"")</f>
        <v>41</v>
      </c>
      <c r="W69" s="20" t="str">
        <f>IFERROR(IF([1]对账明细接口!$R69=0,"",[1]对账明细接口!$R69),"")</f>
        <v>苏M*7G796</v>
      </c>
      <c r="X69" s="20" t="str">
        <f>IFERROR(IF([1]对账明细接口!$S69=0,"",[1]对账明细接口!$S69),"")</f>
        <v>自备筐</v>
      </c>
      <c r="Y69" s="20" t="str">
        <f>IFERROR(IF([1]对账明细接口!$T69=0,"",[1]对账明细接口!$T69),"")</f>
        <v/>
      </c>
      <c r="Z69" s="24" t="str">
        <f>IFERROR(IF([1]对账明细接口!$U69=0,"",[1]对账明细接口!$U69),"")</f>
        <v/>
      </c>
      <c r="AA69" s="24" t="str">
        <f>IFERROR(IF([1]对账明细接口!$V69=0,"",[1]对账明细接口!$V69),"")</f>
        <v/>
      </c>
      <c r="AB69" s="20" t="str">
        <f>IFERROR(IF([1]对账明细接口!$W69=0,"",[1]对账明细接口!$W69),"")</f>
        <v/>
      </c>
      <c r="AC69" s="7" t="str">
        <f>IFERROR(IF([1]对账明细接口!$X69=0,"",[1]对账明细接口!$X69),"")</f>
        <v/>
      </c>
      <c r="AD69" s="7" t="str">
        <f>IFERROR(IF([1]对账明细接口!$Y69=0,"",[1]对账明细接口!$Y69),"")</f>
        <v/>
      </c>
      <c r="AE69" s="7" t="str">
        <f>IFERROR(IF([1]对账明细接口!$AA69=0,"",[1]对账明细接口!$AA69),"")</f>
        <v/>
      </c>
      <c r="AF69" s="7" t="str">
        <f>IFERROR(IF([1]对账明细接口!$AB69=0,"",[1]对账明细接口!$AB69),"")</f>
        <v/>
      </c>
      <c r="AG69" s="7" t="str">
        <f>IFERROR(IF([1]对账明细接口!$AC69=0,"",[1]对账明细接口!$AC69),"")</f>
        <v/>
      </c>
      <c r="AH69" s="7" t="str">
        <f>IFERROR(IF([1]对账明细接口!$AD69=0,"",[1]对账明细接口!$AD69),"")</f>
        <v/>
      </c>
      <c r="AI69" s="7" t="str">
        <f>IFERROR(IF([1]对账明细接口!$AE69=0,"",[1]对账明细接口!$AE69),"")</f>
        <v/>
      </c>
      <c r="AJ69" s="7" t="str">
        <f>IFERROR(IF([1]对账明细接口!$AF69=0,"",[1]对账明细接口!$AF69),"")</f>
        <v/>
      </c>
    </row>
    <row r="70" ht="14.25" customHeight="1" spans="1:36">
      <c r="A70" s="14">
        <v>70</v>
      </c>
      <c r="B70" s="15">
        <f>IFERROR(IF([1]对账明细接口!$B$70=0,"",[1]对账明细接口!$B$70),"")</f>
        <v>46252</v>
      </c>
      <c r="C70" s="16" t="str">
        <f>IFERROR(IF([1]对账明细接口!$C$70=0,"",[1]对账明细接口!$C$70),"")</f>
        <v>聂新平</v>
      </c>
      <c r="D70" s="16" t="str">
        <f>IFERROR(IF([1]对账明细接口!$D$70=0,"",[1]对账明细接口!$D$70),"")</f>
        <v>原料入库</v>
      </c>
      <c r="E70" s="16" t="str">
        <f>IFERROR(IF([1]对账明细接口!$E$70=0,"",[1]对账明细接口!$E$70),"")</f>
        <v>NO:0000701</v>
      </c>
      <c r="F70" s="16" t="str">
        <f>IFERROR(IF([1]对账明细接口!$F$70=0,"",[1]对账明细接口!$F$70),"")</f>
        <v>西梅</v>
      </c>
      <c r="G70" s="16" t="str">
        <f>IFERROR(IF([1]对账明细接口!$G$70=0,"",[1]对账明细接口!$G$70),"")</f>
        <v>西梅二级</v>
      </c>
      <c r="H70" s="17">
        <f>IFERROR(IF([1]对账明细接口!$H$70=0,"",[1]对账明细接口!$H$70),"")</f>
        <v>71</v>
      </c>
      <c r="I70" s="16" t="str">
        <f>IFERROR(IF([1]对账明细接口!$I$70=0,"",[1]对账明细接口!$I$70),"")</f>
        <v>筐</v>
      </c>
      <c r="J70" s="18">
        <f>IFERROR(IF([1]对账明细接口!$J$70=0,"",[1]对账明细接口!$J$70),"")</f>
        <v>142</v>
      </c>
      <c r="K70" s="18" t="str">
        <f>IFERROR(IF([1]对账明细接口!$K$70=0,"",[1]对账明细接口!$K$70),"")</f>
        <v/>
      </c>
      <c r="L70" s="16" t="str">
        <f>IFERROR(IF([1]对账明细接口!$L$70=0,"",[1]对账明细接口!$L$70),"")</f>
        <v/>
      </c>
      <c r="M70" s="16" t="str">
        <f>IFERROR(IF([1]对账明细接口!$M$70=0,"",[1]对账明细接口!$M$70),"")</f>
        <v/>
      </c>
      <c r="N70" s="19">
        <f t="shared" si="2"/>
        <v>1</v>
      </c>
      <c r="O70" s="19">
        <f t="shared" si="3"/>
        <v>67</v>
      </c>
      <c r="S70" s="20" t="str">
        <f>IFERROR(IF([1]对账明细接口!$N70=0,"",[1]对账明细接口!$N70),"")</f>
        <v>自备一次性筐</v>
      </c>
      <c r="T70" s="21" t="str">
        <f>IFERROR(IF([1]对账明细接口!$O70=0,"",[1]对账明细接口!$O70),"")</f>
        <v/>
      </c>
      <c r="U70" s="21" t="str">
        <f>IFERROR(IF([1]对账明细接口!$P70=0,"",[1]对账明细接口!$P70),"")</f>
        <v/>
      </c>
      <c r="V70" s="21">
        <f>IFERROR(IF([1]对账明细接口!$Q70=0,"",[1]对账明细接口!$Q70),"")</f>
        <v>71</v>
      </c>
      <c r="W70" s="20" t="str">
        <f>IFERROR(IF([1]对账明细接口!$R70=0,"",[1]对账明细接口!$R70),"")</f>
        <v>苏M*7G796</v>
      </c>
      <c r="X70" s="20" t="str">
        <f>IFERROR(IF([1]对账明细接口!$S70=0,"",[1]对账明细接口!$S70),"")</f>
        <v>自备筐</v>
      </c>
      <c r="Y70" s="20" t="str">
        <f>IFERROR(IF([1]对账明细接口!$T70=0,"",[1]对账明细接口!$T70),"")</f>
        <v/>
      </c>
      <c r="Z70" s="24" t="str">
        <f>IFERROR(IF([1]对账明细接口!$U70=0,"",[1]对账明细接口!$U70),"")</f>
        <v/>
      </c>
      <c r="AA70" s="24" t="str">
        <f>IFERROR(IF([1]对账明细接口!$V70=0,"",[1]对账明细接口!$V70),"")</f>
        <v/>
      </c>
      <c r="AB70" s="20" t="str">
        <f>IFERROR(IF([1]对账明细接口!$W70=0,"",[1]对账明细接口!$W70),"")</f>
        <v/>
      </c>
      <c r="AC70" s="7" t="str">
        <f>IFERROR(IF([1]对账明细接口!$X70=0,"",[1]对账明细接口!$X70),"")</f>
        <v/>
      </c>
      <c r="AD70" s="7" t="str">
        <f>IFERROR(IF([1]对账明细接口!$Y70=0,"",[1]对账明细接口!$Y70),"")</f>
        <v/>
      </c>
      <c r="AE70" s="7" t="str">
        <f>IFERROR(IF([1]对账明细接口!$AA70=0,"",[1]对账明细接口!$AA70),"")</f>
        <v/>
      </c>
      <c r="AF70" s="7" t="str">
        <f>IFERROR(IF([1]对账明细接口!$AB70=0,"",[1]对账明细接口!$AB70),"")</f>
        <v/>
      </c>
      <c r="AG70" s="7" t="str">
        <f>IFERROR(IF([1]对账明细接口!$AC70=0,"",[1]对账明细接口!$AC70),"")</f>
        <v/>
      </c>
      <c r="AH70" s="7" t="str">
        <f>IFERROR(IF([1]对账明细接口!$AD70=0,"",[1]对账明细接口!$AD70),"")</f>
        <v/>
      </c>
      <c r="AI70" s="7" t="str">
        <f>IFERROR(IF([1]对账明细接口!$AE70=0,"",[1]对账明细接口!$AE70),"")</f>
        <v/>
      </c>
      <c r="AJ70" s="7" t="str">
        <f>IFERROR(IF([1]对账明细接口!$AF70=0,"",[1]对账明细接口!$AF70),"")</f>
        <v/>
      </c>
    </row>
    <row r="71" ht="14.25" customHeight="1" spans="1:36">
      <c r="A71" s="14">
        <v>71</v>
      </c>
      <c r="B71" s="15">
        <f>IFERROR(IF([1]对账明细接口!$B$71=0,"",[1]对账明细接口!$B$71),"")</f>
        <v>46252</v>
      </c>
      <c r="C71" s="16" t="str">
        <f>IFERROR(IF([1]对账明细接口!$C$71=0,"",[1]对账明细接口!$C$71),"")</f>
        <v>聂新平</v>
      </c>
      <c r="D71" s="16" t="str">
        <f>IFERROR(IF([1]对账明细接口!$D$71=0,"",[1]对账明细接口!$D$71),"")</f>
        <v>原料入库</v>
      </c>
      <c r="E71" s="16" t="str">
        <f>IFERROR(IF([1]对账明细接口!$E$71=0,"",[1]对账明细接口!$E$71),"")</f>
        <v>NO:0000701</v>
      </c>
      <c r="F71" s="16" t="str">
        <f>IFERROR(IF([1]对账明细接口!$F$71=0,"",[1]对账明细接口!$F$71),"")</f>
        <v>西梅</v>
      </c>
      <c r="G71" s="16" t="str">
        <f>IFERROR(IF([1]对账明细接口!$G$71=0,"",[1]对账明细接口!$G$71),"")</f>
        <v>西梅三级</v>
      </c>
      <c r="H71" s="17">
        <f>IFERROR(IF([1]对账明细接口!$H$71=0,"",[1]对账明细接口!$H$71),"")</f>
        <v>54</v>
      </c>
      <c r="I71" s="16" t="str">
        <f>IFERROR(IF([1]对账明细接口!$I$71=0,"",[1]对账明细接口!$I$71),"")</f>
        <v>筐</v>
      </c>
      <c r="J71" s="18">
        <f>IFERROR(IF([1]对账明细接口!$J$71=0,"",[1]对账明细接口!$J$71),"")</f>
        <v>108</v>
      </c>
      <c r="K71" s="18" t="str">
        <f>IFERROR(IF([1]对账明细接口!$K$71=0,"",[1]对账明细接口!$K$71),"")</f>
        <v/>
      </c>
      <c r="L71" s="16" t="str">
        <f>IFERROR(IF([1]对账明细接口!$L$71=0,"",[1]对账明细接口!$L$71),"")</f>
        <v/>
      </c>
      <c r="M71" s="16" t="str">
        <f>IFERROR(IF([1]对账明细接口!$M$71=0,"",[1]对账明细接口!$M$71),"")</f>
        <v/>
      </c>
      <c r="N71" s="19">
        <f t="shared" si="2"/>
        <v>1</v>
      </c>
      <c r="O71" s="19">
        <f t="shared" si="3"/>
        <v>68</v>
      </c>
      <c r="S71" s="20" t="str">
        <f>IFERROR(IF([1]对账明细接口!$N71=0,"",[1]对账明细接口!$N71),"")</f>
        <v>自备一次性筐</v>
      </c>
      <c r="T71" s="21" t="str">
        <f>IFERROR(IF([1]对账明细接口!$O71=0,"",[1]对账明细接口!$O71),"")</f>
        <v/>
      </c>
      <c r="U71" s="21" t="str">
        <f>IFERROR(IF([1]对账明细接口!$P71=0,"",[1]对账明细接口!$P71),"")</f>
        <v/>
      </c>
      <c r="V71" s="21">
        <f>IFERROR(IF([1]对账明细接口!$Q71=0,"",[1]对账明细接口!$Q71),"")</f>
        <v>54</v>
      </c>
      <c r="W71" s="20" t="str">
        <f>IFERROR(IF([1]对账明细接口!$R71=0,"",[1]对账明细接口!$R71),"")</f>
        <v>苏M*7G796</v>
      </c>
      <c r="X71" s="20" t="str">
        <f>IFERROR(IF([1]对账明细接口!$S71=0,"",[1]对账明细接口!$S71),"")</f>
        <v>自备筐</v>
      </c>
      <c r="Y71" s="20" t="str">
        <f>IFERROR(IF([1]对账明细接口!$T71=0,"",[1]对账明细接口!$T71),"")</f>
        <v/>
      </c>
      <c r="Z71" s="24" t="str">
        <f>IFERROR(IF([1]对账明细接口!$U71=0,"",[1]对账明细接口!$U71),"")</f>
        <v/>
      </c>
      <c r="AA71" s="24" t="str">
        <f>IFERROR(IF([1]对账明细接口!$V71=0,"",[1]对账明细接口!$V71),"")</f>
        <v/>
      </c>
      <c r="AB71" s="20" t="str">
        <f>IFERROR(IF([1]对账明细接口!$W71=0,"",[1]对账明细接口!$W71),"")</f>
        <v/>
      </c>
      <c r="AC71" s="7" t="str">
        <f>IFERROR(IF([1]对账明细接口!$X71=0,"",[1]对账明细接口!$X71),"")</f>
        <v/>
      </c>
      <c r="AD71" s="7" t="str">
        <f>IFERROR(IF([1]对账明细接口!$Y71=0,"",[1]对账明细接口!$Y71),"")</f>
        <v/>
      </c>
      <c r="AE71" s="7" t="str">
        <f>IFERROR(IF([1]对账明细接口!$AA71=0,"",[1]对账明细接口!$AA71),"")</f>
        <v/>
      </c>
      <c r="AF71" s="7" t="str">
        <f>IFERROR(IF([1]对账明细接口!$AB71=0,"",[1]对账明细接口!$AB71),"")</f>
        <v/>
      </c>
      <c r="AG71" s="7" t="str">
        <f>IFERROR(IF([1]对账明细接口!$AC71=0,"",[1]对账明细接口!$AC71),"")</f>
        <v/>
      </c>
      <c r="AH71" s="7" t="str">
        <f>IFERROR(IF([1]对账明细接口!$AD71=0,"",[1]对账明细接口!$AD71),"")</f>
        <v/>
      </c>
      <c r="AI71" s="7" t="str">
        <f>IFERROR(IF([1]对账明细接口!$AE71=0,"",[1]对账明细接口!$AE71),"")</f>
        <v/>
      </c>
      <c r="AJ71" s="7" t="str">
        <f>IFERROR(IF([1]对账明细接口!$AF71=0,"",[1]对账明细接口!$AF71),"")</f>
        <v/>
      </c>
    </row>
    <row r="72" ht="14.25" customHeight="1" spans="1:36">
      <c r="A72" s="14">
        <v>72</v>
      </c>
      <c r="B72" s="15">
        <f>IFERROR(IF([1]对账明细接口!$B$72=0,"",[1]对账明细接口!$B$72),"")</f>
        <v>46253</v>
      </c>
      <c r="C72" s="16" t="str">
        <f>IFERROR(IF([1]对账明细接口!$C$72=0,"",[1]对账明细接口!$C$72),"")</f>
        <v>聂新平</v>
      </c>
      <c r="D72" s="16" t="str">
        <f>IFERROR(IF([1]对账明细接口!$D$72=0,"",[1]对账明细接口!$D$72),"")</f>
        <v>原料入库</v>
      </c>
      <c r="E72" s="16" t="str">
        <f>IFERROR(IF([1]对账明细接口!$E$72=0,"",[1]对账明细接口!$E$72),"")</f>
        <v>NO:0000703</v>
      </c>
      <c r="F72" s="16" t="str">
        <f>IFERROR(IF([1]对账明细接口!$F$72=0,"",[1]对账明细接口!$F$72),"")</f>
        <v>西梅</v>
      </c>
      <c r="G72" s="16" t="str">
        <f>IFERROR(IF([1]对账明细接口!$G$72=0,"",[1]对账明细接口!$G$72),"")</f>
        <v>西梅二级</v>
      </c>
      <c r="H72" s="17">
        <f>IFERROR(IF([1]对账明细接口!$H$72=0,"",[1]对账明细接口!$H$72),"")</f>
        <v>432</v>
      </c>
      <c r="I72" s="16" t="str">
        <f>IFERROR(IF([1]对账明细接口!$I$72=0,"",[1]对账明细接口!$I$72),"")</f>
        <v>筐</v>
      </c>
      <c r="J72" s="18">
        <f>IFERROR(IF([1]对账明细接口!$J$72=0,"",[1]对账明细接口!$J$72),"")</f>
        <v>864</v>
      </c>
      <c r="K72" s="18" t="str">
        <f>IFERROR(IF([1]对账明细接口!$K$72=0,"",[1]对账明细接口!$K$72),"")</f>
        <v/>
      </c>
      <c r="L72" s="16" t="str">
        <f>IFERROR(IF([1]对账明细接口!$L$72=0,"",[1]对账明细接口!$L$72),"")</f>
        <v/>
      </c>
      <c r="M72" s="16" t="str">
        <f>IFERROR(IF([1]对账明细接口!$M$72=0,"",[1]对账明细接口!$M$72),"")</f>
        <v/>
      </c>
      <c r="N72" s="19">
        <f t="shared" si="2"/>
        <v>1</v>
      </c>
      <c r="O72" s="19">
        <f t="shared" si="3"/>
        <v>69</v>
      </c>
      <c r="S72" s="20" t="str">
        <f>IFERROR(IF([1]对账明细接口!$N72=0,"",[1]对账明细接口!$N72),"")</f>
        <v>自备一次性筐</v>
      </c>
      <c r="T72" s="21" t="str">
        <f>IFERROR(IF([1]对账明细接口!$O72=0,"",[1]对账明细接口!$O72),"")</f>
        <v/>
      </c>
      <c r="U72" s="21" t="str">
        <f>IFERROR(IF([1]对账明细接口!$P72=0,"",[1]对账明细接口!$P72),"")</f>
        <v/>
      </c>
      <c r="V72" s="21">
        <f>IFERROR(IF([1]对账明细接口!$Q72=0,"",[1]对账明细接口!$Q72),"")</f>
        <v>432</v>
      </c>
      <c r="W72" s="20" t="str">
        <f>IFERROR(IF([1]对账明细接口!$R72=0,"",[1]对账明细接口!$R72),"")</f>
        <v>苏M*7G796</v>
      </c>
      <c r="X72" s="20" t="str">
        <f>IFERROR(IF([1]对账明细接口!$S72=0,"",[1]对账明细接口!$S72),"")</f>
        <v>自备筐</v>
      </c>
      <c r="Y72" s="20" t="str">
        <f>IFERROR(IF([1]对账明细接口!$T72=0,"",[1]对账明细接口!$T72),"")</f>
        <v/>
      </c>
      <c r="Z72" s="24" t="str">
        <f>IFERROR(IF([1]对账明细接口!$U72=0,"",[1]对账明细接口!$U72),"")</f>
        <v/>
      </c>
      <c r="AA72" s="24" t="str">
        <f>IFERROR(IF([1]对账明细接口!$V72=0,"",[1]对账明细接口!$V72),"")</f>
        <v/>
      </c>
      <c r="AB72" s="20" t="str">
        <f>IFERROR(IF([1]对账明细接口!$W72=0,"",[1]对账明细接口!$W72),"")</f>
        <v/>
      </c>
      <c r="AC72" s="7" t="str">
        <f>IFERROR(IF([1]对账明细接口!$X72=0,"",[1]对账明细接口!$X72),"")</f>
        <v/>
      </c>
      <c r="AD72" s="7" t="str">
        <f>IFERROR(IF([1]对账明细接口!$Y72=0,"",[1]对账明细接口!$Y72),"")</f>
        <v/>
      </c>
      <c r="AE72" s="7" t="str">
        <f>IFERROR(IF([1]对账明细接口!$AA72=0,"",[1]对账明细接口!$AA72),"")</f>
        <v/>
      </c>
      <c r="AF72" s="7" t="str">
        <f>IFERROR(IF([1]对账明细接口!$AB72=0,"",[1]对账明细接口!$AB72),"")</f>
        <v/>
      </c>
      <c r="AG72" s="7" t="str">
        <f>IFERROR(IF([1]对账明细接口!$AC72=0,"",[1]对账明细接口!$AC72),"")</f>
        <v/>
      </c>
      <c r="AH72" s="7" t="str">
        <f>IFERROR(IF([1]对账明细接口!$AD72=0,"",[1]对账明细接口!$AD72),"")</f>
        <v/>
      </c>
      <c r="AI72" s="7" t="str">
        <f>IFERROR(IF([1]对账明细接口!$AE72=0,"",[1]对账明细接口!$AE72),"")</f>
        <v/>
      </c>
      <c r="AJ72" s="7" t="str">
        <f>IFERROR(IF([1]对账明细接口!$AF72=0,"",[1]对账明细接口!$AF72),"")</f>
        <v/>
      </c>
    </row>
    <row r="73" ht="14.25" customHeight="1" spans="1:36">
      <c r="A73" s="14">
        <v>73</v>
      </c>
      <c r="B73" s="15">
        <f>IFERROR(IF([1]对账明细接口!$B$73=0,"",[1]对账明细接口!$B$73),"")</f>
        <v>46253</v>
      </c>
      <c r="C73" s="16" t="str">
        <f>IFERROR(IF([1]对账明细接口!$C$73=0,"",[1]对账明细接口!$C$73),"")</f>
        <v>聂新平</v>
      </c>
      <c r="D73" s="16" t="str">
        <f>IFERROR(IF([1]对账明细接口!$D$73=0,"",[1]对账明细接口!$D$73),"")</f>
        <v>原料入库</v>
      </c>
      <c r="E73" s="16" t="str">
        <f>IFERROR(IF([1]对账明细接口!$E$73=0,"",[1]对账明细接口!$E$73),"")</f>
        <v>NO:0000703</v>
      </c>
      <c r="F73" s="16" t="str">
        <f>IFERROR(IF([1]对账明细接口!$F$73=0,"",[1]对账明细接口!$F$73),"")</f>
        <v>西梅</v>
      </c>
      <c r="G73" s="16" t="str">
        <f>IFERROR(IF([1]对账明细接口!$G$73=0,"",[1]对账明细接口!$G$73),"")</f>
        <v>西梅三级</v>
      </c>
      <c r="H73" s="17">
        <f>IFERROR(IF([1]对账明细接口!$H$73=0,"",[1]对账明细接口!$H$73),"")</f>
        <v>36</v>
      </c>
      <c r="I73" s="16" t="str">
        <f>IFERROR(IF([1]对账明细接口!$I$73=0,"",[1]对账明细接口!$I$73),"")</f>
        <v>筐</v>
      </c>
      <c r="J73" s="18">
        <f>IFERROR(IF([1]对账明细接口!$J$73=0,"",[1]对账明细接口!$J$73),"")</f>
        <v>72</v>
      </c>
      <c r="K73" s="18" t="str">
        <f>IFERROR(IF([1]对账明细接口!$K$73=0,"",[1]对账明细接口!$K$73),"")</f>
        <v/>
      </c>
      <c r="L73" s="16" t="str">
        <f>IFERROR(IF([1]对账明细接口!$L$73=0,"",[1]对账明细接口!$L$73),"")</f>
        <v/>
      </c>
      <c r="M73" s="16" t="str">
        <f>IFERROR(IF([1]对账明细接口!$M$73=0,"",[1]对账明细接口!$M$73),"")</f>
        <v/>
      </c>
      <c r="N73" s="19">
        <f t="shared" si="2"/>
        <v>1</v>
      </c>
      <c r="O73" s="19">
        <f t="shared" si="3"/>
        <v>70</v>
      </c>
      <c r="S73" s="20" t="str">
        <f>IFERROR(IF([1]对账明细接口!$N73=0,"",[1]对账明细接口!$N73),"")</f>
        <v>自备一次性筐</v>
      </c>
      <c r="T73" s="21" t="str">
        <f>IFERROR(IF([1]对账明细接口!$O73=0,"",[1]对账明细接口!$O73),"")</f>
        <v/>
      </c>
      <c r="U73" s="21" t="str">
        <f>IFERROR(IF([1]对账明细接口!$P73=0,"",[1]对账明细接口!$P73),"")</f>
        <v/>
      </c>
      <c r="V73" s="21">
        <f>IFERROR(IF([1]对账明细接口!$Q73=0,"",[1]对账明细接口!$Q73),"")</f>
        <v>36</v>
      </c>
      <c r="W73" s="20" t="str">
        <f>IFERROR(IF([1]对账明细接口!$R73=0,"",[1]对账明细接口!$R73),"")</f>
        <v>苏M*7G796</v>
      </c>
      <c r="X73" s="20" t="str">
        <f>IFERROR(IF([1]对账明细接口!$S73=0,"",[1]对账明细接口!$S73),"")</f>
        <v>自备筐</v>
      </c>
      <c r="Y73" s="20" t="str">
        <f>IFERROR(IF([1]对账明细接口!$T73=0,"",[1]对账明细接口!$T73),"")</f>
        <v/>
      </c>
      <c r="Z73" s="24" t="str">
        <f>IFERROR(IF([1]对账明细接口!$U73=0,"",[1]对账明细接口!$U73),"")</f>
        <v/>
      </c>
      <c r="AA73" s="24" t="str">
        <f>IFERROR(IF([1]对账明细接口!$V73=0,"",[1]对账明细接口!$V73),"")</f>
        <v/>
      </c>
      <c r="AB73" s="20" t="str">
        <f>IFERROR(IF([1]对账明细接口!$W73=0,"",[1]对账明细接口!$W73),"")</f>
        <v/>
      </c>
      <c r="AC73" s="7" t="str">
        <f>IFERROR(IF([1]对账明细接口!$X73=0,"",[1]对账明细接口!$X73),"")</f>
        <v/>
      </c>
      <c r="AD73" s="7" t="str">
        <f>IFERROR(IF([1]对账明细接口!$Y73=0,"",[1]对账明细接口!$Y73),"")</f>
        <v/>
      </c>
      <c r="AE73" s="7" t="str">
        <f>IFERROR(IF([1]对账明细接口!$AA73=0,"",[1]对账明细接口!$AA73),"")</f>
        <v/>
      </c>
      <c r="AF73" s="7" t="str">
        <f>IFERROR(IF([1]对账明细接口!$AB73=0,"",[1]对账明细接口!$AB73),"")</f>
        <v/>
      </c>
      <c r="AG73" s="7" t="str">
        <f>IFERROR(IF([1]对账明细接口!$AC73=0,"",[1]对账明细接口!$AC73),"")</f>
        <v/>
      </c>
      <c r="AH73" s="7" t="str">
        <f>IFERROR(IF([1]对账明细接口!$AD73=0,"",[1]对账明细接口!$AD73),"")</f>
        <v/>
      </c>
      <c r="AI73" s="7" t="str">
        <f>IFERROR(IF([1]对账明细接口!$AE73=0,"",[1]对账明细接口!$AE73),"")</f>
        <v/>
      </c>
      <c r="AJ73" s="7" t="str">
        <f>IFERROR(IF([1]对账明细接口!$AF73=0,"",[1]对账明细接口!$AF73),"")</f>
        <v/>
      </c>
    </row>
    <row r="74" ht="14.25" customHeight="1" spans="1:36">
      <c r="A74" s="14">
        <v>74</v>
      </c>
      <c r="B74" s="15">
        <f>IFERROR(IF([1]对账明细接口!$B$74=0,"",[1]对账明细接口!$B$74),"")</f>
        <v>46253</v>
      </c>
      <c r="C74" s="16" t="str">
        <f>IFERROR(IF([1]对账明细接口!$C$74=0,"",[1]对账明细接口!$C$74),"")</f>
        <v>聂新平</v>
      </c>
      <c r="D74" s="16" t="str">
        <f>IFERROR(IF([1]对账明细接口!$D$74=0,"",[1]对账明细接口!$D$74),"")</f>
        <v>原料入库</v>
      </c>
      <c r="E74" s="16" t="str">
        <f>IFERROR(IF([1]对账明细接口!$E$74=0,"",[1]对账明细接口!$E$74),"")</f>
        <v>NO:0000704</v>
      </c>
      <c r="F74" s="16" t="str">
        <f>IFERROR(IF([1]对账明细接口!$F$74=0,"",[1]对账明细接口!$F$74),"")</f>
        <v>西梅</v>
      </c>
      <c r="G74" s="16" t="str">
        <f>IFERROR(IF([1]对账明细接口!$G$74=0,"",[1]对账明细接口!$G$74),"")</f>
        <v>西梅二级</v>
      </c>
      <c r="H74" s="17">
        <f>IFERROR(IF([1]对账明细接口!$H$74=0,"",[1]对账明细接口!$H$74),"")</f>
        <v>305</v>
      </c>
      <c r="I74" s="16" t="str">
        <f>IFERROR(IF([1]对账明细接口!$I$74=0,"",[1]对账明细接口!$I$74),"")</f>
        <v>筐</v>
      </c>
      <c r="J74" s="18">
        <f>IFERROR(IF([1]对账明细接口!$J$74=0,"",[1]对账明细接口!$J$74),"")</f>
        <v>610</v>
      </c>
      <c r="K74" s="18" t="str">
        <f>IFERROR(IF([1]对账明细接口!$K$74=0,"",[1]对账明细接口!$K$74),"")</f>
        <v/>
      </c>
      <c r="L74" s="16" t="str">
        <f>IFERROR(IF([1]对账明细接口!$L$74=0,"",[1]对账明细接口!$L$74),"")</f>
        <v/>
      </c>
      <c r="M74" s="16" t="str">
        <f>IFERROR(IF([1]对账明细接口!$M$74=0,"",[1]对账明细接口!$M$74),"")</f>
        <v/>
      </c>
      <c r="N74" s="19">
        <f t="shared" si="2"/>
        <v>1</v>
      </c>
      <c r="O74" s="19">
        <f t="shared" si="3"/>
        <v>71</v>
      </c>
      <c r="S74" s="20" t="str">
        <f>IFERROR(IF([1]对账明细接口!$N74=0,"",[1]对账明细接口!$N74),"")</f>
        <v>自备一次性筐</v>
      </c>
      <c r="T74" s="21" t="str">
        <f>IFERROR(IF([1]对账明细接口!$O74=0,"",[1]对账明细接口!$O74),"")</f>
        <v/>
      </c>
      <c r="U74" s="21" t="str">
        <f>IFERROR(IF([1]对账明细接口!$P74=0,"",[1]对账明细接口!$P74),"")</f>
        <v/>
      </c>
      <c r="V74" s="21">
        <f>IFERROR(IF([1]对账明细接口!$Q74=0,"",[1]对账明细接口!$Q74),"")</f>
        <v>305</v>
      </c>
      <c r="W74" s="20" t="str">
        <f>IFERROR(IF([1]对账明细接口!$R74=0,"",[1]对账明细接口!$R74),"")</f>
        <v>苏M*7G796</v>
      </c>
      <c r="X74" s="20" t="str">
        <f>IFERROR(IF([1]对账明细接口!$S74=0,"",[1]对账明细接口!$S74),"")</f>
        <v>自备筐</v>
      </c>
      <c r="Y74" s="20" t="str">
        <f>IFERROR(IF([1]对账明细接口!$T74=0,"",[1]对账明细接口!$T74),"")</f>
        <v/>
      </c>
      <c r="Z74" s="24" t="str">
        <f>IFERROR(IF([1]对账明细接口!$U74=0,"",[1]对账明细接口!$U74),"")</f>
        <v/>
      </c>
      <c r="AA74" s="24" t="str">
        <f>IFERROR(IF([1]对账明细接口!$V74=0,"",[1]对账明细接口!$V74),"")</f>
        <v/>
      </c>
      <c r="AB74" s="20" t="str">
        <f>IFERROR(IF([1]对账明细接口!$W74=0,"",[1]对账明细接口!$W74),"")</f>
        <v/>
      </c>
      <c r="AC74" s="7" t="str">
        <f>IFERROR(IF([1]对账明细接口!$X74=0,"",[1]对账明细接口!$X74),"")</f>
        <v/>
      </c>
      <c r="AD74" s="7" t="str">
        <f>IFERROR(IF([1]对账明细接口!$Y74=0,"",[1]对账明细接口!$Y74),"")</f>
        <v/>
      </c>
      <c r="AE74" s="7" t="str">
        <f>IFERROR(IF([1]对账明细接口!$AA74=0,"",[1]对账明细接口!$AA74),"")</f>
        <v/>
      </c>
      <c r="AF74" s="7" t="str">
        <f>IFERROR(IF([1]对账明细接口!$AB74=0,"",[1]对账明细接口!$AB74),"")</f>
        <v/>
      </c>
      <c r="AG74" s="7" t="str">
        <f>IFERROR(IF([1]对账明细接口!$AC74=0,"",[1]对账明细接口!$AC74),"")</f>
        <v/>
      </c>
      <c r="AH74" s="7" t="str">
        <f>IFERROR(IF([1]对账明细接口!$AD74=0,"",[1]对账明细接口!$AD74),"")</f>
        <v/>
      </c>
      <c r="AI74" s="7" t="str">
        <f>IFERROR(IF([1]对账明细接口!$AE74=0,"",[1]对账明细接口!$AE74),"")</f>
        <v/>
      </c>
      <c r="AJ74" s="7" t="str">
        <f>IFERROR(IF([1]对账明细接口!$AF74=0,"",[1]对账明细接口!$AF74),"")</f>
        <v/>
      </c>
    </row>
    <row r="75" ht="14.25" customHeight="1" spans="1:36">
      <c r="A75" s="14">
        <v>75</v>
      </c>
      <c r="B75" s="15">
        <f>IFERROR(IF([1]对账明细接口!$B$75=0,"",[1]对账明细接口!$B$75),"")</f>
        <v>46253</v>
      </c>
      <c r="C75" s="16" t="str">
        <f>IFERROR(IF([1]对账明细接口!$C$75=0,"",[1]对账明细接口!$C$75),"")</f>
        <v>聂新平</v>
      </c>
      <c r="D75" s="16" t="str">
        <f>IFERROR(IF([1]对账明细接口!$D$75=0,"",[1]对账明细接口!$D$75),"")</f>
        <v>原料入库</v>
      </c>
      <c r="E75" s="16" t="str">
        <f>IFERROR(IF([1]对账明细接口!$E$75=0,"",[1]对账明细接口!$E$75),"")</f>
        <v>NO:0000704</v>
      </c>
      <c r="F75" s="16" t="str">
        <f>IFERROR(IF([1]对账明细接口!$F$75=0,"",[1]对账明细接口!$F$75),"")</f>
        <v>西梅</v>
      </c>
      <c r="G75" s="16" t="str">
        <f>IFERROR(IF([1]对账明细接口!$G$75=0,"",[1]对账明细接口!$G$75),"")</f>
        <v>西梅三级</v>
      </c>
      <c r="H75" s="17">
        <f>IFERROR(IF([1]对账明细接口!$H$75=0,"",[1]对账明细接口!$H$75),"")</f>
        <v>163</v>
      </c>
      <c r="I75" s="16" t="str">
        <f>IFERROR(IF([1]对账明细接口!$I$75=0,"",[1]对账明细接口!$I$75),"")</f>
        <v>筐</v>
      </c>
      <c r="J75" s="18">
        <f>IFERROR(IF([1]对账明细接口!$J$75=0,"",[1]对账明细接口!$J$75),"")</f>
        <v>326</v>
      </c>
      <c r="K75" s="18" t="str">
        <f>IFERROR(IF([1]对账明细接口!$K$75=0,"",[1]对账明细接口!$K$75),"")</f>
        <v/>
      </c>
      <c r="L75" s="16" t="str">
        <f>IFERROR(IF([1]对账明细接口!$L$75=0,"",[1]对账明细接口!$L$75),"")</f>
        <v/>
      </c>
      <c r="M75" s="16" t="str">
        <f>IFERROR(IF([1]对账明细接口!$M$75=0,"",[1]对账明细接口!$M$75),"")</f>
        <v/>
      </c>
      <c r="N75" s="19">
        <f t="shared" si="2"/>
        <v>1</v>
      </c>
      <c r="O75" s="19">
        <f t="shared" si="3"/>
        <v>72</v>
      </c>
      <c r="S75" s="20" t="str">
        <f>IFERROR(IF([1]对账明细接口!$N75=0,"",[1]对账明细接口!$N75),"")</f>
        <v>自备一次性筐</v>
      </c>
      <c r="T75" s="21" t="str">
        <f>IFERROR(IF([1]对账明细接口!$O75=0,"",[1]对账明细接口!$O75),"")</f>
        <v/>
      </c>
      <c r="U75" s="21" t="str">
        <f>IFERROR(IF([1]对账明细接口!$P75=0,"",[1]对账明细接口!$P75),"")</f>
        <v/>
      </c>
      <c r="V75" s="21">
        <f>IFERROR(IF([1]对账明细接口!$Q75=0,"",[1]对账明细接口!$Q75),"")</f>
        <v>163</v>
      </c>
      <c r="W75" s="20" t="str">
        <f>IFERROR(IF([1]对账明细接口!$R75=0,"",[1]对账明细接口!$R75),"")</f>
        <v>苏M*7G796</v>
      </c>
      <c r="X75" s="20" t="str">
        <f>IFERROR(IF([1]对账明细接口!$S75=0,"",[1]对账明细接口!$S75),"")</f>
        <v>自备筐</v>
      </c>
      <c r="Y75" s="20" t="str">
        <f>IFERROR(IF([1]对账明细接口!$T75=0,"",[1]对账明细接口!$T75),"")</f>
        <v/>
      </c>
      <c r="Z75" s="24" t="str">
        <f>IFERROR(IF([1]对账明细接口!$U75=0,"",[1]对账明细接口!$U75),"")</f>
        <v/>
      </c>
      <c r="AA75" s="24" t="str">
        <f>IFERROR(IF([1]对账明细接口!$V75=0,"",[1]对账明细接口!$V75),"")</f>
        <v/>
      </c>
      <c r="AB75" s="20" t="str">
        <f>IFERROR(IF([1]对账明细接口!$W75=0,"",[1]对账明细接口!$W75),"")</f>
        <v/>
      </c>
      <c r="AC75" s="7" t="str">
        <f>IFERROR(IF([1]对账明细接口!$X75=0,"",[1]对账明细接口!$X75),"")</f>
        <v/>
      </c>
      <c r="AD75" s="7" t="str">
        <f>IFERROR(IF([1]对账明细接口!$Y75=0,"",[1]对账明细接口!$Y75),"")</f>
        <v/>
      </c>
      <c r="AE75" s="7" t="str">
        <f>IFERROR(IF([1]对账明细接口!$AA75=0,"",[1]对账明细接口!$AA75),"")</f>
        <v/>
      </c>
      <c r="AF75" s="7" t="str">
        <f>IFERROR(IF([1]对账明细接口!$AB75=0,"",[1]对账明细接口!$AB75),"")</f>
        <v/>
      </c>
      <c r="AG75" s="7" t="str">
        <f>IFERROR(IF([1]对账明细接口!$AC75=0,"",[1]对账明细接口!$AC75),"")</f>
        <v/>
      </c>
      <c r="AH75" s="7" t="str">
        <f>IFERROR(IF([1]对账明细接口!$AD75=0,"",[1]对账明细接口!$AD75),"")</f>
        <v/>
      </c>
      <c r="AI75" s="7" t="str">
        <f>IFERROR(IF([1]对账明细接口!$AE75=0,"",[1]对账明细接口!$AE75),"")</f>
        <v/>
      </c>
      <c r="AJ75" s="7" t="str">
        <f>IFERROR(IF([1]对账明细接口!$AF75=0,"",[1]对账明细接口!$AF75),"")</f>
        <v/>
      </c>
    </row>
    <row r="76" ht="14.25" customHeight="1" spans="1:36">
      <c r="A76" s="14">
        <v>76</v>
      </c>
      <c r="B76" s="15">
        <f>IFERROR(IF([1]对账明细接口!$B$76=0,"",[1]对账明细接口!$B$76),"")</f>
        <v>46253</v>
      </c>
      <c r="C76" s="16" t="str">
        <f>IFERROR(IF([1]对账明细接口!$C$76=0,"",[1]对账明细接口!$C$76),"")</f>
        <v>聂新平</v>
      </c>
      <c r="D76" s="16" t="str">
        <f>IFERROR(IF([1]对账明细接口!$D$76=0,"",[1]对账明细接口!$D$76),"")</f>
        <v>原料入库</v>
      </c>
      <c r="E76" s="16" t="str">
        <f>IFERROR(IF([1]对账明细接口!$E$76=0,"",[1]对账明细接口!$E$76),"")</f>
        <v>NO:0000705</v>
      </c>
      <c r="F76" s="16" t="str">
        <f>IFERROR(IF([1]对账明细接口!$F$76=0,"",[1]对账明细接口!$F$76),"")</f>
        <v>西梅</v>
      </c>
      <c r="G76" s="16" t="str">
        <f>IFERROR(IF([1]对账明细接口!$G$76=0,"",[1]对账明细接口!$G$76),"")</f>
        <v>西梅一级</v>
      </c>
      <c r="H76" s="17">
        <f>IFERROR(IF([1]对账明细接口!$H$76=0,"",[1]对账明细接口!$H$76),"")</f>
        <v>105</v>
      </c>
      <c r="I76" s="16" t="str">
        <f>IFERROR(IF([1]对账明细接口!$I$76=0,"",[1]对账明细接口!$I$76),"")</f>
        <v>筐</v>
      </c>
      <c r="J76" s="18">
        <f>IFERROR(IF([1]对账明细接口!$J$76=0,"",[1]对账明细接口!$J$76),"")</f>
        <v>735</v>
      </c>
      <c r="K76" s="18" t="str">
        <f>IFERROR(IF([1]对账明细接口!$K$76=0,"",[1]对账明细接口!$K$76),"")</f>
        <v/>
      </c>
      <c r="L76" s="16" t="str">
        <f>IFERROR(IF([1]对账明细接口!$L$76=0,"",[1]对账明细接口!$L$76),"")</f>
        <v/>
      </c>
      <c r="M76" s="16" t="str">
        <f>IFERROR(IF([1]对账明细接口!$M$76=0,"",[1]对账明细接口!$M$76),"")</f>
        <v/>
      </c>
      <c r="N76" s="19">
        <f t="shared" si="2"/>
        <v>1</v>
      </c>
      <c r="O76" s="19">
        <f t="shared" si="3"/>
        <v>73</v>
      </c>
      <c r="S76" s="20" t="str">
        <f>IFERROR(IF([1]对账明细接口!$N76=0,"",[1]对账明细接口!$N76),"")</f>
        <v>自备一次性筐</v>
      </c>
      <c r="T76" s="21" t="str">
        <f>IFERROR(IF([1]对账明细接口!$O76=0,"",[1]对账明细接口!$O76),"")</f>
        <v/>
      </c>
      <c r="U76" s="21" t="str">
        <f>IFERROR(IF([1]对账明细接口!$P76=0,"",[1]对账明细接口!$P76),"")</f>
        <v/>
      </c>
      <c r="V76" s="21">
        <f>IFERROR(IF([1]对账明细接口!$Q76=0,"",[1]对账明细接口!$Q76),"")</f>
        <v>105</v>
      </c>
      <c r="W76" s="20" t="str">
        <f>IFERROR(IF([1]对账明细接口!$R76=0,"",[1]对账明细接口!$R76),"")</f>
        <v>苏M*7G796</v>
      </c>
      <c r="X76" s="20" t="str">
        <f>IFERROR(IF([1]对账明细接口!$S76=0,"",[1]对账明细接口!$S76),"")</f>
        <v>自备筐</v>
      </c>
      <c r="Y76" s="20" t="str">
        <f>IFERROR(IF([1]对账明细接口!$T76=0,"",[1]对账明细接口!$T76),"")</f>
        <v/>
      </c>
      <c r="Z76" s="24" t="str">
        <f>IFERROR(IF([1]对账明细接口!$U76=0,"",[1]对账明细接口!$U76),"")</f>
        <v/>
      </c>
      <c r="AA76" s="24" t="str">
        <f>IFERROR(IF([1]对账明细接口!$V76=0,"",[1]对账明细接口!$V76),"")</f>
        <v/>
      </c>
      <c r="AB76" s="20" t="str">
        <f>IFERROR(IF([1]对账明细接口!$W76=0,"",[1]对账明细接口!$W76),"")</f>
        <v/>
      </c>
      <c r="AC76" s="7" t="str">
        <f>IFERROR(IF([1]对账明细接口!$X76=0,"",[1]对账明细接口!$X76),"")</f>
        <v/>
      </c>
      <c r="AD76" s="7" t="str">
        <f>IFERROR(IF([1]对账明细接口!$Y76=0,"",[1]对账明细接口!$Y76),"")</f>
        <v/>
      </c>
      <c r="AE76" s="7" t="str">
        <f>IFERROR(IF([1]对账明细接口!$AA76=0,"",[1]对账明细接口!$AA76),"")</f>
        <v/>
      </c>
      <c r="AF76" s="7" t="str">
        <f>IFERROR(IF([1]对账明细接口!$AB76=0,"",[1]对账明细接口!$AB76),"")</f>
        <v/>
      </c>
      <c r="AG76" s="7" t="str">
        <f>IFERROR(IF([1]对账明细接口!$AC76=0,"",[1]对账明细接口!$AC76),"")</f>
        <v/>
      </c>
      <c r="AH76" s="7" t="str">
        <f>IFERROR(IF([1]对账明细接口!$AD76=0,"",[1]对账明细接口!$AD76),"")</f>
        <v/>
      </c>
      <c r="AI76" s="7" t="str">
        <f>IFERROR(IF([1]对账明细接口!$AE76=0,"",[1]对账明细接口!$AE76),"")</f>
        <v/>
      </c>
      <c r="AJ76" s="7" t="str">
        <f>IFERROR(IF([1]对账明细接口!$AF76=0,"",[1]对账明细接口!$AF76),"")</f>
        <v/>
      </c>
    </row>
    <row r="77" ht="14.25" customHeight="1" spans="1:36">
      <c r="A77" s="14">
        <v>77</v>
      </c>
      <c r="B77" s="15">
        <f>IFERROR(IF([1]对账明细接口!$B$77=0,"",[1]对账明细接口!$B$77),"")</f>
        <v>46253</v>
      </c>
      <c r="C77" s="16" t="str">
        <f>IFERROR(IF([1]对账明细接口!$C$77=0,"",[1]对账明细接口!$C$77),"")</f>
        <v>聂新平</v>
      </c>
      <c r="D77" s="16" t="str">
        <f>IFERROR(IF([1]对账明细接口!$D$77=0,"",[1]对账明细接口!$D$77),"")</f>
        <v>原料入库</v>
      </c>
      <c r="E77" s="16" t="str">
        <f>IFERROR(IF([1]对账明细接口!$E$77=0,"",[1]对账明细接口!$E$77),"")</f>
        <v>NO:0000705</v>
      </c>
      <c r="F77" s="16" t="str">
        <f>IFERROR(IF([1]对账明细接口!$F$77=0,"",[1]对账明细接口!$F$77),"")</f>
        <v>西梅</v>
      </c>
      <c r="G77" s="16" t="str">
        <f>IFERROR(IF([1]对账明细接口!$G$77=0,"",[1]对账明细接口!$G$77),"")</f>
        <v>西梅二级</v>
      </c>
      <c r="H77" s="17">
        <f>IFERROR(IF([1]对账明细接口!$H$77=0,"",[1]对账明细接口!$H$77),"")</f>
        <v>147</v>
      </c>
      <c r="I77" s="16" t="str">
        <f>IFERROR(IF([1]对账明细接口!$I$77=0,"",[1]对账明细接口!$I$77),"")</f>
        <v>筐</v>
      </c>
      <c r="J77" s="18">
        <f>IFERROR(IF([1]对账明细接口!$J$77=0,"",[1]对账明细接口!$J$77),"")</f>
        <v>294</v>
      </c>
      <c r="K77" s="18" t="str">
        <f>IFERROR(IF([1]对账明细接口!$K$77=0,"",[1]对账明细接口!$K$77),"")</f>
        <v/>
      </c>
      <c r="L77" s="16" t="str">
        <f>IFERROR(IF([1]对账明细接口!$L$77=0,"",[1]对账明细接口!$L$77),"")</f>
        <v/>
      </c>
      <c r="M77" s="16" t="str">
        <f>IFERROR(IF([1]对账明细接口!$M$77=0,"",[1]对账明细接口!$M$77),"")</f>
        <v/>
      </c>
      <c r="N77" s="19">
        <f t="shared" si="2"/>
        <v>1</v>
      </c>
      <c r="O77" s="19">
        <f t="shared" si="3"/>
        <v>74</v>
      </c>
      <c r="S77" s="20" t="str">
        <f>IFERROR(IF([1]对账明细接口!$N77=0,"",[1]对账明细接口!$N77),"")</f>
        <v>自备一次性筐</v>
      </c>
      <c r="T77" s="21" t="str">
        <f>IFERROR(IF([1]对账明细接口!$O77=0,"",[1]对账明细接口!$O77),"")</f>
        <v/>
      </c>
      <c r="U77" s="21" t="str">
        <f>IFERROR(IF([1]对账明细接口!$P77=0,"",[1]对账明细接口!$P77),"")</f>
        <v/>
      </c>
      <c r="V77" s="21">
        <f>IFERROR(IF([1]对账明细接口!$Q77=0,"",[1]对账明细接口!$Q77),"")</f>
        <v>147</v>
      </c>
      <c r="W77" s="20" t="str">
        <f>IFERROR(IF([1]对账明细接口!$R77=0,"",[1]对账明细接口!$R77),"")</f>
        <v>苏M*7G796</v>
      </c>
      <c r="X77" s="20" t="str">
        <f>IFERROR(IF([1]对账明细接口!$S77=0,"",[1]对账明细接口!$S77),"")</f>
        <v>自备筐</v>
      </c>
      <c r="Y77" s="20" t="str">
        <f>IFERROR(IF([1]对账明细接口!$T77=0,"",[1]对账明细接口!$T77),"")</f>
        <v/>
      </c>
      <c r="Z77" s="24" t="str">
        <f>IFERROR(IF([1]对账明细接口!$U77=0,"",[1]对账明细接口!$U77),"")</f>
        <v/>
      </c>
      <c r="AA77" s="24" t="str">
        <f>IFERROR(IF([1]对账明细接口!$V77=0,"",[1]对账明细接口!$V77),"")</f>
        <v/>
      </c>
      <c r="AB77" s="20" t="str">
        <f>IFERROR(IF([1]对账明细接口!$W77=0,"",[1]对账明细接口!$W77),"")</f>
        <v/>
      </c>
      <c r="AC77" s="7" t="str">
        <f>IFERROR(IF([1]对账明细接口!$X77=0,"",[1]对账明细接口!$X77),"")</f>
        <v/>
      </c>
      <c r="AD77" s="7" t="str">
        <f>IFERROR(IF([1]对账明细接口!$Y77=0,"",[1]对账明细接口!$Y77),"")</f>
        <v/>
      </c>
      <c r="AE77" s="7" t="str">
        <f>IFERROR(IF([1]对账明细接口!$AA77=0,"",[1]对账明细接口!$AA77),"")</f>
        <v/>
      </c>
      <c r="AF77" s="7" t="str">
        <f>IFERROR(IF([1]对账明细接口!$AB77=0,"",[1]对账明细接口!$AB77),"")</f>
        <v/>
      </c>
      <c r="AG77" s="7" t="str">
        <f>IFERROR(IF([1]对账明细接口!$AC77=0,"",[1]对账明细接口!$AC77),"")</f>
        <v/>
      </c>
      <c r="AH77" s="7" t="str">
        <f>IFERROR(IF([1]对账明细接口!$AD77=0,"",[1]对账明细接口!$AD77),"")</f>
        <v/>
      </c>
      <c r="AI77" s="7" t="str">
        <f>IFERROR(IF([1]对账明细接口!$AE77=0,"",[1]对账明细接口!$AE77),"")</f>
        <v/>
      </c>
      <c r="AJ77" s="7" t="str">
        <f>IFERROR(IF([1]对账明细接口!$AF77=0,"",[1]对账明细接口!$AF77),"")</f>
        <v/>
      </c>
    </row>
    <row r="78" ht="14.25" customHeight="1" spans="1:36">
      <c r="A78" s="14">
        <v>78</v>
      </c>
      <c r="B78" s="15">
        <f>IFERROR(IF([1]对账明细接口!$B$78=0,"",[1]对账明细接口!$B$78),"")</f>
        <v>46253</v>
      </c>
      <c r="C78" s="16" t="str">
        <f>IFERROR(IF([1]对账明细接口!$C$78=0,"",[1]对账明细接口!$C$78),"")</f>
        <v>聂新平</v>
      </c>
      <c r="D78" s="16" t="str">
        <f>IFERROR(IF([1]对账明细接口!$D$78=0,"",[1]对账明细接口!$D$78),"")</f>
        <v>原料入库</v>
      </c>
      <c r="E78" s="16" t="str">
        <f>IFERROR(IF([1]对账明细接口!$E$78=0,"",[1]对账明细接口!$E$78),"")</f>
        <v>NO:0000705</v>
      </c>
      <c r="F78" s="16" t="str">
        <f>IFERROR(IF([1]对账明细接口!$F$78=0,"",[1]对账明细接口!$F$78),"")</f>
        <v>西梅</v>
      </c>
      <c r="G78" s="16" t="str">
        <f>IFERROR(IF([1]对账明细接口!$G$78=0,"",[1]对账明细接口!$G$78),"")</f>
        <v>西梅三级</v>
      </c>
      <c r="H78" s="17">
        <f>IFERROR(IF([1]对账明细接口!$H$78=0,"",[1]对账明细接口!$H$78),"")</f>
        <v>107</v>
      </c>
      <c r="I78" s="16" t="str">
        <f>IFERROR(IF([1]对账明细接口!$I$78=0,"",[1]对账明细接口!$I$78),"")</f>
        <v>筐</v>
      </c>
      <c r="J78" s="18">
        <f>IFERROR(IF([1]对账明细接口!$J$78=0,"",[1]对账明细接口!$J$78),"")</f>
        <v>214</v>
      </c>
      <c r="K78" s="18" t="str">
        <f>IFERROR(IF([1]对账明细接口!$K$78=0,"",[1]对账明细接口!$K$78),"")</f>
        <v/>
      </c>
      <c r="L78" s="16" t="str">
        <f>IFERROR(IF([1]对账明细接口!$L$78=0,"",[1]对账明细接口!$L$78),"")</f>
        <v/>
      </c>
      <c r="M78" s="16" t="str">
        <f>IFERROR(IF([1]对账明细接口!$M$78=0,"",[1]对账明细接口!$M$78),"")</f>
        <v/>
      </c>
      <c r="N78" s="19">
        <f t="shared" si="2"/>
        <v>1</v>
      </c>
      <c r="O78" s="19">
        <f t="shared" si="3"/>
        <v>75</v>
      </c>
      <c r="S78" s="20" t="str">
        <f>IFERROR(IF([1]对账明细接口!$N78=0,"",[1]对账明细接口!$N78),"")</f>
        <v>自备一次性筐</v>
      </c>
      <c r="T78" s="21" t="str">
        <f>IFERROR(IF([1]对账明细接口!$O78=0,"",[1]对账明细接口!$O78),"")</f>
        <v/>
      </c>
      <c r="U78" s="21" t="str">
        <f>IFERROR(IF([1]对账明细接口!$P78=0,"",[1]对账明细接口!$P78),"")</f>
        <v/>
      </c>
      <c r="V78" s="21">
        <f>IFERROR(IF([1]对账明细接口!$Q78=0,"",[1]对账明细接口!$Q78),"")</f>
        <v>107</v>
      </c>
      <c r="W78" s="20" t="str">
        <f>IFERROR(IF([1]对账明细接口!$R78=0,"",[1]对账明细接口!$R78),"")</f>
        <v>苏M*7G796</v>
      </c>
      <c r="X78" s="20" t="str">
        <f>IFERROR(IF([1]对账明细接口!$S78=0,"",[1]对账明细接口!$S78),"")</f>
        <v>自备筐</v>
      </c>
      <c r="Y78" s="20" t="str">
        <f>IFERROR(IF([1]对账明细接口!$T78=0,"",[1]对账明细接口!$T78),"")</f>
        <v/>
      </c>
      <c r="Z78" s="24" t="str">
        <f>IFERROR(IF([1]对账明细接口!$U78=0,"",[1]对账明细接口!$U78),"")</f>
        <v/>
      </c>
      <c r="AA78" s="24" t="str">
        <f>IFERROR(IF([1]对账明细接口!$V78=0,"",[1]对账明细接口!$V78),"")</f>
        <v/>
      </c>
      <c r="AB78" s="20" t="str">
        <f>IFERROR(IF([1]对账明细接口!$W78=0,"",[1]对账明细接口!$W78),"")</f>
        <v/>
      </c>
      <c r="AC78" s="7" t="str">
        <f>IFERROR(IF([1]对账明细接口!$X78=0,"",[1]对账明细接口!$X78),"")</f>
        <v/>
      </c>
      <c r="AD78" s="7" t="str">
        <f>IFERROR(IF([1]对账明细接口!$Y78=0,"",[1]对账明细接口!$Y78),"")</f>
        <v/>
      </c>
      <c r="AE78" s="7" t="str">
        <f>IFERROR(IF([1]对账明细接口!$AA78=0,"",[1]对账明细接口!$AA78),"")</f>
        <v/>
      </c>
      <c r="AF78" s="7" t="str">
        <f>IFERROR(IF([1]对账明细接口!$AB78=0,"",[1]对账明细接口!$AB78),"")</f>
        <v/>
      </c>
      <c r="AG78" s="7" t="str">
        <f>IFERROR(IF([1]对账明细接口!$AC78=0,"",[1]对账明细接口!$AC78),"")</f>
        <v/>
      </c>
      <c r="AH78" s="7" t="str">
        <f>IFERROR(IF([1]对账明细接口!$AD78=0,"",[1]对账明细接口!$AD78),"")</f>
        <v/>
      </c>
      <c r="AI78" s="7" t="str">
        <f>IFERROR(IF([1]对账明细接口!$AE78=0,"",[1]对账明细接口!$AE78),"")</f>
        <v/>
      </c>
      <c r="AJ78" s="7" t="str">
        <f>IFERROR(IF([1]对账明细接口!$AF78=0,"",[1]对账明细接口!$AF78),"")</f>
        <v/>
      </c>
    </row>
    <row r="79" ht="14.25" customHeight="1" spans="1:36">
      <c r="A79" s="14">
        <v>79</v>
      </c>
      <c r="B79" s="15">
        <f>IFERROR(IF([1]对账明细接口!$B$79=0,"",[1]对账明细接口!$B$79),"")</f>
        <v>46254</v>
      </c>
      <c r="C79" s="16" t="str">
        <f>IFERROR(IF([1]对账明细接口!$C$79=0,"",[1]对账明细接口!$C$79),"")</f>
        <v>聂新平</v>
      </c>
      <c r="D79" s="16" t="str">
        <f>IFERROR(IF([1]对账明细接口!$D$79=0,"",[1]对账明细接口!$D$79),"")</f>
        <v>原料入库</v>
      </c>
      <c r="E79" s="16" t="str">
        <f>IFERROR(IF([1]对账明细接口!$E$79=0,"",[1]对账明细接口!$E$79),"")</f>
        <v>NO:0000706</v>
      </c>
      <c r="F79" s="16" t="str">
        <f>IFERROR(IF([1]对账明细接口!$F$79=0,"",[1]对账明细接口!$F$79),"")</f>
        <v>西梅</v>
      </c>
      <c r="G79" s="16" t="str">
        <f>IFERROR(IF([1]对账明细接口!$G$79=0,"",[1]对账明细接口!$G$79),"")</f>
        <v>西梅二级</v>
      </c>
      <c r="H79" s="17">
        <f>IFERROR(IF([1]对账明细接口!$H$79=0,"",[1]对账明细接口!$H$79),"")</f>
        <v>283</v>
      </c>
      <c r="I79" s="16" t="str">
        <f>IFERROR(IF([1]对账明细接口!$I$79=0,"",[1]对账明细接口!$I$79),"")</f>
        <v>筐</v>
      </c>
      <c r="J79" s="18">
        <f>IFERROR(IF([1]对账明细接口!$J$79=0,"",[1]对账明细接口!$J$79),"")</f>
        <v>566</v>
      </c>
      <c r="K79" s="18" t="str">
        <f>IFERROR(IF([1]对账明细接口!$K$79=0,"",[1]对账明细接口!$K$79),"")</f>
        <v/>
      </c>
      <c r="L79" s="16" t="str">
        <f>IFERROR(IF([1]对账明细接口!$L$79=0,"",[1]对账明细接口!$L$79),"")</f>
        <v/>
      </c>
      <c r="M79" s="16" t="str">
        <f>IFERROR(IF([1]对账明细接口!$M$79=0,"",[1]对账明细接口!$M$79),"")</f>
        <v/>
      </c>
      <c r="N79" s="19">
        <f t="shared" si="2"/>
        <v>1</v>
      </c>
      <c r="O79" s="19">
        <f t="shared" si="3"/>
        <v>76</v>
      </c>
      <c r="S79" s="20" t="str">
        <f>IFERROR(IF([1]对账明细接口!$N79=0,"",[1]对账明细接口!$N79),"")</f>
        <v>自备一次性筐</v>
      </c>
      <c r="T79" s="21" t="str">
        <f>IFERROR(IF([1]对账明细接口!$O79=0,"",[1]对账明细接口!$O79),"")</f>
        <v/>
      </c>
      <c r="U79" s="21" t="str">
        <f>IFERROR(IF([1]对账明细接口!$P79=0,"",[1]对账明细接口!$P79),"")</f>
        <v/>
      </c>
      <c r="V79" s="21">
        <f>IFERROR(IF([1]对账明细接口!$Q79=0,"",[1]对账明细接口!$Q79),"")</f>
        <v>283</v>
      </c>
      <c r="W79" s="20" t="str">
        <f>IFERROR(IF([1]对账明细接口!$R79=0,"",[1]对账明细接口!$R79),"")</f>
        <v>苏M*7G796</v>
      </c>
      <c r="X79" s="20" t="str">
        <f>IFERROR(IF([1]对账明细接口!$S79=0,"",[1]对账明细接口!$S79),"")</f>
        <v>自备筐</v>
      </c>
      <c r="Y79" s="20" t="str">
        <f>IFERROR(IF([1]对账明细接口!$T79=0,"",[1]对账明细接口!$T79),"")</f>
        <v/>
      </c>
      <c r="Z79" s="24" t="str">
        <f>IFERROR(IF([1]对账明细接口!$U79=0,"",[1]对账明细接口!$U79),"")</f>
        <v/>
      </c>
      <c r="AA79" s="24" t="str">
        <f>IFERROR(IF([1]对账明细接口!$V79=0,"",[1]对账明细接口!$V79),"")</f>
        <v/>
      </c>
      <c r="AB79" s="20" t="str">
        <f>IFERROR(IF([1]对账明细接口!$W79=0,"",[1]对账明细接口!$W79),"")</f>
        <v/>
      </c>
      <c r="AC79" s="7" t="str">
        <f>IFERROR(IF([1]对账明细接口!$X79=0,"",[1]对账明细接口!$X79),"")</f>
        <v/>
      </c>
      <c r="AD79" s="7" t="str">
        <f>IFERROR(IF([1]对账明细接口!$Y79=0,"",[1]对账明细接口!$Y79),"")</f>
        <v/>
      </c>
      <c r="AE79" s="7" t="str">
        <f>IFERROR(IF([1]对账明细接口!$AA79=0,"",[1]对账明细接口!$AA79),"")</f>
        <v/>
      </c>
      <c r="AF79" s="7" t="str">
        <f>IFERROR(IF([1]对账明细接口!$AB79=0,"",[1]对账明细接口!$AB79),"")</f>
        <v/>
      </c>
      <c r="AG79" s="7" t="str">
        <f>IFERROR(IF([1]对账明细接口!$AC79=0,"",[1]对账明细接口!$AC79),"")</f>
        <v/>
      </c>
      <c r="AH79" s="7" t="str">
        <f>IFERROR(IF([1]对账明细接口!$AD79=0,"",[1]对账明细接口!$AD79),"")</f>
        <v/>
      </c>
      <c r="AI79" s="7" t="str">
        <f>IFERROR(IF([1]对账明细接口!$AE79=0,"",[1]对账明细接口!$AE79),"")</f>
        <v/>
      </c>
      <c r="AJ79" s="7" t="str">
        <f>IFERROR(IF([1]对账明细接口!$AF79=0,"",[1]对账明细接口!$AF79),"")</f>
        <v/>
      </c>
    </row>
    <row r="80" ht="14.25" customHeight="1" spans="1:36">
      <c r="A80" s="14">
        <v>80</v>
      </c>
      <c r="B80" s="15">
        <f>IFERROR(IF([1]对账明细接口!$B$80=0,"",[1]对账明细接口!$B$80),"")</f>
        <v>46254</v>
      </c>
      <c r="C80" s="16" t="str">
        <f>IFERROR(IF([1]对账明细接口!$C$80=0,"",[1]对账明细接口!$C$80),"")</f>
        <v>聂新平</v>
      </c>
      <c r="D80" s="16" t="str">
        <f>IFERROR(IF([1]对账明细接口!$D$80=0,"",[1]对账明细接口!$D$80),"")</f>
        <v>原料入库</v>
      </c>
      <c r="E80" s="16" t="str">
        <f>IFERROR(IF([1]对账明细接口!$E$80=0,"",[1]对账明细接口!$E$80),"")</f>
        <v>NO:0000706</v>
      </c>
      <c r="F80" s="16" t="str">
        <f>IFERROR(IF([1]对账明细接口!$F$80=0,"",[1]对账明细接口!$F$80),"")</f>
        <v>西梅</v>
      </c>
      <c r="G80" s="16" t="str">
        <f>IFERROR(IF([1]对账明细接口!$G$80=0,"",[1]对账明细接口!$G$80),"")</f>
        <v>西梅三级</v>
      </c>
      <c r="H80" s="17">
        <f>IFERROR(IF([1]对账明细接口!$H$80=0,"",[1]对账明细接口!$H$80),"")</f>
        <v>185</v>
      </c>
      <c r="I80" s="16" t="str">
        <f>IFERROR(IF([1]对账明细接口!$I$80=0,"",[1]对账明细接口!$I$80),"")</f>
        <v>筐</v>
      </c>
      <c r="J80" s="18">
        <f>IFERROR(IF([1]对账明细接口!$J$80=0,"",[1]对账明细接口!$J$80),"")</f>
        <v>370</v>
      </c>
      <c r="K80" s="18" t="str">
        <f>IFERROR(IF([1]对账明细接口!$K$80=0,"",[1]对账明细接口!$K$80),"")</f>
        <v/>
      </c>
      <c r="L80" s="16" t="str">
        <f>IFERROR(IF([1]对账明细接口!$L$80=0,"",[1]对账明细接口!$L$80),"")</f>
        <v/>
      </c>
      <c r="M80" s="16" t="str">
        <f>IFERROR(IF([1]对账明细接口!$M$80=0,"",[1]对账明细接口!$M$80),"")</f>
        <v/>
      </c>
      <c r="N80" s="19">
        <f t="shared" si="2"/>
        <v>1</v>
      </c>
      <c r="O80" s="19">
        <f t="shared" si="3"/>
        <v>77</v>
      </c>
      <c r="S80" s="20" t="str">
        <f>IFERROR(IF([1]对账明细接口!$N80=0,"",[1]对账明细接口!$N80),"")</f>
        <v>自备一次性筐</v>
      </c>
      <c r="T80" s="21" t="str">
        <f>IFERROR(IF([1]对账明细接口!$O80=0,"",[1]对账明细接口!$O80),"")</f>
        <v/>
      </c>
      <c r="U80" s="21" t="str">
        <f>IFERROR(IF([1]对账明细接口!$P80=0,"",[1]对账明细接口!$P80),"")</f>
        <v/>
      </c>
      <c r="V80" s="21">
        <f>IFERROR(IF([1]对账明细接口!$Q80=0,"",[1]对账明细接口!$Q80),"")</f>
        <v>185</v>
      </c>
      <c r="W80" s="20" t="str">
        <f>IFERROR(IF([1]对账明细接口!$R80=0,"",[1]对账明细接口!$R80),"")</f>
        <v>苏M*7G796</v>
      </c>
      <c r="X80" s="20" t="str">
        <f>IFERROR(IF([1]对账明细接口!$S80=0,"",[1]对账明细接口!$S80),"")</f>
        <v>自备筐</v>
      </c>
      <c r="Y80" s="20" t="str">
        <f>IFERROR(IF([1]对账明细接口!$T80=0,"",[1]对账明细接口!$T80),"")</f>
        <v/>
      </c>
      <c r="Z80" s="24" t="str">
        <f>IFERROR(IF([1]对账明细接口!$U80=0,"",[1]对账明细接口!$U80),"")</f>
        <v/>
      </c>
      <c r="AA80" s="24" t="str">
        <f>IFERROR(IF([1]对账明细接口!$V80=0,"",[1]对账明细接口!$V80),"")</f>
        <v/>
      </c>
      <c r="AB80" s="20" t="str">
        <f>IFERROR(IF([1]对账明细接口!$W80=0,"",[1]对账明细接口!$W80),"")</f>
        <v/>
      </c>
      <c r="AC80" s="7" t="str">
        <f>IFERROR(IF([1]对账明细接口!$X80=0,"",[1]对账明细接口!$X80),"")</f>
        <v/>
      </c>
      <c r="AD80" s="7" t="str">
        <f>IFERROR(IF([1]对账明细接口!$Y80=0,"",[1]对账明细接口!$Y80),"")</f>
        <v/>
      </c>
      <c r="AE80" s="7" t="str">
        <f>IFERROR(IF([1]对账明细接口!$AA80=0,"",[1]对账明细接口!$AA80),"")</f>
        <v/>
      </c>
      <c r="AF80" s="7" t="str">
        <f>IFERROR(IF([1]对账明细接口!$AB80=0,"",[1]对账明细接口!$AB80),"")</f>
        <v/>
      </c>
      <c r="AG80" s="7" t="str">
        <f>IFERROR(IF([1]对账明细接口!$AC80=0,"",[1]对账明细接口!$AC80),"")</f>
        <v/>
      </c>
      <c r="AH80" s="7" t="str">
        <f>IFERROR(IF([1]对账明细接口!$AD80=0,"",[1]对账明细接口!$AD80),"")</f>
        <v/>
      </c>
      <c r="AI80" s="7" t="str">
        <f>IFERROR(IF([1]对账明细接口!$AE80=0,"",[1]对账明细接口!$AE80),"")</f>
        <v/>
      </c>
      <c r="AJ80" s="7" t="str">
        <f>IFERROR(IF([1]对账明细接口!$AF80=0,"",[1]对账明细接口!$AF80),"")</f>
        <v/>
      </c>
    </row>
    <row r="81" ht="14.25" customHeight="1" spans="1:36">
      <c r="A81" s="14">
        <v>81</v>
      </c>
      <c r="B81" s="15">
        <f>IFERROR(IF([1]对账明细接口!$B$81=0,"",[1]对账明细接口!$B$81),"")</f>
        <v>46254</v>
      </c>
      <c r="C81" s="16" t="str">
        <f>IFERROR(IF([1]对账明细接口!$C$81=0,"",[1]对账明细接口!$C$81),"")</f>
        <v>聂新平</v>
      </c>
      <c r="D81" s="16" t="str">
        <f>IFERROR(IF([1]对账明细接口!$D$81=0,"",[1]对账明细接口!$D$81),"")</f>
        <v>原料入库</v>
      </c>
      <c r="E81" s="16" t="str">
        <f>IFERROR(IF([1]对账明细接口!$E$81=0,"",[1]对账明细接口!$E$81),"")</f>
        <v>NO:0000707</v>
      </c>
      <c r="F81" s="16" t="str">
        <f>IFERROR(IF([1]对账明细接口!$F$81=0,"",[1]对账明细接口!$F$81),"")</f>
        <v>西梅</v>
      </c>
      <c r="G81" s="16" t="str">
        <f>IFERROR(IF([1]对账明细接口!$G$81=0,"",[1]对账明细接口!$G$81),"")</f>
        <v>西梅一级</v>
      </c>
      <c r="H81" s="17">
        <f>IFERROR(IF([1]对账明细接口!$H$81=0,"",[1]对账明细接口!$H$81),"")</f>
        <v>16</v>
      </c>
      <c r="I81" s="16" t="str">
        <f>IFERROR(IF([1]对账明细接口!$I$81=0,"",[1]对账明细接口!$I$81),"")</f>
        <v>筐</v>
      </c>
      <c r="J81" s="18">
        <f>IFERROR(IF([1]对账明细接口!$J$81=0,"",[1]对账明细接口!$J$81),"")</f>
        <v>112</v>
      </c>
      <c r="K81" s="18" t="str">
        <f>IFERROR(IF([1]对账明细接口!$K$81=0,"",[1]对账明细接口!$K$81),"")</f>
        <v/>
      </c>
      <c r="L81" s="16" t="str">
        <f>IFERROR(IF([1]对账明细接口!$L$81=0,"",[1]对账明细接口!$L$81),"")</f>
        <v/>
      </c>
      <c r="M81" s="16" t="str">
        <f>IFERROR(IF([1]对账明细接口!$M$81=0,"",[1]对账明细接口!$M$81),"")</f>
        <v/>
      </c>
      <c r="N81" s="19">
        <f t="shared" si="2"/>
        <v>1</v>
      </c>
      <c r="O81" s="19">
        <f t="shared" si="3"/>
        <v>78</v>
      </c>
      <c r="S81" s="20" t="str">
        <f>IFERROR(IF([1]对账明细接口!$N81=0,"",[1]对账明细接口!$N81),"")</f>
        <v>自备一次性筐</v>
      </c>
      <c r="T81" s="21" t="str">
        <f>IFERROR(IF([1]对账明细接口!$O81=0,"",[1]对账明细接口!$O81),"")</f>
        <v/>
      </c>
      <c r="U81" s="21" t="str">
        <f>IFERROR(IF([1]对账明细接口!$P81=0,"",[1]对账明细接口!$P81),"")</f>
        <v/>
      </c>
      <c r="V81" s="21">
        <f>IFERROR(IF([1]对账明细接口!$Q81=0,"",[1]对账明细接口!$Q81),"")</f>
        <v>16</v>
      </c>
      <c r="W81" s="20" t="str">
        <f>IFERROR(IF([1]对账明细接口!$R81=0,"",[1]对账明细接口!$R81),"")</f>
        <v>苏M*7G796</v>
      </c>
      <c r="X81" s="20" t="str">
        <f>IFERROR(IF([1]对账明细接口!$S81=0,"",[1]对账明细接口!$S81),"")</f>
        <v>自备筐</v>
      </c>
      <c r="Y81" s="20" t="str">
        <f>IFERROR(IF([1]对账明细接口!$T81=0,"",[1]对账明细接口!$T81),"")</f>
        <v/>
      </c>
      <c r="Z81" s="24" t="str">
        <f>IFERROR(IF([1]对账明细接口!$U81=0,"",[1]对账明细接口!$U81),"")</f>
        <v/>
      </c>
      <c r="AA81" s="24" t="str">
        <f>IFERROR(IF([1]对账明细接口!$V81=0,"",[1]对账明细接口!$V81),"")</f>
        <v/>
      </c>
      <c r="AB81" s="20" t="str">
        <f>IFERROR(IF([1]对账明细接口!$W81=0,"",[1]对账明细接口!$W81),"")</f>
        <v/>
      </c>
      <c r="AC81" s="7" t="str">
        <f>IFERROR(IF([1]对账明细接口!$X81=0,"",[1]对账明细接口!$X81),"")</f>
        <v/>
      </c>
      <c r="AD81" s="7" t="str">
        <f>IFERROR(IF([1]对账明细接口!$Y81=0,"",[1]对账明细接口!$Y81),"")</f>
        <v/>
      </c>
      <c r="AE81" s="7" t="str">
        <f>IFERROR(IF([1]对账明细接口!$AA81=0,"",[1]对账明细接口!$AA81),"")</f>
        <v/>
      </c>
      <c r="AF81" s="7" t="str">
        <f>IFERROR(IF([1]对账明细接口!$AB81=0,"",[1]对账明细接口!$AB81),"")</f>
        <v/>
      </c>
      <c r="AG81" s="7" t="str">
        <f>IFERROR(IF([1]对账明细接口!$AC81=0,"",[1]对账明细接口!$AC81),"")</f>
        <v/>
      </c>
      <c r="AH81" s="7" t="str">
        <f>IFERROR(IF([1]对账明细接口!$AD81=0,"",[1]对账明细接口!$AD81),"")</f>
        <v/>
      </c>
      <c r="AI81" s="7" t="str">
        <f>IFERROR(IF([1]对账明细接口!$AE81=0,"",[1]对账明细接口!$AE81),"")</f>
        <v/>
      </c>
      <c r="AJ81" s="7" t="str">
        <f>IFERROR(IF([1]对账明细接口!$AF81=0,"",[1]对账明细接口!$AF81),"")</f>
        <v/>
      </c>
    </row>
    <row r="82" ht="14.25" customHeight="1" spans="1:36">
      <c r="A82" s="14">
        <v>82</v>
      </c>
      <c r="B82" s="15">
        <f>IFERROR(IF([1]对账明细接口!$B$82=0,"",[1]对账明细接口!$B$82),"")</f>
        <v>46254</v>
      </c>
      <c r="C82" s="16" t="str">
        <f>IFERROR(IF([1]对账明细接口!$C$82=0,"",[1]对账明细接口!$C$82),"")</f>
        <v>聂新平</v>
      </c>
      <c r="D82" s="16" t="str">
        <f>IFERROR(IF([1]对账明细接口!$D$82=0,"",[1]对账明细接口!$D$82),"")</f>
        <v>原料入库</v>
      </c>
      <c r="E82" s="16" t="str">
        <f>IFERROR(IF([1]对账明细接口!$E$82=0,"",[1]对账明细接口!$E$82),"")</f>
        <v>NO:0000707</v>
      </c>
      <c r="F82" s="16" t="str">
        <f>IFERROR(IF([1]对账明细接口!$F$82=0,"",[1]对账明细接口!$F$82),"")</f>
        <v>西梅</v>
      </c>
      <c r="G82" s="16" t="str">
        <f>IFERROR(IF([1]对账明细接口!$G$82=0,"",[1]对账明细接口!$G$82),"")</f>
        <v>西梅三级</v>
      </c>
      <c r="H82" s="17">
        <f>IFERROR(IF([1]对账明细接口!$H$82=0,"",[1]对账明细接口!$H$82),"")</f>
        <v>28</v>
      </c>
      <c r="I82" s="16" t="str">
        <f>IFERROR(IF([1]对账明细接口!$I$82=0,"",[1]对账明细接口!$I$82),"")</f>
        <v>筐</v>
      </c>
      <c r="J82" s="18">
        <f>IFERROR(IF([1]对账明细接口!$J$82=0,"",[1]对账明细接口!$J$82),"")</f>
        <v>56</v>
      </c>
      <c r="K82" s="18" t="str">
        <f>IFERROR(IF([1]对账明细接口!$K$82=0,"",[1]对账明细接口!$K$82),"")</f>
        <v/>
      </c>
      <c r="L82" s="16" t="str">
        <f>IFERROR(IF([1]对账明细接口!$L$82=0,"",[1]对账明细接口!$L$82),"")</f>
        <v/>
      </c>
      <c r="M82" s="16" t="str">
        <f>IFERROR(IF([1]对账明细接口!$M$82=0,"",[1]对账明细接口!$M$82),"")</f>
        <v/>
      </c>
      <c r="N82" s="19">
        <f t="shared" si="2"/>
        <v>1</v>
      </c>
      <c r="O82" s="19">
        <f t="shared" si="3"/>
        <v>79</v>
      </c>
      <c r="S82" s="20" t="str">
        <f>IFERROR(IF([1]对账明细接口!$N82=0,"",[1]对账明细接口!$N82),"")</f>
        <v>自备一次性筐</v>
      </c>
      <c r="T82" s="21" t="str">
        <f>IFERROR(IF([1]对账明细接口!$O82=0,"",[1]对账明细接口!$O82),"")</f>
        <v/>
      </c>
      <c r="U82" s="21" t="str">
        <f>IFERROR(IF([1]对账明细接口!$P82=0,"",[1]对账明细接口!$P82),"")</f>
        <v/>
      </c>
      <c r="V82" s="21">
        <f>IFERROR(IF([1]对账明细接口!$Q82=0,"",[1]对账明细接口!$Q82),"")</f>
        <v>28</v>
      </c>
      <c r="W82" s="20" t="str">
        <f>IFERROR(IF([1]对账明细接口!$R82=0,"",[1]对账明细接口!$R82),"")</f>
        <v>苏M*7G796</v>
      </c>
      <c r="X82" s="20" t="str">
        <f>IFERROR(IF([1]对账明细接口!$S82=0,"",[1]对账明细接口!$S82),"")</f>
        <v>自备筐</v>
      </c>
      <c r="Y82" s="20" t="str">
        <f>IFERROR(IF([1]对账明细接口!$T82=0,"",[1]对账明细接口!$T82),"")</f>
        <v/>
      </c>
      <c r="Z82" s="24" t="str">
        <f>IFERROR(IF([1]对账明细接口!$U82=0,"",[1]对账明细接口!$U82),"")</f>
        <v/>
      </c>
      <c r="AA82" s="24" t="str">
        <f>IFERROR(IF([1]对账明细接口!$V82=0,"",[1]对账明细接口!$V82),"")</f>
        <v/>
      </c>
      <c r="AB82" s="20" t="str">
        <f>IFERROR(IF([1]对账明细接口!$W82=0,"",[1]对账明细接口!$W82),"")</f>
        <v/>
      </c>
      <c r="AC82" s="7" t="str">
        <f>IFERROR(IF([1]对账明细接口!$X82=0,"",[1]对账明细接口!$X82),"")</f>
        <v/>
      </c>
      <c r="AD82" s="7" t="str">
        <f>IFERROR(IF([1]对账明细接口!$Y82=0,"",[1]对账明细接口!$Y82),"")</f>
        <v/>
      </c>
      <c r="AE82" s="7" t="str">
        <f>IFERROR(IF([1]对账明细接口!$AA82=0,"",[1]对账明细接口!$AA82),"")</f>
        <v/>
      </c>
      <c r="AF82" s="7" t="str">
        <f>IFERROR(IF([1]对账明细接口!$AB82=0,"",[1]对账明细接口!$AB82),"")</f>
        <v/>
      </c>
      <c r="AG82" s="7" t="str">
        <f>IFERROR(IF([1]对账明细接口!$AC82=0,"",[1]对账明细接口!$AC82),"")</f>
        <v/>
      </c>
      <c r="AH82" s="7" t="str">
        <f>IFERROR(IF([1]对账明细接口!$AD82=0,"",[1]对账明细接口!$AD82),"")</f>
        <v/>
      </c>
      <c r="AI82" s="7" t="str">
        <f>IFERROR(IF([1]对账明细接口!$AE82=0,"",[1]对账明细接口!$AE82),"")</f>
        <v/>
      </c>
      <c r="AJ82" s="7" t="str">
        <f>IFERROR(IF([1]对账明细接口!$AF82=0,"",[1]对账明细接口!$AF82),"")</f>
        <v/>
      </c>
    </row>
    <row r="83" ht="14.25" customHeight="1" spans="1:36">
      <c r="A83" s="14">
        <v>83</v>
      </c>
      <c r="B83" s="15">
        <f>IFERROR(IF([1]对账明细接口!$B$83=0,"",[1]对账明细接口!$B$83),"")</f>
        <v>46254</v>
      </c>
      <c r="C83" s="16" t="str">
        <f>IFERROR(IF([1]对账明细接口!$C$83=0,"",[1]对账明细接口!$C$83),"")</f>
        <v>聂新平</v>
      </c>
      <c r="D83" s="16" t="str">
        <f>IFERROR(IF([1]对账明细接口!$D$83=0,"",[1]对账明细接口!$D$83),"")</f>
        <v>原料入库</v>
      </c>
      <c r="E83" s="16" t="str">
        <f>IFERROR(IF([1]对账明细接口!$E$83=0,"",[1]对账明细接口!$E$83),"")</f>
        <v>NO:0000707</v>
      </c>
      <c r="F83" s="16" t="str">
        <f>IFERROR(IF([1]对账明细接口!$F$83=0,"",[1]对账明细接口!$F$83),"")</f>
        <v>西梅</v>
      </c>
      <c r="G83" s="16" t="str">
        <f>IFERROR(IF([1]对账明细接口!$G$83=0,"",[1]对账明细接口!$G$83),"")</f>
        <v>西梅二级</v>
      </c>
      <c r="H83" s="17">
        <f>IFERROR(IF([1]对账明细接口!$H$83=0,"",[1]对账明细接口!$H$83),"")</f>
        <v>133</v>
      </c>
      <c r="I83" s="16" t="str">
        <f>IFERROR(IF([1]对账明细接口!$I$83=0,"",[1]对账明细接口!$I$83),"")</f>
        <v>筐</v>
      </c>
      <c r="J83" s="18">
        <f>IFERROR(IF([1]对账明细接口!$J$83=0,"",[1]对账明细接口!$J$83),"")</f>
        <v>1197</v>
      </c>
      <c r="K83" s="18" t="str">
        <f>IFERROR(IF([1]对账明细接口!$K$83=0,"",[1]对账明细接口!$K$83),"")</f>
        <v/>
      </c>
      <c r="L83" s="16" t="str">
        <f>IFERROR(IF([1]对账明细接口!$L$83=0,"",[1]对账明细接口!$L$83),"")</f>
        <v/>
      </c>
      <c r="M83" s="16" t="str">
        <f>IFERROR(IF([1]对账明细接口!$M$83=0,"",[1]对账明细接口!$M$83),"")</f>
        <v/>
      </c>
      <c r="N83" s="19">
        <f t="shared" si="2"/>
        <v>1</v>
      </c>
      <c r="O83" s="19">
        <f t="shared" si="3"/>
        <v>80</v>
      </c>
      <c r="S83" s="20" t="str">
        <f>IFERROR(IF([1]对账明细接口!$N83=0,"",[1]对账明细接口!$N83),"")</f>
        <v>自备一次性筐</v>
      </c>
      <c r="T83" s="21" t="str">
        <f>IFERROR(IF([1]对账明细接口!$O83=0,"",[1]对账明细接口!$O83),"")</f>
        <v/>
      </c>
      <c r="U83" s="21" t="str">
        <f>IFERROR(IF([1]对账明细接口!$P83=0,"",[1]对账明细接口!$P83),"")</f>
        <v/>
      </c>
      <c r="V83" s="21">
        <f>IFERROR(IF([1]对账明细接口!$Q83=0,"",[1]对账明细接口!$Q83),"")</f>
        <v>133</v>
      </c>
      <c r="W83" s="20" t="str">
        <f>IFERROR(IF([1]对账明细接口!$R83=0,"",[1]对账明细接口!$R83),"")</f>
        <v>苏M*7G796</v>
      </c>
      <c r="X83" s="20" t="str">
        <f>IFERROR(IF([1]对账明细接口!$S83=0,"",[1]对账明细接口!$S83),"")</f>
        <v>自备筐</v>
      </c>
      <c r="Y83" s="20" t="str">
        <f>IFERROR(IF([1]对账明细接口!$T83=0,"",[1]对账明细接口!$T83),"")</f>
        <v/>
      </c>
      <c r="Z83" s="24" t="str">
        <f>IFERROR(IF([1]对账明细接口!$U83=0,"",[1]对账明细接口!$U83),"")</f>
        <v/>
      </c>
      <c r="AA83" s="24" t="str">
        <f>IFERROR(IF([1]对账明细接口!$V83=0,"",[1]对账明细接口!$V83),"")</f>
        <v/>
      </c>
      <c r="AB83" s="20" t="str">
        <f>IFERROR(IF([1]对账明细接口!$W83=0,"",[1]对账明细接口!$W83),"")</f>
        <v/>
      </c>
      <c r="AC83" s="7" t="str">
        <f>IFERROR(IF([1]对账明细接口!$X83=0,"",[1]对账明细接口!$X83),"")</f>
        <v/>
      </c>
      <c r="AD83" s="7" t="str">
        <f>IFERROR(IF([1]对账明细接口!$Y83=0,"",[1]对账明细接口!$Y83),"")</f>
        <v/>
      </c>
      <c r="AE83" s="7" t="str">
        <f>IFERROR(IF([1]对账明细接口!$AA83=0,"",[1]对账明细接口!$AA83),"")</f>
        <v/>
      </c>
      <c r="AF83" s="7" t="str">
        <f>IFERROR(IF([1]对账明细接口!$AB83=0,"",[1]对账明细接口!$AB83),"")</f>
        <v/>
      </c>
      <c r="AG83" s="7" t="str">
        <f>IFERROR(IF([1]对账明细接口!$AC83=0,"",[1]对账明细接口!$AC83),"")</f>
        <v/>
      </c>
      <c r="AH83" s="7" t="str">
        <f>IFERROR(IF([1]对账明细接口!$AD83=0,"",[1]对账明细接口!$AD83),"")</f>
        <v/>
      </c>
      <c r="AI83" s="7" t="str">
        <f>IFERROR(IF([1]对账明细接口!$AE83=0,"",[1]对账明细接口!$AE83),"")</f>
        <v/>
      </c>
      <c r="AJ83" s="7" t="str">
        <f>IFERROR(IF([1]对账明细接口!$AF83=0,"",[1]对账明细接口!$AF83),"")</f>
        <v/>
      </c>
    </row>
    <row r="84" ht="14.25" customHeight="1" spans="1:36">
      <c r="A84" s="14">
        <v>84</v>
      </c>
      <c r="B84" s="15">
        <f>IFERROR(IF([1]对账明细接口!$B$84=0,"",[1]对账明细接口!$B$84),"")</f>
        <v>46254</v>
      </c>
      <c r="C84" s="16" t="str">
        <f>IFERROR(IF([1]对账明细接口!$C$84=0,"",[1]对账明细接口!$C$84),"")</f>
        <v>聂新平</v>
      </c>
      <c r="D84" s="16" t="str">
        <f>IFERROR(IF([1]对账明细接口!$D$84=0,"",[1]对账明细接口!$D$84),"")</f>
        <v>原料入库</v>
      </c>
      <c r="E84" s="16" t="str">
        <f>IFERROR(IF([1]对账明细接口!$E$84=0,"",[1]对账明细接口!$E$84),"")</f>
        <v>NO:0000708</v>
      </c>
      <c r="F84" s="16" t="str">
        <f>IFERROR(IF([1]对账明细接口!$F$84=0,"",[1]对账明细接口!$F$84),"")</f>
        <v>西梅</v>
      </c>
      <c r="G84" s="16" t="str">
        <f>IFERROR(IF([1]对账明细接口!$G$84=0,"",[1]对账明细接口!$G$84),"")</f>
        <v>西梅一级</v>
      </c>
      <c r="H84" s="17">
        <f>IFERROR(IF([1]对账明细接口!$H$84=0,"",[1]对账明细接口!$H$84),"")</f>
        <v>60</v>
      </c>
      <c r="I84" s="16" t="str">
        <f>IFERROR(IF([1]对账明细接口!$I$84=0,"",[1]对账明细接口!$I$84),"")</f>
        <v>筐</v>
      </c>
      <c r="J84" s="18">
        <f>IFERROR(IF([1]对账明细接口!$J$84=0,"",[1]对账明细接口!$J$84),"")</f>
        <v>420</v>
      </c>
      <c r="K84" s="18" t="str">
        <f>IFERROR(IF([1]对账明细接口!$K$84=0,"",[1]对账明细接口!$K$84),"")</f>
        <v/>
      </c>
      <c r="L84" s="16" t="str">
        <f>IFERROR(IF([1]对账明细接口!$L$84=0,"",[1]对账明细接口!$L$84),"")</f>
        <v/>
      </c>
      <c r="M84" s="16" t="str">
        <f>IFERROR(IF([1]对账明细接口!$M$84=0,"",[1]对账明细接口!$M$84),"")</f>
        <v/>
      </c>
      <c r="N84" s="19">
        <f t="shared" si="2"/>
        <v>1</v>
      </c>
      <c r="O84" s="19">
        <f t="shared" si="3"/>
        <v>81</v>
      </c>
      <c r="S84" s="20" t="str">
        <f>IFERROR(IF([1]对账明细接口!$N84=0,"",[1]对账明细接口!$N84),"")</f>
        <v>自备一次性筐</v>
      </c>
      <c r="T84" s="21" t="str">
        <f>IFERROR(IF([1]对账明细接口!$O84=0,"",[1]对账明细接口!$O84),"")</f>
        <v/>
      </c>
      <c r="U84" s="21" t="str">
        <f>IFERROR(IF([1]对账明细接口!$P84=0,"",[1]对账明细接口!$P84),"")</f>
        <v/>
      </c>
      <c r="V84" s="21">
        <f>IFERROR(IF([1]对账明细接口!$Q84=0,"",[1]对账明细接口!$Q84),"")</f>
        <v>60</v>
      </c>
      <c r="W84" s="20" t="str">
        <f>IFERROR(IF([1]对账明细接口!$R84=0,"",[1]对账明细接口!$R84),"")</f>
        <v>苏M*7G796</v>
      </c>
      <c r="X84" s="20" t="str">
        <f>IFERROR(IF([1]对账明细接口!$S84=0,"",[1]对账明细接口!$S84),"")</f>
        <v>自备筐</v>
      </c>
      <c r="Y84" s="20" t="str">
        <f>IFERROR(IF([1]对账明细接口!$T84=0,"",[1]对账明细接口!$T84),"")</f>
        <v/>
      </c>
      <c r="Z84" s="24" t="str">
        <f>IFERROR(IF([1]对账明细接口!$U84=0,"",[1]对账明细接口!$U84),"")</f>
        <v/>
      </c>
      <c r="AA84" s="24" t="str">
        <f>IFERROR(IF([1]对账明细接口!$V84=0,"",[1]对账明细接口!$V84),"")</f>
        <v/>
      </c>
      <c r="AB84" s="20" t="str">
        <f>IFERROR(IF([1]对账明细接口!$W84=0,"",[1]对账明细接口!$W84),"")</f>
        <v/>
      </c>
      <c r="AC84" s="7" t="str">
        <f>IFERROR(IF([1]对账明细接口!$X84=0,"",[1]对账明细接口!$X84),"")</f>
        <v/>
      </c>
      <c r="AD84" s="7" t="str">
        <f>IFERROR(IF([1]对账明细接口!$Y84=0,"",[1]对账明细接口!$Y84),"")</f>
        <v/>
      </c>
      <c r="AE84" s="7" t="str">
        <f>IFERROR(IF([1]对账明细接口!$AA84=0,"",[1]对账明细接口!$AA84),"")</f>
        <v/>
      </c>
      <c r="AF84" s="7" t="str">
        <f>IFERROR(IF([1]对账明细接口!$AB84=0,"",[1]对账明细接口!$AB84),"")</f>
        <v/>
      </c>
      <c r="AG84" s="7" t="str">
        <f>IFERROR(IF([1]对账明细接口!$AC84=0,"",[1]对账明细接口!$AC84),"")</f>
        <v/>
      </c>
      <c r="AH84" s="7" t="str">
        <f>IFERROR(IF([1]对账明细接口!$AD84=0,"",[1]对账明细接口!$AD84),"")</f>
        <v/>
      </c>
      <c r="AI84" s="7" t="str">
        <f>IFERROR(IF([1]对账明细接口!$AE84=0,"",[1]对账明细接口!$AE84),"")</f>
        <v/>
      </c>
      <c r="AJ84" s="7" t="str">
        <f>IFERROR(IF([1]对账明细接口!$AF84=0,"",[1]对账明细接口!$AF84),"")</f>
        <v/>
      </c>
    </row>
    <row r="85" ht="14.25" customHeight="1" spans="1:36">
      <c r="A85" s="14">
        <v>85</v>
      </c>
      <c r="B85" s="15">
        <f>IFERROR(IF([1]对账明细接口!$B$85=0,"",[1]对账明细接口!$B$85),"")</f>
        <v>46254</v>
      </c>
      <c r="C85" s="16" t="str">
        <f>IFERROR(IF([1]对账明细接口!$C$85=0,"",[1]对账明细接口!$C$85),"")</f>
        <v>聂新平</v>
      </c>
      <c r="D85" s="16" t="str">
        <f>IFERROR(IF([1]对账明细接口!$D$85=0,"",[1]对账明细接口!$D$85),"")</f>
        <v>原料入库</v>
      </c>
      <c r="E85" s="16" t="str">
        <f>IFERROR(IF([1]对账明细接口!$E$85=0,"",[1]对账明细接口!$E$85),"")</f>
        <v>NO:0000708</v>
      </c>
      <c r="F85" s="16" t="str">
        <f>IFERROR(IF([1]对账明细接口!$F$85=0,"",[1]对账明细接口!$F$85),"")</f>
        <v>西梅</v>
      </c>
      <c r="G85" s="16" t="str">
        <f>IFERROR(IF([1]对账明细接口!$G$85=0,"",[1]对账明细接口!$G$85),"")</f>
        <v>西梅二级</v>
      </c>
      <c r="H85" s="17">
        <f>IFERROR(IF([1]对账明细接口!$H$85=0,"",[1]对账明细接口!$H$85),"")</f>
        <v>185</v>
      </c>
      <c r="I85" s="16" t="str">
        <f>IFERROR(IF([1]对账明细接口!$I$85=0,"",[1]对账明细接口!$I$85),"")</f>
        <v>筐</v>
      </c>
      <c r="J85" s="18">
        <f>IFERROR(IF([1]对账明细接口!$J$85=0,"",[1]对账明细接口!$J$85),"")</f>
        <v>370</v>
      </c>
      <c r="K85" s="18" t="str">
        <f>IFERROR(IF([1]对账明细接口!$K$85=0,"",[1]对账明细接口!$K$85),"")</f>
        <v/>
      </c>
      <c r="L85" s="16" t="str">
        <f>IFERROR(IF([1]对账明细接口!$L$85=0,"",[1]对账明细接口!$L$85),"")</f>
        <v/>
      </c>
      <c r="M85" s="16" t="str">
        <f>IFERROR(IF([1]对账明细接口!$M$85=0,"",[1]对账明细接口!$M$85),"")</f>
        <v/>
      </c>
      <c r="N85" s="19">
        <f t="shared" si="2"/>
        <v>1</v>
      </c>
      <c r="O85" s="19">
        <f t="shared" si="3"/>
        <v>82</v>
      </c>
      <c r="S85" s="20" t="str">
        <f>IFERROR(IF([1]对账明细接口!$N85=0,"",[1]对账明细接口!$N85),"")</f>
        <v>自备一次性筐</v>
      </c>
      <c r="T85" s="21" t="str">
        <f>IFERROR(IF([1]对账明细接口!$O85=0,"",[1]对账明细接口!$O85),"")</f>
        <v/>
      </c>
      <c r="U85" s="21" t="str">
        <f>IFERROR(IF([1]对账明细接口!$P85=0,"",[1]对账明细接口!$P85),"")</f>
        <v/>
      </c>
      <c r="V85" s="21">
        <f>IFERROR(IF([1]对账明细接口!$Q85=0,"",[1]对账明细接口!$Q85),"")</f>
        <v>185</v>
      </c>
      <c r="W85" s="20" t="str">
        <f>IFERROR(IF([1]对账明细接口!$R85=0,"",[1]对账明细接口!$R85),"")</f>
        <v>苏M*7G796</v>
      </c>
      <c r="X85" s="20" t="str">
        <f>IFERROR(IF([1]对账明细接口!$S85=0,"",[1]对账明细接口!$S85),"")</f>
        <v>自备筐</v>
      </c>
      <c r="Y85" s="20" t="str">
        <f>IFERROR(IF([1]对账明细接口!$T85=0,"",[1]对账明细接口!$T85),"")</f>
        <v/>
      </c>
      <c r="Z85" s="24" t="str">
        <f>IFERROR(IF([1]对账明细接口!$U85=0,"",[1]对账明细接口!$U85),"")</f>
        <v/>
      </c>
      <c r="AA85" s="24" t="str">
        <f>IFERROR(IF([1]对账明细接口!$V85=0,"",[1]对账明细接口!$V85),"")</f>
        <v/>
      </c>
      <c r="AB85" s="20" t="str">
        <f>IFERROR(IF([1]对账明细接口!$W85=0,"",[1]对账明细接口!$W85),"")</f>
        <v/>
      </c>
      <c r="AC85" s="7" t="str">
        <f>IFERROR(IF([1]对账明细接口!$X85=0,"",[1]对账明细接口!$X85),"")</f>
        <v/>
      </c>
      <c r="AD85" s="7" t="str">
        <f>IFERROR(IF([1]对账明细接口!$Y85=0,"",[1]对账明细接口!$Y85),"")</f>
        <v/>
      </c>
      <c r="AE85" s="7" t="str">
        <f>IFERROR(IF([1]对账明细接口!$AA85=0,"",[1]对账明细接口!$AA85),"")</f>
        <v/>
      </c>
      <c r="AF85" s="7" t="str">
        <f>IFERROR(IF([1]对账明细接口!$AB85=0,"",[1]对账明细接口!$AB85),"")</f>
        <v/>
      </c>
      <c r="AG85" s="7" t="str">
        <f>IFERROR(IF([1]对账明细接口!$AC85=0,"",[1]对账明细接口!$AC85),"")</f>
        <v/>
      </c>
      <c r="AH85" s="7" t="str">
        <f>IFERROR(IF([1]对账明细接口!$AD85=0,"",[1]对账明细接口!$AD85),"")</f>
        <v/>
      </c>
      <c r="AI85" s="7" t="str">
        <f>IFERROR(IF([1]对账明细接口!$AE85=0,"",[1]对账明细接口!$AE85),"")</f>
        <v/>
      </c>
      <c r="AJ85" s="7" t="str">
        <f>IFERROR(IF([1]对账明细接口!$AF85=0,"",[1]对账明细接口!$AF85),"")</f>
        <v/>
      </c>
    </row>
    <row r="86" ht="14.25" customHeight="1" spans="1:36">
      <c r="A86" s="14">
        <v>86</v>
      </c>
      <c r="B86" s="15">
        <f>IFERROR(IF([1]对账明细接口!$B$86=0,"",[1]对账明细接口!$B$86),"")</f>
        <v>46254</v>
      </c>
      <c r="C86" s="16" t="str">
        <f>IFERROR(IF([1]对账明细接口!$C$86=0,"",[1]对账明细接口!$C$86),"")</f>
        <v>聂新平</v>
      </c>
      <c r="D86" s="16" t="str">
        <f>IFERROR(IF([1]对账明细接口!$D$86=0,"",[1]对账明细接口!$D$86),"")</f>
        <v>原料入库</v>
      </c>
      <c r="E86" s="16" t="str">
        <f>IFERROR(IF([1]对账明细接口!$E$86=0,"",[1]对账明细接口!$E$86),"")</f>
        <v>NO:0000708</v>
      </c>
      <c r="F86" s="16" t="str">
        <f>IFERROR(IF([1]对账明细接口!$F$86=0,"",[1]对账明细接口!$F$86),"")</f>
        <v>西梅</v>
      </c>
      <c r="G86" s="16" t="str">
        <f>IFERROR(IF([1]对账明细接口!$G$86=0,"",[1]对账明细接口!$G$86),"")</f>
        <v>西梅三级</v>
      </c>
      <c r="H86" s="17">
        <f>IFERROR(IF([1]对账明细接口!$H$86=0,"",[1]对账明细接口!$H$86),"")</f>
        <v>115</v>
      </c>
      <c r="I86" s="16" t="str">
        <f>IFERROR(IF([1]对账明细接口!$I$86=0,"",[1]对账明细接口!$I$86),"")</f>
        <v>筐</v>
      </c>
      <c r="J86" s="18">
        <f>IFERROR(IF([1]对账明细接口!$J$86=0,"",[1]对账明细接口!$J$86),"")</f>
        <v>230</v>
      </c>
      <c r="K86" s="18" t="str">
        <f>IFERROR(IF([1]对账明细接口!$K$86=0,"",[1]对账明细接口!$K$86),"")</f>
        <v/>
      </c>
      <c r="L86" s="16" t="str">
        <f>IFERROR(IF([1]对账明细接口!$L$86=0,"",[1]对账明细接口!$L$86),"")</f>
        <v/>
      </c>
      <c r="M86" s="16" t="str">
        <f>IFERROR(IF([1]对账明细接口!$M$86=0,"",[1]对账明细接口!$M$86),"")</f>
        <v/>
      </c>
      <c r="N86" s="19">
        <f t="shared" si="2"/>
        <v>1</v>
      </c>
      <c r="O86" s="19">
        <f t="shared" si="3"/>
        <v>83</v>
      </c>
      <c r="S86" s="20" t="str">
        <f>IFERROR(IF([1]对账明细接口!$N86=0,"",[1]对账明细接口!$N86),"")</f>
        <v>自备一次性筐</v>
      </c>
      <c r="T86" s="21" t="str">
        <f>IFERROR(IF([1]对账明细接口!$O86=0,"",[1]对账明细接口!$O86),"")</f>
        <v/>
      </c>
      <c r="U86" s="21" t="str">
        <f>IFERROR(IF([1]对账明细接口!$P86=0,"",[1]对账明细接口!$P86),"")</f>
        <v/>
      </c>
      <c r="V86" s="21">
        <f>IFERROR(IF([1]对账明细接口!$Q86=0,"",[1]对账明细接口!$Q86),"")</f>
        <v>115</v>
      </c>
      <c r="W86" s="20" t="str">
        <f>IFERROR(IF([1]对账明细接口!$R86=0,"",[1]对账明细接口!$R86),"")</f>
        <v>苏M*7G796</v>
      </c>
      <c r="X86" s="20" t="str">
        <f>IFERROR(IF([1]对账明细接口!$S86=0,"",[1]对账明细接口!$S86),"")</f>
        <v>自备筐</v>
      </c>
      <c r="Y86" s="20" t="str">
        <f>IFERROR(IF([1]对账明细接口!$T86=0,"",[1]对账明细接口!$T86),"")</f>
        <v/>
      </c>
      <c r="Z86" s="24" t="str">
        <f>IFERROR(IF([1]对账明细接口!$U86=0,"",[1]对账明细接口!$U86),"")</f>
        <v/>
      </c>
      <c r="AA86" s="24" t="str">
        <f>IFERROR(IF([1]对账明细接口!$V86=0,"",[1]对账明细接口!$V86),"")</f>
        <v/>
      </c>
      <c r="AB86" s="20" t="str">
        <f>IFERROR(IF([1]对账明细接口!$W86=0,"",[1]对账明细接口!$W86),"")</f>
        <v/>
      </c>
      <c r="AC86" s="7" t="str">
        <f>IFERROR(IF([1]对账明细接口!$X86=0,"",[1]对账明细接口!$X86),"")</f>
        <v/>
      </c>
      <c r="AD86" s="7" t="str">
        <f>IFERROR(IF([1]对账明细接口!$Y86=0,"",[1]对账明细接口!$Y86),"")</f>
        <v/>
      </c>
      <c r="AE86" s="7" t="str">
        <f>IFERROR(IF([1]对账明细接口!$AA86=0,"",[1]对账明细接口!$AA86),"")</f>
        <v/>
      </c>
      <c r="AF86" s="7" t="str">
        <f>IFERROR(IF([1]对账明细接口!$AB86=0,"",[1]对账明细接口!$AB86),"")</f>
        <v/>
      </c>
      <c r="AG86" s="7" t="str">
        <f>IFERROR(IF([1]对账明细接口!$AC86=0,"",[1]对账明细接口!$AC86),"")</f>
        <v/>
      </c>
      <c r="AH86" s="7" t="str">
        <f>IFERROR(IF([1]对账明细接口!$AD86=0,"",[1]对账明细接口!$AD86),"")</f>
        <v/>
      </c>
      <c r="AI86" s="7" t="str">
        <f>IFERROR(IF([1]对账明细接口!$AE86=0,"",[1]对账明细接口!$AE86),"")</f>
        <v/>
      </c>
      <c r="AJ86" s="7" t="str">
        <f>IFERROR(IF([1]对账明细接口!$AF86=0,"",[1]对账明细接口!$AF86),"")</f>
        <v/>
      </c>
    </row>
    <row r="87" ht="14.25" customHeight="1" spans="1:36">
      <c r="A87" s="14">
        <v>87</v>
      </c>
      <c r="B87" s="15">
        <f>IFERROR(IF([1]对账明细接口!$B$87=0,"",[1]对账明细接口!$B$87),"")</f>
        <v>46255</v>
      </c>
      <c r="C87" s="16" t="str">
        <f>IFERROR(IF([1]对账明细接口!$C$87=0,"",[1]对账明细接口!$C$87),"")</f>
        <v>聂新平</v>
      </c>
      <c r="D87" s="16" t="str">
        <f>IFERROR(IF([1]对账明细接口!$D$87=0,"",[1]对账明细接口!$D$87),"")</f>
        <v>原料入库</v>
      </c>
      <c r="E87" s="16" t="str">
        <f>IFERROR(IF([1]对账明细接口!$E$87=0,"",[1]对账明细接口!$E$87),"")</f>
        <v>NO:0000709</v>
      </c>
      <c r="F87" s="16" t="str">
        <f>IFERROR(IF([1]对账明细接口!$F$87=0,"",[1]对账明细接口!$F$87),"")</f>
        <v>西梅</v>
      </c>
      <c r="G87" s="16" t="str">
        <f>IFERROR(IF([1]对账明细接口!$G$87=0,"",[1]对账明细接口!$G$87),"")</f>
        <v>西梅一级</v>
      </c>
      <c r="H87" s="17">
        <f>IFERROR(IF([1]对账明细接口!$H$87=0,"",[1]对账明细接口!$H$87),"")</f>
        <v>50</v>
      </c>
      <c r="I87" s="16" t="str">
        <f>IFERROR(IF([1]对账明细接口!$I$87=0,"",[1]对账明细接口!$I$87),"")</f>
        <v>筐</v>
      </c>
      <c r="J87" s="18">
        <f>IFERROR(IF([1]对账明细接口!$J$87=0,"",[1]对账明细接口!$J$87),"")</f>
        <v>350</v>
      </c>
      <c r="K87" s="18" t="str">
        <f>IFERROR(IF([1]对账明细接口!$K$87=0,"",[1]对账明细接口!$K$87),"")</f>
        <v/>
      </c>
      <c r="L87" s="16" t="str">
        <f>IFERROR(IF([1]对账明细接口!$L$87=0,"",[1]对账明细接口!$L$87),"")</f>
        <v/>
      </c>
      <c r="M87" s="16" t="str">
        <f>IFERROR(IF([1]对账明细接口!$M$87=0,"",[1]对账明细接口!$M$87),"")</f>
        <v/>
      </c>
      <c r="N87" s="19">
        <f t="shared" si="2"/>
        <v>1</v>
      </c>
      <c r="O87" s="19">
        <f t="shared" si="3"/>
        <v>84</v>
      </c>
      <c r="S87" s="20" t="str">
        <f>IFERROR(IF([1]对账明细接口!$N87=0,"",[1]对账明细接口!$N87),"")</f>
        <v>自备一次性筐</v>
      </c>
      <c r="T87" s="21" t="str">
        <f>IFERROR(IF([1]对账明细接口!$O87=0,"",[1]对账明细接口!$O87),"")</f>
        <v/>
      </c>
      <c r="U87" s="21" t="str">
        <f>IFERROR(IF([1]对账明细接口!$P87=0,"",[1]对账明细接口!$P87),"")</f>
        <v/>
      </c>
      <c r="V87" s="21">
        <f>IFERROR(IF([1]对账明细接口!$Q87=0,"",[1]对账明细接口!$Q87),"")</f>
        <v>50</v>
      </c>
      <c r="W87" s="20" t="str">
        <f>IFERROR(IF([1]对账明细接口!$R87=0,"",[1]对账明细接口!$R87),"")</f>
        <v>苏M*7G796</v>
      </c>
      <c r="X87" s="20" t="str">
        <f>IFERROR(IF([1]对账明细接口!$S87=0,"",[1]对账明细接口!$S87),"")</f>
        <v>自备筐</v>
      </c>
      <c r="Y87" s="20" t="str">
        <f>IFERROR(IF([1]对账明细接口!$T87=0,"",[1]对账明细接口!$T87),"")</f>
        <v/>
      </c>
      <c r="Z87" s="24" t="str">
        <f>IFERROR(IF([1]对账明细接口!$U87=0,"",[1]对账明细接口!$U87),"")</f>
        <v/>
      </c>
      <c r="AA87" s="24" t="str">
        <f>IFERROR(IF([1]对账明细接口!$V87=0,"",[1]对账明细接口!$V87),"")</f>
        <v/>
      </c>
      <c r="AB87" s="20" t="str">
        <f>IFERROR(IF([1]对账明细接口!$W87=0,"",[1]对账明细接口!$W87),"")</f>
        <v/>
      </c>
      <c r="AC87" s="7" t="str">
        <f>IFERROR(IF([1]对账明细接口!$X87=0,"",[1]对账明细接口!$X87),"")</f>
        <v/>
      </c>
      <c r="AD87" s="7" t="str">
        <f>IFERROR(IF([1]对账明细接口!$Y87=0,"",[1]对账明细接口!$Y87),"")</f>
        <v/>
      </c>
      <c r="AE87" s="7" t="str">
        <f>IFERROR(IF([1]对账明细接口!$AA87=0,"",[1]对账明细接口!$AA87),"")</f>
        <v/>
      </c>
      <c r="AF87" s="7" t="str">
        <f>IFERROR(IF([1]对账明细接口!$AB87=0,"",[1]对账明细接口!$AB87),"")</f>
        <v/>
      </c>
      <c r="AG87" s="7" t="str">
        <f>IFERROR(IF([1]对账明细接口!$AC87=0,"",[1]对账明细接口!$AC87),"")</f>
        <v/>
      </c>
      <c r="AH87" s="7" t="str">
        <f>IFERROR(IF([1]对账明细接口!$AD87=0,"",[1]对账明细接口!$AD87),"")</f>
        <v/>
      </c>
      <c r="AI87" s="7" t="str">
        <f>IFERROR(IF([1]对账明细接口!$AE87=0,"",[1]对账明细接口!$AE87),"")</f>
        <v/>
      </c>
      <c r="AJ87" s="7" t="str">
        <f>IFERROR(IF([1]对账明细接口!$AF87=0,"",[1]对账明细接口!$AF87),"")</f>
        <v/>
      </c>
    </row>
    <row r="88" ht="14.25" customHeight="1" spans="1:36">
      <c r="A88" s="14">
        <v>88</v>
      </c>
      <c r="B88" s="15">
        <f>IFERROR(IF([1]对账明细接口!$B$88=0,"",[1]对账明细接口!$B$88),"")</f>
        <v>46255</v>
      </c>
      <c r="C88" s="16" t="str">
        <f>IFERROR(IF([1]对账明细接口!$C$88=0,"",[1]对账明细接口!$C$88),"")</f>
        <v>聂新平</v>
      </c>
      <c r="D88" s="16" t="str">
        <f>IFERROR(IF([1]对账明细接口!$D$88=0,"",[1]对账明细接口!$D$88),"")</f>
        <v>原料入库</v>
      </c>
      <c r="E88" s="16" t="str">
        <f>IFERROR(IF([1]对账明细接口!$E$88=0,"",[1]对账明细接口!$E$88),"")</f>
        <v>NO:0000709</v>
      </c>
      <c r="F88" s="16" t="str">
        <f>IFERROR(IF([1]对账明细接口!$F$88=0,"",[1]对账明细接口!$F$88),"")</f>
        <v>西梅</v>
      </c>
      <c r="G88" s="16" t="str">
        <f>IFERROR(IF([1]对账明细接口!$G$88=0,"",[1]对账明细接口!$G$88),"")</f>
        <v>西梅二级</v>
      </c>
      <c r="H88" s="17">
        <f>IFERROR(IF([1]对账明细接口!$H$88=0,"",[1]对账明细接口!$H$88),"")</f>
        <v>28</v>
      </c>
      <c r="I88" s="16" t="str">
        <f>IFERROR(IF([1]对账明细接口!$I$88=0,"",[1]对账明细接口!$I$88),"")</f>
        <v>筐</v>
      </c>
      <c r="J88" s="18">
        <f>IFERROR(IF([1]对账明细接口!$J$88=0,"",[1]对账明细接口!$J$88),"")</f>
        <v>252</v>
      </c>
      <c r="K88" s="18" t="str">
        <f>IFERROR(IF([1]对账明细接口!$K$88=0,"",[1]对账明细接口!$K$88),"")</f>
        <v/>
      </c>
      <c r="L88" s="16" t="str">
        <f>IFERROR(IF([1]对账明细接口!$L$88=0,"",[1]对账明细接口!$L$88),"")</f>
        <v/>
      </c>
      <c r="M88" s="16" t="str">
        <f>IFERROR(IF([1]对账明细接口!$M$88=0,"",[1]对账明细接口!$M$88),"")</f>
        <v/>
      </c>
      <c r="N88" s="19">
        <f t="shared" si="2"/>
        <v>1</v>
      </c>
      <c r="O88" s="19">
        <f t="shared" si="3"/>
        <v>85</v>
      </c>
      <c r="S88" s="20" t="str">
        <f>IFERROR(IF([1]对账明细接口!$N88=0,"",[1]对账明细接口!$N88),"")</f>
        <v>自备一次性筐</v>
      </c>
      <c r="T88" s="21" t="str">
        <f>IFERROR(IF([1]对账明细接口!$O88=0,"",[1]对账明细接口!$O88),"")</f>
        <v/>
      </c>
      <c r="U88" s="21" t="str">
        <f>IFERROR(IF([1]对账明细接口!$P88=0,"",[1]对账明细接口!$P88),"")</f>
        <v/>
      </c>
      <c r="V88" s="21">
        <f>IFERROR(IF([1]对账明细接口!$Q88=0,"",[1]对账明细接口!$Q88),"")</f>
        <v>28</v>
      </c>
      <c r="W88" s="20" t="str">
        <f>IFERROR(IF([1]对账明细接口!$R88=0,"",[1]对账明细接口!$R88),"")</f>
        <v>苏M*7G796</v>
      </c>
      <c r="X88" s="20" t="str">
        <f>IFERROR(IF([1]对账明细接口!$S88=0,"",[1]对账明细接口!$S88),"")</f>
        <v>自备筐</v>
      </c>
      <c r="Y88" s="20" t="str">
        <f>IFERROR(IF([1]对账明细接口!$T88=0,"",[1]对账明细接口!$T88),"")</f>
        <v/>
      </c>
      <c r="Z88" s="24" t="str">
        <f>IFERROR(IF([1]对账明细接口!$U88=0,"",[1]对账明细接口!$U88),"")</f>
        <v/>
      </c>
      <c r="AA88" s="24" t="str">
        <f>IFERROR(IF([1]对账明细接口!$V88=0,"",[1]对账明细接口!$V88),"")</f>
        <v/>
      </c>
      <c r="AB88" s="20" t="str">
        <f>IFERROR(IF([1]对账明细接口!$W88=0,"",[1]对账明细接口!$W88),"")</f>
        <v/>
      </c>
      <c r="AC88" s="7" t="str">
        <f>IFERROR(IF([1]对账明细接口!$X88=0,"",[1]对账明细接口!$X88),"")</f>
        <v/>
      </c>
      <c r="AD88" s="7" t="str">
        <f>IFERROR(IF([1]对账明细接口!$Y88=0,"",[1]对账明细接口!$Y88),"")</f>
        <v/>
      </c>
      <c r="AE88" s="7" t="str">
        <f>IFERROR(IF([1]对账明细接口!$AA88=0,"",[1]对账明细接口!$AA88),"")</f>
        <v/>
      </c>
      <c r="AF88" s="7" t="str">
        <f>IFERROR(IF([1]对账明细接口!$AB88=0,"",[1]对账明细接口!$AB88),"")</f>
        <v/>
      </c>
      <c r="AG88" s="7" t="str">
        <f>IFERROR(IF([1]对账明细接口!$AC88=0,"",[1]对账明细接口!$AC88),"")</f>
        <v/>
      </c>
      <c r="AH88" s="7" t="str">
        <f>IFERROR(IF([1]对账明细接口!$AD88=0,"",[1]对账明细接口!$AD88),"")</f>
        <v/>
      </c>
      <c r="AI88" s="7" t="str">
        <f>IFERROR(IF([1]对账明细接口!$AE88=0,"",[1]对账明细接口!$AE88),"")</f>
        <v/>
      </c>
      <c r="AJ88" s="7" t="str">
        <f>IFERROR(IF([1]对账明细接口!$AF88=0,"",[1]对账明细接口!$AF88),"")</f>
        <v/>
      </c>
    </row>
    <row r="89" ht="14.25" customHeight="1" spans="1:36">
      <c r="A89" s="14">
        <v>89</v>
      </c>
      <c r="B89" s="15">
        <f>IFERROR(IF([1]对账明细接口!$B$89=0,"",[1]对账明细接口!$B$89),"")</f>
        <v>46255</v>
      </c>
      <c r="C89" s="16" t="str">
        <f>IFERROR(IF([1]对账明细接口!$C$89=0,"",[1]对账明细接口!$C$89),"")</f>
        <v>聂新平</v>
      </c>
      <c r="D89" s="16" t="str">
        <f>IFERROR(IF([1]对账明细接口!$D$89=0,"",[1]对账明细接口!$D$89),"")</f>
        <v>原料入库</v>
      </c>
      <c r="E89" s="16" t="str">
        <f>IFERROR(IF([1]对账明细接口!$E$89=0,"",[1]对账明细接口!$E$89),"")</f>
        <v>NO:0000709</v>
      </c>
      <c r="F89" s="16" t="str">
        <f>IFERROR(IF([1]对账明细接口!$F$89=0,"",[1]对账明细接口!$F$89),"")</f>
        <v>西梅</v>
      </c>
      <c r="G89" s="16" t="str">
        <f>IFERROR(IF([1]对账明细接口!$G$89=0,"",[1]对账明细接口!$G$89),"")</f>
        <v>西梅二级</v>
      </c>
      <c r="H89" s="17">
        <f>IFERROR(IF([1]对账明细接口!$H$89=0,"",[1]对账明细接口!$H$89),"")</f>
        <v>70</v>
      </c>
      <c r="I89" s="16" t="str">
        <f>IFERROR(IF([1]对账明细接口!$I$89=0,"",[1]对账明细接口!$I$89),"")</f>
        <v>筐</v>
      </c>
      <c r="J89" s="18">
        <f>IFERROR(IF([1]对账明细接口!$J$89=0,"",[1]对账明细接口!$J$89),"")</f>
        <v>140</v>
      </c>
      <c r="K89" s="18" t="str">
        <f>IFERROR(IF([1]对账明细接口!$K$89=0,"",[1]对账明细接口!$K$89),"")</f>
        <v/>
      </c>
      <c r="L89" s="16" t="str">
        <f>IFERROR(IF([1]对账明细接口!$L$89=0,"",[1]对账明细接口!$L$89),"")</f>
        <v/>
      </c>
      <c r="M89" s="16" t="str">
        <f>IFERROR(IF([1]对账明细接口!$M$89=0,"",[1]对账明细接口!$M$89),"")</f>
        <v/>
      </c>
      <c r="N89" s="19">
        <f t="shared" si="2"/>
        <v>1</v>
      </c>
      <c r="O89" s="19">
        <f t="shared" si="3"/>
        <v>86</v>
      </c>
      <c r="S89" s="20" t="str">
        <f>IFERROR(IF([1]对账明细接口!$N89=0,"",[1]对账明细接口!$N89),"")</f>
        <v>自备一次性筐</v>
      </c>
      <c r="T89" s="21" t="str">
        <f>IFERROR(IF([1]对账明细接口!$O89=0,"",[1]对账明细接口!$O89),"")</f>
        <v/>
      </c>
      <c r="U89" s="21" t="str">
        <f>IFERROR(IF([1]对账明细接口!$P89=0,"",[1]对账明细接口!$P89),"")</f>
        <v/>
      </c>
      <c r="V89" s="21">
        <f>IFERROR(IF([1]对账明细接口!$Q89=0,"",[1]对账明细接口!$Q89),"")</f>
        <v>70</v>
      </c>
      <c r="W89" s="20" t="str">
        <f>IFERROR(IF([1]对账明细接口!$R89=0,"",[1]对账明细接口!$R89),"")</f>
        <v>苏M*7G796</v>
      </c>
      <c r="X89" s="20" t="str">
        <f>IFERROR(IF([1]对账明细接口!$S89=0,"",[1]对账明细接口!$S89),"")</f>
        <v>自备筐</v>
      </c>
      <c r="Y89" s="20" t="str">
        <f>IFERROR(IF([1]对账明细接口!$T89=0,"",[1]对账明细接口!$T89),"")</f>
        <v/>
      </c>
      <c r="Z89" s="24" t="str">
        <f>IFERROR(IF([1]对账明细接口!$U89=0,"",[1]对账明细接口!$U89),"")</f>
        <v/>
      </c>
      <c r="AA89" s="24" t="str">
        <f>IFERROR(IF([1]对账明细接口!$V89=0,"",[1]对账明细接口!$V89),"")</f>
        <v/>
      </c>
      <c r="AB89" s="20" t="str">
        <f>IFERROR(IF([1]对账明细接口!$W89=0,"",[1]对账明细接口!$W89),"")</f>
        <v/>
      </c>
      <c r="AC89" s="7" t="str">
        <f>IFERROR(IF([1]对账明细接口!$X89=0,"",[1]对账明细接口!$X89),"")</f>
        <v/>
      </c>
      <c r="AD89" s="7" t="str">
        <f>IFERROR(IF([1]对账明细接口!$Y89=0,"",[1]对账明细接口!$Y89),"")</f>
        <v/>
      </c>
      <c r="AE89" s="7" t="str">
        <f>IFERROR(IF([1]对账明细接口!$AA89=0,"",[1]对账明细接口!$AA89),"")</f>
        <v/>
      </c>
      <c r="AF89" s="7" t="str">
        <f>IFERROR(IF([1]对账明细接口!$AB89=0,"",[1]对账明细接口!$AB89),"")</f>
        <v/>
      </c>
      <c r="AG89" s="7" t="str">
        <f>IFERROR(IF([1]对账明细接口!$AC89=0,"",[1]对账明细接口!$AC89),"")</f>
        <v/>
      </c>
      <c r="AH89" s="7" t="str">
        <f>IFERROR(IF([1]对账明细接口!$AD89=0,"",[1]对账明细接口!$AD89),"")</f>
        <v/>
      </c>
      <c r="AI89" s="7" t="str">
        <f>IFERROR(IF([1]对账明细接口!$AE89=0,"",[1]对账明细接口!$AE89),"")</f>
        <v/>
      </c>
      <c r="AJ89" s="7" t="str">
        <f>IFERROR(IF([1]对账明细接口!$AF89=0,"",[1]对账明细接口!$AF89),"")</f>
        <v/>
      </c>
    </row>
    <row r="90" ht="14.25" customHeight="1" spans="1:36">
      <c r="A90" s="14">
        <v>90</v>
      </c>
      <c r="B90" s="15">
        <f>IFERROR(IF([1]对账明细接口!$B$90=0,"",[1]对账明细接口!$B$90),"")</f>
        <v>46255</v>
      </c>
      <c r="C90" s="16" t="str">
        <f>IFERROR(IF([1]对账明细接口!$C$90=0,"",[1]对账明细接口!$C$90),"")</f>
        <v>聂新平</v>
      </c>
      <c r="D90" s="16" t="str">
        <f>IFERROR(IF([1]对账明细接口!$D$90=0,"",[1]对账明细接口!$D$90),"")</f>
        <v>原料入库</v>
      </c>
      <c r="E90" s="16" t="str">
        <f>IFERROR(IF([1]对账明细接口!$E$90=0,"",[1]对账明细接口!$E$90),"")</f>
        <v>NO:0000709</v>
      </c>
      <c r="F90" s="16" t="str">
        <f>IFERROR(IF([1]对账明细接口!$F$90=0,"",[1]对账明细接口!$F$90),"")</f>
        <v>西梅</v>
      </c>
      <c r="G90" s="16" t="str">
        <f>IFERROR(IF([1]对账明细接口!$G$90=0,"",[1]对账明细接口!$G$90),"")</f>
        <v>西梅三级</v>
      </c>
      <c r="H90" s="17">
        <f>IFERROR(IF([1]对账明细接口!$H$90=0,"",[1]对账明细接口!$H$90),"")</f>
        <v>182</v>
      </c>
      <c r="I90" s="16" t="str">
        <f>IFERROR(IF([1]对账明细接口!$I$90=0,"",[1]对账明细接口!$I$90),"")</f>
        <v>筐</v>
      </c>
      <c r="J90" s="18">
        <f>IFERROR(IF([1]对账明细接口!$J$90=0,"",[1]对账明细接口!$J$90),"")</f>
        <v>364</v>
      </c>
      <c r="K90" s="18" t="str">
        <f>IFERROR(IF([1]对账明细接口!$K$90=0,"",[1]对账明细接口!$K$90),"")</f>
        <v/>
      </c>
      <c r="L90" s="16" t="str">
        <f>IFERROR(IF([1]对账明细接口!$L$90=0,"",[1]对账明细接口!$L$90),"")</f>
        <v/>
      </c>
      <c r="M90" s="16" t="str">
        <f>IFERROR(IF([1]对账明细接口!$M$90=0,"",[1]对账明细接口!$M$90),"")</f>
        <v/>
      </c>
      <c r="N90" s="19">
        <f t="shared" si="2"/>
        <v>1</v>
      </c>
      <c r="O90" s="19">
        <f t="shared" si="3"/>
        <v>87</v>
      </c>
      <c r="S90" s="20" t="str">
        <f>IFERROR(IF([1]对账明细接口!$N90=0,"",[1]对账明细接口!$N90),"")</f>
        <v>自备一次性筐</v>
      </c>
      <c r="T90" s="21" t="str">
        <f>IFERROR(IF([1]对账明细接口!$O90=0,"",[1]对账明细接口!$O90),"")</f>
        <v/>
      </c>
      <c r="U90" s="21" t="str">
        <f>IFERROR(IF([1]对账明细接口!$P90=0,"",[1]对账明细接口!$P90),"")</f>
        <v/>
      </c>
      <c r="V90" s="21">
        <f>IFERROR(IF([1]对账明细接口!$Q90=0,"",[1]对账明细接口!$Q90),"")</f>
        <v>182</v>
      </c>
      <c r="W90" s="20" t="str">
        <f>IFERROR(IF([1]对账明细接口!$R90=0,"",[1]对账明细接口!$R90),"")</f>
        <v>苏M*7G796</v>
      </c>
      <c r="X90" s="20" t="str">
        <f>IFERROR(IF([1]对账明细接口!$S90=0,"",[1]对账明细接口!$S90),"")</f>
        <v>自备筐</v>
      </c>
      <c r="Y90" s="20" t="str">
        <f>IFERROR(IF([1]对账明细接口!$T90=0,"",[1]对账明细接口!$T90),"")</f>
        <v/>
      </c>
      <c r="Z90" s="24" t="str">
        <f>IFERROR(IF([1]对账明细接口!$U90=0,"",[1]对账明细接口!$U90),"")</f>
        <v/>
      </c>
      <c r="AA90" s="24" t="str">
        <f>IFERROR(IF([1]对账明细接口!$V90=0,"",[1]对账明细接口!$V90),"")</f>
        <v/>
      </c>
      <c r="AB90" s="20" t="str">
        <f>IFERROR(IF([1]对账明细接口!$W90=0,"",[1]对账明细接口!$W90),"")</f>
        <v/>
      </c>
      <c r="AC90" s="7" t="str">
        <f>IFERROR(IF([1]对账明细接口!$X90=0,"",[1]对账明细接口!$X90),"")</f>
        <v/>
      </c>
      <c r="AD90" s="7" t="str">
        <f>IFERROR(IF([1]对账明细接口!$Y90=0,"",[1]对账明细接口!$Y90),"")</f>
        <v/>
      </c>
      <c r="AE90" s="7" t="str">
        <f>IFERROR(IF([1]对账明细接口!$AA90=0,"",[1]对账明细接口!$AA90),"")</f>
        <v/>
      </c>
      <c r="AF90" s="7" t="str">
        <f>IFERROR(IF([1]对账明细接口!$AB90=0,"",[1]对账明细接口!$AB90),"")</f>
        <v/>
      </c>
      <c r="AG90" s="7" t="str">
        <f>IFERROR(IF([1]对账明细接口!$AC90=0,"",[1]对账明细接口!$AC90),"")</f>
        <v/>
      </c>
      <c r="AH90" s="7" t="str">
        <f>IFERROR(IF([1]对账明细接口!$AD90=0,"",[1]对账明细接口!$AD90),"")</f>
        <v/>
      </c>
      <c r="AI90" s="7" t="str">
        <f>IFERROR(IF([1]对账明细接口!$AE90=0,"",[1]对账明细接口!$AE90),"")</f>
        <v/>
      </c>
      <c r="AJ90" s="7" t="str">
        <f>IFERROR(IF([1]对账明细接口!$AF90=0,"",[1]对账明细接口!$AF90),"")</f>
        <v/>
      </c>
    </row>
    <row r="91" ht="14.25" customHeight="1" spans="1:36">
      <c r="A91" s="14">
        <v>91</v>
      </c>
      <c r="B91" s="15">
        <f>IFERROR(IF([1]对账明细接口!$B$91=0,"",[1]对账明细接口!$B$91),"")</f>
        <v>46255</v>
      </c>
      <c r="C91" s="16" t="str">
        <f>IFERROR(IF([1]对账明细接口!$C$91=0,"",[1]对账明细接口!$C$91),"")</f>
        <v>聂新平</v>
      </c>
      <c r="D91" s="16" t="str">
        <f>IFERROR(IF([1]对账明细接口!$D$91=0,"",[1]对账明细接口!$D$91),"")</f>
        <v>原料入库</v>
      </c>
      <c r="E91" s="16" t="str">
        <f>IFERROR(IF([1]对账明细接口!$E$91=0,"",[1]对账明细接口!$E$91),"")</f>
        <v>NO:0000711</v>
      </c>
      <c r="F91" s="16" t="str">
        <f>IFERROR(IF([1]对账明细接口!$F$91=0,"",[1]对账明细接口!$F$91),"")</f>
        <v>西梅</v>
      </c>
      <c r="G91" s="16" t="str">
        <f>IFERROR(IF([1]对账明细接口!$G$91=0,"",[1]对账明细接口!$G$91),"")</f>
        <v>西梅一级</v>
      </c>
      <c r="H91" s="17">
        <f>IFERROR(IF([1]对账明细接口!$H$91=0,"",[1]对账明细接口!$H$91),"")</f>
        <v>95</v>
      </c>
      <c r="I91" s="16" t="str">
        <f>IFERROR(IF([1]对账明细接口!$I$91=0,"",[1]对账明细接口!$I$91),"")</f>
        <v>筐</v>
      </c>
      <c r="J91" s="18">
        <f>IFERROR(IF([1]对账明细接口!$J$91=0,"",[1]对账明细接口!$J$91),"")</f>
        <v>665</v>
      </c>
      <c r="K91" s="18" t="str">
        <f>IFERROR(IF([1]对账明细接口!$K$91=0,"",[1]对账明细接口!$K$91),"")</f>
        <v/>
      </c>
      <c r="L91" s="16" t="str">
        <f>IFERROR(IF([1]对账明细接口!$L$91=0,"",[1]对账明细接口!$L$91),"")</f>
        <v/>
      </c>
      <c r="M91" s="16" t="str">
        <f>IFERROR(IF([1]对账明细接口!$M$91=0,"",[1]对账明细接口!$M$91),"")</f>
        <v/>
      </c>
      <c r="N91" s="19">
        <f t="shared" si="2"/>
        <v>1</v>
      </c>
      <c r="O91" s="19">
        <f t="shared" si="3"/>
        <v>88</v>
      </c>
      <c r="S91" s="20" t="str">
        <f>IFERROR(IF([1]对账明细接口!$N91=0,"",[1]对账明细接口!$N91),"")</f>
        <v>自备一次性筐</v>
      </c>
      <c r="T91" s="21" t="str">
        <f>IFERROR(IF([1]对账明细接口!$O91=0,"",[1]对账明细接口!$O91),"")</f>
        <v/>
      </c>
      <c r="U91" s="21" t="str">
        <f>IFERROR(IF([1]对账明细接口!$P91=0,"",[1]对账明细接口!$P91),"")</f>
        <v/>
      </c>
      <c r="V91" s="21">
        <f>IFERROR(IF([1]对账明细接口!$Q91=0,"",[1]对账明细接口!$Q91),"")</f>
        <v>95</v>
      </c>
      <c r="W91" s="20" t="str">
        <f>IFERROR(IF([1]对账明细接口!$R91=0,"",[1]对账明细接口!$R91),"")</f>
        <v>新N*SQ607</v>
      </c>
      <c r="X91" s="20" t="str">
        <f>IFERROR(IF([1]对账明细接口!$S91=0,"",[1]对账明细接口!$S91),"")</f>
        <v>自备筐</v>
      </c>
      <c r="Y91" s="20" t="str">
        <f>IFERROR(IF([1]对账明细接口!$T91=0,"",[1]对账明细接口!$T91),"")</f>
        <v/>
      </c>
      <c r="Z91" s="24" t="str">
        <f>IFERROR(IF([1]对账明细接口!$U91=0,"",[1]对账明细接口!$U91),"")</f>
        <v/>
      </c>
      <c r="AA91" s="24" t="str">
        <f>IFERROR(IF([1]对账明细接口!$V91=0,"",[1]对账明细接口!$V91),"")</f>
        <v/>
      </c>
      <c r="AB91" s="20" t="str">
        <f>IFERROR(IF([1]对账明细接口!$W91=0,"",[1]对账明细接口!$W91),"")</f>
        <v/>
      </c>
      <c r="AC91" s="7" t="str">
        <f>IFERROR(IF([1]对账明细接口!$X91=0,"",[1]对账明细接口!$X91),"")</f>
        <v/>
      </c>
      <c r="AD91" s="7" t="str">
        <f>IFERROR(IF([1]对账明细接口!$Y91=0,"",[1]对账明细接口!$Y91),"")</f>
        <v/>
      </c>
      <c r="AE91" s="7" t="str">
        <f>IFERROR(IF([1]对账明细接口!$AA91=0,"",[1]对账明细接口!$AA91),"")</f>
        <v/>
      </c>
      <c r="AF91" s="7" t="str">
        <f>IFERROR(IF([1]对账明细接口!$AB91=0,"",[1]对账明细接口!$AB91),"")</f>
        <v/>
      </c>
      <c r="AG91" s="7" t="str">
        <f>IFERROR(IF([1]对账明细接口!$AC91=0,"",[1]对账明细接口!$AC91),"")</f>
        <v/>
      </c>
      <c r="AH91" s="7" t="str">
        <f>IFERROR(IF([1]对账明细接口!$AD91=0,"",[1]对账明细接口!$AD91),"")</f>
        <v/>
      </c>
      <c r="AI91" s="7" t="str">
        <f>IFERROR(IF([1]对账明细接口!$AE91=0,"",[1]对账明细接口!$AE91),"")</f>
        <v/>
      </c>
      <c r="AJ91" s="7" t="str">
        <f>IFERROR(IF([1]对账明细接口!$AF91=0,"",[1]对账明细接口!$AF91),"")</f>
        <v/>
      </c>
    </row>
    <row r="92" ht="14.25" customHeight="1" spans="1:36">
      <c r="A92" s="14">
        <v>92</v>
      </c>
      <c r="B92" s="15">
        <f>IFERROR(IF([1]对账明细接口!$B$92=0,"",[1]对账明细接口!$B$92),"")</f>
        <v>46255</v>
      </c>
      <c r="C92" s="16" t="str">
        <f>IFERROR(IF([1]对账明细接口!$C$92=0,"",[1]对账明细接口!$C$92),"")</f>
        <v>聂新平</v>
      </c>
      <c r="D92" s="16" t="str">
        <f>IFERROR(IF([1]对账明细接口!$D$92=0,"",[1]对账明细接口!$D$92),"")</f>
        <v>原料入库</v>
      </c>
      <c r="E92" s="16" t="str">
        <f>IFERROR(IF([1]对账明细接口!$E$92=0,"",[1]对账明细接口!$E$92),"")</f>
        <v>NO:0000711</v>
      </c>
      <c r="F92" s="16" t="str">
        <f>IFERROR(IF([1]对账明细接口!$F$92=0,"",[1]对账明细接口!$F$92),"")</f>
        <v>西梅</v>
      </c>
      <c r="G92" s="16" t="str">
        <f>IFERROR(IF([1]对账明细接口!$G$92=0,"",[1]对账明细接口!$G$92),"")</f>
        <v>西梅二级</v>
      </c>
      <c r="H92" s="17">
        <f>IFERROR(IF([1]对账明细接口!$H$92=0,"",[1]对账明细接口!$H$92),"")</f>
        <v>35</v>
      </c>
      <c r="I92" s="16" t="str">
        <f>IFERROR(IF([1]对账明细接口!$I$92=0,"",[1]对账明细接口!$I$92),"")</f>
        <v>筐</v>
      </c>
      <c r="J92" s="18">
        <f>IFERROR(IF([1]对账明细接口!$J$92=0,"",[1]对账明细接口!$J$92),"")</f>
        <v>315</v>
      </c>
      <c r="K92" s="18" t="str">
        <f>IFERROR(IF([1]对账明细接口!$K$92=0,"",[1]对账明细接口!$K$92),"")</f>
        <v/>
      </c>
      <c r="L92" s="16" t="str">
        <f>IFERROR(IF([1]对账明细接口!$L$92=0,"",[1]对账明细接口!$L$92),"")</f>
        <v/>
      </c>
      <c r="M92" s="16" t="str">
        <f>IFERROR(IF([1]对账明细接口!$M$92=0,"",[1]对账明细接口!$M$92),"")</f>
        <v/>
      </c>
      <c r="N92" s="19">
        <f t="shared" si="2"/>
        <v>1</v>
      </c>
      <c r="O92" s="19">
        <f t="shared" si="3"/>
        <v>89</v>
      </c>
      <c r="S92" s="20" t="str">
        <f>IFERROR(IF([1]对账明细接口!$N92=0,"",[1]对账明细接口!$N92),"")</f>
        <v>自备一次性筐</v>
      </c>
      <c r="T92" s="21" t="str">
        <f>IFERROR(IF([1]对账明细接口!$O92=0,"",[1]对账明细接口!$O92),"")</f>
        <v/>
      </c>
      <c r="U92" s="21" t="str">
        <f>IFERROR(IF([1]对账明细接口!$P92=0,"",[1]对账明细接口!$P92),"")</f>
        <v/>
      </c>
      <c r="V92" s="21">
        <f>IFERROR(IF([1]对账明细接口!$Q92=0,"",[1]对账明细接口!$Q92),"")</f>
        <v>35</v>
      </c>
      <c r="W92" s="20" t="str">
        <f>IFERROR(IF([1]对账明细接口!$R92=0,"",[1]对账明细接口!$R92),"")</f>
        <v>新N*SQ607</v>
      </c>
      <c r="X92" s="20" t="str">
        <f>IFERROR(IF([1]对账明细接口!$S92=0,"",[1]对账明细接口!$S92),"")</f>
        <v>自备筐</v>
      </c>
      <c r="Y92" s="20" t="str">
        <f>IFERROR(IF([1]对账明细接口!$T92=0,"",[1]对账明细接口!$T92),"")</f>
        <v/>
      </c>
      <c r="Z92" s="24" t="str">
        <f>IFERROR(IF([1]对账明细接口!$U92=0,"",[1]对账明细接口!$U92),"")</f>
        <v/>
      </c>
      <c r="AA92" s="24" t="str">
        <f>IFERROR(IF([1]对账明细接口!$V92=0,"",[1]对账明细接口!$V92),"")</f>
        <v/>
      </c>
      <c r="AB92" s="20" t="str">
        <f>IFERROR(IF([1]对账明细接口!$W92=0,"",[1]对账明细接口!$W92),"")</f>
        <v/>
      </c>
      <c r="AC92" s="7" t="str">
        <f>IFERROR(IF([1]对账明细接口!$X92=0,"",[1]对账明细接口!$X92),"")</f>
        <v/>
      </c>
      <c r="AD92" s="7" t="str">
        <f>IFERROR(IF([1]对账明细接口!$Y92=0,"",[1]对账明细接口!$Y92),"")</f>
        <v/>
      </c>
      <c r="AE92" s="7" t="str">
        <f>IFERROR(IF([1]对账明细接口!$AA92=0,"",[1]对账明细接口!$AA92),"")</f>
        <v/>
      </c>
      <c r="AF92" s="7" t="str">
        <f>IFERROR(IF([1]对账明细接口!$AB92=0,"",[1]对账明细接口!$AB92),"")</f>
        <v/>
      </c>
      <c r="AG92" s="7" t="str">
        <f>IFERROR(IF([1]对账明细接口!$AC92=0,"",[1]对账明细接口!$AC92),"")</f>
        <v/>
      </c>
      <c r="AH92" s="7" t="str">
        <f>IFERROR(IF([1]对账明细接口!$AD92=0,"",[1]对账明细接口!$AD92),"")</f>
        <v/>
      </c>
      <c r="AI92" s="7" t="str">
        <f>IFERROR(IF([1]对账明细接口!$AE92=0,"",[1]对账明细接口!$AE92),"")</f>
        <v/>
      </c>
      <c r="AJ92" s="7" t="str">
        <f>IFERROR(IF([1]对账明细接口!$AF92=0,"",[1]对账明细接口!$AF92),"")</f>
        <v/>
      </c>
    </row>
    <row r="93" ht="14.25" customHeight="1" spans="1:36">
      <c r="A93" s="14">
        <v>93</v>
      </c>
      <c r="B93" s="15">
        <f>IFERROR(IF([1]对账明细接口!$B$93=0,"",[1]对账明细接口!$B$93),"")</f>
        <v>46255</v>
      </c>
      <c r="C93" s="16" t="str">
        <f>IFERROR(IF([1]对账明细接口!$C$93=0,"",[1]对账明细接口!$C$93),"")</f>
        <v>聂新平</v>
      </c>
      <c r="D93" s="16" t="str">
        <f>IFERROR(IF([1]对账明细接口!$D$93=0,"",[1]对账明细接口!$D$93),"")</f>
        <v>原料入库</v>
      </c>
      <c r="E93" s="16" t="str">
        <f>IFERROR(IF([1]对账明细接口!$E$93=0,"",[1]对账明细接口!$E$93),"")</f>
        <v>NO:0000711</v>
      </c>
      <c r="F93" s="16" t="str">
        <f>IFERROR(IF([1]对账明细接口!$F$93=0,"",[1]对账明细接口!$F$93),"")</f>
        <v>西梅</v>
      </c>
      <c r="G93" s="16" t="str">
        <f>IFERROR(IF([1]对账明细接口!$G$93=0,"",[1]对账明细接口!$G$93),"")</f>
        <v>西梅二级</v>
      </c>
      <c r="H93" s="17">
        <f>IFERROR(IF([1]对账明细接口!$H$93=0,"",[1]对账明细接口!$H$93),"")</f>
        <v>783</v>
      </c>
      <c r="I93" s="16" t="str">
        <f>IFERROR(IF([1]对账明细接口!$I$93=0,"",[1]对账明细接口!$I$93),"")</f>
        <v>筐</v>
      </c>
      <c r="J93" s="18">
        <f>IFERROR(IF([1]对账明细接口!$J$93=0,"",[1]对账明细接口!$J$93),"")</f>
        <v>1566</v>
      </c>
      <c r="K93" s="18" t="str">
        <f>IFERROR(IF([1]对账明细接口!$K$93=0,"",[1]对账明细接口!$K$93),"")</f>
        <v/>
      </c>
      <c r="L93" s="16" t="str">
        <f>IFERROR(IF([1]对账明细接口!$L$93=0,"",[1]对账明细接口!$L$93),"")</f>
        <v/>
      </c>
      <c r="M93" s="16" t="str">
        <f>IFERROR(IF([1]对账明细接口!$M$93=0,"",[1]对账明细接口!$M$93),"")</f>
        <v/>
      </c>
      <c r="N93" s="19">
        <f t="shared" si="2"/>
        <v>1</v>
      </c>
      <c r="O93" s="19">
        <f t="shared" si="3"/>
        <v>90</v>
      </c>
      <c r="S93" s="20" t="str">
        <f>IFERROR(IF([1]对账明细接口!$N93=0,"",[1]对账明细接口!$N93),"")</f>
        <v>自备一次性筐</v>
      </c>
      <c r="T93" s="21" t="str">
        <f>IFERROR(IF([1]对账明细接口!$O93=0,"",[1]对账明细接口!$O93),"")</f>
        <v/>
      </c>
      <c r="U93" s="21" t="str">
        <f>IFERROR(IF([1]对账明细接口!$P93=0,"",[1]对账明细接口!$P93),"")</f>
        <v/>
      </c>
      <c r="V93" s="21">
        <f>IFERROR(IF([1]对账明细接口!$Q93=0,"",[1]对账明细接口!$Q93),"")</f>
        <v>783</v>
      </c>
      <c r="W93" s="20" t="str">
        <f>IFERROR(IF([1]对账明细接口!$R93=0,"",[1]对账明细接口!$R93),"")</f>
        <v>新N*SQ607</v>
      </c>
      <c r="X93" s="20" t="str">
        <f>IFERROR(IF([1]对账明细接口!$S93=0,"",[1]对账明细接口!$S93),"")</f>
        <v>自备筐</v>
      </c>
      <c r="Y93" s="20" t="str">
        <f>IFERROR(IF([1]对账明细接口!$T93=0,"",[1]对账明细接口!$T93),"")</f>
        <v/>
      </c>
      <c r="Z93" s="24" t="str">
        <f>IFERROR(IF([1]对账明细接口!$U93=0,"",[1]对账明细接口!$U93),"")</f>
        <v/>
      </c>
      <c r="AA93" s="24" t="str">
        <f>IFERROR(IF([1]对账明细接口!$V93=0,"",[1]对账明细接口!$V93),"")</f>
        <v/>
      </c>
      <c r="AB93" s="20" t="str">
        <f>IFERROR(IF([1]对账明细接口!$W93=0,"",[1]对账明细接口!$W93),"")</f>
        <v/>
      </c>
      <c r="AC93" s="7" t="str">
        <f>IFERROR(IF([1]对账明细接口!$X93=0,"",[1]对账明细接口!$X93),"")</f>
        <v/>
      </c>
      <c r="AD93" s="7" t="str">
        <f>IFERROR(IF([1]对账明细接口!$Y93=0,"",[1]对账明细接口!$Y93),"")</f>
        <v/>
      </c>
      <c r="AE93" s="7" t="str">
        <f>IFERROR(IF([1]对账明细接口!$AA93=0,"",[1]对账明细接口!$AA93),"")</f>
        <v/>
      </c>
      <c r="AF93" s="7" t="str">
        <f>IFERROR(IF([1]对账明细接口!$AB93=0,"",[1]对账明细接口!$AB93),"")</f>
        <v/>
      </c>
      <c r="AG93" s="7" t="str">
        <f>IFERROR(IF([1]对账明细接口!$AC93=0,"",[1]对账明细接口!$AC93),"")</f>
        <v/>
      </c>
      <c r="AH93" s="7" t="str">
        <f>IFERROR(IF([1]对账明细接口!$AD93=0,"",[1]对账明细接口!$AD93),"")</f>
        <v/>
      </c>
      <c r="AI93" s="7" t="str">
        <f>IFERROR(IF([1]对账明细接口!$AE93=0,"",[1]对账明细接口!$AE93),"")</f>
        <v/>
      </c>
      <c r="AJ93" s="7" t="str">
        <f>IFERROR(IF([1]对账明细接口!$AF93=0,"",[1]对账明细接口!$AF93),"")</f>
        <v/>
      </c>
    </row>
    <row r="94" ht="14.25" customHeight="1" spans="1:36">
      <c r="A94" s="14">
        <v>94</v>
      </c>
      <c r="B94" s="15">
        <f>IFERROR(IF([1]对账明细接口!$B$94=0,"",[1]对账明细接口!$B$94),"")</f>
        <v>46255</v>
      </c>
      <c r="C94" s="16" t="str">
        <f>IFERROR(IF([1]对账明细接口!$C$94=0,"",[1]对账明细接口!$C$94),"")</f>
        <v>聂新平</v>
      </c>
      <c r="D94" s="16" t="str">
        <f>IFERROR(IF([1]对账明细接口!$D$94=0,"",[1]对账明细接口!$D$94),"")</f>
        <v>原料入库</v>
      </c>
      <c r="E94" s="16" t="str">
        <f>IFERROR(IF([1]对账明细接口!$E$94=0,"",[1]对账明细接口!$E$94),"")</f>
        <v>NO:0000711</v>
      </c>
      <c r="F94" s="16" t="str">
        <f>IFERROR(IF([1]对账明细接口!$F$94=0,"",[1]对账明细接口!$F$94),"")</f>
        <v>西梅</v>
      </c>
      <c r="G94" s="16" t="str">
        <f>IFERROR(IF([1]对账明细接口!$G$94=0,"",[1]对账明细接口!$G$94),"")</f>
        <v>西梅三级</v>
      </c>
      <c r="H94" s="17">
        <f>IFERROR(IF([1]对账明细接口!$H$94=0,"",[1]对账明细接口!$H$94),"")</f>
        <v>264</v>
      </c>
      <c r="I94" s="16" t="str">
        <f>IFERROR(IF([1]对账明细接口!$I$94=0,"",[1]对账明细接口!$I$94),"")</f>
        <v>筐</v>
      </c>
      <c r="J94" s="18">
        <f>IFERROR(IF([1]对账明细接口!$J$94=0,"",[1]对账明细接口!$J$94),"")</f>
        <v>528</v>
      </c>
      <c r="K94" s="18" t="str">
        <f>IFERROR(IF([1]对账明细接口!$K$94=0,"",[1]对账明细接口!$K$94),"")</f>
        <v/>
      </c>
      <c r="L94" s="16" t="str">
        <f>IFERROR(IF([1]对账明细接口!$L$94=0,"",[1]对账明细接口!$L$94),"")</f>
        <v/>
      </c>
      <c r="M94" s="16" t="str">
        <f>IFERROR(IF([1]对账明细接口!$M$94=0,"",[1]对账明细接口!$M$94),"")</f>
        <v/>
      </c>
      <c r="N94" s="19">
        <f t="shared" si="2"/>
        <v>1</v>
      </c>
      <c r="O94" s="19">
        <f t="shared" si="3"/>
        <v>91</v>
      </c>
      <c r="S94" s="20" t="str">
        <f>IFERROR(IF([1]对账明细接口!$N94=0,"",[1]对账明细接口!$N94),"")</f>
        <v>自备一次性筐</v>
      </c>
      <c r="T94" s="21" t="str">
        <f>IFERROR(IF([1]对账明细接口!$O94=0,"",[1]对账明细接口!$O94),"")</f>
        <v/>
      </c>
      <c r="U94" s="21" t="str">
        <f>IFERROR(IF([1]对账明细接口!$P94=0,"",[1]对账明细接口!$P94),"")</f>
        <v/>
      </c>
      <c r="V94" s="21">
        <f>IFERROR(IF([1]对账明细接口!$Q94=0,"",[1]对账明细接口!$Q94),"")</f>
        <v>264</v>
      </c>
      <c r="W94" s="20" t="str">
        <f>IFERROR(IF([1]对账明细接口!$R94=0,"",[1]对账明细接口!$R94),"")</f>
        <v>新N*SQ607</v>
      </c>
      <c r="X94" s="20" t="str">
        <f>IFERROR(IF([1]对账明细接口!$S94=0,"",[1]对账明细接口!$S94),"")</f>
        <v>自备筐</v>
      </c>
      <c r="Y94" s="20" t="str">
        <f>IFERROR(IF([1]对账明细接口!$T94=0,"",[1]对账明细接口!$T94),"")</f>
        <v/>
      </c>
      <c r="Z94" s="24" t="str">
        <f>IFERROR(IF([1]对账明细接口!$U94=0,"",[1]对账明细接口!$U94),"")</f>
        <v/>
      </c>
      <c r="AA94" s="24" t="str">
        <f>IFERROR(IF([1]对账明细接口!$V94=0,"",[1]对账明细接口!$V94),"")</f>
        <v/>
      </c>
      <c r="AB94" s="20" t="str">
        <f>IFERROR(IF([1]对账明细接口!$W94=0,"",[1]对账明细接口!$W94),"")</f>
        <v/>
      </c>
      <c r="AC94" s="7" t="str">
        <f>IFERROR(IF([1]对账明细接口!$X94=0,"",[1]对账明细接口!$X94),"")</f>
        <v/>
      </c>
      <c r="AD94" s="7" t="str">
        <f>IFERROR(IF([1]对账明细接口!$Y94=0,"",[1]对账明细接口!$Y94),"")</f>
        <v/>
      </c>
      <c r="AE94" s="7" t="str">
        <f>IFERROR(IF([1]对账明细接口!$AA94=0,"",[1]对账明细接口!$AA94),"")</f>
        <v/>
      </c>
      <c r="AF94" s="7" t="str">
        <f>IFERROR(IF([1]对账明细接口!$AB94=0,"",[1]对账明细接口!$AB94),"")</f>
        <v/>
      </c>
      <c r="AG94" s="7" t="str">
        <f>IFERROR(IF([1]对账明细接口!$AC94=0,"",[1]对账明细接口!$AC94),"")</f>
        <v/>
      </c>
      <c r="AH94" s="7" t="str">
        <f>IFERROR(IF([1]对账明细接口!$AD94=0,"",[1]对账明细接口!$AD94),"")</f>
        <v/>
      </c>
      <c r="AI94" s="7" t="str">
        <f>IFERROR(IF([1]对账明细接口!$AE94=0,"",[1]对账明细接口!$AE94),"")</f>
        <v/>
      </c>
      <c r="AJ94" s="7" t="str">
        <f>IFERROR(IF([1]对账明细接口!$AF94=0,"",[1]对账明细接口!$AF94),"")</f>
        <v/>
      </c>
    </row>
    <row r="95" ht="14.25" customHeight="1" spans="1:36">
      <c r="A95" s="14">
        <v>95</v>
      </c>
      <c r="B95" s="15">
        <f>IFERROR(IF([1]对账明细接口!$B$95=0,"",[1]对账明细接口!$B$95),"")</f>
        <v>46256</v>
      </c>
      <c r="C95" s="16" t="str">
        <f>IFERROR(IF([1]对账明细接口!$C$95=0,"",[1]对账明细接口!$C$95),"")</f>
        <v>聂新平</v>
      </c>
      <c r="D95" s="16" t="str">
        <f>IFERROR(IF([1]对账明细接口!$D$95=0,"",[1]对账明细接口!$D$95),"")</f>
        <v>原料入库</v>
      </c>
      <c r="E95" s="16" t="str">
        <f>IFERROR(IF([1]对账明细接口!$E$95=0,"",[1]对账明细接口!$E$95),"")</f>
        <v>NO:0000712</v>
      </c>
      <c r="F95" s="16" t="str">
        <f>IFERROR(IF([1]对账明细接口!$F$95=0,"",[1]对账明细接口!$F$95),"")</f>
        <v>西梅</v>
      </c>
      <c r="G95" s="16" t="str">
        <f>IFERROR(IF([1]对账明细接口!$G$95=0,"",[1]对账明细接口!$G$95),"")</f>
        <v>西梅一级</v>
      </c>
      <c r="H95" s="17">
        <f>IFERROR(IF([1]对账明细接口!$H$95=0,"",[1]对账明细接口!$H$95),"")</f>
        <v>27</v>
      </c>
      <c r="I95" s="16" t="str">
        <f>IFERROR(IF([1]对账明细接口!$I$95=0,"",[1]对账明细接口!$I$95),"")</f>
        <v>筐</v>
      </c>
      <c r="J95" s="18">
        <f>IFERROR(IF([1]对账明细接口!$J$95=0,"",[1]对账明细接口!$J$95),"")</f>
        <v>189</v>
      </c>
      <c r="K95" s="18" t="str">
        <f>IFERROR(IF([1]对账明细接口!$K$95=0,"",[1]对账明细接口!$K$95),"")</f>
        <v/>
      </c>
      <c r="L95" s="16" t="str">
        <f>IFERROR(IF([1]对账明细接口!$L$95=0,"",[1]对账明细接口!$L$95),"")</f>
        <v/>
      </c>
      <c r="M95" s="16" t="str">
        <f>IFERROR(IF([1]对账明细接口!$M$95=0,"",[1]对账明细接口!$M$95),"")</f>
        <v/>
      </c>
      <c r="N95" s="19">
        <f t="shared" si="2"/>
        <v>1</v>
      </c>
      <c r="O95" s="19">
        <f t="shared" si="3"/>
        <v>92</v>
      </c>
      <c r="S95" s="20" t="str">
        <f>IFERROR(IF([1]对账明细接口!$N95=0,"",[1]对账明细接口!$N95),"")</f>
        <v>自备一次性筐</v>
      </c>
      <c r="T95" s="21" t="str">
        <f>IFERROR(IF([1]对账明细接口!$O95=0,"",[1]对账明细接口!$O95),"")</f>
        <v/>
      </c>
      <c r="U95" s="21" t="str">
        <f>IFERROR(IF([1]对账明细接口!$P95=0,"",[1]对账明细接口!$P95),"")</f>
        <v/>
      </c>
      <c r="V95" s="21">
        <f>IFERROR(IF([1]对账明细接口!$Q95=0,"",[1]对账明细接口!$Q95),"")</f>
        <v>27</v>
      </c>
      <c r="W95" s="20" t="str">
        <f>IFERROR(IF([1]对账明细接口!$R95=0,"",[1]对账明细接口!$R95),"")</f>
        <v>苏M*7G796</v>
      </c>
      <c r="X95" s="20" t="str">
        <f>IFERROR(IF([1]对账明细接口!$S95=0,"",[1]对账明细接口!$S95),"")</f>
        <v>自备筐</v>
      </c>
      <c r="Y95" s="20" t="str">
        <f>IFERROR(IF([1]对账明细接口!$T95=0,"",[1]对账明细接口!$T95),"")</f>
        <v/>
      </c>
      <c r="Z95" s="24" t="str">
        <f>IFERROR(IF([1]对账明细接口!$U95=0,"",[1]对账明细接口!$U95),"")</f>
        <v/>
      </c>
      <c r="AA95" s="24" t="str">
        <f>IFERROR(IF([1]对账明细接口!$V95=0,"",[1]对账明细接口!$V95),"")</f>
        <v/>
      </c>
      <c r="AB95" s="20" t="str">
        <f>IFERROR(IF([1]对账明细接口!$W95=0,"",[1]对账明细接口!$W95),"")</f>
        <v/>
      </c>
      <c r="AC95" s="7" t="str">
        <f>IFERROR(IF([1]对账明细接口!$X95=0,"",[1]对账明细接口!$X95),"")</f>
        <v/>
      </c>
      <c r="AD95" s="7" t="str">
        <f>IFERROR(IF([1]对账明细接口!$Y95=0,"",[1]对账明细接口!$Y95),"")</f>
        <v/>
      </c>
      <c r="AE95" s="7" t="str">
        <f>IFERROR(IF([1]对账明细接口!$AA95=0,"",[1]对账明细接口!$AA95),"")</f>
        <v/>
      </c>
      <c r="AF95" s="7" t="str">
        <f>IFERROR(IF([1]对账明细接口!$AB95=0,"",[1]对账明细接口!$AB95),"")</f>
        <v/>
      </c>
      <c r="AG95" s="7" t="str">
        <f>IFERROR(IF([1]对账明细接口!$AC95=0,"",[1]对账明细接口!$AC95),"")</f>
        <v/>
      </c>
      <c r="AH95" s="7" t="str">
        <f>IFERROR(IF([1]对账明细接口!$AD95=0,"",[1]对账明细接口!$AD95),"")</f>
        <v/>
      </c>
      <c r="AI95" s="7" t="str">
        <f>IFERROR(IF([1]对账明细接口!$AE95=0,"",[1]对账明细接口!$AE95),"")</f>
        <v/>
      </c>
      <c r="AJ95" s="7" t="str">
        <f>IFERROR(IF([1]对账明细接口!$AF95=0,"",[1]对账明细接口!$AF95),"")</f>
        <v/>
      </c>
    </row>
    <row r="96" ht="14.25" customHeight="1" spans="1:36">
      <c r="A96" s="14">
        <v>96</v>
      </c>
      <c r="B96" s="15">
        <f>IFERROR(IF([1]对账明细接口!$B$96=0,"",[1]对账明细接口!$B$96),"")</f>
        <v>46256</v>
      </c>
      <c r="C96" s="16" t="str">
        <f>IFERROR(IF([1]对账明细接口!$C$96=0,"",[1]对账明细接口!$C$96),"")</f>
        <v>聂新平</v>
      </c>
      <c r="D96" s="16" t="str">
        <f>IFERROR(IF([1]对账明细接口!$D$96=0,"",[1]对账明细接口!$D$96),"")</f>
        <v>原料入库</v>
      </c>
      <c r="E96" s="16" t="str">
        <f>IFERROR(IF([1]对账明细接口!$E$96=0,"",[1]对账明细接口!$E$96),"")</f>
        <v>NO:0000712</v>
      </c>
      <c r="F96" s="16" t="str">
        <f>IFERROR(IF([1]对账明细接口!$F$96=0,"",[1]对账明细接口!$F$96),"")</f>
        <v>西梅</v>
      </c>
      <c r="G96" s="16" t="str">
        <f>IFERROR(IF([1]对账明细接口!$G$96=0,"",[1]对账明细接口!$G$96),"")</f>
        <v>西梅二级</v>
      </c>
      <c r="H96" s="17">
        <f>IFERROR(IF([1]对账明细接口!$H$96=0,"",[1]对账明细接口!$H$96),"")</f>
        <v>78</v>
      </c>
      <c r="I96" s="16" t="str">
        <f>IFERROR(IF([1]对账明细接口!$I$96=0,"",[1]对账明细接口!$I$96),"")</f>
        <v>筐</v>
      </c>
      <c r="J96" s="18">
        <f>IFERROR(IF([1]对账明细接口!$J$96=0,"",[1]对账明细接口!$J$96),"")</f>
        <v>936</v>
      </c>
      <c r="K96" s="18" t="str">
        <f>IFERROR(IF([1]对账明细接口!$K$96=0,"",[1]对账明细接口!$K$96),"")</f>
        <v/>
      </c>
      <c r="L96" s="16" t="str">
        <f>IFERROR(IF([1]对账明细接口!$L$96=0,"",[1]对账明细接口!$L$96),"")</f>
        <v/>
      </c>
      <c r="M96" s="16" t="str">
        <f>IFERROR(IF([1]对账明细接口!$M$96=0,"",[1]对账明细接口!$M$96),"")</f>
        <v/>
      </c>
      <c r="N96" s="19">
        <f t="shared" si="2"/>
        <v>1</v>
      </c>
      <c r="O96" s="19">
        <f t="shared" si="3"/>
        <v>93</v>
      </c>
      <c r="S96" s="20" t="str">
        <f>IFERROR(IF([1]对账明细接口!$N96=0,"",[1]对账明细接口!$N96),"")</f>
        <v>自备一次性筐</v>
      </c>
      <c r="T96" s="21" t="str">
        <f>IFERROR(IF([1]对账明细接口!$O96=0,"",[1]对账明细接口!$O96),"")</f>
        <v/>
      </c>
      <c r="U96" s="21" t="str">
        <f>IFERROR(IF([1]对账明细接口!$P96=0,"",[1]对账明细接口!$P96),"")</f>
        <v/>
      </c>
      <c r="V96" s="21">
        <f>IFERROR(IF([1]对账明细接口!$Q96=0,"",[1]对账明细接口!$Q96),"")</f>
        <v>78</v>
      </c>
      <c r="W96" s="20" t="str">
        <f>IFERROR(IF([1]对账明细接口!$R96=0,"",[1]对账明细接口!$R96),"")</f>
        <v>苏M*7G796</v>
      </c>
      <c r="X96" s="20" t="str">
        <f>IFERROR(IF([1]对账明细接口!$S96=0,"",[1]对账明细接口!$S96),"")</f>
        <v>自备筐</v>
      </c>
      <c r="Y96" s="20" t="str">
        <f>IFERROR(IF([1]对账明细接口!$T96=0,"",[1]对账明细接口!$T96),"")</f>
        <v/>
      </c>
      <c r="Z96" s="24" t="str">
        <f>IFERROR(IF([1]对账明细接口!$U96=0,"",[1]对账明细接口!$U96),"")</f>
        <v/>
      </c>
      <c r="AA96" s="24" t="str">
        <f>IFERROR(IF([1]对账明细接口!$V96=0,"",[1]对账明细接口!$V96),"")</f>
        <v/>
      </c>
      <c r="AB96" s="20" t="str">
        <f>IFERROR(IF([1]对账明细接口!$W96=0,"",[1]对账明细接口!$W96),"")</f>
        <v/>
      </c>
      <c r="AC96" s="7" t="str">
        <f>IFERROR(IF([1]对账明细接口!$X96=0,"",[1]对账明细接口!$X96),"")</f>
        <v/>
      </c>
      <c r="AD96" s="7" t="str">
        <f>IFERROR(IF([1]对账明细接口!$Y96=0,"",[1]对账明细接口!$Y96),"")</f>
        <v/>
      </c>
      <c r="AE96" s="7" t="str">
        <f>IFERROR(IF([1]对账明细接口!$AA96=0,"",[1]对账明细接口!$AA96),"")</f>
        <v/>
      </c>
      <c r="AF96" s="7" t="str">
        <f>IFERROR(IF([1]对账明细接口!$AB96=0,"",[1]对账明细接口!$AB96),"")</f>
        <v/>
      </c>
      <c r="AG96" s="7" t="str">
        <f>IFERROR(IF([1]对账明细接口!$AC96=0,"",[1]对账明细接口!$AC96),"")</f>
        <v/>
      </c>
      <c r="AH96" s="7" t="str">
        <f>IFERROR(IF([1]对账明细接口!$AD96=0,"",[1]对账明细接口!$AD96),"")</f>
        <v/>
      </c>
      <c r="AI96" s="7" t="str">
        <f>IFERROR(IF([1]对账明细接口!$AE96=0,"",[1]对账明细接口!$AE96),"")</f>
        <v/>
      </c>
      <c r="AJ96" s="7" t="str">
        <f>IFERROR(IF([1]对账明细接口!$AF96=0,"",[1]对账明细接口!$AF96),"")</f>
        <v/>
      </c>
    </row>
    <row r="97" ht="14.25" customHeight="1" spans="1:36">
      <c r="A97" s="14">
        <v>97</v>
      </c>
      <c r="B97" s="15">
        <f>IFERROR(IF([1]对账明细接口!$B$97=0,"",[1]对账明细接口!$B$97),"")</f>
        <v>46256</v>
      </c>
      <c r="C97" s="16" t="str">
        <f>IFERROR(IF([1]对账明细接口!$C$97=0,"",[1]对账明细接口!$C$97),"")</f>
        <v>聂新平</v>
      </c>
      <c r="D97" s="16" t="str">
        <f>IFERROR(IF([1]对账明细接口!$D$97=0,"",[1]对账明细接口!$D$97),"")</f>
        <v>原料入库</v>
      </c>
      <c r="E97" s="16" t="str">
        <f>IFERROR(IF([1]对账明细接口!$E$97=0,"",[1]对账明细接口!$E$97),"")</f>
        <v>NO:0000714</v>
      </c>
      <c r="F97" s="16" t="str">
        <f>IFERROR(IF([1]对账明细接口!$F$97=0,"",[1]对账明细接口!$F$97),"")</f>
        <v>西梅</v>
      </c>
      <c r="G97" s="16" t="str">
        <f>IFERROR(IF([1]对账明细接口!$G$97=0,"",[1]对账明细接口!$G$97),"")</f>
        <v>西梅一级</v>
      </c>
      <c r="H97" s="17">
        <f>IFERROR(IF([1]对账明细接口!$H$97=0,"",[1]对账明细接口!$H$97),"")</f>
        <v>189</v>
      </c>
      <c r="I97" s="16" t="str">
        <f>IFERROR(IF([1]对账明细接口!$I$97=0,"",[1]对账明细接口!$I$97),"")</f>
        <v>筐</v>
      </c>
      <c r="J97" s="18">
        <f>IFERROR(IF([1]对账明细接口!$J$97=0,"",[1]对账明细接口!$J$97),"")</f>
        <v>1323</v>
      </c>
      <c r="K97" s="18" t="str">
        <f>IFERROR(IF([1]对账明细接口!$K$97=0,"",[1]对账明细接口!$K$97),"")</f>
        <v/>
      </c>
      <c r="L97" s="16" t="str">
        <f>IFERROR(IF([1]对账明细接口!$L$97=0,"",[1]对账明细接口!$L$97),"")</f>
        <v/>
      </c>
      <c r="M97" s="16" t="str">
        <f>IFERROR(IF([1]对账明细接口!$M$97=0,"",[1]对账明细接口!$M$97),"")</f>
        <v/>
      </c>
      <c r="N97" s="19">
        <f t="shared" si="2"/>
        <v>1</v>
      </c>
      <c r="O97" s="19">
        <f t="shared" si="3"/>
        <v>94</v>
      </c>
      <c r="S97" s="20" t="str">
        <f>IFERROR(IF([1]对账明细接口!$N97=0,"",[1]对账明细接口!$N97),"")</f>
        <v>自备一次性筐</v>
      </c>
      <c r="T97" s="21" t="str">
        <f>IFERROR(IF([1]对账明细接口!$O97=0,"",[1]对账明细接口!$O97),"")</f>
        <v/>
      </c>
      <c r="U97" s="21" t="str">
        <f>IFERROR(IF([1]对账明细接口!$P97=0,"",[1]对账明细接口!$P97),"")</f>
        <v/>
      </c>
      <c r="V97" s="21">
        <f>IFERROR(IF([1]对账明细接口!$Q97=0,"",[1]对账明细接口!$Q97),"")</f>
        <v>189</v>
      </c>
      <c r="W97" s="20" t="str">
        <f>IFERROR(IF([1]对账明细接口!$R97=0,"",[1]对账明细接口!$R97),"")</f>
        <v>新N*SQ607</v>
      </c>
      <c r="X97" s="20" t="str">
        <f>IFERROR(IF([1]对账明细接口!$S97=0,"",[1]对账明细接口!$S97),"")</f>
        <v>自备筐</v>
      </c>
      <c r="Y97" s="20" t="str">
        <f>IFERROR(IF([1]对账明细接口!$T97=0,"",[1]对账明细接口!$T97),"")</f>
        <v/>
      </c>
      <c r="Z97" s="24" t="str">
        <f>IFERROR(IF([1]对账明细接口!$U97=0,"",[1]对账明细接口!$U97),"")</f>
        <v/>
      </c>
      <c r="AA97" s="24" t="str">
        <f>IFERROR(IF([1]对账明细接口!$V97=0,"",[1]对账明细接口!$V97),"")</f>
        <v/>
      </c>
      <c r="AB97" s="20" t="str">
        <f>IFERROR(IF([1]对账明细接口!$W97=0,"",[1]对账明细接口!$W97),"")</f>
        <v/>
      </c>
      <c r="AC97" s="7" t="str">
        <f>IFERROR(IF([1]对账明细接口!$X97=0,"",[1]对账明细接口!$X97),"")</f>
        <v/>
      </c>
      <c r="AD97" s="7" t="str">
        <f>IFERROR(IF([1]对账明细接口!$Y97=0,"",[1]对账明细接口!$Y97),"")</f>
        <v/>
      </c>
      <c r="AE97" s="7" t="str">
        <f>IFERROR(IF([1]对账明细接口!$AA97=0,"",[1]对账明细接口!$AA97),"")</f>
        <v/>
      </c>
      <c r="AF97" s="7" t="str">
        <f>IFERROR(IF([1]对账明细接口!$AB97=0,"",[1]对账明细接口!$AB97),"")</f>
        <v/>
      </c>
      <c r="AG97" s="7" t="str">
        <f>IFERROR(IF([1]对账明细接口!$AC97=0,"",[1]对账明细接口!$AC97),"")</f>
        <v/>
      </c>
      <c r="AH97" s="7" t="str">
        <f>IFERROR(IF([1]对账明细接口!$AD97=0,"",[1]对账明细接口!$AD97),"")</f>
        <v/>
      </c>
      <c r="AI97" s="7" t="str">
        <f>IFERROR(IF([1]对账明细接口!$AE97=0,"",[1]对账明细接口!$AE97),"")</f>
        <v/>
      </c>
      <c r="AJ97" s="7" t="str">
        <f>IFERROR(IF([1]对账明细接口!$AF97=0,"",[1]对账明细接口!$AF97),"")</f>
        <v/>
      </c>
    </row>
    <row r="98" ht="14.25" customHeight="1" spans="1:36">
      <c r="A98" s="14">
        <v>98</v>
      </c>
      <c r="B98" s="15">
        <f>IFERROR(IF([1]对账明细接口!$B$98=0,"",[1]对账明细接口!$B$98),"")</f>
        <v>46256</v>
      </c>
      <c r="C98" s="16" t="str">
        <f>IFERROR(IF([1]对账明细接口!$C$98=0,"",[1]对账明细接口!$C$98),"")</f>
        <v>聂新平</v>
      </c>
      <c r="D98" s="16" t="str">
        <f>IFERROR(IF([1]对账明细接口!$D$98=0,"",[1]对账明细接口!$D$98),"")</f>
        <v>原料入库</v>
      </c>
      <c r="E98" s="16" t="str">
        <f>IFERROR(IF([1]对账明细接口!$E$98=0,"",[1]对账明细接口!$E$98),"")</f>
        <v>NO:0000714</v>
      </c>
      <c r="F98" s="16" t="str">
        <f>IFERROR(IF([1]对账明细接口!$F$98=0,"",[1]对账明细接口!$F$98),"")</f>
        <v>西梅</v>
      </c>
      <c r="G98" s="16" t="str">
        <f>IFERROR(IF([1]对账明细接口!$G$98=0,"",[1]对账明细接口!$G$98),"")</f>
        <v>西梅二级</v>
      </c>
      <c r="H98" s="17">
        <f>IFERROR(IF([1]对账明细接口!$H$98=0,"",[1]对账明细接口!$H$98),"")</f>
        <v>111</v>
      </c>
      <c r="I98" s="16" t="str">
        <f>IFERROR(IF([1]对账明细接口!$I$98=0,"",[1]对账明细接口!$I$98),"")</f>
        <v>筐</v>
      </c>
      <c r="J98" s="18">
        <f>IFERROR(IF([1]对账明细接口!$J$98=0,"",[1]对账明细接口!$J$98),"")</f>
        <v>1332</v>
      </c>
      <c r="K98" s="18" t="str">
        <f>IFERROR(IF([1]对账明细接口!$K$98=0,"",[1]对账明细接口!$K$98),"")</f>
        <v/>
      </c>
      <c r="L98" s="16" t="str">
        <f>IFERROR(IF([1]对账明细接口!$L$98=0,"",[1]对账明细接口!$L$98),"")</f>
        <v/>
      </c>
      <c r="M98" s="16" t="str">
        <f>IFERROR(IF([1]对账明细接口!$M$98=0,"",[1]对账明细接口!$M$98),"")</f>
        <v/>
      </c>
      <c r="N98" s="19">
        <f t="shared" si="2"/>
        <v>1</v>
      </c>
      <c r="O98" s="19">
        <f t="shared" si="3"/>
        <v>95</v>
      </c>
      <c r="S98" s="20" t="str">
        <f>IFERROR(IF([1]对账明细接口!$N98=0,"",[1]对账明细接口!$N98),"")</f>
        <v>自备一次性筐</v>
      </c>
      <c r="T98" s="21" t="str">
        <f>IFERROR(IF([1]对账明细接口!$O98=0,"",[1]对账明细接口!$O98),"")</f>
        <v/>
      </c>
      <c r="U98" s="21" t="str">
        <f>IFERROR(IF([1]对账明细接口!$P98=0,"",[1]对账明细接口!$P98),"")</f>
        <v/>
      </c>
      <c r="V98" s="21">
        <f>IFERROR(IF([1]对账明细接口!$Q98=0,"",[1]对账明细接口!$Q98),"")</f>
        <v>111</v>
      </c>
      <c r="W98" s="20" t="str">
        <f>IFERROR(IF([1]对账明细接口!$R98=0,"",[1]对账明细接口!$R98),"")</f>
        <v>新N*SQ607</v>
      </c>
      <c r="X98" s="20" t="str">
        <f>IFERROR(IF([1]对账明细接口!$S98=0,"",[1]对账明细接口!$S98),"")</f>
        <v>自备筐</v>
      </c>
      <c r="Y98" s="20" t="str">
        <f>IFERROR(IF([1]对账明细接口!$T98=0,"",[1]对账明细接口!$T98),"")</f>
        <v/>
      </c>
      <c r="Z98" s="24" t="str">
        <f>IFERROR(IF([1]对账明细接口!$U98=0,"",[1]对账明细接口!$U98),"")</f>
        <v/>
      </c>
      <c r="AA98" s="24" t="str">
        <f>IFERROR(IF([1]对账明细接口!$V98=0,"",[1]对账明细接口!$V98),"")</f>
        <v/>
      </c>
      <c r="AB98" s="20" t="str">
        <f>IFERROR(IF([1]对账明细接口!$W98=0,"",[1]对账明细接口!$W98),"")</f>
        <v/>
      </c>
      <c r="AC98" s="7" t="str">
        <f>IFERROR(IF([1]对账明细接口!$X98=0,"",[1]对账明细接口!$X98),"")</f>
        <v/>
      </c>
      <c r="AD98" s="7" t="str">
        <f>IFERROR(IF([1]对账明细接口!$Y98=0,"",[1]对账明细接口!$Y98),"")</f>
        <v/>
      </c>
      <c r="AE98" s="7" t="str">
        <f>IFERROR(IF([1]对账明细接口!$AA98=0,"",[1]对账明细接口!$AA98),"")</f>
        <v/>
      </c>
      <c r="AF98" s="7" t="str">
        <f>IFERROR(IF([1]对账明细接口!$AB98=0,"",[1]对账明细接口!$AB98),"")</f>
        <v/>
      </c>
      <c r="AG98" s="7" t="str">
        <f>IFERROR(IF([1]对账明细接口!$AC98=0,"",[1]对账明细接口!$AC98),"")</f>
        <v/>
      </c>
      <c r="AH98" s="7" t="str">
        <f>IFERROR(IF([1]对账明细接口!$AD98=0,"",[1]对账明细接口!$AD98),"")</f>
        <v/>
      </c>
      <c r="AI98" s="7" t="str">
        <f>IFERROR(IF([1]对账明细接口!$AE98=0,"",[1]对账明细接口!$AE98),"")</f>
        <v/>
      </c>
      <c r="AJ98" s="7" t="str">
        <f>IFERROR(IF([1]对账明细接口!$AF98=0,"",[1]对账明细接口!$AF98),"")</f>
        <v/>
      </c>
    </row>
    <row r="99" ht="14.25" customHeight="1" spans="1:36">
      <c r="A99" s="14">
        <v>99</v>
      </c>
      <c r="B99" s="15">
        <f>IFERROR(IF([1]对账明细接口!$B$99=0,"",[1]对账明细接口!$B$99),"")</f>
        <v>46256</v>
      </c>
      <c r="C99" s="16" t="str">
        <f>IFERROR(IF([1]对账明细接口!$C$99=0,"",[1]对账明细接口!$C$99),"")</f>
        <v>聂新平</v>
      </c>
      <c r="D99" s="16" t="str">
        <f>IFERROR(IF([1]对账明细接口!$D$99=0,"",[1]对账明细接口!$D$99),"")</f>
        <v>原料入库</v>
      </c>
      <c r="E99" s="16" t="str">
        <f>IFERROR(IF([1]对账明细接口!$E$99=0,"",[1]对账明细接口!$E$99),"")</f>
        <v>NO:0000714</v>
      </c>
      <c r="F99" s="16" t="str">
        <f>IFERROR(IF([1]对账明细接口!$F$99=0,"",[1]对账明细接口!$F$99),"")</f>
        <v>西梅</v>
      </c>
      <c r="G99" s="16" t="str">
        <f>IFERROR(IF([1]对账明细接口!$G$99=0,"",[1]对账明细接口!$G$99),"")</f>
        <v>西梅二级</v>
      </c>
      <c r="H99" s="17">
        <f>IFERROR(IF([1]对账明细接口!$H$99=0,"",[1]对账明细接口!$H$99),"")</f>
        <v>253</v>
      </c>
      <c r="I99" s="16" t="str">
        <f>IFERROR(IF([1]对账明细接口!$I$99=0,"",[1]对账明细接口!$I$99),"")</f>
        <v>筐</v>
      </c>
      <c r="J99" s="18">
        <f>IFERROR(IF([1]对账明细接口!$J$99=0,"",[1]对账明细接口!$J$99),"")</f>
        <v>506</v>
      </c>
      <c r="K99" s="18" t="str">
        <f>IFERROR(IF([1]对账明细接口!$K$99=0,"",[1]对账明细接口!$K$99),"")</f>
        <v/>
      </c>
      <c r="L99" s="16" t="str">
        <f>IFERROR(IF([1]对账明细接口!$L$99=0,"",[1]对账明细接口!$L$99),"")</f>
        <v/>
      </c>
      <c r="M99" s="16" t="str">
        <f>IFERROR(IF([1]对账明细接口!$M$99=0,"",[1]对账明细接口!$M$99),"")</f>
        <v/>
      </c>
      <c r="N99" s="19">
        <f t="shared" si="2"/>
        <v>1</v>
      </c>
      <c r="O99" s="19">
        <f t="shared" si="3"/>
        <v>96</v>
      </c>
      <c r="S99" s="20" t="str">
        <f>IFERROR(IF([1]对账明细接口!$N99=0,"",[1]对账明细接口!$N99),"")</f>
        <v>自备一次性筐</v>
      </c>
      <c r="T99" s="21" t="str">
        <f>IFERROR(IF([1]对账明细接口!$O99=0,"",[1]对账明细接口!$O99),"")</f>
        <v/>
      </c>
      <c r="U99" s="21" t="str">
        <f>IFERROR(IF([1]对账明细接口!$P99=0,"",[1]对账明细接口!$P99),"")</f>
        <v/>
      </c>
      <c r="V99" s="21">
        <f>IFERROR(IF([1]对账明细接口!$Q99=0,"",[1]对账明细接口!$Q99),"")</f>
        <v>253</v>
      </c>
      <c r="W99" s="20" t="str">
        <f>IFERROR(IF([1]对账明细接口!$R99=0,"",[1]对账明细接口!$R99),"")</f>
        <v>新N*SQ607</v>
      </c>
      <c r="X99" s="20" t="str">
        <f>IFERROR(IF([1]对账明细接口!$S99=0,"",[1]对账明细接口!$S99),"")</f>
        <v>自备筐</v>
      </c>
      <c r="Y99" s="20" t="str">
        <f>IFERROR(IF([1]对账明细接口!$T99=0,"",[1]对账明细接口!$T99),"")</f>
        <v/>
      </c>
      <c r="Z99" s="24" t="str">
        <f>IFERROR(IF([1]对账明细接口!$U99=0,"",[1]对账明细接口!$U99),"")</f>
        <v/>
      </c>
      <c r="AA99" s="24" t="str">
        <f>IFERROR(IF([1]对账明细接口!$V99=0,"",[1]对账明细接口!$V99),"")</f>
        <v/>
      </c>
      <c r="AB99" s="20" t="str">
        <f>IFERROR(IF([1]对账明细接口!$W99=0,"",[1]对账明细接口!$W99),"")</f>
        <v/>
      </c>
      <c r="AC99" s="7" t="str">
        <f>IFERROR(IF([1]对账明细接口!$X99=0,"",[1]对账明细接口!$X99),"")</f>
        <v/>
      </c>
      <c r="AD99" s="7" t="str">
        <f>IFERROR(IF([1]对账明细接口!$Y99=0,"",[1]对账明细接口!$Y99),"")</f>
        <v/>
      </c>
      <c r="AE99" s="7" t="str">
        <f>IFERROR(IF([1]对账明细接口!$AA99=0,"",[1]对账明细接口!$AA99),"")</f>
        <v/>
      </c>
      <c r="AF99" s="7" t="str">
        <f>IFERROR(IF([1]对账明细接口!$AB99=0,"",[1]对账明细接口!$AB99),"")</f>
        <v/>
      </c>
      <c r="AG99" s="7" t="str">
        <f>IFERROR(IF([1]对账明细接口!$AC99=0,"",[1]对账明细接口!$AC99),"")</f>
        <v/>
      </c>
      <c r="AH99" s="7" t="str">
        <f>IFERROR(IF([1]对账明细接口!$AD99=0,"",[1]对账明细接口!$AD99),"")</f>
        <v/>
      </c>
      <c r="AI99" s="7" t="str">
        <f>IFERROR(IF([1]对账明细接口!$AE99=0,"",[1]对账明细接口!$AE99),"")</f>
        <v/>
      </c>
      <c r="AJ99" s="7" t="str">
        <f>IFERROR(IF([1]对账明细接口!$AF99=0,"",[1]对账明细接口!$AF99),"")</f>
        <v/>
      </c>
    </row>
    <row r="100" ht="14.25" customHeight="1" spans="1:36">
      <c r="A100" s="14">
        <v>100</v>
      </c>
      <c r="B100" s="15">
        <f>IFERROR(IF([1]对账明细接口!$B$100=0,"",[1]对账明细接口!$B$100),"")</f>
        <v>46256</v>
      </c>
      <c r="C100" s="16" t="str">
        <f>IFERROR(IF([1]对账明细接口!$C$100=0,"",[1]对账明细接口!$C$100),"")</f>
        <v>聂新平</v>
      </c>
      <c r="D100" s="16" t="str">
        <f>IFERROR(IF([1]对账明细接口!$D$100=0,"",[1]对账明细接口!$D$100),"")</f>
        <v>原料入库</v>
      </c>
      <c r="E100" s="16" t="str">
        <f>IFERROR(IF([1]对账明细接口!$E$100=0,"",[1]对账明细接口!$E$100),"")</f>
        <v>NO:0000714</v>
      </c>
      <c r="F100" s="16" t="str">
        <f>IFERROR(IF([1]对账明细接口!$F$100=0,"",[1]对账明细接口!$F$100),"")</f>
        <v>西梅</v>
      </c>
      <c r="G100" s="16" t="str">
        <f>IFERROR(IF([1]对账明细接口!$G$100=0,"",[1]对账明细接口!$G$100),"")</f>
        <v>西梅三级</v>
      </c>
      <c r="H100" s="17">
        <f>IFERROR(IF([1]对账明细接口!$H$100=0,"",[1]对账明细接口!$H$100),"")</f>
        <v>408</v>
      </c>
      <c r="I100" s="16" t="str">
        <f>IFERROR(IF([1]对账明细接口!$I$100=0,"",[1]对账明细接口!$I$100),"")</f>
        <v>筐</v>
      </c>
      <c r="J100" s="18">
        <f>IFERROR(IF([1]对账明细接口!$J$100=0,"",[1]对账明细接口!$J$100),"")</f>
        <v>816</v>
      </c>
      <c r="K100" s="18" t="str">
        <f>IFERROR(IF([1]对账明细接口!$K$100=0,"",[1]对账明细接口!$K$100),"")</f>
        <v/>
      </c>
      <c r="L100" s="16" t="str">
        <f>IFERROR(IF([1]对账明细接口!$L$100=0,"",[1]对账明细接口!$L$100),"")</f>
        <v/>
      </c>
      <c r="M100" s="16" t="str">
        <f>IFERROR(IF([1]对账明细接口!$M$100=0,"",[1]对账明细接口!$M$100),"")</f>
        <v/>
      </c>
      <c r="N100" s="19">
        <f t="shared" si="2"/>
        <v>1</v>
      </c>
      <c r="O100" s="19">
        <f t="shared" si="3"/>
        <v>97</v>
      </c>
      <c r="S100" s="20" t="str">
        <f>IFERROR(IF([1]对账明细接口!$N100=0,"",[1]对账明细接口!$N100),"")</f>
        <v>自备一次性筐</v>
      </c>
      <c r="T100" s="21" t="str">
        <f>IFERROR(IF([1]对账明细接口!$O100=0,"",[1]对账明细接口!$O100),"")</f>
        <v/>
      </c>
      <c r="U100" s="21" t="str">
        <f>IFERROR(IF([1]对账明细接口!$P100=0,"",[1]对账明细接口!$P100),"")</f>
        <v/>
      </c>
      <c r="V100" s="21">
        <f>IFERROR(IF([1]对账明细接口!$Q100=0,"",[1]对账明细接口!$Q100),"")</f>
        <v>408</v>
      </c>
      <c r="W100" s="20" t="str">
        <f>IFERROR(IF([1]对账明细接口!$R100=0,"",[1]对账明细接口!$R100),"")</f>
        <v>新N*SQ607</v>
      </c>
      <c r="X100" s="20" t="str">
        <f>IFERROR(IF([1]对账明细接口!$S100=0,"",[1]对账明细接口!$S100),"")</f>
        <v>自备筐</v>
      </c>
      <c r="Y100" s="20" t="str">
        <f>IFERROR(IF([1]对账明细接口!$T100=0,"",[1]对账明细接口!$T100),"")</f>
        <v/>
      </c>
      <c r="Z100" s="24" t="str">
        <f>IFERROR(IF([1]对账明细接口!$U100=0,"",[1]对账明细接口!$U100),"")</f>
        <v/>
      </c>
      <c r="AA100" s="24" t="str">
        <f>IFERROR(IF([1]对账明细接口!$V100=0,"",[1]对账明细接口!$V100),"")</f>
        <v/>
      </c>
      <c r="AB100" s="20" t="str">
        <f>IFERROR(IF([1]对账明细接口!$W100=0,"",[1]对账明细接口!$W100),"")</f>
        <v/>
      </c>
      <c r="AC100" s="7" t="str">
        <f>IFERROR(IF([1]对账明细接口!$X100=0,"",[1]对账明细接口!$X100),"")</f>
        <v/>
      </c>
      <c r="AD100" s="7" t="str">
        <f>IFERROR(IF([1]对账明细接口!$Y100=0,"",[1]对账明细接口!$Y100),"")</f>
        <v/>
      </c>
      <c r="AE100" s="7" t="str">
        <f>IFERROR(IF([1]对账明细接口!$AA100=0,"",[1]对账明细接口!$AA100),"")</f>
        <v/>
      </c>
      <c r="AF100" s="7" t="str">
        <f>IFERROR(IF([1]对账明细接口!$AB100=0,"",[1]对账明细接口!$AB100),"")</f>
        <v/>
      </c>
      <c r="AG100" s="7" t="str">
        <f>IFERROR(IF([1]对账明细接口!$AC100=0,"",[1]对账明细接口!$AC100),"")</f>
        <v/>
      </c>
      <c r="AH100" s="7" t="str">
        <f>IFERROR(IF([1]对账明细接口!$AD100=0,"",[1]对账明细接口!$AD100),"")</f>
        <v/>
      </c>
      <c r="AI100" s="7" t="str">
        <f>IFERROR(IF([1]对账明细接口!$AE100=0,"",[1]对账明细接口!$AE100),"")</f>
        <v/>
      </c>
      <c r="AJ100" s="7" t="str">
        <f>IFERROR(IF([1]对账明细接口!$AF100=0,"",[1]对账明细接口!$AF100),"")</f>
        <v/>
      </c>
    </row>
    <row r="101" ht="14.25" customHeight="1" spans="1:36">
      <c r="A101" s="14">
        <v>101</v>
      </c>
      <c r="B101" s="15">
        <f>IFERROR(IF([1]对账明细接口!$B$101=0,"",[1]对账明细接口!$B$101),"")</f>
        <v>46257</v>
      </c>
      <c r="C101" s="16" t="str">
        <f>IFERROR(IF([1]对账明细接口!$C$101=0,"",[1]对账明细接口!$C$101),"")</f>
        <v>聂新平</v>
      </c>
      <c r="D101" s="16" t="str">
        <f>IFERROR(IF([1]对账明细接口!$D$101=0,"",[1]对账明细接口!$D$101),"")</f>
        <v>原料入库</v>
      </c>
      <c r="E101" s="16" t="str">
        <f>IFERROR(IF([1]对账明细接口!$E$101=0,"",[1]对账明细接口!$E$101),"")</f>
        <v>NO:0000716</v>
      </c>
      <c r="F101" s="16" t="str">
        <f>IFERROR(IF([1]对账明细接口!$F$101=0,"",[1]对账明细接口!$F$101),"")</f>
        <v>西梅</v>
      </c>
      <c r="G101" s="16" t="str">
        <f>IFERROR(IF([1]对账明细接口!$G$101=0,"",[1]对账明细接口!$G$101),"")</f>
        <v>西梅一级</v>
      </c>
      <c r="H101" s="17">
        <f>IFERROR(IF([1]对账明细接口!$H$101=0,"",[1]对账明细接口!$H$101),"")</f>
        <v>81</v>
      </c>
      <c r="I101" s="16" t="str">
        <f>IFERROR(IF([1]对账明细接口!$I$101=0,"",[1]对账明细接口!$I$101),"")</f>
        <v>筐</v>
      </c>
      <c r="J101" s="18">
        <f>IFERROR(IF([1]对账明细接口!$J$101=0,"",[1]对账明细接口!$J$101),"")</f>
        <v>567</v>
      </c>
      <c r="K101" s="18" t="str">
        <f>IFERROR(IF([1]对账明细接口!$K$101=0,"",[1]对账明细接口!$K$101),"")</f>
        <v/>
      </c>
      <c r="L101" s="16" t="str">
        <f>IFERROR(IF([1]对账明细接口!$L$101=0,"",[1]对账明细接口!$L$101),"")</f>
        <v/>
      </c>
      <c r="M101" s="16" t="str">
        <f>IFERROR(IF([1]对账明细接口!$M$101=0,"",[1]对账明细接口!$M$101),"")</f>
        <v/>
      </c>
      <c r="N101" s="19">
        <f t="shared" si="2"/>
        <v>1</v>
      </c>
      <c r="O101" s="19">
        <f t="shared" si="3"/>
        <v>98</v>
      </c>
      <c r="S101" s="20" t="str">
        <f>IFERROR(IF([1]对账明细接口!$N101=0,"",[1]对账明细接口!$N101),"")</f>
        <v>自备一次性筐</v>
      </c>
      <c r="T101" s="21" t="str">
        <f>IFERROR(IF([1]对账明细接口!$O101=0,"",[1]对账明细接口!$O101),"")</f>
        <v/>
      </c>
      <c r="U101" s="21" t="str">
        <f>IFERROR(IF([1]对账明细接口!$P101=0,"",[1]对账明细接口!$P101),"")</f>
        <v/>
      </c>
      <c r="V101" s="21">
        <f>IFERROR(IF([1]对账明细接口!$Q101=0,"",[1]对账明细接口!$Q101),"")</f>
        <v>81</v>
      </c>
      <c r="W101" s="20" t="str">
        <f>IFERROR(IF([1]对账明细接口!$R101=0,"",[1]对账明细接口!$R101),"")</f>
        <v>苏M*7G796</v>
      </c>
      <c r="X101" s="20" t="str">
        <f>IFERROR(IF([1]对账明细接口!$S101=0,"",[1]对账明细接口!$S101),"")</f>
        <v>自备筐</v>
      </c>
      <c r="Y101" s="20" t="str">
        <f>IFERROR(IF([1]对账明细接口!$T101=0,"",[1]对账明细接口!$T101),"")</f>
        <v/>
      </c>
      <c r="Z101" s="24" t="str">
        <f>IFERROR(IF([1]对账明细接口!$U101=0,"",[1]对账明细接口!$U101),"")</f>
        <v/>
      </c>
      <c r="AA101" s="24" t="str">
        <f>IFERROR(IF([1]对账明细接口!$V101=0,"",[1]对账明细接口!$V101),"")</f>
        <v/>
      </c>
      <c r="AB101" s="20" t="str">
        <f>IFERROR(IF([1]对账明细接口!$W101=0,"",[1]对账明细接口!$W101),"")</f>
        <v/>
      </c>
      <c r="AC101" s="7" t="str">
        <f>IFERROR(IF([1]对账明细接口!$X101=0,"",[1]对账明细接口!$X101),"")</f>
        <v/>
      </c>
      <c r="AD101" s="7" t="str">
        <f>IFERROR(IF([1]对账明细接口!$Y101=0,"",[1]对账明细接口!$Y101),"")</f>
        <v/>
      </c>
      <c r="AE101" s="7" t="str">
        <f>IFERROR(IF([1]对账明细接口!$AA101=0,"",[1]对账明细接口!$AA101),"")</f>
        <v/>
      </c>
      <c r="AF101" s="7" t="str">
        <f>IFERROR(IF([1]对账明细接口!$AB101=0,"",[1]对账明细接口!$AB101),"")</f>
        <v/>
      </c>
      <c r="AG101" s="7" t="str">
        <f>IFERROR(IF([1]对账明细接口!$AC101=0,"",[1]对账明细接口!$AC101),"")</f>
        <v/>
      </c>
      <c r="AH101" s="7" t="str">
        <f>IFERROR(IF([1]对账明细接口!$AD101=0,"",[1]对账明细接口!$AD101),"")</f>
        <v/>
      </c>
      <c r="AI101" s="7" t="str">
        <f>IFERROR(IF([1]对账明细接口!$AE101=0,"",[1]对账明细接口!$AE101),"")</f>
        <v/>
      </c>
      <c r="AJ101" s="7" t="str">
        <f>IFERROR(IF([1]对账明细接口!$AF101=0,"",[1]对账明细接口!$AF101),"")</f>
        <v/>
      </c>
    </row>
    <row r="102" ht="14.25" customHeight="1" spans="1:36">
      <c r="A102" s="14">
        <v>102</v>
      </c>
      <c r="B102" s="15">
        <f>IFERROR(IF([1]对账明细接口!$B$102=0,"",[1]对账明细接口!$B$102),"")</f>
        <v>46257</v>
      </c>
      <c r="C102" s="16" t="str">
        <f>IFERROR(IF([1]对账明细接口!$C$102=0,"",[1]对账明细接口!$C$102),"")</f>
        <v>聂新平</v>
      </c>
      <c r="D102" s="16" t="str">
        <f>IFERROR(IF([1]对账明细接口!$D$102=0,"",[1]对账明细接口!$D$102),"")</f>
        <v>原料入库</v>
      </c>
      <c r="E102" s="16" t="str">
        <f>IFERROR(IF([1]对账明细接口!$E$102=0,"",[1]对账明细接口!$E$102),"")</f>
        <v>NO:0000716</v>
      </c>
      <c r="F102" s="16" t="str">
        <f>IFERROR(IF([1]对账明细接口!$F$102=0,"",[1]对账明细接口!$F$102),"")</f>
        <v>西梅</v>
      </c>
      <c r="G102" s="16" t="str">
        <f>IFERROR(IF([1]对账明细接口!$G$102=0,"",[1]对账明细接口!$G$102),"")</f>
        <v>西梅二级</v>
      </c>
      <c r="H102" s="17">
        <f>IFERROR(IF([1]对账明细接口!$H$102=0,"",[1]对账明细接口!$H$102),"")</f>
        <v>36</v>
      </c>
      <c r="I102" s="16" t="str">
        <f>IFERROR(IF([1]对账明细接口!$I$102=0,"",[1]对账明细接口!$I$102),"")</f>
        <v>筐</v>
      </c>
      <c r="J102" s="18">
        <f>IFERROR(IF([1]对账明细接口!$J$102=0,"",[1]对账明细接口!$J$102),"")</f>
        <v>432</v>
      </c>
      <c r="K102" s="18" t="str">
        <f>IFERROR(IF([1]对账明细接口!$K$102=0,"",[1]对账明细接口!$K$102),"")</f>
        <v/>
      </c>
      <c r="L102" s="16" t="str">
        <f>IFERROR(IF([1]对账明细接口!$L$102=0,"",[1]对账明细接口!$L$102),"")</f>
        <v/>
      </c>
      <c r="M102" s="16" t="str">
        <f>IFERROR(IF([1]对账明细接口!$M$102=0,"",[1]对账明细接口!$M$102),"")</f>
        <v/>
      </c>
      <c r="N102" s="19">
        <f t="shared" si="2"/>
        <v>1</v>
      </c>
      <c r="O102" s="19">
        <f t="shared" si="3"/>
        <v>99</v>
      </c>
      <c r="S102" s="20" t="str">
        <f>IFERROR(IF([1]对账明细接口!$N102=0,"",[1]对账明细接口!$N102),"")</f>
        <v>自备一次性筐</v>
      </c>
      <c r="T102" s="21" t="str">
        <f>IFERROR(IF([1]对账明细接口!$O102=0,"",[1]对账明细接口!$O102),"")</f>
        <v/>
      </c>
      <c r="U102" s="21" t="str">
        <f>IFERROR(IF([1]对账明细接口!$P102=0,"",[1]对账明细接口!$P102),"")</f>
        <v/>
      </c>
      <c r="V102" s="21">
        <f>IFERROR(IF([1]对账明细接口!$Q102=0,"",[1]对账明细接口!$Q102),"")</f>
        <v>36</v>
      </c>
      <c r="W102" s="20" t="str">
        <f>IFERROR(IF([1]对账明细接口!$R102=0,"",[1]对账明细接口!$R102),"")</f>
        <v>苏M*7G796</v>
      </c>
      <c r="X102" s="20" t="str">
        <f>IFERROR(IF([1]对账明细接口!$S102=0,"",[1]对账明细接口!$S102),"")</f>
        <v>自备筐</v>
      </c>
      <c r="Y102" s="20" t="str">
        <f>IFERROR(IF([1]对账明细接口!$T102=0,"",[1]对账明细接口!$T102),"")</f>
        <v/>
      </c>
      <c r="Z102" s="24" t="str">
        <f>IFERROR(IF([1]对账明细接口!$U102=0,"",[1]对账明细接口!$U102),"")</f>
        <v/>
      </c>
      <c r="AA102" s="24" t="str">
        <f>IFERROR(IF([1]对账明细接口!$V102=0,"",[1]对账明细接口!$V102),"")</f>
        <v/>
      </c>
      <c r="AB102" s="20" t="str">
        <f>IFERROR(IF([1]对账明细接口!$W102=0,"",[1]对账明细接口!$W102),"")</f>
        <v/>
      </c>
      <c r="AC102" s="7" t="str">
        <f>IFERROR(IF([1]对账明细接口!$X102=0,"",[1]对账明细接口!$X102),"")</f>
        <v/>
      </c>
      <c r="AD102" s="7" t="str">
        <f>IFERROR(IF([1]对账明细接口!$Y102=0,"",[1]对账明细接口!$Y102),"")</f>
        <v/>
      </c>
      <c r="AE102" s="7" t="str">
        <f>IFERROR(IF([1]对账明细接口!$AA102=0,"",[1]对账明细接口!$AA102),"")</f>
        <v/>
      </c>
      <c r="AF102" s="7" t="str">
        <f>IFERROR(IF([1]对账明细接口!$AB102=0,"",[1]对账明细接口!$AB102),"")</f>
        <v/>
      </c>
      <c r="AG102" s="7" t="str">
        <f>IFERROR(IF([1]对账明细接口!$AC102=0,"",[1]对账明细接口!$AC102),"")</f>
        <v/>
      </c>
      <c r="AH102" s="7" t="str">
        <f>IFERROR(IF([1]对账明细接口!$AD102=0,"",[1]对账明细接口!$AD102),"")</f>
        <v/>
      </c>
      <c r="AI102" s="7" t="str">
        <f>IFERROR(IF([1]对账明细接口!$AE102=0,"",[1]对账明细接口!$AE102),"")</f>
        <v/>
      </c>
      <c r="AJ102" s="7" t="str">
        <f>IFERROR(IF([1]对账明细接口!$AF102=0,"",[1]对账明细接口!$AF102),"")</f>
        <v/>
      </c>
    </row>
    <row r="103" ht="14.25" customHeight="1" spans="1:36">
      <c r="A103" s="14">
        <v>103</v>
      </c>
      <c r="B103" s="15">
        <f>IFERROR(IF([1]对账明细接口!$B$103=0,"",[1]对账明细接口!$B$103),"")</f>
        <v>46257</v>
      </c>
      <c r="C103" s="16" t="str">
        <f>IFERROR(IF([1]对账明细接口!$C$103=0,"",[1]对账明细接口!$C$103),"")</f>
        <v>聂新平</v>
      </c>
      <c r="D103" s="16" t="str">
        <f>IFERROR(IF([1]对账明细接口!$D$103=0,"",[1]对账明细接口!$D$103),"")</f>
        <v>原料入库</v>
      </c>
      <c r="E103" s="16" t="str">
        <f>IFERROR(IF([1]对账明细接口!$E$103=0,"",[1]对账明细接口!$E$103),"")</f>
        <v>NO:0000716</v>
      </c>
      <c r="F103" s="16" t="str">
        <f>IFERROR(IF([1]对账明细接口!$F$103=0,"",[1]对账明细接口!$F$103),"")</f>
        <v>西梅</v>
      </c>
      <c r="G103" s="16" t="str">
        <f>IFERROR(IF([1]对账明细接口!$G$103=0,"",[1]对账明细接口!$G$103),"")</f>
        <v>西梅三级</v>
      </c>
      <c r="H103" s="17">
        <f>IFERROR(IF([1]对账明细接口!$H$103=0,"",[1]对账明细接口!$H$103),"")</f>
        <v>13</v>
      </c>
      <c r="I103" s="16" t="str">
        <f>IFERROR(IF([1]对账明细接口!$I$103=0,"",[1]对账明细接口!$I$103),"")</f>
        <v>筐</v>
      </c>
      <c r="J103" s="18">
        <f>IFERROR(IF([1]对账明细接口!$J$103=0,"",[1]对账明细接口!$J$103),"")</f>
        <v>26</v>
      </c>
      <c r="K103" s="18" t="str">
        <f>IFERROR(IF([1]对账明细接口!$K$103=0,"",[1]对账明细接口!$K$103),"")</f>
        <v/>
      </c>
      <c r="L103" s="16" t="str">
        <f>IFERROR(IF([1]对账明细接口!$L$103=0,"",[1]对账明细接口!$L$103),"")</f>
        <v/>
      </c>
      <c r="M103" s="16" t="str">
        <f>IFERROR(IF([1]对账明细接口!$M$103=0,"",[1]对账明细接口!$M$103),"")</f>
        <v/>
      </c>
      <c r="N103" s="19">
        <f t="shared" si="2"/>
        <v>1</v>
      </c>
      <c r="O103" s="19">
        <f t="shared" si="3"/>
        <v>100</v>
      </c>
      <c r="S103" s="20" t="str">
        <f>IFERROR(IF([1]对账明细接口!$N103=0,"",[1]对账明细接口!$N103),"")</f>
        <v>自备一次性筐</v>
      </c>
      <c r="T103" s="21" t="str">
        <f>IFERROR(IF([1]对账明细接口!$O103=0,"",[1]对账明细接口!$O103),"")</f>
        <v/>
      </c>
      <c r="U103" s="21" t="str">
        <f>IFERROR(IF([1]对账明细接口!$P103=0,"",[1]对账明细接口!$P103),"")</f>
        <v/>
      </c>
      <c r="V103" s="21">
        <f>IFERROR(IF([1]对账明细接口!$Q103=0,"",[1]对账明细接口!$Q103),"")</f>
        <v>13</v>
      </c>
      <c r="W103" s="20" t="str">
        <f>IFERROR(IF([1]对账明细接口!$R103=0,"",[1]对账明细接口!$R103),"")</f>
        <v>苏M*7G796</v>
      </c>
      <c r="X103" s="20" t="str">
        <f>IFERROR(IF([1]对账明细接口!$S103=0,"",[1]对账明细接口!$S103),"")</f>
        <v>自备筐</v>
      </c>
      <c r="Y103" s="20" t="str">
        <f>IFERROR(IF([1]对账明细接口!$T103=0,"",[1]对账明细接口!$T103),"")</f>
        <v/>
      </c>
      <c r="Z103" s="24" t="str">
        <f>IFERROR(IF([1]对账明细接口!$U103=0,"",[1]对账明细接口!$U103),"")</f>
        <v/>
      </c>
      <c r="AA103" s="24" t="str">
        <f>IFERROR(IF([1]对账明细接口!$V103=0,"",[1]对账明细接口!$V103),"")</f>
        <v/>
      </c>
      <c r="AB103" s="20" t="str">
        <f>IFERROR(IF([1]对账明细接口!$W103=0,"",[1]对账明细接口!$W103),"")</f>
        <v/>
      </c>
      <c r="AC103" s="7" t="str">
        <f>IFERROR(IF([1]对账明细接口!$X103=0,"",[1]对账明细接口!$X103),"")</f>
        <v/>
      </c>
      <c r="AD103" s="7" t="str">
        <f>IFERROR(IF([1]对账明细接口!$Y103=0,"",[1]对账明细接口!$Y103),"")</f>
        <v/>
      </c>
      <c r="AE103" s="7" t="str">
        <f>IFERROR(IF([1]对账明细接口!$AA103=0,"",[1]对账明细接口!$AA103),"")</f>
        <v/>
      </c>
      <c r="AF103" s="7" t="str">
        <f>IFERROR(IF([1]对账明细接口!$AB103=0,"",[1]对账明细接口!$AB103),"")</f>
        <v/>
      </c>
      <c r="AG103" s="7" t="str">
        <f>IFERROR(IF([1]对账明细接口!$AC103=0,"",[1]对账明细接口!$AC103),"")</f>
        <v/>
      </c>
      <c r="AH103" s="7" t="str">
        <f>IFERROR(IF([1]对账明细接口!$AD103=0,"",[1]对账明细接口!$AD103),"")</f>
        <v/>
      </c>
      <c r="AI103" s="7" t="str">
        <f>IFERROR(IF([1]对账明细接口!$AE103=0,"",[1]对账明细接口!$AE103),"")</f>
        <v/>
      </c>
      <c r="AJ103" s="7" t="str">
        <f>IFERROR(IF([1]对账明细接口!$AF103=0,"",[1]对账明细接口!$AF103),"")</f>
        <v/>
      </c>
    </row>
    <row r="104" ht="14.25" customHeight="1" spans="1:36">
      <c r="A104" s="14">
        <v>104</v>
      </c>
      <c r="B104" s="15">
        <f>IFERROR(IF([1]对账明细接口!$B$104=0,"",[1]对账明细接口!$B$104),"")</f>
        <v>46257</v>
      </c>
      <c r="C104" s="16" t="str">
        <f>IFERROR(IF([1]对账明细接口!$C$104=0,"",[1]对账明细接口!$C$104),"")</f>
        <v>聂新平</v>
      </c>
      <c r="D104" s="16" t="str">
        <f>IFERROR(IF([1]对账明细接口!$D$104=0,"",[1]对账明细接口!$D$104),"")</f>
        <v>原料入库</v>
      </c>
      <c r="E104" s="16" t="str">
        <f>IFERROR(IF([1]对账明细接口!$E$104=0,"",[1]对账明细接口!$E$104),"")</f>
        <v>NO:0000717</v>
      </c>
      <c r="F104" s="16" t="str">
        <f>IFERROR(IF([1]对账明细接口!$F$104=0,"",[1]对账明细接口!$F$104),"")</f>
        <v>西梅</v>
      </c>
      <c r="G104" s="16" t="str">
        <f>IFERROR(IF([1]对账明细接口!$G$104=0,"",[1]对账明细接口!$G$104),"")</f>
        <v>西梅一级</v>
      </c>
      <c r="H104" s="17">
        <f>IFERROR(IF([1]对账明细接口!$H$104=0,"",[1]对账明细接口!$H$104),"")</f>
        <v>73</v>
      </c>
      <c r="I104" s="16" t="str">
        <f>IFERROR(IF([1]对账明细接口!$I$104=0,"",[1]对账明细接口!$I$104),"")</f>
        <v>筐</v>
      </c>
      <c r="J104" s="18">
        <f>IFERROR(IF([1]对账明细接口!$J$104=0,"",[1]对账明细接口!$J$104),"")</f>
        <v>511</v>
      </c>
      <c r="K104" s="18" t="str">
        <f>IFERROR(IF([1]对账明细接口!$K$104=0,"",[1]对账明细接口!$K$104),"")</f>
        <v/>
      </c>
      <c r="L104" s="16" t="str">
        <f>IFERROR(IF([1]对账明细接口!$L$104=0,"",[1]对账明细接口!$L$104),"")</f>
        <v/>
      </c>
      <c r="M104" s="16" t="str">
        <f>IFERROR(IF([1]对账明细接口!$M$104=0,"",[1]对账明细接口!$M$104),"")</f>
        <v/>
      </c>
      <c r="N104" s="19">
        <f t="shared" si="2"/>
        <v>1</v>
      </c>
      <c r="O104" s="19">
        <f t="shared" si="3"/>
        <v>101</v>
      </c>
      <c r="S104" s="20" t="str">
        <f>IFERROR(IF([1]对账明细接口!$N104=0,"",[1]对账明细接口!$N104),"")</f>
        <v>自备一次性筐</v>
      </c>
      <c r="T104" s="21" t="str">
        <f>IFERROR(IF([1]对账明细接口!$O104=0,"",[1]对账明细接口!$O104),"")</f>
        <v/>
      </c>
      <c r="U104" s="21" t="str">
        <f>IFERROR(IF([1]对账明细接口!$P104=0,"",[1]对账明细接口!$P104),"")</f>
        <v/>
      </c>
      <c r="V104" s="21">
        <f>IFERROR(IF([1]对账明细接口!$Q104=0,"",[1]对账明细接口!$Q104),"")</f>
        <v>73</v>
      </c>
      <c r="W104" s="20" t="str">
        <f>IFERROR(IF([1]对账明细接口!$R104=0,"",[1]对账明细接口!$R104),"")</f>
        <v>新N*SQ607</v>
      </c>
      <c r="X104" s="20" t="str">
        <f>IFERROR(IF([1]对账明细接口!$S104=0,"",[1]对账明细接口!$S104),"")</f>
        <v>自备筐</v>
      </c>
      <c r="Y104" s="20" t="str">
        <f>IFERROR(IF([1]对账明细接口!$T104=0,"",[1]对账明细接口!$T104),"")</f>
        <v/>
      </c>
      <c r="Z104" s="24" t="str">
        <f>IFERROR(IF([1]对账明细接口!$U104=0,"",[1]对账明细接口!$U104),"")</f>
        <v/>
      </c>
      <c r="AA104" s="24" t="str">
        <f>IFERROR(IF([1]对账明细接口!$V104=0,"",[1]对账明细接口!$V104),"")</f>
        <v/>
      </c>
      <c r="AB104" s="20" t="str">
        <f>IFERROR(IF([1]对账明细接口!$W104=0,"",[1]对账明细接口!$W104),"")</f>
        <v/>
      </c>
      <c r="AC104" s="7" t="str">
        <f>IFERROR(IF([1]对账明细接口!$X104=0,"",[1]对账明细接口!$X104),"")</f>
        <v/>
      </c>
      <c r="AD104" s="7" t="str">
        <f>IFERROR(IF([1]对账明细接口!$Y104=0,"",[1]对账明细接口!$Y104),"")</f>
        <v/>
      </c>
      <c r="AE104" s="7" t="str">
        <f>IFERROR(IF([1]对账明细接口!$AA104=0,"",[1]对账明细接口!$AA104),"")</f>
        <v/>
      </c>
      <c r="AF104" s="7" t="str">
        <f>IFERROR(IF([1]对账明细接口!$AB104=0,"",[1]对账明细接口!$AB104),"")</f>
        <v/>
      </c>
      <c r="AG104" s="7" t="str">
        <f>IFERROR(IF([1]对账明细接口!$AC104=0,"",[1]对账明细接口!$AC104),"")</f>
        <v/>
      </c>
      <c r="AH104" s="7" t="str">
        <f>IFERROR(IF([1]对账明细接口!$AD104=0,"",[1]对账明细接口!$AD104),"")</f>
        <v/>
      </c>
      <c r="AI104" s="7" t="str">
        <f>IFERROR(IF([1]对账明细接口!$AE104=0,"",[1]对账明细接口!$AE104),"")</f>
        <v/>
      </c>
      <c r="AJ104" s="7" t="str">
        <f>IFERROR(IF([1]对账明细接口!$AF104=0,"",[1]对账明细接口!$AF104),"")</f>
        <v/>
      </c>
    </row>
    <row r="105" ht="14.25" customHeight="1" spans="1:36">
      <c r="A105" s="14">
        <v>105</v>
      </c>
      <c r="B105" s="15">
        <f>IFERROR(IF([1]对账明细接口!$B$105=0,"",[1]对账明细接口!$B$105),"")</f>
        <v>46257</v>
      </c>
      <c r="C105" s="16" t="str">
        <f>IFERROR(IF([1]对账明细接口!$C$105=0,"",[1]对账明细接口!$C$105),"")</f>
        <v>聂新平</v>
      </c>
      <c r="D105" s="16" t="str">
        <f>IFERROR(IF([1]对账明细接口!$D$105=0,"",[1]对账明细接口!$D$105),"")</f>
        <v>原料入库</v>
      </c>
      <c r="E105" s="16" t="str">
        <f>IFERROR(IF([1]对账明细接口!$E$105=0,"",[1]对账明细接口!$E$105),"")</f>
        <v>NO:0000717</v>
      </c>
      <c r="F105" s="16" t="str">
        <f>IFERROR(IF([1]对账明细接口!$F$105=0,"",[1]对账明细接口!$F$105),"")</f>
        <v>西梅</v>
      </c>
      <c r="G105" s="16" t="str">
        <f>IFERROR(IF([1]对账明细接口!$G$105=0,"",[1]对账明细接口!$G$105),"")</f>
        <v>西梅二级</v>
      </c>
      <c r="H105" s="17">
        <f>IFERROR(IF([1]对账明细接口!$H$105=0,"",[1]对账明细接口!$H$105),"")</f>
        <v>140</v>
      </c>
      <c r="I105" s="16" t="str">
        <f>IFERROR(IF([1]对账明细接口!$I$105=0,"",[1]对账明细接口!$I$105),"")</f>
        <v>筐</v>
      </c>
      <c r="J105" s="18">
        <f>IFERROR(IF([1]对账明细接口!$J$105=0,"",[1]对账明细接口!$J$105),"")</f>
        <v>1680</v>
      </c>
      <c r="K105" s="18" t="str">
        <f>IFERROR(IF([1]对账明细接口!$K$105=0,"",[1]对账明细接口!$K$105),"")</f>
        <v/>
      </c>
      <c r="L105" s="16" t="str">
        <f>IFERROR(IF([1]对账明细接口!$L$105=0,"",[1]对账明细接口!$L$105),"")</f>
        <v/>
      </c>
      <c r="M105" s="16" t="str">
        <f>IFERROR(IF([1]对账明细接口!$M$105=0,"",[1]对账明细接口!$M$105),"")</f>
        <v/>
      </c>
      <c r="N105" s="19">
        <f t="shared" si="2"/>
        <v>1</v>
      </c>
      <c r="O105" s="19">
        <f t="shared" si="3"/>
        <v>102</v>
      </c>
      <c r="S105" s="20" t="str">
        <f>IFERROR(IF([1]对账明细接口!$N105=0,"",[1]对账明细接口!$N105),"")</f>
        <v>自备一次性筐</v>
      </c>
      <c r="T105" s="21" t="str">
        <f>IFERROR(IF([1]对账明细接口!$O105=0,"",[1]对账明细接口!$O105),"")</f>
        <v/>
      </c>
      <c r="U105" s="21" t="str">
        <f>IFERROR(IF([1]对账明细接口!$P105=0,"",[1]对账明细接口!$P105),"")</f>
        <v/>
      </c>
      <c r="V105" s="21">
        <f>IFERROR(IF([1]对账明细接口!$Q105=0,"",[1]对账明细接口!$Q105),"")</f>
        <v>140</v>
      </c>
      <c r="W105" s="20" t="str">
        <f>IFERROR(IF([1]对账明细接口!$R105=0,"",[1]对账明细接口!$R105),"")</f>
        <v>新N*SQ607</v>
      </c>
      <c r="X105" s="20" t="str">
        <f>IFERROR(IF([1]对账明细接口!$S105=0,"",[1]对账明细接口!$S105),"")</f>
        <v>自备筐</v>
      </c>
      <c r="Y105" s="20" t="str">
        <f>IFERROR(IF([1]对账明细接口!$T105=0,"",[1]对账明细接口!$T105),"")</f>
        <v/>
      </c>
      <c r="Z105" s="24" t="str">
        <f>IFERROR(IF([1]对账明细接口!$U105=0,"",[1]对账明细接口!$U105),"")</f>
        <v/>
      </c>
      <c r="AA105" s="24" t="str">
        <f>IFERROR(IF([1]对账明细接口!$V105=0,"",[1]对账明细接口!$V105),"")</f>
        <v/>
      </c>
      <c r="AB105" s="20" t="str">
        <f>IFERROR(IF([1]对账明细接口!$W105=0,"",[1]对账明细接口!$W105),"")</f>
        <v/>
      </c>
      <c r="AC105" s="7" t="str">
        <f>IFERROR(IF([1]对账明细接口!$X105=0,"",[1]对账明细接口!$X105),"")</f>
        <v/>
      </c>
      <c r="AD105" s="7" t="str">
        <f>IFERROR(IF([1]对账明细接口!$Y105=0,"",[1]对账明细接口!$Y105),"")</f>
        <v/>
      </c>
      <c r="AE105" s="7" t="str">
        <f>IFERROR(IF([1]对账明细接口!$AA105=0,"",[1]对账明细接口!$AA105),"")</f>
        <v/>
      </c>
      <c r="AF105" s="7" t="str">
        <f>IFERROR(IF([1]对账明细接口!$AB105=0,"",[1]对账明细接口!$AB105),"")</f>
        <v/>
      </c>
      <c r="AG105" s="7" t="str">
        <f>IFERROR(IF([1]对账明细接口!$AC105=0,"",[1]对账明细接口!$AC105),"")</f>
        <v/>
      </c>
      <c r="AH105" s="7" t="str">
        <f>IFERROR(IF([1]对账明细接口!$AD105=0,"",[1]对账明细接口!$AD105),"")</f>
        <v/>
      </c>
      <c r="AI105" s="7" t="str">
        <f>IFERROR(IF([1]对账明细接口!$AE105=0,"",[1]对账明细接口!$AE105),"")</f>
        <v/>
      </c>
      <c r="AJ105" s="7" t="str">
        <f>IFERROR(IF([1]对账明细接口!$AF105=0,"",[1]对账明细接口!$AF105),"")</f>
        <v/>
      </c>
    </row>
    <row r="106" ht="14.25" customHeight="1" spans="1:36">
      <c r="A106" s="14">
        <v>106</v>
      </c>
      <c r="B106" s="15">
        <f>IFERROR(IF([1]对账明细接口!$B$106=0,"",[1]对账明细接口!$B$106),"")</f>
        <v>46257</v>
      </c>
      <c r="C106" s="16" t="str">
        <f>IFERROR(IF([1]对账明细接口!$C$106=0,"",[1]对账明细接口!$C$106),"")</f>
        <v>聂新平</v>
      </c>
      <c r="D106" s="16" t="str">
        <f>IFERROR(IF([1]对账明细接口!$D$106=0,"",[1]对账明细接口!$D$106),"")</f>
        <v>原料入库</v>
      </c>
      <c r="E106" s="16" t="str">
        <f>IFERROR(IF([1]对账明细接口!$E$106=0,"",[1]对账明细接口!$E$106),"")</f>
        <v>NO:0000717</v>
      </c>
      <c r="F106" s="16" t="str">
        <f>IFERROR(IF([1]对账明细接口!$F$106=0,"",[1]对账明细接口!$F$106),"")</f>
        <v>西梅</v>
      </c>
      <c r="G106" s="16" t="str">
        <f>IFERROR(IF([1]对账明细接口!$G$106=0,"",[1]对账明细接口!$G$106),"")</f>
        <v>西梅三级</v>
      </c>
      <c r="H106" s="17">
        <f>IFERROR(IF([1]对账明细接口!$H$106=0,"",[1]对账明细接口!$H$106),"")</f>
        <v>354</v>
      </c>
      <c r="I106" s="16" t="str">
        <f>IFERROR(IF([1]对账明细接口!$I$106=0,"",[1]对账明细接口!$I$106),"")</f>
        <v>筐</v>
      </c>
      <c r="J106" s="18">
        <f>IFERROR(IF([1]对账明细接口!$J$106=0,"",[1]对账明细接口!$J$106),"")</f>
        <v>708</v>
      </c>
      <c r="K106" s="18" t="str">
        <f>IFERROR(IF([1]对账明细接口!$K$106=0,"",[1]对账明细接口!$K$106),"")</f>
        <v/>
      </c>
      <c r="L106" s="16" t="str">
        <f>IFERROR(IF([1]对账明细接口!$L$106=0,"",[1]对账明细接口!$L$106),"")</f>
        <v/>
      </c>
      <c r="M106" s="16" t="str">
        <f>IFERROR(IF([1]对账明细接口!$M$106=0,"",[1]对账明细接口!$M$106),"")</f>
        <v/>
      </c>
      <c r="N106" s="19">
        <f t="shared" si="2"/>
        <v>1</v>
      </c>
      <c r="O106" s="19">
        <f t="shared" si="3"/>
        <v>103</v>
      </c>
      <c r="S106" s="20" t="str">
        <f>IFERROR(IF([1]对账明细接口!$N106=0,"",[1]对账明细接口!$N106),"")</f>
        <v>自备一次性筐</v>
      </c>
      <c r="T106" s="21" t="str">
        <f>IFERROR(IF([1]对账明细接口!$O106=0,"",[1]对账明细接口!$O106),"")</f>
        <v/>
      </c>
      <c r="U106" s="21" t="str">
        <f>IFERROR(IF([1]对账明细接口!$P106=0,"",[1]对账明细接口!$P106),"")</f>
        <v/>
      </c>
      <c r="V106" s="21">
        <f>IFERROR(IF([1]对账明细接口!$Q106=0,"",[1]对账明细接口!$Q106),"")</f>
        <v>354</v>
      </c>
      <c r="W106" s="20" t="str">
        <f>IFERROR(IF([1]对账明细接口!$R106=0,"",[1]对账明细接口!$R106),"")</f>
        <v>新N*SQ607</v>
      </c>
      <c r="X106" s="20" t="str">
        <f>IFERROR(IF([1]对账明细接口!$S106=0,"",[1]对账明细接口!$S106),"")</f>
        <v>自备筐</v>
      </c>
      <c r="Y106" s="20" t="str">
        <f>IFERROR(IF([1]对账明细接口!$T106=0,"",[1]对账明细接口!$T106),"")</f>
        <v/>
      </c>
      <c r="Z106" s="24" t="str">
        <f>IFERROR(IF([1]对账明细接口!$U106=0,"",[1]对账明细接口!$U106),"")</f>
        <v/>
      </c>
      <c r="AA106" s="24" t="str">
        <f>IFERROR(IF([1]对账明细接口!$V106=0,"",[1]对账明细接口!$V106),"")</f>
        <v/>
      </c>
      <c r="AB106" s="20" t="str">
        <f>IFERROR(IF([1]对账明细接口!$W106=0,"",[1]对账明细接口!$W106),"")</f>
        <v/>
      </c>
      <c r="AC106" s="7" t="str">
        <f>IFERROR(IF([1]对账明细接口!$X106=0,"",[1]对账明细接口!$X106),"")</f>
        <v/>
      </c>
      <c r="AD106" s="7" t="str">
        <f>IFERROR(IF([1]对账明细接口!$Y106=0,"",[1]对账明细接口!$Y106),"")</f>
        <v/>
      </c>
      <c r="AE106" s="7" t="str">
        <f>IFERROR(IF([1]对账明细接口!$AA106=0,"",[1]对账明细接口!$AA106),"")</f>
        <v/>
      </c>
      <c r="AF106" s="7" t="str">
        <f>IFERROR(IF([1]对账明细接口!$AB106=0,"",[1]对账明细接口!$AB106),"")</f>
        <v/>
      </c>
      <c r="AG106" s="7" t="str">
        <f>IFERROR(IF([1]对账明细接口!$AC106=0,"",[1]对账明细接口!$AC106),"")</f>
        <v/>
      </c>
      <c r="AH106" s="7" t="str">
        <f>IFERROR(IF([1]对账明细接口!$AD106=0,"",[1]对账明细接口!$AD106),"")</f>
        <v/>
      </c>
      <c r="AI106" s="7" t="str">
        <f>IFERROR(IF([1]对账明细接口!$AE106=0,"",[1]对账明细接口!$AE106),"")</f>
        <v/>
      </c>
      <c r="AJ106" s="7" t="str">
        <f>IFERROR(IF([1]对账明细接口!$AF106=0,"",[1]对账明细接口!$AF106),"")</f>
        <v/>
      </c>
    </row>
    <row r="107" ht="14.25" customHeight="1" spans="1:36">
      <c r="A107" s="14">
        <v>107</v>
      </c>
      <c r="B107" s="15">
        <f>IFERROR(IF([1]对账明细接口!$B$107=0,"",[1]对账明细接口!$B$107),"")</f>
        <v>46258</v>
      </c>
      <c r="C107" s="16" t="str">
        <f>IFERROR(IF([1]对账明细接口!$C$107=0,"",[1]对账明细接口!$C$107),"")</f>
        <v>聂新平</v>
      </c>
      <c r="D107" s="16" t="str">
        <f>IFERROR(IF([1]对账明细接口!$D$107=0,"",[1]对账明细接口!$D$107),"")</f>
        <v>原料入库</v>
      </c>
      <c r="E107" s="16" t="str">
        <f>IFERROR(IF([1]对账明细接口!$E$107=0,"",[1]对账明细接口!$E$107),"")</f>
        <v>NO:0000720</v>
      </c>
      <c r="F107" s="16" t="str">
        <f>IFERROR(IF([1]对账明细接口!$F$107=0,"",[1]对账明细接口!$F$107),"")</f>
        <v>西梅</v>
      </c>
      <c r="G107" s="16" t="str">
        <f>IFERROR(IF([1]对账明细接口!$G$107=0,"",[1]对账明细接口!$G$107),"")</f>
        <v>西梅一级</v>
      </c>
      <c r="H107" s="17">
        <f>IFERROR(IF([1]对账明细接口!$H$107=0,"",[1]对账明细接口!$H$107),"")</f>
        <v>81</v>
      </c>
      <c r="I107" s="16" t="str">
        <f>IFERROR(IF([1]对账明细接口!$I$107=0,"",[1]对账明细接口!$I$107),"")</f>
        <v>筐</v>
      </c>
      <c r="J107" s="18">
        <f>IFERROR(IF([1]对账明细接口!$J$107=0,"",[1]对账明细接口!$J$107),"")</f>
        <v>567</v>
      </c>
      <c r="K107" s="18" t="str">
        <f>IFERROR(IF([1]对账明细接口!$K$107=0,"",[1]对账明细接口!$K$107),"")</f>
        <v/>
      </c>
      <c r="L107" s="16" t="str">
        <f>IFERROR(IF([1]对账明细接口!$L$107=0,"",[1]对账明细接口!$L$107),"")</f>
        <v/>
      </c>
      <c r="M107" s="16" t="str">
        <f>IFERROR(IF([1]对账明细接口!$M$107=0,"",[1]对账明细接口!$M$107),"")</f>
        <v/>
      </c>
      <c r="N107" s="19">
        <f t="shared" si="2"/>
        <v>1</v>
      </c>
      <c r="O107" s="19">
        <f t="shared" si="3"/>
        <v>104</v>
      </c>
      <c r="S107" s="20" t="str">
        <f>IFERROR(IF([1]对账明细接口!$N107=0,"",[1]对账明细接口!$N107),"")</f>
        <v>自备一次性筐</v>
      </c>
      <c r="T107" s="21" t="str">
        <f>IFERROR(IF([1]对账明细接口!$O107=0,"",[1]对账明细接口!$O107),"")</f>
        <v/>
      </c>
      <c r="U107" s="21" t="str">
        <f>IFERROR(IF([1]对账明细接口!$P107=0,"",[1]对账明细接口!$P107),"")</f>
        <v/>
      </c>
      <c r="V107" s="21">
        <f>IFERROR(IF([1]对账明细接口!$Q107=0,"",[1]对账明细接口!$Q107),"")</f>
        <v>81</v>
      </c>
      <c r="W107" s="20" t="str">
        <f>IFERROR(IF([1]对账明细接口!$R107=0,"",[1]对账明细接口!$R107),"")</f>
        <v>苏M*7G796</v>
      </c>
      <c r="X107" s="20" t="str">
        <f>IFERROR(IF([1]对账明细接口!$S107=0,"",[1]对账明细接口!$S107),"")</f>
        <v>自备筐</v>
      </c>
      <c r="Y107" s="20" t="str">
        <f>IFERROR(IF([1]对账明细接口!$T107=0,"",[1]对账明细接口!$T107),"")</f>
        <v/>
      </c>
      <c r="Z107" s="24" t="str">
        <f>IFERROR(IF([1]对账明细接口!$U107=0,"",[1]对账明细接口!$U107),"")</f>
        <v/>
      </c>
      <c r="AA107" s="24" t="str">
        <f>IFERROR(IF([1]对账明细接口!$V107=0,"",[1]对账明细接口!$V107),"")</f>
        <v/>
      </c>
      <c r="AB107" s="20" t="str">
        <f>IFERROR(IF([1]对账明细接口!$W107=0,"",[1]对账明细接口!$W107),"")</f>
        <v/>
      </c>
      <c r="AC107" s="7" t="str">
        <f>IFERROR(IF([1]对账明细接口!$X107=0,"",[1]对账明细接口!$X107),"")</f>
        <v/>
      </c>
      <c r="AD107" s="7" t="str">
        <f>IFERROR(IF([1]对账明细接口!$Y107=0,"",[1]对账明细接口!$Y107),"")</f>
        <v/>
      </c>
      <c r="AE107" s="7" t="str">
        <f>IFERROR(IF([1]对账明细接口!$AA107=0,"",[1]对账明细接口!$AA107),"")</f>
        <v/>
      </c>
      <c r="AF107" s="7" t="str">
        <f>IFERROR(IF([1]对账明细接口!$AB107=0,"",[1]对账明细接口!$AB107),"")</f>
        <v/>
      </c>
      <c r="AG107" s="7" t="str">
        <f>IFERROR(IF([1]对账明细接口!$AC107=0,"",[1]对账明细接口!$AC107),"")</f>
        <v/>
      </c>
      <c r="AH107" s="7" t="str">
        <f>IFERROR(IF([1]对账明细接口!$AD107=0,"",[1]对账明细接口!$AD107),"")</f>
        <v/>
      </c>
      <c r="AI107" s="7" t="str">
        <f>IFERROR(IF([1]对账明细接口!$AE107=0,"",[1]对账明细接口!$AE107),"")</f>
        <v/>
      </c>
      <c r="AJ107" s="7" t="str">
        <f>IFERROR(IF([1]对账明细接口!$AF107=0,"",[1]对账明细接口!$AF107),"")</f>
        <v/>
      </c>
    </row>
    <row r="108" ht="14.25" customHeight="1" spans="1:36">
      <c r="A108" s="14">
        <v>108</v>
      </c>
      <c r="B108" s="15">
        <f>IFERROR(IF([1]对账明细接口!$B$108=0,"",[1]对账明细接口!$B$108),"")</f>
        <v>46258</v>
      </c>
      <c r="C108" s="16" t="str">
        <f>IFERROR(IF([1]对账明细接口!$C$108=0,"",[1]对账明细接口!$C$108),"")</f>
        <v>聂新平</v>
      </c>
      <c r="D108" s="16" t="str">
        <f>IFERROR(IF([1]对账明细接口!$D$108=0,"",[1]对账明细接口!$D$108),"")</f>
        <v>原料入库</v>
      </c>
      <c r="E108" s="16" t="str">
        <f>IFERROR(IF([1]对账明细接口!$E$108=0,"",[1]对账明细接口!$E$108),"")</f>
        <v>NO:0000720</v>
      </c>
      <c r="F108" s="16" t="str">
        <f>IFERROR(IF([1]对账明细接口!$F$108=0,"",[1]对账明细接口!$F$108),"")</f>
        <v>西梅</v>
      </c>
      <c r="G108" s="16" t="str">
        <f>IFERROR(IF([1]对账明细接口!$G$108=0,"",[1]对账明细接口!$G$108),"")</f>
        <v>西梅二级</v>
      </c>
      <c r="H108" s="17">
        <f>IFERROR(IF([1]对账明细接口!$H$108=0,"",[1]对账明细接口!$H$108),"")</f>
        <v>43</v>
      </c>
      <c r="I108" s="16" t="str">
        <f>IFERROR(IF([1]对账明细接口!$I$108=0,"",[1]对账明细接口!$I$108),"")</f>
        <v>筐</v>
      </c>
      <c r="J108" s="18">
        <f>IFERROR(IF([1]对账明细接口!$J$108=0,"",[1]对账明细接口!$J$108),"")</f>
        <v>516</v>
      </c>
      <c r="K108" s="18" t="str">
        <f>IFERROR(IF([1]对账明细接口!$K$108=0,"",[1]对账明细接口!$K$108),"")</f>
        <v/>
      </c>
      <c r="L108" s="16" t="str">
        <f>IFERROR(IF([1]对账明细接口!$L$108=0,"",[1]对账明细接口!$L$108),"")</f>
        <v/>
      </c>
      <c r="M108" s="16" t="str">
        <f>IFERROR(IF([1]对账明细接口!$M$108=0,"",[1]对账明细接口!$M$108),"")</f>
        <v/>
      </c>
      <c r="N108" s="19">
        <f t="shared" si="2"/>
        <v>1</v>
      </c>
      <c r="O108" s="19">
        <f t="shared" si="3"/>
        <v>105</v>
      </c>
      <c r="S108" s="20" t="str">
        <f>IFERROR(IF([1]对账明细接口!$N108=0,"",[1]对账明细接口!$N108),"")</f>
        <v>自备一次性筐</v>
      </c>
      <c r="T108" s="21" t="str">
        <f>IFERROR(IF([1]对账明细接口!$O108=0,"",[1]对账明细接口!$O108),"")</f>
        <v/>
      </c>
      <c r="U108" s="21" t="str">
        <f>IFERROR(IF([1]对账明细接口!$P108=0,"",[1]对账明细接口!$P108),"")</f>
        <v/>
      </c>
      <c r="V108" s="21">
        <f>IFERROR(IF([1]对账明细接口!$Q108=0,"",[1]对账明细接口!$Q108),"")</f>
        <v>43</v>
      </c>
      <c r="W108" s="20" t="str">
        <f>IFERROR(IF([1]对账明细接口!$R108=0,"",[1]对账明细接口!$R108),"")</f>
        <v>苏M*7G796</v>
      </c>
      <c r="X108" s="20" t="str">
        <f>IFERROR(IF([1]对账明细接口!$S108=0,"",[1]对账明细接口!$S108),"")</f>
        <v>自备筐</v>
      </c>
      <c r="Y108" s="20" t="str">
        <f>IFERROR(IF([1]对账明细接口!$T108=0,"",[1]对账明细接口!$T108),"")</f>
        <v/>
      </c>
      <c r="Z108" s="24" t="str">
        <f>IFERROR(IF([1]对账明细接口!$U108=0,"",[1]对账明细接口!$U108),"")</f>
        <v/>
      </c>
      <c r="AA108" s="24" t="str">
        <f>IFERROR(IF([1]对账明细接口!$V108=0,"",[1]对账明细接口!$V108),"")</f>
        <v/>
      </c>
      <c r="AB108" s="20" t="str">
        <f>IFERROR(IF([1]对账明细接口!$W108=0,"",[1]对账明细接口!$W108),"")</f>
        <v/>
      </c>
      <c r="AC108" s="7" t="str">
        <f>IFERROR(IF([1]对账明细接口!$X108=0,"",[1]对账明细接口!$X108),"")</f>
        <v/>
      </c>
      <c r="AD108" s="7" t="str">
        <f>IFERROR(IF([1]对账明细接口!$Y108=0,"",[1]对账明细接口!$Y108),"")</f>
        <v/>
      </c>
      <c r="AE108" s="7" t="str">
        <f>IFERROR(IF([1]对账明细接口!$AA108=0,"",[1]对账明细接口!$AA108),"")</f>
        <v/>
      </c>
      <c r="AF108" s="7" t="str">
        <f>IFERROR(IF([1]对账明细接口!$AB108=0,"",[1]对账明细接口!$AB108),"")</f>
        <v/>
      </c>
      <c r="AG108" s="7" t="str">
        <f>IFERROR(IF([1]对账明细接口!$AC108=0,"",[1]对账明细接口!$AC108),"")</f>
        <v/>
      </c>
      <c r="AH108" s="7" t="str">
        <f>IFERROR(IF([1]对账明细接口!$AD108=0,"",[1]对账明细接口!$AD108),"")</f>
        <v/>
      </c>
      <c r="AI108" s="7" t="str">
        <f>IFERROR(IF([1]对账明细接口!$AE108=0,"",[1]对账明细接口!$AE108),"")</f>
        <v/>
      </c>
      <c r="AJ108" s="7" t="str">
        <f>IFERROR(IF([1]对账明细接口!$AF108=0,"",[1]对账明细接口!$AF108),"")</f>
        <v/>
      </c>
    </row>
    <row r="109" ht="14.25" customHeight="1" spans="1:36">
      <c r="A109" s="14">
        <v>109</v>
      </c>
      <c r="B109" s="15">
        <f>IFERROR(IF([1]对账明细接口!$B$109=0,"",[1]对账明细接口!$B$109),"")</f>
        <v>46258</v>
      </c>
      <c r="C109" s="16" t="str">
        <f>IFERROR(IF([1]对账明细接口!$C$109=0,"",[1]对账明细接口!$C$109),"")</f>
        <v>聂新平</v>
      </c>
      <c r="D109" s="16" t="str">
        <f>IFERROR(IF([1]对账明细接口!$D$109=0,"",[1]对账明细接口!$D$109),"")</f>
        <v>原料入库</v>
      </c>
      <c r="E109" s="16" t="str">
        <f>IFERROR(IF([1]对账明细接口!$E$109=0,"",[1]对账明细接口!$E$109),"")</f>
        <v>NO:0000722</v>
      </c>
      <c r="F109" s="16" t="str">
        <f>IFERROR(IF([1]对账明细接口!$F$109=0,"",[1]对账明细接口!$F$109),"")</f>
        <v>西梅</v>
      </c>
      <c r="G109" s="16" t="str">
        <f>IFERROR(IF([1]对账明细接口!$G$109=0,"",[1]对账明细接口!$G$109),"")</f>
        <v>西梅二级</v>
      </c>
      <c r="H109" s="17">
        <f>IFERROR(IF([1]对账明细接口!$H$109=0,"",[1]对账明细接口!$H$109),"")</f>
        <v>96</v>
      </c>
      <c r="I109" s="16" t="str">
        <f>IFERROR(IF([1]对账明细接口!$I$109=0,"",[1]对账明细接口!$I$109),"")</f>
        <v>筐</v>
      </c>
      <c r="J109" s="18">
        <f>IFERROR(IF([1]对账明细接口!$J$109=0,"",[1]对账明细接口!$J$109),"")</f>
        <v>1152</v>
      </c>
      <c r="K109" s="18" t="str">
        <f>IFERROR(IF([1]对账明细接口!$K$109=0,"",[1]对账明细接口!$K$109),"")</f>
        <v/>
      </c>
      <c r="L109" s="16" t="str">
        <f>IFERROR(IF([1]对账明细接口!$L$109=0,"",[1]对账明细接口!$L$109),"")</f>
        <v/>
      </c>
      <c r="M109" s="16" t="str">
        <f>IFERROR(IF([1]对账明细接口!$M$109=0,"",[1]对账明细接口!$M$109),"")</f>
        <v/>
      </c>
      <c r="N109" s="19">
        <f t="shared" si="2"/>
        <v>1</v>
      </c>
      <c r="O109" s="19">
        <f t="shared" si="3"/>
        <v>106</v>
      </c>
      <c r="S109" s="20" t="str">
        <f>IFERROR(IF([1]对账明细接口!$N109=0,"",[1]对账明细接口!$N109),"")</f>
        <v>自备一次性筐</v>
      </c>
      <c r="T109" s="21" t="str">
        <f>IFERROR(IF([1]对账明细接口!$O109=0,"",[1]对账明细接口!$O109),"")</f>
        <v/>
      </c>
      <c r="U109" s="21" t="str">
        <f>IFERROR(IF([1]对账明细接口!$P109=0,"",[1]对账明细接口!$P109),"")</f>
        <v/>
      </c>
      <c r="V109" s="21">
        <f>IFERROR(IF([1]对账明细接口!$Q109=0,"",[1]对账明细接口!$Q109),"")</f>
        <v>96</v>
      </c>
      <c r="W109" s="20" t="str">
        <f>IFERROR(IF([1]对账明细接口!$R109=0,"",[1]对账明细接口!$R109),"")</f>
        <v>苏M*7G796</v>
      </c>
      <c r="X109" s="20" t="str">
        <f>IFERROR(IF([1]对账明细接口!$S109=0,"",[1]对账明细接口!$S109),"")</f>
        <v>自备筐</v>
      </c>
      <c r="Y109" s="20" t="str">
        <f>IFERROR(IF([1]对账明细接口!$T109=0,"",[1]对账明细接口!$T109),"")</f>
        <v/>
      </c>
      <c r="Z109" s="24" t="str">
        <f>IFERROR(IF([1]对账明细接口!$U109=0,"",[1]对账明细接口!$U109),"")</f>
        <v/>
      </c>
      <c r="AA109" s="24" t="str">
        <f>IFERROR(IF([1]对账明细接口!$V109=0,"",[1]对账明细接口!$V109),"")</f>
        <v/>
      </c>
      <c r="AB109" s="20" t="str">
        <f>IFERROR(IF([1]对账明细接口!$W109=0,"",[1]对账明细接口!$W109),"")</f>
        <v/>
      </c>
      <c r="AC109" s="7" t="str">
        <f>IFERROR(IF([1]对账明细接口!$X109=0,"",[1]对账明细接口!$X109),"")</f>
        <v/>
      </c>
      <c r="AD109" s="7" t="str">
        <f>IFERROR(IF([1]对账明细接口!$Y109=0,"",[1]对账明细接口!$Y109),"")</f>
        <v/>
      </c>
      <c r="AE109" s="7" t="str">
        <f>IFERROR(IF([1]对账明细接口!$AA109=0,"",[1]对账明细接口!$AA109),"")</f>
        <v/>
      </c>
      <c r="AF109" s="7" t="str">
        <f>IFERROR(IF([1]对账明细接口!$AB109=0,"",[1]对账明细接口!$AB109),"")</f>
        <v/>
      </c>
      <c r="AG109" s="7" t="str">
        <f>IFERROR(IF([1]对账明细接口!$AC109=0,"",[1]对账明细接口!$AC109),"")</f>
        <v/>
      </c>
      <c r="AH109" s="7" t="str">
        <f>IFERROR(IF([1]对账明细接口!$AD109=0,"",[1]对账明细接口!$AD109),"")</f>
        <v/>
      </c>
      <c r="AI109" s="7" t="str">
        <f>IFERROR(IF([1]对账明细接口!$AE109=0,"",[1]对账明细接口!$AE109),"")</f>
        <v/>
      </c>
      <c r="AJ109" s="7" t="str">
        <f>IFERROR(IF([1]对账明细接口!$AF109=0,"",[1]对账明细接口!$AF109),"")</f>
        <v/>
      </c>
    </row>
    <row r="110" ht="14.25" customHeight="1" spans="1:36">
      <c r="A110" s="14">
        <v>110</v>
      </c>
      <c r="B110" s="15">
        <f>IFERROR(IF([1]对账明细接口!$B$110=0,"",[1]对账明细接口!$B$110),"")</f>
        <v>46258</v>
      </c>
      <c r="C110" s="16" t="str">
        <f>IFERROR(IF([1]对账明细接口!$C$110=0,"",[1]对账明细接口!$C$110),"")</f>
        <v>聂新平</v>
      </c>
      <c r="D110" s="16" t="str">
        <f>IFERROR(IF([1]对账明细接口!$D$110=0,"",[1]对账明细接口!$D$110),"")</f>
        <v>原料入库</v>
      </c>
      <c r="E110" s="16" t="str">
        <f>IFERROR(IF([1]对账明细接口!$E$110=0,"",[1]对账明细接口!$E$110),"")</f>
        <v>NO:0000722</v>
      </c>
      <c r="F110" s="16" t="str">
        <f>IFERROR(IF([1]对账明细接口!$F$110=0,"",[1]对账明细接口!$F$110),"")</f>
        <v>西梅</v>
      </c>
      <c r="G110" s="16" t="str">
        <f>IFERROR(IF([1]对账明细接口!$G$110=0,"",[1]对账明细接口!$G$110),"")</f>
        <v>西梅三级</v>
      </c>
      <c r="H110" s="17">
        <f>IFERROR(IF([1]对账明细接口!$H$110=0,"",[1]对账明细接口!$H$110),"")</f>
        <v>35</v>
      </c>
      <c r="I110" s="16" t="str">
        <f>IFERROR(IF([1]对账明细接口!$I$110=0,"",[1]对账明细接口!$I$110),"")</f>
        <v>筐</v>
      </c>
      <c r="J110" s="18">
        <f>IFERROR(IF([1]对账明细接口!$J$110=0,"",[1]对账明细接口!$J$110),"")</f>
        <v>70</v>
      </c>
      <c r="K110" s="18" t="str">
        <f>IFERROR(IF([1]对账明细接口!$K$110=0,"",[1]对账明细接口!$K$110),"")</f>
        <v/>
      </c>
      <c r="L110" s="16" t="str">
        <f>IFERROR(IF([1]对账明细接口!$L$110=0,"",[1]对账明细接口!$L$110),"")</f>
        <v/>
      </c>
      <c r="M110" s="16" t="str">
        <f>IFERROR(IF([1]对账明细接口!$M$110=0,"",[1]对账明细接口!$M$110),"")</f>
        <v/>
      </c>
      <c r="N110" s="19">
        <f t="shared" si="2"/>
        <v>1</v>
      </c>
      <c r="O110" s="19">
        <f t="shared" si="3"/>
        <v>107</v>
      </c>
      <c r="S110" s="20" t="str">
        <f>IFERROR(IF([1]对账明细接口!$N110=0,"",[1]对账明细接口!$N110),"")</f>
        <v>自备一次性筐</v>
      </c>
      <c r="T110" s="21" t="str">
        <f>IFERROR(IF([1]对账明细接口!$O110=0,"",[1]对账明细接口!$O110),"")</f>
        <v/>
      </c>
      <c r="U110" s="21" t="str">
        <f>IFERROR(IF([1]对账明细接口!$P110=0,"",[1]对账明细接口!$P110),"")</f>
        <v/>
      </c>
      <c r="V110" s="21">
        <f>IFERROR(IF([1]对账明细接口!$Q110=0,"",[1]对账明细接口!$Q110),"")</f>
        <v>35</v>
      </c>
      <c r="W110" s="20" t="str">
        <f>IFERROR(IF([1]对账明细接口!$R110=0,"",[1]对账明细接口!$R110),"")</f>
        <v>苏M*7G796</v>
      </c>
      <c r="X110" s="20" t="str">
        <f>IFERROR(IF([1]对账明细接口!$S110=0,"",[1]对账明细接口!$S110),"")</f>
        <v>自备筐</v>
      </c>
      <c r="Y110" s="20" t="str">
        <f>IFERROR(IF([1]对账明细接口!$T110=0,"",[1]对账明细接口!$T110),"")</f>
        <v/>
      </c>
      <c r="Z110" s="24" t="str">
        <f>IFERROR(IF([1]对账明细接口!$U110=0,"",[1]对账明细接口!$U110),"")</f>
        <v/>
      </c>
      <c r="AA110" s="24" t="str">
        <f>IFERROR(IF([1]对账明细接口!$V110=0,"",[1]对账明细接口!$V110),"")</f>
        <v/>
      </c>
      <c r="AB110" s="20" t="str">
        <f>IFERROR(IF([1]对账明细接口!$W110=0,"",[1]对账明细接口!$W110),"")</f>
        <v/>
      </c>
      <c r="AC110" s="7" t="str">
        <f>IFERROR(IF([1]对账明细接口!$X110=0,"",[1]对账明细接口!$X110),"")</f>
        <v/>
      </c>
      <c r="AD110" s="7" t="str">
        <f>IFERROR(IF([1]对账明细接口!$Y110=0,"",[1]对账明细接口!$Y110),"")</f>
        <v/>
      </c>
      <c r="AE110" s="7" t="str">
        <f>IFERROR(IF([1]对账明细接口!$AA110=0,"",[1]对账明细接口!$AA110),"")</f>
        <v/>
      </c>
      <c r="AF110" s="7" t="str">
        <f>IFERROR(IF([1]对账明细接口!$AB110=0,"",[1]对账明细接口!$AB110),"")</f>
        <v/>
      </c>
      <c r="AG110" s="7" t="str">
        <f>IFERROR(IF([1]对账明细接口!$AC110=0,"",[1]对账明细接口!$AC110),"")</f>
        <v/>
      </c>
      <c r="AH110" s="7" t="str">
        <f>IFERROR(IF([1]对账明细接口!$AD110=0,"",[1]对账明细接口!$AD110),"")</f>
        <v/>
      </c>
      <c r="AI110" s="7" t="str">
        <f>IFERROR(IF([1]对账明细接口!$AE110=0,"",[1]对账明细接口!$AE110),"")</f>
        <v/>
      </c>
      <c r="AJ110" s="7" t="str">
        <f>IFERROR(IF([1]对账明细接口!$AF110=0,"",[1]对账明细接口!$AF110),"")</f>
        <v/>
      </c>
    </row>
    <row r="111" ht="14.25" customHeight="1" spans="1:36">
      <c r="A111" s="14">
        <v>111</v>
      </c>
      <c r="B111" s="15">
        <f>IFERROR(IF([1]对账明细接口!$B$111=0,"",[1]对账明细接口!$B$111),"")</f>
        <v>46258</v>
      </c>
      <c r="C111" s="16" t="str">
        <f>IFERROR(IF([1]对账明细接口!$C$111=0,"",[1]对账明细接口!$C$111),"")</f>
        <v>聂新平</v>
      </c>
      <c r="D111" s="16" t="str">
        <f>IFERROR(IF([1]对账明细接口!$D$111=0,"",[1]对账明细接口!$D$111),"")</f>
        <v>原料入库</v>
      </c>
      <c r="E111" s="16" t="str">
        <f>IFERROR(IF([1]对账明细接口!$E$111=0,"",[1]对账明细接口!$E$111),"")</f>
        <v>NO:0000723</v>
      </c>
      <c r="F111" s="16" t="str">
        <f>IFERROR(IF([1]对账明细接口!$F$111=0,"",[1]对账明细接口!$F$111),"")</f>
        <v>西梅</v>
      </c>
      <c r="G111" s="16" t="str">
        <f>IFERROR(IF([1]对账明细接口!$G$111=0,"",[1]对账明细接口!$G$111),"")</f>
        <v>西梅一级</v>
      </c>
      <c r="H111" s="17">
        <f>IFERROR(IF([1]对账明细接口!$H$111=0,"",[1]对账明细接口!$H$111),"")</f>
        <v>112</v>
      </c>
      <c r="I111" s="16" t="str">
        <f>IFERROR(IF([1]对账明细接口!$I$111=0,"",[1]对账明细接口!$I$111),"")</f>
        <v>筐</v>
      </c>
      <c r="J111" s="18">
        <f>IFERROR(IF([1]对账明细接口!$J$111=0,"",[1]对账明细接口!$J$111),"")</f>
        <v>784</v>
      </c>
      <c r="K111" s="18" t="str">
        <f>IFERROR(IF([1]对账明细接口!$K$111=0,"",[1]对账明细接口!$K$111),"")</f>
        <v/>
      </c>
      <c r="L111" s="16" t="str">
        <f>IFERROR(IF([1]对账明细接口!$L$111=0,"",[1]对账明细接口!$L$111),"")</f>
        <v/>
      </c>
      <c r="M111" s="16" t="str">
        <f>IFERROR(IF([1]对账明细接口!$M$111=0,"",[1]对账明细接口!$M$111),"")</f>
        <v/>
      </c>
      <c r="N111" s="19">
        <f t="shared" si="2"/>
        <v>1</v>
      </c>
      <c r="O111" s="19">
        <f t="shared" si="3"/>
        <v>108</v>
      </c>
      <c r="S111" s="20" t="str">
        <f>IFERROR(IF([1]对账明细接口!$N111=0,"",[1]对账明细接口!$N111),"")</f>
        <v>自备一次性筐</v>
      </c>
      <c r="T111" s="21" t="str">
        <f>IFERROR(IF([1]对账明细接口!$O111=0,"",[1]对账明细接口!$O111),"")</f>
        <v/>
      </c>
      <c r="U111" s="21" t="str">
        <f>IFERROR(IF([1]对账明细接口!$P111=0,"",[1]对账明细接口!$P111),"")</f>
        <v/>
      </c>
      <c r="V111" s="21">
        <f>IFERROR(IF([1]对账明细接口!$Q111=0,"",[1]对账明细接口!$Q111),"")</f>
        <v>112</v>
      </c>
      <c r="W111" s="20" t="str">
        <f>IFERROR(IF([1]对账明细接口!$R111=0,"",[1]对账明细接口!$R111),"")</f>
        <v>苏M*7G796</v>
      </c>
      <c r="X111" s="20" t="str">
        <f>IFERROR(IF([1]对账明细接口!$S111=0,"",[1]对账明细接口!$S111),"")</f>
        <v>自备筐</v>
      </c>
      <c r="Y111" s="20" t="str">
        <f>IFERROR(IF([1]对账明细接口!$T111=0,"",[1]对账明细接口!$T111),"")</f>
        <v/>
      </c>
      <c r="Z111" s="24" t="str">
        <f>IFERROR(IF([1]对账明细接口!$U111=0,"",[1]对账明细接口!$U111),"")</f>
        <v/>
      </c>
      <c r="AA111" s="24" t="str">
        <f>IFERROR(IF([1]对账明细接口!$V111=0,"",[1]对账明细接口!$V111),"")</f>
        <v/>
      </c>
      <c r="AB111" s="20" t="str">
        <f>IFERROR(IF([1]对账明细接口!$W111=0,"",[1]对账明细接口!$W111),"")</f>
        <v/>
      </c>
      <c r="AC111" s="7" t="str">
        <f>IFERROR(IF([1]对账明细接口!$X111=0,"",[1]对账明细接口!$X111),"")</f>
        <v/>
      </c>
      <c r="AD111" s="7" t="str">
        <f>IFERROR(IF([1]对账明细接口!$Y111=0,"",[1]对账明细接口!$Y111),"")</f>
        <v/>
      </c>
      <c r="AE111" s="7" t="str">
        <f>IFERROR(IF([1]对账明细接口!$AA111=0,"",[1]对账明细接口!$AA111),"")</f>
        <v/>
      </c>
      <c r="AF111" s="7" t="str">
        <f>IFERROR(IF([1]对账明细接口!$AB111=0,"",[1]对账明细接口!$AB111),"")</f>
        <v/>
      </c>
      <c r="AG111" s="7" t="str">
        <f>IFERROR(IF([1]对账明细接口!$AC111=0,"",[1]对账明细接口!$AC111),"")</f>
        <v/>
      </c>
      <c r="AH111" s="7" t="str">
        <f>IFERROR(IF([1]对账明细接口!$AD111=0,"",[1]对账明细接口!$AD111),"")</f>
        <v/>
      </c>
      <c r="AI111" s="7" t="str">
        <f>IFERROR(IF([1]对账明细接口!$AE111=0,"",[1]对账明细接口!$AE111),"")</f>
        <v/>
      </c>
      <c r="AJ111" s="7" t="str">
        <f>IFERROR(IF([1]对账明细接口!$AF111=0,"",[1]对账明细接口!$AF111),"")</f>
        <v/>
      </c>
    </row>
    <row r="112" ht="14.25" customHeight="1" spans="1:36">
      <c r="A112" s="14">
        <v>112</v>
      </c>
      <c r="B112" s="15">
        <f>IFERROR(IF([1]对账明细接口!$B$112=0,"",[1]对账明细接口!$B$112),"")</f>
        <v>46258</v>
      </c>
      <c r="C112" s="16" t="str">
        <f>IFERROR(IF([1]对账明细接口!$C$112=0,"",[1]对账明细接口!$C$112),"")</f>
        <v>聂新平</v>
      </c>
      <c r="D112" s="16" t="str">
        <f>IFERROR(IF([1]对账明细接口!$D$112=0,"",[1]对账明细接口!$D$112),"")</f>
        <v>原料入库</v>
      </c>
      <c r="E112" s="16" t="str">
        <f>IFERROR(IF([1]对账明细接口!$E$112=0,"",[1]对账明细接口!$E$112),"")</f>
        <v>NO:0000723</v>
      </c>
      <c r="F112" s="16" t="str">
        <f>IFERROR(IF([1]对账明细接口!$F$112=0,"",[1]对账明细接口!$F$112),"")</f>
        <v>西梅</v>
      </c>
      <c r="G112" s="16" t="str">
        <f>IFERROR(IF([1]对账明细接口!$G$112=0,"",[1]对账明细接口!$G$112),"")</f>
        <v>西梅二级</v>
      </c>
      <c r="H112" s="17">
        <f>IFERROR(IF([1]对账明细接口!$H$112=0,"",[1]对账明细接口!$H$112),"")</f>
        <v>30</v>
      </c>
      <c r="I112" s="16" t="str">
        <f>IFERROR(IF([1]对账明细接口!$I$112=0,"",[1]对账明细接口!$I$112),"")</f>
        <v>筐</v>
      </c>
      <c r="J112" s="18">
        <f>IFERROR(IF([1]对账明细接口!$J$112=0,"",[1]对账明细接口!$J$112),"")</f>
        <v>360</v>
      </c>
      <c r="K112" s="18" t="str">
        <f>IFERROR(IF([1]对账明细接口!$K$112=0,"",[1]对账明细接口!$K$112),"")</f>
        <v/>
      </c>
      <c r="L112" s="16" t="str">
        <f>IFERROR(IF([1]对账明细接口!$L$112=0,"",[1]对账明细接口!$L$112),"")</f>
        <v/>
      </c>
      <c r="M112" s="16" t="str">
        <f>IFERROR(IF([1]对账明细接口!$M$112=0,"",[1]对账明细接口!$M$112),"")</f>
        <v/>
      </c>
      <c r="N112" s="19">
        <f t="shared" si="2"/>
        <v>1</v>
      </c>
      <c r="O112" s="19">
        <f t="shared" si="3"/>
        <v>109</v>
      </c>
      <c r="S112" s="20" t="str">
        <f>IFERROR(IF([1]对账明细接口!$N112=0,"",[1]对账明细接口!$N112),"")</f>
        <v>自备一次性筐</v>
      </c>
      <c r="T112" s="21" t="str">
        <f>IFERROR(IF([1]对账明细接口!$O112=0,"",[1]对账明细接口!$O112),"")</f>
        <v/>
      </c>
      <c r="U112" s="21" t="str">
        <f>IFERROR(IF([1]对账明细接口!$P112=0,"",[1]对账明细接口!$P112),"")</f>
        <v/>
      </c>
      <c r="V112" s="21">
        <f>IFERROR(IF([1]对账明细接口!$Q112=0,"",[1]对账明细接口!$Q112),"")</f>
        <v>30</v>
      </c>
      <c r="W112" s="20" t="str">
        <f>IFERROR(IF([1]对账明细接口!$R112=0,"",[1]对账明细接口!$R112),"")</f>
        <v>苏M*7G796</v>
      </c>
      <c r="X112" s="20" t="str">
        <f>IFERROR(IF([1]对账明细接口!$S112=0,"",[1]对账明细接口!$S112),"")</f>
        <v>自备筐</v>
      </c>
      <c r="Y112" s="20" t="str">
        <f>IFERROR(IF([1]对账明细接口!$T112=0,"",[1]对账明细接口!$T112),"")</f>
        <v/>
      </c>
      <c r="Z112" s="24" t="str">
        <f>IFERROR(IF([1]对账明细接口!$U112=0,"",[1]对账明细接口!$U112),"")</f>
        <v/>
      </c>
      <c r="AA112" s="24" t="str">
        <f>IFERROR(IF([1]对账明细接口!$V112=0,"",[1]对账明细接口!$V112),"")</f>
        <v/>
      </c>
      <c r="AB112" s="20" t="str">
        <f>IFERROR(IF([1]对账明细接口!$W112=0,"",[1]对账明细接口!$W112),"")</f>
        <v/>
      </c>
      <c r="AC112" s="7" t="str">
        <f>IFERROR(IF([1]对账明细接口!$X112=0,"",[1]对账明细接口!$X112),"")</f>
        <v/>
      </c>
      <c r="AD112" s="7" t="str">
        <f>IFERROR(IF([1]对账明细接口!$Y112=0,"",[1]对账明细接口!$Y112),"")</f>
        <v/>
      </c>
      <c r="AE112" s="7" t="str">
        <f>IFERROR(IF([1]对账明细接口!$AA112=0,"",[1]对账明细接口!$AA112),"")</f>
        <v/>
      </c>
      <c r="AF112" s="7" t="str">
        <f>IFERROR(IF([1]对账明细接口!$AB112=0,"",[1]对账明细接口!$AB112),"")</f>
        <v/>
      </c>
      <c r="AG112" s="7" t="str">
        <f>IFERROR(IF([1]对账明细接口!$AC112=0,"",[1]对账明细接口!$AC112),"")</f>
        <v/>
      </c>
      <c r="AH112" s="7" t="str">
        <f>IFERROR(IF([1]对账明细接口!$AD112=0,"",[1]对账明细接口!$AD112),"")</f>
        <v/>
      </c>
      <c r="AI112" s="7" t="str">
        <f>IFERROR(IF([1]对账明细接口!$AE112=0,"",[1]对账明细接口!$AE112),"")</f>
        <v/>
      </c>
      <c r="AJ112" s="7" t="str">
        <f>IFERROR(IF([1]对账明细接口!$AF112=0,"",[1]对账明细接口!$AF112),"")</f>
        <v/>
      </c>
    </row>
    <row r="113" ht="14.25" customHeight="1" spans="1:36">
      <c r="A113" s="14">
        <v>113</v>
      </c>
      <c r="B113" s="15">
        <f>IFERROR(IF([1]对账明细接口!$B$113=0,"",[1]对账明细接口!$B$113),"")</f>
        <v>46259</v>
      </c>
      <c r="C113" s="16" t="str">
        <f>IFERROR(IF([1]对账明细接口!$C$113=0,"",[1]对账明细接口!$C$113),"")</f>
        <v>聂新平</v>
      </c>
      <c r="D113" s="16" t="str">
        <f>IFERROR(IF([1]对账明细接口!$D$113=0,"",[1]对账明细接口!$D$113),"")</f>
        <v>原料入库</v>
      </c>
      <c r="E113" s="16" t="str">
        <f>IFERROR(IF([1]对账明细接口!$E$113=0,"",[1]对账明细接口!$E$113),"")</f>
        <v>NO:0000724</v>
      </c>
      <c r="F113" s="16" t="str">
        <f>IFERROR(IF([1]对账明细接口!$F$113=0,"",[1]对账明细接口!$F$113),"")</f>
        <v>西梅</v>
      </c>
      <c r="G113" s="16" t="str">
        <f>IFERROR(IF([1]对账明细接口!$G$113=0,"",[1]对账明细接口!$G$113),"")</f>
        <v>西梅二级</v>
      </c>
      <c r="H113" s="17">
        <f>IFERROR(IF([1]对账明细接口!$H$113=0,"",[1]对账明细接口!$H$113),"")</f>
        <v>97</v>
      </c>
      <c r="I113" s="16" t="str">
        <f>IFERROR(IF([1]对账明细接口!$I$113=0,"",[1]对账明细接口!$I$113),"")</f>
        <v>筐</v>
      </c>
      <c r="J113" s="18">
        <f>IFERROR(IF([1]对账明细接口!$J$113=0,"",[1]对账明细接口!$J$113),"")</f>
        <v>194</v>
      </c>
      <c r="K113" s="18" t="str">
        <f>IFERROR(IF([1]对账明细接口!$K$113=0,"",[1]对账明细接口!$K$113),"")</f>
        <v/>
      </c>
      <c r="L113" s="16" t="str">
        <f>IFERROR(IF([1]对账明细接口!$L$113=0,"",[1]对账明细接口!$L$113),"")</f>
        <v/>
      </c>
      <c r="M113" s="16" t="str">
        <f>IFERROR(IF([1]对账明细接口!$M$113=0,"",[1]对账明细接口!$M$113),"")</f>
        <v/>
      </c>
      <c r="N113" s="19">
        <f t="shared" si="2"/>
        <v>1</v>
      </c>
      <c r="O113" s="19">
        <f t="shared" si="3"/>
        <v>110</v>
      </c>
      <c r="S113" s="20" t="str">
        <f>IFERROR(IF([1]对账明细接口!$N113=0,"",[1]对账明细接口!$N113),"")</f>
        <v>自备一次性筐</v>
      </c>
      <c r="T113" s="21" t="str">
        <f>IFERROR(IF([1]对账明细接口!$O113=0,"",[1]对账明细接口!$O113),"")</f>
        <v/>
      </c>
      <c r="U113" s="21" t="str">
        <f>IFERROR(IF([1]对账明细接口!$P113=0,"",[1]对账明细接口!$P113),"")</f>
        <v/>
      </c>
      <c r="V113" s="21">
        <f>IFERROR(IF([1]对账明细接口!$Q113=0,"",[1]对账明细接口!$Q113),"")</f>
        <v>97</v>
      </c>
      <c r="W113" s="20" t="str">
        <f>IFERROR(IF([1]对账明细接口!$R113=0,"",[1]对账明细接口!$R113),"")</f>
        <v>苏M*7G796</v>
      </c>
      <c r="X113" s="20" t="str">
        <f>IFERROR(IF([1]对账明细接口!$S113=0,"",[1]对账明细接口!$S113),"")</f>
        <v>自备筐</v>
      </c>
      <c r="Y113" s="20" t="str">
        <f>IFERROR(IF([1]对账明细接口!$T113=0,"",[1]对账明细接口!$T113),"")</f>
        <v/>
      </c>
      <c r="Z113" s="24" t="str">
        <f>IFERROR(IF([1]对账明细接口!$U113=0,"",[1]对账明细接口!$U113),"")</f>
        <v/>
      </c>
      <c r="AA113" s="24" t="str">
        <f>IFERROR(IF([1]对账明细接口!$V113=0,"",[1]对账明细接口!$V113),"")</f>
        <v/>
      </c>
      <c r="AB113" s="20" t="str">
        <f>IFERROR(IF([1]对账明细接口!$W113=0,"",[1]对账明细接口!$W113),"")</f>
        <v/>
      </c>
      <c r="AC113" s="7" t="str">
        <f>IFERROR(IF([1]对账明细接口!$X113=0,"",[1]对账明细接口!$X113),"")</f>
        <v/>
      </c>
      <c r="AD113" s="7" t="str">
        <f>IFERROR(IF([1]对账明细接口!$Y113=0,"",[1]对账明细接口!$Y113),"")</f>
        <v/>
      </c>
      <c r="AE113" s="7" t="str">
        <f>IFERROR(IF([1]对账明细接口!$AA113=0,"",[1]对账明细接口!$AA113),"")</f>
        <v/>
      </c>
      <c r="AF113" s="7" t="str">
        <f>IFERROR(IF([1]对账明细接口!$AB113=0,"",[1]对账明细接口!$AB113),"")</f>
        <v/>
      </c>
      <c r="AG113" s="7" t="str">
        <f>IFERROR(IF([1]对账明细接口!$AC113=0,"",[1]对账明细接口!$AC113),"")</f>
        <v/>
      </c>
      <c r="AH113" s="7" t="str">
        <f>IFERROR(IF([1]对账明细接口!$AD113=0,"",[1]对账明细接口!$AD113),"")</f>
        <v/>
      </c>
      <c r="AI113" s="7" t="str">
        <f>IFERROR(IF([1]对账明细接口!$AE113=0,"",[1]对账明细接口!$AE113),"")</f>
        <v/>
      </c>
      <c r="AJ113" s="7" t="str">
        <f>IFERROR(IF([1]对账明细接口!$AF113=0,"",[1]对账明细接口!$AF113),"")</f>
        <v/>
      </c>
    </row>
    <row r="114" ht="14.25" customHeight="1" spans="1:36">
      <c r="A114" s="14">
        <v>114</v>
      </c>
      <c r="B114" s="15">
        <f>IFERROR(IF([1]对账明细接口!$B$114=0,"",[1]对账明细接口!$B$114),"")</f>
        <v>46259</v>
      </c>
      <c r="C114" s="16" t="str">
        <f>IFERROR(IF([1]对账明细接口!$C$114=0,"",[1]对账明细接口!$C$114),"")</f>
        <v>聂新平</v>
      </c>
      <c r="D114" s="16" t="str">
        <f>IFERROR(IF([1]对账明细接口!$D$114=0,"",[1]对账明细接口!$D$114),"")</f>
        <v>原料入库</v>
      </c>
      <c r="E114" s="16" t="str">
        <f>IFERROR(IF([1]对账明细接口!$E$114=0,"",[1]对账明细接口!$E$114),"")</f>
        <v>NO:0000724</v>
      </c>
      <c r="F114" s="16" t="str">
        <f>IFERROR(IF([1]对账明细接口!$F$114=0,"",[1]对账明细接口!$F$114),"")</f>
        <v>西梅</v>
      </c>
      <c r="G114" s="16" t="str">
        <f>IFERROR(IF([1]对账明细接口!$G$114=0,"",[1]对账明细接口!$G$114),"")</f>
        <v>西梅三级</v>
      </c>
      <c r="H114" s="17">
        <f>IFERROR(IF([1]对账明细接口!$H$114=0,"",[1]对账明细接口!$H$114),"")</f>
        <v>371</v>
      </c>
      <c r="I114" s="16" t="str">
        <f>IFERROR(IF([1]对账明细接口!$I$114=0,"",[1]对账明细接口!$I$114),"")</f>
        <v>筐</v>
      </c>
      <c r="J114" s="18">
        <f>IFERROR(IF([1]对账明细接口!$J$114=0,"",[1]对账明细接口!$J$114),"")</f>
        <v>742</v>
      </c>
      <c r="K114" s="18" t="str">
        <f>IFERROR(IF([1]对账明细接口!$K$114=0,"",[1]对账明细接口!$K$114),"")</f>
        <v/>
      </c>
      <c r="L114" s="16" t="str">
        <f>IFERROR(IF([1]对账明细接口!$L$114=0,"",[1]对账明细接口!$L$114),"")</f>
        <v/>
      </c>
      <c r="M114" s="16" t="str">
        <f>IFERROR(IF([1]对账明细接口!$M$114=0,"",[1]对账明细接口!$M$114),"")</f>
        <v/>
      </c>
      <c r="N114" s="19">
        <f t="shared" si="2"/>
        <v>1</v>
      </c>
      <c r="O114" s="19">
        <f t="shared" si="3"/>
        <v>111</v>
      </c>
      <c r="S114" s="20" t="str">
        <f>IFERROR(IF([1]对账明细接口!$N114=0,"",[1]对账明细接口!$N114),"")</f>
        <v>自备一次性筐</v>
      </c>
      <c r="T114" s="21" t="str">
        <f>IFERROR(IF([1]对账明细接口!$O114=0,"",[1]对账明细接口!$O114),"")</f>
        <v/>
      </c>
      <c r="U114" s="21" t="str">
        <f>IFERROR(IF([1]对账明细接口!$P114=0,"",[1]对账明细接口!$P114),"")</f>
        <v/>
      </c>
      <c r="V114" s="21">
        <f>IFERROR(IF([1]对账明细接口!$Q114=0,"",[1]对账明细接口!$Q114),"")</f>
        <v>371</v>
      </c>
      <c r="W114" s="20" t="str">
        <f>IFERROR(IF([1]对账明细接口!$R114=0,"",[1]对账明细接口!$R114),"")</f>
        <v>苏M*7G796</v>
      </c>
      <c r="X114" s="20" t="str">
        <f>IFERROR(IF([1]对账明细接口!$S114=0,"",[1]对账明细接口!$S114),"")</f>
        <v>自备筐</v>
      </c>
      <c r="Y114" s="20" t="str">
        <f>IFERROR(IF([1]对账明细接口!$T114=0,"",[1]对账明细接口!$T114),"")</f>
        <v/>
      </c>
      <c r="Z114" s="24" t="str">
        <f>IFERROR(IF([1]对账明细接口!$U114=0,"",[1]对账明细接口!$U114),"")</f>
        <v/>
      </c>
      <c r="AA114" s="24" t="str">
        <f>IFERROR(IF([1]对账明细接口!$V114=0,"",[1]对账明细接口!$V114),"")</f>
        <v/>
      </c>
      <c r="AB114" s="20" t="str">
        <f>IFERROR(IF([1]对账明细接口!$W114=0,"",[1]对账明细接口!$W114),"")</f>
        <v/>
      </c>
      <c r="AC114" s="7" t="str">
        <f>IFERROR(IF([1]对账明细接口!$X114=0,"",[1]对账明细接口!$X114),"")</f>
        <v/>
      </c>
      <c r="AD114" s="7" t="str">
        <f>IFERROR(IF([1]对账明细接口!$Y114=0,"",[1]对账明细接口!$Y114),"")</f>
        <v/>
      </c>
      <c r="AE114" s="7" t="str">
        <f>IFERROR(IF([1]对账明细接口!$AA114=0,"",[1]对账明细接口!$AA114),"")</f>
        <v/>
      </c>
      <c r="AF114" s="7" t="str">
        <f>IFERROR(IF([1]对账明细接口!$AB114=0,"",[1]对账明细接口!$AB114),"")</f>
        <v/>
      </c>
      <c r="AG114" s="7" t="str">
        <f>IFERROR(IF([1]对账明细接口!$AC114=0,"",[1]对账明细接口!$AC114),"")</f>
        <v/>
      </c>
      <c r="AH114" s="7" t="str">
        <f>IFERROR(IF([1]对账明细接口!$AD114=0,"",[1]对账明细接口!$AD114),"")</f>
        <v/>
      </c>
      <c r="AI114" s="7" t="str">
        <f>IFERROR(IF([1]对账明细接口!$AE114=0,"",[1]对账明细接口!$AE114),"")</f>
        <v/>
      </c>
      <c r="AJ114" s="7" t="str">
        <f>IFERROR(IF([1]对账明细接口!$AF114=0,"",[1]对账明细接口!$AF114),"")</f>
        <v/>
      </c>
    </row>
    <row r="115" ht="14.25" customHeight="1" spans="1:36">
      <c r="A115" s="14">
        <v>115</v>
      </c>
      <c r="B115" s="15">
        <f>IFERROR(IF([1]对账明细接口!$B$115=0,"",[1]对账明细接口!$B$115),"")</f>
        <v>46259</v>
      </c>
      <c r="C115" s="16" t="str">
        <f>IFERROR(IF([1]对账明细接口!$C$115=0,"",[1]对账明细接口!$C$115),"")</f>
        <v>聂新平</v>
      </c>
      <c r="D115" s="16" t="str">
        <f>IFERROR(IF([1]对账明细接口!$D$115=0,"",[1]对账明细接口!$D$115),"")</f>
        <v>原料入库</v>
      </c>
      <c r="E115" s="16" t="str">
        <f>IFERROR(IF([1]对账明细接口!$E$115=0,"",[1]对账明细接口!$E$115),"")</f>
        <v>NO:0000724</v>
      </c>
      <c r="F115" s="16" t="str">
        <f>IFERROR(IF([1]对账明细接口!$F$115=0,"",[1]对账明细接口!$F$115),"")</f>
        <v>西梅</v>
      </c>
      <c r="G115" s="16" t="str">
        <f>IFERROR(IF([1]对账明细接口!$G$115=0,"",[1]对账明细接口!$G$115),"")</f>
        <v>西梅二级</v>
      </c>
      <c r="H115" s="17">
        <f>IFERROR(IF([1]对账明细接口!$H$115=0,"",[1]对账明细接口!$H$115),"")</f>
        <v>4</v>
      </c>
      <c r="I115" s="16" t="str">
        <f>IFERROR(IF([1]对账明细接口!$I$115=0,"",[1]对账明细接口!$I$115),"")</f>
        <v>筐</v>
      </c>
      <c r="J115" s="18">
        <f>IFERROR(IF([1]对账明细接口!$J$115=0,"",[1]对账明细接口!$J$115),"")</f>
        <v>48</v>
      </c>
      <c r="K115" s="18" t="str">
        <f>IFERROR(IF([1]对账明细接口!$K$115=0,"",[1]对账明细接口!$K$115),"")</f>
        <v/>
      </c>
      <c r="L115" s="16" t="str">
        <f>IFERROR(IF([1]对账明细接口!$L$115=0,"",[1]对账明细接口!$L$115),"")</f>
        <v/>
      </c>
      <c r="M115" s="16" t="str">
        <f>IFERROR(IF([1]对账明细接口!$M$115=0,"",[1]对账明细接口!$M$115),"")</f>
        <v/>
      </c>
      <c r="N115" s="19">
        <f t="shared" si="2"/>
        <v>1</v>
      </c>
      <c r="O115" s="19">
        <f t="shared" si="3"/>
        <v>112</v>
      </c>
      <c r="S115" s="20" t="str">
        <f>IFERROR(IF([1]对账明细接口!$N115=0,"",[1]对账明细接口!$N115),"")</f>
        <v>自备一次性筐</v>
      </c>
      <c r="T115" s="21" t="str">
        <f>IFERROR(IF([1]对账明细接口!$O115=0,"",[1]对账明细接口!$O115),"")</f>
        <v/>
      </c>
      <c r="U115" s="21" t="str">
        <f>IFERROR(IF([1]对账明细接口!$P115=0,"",[1]对账明细接口!$P115),"")</f>
        <v/>
      </c>
      <c r="V115" s="21">
        <f>IFERROR(IF([1]对账明细接口!$Q115=0,"",[1]对账明细接口!$Q115),"")</f>
        <v>4</v>
      </c>
      <c r="W115" s="20" t="str">
        <f>IFERROR(IF([1]对账明细接口!$R115=0,"",[1]对账明细接口!$R115),"")</f>
        <v>苏M*7G796</v>
      </c>
      <c r="X115" s="20" t="str">
        <f>IFERROR(IF([1]对账明细接口!$S115=0,"",[1]对账明细接口!$S115),"")</f>
        <v>自备筐</v>
      </c>
      <c r="Y115" s="20" t="str">
        <f>IFERROR(IF([1]对账明细接口!$T115=0,"",[1]对账明细接口!$T115),"")</f>
        <v/>
      </c>
      <c r="Z115" s="24" t="str">
        <f>IFERROR(IF([1]对账明细接口!$U115=0,"",[1]对账明细接口!$U115),"")</f>
        <v/>
      </c>
      <c r="AA115" s="24" t="str">
        <f>IFERROR(IF([1]对账明细接口!$V115=0,"",[1]对账明细接口!$V115),"")</f>
        <v/>
      </c>
      <c r="AB115" s="20" t="str">
        <f>IFERROR(IF([1]对账明细接口!$W115=0,"",[1]对账明细接口!$W115),"")</f>
        <v/>
      </c>
      <c r="AC115" s="7" t="str">
        <f>IFERROR(IF([1]对账明细接口!$X115=0,"",[1]对账明细接口!$X115),"")</f>
        <v/>
      </c>
      <c r="AD115" s="7" t="str">
        <f>IFERROR(IF([1]对账明细接口!$Y115=0,"",[1]对账明细接口!$Y115),"")</f>
        <v/>
      </c>
      <c r="AE115" s="7" t="str">
        <f>IFERROR(IF([1]对账明细接口!$AA115=0,"",[1]对账明细接口!$AA115),"")</f>
        <v/>
      </c>
      <c r="AF115" s="7" t="str">
        <f>IFERROR(IF([1]对账明细接口!$AB115=0,"",[1]对账明细接口!$AB115),"")</f>
        <v/>
      </c>
      <c r="AG115" s="7" t="str">
        <f>IFERROR(IF([1]对账明细接口!$AC115=0,"",[1]对账明细接口!$AC115),"")</f>
        <v/>
      </c>
      <c r="AH115" s="7" t="str">
        <f>IFERROR(IF([1]对账明细接口!$AD115=0,"",[1]对账明细接口!$AD115),"")</f>
        <v/>
      </c>
      <c r="AI115" s="7" t="str">
        <f>IFERROR(IF([1]对账明细接口!$AE115=0,"",[1]对账明细接口!$AE115),"")</f>
        <v/>
      </c>
      <c r="AJ115" s="7" t="str">
        <f>IFERROR(IF([1]对账明细接口!$AF115=0,"",[1]对账明细接口!$AF115),"")</f>
        <v/>
      </c>
    </row>
    <row r="116" ht="14.25" customHeight="1" spans="1:36">
      <c r="A116" s="14">
        <v>116</v>
      </c>
      <c r="B116" s="15">
        <f>IFERROR(IF([1]对账明细接口!$B$116=0,"",[1]对账明细接口!$B$116),"")</f>
        <v>46259</v>
      </c>
      <c r="C116" s="16" t="str">
        <f>IFERROR(IF([1]对账明细接口!$C$116=0,"",[1]对账明细接口!$C$116),"")</f>
        <v>聂新平</v>
      </c>
      <c r="D116" s="16" t="str">
        <f>IFERROR(IF([1]对账明细接口!$D$116=0,"",[1]对账明细接口!$D$116),"")</f>
        <v>原料入库</v>
      </c>
      <c r="E116" s="16" t="str">
        <f>IFERROR(IF([1]对账明细接口!$E$116=0,"",[1]对账明细接口!$E$116),"")</f>
        <v>NO:0000725</v>
      </c>
      <c r="F116" s="16" t="str">
        <f>IFERROR(IF([1]对账明细接口!$F$116=0,"",[1]对账明细接口!$F$116),"")</f>
        <v>西梅</v>
      </c>
      <c r="G116" s="16" t="str">
        <f>IFERROR(IF([1]对账明细接口!$G$116=0,"",[1]对账明细接口!$G$116),"")</f>
        <v>西梅一级</v>
      </c>
      <c r="H116" s="17">
        <f>IFERROR(IF([1]对账明细接口!$H$116=0,"",[1]对账明细接口!$H$116),"")</f>
        <v>72</v>
      </c>
      <c r="I116" s="16" t="str">
        <f>IFERROR(IF([1]对账明细接口!$I$116=0,"",[1]对账明细接口!$I$116),"")</f>
        <v>筐</v>
      </c>
      <c r="J116" s="18">
        <f>IFERROR(IF([1]对账明细接口!$J$116=0,"",[1]对账明细接口!$J$116),"")</f>
        <v>504</v>
      </c>
      <c r="K116" s="18" t="str">
        <f>IFERROR(IF([1]对账明细接口!$K$116=0,"",[1]对账明细接口!$K$116),"")</f>
        <v/>
      </c>
      <c r="L116" s="16" t="str">
        <f>IFERROR(IF([1]对账明细接口!$L$116=0,"",[1]对账明细接口!$L$116),"")</f>
        <v/>
      </c>
      <c r="M116" s="16" t="str">
        <f>IFERROR(IF([1]对账明细接口!$M$116=0,"",[1]对账明细接口!$M$116),"")</f>
        <v/>
      </c>
      <c r="N116" s="19">
        <f t="shared" si="2"/>
        <v>1</v>
      </c>
      <c r="O116" s="19">
        <f t="shared" si="3"/>
        <v>113</v>
      </c>
      <c r="S116" s="20" t="str">
        <f>IFERROR(IF([1]对账明细接口!$N116=0,"",[1]对账明细接口!$N116),"")</f>
        <v>自备一次性筐</v>
      </c>
      <c r="T116" s="21" t="str">
        <f>IFERROR(IF([1]对账明细接口!$O116=0,"",[1]对账明细接口!$O116),"")</f>
        <v/>
      </c>
      <c r="U116" s="21" t="str">
        <f>IFERROR(IF([1]对账明细接口!$P116=0,"",[1]对账明细接口!$P116),"")</f>
        <v/>
      </c>
      <c r="V116" s="21">
        <f>IFERROR(IF([1]对账明细接口!$Q116=0,"",[1]对账明细接口!$Q116),"")</f>
        <v>72</v>
      </c>
      <c r="W116" s="20" t="str">
        <f>IFERROR(IF([1]对账明细接口!$R116=0,"",[1]对账明细接口!$R116),"")</f>
        <v>苏M*7G796</v>
      </c>
      <c r="X116" s="20" t="str">
        <f>IFERROR(IF([1]对账明细接口!$S116=0,"",[1]对账明细接口!$S116),"")</f>
        <v>自备筐</v>
      </c>
      <c r="Y116" s="20" t="str">
        <f>IFERROR(IF([1]对账明细接口!$T116=0,"",[1]对账明细接口!$T116),"")</f>
        <v/>
      </c>
      <c r="Z116" s="24" t="str">
        <f>IFERROR(IF([1]对账明细接口!$U116=0,"",[1]对账明细接口!$U116),"")</f>
        <v/>
      </c>
      <c r="AA116" s="24" t="str">
        <f>IFERROR(IF([1]对账明细接口!$V116=0,"",[1]对账明细接口!$V116),"")</f>
        <v/>
      </c>
      <c r="AB116" s="20" t="str">
        <f>IFERROR(IF([1]对账明细接口!$W116=0,"",[1]对账明细接口!$W116),"")</f>
        <v/>
      </c>
      <c r="AC116" s="7" t="str">
        <f>IFERROR(IF([1]对账明细接口!$X116=0,"",[1]对账明细接口!$X116),"")</f>
        <v/>
      </c>
      <c r="AD116" s="7" t="str">
        <f>IFERROR(IF([1]对账明细接口!$Y116=0,"",[1]对账明细接口!$Y116),"")</f>
        <v/>
      </c>
      <c r="AE116" s="7" t="str">
        <f>IFERROR(IF([1]对账明细接口!$AA116=0,"",[1]对账明细接口!$AA116),"")</f>
        <v/>
      </c>
      <c r="AF116" s="7" t="str">
        <f>IFERROR(IF([1]对账明细接口!$AB116=0,"",[1]对账明细接口!$AB116),"")</f>
        <v/>
      </c>
      <c r="AG116" s="7" t="str">
        <f>IFERROR(IF([1]对账明细接口!$AC116=0,"",[1]对账明细接口!$AC116),"")</f>
        <v/>
      </c>
      <c r="AH116" s="7" t="str">
        <f>IFERROR(IF([1]对账明细接口!$AD116=0,"",[1]对账明细接口!$AD116),"")</f>
        <v/>
      </c>
      <c r="AI116" s="7" t="str">
        <f>IFERROR(IF([1]对账明细接口!$AE116=0,"",[1]对账明细接口!$AE116),"")</f>
        <v/>
      </c>
      <c r="AJ116" s="7" t="str">
        <f>IFERROR(IF([1]对账明细接口!$AF116=0,"",[1]对账明细接口!$AF116),"")</f>
        <v/>
      </c>
    </row>
    <row r="117" ht="14.25" customHeight="1" spans="1:36">
      <c r="A117" s="14">
        <v>117</v>
      </c>
      <c r="B117" s="15">
        <f>IFERROR(IF([1]对账明细接口!$B$117=0,"",[1]对账明细接口!$B$117),"")</f>
        <v>46259</v>
      </c>
      <c r="C117" s="16" t="str">
        <f>IFERROR(IF([1]对账明细接口!$C$117=0,"",[1]对账明细接口!$C$117),"")</f>
        <v>聂新平</v>
      </c>
      <c r="D117" s="16" t="str">
        <f>IFERROR(IF([1]对账明细接口!$D$117=0,"",[1]对账明细接口!$D$117),"")</f>
        <v>原料入库</v>
      </c>
      <c r="E117" s="16" t="str">
        <f>IFERROR(IF([1]对账明细接口!$E$117=0,"",[1]对账明细接口!$E$117),"")</f>
        <v>NO:0000725</v>
      </c>
      <c r="F117" s="16" t="str">
        <f>IFERROR(IF([1]对账明细接口!$F$117=0,"",[1]对账明细接口!$F$117),"")</f>
        <v>西梅</v>
      </c>
      <c r="G117" s="16" t="str">
        <f>IFERROR(IF([1]对账明细接口!$G$117=0,"",[1]对账明细接口!$G$117),"")</f>
        <v>西梅二级</v>
      </c>
      <c r="H117" s="17">
        <f>IFERROR(IF([1]对账明细接口!$H$117=0,"",[1]对账明细接口!$H$117),"")</f>
        <v>238</v>
      </c>
      <c r="I117" s="16" t="str">
        <f>IFERROR(IF([1]对账明细接口!$I$117=0,"",[1]对账明细接口!$I$117),"")</f>
        <v>筐</v>
      </c>
      <c r="J117" s="18">
        <f>IFERROR(IF([1]对账明细接口!$J$117=0,"",[1]对账明细接口!$J$117),"")</f>
        <v>476</v>
      </c>
      <c r="K117" s="18" t="str">
        <f>IFERROR(IF([1]对账明细接口!$K$117=0,"",[1]对账明细接口!$K$117),"")</f>
        <v/>
      </c>
      <c r="L117" s="16" t="str">
        <f>IFERROR(IF([1]对账明细接口!$L$117=0,"",[1]对账明细接口!$L$117),"")</f>
        <v/>
      </c>
      <c r="M117" s="16" t="str">
        <f>IFERROR(IF([1]对账明细接口!$M$117=0,"",[1]对账明细接口!$M$117),"")</f>
        <v/>
      </c>
      <c r="N117" s="19">
        <f t="shared" si="2"/>
        <v>1</v>
      </c>
      <c r="O117" s="19">
        <f t="shared" si="3"/>
        <v>114</v>
      </c>
      <c r="S117" s="20" t="str">
        <f>IFERROR(IF([1]对账明细接口!$N117=0,"",[1]对账明细接口!$N117),"")</f>
        <v>自备一次性筐</v>
      </c>
      <c r="T117" s="21" t="str">
        <f>IFERROR(IF([1]对账明细接口!$O117=0,"",[1]对账明细接口!$O117),"")</f>
        <v/>
      </c>
      <c r="U117" s="21" t="str">
        <f>IFERROR(IF([1]对账明细接口!$P117=0,"",[1]对账明细接口!$P117),"")</f>
        <v/>
      </c>
      <c r="V117" s="21">
        <f>IFERROR(IF([1]对账明细接口!$Q117=0,"",[1]对账明细接口!$Q117),"")</f>
        <v>238</v>
      </c>
      <c r="W117" s="20" t="str">
        <f>IFERROR(IF([1]对账明细接口!$R117=0,"",[1]对账明细接口!$R117),"")</f>
        <v>苏M*7G796</v>
      </c>
      <c r="X117" s="20" t="str">
        <f>IFERROR(IF([1]对账明细接口!$S117=0,"",[1]对账明细接口!$S117),"")</f>
        <v>自备筐</v>
      </c>
      <c r="Y117" s="20" t="str">
        <f>IFERROR(IF([1]对账明细接口!$T117=0,"",[1]对账明细接口!$T117),"")</f>
        <v/>
      </c>
      <c r="Z117" s="24" t="str">
        <f>IFERROR(IF([1]对账明细接口!$U117=0,"",[1]对账明细接口!$U117),"")</f>
        <v/>
      </c>
      <c r="AA117" s="24" t="str">
        <f>IFERROR(IF([1]对账明细接口!$V117=0,"",[1]对账明细接口!$V117),"")</f>
        <v/>
      </c>
      <c r="AB117" s="20" t="str">
        <f>IFERROR(IF([1]对账明细接口!$W117=0,"",[1]对账明细接口!$W117),"")</f>
        <v/>
      </c>
      <c r="AC117" s="7" t="str">
        <f>IFERROR(IF([1]对账明细接口!$X117=0,"",[1]对账明细接口!$X117),"")</f>
        <v/>
      </c>
      <c r="AD117" s="7" t="str">
        <f>IFERROR(IF([1]对账明细接口!$Y117=0,"",[1]对账明细接口!$Y117),"")</f>
        <v/>
      </c>
      <c r="AE117" s="7" t="str">
        <f>IFERROR(IF([1]对账明细接口!$AA117=0,"",[1]对账明细接口!$AA117),"")</f>
        <v/>
      </c>
      <c r="AF117" s="7" t="str">
        <f>IFERROR(IF([1]对账明细接口!$AB117=0,"",[1]对账明细接口!$AB117),"")</f>
        <v/>
      </c>
      <c r="AG117" s="7" t="str">
        <f>IFERROR(IF([1]对账明细接口!$AC117=0,"",[1]对账明细接口!$AC117),"")</f>
        <v/>
      </c>
      <c r="AH117" s="7" t="str">
        <f>IFERROR(IF([1]对账明细接口!$AD117=0,"",[1]对账明细接口!$AD117),"")</f>
        <v/>
      </c>
      <c r="AI117" s="7" t="str">
        <f>IFERROR(IF([1]对账明细接口!$AE117=0,"",[1]对账明细接口!$AE117),"")</f>
        <v/>
      </c>
      <c r="AJ117" s="7" t="str">
        <f>IFERROR(IF([1]对账明细接口!$AF117=0,"",[1]对账明细接口!$AF117),"")</f>
        <v/>
      </c>
    </row>
    <row r="118" ht="14.25" customHeight="1" spans="1:36">
      <c r="A118" s="14">
        <v>118</v>
      </c>
      <c r="B118" s="15">
        <f>IFERROR(IF([1]对账明细接口!$B$118=0,"",[1]对账明细接口!$B$118),"")</f>
        <v>46259</v>
      </c>
      <c r="C118" s="16" t="str">
        <f>IFERROR(IF([1]对账明细接口!$C$118=0,"",[1]对账明细接口!$C$118),"")</f>
        <v>聂新平</v>
      </c>
      <c r="D118" s="16" t="str">
        <f>IFERROR(IF([1]对账明细接口!$D$118=0,"",[1]对账明细接口!$D$118),"")</f>
        <v>原料入库</v>
      </c>
      <c r="E118" s="16" t="str">
        <f>IFERROR(IF([1]对账明细接口!$E$118=0,"",[1]对账明细接口!$E$118),"")</f>
        <v>NO:0000726</v>
      </c>
      <c r="F118" s="16" t="str">
        <f>IFERROR(IF([1]对账明细接口!$F$118=0,"",[1]对账明细接口!$F$118),"")</f>
        <v>西梅</v>
      </c>
      <c r="G118" s="16" t="str">
        <f>IFERROR(IF([1]对账明细接口!$G$118=0,"",[1]对账明细接口!$G$118),"")</f>
        <v>西梅一级</v>
      </c>
      <c r="H118" s="17">
        <f>IFERROR(IF([1]对账明细接口!$H$118=0,"",[1]对账明细接口!$H$118),"")</f>
        <v>50</v>
      </c>
      <c r="I118" s="16" t="str">
        <f>IFERROR(IF([1]对账明细接口!$I$118=0,"",[1]对账明细接口!$I$118),"")</f>
        <v>筐</v>
      </c>
      <c r="J118" s="18">
        <f>IFERROR(IF([1]对账明细接口!$J$118=0,"",[1]对账明细接口!$J$118),"")</f>
        <v>350</v>
      </c>
      <c r="K118" s="18" t="str">
        <f>IFERROR(IF([1]对账明细接口!$K$118=0,"",[1]对账明细接口!$K$118),"")</f>
        <v/>
      </c>
      <c r="L118" s="16" t="str">
        <f>IFERROR(IF([1]对账明细接口!$L$118=0,"",[1]对账明细接口!$L$118),"")</f>
        <v/>
      </c>
      <c r="M118" s="16" t="str">
        <f>IFERROR(IF([1]对账明细接口!$M$118=0,"",[1]对账明细接口!$M$118),"")</f>
        <v/>
      </c>
      <c r="N118" s="19">
        <f t="shared" si="2"/>
        <v>1</v>
      </c>
      <c r="O118" s="19">
        <f t="shared" si="3"/>
        <v>115</v>
      </c>
      <c r="S118" s="20" t="str">
        <f>IFERROR(IF([1]对账明细接口!$N118=0,"",[1]对账明细接口!$N118),"")</f>
        <v>自备一次性筐</v>
      </c>
      <c r="T118" s="21" t="str">
        <f>IFERROR(IF([1]对账明细接口!$O118=0,"",[1]对账明细接口!$O118),"")</f>
        <v/>
      </c>
      <c r="U118" s="21" t="str">
        <f>IFERROR(IF([1]对账明细接口!$P118=0,"",[1]对账明细接口!$P118),"")</f>
        <v/>
      </c>
      <c r="V118" s="21">
        <f>IFERROR(IF([1]对账明细接口!$Q118=0,"",[1]对账明细接口!$Q118),"")</f>
        <v>50</v>
      </c>
      <c r="W118" s="20" t="str">
        <f>IFERROR(IF([1]对账明细接口!$R118=0,"",[1]对账明细接口!$R118),"")</f>
        <v>苏M*7G796</v>
      </c>
      <c r="X118" s="20" t="str">
        <f>IFERROR(IF([1]对账明细接口!$S118=0,"",[1]对账明细接口!$S118),"")</f>
        <v>自备筐</v>
      </c>
      <c r="Y118" s="20" t="str">
        <f>IFERROR(IF([1]对账明细接口!$T118=0,"",[1]对账明细接口!$T118),"")</f>
        <v/>
      </c>
      <c r="Z118" s="24" t="str">
        <f>IFERROR(IF([1]对账明细接口!$U118=0,"",[1]对账明细接口!$U118),"")</f>
        <v/>
      </c>
      <c r="AA118" s="24" t="str">
        <f>IFERROR(IF([1]对账明细接口!$V118=0,"",[1]对账明细接口!$V118),"")</f>
        <v/>
      </c>
      <c r="AB118" s="20" t="str">
        <f>IFERROR(IF([1]对账明细接口!$W118=0,"",[1]对账明细接口!$W118),"")</f>
        <v/>
      </c>
      <c r="AC118" s="7" t="str">
        <f>IFERROR(IF([1]对账明细接口!$X118=0,"",[1]对账明细接口!$X118),"")</f>
        <v/>
      </c>
      <c r="AD118" s="7" t="str">
        <f>IFERROR(IF([1]对账明细接口!$Y118=0,"",[1]对账明细接口!$Y118),"")</f>
        <v/>
      </c>
      <c r="AE118" s="7" t="str">
        <f>IFERROR(IF([1]对账明细接口!$AA118=0,"",[1]对账明细接口!$AA118),"")</f>
        <v/>
      </c>
      <c r="AF118" s="7" t="str">
        <f>IFERROR(IF([1]对账明细接口!$AB118=0,"",[1]对账明细接口!$AB118),"")</f>
        <v/>
      </c>
      <c r="AG118" s="7" t="str">
        <f>IFERROR(IF([1]对账明细接口!$AC118=0,"",[1]对账明细接口!$AC118),"")</f>
        <v/>
      </c>
      <c r="AH118" s="7" t="str">
        <f>IFERROR(IF([1]对账明细接口!$AD118=0,"",[1]对账明细接口!$AD118),"")</f>
        <v/>
      </c>
      <c r="AI118" s="7" t="str">
        <f>IFERROR(IF([1]对账明细接口!$AE118=0,"",[1]对账明细接口!$AE118),"")</f>
        <v/>
      </c>
      <c r="AJ118" s="7" t="str">
        <f>IFERROR(IF([1]对账明细接口!$AF118=0,"",[1]对账明细接口!$AF118),"")</f>
        <v/>
      </c>
    </row>
    <row r="119" ht="14.25" customHeight="1" spans="1:36">
      <c r="A119" s="14">
        <v>119</v>
      </c>
      <c r="B119" s="15">
        <f>IFERROR(IF([1]对账明细接口!$B$119=0,"",[1]对账明细接口!$B$119),"")</f>
        <v>46259</v>
      </c>
      <c r="C119" s="16" t="str">
        <f>IFERROR(IF([1]对账明细接口!$C$119=0,"",[1]对账明细接口!$C$119),"")</f>
        <v>聂新平</v>
      </c>
      <c r="D119" s="16" t="str">
        <f>IFERROR(IF([1]对账明细接口!$D$119=0,"",[1]对账明细接口!$D$119),"")</f>
        <v>原料入库</v>
      </c>
      <c r="E119" s="16" t="str">
        <f>IFERROR(IF([1]对账明细接口!$E$119=0,"",[1]对账明细接口!$E$119),"")</f>
        <v>NO:0000726</v>
      </c>
      <c r="F119" s="16" t="str">
        <f>IFERROR(IF([1]对账明细接口!$F$119=0,"",[1]对账明细接口!$F$119),"")</f>
        <v>西梅</v>
      </c>
      <c r="G119" s="16" t="str">
        <f>IFERROR(IF([1]对账明细接口!$G$119=0,"",[1]对账明细接口!$G$119),"")</f>
        <v>西梅二级</v>
      </c>
      <c r="H119" s="17">
        <f>IFERROR(IF([1]对账明细接口!$H$119=0,"",[1]对账明细接口!$H$119),"")</f>
        <v>22</v>
      </c>
      <c r="I119" s="16" t="str">
        <f>IFERROR(IF([1]对账明细接口!$I$119=0,"",[1]对账明细接口!$I$119),"")</f>
        <v>筐</v>
      </c>
      <c r="J119" s="18">
        <f>IFERROR(IF([1]对账明细接口!$J$119=0,"",[1]对账明细接口!$J$119),"")</f>
        <v>264</v>
      </c>
      <c r="K119" s="18" t="str">
        <f>IFERROR(IF([1]对账明细接口!$K$119=0,"",[1]对账明细接口!$K$119),"")</f>
        <v/>
      </c>
      <c r="L119" s="16" t="str">
        <f>IFERROR(IF([1]对账明细接口!$L$119=0,"",[1]对账明细接口!$L$119),"")</f>
        <v/>
      </c>
      <c r="M119" s="16" t="str">
        <f>IFERROR(IF([1]对账明细接口!$M$119=0,"",[1]对账明细接口!$M$119),"")</f>
        <v/>
      </c>
      <c r="N119" s="19">
        <f t="shared" si="2"/>
        <v>1</v>
      </c>
      <c r="O119" s="19">
        <f t="shared" si="3"/>
        <v>116</v>
      </c>
      <c r="S119" s="20" t="str">
        <f>IFERROR(IF([1]对账明细接口!$N119=0,"",[1]对账明细接口!$N119),"")</f>
        <v>自备一次性筐</v>
      </c>
      <c r="T119" s="21" t="str">
        <f>IFERROR(IF([1]对账明细接口!$O119=0,"",[1]对账明细接口!$O119),"")</f>
        <v/>
      </c>
      <c r="U119" s="21" t="str">
        <f>IFERROR(IF([1]对账明细接口!$P119=0,"",[1]对账明细接口!$P119),"")</f>
        <v/>
      </c>
      <c r="V119" s="21">
        <f>IFERROR(IF([1]对账明细接口!$Q119=0,"",[1]对账明细接口!$Q119),"")</f>
        <v>22</v>
      </c>
      <c r="W119" s="20" t="str">
        <f>IFERROR(IF([1]对账明细接口!$R119=0,"",[1]对账明细接口!$R119),"")</f>
        <v>苏M*7G796</v>
      </c>
      <c r="X119" s="20" t="str">
        <f>IFERROR(IF([1]对账明细接口!$S119=0,"",[1]对账明细接口!$S119),"")</f>
        <v>自备筐</v>
      </c>
      <c r="Y119" s="20" t="str">
        <f>IFERROR(IF([1]对账明细接口!$T119=0,"",[1]对账明细接口!$T119),"")</f>
        <v/>
      </c>
      <c r="Z119" s="24" t="str">
        <f>IFERROR(IF([1]对账明细接口!$U119=0,"",[1]对账明细接口!$U119),"")</f>
        <v/>
      </c>
      <c r="AA119" s="24" t="str">
        <f>IFERROR(IF([1]对账明细接口!$V119=0,"",[1]对账明细接口!$V119),"")</f>
        <v/>
      </c>
      <c r="AB119" s="20" t="str">
        <f>IFERROR(IF([1]对账明细接口!$W119=0,"",[1]对账明细接口!$W119),"")</f>
        <v/>
      </c>
      <c r="AC119" s="7" t="str">
        <f>IFERROR(IF([1]对账明细接口!$X119=0,"",[1]对账明细接口!$X119),"")</f>
        <v/>
      </c>
      <c r="AD119" s="7" t="str">
        <f>IFERROR(IF([1]对账明细接口!$Y119=0,"",[1]对账明细接口!$Y119),"")</f>
        <v/>
      </c>
      <c r="AE119" s="7" t="str">
        <f>IFERROR(IF([1]对账明细接口!$AA119=0,"",[1]对账明细接口!$AA119),"")</f>
        <v/>
      </c>
      <c r="AF119" s="7" t="str">
        <f>IFERROR(IF([1]对账明细接口!$AB119=0,"",[1]对账明细接口!$AB119),"")</f>
        <v/>
      </c>
      <c r="AG119" s="7" t="str">
        <f>IFERROR(IF([1]对账明细接口!$AC119=0,"",[1]对账明细接口!$AC119),"")</f>
        <v/>
      </c>
      <c r="AH119" s="7" t="str">
        <f>IFERROR(IF([1]对账明细接口!$AD119=0,"",[1]对账明细接口!$AD119),"")</f>
        <v/>
      </c>
      <c r="AI119" s="7" t="str">
        <f>IFERROR(IF([1]对账明细接口!$AE119=0,"",[1]对账明细接口!$AE119),"")</f>
        <v/>
      </c>
      <c r="AJ119" s="7" t="str">
        <f>IFERROR(IF([1]对账明细接口!$AF119=0,"",[1]对账明细接口!$AF119),"")</f>
        <v/>
      </c>
    </row>
    <row r="120" ht="14.25" customHeight="1" spans="1:36">
      <c r="A120" s="14">
        <v>120</v>
      </c>
      <c r="B120" s="15">
        <f>IFERROR(IF([1]对账明细接口!$B$120=0,"",[1]对账明细接口!$B$120),"")</f>
        <v>46259</v>
      </c>
      <c r="C120" s="16" t="str">
        <f>IFERROR(IF([1]对账明细接口!$C$120=0,"",[1]对账明细接口!$C$120),"")</f>
        <v>聂新平</v>
      </c>
      <c r="D120" s="16" t="str">
        <f>IFERROR(IF([1]对账明细接口!$D$120=0,"",[1]对账明细接口!$D$120),"")</f>
        <v>原料入库</v>
      </c>
      <c r="E120" s="16" t="str">
        <f>IFERROR(IF([1]对账明细接口!$E$120=0,"",[1]对账明细接口!$E$120),"")</f>
        <v>NO:0000726</v>
      </c>
      <c r="F120" s="16" t="str">
        <f>IFERROR(IF([1]对账明细接口!$F$120=0,"",[1]对账明细接口!$F$120),"")</f>
        <v>西梅</v>
      </c>
      <c r="G120" s="16" t="str">
        <f>IFERROR(IF([1]对账明细接口!$G$120=0,"",[1]对账明细接口!$G$120),"")</f>
        <v>西梅二级</v>
      </c>
      <c r="H120" s="17">
        <f>IFERROR(IF([1]对账明细接口!$H$120=0,"",[1]对账明细接口!$H$120),"")</f>
        <v>288</v>
      </c>
      <c r="I120" s="16" t="str">
        <f>IFERROR(IF([1]对账明细接口!$I$120=0,"",[1]对账明细接口!$I$120),"")</f>
        <v>筐</v>
      </c>
      <c r="J120" s="18">
        <f>IFERROR(IF([1]对账明细接口!$J$120=0,"",[1]对账明细接口!$J$120),"")</f>
        <v>576</v>
      </c>
      <c r="K120" s="18" t="str">
        <f>IFERROR(IF([1]对账明细接口!$K$120=0,"",[1]对账明细接口!$K$120),"")</f>
        <v/>
      </c>
      <c r="L120" s="16" t="str">
        <f>IFERROR(IF([1]对账明细接口!$L$120=0,"",[1]对账明细接口!$L$120),"")</f>
        <v/>
      </c>
      <c r="M120" s="16" t="str">
        <f>IFERROR(IF([1]对账明细接口!$M$120=0,"",[1]对账明细接口!$M$120),"")</f>
        <v/>
      </c>
      <c r="N120" s="19">
        <f t="shared" si="2"/>
        <v>1</v>
      </c>
      <c r="O120" s="19">
        <f t="shared" si="3"/>
        <v>117</v>
      </c>
      <c r="S120" s="20" t="str">
        <f>IFERROR(IF([1]对账明细接口!$N120=0,"",[1]对账明细接口!$N120),"")</f>
        <v>自备一次性筐</v>
      </c>
      <c r="T120" s="21" t="str">
        <f>IFERROR(IF([1]对账明细接口!$O120=0,"",[1]对账明细接口!$O120),"")</f>
        <v/>
      </c>
      <c r="U120" s="21" t="str">
        <f>IFERROR(IF([1]对账明细接口!$P120=0,"",[1]对账明细接口!$P120),"")</f>
        <v/>
      </c>
      <c r="V120" s="21">
        <f>IFERROR(IF([1]对账明细接口!$Q120=0,"",[1]对账明细接口!$Q120),"")</f>
        <v>288</v>
      </c>
      <c r="W120" s="20" t="str">
        <f>IFERROR(IF([1]对账明细接口!$R120=0,"",[1]对账明细接口!$R120),"")</f>
        <v>苏M*7G796</v>
      </c>
      <c r="X120" s="20" t="str">
        <f>IFERROR(IF([1]对账明细接口!$S120=0,"",[1]对账明细接口!$S120),"")</f>
        <v>自备筐</v>
      </c>
      <c r="Y120" s="20" t="str">
        <f>IFERROR(IF([1]对账明细接口!$T120=0,"",[1]对账明细接口!$T120),"")</f>
        <v/>
      </c>
      <c r="Z120" s="24" t="str">
        <f>IFERROR(IF([1]对账明细接口!$U120=0,"",[1]对账明细接口!$U120),"")</f>
        <v/>
      </c>
      <c r="AA120" s="24" t="str">
        <f>IFERROR(IF([1]对账明细接口!$V120=0,"",[1]对账明细接口!$V120),"")</f>
        <v/>
      </c>
      <c r="AB120" s="20" t="str">
        <f>IFERROR(IF([1]对账明细接口!$W120=0,"",[1]对账明细接口!$W120),"")</f>
        <v/>
      </c>
      <c r="AC120" s="7" t="str">
        <f>IFERROR(IF([1]对账明细接口!$X120=0,"",[1]对账明细接口!$X120),"")</f>
        <v/>
      </c>
      <c r="AD120" s="7" t="str">
        <f>IFERROR(IF([1]对账明细接口!$Y120=0,"",[1]对账明细接口!$Y120),"")</f>
        <v/>
      </c>
      <c r="AE120" s="7" t="str">
        <f>IFERROR(IF([1]对账明细接口!$AA120=0,"",[1]对账明细接口!$AA120),"")</f>
        <v/>
      </c>
      <c r="AF120" s="7" t="str">
        <f>IFERROR(IF([1]对账明细接口!$AB120=0,"",[1]对账明细接口!$AB120),"")</f>
        <v/>
      </c>
      <c r="AG120" s="7" t="str">
        <f>IFERROR(IF([1]对账明细接口!$AC120=0,"",[1]对账明细接口!$AC120),"")</f>
        <v/>
      </c>
      <c r="AH120" s="7" t="str">
        <f>IFERROR(IF([1]对账明细接口!$AD120=0,"",[1]对账明细接口!$AD120),"")</f>
        <v/>
      </c>
      <c r="AI120" s="7" t="str">
        <f>IFERROR(IF([1]对账明细接口!$AE120=0,"",[1]对账明细接口!$AE120),"")</f>
        <v/>
      </c>
      <c r="AJ120" s="7" t="str">
        <f>IFERROR(IF([1]对账明细接口!$AF120=0,"",[1]对账明细接口!$AF120),"")</f>
        <v/>
      </c>
    </row>
    <row r="121" ht="14.25" customHeight="1" spans="1:36">
      <c r="A121" s="14">
        <v>121</v>
      </c>
      <c r="B121" s="15">
        <f>IFERROR(IF([1]对账明细接口!$B$121=0,"",[1]对账明细接口!$B$121),"")</f>
        <v>46259</v>
      </c>
      <c r="C121" s="16" t="str">
        <f>IFERROR(IF([1]对账明细接口!$C$121=0,"",[1]对账明细接口!$C$121),"")</f>
        <v>聂新平</v>
      </c>
      <c r="D121" s="16" t="str">
        <f>IFERROR(IF([1]对账明细接口!$D$121=0,"",[1]对账明细接口!$D$121),"")</f>
        <v>原料入库</v>
      </c>
      <c r="E121" s="16" t="str">
        <f>IFERROR(IF([1]对账明细接口!$E$121=0,"",[1]对账明细接口!$E$121),"")</f>
        <v>NO:0000726</v>
      </c>
      <c r="F121" s="16" t="str">
        <f>IFERROR(IF([1]对账明细接口!$F$121=0,"",[1]对账明细接口!$F$121),"")</f>
        <v>西梅</v>
      </c>
      <c r="G121" s="16" t="str">
        <f>IFERROR(IF([1]对账明细接口!$G$121=0,"",[1]对账明细接口!$G$121),"")</f>
        <v>西梅三级</v>
      </c>
      <c r="H121" s="17">
        <f>IFERROR(IF([1]对账明细接口!$H$121=0,"",[1]对账明细接口!$H$121),"")</f>
        <v>68</v>
      </c>
      <c r="I121" s="16" t="str">
        <f>IFERROR(IF([1]对账明细接口!$I$121=0,"",[1]对账明细接口!$I$121),"")</f>
        <v>筐</v>
      </c>
      <c r="J121" s="18">
        <f>IFERROR(IF([1]对账明细接口!$J$121=0,"",[1]对账明细接口!$J$121),"")</f>
        <v>136</v>
      </c>
      <c r="K121" s="18" t="str">
        <f>IFERROR(IF([1]对账明细接口!$K$121=0,"",[1]对账明细接口!$K$121),"")</f>
        <v/>
      </c>
      <c r="L121" s="16" t="str">
        <f>IFERROR(IF([1]对账明细接口!$L$121=0,"",[1]对账明细接口!$L$121),"")</f>
        <v/>
      </c>
      <c r="M121" s="16" t="str">
        <f>IFERROR(IF([1]对账明细接口!$M$121=0,"",[1]对账明细接口!$M$121),"")</f>
        <v/>
      </c>
      <c r="N121" s="19">
        <f t="shared" si="2"/>
        <v>1</v>
      </c>
      <c r="O121" s="19">
        <f t="shared" si="3"/>
        <v>118</v>
      </c>
      <c r="S121" s="20" t="str">
        <f>IFERROR(IF([1]对账明细接口!$N121=0,"",[1]对账明细接口!$N121),"")</f>
        <v>自备一次性筐</v>
      </c>
      <c r="T121" s="21" t="str">
        <f>IFERROR(IF([1]对账明细接口!$O121=0,"",[1]对账明细接口!$O121),"")</f>
        <v/>
      </c>
      <c r="U121" s="21" t="str">
        <f>IFERROR(IF([1]对账明细接口!$P121=0,"",[1]对账明细接口!$P121),"")</f>
        <v/>
      </c>
      <c r="V121" s="21">
        <f>IFERROR(IF([1]对账明细接口!$Q121=0,"",[1]对账明细接口!$Q121),"")</f>
        <v>68</v>
      </c>
      <c r="W121" s="20" t="str">
        <f>IFERROR(IF([1]对账明细接口!$R121=0,"",[1]对账明细接口!$R121),"")</f>
        <v>苏M*7G796</v>
      </c>
      <c r="X121" s="20" t="str">
        <f>IFERROR(IF([1]对账明细接口!$S121=0,"",[1]对账明细接口!$S121),"")</f>
        <v>自备筐</v>
      </c>
      <c r="Y121" s="20" t="str">
        <f>IFERROR(IF([1]对账明细接口!$T121=0,"",[1]对账明细接口!$T121),"")</f>
        <v/>
      </c>
      <c r="Z121" s="24" t="str">
        <f>IFERROR(IF([1]对账明细接口!$U121=0,"",[1]对账明细接口!$U121),"")</f>
        <v/>
      </c>
      <c r="AA121" s="24" t="str">
        <f>IFERROR(IF([1]对账明细接口!$V121=0,"",[1]对账明细接口!$V121),"")</f>
        <v/>
      </c>
      <c r="AB121" s="20" t="str">
        <f>IFERROR(IF([1]对账明细接口!$W121=0,"",[1]对账明细接口!$W121),"")</f>
        <v/>
      </c>
      <c r="AC121" s="7" t="str">
        <f>IFERROR(IF([1]对账明细接口!$X121=0,"",[1]对账明细接口!$X121),"")</f>
        <v/>
      </c>
      <c r="AD121" s="7" t="str">
        <f>IFERROR(IF([1]对账明细接口!$Y121=0,"",[1]对账明细接口!$Y121),"")</f>
        <v/>
      </c>
      <c r="AE121" s="7" t="str">
        <f>IFERROR(IF([1]对账明细接口!$AA121=0,"",[1]对账明细接口!$AA121),"")</f>
        <v/>
      </c>
      <c r="AF121" s="7" t="str">
        <f>IFERROR(IF([1]对账明细接口!$AB121=0,"",[1]对账明细接口!$AB121),"")</f>
        <v/>
      </c>
      <c r="AG121" s="7" t="str">
        <f>IFERROR(IF([1]对账明细接口!$AC121=0,"",[1]对账明细接口!$AC121),"")</f>
        <v/>
      </c>
      <c r="AH121" s="7" t="str">
        <f>IFERROR(IF([1]对账明细接口!$AD121=0,"",[1]对账明细接口!$AD121),"")</f>
        <v/>
      </c>
      <c r="AI121" s="7" t="str">
        <f>IFERROR(IF([1]对账明细接口!$AE121=0,"",[1]对账明细接口!$AE121),"")</f>
        <v/>
      </c>
      <c r="AJ121" s="7" t="str">
        <f>IFERROR(IF([1]对账明细接口!$AF121=0,"",[1]对账明细接口!$AF121),"")</f>
        <v/>
      </c>
    </row>
    <row r="122" ht="14.25" customHeight="1" spans="1:36">
      <c r="A122" s="14">
        <v>122</v>
      </c>
      <c r="B122" s="15">
        <f>IFERROR(IF([1]对账明细接口!$B$122=0,"",[1]对账明细接口!$B$122),"")</f>
        <v>46259</v>
      </c>
      <c r="C122" s="16" t="str">
        <f>IFERROR(IF([1]对账明细接口!$C$122=0,"",[1]对账明细接口!$C$122),"")</f>
        <v>聂新平</v>
      </c>
      <c r="D122" s="16" t="str">
        <f>IFERROR(IF([1]对账明细接口!$D$122=0,"",[1]对账明细接口!$D$122),"")</f>
        <v>原料入库</v>
      </c>
      <c r="E122" s="16" t="str">
        <f>IFERROR(IF([1]对账明细接口!$E$122=0,"",[1]对账明细接口!$E$122),"")</f>
        <v>NO:0000728</v>
      </c>
      <c r="F122" s="16" t="str">
        <f>IFERROR(IF([1]对账明细接口!$F$122=0,"",[1]对账明细接口!$F$122),"")</f>
        <v>西梅</v>
      </c>
      <c r="G122" s="16" t="str">
        <f>IFERROR(IF([1]对账明细接口!$G$122=0,"",[1]对账明细接口!$G$122),"")</f>
        <v>西梅一级</v>
      </c>
      <c r="H122" s="17">
        <f>IFERROR(IF([1]对账明细接口!$H$122=0,"",[1]对账明细接口!$H$122),"")</f>
        <v>50</v>
      </c>
      <c r="I122" s="16" t="str">
        <f>IFERROR(IF([1]对账明细接口!$I$122=0,"",[1]对账明细接口!$I$122),"")</f>
        <v>筐</v>
      </c>
      <c r="J122" s="18">
        <f>IFERROR(IF([1]对账明细接口!$J$122=0,"",[1]对账明细接口!$J$122),"")</f>
        <v>350</v>
      </c>
      <c r="K122" s="18" t="str">
        <f>IFERROR(IF([1]对账明细接口!$K$122=0,"",[1]对账明细接口!$K$122),"")</f>
        <v/>
      </c>
      <c r="L122" s="16" t="str">
        <f>IFERROR(IF([1]对账明细接口!$L$122=0,"",[1]对账明细接口!$L$122),"")</f>
        <v/>
      </c>
      <c r="M122" s="16" t="str">
        <f>IFERROR(IF([1]对账明细接口!$M$122=0,"",[1]对账明细接口!$M$122),"")</f>
        <v/>
      </c>
      <c r="N122" s="19">
        <f t="shared" si="2"/>
        <v>1</v>
      </c>
      <c r="O122" s="19">
        <f t="shared" si="3"/>
        <v>119</v>
      </c>
      <c r="S122" s="20" t="str">
        <f>IFERROR(IF([1]对账明细接口!$N122=0,"",[1]对账明细接口!$N122),"")</f>
        <v>自备一次性筐</v>
      </c>
      <c r="T122" s="21" t="str">
        <f>IFERROR(IF([1]对账明细接口!$O122=0,"",[1]对账明细接口!$O122),"")</f>
        <v/>
      </c>
      <c r="U122" s="21" t="str">
        <f>IFERROR(IF([1]对账明细接口!$P122=0,"",[1]对账明细接口!$P122),"")</f>
        <v/>
      </c>
      <c r="V122" s="21">
        <f>IFERROR(IF([1]对账明细接口!$Q122=0,"",[1]对账明细接口!$Q122),"")</f>
        <v>50</v>
      </c>
      <c r="W122" s="20" t="str">
        <f>IFERROR(IF([1]对账明细接口!$R122=0,"",[1]对账明细接口!$R122),"")</f>
        <v>苏M*7G796</v>
      </c>
      <c r="X122" s="20" t="str">
        <f>IFERROR(IF([1]对账明细接口!$S122=0,"",[1]对账明细接口!$S122),"")</f>
        <v>自备筐</v>
      </c>
      <c r="Y122" s="20" t="str">
        <f>IFERROR(IF([1]对账明细接口!$T122=0,"",[1]对账明细接口!$T122),"")</f>
        <v/>
      </c>
      <c r="Z122" s="24" t="str">
        <f>IFERROR(IF([1]对账明细接口!$U122=0,"",[1]对账明细接口!$U122),"")</f>
        <v/>
      </c>
      <c r="AA122" s="24" t="str">
        <f>IFERROR(IF([1]对账明细接口!$V122=0,"",[1]对账明细接口!$V122),"")</f>
        <v/>
      </c>
      <c r="AB122" s="20" t="str">
        <f>IFERROR(IF([1]对账明细接口!$W122=0,"",[1]对账明细接口!$W122),"")</f>
        <v/>
      </c>
      <c r="AC122" s="7" t="str">
        <f>IFERROR(IF([1]对账明细接口!$X122=0,"",[1]对账明细接口!$X122),"")</f>
        <v/>
      </c>
      <c r="AD122" s="7" t="str">
        <f>IFERROR(IF([1]对账明细接口!$Y122=0,"",[1]对账明细接口!$Y122),"")</f>
        <v/>
      </c>
      <c r="AE122" s="7" t="str">
        <f>IFERROR(IF([1]对账明细接口!$AA122=0,"",[1]对账明细接口!$AA122),"")</f>
        <v/>
      </c>
      <c r="AF122" s="7" t="str">
        <f>IFERROR(IF([1]对账明细接口!$AB122=0,"",[1]对账明细接口!$AB122),"")</f>
        <v/>
      </c>
      <c r="AG122" s="7" t="str">
        <f>IFERROR(IF([1]对账明细接口!$AC122=0,"",[1]对账明细接口!$AC122),"")</f>
        <v/>
      </c>
      <c r="AH122" s="7" t="str">
        <f>IFERROR(IF([1]对账明细接口!$AD122=0,"",[1]对账明细接口!$AD122),"")</f>
        <v/>
      </c>
      <c r="AI122" s="7" t="str">
        <f>IFERROR(IF([1]对账明细接口!$AE122=0,"",[1]对账明细接口!$AE122),"")</f>
        <v/>
      </c>
      <c r="AJ122" s="7" t="str">
        <f>IFERROR(IF([1]对账明细接口!$AF122=0,"",[1]对账明细接口!$AF122),"")</f>
        <v/>
      </c>
    </row>
    <row r="123" ht="14.25" customHeight="1" spans="1:36">
      <c r="A123" s="14">
        <v>123</v>
      </c>
      <c r="B123" s="15">
        <f>IFERROR(IF([1]对账明细接口!$B$123=0,"",[1]对账明细接口!$B$123),"")</f>
        <v>46259</v>
      </c>
      <c r="C123" s="16" t="str">
        <f>IFERROR(IF([1]对账明细接口!$C$123=0,"",[1]对账明细接口!$C$123),"")</f>
        <v>聂新平</v>
      </c>
      <c r="D123" s="16" t="str">
        <f>IFERROR(IF([1]对账明细接口!$D$123=0,"",[1]对账明细接口!$D$123),"")</f>
        <v>原料入库</v>
      </c>
      <c r="E123" s="16" t="str">
        <f>IFERROR(IF([1]对账明细接口!$E$123=0,"",[1]对账明细接口!$E$123),"")</f>
        <v>NO:0000728</v>
      </c>
      <c r="F123" s="16" t="str">
        <f>IFERROR(IF([1]对账明细接口!$F$123=0,"",[1]对账明细接口!$F$123),"")</f>
        <v>西梅</v>
      </c>
      <c r="G123" s="16" t="str">
        <f>IFERROR(IF([1]对账明细接口!$G$123=0,"",[1]对账明细接口!$G$123),"")</f>
        <v>西梅二级</v>
      </c>
      <c r="H123" s="17">
        <f>IFERROR(IF([1]对账明细接口!$H$123=0,"",[1]对账明细接口!$H$123),"")</f>
        <v>12</v>
      </c>
      <c r="I123" s="16" t="str">
        <f>IFERROR(IF([1]对账明细接口!$I$123=0,"",[1]对账明细接口!$I$123),"")</f>
        <v>筐</v>
      </c>
      <c r="J123" s="18">
        <f>IFERROR(IF([1]对账明细接口!$J$123=0,"",[1]对账明细接口!$J$123),"")</f>
        <v>144</v>
      </c>
      <c r="K123" s="18" t="str">
        <f>IFERROR(IF([1]对账明细接口!$K$123=0,"",[1]对账明细接口!$K$123),"")</f>
        <v/>
      </c>
      <c r="L123" s="16" t="str">
        <f>IFERROR(IF([1]对账明细接口!$L$123=0,"",[1]对账明细接口!$L$123),"")</f>
        <v/>
      </c>
      <c r="M123" s="16" t="str">
        <f>IFERROR(IF([1]对账明细接口!$M$123=0,"",[1]对账明细接口!$M$123),"")</f>
        <v/>
      </c>
      <c r="N123" s="19">
        <f t="shared" si="2"/>
        <v>1</v>
      </c>
      <c r="O123" s="19">
        <f t="shared" si="3"/>
        <v>120</v>
      </c>
      <c r="S123" s="20" t="str">
        <f>IFERROR(IF([1]对账明细接口!$N123=0,"",[1]对账明细接口!$N123),"")</f>
        <v>自备一次性筐</v>
      </c>
      <c r="T123" s="21" t="str">
        <f>IFERROR(IF([1]对账明细接口!$O123=0,"",[1]对账明细接口!$O123),"")</f>
        <v/>
      </c>
      <c r="U123" s="21" t="str">
        <f>IFERROR(IF([1]对账明细接口!$P123=0,"",[1]对账明细接口!$P123),"")</f>
        <v/>
      </c>
      <c r="V123" s="21">
        <f>IFERROR(IF([1]对账明细接口!$Q123=0,"",[1]对账明细接口!$Q123),"")</f>
        <v>12</v>
      </c>
      <c r="W123" s="20" t="str">
        <f>IFERROR(IF([1]对账明细接口!$R123=0,"",[1]对账明细接口!$R123),"")</f>
        <v>苏M*7G796</v>
      </c>
      <c r="X123" s="20" t="str">
        <f>IFERROR(IF([1]对账明细接口!$S123=0,"",[1]对账明细接口!$S123),"")</f>
        <v>自备筐</v>
      </c>
      <c r="Y123" s="20" t="str">
        <f>IFERROR(IF([1]对账明细接口!$T123=0,"",[1]对账明细接口!$T123),"")</f>
        <v/>
      </c>
      <c r="Z123" s="24" t="str">
        <f>IFERROR(IF([1]对账明细接口!$U123=0,"",[1]对账明细接口!$U123),"")</f>
        <v/>
      </c>
      <c r="AA123" s="24" t="str">
        <f>IFERROR(IF([1]对账明细接口!$V123=0,"",[1]对账明细接口!$V123),"")</f>
        <v/>
      </c>
      <c r="AB123" s="20" t="str">
        <f>IFERROR(IF([1]对账明细接口!$W123=0,"",[1]对账明细接口!$W123),"")</f>
        <v/>
      </c>
      <c r="AC123" s="7" t="str">
        <f>IFERROR(IF([1]对账明细接口!$X123=0,"",[1]对账明细接口!$X123),"")</f>
        <v/>
      </c>
      <c r="AD123" s="7" t="str">
        <f>IFERROR(IF([1]对账明细接口!$Y123=0,"",[1]对账明细接口!$Y123),"")</f>
        <v/>
      </c>
      <c r="AE123" s="7" t="str">
        <f>IFERROR(IF([1]对账明细接口!$AA123=0,"",[1]对账明细接口!$AA123),"")</f>
        <v/>
      </c>
      <c r="AF123" s="7" t="str">
        <f>IFERROR(IF([1]对账明细接口!$AB123=0,"",[1]对账明细接口!$AB123),"")</f>
        <v/>
      </c>
      <c r="AG123" s="7" t="str">
        <f>IFERROR(IF([1]对账明细接口!$AC123=0,"",[1]对账明细接口!$AC123),"")</f>
        <v/>
      </c>
      <c r="AH123" s="7" t="str">
        <f>IFERROR(IF([1]对账明细接口!$AD123=0,"",[1]对账明细接口!$AD123),"")</f>
        <v/>
      </c>
      <c r="AI123" s="7" t="str">
        <f>IFERROR(IF([1]对账明细接口!$AE123=0,"",[1]对账明细接口!$AE123),"")</f>
        <v/>
      </c>
      <c r="AJ123" s="7" t="str">
        <f>IFERROR(IF([1]对账明细接口!$AF123=0,"",[1]对账明细接口!$AF123),"")</f>
        <v/>
      </c>
    </row>
    <row r="124" ht="14.25" customHeight="1" spans="1:36">
      <c r="A124" s="14">
        <v>124</v>
      </c>
      <c r="B124" s="15">
        <f>IFERROR(IF([1]对账明细接口!$B$124=0,"",[1]对账明细接口!$B$124),"")</f>
        <v>46259</v>
      </c>
      <c r="C124" s="16" t="str">
        <f>IFERROR(IF([1]对账明细接口!$C$124=0,"",[1]对账明细接口!$C$124),"")</f>
        <v>聂新平</v>
      </c>
      <c r="D124" s="16" t="str">
        <f>IFERROR(IF([1]对账明细接口!$D$124=0,"",[1]对账明细接口!$D$124),"")</f>
        <v>原料入库</v>
      </c>
      <c r="E124" s="16" t="str">
        <f>IFERROR(IF([1]对账明细接口!$E$124=0,"",[1]对账明细接口!$E$124),"")</f>
        <v>NO:0000728</v>
      </c>
      <c r="F124" s="16" t="str">
        <f>IFERROR(IF([1]对账明细接口!$F$124=0,"",[1]对账明细接口!$F$124),"")</f>
        <v>西梅</v>
      </c>
      <c r="G124" s="16" t="str">
        <f>IFERROR(IF([1]对账明细接口!$G$124=0,"",[1]对账明细接口!$G$124),"")</f>
        <v>西梅二级</v>
      </c>
      <c r="H124" s="17">
        <f>IFERROR(IF([1]对账明细接口!$H$124=0,"",[1]对账明细接口!$H$124),"")</f>
        <v>312</v>
      </c>
      <c r="I124" s="16" t="str">
        <f>IFERROR(IF([1]对账明细接口!$I$124=0,"",[1]对账明细接口!$I$124),"")</f>
        <v>筐</v>
      </c>
      <c r="J124" s="18">
        <f>IFERROR(IF([1]对账明细接口!$J$124=0,"",[1]对账明细接口!$J$124),"")</f>
        <v>624</v>
      </c>
      <c r="K124" s="18" t="str">
        <f>IFERROR(IF([1]对账明细接口!$K$124=0,"",[1]对账明细接口!$K$124),"")</f>
        <v/>
      </c>
      <c r="L124" s="16" t="str">
        <f>IFERROR(IF([1]对账明细接口!$L$124=0,"",[1]对账明细接口!$L$124),"")</f>
        <v/>
      </c>
      <c r="M124" s="16" t="str">
        <f>IFERROR(IF([1]对账明细接口!$M$124=0,"",[1]对账明细接口!$M$124),"")</f>
        <v/>
      </c>
      <c r="N124" s="19">
        <f t="shared" si="2"/>
        <v>1</v>
      </c>
      <c r="O124" s="19">
        <f t="shared" si="3"/>
        <v>121</v>
      </c>
      <c r="S124" s="20" t="str">
        <f>IFERROR(IF([1]对账明细接口!$N124=0,"",[1]对账明细接口!$N124),"")</f>
        <v>自备一次性筐</v>
      </c>
      <c r="T124" s="21" t="str">
        <f>IFERROR(IF([1]对账明细接口!$O124=0,"",[1]对账明细接口!$O124),"")</f>
        <v/>
      </c>
      <c r="U124" s="21" t="str">
        <f>IFERROR(IF([1]对账明细接口!$P124=0,"",[1]对账明细接口!$P124),"")</f>
        <v/>
      </c>
      <c r="V124" s="21">
        <f>IFERROR(IF([1]对账明细接口!$Q124=0,"",[1]对账明细接口!$Q124),"")</f>
        <v>312</v>
      </c>
      <c r="W124" s="20" t="str">
        <f>IFERROR(IF([1]对账明细接口!$R124=0,"",[1]对账明细接口!$R124),"")</f>
        <v>苏M*7G796</v>
      </c>
      <c r="X124" s="20" t="str">
        <f>IFERROR(IF([1]对账明细接口!$S124=0,"",[1]对账明细接口!$S124),"")</f>
        <v>自备筐</v>
      </c>
      <c r="Y124" s="20" t="str">
        <f>IFERROR(IF([1]对账明细接口!$T124=0,"",[1]对账明细接口!$T124),"")</f>
        <v/>
      </c>
      <c r="Z124" s="24" t="str">
        <f>IFERROR(IF([1]对账明细接口!$U124=0,"",[1]对账明细接口!$U124),"")</f>
        <v/>
      </c>
      <c r="AA124" s="24" t="str">
        <f>IFERROR(IF([1]对账明细接口!$V124=0,"",[1]对账明细接口!$V124),"")</f>
        <v/>
      </c>
      <c r="AB124" s="20" t="str">
        <f>IFERROR(IF([1]对账明细接口!$W124=0,"",[1]对账明细接口!$W124),"")</f>
        <v/>
      </c>
      <c r="AC124" s="7" t="str">
        <f>IFERROR(IF([1]对账明细接口!$X124=0,"",[1]对账明细接口!$X124),"")</f>
        <v/>
      </c>
      <c r="AD124" s="7" t="str">
        <f>IFERROR(IF([1]对账明细接口!$Y124=0,"",[1]对账明细接口!$Y124),"")</f>
        <v/>
      </c>
      <c r="AE124" s="7" t="str">
        <f>IFERROR(IF([1]对账明细接口!$AA124=0,"",[1]对账明细接口!$AA124),"")</f>
        <v/>
      </c>
      <c r="AF124" s="7" t="str">
        <f>IFERROR(IF([1]对账明细接口!$AB124=0,"",[1]对账明细接口!$AB124),"")</f>
        <v/>
      </c>
      <c r="AG124" s="7" t="str">
        <f>IFERROR(IF([1]对账明细接口!$AC124=0,"",[1]对账明细接口!$AC124),"")</f>
        <v/>
      </c>
      <c r="AH124" s="7" t="str">
        <f>IFERROR(IF([1]对账明细接口!$AD124=0,"",[1]对账明细接口!$AD124),"")</f>
        <v/>
      </c>
      <c r="AI124" s="7" t="str">
        <f>IFERROR(IF([1]对账明细接口!$AE124=0,"",[1]对账明细接口!$AE124),"")</f>
        <v/>
      </c>
      <c r="AJ124" s="7" t="str">
        <f>IFERROR(IF([1]对账明细接口!$AF124=0,"",[1]对账明细接口!$AF124),"")</f>
        <v/>
      </c>
    </row>
    <row r="125" ht="14.25" customHeight="1" spans="1:36">
      <c r="A125" s="14">
        <v>125</v>
      </c>
      <c r="B125" s="15">
        <f>IFERROR(IF([1]对账明细接口!$B$125=0,"",[1]对账明细接口!$B$125),"")</f>
        <v>46260</v>
      </c>
      <c r="C125" s="16" t="str">
        <f>IFERROR(IF([1]对账明细接口!$C$125=0,"",[1]对账明细接口!$C$125),"")</f>
        <v>聂新平</v>
      </c>
      <c r="D125" s="16" t="str">
        <f>IFERROR(IF([1]对账明细接口!$D$125=0,"",[1]对账明细接口!$D$125),"")</f>
        <v>原料入库</v>
      </c>
      <c r="E125" s="16" t="str">
        <f>IFERROR(IF([1]对账明细接口!$E$125=0,"",[1]对账明细接口!$E$125),"")</f>
        <v>NO:0000730</v>
      </c>
      <c r="F125" s="16" t="str">
        <f>IFERROR(IF([1]对账明细接口!$F$125=0,"",[1]对账明细接口!$F$125),"")</f>
        <v>西梅</v>
      </c>
      <c r="G125" s="16" t="str">
        <f>IFERROR(IF([1]对账明细接口!$G$125=0,"",[1]对账明细接口!$G$125),"")</f>
        <v>西梅一级</v>
      </c>
      <c r="H125" s="17">
        <f>IFERROR(IF([1]对账明细接口!$H$125=0,"",[1]对账明细接口!$H$125),"")</f>
        <v>20</v>
      </c>
      <c r="I125" s="16" t="str">
        <f>IFERROR(IF([1]对账明细接口!$I$125=0,"",[1]对账明细接口!$I$125),"")</f>
        <v>筐</v>
      </c>
      <c r="J125" s="18">
        <f>IFERROR(IF([1]对账明细接口!$J$125=0,"",[1]对账明细接口!$J$125),"")</f>
        <v>140</v>
      </c>
      <c r="K125" s="18" t="str">
        <f>IFERROR(IF([1]对账明细接口!$K$125=0,"",[1]对账明细接口!$K$125),"")</f>
        <v/>
      </c>
      <c r="L125" s="16" t="str">
        <f>IFERROR(IF([1]对账明细接口!$L$125=0,"",[1]对账明细接口!$L$125),"")</f>
        <v/>
      </c>
      <c r="M125" s="16" t="str">
        <f>IFERROR(IF([1]对账明细接口!$M$125=0,"",[1]对账明细接口!$M$125),"")</f>
        <v/>
      </c>
      <c r="N125" s="19">
        <f t="shared" si="2"/>
        <v>1</v>
      </c>
      <c r="O125" s="19">
        <f t="shared" si="3"/>
        <v>122</v>
      </c>
      <c r="S125" s="20" t="str">
        <f>IFERROR(IF([1]对账明细接口!$N125=0,"",[1]对账明细接口!$N125),"")</f>
        <v>自备一次性筐</v>
      </c>
      <c r="T125" s="21" t="str">
        <f>IFERROR(IF([1]对账明细接口!$O125=0,"",[1]对账明细接口!$O125),"")</f>
        <v/>
      </c>
      <c r="U125" s="21" t="str">
        <f>IFERROR(IF([1]对账明细接口!$P125=0,"",[1]对账明细接口!$P125),"")</f>
        <v/>
      </c>
      <c r="V125" s="21">
        <f>IFERROR(IF([1]对账明细接口!$Q125=0,"",[1]对账明细接口!$Q125),"")</f>
        <v>20</v>
      </c>
      <c r="W125" s="20" t="str">
        <f>IFERROR(IF([1]对账明细接口!$R125=0,"",[1]对账明细接口!$R125),"")</f>
        <v>苏M*7G796</v>
      </c>
      <c r="X125" s="20" t="str">
        <f>IFERROR(IF([1]对账明细接口!$S125=0,"",[1]对账明细接口!$S125),"")</f>
        <v>自备筐</v>
      </c>
      <c r="Y125" s="20" t="str">
        <f>IFERROR(IF([1]对账明细接口!$T125=0,"",[1]对账明细接口!$T125),"")</f>
        <v/>
      </c>
      <c r="Z125" s="24" t="str">
        <f>IFERROR(IF([1]对账明细接口!$U125=0,"",[1]对账明细接口!$U125),"")</f>
        <v/>
      </c>
      <c r="AA125" s="24" t="str">
        <f>IFERROR(IF([1]对账明细接口!$V125=0,"",[1]对账明细接口!$V125),"")</f>
        <v/>
      </c>
      <c r="AB125" s="20" t="str">
        <f>IFERROR(IF([1]对账明细接口!$W125=0,"",[1]对账明细接口!$W125),"")</f>
        <v/>
      </c>
      <c r="AC125" s="7" t="str">
        <f>IFERROR(IF([1]对账明细接口!$X125=0,"",[1]对账明细接口!$X125),"")</f>
        <v/>
      </c>
      <c r="AD125" s="7" t="str">
        <f>IFERROR(IF([1]对账明细接口!$Y125=0,"",[1]对账明细接口!$Y125),"")</f>
        <v/>
      </c>
      <c r="AE125" s="7" t="str">
        <f>IFERROR(IF([1]对账明细接口!$AA125=0,"",[1]对账明细接口!$AA125),"")</f>
        <v/>
      </c>
      <c r="AF125" s="7" t="str">
        <f>IFERROR(IF([1]对账明细接口!$AB125=0,"",[1]对账明细接口!$AB125),"")</f>
        <v/>
      </c>
      <c r="AG125" s="7" t="str">
        <f>IFERROR(IF([1]对账明细接口!$AC125=0,"",[1]对账明细接口!$AC125),"")</f>
        <v/>
      </c>
      <c r="AH125" s="7" t="str">
        <f>IFERROR(IF([1]对账明细接口!$AD125=0,"",[1]对账明细接口!$AD125),"")</f>
        <v/>
      </c>
      <c r="AI125" s="7" t="str">
        <f>IFERROR(IF([1]对账明细接口!$AE125=0,"",[1]对账明细接口!$AE125),"")</f>
        <v/>
      </c>
      <c r="AJ125" s="7" t="str">
        <f>IFERROR(IF([1]对账明细接口!$AF125=0,"",[1]对账明细接口!$AF125),"")</f>
        <v/>
      </c>
    </row>
    <row r="126" ht="14.25" customHeight="1" spans="1:36">
      <c r="A126" s="14">
        <v>126</v>
      </c>
      <c r="B126" s="15">
        <f>IFERROR(IF([1]对账明细接口!$B$126=0,"",[1]对账明细接口!$B$126),"")</f>
        <v>46260</v>
      </c>
      <c r="C126" s="16" t="str">
        <f>IFERROR(IF([1]对账明细接口!$C$126=0,"",[1]对账明细接口!$C$126),"")</f>
        <v>聂新平</v>
      </c>
      <c r="D126" s="16" t="str">
        <f>IFERROR(IF([1]对账明细接口!$D$126=0,"",[1]对账明细接口!$D$126),"")</f>
        <v>原料入库</v>
      </c>
      <c r="E126" s="16" t="str">
        <f>IFERROR(IF([1]对账明细接口!$E$126=0,"",[1]对账明细接口!$E$126),"")</f>
        <v>NO:0000730</v>
      </c>
      <c r="F126" s="16" t="str">
        <f>IFERROR(IF([1]对账明细接口!$F$126=0,"",[1]对账明细接口!$F$126),"")</f>
        <v>西梅</v>
      </c>
      <c r="G126" s="16" t="str">
        <f>IFERROR(IF([1]对账明细接口!$G$126=0,"",[1]对账明细接口!$G$126),"")</f>
        <v>西梅二级</v>
      </c>
      <c r="H126" s="17">
        <f>IFERROR(IF([1]对账明细接口!$H$126=0,"",[1]对账明细接口!$H$126),"")</f>
        <v>222</v>
      </c>
      <c r="I126" s="16" t="str">
        <f>IFERROR(IF([1]对账明细接口!$I$126=0,"",[1]对账明细接口!$I$126),"")</f>
        <v>筐</v>
      </c>
      <c r="J126" s="18">
        <f>IFERROR(IF([1]对账明细接口!$J$126=0,"",[1]对账明细接口!$J$126),"")</f>
        <v>444</v>
      </c>
      <c r="K126" s="18" t="str">
        <f>IFERROR(IF([1]对账明细接口!$K$126=0,"",[1]对账明细接口!$K$126),"")</f>
        <v/>
      </c>
      <c r="L126" s="16" t="str">
        <f>IFERROR(IF([1]对账明细接口!$L$126=0,"",[1]对账明细接口!$L$126),"")</f>
        <v/>
      </c>
      <c r="M126" s="16" t="str">
        <f>IFERROR(IF([1]对账明细接口!$M$126=0,"",[1]对账明细接口!$M$126),"")</f>
        <v/>
      </c>
      <c r="N126" s="19">
        <f t="shared" si="2"/>
        <v>1</v>
      </c>
      <c r="O126" s="19">
        <f t="shared" si="3"/>
        <v>123</v>
      </c>
      <c r="S126" s="20" t="str">
        <f>IFERROR(IF([1]对账明细接口!$N126=0,"",[1]对账明细接口!$N126),"")</f>
        <v>自备一次性筐</v>
      </c>
      <c r="T126" s="21" t="str">
        <f>IFERROR(IF([1]对账明细接口!$O126=0,"",[1]对账明细接口!$O126),"")</f>
        <v/>
      </c>
      <c r="U126" s="21" t="str">
        <f>IFERROR(IF([1]对账明细接口!$P126=0,"",[1]对账明细接口!$P126),"")</f>
        <v/>
      </c>
      <c r="V126" s="21">
        <f>IFERROR(IF([1]对账明细接口!$Q126=0,"",[1]对账明细接口!$Q126),"")</f>
        <v>222</v>
      </c>
      <c r="W126" s="20" t="str">
        <f>IFERROR(IF([1]对账明细接口!$R126=0,"",[1]对账明细接口!$R126),"")</f>
        <v>苏M*7G796</v>
      </c>
      <c r="X126" s="20" t="str">
        <f>IFERROR(IF([1]对账明细接口!$S126=0,"",[1]对账明细接口!$S126),"")</f>
        <v>自备筐</v>
      </c>
      <c r="Y126" s="20" t="str">
        <f>IFERROR(IF([1]对账明细接口!$T126=0,"",[1]对账明细接口!$T126),"")</f>
        <v/>
      </c>
      <c r="Z126" s="24" t="str">
        <f>IFERROR(IF([1]对账明细接口!$U126=0,"",[1]对账明细接口!$U126),"")</f>
        <v/>
      </c>
      <c r="AA126" s="24" t="str">
        <f>IFERROR(IF([1]对账明细接口!$V126=0,"",[1]对账明细接口!$V126),"")</f>
        <v/>
      </c>
      <c r="AB126" s="20" t="str">
        <f>IFERROR(IF([1]对账明细接口!$W126=0,"",[1]对账明细接口!$W126),"")</f>
        <v/>
      </c>
      <c r="AC126" s="7" t="str">
        <f>IFERROR(IF([1]对账明细接口!$X126=0,"",[1]对账明细接口!$X126),"")</f>
        <v/>
      </c>
      <c r="AD126" s="7" t="str">
        <f>IFERROR(IF([1]对账明细接口!$Y126=0,"",[1]对账明细接口!$Y126),"")</f>
        <v/>
      </c>
      <c r="AE126" s="7" t="str">
        <f>IFERROR(IF([1]对账明细接口!$AA126=0,"",[1]对账明细接口!$AA126),"")</f>
        <v/>
      </c>
      <c r="AF126" s="7" t="str">
        <f>IFERROR(IF([1]对账明细接口!$AB126=0,"",[1]对账明细接口!$AB126),"")</f>
        <v/>
      </c>
      <c r="AG126" s="7" t="str">
        <f>IFERROR(IF([1]对账明细接口!$AC126=0,"",[1]对账明细接口!$AC126),"")</f>
        <v/>
      </c>
      <c r="AH126" s="7" t="str">
        <f>IFERROR(IF([1]对账明细接口!$AD126=0,"",[1]对账明细接口!$AD126),"")</f>
        <v/>
      </c>
      <c r="AI126" s="7" t="str">
        <f>IFERROR(IF([1]对账明细接口!$AE126=0,"",[1]对账明细接口!$AE126),"")</f>
        <v/>
      </c>
      <c r="AJ126" s="7" t="str">
        <f>IFERROR(IF([1]对账明细接口!$AF126=0,"",[1]对账明细接口!$AF126),"")</f>
        <v/>
      </c>
    </row>
    <row r="127" ht="14.25" customHeight="1" spans="1:36">
      <c r="A127" s="14">
        <v>127</v>
      </c>
      <c r="B127" s="15">
        <f>IFERROR(IF([1]对账明细接口!$B$127=0,"",[1]对账明细接口!$B$127),"")</f>
        <v>46260</v>
      </c>
      <c r="C127" s="16" t="str">
        <f>IFERROR(IF([1]对账明细接口!$C$127=0,"",[1]对账明细接口!$C$127),"")</f>
        <v>聂新平</v>
      </c>
      <c r="D127" s="16" t="str">
        <f>IFERROR(IF([1]对账明细接口!$D$127=0,"",[1]对账明细接口!$D$127),"")</f>
        <v>原料入库</v>
      </c>
      <c r="E127" s="16" t="str">
        <f>IFERROR(IF([1]对账明细接口!$E$127=0,"",[1]对账明细接口!$E$127),"")</f>
        <v>NO:0000730</v>
      </c>
      <c r="F127" s="16" t="str">
        <f>IFERROR(IF([1]对账明细接口!$F$127=0,"",[1]对账明细接口!$F$127),"")</f>
        <v>西梅</v>
      </c>
      <c r="G127" s="16" t="str">
        <f>IFERROR(IF([1]对账明细接口!$G$127=0,"",[1]对账明细接口!$G$127),"")</f>
        <v>西梅三级</v>
      </c>
      <c r="H127" s="17">
        <f>IFERROR(IF([1]对账明细接口!$H$127=0,"",[1]对账明细接口!$H$127),"")</f>
        <v>243</v>
      </c>
      <c r="I127" s="16" t="str">
        <f>IFERROR(IF([1]对账明细接口!$I$127=0,"",[1]对账明细接口!$I$127),"")</f>
        <v>筐</v>
      </c>
      <c r="J127" s="18">
        <f>IFERROR(IF([1]对账明细接口!$J$127=0,"",[1]对账明细接口!$J$127),"")</f>
        <v>486</v>
      </c>
      <c r="K127" s="18" t="str">
        <f>IFERROR(IF([1]对账明细接口!$K$127=0,"",[1]对账明细接口!$K$127),"")</f>
        <v/>
      </c>
      <c r="L127" s="16" t="str">
        <f>IFERROR(IF([1]对账明细接口!$L$127=0,"",[1]对账明细接口!$L$127),"")</f>
        <v/>
      </c>
      <c r="M127" s="16" t="str">
        <f>IFERROR(IF([1]对账明细接口!$M$127=0,"",[1]对账明细接口!$M$127),"")</f>
        <v/>
      </c>
      <c r="N127" s="19">
        <f t="shared" si="2"/>
        <v>1</v>
      </c>
      <c r="O127" s="19">
        <f t="shared" si="3"/>
        <v>124</v>
      </c>
      <c r="S127" s="20" t="str">
        <f>IFERROR(IF([1]对账明细接口!$N127=0,"",[1]对账明细接口!$N127),"")</f>
        <v>自备一次性筐</v>
      </c>
      <c r="T127" s="21" t="str">
        <f>IFERROR(IF([1]对账明细接口!$O127=0,"",[1]对账明细接口!$O127),"")</f>
        <v/>
      </c>
      <c r="U127" s="21" t="str">
        <f>IFERROR(IF([1]对账明细接口!$P127=0,"",[1]对账明细接口!$P127),"")</f>
        <v/>
      </c>
      <c r="V127" s="21">
        <f>IFERROR(IF([1]对账明细接口!$Q127=0,"",[1]对账明细接口!$Q127),"")</f>
        <v>243</v>
      </c>
      <c r="W127" s="20" t="str">
        <f>IFERROR(IF([1]对账明细接口!$R127=0,"",[1]对账明细接口!$R127),"")</f>
        <v>苏M*7G796</v>
      </c>
      <c r="X127" s="20" t="str">
        <f>IFERROR(IF([1]对账明细接口!$S127=0,"",[1]对账明细接口!$S127),"")</f>
        <v>自备筐</v>
      </c>
      <c r="Y127" s="20" t="str">
        <f>IFERROR(IF([1]对账明细接口!$T127=0,"",[1]对账明细接口!$T127),"")</f>
        <v/>
      </c>
      <c r="Z127" s="24" t="str">
        <f>IFERROR(IF([1]对账明细接口!$U127=0,"",[1]对账明细接口!$U127),"")</f>
        <v/>
      </c>
      <c r="AA127" s="24" t="str">
        <f>IFERROR(IF([1]对账明细接口!$V127=0,"",[1]对账明细接口!$V127),"")</f>
        <v/>
      </c>
      <c r="AB127" s="20" t="str">
        <f>IFERROR(IF([1]对账明细接口!$W127=0,"",[1]对账明细接口!$W127),"")</f>
        <v/>
      </c>
      <c r="AC127" s="7" t="str">
        <f>IFERROR(IF([1]对账明细接口!$X127=0,"",[1]对账明细接口!$X127),"")</f>
        <v/>
      </c>
      <c r="AD127" s="7" t="str">
        <f>IFERROR(IF([1]对账明细接口!$Y127=0,"",[1]对账明细接口!$Y127),"")</f>
        <v/>
      </c>
      <c r="AE127" s="7" t="str">
        <f>IFERROR(IF([1]对账明细接口!$AA127=0,"",[1]对账明细接口!$AA127),"")</f>
        <v/>
      </c>
      <c r="AF127" s="7" t="str">
        <f>IFERROR(IF([1]对账明细接口!$AB127=0,"",[1]对账明细接口!$AB127),"")</f>
        <v/>
      </c>
      <c r="AG127" s="7" t="str">
        <f>IFERROR(IF([1]对账明细接口!$AC127=0,"",[1]对账明细接口!$AC127),"")</f>
        <v/>
      </c>
      <c r="AH127" s="7" t="str">
        <f>IFERROR(IF([1]对账明细接口!$AD127=0,"",[1]对账明细接口!$AD127),"")</f>
        <v/>
      </c>
      <c r="AI127" s="7" t="str">
        <f>IFERROR(IF([1]对账明细接口!$AE127=0,"",[1]对账明细接口!$AE127),"")</f>
        <v/>
      </c>
      <c r="AJ127" s="7" t="str">
        <f>IFERROR(IF([1]对账明细接口!$AF127=0,"",[1]对账明细接口!$AF127),"")</f>
        <v/>
      </c>
    </row>
    <row r="128" ht="14.25" customHeight="1" spans="1:36">
      <c r="A128" s="14">
        <v>128</v>
      </c>
      <c r="B128" s="15">
        <f>IFERROR(IF([1]对账明细接口!$B$128=0,"",[1]对账明细接口!$B$128),"")</f>
        <v>46260</v>
      </c>
      <c r="C128" s="16" t="str">
        <f>IFERROR(IF([1]对账明细接口!$C$128=0,"",[1]对账明细接口!$C$128),"")</f>
        <v>聂新平</v>
      </c>
      <c r="D128" s="16" t="str">
        <f>IFERROR(IF([1]对账明细接口!$D$128=0,"",[1]对账明细接口!$D$128),"")</f>
        <v>原料入库</v>
      </c>
      <c r="E128" s="16" t="str">
        <f>IFERROR(IF([1]对账明细接口!$E$128=0,"",[1]对账明细接口!$E$128),"")</f>
        <v>NO:0000731</v>
      </c>
      <c r="F128" s="16" t="str">
        <f>IFERROR(IF([1]对账明细接口!$F$128=0,"",[1]对账明细接口!$F$128),"")</f>
        <v>西梅</v>
      </c>
      <c r="G128" s="16" t="str">
        <f>IFERROR(IF([1]对账明细接口!$G$128=0,"",[1]对账明细接口!$G$128),"")</f>
        <v>西梅一级</v>
      </c>
      <c r="H128" s="17">
        <f>IFERROR(IF([1]对账明细接口!$H$128=0,"",[1]对账明细接口!$H$128),"")</f>
        <v>101</v>
      </c>
      <c r="I128" s="16" t="str">
        <f>IFERROR(IF([1]对账明细接口!$I$128=0,"",[1]对账明细接口!$I$128),"")</f>
        <v>筐</v>
      </c>
      <c r="J128" s="18">
        <f>IFERROR(IF([1]对账明细接口!$J$128=0,"",[1]对账明细接口!$J$128),"")</f>
        <v>707</v>
      </c>
      <c r="K128" s="18" t="str">
        <f>IFERROR(IF([1]对账明细接口!$K$128=0,"",[1]对账明细接口!$K$128),"")</f>
        <v/>
      </c>
      <c r="L128" s="16" t="str">
        <f>IFERROR(IF([1]对账明细接口!$L$128=0,"",[1]对账明细接口!$L$128),"")</f>
        <v/>
      </c>
      <c r="M128" s="16" t="str">
        <f>IFERROR(IF([1]对账明细接口!$M$128=0,"",[1]对账明细接口!$M$128),"")</f>
        <v/>
      </c>
      <c r="N128" s="19">
        <f t="shared" si="2"/>
        <v>1</v>
      </c>
      <c r="O128" s="19">
        <f t="shared" si="3"/>
        <v>125</v>
      </c>
      <c r="S128" s="20" t="str">
        <f>IFERROR(IF([1]对账明细接口!$N128=0,"",[1]对账明细接口!$N128),"")</f>
        <v>自备一次性筐</v>
      </c>
      <c r="T128" s="21" t="str">
        <f>IFERROR(IF([1]对账明细接口!$O128=0,"",[1]对账明细接口!$O128),"")</f>
        <v/>
      </c>
      <c r="U128" s="21" t="str">
        <f>IFERROR(IF([1]对账明细接口!$P128=0,"",[1]对账明细接口!$P128),"")</f>
        <v/>
      </c>
      <c r="V128" s="21">
        <f>IFERROR(IF([1]对账明细接口!$Q128=0,"",[1]对账明细接口!$Q128),"")</f>
        <v>101</v>
      </c>
      <c r="W128" s="20" t="str">
        <f>IFERROR(IF([1]对账明细接口!$R128=0,"",[1]对账明细接口!$R128),"")</f>
        <v>苏M*7G796</v>
      </c>
      <c r="X128" s="20" t="str">
        <f>IFERROR(IF([1]对账明细接口!$S128=0,"",[1]对账明细接口!$S128),"")</f>
        <v>自备筐</v>
      </c>
      <c r="Y128" s="20" t="str">
        <f>IFERROR(IF([1]对账明细接口!$T128=0,"",[1]对账明细接口!$T128),"")</f>
        <v/>
      </c>
      <c r="Z128" s="24" t="str">
        <f>IFERROR(IF([1]对账明细接口!$U128=0,"",[1]对账明细接口!$U128),"")</f>
        <v/>
      </c>
      <c r="AA128" s="24" t="str">
        <f>IFERROR(IF([1]对账明细接口!$V128=0,"",[1]对账明细接口!$V128),"")</f>
        <v/>
      </c>
      <c r="AB128" s="20" t="str">
        <f>IFERROR(IF([1]对账明细接口!$W128=0,"",[1]对账明细接口!$W128),"")</f>
        <v/>
      </c>
      <c r="AC128" s="7" t="str">
        <f>IFERROR(IF([1]对账明细接口!$X128=0,"",[1]对账明细接口!$X128),"")</f>
        <v/>
      </c>
      <c r="AD128" s="7" t="str">
        <f>IFERROR(IF([1]对账明细接口!$Y128=0,"",[1]对账明细接口!$Y128),"")</f>
        <v/>
      </c>
      <c r="AE128" s="7" t="str">
        <f>IFERROR(IF([1]对账明细接口!$AA128=0,"",[1]对账明细接口!$AA128),"")</f>
        <v/>
      </c>
      <c r="AF128" s="7" t="str">
        <f>IFERROR(IF([1]对账明细接口!$AB128=0,"",[1]对账明细接口!$AB128),"")</f>
        <v/>
      </c>
      <c r="AG128" s="7" t="str">
        <f>IFERROR(IF([1]对账明细接口!$AC128=0,"",[1]对账明细接口!$AC128),"")</f>
        <v/>
      </c>
      <c r="AH128" s="7" t="str">
        <f>IFERROR(IF([1]对账明细接口!$AD128=0,"",[1]对账明细接口!$AD128),"")</f>
        <v/>
      </c>
      <c r="AI128" s="7" t="str">
        <f>IFERROR(IF([1]对账明细接口!$AE128=0,"",[1]对账明细接口!$AE128),"")</f>
        <v/>
      </c>
      <c r="AJ128" s="7" t="str">
        <f>IFERROR(IF([1]对账明细接口!$AF128=0,"",[1]对账明细接口!$AF128),"")</f>
        <v/>
      </c>
    </row>
    <row r="129" ht="14.25" customHeight="1" spans="1:36">
      <c r="A129" s="14">
        <v>129</v>
      </c>
      <c r="B129" s="15">
        <f>IFERROR(IF([1]对账明细接口!$B$129=0,"",[1]对账明细接口!$B$129),"")</f>
        <v>46260</v>
      </c>
      <c r="C129" s="16" t="str">
        <f>IFERROR(IF([1]对账明细接口!$C$129=0,"",[1]对账明细接口!$C$129),"")</f>
        <v>聂新平</v>
      </c>
      <c r="D129" s="16" t="str">
        <f>IFERROR(IF([1]对账明细接口!$D$129=0,"",[1]对账明细接口!$D$129),"")</f>
        <v>原料入库</v>
      </c>
      <c r="E129" s="16" t="str">
        <f>IFERROR(IF([1]对账明细接口!$E$129=0,"",[1]对账明细接口!$E$129),"")</f>
        <v>NO:0000731</v>
      </c>
      <c r="F129" s="16" t="str">
        <f>IFERROR(IF([1]对账明细接口!$F$129=0,"",[1]对账明细接口!$F$129),"")</f>
        <v>西梅</v>
      </c>
      <c r="G129" s="16" t="str">
        <f>IFERROR(IF([1]对账明细接口!$G$129=0,"",[1]对账明细接口!$G$129),"")</f>
        <v>西梅二级</v>
      </c>
      <c r="H129" s="17">
        <f>IFERROR(IF([1]对账明细接口!$H$129=0,"",[1]对账明细接口!$H$129),"")</f>
        <v>24</v>
      </c>
      <c r="I129" s="16" t="str">
        <f>IFERROR(IF([1]对账明细接口!$I$129=0,"",[1]对账明细接口!$I$129),"")</f>
        <v>筐</v>
      </c>
      <c r="J129" s="18">
        <f>IFERROR(IF([1]对账明细接口!$J$129=0,"",[1]对账明细接口!$J$129),"")</f>
        <v>288</v>
      </c>
      <c r="K129" s="18" t="str">
        <f>IFERROR(IF([1]对账明细接口!$K$129=0,"",[1]对账明细接口!$K$129),"")</f>
        <v/>
      </c>
      <c r="L129" s="16" t="str">
        <f>IFERROR(IF([1]对账明细接口!$L$129=0,"",[1]对账明细接口!$L$129),"")</f>
        <v/>
      </c>
      <c r="M129" s="16" t="str">
        <f>IFERROR(IF([1]对账明细接口!$M$129=0,"",[1]对账明细接口!$M$129),"")</f>
        <v/>
      </c>
      <c r="N129" s="19">
        <f t="shared" si="2"/>
        <v>1</v>
      </c>
      <c r="O129" s="19">
        <f t="shared" si="3"/>
        <v>126</v>
      </c>
      <c r="S129" s="20" t="str">
        <f>IFERROR(IF([1]对账明细接口!$N129=0,"",[1]对账明细接口!$N129),"")</f>
        <v>自备一次性筐</v>
      </c>
      <c r="T129" s="21" t="str">
        <f>IFERROR(IF([1]对账明细接口!$O129=0,"",[1]对账明细接口!$O129),"")</f>
        <v/>
      </c>
      <c r="U129" s="21" t="str">
        <f>IFERROR(IF([1]对账明细接口!$P129=0,"",[1]对账明细接口!$P129),"")</f>
        <v/>
      </c>
      <c r="V129" s="21">
        <f>IFERROR(IF([1]对账明细接口!$Q129=0,"",[1]对账明细接口!$Q129),"")</f>
        <v>24</v>
      </c>
      <c r="W129" s="20" t="str">
        <f>IFERROR(IF([1]对账明细接口!$R129=0,"",[1]对账明细接口!$R129),"")</f>
        <v>苏M*7G796</v>
      </c>
      <c r="X129" s="20" t="str">
        <f>IFERROR(IF([1]对账明细接口!$S129=0,"",[1]对账明细接口!$S129),"")</f>
        <v>自备筐</v>
      </c>
      <c r="Y129" s="20" t="str">
        <f>IFERROR(IF([1]对账明细接口!$T129=0,"",[1]对账明细接口!$T129),"")</f>
        <v/>
      </c>
      <c r="Z129" s="24" t="str">
        <f>IFERROR(IF([1]对账明细接口!$U129=0,"",[1]对账明细接口!$U129),"")</f>
        <v/>
      </c>
      <c r="AA129" s="24" t="str">
        <f>IFERROR(IF([1]对账明细接口!$V129=0,"",[1]对账明细接口!$V129),"")</f>
        <v/>
      </c>
      <c r="AB129" s="20" t="str">
        <f>IFERROR(IF([1]对账明细接口!$W129=0,"",[1]对账明细接口!$W129),"")</f>
        <v/>
      </c>
      <c r="AC129" s="7" t="str">
        <f>IFERROR(IF([1]对账明细接口!$X129=0,"",[1]对账明细接口!$X129),"")</f>
        <v/>
      </c>
      <c r="AD129" s="7" t="str">
        <f>IFERROR(IF([1]对账明细接口!$Y129=0,"",[1]对账明细接口!$Y129),"")</f>
        <v/>
      </c>
      <c r="AE129" s="7" t="str">
        <f>IFERROR(IF([1]对账明细接口!$AA129=0,"",[1]对账明细接口!$AA129),"")</f>
        <v/>
      </c>
      <c r="AF129" s="7" t="str">
        <f>IFERROR(IF([1]对账明细接口!$AB129=0,"",[1]对账明细接口!$AB129),"")</f>
        <v/>
      </c>
      <c r="AG129" s="7" t="str">
        <f>IFERROR(IF([1]对账明细接口!$AC129=0,"",[1]对账明细接口!$AC129),"")</f>
        <v/>
      </c>
      <c r="AH129" s="7" t="str">
        <f>IFERROR(IF([1]对账明细接口!$AD129=0,"",[1]对账明细接口!$AD129),"")</f>
        <v/>
      </c>
      <c r="AI129" s="7" t="str">
        <f>IFERROR(IF([1]对账明细接口!$AE129=0,"",[1]对账明细接口!$AE129),"")</f>
        <v/>
      </c>
      <c r="AJ129" s="7" t="str">
        <f>IFERROR(IF([1]对账明细接口!$AF129=0,"",[1]对账明细接口!$AF129),"")</f>
        <v/>
      </c>
    </row>
    <row r="130" ht="14.25" customHeight="1" spans="1:36">
      <c r="A130" s="14">
        <v>130</v>
      </c>
      <c r="B130" s="15">
        <f>IFERROR(IF([1]对账明细接口!$B$130=0,"",[1]对账明细接口!$B$130),"")</f>
        <v>46260</v>
      </c>
      <c r="C130" s="16" t="str">
        <f>IFERROR(IF([1]对账明细接口!$C$130=0,"",[1]对账明细接口!$C$130),"")</f>
        <v>聂新平</v>
      </c>
      <c r="D130" s="16" t="str">
        <f>IFERROR(IF([1]对账明细接口!$D$130=0,"",[1]对账明细接口!$D$130),"")</f>
        <v>原料入库</v>
      </c>
      <c r="E130" s="16" t="str">
        <f>IFERROR(IF([1]对账明细接口!$E$130=0,"",[1]对账明细接口!$E$130),"")</f>
        <v>NO:0000731</v>
      </c>
      <c r="F130" s="16" t="str">
        <f>IFERROR(IF([1]对账明细接口!$F$130=0,"",[1]对账明细接口!$F$130),"")</f>
        <v>西梅</v>
      </c>
      <c r="G130" s="16" t="str">
        <f>IFERROR(IF([1]对账明细接口!$G$130=0,"",[1]对账明细接口!$G$130),"")</f>
        <v>西梅二级</v>
      </c>
      <c r="H130" s="17">
        <f>IFERROR(IF([1]对账明细接口!$H$130=0,"",[1]对账明细接口!$H$130),"")</f>
        <v>60</v>
      </c>
      <c r="I130" s="16" t="str">
        <f>IFERROR(IF([1]对账明细接口!$I$130=0,"",[1]对账明细接口!$I$130),"")</f>
        <v>筐</v>
      </c>
      <c r="J130" s="18">
        <f>IFERROR(IF([1]对账明细接口!$J$130=0,"",[1]对账明细接口!$J$130),"")</f>
        <v>120</v>
      </c>
      <c r="K130" s="18" t="str">
        <f>IFERROR(IF([1]对账明细接口!$K$130=0,"",[1]对账明细接口!$K$130),"")</f>
        <v/>
      </c>
      <c r="L130" s="16" t="str">
        <f>IFERROR(IF([1]对账明细接口!$L$130=0,"",[1]对账明细接口!$L$130),"")</f>
        <v/>
      </c>
      <c r="M130" s="16" t="str">
        <f>IFERROR(IF([1]对账明细接口!$M$130=0,"",[1]对账明细接口!$M$130),"")</f>
        <v/>
      </c>
      <c r="N130" s="19">
        <f t="shared" si="2"/>
        <v>1</v>
      </c>
      <c r="O130" s="19">
        <f t="shared" si="3"/>
        <v>127</v>
      </c>
      <c r="S130" s="20" t="str">
        <f>IFERROR(IF([1]对账明细接口!$N130=0,"",[1]对账明细接口!$N130),"")</f>
        <v>自备一次性筐</v>
      </c>
      <c r="T130" s="21" t="str">
        <f>IFERROR(IF([1]对账明细接口!$O130=0,"",[1]对账明细接口!$O130),"")</f>
        <v/>
      </c>
      <c r="U130" s="21" t="str">
        <f>IFERROR(IF([1]对账明细接口!$P130=0,"",[1]对账明细接口!$P130),"")</f>
        <v/>
      </c>
      <c r="V130" s="21">
        <f>IFERROR(IF([1]对账明细接口!$Q130=0,"",[1]对账明细接口!$Q130),"")</f>
        <v>60</v>
      </c>
      <c r="W130" s="20" t="str">
        <f>IFERROR(IF([1]对账明细接口!$R130=0,"",[1]对账明细接口!$R130),"")</f>
        <v>苏M*7G796</v>
      </c>
      <c r="X130" s="20" t="str">
        <f>IFERROR(IF([1]对账明细接口!$S130=0,"",[1]对账明细接口!$S130),"")</f>
        <v>自备筐</v>
      </c>
      <c r="Y130" s="20" t="str">
        <f>IFERROR(IF([1]对账明细接口!$T130=0,"",[1]对账明细接口!$T130),"")</f>
        <v/>
      </c>
      <c r="Z130" s="24" t="str">
        <f>IFERROR(IF([1]对账明细接口!$U130=0,"",[1]对账明细接口!$U130),"")</f>
        <v/>
      </c>
      <c r="AA130" s="24" t="str">
        <f>IFERROR(IF([1]对账明细接口!$V130=0,"",[1]对账明细接口!$V130),"")</f>
        <v/>
      </c>
      <c r="AB130" s="20" t="str">
        <f>IFERROR(IF([1]对账明细接口!$W130=0,"",[1]对账明细接口!$W130),"")</f>
        <v/>
      </c>
      <c r="AC130" s="7" t="str">
        <f>IFERROR(IF([1]对账明细接口!$X130=0,"",[1]对账明细接口!$X130),"")</f>
        <v/>
      </c>
      <c r="AD130" s="7" t="str">
        <f>IFERROR(IF([1]对账明细接口!$Y130=0,"",[1]对账明细接口!$Y130),"")</f>
        <v/>
      </c>
      <c r="AE130" s="7" t="str">
        <f>IFERROR(IF([1]对账明细接口!$AA130=0,"",[1]对账明细接口!$AA130),"")</f>
        <v/>
      </c>
      <c r="AF130" s="7" t="str">
        <f>IFERROR(IF([1]对账明细接口!$AB130=0,"",[1]对账明细接口!$AB130),"")</f>
        <v/>
      </c>
      <c r="AG130" s="7" t="str">
        <f>IFERROR(IF([1]对账明细接口!$AC130=0,"",[1]对账明细接口!$AC130),"")</f>
        <v/>
      </c>
      <c r="AH130" s="7" t="str">
        <f>IFERROR(IF([1]对账明细接口!$AD130=0,"",[1]对账明细接口!$AD130),"")</f>
        <v/>
      </c>
      <c r="AI130" s="7" t="str">
        <f>IFERROR(IF([1]对账明细接口!$AE130=0,"",[1]对账明细接口!$AE130),"")</f>
        <v/>
      </c>
      <c r="AJ130" s="7" t="str">
        <f>IFERROR(IF([1]对账明细接口!$AF130=0,"",[1]对账明细接口!$AF130),"")</f>
        <v/>
      </c>
    </row>
    <row r="131" ht="14.25" customHeight="1" spans="1:36">
      <c r="A131" s="14">
        <v>131</v>
      </c>
      <c r="B131" s="15">
        <f>IFERROR(IF([1]对账明细接口!$B$131=0,"",[1]对账明细接口!$B$131),"")</f>
        <v>46260</v>
      </c>
      <c r="C131" s="16" t="str">
        <f>IFERROR(IF([1]对账明细接口!$C$131=0,"",[1]对账明细接口!$C$131),"")</f>
        <v>聂新平</v>
      </c>
      <c r="D131" s="16" t="str">
        <f>IFERROR(IF([1]对账明细接口!$D$131=0,"",[1]对账明细接口!$D$131),"")</f>
        <v>原料入库</v>
      </c>
      <c r="E131" s="16" t="str">
        <f>IFERROR(IF([1]对账明细接口!$E$131=0,"",[1]对账明细接口!$E$131),"")</f>
        <v>NO:0000733</v>
      </c>
      <c r="F131" s="16" t="str">
        <f>IFERROR(IF([1]对账明细接口!$F$131=0,"",[1]对账明细接口!$F$131),"")</f>
        <v>西梅</v>
      </c>
      <c r="G131" s="16" t="str">
        <f>IFERROR(IF([1]对账明细接口!$G$131=0,"",[1]对账明细接口!$G$131),"")</f>
        <v>西梅一级</v>
      </c>
      <c r="H131" s="17">
        <f>IFERROR(IF([1]对账明细接口!$H$131=0,"",[1]对账明细接口!$H$131),"")</f>
        <v>86</v>
      </c>
      <c r="I131" s="16" t="str">
        <f>IFERROR(IF([1]对账明细接口!$I$131=0,"",[1]对账明细接口!$I$131),"")</f>
        <v>筐</v>
      </c>
      <c r="J131" s="18">
        <f>IFERROR(IF([1]对账明细接口!$J$131=0,"",[1]对账明细接口!$J$131),"")</f>
        <v>602</v>
      </c>
      <c r="K131" s="18" t="str">
        <f>IFERROR(IF([1]对账明细接口!$K$131=0,"",[1]对账明细接口!$K$131),"")</f>
        <v/>
      </c>
      <c r="L131" s="16" t="str">
        <f>IFERROR(IF([1]对账明细接口!$L$131=0,"",[1]对账明细接口!$L$131),"")</f>
        <v/>
      </c>
      <c r="M131" s="16" t="str">
        <f>IFERROR(IF([1]对账明细接口!$M$131=0,"",[1]对账明细接口!$M$131),"")</f>
        <v/>
      </c>
      <c r="N131" s="19">
        <f t="shared" si="2"/>
        <v>1</v>
      </c>
      <c r="O131" s="19">
        <f t="shared" si="3"/>
        <v>128</v>
      </c>
      <c r="S131" s="20" t="str">
        <f>IFERROR(IF([1]对账明细接口!$N131=0,"",[1]对账明细接口!$N131),"")</f>
        <v>自备一次性筐</v>
      </c>
      <c r="T131" s="21" t="str">
        <f>IFERROR(IF([1]对账明细接口!$O131=0,"",[1]对账明细接口!$O131),"")</f>
        <v/>
      </c>
      <c r="U131" s="21" t="str">
        <f>IFERROR(IF([1]对账明细接口!$P131=0,"",[1]对账明细接口!$P131),"")</f>
        <v/>
      </c>
      <c r="V131" s="21">
        <f>IFERROR(IF([1]对账明细接口!$Q131=0,"",[1]对账明细接口!$Q131),"")</f>
        <v>86</v>
      </c>
      <c r="W131" s="20" t="str">
        <f>IFERROR(IF([1]对账明细接口!$R131=0,"",[1]对账明细接口!$R131),"")</f>
        <v>苏M*7G796</v>
      </c>
      <c r="X131" s="20" t="str">
        <f>IFERROR(IF([1]对账明细接口!$S131=0,"",[1]对账明细接口!$S131),"")</f>
        <v>自备筐</v>
      </c>
      <c r="Y131" s="20" t="str">
        <f>IFERROR(IF([1]对账明细接口!$T131=0,"",[1]对账明细接口!$T131),"")</f>
        <v/>
      </c>
      <c r="Z131" s="24" t="str">
        <f>IFERROR(IF([1]对账明细接口!$U131=0,"",[1]对账明细接口!$U131),"")</f>
        <v/>
      </c>
      <c r="AA131" s="24" t="str">
        <f>IFERROR(IF([1]对账明细接口!$V131=0,"",[1]对账明细接口!$V131),"")</f>
        <v/>
      </c>
      <c r="AB131" s="20" t="str">
        <f>IFERROR(IF([1]对账明细接口!$W131=0,"",[1]对账明细接口!$W131),"")</f>
        <v/>
      </c>
      <c r="AC131" s="7" t="str">
        <f>IFERROR(IF([1]对账明细接口!$X131=0,"",[1]对账明细接口!$X131),"")</f>
        <v/>
      </c>
      <c r="AD131" s="7" t="str">
        <f>IFERROR(IF([1]对账明细接口!$Y131=0,"",[1]对账明细接口!$Y131),"")</f>
        <v/>
      </c>
      <c r="AE131" s="7" t="str">
        <f>IFERROR(IF([1]对账明细接口!$AA131=0,"",[1]对账明细接口!$AA131),"")</f>
        <v/>
      </c>
      <c r="AF131" s="7" t="str">
        <f>IFERROR(IF([1]对账明细接口!$AB131=0,"",[1]对账明细接口!$AB131),"")</f>
        <v/>
      </c>
      <c r="AG131" s="7" t="str">
        <f>IFERROR(IF([1]对账明细接口!$AC131=0,"",[1]对账明细接口!$AC131),"")</f>
        <v/>
      </c>
      <c r="AH131" s="7" t="str">
        <f>IFERROR(IF([1]对账明细接口!$AD131=0,"",[1]对账明细接口!$AD131),"")</f>
        <v/>
      </c>
      <c r="AI131" s="7" t="str">
        <f>IFERROR(IF([1]对账明细接口!$AE131=0,"",[1]对账明细接口!$AE131),"")</f>
        <v/>
      </c>
      <c r="AJ131" s="7" t="str">
        <f>IFERROR(IF([1]对账明细接口!$AF131=0,"",[1]对账明细接口!$AF131),"")</f>
        <v/>
      </c>
    </row>
    <row r="132" ht="14.25" customHeight="1" spans="1:36">
      <c r="A132" s="14">
        <v>132</v>
      </c>
      <c r="B132" s="15">
        <f>IFERROR(IF([1]对账明细接口!$B$132=0,"",[1]对账明细接口!$B$132),"")</f>
        <v>46260</v>
      </c>
      <c r="C132" s="16" t="str">
        <f>IFERROR(IF([1]对账明细接口!$C$132=0,"",[1]对账明细接口!$C$132),"")</f>
        <v>聂新平</v>
      </c>
      <c r="D132" s="16" t="str">
        <f>IFERROR(IF([1]对账明细接口!$D$132=0,"",[1]对账明细接口!$D$132),"")</f>
        <v>原料入库</v>
      </c>
      <c r="E132" s="16" t="str">
        <f>IFERROR(IF([1]对账明细接口!$E$132=0,"",[1]对账明细接口!$E$132),"")</f>
        <v>NO:0000733</v>
      </c>
      <c r="F132" s="16" t="str">
        <f>IFERROR(IF([1]对账明细接口!$F$132=0,"",[1]对账明细接口!$F$132),"")</f>
        <v>西梅</v>
      </c>
      <c r="G132" s="16" t="str">
        <f>IFERROR(IF([1]对账明细接口!$G$132=0,"",[1]对账明细接口!$G$132),"")</f>
        <v>西梅二级</v>
      </c>
      <c r="H132" s="17">
        <f>IFERROR(IF([1]对账明细接口!$H$132=0,"",[1]对账明细接口!$H$132),"")</f>
        <v>54</v>
      </c>
      <c r="I132" s="16" t="str">
        <f>IFERROR(IF([1]对账明细接口!$I$132=0,"",[1]对账明细接口!$I$132),"")</f>
        <v>筐</v>
      </c>
      <c r="J132" s="18">
        <f>IFERROR(IF([1]对账明细接口!$J$132=0,"",[1]对账明细接口!$J$132),"")</f>
        <v>648</v>
      </c>
      <c r="K132" s="18" t="str">
        <f>IFERROR(IF([1]对账明细接口!$K$132=0,"",[1]对账明细接口!$K$132),"")</f>
        <v/>
      </c>
      <c r="L132" s="16" t="str">
        <f>IFERROR(IF([1]对账明细接口!$L$132=0,"",[1]对账明细接口!$L$132),"")</f>
        <v/>
      </c>
      <c r="M132" s="16" t="str">
        <f>IFERROR(IF([1]对账明细接口!$M$132=0,"",[1]对账明细接口!$M$132),"")</f>
        <v/>
      </c>
      <c r="N132" s="19">
        <f t="shared" ref="N132:N195" si="4">IF($C132="",0,1)</f>
        <v>1</v>
      </c>
      <c r="O132" s="19">
        <f t="shared" ref="O132:O195" si="5">N(O131)+$N132</f>
        <v>129</v>
      </c>
      <c r="S132" s="20" t="str">
        <f>IFERROR(IF([1]对账明细接口!$N132=0,"",[1]对账明细接口!$N132),"")</f>
        <v>自备一次性筐</v>
      </c>
      <c r="T132" s="21" t="str">
        <f>IFERROR(IF([1]对账明细接口!$O132=0,"",[1]对账明细接口!$O132),"")</f>
        <v/>
      </c>
      <c r="U132" s="21" t="str">
        <f>IFERROR(IF([1]对账明细接口!$P132=0,"",[1]对账明细接口!$P132),"")</f>
        <v/>
      </c>
      <c r="V132" s="21">
        <f>IFERROR(IF([1]对账明细接口!$Q132=0,"",[1]对账明细接口!$Q132),"")</f>
        <v>54</v>
      </c>
      <c r="W132" s="20" t="str">
        <f>IFERROR(IF([1]对账明细接口!$R132=0,"",[1]对账明细接口!$R132),"")</f>
        <v>苏M*7G796</v>
      </c>
      <c r="X132" s="20" t="str">
        <f>IFERROR(IF([1]对账明细接口!$S132=0,"",[1]对账明细接口!$S132),"")</f>
        <v>自备筐</v>
      </c>
      <c r="Y132" s="20" t="str">
        <f>IFERROR(IF([1]对账明细接口!$T132=0,"",[1]对账明细接口!$T132),"")</f>
        <v/>
      </c>
      <c r="Z132" s="24" t="str">
        <f>IFERROR(IF([1]对账明细接口!$U132=0,"",[1]对账明细接口!$U132),"")</f>
        <v/>
      </c>
      <c r="AA132" s="24" t="str">
        <f>IFERROR(IF([1]对账明细接口!$V132=0,"",[1]对账明细接口!$V132),"")</f>
        <v/>
      </c>
      <c r="AB132" s="20" t="str">
        <f>IFERROR(IF([1]对账明细接口!$W132=0,"",[1]对账明细接口!$W132),"")</f>
        <v/>
      </c>
      <c r="AC132" s="7" t="str">
        <f>IFERROR(IF([1]对账明细接口!$X132=0,"",[1]对账明细接口!$X132),"")</f>
        <v/>
      </c>
      <c r="AD132" s="7" t="str">
        <f>IFERROR(IF([1]对账明细接口!$Y132=0,"",[1]对账明细接口!$Y132),"")</f>
        <v/>
      </c>
      <c r="AE132" s="7" t="str">
        <f>IFERROR(IF([1]对账明细接口!$AA132=0,"",[1]对账明细接口!$AA132),"")</f>
        <v/>
      </c>
      <c r="AF132" s="7" t="str">
        <f>IFERROR(IF([1]对账明细接口!$AB132=0,"",[1]对账明细接口!$AB132),"")</f>
        <v/>
      </c>
      <c r="AG132" s="7" t="str">
        <f>IFERROR(IF([1]对账明细接口!$AC132=0,"",[1]对账明细接口!$AC132),"")</f>
        <v/>
      </c>
      <c r="AH132" s="7" t="str">
        <f>IFERROR(IF([1]对账明细接口!$AD132=0,"",[1]对账明细接口!$AD132),"")</f>
        <v/>
      </c>
      <c r="AI132" s="7" t="str">
        <f>IFERROR(IF([1]对账明细接口!$AE132=0,"",[1]对账明细接口!$AE132),"")</f>
        <v/>
      </c>
      <c r="AJ132" s="7" t="str">
        <f>IFERROR(IF([1]对账明细接口!$AF132=0,"",[1]对账明细接口!$AF132),"")</f>
        <v/>
      </c>
    </row>
    <row r="133" ht="14.25" customHeight="1" spans="1:36">
      <c r="A133" s="14">
        <v>133</v>
      </c>
      <c r="B133" s="15">
        <f>IFERROR(IF([1]对账明细接口!$B$133=0,"",[1]对账明细接口!$B$133),"")</f>
        <v>46260</v>
      </c>
      <c r="C133" s="16" t="str">
        <f>IFERROR(IF([1]对账明细接口!$C$133=0,"",[1]对账明细接口!$C$133),"")</f>
        <v>聂新平</v>
      </c>
      <c r="D133" s="16" t="str">
        <f>IFERROR(IF([1]对账明细接口!$D$133=0,"",[1]对账明细接口!$D$133),"")</f>
        <v>原料入库</v>
      </c>
      <c r="E133" s="16" t="str">
        <f>IFERROR(IF([1]对账明细接口!$E$133=0,"",[1]对账明细接口!$E$133),"")</f>
        <v>NO:0000733</v>
      </c>
      <c r="F133" s="16" t="str">
        <f>IFERROR(IF([1]对账明细接口!$F$133=0,"",[1]对账明细接口!$F$133),"")</f>
        <v>西梅</v>
      </c>
      <c r="G133" s="16" t="str">
        <f>IFERROR(IF([1]对账明细接口!$G$133=0,"",[1]对账明细接口!$G$133),"")</f>
        <v>西梅三级</v>
      </c>
      <c r="H133" s="17">
        <f>IFERROR(IF([1]对账明细接口!$H$133=0,"",[1]对账明细接口!$H$133),"")</f>
        <v>53</v>
      </c>
      <c r="I133" s="16" t="str">
        <f>IFERROR(IF([1]对账明细接口!$I$133=0,"",[1]对账明细接口!$I$133),"")</f>
        <v>筐</v>
      </c>
      <c r="J133" s="18">
        <f>IFERROR(IF([1]对账明细接口!$J$133=0,"",[1]对账明细接口!$J$133),"")</f>
        <v>106</v>
      </c>
      <c r="K133" s="18" t="str">
        <f>IFERROR(IF([1]对账明细接口!$K$133=0,"",[1]对账明细接口!$K$133),"")</f>
        <v/>
      </c>
      <c r="L133" s="16" t="str">
        <f>IFERROR(IF([1]对账明细接口!$L$133=0,"",[1]对账明细接口!$L$133),"")</f>
        <v/>
      </c>
      <c r="M133" s="16" t="str">
        <f>IFERROR(IF([1]对账明细接口!$M$133=0,"",[1]对账明细接口!$M$133),"")</f>
        <v/>
      </c>
      <c r="N133" s="19">
        <f t="shared" si="4"/>
        <v>1</v>
      </c>
      <c r="O133" s="19">
        <f t="shared" si="5"/>
        <v>130</v>
      </c>
      <c r="S133" s="20" t="str">
        <f>IFERROR(IF([1]对账明细接口!$N133=0,"",[1]对账明细接口!$N133),"")</f>
        <v>自备一次性筐</v>
      </c>
      <c r="T133" s="21" t="str">
        <f>IFERROR(IF([1]对账明细接口!$O133=0,"",[1]对账明细接口!$O133),"")</f>
        <v/>
      </c>
      <c r="U133" s="21" t="str">
        <f>IFERROR(IF([1]对账明细接口!$P133=0,"",[1]对账明细接口!$P133),"")</f>
        <v/>
      </c>
      <c r="V133" s="21">
        <f>IFERROR(IF([1]对账明细接口!$Q133=0,"",[1]对账明细接口!$Q133),"")</f>
        <v>53</v>
      </c>
      <c r="W133" s="20" t="str">
        <f>IFERROR(IF([1]对账明细接口!$R133=0,"",[1]对账明细接口!$R133),"")</f>
        <v>苏M*7G796</v>
      </c>
      <c r="X133" s="20" t="str">
        <f>IFERROR(IF([1]对账明细接口!$S133=0,"",[1]对账明细接口!$S133),"")</f>
        <v>自备筐</v>
      </c>
      <c r="Y133" s="20" t="str">
        <f>IFERROR(IF([1]对账明细接口!$T133=0,"",[1]对账明细接口!$T133),"")</f>
        <v/>
      </c>
      <c r="Z133" s="24" t="str">
        <f>IFERROR(IF([1]对账明细接口!$U133=0,"",[1]对账明细接口!$U133),"")</f>
        <v/>
      </c>
      <c r="AA133" s="24" t="str">
        <f>IFERROR(IF([1]对账明细接口!$V133=0,"",[1]对账明细接口!$V133),"")</f>
        <v/>
      </c>
      <c r="AB133" s="20" t="str">
        <f>IFERROR(IF([1]对账明细接口!$W133=0,"",[1]对账明细接口!$W133),"")</f>
        <v/>
      </c>
      <c r="AC133" s="7" t="str">
        <f>IFERROR(IF([1]对账明细接口!$X133=0,"",[1]对账明细接口!$X133),"")</f>
        <v/>
      </c>
      <c r="AD133" s="7" t="str">
        <f>IFERROR(IF([1]对账明细接口!$Y133=0,"",[1]对账明细接口!$Y133),"")</f>
        <v/>
      </c>
      <c r="AE133" s="7" t="str">
        <f>IFERROR(IF([1]对账明细接口!$AA133=0,"",[1]对账明细接口!$AA133),"")</f>
        <v/>
      </c>
      <c r="AF133" s="7" t="str">
        <f>IFERROR(IF([1]对账明细接口!$AB133=0,"",[1]对账明细接口!$AB133),"")</f>
        <v/>
      </c>
      <c r="AG133" s="7" t="str">
        <f>IFERROR(IF([1]对账明细接口!$AC133=0,"",[1]对账明细接口!$AC133),"")</f>
        <v/>
      </c>
      <c r="AH133" s="7" t="str">
        <f>IFERROR(IF([1]对账明细接口!$AD133=0,"",[1]对账明细接口!$AD133),"")</f>
        <v/>
      </c>
      <c r="AI133" s="7" t="str">
        <f>IFERROR(IF([1]对账明细接口!$AE133=0,"",[1]对账明细接口!$AE133),"")</f>
        <v/>
      </c>
      <c r="AJ133" s="7" t="str">
        <f>IFERROR(IF([1]对账明细接口!$AF133=0,"",[1]对账明细接口!$AF133),"")</f>
        <v/>
      </c>
    </row>
    <row r="134" ht="14.25" customHeight="1" spans="1:36">
      <c r="A134" s="14">
        <v>134</v>
      </c>
      <c r="B134" s="15">
        <f>IFERROR(IF([1]对账明细接口!$B$134=0,"",[1]对账明细接口!$B$134),"")</f>
        <v>46260</v>
      </c>
      <c r="C134" s="16" t="str">
        <f>IFERROR(IF([1]对账明细接口!$C$134=0,"",[1]对账明细接口!$C$134),"")</f>
        <v>聂新平</v>
      </c>
      <c r="D134" s="16" t="str">
        <f>IFERROR(IF([1]对账明细接口!$D$134=0,"",[1]对账明细接口!$D$134),"")</f>
        <v>原料入库</v>
      </c>
      <c r="E134" s="16" t="str">
        <f>IFERROR(IF([1]对账明细接口!$E$134=0,"",[1]对账明细接口!$E$134),"")</f>
        <v>NO:0000734</v>
      </c>
      <c r="F134" s="16" t="str">
        <f>IFERROR(IF([1]对账明细接口!$F$134=0,"",[1]对账明细接口!$F$134),"")</f>
        <v>西梅</v>
      </c>
      <c r="G134" s="16" t="str">
        <f>IFERROR(IF([1]对账明细接口!$G$134=0,"",[1]对账明细接口!$G$134),"")</f>
        <v>西梅二级</v>
      </c>
      <c r="H134" s="17">
        <f>IFERROR(IF([1]对账明细接口!$H$134=0,"",[1]对账明细接口!$H$134),"")</f>
        <v>21</v>
      </c>
      <c r="I134" s="16" t="str">
        <f>IFERROR(IF([1]对账明细接口!$I$134=0,"",[1]对账明细接口!$I$134),"")</f>
        <v>筐</v>
      </c>
      <c r="J134" s="18">
        <f>IFERROR(IF([1]对账明细接口!$J$134=0,"",[1]对账明细接口!$J$134),"")</f>
        <v>252</v>
      </c>
      <c r="K134" s="18" t="str">
        <f>IFERROR(IF([1]对账明细接口!$K$134=0,"",[1]对账明细接口!$K$134),"")</f>
        <v/>
      </c>
      <c r="L134" s="16" t="str">
        <f>IFERROR(IF([1]对账明细接口!$L$134=0,"",[1]对账明细接口!$L$134),"")</f>
        <v/>
      </c>
      <c r="M134" s="16" t="str">
        <f>IFERROR(IF([1]对账明细接口!$M$134=0,"",[1]对账明细接口!$M$134),"")</f>
        <v/>
      </c>
      <c r="N134" s="19">
        <f t="shared" si="4"/>
        <v>1</v>
      </c>
      <c r="O134" s="19">
        <f t="shared" si="5"/>
        <v>131</v>
      </c>
      <c r="S134" s="20" t="str">
        <f>IFERROR(IF([1]对账明细接口!$N134=0,"",[1]对账明细接口!$N134),"")</f>
        <v>自备一次性筐</v>
      </c>
      <c r="T134" s="21" t="str">
        <f>IFERROR(IF([1]对账明细接口!$O134=0,"",[1]对账明细接口!$O134),"")</f>
        <v/>
      </c>
      <c r="U134" s="21" t="str">
        <f>IFERROR(IF([1]对账明细接口!$P134=0,"",[1]对账明细接口!$P134),"")</f>
        <v/>
      </c>
      <c r="V134" s="21">
        <f>IFERROR(IF([1]对账明细接口!$Q134=0,"",[1]对账明细接口!$Q134),"")</f>
        <v>21</v>
      </c>
      <c r="W134" s="20" t="str">
        <f>IFERROR(IF([1]对账明细接口!$R134=0,"",[1]对账明细接口!$R134),"")</f>
        <v>苏M*7G796</v>
      </c>
      <c r="X134" s="20" t="str">
        <f>IFERROR(IF([1]对账明细接口!$S134=0,"",[1]对账明细接口!$S134),"")</f>
        <v>自备筐</v>
      </c>
      <c r="Y134" s="20" t="str">
        <f>IFERROR(IF([1]对账明细接口!$T134=0,"",[1]对账明细接口!$T134),"")</f>
        <v/>
      </c>
      <c r="Z134" s="24" t="str">
        <f>IFERROR(IF([1]对账明细接口!$U134=0,"",[1]对账明细接口!$U134),"")</f>
        <v/>
      </c>
      <c r="AA134" s="24" t="str">
        <f>IFERROR(IF([1]对账明细接口!$V134=0,"",[1]对账明细接口!$V134),"")</f>
        <v/>
      </c>
      <c r="AB134" s="20" t="str">
        <f>IFERROR(IF([1]对账明细接口!$W134=0,"",[1]对账明细接口!$W134),"")</f>
        <v/>
      </c>
      <c r="AC134" s="7" t="str">
        <f>IFERROR(IF([1]对账明细接口!$X134=0,"",[1]对账明细接口!$X134),"")</f>
        <v/>
      </c>
      <c r="AD134" s="7" t="str">
        <f>IFERROR(IF([1]对账明细接口!$Y134=0,"",[1]对账明细接口!$Y134),"")</f>
        <v/>
      </c>
      <c r="AE134" s="7" t="str">
        <f>IFERROR(IF([1]对账明细接口!$AA134=0,"",[1]对账明细接口!$AA134),"")</f>
        <v/>
      </c>
      <c r="AF134" s="7" t="str">
        <f>IFERROR(IF([1]对账明细接口!$AB134=0,"",[1]对账明细接口!$AB134),"")</f>
        <v/>
      </c>
      <c r="AG134" s="7" t="str">
        <f>IFERROR(IF([1]对账明细接口!$AC134=0,"",[1]对账明细接口!$AC134),"")</f>
        <v/>
      </c>
      <c r="AH134" s="7" t="str">
        <f>IFERROR(IF([1]对账明细接口!$AD134=0,"",[1]对账明细接口!$AD134),"")</f>
        <v/>
      </c>
      <c r="AI134" s="7" t="str">
        <f>IFERROR(IF([1]对账明细接口!$AE134=0,"",[1]对账明细接口!$AE134),"")</f>
        <v/>
      </c>
      <c r="AJ134" s="7" t="str">
        <f>IFERROR(IF([1]对账明细接口!$AF134=0,"",[1]对账明细接口!$AF134),"")</f>
        <v/>
      </c>
    </row>
    <row r="135" ht="14.25" customHeight="1" spans="1:36">
      <c r="A135" s="14">
        <v>135</v>
      </c>
      <c r="B135" s="15">
        <f>IFERROR(IF([1]对账明细接口!$B$135=0,"",[1]对账明细接口!$B$135),"")</f>
        <v>46260</v>
      </c>
      <c r="C135" s="16" t="str">
        <f>IFERROR(IF([1]对账明细接口!$C$135=0,"",[1]对账明细接口!$C$135),"")</f>
        <v>聂新平</v>
      </c>
      <c r="D135" s="16" t="str">
        <f>IFERROR(IF([1]对账明细接口!$D$135=0,"",[1]对账明细接口!$D$135),"")</f>
        <v>原料入库</v>
      </c>
      <c r="E135" s="16" t="str">
        <f>IFERROR(IF([1]对账明细接口!$E$135=0,"",[1]对账明细接口!$E$135),"")</f>
        <v>NO:0000734</v>
      </c>
      <c r="F135" s="16" t="str">
        <f>IFERROR(IF([1]对账明细接口!$F$135=0,"",[1]对账明细接口!$F$135),"")</f>
        <v>西梅</v>
      </c>
      <c r="G135" s="16" t="str">
        <f>IFERROR(IF([1]对账明细接口!$G$135=0,"",[1]对账明细接口!$G$135),"")</f>
        <v>西梅二级</v>
      </c>
      <c r="H135" s="17">
        <f>IFERROR(IF([1]对账明细接口!$H$135=0,"",[1]对账明细接口!$H$135),"")</f>
        <v>216</v>
      </c>
      <c r="I135" s="16" t="str">
        <f>IFERROR(IF([1]对账明细接口!$I$135=0,"",[1]对账明细接口!$I$135),"")</f>
        <v>筐</v>
      </c>
      <c r="J135" s="18">
        <f>IFERROR(IF([1]对账明细接口!$J$135=0,"",[1]对账明细接口!$J$135),"")</f>
        <v>432</v>
      </c>
      <c r="K135" s="18" t="str">
        <f>IFERROR(IF([1]对账明细接口!$K$135=0,"",[1]对账明细接口!$K$135),"")</f>
        <v/>
      </c>
      <c r="L135" s="16" t="str">
        <f>IFERROR(IF([1]对账明细接口!$L$135=0,"",[1]对账明细接口!$L$135),"")</f>
        <v/>
      </c>
      <c r="M135" s="16" t="str">
        <f>IFERROR(IF([1]对账明细接口!$M$135=0,"",[1]对账明细接口!$M$135),"")</f>
        <v/>
      </c>
      <c r="N135" s="19">
        <f t="shared" si="4"/>
        <v>1</v>
      </c>
      <c r="O135" s="19">
        <f t="shared" si="5"/>
        <v>132</v>
      </c>
      <c r="S135" s="20" t="str">
        <f>IFERROR(IF([1]对账明细接口!$N135=0,"",[1]对账明细接口!$N135),"")</f>
        <v>自备一次性筐</v>
      </c>
      <c r="T135" s="21" t="str">
        <f>IFERROR(IF([1]对账明细接口!$O135=0,"",[1]对账明细接口!$O135),"")</f>
        <v/>
      </c>
      <c r="U135" s="21" t="str">
        <f>IFERROR(IF([1]对账明细接口!$P135=0,"",[1]对账明细接口!$P135),"")</f>
        <v/>
      </c>
      <c r="V135" s="21">
        <f>IFERROR(IF([1]对账明细接口!$Q135=0,"",[1]对账明细接口!$Q135),"")</f>
        <v>216</v>
      </c>
      <c r="W135" s="20" t="str">
        <f>IFERROR(IF([1]对账明细接口!$R135=0,"",[1]对账明细接口!$R135),"")</f>
        <v>苏M*7G796</v>
      </c>
      <c r="X135" s="20" t="str">
        <f>IFERROR(IF([1]对账明细接口!$S135=0,"",[1]对账明细接口!$S135),"")</f>
        <v>自备筐</v>
      </c>
      <c r="Y135" s="20" t="str">
        <f>IFERROR(IF([1]对账明细接口!$T135=0,"",[1]对账明细接口!$T135),"")</f>
        <v/>
      </c>
      <c r="Z135" s="24" t="str">
        <f>IFERROR(IF([1]对账明细接口!$U135=0,"",[1]对账明细接口!$U135),"")</f>
        <v/>
      </c>
      <c r="AA135" s="24" t="str">
        <f>IFERROR(IF([1]对账明细接口!$V135=0,"",[1]对账明细接口!$V135),"")</f>
        <v/>
      </c>
      <c r="AB135" s="20" t="str">
        <f>IFERROR(IF([1]对账明细接口!$W135=0,"",[1]对账明细接口!$W135),"")</f>
        <v/>
      </c>
      <c r="AC135" s="7" t="str">
        <f>IFERROR(IF([1]对账明细接口!$X135=0,"",[1]对账明细接口!$X135),"")</f>
        <v/>
      </c>
      <c r="AD135" s="7" t="str">
        <f>IFERROR(IF([1]对账明细接口!$Y135=0,"",[1]对账明细接口!$Y135),"")</f>
        <v/>
      </c>
      <c r="AE135" s="7" t="str">
        <f>IFERROR(IF([1]对账明细接口!$AA135=0,"",[1]对账明细接口!$AA135),"")</f>
        <v/>
      </c>
      <c r="AF135" s="7" t="str">
        <f>IFERROR(IF([1]对账明细接口!$AB135=0,"",[1]对账明细接口!$AB135),"")</f>
        <v/>
      </c>
      <c r="AG135" s="7" t="str">
        <f>IFERROR(IF([1]对账明细接口!$AC135=0,"",[1]对账明细接口!$AC135),"")</f>
        <v/>
      </c>
      <c r="AH135" s="7" t="str">
        <f>IFERROR(IF([1]对账明细接口!$AD135=0,"",[1]对账明细接口!$AD135),"")</f>
        <v/>
      </c>
      <c r="AI135" s="7" t="str">
        <f>IFERROR(IF([1]对账明细接口!$AE135=0,"",[1]对账明细接口!$AE135),"")</f>
        <v/>
      </c>
      <c r="AJ135" s="7" t="str">
        <f>IFERROR(IF([1]对账明细接口!$AF135=0,"",[1]对账明细接口!$AF135),"")</f>
        <v/>
      </c>
    </row>
    <row r="136" ht="14.25" customHeight="1" spans="1:36">
      <c r="A136" s="14">
        <v>136</v>
      </c>
      <c r="B136" s="15">
        <f>IFERROR(IF([1]对账明细接口!$B$136=0,"",[1]对账明细接口!$B$136),"")</f>
        <v>46260</v>
      </c>
      <c r="C136" s="16" t="str">
        <f>IFERROR(IF([1]对账明细接口!$C$136=0,"",[1]对账明细接口!$C$136),"")</f>
        <v>聂新平</v>
      </c>
      <c r="D136" s="16" t="str">
        <f>IFERROR(IF([1]对账明细接口!$D$136=0,"",[1]对账明细接口!$D$136),"")</f>
        <v>原料入库</v>
      </c>
      <c r="E136" s="16" t="str">
        <f>IFERROR(IF([1]对账明细接口!$E$136=0,"",[1]对账明细接口!$E$136),"")</f>
        <v>NO:0000734</v>
      </c>
      <c r="F136" s="16" t="str">
        <f>IFERROR(IF([1]对账明细接口!$F$136=0,"",[1]对账明细接口!$F$136),"")</f>
        <v>西梅</v>
      </c>
      <c r="G136" s="16" t="str">
        <f>IFERROR(IF([1]对账明细接口!$G$136=0,"",[1]对账明细接口!$G$136),"")</f>
        <v>西梅三级</v>
      </c>
      <c r="H136" s="17">
        <f>IFERROR(IF([1]对账明细接口!$H$136=0,"",[1]对账明细接口!$H$136),"")</f>
        <v>153</v>
      </c>
      <c r="I136" s="16" t="str">
        <f>IFERROR(IF([1]对账明细接口!$I$136=0,"",[1]对账明细接口!$I$136),"")</f>
        <v>筐</v>
      </c>
      <c r="J136" s="18">
        <f>IFERROR(IF([1]对账明细接口!$J$136=0,"",[1]对账明细接口!$J$136),"")</f>
        <v>306</v>
      </c>
      <c r="K136" s="18" t="str">
        <f>IFERROR(IF([1]对账明细接口!$K$136=0,"",[1]对账明细接口!$K$136),"")</f>
        <v/>
      </c>
      <c r="L136" s="16" t="str">
        <f>IFERROR(IF([1]对账明细接口!$L$136=0,"",[1]对账明细接口!$L$136),"")</f>
        <v/>
      </c>
      <c r="M136" s="16" t="str">
        <f>IFERROR(IF([1]对账明细接口!$M$136=0,"",[1]对账明细接口!$M$136),"")</f>
        <v/>
      </c>
      <c r="N136" s="19">
        <f t="shared" si="4"/>
        <v>1</v>
      </c>
      <c r="O136" s="19">
        <f t="shared" si="5"/>
        <v>133</v>
      </c>
      <c r="S136" s="20" t="str">
        <f>IFERROR(IF([1]对账明细接口!$N136=0,"",[1]对账明细接口!$N136),"")</f>
        <v>自备一次性筐</v>
      </c>
      <c r="T136" s="21" t="str">
        <f>IFERROR(IF([1]对账明细接口!$O136=0,"",[1]对账明细接口!$O136),"")</f>
        <v/>
      </c>
      <c r="U136" s="21" t="str">
        <f>IFERROR(IF([1]对账明细接口!$P136=0,"",[1]对账明细接口!$P136),"")</f>
        <v/>
      </c>
      <c r="V136" s="21">
        <f>IFERROR(IF([1]对账明细接口!$Q136=0,"",[1]对账明细接口!$Q136),"")</f>
        <v>153</v>
      </c>
      <c r="W136" s="20" t="str">
        <f>IFERROR(IF([1]对账明细接口!$R136=0,"",[1]对账明细接口!$R136),"")</f>
        <v>苏M*7G796</v>
      </c>
      <c r="X136" s="20" t="str">
        <f>IFERROR(IF([1]对账明细接口!$S136=0,"",[1]对账明细接口!$S136),"")</f>
        <v>自备筐</v>
      </c>
      <c r="Y136" s="20" t="str">
        <f>IFERROR(IF([1]对账明细接口!$T136=0,"",[1]对账明细接口!$T136),"")</f>
        <v/>
      </c>
      <c r="Z136" s="24" t="str">
        <f>IFERROR(IF([1]对账明细接口!$U136=0,"",[1]对账明细接口!$U136),"")</f>
        <v/>
      </c>
      <c r="AA136" s="24" t="str">
        <f>IFERROR(IF([1]对账明细接口!$V136=0,"",[1]对账明细接口!$V136),"")</f>
        <v/>
      </c>
      <c r="AB136" s="20" t="str">
        <f>IFERROR(IF([1]对账明细接口!$W136=0,"",[1]对账明细接口!$W136),"")</f>
        <v/>
      </c>
      <c r="AC136" s="7" t="str">
        <f>IFERROR(IF([1]对账明细接口!$X136=0,"",[1]对账明细接口!$X136),"")</f>
        <v/>
      </c>
      <c r="AD136" s="7" t="str">
        <f>IFERROR(IF([1]对账明细接口!$Y136=0,"",[1]对账明细接口!$Y136),"")</f>
        <v/>
      </c>
      <c r="AE136" s="7" t="str">
        <f>IFERROR(IF([1]对账明细接口!$AA136=0,"",[1]对账明细接口!$AA136),"")</f>
        <v/>
      </c>
      <c r="AF136" s="7" t="str">
        <f>IFERROR(IF([1]对账明细接口!$AB136=0,"",[1]对账明细接口!$AB136),"")</f>
        <v/>
      </c>
      <c r="AG136" s="7" t="str">
        <f>IFERROR(IF([1]对账明细接口!$AC136=0,"",[1]对账明细接口!$AC136),"")</f>
        <v/>
      </c>
      <c r="AH136" s="7" t="str">
        <f>IFERROR(IF([1]对账明细接口!$AD136=0,"",[1]对账明细接口!$AD136),"")</f>
        <v/>
      </c>
      <c r="AI136" s="7" t="str">
        <f>IFERROR(IF([1]对账明细接口!$AE136=0,"",[1]对账明细接口!$AE136),"")</f>
        <v/>
      </c>
      <c r="AJ136" s="7" t="str">
        <f>IFERROR(IF([1]对账明细接口!$AF136=0,"",[1]对账明细接口!$AF136),"")</f>
        <v/>
      </c>
    </row>
    <row r="137" ht="14.25" customHeight="1" spans="1:36">
      <c r="A137" s="14">
        <v>137</v>
      </c>
      <c r="B137" s="15">
        <f>IFERROR(IF([1]对账明细接口!$B$137=0,"",[1]对账明细接口!$B$137),"")</f>
        <v>46261</v>
      </c>
      <c r="C137" s="16" t="str">
        <f>IFERROR(IF([1]对账明细接口!$C$137=0,"",[1]对账明细接口!$C$137),"")</f>
        <v>聂新平</v>
      </c>
      <c r="D137" s="16" t="str">
        <f>IFERROR(IF([1]对账明细接口!$D$137=0,"",[1]对账明细接口!$D$137),"")</f>
        <v>原料入库</v>
      </c>
      <c r="E137" s="16" t="str">
        <f>IFERROR(IF([1]对账明细接口!$E$137=0,"",[1]对账明细接口!$E$137),"")</f>
        <v>NO:0000735</v>
      </c>
      <c r="F137" s="16" t="str">
        <f>IFERROR(IF([1]对账明细接口!$F$137=0,"",[1]对账明细接口!$F$137),"")</f>
        <v>西梅</v>
      </c>
      <c r="G137" s="16" t="str">
        <f>IFERROR(IF([1]对账明细接口!$G$137=0,"",[1]对账明细接口!$G$137),"")</f>
        <v>西梅一级</v>
      </c>
      <c r="H137" s="17">
        <f>IFERROR(IF([1]对账明细接口!$H$137=0,"",[1]对账明细接口!$H$137),"")</f>
        <v>100</v>
      </c>
      <c r="I137" s="16" t="str">
        <f>IFERROR(IF([1]对账明细接口!$I$137=0,"",[1]对账明细接口!$I$137),"")</f>
        <v>筐</v>
      </c>
      <c r="J137" s="18">
        <f>IFERROR(IF([1]对账明细接口!$J$137=0,"",[1]对账明细接口!$J$137),"")</f>
        <v>700</v>
      </c>
      <c r="K137" s="18" t="str">
        <f>IFERROR(IF([1]对账明细接口!$K$137=0,"",[1]对账明细接口!$K$137),"")</f>
        <v/>
      </c>
      <c r="L137" s="16" t="str">
        <f>IFERROR(IF([1]对账明细接口!$L$137=0,"",[1]对账明细接口!$L$137),"")</f>
        <v/>
      </c>
      <c r="M137" s="16" t="str">
        <f>IFERROR(IF([1]对账明细接口!$M$137=0,"",[1]对账明细接口!$M$137),"")</f>
        <v/>
      </c>
      <c r="N137" s="19">
        <f t="shared" si="4"/>
        <v>1</v>
      </c>
      <c r="O137" s="19">
        <f t="shared" si="5"/>
        <v>134</v>
      </c>
      <c r="S137" s="20" t="str">
        <f>IFERROR(IF([1]对账明细接口!$N137=0,"",[1]对账明细接口!$N137),"")</f>
        <v>自备一次性筐</v>
      </c>
      <c r="T137" s="21" t="str">
        <f>IFERROR(IF([1]对账明细接口!$O137=0,"",[1]对账明细接口!$O137),"")</f>
        <v/>
      </c>
      <c r="U137" s="21" t="str">
        <f>IFERROR(IF([1]对账明细接口!$P137=0,"",[1]对账明细接口!$P137),"")</f>
        <v/>
      </c>
      <c r="V137" s="21">
        <f>IFERROR(IF([1]对账明细接口!$Q137=0,"",[1]对账明细接口!$Q137),"")</f>
        <v>100</v>
      </c>
      <c r="W137" s="20" t="str">
        <f>IFERROR(IF([1]对账明细接口!$R137=0,"",[1]对账明细接口!$R137),"")</f>
        <v>苏M*7G796</v>
      </c>
      <c r="X137" s="20" t="str">
        <f>IFERROR(IF([1]对账明细接口!$S137=0,"",[1]对账明细接口!$S137),"")</f>
        <v>自备筐</v>
      </c>
      <c r="Y137" s="20" t="str">
        <f>IFERROR(IF([1]对账明细接口!$T137=0,"",[1]对账明细接口!$T137),"")</f>
        <v/>
      </c>
      <c r="Z137" s="24" t="str">
        <f>IFERROR(IF([1]对账明细接口!$U137=0,"",[1]对账明细接口!$U137),"")</f>
        <v/>
      </c>
      <c r="AA137" s="24" t="str">
        <f>IFERROR(IF([1]对账明细接口!$V137=0,"",[1]对账明细接口!$V137),"")</f>
        <v/>
      </c>
      <c r="AB137" s="20" t="str">
        <f>IFERROR(IF([1]对账明细接口!$W137=0,"",[1]对账明细接口!$W137),"")</f>
        <v/>
      </c>
      <c r="AC137" s="7" t="str">
        <f>IFERROR(IF([1]对账明细接口!$X137=0,"",[1]对账明细接口!$X137),"")</f>
        <v/>
      </c>
      <c r="AD137" s="7" t="str">
        <f>IFERROR(IF([1]对账明细接口!$Y137=0,"",[1]对账明细接口!$Y137),"")</f>
        <v/>
      </c>
      <c r="AE137" s="7" t="str">
        <f>IFERROR(IF([1]对账明细接口!$AA137=0,"",[1]对账明细接口!$AA137),"")</f>
        <v/>
      </c>
      <c r="AF137" s="7" t="str">
        <f>IFERROR(IF([1]对账明细接口!$AB137=0,"",[1]对账明细接口!$AB137),"")</f>
        <v/>
      </c>
      <c r="AG137" s="7" t="str">
        <f>IFERROR(IF([1]对账明细接口!$AC137=0,"",[1]对账明细接口!$AC137),"")</f>
        <v/>
      </c>
      <c r="AH137" s="7" t="str">
        <f>IFERROR(IF([1]对账明细接口!$AD137=0,"",[1]对账明细接口!$AD137),"")</f>
        <v/>
      </c>
      <c r="AI137" s="7" t="str">
        <f>IFERROR(IF([1]对账明细接口!$AE137=0,"",[1]对账明细接口!$AE137),"")</f>
        <v/>
      </c>
      <c r="AJ137" s="7" t="str">
        <f>IFERROR(IF([1]对账明细接口!$AF137=0,"",[1]对账明细接口!$AF137),"")</f>
        <v/>
      </c>
    </row>
    <row r="138" ht="14.25" customHeight="1" spans="1:36">
      <c r="A138" s="14">
        <v>138</v>
      </c>
      <c r="B138" s="15">
        <f>IFERROR(IF([1]对账明细接口!$B$138=0,"",[1]对账明细接口!$B$138),"")</f>
        <v>46261</v>
      </c>
      <c r="C138" s="16" t="str">
        <f>IFERROR(IF([1]对账明细接口!$C$138=0,"",[1]对账明细接口!$C$138),"")</f>
        <v>聂新平</v>
      </c>
      <c r="D138" s="16" t="str">
        <f>IFERROR(IF([1]对账明细接口!$D$138=0,"",[1]对账明细接口!$D$138),"")</f>
        <v>原料入库</v>
      </c>
      <c r="E138" s="16" t="str">
        <f>IFERROR(IF([1]对账明细接口!$E$138=0,"",[1]对账明细接口!$E$138),"")</f>
        <v>NO:0000735</v>
      </c>
      <c r="F138" s="16" t="str">
        <f>IFERROR(IF([1]对账明细接口!$F$138=0,"",[1]对账明细接口!$F$138),"")</f>
        <v>西梅</v>
      </c>
      <c r="G138" s="16" t="str">
        <f>IFERROR(IF([1]对账明细接口!$G$138=0,"",[1]对账明细接口!$G$138),"")</f>
        <v>西梅二级</v>
      </c>
      <c r="H138" s="17">
        <f>IFERROR(IF([1]对账明细接口!$H$138=0,"",[1]对账明细接口!$H$138),"")</f>
        <v>42</v>
      </c>
      <c r="I138" s="16" t="str">
        <f>IFERROR(IF([1]对账明细接口!$I$138=0,"",[1]对账明细接口!$I$138),"")</f>
        <v>筐</v>
      </c>
      <c r="J138" s="18">
        <f>IFERROR(IF([1]对账明细接口!$J$138=0,"",[1]对账明细接口!$J$138),"")</f>
        <v>504</v>
      </c>
      <c r="K138" s="18" t="str">
        <f>IFERROR(IF([1]对账明细接口!$K$138=0,"",[1]对账明细接口!$K$138),"")</f>
        <v/>
      </c>
      <c r="L138" s="16" t="str">
        <f>IFERROR(IF([1]对账明细接口!$L$138=0,"",[1]对账明细接口!$L$138),"")</f>
        <v/>
      </c>
      <c r="M138" s="16" t="str">
        <f>IFERROR(IF([1]对账明细接口!$M$138=0,"",[1]对账明细接口!$M$138),"")</f>
        <v/>
      </c>
      <c r="N138" s="19">
        <f t="shared" si="4"/>
        <v>1</v>
      </c>
      <c r="O138" s="19">
        <f t="shared" si="5"/>
        <v>135</v>
      </c>
      <c r="S138" s="20" t="str">
        <f>IFERROR(IF([1]对账明细接口!$N138=0,"",[1]对账明细接口!$N138),"")</f>
        <v>自备一次性筐</v>
      </c>
      <c r="T138" s="21" t="str">
        <f>IFERROR(IF([1]对账明细接口!$O138=0,"",[1]对账明细接口!$O138),"")</f>
        <v/>
      </c>
      <c r="U138" s="21" t="str">
        <f>IFERROR(IF([1]对账明细接口!$P138=0,"",[1]对账明细接口!$P138),"")</f>
        <v/>
      </c>
      <c r="V138" s="21">
        <f>IFERROR(IF([1]对账明细接口!$Q138=0,"",[1]对账明细接口!$Q138),"")</f>
        <v>42</v>
      </c>
      <c r="W138" s="20" t="str">
        <f>IFERROR(IF([1]对账明细接口!$R138=0,"",[1]对账明细接口!$R138),"")</f>
        <v>苏M*7G796</v>
      </c>
      <c r="X138" s="20" t="str">
        <f>IFERROR(IF([1]对账明细接口!$S138=0,"",[1]对账明细接口!$S138),"")</f>
        <v>自备筐</v>
      </c>
      <c r="Y138" s="20" t="str">
        <f>IFERROR(IF([1]对账明细接口!$T138=0,"",[1]对账明细接口!$T138),"")</f>
        <v/>
      </c>
      <c r="Z138" s="24" t="str">
        <f>IFERROR(IF([1]对账明细接口!$U138=0,"",[1]对账明细接口!$U138),"")</f>
        <v/>
      </c>
      <c r="AA138" s="24" t="str">
        <f>IFERROR(IF([1]对账明细接口!$V138=0,"",[1]对账明细接口!$V138),"")</f>
        <v/>
      </c>
      <c r="AB138" s="20" t="str">
        <f>IFERROR(IF([1]对账明细接口!$W138=0,"",[1]对账明细接口!$W138),"")</f>
        <v/>
      </c>
      <c r="AC138" s="7" t="str">
        <f>IFERROR(IF([1]对账明细接口!$X138=0,"",[1]对账明细接口!$X138),"")</f>
        <v/>
      </c>
      <c r="AD138" s="7" t="str">
        <f>IFERROR(IF([1]对账明细接口!$Y138=0,"",[1]对账明细接口!$Y138),"")</f>
        <v/>
      </c>
      <c r="AE138" s="7" t="str">
        <f>IFERROR(IF([1]对账明细接口!$AA138=0,"",[1]对账明细接口!$AA138),"")</f>
        <v/>
      </c>
      <c r="AF138" s="7" t="str">
        <f>IFERROR(IF([1]对账明细接口!$AB138=0,"",[1]对账明细接口!$AB138),"")</f>
        <v/>
      </c>
      <c r="AG138" s="7" t="str">
        <f>IFERROR(IF([1]对账明细接口!$AC138=0,"",[1]对账明细接口!$AC138),"")</f>
        <v/>
      </c>
      <c r="AH138" s="7" t="str">
        <f>IFERROR(IF([1]对账明细接口!$AD138=0,"",[1]对账明细接口!$AD138),"")</f>
        <v/>
      </c>
      <c r="AI138" s="7" t="str">
        <f>IFERROR(IF([1]对账明细接口!$AE138=0,"",[1]对账明细接口!$AE138),"")</f>
        <v/>
      </c>
      <c r="AJ138" s="7" t="str">
        <f>IFERROR(IF([1]对账明细接口!$AF138=0,"",[1]对账明细接口!$AF138),"")</f>
        <v/>
      </c>
    </row>
    <row r="139" ht="14.25" customHeight="1" spans="1:36">
      <c r="A139" s="14">
        <v>139</v>
      </c>
      <c r="B139" s="15">
        <f>IFERROR(IF([1]对账明细接口!$B$139=0,"",[1]对账明细接口!$B$139),"")</f>
        <v>46261</v>
      </c>
      <c r="C139" s="16" t="str">
        <f>IFERROR(IF([1]对账明细接口!$C$139=0,"",[1]对账明细接口!$C$139),"")</f>
        <v>聂新平</v>
      </c>
      <c r="D139" s="16" t="str">
        <f>IFERROR(IF([1]对账明细接口!$D$139=0,"",[1]对账明细接口!$D$139),"")</f>
        <v>原料入库</v>
      </c>
      <c r="E139" s="16" t="str">
        <f>IFERROR(IF([1]对账明细接口!$E$139=0,"",[1]对账明细接口!$E$139),"")</f>
        <v>NO:0000736</v>
      </c>
      <c r="F139" s="16" t="str">
        <f>IFERROR(IF([1]对账明细接口!$F$139=0,"",[1]对账明细接口!$F$139),"")</f>
        <v>西梅</v>
      </c>
      <c r="G139" s="16" t="str">
        <f>IFERROR(IF([1]对账明细接口!$G$139=0,"",[1]对账明细接口!$G$139),"")</f>
        <v>西梅一级</v>
      </c>
      <c r="H139" s="17">
        <f>IFERROR(IF([1]对账明细接口!$H$139=0,"",[1]对账明细接口!$H$139),"")</f>
        <v>1</v>
      </c>
      <c r="I139" s="16" t="str">
        <f>IFERROR(IF([1]对账明细接口!$I$139=0,"",[1]对账明细接口!$I$139),"")</f>
        <v>筐</v>
      </c>
      <c r="J139" s="18">
        <f>IFERROR(IF([1]对账明细接口!$J$139=0,"",[1]对账明细接口!$J$139),"")</f>
        <v>7</v>
      </c>
      <c r="K139" s="18" t="str">
        <f>IFERROR(IF([1]对账明细接口!$K$139=0,"",[1]对账明细接口!$K$139),"")</f>
        <v/>
      </c>
      <c r="L139" s="16" t="str">
        <f>IFERROR(IF([1]对账明细接口!$L$139=0,"",[1]对账明细接口!$L$139),"")</f>
        <v/>
      </c>
      <c r="M139" s="16" t="str">
        <f>IFERROR(IF([1]对账明细接口!$M$139=0,"",[1]对账明细接口!$M$139),"")</f>
        <v/>
      </c>
      <c r="N139" s="19">
        <f t="shared" si="4"/>
        <v>1</v>
      </c>
      <c r="O139" s="19">
        <f t="shared" si="5"/>
        <v>136</v>
      </c>
      <c r="S139" s="20" t="str">
        <f>IFERROR(IF([1]对账明细接口!$N139=0,"",[1]对账明细接口!$N139),"")</f>
        <v>自备一次性筐</v>
      </c>
      <c r="T139" s="21" t="str">
        <f>IFERROR(IF([1]对账明细接口!$O139=0,"",[1]对账明细接口!$O139),"")</f>
        <v/>
      </c>
      <c r="U139" s="21" t="str">
        <f>IFERROR(IF([1]对账明细接口!$P139=0,"",[1]对账明细接口!$P139),"")</f>
        <v/>
      </c>
      <c r="V139" s="21">
        <f>IFERROR(IF([1]对账明细接口!$Q139=0,"",[1]对账明细接口!$Q139),"")</f>
        <v>1</v>
      </c>
      <c r="W139" s="20" t="str">
        <f>IFERROR(IF([1]对账明细接口!$R139=0,"",[1]对账明细接口!$R139),"")</f>
        <v>苏M*7G796</v>
      </c>
      <c r="X139" s="20" t="str">
        <f>IFERROR(IF([1]对账明细接口!$S139=0,"",[1]对账明细接口!$S139),"")</f>
        <v>自备筐</v>
      </c>
      <c r="Y139" s="20" t="str">
        <f>IFERROR(IF([1]对账明细接口!$T139=0,"",[1]对账明细接口!$T139),"")</f>
        <v/>
      </c>
      <c r="Z139" s="24" t="str">
        <f>IFERROR(IF([1]对账明细接口!$U139=0,"",[1]对账明细接口!$U139),"")</f>
        <v/>
      </c>
      <c r="AA139" s="24" t="str">
        <f>IFERROR(IF([1]对账明细接口!$V139=0,"",[1]对账明细接口!$V139),"")</f>
        <v/>
      </c>
      <c r="AB139" s="20" t="str">
        <f>IFERROR(IF([1]对账明细接口!$W139=0,"",[1]对账明细接口!$W139),"")</f>
        <v/>
      </c>
      <c r="AC139" s="7" t="str">
        <f>IFERROR(IF([1]对账明细接口!$X139=0,"",[1]对账明细接口!$X139),"")</f>
        <v/>
      </c>
      <c r="AD139" s="7" t="str">
        <f>IFERROR(IF([1]对账明细接口!$Y139=0,"",[1]对账明细接口!$Y139),"")</f>
        <v/>
      </c>
      <c r="AE139" s="7" t="str">
        <f>IFERROR(IF([1]对账明细接口!$AA139=0,"",[1]对账明细接口!$AA139),"")</f>
        <v/>
      </c>
      <c r="AF139" s="7" t="str">
        <f>IFERROR(IF([1]对账明细接口!$AB139=0,"",[1]对账明细接口!$AB139),"")</f>
        <v/>
      </c>
      <c r="AG139" s="7" t="str">
        <f>IFERROR(IF([1]对账明细接口!$AC139=0,"",[1]对账明细接口!$AC139),"")</f>
        <v/>
      </c>
      <c r="AH139" s="7" t="str">
        <f>IFERROR(IF([1]对账明细接口!$AD139=0,"",[1]对账明细接口!$AD139),"")</f>
        <v/>
      </c>
      <c r="AI139" s="7" t="str">
        <f>IFERROR(IF([1]对账明细接口!$AE139=0,"",[1]对账明细接口!$AE139),"")</f>
        <v/>
      </c>
      <c r="AJ139" s="7" t="str">
        <f>IFERROR(IF([1]对账明细接口!$AF139=0,"",[1]对账明细接口!$AF139),"")</f>
        <v/>
      </c>
    </row>
    <row r="140" ht="14.25" customHeight="1" spans="1:36">
      <c r="A140" s="14">
        <v>140</v>
      </c>
      <c r="B140" s="15">
        <f>IFERROR(IF([1]对账明细接口!$B$140=0,"",[1]对账明细接口!$B$140),"")</f>
        <v>46261</v>
      </c>
      <c r="C140" s="16" t="str">
        <f>IFERROR(IF([1]对账明细接口!$C$140=0,"",[1]对账明细接口!$C$140),"")</f>
        <v>聂新平</v>
      </c>
      <c r="D140" s="16" t="str">
        <f>IFERROR(IF([1]对账明细接口!$D$140=0,"",[1]对账明细接口!$D$140),"")</f>
        <v>原料入库</v>
      </c>
      <c r="E140" s="16" t="str">
        <f>IFERROR(IF([1]对账明细接口!$E$140=0,"",[1]对账明细接口!$E$140),"")</f>
        <v>NO:0000736</v>
      </c>
      <c r="F140" s="16" t="str">
        <f>IFERROR(IF([1]对账明细接口!$F$140=0,"",[1]对账明细接口!$F$140),"")</f>
        <v>西梅</v>
      </c>
      <c r="G140" s="16" t="str">
        <f>IFERROR(IF([1]对账明细接口!$G$140=0,"",[1]对账明细接口!$G$140),"")</f>
        <v>西梅二级</v>
      </c>
      <c r="H140" s="17">
        <f>IFERROR(IF([1]对账明细接口!$H$140=0,"",[1]对账明细接口!$H$140),"")</f>
        <v>40</v>
      </c>
      <c r="I140" s="16" t="str">
        <f>IFERROR(IF([1]对账明细接口!$I$140=0,"",[1]对账明细接口!$I$140),"")</f>
        <v>筐</v>
      </c>
      <c r="J140" s="18">
        <f>IFERROR(IF([1]对账明细接口!$J$140=0,"",[1]对账明细接口!$J$140),"")</f>
        <v>480</v>
      </c>
      <c r="K140" s="18" t="str">
        <f>IFERROR(IF([1]对账明细接口!$K$140=0,"",[1]对账明细接口!$K$140),"")</f>
        <v/>
      </c>
      <c r="L140" s="16" t="str">
        <f>IFERROR(IF([1]对账明细接口!$L$140=0,"",[1]对账明细接口!$L$140),"")</f>
        <v/>
      </c>
      <c r="M140" s="16" t="str">
        <f>IFERROR(IF([1]对账明细接口!$M$140=0,"",[1]对账明细接口!$M$140),"")</f>
        <v/>
      </c>
      <c r="N140" s="19">
        <f t="shared" si="4"/>
        <v>1</v>
      </c>
      <c r="O140" s="19">
        <f t="shared" si="5"/>
        <v>137</v>
      </c>
      <c r="S140" s="20" t="str">
        <f>IFERROR(IF([1]对账明细接口!$N140=0,"",[1]对账明细接口!$N140),"")</f>
        <v>自备一次性筐</v>
      </c>
      <c r="T140" s="21" t="str">
        <f>IFERROR(IF([1]对账明细接口!$O140=0,"",[1]对账明细接口!$O140),"")</f>
        <v/>
      </c>
      <c r="U140" s="21" t="str">
        <f>IFERROR(IF([1]对账明细接口!$P140=0,"",[1]对账明细接口!$P140),"")</f>
        <v/>
      </c>
      <c r="V140" s="21">
        <f>IFERROR(IF([1]对账明细接口!$Q140=0,"",[1]对账明细接口!$Q140),"")</f>
        <v>40</v>
      </c>
      <c r="W140" s="20" t="str">
        <f>IFERROR(IF([1]对账明细接口!$R140=0,"",[1]对账明细接口!$R140),"")</f>
        <v>苏M*7G796</v>
      </c>
      <c r="X140" s="20" t="str">
        <f>IFERROR(IF([1]对账明细接口!$S140=0,"",[1]对账明细接口!$S140),"")</f>
        <v>自备筐</v>
      </c>
      <c r="Y140" s="20" t="str">
        <f>IFERROR(IF([1]对账明细接口!$T140=0,"",[1]对账明细接口!$T140),"")</f>
        <v/>
      </c>
      <c r="Z140" s="24" t="str">
        <f>IFERROR(IF([1]对账明细接口!$U140=0,"",[1]对账明细接口!$U140),"")</f>
        <v/>
      </c>
      <c r="AA140" s="24" t="str">
        <f>IFERROR(IF([1]对账明细接口!$V140=0,"",[1]对账明细接口!$V140),"")</f>
        <v/>
      </c>
      <c r="AB140" s="20" t="str">
        <f>IFERROR(IF([1]对账明细接口!$W140=0,"",[1]对账明细接口!$W140),"")</f>
        <v/>
      </c>
      <c r="AC140" s="7" t="str">
        <f>IFERROR(IF([1]对账明细接口!$X140=0,"",[1]对账明细接口!$X140),"")</f>
        <v/>
      </c>
      <c r="AD140" s="7" t="str">
        <f>IFERROR(IF([1]对账明细接口!$Y140=0,"",[1]对账明细接口!$Y140),"")</f>
        <v/>
      </c>
      <c r="AE140" s="7" t="str">
        <f>IFERROR(IF([1]对账明细接口!$AA140=0,"",[1]对账明细接口!$AA140),"")</f>
        <v/>
      </c>
      <c r="AF140" s="7" t="str">
        <f>IFERROR(IF([1]对账明细接口!$AB140=0,"",[1]对账明细接口!$AB140),"")</f>
        <v/>
      </c>
      <c r="AG140" s="7" t="str">
        <f>IFERROR(IF([1]对账明细接口!$AC140=0,"",[1]对账明细接口!$AC140),"")</f>
        <v/>
      </c>
      <c r="AH140" s="7" t="str">
        <f>IFERROR(IF([1]对账明细接口!$AD140=0,"",[1]对账明细接口!$AD140),"")</f>
        <v/>
      </c>
      <c r="AI140" s="7" t="str">
        <f>IFERROR(IF([1]对账明细接口!$AE140=0,"",[1]对账明细接口!$AE140),"")</f>
        <v/>
      </c>
      <c r="AJ140" s="7" t="str">
        <f>IFERROR(IF([1]对账明细接口!$AF140=0,"",[1]对账明细接口!$AF140),"")</f>
        <v/>
      </c>
    </row>
    <row r="141" ht="14.25" customHeight="1" spans="1:36">
      <c r="A141" s="14">
        <v>141</v>
      </c>
      <c r="B141" s="15">
        <f>IFERROR(IF([1]对账明细接口!$B$141=0,"",[1]对账明细接口!$B$141),"")</f>
        <v>46261</v>
      </c>
      <c r="C141" s="16" t="str">
        <f>IFERROR(IF([1]对账明细接口!$C$141=0,"",[1]对账明细接口!$C$141),"")</f>
        <v>聂新平</v>
      </c>
      <c r="D141" s="16" t="str">
        <f>IFERROR(IF([1]对账明细接口!$D$141=0,"",[1]对账明细接口!$D$141),"")</f>
        <v>原料入库</v>
      </c>
      <c r="E141" s="16" t="str">
        <f>IFERROR(IF([1]对账明细接口!$E$141=0,"",[1]对账明细接口!$E$141),"")</f>
        <v>NO:0000736</v>
      </c>
      <c r="F141" s="16" t="str">
        <f>IFERROR(IF([1]对账明细接口!$F$141=0,"",[1]对账明细接口!$F$141),"")</f>
        <v>西梅</v>
      </c>
      <c r="G141" s="16" t="str">
        <f>IFERROR(IF([1]对账明细接口!$G$141=0,"",[1]对账明细接口!$G$141),"")</f>
        <v>西梅三级</v>
      </c>
      <c r="H141" s="17">
        <f>IFERROR(IF([1]对账明细接口!$H$141=0,"",[1]对账明细接口!$H$141),"")</f>
        <v>107</v>
      </c>
      <c r="I141" s="16" t="str">
        <f>IFERROR(IF([1]对账明细接口!$I$141=0,"",[1]对账明细接口!$I$141),"")</f>
        <v>筐</v>
      </c>
      <c r="J141" s="18">
        <f>IFERROR(IF([1]对账明细接口!$J$141=0,"",[1]对账明细接口!$J$141),"")</f>
        <v>214</v>
      </c>
      <c r="K141" s="18" t="str">
        <f>IFERROR(IF([1]对账明细接口!$K$141=0,"",[1]对账明细接口!$K$141),"")</f>
        <v/>
      </c>
      <c r="L141" s="16" t="str">
        <f>IFERROR(IF([1]对账明细接口!$L$141=0,"",[1]对账明细接口!$L$141),"")</f>
        <v/>
      </c>
      <c r="M141" s="16" t="str">
        <f>IFERROR(IF([1]对账明细接口!$M$141=0,"",[1]对账明细接口!$M$141),"")</f>
        <v/>
      </c>
      <c r="N141" s="19">
        <f t="shared" si="4"/>
        <v>1</v>
      </c>
      <c r="O141" s="19">
        <f t="shared" si="5"/>
        <v>138</v>
      </c>
      <c r="S141" s="20" t="str">
        <f>IFERROR(IF([1]对账明细接口!$N141=0,"",[1]对账明细接口!$N141),"")</f>
        <v>自备一次性筐</v>
      </c>
      <c r="T141" s="21" t="str">
        <f>IFERROR(IF([1]对账明细接口!$O141=0,"",[1]对账明细接口!$O141),"")</f>
        <v/>
      </c>
      <c r="U141" s="21" t="str">
        <f>IFERROR(IF([1]对账明细接口!$P141=0,"",[1]对账明细接口!$P141),"")</f>
        <v/>
      </c>
      <c r="V141" s="21">
        <f>IFERROR(IF([1]对账明细接口!$Q141=0,"",[1]对账明细接口!$Q141),"")</f>
        <v>107</v>
      </c>
      <c r="W141" s="20" t="str">
        <f>IFERROR(IF([1]对账明细接口!$R141=0,"",[1]对账明细接口!$R141),"")</f>
        <v>苏M*7G796</v>
      </c>
      <c r="X141" s="20" t="str">
        <f>IFERROR(IF([1]对账明细接口!$S141=0,"",[1]对账明细接口!$S141),"")</f>
        <v>自备筐</v>
      </c>
      <c r="Y141" s="20" t="str">
        <f>IFERROR(IF([1]对账明细接口!$T141=0,"",[1]对账明细接口!$T141),"")</f>
        <v/>
      </c>
      <c r="Z141" s="24" t="str">
        <f>IFERROR(IF([1]对账明细接口!$U141=0,"",[1]对账明细接口!$U141),"")</f>
        <v/>
      </c>
      <c r="AA141" s="24" t="str">
        <f>IFERROR(IF([1]对账明细接口!$V141=0,"",[1]对账明细接口!$V141),"")</f>
        <v/>
      </c>
      <c r="AB141" s="20" t="str">
        <f>IFERROR(IF([1]对账明细接口!$W141=0,"",[1]对账明细接口!$W141),"")</f>
        <v/>
      </c>
      <c r="AC141" s="7" t="str">
        <f>IFERROR(IF([1]对账明细接口!$X141=0,"",[1]对账明细接口!$X141),"")</f>
        <v/>
      </c>
      <c r="AD141" s="7" t="str">
        <f>IFERROR(IF([1]对账明细接口!$Y141=0,"",[1]对账明细接口!$Y141),"")</f>
        <v/>
      </c>
      <c r="AE141" s="7" t="str">
        <f>IFERROR(IF([1]对账明细接口!$AA141=0,"",[1]对账明细接口!$AA141),"")</f>
        <v/>
      </c>
      <c r="AF141" s="7" t="str">
        <f>IFERROR(IF([1]对账明细接口!$AB141=0,"",[1]对账明细接口!$AB141),"")</f>
        <v/>
      </c>
      <c r="AG141" s="7" t="str">
        <f>IFERROR(IF([1]对账明细接口!$AC141=0,"",[1]对账明细接口!$AC141),"")</f>
        <v/>
      </c>
      <c r="AH141" s="7" t="str">
        <f>IFERROR(IF([1]对账明细接口!$AD141=0,"",[1]对账明细接口!$AD141),"")</f>
        <v/>
      </c>
      <c r="AI141" s="7" t="str">
        <f>IFERROR(IF([1]对账明细接口!$AE141=0,"",[1]对账明细接口!$AE141),"")</f>
        <v/>
      </c>
      <c r="AJ141" s="7" t="str">
        <f>IFERROR(IF([1]对账明细接口!$AF141=0,"",[1]对账明细接口!$AF141),"")</f>
        <v/>
      </c>
    </row>
    <row r="142" ht="14.25" customHeight="1" spans="1:36">
      <c r="A142" s="14">
        <v>142</v>
      </c>
      <c r="B142" s="15">
        <f>IFERROR(IF([1]对账明细接口!$B$142=0,"",[1]对账明细接口!$B$142),"")</f>
        <v>46269</v>
      </c>
      <c r="C142" s="16" t="str">
        <f>IFERROR(IF([1]对账明细接口!$C$142=0,"",[1]对账明细接口!$C$142),"")</f>
        <v>马锦祥</v>
      </c>
      <c r="D142" s="16" t="str">
        <f>IFERROR(IF([1]对账明细接口!$D$142=0,"",[1]对账明细接口!$D$142),"")</f>
        <v>原料入库</v>
      </c>
      <c r="E142" s="16" t="str">
        <f>IFERROR(IF([1]对账明细接口!$E$142=0,"",[1]对账明细接口!$E$142),"")</f>
        <v>NO:0000752</v>
      </c>
      <c r="F142" s="16" t="str">
        <f>IFERROR(IF([1]对账明细接口!$F$142=0,"",[1]对账明细接口!$F$142),"")</f>
        <v>香梨</v>
      </c>
      <c r="G142" s="16" t="str">
        <f>IFERROR(IF([1]对账明细接口!$G$142=0,"",[1]对账明细接口!$G$142),"")</f>
        <v>香梨一级</v>
      </c>
      <c r="H142" s="17">
        <f>IFERROR(IF([1]对账明细接口!$H$142=0,"",[1]对账明细接口!$H$142),"")</f>
        <v>266</v>
      </c>
      <c r="I142" s="16" t="str">
        <f>IFERROR(IF([1]对账明细接口!$I$142=0,"",[1]对账明细接口!$I$142),"")</f>
        <v>筐</v>
      </c>
      <c r="J142" s="18">
        <f>IFERROR(IF([1]对账明细接口!$J$142=0,"",[1]对账明细接口!$J$142),"")</f>
        <v>4867.8</v>
      </c>
      <c r="K142" s="18" t="str">
        <f>IFERROR(IF([1]对账明细接口!$K$142=0,"",[1]对账明细接口!$K$142),"")</f>
        <v/>
      </c>
      <c r="L142" s="16" t="str">
        <f>IFERROR(IF([1]对账明细接口!$L$142=0,"",[1]对账明细接口!$L$142),"")</f>
        <v/>
      </c>
      <c r="M142" s="16" t="str">
        <f>IFERROR(IF([1]对账明细接口!$M$142=0,"",[1]对账明细接口!$M$142),"")</f>
        <v/>
      </c>
      <c r="N142" s="19">
        <f t="shared" si="4"/>
        <v>1</v>
      </c>
      <c r="O142" s="19">
        <f t="shared" si="5"/>
        <v>139</v>
      </c>
      <c r="S142" s="20" t="str">
        <f>IFERROR(IF([1]对账明细接口!$N142=0,"",[1]对账明细接口!$N142),"")</f>
        <v>公司杂周转筐</v>
      </c>
      <c r="T142" s="21" t="str">
        <f>IFERROR(IF([1]对账明细接口!$O142=0,"",[1]对账明细接口!$O142),"")</f>
        <v/>
      </c>
      <c r="U142" s="21" t="str">
        <f>IFERROR(IF([1]对账明细接口!$P142=0,"",[1]对账明细接口!$P142),"")</f>
        <v/>
      </c>
      <c r="V142" s="21">
        <f>IFERROR(IF([1]对账明细接口!$Q142=0,"",[1]对账明细接口!$Q142),"")</f>
        <v>266</v>
      </c>
      <c r="W142" s="20" t="str">
        <f>IFERROR(IF([1]对账明细接口!$R142=0,"",[1]对账明细接口!$R142),"")</f>
        <v>新N*K7V85</v>
      </c>
      <c r="X142" s="20" t="str">
        <f>IFERROR(IF([1]对账明细接口!$S142=0,"",[1]对账明细接口!$S142),"")</f>
        <v>公司筐</v>
      </c>
      <c r="Y142" s="20" t="str">
        <f>IFERROR(IF([1]对账明细接口!$T142=0,"",[1]对账明细接口!$T142),"")</f>
        <v/>
      </c>
      <c r="Z142" s="24" t="str">
        <f>IFERROR(IF([1]对账明细接口!$U142=0,"",[1]对账明细接口!$U142),"")</f>
        <v/>
      </c>
      <c r="AA142" s="24" t="str">
        <f>IFERROR(IF([1]对账明细接口!$V142=0,"",[1]对账明细接口!$V142),"")</f>
        <v/>
      </c>
      <c r="AB142" s="20" t="str">
        <f>IFERROR(IF([1]对账明细接口!$W142=0,"",[1]对账明细接口!$W142),"")</f>
        <v/>
      </c>
      <c r="AC142" s="7" t="str">
        <f>IFERROR(IF([1]对账明细接口!$X142=0,"",[1]对账明细接口!$X142),"")</f>
        <v/>
      </c>
      <c r="AD142" s="7" t="str">
        <f>IFERROR(IF([1]对账明细接口!$Y142=0,"",[1]对账明细接口!$Y142),"")</f>
        <v/>
      </c>
      <c r="AE142" s="7" t="str">
        <f>IFERROR(IF([1]对账明细接口!$AA142=0,"",[1]对账明细接口!$AA142),"")</f>
        <v/>
      </c>
      <c r="AF142" s="7" t="str">
        <f>IFERROR(IF([1]对账明细接口!$AB142=0,"",[1]对账明细接口!$AB142),"")</f>
        <v/>
      </c>
      <c r="AG142" s="7" t="str">
        <f>IFERROR(IF([1]对账明细接口!$AC142=0,"",[1]对账明细接口!$AC142),"")</f>
        <v/>
      </c>
      <c r="AH142" s="7" t="str">
        <f>IFERROR(IF([1]对账明细接口!$AD142=0,"",[1]对账明细接口!$AD142),"")</f>
        <v/>
      </c>
      <c r="AI142" s="7" t="str">
        <f>IFERROR(IF([1]对账明细接口!$AE142=0,"",[1]对账明细接口!$AE142),"")</f>
        <v/>
      </c>
      <c r="AJ142" s="7" t="str">
        <f>IFERROR(IF([1]对账明细接口!$AF142=0,"",[1]对账明细接口!$AF142),"")</f>
        <v/>
      </c>
    </row>
    <row r="143" ht="14.25" customHeight="1" spans="1:36">
      <c r="A143" s="14">
        <v>143</v>
      </c>
      <c r="B143" s="15">
        <f>IFERROR(IF([1]对账明细接口!$B$143=0,"",[1]对账明细接口!$B$143),"")</f>
        <v>46269</v>
      </c>
      <c r="C143" s="16" t="str">
        <f>IFERROR(IF([1]对账明细接口!$C$143=0,"",[1]对账明细接口!$C$143),"")</f>
        <v>马锦祥</v>
      </c>
      <c r="D143" s="16" t="str">
        <f>IFERROR(IF([1]对账明细接口!$D$143=0,"",[1]对账明细接口!$D$143),"")</f>
        <v>原料入库</v>
      </c>
      <c r="E143" s="16" t="str">
        <f>IFERROR(IF([1]对账明细接口!$E$143=0,"",[1]对账明细接口!$E$143),"")</f>
        <v>NO:0000752</v>
      </c>
      <c r="F143" s="16" t="str">
        <f>IFERROR(IF([1]对账明细接口!$F$143=0,"",[1]对账明细接口!$F$143),"")</f>
        <v>香梨</v>
      </c>
      <c r="G143" s="16" t="str">
        <f>IFERROR(IF([1]对账明细接口!$G$143=0,"",[1]对账明细接口!$G$143),"")</f>
        <v>香梨二级</v>
      </c>
      <c r="H143" s="17">
        <f>IFERROR(IF([1]对账明细接口!$H$143=0,"",[1]对账明细接口!$H$143),"")</f>
        <v>70</v>
      </c>
      <c r="I143" s="16" t="str">
        <f>IFERROR(IF([1]对账明细接口!$I$143=0,"",[1]对账明细接口!$I$143),"")</f>
        <v>筐</v>
      </c>
      <c r="J143" s="18">
        <f>IFERROR(IF([1]对账明细接口!$J$143=0,"",[1]对账明细接口!$J$143),"")</f>
        <v>1561</v>
      </c>
      <c r="K143" s="18" t="str">
        <f>IFERROR(IF([1]对账明细接口!$K$143=0,"",[1]对账明细接口!$K$143),"")</f>
        <v/>
      </c>
      <c r="L143" s="16" t="str">
        <f>IFERROR(IF([1]对账明细接口!$L$143=0,"",[1]对账明细接口!$L$143),"")</f>
        <v/>
      </c>
      <c r="M143" s="16" t="str">
        <f>IFERROR(IF([1]对账明细接口!$M$143=0,"",[1]对账明细接口!$M$143),"")</f>
        <v/>
      </c>
      <c r="N143" s="19">
        <f t="shared" si="4"/>
        <v>1</v>
      </c>
      <c r="O143" s="19">
        <f t="shared" si="5"/>
        <v>140</v>
      </c>
      <c r="S143" s="20" t="str">
        <f>IFERROR(IF([1]对账明细接口!$N143=0,"",[1]对账明细接口!$N143),"")</f>
        <v>公司杂周转筐</v>
      </c>
      <c r="T143" s="21" t="str">
        <f>IFERROR(IF([1]对账明细接口!$O143=0,"",[1]对账明细接口!$O143),"")</f>
        <v/>
      </c>
      <c r="U143" s="21" t="str">
        <f>IFERROR(IF([1]对账明细接口!$P143=0,"",[1]对账明细接口!$P143),"")</f>
        <v/>
      </c>
      <c r="V143" s="21">
        <f>IFERROR(IF([1]对账明细接口!$Q143=0,"",[1]对账明细接口!$Q143),"")</f>
        <v>70</v>
      </c>
      <c r="W143" s="20" t="str">
        <f>IFERROR(IF([1]对账明细接口!$R143=0,"",[1]对账明细接口!$R143),"")</f>
        <v>新N*K7V85</v>
      </c>
      <c r="X143" s="20" t="str">
        <f>IFERROR(IF([1]对账明细接口!$S143=0,"",[1]对账明细接口!$S143),"")</f>
        <v>公司筐</v>
      </c>
      <c r="Y143" s="20" t="str">
        <f>IFERROR(IF([1]对账明细接口!$T143=0,"",[1]对账明细接口!$T143),"")</f>
        <v/>
      </c>
      <c r="Z143" s="24" t="str">
        <f>IFERROR(IF([1]对账明细接口!$U143=0,"",[1]对账明细接口!$U143),"")</f>
        <v/>
      </c>
      <c r="AA143" s="24" t="str">
        <f>IFERROR(IF([1]对账明细接口!$V143=0,"",[1]对账明细接口!$V143),"")</f>
        <v/>
      </c>
      <c r="AB143" s="20" t="str">
        <f>IFERROR(IF([1]对账明细接口!$W143=0,"",[1]对账明细接口!$W143),"")</f>
        <v/>
      </c>
      <c r="AC143" s="7" t="str">
        <f>IFERROR(IF([1]对账明细接口!$X143=0,"",[1]对账明细接口!$X143),"")</f>
        <v/>
      </c>
      <c r="AD143" s="7" t="str">
        <f>IFERROR(IF([1]对账明细接口!$Y143=0,"",[1]对账明细接口!$Y143),"")</f>
        <v/>
      </c>
      <c r="AE143" s="7" t="str">
        <f>IFERROR(IF([1]对账明细接口!$AA143=0,"",[1]对账明细接口!$AA143),"")</f>
        <v/>
      </c>
      <c r="AF143" s="7" t="str">
        <f>IFERROR(IF([1]对账明细接口!$AB143=0,"",[1]对账明细接口!$AB143),"")</f>
        <v/>
      </c>
      <c r="AG143" s="7" t="str">
        <f>IFERROR(IF([1]对账明细接口!$AC143=0,"",[1]对账明细接口!$AC143),"")</f>
        <v/>
      </c>
      <c r="AH143" s="7" t="str">
        <f>IFERROR(IF([1]对账明细接口!$AD143=0,"",[1]对账明细接口!$AD143),"")</f>
        <v/>
      </c>
      <c r="AI143" s="7" t="str">
        <f>IFERROR(IF([1]对账明细接口!$AE143=0,"",[1]对账明细接口!$AE143),"")</f>
        <v/>
      </c>
      <c r="AJ143" s="7" t="str">
        <f>IFERROR(IF([1]对账明细接口!$AF143=0,"",[1]对账明细接口!$AF143),"")</f>
        <v/>
      </c>
    </row>
    <row r="144" ht="14.25" customHeight="1" spans="1:36">
      <c r="A144" s="14">
        <v>144</v>
      </c>
      <c r="B144" s="15">
        <f>IFERROR(IF([1]对账明细接口!$B$144=0,"",[1]对账明细接口!$B$144),"")</f>
        <v>46269</v>
      </c>
      <c r="C144" s="16" t="str">
        <f>IFERROR(IF([1]对账明细接口!$C$144=0,"",[1]对账明细接口!$C$144),"")</f>
        <v>马锦祥</v>
      </c>
      <c r="D144" s="16" t="str">
        <f>IFERROR(IF([1]对账明细接口!$D$144=0,"",[1]对账明细接口!$D$144),"")</f>
        <v>原料入库</v>
      </c>
      <c r="E144" s="16" t="str">
        <f>IFERROR(IF([1]对账明细接口!$E$144=0,"",[1]对账明细接口!$E$144),"")</f>
        <v>NO:0000752</v>
      </c>
      <c r="F144" s="16" t="str">
        <f>IFERROR(IF([1]对账明细接口!$F$144=0,"",[1]对账明细接口!$F$144),"")</f>
        <v>香梨</v>
      </c>
      <c r="G144" s="16" t="str">
        <f>IFERROR(IF([1]对账明细接口!$G$144=0,"",[1]对账明细接口!$G$144),"")</f>
        <v>香梨副特</v>
      </c>
      <c r="H144" s="17">
        <f>IFERROR(IF([1]对账明细接口!$H$144=0,"",[1]对账明细接口!$H$144),"")</f>
        <v>21</v>
      </c>
      <c r="I144" s="16" t="str">
        <f>IFERROR(IF([1]对账明细接口!$I$144=0,"",[1]对账明细接口!$I$144),"")</f>
        <v>筐</v>
      </c>
      <c r="J144" s="18">
        <f>IFERROR(IF([1]对账明细接口!$J$144=0,"",[1]对账明细接口!$J$144),"")</f>
        <v>384.3</v>
      </c>
      <c r="K144" s="18" t="str">
        <f>IFERROR(IF([1]对账明细接口!$K$144=0,"",[1]对账明细接口!$K$144),"")</f>
        <v/>
      </c>
      <c r="L144" s="16" t="str">
        <f>IFERROR(IF([1]对账明细接口!$L$144=0,"",[1]对账明细接口!$L$144),"")</f>
        <v/>
      </c>
      <c r="M144" s="16" t="str">
        <f>IFERROR(IF([1]对账明细接口!$M$144=0,"",[1]对账明细接口!$M$144),"")</f>
        <v/>
      </c>
      <c r="N144" s="19">
        <f t="shared" si="4"/>
        <v>1</v>
      </c>
      <c r="O144" s="19">
        <f t="shared" si="5"/>
        <v>141</v>
      </c>
      <c r="S144" s="20" t="str">
        <f>IFERROR(IF([1]对账明细接口!$N144=0,"",[1]对账明细接口!$N144),"")</f>
        <v>公司杂周转筐</v>
      </c>
      <c r="T144" s="21" t="str">
        <f>IFERROR(IF([1]对账明细接口!$O144=0,"",[1]对账明细接口!$O144),"")</f>
        <v/>
      </c>
      <c r="U144" s="21" t="str">
        <f>IFERROR(IF([1]对账明细接口!$P144=0,"",[1]对账明细接口!$P144),"")</f>
        <v/>
      </c>
      <c r="V144" s="21">
        <f>IFERROR(IF([1]对账明细接口!$Q144=0,"",[1]对账明细接口!$Q144),"")</f>
        <v>21</v>
      </c>
      <c r="W144" s="20" t="str">
        <f>IFERROR(IF([1]对账明细接口!$R144=0,"",[1]对账明细接口!$R144),"")</f>
        <v>新N*K7V85</v>
      </c>
      <c r="X144" s="20" t="str">
        <f>IFERROR(IF([1]对账明细接口!$S144=0,"",[1]对账明细接口!$S144),"")</f>
        <v>公司筐</v>
      </c>
      <c r="Y144" s="20" t="str">
        <f>IFERROR(IF([1]对账明细接口!$T144=0,"",[1]对账明细接口!$T144),"")</f>
        <v/>
      </c>
      <c r="Z144" s="24" t="str">
        <f>IFERROR(IF([1]对账明细接口!$U144=0,"",[1]对账明细接口!$U144),"")</f>
        <v/>
      </c>
      <c r="AA144" s="24" t="str">
        <f>IFERROR(IF([1]对账明细接口!$V144=0,"",[1]对账明细接口!$V144),"")</f>
        <v/>
      </c>
      <c r="AB144" s="20" t="str">
        <f>IFERROR(IF([1]对账明细接口!$W144=0,"",[1]对账明细接口!$W144),"")</f>
        <v/>
      </c>
      <c r="AC144" s="7" t="str">
        <f>IFERROR(IF([1]对账明细接口!$X144=0,"",[1]对账明细接口!$X144),"")</f>
        <v/>
      </c>
      <c r="AD144" s="7" t="str">
        <f>IFERROR(IF([1]对账明细接口!$Y144=0,"",[1]对账明细接口!$Y144),"")</f>
        <v/>
      </c>
      <c r="AE144" s="7" t="str">
        <f>IFERROR(IF([1]对账明细接口!$AA144=0,"",[1]对账明细接口!$AA144),"")</f>
        <v/>
      </c>
      <c r="AF144" s="7" t="str">
        <f>IFERROR(IF([1]对账明细接口!$AB144=0,"",[1]对账明细接口!$AB144),"")</f>
        <v/>
      </c>
      <c r="AG144" s="7" t="str">
        <f>IFERROR(IF([1]对账明细接口!$AC144=0,"",[1]对账明细接口!$AC144),"")</f>
        <v/>
      </c>
      <c r="AH144" s="7" t="str">
        <f>IFERROR(IF([1]对账明细接口!$AD144=0,"",[1]对账明细接口!$AD144),"")</f>
        <v/>
      </c>
      <c r="AI144" s="7" t="str">
        <f>IFERROR(IF([1]对账明细接口!$AE144=0,"",[1]对账明细接口!$AE144),"")</f>
        <v/>
      </c>
      <c r="AJ144" s="7" t="str">
        <f>IFERROR(IF([1]对账明细接口!$AF144=0,"",[1]对账明细接口!$AF144),"")</f>
        <v/>
      </c>
    </row>
    <row r="145" ht="14.25" customHeight="1" spans="1:36">
      <c r="A145" s="14">
        <v>145</v>
      </c>
      <c r="B145" s="15">
        <f>IFERROR(IF([1]对账明细接口!$B$145=0,"",[1]对账明细接口!$B$145),"")</f>
        <v>46271</v>
      </c>
      <c r="C145" s="16" t="str">
        <f>IFERROR(IF([1]对账明细接口!$C$145=0,"",[1]对账明细接口!$C$145),"")</f>
        <v>麦麦提</v>
      </c>
      <c r="D145" s="16" t="str">
        <f>IFERROR(IF([1]对账明细接口!$D$145=0,"",[1]对账明细接口!$D$145),"")</f>
        <v>原料入库</v>
      </c>
      <c r="E145" s="16" t="str">
        <f>IFERROR(IF([1]对账明细接口!$E$145=0,"",[1]对账明细接口!$E$145),"")</f>
        <v>NO:0000754</v>
      </c>
      <c r="F145" s="16" t="str">
        <f>IFERROR(IF([1]对账明细接口!$F$145=0,"",[1]对账明细接口!$F$145),"")</f>
        <v>香梨</v>
      </c>
      <c r="G145" s="16" t="str">
        <f>IFERROR(IF([1]对账明细接口!$G$145=0,"",[1]对账明细接口!$G$145),"")</f>
        <v>香梨特级</v>
      </c>
      <c r="H145" s="17">
        <f>IFERROR(IF([1]对账明细接口!$H$145=0,"",[1]对账明细接口!$H$145),"")</f>
        <v>280</v>
      </c>
      <c r="I145" s="16" t="str">
        <f>IFERROR(IF([1]对账明细接口!$I$145=0,"",[1]对账明细接口!$I$145),"")</f>
        <v>筐</v>
      </c>
      <c r="J145" s="18">
        <f>IFERROR(IF([1]对账明细接口!$J$145=0,"",[1]对账明细接口!$J$145),"")</f>
        <v>5124</v>
      </c>
      <c r="K145" s="18" t="str">
        <f>IFERROR(IF([1]对账明细接口!$K$145=0,"",[1]对账明细接口!$K$145),"")</f>
        <v/>
      </c>
      <c r="L145" s="16" t="str">
        <f>IFERROR(IF([1]对账明细接口!$L$145=0,"",[1]对账明细接口!$L$145),"")</f>
        <v/>
      </c>
      <c r="M145" s="16" t="str">
        <f>IFERROR(IF([1]对账明细接口!$M$145=0,"",[1]对账明细接口!$M$145),"")</f>
        <v/>
      </c>
      <c r="N145" s="19">
        <f t="shared" si="4"/>
        <v>1</v>
      </c>
      <c r="O145" s="19">
        <f t="shared" si="5"/>
        <v>142</v>
      </c>
      <c r="S145" s="20" t="str">
        <f>IFERROR(IF([1]对账明细接口!$N145=0,"",[1]对账明细接口!$N145),"")</f>
        <v>公司红周转筐</v>
      </c>
      <c r="T145" s="21" t="str">
        <f>IFERROR(IF([1]对账明细接口!$O145=0,"",[1]对账明细接口!$O145),"")</f>
        <v/>
      </c>
      <c r="U145" s="21" t="str">
        <f>IFERROR(IF([1]对账明细接口!$P145=0,"",[1]对账明细接口!$P145),"")</f>
        <v/>
      </c>
      <c r="V145" s="21">
        <f>IFERROR(IF([1]对账明细接口!$Q145=0,"",[1]对账明细接口!$Q145),"")</f>
        <v>280</v>
      </c>
      <c r="W145" s="20" t="str">
        <f>IFERROR(IF([1]对账明细接口!$R145=0,"",[1]对账明细接口!$R145),"")</f>
        <v>新A*G0554</v>
      </c>
      <c r="X145" s="20" t="str">
        <f>IFERROR(IF([1]对账明细接口!$S145=0,"",[1]对账明细接口!$S145),"")</f>
        <v>公司筐</v>
      </c>
      <c r="Y145" s="20" t="str">
        <f>IFERROR(IF([1]对账明细接口!$T145=0,"",[1]对账明细接口!$T145),"")</f>
        <v/>
      </c>
      <c r="Z145" s="24" t="str">
        <f>IFERROR(IF([1]对账明细接口!$U145=0,"",[1]对账明细接口!$U145),"")</f>
        <v/>
      </c>
      <c r="AA145" s="24" t="str">
        <f>IFERROR(IF([1]对账明细接口!$V145=0,"",[1]对账明细接口!$V145),"")</f>
        <v/>
      </c>
      <c r="AB145" s="20" t="str">
        <f>IFERROR(IF([1]对账明细接口!$W145=0,"",[1]对账明细接口!$W145),"")</f>
        <v/>
      </c>
      <c r="AC145" s="7" t="str">
        <f>IFERROR(IF([1]对账明细接口!$X145=0,"",[1]对账明细接口!$X145),"")</f>
        <v/>
      </c>
      <c r="AD145" s="7" t="str">
        <f>IFERROR(IF([1]对账明细接口!$Y145=0,"",[1]对账明细接口!$Y145),"")</f>
        <v/>
      </c>
      <c r="AE145" s="7" t="str">
        <f>IFERROR(IF([1]对账明细接口!$AA145=0,"",[1]对账明细接口!$AA145),"")</f>
        <v/>
      </c>
      <c r="AF145" s="7" t="str">
        <f>IFERROR(IF([1]对账明细接口!$AB145=0,"",[1]对账明细接口!$AB145),"")</f>
        <v/>
      </c>
      <c r="AG145" s="7" t="str">
        <f>IFERROR(IF([1]对账明细接口!$AC145=0,"",[1]对账明细接口!$AC145),"")</f>
        <v/>
      </c>
      <c r="AH145" s="7" t="str">
        <f>IFERROR(IF([1]对账明细接口!$AD145=0,"",[1]对账明细接口!$AD145),"")</f>
        <v/>
      </c>
      <c r="AI145" s="7" t="str">
        <f>IFERROR(IF([1]对账明细接口!$AE145=0,"",[1]对账明细接口!$AE145),"")</f>
        <v/>
      </c>
      <c r="AJ145" s="7" t="str">
        <f>IFERROR(IF([1]对账明细接口!$AF145=0,"",[1]对账明细接口!$AF145),"")</f>
        <v/>
      </c>
    </row>
    <row r="146" ht="14.25" customHeight="1" spans="1:36">
      <c r="A146" s="14">
        <v>146</v>
      </c>
      <c r="B146" s="15">
        <f>IFERROR(IF([1]对账明细接口!$B$146=0,"",[1]对账明细接口!$B$146),"")</f>
        <v>46271</v>
      </c>
      <c r="C146" s="16" t="str">
        <f>IFERROR(IF([1]对账明细接口!$C$146=0,"",[1]对账明细接口!$C$146),"")</f>
        <v>麦麦提</v>
      </c>
      <c r="D146" s="16" t="str">
        <f>IFERROR(IF([1]对账明细接口!$D$146=0,"",[1]对账明细接口!$D$146),"")</f>
        <v>原料入库</v>
      </c>
      <c r="E146" s="16" t="str">
        <f>IFERROR(IF([1]对账明细接口!$E$146=0,"",[1]对账明细接口!$E$146),"")</f>
        <v>NO:0000754</v>
      </c>
      <c r="F146" s="16" t="str">
        <f>IFERROR(IF([1]对账明细接口!$F$146=0,"",[1]对账明细接口!$F$146),"")</f>
        <v>香梨</v>
      </c>
      <c r="G146" s="16" t="str">
        <f>IFERROR(IF([1]对账明细接口!$G$146=0,"",[1]对账明细接口!$G$146),"")</f>
        <v>香梨一级</v>
      </c>
      <c r="H146" s="17">
        <f>IFERROR(IF([1]对账明细接口!$H$146=0,"",[1]对账明细接口!$H$146),"")</f>
        <v>194</v>
      </c>
      <c r="I146" s="16" t="str">
        <f>IFERROR(IF([1]对账明细接口!$I$146=0,"",[1]对账明细接口!$I$146),"")</f>
        <v>筐</v>
      </c>
      <c r="J146" s="18">
        <f>IFERROR(IF([1]对账明细接口!$J$146=0,"",[1]对账明细接口!$J$146),"")</f>
        <v>3550.2</v>
      </c>
      <c r="K146" s="18" t="str">
        <f>IFERROR(IF([1]对账明细接口!$K$146=0,"",[1]对账明细接口!$K$146),"")</f>
        <v/>
      </c>
      <c r="L146" s="16" t="str">
        <f>IFERROR(IF([1]对账明细接口!$L$146=0,"",[1]对账明细接口!$L$146),"")</f>
        <v/>
      </c>
      <c r="M146" s="16" t="str">
        <f>IFERROR(IF([1]对账明细接口!$M$146=0,"",[1]对账明细接口!$M$146),"")</f>
        <v/>
      </c>
      <c r="N146" s="19">
        <f t="shared" si="4"/>
        <v>1</v>
      </c>
      <c r="O146" s="19">
        <f t="shared" si="5"/>
        <v>143</v>
      </c>
      <c r="S146" s="20" t="str">
        <f>IFERROR(IF([1]对账明细接口!$N146=0,"",[1]对账明细接口!$N146),"")</f>
        <v>公司红周转筐</v>
      </c>
      <c r="T146" s="21" t="str">
        <f>IFERROR(IF([1]对账明细接口!$O146=0,"",[1]对账明细接口!$O146),"")</f>
        <v/>
      </c>
      <c r="U146" s="21" t="str">
        <f>IFERROR(IF([1]对账明细接口!$P146=0,"",[1]对账明细接口!$P146),"")</f>
        <v/>
      </c>
      <c r="V146" s="21">
        <f>IFERROR(IF([1]对账明细接口!$Q146=0,"",[1]对账明细接口!$Q146),"")</f>
        <v>194</v>
      </c>
      <c r="W146" s="20" t="str">
        <f>IFERROR(IF([1]对账明细接口!$R146=0,"",[1]对账明细接口!$R146),"")</f>
        <v>新A*G0554</v>
      </c>
      <c r="X146" s="20" t="str">
        <f>IFERROR(IF([1]对账明细接口!$S146=0,"",[1]对账明细接口!$S146),"")</f>
        <v>公司筐</v>
      </c>
      <c r="Y146" s="20" t="str">
        <f>IFERROR(IF([1]对账明细接口!$T146=0,"",[1]对账明细接口!$T146),"")</f>
        <v/>
      </c>
      <c r="Z146" s="24" t="str">
        <f>IFERROR(IF([1]对账明细接口!$U146=0,"",[1]对账明细接口!$U146),"")</f>
        <v/>
      </c>
      <c r="AA146" s="24" t="str">
        <f>IFERROR(IF([1]对账明细接口!$V146=0,"",[1]对账明细接口!$V146),"")</f>
        <v/>
      </c>
      <c r="AB146" s="20" t="str">
        <f>IFERROR(IF([1]对账明细接口!$W146=0,"",[1]对账明细接口!$W146),"")</f>
        <v/>
      </c>
      <c r="AC146" s="7" t="str">
        <f>IFERROR(IF([1]对账明细接口!$X146=0,"",[1]对账明细接口!$X146),"")</f>
        <v/>
      </c>
      <c r="AD146" s="7" t="str">
        <f>IFERROR(IF([1]对账明细接口!$Y146=0,"",[1]对账明细接口!$Y146),"")</f>
        <v/>
      </c>
      <c r="AE146" s="7" t="str">
        <f>IFERROR(IF([1]对账明细接口!$AA146=0,"",[1]对账明细接口!$AA146),"")</f>
        <v/>
      </c>
      <c r="AF146" s="7" t="str">
        <f>IFERROR(IF([1]对账明细接口!$AB146=0,"",[1]对账明细接口!$AB146),"")</f>
        <v/>
      </c>
      <c r="AG146" s="7" t="str">
        <f>IFERROR(IF([1]对账明细接口!$AC146=0,"",[1]对账明细接口!$AC146),"")</f>
        <v/>
      </c>
      <c r="AH146" s="7" t="str">
        <f>IFERROR(IF([1]对账明细接口!$AD146=0,"",[1]对账明细接口!$AD146),"")</f>
        <v/>
      </c>
      <c r="AI146" s="7" t="str">
        <f>IFERROR(IF([1]对账明细接口!$AE146=0,"",[1]对账明细接口!$AE146),"")</f>
        <v/>
      </c>
      <c r="AJ146" s="7" t="str">
        <f>IFERROR(IF([1]对账明细接口!$AF146=0,"",[1]对账明细接口!$AF146),"")</f>
        <v/>
      </c>
    </row>
    <row r="147" ht="14.25" customHeight="1" spans="1:36">
      <c r="A147" s="14">
        <v>147</v>
      </c>
      <c r="B147" s="15">
        <f>IFERROR(IF([1]对账明细接口!$B$147=0,"",[1]对账明细接口!$B$147),"")</f>
        <v>46271</v>
      </c>
      <c r="C147" s="16" t="str">
        <f>IFERROR(IF([1]对账明细接口!$C$147=0,"",[1]对账明细接口!$C$147),"")</f>
        <v>麦麦提</v>
      </c>
      <c r="D147" s="16" t="str">
        <f>IFERROR(IF([1]对账明细接口!$D$147=0,"",[1]对账明细接口!$D$147),"")</f>
        <v>原料入库</v>
      </c>
      <c r="E147" s="16" t="str">
        <f>IFERROR(IF([1]对账明细接口!$E$147=0,"",[1]对账明细接口!$E$147),"")</f>
        <v>NO:0000754</v>
      </c>
      <c r="F147" s="16" t="str">
        <f>IFERROR(IF([1]对账明细接口!$F$147=0,"",[1]对账明细接口!$F$147),"")</f>
        <v>香梨</v>
      </c>
      <c r="G147" s="16" t="str">
        <f>IFERROR(IF([1]对账明细接口!$G$147=0,"",[1]对账明细接口!$G$147),"")</f>
        <v>香梨二级</v>
      </c>
      <c r="H147" s="17">
        <f>IFERROR(IF([1]对账明细接口!$H$147=0,"",[1]对账明细接口!$H$147),"")</f>
        <v>152</v>
      </c>
      <c r="I147" s="16" t="str">
        <f>IFERROR(IF([1]对账明细接口!$I$147=0,"",[1]对账明细接口!$I$147),"")</f>
        <v>筐</v>
      </c>
      <c r="J147" s="18">
        <f>IFERROR(IF([1]对账明细接口!$J$147=0,"",[1]对账明细接口!$J$147),"")</f>
        <v>3389.6</v>
      </c>
      <c r="K147" s="18" t="str">
        <f>IFERROR(IF([1]对账明细接口!$K$147=0,"",[1]对账明细接口!$K$147),"")</f>
        <v/>
      </c>
      <c r="L147" s="16" t="str">
        <f>IFERROR(IF([1]对账明细接口!$L$147=0,"",[1]对账明细接口!$L$147),"")</f>
        <v/>
      </c>
      <c r="M147" s="16" t="str">
        <f>IFERROR(IF([1]对账明细接口!$M$147=0,"",[1]对账明细接口!$M$147),"")</f>
        <v/>
      </c>
      <c r="N147" s="19">
        <f t="shared" si="4"/>
        <v>1</v>
      </c>
      <c r="O147" s="19">
        <f t="shared" si="5"/>
        <v>144</v>
      </c>
      <c r="S147" s="20" t="str">
        <f>IFERROR(IF([1]对账明细接口!$N147=0,"",[1]对账明细接口!$N147),"")</f>
        <v>公司红周转筐</v>
      </c>
      <c r="T147" s="21" t="str">
        <f>IFERROR(IF([1]对账明细接口!$O147=0,"",[1]对账明细接口!$O147),"")</f>
        <v/>
      </c>
      <c r="U147" s="21" t="str">
        <f>IFERROR(IF([1]对账明细接口!$P147=0,"",[1]对账明细接口!$P147),"")</f>
        <v/>
      </c>
      <c r="V147" s="21">
        <f>IFERROR(IF([1]对账明细接口!$Q147=0,"",[1]对账明细接口!$Q147),"")</f>
        <v>152</v>
      </c>
      <c r="W147" s="20" t="str">
        <f>IFERROR(IF([1]对账明细接口!$R147=0,"",[1]对账明细接口!$R147),"")</f>
        <v>新A*G0554</v>
      </c>
      <c r="X147" s="20" t="str">
        <f>IFERROR(IF([1]对账明细接口!$S147=0,"",[1]对账明细接口!$S147),"")</f>
        <v>公司筐</v>
      </c>
      <c r="Y147" s="20" t="str">
        <f>IFERROR(IF([1]对账明细接口!$T147=0,"",[1]对账明细接口!$T147),"")</f>
        <v/>
      </c>
      <c r="Z147" s="24" t="str">
        <f>IFERROR(IF([1]对账明细接口!$U147=0,"",[1]对账明细接口!$U147),"")</f>
        <v/>
      </c>
      <c r="AA147" s="24" t="str">
        <f>IFERROR(IF([1]对账明细接口!$V147=0,"",[1]对账明细接口!$V147),"")</f>
        <v/>
      </c>
      <c r="AB147" s="20" t="str">
        <f>IFERROR(IF([1]对账明细接口!$W147=0,"",[1]对账明细接口!$W147),"")</f>
        <v/>
      </c>
      <c r="AC147" s="7" t="str">
        <f>IFERROR(IF([1]对账明细接口!$X147=0,"",[1]对账明细接口!$X147),"")</f>
        <v/>
      </c>
      <c r="AD147" s="7" t="str">
        <f>IFERROR(IF([1]对账明细接口!$Y147=0,"",[1]对账明细接口!$Y147),"")</f>
        <v/>
      </c>
      <c r="AE147" s="7" t="str">
        <f>IFERROR(IF([1]对账明细接口!$AA147=0,"",[1]对账明细接口!$AA147),"")</f>
        <v/>
      </c>
      <c r="AF147" s="7" t="str">
        <f>IFERROR(IF([1]对账明细接口!$AB147=0,"",[1]对账明细接口!$AB147),"")</f>
        <v/>
      </c>
      <c r="AG147" s="7" t="str">
        <f>IFERROR(IF([1]对账明细接口!$AC147=0,"",[1]对账明细接口!$AC147),"")</f>
        <v/>
      </c>
      <c r="AH147" s="7" t="str">
        <f>IFERROR(IF([1]对账明细接口!$AD147=0,"",[1]对账明细接口!$AD147),"")</f>
        <v/>
      </c>
      <c r="AI147" s="7" t="str">
        <f>IFERROR(IF([1]对账明细接口!$AE147=0,"",[1]对账明细接口!$AE147),"")</f>
        <v/>
      </c>
      <c r="AJ147" s="7" t="str">
        <f>IFERROR(IF([1]对账明细接口!$AF147=0,"",[1]对账明细接口!$AF147),"")</f>
        <v/>
      </c>
    </row>
    <row r="148" ht="14.25" customHeight="1" spans="1:36">
      <c r="A148" s="14">
        <v>148</v>
      </c>
      <c r="B148" s="15">
        <f>IFERROR(IF([1]对账明细接口!$B$148=0,"",[1]对账明细接口!$B$148),"")</f>
        <v>46272</v>
      </c>
      <c r="C148" s="16" t="str">
        <f>IFERROR(IF([1]对账明细接口!$C$148=0,"",[1]对账明细接口!$C$148),"")</f>
        <v>吐尔洪</v>
      </c>
      <c r="D148" s="16" t="str">
        <f>IFERROR(IF([1]对账明细接口!$D$148=0,"",[1]对账明细接口!$D$148),"")</f>
        <v>原料入库</v>
      </c>
      <c r="E148" s="16" t="str">
        <f>IFERROR(IF([1]对账明细接口!$E$148=0,"",[1]对账明细接口!$E$148),"")</f>
        <v>NO:0000756</v>
      </c>
      <c r="F148" s="16" t="str">
        <f>IFERROR(IF([1]对账明细接口!$F$148=0,"",[1]对账明细接口!$F$148),"")</f>
        <v>香梨</v>
      </c>
      <c r="G148" s="16" t="str">
        <f>IFERROR(IF([1]对账明细接口!$G$148=0,"",[1]对账明细接口!$G$148),"")</f>
        <v>香梨特级</v>
      </c>
      <c r="H148" s="17">
        <f>IFERROR(IF([1]对账明细接口!$H$148=0,"",[1]对账明细接口!$H$148),"")</f>
        <v>110</v>
      </c>
      <c r="I148" s="16" t="str">
        <f>IFERROR(IF([1]对账明细接口!$I$148=0,"",[1]对账明细接口!$I$148),"")</f>
        <v>筐</v>
      </c>
      <c r="J148" s="18">
        <f>IFERROR(IF([1]对账明细接口!$J$148=0,"",[1]对账明细接口!$J$148),"")</f>
        <v>2013</v>
      </c>
      <c r="K148" s="18" t="str">
        <f>IFERROR(IF([1]对账明细接口!$K$148=0,"",[1]对账明细接口!$K$148),"")</f>
        <v/>
      </c>
      <c r="L148" s="16" t="str">
        <f>IFERROR(IF([1]对账明细接口!$L$148=0,"",[1]对账明细接口!$L$148),"")</f>
        <v/>
      </c>
      <c r="M148" s="16" t="str">
        <f>IFERROR(IF([1]对账明细接口!$M$148=0,"",[1]对账明细接口!$M$148),"")</f>
        <v>麦麦提</v>
      </c>
      <c r="N148" s="19">
        <f t="shared" si="4"/>
        <v>1</v>
      </c>
      <c r="O148" s="19">
        <f t="shared" si="5"/>
        <v>145</v>
      </c>
      <c r="S148" s="20" t="str">
        <f>IFERROR(IF([1]对账明细接口!$N148=0,"",[1]对账明细接口!$N148),"")</f>
        <v>公司红周转筐</v>
      </c>
      <c r="T148" s="21" t="str">
        <f>IFERROR(IF([1]对账明细接口!$O148=0,"",[1]对账明细接口!$O148),"")</f>
        <v/>
      </c>
      <c r="U148" s="21" t="str">
        <f>IFERROR(IF([1]对账明细接口!$P148=0,"",[1]对账明细接口!$P148),"")</f>
        <v/>
      </c>
      <c r="V148" s="21">
        <f>IFERROR(IF([1]对账明细接口!$Q148=0,"",[1]对账明细接口!$Q148),"")</f>
        <v>110</v>
      </c>
      <c r="W148" s="20" t="str">
        <f>IFERROR(IF([1]对账明细接口!$R148=0,"",[1]对账明细接口!$R148),"")</f>
        <v>新N*X8S48</v>
      </c>
      <c r="X148" s="20" t="str">
        <f>IFERROR(IF([1]对账明细接口!$S148=0,"",[1]对账明细接口!$S148),"")</f>
        <v>公司筐</v>
      </c>
      <c r="Y148" s="20" t="str">
        <f>IFERROR(IF([1]对账明细接口!$T148=0,"",[1]对账明细接口!$T148),"")</f>
        <v/>
      </c>
      <c r="Z148" s="24" t="str">
        <f>IFERROR(IF([1]对账明细接口!$U148=0,"",[1]对账明细接口!$U148),"")</f>
        <v/>
      </c>
      <c r="AA148" s="24" t="str">
        <f>IFERROR(IF([1]对账明细接口!$V148=0,"",[1]对账明细接口!$V148),"")</f>
        <v/>
      </c>
      <c r="AB148" s="20" t="str">
        <f>IFERROR(IF([1]对账明细接口!$W148=0,"",[1]对账明细接口!$W148),"")</f>
        <v/>
      </c>
      <c r="AC148" s="7" t="str">
        <f>IFERROR(IF([1]对账明细接口!$X148=0,"",[1]对账明细接口!$X148),"")</f>
        <v/>
      </c>
      <c r="AD148" s="7" t="str">
        <f>IFERROR(IF([1]对账明细接口!$Y148=0,"",[1]对账明细接口!$Y148),"")</f>
        <v/>
      </c>
      <c r="AE148" s="7" t="str">
        <f>IFERROR(IF([1]对账明细接口!$AA148=0,"",[1]对账明细接口!$AA148),"")</f>
        <v/>
      </c>
      <c r="AF148" s="7" t="str">
        <f>IFERROR(IF([1]对账明细接口!$AB148=0,"",[1]对账明细接口!$AB148),"")</f>
        <v/>
      </c>
      <c r="AG148" s="7" t="str">
        <f>IFERROR(IF([1]对账明细接口!$AC148=0,"",[1]对账明细接口!$AC148),"")</f>
        <v/>
      </c>
      <c r="AH148" s="7" t="str">
        <f>IFERROR(IF([1]对账明细接口!$AD148=0,"",[1]对账明细接口!$AD148),"")</f>
        <v/>
      </c>
      <c r="AI148" s="7" t="str">
        <f>IFERROR(IF([1]对账明细接口!$AE148=0,"",[1]对账明细接口!$AE148),"")</f>
        <v/>
      </c>
      <c r="AJ148" s="7" t="str">
        <f>IFERROR(IF([1]对账明细接口!$AF148=0,"",[1]对账明细接口!$AF148),"")</f>
        <v/>
      </c>
    </row>
    <row r="149" ht="14.25" customHeight="1" spans="1:36">
      <c r="A149" s="14">
        <v>149</v>
      </c>
      <c r="B149" s="15">
        <f>IFERROR(IF([1]对账明细接口!$B$149=0,"",[1]对账明细接口!$B$149),"")</f>
        <v>46272</v>
      </c>
      <c r="C149" s="16" t="str">
        <f>IFERROR(IF([1]对账明细接口!$C$149=0,"",[1]对账明细接口!$C$149),"")</f>
        <v>吐尔洪</v>
      </c>
      <c r="D149" s="16" t="str">
        <f>IFERROR(IF([1]对账明细接口!$D$149=0,"",[1]对账明细接口!$D$149),"")</f>
        <v>原料入库</v>
      </c>
      <c r="E149" s="16" t="str">
        <f>IFERROR(IF([1]对账明细接口!$E$149=0,"",[1]对账明细接口!$E$149),"")</f>
        <v>NO:0000756</v>
      </c>
      <c r="F149" s="16" t="str">
        <f>IFERROR(IF([1]对账明细接口!$F$149=0,"",[1]对账明细接口!$F$149),"")</f>
        <v>香梨</v>
      </c>
      <c r="G149" s="16" t="str">
        <f>IFERROR(IF([1]对账明细接口!$G$149=0,"",[1]对账明细接口!$G$149),"")</f>
        <v>香梨二级</v>
      </c>
      <c r="H149" s="17">
        <f>IFERROR(IF([1]对账明细接口!$H$149=0,"",[1]对账明细接口!$H$149),"")</f>
        <v>21</v>
      </c>
      <c r="I149" s="16" t="str">
        <f>IFERROR(IF([1]对账明细接口!$I$149=0,"",[1]对账明细接口!$I$149),"")</f>
        <v>筐</v>
      </c>
      <c r="J149" s="18">
        <f>IFERROR(IF([1]对账明细接口!$J$149=0,"",[1]对账明细接口!$J$149),"")</f>
        <v>384.3</v>
      </c>
      <c r="K149" s="18" t="str">
        <f>IFERROR(IF([1]对账明细接口!$K$149=0,"",[1]对账明细接口!$K$149),"")</f>
        <v/>
      </c>
      <c r="L149" s="16" t="str">
        <f>IFERROR(IF([1]对账明细接口!$L$149=0,"",[1]对账明细接口!$L$149),"")</f>
        <v/>
      </c>
      <c r="M149" s="16" t="str">
        <f>IFERROR(IF([1]对账明细接口!$M$149=0,"",[1]对账明细接口!$M$149),"")</f>
        <v>麦麦提</v>
      </c>
      <c r="N149" s="19">
        <f t="shared" si="4"/>
        <v>1</v>
      </c>
      <c r="O149" s="19">
        <f t="shared" si="5"/>
        <v>146</v>
      </c>
      <c r="S149" s="20" t="str">
        <f>IFERROR(IF([1]对账明细接口!$N149=0,"",[1]对账明细接口!$N149),"")</f>
        <v>公司红周转筐</v>
      </c>
      <c r="T149" s="21" t="str">
        <f>IFERROR(IF([1]对账明细接口!$O149=0,"",[1]对账明细接口!$O149),"")</f>
        <v/>
      </c>
      <c r="U149" s="21" t="str">
        <f>IFERROR(IF([1]对账明细接口!$P149=0,"",[1]对账明细接口!$P149),"")</f>
        <v/>
      </c>
      <c r="V149" s="21">
        <f>IFERROR(IF([1]对账明细接口!$Q149=0,"",[1]对账明细接口!$Q149),"")</f>
        <v>21</v>
      </c>
      <c r="W149" s="20" t="str">
        <f>IFERROR(IF([1]对账明细接口!$R149=0,"",[1]对账明细接口!$R149),"")</f>
        <v>新N*X8S48</v>
      </c>
      <c r="X149" s="20" t="str">
        <f>IFERROR(IF([1]对账明细接口!$S149=0,"",[1]对账明细接口!$S149),"")</f>
        <v>公司筐</v>
      </c>
      <c r="Y149" s="20" t="str">
        <f>IFERROR(IF([1]对账明细接口!$T149=0,"",[1]对账明细接口!$T149),"")</f>
        <v/>
      </c>
      <c r="Z149" s="24" t="str">
        <f>IFERROR(IF([1]对账明细接口!$U149=0,"",[1]对账明细接口!$U149),"")</f>
        <v/>
      </c>
      <c r="AA149" s="24" t="str">
        <f>IFERROR(IF([1]对账明细接口!$V149=0,"",[1]对账明细接口!$V149),"")</f>
        <v/>
      </c>
      <c r="AB149" s="20" t="str">
        <f>IFERROR(IF([1]对账明细接口!$W149=0,"",[1]对账明细接口!$W149),"")</f>
        <v/>
      </c>
      <c r="AC149" s="7" t="str">
        <f>IFERROR(IF([1]对账明细接口!$X149=0,"",[1]对账明细接口!$X149),"")</f>
        <v/>
      </c>
      <c r="AD149" s="7" t="str">
        <f>IFERROR(IF([1]对账明细接口!$Y149=0,"",[1]对账明细接口!$Y149),"")</f>
        <v/>
      </c>
      <c r="AE149" s="7" t="str">
        <f>IFERROR(IF([1]对账明细接口!$AA149=0,"",[1]对账明细接口!$AA149),"")</f>
        <v/>
      </c>
      <c r="AF149" s="7" t="str">
        <f>IFERROR(IF([1]对账明细接口!$AB149=0,"",[1]对账明细接口!$AB149),"")</f>
        <v/>
      </c>
      <c r="AG149" s="7" t="str">
        <f>IFERROR(IF([1]对账明细接口!$AC149=0,"",[1]对账明细接口!$AC149),"")</f>
        <v/>
      </c>
      <c r="AH149" s="7" t="str">
        <f>IFERROR(IF([1]对账明细接口!$AD149=0,"",[1]对账明细接口!$AD149),"")</f>
        <v/>
      </c>
      <c r="AI149" s="7" t="str">
        <f>IFERROR(IF([1]对账明细接口!$AE149=0,"",[1]对账明细接口!$AE149),"")</f>
        <v/>
      </c>
      <c r="AJ149" s="7" t="str">
        <f>IFERROR(IF([1]对账明细接口!$AF149=0,"",[1]对账明细接口!$AF149),"")</f>
        <v/>
      </c>
    </row>
    <row r="150" ht="14.25" customHeight="1" spans="1:36">
      <c r="A150" s="14">
        <v>150</v>
      </c>
      <c r="B150" s="15">
        <f>IFERROR(IF([1]对账明细接口!$B$150=0,"",[1]对账明细接口!$B$150),"")</f>
        <v>46272</v>
      </c>
      <c r="C150" s="16" t="str">
        <f>IFERROR(IF([1]对账明细接口!$C$150=0,"",[1]对账明细接口!$C$150),"")</f>
        <v>吐尔洪</v>
      </c>
      <c r="D150" s="16" t="str">
        <f>IFERROR(IF([1]对账明细接口!$D$150=0,"",[1]对账明细接口!$D$150),"")</f>
        <v>原料入库</v>
      </c>
      <c r="E150" s="16" t="str">
        <f>IFERROR(IF([1]对账明细接口!$E$150=0,"",[1]对账明细接口!$E$150),"")</f>
        <v>NO:0000756</v>
      </c>
      <c r="F150" s="16" t="str">
        <f>IFERROR(IF([1]对账明细接口!$F$150=0,"",[1]对账明细接口!$F$150),"")</f>
        <v>香梨</v>
      </c>
      <c r="G150" s="16" t="str">
        <f>IFERROR(IF([1]对账明细接口!$G$150=0,"",[1]对账明细接口!$G$150),"")</f>
        <v>香梨二级</v>
      </c>
      <c r="H150" s="17">
        <f>IFERROR(IF([1]对账明细接口!$H$150=0,"",[1]对账明细接口!$H$150),"")</f>
        <v>67</v>
      </c>
      <c r="I150" s="16" t="str">
        <f>IFERROR(IF([1]对账明细接口!$I$150=0,"",[1]对账明细接口!$I$150),"")</f>
        <v>筐</v>
      </c>
      <c r="J150" s="18">
        <f>IFERROR(IF([1]对账明细接口!$J$150=0,"",[1]对账明细接口!$J$150),"")</f>
        <v>1494.1</v>
      </c>
      <c r="K150" s="18" t="str">
        <f>IFERROR(IF([1]对账明细接口!$K$150=0,"",[1]对账明细接口!$K$150),"")</f>
        <v/>
      </c>
      <c r="L150" s="16" t="str">
        <f>IFERROR(IF([1]对账明细接口!$L$150=0,"",[1]对账明细接口!$L$150),"")</f>
        <v/>
      </c>
      <c r="M150" s="16" t="str">
        <f>IFERROR(IF([1]对账明细接口!$M$150=0,"",[1]对账明细接口!$M$150),"")</f>
        <v>麦麦提</v>
      </c>
      <c r="N150" s="19">
        <f t="shared" si="4"/>
        <v>1</v>
      </c>
      <c r="O150" s="19">
        <f t="shared" si="5"/>
        <v>147</v>
      </c>
      <c r="S150" s="20" t="str">
        <f>IFERROR(IF([1]对账明细接口!$N150=0,"",[1]对账明细接口!$N150),"")</f>
        <v>公司红周转筐</v>
      </c>
      <c r="T150" s="21" t="str">
        <f>IFERROR(IF([1]对账明细接口!$O150=0,"",[1]对账明细接口!$O150),"")</f>
        <v/>
      </c>
      <c r="U150" s="21" t="str">
        <f>IFERROR(IF([1]对账明细接口!$P150=0,"",[1]对账明细接口!$P150),"")</f>
        <v/>
      </c>
      <c r="V150" s="21">
        <f>IFERROR(IF([1]对账明细接口!$Q150=0,"",[1]对账明细接口!$Q150),"")</f>
        <v>67</v>
      </c>
      <c r="W150" s="20" t="str">
        <f>IFERROR(IF([1]对账明细接口!$R150=0,"",[1]对账明细接口!$R150),"")</f>
        <v>新N*X8S48</v>
      </c>
      <c r="X150" s="20" t="str">
        <f>IFERROR(IF([1]对账明细接口!$S150=0,"",[1]对账明细接口!$S150),"")</f>
        <v>公司筐</v>
      </c>
      <c r="Y150" s="20" t="str">
        <f>IFERROR(IF([1]对账明细接口!$T150=0,"",[1]对账明细接口!$T150),"")</f>
        <v/>
      </c>
      <c r="Z150" s="24" t="str">
        <f>IFERROR(IF([1]对账明细接口!$U150=0,"",[1]对账明细接口!$U150),"")</f>
        <v/>
      </c>
      <c r="AA150" s="24" t="str">
        <f>IFERROR(IF([1]对账明细接口!$V150=0,"",[1]对账明细接口!$V150),"")</f>
        <v/>
      </c>
      <c r="AB150" s="20" t="str">
        <f>IFERROR(IF([1]对账明细接口!$W150=0,"",[1]对账明细接口!$W150),"")</f>
        <v/>
      </c>
      <c r="AC150" s="7" t="str">
        <f>IFERROR(IF([1]对账明细接口!$X150=0,"",[1]对账明细接口!$X150),"")</f>
        <v/>
      </c>
      <c r="AD150" s="7" t="str">
        <f>IFERROR(IF([1]对账明细接口!$Y150=0,"",[1]对账明细接口!$Y150),"")</f>
        <v/>
      </c>
      <c r="AE150" s="7" t="str">
        <f>IFERROR(IF([1]对账明细接口!$AA150=0,"",[1]对账明细接口!$AA150),"")</f>
        <v/>
      </c>
      <c r="AF150" s="7" t="str">
        <f>IFERROR(IF([1]对账明细接口!$AB150=0,"",[1]对账明细接口!$AB150),"")</f>
        <v/>
      </c>
      <c r="AG150" s="7" t="str">
        <f>IFERROR(IF([1]对账明细接口!$AC150=0,"",[1]对账明细接口!$AC150),"")</f>
        <v/>
      </c>
      <c r="AH150" s="7" t="str">
        <f>IFERROR(IF([1]对账明细接口!$AD150=0,"",[1]对账明细接口!$AD150),"")</f>
        <v/>
      </c>
      <c r="AI150" s="7" t="str">
        <f>IFERROR(IF([1]对账明细接口!$AE150=0,"",[1]对账明细接口!$AE150),"")</f>
        <v/>
      </c>
      <c r="AJ150" s="7" t="str">
        <f>IFERROR(IF([1]对账明细接口!$AF150=0,"",[1]对账明细接口!$AF150),"")</f>
        <v/>
      </c>
    </row>
    <row r="151" ht="14.25" customHeight="1" spans="1:36">
      <c r="A151" s="14">
        <v>151</v>
      </c>
      <c r="B151" s="15">
        <f>IFERROR(IF([1]对账明细接口!$B$151=0,"",[1]对账明细接口!$B$151),"")</f>
        <v>46272</v>
      </c>
      <c r="C151" s="16" t="str">
        <f>IFERROR(IF([1]对账明细接口!$C$151=0,"",[1]对账明细接口!$C$151),"")</f>
        <v>马锦祥</v>
      </c>
      <c r="D151" s="16" t="str">
        <f>IFERROR(IF([1]对账明细接口!$D$151=0,"",[1]对账明细接口!$D$151),"")</f>
        <v>原料入库</v>
      </c>
      <c r="E151" s="16" t="str">
        <f>IFERROR(IF([1]对账明细接口!$E$151=0,"",[1]对账明细接口!$E$151),"")</f>
        <v>NO:0000757</v>
      </c>
      <c r="F151" s="16" t="str">
        <f>IFERROR(IF([1]对账明细接口!$F$151=0,"",[1]对账明细接口!$F$151),"")</f>
        <v>香梨</v>
      </c>
      <c r="G151" s="16" t="str">
        <f>IFERROR(IF([1]对账明细接口!$G$151=0,"",[1]对账明细接口!$G$151),"")</f>
        <v>香梨一级</v>
      </c>
      <c r="H151" s="17">
        <f>IFERROR(IF([1]对账明细接口!$H$151=0,"",[1]对账明细接口!$H$151),"")</f>
        <v>320</v>
      </c>
      <c r="I151" s="16" t="str">
        <f>IFERROR(IF([1]对账明细接口!$I$151=0,"",[1]对账明细接口!$I$151),"")</f>
        <v>筐</v>
      </c>
      <c r="J151" s="18">
        <f>IFERROR(IF([1]对账明细接口!$J$151=0,"",[1]对账明细接口!$J$151),"")</f>
        <v>5856</v>
      </c>
      <c r="K151" s="18" t="str">
        <f>IFERROR(IF([1]对账明细接口!$K$151=0,"",[1]对账明细接口!$K$151),"")</f>
        <v/>
      </c>
      <c r="L151" s="16" t="str">
        <f>IFERROR(IF([1]对账明细接口!$L$151=0,"",[1]对账明细接口!$L$151),"")</f>
        <v/>
      </c>
      <c r="M151" s="16" t="str">
        <f>IFERROR(IF([1]对账明细接口!$M$151=0,"",[1]对账明细接口!$M$151),"")</f>
        <v/>
      </c>
      <c r="N151" s="19">
        <f t="shared" si="4"/>
        <v>1</v>
      </c>
      <c r="O151" s="19">
        <f t="shared" si="5"/>
        <v>148</v>
      </c>
      <c r="S151" s="20" t="str">
        <f>IFERROR(IF([1]对账明细接口!$N151=0,"",[1]对账明细接口!$N151),"")</f>
        <v>公司杂周转筐</v>
      </c>
      <c r="T151" s="21" t="str">
        <f>IFERROR(IF([1]对账明细接口!$O151=0,"",[1]对账明细接口!$O151),"")</f>
        <v/>
      </c>
      <c r="U151" s="21" t="str">
        <f>IFERROR(IF([1]对账明细接口!$P151=0,"",[1]对账明细接口!$P151),"")</f>
        <v/>
      </c>
      <c r="V151" s="21">
        <f>IFERROR(IF([1]对账明细接口!$Q151=0,"",[1]对账明细接口!$Q151),"")</f>
        <v>320</v>
      </c>
      <c r="W151" s="20" t="str">
        <f>IFERROR(IF([1]对账明细接口!$R151=0,"",[1]对账明细接口!$R151),"")</f>
        <v>新N*K7V85</v>
      </c>
      <c r="X151" s="20" t="str">
        <f>IFERROR(IF([1]对账明细接口!$S151=0,"",[1]对账明细接口!$S151),"")</f>
        <v>公司筐</v>
      </c>
      <c r="Y151" s="20" t="str">
        <f>IFERROR(IF([1]对账明细接口!$T151=0,"",[1]对账明细接口!$T151),"")</f>
        <v/>
      </c>
      <c r="Z151" s="24" t="str">
        <f>IFERROR(IF([1]对账明细接口!$U151=0,"",[1]对账明细接口!$U151),"")</f>
        <v/>
      </c>
      <c r="AA151" s="24" t="str">
        <f>IFERROR(IF([1]对账明细接口!$V151=0,"",[1]对账明细接口!$V151),"")</f>
        <v/>
      </c>
      <c r="AB151" s="20" t="str">
        <f>IFERROR(IF([1]对账明细接口!$W151=0,"",[1]对账明细接口!$W151),"")</f>
        <v/>
      </c>
      <c r="AC151" s="7" t="str">
        <f>IFERROR(IF([1]对账明细接口!$X151=0,"",[1]对账明细接口!$X151),"")</f>
        <v/>
      </c>
      <c r="AD151" s="7" t="str">
        <f>IFERROR(IF([1]对账明细接口!$Y151=0,"",[1]对账明细接口!$Y151),"")</f>
        <v/>
      </c>
      <c r="AE151" s="7" t="str">
        <f>IFERROR(IF([1]对账明细接口!$AA151=0,"",[1]对账明细接口!$AA151),"")</f>
        <v/>
      </c>
      <c r="AF151" s="7" t="str">
        <f>IFERROR(IF([1]对账明细接口!$AB151=0,"",[1]对账明细接口!$AB151),"")</f>
        <v/>
      </c>
      <c r="AG151" s="7" t="str">
        <f>IFERROR(IF([1]对账明细接口!$AC151=0,"",[1]对账明细接口!$AC151),"")</f>
        <v/>
      </c>
      <c r="AH151" s="7" t="str">
        <f>IFERROR(IF([1]对账明细接口!$AD151=0,"",[1]对账明细接口!$AD151),"")</f>
        <v/>
      </c>
      <c r="AI151" s="7" t="str">
        <f>IFERROR(IF([1]对账明细接口!$AE151=0,"",[1]对账明细接口!$AE151),"")</f>
        <v/>
      </c>
      <c r="AJ151" s="7" t="str">
        <f>IFERROR(IF([1]对账明细接口!$AF151=0,"",[1]对账明细接口!$AF151),"")</f>
        <v/>
      </c>
    </row>
    <row r="152" ht="14.25" customHeight="1" spans="1:36">
      <c r="A152" s="14">
        <v>152</v>
      </c>
      <c r="B152" s="15">
        <f>IFERROR(IF([1]对账明细接口!$B$152=0,"",[1]对账明细接口!$B$152),"")</f>
        <v>46272</v>
      </c>
      <c r="C152" s="16" t="str">
        <f>IFERROR(IF([1]对账明细接口!$C$152=0,"",[1]对账明细接口!$C$152),"")</f>
        <v>马锦祥</v>
      </c>
      <c r="D152" s="16" t="str">
        <f>IFERROR(IF([1]对账明细接口!$D$152=0,"",[1]对账明细接口!$D$152),"")</f>
        <v>原料入库</v>
      </c>
      <c r="E152" s="16" t="str">
        <f>IFERROR(IF([1]对账明细接口!$E$152=0,"",[1]对账明细接口!$E$152),"")</f>
        <v>NO:0000757</v>
      </c>
      <c r="F152" s="16" t="str">
        <f>IFERROR(IF([1]对账明细接口!$F$152=0,"",[1]对账明细接口!$F$152),"")</f>
        <v>香梨</v>
      </c>
      <c r="G152" s="16" t="str">
        <f>IFERROR(IF([1]对账明细接口!$G$152=0,"",[1]对账明细接口!$G$152),"")</f>
        <v>香梨二级</v>
      </c>
      <c r="H152" s="17">
        <f>IFERROR(IF([1]对账明细接口!$H$152=0,"",[1]对账明细接口!$H$152),"")</f>
        <v>64</v>
      </c>
      <c r="I152" s="16" t="str">
        <f>IFERROR(IF([1]对账明细接口!$I$152=0,"",[1]对账明细接口!$I$152),"")</f>
        <v>筐</v>
      </c>
      <c r="J152" s="18">
        <f>IFERROR(IF([1]对账明细接口!$J$152=0,"",[1]对账明细接口!$J$152),"")</f>
        <v>1427.2</v>
      </c>
      <c r="K152" s="18" t="str">
        <f>IFERROR(IF([1]对账明细接口!$K$152=0,"",[1]对账明细接口!$K$152),"")</f>
        <v/>
      </c>
      <c r="L152" s="16" t="str">
        <f>IFERROR(IF([1]对账明细接口!$L$152=0,"",[1]对账明细接口!$L$152),"")</f>
        <v/>
      </c>
      <c r="M152" s="16" t="str">
        <f>IFERROR(IF([1]对账明细接口!$M$152=0,"",[1]对账明细接口!$M$152),"")</f>
        <v/>
      </c>
      <c r="N152" s="19">
        <f t="shared" si="4"/>
        <v>1</v>
      </c>
      <c r="O152" s="19">
        <f t="shared" si="5"/>
        <v>149</v>
      </c>
      <c r="S152" s="20" t="str">
        <f>IFERROR(IF([1]对账明细接口!$N152=0,"",[1]对账明细接口!$N152),"")</f>
        <v>公司杂周转筐</v>
      </c>
      <c r="T152" s="21" t="str">
        <f>IFERROR(IF([1]对账明细接口!$O152=0,"",[1]对账明细接口!$O152),"")</f>
        <v/>
      </c>
      <c r="U152" s="21" t="str">
        <f>IFERROR(IF([1]对账明细接口!$P152=0,"",[1]对账明细接口!$P152),"")</f>
        <v/>
      </c>
      <c r="V152" s="21">
        <f>IFERROR(IF([1]对账明细接口!$Q152=0,"",[1]对账明细接口!$Q152),"")</f>
        <v>64</v>
      </c>
      <c r="W152" s="20" t="str">
        <f>IFERROR(IF([1]对账明细接口!$R152=0,"",[1]对账明细接口!$R152),"")</f>
        <v>新N*K7V85</v>
      </c>
      <c r="X152" s="20" t="str">
        <f>IFERROR(IF([1]对账明细接口!$S152=0,"",[1]对账明细接口!$S152),"")</f>
        <v>公司筐</v>
      </c>
      <c r="Y152" s="20" t="str">
        <f>IFERROR(IF([1]对账明细接口!$T152=0,"",[1]对账明细接口!$T152),"")</f>
        <v/>
      </c>
      <c r="Z152" s="24" t="str">
        <f>IFERROR(IF([1]对账明细接口!$U152=0,"",[1]对账明细接口!$U152),"")</f>
        <v/>
      </c>
      <c r="AA152" s="24" t="str">
        <f>IFERROR(IF([1]对账明细接口!$V152=0,"",[1]对账明细接口!$V152),"")</f>
        <v/>
      </c>
      <c r="AB152" s="20" t="str">
        <f>IFERROR(IF([1]对账明细接口!$W152=0,"",[1]对账明细接口!$W152),"")</f>
        <v/>
      </c>
      <c r="AC152" s="7" t="str">
        <f>IFERROR(IF([1]对账明细接口!$X152=0,"",[1]对账明细接口!$X152),"")</f>
        <v/>
      </c>
      <c r="AD152" s="7" t="str">
        <f>IFERROR(IF([1]对账明细接口!$Y152=0,"",[1]对账明细接口!$Y152),"")</f>
        <v/>
      </c>
      <c r="AE152" s="7" t="str">
        <f>IFERROR(IF([1]对账明细接口!$AA152=0,"",[1]对账明细接口!$AA152),"")</f>
        <v/>
      </c>
      <c r="AF152" s="7" t="str">
        <f>IFERROR(IF([1]对账明细接口!$AB152=0,"",[1]对账明细接口!$AB152),"")</f>
        <v/>
      </c>
      <c r="AG152" s="7" t="str">
        <f>IFERROR(IF([1]对账明细接口!$AC152=0,"",[1]对账明细接口!$AC152),"")</f>
        <v/>
      </c>
      <c r="AH152" s="7" t="str">
        <f>IFERROR(IF([1]对账明细接口!$AD152=0,"",[1]对账明细接口!$AD152),"")</f>
        <v/>
      </c>
      <c r="AI152" s="7" t="str">
        <f>IFERROR(IF([1]对账明细接口!$AE152=0,"",[1]对账明细接口!$AE152),"")</f>
        <v/>
      </c>
      <c r="AJ152" s="7" t="str">
        <f>IFERROR(IF([1]对账明细接口!$AF152=0,"",[1]对账明细接口!$AF152),"")</f>
        <v/>
      </c>
    </row>
    <row r="153" ht="14.25" customHeight="1" spans="1:36">
      <c r="A153" s="14">
        <v>153</v>
      </c>
      <c r="B153" s="15">
        <f>IFERROR(IF([1]对账明细接口!$B$153=0,"",[1]对账明细接口!$B$153),"")</f>
        <v>46272</v>
      </c>
      <c r="C153" s="16" t="str">
        <f>IFERROR(IF([1]对账明细接口!$C$153=0,"",[1]对账明细接口!$C$153),"")</f>
        <v>马锦祥</v>
      </c>
      <c r="D153" s="16" t="str">
        <f>IFERROR(IF([1]对账明细接口!$D$153=0,"",[1]对账明细接口!$D$153),"")</f>
        <v>原料入库</v>
      </c>
      <c r="E153" s="16" t="str">
        <f>IFERROR(IF([1]对账明细接口!$E$153=0,"",[1]对账明细接口!$E$153),"")</f>
        <v>NO:0000757</v>
      </c>
      <c r="F153" s="16" t="str">
        <f>IFERROR(IF([1]对账明细接口!$F$153=0,"",[1]对账明细接口!$F$153),"")</f>
        <v>香梨</v>
      </c>
      <c r="G153" s="16" t="str">
        <f>IFERROR(IF([1]对账明细接口!$G$153=0,"",[1]对账明细接口!$G$153),"")</f>
        <v>香梨副特</v>
      </c>
      <c r="H153" s="17">
        <f>IFERROR(IF([1]对账明细接口!$H$153=0,"",[1]对账明细接口!$H$153),"")</f>
        <v>16</v>
      </c>
      <c r="I153" s="16" t="str">
        <f>IFERROR(IF([1]对账明细接口!$I$153=0,"",[1]对账明细接口!$I$153),"")</f>
        <v>筐</v>
      </c>
      <c r="J153" s="18">
        <f>IFERROR(IF([1]对账明细接口!$J$153=0,"",[1]对账明细接口!$J$153),"")</f>
        <v>292.8</v>
      </c>
      <c r="K153" s="18" t="str">
        <f>IFERROR(IF([1]对账明细接口!$K$153=0,"",[1]对账明细接口!$K$153),"")</f>
        <v/>
      </c>
      <c r="L153" s="16" t="str">
        <f>IFERROR(IF([1]对账明细接口!$L$153=0,"",[1]对账明细接口!$L$153),"")</f>
        <v/>
      </c>
      <c r="M153" s="16" t="str">
        <f>IFERROR(IF([1]对账明细接口!$M$153=0,"",[1]对账明细接口!$M$153),"")</f>
        <v/>
      </c>
      <c r="N153" s="19">
        <f t="shared" si="4"/>
        <v>1</v>
      </c>
      <c r="O153" s="19">
        <f t="shared" si="5"/>
        <v>150</v>
      </c>
      <c r="S153" s="20" t="str">
        <f>IFERROR(IF([1]对账明细接口!$N153=0,"",[1]对账明细接口!$N153),"")</f>
        <v>公司杂周转筐</v>
      </c>
      <c r="T153" s="21" t="str">
        <f>IFERROR(IF([1]对账明细接口!$O153=0,"",[1]对账明细接口!$O153),"")</f>
        <v/>
      </c>
      <c r="U153" s="21" t="str">
        <f>IFERROR(IF([1]对账明细接口!$P153=0,"",[1]对账明细接口!$P153),"")</f>
        <v/>
      </c>
      <c r="V153" s="21">
        <f>IFERROR(IF([1]对账明细接口!$Q153=0,"",[1]对账明细接口!$Q153),"")</f>
        <v>16</v>
      </c>
      <c r="W153" s="20" t="str">
        <f>IFERROR(IF([1]对账明细接口!$R153=0,"",[1]对账明细接口!$R153),"")</f>
        <v>新N*K7V85</v>
      </c>
      <c r="X153" s="20" t="str">
        <f>IFERROR(IF([1]对账明细接口!$S153=0,"",[1]对账明细接口!$S153),"")</f>
        <v>公司筐</v>
      </c>
      <c r="Y153" s="20" t="str">
        <f>IFERROR(IF([1]对账明细接口!$T153=0,"",[1]对账明细接口!$T153),"")</f>
        <v/>
      </c>
      <c r="Z153" s="24" t="str">
        <f>IFERROR(IF([1]对账明细接口!$U153=0,"",[1]对账明细接口!$U153),"")</f>
        <v/>
      </c>
      <c r="AA153" s="24" t="str">
        <f>IFERROR(IF([1]对账明细接口!$V153=0,"",[1]对账明细接口!$V153),"")</f>
        <v/>
      </c>
      <c r="AB153" s="20" t="str">
        <f>IFERROR(IF([1]对账明细接口!$W153=0,"",[1]对账明细接口!$W153),"")</f>
        <v/>
      </c>
      <c r="AC153" s="7" t="str">
        <f>IFERROR(IF([1]对账明细接口!$X153=0,"",[1]对账明细接口!$X153),"")</f>
        <v/>
      </c>
      <c r="AD153" s="7" t="str">
        <f>IFERROR(IF([1]对账明细接口!$Y153=0,"",[1]对账明细接口!$Y153),"")</f>
        <v/>
      </c>
      <c r="AE153" s="7" t="str">
        <f>IFERROR(IF([1]对账明细接口!$AA153=0,"",[1]对账明细接口!$AA153),"")</f>
        <v/>
      </c>
      <c r="AF153" s="7" t="str">
        <f>IFERROR(IF([1]对账明细接口!$AB153=0,"",[1]对账明细接口!$AB153),"")</f>
        <v/>
      </c>
      <c r="AG153" s="7" t="str">
        <f>IFERROR(IF([1]对账明细接口!$AC153=0,"",[1]对账明细接口!$AC153),"")</f>
        <v/>
      </c>
      <c r="AH153" s="7" t="str">
        <f>IFERROR(IF([1]对账明细接口!$AD153=0,"",[1]对账明细接口!$AD153),"")</f>
        <v/>
      </c>
      <c r="AI153" s="7" t="str">
        <f>IFERROR(IF([1]对账明细接口!$AE153=0,"",[1]对账明细接口!$AE153),"")</f>
        <v/>
      </c>
      <c r="AJ153" s="7" t="str">
        <f>IFERROR(IF([1]对账明细接口!$AF153=0,"",[1]对账明细接口!$AF153),"")</f>
        <v/>
      </c>
    </row>
    <row r="154" ht="14.25" customHeight="1" spans="1:36">
      <c r="A154" s="14">
        <v>154</v>
      </c>
      <c r="B154" s="15">
        <f>IFERROR(IF([1]对账明细接口!$B$154=0,"",[1]对账明细接口!$B$154),"")</f>
        <v>46272</v>
      </c>
      <c r="C154" s="16" t="str">
        <f>IFERROR(IF([1]对账明细接口!$C$154=0,"",[1]对账明细接口!$C$154),"")</f>
        <v>热合曼</v>
      </c>
      <c r="D154" s="16" t="str">
        <f>IFERROR(IF([1]对账明细接口!$D$154=0,"",[1]对账明细接口!$D$154),"")</f>
        <v>原料入库</v>
      </c>
      <c r="E154" s="16" t="str">
        <f>IFERROR(IF([1]对账明细接口!$E$154=0,"",[1]对账明细接口!$E$154),"")</f>
        <v>NO:0000758</v>
      </c>
      <c r="F154" s="16" t="str">
        <f>IFERROR(IF([1]对账明细接口!$F$154=0,"",[1]对账明细接口!$F$154),"")</f>
        <v>香梨</v>
      </c>
      <c r="G154" s="16" t="str">
        <f>IFERROR(IF([1]对账明细接口!$G$154=0,"",[1]对账明细接口!$G$154),"")</f>
        <v>香梨一级</v>
      </c>
      <c r="H154" s="17">
        <f>IFERROR(IF([1]对账明细接口!$H$154=0,"",[1]对账明细接口!$H$154),"")</f>
        <v>129</v>
      </c>
      <c r="I154" s="16" t="str">
        <f>IFERROR(IF([1]对账明细接口!$I$154=0,"",[1]对账明细接口!$I$154),"")</f>
        <v>筐</v>
      </c>
      <c r="J154" s="18">
        <f>IFERROR(IF([1]对账明细接口!$J$154=0,"",[1]对账明细接口!$J$154),"")</f>
        <v>2360.7</v>
      </c>
      <c r="K154" s="18" t="str">
        <f>IFERROR(IF([1]对账明细接口!$K$154=0,"",[1]对账明细接口!$K$154),"")</f>
        <v/>
      </c>
      <c r="L154" s="16" t="str">
        <f>IFERROR(IF([1]对账明细接口!$L$154=0,"",[1]对账明细接口!$L$154),"")</f>
        <v/>
      </c>
      <c r="M154" s="16" t="str">
        <f>IFERROR(IF([1]对账明细接口!$M$154=0,"",[1]对账明细接口!$M$154),"")</f>
        <v/>
      </c>
      <c r="N154" s="19">
        <f t="shared" si="4"/>
        <v>1</v>
      </c>
      <c r="O154" s="19">
        <f t="shared" si="5"/>
        <v>151</v>
      </c>
      <c r="S154" s="20" t="str">
        <f>IFERROR(IF([1]对账明细接口!$N154=0,"",[1]对账明细接口!$N154),"")</f>
        <v>公司红周转筐</v>
      </c>
      <c r="T154" s="21" t="str">
        <f>IFERROR(IF([1]对账明细接口!$O154=0,"",[1]对账明细接口!$O154),"")</f>
        <v/>
      </c>
      <c r="U154" s="21" t="str">
        <f>IFERROR(IF([1]对账明细接口!$P154=0,"",[1]对账明细接口!$P154),"")</f>
        <v/>
      </c>
      <c r="V154" s="21">
        <f>IFERROR(IF([1]对账明细接口!$Q154=0,"",[1]对账明细接口!$Q154),"")</f>
        <v>129</v>
      </c>
      <c r="W154" s="20" t="str">
        <f>IFERROR(IF([1]对账明细接口!$R154=0,"",[1]对账明细接口!$R154),"")</f>
        <v>新A*G0554</v>
      </c>
      <c r="X154" s="20" t="str">
        <f>IFERROR(IF([1]对账明细接口!$S154=0,"",[1]对账明细接口!$S154),"")</f>
        <v>公司筐</v>
      </c>
      <c r="Y154" s="20" t="str">
        <f>IFERROR(IF([1]对账明细接口!$T154=0,"",[1]对账明细接口!$T154),"")</f>
        <v/>
      </c>
      <c r="Z154" s="24" t="str">
        <f>IFERROR(IF([1]对账明细接口!$U154=0,"",[1]对账明细接口!$U154),"")</f>
        <v/>
      </c>
      <c r="AA154" s="24" t="str">
        <f>IFERROR(IF([1]对账明细接口!$V154=0,"",[1]对账明细接口!$V154),"")</f>
        <v/>
      </c>
      <c r="AB154" s="20" t="str">
        <f>IFERROR(IF([1]对账明细接口!$W154=0,"",[1]对账明细接口!$W154),"")</f>
        <v/>
      </c>
      <c r="AC154" s="7" t="str">
        <f>IFERROR(IF([1]对账明细接口!$X154=0,"",[1]对账明细接口!$X154),"")</f>
        <v/>
      </c>
      <c r="AD154" s="7" t="str">
        <f>IFERROR(IF([1]对账明细接口!$Y154=0,"",[1]对账明细接口!$Y154),"")</f>
        <v/>
      </c>
      <c r="AE154" s="7" t="str">
        <f>IFERROR(IF([1]对账明细接口!$AA154=0,"",[1]对账明细接口!$AA154),"")</f>
        <v/>
      </c>
      <c r="AF154" s="7" t="str">
        <f>IFERROR(IF([1]对账明细接口!$AB154=0,"",[1]对账明细接口!$AB154),"")</f>
        <v/>
      </c>
      <c r="AG154" s="7" t="str">
        <f>IFERROR(IF([1]对账明细接口!$AC154=0,"",[1]对账明细接口!$AC154),"")</f>
        <v/>
      </c>
      <c r="AH154" s="7" t="str">
        <f>IFERROR(IF([1]对账明细接口!$AD154=0,"",[1]对账明细接口!$AD154),"")</f>
        <v/>
      </c>
      <c r="AI154" s="7" t="str">
        <f>IFERROR(IF([1]对账明细接口!$AE154=0,"",[1]对账明细接口!$AE154),"")</f>
        <v/>
      </c>
      <c r="AJ154" s="7" t="str">
        <f>IFERROR(IF([1]对账明细接口!$AF154=0,"",[1]对账明细接口!$AF154),"")</f>
        <v/>
      </c>
    </row>
    <row r="155" ht="14.25" customHeight="1" spans="1:36">
      <c r="A155" s="14">
        <v>155</v>
      </c>
      <c r="B155" s="15">
        <f>IFERROR(IF([1]对账明细接口!$B$155=0,"",[1]对账明细接口!$B$155),"")</f>
        <v>46272</v>
      </c>
      <c r="C155" s="16" t="str">
        <f>IFERROR(IF([1]对账明细接口!$C$155=0,"",[1]对账明细接口!$C$155),"")</f>
        <v>热合曼</v>
      </c>
      <c r="D155" s="16" t="str">
        <f>IFERROR(IF([1]对账明细接口!$D$155=0,"",[1]对账明细接口!$D$155),"")</f>
        <v>原料入库</v>
      </c>
      <c r="E155" s="16" t="str">
        <f>IFERROR(IF([1]对账明细接口!$E$155=0,"",[1]对账明细接口!$E$155),"")</f>
        <v>NO:0000758</v>
      </c>
      <c r="F155" s="16" t="str">
        <f>IFERROR(IF([1]对账明细接口!$F$155=0,"",[1]对账明细接口!$F$155),"")</f>
        <v>香梨</v>
      </c>
      <c r="G155" s="16" t="str">
        <f>IFERROR(IF([1]对账明细接口!$G$155=0,"",[1]对账明细接口!$G$155),"")</f>
        <v>香梨二级</v>
      </c>
      <c r="H155" s="17">
        <f>IFERROR(IF([1]对账明细接口!$H$155=0,"",[1]对账明细接口!$H$155),"")</f>
        <v>119</v>
      </c>
      <c r="I155" s="16" t="str">
        <f>IFERROR(IF([1]对账明细接口!$I$155=0,"",[1]对账明细接口!$I$155),"")</f>
        <v>筐</v>
      </c>
      <c r="J155" s="18">
        <f>IFERROR(IF([1]对账明细接口!$J$155=0,"",[1]对账明细接口!$J$155),"")</f>
        <v>2653.7</v>
      </c>
      <c r="K155" s="18" t="str">
        <f>IFERROR(IF([1]对账明细接口!$K$155=0,"",[1]对账明细接口!$K$155),"")</f>
        <v/>
      </c>
      <c r="L155" s="16" t="str">
        <f>IFERROR(IF([1]对账明细接口!$L$155=0,"",[1]对账明细接口!$L$155),"")</f>
        <v/>
      </c>
      <c r="M155" s="16" t="str">
        <f>IFERROR(IF([1]对账明细接口!$M$155=0,"",[1]对账明细接口!$M$155),"")</f>
        <v/>
      </c>
      <c r="N155" s="19">
        <f t="shared" si="4"/>
        <v>1</v>
      </c>
      <c r="O155" s="19">
        <f t="shared" si="5"/>
        <v>152</v>
      </c>
      <c r="S155" s="20" t="str">
        <f>IFERROR(IF([1]对账明细接口!$N155=0,"",[1]对账明细接口!$N155),"")</f>
        <v>公司红周转筐</v>
      </c>
      <c r="T155" s="21" t="str">
        <f>IFERROR(IF([1]对账明细接口!$O155=0,"",[1]对账明细接口!$O155),"")</f>
        <v/>
      </c>
      <c r="U155" s="21" t="str">
        <f>IFERROR(IF([1]对账明细接口!$P155=0,"",[1]对账明细接口!$P155),"")</f>
        <v/>
      </c>
      <c r="V155" s="21">
        <f>IFERROR(IF([1]对账明细接口!$Q155=0,"",[1]对账明细接口!$Q155),"")</f>
        <v>119</v>
      </c>
      <c r="W155" s="20" t="str">
        <f>IFERROR(IF([1]对账明细接口!$R155=0,"",[1]对账明细接口!$R155),"")</f>
        <v>新A*G0554</v>
      </c>
      <c r="X155" s="20" t="str">
        <f>IFERROR(IF([1]对账明细接口!$S155=0,"",[1]对账明细接口!$S155),"")</f>
        <v>公司筐</v>
      </c>
      <c r="Y155" s="20" t="str">
        <f>IFERROR(IF([1]对账明细接口!$T155=0,"",[1]对账明细接口!$T155),"")</f>
        <v/>
      </c>
      <c r="Z155" s="24" t="str">
        <f>IFERROR(IF([1]对账明细接口!$U155=0,"",[1]对账明细接口!$U155),"")</f>
        <v/>
      </c>
      <c r="AA155" s="24" t="str">
        <f>IFERROR(IF([1]对账明细接口!$V155=0,"",[1]对账明细接口!$V155),"")</f>
        <v/>
      </c>
      <c r="AB155" s="20" t="str">
        <f>IFERROR(IF([1]对账明细接口!$W155=0,"",[1]对账明细接口!$W155),"")</f>
        <v/>
      </c>
      <c r="AC155" s="7" t="str">
        <f>IFERROR(IF([1]对账明细接口!$X155=0,"",[1]对账明细接口!$X155),"")</f>
        <v/>
      </c>
      <c r="AD155" s="7" t="str">
        <f>IFERROR(IF([1]对账明细接口!$Y155=0,"",[1]对账明细接口!$Y155),"")</f>
        <v/>
      </c>
      <c r="AE155" s="7" t="str">
        <f>IFERROR(IF([1]对账明细接口!$AA155=0,"",[1]对账明细接口!$AA155),"")</f>
        <v/>
      </c>
      <c r="AF155" s="7" t="str">
        <f>IFERROR(IF([1]对账明细接口!$AB155=0,"",[1]对账明细接口!$AB155),"")</f>
        <v/>
      </c>
      <c r="AG155" s="7" t="str">
        <f>IFERROR(IF([1]对账明细接口!$AC155=0,"",[1]对账明细接口!$AC155),"")</f>
        <v/>
      </c>
      <c r="AH155" s="7" t="str">
        <f>IFERROR(IF([1]对账明细接口!$AD155=0,"",[1]对账明细接口!$AD155),"")</f>
        <v/>
      </c>
      <c r="AI155" s="7" t="str">
        <f>IFERROR(IF([1]对账明细接口!$AE155=0,"",[1]对账明细接口!$AE155),"")</f>
        <v/>
      </c>
      <c r="AJ155" s="7" t="str">
        <f>IFERROR(IF([1]对账明细接口!$AF155=0,"",[1]对账明细接口!$AF155),"")</f>
        <v/>
      </c>
    </row>
    <row r="156" ht="14.25" customHeight="1" spans="1:36">
      <c r="A156" s="14">
        <v>156</v>
      </c>
      <c r="B156" s="15">
        <f>IFERROR(IF([1]对账明细接口!$B$156=0,"",[1]对账明细接口!$B$156),"")</f>
        <v>46272</v>
      </c>
      <c r="C156" s="16" t="str">
        <f>IFERROR(IF([1]对账明细接口!$C$156=0,"",[1]对账明细接口!$C$156),"")</f>
        <v>热合曼</v>
      </c>
      <c r="D156" s="16" t="str">
        <f>IFERROR(IF([1]对账明细接口!$D$156=0,"",[1]对账明细接口!$D$156),"")</f>
        <v>原料入库</v>
      </c>
      <c r="E156" s="16" t="str">
        <f>IFERROR(IF([1]对账明细接口!$E$156=0,"",[1]对账明细接口!$E$156),"")</f>
        <v>NO:0000758</v>
      </c>
      <c r="F156" s="16" t="str">
        <f>IFERROR(IF([1]对账明细接口!$F$156=0,"",[1]对账明细接口!$F$156),"")</f>
        <v>香梨</v>
      </c>
      <c r="G156" s="16" t="str">
        <f>IFERROR(IF([1]对账明细接口!$G$156=0,"",[1]对账明细接口!$G$156),"")</f>
        <v>香梨副特</v>
      </c>
      <c r="H156" s="17">
        <f>IFERROR(IF([1]对账明细接口!$H$156=0,"",[1]对账明细接口!$H$156),"")</f>
        <v>262</v>
      </c>
      <c r="I156" s="16" t="str">
        <f>IFERROR(IF([1]对账明细接口!$I$156=0,"",[1]对账明细接口!$I$156),"")</f>
        <v>筐</v>
      </c>
      <c r="J156" s="18">
        <f>IFERROR(IF([1]对账明细接口!$J$156=0,"",[1]对账明细接口!$J$156),"")</f>
        <v>5056.6</v>
      </c>
      <c r="K156" s="18" t="str">
        <f>IFERROR(IF([1]对账明细接口!$K$156=0,"",[1]对账明细接口!$K$156),"")</f>
        <v/>
      </c>
      <c r="L156" s="16" t="str">
        <f>IFERROR(IF([1]对账明细接口!$L$156=0,"",[1]对账明细接口!$L$156),"")</f>
        <v/>
      </c>
      <c r="M156" s="16" t="str">
        <f>IFERROR(IF([1]对账明细接口!$M$156=0,"",[1]对账明细接口!$M$156),"")</f>
        <v/>
      </c>
      <c r="N156" s="19">
        <f t="shared" si="4"/>
        <v>1</v>
      </c>
      <c r="O156" s="19">
        <f t="shared" si="5"/>
        <v>153</v>
      </c>
      <c r="S156" s="20" t="str">
        <f>IFERROR(IF([1]对账明细接口!$N156=0,"",[1]对账明细接口!$N156),"")</f>
        <v>公司红周转筐</v>
      </c>
      <c r="T156" s="21" t="str">
        <f>IFERROR(IF([1]对账明细接口!$O156=0,"",[1]对账明细接口!$O156),"")</f>
        <v/>
      </c>
      <c r="U156" s="21" t="str">
        <f>IFERROR(IF([1]对账明细接口!$P156=0,"",[1]对账明细接口!$P156),"")</f>
        <v/>
      </c>
      <c r="V156" s="21">
        <f>IFERROR(IF([1]对账明细接口!$Q156=0,"",[1]对账明细接口!$Q156),"")</f>
        <v>262</v>
      </c>
      <c r="W156" s="20" t="str">
        <f>IFERROR(IF([1]对账明细接口!$R156=0,"",[1]对账明细接口!$R156),"")</f>
        <v>新A*G0554</v>
      </c>
      <c r="X156" s="20" t="str">
        <f>IFERROR(IF([1]对账明细接口!$S156=0,"",[1]对账明细接口!$S156),"")</f>
        <v>公司筐</v>
      </c>
      <c r="Y156" s="20" t="str">
        <f>IFERROR(IF([1]对账明细接口!$T156=0,"",[1]对账明细接口!$T156),"")</f>
        <v/>
      </c>
      <c r="Z156" s="24" t="str">
        <f>IFERROR(IF([1]对账明细接口!$U156=0,"",[1]对账明细接口!$U156),"")</f>
        <v/>
      </c>
      <c r="AA156" s="24" t="str">
        <f>IFERROR(IF([1]对账明细接口!$V156=0,"",[1]对账明细接口!$V156),"")</f>
        <v/>
      </c>
      <c r="AB156" s="20" t="str">
        <f>IFERROR(IF([1]对账明细接口!$W156=0,"",[1]对账明细接口!$W156),"")</f>
        <v/>
      </c>
      <c r="AC156" s="7" t="str">
        <f>IFERROR(IF([1]对账明细接口!$X156=0,"",[1]对账明细接口!$X156),"")</f>
        <v/>
      </c>
      <c r="AD156" s="7" t="str">
        <f>IFERROR(IF([1]对账明细接口!$Y156=0,"",[1]对账明细接口!$Y156),"")</f>
        <v/>
      </c>
      <c r="AE156" s="7" t="str">
        <f>IFERROR(IF([1]对账明细接口!$AA156=0,"",[1]对账明细接口!$AA156),"")</f>
        <v/>
      </c>
      <c r="AF156" s="7" t="str">
        <f>IFERROR(IF([1]对账明细接口!$AB156=0,"",[1]对账明细接口!$AB156),"")</f>
        <v/>
      </c>
      <c r="AG156" s="7" t="str">
        <f>IFERROR(IF([1]对账明细接口!$AC156=0,"",[1]对账明细接口!$AC156),"")</f>
        <v/>
      </c>
      <c r="AH156" s="7" t="str">
        <f>IFERROR(IF([1]对账明细接口!$AD156=0,"",[1]对账明细接口!$AD156),"")</f>
        <v/>
      </c>
      <c r="AI156" s="7" t="str">
        <f>IFERROR(IF([1]对账明细接口!$AE156=0,"",[1]对账明细接口!$AE156),"")</f>
        <v/>
      </c>
      <c r="AJ156" s="7" t="str">
        <f>IFERROR(IF([1]对账明细接口!$AF156=0,"",[1]对账明细接口!$AF156),"")</f>
        <v/>
      </c>
    </row>
    <row r="157" ht="14.25" customHeight="1" spans="1:36">
      <c r="A157" s="14">
        <v>157</v>
      </c>
      <c r="B157" s="15">
        <f>IFERROR(IF([1]对账明细接口!$B$157=0,"",[1]对账明细接口!$B$157),"")</f>
        <v>46273</v>
      </c>
      <c r="C157" s="16" t="str">
        <f>IFERROR(IF([1]对账明细接口!$C$157=0,"",[1]对账明细接口!$C$157),"")</f>
        <v>贾建国</v>
      </c>
      <c r="D157" s="16" t="str">
        <f>IFERROR(IF([1]对账明细接口!$D$157=0,"",[1]对账明细接口!$D$157),"")</f>
        <v>原料入库</v>
      </c>
      <c r="E157" s="16" t="str">
        <f>IFERROR(IF([1]对账明细接口!$E$157=0,"",[1]对账明细接口!$E$157),"")</f>
        <v>NO:0000760</v>
      </c>
      <c r="F157" s="16" t="str">
        <f>IFERROR(IF([1]对账明细接口!$F$157=0,"",[1]对账明细接口!$F$157),"")</f>
        <v>香梨</v>
      </c>
      <c r="G157" s="16" t="str">
        <f>IFERROR(IF([1]对账明细接口!$G$157=0,"",[1]对账明细接口!$G$157),"")</f>
        <v>香梨副特</v>
      </c>
      <c r="H157" s="17">
        <f>IFERROR(IF([1]对账明细接口!$H$157=0,"",[1]对账明细接口!$H$157),"")</f>
        <v>144</v>
      </c>
      <c r="I157" s="16" t="str">
        <f>IFERROR(IF([1]对账明细接口!$I$157=0,"",[1]对账明细接口!$I$157),"")</f>
        <v>筐</v>
      </c>
      <c r="J157" s="18">
        <f>IFERROR(IF([1]对账明细接口!$J$157=0,"",[1]对账明细接口!$J$157),"")</f>
        <v>2779.2</v>
      </c>
      <c r="K157" s="18" t="str">
        <f>IFERROR(IF([1]对账明细接口!$K$157=0,"",[1]对账明细接口!$K$157),"")</f>
        <v/>
      </c>
      <c r="L157" s="16" t="str">
        <f>IFERROR(IF([1]对账明细接口!$L$157=0,"",[1]对账明细接口!$L$157),"")</f>
        <v/>
      </c>
      <c r="M157" s="16" t="str">
        <f>IFERROR(IF([1]对账明细接口!$M$157=0,"",[1]对账明细接口!$M$157),"")</f>
        <v/>
      </c>
      <c r="N157" s="19">
        <f t="shared" si="4"/>
        <v>1</v>
      </c>
      <c r="O157" s="19">
        <f t="shared" si="5"/>
        <v>154</v>
      </c>
      <c r="S157" s="20" t="str">
        <f>IFERROR(IF([1]对账明细接口!$N157=0,"",[1]对账明细接口!$N157),"")</f>
        <v>自备一次性筐</v>
      </c>
      <c r="T157" s="21" t="str">
        <f>IFERROR(IF([1]对账明细接口!$O157=0,"",[1]对账明细接口!$O157),"")</f>
        <v/>
      </c>
      <c r="U157" s="21" t="str">
        <f>IFERROR(IF([1]对账明细接口!$P157=0,"",[1]对账明细接口!$P157),"")</f>
        <v/>
      </c>
      <c r="V157" s="21">
        <f>IFERROR(IF([1]对账明细接口!$Q157=0,"",[1]对账明细接口!$Q157),"")</f>
        <v>144</v>
      </c>
      <c r="W157" s="20" t="str">
        <f>IFERROR(IF([1]对账明细接口!$R157=0,"",[1]对账明细接口!$R157),"")</f>
        <v>豫Q*H5591</v>
      </c>
      <c r="X157" s="20" t="str">
        <f>IFERROR(IF([1]对账明细接口!$S157=0,"",[1]对账明细接口!$S157),"")</f>
        <v>自备筐</v>
      </c>
      <c r="Y157" s="20" t="str">
        <f>IFERROR(IF([1]对账明细接口!$T157=0,"",[1]对账明细接口!$T157),"")</f>
        <v/>
      </c>
      <c r="Z157" s="24" t="str">
        <f>IFERROR(IF([1]对账明细接口!$U157=0,"",[1]对账明细接口!$U157),"")</f>
        <v/>
      </c>
      <c r="AA157" s="24" t="str">
        <f>IFERROR(IF([1]对账明细接口!$V157=0,"",[1]对账明细接口!$V157),"")</f>
        <v/>
      </c>
      <c r="AB157" s="20" t="str">
        <f>IFERROR(IF([1]对账明细接口!$W157=0,"",[1]对账明细接口!$W157),"")</f>
        <v/>
      </c>
      <c r="AC157" s="7" t="str">
        <f>IFERROR(IF([1]对账明细接口!$X157=0,"",[1]对账明细接口!$X157),"")</f>
        <v/>
      </c>
      <c r="AD157" s="7" t="str">
        <f>IFERROR(IF([1]对账明细接口!$Y157=0,"",[1]对账明细接口!$Y157),"")</f>
        <v/>
      </c>
      <c r="AE157" s="7" t="str">
        <f>IFERROR(IF([1]对账明细接口!$AA157=0,"",[1]对账明细接口!$AA157),"")</f>
        <v/>
      </c>
      <c r="AF157" s="7" t="str">
        <f>IFERROR(IF([1]对账明细接口!$AB157=0,"",[1]对账明细接口!$AB157),"")</f>
        <v/>
      </c>
      <c r="AG157" s="7" t="str">
        <f>IFERROR(IF([1]对账明细接口!$AC157=0,"",[1]对账明细接口!$AC157),"")</f>
        <v/>
      </c>
      <c r="AH157" s="7" t="str">
        <f>IFERROR(IF([1]对账明细接口!$AD157=0,"",[1]对账明细接口!$AD157),"")</f>
        <v/>
      </c>
      <c r="AI157" s="7" t="str">
        <f>IFERROR(IF([1]对账明细接口!$AE157=0,"",[1]对账明细接口!$AE157),"")</f>
        <v/>
      </c>
      <c r="AJ157" s="7" t="str">
        <f>IFERROR(IF([1]对账明细接口!$AF157=0,"",[1]对账明细接口!$AF157),"")</f>
        <v/>
      </c>
    </row>
    <row r="158" ht="14.25" customHeight="1" spans="1:36">
      <c r="A158" s="14">
        <v>158</v>
      </c>
      <c r="B158" s="15">
        <f>IFERROR(IF([1]对账明细接口!$B$158=0,"",[1]对账明细接口!$B$158),"")</f>
        <v>46273</v>
      </c>
      <c r="C158" s="16" t="str">
        <f>IFERROR(IF([1]对账明细接口!$C$158=0,"",[1]对账明细接口!$C$158),"")</f>
        <v>贾建国</v>
      </c>
      <c r="D158" s="16" t="str">
        <f>IFERROR(IF([1]对账明细接口!$D$158=0,"",[1]对账明细接口!$D$158),"")</f>
        <v>原料入库</v>
      </c>
      <c r="E158" s="16" t="str">
        <f>IFERROR(IF([1]对账明细接口!$E$158=0,"",[1]对账明细接口!$E$158),"")</f>
        <v>NO:0000760</v>
      </c>
      <c r="F158" s="16" t="str">
        <f>IFERROR(IF([1]对账明细接口!$F$158=0,"",[1]对账明细接口!$F$158),"")</f>
        <v>香梨</v>
      </c>
      <c r="G158" s="16" t="str">
        <f>IFERROR(IF([1]对账明细接口!$G$158=0,"",[1]对账明细接口!$G$158),"")</f>
        <v>香梨二级</v>
      </c>
      <c r="H158" s="17">
        <f>IFERROR(IF([1]对账明细接口!$H$158=0,"",[1]对账明细接口!$H$158),"")</f>
        <v>24</v>
      </c>
      <c r="I158" s="16" t="str">
        <f>IFERROR(IF([1]对账明细接口!$I$158=0,"",[1]对账明细接口!$I$158),"")</f>
        <v>筐</v>
      </c>
      <c r="J158" s="18">
        <f>IFERROR(IF([1]对账明细接口!$J$158=0,"",[1]对账明细接口!$J$158),"")</f>
        <v>540</v>
      </c>
      <c r="K158" s="18" t="str">
        <f>IFERROR(IF([1]对账明细接口!$K$158=0,"",[1]对账明细接口!$K$158),"")</f>
        <v/>
      </c>
      <c r="L158" s="16" t="str">
        <f>IFERROR(IF([1]对账明细接口!$L$158=0,"",[1]对账明细接口!$L$158),"")</f>
        <v/>
      </c>
      <c r="M158" s="16" t="str">
        <f>IFERROR(IF([1]对账明细接口!$M$158=0,"",[1]对账明细接口!$M$158),"")</f>
        <v/>
      </c>
      <c r="N158" s="19">
        <f t="shared" si="4"/>
        <v>1</v>
      </c>
      <c r="O158" s="19">
        <f t="shared" si="5"/>
        <v>155</v>
      </c>
      <c r="S158" s="20" t="str">
        <f>IFERROR(IF([1]对账明细接口!$N158=0,"",[1]对账明细接口!$N158),"")</f>
        <v>自备杂周转筐</v>
      </c>
      <c r="T158" s="21" t="str">
        <f>IFERROR(IF([1]对账明细接口!$O158=0,"",[1]对账明细接口!$O158),"")</f>
        <v/>
      </c>
      <c r="U158" s="21" t="str">
        <f>IFERROR(IF([1]对账明细接口!$P158=0,"",[1]对账明细接口!$P158),"")</f>
        <v/>
      </c>
      <c r="V158" s="21">
        <f>IFERROR(IF([1]对账明细接口!$Q158=0,"",[1]对账明细接口!$Q158),"")</f>
        <v>24</v>
      </c>
      <c r="W158" s="20" t="str">
        <f>IFERROR(IF([1]对账明细接口!$R158=0,"",[1]对账明细接口!$R158),"")</f>
        <v>豫Q*H5591</v>
      </c>
      <c r="X158" s="20" t="str">
        <f>IFERROR(IF([1]对账明细接口!$S158=0,"",[1]对账明细接口!$S158),"")</f>
        <v>自备筐</v>
      </c>
      <c r="Y158" s="20" t="str">
        <f>IFERROR(IF([1]对账明细接口!$T158=0,"",[1]对账明细接口!$T158),"")</f>
        <v/>
      </c>
      <c r="Z158" s="24" t="str">
        <f>IFERROR(IF([1]对账明细接口!$U158=0,"",[1]对账明细接口!$U158),"")</f>
        <v/>
      </c>
      <c r="AA158" s="24" t="str">
        <f>IFERROR(IF([1]对账明细接口!$V158=0,"",[1]对账明细接口!$V158),"")</f>
        <v/>
      </c>
      <c r="AB158" s="20" t="str">
        <f>IFERROR(IF([1]对账明细接口!$W158=0,"",[1]对账明细接口!$W158),"")</f>
        <v/>
      </c>
      <c r="AC158" s="7" t="str">
        <f>IFERROR(IF([1]对账明细接口!$X158=0,"",[1]对账明细接口!$X158),"")</f>
        <v/>
      </c>
      <c r="AD158" s="7" t="str">
        <f>IFERROR(IF([1]对账明细接口!$Y158=0,"",[1]对账明细接口!$Y158),"")</f>
        <v/>
      </c>
      <c r="AE158" s="7" t="str">
        <f>IFERROR(IF([1]对账明细接口!$AA158=0,"",[1]对账明细接口!$AA158),"")</f>
        <v/>
      </c>
      <c r="AF158" s="7" t="str">
        <f>IFERROR(IF([1]对账明细接口!$AB158=0,"",[1]对账明细接口!$AB158),"")</f>
        <v/>
      </c>
      <c r="AG158" s="7" t="str">
        <f>IFERROR(IF([1]对账明细接口!$AC158=0,"",[1]对账明细接口!$AC158),"")</f>
        <v/>
      </c>
      <c r="AH158" s="7" t="str">
        <f>IFERROR(IF([1]对账明细接口!$AD158=0,"",[1]对账明细接口!$AD158),"")</f>
        <v/>
      </c>
      <c r="AI158" s="7" t="str">
        <f>IFERROR(IF([1]对账明细接口!$AE158=0,"",[1]对账明细接口!$AE158),"")</f>
        <v/>
      </c>
      <c r="AJ158" s="7" t="str">
        <f>IFERROR(IF([1]对账明细接口!$AF158=0,"",[1]对账明细接口!$AF158),"")</f>
        <v/>
      </c>
    </row>
    <row r="159" ht="14.25" customHeight="1" spans="1:36">
      <c r="A159" s="14">
        <v>159</v>
      </c>
      <c r="B159" s="15">
        <f>IFERROR(IF([1]对账明细接口!$B$159=0,"",[1]对账明细接口!$B$159),"")</f>
        <v>46274</v>
      </c>
      <c r="C159" s="16" t="str">
        <f>IFERROR(IF([1]对账明细接口!$C$159=0,"",[1]对账明细接口!$C$159),"")</f>
        <v>吐尔洪</v>
      </c>
      <c r="D159" s="16" t="str">
        <f>IFERROR(IF([1]对账明细接口!$D$159=0,"",[1]对账明细接口!$D$159),"")</f>
        <v>原料入库</v>
      </c>
      <c r="E159" s="16" t="str">
        <f>IFERROR(IF([1]对账明细接口!$E$159=0,"",[1]对账明细接口!$E$159),"")</f>
        <v>NO:0000762</v>
      </c>
      <c r="F159" s="16" t="str">
        <f>IFERROR(IF([1]对账明细接口!$F$159=0,"",[1]对账明细接口!$F$159),"")</f>
        <v>香梨</v>
      </c>
      <c r="G159" s="16" t="str">
        <f>IFERROR(IF([1]对账明细接口!$G$159=0,"",[1]对账明细接口!$G$159),"")</f>
        <v>香梨特级</v>
      </c>
      <c r="H159" s="17">
        <f>IFERROR(IF([1]对账明细接口!$H$159=0,"",[1]对账明细接口!$H$159),"")</f>
        <v>91</v>
      </c>
      <c r="I159" s="16" t="str">
        <f>IFERROR(IF([1]对账明细接口!$I$159=0,"",[1]对账明细接口!$I$159),"")</f>
        <v>筐</v>
      </c>
      <c r="J159" s="18">
        <f>IFERROR(IF([1]对账明细接口!$J$159=0,"",[1]对账明细接口!$J$159),"")</f>
        <v>1665.3</v>
      </c>
      <c r="K159" s="18" t="str">
        <f>IFERROR(IF([1]对账明细接口!$K$159=0,"",[1]对账明细接口!$K$159),"")</f>
        <v/>
      </c>
      <c r="L159" s="16" t="str">
        <f>IFERROR(IF([1]对账明细接口!$L$159=0,"",[1]对账明细接口!$L$159),"")</f>
        <v/>
      </c>
      <c r="M159" s="16" t="str">
        <f>IFERROR(IF([1]对账明细接口!$M$159=0,"",[1]对账明细接口!$M$159),"")</f>
        <v>麦麦提</v>
      </c>
      <c r="N159" s="19">
        <f t="shared" si="4"/>
        <v>1</v>
      </c>
      <c r="O159" s="19">
        <f t="shared" si="5"/>
        <v>156</v>
      </c>
      <c r="S159" s="20" t="str">
        <f>IFERROR(IF([1]对账明细接口!$N159=0,"",[1]对账明细接口!$N159),"")</f>
        <v>公司红周转筐</v>
      </c>
      <c r="T159" s="21" t="str">
        <f>IFERROR(IF([1]对账明细接口!$O159=0,"",[1]对账明细接口!$O159),"")</f>
        <v/>
      </c>
      <c r="U159" s="21" t="str">
        <f>IFERROR(IF([1]对账明细接口!$P159=0,"",[1]对账明细接口!$P159),"")</f>
        <v/>
      </c>
      <c r="V159" s="21">
        <f>IFERROR(IF([1]对账明细接口!$Q159=0,"",[1]对账明细接口!$Q159),"")</f>
        <v>91</v>
      </c>
      <c r="W159" s="20" t="str">
        <f>IFERROR(IF([1]对账明细接口!$R159=0,"",[1]对账明细接口!$R159),"")</f>
        <v>新N*X8S48</v>
      </c>
      <c r="X159" s="20" t="str">
        <f>IFERROR(IF([1]对账明细接口!$S159=0,"",[1]对账明细接口!$S159),"")</f>
        <v>公司筐</v>
      </c>
      <c r="Y159" s="20" t="str">
        <f>IFERROR(IF([1]对账明细接口!$T159=0,"",[1]对账明细接口!$T159),"")</f>
        <v/>
      </c>
      <c r="Z159" s="24" t="str">
        <f>IFERROR(IF([1]对账明细接口!$U159=0,"",[1]对账明细接口!$U159),"")</f>
        <v/>
      </c>
      <c r="AA159" s="24" t="str">
        <f>IFERROR(IF([1]对账明细接口!$V159=0,"",[1]对账明细接口!$V159),"")</f>
        <v/>
      </c>
      <c r="AB159" s="20" t="str">
        <f>IFERROR(IF([1]对账明细接口!$W159=0,"",[1]对账明细接口!$W159),"")</f>
        <v/>
      </c>
      <c r="AC159" s="7" t="str">
        <f>IFERROR(IF([1]对账明细接口!$X159=0,"",[1]对账明细接口!$X159),"")</f>
        <v/>
      </c>
      <c r="AD159" s="7" t="str">
        <f>IFERROR(IF([1]对账明细接口!$Y159=0,"",[1]对账明细接口!$Y159),"")</f>
        <v/>
      </c>
      <c r="AE159" s="7" t="str">
        <f>IFERROR(IF([1]对账明细接口!$AA159=0,"",[1]对账明细接口!$AA159),"")</f>
        <v/>
      </c>
      <c r="AF159" s="7" t="str">
        <f>IFERROR(IF([1]对账明细接口!$AB159=0,"",[1]对账明细接口!$AB159),"")</f>
        <v/>
      </c>
      <c r="AG159" s="7" t="str">
        <f>IFERROR(IF([1]对账明细接口!$AC159=0,"",[1]对账明细接口!$AC159),"")</f>
        <v/>
      </c>
      <c r="AH159" s="7" t="str">
        <f>IFERROR(IF([1]对账明细接口!$AD159=0,"",[1]对账明细接口!$AD159),"")</f>
        <v/>
      </c>
      <c r="AI159" s="7" t="str">
        <f>IFERROR(IF([1]对账明细接口!$AE159=0,"",[1]对账明细接口!$AE159),"")</f>
        <v/>
      </c>
      <c r="AJ159" s="7" t="str">
        <f>IFERROR(IF([1]对账明细接口!$AF159=0,"",[1]对账明细接口!$AF159),"")</f>
        <v/>
      </c>
    </row>
    <row r="160" ht="14.25" customHeight="1" spans="1:36">
      <c r="A160" s="14">
        <v>160</v>
      </c>
      <c r="B160" s="15">
        <f>IFERROR(IF([1]对账明细接口!$B$160=0,"",[1]对账明细接口!$B$160),"")</f>
        <v>46274</v>
      </c>
      <c r="C160" s="16" t="str">
        <f>IFERROR(IF([1]对账明细接口!$C$160=0,"",[1]对账明细接口!$C$160),"")</f>
        <v>吐尔洪</v>
      </c>
      <c r="D160" s="16" t="str">
        <f>IFERROR(IF([1]对账明细接口!$D$160=0,"",[1]对账明细接口!$D$160),"")</f>
        <v>原料入库</v>
      </c>
      <c r="E160" s="16" t="str">
        <f>IFERROR(IF([1]对账明细接口!$E$160=0,"",[1]对账明细接口!$E$160),"")</f>
        <v>NO:0000762</v>
      </c>
      <c r="F160" s="16" t="str">
        <f>IFERROR(IF([1]对账明细接口!$F$160=0,"",[1]对账明细接口!$F$160),"")</f>
        <v>香梨</v>
      </c>
      <c r="G160" s="16" t="str">
        <f>IFERROR(IF([1]对账明细接口!$G$160=0,"",[1]对账明细接口!$G$160),"")</f>
        <v>香梨一级</v>
      </c>
      <c r="H160" s="17">
        <f>IFERROR(IF([1]对账明细接口!$H$160=0,"",[1]对账明细接口!$H$160),"")</f>
        <v>79</v>
      </c>
      <c r="I160" s="16" t="str">
        <f>IFERROR(IF([1]对账明细接口!$I$160=0,"",[1]对账明细接口!$I$160),"")</f>
        <v>筐</v>
      </c>
      <c r="J160" s="18">
        <f>IFERROR(IF([1]对账明细接口!$J$160=0,"",[1]对账明细接口!$J$160),"")</f>
        <v>1445.7</v>
      </c>
      <c r="K160" s="18" t="str">
        <f>IFERROR(IF([1]对账明细接口!$K$160=0,"",[1]对账明细接口!$K$160),"")</f>
        <v/>
      </c>
      <c r="L160" s="16" t="str">
        <f>IFERROR(IF([1]对账明细接口!$L$160=0,"",[1]对账明细接口!$L$160),"")</f>
        <v/>
      </c>
      <c r="M160" s="16" t="str">
        <f>IFERROR(IF([1]对账明细接口!$M$160=0,"",[1]对账明细接口!$M$160),"")</f>
        <v>麦麦提</v>
      </c>
      <c r="N160" s="19">
        <f t="shared" si="4"/>
        <v>1</v>
      </c>
      <c r="O160" s="19">
        <f t="shared" si="5"/>
        <v>157</v>
      </c>
      <c r="S160" s="20" t="str">
        <f>IFERROR(IF([1]对账明细接口!$N160=0,"",[1]对账明细接口!$N160),"")</f>
        <v>公司红周转筐</v>
      </c>
      <c r="T160" s="21" t="str">
        <f>IFERROR(IF([1]对账明细接口!$O160=0,"",[1]对账明细接口!$O160),"")</f>
        <v/>
      </c>
      <c r="U160" s="21" t="str">
        <f>IFERROR(IF([1]对账明细接口!$P160=0,"",[1]对账明细接口!$P160),"")</f>
        <v/>
      </c>
      <c r="V160" s="21">
        <f>IFERROR(IF([1]对账明细接口!$Q160=0,"",[1]对账明细接口!$Q160),"")</f>
        <v>79</v>
      </c>
      <c r="W160" s="20" t="str">
        <f>IFERROR(IF([1]对账明细接口!$R160=0,"",[1]对账明细接口!$R160),"")</f>
        <v>新N*X8S48</v>
      </c>
      <c r="X160" s="20" t="str">
        <f>IFERROR(IF([1]对账明细接口!$S160=0,"",[1]对账明细接口!$S160),"")</f>
        <v>公司筐</v>
      </c>
      <c r="Y160" s="20" t="str">
        <f>IFERROR(IF([1]对账明细接口!$T160=0,"",[1]对账明细接口!$T160),"")</f>
        <v/>
      </c>
      <c r="Z160" s="24" t="str">
        <f>IFERROR(IF([1]对账明细接口!$U160=0,"",[1]对账明细接口!$U160),"")</f>
        <v/>
      </c>
      <c r="AA160" s="24" t="str">
        <f>IFERROR(IF([1]对账明细接口!$V160=0,"",[1]对账明细接口!$V160),"")</f>
        <v/>
      </c>
      <c r="AB160" s="20" t="str">
        <f>IFERROR(IF([1]对账明细接口!$W160=0,"",[1]对账明细接口!$W160),"")</f>
        <v/>
      </c>
      <c r="AC160" s="7" t="str">
        <f>IFERROR(IF([1]对账明细接口!$X160=0,"",[1]对账明细接口!$X160),"")</f>
        <v/>
      </c>
      <c r="AD160" s="7" t="str">
        <f>IFERROR(IF([1]对账明细接口!$Y160=0,"",[1]对账明细接口!$Y160),"")</f>
        <v/>
      </c>
      <c r="AE160" s="7" t="str">
        <f>IFERROR(IF([1]对账明细接口!$AA160=0,"",[1]对账明细接口!$AA160),"")</f>
        <v/>
      </c>
      <c r="AF160" s="7" t="str">
        <f>IFERROR(IF([1]对账明细接口!$AB160=0,"",[1]对账明细接口!$AB160),"")</f>
        <v/>
      </c>
      <c r="AG160" s="7" t="str">
        <f>IFERROR(IF([1]对账明细接口!$AC160=0,"",[1]对账明细接口!$AC160),"")</f>
        <v/>
      </c>
      <c r="AH160" s="7" t="str">
        <f>IFERROR(IF([1]对账明细接口!$AD160=0,"",[1]对账明细接口!$AD160),"")</f>
        <v/>
      </c>
      <c r="AI160" s="7" t="str">
        <f>IFERROR(IF([1]对账明细接口!$AE160=0,"",[1]对账明细接口!$AE160),"")</f>
        <v/>
      </c>
      <c r="AJ160" s="7" t="str">
        <f>IFERROR(IF([1]对账明细接口!$AF160=0,"",[1]对账明细接口!$AF160),"")</f>
        <v/>
      </c>
    </row>
    <row r="161" ht="14.25" customHeight="1" spans="1:36">
      <c r="A161" s="14">
        <v>161</v>
      </c>
      <c r="B161" s="15">
        <f>IFERROR(IF([1]对账明细接口!$B$161=0,"",[1]对账明细接口!$B$161),"")</f>
        <v>46274</v>
      </c>
      <c r="C161" s="16" t="str">
        <f>IFERROR(IF([1]对账明细接口!$C$161=0,"",[1]对账明细接口!$C$161),"")</f>
        <v>吐尔洪</v>
      </c>
      <c r="D161" s="16" t="str">
        <f>IFERROR(IF([1]对账明细接口!$D$161=0,"",[1]对账明细接口!$D$161),"")</f>
        <v>原料入库</v>
      </c>
      <c r="E161" s="16" t="str">
        <f>IFERROR(IF([1]对账明细接口!$E$161=0,"",[1]对账明细接口!$E$161),"")</f>
        <v>NO:0000762</v>
      </c>
      <c r="F161" s="16" t="str">
        <f>IFERROR(IF([1]对账明细接口!$F$161=0,"",[1]对账明细接口!$F$161),"")</f>
        <v>香梨</v>
      </c>
      <c r="G161" s="16" t="str">
        <f>IFERROR(IF([1]对账明细接口!$G$161=0,"",[1]对账明细接口!$G$161),"")</f>
        <v>香梨二级</v>
      </c>
      <c r="H161" s="17">
        <f>IFERROR(IF([1]对账明细接口!$H$161=0,"",[1]对账明细接口!$H$161),"")</f>
        <v>72</v>
      </c>
      <c r="I161" s="16" t="str">
        <f>IFERROR(IF([1]对账明细接口!$I$161=0,"",[1]对账明细接口!$I$161),"")</f>
        <v>筐</v>
      </c>
      <c r="J161" s="18">
        <f>IFERROR(IF([1]对账明细接口!$J$161=0,"",[1]对账明细接口!$J$161),"")</f>
        <v>1605.6</v>
      </c>
      <c r="K161" s="18" t="str">
        <f>IFERROR(IF([1]对账明细接口!$K$161=0,"",[1]对账明细接口!$K$161),"")</f>
        <v/>
      </c>
      <c r="L161" s="16" t="str">
        <f>IFERROR(IF([1]对账明细接口!$L$161=0,"",[1]对账明细接口!$L$161),"")</f>
        <v/>
      </c>
      <c r="M161" s="16" t="str">
        <f>IFERROR(IF([1]对账明细接口!$M$161=0,"",[1]对账明细接口!$M$161),"")</f>
        <v>麦麦提</v>
      </c>
      <c r="N161" s="19">
        <f t="shared" si="4"/>
        <v>1</v>
      </c>
      <c r="O161" s="19">
        <f t="shared" si="5"/>
        <v>158</v>
      </c>
      <c r="S161" s="20" t="str">
        <f>IFERROR(IF([1]对账明细接口!$N161=0,"",[1]对账明细接口!$N161),"")</f>
        <v>公司红周转筐</v>
      </c>
      <c r="T161" s="21" t="str">
        <f>IFERROR(IF([1]对账明细接口!$O161=0,"",[1]对账明细接口!$O161),"")</f>
        <v/>
      </c>
      <c r="U161" s="21" t="str">
        <f>IFERROR(IF([1]对账明细接口!$P161=0,"",[1]对账明细接口!$P161),"")</f>
        <v/>
      </c>
      <c r="V161" s="21">
        <f>IFERROR(IF([1]对账明细接口!$Q161=0,"",[1]对账明细接口!$Q161),"")</f>
        <v>72</v>
      </c>
      <c r="W161" s="20" t="str">
        <f>IFERROR(IF([1]对账明细接口!$R161=0,"",[1]对账明细接口!$R161),"")</f>
        <v>新N*X8S48</v>
      </c>
      <c r="X161" s="20" t="str">
        <f>IFERROR(IF([1]对账明细接口!$S161=0,"",[1]对账明细接口!$S161),"")</f>
        <v>公司筐</v>
      </c>
      <c r="Y161" s="20" t="str">
        <f>IFERROR(IF([1]对账明细接口!$T161=0,"",[1]对账明细接口!$T161),"")</f>
        <v/>
      </c>
      <c r="Z161" s="24" t="str">
        <f>IFERROR(IF([1]对账明细接口!$U161=0,"",[1]对账明细接口!$U161),"")</f>
        <v/>
      </c>
      <c r="AA161" s="24" t="str">
        <f>IFERROR(IF([1]对账明细接口!$V161=0,"",[1]对账明细接口!$V161),"")</f>
        <v/>
      </c>
      <c r="AB161" s="20" t="str">
        <f>IFERROR(IF([1]对账明细接口!$W161=0,"",[1]对账明细接口!$W161),"")</f>
        <v/>
      </c>
      <c r="AC161" s="7" t="str">
        <f>IFERROR(IF([1]对账明细接口!$X161=0,"",[1]对账明细接口!$X161),"")</f>
        <v/>
      </c>
      <c r="AD161" s="7" t="str">
        <f>IFERROR(IF([1]对账明细接口!$Y161=0,"",[1]对账明细接口!$Y161),"")</f>
        <v/>
      </c>
      <c r="AE161" s="7" t="str">
        <f>IFERROR(IF([1]对账明细接口!$AA161=0,"",[1]对账明细接口!$AA161),"")</f>
        <v/>
      </c>
      <c r="AF161" s="7" t="str">
        <f>IFERROR(IF([1]对账明细接口!$AB161=0,"",[1]对账明细接口!$AB161),"")</f>
        <v/>
      </c>
      <c r="AG161" s="7" t="str">
        <f>IFERROR(IF([1]对账明细接口!$AC161=0,"",[1]对账明细接口!$AC161),"")</f>
        <v/>
      </c>
      <c r="AH161" s="7" t="str">
        <f>IFERROR(IF([1]对账明细接口!$AD161=0,"",[1]对账明细接口!$AD161),"")</f>
        <v/>
      </c>
      <c r="AI161" s="7" t="str">
        <f>IFERROR(IF([1]对账明细接口!$AE161=0,"",[1]对账明细接口!$AE161),"")</f>
        <v/>
      </c>
      <c r="AJ161" s="7" t="str">
        <f>IFERROR(IF([1]对账明细接口!$AF161=0,"",[1]对账明细接口!$AF161),"")</f>
        <v/>
      </c>
    </row>
    <row r="162" ht="14.25" customHeight="1" spans="1:36">
      <c r="A162" s="14">
        <v>162</v>
      </c>
      <c r="B162" s="15">
        <f>IFERROR(IF([1]对账明细接口!$B$162=0,"",[1]对账明细接口!$B$162),"")</f>
        <v>46274</v>
      </c>
      <c r="C162" s="16" t="str">
        <f>IFERROR(IF([1]对账明细接口!$C$162=0,"",[1]对账明细接口!$C$162),"")</f>
        <v>麦麦提</v>
      </c>
      <c r="D162" s="16" t="str">
        <f>IFERROR(IF([1]对账明细接口!$D$162=0,"",[1]对账明细接口!$D$162),"")</f>
        <v>原料入库</v>
      </c>
      <c r="E162" s="16" t="str">
        <f>IFERROR(IF([1]对账明细接口!$E$162=0,"",[1]对账明细接口!$E$162),"")</f>
        <v>NO:0000764</v>
      </c>
      <c r="F162" s="16" t="str">
        <f>IFERROR(IF([1]对账明细接口!$F$162=0,"",[1]对账明细接口!$F$162),"")</f>
        <v>香梨</v>
      </c>
      <c r="G162" s="16" t="str">
        <f>IFERROR(IF([1]对账明细接口!$G$162=0,"",[1]对账明细接口!$G$162),"")</f>
        <v>香梨特级</v>
      </c>
      <c r="H162" s="17">
        <f>IFERROR(IF([1]对账明细接口!$H$162=0,"",[1]对账明细接口!$H$162),"")</f>
        <v>264</v>
      </c>
      <c r="I162" s="16" t="str">
        <f>IFERROR(IF([1]对账明细接口!$I$162=0,"",[1]对账明细接口!$I$162),"")</f>
        <v>筐</v>
      </c>
      <c r="J162" s="18">
        <f>IFERROR(IF([1]对账明细接口!$J$162=0,"",[1]对账明细接口!$J$162),"")</f>
        <v>4831.2</v>
      </c>
      <c r="K162" s="18" t="str">
        <f>IFERROR(IF([1]对账明细接口!$K$162=0,"",[1]对账明细接口!$K$162),"")</f>
        <v/>
      </c>
      <c r="L162" s="16" t="str">
        <f>IFERROR(IF([1]对账明细接口!$L$162=0,"",[1]对账明细接口!$L$162),"")</f>
        <v/>
      </c>
      <c r="M162" s="16" t="str">
        <f>IFERROR(IF([1]对账明细接口!$M$162=0,"",[1]对账明细接口!$M$162),"")</f>
        <v/>
      </c>
      <c r="N162" s="19">
        <f t="shared" si="4"/>
        <v>1</v>
      </c>
      <c r="O162" s="19">
        <f t="shared" si="5"/>
        <v>159</v>
      </c>
      <c r="S162" s="20" t="str">
        <f>IFERROR(IF([1]对账明细接口!$N162=0,"",[1]对账明细接口!$N162),"")</f>
        <v>公司红周转筐</v>
      </c>
      <c r="T162" s="21" t="str">
        <f>IFERROR(IF([1]对账明细接口!$O162=0,"",[1]对账明细接口!$O162),"")</f>
        <v/>
      </c>
      <c r="U162" s="21" t="str">
        <f>IFERROR(IF([1]对账明细接口!$P162=0,"",[1]对账明细接口!$P162),"")</f>
        <v/>
      </c>
      <c r="V162" s="21">
        <f>IFERROR(IF([1]对账明细接口!$Q162=0,"",[1]对账明细接口!$Q162),"")</f>
        <v>264</v>
      </c>
      <c r="W162" s="20" t="str">
        <f>IFERROR(IF([1]对账明细接口!$R162=0,"",[1]对账明细接口!$R162),"")</f>
        <v>新A*G0554</v>
      </c>
      <c r="X162" s="20" t="str">
        <f>IFERROR(IF([1]对账明细接口!$S162=0,"",[1]对账明细接口!$S162),"")</f>
        <v>公司筐</v>
      </c>
      <c r="Y162" s="20" t="str">
        <f>IFERROR(IF([1]对账明细接口!$T162=0,"",[1]对账明细接口!$T162),"")</f>
        <v/>
      </c>
      <c r="Z162" s="24" t="str">
        <f>IFERROR(IF([1]对账明细接口!$U162=0,"",[1]对账明细接口!$U162),"")</f>
        <v/>
      </c>
      <c r="AA162" s="24" t="str">
        <f>IFERROR(IF([1]对账明细接口!$V162=0,"",[1]对账明细接口!$V162),"")</f>
        <v/>
      </c>
      <c r="AB162" s="20" t="str">
        <f>IFERROR(IF([1]对账明细接口!$W162=0,"",[1]对账明细接口!$W162),"")</f>
        <v/>
      </c>
      <c r="AC162" s="7" t="str">
        <f>IFERROR(IF([1]对账明细接口!$X162=0,"",[1]对账明细接口!$X162),"")</f>
        <v/>
      </c>
      <c r="AD162" s="7" t="str">
        <f>IFERROR(IF([1]对账明细接口!$Y162=0,"",[1]对账明细接口!$Y162),"")</f>
        <v/>
      </c>
      <c r="AE162" s="7" t="str">
        <f>IFERROR(IF([1]对账明细接口!$AA162=0,"",[1]对账明细接口!$AA162),"")</f>
        <v/>
      </c>
      <c r="AF162" s="7" t="str">
        <f>IFERROR(IF([1]对账明细接口!$AB162=0,"",[1]对账明细接口!$AB162),"")</f>
        <v/>
      </c>
      <c r="AG162" s="7" t="str">
        <f>IFERROR(IF([1]对账明细接口!$AC162=0,"",[1]对账明细接口!$AC162),"")</f>
        <v/>
      </c>
      <c r="AH162" s="7" t="str">
        <f>IFERROR(IF([1]对账明细接口!$AD162=0,"",[1]对账明细接口!$AD162),"")</f>
        <v/>
      </c>
      <c r="AI162" s="7" t="str">
        <f>IFERROR(IF([1]对账明细接口!$AE162=0,"",[1]对账明细接口!$AE162),"")</f>
        <v/>
      </c>
      <c r="AJ162" s="7" t="str">
        <f>IFERROR(IF([1]对账明细接口!$AF162=0,"",[1]对账明细接口!$AF162),"")</f>
        <v/>
      </c>
    </row>
    <row r="163" ht="14.25" customHeight="1" spans="1:36">
      <c r="A163" s="14">
        <v>163</v>
      </c>
      <c r="B163" s="15">
        <f>IFERROR(IF([1]对账明细接口!$B$163=0,"",[1]对账明细接口!$B$163),"")</f>
        <v>46274</v>
      </c>
      <c r="C163" s="16" t="str">
        <f>IFERROR(IF([1]对账明细接口!$C$163=0,"",[1]对账明细接口!$C$163),"")</f>
        <v>麦麦提</v>
      </c>
      <c r="D163" s="16" t="str">
        <f>IFERROR(IF([1]对账明细接口!$D$163=0,"",[1]对账明细接口!$D$163),"")</f>
        <v>原料入库</v>
      </c>
      <c r="E163" s="16" t="str">
        <f>IFERROR(IF([1]对账明细接口!$E$163=0,"",[1]对账明细接口!$E$163),"")</f>
        <v>NO:0000764</v>
      </c>
      <c r="F163" s="16" t="str">
        <f>IFERROR(IF([1]对账明细接口!$F$163=0,"",[1]对账明细接口!$F$163),"")</f>
        <v>香梨</v>
      </c>
      <c r="G163" s="16" t="str">
        <f>IFERROR(IF([1]对账明细接口!$G$163=0,"",[1]对账明细接口!$G$163),"")</f>
        <v>香梨一级</v>
      </c>
      <c r="H163" s="17">
        <f>IFERROR(IF([1]对账明细接口!$H$163=0,"",[1]对账明细接口!$H$163),"")</f>
        <v>191</v>
      </c>
      <c r="I163" s="16" t="str">
        <f>IFERROR(IF([1]对账明细接口!$I$163=0,"",[1]对账明细接口!$I$163),"")</f>
        <v>筐</v>
      </c>
      <c r="J163" s="18">
        <f>IFERROR(IF([1]对账明细接口!$J$163=0,"",[1]对账明细接口!$J$163),"")</f>
        <v>3495.3</v>
      </c>
      <c r="K163" s="18" t="str">
        <f>IFERROR(IF([1]对账明细接口!$K$163=0,"",[1]对账明细接口!$K$163),"")</f>
        <v/>
      </c>
      <c r="L163" s="16" t="str">
        <f>IFERROR(IF([1]对账明细接口!$L$163=0,"",[1]对账明细接口!$L$163),"")</f>
        <v/>
      </c>
      <c r="M163" s="16" t="str">
        <f>IFERROR(IF([1]对账明细接口!$M$163=0,"",[1]对账明细接口!$M$163),"")</f>
        <v/>
      </c>
      <c r="N163" s="19">
        <f t="shared" si="4"/>
        <v>1</v>
      </c>
      <c r="O163" s="19">
        <f t="shared" si="5"/>
        <v>160</v>
      </c>
      <c r="S163" s="20" t="str">
        <f>IFERROR(IF([1]对账明细接口!$N163=0,"",[1]对账明细接口!$N163),"")</f>
        <v>公司红周转筐</v>
      </c>
      <c r="T163" s="21" t="str">
        <f>IFERROR(IF([1]对账明细接口!$O163=0,"",[1]对账明细接口!$O163),"")</f>
        <v/>
      </c>
      <c r="U163" s="21" t="str">
        <f>IFERROR(IF([1]对账明细接口!$P163=0,"",[1]对账明细接口!$P163),"")</f>
        <v/>
      </c>
      <c r="V163" s="21">
        <f>IFERROR(IF([1]对账明细接口!$Q163=0,"",[1]对账明细接口!$Q163),"")</f>
        <v>191</v>
      </c>
      <c r="W163" s="20" t="str">
        <f>IFERROR(IF([1]对账明细接口!$R163=0,"",[1]对账明细接口!$R163),"")</f>
        <v>新A*G0554</v>
      </c>
      <c r="X163" s="20" t="str">
        <f>IFERROR(IF([1]对账明细接口!$S163=0,"",[1]对账明细接口!$S163),"")</f>
        <v>公司筐</v>
      </c>
      <c r="Y163" s="20" t="str">
        <f>IFERROR(IF([1]对账明细接口!$T163=0,"",[1]对账明细接口!$T163),"")</f>
        <v/>
      </c>
      <c r="Z163" s="24" t="str">
        <f>IFERROR(IF([1]对账明细接口!$U163=0,"",[1]对账明细接口!$U163),"")</f>
        <v/>
      </c>
      <c r="AA163" s="24" t="str">
        <f>IFERROR(IF([1]对账明细接口!$V163=0,"",[1]对账明细接口!$V163),"")</f>
        <v/>
      </c>
      <c r="AB163" s="20" t="str">
        <f>IFERROR(IF([1]对账明细接口!$W163=0,"",[1]对账明细接口!$W163),"")</f>
        <v/>
      </c>
      <c r="AC163" s="7" t="str">
        <f>IFERROR(IF([1]对账明细接口!$X163=0,"",[1]对账明细接口!$X163),"")</f>
        <v/>
      </c>
      <c r="AD163" s="7" t="str">
        <f>IFERROR(IF([1]对账明细接口!$Y163=0,"",[1]对账明细接口!$Y163),"")</f>
        <v/>
      </c>
      <c r="AE163" s="7" t="str">
        <f>IFERROR(IF([1]对账明细接口!$AA163=0,"",[1]对账明细接口!$AA163),"")</f>
        <v/>
      </c>
      <c r="AF163" s="7" t="str">
        <f>IFERROR(IF([1]对账明细接口!$AB163=0,"",[1]对账明细接口!$AB163),"")</f>
        <v/>
      </c>
      <c r="AG163" s="7" t="str">
        <f>IFERROR(IF([1]对账明细接口!$AC163=0,"",[1]对账明细接口!$AC163),"")</f>
        <v/>
      </c>
      <c r="AH163" s="7" t="str">
        <f>IFERROR(IF([1]对账明细接口!$AD163=0,"",[1]对账明细接口!$AD163),"")</f>
        <v/>
      </c>
      <c r="AI163" s="7" t="str">
        <f>IFERROR(IF([1]对账明细接口!$AE163=0,"",[1]对账明细接口!$AE163),"")</f>
        <v/>
      </c>
      <c r="AJ163" s="7" t="str">
        <f>IFERROR(IF([1]对账明细接口!$AF163=0,"",[1]对账明细接口!$AF163),"")</f>
        <v/>
      </c>
    </row>
    <row r="164" ht="14.25" customHeight="1" spans="1:36">
      <c r="A164" s="14">
        <v>164</v>
      </c>
      <c r="B164" s="15">
        <f>IFERROR(IF([1]对账明细接口!$B$164=0,"",[1]对账明细接口!$B$164),"")</f>
        <v>46274</v>
      </c>
      <c r="C164" s="16" t="str">
        <f>IFERROR(IF([1]对账明细接口!$C$164=0,"",[1]对账明细接口!$C$164),"")</f>
        <v>麦麦提</v>
      </c>
      <c r="D164" s="16" t="str">
        <f>IFERROR(IF([1]对账明细接口!$D$164=0,"",[1]对账明细接口!$D$164),"")</f>
        <v>原料入库</v>
      </c>
      <c r="E164" s="16" t="str">
        <f>IFERROR(IF([1]对账明细接口!$E$164=0,"",[1]对账明细接口!$E$164),"")</f>
        <v>NO:0000764</v>
      </c>
      <c r="F164" s="16" t="str">
        <f>IFERROR(IF([1]对账明细接口!$F$164=0,"",[1]对账明细接口!$F$164),"")</f>
        <v>香梨</v>
      </c>
      <c r="G164" s="16" t="str">
        <f>IFERROR(IF([1]对账明细接口!$G$164=0,"",[1]对账明细接口!$G$164),"")</f>
        <v>香梨二级</v>
      </c>
      <c r="H164" s="17">
        <f>IFERROR(IF([1]对账明细接口!$H$164=0,"",[1]对账明细接口!$H$164),"")</f>
        <v>177</v>
      </c>
      <c r="I164" s="16" t="str">
        <f>IFERROR(IF([1]对账明细接口!$I$164=0,"",[1]对账明细接口!$I$164),"")</f>
        <v>筐</v>
      </c>
      <c r="J164" s="18">
        <f>IFERROR(IF([1]对账明细接口!$J$164=0,"",[1]对账明细接口!$J$164),"")</f>
        <v>3947.1</v>
      </c>
      <c r="K164" s="18" t="str">
        <f>IFERROR(IF([1]对账明细接口!$K$164=0,"",[1]对账明细接口!$K$164),"")</f>
        <v/>
      </c>
      <c r="L164" s="16" t="str">
        <f>IFERROR(IF([1]对账明细接口!$L$164=0,"",[1]对账明细接口!$L$164),"")</f>
        <v/>
      </c>
      <c r="M164" s="16" t="str">
        <f>IFERROR(IF([1]对账明细接口!$M$164=0,"",[1]对账明细接口!$M$164),"")</f>
        <v/>
      </c>
      <c r="N164" s="19">
        <f t="shared" si="4"/>
        <v>1</v>
      </c>
      <c r="O164" s="19">
        <f t="shared" si="5"/>
        <v>161</v>
      </c>
      <c r="S164" s="20" t="str">
        <f>IFERROR(IF([1]对账明细接口!$N164=0,"",[1]对账明细接口!$N164),"")</f>
        <v>公司红周转筐</v>
      </c>
      <c r="T164" s="21" t="str">
        <f>IFERROR(IF([1]对账明细接口!$O164=0,"",[1]对账明细接口!$O164),"")</f>
        <v/>
      </c>
      <c r="U164" s="21" t="str">
        <f>IFERROR(IF([1]对账明细接口!$P164=0,"",[1]对账明细接口!$P164),"")</f>
        <v/>
      </c>
      <c r="V164" s="21">
        <f>IFERROR(IF([1]对账明细接口!$Q164=0,"",[1]对账明细接口!$Q164),"")</f>
        <v>177</v>
      </c>
      <c r="W164" s="20" t="str">
        <f>IFERROR(IF([1]对账明细接口!$R164=0,"",[1]对账明细接口!$R164),"")</f>
        <v>新A*G0554</v>
      </c>
      <c r="X164" s="20" t="str">
        <f>IFERROR(IF([1]对账明细接口!$S164=0,"",[1]对账明细接口!$S164),"")</f>
        <v>公司筐</v>
      </c>
      <c r="Y164" s="20" t="str">
        <f>IFERROR(IF([1]对账明细接口!$T164=0,"",[1]对账明细接口!$T164),"")</f>
        <v/>
      </c>
      <c r="Z164" s="24" t="str">
        <f>IFERROR(IF([1]对账明细接口!$U164=0,"",[1]对账明细接口!$U164),"")</f>
        <v/>
      </c>
      <c r="AA164" s="24" t="str">
        <f>IFERROR(IF([1]对账明细接口!$V164=0,"",[1]对账明细接口!$V164),"")</f>
        <v/>
      </c>
      <c r="AB164" s="20" t="str">
        <f>IFERROR(IF([1]对账明细接口!$W164=0,"",[1]对账明细接口!$W164),"")</f>
        <v/>
      </c>
      <c r="AC164" s="7" t="str">
        <f>IFERROR(IF([1]对账明细接口!$X164=0,"",[1]对账明细接口!$X164),"")</f>
        <v/>
      </c>
      <c r="AD164" s="7" t="str">
        <f>IFERROR(IF([1]对账明细接口!$Y164=0,"",[1]对账明细接口!$Y164),"")</f>
        <v/>
      </c>
      <c r="AE164" s="7" t="str">
        <f>IFERROR(IF([1]对账明细接口!$AA164=0,"",[1]对账明细接口!$AA164),"")</f>
        <v/>
      </c>
      <c r="AF164" s="7" t="str">
        <f>IFERROR(IF([1]对账明细接口!$AB164=0,"",[1]对账明细接口!$AB164),"")</f>
        <v/>
      </c>
      <c r="AG164" s="7" t="str">
        <f>IFERROR(IF([1]对账明细接口!$AC164=0,"",[1]对账明细接口!$AC164),"")</f>
        <v/>
      </c>
      <c r="AH164" s="7" t="str">
        <f>IFERROR(IF([1]对账明细接口!$AD164=0,"",[1]对账明细接口!$AD164),"")</f>
        <v/>
      </c>
      <c r="AI164" s="7" t="str">
        <f>IFERROR(IF([1]对账明细接口!$AE164=0,"",[1]对账明细接口!$AE164),"")</f>
        <v/>
      </c>
      <c r="AJ164" s="7" t="str">
        <f>IFERROR(IF([1]对账明细接口!$AF164=0,"",[1]对账明细接口!$AF164),"")</f>
        <v/>
      </c>
    </row>
    <row r="165" ht="14.25" customHeight="1" spans="1:36">
      <c r="A165" s="14">
        <v>165</v>
      </c>
      <c r="B165" s="15">
        <f>IFERROR(IF([1]对账明细接口!$B$165=0,"",[1]对账明细接口!$B$165),"")</f>
        <v>46274</v>
      </c>
      <c r="C165" s="16" t="str">
        <f>IFERROR(IF([1]对账明细接口!$C$165=0,"",[1]对账明细接口!$C$165),"")</f>
        <v>贾建国</v>
      </c>
      <c r="D165" s="16" t="str">
        <f>IFERROR(IF([1]对账明细接口!$D$165=0,"",[1]对账明细接口!$D$165),"")</f>
        <v>原料入库</v>
      </c>
      <c r="E165" s="16" t="str">
        <f>IFERROR(IF([1]对账明细接口!$E$165=0,"",[1]对账明细接口!$E$165),"")</f>
        <v>NO:0000767</v>
      </c>
      <c r="F165" s="16" t="str">
        <f>IFERROR(IF([1]对账明细接口!$F$165=0,"",[1]对账明细接口!$F$165),"")</f>
        <v>香梨</v>
      </c>
      <c r="G165" s="16" t="str">
        <f>IFERROR(IF([1]对账明细接口!$G$165=0,"",[1]对账明细接口!$G$165),"")</f>
        <v>香梨二级</v>
      </c>
      <c r="H165" s="17">
        <f>IFERROR(IF([1]对账明细接口!$H$165=0,"",[1]对账明细接口!$H$165),"")</f>
        <v>170</v>
      </c>
      <c r="I165" s="16" t="str">
        <f>IFERROR(IF([1]对账明细接口!$I$165=0,"",[1]对账明细接口!$I$165),"")</f>
        <v>筐</v>
      </c>
      <c r="J165" s="18">
        <f>IFERROR(IF([1]对账明细接口!$J$165=0,"",[1]对账明细接口!$J$165),"")</f>
        <v>3825</v>
      </c>
      <c r="K165" s="18" t="str">
        <f>IFERROR(IF([1]对账明细接口!$K$165=0,"",[1]对账明细接口!$K$165),"")</f>
        <v/>
      </c>
      <c r="L165" s="16" t="str">
        <f>IFERROR(IF([1]对账明细接口!$L$165=0,"",[1]对账明细接口!$L$165),"")</f>
        <v/>
      </c>
      <c r="M165" s="16" t="str">
        <f>IFERROR(IF([1]对账明细接口!$M$165=0,"",[1]对账明细接口!$M$165),"")</f>
        <v>二黄</v>
      </c>
      <c r="N165" s="19">
        <f t="shared" si="4"/>
        <v>1</v>
      </c>
      <c r="O165" s="19">
        <f t="shared" si="5"/>
        <v>162</v>
      </c>
      <c r="S165" s="20" t="str">
        <f>IFERROR(IF([1]对账明细接口!$N165=0,"",[1]对账明细接口!$N165),"")</f>
        <v>自备杂周转筐</v>
      </c>
      <c r="T165" s="21" t="str">
        <f>IFERROR(IF([1]对账明细接口!$O165=0,"",[1]对账明细接口!$O165),"")</f>
        <v/>
      </c>
      <c r="U165" s="21" t="str">
        <f>IFERROR(IF([1]对账明细接口!$P165=0,"",[1]对账明细接口!$P165),"")</f>
        <v/>
      </c>
      <c r="V165" s="21">
        <f>IFERROR(IF([1]对账明细接口!$Q165=0,"",[1]对账明细接口!$Q165),"")</f>
        <v>170</v>
      </c>
      <c r="W165" s="20" t="str">
        <f>IFERROR(IF([1]对账明细接口!$R165=0,"",[1]对账明细接口!$R165),"")</f>
        <v>豫Q*H5591</v>
      </c>
      <c r="X165" s="20" t="str">
        <f>IFERROR(IF([1]对账明细接口!$S165=0,"",[1]对账明细接口!$S165),"")</f>
        <v>自备筐</v>
      </c>
      <c r="Y165" s="20" t="str">
        <f>IFERROR(IF([1]对账明细接口!$T165=0,"",[1]对账明细接口!$T165),"")</f>
        <v/>
      </c>
      <c r="Z165" s="24" t="str">
        <f>IFERROR(IF([1]对账明细接口!$U165=0,"",[1]对账明细接口!$U165),"")</f>
        <v/>
      </c>
      <c r="AA165" s="24" t="str">
        <f>IFERROR(IF([1]对账明细接口!$V165=0,"",[1]对账明细接口!$V165),"")</f>
        <v/>
      </c>
      <c r="AB165" s="20" t="str">
        <f>IFERROR(IF([1]对账明细接口!$W165=0,"",[1]对账明细接口!$W165),"")</f>
        <v/>
      </c>
      <c r="AC165" s="7" t="str">
        <f>IFERROR(IF([1]对账明细接口!$X165=0,"",[1]对账明细接口!$X165),"")</f>
        <v/>
      </c>
      <c r="AD165" s="7" t="str">
        <f>IFERROR(IF([1]对账明细接口!$Y165=0,"",[1]对账明细接口!$Y165),"")</f>
        <v/>
      </c>
      <c r="AE165" s="7" t="str">
        <f>IFERROR(IF([1]对账明细接口!$AA165=0,"",[1]对账明细接口!$AA165),"")</f>
        <v/>
      </c>
      <c r="AF165" s="7" t="str">
        <f>IFERROR(IF([1]对账明细接口!$AB165=0,"",[1]对账明细接口!$AB165),"")</f>
        <v/>
      </c>
      <c r="AG165" s="7" t="str">
        <f>IFERROR(IF([1]对账明细接口!$AC165=0,"",[1]对账明细接口!$AC165),"")</f>
        <v/>
      </c>
      <c r="AH165" s="7" t="str">
        <f>IFERROR(IF([1]对账明细接口!$AD165=0,"",[1]对账明细接口!$AD165),"")</f>
        <v/>
      </c>
      <c r="AI165" s="7" t="str">
        <f>IFERROR(IF([1]对账明细接口!$AE165=0,"",[1]对账明细接口!$AE165),"")</f>
        <v/>
      </c>
      <c r="AJ165" s="7" t="str">
        <f>IFERROR(IF([1]对账明细接口!$AF165=0,"",[1]对账明细接口!$AF165),"")</f>
        <v/>
      </c>
    </row>
    <row r="166" ht="14.25" customHeight="1" spans="1:36">
      <c r="A166" s="14">
        <v>166</v>
      </c>
      <c r="B166" s="15">
        <f>IFERROR(IF([1]对账明细接口!$B$166=0,"",[1]对账明细接口!$B$166),"")</f>
        <v>46274</v>
      </c>
      <c r="C166" s="16" t="str">
        <f>IFERROR(IF([1]对账明细接口!$C$166=0,"",[1]对账明细接口!$C$166),"")</f>
        <v>贾建国</v>
      </c>
      <c r="D166" s="16" t="str">
        <f>IFERROR(IF([1]对账明细接口!$D$166=0,"",[1]对账明细接口!$D$166),"")</f>
        <v>原料入库</v>
      </c>
      <c r="E166" s="16" t="str">
        <f>IFERROR(IF([1]对账明细接口!$E$166=0,"",[1]对账明细接口!$E$166),"")</f>
        <v>NO:0000767</v>
      </c>
      <c r="F166" s="16" t="str">
        <f>IFERROR(IF([1]对账明细接口!$F$166=0,"",[1]对账明细接口!$F$166),"")</f>
        <v>香梨</v>
      </c>
      <c r="G166" s="16" t="str">
        <f>IFERROR(IF([1]对账明细接口!$G$166=0,"",[1]对账明细接口!$G$166),"")</f>
        <v>香梨副特</v>
      </c>
      <c r="H166" s="17">
        <f>IFERROR(IF([1]对账明细接口!$H$166=0,"",[1]对账明细接口!$H$166),"")</f>
        <v>28</v>
      </c>
      <c r="I166" s="16" t="str">
        <f>IFERROR(IF([1]对账明细接口!$I$166=0,"",[1]对账明细接口!$I$166),"")</f>
        <v>筐</v>
      </c>
      <c r="J166" s="18">
        <f>IFERROR(IF([1]对账明细接口!$J$166=0,"",[1]对账明细接口!$J$166),"")</f>
        <v>540.4</v>
      </c>
      <c r="K166" s="18" t="str">
        <f>IFERROR(IF([1]对账明细接口!$K$166=0,"",[1]对账明细接口!$K$166),"")</f>
        <v/>
      </c>
      <c r="L166" s="16" t="str">
        <f>IFERROR(IF([1]对账明细接口!$L$166=0,"",[1]对账明细接口!$L$166),"")</f>
        <v/>
      </c>
      <c r="M166" s="16" t="str">
        <f>IFERROR(IF([1]对账明细接口!$M$166=0,"",[1]对账明细接口!$M$166),"")</f>
        <v>二黄</v>
      </c>
      <c r="N166" s="19">
        <f t="shared" si="4"/>
        <v>1</v>
      </c>
      <c r="O166" s="19">
        <f t="shared" si="5"/>
        <v>163</v>
      </c>
      <c r="S166" s="20" t="str">
        <f>IFERROR(IF([1]对账明细接口!$N166=0,"",[1]对账明细接口!$N166),"")</f>
        <v>自备一次性筐</v>
      </c>
      <c r="T166" s="21" t="str">
        <f>IFERROR(IF([1]对账明细接口!$O166=0,"",[1]对账明细接口!$O166),"")</f>
        <v/>
      </c>
      <c r="U166" s="21" t="str">
        <f>IFERROR(IF([1]对账明细接口!$P166=0,"",[1]对账明细接口!$P166),"")</f>
        <v/>
      </c>
      <c r="V166" s="21">
        <f>IFERROR(IF([1]对账明细接口!$Q166=0,"",[1]对账明细接口!$Q166),"")</f>
        <v>28</v>
      </c>
      <c r="W166" s="20" t="str">
        <f>IFERROR(IF([1]对账明细接口!$R166=0,"",[1]对账明细接口!$R166),"")</f>
        <v>豫Q*H5591</v>
      </c>
      <c r="X166" s="20" t="str">
        <f>IFERROR(IF([1]对账明细接口!$S166=0,"",[1]对账明细接口!$S166),"")</f>
        <v>自备筐</v>
      </c>
      <c r="Y166" s="20" t="str">
        <f>IFERROR(IF([1]对账明细接口!$T166=0,"",[1]对账明细接口!$T166),"")</f>
        <v/>
      </c>
      <c r="Z166" s="24" t="str">
        <f>IFERROR(IF([1]对账明细接口!$U166=0,"",[1]对账明细接口!$U166),"")</f>
        <v/>
      </c>
      <c r="AA166" s="24" t="str">
        <f>IFERROR(IF([1]对账明细接口!$V166=0,"",[1]对账明细接口!$V166),"")</f>
        <v/>
      </c>
      <c r="AB166" s="20" t="str">
        <f>IFERROR(IF([1]对账明细接口!$W166=0,"",[1]对账明细接口!$W166),"")</f>
        <v/>
      </c>
      <c r="AC166" s="7" t="str">
        <f>IFERROR(IF([1]对账明细接口!$X166=0,"",[1]对账明细接口!$X166),"")</f>
        <v/>
      </c>
      <c r="AD166" s="7" t="str">
        <f>IFERROR(IF([1]对账明细接口!$Y166=0,"",[1]对账明细接口!$Y166),"")</f>
        <v/>
      </c>
      <c r="AE166" s="7" t="str">
        <f>IFERROR(IF([1]对账明细接口!$AA166=0,"",[1]对账明细接口!$AA166),"")</f>
        <v/>
      </c>
      <c r="AF166" s="7" t="str">
        <f>IFERROR(IF([1]对账明细接口!$AB166=0,"",[1]对账明细接口!$AB166),"")</f>
        <v/>
      </c>
      <c r="AG166" s="7" t="str">
        <f>IFERROR(IF([1]对账明细接口!$AC166=0,"",[1]对账明细接口!$AC166),"")</f>
        <v/>
      </c>
      <c r="AH166" s="7" t="str">
        <f>IFERROR(IF([1]对账明细接口!$AD166=0,"",[1]对账明细接口!$AD166),"")</f>
        <v/>
      </c>
      <c r="AI166" s="7" t="str">
        <f>IFERROR(IF([1]对账明细接口!$AE166=0,"",[1]对账明细接口!$AE166),"")</f>
        <v/>
      </c>
      <c r="AJ166" s="7" t="str">
        <f>IFERROR(IF([1]对账明细接口!$AF166=0,"",[1]对账明细接口!$AF166),"")</f>
        <v/>
      </c>
    </row>
    <row r="167" ht="14.25" customHeight="1" spans="1:36">
      <c r="A167" s="14">
        <v>167</v>
      </c>
      <c r="B167" s="15">
        <f>IFERROR(IF([1]对账明细接口!$B$167=0,"",[1]对账明细接口!$B$167),"")</f>
        <v>46275</v>
      </c>
      <c r="C167" s="16" t="str">
        <f>IFERROR(IF([1]对账明细接口!$C$167=0,"",[1]对账明细接口!$C$167),"")</f>
        <v>王灵云</v>
      </c>
      <c r="D167" s="16" t="str">
        <f>IFERROR(IF([1]对账明细接口!$D$167=0,"",[1]对账明细接口!$D$167),"")</f>
        <v>原料入库</v>
      </c>
      <c r="E167" s="16" t="str">
        <f>IFERROR(IF([1]对账明细接口!$E$167=0,"",[1]对账明细接口!$E$167),"")</f>
        <v>NO:0000768</v>
      </c>
      <c r="F167" s="16" t="str">
        <f>IFERROR(IF([1]对账明细接口!$F$167=0,"",[1]对账明细接口!$F$167),"")</f>
        <v>香梨</v>
      </c>
      <c r="G167" s="16" t="str">
        <f>IFERROR(IF([1]对账明细接口!$G$167=0,"",[1]对账明细接口!$G$167),"")</f>
        <v>香梨一级</v>
      </c>
      <c r="H167" s="17">
        <f>IFERROR(IF([1]对账明细接口!$H$167=0,"",[1]对账明细接口!$H$167),"")</f>
        <v>195</v>
      </c>
      <c r="I167" s="16" t="str">
        <f>IFERROR(IF([1]对账明细接口!$I$167=0,"",[1]对账明细接口!$I$167),"")</f>
        <v>筐</v>
      </c>
      <c r="J167" s="18">
        <f>IFERROR(IF([1]对账明细接口!$J$167=0,"",[1]对账明细接口!$J$167),"")</f>
        <v>3568.5</v>
      </c>
      <c r="K167" s="18" t="str">
        <f>IFERROR(IF([1]对账明细接口!$K$167=0,"",[1]对账明细接口!$K$167),"")</f>
        <v/>
      </c>
      <c r="L167" s="16" t="str">
        <f>IFERROR(IF([1]对账明细接口!$L$167=0,"",[1]对账明细接口!$L$167),"")</f>
        <v/>
      </c>
      <c r="M167" s="16" t="str">
        <f>IFERROR(IF([1]对账明细接口!$M$167=0,"",[1]对账明细接口!$M$167),"")</f>
        <v/>
      </c>
      <c r="N167" s="19">
        <f t="shared" si="4"/>
        <v>1</v>
      </c>
      <c r="O167" s="19">
        <f t="shared" si="5"/>
        <v>164</v>
      </c>
      <c r="S167" s="20" t="str">
        <f>IFERROR(IF([1]对账明细接口!$N167=0,"",[1]对账明细接口!$N167),"")</f>
        <v>公司红周转筐</v>
      </c>
      <c r="T167" s="21" t="str">
        <f>IFERROR(IF([1]对账明细接口!$O167=0,"",[1]对账明细接口!$O167),"")</f>
        <v/>
      </c>
      <c r="U167" s="21" t="str">
        <f>IFERROR(IF([1]对账明细接口!$P167=0,"",[1]对账明细接口!$P167),"")</f>
        <v/>
      </c>
      <c r="V167" s="21">
        <f>IFERROR(IF([1]对账明细接口!$Q167=0,"",[1]对账明细接口!$Q167),"")</f>
        <v>195</v>
      </c>
      <c r="W167" s="20" t="str">
        <f>IFERROR(IF([1]对账明细接口!$R167=0,"",[1]对账明细接口!$R167),"")</f>
        <v>新N*49209</v>
      </c>
      <c r="X167" s="20" t="str">
        <f>IFERROR(IF([1]对账明细接口!$S167=0,"",[1]对账明细接口!$S167),"")</f>
        <v>公司筐</v>
      </c>
      <c r="Y167" s="20" t="str">
        <f>IFERROR(IF([1]对账明细接口!$T167=0,"",[1]对账明细接口!$T167),"")</f>
        <v/>
      </c>
      <c r="Z167" s="24" t="str">
        <f>IFERROR(IF([1]对账明细接口!$U167=0,"",[1]对账明细接口!$U167),"")</f>
        <v/>
      </c>
      <c r="AA167" s="24" t="str">
        <f>IFERROR(IF([1]对账明细接口!$V167=0,"",[1]对账明细接口!$V167),"")</f>
        <v/>
      </c>
      <c r="AB167" s="20" t="str">
        <f>IFERROR(IF([1]对账明细接口!$W167=0,"",[1]对账明细接口!$W167),"")</f>
        <v/>
      </c>
      <c r="AC167" s="7" t="str">
        <f>IFERROR(IF([1]对账明细接口!$X167=0,"",[1]对账明细接口!$X167),"")</f>
        <v/>
      </c>
      <c r="AD167" s="7" t="str">
        <f>IFERROR(IF([1]对账明细接口!$Y167=0,"",[1]对账明细接口!$Y167),"")</f>
        <v/>
      </c>
      <c r="AE167" s="7" t="str">
        <f>IFERROR(IF([1]对账明细接口!$AA167=0,"",[1]对账明细接口!$AA167),"")</f>
        <v/>
      </c>
      <c r="AF167" s="7" t="str">
        <f>IFERROR(IF([1]对账明细接口!$AB167=0,"",[1]对账明细接口!$AB167),"")</f>
        <v/>
      </c>
      <c r="AG167" s="7" t="str">
        <f>IFERROR(IF([1]对账明细接口!$AC167=0,"",[1]对账明细接口!$AC167),"")</f>
        <v/>
      </c>
      <c r="AH167" s="7" t="str">
        <f>IFERROR(IF([1]对账明细接口!$AD167=0,"",[1]对账明细接口!$AD167),"")</f>
        <v/>
      </c>
      <c r="AI167" s="7" t="str">
        <f>IFERROR(IF([1]对账明细接口!$AE167=0,"",[1]对账明细接口!$AE167),"")</f>
        <v/>
      </c>
      <c r="AJ167" s="7" t="str">
        <f>IFERROR(IF([1]对账明细接口!$AF167=0,"",[1]对账明细接口!$AF167),"")</f>
        <v/>
      </c>
    </row>
    <row r="168" ht="14.25" customHeight="1" spans="1:36">
      <c r="A168" s="14">
        <v>168</v>
      </c>
      <c r="B168" s="15">
        <f>IFERROR(IF([1]对账明细接口!$B$168=0,"",[1]对账明细接口!$B$168),"")</f>
        <v>46275</v>
      </c>
      <c r="C168" s="16" t="str">
        <f>IFERROR(IF([1]对账明细接口!$C$168=0,"",[1]对账明细接口!$C$168),"")</f>
        <v>王灵云</v>
      </c>
      <c r="D168" s="16" t="str">
        <f>IFERROR(IF([1]对账明细接口!$D$168=0,"",[1]对账明细接口!$D$168),"")</f>
        <v>原料入库</v>
      </c>
      <c r="E168" s="16" t="str">
        <f>IFERROR(IF([1]对账明细接口!$E$168=0,"",[1]对账明细接口!$E$168),"")</f>
        <v>NO:0000768</v>
      </c>
      <c r="F168" s="16" t="str">
        <f>IFERROR(IF([1]对账明细接口!$F$168=0,"",[1]对账明细接口!$F$168),"")</f>
        <v>香梨</v>
      </c>
      <c r="G168" s="16" t="str">
        <f>IFERROR(IF([1]对账明细接口!$G$168=0,"",[1]对账明细接口!$G$168),"")</f>
        <v>香梨副特</v>
      </c>
      <c r="H168" s="17">
        <f>IFERROR(IF([1]对账明细接口!$H$168=0,"",[1]对账明细接口!$H$168),"")</f>
        <v>134</v>
      </c>
      <c r="I168" s="16" t="str">
        <f>IFERROR(IF([1]对账明细接口!$I$168=0,"",[1]对账明细接口!$I$168),"")</f>
        <v>筐</v>
      </c>
      <c r="J168" s="18">
        <f>IFERROR(IF([1]对账明细接口!$J$168=0,"",[1]对账明细接口!$J$168),"")</f>
        <v>2452.2</v>
      </c>
      <c r="K168" s="18" t="str">
        <f>IFERROR(IF([1]对账明细接口!$K$168=0,"",[1]对账明细接口!$K$168),"")</f>
        <v/>
      </c>
      <c r="L168" s="16" t="str">
        <f>IFERROR(IF([1]对账明细接口!$L$168=0,"",[1]对账明细接口!$L$168),"")</f>
        <v/>
      </c>
      <c r="M168" s="16" t="str">
        <f>IFERROR(IF([1]对账明细接口!$M$168=0,"",[1]对账明细接口!$M$168),"")</f>
        <v/>
      </c>
      <c r="N168" s="19">
        <f t="shared" si="4"/>
        <v>1</v>
      </c>
      <c r="O168" s="19">
        <f t="shared" si="5"/>
        <v>165</v>
      </c>
      <c r="S168" s="20" t="str">
        <f>IFERROR(IF([1]对账明细接口!$N168=0,"",[1]对账明细接口!$N168),"")</f>
        <v>公司红周转筐</v>
      </c>
      <c r="T168" s="21" t="str">
        <f>IFERROR(IF([1]对账明细接口!$O168=0,"",[1]对账明细接口!$O168),"")</f>
        <v/>
      </c>
      <c r="U168" s="21" t="str">
        <f>IFERROR(IF([1]对账明细接口!$P168=0,"",[1]对账明细接口!$P168),"")</f>
        <v/>
      </c>
      <c r="V168" s="21">
        <f>IFERROR(IF([1]对账明细接口!$Q168=0,"",[1]对账明细接口!$Q168),"")</f>
        <v>134</v>
      </c>
      <c r="W168" s="20" t="str">
        <f>IFERROR(IF([1]对账明细接口!$R168=0,"",[1]对账明细接口!$R168),"")</f>
        <v>新N*49209</v>
      </c>
      <c r="X168" s="20" t="str">
        <f>IFERROR(IF([1]对账明细接口!$S168=0,"",[1]对账明细接口!$S168),"")</f>
        <v>公司筐</v>
      </c>
      <c r="Y168" s="20" t="str">
        <f>IFERROR(IF([1]对账明细接口!$T168=0,"",[1]对账明细接口!$T168),"")</f>
        <v/>
      </c>
      <c r="Z168" s="24" t="str">
        <f>IFERROR(IF([1]对账明细接口!$U168=0,"",[1]对账明细接口!$U168),"")</f>
        <v/>
      </c>
      <c r="AA168" s="24" t="str">
        <f>IFERROR(IF([1]对账明细接口!$V168=0,"",[1]对账明细接口!$V168),"")</f>
        <v/>
      </c>
      <c r="AB168" s="20" t="str">
        <f>IFERROR(IF([1]对账明细接口!$W168=0,"",[1]对账明细接口!$W168),"")</f>
        <v/>
      </c>
      <c r="AC168" s="7" t="str">
        <f>IFERROR(IF([1]对账明细接口!$X168=0,"",[1]对账明细接口!$X168),"")</f>
        <v/>
      </c>
      <c r="AD168" s="7" t="str">
        <f>IFERROR(IF([1]对账明细接口!$Y168=0,"",[1]对账明细接口!$Y168),"")</f>
        <v/>
      </c>
      <c r="AE168" s="7" t="str">
        <f>IFERROR(IF([1]对账明细接口!$AA168=0,"",[1]对账明细接口!$AA168),"")</f>
        <v/>
      </c>
      <c r="AF168" s="7" t="str">
        <f>IFERROR(IF([1]对账明细接口!$AB168=0,"",[1]对账明细接口!$AB168),"")</f>
        <v/>
      </c>
      <c r="AG168" s="7" t="str">
        <f>IFERROR(IF([1]对账明细接口!$AC168=0,"",[1]对账明细接口!$AC168),"")</f>
        <v/>
      </c>
      <c r="AH168" s="7" t="str">
        <f>IFERROR(IF([1]对账明细接口!$AD168=0,"",[1]对账明细接口!$AD168),"")</f>
        <v/>
      </c>
      <c r="AI168" s="7" t="str">
        <f>IFERROR(IF([1]对账明细接口!$AE168=0,"",[1]对账明细接口!$AE168),"")</f>
        <v/>
      </c>
      <c r="AJ168" s="7" t="str">
        <f>IFERROR(IF([1]对账明细接口!$AF168=0,"",[1]对账明细接口!$AF168),"")</f>
        <v/>
      </c>
    </row>
    <row r="169" ht="14.25" customHeight="1" spans="1:36">
      <c r="A169" s="14">
        <v>169</v>
      </c>
      <c r="B169" s="15">
        <f>IFERROR(IF([1]对账明细接口!$B$169=0,"",[1]对账明细接口!$B$169),"")</f>
        <v>46275</v>
      </c>
      <c r="C169" s="16" t="str">
        <f>IFERROR(IF([1]对账明细接口!$C$169=0,"",[1]对账明细接口!$C$169),"")</f>
        <v>王灵云</v>
      </c>
      <c r="D169" s="16" t="str">
        <f>IFERROR(IF([1]对账明细接口!$D$169=0,"",[1]对账明细接口!$D$169),"")</f>
        <v>原料入库</v>
      </c>
      <c r="E169" s="16" t="str">
        <f>IFERROR(IF([1]对账明细接口!$E$169=0,"",[1]对账明细接口!$E$169),"")</f>
        <v>NO:0000768</v>
      </c>
      <c r="F169" s="16" t="str">
        <f>IFERROR(IF([1]对账明细接口!$F$169=0,"",[1]对账明细接口!$F$169),"")</f>
        <v>香梨</v>
      </c>
      <c r="G169" s="16" t="str">
        <f>IFERROR(IF([1]对账明细接口!$G$169=0,"",[1]对账明细接口!$G$169),"")</f>
        <v>香梨二级</v>
      </c>
      <c r="H169" s="17">
        <f>IFERROR(IF([1]对账明细接口!$H$169=0,"",[1]对账明细接口!$H$169),"")</f>
        <v>64</v>
      </c>
      <c r="I169" s="16" t="str">
        <f>IFERROR(IF([1]对账明细接口!$I$169=0,"",[1]对账明细接口!$I$169),"")</f>
        <v>筐</v>
      </c>
      <c r="J169" s="18">
        <f>IFERROR(IF([1]对账明细接口!$J$169=0,"",[1]对账明细接口!$J$169),"")</f>
        <v>1491.2</v>
      </c>
      <c r="K169" s="18" t="str">
        <f>IFERROR(IF([1]对账明细接口!$K$169=0,"",[1]对账明细接口!$K$169),"")</f>
        <v/>
      </c>
      <c r="L169" s="16" t="str">
        <f>IFERROR(IF([1]对账明细接口!$L$169=0,"",[1]对账明细接口!$L$169),"")</f>
        <v/>
      </c>
      <c r="M169" s="16" t="str">
        <f>IFERROR(IF([1]对账明细接口!$M$169=0,"",[1]对账明细接口!$M$169),"")</f>
        <v>押金3000元已退还</v>
      </c>
      <c r="N169" s="19">
        <f t="shared" si="4"/>
        <v>1</v>
      </c>
      <c r="O169" s="19">
        <f t="shared" si="5"/>
        <v>166</v>
      </c>
      <c r="S169" s="20" t="str">
        <f>IFERROR(IF([1]对账明细接口!$N169=0,"",[1]对账明细接口!$N169),"")</f>
        <v>公司红周转筐</v>
      </c>
      <c r="T169" s="21" t="str">
        <f>IFERROR(IF([1]对账明细接口!$O169=0,"",[1]对账明细接口!$O169),"")</f>
        <v/>
      </c>
      <c r="U169" s="21" t="str">
        <f>IFERROR(IF([1]对账明细接口!$P169=0,"",[1]对账明细接口!$P169),"")</f>
        <v/>
      </c>
      <c r="V169" s="21">
        <f>IFERROR(IF([1]对账明细接口!$Q169=0,"",[1]对账明细接口!$Q169),"")</f>
        <v>64</v>
      </c>
      <c r="W169" s="20" t="str">
        <f>IFERROR(IF([1]对账明细接口!$R169=0,"",[1]对账明细接口!$R169),"")</f>
        <v>新N*49209</v>
      </c>
      <c r="X169" s="20" t="str">
        <f>IFERROR(IF([1]对账明细接口!$S169=0,"",[1]对账明细接口!$S169),"")</f>
        <v>公司筐</v>
      </c>
      <c r="Y169" s="20" t="str">
        <f>IFERROR(IF([1]对账明细接口!$T169=0,"",[1]对账明细接口!$T169),"")</f>
        <v/>
      </c>
      <c r="Z169" s="24" t="str">
        <f>IFERROR(IF([1]对账明细接口!$U169=0,"",[1]对账明细接口!$U169),"")</f>
        <v/>
      </c>
      <c r="AA169" s="24" t="str">
        <f>IFERROR(IF([1]对账明细接口!$V169=0,"",[1]对账明细接口!$V169),"")</f>
        <v/>
      </c>
      <c r="AB169" s="20" t="str">
        <f>IFERROR(IF([1]对账明细接口!$W169=0,"",[1]对账明细接口!$W169),"")</f>
        <v/>
      </c>
      <c r="AC169" s="7" t="str">
        <f>IFERROR(IF([1]对账明细接口!$X169=0,"",[1]对账明细接口!$X169),"")</f>
        <v/>
      </c>
      <c r="AD169" s="7" t="str">
        <f>IFERROR(IF([1]对账明细接口!$Y169=0,"",[1]对账明细接口!$Y169),"")</f>
        <v/>
      </c>
      <c r="AE169" s="7" t="str">
        <f>IFERROR(IF([1]对账明细接口!$AA169=0,"",[1]对账明细接口!$AA169),"")</f>
        <v/>
      </c>
      <c r="AF169" s="7" t="str">
        <f>IFERROR(IF([1]对账明细接口!$AB169=0,"",[1]对账明细接口!$AB169),"")</f>
        <v/>
      </c>
      <c r="AG169" s="7" t="str">
        <f>IFERROR(IF([1]对账明细接口!$AC169=0,"",[1]对账明细接口!$AC169),"")</f>
        <v/>
      </c>
      <c r="AH169" s="7" t="str">
        <f>IFERROR(IF([1]对账明细接口!$AD169=0,"",[1]对账明细接口!$AD169),"")</f>
        <v/>
      </c>
      <c r="AI169" s="7" t="str">
        <f>IFERROR(IF([1]对账明细接口!$AE169=0,"",[1]对账明细接口!$AE169),"")</f>
        <v/>
      </c>
      <c r="AJ169" s="7" t="str">
        <f>IFERROR(IF([1]对账明细接口!$AF169=0,"",[1]对账明细接口!$AF169),"")</f>
        <v/>
      </c>
    </row>
    <row r="170" ht="14.25" customHeight="1" spans="1:36">
      <c r="A170" s="14">
        <v>170</v>
      </c>
      <c r="B170" s="15">
        <f>IFERROR(IF([1]对账明细接口!$B$170=0,"",[1]对账明细接口!$B$170),"")</f>
        <v>46275</v>
      </c>
      <c r="C170" s="16" t="str">
        <f>IFERROR(IF([1]对账明细接口!$C$170=0,"",[1]对账明细接口!$C$170),"")</f>
        <v>杨艳玲</v>
      </c>
      <c r="D170" s="16" t="str">
        <f>IFERROR(IF([1]对账明细接口!$D$170=0,"",[1]对账明细接口!$D$170),"")</f>
        <v>原料入库</v>
      </c>
      <c r="E170" s="16" t="str">
        <f>IFERROR(IF([1]对账明细接口!$E$170=0,"",[1]对账明细接口!$E$170),"")</f>
        <v>NO:0000769</v>
      </c>
      <c r="F170" s="16" t="str">
        <f>IFERROR(IF([1]对账明细接口!$F$170=0,"",[1]对账明细接口!$F$170),"")</f>
        <v>香梨</v>
      </c>
      <c r="G170" s="16" t="str">
        <f>IFERROR(IF([1]对账明细接口!$G$170=0,"",[1]对账明细接口!$G$170),"")</f>
        <v>香梨玉露</v>
      </c>
      <c r="H170" s="17">
        <f>IFERROR(IF([1]对账明细接口!$H$170=0,"",[1]对账明细接口!$H$170),"")</f>
        <v>104</v>
      </c>
      <c r="I170" s="16" t="str">
        <f>IFERROR(IF([1]对账明细接口!$I$170=0,"",[1]对账明细接口!$I$170),"")</f>
        <v>筐</v>
      </c>
      <c r="J170" s="18">
        <f>IFERROR(IF([1]对账明细接口!$J$170=0,"",[1]对账明细接口!$J$170),"")</f>
        <v>1799.2</v>
      </c>
      <c r="K170" s="18" t="str">
        <f>IFERROR(IF([1]对账明细接口!$K$170=0,"",[1]对账明细接口!$K$170),"")</f>
        <v/>
      </c>
      <c r="L170" s="16" t="str">
        <f>IFERROR(IF([1]对账明细接口!$L$170=0,"",[1]对账明细接口!$L$170),"")</f>
        <v/>
      </c>
      <c r="M170" s="16" t="str">
        <f>IFERROR(IF([1]对账明细接口!$M$170=0,"",[1]对账明细接口!$M$170),"")</f>
        <v/>
      </c>
      <c r="N170" s="19">
        <f t="shared" si="4"/>
        <v>1</v>
      </c>
      <c r="O170" s="19">
        <f t="shared" si="5"/>
        <v>167</v>
      </c>
      <c r="S170" s="20" t="str">
        <f>IFERROR(IF([1]对账明细接口!$N170=0,"",[1]对账明细接口!$N170),"")</f>
        <v>自备一次性筐</v>
      </c>
      <c r="T170" s="21" t="str">
        <f>IFERROR(IF([1]对账明细接口!$O170=0,"",[1]对账明细接口!$O170),"")</f>
        <v/>
      </c>
      <c r="U170" s="21" t="str">
        <f>IFERROR(IF([1]对账明细接口!$P170=0,"",[1]对账明细接口!$P170),"")</f>
        <v/>
      </c>
      <c r="V170" s="21">
        <f>IFERROR(IF([1]对账明细接口!$Q170=0,"",[1]对账明细接口!$Q170),"")</f>
        <v>104</v>
      </c>
      <c r="W170" s="20" t="str">
        <f>IFERROR(IF([1]对账明细接口!$R170=0,"",[1]对账明细接口!$R170),"")</f>
        <v>新N*E3H01</v>
      </c>
      <c r="X170" s="20" t="str">
        <f>IFERROR(IF([1]对账明细接口!$S170=0,"",[1]对账明细接口!$S170),"")</f>
        <v>自备筐</v>
      </c>
      <c r="Y170" s="20" t="str">
        <f>IFERROR(IF([1]对账明细接口!$T170=0,"",[1]对账明细接口!$T170),"")</f>
        <v/>
      </c>
      <c r="Z170" s="24" t="str">
        <f>IFERROR(IF([1]对账明细接口!$U170=0,"",[1]对账明细接口!$U170),"")</f>
        <v/>
      </c>
      <c r="AA170" s="24" t="str">
        <f>IFERROR(IF([1]对账明细接口!$V170=0,"",[1]对账明细接口!$V170),"")</f>
        <v/>
      </c>
      <c r="AB170" s="20" t="str">
        <f>IFERROR(IF([1]对账明细接口!$W170=0,"",[1]对账明细接口!$W170),"")</f>
        <v/>
      </c>
      <c r="AC170" s="7" t="str">
        <f>IFERROR(IF([1]对账明细接口!$X170=0,"",[1]对账明细接口!$X170),"")</f>
        <v/>
      </c>
      <c r="AD170" s="7" t="str">
        <f>IFERROR(IF([1]对账明细接口!$Y170=0,"",[1]对账明细接口!$Y170),"")</f>
        <v/>
      </c>
      <c r="AE170" s="7" t="str">
        <f>IFERROR(IF([1]对账明细接口!$AA170=0,"",[1]对账明细接口!$AA170),"")</f>
        <v/>
      </c>
      <c r="AF170" s="7" t="str">
        <f>IFERROR(IF([1]对账明细接口!$AB170=0,"",[1]对账明细接口!$AB170),"")</f>
        <v/>
      </c>
      <c r="AG170" s="7" t="str">
        <f>IFERROR(IF([1]对账明细接口!$AC170=0,"",[1]对账明细接口!$AC170),"")</f>
        <v/>
      </c>
      <c r="AH170" s="7" t="str">
        <f>IFERROR(IF([1]对账明细接口!$AD170=0,"",[1]对账明细接口!$AD170),"")</f>
        <v/>
      </c>
      <c r="AI170" s="7" t="str">
        <f>IFERROR(IF([1]对账明细接口!$AE170=0,"",[1]对账明细接口!$AE170),"")</f>
        <v/>
      </c>
      <c r="AJ170" s="7" t="str">
        <f>IFERROR(IF([1]对账明细接口!$AF170=0,"",[1]对账明细接口!$AF170),"")</f>
        <v/>
      </c>
    </row>
    <row r="171" ht="14.25" customHeight="1" spans="1:36">
      <c r="A171" s="14">
        <v>171</v>
      </c>
      <c r="B171" s="15">
        <f>IFERROR(IF([1]对账明细接口!$B$171=0,"",[1]对账明细接口!$B$171),"")</f>
        <v>46275</v>
      </c>
      <c r="C171" s="16" t="str">
        <f>IFERROR(IF([1]对账明细接口!$C$171=0,"",[1]对账明细接口!$C$171),"")</f>
        <v>荆建君</v>
      </c>
      <c r="D171" s="16" t="str">
        <f>IFERROR(IF([1]对账明细接口!$D$171=0,"",[1]对账明细接口!$D$171),"")</f>
        <v>原料入库</v>
      </c>
      <c r="E171" s="16" t="str">
        <f>IFERROR(IF([1]对账明细接口!$E$171=0,"",[1]对账明细接口!$E$171),"")</f>
        <v>NO:0000770</v>
      </c>
      <c r="F171" s="16" t="str">
        <f>IFERROR(IF([1]对账明细接口!$F$171=0,"",[1]对账明细接口!$F$171),"")</f>
        <v>香梨</v>
      </c>
      <c r="G171" s="16" t="str">
        <f>IFERROR(IF([1]对账明细接口!$G$171=0,"",[1]对账明细接口!$G$171),"")</f>
        <v>香梨一级</v>
      </c>
      <c r="H171" s="17">
        <f>IFERROR(IF([1]对账明细接口!$H$171=0,"",[1]对账明细接口!$H$171),"")</f>
        <v>239</v>
      </c>
      <c r="I171" s="16" t="str">
        <f>IFERROR(IF([1]对账明细接口!$I$171=0,"",[1]对账明细接口!$I$171),"")</f>
        <v>筐</v>
      </c>
      <c r="J171" s="18">
        <f>IFERROR(IF([1]对账明细接口!$J$171=0,"",[1]对账明细接口!$J$171),"")</f>
        <v>4373.7</v>
      </c>
      <c r="K171" s="18" t="str">
        <f>IFERROR(IF([1]对账明细接口!$K$171=0,"",[1]对账明细接口!$K$171),"")</f>
        <v/>
      </c>
      <c r="L171" s="16" t="str">
        <f>IFERROR(IF([1]对账明细接口!$L$171=0,"",[1]对账明细接口!$L$171),"")</f>
        <v/>
      </c>
      <c r="M171" s="16" t="str">
        <f>IFERROR(IF([1]对账明细接口!$M$171=0,"",[1]对账明细接口!$M$171),"")</f>
        <v/>
      </c>
      <c r="N171" s="19">
        <f t="shared" si="4"/>
        <v>1</v>
      </c>
      <c r="O171" s="19">
        <f t="shared" si="5"/>
        <v>168</v>
      </c>
      <c r="S171" s="20" t="str">
        <f>IFERROR(IF([1]对账明细接口!$N171=0,"",[1]对账明细接口!$N171),"")</f>
        <v>公司红周转筐</v>
      </c>
      <c r="T171" s="21" t="str">
        <f>IFERROR(IF([1]对账明细接口!$O171=0,"",[1]对账明细接口!$O171),"")</f>
        <v/>
      </c>
      <c r="U171" s="21" t="str">
        <f>IFERROR(IF([1]对账明细接口!$P171=0,"",[1]对账明细接口!$P171),"")</f>
        <v/>
      </c>
      <c r="V171" s="21">
        <f>IFERROR(IF([1]对账明细接口!$Q171=0,"",[1]对账明细接口!$Q171),"")</f>
        <v>239</v>
      </c>
      <c r="W171" s="20" t="str">
        <f>IFERROR(IF([1]对账明细接口!$R171=0,"",[1]对账明细接口!$R171),"")</f>
        <v>豫A*2737K</v>
      </c>
      <c r="X171" s="20" t="str">
        <f>IFERROR(IF([1]对账明细接口!$S171=0,"",[1]对账明细接口!$S171),"")</f>
        <v>公司筐</v>
      </c>
      <c r="Y171" s="20" t="str">
        <f>IFERROR(IF([1]对账明细接口!$T171=0,"",[1]对账明细接口!$T171),"")</f>
        <v/>
      </c>
      <c r="Z171" s="24" t="str">
        <f>IFERROR(IF([1]对账明细接口!$U171=0,"",[1]对账明细接口!$U171),"")</f>
        <v/>
      </c>
      <c r="AA171" s="24" t="str">
        <f>IFERROR(IF([1]对账明细接口!$V171=0,"",[1]对账明细接口!$V171),"")</f>
        <v/>
      </c>
      <c r="AB171" s="20" t="str">
        <f>IFERROR(IF([1]对账明细接口!$W171=0,"",[1]对账明细接口!$W171),"")</f>
        <v/>
      </c>
      <c r="AC171" s="7" t="str">
        <f>IFERROR(IF([1]对账明细接口!$X171=0,"",[1]对账明细接口!$X171),"")</f>
        <v/>
      </c>
      <c r="AD171" s="7" t="str">
        <f>IFERROR(IF([1]对账明细接口!$Y171=0,"",[1]对账明细接口!$Y171),"")</f>
        <v/>
      </c>
      <c r="AE171" s="7" t="str">
        <f>IFERROR(IF([1]对账明细接口!$AA171=0,"",[1]对账明细接口!$AA171),"")</f>
        <v/>
      </c>
      <c r="AF171" s="7" t="str">
        <f>IFERROR(IF([1]对账明细接口!$AB171=0,"",[1]对账明细接口!$AB171),"")</f>
        <v/>
      </c>
      <c r="AG171" s="7" t="str">
        <f>IFERROR(IF([1]对账明细接口!$AC171=0,"",[1]对账明细接口!$AC171),"")</f>
        <v/>
      </c>
      <c r="AH171" s="7" t="str">
        <f>IFERROR(IF([1]对账明细接口!$AD171=0,"",[1]对账明细接口!$AD171),"")</f>
        <v/>
      </c>
      <c r="AI171" s="7" t="str">
        <f>IFERROR(IF([1]对账明细接口!$AE171=0,"",[1]对账明细接口!$AE171),"")</f>
        <v/>
      </c>
      <c r="AJ171" s="7" t="str">
        <f>IFERROR(IF([1]对账明细接口!$AF171=0,"",[1]对账明细接口!$AF171),"")</f>
        <v/>
      </c>
    </row>
    <row r="172" ht="14.25" customHeight="1" spans="1:36">
      <c r="A172" s="14">
        <v>172</v>
      </c>
      <c r="B172" s="15">
        <f>IFERROR(IF([1]对账明细接口!$B$172=0,"",[1]对账明细接口!$B$172),"")</f>
        <v>46275</v>
      </c>
      <c r="C172" s="16" t="str">
        <f>IFERROR(IF([1]对账明细接口!$C$172=0,"",[1]对账明细接口!$C$172),"")</f>
        <v>荆建君</v>
      </c>
      <c r="D172" s="16" t="str">
        <f>IFERROR(IF([1]对账明细接口!$D$172=0,"",[1]对账明细接口!$D$172),"")</f>
        <v>原料入库</v>
      </c>
      <c r="E172" s="16" t="str">
        <f>IFERROR(IF([1]对账明细接口!$E$172=0,"",[1]对账明细接口!$E$172),"")</f>
        <v>NO:0000770</v>
      </c>
      <c r="F172" s="16" t="str">
        <f>IFERROR(IF([1]对账明细接口!$F$172=0,"",[1]对账明细接口!$F$172),"")</f>
        <v>香梨</v>
      </c>
      <c r="G172" s="16" t="str">
        <f>IFERROR(IF([1]对账明细接口!$G$172=0,"",[1]对账明细接口!$G$172),"")</f>
        <v>香梨二级</v>
      </c>
      <c r="H172" s="17">
        <f>IFERROR(IF([1]对账明细接口!$H$172=0,"",[1]对账明细接口!$H$172),"")</f>
        <v>329</v>
      </c>
      <c r="I172" s="16" t="str">
        <f>IFERROR(IF([1]对账明细接口!$I$172=0,"",[1]对账明细接口!$I$172),"")</f>
        <v>筐</v>
      </c>
      <c r="J172" s="18">
        <f>IFERROR(IF([1]对账明细接口!$J$172=0,"",[1]对账明细接口!$J$172),"")</f>
        <v>6020.7</v>
      </c>
      <c r="K172" s="18" t="str">
        <f>IFERROR(IF([1]对账明细接口!$K$172=0,"",[1]对账明细接口!$K$172),"")</f>
        <v/>
      </c>
      <c r="L172" s="16" t="str">
        <f>IFERROR(IF([1]对账明细接口!$L$172=0,"",[1]对账明细接口!$L$172),"")</f>
        <v/>
      </c>
      <c r="M172" s="16" t="str">
        <f>IFERROR(IF([1]对账明细接口!$M$172=0,"",[1]对账明细接口!$M$172),"")</f>
        <v/>
      </c>
      <c r="N172" s="19">
        <f t="shared" si="4"/>
        <v>1</v>
      </c>
      <c r="O172" s="19">
        <f t="shared" si="5"/>
        <v>169</v>
      </c>
      <c r="S172" s="20" t="str">
        <f>IFERROR(IF([1]对账明细接口!$N172=0,"",[1]对账明细接口!$N172),"")</f>
        <v>公司红周转筐</v>
      </c>
      <c r="T172" s="21" t="str">
        <f>IFERROR(IF([1]对账明细接口!$O172=0,"",[1]对账明细接口!$O172),"")</f>
        <v/>
      </c>
      <c r="U172" s="21" t="str">
        <f>IFERROR(IF([1]对账明细接口!$P172=0,"",[1]对账明细接口!$P172),"")</f>
        <v/>
      </c>
      <c r="V172" s="21">
        <f>IFERROR(IF([1]对账明细接口!$Q172=0,"",[1]对账明细接口!$Q172),"")</f>
        <v>329</v>
      </c>
      <c r="W172" s="20" t="str">
        <f>IFERROR(IF([1]对账明细接口!$R172=0,"",[1]对账明细接口!$R172),"")</f>
        <v>豫A*2737K</v>
      </c>
      <c r="X172" s="20" t="str">
        <f>IFERROR(IF([1]对账明细接口!$S172=0,"",[1]对账明细接口!$S172),"")</f>
        <v>公司筐</v>
      </c>
      <c r="Y172" s="20" t="str">
        <f>IFERROR(IF([1]对账明细接口!$T172=0,"",[1]对账明细接口!$T172),"")</f>
        <v/>
      </c>
      <c r="Z172" s="24" t="str">
        <f>IFERROR(IF([1]对账明细接口!$U172=0,"",[1]对账明细接口!$U172),"")</f>
        <v/>
      </c>
      <c r="AA172" s="24" t="str">
        <f>IFERROR(IF([1]对账明细接口!$V172=0,"",[1]对账明细接口!$V172),"")</f>
        <v/>
      </c>
      <c r="AB172" s="20" t="str">
        <f>IFERROR(IF([1]对账明细接口!$W172=0,"",[1]对账明细接口!$W172),"")</f>
        <v/>
      </c>
      <c r="AC172" s="7" t="str">
        <f>IFERROR(IF([1]对账明细接口!$X172=0,"",[1]对账明细接口!$X172),"")</f>
        <v/>
      </c>
      <c r="AD172" s="7" t="str">
        <f>IFERROR(IF([1]对账明细接口!$Y172=0,"",[1]对账明细接口!$Y172),"")</f>
        <v/>
      </c>
      <c r="AE172" s="7" t="str">
        <f>IFERROR(IF([1]对账明细接口!$AA172=0,"",[1]对账明细接口!$AA172),"")</f>
        <v/>
      </c>
      <c r="AF172" s="7" t="str">
        <f>IFERROR(IF([1]对账明细接口!$AB172=0,"",[1]对账明细接口!$AB172),"")</f>
        <v/>
      </c>
      <c r="AG172" s="7" t="str">
        <f>IFERROR(IF([1]对账明细接口!$AC172=0,"",[1]对账明细接口!$AC172),"")</f>
        <v/>
      </c>
      <c r="AH172" s="7" t="str">
        <f>IFERROR(IF([1]对账明细接口!$AD172=0,"",[1]对账明细接口!$AD172),"")</f>
        <v/>
      </c>
      <c r="AI172" s="7" t="str">
        <f>IFERROR(IF([1]对账明细接口!$AE172=0,"",[1]对账明细接口!$AE172),"")</f>
        <v/>
      </c>
      <c r="AJ172" s="7" t="str">
        <f>IFERROR(IF([1]对账明细接口!$AF172=0,"",[1]对账明细接口!$AF172),"")</f>
        <v/>
      </c>
    </row>
    <row r="173" ht="14.25" customHeight="1" spans="1:36">
      <c r="A173" s="14">
        <v>173</v>
      </c>
      <c r="B173" s="15">
        <f>IFERROR(IF([1]对账明细接口!$B$173=0,"",[1]对账明细接口!$B$173),"")</f>
        <v>46275</v>
      </c>
      <c r="C173" s="16" t="str">
        <f>IFERROR(IF([1]对账明细接口!$C$173=0,"",[1]对账明细接口!$C$173),"")</f>
        <v>贾建国</v>
      </c>
      <c r="D173" s="16" t="str">
        <f>IFERROR(IF([1]对账明细接口!$D$173=0,"",[1]对账明细接口!$D$173),"")</f>
        <v>原料入库</v>
      </c>
      <c r="E173" s="16" t="str">
        <f>IFERROR(IF([1]对账明细接口!$E$173=0,"",[1]对账明细接口!$E$173),"")</f>
        <v>NO:0000772</v>
      </c>
      <c r="F173" s="16" t="str">
        <f>IFERROR(IF([1]对账明细接口!$F$173=0,"",[1]对账明细接口!$F$173),"")</f>
        <v>香梨</v>
      </c>
      <c r="G173" s="16" t="str">
        <f>IFERROR(IF([1]对账明细接口!$G$173=0,"",[1]对账明细接口!$G$173),"")</f>
        <v>香梨副特</v>
      </c>
      <c r="H173" s="17">
        <f>IFERROR(IF([1]对账明细接口!$H$173=0,"",[1]对账明细接口!$H$173),"")</f>
        <v>74</v>
      </c>
      <c r="I173" s="16" t="str">
        <f>IFERROR(IF([1]对账明细接口!$I$173=0,"",[1]对账明细接口!$I$173),"")</f>
        <v>筐</v>
      </c>
      <c r="J173" s="18">
        <f>IFERROR(IF([1]对账明细接口!$J$173=0,"",[1]对账明细接口!$J$173),"")</f>
        <v>1665</v>
      </c>
      <c r="K173" s="18" t="str">
        <f>IFERROR(IF([1]对账明细接口!$K$173=0,"",[1]对账明细接口!$K$173),"")</f>
        <v/>
      </c>
      <c r="L173" s="16" t="str">
        <f>IFERROR(IF([1]对账明细接口!$L$173=0,"",[1]对账明细接口!$L$173),"")</f>
        <v/>
      </c>
      <c r="M173" s="16" t="str">
        <f>IFERROR(IF([1]对账明细接口!$M$173=0,"",[1]对账明细接口!$M$173),"")</f>
        <v/>
      </c>
      <c r="N173" s="19">
        <f t="shared" si="4"/>
        <v>1</v>
      </c>
      <c r="O173" s="19">
        <f t="shared" si="5"/>
        <v>170</v>
      </c>
      <c r="S173" s="20" t="str">
        <f>IFERROR(IF([1]对账明细接口!$N173=0,"",[1]对账明细接口!$N173),"")</f>
        <v>公司新周转筐</v>
      </c>
      <c r="T173" s="21" t="str">
        <f>IFERROR(IF([1]对账明细接口!$O173=0,"",[1]对账明细接口!$O173),"")</f>
        <v/>
      </c>
      <c r="U173" s="21" t="str">
        <f>IFERROR(IF([1]对账明细接口!$P173=0,"",[1]对账明细接口!$P173),"")</f>
        <v/>
      </c>
      <c r="V173" s="21">
        <f>IFERROR(IF([1]对账明细接口!$Q173=0,"",[1]对账明细接口!$Q173),"")</f>
        <v>74</v>
      </c>
      <c r="W173" s="20" t="str">
        <f>IFERROR(IF([1]对账明细接口!$R173=0,"",[1]对账明细接口!$R173),"")</f>
        <v>新N*56508</v>
      </c>
      <c r="X173" s="20" t="str">
        <f>IFERROR(IF([1]对账明细接口!$S173=0,"",[1]对账明细接口!$S173),"")</f>
        <v>公司筐</v>
      </c>
      <c r="Y173" s="20" t="str">
        <f>IFERROR(IF([1]对账明细接口!$T173=0,"",[1]对账明细接口!$T173),"")</f>
        <v/>
      </c>
      <c r="Z173" s="24" t="str">
        <f>IFERROR(IF([1]对账明细接口!$U173=0,"",[1]对账明细接口!$U173),"")</f>
        <v/>
      </c>
      <c r="AA173" s="24" t="str">
        <f>IFERROR(IF([1]对账明细接口!$V173=0,"",[1]对账明细接口!$V173),"")</f>
        <v/>
      </c>
      <c r="AB173" s="20" t="str">
        <f>IFERROR(IF([1]对账明细接口!$W173=0,"",[1]对账明细接口!$W173),"")</f>
        <v/>
      </c>
      <c r="AC173" s="7" t="str">
        <f>IFERROR(IF([1]对账明细接口!$X173=0,"",[1]对账明细接口!$X173),"")</f>
        <v/>
      </c>
      <c r="AD173" s="7" t="str">
        <f>IFERROR(IF([1]对账明细接口!$Y173=0,"",[1]对账明细接口!$Y173),"")</f>
        <v/>
      </c>
      <c r="AE173" s="7" t="str">
        <f>IFERROR(IF([1]对账明细接口!$AA173=0,"",[1]对账明细接口!$AA173),"")</f>
        <v/>
      </c>
      <c r="AF173" s="7" t="str">
        <f>IFERROR(IF([1]对账明细接口!$AB173=0,"",[1]对账明细接口!$AB173),"")</f>
        <v/>
      </c>
      <c r="AG173" s="7" t="str">
        <f>IFERROR(IF([1]对账明细接口!$AC173=0,"",[1]对账明细接口!$AC173),"")</f>
        <v/>
      </c>
      <c r="AH173" s="7" t="str">
        <f>IFERROR(IF([1]对账明细接口!$AD173=0,"",[1]对账明细接口!$AD173),"")</f>
        <v/>
      </c>
      <c r="AI173" s="7" t="str">
        <f>IFERROR(IF([1]对账明细接口!$AE173=0,"",[1]对账明细接口!$AE173),"")</f>
        <v/>
      </c>
      <c r="AJ173" s="7" t="str">
        <f>IFERROR(IF([1]对账明细接口!$AF173=0,"",[1]对账明细接口!$AF173),"")</f>
        <v/>
      </c>
    </row>
    <row r="174" ht="14.25" customHeight="1" spans="1:36">
      <c r="A174" s="14">
        <v>174</v>
      </c>
      <c r="B174" s="15">
        <f>IFERROR(IF([1]对账明细接口!$B$174=0,"",[1]对账明细接口!$B$174),"")</f>
        <v>46275</v>
      </c>
      <c r="C174" s="16" t="str">
        <f>IFERROR(IF([1]对账明细接口!$C$174=0,"",[1]对账明细接口!$C$174),"")</f>
        <v>吐尔洪</v>
      </c>
      <c r="D174" s="16" t="str">
        <f>IFERROR(IF([1]对账明细接口!$D$174=0,"",[1]对账明细接口!$D$174),"")</f>
        <v>原料入库</v>
      </c>
      <c r="E174" s="16" t="str">
        <f>IFERROR(IF([1]对账明细接口!$E$174=0,"",[1]对账明细接口!$E$174),"")</f>
        <v>NO:0000773</v>
      </c>
      <c r="F174" s="16" t="str">
        <f>IFERROR(IF([1]对账明细接口!$F$174=0,"",[1]对账明细接口!$F$174),"")</f>
        <v>香梨</v>
      </c>
      <c r="G174" s="16" t="str">
        <f>IFERROR(IF([1]对账明细接口!$G$174=0,"",[1]对账明细接口!$G$174),"")</f>
        <v>香梨特级</v>
      </c>
      <c r="H174" s="17">
        <f>IFERROR(IF([1]对账明细接口!$H$174=0,"",[1]对账明细接口!$H$174),"")</f>
        <v>108</v>
      </c>
      <c r="I174" s="16" t="str">
        <f>IFERROR(IF([1]对账明细接口!$I$174=0,"",[1]对账明细接口!$I$174),"")</f>
        <v>筐</v>
      </c>
      <c r="J174" s="18">
        <f>IFERROR(IF([1]对账明细接口!$J$174=0,"",[1]对账明细接口!$J$174),"")</f>
        <v>1976.4</v>
      </c>
      <c r="K174" s="18" t="str">
        <f>IFERROR(IF([1]对账明细接口!$K$174=0,"",[1]对账明细接口!$K$174),"")</f>
        <v/>
      </c>
      <c r="L174" s="16" t="str">
        <f>IFERROR(IF([1]对账明细接口!$L$174=0,"",[1]对账明细接口!$L$174),"")</f>
        <v/>
      </c>
      <c r="M174" s="16" t="str">
        <f>IFERROR(IF([1]对账明细接口!$M$174=0,"",[1]对账明细接口!$M$174),"")</f>
        <v>麦麦提</v>
      </c>
      <c r="N174" s="19">
        <f t="shared" si="4"/>
        <v>1</v>
      </c>
      <c r="O174" s="19">
        <f t="shared" si="5"/>
        <v>171</v>
      </c>
      <c r="S174" s="20" t="str">
        <f>IFERROR(IF([1]对账明细接口!$N174=0,"",[1]对账明细接口!$N174),"")</f>
        <v>公司红周转筐</v>
      </c>
      <c r="T174" s="21" t="str">
        <f>IFERROR(IF([1]对账明细接口!$O174=0,"",[1]对账明细接口!$O174),"")</f>
        <v/>
      </c>
      <c r="U174" s="21" t="str">
        <f>IFERROR(IF([1]对账明细接口!$P174=0,"",[1]对账明细接口!$P174),"")</f>
        <v/>
      </c>
      <c r="V174" s="21">
        <f>IFERROR(IF([1]对账明细接口!$Q174=0,"",[1]对账明细接口!$Q174),"")</f>
        <v>108</v>
      </c>
      <c r="W174" s="20" t="str">
        <f>IFERROR(IF([1]对账明细接口!$R174=0,"",[1]对账明细接口!$R174),"")</f>
        <v>新N*X8S48</v>
      </c>
      <c r="X174" s="20" t="str">
        <f>IFERROR(IF([1]对账明细接口!$S174=0,"",[1]对账明细接口!$S174),"")</f>
        <v>公司筐</v>
      </c>
      <c r="Y174" s="20" t="str">
        <f>IFERROR(IF([1]对账明细接口!$T174=0,"",[1]对账明细接口!$T174),"")</f>
        <v/>
      </c>
      <c r="Z174" s="24" t="str">
        <f>IFERROR(IF([1]对账明细接口!$U174=0,"",[1]对账明细接口!$U174),"")</f>
        <v/>
      </c>
      <c r="AA174" s="24" t="str">
        <f>IFERROR(IF([1]对账明细接口!$V174=0,"",[1]对账明细接口!$V174),"")</f>
        <v/>
      </c>
      <c r="AB174" s="20" t="str">
        <f>IFERROR(IF([1]对账明细接口!$W174=0,"",[1]对账明细接口!$W174),"")</f>
        <v/>
      </c>
      <c r="AC174" s="7" t="str">
        <f>IFERROR(IF([1]对账明细接口!$X174=0,"",[1]对账明细接口!$X174),"")</f>
        <v/>
      </c>
      <c r="AD174" s="7" t="str">
        <f>IFERROR(IF([1]对账明细接口!$Y174=0,"",[1]对账明细接口!$Y174),"")</f>
        <v/>
      </c>
      <c r="AE174" s="7" t="str">
        <f>IFERROR(IF([1]对账明细接口!$AA174=0,"",[1]对账明细接口!$AA174),"")</f>
        <v/>
      </c>
      <c r="AF174" s="7" t="str">
        <f>IFERROR(IF([1]对账明细接口!$AB174=0,"",[1]对账明细接口!$AB174),"")</f>
        <v/>
      </c>
      <c r="AG174" s="7" t="str">
        <f>IFERROR(IF([1]对账明细接口!$AC174=0,"",[1]对账明细接口!$AC174),"")</f>
        <v/>
      </c>
      <c r="AH174" s="7" t="str">
        <f>IFERROR(IF([1]对账明细接口!$AD174=0,"",[1]对账明细接口!$AD174),"")</f>
        <v/>
      </c>
      <c r="AI174" s="7" t="str">
        <f>IFERROR(IF([1]对账明细接口!$AE174=0,"",[1]对账明细接口!$AE174),"")</f>
        <v/>
      </c>
      <c r="AJ174" s="7" t="str">
        <f>IFERROR(IF([1]对账明细接口!$AF174=0,"",[1]对账明细接口!$AF174),"")</f>
        <v/>
      </c>
    </row>
    <row r="175" ht="14.25" customHeight="1" spans="1:36">
      <c r="A175" s="14">
        <v>175</v>
      </c>
      <c r="B175" s="15">
        <f>IFERROR(IF([1]对账明细接口!$B$175=0,"",[1]对账明细接口!$B$175),"")</f>
        <v>46275</v>
      </c>
      <c r="C175" s="16" t="str">
        <f>IFERROR(IF([1]对账明细接口!$C$175=0,"",[1]对账明细接口!$C$175),"")</f>
        <v>吐尔洪</v>
      </c>
      <c r="D175" s="16" t="str">
        <f>IFERROR(IF([1]对账明细接口!$D$175=0,"",[1]对账明细接口!$D$175),"")</f>
        <v>原料入库</v>
      </c>
      <c r="E175" s="16" t="str">
        <f>IFERROR(IF([1]对账明细接口!$E$175=0,"",[1]对账明细接口!$E$175),"")</f>
        <v>NO:0000773</v>
      </c>
      <c r="F175" s="16" t="str">
        <f>IFERROR(IF([1]对账明细接口!$F$175=0,"",[1]对账明细接口!$F$175),"")</f>
        <v>香梨</v>
      </c>
      <c r="G175" s="16" t="str">
        <f>IFERROR(IF([1]对账明细接口!$G$175=0,"",[1]对账明细接口!$G$175),"")</f>
        <v>香梨一级</v>
      </c>
      <c r="H175" s="17">
        <f>IFERROR(IF([1]对账明细接口!$H$175=0,"",[1]对账明细接口!$H$175),"")</f>
        <v>38</v>
      </c>
      <c r="I175" s="16" t="str">
        <f>IFERROR(IF([1]对账明细接口!$I$175=0,"",[1]对账明细接口!$I$175),"")</f>
        <v>筐</v>
      </c>
      <c r="J175" s="18">
        <f>IFERROR(IF([1]对账明细接口!$J$175=0,"",[1]对账明细接口!$J$175),"")</f>
        <v>695.4</v>
      </c>
      <c r="K175" s="18" t="str">
        <f>IFERROR(IF([1]对账明细接口!$K$175=0,"",[1]对账明细接口!$K$175),"")</f>
        <v/>
      </c>
      <c r="L175" s="16" t="str">
        <f>IFERROR(IF([1]对账明细接口!$L$175=0,"",[1]对账明细接口!$L$175),"")</f>
        <v/>
      </c>
      <c r="M175" s="16" t="str">
        <f>IFERROR(IF([1]对账明细接口!$M$175=0,"",[1]对账明细接口!$M$175),"")</f>
        <v>麦麦提</v>
      </c>
      <c r="N175" s="19">
        <f t="shared" si="4"/>
        <v>1</v>
      </c>
      <c r="O175" s="19">
        <f t="shared" si="5"/>
        <v>172</v>
      </c>
      <c r="S175" s="20" t="str">
        <f>IFERROR(IF([1]对账明细接口!$N175=0,"",[1]对账明细接口!$N175),"")</f>
        <v>公司红周转筐</v>
      </c>
      <c r="T175" s="21" t="str">
        <f>IFERROR(IF([1]对账明细接口!$O175=0,"",[1]对账明细接口!$O175),"")</f>
        <v/>
      </c>
      <c r="U175" s="21" t="str">
        <f>IFERROR(IF([1]对账明细接口!$P175=0,"",[1]对账明细接口!$P175),"")</f>
        <v/>
      </c>
      <c r="V175" s="21">
        <f>IFERROR(IF([1]对账明细接口!$Q175=0,"",[1]对账明细接口!$Q175),"")</f>
        <v>38</v>
      </c>
      <c r="W175" s="20" t="str">
        <f>IFERROR(IF([1]对账明细接口!$R175=0,"",[1]对账明细接口!$R175),"")</f>
        <v>新N*X8S48</v>
      </c>
      <c r="X175" s="20" t="str">
        <f>IFERROR(IF([1]对账明细接口!$S175=0,"",[1]对账明细接口!$S175),"")</f>
        <v>公司筐</v>
      </c>
      <c r="Y175" s="20" t="str">
        <f>IFERROR(IF([1]对账明细接口!$T175=0,"",[1]对账明细接口!$T175),"")</f>
        <v/>
      </c>
      <c r="Z175" s="24" t="str">
        <f>IFERROR(IF([1]对账明细接口!$U175=0,"",[1]对账明细接口!$U175),"")</f>
        <v/>
      </c>
      <c r="AA175" s="24" t="str">
        <f>IFERROR(IF([1]对账明细接口!$V175=0,"",[1]对账明细接口!$V175),"")</f>
        <v/>
      </c>
      <c r="AB175" s="20" t="str">
        <f>IFERROR(IF([1]对账明细接口!$W175=0,"",[1]对账明细接口!$W175),"")</f>
        <v/>
      </c>
      <c r="AC175" s="7" t="str">
        <f>IFERROR(IF([1]对账明细接口!$X175=0,"",[1]对账明细接口!$X175),"")</f>
        <v/>
      </c>
      <c r="AD175" s="7" t="str">
        <f>IFERROR(IF([1]对账明细接口!$Y175=0,"",[1]对账明细接口!$Y175),"")</f>
        <v/>
      </c>
      <c r="AE175" s="7" t="str">
        <f>IFERROR(IF([1]对账明细接口!$AA175=0,"",[1]对账明细接口!$AA175),"")</f>
        <v/>
      </c>
      <c r="AF175" s="7" t="str">
        <f>IFERROR(IF([1]对账明细接口!$AB175=0,"",[1]对账明细接口!$AB175),"")</f>
        <v/>
      </c>
      <c r="AG175" s="7" t="str">
        <f>IFERROR(IF([1]对账明细接口!$AC175=0,"",[1]对账明细接口!$AC175),"")</f>
        <v/>
      </c>
      <c r="AH175" s="7" t="str">
        <f>IFERROR(IF([1]对账明细接口!$AD175=0,"",[1]对账明细接口!$AD175),"")</f>
        <v/>
      </c>
      <c r="AI175" s="7" t="str">
        <f>IFERROR(IF([1]对账明细接口!$AE175=0,"",[1]对账明细接口!$AE175),"")</f>
        <v/>
      </c>
      <c r="AJ175" s="7" t="str">
        <f>IFERROR(IF([1]对账明细接口!$AF175=0,"",[1]对账明细接口!$AF175),"")</f>
        <v/>
      </c>
    </row>
    <row r="176" ht="14.25" customHeight="1" spans="1:36">
      <c r="A176" s="14">
        <v>176</v>
      </c>
      <c r="B176" s="15">
        <f>IFERROR(IF([1]对账明细接口!$B$176=0,"",[1]对账明细接口!$B$176),"")</f>
        <v>46275</v>
      </c>
      <c r="C176" s="16" t="str">
        <f>IFERROR(IF([1]对账明细接口!$C$176=0,"",[1]对账明细接口!$C$176),"")</f>
        <v>吐尔洪</v>
      </c>
      <c r="D176" s="16" t="str">
        <f>IFERROR(IF([1]对账明细接口!$D$176=0,"",[1]对账明细接口!$D$176),"")</f>
        <v>原料入库</v>
      </c>
      <c r="E176" s="16" t="str">
        <f>IFERROR(IF([1]对账明细接口!$E$176=0,"",[1]对账明细接口!$E$176),"")</f>
        <v>NO:0000773</v>
      </c>
      <c r="F176" s="16" t="str">
        <f>IFERROR(IF([1]对账明细接口!$F$176=0,"",[1]对账明细接口!$F$176),"")</f>
        <v>香梨</v>
      </c>
      <c r="G176" s="16" t="str">
        <f>IFERROR(IF([1]对账明细接口!$G$176=0,"",[1]对账明细接口!$G$176),"")</f>
        <v>香梨二级</v>
      </c>
      <c r="H176" s="17">
        <f>IFERROR(IF([1]对账明细接口!$H$176=0,"",[1]对账明细接口!$H$176),"")</f>
        <v>106</v>
      </c>
      <c r="I176" s="16" t="str">
        <f>IFERROR(IF([1]对账明细接口!$I$176=0,"",[1]对账明细接口!$I$176),"")</f>
        <v>筐</v>
      </c>
      <c r="J176" s="18">
        <f>IFERROR(IF([1]对账明细接口!$J$176=0,"",[1]对账明细接口!$J$176),"")</f>
        <v>2363.8</v>
      </c>
      <c r="K176" s="18" t="str">
        <f>IFERROR(IF([1]对账明细接口!$K$176=0,"",[1]对账明细接口!$K$176),"")</f>
        <v/>
      </c>
      <c r="L176" s="16" t="str">
        <f>IFERROR(IF([1]对账明细接口!$L$176=0,"",[1]对账明细接口!$L$176),"")</f>
        <v/>
      </c>
      <c r="M176" s="16" t="str">
        <f>IFERROR(IF([1]对账明细接口!$M$176=0,"",[1]对账明细接口!$M$176),"")</f>
        <v>麦麦提</v>
      </c>
      <c r="N176" s="19">
        <f t="shared" si="4"/>
        <v>1</v>
      </c>
      <c r="O176" s="19">
        <f t="shared" si="5"/>
        <v>173</v>
      </c>
      <c r="S176" s="20" t="str">
        <f>IFERROR(IF([1]对账明细接口!$N176=0,"",[1]对账明细接口!$N176),"")</f>
        <v>公司红周转筐</v>
      </c>
      <c r="T176" s="21" t="str">
        <f>IFERROR(IF([1]对账明细接口!$O176=0,"",[1]对账明细接口!$O176),"")</f>
        <v/>
      </c>
      <c r="U176" s="21" t="str">
        <f>IFERROR(IF([1]对账明细接口!$P176=0,"",[1]对账明细接口!$P176),"")</f>
        <v/>
      </c>
      <c r="V176" s="21">
        <f>IFERROR(IF([1]对账明细接口!$Q176=0,"",[1]对账明细接口!$Q176),"")</f>
        <v>106</v>
      </c>
      <c r="W176" s="20" t="str">
        <f>IFERROR(IF([1]对账明细接口!$R176=0,"",[1]对账明细接口!$R176),"")</f>
        <v>新N*X8S48</v>
      </c>
      <c r="X176" s="20" t="str">
        <f>IFERROR(IF([1]对账明细接口!$S176=0,"",[1]对账明细接口!$S176),"")</f>
        <v>公司筐</v>
      </c>
      <c r="Y176" s="20" t="str">
        <f>IFERROR(IF([1]对账明细接口!$T176=0,"",[1]对账明细接口!$T176),"")</f>
        <v/>
      </c>
      <c r="Z176" s="24" t="str">
        <f>IFERROR(IF([1]对账明细接口!$U176=0,"",[1]对账明细接口!$U176),"")</f>
        <v/>
      </c>
      <c r="AA176" s="24" t="str">
        <f>IFERROR(IF([1]对账明细接口!$V176=0,"",[1]对账明细接口!$V176),"")</f>
        <v/>
      </c>
      <c r="AB176" s="20" t="str">
        <f>IFERROR(IF([1]对账明细接口!$W176=0,"",[1]对账明细接口!$W176),"")</f>
        <v/>
      </c>
      <c r="AC176" s="7" t="str">
        <f>IFERROR(IF([1]对账明细接口!$X176=0,"",[1]对账明细接口!$X176),"")</f>
        <v/>
      </c>
      <c r="AD176" s="7" t="str">
        <f>IFERROR(IF([1]对账明细接口!$Y176=0,"",[1]对账明细接口!$Y176),"")</f>
        <v/>
      </c>
      <c r="AE176" s="7" t="str">
        <f>IFERROR(IF([1]对账明细接口!$AA176=0,"",[1]对账明细接口!$AA176),"")</f>
        <v/>
      </c>
      <c r="AF176" s="7" t="str">
        <f>IFERROR(IF([1]对账明细接口!$AB176=0,"",[1]对账明细接口!$AB176),"")</f>
        <v/>
      </c>
      <c r="AG176" s="7" t="str">
        <f>IFERROR(IF([1]对账明细接口!$AC176=0,"",[1]对账明细接口!$AC176),"")</f>
        <v/>
      </c>
      <c r="AH176" s="7" t="str">
        <f>IFERROR(IF([1]对账明细接口!$AD176=0,"",[1]对账明细接口!$AD176),"")</f>
        <v/>
      </c>
      <c r="AI176" s="7" t="str">
        <f>IFERROR(IF([1]对账明细接口!$AE176=0,"",[1]对账明细接口!$AE176),"")</f>
        <v/>
      </c>
      <c r="AJ176" s="7" t="str">
        <f>IFERROR(IF([1]对账明细接口!$AF176=0,"",[1]对账明细接口!$AF176),"")</f>
        <v/>
      </c>
    </row>
    <row r="177" ht="14.25" customHeight="1" spans="1:36">
      <c r="A177" s="14">
        <v>177</v>
      </c>
      <c r="B177" s="15">
        <f>IFERROR(IF([1]对账明细接口!$B$177=0,"",[1]对账明细接口!$B$177),"")</f>
        <v>46275</v>
      </c>
      <c r="C177" s="16" t="str">
        <f>IFERROR(IF([1]对账明细接口!$C$177=0,"",[1]对账明细接口!$C$177),"")</f>
        <v>王照雪</v>
      </c>
      <c r="D177" s="16" t="str">
        <f>IFERROR(IF([1]对账明细接口!$D$177=0,"",[1]对账明细接口!$D$177),"")</f>
        <v>原料入库</v>
      </c>
      <c r="E177" s="16" t="str">
        <f>IFERROR(IF([1]对账明细接口!$E$177=0,"",[1]对账明细接口!$E$177),"")</f>
        <v>NO:0000775</v>
      </c>
      <c r="F177" s="16" t="str">
        <f>IFERROR(IF([1]对账明细接口!$F$177=0,"",[1]对账明细接口!$F$177),"")</f>
        <v>香梨</v>
      </c>
      <c r="G177" s="16" t="str">
        <f>IFERROR(IF([1]对账明细接口!$G$177=0,"",[1]对账明细接口!$G$177),"")</f>
        <v>香梨一级</v>
      </c>
      <c r="H177" s="17">
        <f>IFERROR(IF([1]对账明细接口!$H$177=0,"",[1]对账明细接口!$H$177),"")</f>
        <v>196</v>
      </c>
      <c r="I177" s="16" t="str">
        <f>IFERROR(IF([1]对账明细接口!$I$177=0,"",[1]对账明细接口!$I$177),"")</f>
        <v>筐</v>
      </c>
      <c r="J177" s="18">
        <f>IFERROR(IF([1]对账明细接口!$J$177=0,"",[1]对账明细接口!$J$177),"")</f>
        <v>3626</v>
      </c>
      <c r="K177" s="18" t="str">
        <f>IFERROR(IF([1]对账明细接口!$K$177=0,"",[1]对账明细接口!$K$177),"")</f>
        <v/>
      </c>
      <c r="L177" s="16" t="str">
        <f>IFERROR(IF([1]对账明细接口!$L$177=0,"",[1]对账明细接口!$L$177),"")</f>
        <v/>
      </c>
      <c r="M177" s="16" t="str">
        <f>IFERROR(IF([1]对账明细接口!$M$177=0,"",[1]对账明细接口!$M$177),"")</f>
        <v/>
      </c>
      <c r="N177" s="19">
        <f t="shared" si="4"/>
        <v>1</v>
      </c>
      <c r="O177" s="19">
        <f t="shared" si="5"/>
        <v>174</v>
      </c>
      <c r="S177" s="20" t="str">
        <f>IFERROR(IF([1]对账明细接口!$N177=0,"",[1]对账明细接口!$N177),"")</f>
        <v>公司一次性筐</v>
      </c>
      <c r="T177" s="21" t="str">
        <f>IFERROR(IF([1]对账明细接口!$O177=0,"",[1]对账明细接口!$O177),"")</f>
        <v/>
      </c>
      <c r="U177" s="21" t="str">
        <f>IFERROR(IF([1]对账明细接口!$P177=0,"",[1]对账明细接口!$P177),"")</f>
        <v/>
      </c>
      <c r="V177" s="21">
        <f>IFERROR(IF([1]对账明细接口!$Q177=0,"",[1]对账明细接口!$Q177),"")</f>
        <v>196</v>
      </c>
      <c r="W177" s="20" t="str">
        <f>IFERROR(IF([1]对账明细接口!$R177=0,"",[1]对账明细接口!$R177),"")</f>
        <v>豫L*88X19</v>
      </c>
      <c r="X177" s="20" t="str">
        <f>IFERROR(IF([1]对账明细接口!$S177=0,"",[1]对账明细接口!$S177),"")</f>
        <v>公司筐</v>
      </c>
      <c r="Y177" s="20" t="str">
        <f>IFERROR(IF([1]对账明细接口!$T177=0,"",[1]对账明细接口!$T177),"")</f>
        <v/>
      </c>
      <c r="Z177" s="24" t="str">
        <f>IFERROR(IF([1]对账明细接口!$U177=0,"",[1]对账明细接口!$U177),"")</f>
        <v/>
      </c>
      <c r="AA177" s="24" t="str">
        <f>IFERROR(IF([1]对账明细接口!$V177=0,"",[1]对账明细接口!$V177),"")</f>
        <v/>
      </c>
      <c r="AB177" s="20" t="str">
        <f>IFERROR(IF([1]对账明细接口!$W177=0,"",[1]对账明细接口!$W177),"")</f>
        <v/>
      </c>
      <c r="AC177" s="7" t="str">
        <f>IFERROR(IF([1]对账明细接口!$X177=0,"",[1]对账明细接口!$X177),"")</f>
        <v/>
      </c>
      <c r="AD177" s="7" t="str">
        <f>IFERROR(IF([1]对账明细接口!$Y177=0,"",[1]对账明细接口!$Y177),"")</f>
        <v/>
      </c>
      <c r="AE177" s="7" t="str">
        <f>IFERROR(IF([1]对账明细接口!$AA177=0,"",[1]对账明细接口!$AA177),"")</f>
        <v/>
      </c>
      <c r="AF177" s="7" t="str">
        <f>IFERROR(IF([1]对账明细接口!$AB177=0,"",[1]对账明细接口!$AB177),"")</f>
        <v/>
      </c>
      <c r="AG177" s="7" t="str">
        <f>IFERROR(IF([1]对账明细接口!$AC177=0,"",[1]对账明细接口!$AC177),"")</f>
        <v/>
      </c>
      <c r="AH177" s="7" t="str">
        <f>IFERROR(IF([1]对账明细接口!$AD177=0,"",[1]对账明细接口!$AD177),"")</f>
        <v/>
      </c>
      <c r="AI177" s="7" t="str">
        <f>IFERROR(IF([1]对账明细接口!$AE177=0,"",[1]对账明细接口!$AE177),"")</f>
        <v/>
      </c>
      <c r="AJ177" s="7" t="str">
        <f>IFERROR(IF([1]对账明细接口!$AF177=0,"",[1]对账明细接口!$AF177),"")</f>
        <v/>
      </c>
    </row>
    <row r="178" ht="14.25" customHeight="1" spans="1:36">
      <c r="A178" s="14">
        <v>178</v>
      </c>
      <c r="B178" s="15">
        <f>IFERROR(IF([1]对账明细接口!$B$178=0,"",[1]对账明细接口!$B$178),"")</f>
        <v>46275</v>
      </c>
      <c r="C178" s="16" t="str">
        <f>IFERROR(IF([1]对账明细接口!$C$178=0,"",[1]对账明细接口!$C$178),"")</f>
        <v>王照雪</v>
      </c>
      <c r="D178" s="16" t="str">
        <f>IFERROR(IF([1]对账明细接口!$D$178=0,"",[1]对账明细接口!$D$178),"")</f>
        <v>原料入库</v>
      </c>
      <c r="E178" s="16" t="str">
        <f>IFERROR(IF([1]对账明细接口!$E$178=0,"",[1]对账明细接口!$E$178),"")</f>
        <v>NO:0000775</v>
      </c>
      <c r="F178" s="16" t="str">
        <f>IFERROR(IF([1]对账明细接口!$F$178=0,"",[1]对账明细接口!$F$178),"")</f>
        <v>香梨</v>
      </c>
      <c r="G178" s="16" t="str">
        <f>IFERROR(IF([1]对账明细接口!$G$178=0,"",[1]对账明细接口!$G$178),"")</f>
        <v>香梨副特</v>
      </c>
      <c r="H178" s="17">
        <f>IFERROR(IF([1]对账明细接口!$H$178=0,"",[1]对账明细接口!$H$178),"")</f>
        <v>133</v>
      </c>
      <c r="I178" s="16" t="str">
        <f>IFERROR(IF([1]对账明细接口!$I$178=0,"",[1]对账明细接口!$I$178),"")</f>
        <v>筐</v>
      </c>
      <c r="J178" s="18">
        <f>IFERROR(IF([1]对账明细接口!$J$178=0,"",[1]对账明细接口!$J$178),"")</f>
        <v>2460.5</v>
      </c>
      <c r="K178" s="18" t="str">
        <f>IFERROR(IF([1]对账明细接口!$K$178=0,"",[1]对账明细接口!$K$178),"")</f>
        <v/>
      </c>
      <c r="L178" s="16" t="str">
        <f>IFERROR(IF([1]对账明细接口!$L$178=0,"",[1]对账明细接口!$L$178),"")</f>
        <v/>
      </c>
      <c r="M178" s="16" t="str">
        <f>IFERROR(IF([1]对账明细接口!$M$178=0,"",[1]对账明细接口!$M$178),"")</f>
        <v/>
      </c>
      <c r="N178" s="19">
        <f t="shared" si="4"/>
        <v>1</v>
      </c>
      <c r="O178" s="19">
        <f t="shared" si="5"/>
        <v>175</v>
      </c>
      <c r="S178" s="20" t="str">
        <f>IFERROR(IF([1]对账明细接口!$N178=0,"",[1]对账明细接口!$N178),"")</f>
        <v>公司一次性筐</v>
      </c>
      <c r="T178" s="21" t="str">
        <f>IFERROR(IF([1]对账明细接口!$O178=0,"",[1]对账明细接口!$O178),"")</f>
        <v/>
      </c>
      <c r="U178" s="21" t="str">
        <f>IFERROR(IF([1]对账明细接口!$P178=0,"",[1]对账明细接口!$P178),"")</f>
        <v/>
      </c>
      <c r="V178" s="21">
        <f>IFERROR(IF([1]对账明细接口!$Q178=0,"",[1]对账明细接口!$Q178),"")</f>
        <v>133</v>
      </c>
      <c r="W178" s="20" t="str">
        <f>IFERROR(IF([1]对账明细接口!$R178=0,"",[1]对账明细接口!$R178),"")</f>
        <v>豫L*88X19</v>
      </c>
      <c r="X178" s="20" t="str">
        <f>IFERROR(IF([1]对账明细接口!$S178=0,"",[1]对账明细接口!$S178),"")</f>
        <v>公司筐</v>
      </c>
      <c r="Y178" s="20" t="str">
        <f>IFERROR(IF([1]对账明细接口!$T178=0,"",[1]对账明细接口!$T178),"")</f>
        <v/>
      </c>
      <c r="Z178" s="24" t="str">
        <f>IFERROR(IF([1]对账明细接口!$U178=0,"",[1]对账明细接口!$U178),"")</f>
        <v/>
      </c>
      <c r="AA178" s="24" t="str">
        <f>IFERROR(IF([1]对账明细接口!$V178=0,"",[1]对账明细接口!$V178),"")</f>
        <v/>
      </c>
      <c r="AB178" s="20" t="str">
        <f>IFERROR(IF([1]对账明细接口!$W178=0,"",[1]对账明细接口!$W178),"")</f>
        <v/>
      </c>
      <c r="AC178" s="7" t="str">
        <f>IFERROR(IF([1]对账明细接口!$X178=0,"",[1]对账明细接口!$X178),"")</f>
        <v/>
      </c>
      <c r="AD178" s="7" t="str">
        <f>IFERROR(IF([1]对账明细接口!$Y178=0,"",[1]对账明细接口!$Y178),"")</f>
        <v/>
      </c>
      <c r="AE178" s="7" t="str">
        <f>IFERROR(IF([1]对账明细接口!$AA178=0,"",[1]对账明细接口!$AA178),"")</f>
        <v/>
      </c>
      <c r="AF178" s="7" t="str">
        <f>IFERROR(IF([1]对账明细接口!$AB178=0,"",[1]对账明细接口!$AB178),"")</f>
        <v/>
      </c>
      <c r="AG178" s="7" t="str">
        <f>IFERROR(IF([1]对账明细接口!$AC178=0,"",[1]对账明细接口!$AC178),"")</f>
        <v/>
      </c>
      <c r="AH178" s="7" t="str">
        <f>IFERROR(IF([1]对账明细接口!$AD178=0,"",[1]对账明细接口!$AD178),"")</f>
        <v/>
      </c>
      <c r="AI178" s="7" t="str">
        <f>IFERROR(IF([1]对账明细接口!$AE178=0,"",[1]对账明细接口!$AE178),"")</f>
        <v/>
      </c>
      <c r="AJ178" s="7" t="str">
        <f>IFERROR(IF([1]对账明细接口!$AF178=0,"",[1]对账明细接口!$AF178),"")</f>
        <v/>
      </c>
    </row>
    <row r="179" ht="14.25" customHeight="1" spans="1:36">
      <c r="A179" s="14">
        <v>179</v>
      </c>
      <c r="B179" s="15">
        <f>IFERROR(IF([1]对账明细接口!$B$179=0,"",[1]对账明细接口!$B$179),"")</f>
        <v>46275</v>
      </c>
      <c r="C179" s="16" t="str">
        <f>IFERROR(IF([1]对账明细接口!$C$179=0,"",[1]对账明细接口!$C$179),"")</f>
        <v>热合曼</v>
      </c>
      <c r="D179" s="16" t="str">
        <f>IFERROR(IF([1]对账明细接口!$D$179=0,"",[1]对账明细接口!$D$179),"")</f>
        <v>原料入库</v>
      </c>
      <c r="E179" s="16" t="str">
        <f>IFERROR(IF([1]对账明细接口!$E$179=0,"",[1]对账明细接口!$E$179),"")</f>
        <v>NO:0000776</v>
      </c>
      <c r="F179" s="16" t="str">
        <f>IFERROR(IF([1]对账明细接口!$F$179=0,"",[1]对账明细接口!$F$179),"")</f>
        <v>香梨</v>
      </c>
      <c r="G179" s="16" t="str">
        <f>IFERROR(IF([1]对账明细接口!$G$179=0,"",[1]对账明细接口!$G$179),"")</f>
        <v>香梨一级</v>
      </c>
      <c r="H179" s="17">
        <f>IFERROR(IF([1]对账明细接口!$H$179=0,"",[1]对账明细接口!$H$179),"")</f>
        <v>220</v>
      </c>
      <c r="I179" s="16" t="str">
        <f>IFERROR(IF([1]对账明细接口!$I$179=0,"",[1]对账明细接口!$I$179),"")</f>
        <v>筐</v>
      </c>
      <c r="J179" s="18">
        <f>IFERROR(IF([1]对账明细接口!$J$179=0,"",[1]对账明细接口!$J$179),"")</f>
        <v>4026</v>
      </c>
      <c r="K179" s="18" t="str">
        <f>IFERROR(IF([1]对账明细接口!$K$179=0,"",[1]对账明细接口!$K$179),"")</f>
        <v/>
      </c>
      <c r="L179" s="16" t="str">
        <f>IFERROR(IF([1]对账明细接口!$L$179=0,"",[1]对账明细接口!$L$179),"")</f>
        <v/>
      </c>
      <c r="M179" s="16" t="str">
        <f>IFERROR(IF([1]对账明细接口!$M$179=0,"",[1]对账明细接口!$M$179),"")</f>
        <v/>
      </c>
      <c r="N179" s="19">
        <f t="shared" si="4"/>
        <v>1</v>
      </c>
      <c r="O179" s="19">
        <f t="shared" si="5"/>
        <v>176</v>
      </c>
      <c r="S179" s="20" t="str">
        <f>IFERROR(IF([1]对账明细接口!$N179=0,"",[1]对账明细接口!$N179),"")</f>
        <v>公司红周转筐</v>
      </c>
      <c r="T179" s="21" t="str">
        <f>IFERROR(IF([1]对账明细接口!$O179=0,"",[1]对账明细接口!$O179),"")</f>
        <v/>
      </c>
      <c r="U179" s="21" t="str">
        <f>IFERROR(IF([1]对账明细接口!$P179=0,"",[1]对账明细接口!$P179),"")</f>
        <v/>
      </c>
      <c r="V179" s="21">
        <f>IFERROR(IF([1]对账明细接口!$Q179=0,"",[1]对账明细接口!$Q179),"")</f>
        <v>220</v>
      </c>
      <c r="W179" s="20" t="str">
        <f>IFERROR(IF([1]对账明细接口!$R179=0,"",[1]对账明细接口!$R179),"")</f>
        <v>新A*G0554</v>
      </c>
      <c r="X179" s="20" t="str">
        <f>IFERROR(IF([1]对账明细接口!$S179=0,"",[1]对账明细接口!$S179),"")</f>
        <v>公司筐</v>
      </c>
      <c r="Y179" s="20" t="str">
        <f>IFERROR(IF([1]对账明细接口!$T179=0,"",[1]对账明细接口!$T179),"")</f>
        <v/>
      </c>
      <c r="Z179" s="24" t="str">
        <f>IFERROR(IF([1]对账明细接口!$U179=0,"",[1]对账明细接口!$U179),"")</f>
        <v/>
      </c>
      <c r="AA179" s="24" t="str">
        <f>IFERROR(IF([1]对账明细接口!$V179=0,"",[1]对账明细接口!$V179),"")</f>
        <v/>
      </c>
      <c r="AB179" s="20" t="str">
        <f>IFERROR(IF([1]对账明细接口!$W179=0,"",[1]对账明细接口!$W179),"")</f>
        <v/>
      </c>
      <c r="AC179" s="7" t="str">
        <f>IFERROR(IF([1]对账明细接口!$X179=0,"",[1]对账明细接口!$X179),"")</f>
        <v/>
      </c>
      <c r="AD179" s="7" t="str">
        <f>IFERROR(IF([1]对账明细接口!$Y179=0,"",[1]对账明细接口!$Y179),"")</f>
        <v/>
      </c>
      <c r="AE179" s="7" t="str">
        <f>IFERROR(IF([1]对账明细接口!$AA179=0,"",[1]对账明细接口!$AA179),"")</f>
        <v/>
      </c>
      <c r="AF179" s="7" t="str">
        <f>IFERROR(IF([1]对账明细接口!$AB179=0,"",[1]对账明细接口!$AB179),"")</f>
        <v/>
      </c>
      <c r="AG179" s="7" t="str">
        <f>IFERROR(IF([1]对账明细接口!$AC179=0,"",[1]对账明细接口!$AC179),"")</f>
        <v/>
      </c>
      <c r="AH179" s="7" t="str">
        <f>IFERROR(IF([1]对账明细接口!$AD179=0,"",[1]对账明细接口!$AD179),"")</f>
        <v/>
      </c>
      <c r="AI179" s="7" t="str">
        <f>IFERROR(IF([1]对账明细接口!$AE179=0,"",[1]对账明细接口!$AE179),"")</f>
        <v/>
      </c>
      <c r="AJ179" s="7" t="str">
        <f>IFERROR(IF([1]对账明细接口!$AF179=0,"",[1]对账明细接口!$AF179),"")</f>
        <v/>
      </c>
    </row>
    <row r="180" ht="14.25" customHeight="1" spans="1:36">
      <c r="A180" s="14">
        <v>180</v>
      </c>
      <c r="B180" s="15">
        <f>IFERROR(IF([1]对账明细接口!$B$180=0,"",[1]对账明细接口!$B$180),"")</f>
        <v>46275</v>
      </c>
      <c r="C180" s="16" t="str">
        <f>IFERROR(IF([1]对账明细接口!$C$180=0,"",[1]对账明细接口!$C$180),"")</f>
        <v>热合曼</v>
      </c>
      <c r="D180" s="16" t="str">
        <f>IFERROR(IF([1]对账明细接口!$D$180=0,"",[1]对账明细接口!$D$180),"")</f>
        <v>原料入库</v>
      </c>
      <c r="E180" s="16" t="str">
        <f>IFERROR(IF([1]对账明细接口!$E$180=0,"",[1]对账明细接口!$E$180),"")</f>
        <v>NO:0000776</v>
      </c>
      <c r="F180" s="16" t="str">
        <f>IFERROR(IF([1]对账明细接口!$F$180=0,"",[1]对账明细接口!$F$180),"")</f>
        <v>香梨</v>
      </c>
      <c r="G180" s="16" t="str">
        <f>IFERROR(IF([1]对账明细接口!$G$180=0,"",[1]对账明细接口!$G$180),"")</f>
        <v>香梨二级</v>
      </c>
      <c r="H180" s="17">
        <f>IFERROR(IF([1]对账明细接口!$H$180=0,"",[1]对账明细接口!$H$180),"")</f>
        <v>54</v>
      </c>
      <c r="I180" s="16" t="str">
        <f>IFERROR(IF([1]对账明细接口!$I$180=0,"",[1]对账明细接口!$I$180),"")</f>
        <v>筐</v>
      </c>
      <c r="J180" s="18">
        <f>IFERROR(IF([1]对账明细接口!$J$180=0,"",[1]对账明细接口!$J$180),"")</f>
        <v>1204.2</v>
      </c>
      <c r="K180" s="18" t="str">
        <f>IFERROR(IF([1]对账明细接口!$K$180=0,"",[1]对账明细接口!$K$180),"")</f>
        <v/>
      </c>
      <c r="L180" s="16" t="str">
        <f>IFERROR(IF([1]对账明细接口!$L$180=0,"",[1]对账明细接口!$L$180),"")</f>
        <v/>
      </c>
      <c r="M180" s="16" t="str">
        <f>IFERROR(IF([1]对账明细接口!$M$180=0,"",[1]对账明细接口!$M$180),"")</f>
        <v/>
      </c>
      <c r="N180" s="19">
        <f t="shared" si="4"/>
        <v>1</v>
      </c>
      <c r="O180" s="19">
        <f t="shared" si="5"/>
        <v>177</v>
      </c>
      <c r="S180" s="20" t="str">
        <f>IFERROR(IF([1]对账明细接口!$N180=0,"",[1]对账明细接口!$N180),"")</f>
        <v>公司红周转筐</v>
      </c>
      <c r="T180" s="21" t="str">
        <f>IFERROR(IF([1]对账明细接口!$O180=0,"",[1]对账明细接口!$O180),"")</f>
        <v/>
      </c>
      <c r="U180" s="21" t="str">
        <f>IFERROR(IF([1]对账明细接口!$P180=0,"",[1]对账明细接口!$P180),"")</f>
        <v/>
      </c>
      <c r="V180" s="21">
        <f>IFERROR(IF([1]对账明细接口!$Q180=0,"",[1]对账明细接口!$Q180),"")</f>
        <v>54</v>
      </c>
      <c r="W180" s="20" t="str">
        <f>IFERROR(IF([1]对账明细接口!$R180=0,"",[1]对账明细接口!$R180),"")</f>
        <v>新A*G0554</v>
      </c>
      <c r="X180" s="20" t="str">
        <f>IFERROR(IF([1]对账明细接口!$S180=0,"",[1]对账明细接口!$S180),"")</f>
        <v>公司筐</v>
      </c>
      <c r="Y180" s="20" t="str">
        <f>IFERROR(IF([1]对账明细接口!$T180=0,"",[1]对账明细接口!$T180),"")</f>
        <v/>
      </c>
      <c r="Z180" s="24" t="str">
        <f>IFERROR(IF([1]对账明细接口!$U180=0,"",[1]对账明细接口!$U180),"")</f>
        <v/>
      </c>
      <c r="AA180" s="24" t="str">
        <f>IFERROR(IF([1]对账明细接口!$V180=0,"",[1]对账明细接口!$V180),"")</f>
        <v/>
      </c>
      <c r="AB180" s="20" t="str">
        <f>IFERROR(IF([1]对账明细接口!$W180=0,"",[1]对账明细接口!$W180),"")</f>
        <v/>
      </c>
      <c r="AC180" s="7" t="str">
        <f>IFERROR(IF([1]对账明细接口!$X180=0,"",[1]对账明细接口!$X180),"")</f>
        <v/>
      </c>
      <c r="AD180" s="7" t="str">
        <f>IFERROR(IF([1]对账明细接口!$Y180=0,"",[1]对账明细接口!$Y180),"")</f>
        <v/>
      </c>
      <c r="AE180" s="7" t="str">
        <f>IFERROR(IF([1]对账明细接口!$AA180=0,"",[1]对账明细接口!$AA180),"")</f>
        <v/>
      </c>
      <c r="AF180" s="7" t="str">
        <f>IFERROR(IF([1]对账明细接口!$AB180=0,"",[1]对账明细接口!$AB180),"")</f>
        <v/>
      </c>
      <c r="AG180" s="7" t="str">
        <f>IFERROR(IF([1]对账明细接口!$AC180=0,"",[1]对账明细接口!$AC180),"")</f>
        <v/>
      </c>
      <c r="AH180" s="7" t="str">
        <f>IFERROR(IF([1]对账明细接口!$AD180=0,"",[1]对账明细接口!$AD180),"")</f>
        <v/>
      </c>
      <c r="AI180" s="7" t="str">
        <f>IFERROR(IF([1]对账明细接口!$AE180=0,"",[1]对账明细接口!$AE180),"")</f>
        <v/>
      </c>
      <c r="AJ180" s="7" t="str">
        <f>IFERROR(IF([1]对账明细接口!$AF180=0,"",[1]对账明细接口!$AF180),"")</f>
        <v/>
      </c>
    </row>
    <row r="181" ht="14.25" customHeight="1" spans="1:36">
      <c r="A181" s="14">
        <v>181</v>
      </c>
      <c r="B181" s="15">
        <f>IFERROR(IF([1]对账明细接口!$B$181=0,"",[1]对账明细接口!$B$181),"")</f>
        <v>46275</v>
      </c>
      <c r="C181" s="16" t="str">
        <f>IFERROR(IF([1]对账明细接口!$C$181=0,"",[1]对账明细接口!$C$181),"")</f>
        <v>热合曼</v>
      </c>
      <c r="D181" s="16" t="str">
        <f>IFERROR(IF([1]对账明细接口!$D$181=0,"",[1]对账明细接口!$D$181),"")</f>
        <v>原料入库</v>
      </c>
      <c r="E181" s="16" t="str">
        <f>IFERROR(IF([1]对账明细接口!$E$181=0,"",[1]对账明细接口!$E$181),"")</f>
        <v>NO:0000776</v>
      </c>
      <c r="F181" s="16" t="str">
        <f>IFERROR(IF([1]对账明细接口!$F$181=0,"",[1]对账明细接口!$F$181),"")</f>
        <v>香梨</v>
      </c>
      <c r="G181" s="16" t="str">
        <f>IFERROR(IF([1]对账明细接口!$G$181=0,"",[1]对账明细接口!$G$181),"")</f>
        <v>香梨副特</v>
      </c>
      <c r="H181" s="17">
        <f>IFERROR(IF([1]对账明细接口!$H$181=0,"",[1]对账明细接口!$H$181),"")</f>
        <v>305</v>
      </c>
      <c r="I181" s="16" t="str">
        <f>IFERROR(IF([1]对账明细接口!$I$181=0,"",[1]对账明细接口!$I$181),"")</f>
        <v>筐</v>
      </c>
      <c r="J181" s="18">
        <f>IFERROR(IF([1]对账明细接口!$J$181=0,"",[1]对账明细接口!$J$181),"")</f>
        <v>5886.5</v>
      </c>
      <c r="K181" s="18" t="str">
        <f>IFERROR(IF([1]对账明细接口!$K$181=0,"",[1]对账明细接口!$K$181),"")</f>
        <v/>
      </c>
      <c r="L181" s="16" t="str">
        <f>IFERROR(IF([1]对账明细接口!$L$181=0,"",[1]对账明细接口!$L$181),"")</f>
        <v/>
      </c>
      <c r="M181" s="16" t="str">
        <f>IFERROR(IF([1]对账明细接口!$M$181=0,"",[1]对账明细接口!$M$181),"")</f>
        <v/>
      </c>
      <c r="N181" s="19">
        <f t="shared" si="4"/>
        <v>1</v>
      </c>
      <c r="O181" s="19">
        <f t="shared" si="5"/>
        <v>178</v>
      </c>
      <c r="S181" s="20" t="str">
        <f>IFERROR(IF([1]对账明细接口!$N181=0,"",[1]对账明细接口!$N181),"")</f>
        <v>公司红周转筐</v>
      </c>
      <c r="T181" s="21" t="str">
        <f>IFERROR(IF([1]对账明细接口!$O181=0,"",[1]对账明细接口!$O181),"")</f>
        <v/>
      </c>
      <c r="U181" s="21" t="str">
        <f>IFERROR(IF([1]对账明细接口!$P181=0,"",[1]对账明细接口!$P181),"")</f>
        <v/>
      </c>
      <c r="V181" s="21">
        <f>IFERROR(IF([1]对账明细接口!$Q181=0,"",[1]对账明细接口!$Q181),"")</f>
        <v>305</v>
      </c>
      <c r="W181" s="20" t="str">
        <f>IFERROR(IF([1]对账明细接口!$R181=0,"",[1]对账明细接口!$R181),"")</f>
        <v>新A*G0554</v>
      </c>
      <c r="X181" s="20" t="str">
        <f>IFERROR(IF([1]对账明细接口!$S181=0,"",[1]对账明细接口!$S181),"")</f>
        <v>公司筐</v>
      </c>
      <c r="Y181" s="20" t="str">
        <f>IFERROR(IF([1]对账明细接口!$T181=0,"",[1]对账明细接口!$T181),"")</f>
        <v/>
      </c>
      <c r="Z181" s="24" t="str">
        <f>IFERROR(IF([1]对账明细接口!$U181=0,"",[1]对账明细接口!$U181),"")</f>
        <v/>
      </c>
      <c r="AA181" s="24" t="str">
        <f>IFERROR(IF([1]对账明细接口!$V181=0,"",[1]对账明细接口!$V181),"")</f>
        <v/>
      </c>
      <c r="AB181" s="20" t="str">
        <f>IFERROR(IF([1]对账明细接口!$W181=0,"",[1]对账明细接口!$W181),"")</f>
        <v/>
      </c>
      <c r="AC181" s="7" t="str">
        <f>IFERROR(IF([1]对账明细接口!$X181=0,"",[1]对账明细接口!$X181),"")</f>
        <v/>
      </c>
      <c r="AD181" s="7" t="str">
        <f>IFERROR(IF([1]对账明细接口!$Y181=0,"",[1]对账明细接口!$Y181),"")</f>
        <v/>
      </c>
      <c r="AE181" s="7" t="str">
        <f>IFERROR(IF([1]对账明细接口!$AA181=0,"",[1]对账明细接口!$AA181),"")</f>
        <v/>
      </c>
      <c r="AF181" s="7" t="str">
        <f>IFERROR(IF([1]对账明细接口!$AB181=0,"",[1]对账明细接口!$AB181),"")</f>
        <v/>
      </c>
      <c r="AG181" s="7" t="str">
        <f>IFERROR(IF([1]对账明细接口!$AC181=0,"",[1]对账明细接口!$AC181),"")</f>
        <v/>
      </c>
      <c r="AH181" s="7" t="str">
        <f>IFERROR(IF([1]对账明细接口!$AD181=0,"",[1]对账明细接口!$AD181),"")</f>
        <v/>
      </c>
      <c r="AI181" s="7" t="str">
        <f>IFERROR(IF([1]对账明细接口!$AE181=0,"",[1]对账明细接口!$AE181),"")</f>
        <v/>
      </c>
      <c r="AJ181" s="7" t="str">
        <f>IFERROR(IF([1]对账明细接口!$AF181=0,"",[1]对账明细接口!$AF181),"")</f>
        <v/>
      </c>
    </row>
    <row r="182" ht="14.25" customHeight="1" spans="1:36">
      <c r="A182" s="14">
        <v>182</v>
      </c>
      <c r="B182" s="15">
        <f>IFERROR(IF([1]对账明细接口!$B$182=0,"",[1]对账明细接口!$B$182),"")</f>
        <v>46276</v>
      </c>
      <c r="C182" s="16" t="str">
        <f>IFERROR(IF([1]对账明细接口!$C$182=0,"",[1]对账明细接口!$C$182),"")</f>
        <v>马锦祥</v>
      </c>
      <c r="D182" s="16" t="str">
        <f>IFERROR(IF([1]对账明细接口!$D$182=0,"",[1]对账明细接口!$D$182),"")</f>
        <v>原料入库</v>
      </c>
      <c r="E182" s="16" t="str">
        <f>IFERROR(IF([1]对账明细接口!$E$182=0,"",[1]对账明细接口!$E$182),"")</f>
        <v>NO:0000780</v>
      </c>
      <c r="F182" s="16" t="str">
        <f>IFERROR(IF([1]对账明细接口!$F$182=0,"",[1]对账明细接口!$F$182),"")</f>
        <v>香梨</v>
      </c>
      <c r="G182" s="16" t="str">
        <f>IFERROR(IF([1]对账明细接口!$G$182=0,"",[1]对账明细接口!$G$182),"")</f>
        <v>香梨一级</v>
      </c>
      <c r="H182" s="17">
        <f>IFERROR(IF([1]对账明细接口!$H$182=0,"",[1]对账明细接口!$H$182),"")</f>
        <v>320</v>
      </c>
      <c r="I182" s="16" t="str">
        <f>IFERROR(IF([1]对账明细接口!$I$182=0,"",[1]对账明细接口!$I$182),"")</f>
        <v>筐</v>
      </c>
      <c r="J182" s="18">
        <f>IFERROR(IF([1]对账明细接口!$J$182=0,"",[1]对账明细接口!$J$182),"")</f>
        <v>5856</v>
      </c>
      <c r="K182" s="18" t="str">
        <f>IFERROR(IF([1]对账明细接口!$K$182=0,"",[1]对账明细接口!$K$182),"")</f>
        <v/>
      </c>
      <c r="L182" s="16" t="str">
        <f>IFERROR(IF([1]对账明细接口!$L$182=0,"",[1]对账明细接口!$L$182),"")</f>
        <v/>
      </c>
      <c r="M182" s="16" t="str">
        <f>IFERROR(IF([1]对账明细接口!$M$182=0,"",[1]对账明细接口!$M$182),"")</f>
        <v/>
      </c>
      <c r="N182" s="19">
        <f t="shared" si="4"/>
        <v>1</v>
      </c>
      <c r="O182" s="19">
        <f t="shared" si="5"/>
        <v>179</v>
      </c>
      <c r="S182" s="20" t="str">
        <f>IFERROR(IF([1]对账明细接口!$N182=0,"",[1]对账明细接口!$N182),"")</f>
        <v>公司杂周转筐</v>
      </c>
      <c r="T182" s="21" t="str">
        <f>IFERROR(IF([1]对账明细接口!$O182=0,"",[1]对账明细接口!$O182),"")</f>
        <v/>
      </c>
      <c r="U182" s="21" t="str">
        <f>IFERROR(IF([1]对账明细接口!$P182=0,"",[1]对账明细接口!$P182),"")</f>
        <v/>
      </c>
      <c r="V182" s="21">
        <f>IFERROR(IF([1]对账明细接口!$Q182=0,"",[1]对账明细接口!$Q182),"")</f>
        <v>320</v>
      </c>
      <c r="W182" s="20" t="str">
        <f>IFERROR(IF([1]对账明细接口!$R182=0,"",[1]对账明细接口!$R182),"")</f>
        <v>新N*K7V85</v>
      </c>
      <c r="X182" s="20" t="str">
        <f>IFERROR(IF([1]对账明细接口!$S182=0,"",[1]对账明细接口!$S182),"")</f>
        <v>公司筐</v>
      </c>
      <c r="Y182" s="20" t="str">
        <f>IFERROR(IF([1]对账明细接口!$T182=0,"",[1]对账明细接口!$T182),"")</f>
        <v/>
      </c>
      <c r="Z182" s="24" t="str">
        <f>IFERROR(IF([1]对账明细接口!$U182=0,"",[1]对账明细接口!$U182),"")</f>
        <v/>
      </c>
      <c r="AA182" s="24" t="str">
        <f>IFERROR(IF([1]对账明细接口!$V182=0,"",[1]对账明细接口!$V182),"")</f>
        <v/>
      </c>
      <c r="AB182" s="20" t="str">
        <f>IFERROR(IF([1]对账明细接口!$W182=0,"",[1]对账明细接口!$W182),"")</f>
        <v/>
      </c>
      <c r="AC182" s="7" t="str">
        <f>IFERROR(IF([1]对账明细接口!$X182=0,"",[1]对账明细接口!$X182),"")</f>
        <v/>
      </c>
      <c r="AD182" s="7" t="str">
        <f>IFERROR(IF([1]对账明细接口!$Y182=0,"",[1]对账明细接口!$Y182),"")</f>
        <v/>
      </c>
      <c r="AE182" s="7" t="str">
        <f>IFERROR(IF([1]对账明细接口!$AA182=0,"",[1]对账明细接口!$AA182),"")</f>
        <v/>
      </c>
      <c r="AF182" s="7" t="str">
        <f>IFERROR(IF([1]对账明细接口!$AB182=0,"",[1]对账明细接口!$AB182),"")</f>
        <v/>
      </c>
      <c r="AG182" s="7" t="str">
        <f>IFERROR(IF([1]对账明细接口!$AC182=0,"",[1]对账明细接口!$AC182),"")</f>
        <v/>
      </c>
      <c r="AH182" s="7" t="str">
        <f>IFERROR(IF([1]对账明细接口!$AD182=0,"",[1]对账明细接口!$AD182),"")</f>
        <v/>
      </c>
      <c r="AI182" s="7" t="str">
        <f>IFERROR(IF([1]对账明细接口!$AE182=0,"",[1]对账明细接口!$AE182),"")</f>
        <v/>
      </c>
      <c r="AJ182" s="7" t="str">
        <f>IFERROR(IF([1]对账明细接口!$AF182=0,"",[1]对账明细接口!$AF182),"")</f>
        <v/>
      </c>
    </row>
    <row r="183" ht="14.25" customHeight="1" spans="1:36">
      <c r="A183" s="14">
        <v>183</v>
      </c>
      <c r="B183" s="15">
        <f>IFERROR(IF([1]对账明细接口!$B$183=0,"",[1]对账明细接口!$B$183),"")</f>
        <v>46276</v>
      </c>
      <c r="C183" s="16" t="str">
        <f>IFERROR(IF([1]对账明细接口!$C$183=0,"",[1]对账明细接口!$C$183),"")</f>
        <v>马锦祥</v>
      </c>
      <c r="D183" s="16" t="str">
        <f>IFERROR(IF([1]对账明细接口!$D$183=0,"",[1]对账明细接口!$D$183),"")</f>
        <v>原料入库</v>
      </c>
      <c r="E183" s="16" t="str">
        <f>IFERROR(IF([1]对账明细接口!$E$183=0,"",[1]对账明细接口!$E$183),"")</f>
        <v>NO:0000780</v>
      </c>
      <c r="F183" s="16" t="str">
        <f>IFERROR(IF([1]对账明细接口!$F$183=0,"",[1]对账明细接口!$F$183),"")</f>
        <v>香梨</v>
      </c>
      <c r="G183" s="16" t="str">
        <f>IFERROR(IF([1]对账明细接口!$G$183=0,"",[1]对账明细接口!$G$183),"")</f>
        <v>香梨二级</v>
      </c>
      <c r="H183" s="17">
        <f>IFERROR(IF([1]对账明细接口!$H$183=0,"",[1]对账明细接口!$H$183),"")</f>
        <v>64</v>
      </c>
      <c r="I183" s="16" t="str">
        <f>IFERROR(IF([1]对账明细接口!$I$183=0,"",[1]对账明细接口!$I$183),"")</f>
        <v>筐</v>
      </c>
      <c r="J183" s="18">
        <f>IFERROR(IF([1]对账明细接口!$J$183=0,"",[1]对账明细接口!$J$183),"")</f>
        <v>1427.2</v>
      </c>
      <c r="K183" s="18" t="str">
        <f>IFERROR(IF([1]对账明细接口!$K$183=0,"",[1]对账明细接口!$K$183),"")</f>
        <v/>
      </c>
      <c r="L183" s="16" t="str">
        <f>IFERROR(IF([1]对账明细接口!$L$183=0,"",[1]对账明细接口!$L$183),"")</f>
        <v/>
      </c>
      <c r="M183" s="16" t="str">
        <f>IFERROR(IF([1]对账明细接口!$M$183=0,"",[1]对账明细接口!$M$183),"")</f>
        <v/>
      </c>
      <c r="N183" s="19">
        <f t="shared" si="4"/>
        <v>1</v>
      </c>
      <c r="O183" s="19">
        <f t="shared" si="5"/>
        <v>180</v>
      </c>
      <c r="S183" s="20" t="str">
        <f>IFERROR(IF([1]对账明细接口!$N183=0,"",[1]对账明细接口!$N183),"")</f>
        <v>公司杂周转筐</v>
      </c>
      <c r="T183" s="21" t="str">
        <f>IFERROR(IF([1]对账明细接口!$O183=0,"",[1]对账明细接口!$O183),"")</f>
        <v/>
      </c>
      <c r="U183" s="21" t="str">
        <f>IFERROR(IF([1]对账明细接口!$P183=0,"",[1]对账明细接口!$P183),"")</f>
        <v/>
      </c>
      <c r="V183" s="21">
        <f>IFERROR(IF([1]对账明细接口!$Q183=0,"",[1]对账明细接口!$Q183),"")</f>
        <v>64</v>
      </c>
      <c r="W183" s="20" t="str">
        <f>IFERROR(IF([1]对账明细接口!$R183=0,"",[1]对账明细接口!$R183),"")</f>
        <v>新N*K7V85</v>
      </c>
      <c r="X183" s="20" t="str">
        <f>IFERROR(IF([1]对账明细接口!$S183=0,"",[1]对账明细接口!$S183),"")</f>
        <v>公司筐</v>
      </c>
      <c r="Y183" s="20" t="str">
        <f>IFERROR(IF([1]对账明细接口!$T183=0,"",[1]对账明细接口!$T183),"")</f>
        <v/>
      </c>
      <c r="Z183" s="24" t="str">
        <f>IFERROR(IF([1]对账明细接口!$U183=0,"",[1]对账明细接口!$U183),"")</f>
        <v/>
      </c>
      <c r="AA183" s="24" t="str">
        <f>IFERROR(IF([1]对账明细接口!$V183=0,"",[1]对账明细接口!$V183),"")</f>
        <v/>
      </c>
      <c r="AB183" s="20" t="str">
        <f>IFERROR(IF([1]对账明细接口!$W183=0,"",[1]对账明细接口!$W183),"")</f>
        <v/>
      </c>
      <c r="AC183" s="7" t="str">
        <f>IFERROR(IF([1]对账明细接口!$X183=0,"",[1]对账明细接口!$X183),"")</f>
        <v/>
      </c>
      <c r="AD183" s="7" t="str">
        <f>IFERROR(IF([1]对账明细接口!$Y183=0,"",[1]对账明细接口!$Y183),"")</f>
        <v/>
      </c>
      <c r="AE183" s="7" t="str">
        <f>IFERROR(IF([1]对账明细接口!$AA183=0,"",[1]对账明细接口!$AA183),"")</f>
        <v/>
      </c>
      <c r="AF183" s="7" t="str">
        <f>IFERROR(IF([1]对账明细接口!$AB183=0,"",[1]对账明细接口!$AB183),"")</f>
        <v/>
      </c>
      <c r="AG183" s="7" t="str">
        <f>IFERROR(IF([1]对账明细接口!$AC183=0,"",[1]对账明细接口!$AC183),"")</f>
        <v/>
      </c>
      <c r="AH183" s="7" t="str">
        <f>IFERROR(IF([1]对账明细接口!$AD183=0,"",[1]对账明细接口!$AD183),"")</f>
        <v/>
      </c>
      <c r="AI183" s="7" t="str">
        <f>IFERROR(IF([1]对账明细接口!$AE183=0,"",[1]对账明细接口!$AE183),"")</f>
        <v/>
      </c>
      <c r="AJ183" s="7" t="str">
        <f>IFERROR(IF([1]对账明细接口!$AF183=0,"",[1]对账明细接口!$AF183),"")</f>
        <v/>
      </c>
    </row>
    <row r="184" ht="14.25" customHeight="1" spans="1:36">
      <c r="A184" s="14">
        <v>184</v>
      </c>
      <c r="B184" s="15">
        <f>IFERROR(IF([1]对账明细接口!$B$184=0,"",[1]对账明细接口!$B$184),"")</f>
        <v>46276</v>
      </c>
      <c r="C184" s="16" t="str">
        <f>IFERROR(IF([1]对账明细接口!$C$184=0,"",[1]对账明细接口!$C$184),"")</f>
        <v>马锦祥</v>
      </c>
      <c r="D184" s="16" t="str">
        <f>IFERROR(IF([1]对账明细接口!$D$184=0,"",[1]对账明细接口!$D$184),"")</f>
        <v>原料入库</v>
      </c>
      <c r="E184" s="16" t="str">
        <f>IFERROR(IF([1]对账明细接口!$E$184=0,"",[1]对账明细接口!$E$184),"")</f>
        <v>NO:0000780</v>
      </c>
      <c r="F184" s="16" t="str">
        <f>IFERROR(IF([1]对账明细接口!$F$184=0,"",[1]对账明细接口!$F$184),"")</f>
        <v>香梨</v>
      </c>
      <c r="G184" s="16" t="str">
        <f>IFERROR(IF([1]对账明细接口!$G$184=0,"",[1]对账明细接口!$G$184),"")</f>
        <v>香梨副特</v>
      </c>
      <c r="H184" s="17">
        <f>IFERROR(IF([1]对账明细接口!$H$184=0,"",[1]对账明细接口!$H$184),"")</f>
        <v>16</v>
      </c>
      <c r="I184" s="16" t="str">
        <f>IFERROR(IF([1]对账明细接口!$I$184=0,"",[1]对账明细接口!$I$184),"")</f>
        <v>筐</v>
      </c>
      <c r="J184" s="18">
        <f>IFERROR(IF([1]对账明细接口!$J$184=0,"",[1]对账明细接口!$J$184),"")</f>
        <v>292.8</v>
      </c>
      <c r="K184" s="18" t="str">
        <f>IFERROR(IF([1]对账明细接口!$K$184=0,"",[1]对账明细接口!$K$184),"")</f>
        <v/>
      </c>
      <c r="L184" s="16" t="str">
        <f>IFERROR(IF([1]对账明细接口!$L$184=0,"",[1]对账明细接口!$L$184),"")</f>
        <v/>
      </c>
      <c r="M184" s="16" t="str">
        <f>IFERROR(IF([1]对账明细接口!$M$184=0,"",[1]对账明细接口!$M$184),"")</f>
        <v/>
      </c>
      <c r="N184" s="19">
        <f t="shared" si="4"/>
        <v>1</v>
      </c>
      <c r="O184" s="19">
        <f t="shared" si="5"/>
        <v>181</v>
      </c>
      <c r="S184" s="20" t="str">
        <f>IFERROR(IF([1]对账明细接口!$N184=0,"",[1]对账明细接口!$N184),"")</f>
        <v>公司杂周转筐</v>
      </c>
      <c r="T184" s="21" t="str">
        <f>IFERROR(IF([1]对账明细接口!$O184=0,"",[1]对账明细接口!$O184),"")</f>
        <v/>
      </c>
      <c r="U184" s="21" t="str">
        <f>IFERROR(IF([1]对账明细接口!$P184=0,"",[1]对账明细接口!$P184),"")</f>
        <v/>
      </c>
      <c r="V184" s="21">
        <f>IFERROR(IF([1]对账明细接口!$Q184=0,"",[1]对账明细接口!$Q184),"")</f>
        <v>16</v>
      </c>
      <c r="W184" s="20" t="str">
        <f>IFERROR(IF([1]对账明细接口!$R184=0,"",[1]对账明细接口!$R184),"")</f>
        <v>新N*K7V85</v>
      </c>
      <c r="X184" s="20" t="str">
        <f>IFERROR(IF([1]对账明细接口!$S184=0,"",[1]对账明细接口!$S184),"")</f>
        <v>公司筐</v>
      </c>
      <c r="Y184" s="20" t="str">
        <f>IFERROR(IF([1]对账明细接口!$T184=0,"",[1]对账明细接口!$T184),"")</f>
        <v/>
      </c>
      <c r="Z184" s="24" t="str">
        <f>IFERROR(IF([1]对账明细接口!$U184=0,"",[1]对账明细接口!$U184),"")</f>
        <v/>
      </c>
      <c r="AA184" s="24" t="str">
        <f>IFERROR(IF([1]对账明细接口!$V184=0,"",[1]对账明细接口!$V184),"")</f>
        <v/>
      </c>
      <c r="AB184" s="20" t="str">
        <f>IFERROR(IF([1]对账明细接口!$W184=0,"",[1]对账明细接口!$W184),"")</f>
        <v/>
      </c>
      <c r="AC184" s="7" t="str">
        <f>IFERROR(IF([1]对账明细接口!$X184=0,"",[1]对账明细接口!$X184),"")</f>
        <v/>
      </c>
      <c r="AD184" s="7" t="str">
        <f>IFERROR(IF([1]对账明细接口!$Y184=0,"",[1]对账明细接口!$Y184),"")</f>
        <v/>
      </c>
      <c r="AE184" s="7" t="str">
        <f>IFERROR(IF([1]对账明细接口!$AA184=0,"",[1]对账明细接口!$AA184),"")</f>
        <v/>
      </c>
      <c r="AF184" s="7" t="str">
        <f>IFERROR(IF([1]对账明细接口!$AB184=0,"",[1]对账明细接口!$AB184),"")</f>
        <v/>
      </c>
      <c r="AG184" s="7" t="str">
        <f>IFERROR(IF([1]对账明细接口!$AC184=0,"",[1]对账明细接口!$AC184),"")</f>
        <v/>
      </c>
      <c r="AH184" s="7" t="str">
        <f>IFERROR(IF([1]对账明细接口!$AD184=0,"",[1]对账明细接口!$AD184),"")</f>
        <v/>
      </c>
      <c r="AI184" s="7" t="str">
        <f>IFERROR(IF([1]对账明细接口!$AE184=0,"",[1]对账明细接口!$AE184),"")</f>
        <v/>
      </c>
      <c r="AJ184" s="7" t="str">
        <f>IFERROR(IF([1]对账明细接口!$AF184=0,"",[1]对账明细接口!$AF184),"")</f>
        <v/>
      </c>
    </row>
    <row r="185" ht="14.25" customHeight="1" spans="1:36">
      <c r="A185" s="14">
        <v>185</v>
      </c>
      <c r="B185" s="15">
        <f>IFERROR(IF([1]对账明细接口!$B$185=0,"",[1]对账明细接口!$B$185),"")</f>
        <v>46276</v>
      </c>
      <c r="C185" s="16" t="str">
        <f>IFERROR(IF([1]对账明细接口!$C$185=0,"",[1]对账明细接口!$C$185),"")</f>
        <v>努尔敦</v>
      </c>
      <c r="D185" s="16" t="str">
        <f>IFERROR(IF([1]对账明细接口!$D$185=0,"",[1]对账明细接口!$D$185),"")</f>
        <v>原料入库</v>
      </c>
      <c r="E185" s="16" t="str">
        <f>IFERROR(IF([1]对账明细接口!$E$185=0,"",[1]对账明细接口!$E$185),"")</f>
        <v>NO:0000781</v>
      </c>
      <c r="F185" s="16" t="str">
        <f>IFERROR(IF([1]对账明细接口!$F$185=0,"",[1]对账明细接口!$F$185),"")</f>
        <v>香梨</v>
      </c>
      <c r="G185" s="16" t="str">
        <f>IFERROR(IF([1]对账明细接口!$G$185=0,"",[1]对账明细接口!$G$185),"")</f>
        <v>香梨特级</v>
      </c>
      <c r="H185" s="17">
        <f>IFERROR(IF([1]对账明细接口!$H$185=0,"",[1]对账明细接口!$H$185),"")</f>
        <v>160</v>
      </c>
      <c r="I185" s="16" t="str">
        <f>IFERROR(IF([1]对账明细接口!$I$185=0,"",[1]对账明细接口!$I$185),"")</f>
        <v>筐</v>
      </c>
      <c r="J185" s="18">
        <f>IFERROR(IF([1]对账明细接口!$J$185=0,"",[1]对账明细接口!$J$185),"")</f>
        <v>2928</v>
      </c>
      <c r="K185" s="18" t="str">
        <f>IFERROR(IF([1]对账明细接口!$K$185=0,"",[1]对账明细接口!$K$185),"")</f>
        <v/>
      </c>
      <c r="L185" s="16" t="str">
        <f>IFERROR(IF([1]对账明细接口!$L$185=0,"",[1]对账明细接口!$L$185),"")</f>
        <v/>
      </c>
      <c r="M185" s="16" t="str">
        <f>IFERROR(IF([1]对账明细接口!$M$185=0,"",[1]对账明细接口!$M$185),"")</f>
        <v>有标签</v>
      </c>
      <c r="N185" s="19">
        <f t="shared" si="4"/>
        <v>1</v>
      </c>
      <c r="O185" s="19">
        <f t="shared" si="5"/>
        <v>182</v>
      </c>
      <c r="S185" s="20" t="str">
        <f>IFERROR(IF([1]对账明细接口!$N185=0,"",[1]对账明细接口!$N185),"")</f>
        <v>公司红周转筐</v>
      </c>
      <c r="T185" s="21" t="str">
        <f>IFERROR(IF([1]对账明细接口!$O185=0,"",[1]对账明细接口!$O185),"")</f>
        <v/>
      </c>
      <c r="U185" s="21" t="str">
        <f>IFERROR(IF([1]对账明细接口!$P185=0,"",[1]对账明细接口!$P185),"")</f>
        <v/>
      </c>
      <c r="V185" s="21">
        <f>IFERROR(IF([1]对账明细接口!$Q185=0,"",[1]对账明细接口!$Q185),"")</f>
        <v>160</v>
      </c>
      <c r="W185" s="20" t="str">
        <f>IFERROR(IF([1]对账明细接口!$R185=0,"",[1]对账明细接口!$R185),"")</f>
        <v>新F*75240</v>
      </c>
      <c r="X185" s="20" t="str">
        <f>IFERROR(IF([1]对账明细接口!$S185=0,"",[1]对账明细接口!$S185),"")</f>
        <v>公司筐</v>
      </c>
      <c r="Y185" s="20" t="str">
        <f>IFERROR(IF([1]对账明细接口!$T185=0,"",[1]对账明细接口!$T185),"")</f>
        <v/>
      </c>
      <c r="Z185" s="24" t="str">
        <f>IFERROR(IF([1]对账明细接口!$U185=0,"",[1]对账明细接口!$U185),"")</f>
        <v/>
      </c>
      <c r="AA185" s="24" t="str">
        <f>IFERROR(IF([1]对账明细接口!$V185=0,"",[1]对账明细接口!$V185),"")</f>
        <v/>
      </c>
      <c r="AB185" s="20" t="str">
        <f>IFERROR(IF([1]对账明细接口!$W185=0,"",[1]对账明细接口!$W185),"")</f>
        <v/>
      </c>
      <c r="AC185" s="7" t="str">
        <f>IFERROR(IF([1]对账明细接口!$X185=0,"",[1]对账明细接口!$X185),"")</f>
        <v/>
      </c>
      <c r="AD185" s="7" t="str">
        <f>IFERROR(IF([1]对账明细接口!$Y185=0,"",[1]对账明细接口!$Y185),"")</f>
        <v/>
      </c>
      <c r="AE185" s="7" t="str">
        <f>IFERROR(IF([1]对账明细接口!$AA185=0,"",[1]对账明细接口!$AA185),"")</f>
        <v/>
      </c>
      <c r="AF185" s="7" t="str">
        <f>IFERROR(IF([1]对账明细接口!$AB185=0,"",[1]对账明细接口!$AB185),"")</f>
        <v/>
      </c>
      <c r="AG185" s="7" t="str">
        <f>IFERROR(IF([1]对账明细接口!$AC185=0,"",[1]对账明细接口!$AC185),"")</f>
        <v/>
      </c>
      <c r="AH185" s="7" t="str">
        <f>IFERROR(IF([1]对账明细接口!$AD185=0,"",[1]对账明细接口!$AD185),"")</f>
        <v/>
      </c>
      <c r="AI185" s="7" t="str">
        <f>IFERROR(IF([1]对账明细接口!$AE185=0,"",[1]对账明细接口!$AE185),"")</f>
        <v/>
      </c>
      <c r="AJ185" s="7" t="str">
        <f>IFERROR(IF([1]对账明细接口!$AF185=0,"",[1]对账明细接口!$AF185),"")</f>
        <v/>
      </c>
    </row>
    <row r="186" ht="14.25" customHeight="1" spans="1:36">
      <c r="A186" s="14">
        <v>186</v>
      </c>
      <c r="B186" s="15">
        <f>IFERROR(IF([1]对账明细接口!$B$186=0,"",[1]对账明细接口!$B$186),"")</f>
        <v>46276</v>
      </c>
      <c r="C186" s="16" t="str">
        <f>IFERROR(IF([1]对账明细接口!$C$186=0,"",[1]对账明细接口!$C$186),"")</f>
        <v>努尔敦</v>
      </c>
      <c r="D186" s="16" t="str">
        <f>IFERROR(IF([1]对账明细接口!$D$186=0,"",[1]对账明细接口!$D$186),"")</f>
        <v>原料入库</v>
      </c>
      <c r="E186" s="16" t="str">
        <f>IFERROR(IF([1]对账明细接口!$E$186=0,"",[1]对账明细接口!$E$186),"")</f>
        <v>NO:0000781</v>
      </c>
      <c r="F186" s="16" t="str">
        <f>IFERROR(IF([1]对账明细接口!$F$186=0,"",[1]对账明细接口!$F$186),"")</f>
        <v>香梨</v>
      </c>
      <c r="G186" s="16" t="str">
        <f>IFERROR(IF([1]对账明细接口!$G$186=0,"",[1]对账明细接口!$G$186),"")</f>
        <v>香梨一级</v>
      </c>
      <c r="H186" s="17">
        <f>IFERROR(IF([1]对账明细接口!$H$186=0,"",[1]对账明细接口!$H$186),"")</f>
        <v>232</v>
      </c>
      <c r="I186" s="16" t="str">
        <f>IFERROR(IF([1]对账明细接口!$I$186=0,"",[1]对账明细接口!$I$186),"")</f>
        <v>筐</v>
      </c>
      <c r="J186" s="18">
        <f>IFERROR(IF([1]对账明细接口!$J$186=0,"",[1]对账明细接口!$J$186),"")</f>
        <v>4245.6</v>
      </c>
      <c r="K186" s="18" t="str">
        <f>IFERROR(IF([1]对账明细接口!$K$186=0,"",[1]对账明细接口!$K$186),"")</f>
        <v/>
      </c>
      <c r="L186" s="16" t="str">
        <f>IFERROR(IF([1]对账明细接口!$L$186=0,"",[1]对账明细接口!$L$186),"")</f>
        <v/>
      </c>
      <c r="M186" s="16" t="str">
        <f>IFERROR(IF([1]对账明细接口!$M$186=0,"",[1]对账明细接口!$M$186),"")</f>
        <v/>
      </c>
      <c r="N186" s="19">
        <f t="shared" si="4"/>
        <v>1</v>
      </c>
      <c r="O186" s="19">
        <f t="shared" si="5"/>
        <v>183</v>
      </c>
      <c r="S186" s="20" t="str">
        <f>IFERROR(IF([1]对账明细接口!$N186=0,"",[1]对账明细接口!$N186),"")</f>
        <v>公司红周转筐</v>
      </c>
      <c r="T186" s="21" t="str">
        <f>IFERROR(IF([1]对账明细接口!$O186=0,"",[1]对账明细接口!$O186),"")</f>
        <v/>
      </c>
      <c r="U186" s="21" t="str">
        <f>IFERROR(IF([1]对账明细接口!$P186=0,"",[1]对账明细接口!$P186),"")</f>
        <v/>
      </c>
      <c r="V186" s="21">
        <f>IFERROR(IF([1]对账明细接口!$Q186=0,"",[1]对账明细接口!$Q186),"")</f>
        <v>232</v>
      </c>
      <c r="W186" s="20" t="str">
        <f>IFERROR(IF([1]对账明细接口!$R186=0,"",[1]对账明细接口!$R186),"")</f>
        <v>新F*75240</v>
      </c>
      <c r="X186" s="20" t="str">
        <f>IFERROR(IF([1]对账明细接口!$S186=0,"",[1]对账明细接口!$S186),"")</f>
        <v>公司筐</v>
      </c>
      <c r="Y186" s="20" t="str">
        <f>IFERROR(IF([1]对账明细接口!$T186=0,"",[1]对账明细接口!$T186),"")</f>
        <v/>
      </c>
      <c r="Z186" s="24" t="str">
        <f>IFERROR(IF([1]对账明细接口!$U186=0,"",[1]对账明细接口!$U186),"")</f>
        <v/>
      </c>
      <c r="AA186" s="24" t="str">
        <f>IFERROR(IF([1]对账明细接口!$V186=0,"",[1]对账明细接口!$V186),"")</f>
        <v/>
      </c>
      <c r="AB186" s="20" t="str">
        <f>IFERROR(IF([1]对账明细接口!$W186=0,"",[1]对账明细接口!$W186),"")</f>
        <v/>
      </c>
      <c r="AC186" s="7" t="str">
        <f>IFERROR(IF([1]对账明细接口!$X186=0,"",[1]对账明细接口!$X186),"")</f>
        <v/>
      </c>
      <c r="AD186" s="7" t="str">
        <f>IFERROR(IF([1]对账明细接口!$Y186=0,"",[1]对账明细接口!$Y186),"")</f>
        <v/>
      </c>
      <c r="AE186" s="7" t="str">
        <f>IFERROR(IF([1]对账明细接口!$AA186=0,"",[1]对账明细接口!$AA186),"")</f>
        <v/>
      </c>
      <c r="AF186" s="7" t="str">
        <f>IFERROR(IF([1]对账明细接口!$AB186=0,"",[1]对账明细接口!$AB186),"")</f>
        <v/>
      </c>
      <c r="AG186" s="7" t="str">
        <f>IFERROR(IF([1]对账明细接口!$AC186=0,"",[1]对账明细接口!$AC186),"")</f>
        <v/>
      </c>
      <c r="AH186" s="7" t="str">
        <f>IFERROR(IF([1]对账明细接口!$AD186=0,"",[1]对账明细接口!$AD186),"")</f>
        <v/>
      </c>
      <c r="AI186" s="7" t="str">
        <f>IFERROR(IF([1]对账明细接口!$AE186=0,"",[1]对账明细接口!$AE186),"")</f>
        <v/>
      </c>
      <c r="AJ186" s="7" t="str">
        <f>IFERROR(IF([1]对账明细接口!$AF186=0,"",[1]对账明细接口!$AF186),"")</f>
        <v/>
      </c>
    </row>
    <row r="187" ht="14.25" customHeight="1" spans="1:36">
      <c r="A187" s="14">
        <v>187</v>
      </c>
      <c r="B187" s="15">
        <f>IFERROR(IF([1]对账明细接口!$B$187=0,"",[1]对账明细接口!$B$187),"")</f>
        <v>46276</v>
      </c>
      <c r="C187" s="16" t="str">
        <f>IFERROR(IF([1]对账明细接口!$C$187=0,"",[1]对账明细接口!$C$187),"")</f>
        <v>努尔敦</v>
      </c>
      <c r="D187" s="16" t="str">
        <f>IFERROR(IF([1]对账明细接口!$D$187=0,"",[1]对账明细接口!$D$187),"")</f>
        <v>原料入库</v>
      </c>
      <c r="E187" s="16" t="str">
        <f>IFERROR(IF([1]对账明细接口!$E$187=0,"",[1]对账明细接口!$E$187),"")</f>
        <v>NO:0000781</v>
      </c>
      <c r="F187" s="16" t="str">
        <f>IFERROR(IF([1]对账明细接口!$F$187=0,"",[1]对账明细接口!$F$187),"")</f>
        <v>香梨</v>
      </c>
      <c r="G187" s="16" t="str">
        <f>IFERROR(IF([1]对账明细接口!$G$187=0,"",[1]对账明细接口!$G$187),"")</f>
        <v>香梨二级</v>
      </c>
      <c r="H187" s="17">
        <f>IFERROR(IF([1]对账明细接口!$H$187=0,"",[1]对账明细接口!$H$187),"")</f>
        <v>248</v>
      </c>
      <c r="I187" s="16" t="str">
        <f>IFERROR(IF([1]对账明细接口!$I$187=0,"",[1]对账明细接口!$I$187),"")</f>
        <v>筐</v>
      </c>
      <c r="J187" s="18">
        <f>IFERROR(IF([1]对账明细接口!$J$187=0,"",[1]对账明细接口!$J$187),"")</f>
        <v>5530.4</v>
      </c>
      <c r="K187" s="18" t="str">
        <f>IFERROR(IF([1]对账明细接口!$K$187=0,"",[1]对账明细接口!$K$187),"")</f>
        <v/>
      </c>
      <c r="L187" s="16" t="str">
        <f>IFERROR(IF([1]对账明细接口!$L$187=0,"",[1]对账明细接口!$L$187),"")</f>
        <v/>
      </c>
      <c r="M187" s="16" t="str">
        <f>IFERROR(IF([1]对账明细接口!$M$187=0,"",[1]对账明细接口!$M$187),"")</f>
        <v/>
      </c>
      <c r="N187" s="19">
        <f t="shared" si="4"/>
        <v>1</v>
      </c>
      <c r="O187" s="19">
        <f t="shared" si="5"/>
        <v>184</v>
      </c>
      <c r="S187" s="20" t="str">
        <f>IFERROR(IF([1]对账明细接口!$N187=0,"",[1]对账明细接口!$N187),"")</f>
        <v>公司红周转筐</v>
      </c>
      <c r="T187" s="21" t="str">
        <f>IFERROR(IF([1]对账明细接口!$O187=0,"",[1]对账明细接口!$O187),"")</f>
        <v/>
      </c>
      <c r="U187" s="21" t="str">
        <f>IFERROR(IF([1]对账明细接口!$P187=0,"",[1]对账明细接口!$P187),"")</f>
        <v/>
      </c>
      <c r="V187" s="21">
        <f>IFERROR(IF([1]对账明细接口!$Q187=0,"",[1]对账明细接口!$Q187),"")</f>
        <v>248</v>
      </c>
      <c r="W187" s="20" t="str">
        <f>IFERROR(IF([1]对账明细接口!$R187=0,"",[1]对账明细接口!$R187),"")</f>
        <v>新F*75240</v>
      </c>
      <c r="X187" s="20" t="str">
        <f>IFERROR(IF([1]对账明细接口!$S187=0,"",[1]对账明细接口!$S187),"")</f>
        <v>公司筐</v>
      </c>
      <c r="Y187" s="20" t="str">
        <f>IFERROR(IF([1]对账明细接口!$T187=0,"",[1]对账明细接口!$T187),"")</f>
        <v/>
      </c>
      <c r="Z187" s="24" t="str">
        <f>IFERROR(IF([1]对账明细接口!$U187=0,"",[1]对账明细接口!$U187),"")</f>
        <v/>
      </c>
      <c r="AA187" s="24" t="str">
        <f>IFERROR(IF([1]对账明细接口!$V187=0,"",[1]对账明细接口!$V187),"")</f>
        <v/>
      </c>
      <c r="AB187" s="20" t="str">
        <f>IFERROR(IF([1]对账明细接口!$W187=0,"",[1]对账明细接口!$W187),"")</f>
        <v/>
      </c>
      <c r="AC187" s="7" t="str">
        <f>IFERROR(IF([1]对账明细接口!$X187=0,"",[1]对账明细接口!$X187),"")</f>
        <v/>
      </c>
      <c r="AD187" s="7" t="str">
        <f>IFERROR(IF([1]对账明细接口!$Y187=0,"",[1]对账明细接口!$Y187),"")</f>
        <v/>
      </c>
      <c r="AE187" s="7" t="str">
        <f>IFERROR(IF([1]对账明细接口!$AA187=0,"",[1]对账明细接口!$AA187),"")</f>
        <v/>
      </c>
      <c r="AF187" s="7" t="str">
        <f>IFERROR(IF([1]对账明细接口!$AB187=0,"",[1]对账明细接口!$AB187),"")</f>
        <v/>
      </c>
      <c r="AG187" s="7" t="str">
        <f>IFERROR(IF([1]对账明细接口!$AC187=0,"",[1]对账明细接口!$AC187),"")</f>
        <v/>
      </c>
      <c r="AH187" s="7" t="str">
        <f>IFERROR(IF([1]对账明细接口!$AD187=0,"",[1]对账明细接口!$AD187),"")</f>
        <v/>
      </c>
      <c r="AI187" s="7" t="str">
        <f>IFERROR(IF([1]对账明细接口!$AE187=0,"",[1]对账明细接口!$AE187),"")</f>
        <v/>
      </c>
      <c r="AJ187" s="7" t="str">
        <f>IFERROR(IF([1]对账明细接口!$AF187=0,"",[1]对账明细接口!$AF187),"")</f>
        <v/>
      </c>
    </row>
    <row r="188" ht="14.25" customHeight="1" spans="1:36">
      <c r="A188" s="14">
        <v>188</v>
      </c>
      <c r="B188" s="15">
        <f>IFERROR(IF([1]对账明细接口!$B$188=0,"",[1]对账明细接口!$B$188),"")</f>
        <v>46276</v>
      </c>
      <c r="C188" s="16" t="str">
        <f>IFERROR(IF([1]对账明细接口!$C$188=0,"",[1]对账明细接口!$C$188),"")</f>
        <v>麦麦提</v>
      </c>
      <c r="D188" s="16" t="str">
        <f>IFERROR(IF([1]对账明细接口!$D$188=0,"",[1]对账明细接口!$D$188),"")</f>
        <v>原料入库</v>
      </c>
      <c r="E188" s="16" t="str">
        <f>IFERROR(IF([1]对账明细接口!$E$188=0,"",[1]对账明细接口!$E$188),"")</f>
        <v>NO:0000782</v>
      </c>
      <c r="F188" s="16" t="str">
        <f>IFERROR(IF([1]对账明细接口!$F$188=0,"",[1]对账明细接口!$F$188),"")</f>
        <v>香梨</v>
      </c>
      <c r="G188" s="16" t="str">
        <f>IFERROR(IF([1]对账明细接口!$G$188=0,"",[1]对账明细接口!$G$188),"")</f>
        <v>香梨特级</v>
      </c>
      <c r="H188" s="17">
        <f>IFERROR(IF([1]对账明细接口!$H$188=0,"",[1]对账明细接口!$H$188),"")</f>
        <v>322</v>
      </c>
      <c r="I188" s="16" t="str">
        <f>IFERROR(IF([1]对账明细接口!$I$188=0,"",[1]对账明细接口!$I$188),"")</f>
        <v>筐</v>
      </c>
      <c r="J188" s="18">
        <f>IFERROR(IF([1]对账明细接口!$J$188=0,"",[1]对账明细接口!$J$188),"")</f>
        <v>5892.6</v>
      </c>
      <c r="K188" s="18" t="str">
        <f>IFERROR(IF([1]对账明细接口!$K$188=0,"",[1]对账明细接口!$K$188),"")</f>
        <v/>
      </c>
      <c r="L188" s="16" t="str">
        <f>IFERROR(IF([1]对账明细接口!$L$188=0,"",[1]对账明细接口!$L$188),"")</f>
        <v/>
      </c>
      <c r="M188" s="16" t="str">
        <f>IFERROR(IF([1]对账明细接口!$M$188=0,"",[1]对账明细接口!$M$188),"")</f>
        <v/>
      </c>
      <c r="N188" s="19">
        <f t="shared" si="4"/>
        <v>1</v>
      </c>
      <c r="O188" s="19">
        <f t="shared" si="5"/>
        <v>185</v>
      </c>
      <c r="S188" s="20" t="str">
        <f>IFERROR(IF([1]对账明细接口!$N188=0,"",[1]对账明细接口!$N188),"")</f>
        <v>公司红周转筐</v>
      </c>
      <c r="T188" s="21" t="str">
        <f>IFERROR(IF([1]对账明细接口!$O188=0,"",[1]对账明细接口!$O188),"")</f>
        <v/>
      </c>
      <c r="U188" s="21" t="str">
        <f>IFERROR(IF([1]对账明细接口!$P188=0,"",[1]对账明细接口!$P188),"")</f>
        <v/>
      </c>
      <c r="V188" s="21">
        <f>IFERROR(IF([1]对账明细接口!$Q188=0,"",[1]对账明细接口!$Q188),"")</f>
        <v>322</v>
      </c>
      <c r="W188" s="20" t="str">
        <f>IFERROR(IF([1]对账明细接口!$R188=0,"",[1]对账明细接口!$R188),"")</f>
        <v>新A*G0554</v>
      </c>
      <c r="X188" s="20" t="str">
        <f>IFERROR(IF([1]对账明细接口!$S188=0,"",[1]对账明细接口!$S188),"")</f>
        <v>公司筐</v>
      </c>
      <c r="Y188" s="20" t="str">
        <f>IFERROR(IF([1]对账明细接口!$T188=0,"",[1]对账明细接口!$T188),"")</f>
        <v/>
      </c>
      <c r="Z188" s="24" t="str">
        <f>IFERROR(IF([1]对账明细接口!$U188=0,"",[1]对账明细接口!$U188),"")</f>
        <v/>
      </c>
      <c r="AA188" s="24" t="str">
        <f>IFERROR(IF([1]对账明细接口!$V188=0,"",[1]对账明细接口!$V188),"")</f>
        <v/>
      </c>
      <c r="AB188" s="20" t="str">
        <f>IFERROR(IF([1]对账明细接口!$W188=0,"",[1]对账明细接口!$W188),"")</f>
        <v/>
      </c>
      <c r="AC188" s="7" t="str">
        <f>IFERROR(IF([1]对账明细接口!$X188=0,"",[1]对账明细接口!$X188),"")</f>
        <v/>
      </c>
      <c r="AD188" s="7" t="str">
        <f>IFERROR(IF([1]对账明细接口!$Y188=0,"",[1]对账明细接口!$Y188),"")</f>
        <v/>
      </c>
      <c r="AE188" s="7" t="str">
        <f>IFERROR(IF([1]对账明细接口!$AA188=0,"",[1]对账明细接口!$AA188),"")</f>
        <v/>
      </c>
      <c r="AF188" s="7" t="str">
        <f>IFERROR(IF([1]对账明细接口!$AB188=0,"",[1]对账明细接口!$AB188),"")</f>
        <v/>
      </c>
      <c r="AG188" s="7" t="str">
        <f>IFERROR(IF([1]对账明细接口!$AC188=0,"",[1]对账明细接口!$AC188),"")</f>
        <v/>
      </c>
      <c r="AH188" s="7" t="str">
        <f>IFERROR(IF([1]对账明细接口!$AD188=0,"",[1]对账明细接口!$AD188),"")</f>
        <v/>
      </c>
      <c r="AI188" s="7" t="str">
        <f>IFERROR(IF([1]对账明细接口!$AE188=0,"",[1]对账明细接口!$AE188),"")</f>
        <v/>
      </c>
      <c r="AJ188" s="7" t="str">
        <f>IFERROR(IF([1]对账明细接口!$AF188=0,"",[1]对账明细接口!$AF188),"")</f>
        <v/>
      </c>
    </row>
    <row r="189" ht="14.25" customHeight="1" spans="1:36">
      <c r="A189" s="14">
        <v>189</v>
      </c>
      <c r="B189" s="15">
        <f>IFERROR(IF([1]对账明细接口!$B$189=0,"",[1]对账明细接口!$B$189),"")</f>
        <v>46276</v>
      </c>
      <c r="C189" s="16" t="str">
        <f>IFERROR(IF([1]对账明细接口!$C$189=0,"",[1]对账明细接口!$C$189),"")</f>
        <v>麦麦提</v>
      </c>
      <c r="D189" s="16" t="str">
        <f>IFERROR(IF([1]对账明细接口!$D$189=0,"",[1]对账明细接口!$D$189),"")</f>
        <v>原料入库</v>
      </c>
      <c r="E189" s="16" t="str">
        <f>IFERROR(IF([1]对账明细接口!$E$189=0,"",[1]对账明细接口!$E$189),"")</f>
        <v>NO:0000782</v>
      </c>
      <c r="F189" s="16" t="str">
        <f>IFERROR(IF([1]对账明细接口!$F$189=0,"",[1]对账明细接口!$F$189),"")</f>
        <v>香梨</v>
      </c>
      <c r="G189" s="16" t="str">
        <f>IFERROR(IF([1]对账明细接口!$G$189=0,"",[1]对账明细接口!$G$189),"")</f>
        <v>香梨一级</v>
      </c>
      <c r="H189" s="17">
        <f>IFERROR(IF([1]对账明细接口!$H$189=0,"",[1]对账明细接口!$H$189),"")</f>
        <v>158</v>
      </c>
      <c r="I189" s="16" t="str">
        <f>IFERROR(IF([1]对账明细接口!$I$189=0,"",[1]对账明细接口!$I$189),"")</f>
        <v>筐</v>
      </c>
      <c r="J189" s="18">
        <f>IFERROR(IF([1]对账明细接口!$J$189=0,"",[1]对账明细接口!$J$189),"")</f>
        <v>2891.4</v>
      </c>
      <c r="K189" s="18" t="str">
        <f>IFERROR(IF([1]对账明细接口!$K$189=0,"",[1]对账明细接口!$K$189),"")</f>
        <v/>
      </c>
      <c r="L189" s="16" t="str">
        <f>IFERROR(IF([1]对账明细接口!$L$189=0,"",[1]对账明细接口!$L$189),"")</f>
        <v/>
      </c>
      <c r="M189" s="16" t="str">
        <f>IFERROR(IF([1]对账明细接口!$M$189=0,"",[1]对账明细接口!$M$189),"")</f>
        <v/>
      </c>
      <c r="N189" s="19">
        <f t="shared" si="4"/>
        <v>1</v>
      </c>
      <c r="O189" s="19">
        <f t="shared" si="5"/>
        <v>186</v>
      </c>
      <c r="S189" s="20" t="str">
        <f>IFERROR(IF([1]对账明细接口!$N189=0,"",[1]对账明细接口!$N189),"")</f>
        <v>公司红周转筐</v>
      </c>
      <c r="T189" s="21" t="str">
        <f>IFERROR(IF([1]对账明细接口!$O189=0,"",[1]对账明细接口!$O189),"")</f>
        <v/>
      </c>
      <c r="U189" s="21" t="str">
        <f>IFERROR(IF([1]对账明细接口!$P189=0,"",[1]对账明细接口!$P189),"")</f>
        <v/>
      </c>
      <c r="V189" s="21">
        <f>IFERROR(IF([1]对账明细接口!$Q189=0,"",[1]对账明细接口!$Q189),"")</f>
        <v>158</v>
      </c>
      <c r="W189" s="20" t="str">
        <f>IFERROR(IF([1]对账明细接口!$R189=0,"",[1]对账明细接口!$R189),"")</f>
        <v>新A*G0554</v>
      </c>
      <c r="X189" s="20" t="str">
        <f>IFERROR(IF([1]对账明细接口!$S189=0,"",[1]对账明细接口!$S189),"")</f>
        <v>公司筐</v>
      </c>
      <c r="Y189" s="20" t="str">
        <f>IFERROR(IF([1]对账明细接口!$T189=0,"",[1]对账明细接口!$T189),"")</f>
        <v/>
      </c>
      <c r="Z189" s="24" t="str">
        <f>IFERROR(IF([1]对账明细接口!$U189=0,"",[1]对账明细接口!$U189),"")</f>
        <v/>
      </c>
      <c r="AA189" s="24" t="str">
        <f>IFERROR(IF([1]对账明细接口!$V189=0,"",[1]对账明细接口!$V189),"")</f>
        <v/>
      </c>
      <c r="AB189" s="20" t="str">
        <f>IFERROR(IF([1]对账明细接口!$W189=0,"",[1]对账明细接口!$W189),"")</f>
        <v/>
      </c>
      <c r="AC189" s="7" t="str">
        <f>IFERROR(IF([1]对账明细接口!$X189=0,"",[1]对账明细接口!$X189),"")</f>
        <v/>
      </c>
      <c r="AD189" s="7" t="str">
        <f>IFERROR(IF([1]对账明细接口!$Y189=0,"",[1]对账明细接口!$Y189),"")</f>
        <v/>
      </c>
      <c r="AE189" s="7" t="str">
        <f>IFERROR(IF([1]对账明细接口!$AA189=0,"",[1]对账明细接口!$AA189),"")</f>
        <v/>
      </c>
      <c r="AF189" s="7" t="str">
        <f>IFERROR(IF([1]对账明细接口!$AB189=0,"",[1]对账明细接口!$AB189),"")</f>
        <v/>
      </c>
      <c r="AG189" s="7" t="str">
        <f>IFERROR(IF([1]对账明细接口!$AC189=0,"",[1]对账明细接口!$AC189),"")</f>
        <v/>
      </c>
      <c r="AH189" s="7" t="str">
        <f>IFERROR(IF([1]对账明细接口!$AD189=0,"",[1]对账明细接口!$AD189),"")</f>
        <v/>
      </c>
      <c r="AI189" s="7" t="str">
        <f>IFERROR(IF([1]对账明细接口!$AE189=0,"",[1]对账明细接口!$AE189),"")</f>
        <v/>
      </c>
      <c r="AJ189" s="7" t="str">
        <f>IFERROR(IF([1]对账明细接口!$AF189=0,"",[1]对账明细接口!$AF189),"")</f>
        <v/>
      </c>
    </row>
    <row r="190" ht="14.25" customHeight="1" spans="1:36">
      <c r="A190" s="14">
        <v>190</v>
      </c>
      <c r="B190" s="15">
        <f>IFERROR(IF([1]对账明细接口!$B$190=0,"",[1]对账明细接口!$B$190),"")</f>
        <v>46276</v>
      </c>
      <c r="C190" s="16" t="str">
        <f>IFERROR(IF([1]对账明细接口!$C$190=0,"",[1]对账明细接口!$C$190),"")</f>
        <v>麦麦提</v>
      </c>
      <c r="D190" s="16" t="str">
        <f>IFERROR(IF([1]对账明细接口!$D$190=0,"",[1]对账明细接口!$D$190),"")</f>
        <v>原料入库</v>
      </c>
      <c r="E190" s="16" t="str">
        <f>IFERROR(IF([1]对账明细接口!$E$190=0,"",[1]对账明细接口!$E$190),"")</f>
        <v>NO:0000782</v>
      </c>
      <c r="F190" s="16" t="str">
        <f>IFERROR(IF([1]对账明细接口!$F$190=0,"",[1]对账明细接口!$F$190),"")</f>
        <v>香梨</v>
      </c>
      <c r="G190" s="16" t="str">
        <f>IFERROR(IF([1]对账明细接口!$G$190=0,"",[1]对账明细接口!$G$190),"")</f>
        <v>香梨二级</v>
      </c>
      <c r="H190" s="17">
        <f>IFERROR(IF([1]对账明细接口!$H$190=0,"",[1]对账明细接口!$H$190),"")</f>
        <v>146</v>
      </c>
      <c r="I190" s="16" t="str">
        <f>IFERROR(IF([1]对账明细接口!$I$190=0,"",[1]对账明细接口!$I$190),"")</f>
        <v>筐</v>
      </c>
      <c r="J190" s="18">
        <f>IFERROR(IF([1]对账明细接口!$J$190=0,"",[1]对账明细接口!$J$190),"")</f>
        <v>3255.8</v>
      </c>
      <c r="K190" s="18" t="str">
        <f>IFERROR(IF([1]对账明细接口!$K$190=0,"",[1]对账明细接口!$K$190),"")</f>
        <v/>
      </c>
      <c r="L190" s="16" t="str">
        <f>IFERROR(IF([1]对账明细接口!$L$190=0,"",[1]对账明细接口!$L$190),"")</f>
        <v/>
      </c>
      <c r="M190" s="16" t="str">
        <f>IFERROR(IF([1]对账明细接口!$M$190=0,"",[1]对账明细接口!$M$190),"")</f>
        <v/>
      </c>
      <c r="N190" s="19">
        <f t="shared" si="4"/>
        <v>1</v>
      </c>
      <c r="O190" s="19">
        <f t="shared" si="5"/>
        <v>187</v>
      </c>
      <c r="S190" s="20" t="str">
        <f>IFERROR(IF([1]对账明细接口!$N190=0,"",[1]对账明细接口!$N190),"")</f>
        <v>公司红周转筐</v>
      </c>
      <c r="T190" s="21" t="str">
        <f>IFERROR(IF([1]对账明细接口!$O190=0,"",[1]对账明细接口!$O190),"")</f>
        <v/>
      </c>
      <c r="U190" s="21" t="str">
        <f>IFERROR(IF([1]对账明细接口!$P190=0,"",[1]对账明细接口!$P190),"")</f>
        <v/>
      </c>
      <c r="V190" s="21">
        <f>IFERROR(IF([1]对账明细接口!$Q190=0,"",[1]对账明细接口!$Q190),"")</f>
        <v>146</v>
      </c>
      <c r="W190" s="20" t="str">
        <f>IFERROR(IF([1]对账明细接口!$R190=0,"",[1]对账明细接口!$R190),"")</f>
        <v>新A*G0554</v>
      </c>
      <c r="X190" s="20" t="str">
        <f>IFERROR(IF([1]对账明细接口!$S190=0,"",[1]对账明细接口!$S190),"")</f>
        <v>公司筐</v>
      </c>
      <c r="Y190" s="20" t="str">
        <f>IFERROR(IF([1]对账明细接口!$T190=0,"",[1]对账明细接口!$T190),"")</f>
        <v/>
      </c>
      <c r="Z190" s="24" t="str">
        <f>IFERROR(IF([1]对账明细接口!$U190=0,"",[1]对账明细接口!$U190),"")</f>
        <v/>
      </c>
      <c r="AA190" s="24" t="str">
        <f>IFERROR(IF([1]对账明细接口!$V190=0,"",[1]对账明细接口!$V190),"")</f>
        <v/>
      </c>
      <c r="AB190" s="20" t="str">
        <f>IFERROR(IF([1]对账明细接口!$W190=0,"",[1]对账明细接口!$W190),"")</f>
        <v/>
      </c>
      <c r="AC190" s="7" t="str">
        <f>IFERROR(IF([1]对账明细接口!$X190=0,"",[1]对账明细接口!$X190),"")</f>
        <v/>
      </c>
      <c r="AD190" s="7" t="str">
        <f>IFERROR(IF([1]对账明细接口!$Y190=0,"",[1]对账明细接口!$Y190),"")</f>
        <v/>
      </c>
      <c r="AE190" s="7" t="str">
        <f>IFERROR(IF([1]对账明细接口!$AA190=0,"",[1]对账明细接口!$AA190),"")</f>
        <v/>
      </c>
      <c r="AF190" s="7" t="str">
        <f>IFERROR(IF([1]对账明细接口!$AB190=0,"",[1]对账明细接口!$AB190),"")</f>
        <v/>
      </c>
      <c r="AG190" s="7" t="str">
        <f>IFERROR(IF([1]对账明细接口!$AC190=0,"",[1]对账明细接口!$AC190),"")</f>
        <v/>
      </c>
      <c r="AH190" s="7" t="str">
        <f>IFERROR(IF([1]对账明细接口!$AD190=0,"",[1]对账明细接口!$AD190),"")</f>
        <v/>
      </c>
      <c r="AI190" s="7" t="str">
        <f>IFERROR(IF([1]对账明细接口!$AE190=0,"",[1]对账明细接口!$AE190),"")</f>
        <v/>
      </c>
      <c r="AJ190" s="7" t="str">
        <f>IFERROR(IF([1]对账明细接口!$AF190=0,"",[1]对账明细接口!$AF190),"")</f>
        <v/>
      </c>
    </row>
    <row r="191" ht="14.25" customHeight="1" spans="1:36">
      <c r="A191" s="14">
        <v>191</v>
      </c>
      <c r="B191" s="15">
        <f>IFERROR(IF([1]对账明细接口!$B$191=0,"",[1]对账明细接口!$B$191),"")</f>
        <v>46276</v>
      </c>
      <c r="C191" s="16" t="str">
        <f>IFERROR(IF([1]对账明细接口!$C$191=0,"",[1]对账明细接口!$C$191),"")</f>
        <v>王浩</v>
      </c>
      <c r="D191" s="16" t="str">
        <f>IFERROR(IF([1]对账明细接口!$D$191=0,"",[1]对账明细接口!$D$191),"")</f>
        <v>原料入库</v>
      </c>
      <c r="E191" s="16" t="str">
        <f>IFERROR(IF([1]对账明细接口!$E$191=0,"",[1]对账明细接口!$E$191),"")</f>
        <v>NO:0000783</v>
      </c>
      <c r="F191" s="16" t="str">
        <f>IFERROR(IF([1]对账明细接口!$F$191=0,"",[1]对账明细接口!$F$191),"")</f>
        <v>香梨</v>
      </c>
      <c r="G191" s="16" t="str">
        <f>IFERROR(IF([1]对账明细接口!$G$191=0,"",[1]对账明细接口!$G$191),"")</f>
        <v>香梨一级</v>
      </c>
      <c r="H191" s="17">
        <f>IFERROR(IF([1]对账明细接口!$H$191=0,"",[1]对账明细接口!$H$191),"")</f>
        <v>1184</v>
      </c>
      <c r="I191" s="16" t="str">
        <f>IFERROR(IF([1]对账明细接口!$I$191=0,"",[1]对账明细接口!$I$191),"")</f>
        <v>筐</v>
      </c>
      <c r="J191" s="18">
        <f>IFERROR(IF([1]对账明细接口!$J$191=0,"",[1]对账明细接口!$J$191),"")</f>
        <v>21667.2</v>
      </c>
      <c r="K191" s="18" t="str">
        <f>IFERROR(IF([1]对账明细接口!$K$191=0,"",[1]对账明细接口!$K$191),"")</f>
        <v/>
      </c>
      <c r="L191" s="16" t="str">
        <f>IFERROR(IF([1]对账明细接口!$L$191=0,"",[1]对账明细接口!$L$191),"")</f>
        <v/>
      </c>
      <c r="M191" s="16" t="str">
        <f>IFERROR(IF([1]对账明细接口!$M$191=0,"",[1]对账明细接口!$M$191),"")</f>
        <v/>
      </c>
      <c r="N191" s="19">
        <f t="shared" si="4"/>
        <v>1</v>
      </c>
      <c r="O191" s="19">
        <f t="shared" si="5"/>
        <v>188</v>
      </c>
      <c r="S191" s="20" t="str">
        <f>IFERROR(IF([1]对账明细接口!$N191=0,"",[1]对账明细接口!$N191),"")</f>
        <v>公司一次性筐</v>
      </c>
      <c r="T191" s="21" t="str">
        <f>IFERROR(IF([1]对账明细接口!$O191=0,"",[1]对账明细接口!$O191),"")</f>
        <v/>
      </c>
      <c r="U191" s="21" t="str">
        <f>IFERROR(IF([1]对账明细接口!$P191=0,"",[1]对账明细接口!$P191),"")</f>
        <v/>
      </c>
      <c r="V191" s="21">
        <f>IFERROR(IF([1]对账明细接口!$Q191=0,"",[1]对账明细接口!$Q191),"")</f>
        <v>1184</v>
      </c>
      <c r="W191" s="20" t="str">
        <f>IFERROR(IF([1]对账明细接口!$R191=0,"",[1]对账明细接口!$R191),"")</f>
        <v>新M*65781</v>
      </c>
      <c r="X191" s="20" t="str">
        <f>IFERROR(IF([1]对账明细接口!$S191=0,"",[1]对账明细接口!$S191),"")</f>
        <v>公司筐</v>
      </c>
      <c r="Y191" s="20" t="str">
        <f>IFERROR(IF([1]对账明细接口!$T191=0,"",[1]对账明细接口!$T191),"")</f>
        <v/>
      </c>
      <c r="Z191" s="24" t="str">
        <f>IFERROR(IF([1]对账明细接口!$U191=0,"",[1]对账明细接口!$U191),"")</f>
        <v/>
      </c>
      <c r="AA191" s="24" t="str">
        <f>IFERROR(IF([1]对账明细接口!$V191=0,"",[1]对账明细接口!$V191),"")</f>
        <v/>
      </c>
      <c r="AB191" s="20" t="str">
        <f>IFERROR(IF([1]对账明细接口!$W191=0,"",[1]对账明细接口!$W191),"")</f>
        <v/>
      </c>
      <c r="AC191" s="7" t="str">
        <f>IFERROR(IF([1]对账明细接口!$X191=0,"",[1]对账明细接口!$X191),"")</f>
        <v/>
      </c>
      <c r="AD191" s="7" t="str">
        <f>IFERROR(IF([1]对账明细接口!$Y191=0,"",[1]对账明细接口!$Y191),"")</f>
        <v/>
      </c>
      <c r="AE191" s="7" t="str">
        <f>IFERROR(IF([1]对账明细接口!$AA191=0,"",[1]对账明细接口!$AA191),"")</f>
        <v/>
      </c>
      <c r="AF191" s="7" t="str">
        <f>IFERROR(IF([1]对账明细接口!$AB191=0,"",[1]对账明细接口!$AB191),"")</f>
        <v/>
      </c>
      <c r="AG191" s="7" t="str">
        <f>IFERROR(IF([1]对账明细接口!$AC191=0,"",[1]对账明细接口!$AC191),"")</f>
        <v/>
      </c>
      <c r="AH191" s="7" t="str">
        <f>IFERROR(IF([1]对账明细接口!$AD191=0,"",[1]对账明细接口!$AD191),"")</f>
        <v/>
      </c>
      <c r="AI191" s="7" t="str">
        <f>IFERROR(IF([1]对账明细接口!$AE191=0,"",[1]对账明细接口!$AE191),"")</f>
        <v/>
      </c>
      <c r="AJ191" s="7" t="str">
        <f>IFERROR(IF([1]对账明细接口!$AF191=0,"",[1]对账明细接口!$AF191),"")</f>
        <v/>
      </c>
    </row>
    <row r="192" ht="14.25" customHeight="1" spans="1:36">
      <c r="A192" s="14">
        <v>192</v>
      </c>
      <c r="B192" s="15">
        <f>IFERROR(IF([1]对账明细接口!$B$192=0,"",[1]对账明细接口!$B$192),"")</f>
        <v>46276</v>
      </c>
      <c r="C192" s="16" t="str">
        <f>IFERROR(IF([1]对账明细接口!$C$192=0,"",[1]对账明细接口!$C$192),"")</f>
        <v>吐尔洪</v>
      </c>
      <c r="D192" s="16" t="str">
        <f>IFERROR(IF([1]对账明细接口!$D$192=0,"",[1]对账明细接口!$D$192),"")</f>
        <v>原料入库</v>
      </c>
      <c r="E192" s="16" t="str">
        <f>IFERROR(IF([1]对账明细接口!$E$192=0,"",[1]对账明细接口!$E$192),"")</f>
        <v>NO:0000786</v>
      </c>
      <c r="F192" s="16" t="str">
        <f>IFERROR(IF([1]对账明细接口!$F$192=0,"",[1]对账明细接口!$F$192),"")</f>
        <v>香梨</v>
      </c>
      <c r="G192" s="16" t="str">
        <f>IFERROR(IF([1]对账明细接口!$G$192=0,"",[1]对账明细接口!$G$192),"")</f>
        <v>香梨特级</v>
      </c>
      <c r="H192" s="17">
        <f>IFERROR(IF([1]对账明细接口!$H$192=0,"",[1]对账明细接口!$H$192),"")</f>
        <v>88</v>
      </c>
      <c r="I192" s="16" t="str">
        <f>IFERROR(IF([1]对账明细接口!$I$192=0,"",[1]对账明细接口!$I$192),"")</f>
        <v>筐</v>
      </c>
      <c r="J192" s="18">
        <f>IFERROR(IF([1]对账明细接口!$J$192=0,"",[1]对账明细接口!$J$192),"")</f>
        <v>1610.4</v>
      </c>
      <c r="K192" s="18" t="str">
        <f>IFERROR(IF([1]对账明细接口!$K$192=0,"",[1]对账明细接口!$K$192),"")</f>
        <v/>
      </c>
      <c r="L192" s="16" t="str">
        <f>IFERROR(IF([1]对账明细接口!$L$192=0,"",[1]对账明细接口!$L$192),"")</f>
        <v/>
      </c>
      <c r="M192" s="16" t="str">
        <f>IFERROR(IF([1]对账明细接口!$M$192=0,"",[1]对账明细接口!$M$192),"")</f>
        <v>麦麦提</v>
      </c>
      <c r="N192" s="19">
        <f t="shared" si="4"/>
        <v>1</v>
      </c>
      <c r="O192" s="19">
        <f t="shared" si="5"/>
        <v>189</v>
      </c>
      <c r="S192" s="20" t="str">
        <f>IFERROR(IF([1]对账明细接口!$N192=0,"",[1]对账明细接口!$N192),"")</f>
        <v>公司红周转筐</v>
      </c>
      <c r="T192" s="21" t="str">
        <f>IFERROR(IF([1]对账明细接口!$O192=0,"",[1]对账明细接口!$O192),"")</f>
        <v/>
      </c>
      <c r="U192" s="21" t="str">
        <f>IFERROR(IF([1]对账明细接口!$P192=0,"",[1]对账明细接口!$P192),"")</f>
        <v/>
      </c>
      <c r="V192" s="21">
        <f>IFERROR(IF([1]对账明细接口!$Q192=0,"",[1]对账明细接口!$Q192),"")</f>
        <v>88</v>
      </c>
      <c r="W192" s="20" t="str">
        <f>IFERROR(IF([1]对账明细接口!$R192=0,"",[1]对账明细接口!$R192),"")</f>
        <v>新N*X8S48</v>
      </c>
      <c r="X192" s="20" t="str">
        <f>IFERROR(IF([1]对账明细接口!$S192=0,"",[1]对账明细接口!$S192),"")</f>
        <v>公司筐</v>
      </c>
      <c r="Y192" s="20" t="str">
        <f>IFERROR(IF([1]对账明细接口!$T192=0,"",[1]对账明细接口!$T192),"")</f>
        <v/>
      </c>
      <c r="Z192" s="24" t="str">
        <f>IFERROR(IF([1]对账明细接口!$U192=0,"",[1]对账明细接口!$U192),"")</f>
        <v/>
      </c>
      <c r="AA192" s="24" t="str">
        <f>IFERROR(IF([1]对账明细接口!$V192=0,"",[1]对账明细接口!$V192),"")</f>
        <v/>
      </c>
      <c r="AB192" s="20" t="str">
        <f>IFERROR(IF([1]对账明细接口!$W192=0,"",[1]对账明细接口!$W192),"")</f>
        <v/>
      </c>
      <c r="AC192" s="7" t="str">
        <f>IFERROR(IF([1]对账明细接口!$X192=0,"",[1]对账明细接口!$X192),"")</f>
        <v/>
      </c>
      <c r="AD192" s="7" t="str">
        <f>IFERROR(IF([1]对账明细接口!$Y192=0,"",[1]对账明细接口!$Y192),"")</f>
        <v/>
      </c>
      <c r="AE192" s="7" t="str">
        <f>IFERROR(IF([1]对账明细接口!$AA192=0,"",[1]对账明细接口!$AA192),"")</f>
        <v/>
      </c>
      <c r="AF192" s="7" t="str">
        <f>IFERROR(IF([1]对账明细接口!$AB192=0,"",[1]对账明细接口!$AB192),"")</f>
        <v/>
      </c>
      <c r="AG192" s="7" t="str">
        <f>IFERROR(IF([1]对账明细接口!$AC192=0,"",[1]对账明细接口!$AC192),"")</f>
        <v/>
      </c>
      <c r="AH192" s="7" t="str">
        <f>IFERROR(IF([1]对账明细接口!$AD192=0,"",[1]对账明细接口!$AD192),"")</f>
        <v/>
      </c>
      <c r="AI192" s="7" t="str">
        <f>IFERROR(IF([1]对账明细接口!$AE192=0,"",[1]对账明细接口!$AE192),"")</f>
        <v/>
      </c>
      <c r="AJ192" s="7" t="str">
        <f>IFERROR(IF([1]对账明细接口!$AF192=0,"",[1]对账明细接口!$AF192),"")</f>
        <v/>
      </c>
    </row>
    <row r="193" ht="14.25" customHeight="1" spans="1:36">
      <c r="A193" s="14">
        <v>193</v>
      </c>
      <c r="B193" s="15">
        <f>IFERROR(IF([1]对账明细接口!$B$193=0,"",[1]对账明细接口!$B$193),"")</f>
        <v>46276</v>
      </c>
      <c r="C193" s="16" t="str">
        <f>IFERROR(IF([1]对账明细接口!$C$193=0,"",[1]对账明细接口!$C$193),"")</f>
        <v>吐尔洪</v>
      </c>
      <c r="D193" s="16" t="str">
        <f>IFERROR(IF([1]对账明细接口!$D$193=0,"",[1]对账明细接口!$D$193),"")</f>
        <v>原料入库</v>
      </c>
      <c r="E193" s="16" t="str">
        <f>IFERROR(IF([1]对账明细接口!$E$193=0,"",[1]对账明细接口!$E$193),"")</f>
        <v>NO:0000786</v>
      </c>
      <c r="F193" s="16" t="str">
        <f>IFERROR(IF([1]对账明细接口!$F$193=0,"",[1]对账明细接口!$F$193),"")</f>
        <v>香梨</v>
      </c>
      <c r="G193" s="16" t="str">
        <f>IFERROR(IF([1]对账明细接口!$G$193=0,"",[1]对账明细接口!$G$193),"")</f>
        <v>香梨一级</v>
      </c>
      <c r="H193" s="17">
        <f>IFERROR(IF([1]对账明细接口!$H$193=0,"",[1]对账明细接口!$H$193),"")</f>
        <v>43</v>
      </c>
      <c r="I193" s="16" t="str">
        <f>IFERROR(IF([1]对账明细接口!$I$193=0,"",[1]对账明细接口!$I$193),"")</f>
        <v>筐</v>
      </c>
      <c r="J193" s="18">
        <f>IFERROR(IF([1]对账明细接口!$J$193=0,"",[1]对账明细接口!$J$193),"")</f>
        <v>786.9</v>
      </c>
      <c r="K193" s="18" t="str">
        <f>IFERROR(IF([1]对账明细接口!$K$193=0,"",[1]对账明细接口!$K$193),"")</f>
        <v/>
      </c>
      <c r="L193" s="16" t="str">
        <f>IFERROR(IF([1]对账明细接口!$L$193=0,"",[1]对账明细接口!$L$193),"")</f>
        <v/>
      </c>
      <c r="M193" s="16" t="str">
        <f>IFERROR(IF([1]对账明细接口!$M$193=0,"",[1]对账明细接口!$M$193),"")</f>
        <v>麦麦提</v>
      </c>
      <c r="N193" s="19">
        <f t="shared" si="4"/>
        <v>1</v>
      </c>
      <c r="O193" s="19">
        <f t="shared" si="5"/>
        <v>190</v>
      </c>
      <c r="S193" s="20" t="str">
        <f>IFERROR(IF([1]对账明细接口!$N193=0,"",[1]对账明细接口!$N193),"")</f>
        <v>公司红周转筐</v>
      </c>
      <c r="T193" s="21" t="str">
        <f>IFERROR(IF([1]对账明细接口!$O193=0,"",[1]对账明细接口!$O193),"")</f>
        <v/>
      </c>
      <c r="U193" s="21" t="str">
        <f>IFERROR(IF([1]对账明细接口!$P193=0,"",[1]对账明细接口!$P193),"")</f>
        <v/>
      </c>
      <c r="V193" s="21">
        <f>IFERROR(IF([1]对账明细接口!$Q193=0,"",[1]对账明细接口!$Q193),"")</f>
        <v>43</v>
      </c>
      <c r="W193" s="20" t="str">
        <f>IFERROR(IF([1]对账明细接口!$R193=0,"",[1]对账明细接口!$R193),"")</f>
        <v>新N*X8S48</v>
      </c>
      <c r="X193" s="20" t="str">
        <f>IFERROR(IF([1]对账明细接口!$S193=0,"",[1]对账明细接口!$S193),"")</f>
        <v>公司筐</v>
      </c>
      <c r="Y193" s="20" t="str">
        <f>IFERROR(IF([1]对账明细接口!$T193=0,"",[1]对账明细接口!$T193),"")</f>
        <v/>
      </c>
      <c r="Z193" s="24" t="str">
        <f>IFERROR(IF([1]对账明细接口!$U193=0,"",[1]对账明细接口!$U193),"")</f>
        <v/>
      </c>
      <c r="AA193" s="24" t="str">
        <f>IFERROR(IF([1]对账明细接口!$V193=0,"",[1]对账明细接口!$V193),"")</f>
        <v/>
      </c>
      <c r="AB193" s="20" t="str">
        <f>IFERROR(IF([1]对账明细接口!$W193=0,"",[1]对账明细接口!$W193),"")</f>
        <v/>
      </c>
      <c r="AC193" s="7" t="str">
        <f>IFERROR(IF([1]对账明细接口!$X193=0,"",[1]对账明细接口!$X193),"")</f>
        <v/>
      </c>
      <c r="AD193" s="7" t="str">
        <f>IFERROR(IF([1]对账明细接口!$Y193=0,"",[1]对账明细接口!$Y193),"")</f>
        <v/>
      </c>
      <c r="AE193" s="7" t="str">
        <f>IFERROR(IF([1]对账明细接口!$AA193=0,"",[1]对账明细接口!$AA193),"")</f>
        <v/>
      </c>
      <c r="AF193" s="7" t="str">
        <f>IFERROR(IF([1]对账明细接口!$AB193=0,"",[1]对账明细接口!$AB193),"")</f>
        <v/>
      </c>
      <c r="AG193" s="7" t="str">
        <f>IFERROR(IF([1]对账明细接口!$AC193=0,"",[1]对账明细接口!$AC193),"")</f>
        <v/>
      </c>
      <c r="AH193" s="7" t="str">
        <f>IFERROR(IF([1]对账明细接口!$AD193=0,"",[1]对账明细接口!$AD193),"")</f>
        <v/>
      </c>
      <c r="AI193" s="7" t="str">
        <f>IFERROR(IF([1]对账明细接口!$AE193=0,"",[1]对账明细接口!$AE193),"")</f>
        <v/>
      </c>
      <c r="AJ193" s="7" t="str">
        <f>IFERROR(IF([1]对账明细接口!$AF193=0,"",[1]对账明细接口!$AF193),"")</f>
        <v/>
      </c>
    </row>
    <row r="194" ht="14.25" customHeight="1" spans="1:36">
      <c r="A194" s="14">
        <v>194</v>
      </c>
      <c r="B194" s="15">
        <f>IFERROR(IF([1]对账明细接口!$B$194=0,"",[1]对账明细接口!$B$194),"")</f>
        <v>46276</v>
      </c>
      <c r="C194" s="16" t="str">
        <f>IFERROR(IF([1]对账明细接口!$C$194=0,"",[1]对账明细接口!$C$194),"")</f>
        <v>吐尔洪</v>
      </c>
      <c r="D194" s="16" t="str">
        <f>IFERROR(IF([1]对账明细接口!$D$194=0,"",[1]对账明细接口!$D$194),"")</f>
        <v>原料入库</v>
      </c>
      <c r="E194" s="16" t="str">
        <f>IFERROR(IF([1]对账明细接口!$E$194=0,"",[1]对账明细接口!$E$194),"")</f>
        <v>NO:0000786</v>
      </c>
      <c r="F194" s="16" t="str">
        <f>IFERROR(IF([1]对账明细接口!$F$194=0,"",[1]对账明细接口!$F$194),"")</f>
        <v>香梨</v>
      </c>
      <c r="G194" s="16" t="str">
        <f>IFERROR(IF([1]对账明细接口!$G$194=0,"",[1]对账明细接口!$G$194),"")</f>
        <v>香梨二级</v>
      </c>
      <c r="H194" s="17">
        <f>IFERROR(IF([1]对账明细接口!$H$194=0,"",[1]对账明细接口!$H$194),"")</f>
        <v>88</v>
      </c>
      <c r="I194" s="16" t="str">
        <f>IFERROR(IF([1]对账明细接口!$I$194=0,"",[1]对账明细接口!$I$194),"")</f>
        <v>筐</v>
      </c>
      <c r="J194" s="18">
        <f>IFERROR(IF([1]对账明细接口!$J$194=0,"",[1]对账明细接口!$J$194),"")</f>
        <v>1962.4</v>
      </c>
      <c r="K194" s="18" t="str">
        <f>IFERROR(IF([1]对账明细接口!$K$194=0,"",[1]对账明细接口!$K$194),"")</f>
        <v/>
      </c>
      <c r="L194" s="16" t="str">
        <f>IFERROR(IF([1]对账明细接口!$L$194=0,"",[1]对账明细接口!$L$194),"")</f>
        <v/>
      </c>
      <c r="M194" s="16" t="str">
        <f>IFERROR(IF([1]对账明细接口!$M$194=0,"",[1]对账明细接口!$M$194),"")</f>
        <v>麦麦提</v>
      </c>
      <c r="N194" s="19">
        <f t="shared" si="4"/>
        <v>1</v>
      </c>
      <c r="O194" s="19">
        <f t="shared" si="5"/>
        <v>191</v>
      </c>
      <c r="S194" s="20" t="str">
        <f>IFERROR(IF([1]对账明细接口!$N194=0,"",[1]对账明细接口!$N194),"")</f>
        <v>公司红周转筐</v>
      </c>
      <c r="T194" s="21" t="str">
        <f>IFERROR(IF([1]对账明细接口!$O194=0,"",[1]对账明细接口!$O194),"")</f>
        <v/>
      </c>
      <c r="U194" s="21" t="str">
        <f>IFERROR(IF([1]对账明细接口!$P194=0,"",[1]对账明细接口!$P194),"")</f>
        <v/>
      </c>
      <c r="V194" s="21">
        <f>IFERROR(IF([1]对账明细接口!$Q194=0,"",[1]对账明细接口!$Q194),"")</f>
        <v>88</v>
      </c>
      <c r="W194" s="20" t="str">
        <f>IFERROR(IF([1]对账明细接口!$R194=0,"",[1]对账明细接口!$R194),"")</f>
        <v>新N*X8S48</v>
      </c>
      <c r="X194" s="20" t="str">
        <f>IFERROR(IF([1]对账明细接口!$S194=0,"",[1]对账明细接口!$S194),"")</f>
        <v>公司筐</v>
      </c>
      <c r="Y194" s="20" t="str">
        <f>IFERROR(IF([1]对账明细接口!$T194=0,"",[1]对账明细接口!$T194),"")</f>
        <v/>
      </c>
      <c r="Z194" s="24" t="str">
        <f>IFERROR(IF([1]对账明细接口!$U194=0,"",[1]对账明细接口!$U194),"")</f>
        <v/>
      </c>
      <c r="AA194" s="24" t="str">
        <f>IFERROR(IF([1]对账明细接口!$V194=0,"",[1]对账明细接口!$V194),"")</f>
        <v/>
      </c>
      <c r="AB194" s="20" t="str">
        <f>IFERROR(IF([1]对账明细接口!$W194=0,"",[1]对账明细接口!$W194),"")</f>
        <v/>
      </c>
      <c r="AC194" s="7" t="str">
        <f>IFERROR(IF([1]对账明细接口!$X194=0,"",[1]对账明细接口!$X194),"")</f>
        <v/>
      </c>
      <c r="AD194" s="7" t="str">
        <f>IFERROR(IF([1]对账明细接口!$Y194=0,"",[1]对账明细接口!$Y194),"")</f>
        <v/>
      </c>
      <c r="AE194" s="7" t="str">
        <f>IFERROR(IF([1]对账明细接口!$AA194=0,"",[1]对账明细接口!$AA194),"")</f>
        <v/>
      </c>
      <c r="AF194" s="7" t="str">
        <f>IFERROR(IF([1]对账明细接口!$AB194=0,"",[1]对账明细接口!$AB194),"")</f>
        <v/>
      </c>
      <c r="AG194" s="7" t="str">
        <f>IFERROR(IF([1]对账明细接口!$AC194=0,"",[1]对账明细接口!$AC194),"")</f>
        <v/>
      </c>
      <c r="AH194" s="7" t="str">
        <f>IFERROR(IF([1]对账明细接口!$AD194=0,"",[1]对账明细接口!$AD194),"")</f>
        <v/>
      </c>
      <c r="AI194" s="7" t="str">
        <f>IFERROR(IF([1]对账明细接口!$AE194=0,"",[1]对账明细接口!$AE194),"")</f>
        <v/>
      </c>
      <c r="AJ194" s="7" t="str">
        <f>IFERROR(IF([1]对账明细接口!$AF194=0,"",[1]对账明细接口!$AF194),"")</f>
        <v/>
      </c>
    </row>
    <row r="195" ht="14.25" customHeight="1" spans="1:36">
      <c r="A195" s="14">
        <v>195</v>
      </c>
      <c r="B195" s="15">
        <f>IFERROR(IF([1]对账明细接口!$B$195=0,"",[1]对账明细接口!$B$195),"")</f>
        <v>46276</v>
      </c>
      <c r="C195" s="16" t="str">
        <f>IFERROR(IF([1]对账明细接口!$C$195=0,"",[1]对账明细接口!$C$195),"")</f>
        <v>贾建国</v>
      </c>
      <c r="D195" s="16" t="str">
        <f>IFERROR(IF([1]对账明细接口!$D$195=0,"",[1]对账明细接口!$D$195),"")</f>
        <v>原料入库</v>
      </c>
      <c r="E195" s="16" t="str">
        <f>IFERROR(IF([1]对账明细接口!$E$195=0,"",[1]对账明细接口!$E$195),"")</f>
        <v>NO:0000787</v>
      </c>
      <c r="F195" s="16" t="str">
        <f>IFERROR(IF([1]对账明细接口!$F$195=0,"",[1]对账明细接口!$F$195),"")</f>
        <v>香梨</v>
      </c>
      <c r="G195" s="16" t="str">
        <f>IFERROR(IF([1]对账明细接口!$G$195=0,"",[1]对账明细接口!$G$195),"")</f>
        <v>香梨副特</v>
      </c>
      <c r="H195" s="17">
        <f>IFERROR(IF([1]对账明细接口!$H$195=0,"",[1]对账明细接口!$H$195),"")</f>
        <v>393</v>
      </c>
      <c r="I195" s="16" t="str">
        <f>IFERROR(IF([1]对账明细接口!$I$195=0,"",[1]对账明细接口!$I$195),"")</f>
        <v>筐</v>
      </c>
      <c r="J195" s="18">
        <f>IFERROR(IF([1]对账明细接口!$J$195=0,"",[1]对账明细接口!$J$195),"")</f>
        <v>7584.9</v>
      </c>
      <c r="K195" s="18" t="str">
        <f>IFERROR(IF([1]对账明细接口!$K$195=0,"",[1]对账明细接口!$K$195),"")</f>
        <v/>
      </c>
      <c r="L195" s="16" t="str">
        <f>IFERROR(IF([1]对账明细接口!$L$195=0,"",[1]对账明细接口!$L$195),"")</f>
        <v/>
      </c>
      <c r="M195" s="16" t="str">
        <f>IFERROR(IF([1]对账明细接口!$M$195=0,"",[1]对账明细接口!$M$195),"")</f>
        <v/>
      </c>
      <c r="N195" s="19">
        <f t="shared" si="4"/>
        <v>1</v>
      </c>
      <c r="O195" s="19">
        <f t="shared" si="5"/>
        <v>192</v>
      </c>
      <c r="S195" s="20" t="str">
        <f>IFERROR(IF([1]对账明细接口!$N195=0,"",[1]对账明细接口!$N195),"")</f>
        <v>自备一次性筐</v>
      </c>
      <c r="T195" s="21" t="str">
        <f>IFERROR(IF([1]对账明细接口!$O195=0,"",[1]对账明细接口!$O195),"")</f>
        <v/>
      </c>
      <c r="U195" s="21" t="str">
        <f>IFERROR(IF([1]对账明细接口!$P195=0,"",[1]对账明细接口!$P195),"")</f>
        <v/>
      </c>
      <c r="V195" s="21">
        <f>IFERROR(IF([1]对账明细接口!$Q195=0,"",[1]对账明细接口!$Q195),"")</f>
        <v>393</v>
      </c>
      <c r="W195" s="20" t="str">
        <f>IFERROR(IF([1]对账明细接口!$R195=0,"",[1]对账明细接口!$R195),"")</f>
        <v>豫Q*H5591</v>
      </c>
      <c r="X195" s="20" t="str">
        <f>IFERROR(IF([1]对账明细接口!$S195=0,"",[1]对账明细接口!$S195),"")</f>
        <v>自备筐</v>
      </c>
      <c r="Y195" s="20" t="str">
        <f>IFERROR(IF([1]对账明细接口!$T195=0,"",[1]对账明细接口!$T195),"")</f>
        <v/>
      </c>
      <c r="Z195" s="24" t="str">
        <f>IFERROR(IF([1]对账明细接口!$U195=0,"",[1]对账明细接口!$U195),"")</f>
        <v/>
      </c>
      <c r="AA195" s="24" t="str">
        <f>IFERROR(IF([1]对账明细接口!$V195=0,"",[1]对账明细接口!$V195),"")</f>
        <v/>
      </c>
      <c r="AB195" s="20" t="str">
        <f>IFERROR(IF([1]对账明细接口!$W195=0,"",[1]对账明细接口!$W195),"")</f>
        <v/>
      </c>
      <c r="AC195" s="7" t="str">
        <f>IFERROR(IF([1]对账明细接口!$X195=0,"",[1]对账明细接口!$X195),"")</f>
        <v/>
      </c>
      <c r="AD195" s="7" t="str">
        <f>IFERROR(IF([1]对账明细接口!$Y195=0,"",[1]对账明细接口!$Y195),"")</f>
        <v/>
      </c>
      <c r="AE195" s="7" t="str">
        <f>IFERROR(IF([1]对账明细接口!$AA195=0,"",[1]对账明细接口!$AA195),"")</f>
        <v/>
      </c>
      <c r="AF195" s="7" t="str">
        <f>IFERROR(IF([1]对账明细接口!$AB195=0,"",[1]对账明细接口!$AB195),"")</f>
        <v/>
      </c>
      <c r="AG195" s="7" t="str">
        <f>IFERROR(IF([1]对账明细接口!$AC195=0,"",[1]对账明细接口!$AC195),"")</f>
        <v/>
      </c>
      <c r="AH195" s="7" t="str">
        <f>IFERROR(IF([1]对账明细接口!$AD195=0,"",[1]对账明细接口!$AD195),"")</f>
        <v/>
      </c>
      <c r="AI195" s="7" t="str">
        <f>IFERROR(IF([1]对账明细接口!$AE195=0,"",[1]对账明细接口!$AE195),"")</f>
        <v/>
      </c>
      <c r="AJ195" s="7" t="str">
        <f>IFERROR(IF([1]对账明细接口!$AF195=0,"",[1]对账明细接口!$AF195),"")</f>
        <v/>
      </c>
    </row>
    <row r="196" ht="14.25" customHeight="1" spans="1:36">
      <c r="A196" s="14">
        <v>196</v>
      </c>
      <c r="B196" s="15">
        <f>IFERROR(IF([1]对账明细接口!$B$196=0,"",[1]对账明细接口!$B$196),"")</f>
        <v>46276</v>
      </c>
      <c r="C196" s="16" t="str">
        <f>IFERROR(IF([1]对账明细接口!$C$196=0,"",[1]对账明细接口!$C$196),"")</f>
        <v>贾建国</v>
      </c>
      <c r="D196" s="16" t="str">
        <f>IFERROR(IF([1]对账明细接口!$D$196=0,"",[1]对账明细接口!$D$196),"")</f>
        <v>原料入库</v>
      </c>
      <c r="E196" s="16" t="str">
        <f>IFERROR(IF([1]对账明细接口!$E$196=0,"",[1]对账明细接口!$E$196),"")</f>
        <v>NO:0000787</v>
      </c>
      <c r="F196" s="16" t="str">
        <f>IFERROR(IF([1]对账明细接口!$F$196=0,"",[1]对账明细接口!$F$196),"")</f>
        <v>香梨</v>
      </c>
      <c r="G196" s="16" t="str">
        <f>IFERROR(IF([1]对账明细接口!$G$196=0,"",[1]对账明细接口!$G$196),"")</f>
        <v>香梨副特</v>
      </c>
      <c r="H196" s="17">
        <f>IFERROR(IF([1]对账明细接口!$H$196=0,"",[1]对账明细接口!$H$196),"")</f>
        <v>3</v>
      </c>
      <c r="I196" s="16" t="str">
        <f>IFERROR(IF([1]对账明细接口!$I$196=0,"",[1]对账明细接口!$I$196),"")</f>
        <v>筐</v>
      </c>
      <c r="J196" s="18">
        <f>IFERROR(IF([1]对账明细接口!$J$196=0,"",[1]对账明细接口!$J$196),"")</f>
        <v>57.9</v>
      </c>
      <c r="K196" s="18" t="str">
        <f>IFERROR(IF([1]对账明细接口!$K$196=0,"",[1]对账明细接口!$K$196),"")</f>
        <v/>
      </c>
      <c r="L196" s="16" t="str">
        <f>IFERROR(IF([1]对账明细接口!$L$196=0,"",[1]对账明细接口!$L$196),"")</f>
        <v/>
      </c>
      <c r="M196" s="16" t="str">
        <f>IFERROR(IF([1]对账明细接口!$M$196=0,"",[1]对账明细接口!$M$196),"")</f>
        <v/>
      </c>
      <c r="N196" s="19">
        <f t="shared" ref="N196:N259" si="6">IF($C196="",0,1)</f>
        <v>1</v>
      </c>
      <c r="O196" s="19">
        <f t="shared" ref="O196:O259" si="7">N(O195)+$N196</f>
        <v>193</v>
      </c>
      <c r="S196" s="20" t="str">
        <f>IFERROR(IF([1]对账明细接口!$N196=0,"",[1]对账明细接口!$N196),"")</f>
        <v>公司一次性筐</v>
      </c>
      <c r="T196" s="21" t="str">
        <f>IFERROR(IF([1]对账明细接口!$O196=0,"",[1]对账明细接口!$O196),"")</f>
        <v/>
      </c>
      <c r="U196" s="21" t="str">
        <f>IFERROR(IF([1]对账明细接口!$P196=0,"",[1]对账明细接口!$P196),"")</f>
        <v/>
      </c>
      <c r="V196" s="21">
        <f>IFERROR(IF([1]对账明细接口!$Q196=0,"",[1]对账明细接口!$Q196),"")</f>
        <v>3</v>
      </c>
      <c r="W196" s="20" t="str">
        <f>IFERROR(IF([1]对账明细接口!$R196=0,"",[1]对账明细接口!$R196),"")</f>
        <v>豫Q*H5591</v>
      </c>
      <c r="X196" s="20" t="str">
        <f>IFERROR(IF([1]对账明细接口!$S196=0,"",[1]对账明细接口!$S196),"")</f>
        <v>公司筐</v>
      </c>
      <c r="Y196" s="20" t="str">
        <f>IFERROR(IF([1]对账明细接口!$T196=0,"",[1]对账明细接口!$T196),"")</f>
        <v/>
      </c>
      <c r="Z196" s="24" t="str">
        <f>IFERROR(IF([1]对账明细接口!$U196=0,"",[1]对账明细接口!$U196),"")</f>
        <v/>
      </c>
      <c r="AA196" s="24" t="str">
        <f>IFERROR(IF([1]对账明细接口!$V196=0,"",[1]对账明细接口!$V196),"")</f>
        <v/>
      </c>
      <c r="AB196" s="20" t="str">
        <f>IFERROR(IF([1]对账明细接口!$W196=0,"",[1]对账明细接口!$W196),"")</f>
        <v/>
      </c>
      <c r="AC196" s="7" t="str">
        <f>IFERROR(IF([1]对账明细接口!$X196=0,"",[1]对账明细接口!$X196),"")</f>
        <v/>
      </c>
      <c r="AD196" s="7" t="str">
        <f>IFERROR(IF([1]对账明细接口!$Y196=0,"",[1]对账明细接口!$Y196),"")</f>
        <v/>
      </c>
      <c r="AE196" s="7" t="str">
        <f>IFERROR(IF([1]对账明细接口!$AA196=0,"",[1]对账明细接口!$AA196),"")</f>
        <v/>
      </c>
      <c r="AF196" s="7" t="str">
        <f>IFERROR(IF([1]对账明细接口!$AB196=0,"",[1]对账明细接口!$AB196),"")</f>
        <v/>
      </c>
      <c r="AG196" s="7" t="str">
        <f>IFERROR(IF([1]对账明细接口!$AC196=0,"",[1]对账明细接口!$AC196),"")</f>
        <v/>
      </c>
      <c r="AH196" s="7" t="str">
        <f>IFERROR(IF([1]对账明细接口!$AD196=0,"",[1]对账明细接口!$AD196),"")</f>
        <v/>
      </c>
      <c r="AI196" s="7" t="str">
        <f>IFERROR(IF([1]对账明细接口!$AE196=0,"",[1]对账明细接口!$AE196),"")</f>
        <v/>
      </c>
      <c r="AJ196" s="7" t="str">
        <f>IFERROR(IF([1]对账明细接口!$AF196=0,"",[1]对账明细接口!$AF196),"")</f>
        <v/>
      </c>
    </row>
    <row r="197" ht="14.25" customHeight="1" spans="1:36">
      <c r="A197" s="14">
        <v>197</v>
      </c>
      <c r="B197" s="15">
        <f>IFERROR(IF([1]对账明细接口!$B$197=0,"",[1]对账明细接口!$B$197),"")</f>
        <v>46277</v>
      </c>
      <c r="C197" s="16" t="str">
        <f>IFERROR(IF([1]对账明细接口!$C$197=0,"",[1]对账明细接口!$C$197),"")</f>
        <v>王照雪</v>
      </c>
      <c r="D197" s="16" t="str">
        <f>IFERROR(IF([1]对账明细接口!$D$197=0,"",[1]对账明细接口!$D$197),"")</f>
        <v>原料入库</v>
      </c>
      <c r="E197" s="16" t="str">
        <f>IFERROR(IF([1]对账明细接口!$E$197=0,"",[1]对账明细接口!$E$197),"")</f>
        <v>NO:0000789</v>
      </c>
      <c r="F197" s="16" t="str">
        <f>IFERROR(IF([1]对账明细接口!$F$197=0,"",[1]对账明细接口!$F$197),"")</f>
        <v>香梨</v>
      </c>
      <c r="G197" s="16" t="str">
        <f>IFERROR(IF([1]对账明细接口!$G$197=0,"",[1]对账明细接口!$G$197),"")</f>
        <v>香梨一级</v>
      </c>
      <c r="H197" s="17">
        <f>IFERROR(IF([1]对账明细接口!$H$197=0,"",[1]对账明细接口!$H$197),"")</f>
        <v>99</v>
      </c>
      <c r="I197" s="16" t="str">
        <f>IFERROR(IF([1]对账明细接口!$I$197=0,"",[1]对账明细接口!$I$197),"")</f>
        <v>筐</v>
      </c>
      <c r="J197" s="18">
        <f>IFERROR(IF([1]对账明细接口!$J$197=0,"",[1]对账明细接口!$J$197),"")</f>
        <v>1831.5</v>
      </c>
      <c r="K197" s="18" t="str">
        <f>IFERROR(IF([1]对账明细接口!$K$197=0,"",[1]对账明细接口!$K$197),"")</f>
        <v/>
      </c>
      <c r="L197" s="16" t="str">
        <f>IFERROR(IF([1]对账明细接口!$L$197=0,"",[1]对账明细接口!$L$197),"")</f>
        <v/>
      </c>
      <c r="M197" s="16" t="str">
        <f>IFERROR(IF([1]对账明细接口!$M$197=0,"",[1]对账明细接口!$M$197),"")</f>
        <v/>
      </c>
      <c r="N197" s="19">
        <f t="shared" si="6"/>
        <v>1</v>
      </c>
      <c r="O197" s="19">
        <f t="shared" si="7"/>
        <v>194</v>
      </c>
      <c r="S197" s="20" t="str">
        <f>IFERROR(IF([1]对账明细接口!$N197=0,"",[1]对账明细接口!$N197),"")</f>
        <v>公司一次性筐</v>
      </c>
      <c r="T197" s="21" t="str">
        <f>IFERROR(IF([1]对账明细接口!$O197=0,"",[1]对账明细接口!$O197),"")</f>
        <v/>
      </c>
      <c r="U197" s="21" t="str">
        <f>IFERROR(IF([1]对账明细接口!$P197=0,"",[1]对账明细接口!$P197),"")</f>
        <v/>
      </c>
      <c r="V197" s="21">
        <f>IFERROR(IF([1]对账明细接口!$Q197=0,"",[1]对账明细接口!$Q197),"")</f>
        <v>99</v>
      </c>
      <c r="W197" s="20" t="str">
        <f>IFERROR(IF([1]对账明细接口!$R197=0,"",[1]对账明细接口!$R197),"")</f>
        <v>豫L*88X19</v>
      </c>
      <c r="X197" s="20" t="str">
        <f>IFERROR(IF([1]对账明细接口!$S197=0,"",[1]对账明细接口!$S197),"")</f>
        <v>公司筐</v>
      </c>
      <c r="Y197" s="20" t="str">
        <f>IFERROR(IF([1]对账明细接口!$T197=0,"",[1]对账明细接口!$T197),"")</f>
        <v/>
      </c>
      <c r="Z197" s="24" t="str">
        <f>IFERROR(IF([1]对账明细接口!$U197=0,"",[1]对账明细接口!$U197),"")</f>
        <v/>
      </c>
      <c r="AA197" s="24" t="str">
        <f>IFERROR(IF([1]对账明细接口!$V197=0,"",[1]对账明细接口!$V197),"")</f>
        <v/>
      </c>
      <c r="AB197" s="20" t="str">
        <f>IFERROR(IF([1]对账明细接口!$W197=0,"",[1]对账明细接口!$W197),"")</f>
        <v/>
      </c>
      <c r="AC197" s="7" t="str">
        <f>IFERROR(IF([1]对账明细接口!$X197=0,"",[1]对账明细接口!$X197),"")</f>
        <v/>
      </c>
      <c r="AD197" s="7" t="str">
        <f>IFERROR(IF([1]对账明细接口!$Y197=0,"",[1]对账明细接口!$Y197),"")</f>
        <v/>
      </c>
      <c r="AE197" s="7" t="str">
        <f>IFERROR(IF([1]对账明细接口!$AA197=0,"",[1]对账明细接口!$AA197),"")</f>
        <v/>
      </c>
      <c r="AF197" s="7" t="str">
        <f>IFERROR(IF([1]对账明细接口!$AB197=0,"",[1]对账明细接口!$AB197),"")</f>
        <v/>
      </c>
      <c r="AG197" s="7" t="str">
        <f>IFERROR(IF([1]对账明细接口!$AC197=0,"",[1]对账明细接口!$AC197),"")</f>
        <v/>
      </c>
      <c r="AH197" s="7" t="str">
        <f>IFERROR(IF([1]对账明细接口!$AD197=0,"",[1]对账明细接口!$AD197),"")</f>
        <v/>
      </c>
      <c r="AI197" s="7" t="str">
        <f>IFERROR(IF([1]对账明细接口!$AE197=0,"",[1]对账明细接口!$AE197),"")</f>
        <v/>
      </c>
      <c r="AJ197" s="7" t="str">
        <f>IFERROR(IF([1]对账明细接口!$AF197=0,"",[1]对账明细接口!$AF197),"")</f>
        <v/>
      </c>
    </row>
    <row r="198" ht="14.25" customHeight="1" spans="1:36">
      <c r="A198" s="14">
        <v>198</v>
      </c>
      <c r="B198" s="15">
        <f>IFERROR(IF([1]对账明细接口!$B$198=0,"",[1]对账明细接口!$B$198),"")</f>
        <v>46277</v>
      </c>
      <c r="C198" s="16" t="str">
        <f>IFERROR(IF([1]对账明细接口!$C$198=0,"",[1]对账明细接口!$C$198),"")</f>
        <v>王照雪</v>
      </c>
      <c r="D198" s="16" t="str">
        <f>IFERROR(IF([1]对账明细接口!$D$198=0,"",[1]对账明细接口!$D$198),"")</f>
        <v>原料入库</v>
      </c>
      <c r="E198" s="16" t="str">
        <f>IFERROR(IF([1]对账明细接口!$E$198=0,"",[1]对账明细接口!$E$198),"")</f>
        <v>NO:0000789</v>
      </c>
      <c r="F198" s="16" t="str">
        <f>IFERROR(IF([1]对账明细接口!$F$198=0,"",[1]对账明细接口!$F$198),"")</f>
        <v>香梨</v>
      </c>
      <c r="G198" s="16" t="str">
        <f>IFERROR(IF([1]对账明细接口!$G$198=0,"",[1]对账明细接口!$G$198),"")</f>
        <v>香梨二级</v>
      </c>
      <c r="H198" s="17">
        <f>IFERROR(IF([1]对账明细接口!$H$198=0,"",[1]对账明细接口!$H$198),"")</f>
        <v>26</v>
      </c>
      <c r="I198" s="16" t="str">
        <f>IFERROR(IF([1]对账明细接口!$I$198=0,"",[1]对账明细接口!$I$198),"")</f>
        <v>筐</v>
      </c>
      <c r="J198" s="18">
        <f>IFERROR(IF([1]对账明细接口!$J$198=0,"",[1]对账明细接口!$J$198),"")</f>
        <v>585</v>
      </c>
      <c r="K198" s="18" t="str">
        <f>IFERROR(IF([1]对账明细接口!$K$198=0,"",[1]对账明细接口!$K$198),"")</f>
        <v/>
      </c>
      <c r="L198" s="16" t="str">
        <f>IFERROR(IF([1]对账明细接口!$L$198=0,"",[1]对账明细接口!$L$198),"")</f>
        <v/>
      </c>
      <c r="M198" s="16" t="str">
        <f>IFERROR(IF([1]对账明细接口!$M$198=0,"",[1]对账明细接口!$M$198),"")</f>
        <v/>
      </c>
      <c r="N198" s="19">
        <f t="shared" si="6"/>
        <v>1</v>
      </c>
      <c r="O198" s="19">
        <f t="shared" si="7"/>
        <v>195</v>
      </c>
      <c r="S198" s="20" t="str">
        <f>IFERROR(IF([1]对账明细接口!$N198=0,"",[1]对账明细接口!$N198),"")</f>
        <v>公司一次性筐</v>
      </c>
      <c r="T198" s="21" t="str">
        <f>IFERROR(IF([1]对账明细接口!$O198=0,"",[1]对账明细接口!$O198),"")</f>
        <v/>
      </c>
      <c r="U198" s="21" t="str">
        <f>IFERROR(IF([1]对账明细接口!$P198=0,"",[1]对账明细接口!$P198),"")</f>
        <v/>
      </c>
      <c r="V198" s="21">
        <f>IFERROR(IF([1]对账明细接口!$Q198=0,"",[1]对账明细接口!$Q198),"")</f>
        <v>26</v>
      </c>
      <c r="W198" s="20" t="str">
        <f>IFERROR(IF([1]对账明细接口!$R198=0,"",[1]对账明细接口!$R198),"")</f>
        <v>豫L*88X19</v>
      </c>
      <c r="X198" s="20" t="str">
        <f>IFERROR(IF([1]对账明细接口!$S198=0,"",[1]对账明细接口!$S198),"")</f>
        <v>公司筐</v>
      </c>
      <c r="Y198" s="20" t="str">
        <f>IFERROR(IF([1]对账明细接口!$T198=0,"",[1]对账明细接口!$T198),"")</f>
        <v/>
      </c>
      <c r="Z198" s="24" t="str">
        <f>IFERROR(IF([1]对账明细接口!$U198=0,"",[1]对账明细接口!$U198),"")</f>
        <v/>
      </c>
      <c r="AA198" s="24" t="str">
        <f>IFERROR(IF([1]对账明细接口!$V198=0,"",[1]对账明细接口!$V198),"")</f>
        <v/>
      </c>
      <c r="AB198" s="20" t="str">
        <f>IFERROR(IF([1]对账明细接口!$W198=0,"",[1]对账明细接口!$W198),"")</f>
        <v/>
      </c>
      <c r="AC198" s="7" t="str">
        <f>IFERROR(IF([1]对账明细接口!$X198=0,"",[1]对账明细接口!$X198),"")</f>
        <v/>
      </c>
      <c r="AD198" s="7" t="str">
        <f>IFERROR(IF([1]对账明细接口!$Y198=0,"",[1]对账明细接口!$Y198),"")</f>
        <v/>
      </c>
      <c r="AE198" s="7" t="str">
        <f>IFERROR(IF([1]对账明细接口!$AA198=0,"",[1]对账明细接口!$AA198),"")</f>
        <v/>
      </c>
      <c r="AF198" s="7" t="str">
        <f>IFERROR(IF([1]对账明细接口!$AB198=0,"",[1]对账明细接口!$AB198),"")</f>
        <v/>
      </c>
      <c r="AG198" s="7" t="str">
        <f>IFERROR(IF([1]对账明细接口!$AC198=0,"",[1]对账明细接口!$AC198),"")</f>
        <v/>
      </c>
      <c r="AH198" s="7" t="str">
        <f>IFERROR(IF([1]对账明细接口!$AD198=0,"",[1]对账明细接口!$AD198),"")</f>
        <v/>
      </c>
      <c r="AI198" s="7" t="str">
        <f>IFERROR(IF([1]对账明细接口!$AE198=0,"",[1]对账明细接口!$AE198),"")</f>
        <v/>
      </c>
      <c r="AJ198" s="7" t="str">
        <f>IFERROR(IF([1]对账明细接口!$AF198=0,"",[1]对账明细接口!$AF198),"")</f>
        <v/>
      </c>
    </row>
    <row r="199" ht="14.25" customHeight="1" spans="1:36">
      <c r="A199" s="14">
        <v>199</v>
      </c>
      <c r="B199" s="15">
        <f>IFERROR(IF([1]对账明细接口!$B$199=0,"",[1]对账明细接口!$B$199),"")</f>
        <v>46277</v>
      </c>
      <c r="C199" s="16" t="str">
        <f>IFERROR(IF([1]对账明细接口!$C$199=0,"",[1]对账明细接口!$C$199),"")</f>
        <v>王照雪</v>
      </c>
      <c r="D199" s="16" t="str">
        <f>IFERROR(IF([1]对账明细接口!$D$199=0,"",[1]对账明细接口!$D$199),"")</f>
        <v>原料入库</v>
      </c>
      <c r="E199" s="16" t="str">
        <f>IFERROR(IF([1]对账明细接口!$E$199=0,"",[1]对账明细接口!$E$199),"")</f>
        <v>NO:0000789</v>
      </c>
      <c r="F199" s="16" t="str">
        <f>IFERROR(IF([1]对账明细接口!$F$199=0,"",[1]对账明细接口!$F$199),"")</f>
        <v>香梨</v>
      </c>
      <c r="G199" s="16" t="str">
        <f>IFERROR(IF([1]对账明细接口!$G$199=0,"",[1]对账明细接口!$G$199),"")</f>
        <v>香梨副特</v>
      </c>
      <c r="H199" s="17">
        <f>IFERROR(IF([1]对账明细接口!$H$199=0,"",[1]对账明细接口!$H$199),"")</f>
        <v>89</v>
      </c>
      <c r="I199" s="16" t="str">
        <f>IFERROR(IF([1]对账明细接口!$I$199=0,"",[1]对账明细接口!$I$199),"")</f>
        <v>筐</v>
      </c>
      <c r="J199" s="18">
        <f>IFERROR(IF([1]对账明细接口!$J$199=0,"",[1]对账明细接口!$J$199),"")</f>
        <v>1646.5</v>
      </c>
      <c r="K199" s="18" t="str">
        <f>IFERROR(IF([1]对账明细接口!$K$199=0,"",[1]对账明细接口!$K$199),"")</f>
        <v/>
      </c>
      <c r="L199" s="16" t="str">
        <f>IFERROR(IF([1]对账明细接口!$L$199=0,"",[1]对账明细接口!$L$199),"")</f>
        <v/>
      </c>
      <c r="M199" s="16" t="str">
        <f>IFERROR(IF([1]对账明细接口!$M$199=0,"",[1]对账明细接口!$M$199),"")</f>
        <v/>
      </c>
      <c r="N199" s="19">
        <f t="shared" si="6"/>
        <v>1</v>
      </c>
      <c r="O199" s="19">
        <f t="shared" si="7"/>
        <v>196</v>
      </c>
      <c r="S199" s="20" t="str">
        <f>IFERROR(IF([1]对账明细接口!$N199=0,"",[1]对账明细接口!$N199),"")</f>
        <v>公司一次性筐</v>
      </c>
      <c r="T199" s="21" t="str">
        <f>IFERROR(IF([1]对账明细接口!$O199=0,"",[1]对账明细接口!$O199),"")</f>
        <v/>
      </c>
      <c r="U199" s="21" t="str">
        <f>IFERROR(IF([1]对账明细接口!$P199=0,"",[1]对账明细接口!$P199),"")</f>
        <v/>
      </c>
      <c r="V199" s="21">
        <f>IFERROR(IF([1]对账明细接口!$Q199=0,"",[1]对账明细接口!$Q199),"")</f>
        <v>89</v>
      </c>
      <c r="W199" s="20" t="str">
        <f>IFERROR(IF([1]对账明细接口!$R199=0,"",[1]对账明细接口!$R199),"")</f>
        <v>豫L*88X19</v>
      </c>
      <c r="X199" s="20" t="str">
        <f>IFERROR(IF([1]对账明细接口!$S199=0,"",[1]对账明细接口!$S199),"")</f>
        <v>公司筐</v>
      </c>
      <c r="Y199" s="20" t="str">
        <f>IFERROR(IF([1]对账明细接口!$T199=0,"",[1]对账明细接口!$T199),"")</f>
        <v/>
      </c>
      <c r="Z199" s="24" t="str">
        <f>IFERROR(IF([1]对账明细接口!$U199=0,"",[1]对账明细接口!$U199),"")</f>
        <v/>
      </c>
      <c r="AA199" s="24" t="str">
        <f>IFERROR(IF([1]对账明细接口!$V199=0,"",[1]对账明细接口!$V199),"")</f>
        <v/>
      </c>
      <c r="AB199" s="20" t="str">
        <f>IFERROR(IF([1]对账明细接口!$W199=0,"",[1]对账明细接口!$W199),"")</f>
        <v/>
      </c>
      <c r="AC199" s="7" t="str">
        <f>IFERROR(IF([1]对账明细接口!$X199=0,"",[1]对账明细接口!$X199),"")</f>
        <v/>
      </c>
      <c r="AD199" s="7" t="str">
        <f>IFERROR(IF([1]对账明细接口!$Y199=0,"",[1]对账明细接口!$Y199),"")</f>
        <v/>
      </c>
      <c r="AE199" s="7" t="str">
        <f>IFERROR(IF([1]对账明细接口!$AA199=0,"",[1]对账明细接口!$AA199),"")</f>
        <v/>
      </c>
      <c r="AF199" s="7" t="str">
        <f>IFERROR(IF([1]对账明细接口!$AB199=0,"",[1]对账明细接口!$AB199),"")</f>
        <v/>
      </c>
      <c r="AG199" s="7" t="str">
        <f>IFERROR(IF([1]对账明细接口!$AC199=0,"",[1]对账明细接口!$AC199),"")</f>
        <v/>
      </c>
      <c r="AH199" s="7" t="str">
        <f>IFERROR(IF([1]对账明细接口!$AD199=0,"",[1]对账明细接口!$AD199),"")</f>
        <v/>
      </c>
      <c r="AI199" s="7" t="str">
        <f>IFERROR(IF([1]对账明细接口!$AE199=0,"",[1]对账明细接口!$AE199),"")</f>
        <v/>
      </c>
      <c r="AJ199" s="7" t="str">
        <f>IFERROR(IF([1]对账明细接口!$AF199=0,"",[1]对账明细接口!$AF199),"")</f>
        <v/>
      </c>
    </row>
    <row r="200" ht="14.25" customHeight="1" spans="1:36">
      <c r="A200" s="14">
        <v>200</v>
      </c>
      <c r="B200" s="15">
        <f>IFERROR(IF([1]对账明细接口!$B$200=0,"",[1]对账明细接口!$B$200),"")</f>
        <v>46277</v>
      </c>
      <c r="C200" s="16" t="str">
        <f>IFERROR(IF([1]对账明细接口!$C$200=0,"",[1]对账明细接口!$C$200),"")</f>
        <v>马锦祥</v>
      </c>
      <c r="D200" s="16" t="str">
        <f>IFERROR(IF([1]对账明细接口!$D$200=0,"",[1]对账明细接口!$D$200),"")</f>
        <v>原料入库</v>
      </c>
      <c r="E200" s="16" t="str">
        <f>IFERROR(IF([1]对账明细接口!$E$200=0,"",[1]对账明细接口!$E$200),"")</f>
        <v>NO:0000790</v>
      </c>
      <c r="F200" s="16" t="str">
        <f>IFERROR(IF([1]对账明细接口!$F$200=0,"",[1]对账明细接口!$F$200),"")</f>
        <v>香梨</v>
      </c>
      <c r="G200" s="16" t="str">
        <f>IFERROR(IF([1]对账明细接口!$G$200=0,"",[1]对账明细接口!$G$200),"")</f>
        <v>香梨一级</v>
      </c>
      <c r="H200" s="17">
        <f>IFERROR(IF([1]对账明细接口!$H$200=0,"",[1]对账明细接口!$H$200),"")</f>
        <v>312</v>
      </c>
      <c r="I200" s="16" t="str">
        <f>IFERROR(IF([1]对账明细接口!$I$200=0,"",[1]对账明细接口!$I$200),"")</f>
        <v>筐</v>
      </c>
      <c r="J200" s="18">
        <f>IFERROR(IF([1]对账明细接口!$J$200=0,"",[1]对账明细接口!$J$200),"")</f>
        <v>5709.6</v>
      </c>
      <c r="K200" s="18" t="str">
        <f>IFERROR(IF([1]对账明细接口!$K$200=0,"",[1]对账明细接口!$K$200),"")</f>
        <v/>
      </c>
      <c r="L200" s="16" t="str">
        <f>IFERROR(IF([1]对账明细接口!$L$200=0,"",[1]对账明细接口!$L$200),"")</f>
        <v/>
      </c>
      <c r="M200" s="16" t="str">
        <f>IFERROR(IF([1]对账明细接口!$M$200=0,"",[1]对账明细接口!$M$200),"")</f>
        <v/>
      </c>
      <c r="N200" s="19">
        <f t="shared" si="6"/>
        <v>1</v>
      </c>
      <c r="O200" s="19">
        <f t="shared" si="7"/>
        <v>197</v>
      </c>
      <c r="S200" s="20" t="str">
        <f>IFERROR(IF([1]对账明细接口!$N200=0,"",[1]对账明细接口!$N200),"")</f>
        <v>公司杂周转筐</v>
      </c>
      <c r="T200" s="21" t="str">
        <f>IFERROR(IF([1]对账明细接口!$O200=0,"",[1]对账明细接口!$O200),"")</f>
        <v/>
      </c>
      <c r="U200" s="21" t="str">
        <f>IFERROR(IF([1]对账明细接口!$P200=0,"",[1]对账明细接口!$P200),"")</f>
        <v/>
      </c>
      <c r="V200" s="21">
        <f>IFERROR(IF([1]对账明细接口!$Q200=0,"",[1]对账明细接口!$Q200),"")</f>
        <v>312</v>
      </c>
      <c r="W200" s="20" t="str">
        <f>IFERROR(IF([1]对账明细接口!$R200=0,"",[1]对账明细接口!$R200),"")</f>
        <v>新N*K7V85</v>
      </c>
      <c r="X200" s="20" t="str">
        <f>IFERROR(IF([1]对账明细接口!$S200=0,"",[1]对账明细接口!$S200),"")</f>
        <v>公司筐</v>
      </c>
      <c r="Y200" s="20" t="str">
        <f>IFERROR(IF([1]对账明细接口!$T200=0,"",[1]对账明细接口!$T200),"")</f>
        <v/>
      </c>
      <c r="Z200" s="24" t="str">
        <f>IFERROR(IF([1]对账明细接口!$U200=0,"",[1]对账明细接口!$U200),"")</f>
        <v/>
      </c>
      <c r="AA200" s="24" t="str">
        <f>IFERROR(IF([1]对账明细接口!$V200=0,"",[1]对账明细接口!$V200),"")</f>
        <v/>
      </c>
      <c r="AB200" s="20" t="str">
        <f>IFERROR(IF([1]对账明细接口!$W200=0,"",[1]对账明细接口!$W200),"")</f>
        <v/>
      </c>
      <c r="AC200" s="7" t="str">
        <f>IFERROR(IF([1]对账明细接口!$X200=0,"",[1]对账明细接口!$X200),"")</f>
        <v/>
      </c>
      <c r="AD200" s="7" t="str">
        <f>IFERROR(IF([1]对账明细接口!$Y200=0,"",[1]对账明细接口!$Y200),"")</f>
        <v/>
      </c>
      <c r="AE200" s="7" t="str">
        <f>IFERROR(IF([1]对账明细接口!$AA200=0,"",[1]对账明细接口!$AA200),"")</f>
        <v/>
      </c>
      <c r="AF200" s="7" t="str">
        <f>IFERROR(IF([1]对账明细接口!$AB200=0,"",[1]对账明细接口!$AB200),"")</f>
        <v/>
      </c>
      <c r="AG200" s="7" t="str">
        <f>IFERROR(IF([1]对账明细接口!$AC200=0,"",[1]对账明细接口!$AC200),"")</f>
        <v/>
      </c>
      <c r="AH200" s="7" t="str">
        <f>IFERROR(IF([1]对账明细接口!$AD200=0,"",[1]对账明细接口!$AD200),"")</f>
        <v/>
      </c>
      <c r="AI200" s="7" t="str">
        <f>IFERROR(IF([1]对账明细接口!$AE200=0,"",[1]对账明细接口!$AE200),"")</f>
        <v/>
      </c>
      <c r="AJ200" s="7" t="str">
        <f>IFERROR(IF([1]对账明细接口!$AF200=0,"",[1]对账明细接口!$AF200),"")</f>
        <v/>
      </c>
    </row>
    <row r="201" ht="14.25" customHeight="1" spans="1:36">
      <c r="A201" s="14">
        <v>201</v>
      </c>
      <c r="B201" s="15">
        <f>IFERROR(IF([1]对账明细接口!$B$201=0,"",[1]对账明细接口!$B$201),"")</f>
        <v>46277</v>
      </c>
      <c r="C201" s="16" t="str">
        <f>IFERROR(IF([1]对账明细接口!$C$201=0,"",[1]对账明细接口!$C$201),"")</f>
        <v>马锦祥</v>
      </c>
      <c r="D201" s="16" t="str">
        <f>IFERROR(IF([1]对账明细接口!$D$201=0,"",[1]对账明细接口!$D$201),"")</f>
        <v>原料入库</v>
      </c>
      <c r="E201" s="16" t="str">
        <f>IFERROR(IF([1]对账明细接口!$E$201=0,"",[1]对账明细接口!$E$201),"")</f>
        <v>NO:0000790</v>
      </c>
      <c r="F201" s="16" t="str">
        <f>IFERROR(IF([1]对账明细接口!$F$201=0,"",[1]对账明细接口!$F$201),"")</f>
        <v>香梨</v>
      </c>
      <c r="G201" s="16" t="str">
        <f>IFERROR(IF([1]对账明细接口!$G$201=0,"",[1]对账明细接口!$G$201),"")</f>
        <v>香梨二级</v>
      </c>
      <c r="H201" s="17">
        <f>IFERROR(IF([1]对账明细接口!$H$201=0,"",[1]对账明细接口!$H$201),"")</f>
        <v>53</v>
      </c>
      <c r="I201" s="16" t="str">
        <f>IFERROR(IF([1]对账明细接口!$I$201=0,"",[1]对账明细接口!$I$201),"")</f>
        <v>筐</v>
      </c>
      <c r="J201" s="18">
        <f>IFERROR(IF([1]对账明细接口!$J$201=0,"",[1]对账明细接口!$J$201),"")</f>
        <v>1181.9</v>
      </c>
      <c r="K201" s="18" t="str">
        <f>IFERROR(IF([1]对账明细接口!$K$201=0,"",[1]对账明细接口!$K$201),"")</f>
        <v/>
      </c>
      <c r="L201" s="16" t="str">
        <f>IFERROR(IF([1]对账明细接口!$L$201=0,"",[1]对账明细接口!$L$201),"")</f>
        <v/>
      </c>
      <c r="M201" s="16" t="str">
        <f>IFERROR(IF([1]对账明细接口!$M$201=0,"",[1]对账明细接口!$M$201),"")</f>
        <v/>
      </c>
      <c r="N201" s="19">
        <f t="shared" si="6"/>
        <v>1</v>
      </c>
      <c r="O201" s="19">
        <f t="shared" si="7"/>
        <v>198</v>
      </c>
      <c r="S201" s="20" t="str">
        <f>IFERROR(IF([1]对账明细接口!$N201=0,"",[1]对账明细接口!$N201),"")</f>
        <v>公司杂周转筐</v>
      </c>
      <c r="T201" s="21" t="str">
        <f>IFERROR(IF([1]对账明细接口!$O201=0,"",[1]对账明细接口!$O201),"")</f>
        <v/>
      </c>
      <c r="U201" s="21" t="str">
        <f>IFERROR(IF([1]对账明细接口!$P201=0,"",[1]对账明细接口!$P201),"")</f>
        <v/>
      </c>
      <c r="V201" s="21">
        <f>IFERROR(IF([1]对账明细接口!$Q201=0,"",[1]对账明细接口!$Q201),"")</f>
        <v>53</v>
      </c>
      <c r="W201" s="20" t="str">
        <f>IFERROR(IF([1]对账明细接口!$R201=0,"",[1]对账明细接口!$R201),"")</f>
        <v>新N*K7V85</v>
      </c>
      <c r="X201" s="20" t="str">
        <f>IFERROR(IF([1]对账明细接口!$S201=0,"",[1]对账明细接口!$S201),"")</f>
        <v>公司筐</v>
      </c>
      <c r="Y201" s="20" t="str">
        <f>IFERROR(IF([1]对账明细接口!$T201=0,"",[1]对账明细接口!$T201),"")</f>
        <v/>
      </c>
      <c r="Z201" s="24" t="str">
        <f>IFERROR(IF([1]对账明细接口!$U201=0,"",[1]对账明细接口!$U201),"")</f>
        <v/>
      </c>
      <c r="AA201" s="24" t="str">
        <f>IFERROR(IF([1]对账明细接口!$V201=0,"",[1]对账明细接口!$V201),"")</f>
        <v/>
      </c>
      <c r="AB201" s="20" t="str">
        <f>IFERROR(IF([1]对账明细接口!$W201=0,"",[1]对账明细接口!$W201),"")</f>
        <v/>
      </c>
      <c r="AC201" s="7" t="str">
        <f>IFERROR(IF([1]对账明细接口!$X201=0,"",[1]对账明细接口!$X201),"")</f>
        <v/>
      </c>
      <c r="AD201" s="7" t="str">
        <f>IFERROR(IF([1]对账明细接口!$Y201=0,"",[1]对账明细接口!$Y201),"")</f>
        <v/>
      </c>
      <c r="AE201" s="7" t="str">
        <f>IFERROR(IF([1]对账明细接口!$AA201=0,"",[1]对账明细接口!$AA201),"")</f>
        <v/>
      </c>
      <c r="AF201" s="7" t="str">
        <f>IFERROR(IF([1]对账明细接口!$AB201=0,"",[1]对账明细接口!$AB201),"")</f>
        <v/>
      </c>
      <c r="AG201" s="7" t="str">
        <f>IFERROR(IF([1]对账明细接口!$AC201=0,"",[1]对账明细接口!$AC201),"")</f>
        <v/>
      </c>
      <c r="AH201" s="7" t="str">
        <f>IFERROR(IF([1]对账明细接口!$AD201=0,"",[1]对账明细接口!$AD201),"")</f>
        <v/>
      </c>
      <c r="AI201" s="7" t="str">
        <f>IFERROR(IF([1]对账明细接口!$AE201=0,"",[1]对账明细接口!$AE201),"")</f>
        <v/>
      </c>
      <c r="AJ201" s="7" t="str">
        <f>IFERROR(IF([1]对账明细接口!$AF201=0,"",[1]对账明细接口!$AF201),"")</f>
        <v/>
      </c>
    </row>
    <row r="202" ht="14.25" customHeight="1" spans="1:36">
      <c r="A202" s="14">
        <v>202</v>
      </c>
      <c r="B202" s="15">
        <f>IFERROR(IF([1]对账明细接口!$B$202=0,"",[1]对账明细接口!$B$202),"")</f>
        <v>46277</v>
      </c>
      <c r="C202" s="16" t="str">
        <f>IFERROR(IF([1]对账明细接口!$C$202=0,"",[1]对账明细接口!$C$202),"")</f>
        <v>马锦祥</v>
      </c>
      <c r="D202" s="16" t="str">
        <f>IFERROR(IF([1]对账明细接口!$D$202=0,"",[1]对账明细接口!$D$202),"")</f>
        <v>原料入库</v>
      </c>
      <c r="E202" s="16" t="str">
        <f>IFERROR(IF([1]对账明细接口!$E$202=0,"",[1]对账明细接口!$E$202),"")</f>
        <v>NO:0000790</v>
      </c>
      <c r="F202" s="16" t="str">
        <f>IFERROR(IF([1]对账明细接口!$F$202=0,"",[1]对账明细接口!$F$202),"")</f>
        <v>香梨</v>
      </c>
      <c r="G202" s="16" t="str">
        <f>IFERROR(IF([1]对账明细接口!$G$202=0,"",[1]对账明细接口!$G$202),"")</f>
        <v>香梨副特</v>
      </c>
      <c r="H202" s="17">
        <f>IFERROR(IF([1]对账明细接口!$H$202=0,"",[1]对账明细接口!$H$202),"")</f>
        <v>35</v>
      </c>
      <c r="I202" s="16" t="str">
        <f>IFERROR(IF([1]对账明细接口!$I$202=0,"",[1]对账明细接口!$I$202),"")</f>
        <v>筐</v>
      </c>
      <c r="J202" s="18">
        <f>IFERROR(IF([1]对账明细接口!$J$202=0,"",[1]对账明细接口!$J$202),"")</f>
        <v>640.5</v>
      </c>
      <c r="K202" s="18" t="str">
        <f>IFERROR(IF([1]对账明细接口!$K$202=0,"",[1]对账明细接口!$K$202),"")</f>
        <v/>
      </c>
      <c r="L202" s="16" t="str">
        <f>IFERROR(IF([1]对账明细接口!$L$202=0,"",[1]对账明细接口!$L$202),"")</f>
        <v/>
      </c>
      <c r="M202" s="16" t="str">
        <f>IFERROR(IF([1]对账明细接口!$M$202=0,"",[1]对账明细接口!$M$202),"")</f>
        <v/>
      </c>
      <c r="N202" s="19">
        <f t="shared" si="6"/>
        <v>1</v>
      </c>
      <c r="O202" s="19">
        <f t="shared" si="7"/>
        <v>199</v>
      </c>
      <c r="S202" s="20" t="str">
        <f>IFERROR(IF([1]对账明细接口!$N202=0,"",[1]对账明细接口!$N202),"")</f>
        <v>公司杂周转筐</v>
      </c>
      <c r="T202" s="21" t="str">
        <f>IFERROR(IF([1]对账明细接口!$O202=0,"",[1]对账明细接口!$O202),"")</f>
        <v/>
      </c>
      <c r="U202" s="21" t="str">
        <f>IFERROR(IF([1]对账明细接口!$P202=0,"",[1]对账明细接口!$P202),"")</f>
        <v/>
      </c>
      <c r="V202" s="21">
        <f>IFERROR(IF([1]对账明细接口!$Q202=0,"",[1]对账明细接口!$Q202),"")</f>
        <v>35</v>
      </c>
      <c r="W202" s="20" t="str">
        <f>IFERROR(IF([1]对账明细接口!$R202=0,"",[1]对账明细接口!$R202),"")</f>
        <v>新N*K7V85</v>
      </c>
      <c r="X202" s="20" t="str">
        <f>IFERROR(IF([1]对账明细接口!$S202=0,"",[1]对账明细接口!$S202),"")</f>
        <v>公司筐</v>
      </c>
      <c r="Y202" s="20" t="str">
        <f>IFERROR(IF([1]对账明细接口!$T202=0,"",[1]对账明细接口!$T202),"")</f>
        <v/>
      </c>
      <c r="Z202" s="24" t="str">
        <f>IFERROR(IF([1]对账明细接口!$U202=0,"",[1]对账明细接口!$U202),"")</f>
        <v/>
      </c>
      <c r="AA202" s="24" t="str">
        <f>IFERROR(IF([1]对账明细接口!$V202=0,"",[1]对账明细接口!$V202),"")</f>
        <v/>
      </c>
      <c r="AB202" s="20" t="str">
        <f>IFERROR(IF([1]对账明细接口!$W202=0,"",[1]对账明细接口!$W202),"")</f>
        <v/>
      </c>
      <c r="AC202" s="7" t="str">
        <f>IFERROR(IF([1]对账明细接口!$X202=0,"",[1]对账明细接口!$X202),"")</f>
        <v/>
      </c>
      <c r="AD202" s="7" t="str">
        <f>IFERROR(IF([1]对账明细接口!$Y202=0,"",[1]对账明细接口!$Y202),"")</f>
        <v/>
      </c>
      <c r="AE202" s="7" t="str">
        <f>IFERROR(IF([1]对账明细接口!$AA202=0,"",[1]对账明细接口!$AA202),"")</f>
        <v/>
      </c>
      <c r="AF202" s="7" t="str">
        <f>IFERROR(IF([1]对账明细接口!$AB202=0,"",[1]对账明细接口!$AB202),"")</f>
        <v/>
      </c>
      <c r="AG202" s="7" t="str">
        <f>IFERROR(IF([1]对账明细接口!$AC202=0,"",[1]对账明细接口!$AC202),"")</f>
        <v/>
      </c>
      <c r="AH202" s="7" t="str">
        <f>IFERROR(IF([1]对账明细接口!$AD202=0,"",[1]对账明细接口!$AD202),"")</f>
        <v/>
      </c>
      <c r="AI202" s="7" t="str">
        <f>IFERROR(IF([1]对账明细接口!$AE202=0,"",[1]对账明细接口!$AE202),"")</f>
        <v/>
      </c>
      <c r="AJ202" s="7" t="str">
        <f>IFERROR(IF([1]对账明细接口!$AF202=0,"",[1]对账明细接口!$AF202),"")</f>
        <v/>
      </c>
    </row>
    <row r="203" ht="14.25" customHeight="1" spans="1:36">
      <c r="A203" s="14">
        <v>203</v>
      </c>
      <c r="B203" s="15">
        <f>IFERROR(IF([1]对账明细接口!$B$203=0,"",[1]对账明细接口!$B$203),"")</f>
        <v>46277</v>
      </c>
      <c r="C203" s="16" t="str">
        <f>IFERROR(IF([1]对账明细接口!$C$203=0,"",[1]对账明细接口!$C$203),"")</f>
        <v>王照雪</v>
      </c>
      <c r="D203" s="16" t="str">
        <f>IFERROR(IF([1]对账明细接口!$D$203=0,"",[1]对账明细接口!$D$203),"")</f>
        <v>原料入库</v>
      </c>
      <c r="E203" s="16" t="str">
        <f>IFERROR(IF([1]对账明细接口!$E$203=0,"",[1]对账明细接口!$E$203),"")</f>
        <v>NO:0000792</v>
      </c>
      <c r="F203" s="16" t="str">
        <f>IFERROR(IF([1]对账明细接口!$F$203=0,"",[1]对账明细接口!$F$203),"")</f>
        <v>苹果</v>
      </c>
      <c r="G203" s="16" t="str">
        <f>IFERROR(IF([1]对账明细接口!$G$203=0,"",[1]对账明细接口!$G$203),"")</f>
        <v>新世纪一级</v>
      </c>
      <c r="H203" s="17">
        <f>IFERROR(IF([1]对账明细接口!$H$203=0,"",[1]对账明细接口!$H$203),"")</f>
        <v>110</v>
      </c>
      <c r="I203" s="16" t="str">
        <f>IFERROR(IF([1]对账明细接口!$I$203=0,"",[1]对账明细接口!$I$203),"")</f>
        <v>筐</v>
      </c>
      <c r="J203" s="18">
        <f>IFERROR(IF([1]对账明细接口!$J$203=0,"",[1]对账明细接口!$J$203),"")</f>
        <v>1903</v>
      </c>
      <c r="K203" s="18" t="str">
        <f>IFERROR(IF([1]对账明细接口!$K$203=0,"",[1]对账明细接口!$K$203),"")</f>
        <v/>
      </c>
      <c r="L203" s="16" t="str">
        <f>IFERROR(IF([1]对账明细接口!$L$203=0,"",[1]对账明细接口!$L$203),"")</f>
        <v/>
      </c>
      <c r="M203" s="16" t="str">
        <f>IFERROR(IF([1]对账明细接口!$M$203=0,"",[1]对账明细接口!$M$203),"")</f>
        <v>光果</v>
      </c>
      <c r="N203" s="19">
        <f t="shared" si="6"/>
        <v>1</v>
      </c>
      <c r="O203" s="19">
        <f t="shared" si="7"/>
        <v>200</v>
      </c>
      <c r="S203" s="20" t="str">
        <f>IFERROR(IF([1]对账明细接口!$N203=0,"",[1]对账明细接口!$N203),"")</f>
        <v>公司杂周转筐</v>
      </c>
      <c r="T203" s="21" t="str">
        <f>IFERROR(IF([1]对账明细接口!$O203=0,"",[1]对账明细接口!$O203),"")</f>
        <v/>
      </c>
      <c r="U203" s="21" t="str">
        <f>IFERROR(IF([1]对账明细接口!$P203=0,"",[1]对账明细接口!$P203),"")</f>
        <v/>
      </c>
      <c r="V203" s="21">
        <f>IFERROR(IF([1]对账明细接口!$Q203=0,"",[1]对账明细接口!$Q203),"")</f>
        <v>110</v>
      </c>
      <c r="W203" s="20" t="str">
        <f>IFERROR(IF([1]对账明细接口!$R203=0,"",[1]对账明细接口!$R203),"")</f>
        <v>豫L*88X19</v>
      </c>
      <c r="X203" s="20" t="str">
        <f>IFERROR(IF([1]对账明细接口!$S203=0,"",[1]对账明细接口!$S203),"")</f>
        <v>公司筐</v>
      </c>
      <c r="Y203" s="20" t="str">
        <f>IFERROR(IF([1]对账明细接口!$T203=0,"",[1]对账明细接口!$T203),"")</f>
        <v/>
      </c>
      <c r="Z203" s="24" t="str">
        <f>IFERROR(IF([1]对账明细接口!$U203=0,"",[1]对账明细接口!$U203),"")</f>
        <v/>
      </c>
      <c r="AA203" s="24" t="str">
        <f>IFERROR(IF([1]对账明细接口!$V203=0,"",[1]对账明细接口!$V203),"")</f>
        <v/>
      </c>
      <c r="AB203" s="20" t="str">
        <f>IFERROR(IF([1]对账明细接口!$W203=0,"",[1]对账明细接口!$W203),"")</f>
        <v/>
      </c>
      <c r="AC203" s="7" t="str">
        <f>IFERROR(IF([1]对账明细接口!$X203=0,"",[1]对账明细接口!$X203),"")</f>
        <v/>
      </c>
      <c r="AD203" s="7" t="str">
        <f>IFERROR(IF([1]对账明细接口!$Y203=0,"",[1]对账明细接口!$Y203),"")</f>
        <v/>
      </c>
      <c r="AE203" s="7" t="str">
        <f>IFERROR(IF([1]对账明细接口!$AA203=0,"",[1]对账明细接口!$AA203),"")</f>
        <v/>
      </c>
      <c r="AF203" s="7" t="str">
        <f>IFERROR(IF([1]对账明细接口!$AB203=0,"",[1]对账明细接口!$AB203),"")</f>
        <v/>
      </c>
      <c r="AG203" s="7" t="str">
        <f>IFERROR(IF([1]对账明细接口!$AC203=0,"",[1]对账明细接口!$AC203),"")</f>
        <v/>
      </c>
      <c r="AH203" s="7" t="str">
        <f>IFERROR(IF([1]对账明细接口!$AD203=0,"",[1]对账明细接口!$AD203),"")</f>
        <v/>
      </c>
      <c r="AI203" s="7" t="str">
        <f>IFERROR(IF([1]对账明细接口!$AE203=0,"",[1]对账明细接口!$AE203),"")</f>
        <v/>
      </c>
      <c r="AJ203" s="7" t="str">
        <f>IFERROR(IF([1]对账明细接口!$AF203=0,"",[1]对账明细接口!$AF203),"")</f>
        <v/>
      </c>
    </row>
    <row r="204" ht="14.25" customHeight="1" spans="1:36">
      <c r="A204" s="14">
        <v>204</v>
      </c>
      <c r="B204" s="15">
        <f>IFERROR(IF([1]对账明细接口!$B$204=0,"",[1]对账明细接口!$B$204),"")</f>
        <v>46277</v>
      </c>
      <c r="C204" s="16" t="str">
        <f>IFERROR(IF([1]对账明细接口!$C$204=0,"",[1]对账明细接口!$C$204),"")</f>
        <v>王照雪</v>
      </c>
      <c r="D204" s="16" t="str">
        <f>IFERROR(IF([1]对账明细接口!$D$204=0,"",[1]对账明细接口!$D$204),"")</f>
        <v>原料入库</v>
      </c>
      <c r="E204" s="16" t="str">
        <f>IFERROR(IF([1]对账明细接口!$E$204=0,"",[1]对账明细接口!$E$204),"")</f>
        <v>NO:0000792</v>
      </c>
      <c r="F204" s="16" t="str">
        <f>IFERROR(IF([1]对账明细接口!$F$204=0,"",[1]对账明细接口!$F$204),"")</f>
        <v>苹果</v>
      </c>
      <c r="G204" s="16" t="str">
        <f>IFERROR(IF([1]对账明细接口!$G$204=0,"",[1]对账明细接口!$G$204),"")</f>
        <v>新世纪二级</v>
      </c>
      <c r="H204" s="17">
        <f>IFERROR(IF([1]对账明细接口!$H$204=0,"",[1]对账明细接口!$H$204),"")</f>
        <v>58</v>
      </c>
      <c r="I204" s="16" t="str">
        <f>IFERROR(IF([1]对账明细接口!$I$204=0,"",[1]对账明细接口!$I$204),"")</f>
        <v>筐</v>
      </c>
      <c r="J204" s="18">
        <f>IFERROR(IF([1]对账明细接口!$J$204=0,"",[1]对账明细接口!$J$204),"")</f>
        <v>1293.4</v>
      </c>
      <c r="K204" s="18" t="str">
        <f>IFERROR(IF([1]对账明细接口!$K$204=0,"",[1]对账明细接口!$K$204),"")</f>
        <v/>
      </c>
      <c r="L204" s="16" t="str">
        <f>IFERROR(IF([1]对账明细接口!$L$204=0,"",[1]对账明细接口!$L$204),"")</f>
        <v/>
      </c>
      <c r="M204" s="16" t="str">
        <f>IFERROR(IF([1]对账明细接口!$M$204=0,"",[1]对账明细接口!$M$204),"")</f>
        <v>光果</v>
      </c>
      <c r="N204" s="19">
        <f t="shared" si="6"/>
        <v>1</v>
      </c>
      <c r="O204" s="19">
        <f t="shared" si="7"/>
        <v>201</v>
      </c>
      <c r="S204" s="20" t="str">
        <f>IFERROR(IF([1]对账明细接口!$N204=0,"",[1]对账明细接口!$N204),"")</f>
        <v>公司杂周转筐</v>
      </c>
      <c r="T204" s="21" t="str">
        <f>IFERROR(IF([1]对账明细接口!$O204=0,"",[1]对账明细接口!$O204),"")</f>
        <v/>
      </c>
      <c r="U204" s="21" t="str">
        <f>IFERROR(IF([1]对账明细接口!$P204=0,"",[1]对账明细接口!$P204),"")</f>
        <v/>
      </c>
      <c r="V204" s="21">
        <f>IFERROR(IF([1]对账明细接口!$Q204=0,"",[1]对账明细接口!$Q204),"")</f>
        <v>58</v>
      </c>
      <c r="W204" s="20" t="str">
        <f>IFERROR(IF([1]对账明细接口!$R204=0,"",[1]对账明细接口!$R204),"")</f>
        <v>豫L*88X19</v>
      </c>
      <c r="X204" s="20" t="str">
        <f>IFERROR(IF([1]对账明细接口!$S204=0,"",[1]对账明细接口!$S204),"")</f>
        <v>公司筐</v>
      </c>
      <c r="Y204" s="20" t="str">
        <f>IFERROR(IF([1]对账明细接口!$T204=0,"",[1]对账明细接口!$T204),"")</f>
        <v/>
      </c>
      <c r="Z204" s="24" t="str">
        <f>IFERROR(IF([1]对账明细接口!$U204=0,"",[1]对账明细接口!$U204),"")</f>
        <v/>
      </c>
      <c r="AA204" s="24" t="str">
        <f>IFERROR(IF([1]对账明细接口!$V204=0,"",[1]对账明细接口!$V204),"")</f>
        <v/>
      </c>
      <c r="AB204" s="20" t="str">
        <f>IFERROR(IF([1]对账明细接口!$W204=0,"",[1]对账明细接口!$W204),"")</f>
        <v/>
      </c>
      <c r="AC204" s="7" t="str">
        <f>IFERROR(IF([1]对账明细接口!$X204=0,"",[1]对账明细接口!$X204),"")</f>
        <v/>
      </c>
      <c r="AD204" s="7" t="str">
        <f>IFERROR(IF([1]对账明细接口!$Y204=0,"",[1]对账明细接口!$Y204),"")</f>
        <v/>
      </c>
      <c r="AE204" s="7" t="str">
        <f>IFERROR(IF([1]对账明细接口!$AA204=0,"",[1]对账明细接口!$AA204),"")</f>
        <v/>
      </c>
      <c r="AF204" s="7" t="str">
        <f>IFERROR(IF([1]对账明细接口!$AB204=0,"",[1]对账明细接口!$AB204),"")</f>
        <v/>
      </c>
      <c r="AG204" s="7" t="str">
        <f>IFERROR(IF([1]对账明细接口!$AC204=0,"",[1]对账明细接口!$AC204),"")</f>
        <v/>
      </c>
      <c r="AH204" s="7" t="str">
        <f>IFERROR(IF([1]对账明细接口!$AD204=0,"",[1]对账明细接口!$AD204),"")</f>
        <v/>
      </c>
      <c r="AI204" s="7" t="str">
        <f>IFERROR(IF([1]对账明细接口!$AE204=0,"",[1]对账明细接口!$AE204),"")</f>
        <v/>
      </c>
      <c r="AJ204" s="7" t="str">
        <f>IFERROR(IF([1]对账明细接口!$AF204=0,"",[1]对账明细接口!$AF204),"")</f>
        <v/>
      </c>
    </row>
    <row r="205" ht="14.25" customHeight="1" spans="1:36">
      <c r="A205" s="14">
        <v>205</v>
      </c>
      <c r="B205" s="15">
        <f>IFERROR(IF([1]对账明细接口!$B$205=0,"",[1]对账明细接口!$B$205),"")</f>
        <v>46277</v>
      </c>
      <c r="C205" s="16" t="str">
        <f>IFERROR(IF([1]对账明细接口!$C$205=0,"",[1]对账明细接口!$C$205),"")</f>
        <v>麦麦提</v>
      </c>
      <c r="D205" s="16" t="str">
        <f>IFERROR(IF([1]对账明细接口!$D$205=0,"",[1]对账明细接口!$D$205),"")</f>
        <v>原料入库</v>
      </c>
      <c r="E205" s="16" t="str">
        <f>IFERROR(IF([1]对账明细接口!$E$205=0,"",[1]对账明细接口!$E$205),"")</f>
        <v>NO:0000793</v>
      </c>
      <c r="F205" s="16" t="str">
        <f>IFERROR(IF([1]对账明细接口!$F$205=0,"",[1]对账明细接口!$F$205),"")</f>
        <v>香梨</v>
      </c>
      <c r="G205" s="16" t="str">
        <f>IFERROR(IF([1]对账明细接口!$G$205=0,"",[1]对账明细接口!$G$205),"")</f>
        <v>香梨特级</v>
      </c>
      <c r="H205" s="17">
        <f>IFERROR(IF([1]对账明细接口!$H$205=0,"",[1]对账明细接口!$H$205),"")</f>
        <v>291</v>
      </c>
      <c r="I205" s="16" t="str">
        <f>IFERROR(IF([1]对账明细接口!$I$205=0,"",[1]对账明细接口!$I$205),"")</f>
        <v>筐</v>
      </c>
      <c r="J205" s="18">
        <f>IFERROR(IF([1]对账明细接口!$J$205=0,"",[1]对账明细接口!$J$205),"")</f>
        <v>5325.3</v>
      </c>
      <c r="K205" s="18" t="str">
        <f>IFERROR(IF([1]对账明细接口!$K$205=0,"",[1]对账明细接口!$K$205),"")</f>
        <v/>
      </c>
      <c r="L205" s="16" t="str">
        <f>IFERROR(IF([1]对账明细接口!$L$205=0,"",[1]对账明细接口!$L$205),"")</f>
        <v/>
      </c>
      <c r="M205" s="16" t="str">
        <f>IFERROR(IF([1]对账明细接口!$M$205=0,"",[1]对账明细接口!$M$205),"")</f>
        <v/>
      </c>
      <c r="N205" s="19">
        <f t="shared" si="6"/>
        <v>1</v>
      </c>
      <c r="O205" s="19">
        <f t="shared" si="7"/>
        <v>202</v>
      </c>
      <c r="S205" s="20" t="str">
        <f>IFERROR(IF([1]对账明细接口!$N205=0,"",[1]对账明细接口!$N205),"")</f>
        <v>公司红周转筐</v>
      </c>
      <c r="T205" s="21" t="str">
        <f>IFERROR(IF([1]对账明细接口!$O205=0,"",[1]对账明细接口!$O205),"")</f>
        <v/>
      </c>
      <c r="U205" s="21" t="str">
        <f>IFERROR(IF([1]对账明细接口!$P205=0,"",[1]对账明细接口!$P205),"")</f>
        <v/>
      </c>
      <c r="V205" s="21">
        <f>IFERROR(IF([1]对账明细接口!$Q205=0,"",[1]对账明细接口!$Q205),"")</f>
        <v>291</v>
      </c>
      <c r="W205" s="20" t="str">
        <f>IFERROR(IF([1]对账明细接口!$R205=0,"",[1]对账明细接口!$R205),"")</f>
        <v>新A*G0554</v>
      </c>
      <c r="X205" s="20" t="str">
        <f>IFERROR(IF([1]对账明细接口!$S205=0,"",[1]对账明细接口!$S205),"")</f>
        <v>公司筐</v>
      </c>
      <c r="Y205" s="20" t="str">
        <f>IFERROR(IF([1]对账明细接口!$T205=0,"",[1]对账明细接口!$T205),"")</f>
        <v/>
      </c>
      <c r="Z205" s="24" t="str">
        <f>IFERROR(IF([1]对账明细接口!$U205=0,"",[1]对账明细接口!$U205),"")</f>
        <v/>
      </c>
      <c r="AA205" s="24" t="str">
        <f>IFERROR(IF([1]对账明细接口!$V205=0,"",[1]对账明细接口!$V205),"")</f>
        <v/>
      </c>
      <c r="AB205" s="20" t="str">
        <f>IFERROR(IF([1]对账明细接口!$W205=0,"",[1]对账明细接口!$W205),"")</f>
        <v/>
      </c>
      <c r="AC205" s="7" t="str">
        <f>IFERROR(IF([1]对账明细接口!$X205=0,"",[1]对账明细接口!$X205),"")</f>
        <v/>
      </c>
      <c r="AD205" s="7" t="str">
        <f>IFERROR(IF([1]对账明细接口!$Y205=0,"",[1]对账明细接口!$Y205),"")</f>
        <v/>
      </c>
      <c r="AE205" s="7" t="str">
        <f>IFERROR(IF([1]对账明细接口!$AA205=0,"",[1]对账明细接口!$AA205),"")</f>
        <v/>
      </c>
      <c r="AF205" s="7" t="str">
        <f>IFERROR(IF([1]对账明细接口!$AB205=0,"",[1]对账明细接口!$AB205),"")</f>
        <v/>
      </c>
      <c r="AG205" s="7" t="str">
        <f>IFERROR(IF([1]对账明细接口!$AC205=0,"",[1]对账明细接口!$AC205),"")</f>
        <v/>
      </c>
      <c r="AH205" s="7" t="str">
        <f>IFERROR(IF([1]对账明细接口!$AD205=0,"",[1]对账明细接口!$AD205),"")</f>
        <v/>
      </c>
      <c r="AI205" s="7" t="str">
        <f>IFERROR(IF([1]对账明细接口!$AE205=0,"",[1]对账明细接口!$AE205),"")</f>
        <v/>
      </c>
      <c r="AJ205" s="7" t="str">
        <f>IFERROR(IF([1]对账明细接口!$AF205=0,"",[1]对账明细接口!$AF205),"")</f>
        <v/>
      </c>
    </row>
    <row r="206" ht="14.25" customHeight="1" spans="1:36">
      <c r="A206" s="14">
        <v>206</v>
      </c>
      <c r="B206" s="15">
        <f>IFERROR(IF([1]对账明细接口!$B$206=0,"",[1]对账明细接口!$B$206),"")</f>
        <v>46277</v>
      </c>
      <c r="C206" s="16" t="str">
        <f>IFERROR(IF([1]对账明细接口!$C$206=0,"",[1]对账明细接口!$C$206),"")</f>
        <v>麦麦提</v>
      </c>
      <c r="D206" s="16" t="str">
        <f>IFERROR(IF([1]对账明细接口!$D$206=0,"",[1]对账明细接口!$D$206),"")</f>
        <v>原料入库</v>
      </c>
      <c r="E206" s="16" t="str">
        <f>IFERROR(IF([1]对账明细接口!$E$206=0,"",[1]对账明细接口!$E$206),"")</f>
        <v>NO:0000793</v>
      </c>
      <c r="F206" s="16" t="str">
        <f>IFERROR(IF([1]对账明细接口!$F$206=0,"",[1]对账明细接口!$F$206),"")</f>
        <v>香梨</v>
      </c>
      <c r="G206" s="16" t="str">
        <f>IFERROR(IF([1]对账明细接口!$G$206=0,"",[1]对账明细接口!$G$206),"")</f>
        <v>香梨一级</v>
      </c>
      <c r="H206" s="17">
        <f>IFERROR(IF([1]对账明细接口!$H$206=0,"",[1]对账明细接口!$H$206),"")</f>
        <v>194</v>
      </c>
      <c r="I206" s="16" t="str">
        <f>IFERROR(IF([1]对账明细接口!$I$206=0,"",[1]对账明细接口!$I$206),"")</f>
        <v>筐</v>
      </c>
      <c r="J206" s="18">
        <f>IFERROR(IF([1]对账明细接口!$J$206=0,"",[1]对账明细接口!$J$206),"")</f>
        <v>3550.2</v>
      </c>
      <c r="K206" s="18" t="str">
        <f>IFERROR(IF([1]对账明细接口!$K$206=0,"",[1]对账明细接口!$K$206),"")</f>
        <v/>
      </c>
      <c r="L206" s="16" t="str">
        <f>IFERROR(IF([1]对账明细接口!$L$206=0,"",[1]对账明细接口!$L$206),"")</f>
        <v/>
      </c>
      <c r="M206" s="16" t="str">
        <f>IFERROR(IF([1]对账明细接口!$M$206=0,"",[1]对账明细接口!$M$206),"")</f>
        <v/>
      </c>
      <c r="N206" s="19">
        <f t="shared" si="6"/>
        <v>1</v>
      </c>
      <c r="O206" s="19">
        <f t="shared" si="7"/>
        <v>203</v>
      </c>
      <c r="S206" s="20" t="str">
        <f>IFERROR(IF([1]对账明细接口!$N206=0,"",[1]对账明细接口!$N206),"")</f>
        <v>公司红周转筐</v>
      </c>
      <c r="T206" s="21" t="str">
        <f>IFERROR(IF([1]对账明细接口!$O206=0,"",[1]对账明细接口!$O206),"")</f>
        <v/>
      </c>
      <c r="U206" s="21" t="str">
        <f>IFERROR(IF([1]对账明细接口!$P206=0,"",[1]对账明细接口!$P206),"")</f>
        <v/>
      </c>
      <c r="V206" s="21">
        <f>IFERROR(IF([1]对账明细接口!$Q206=0,"",[1]对账明细接口!$Q206),"")</f>
        <v>194</v>
      </c>
      <c r="W206" s="20" t="str">
        <f>IFERROR(IF([1]对账明细接口!$R206=0,"",[1]对账明细接口!$R206),"")</f>
        <v>新A*G0554</v>
      </c>
      <c r="X206" s="20" t="str">
        <f>IFERROR(IF([1]对账明细接口!$S206=0,"",[1]对账明细接口!$S206),"")</f>
        <v>公司筐</v>
      </c>
      <c r="Y206" s="20" t="str">
        <f>IFERROR(IF([1]对账明细接口!$T206=0,"",[1]对账明细接口!$T206),"")</f>
        <v/>
      </c>
      <c r="Z206" s="24" t="str">
        <f>IFERROR(IF([1]对账明细接口!$U206=0,"",[1]对账明细接口!$U206),"")</f>
        <v/>
      </c>
      <c r="AA206" s="24" t="str">
        <f>IFERROR(IF([1]对账明细接口!$V206=0,"",[1]对账明细接口!$V206),"")</f>
        <v/>
      </c>
      <c r="AB206" s="20" t="str">
        <f>IFERROR(IF([1]对账明细接口!$W206=0,"",[1]对账明细接口!$W206),"")</f>
        <v/>
      </c>
      <c r="AC206" s="7" t="str">
        <f>IFERROR(IF([1]对账明细接口!$X206=0,"",[1]对账明细接口!$X206),"")</f>
        <v/>
      </c>
      <c r="AD206" s="7" t="str">
        <f>IFERROR(IF([1]对账明细接口!$Y206=0,"",[1]对账明细接口!$Y206),"")</f>
        <v/>
      </c>
      <c r="AE206" s="7" t="str">
        <f>IFERROR(IF([1]对账明细接口!$AA206=0,"",[1]对账明细接口!$AA206),"")</f>
        <v/>
      </c>
      <c r="AF206" s="7" t="str">
        <f>IFERROR(IF([1]对账明细接口!$AB206=0,"",[1]对账明细接口!$AB206),"")</f>
        <v/>
      </c>
      <c r="AG206" s="7" t="str">
        <f>IFERROR(IF([1]对账明细接口!$AC206=0,"",[1]对账明细接口!$AC206),"")</f>
        <v/>
      </c>
      <c r="AH206" s="7" t="str">
        <f>IFERROR(IF([1]对账明细接口!$AD206=0,"",[1]对账明细接口!$AD206),"")</f>
        <v/>
      </c>
      <c r="AI206" s="7" t="str">
        <f>IFERROR(IF([1]对账明细接口!$AE206=0,"",[1]对账明细接口!$AE206),"")</f>
        <v/>
      </c>
      <c r="AJ206" s="7" t="str">
        <f>IFERROR(IF([1]对账明细接口!$AF206=0,"",[1]对账明细接口!$AF206),"")</f>
        <v/>
      </c>
    </row>
    <row r="207" ht="14.25" customHeight="1" spans="1:36">
      <c r="A207" s="14">
        <v>207</v>
      </c>
      <c r="B207" s="15">
        <f>IFERROR(IF([1]对账明细接口!$B$207=0,"",[1]对账明细接口!$B$207),"")</f>
        <v>46277</v>
      </c>
      <c r="C207" s="16" t="str">
        <f>IFERROR(IF([1]对账明细接口!$C$207=0,"",[1]对账明细接口!$C$207),"")</f>
        <v>麦麦提</v>
      </c>
      <c r="D207" s="16" t="str">
        <f>IFERROR(IF([1]对账明细接口!$D$207=0,"",[1]对账明细接口!$D$207),"")</f>
        <v>原料入库</v>
      </c>
      <c r="E207" s="16" t="str">
        <f>IFERROR(IF([1]对账明细接口!$E$207=0,"",[1]对账明细接口!$E$207),"")</f>
        <v>NO:0000793</v>
      </c>
      <c r="F207" s="16" t="str">
        <f>IFERROR(IF([1]对账明细接口!$F$207=0,"",[1]对账明细接口!$F$207),"")</f>
        <v>香梨</v>
      </c>
      <c r="G207" s="16" t="str">
        <f>IFERROR(IF([1]对账明细接口!$G$207=0,"",[1]对账明细接口!$G$207),"")</f>
        <v>香梨二级</v>
      </c>
      <c r="H207" s="17">
        <f>IFERROR(IF([1]对账明细接口!$H$207=0,"",[1]对账明细接口!$H$207),"")</f>
        <v>168</v>
      </c>
      <c r="I207" s="16" t="str">
        <f>IFERROR(IF([1]对账明细接口!$I$207=0,"",[1]对账明细接口!$I$207),"")</f>
        <v>筐</v>
      </c>
      <c r="J207" s="18">
        <f>IFERROR(IF([1]对账明细接口!$J$207=0,"",[1]对账明细接口!$J$207),"")</f>
        <v>3746.4</v>
      </c>
      <c r="K207" s="18" t="str">
        <f>IFERROR(IF([1]对账明细接口!$K$207=0,"",[1]对账明细接口!$K$207),"")</f>
        <v/>
      </c>
      <c r="L207" s="16" t="str">
        <f>IFERROR(IF([1]对账明细接口!$L$207=0,"",[1]对账明细接口!$L$207),"")</f>
        <v/>
      </c>
      <c r="M207" s="16" t="str">
        <f>IFERROR(IF([1]对账明细接口!$M$207=0,"",[1]对账明细接口!$M$207),"")</f>
        <v/>
      </c>
      <c r="N207" s="19">
        <f t="shared" si="6"/>
        <v>1</v>
      </c>
      <c r="O207" s="19">
        <f t="shared" si="7"/>
        <v>204</v>
      </c>
      <c r="S207" s="20" t="str">
        <f>IFERROR(IF([1]对账明细接口!$N207=0,"",[1]对账明细接口!$N207),"")</f>
        <v>公司红周转筐</v>
      </c>
      <c r="T207" s="21" t="str">
        <f>IFERROR(IF([1]对账明细接口!$O207=0,"",[1]对账明细接口!$O207),"")</f>
        <v/>
      </c>
      <c r="U207" s="21" t="str">
        <f>IFERROR(IF([1]对账明细接口!$P207=0,"",[1]对账明细接口!$P207),"")</f>
        <v/>
      </c>
      <c r="V207" s="21">
        <f>IFERROR(IF([1]对账明细接口!$Q207=0,"",[1]对账明细接口!$Q207),"")</f>
        <v>168</v>
      </c>
      <c r="W207" s="20" t="str">
        <f>IFERROR(IF([1]对账明细接口!$R207=0,"",[1]对账明细接口!$R207),"")</f>
        <v>新A*G0554</v>
      </c>
      <c r="X207" s="20" t="str">
        <f>IFERROR(IF([1]对账明细接口!$S207=0,"",[1]对账明细接口!$S207),"")</f>
        <v>公司筐</v>
      </c>
      <c r="Y207" s="20" t="str">
        <f>IFERROR(IF([1]对账明细接口!$T207=0,"",[1]对账明细接口!$T207),"")</f>
        <v/>
      </c>
      <c r="Z207" s="24" t="str">
        <f>IFERROR(IF([1]对账明细接口!$U207=0,"",[1]对账明细接口!$U207),"")</f>
        <v/>
      </c>
      <c r="AA207" s="24" t="str">
        <f>IFERROR(IF([1]对账明细接口!$V207=0,"",[1]对账明细接口!$V207),"")</f>
        <v/>
      </c>
      <c r="AB207" s="20" t="str">
        <f>IFERROR(IF([1]对账明细接口!$W207=0,"",[1]对账明细接口!$W207),"")</f>
        <v/>
      </c>
      <c r="AC207" s="7" t="str">
        <f>IFERROR(IF([1]对账明细接口!$X207=0,"",[1]对账明细接口!$X207),"")</f>
        <v/>
      </c>
      <c r="AD207" s="7" t="str">
        <f>IFERROR(IF([1]对账明细接口!$Y207=0,"",[1]对账明细接口!$Y207),"")</f>
        <v/>
      </c>
      <c r="AE207" s="7" t="str">
        <f>IFERROR(IF([1]对账明细接口!$AA207=0,"",[1]对账明细接口!$AA207),"")</f>
        <v/>
      </c>
      <c r="AF207" s="7" t="str">
        <f>IFERROR(IF([1]对账明细接口!$AB207=0,"",[1]对账明细接口!$AB207),"")</f>
        <v/>
      </c>
      <c r="AG207" s="7" t="str">
        <f>IFERROR(IF([1]对账明细接口!$AC207=0,"",[1]对账明细接口!$AC207),"")</f>
        <v/>
      </c>
      <c r="AH207" s="7" t="str">
        <f>IFERROR(IF([1]对账明细接口!$AD207=0,"",[1]对账明细接口!$AD207),"")</f>
        <v/>
      </c>
      <c r="AI207" s="7" t="str">
        <f>IFERROR(IF([1]对账明细接口!$AE207=0,"",[1]对账明细接口!$AE207),"")</f>
        <v/>
      </c>
      <c r="AJ207" s="7" t="str">
        <f>IFERROR(IF([1]对账明细接口!$AF207=0,"",[1]对账明细接口!$AF207),"")</f>
        <v/>
      </c>
    </row>
    <row r="208" ht="14.25" customHeight="1" spans="1:36">
      <c r="A208" s="14">
        <v>208</v>
      </c>
      <c r="B208" s="15">
        <f>IFERROR(IF([1]对账明细接口!$B$208=0,"",[1]对账明细接口!$B$208),"")</f>
        <v>46277</v>
      </c>
      <c r="C208" s="16" t="str">
        <f>IFERROR(IF([1]对账明细接口!$C$208=0,"",[1]对账明细接口!$C$208),"")</f>
        <v>王灵云</v>
      </c>
      <c r="D208" s="16" t="str">
        <f>IFERROR(IF([1]对账明细接口!$D$208=0,"",[1]对账明细接口!$D$208),"")</f>
        <v>原料入库</v>
      </c>
      <c r="E208" s="16" t="str">
        <f>IFERROR(IF([1]对账明细接口!$E$208=0,"",[1]对账明细接口!$E$208),"")</f>
        <v>NO:0000794</v>
      </c>
      <c r="F208" s="16" t="str">
        <f>IFERROR(IF([1]对账明细接口!$F$208=0,"",[1]对账明细接口!$F$208),"")</f>
        <v>香梨</v>
      </c>
      <c r="G208" s="16" t="str">
        <f>IFERROR(IF([1]对账明细接口!$G$208=0,"",[1]对账明细接口!$G$208),"")</f>
        <v>香梨一级</v>
      </c>
      <c r="H208" s="17">
        <f>IFERROR(IF([1]对账明细接口!$H$208=0,"",[1]对账明细接口!$H$208),"")</f>
        <v>384</v>
      </c>
      <c r="I208" s="16" t="str">
        <f>IFERROR(IF([1]对账明细接口!$I$208=0,"",[1]对账明细接口!$I$208),"")</f>
        <v>筐</v>
      </c>
      <c r="J208" s="18">
        <f>IFERROR(IF([1]对账明细接口!$J$208=0,"",[1]对账明细接口!$J$208),"")</f>
        <v>7027.2</v>
      </c>
      <c r="K208" s="18" t="str">
        <f>IFERROR(IF([1]对账明细接口!$K$208=0,"",[1]对账明细接口!$K$208),"")</f>
        <v/>
      </c>
      <c r="L208" s="16" t="str">
        <f>IFERROR(IF([1]对账明细接口!$L$208=0,"",[1]对账明细接口!$L$208),"")</f>
        <v/>
      </c>
      <c r="M208" s="16" t="str">
        <f>IFERROR(IF([1]对账明细接口!$M$208=0,"",[1]对账明细接口!$M$208),"")</f>
        <v/>
      </c>
      <c r="N208" s="19">
        <f t="shared" si="6"/>
        <v>1</v>
      </c>
      <c r="O208" s="19">
        <f t="shared" si="7"/>
        <v>205</v>
      </c>
      <c r="S208" s="20" t="str">
        <f>IFERROR(IF([1]对账明细接口!$N208=0,"",[1]对账明细接口!$N208),"")</f>
        <v>公司红周转筐</v>
      </c>
      <c r="T208" s="21" t="str">
        <f>IFERROR(IF([1]对账明细接口!$O208=0,"",[1]对账明细接口!$O208),"")</f>
        <v/>
      </c>
      <c r="U208" s="21" t="str">
        <f>IFERROR(IF([1]对账明细接口!$P208=0,"",[1]对账明细接口!$P208),"")</f>
        <v/>
      </c>
      <c r="V208" s="21">
        <f>IFERROR(IF([1]对账明细接口!$Q208=0,"",[1]对账明细接口!$Q208),"")</f>
        <v>384</v>
      </c>
      <c r="W208" s="20" t="str">
        <f>IFERROR(IF([1]对账明细接口!$R208=0,"",[1]对账明细接口!$R208),"")</f>
        <v>新N*49209</v>
      </c>
      <c r="X208" s="20" t="str">
        <f>IFERROR(IF([1]对账明细接口!$S208=0,"",[1]对账明细接口!$S208),"")</f>
        <v>公司筐</v>
      </c>
      <c r="Y208" s="20" t="str">
        <f>IFERROR(IF([1]对账明细接口!$T208=0,"",[1]对账明细接口!$T208),"")</f>
        <v/>
      </c>
      <c r="Z208" s="24" t="str">
        <f>IFERROR(IF([1]对账明细接口!$U208=0,"",[1]对账明细接口!$U208),"")</f>
        <v/>
      </c>
      <c r="AA208" s="24" t="str">
        <f>IFERROR(IF([1]对账明细接口!$V208=0,"",[1]对账明细接口!$V208),"")</f>
        <v/>
      </c>
      <c r="AB208" s="20" t="str">
        <f>IFERROR(IF([1]对账明细接口!$W208=0,"",[1]对账明细接口!$W208),"")</f>
        <v/>
      </c>
      <c r="AC208" s="7" t="str">
        <f>IFERROR(IF([1]对账明细接口!$X208=0,"",[1]对账明细接口!$X208),"")</f>
        <v/>
      </c>
      <c r="AD208" s="7" t="str">
        <f>IFERROR(IF([1]对账明细接口!$Y208=0,"",[1]对账明细接口!$Y208),"")</f>
        <v/>
      </c>
      <c r="AE208" s="7" t="str">
        <f>IFERROR(IF([1]对账明细接口!$AA208=0,"",[1]对账明细接口!$AA208),"")</f>
        <v/>
      </c>
      <c r="AF208" s="7" t="str">
        <f>IFERROR(IF([1]对账明细接口!$AB208=0,"",[1]对账明细接口!$AB208),"")</f>
        <v/>
      </c>
      <c r="AG208" s="7" t="str">
        <f>IFERROR(IF([1]对账明细接口!$AC208=0,"",[1]对账明细接口!$AC208),"")</f>
        <v/>
      </c>
      <c r="AH208" s="7" t="str">
        <f>IFERROR(IF([1]对账明细接口!$AD208=0,"",[1]对账明细接口!$AD208),"")</f>
        <v/>
      </c>
      <c r="AI208" s="7" t="str">
        <f>IFERROR(IF([1]对账明细接口!$AE208=0,"",[1]对账明细接口!$AE208),"")</f>
        <v/>
      </c>
      <c r="AJ208" s="7" t="str">
        <f>IFERROR(IF([1]对账明细接口!$AF208=0,"",[1]对账明细接口!$AF208),"")</f>
        <v/>
      </c>
    </row>
    <row r="209" ht="14.25" customHeight="1" spans="1:36">
      <c r="A209" s="14">
        <v>209</v>
      </c>
      <c r="B209" s="15">
        <f>IFERROR(IF([1]对账明细接口!$B$209=0,"",[1]对账明细接口!$B$209),"")</f>
        <v>46277</v>
      </c>
      <c r="C209" s="16" t="str">
        <f>IFERROR(IF([1]对账明细接口!$C$209=0,"",[1]对账明细接口!$C$209),"")</f>
        <v>王灵云</v>
      </c>
      <c r="D209" s="16" t="str">
        <f>IFERROR(IF([1]对账明细接口!$D$209=0,"",[1]对账明细接口!$D$209),"")</f>
        <v>原料入库</v>
      </c>
      <c r="E209" s="16" t="str">
        <f>IFERROR(IF([1]对账明细接口!$E$209=0,"",[1]对账明细接口!$E$209),"")</f>
        <v>NO:0000794</v>
      </c>
      <c r="F209" s="16" t="str">
        <f>IFERROR(IF([1]对账明细接口!$F$209=0,"",[1]对账明细接口!$F$209),"")</f>
        <v>香梨</v>
      </c>
      <c r="G209" s="16" t="str">
        <f>IFERROR(IF([1]对账明细接口!$G$209=0,"",[1]对账明细接口!$G$209),"")</f>
        <v>香梨二级</v>
      </c>
      <c r="H209" s="17">
        <f>IFERROR(IF([1]对账明细接口!$H$209=0,"",[1]对账明细接口!$H$209),"")</f>
        <v>52</v>
      </c>
      <c r="I209" s="16" t="str">
        <f>IFERROR(IF([1]对账明细接口!$I$209=0,"",[1]对账明细接口!$I$209),"")</f>
        <v>筐</v>
      </c>
      <c r="J209" s="18">
        <f>IFERROR(IF([1]对账明细接口!$J$209=0,"",[1]对账明细接口!$J$209),"")</f>
        <v>1211.6</v>
      </c>
      <c r="K209" s="18" t="str">
        <f>IFERROR(IF([1]对账明细接口!$K$209=0,"",[1]对账明细接口!$K$209),"")</f>
        <v/>
      </c>
      <c r="L209" s="16" t="str">
        <f>IFERROR(IF([1]对账明细接口!$L$209=0,"",[1]对账明细接口!$L$209),"")</f>
        <v/>
      </c>
      <c r="M209" s="16" t="str">
        <f>IFERROR(IF([1]对账明细接口!$M$209=0,"",[1]对账明细接口!$M$209),"")</f>
        <v/>
      </c>
      <c r="N209" s="19">
        <f t="shared" si="6"/>
        <v>1</v>
      </c>
      <c r="O209" s="19">
        <f t="shared" si="7"/>
        <v>206</v>
      </c>
      <c r="S209" s="20" t="str">
        <f>IFERROR(IF([1]对账明细接口!$N209=0,"",[1]对账明细接口!$N209),"")</f>
        <v>公司红周转筐</v>
      </c>
      <c r="T209" s="21" t="str">
        <f>IFERROR(IF([1]对账明细接口!$O209=0,"",[1]对账明细接口!$O209),"")</f>
        <v/>
      </c>
      <c r="U209" s="21" t="str">
        <f>IFERROR(IF([1]对账明细接口!$P209=0,"",[1]对账明细接口!$P209),"")</f>
        <v/>
      </c>
      <c r="V209" s="21">
        <f>IFERROR(IF([1]对账明细接口!$Q209=0,"",[1]对账明细接口!$Q209),"")</f>
        <v>52</v>
      </c>
      <c r="W209" s="20" t="str">
        <f>IFERROR(IF([1]对账明细接口!$R209=0,"",[1]对账明细接口!$R209),"")</f>
        <v>新N*49209</v>
      </c>
      <c r="X209" s="20" t="str">
        <f>IFERROR(IF([1]对账明细接口!$S209=0,"",[1]对账明细接口!$S209),"")</f>
        <v>公司筐</v>
      </c>
      <c r="Y209" s="20" t="str">
        <f>IFERROR(IF([1]对账明细接口!$T209=0,"",[1]对账明细接口!$T209),"")</f>
        <v/>
      </c>
      <c r="Z209" s="24" t="str">
        <f>IFERROR(IF([1]对账明细接口!$U209=0,"",[1]对账明细接口!$U209),"")</f>
        <v/>
      </c>
      <c r="AA209" s="24" t="str">
        <f>IFERROR(IF([1]对账明细接口!$V209=0,"",[1]对账明细接口!$V209),"")</f>
        <v/>
      </c>
      <c r="AB209" s="20" t="str">
        <f>IFERROR(IF([1]对账明细接口!$W209=0,"",[1]对账明细接口!$W209),"")</f>
        <v/>
      </c>
      <c r="AC209" s="7" t="str">
        <f>IFERROR(IF([1]对账明细接口!$X209=0,"",[1]对账明细接口!$X209),"")</f>
        <v/>
      </c>
      <c r="AD209" s="7" t="str">
        <f>IFERROR(IF([1]对账明细接口!$Y209=0,"",[1]对账明细接口!$Y209),"")</f>
        <v/>
      </c>
      <c r="AE209" s="7" t="str">
        <f>IFERROR(IF([1]对账明细接口!$AA209=0,"",[1]对账明细接口!$AA209),"")</f>
        <v/>
      </c>
      <c r="AF209" s="7" t="str">
        <f>IFERROR(IF([1]对账明细接口!$AB209=0,"",[1]对账明细接口!$AB209),"")</f>
        <v/>
      </c>
      <c r="AG209" s="7" t="str">
        <f>IFERROR(IF([1]对账明细接口!$AC209=0,"",[1]对账明细接口!$AC209),"")</f>
        <v/>
      </c>
      <c r="AH209" s="7" t="str">
        <f>IFERROR(IF([1]对账明细接口!$AD209=0,"",[1]对账明细接口!$AD209),"")</f>
        <v/>
      </c>
      <c r="AI209" s="7" t="str">
        <f>IFERROR(IF([1]对账明细接口!$AE209=0,"",[1]对账明细接口!$AE209),"")</f>
        <v/>
      </c>
      <c r="AJ209" s="7" t="str">
        <f>IFERROR(IF([1]对账明细接口!$AF209=0,"",[1]对账明细接口!$AF209),"")</f>
        <v/>
      </c>
    </row>
    <row r="210" ht="14.25" customHeight="1" spans="1:36">
      <c r="A210" s="14">
        <v>210</v>
      </c>
      <c r="B210" s="15">
        <f>IFERROR(IF([1]对账明细接口!$B$210=0,"",[1]对账明细接口!$B$210),"")</f>
        <v>46277</v>
      </c>
      <c r="C210" s="16" t="str">
        <f>IFERROR(IF([1]对账明细接口!$C$210=0,"",[1]对账明细接口!$C$210),"")</f>
        <v>王灵云</v>
      </c>
      <c r="D210" s="16" t="str">
        <f>IFERROR(IF([1]对账明细接口!$D$210=0,"",[1]对账明细接口!$D$210),"")</f>
        <v>原料入库</v>
      </c>
      <c r="E210" s="16" t="str">
        <f>IFERROR(IF([1]对账明细接口!$E$210=0,"",[1]对账明细接口!$E$210),"")</f>
        <v>NO:0000794</v>
      </c>
      <c r="F210" s="16" t="str">
        <f>IFERROR(IF([1]对账明细接口!$F$210=0,"",[1]对账明细接口!$F$210),"")</f>
        <v>香梨</v>
      </c>
      <c r="G210" s="16" t="str">
        <f>IFERROR(IF([1]对账明细接口!$G$210=0,"",[1]对账明细接口!$G$210),"")</f>
        <v>香梨副特</v>
      </c>
      <c r="H210" s="17">
        <f>IFERROR(IF([1]对账明细接口!$H$210=0,"",[1]对账明细接口!$H$210),"")</f>
        <v>208</v>
      </c>
      <c r="I210" s="16" t="str">
        <f>IFERROR(IF([1]对账明细接口!$I$210=0,"",[1]对账明细接口!$I$210),"")</f>
        <v>筐</v>
      </c>
      <c r="J210" s="18">
        <f>IFERROR(IF([1]对账明细接口!$J$210=0,"",[1]对账明细接口!$J$210),"")</f>
        <v>3806.4</v>
      </c>
      <c r="K210" s="18" t="str">
        <f>IFERROR(IF([1]对账明细接口!$K$210=0,"",[1]对账明细接口!$K$210),"")</f>
        <v/>
      </c>
      <c r="L210" s="16" t="str">
        <f>IFERROR(IF([1]对账明细接口!$L$210=0,"",[1]对账明细接口!$L$210),"")</f>
        <v/>
      </c>
      <c r="M210" s="16" t="str">
        <f>IFERROR(IF([1]对账明细接口!$M$210=0,"",[1]对账明细接口!$M$210),"")</f>
        <v/>
      </c>
      <c r="N210" s="19">
        <f t="shared" si="6"/>
        <v>1</v>
      </c>
      <c r="O210" s="19">
        <f t="shared" si="7"/>
        <v>207</v>
      </c>
      <c r="S210" s="20" t="str">
        <f>IFERROR(IF([1]对账明细接口!$N210=0,"",[1]对账明细接口!$N210),"")</f>
        <v>公司红周转筐</v>
      </c>
      <c r="T210" s="21" t="str">
        <f>IFERROR(IF([1]对账明细接口!$O210=0,"",[1]对账明细接口!$O210),"")</f>
        <v/>
      </c>
      <c r="U210" s="21" t="str">
        <f>IFERROR(IF([1]对账明细接口!$P210=0,"",[1]对账明细接口!$P210),"")</f>
        <v/>
      </c>
      <c r="V210" s="21">
        <f>IFERROR(IF([1]对账明细接口!$Q210=0,"",[1]对账明细接口!$Q210),"")</f>
        <v>208</v>
      </c>
      <c r="W210" s="20" t="str">
        <f>IFERROR(IF([1]对账明细接口!$R210=0,"",[1]对账明细接口!$R210),"")</f>
        <v>新N*49209</v>
      </c>
      <c r="X210" s="20" t="str">
        <f>IFERROR(IF([1]对账明细接口!$S210=0,"",[1]对账明细接口!$S210),"")</f>
        <v>公司筐</v>
      </c>
      <c r="Y210" s="20" t="str">
        <f>IFERROR(IF([1]对账明细接口!$T210=0,"",[1]对账明细接口!$T210),"")</f>
        <v/>
      </c>
      <c r="Z210" s="24" t="str">
        <f>IFERROR(IF([1]对账明细接口!$U210=0,"",[1]对账明细接口!$U210),"")</f>
        <v/>
      </c>
      <c r="AA210" s="24" t="str">
        <f>IFERROR(IF([1]对账明细接口!$V210=0,"",[1]对账明细接口!$V210),"")</f>
        <v/>
      </c>
      <c r="AB210" s="20" t="str">
        <f>IFERROR(IF([1]对账明细接口!$W210=0,"",[1]对账明细接口!$W210),"")</f>
        <v/>
      </c>
      <c r="AC210" s="7" t="str">
        <f>IFERROR(IF([1]对账明细接口!$X210=0,"",[1]对账明细接口!$X210),"")</f>
        <v/>
      </c>
      <c r="AD210" s="7" t="str">
        <f>IFERROR(IF([1]对账明细接口!$Y210=0,"",[1]对账明细接口!$Y210),"")</f>
        <v/>
      </c>
      <c r="AE210" s="7" t="str">
        <f>IFERROR(IF([1]对账明细接口!$AA210=0,"",[1]对账明细接口!$AA210),"")</f>
        <v/>
      </c>
      <c r="AF210" s="7" t="str">
        <f>IFERROR(IF([1]对账明细接口!$AB210=0,"",[1]对账明细接口!$AB210),"")</f>
        <v/>
      </c>
      <c r="AG210" s="7" t="str">
        <f>IFERROR(IF([1]对账明细接口!$AC210=0,"",[1]对账明细接口!$AC210),"")</f>
        <v/>
      </c>
      <c r="AH210" s="7" t="str">
        <f>IFERROR(IF([1]对账明细接口!$AD210=0,"",[1]对账明细接口!$AD210),"")</f>
        <v/>
      </c>
      <c r="AI210" s="7" t="str">
        <f>IFERROR(IF([1]对账明细接口!$AE210=0,"",[1]对账明细接口!$AE210),"")</f>
        <v/>
      </c>
      <c r="AJ210" s="7" t="str">
        <f>IFERROR(IF([1]对账明细接口!$AF210=0,"",[1]对账明细接口!$AF210),"")</f>
        <v/>
      </c>
    </row>
    <row r="211" ht="14.25" customHeight="1" spans="1:36">
      <c r="A211" s="14">
        <v>211</v>
      </c>
      <c r="B211" s="15">
        <f>IFERROR(IF([1]对账明细接口!$B$211=0,"",[1]对账明细接口!$B$211),"")</f>
        <v>46278</v>
      </c>
      <c r="C211" s="16" t="str">
        <f>IFERROR(IF([1]对账明细接口!$C$211=0,"",[1]对账明细接口!$C$211),"")</f>
        <v>贾建国</v>
      </c>
      <c r="D211" s="16" t="str">
        <f>IFERROR(IF([1]对账明细接口!$D$211=0,"",[1]对账明细接口!$D$211),"")</f>
        <v>原料入库</v>
      </c>
      <c r="E211" s="16" t="str">
        <f>IFERROR(IF([1]对账明细接口!$E$211=0,"",[1]对账明细接口!$E$211),"")</f>
        <v>NO:0000797</v>
      </c>
      <c r="F211" s="16" t="str">
        <f>IFERROR(IF([1]对账明细接口!$F$211=0,"",[1]对账明细接口!$F$211),"")</f>
        <v>香梨</v>
      </c>
      <c r="G211" s="16" t="str">
        <f>IFERROR(IF([1]对账明细接口!$G$211=0,"",[1]对账明细接口!$G$211),"")</f>
        <v>香梨二级</v>
      </c>
      <c r="H211" s="17">
        <f>IFERROR(IF([1]对账明细接口!$H$211=0,"",[1]对账明细接口!$H$211),"")</f>
        <v>160</v>
      </c>
      <c r="I211" s="16" t="str">
        <f>IFERROR(IF([1]对账明细接口!$I$211=0,"",[1]对账明细接口!$I$211),"")</f>
        <v>筐</v>
      </c>
      <c r="J211" s="18">
        <f>IFERROR(IF([1]对账明细接口!$J$211=0,"",[1]对账明细接口!$J$211),"")</f>
        <v>3600</v>
      </c>
      <c r="K211" s="18" t="str">
        <f>IFERROR(IF([1]对账明细接口!$K$211=0,"",[1]对账明细接口!$K$211),"")</f>
        <v/>
      </c>
      <c r="L211" s="16" t="str">
        <f>IFERROR(IF([1]对账明细接口!$L$211=0,"",[1]对账明细接口!$L$211),"")</f>
        <v/>
      </c>
      <c r="M211" s="16" t="str">
        <f>IFERROR(IF([1]对账明细接口!$M$211=0,"",[1]对账明细接口!$M$211),"")</f>
        <v/>
      </c>
      <c r="N211" s="19">
        <f t="shared" si="6"/>
        <v>1</v>
      </c>
      <c r="O211" s="19">
        <f t="shared" si="7"/>
        <v>208</v>
      </c>
      <c r="S211" s="20" t="str">
        <f>IFERROR(IF([1]对账明细接口!$N211=0,"",[1]对账明细接口!$N211),"")</f>
        <v>自备杂周转筐</v>
      </c>
      <c r="T211" s="21" t="str">
        <f>IFERROR(IF([1]对账明细接口!$O211=0,"",[1]对账明细接口!$O211),"")</f>
        <v/>
      </c>
      <c r="U211" s="21" t="str">
        <f>IFERROR(IF([1]对账明细接口!$P211=0,"",[1]对账明细接口!$P211),"")</f>
        <v/>
      </c>
      <c r="V211" s="21">
        <f>IFERROR(IF([1]对账明细接口!$Q211=0,"",[1]对账明细接口!$Q211),"")</f>
        <v>160</v>
      </c>
      <c r="W211" s="20" t="str">
        <f>IFERROR(IF([1]对账明细接口!$R211=0,"",[1]对账明细接口!$R211),"")</f>
        <v>豫Q*H5591</v>
      </c>
      <c r="X211" s="20" t="str">
        <f>IFERROR(IF([1]对账明细接口!$S211=0,"",[1]对账明细接口!$S211),"")</f>
        <v>自备筐</v>
      </c>
      <c r="Y211" s="20" t="str">
        <f>IFERROR(IF([1]对账明细接口!$T211=0,"",[1]对账明细接口!$T211),"")</f>
        <v/>
      </c>
      <c r="Z211" s="24" t="str">
        <f>IFERROR(IF([1]对账明细接口!$U211=0,"",[1]对账明细接口!$U211),"")</f>
        <v/>
      </c>
      <c r="AA211" s="24" t="str">
        <f>IFERROR(IF([1]对账明细接口!$V211=0,"",[1]对账明细接口!$V211),"")</f>
        <v/>
      </c>
      <c r="AB211" s="20" t="str">
        <f>IFERROR(IF([1]对账明细接口!$W211=0,"",[1]对账明细接口!$W211),"")</f>
        <v/>
      </c>
      <c r="AC211" s="7" t="str">
        <f>IFERROR(IF([1]对账明细接口!$X211=0,"",[1]对账明细接口!$X211),"")</f>
        <v/>
      </c>
      <c r="AD211" s="7" t="str">
        <f>IFERROR(IF([1]对账明细接口!$Y211=0,"",[1]对账明细接口!$Y211),"")</f>
        <v/>
      </c>
      <c r="AE211" s="7" t="str">
        <f>IFERROR(IF([1]对账明细接口!$AA211=0,"",[1]对账明细接口!$AA211),"")</f>
        <v/>
      </c>
      <c r="AF211" s="7" t="str">
        <f>IFERROR(IF([1]对账明细接口!$AB211=0,"",[1]对账明细接口!$AB211),"")</f>
        <v/>
      </c>
      <c r="AG211" s="7" t="str">
        <f>IFERROR(IF([1]对账明细接口!$AC211=0,"",[1]对账明细接口!$AC211),"")</f>
        <v/>
      </c>
      <c r="AH211" s="7" t="str">
        <f>IFERROR(IF([1]对账明细接口!$AD211=0,"",[1]对账明细接口!$AD211),"")</f>
        <v/>
      </c>
      <c r="AI211" s="7" t="str">
        <f>IFERROR(IF([1]对账明细接口!$AE211=0,"",[1]对账明细接口!$AE211),"")</f>
        <v/>
      </c>
      <c r="AJ211" s="7" t="str">
        <f>IFERROR(IF([1]对账明细接口!$AF211=0,"",[1]对账明细接口!$AF211),"")</f>
        <v/>
      </c>
    </row>
    <row r="212" ht="14.25" customHeight="1" spans="1:36">
      <c r="A212" s="14">
        <v>212</v>
      </c>
      <c r="B212" s="15">
        <f>IFERROR(IF([1]对账明细接口!$B$212=0,"",[1]对账明细接口!$B$212),"")</f>
        <v>46278</v>
      </c>
      <c r="C212" s="16" t="str">
        <f>IFERROR(IF([1]对账明细接口!$C$212=0,"",[1]对账明细接口!$C$212),"")</f>
        <v>贾建国</v>
      </c>
      <c r="D212" s="16" t="str">
        <f>IFERROR(IF([1]对账明细接口!$D$212=0,"",[1]对账明细接口!$D$212),"")</f>
        <v>原料入库</v>
      </c>
      <c r="E212" s="16" t="str">
        <f>IFERROR(IF([1]对账明细接口!$E$212=0,"",[1]对账明细接口!$E$212),"")</f>
        <v>NO:0000797</v>
      </c>
      <c r="F212" s="16" t="str">
        <f>IFERROR(IF([1]对账明细接口!$F$212=0,"",[1]对账明细接口!$F$212),"")</f>
        <v>香梨</v>
      </c>
      <c r="G212" s="16" t="str">
        <f>IFERROR(IF([1]对账明细接口!$G$212=0,"",[1]对账明细接口!$G$212),"")</f>
        <v>香梨副特</v>
      </c>
      <c r="H212" s="17">
        <f>IFERROR(IF([1]对账明细接口!$H$212=0,"",[1]对账明细接口!$H$212),"")</f>
        <v>267</v>
      </c>
      <c r="I212" s="16" t="str">
        <f>IFERROR(IF([1]对账明细接口!$I$212=0,"",[1]对账明细接口!$I$212),"")</f>
        <v>筐</v>
      </c>
      <c r="J212" s="18">
        <f>IFERROR(IF([1]对账明细接口!$J$212=0,"",[1]对账明细接口!$J$212),"")</f>
        <v>5153.1</v>
      </c>
      <c r="K212" s="18" t="str">
        <f>IFERROR(IF([1]对账明细接口!$K$212=0,"",[1]对账明细接口!$K$212),"")</f>
        <v/>
      </c>
      <c r="L212" s="16" t="str">
        <f>IFERROR(IF([1]对账明细接口!$L$212=0,"",[1]对账明细接口!$L$212),"")</f>
        <v/>
      </c>
      <c r="M212" s="16" t="str">
        <f>IFERROR(IF([1]对账明细接口!$M$212=0,"",[1]对账明细接口!$M$212),"")</f>
        <v/>
      </c>
      <c r="N212" s="19">
        <f t="shared" si="6"/>
        <v>1</v>
      </c>
      <c r="O212" s="19">
        <f t="shared" si="7"/>
        <v>209</v>
      </c>
      <c r="S212" s="20" t="str">
        <f>IFERROR(IF([1]对账明细接口!$N212=0,"",[1]对账明细接口!$N212),"")</f>
        <v>自备一次性筐</v>
      </c>
      <c r="T212" s="21" t="str">
        <f>IFERROR(IF([1]对账明细接口!$O212=0,"",[1]对账明细接口!$O212),"")</f>
        <v/>
      </c>
      <c r="U212" s="21" t="str">
        <f>IFERROR(IF([1]对账明细接口!$P212=0,"",[1]对账明细接口!$P212),"")</f>
        <v/>
      </c>
      <c r="V212" s="21">
        <f>IFERROR(IF([1]对账明细接口!$Q212=0,"",[1]对账明细接口!$Q212),"")</f>
        <v>267</v>
      </c>
      <c r="W212" s="20" t="str">
        <f>IFERROR(IF([1]对账明细接口!$R212=0,"",[1]对账明细接口!$R212),"")</f>
        <v>豫Q*H5591</v>
      </c>
      <c r="X212" s="20" t="str">
        <f>IFERROR(IF([1]对账明细接口!$S212=0,"",[1]对账明细接口!$S212),"")</f>
        <v>自备筐</v>
      </c>
      <c r="Y212" s="20" t="str">
        <f>IFERROR(IF([1]对账明细接口!$T212=0,"",[1]对账明细接口!$T212),"")</f>
        <v/>
      </c>
      <c r="Z212" s="24" t="str">
        <f>IFERROR(IF([1]对账明细接口!$U212=0,"",[1]对账明细接口!$U212),"")</f>
        <v/>
      </c>
      <c r="AA212" s="24" t="str">
        <f>IFERROR(IF([1]对账明细接口!$V212=0,"",[1]对账明细接口!$V212),"")</f>
        <v/>
      </c>
      <c r="AB212" s="20" t="str">
        <f>IFERROR(IF([1]对账明细接口!$W212=0,"",[1]对账明细接口!$W212),"")</f>
        <v/>
      </c>
      <c r="AC212" s="7" t="str">
        <f>IFERROR(IF([1]对账明细接口!$X212=0,"",[1]对账明细接口!$X212),"")</f>
        <v/>
      </c>
      <c r="AD212" s="7" t="str">
        <f>IFERROR(IF([1]对账明细接口!$Y212=0,"",[1]对账明细接口!$Y212),"")</f>
        <v/>
      </c>
      <c r="AE212" s="7" t="str">
        <f>IFERROR(IF([1]对账明细接口!$AA212=0,"",[1]对账明细接口!$AA212),"")</f>
        <v/>
      </c>
      <c r="AF212" s="7" t="str">
        <f>IFERROR(IF([1]对账明细接口!$AB212=0,"",[1]对账明细接口!$AB212),"")</f>
        <v/>
      </c>
      <c r="AG212" s="7" t="str">
        <f>IFERROR(IF([1]对账明细接口!$AC212=0,"",[1]对账明细接口!$AC212),"")</f>
        <v/>
      </c>
      <c r="AH212" s="7" t="str">
        <f>IFERROR(IF([1]对账明细接口!$AD212=0,"",[1]对账明细接口!$AD212),"")</f>
        <v/>
      </c>
      <c r="AI212" s="7" t="str">
        <f>IFERROR(IF([1]对账明细接口!$AE212=0,"",[1]对账明细接口!$AE212),"")</f>
        <v/>
      </c>
      <c r="AJ212" s="7" t="str">
        <f>IFERROR(IF([1]对账明细接口!$AF212=0,"",[1]对账明细接口!$AF212),"")</f>
        <v/>
      </c>
    </row>
    <row r="213" ht="14.25" customHeight="1" spans="1:36">
      <c r="A213" s="14">
        <v>213</v>
      </c>
      <c r="B213" s="15">
        <f>IFERROR(IF([1]对账明细接口!$B$213=0,"",[1]对账明细接口!$B$213),"")</f>
        <v>46278</v>
      </c>
      <c r="C213" s="16" t="str">
        <f>IFERROR(IF([1]对账明细接口!$C$213=0,"",[1]对账明细接口!$C$213),"")</f>
        <v>贾建国</v>
      </c>
      <c r="D213" s="16" t="str">
        <f>IFERROR(IF([1]对账明细接口!$D$213=0,"",[1]对账明细接口!$D$213),"")</f>
        <v>原料入库</v>
      </c>
      <c r="E213" s="16" t="str">
        <f>IFERROR(IF([1]对账明细接口!$E$213=0,"",[1]对账明细接口!$E$213),"")</f>
        <v>NO:0000797</v>
      </c>
      <c r="F213" s="16" t="str">
        <f>IFERROR(IF([1]对账明细接口!$F$213=0,"",[1]对账明细接口!$F$213),"")</f>
        <v>香梨</v>
      </c>
      <c r="G213" s="16" t="str">
        <f>IFERROR(IF([1]对账明细接口!$G$213=0,"",[1]对账明细接口!$G$213),"")</f>
        <v>香梨副特</v>
      </c>
      <c r="H213" s="17">
        <f>IFERROR(IF([1]对账明细接口!$H$213=0,"",[1]对账明细接口!$H$213),"")</f>
        <v>2</v>
      </c>
      <c r="I213" s="16" t="str">
        <f>IFERROR(IF([1]对账明细接口!$I$213=0,"",[1]对账明细接口!$I$213),"")</f>
        <v>筐</v>
      </c>
      <c r="J213" s="18">
        <f>IFERROR(IF([1]对账明细接口!$J$213=0,"",[1]对账明细接口!$J$213),"")</f>
        <v>38.6</v>
      </c>
      <c r="K213" s="18" t="str">
        <f>IFERROR(IF([1]对账明细接口!$K$213=0,"",[1]对账明细接口!$K$213),"")</f>
        <v/>
      </c>
      <c r="L213" s="16" t="str">
        <f>IFERROR(IF([1]对账明细接口!$L$213=0,"",[1]对账明细接口!$L$213),"")</f>
        <v/>
      </c>
      <c r="M213" s="16" t="str">
        <f>IFERROR(IF([1]对账明细接口!$M$213=0,"",[1]对账明细接口!$M$213),"")</f>
        <v/>
      </c>
      <c r="N213" s="19">
        <f t="shared" si="6"/>
        <v>1</v>
      </c>
      <c r="O213" s="19">
        <f t="shared" si="7"/>
        <v>210</v>
      </c>
      <c r="S213" s="20" t="str">
        <f>IFERROR(IF([1]对账明细接口!$N213=0,"",[1]对账明细接口!$N213),"")</f>
        <v>公司一次性筐</v>
      </c>
      <c r="T213" s="21" t="str">
        <f>IFERROR(IF([1]对账明细接口!$O213=0,"",[1]对账明细接口!$O213),"")</f>
        <v/>
      </c>
      <c r="U213" s="21" t="str">
        <f>IFERROR(IF([1]对账明细接口!$P213=0,"",[1]对账明细接口!$P213),"")</f>
        <v/>
      </c>
      <c r="V213" s="21">
        <f>IFERROR(IF([1]对账明细接口!$Q213=0,"",[1]对账明细接口!$Q213),"")</f>
        <v>2</v>
      </c>
      <c r="W213" s="20" t="str">
        <f>IFERROR(IF([1]对账明细接口!$R213=0,"",[1]对账明细接口!$R213),"")</f>
        <v>豫Q*H5591</v>
      </c>
      <c r="X213" s="20" t="str">
        <f>IFERROR(IF([1]对账明细接口!$S213=0,"",[1]对账明细接口!$S213),"")</f>
        <v>公司筐</v>
      </c>
      <c r="Y213" s="20" t="str">
        <f>IFERROR(IF([1]对账明细接口!$T213=0,"",[1]对账明细接口!$T213),"")</f>
        <v/>
      </c>
      <c r="Z213" s="24" t="str">
        <f>IFERROR(IF([1]对账明细接口!$U213=0,"",[1]对账明细接口!$U213),"")</f>
        <v/>
      </c>
      <c r="AA213" s="24" t="str">
        <f>IFERROR(IF([1]对账明细接口!$V213=0,"",[1]对账明细接口!$V213),"")</f>
        <v/>
      </c>
      <c r="AB213" s="20" t="str">
        <f>IFERROR(IF([1]对账明细接口!$W213=0,"",[1]对账明细接口!$W213),"")</f>
        <v/>
      </c>
      <c r="AC213" s="7" t="str">
        <f>IFERROR(IF([1]对账明细接口!$X213=0,"",[1]对账明细接口!$X213),"")</f>
        <v/>
      </c>
      <c r="AD213" s="7" t="str">
        <f>IFERROR(IF([1]对账明细接口!$Y213=0,"",[1]对账明细接口!$Y213),"")</f>
        <v/>
      </c>
      <c r="AE213" s="7" t="str">
        <f>IFERROR(IF([1]对账明细接口!$AA213=0,"",[1]对账明细接口!$AA213),"")</f>
        <v/>
      </c>
      <c r="AF213" s="7" t="str">
        <f>IFERROR(IF([1]对账明细接口!$AB213=0,"",[1]对账明细接口!$AB213),"")</f>
        <v/>
      </c>
      <c r="AG213" s="7" t="str">
        <f>IFERROR(IF([1]对账明细接口!$AC213=0,"",[1]对账明细接口!$AC213),"")</f>
        <v/>
      </c>
      <c r="AH213" s="7" t="str">
        <f>IFERROR(IF([1]对账明细接口!$AD213=0,"",[1]对账明细接口!$AD213),"")</f>
        <v/>
      </c>
      <c r="AI213" s="7" t="str">
        <f>IFERROR(IF([1]对账明细接口!$AE213=0,"",[1]对账明细接口!$AE213),"")</f>
        <v/>
      </c>
      <c r="AJ213" s="7" t="str">
        <f>IFERROR(IF([1]对账明细接口!$AF213=0,"",[1]对账明细接口!$AF213),"")</f>
        <v/>
      </c>
    </row>
    <row r="214" ht="14.25" customHeight="1" spans="1:36">
      <c r="A214" s="14">
        <v>214</v>
      </c>
      <c r="B214" s="15">
        <f>IFERROR(IF([1]对账明细接口!$B$214=0,"",[1]对账明细接口!$B$214),"")</f>
        <v>46278</v>
      </c>
      <c r="C214" s="16" t="str">
        <f>IFERROR(IF([1]对账明细接口!$C$214=0,"",[1]对账明细接口!$C$214),"")</f>
        <v>吐尔洪</v>
      </c>
      <c r="D214" s="16" t="str">
        <f>IFERROR(IF([1]对账明细接口!$D$214=0,"",[1]对账明细接口!$D$214),"")</f>
        <v>原料入库</v>
      </c>
      <c r="E214" s="16" t="str">
        <f>IFERROR(IF([1]对账明细接口!$E$214=0,"",[1]对账明细接口!$E$214),"")</f>
        <v>NO:0000799</v>
      </c>
      <c r="F214" s="16" t="str">
        <f>IFERROR(IF([1]对账明细接口!$F$214=0,"",[1]对账明细接口!$F$214),"")</f>
        <v>香梨</v>
      </c>
      <c r="G214" s="16" t="str">
        <f>IFERROR(IF([1]对账明细接口!$G$214=0,"",[1]对账明细接口!$G$214),"")</f>
        <v>香梨特级</v>
      </c>
      <c r="H214" s="17">
        <f>IFERROR(IF([1]对账明细接口!$H$214=0,"",[1]对账明细接口!$H$214),"")</f>
        <v>133</v>
      </c>
      <c r="I214" s="16" t="str">
        <f>IFERROR(IF([1]对账明细接口!$I$214=0,"",[1]对账明细接口!$I$214),"")</f>
        <v>筐</v>
      </c>
      <c r="J214" s="18">
        <f>IFERROR(IF([1]对账明细接口!$J$214=0,"",[1]对账明细接口!$J$214),"")</f>
        <v>2433.9</v>
      </c>
      <c r="K214" s="18" t="str">
        <f>IFERROR(IF([1]对账明细接口!$K$214=0,"",[1]对账明细接口!$K$214),"")</f>
        <v/>
      </c>
      <c r="L214" s="16" t="str">
        <f>IFERROR(IF([1]对账明细接口!$L$214=0,"",[1]对账明细接口!$L$214),"")</f>
        <v/>
      </c>
      <c r="M214" s="16" t="str">
        <f>IFERROR(IF([1]对账明细接口!$M$214=0,"",[1]对账明细接口!$M$214),"")</f>
        <v>麦麦提</v>
      </c>
      <c r="N214" s="19">
        <f t="shared" si="6"/>
        <v>1</v>
      </c>
      <c r="O214" s="19">
        <f t="shared" si="7"/>
        <v>211</v>
      </c>
      <c r="S214" s="20" t="str">
        <f>IFERROR(IF([1]对账明细接口!$N214=0,"",[1]对账明细接口!$N214),"")</f>
        <v>公司红周转筐</v>
      </c>
      <c r="T214" s="21" t="str">
        <f>IFERROR(IF([1]对账明细接口!$O214=0,"",[1]对账明细接口!$O214),"")</f>
        <v/>
      </c>
      <c r="U214" s="21" t="str">
        <f>IFERROR(IF([1]对账明细接口!$P214=0,"",[1]对账明细接口!$P214),"")</f>
        <v/>
      </c>
      <c r="V214" s="21">
        <f>IFERROR(IF([1]对账明细接口!$Q214=0,"",[1]对账明细接口!$Q214),"")</f>
        <v>133</v>
      </c>
      <c r="W214" s="20" t="str">
        <f>IFERROR(IF([1]对账明细接口!$R214=0,"",[1]对账明细接口!$R214),"")</f>
        <v>新N*X8S48</v>
      </c>
      <c r="X214" s="20" t="str">
        <f>IFERROR(IF([1]对账明细接口!$S214=0,"",[1]对账明细接口!$S214),"")</f>
        <v>公司筐</v>
      </c>
      <c r="Y214" s="20" t="str">
        <f>IFERROR(IF([1]对账明细接口!$T214=0,"",[1]对账明细接口!$T214),"")</f>
        <v/>
      </c>
      <c r="Z214" s="24" t="str">
        <f>IFERROR(IF([1]对账明细接口!$U214=0,"",[1]对账明细接口!$U214),"")</f>
        <v/>
      </c>
      <c r="AA214" s="24" t="str">
        <f>IFERROR(IF([1]对账明细接口!$V214=0,"",[1]对账明细接口!$V214),"")</f>
        <v/>
      </c>
      <c r="AB214" s="20" t="str">
        <f>IFERROR(IF([1]对账明细接口!$W214=0,"",[1]对账明细接口!$W214),"")</f>
        <v/>
      </c>
      <c r="AC214" s="7" t="str">
        <f>IFERROR(IF([1]对账明细接口!$X214=0,"",[1]对账明细接口!$X214),"")</f>
        <v/>
      </c>
      <c r="AD214" s="7" t="str">
        <f>IFERROR(IF([1]对账明细接口!$Y214=0,"",[1]对账明细接口!$Y214),"")</f>
        <v/>
      </c>
      <c r="AE214" s="7" t="str">
        <f>IFERROR(IF([1]对账明细接口!$AA214=0,"",[1]对账明细接口!$AA214),"")</f>
        <v/>
      </c>
      <c r="AF214" s="7" t="str">
        <f>IFERROR(IF([1]对账明细接口!$AB214=0,"",[1]对账明细接口!$AB214),"")</f>
        <v/>
      </c>
      <c r="AG214" s="7" t="str">
        <f>IFERROR(IF([1]对账明细接口!$AC214=0,"",[1]对账明细接口!$AC214),"")</f>
        <v/>
      </c>
      <c r="AH214" s="7" t="str">
        <f>IFERROR(IF([1]对账明细接口!$AD214=0,"",[1]对账明细接口!$AD214),"")</f>
        <v/>
      </c>
      <c r="AI214" s="7" t="str">
        <f>IFERROR(IF([1]对账明细接口!$AE214=0,"",[1]对账明细接口!$AE214),"")</f>
        <v/>
      </c>
      <c r="AJ214" s="7" t="str">
        <f>IFERROR(IF([1]对账明细接口!$AF214=0,"",[1]对账明细接口!$AF214),"")</f>
        <v/>
      </c>
    </row>
    <row r="215" ht="14.25" customHeight="1" spans="1:36">
      <c r="A215" s="14">
        <v>215</v>
      </c>
      <c r="B215" s="15">
        <f>IFERROR(IF([1]对账明细接口!$B$215=0,"",[1]对账明细接口!$B$215),"")</f>
        <v>46278</v>
      </c>
      <c r="C215" s="16" t="str">
        <f>IFERROR(IF([1]对账明细接口!$C$215=0,"",[1]对账明细接口!$C$215),"")</f>
        <v>吐尔洪</v>
      </c>
      <c r="D215" s="16" t="str">
        <f>IFERROR(IF([1]对账明细接口!$D$215=0,"",[1]对账明细接口!$D$215),"")</f>
        <v>原料入库</v>
      </c>
      <c r="E215" s="16" t="str">
        <f>IFERROR(IF([1]对账明细接口!$E$215=0,"",[1]对账明细接口!$E$215),"")</f>
        <v>NO:0000799</v>
      </c>
      <c r="F215" s="16" t="str">
        <f>IFERROR(IF([1]对账明细接口!$F$215=0,"",[1]对账明细接口!$F$215),"")</f>
        <v>香梨</v>
      </c>
      <c r="G215" s="16" t="str">
        <f>IFERROR(IF([1]对账明细接口!$G$215=0,"",[1]对账明细接口!$G$215),"")</f>
        <v>香梨一级</v>
      </c>
      <c r="H215" s="17">
        <f>IFERROR(IF([1]对账明细接口!$H$215=0,"",[1]对账明细接口!$H$215),"")</f>
        <v>50</v>
      </c>
      <c r="I215" s="16" t="str">
        <f>IFERROR(IF([1]对账明细接口!$I$215=0,"",[1]对账明细接口!$I$215),"")</f>
        <v>筐</v>
      </c>
      <c r="J215" s="18">
        <f>IFERROR(IF([1]对账明细接口!$J$215=0,"",[1]对账明细接口!$J$215),"")</f>
        <v>915</v>
      </c>
      <c r="K215" s="18" t="str">
        <f>IFERROR(IF([1]对账明细接口!$K$215=0,"",[1]对账明细接口!$K$215),"")</f>
        <v/>
      </c>
      <c r="L215" s="16" t="str">
        <f>IFERROR(IF([1]对账明细接口!$L$215=0,"",[1]对账明细接口!$L$215),"")</f>
        <v/>
      </c>
      <c r="M215" s="16" t="str">
        <f>IFERROR(IF([1]对账明细接口!$M$215=0,"",[1]对账明细接口!$M$215),"")</f>
        <v>麦麦提</v>
      </c>
      <c r="N215" s="19">
        <f t="shared" si="6"/>
        <v>1</v>
      </c>
      <c r="O215" s="19">
        <f t="shared" si="7"/>
        <v>212</v>
      </c>
      <c r="S215" s="20" t="str">
        <f>IFERROR(IF([1]对账明细接口!$N215=0,"",[1]对账明细接口!$N215),"")</f>
        <v>公司红周转筐</v>
      </c>
      <c r="T215" s="21" t="str">
        <f>IFERROR(IF([1]对账明细接口!$O215=0,"",[1]对账明细接口!$O215),"")</f>
        <v/>
      </c>
      <c r="U215" s="21" t="str">
        <f>IFERROR(IF([1]对账明细接口!$P215=0,"",[1]对账明细接口!$P215),"")</f>
        <v/>
      </c>
      <c r="V215" s="21">
        <f>IFERROR(IF([1]对账明细接口!$Q215=0,"",[1]对账明细接口!$Q215),"")</f>
        <v>50</v>
      </c>
      <c r="W215" s="20" t="str">
        <f>IFERROR(IF([1]对账明细接口!$R215=0,"",[1]对账明细接口!$R215),"")</f>
        <v>新N*X8S48</v>
      </c>
      <c r="X215" s="20" t="str">
        <f>IFERROR(IF([1]对账明细接口!$S215=0,"",[1]对账明细接口!$S215),"")</f>
        <v>公司筐</v>
      </c>
      <c r="Y215" s="20" t="str">
        <f>IFERROR(IF([1]对账明细接口!$T215=0,"",[1]对账明细接口!$T215),"")</f>
        <v/>
      </c>
      <c r="Z215" s="24" t="str">
        <f>IFERROR(IF([1]对账明细接口!$U215=0,"",[1]对账明细接口!$U215),"")</f>
        <v/>
      </c>
      <c r="AA215" s="24" t="str">
        <f>IFERROR(IF([1]对账明细接口!$V215=0,"",[1]对账明细接口!$V215),"")</f>
        <v/>
      </c>
      <c r="AB215" s="20" t="str">
        <f>IFERROR(IF([1]对账明细接口!$W215=0,"",[1]对账明细接口!$W215),"")</f>
        <v/>
      </c>
      <c r="AC215" s="7" t="str">
        <f>IFERROR(IF([1]对账明细接口!$X215=0,"",[1]对账明细接口!$X215),"")</f>
        <v/>
      </c>
      <c r="AD215" s="7" t="str">
        <f>IFERROR(IF([1]对账明细接口!$Y215=0,"",[1]对账明细接口!$Y215),"")</f>
        <v/>
      </c>
      <c r="AE215" s="7" t="str">
        <f>IFERROR(IF([1]对账明细接口!$AA215=0,"",[1]对账明细接口!$AA215),"")</f>
        <v/>
      </c>
      <c r="AF215" s="7" t="str">
        <f>IFERROR(IF([1]对账明细接口!$AB215=0,"",[1]对账明细接口!$AB215),"")</f>
        <v/>
      </c>
      <c r="AG215" s="7" t="str">
        <f>IFERROR(IF([1]对账明细接口!$AC215=0,"",[1]对账明细接口!$AC215),"")</f>
        <v/>
      </c>
      <c r="AH215" s="7" t="str">
        <f>IFERROR(IF([1]对账明细接口!$AD215=0,"",[1]对账明细接口!$AD215),"")</f>
        <v/>
      </c>
      <c r="AI215" s="7" t="str">
        <f>IFERROR(IF([1]对账明细接口!$AE215=0,"",[1]对账明细接口!$AE215),"")</f>
        <v/>
      </c>
      <c r="AJ215" s="7" t="str">
        <f>IFERROR(IF([1]对账明细接口!$AF215=0,"",[1]对账明细接口!$AF215),"")</f>
        <v/>
      </c>
    </row>
    <row r="216" ht="14.25" customHeight="1" spans="1:36">
      <c r="A216" s="14">
        <v>216</v>
      </c>
      <c r="B216" s="15">
        <f>IFERROR(IF([1]对账明细接口!$B$216=0,"",[1]对账明细接口!$B$216),"")</f>
        <v>46278</v>
      </c>
      <c r="C216" s="16" t="str">
        <f>IFERROR(IF([1]对账明细接口!$C$216=0,"",[1]对账明细接口!$C$216),"")</f>
        <v>吐尔洪</v>
      </c>
      <c r="D216" s="16" t="str">
        <f>IFERROR(IF([1]对账明细接口!$D$216=0,"",[1]对账明细接口!$D$216),"")</f>
        <v>原料入库</v>
      </c>
      <c r="E216" s="16" t="str">
        <f>IFERROR(IF([1]对账明细接口!$E$216=0,"",[1]对账明细接口!$E$216),"")</f>
        <v>NO:0000799</v>
      </c>
      <c r="F216" s="16" t="str">
        <f>IFERROR(IF([1]对账明细接口!$F$216=0,"",[1]对账明细接口!$F$216),"")</f>
        <v>香梨</v>
      </c>
      <c r="G216" s="16" t="str">
        <f>IFERROR(IF([1]对账明细接口!$G$216=0,"",[1]对账明细接口!$G$216),"")</f>
        <v>香梨二级</v>
      </c>
      <c r="H216" s="17">
        <f>IFERROR(IF([1]对账明细接口!$H$216=0,"",[1]对账明细接口!$H$216),"")</f>
        <v>101</v>
      </c>
      <c r="I216" s="16" t="str">
        <f>IFERROR(IF([1]对账明细接口!$I$216=0,"",[1]对账明细接口!$I$216),"")</f>
        <v>筐</v>
      </c>
      <c r="J216" s="18">
        <f>IFERROR(IF([1]对账明细接口!$J$216=0,"",[1]对账明细接口!$J$216),"")</f>
        <v>2252.3</v>
      </c>
      <c r="K216" s="18" t="str">
        <f>IFERROR(IF([1]对账明细接口!$K$216=0,"",[1]对账明细接口!$K$216),"")</f>
        <v/>
      </c>
      <c r="L216" s="16" t="str">
        <f>IFERROR(IF([1]对账明细接口!$L$216=0,"",[1]对账明细接口!$L$216),"")</f>
        <v/>
      </c>
      <c r="M216" s="16" t="str">
        <f>IFERROR(IF([1]对账明细接口!$M$216=0,"",[1]对账明细接口!$M$216),"")</f>
        <v>麦麦提</v>
      </c>
      <c r="N216" s="19">
        <f t="shared" si="6"/>
        <v>1</v>
      </c>
      <c r="O216" s="19">
        <f t="shared" si="7"/>
        <v>213</v>
      </c>
      <c r="S216" s="20" t="str">
        <f>IFERROR(IF([1]对账明细接口!$N216=0,"",[1]对账明细接口!$N216),"")</f>
        <v>公司红周转筐</v>
      </c>
      <c r="T216" s="21" t="str">
        <f>IFERROR(IF([1]对账明细接口!$O216=0,"",[1]对账明细接口!$O216),"")</f>
        <v/>
      </c>
      <c r="U216" s="21" t="str">
        <f>IFERROR(IF([1]对账明细接口!$P216=0,"",[1]对账明细接口!$P216),"")</f>
        <v/>
      </c>
      <c r="V216" s="21">
        <f>IFERROR(IF([1]对账明细接口!$Q216=0,"",[1]对账明细接口!$Q216),"")</f>
        <v>101</v>
      </c>
      <c r="W216" s="20" t="str">
        <f>IFERROR(IF([1]对账明细接口!$R216=0,"",[1]对账明细接口!$R216),"")</f>
        <v>新N*X8S48</v>
      </c>
      <c r="X216" s="20" t="str">
        <f>IFERROR(IF([1]对账明细接口!$S216=0,"",[1]对账明细接口!$S216),"")</f>
        <v>公司筐</v>
      </c>
      <c r="Y216" s="20" t="str">
        <f>IFERROR(IF([1]对账明细接口!$T216=0,"",[1]对账明细接口!$T216),"")</f>
        <v/>
      </c>
      <c r="Z216" s="24" t="str">
        <f>IFERROR(IF([1]对账明细接口!$U216=0,"",[1]对账明细接口!$U216),"")</f>
        <v/>
      </c>
      <c r="AA216" s="24" t="str">
        <f>IFERROR(IF([1]对账明细接口!$V216=0,"",[1]对账明细接口!$V216),"")</f>
        <v/>
      </c>
      <c r="AB216" s="20" t="str">
        <f>IFERROR(IF([1]对账明细接口!$W216=0,"",[1]对账明细接口!$W216),"")</f>
        <v/>
      </c>
      <c r="AC216" s="7" t="str">
        <f>IFERROR(IF([1]对账明细接口!$X216=0,"",[1]对账明细接口!$X216),"")</f>
        <v/>
      </c>
      <c r="AD216" s="7" t="str">
        <f>IFERROR(IF([1]对账明细接口!$Y216=0,"",[1]对账明细接口!$Y216),"")</f>
        <v/>
      </c>
      <c r="AE216" s="7" t="str">
        <f>IFERROR(IF([1]对账明细接口!$AA216=0,"",[1]对账明细接口!$AA216),"")</f>
        <v/>
      </c>
      <c r="AF216" s="7" t="str">
        <f>IFERROR(IF([1]对账明细接口!$AB216=0,"",[1]对账明细接口!$AB216),"")</f>
        <v/>
      </c>
      <c r="AG216" s="7" t="str">
        <f>IFERROR(IF([1]对账明细接口!$AC216=0,"",[1]对账明细接口!$AC216),"")</f>
        <v/>
      </c>
      <c r="AH216" s="7" t="str">
        <f>IFERROR(IF([1]对账明细接口!$AD216=0,"",[1]对账明细接口!$AD216),"")</f>
        <v/>
      </c>
      <c r="AI216" s="7" t="str">
        <f>IFERROR(IF([1]对账明细接口!$AE216=0,"",[1]对账明细接口!$AE216),"")</f>
        <v/>
      </c>
      <c r="AJ216" s="7" t="str">
        <f>IFERROR(IF([1]对账明细接口!$AF216=0,"",[1]对账明细接口!$AF216),"")</f>
        <v/>
      </c>
    </row>
    <row r="217" ht="14.25" customHeight="1" spans="1:36">
      <c r="A217" s="14">
        <v>217</v>
      </c>
      <c r="B217" s="15">
        <f>IFERROR(IF([1]对账明细接口!$B$217=0,"",[1]对账明细接口!$B$217),"")</f>
        <v>46278</v>
      </c>
      <c r="C217" s="16" t="str">
        <f>IFERROR(IF([1]对账明细接口!$C$217=0,"",[1]对账明细接口!$C$217),"")</f>
        <v>热合曼</v>
      </c>
      <c r="D217" s="16" t="str">
        <f>IFERROR(IF([1]对账明细接口!$D$217=0,"",[1]对账明细接口!$D$217),"")</f>
        <v>原料入库</v>
      </c>
      <c r="E217" s="16" t="str">
        <f>IFERROR(IF([1]对账明细接口!$E$217=0,"",[1]对账明细接口!$E$217),"")</f>
        <v>NO:0000800</v>
      </c>
      <c r="F217" s="16" t="str">
        <f>IFERROR(IF([1]对账明细接口!$F$217=0,"",[1]对账明细接口!$F$217),"")</f>
        <v>香梨</v>
      </c>
      <c r="G217" s="16" t="str">
        <f>IFERROR(IF([1]对账明细接口!$G$217=0,"",[1]对账明细接口!$G$217),"")</f>
        <v>香梨副特</v>
      </c>
      <c r="H217" s="17">
        <f>IFERROR(IF([1]对账明细接口!$H$217=0,"",[1]对账明细接口!$H$217),"")</f>
        <v>232</v>
      </c>
      <c r="I217" s="16" t="str">
        <f>IFERROR(IF([1]对账明细接口!$I$217=0,"",[1]对账明细接口!$I$217),"")</f>
        <v>筐</v>
      </c>
      <c r="J217" s="18">
        <f>IFERROR(IF([1]对账明细接口!$J$217=0,"",[1]对账明细接口!$J$217),"")</f>
        <v>4477.6</v>
      </c>
      <c r="K217" s="18" t="str">
        <f>IFERROR(IF([1]对账明细接口!$K$217=0,"",[1]对账明细接口!$K$217),"")</f>
        <v/>
      </c>
      <c r="L217" s="16" t="str">
        <f>IFERROR(IF([1]对账明细接口!$L$217=0,"",[1]对账明细接口!$L$217),"")</f>
        <v/>
      </c>
      <c r="M217" s="16" t="str">
        <f>IFERROR(IF([1]对账明细接口!$M$217=0,"",[1]对账明细接口!$M$217),"")</f>
        <v/>
      </c>
      <c r="N217" s="19">
        <f t="shared" si="6"/>
        <v>1</v>
      </c>
      <c r="O217" s="19">
        <f t="shared" si="7"/>
        <v>214</v>
      </c>
      <c r="S217" s="20" t="str">
        <f>IFERROR(IF([1]对账明细接口!$N217=0,"",[1]对账明细接口!$N217),"")</f>
        <v>公司红周转筐</v>
      </c>
      <c r="T217" s="21" t="str">
        <f>IFERROR(IF([1]对账明细接口!$O217=0,"",[1]对账明细接口!$O217),"")</f>
        <v/>
      </c>
      <c r="U217" s="21" t="str">
        <f>IFERROR(IF([1]对账明细接口!$P217=0,"",[1]对账明细接口!$P217),"")</f>
        <v/>
      </c>
      <c r="V217" s="21">
        <f>IFERROR(IF([1]对账明细接口!$Q217=0,"",[1]对账明细接口!$Q217),"")</f>
        <v>232</v>
      </c>
      <c r="W217" s="20" t="str">
        <f>IFERROR(IF([1]对账明细接口!$R217=0,"",[1]对账明细接口!$R217),"")</f>
        <v>新A*G0554</v>
      </c>
      <c r="X217" s="20" t="str">
        <f>IFERROR(IF([1]对账明细接口!$S217=0,"",[1]对账明细接口!$S217),"")</f>
        <v>公司筐</v>
      </c>
      <c r="Y217" s="20" t="str">
        <f>IFERROR(IF([1]对账明细接口!$T217=0,"",[1]对账明细接口!$T217),"")</f>
        <v/>
      </c>
      <c r="Z217" s="24" t="str">
        <f>IFERROR(IF([1]对账明细接口!$U217=0,"",[1]对账明细接口!$U217),"")</f>
        <v/>
      </c>
      <c r="AA217" s="24" t="str">
        <f>IFERROR(IF([1]对账明细接口!$V217=0,"",[1]对账明细接口!$V217),"")</f>
        <v/>
      </c>
      <c r="AB217" s="20" t="str">
        <f>IFERROR(IF([1]对账明细接口!$W217=0,"",[1]对账明细接口!$W217),"")</f>
        <v/>
      </c>
      <c r="AC217" s="7" t="str">
        <f>IFERROR(IF([1]对账明细接口!$X217=0,"",[1]对账明细接口!$X217),"")</f>
        <v/>
      </c>
      <c r="AD217" s="7" t="str">
        <f>IFERROR(IF([1]对账明细接口!$Y217=0,"",[1]对账明细接口!$Y217),"")</f>
        <v/>
      </c>
      <c r="AE217" s="7" t="str">
        <f>IFERROR(IF([1]对账明细接口!$AA217=0,"",[1]对账明细接口!$AA217),"")</f>
        <v/>
      </c>
      <c r="AF217" s="7" t="str">
        <f>IFERROR(IF([1]对账明细接口!$AB217=0,"",[1]对账明细接口!$AB217),"")</f>
        <v/>
      </c>
      <c r="AG217" s="7" t="str">
        <f>IFERROR(IF([1]对账明细接口!$AC217=0,"",[1]对账明细接口!$AC217),"")</f>
        <v/>
      </c>
      <c r="AH217" s="7" t="str">
        <f>IFERROR(IF([1]对账明细接口!$AD217=0,"",[1]对账明细接口!$AD217),"")</f>
        <v/>
      </c>
      <c r="AI217" s="7" t="str">
        <f>IFERROR(IF([1]对账明细接口!$AE217=0,"",[1]对账明细接口!$AE217),"")</f>
        <v/>
      </c>
      <c r="AJ217" s="7" t="str">
        <f>IFERROR(IF([1]对账明细接口!$AF217=0,"",[1]对账明细接口!$AF217),"")</f>
        <v/>
      </c>
    </row>
    <row r="218" ht="14.25" customHeight="1" spans="1:36">
      <c r="A218" s="14">
        <v>218</v>
      </c>
      <c r="B218" s="15">
        <f>IFERROR(IF([1]对账明细接口!$B$218=0,"",[1]对账明细接口!$B$218),"")</f>
        <v>46278</v>
      </c>
      <c r="C218" s="16" t="str">
        <f>IFERROR(IF([1]对账明细接口!$C$218=0,"",[1]对账明细接口!$C$218),"")</f>
        <v>热合曼</v>
      </c>
      <c r="D218" s="16" t="str">
        <f>IFERROR(IF([1]对账明细接口!$D$218=0,"",[1]对账明细接口!$D$218),"")</f>
        <v>原料入库</v>
      </c>
      <c r="E218" s="16" t="str">
        <f>IFERROR(IF([1]对账明细接口!$E$218=0,"",[1]对账明细接口!$E$218),"")</f>
        <v>NO:0000800</v>
      </c>
      <c r="F218" s="16" t="str">
        <f>IFERROR(IF([1]对账明细接口!$F$218=0,"",[1]对账明细接口!$F$218),"")</f>
        <v>香梨</v>
      </c>
      <c r="G218" s="16" t="str">
        <f>IFERROR(IF([1]对账明细接口!$G$218=0,"",[1]对账明细接口!$G$218),"")</f>
        <v>香梨一级</v>
      </c>
      <c r="H218" s="17">
        <f>IFERROR(IF([1]对账明细接口!$H$218=0,"",[1]对账明细接口!$H$218),"")</f>
        <v>170</v>
      </c>
      <c r="I218" s="16" t="str">
        <f>IFERROR(IF([1]对账明细接口!$I$218=0,"",[1]对账明细接口!$I$218),"")</f>
        <v>筐</v>
      </c>
      <c r="J218" s="18">
        <f>IFERROR(IF([1]对账明细接口!$J$218=0,"",[1]对账明细接口!$J$218),"")</f>
        <v>3111</v>
      </c>
      <c r="K218" s="18" t="str">
        <f>IFERROR(IF([1]对账明细接口!$K$218=0,"",[1]对账明细接口!$K$218),"")</f>
        <v/>
      </c>
      <c r="L218" s="16" t="str">
        <f>IFERROR(IF([1]对账明细接口!$L$218=0,"",[1]对账明细接口!$L$218),"")</f>
        <v/>
      </c>
      <c r="M218" s="16" t="str">
        <f>IFERROR(IF([1]对账明细接口!$M$218=0,"",[1]对账明细接口!$M$218),"")</f>
        <v/>
      </c>
      <c r="N218" s="19">
        <f t="shared" si="6"/>
        <v>1</v>
      </c>
      <c r="O218" s="19">
        <f t="shared" si="7"/>
        <v>215</v>
      </c>
      <c r="S218" s="20" t="str">
        <f>IFERROR(IF([1]对账明细接口!$N218=0,"",[1]对账明细接口!$N218),"")</f>
        <v>公司红周转筐</v>
      </c>
      <c r="T218" s="21" t="str">
        <f>IFERROR(IF([1]对账明细接口!$O218=0,"",[1]对账明细接口!$O218),"")</f>
        <v/>
      </c>
      <c r="U218" s="21" t="str">
        <f>IFERROR(IF([1]对账明细接口!$P218=0,"",[1]对账明细接口!$P218),"")</f>
        <v/>
      </c>
      <c r="V218" s="21">
        <f>IFERROR(IF([1]对账明细接口!$Q218=0,"",[1]对账明细接口!$Q218),"")</f>
        <v>170</v>
      </c>
      <c r="W218" s="20" t="str">
        <f>IFERROR(IF([1]对账明细接口!$R218=0,"",[1]对账明细接口!$R218),"")</f>
        <v>新A*G0554</v>
      </c>
      <c r="X218" s="20" t="str">
        <f>IFERROR(IF([1]对账明细接口!$S218=0,"",[1]对账明细接口!$S218),"")</f>
        <v>公司筐</v>
      </c>
      <c r="Y218" s="20" t="str">
        <f>IFERROR(IF([1]对账明细接口!$T218=0,"",[1]对账明细接口!$T218),"")</f>
        <v/>
      </c>
      <c r="Z218" s="24" t="str">
        <f>IFERROR(IF([1]对账明细接口!$U218=0,"",[1]对账明细接口!$U218),"")</f>
        <v/>
      </c>
      <c r="AA218" s="24" t="str">
        <f>IFERROR(IF([1]对账明细接口!$V218=0,"",[1]对账明细接口!$V218),"")</f>
        <v/>
      </c>
      <c r="AB218" s="20" t="str">
        <f>IFERROR(IF([1]对账明细接口!$W218=0,"",[1]对账明细接口!$W218),"")</f>
        <v/>
      </c>
      <c r="AC218" s="7" t="str">
        <f>IFERROR(IF([1]对账明细接口!$X218=0,"",[1]对账明细接口!$X218),"")</f>
        <v/>
      </c>
      <c r="AD218" s="7" t="str">
        <f>IFERROR(IF([1]对账明细接口!$Y218=0,"",[1]对账明细接口!$Y218),"")</f>
        <v/>
      </c>
      <c r="AE218" s="7" t="str">
        <f>IFERROR(IF([1]对账明细接口!$AA218=0,"",[1]对账明细接口!$AA218),"")</f>
        <v/>
      </c>
      <c r="AF218" s="7" t="str">
        <f>IFERROR(IF([1]对账明细接口!$AB218=0,"",[1]对账明细接口!$AB218),"")</f>
        <v/>
      </c>
      <c r="AG218" s="7" t="str">
        <f>IFERROR(IF([1]对账明细接口!$AC218=0,"",[1]对账明细接口!$AC218),"")</f>
        <v/>
      </c>
      <c r="AH218" s="7" t="str">
        <f>IFERROR(IF([1]对账明细接口!$AD218=0,"",[1]对账明细接口!$AD218),"")</f>
        <v/>
      </c>
      <c r="AI218" s="7" t="str">
        <f>IFERROR(IF([1]对账明细接口!$AE218=0,"",[1]对账明细接口!$AE218),"")</f>
        <v/>
      </c>
      <c r="AJ218" s="7" t="str">
        <f>IFERROR(IF([1]对账明细接口!$AF218=0,"",[1]对账明细接口!$AF218),"")</f>
        <v/>
      </c>
    </row>
    <row r="219" ht="14.25" customHeight="1" spans="1:36">
      <c r="A219" s="14">
        <v>219</v>
      </c>
      <c r="B219" s="15">
        <f>IFERROR(IF([1]对账明细接口!$B$219=0,"",[1]对账明细接口!$B$219),"")</f>
        <v>46278</v>
      </c>
      <c r="C219" s="16" t="str">
        <f>IFERROR(IF([1]对账明细接口!$C$219=0,"",[1]对账明细接口!$C$219),"")</f>
        <v>热合曼</v>
      </c>
      <c r="D219" s="16" t="str">
        <f>IFERROR(IF([1]对账明细接口!$D$219=0,"",[1]对账明细接口!$D$219),"")</f>
        <v>原料入库</v>
      </c>
      <c r="E219" s="16" t="str">
        <f>IFERROR(IF([1]对账明细接口!$E$219=0,"",[1]对账明细接口!$E$219),"")</f>
        <v>NO:0000800</v>
      </c>
      <c r="F219" s="16" t="str">
        <f>IFERROR(IF([1]对账明细接口!$F$219=0,"",[1]对账明细接口!$F$219),"")</f>
        <v>香梨</v>
      </c>
      <c r="G219" s="16" t="str">
        <f>IFERROR(IF([1]对账明细接口!$G$219=0,"",[1]对账明细接口!$G$219),"")</f>
        <v>香梨二级</v>
      </c>
      <c r="H219" s="17">
        <f>IFERROR(IF([1]对账明细接口!$H$219=0,"",[1]对账明细接口!$H$219),"")</f>
        <v>30</v>
      </c>
      <c r="I219" s="16" t="str">
        <f>IFERROR(IF([1]对账明细接口!$I$219=0,"",[1]对账明细接口!$I$219),"")</f>
        <v>筐</v>
      </c>
      <c r="J219" s="18">
        <f>IFERROR(IF([1]对账明细接口!$J$219=0,"",[1]对账明细接口!$J$219),"")</f>
        <v>669</v>
      </c>
      <c r="K219" s="18" t="str">
        <f>IFERROR(IF([1]对账明细接口!$K$219=0,"",[1]对账明细接口!$K$219),"")</f>
        <v/>
      </c>
      <c r="L219" s="16" t="str">
        <f>IFERROR(IF([1]对账明细接口!$L$219=0,"",[1]对账明细接口!$L$219),"")</f>
        <v/>
      </c>
      <c r="M219" s="16" t="str">
        <f>IFERROR(IF([1]对账明细接口!$M$219=0,"",[1]对账明细接口!$M$219),"")</f>
        <v/>
      </c>
      <c r="N219" s="19">
        <f t="shared" si="6"/>
        <v>1</v>
      </c>
      <c r="O219" s="19">
        <f t="shared" si="7"/>
        <v>216</v>
      </c>
      <c r="S219" s="20" t="str">
        <f>IFERROR(IF([1]对账明细接口!$N219=0,"",[1]对账明细接口!$N219),"")</f>
        <v>公司红周转筐</v>
      </c>
      <c r="T219" s="21" t="str">
        <f>IFERROR(IF([1]对账明细接口!$O219=0,"",[1]对账明细接口!$O219),"")</f>
        <v/>
      </c>
      <c r="U219" s="21" t="str">
        <f>IFERROR(IF([1]对账明细接口!$P219=0,"",[1]对账明细接口!$P219),"")</f>
        <v/>
      </c>
      <c r="V219" s="21">
        <f>IFERROR(IF([1]对账明细接口!$Q219=0,"",[1]对账明细接口!$Q219),"")</f>
        <v>30</v>
      </c>
      <c r="W219" s="20" t="str">
        <f>IFERROR(IF([1]对账明细接口!$R219=0,"",[1]对账明细接口!$R219),"")</f>
        <v>新A*G0554</v>
      </c>
      <c r="X219" s="20" t="str">
        <f>IFERROR(IF([1]对账明细接口!$S219=0,"",[1]对账明细接口!$S219),"")</f>
        <v>公司筐</v>
      </c>
      <c r="Y219" s="20" t="str">
        <f>IFERROR(IF([1]对账明细接口!$T219=0,"",[1]对账明细接口!$T219),"")</f>
        <v/>
      </c>
      <c r="Z219" s="24" t="str">
        <f>IFERROR(IF([1]对账明细接口!$U219=0,"",[1]对账明细接口!$U219),"")</f>
        <v/>
      </c>
      <c r="AA219" s="24" t="str">
        <f>IFERROR(IF([1]对账明细接口!$V219=0,"",[1]对账明细接口!$V219),"")</f>
        <v/>
      </c>
      <c r="AB219" s="20" t="str">
        <f>IFERROR(IF([1]对账明细接口!$W219=0,"",[1]对账明细接口!$W219),"")</f>
        <v/>
      </c>
      <c r="AC219" s="7" t="str">
        <f>IFERROR(IF([1]对账明细接口!$X219=0,"",[1]对账明细接口!$X219),"")</f>
        <v/>
      </c>
      <c r="AD219" s="7" t="str">
        <f>IFERROR(IF([1]对账明细接口!$Y219=0,"",[1]对账明细接口!$Y219),"")</f>
        <v/>
      </c>
      <c r="AE219" s="7" t="str">
        <f>IFERROR(IF([1]对账明细接口!$AA219=0,"",[1]对账明细接口!$AA219),"")</f>
        <v/>
      </c>
      <c r="AF219" s="7" t="str">
        <f>IFERROR(IF([1]对账明细接口!$AB219=0,"",[1]对账明细接口!$AB219),"")</f>
        <v/>
      </c>
      <c r="AG219" s="7" t="str">
        <f>IFERROR(IF([1]对账明细接口!$AC219=0,"",[1]对账明细接口!$AC219),"")</f>
        <v/>
      </c>
      <c r="AH219" s="7" t="str">
        <f>IFERROR(IF([1]对账明细接口!$AD219=0,"",[1]对账明细接口!$AD219),"")</f>
        <v/>
      </c>
      <c r="AI219" s="7" t="str">
        <f>IFERROR(IF([1]对账明细接口!$AE219=0,"",[1]对账明细接口!$AE219),"")</f>
        <v/>
      </c>
      <c r="AJ219" s="7" t="str">
        <f>IFERROR(IF([1]对账明细接口!$AF219=0,"",[1]对账明细接口!$AF219),"")</f>
        <v/>
      </c>
    </row>
    <row r="220" ht="14.25" customHeight="1" spans="1:36">
      <c r="A220" s="14">
        <v>220</v>
      </c>
      <c r="B220" s="15">
        <f>IFERROR(IF([1]对账明细接口!$B$220=0,"",[1]对账明细接口!$B$220),"")</f>
        <v>46278</v>
      </c>
      <c r="C220" s="16" t="str">
        <f>IFERROR(IF([1]对账明细接口!$C$220=0,"",[1]对账明细接口!$C$220),"")</f>
        <v>努尔敦</v>
      </c>
      <c r="D220" s="16" t="str">
        <f>IFERROR(IF([1]对账明细接口!$D$220=0,"",[1]对账明细接口!$D$220),"")</f>
        <v>原料入库</v>
      </c>
      <c r="E220" s="16" t="str">
        <f>IFERROR(IF([1]对账明细接口!$E$220=0,"",[1]对账明细接口!$E$220),"")</f>
        <v>NO:0000851</v>
      </c>
      <c r="F220" s="16" t="str">
        <f>IFERROR(IF([1]对账明细接口!$F$220=0,"",[1]对账明细接口!$F$220),"")</f>
        <v>香梨</v>
      </c>
      <c r="G220" s="16" t="str">
        <f>IFERROR(IF([1]对账明细接口!$G$220=0,"",[1]对账明细接口!$G$220),"")</f>
        <v>香梨特级</v>
      </c>
      <c r="H220" s="17">
        <f>IFERROR(IF([1]对账明细接口!$H$220=0,"",[1]对账明细接口!$H$220),"")</f>
        <v>162</v>
      </c>
      <c r="I220" s="16" t="str">
        <f>IFERROR(IF([1]对账明细接口!$I$220=0,"",[1]对账明细接口!$I$220),"")</f>
        <v>筐</v>
      </c>
      <c r="J220" s="18">
        <f>IFERROR(IF([1]对账明细接口!$J$220=0,"",[1]对账明细接口!$J$220),"")</f>
        <v>2964.6</v>
      </c>
      <c r="K220" s="18" t="str">
        <f>IFERROR(IF([1]对账明细接口!$K$220=0,"",[1]对账明细接口!$K$220),"")</f>
        <v/>
      </c>
      <c r="L220" s="16" t="str">
        <f>IFERROR(IF([1]对账明细接口!$L$220=0,"",[1]对账明细接口!$L$220),"")</f>
        <v/>
      </c>
      <c r="M220" s="16" t="str">
        <f>IFERROR(IF([1]对账明细接口!$M$220=0,"",[1]对账明细接口!$M$220),"")</f>
        <v/>
      </c>
      <c r="N220" s="19">
        <f t="shared" si="6"/>
        <v>1</v>
      </c>
      <c r="O220" s="19">
        <f t="shared" si="7"/>
        <v>217</v>
      </c>
      <c r="S220" s="20" t="str">
        <f>IFERROR(IF([1]对账明细接口!$N220=0,"",[1]对账明细接口!$N220),"")</f>
        <v>公司红周转筐</v>
      </c>
      <c r="T220" s="21" t="str">
        <f>IFERROR(IF([1]对账明细接口!$O220=0,"",[1]对账明细接口!$O220),"")</f>
        <v/>
      </c>
      <c r="U220" s="21" t="str">
        <f>IFERROR(IF([1]对账明细接口!$P220=0,"",[1]对账明细接口!$P220),"")</f>
        <v/>
      </c>
      <c r="V220" s="21">
        <f>IFERROR(IF([1]对账明细接口!$Q220=0,"",[1]对账明细接口!$Q220),"")</f>
        <v>162</v>
      </c>
      <c r="W220" s="20" t="str">
        <f>IFERROR(IF([1]对账明细接口!$R220=0,"",[1]对账明细接口!$R220),"")</f>
        <v>新F*75240</v>
      </c>
      <c r="X220" s="20" t="str">
        <f>IFERROR(IF([1]对账明细接口!$S220=0,"",[1]对账明细接口!$S220),"")</f>
        <v>公司筐</v>
      </c>
      <c r="Y220" s="20" t="str">
        <f>IFERROR(IF([1]对账明细接口!$T220=0,"",[1]对账明细接口!$T220),"")</f>
        <v/>
      </c>
      <c r="Z220" s="24" t="str">
        <f>IFERROR(IF([1]对账明细接口!$U220=0,"",[1]对账明细接口!$U220),"")</f>
        <v/>
      </c>
      <c r="AA220" s="24" t="str">
        <f>IFERROR(IF([1]对账明细接口!$V220=0,"",[1]对账明细接口!$V220),"")</f>
        <v/>
      </c>
      <c r="AB220" s="20" t="str">
        <f>IFERROR(IF([1]对账明细接口!$W220=0,"",[1]对账明细接口!$W220),"")</f>
        <v/>
      </c>
      <c r="AC220" s="7" t="str">
        <f>IFERROR(IF([1]对账明细接口!$X220=0,"",[1]对账明细接口!$X220),"")</f>
        <v/>
      </c>
      <c r="AD220" s="7" t="str">
        <f>IFERROR(IF([1]对账明细接口!$Y220=0,"",[1]对账明细接口!$Y220),"")</f>
        <v/>
      </c>
      <c r="AE220" s="7" t="str">
        <f>IFERROR(IF([1]对账明细接口!$AA220=0,"",[1]对账明细接口!$AA220),"")</f>
        <v/>
      </c>
      <c r="AF220" s="7" t="str">
        <f>IFERROR(IF([1]对账明细接口!$AB220=0,"",[1]对账明细接口!$AB220),"")</f>
        <v/>
      </c>
      <c r="AG220" s="7" t="str">
        <f>IFERROR(IF([1]对账明细接口!$AC220=0,"",[1]对账明细接口!$AC220),"")</f>
        <v/>
      </c>
      <c r="AH220" s="7" t="str">
        <f>IFERROR(IF([1]对账明细接口!$AD220=0,"",[1]对账明细接口!$AD220),"")</f>
        <v/>
      </c>
      <c r="AI220" s="7" t="str">
        <f>IFERROR(IF([1]对账明细接口!$AE220=0,"",[1]对账明细接口!$AE220),"")</f>
        <v/>
      </c>
      <c r="AJ220" s="7" t="str">
        <f>IFERROR(IF([1]对账明细接口!$AF220=0,"",[1]对账明细接口!$AF220),"")</f>
        <v/>
      </c>
    </row>
    <row r="221" ht="14.25" customHeight="1" spans="1:36">
      <c r="A221" s="14">
        <v>221</v>
      </c>
      <c r="B221" s="15">
        <f>IFERROR(IF([1]对账明细接口!$B$221=0,"",[1]对账明细接口!$B$221),"")</f>
        <v>46278</v>
      </c>
      <c r="C221" s="16" t="str">
        <f>IFERROR(IF([1]对账明细接口!$C$221=0,"",[1]对账明细接口!$C$221),"")</f>
        <v>努尔敦</v>
      </c>
      <c r="D221" s="16" t="str">
        <f>IFERROR(IF([1]对账明细接口!$D$221=0,"",[1]对账明细接口!$D$221),"")</f>
        <v>原料入库</v>
      </c>
      <c r="E221" s="16" t="str">
        <f>IFERROR(IF([1]对账明细接口!$E$221=0,"",[1]对账明细接口!$E$221),"")</f>
        <v>NO:0000851</v>
      </c>
      <c r="F221" s="16" t="str">
        <f>IFERROR(IF([1]对账明细接口!$F$221=0,"",[1]对账明细接口!$F$221),"")</f>
        <v>香梨</v>
      </c>
      <c r="G221" s="16" t="str">
        <f>IFERROR(IF([1]对账明细接口!$G$221=0,"",[1]对账明细接口!$G$221),"")</f>
        <v>香梨一级</v>
      </c>
      <c r="H221" s="17">
        <f>IFERROR(IF([1]对账明细接口!$H$221=0,"",[1]对账明细接口!$H$221),"")</f>
        <v>300</v>
      </c>
      <c r="I221" s="16" t="str">
        <f>IFERROR(IF([1]对账明细接口!$I$221=0,"",[1]对账明细接口!$I$221),"")</f>
        <v>筐</v>
      </c>
      <c r="J221" s="18">
        <f>IFERROR(IF([1]对账明细接口!$J$221=0,"",[1]对账明细接口!$J$221),"")</f>
        <v>5490</v>
      </c>
      <c r="K221" s="18" t="str">
        <f>IFERROR(IF([1]对账明细接口!$K$221=0,"",[1]对账明细接口!$K$221),"")</f>
        <v/>
      </c>
      <c r="L221" s="16" t="str">
        <f>IFERROR(IF([1]对账明细接口!$L$221=0,"",[1]对账明细接口!$L$221),"")</f>
        <v/>
      </c>
      <c r="M221" s="16" t="str">
        <f>IFERROR(IF([1]对账明细接口!$M$221=0,"",[1]对账明细接口!$M$221),"")</f>
        <v/>
      </c>
      <c r="N221" s="19">
        <f t="shared" si="6"/>
        <v>1</v>
      </c>
      <c r="O221" s="19">
        <f t="shared" si="7"/>
        <v>218</v>
      </c>
      <c r="S221" s="20" t="str">
        <f>IFERROR(IF([1]对账明细接口!$N221=0,"",[1]对账明细接口!$N221),"")</f>
        <v>公司红周转筐</v>
      </c>
      <c r="T221" s="21" t="str">
        <f>IFERROR(IF([1]对账明细接口!$O221=0,"",[1]对账明细接口!$O221),"")</f>
        <v/>
      </c>
      <c r="U221" s="21" t="str">
        <f>IFERROR(IF([1]对账明细接口!$P221=0,"",[1]对账明细接口!$P221),"")</f>
        <v/>
      </c>
      <c r="V221" s="21">
        <f>IFERROR(IF([1]对账明细接口!$Q221=0,"",[1]对账明细接口!$Q221),"")</f>
        <v>300</v>
      </c>
      <c r="W221" s="20" t="str">
        <f>IFERROR(IF([1]对账明细接口!$R221=0,"",[1]对账明细接口!$R221),"")</f>
        <v>新F*75240</v>
      </c>
      <c r="X221" s="20" t="str">
        <f>IFERROR(IF([1]对账明细接口!$S221=0,"",[1]对账明细接口!$S221),"")</f>
        <v>公司筐</v>
      </c>
      <c r="Y221" s="20" t="str">
        <f>IFERROR(IF([1]对账明细接口!$T221=0,"",[1]对账明细接口!$T221),"")</f>
        <v/>
      </c>
      <c r="Z221" s="24" t="str">
        <f>IFERROR(IF([1]对账明细接口!$U221=0,"",[1]对账明细接口!$U221),"")</f>
        <v/>
      </c>
      <c r="AA221" s="24" t="str">
        <f>IFERROR(IF([1]对账明细接口!$V221=0,"",[1]对账明细接口!$V221),"")</f>
        <v/>
      </c>
      <c r="AB221" s="20" t="str">
        <f>IFERROR(IF([1]对账明细接口!$W221=0,"",[1]对账明细接口!$W221),"")</f>
        <v/>
      </c>
      <c r="AC221" s="7" t="str">
        <f>IFERROR(IF([1]对账明细接口!$X221=0,"",[1]对账明细接口!$X221),"")</f>
        <v/>
      </c>
      <c r="AD221" s="7" t="str">
        <f>IFERROR(IF([1]对账明细接口!$Y221=0,"",[1]对账明细接口!$Y221),"")</f>
        <v/>
      </c>
      <c r="AE221" s="7" t="str">
        <f>IFERROR(IF([1]对账明细接口!$AA221=0,"",[1]对账明细接口!$AA221),"")</f>
        <v/>
      </c>
      <c r="AF221" s="7" t="str">
        <f>IFERROR(IF([1]对账明细接口!$AB221=0,"",[1]对账明细接口!$AB221),"")</f>
        <v/>
      </c>
      <c r="AG221" s="7" t="str">
        <f>IFERROR(IF([1]对账明细接口!$AC221=0,"",[1]对账明细接口!$AC221),"")</f>
        <v/>
      </c>
      <c r="AH221" s="7" t="str">
        <f>IFERROR(IF([1]对账明细接口!$AD221=0,"",[1]对账明细接口!$AD221),"")</f>
        <v/>
      </c>
      <c r="AI221" s="7" t="str">
        <f>IFERROR(IF([1]对账明细接口!$AE221=0,"",[1]对账明细接口!$AE221),"")</f>
        <v/>
      </c>
      <c r="AJ221" s="7" t="str">
        <f>IFERROR(IF([1]对账明细接口!$AF221=0,"",[1]对账明细接口!$AF221),"")</f>
        <v/>
      </c>
    </row>
    <row r="222" ht="14.25" customHeight="1" spans="1:36">
      <c r="A222" s="14">
        <v>222</v>
      </c>
      <c r="B222" s="15">
        <f>IFERROR(IF([1]对账明细接口!$B$222=0,"",[1]对账明细接口!$B$222),"")</f>
        <v>46278</v>
      </c>
      <c r="C222" s="16" t="str">
        <f>IFERROR(IF([1]对账明细接口!$C$222=0,"",[1]对账明细接口!$C$222),"")</f>
        <v>努尔敦</v>
      </c>
      <c r="D222" s="16" t="str">
        <f>IFERROR(IF([1]对账明细接口!$D$222=0,"",[1]对账明细接口!$D$222),"")</f>
        <v>原料入库</v>
      </c>
      <c r="E222" s="16" t="str">
        <f>IFERROR(IF([1]对账明细接口!$E$222=0,"",[1]对账明细接口!$E$222),"")</f>
        <v>NO:0000851</v>
      </c>
      <c r="F222" s="16" t="str">
        <f>IFERROR(IF([1]对账明细接口!$F$222=0,"",[1]对账明细接口!$F$222),"")</f>
        <v>香梨</v>
      </c>
      <c r="G222" s="16" t="str">
        <f>IFERROR(IF([1]对账明细接口!$G$222=0,"",[1]对账明细接口!$G$222),"")</f>
        <v>香梨二级</v>
      </c>
      <c r="H222" s="17">
        <f>IFERROR(IF([1]对账明细接口!$H$222=0,"",[1]对账明细接口!$H$222),"")</f>
        <v>188</v>
      </c>
      <c r="I222" s="16" t="str">
        <f>IFERROR(IF([1]对账明细接口!$I$222=0,"",[1]对账明细接口!$I$222),"")</f>
        <v>筐</v>
      </c>
      <c r="J222" s="18">
        <f>IFERROR(IF([1]对账明细接口!$J$222=0,"",[1]对账明细接口!$J$222),"")</f>
        <v>4192.4</v>
      </c>
      <c r="K222" s="18" t="str">
        <f>IFERROR(IF([1]对账明细接口!$K$222=0,"",[1]对账明细接口!$K$222),"")</f>
        <v/>
      </c>
      <c r="L222" s="16" t="str">
        <f>IFERROR(IF([1]对账明细接口!$L$222=0,"",[1]对账明细接口!$L$222),"")</f>
        <v/>
      </c>
      <c r="M222" s="16" t="str">
        <f>IFERROR(IF([1]对账明细接口!$M$222=0,"",[1]对账明细接口!$M$222),"")</f>
        <v/>
      </c>
      <c r="N222" s="19">
        <f t="shared" si="6"/>
        <v>1</v>
      </c>
      <c r="O222" s="19">
        <f t="shared" si="7"/>
        <v>219</v>
      </c>
      <c r="S222" s="20" t="str">
        <f>IFERROR(IF([1]对账明细接口!$N222=0,"",[1]对账明细接口!$N222),"")</f>
        <v>公司红周转筐</v>
      </c>
      <c r="T222" s="21" t="str">
        <f>IFERROR(IF([1]对账明细接口!$O222=0,"",[1]对账明细接口!$O222),"")</f>
        <v/>
      </c>
      <c r="U222" s="21" t="str">
        <f>IFERROR(IF([1]对账明细接口!$P222=0,"",[1]对账明细接口!$P222),"")</f>
        <v/>
      </c>
      <c r="V222" s="21">
        <f>IFERROR(IF([1]对账明细接口!$Q222=0,"",[1]对账明细接口!$Q222),"")</f>
        <v>188</v>
      </c>
      <c r="W222" s="20" t="str">
        <f>IFERROR(IF([1]对账明细接口!$R222=0,"",[1]对账明细接口!$R222),"")</f>
        <v>新F*75240</v>
      </c>
      <c r="X222" s="20" t="str">
        <f>IFERROR(IF([1]对账明细接口!$S222=0,"",[1]对账明细接口!$S222),"")</f>
        <v>公司筐</v>
      </c>
      <c r="Y222" s="20" t="str">
        <f>IFERROR(IF([1]对账明细接口!$T222=0,"",[1]对账明细接口!$T222),"")</f>
        <v/>
      </c>
      <c r="Z222" s="24" t="str">
        <f>IFERROR(IF([1]对账明细接口!$U222=0,"",[1]对账明细接口!$U222),"")</f>
        <v/>
      </c>
      <c r="AA222" s="24" t="str">
        <f>IFERROR(IF([1]对账明细接口!$V222=0,"",[1]对账明细接口!$V222),"")</f>
        <v/>
      </c>
      <c r="AB222" s="20" t="str">
        <f>IFERROR(IF([1]对账明细接口!$W222=0,"",[1]对账明细接口!$W222),"")</f>
        <v/>
      </c>
      <c r="AC222" s="7" t="str">
        <f>IFERROR(IF([1]对账明细接口!$X222=0,"",[1]对账明细接口!$X222),"")</f>
        <v/>
      </c>
      <c r="AD222" s="7" t="str">
        <f>IFERROR(IF([1]对账明细接口!$Y222=0,"",[1]对账明细接口!$Y222),"")</f>
        <v/>
      </c>
      <c r="AE222" s="7" t="str">
        <f>IFERROR(IF([1]对账明细接口!$AA222=0,"",[1]对账明细接口!$AA222),"")</f>
        <v/>
      </c>
      <c r="AF222" s="7" t="str">
        <f>IFERROR(IF([1]对账明细接口!$AB222=0,"",[1]对账明细接口!$AB222),"")</f>
        <v/>
      </c>
      <c r="AG222" s="7" t="str">
        <f>IFERROR(IF([1]对账明细接口!$AC222=0,"",[1]对账明细接口!$AC222),"")</f>
        <v/>
      </c>
      <c r="AH222" s="7" t="str">
        <f>IFERROR(IF([1]对账明细接口!$AD222=0,"",[1]对账明细接口!$AD222),"")</f>
        <v/>
      </c>
      <c r="AI222" s="7" t="str">
        <f>IFERROR(IF([1]对账明细接口!$AE222=0,"",[1]对账明细接口!$AE222),"")</f>
        <v/>
      </c>
      <c r="AJ222" s="7" t="str">
        <f>IFERROR(IF([1]对账明细接口!$AF222=0,"",[1]对账明细接口!$AF222),"")</f>
        <v/>
      </c>
    </row>
    <row r="223" ht="14.25" customHeight="1" spans="1:36">
      <c r="A223" s="14">
        <v>223</v>
      </c>
      <c r="B223" s="15">
        <f>IFERROR(IF([1]对账明细接口!$B$223=0,"",[1]对账明细接口!$B$223),"")</f>
        <v>46278</v>
      </c>
      <c r="C223" s="16" t="str">
        <f>IFERROR(IF([1]对账明细接口!$C$223=0,"",[1]对账明细接口!$C$223),"")</f>
        <v>马锦祥</v>
      </c>
      <c r="D223" s="16" t="str">
        <f>IFERROR(IF([1]对账明细接口!$D$223=0,"",[1]对账明细接口!$D$223),"")</f>
        <v>原料入库</v>
      </c>
      <c r="E223" s="16" t="str">
        <f>IFERROR(IF([1]对账明细接口!$E$223=0,"",[1]对账明细接口!$E$223),"")</f>
        <v>NO:0000852</v>
      </c>
      <c r="F223" s="16" t="str">
        <f>IFERROR(IF([1]对账明细接口!$F$223=0,"",[1]对账明细接口!$F$223),"")</f>
        <v>香梨</v>
      </c>
      <c r="G223" s="16" t="str">
        <f>IFERROR(IF([1]对账明细接口!$G$223=0,"",[1]对账明细接口!$G$223),"")</f>
        <v>香梨一级</v>
      </c>
      <c r="H223" s="17">
        <f>IFERROR(IF([1]对账明细接口!$H$223=0,"",[1]对账明细接口!$H$223),"")</f>
        <v>294</v>
      </c>
      <c r="I223" s="16" t="str">
        <f>IFERROR(IF([1]对账明细接口!$I$223=0,"",[1]对账明细接口!$I$223),"")</f>
        <v>筐</v>
      </c>
      <c r="J223" s="18">
        <f>IFERROR(IF([1]对账明细接口!$J$223=0,"",[1]对账明细接口!$J$223),"")</f>
        <v>5380.2</v>
      </c>
      <c r="K223" s="18" t="str">
        <f>IFERROR(IF([1]对账明细接口!$K$223=0,"",[1]对账明细接口!$K$223),"")</f>
        <v/>
      </c>
      <c r="L223" s="16" t="str">
        <f>IFERROR(IF([1]对账明细接口!$L$223=0,"",[1]对账明细接口!$L$223),"")</f>
        <v/>
      </c>
      <c r="M223" s="16" t="str">
        <f>IFERROR(IF([1]对账明细接口!$M$223=0,"",[1]对账明细接口!$M$223),"")</f>
        <v/>
      </c>
      <c r="N223" s="19">
        <f t="shared" si="6"/>
        <v>1</v>
      </c>
      <c r="O223" s="19">
        <f t="shared" si="7"/>
        <v>220</v>
      </c>
      <c r="S223" s="20" t="str">
        <f>IFERROR(IF([1]对账明细接口!$N223=0,"",[1]对账明细接口!$N223),"")</f>
        <v>公司杂周转筐</v>
      </c>
      <c r="T223" s="21" t="str">
        <f>IFERROR(IF([1]对账明细接口!$O223=0,"",[1]对账明细接口!$O223),"")</f>
        <v/>
      </c>
      <c r="U223" s="21" t="str">
        <f>IFERROR(IF([1]对账明细接口!$P223=0,"",[1]对账明细接口!$P223),"")</f>
        <v/>
      </c>
      <c r="V223" s="21">
        <f>IFERROR(IF([1]对账明细接口!$Q223=0,"",[1]对账明细接口!$Q223),"")</f>
        <v>294</v>
      </c>
      <c r="W223" s="20" t="str">
        <f>IFERROR(IF([1]对账明细接口!$R223=0,"",[1]对账明细接口!$R223),"")</f>
        <v>新N*K7V85</v>
      </c>
      <c r="X223" s="20" t="str">
        <f>IFERROR(IF([1]对账明细接口!$S223=0,"",[1]对账明细接口!$S223),"")</f>
        <v>公司筐</v>
      </c>
      <c r="Y223" s="20" t="str">
        <f>IFERROR(IF([1]对账明细接口!$T223=0,"",[1]对账明细接口!$T223),"")</f>
        <v/>
      </c>
      <c r="Z223" s="24" t="str">
        <f>IFERROR(IF([1]对账明细接口!$U223=0,"",[1]对账明细接口!$U223),"")</f>
        <v/>
      </c>
      <c r="AA223" s="24" t="str">
        <f>IFERROR(IF([1]对账明细接口!$V223=0,"",[1]对账明细接口!$V223),"")</f>
        <v/>
      </c>
      <c r="AB223" s="20" t="str">
        <f>IFERROR(IF([1]对账明细接口!$W223=0,"",[1]对账明细接口!$W223),"")</f>
        <v/>
      </c>
      <c r="AC223" s="7" t="str">
        <f>IFERROR(IF([1]对账明细接口!$X223=0,"",[1]对账明细接口!$X223),"")</f>
        <v/>
      </c>
      <c r="AD223" s="7" t="str">
        <f>IFERROR(IF([1]对账明细接口!$Y223=0,"",[1]对账明细接口!$Y223),"")</f>
        <v/>
      </c>
      <c r="AE223" s="7" t="str">
        <f>IFERROR(IF([1]对账明细接口!$AA223=0,"",[1]对账明细接口!$AA223),"")</f>
        <v/>
      </c>
      <c r="AF223" s="7" t="str">
        <f>IFERROR(IF([1]对账明细接口!$AB223=0,"",[1]对账明细接口!$AB223),"")</f>
        <v/>
      </c>
      <c r="AG223" s="7" t="str">
        <f>IFERROR(IF([1]对账明细接口!$AC223=0,"",[1]对账明细接口!$AC223),"")</f>
        <v/>
      </c>
      <c r="AH223" s="7" t="str">
        <f>IFERROR(IF([1]对账明细接口!$AD223=0,"",[1]对账明细接口!$AD223),"")</f>
        <v/>
      </c>
      <c r="AI223" s="7" t="str">
        <f>IFERROR(IF([1]对账明细接口!$AE223=0,"",[1]对账明细接口!$AE223),"")</f>
        <v/>
      </c>
      <c r="AJ223" s="7" t="str">
        <f>IFERROR(IF([1]对账明细接口!$AF223=0,"",[1]对账明细接口!$AF223),"")</f>
        <v/>
      </c>
    </row>
    <row r="224" ht="14.25" customHeight="1" spans="1:36">
      <c r="A224" s="14">
        <v>224</v>
      </c>
      <c r="B224" s="15">
        <f>IFERROR(IF([1]对账明细接口!$B$224=0,"",[1]对账明细接口!$B$224),"")</f>
        <v>46278</v>
      </c>
      <c r="C224" s="16" t="str">
        <f>IFERROR(IF([1]对账明细接口!$C$224=0,"",[1]对账明细接口!$C$224),"")</f>
        <v>马锦祥</v>
      </c>
      <c r="D224" s="16" t="str">
        <f>IFERROR(IF([1]对账明细接口!$D$224=0,"",[1]对账明细接口!$D$224),"")</f>
        <v>原料入库</v>
      </c>
      <c r="E224" s="16" t="str">
        <f>IFERROR(IF([1]对账明细接口!$E$224=0,"",[1]对账明细接口!$E$224),"")</f>
        <v>NO:0000852</v>
      </c>
      <c r="F224" s="16" t="str">
        <f>IFERROR(IF([1]对账明细接口!$F$224=0,"",[1]对账明细接口!$F$224),"")</f>
        <v>香梨</v>
      </c>
      <c r="G224" s="16" t="str">
        <f>IFERROR(IF([1]对账明细接口!$G$224=0,"",[1]对账明细接口!$G$224),"")</f>
        <v>香梨二级</v>
      </c>
      <c r="H224" s="17">
        <f>IFERROR(IF([1]对账明细接口!$H$224=0,"",[1]对账明细接口!$H$224),"")</f>
        <v>42</v>
      </c>
      <c r="I224" s="16" t="str">
        <f>IFERROR(IF([1]对账明细接口!$I$224=0,"",[1]对账明细接口!$I$224),"")</f>
        <v>筐</v>
      </c>
      <c r="J224" s="18">
        <f>IFERROR(IF([1]对账明细接口!$J$224=0,"",[1]对账明细接口!$J$224),"")</f>
        <v>936.6</v>
      </c>
      <c r="K224" s="18" t="str">
        <f>IFERROR(IF([1]对账明细接口!$K$224=0,"",[1]对账明细接口!$K$224),"")</f>
        <v/>
      </c>
      <c r="L224" s="16" t="str">
        <f>IFERROR(IF([1]对账明细接口!$L$224=0,"",[1]对账明细接口!$L$224),"")</f>
        <v/>
      </c>
      <c r="M224" s="16" t="str">
        <f>IFERROR(IF([1]对账明细接口!$M$224=0,"",[1]对账明细接口!$M$224),"")</f>
        <v/>
      </c>
      <c r="N224" s="19">
        <f t="shared" si="6"/>
        <v>1</v>
      </c>
      <c r="O224" s="19">
        <f t="shared" si="7"/>
        <v>221</v>
      </c>
      <c r="S224" s="20" t="str">
        <f>IFERROR(IF([1]对账明细接口!$N224=0,"",[1]对账明细接口!$N224),"")</f>
        <v>公司杂周转筐</v>
      </c>
      <c r="T224" s="21" t="str">
        <f>IFERROR(IF([1]对账明细接口!$O224=0,"",[1]对账明细接口!$O224),"")</f>
        <v/>
      </c>
      <c r="U224" s="21" t="str">
        <f>IFERROR(IF([1]对账明细接口!$P224=0,"",[1]对账明细接口!$P224),"")</f>
        <v/>
      </c>
      <c r="V224" s="21">
        <f>IFERROR(IF([1]对账明细接口!$Q224=0,"",[1]对账明细接口!$Q224),"")</f>
        <v>42</v>
      </c>
      <c r="W224" s="20" t="str">
        <f>IFERROR(IF([1]对账明细接口!$R224=0,"",[1]对账明细接口!$R224),"")</f>
        <v>新N*K7V85</v>
      </c>
      <c r="X224" s="20" t="str">
        <f>IFERROR(IF([1]对账明细接口!$S224=0,"",[1]对账明细接口!$S224),"")</f>
        <v>公司筐</v>
      </c>
      <c r="Y224" s="20" t="str">
        <f>IFERROR(IF([1]对账明细接口!$T224=0,"",[1]对账明细接口!$T224),"")</f>
        <v/>
      </c>
      <c r="Z224" s="24" t="str">
        <f>IFERROR(IF([1]对账明细接口!$U224=0,"",[1]对账明细接口!$U224),"")</f>
        <v/>
      </c>
      <c r="AA224" s="24" t="str">
        <f>IFERROR(IF([1]对账明细接口!$V224=0,"",[1]对账明细接口!$V224),"")</f>
        <v/>
      </c>
      <c r="AB224" s="20" t="str">
        <f>IFERROR(IF([1]对账明细接口!$W224=0,"",[1]对账明细接口!$W224),"")</f>
        <v/>
      </c>
      <c r="AC224" s="7" t="str">
        <f>IFERROR(IF([1]对账明细接口!$X224=0,"",[1]对账明细接口!$X224),"")</f>
        <v/>
      </c>
      <c r="AD224" s="7" t="str">
        <f>IFERROR(IF([1]对账明细接口!$Y224=0,"",[1]对账明细接口!$Y224),"")</f>
        <v/>
      </c>
      <c r="AE224" s="7" t="str">
        <f>IFERROR(IF([1]对账明细接口!$AA224=0,"",[1]对账明细接口!$AA224),"")</f>
        <v/>
      </c>
      <c r="AF224" s="7" t="str">
        <f>IFERROR(IF([1]对账明细接口!$AB224=0,"",[1]对账明细接口!$AB224),"")</f>
        <v/>
      </c>
      <c r="AG224" s="7" t="str">
        <f>IFERROR(IF([1]对账明细接口!$AC224=0,"",[1]对账明细接口!$AC224),"")</f>
        <v/>
      </c>
      <c r="AH224" s="7" t="str">
        <f>IFERROR(IF([1]对账明细接口!$AD224=0,"",[1]对账明细接口!$AD224),"")</f>
        <v/>
      </c>
      <c r="AI224" s="7" t="str">
        <f>IFERROR(IF([1]对账明细接口!$AE224=0,"",[1]对账明细接口!$AE224),"")</f>
        <v/>
      </c>
      <c r="AJ224" s="7" t="str">
        <f>IFERROR(IF([1]对账明细接口!$AF224=0,"",[1]对账明细接口!$AF224),"")</f>
        <v/>
      </c>
    </row>
    <row r="225" ht="14.25" customHeight="1" spans="1:36">
      <c r="A225" s="14">
        <v>225</v>
      </c>
      <c r="B225" s="15">
        <f>IFERROR(IF([1]对账明细接口!$B$225=0,"",[1]对账明细接口!$B$225),"")</f>
        <v>46278</v>
      </c>
      <c r="C225" s="16" t="str">
        <f>IFERROR(IF([1]对账明细接口!$C$225=0,"",[1]对账明细接口!$C$225),"")</f>
        <v>马锦祥</v>
      </c>
      <c r="D225" s="16" t="str">
        <f>IFERROR(IF([1]对账明细接口!$D$225=0,"",[1]对账明细接口!$D$225),"")</f>
        <v>原料入库</v>
      </c>
      <c r="E225" s="16" t="str">
        <f>IFERROR(IF([1]对账明细接口!$E$225=0,"",[1]对账明细接口!$E$225),"")</f>
        <v>NO:0000852</v>
      </c>
      <c r="F225" s="16" t="str">
        <f>IFERROR(IF([1]对账明细接口!$F$225=0,"",[1]对账明细接口!$F$225),"")</f>
        <v>香梨</v>
      </c>
      <c r="G225" s="16" t="str">
        <f>IFERROR(IF([1]对账明细接口!$G$225=0,"",[1]对账明细接口!$G$225),"")</f>
        <v>香梨副特</v>
      </c>
      <c r="H225" s="17">
        <f>IFERROR(IF([1]对账明细接口!$H$225=0,"",[1]对账明细接口!$H$225),"")</f>
        <v>7</v>
      </c>
      <c r="I225" s="16" t="str">
        <f>IFERROR(IF([1]对账明细接口!$I$225=0,"",[1]对账明细接口!$I$225),"")</f>
        <v>筐</v>
      </c>
      <c r="J225" s="18">
        <f>IFERROR(IF([1]对账明细接口!$J$225=0,"",[1]对账明细接口!$J$225),"")</f>
        <v>128.1</v>
      </c>
      <c r="K225" s="18" t="str">
        <f>IFERROR(IF([1]对账明细接口!$K$225=0,"",[1]对账明细接口!$K$225),"")</f>
        <v/>
      </c>
      <c r="L225" s="16" t="str">
        <f>IFERROR(IF([1]对账明细接口!$L$225=0,"",[1]对账明细接口!$L$225),"")</f>
        <v/>
      </c>
      <c r="M225" s="16" t="str">
        <f>IFERROR(IF([1]对账明细接口!$M$225=0,"",[1]对账明细接口!$M$225),"")</f>
        <v/>
      </c>
      <c r="N225" s="19">
        <f t="shared" si="6"/>
        <v>1</v>
      </c>
      <c r="O225" s="19">
        <f t="shared" si="7"/>
        <v>222</v>
      </c>
      <c r="S225" s="20" t="str">
        <f>IFERROR(IF([1]对账明细接口!$N225=0,"",[1]对账明细接口!$N225),"")</f>
        <v>公司杂周转筐</v>
      </c>
      <c r="T225" s="21" t="str">
        <f>IFERROR(IF([1]对账明细接口!$O225=0,"",[1]对账明细接口!$O225),"")</f>
        <v/>
      </c>
      <c r="U225" s="21" t="str">
        <f>IFERROR(IF([1]对账明细接口!$P225=0,"",[1]对账明细接口!$P225),"")</f>
        <v/>
      </c>
      <c r="V225" s="21">
        <f>IFERROR(IF([1]对账明细接口!$Q225=0,"",[1]对账明细接口!$Q225),"")</f>
        <v>7</v>
      </c>
      <c r="W225" s="20" t="str">
        <f>IFERROR(IF([1]对账明细接口!$R225=0,"",[1]对账明细接口!$R225),"")</f>
        <v>新N*K7V85</v>
      </c>
      <c r="X225" s="20" t="str">
        <f>IFERROR(IF([1]对账明细接口!$S225=0,"",[1]对账明细接口!$S225),"")</f>
        <v>公司筐</v>
      </c>
      <c r="Y225" s="20" t="str">
        <f>IFERROR(IF([1]对账明细接口!$T225=0,"",[1]对账明细接口!$T225),"")</f>
        <v/>
      </c>
      <c r="Z225" s="24" t="str">
        <f>IFERROR(IF([1]对账明细接口!$U225=0,"",[1]对账明细接口!$U225),"")</f>
        <v/>
      </c>
      <c r="AA225" s="24" t="str">
        <f>IFERROR(IF([1]对账明细接口!$V225=0,"",[1]对账明细接口!$V225),"")</f>
        <v/>
      </c>
      <c r="AB225" s="20" t="str">
        <f>IFERROR(IF([1]对账明细接口!$W225=0,"",[1]对账明细接口!$W225),"")</f>
        <v/>
      </c>
      <c r="AC225" s="7" t="str">
        <f>IFERROR(IF([1]对账明细接口!$X225=0,"",[1]对账明细接口!$X225),"")</f>
        <v/>
      </c>
      <c r="AD225" s="7" t="str">
        <f>IFERROR(IF([1]对账明细接口!$Y225=0,"",[1]对账明细接口!$Y225),"")</f>
        <v/>
      </c>
      <c r="AE225" s="7" t="str">
        <f>IFERROR(IF([1]对账明细接口!$AA225=0,"",[1]对账明细接口!$AA225),"")</f>
        <v/>
      </c>
      <c r="AF225" s="7" t="str">
        <f>IFERROR(IF([1]对账明细接口!$AB225=0,"",[1]对账明细接口!$AB225),"")</f>
        <v/>
      </c>
      <c r="AG225" s="7" t="str">
        <f>IFERROR(IF([1]对账明细接口!$AC225=0,"",[1]对账明细接口!$AC225),"")</f>
        <v/>
      </c>
      <c r="AH225" s="7" t="str">
        <f>IFERROR(IF([1]对账明细接口!$AD225=0,"",[1]对账明细接口!$AD225),"")</f>
        <v/>
      </c>
      <c r="AI225" s="7" t="str">
        <f>IFERROR(IF([1]对账明细接口!$AE225=0,"",[1]对账明细接口!$AE225),"")</f>
        <v/>
      </c>
      <c r="AJ225" s="7" t="str">
        <f>IFERROR(IF([1]对账明细接口!$AF225=0,"",[1]对账明细接口!$AF225),"")</f>
        <v/>
      </c>
    </row>
    <row r="226" ht="14.25" customHeight="1" spans="1:36">
      <c r="A226" s="14">
        <v>226</v>
      </c>
      <c r="B226" s="15">
        <f>IFERROR(IF([1]对账明细接口!$B$226=0,"",[1]对账明细接口!$B$226),"")</f>
        <v>46278</v>
      </c>
      <c r="C226" s="16" t="str">
        <f>IFERROR(IF([1]对账明细接口!$C$226=0,"",[1]对账明细接口!$C$226),"")</f>
        <v>荆建君</v>
      </c>
      <c r="D226" s="16" t="str">
        <f>IFERROR(IF([1]对账明细接口!$D$226=0,"",[1]对账明细接口!$D$226),"")</f>
        <v>原料入库</v>
      </c>
      <c r="E226" s="16" t="str">
        <f>IFERROR(IF([1]对账明细接口!$E$226=0,"",[1]对账明细接口!$E$226),"")</f>
        <v>NO:0000854</v>
      </c>
      <c r="F226" s="16" t="str">
        <f>IFERROR(IF([1]对账明细接口!$F$226=0,"",[1]对账明细接口!$F$226),"")</f>
        <v>香梨</v>
      </c>
      <c r="G226" s="16" t="str">
        <f>IFERROR(IF([1]对账明细接口!$G$226=0,"",[1]对账明细接口!$G$226),"")</f>
        <v>香梨一级</v>
      </c>
      <c r="H226" s="17">
        <f>IFERROR(IF([1]对账明细接口!$H$226=0,"",[1]对账明细接口!$H$226),"")</f>
        <v>383</v>
      </c>
      <c r="I226" s="16" t="str">
        <f>IFERROR(IF([1]对账明细接口!$I$226=0,"",[1]对账明细接口!$I$226),"")</f>
        <v>筐</v>
      </c>
      <c r="J226" s="18">
        <f>IFERROR(IF([1]对账明细接口!$J$226=0,"",[1]对账明细接口!$J$226),"")</f>
        <v>7008.9</v>
      </c>
      <c r="K226" s="18" t="str">
        <f>IFERROR(IF([1]对账明细接口!$K$226=0,"",[1]对账明细接口!$K$226),"")</f>
        <v/>
      </c>
      <c r="L226" s="16" t="str">
        <f>IFERROR(IF([1]对账明细接口!$L$226=0,"",[1]对账明细接口!$L$226),"")</f>
        <v/>
      </c>
      <c r="M226" s="16" t="str">
        <f>IFERROR(IF([1]对账明细接口!$M$226=0,"",[1]对账明细接口!$M$226),"")</f>
        <v/>
      </c>
      <c r="N226" s="19">
        <f t="shared" si="6"/>
        <v>1</v>
      </c>
      <c r="O226" s="19">
        <f t="shared" si="7"/>
        <v>223</v>
      </c>
      <c r="S226" s="20" t="str">
        <f>IFERROR(IF([1]对账明细接口!$N226=0,"",[1]对账明细接口!$N226),"")</f>
        <v>公司红周转筐</v>
      </c>
      <c r="T226" s="21" t="str">
        <f>IFERROR(IF([1]对账明细接口!$O226=0,"",[1]对账明细接口!$O226),"")</f>
        <v/>
      </c>
      <c r="U226" s="21" t="str">
        <f>IFERROR(IF([1]对账明细接口!$P226=0,"",[1]对账明细接口!$P226),"")</f>
        <v/>
      </c>
      <c r="V226" s="21">
        <f>IFERROR(IF([1]对账明细接口!$Q226=0,"",[1]对账明细接口!$Q226),"")</f>
        <v>383</v>
      </c>
      <c r="W226" s="20" t="str">
        <f>IFERROR(IF([1]对账明细接口!$R226=0,"",[1]对账明细接口!$R226),"")</f>
        <v>豫A*2737K</v>
      </c>
      <c r="X226" s="20" t="str">
        <f>IFERROR(IF([1]对账明细接口!$S226=0,"",[1]对账明细接口!$S226),"")</f>
        <v>公司筐</v>
      </c>
      <c r="Y226" s="20" t="str">
        <f>IFERROR(IF([1]对账明细接口!$T226=0,"",[1]对账明细接口!$T226),"")</f>
        <v/>
      </c>
      <c r="Z226" s="24" t="str">
        <f>IFERROR(IF([1]对账明细接口!$U226=0,"",[1]对账明细接口!$U226),"")</f>
        <v/>
      </c>
      <c r="AA226" s="24" t="str">
        <f>IFERROR(IF([1]对账明细接口!$V226=0,"",[1]对账明细接口!$V226),"")</f>
        <v/>
      </c>
      <c r="AB226" s="20" t="str">
        <f>IFERROR(IF([1]对账明细接口!$W226=0,"",[1]对账明细接口!$W226),"")</f>
        <v/>
      </c>
      <c r="AC226" s="7" t="str">
        <f>IFERROR(IF([1]对账明细接口!$X226=0,"",[1]对账明细接口!$X226),"")</f>
        <v/>
      </c>
      <c r="AD226" s="7" t="str">
        <f>IFERROR(IF([1]对账明细接口!$Y226=0,"",[1]对账明细接口!$Y226),"")</f>
        <v/>
      </c>
      <c r="AE226" s="7" t="str">
        <f>IFERROR(IF([1]对账明细接口!$AA226=0,"",[1]对账明细接口!$AA226),"")</f>
        <v/>
      </c>
      <c r="AF226" s="7" t="str">
        <f>IFERROR(IF([1]对账明细接口!$AB226=0,"",[1]对账明细接口!$AB226),"")</f>
        <v/>
      </c>
      <c r="AG226" s="7" t="str">
        <f>IFERROR(IF([1]对账明细接口!$AC226=0,"",[1]对账明细接口!$AC226),"")</f>
        <v/>
      </c>
      <c r="AH226" s="7" t="str">
        <f>IFERROR(IF([1]对账明细接口!$AD226=0,"",[1]对账明细接口!$AD226),"")</f>
        <v/>
      </c>
      <c r="AI226" s="7" t="str">
        <f>IFERROR(IF([1]对账明细接口!$AE226=0,"",[1]对账明细接口!$AE226),"")</f>
        <v/>
      </c>
      <c r="AJ226" s="7" t="str">
        <f>IFERROR(IF([1]对账明细接口!$AF226=0,"",[1]对账明细接口!$AF226),"")</f>
        <v/>
      </c>
    </row>
    <row r="227" ht="14.25" customHeight="1" spans="1:36">
      <c r="A227" s="14">
        <v>227</v>
      </c>
      <c r="B227" s="15">
        <f>IFERROR(IF([1]对账明细接口!$B$227=0,"",[1]对账明细接口!$B$227),"")</f>
        <v>46278</v>
      </c>
      <c r="C227" s="16" t="str">
        <f>IFERROR(IF([1]对账明细接口!$C$227=0,"",[1]对账明细接口!$C$227),"")</f>
        <v>荆建君</v>
      </c>
      <c r="D227" s="16" t="str">
        <f>IFERROR(IF([1]对账明细接口!$D$227=0,"",[1]对账明细接口!$D$227),"")</f>
        <v>原料入库</v>
      </c>
      <c r="E227" s="16" t="str">
        <f>IFERROR(IF([1]对账明细接口!$E$227=0,"",[1]对账明细接口!$E$227),"")</f>
        <v>NO:0000854</v>
      </c>
      <c r="F227" s="16" t="str">
        <f>IFERROR(IF([1]对账明细接口!$F$227=0,"",[1]对账明细接口!$F$227),"")</f>
        <v>香梨</v>
      </c>
      <c r="G227" s="16" t="str">
        <f>IFERROR(IF([1]对账明细接口!$G$227=0,"",[1]对账明细接口!$G$227),"")</f>
        <v>香梨二级</v>
      </c>
      <c r="H227" s="17">
        <f>IFERROR(IF([1]对账明细接口!$H$227=0,"",[1]对账明细接口!$H$227),"")</f>
        <v>265</v>
      </c>
      <c r="I227" s="16" t="str">
        <f>IFERROR(IF([1]对账明细接口!$I$227=0,"",[1]对账明细接口!$I$227),"")</f>
        <v>筐</v>
      </c>
      <c r="J227" s="18">
        <f>IFERROR(IF([1]对账明细接口!$J$227=0,"",[1]对账明细接口!$J$227),"")</f>
        <v>4849.5</v>
      </c>
      <c r="K227" s="18" t="str">
        <f>IFERROR(IF([1]对账明细接口!$K$227=0,"",[1]对账明细接口!$K$227),"")</f>
        <v/>
      </c>
      <c r="L227" s="16" t="str">
        <f>IFERROR(IF([1]对账明细接口!$L$227=0,"",[1]对账明细接口!$L$227),"")</f>
        <v/>
      </c>
      <c r="M227" s="16" t="str">
        <f>IFERROR(IF([1]对账明细接口!$M$227=0,"",[1]对账明细接口!$M$227),"")</f>
        <v/>
      </c>
      <c r="N227" s="19">
        <f t="shared" si="6"/>
        <v>1</v>
      </c>
      <c r="O227" s="19">
        <f t="shared" si="7"/>
        <v>224</v>
      </c>
      <c r="S227" s="20" t="str">
        <f>IFERROR(IF([1]对账明细接口!$N227=0,"",[1]对账明细接口!$N227),"")</f>
        <v>公司红周转筐</v>
      </c>
      <c r="T227" s="21" t="str">
        <f>IFERROR(IF([1]对账明细接口!$O227=0,"",[1]对账明细接口!$O227),"")</f>
        <v/>
      </c>
      <c r="U227" s="21" t="str">
        <f>IFERROR(IF([1]对账明细接口!$P227=0,"",[1]对账明细接口!$P227),"")</f>
        <v/>
      </c>
      <c r="V227" s="21">
        <f>IFERROR(IF([1]对账明细接口!$Q227=0,"",[1]对账明细接口!$Q227),"")</f>
        <v>265</v>
      </c>
      <c r="W227" s="20" t="str">
        <f>IFERROR(IF([1]对账明细接口!$R227=0,"",[1]对账明细接口!$R227),"")</f>
        <v>豫A*2737K</v>
      </c>
      <c r="X227" s="20" t="str">
        <f>IFERROR(IF([1]对账明细接口!$S227=0,"",[1]对账明细接口!$S227),"")</f>
        <v>公司筐</v>
      </c>
      <c r="Y227" s="20" t="str">
        <f>IFERROR(IF([1]对账明细接口!$T227=0,"",[1]对账明细接口!$T227),"")</f>
        <v/>
      </c>
      <c r="Z227" s="24" t="str">
        <f>IFERROR(IF([1]对账明细接口!$U227=0,"",[1]对账明细接口!$U227),"")</f>
        <v/>
      </c>
      <c r="AA227" s="24" t="str">
        <f>IFERROR(IF([1]对账明细接口!$V227=0,"",[1]对账明细接口!$V227),"")</f>
        <v/>
      </c>
      <c r="AB227" s="20" t="str">
        <f>IFERROR(IF([1]对账明细接口!$W227=0,"",[1]对账明细接口!$W227),"")</f>
        <v/>
      </c>
      <c r="AC227" s="7" t="str">
        <f>IFERROR(IF([1]对账明细接口!$X227=0,"",[1]对账明细接口!$X227),"")</f>
        <v/>
      </c>
      <c r="AD227" s="7" t="str">
        <f>IFERROR(IF([1]对账明细接口!$Y227=0,"",[1]对账明细接口!$Y227),"")</f>
        <v/>
      </c>
      <c r="AE227" s="7" t="str">
        <f>IFERROR(IF([1]对账明细接口!$AA227=0,"",[1]对账明细接口!$AA227),"")</f>
        <v/>
      </c>
      <c r="AF227" s="7" t="str">
        <f>IFERROR(IF([1]对账明细接口!$AB227=0,"",[1]对账明细接口!$AB227),"")</f>
        <v/>
      </c>
      <c r="AG227" s="7" t="str">
        <f>IFERROR(IF([1]对账明细接口!$AC227=0,"",[1]对账明细接口!$AC227),"")</f>
        <v/>
      </c>
      <c r="AH227" s="7" t="str">
        <f>IFERROR(IF([1]对账明细接口!$AD227=0,"",[1]对账明细接口!$AD227),"")</f>
        <v/>
      </c>
      <c r="AI227" s="7" t="str">
        <f>IFERROR(IF([1]对账明细接口!$AE227=0,"",[1]对账明细接口!$AE227),"")</f>
        <v/>
      </c>
      <c r="AJ227" s="7" t="str">
        <f>IFERROR(IF([1]对账明细接口!$AF227=0,"",[1]对账明细接口!$AF227),"")</f>
        <v/>
      </c>
    </row>
    <row r="228" ht="14.25" customHeight="1" spans="1:36">
      <c r="A228" s="14">
        <v>228</v>
      </c>
      <c r="B228" s="15">
        <f>IFERROR(IF([1]对账明细接口!$B$228=0,"",[1]对账明细接口!$B$228),"")</f>
        <v>46278</v>
      </c>
      <c r="C228" s="16" t="str">
        <f>IFERROR(IF([1]对账明细接口!$C$228=0,"",[1]对账明细接口!$C$228),"")</f>
        <v>王照雪</v>
      </c>
      <c r="D228" s="16" t="str">
        <f>IFERROR(IF([1]对账明细接口!$D$228=0,"",[1]对账明细接口!$D$228),"")</f>
        <v>原料入库</v>
      </c>
      <c r="E228" s="16" t="str">
        <f>IFERROR(IF([1]对账明细接口!$E$228=0,"",[1]对账明细接口!$E$228),"")</f>
        <v>NO:0000855</v>
      </c>
      <c r="F228" s="16" t="str">
        <f>IFERROR(IF([1]对账明细接口!$F$228=0,"",[1]对账明细接口!$F$228),"")</f>
        <v>苹果</v>
      </c>
      <c r="G228" s="16" t="str">
        <f>IFERROR(IF([1]对账明细接口!$G$228=0,"",[1]对账明细接口!$G$228),"")</f>
        <v>新世纪特级</v>
      </c>
      <c r="H228" s="17">
        <f>IFERROR(IF([1]对账明细接口!$H$228=0,"",[1]对账明细接口!$H$228),"")</f>
        <v>73</v>
      </c>
      <c r="I228" s="16" t="str">
        <f>IFERROR(IF([1]对账明细接口!$I$228=0,"",[1]对账明细接口!$I$228),"")</f>
        <v>筐</v>
      </c>
      <c r="J228" s="18">
        <f>IFERROR(IF([1]对账明细接口!$J$228=0,"",[1]对账明细接口!$J$228),"")</f>
        <v>1262.9</v>
      </c>
      <c r="K228" s="18" t="str">
        <f>IFERROR(IF([1]对账明细接口!$K$228=0,"",[1]对账明细接口!$K$228),"")</f>
        <v/>
      </c>
      <c r="L228" s="16" t="str">
        <f>IFERROR(IF([1]对账明细接口!$L$228=0,"",[1]对账明细接口!$L$228),"")</f>
        <v/>
      </c>
      <c r="M228" s="16" t="str">
        <f>IFERROR(IF([1]对账明细接口!$M$228=0,"",[1]对账明细接口!$M$228),"")</f>
        <v>光果</v>
      </c>
      <c r="N228" s="19">
        <f t="shared" si="6"/>
        <v>1</v>
      </c>
      <c r="O228" s="19">
        <f t="shared" si="7"/>
        <v>225</v>
      </c>
      <c r="S228" s="20" t="str">
        <f>IFERROR(IF([1]对账明细接口!$N228=0,"",[1]对账明细接口!$N228),"")</f>
        <v>公司杂周转筐</v>
      </c>
      <c r="T228" s="21" t="str">
        <f>IFERROR(IF([1]对账明细接口!$O228=0,"",[1]对账明细接口!$O228),"")</f>
        <v/>
      </c>
      <c r="U228" s="21" t="str">
        <f>IFERROR(IF([1]对账明细接口!$P228=0,"",[1]对账明细接口!$P228),"")</f>
        <v/>
      </c>
      <c r="V228" s="21">
        <f>IFERROR(IF([1]对账明细接口!$Q228=0,"",[1]对账明细接口!$Q228),"")</f>
        <v>73</v>
      </c>
      <c r="W228" s="20" t="str">
        <f>IFERROR(IF([1]对账明细接口!$R228=0,"",[1]对账明细接口!$R228),"")</f>
        <v>豫L*88X19</v>
      </c>
      <c r="X228" s="20" t="str">
        <f>IFERROR(IF([1]对账明细接口!$S228=0,"",[1]对账明细接口!$S228),"")</f>
        <v>公司筐</v>
      </c>
      <c r="Y228" s="20" t="str">
        <f>IFERROR(IF([1]对账明细接口!$T228=0,"",[1]对账明细接口!$T228),"")</f>
        <v/>
      </c>
      <c r="Z228" s="24" t="str">
        <f>IFERROR(IF([1]对账明细接口!$U228=0,"",[1]对账明细接口!$U228),"")</f>
        <v/>
      </c>
      <c r="AA228" s="24" t="str">
        <f>IFERROR(IF([1]对账明细接口!$V228=0,"",[1]对账明细接口!$V228),"")</f>
        <v/>
      </c>
      <c r="AB228" s="20" t="str">
        <f>IFERROR(IF([1]对账明细接口!$W228=0,"",[1]对账明细接口!$W228),"")</f>
        <v/>
      </c>
      <c r="AC228" s="7" t="str">
        <f>IFERROR(IF([1]对账明细接口!$X228=0,"",[1]对账明细接口!$X228),"")</f>
        <v/>
      </c>
      <c r="AD228" s="7" t="str">
        <f>IFERROR(IF([1]对账明细接口!$Y228=0,"",[1]对账明细接口!$Y228),"")</f>
        <v/>
      </c>
      <c r="AE228" s="7" t="str">
        <f>IFERROR(IF([1]对账明细接口!$AA228=0,"",[1]对账明细接口!$AA228),"")</f>
        <v/>
      </c>
      <c r="AF228" s="7" t="str">
        <f>IFERROR(IF([1]对账明细接口!$AB228=0,"",[1]对账明细接口!$AB228),"")</f>
        <v/>
      </c>
      <c r="AG228" s="7" t="str">
        <f>IFERROR(IF([1]对账明细接口!$AC228=0,"",[1]对账明细接口!$AC228),"")</f>
        <v/>
      </c>
      <c r="AH228" s="7" t="str">
        <f>IFERROR(IF([1]对账明细接口!$AD228=0,"",[1]对账明细接口!$AD228),"")</f>
        <v/>
      </c>
      <c r="AI228" s="7" t="str">
        <f>IFERROR(IF([1]对账明细接口!$AE228=0,"",[1]对账明细接口!$AE228),"")</f>
        <v/>
      </c>
      <c r="AJ228" s="7" t="str">
        <f>IFERROR(IF([1]对账明细接口!$AF228=0,"",[1]对账明细接口!$AF228),"")</f>
        <v/>
      </c>
    </row>
    <row r="229" ht="14.25" customHeight="1" spans="1:36">
      <c r="A229" s="14">
        <v>229</v>
      </c>
      <c r="B229" s="15">
        <f>IFERROR(IF([1]对账明细接口!$B$229=0,"",[1]对账明细接口!$B$229),"")</f>
        <v>46278</v>
      </c>
      <c r="C229" s="16" t="str">
        <f>IFERROR(IF([1]对账明细接口!$C$229=0,"",[1]对账明细接口!$C$229),"")</f>
        <v>王照雪</v>
      </c>
      <c r="D229" s="16" t="str">
        <f>IFERROR(IF([1]对账明细接口!$D$229=0,"",[1]对账明细接口!$D$229),"")</f>
        <v>原料入库</v>
      </c>
      <c r="E229" s="16" t="str">
        <f>IFERROR(IF([1]对账明细接口!$E$229=0,"",[1]对账明细接口!$E$229),"")</f>
        <v>NO:0000855</v>
      </c>
      <c r="F229" s="16" t="str">
        <f>IFERROR(IF([1]对账明细接口!$F$229=0,"",[1]对账明细接口!$F$229),"")</f>
        <v>苹果</v>
      </c>
      <c r="G229" s="16" t="str">
        <f>IFERROR(IF([1]对账明细接口!$G$229=0,"",[1]对账明细接口!$G$229),"")</f>
        <v>新世纪一级</v>
      </c>
      <c r="H229" s="17">
        <f>IFERROR(IF([1]对账明细接口!$H$229=0,"",[1]对账明细接口!$H$229),"")</f>
        <v>182</v>
      </c>
      <c r="I229" s="16" t="str">
        <f>IFERROR(IF([1]对账明细接口!$I$229=0,"",[1]对账明细接口!$I$229),"")</f>
        <v>筐</v>
      </c>
      <c r="J229" s="18">
        <f>IFERROR(IF([1]对账明细接口!$J$229=0,"",[1]对账明细接口!$J$229),"")</f>
        <v>3148.6</v>
      </c>
      <c r="K229" s="18" t="str">
        <f>IFERROR(IF([1]对账明细接口!$K$229=0,"",[1]对账明细接口!$K$229),"")</f>
        <v/>
      </c>
      <c r="L229" s="16" t="str">
        <f>IFERROR(IF([1]对账明细接口!$L$229=0,"",[1]对账明细接口!$L$229),"")</f>
        <v/>
      </c>
      <c r="M229" s="16" t="str">
        <f>IFERROR(IF([1]对账明细接口!$M$229=0,"",[1]对账明细接口!$M$229),"")</f>
        <v>光果</v>
      </c>
      <c r="N229" s="19">
        <f t="shared" si="6"/>
        <v>1</v>
      </c>
      <c r="O229" s="19">
        <f t="shared" si="7"/>
        <v>226</v>
      </c>
      <c r="S229" s="20" t="str">
        <f>IFERROR(IF([1]对账明细接口!$N229=0,"",[1]对账明细接口!$N229),"")</f>
        <v>公司杂周转筐</v>
      </c>
      <c r="T229" s="21" t="str">
        <f>IFERROR(IF([1]对账明细接口!$O229=0,"",[1]对账明细接口!$O229),"")</f>
        <v/>
      </c>
      <c r="U229" s="21" t="str">
        <f>IFERROR(IF([1]对账明细接口!$P229=0,"",[1]对账明细接口!$P229),"")</f>
        <v/>
      </c>
      <c r="V229" s="21">
        <f>IFERROR(IF([1]对账明细接口!$Q229=0,"",[1]对账明细接口!$Q229),"")</f>
        <v>182</v>
      </c>
      <c r="W229" s="20" t="str">
        <f>IFERROR(IF([1]对账明细接口!$R229=0,"",[1]对账明细接口!$R229),"")</f>
        <v>豫L*88X19</v>
      </c>
      <c r="X229" s="20" t="str">
        <f>IFERROR(IF([1]对账明细接口!$S229=0,"",[1]对账明细接口!$S229),"")</f>
        <v>公司筐</v>
      </c>
      <c r="Y229" s="20" t="str">
        <f>IFERROR(IF([1]对账明细接口!$T229=0,"",[1]对账明细接口!$T229),"")</f>
        <v/>
      </c>
      <c r="Z229" s="24" t="str">
        <f>IFERROR(IF([1]对账明细接口!$U229=0,"",[1]对账明细接口!$U229),"")</f>
        <v/>
      </c>
      <c r="AA229" s="24" t="str">
        <f>IFERROR(IF([1]对账明细接口!$V229=0,"",[1]对账明细接口!$V229),"")</f>
        <v/>
      </c>
      <c r="AB229" s="20" t="str">
        <f>IFERROR(IF([1]对账明细接口!$W229=0,"",[1]对账明细接口!$W229),"")</f>
        <v/>
      </c>
      <c r="AC229" s="7" t="str">
        <f>IFERROR(IF([1]对账明细接口!$X229=0,"",[1]对账明细接口!$X229),"")</f>
        <v/>
      </c>
      <c r="AD229" s="7" t="str">
        <f>IFERROR(IF([1]对账明细接口!$Y229=0,"",[1]对账明细接口!$Y229),"")</f>
        <v/>
      </c>
      <c r="AE229" s="7" t="str">
        <f>IFERROR(IF([1]对账明细接口!$AA229=0,"",[1]对账明细接口!$AA229),"")</f>
        <v/>
      </c>
      <c r="AF229" s="7" t="str">
        <f>IFERROR(IF([1]对账明细接口!$AB229=0,"",[1]对账明细接口!$AB229),"")</f>
        <v/>
      </c>
      <c r="AG229" s="7" t="str">
        <f>IFERROR(IF([1]对账明细接口!$AC229=0,"",[1]对账明细接口!$AC229),"")</f>
        <v/>
      </c>
      <c r="AH229" s="7" t="str">
        <f>IFERROR(IF([1]对账明细接口!$AD229=0,"",[1]对账明细接口!$AD229),"")</f>
        <v/>
      </c>
      <c r="AI229" s="7" t="str">
        <f>IFERROR(IF([1]对账明细接口!$AE229=0,"",[1]对账明细接口!$AE229),"")</f>
        <v/>
      </c>
      <c r="AJ229" s="7" t="str">
        <f>IFERROR(IF([1]对账明细接口!$AF229=0,"",[1]对账明细接口!$AF229),"")</f>
        <v/>
      </c>
    </row>
    <row r="230" ht="14.25" customHeight="1" spans="1:36">
      <c r="A230" s="14">
        <v>230</v>
      </c>
      <c r="B230" s="15">
        <f>IFERROR(IF([1]对账明细接口!$B$230=0,"",[1]对账明细接口!$B$230),"")</f>
        <v>46278</v>
      </c>
      <c r="C230" s="16" t="str">
        <f>IFERROR(IF([1]对账明细接口!$C$230=0,"",[1]对账明细接口!$C$230),"")</f>
        <v>王照雪</v>
      </c>
      <c r="D230" s="16" t="str">
        <f>IFERROR(IF([1]对账明细接口!$D$230=0,"",[1]对账明细接口!$D$230),"")</f>
        <v>原料入库</v>
      </c>
      <c r="E230" s="16" t="str">
        <f>IFERROR(IF([1]对账明细接口!$E$230=0,"",[1]对账明细接口!$E$230),"")</f>
        <v>NO:0000855</v>
      </c>
      <c r="F230" s="16" t="str">
        <f>IFERROR(IF([1]对账明细接口!$F$230=0,"",[1]对账明细接口!$F$230),"")</f>
        <v>苹果</v>
      </c>
      <c r="G230" s="16" t="str">
        <f>IFERROR(IF([1]对账明细接口!$G$230=0,"",[1]对账明细接口!$G$230),"")</f>
        <v>新世纪二级</v>
      </c>
      <c r="H230" s="17">
        <f>IFERROR(IF([1]对账明细接口!$H$230=0,"",[1]对账明细接口!$H$230),"")</f>
        <v>74</v>
      </c>
      <c r="I230" s="16" t="str">
        <f>IFERROR(IF([1]对账明细接口!$I$230=0,"",[1]对账明细接口!$I$230),"")</f>
        <v>筐</v>
      </c>
      <c r="J230" s="18">
        <f>IFERROR(IF([1]对账明细接口!$J$230=0,"",[1]对账明细接口!$J$230),"")</f>
        <v>1650.2</v>
      </c>
      <c r="K230" s="18" t="str">
        <f>IFERROR(IF([1]对账明细接口!$K$230=0,"",[1]对账明细接口!$K$230),"")</f>
        <v/>
      </c>
      <c r="L230" s="16" t="str">
        <f>IFERROR(IF([1]对账明细接口!$L$230=0,"",[1]对账明细接口!$L$230),"")</f>
        <v/>
      </c>
      <c r="M230" s="16" t="str">
        <f>IFERROR(IF([1]对账明细接口!$M$230=0,"",[1]对账明细接口!$M$230),"")</f>
        <v>光果</v>
      </c>
      <c r="N230" s="19">
        <f t="shared" si="6"/>
        <v>1</v>
      </c>
      <c r="O230" s="19">
        <f t="shared" si="7"/>
        <v>227</v>
      </c>
      <c r="S230" s="20" t="str">
        <f>IFERROR(IF([1]对账明细接口!$N230=0,"",[1]对账明细接口!$N230),"")</f>
        <v>公司杂周转筐</v>
      </c>
      <c r="T230" s="21" t="str">
        <f>IFERROR(IF([1]对账明细接口!$O230=0,"",[1]对账明细接口!$O230),"")</f>
        <v/>
      </c>
      <c r="U230" s="21" t="str">
        <f>IFERROR(IF([1]对账明细接口!$P230=0,"",[1]对账明细接口!$P230),"")</f>
        <v/>
      </c>
      <c r="V230" s="21">
        <f>IFERROR(IF([1]对账明细接口!$Q230=0,"",[1]对账明细接口!$Q230),"")</f>
        <v>74</v>
      </c>
      <c r="W230" s="20" t="str">
        <f>IFERROR(IF([1]对账明细接口!$R230=0,"",[1]对账明细接口!$R230),"")</f>
        <v>豫L*88X19</v>
      </c>
      <c r="X230" s="20" t="str">
        <f>IFERROR(IF([1]对账明细接口!$S230=0,"",[1]对账明细接口!$S230),"")</f>
        <v>公司筐</v>
      </c>
      <c r="Y230" s="20" t="str">
        <f>IFERROR(IF([1]对账明细接口!$T230=0,"",[1]对账明细接口!$T230),"")</f>
        <v/>
      </c>
      <c r="Z230" s="24" t="str">
        <f>IFERROR(IF([1]对账明细接口!$U230=0,"",[1]对账明细接口!$U230),"")</f>
        <v/>
      </c>
      <c r="AA230" s="24" t="str">
        <f>IFERROR(IF([1]对账明细接口!$V230=0,"",[1]对账明细接口!$V230),"")</f>
        <v/>
      </c>
      <c r="AB230" s="20" t="str">
        <f>IFERROR(IF([1]对账明细接口!$W230=0,"",[1]对账明细接口!$W230),"")</f>
        <v/>
      </c>
      <c r="AC230" s="7" t="str">
        <f>IFERROR(IF([1]对账明细接口!$X230=0,"",[1]对账明细接口!$X230),"")</f>
        <v/>
      </c>
      <c r="AD230" s="7" t="str">
        <f>IFERROR(IF([1]对账明细接口!$Y230=0,"",[1]对账明细接口!$Y230),"")</f>
        <v/>
      </c>
      <c r="AE230" s="7" t="str">
        <f>IFERROR(IF([1]对账明细接口!$AA230=0,"",[1]对账明细接口!$AA230),"")</f>
        <v/>
      </c>
      <c r="AF230" s="7" t="str">
        <f>IFERROR(IF([1]对账明细接口!$AB230=0,"",[1]对账明细接口!$AB230),"")</f>
        <v/>
      </c>
      <c r="AG230" s="7" t="str">
        <f>IFERROR(IF([1]对账明细接口!$AC230=0,"",[1]对账明细接口!$AC230),"")</f>
        <v/>
      </c>
      <c r="AH230" s="7" t="str">
        <f>IFERROR(IF([1]对账明细接口!$AD230=0,"",[1]对账明细接口!$AD230),"")</f>
        <v/>
      </c>
      <c r="AI230" s="7" t="str">
        <f>IFERROR(IF([1]对账明细接口!$AE230=0,"",[1]对账明细接口!$AE230),"")</f>
        <v/>
      </c>
      <c r="AJ230" s="7" t="str">
        <f>IFERROR(IF([1]对账明细接口!$AF230=0,"",[1]对账明细接口!$AF230),"")</f>
        <v/>
      </c>
    </row>
    <row r="231" ht="14.25" customHeight="1" spans="1:36">
      <c r="A231" s="14">
        <v>231</v>
      </c>
      <c r="B231" s="15">
        <f>IFERROR(IF([1]对账明细接口!$B$231=0,"",[1]对账明细接口!$B$231),"")</f>
        <v>46279</v>
      </c>
      <c r="C231" s="16" t="str">
        <f>IFERROR(IF([1]对账明细接口!$C$231=0,"",[1]对账明细接口!$C$231),"")</f>
        <v>麦麦提</v>
      </c>
      <c r="D231" s="16" t="str">
        <f>IFERROR(IF([1]对账明细接口!$D$231=0,"",[1]对账明细接口!$D$231),"")</f>
        <v>原料入库</v>
      </c>
      <c r="E231" s="16" t="str">
        <f>IFERROR(IF([1]对账明细接口!$E$231=0,"",[1]对账明细接口!$E$231),"")</f>
        <v>NO:0000858</v>
      </c>
      <c r="F231" s="16" t="str">
        <f>IFERROR(IF([1]对账明细接口!$F$231=0,"",[1]对账明细接口!$F$231),"")</f>
        <v>香梨</v>
      </c>
      <c r="G231" s="16" t="str">
        <f>IFERROR(IF([1]对账明细接口!$G$231=0,"",[1]对账明细接口!$G$231),"")</f>
        <v>香梨特级</v>
      </c>
      <c r="H231" s="17">
        <f>IFERROR(IF([1]对账明细接口!$H$231=0,"",[1]对账明细接口!$H$231),"")</f>
        <v>264</v>
      </c>
      <c r="I231" s="16" t="str">
        <f>IFERROR(IF([1]对账明细接口!$I$231=0,"",[1]对账明细接口!$I$231),"")</f>
        <v>筐</v>
      </c>
      <c r="J231" s="18">
        <f>IFERROR(IF([1]对账明细接口!$J$231=0,"",[1]对账明细接口!$J$231),"")</f>
        <v>4831.2</v>
      </c>
      <c r="K231" s="18" t="str">
        <f>IFERROR(IF([1]对账明细接口!$K$231=0,"",[1]对账明细接口!$K$231),"")</f>
        <v/>
      </c>
      <c r="L231" s="16" t="str">
        <f>IFERROR(IF([1]对账明细接口!$L$231=0,"",[1]对账明细接口!$L$231),"")</f>
        <v/>
      </c>
      <c r="M231" s="16" t="str">
        <f>IFERROR(IF([1]对账明细接口!$M$231=0,"",[1]对账明细接口!$M$231),"")</f>
        <v/>
      </c>
      <c r="N231" s="19">
        <f t="shared" si="6"/>
        <v>1</v>
      </c>
      <c r="O231" s="19">
        <f t="shared" si="7"/>
        <v>228</v>
      </c>
      <c r="S231" s="20" t="str">
        <f>IFERROR(IF([1]对账明细接口!$N231=0,"",[1]对账明细接口!$N231),"")</f>
        <v>公司红周转筐</v>
      </c>
      <c r="T231" s="21" t="str">
        <f>IFERROR(IF([1]对账明细接口!$O231=0,"",[1]对账明细接口!$O231),"")</f>
        <v/>
      </c>
      <c r="U231" s="21" t="str">
        <f>IFERROR(IF([1]对账明细接口!$P231=0,"",[1]对账明细接口!$P231),"")</f>
        <v/>
      </c>
      <c r="V231" s="21">
        <f>IFERROR(IF([1]对账明细接口!$Q231=0,"",[1]对账明细接口!$Q231),"")</f>
        <v>264</v>
      </c>
      <c r="W231" s="20" t="str">
        <f>IFERROR(IF([1]对账明细接口!$R231=0,"",[1]对账明细接口!$R231),"")</f>
        <v>新A*G0554</v>
      </c>
      <c r="X231" s="20" t="str">
        <f>IFERROR(IF([1]对账明细接口!$S231=0,"",[1]对账明细接口!$S231),"")</f>
        <v>公司筐</v>
      </c>
      <c r="Y231" s="20" t="str">
        <f>IFERROR(IF([1]对账明细接口!$T231=0,"",[1]对账明细接口!$T231),"")</f>
        <v/>
      </c>
      <c r="Z231" s="24" t="str">
        <f>IFERROR(IF([1]对账明细接口!$U231=0,"",[1]对账明细接口!$U231),"")</f>
        <v/>
      </c>
      <c r="AA231" s="24" t="str">
        <f>IFERROR(IF([1]对账明细接口!$V231=0,"",[1]对账明细接口!$V231),"")</f>
        <v/>
      </c>
      <c r="AB231" s="20" t="str">
        <f>IFERROR(IF([1]对账明细接口!$W231=0,"",[1]对账明细接口!$W231),"")</f>
        <v/>
      </c>
      <c r="AC231" s="7" t="str">
        <f>IFERROR(IF([1]对账明细接口!$X231=0,"",[1]对账明细接口!$X231),"")</f>
        <v/>
      </c>
      <c r="AD231" s="7" t="str">
        <f>IFERROR(IF([1]对账明细接口!$Y231=0,"",[1]对账明细接口!$Y231),"")</f>
        <v/>
      </c>
      <c r="AE231" s="7" t="str">
        <f>IFERROR(IF([1]对账明细接口!$AA231=0,"",[1]对账明细接口!$AA231),"")</f>
        <v/>
      </c>
      <c r="AF231" s="7" t="str">
        <f>IFERROR(IF([1]对账明细接口!$AB231=0,"",[1]对账明细接口!$AB231),"")</f>
        <v/>
      </c>
      <c r="AG231" s="7" t="str">
        <f>IFERROR(IF([1]对账明细接口!$AC231=0,"",[1]对账明细接口!$AC231),"")</f>
        <v/>
      </c>
      <c r="AH231" s="7" t="str">
        <f>IFERROR(IF([1]对账明细接口!$AD231=0,"",[1]对账明细接口!$AD231),"")</f>
        <v/>
      </c>
      <c r="AI231" s="7" t="str">
        <f>IFERROR(IF([1]对账明细接口!$AE231=0,"",[1]对账明细接口!$AE231),"")</f>
        <v/>
      </c>
      <c r="AJ231" s="7" t="str">
        <f>IFERROR(IF([1]对账明细接口!$AF231=0,"",[1]对账明细接口!$AF231),"")</f>
        <v/>
      </c>
    </row>
    <row r="232" ht="14.25" customHeight="1" spans="1:36">
      <c r="A232" s="14">
        <v>232</v>
      </c>
      <c r="B232" s="15">
        <f>IFERROR(IF([1]对账明细接口!$B$232=0,"",[1]对账明细接口!$B$232),"")</f>
        <v>46279</v>
      </c>
      <c r="C232" s="16" t="str">
        <f>IFERROR(IF([1]对账明细接口!$C$232=0,"",[1]对账明细接口!$C$232),"")</f>
        <v>麦麦提</v>
      </c>
      <c r="D232" s="16" t="str">
        <f>IFERROR(IF([1]对账明细接口!$D$232=0,"",[1]对账明细接口!$D$232),"")</f>
        <v>原料入库</v>
      </c>
      <c r="E232" s="16" t="str">
        <f>IFERROR(IF([1]对账明细接口!$E$232=0,"",[1]对账明细接口!$E$232),"")</f>
        <v>NO:0000858</v>
      </c>
      <c r="F232" s="16" t="str">
        <f>IFERROR(IF([1]对账明细接口!$F$232=0,"",[1]对账明细接口!$F$232),"")</f>
        <v>香梨</v>
      </c>
      <c r="G232" s="16" t="str">
        <f>IFERROR(IF([1]对账明细接口!$G$232=0,"",[1]对账明细接口!$G$232),"")</f>
        <v>香梨一级</v>
      </c>
      <c r="H232" s="17">
        <f>IFERROR(IF([1]对账明细接口!$H$232=0,"",[1]对账明细接口!$H$232),"")</f>
        <v>184</v>
      </c>
      <c r="I232" s="16" t="str">
        <f>IFERROR(IF([1]对账明细接口!$I$232=0,"",[1]对账明细接口!$I$232),"")</f>
        <v>筐</v>
      </c>
      <c r="J232" s="18">
        <f>IFERROR(IF([1]对账明细接口!$J$232=0,"",[1]对账明细接口!$J$232),"")</f>
        <v>3367.2</v>
      </c>
      <c r="K232" s="18" t="str">
        <f>IFERROR(IF([1]对账明细接口!$K$232=0,"",[1]对账明细接口!$K$232),"")</f>
        <v/>
      </c>
      <c r="L232" s="16" t="str">
        <f>IFERROR(IF([1]对账明细接口!$L$232=0,"",[1]对账明细接口!$L$232),"")</f>
        <v/>
      </c>
      <c r="M232" s="16" t="str">
        <f>IFERROR(IF([1]对账明细接口!$M$232=0,"",[1]对账明细接口!$M$232),"")</f>
        <v/>
      </c>
      <c r="N232" s="19">
        <f t="shared" si="6"/>
        <v>1</v>
      </c>
      <c r="O232" s="19">
        <f t="shared" si="7"/>
        <v>229</v>
      </c>
      <c r="S232" s="20" t="str">
        <f>IFERROR(IF([1]对账明细接口!$N232=0,"",[1]对账明细接口!$N232),"")</f>
        <v>公司红周转筐</v>
      </c>
      <c r="T232" s="21" t="str">
        <f>IFERROR(IF([1]对账明细接口!$O232=0,"",[1]对账明细接口!$O232),"")</f>
        <v/>
      </c>
      <c r="U232" s="21" t="str">
        <f>IFERROR(IF([1]对账明细接口!$P232=0,"",[1]对账明细接口!$P232),"")</f>
        <v/>
      </c>
      <c r="V232" s="21">
        <f>IFERROR(IF([1]对账明细接口!$Q232=0,"",[1]对账明细接口!$Q232),"")</f>
        <v>184</v>
      </c>
      <c r="W232" s="20" t="str">
        <f>IFERROR(IF([1]对账明细接口!$R232=0,"",[1]对账明细接口!$R232),"")</f>
        <v>新A*G0554</v>
      </c>
      <c r="X232" s="20" t="str">
        <f>IFERROR(IF([1]对账明细接口!$S232=0,"",[1]对账明细接口!$S232),"")</f>
        <v>公司筐</v>
      </c>
      <c r="Y232" s="20" t="str">
        <f>IFERROR(IF([1]对账明细接口!$T232=0,"",[1]对账明细接口!$T232),"")</f>
        <v/>
      </c>
      <c r="Z232" s="24" t="str">
        <f>IFERROR(IF([1]对账明细接口!$U232=0,"",[1]对账明细接口!$U232),"")</f>
        <v/>
      </c>
      <c r="AA232" s="24" t="str">
        <f>IFERROR(IF([1]对账明细接口!$V232=0,"",[1]对账明细接口!$V232),"")</f>
        <v/>
      </c>
      <c r="AB232" s="20" t="str">
        <f>IFERROR(IF([1]对账明细接口!$W232=0,"",[1]对账明细接口!$W232),"")</f>
        <v/>
      </c>
      <c r="AC232" s="7" t="str">
        <f>IFERROR(IF([1]对账明细接口!$X232=0,"",[1]对账明细接口!$X232),"")</f>
        <v/>
      </c>
      <c r="AD232" s="7" t="str">
        <f>IFERROR(IF([1]对账明细接口!$Y232=0,"",[1]对账明细接口!$Y232),"")</f>
        <v/>
      </c>
      <c r="AE232" s="7" t="str">
        <f>IFERROR(IF([1]对账明细接口!$AA232=0,"",[1]对账明细接口!$AA232),"")</f>
        <v/>
      </c>
      <c r="AF232" s="7" t="str">
        <f>IFERROR(IF([1]对账明细接口!$AB232=0,"",[1]对账明细接口!$AB232),"")</f>
        <v/>
      </c>
      <c r="AG232" s="7" t="str">
        <f>IFERROR(IF([1]对账明细接口!$AC232=0,"",[1]对账明细接口!$AC232),"")</f>
        <v/>
      </c>
      <c r="AH232" s="7" t="str">
        <f>IFERROR(IF([1]对账明细接口!$AD232=0,"",[1]对账明细接口!$AD232),"")</f>
        <v/>
      </c>
      <c r="AI232" s="7" t="str">
        <f>IFERROR(IF([1]对账明细接口!$AE232=0,"",[1]对账明细接口!$AE232),"")</f>
        <v/>
      </c>
      <c r="AJ232" s="7" t="str">
        <f>IFERROR(IF([1]对账明细接口!$AF232=0,"",[1]对账明细接口!$AF232),"")</f>
        <v/>
      </c>
    </row>
    <row r="233" ht="14.25" customHeight="1" spans="1:36">
      <c r="A233" s="14">
        <v>233</v>
      </c>
      <c r="B233" s="15">
        <f>IFERROR(IF([1]对账明细接口!$B$233=0,"",[1]对账明细接口!$B$233),"")</f>
        <v>46279</v>
      </c>
      <c r="C233" s="16" t="str">
        <f>IFERROR(IF([1]对账明细接口!$C$233=0,"",[1]对账明细接口!$C$233),"")</f>
        <v>麦麦提</v>
      </c>
      <c r="D233" s="16" t="str">
        <f>IFERROR(IF([1]对账明细接口!$D$233=0,"",[1]对账明细接口!$D$233),"")</f>
        <v>原料入库</v>
      </c>
      <c r="E233" s="16" t="str">
        <f>IFERROR(IF([1]对账明细接口!$E$233=0,"",[1]对账明细接口!$E$233),"")</f>
        <v>NO:0000858</v>
      </c>
      <c r="F233" s="16" t="str">
        <f>IFERROR(IF([1]对账明细接口!$F$233=0,"",[1]对账明细接口!$F$233),"")</f>
        <v>香梨</v>
      </c>
      <c r="G233" s="16" t="str">
        <f>IFERROR(IF([1]对账明细接口!$G$233=0,"",[1]对账明细接口!$G$233),"")</f>
        <v>香梨二级</v>
      </c>
      <c r="H233" s="17">
        <f>IFERROR(IF([1]对账明细接口!$H$233=0,"",[1]对账明细接口!$H$233),"")</f>
        <v>181</v>
      </c>
      <c r="I233" s="16" t="str">
        <f>IFERROR(IF([1]对账明细接口!$I$233=0,"",[1]对账明细接口!$I$233),"")</f>
        <v>筐</v>
      </c>
      <c r="J233" s="18">
        <f>IFERROR(IF([1]对账明细接口!$J$233=0,"",[1]对账明细接口!$J$233),"")</f>
        <v>4036.3</v>
      </c>
      <c r="K233" s="18" t="str">
        <f>IFERROR(IF([1]对账明细接口!$K$233=0,"",[1]对账明细接口!$K$233),"")</f>
        <v/>
      </c>
      <c r="L233" s="16" t="str">
        <f>IFERROR(IF([1]对账明细接口!$L$233=0,"",[1]对账明细接口!$L$233),"")</f>
        <v/>
      </c>
      <c r="M233" s="16" t="str">
        <f>IFERROR(IF([1]对账明细接口!$M$233=0,"",[1]对账明细接口!$M$233),"")</f>
        <v/>
      </c>
      <c r="N233" s="19">
        <f t="shared" si="6"/>
        <v>1</v>
      </c>
      <c r="O233" s="19">
        <f t="shared" si="7"/>
        <v>230</v>
      </c>
      <c r="S233" s="20" t="str">
        <f>IFERROR(IF([1]对账明细接口!$N233=0,"",[1]对账明细接口!$N233),"")</f>
        <v>公司红周转筐</v>
      </c>
      <c r="T233" s="21" t="str">
        <f>IFERROR(IF([1]对账明细接口!$O233=0,"",[1]对账明细接口!$O233),"")</f>
        <v/>
      </c>
      <c r="U233" s="21" t="str">
        <f>IFERROR(IF([1]对账明细接口!$P233=0,"",[1]对账明细接口!$P233),"")</f>
        <v/>
      </c>
      <c r="V233" s="21">
        <f>IFERROR(IF([1]对账明细接口!$Q233=0,"",[1]对账明细接口!$Q233),"")</f>
        <v>181</v>
      </c>
      <c r="W233" s="20" t="str">
        <f>IFERROR(IF([1]对账明细接口!$R233=0,"",[1]对账明细接口!$R233),"")</f>
        <v>新A*G0554</v>
      </c>
      <c r="X233" s="20" t="str">
        <f>IFERROR(IF([1]对账明细接口!$S233=0,"",[1]对账明细接口!$S233),"")</f>
        <v>公司筐</v>
      </c>
      <c r="Y233" s="20" t="str">
        <f>IFERROR(IF([1]对账明细接口!$T233=0,"",[1]对账明细接口!$T233),"")</f>
        <v/>
      </c>
      <c r="Z233" s="24" t="str">
        <f>IFERROR(IF([1]对账明细接口!$U233=0,"",[1]对账明细接口!$U233),"")</f>
        <v/>
      </c>
      <c r="AA233" s="24" t="str">
        <f>IFERROR(IF([1]对账明细接口!$V233=0,"",[1]对账明细接口!$V233),"")</f>
        <v/>
      </c>
      <c r="AB233" s="20" t="str">
        <f>IFERROR(IF([1]对账明细接口!$W233=0,"",[1]对账明细接口!$W233),"")</f>
        <v/>
      </c>
      <c r="AC233" s="7" t="str">
        <f>IFERROR(IF([1]对账明细接口!$X233=0,"",[1]对账明细接口!$X233),"")</f>
        <v/>
      </c>
      <c r="AD233" s="7" t="str">
        <f>IFERROR(IF([1]对账明细接口!$Y233=0,"",[1]对账明细接口!$Y233),"")</f>
        <v/>
      </c>
      <c r="AE233" s="7" t="str">
        <f>IFERROR(IF([1]对账明细接口!$AA233=0,"",[1]对账明细接口!$AA233),"")</f>
        <v/>
      </c>
      <c r="AF233" s="7" t="str">
        <f>IFERROR(IF([1]对账明细接口!$AB233=0,"",[1]对账明细接口!$AB233),"")</f>
        <v/>
      </c>
      <c r="AG233" s="7" t="str">
        <f>IFERROR(IF([1]对账明细接口!$AC233=0,"",[1]对账明细接口!$AC233),"")</f>
        <v/>
      </c>
      <c r="AH233" s="7" t="str">
        <f>IFERROR(IF([1]对账明细接口!$AD233=0,"",[1]对账明细接口!$AD233),"")</f>
        <v/>
      </c>
      <c r="AI233" s="7" t="str">
        <f>IFERROR(IF([1]对账明细接口!$AE233=0,"",[1]对账明细接口!$AE233),"")</f>
        <v/>
      </c>
      <c r="AJ233" s="7" t="str">
        <f>IFERROR(IF([1]对账明细接口!$AF233=0,"",[1]对账明细接口!$AF233),"")</f>
        <v/>
      </c>
    </row>
    <row r="234" ht="14.25" customHeight="1" spans="1:36">
      <c r="A234" s="14">
        <v>234</v>
      </c>
      <c r="B234" s="15">
        <f>IFERROR(IF([1]对账明细接口!$B$234=0,"",[1]对账明细接口!$B$234),"")</f>
        <v>46279</v>
      </c>
      <c r="C234" s="16" t="str">
        <f>IFERROR(IF([1]对账明细接口!$C$234=0,"",[1]对账明细接口!$C$234),"")</f>
        <v>贾建国</v>
      </c>
      <c r="D234" s="16" t="str">
        <f>IFERROR(IF([1]对账明细接口!$D$234=0,"",[1]对账明细接口!$D$234),"")</f>
        <v>原料入库</v>
      </c>
      <c r="E234" s="16" t="str">
        <f>IFERROR(IF([1]对账明细接口!$E$234=0,"",[1]对账明细接口!$E$234),"")</f>
        <v>NO:0000859</v>
      </c>
      <c r="F234" s="16" t="str">
        <f>IFERROR(IF([1]对账明细接口!$F$234=0,"",[1]对账明细接口!$F$234),"")</f>
        <v>香梨</v>
      </c>
      <c r="G234" s="16" t="str">
        <f>IFERROR(IF([1]对账明细接口!$G$234=0,"",[1]对账明细接口!$G$234),"")</f>
        <v>香梨二级</v>
      </c>
      <c r="H234" s="17">
        <f>IFERROR(IF([1]对账明细接口!$H$234=0,"",[1]对账明细接口!$H$234),"")</f>
        <v>125</v>
      </c>
      <c r="I234" s="16" t="str">
        <f>IFERROR(IF([1]对账明细接口!$I$234=0,"",[1]对账明细接口!$I$234),"")</f>
        <v>筐</v>
      </c>
      <c r="J234" s="18">
        <f>IFERROR(IF([1]对账明细接口!$J$234=0,"",[1]对账明细接口!$J$234),"")</f>
        <v>2812.5</v>
      </c>
      <c r="K234" s="18" t="str">
        <f>IFERROR(IF([1]对账明细接口!$K$234=0,"",[1]对账明细接口!$K$234),"")</f>
        <v/>
      </c>
      <c r="L234" s="16" t="str">
        <f>IFERROR(IF([1]对账明细接口!$L$234=0,"",[1]对账明细接口!$L$234),"")</f>
        <v/>
      </c>
      <c r="M234" s="16" t="str">
        <f>IFERROR(IF([1]对账明细接口!$M$234=0,"",[1]对账明细接口!$M$234),"")</f>
        <v/>
      </c>
      <c r="N234" s="19">
        <f t="shared" si="6"/>
        <v>1</v>
      </c>
      <c r="O234" s="19">
        <f t="shared" si="7"/>
        <v>231</v>
      </c>
      <c r="S234" s="20" t="str">
        <f>IFERROR(IF([1]对账明细接口!$N234=0,"",[1]对账明细接口!$N234),"")</f>
        <v>自备杂周转筐</v>
      </c>
      <c r="T234" s="21" t="str">
        <f>IFERROR(IF([1]对账明细接口!$O234=0,"",[1]对账明细接口!$O234),"")</f>
        <v/>
      </c>
      <c r="U234" s="21" t="str">
        <f>IFERROR(IF([1]对账明细接口!$P234=0,"",[1]对账明细接口!$P234),"")</f>
        <v/>
      </c>
      <c r="V234" s="21">
        <f>IFERROR(IF([1]对账明细接口!$Q234=0,"",[1]对账明细接口!$Q234),"")</f>
        <v>125</v>
      </c>
      <c r="W234" s="20" t="str">
        <f>IFERROR(IF([1]对账明细接口!$R234=0,"",[1]对账明细接口!$R234),"")</f>
        <v>豫Q*H5591</v>
      </c>
      <c r="X234" s="20" t="str">
        <f>IFERROR(IF([1]对账明细接口!$S234=0,"",[1]对账明细接口!$S234),"")</f>
        <v>自备筐</v>
      </c>
      <c r="Y234" s="20" t="str">
        <f>IFERROR(IF([1]对账明细接口!$T234=0,"",[1]对账明细接口!$T234),"")</f>
        <v/>
      </c>
      <c r="Z234" s="24" t="str">
        <f>IFERROR(IF([1]对账明细接口!$U234=0,"",[1]对账明细接口!$U234),"")</f>
        <v/>
      </c>
      <c r="AA234" s="24" t="str">
        <f>IFERROR(IF([1]对账明细接口!$V234=0,"",[1]对账明细接口!$V234),"")</f>
        <v/>
      </c>
      <c r="AB234" s="20" t="str">
        <f>IFERROR(IF([1]对账明细接口!$W234=0,"",[1]对账明细接口!$W234),"")</f>
        <v/>
      </c>
      <c r="AC234" s="7" t="str">
        <f>IFERROR(IF([1]对账明细接口!$X234=0,"",[1]对账明细接口!$X234),"")</f>
        <v/>
      </c>
      <c r="AD234" s="7" t="str">
        <f>IFERROR(IF([1]对账明细接口!$Y234=0,"",[1]对账明细接口!$Y234),"")</f>
        <v/>
      </c>
      <c r="AE234" s="7" t="str">
        <f>IFERROR(IF([1]对账明细接口!$AA234=0,"",[1]对账明细接口!$AA234),"")</f>
        <v/>
      </c>
      <c r="AF234" s="7" t="str">
        <f>IFERROR(IF([1]对账明细接口!$AB234=0,"",[1]对账明细接口!$AB234),"")</f>
        <v/>
      </c>
      <c r="AG234" s="7" t="str">
        <f>IFERROR(IF([1]对账明细接口!$AC234=0,"",[1]对账明细接口!$AC234),"")</f>
        <v/>
      </c>
      <c r="AH234" s="7" t="str">
        <f>IFERROR(IF([1]对账明细接口!$AD234=0,"",[1]对账明细接口!$AD234),"")</f>
        <v/>
      </c>
      <c r="AI234" s="7" t="str">
        <f>IFERROR(IF([1]对账明细接口!$AE234=0,"",[1]对账明细接口!$AE234),"")</f>
        <v/>
      </c>
      <c r="AJ234" s="7" t="str">
        <f>IFERROR(IF([1]对账明细接口!$AF234=0,"",[1]对账明细接口!$AF234),"")</f>
        <v/>
      </c>
    </row>
    <row r="235" ht="14.25" customHeight="1" spans="1:36">
      <c r="A235" s="14">
        <v>235</v>
      </c>
      <c r="B235" s="15">
        <f>IFERROR(IF([1]对账明细接口!$B$235=0,"",[1]对账明细接口!$B$235),"")</f>
        <v>46279</v>
      </c>
      <c r="C235" s="16" t="str">
        <f>IFERROR(IF([1]对账明细接口!$C$235=0,"",[1]对账明细接口!$C$235),"")</f>
        <v>王灵云</v>
      </c>
      <c r="D235" s="16" t="str">
        <f>IFERROR(IF([1]对账明细接口!$D$235=0,"",[1]对账明细接口!$D$235),"")</f>
        <v>原料入库</v>
      </c>
      <c r="E235" s="16" t="str">
        <f>IFERROR(IF([1]对账明细接口!$E$235=0,"",[1]对账明细接口!$E$235),"")</f>
        <v>NO:0000860</v>
      </c>
      <c r="F235" s="16" t="str">
        <f>IFERROR(IF([1]对账明细接口!$F$235=0,"",[1]对账明细接口!$F$235),"")</f>
        <v>香梨</v>
      </c>
      <c r="G235" s="16" t="str">
        <f>IFERROR(IF([1]对账明细接口!$G$235=0,"",[1]对账明细接口!$G$235),"")</f>
        <v>香梨一级</v>
      </c>
      <c r="H235" s="17">
        <f>IFERROR(IF([1]对账明细接口!$H$235=0,"",[1]对账明细接口!$H$235),"")</f>
        <v>465</v>
      </c>
      <c r="I235" s="16" t="str">
        <f>IFERROR(IF([1]对账明细接口!$I$235=0,"",[1]对账明细接口!$I$235),"")</f>
        <v>筐</v>
      </c>
      <c r="J235" s="18">
        <f>IFERROR(IF([1]对账明细接口!$J$235=0,"",[1]对账明细接口!$J$235),"")</f>
        <v>8509.5</v>
      </c>
      <c r="K235" s="18" t="str">
        <f>IFERROR(IF([1]对账明细接口!$K$235=0,"",[1]对账明细接口!$K$235),"")</f>
        <v/>
      </c>
      <c r="L235" s="16" t="str">
        <f>IFERROR(IF([1]对账明细接口!$L$235=0,"",[1]对账明细接口!$L$235),"")</f>
        <v/>
      </c>
      <c r="M235" s="16" t="str">
        <f>IFERROR(IF([1]对账明细接口!$M$235=0,"",[1]对账明细接口!$M$235),"")</f>
        <v/>
      </c>
      <c r="N235" s="19">
        <f t="shared" si="6"/>
        <v>1</v>
      </c>
      <c r="O235" s="19">
        <f t="shared" si="7"/>
        <v>232</v>
      </c>
      <c r="S235" s="20" t="str">
        <f>IFERROR(IF([1]对账明细接口!$N235=0,"",[1]对账明细接口!$N235),"")</f>
        <v>公司红周转筐</v>
      </c>
      <c r="T235" s="21" t="str">
        <f>IFERROR(IF([1]对账明细接口!$O235=0,"",[1]对账明细接口!$O235),"")</f>
        <v/>
      </c>
      <c r="U235" s="21" t="str">
        <f>IFERROR(IF([1]对账明细接口!$P235=0,"",[1]对账明细接口!$P235),"")</f>
        <v/>
      </c>
      <c r="V235" s="21">
        <f>IFERROR(IF([1]对账明细接口!$Q235=0,"",[1]对账明细接口!$Q235),"")</f>
        <v>465</v>
      </c>
      <c r="W235" s="20" t="str">
        <f>IFERROR(IF([1]对账明细接口!$R235=0,"",[1]对账明细接口!$R235),"")</f>
        <v>新N*49209</v>
      </c>
      <c r="X235" s="20" t="str">
        <f>IFERROR(IF([1]对账明细接口!$S235=0,"",[1]对账明细接口!$S235),"")</f>
        <v>公司筐</v>
      </c>
      <c r="Y235" s="20" t="str">
        <f>IFERROR(IF([1]对账明细接口!$T235=0,"",[1]对账明细接口!$T235),"")</f>
        <v/>
      </c>
      <c r="Z235" s="24" t="str">
        <f>IFERROR(IF([1]对账明细接口!$U235=0,"",[1]对账明细接口!$U235),"")</f>
        <v/>
      </c>
      <c r="AA235" s="24" t="str">
        <f>IFERROR(IF([1]对账明细接口!$V235=0,"",[1]对账明细接口!$V235),"")</f>
        <v/>
      </c>
      <c r="AB235" s="20" t="str">
        <f>IFERROR(IF([1]对账明细接口!$W235=0,"",[1]对账明细接口!$W235),"")</f>
        <v/>
      </c>
      <c r="AC235" s="7" t="str">
        <f>IFERROR(IF([1]对账明细接口!$X235=0,"",[1]对账明细接口!$X235),"")</f>
        <v/>
      </c>
      <c r="AD235" s="7" t="str">
        <f>IFERROR(IF([1]对账明细接口!$Y235=0,"",[1]对账明细接口!$Y235),"")</f>
        <v/>
      </c>
      <c r="AE235" s="7" t="str">
        <f>IFERROR(IF([1]对账明细接口!$AA235=0,"",[1]对账明细接口!$AA235),"")</f>
        <v/>
      </c>
      <c r="AF235" s="7" t="str">
        <f>IFERROR(IF([1]对账明细接口!$AB235=0,"",[1]对账明细接口!$AB235),"")</f>
        <v/>
      </c>
      <c r="AG235" s="7" t="str">
        <f>IFERROR(IF([1]对账明细接口!$AC235=0,"",[1]对账明细接口!$AC235),"")</f>
        <v/>
      </c>
      <c r="AH235" s="7" t="str">
        <f>IFERROR(IF([1]对账明细接口!$AD235=0,"",[1]对账明细接口!$AD235),"")</f>
        <v/>
      </c>
      <c r="AI235" s="7" t="str">
        <f>IFERROR(IF([1]对账明细接口!$AE235=0,"",[1]对账明细接口!$AE235),"")</f>
        <v/>
      </c>
      <c r="AJ235" s="7" t="str">
        <f>IFERROR(IF([1]对账明细接口!$AF235=0,"",[1]对账明细接口!$AF235),"")</f>
        <v/>
      </c>
    </row>
    <row r="236" ht="14.25" customHeight="1" spans="1:36">
      <c r="A236" s="14">
        <v>236</v>
      </c>
      <c r="B236" s="15">
        <f>IFERROR(IF([1]对账明细接口!$B$236=0,"",[1]对账明细接口!$B$236),"")</f>
        <v>46279</v>
      </c>
      <c r="C236" s="16" t="str">
        <f>IFERROR(IF([1]对账明细接口!$C$236=0,"",[1]对账明细接口!$C$236),"")</f>
        <v>王灵云</v>
      </c>
      <c r="D236" s="16" t="str">
        <f>IFERROR(IF([1]对账明细接口!$D$236=0,"",[1]对账明细接口!$D$236),"")</f>
        <v>原料入库</v>
      </c>
      <c r="E236" s="16" t="str">
        <f>IFERROR(IF([1]对账明细接口!$E$236=0,"",[1]对账明细接口!$E$236),"")</f>
        <v>NO:0000860</v>
      </c>
      <c r="F236" s="16" t="str">
        <f>IFERROR(IF([1]对账明细接口!$F$236=0,"",[1]对账明细接口!$F$236),"")</f>
        <v>香梨</v>
      </c>
      <c r="G236" s="16" t="str">
        <f>IFERROR(IF([1]对账明细接口!$G$236=0,"",[1]对账明细接口!$G$236),"")</f>
        <v>香梨二级</v>
      </c>
      <c r="H236" s="17">
        <f>IFERROR(IF([1]对账明细接口!$H$236=0,"",[1]对账明细接口!$H$236),"")</f>
        <v>164</v>
      </c>
      <c r="I236" s="16" t="str">
        <f>IFERROR(IF([1]对账明细接口!$I$236=0,"",[1]对账明细接口!$I$236),"")</f>
        <v>筐</v>
      </c>
      <c r="J236" s="18">
        <f>IFERROR(IF([1]对账明细接口!$J$236=0,"",[1]对账明细接口!$J$236),"")</f>
        <v>3001.2</v>
      </c>
      <c r="K236" s="18" t="str">
        <f>IFERROR(IF([1]对账明细接口!$K$236=0,"",[1]对账明细接口!$K$236),"")</f>
        <v/>
      </c>
      <c r="L236" s="16" t="str">
        <f>IFERROR(IF([1]对账明细接口!$L$236=0,"",[1]对账明细接口!$L$236),"")</f>
        <v/>
      </c>
      <c r="M236" s="16" t="str">
        <f>IFERROR(IF([1]对账明细接口!$M$236=0,"",[1]对账明细接口!$M$236),"")</f>
        <v/>
      </c>
      <c r="N236" s="19">
        <f t="shared" si="6"/>
        <v>1</v>
      </c>
      <c r="O236" s="19">
        <f t="shared" si="7"/>
        <v>233</v>
      </c>
      <c r="S236" s="20" t="str">
        <f>IFERROR(IF([1]对账明细接口!$N236=0,"",[1]对账明细接口!$N236),"")</f>
        <v>公司红周转筐</v>
      </c>
      <c r="T236" s="21" t="str">
        <f>IFERROR(IF([1]对账明细接口!$O236=0,"",[1]对账明细接口!$O236),"")</f>
        <v/>
      </c>
      <c r="U236" s="21" t="str">
        <f>IFERROR(IF([1]对账明细接口!$P236=0,"",[1]对账明细接口!$P236),"")</f>
        <v/>
      </c>
      <c r="V236" s="21">
        <f>IFERROR(IF([1]对账明细接口!$Q236=0,"",[1]对账明细接口!$Q236),"")</f>
        <v>164</v>
      </c>
      <c r="W236" s="20" t="str">
        <f>IFERROR(IF([1]对账明细接口!$R236=0,"",[1]对账明细接口!$R236),"")</f>
        <v>新N*49209</v>
      </c>
      <c r="X236" s="20" t="str">
        <f>IFERROR(IF([1]对账明细接口!$S236=0,"",[1]对账明细接口!$S236),"")</f>
        <v>公司筐</v>
      </c>
      <c r="Y236" s="20" t="str">
        <f>IFERROR(IF([1]对账明细接口!$T236=0,"",[1]对账明细接口!$T236),"")</f>
        <v/>
      </c>
      <c r="Z236" s="24" t="str">
        <f>IFERROR(IF([1]对账明细接口!$U236=0,"",[1]对账明细接口!$U236),"")</f>
        <v/>
      </c>
      <c r="AA236" s="24" t="str">
        <f>IFERROR(IF([1]对账明细接口!$V236=0,"",[1]对账明细接口!$V236),"")</f>
        <v/>
      </c>
      <c r="AB236" s="20" t="str">
        <f>IFERROR(IF([1]对账明细接口!$W236=0,"",[1]对账明细接口!$W236),"")</f>
        <v/>
      </c>
      <c r="AC236" s="7" t="str">
        <f>IFERROR(IF([1]对账明细接口!$X236=0,"",[1]对账明细接口!$X236),"")</f>
        <v/>
      </c>
      <c r="AD236" s="7" t="str">
        <f>IFERROR(IF([1]对账明细接口!$Y236=0,"",[1]对账明细接口!$Y236),"")</f>
        <v/>
      </c>
      <c r="AE236" s="7" t="str">
        <f>IFERROR(IF([1]对账明细接口!$AA236=0,"",[1]对账明细接口!$AA236),"")</f>
        <v/>
      </c>
      <c r="AF236" s="7" t="str">
        <f>IFERROR(IF([1]对账明细接口!$AB236=0,"",[1]对账明细接口!$AB236),"")</f>
        <v/>
      </c>
      <c r="AG236" s="7" t="str">
        <f>IFERROR(IF([1]对账明细接口!$AC236=0,"",[1]对账明细接口!$AC236),"")</f>
        <v/>
      </c>
      <c r="AH236" s="7" t="str">
        <f>IFERROR(IF([1]对账明细接口!$AD236=0,"",[1]对账明细接口!$AD236),"")</f>
        <v/>
      </c>
      <c r="AI236" s="7" t="str">
        <f>IFERROR(IF([1]对账明细接口!$AE236=0,"",[1]对账明细接口!$AE236),"")</f>
        <v/>
      </c>
      <c r="AJ236" s="7" t="str">
        <f>IFERROR(IF([1]对账明细接口!$AF236=0,"",[1]对账明细接口!$AF236),"")</f>
        <v/>
      </c>
    </row>
    <row r="237" ht="14.25" customHeight="1" spans="1:36">
      <c r="A237" s="14">
        <v>237</v>
      </c>
      <c r="B237" s="15">
        <f>IFERROR(IF([1]对账明细接口!$B$237=0,"",[1]对账明细接口!$B$237),"")</f>
        <v>46279</v>
      </c>
      <c r="C237" s="16" t="str">
        <f>IFERROR(IF([1]对账明细接口!$C$237=0,"",[1]对账明细接口!$C$237),"")</f>
        <v>王灵云</v>
      </c>
      <c r="D237" s="16" t="str">
        <f>IFERROR(IF([1]对账明细接口!$D$237=0,"",[1]对账明细接口!$D$237),"")</f>
        <v>原料入库</v>
      </c>
      <c r="E237" s="16" t="str">
        <f>IFERROR(IF([1]对账明细接口!$E$237=0,"",[1]对账明细接口!$E$237),"")</f>
        <v>NO:0000860</v>
      </c>
      <c r="F237" s="16" t="str">
        <f>IFERROR(IF([1]对账明细接口!$F$237=0,"",[1]对账明细接口!$F$237),"")</f>
        <v>香梨</v>
      </c>
      <c r="G237" s="16" t="str">
        <f>IFERROR(IF([1]对账明细接口!$G$237=0,"",[1]对账明细接口!$G$237),"")</f>
        <v>香梨副特</v>
      </c>
      <c r="H237" s="17">
        <f>IFERROR(IF([1]对账明细接口!$H$237=0,"",[1]对账明细接口!$H$237),"")</f>
        <v>60</v>
      </c>
      <c r="I237" s="16" t="str">
        <f>IFERROR(IF([1]对账明细接口!$I$237=0,"",[1]对账明细接口!$I$237),"")</f>
        <v>筐</v>
      </c>
      <c r="J237" s="18">
        <f>IFERROR(IF([1]对账明细接口!$J$237=0,"",[1]对账明细接口!$J$237),"")</f>
        <v>1398</v>
      </c>
      <c r="K237" s="18" t="str">
        <f>IFERROR(IF([1]对账明细接口!$K$237=0,"",[1]对账明细接口!$K$237),"")</f>
        <v/>
      </c>
      <c r="L237" s="16" t="str">
        <f>IFERROR(IF([1]对账明细接口!$L$237=0,"",[1]对账明细接口!$L$237),"")</f>
        <v/>
      </c>
      <c r="M237" s="16" t="str">
        <f>IFERROR(IF([1]对账明细接口!$M$237=0,"",[1]对账明细接口!$M$237),"")</f>
        <v/>
      </c>
      <c r="N237" s="19">
        <f t="shared" si="6"/>
        <v>1</v>
      </c>
      <c r="O237" s="19">
        <f t="shared" si="7"/>
        <v>234</v>
      </c>
      <c r="S237" s="20" t="str">
        <f>IFERROR(IF([1]对账明细接口!$N237=0,"",[1]对账明细接口!$N237),"")</f>
        <v>公司红周转筐</v>
      </c>
      <c r="T237" s="21" t="str">
        <f>IFERROR(IF([1]对账明细接口!$O237=0,"",[1]对账明细接口!$O237),"")</f>
        <v/>
      </c>
      <c r="U237" s="21" t="str">
        <f>IFERROR(IF([1]对账明细接口!$P237=0,"",[1]对账明细接口!$P237),"")</f>
        <v/>
      </c>
      <c r="V237" s="21">
        <f>IFERROR(IF([1]对账明细接口!$Q237=0,"",[1]对账明细接口!$Q237),"")</f>
        <v>60</v>
      </c>
      <c r="W237" s="20" t="str">
        <f>IFERROR(IF([1]对账明细接口!$R237=0,"",[1]对账明细接口!$R237),"")</f>
        <v>新N*49209</v>
      </c>
      <c r="X237" s="20" t="str">
        <f>IFERROR(IF([1]对账明细接口!$S237=0,"",[1]对账明细接口!$S237),"")</f>
        <v>公司筐</v>
      </c>
      <c r="Y237" s="20" t="str">
        <f>IFERROR(IF([1]对账明细接口!$T237=0,"",[1]对账明细接口!$T237),"")</f>
        <v/>
      </c>
      <c r="Z237" s="24" t="str">
        <f>IFERROR(IF([1]对账明细接口!$U237=0,"",[1]对账明细接口!$U237),"")</f>
        <v/>
      </c>
      <c r="AA237" s="24" t="str">
        <f>IFERROR(IF([1]对账明细接口!$V237=0,"",[1]对账明细接口!$V237),"")</f>
        <v/>
      </c>
      <c r="AB237" s="20" t="str">
        <f>IFERROR(IF([1]对账明细接口!$W237=0,"",[1]对账明细接口!$W237),"")</f>
        <v/>
      </c>
      <c r="AC237" s="7" t="str">
        <f>IFERROR(IF([1]对账明细接口!$X237=0,"",[1]对账明细接口!$X237),"")</f>
        <v/>
      </c>
      <c r="AD237" s="7" t="str">
        <f>IFERROR(IF([1]对账明细接口!$Y237=0,"",[1]对账明细接口!$Y237),"")</f>
        <v/>
      </c>
      <c r="AE237" s="7" t="str">
        <f>IFERROR(IF([1]对账明细接口!$AA237=0,"",[1]对账明细接口!$AA237),"")</f>
        <v/>
      </c>
      <c r="AF237" s="7" t="str">
        <f>IFERROR(IF([1]对账明细接口!$AB237=0,"",[1]对账明细接口!$AB237),"")</f>
        <v/>
      </c>
      <c r="AG237" s="7" t="str">
        <f>IFERROR(IF([1]对账明细接口!$AC237=0,"",[1]对账明细接口!$AC237),"")</f>
        <v/>
      </c>
      <c r="AH237" s="7" t="str">
        <f>IFERROR(IF([1]对账明细接口!$AD237=0,"",[1]对账明细接口!$AD237),"")</f>
        <v/>
      </c>
      <c r="AI237" s="7" t="str">
        <f>IFERROR(IF([1]对账明细接口!$AE237=0,"",[1]对账明细接口!$AE237),"")</f>
        <v/>
      </c>
      <c r="AJ237" s="7" t="str">
        <f>IFERROR(IF([1]对账明细接口!$AF237=0,"",[1]对账明细接口!$AF237),"")</f>
        <v/>
      </c>
    </row>
    <row r="238" ht="14.25" customHeight="1" spans="1:36">
      <c r="A238" s="14">
        <v>238</v>
      </c>
      <c r="B238" s="15">
        <f>IFERROR(IF([1]对账明细接口!$B$238=0,"",[1]对账明细接口!$B$238),"")</f>
        <v>46279</v>
      </c>
      <c r="C238" s="16" t="str">
        <f>IFERROR(IF([1]对账明细接口!$C$238=0,"",[1]对账明细接口!$C$238),"")</f>
        <v>吐尔洪</v>
      </c>
      <c r="D238" s="16" t="str">
        <f>IFERROR(IF([1]对账明细接口!$D$238=0,"",[1]对账明细接口!$D$238),"")</f>
        <v>原料入库</v>
      </c>
      <c r="E238" s="16" t="str">
        <f>IFERROR(IF([1]对账明细接口!$E$238=0,"",[1]对账明细接口!$E$238),"")</f>
        <v>NO:0000861</v>
      </c>
      <c r="F238" s="16" t="str">
        <f>IFERROR(IF([1]对账明细接口!$F$238=0,"",[1]对账明细接口!$F$238),"")</f>
        <v>香梨</v>
      </c>
      <c r="G238" s="16" t="str">
        <f>IFERROR(IF([1]对账明细接口!$G$238=0,"",[1]对账明细接口!$G$238),"")</f>
        <v>香梨特级</v>
      </c>
      <c r="H238" s="17">
        <f>IFERROR(IF([1]对账明细接口!$H$238=0,"",[1]对账明细接口!$H$238),"")</f>
        <v>108</v>
      </c>
      <c r="I238" s="16" t="str">
        <f>IFERROR(IF([1]对账明细接口!$I$238=0,"",[1]对账明细接口!$I$238),"")</f>
        <v>筐</v>
      </c>
      <c r="J238" s="18">
        <f>IFERROR(IF([1]对账明细接口!$J$238=0,"",[1]对账明细接口!$J$238),"")</f>
        <v>1976.4</v>
      </c>
      <c r="K238" s="18" t="str">
        <f>IFERROR(IF([1]对账明细接口!$K$238=0,"",[1]对账明细接口!$K$238),"")</f>
        <v/>
      </c>
      <c r="L238" s="16" t="str">
        <f>IFERROR(IF([1]对账明细接口!$L$238=0,"",[1]对账明细接口!$L$238),"")</f>
        <v/>
      </c>
      <c r="M238" s="16" t="str">
        <f>IFERROR(IF([1]对账明细接口!$M$238=0,"",[1]对账明细接口!$M$238),"")</f>
        <v>麦麦提</v>
      </c>
      <c r="N238" s="19">
        <f t="shared" si="6"/>
        <v>1</v>
      </c>
      <c r="O238" s="19">
        <f t="shared" si="7"/>
        <v>235</v>
      </c>
      <c r="S238" s="20" t="str">
        <f>IFERROR(IF([1]对账明细接口!$N238=0,"",[1]对账明细接口!$N238),"")</f>
        <v>公司红周转筐</v>
      </c>
      <c r="T238" s="21" t="str">
        <f>IFERROR(IF([1]对账明细接口!$O238=0,"",[1]对账明细接口!$O238),"")</f>
        <v/>
      </c>
      <c r="U238" s="21" t="str">
        <f>IFERROR(IF([1]对账明细接口!$P238=0,"",[1]对账明细接口!$P238),"")</f>
        <v/>
      </c>
      <c r="V238" s="21">
        <f>IFERROR(IF([1]对账明细接口!$Q238=0,"",[1]对账明细接口!$Q238),"")</f>
        <v>108</v>
      </c>
      <c r="W238" s="20" t="str">
        <f>IFERROR(IF([1]对账明细接口!$R238=0,"",[1]对账明细接口!$R238),"")</f>
        <v>新N*X8S48</v>
      </c>
      <c r="X238" s="20" t="str">
        <f>IFERROR(IF([1]对账明细接口!$S238=0,"",[1]对账明细接口!$S238),"")</f>
        <v>公司筐</v>
      </c>
      <c r="Y238" s="20" t="str">
        <f>IFERROR(IF([1]对账明细接口!$T238=0,"",[1]对账明细接口!$T238),"")</f>
        <v/>
      </c>
      <c r="Z238" s="24" t="str">
        <f>IFERROR(IF([1]对账明细接口!$U238=0,"",[1]对账明细接口!$U238),"")</f>
        <v/>
      </c>
      <c r="AA238" s="24" t="str">
        <f>IFERROR(IF([1]对账明细接口!$V238=0,"",[1]对账明细接口!$V238),"")</f>
        <v/>
      </c>
      <c r="AB238" s="20" t="str">
        <f>IFERROR(IF([1]对账明细接口!$W238=0,"",[1]对账明细接口!$W238),"")</f>
        <v/>
      </c>
      <c r="AC238" s="7" t="str">
        <f>IFERROR(IF([1]对账明细接口!$X238=0,"",[1]对账明细接口!$X238),"")</f>
        <v/>
      </c>
      <c r="AD238" s="7" t="str">
        <f>IFERROR(IF([1]对账明细接口!$Y238=0,"",[1]对账明细接口!$Y238),"")</f>
        <v/>
      </c>
      <c r="AE238" s="7" t="str">
        <f>IFERROR(IF([1]对账明细接口!$AA238=0,"",[1]对账明细接口!$AA238),"")</f>
        <v/>
      </c>
      <c r="AF238" s="7" t="str">
        <f>IFERROR(IF([1]对账明细接口!$AB238=0,"",[1]对账明细接口!$AB238),"")</f>
        <v/>
      </c>
      <c r="AG238" s="7" t="str">
        <f>IFERROR(IF([1]对账明细接口!$AC238=0,"",[1]对账明细接口!$AC238),"")</f>
        <v/>
      </c>
      <c r="AH238" s="7" t="str">
        <f>IFERROR(IF([1]对账明细接口!$AD238=0,"",[1]对账明细接口!$AD238),"")</f>
        <v/>
      </c>
      <c r="AI238" s="7" t="str">
        <f>IFERROR(IF([1]对账明细接口!$AE238=0,"",[1]对账明细接口!$AE238),"")</f>
        <v/>
      </c>
      <c r="AJ238" s="7" t="str">
        <f>IFERROR(IF([1]对账明细接口!$AF238=0,"",[1]对账明细接口!$AF238),"")</f>
        <v/>
      </c>
    </row>
    <row r="239" ht="14.25" customHeight="1" spans="1:36">
      <c r="A239" s="14">
        <v>239</v>
      </c>
      <c r="B239" s="15">
        <f>IFERROR(IF([1]对账明细接口!$B$239=0,"",[1]对账明细接口!$B$239),"")</f>
        <v>46279</v>
      </c>
      <c r="C239" s="16" t="str">
        <f>IFERROR(IF([1]对账明细接口!$C$239=0,"",[1]对账明细接口!$C$239),"")</f>
        <v>吐尔洪</v>
      </c>
      <c r="D239" s="16" t="str">
        <f>IFERROR(IF([1]对账明细接口!$D$239=0,"",[1]对账明细接口!$D$239),"")</f>
        <v>原料入库</v>
      </c>
      <c r="E239" s="16" t="str">
        <f>IFERROR(IF([1]对账明细接口!$E$239=0,"",[1]对账明细接口!$E$239),"")</f>
        <v>NO:0000861</v>
      </c>
      <c r="F239" s="16" t="str">
        <f>IFERROR(IF([1]对账明细接口!$F$239=0,"",[1]对账明细接口!$F$239),"")</f>
        <v>香梨</v>
      </c>
      <c r="G239" s="16" t="str">
        <f>IFERROR(IF([1]对账明细接口!$G$239=0,"",[1]对账明细接口!$G$239),"")</f>
        <v>香梨一级</v>
      </c>
      <c r="H239" s="17">
        <f>IFERROR(IF([1]对账明细接口!$H$239=0,"",[1]对账明细接口!$H$239),"")</f>
        <v>41</v>
      </c>
      <c r="I239" s="16" t="str">
        <f>IFERROR(IF([1]对账明细接口!$I$239=0,"",[1]对账明细接口!$I$239),"")</f>
        <v>筐</v>
      </c>
      <c r="J239" s="18">
        <f>IFERROR(IF([1]对账明细接口!$J$239=0,"",[1]对账明细接口!$J$239),"")</f>
        <v>750.3</v>
      </c>
      <c r="K239" s="18" t="str">
        <f>IFERROR(IF([1]对账明细接口!$K$239=0,"",[1]对账明细接口!$K$239),"")</f>
        <v/>
      </c>
      <c r="L239" s="16" t="str">
        <f>IFERROR(IF([1]对账明细接口!$L$239=0,"",[1]对账明细接口!$L$239),"")</f>
        <v/>
      </c>
      <c r="M239" s="16" t="str">
        <f>IFERROR(IF([1]对账明细接口!$M$239=0,"",[1]对账明细接口!$M$239),"")</f>
        <v>麦麦提</v>
      </c>
      <c r="N239" s="19">
        <f t="shared" si="6"/>
        <v>1</v>
      </c>
      <c r="O239" s="19">
        <f t="shared" si="7"/>
        <v>236</v>
      </c>
      <c r="S239" s="20" t="str">
        <f>IFERROR(IF([1]对账明细接口!$N239=0,"",[1]对账明细接口!$N239),"")</f>
        <v>公司红周转筐</v>
      </c>
      <c r="T239" s="21" t="str">
        <f>IFERROR(IF([1]对账明细接口!$O239=0,"",[1]对账明细接口!$O239),"")</f>
        <v/>
      </c>
      <c r="U239" s="21" t="str">
        <f>IFERROR(IF([1]对账明细接口!$P239=0,"",[1]对账明细接口!$P239),"")</f>
        <v/>
      </c>
      <c r="V239" s="21">
        <f>IFERROR(IF([1]对账明细接口!$Q239=0,"",[1]对账明细接口!$Q239),"")</f>
        <v>41</v>
      </c>
      <c r="W239" s="20" t="str">
        <f>IFERROR(IF([1]对账明细接口!$R239=0,"",[1]对账明细接口!$R239),"")</f>
        <v>新N*X8S48</v>
      </c>
      <c r="X239" s="20" t="str">
        <f>IFERROR(IF([1]对账明细接口!$S239=0,"",[1]对账明细接口!$S239),"")</f>
        <v>公司筐</v>
      </c>
      <c r="Y239" s="20" t="str">
        <f>IFERROR(IF([1]对账明细接口!$T239=0,"",[1]对账明细接口!$T239),"")</f>
        <v/>
      </c>
      <c r="Z239" s="24" t="str">
        <f>IFERROR(IF([1]对账明细接口!$U239=0,"",[1]对账明细接口!$U239),"")</f>
        <v/>
      </c>
      <c r="AA239" s="24" t="str">
        <f>IFERROR(IF([1]对账明细接口!$V239=0,"",[1]对账明细接口!$V239),"")</f>
        <v/>
      </c>
      <c r="AB239" s="20" t="str">
        <f>IFERROR(IF([1]对账明细接口!$W239=0,"",[1]对账明细接口!$W239),"")</f>
        <v/>
      </c>
      <c r="AC239" s="7" t="str">
        <f>IFERROR(IF([1]对账明细接口!$X239=0,"",[1]对账明细接口!$X239),"")</f>
        <v/>
      </c>
      <c r="AD239" s="7" t="str">
        <f>IFERROR(IF([1]对账明细接口!$Y239=0,"",[1]对账明细接口!$Y239),"")</f>
        <v/>
      </c>
      <c r="AE239" s="7" t="str">
        <f>IFERROR(IF([1]对账明细接口!$AA239=0,"",[1]对账明细接口!$AA239),"")</f>
        <v/>
      </c>
      <c r="AF239" s="7" t="str">
        <f>IFERROR(IF([1]对账明细接口!$AB239=0,"",[1]对账明细接口!$AB239),"")</f>
        <v/>
      </c>
      <c r="AG239" s="7" t="str">
        <f>IFERROR(IF([1]对账明细接口!$AC239=0,"",[1]对账明细接口!$AC239),"")</f>
        <v/>
      </c>
      <c r="AH239" s="7" t="str">
        <f>IFERROR(IF([1]对账明细接口!$AD239=0,"",[1]对账明细接口!$AD239),"")</f>
        <v/>
      </c>
      <c r="AI239" s="7" t="str">
        <f>IFERROR(IF([1]对账明细接口!$AE239=0,"",[1]对账明细接口!$AE239),"")</f>
        <v/>
      </c>
      <c r="AJ239" s="7" t="str">
        <f>IFERROR(IF([1]对账明细接口!$AF239=0,"",[1]对账明细接口!$AF239),"")</f>
        <v/>
      </c>
    </row>
    <row r="240" ht="14.25" customHeight="1" spans="1:36">
      <c r="A240" s="14">
        <v>240</v>
      </c>
      <c r="B240" s="15">
        <f>IFERROR(IF([1]对账明细接口!$B$240=0,"",[1]对账明细接口!$B$240),"")</f>
        <v>46279</v>
      </c>
      <c r="C240" s="16" t="str">
        <f>IFERROR(IF([1]对账明细接口!$C$240=0,"",[1]对账明细接口!$C$240),"")</f>
        <v>吐尔洪</v>
      </c>
      <c r="D240" s="16" t="str">
        <f>IFERROR(IF([1]对账明细接口!$D$240=0,"",[1]对账明细接口!$D$240),"")</f>
        <v>原料入库</v>
      </c>
      <c r="E240" s="16" t="str">
        <f>IFERROR(IF([1]对账明细接口!$E$240=0,"",[1]对账明细接口!$E$240),"")</f>
        <v>NO:0000861</v>
      </c>
      <c r="F240" s="16" t="str">
        <f>IFERROR(IF([1]对账明细接口!$F$240=0,"",[1]对账明细接口!$F$240),"")</f>
        <v>香梨</v>
      </c>
      <c r="G240" s="16" t="str">
        <f>IFERROR(IF([1]对账明细接口!$G$240=0,"",[1]对账明细接口!$G$240),"")</f>
        <v>香梨二级</v>
      </c>
      <c r="H240" s="17">
        <f>IFERROR(IF([1]对账明细接口!$H$240=0,"",[1]对账明细接口!$H$240),"")</f>
        <v>91</v>
      </c>
      <c r="I240" s="16" t="str">
        <f>IFERROR(IF([1]对账明细接口!$I$240=0,"",[1]对账明细接口!$I$240),"")</f>
        <v>筐</v>
      </c>
      <c r="J240" s="18">
        <f>IFERROR(IF([1]对账明细接口!$J$240=0,"",[1]对账明细接口!$J$240),"")</f>
        <v>2029.3</v>
      </c>
      <c r="K240" s="18" t="str">
        <f>IFERROR(IF([1]对账明细接口!$K$240=0,"",[1]对账明细接口!$K$240),"")</f>
        <v/>
      </c>
      <c r="L240" s="16" t="str">
        <f>IFERROR(IF([1]对账明细接口!$L$240=0,"",[1]对账明细接口!$L$240),"")</f>
        <v/>
      </c>
      <c r="M240" s="16" t="str">
        <f>IFERROR(IF([1]对账明细接口!$M$240=0,"",[1]对账明细接口!$M$240),"")</f>
        <v>麦麦提</v>
      </c>
      <c r="N240" s="19">
        <f t="shared" si="6"/>
        <v>1</v>
      </c>
      <c r="O240" s="19">
        <f t="shared" si="7"/>
        <v>237</v>
      </c>
      <c r="S240" s="20" t="str">
        <f>IFERROR(IF([1]对账明细接口!$N240=0,"",[1]对账明细接口!$N240),"")</f>
        <v>公司红周转筐</v>
      </c>
      <c r="T240" s="21" t="str">
        <f>IFERROR(IF([1]对账明细接口!$O240=0,"",[1]对账明细接口!$O240),"")</f>
        <v/>
      </c>
      <c r="U240" s="21" t="str">
        <f>IFERROR(IF([1]对账明细接口!$P240=0,"",[1]对账明细接口!$P240),"")</f>
        <v/>
      </c>
      <c r="V240" s="21">
        <f>IFERROR(IF([1]对账明细接口!$Q240=0,"",[1]对账明细接口!$Q240),"")</f>
        <v>91</v>
      </c>
      <c r="W240" s="20" t="str">
        <f>IFERROR(IF([1]对账明细接口!$R240=0,"",[1]对账明细接口!$R240),"")</f>
        <v>新N*X8S48</v>
      </c>
      <c r="X240" s="20" t="str">
        <f>IFERROR(IF([1]对账明细接口!$S240=0,"",[1]对账明细接口!$S240),"")</f>
        <v>公司筐</v>
      </c>
      <c r="Y240" s="20" t="str">
        <f>IFERROR(IF([1]对账明细接口!$T240=0,"",[1]对账明细接口!$T240),"")</f>
        <v/>
      </c>
      <c r="Z240" s="24" t="str">
        <f>IFERROR(IF([1]对账明细接口!$U240=0,"",[1]对账明细接口!$U240),"")</f>
        <v/>
      </c>
      <c r="AA240" s="24" t="str">
        <f>IFERROR(IF([1]对账明细接口!$V240=0,"",[1]对账明细接口!$V240),"")</f>
        <v/>
      </c>
      <c r="AB240" s="20" t="str">
        <f>IFERROR(IF([1]对账明细接口!$W240=0,"",[1]对账明细接口!$W240),"")</f>
        <v/>
      </c>
      <c r="AC240" s="7" t="str">
        <f>IFERROR(IF([1]对账明细接口!$X240=0,"",[1]对账明细接口!$X240),"")</f>
        <v/>
      </c>
      <c r="AD240" s="7" t="str">
        <f>IFERROR(IF([1]对账明细接口!$Y240=0,"",[1]对账明细接口!$Y240),"")</f>
        <v/>
      </c>
      <c r="AE240" s="7" t="str">
        <f>IFERROR(IF([1]对账明细接口!$AA240=0,"",[1]对账明细接口!$AA240),"")</f>
        <v/>
      </c>
      <c r="AF240" s="7" t="str">
        <f>IFERROR(IF([1]对账明细接口!$AB240=0,"",[1]对账明细接口!$AB240),"")</f>
        <v/>
      </c>
      <c r="AG240" s="7" t="str">
        <f>IFERROR(IF([1]对账明细接口!$AC240=0,"",[1]对账明细接口!$AC240),"")</f>
        <v/>
      </c>
      <c r="AH240" s="7" t="str">
        <f>IFERROR(IF([1]对账明细接口!$AD240=0,"",[1]对账明细接口!$AD240),"")</f>
        <v/>
      </c>
      <c r="AI240" s="7" t="str">
        <f>IFERROR(IF([1]对账明细接口!$AE240=0,"",[1]对账明细接口!$AE240),"")</f>
        <v/>
      </c>
      <c r="AJ240" s="7" t="str">
        <f>IFERROR(IF([1]对账明细接口!$AF240=0,"",[1]对账明细接口!$AF240),"")</f>
        <v/>
      </c>
    </row>
    <row r="241" ht="14.25" customHeight="1" spans="1:36">
      <c r="A241" s="14">
        <v>241</v>
      </c>
      <c r="B241" s="15">
        <f>IFERROR(IF([1]对账明细接口!$B$241=0,"",[1]对账明细接口!$B$241),"")</f>
        <v>46280</v>
      </c>
      <c r="C241" s="16" t="str">
        <f>IFERROR(IF([1]对账明细接口!$C$241=0,"",[1]对账明细接口!$C$241),"")</f>
        <v>马锦祥</v>
      </c>
      <c r="D241" s="16" t="str">
        <f>IFERROR(IF([1]对账明细接口!$D$241=0,"",[1]对账明细接口!$D$241),"")</f>
        <v>原料入库</v>
      </c>
      <c r="E241" s="16" t="str">
        <f>IFERROR(IF([1]对账明细接口!$E$241=0,"",[1]对账明细接口!$E$241),"")</f>
        <v>NO:0000864</v>
      </c>
      <c r="F241" s="16" t="str">
        <f>IFERROR(IF([1]对账明细接口!$F$241=0,"",[1]对账明细接口!$F$241),"")</f>
        <v>香梨</v>
      </c>
      <c r="G241" s="16" t="str">
        <f>IFERROR(IF([1]对账明细接口!$G$241=0,"",[1]对账明细接口!$G$241),"")</f>
        <v>香梨一级</v>
      </c>
      <c r="H241" s="17">
        <f>IFERROR(IF([1]对账明细接口!$H$241=0,"",[1]对账明细接口!$H$241),"")</f>
        <v>343</v>
      </c>
      <c r="I241" s="16" t="str">
        <f>IFERROR(IF([1]对账明细接口!$I$241=0,"",[1]对账明细接口!$I$241),"")</f>
        <v>筐</v>
      </c>
      <c r="J241" s="18">
        <f>IFERROR(IF([1]对账明细接口!$J$241=0,"",[1]对账明细接口!$J$241),"")</f>
        <v>6276.9</v>
      </c>
      <c r="K241" s="18" t="str">
        <f>IFERROR(IF([1]对账明细接口!$K$241=0,"",[1]对账明细接口!$K$241),"")</f>
        <v/>
      </c>
      <c r="L241" s="16" t="str">
        <f>IFERROR(IF([1]对账明细接口!$L$241=0,"",[1]对账明细接口!$L$241),"")</f>
        <v/>
      </c>
      <c r="M241" s="16" t="str">
        <f>IFERROR(IF([1]对账明细接口!$M$241=0,"",[1]对账明细接口!$M$241),"")</f>
        <v/>
      </c>
      <c r="N241" s="19">
        <f t="shared" si="6"/>
        <v>1</v>
      </c>
      <c r="O241" s="19">
        <f t="shared" si="7"/>
        <v>238</v>
      </c>
      <c r="S241" s="20" t="str">
        <f>IFERROR(IF([1]对账明细接口!$N241=0,"",[1]对账明细接口!$N241),"")</f>
        <v>公司杂周转筐</v>
      </c>
      <c r="T241" s="21" t="str">
        <f>IFERROR(IF([1]对账明细接口!$O241=0,"",[1]对账明细接口!$O241),"")</f>
        <v/>
      </c>
      <c r="U241" s="21" t="str">
        <f>IFERROR(IF([1]对账明细接口!$P241=0,"",[1]对账明细接口!$P241),"")</f>
        <v/>
      </c>
      <c r="V241" s="21">
        <f>IFERROR(IF([1]对账明细接口!$Q241=0,"",[1]对账明细接口!$Q241),"")</f>
        <v>343</v>
      </c>
      <c r="W241" s="20" t="str">
        <f>IFERROR(IF([1]对账明细接口!$R241=0,"",[1]对账明细接口!$R241),"")</f>
        <v>新N*K7V85</v>
      </c>
      <c r="X241" s="20" t="str">
        <f>IFERROR(IF([1]对账明细接口!$S241=0,"",[1]对账明细接口!$S241),"")</f>
        <v>公司筐</v>
      </c>
      <c r="Y241" s="20" t="str">
        <f>IFERROR(IF([1]对账明细接口!$T241=0,"",[1]对账明细接口!$T241),"")</f>
        <v/>
      </c>
      <c r="Z241" s="24" t="str">
        <f>IFERROR(IF([1]对账明细接口!$U241=0,"",[1]对账明细接口!$U241),"")</f>
        <v/>
      </c>
      <c r="AA241" s="24" t="str">
        <f>IFERROR(IF([1]对账明细接口!$V241=0,"",[1]对账明细接口!$V241),"")</f>
        <v/>
      </c>
      <c r="AB241" s="20" t="str">
        <f>IFERROR(IF([1]对账明细接口!$W241=0,"",[1]对账明细接口!$W241),"")</f>
        <v/>
      </c>
      <c r="AC241" s="7" t="str">
        <f>IFERROR(IF([1]对账明细接口!$X241=0,"",[1]对账明细接口!$X241),"")</f>
        <v/>
      </c>
      <c r="AD241" s="7" t="str">
        <f>IFERROR(IF([1]对账明细接口!$Y241=0,"",[1]对账明细接口!$Y241),"")</f>
        <v/>
      </c>
      <c r="AE241" s="7" t="str">
        <f>IFERROR(IF([1]对账明细接口!$AA241=0,"",[1]对账明细接口!$AA241),"")</f>
        <v/>
      </c>
      <c r="AF241" s="7" t="str">
        <f>IFERROR(IF([1]对账明细接口!$AB241=0,"",[1]对账明细接口!$AB241),"")</f>
        <v/>
      </c>
      <c r="AG241" s="7" t="str">
        <f>IFERROR(IF([1]对账明细接口!$AC241=0,"",[1]对账明细接口!$AC241),"")</f>
        <v/>
      </c>
      <c r="AH241" s="7" t="str">
        <f>IFERROR(IF([1]对账明细接口!$AD241=0,"",[1]对账明细接口!$AD241),"")</f>
        <v/>
      </c>
      <c r="AI241" s="7" t="str">
        <f>IFERROR(IF([1]对账明细接口!$AE241=0,"",[1]对账明细接口!$AE241),"")</f>
        <v/>
      </c>
      <c r="AJ241" s="7" t="str">
        <f>IFERROR(IF([1]对账明细接口!$AF241=0,"",[1]对账明细接口!$AF241),"")</f>
        <v/>
      </c>
    </row>
    <row r="242" ht="14.25" customHeight="1" spans="1:36">
      <c r="A242" s="14">
        <v>242</v>
      </c>
      <c r="B242" s="15">
        <f>IFERROR(IF([1]对账明细接口!$B$242=0,"",[1]对账明细接口!$B$242),"")</f>
        <v>46280</v>
      </c>
      <c r="C242" s="16" t="str">
        <f>IFERROR(IF([1]对账明细接口!$C$242=0,"",[1]对账明细接口!$C$242),"")</f>
        <v>马锦祥</v>
      </c>
      <c r="D242" s="16" t="str">
        <f>IFERROR(IF([1]对账明细接口!$D$242=0,"",[1]对账明细接口!$D$242),"")</f>
        <v>原料入库</v>
      </c>
      <c r="E242" s="16" t="str">
        <f>IFERROR(IF([1]对账明细接口!$E$242=0,"",[1]对账明细接口!$E$242),"")</f>
        <v>NO:0000867</v>
      </c>
      <c r="F242" s="16" t="str">
        <f>IFERROR(IF([1]对账明细接口!$F$242=0,"",[1]对账明细接口!$F$242),"")</f>
        <v>香梨</v>
      </c>
      <c r="G242" s="16" t="str">
        <f>IFERROR(IF([1]对账明细接口!$G$242=0,"",[1]对账明细接口!$G$242),"")</f>
        <v>香梨一级</v>
      </c>
      <c r="H242" s="17">
        <f>IFERROR(IF([1]对账明细接口!$H$242=0,"",[1]对账明细接口!$H$242),"")</f>
        <v>98</v>
      </c>
      <c r="I242" s="16" t="str">
        <f>IFERROR(IF([1]对账明细接口!$I$242=0,"",[1]对账明细接口!$I$242),"")</f>
        <v>筐</v>
      </c>
      <c r="J242" s="18">
        <f>IFERROR(IF([1]对账明细接口!$J$242=0,"",[1]对账明细接口!$J$242),"")</f>
        <v>1793.4</v>
      </c>
      <c r="K242" s="18" t="str">
        <f>IFERROR(IF([1]对账明细接口!$K$242=0,"",[1]对账明细接口!$K$242),"")</f>
        <v/>
      </c>
      <c r="L242" s="16" t="str">
        <f>IFERROR(IF([1]对账明细接口!$L$242=0,"",[1]对账明细接口!$L$242),"")</f>
        <v/>
      </c>
      <c r="M242" s="16" t="str">
        <f>IFERROR(IF([1]对账明细接口!$M$242=0,"",[1]对账明细接口!$M$242),"")</f>
        <v/>
      </c>
      <c r="N242" s="19">
        <f t="shared" si="6"/>
        <v>1</v>
      </c>
      <c r="O242" s="19">
        <f t="shared" si="7"/>
        <v>239</v>
      </c>
      <c r="S242" s="20" t="str">
        <f>IFERROR(IF([1]对账明细接口!$N242=0,"",[1]对账明细接口!$N242),"")</f>
        <v>公司杂周转筐</v>
      </c>
      <c r="T242" s="21" t="str">
        <f>IFERROR(IF([1]对账明细接口!$O242=0,"",[1]对账明细接口!$O242),"")</f>
        <v/>
      </c>
      <c r="U242" s="21" t="str">
        <f>IFERROR(IF([1]对账明细接口!$P242=0,"",[1]对账明细接口!$P242),"")</f>
        <v/>
      </c>
      <c r="V242" s="21">
        <f>IFERROR(IF([1]对账明细接口!$Q242=0,"",[1]对账明细接口!$Q242),"")</f>
        <v>98</v>
      </c>
      <c r="W242" s="20" t="str">
        <f>IFERROR(IF([1]对账明细接口!$R242=0,"",[1]对账明细接口!$R242),"")</f>
        <v>新N*K7V85</v>
      </c>
      <c r="X242" s="20" t="str">
        <f>IFERROR(IF([1]对账明细接口!$S242=0,"",[1]对账明细接口!$S242),"")</f>
        <v>公司筐</v>
      </c>
      <c r="Y242" s="20" t="str">
        <f>IFERROR(IF([1]对账明细接口!$T242=0,"",[1]对账明细接口!$T242),"")</f>
        <v/>
      </c>
      <c r="Z242" s="24" t="str">
        <f>IFERROR(IF([1]对账明细接口!$U242=0,"",[1]对账明细接口!$U242),"")</f>
        <v/>
      </c>
      <c r="AA242" s="24" t="str">
        <f>IFERROR(IF([1]对账明细接口!$V242=0,"",[1]对账明细接口!$V242),"")</f>
        <v/>
      </c>
      <c r="AB242" s="20" t="str">
        <f>IFERROR(IF([1]对账明细接口!$W242=0,"",[1]对账明细接口!$W242),"")</f>
        <v/>
      </c>
      <c r="AC242" s="7" t="str">
        <f>IFERROR(IF([1]对账明细接口!$X242=0,"",[1]对账明细接口!$X242),"")</f>
        <v/>
      </c>
      <c r="AD242" s="7" t="str">
        <f>IFERROR(IF([1]对账明细接口!$Y242=0,"",[1]对账明细接口!$Y242),"")</f>
        <v/>
      </c>
      <c r="AE242" s="7" t="str">
        <f>IFERROR(IF([1]对账明细接口!$AA242=0,"",[1]对账明细接口!$AA242),"")</f>
        <v/>
      </c>
      <c r="AF242" s="7" t="str">
        <f>IFERROR(IF([1]对账明细接口!$AB242=0,"",[1]对账明细接口!$AB242),"")</f>
        <v/>
      </c>
      <c r="AG242" s="7" t="str">
        <f>IFERROR(IF([1]对账明细接口!$AC242=0,"",[1]对账明细接口!$AC242),"")</f>
        <v/>
      </c>
      <c r="AH242" s="7" t="str">
        <f>IFERROR(IF([1]对账明细接口!$AD242=0,"",[1]对账明细接口!$AD242),"")</f>
        <v/>
      </c>
      <c r="AI242" s="7" t="str">
        <f>IFERROR(IF([1]对账明细接口!$AE242=0,"",[1]对账明细接口!$AE242),"")</f>
        <v/>
      </c>
      <c r="AJ242" s="7" t="str">
        <f>IFERROR(IF([1]对账明细接口!$AF242=0,"",[1]对账明细接口!$AF242),"")</f>
        <v/>
      </c>
    </row>
    <row r="243" ht="14.25" customHeight="1" spans="1:36">
      <c r="A243" s="14">
        <v>243</v>
      </c>
      <c r="B243" s="15">
        <f>IFERROR(IF([1]对账明细接口!$B$243=0,"",[1]对账明细接口!$B$243),"")</f>
        <v>46280</v>
      </c>
      <c r="C243" s="16" t="str">
        <f>IFERROR(IF([1]对账明细接口!$C$243=0,"",[1]对账明细接口!$C$243),"")</f>
        <v>马锦祥</v>
      </c>
      <c r="D243" s="16" t="str">
        <f>IFERROR(IF([1]对账明细接口!$D$243=0,"",[1]对账明细接口!$D$243),"")</f>
        <v>原料入库</v>
      </c>
      <c r="E243" s="16" t="str">
        <f>IFERROR(IF([1]对账明细接口!$E$243=0,"",[1]对账明细接口!$E$243),"")</f>
        <v>NO:0000867</v>
      </c>
      <c r="F243" s="16" t="str">
        <f>IFERROR(IF([1]对账明细接口!$F$243=0,"",[1]对账明细接口!$F$243),"")</f>
        <v>香梨</v>
      </c>
      <c r="G243" s="16" t="str">
        <f>IFERROR(IF([1]对账明细接口!$G$243=0,"",[1]对账明细接口!$G$243),"")</f>
        <v>香梨二级</v>
      </c>
      <c r="H243" s="17">
        <f>IFERROR(IF([1]对账明细接口!$H$243=0,"",[1]对账明细接口!$H$243),"")</f>
        <v>93</v>
      </c>
      <c r="I243" s="16" t="str">
        <f>IFERROR(IF([1]对账明细接口!$I$243=0,"",[1]对账明细接口!$I$243),"")</f>
        <v>筐</v>
      </c>
      <c r="J243" s="18">
        <f>IFERROR(IF([1]对账明细接口!$J$243=0,"",[1]对账明细接口!$J$243),"")</f>
        <v>2073.9</v>
      </c>
      <c r="K243" s="18" t="str">
        <f>IFERROR(IF([1]对账明细接口!$K$243=0,"",[1]对账明细接口!$K$243),"")</f>
        <v/>
      </c>
      <c r="L243" s="16" t="str">
        <f>IFERROR(IF([1]对账明细接口!$L$243=0,"",[1]对账明细接口!$L$243),"")</f>
        <v/>
      </c>
      <c r="M243" s="16" t="str">
        <f>IFERROR(IF([1]对账明细接口!$M$243=0,"",[1]对账明细接口!$M$243),"")</f>
        <v/>
      </c>
      <c r="N243" s="19">
        <f t="shared" si="6"/>
        <v>1</v>
      </c>
      <c r="O243" s="19">
        <f t="shared" si="7"/>
        <v>240</v>
      </c>
      <c r="S243" s="20" t="str">
        <f>IFERROR(IF([1]对账明细接口!$N243=0,"",[1]对账明细接口!$N243),"")</f>
        <v>公司杂周转筐</v>
      </c>
      <c r="T243" s="21" t="str">
        <f>IFERROR(IF([1]对账明细接口!$O243=0,"",[1]对账明细接口!$O243),"")</f>
        <v/>
      </c>
      <c r="U243" s="21" t="str">
        <f>IFERROR(IF([1]对账明细接口!$P243=0,"",[1]对账明细接口!$P243),"")</f>
        <v/>
      </c>
      <c r="V243" s="21">
        <f>IFERROR(IF([1]对账明细接口!$Q243=0,"",[1]对账明细接口!$Q243),"")</f>
        <v>93</v>
      </c>
      <c r="W243" s="20" t="str">
        <f>IFERROR(IF([1]对账明细接口!$R243=0,"",[1]对账明细接口!$R243),"")</f>
        <v>新N*K7V85</v>
      </c>
      <c r="X243" s="20" t="str">
        <f>IFERROR(IF([1]对账明细接口!$S243=0,"",[1]对账明细接口!$S243),"")</f>
        <v>公司筐</v>
      </c>
      <c r="Y243" s="20" t="str">
        <f>IFERROR(IF([1]对账明细接口!$T243=0,"",[1]对账明细接口!$T243),"")</f>
        <v/>
      </c>
      <c r="Z243" s="24" t="str">
        <f>IFERROR(IF([1]对账明细接口!$U243=0,"",[1]对账明细接口!$U243),"")</f>
        <v/>
      </c>
      <c r="AA243" s="24" t="str">
        <f>IFERROR(IF([1]对账明细接口!$V243=0,"",[1]对账明细接口!$V243),"")</f>
        <v/>
      </c>
      <c r="AB243" s="20" t="str">
        <f>IFERROR(IF([1]对账明细接口!$W243=0,"",[1]对账明细接口!$W243),"")</f>
        <v/>
      </c>
      <c r="AC243" s="7" t="str">
        <f>IFERROR(IF([1]对账明细接口!$X243=0,"",[1]对账明细接口!$X243),"")</f>
        <v/>
      </c>
      <c r="AD243" s="7" t="str">
        <f>IFERROR(IF([1]对账明细接口!$Y243=0,"",[1]对账明细接口!$Y243),"")</f>
        <v/>
      </c>
      <c r="AE243" s="7" t="str">
        <f>IFERROR(IF([1]对账明细接口!$AA243=0,"",[1]对账明细接口!$AA243),"")</f>
        <v/>
      </c>
      <c r="AF243" s="7" t="str">
        <f>IFERROR(IF([1]对账明细接口!$AB243=0,"",[1]对账明细接口!$AB243),"")</f>
        <v/>
      </c>
      <c r="AG243" s="7" t="str">
        <f>IFERROR(IF([1]对账明细接口!$AC243=0,"",[1]对账明细接口!$AC243),"")</f>
        <v/>
      </c>
      <c r="AH243" s="7" t="str">
        <f>IFERROR(IF([1]对账明细接口!$AD243=0,"",[1]对账明细接口!$AD243),"")</f>
        <v/>
      </c>
      <c r="AI243" s="7" t="str">
        <f>IFERROR(IF([1]对账明细接口!$AE243=0,"",[1]对账明细接口!$AE243),"")</f>
        <v/>
      </c>
      <c r="AJ243" s="7" t="str">
        <f>IFERROR(IF([1]对账明细接口!$AF243=0,"",[1]对账明细接口!$AF243),"")</f>
        <v/>
      </c>
    </row>
    <row r="244" ht="14.25" customHeight="1" spans="1:36">
      <c r="A244" s="14">
        <v>244</v>
      </c>
      <c r="B244" s="15">
        <f>IFERROR(IF([1]对账明细接口!$B$244=0,"",[1]对账明细接口!$B$244),"")</f>
        <v>46280</v>
      </c>
      <c r="C244" s="16" t="str">
        <f>IFERROR(IF([1]对账明细接口!$C$244=0,"",[1]对账明细接口!$C$244),"")</f>
        <v>马锦祥</v>
      </c>
      <c r="D244" s="16" t="str">
        <f>IFERROR(IF([1]对账明细接口!$D$244=0,"",[1]对账明细接口!$D$244),"")</f>
        <v>原料入库</v>
      </c>
      <c r="E244" s="16" t="str">
        <f>IFERROR(IF([1]对账明细接口!$E$244=0,"",[1]对账明细接口!$E$244),"")</f>
        <v>NO:0000867</v>
      </c>
      <c r="F244" s="16" t="str">
        <f>IFERROR(IF([1]对账明细接口!$F$244=0,"",[1]对账明细接口!$F$244),"")</f>
        <v>香梨</v>
      </c>
      <c r="G244" s="16" t="str">
        <f>IFERROR(IF([1]对账明细接口!$G$244=0,"",[1]对账明细接口!$G$244),"")</f>
        <v>香梨副特</v>
      </c>
      <c r="H244" s="17">
        <f>IFERROR(IF([1]对账明细接口!$H$244=0,"",[1]对账明细接口!$H$244),"")</f>
        <v>57</v>
      </c>
      <c r="I244" s="16" t="str">
        <f>IFERROR(IF([1]对账明细接口!$I$244=0,"",[1]对账明细接口!$I$244),"")</f>
        <v>筐</v>
      </c>
      <c r="J244" s="18">
        <f>IFERROR(IF([1]对账明细接口!$J$244=0,"",[1]对账明细接口!$J$244),"")</f>
        <v>1043.1</v>
      </c>
      <c r="K244" s="18" t="str">
        <f>IFERROR(IF([1]对账明细接口!$K$244=0,"",[1]对账明细接口!$K$244),"")</f>
        <v/>
      </c>
      <c r="L244" s="16" t="str">
        <f>IFERROR(IF([1]对账明细接口!$L$244=0,"",[1]对账明细接口!$L$244),"")</f>
        <v/>
      </c>
      <c r="M244" s="16" t="str">
        <f>IFERROR(IF([1]对账明细接口!$M$244=0,"",[1]对账明细接口!$M$244),"")</f>
        <v/>
      </c>
      <c r="N244" s="19">
        <f t="shared" si="6"/>
        <v>1</v>
      </c>
      <c r="O244" s="19">
        <f t="shared" si="7"/>
        <v>241</v>
      </c>
      <c r="S244" s="20" t="str">
        <f>IFERROR(IF([1]对账明细接口!$N244=0,"",[1]对账明细接口!$N244),"")</f>
        <v>公司杂周转筐</v>
      </c>
      <c r="T244" s="21" t="str">
        <f>IFERROR(IF([1]对账明细接口!$O244=0,"",[1]对账明细接口!$O244),"")</f>
        <v/>
      </c>
      <c r="U244" s="21" t="str">
        <f>IFERROR(IF([1]对账明细接口!$P244=0,"",[1]对账明细接口!$P244),"")</f>
        <v/>
      </c>
      <c r="V244" s="21">
        <f>IFERROR(IF([1]对账明细接口!$Q244=0,"",[1]对账明细接口!$Q244),"")</f>
        <v>57</v>
      </c>
      <c r="W244" s="20" t="str">
        <f>IFERROR(IF([1]对账明细接口!$R244=0,"",[1]对账明细接口!$R244),"")</f>
        <v>新N*K7V85</v>
      </c>
      <c r="X244" s="20" t="str">
        <f>IFERROR(IF([1]对账明细接口!$S244=0,"",[1]对账明细接口!$S244),"")</f>
        <v>公司筐</v>
      </c>
      <c r="Y244" s="20" t="str">
        <f>IFERROR(IF([1]对账明细接口!$T244=0,"",[1]对账明细接口!$T244),"")</f>
        <v/>
      </c>
      <c r="Z244" s="24" t="str">
        <f>IFERROR(IF([1]对账明细接口!$U244=0,"",[1]对账明细接口!$U244),"")</f>
        <v/>
      </c>
      <c r="AA244" s="24" t="str">
        <f>IFERROR(IF([1]对账明细接口!$V244=0,"",[1]对账明细接口!$V244),"")</f>
        <v/>
      </c>
      <c r="AB244" s="20" t="str">
        <f>IFERROR(IF([1]对账明细接口!$W244=0,"",[1]对账明细接口!$W244),"")</f>
        <v/>
      </c>
      <c r="AC244" s="7" t="str">
        <f>IFERROR(IF([1]对账明细接口!$X244=0,"",[1]对账明细接口!$X244),"")</f>
        <v/>
      </c>
      <c r="AD244" s="7" t="str">
        <f>IFERROR(IF([1]对账明细接口!$Y244=0,"",[1]对账明细接口!$Y244),"")</f>
        <v/>
      </c>
      <c r="AE244" s="7" t="str">
        <f>IFERROR(IF([1]对账明细接口!$AA244=0,"",[1]对账明细接口!$AA244),"")</f>
        <v/>
      </c>
      <c r="AF244" s="7" t="str">
        <f>IFERROR(IF([1]对账明细接口!$AB244=0,"",[1]对账明细接口!$AB244),"")</f>
        <v/>
      </c>
      <c r="AG244" s="7" t="str">
        <f>IFERROR(IF([1]对账明细接口!$AC244=0,"",[1]对账明细接口!$AC244),"")</f>
        <v/>
      </c>
      <c r="AH244" s="7" t="str">
        <f>IFERROR(IF([1]对账明细接口!$AD244=0,"",[1]对账明细接口!$AD244),"")</f>
        <v/>
      </c>
      <c r="AI244" s="7" t="str">
        <f>IFERROR(IF([1]对账明细接口!$AE244=0,"",[1]对账明细接口!$AE244),"")</f>
        <v/>
      </c>
      <c r="AJ244" s="7" t="str">
        <f>IFERROR(IF([1]对账明细接口!$AF244=0,"",[1]对账明细接口!$AF244),"")</f>
        <v/>
      </c>
    </row>
    <row r="245" ht="14.25" customHeight="1" spans="1:36">
      <c r="A245" s="14">
        <v>245</v>
      </c>
      <c r="B245" s="15">
        <f>IFERROR(IF([1]对账明细接口!$B$245=0,"",[1]对账明细接口!$B$245),"")</f>
        <v>46280</v>
      </c>
      <c r="C245" s="16" t="str">
        <f>IFERROR(IF([1]对账明细接口!$C$245=0,"",[1]对账明细接口!$C$245),"")</f>
        <v>努尔敦</v>
      </c>
      <c r="D245" s="16" t="str">
        <f>IFERROR(IF([1]对账明细接口!$D$245=0,"",[1]对账明细接口!$D$245),"")</f>
        <v>原料入库</v>
      </c>
      <c r="E245" s="16" t="str">
        <f>IFERROR(IF([1]对账明细接口!$E$245=0,"",[1]对账明细接口!$E$245),"")</f>
        <v>NO:0000868</v>
      </c>
      <c r="F245" s="16" t="str">
        <f>IFERROR(IF([1]对账明细接口!$F$245=0,"",[1]对账明细接口!$F$245),"")</f>
        <v>香梨</v>
      </c>
      <c r="G245" s="16" t="str">
        <f>IFERROR(IF([1]对账明细接口!$G$245=0,"",[1]对账明细接口!$G$245),"")</f>
        <v>香梨特级</v>
      </c>
      <c r="H245" s="17">
        <f>IFERROR(IF([1]对账明细接口!$H$245=0,"",[1]对账明细接口!$H$245),"")</f>
        <v>264</v>
      </c>
      <c r="I245" s="16" t="str">
        <f>IFERROR(IF([1]对账明细接口!$I$245=0,"",[1]对账明细接口!$I$245),"")</f>
        <v>筐</v>
      </c>
      <c r="J245" s="18">
        <f>IFERROR(IF([1]对账明细接口!$J$245=0,"",[1]对账明细接口!$J$245),"")</f>
        <v>4831.2</v>
      </c>
      <c r="K245" s="18" t="str">
        <f>IFERROR(IF([1]对账明细接口!$K$245=0,"",[1]对账明细接口!$K$245),"")</f>
        <v/>
      </c>
      <c r="L245" s="16" t="str">
        <f>IFERROR(IF([1]对账明细接口!$L$245=0,"",[1]对账明细接口!$L$245),"")</f>
        <v/>
      </c>
      <c r="M245" s="16" t="str">
        <f>IFERROR(IF([1]对账明细接口!$M$245=0,"",[1]对账明细接口!$M$245),"")</f>
        <v/>
      </c>
      <c r="N245" s="19">
        <f t="shared" si="6"/>
        <v>1</v>
      </c>
      <c r="O245" s="19">
        <f t="shared" si="7"/>
        <v>242</v>
      </c>
      <c r="S245" s="20" t="str">
        <f>IFERROR(IF([1]对账明细接口!$N245=0,"",[1]对账明细接口!$N245),"")</f>
        <v>公司红周转筐</v>
      </c>
      <c r="T245" s="21" t="str">
        <f>IFERROR(IF([1]对账明细接口!$O245=0,"",[1]对账明细接口!$O245),"")</f>
        <v/>
      </c>
      <c r="U245" s="21" t="str">
        <f>IFERROR(IF([1]对账明细接口!$P245=0,"",[1]对账明细接口!$P245),"")</f>
        <v/>
      </c>
      <c r="V245" s="21">
        <f>IFERROR(IF([1]对账明细接口!$Q245=0,"",[1]对账明细接口!$Q245),"")</f>
        <v>264</v>
      </c>
      <c r="W245" s="20" t="str">
        <f>IFERROR(IF([1]对账明细接口!$R245=0,"",[1]对账明细接口!$R245),"")</f>
        <v>新F*75240</v>
      </c>
      <c r="X245" s="20" t="str">
        <f>IFERROR(IF([1]对账明细接口!$S245=0,"",[1]对账明细接口!$S245),"")</f>
        <v>公司筐</v>
      </c>
      <c r="Y245" s="20" t="str">
        <f>IFERROR(IF([1]对账明细接口!$T245=0,"",[1]对账明细接口!$T245),"")</f>
        <v/>
      </c>
      <c r="Z245" s="24" t="str">
        <f>IFERROR(IF([1]对账明细接口!$U245=0,"",[1]对账明细接口!$U245),"")</f>
        <v/>
      </c>
      <c r="AA245" s="24" t="str">
        <f>IFERROR(IF([1]对账明细接口!$V245=0,"",[1]对账明细接口!$V245),"")</f>
        <v/>
      </c>
      <c r="AB245" s="20" t="str">
        <f>IFERROR(IF([1]对账明细接口!$W245=0,"",[1]对账明细接口!$W245),"")</f>
        <v/>
      </c>
      <c r="AC245" s="7" t="str">
        <f>IFERROR(IF([1]对账明细接口!$X245=0,"",[1]对账明细接口!$X245),"")</f>
        <v/>
      </c>
      <c r="AD245" s="7" t="str">
        <f>IFERROR(IF([1]对账明细接口!$Y245=0,"",[1]对账明细接口!$Y245),"")</f>
        <v/>
      </c>
      <c r="AE245" s="7" t="str">
        <f>IFERROR(IF([1]对账明细接口!$AA245=0,"",[1]对账明细接口!$AA245),"")</f>
        <v/>
      </c>
      <c r="AF245" s="7" t="str">
        <f>IFERROR(IF([1]对账明细接口!$AB245=0,"",[1]对账明细接口!$AB245),"")</f>
        <v/>
      </c>
      <c r="AG245" s="7" t="str">
        <f>IFERROR(IF([1]对账明细接口!$AC245=0,"",[1]对账明细接口!$AC245),"")</f>
        <v/>
      </c>
      <c r="AH245" s="7" t="str">
        <f>IFERROR(IF([1]对账明细接口!$AD245=0,"",[1]对账明细接口!$AD245),"")</f>
        <v/>
      </c>
      <c r="AI245" s="7" t="str">
        <f>IFERROR(IF([1]对账明细接口!$AE245=0,"",[1]对账明细接口!$AE245),"")</f>
        <v/>
      </c>
      <c r="AJ245" s="7" t="str">
        <f>IFERROR(IF([1]对账明细接口!$AF245=0,"",[1]对账明细接口!$AF245),"")</f>
        <v/>
      </c>
    </row>
    <row r="246" ht="14.25" customHeight="1" spans="1:36">
      <c r="A246" s="14">
        <v>246</v>
      </c>
      <c r="B246" s="15">
        <f>IFERROR(IF([1]对账明细接口!$B$246=0,"",[1]对账明细接口!$B$246),"")</f>
        <v>46280</v>
      </c>
      <c r="C246" s="16" t="str">
        <f>IFERROR(IF([1]对账明细接口!$C$246=0,"",[1]对账明细接口!$C$246),"")</f>
        <v>努尔敦</v>
      </c>
      <c r="D246" s="16" t="str">
        <f>IFERROR(IF([1]对账明细接口!$D$246=0,"",[1]对账明细接口!$D$246),"")</f>
        <v>原料入库</v>
      </c>
      <c r="E246" s="16" t="str">
        <f>IFERROR(IF([1]对账明细接口!$E$246=0,"",[1]对账明细接口!$E$246),"")</f>
        <v>NO:0000868</v>
      </c>
      <c r="F246" s="16" t="str">
        <f>IFERROR(IF([1]对账明细接口!$F$246=0,"",[1]对账明细接口!$F$246),"")</f>
        <v>香梨</v>
      </c>
      <c r="G246" s="16" t="str">
        <f>IFERROR(IF([1]对账明细接口!$G$246=0,"",[1]对账明细接口!$G$246),"")</f>
        <v>香梨一级</v>
      </c>
      <c r="H246" s="17">
        <f>IFERROR(IF([1]对账明细接口!$H$246=0,"",[1]对账明细接口!$H$246),"")</f>
        <v>220</v>
      </c>
      <c r="I246" s="16" t="str">
        <f>IFERROR(IF([1]对账明细接口!$I$246=0,"",[1]对账明细接口!$I$246),"")</f>
        <v>筐</v>
      </c>
      <c r="J246" s="18">
        <f>IFERROR(IF([1]对账明细接口!$J$246=0,"",[1]对账明细接口!$J$246),"")</f>
        <v>4026</v>
      </c>
      <c r="K246" s="18" t="str">
        <f>IFERROR(IF([1]对账明细接口!$K$246=0,"",[1]对账明细接口!$K$246),"")</f>
        <v/>
      </c>
      <c r="L246" s="16" t="str">
        <f>IFERROR(IF([1]对账明细接口!$L$246=0,"",[1]对账明细接口!$L$246),"")</f>
        <v/>
      </c>
      <c r="M246" s="16" t="str">
        <f>IFERROR(IF([1]对账明细接口!$M$246=0,"",[1]对账明细接口!$M$246),"")</f>
        <v/>
      </c>
      <c r="N246" s="19">
        <f t="shared" si="6"/>
        <v>1</v>
      </c>
      <c r="O246" s="19">
        <f t="shared" si="7"/>
        <v>243</v>
      </c>
      <c r="S246" s="20" t="str">
        <f>IFERROR(IF([1]对账明细接口!$N246=0,"",[1]对账明细接口!$N246),"")</f>
        <v>公司红周转筐</v>
      </c>
      <c r="T246" s="21" t="str">
        <f>IFERROR(IF([1]对账明细接口!$O246=0,"",[1]对账明细接口!$O246),"")</f>
        <v/>
      </c>
      <c r="U246" s="21" t="str">
        <f>IFERROR(IF([1]对账明细接口!$P246=0,"",[1]对账明细接口!$P246),"")</f>
        <v/>
      </c>
      <c r="V246" s="21">
        <f>IFERROR(IF([1]对账明细接口!$Q246=0,"",[1]对账明细接口!$Q246),"")</f>
        <v>220</v>
      </c>
      <c r="W246" s="20" t="str">
        <f>IFERROR(IF([1]对账明细接口!$R246=0,"",[1]对账明细接口!$R246),"")</f>
        <v>新F*75240</v>
      </c>
      <c r="X246" s="20" t="str">
        <f>IFERROR(IF([1]对账明细接口!$S246=0,"",[1]对账明细接口!$S246),"")</f>
        <v>公司筐</v>
      </c>
      <c r="Y246" s="20" t="str">
        <f>IFERROR(IF([1]对账明细接口!$T246=0,"",[1]对账明细接口!$T246),"")</f>
        <v/>
      </c>
      <c r="Z246" s="24" t="str">
        <f>IFERROR(IF([1]对账明细接口!$U246=0,"",[1]对账明细接口!$U246),"")</f>
        <v/>
      </c>
      <c r="AA246" s="24" t="str">
        <f>IFERROR(IF([1]对账明细接口!$V246=0,"",[1]对账明细接口!$V246),"")</f>
        <v/>
      </c>
      <c r="AB246" s="20" t="str">
        <f>IFERROR(IF([1]对账明细接口!$W246=0,"",[1]对账明细接口!$W246),"")</f>
        <v/>
      </c>
      <c r="AC246" s="7" t="str">
        <f>IFERROR(IF([1]对账明细接口!$X246=0,"",[1]对账明细接口!$X246),"")</f>
        <v/>
      </c>
      <c r="AD246" s="7" t="str">
        <f>IFERROR(IF([1]对账明细接口!$Y246=0,"",[1]对账明细接口!$Y246),"")</f>
        <v/>
      </c>
      <c r="AE246" s="7" t="str">
        <f>IFERROR(IF([1]对账明细接口!$AA246=0,"",[1]对账明细接口!$AA246),"")</f>
        <v/>
      </c>
      <c r="AF246" s="7" t="str">
        <f>IFERROR(IF([1]对账明细接口!$AB246=0,"",[1]对账明细接口!$AB246),"")</f>
        <v/>
      </c>
      <c r="AG246" s="7" t="str">
        <f>IFERROR(IF([1]对账明细接口!$AC246=0,"",[1]对账明细接口!$AC246),"")</f>
        <v/>
      </c>
      <c r="AH246" s="7" t="str">
        <f>IFERROR(IF([1]对账明细接口!$AD246=0,"",[1]对账明细接口!$AD246),"")</f>
        <v/>
      </c>
      <c r="AI246" s="7" t="str">
        <f>IFERROR(IF([1]对账明细接口!$AE246=0,"",[1]对账明细接口!$AE246),"")</f>
        <v/>
      </c>
      <c r="AJ246" s="7" t="str">
        <f>IFERROR(IF([1]对账明细接口!$AF246=0,"",[1]对账明细接口!$AF246),"")</f>
        <v/>
      </c>
    </row>
    <row r="247" ht="14.25" customHeight="1" spans="1:36">
      <c r="A247" s="14">
        <v>247</v>
      </c>
      <c r="B247" s="15">
        <f>IFERROR(IF([1]对账明细接口!$B$247=0,"",[1]对账明细接口!$B$247),"")</f>
        <v>46280</v>
      </c>
      <c r="C247" s="16" t="str">
        <f>IFERROR(IF([1]对账明细接口!$C$247=0,"",[1]对账明细接口!$C$247),"")</f>
        <v>努尔敦</v>
      </c>
      <c r="D247" s="16" t="str">
        <f>IFERROR(IF([1]对账明细接口!$D$247=0,"",[1]对账明细接口!$D$247),"")</f>
        <v>原料入库</v>
      </c>
      <c r="E247" s="16" t="str">
        <f>IFERROR(IF([1]对账明细接口!$E$247=0,"",[1]对账明细接口!$E$247),"")</f>
        <v>NO:0000868</v>
      </c>
      <c r="F247" s="16" t="str">
        <f>IFERROR(IF([1]对账明细接口!$F$247=0,"",[1]对账明细接口!$F$247),"")</f>
        <v>香梨</v>
      </c>
      <c r="G247" s="16" t="str">
        <f>IFERROR(IF([1]对账明细接口!$G$247=0,"",[1]对账明细接口!$G$247),"")</f>
        <v>香梨二级</v>
      </c>
      <c r="H247" s="17">
        <f>IFERROR(IF([1]对账明细接口!$H$247=0,"",[1]对账明细接口!$H$247),"")</f>
        <v>168</v>
      </c>
      <c r="I247" s="16" t="str">
        <f>IFERROR(IF([1]对账明细接口!$I$247=0,"",[1]对账明细接口!$I$247),"")</f>
        <v>筐</v>
      </c>
      <c r="J247" s="18">
        <f>IFERROR(IF([1]对账明细接口!$J$247=0,"",[1]对账明细接口!$J$247),"")</f>
        <v>3746.4</v>
      </c>
      <c r="K247" s="18" t="str">
        <f>IFERROR(IF([1]对账明细接口!$K$247=0,"",[1]对账明细接口!$K$247),"")</f>
        <v/>
      </c>
      <c r="L247" s="16" t="str">
        <f>IFERROR(IF([1]对账明细接口!$L$247=0,"",[1]对账明细接口!$L$247),"")</f>
        <v/>
      </c>
      <c r="M247" s="16" t="str">
        <f>IFERROR(IF([1]对账明细接口!$M$247=0,"",[1]对账明细接口!$M$247),"")</f>
        <v/>
      </c>
      <c r="N247" s="19">
        <f t="shared" si="6"/>
        <v>1</v>
      </c>
      <c r="O247" s="19">
        <f t="shared" si="7"/>
        <v>244</v>
      </c>
      <c r="S247" s="20" t="str">
        <f>IFERROR(IF([1]对账明细接口!$N247=0,"",[1]对账明细接口!$N247),"")</f>
        <v>公司红周转筐</v>
      </c>
      <c r="T247" s="21" t="str">
        <f>IFERROR(IF([1]对账明细接口!$O247=0,"",[1]对账明细接口!$O247),"")</f>
        <v/>
      </c>
      <c r="U247" s="21" t="str">
        <f>IFERROR(IF([1]对账明细接口!$P247=0,"",[1]对账明细接口!$P247),"")</f>
        <v/>
      </c>
      <c r="V247" s="21">
        <f>IFERROR(IF([1]对账明细接口!$Q247=0,"",[1]对账明细接口!$Q247),"")</f>
        <v>168</v>
      </c>
      <c r="W247" s="20" t="str">
        <f>IFERROR(IF([1]对账明细接口!$R247=0,"",[1]对账明细接口!$R247),"")</f>
        <v>新F*75240</v>
      </c>
      <c r="X247" s="20" t="str">
        <f>IFERROR(IF([1]对账明细接口!$S247=0,"",[1]对账明细接口!$S247),"")</f>
        <v>公司筐</v>
      </c>
      <c r="Y247" s="20" t="str">
        <f>IFERROR(IF([1]对账明细接口!$T247=0,"",[1]对账明细接口!$T247),"")</f>
        <v/>
      </c>
      <c r="Z247" s="24" t="str">
        <f>IFERROR(IF([1]对账明细接口!$U247=0,"",[1]对账明细接口!$U247),"")</f>
        <v/>
      </c>
      <c r="AA247" s="24" t="str">
        <f>IFERROR(IF([1]对账明细接口!$V247=0,"",[1]对账明细接口!$V247),"")</f>
        <v/>
      </c>
      <c r="AB247" s="20" t="str">
        <f>IFERROR(IF([1]对账明细接口!$W247=0,"",[1]对账明细接口!$W247),"")</f>
        <v/>
      </c>
      <c r="AC247" s="7" t="str">
        <f>IFERROR(IF([1]对账明细接口!$X247=0,"",[1]对账明细接口!$X247),"")</f>
        <v/>
      </c>
      <c r="AD247" s="7" t="str">
        <f>IFERROR(IF([1]对账明细接口!$Y247=0,"",[1]对账明细接口!$Y247),"")</f>
        <v/>
      </c>
      <c r="AE247" s="7" t="str">
        <f>IFERROR(IF([1]对账明细接口!$AA247=0,"",[1]对账明细接口!$AA247),"")</f>
        <v/>
      </c>
      <c r="AF247" s="7" t="str">
        <f>IFERROR(IF([1]对账明细接口!$AB247=0,"",[1]对账明细接口!$AB247),"")</f>
        <v/>
      </c>
      <c r="AG247" s="7" t="str">
        <f>IFERROR(IF([1]对账明细接口!$AC247=0,"",[1]对账明细接口!$AC247),"")</f>
        <v/>
      </c>
      <c r="AH247" s="7" t="str">
        <f>IFERROR(IF([1]对账明细接口!$AD247=0,"",[1]对账明细接口!$AD247),"")</f>
        <v/>
      </c>
      <c r="AI247" s="7" t="str">
        <f>IFERROR(IF([1]对账明细接口!$AE247=0,"",[1]对账明细接口!$AE247),"")</f>
        <v/>
      </c>
      <c r="AJ247" s="7" t="str">
        <f>IFERROR(IF([1]对账明细接口!$AF247=0,"",[1]对账明细接口!$AF247),"")</f>
        <v/>
      </c>
    </row>
    <row r="248" ht="14.25" customHeight="1" spans="1:36">
      <c r="A248" s="14">
        <v>248</v>
      </c>
      <c r="B248" s="15">
        <f>IFERROR(IF([1]对账明细接口!$B$248=0,"",[1]对账明细接口!$B$248),"")</f>
        <v>46280</v>
      </c>
      <c r="C248" s="16" t="str">
        <f>IFERROR(IF([1]对账明细接口!$C$248=0,"",[1]对账明细接口!$C$248),"")</f>
        <v>王照雪</v>
      </c>
      <c r="D248" s="16" t="str">
        <f>IFERROR(IF([1]对账明细接口!$D$248=0,"",[1]对账明细接口!$D$248),"")</f>
        <v>原料入库</v>
      </c>
      <c r="E248" s="16" t="str">
        <f>IFERROR(IF([1]对账明细接口!$E$248=0,"",[1]对账明细接口!$E$248),"")</f>
        <v>NO:0000869</v>
      </c>
      <c r="F248" s="16" t="str">
        <f>IFERROR(IF([1]对账明细接口!$F$248=0,"",[1]对账明细接口!$F$248),"")</f>
        <v>苹果</v>
      </c>
      <c r="G248" s="16" t="str">
        <f>IFERROR(IF([1]对账明细接口!$G$248=0,"",[1]对账明细接口!$G$248),"")</f>
        <v>新世纪一级</v>
      </c>
      <c r="H248" s="17">
        <f>IFERROR(IF([1]对账明细接口!$H$248=0,"",[1]对账明细接口!$H$248),"")</f>
        <v>52</v>
      </c>
      <c r="I248" s="16" t="str">
        <f>IFERROR(IF([1]对账明细接口!$I$248=0,"",[1]对账明细接口!$I$248),"")</f>
        <v>筐</v>
      </c>
      <c r="J248" s="18">
        <f>IFERROR(IF([1]对账明细接口!$J$248=0,"",[1]对账明细接口!$J$248),"")</f>
        <v>899.6</v>
      </c>
      <c r="K248" s="18" t="str">
        <f>IFERROR(IF([1]对账明细接口!$K$248=0,"",[1]对账明细接口!$K$248),"")</f>
        <v/>
      </c>
      <c r="L248" s="16" t="str">
        <f>IFERROR(IF([1]对账明细接口!$L$248=0,"",[1]对账明细接口!$L$248),"")</f>
        <v/>
      </c>
      <c r="M248" s="16" t="str">
        <f>IFERROR(IF([1]对账明细接口!$M$248=0,"",[1]对账明细接口!$M$248),"")</f>
        <v>光果</v>
      </c>
      <c r="N248" s="19">
        <f t="shared" si="6"/>
        <v>1</v>
      </c>
      <c r="O248" s="19">
        <f t="shared" si="7"/>
        <v>245</v>
      </c>
      <c r="S248" s="20" t="str">
        <f>IFERROR(IF([1]对账明细接口!$N248=0,"",[1]对账明细接口!$N248),"")</f>
        <v>公司杂周转筐</v>
      </c>
      <c r="T248" s="21" t="str">
        <f>IFERROR(IF([1]对账明细接口!$O248=0,"",[1]对账明细接口!$O248),"")</f>
        <v/>
      </c>
      <c r="U248" s="21" t="str">
        <f>IFERROR(IF([1]对账明细接口!$P248=0,"",[1]对账明细接口!$P248),"")</f>
        <v/>
      </c>
      <c r="V248" s="21">
        <f>IFERROR(IF([1]对账明细接口!$Q248=0,"",[1]对账明细接口!$Q248),"")</f>
        <v>52</v>
      </c>
      <c r="W248" s="20" t="str">
        <f>IFERROR(IF([1]对账明细接口!$R248=0,"",[1]对账明细接口!$R248),"")</f>
        <v>豫L*88X19</v>
      </c>
      <c r="X248" s="20" t="str">
        <f>IFERROR(IF([1]对账明细接口!$S248=0,"",[1]对账明细接口!$S248),"")</f>
        <v>公司筐</v>
      </c>
      <c r="Y248" s="20" t="str">
        <f>IFERROR(IF([1]对账明细接口!$T248=0,"",[1]对账明细接口!$T248),"")</f>
        <v/>
      </c>
      <c r="Z248" s="24" t="str">
        <f>IFERROR(IF([1]对账明细接口!$U248=0,"",[1]对账明细接口!$U248),"")</f>
        <v/>
      </c>
      <c r="AA248" s="24" t="str">
        <f>IFERROR(IF([1]对账明细接口!$V248=0,"",[1]对账明细接口!$V248),"")</f>
        <v/>
      </c>
      <c r="AB248" s="20" t="str">
        <f>IFERROR(IF([1]对账明细接口!$W248=0,"",[1]对账明细接口!$W248),"")</f>
        <v/>
      </c>
      <c r="AC248" s="7" t="str">
        <f>IFERROR(IF([1]对账明细接口!$X248=0,"",[1]对账明细接口!$X248),"")</f>
        <v/>
      </c>
      <c r="AD248" s="7" t="str">
        <f>IFERROR(IF([1]对账明细接口!$Y248=0,"",[1]对账明细接口!$Y248),"")</f>
        <v/>
      </c>
      <c r="AE248" s="7" t="str">
        <f>IFERROR(IF([1]对账明细接口!$AA248=0,"",[1]对账明细接口!$AA248),"")</f>
        <v/>
      </c>
      <c r="AF248" s="7" t="str">
        <f>IFERROR(IF([1]对账明细接口!$AB248=0,"",[1]对账明细接口!$AB248),"")</f>
        <v/>
      </c>
      <c r="AG248" s="7" t="str">
        <f>IFERROR(IF([1]对账明细接口!$AC248=0,"",[1]对账明细接口!$AC248),"")</f>
        <v/>
      </c>
      <c r="AH248" s="7" t="str">
        <f>IFERROR(IF([1]对账明细接口!$AD248=0,"",[1]对账明细接口!$AD248),"")</f>
        <v/>
      </c>
      <c r="AI248" s="7" t="str">
        <f>IFERROR(IF([1]对账明细接口!$AE248=0,"",[1]对账明细接口!$AE248),"")</f>
        <v/>
      </c>
      <c r="AJ248" s="7" t="str">
        <f>IFERROR(IF([1]对账明细接口!$AF248=0,"",[1]对账明细接口!$AF248),"")</f>
        <v/>
      </c>
    </row>
    <row r="249" ht="14.25" customHeight="1" spans="1:36">
      <c r="A249" s="14">
        <v>249</v>
      </c>
      <c r="B249" s="15">
        <f>IFERROR(IF([1]对账明细接口!$B$249=0,"",[1]对账明细接口!$B$249),"")</f>
        <v>46280</v>
      </c>
      <c r="C249" s="16" t="str">
        <f>IFERROR(IF([1]对账明细接口!$C$249=0,"",[1]对账明细接口!$C$249),"")</f>
        <v>王照雪</v>
      </c>
      <c r="D249" s="16" t="str">
        <f>IFERROR(IF([1]对账明细接口!$D$249=0,"",[1]对账明细接口!$D$249),"")</f>
        <v>原料入库</v>
      </c>
      <c r="E249" s="16" t="str">
        <f>IFERROR(IF([1]对账明细接口!$E$249=0,"",[1]对账明细接口!$E$249),"")</f>
        <v>NO:0000869</v>
      </c>
      <c r="F249" s="16" t="str">
        <f>IFERROR(IF([1]对账明细接口!$F$249=0,"",[1]对账明细接口!$F$249),"")</f>
        <v>苹果</v>
      </c>
      <c r="G249" s="16" t="str">
        <f>IFERROR(IF([1]对账明细接口!$G$249=0,"",[1]对账明细接口!$G$249),"")</f>
        <v>新世纪一级</v>
      </c>
      <c r="H249" s="17">
        <f>IFERROR(IF([1]对账明细接口!$H$249=0,"",[1]对账明细接口!$H$249),"")</f>
        <v>222</v>
      </c>
      <c r="I249" s="16" t="str">
        <f>IFERROR(IF([1]对账明细接口!$I$249=0,"",[1]对账明细接口!$I$249),"")</f>
        <v>筐</v>
      </c>
      <c r="J249" s="18">
        <f>IFERROR(IF([1]对账明细接口!$J$249=0,"",[1]对账明细接口!$J$249),"")</f>
        <v>3840.6</v>
      </c>
      <c r="K249" s="18" t="str">
        <f>IFERROR(IF([1]对账明细接口!$K$249=0,"",[1]对账明细接口!$K$249),"")</f>
        <v/>
      </c>
      <c r="L249" s="16" t="str">
        <f>IFERROR(IF([1]对账明细接口!$L$249=0,"",[1]对账明细接口!$L$249),"")</f>
        <v/>
      </c>
      <c r="M249" s="16" t="str">
        <f>IFERROR(IF([1]对账明细接口!$M$249=0,"",[1]对账明细接口!$M$249),"")</f>
        <v>套袋</v>
      </c>
      <c r="N249" s="19">
        <f t="shared" si="6"/>
        <v>1</v>
      </c>
      <c r="O249" s="19">
        <f t="shared" si="7"/>
        <v>246</v>
      </c>
      <c r="S249" s="20" t="str">
        <f>IFERROR(IF([1]对账明细接口!$N249=0,"",[1]对账明细接口!$N249),"")</f>
        <v>公司杂周转筐</v>
      </c>
      <c r="T249" s="21" t="str">
        <f>IFERROR(IF([1]对账明细接口!$O249=0,"",[1]对账明细接口!$O249),"")</f>
        <v/>
      </c>
      <c r="U249" s="21" t="str">
        <f>IFERROR(IF([1]对账明细接口!$P249=0,"",[1]对账明细接口!$P249),"")</f>
        <v/>
      </c>
      <c r="V249" s="21">
        <f>IFERROR(IF([1]对账明细接口!$Q249=0,"",[1]对账明细接口!$Q249),"")</f>
        <v>222</v>
      </c>
      <c r="W249" s="20" t="str">
        <f>IFERROR(IF([1]对账明细接口!$R249=0,"",[1]对账明细接口!$R249),"")</f>
        <v>豫L*88X19</v>
      </c>
      <c r="X249" s="20" t="str">
        <f>IFERROR(IF([1]对账明细接口!$S249=0,"",[1]对账明细接口!$S249),"")</f>
        <v>公司筐</v>
      </c>
      <c r="Y249" s="20" t="str">
        <f>IFERROR(IF([1]对账明细接口!$T249=0,"",[1]对账明细接口!$T249),"")</f>
        <v/>
      </c>
      <c r="Z249" s="24" t="str">
        <f>IFERROR(IF([1]对账明细接口!$U249=0,"",[1]对账明细接口!$U249),"")</f>
        <v/>
      </c>
      <c r="AA249" s="24" t="str">
        <f>IFERROR(IF([1]对账明细接口!$V249=0,"",[1]对账明细接口!$V249),"")</f>
        <v/>
      </c>
      <c r="AB249" s="20" t="str">
        <f>IFERROR(IF([1]对账明细接口!$W249=0,"",[1]对账明细接口!$W249),"")</f>
        <v/>
      </c>
      <c r="AC249" s="7" t="str">
        <f>IFERROR(IF([1]对账明细接口!$X249=0,"",[1]对账明细接口!$X249),"")</f>
        <v/>
      </c>
      <c r="AD249" s="7" t="str">
        <f>IFERROR(IF([1]对账明细接口!$Y249=0,"",[1]对账明细接口!$Y249),"")</f>
        <v/>
      </c>
      <c r="AE249" s="7" t="str">
        <f>IFERROR(IF([1]对账明细接口!$AA249=0,"",[1]对账明细接口!$AA249),"")</f>
        <v/>
      </c>
      <c r="AF249" s="7" t="str">
        <f>IFERROR(IF([1]对账明细接口!$AB249=0,"",[1]对账明细接口!$AB249),"")</f>
        <v/>
      </c>
      <c r="AG249" s="7" t="str">
        <f>IFERROR(IF([1]对账明细接口!$AC249=0,"",[1]对账明细接口!$AC249),"")</f>
        <v/>
      </c>
      <c r="AH249" s="7" t="str">
        <f>IFERROR(IF([1]对账明细接口!$AD249=0,"",[1]对账明细接口!$AD249),"")</f>
        <v/>
      </c>
      <c r="AI249" s="7" t="str">
        <f>IFERROR(IF([1]对账明细接口!$AE249=0,"",[1]对账明细接口!$AE249),"")</f>
        <v/>
      </c>
      <c r="AJ249" s="7" t="str">
        <f>IFERROR(IF([1]对账明细接口!$AF249=0,"",[1]对账明细接口!$AF249),"")</f>
        <v/>
      </c>
    </row>
    <row r="250" ht="14.25" customHeight="1" spans="1:36">
      <c r="A250" s="14">
        <v>250</v>
      </c>
      <c r="B250" s="15">
        <f>IFERROR(IF([1]对账明细接口!$B$250=0,"",[1]对账明细接口!$B$250),"")</f>
        <v>46280</v>
      </c>
      <c r="C250" s="16" t="str">
        <f>IFERROR(IF([1]对账明细接口!$C$250=0,"",[1]对账明细接口!$C$250),"")</f>
        <v>王照雪</v>
      </c>
      <c r="D250" s="16" t="str">
        <f>IFERROR(IF([1]对账明细接口!$D$250=0,"",[1]对账明细接口!$D$250),"")</f>
        <v>原料入库</v>
      </c>
      <c r="E250" s="16" t="str">
        <f>IFERROR(IF([1]对账明细接口!$E$250=0,"",[1]对账明细接口!$E$250),"")</f>
        <v>NO:0000869</v>
      </c>
      <c r="F250" s="16" t="str">
        <f>IFERROR(IF([1]对账明细接口!$F$250=0,"",[1]对账明细接口!$F$250),"")</f>
        <v>苹果</v>
      </c>
      <c r="G250" s="16" t="str">
        <f>IFERROR(IF([1]对账明细接口!$G$250=0,"",[1]对账明细接口!$G$250),"")</f>
        <v>新世纪二级</v>
      </c>
      <c r="H250" s="17">
        <f>IFERROR(IF([1]对账明细接口!$H$250=0,"",[1]对账明细接口!$H$250),"")</f>
        <v>23</v>
      </c>
      <c r="I250" s="16" t="str">
        <f>IFERROR(IF([1]对账明细接口!$I$250=0,"",[1]对账明细接口!$I$250),"")</f>
        <v>筐</v>
      </c>
      <c r="J250" s="18">
        <f>IFERROR(IF([1]对账明细接口!$J$250=0,"",[1]对账明细接口!$J$250),"")</f>
        <v>374.9</v>
      </c>
      <c r="K250" s="18" t="str">
        <f>IFERROR(IF([1]对账明细接口!$K$250=0,"",[1]对账明细接口!$K$250),"")</f>
        <v/>
      </c>
      <c r="L250" s="16" t="str">
        <f>IFERROR(IF([1]对账明细接口!$L$250=0,"",[1]对账明细接口!$L$250),"")</f>
        <v/>
      </c>
      <c r="M250" s="16" t="str">
        <f>IFERROR(IF([1]对账明细接口!$M$250=0,"",[1]对账明细接口!$M$250),"")</f>
        <v>套袋+光果</v>
      </c>
      <c r="N250" s="19">
        <f t="shared" si="6"/>
        <v>1</v>
      </c>
      <c r="O250" s="19">
        <f t="shared" si="7"/>
        <v>247</v>
      </c>
      <c r="S250" s="20" t="str">
        <f>IFERROR(IF([1]对账明细接口!$N250=0,"",[1]对账明细接口!$N250),"")</f>
        <v>公司杂周转筐</v>
      </c>
      <c r="T250" s="21" t="str">
        <f>IFERROR(IF([1]对账明细接口!$O250=0,"",[1]对账明细接口!$O250),"")</f>
        <v/>
      </c>
      <c r="U250" s="21" t="str">
        <f>IFERROR(IF([1]对账明细接口!$P250=0,"",[1]对账明细接口!$P250),"")</f>
        <v/>
      </c>
      <c r="V250" s="21">
        <f>IFERROR(IF([1]对账明细接口!$Q250=0,"",[1]对账明细接口!$Q250),"")</f>
        <v>23</v>
      </c>
      <c r="W250" s="20" t="str">
        <f>IFERROR(IF([1]对账明细接口!$R250=0,"",[1]对账明细接口!$R250),"")</f>
        <v>豫L*88X19</v>
      </c>
      <c r="X250" s="20" t="str">
        <f>IFERROR(IF([1]对账明细接口!$S250=0,"",[1]对账明细接口!$S250),"")</f>
        <v>公司筐</v>
      </c>
      <c r="Y250" s="20" t="str">
        <f>IFERROR(IF([1]对账明细接口!$T250=0,"",[1]对账明细接口!$T250),"")</f>
        <v/>
      </c>
      <c r="Z250" s="24" t="str">
        <f>IFERROR(IF([1]对账明细接口!$U250=0,"",[1]对账明细接口!$U250),"")</f>
        <v/>
      </c>
      <c r="AA250" s="24" t="str">
        <f>IFERROR(IF([1]对账明细接口!$V250=0,"",[1]对账明细接口!$V250),"")</f>
        <v/>
      </c>
      <c r="AB250" s="20" t="str">
        <f>IFERROR(IF([1]对账明细接口!$W250=0,"",[1]对账明细接口!$W250),"")</f>
        <v/>
      </c>
      <c r="AC250" s="7" t="str">
        <f>IFERROR(IF([1]对账明细接口!$X250=0,"",[1]对账明细接口!$X250),"")</f>
        <v/>
      </c>
      <c r="AD250" s="7" t="str">
        <f>IFERROR(IF([1]对账明细接口!$Y250=0,"",[1]对账明细接口!$Y250),"")</f>
        <v/>
      </c>
      <c r="AE250" s="7" t="str">
        <f>IFERROR(IF([1]对账明细接口!$AA250=0,"",[1]对账明细接口!$AA250),"")</f>
        <v/>
      </c>
      <c r="AF250" s="7" t="str">
        <f>IFERROR(IF([1]对账明细接口!$AB250=0,"",[1]对账明细接口!$AB250),"")</f>
        <v/>
      </c>
      <c r="AG250" s="7" t="str">
        <f>IFERROR(IF([1]对账明细接口!$AC250=0,"",[1]对账明细接口!$AC250),"")</f>
        <v/>
      </c>
      <c r="AH250" s="7" t="str">
        <f>IFERROR(IF([1]对账明细接口!$AD250=0,"",[1]对账明细接口!$AD250),"")</f>
        <v/>
      </c>
      <c r="AI250" s="7" t="str">
        <f>IFERROR(IF([1]对账明细接口!$AE250=0,"",[1]对账明细接口!$AE250),"")</f>
        <v/>
      </c>
      <c r="AJ250" s="7" t="str">
        <f>IFERROR(IF([1]对账明细接口!$AF250=0,"",[1]对账明细接口!$AF250),"")</f>
        <v/>
      </c>
    </row>
    <row r="251" ht="14.25" customHeight="1" spans="1:36">
      <c r="A251" s="14">
        <v>251</v>
      </c>
      <c r="B251" s="15">
        <f>IFERROR(IF([1]对账明细接口!$B$251=0,"",[1]对账明细接口!$B$251),"")</f>
        <v>46280</v>
      </c>
      <c r="C251" s="16" t="str">
        <f>IFERROR(IF([1]对账明细接口!$C$251=0,"",[1]对账明细接口!$C$251),"")</f>
        <v>王照雪</v>
      </c>
      <c r="D251" s="16" t="str">
        <f>IFERROR(IF([1]对账明细接口!$D$251=0,"",[1]对账明细接口!$D$251),"")</f>
        <v>原料入库</v>
      </c>
      <c r="E251" s="16" t="str">
        <f>IFERROR(IF([1]对账明细接口!$E$251=0,"",[1]对账明细接口!$E$251),"")</f>
        <v>NO:0000869</v>
      </c>
      <c r="F251" s="16" t="str">
        <f>IFERROR(IF([1]对账明细接口!$F$251=0,"",[1]对账明细接口!$F$251),"")</f>
        <v>苹果</v>
      </c>
      <c r="G251" s="16" t="str">
        <f>IFERROR(IF([1]对账明细接口!$G$251=0,"",[1]对账明细接口!$G$251),"")</f>
        <v>新世纪二级</v>
      </c>
      <c r="H251" s="17">
        <f>IFERROR(IF([1]对账明细接口!$H$251=0,"",[1]对账明细接口!$H$251),"")</f>
        <v>7</v>
      </c>
      <c r="I251" s="16" t="str">
        <f>IFERROR(IF([1]对账明细接口!$I$251=0,"",[1]对账明细接口!$I$251),"")</f>
        <v>筐</v>
      </c>
      <c r="J251" s="18">
        <f>IFERROR(IF([1]对账明细接口!$J$251=0,"",[1]对账明细接口!$J$251),"")</f>
        <v>142.1</v>
      </c>
      <c r="K251" s="18" t="str">
        <f>IFERROR(IF([1]对账明细接口!$K$251=0,"",[1]对账明细接口!$K$251),"")</f>
        <v/>
      </c>
      <c r="L251" s="16" t="str">
        <f>IFERROR(IF([1]对账明细接口!$L$251=0,"",[1]对账明细接口!$L$251),"")</f>
        <v/>
      </c>
      <c r="M251" s="16" t="str">
        <f>IFERROR(IF([1]对账明细接口!$M$251=0,"",[1]对账明细接口!$M$251),"")</f>
        <v>套袋+光果</v>
      </c>
      <c r="N251" s="19">
        <f t="shared" si="6"/>
        <v>1</v>
      </c>
      <c r="O251" s="19">
        <f t="shared" si="7"/>
        <v>248</v>
      </c>
      <c r="S251" s="20" t="str">
        <f>IFERROR(IF([1]对账明细接口!$N251=0,"",[1]对账明细接口!$N251),"")</f>
        <v>公司杂周转筐</v>
      </c>
      <c r="T251" s="21" t="str">
        <f>IFERROR(IF([1]对账明细接口!$O251=0,"",[1]对账明细接口!$O251),"")</f>
        <v/>
      </c>
      <c r="U251" s="21" t="str">
        <f>IFERROR(IF([1]对账明细接口!$P251=0,"",[1]对账明细接口!$P251),"")</f>
        <v/>
      </c>
      <c r="V251" s="21">
        <f>IFERROR(IF([1]对账明细接口!$Q251=0,"",[1]对账明细接口!$Q251),"")</f>
        <v>7</v>
      </c>
      <c r="W251" s="20" t="str">
        <f>IFERROR(IF([1]对账明细接口!$R251=0,"",[1]对账明细接口!$R251),"")</f>
        <v>豫L*88X19</v>
      </c>
      <c r="X251" s="20" t="str">
        <f>IFERROR(IF([1]对账明细接口!$S251=0,"",[1]对账明细接口!$S251),"")</f>
        <v>公司筐</v>
      </c>
      <c r="Y251" s="20" t="str">
        <f>IFERROR(IF([1]对账明细接口!$T251=0,"",[1]对账明细接口!$T251),"")</f>
        <v/>
      </c>
      <c r="Z251" s="24" t="str">
        <f>IFERROR(IF([1]对账明细接口!$U251=0,"",[1]对账明细接口!$U251),"")</f>
        <v/>
      </c>
      <c r="AA251" s="24" t="str">
        <f>IFERROR(IF([1]对账明细接口!$V251=0,"",[1]对账明细接口!$V251),"")</f>
        <v/>
      </c>
      <c r="AB251" s="20" t="str">
        <f>IFERROR(IF([1]对账明细接口!$W251=0,"",[1]对账明细接口!$W251),"")</f>
        <v/>
      </c>
      <c r="AC251" s="7" t="str">
        <f>IFERROR(IF([1]对账明细接口!$X251=0,"",[1]对账明细接口!$X251),"")</f>
        <v/>
      </c>
      <c r="AD251" s="7" t="str">
        <f>IFERROR(IF([1]对账明细接口!$Y251=0,"",[1]对账明细接口!$Y251),"")</f>
        <v/>
      </c>
      <c r="AE251" s="7" t="str">
        <f>IFERROR(IF([1]对账明细接口!$AA251=0,"",[1]对账明细接口!$AA251),"")</f>
        <v/>
      </c>
      <c r="AF251" s="7" t="str">
        <f>IFERROR(IF([1]对账明细接口!$AB251=0,"",[1]对账明细接口!$AB251),"")</f>
        <v/>
      </c>
      <c r="AG251" s="7" t="str">
        <f>IFERROR(IF([1]对账明细接口!$AC251=0,"",[1]对账明细接口!$AC251),"")</f>
        <v/>
      </c>
      <c r="AH251" s="7" t="str">
        <f>IFERROR(IF([1]对账明细接口!$AD251=0,"",[1]对账明细接口!$AD251),"")</f>
        <v/>
      </c>
      <c r="AI251" s="7" t="str">
        <f>IFERROR(IF([1]对账明细接口!$AE251=0,"",[1]对账明细接口!$AE251),"")</f>
        <v/>
      </c>
      <c r="AJ251" s="7" t="str">
        <f>IFERROR(IF([1]对账明细接口!$AF251=0,"",[1]对账明细接口!$AF251),"")</f>
        <v/>
      </c>
    </row>
    <row r="252" ht="14.25" customHeight="1" spans="1:36">
      <c r="A252" s="14">
        <v>252</v>
      </c>
      <c r="B252" s="15">
        <f>IFERROR(IF([1]对账明细接口!$B$252=0,"",[1]对账明细接口!$B$252),"")</f>
        <v>46280</v>
      </c>
      <c r="C252" s="16" t="str">
        <f>IFERROR(IF([1]对账明细接口!$C$252=0,"",[1]对账明细接口!$C$252),"")</f>
        <v>荆建君</v>
      </c>
      <c r="D252" s="16" t="str">
        <f>IFERROR(IF([1]对账明细接口!$D$252=0,"",[1]对账明细接口!$D$252),"")</f>
        <v>原料入库</v>
      </c>
      <c r="E252" s="16" t="str">
        <f>IFERROR(IF([1]对账明细接口!$E$252=0,"",[1]对账明细接口!$E$252),"")</f>
        <v>NO:0000870</v>
      </c>
      <c r="F252" s="16" t="str">
        <f>IFERROR(IF([1]对账明细接口!$F$252=0,"",[1]对账明细接口!$F$252),"")</f>
        <v>香梨</v>
      </c>
      <c r="G252" s="16" t="str">
        <f>IFERROR(IF([1]对账明细接口!$G$252=0,"",[1]对账明细接口!$G$252),"")</f>
        <v>香梨一级</v>
      </c>
      <c r="H252" s="17">
        <f>IFERROR(IF([1]对账明细接口!$H$252=0,"",[1]对账明细接口!$H$252),"")</f>
        <v>440</v>
      </c>
      <c r="I252" s="16" t="str">
        <f>IFERROR(IF([1]对账明细接口!$I$252=0,"",[1]对账明细接口!$I$252),"")</f>
        <v>筐</v>
      </c>
      <c r="J252" s="18">
        <f>IFERROR(IF([1]对账明细接口!$J$252=0,"",[1]对账明细接口!$J$252),"")</f>
        <v>8052</v>
      </c>
      <c r="K252" s="18" t="str">
        <f>IFERROR(IF([1]对账明细接口!$K$252=0,"",[1]对账明细接口!$K$252),"")</f>
        <v/>
      </c>
      <c r="L252" s="16" t="str">
        <f>IFERROR(IF([1]对账明细接口!$L$252=0,"",[1]对账明细接口!$L$252),"")</f>
        <v/>
      </c>
      <c r="M252" s="16" t="str">
        <f>IFERROR(IF([1]对账明细接口!$M$252=0,"",[1]对账明细接口!$M$252),"")</f>
        <v/>
      </c>
      <c r="N252" s="19">
        <f t="shared" si="6"/>
        <v>1</v>
      </c>
      <c r="O252" s="19">
        <f t="shared" si="7"/>
        <v>249</v>
      </c>
      <c r="S252" s="20" t="str">
        <f>IFERROR(IF([1]对账明细接口!$N252=0,"",[1]对账明细接口!$N252),"")</f>
        <v>公司红周转筐</v>
      </c>
      <c r="T252" s="21" t="str">
        <f>IFERROR(IF([1]对账明细接口!$O252=0,"",[1]对账明细接口!$O252),"")</f>
        <v/>
      </c>
      <c r="U252" s="21" t="str">
        <f>IFERROR(IF([1]对账明细接口!$P252=0,"",[1]对账明细接口!$P252),"")</f>
        <v/>
      </c>
      <c r="V252" s="21">
        <f>IFERROR(IF([1]对账明细接口!$Q252=0,"",[1]对账明细接口!$Q252),"")</f>
        <v>440</v>
      </c>
      <c r="W252" s="20" t="str">
        <f>IFERROR(IF([1]对账明细接口!$R252=0,"",[1]对账明细接口!$R252),"")</f>
        <v>豫A*2737K</v>
      </c>
      <c r="X252" s="20" t="str">
        <f>IFERROR(IF([1]对账明细接口!$S252=0,"",[1]对账明细接口!$S252),"")</f>
        <v>公司筐</v>
      </c>
      <c r="Y252" s="20" t="str">
        <f>IFERROR(IF([1]对账明细接口!$T252=0,"",[1]对账明细接口!$T252),"")</f>
        <v/>
      </c>
      <c r="Z252" s="24" t="str">
        <f>IFERROR(IF([1]对账明细接口!$U252=0,"",[1]对账明细接口!$U252),"")</f>
        <v/>
      </c>
      <c r="AA252" s="24" t="str">
        <f>IFERROR(IF([1]对账明细接口!$V252=0,"",[1]对账明细接口!$V252),"")</f>
        <v/>
      </c>
      <c r="AB252" s="20" t="str">
        <f>IFERROR(IF([1]对账明细接口!$W252=0,"",[1]对账明细接口!$W252),"")</f>
        <v/>
      </c>
      <c r="AC252" s="7" t="str">
        <f>IFERROR(IF([1]对账明细接口!$X252=0,"",[1]对账明细接口!$X252),"")</f>
        <v/>
      </c>
      <c r="AD252" s="7" t="str">
        <f>IFERROR(IF([1]对账明细接口!$Y252=0,"",[1]对账明细接口!$Y252),"")</f>
        <v/>
      </c>
      <c r="AE252" s="7" t="str">
        <f>IFERROR(IF([1]对账明细接口!$AA252=0,"",[1]对账明细接口!$AA252),"")</f>
        <v/>
      </c>
      <c r="AF252" s="7" t="str">
        <f>IFERROR(IF([1]对账明细接口!$AB252=0,"",[1]对账明细接口!$AB252),"")</f>
        <v/>
      </c>
      <c r="AG252" s="7" t="str">
        <f>IFERROR(IF([1]对账明细接口!$AC252=0,"",[1]对账明细接口!$AC252),"")</f>
        <v/>
      </c>
      <c r="AH252" s="7" t="str">
        <f>IFERROR(IF([1]对账明细接口!$AD252=0,"",[1]对账明细接口!$AD252),"")</f>
        <v/>
      </c>
      <c r="AI252" s="7" t="str">
        <f>IFERROR(IF([1]对账明细接口!$AE252=0,"",[1]对账明细接口!$AE252),"")</f>
        <v/>
      </c>
      <c r="AJ252" s="7" t="str">
        <f>IFERROR(IF([1]对账明细接口!$AF252=0,"",[1]对账明细接口!$AF252),"")</f>
        <v/>
      </c>
    </row>
    <row r="253" ht="14.25" customHeight="1" spans="1:36">
      <c r="A253" s="14">
        <v>253</v>
      </c>
      <c r="B253" s="15">
        <f>IFERROR(IF([1]对账明细接口!$B$253=0,"",[1]对账明细接口!$B$253),"")</f>
        <v>46280</v>
      </c>
      <c r="C253" s="16" t="str">
        <f>IFERROR(IF([1]对账明细接口!$C$253=0,"",[1]对账明细接口!$C$253),"")</f>
        <v>荆建君</v>
      </c>
      <c r="D253" s="16" t="str">
        <f>IFERROR(IF([1]对账明细接口!$D$253=0,"",[1]对账明细接口!$D$253),"")</f>
        <v>原料入库</v>
      </c>
      <c r="E253" s="16" t="str">
        <f>IFERROR(IF([1]对账明细接口!$E$253=0,"",[1]对账明细接口!$E$253),"")</f>
        <v>NO:0000870</v>
      </c>
      <c r="F253" s="16" t="str">
        <f>IFERROR(IF([1]对账明细接口!$F$253=0,"",[1]对账明细接口!$F$253),"")</f>
        <v>香梨</v>
      </c>
      <c r="G253" s="16" t="str">
        <f>IFERROR(IF([1]对账明细接口!$G$253=0,"",[1]对账明细接口!$G$253),"")</f>
        <v>香梨二级</v>
      </c>
      <c r="H253" s="17">
        <f>IFERROR(IF([1]对账明细接口!$H$253=0,"",[1]对账明细接口!$H$253),"")</f>
        <v>208</v>
      </c>
      <c r="I253" s="16" t="str">
        <f>IFERROR(IF([1]对账明细接口!$I$253=0,"",[1]对账明细接口!$I$253),"")</f>
        <v>筐</v>
      </c>
      <c r="J253" s="18">
        <f>IFERROR(IF([1]对账明细接口!$J$253=0,"",[1]对账明细接口!$J$253),"")</f>
        <v>3806.4</v>
      </c>
      <c r="K253" s="18" t="str">
        <f>IFERROR(IF([1]对账明细接口!$K$253=0,"",[1]对账明细接口!$K$253),"")</f>
        <v/>
      </c>
      <c r="L253" s="16" t="str">
        <f>IFERROR(IF([1]对账明细接口!$L$253=0,"",[1]对账明细接口!$L$253),"")</f>
        <v/>
      </c>
      <c r="M253" s="16" t="str">
        <f>IFERROR(IF([1]对账明细接口!$M$253=0,"",[1]对账明细接口!$M$253),"")</f>
        <v/>
      </c>
      <c r="N253" s="19">
        <f t="shared" si="6"/>
        <v>1</v>
      </c>
      <c r="O253" s="19">
        <f t="shared" si="7"/>
        <v>250</v>
      </c>
      <c r="S253" s="20" t="str">
        <f>IFERROR(IF([1]对账明细接口!$N253=0,"",[1]对账明细接口!$N253),"")</f>
        <v>公司红周转筐</v>
      </c>
      <c r="T253" s="21" t="str">
        <f>IFERROR(IF([1]对账明细接口!$O253=0,"",[1]对账明细接口!$O253),"")</f>
        <v/>
      </c>
      <c r="U253" s="21" t="str">
        <f>IFERROR(IF([1]对账明细接口!$P253=0,"",[1]对账明细接口!$P253),"")</f>
        <v/>
      </c>
      <c r="V253" s="21">
        <f>IFERROR(IF([1]对账明细接口!$Q253=0,"",[1]对账明细接口!$Q253),"")</f>
        <v>208</v>
      </c>
      <c r="W253" s="20" t="str">
        <f>IFERROR(IF([1]对账明细接口!$R253=0,"",[1]对账明细接口!$R253),"")</f>
        <v>豫A*2737K</v>
      </c>
      <c r="X253" s="20" t="str">
        <f>IFERROR(IF([1]对账明细接口!$S253=0,"",[1]对账明细接口!$S253),"")</f>
        <v>公司筐</v>
      </c>
      <c r="Y253" s="20" t="str">
        <f>IFERROR(IF([1]对账明细接口!$T253=0,"",[1]对账明细接口!$T253),"")</f>
        <v/>
      </c>
      <c r="Z253" s="24" t="str">
        <f>IFERROR(IF([1]对账明细接口!$U253=0,"",[1]对账明细接口!$U253),"")</f>
        <v/>
      </c>
      <c r="AA253" s="24" t="str">
        <f>IFERROR(IF([1]对账明细接口!$V253=0,"",[1]对账明细接口!$V253),"")</f>
        <v/>
      </c>
      <c r="AB253" s="20" t="str">
        <f>IFERROR(IF([1]对账明细接口!$W253=0,"",[1]对账明细接口!$W253),"")</f>
        <v/>
      </c>
      <c r="AC253" s="7" t="str">
        <f>IFERROR(IF([1]对账明细接口!$X253=0,"",[1]对账明细接口!$X253),"")</f>
        <v/>
      </c>
      <c r="AD253" s="7" t="str">
        <f>IFERROR(IF([1]对账明细接口!$Y253=0,"",[1]对账明细接口!$Y253),"")</f>
        <v/>
      </c>
      <c r="AE253" s="7" t="str">
        <f>IFERROR(IF([1]对账明细接口!$AA253=0,"",[1]对账明细接口!$AA253),"")</f>
        <v/>
      </c>
      <c r="AF253" s="7" t="str">
        <f>IFERROR(IF([1]对账明细接口!$AB253=0,"",[1]对账明细接口!$AB253),"")</f>
        <v/>
      </c>
      <c r="AG253" s="7" t="str">
        <f>IFERROR(IF([1]对账明细接口!$AC253=0,"",[1]对账明细接口!$AC253),"")</f>
        <v/>
      </c>
      <c r="AH253" s="7" t="str">
        <f>IFERROR(IF([1]对账明细接口!$AD253=0,"",[1]对账明细接口!$AD253),"")</f>
        <v/>
      </c>
      <c r="AI253" s="7" t="str">
        <f>IFERROR(IF([1]对账明细接口!$AE253=0,"",[1]对账明细接口!$AE253),"")</f>
        <v/>
      </c>
      <c r="AJ253" s="7" t="str">
        <f>IFERROR(IF([1]对账明细接口!$AF253=0,"",[1]对账明细接口!$AF253),"")</f>
        <v/>
      </c>
    </row>
    <row r="254" ht="14.25" customHeight="1" spans="1:36">
      <c r="A254" s="14">
        <v>254</v>
      </c>
      <c r="B254" s="15">
        <f>IFERROR(IF([1]对账明细接口!$B$254=0,"",[1]对账明细接口!$B$254),"")</f>
        <v>46280</v>
      </c>
      <c r="C254" s="16" t="str">
        <f>IFERROR(IF([1]对账明细接口!$C$254=0,"",[1]对账明细接口!$C$254),"")</f>
        <v>热合曼+艾则孜</v>
      </c>
      <c r="D254" s="16" t="str">
        <f>IFERROR(IF([1]对账明细接口!$D$254=0,"",[1]对账明细接口!$D$254),"")</f>
        <v>原料入库</v>
      </c>
      <c r="E254" s="16" t="str">
        <f>IFERROR(IF([1]对账明细接口!$E$254=0,"",[1]对账明细接口!$E$254),"")</f>
        <v>NO:0000873</v>
      </c>
      <c r="F254" s="16" t="str">
        <f>IFERROR(IF([1]对账明细接口!$F$254=0,"",[1]对账明细接口!$F$254),"")</f>
        <v>香梨</v>
      </c>
      <c r="G254" s="16" t="str">
        <f>IFERROR(IF([1]对账明细接口!$G$254=0,"",[1]对账明细接口!$G$254),"")</f>
        <v>香梨一级</v>
      </c>
      <c r="H254" s="17">
        <f>IFERROR(IF([1]对账明细接口!$H$254=0,"",[1]对账明细接口!$H$254),"")</f>
        <v>329</v>
      </c>
      <c r="I254" s="16" t="str">
        <f>IFERROR(IF([1]对账明细接口!$I$254=0,"",[1]对账明细接口!$I$254),"")</f>
        <v>筐</v>
      </c>
      <c r="J254" s="18">
        <f>IFERROR(IF([1]对账明细接口!$J$254=0,"",[1]对账明细接口!$J$254),"")</f>
        <v>6020.7</v>
      </c>
      <c r="K254" s="18" t="str">
        <f>IFERROR(IF([1]对账明细接口!$K$254=0,"",[1]对账明细接口!$K$254),"")</f>
        <v/>
      </c>
      <c r="L254" s="16" t="str">
        <f>IFERROR(IF([1]对账明细接口!$L$254=0,"",[1]对账明细接口!$L$254),"")</f>
        <v/>
      </c>
      <c r="M254" s="16" t="str">
        <f>IFERROR(IF([1]对账明细接口!$M$254=0,"",[1]对账明细接口!$M$254),"")</f>
        <v>热合曼</v>
      </c>
      <c r="N254" s="19">
        <f t="shared" si="6"/>
        <v>1</v>
      </c>
      <c r="O254" s="19">
        <f t="shared" si="7"/>
        <v>251</v>
      </c>
      <c r="S254" s="20" t="str">
        <f>IFERROR(IF([1]对账明细接口!$N254=0,"",[1]对账明细接口!$N254),"")</f>
        <v>公司红周转筐</v>
      </c>
      <c r="T254" s="21" t="str">
        <f>IFERROR(IF([1]对账明细接口!$O254=0,"",[1]对账明细接口!$O254),"")</f>
        <v/>
      </c>
      <c r="U254" s="21" t="str">
        <f>IFERROR(IF([1]对账明细接口!$P254=0,"",[1]对账明细接口!$P254),"")</f>
        <v/>
      </c>
      <c r="V254" s="21">
        <f>IFERROR(IF([1]对账明细接口!$Q254=0,"",[1]对账明细接口!$Q254),"")</f>
        <v>329</v>
      </c>
      <c r="W254" s="20" t="str">
        <f>IFERROR(IF([1]对账明细接口!$R254=0,"",[1]对账明细接口!$R254),"")</f>
        <v>新A*G0554</v>
      </c>
      <c r="X254" s="20" t="str">
        <f>IFERROR(IF([1]对账明细接口!$S254=0,"",[1]对账明细接口!$S254),"")</f>
        <v>公司筐</v>
      </c>
      <c r="Y254" s="20" t="str">
        <f>IFERROR(IF([1]对账明细接口!$T254=0,"",[1]对账明细接口!$T254),"")</f>
        <v/>
      </c>
      <c r="Z254" s="24" t="str">
        <f>IFERROR(IF([1]对账明细接口!$U254=0,"",[1]对账明细接口!$U254),"")</f>
        <v/>
      </c>
      <c r="AA254" s="24" t="str">
        <f>IFERROR(IF([1]对账明细接口!$V254=0,"",[1]对账明细接口!$V254),"")</f>
        <v/>
      </c>
      <c r="AB254" s="20" t="str">
        <f>IFERROR(IF([1]对账明细接口!$W254=0,"",[1]对账明细接口!$W254),"")</f>
        <v/>
      </c>
      <c r="AC254" s="7" t="str">
        <f>IFERROR(IF([1]对账明细接口!$X254=0,"",[1]对账明细接口!$X254),"")</f>
        <v/>
      </c>
      <c r="AD254" s="7" t="str">
        <f>IFERROR(IF([1]对账明细接口!$Y254=0,"",[1]对账明细接口!$Y254),"")</f>
        <v/>
      </c>
      <c r="AE254" s="7" t="str">
        <f>IFERROR(IF([1]对账明细接口!$AA254=0,"",[1]对账明细接口!$AA254),"")</f>
        <v/>
      </c>
      <c r="AF254" s="7" t="str">
        <f>IFERROR(IF([1]对账明细接口!$AB254=0,"",[1]对账明细接口!$AB254),"")</f>
        <v/>
      </c>
      <c r="AG254" s="7" t="str">
        <f>IFERROR(IF([1]对账明细接口!$AC254=0,"",[1]对账明细接口!$AC254),"")</f>
        <v/>
      </c>
      <c r="AH254" s="7" t="str">
        <f>IFERROR(IF([1]对账明细接口!$AD254=0,"",[1]对账明细接口!$AD254),"")</f>
        <v/>
      </c>
      <c r="AI254" s="7" t="str">
        <f>IFERROR(IF([1]对账明细接口!$AE254=0,"",[1]对账明细接口!$AE254),"")</f>
        <v/>
      </c>
      <c r="AJ254" s="7" t="str">
        <f>IFERROR(IF([1]对账明细接口!$AF254=0,"",[1]对账明细接口!$AF254),"")</f>
        <v/>
      </c>
    </row>
    <row r="255" ht="14.25" customHeight="1" spans="1:36">
      <c r="A255" s="14">
        <v>255</v>
      </c>
      <c r="B255" s="15">
        <f>IFERROR(IF([1]对账明细接口!$B$255=0,"",[1]对账明细接口!$B$255),"")</f>
        <v>46280</v>
      </c>
      <c r="C255" s="16" t="str">
        <f>IFERROR(IF([1]对账明细接口!$C$255=0,"",[1]对账明细接口!$C$255),"")</f>
        <v>热合曼+艾则孜</v>
      </c>
      <c r="D255" s="16" t="str">
        <f>IFERROR(IF([1]对账明细接口!$D$255=0,"",[1]对账明细接口!$D$255),"")</f>
        <v>原料入库</v>
      </c>
      <c r="E255" s="16" t="str">
        <f>IFERROR(IF([1]对账明细接口!$E$255=0,"",[1]对账明细接口!$E$255),"")</f>
        <v>NO:0000873</v>
      </c>
      <c r="F255" s="16" t="str">
        <f>IFERROR(IF([1]对账明细接口!$F$255=0,"",[1]对账明细接口!$F$255),"")</f>
        <v>香梨</v>
      </c>
      <c r="G255" s="16" t="str">
        <f>IFERROR(IF([1]对账明细接口!$G$255=0,"",[1]对账明细接口!$G$255),"")</f>
        <v>香梨二级</v>
      </c>
      <c r="H255" s="17">
        <f>IFERROR(IF([1]对账明细接口!$H$255=0,"",[1]对账明细接口!$H$255),"")</f>
        <v>131</v>
      </c>
      <c r="I255" s="16" t="str">
        <f>IFERROR(IF([1]对账明细接口!$I$255=0,"",[1]对账明细接口!$I$255),"")</f>
        <v>筐</v>
      </c>
      <c r="J255" s="18">
        <f>IFERROR(IF([1]对账明细接口!$J$255=0,"",[1]对账明细接口!$J$255),"")</f>
        <v>2921.3</v>
      </c>
      <c r="K255" s="18" t="str">
        <f>IFERROR(IF([1]对账明细接口!$K$255=0,"",[1]对账明细接口!$K$255),"")</f>
        <v/>
      </c>
      <c r="L255" s="16" t="str">
        <f>IFERROR(IF([1]对账明细接口!$L$255=0,"",[1]对账明细接口!$L$255),"")</f>
        <v/>
      </c>
      <c r="M255" s="16" t="str">
        <f>IFERROR(IF([1]对账明细接口!$M$255=0,"",[1]对账明细接口!$M$255),"")</f>
        <v>热合曼</v>
      </c>
      <c r="N255" s="19">
        <f t="shared" si="6"/>
        <v>1</v>
      </c>
      <c r="O255" s="19">
        <f t="shared" si="7"/>
        <v>252</v>
      </c>
      <c r="S255" s="20" t="str">
        <f>IFERROR(IF([1]对账明细接口!$N255=0,"",[1]对账明细接口!$N255),"")</f>
        <v>公司红周转筐</v>
      </c>
      <c r="T255" s="21" t="str">
        <f>IFERROR(IF([1]对账明细接口!$O255=0,"",[1]对账明细接口!$O255),"")</f>
        <v/>
      </c>
      <c r="U255" s="21" t="str">
        <f>IFERROR(IF([1]对账明细接口!$P255=0,"",[1]对账明细接口!$P255),"")</f>
        <v/>
      </c>
      <c r="V255" s="21">
        <f>IFERROR(IF([1]对账明细接口!$Q255=0,"",[1]对账明细接口!$Q255),"")</f>
        <v>131</v>
      </c>
      <c r="W255" s="20" t="str">
        <f>IFERROR(IF([1]对账明细接口!$R255=0,"",[1]对账明细接口!$R255),"")</f>
        <v>新A*G0554</v>
      </c>
      <c r="X255" s="20" t="str">
        <f>IFERROR(IF([1]对账明细接口!$S255=0,"",[1]对账明细接口!$S255),"")</f>
        <v>公司筐</v>
      </c>
      <c r="Y255" s="20" t="str">
        <f>IFERROR(IF([1]对账明细接口!$T255=0,"",[1]对账明细接口!$T255),"")</f>
        <v/>
      </c>
      <c r="Z255" s="24" t="str">
        <f>IFERROR(IF([1]对账明细接口!$U255=0,"",[1]对账明细接口!$U255),"")</f>
        <v/>
      </c>
      <c r="AA255" s="24" t="str">
        <f>IFERROR(IF([1]对账明细接口!$V255=0,"",[1]对账明细接口!$V255),"")</f>
        <v/>
      </c>
      <c r="AB255" s="20" t="str">
        <f>IFERROR(IF([1]对账明细接口!$W255=0,"",[1]对账明细接口!$W255),"")</f>
        <v/>
      </c>
      <c r="AC255" s="7" t="str">
        <f>IFERROR(IF([1]对账明细接口!$X255=0,"",[1]对账明细接口!$X255),"")</f>
        <v/>
      </c>
      <c r="AD255" s="7" t="str">
        <f>IFERROR(IF([1]对账明细接口!$Y255=0,"",[1]对账明细接口!$Y255),"")</f>
        <v/>
      </c>
      <c r="AE255" s="7" t="str">
        <f>IFERROR(IF([1]对账明细接口!$AA255=0,"",[1]对账明细接口!$AA255),"")</f>
        <v/>
      </c>
      <c r="AF255" s="7" t="str">
        <f>IFERROR(IF([1]对账明细接口!$AB255=0,"",[1]对账明细接口!$AB255),"")</f>
        <v/>
      </c>
      <c r="AG255" s="7" t="str">
        <f>IFERROR(IF([1]对账明细接口!$AC255=0,"",[1]对账明细接口!$AC255),"")</f>
        <v/>
      </c>
      <c r="AH255" s="7" t="str">
        <f>IFERROR(IF([1]对账明细接口!$AD255=0,"",[1]对账明细接口!$AD255),"")</f>
        <v/>
      </c>
      <c r="AI255" s="7" t="str">
        <f>IFERROR(IF([1]对账明细接口!$AE255=0,"",[1]对账明细接口!$AE255),"")</f>
        <v/>
      </c>
      <c r="AJ255" s="7" t="str">
        <f>IFERROR(IF([1]对账明细接口!$AF255=0,"",[1]对账明细接口!$AF255),"")</f>
        <v/>
      </c>
    </row>
    <row r="256" ht="14.25" customHeight="1" spans="1:36">
      <c r="A256" s="14">
        <v>256</v>
      </c>
      <c r="B256" s="15">
        <f>IFERROR(IF([1]对账明细接口!$B$256=0,"",[1]对账明细接口!$B$256),"")</f>
        <v>46280</v>
      </c>
      <c r="C256" s="16" t="str">
        <f>IFERROR(IF([1]对账明细接口!$C$256=0,"",[1]对账明细接口!$C$256),"")</f>
        <v>热合曼+艾则孜</v>
      </c>
      <c r="D256" s="16" t="str">
        <f>IFERROR(IF([1]对账明细接口!$D$256=0,"",[1]对账明细接口!$D$256),"")</f>
        <v>原料入库</v>
      </c>
      <c r="E256" s="16" t="str">
        <f>IFERROR(IF([1]对账明细接口!$E$256=0,"",[1]对账明细接口!$E$256),"")</f>
        <v>NO:0000873</v>
      </c>
      <c r="F256" s="16" t="str">
        <f>IFERROR(IF([1]对账明细接口!$F$256=0,"",[1]对账明细接口!$F$256),"")</f>
        <v>香梨</v>
      </c>
      <c r="G256" s="16" t="str">
        <f>IFERROR(IF([1]对账明细接口!$G$256=0,"",[1]对账明细接口!$G$256),"")</f>
        <v>香梨副特</v>
      </c>
      <c r="H256" s="17">
        <f>IFERROR(IF([1]对账明细接口!$H$256=0,"",[1]对账明细接口!$H$256),"")</f>
        <v>40</v>
      </c>
      <c r="I256" s="16" t="str">
        <f>IFERROR(IF([1]对账明细接口!$I$256=0,"",[1]对账明细接口!$I$256),"")</f>
        <v>筐</v>
      </c>
      <c r="J256" s="18">
        <f>IFERROR(IF([1]对账明细接口!$J$256=0,"",[1]对账明细接口!$J$256),"")</f>
        <v>732</v>
      </c>
      <c r="K256" s="18" t="str">
        <f>IFERROR(IF([1]对账明细接口!$K$256=0,"",[1]对账明细接口!$K$256),"")</f>
        <v/>
      </c>
      <c r="L256" s="16" t="str">
        <f>IFERROR(IF([1]对账明细接口!$L$256=0,"",[1]对账明细接口!$L$256),"")</f>
        <v/>
      </c>
      <c r="M256" s="16" t="str">
        <f>IFERROR(IF([1]对账明细接口!$M$256=0,"",[1]对账明细接口!$M$256),"")</f>
        <v>热合曼</v>
      </c>
      <c r="N256" s="19">
        <f t="shared" si="6"/>
        <v>1</v>
      </c>
      <c r="O256" s="19">
        <f t="shared" si="7"/>
        <v>253</v>
      </c>
      <c r="S256" s="20" t="str">
        <f>IFERROR(IF([1]对账明细接口!$N256=0,"",[1]对账明细接口!$N256),"")</f>
        <v>公司红周转筐</v>
      </c>
      <c r="T256" s="21" t="str">
        <f>IFERROR(IF([1]对账明细接口!$O256=0,"",[1]对账明细接口!$O256),"")</f>
        <v/>
      </c>
      <c r="U256" s="21" t="str">
        <f>IFERROR(IF([1]对账明细接口!$P256=0,"",[1]对账明细接口!$P256),"")</f>
        <v/>
      </c>
      <c r="V256" s="21">
        <f>IFERROR(IF([1]对账明细接口!$Q256=0,"",[1]对账明细接口!$Q256),"")</f>
        <v>40</v>
      </c>
      <c r="W256" s="20" t="str">
        <f>IFERROR(IF([1]对账明细接口!$R256=0,"",[1]对账明细接口!$R256),"")</f>
        <v>新A*G0554</v>
      </c>
      <c r="X256" s="20" t="str">
        <f>IFERROR(IF([1]对账明细接口!$S256=0,"",[1]对账明细接口!$S256),"")</f>
        <v>公司筐</v>
      </c>
      <c r="Y256" s="20" t="str">
        <f>IFERROR(IF([1]对账明细接口!$T256=0,"",[1]对账明细接口!$T256),"")</f>
        <v/>
      </c>
      <c r="Z256" s="24" t="str">
        <f>IFERROR(IF([1]对账明细接口!$U256=0,"",[1]对账明细接口!$U256),"")</f>
        <v/>
      </c>
      <c r="AA256" s="24" t="str">
        <f>IFERROR(IF([1]对账明细接口!$V256=0,"",[1]对账明细接口!$V256),"")</f>
        <v/>
      </c>
      <c r="AB256" s="20" t="str">
        <f>IFERROR(IF([1]对账明细接口!$W256=0,"",[1]对账明细接口!$W256),"")</f>
        <v/>
      </c>
      <c r="AC256" s="7" t="str">
        <f>IFERROR(IF([1]对账明细接口!$X256=0,"",[1]对账明细接口!$X256),"")</f>
        <v/>
      </c>
      <c r="AD256" s="7" t="str">
        <f>IFERROR(IF([1]对账明细接口!$Y256=0,"",[1]对账明细接口!$Y256),"")</f>
        <v/>
      </c>
      <c r="AE256" s="7" t="str">
        <f>IFERROR(IF([1]对账明细接口!$AA256=0,"",[1]对账明细接口!$AA256),"")</f>
        <v/>
      </c>
      <c r="AF256" s="7" t="str">
        <f>IFERROR(IF([1]对账明细接口!$AB256=0,"",[1]对账明细接口!$AB256),"")</f>
        <v/>
      </c>
      <c r="AG256" s="7" t="str">
        <f>IFERROR(IF([1]对账明细接口!$AC256=0,"",[1]对账明细接口!$AC256),"")</f>
        <v/>
      </c>
      <c r="AH256" s="7" t="str">
        <f>IFERROR(IF([1]对账明细接口!$AD256=0,"",[1]对账明细接口!$AD256),"")</f>
        <v/>
      </c>
      <c r="AI256" s="7" t="str">
        <f>IFERROR(IF([1]对账明细接口!$AE256=0,"",[1]对账明细接口!$AE256),"")</f>
        <v/>
      </c>
      <c r="AJ256" s="7" t="str">
        <f>IFERROR(IF([1]对账明细接口!$AF256=0,"",[1]对账明细接口!$AF256),"")</f>
        <v/>
      </c>
    </row>
    <row r="257" ht="14.25" customHeight="1" spans="1:36">
      <c r="A257" s="14">
        <v>257</v>
      </c>
      <c r="B257" s="15">
        <f>IFERROR(IF([1]对账明细接口!$B$257=0,"",[1]对账明细接口!$B$257),"")</f>
        <v>46280</v>
      </c>
      <c r="C257" s="16" t="str">
        <f>IFERROR(IF([1]对账明细接口!$C$257=0,"",[1]对账明细接口!$C$257),"")</f>
        <v>王灵云</v>
      </c>
      <c r="D257" s="16" t="str">
        <f>IFERROR(IF([1]对账明细接口!$D$257=0,"",[1]对账明细接口!$D$257),"")</f>
        <v>原料入库</v>
      </c>
      <c r="E257" s="16" t="str">
        <f>IFERROR(IF([1]对账明细接口!$E$257=0,"",[1]对账明细接口!$E$257),"")</f>
        <v>NO:0000874</v>
      </c>
      <c r="F257" s="16" t="str">
        <f>IFERROR(IF([1]对账明细接口!$F$257=0,"",[1]对账明细接口!$F$257),"")</f>
        <v>香梨</v>
      </c>
      <c r="G257" s="16" t="str">
        <f>IFERROR(IF([1]对账明细接口!$G$257=0,"",[1]对账明细接口!$G$257),"")</f>
        <v>香梨一级</v>
      </c>
      <c r="H257" s="17">
        <f>IFERROR(IF([1]对账明细接口!$H$257=0,"",[1]对账明细接口!$H$257),"")</f>
        <v>585</v>
      </c>
      <c r="I257" s="16" t="str">
        <f>IFERROR(IF([1]对账明细接口!$I$257=0,"",[1]对账明细接口!$I$257),"")</f>
        <v>筐</v>
      </c>
      <c r="J257" s="18">
        <f>IFERROR(IF([1]对账明细接口!$J$257=0,"",[1]对账明细接口!$J$257),"")</f>
        <v>10705.5</v>
      </c>
      <c r="K257" s="18" t="str">
        <f>IFERROR(IF([1]对账明细接口!$K$257=0,"",[1]对账明细接口!$K$257),"")</f>
        <v/>
      </c>
      <c r="L257" s="16" t="str">
        <f>IFERROR(IF([1]对账明细接口!$L$257=0,"",[1]对账明细接口!$L$257),"")</f>
        <v/>
      </c>
      <c r="M257" s="16" t="str">
        <f>IFERROR(IF([1]对账明细接口!$M$257=0,"",[1]对账明细接口!$M$257),"")</f>
        <v/>
      </c>
      <c r="N257" s="19">
        <f t="shared" si="6"/>
        <v>1</v>
      </c>
      <c r="O257" s="19">
        <f t="shared" si="7"/>
        <v>254</v>
      </c>
      <c r="S257" s="20" t="str">
        <f>IFERROR(IF([1]对账明细接口!$N257=0,"",[1]对账明细接口!$N257),"")</f>
        <v>公司红周转筐</v>
      </c>
      <c r="T257" s="21" t="str">
        <f>IFERROR(IF([1]对账明细接口!$O257=0,"",[1]对账明细接口!$O257),"")</f>
        <v/>
      </c>
      <c r="U257" s="21" t="str">
        <f>IFERROR(IF([1]对账明细接口!$P257=0,"",[1]对账明细接口!$P257),"")</f>
        <v/>
      </c>
      <c r="V257" s="21">
        <f>IFERROR(IF([1]对账明细接口!$Q257=0,"",[1]对账明细接口!$Q257),"")</f>
        <v>585</v>
      </c>
      <c r="W257" s="20" t="str">
        <f>IFERROR(IF([1]对账明细接口!$R257=0,"",[1]对账明细接口!$R257),"")</f>
        <v>新N*49209</v>
      </c>
      <c r="X257" s="20" t="str">
        <f>IFERROR(IF([1]对账明细接口!$S257=0,"",[1]对账明细接口!$S257),"")</f>
        <v>公司筐</v>
      </c>
      <c r="Y257" s="20" t="str">
        <f>IFERROR(IF([1]对账明细接口!$T257=0,"",[1]对账明细接口!$T257),"")</f>
        <v/>
      </c>
      <c r="Z257" s="24" t="str">
        <f>IFERROR(IF([1]对账明细接口!$U257=0,"",[1]对账明细接口!$U257),"")</f>
        <v/>
      </c>
      <c r="AA257" s="24" t="str">
        <f>IFERROR(IF([1]对账明细接口!$V257=0,"",[1]对账明细接口!$V257),"")</f>
        <v/>
      </c>
      <c r="AB257" s="20" t="str">
        <f>IFERROR(IF([1]对账明细接口!$W257=0,"",[1]对账明细接口!$W257),"")</f>
        <v/>
      </c>
      <c r="AC257" s="7" t="str">
        <f>IFERROR(IF([1]对账明细接口!$X257=0,"",[1]对账明细接口!$X257),"")</f>
        <v/>
      </c>
      <c r="AD257" s="7" t="str">
        <f>IFERROR(IF([1]对账明细接口!$Y257=0,"",[1]对账明细接口!$Y257),"")</f>
        <v/>
      </c>
      <c r="AE257" s="7" t="str">
        <f>IFERROR(IF([1]对账明细接口!$AA257=0,"",[1]对账明细接口!$AA257),"")</f>
        <v/>
      </c>
      <c r="AF257" s="7" t="str">
        <f>IFERROR(IF([1]对账明细接口!$AB257=0,"",[1]对账明细接口!$AB257),"")</f>
        <v/>
      </c>
      <c r="AG257" s="7" t="str">
        <f>IFERROR(IF([1]对账明细接口!$AC257=0,"",[1]对账明细接口!$AC257),"")</f>
        <v/>
      </c>
      <c r="AH257" s="7" t="str">
        <f>IFERROR(IF([1]对账明细接口!$AD257=0,"",[1]对账明细接口!$AD257),"")</f>
        <v/>
      </c>
      <c r="AI257" s="7" t="str">
        <f>IFERROR(IF([1]对账明细接口!$AE257=0,"",[1]对账明细接口!$AE257),"")</f>
        <v/>
      </c>
      <c r="AJ257" s="7" t="str">
        <f>IFERROR(IF([1]对账明细接口!$AF257=0,"",[1]对账明细接口!$AF257),"")</f>
        <v/>
      </c>
    </row>
    <row r="258" ht="14.25" customHeight="1" spans="1:36">
      <c r="A258" s="14">
        <v>258</v>
      </c>
      <c r="B258" s="15">
        <f>IFERROR(IF([1]对账明细接口!$B$258=0,"",[1]对账明细接口!$B$258),"")</f>
        <v>46280</v>
      </c>
      <c r="C258" s="16" t="str">
        <f>IFERROR(IF([1]对账明细接口!$C$258=0,"",[1]对账明细接口!$C$258),"")</f>
        <v>王灵云</v>
      </c>
      <c r="D258" s="16" t="str">
        <f>IFERROR(IF([1]对账明细接口!$D$258=0,"",[1]对账明细接口!$D$258),"")</f>
        <v>原料入库</v>
      </c>
      <c r="E258" s="16" t="str">
        <f>IFERROR(IF([1]对账明细接口!$E$258=0,"",[1]对账明细接口!$E$258),"")</f>
        <v>NO:0000874</v>
      </c>
      <c r="F258" s="16" t="str">
        <f>IFERROR(IF([1]对账明细接口!$F$258=0,"",[1]对账明细接口!$F$258),"")</f>
        <v>香梨</v>
      </c>
      <c r="G258" s="16" t="str">
        <f>IFERROR(IF([1]对账明细接口!$G$258=0,"",[1]对账明细接口!$G$258),"")</f>
        <v>香梨二级</v>
      </c>
      <c r="H258" s="17">
        <f>IFERROR(IF([1]对账明细接口!$H$258=0,"",[1]对账明细接口!$H$258),"")</f>
        <v>104</v>
      </c>
      <c r="I258" s="16" t="str">
        <f>IFERROR(IF([1]对账明细接口!$I$258=0,"",[1]对账明细接口!$I$258),"")</f>
        <v>筐</v>
      </c>
      <c r="J258" s="18">
        <f>IFERROR(IF([1]对账明细接口!$J$258=0,"",[1]对账明细接口!$J$258),"")</f>
        <v>2423.2</v>
      </c>
      <c r="K258" s="18" t="str">
        <f>IFERROR(IF([1]对账明细接口!$K$258=0,"",[1]对账明细接口!$K$258),"")</f>
        <v/>
      </c>
      <c r="L258" s="16" t="str">
        <f>IFERROR(IF([1]对账明细接口!$L$258=0,"",[1]对账明细接口!$L$258),"")</f>
        <v/>
      </c>
      <c r="M258" s="16" t="str">
        <f>IFERROR(IF([1]对账明细接口!$M$258=0,"",[1]对账明细接口!$M$258),"")</f>
        <v/>
      </c>
      <c r="N258" s="19">
        <f t="shared" si="6"/>
        <v>1</v>
      </c>
      <c r="O258" s="19">
        <f t="shared" si="7"/>
        <v>255</v>
      </c>
      <c r="S258" s="20" t="str">
        <f>IFERROR(IF([1]对账明细接口!$N258=0,"",[1]对账明细接口!$N258),"")</f>
        <v>公司红周转筐</v>
      </c>
      <c r="T258" s="21" t="str">
        <f>IFERROR(IF([1]对账明细接口!$O258=0,"",[1]对账明细接口!$O258),"")</f>
        <v/>
      </c>
      <c r="U258" s="21" t="str">
        <f>IFERROR(IF([1]对账明细接口!$P258=0,"",[1]对账明细接口!$P258),"")</f>
        <v/>
      </c>
      <c r="V258" s="21">
        <f>IFERROR(IF([1]对账明细接口!$Q258=0,"",[1]对账明细接口!$Q258),"")</f>
        <v>104</v>
      </c>
      <c r="W258" s="20" t="str">
        <f>IFERROR(IF([1]对账明细接口!$R258=0,"",[1]对账明细接口!$R258),"")</f>
        <v>新N*49209</v>
      </c>
      <c r="X258" s="20" t="str">
        <f>IFERROR(IF([1]对账明细接口!$S258=0,"",[1]对账明细接口!$S258),"")</f>
        <v>公司筐</v>
      </c>
      <c r="Y258" s="20" t="str">
        <f>IFERROR(IF([1]对账明细接口!$T258=0,"",[1]对账明细接口!$T258),"")</f>
        <v/>
      </c>
      <c r="Z258" s="24" t="str">
        <f>IFERROR(IF([1]对账明细接口!$U258=0,"",[1]对账明细接口!$U258),"")</f>
        <v/>
      </c>
      <c r="AA258" s="24" t="str">
        <f>IFERROR(IF([1]对账明细接口!$V258=0,"",[1]对账明细接口!$V258),"")</f>
        <v/>
      </c>
      <c r="AB258" s="20" t="str">
        <f>IFERROR(IF([1]对账明细接口!$W258=0,"",[1]对账明细接口!$W258),"")</f>
        <v/>
      </c>
      <c r="AC258" s="7" t="str">
        <f>IFERROR(IF([1]对账明细接口!$X258=0,"",[1]对账明细接口!$X258),"")</f>
        <v/>
      </c>
      <c r="AD258" s="7" t="str">
        <f>IFERROR(IF([1]对账明细接口!$Y258=0,"",[1]对账明细接口!$Y258),"")</f>
        <v/>
      </c>
      <c r="AE258" s="7" t="str">
        <f>IFERROR(IF([1]对账明细接口!$AA258=0,"",[1]对账明细接口!$AA258),"")</f>
        <v/>
      </c>
      <c r="AF258" s="7" t="str">
        <f>IFERROR(IF([1]对账明细接口!$AB258=0,"",[1]对账明细接口!$AB258),"")</f>
        <v/>
      </c>
      <c r="AG258" s="7" t="str">
        <f>IFERROR(IF([1]对账明细接口!$AC258=0,"",[1]对账明细接口!$AC258),"")</f>
        <v/>
      </c>
      <c r="AH258" s="7" t="str">
        <f>IFERROR(IF([1]对账明细接口!$AD258=0,"",[1]对账明细接口!$AD258),"")</f>
        <v/>
      </c>
      <c r="AI258" s="7" t="str">
        <f>IFERROR(IF([1]对账明细接口!$AE258=0,"",[1]对账明细接口!$AE258),"")</f>
        <v/>
      </c>
      <c r="AJ258" s="7" t="str">
        <f>IFERROR(IF([1]对账明细接口!$AF258=0,"",[1]对账明细接口!$AF258),"")</f>
        <v/>
      </c>
    </row>
    <row r="259" ht="14.25" customHeight="1" spans="1:36">
      <c r="A259" s="14">
        <v>259</v>
      </c>
      <c r="B259" s="15">
        <f>IFERROR(IF([1]对账明细接口!$B$259=0,"",[1]对账明细接口!$B$259),"")</f>
        <v>46280</v>
      </c>
      <c r="C259" s="16" t="str">
        <f>IFERROR(IF([1]对账明细接口!$C$259=0,"",[1]对账明细接口!$C$259),"")</f>
        <v>李现东</v>
      </c>
      <c r="D259" s="16" t="str">
        <f>IFERROR(IF([1]对账明细接口!$D$259=0,"",[1]对账明细接口!$D$259),"")</f>
        <v>原料入库</v>
      </c>
      <c r="E259" s="16" t="str">
        <f>IFERROR(IF([1]对账明细接口!$E$259=0,"",[1]对账明细接口!$E$259),"")</f>
        <v>NO:0000876</v>
      </c>
      <c r="F259" s="16" t="str">
        <f>IFERROR(IF([1]对账明细接口!$F$259=0,"",[1]对账明细接口!$F$259),"")</f>
        <v>香梨</v>
      </c>
      <c r="G259" s="16" t="str">
        <f>IFERROR(IF([1]对账明细接口!$G$259=0,"",[1]对账明细接口!$G$259),"")</f>
        <v>香梨一级</v>
      </c>
      <c r="H259" s="17">
        <f>IFERROR(IF([1]对账明细接口!$H$259=0,"",[1]对账明细接口!$H$259),"")</f>
        <v>310</v>
      </c>
      <c r="I259" s="16" t="str">
        <f>IFERROR(IF([1]对账明细接口!$I$259=0,"",[1]对账明细接口!$I$259),"")</f>
        <v>筐</v>
      </c>
      <c r="J259" s="18">
        <f>IFERROR(IF([1]对账明细接口!$J$259=0,"",[1]对账明细接口!$J$259),"")</f>
        <v>5673</v>
      </c>
      <c r="K259" s="18" t="str">
        <f>IFERROR(IF([1]对账明细接口!$K$259=0,"",[1]对账明细接口!$K$259),"")</f>
        <v/>
      </c>
      <c r="L259" s="16" t="str">
        <f>IFERROR(IF([1]对账明细接口!$L$259=0,"",[1]对账明细接口!$L$259),"")</f>
        <v/>
      </c>
      <c r="M259" s="16" t="str">
        <f>IFERROR(IF([1]对账明细接口!$M$259=0,"",[1]对账明细接口!$M$259),"")</f>
        <v>王照雪</v>
      </c>
      <c r="N259" s="19">
        <f t="shared" si="6"/>
        <v>1</v>
      </c>
      <c r="O259" s="19">
        <f t="shared" si="7"/>
        <v>256</v>
      </c>
      <c r="S259" s="20" t="str">
        <f>IFERROR(IF([1]对账明细接口!$N259=0,"",[1]对账明细接口!$N259),"")</f>
        <v>公司杂周转筐</v>
      </c>
      <c r="T259" s="21" t="str">
        <f>IFERROR(IF([1]对账明细接口!$O259=0,"",[1]对账明细接口!$O259),"")</f>
        <v/>
      </c>
      <c r="U259" s="21" t="str">
        <f>IFERROR(IF([1]对账明细接口!$P259=0,"",[1]对账明细接口!$P259),"")</f>
        <v/>
      </c>
      <c r="V259" s="21">
        <f>IFERROR(IF([1]对账明细接口!$Q259=0,"",[1]对账明细接口!$Q259),"")</f>
        <v>310</v>
      </c>
      <c r="W259" s="20" t="str">
        <f>IFERROR(IF([1]对账明细接口!$R259=0,"",[1]对账明细接口!$R259),"")</f>
        <v>新N*53045</v>
      </c>
      <c r="X259" s="20" t="str">
        <f>IFERROR(IF([1]对账明细接口!$S259=0,"",[1]对账明细接口!$S259),"")</f>
        <v>公司筐</v>
      </c>
      <c r="Y259" s="20" t="str">
        <f>IFERROR(IF([1]对账明细接口!$T259=0,"",[1]对账明细接口!$T259),"")</f>
        <v/>
      </c>
      <c r="Z259" s="24" t="str">
        <f>IFERROR(IF([1]对账明细接口!$U259=0,"",[1]对账明细接口!$U259),"")</f>
        <v/>
      </c>
      <c r="AA259" s="24" t="str">
        <f>IFERROR(IF([1]对账明细接口!$V259=0,"",[1]对账明细接口!$V259),"")</f>
        <v/>
      </c>
      <c r="AB259" s="20" t="str">
        <f>IFERROR(IF([1]对账明细接口!$W259=0,"",[1]对账明细接口!$W259),"")</f>
        <v/>
      </c>
      <c r="AC259" s="7" t="str">
        <f>IFERROR(IF([1]对账明细接口!$X259=0,"",[1]对账明细接口!$X259),"")</f>
        <v/>
      </c>
      <c r="AD259" s="7" t="str">
        <f>IFERROR(IF([1]对账明细接口!$Y259=0,"",[1]对账明细接口!$Y259),"")</f>
        <v/>
      </c>
      <c r="AE259" s="7" t="str">
        <f>IFERROR(IF([1]对账明细接口!$AA259=0,"",[1]对账明细接口!$AA259),"")</f>
        <v/>
      </c>
      <c r="AF259" s="7" t="str">
        <f>IFERROR(IF([1]对账明细接口!$AB259=0,"",[1]对账明细接口!$AB259),"")</f>
        <v/>
      </c>
      <c r="AG259" s="7" t="str">
        <f>IFERROR(IF([1]对账明细接口!$AC259=0,"",[1]对账明细接口!$AC259),"")</f>
        <v/>
      </c>
      <c r="AH259" s="7" t="str">
        <f>IFERROR(IF([1]对账明细接口!$AD259=0,"",[1]对账明细接口!$AD259),"")</f>
        <v/>
      </c>
      <c r="AI259" s="7" t="str">
        <f>IFERROR(IF([1]对账明细接口!$AE259=0,"",[1]对账明细接口!$AE259),"")</f>
        <v/>
      </c>
      <c r="AJ259" s="7" t="str">
        <f>IFERROR(IF([1]对账明细接口!$AF259=0,"",[1]对账明细接口!$AF259),"")</f>
        <v/>
      </c>
    </row>
    <row r="260" ht="14.25" customHeight="1" spans="1:36">
      <c r="A260" s="14">
        <v>260</v>
      </c>
      <c r="B260" s="15">
        <f>IFERROR(IF([1]对账明细接口!$B$260=0,"",[1]对账明细接口!$B$260),"")</f>
        <v>46280</v>
      </c>
      <c r="C260" s="16" t="str">
        <f>IFERROR(IF([1]对账明细接口!$C$260=0,"",[1]对账明细接口!$C$260),"")</f>
        <v>李现东</v>
      </c>
      <c r="D260" s="16" t="str">
        <f>IFERROR(IF([1]对账明细接口!$D$260=0,"",[1]对账明细接口!$D$260),"")</f>
        <v>原料入库</v>
      </c>
      <c r="E260" s="16" t="str">
        <f>IFERROR(IF([1]对账明细接口!$E$260=0,"",[1]对账明细接口!$E$260),"")</f>
        <v>NO:0000876</v>
      </c>
      <c r="F260" s="16" t="str">
        <f>IFERROR(IF([1]对账明细接口!$F$260=0,"",[1]对账明细接口!$F$260),"")</f>
        <v>香梨</v>
      </c>
      <c r="G260" s="16" t="str">
        <f>IFERROR(IF([1]对账明细接口!$G$260=0,"",[1]对账明细接口!$G$260),"")</f>
        <v>香梨二级</v>
      </c>
      <c r="H260" s="17">
        <f>IFERROR(IF([1]对账明细接口!$H$260=0,"",[1]对账明细接口!$H$260),"")</f>
        <v>103</v>
      </c>
      <c r="I260" s="16" t="str">
        <f>IFERROR(IF([1]对账明细接口!$I$260=0,"",[1]对账明细接口!$I$260),"")</f>
        <v>筐</v>
      </c>
      <c r="J260" s="18">
        <f>IFERROR(IF([1]对账明细接口!$J$260=0,"",[1]对账明细接口!$J$260),"")</f>
        <v>2296.9</v>
      </c>
      <c r="K260" s="18" t="str">
        <f>IFERROR(IF([1]对账明细接口!$K$260=0,"",[1]对账明细接口!$K$260),"")</f>
        <v/>
      </c>
      <c r="L260" s="16" t="str">
        <f>IFERROR(IF([1]对账明细接口!$L$260=0,"",[1]对账明细接口!$L$260),"")</f>
        <v/>
      </c>
      <c r="M260" s="16" t="str">
        <f>IFERROR(IF([1]对账明细接口!$M$260=0,"",[1]对账明细接口!$M$260),"")</f>
        <v>王照雪</v>
      </c>
      <c r="N260" s="19">
        <f t="shared" ref="N260:N323" si="8">IF($C260="",0,1)</f>
        <v>1</v>
      </c>
      <c r="O260" s="19">
        <f t="shared" ref="O260:O323" si="9">N(O259)+$N260</f>
        <v>257</v>
      </c>
      <c r="S260" s="20" t="str">
        <f>IFERROR(IF([1]对账明细接口!$N260=0,"",[1]对账明细接口!$N260),"")</f>
        <v>公司杂周转筐</v>
      </c>
      <c r="T260" s="21" t="str">
        <f>IFERROR(IF([1]对账明细接口!$O260=0,"",[1]对账明细接口!$O260),"")</f>
        <v/>
      </c>
      <c r="U260" s="21" t="str">
        <f>IFERROR(IF([1]对账明细接口!$P260=0,"",[1]对账明细接口!$P260),"")</f>
        <v/>
      </c>
      <c r="V260" s="21">
        <f>IFERROR(IF([1]对账明细接口!$Q260=0,"",[1]对账明细接口!$Q260),"")</f>
        <v>103</v>
      </c>
      <c r="W260" s="20" t="str">
        <f>IFERROR(IF([1]对账明细接口!$R260=0,"",[1]对账明细接口!$R260),"")</f>
        <v>新N*53045</v>
      </c>
      <c r="X260" s="20" t="str">
        <f>IFERROR(IF([1]对账明细接口!$S260=0,"",[1]对账明细接口!$S260),"")</f>
        <v>公司筐</v>
      </c>
      <c r="Y260" s="20" t="str">
        <f>IFERROR(IF([1]对账明细接口!$T260=0,"",[1]对账明细接口!$T260),"")</f>
        <v/>
      </c>
      <c r="Z260" s="24" t="str">
        <f>IFERROR(IF([1]对账明细接口!$U260=0,"",[1]对账明细接口!$U260),"")</f>
        <v/>
      </c>
      <c r="AA260" s="24" t="str">
        <f>IFERROR(IF([1]对账明细接口!$V260=0,"",[1]对账明细接口!$V260),"")</f>
        <v/>
      </c>
      <c r="AB260" s="20" t="str">
        <f>IFERROR(IF([1]对账明细接口!$W260=0,"",[1]对账明细接口!$W260),"")</f>
        <v/>
      </c>
      <c r="AC260" s="7" t="str">
        <f>IFERROR(IF([1]对账明细接口!$X260=0,"",[1]对账明细接口!$X260),"")</f>
        <v/>
      </c>
      <c r="AD260" s="7" t="str">
        <f>IFERROR(IF([1]对账明细接口!$Y260=0,"",[1]对账明细接口!$Y260),"")</f>
        <v/>
      </c>
      <c r="AE260" s="7" t="str">
        <f>IFERROR(IF([1]对账明细接口!$AA260=0,"",[1]对账明细接口!$AA260),"")</f>
        <v/>
      </c>
      <c r="AF260" s="7" t="str">
        <f>IFERROR(IF([1]对账明细接口!$AB260=0,"",[1]对账明细接口!$AB260),"")</f>
        <v/>
      </c>
      <c r="AG260" s="7" t="str">
        <f>IFERROR(IF([1]对账明细接口!$AC260=0,"",[1]对账明细接口!$AC260),"")</f>
        <v/>
      </c>
      <c r="AH260" s="7" t="str">
        <f>IFERROR(IF([1]对账明细接口!$AD260=0,"",[1]对账明细接口!$AD260),"")</f>
        <v/>
      </c>
      <c r="AI260" s="7" t="str">
        <f>IFERROR(IF([1]对账明细接口!$AE260=0,"",[1]对账明细接口!$AE260),"")</f>
        <v/>
      </c>
      <c r="AJ260" s="7" t="str">
        <f>IFERROR(IF([1]对账明细接口!$AF260=0,"",[1]对账明细接口!$AF260),"")</f>
        <v/>
      </c>
    </row>
    <row r="261" ht="14.25" customHeight="1" spans="1:36">
      <c r="A261" s="14">
        <v>261</v>
      </c>
      <c r="B261" s="15">
        <f>IFERROR(IF([1]对账明细接口!$B$261=0,"",[1]对账明细接口!$B$261),"")</f>
        <v>46280</v>
      </c>
      <c r="C261" s="16" t="str">
        <f>IFERROR(IF([1]对账明细接口!$C$261=0,"",[1]对账明细接口!$C$261),"")</f>
        <v>李现东</v>
      </c>
      <c r="D261" s="16" t="str">
        <f>IFERROR(IF([1]对账明细接口!$D$261=0,"",[1]对账明细接口!$D$261),"")</f>
        <v>原料入库</v>
      </c>
      <c r="E261" s="16" t="str">
        <f>IFERROR(IF([1]对账明细接口!$E$261=0,"",[1]对账明细接口!$E$261),"")</f>
        <v>NO:0000876</v>
      </c>
      <c r="F261" s="16" t="str">
        <f>IFERROR(IF([1]对账明细接口!$F$261=0,"",[1]对账明细接口!$F$261),"")</f>
        <v>香梨</v>
      </c>
      <c r="G261" s="16" t="str">
        <f>IFERROR(IF([1]对账明细接口!$G$261=0,"",[1]对账明细接口!$G$261),"")</f>
        <v>香梨副特</v>
      </c>
      <c r="H261" s="17">
        <f>IFERROR(IF([1]对账明细接口!$H$261=0,"",[1]对账明细接口!$H$261),"")</f>
        <v>56</v>
      </c>
      <c r="I261" s="16" t="str">
        <f>IFERROR(IF([1]对账明细接口!$I$261=0,"",[1]对账明细接口!$I$261),"")</f>
        <v>筐</v>
      </c>
      <c r="J261" s="18">
        <f>IFERROR(IF([1]对账明细接口!$J$261=0,"",[1]对账明细接口!$J$261),"")</f>
        <v>1024.8</v>
      </c>
      <c r="K261" s="18" t="str">
        <f>IFERROR(IF([1]对账明细接口!$K$261=0,"",[1]对账明细接口!$K$261),"")</f>
        <v/>
      </c>
      <c r="L261" s="16" t="str">
        <f>IFERROR(IF([1]对账明细接口!$L$261=0,"",[1]对账明细接口!$L$261),"")</f>
        <v/>
      </c>
      <c r="M261" s="16" t="str">
        <f>IFERROR(IF([1]对账明细接口!$M$261=0,"",[1]对账明细接口!$M$261),"")</f>
        <v>王照雪</v>
      </c>
      <c r="N261" s="19">
        <f t="shared" si="8"/>
        <v>1</v>
      </c>
      <c r="O261" s="19">
        <f t="shared" si="9"/>
        <v>258</v>
      </c>
      <c r="S261" s="20" t="str">
        <f>IFERROR(IF([1]对账明细接口!$N261=0,"",[1]对账明细接口!$N261),"")</f>
        <v>公司杂周转筐</v>
      </c>
      <c r="T261" s="21" t="str">
        <f>IFERROR(IF([1]对账明细接口!$O261=0,"",[1]对账明细接口!$O261),"")</f>
        <v/>
      </c>
      <c r="U261" s="21" t="str">
        <f>IFERROR(IF([1]对账明细接口!$P261=0,"",[1]对账明细接口!$P261),"")</f>
        <v/>
      </c>
      <c r="V261" s="21">
        <f>IFERROR(IF([1]对账明细接口!$Q261=0,"",[1]对账明细接口!$Q261),"")</f>
        <v>56</v>
      </c>
      <c r="W261" s="20" t="str">
        <f>IFERROR(IF([1]对账明细接口!$R261=0,"",[1]对账明细接口!$R261),"")</f>
        <v>新N*53045</v>
      </c>
      <c r="X261" s="20" t="str">
        <f>IFERROR(IF([1]对账明细接口!$S261=0,"",[1]对账明细接口!$S261),"")</f>
        <v>公司筐</v>
      </c>
      <c r="Y261" s="20" t="str">
        <f>IFERROR(IF([1]对账明细接口!$T261=0,"",[1]对账明细接口!$T261),"")</f>
        <v/>
      </c>
      <c r="Z261" s="24" t="str">
        <f>IFERROR(IF([1]对账明细接口!$U261=0,"",[1]对账明细接口!$U261),"")</f>
        <v/>
      </c>
      <c r="AA261" s="24" t="str">
        <f>IFERROR(IF([1]对账明细接口!$V261=0,"",[1]对账明细接口!$V261),"")</f>
        <v/>
      </c>
      <c r="AB261" s="20" t="str">
        <f>IFERROR(IF([1]对账明细接口!$W261=0,"",[1]对账明细接口!$W261),"")</f>
        <v/>
      </c>
      <c r="AC261" s="7" t="str">
        <f>IFERROR(IF([1]对账明细接口!$X261=0,"",[1]对账明细接口!$X261),"")</f>
        <v/>
      </c>
      <c r="AD261" s="7" t="str">
        <f>IFERROR(IF([1]对账明细接口!$Y261=0,"",[1]对账明细接口!$Y261),"")</f>
        <v/>
      </c>
      <c r="AE261" s="7" t="str">
        <f>IFERROR(IF([1]对账明细接口!$AA261=0,"",[1]对账明细接口!$AA261),"")</f>
        <v/>
      </c>
      <c r="AF261" s="7" t="str">
        <f>IFERROR(IF([1]对账明细接口!$AB261=0,"",[1]对账明细接口!$AB261),"")</f>
        <v/>
      </c>
      <c r="AG261" s="7" t="str">
        <f>IFERROR(IF([1]对账明细接口!$AC261=0,"",[1]对账明细接口!$AC261),"")</f>
        <v/>
      </c>
      <c r="AH261" s="7" t="str">
        <f>IFERROR(IF([1]对账明细接口!$AD261=0,"",[1]对账明细接口!$AD261),"")</f>
        <v/>
      </c>
      <c r="AI261" s="7" t="str">
        <f>IFERROR(IF([1]对账明细接口!$AE261=0,"",[1]对账明细接口!$AE261),"")</f>
        <v/>
      </c>
      <c r="AJ261" s="7" t="str">
        <f>IFERROR(IF([1]对账明细接口!$AF261=0,"",[1]对账明细接口!$AF261),"")</f>
        <v/>
      </c>
    </row>
    <row r="262" ht="14.25" customHeight="1" spans="1:36">
      <c r="A262" s="14">
        <v>262</v>
      </c>
      <c r="B262" s="15">
        <f>IFERROR(IF([1]对账明细接口!$B$262=0,"",[1]对账明细接口!$B$262),"")</f>
        <v>46281</v>
      </c>
      <c r="C262" s="16" t="str">
        <f>IFERROR(IF([1]对账明细接口!$C$262=0,"",[1]对账明细接口!$C$262),"")</f>
        <v>吐尔洪</v>
      </c>
      <c r="D262" s="16" t="str">
        <f>IFERROR(IF([1]对账明细接口!$D$262=0,"",[1]对账明细接口!$D$262),"")</f>
        <v>原料入库</v>
      </c>
      <c r="E262" s="16" t="str">
        <f>IFERROR(IF([1]对账明细接口!$E$262=0,"",[1]对账明细接口!$E$262),"")</f>
        <v>NO:0000878</v>
      </c>
      <c r="F262" s="16" t="str">
        <f>IFERROR(IF([1]对账明细接口!$F$262=0,"",[1]对账明细接口!$F$262),"")</f>
        <v>香梨</v>
      </c>
      <c r="G262" s="16" t="str">
        <f>IFERROR(IF([1]对账明细接口!$G$262=0,"",[1]对账明细接口!$G$262),"")</f>
        <v>香梨特级</v>
      </c>
      <c r="H262" s="17">
        <f>IFERROR(IF([1]对账明细接口!$H$262=0,"",[1]对账明细接口!$H$262),"")</f>
        <v>116</v>
      </c>
      <c r="I262" s="16" t="str">
        <f>IFERROR(IF([1]对账明细接口!$I$262=0,"",[1]对账明细接口!$I$262),"")</f>
        <v>筐</v>
      </c>
      <c r="J262" s="18">
        <f>IFERROR(IF([1]对账明细接口!$J$262=0,"",[1]对账明细接口!$J$262),"")</f>
        <v>2122.8</v>
      </c>
      <c r="K262" s="18" t="str">
        <f>IFERROR(IF([1]对账明细接口!$K$262=0,"",[1]对账明细接口!$K$262),"")</f>
        <v/>
      </c>
      <c r="L262" s="16" t="str">
        <f>IFERROR(IF([1]对账明细接口!$L$262=0,"",[1]对账明细接口!$L$262),"")</f>
        <v/>
      </c>
      <c r="M262" s="16" t="str">
        <f>IFERROR(IF([1]对账明细接口!$M$262=0,"",[1]对账明细接口!$M$262),"")</f>
        <v>麦麦提</v>
      </c>
      <c r="N262" s="19">
        <f t="shared" si="8"/>
        <v>1</v>
      </c>
      <c r="O262" s="19">
        <f t="shared" si="9"/>
        <v>259</v>
      </c>
      <c r="S262" s="20" t="str">
        <f>IFERROR(IF([1]对账明细接口!$N262=0,"",[1]对账明细接口!$N262),"")</f>
        <v>公司红周转筐</v>
      </c>
      <c r="T262" s="21" t="str">
        <f>IFERROR(IF([1]对账明细接口!$O262=0,"",[1]对账明细接口!$O262),"")</f>
        <v/>
      </c>
      <c r="U262" s="21" t="str">
        <f>IFERROR(IF([1]对账明细接口!$P262=0,"",[1]对账明细接口!$P262),"")</f>
        <v/>
      </c>
      <c r="V262" s="21">
        <f>IFERROR(IF([1]对账明细接口!$Q262=0,"",[1]对账明细接口!$Q262),"")</f>
        <v>116</v>
      </c>
      <c r="W262" s="20" t="str">
        <f>IFERROR(IF([1]对账明细接口!$R262=0,"",[1]对账明细接口!$R262),"")</f>
        <v>新N*X8S48</v>
      </c>
      <c r="X262" s="20" t="str">
        <f>IFERROR(IF([1]对账明细接口!$S262=0,"",[1]对账明细接口!$S262),"")</f>
        <v>公司筐</v>
      </c>
      <c r="Y262" s="20" t="str">
        <f>IFERROR(IF([1]对账明细接口!$T262=0,"",[1]对账明细接口!$T262),"")</f>
        <v/>
      </c>
      <c r="Z262" s="24" t="str">
        <f>IFERROR(IF([1]对账明细接口!$U262=0,"",[1]对账明细接口!$U262),"")</f>
        <v/>
      </c>
      <c r="AA262" s="24" t="str">
        <f>IFERROR(IF([1]对账明细接口!$V262=0,"",[1]对账明细接口!$V262),"")</f>
        <v/>
      </c>
      <c r="AB262" s="20" t="str">
        <f>IFERROR(IF([1]对账明细接口!$W262=0,"",[1]对账明细接口!$W262),"")</f>
        <v/>
      </c>
      <c r="AC262" s="7" t="str">
        <f>IFERROR(IF([1]对账明细接口!$X262=0,"",[1]对账明细接口!$X262),"")</f>
        <v/>
      </c>
      <c r="AD262" s="7" t="str">
        <f>IFERROR(IF([1]对账明细接口!$Y262=0,"",[1]对账明细接口!$Y262),"")</f>
        <v/>
      </c>
      <c r="AE262" s="7" t="str">
        <f>IFERROR(IF([1]对账明细接口!$AA262=0,"",[1]对账明细接口!$AA262),"")</f>
        <v/>
      </c>
      <c r="AF262" s="7" t="str">
        <f>IFERROR(IF([1]对账明细接口!$AB262=0,"",[1]对账明细接口!$AB262),"")</f>
        <v/>
      </c>
      <c r="AG262" s="7" t="str">
        <f>IFERROR(IF([1]对账明细接口!$AC262=0,"",[1]对账明细接口!$AC262),"")</f>
        <v/>
      </c>
      <c r="AH262" s="7" t="str">
        <f>IFERROR(IF([1]对账明细接口!$AD262=0,"",[1]对账明细接口!$AD262),"")</f>
        <v/>
      </c>
      <c r="AI262" s="7" t="str">
        <f>IFERROR(IF([1]对账明细接口!$AE262=0,"",[1]对账明细接口!$AE262),"")</f>
        <v/>
      </c>
      <c r="AJ262" s="7" t="str">
        <f>IFERROR(IF([1]对账明细接口!$AF262=0,"",[1]对账明细接口!$AF262),"")</f>
        <v/>
      </c>
    </row>
    <row r="263" ht="14.25" customHeight="1" spans="1:36">
      <c r="A263" s="14">
        <v>263</v>
      </c>
      <c r="B263" s="15">
        <f>IFERROR(IF([1]对账明细接口!$B$263=0,"",[1]对账明细接口!$B$263),"")</f>
        <v>46281</v>
      </c>
      <c r="C263" s="16" t="str">
        <f>IFERROR(IF([1]对账明细接口!$C$263=0,"",[1]对账明细接口!$C$263),"")</f>
        <v>吐尔洪</v>
      </c>
      <c r="D263" s="16" t="str">
        <f>IFERROR(IF([1]对账明细接口!$D$263=0,"",[1]对账明细接口!$D$263),"")</f>
        <v>原料入库</v>
      </c>
      <c r="E263" s="16" t="str">
        <f>IFERROR(IF([1]对账明细接口!$E$263=0,"",[1]对账明细接口!$E$263),"")</f>
        <v>NO:0000878</v>
      </c>
      <c r="F263" s="16" t="str">
        <f>IFERROR(IF([1]对账明细接口!$F$263=0,"",[1]对账明细接口!$F$263),"")</f>
        <v>香梨</v>
      </c>
      <c r="G263" s="16" t="str">
        <f>IFERROR(IF([1]对账明细接口!$G$263=0,"",[1]对账明细接口!$G$263),"")</f>
        <v>香梨一级</v>
      </c>
      <c r="H263" s="17">
        <f>IFERROR(IF([1]对账明细接口!$H$263=0,"",[1]对账明细接口!$H$263),"")</f>
        <v>28</v>
      </c>
      <c r="I263" s="16" t="str">
        <f>IFERROR(IF([1]对账明细接口!$I$263=0,"",[1]对账明细接口!$I$263),"")</f>
        <v>筐</v>
      </c>
      <c r="J263" s="18">
        <f>IFERROR(IF([1]对账明细接口!$J$263=0,"",[1]对账明细接口!$J$263),"")</f>
        <v>512.4</v>
      </c>
      <c r="K263" s="18" t="str">
        <f>IFERROR(IF([1]对账明细接口!$K$263=0,"",[1]对账明细接口!$K$263),"")</f>
        <v/>
      </c>
      <c r="L263" s="16" t="str">
        <f>IFERROR(IF([1]对账明细接口!$L$263=0,"",[1]对账明细接口!$L$263),"")</f>
        <v/>
      </c>
      <c r="M263" s="16" t="str">
        <f>IFERROR(IF([1]对账明细接口!$M$263=0,"",[1]对账明细接口!$M$263),"")</f>
        <v>麦麦提</v>
      </c>
      <c r="N263" s="19">
        <f t="shared" si="8"/>
        <v>1</v>
      </c>
      <c r="O263" s="19">
        <f t="shared" si="9"/>
        <v>260</v>
      </c>
      <c r="S263" s="20" t="str">
        <f>IFERROR(IF([1]对账明细接口!$N263=0,"",[1]对账明细接口!$N263),"")</f>
        <v>公司红周转筐</v>
      </c>
      <c r="T263" s="21" t="str">
        <f>IFERROR(IF([1]对账明细接口!$O263=0,"",[1]对账明细接口!$O263),"")</f>
        <v/>
      </c>
      <c r="U263" s="21" t="str">
        <f>IFERROR(IF([1]对账明细接口!$P263=0,"",[1]对账明细接口!$P263),"")</f>
        <v/>
      </c>
      <c r="V263" s="21">
        <f>IFERROR(IF([1]对账明细接口!$Q263=0,"",[1]对账明细接口!$Q263),"")</f>
        <v>28</v>
      </c>
      <c r="W263" s="20" t="str">
        <f>IFERROR(IF([1]对账明细接口!$R263=0,"",[1]对账明细接口!$R263),"")</f>
        <v>新N*X8S48</v>
      </c>
      <c r="X263" s="20" t="str">
        <f>IFERROR(IF([1]对账明细接口!$S263=0,"",[1]对账明细接口!$S263),"")</f>
        <v>公司筐</v>
      </c>
      <c r="Y263" s="20" t="str">
        <f>IFERROR(IF([1]对账明细接口!$T263=0,"",[1]对账明细接口!$T263),"")</f>
        <v/>
      </c>
      <c r="Z263" s="24" t="str">
        <f>IFERROR(IF([1]对账明细接口!$U263=0,"",[1]对账明细接口!$U263),"")</f>
        <v/>
      </c>
      <c r="AA263" s="24" t="str">
        <f>IFERROR(IF([1]对账明细接口!$V263=0,"",[1]对账明细接口!$V263),"")</f>
        <v/>
      </c>
      <c r="AB263" s="20" t="str">
        <f>IFERROR(IF([1]对账明细接口!$W263=0,"",[1]对账明细接口!$W263),"")</f>
        <v/>
      </c>
      <c r="AC263" s="7" t="str">
        <f>IFERROR(IF([1]对账明细接口!$X263=0,"",[1]对账明细接口!$X263),"")</f>
        <v/>
      </c>
      <c r="AD263" s="7" t="str">
        <f>IFERROR(IF([1]对账明细接口!$Y263=0,"",[1]对账明细接口!$Y263),"")</f>
        <v/>
      </c>
      <c r="AE263" s="7" t="str">
        <f>IFERROR(IF([1]对账明细接口!$AA263=0,"",[1]对账明细接口!$AA263),"")</f>
        <v/>
      </c>
      <c r="AF263" s="7" t="str">
        <f>IFERROR(IF([1]对账明细接口!$AB263=0,"",[1]对账明细接口!$AB263),"")</f>
        <v/>
      </c>
      <c r="AG263" s="7" t="str">
        <f>IFERROR(IF([1]对账明细接口!$AC263=0,"",[1]对账明细接口!$AC263),"")</f>
        <v/>
      </c>
      <c r="AH263" s="7" t="str">
        <f>IFERROR(IF([1]对账明细接口!$AD263=0,"",[1]对账明细接口!$AD263),"")</f>
        <v/>
      </c>
      <c r="AI263" s="7" t="str">
        <f>IFERROR(IF([1]对账明细接口!$AE263=0,"",[1]对账明细接口!$AE263),"")</f>
        <v/>
      </c>
      <c r="AJ263" s="7" t="str">
        <f>IFERROR(IF([1]对账明细接口!$AF263=0,"",[1]对账明细接口!$AF263),"")</f>
        <v/>
      </c>
    </row>
    <row r="264" ht="14.25" customHeight="1" spans="1:36">
      <c r="A264" s="14">
        <v>264</v>
      </c>
      <c r="B264" s="15">
        <f>IFERROR(IF([1]对账明细接口!$B$264=0,"",[1]对账明细接口!$B$264),"")</f>
        <v>46281</v>
      </c>
      <c r="C264" s="16" t="str">
        <f>IFERROR(IF([1]对账明细接口!$C$264=0,"",[1]对账明细接口!$C$264),"")</f>
        <v>吐尔洪</v>
      </c>
      <c r="D264" s="16" t="str">
        <f>IFERROR(IF([1]对账明细接口!$D$264=0,"",[1]对账明细接口!$D$264),"")</f>
        <v>原料入库</v>
      </c>
      <c r="E264" s="16" t="str">
        <f>IFERROR(IF([1]对账明细接口!$E$264=0,"",[1]对账明细接口!$E$264),"")</f>
        <v>NO:0000878</v>
      </c>
      <c r="F264" s="16" t="str">
        <f>IFERROR(IF([1]对账明细接口!$F$264=0,"",[1]对账明细接口!$F$264),"")</f>
        <v>香梨</v>
      </c>
      <c r="G264" s="16" t="str">
        <f>IFERROR(IF([1]对账明细接口!$G$264=0,"",[1]对账明细接口!$G$264),"")</f>
        <v>香梨二级</v>
      </c>
      <c r="H264" s="17">
        <f>IFERROR(IF([1]对账明细接口!$H$264=0,"",[1]对账明细接口!$H$264),"")</f>
        <v>71</v>
      </c>
      <c r="I264" s="16" t="str">
        <f>IFERROR(IF([1]对账明细接口!$I$264=0,"",[1]对账明细接口!$I$264),"")</f>
        <v>筐</v>
      </c>
      <c r="J264" s="18">
        <f>IFERROR(IF([1]对账明细接口!$J$264=0,"",[1]对账明细接口!$J$264),"")</f>
        <v>1583.3</v>
      </c>
      <c r="K264" s="18" t="str">
        <f>IFERROR(IF([1]对账明细接口!$K$264=0,"",[1]对账明细接口!$K$264),"")</f>
        <v/>
      </c>
      <c r="L264" s="16" t="str">
        <f>IFERROR(IF([1]对账明细接口!$L$264=0,"",[1]对账明细接口!$L$264),"")</f>
        <v/>
      </c>
      <c r="M264" s="16" t="str">
        <f>IFERROR(IF([1]对账明细接口!$M$264=0,"",[1]对账明细接口!$M$264),"")</f>
        <v>麦麦提</v>
      </c>
      <c r="N264" s="19">
        <f t="shared" si="8"/>
        <v>1</v>
      </c>
      <c r="O264" s="19">
        <f t="shared" si="9"/>
        <v>261</v>
      </c>
      <c r="S264" s="20" t="str">
        <f>IFERROR(IF([1]对账明细接口!$N264=0,"",[1]对账明细接口!$N264),"")</f>
        <v>公司红周转筐</v>
      </c>
      <c r="T264" s="21" t="str">
        <f>IFERROR(IF([1]对账明细接口!$O264=0,"",[1]对账明细接口!$O264),"")</f>
        <v/>
      </c>
      <c r="U264" s="21" t="str">
        <f>IFERROR(IF([1]对账明细接口!$P264=0,"",[1]对账明细接口!$P264),"")</f>
        <v/>
      </c>
      <c r="V264" s="21">
        <f>IFERROR(IF([1]对账明细接口!$Q264=0,"",[1]对账明细接口!$Q264),"")</f>
        <v>71</v>
      </c>
      <c r="W264" s="20" t="str">
        <f>IFERROR(IF([1]对账明细接口!$R264=0,"",[1]对账明细接口!$R264),"")</f>
        <v>新N*X8S48</v>
      </c>
      <c r="X264" s="20" t="str">
        <f>IFERROR(IF([1]对账明细接口!$S264=0,"",[1]对账明细接口!$S264),"")</f>
        <v>公司筐</v>
      </c>
      <c r="Y264" s="20" t="str">
        <f>IFERROR(IF([1]对账明细接口!$T264=0,"",[1]对账明细接口!$T264),"")</f>
        <v/>
      </c>
      <c r="Z264" s="24" t="str">
        <f>IFERROR(IF([1]对账明细接口!$U264=0,"",[1]对账明细接口!$U264),"")</f>
        <v/>
      </c>
      <c r="AA264" s="24" t="str">
        <f>IFERROR(IF([1]对账明细接口!$V264=0,"",[1]对账明细接口!$V264),"")</f>
        <v/>
      </c>
      <c r="AB264" s="20" t="str">
        <f>IFERROR(IF([1]对账明细接口!$W264=0,"",[1]对账明细接口!$W264),"")</f>
        <v/>
      </c>
      <c r="AC264" s="7" t="str">
        <f>IFERROR(IF([1]对账明细接口!$X264=0,"",[1]对账明细接口!$X264),"")</f>
        <v/>
      </c>
      <c r="AD264" s="7" t="str">
        <f>IFERROR(IF([1]对账明细接口!$Y264=0,"",[1]对账明细接口!$Y264),"")</f>
        <v/>
      </c>
      <c r="AE264" s="7" t="str">
        <f>IFERROR(IF([1]对账明细接口!$AA264=0,"",[1]对账明细接口!$AA264),"")</f>
        <v/>
      </c>
      <c r="AF264" s="7" t="str">
        <f>IFERROR(IF([1]对账明细接口!$AB264=0,"",[1]对账明细接口!$AB264),"")</f>
        <v/>
      </c>
      <c r="AG264" s="7" t="str">
        <f>IFERROR(IF([1]对账明细接口!$AC264=0,"",[1]对账明细接口!$AC264),"")</f>
        <v/>
      </c>
      <c r="AH264" s="7" t="str">
        <f>IFERROR(IF([1]对账明细接口!$AD264=0,"",[1]对账明细接口!$AD264),"")</f>
        <v/>
      </c>
      <c r="AI264" s="7" t="str">
        <f>IFERROR(IF([1]对账明细接口!$AE264=0,"",[1]对账明细接口!$AE264),"")</f>
        <v/>
      </c>
      <c r="AJ264" s="7" t="str">
        <f>IFERROR(IF([1]对账明细接口!$AF264=0,"",[1]对账明细接口!$AF264),"")</f>
        <v/>
      </c>
    </row>
    <row r="265" ht="14.25" customHeight="1" spans="1:36">
      <c r="A265" s="14">
        <v>265</v>
      </c>
      <c r="B265" s="15">
        <f>IFERROR(IF([1]对账明细接口!$B$265=0,"",[1]对账明细接口!$B$265),"")</f>
        <v>46281</v>
      </c>
      <c r="C265" s="16" t="str">
        <f>IFERROR(IF([1]对账明细接口!$C$265=0,"",[1]对账明细接口!$C$265),"")</f>
        <v>王灵云</v>
      </c>
      <c r="D265" s="16" t="str">
        <f>IFERROR(IF([1]对账明细接口!$D$265=0,"",[1]对账明细接口!$D$265),"")</f>
        <v>原料入库</v>
      </c>
      <c r="E265" s="16" t="str">
        <f>IFERROR(IF([1]对账明细接口!$E$265=0,"",[1]对账明细接口!$E$265),"")</f>
        <v>NO:0000881</v>
      </c>
      <c r="F265" s="16" t="str">
        <f>IFERROR(IF([1]对账明细接口!$F$265=0,"",[1]对账明细接口!$F$265),"")</f>
        <v>香梨</v>
      </c>
      <c r="G265" s="16" t="str">
        <f>IFERROR(IF([1]对账明细接口!$G$265=0,"",[1]对账明细接口!$G$265),"")</f>
        <v>香梨一级</v>
      </c>
      <c r="H265" s="17">
        <f>IFERROR(IF([1]对账明细接口!$H$265=0,"",[1]对账明细接口!$H$265),"")</f>
        <v>365</v>
      </c>
      <c r="I265" s="16" t="str">
        <f>IFERROR(IF([1]对账明细接口!$I$265=0,"",[1]对账明细接口!$I$265),"")</f>
        <v>筐</v>
      </c>
      <c r="J265" s="18">
        <f>IFERROR(IF([1]对账明细接口!$J$265=0,"",[1]对账明细接口!$J$265),"")</f>
        <v>6679.5</v>
      </c>
      <c r="K265" s="18" t="str">
        <f>IFERROR(IF([1]对账明细接口!$K$265=0,"",[1]对账明细接口!$K$265),"")</f>
        <v/>
      </c>
      <c r="L265" s="16" t="str">
        <f>IFERROR(IF([1]对账明细接口!$L$265=0,"",[1]对账明细接口!$L$265),"")</f>
        <v/>
      </c>
      <c r="M265" s="16" t="str">
        <f>IFERROR(IF([1]对账明细接口!$M$265=0,"",[1]对账明细接口!$M$265),"")</f>
        <v/>
      </c>
      <c r="N265" s="19">
        <f t="shared" si="8"/>
        <v>1</v>
      </c>
      <c r="O265" s="19">
        <f t="shared" si="9"/>
        <v>262</v>
      </c>
      <c r="S265" s="20" t="str">
        <f>IFERROR(IF([1]对账明细接口!$N265=0,"",[1]对账明细接口!$N265),"")</f>
        <v>公司红周转筐</v>
      </c>
      <c r="T265" s="21" t="str">
        <f>IFERROR(IF([1]对账明细接口!$O265=0,"",[1]对账明细接口!$O265),"")</f>
        <v/>
      </c>
      <c r="U265" s="21" t="str">
        <f>IFERROR(IF([1]对账明细接口!$P265=0,"",[1]对账明细接口!$P265),"")</f>
        <v/>
      </c>
      <c r="V265" s="21">
        <f>IFERROR(IF([1]对账明细接口!$Q265=0,"",[1]对账明细接口!$Q265),"")</f>
        <v>365</v>
      </c>
      <c r="W265" s="20" t="str">
        <f>IFERROR(IF([1]对账明细接口!$R265=0,"",[1]对账明细接口!$R265),"")</f>
        <v>新N*49209</v>
      </c>
      <c r="X265" s="20" t="str">
        <f>IFERROR(IF([1]对账明细接口!$S265=0,"",[1]对账明细接口!$S265),"")</f>
        <v>公司筐</v>
      </c>
      <c r="Y265" s="20" t="str">
        <f>IFERROR(IF([1]对账明细接口!$T265=0,"",[1]对账明细接口!$T265),"")</f>
        <v/>
      </c>
      <c r="Z265" s="24" t="str">
        <f>IFERROR(IF([1]对账明细接口!$U265=0,"",[1]对账明细接口!$U265),"")</f>
        <v/>
      </c>
      <c r="AA265" s="24" t="str">
        <f>IFERROR(IF([1]对账明细接口!$V265=0,"",[1]对账明细接口!$V265),"")</f>
        <v/>
      </c>
      <c r="AB265" s="20" t="str">
        <f>IFERROR(IF([1]对账明细接口!$W265=0,"",[1]对账明细接口!$W265),"")</f>
        <v/>
      </c>
      <c r="AC265" s="7" t="str">
        <f>IFERROR(IF([1]对账明细接口!$X265=0,"",[1]对账明细接口!$X265),"")</f>
        <v/>
      </c>
      <c r="AD265" s="7" t="str">
        <f>IFERROR(IF([1]对账明细接口!$Y265=0,"",[1]对账明细接口!$Y265),"")</f>
        <v/>
      </c>
      <c r="AE265" s="7" t="str">
        <f>IFERROR(IF([1]对账明细接口!$AA265=0,"",[1]对账明细接口!$AA265),"")</f>
        <v/>
      </c>
      <c r="AF265" s="7" t="str">
        <f>IFERROR(IF([1]对账明细接口!$AB265=0,"",[1]对账明细接口!$AB265),"")</f>
        <v/>
      </c>
      <c r="AG265" s="7" t="str">
        <f>IFERROR(IF([1]对账明细接口!$AC265=0,"",[1]对账明细接口!$AC265),"")</f>
        <v/>
      </c>
      <c r="AH265" s="7" t="str">
        <f>IFERROR(IF([1]对账明细接口!$AD265=0,"",[1]对账明细接口!$AD265),"")</f>
        <v/>
      </c>
      <c r="AI265" s="7" t="str">
        <f>IFERROR(IF([1]对账明细接口!$AE265=0,"",[1]对账明细接口!$AE265),"")</f>
        <v/>
      </c>
      <c r="AJ265" s="7" t="str">
        <f>IFERROR(IF([1]对账明细接口!$AF265=0,"",[1]对账明细接口!$AF265),"")</f>
        <v/>
      </c>
    </row>
    <row r="266" ht="14.25" customHeight="1" spans="1:36">
      <c r="A266" s="14">
        <v>266</v>
      </c>
      <c r="B266" s="15">
        <f>IFERROR(IF([1]对账明细接口!$B$266=0,"",[1]对账明细接口!$B$266),"")</f>
        <v>46281</v>
      </c>
      <c r="C266" s="16" t="str">
        <f>IFERROR(IF([1]对账明细接口!$C$266=0,"",[1]对账明细接口!$C$266),"")</f>
        <v>王灵云</v>
      </c>
      <c r="D266" s="16" t="str">
        <f>IFERROR(IF([1]对账明细接口!$D$266=0,"",[1]对账明细接口!$D$266),"")</f>
        <v>原料入库</v>
      </c>
      <c r="E266" s="16" t="str">
        <f>IFERROR(IF([1]对账明细接口!$E$266=0,"",[1]对账明细接口!$E$266),"")</f>
        <v>NO:0000881</v>
      </c>
      <c r="F266" s="16" t="str">
        <f>IFERROR(IF([1]对账明细接口!$F$266=0,"",[1]对账明细接口!$F$266),"")</f>
        <v>香梨</v>
      </c>
      <c r="G266" s="16" t="str">
        <f>IFERROR(IF([1]对账明细接口!$G$266=0,"",[1]对账明细接口!$G$266),"")</f>
        <v>香梨二级</v>
      </c>
      <c r="H266" s="17">
        <f>IFERROR(IF([1]对账明细接口!$H$266=0,"",[1]对账明细接口!$H$266),"")</f>
        <v>35</v>
      </c>
      <c r="I266" s="16" t="str">
        <f>IFERROR(IF([1]对账明细接口!$I$266=0,"",[1]对账明细接口!$I$266),"")</f>
        <v>筐</v>
      </c>
      <c r="J266" s="18">
        <f>IFERROR(IF([1]对账明细接口!$J$266=0,"",[1]对账明细接口!$J$266),"")</f>
        <v>815.5</v>
      </c>
      <c r="K266" s="18" t="str">
        <f>IFERROR(IF([1]对账明细接口!$K$266=0,"",[1]对账明细接口!$K$266),"")</f>
        <v/>
      </c>
      <c r="L266" s="16" t="str">
        <f>IFERROR(IF([1]对账明细接口!$L$266=0,"",[1]对账明细接口!$L$266),"")</f>
        <v/>
      </c>
      <c r="M266" s="16" t="str">
        <f>IFERROR(IF([1]对账明细接口!$M$266=0,"",[1]对账明细接口!$M$266),"")</f>
        <v/>
      </c>
      <c r="N266" s="19">
        <f t="shared" si="8"/>
        <v>1</v>
      </c>
      <c r="O266" s="19">
        <f t="shared" si="9"/>
        <v>263</v>
      </c>
      <c r="S266" s="20" t="str">
        <f>IFERROR(IF([1]对账明细接口!$N266=0,"",[1]对账明细接口!$N266),"")</f>
        <v>公司红周转筐</v>
      </c>
      <c r="T266" s="21" t="str">
        <f>IFERROR(IF([1]对账明细接口!$O266=0,"",[1]对账明细接口!$O266),"")</f>
        <v/>
      </c>
      <c r="U266" s="21" t="str">
        <f>IFERROR(IF([1]对账明细接口!$P266=0,"",[1]对账明细接口!$P266),"")</f>
        <v/>
      </c>
      <c r="V266" s="21">
        <f>IFERROR(IF([1]对账明细接口!$Q266=0,"",[1]对账明细接口!$Q266),"")</f>
        <v>35</v>
      </c>
      <c r="W266" s="20" t="str">
        <f>IFERROR(IF([1]对账明细接口!$R266=0,"",[1]对账明细接口!$R266),"")</f>
        <v>新N*49209</v>
      </c>
      <c r="X266" s="20" t="str">
        <f>IFERROR(IF([1]对账明细接口!$S266=0,"",[1]对账明细接口!$S266),"")</f>
        <v>公司筐</v>
      </c>
      <c r="Y266" s="20" t="str">
        <f>IFERROR(IF([1]对账明细接口!$T266=0,"",[1]对账明细接口!$T266),"")</f>
        <v/>
      </c>
      <c r="Z266" s="24" t="str">
        <f>IFERROR(IF([1]对账明细接口!$U266=0,"",[1]对账明细接口!$U266),"")</f>
        <v/>
      </c>
      <c r="AA266" s="24" t="str">
        <f>IFERROR(IF([1]对账明细接口!$V266=0,"",[1]对账明细接口!$V266),"")</f>
        <v/>
      </c>
      <c r="AB266" s="20" t="str">
        <f>IFERROR(IF([1]对账明细接口!$W266=0,"",[1]对账明细接口!$W266),"")</f>
        <v/>
      </c>
      <c r="AC266" s="7" t="str">
        <f>IFERROR(IF([1]对账明细接口!$X266=0,"",[1]对账明细接口!$X266),"")</f>
        <v/>
      </c>
      <c r="AD266" s="7" t="str">
        <f>IFERROR(IF([1]对账明细接口!$Y266=0,"",[1]对账明细接口!$Y266),"")</f>
        <v/>
      </c>
      <c r="AE266" s="7" t="str">
        <f>IFERROR(IF([1]对账明细接口!$AA266=0,"",[1]对账明细接口!$AA266),"")</f>
        <v/>
      </c>
      <c r="AF266" s="7" t="str">
        <f>IFERROR(IF([1]对账明细接口!$AB266=0,"",[1]对账明细接口!$AB266),"")</f>
        <v/>
      </c>
      <c r="AG266" s="7" t="str">
        <f>IFERROR(IF([1]对账明细接口!$AC266=0,"",[1]对账明细接口!$AC266),"")</f>
        <v/>
      </c>
      <c r="AH266" s="7" t="str">
        <f>IFERROR(IF([1]对账明细接口!$AD266=0,"",[1]对账明细接口!$AD266),"")</f>
        <v/>
      </c>
      <c r="AI266" s="7" t="str">
        <f>IFERROR(IF([1]对账明细接口!$AE266=0,"",[1]对账明细接口!$AE266),"")</f>
        <v/>
      </c>
      <c r="AJ266" s="7" t="str">
        <f>IFERROR(IF([1]对账明细接口!$AF266=0,"",[1]对账明细接口!$AF266),"")</f>
        <v/>
      </c>
    </row>
    <row r="267" ht="14.25" customHeight="1" spans="1:36">
      <c r="A267" s="14">
        <v>267</v>
      </c>
      <c r="B267" s="15">
        <f>IFERROR(IF([1]对账明细接口!$B$267=0,"",[1]对账明细接口!$B$267),"")</f>
        <v>46281</v>
      </c>
      <c r="C267" s="16" t="str">
        <f>IFERROR(IF([1]对账明细接口!$C$267=0,"",[1]对账明细接口!$C$267),"")</f>
        <v>王灵云</v>
      </c>
      <c r="D267" s="16" t="str">
        <f>IFERROR(IF([1]对账明细接口!$D$267=0,"",[1]对账明细接口!$D$267),"")</f>
        <v>原料入库</v>
      </c>
      <c r="E267" s="16" t="str">
        <f>IFERROR(IF([1]对账明细接口!$E$267=0,"",[1]对账明细接口!$E$267),"")</f>
        <v>NO:0000881</v>
      </c>
      <c r="F267" s="16" t="str">
        <f>IFERROR(IF([1]对账明细接口!$F$267=0,"",[1]对账明细接口!$F$267),"")</f>
        <v>香梨</v>
      </c>
      <c r="G267" s="16" t="str">
        <f>IFERROR(IF([1]对账明细接口!$G$267=0,"",[1]对账明细接口!$G$267),"")</f>
        <v>香梨副特</v>
      </c>
      <c r="H267" s="17">
        <f>IFERROR(IF([1]对账明细接口!$H$267=0,"",[1]对账明细接口!$H$267),"")</f>
        <v>161</v>
      </c>
      <c r="I267" s="16" t="str">
        <f>IFERROR(IF([1]对账明细接口!$I$267=0,"",[1]对账明细接口!$I$267),"")</f>
        <v>筐</v>
      </c>
      <c r="J267" s="18">
        <f>IFERROR(IF([1]对账明细接口!$J$267=0,"",[1]对账明细接口!$J$267),"")</f>
        <v>2946.3</v>
      </c>
      <c r="K267" s="18" t="str">
        <f>IFERROR(IF([1]对账明细接口!$K$267=0,"",[1]对账明细接口!$K$267),"")</f>
        <v/>
      </c>
      <c r="L267" s="16" t="str">
        <f>IFERROR(IF([1]对账明细接口!$L$267=0,"",[1]对账明细接口!$L$267),"")</f>
        <v/>
      </c>
      <c r="M267" s="16" t="str">
        <f>IFERROR(IF([1]对账明细接口!$M$267=0,"",[1]对账明细接口!$M$267),"")</f>
        <v/>
      </c>
      <c r="N267" s="19">
        <f t="shared" si="8"/>
        <v>1</v>
      </c>
      <c r="O267" s="19">
        <f t="shared" si="9"/>
        <v>264</v>
      </c>
      <c r="S267" s="20" t="str">
        <f>IFERROR(IF([1]对账明细接口!$N267=0,"",[1]对账明细接口!$N267),"")</f>
        <v>公司红周转筐</v>
      </c>
      <c r="T267" s="21" t="str">
        <f>IFERROR(IF([1]对账明细接口!$O267=0,"",[1]对账明细接口!$O267),"")</f>
        <v/>
      </c>
      <c r="U267" s="21" t="str">
        <f>IFERROR(IF([1]对账明细接口!$P267=0,"",[1]对账明细接口!$P267),"")</f>
        <v/>
      </c>
      <c r="V267" s="21">
        <f>IFERROR(IF([1]对账明细接口!$Q267=0,"",[1]对账明细接口!$Q267),"")</f>
        <v>161</v>
      </c>
      <c r="W267" s="20" t="str">
        <f>IFERROR(IF([1]对账明细接口!$R267=0,"",[1]对账明细接口!$R267),"")</f>
        <v>新N*49209</v>
      </c>
      <c r="X267" s="20" t="str">
        <f>IFERROR(IF([1]对账明细接口!$S267=0,"",[1]对账明细接口!$S267),"")</f>
        <v>公司筐</v>
      </c>
      <c r="Y267" s="20" t="str">
        <f>IFERROR(IF([1]对账明细接口!$T267=0,"",[1]对账明细接口!$T267),"")</f>
        <v/>
      </c>
      <c r="Z267" s="24" t="str">
        <f>IFERROR(IF([1]对账明细接口!$U267=0,"",[1]对账明细接口!$U267),"")</f>
        <v/>
      </c>
      <c r="AA267" s="24" t="str">
        <f>IFERROR(IF([1]对账明细接口!$V267=0,"",[1]对账明细接口!$V267),"")</f>
        <v/>
      </c>
      <c r="AB267" s="20" t="str">
        <f>IFERROR(IF([1]对账明细接口!$W267=0,"",[1]对账明细接口!$W267),"")</f>
        <v/>
      </c>
      <c r="AC267" s="7" t="str">
        <f>IFERROR(IF([1]对账明细接口!$X267=0,"",[1]对账明细接口!$X267),"")</f>
        <v/>
      </c>
      <c r="AD267" s="7" t="str">
        <f>IFERROR(IF([1]对账明细接口!$Y267=0,"",[1]对账明细接口!$Y267),"")</f>
        <v/>
      </c>
      <c r="AE267" s="7" t="str">
        <f>IFERROR(IF([1]对账明细接口!$AA267=0,"",[1]对账明细接口!$AA267),"")</f>
        <v/>
      </c>
      <c r="AF267" s="7" t="str">
        <f>IFERROR(IF([1]对账明细接口!$AB267=0,"",[1]对账明细接口!$AB267),"")</f>
        <v/>
      </c>
      <c r="AG267" s="7" t="str">
        <f>IFERROR(IF([1]对账明细接口!$AC267=0,"",[1]对账明细接口!$AC267),"")</f>
        <v/>
      </c>
      <c r="AH267" s="7" t="str">
        <f>IFERROR(IF([1]对账明细接口!$AD267=0,"",[1]对账明细接口!$AD267),"")</f>
        <v/>
      </c>
      <c r="AI267" s="7" t="str">
        <f>IFERROR(IF([1]对账明细接口!$AE267=0,"",[1]对账明细接口!$AE267),"")</f>
        <v/>
      </c>
      <c r="AJ267" s="7" t="str">
        <f>IFERROR(IF([1]对账明细接口!$AF267=0,"",[1]对账明细接口!$AF267),"")</f>
        <v/>
      </c>
    </row>
    <row r="268" ht="14.25" customHeight="1" spans="1:36">
      <c r="A268" s="14">
        <v>268</v>
      </c>
      <c r="B268" s="15">
        <f>IFERROR(IF([1]对账明细接口!$B$268=0,"",[1]对账明细接口!$B$268),"")</f>
        <v>46281</v>
      </c>
      <c r="C268" s="16" t="str">
        <f>IFERROR(IF([1]对账明细接口!$C$268=0,"",[1]对账明细接口!$C$268),"")</f>
        <v>麦麦提</v>
      </c>
      <c r="D268" s="16" t="str">
        <f>IFERROR(IF([1]对账明细接口!$D$268=0,"",[1]对账明细接口!$D$268),"")</f>
        <v>原料入库</v>
      </c>
      <c r="E268" s="16" t="str">
        <f>IFERROR(IF([1]对账明细接口!$E$268=0,"",[1]对账明细接口!$E$268),"")</f>
        <v>NO:0000882</v>
      </c>
      <c r="F268" s="16" t="str">
        <f>IFERROR(IF([1]对账明细接口!$F$268=0,"",[1]对账明细接口!$F$268),"")</f>
        <v>香梨</v>
      </c>
      <c r="G268" s="16" t="str">
        <f>IFERROR(IF([1]对账明细接口!$G$268=0,"",[1]对账明细接口!$G$268),"")</f>
        <v>香梨特级</v>
      </c>
      <c r="H268" s="17">
        <f>IFERROR(IF([1]对账明细接口!$H$268=0,"",[1]对账明细接口!$H$268),"")</f>
        <v>248</v>
      </c>
      <c r="I268" s="16" t="str">
        <f>IFERROR(IF([1]对账明细接口!$I$268=0,"",[1]对账明细接口!$I$268),"")</f>
        <v>筐</v>
      </c>
      <c r="J268" s="18">
        <f>IFERROR(IF([1]对账明细接口!$J$268=0,"",[1]对账明细接口!$J$268),"")</f>
        <v>4538.4</v>
      </c>
      <c r="K268" s="18" t="str">
        <f>IFERROR(IF([1]对账明细接口!$K$268=0,"",[1]对账明细接口!$K$268),"")</f>
        <v/>
      </c>
      <c r="L268" s="16" t="str">
        <f>IFERROR(IF([1]对账明细接口!$L$268=0,"",[1]对账明细接口!$L$268),"")</f>
        <v/>
      </c>
      <c r="M268" s="16" t="str">
        <f>IFERROR(IF([1]对账明细接口!$M$268=0,"",[1]对账明细接口!$M$268),"")</f>
        <v/>
      </c>
      <c r="N268" s="19">
        <f t="shared" si="8"/>
        <v>1</v>
      </c>
      <c r="O268" s="19">
        <f t="shared" si="9"/>
        <v>265</v>
      </c>
      <c r="S268" s="20" t="str">
        <f>IFERROR(IF([1]对账明细接口!$N268=0,"",[1]对账明细接口!$N268),"")</f>
        <v>公司红周转筐</v>
      </c>
      <c r="T268" s="21" t="str">
        <f>IFERROR(IF([1]对账明细接口!$O268=0,"",[1]对账明细接口!$O268),"")</f>
        <v/>
      </c>
      <c r="U268" s="21" t="str">
        <f>IFERROR(IF([1]对账明细接口!$P268=0,"",[1]对账明细接口!$P268),"")</f>
        <v/>
      </c>
      <c r="V268" s="21">
        <f>IFERROR(IF([1]对账明细接口!$Q268=0,"",[1]对账明细接口!$Q268),"")</f>
        <v>248</v>
      </c>
      <c r="W268" s="20" t="str">
        <f>IFERROR(IF([1]对账明细接口!$R268=0,"",[1]对账明细接口!$R268),"")</f>
        <v>新A*G0554</v>
      </c>
      <c r="X268" s="20" t="str">
        <f>IFERROR(IF([1]对账明细接口!$S268=0,"",[1]对账明细接口!$S268),"")</f>
        <v>公司筐</v>
      </c>
      <c r="Y268" s="20" t="str">
        <f>IFERROR(IF([1]对账明细接口!$T268=0,"",[1]对账明细接口!$T268),"")</f>
        <v/>
      </c>
      <c r="Z268" s="24" t="str">
        <f>IFERROR(IF([1]对账明细接口!$U268=0,"",[1]对账明细接口!$U268),"")</f>
        <v/>
      </c>
      <c r="AA268" s="24" t="str">
        <f>IFERROR(IF([1]对账明细接口!$V268=0,"",[1]对账明细接口!$V268),"")</f>
        <v/>
      </c>
      <c r="AB268" s="20" t="str">
        <f>IFERROR(IF([1]对账明细接口!$W268=0,"",[1]对账明细接口!$W268),"")</f>
        <v/>
      </c>
      <c r="AC268" s="7" t="str">
        <f>IFERROR(IF([1]对账明细接口!$X268=0,"",[1]对账明细接口!$X268),"")</f>
        <v/>
      </c>
      <c r="AD268" s="7" t="str">
        <f>IFERROR(IF([1]对账明细接口!$Y268=0,"",[1]对账明细接口!$Y268),"")</f>
        <v/>
      </c>
      <c r="AE268" s="7" t="str">
        <f>IFERROR(IF([1]对账明细接口!$AA268=0,"",[1]对账明细接口!$AA268),"")</f>
        <v/>
      </c>
      <c r="AF268" s="7" t="str">
        <f>IFERROR(IF([1]对账明细接口!$AB268=0,"",[1]对账明细接口!$AB268),"")</f>
        <v/>
      </c>
      <c r="AG268" s="7" t="str">
        <f>IFERROR(IF([1]对账明细接口!$AC268=0,"",[1]对账明细接口!$AC268),"")</f>
        <v/>
      </c>
      <c r="AH268" s="7" t="str">
        <f>IFERROR(IF([1]对账明细接口!$AD268=0,"",[1]对账明细接口!$AD268),"")</f>
        <v/>
      </c>
      <c r="AI268" s="7" t="str">
        <f>IFERROR(IF([1]对账明细接口!$AE268=0,"",[1]对账明细接口!$AE268),"")</f>
        <v/>
      </c>
      <c r="AJ268" s="7" t="str">
        <f>IFERROR(IF([1]对账明细接口!$AF268=0,"",[1]对账明细接口!$AF268),"")</f>
        <v/>
      </c>
    </row>
    <row r="269" ht="14.25" customHeight="1" spans="1:36">
      <c r="A269" s="14">
        <v>269</v>
      </c>
      <c r="B269" s="15">
        <f>IFERROR(IF([1]对账明细接口!$B$269=0,"",[1]对账明细接口!$B$269),"")</f>
        <v>46281</v>
      </c>
      <c r="C269" s="16" t="str">
        <f>IFERROR(IF([1]对账明细接口!$C$269=0,"",[1]对账明细接口!$C$269),"")</f>
        <v>麦麦提</v>
      </c>
      <c r="D269" s="16" t="str">
        <f>IFERROR(IF([1]对账明细接口!$D$269=0,"",[1]对账明细接口!$D$269),"")</f>
        <v>原料入库</v>
      </c>
      <c r="E269" s="16" t="str">
        <f>IFERROR(IF([1]对账明细接口!$E$269=0,"",[1]对账明细接口!$E$269),"")</f>
        <v>NO:0000882</v>
      </c>
      <c r="F269" s="16" t="str">
        <f>IFERROR(IF([1]对账明细接口!$F$269=0,"",[1]对账明细接口!$F$269),"")</f>
        <v>香梨</v>
      </c>
      <c r="G269" s="16" t="str">
        <f>IFERROR(IF([1]对账明细接口!$G$269=0,"",[1]对账明细接口!$G$269),"")</f>
        <v>香梨一级</v>
      </c>
      <c r="H269" s="17">
        <f>IFERROR(IF([1]对账明细接口!$H$269=0,"",[1]对账明细接口!$H$269),"")</f>
        <v>176</v>
      </c>
      <c r="I269" s="16" t="str">
        <f>IFERROR(IF([1]对账明细接口!$I$269=0,"",[1]对账明细接口!$I$269),"")</f>
        <v>筐</v>
      </c>
      <c r="J269" s="18">
        <f>IFERROR(IF([1]对账明细接口!$J$269=0,"",[1]对账明细接口!$J$269),"")</f>
        <v>3220.8</v>
      </c>
      <c r="K269" s="18" t="str">
        <f>IFERROR(IF([1]对账明细接口!$K$269=0,"",[1]对账明细接口!$K$269),"")</f>
        <v/>
      </c>
      <c r="L269" s="16" t="str">
        <f>IFERROR(IF([1]对账明细接口!$L$269=0,"",[1]对账明细接口!$L$269),"")</f>
        <v/>
      </c>
      <c r="M269" s="16" t="str">
        <f>IFERROR(IF([1]对账明细接口!$M$269=0,"",[1]对账明细接口!$M$269),"")</f>
        <v/>
      </c>
      <c r="N269" s="19">
        <f t="shared" si="8"/>
        <v>1</v>
      </c>
      <c r="O269" s="19">
        <f t="shared" si="9"/>
        <v>266</v>
      </c>
      <c r="S269" s="20" t="str">
        <f>IFERROR(IF([1]对账明细接口!$N269=0,"",[1]对账明细接口!$N269),"")</f>
        <v>公司红周转筐</v>
      </c>
      <c r="T269" s="21" t="str">
        <f>IFERROR(IF([1]对账明细接口!$O269=0,"",[1]对账明细接口!$O269),"")</f>
        <v/>
      </c>
      <c r="U269" s="21" t="str">
        <f>IFERROR(IF([1]对账明细接口!$P269=0,"",[1]对账明细接口!$P269),"")</f>
        <v/>
      </c>
      <c r="V269" s="21">
        <f>IFERROR(IF([1]对账明细接口!$Q269=0,"",[1]对账明细接口!$Q269),"")</f>
        <v>176</v>
      </c>
      <c r="W269" s="20" t="str">
        <f>IFERROR(IF([1]对账明细接口!$R269=0,"",[1]对账明细接口!$R269),"")</f>
        <v>新A*G0554</v>
      </c>
      <c r="X269" s="20" t="str">
        <f>IFERROR(IF([1]对账明细接口!$S269=0,"",[1]对账明细接口!$S269),"")</f>
        <v>公司筐</v>
      </c>
      <c r="Y269" s="20" t="str">
        <f>IFERROR(IF([1]对账明细接口!$T269=0,"",[1]对账明细接口!$T269),"")</f>
        <v/>
      </c>
      <c r="Z269" s="24" t="str">
        <f>IFERROR(IF([1]对账明细接口!$U269=0,"",[1]对账明细接口!$U269),"")</f>
        <v/>
      </c>
      <c r="AA269" s="24" t="str">
        <f>IFERROR(IF([1]对账明细接口!$V269=0,"",[1]对账明细接口!$V269),"")</f>
        <v/>
      </c>
      <c r="AB269" s="20" t="str">
        <f>IFERROR(IF([1]对账明细接口!$W269=0,"",[1]对账明细接口!$W269),"")</f>
        <v/>
      </c>
      <c r="AC269" s="7" t="str">
        <f>IFERROR(IF([1]对账明细接口!$X269=0,"",[1]对账明细接口!$X269),"")</f>
        <v/>
      </c>
      <c r="AD269" s="7" t="str">
        <f>IFERROR(IF([1]对账明细接口!$Y269=0,"",[1]对账明细接口!$Y269),"")</f>
        <v/>
      </c>
      <c r="AE269" s="7" t="str">
        <f>IFERROR(IF([1]对账明细接口!$AA269=0,"",[1]对账明细接口!$AA269),"")</f>
        <v/>
      </c>
      <c r="AF269" s="7" t="str">
        <f>IFERROR(IF([1]对账明细接口!$AB269=0,"",[1]对账明细接口!$AB269),"")</f>
        <v/>
      </c>
      <c r="AG269" s="7" t="str">
        <f>IFERROR(IF([1]对账明细接口!$AC269=0,"",[1]对账明细接口!$AC269),"")</f>
        <v/>
      </c>
      <c r="AH269" s="7" t="str">
        <f>IFERROR(IF([1]对账明细接口!$AD269=0,"",[1]对账明细接口!$AD269),"")</f>
        <v/>
      </c>
      <c r="AI269" s="7" t="str">
        <f>IFERROR(IF([1]对账明细接口!$AE269=0,"",[1]对账明细接口!$AE269),"")</f>
        <v/>
      </c>
      <c r="AJ269" s="7" t="str">
        <f>IFERROR(IF([1]对账明细接口!$AF269=0,"",[1]对账明细接口!$AF269),"")</f>
        <v/>
      </c>
    </row>
    <row r="270" ht="14.25" customHeight="1" spans="1:36">
      <c r="A270" s="14">
        <v>270</v>
      </c>
      <c r="B270" s="15">
        <f>IFERROR(IF([1]对账明细接口!$B$270=0,"",[1]对账明细接口!$B$270),"")</f>
        <v>46281</v>
      </c>
      <c r="C270" s="16" t="str">
        <f>IFERROR(IF([1]对账明细接口!$C$270=0,"",[1]对账明细接口!$C$270),"")</f>
        <v>麦麦提</v>
      </c>
      <c r="D270" s="16" t="str">
        <f>IFERROR(IF([1]对账明细接口!$D$270=0,"",[1]对账明细接口!$D$270),"")</f>
        <v>原料入库</v>
      </c>
      <c r="E270" s="16" t="str">
        <f>IFERROR(IF([1]对账明细接口!$E$270=0,"",[1]对账明细接口!$E$270),"")</f>
        <v>NO:0000882</v>
      </c>
      <c r="F270" s="16" t="str">
        <f>IFERROR(IF([1]对账明细接口!$F$270=0,"",[1]对账明细接口!$F$270),"")</f>
        <v>香梨</v>
      </c>
      <c r="G270" s="16" t="str">
        <f>IFERROR(IF([1]对账明细接口!$G$270=0,"",[1]对账明细接口!$G$270),"")</f>
        <v>香梨二级</v>
      </c>
      <c r="H270" s="17">
        <f>IFERROR(IF([1]对账明细接口!$H$270=0,"",[1]对账明细接口!$H$270),"")</f>
        <v>200</v>
      </c>
      <c r="I270" s="16" t="str">
        <f>IFERROR(IF([1]对账明细接口!$I$270=0,"",[1]对账明细接口!$I$270),"")</f>
        <v>筐</v>
      </c>
      <c r="J270" s="18">
        <f>IFERROR(IF([1]对账明细接口!$J$270=0,"",[1]对账明细接口!$J$270),"")</f>
        <v>4460</v>
      </c>
      <c r="K270" s="18" t="str">
        <f>IFERROR(IF([1]对账明细接口!$K$270=0,"",[1]对账明细接口!$K$270),"")</f>
        <v/>
      </c>
      <c r="L270" s="16" t="str">
        <f>IFERROR(IF([1]对账明细接口!$L$270=0,"",[1]对账明细接口!$L$270),"")</f>
        <v/>
      </c>
      <c r="M270" s="16" t="str">
        <f>IFERROR(IF([1]对账明细接口!$M$270=0,"",[1]对账明细接口!$M$270),"")</f>
        <v/>
      </c>
      <c r="N270" s="19">
        <f t="shared" si="8"/>
        <v>1</v>
      </c>
      <c r="O270" s="19">
        <f t="shared" si="9"/>
        <v>267</v>
      </c>
      <c r="S270" s="20" t="str">
        <f>IFERROR(IF([1]对账明细接口!$N270=0,"",[1]对账明细接口!$N270),"")</f>
        <v>公司红周转筐</v>
      </c>
      <c r="T270" s="21" t="str">
        <f>IFERROR(IF([1]对账明细接口!$O270=0,"",[1]对账明细接口!$O270),"")</f>
        <v/>
      </c>
      <c r="U270" s="21" t="str">
        <f>IFERROR(IF([1]对账明细接口!$P270=0,"",[1]对账明细接口!$P270),"")</f>
        <v/>
      </c>
      <c r="V270" s="21">
        <f>IFERROR(IF([1]对账明细接口!$Q270=0,"",[1]对账明细接口!$Q270),"")</f>
        <v>200</v>
      </c>
      <c r="W270" s="20" t="str">
        <f>IFERROR(IF([1]对账明细接口!$R270=0,"",[1]对账明细接口!$R270),"")</f>
        <v>新A*G0554</v>
      </c>
      <c r="X270" s="20" t="str">
        <f>IFERROR(IF([1]对账明细接口!$S270=0,"",[1]对账明细接口!$S270),"")</f>
        <v>公司筐</v>
      </c>
      <c r="Y270" s="20" t="str">
        <f>IFERROR(IF([1]对账明细接口!$T270=0,"",[1]对账明细接口!$T270),"")</f>
        <v/>
      </c>
      <c r="Z270" s="24" t="str">
        <f>IFERROR(IF([1]对账明细接口!$U270=0,"",[1]对账明细接口!$U270),"")</f>
        <v/>
      </c>
      <c r="AA270" s="24" t="str">
        <f>IFERROR(IF([1]对账明细接口!$V270=0,"",[1]对账明细接口!$V270),"")</f>
        <v/>
      </c>
      <c r="AB270" s="20" t="str">
        <f>IFERROR(IF([1]对账明细接口!$W270=0,"",[1]对账明细接口!$W270),"")</f>
        <v/>
      </c>
      <c r="AC270" s="7" t="str">
        <f>IFERROR(IF([1]对账明细接口!$X270=0,"",[1]对账明细接口!$X270),"")</f>
        <v/>
      </c>
      <c r="AD270" s="7" t="str">
        <f>IFERROR(IF([1]对账明细接口!$Y270=0,"",[1]对账明细接口!$Y270),"")</f>
        <v/>
      </c>
      <c r="AE270" s="7" t="str">
        <f>IFERROR(IF([1]对账明细接口!$AA270=0,"",[1]对账明细接口!$AA270),"")</f>
        <v/>
      </c>
      <c r="AF270" s="7" t="str">
        <f>IFERROR(IF([1]对账明细接口!$AB270=0,"",[1]对账明细接口!$AB270),"")</f>
        <v/>
      </c>
      <c r="AG270" s="7" t="str">
        <f>IFERROR(IF([1]对账明细接口!$AC270=0,"",[1]对账明细接口!$AC270),"")</f>
        <v/>
      </c>
      <c r="AH270" s="7" t="str">
        <f>IFERROR(IF([1]对账明细接口!$AD270=0,"",[1]对账明细接口!$AD270),"")</f>
        <v/>
      </c>
      <c r="AI270" s="7" t="str">
        <f>IFERROR(IF([1]对账明细接口!$AE270=0,"",[1]对账明细接口!$AE270),"")</f>
        <v/>
      </c>
      <c r="AJ270" s="7" t="str">
        <f>IFERROR(IF([1]对账明细接口!$AF270=0,"",[1]对账明细接口!$AF270),"")</f>
        <v/>
      </c>
    </row>
    <row r="271" ht="14.25" customHeight="1" spans="1:36">
      <c r="A271" s="14">
        <v>271</v>
      </c>
      <c r="B271" s="15">
        <f>IFERROR(IF([1]对账明细接口!$B$271=0,"",[1]对账明细接口!$B$271),"")</f>
        <v>46281</v>
      </c>
      <c r="C271" s="16" t="str">
        <f>IFERROR(IF([1]对账明细接口!$C$271=0,"",[1]对账明细接口!$C$271),"")</f>
        <v>努尔敦</v>
      </c>
      <c r="D271" s="16" t="str">
        <f>IFERROR(IF([1]对账明细接口!$D$271=0,"",[1]对账明细接口!$D$271),"")</f>
        <v>原料入库</v>
      </c>
      <c r="E271" s="16" t="str">
        <f>IFERROR(IF([1]对账明细接口!$E$271=0,"",[1]对账明细接口!$E$271),"")</f>
        <v>NO:0000883</v>
      </c>
      <c r="F271" s="16" t="str">
        <f>IFERROR(IF([1]对账明细接口!$F$271=0,"",[1]对账明细接口!$F$271),"")</f>
        <v>香梨</v>
      </c>
      <c r="G271" s="16" t="str">
        <f>IFERROR(IF([1]对账明细接口!$G$271=0,"",[1]对账明细接口!$G$271),"")</f>
        <v>香梨特级</v>
      </c>
      <c r="H271" s="17">
        <f>IFERROR(IF([1]对账明细接口!$H$271=0,"",[1]对账明细接口!$H$271),"")</f>
        <v>296</v>
      </c>
      <c r="I271" s="16" t="str">
        <f>IFERROR(IF([1]对账明细接口!$I$271=0,"",[1]对账明细接口!$I$271),"")</f>
        <v>筐</v>
      </c>
      <c r="J271" s="18">
        <f>IFERROR(IF([1]对账明细接口!$J$271=0,"",[1]对账明细接口!$J$271),"")</f>
        <v>5416.8</v>
      </c>
      <c r="K271" s="18" t="str">
        <f>IFERROR(IF([1]对账明细接口!$K$271=0,"",[1]对账明细接口!$K$271),"")</f>
        <v/>
      </c>
      <c r="L271" s="16" t="str">
        <f>IFERROR(IF([1]对账明细接口!$L$271=0,"",[1]对账明细接口!$L$271),"")</f>
        <v/>
      </c>
      <c r="M271" s="16" t="str">
        <f>IFERROR(IF([1]对账明细接口!$M$271=0,"",[1]对账明细接口!$M$271),"")</f>
        <v/>
      </c>
      <c r="N271" s="19">
        <f t="shared" si="8"/>
        <v>1</v>
      </c>
      <c r="O271" s="19">
        <f t="shared" si="9"/>
        <v>268</v>
      </c>
      <c r="S271" s="20" t="str">
        <f>IFERROR(IF([1]对账明细接口!$N271=0,"",[1]对账明细接口!$N271),"")</f>
        <v>公司红周转筐</v>
      </c>
      <c r="T271" s="21" t="str">
        <f>IFERROR(IF([1]对账明细接口!$O271=0,"",[1]对账明细接口!$O271),"")</f>
        <v/>
      </c>
      <c r="U271" s="21" t="str">
        <f>IFERROR(IF([1]对账明细接口!$P271=0,"",[1]对账明细接口!$P271),"")</f>
        <v/>
      </c>
      <c r="V271" s="21">
        <f>IFERROR(IF([1]对账明细接口!$Q271=0,"",[1]对账明细接口!$Q271),"")</f>
        <v>296</v>
      </c>
      <c r="W271" s="20" t="str">
        <f>IFERROR(IF([1]对账明细接口!$R271=0,"",[1]对账明细接口!$R271),"")</f>
        <v>新F*75240</v>
      </c>
      <c r="X271" s="20" t="str">
        <f>IFERROR(IF([1]对账明细接口!$S271=0,"",[1]对账明细接口!$S271),"")</f>
        <v>公司筐</v>
      </c>
      <c r="Y271" s="20" t="str">
        <f>IFERROR(IF([1]对账明细接口!$T271=0,"",[1]对账明细接口!$T271),"")</f>
        <v/>
      </c>
      <c r="Z271" s="24" t="str">
        <f>IFERROR(IF([1]对账明细接口!$U271=0,"",[1]对账明细接口!$U271),"")</f>
        <v/>
      </c>
      <c r="AA271" s="24" t="str">
        <f>IFERROR(IF([1]对账明细接口!$V271=0,"",[1]对账明细接口!$V271),"")</f>
        <v/>
      </c>
      <c r="AB271" s="20" t="str">
        <f>IFERROR(IF([1]对账明细接口!$W271=0,"",[1]对账明细接口!$W271),"")</f>
        <v/>
      </c>
      <c r="AC271" s="7" t="str">
        <f>IFERROR(IF([1]对账明细接口!$X271=0,"",[1]对账明细接口!$X271),"")</f>
        <v/>
      </c>
      <c r="AD271" s="7" t="str">
        <f>IFERROR(IF([1]对账明细接口!$Y271=0,"",[1]对账明细接口!$Y271),"")</f>
        <v/>
      </c>
      <c r="AE271" s="7" t="str">
        <f>IFERROR(IF([1]对账明细接口!$AA271=0,"",[1]对账明细接口!$AA271),"")</f>
        <v/>
      </c>
      <c r="AF271" s="7" t="str">
        <f>IFERROR(IF([1]对账明细接口!$AB271=0,"",[1]对账明细接口!$AB271),"")</f>
        <v/>
      </c>
      <c r="AG271" s="7" t="str">
        <f>IFERROR(IF([1]对账明细接口!$AC271=0,"",[1]对账明细接口!$AC271),"")</f>
        <v/>
      </c>
      <c r="AH271" s="7" t="str">
        <f>IFERROR(IF([1]对账明细接口!$AD271=0,"",[1]对账明细接口!$AD271),"")</f>
        <v/>
      </c>
      <c r="AI271" s="7" t="str">
        <f>IFERROR(IF([1]对账明细接口!$AE271=0,"",[1]对账明细接口!$AE271),"")</f>
        <v/>
      </c>
      <c r="AJ271" s="7" t="str">
        <f>IFERROR(IF([1]对账明细接口!$AF271=0,"",[1]对账明细接口!$AF271),"")</f>
        <v/>
      </c>
    </row>
    <row r="272" ht="14.25" customHeight="1" spans="1:36">
      <c r="A272" s="14">
        <v>272</v>
      </c>
      <c r="B272" s="15">
        <f>IFERROR(IF([1]对账明细接口!$B$272=0,"",[1]对账明细接口!$B$272),"")</f>
        <v>46281</v>
      </c>
      <c r="C272" s="16" t="str">
        <f>IFERROR(IF([1]对账明细接口!$C$272=0,"",[1]对账明细接口!$C$272),"")</f>
        <v>努尔敦</v>
      </c>
      <c r="D272" s="16" t="str">
        <f>IFERROR(IF([1]对账明细接口!$D$272=0,"",[1]对账明细接口!$D$272),"")</f>
        <v>原料入库</v>
      </c>
      <c r="E272" s="16" t="str">
        <f>IFERROR(IF([1]对账明细接口!$E$272=0,"",[1]对账明细接口!$E$272),"")</f>
        <v>NO:0000883</v>
      </c>
      <c r="F272" s="16" t="str">
        <f>IFERROR(IF([1]对账明细接口!$F$272=0,"",[1]对账明细接口!$F$272),"")</f>
        <v>香梨</v>
      </c>
      <c r="G272" s="16" t="str">
        <f>IFERROR(IF([1]对账明细接口!$G$272=0,"",[1]对账明细接口!$G$272),"")</f>
        <v>香梨一级</v>
      </c>
      <c r="H272" s="17">
        <f>IFERROR(IF([1]对账明细接口!$H$272=0,"",[1]对账明细接口!$H$272),"")</f>
        <v>233</v>
      </c>
      <c r="I272" s="16" t="str">
        <f>IFERROR(IF([1]对账明细接口!$I$272=0,"",[1]对账明细接口!$I$272),"")</f>
        <v>筐</v>
      </c>
      <c r="J272" s="18">
        <f>IFERROR(IF([1]对账明细接口!$J$272=0,"",[1]对账明细接口!$J$272),"")</f>
        <v>4263.9</v>
      </c>
      <c r="K272" s="18" t="str">
        <f>IFERROR(IF([1]对账明细接口!$K$272=0,"",[1]对账明细接口!$K$272),"")</f>
        <v/>
      </c>
      <c r="L272" s="16" t="str">
        <f>IFERROR(IF([1]对账明细接口!$L$272=0,"",[1]对账明细接口!$L$272),"")</f>
        <v/>
      </c>
      <c r="M272" s="16" t="str">
        <f>IFERROR(IF([1]对账明细接口!$M$272=0,"",[1]对账明细接口!$M$272),"")</f>
        <v/>
      </c>
      <c r="N272" s="19">
        <f t="shared" si="8"/>
        <v>1</v>
      </c>
      <c r="O272" s="19">
        <f t="shared" si="9"/>
        <v>269</v>
      </c>
      <c r="S272" s="20" t="str">
        <f>IFERROR(IF([1]对账明细接口!$N272=0,"",[1]对账明细接口!$N272),"")</f>
        <v>公司红周转筐</v>
      </c>
      <c r="T272" s="21" t="str">
        <f>IFERROR(IF([1]对账明细接口!$O272=0,"",[1]对账明细接口!$O272),"")</f>
        <v/>
      </c>
      <c r="U272" s="21" t="str">
        <f>IFERROR(IF([1]对账明细接口!$P272=0,"",[1]对账明细接口!$P272),"")</f>
        <v/>
      </c>
      <c r="V272" s="21">
        <f>IFERROR(IF([1]对账明细接口!$Q272=0,"",[1]对账明细接口!$Q272),"")</f>
        <v>233</v>
      </c>
      <c r="W272" s="20" t="str">
        <f>IFERROR(IF([1]对账明细接口!$R272=0,"",[1]对账明细接口!$R272),"")</f>
        <v>新F*75240</v>
      </c>
      <c r="X272" s="20" t="str">
        <f>IFERROR(IF([1]对账明细接口!$S272=0,"",[1]对账明细接口!$S272),"")</f>
        <v>公司筐</v>
      </c>
      <c r="Y272" s="20" t="str">
        <f>IFERROR(IF([1]对账明细接口!$T272=0,"",[1]对账明细接口!$T272),"")</f>
        <v/>
      </c>
      <c r="Z272" s="24" t="str">
        <f>IFERROR(IF([1]对账明细接口!$U272=0,"",[1]对账明细接口!$U272),"")</f>
        <v/>
      </c>
      <c r="AA272" s="24" t="str">
        <f>IFERROR(IF([1]对账明细接口!$V272=0,"",[1]对账明细接口!$V272),"")</f>
        <v/>
      </c>
      <c r="AB272" s="20" t="str">
        <f>IFERROR(IF([1]对账明细接口!$W272=0,"",[1]对账明细接口!$W272),"")</f>
        <v/>
      </c>
      <c r="AC272" s="7" t="str">
        <f>IFERROR(IF([1]对账明细接口!$X272=0,"",[1]对账明细接口!$X272),"")</f>
        <v/>
      </c>
      <c r="AD272" s="7" t="str">
        <f>IFERROR(IF([1]对账明细接口!$Y272=0,"",[1]对账明细接口!$Y272),"")</f>
        <v/>
      </c>
      <c r="AE272" s="7" t="str">
        <f>IFERROR(IF([1]对账明细接口!$AA272=0,"",[1]对账明细接口!$AA272),"")</f>
        <v/>
      </c>
      <c r="AF272" s="7" t="str">
        <f>IFERROR(IF([1]对账明细接口!$AB272=0,"",[1]对账明细接口!$AB272),"")</f>
        <v/>
      </c>
      <c r="AG272" s="7" t="str">
        <f>IFERROR(IF([1]对账明细接口!$AC272=0,"",[1]对账明细接口!$AC272),"")</f>
        <v/>
      </c>
      <c r="AH272" s="7" t="str">
        <f>IFERROR(IF([1]对账明细接口!$AD272=0,"",[1]对账明细接口!$AD272),"")</f>
        <v/>
      </c>
      <c r="AI272" s="7" t="str">
        <f>IFERROR(IF([1]对账明细接口!$AE272=0,"",[1]对账明细接口!$AE272),"")</f>
        <v/>
      </c>
      <c r="AJ272" s="7" t="str">
        <f>IFERROR(IF([1]对账明细接口!$AF272=0,"",[1]对账明细接口!$AF272),"")</f>
        <v/>
      </c>
    </row>
    <row r="273" ht="14.25" customHeight="1" spans="1:36">
      <c r="A273" s="14">
        <v>273</v>
      </c>
      <c r="B273" s="15">
        <f>IFERROR(IF([1]对账明细接口!$B$273=0,"",[1]对账明细接口!$B$273),"")</f>
        <v>46281</v>
      </c>
      <c r="C273" s="16" t="str">
        <f>IFERROR(IF([1]对账明细接口!$C$273=0,"",[1]对账明细接口!$C$273),"")</f>
        <v>努尔敦</v>
      </c>
      <c r="D273" s="16" t="str">
        <f>IFERROR(IF([1]对账明细接口!$D$273=0,"",[1]对账明细接口!$D$273),"")</f>
        <v>原料入库</v>
      </c>
      <c r="E273" s="16" t="str">
        <f>IFERROR(IF([1]对账明细接口!$E$273=0,"",[1]对账明细接口!$E$273),"")</f>
        <v>NO:0000883</v>
      </c>
      <c r="F273" s="16" t="str">
        <f>IFERROR(IF([1]对账明细接口!$F$273=0,"",[1]对账明细接口!$F$273),"")</f>
        <v>香梨</v>
      </c>
      <c r="G273" s="16" t="str">
        <f>IFERROR(IF([1]对账明细接口!$G$273=0,"",[1]对账明细接口!$G$273),"")</f>
        <v>香梨二级</v>
      </c>
      <c r="H273" s="17">
        <f>IFERROR(IF([1]对账明细接口!$H$273=0,"",[1]对账明细接口!$H$273),"")</f>
        <v>112</v>
      </c>
      <c r="I273" s="16" t="str">
        <f>IFERROR(IF([1]对账明细接口!$I$273=0,"",[1]对账明细接口!$I$273),"")</f>
        <v>筐</v>
      </c>
      <c r="J273" s="18">
        <f>IFERROR(IF([1]对账明细接口!$J$273=0,"",[1]对账明细接口!$J$273),"")</f>
        <v>2497.6</v>
      </c>
      <c r="K273" s="18" t="str">
        <f>IFERROR(IF([1]对账明细接口!$K$273=0,"",[1]对账明细接口!$K$273),"")</f>
        <v/>
      </c>
      <c r="L273" s="16" t="str">
        <f>IFERROR(IF([1]对账明细接口!$L$273=0,"",[1]对账明细接口!$L$273),"")</f>
        <v/>
      </c>
      <c r="M273" s="16" t="str">
        <f>IFERROR(IF([1]对账明细接口!$M$273=0,"",[1]对账明细接口!$M$273),"")</f>
        <v/>
      </c>
      <c r="N273" s="19">
        <f t="shared" si="8"/>
        <v>1</v>
      </c>
      <c r="O273" s="19">
        <f t="shared" si="9"/>
        <v>270</v>
      </c>
      <c r="S273" s="20" t="str">
        <f>IFERROR(IF([1]对账明细接口!$N273=0,"",[1]对账明细接口!$N273),"")</f>
        <v>公司红周转筐</v>
      </c>
      <c r="T273" s="21" t="str">
        <f>IFERROR(IF([1]对账明细接口!$O273=0,"",[1]对账明细接口!$O273),"")</f>
        <v/>
      </c>
      <c r="U273" s="21" t="str">
        <f>IFERROR(IF([1]对账明细接口!$P273=0,"",[1]对账明细接口!$P273),"")</f>
        <v/>
      </c>
      <c r="V273" s="21">
        <f>IFERROR(IF([1]对账明细接口!$Q273=0,"",[1]对账明细接口!$Q273),"")</f>
        <v>112</v>
      </c>
      <c r="W273" s="20" t="str">
        <f>IFERROR(IF([1]对账明细接口!$R273=0,"",[1]对账明细接口!$R273),"")</f>
        <v>新F*75240</v>
      </c>
      <c r="X273" s="20" t="str">
        <f>IFERROR(IF([1]对账明细接口!$S273=0,"",[1]对账明细接口!$S273),"")</f>
        <v>公司筐</v>
      </c>
      <c r="Y273" s="20" t="str">
        <f>IFERROR(IF([1]对账明细接口!$T273=0,"",[1]对账明细接口!$T273),"")</f>
        <v/>
      </c>
      <c r="Z273" s="24" t="str">
        <f>IFERROR(IF([1]对账明细接口!$U273=0,"",[1]对账明细接口!$U273),"")</f>
        <v/>
      </c>
      <c r="AA273" s="24" t="str">
        <f>IFERROR(IF([1]对账明细接口!$V273=0,"",[1]对账明细接口!$V273),"")</f>
        <v/>
      </c>
      <c r="AB273" s="20" t="str">
        <f>IFERROR(IF([1]对账明细接口!$W273=0,"",[1]对账明细接口!$W273),"")</f>
        <v/>
      </c>
      <c r="AC273" s="7" t="str">
        <f>IFERROR(IF([1]对账明细接口!$X273=0,"",[1]对账明细接口!$X273),"")</f>
        <v/>
      </c>
      <c r="AD273" s="7" t="str">
        <f>IFERROR(IF([1]对账明细接口!$Y273=0,"",[1]对账明细接口!$Y273),"")</f>
        <v/>
      </c>
      <c r="AE273" s="7" t="str">
        <f>IFERROR(IF([1]对账明细接口!$AA273=0,"",[1]对账明细接口!$AA273),"")</f>
        <v/>
      </c>
      <c r="AF273" s="7" t="str">
        <f>IFERROR(IF([1]对账明细接口!$AB273=0,"",[1]对账明细接口!$AB273),"")</f>
        <v/>
      </c>
      <c r="AG273" s="7" t="str">
        <f>IFERROR(IF([1]对账明细接口!$AC273=0,"",[1]对账明细接口!$AC273),"")</f>
        <v/>
      </c>
      <c r="AH273" s="7" t="str">
        <f>IFERROR(IF([1]对账明细接口!$AD273=0,"",[1]对账明细接口!$AD273),"")</f>
        <v/>
      </c>
      <c r="AI273" s="7" t="str">
        <f>IFERROR(IF([1]对账明细接口!$AE273=0,"",[1]对账明细接口!$AE273),"")</f>
        <v/>
      </c>
      <c r="AJ273" s="7" t="str">
        <f>IFERROR(IF([1]对账明细接口!$AF273=0,"",[1]对账明细接口!$AF273),"")</f>
        <v/>
      </c>
    </row>
    <row r="274" ht="14.25" customHeight="1" spans="1:36">
      <c r="A274" s="14">
        <v>274</v>
      </c>
      <c r="B274" s="15">
        <f>IFERROR(IF([1]对账明细接口!$B$274=0,"",[1]对账明细接口!$B$274),"")</f>
        <v>46282</v>
      </c>
      <c r="C274" s="16" t="str">
        <f>IFERROR(IF([1]对账明细接口!$C$274=0,"",[1]对账明细接口!$C$274),"")</f>
        <v>吐尔逊</v>
      </c>
      <c r="D274" s="16" t="str">
        <f>IFERROR(IF([1]对账明细接口!$D$274=0,"",[1]对账明细接口!$D$274),"")</f>
        <v>原料入库</v>
      </c>
      <c r="E274" s="16" t="str">
        <f>IFERROR(IF([1]对账明细接口!$E$274=0,"",[1]对账明细接口!$E$274),"")</f>
        <v>NO:0000886</v>
      </c>
      <c r="F274" s="16" t="str">
        <f>IFERROR(IF([1]对账明细接口!$F$274=0,"",[1]对账明细接口!$F$274),"")</f>
        <v>香梨</v>
      </c>
      <c r="G274" s="16" t="str">
        <f>IFERROR(IF([1]对账明细接口!$G$274=0,"",[1]对账明细接口!$G$274),"")</f>
        <v>香梨一级</v>
      </c>
      <c r="H274" s="17">
        <f>IFERROR(IF([1]对账明细接口!$H$274=0,"",[1]对账明细接口!$H$274),"")</f>
        <v>100</v>
      </c>
      <c r="I274" s="16" t="str">
        <f>IFERROR(IF([1]对账明细接口!$I$274=0,"",[1]对账明细接口!$I$274),"")</f>
        <v>筐</v>
      </c>
      <c r="J274" s="18">
        <f>IFERROR(IF([1]对账明细接口!$J$274=0,"",[1]对账明细接口!$J$274),"")</f>
        <v>1750</v>
      </c>
      <c r="K274" s="18" t="str">
        <f>IFERROR(IF([1]对账明细接口!$K$274=0,"",[1]对账明细接口!$K$274),"")</f>
        <v/>
      </c>
      <c r="L274" s="16" t="str">
        <f>IFERROR(IF([1]对账明细接口!$L$274=0,"",[1]对账明细接口!$L$274),"")</f>
        <v/>
      </c>
      <c r="M274" s="16" t="str">
        <f>IFERROR(IF([1]对账明细接口!$M$274=0,"",[1]对账明细接口!$M$274),"")</f>
        <v/>
      </c>
      <c r="N274" s="19">
        <f t="shared" si="8"/>
        <v>1</v>
      </c>
      <c r="O274" s="19">
        <f t="shared" si="9"/>
        <v>271</v>
      </c>
      <c r="S274" s="20" t="str">
        <f>IFERROR(IF([1]对账明细接口!$N274=0,"",[1]对账明细接口!$N274),"")</f>
        <v>公司一次性筐</v>
      </c>
      <c r="T274" s="21" t="str">
        <f>IFERROR(IF([1]对账明细接口!$O274=0,"",[1]对账明细接口!$O274),"")</f>
        <v/>
      </c>
      <c r="U274" s="21" t="str">
        <f>IFERROR(IF([1]对账明细接口!$P274=0,"",[1]对账明细接口!$P274),"")</f>
        <v/>
      </c>
      <c r="V274" s="21">
        <f>IFERROR(IF([1]对账明细接口!$Q274=0,"",[1]对账明细接口!$Q274),"")</f>
        <v>100</v>
      </c>
      <c r="W274" s="20" t="str">
        <f>IFERROR(IF([1]对账明细接口!$R274=0,"",[1]对账明细接口!$R274),"")</f>
        <v>新A*NZ020</v>
      </c>
      <c r="X274" s="20" t="str">
        <f>IFERROR(IF([1]对账明细接口!$S274=0,"",[1]对账明细接口!$S274),"")</f>
        <v>公司筐</v>
      </c>
      <c r="Y274" s="20" t="str">
        <f>IFERROR(IF([1]对账明细接口!$T274=0,"",[1]对账明细接口!$T274),"")</f>
        <v/>
      </c>
      <c r="Z274" s="24" t="str">
        <f>IFERROR(IF([1]对账明细接口!$U274=0,"",[1]对账明细接口!$U274),"")</f>
        <v/>
      </c>
      <c r="AA274" s="24" t="str">
        <f>IFERROR(IF([1]对账明细接口!$V274=0,"",[1]对账明细接口!$V274),"")</f>
        <v/>
      </c>
      <c r="AB274" s="20" t="str">
        <f>IFERROR(IF([1]对账明细接口!$W274=0,"",[1]对账明细接口!$W274),"")</f>
        <v/>
      </c>
      <c r="AC274" s="7" t="str">
        <f>IFERROR(IF([1]对账明细接口!$X274=0,"",[1]对账明细接口!$X274),"")</f>
        <v/>
      </c>
      <c r="AD274" s="7" t="str">
        <f>IFERROR(IF([1]对账明细接口!$Y274=0,"",[1]对账明细接口!$Y274),"")</f>
        <v/>
      </c>
      <c r="AE274" s="7" t="str">
        <f>IFERROR(IF([1]对账明细接口!$AA274=0,"",[1]对账明细接口!$AA274),"")</f>
        <v/>
      </c>
      <c r="AF274" s="7" t="str">
        <f>IFERROR(IF([1]对账明细接口!$AB274=0,"",[1]对账明细接口!$AB274),"")</f>
        <v/>
      </c>
      <c r="AG274" s="7" t="str">
        <f>IFERROR(IF([1]对账明细接口!$AC274=0,"",[1]对账明细接口!$AC274),"")</f>
        <v/>
      </c>
      <c r="AH274" s="7" t="str">
        <f>IFERROR(IF([1]对账明细接口!$AD274=0,"",[1]对账明细接口!$AD274),"")</f>
        <v/>
      </c>
      <c r="AI274" s="7" t="str">
        <f>IFERROR(IF([1]对账明细接口!$AE274=0,"",[1]对账明细接口!$AE274),"")</f>
        <v/>
      </c>
      <c r="AJ274" s="7" t="str">
        <f>IFERROR(IF([1]对账明细接口!$AF274=0,"",[1]对账明细接口!$AF274),"")</f>
        <v/>
      </c>
    </row>
    <row r="275" ht="14.25" customHeight="1" spans="1:36">
      <c r="A275" s="14">
        <v>275</v>
      </c>
      <c r="B275" s="15">
        <f>IFERROR(IF([1]对账明细接口!$B$275=0,"",[1]对账明细接口!$B$275),"")</f>
        <v>46282</v>
      </c>
      <c r="C275" s="16" t="str">
        <f>IFERROR(IF([1]对账明细接口!$C$275=0,"",[1]对账明细接口!$C$275),"")</f>
        <v>吐尔逊</v>
      </c>
      <c r="D275" s="16" t="str">
        <f>IFERROR(IF([1]对账明细接口!$D$275=0,"",[1]对账明细接口!$D$275),"")</f>
        <v>原料入库</v>
      </c>
      <c r="E275" s="16" t="str">
        <f>IFERROR(IF([1]对账明细接口!$E$275=0,"",[1]对账明细接口!$E$275),"")</f>
        <v>NO:0000886</v>
      </c>
      <c r="F275" s="16" t="str">
        <f>IFERROR(IF([1]对账明细接口!$F$275=0,"",[1]对账明细接口!$F$275),"")</f>
        <v>香梨</v>
      </c>
      <c r="G275" s="16" t="str">
        <f>IFERROR(IF([1]对账明细接口!$G$275=0,"",[1]对账明细接口!$G$275),"")</f>
        <v>香梨二级</v>
      </c>
      <c r="H275" s="17">
        <f>IFERROR(IF([1]对账明细接口!$H$275=0,"",[1]对账明细接口!$H$275),"")</f>
        <v>100</v>
      </c>
      <c r="I275" s="16" t="str">
        <f>IFERROR(IF([1]对账明细接口!$I$275=0,"",[1]对账明细接口!$I$275),"")</f>
        <v>筐</v>
      </c>
      <c r="J275" s="18">
        <f>IFERROR(IF([1]对账明细接口!$J$275=0,"",[1]对账明细接口!$J$275),"")</f>
        <v>2450</v>
      </c>
      <c r="K275" s="18" t="str">
        <f>IFERROR(IF([1]对账明细接口!$K$275=0,"",[1]对账明细接口!$K$275),"")</f>
        <v/>
      </c>
      <c r="L275" s="16" t="str">
        <f>IFERROR(IF([1]对账明细接口!$L$275=0,"",[1]对账明细接口!$L$275),"")</f>
        <v/>
      </c>
      <c r="M275" s="16" t="str">
        <f>IFERROR(IF([1]对账明细接口!$M$275=0,"",[1]对账明细接口!$M$275),"")</f>
        <v/>
      </c>
      <c r="N275" s="19">
        <f t="shared" si="8"/>
        <v>1</v>
      </c>
      <c r="O275" s="19">
        <f t="shared" si="9"/>
        <v>272</v>
      </c>
      <c r="S275" s="20" t="str">
        <f>IFERROR(IF([1]对账明细接口!$N275=0,"",[1]对账明细接口!$N275),"")</f>
        <v>公司一次性筐</v>
      </c>
      <c r="T275" s="21" t="str">
        <f>IFERROR(IF([1]对账明细接口!$O275=0,"",[1]对账明细接口!$O275),"")</f>
        <v/>
      </c>
      <c r="U275" s="21" t="str">
        <f>IFERROR(IF([1]对账明细接口!$P275=0,"",[1]对账明细接口!$P275),"")</f>
        <v/>
      </c>
      <c r="V275" s="21">
        <f>IFERROR(IF([1]对账明细接口!$Q275=0,"",[1]对账明细接口!$Q275),"")</f>
        <v>100</v>
      </c>
      <c r="W275" s="20" t="str">
        <f>IFERROR(IF([1]对账明细接口!$R275=0,"",[1]对账明细接口!$R275),"")</f>
        <v>新A*NZ020</v>
      </c>
      <c r="X275" s="20" t="str">
        <f>IFERROR(IF([1]对账明细接口!$S275=0,"",[1]对账明细接口!$S275),"")</f>
        <v>公司筐</v>
      </c>
      <c r="Y275" s="20" t="str">
        <f>IFERROR(IF([1]对账明细接口!$T275=0,"",[1]对账明细接口!$T275),"")</f>
        <v/>
      </c>
      <c r="Z275" s="24" t="str">
        <f>IFERROR(IF([1]对账明细接口!$U275=0,"",[1]对账明细接口!$U275),"")</f>
        <v/>
      </c>
      <c r="AA275" s="24" t="str">
        <f>IFERROR(IF([1]对账明细接口!$V275=0,"",[1]对账明细接口!$V275),"")</f>
        <v/>
      </c>
      <c r="AB275" s="20" t="str">
        <f>IFERROR(IF([1]对账明细接口!$W275=0,"",[1]对账明细接口!$W275),"")</f>
        <v/>
      </c>
      <c r="AC275" s="7" t="str">
        <f>IFERROR(IF([1]对账明细接口!$X275=0,"",[1]对账明细接口!$X275),"")</f>
        <v/>
      </c>
      <c r="AD275" s="7" t="str">
        <f>IFERROR(IF([1]对账明细接口!$Y275=0,"",[1]对账明细接口!$Y275),"")</f>
        <v/>
      </c>
      <c r="AE275" s="7" t="str">
        <f>IFERROR(IF([1]对账明细接口!$AA275=0,"",[1]对账明细接口!$AA275),"")</f>
        <v/>
      </c>
      <c r="AF275" s="7" t="str">
        <f>IFERROR(IF([1]对账明细接口!$AB275=0,"",[1]对账明细接口!$AB275),"")</f>
        <v/>
      </c>
      <c r="AG275" s="7" t="str">
        <f>IFERROR(IF([1]对账明细接口!$AC275=0,"",[1]对账明细接口!$AC275),"")</f>
        <v/>
      </c>
      <c r="AH275" s="7" t="str">
        <f>IFERROR(IF([1]对账明细接口!$AD275=0,"",[1]对账明细接口!$AD275),"")</f>
        <v/>
      </c>
      <c r="AI275" s="7" t="str">
        <f>IFERROR(IF([1]对账明细接口!$AE275=0,"",[1]对账明细接口!$AE275),"")</f>
        <v/>
      </c>
      <c r="AJ275" s="7" t="str">
        <f>IFERROR(IF([1]对账明细接口!$AF275=0,"",[1]对账明细接口!$AF275),"")</f>
        <v/>
      </c>
    </row>
    <row r="276" ht="14.25" customHeight="1" spans="1:36">
      <c r="A276" s="14">
        <v>276</v>
      </c>
      <c r="B276" s="15">
        <f>IFERROR(IF([1]对账明细接口!$B$276=0,"",[1]对账明细接口!$B$276),"")</f>
        <v>46282</v>
      </c>
      <c r="C276" s="16" t="str">
        <f>IFERROR(IF([1]对账明细接口!$C$276=0,"",[1]对账明细接口!$C$276),"")</f>
        <v>王照雪</v>
      </c>
      <c r="D276" s="16" t="str">
        <f>IFERROR(IF([1]对账明细接口!$D$276=0,"",[1]对账明细接口!$D$276),"")</f>
        <v>原料入库</v>
      </c>
      <c r="E276" s="16" t="str">
        <f>IFERROR(IF([1]对账明细接口!$E$276=0,"",[1]对账明细接口!$E$276),"")</f>
        <v>NO:0000888</v>
      </c>
      <c r="F276" s="16" t="str">
        <f>IFERROR(IF([1]对账明细接口!$F$276=0,"",[1]对账明细接口!$F$276),"")</f>
        <v>苹果</v>
      </c>
      <c r="G276" s="16" t="str">
        <f>IFERROR(IF([1]对账明细接口!$G$276=0,"",[1]对账明细接口!$G$276),"")</f>
        <v>新世纪一级</v>
      </c>
      <c r="H276" s="17">
        <f>IFERROR(IF([1]对账明细接口!$H$276=0,"",[1]对账明细接口!$H$276),"")</f>
        <v>125</v>
      </c>
      <c r="I276" s="16" t="str">
        <f>IFERROR(IF([1]对账明细接口!$I$276=0,"",[1]对账明细接口!$I$276),"")</f>
        <v>筐</v>
      </c>
      <c r="J276" s="18">
        <f>IFERROR(IF([1]对账明细接口!$J$276=0,"",[1]对账明细接口!$J$276),"")</f>
        <v>2162.5</v>
      </c>
      <c r="K276" s="18" t="str">
        <f>IFERROR(IF([1]对账明细接口!$K$276=0,"",[1]对账明细接口!$K$276),"")</f>
        <v/>
      </c>
      <c r="L276" s="16" t="str">
        <f>IFERROR(IF([1]对账明细接口!$L$276=0,"",[1]对账明细接口!$L$276),"")</f>
        <v/>
      </c>
      <c r="M276" s="16" t="str">
        <f>IFERROR(IF([1]对账明细接口!$M$276=0,"",[1]对账明细接口!$M$276),"")</f>
        <v/>
      </c>
      <c r="N276" s="19">
        <f t="shared" si="8"/>
        <v>1</v>
      </c>
      <c r="O276" s="19">
        <f t="shared" si="9"/>
        <v>273</v>
      </c>
      <c r="S276" s="20" t="str">
        <f>IFERROR(IF([1]对账明细接口!$N276=0,"",[1]对账明细接口!$N276),"")</f>
        <v>公司杂周转筐</v>
      </c>
      <c r="T276" s="21" t="str">
        <f>IFERROR(IF([1]对账明细接口!$O276=0,"",[1]对账明细接口!$O276),"")</f>
        <v/>
      </c>
      <c r="U276" s="21" t="str">
        <f>IFERROR(IF([1]对账明细接口!$P276=0,"",[1]对账明细接口!$P276),"")</f>
        <v/>
      </c>
      <c r="V276" s="21">
        <f>IFERROR(IF([1]对账明细接口!$Q276=0,"",[1]对账明细接口!$Q276),"")</f>
        <v>125</v>
      </c>
      <c r="W276" s="20" t="str">
        <f>IFERROR(IF([1]对账明细接口!$R276=0,"",[1]对账明细接口!$R276),"")</f>
        <v>豫L*88X19</v>
      </c>
      <c r="X276" s="20" t="str">
        <f>IFERROR(IF([1]对账明细接口!$S276=0,"",[1]对账明细接口!$S276),"")</f>
        <v>公司筐</v>
      </c>
      <c r="Y276" s="20" t="str">
        <f>IFERROR(IF([1]对账明细接口!$T276=0,"",[1]对账明细接口!$T276),"")</f>
        <v/>
      </c>
      <c r="Z276" s="24" t="str">
        <f>IFERROR(IF([1]对账明细接口!$U276=0,"",[1]对账明细接口!$U276),"")</f>
        <v/>
      </c>
      <c r="AA276" s="24" t="str">
        <f>IFERROR(IF([1]对账明细接口!$V276=0,"",[1]对账明细接口!$V276),"")</f>
        <v/>
      </c>
      <c r="AB276" s="20" t="str">
        <f>IFERROR(IF([1]对账明细接口!$W276=0,"",[1]对账明细接口!$W276),"")</f>
        <v/>
      </c>
      <c r="AC276" s="7" t="str">
        <f>IFERROR(IF([1]对账明细接口!$X276=0,"",[1]对账明细接口!$X276),"")</f>
        <v/>
      </c>
      <c r="AD276" s="7" t="str">
        <f>IFERROR(IF([1]对账明细接口!$Y276=0,"",[1]对账明细接口!$Y276),"")</f>
        <v/>
      </c>
      <c r="AE276" s="7" t="str">
        <f>IFERROR(IF([1]对账明细接口!$AA276=0,"",[1]对账明细接口!$AA276),"")</f>
        <v/>
      </c>
      <c r="AF276" s="7" t="str">
        <f>IFERROR(IF([1]对账明细接口!$AB276=0,"",[1]对账明细接口!$AB276),"")</f>
        <v/>
      </c>
      <c r="AG276" s="7" t="str">
        <f>IFERROR(IF([1]对账明细接口!$AC276=0,"",[1]对账明细接口!$AC276),"")</f>
        <v/>
      </c>
      <c r="AH276" s="7" t="str">
        <f>IFERROR(IF([1]对账明细接口!$AD276=0,"",[1]对账明细接口!$AD276),"")</f>
        <v/>
      </c>
      <c r="AI276" s="7" t="str">
        <f>IFERROR(IF([1]对账明细接口!$AE276=0,"",[1]对账明细接口!$AE276),"")</f>
        <v/>
      </c>
      <c r="AJ276" s="7" t="str">
        <f>IFERROR(IF([1]对账明细接口!$AF276=0,"",[1]对账明细接口!$AF276),"")</f>
        <v/>
      </c>
    </row>
    <row r="277" ht="14.25" customHeight="1" spans="1:36">
      <c r="A277" s="14">
        <v>277</v>
      </c>
      <c r="B277" s="15">
        <f>IFERROR(IF([1]对账明细接口!$B$277=0,"",[1]对账明细接口!$B$277),"")</f>
        <v>46282</v>
      </c>
      <c r="C277" s="16" t="str">
        <f>IFERROR(IF([1]对账明细接口!$C$277=0,"",[1]对账明细接口!$C$277),"")</f>
        <v>王照雪</v>
      </c>
      <c r="D277" s="16" t="str">
        <f>IFERROR(IF([1]对账明细接口!$D$277=0,"",[1]对账明细接口!$D$277),"")</f>
        <v>原料入库</v>
      </c>
      <c r="E277" s="16" t="str">
        <f>IFERROR(IF([1]对账明细接口!$E$277=0,"",[1]对账明细接口!$E$277),"")</f>
        <v>NO:0000888</v>
      </c>
      <c r="F277" s="16" t="str">
        <f>IFERROR(IF([1]对账明细接口!$F$277=0,"",[1]对账明细接口!$F$277),"")</f>
        <v>苹果</v>
      </c>
      <c r="G277" s="16" t="str">
        <f>IFERROR(IF([1]对账明细接口!$G$277=0,"",[1]对账明细接口!$G$277),"")</f>
        <v>新世纪二级</v>
      </c>
      <c r="H277" s="17">
        <f>IFERROR(IF([1]对账明细接口!$H$277=0,"",[1]对账明细接口!$H$277),"")</f>
        <v>28</v>
      </c>
      <c r="I277" s="16" t="str">
        <f>IFERROR(IF([1]对账明细接口!$I$277=0,"",[1]对账明细接口!$I$277),"")</f>
        <v>筐</v>
      </c>
      <c r="J277" s="18">
        <f>IFERROR(IF([1]对账明细接口!$J$277=0,"",[1]对账明细接口!$J$277),"")</f>
        <v>568.4</v>
      </c>
      <c r="K277" s="18" t="str">
        <f>IFERROR(IF([1]对账明细接口!$K$277=0,"",[1]对账明细接口!$K$277),"")</f>
        <v/>
      </c>
      <c r="L277" s="16" t="str">
        <f>IFERROR(IF([1]对账明细接口!$L$277=0,"",[1]对账明细接口!$L$277),"")</f>
        <v/>
      </c>
      <c r="M277" s="16" t="str">
        <f>IFERROR(IF([1]对账明细接口!$M$277=0,"",[1]对账明细接口!$M$277),"")</f>
        <v/>
      </c>
      <c r="N277" s="19">
        <f t="shared" si="8"/>
        <v>1</v>
      </c>
      <c r="O277" s="19">
        <f t="shared" si="9"/>
        <v>274</v>
      </c>
      <c r="S277" s="20" t="str">
        <f>IFERROR(IF([1]对账明细接口!$N277=0,"",[1]对账明细接口!$N277),"")</f>
        <v>公司杂周转筐</v>
      </c>
      <c r="T277" s="21" t="str">
        <f>IFERROR(IF([1]对账明细接口!$O277=0,"",[1]对账明细接口!$O277),"")</f>
        <v/>
      </c>
      <c r="U277" s="21" t="str">
        <f>IFERROR(IF([1]对账明细接口!$P277=0,"",[1]对账明细接口!$P277),"")</f>
        <v/>
      </c>
      <c r="V277" s="21">
        <f>IFERROR(IF([1]对账明细接口!$Q277=0,"",[1]对账明细接口!$Q277),"")</f>
        <v>28</v>
      </c>
      <c r="W277" s="20" t="str">
        <f>IFERROR(IF([1]对账明细接口!$R277=0,"",[1]对账明细接口!$R277),"")</f>
        <v>豫L*88X19</v>
      </c>
      <c r="X277" s="20" t="str">
        <f>IFERROR(IF([1]对账明细接口!$S277=0,"",[1]对账明细接口!$S277),"")</f>
        <v>公司筐</v>
      </c>
      <c r="Y277" s="20" t="str">
        <f>IFERROR(IF([1]对账明细接口!$T277=0,"",[1]对账明细接口!$T277),"")</f>
        <v/>
      </c>
      <c r="Z277" s="24" t="str">
        <f>IFERROR(IF([1]对账明细接口!$U277=0,"",[1]对账明细接口!$U277),"")</f>
        <v/>
      </c>
      <c r="AA277" s="24" t="str">
        <f>IFERROR(IF([1]对账明细接口!$V277=0,"",[1]对账明细接口!$V277),"")</f>
        <v/>
      </c>
      <c r="AB277" s="20" t="str">
        <f>IFERROR(IF([1]对账明细接口!$W277=0,"",[1]对账明细接口!$W277),"")</f>
        <v/>
      </c>
      <c r="AC277" s="7" t="str">
        <f>IFERROR(IF([1]对账明细接口!$X277=0,"",[1]对账明细接口!$X277),"")</f>
        <v/>
      </c>
      <c r="AD277" s="7" t="str">
        <f>IFERROR(IF([1]对账明细接口!$Y277=0,"",[1]对账明细接口!$Y277),"")</f>
        <v/>
      </c>
      <c r="AE277" s="7" t="str">
        <f>IFERROR(IF([1]对账明细接口!$AA277=0,"",[1]对账明细接口!$AA277),"")</f>
        <v/>
      </c>
      <c r="AF277" s="7" t="str">
        <f>IFERROR(IF([1]对账明细接口!$AB277=0,"",[1]对账明细接口!$AB277),"")</f>
        <v/>
      </c>
      <c r="AG277" s="7" t="str">
        <f>IFERROR(IF([1]对账明细接口!$AC277=0,"",[1]对账明细接口!$AC277),"")</f>
        <v/>
      </c>
      <c r="AH277" s="7" t="str">
        <f>IFERROR(IF([1]对账明细接口!$AD277=0,"",[1]对账明细接口!$AD277),"")</f>
        <v/>
      </c>
      <c r="AI277" s="7" t="str">
        <f>IFERROR(IF([1]对账明细接口!$AE277=0,"",[1]对账明细接口!$AE277),"")</f>
        <v/>
      </c>
      <c r="AJ277" s="7" t="str">
        <f>IFERROR(IF([1]对账明细接口!$AF277=0,"",[1]对账明细接口!$AF277),"")</f>
        <v/>
      </c>
    </row>
    <row r="278" ht="14.25" customHeight="1" spans="1:36">
      <c r="A278" s="14">
        <v>278</v>
      </c>
      <c r="B278" s="15">
        <f>IFERROR(IF([1]对账明细接口!$B$278=0,"",[1]对账明细接口!$B$278),"")</f>
        <v>46282</v>
      </c>
      <c r="C278" s="16" t="str">
        <f>IFERROR(IF([1]对账明细接口!$C$278=0,"",[1]对账明细接口!$C$278),"")</f>
        <v>王照雪</v>
      </c>
      <c r="D278" s="16" t="str">
        <f>IFERROR(IF([1]对账明细接口!$D$278=0,"",[1]对账明细接口!$D$278),"")</f>
        <v>原料入库</v>
      </c>
      <c r="E278" s="16" t="str">
        <f>IFERROR(IF([1]对账明细接口!$E$278=0,"",[1]对账明细接口!$E$278),"")</f>
        <v>NO:0000888</v>
      </c>
      <c r="F278" s="16" t="str">
        <f>IFERROR(IF([1]对账明细接口!$F$278=0,"",[1]对账明细接口!$F$278),"")</f>
        <v>苹果</v>
      </c>
      <c r="G278" s="16" t="str">
        <f>IFERROR(IF([1]对账明细接口!$G$278=0,"",[1]对账明细接口!$G$278),"")</f>
        <v>玫瑰红一级</v>
      </c>
      <c r="H278" s="17">
        <f>IFERROR(IF([1]对账明细接口!$H$278=0,"",[1]对账明细接口!$H$278),"")</f>
        <v>24</v>
      </c>
      <c r="I278" s="16" t="str">
        <f>IFERROR(IF([1]对账明细接口!$I$278=0,"",[1]对账明细接口!$I$278),"")</f>
        <v>筐</v>
      </c>
      <c r="J278" s="18">
        <f>IFERROR(IF([1]对账明细接口!$J$278=0,"",[1]对账明细接口!$J$278),"")</f>
        <v>415.2</v>
      </c>
      <c r="K278" s="18" t="str">
        <f>IFERROR(IF([1]对账明细接口!$K$278=0,"",[1]对账明细接口!$K$278),"")</f>
        <v/>
      </c>
      <c r="L278" s="16" t="str">
        <f>IFERROR(IF([1]对账明细接口!$L$278=0,"",[1]对账明细接口!$L$278),"")</f>
        <v/>
      </c>
      <c r="M278" s="16" t="str">
        <f>IFERROR(IF([1]对账明细接口!$M$278=0,"",[1]对账明细接口!$M$278),"")</f>
        <v/>
      </c>
      <c r="N278" s="19">
        <f t="shared" si="8"/>
        <v>1</v>
      </c>
      <c r="O278" s="19">
        <f t="shared" si="9"/>
        <v>275</v>
      </c>
      <c r="S278" s="20" t="str">
        <f>IFERROR(IF([1]对账明细接口!$N278=0,"",[1]对账明细接口!$N278),"")</f>
        <v>公司杂周转筐</v>
      </c>
      <c r="T278" s="21" t="str">
        <f>IFERROR(IF([1]对账明细接口!$O278=0,"",[1]对账明细接口!$O278),"")</f>
        <v/>
      </c>
      <c r="U278" s="21" t="str">
        <f>IFERROR(IF([1]对账明细接口!$P278=0,"",[1]对账明细接口!$P278),"")</f>
        <v/>
      </c>
      <c r="V278" s="21">
        <f>IFERROR(IF([1]对账明细接口!$Q278=0,"",[1]对账明细接口!$Q278),"")</f>
        <v>24</v>
      </c>
      <c r="W278" s="20" t="str">
        <f>IFERROR(IF([1]对账明细接口!$R278=0,"",[1]对账明细接口!$R278),"")</f>
        <v>豫L*88X19</v>
      </c>
      <c r="X278" s="20" t="str">
        <f>IFERROR(IF([1]对账明细接口!$S278=0,"",[1]对账明细接口!$S278),"")</f>
        <v>公司筐</v>
      </c>
      <c r="Y278" s="20" t="str">
        <f>IFERROR(IF([1]对账明细接口!$T278=0,"",[1]对账明细接口!$T278),"")</f>
        <v/>
      </c>
      <c r="Z278" s="24" t="str">
        <f>IFERROR(IF([1]对账明细接口!$U278=0,"",[1]对账明细接口!$U278),"")</f>
        <v/>
      </c>
      <c r="AA278" s="24" t="str">
        <f>IFERROR(IF([1]对账明细接口!$V278=0,"",[1]对账明细接口!$V278),"")</f>
        <v/>
      </c>
      <c r="AB278" s="20" t="str">
        <f>IFERROR(IF([1]对账明细接口!$W278=0,"",[1]对账明细接口!$W278),"")</f>
        <v/>
      </c>
      <c r="AC278" s="7" t="str">
        <f>IFERROR(IF([1]对账明细接口!$X278=0,"",[1]对账明细接口!$X278),"")</f>
        <v/>
      </c>
      <c r="AD278" s="7" t="str">
        <f>IFERROR(IF([1]对账明细接口!$Y278=0,"",[1]对账明细接口!$Y278),"")</f>
        <v/>
      </c>
      <c r="AE278" s="7" t="str">
        <f>IFERROR(IF([1]对账明细接口!$AA278=0,"",[1]对账明细接口!$AA278),"")</f>
        <v/>
      </c>
      <c r="AF278" s="7" t="str">
        <f>IFERROR(IF([1]对账明细接口!$AB278=0,"",[1]对账明细接口!$AB278),"")</f>
        <v/>
      </c>
      <c r="AG278" s="7" t="str">
        <f>IFERROR(IF([1]对账明细接口!$AC278=0,"",[1]对账明细接口!$AC278),"")</f>
        <v/>
      </c>
      <c r="AH278" s="7" t="str">
        <f>IFERROR(IF([1]对账明细接口!$AD278=0,"",[1]对账明细接口!$AD278),"")</f>
        <v/>
      </c>
      <c r="AI278" s="7" t="str">
        <f>IFERROR(IF([1]对账明细接口!$AE278=0,"",[1]对账明细接口!$AE278),"")</f>
        <v/>
      </c>
      <c r="AJ278" s="7" t="str">
        <f>IFERROR(IF([1]对账明细接口!$AF278=0,"",[1]对账明细接口!$AF278),"")</f>
        <v/>
      </c>
    </row>
    <row r="279" ht="14.25" customHeight="1" spans="1:36">
      <c r="A279" s="14">
        <v>279</v>
      </c>
      <c r="B279" s="15">
        <f>IFERROR(IF([1]对账明细接口!$B$279=0,"",[1]对账明细接口!$B$279),"")</f>
        <v>46282</v>
      </c>
      <c r="C279" s="16" t="str">
        <f>IFERROR(IF([1]对账明细接口!$C$279=0,"",[1]对账明细接口!$C$279),"")</f>
        <v>阿布都</v>
      </c>
      <c r="D279" s="16" t="str">
        <f>IFERROR(IF([1]对账明细接口!$D$279=0,"",[1]对账明细接口!$D$279),"")</f>
        <v>原料入库</v>
      </c>
      <c r="E279" s="16" t="str">
        <f>IFERROR(IF([1]对账明细接口!$E$279=0,"",[1]对账明细接口!$E$279),"")</f>
        <v>NO:0000891</v>
      </c>
      <c r="F279" s="16" t="str">
        <f>IFERROR(IF([1]对账明细接口!$F$279=0,"",[1]对账明细接口!$F$279),"")</f>
        <v>香梨</v>
      </c>
      <c r="G279" s="16" t="str">
        <f>IFERROR(IF([1]对账明细接口!$G$279=0,"",[1]对账明细接口!$G$279),"")</f>
        <v>香梨特级</v>
      </c>
      <c r="H279" s="17">
        <f>IFERROR(IF([1]对账明细接口!$H$279=0,"",[1]对账明细接口!$H$279),"")</f>
        <v>118</v>
      </c>
      <c r="I279" s="16" t="str">
        <f>IFERROR(IF([1]对账明细接口!$I$279=0,"",[1]对账明细接口!$I$279),"")</f>
        <v>筐</v>
      </c>
      <c r="J279" s="18">
        <f>IFERROR(IF([1]对账明细接口!$J$279=0,"",[1]对账明细接口!$J$279),"")</f>
        <v>2159.4</v>
      </c>
      <c r="K279" s="18" t="str">
        <f>IFERROR(IF([1]对账明细接口!$K$279=0,"",[1]对账明细接口!$K$279),"")</f>
        <v/>
      </c>
      <c r="L279" s="16" t="str">
        <f>IFERROR(IF([1]对账明细接口!$L$279=0,"",[1]对账明细接口!$L$279),"")</f>
        <v/>
      </c>
      <c r="M279" s="16" t="str">
        <f>IFERROR(IF([1]对账明细接口!$M$279=0,"",[1]对账明细接口!$M$279),"")</f>
        <v>努尔敦</v>
      </c>
      <c r="N279" s="19">
        <f t="shared" si="8"/>
        <v>1</v>
      </c>
      <c r="O279" s="19">
        <f t="shared" si="9"/>
        <v>276</v>
      </c>
      <c r="S279" s="20" t="str">
        <f>IFERROR(IF([1]对账明细接口!$N279=0,"",[1]对账明细接口!$N279),"")</f>
        <v>公司红周转筐</v>
      </c>
      <c r="T279" s="21" t="str">
        <f>IFERROR(IF([1]对账明细接口!$O279=0,"",[1]对账明细接口!$O279),"")</f>
        <v/>
      </c>
      <c r="U279" s="21" t="str">
        <f>IFERROR(IF([1]对账明细接口!$P279=0,"",[1]对账明细接口!$P279),"")</f>
        <v/>
      </c>
      <c r="V279" s="21">
        <f>IFERROR(IF([1]对账明细接口!$Q279=0,"",[1]对账明细接口!$Q279),"")</f>
        <v>118</v>
      </c>
      <c r="W279" s="20" t="str">
        <f>IFERROR(IF([1]对账明细接口!$R279=0,"",[1]对账明细接口!$R279),"")</f>
        <v>新N*F0M01</v>
      </c>
      <c r="X279" s="20" t="str">
        <f>IFERROR(IF([1]对账明细接口!$S279=0,"",[1]对账明细接口!$S279),"")</f>
        <v>公司筐</v>
      </c>
      <c r="Y279" s="20" t="str">
        <f>IFERROR(IF([1]对账明细接口!$T279=0,"",[1]对账明细接口!$T279),"")</f>
        <v/>
      </c>
      <c r="Z279" s="24" t="str">
        <f>IFERROR(IF([1]对账明细接口!$U279=0,"",[1]对账明细接口!$U279),"")</f>
        <v/>
      </c>
      <c r="AA279" s="24" t="str">
        <f>IFERROR(IF([1]对账明细接口!$V279=0,"",[1]对账明细接口!$V279),"")</f>
        <v/>
      </c>
      <c r="AB279" s="20" t="str">
        <f>IFERROR(IF([1]对账明细接口!$W279=0,"",[1]对账明细接口!$W279),"")</f>
        <v/>
      </c>
      <c r="AC279" s="7" t="str">
        <f>IFERROR(IF([1]对账明细接口!$X279=0,"",[1]对账明细接口!$X279),"")</f>
        <v/>
      </c>
      <c r="AD279" s="7" t="str">
        <f>IFERROR(IF([1]对账明细接口!$Y279=0,"",[1]对账明细接口!$Y279),"")</f>
        <v/>
      </c>
      <c r="AE279" s="7" t="str">
        <f>IFERROR(IF([1]对账明细接口!$AA279=0,"",[1]对账明细接口!$AA279),"")</f>
        <v/>
      </c>
      <c r="AF279" s="7" t="str">
        <f>IFERROR(IF([1]对账明细接口!$AB279=0,"",[1]对账明细接口!$AB279),"")</f>
        <v/>
      </c>
      <c r="AG279" s="7" t="str">
        <f>IFERROR(IF([1]对账明细接口!$AC279=0,"",[1]对账明细接口!$AC279),"")</f>
        <v/>
      </c>
      <c r="AH279" s="7" t="str">
        <f>IFERROR(IF([1]对账明细接口!$AD279=0,"",[1]对账明细接口!$AD279),"")</f>
        <v/>
      </c>
      <c r="AI279" s="7" t="str">
        <f>IFERROR(IF([1]对账明细接口!$AE279=0,"",[1]对账明细接口!$AE279),"")</f>
        <v/>
      </c>
      <c r="AJ279" s="7" t="str">
        <f>IFERROR(IF([1]对账明细接口!$AF279=0,"",[1]对账明细接口!$AF279),"")</f>
        <v/>
      </c>
    </row>
    <row r="280" ht="14.25" customHeight="1" spans="1:36">
      <c r="A280" s="14">
        <v>280</v>
      </c>
      <c r="B280" s="15">
        <f>IFERROR(IF([1]对账明细接口!$B$280=0,"",[1]对账明细接口!$B$280),"")</f>
        <v>46282</v>
      </c>
      <c r="C280" s="16" t="str">
        <f>IFERROR(IF([1]对账明细接口!$C$280=0,"",[1]对账明细接口!$C$280),"")</f>
        <v>阿布都</v>
      </c>
      <c r="D280" s="16" t="str">
        <f>IFERROR(IF([1]对账明细接口!$D$280=0,"",[1]对账明细接口!$D$280),"")</f>
        <v>原料入库</v>
      </c>
      <c r="E280" s="16" t="str">
        <f>IFERROR(IF([1]对账明细接口!$E$280=0,"",[1]对账明细接口!$E$280),"")</f>
        <v>NO:0000891</v>
      </c>
      <c r="F280" s="16" t="str">
        <f>IFERROR(IF([1]对账明细接口!$F$280=0,"",[1]对账明细接口!$F$280),"")</f>
        <v>香梨</v>
      </c>
      <c r="G280" s="16" t="str">
        <f>IFERROR(IF([1]对账明细接口!$G$280=0,"",[1]对账明细接口!$G$280),"")</f>
        <v>香梨一级</v>
      </c>
      <c r="H280" s="17">
        <f>IFERROR(IF([1]对账明细接口!$H$280=0,"",[1]对账明细接口!$H$280),"")</f>
        <v>43</v>
      </c>
      <c r="I280" s="16" t="str">
        <f>IFERROR(IF([1]对账明细接口!$I$280=0,"",[1]对账明细接口!$I$280),"")</f>
        <v>筐</v>
      </c>
      <c r="J280" s="18">
        <f>IFERROR(IF([1]对账明细接口!$J$280=0,"",[1]对账明细接口!$J$280),"")</f>
        <v>786.9</v>
      </c>
      <c r="K280" s="18" t="str">
        <f>IFERROR(IF([1]对账明细接口!$K$280=0,"",[1]对账明细接口!$K$280),"")</f>
        <v/>
      </c>
      <c r="L280" s="16" t="str">
        <f>IFERROR(IF([1]对账明细接口!$L$280=0,"",[1]对账明细接口!$L$280),"")</f>
        <v/>
      </c>
      <c r="M280" s="16" t="str">
        <f>IFERROR(IF([1]对账明细接口!$M$280=0,"",[1]对账明细接口!$M$280),"")</f>
        <v>努尔敦</v>
      </c>
      <c r="N280" s="19">
        <f t="shared" si="8"/>
        <v>1</v>
      </c>
      <c r="O280" s="19">
        <f t="shared" si="9"/>
        <v>277</v>
      </c>
      <c r="S280" s="20" t="str">
        <f>IFERROR(IF([1]对账明细接口!$N280=0,"",[1]对账明细接口!$N280),"")</f>
        <v>公司红周转筐</v>
      </c>
      <c r="T280" s="21" t="str">
        <f>IFERROR(IF([1]对账明细接口!$O280=0,"",[1]对账明细接口!$O280),"")</f>
        <v/>
      </c>
      <c r="U280" s="21" t="str">
        <f>IFERROR(IF([1]对账明细接口!$P280=0,"",[1]对账明细接口!$P280),"")</f>
        <v/>
      </c>
      <c r="V280" s="21">
        <f>IFERROR(IF([1]对账明细接口!$Q280=0,"",[1]对账明细接口!$Q280),"")</f>
        <v>43</v>
      </c>
      <c r="W280" s="20" t="str">
        <f>IFERROR(IF([1]对账明细接口!$R280=0,"",[1]对账明细接口!$R280),"")</f>
        <v>新N*F0M01</v>
      </c>
      <c r="X280" s="20" t="str">
        <f>IFERROR(IF([1]对账明细接口!$S280=0,"",[1]对账明细接口!$S280),"")</f>
        <v>公司筐</v>
      </c>
      <c r="Y280" s="20" t="str">
        <f>IFERROR(IF([1]对账明细接口!$T280=0,"",[1]对账明细接口!$T280),"")</f>
        <v/>
      </c>
      <c r="Z280" s="24" t="str">
        <f>IFERROR(IF([1]对账明细接口!$U280=0,"",[1]对账明细接口!$U280),"")</f>
        <v/>
      </c>
      <c r="AA280" s="24" t="str">
        <f>IFERROR(IF([1]对账明细接口!$V280=0,"",[1]对账明细接口!$V280),"")</f>
        <v/>
      </c>
      <c r="AB280" s="20" t="str">
        <f>IFERROR(IF([1]对账明细接口!$W280=0,"",[1]对账明细接口!$W280),"")</f>
        <v/>
      </c>
      <c r="AC280" s="7" t="str">
        <f>IFERROR(IF([1]对账明细接口!$X280=0,"",[1]对账明细接口!$X280),"")</f>
        <v/>
      </c>
      <c r="AD280" s="7" t="str">
        <f>IFERROR(IF([1]对账明细接口!$Y280=0,"",[1]对账明细接口!$Y280),"")</f>
        <v/>
      </c>
      <c r="AE280" s="7" t="str">
        <f>IFERROR(IF([1]对账明细接口!$AA280=0,"",[1]对账明细接口!$AA280),"")</f>
        <v/>
      </c>
      <c r="AF280" s="7" t="str">
        <f>IFERROR(IF([1]对账明细接口!$AB280=0,"",[1]对账明细接口!$AB280),"")</f>
        <v/>
      </c>
      <c r="AG280" s="7" t="str">
        <f>IFERROR(IF([1]对账明细接口!$AC280=0,"",[1]对账明细接口!$AC280),"")</f>
        <v/>
      </c>
      <c r="AH280" s="7" t="str">
        <f>IFERROR(IF([1]对账明细接口!$AD280=0,"",[1]对账明细接口!$AD280),"")</f>
        <v/>
      </c>
      <c r="AI280" s="7" t="str">
        <f>IFERROR(IF([1]对账明细接口!$AE280=0,"",[1]对账明细接口!$AE280),"")</f>
        <v/>
      </c>
      <c r="AJ280" s="7" t="str">
        <f>IFERROR(IF([1]对账明细接口!$AF280=0,"",[1]对账明细接口!$AF280),"")</f>
        <v/>
      </c>
    </row>
    <row r="281" ht="14.25" customHeight="1" spans="1:36">
      <c r="A281" s="14">
        <v>281</v>
      </c>
      <c r="B281" s="15">
        <f>IFERROR(IF([1]对账明细接口!$B$281=0,"",[1]对账明细接口!$B$281),"")</f>
        <v>46282</v>
      </c>
      <c r="C281" s="16" t="str">
        <f>IFERROR(IF([1]对账明细接口!$C$281=0,"",[1]对账明细接口!$C$281),"")</f>
        <v>阿布都</v>
      </c>
      <c r="D281" s="16" t="str">
        <f>IFERROR(IF([1]对账明细接口!$D$281=0,"",[1]对账明细接口!$D$281),"")</f>
        <v>原料入库</v>
      </c>
      <c r="E281" s="16" t="str">
        <f>IFERROR(IF([1]对账明细接口!$E$281=0,"",[1]对账明细接口!$E$281),"")</f>
        <v>NO:0000891</v>
      </c>
      <c r="F281" s="16" t="str">
        <f>IFERROR(IF([1]对账明细接口!$F$281=0,"",[1]对账明细接口!$F$281),"")</f>
        <v>香梨</v>
      </c>
      <c r="G281" s="16" t="str">
        <f>IFERROR(IF([1]对账明细接口!$G$281=0,"",[1]对账明细接口!$G$281),"")</f>
        <v>香梨副特</v>
      </c>
      <c r="H281" s="17">
        <f>IFERROR(IF([1]对账明细接口!$H$281=0,"",[1]对账明细接口!$H$281),"")</f>
        <v>102</v>
      </c>
      <c r="I281" s="16" t="str">
        <f>IFERROR(IF([1]对账明细接口!$I$281=0,"",[1]对账明细接口!$I$281),"")</f>
        <v>筐</v>
      </c>
      <c r="J281" s="18">
        <f>IFERROR(IF([1]对账明细接口!$J$281=0,"",[1]对账明细接口!$J$281),"")</f>
        <v>1866.6</v>
      </c>
      <c r="K281" s="18" t="str">
        <f>IFERROR(IF([1]对账明细接口!$K$281=0,"",[1]对账明细接口!$K$281),"")</f>
        <v/>
      </c>
      <c r="L281" s="16" t="str">
        <f>IFERROR(IF([1]对账明细接口!$L$281=0,"",[1]对账明细接口!$L$281),"")</f>
        <v/>
      </c>
      <c r="M281" s="16" t="str">
        <f>IFERROR(IF([1]对账明细接口!$M$281=0,"",[1]对账明细接口!$M$281),"")</f>
        <v>努尔敦</v>
      </c>
      <c r="N281" s="19">
        <f t="shared" si="8"/>
        <v>1</v>
      </c>
      <c r="O281" s="19">
        <f t="shared" si="9"/>
        <v>278</v>
      </c>
      <c r="S281" s="20" t="str">
        <f>IFERROR(IF([1]对账明细接口!$N281=0,"",[1]对账明细接口!$N281),"")</f>
        <v>公司红周转筐</v>
      </c>
      <c r="T281" s="21" t="str">
        <f>IFERROR(IF([1]对账明细接口!$O281=0,"",[1]对账明细接口!$O281),"")</f>
        <v/>
      </c>
      <c r="U281" s="21" t="str">
        <f>IFERROR(IF([1]对账明细接口!$P281=0,"",[1]对账明细接口!$P281),"")</f>
        <v/>
      </c>
      <c r="V281" s="21">
        <f>IFERROR(IF([1]对账明细接口!$Q281=0,"",[1]对账明细接口!$Q281),"")</f>
        <v>102</v>
      </c>
      <c r="W281" s="20" t="str">
        <f>IFERROR(IF([1]对账明细接口!$R281=0,"",[1]对账明细接口!$R281),"")</f>
        <v>新N*F0M01</v>
      </c>
      <c r="X281" s="20" t="str">
        <f>IFERROR(IF([1]对账明细接口!$S281=0,"",[1]对账明细接口!$S281),"")</f>
        <v>公司筐</v>
      </c>
      <c r="Y281" s="20" t="str">
        <f>IFERROR(IF([1]对账明细接口!$T281=0,"",[1]对账明细接口!$T281),"")</f>
        <v/>
      </c>
      <c r="Z281" s="24" t="str">
        <f>IFERROR(IF([1]对账明细接口!$U281=0,"",[1]对账明细接口!$U281),"")</f>
        <v/>
      </c>
      <c r="AA281" s="24" t="str">
        <f>IFERROR(IF([1]对账明细接口!$V281=0,"",[1]对账明细接口!$V281),"")</f>
        <v/>
      </c>
      <c r="AB281" s="20" t="str">
        <f>IFERROR(IF([1]对账明细接口!$W281=0,"",[1]对账明细接口!$W281),"")</f>
        <v/>
      </c>
      <c r="AC281" s="7" t="str">
        <f>IFERROR(IF([1]对账明细接口!$X281=0,"",[1]对账明细接口!$X281),"")</f>
        <v/>
      </c>
      <c r="AD281" s="7" t="str">
        <f>IFERROR(IF([1]对账明细接口!$Y281=0,"",[1]对账明细接口!$Y281),"")</f>
        <v/>
      </c>
      <c r="AE281" s="7" t="str">
        <f>IFERROR(IF([1]对账明细接口!$AA281=0,"",[1]对账明细接口!$AA281),"")</f>
        <v/>
      </c>
      <c r="AF281" s="7" t="str">
        <f>IFERROR(IF([1]对账明细接口!$AB281=0,"",[1]对账明细接口!$AB281),"")</f>
        <v/>
      </c>
      <c r="AG281" s="7" t="str">
        <f>IFERROR(IF([1]对账明细接口!$AC281=0,"",[1]对账明细接口!$AC281),"")</f>
        <v/>
      </c>
      <c r="AH281" s="7" t="str">
        <f>IFERROR(IF([1]对账明细接口!$AD281=0,"",[1]对账明细接口!$AD281),"")</f>
        <v/>
      </c>
      <c r="AI281" s="7" t="str">
        <f>IFERROR(IF([1]对账明细接口!$AE281=0,"",[1]对账明细接口!$AE281),"")</f>
        <v/>
      </c>
      <c r="AJ281" s="7" t="str">
        <f>IFERROR(IF([1]对账明细接口!$AF281=0,"",[1]对账明细接口!$AF281),"")</f>
        <v/>
      </c>
    </row>
    <row r="282" ht="14.25" customHeight="1" spans="1:36">
      <c r="A282" s="14">
        <v>282</v>
      </c>
      <c r="B282" s="15">
        <f>IFERROR(IF([1]对账明细接口!$B$282=0,"",[1]对账明细接口!$B$282),"")</f>
        <v>46282</v>
      </c>
      <c r="C282" s="16" t="str">
        <f>IFERROR(IF([1]对账明细接口!$C$282=0,"",[1]对账明细接口!$C$282),"")</f>
        <v>阿布都</v>
      </c>
      <c r="D282" s="16" t="str">
        <f>IFERROR(IF([1]对账明细接口!$D$282=0,"",[1]对账明细接口!$D$282),"")</f>
        <v>原料入库</v>
      </c>
      <c r="E282" s="16" t="str">
        <f>IFERROR(IF([1]对账明细接口!$E$282=0,"",[1]对账明细接口!$E$282),"")</f>
        <v>NO:0000891</v>
      </c>
      <c r="F282" s="16" t="str">
        <f>IFERROR(IF([1]对账明细接口!$F$282=0,"",[1]对账明细接口!$F$282),"")</f>
        <v>香梨</v>
      </c>
      <c r="G282" s="16" t="str">
        <f>IFERROR(IF([1]对账明细接口!$G$282=0,"",[1]对账明细接口!$G$282),"")</f>
        <v>香梨副特</v>
      </c>
      <c r="H282" s="17">
        <f>IFERROR(IF([1]对账明细接口!$H$282=0,"",[1]对账明细接口!$H$282),"")</f>
        <v>52</v>
      </c>
      <c r="I282" s="16" t="str">
        <f>IFERROR(IF([1]对账明细接口!$I$282=0,"",[1]对账明细接口!$I$282),"")</f>
        <v>筐</v>
      </c>
      <c r="J282" s="18">
        <f>IFERROR(IF([1]对账明细接口!$J$282=0,"",[1]对账明细接口!$J$282),"")</f>
        <v>1159.6</v>
      </c>
      <c r="K282" s="18" t="str">
        <f>IFERROR(IF([1]对账明细接口!$K$282=0,"",[1]对账明细接口!$K$282),"")</f>
        <v/>
      </c>
      <c r="L282" s="16" t="str">
        <f>IFERROR(IF([1]对账明细接口!$L$282=0,"",[1]对账明细接口!$L$282),"")</f>
        <v/>
      </c>
      <c r="M282" s="16" t="str">
        <f>IFERROR(IF([1]对账明细接口!$M$282=0,"",[1]对账明细接口!$M$282),"")</f>
        <v>努尔敦</v>
      </c>
      <c r="N282" s="19">
        <f t="shared" si="8"/>
        <v>1</v>
      </c>
      <c r="O282" s="19">
        <f t="shared" si="9"/>
        <v>279</v>
      </c>
      <c r="S282" s="20" t="str">
        <f>IFERROR(IF([1]对账明细接口!$N282=0,"",[1]对账明细接口!$N282),"")</f>
        <v>公司红周转筐</v>
      </c>
      <c r="T282" s="21" t="str">
        <f>IFERROR(IF([1]对账明细接口!$O282=0,"",[1]对账明细接口!$O282),"")</f>
        <v/>
      </c>
      <c r="U282" s="21" t="str">
        <f>IFERROR(IF([1]对账明细接口!$P282=0,"",[1]对账明细接口!$P282),"")</f>
        <v/>
      </c>
      <c r="V282" s="21">
        <f>IFERROR(IF([1]对账明细接口!$Q282=0,"",[1]对账明细接口!$Q282),"")</f>
        <v>52</v>
      </c>
      <c r="W282" s="20" t="str">
        <f>IFERROR(IF([1]对账明细接口!$R282=0,"",[1]对账明细接口!$R282),"")</f>
        <v>新N*F0M01</v>
      </c>
      <c r="X282" s="20" t="str">
        <f>IFERROR(IF([1]对账明细接口!$S282=0,"",[1]对账明细接口!$S282),"")</f>
        <v>公司筐</v>
      </c>
      <c r="Y282" s="20" t="str">
        <f>IFERROR(IF([1]对账明细接口!$T282=0,"",[1]对账明细接口!$T282),"")</f>
        <v/>
      </c>
      <c r="Z282" s="24" t="str">
        <f>IFERROR(IF([1]对账明细接口!$U282=0,"",[1]对账明细接口!$U282),"")</f>
        <v/>
      </c>
      <c r="AA282" s="24" t="str">
        <f>IFERROR(IF([1]对账明细接口!$V282=0,"",[1]对账明细接口!$V282),"")</f>
        <v/>
      </c>
      <c r="AB282" s="20" t="str">
        <f>IFERROR(IF([1]对账明细接口!$W282=0,"",[1]对账明细接口!$W282),"")</f>
        <v/>
      </c>
      <c r="AC282" s="7" t="str">
        <f>IFERROR(IF([1]对账明细接口!$X282=0,"",[1]对账明细接口!$X282),"")</f>
        <v/>
      </c>
      <c r="AD282" s="7" t="str">
        <f>IFERROR(IF([1]对账明细接口!$Y282=0,"",[1]对账明细接口!$Y282),"")</f>
        <v/>
      </c>
      <c r="AE282" s="7" t="str">
        <f>IFERROR(IF([1]对账明细接口!$AA282=0,"",[1]对账明细接口!$AA282),"")</f>
        <v/>
      </c>
      <c r="AF282" s="7" t="str">
        <f>IFERROR(IF([1]对账明细接口!$AB282=0,"",[1]对账明细接口!$AB282),"")</f>
        <v/>
      </c>
      <c r="AG282" s="7" t="str">
        <f>IFERROR(IF([1]对账明细接口!$AC282=0,"",[1]对账明细接口!$AC282),"")</f>
        <v/>
      </c>
      <c r="AH282" s="7" t="str">
        <f>IFERROR(IF([1]对账明细接口!$AD282=0,"",[1]对账明细接口!$AD282),"")</f>
        <v/>
      </c>
      <c r="AI282" s="7" t="str">
        <f>IFERROR(IF([1]对账明细接口!$AE282=0,"",[1]对账明细接口!$AE282),"")</f>
        <v/>
      </c>
      <c r="AJ282" s="7" t="str">
        <f>IFERROR(IF([1]对账明细接口!$AF282=0,"",[1]对账明细接口!$AF282),"")</f>
        <v/>
      </c>
    </row>
    <row r="283" ht="14.25" customHeight="1" spans="1:36">
      <c r="A283" s="14">
        <v>283</v>
      </c>
      <c r="B283" s="15">
        <f>IFERROR(IF([1]对账明细接口!$B$283=0,"",[1]对账明细接口!$B$283),"")</f>
        <v>46282</v>
      </c>
      <c r="C283" s="16" t="str">
        <f>IFERROR(IF([1]对账明细接口!$C$283=0,"",[1]对账明细接口!$C$283),"")</f>
        <v>王灵云</v>
      </c>
      <c r="D283" s="16" t="str">
        <f>IFERROR(IF([1]对账明细接口!$D$283=0,"",[1]对账明细接口!$D$283),"")</f>
        <v>原料入库</v>
      </c>
      <c r="E283" s="16" t="str">
        <f>IFERROR(IF([1]对账明细接口!$E$283=0,"",[1]对账明细接口!$E$283),"")</f>
        <v>NO:0000892</v>
      </c>
      <c r="F283" s="16" t="str">
        <f>IFERROR(IF([1]对账明细接口!$F$283=0,"",[1]对账明细接口!$F$283),"")</f>
        <v>香梨</v>
      </c>
      <c r="G283" s="16" t="str">
        <f>IFERROR(IF([1]对账明细接口!$G$283=0,"",[1]对账明细接口!$G$283),"")</f>
        <v>香梨一级</v>
      </c>
      <c r="H283" s="17">
        <f>IFERROR(IF([1]对账明细接口!$H$283=0,"",[1]对账明细接口!$H$283),"")</f>
        <v>528</v>
      </c>
      <c r="I283" s="16" t="str">
        <f>IFERROR(IF([1]对账明细接口!$I$283=0,"",[1]对账明细接口!$I$283),"")</f>
        <v>筐</v>
      </c>
      <c r="J283" s="18">
        <f>IFERROR(IF([1]对账明细接口!$J$283=0,"",[1]对账明细接口!$J$283),"")</f>
        <v>9662.4</v>
      </c>
      <c r="K283" s="18" t="str">
        <f>IFERROR(IF([1]对账明细接口!$K$283=0,"",[1]对账明细接口!$K$283),"")</f>
        <v/>
      </c>
      <c r="L283" s="16" t="str">
        <f>IFERROR(IF([1]对账明细接口!$L$283=0,"",[1]对账明细接口!$L$283),"")</f>
        <v/>
      </c>
      <c r="M283" s="16" t="str">
        <f>IFERROR(IF([1]对账明细接口!$M$283=0,"",[1]对账明细接口!$M$283),"")</f>
        <v>左</v>
      </c>
      <c r="N283" s="19">
        <f t="shared" si="8"/>
        <v>1</v>
      </c>
      <c r="O283" s="19">
        <f t="shared" si="9"/>
        <v>280</v>
      </c>
      <c r="S283" s="20" t="str">
        <f>IFERROR(IF([1]对账明细接口!$N283=0,"",[1]对账明细接口!$N283),"")</f>
        <v>公司红周转筐</v>
      </c>
      <c r="T283" s="21" t="str">
        <f>IFERROR(IF([1]对账明细接口!$O283=0,"",[1]对账明细接口!$O283),"")</f>
        <v/>
      </c>
      <c r="U283" s="21" t="str">
        <f>IFERROR(IF([1]对账明细接口!$P283=0,"",[1]对账明细接口!$P283),"")</f>
        <v/>
      </c>
      <c r="V283" s="21">
        <f>IFERROR(IF([1]对账明细接口!$Q283=0,"",[1]对账明细接口!$Q283),"")</f>
        <v>528</v>
      </c>
      <c r="W283" s="20" t="str">
        <f>IFERROR(IF([1]对账明细接口!$R283=0,"",[1]对账明细接口!$R283),"")</f>
        <v>新N*49209</v>
      </c>
      <c r="X283" s="20" t="str">
        <f>IFERROR(IF([1]对账明细接口!$S283=0,"",[1]对账明细接口!$S283),"")</f>
        <v>公司筐</v>
      </c>
      <c r="Y283" s="20" t="str">
        <f>IFERROR(IF([1]对账明细接口!$T283=0,"",[1]对账明细接口!$T283),"")</f>
        <v/>
      </c>
      <c r="Z283" s="24" t="str">
        <f>IFERROR(IF([1]对账明细接口!$U283=0,"",[1]对账明细接口!$U283),"")</f>
        <v/>
      </c>
      <c r="AA283" s="24" t="str">
        <f>IFERROR(IF([1]对账明细接口!$V283=0,"",[1]对账明细接口!$V283),"")</f>
        <v/>
      </c>
      <c r="AB283" s="20" t="str">
        <f>IFERROR(IF([1]对账明细接口!$W283=0,"",[1]对账明细接口!$W283),"")</f>
        <v/>
      </c>
      <c r="AC283" s="7" t="str">
        <f>IFERROR(IF([1]对账明细接口!$X283=0,"",[1]对账明细接口!$X283),"")</f>
        <v/>
      </c>
      <c r="AD283" s="7" t="str">
        <f>IFERROR(IF([1]对账明细接口!$Y283=0,"",[1]对账明细接口!$Y283),"")</f>
        <v/>
      </c>
      <c r="AE283" s="7" t="str">
        <f>IFERROR(IF([1]对账明细接口!$AA283=0,"",[1]对账明细接口!$AA283),"")</f>
        <v/>
      </c>
      <c r="AF283" s="7" t="str">
        <f>IFERROR(IF([1]对账明细接口!$AB283=0,"",[1]对账明细接口!$AB283),"")</f>
        <v/>
      </c>
      <c r="AG283" s="7" t="str">
        <f>IFERROR(IF([1]对账明细接口!$AC283=0,"",[1]对账明细接口!$AC283),"")</f>
        <v/>
      </c>
      <c r="AH283" s="7" t="str">
        <f>IFERROR(IF([1]对账明细接口!$AD283=0,"",[1]对账明细接口!$AD283),"")</f>
        <v/>
      </c>
      <c r="AI283" s="7" t="str">
        <f>IFERROR(IF([1]对账明细接口!$AE283=0,"",[1]对账明细接口!$AE283),"")</f>
        <v/>
      </c>
      <c r="AJ283" s="7" t="str">
        <f>IFERROR(IF([1]对账明细接口!$AF283=0,"",[1]对账明细接口!$AF283),"")</f>
        <v/>
      </c>
    </row>
    <row r="284" ht="14.25" customHeight="1" spans="1:36">
      <c r="A284" s="14">
        <v>284</v>
      </c>
      <c r="B284" s="15">
        <f>IFERROR(IF([1]对账明细接口!$B$284=0,"",[1]对账明细接口!$B$284),"")</f>
        <v>46282</v>
      </c>
      <c r="C284" s="16" t="str">
        <f>IFERROR(IF([1]对账明细接口!$C$284=0,"",[1]对账明细接口!$C$284),"")</f>
        <v>王灵云</v>
      </c>
      <c r="D284" s="16" t="str">
        <f>IFERROR(IF([1]对账明细接口!$D$284=0,"",[1]对账明细接口!$D$284),"")</f>
        <v>原料入库</v>
      </c>
      <c r="E284" s="16" t="str">
        <f>IFERROR(IF([1]对账明细接口!$E$284=0,"",[1]对账明细接口!$E$284),"")</f>
        <v>NO:0000892</v>
      </c>
      <c r="F284" s="16" t="str">
        <f>IFERROR(IF([1]对账明细接口!$F$284=0,"",[1]对账明细接口!$F$284),"")</f>
        <v>香梨</v>
      </c>
      <c r="G284" s="16" t="str">
        <f>IFERROR(IF([1]对账明细接口!$G$284=0,"",[1]对账明细接口!$G$284),"")</f>
        <v>香梨二级</v>
      </c>
      <c r="H284" s="17">
        <f>IFERROR(IF([1]对账明细接口!$H$284=0,"",[1]对账明细接口!$H$284),"")</f>
        <v>21</v>
      </c>
      <c r="I284" s="16" t="str">
        <f>IFERROR(IF([1]对账明细接口!$I$284=0,"",[1]对账明细接口!$I$284),"")</f>
        <v>筐</v>
      </c>
      <c r="J284" s="18">
        <f>IFERROR(IF([1]对账明细接口!$J$284=0,"",[1]对账明细接口!$J$284),"")</f>
        <v>489.3</v>
      </c>
      <c r="K284" s="18" t="str">
        <f>IFERROR(IF([1]对账明细接口!$K$284=0,"",[1]对账明细接口!$K$284),"")</f>
        <v/>
      </c>
      <c r="L284" s="16" t="str">
        <f>IFERROR(IF([1]对账明细接口!$L$284=0,"",[1]对账明细接口!$L$284),"")</f>
        <v/>
      </c>
      <c r="M284" s="16" t="str">
        <f>IFERROR(IF([1]对账明细接口!$M$284=0,"",[1]对账明细接口!$M$284),"")</f>
        <v>左</v>
      </c>
      <c r="N284" s="19">
        <f t="shared" si="8"/>
        <v>1</v>
      </c>
      <c r="O284" s="19">
        <f t="shared" si="9"/>
        <v>281</v>
      </c>
      <c r="S284" s="20" t="str">
        <f>IFERROR(IF([1]对账明细接口!$N284=0,"",[1]对账明细接口!$N284),"")</f>
        <v>公司红周转筐</v>
      </c>
      <c r="T284" s="21" t="str">
        <f>IFERROR(IF([1]对账明细接口!$O284=0,"",[1]对账明细接口!$O284),"")</f>
        <v/>
      </c>
      <c r="U284" s="21" t="str">
        <f>IFERROR(IF([1]对账明细接口!$P284=0,"",[1]对账明细接口!$P284),"")</f>
        <v/>
      </c>
      <c r="V284" s="21">
        <f>IFERROR(IF([1]对账明细接口!$Q284=0,"",[1]对账明细接口!$Q284),"")</f>
        <v>21</v>
      </c>
      <c r="W284" s="20" t="str">
        <f>IFERROR(IF([1]对账明细接口!$R284=0,"",[1]对账明细接口!$R284),"")</f>
        <v>新N*49209</v>
      </c>
      <c r="X284" s="20" t="str">
        <f>IFERROR(IF([1]对账明细接口!$S284=0,"",[1]对账明细接口!$S284),"")</f>
        <v>公司筐</v>
      </c>
      <c r="Y284" s="20" t="str">
        <f>IFERROR(IF([1]对账明细接口!$T284=0,"",[1]对账明细接口!$T284),"")</f>
        <v/>
      </c>
      <c r="Z284" s="24" t="str">
        <f>IFERROR(IF([1]对账明细接口!$U284=0,"",[1]对账明细接口!$U284),"")</f>
        <v/>
      </c>
      <c r="AA284" s="24" t="str">
        <f>IFERROR(IF([1]对账明细接口!$V284=0,"",[1]对账明细接口!$V284),"")</f>
        <v/>
      </c>
      <c r="AB284" s="20" t="str">
        <f>IFERROR(IF([1]对账明细接口!$W284=0,"",[1]对账明细接口!$W284),"")</f>
        <v/>
      </c>
      <c r="AC284" s="7" t="str">
        <f>IFERROR(IF([1]对账明细接口!$X284=0,"",[1]对账明细接口!$X284),"")</f>
        <v/>
      </c>
      <c r="AD284" s="7" t="str">
        <f>IFERROR(IF([1]对账明细接口!$Y284=0,"",[1]对账明细接口!$Y284),"")</f>
        <v/>
      </c>
      <c r="AE284" s="7" t="str">
        <f>IFERROR(IF([1]对账明细接口!$AA284=0,"",[1]对账明细接口!$AA284),"")</f>
        <v/>
      </c>
      <c r="AF284" s="7" t="str">
        <f>IFERROR(IF([1]对账明细接口!$AB284=0,"",[1]对账明细接口!$AB284),"")</f>
        <v/>
      </c>
      <c r="AG284" s="7" t="str">
        <f>IFERROR(IF([1]对账明细接口!$AC284=0,"",[1]对账明细接口!$AC284),"")</f>
        <v/>
      </c>
      <c r="AH284" s="7" t="str">
        <f>IFERROR(IF([1]对账明细接口!$AD284=0,"",[1]对账明细接口!$AD284),"")</f>
        <v/>
      </c>
      <c r="AI284" s="7" t="str">
        <f>IFERROR(IF([1]对账明细接口!$AE284=0,"",[1]对账明细接口!$AE284),"")</f>
        <v/>
      </c>
      <c r="AJ284" s="7" t="str">
        <f>IFERROR(IF([1]对账明细接口!$AF284=0,"",[1]对账明细接口!$AF284),"")</f>
        <v/>
      </c>
    </row>
    <row r="285" ht="14.25" customHeight="1" spans="1:36">
      <c r="A285" s="14">
        <v>285</v>
      </c>
      <c r="B285" s="15">
        <f>IFERROR(IF([1]对账明细接口!$B$285=0,"",[1]对账明细接口!$B$285),"")</f>
        <v>46282</v>
      </c>
      <c r="C285" s="16" t="str">
        <f>IFERROR(IF([1]对账明细接口!$C$285=0,"",[1]对账明细接口!$C$285),"")</f>
        <v>王照雪</v>
      </c>
      <c r="D285" s="16" t="str">
        <f>IFERROR(IF([1]对账明细接口!$D$285=0,"",[1]对账明细接口!$D$285),"")</f>
        <v>原料入库</v>
      </c>
      <c r="E285" s="16" t="str">
        <f>IFERROR(IF([1]对账明细接口!$E$285=0,"",[1]对账明细接口!$E$285),"")</f>
        <v>NO:0000893</v>
      </c>
      <c r="F285" s="16" t="str">
        <f>IFERROR(IF([1]对账明细接口!$F$285=0,"",[1]对账明细接口!$F$285),"")</f>
        <v>香梨</v>
      </c>
      <c r="G285" s="16" t="str">
        <f>IFERROR(IF([1]对账明细接口!$G$285=0,"",[1]对账明细接口!$G$285),"")</f>
        <v>香梨一级</v>
      </c>
      <c r="H285" s="17">
        <f>IFERROR(IF([1]对账明细接口!$H$285=0,"",[1]对账明细接口!$H$285),"")</f>
        <v>119</v>
      </c>
      <c r="I285" s="16" t="str">
        <f>IFERROR(IF([1]对账明细接口!$I$285=0,"",[1]对账明细接口!$I$285),"")</f>
        <v>筐</v>
      </c>
      <c r="J285" s="18">
        <f>IFERROR(IF([1]对账明细接口!$J$285=0,"",[1]对账明细接口!$J$285),"")</f>
        <v>2320.5</v>
      </c>
      <c r="K285" s="18" t="str">
        <f>IFERROR(IF([1]对账明细接口!$K$285=0,"",[1]对账明细接口!$K$285),"")</f>
        <v/>
      </c>
      <c r="L285" s="16" t="str">
        <f>IFERROR(IF([1]对账明细接口!$L$285=0,"",[1]对账明细接口!$L$285),"")</f>
        <v/>
      </c>
      <c r="M285" s="16" t="str">
        <f>IFERROR(IF([1]对账明细接口!$M$285=0,"",[1]对账明细接口!$M$285),"")</f>
        <v/>
      </c>
      <c r="N285" s="19">
        <f t="shared" si="8"/>
        <v>1</v>
      </c>
      <c r="O285" s="19">
        <f t="shared" si="9"/>
        <v>282</v>
      </c>
      <c r="S285" s="20" t="str">
        <f>IFERROR(IF([1]对账明细接口!$N285=0,"",[1]对账明细接口!$N285),"")</f>
        <v>公司一次性筐</v>
      </c>
      <c r="T285" s="21" t="str">
        <f>IFERROR(IF([1]对账明细接口!$O285=0,"",[1]对账明细接口!$O285),"")</f>
        <v/>
      </c>
      <c r="U285" s="21" t="str">
        <f>IFERROR(IF([1]对账明细接口!$P285=0,"",[1]对账明细接口!$P285),"")</f>
        <v/>
      </c>
      <c r="V285" s="21">
        <f>IFERROR(IF([1]对账明细接口!$Q285=0,"",[1]对账明细接口!$Q285),"")</f>
        <v>119</v>
      </c>
      <c r="W285" s="20" t="str">
        <f>IFERROR(IF([1]对账明细接口!$R285=0,"",[1]对账明细接口!$R285),"")</f>
        <v>豫L*88X19</v>
      </c>
      <c r="X285" s="20" t="str">
        <f>IFERROR(IF([1]对账明细接口!$S285=0,"",[1]对账明细接口!$S285),"")</f>
        <v>公司筐</v>
      </c>
      <c r="Y285" s="20" t="str">
        <f>IFERROR(IF([1]对账明细接口!$T285=0,"",[1]对账明细接口!$T285),"")</f>
        <v/>
      </c>
      <c r="Z285" s="24" t="str">
        <f>IFERROR(IF([1]对账明细接口!$U285=0,"",[1]对账明细接口!$U285),"")</f>
        <v/>
      </c>
      <c r="AA285" s="24" t="str">
        <f>IFERROR(IF([1]对账明细接口!$V285=0,"",[1]对账明细接口!$V285),"")</f>
        <v/>
      </c>
      <c r="AB285" s="20" t="str">
        <f>IFERROR(IF([1]对账明细接口!$W285=0,"",[1]对账明细接口!$W285),"")</f>
        <v/>
      </c>
      <c r="AC285" s="7" t="str">
        <f>IFERROR(IF([1]对账明细接口!$X285=0,"",[1]对账明细接口!$X285),"")</f>
        <v/>
      </c>
      <c r="AD285" s="7" t="str">
        <f>IFERROR(IF([1]对账明细接口!$Y285=0,"",[1]对账明细接口!$Y285),"")</f>
        <v/>
      </c>
      <c r="AE285" s="7" t="str">
        <f>IFERROR(IF([1]对账明细接口!$AA285=0,"",[1]对账明细接口!$AA285),"")</f>
        <v/>
      </c>
      <c r="AF285" s="7" t="str">
        <f>IFERROR(IF([1]对账明细接口!$AB285=0,"",[1]对账明细接口!$AB285),"")</f>
        <v/>
      </c>
      <c r="AG285" s="7" t="str">
        <f>IFERROR(IF([1]对账明细接口!$AC285=0,"",[1]对账明细接口!$AC285),"")</f>
        <v/>
      </c>
      <c r="AH285" s="7" t="str">
        <f>IFERROR(IF([1]对账明细接口!$AD285=0,"",[1]对账明细接口!$AD285),"")</f>
        <v/>
      </c>
      <c r="AI285" s="7" t="str">
        <f>IFERROR(IF([1]对账明细接口!$AE285=0,"",[1]对账明细接口!$AE285),"")</f>
        <v/>
      </c>
      <c r="AJ285" s="7" t="str">
        <f>IFERROR(IF([1]对账明细接口!$AF285=0,"",[1]对账明细接口!$AF285),"")</f>
        <v/>
      </c>
    </row>
    <row r="286" ht="14.25" customHeight="1" spans="1:36">
      <c r="A286" s="14">
        <v>286</v>
      </c>
      <c r="B286" s="15">
        <f>IFERROR(IF([1]对账明细接口!$B$286=0,"",[1]对账明细接口!$B$286),"")</f>
        <v>46282</v>
      </c>
      <c r="C286" s="16" t="str">
        <f>IFERROR(IF([1]对账明细接口!$C$286=0,"",[1]对账明细接口!$C$286),"")</f>
        <v>王照雪</v>
      </c>
      <c r="D286" s="16" t="str">
        <f>IFERROR(IF([1]对账明细接口!$D$286=0,"",[1]对账明细接口!$D$286),"")</f>
        <v>原料入库</v>
      </c>
      <c r="E286" s="16" t="str">
        <f>IFERROR(IF([1]对账明细接口!$E$286=0,"",[1]对账明细接口!$E$286),"")</f>
        <v>NO:0000893</v>
      </c>
      <c r="F286" s="16" t="str">
        <f>IFERROR(IF([1]对账明细接口!$F$286=0,"",[1]对账明细接口!$F$286),"")</f>
        <v>香梨</v>
      </c>
      <c r="G286" s="16" t="str">
        <f>IFERROR(IF([1]对账明细接口!$G$286=0,"",[1]对账明细接口!$G$286),"")</f>
        <v>香梨副特</v>
      </c>
      <c r="H286" s="17">
        <f>IFERROR(IF([1]对账明细接口!$H$286=0,"",[1]对账明细接口!$H$286),"")</f>
        <v>166</v>
      </c>
      <c r="I286" s="16" t="str">
        <f>IFERROR(IF([1]对账明细接口!$I$286=0,"",[1]对账明细接口!$I$286),"")</f>
        <v>筐</v>
      </c>
      <c r="J286" s="18">
        <f>IFERROR(IF([1]对账明细接口!$J$286=0,"",[1]对账明细接口!$J$286),"")</f>
        <v>3237</v>
      </c>
      <c r="K286" s="18" t="str">
        <f>IFERROR(IF([1]对账明细接口!$K$286=0,"",[1]对账明细接口!$K$286),"")</f>
        <v/>
      </c>
      <c r="L286" s="16" t="str">
        <f>IFERROR(IF([1]对账明细接口!$L$286=0,"",[1]对账明细接口!$L$286),"")</f>
        <v/>
      </c>
      <c r="M286" s="16" t="str">
        <f>IFERROR(IF([1]对账明细接口!$M$286=0,"",[1]对账明细接口!$M$286),"")</f>
        <v/>
      </c>
      <c r="N286" s="19">
        <f t="shared" si="8"/>
        <v>1</v>
      </c>
      <c r="O286" s="19">
        <f t="shared" si="9"/>
        <v>283</v>
      </c>
      <c r="S286" s="20" t="str">
        <f>IFERROR(IF([1]对账明细接口!$N286=0,"",[1]对账明细接口!$N286),"")</f>
        <v>公司一次性筐</v>
      </c>
      <c r="T286" s="21" t="str">
        <f>IFERROR(IF([1]对账明细接口!$O286=0,"",[1]对账明细接口!$O286),"")</f>
        <v/>
      </c>
      <c r="U286" s="21" t="str">
        <f>IFERROR(IF([1]对账明细接口!$P286=0,"",[1]对账明细接口!$P286),"")</f>
        <v/>
      </c>
      <c r="V286" s="21">
        <f>IFERROR(IF([1]对账明细接口!$Q286=0,"",[1]对账明细接口!$Q286),"")</f>
        <v>166</v>
      </c>
      <c r="W286" s="20" t="str">
        <f>IFERROR(IF([1]对账明细接口!$R286=0,"",[1]对账明细接口!$R286),"")</f>
        <v>豫L*88X19</v>
      </c>
      <c r="X286" s="20" t="str">
        <f>IFERROR(IF([1]对账明细接口!$S286=0,"",[1]对账明细接口!$S286),"")</f>
        <v>公司筐</v>
      </c>
      <c r="Y286" s="20" t="str">
        <f>IFERROR(IF([1]对账明细接口!$T286=0,"",[1]对账明细接口!$T286),"")</f>
        <v/>
      </c>
      <c r="Z286" s="24" t="str">
        <f>IFERROR(IF([1]对账明细接口!$U286=0,"",[1]对账明细接口!$U286),"")</f>
        <v/>
      </c>
      <c r="AA286" s="24" t="str">
        <f>IFERROR(IF([1]对账明细接口!$V286=0,"",[1]对账明细接口!$V286),"")</f>
        <v/>
      </c>
      <c r="AB286" s="20" t="str">
        <f>IFERROR(IF([1]对账明细接口!$W286=0,"",[1]对账明细接口!$W286),"")</f>
        <v/>
      </c>
      <c r="AC286" s="7" t="str">
        <f>IFERROR(IF([1]对账明细接口!$X286=0,"",[1]对账明细接口!$X286),"")</f>
        <v/>
      </c>
      <c r="AD286" s="7" t="str">
        <f>IFERROR(IF([1]对账明细接口!$Y286=0,"",[1]对账明细接口!$Y286),"")</f>
        <v/>
      </c>
      <c r="AE286" s="7" t="str">
        <f>IFERROR(IF([1]对账明细接口!$AA286=0,"",[1]对账明细接口!$AA286),"")</f>
        <v/>
      </c>
      <c r="AF286" s="7" t="str">
        <f>IFERROR(IF([1]对账明细接口!$AB286=0,"",[1]对账明细接口!$AB286),"")</f>
        <v/>
      </c>
      <c r="AG286" s="7" t="str">
        <f>IFERROR(IF([1]对账明细接口!$AC286=0,"",[1]对账明细接口!$AC286),"")</f>
        <v/>
      </c>
      <c r="AH286" s="7" t="str">
        <f>IFERROR(IF([1]对账明细接口!$AD286=0,"",[1]对账明细接口!$AD286),"")</f>
        <v/>
      </c>
      <c r="AI286" s="7" t="str">
        <f>IFERROR(IF([1]对账明细接口!$AE286=0,"",[1]对账明细接口!$AE286),"")</f>
        <v/>
      </c>
      <c r="AJ286" s="7" t="str">
        <f>IFERROR(IF([1]对账明细接口!$AF286=0,"",[1]对账明细接口!$AF286),"")</f>
        <v/>
      </c>
    </row>
    <row r="287" ht="14.25" customHeight="1" spans="1:36">
      <c r="A287" s="14">
        <v>287</v>
      </c>
      <c r="B287" s="15">
        <f>IFERROR(IF([1]对账明细接口!$B$287=0,"",[1]对账明细接口!$B$287),"")</f>
        <v>46282</v>
      </c>
      <c r="C287" s="16" t="str">
        <f>IFERROR(IF([1]对账明细接口!$C$287=0,"",[1]对账明细接口!$C$287),"")</f>
        <v>王照雪</v>
      </c>
      <c r="D287" s="16" t="str">
        <f>IFERROR(IF([1]对账明细接口!$D$287=0,"",[1]对账明细接口!$D$287),"")</f>
        <v>原料入库</v>
      </c>
      <c r="E287" s="16" t="str">
        <f>IFERROR(IF([1]对账明细接口!$E$287=0,"",[1]对账明细接口!$E$287),"")</f>
        <v>NO:0000893</v>
      </c>
      <c r="F287" s="16" t="str">
        <f>IFERROR(IF([1]对账明细接口!$F$287=0,"",[1]对账明细接口!$F$287),"")</f>
        <v>香梨</v>
      </c>
      <c r="G287" s="16" t="str">
        <f>IFERROR(IF([1]对账明细接口!$G$287=0,"",[1]对账明细接口!$G$287),"")</f>
        <v>香梨二级</v>
      </c>
      <c r="H287" s="17">
        <f>IFERROR(IF([1]对账明细接口!$H$287=0,"",[1]对账明细接口!$H$287),"")</f>
        <v>24</v>
      </c>
      <c r="I287" s="16" t="str">
        <f>IFERROR(IF([1]对账明细接口!$I$287=0,"",[1]对账明细接口!$I$287),"")</f>
        <v>筐</v>
      </c>
      <c r="J287" s="18">
        <f>IFERROR(IF([1]对账明细接口!$J$287=0,"",[1]对账明细接口!$J$287),"")</f>
        <v>540</v>
      </c>
      <c r="K287" s="18" t="str">
        <f>IFERROR(IF([1]对账明细接口!$K$287=0,"",[1]对账明细接口!$K$287),"")</f>
        <v/>
      </c>
      <c r="L287" s="16" t="str">
        <f>IFERROR(IF([1]对账明细接口!$L$287=0,"",[1]对账明细接口!$L$287),"")</f>
        <v/>
      </c>
      <c r="M287" s="16" t="str">
        <f>IFERROR(IF([1]对账明细接口!$M$287=0,"",[1]对账明细接口!$M$287),"")</f>
        <v/>
      </c>
      <c r="N287" s="19">
        <f t="shared" si="8"/>
        <v>1</v>
      </c>
      <c r="O287" s="19">
        <f t="shared" si="9"/>
        <v>284</v>
      </c>
      <c r="S287" s="20" t="str">
        <f>IFERROR(IF([1]对账明细接口!$N287=0,"",[1]对账明细接口!$N287),"")</f>
        <v>公司一次性筐</v>
      </c>
      <c r="T287" s="21" t="str">
        <f>IFERROR(IF([1]对账明细接口!$O287=0,"",[1]对账明细接口!$O287),"")</f>
        <v/>
      </c>
      <c r="U287" s="21" t="str">
        <f>IFERROR(IF([1]对账明细接口!$P287=0,"",[1]对账明细接口!$P287),"")</f>
        <v/>
      </c>
      <c r="V287" s="21">
        <f>IFERROR(IF([1]对账明细接口!$Q287=0,"",[1]对账明细接口!$Q287),"")</f>
        <v>24</v>
      </c>
      <c r="W287" s="20" t="str">
        <f>IFERROR(IF([1]对账明细接口!$R287=0,"",[1]对账明细接口!$R287),"")</f>
        <v>豫L*88X19</v>
      </c>
      <c r="X287" s="20" t="str">
        <f>IFERROR(IF([1]对账明细接口!$S287=0,"",[1]对账明细接口!$S287),"")</f>
        <v>公司筐</v>
      </c>
      <c r="Y287" s="20" t="str">
        <f>IFERROR(IF([1]对账明细接口!$T287=0,"",[1]对账明细接口!$T287),"")</f>
        <v/>
      </c>
      <c r="Z287" s="24" t="str">
        <f>IFERROR(IF([1]对账明细接口!$U287=0,"",[1]对账明细接口!$U287),"")</f>
        <v/>
      </c>
      <c r="AA287" s="24" t="str">
        <f>IFERROR(IF([1]对账明细接口!$V287=0,"",[1]对账明细接口!$V287),"")</f>
        <v/>
      </c>
      <c r="AB287" s="20" t="str">
        <f>IFERROR(IF([1]对账明细接口!$W287=0,"",[1]对账明细接口!$W287),"")</f>
        <v/>
      </c>
      <c r="AC287" s="7" t="str">
        <f>IFERROR(IF([1]对账明细接口!$X287=0,"",[1]对账明细接口!$X287),"")</f>
        <v/>
      </c>
      <c r="AD287" s="7" t="str">
        <f>IFERROR(IF([1]对账明细接口!$Y287=0,"",[1]对账明细接口!$Y287),"")</f>
        <v/>
      </c>
      <c r="AE287" s="7" t="str">
        <f>IFERROR(IF([1]对账明细接口!$AA287=0,"",[1]对账明细接口!$AA287),"")</f>
        <v/>
      </c>
      <c r="AF287" s="7" t="str">
        <f>IFERROR(IF([1]对账明细接口!$AB287=0,"",[1]对账明细接口!$AB287),"")</f>
        <v/>
      </c>
      <c r="AG287" s="7" t="str">
        <f>IFERROR(IF([1]对账明细接口!$AC287=0,"",[1]对账明细接口!$AC287),"")</f>
        <v/>
      </c>
      <c r="AH287" s="7" t="str">
        <f>IFERROR(IF([1]对账明细接口!$AD287=0,"",[1]对账明细接口!$AD287),"")</f>
        <v/>
      </c>
      <c r="AI287" s="7" t="str">
        <f>IFERROR(IF([1]对账明细接口!$AE287=0,"",[1]对账明细接口!$AE287),"")</f>
        <v/>
      </c>
      <c r="AJ287" s="7" t="str">
        <f>IFERROR(IF([1]对账明细接口!$AF287=0,"",[1]对账明细接口!$AF287),"")</f>
        <v/>
      </c>
    </row>
    <row r="288" ht="14.25" customHeight="1" spans="1:36">
      <c r="A288" s="14">
        <v>288</v>
      </c>
      <c r="B288" s="15">
        <f>IFERROR(IF([1]对账明细接口!$B$288=0,"",[1]对账明细接口!$B$288),"")</f>
        <v>46282</v>
      </c>
      <c r="C288" s="16" t="str">
        <f>IFERROR(IF([1]对账明细接口!$C$288=0,"",[1]对账明细接口!$C$288),"")</f>
        <v>努尔敦</v>
      </c>
      <c r="D288" s="16" t="str">
        <f>IFERROR(IF([1]对账明细接口!$D$288=0,"",[1]对账明细接口!$D$288),"")</f>
        <v>原料入库</v>
      </c>
      <c r="E288" s="16" t="str">
        <f>IFERROR(IF([1]对账明细接口!$E$288=0,"",[1]对账明细接口!$E$288),"")</f>
        <v>NO:0000896</v>
      </c>
      <c r="F288" s="16" t="str">
        <f>IFERROR(IF([1]对账明细接口!$F$288=0,"",[1]对账明细接口!$F$288),"")</f>
        <v>香梨</v>
      </c>
      <c r="G288" s="16" t="str">
        <f>IFERROR(IF([1]对账明细接口!$G$288=0,"",[1]对账明细接口!$G$288),"")</f>
        <v>香梨特级</v>
      </c>
      <c r="H288" s="17">
        <f>IFERROR(IF([1]对账明细接口!$H$288=0,"",[1]对账明细接口!$H$288),"")</f>
        <v>312</v>
      </c>
      <c r="I288" s="16" t="str">
        <f>IFERROR(IF([1]对账明细接口!$I$288=0,"",[1]对账明细接口!$I$288),"")</f>
        <v>筐</v>
      </c>
      <c r="J288" s="18">
        <f>IFERROR(IF([1]对账明细接口!$J$288=0,"",[1]对账明细接口!$J$288),"")</f>
        <v>5709.6</v>
      </c>
      <c r="K288" s="18" t="str">
        <f>IFERROR(IF([1]对账明细接口!$K$288=0,"",[1]对账明细接口!$K$288),"")</f>
        <v/>
      </c>
      <c r="L288" s="16" t="str">
        <f>IFERROR(IF([1]对账明细接口!$L$288=0,"",[1]对账明细接口!$L$288),"")</f>
        <v/>
      </c>
      <c r="M288" s="16" t="str">
        <f>IFERROR(IF([1]对账明细接口!$M$288=0,"",[1]对账明细接口!$M$288),"")</f>
        <v/>
      </c>
      <c r="N288" s="19">
        <f t="shared" si="8"/>
        <v>1</v>
      </c>
      <c r="O288" s="19">
        <f t="shared" si="9"/>
        <v>285</v>
      </c>
      <c r="S288" s="20" t="str">
        <f>IFERROR(IF([1]对账明细接口!$N288=0,"",[1]对账明细接口!$N288),"")</f>
        <v>公司红周转筐</v>
      </c>
      <c r="T288" s="21" t="str">
        <f>IFERROR(IF([1]对账明细接口!$O288=0,"",[1]对账明细接口!$O288),"")</f>
        <v/>
      </c>
      <c r="U288" s="21" t="str">
        <f>IFERROR(IF([1]对账明细接口!$P288=0,"",[1]对账明细接口!$P288),"")</f>
        <v/>
      </c>
      <c r="V288" s="21">
        <f>IFERROR(IF([1]对账明细接口!$Q288=0,"",[1]对账明细接口!$Q288),"")</f>
        <v>312</v>
      </c>
      <c r="W288" s="20" t="str">
        <f>IFERROR(IF([1]对账明细接口!$R288=0,"",[1]对账明细接口!$R288),"")</f>
        <v>新F*75240</v>
      </c>
      <c r="X288" s="20" t="str">
        <f>IFERROR(IF([1]对账明细接口!$S288=0,"",[1]对账明细接口!$S288),"")</f>
        <v>公司筐</v>
      </c>
      <c r="Y288" s="20" t="str">
        <f>IFERROR(IF([1]对账明细接口!$T288=0,"",[1]对账明细接口!$T288),"")</f>
        <v/>
      </c>
      <c r="Z288" s="24" t="str">
        <f>IFERROR(IF([1]对账明细接口!$U288=0,"",[1]对账明细接口!$U288),"")</f>
        <v/>
      </c>
      <c r="AA288" s="24" t="str">
        <f>IFERROR(IF([1]对账明细接口!$V288=0,"",[1]对账明细接口!$V288),"")</f>
        <v/>
      </c>
      <c r="AB288" s="20" t="str">
        <f>IFERROR(IF([1]对账明细接口!$W288=0,"",[1]对账明细接口!$W288),"")</f>
        <v/>
      </c>
      <c r="AC288" s="7" t="str">
        <f>IFERROR(IF([1]对账明细接口!$X288=0,"",[1]对账明细接口!$X288),"")</f>
        <v/>
      </c>
      <c r="AD288" s="7" t="str">
        <f>IFERROR(IF([1]对账明细接口!$Y288=0,"",[1]对账明细接口!$Y288),"")</f>
        <v/>
      </c>
      <c r="AE288" s="7" t="str">
        <f>IFERROR(IF([1]对账明细接口!$AA288=0,"",[1]对账明细接口!$AA288),"")</f>
        <v/>
      </c>
      <c r="AF288" s="7" t="str">
        <f>IFERROR(IF([1]对账明细接口!$AB288=0,"",[1]对账明细接口!$AB288),"")</f>
        <v/>
      </c>
      <c r="AG288" s="7" t="str">
        <f>IFERROR(IF([1]对账明细接口!$AC288=0,"",[1]对账明细接口!$AC288),"")</f>
        <v/>
      </c>
      <c r="AH288" s="7" t="str">
        <f>IFERROR(IF([1]对账明细接口!$AD288=0,"",[1]对账明细接口!$AD288),"")</f>
        <v/>
      </c>
      <c r="AI288" s="7" t="str">
        <f>IFERROR(IF([1]对账明细接口!$AE288=0,"",[1]对账明细接口!$AE288),"")</f>
        <v/>
      </c>
      <c r="AJ288" s="7" t="str">
        <f>IFERROR(IF([1]对账明细接口!$AF288=0,"",[1]对账明细接口!$AF288),"")</f>
        <v/>
      </c>
    </row>
    <row r="289" ht="14.25" customHeight="1" spans="1:36">
      <c r="A289" s="14">
        <v>289</v>
      </c>
      <c r="B289" s="15">
        <f>IFERROR(IF([1]对账明细接口!$B$289=0,"",[1]对账明细接口!$B$289),"")</f>
        <v>46282</v>
      </c>
      <c r="C289" s="16" t="str">
        <f>IFERROR(IF([1]对账明细接口!$C$289=0,"",[1]对账明细接口!$C$289),"")</f>
        <v>努尔敦</v>
      </c>
      <c r="D289" s="16" t="str">
        <f>IFERROR(IF([1]对账明细接口!$D$289=0,"",[1]对账明细接口!$D$289),"")</f>
        <v>原料入库</v>
      </c>
      <c r="E289" s="16" t="str">
        <f>IFERROR(IF([1]对账明细接口!$E$289=0,"",[1]对账明细接口!$E$289),"")</f>
        <v>NO:0000896</v>
      </c>
      <c r="F289" s="16" t="str">
        <f>IFERROR(IF([1]对账明细接口!$F$289=0,"",[1]对账明细接口!$F$289),"")</f>
        <v>香梨</v>
      </c>
      <c r="G289" s="16" t="str">
        <f>IFERROR(IF([1]对账明细接口!$G$289=0,"",[1]对账明细接口!$G$289),"")</f>
        <v>香梨一级</v>
      </c>
      <c r="H289" s="17">
        <f>IFERROR(IF([1]对账明细接口!$H$289=0,"",[1]对账明细接口!$H$289),"")</f>
        <v>192</v>
      </c>
      <c r="I289" s="16" t="str">
        <f>IFERROR(IF([1]对账明细接口!$I$289=0,"",[1]对账明细接口!$I$289),"")</f>
        <v>筐</v>
      </c>
      <c r="J289" s="18">
        <f>IFERROR(IF([1]对账明细接口!$J$289=0,"",[1]对账明细接口!$J$289),"")</f>
        <v>3513.6</v>
      </c>
      <c r="K289" s="18" t="str">
        <f>IFERROR(IF([1]对账明细接口!$K$289=0,"",[1]对账明细接口!$K$289),"")</f>
        <v/>
      </c>
      <c r="L289" s="16" t="str">
        <f>IFERROR(IF([1]对账明细接口!$L$289=0,"",[1]对账明细接口!$L$289),"")</f>
        <v/>
      </c>
      <c r="M289" s="16" t="str">
        <f>IFERROR(IF([1]对账明细接口!$M$289=0,"",[1]对账明细接口!$M$289),"")</f>
        <v/>
      </c>
      <c r="N289" s="19">
        <f t="shared" si="8"/>
        <v>1</v>
      </c>
      <c r="O289" s="19">
        <f t="shared" si="9"/>
        <v>286</v>
      </c>
      <c r="S289" s="20" t="str">
        <f>IFERROR(IF([1]对账明细接口!$N289=0,"",[1]对账明细接口!$N289),"")</f>
        <v>公司红周转筐</v>
      </c>
      <c r="T289" s="21" t="str">
        <f>IFERROR(IF([1]对账明细接口!$O289=0,"",[1]对账明细接口!$O289),"")</f>
        <v/>
      </c>
      <c r="U289" s="21" t="str">
        <f>IFERROR(IF([1]对账明细接口!$P289=0,"",[1]对账明细接口!$P289),"")</f>
        <v/>
      </c>
      <c r="V289" s="21">
        <f>IFERROR(IF([1]对账明细接口!$Q289=0,"",[1]对账明细接口!$Q289),"")</f>
        <v>192</v>
      </c>
      <c r="W289" s="20" t="str">
        <f>IFERROR(IF([1]对账明细接口!$R289=0,"",[1]对账明细接口!$R289),"")</f>
        <v>新F*75240</v>
      </c>
      <c r="X289" s="20" t="str">
        <f>IFERROR(IF([1]对账明细接口!$S289=0,"",[1]对账明细接口!$S289),"")</f>
        <v>公司筐</v>
      </c>
      <c r="Y289" s="20" t="str">
        <f>IFERROR(IF([1]对账明细接口!$T289=0,"",[1]对账明细接口!$T289),"")</f>
        <v/>
      </c>
      <c r="Z289" s="24" t="str">
        <f>IFERROR(IF([1]对账明细接口!$U289=0,"",[1]对账明细接口!$U289),"")</f>
        <v/>
      </c>
      <c r="AA289" s="24" t="str">
        <f>IFERROR(IF([1]对账明细接口!$V289=0,"",[1]对账明细接口!$V289),"")</f>
        <v/>
      </c>
      <c r="AB289" s="20" t="str">
        <f>IFERROR(IF([1]对账明细接口!$W289=0,"",[1]对账明细接口!$W289),"")</f>
        <v/>
      </c>
      <c r="AC289" s="7" t="str">
        <f>IFERROR(IF([1]对账明细接口!$X289=0,"",[1]对账明细接口!$X289),"")</f>
        <v/>
      </c>
      <c r="AD289" s="7" t="str">
        <f>IFERROR(IF([1]对账明细接口!$Y289=0,"",[1]对账明细接口!$Y289),"")</f>
        <v/>
      </c>
      <c r="AE289" s="7" t="str">
        <f>IFERROR(IF([1]对账明细接口!$AA289=0,"",[1]对账明细接口!$AA289),"")</f>
        <v/>
      </c>
      <c r="AF289" s="7" t="str">
        <f>IFERROR(IF([1]对账明细接口!$AB289=0,"",[1]对账明细接口!$AB289),"")</f>
        <v/>
      </c>
      <c r="AG289" s="7" t="str">
        <f>IFERROR(IF([1]对账明细接口!$AC289=0,"",[1]对账明细接口!$AC289),"")</f>
        <v/>
      </c>
      <c r="AH289" s="7" t="str">
        <f>IFERROR(IF([1]对账明细接口!$AD289=0,"",[1]对账明细接口!$AD289),"")</f>
        <v/>
      </c>
      <c r="AI289" s="7" t="str">
        <f>IFERROR(IF([1]对账明细接口!$AE289=0,"",[1]对账明细接口!$AE289),"")</f>
        <v/>
      </c>
      <c r="AJ289" s="7" t="str">
        <f>IFERROR(IF([1]对账明细接口!$AF289=0,"",[1]对账明细接口!$AF289),"")</f>
        <v/>
      </c>
    </row>
    <row r="290" ht="14.25" customHeight="1" spans="1:36">
      <c r="A290" s="14">
        <v>290</v>
      </c>
      <c r="B290" s="15">
        <f>IFERROR(IF([1]对账明细接口!$B$290=0,"",[1]对账明细接口!$B$290),"")</f>
        <v>46282</v>
      </c>
      <c r="C290" s="16" t="str">
        <f>IFERROR(IF([1]对账明细接口!$C$290=0,"",[1]对账明细接口!$C$290),"")</f>
        <v>努尔敦</v>
      </c>
      <c r="D290" s="16" t="str">
        <f>IFERROR(IF([1]对账明细接口!$D$290=0,"",[1]对账明细接口!$D$290),"")</f>
        <v>原料入库</v>
      </c>
      <c r="E290" s="16" t="str">
        <f>IFERROR(IF([1]对账明细接口!$E$290=0,"",[1]对账明细接口!$E$290),"")</f>
        <v>NO:0000896</v>
      </c>
      <c r="F290" s="16" t="str">
        <f>IFERROR(IF([1]对账明细接口!$F$290=0,"",[1]对账明细接口!$F$290),"")</f>
        <v>香梨</v>
      </c>
      <c r="G290" s="16" t="str">
        <f>IFERROR(IF([1]对账明细接口!$G$290=0,"",[1]对账明细接口!$G$290),"")</f>
        <v>香梨二级</v>
      </c>
      <c r="H290" s="17">
        <f>IFERROR(IF([1]对账明细接口!$H$290=0,"",[1]对账明细接口!$H$290),"")</f>
        <v>136</v>
      </c>
      <c r="I290" s="16" t="str">
        <f>IFERROR(IF([1]对账明细接口!$I$290=0,"",[1]对账明细接口!$I$290),"")</f>
        <v>筐</v>
      </c>
      <c r="J290" s="18">
        <f>IFERROR(IF([1]对账明细接口!$J$290=0,"",[1]对账明细接口!$J$290),"")</f>
        <v>3032.8</v>
      </c>
      <c r="K290" s="18" t="str">
        <f>IFERROR(IF([1]对账明细接口!$K$290=0,"",[1]对账明细接口!$K$290),"")</f>
        <v/>
      </c>
      <c r="L290" s="16" t="str">
        <f>IFERROR(IF([1]对账明细接口!$L$290=0,"",[1]对账明细接口!$L$290),"")</f>
        <v/>
      </c>
      <c r="M290" s="16" t="str">
        <f>IFERROR(IF([1]对账明细接口!$M$290=0,"",[1]对账明细接口!$M$290),"")</f>
        <v/>
      </c>
      <c r="N290" s="19">
        <f t="shared" si="8"/>
        <v>1</v>
      </c>
      <c r="O290" s="19">
        <f t="shared" si="9"/>
        <v>287</v>
      </c>
      <c r="S290" s="20" t="str">
        <f>IFERROR(IF([1]对账明细接口!$N290=0,"",[1]对账明细接口!$N290),"")</f>
        <v>公司红周转筐</v>
      </c>
      <c r="T290" s="21" t="str">
        <f>IFERROR(IF([1]对账明细接口!$O290=0,"",[1]对账明细接口!$O290),"")</f>
        <v/>
      </c>
      <c r="U290" s="21" t="str">
        <f>IFERROR(IF([1]对账明细接口!$P290=0,"",[1]对账明细接口!$P290),"")</f>
        <v/>
      </c>
      <c r="V290" s="21">
        <f>IFERROR(IF([1]对账明细接口!$Q290=0,"",[1]对账明细接口!$Q290),"")</f>
        <v>136</v>
      </c>
      <c r="W290" s="20" t="str">
        <f>IFERROR(IF([1]对账明细接口!$R290=0,"",[1]对账明细接口!$R290),"")</f>
        <v>新F*75240</v>
      </c>
      <c r="X290" s="20" t="str">
        <f>IFERROR(IF([1]对账明细接口!$S290=0,"",[1]对账明细接口!$S290),"")</f>
        <v>公司筐</v>
      </c>
      <c r="Y290" s="20" t="str">
        <f>IFERROR(IF([1]对账明细接口!$T290=0,"",[1]对账明细接口!$T290),"")</f>
        <v/>
      </c>
      <c r="Z290" s="24" t="str">
        <f>IFERROR(IF([1]对账明细接口!$U290=0,"",[1]对账明细接口!$U290),"")</f>
        <v/>
      </c>
      <c r="AA290" s="24" t="str">
        <f>IFERROR(IF([1]对账明细接口!$V290=0,"",[1]对账明细接口!$V290),"")</f>
        <v/>
      </c>
      <c r="AB290" s="20" t="str">
        <f>IFERROR(IF([1]对账明细接口!$W290=0,"",[1]对账明细接口!$W290),"")</f>
        <v/>
      </c>
      <c r="AC290" s="7" t="str">
        <f>IFERROR(IF([1]对账明细接口!$X290=0,"",[1]对账明细接口!$X290),"")</f>
        <v/>
      </c>
      <c r="AD290" s="7" t="str">
        <f>IFERROR(IF([1]对账明细接口!$Y290=0,"",[1]对账明细接口!$Y290),"")</f>
        <v/>
      </c>
      <c r="AE290" s="7" t="str">
        <f>IFERROR(IF([1]对账明细接口!$AA290=0,"",[1]对账明细接口!$AA290),"")</f>
        <v/>
      </c>
      <c r="AF290" s="7" t="str">
        <f>IFERROR(IF([1]对账明细接口!$AB290=0,"",[1]对账明细接口!$AB290),"")</f>
        <v/>
      </c>
      <c r="AG290" s="7" t="str">
        <f>IFERROR(IF([1]对账明细接口!$AC290=0,"",[1]对账明细接口!$AC290),"")</f>
        <v/>
      </c>
      <c r="AH290" s="7" t="str">
        <f>IFERROR(IF([1]对账明细接口!$AD290=0,"",[1]对账明细接口!$AD290),"")</f>
        <v/>
      </c>
      <c r="AI290" s="7" t="str">
        <f>IFERROR(IF([1]对账明细接口!$AE290=0,"",[1]对账明细接口!$AE290),"")</f>
        <v/>
      </c>
      <c r="AJ290" s="7" t="str">
        <f>IFERROR(IF([1]对账明细接口!$AF290=0,"",[1]对账明细接口!$AF290),"")</f>
        <v/>
      </c>
    </row>
    <row r="291" ht="14.25" customHeight="1" spans="1:36">
      <c r="A291" s="14">
        <v>291</v>
      </c>
      <c r="B291" s="15">
        <f>IFERROR(IF([1]对账明细接口!$B$291=0,"",[1]对账明细接口!$B$291),"")</f>
        <v>46283</v>
      </c>
      <c r="C291" s="16" t="str">
        <f>IFERROR(IF([1]对账明细接口!$C$291=0,"",[1]对账明细接口!$C$291),"")</f>
        <v>吐尔洪</v>
      </c>
      <c r="D291" s="16" t="str">
        <f>IFERROR(IF([1]对账明细接口!$D$291=0,"",[1]对账明细接口!$D$291),"")</f>
        <v>原料入库</v>
      </c>
      <c r="E291" s="16" t="str">
        <f>IFERROR(IF([1]对账明细接口!$E$291=0,"",[1]对账明细接口!$E$291),"")</f>
        <v>NO:0000897</v>
      </c>
      <c r="F291" s="16" t="str">
        <f>IFERROR(IF([1]对账明细接口!$F$291=0,"",[1]对账明细接口!$F$291),"")</f>
        <v>香梨</v>
      </c>
      <c r="G291" s="16" t="str">
        <f>IFERROR(IF([1]对账明细接口!$G$291=0,"",[1]对账明细接口!$G$291),"")</f>
        <v>香梨特级</v>
      </c>
      <c r="H291" s="17">
        <f>IFERROR(IF([1]对账明细接口!$H$291=0,"",[1]对账明细接口!$H$291),"")</f>
        <v>114</v>
      </c>
      <c r="I291" s="16" t="str">
        <f>IFERROR(IF([1]对账明细接口!$I$291=0,"",[1]对账明细接口!$I$291),"")</f>
        <v>筐</v>
      </c>
      <c r="J291" s="18">
        <f>IFERROR(IF([1]对账明细接口!$J$291=0,"",[1]对账明细接口!$J$291),"")</f>
        <v>2086.2</v>
      </c>
      <c r="K291" s="18" t="str">
        <f>IFERROR(IF([1]对账明细接口!$K$291=0,"",[1]对账明细接口!$K$291),"")</f>
        <v/>
      </c>
      <c r="L291" s="16" t="str">
        <f>IFERROR(IF([1]对账明细接口!$L$291=0,"",[1]对账明细接口!$L$291),"")</f>
        <v/>
      </c>
      <c r="M291" s="16" t="str">
        <f>IFERROR(IF([1]对账明细接口!$M$291=0,"",[1]对账明细接口!$M$291),"")</f>
        <v>麦麦提</v>
      </c>
      <c r="N291" s="19">
        <f t="shared" si="8"/>
        <v>1</v>
      </c>
      <c r="O291" s="19">
        <f t="shared" si="9"/>
        <v>288</v>
      </c>
      <c r="S291" s="20" t="str">
        <f>IFERROR(IF([1]对账明细接口!$N291=0,"",[1]对账明细接口!$N291),"")</f>
        <v>公司红周转筐</v>
      </c>
      <c r="T291" s="21" t="str">
        <f>IFERROR(IF([1]对账明细接口!$O291=0,"",[1]对账明细接口!$O291),"")</f>
        <v/>
      </c>
      <c r="U291" s="21" t="str">
        <f>IFERROR(IF([1]对账明细接口!$P291=0,"",[1]对账明细接口!$P291),"")</f>
        <v/>
      </c>
      <c r="V291" s="21">
        <f>IFERROR(IF([1]对账明细接口!$Q291=0,"",[1]对账明细接口!$Q291),"")</f>
        <v>114</v>
      </c>
      <c r="W291" s="20" t="str">
        <f>IFERROR(IF([1]对账明细接口!$R291=0,"",[1]对账明细接口!$R291),"")</f>
        <v>新N*X8S48</v>
      </c>
      <c r="X291" s="20" t="str">
        <f>IFERROR(IF([1]对账明细接口!$S291=0,"",[1]对账明细接口!$S291),"")</f>
        <v>公司筐</v>
      </c>
      <c r="Y291" s="20" t="str">
        <f>IFERROR(IF([1]对账明细接口!$T291=0,"",[1]对账明细接口!$T291),"")</f>
        <v/>
      </c>
      <c r="Z291" s="24" t="str">
        <f>IFERROR(IF([1]对账明细接口!$U291=0,"",[1]对账明细接口!$U291),"")</f>
        <v/>
      </c>
      <c r="AA291" s="24" t="str">
        <f>IFERROR(IF([1]对账明细接口!$V291=0,"",[1]对账明细接口!$V291),"")</f>
        <v/>
      </c>
      <c r="AB291" s="20" t="str">
        <f>IFERROR(IF([1]对账明细接口!$W291=0,"",[1]对账明细接口!$W291),"")</f>
        <v/>
      </c>
      <c r="AC291" s="7" t="str">
        <f>IFERROR(IF([1]对账明细接口!$X291=0,"",[1]对账明细接口!$X291),"")</f>
        <v/>
      </c>
      <c r="AD291" s="7" t="str">
        <f>IFERROR(IF([1]对账明细接口!$Y291=0,"",[1]对账明细接口!$Y291),"")</f>
        <v/>
      </c>
      <c r="AE291" s="7" t="str">
        <f>IFERROR(IF([1]对账明细接口!$AA291=0,"",[1]对账明细接口!$AA291),"")</f>
        <v/>
      </c>
      <c r="AF291" s="7" t="str">
        <f>IFERROR(IF([1]对账明细接口!$AB291=0,"",[1]对账明细接口!$AB291),"")</f>
        <v/>
      </c>
      <c r="AG291" s="7" t="str">
        <f>IFERROR(IF([1]对账明细接口!$AC291=0,"",[1]对账明细接口!$AC291),"")</f>
        <v/>
      </c>
      <c r="AH291" s="7" t="str">
        <f>IFERROR(IF([1]对账明细接口!$AD291=0,"",[1]对账明细接口!$AD291),"")</f>
        <v/>
      </c>
      <c r="AI291" s="7" t="str">
        <f>IFERROR(IF([1]对账明细接口!$AE291=0,"",[1]对账明细接口!$AE291),"")</f>
        <v/>
      </c>
      <c r="AJ291" s="7" t="str">
        <f>IFERROR(IF([1]对账明细接口!$AF291=0,"",[1]对账明细接口!$AF291),"")</f>
        <v/>
      </c>
    </row>
    <row r="292" ht="14.25" customHeight="1" spans="1:36">
      <c r="A292" s="14">
        <v>292</v>
      </c>
      <c r="B292" s="15">
        <f>IFERROR(IF([1]对账明细接口!$B$292=0,"",[1]对账明细接口!$B$292),"")</f>
        <v>46283</v>
      </c>
      <c r="C292" s="16" t="str">
        <f>IFERROR(IF([1]对账明细接口!$C$292=0,"",[1]对账明细接口!$C$292),"")</f>
        <v>吐尔洪</v>
      </c>
      <c r="D292" s="16" t="str">
        <f>IFERROR(IF([1]对账明细接口!$D$292=0,"",[1]对账明细接口!$D$292),"")</f>
        <v>原料入库</v>
      </c>
      <c r="E292" s="16" t="str">
        <f>IFERROR(IF([1]对账明细接口!$E$292=0,"",[1]对账明细接口!$E$292),"")</f>
        <v>NO:0000897</v>
      </c>
      <c r="F292" s="16" t="str">
        <f>IFERROR(IF([1]对账明细接口!$F$292=0,"",[1]对账明细接口!$F$292),"")</f>
        <v>香梨</v>
      </c>
      <c r="G292" s="16" t="str">
        <f>IFERROR(IF([1]对账明细接口!$G$292=0,"",[1]对账明细接口!$G$292),"")</f>
        <v>香梨一级</v>
      </c>
      <c r="H292" s="17">
        <f>IFERROR(IF([1]对账明细接口!$H$292=0,"",[1]对账明细接口!$H$292),"")</f>
        <v>9</v>
      </c>
      <c r="I292" s="16" t="str">
        <f>IFERROR(IF([1]对账明细接口!$I$292=0,"",[1]对账明细接口!$I$292),"")</f>
        <v>筐</v>
      </c>
      <c r="J292" s="18">
        <f>IFERROR(IF([1]对账明细接口!$J$292=0,"",[1]对账明细接口!$J$292),"")</f>
        <v>164.7</v>
      </c>
      <c r="K292" s="18" t="str">
        <f>IFERROR(IF([1]对账明细接口!$K$292=0,"",[1]对账明细接口!$K$292),"")</f>
        <v/>
      </c>
      <c r="L292" s="16" t="str">
        <f>IFERROR(IF([1]对账明细接口!$L$292=0,"",[1]对账明细接口!$L$292),"")</f>
        <v/>
      </c>
      <c r="M292" s="16" t="str">
        <f>IFERROR(IF([1]对账明细接口!$M$292=0,"",[1]对账明细接口!$M$292),"")</f>
        <v>麦麦提</v>
      </c>
      <c r="N292" s="19">
        <f t="shared" si="8"/>
        <v>1</v>
      </c>
      <c r="O292" s="19">
        <f t="shared" si="9"/>
        <v>289</v>
      </c>
      <c r="S292" s="20" t="str">
        <f>IFERROR(IF([1]对账明细接口!$N292=0,"",[1]对账明细接口!$N292),"")</f>
        <v>公司红周转筐</v>
      </c>
      <c r="T292" s="21" t="str">
        <f>IFERROR(IF([1]对账明细接口!$O292=0,"",[1]对账明细接口!$O292),"")</f>
        <v/>
      </c>
      <c r="U292" s="21" t="str">
        <f>IFERROR(IF([1]对账明细接口!$P292=0,"",[1]对账明细接口!$P292),"")</f>
        <v/>
      </c>
      <c r="V292" s="21">
        <f>IFERROR(IF([1]对账明细接口!$Q292=0,"",[1]对账明细接口!$Q292),"")</f>
        <v>9</v>
      </c>
      <c r="W292" s="20" t="str">
        <f>IFERROR(IF([1]对账明细接口!$R292=0,"",[1]对账明细接口!$R292),"")</f>
        <v>新N*X8S48</v>
      </c>
      <c r="X292" s="20" t="str">
        <f>IFERROR(IF([1]对账明细接口!$S292=0,"",[1]对账明细接口!$S292),"")</f>
        <v>公司筐</v>
      </c>
      <c r="Y292" s="20" t="str">
        <f>IFERROR(IF([1]对账明细接口!$T292=0,"",[1]对账明细接口!$T292),"")</f>
        <v/>
      </c>
      <c r="Z292" s="24" t="str">
        <f>IFERROR(IF([1]对账明细接口!$U292=0,"",[1]对账明细接口!$U292),"")</f>
        <v/>
      </c>
      <c r="AA292" s="24" t="str">
        <f>IFERROR(IF([1]对账明细接口!$V292=0,"",[1]对账明细接口!$V292),"")</f>
        <v/>
      </c>
      <c r="AB292" s="20" t="str">
        <f>IFERROR(IF([1]对账明细接口!$W292=0,"",[1]对账明细接口!$W292),"")</f>
        <v/>
      </c>
      <c r="AC292" s="7" t="str">
        <f>IFERROR(IF([1]对账明细接口!$X292=0,"",[1]对账明细接口!$X292),"")</f>
        <v/>
      </c>
      <c r="AD292" s="7" t="str">
        <f>IFERROR(IF([1]对账明细接口!$Y292=0,"",[1]对账明细接口!$Y292),"")</f>
        <v/>
      </c>
      <c r="AE292" s="7" t="str">
        <f>IFERROR(IF([1]对账明细接口!$AA292=0,"",[1]对账明细接口!$AA292),"")</f>
        <v/>
      </c>
      <c r="AF292" s="7" t="str">
        <f>IFERROR(IF([1]对账明细接口!$AB292=0,"",[1]对账明细接口!$AB292),"")</f>
        <v/>
      </c>
      <c r="AG292" s="7" t="str">
        <f>IFERROR(IF([1]对账明细接口!$AC292=0,"",[1]对账明细接口!$AC292),"")</f>
        <v/>
      </c>
      <c r="AH292" s="7" t="str">
        <f>IFERROR(IF([1]对账明细接口!$AD292=0,"",[1]对账明细接口!$AD292),"")</f>
        <v/>
      </c>
      <c r="AI292" s="7" t="str">
        <f>IFERROR(IF([1]对账明细接口!$AE292=0,"",[1]对账明细接口!$AE292),"")</f>
        <v/>
      </c>
      <c r="AJ292" s="7" t="str">
        <f>IFERROR(IF([1]对账明细接口!$AF292=0,"",[1]对账明细接口!$AF292),"")</f>
        <v/>
      </c>
    </row>
    <row r="293" ht="14.25" customHeight="1" spans="1:36">
      <c r="A293" s="14">
        <v>293</v>
      </c>
      <c r="B293" s="15">
        <f>IFERROR(IF([1]对账明细接口!$B$293=0,"",[1]对账明细接口!$B$293),"")</f>
        <v>46283</v>
      </c>
      <c r="C293" s="16" t="str">
        <f>IFERROR(IF([1]对账明细接口!$C$293=0,"",[1]对账明细接口!$C$293),"")</f>
        <v>吐尔洪</v>
      </c>
      <c r="D293" s="16" t="str">
        <f>IFERROR(IF([1]对账明细接口!$D$293=0,"",[1]对账明细接口!$D$293),"")</f>
        <v>原料入库</v>
      </c>
      <c r="E293" s="16" t="str">
        <f>IFERROR(IF([1]对账明细接口!$E$293=0,"",[1]对账明细接口!$E$293),"")</f>
        <v>NO:0000897</v>
      </c>
      <c r="F293" s="16" t="str">
        <f>IFERROR(IF([1]对账明细接口!$F$293=0,"",[1]对账明细接口!$F$293),"")</f>
        <v>香梨</v>
      </c>
      <c r="G293" s="16" t="str">
        <f>IFERROR(IF([1]对账明细接口!$G$293=0,"",[1]对账明细接口!$G$293),"")</f>
        <v>香梨二级</v>
      </c>
      <c r="H293" s="17">
        <f>IFERROR(IF([1]对账明细接口!$H$293=0,"",[1]对账明细接口!$H$293),"")</f>
        <v>59</v>
      </c>
      <c r="I293" s="16" t="str">
        <f>IFERROR(IF([1]对账明细接口!$I$293=0,"",[1]对账明细接口!$I$293),"")</f>
        <v>筐</v>
      </c>
      <c r="J293" s="18">
        <f>IFERROR(IF([1]对账明细接口!$J$293=0,"",[1]对账明细接口!$J$293),"")</f>
        <v>1315.7</v>
      </c>
      <c r="K293" s="18" t="str">
        <f>IFERROR(IF([1]对账明细接口!$K$293=0,"",[1]对账明细接口!$K$293),"")</f>
        <v/>
      </c>
      <c r="L293" s="16" t="str">
        <f>IFERROR(IF([1]对账明细接口!$L$293=0,"",[1]对账明细接口!$L$293),"")</f>
        <v/>
      </c>
      <c r="M293" s="16" t="str">
        <f>IFERROR(IF([1]对账明细接口!$M$293=0,"",[1]对账明细接口!$M$293),"")</f>
        <v>麦麦提</v>
      </c>
      <c r="N293" s="19">
        <f t="shared" si="8"/>
        <v>1</v>
      </c>
      <c r="O293" s="19">
        <f t="shared" si="9"/>
        <v>290</v>
      </c>
      <c r="S293" s="20" t="str">
        <f>IFERROR(IF([1]对账明细接口!$N293=0,"",[1]对账明细接口!$N293),"")</f>
        <v>公司红周转筐</v>
      </c>
      <c r="T293" s="21" t="str">
        <f>IFERROR(IF([1]对账明细接口!$O293=0,"",[1]对账明细接口!$O293),"")</f>
        <v/>
      </c>
      <c r="U293" s="21" t="str">
        <f>IFERROR(IF([1]对账明细接口!$P293=0,"",[1]对账明细接口!$P293),"")</f>
        <v/>
      </c>
      <c r="V293" s="21">
        <f>IFERROR(IF([1]对账明细接口!$Q293=0,"",[1]对账明细接口!$Q293),"")</f>
        <v>59</v>
      </c>
      <c r="W293" s="20" t="str">
        <f>IFERROR(IF([1]对账明细接口!$R293=0,"",[1]对账明细接口!$R293),"")</f>
        <v>新N*X8S48</v>
      </c>
      <c r="X293" s="20" t="str">
        <f>IFERROR(IF([1]对账明细接口!$S293=0,"",[1]对账明细接口!$S293),"")</f>
        <v>公司筐</v>
      </c>
      <c r="Y293" s="20" t="str">
        <f>IFERROR(IF([1]对账明细接口!$T293=0,"",[1]对账明细接口!$T293),"")</f>
        <v/>
      </c>
      <c r="Z293" s="24" t="str">
        <f>IFERROR(IF([1]对账明细接口!$U293=0,"",[1]对账明细接口!$U293),"")</f>
        <v/>
      </c>
      <c r="AA293" s="24" t="str">
        <f>IFERROR(IF([1]对账明细接口!$V293=0,"",[1]对账明细接口!$V293),"")</f>
        <v/>
      </c>
      <c r="AB293" s="20" t="str">
        <f>IFERROR(IF([1]对账明细接口!$W293=0,"",[1]对账明细接口!$W293),"")</f>
        <v/>
      </c>
      <c r="AC293" s="7" t="str">
        <f>IFERROR(IF([1]对账明细接口!$X293=0,"",[1]对账明细接口!$X293),"")</f>
        <v/>
      </c>
      <c r="AD293" s="7" t="str">
        <f>IFERROR(IF([1]对账明细接口!$Y293=0,"",[1]对账明细接口!$Y293),"")</f>
        <v/>
      </c>
      <c r="AE293" s="7" t="str">
        <f>IFERROR(IF([1]对账明细接口!$AA293=0,"",[1]对账明细接口!$AA293),"")</f>
        <v/>
      </c>
      <c r="AF293" s="7" t="str">
        <f>IFERROR(IF([1]对账明细接口!$AB293=0,"",[1]对账明细接口!$AB293),"")</f>
        <v/>
      </c>
      <c r="AG293" s="7" t="str">
        <f>IFERROR(IF([1]对账明细接口!$AC293=0,"",[1]对账明细接口!$AC293),"")</f>
        <v/>
      </c>
      <c r="AH293" s="7" t="str">
        <f>IFERROR(IF([1]对账明细接口!$AD293=0,"",[1]对账明细接口!$AD293),"")</f>
        <v/>
      </c>
      <c r="AI293" s="7" t="str">
        <f>IFERROR(IF([1]对账明细接口!$AE293=0,"",[1]对账明细接口!$AE293),"")</f>
        <v/>
      </c>
      <c r="AJ293" s="7" t="str">
        <f>IFERROR(IF([1]对账明细接口!$AF293=0,"",[1]对账明细接口!$AF293),"")</f>
        <v/>
      </c>
    </row>
    <row r="294" ht="14.25" customHeight="1" spans="1:36">
      <c r="A294" s="14">
        <v>294</v>
      </c>
      <c r="B294" s="15">
        <f>IFERROR(IF([1]对账明细接口!$B$294=0,"",[1]对账明细接口!$B$294),"")</f>
        <v>46283</v>
      </c>
      <c r="C294" s="16" t="str">
        <f>IFERROR(IF([1]对账明细接口!$C$294=0,"",[1]对账明细接口!$C$294),"")</f>
        <v>艾则孜</v>
      </c>
      <c r="D294" s="16" t="str">
        <f>IFERROR(IF([1]对账明细接口!$D$294=0,"",[1]对账明细接口!$D$294),"")</f>
        <v>原料入库</v>
      </c>
      <c r="E294" s="16" t="str">
        <f>IFERROR(IF([1]对账明细接口!$E$294=0,"",[1]对账明细接口!$E$294),"")</f>
        <v>NO:0000898</v>
      </c>
      <c r="F294" s="16" t="str">
        <f>IFERROR(IF([1]对账明细接口!$F$294=0,"",[1]对账明细接口!$F$294),"")</f>
        <v>香梨</v>
      </c>
      <c r="G294" s="16" t="str">
        <f>IFERROR(IF([1]对账明细接口!$G$294=0,"",[1]对账明细接口!$G$294),"")</f>
        <v>香梨一级</v>
      </c>
      <c r="H294" s="17">
        <f>IFERROR(IF([1]对账明细接口!$H$294=0,"",[1]对账明细接口!$H$294),"")</f>
        <v>280</v>
      </c>
      <c r="I294" s="16" t="str">
        <f>IFERROR(IF([1]对账明细接口!$I$294=0,"",[1]对账明细接口!$I$294),"")</f>
        <v>筐</v>
      </c>
      <c r="J294" s="18">
        <f>IFERROR(IF([1]对账明细接口!$J$294=0,"",[1]对账明细接口!$J$294),"")</f>
        <v>5404</v>
      </c>
      <c r="K294" s="18" t="str">
        <f>IFERROR(IF([1]对账明细接口!$K$294=0,"",[1]对账明细接口!$K$294),"")</f>
        <v/>
      </c>
      <c r="L294" s="16" t="str">
        <f>IFERROR(IF([1]对账明细接口!$L$294=0,"",[1]对账明细接口!$L$294),"")</f>
        <v/>
      </c>
      <c r="M294" s="16" t="str">
        <f>IFERROR(IF([1]对账明细接口!$M$294=0,"",[1]对账明细接口!$M$294),"")</f>
        <v>热合曼</v>
      </c>
      <c r="N294" s="19">
        <f t="shared" si="8"/>
        <v>1</v>
      </c>
      <c r="O294" s="19">
        <f t="shared" si="9"/>
        <v>291</v>
      </c>
      <c r="S294" s="20" t="str">
        <f>IFERROR(IF([1]对账明细接口!$N294=0,"",[1]对账明细接口!$N294),"")</f>
        <v>公司红周转筐</v>
      </c>
      <c r="T294" s="21" t="str">
        <f>IFERROR(IF([1]对账明细接口!$O294=0,"",[1]对账明细接口!$O294),"")</f>
        <v/>
      </c>
      <c r="U294" s="21" t="str">
        <f>IFERROR(IF([1]对账明细接口!$P294=0,"",[1]对账明细接口!$P294),"")</f>
        <v/>
      </c>
      <c r="V294" s="21">
        <f>IFERROR(IF([1]对账明细接口!$Q294=0,"",[1]对账明细接口!$Q294),"")</f>
        <v>280</v>
      </c>
      <c r="W294" s="20" t="str">
        <f>IFERROR(IF([1]对账明细接口!$R294=0,"",[1]对账明细接口!$R294),"")</f>
        <v>新A*G0554</v>
      </c>
      <c r="X294" s="20" t="str">
        <f>IFERROR(IF([1]对账明细接口!$S294=0,"",[1]对账明细接口!$S294),"")</f>
        <v>公司筐</v>
      </c>
      <c r="Y294" s="20" t="str">
        <f>IFERROR(IF([1]对账明细接口!$T294=0,"",[1]对账明细接口!$T294),"")</f>
        <v/>
      </c>
      <c r="Z294" s="24" t="str">
        <f>IFERROR(IF([1]对账明细接口!$U294=0,"",[1]对账明细接口!$U294),"")</f>
        <v/>
      </c>
      <c r="AA294" s="24" t="str">
        <f>IFERROR(IF([1]对账明细接口!$V294=0,"",[1]对账明细接口!$V294),"")</f>
        <v/>
      </c>
      <c r="AB294" s="20" t="str">
        <f>IFERROR(IF([1]对账明细接口!$W294=0,"",[1]对账明细接口!$W294),"")</f>
        <v/>
      </c>
      <c r="AC294" s="7" t="str">
        <f>IFERROR(IF([1]对账明细接口!$X294=0,"",[1]对账明细接口!$X294),"")</f>
        <v/>
      </c>
      <c r="AD294" s="7" t="str">
        <f>IFERROR(IF([1]对账明细接口!$Y294=0,"",[1]对账明细接口!$Y294),"")</f>
        <v/>
      </c>
      <c r="AE294" s="7" t="str">
        <f>IFERROR(IF([1]对账明细接口!$AA294=0,"",[1]对账明细接口!$AA294),"")</f>
        <v/>
      </c>
      <c r="AF294" s="7" t="str">
        <f>IFERROR(IF([1]对账明细接口!$AB294=0,"",[1]对账明细接口!$AB294),"")</f>
        <v/>
      </c>
      <c r="AG294" s="7" t="str">
        <f>IFERROR(IF([1]对账明细接口!$AC294=0,"",[1]对账明细接口!$AC294),"")</f>
        <v/>
      </c>
      <c r="AH294" s="7" t="str">
        <f>IFERROR(IF([1]对账明细接口!$AD294=0,"",[1]对账明细接口!$AD294),"")</f>
        <v/>
      </c>
      <c r="AI294" s="7" t="str">
        <f>IFERROR(IF([1]对账明细接口!$AE294=0,"",[1]对账明细接口!$AE294),"")</f>
        <v/>
      </c>
      <c r="AJ294" s="7" t="str">
        <f>IFERROR(IF([1]对账明细接口!$AF294=0,"",[1]对账明细接口!$AF294),"")</f>
        <v/>
      </c>
    </row>
    <row r="295" ht="14.25" customHeight="1" spans="1:36">
      <c r="A295" s="14">
        <v>295</v>
      </c>
      <c r="B295" s="15">
        <f>IFERROR(IF([1]对账明细接口!$B$295=0,"",[1]对账明细接口!$B$295),"")</f>
        <v>46283</v>
      </c>
      <c r="C295" s="16" t="str">
        <f>IFERROR(IF([1]对账明细接口!$C$295=0,"",[1]对账明细接口!$C$295),"")</f>
        <v>艾则孜</v>
      </c>
      <c r="D295" s="16" t="str">
        <f>IFERROR(IF([1]对账明细接口!$D$295=0,"",[1]对账明细接口!$D$295),"")</f>
        <v>原料入库</v>
      </c>
      <c r="E295" s="16" t="str">
        <f>IFERROR(IF([1]对账明细接口!$E$295=0,"",[1]对账明细接口!$E$295),"")</f>
        <v>NO:0000898</v>
      </c>
      <c r="F295" s="16" t="str">
        <f>IFERROR(IF([1]对账明细接口!$F$295=0,"",[1]对账明细接口!$F$295),"")</f>
        <v>香梨</v>
      </c>
      <c r="G295" s="16" t="str">
        <f>IFERROR(IF([1]对账明细接口!$G$295=0,"",[1]对账明细接口!$G$295),"")</f>
        <v>香梨二级</v>
      </c>
      <c r="H295" s="17">
        <f>IFERROR(IF([1]对账明细接口!$H$295=0,"",[1]对账明细接口!$H$295),"")</f>
        <v>88</v>
      </c>
      <c r="I295" s="16" t="str">
        <f>IFERROR(IF([1]对账明细接口!$I$295=0,"",[1]对账明细接口!$I$295),"")</f>
        <v>筐</v>
      </c>
      <c r="J295" s="18">
        <f>IFERROR(IF([1]对账明细接口!$J$295=0,"",[1]对账明细接口!$J$295),"")</f>
        <v>1962.4</v>
      </c>
      <c r="K295" s="18" t="str">
        <f>IFERROR(IF([1]对账明细接口!$K$295=0,"",[1]对账明细接口!$K$295),"")</f>
        <v/>
      </c>
      <c r="L295" s="16" t="str">
        <f>IFERROR(IF([1]对账明细接口!$L$295=0,"",[1]对账明细接口!$L$295),"")</f>
        <v/>
      </c>
      <c r="M295" s="16" t="str">
        <f>IFERROR(IF([1]对账明细接口!$M$295=0,"",[1]对账明细接口!$M$295),"")</f>
        <v>热合曼</v>
      </c>
      <c r="N295" s="19">
        <f t="shared" si="8"/>
        <v>1</v>
      </c>
      <c r="O295" s="19">
        <f t="shared" si="9"/>
        <v>292</v>
      </c>
      <c r="S295" s="20" t="str">
        <f>IFERROR(IF([1]对账明细接口!$N295=0,"",[1]对账明细接口!$N295),"")</f>
        <v>公司红周转筐</v>
      </c>
      <c r="T295" s="21" t="str">
        <f>IFERROR(IF([1]对账明细接口!$O295=0,"",[1]对账明细接口!$O295),"")</f>
        <v/>
      </c>
      <c r="U295" s="21" t="str">
        <f>IFERROR(IF([1]对账明细接口!$P295=0,"",[1]对账明细接口!$P295),"")</f>
        <v/>
      </c>
      <c r="V295" s="21">
        <f>IFERROR(IF([1]对账明细接口!$Q295=0,"",[1]对账明细接口!$Q295),"")</f>
        <v>88</v>
      </c>
      <c r="W295" s="20" t="str">
        <f>IFERROR(IF([1]对账明细接口!$R295=0,"",[1]对账明细接口!$R295),"")</f>
        <v>新A*G0554</v>
      </c>
      <c r="X295" s="20" t="str">
        <f>IFERROR(IF([1]对账明细接口!$S295=0,"",[1]对账明细接口!$S295),"")</f>
        <v>公司筐</v>
      </c>
      <c r="Y295" s="20" t="str">
        <f>IFERROR(IF([1]对账明细接口!$T295=0,"",[1]对账明细接口!$T295),"")</f>
        <v/>
      </c>
      <c r="Z295" s="24" t="str">
        <f>IFERROR(IF([1]对账明细接口!$U295=0,"",[1]对账明细接口!$U295),"")</f>
        <v/>
      </c>
      <c r="AA295" s="24" t="str">
        <f>IFERROR(IF([1]对账明细接口!$V295=0,"",[1]对账明细接口!$V295),"")</f>
        <v/>
      </c>
      <c r="AB295" s="20" t="str">
        <f>IFERROR(IF([1]对账明细接口!$W295=0,"",[1]对账明细接口!$W295),"")</f>
        <v/>
      </c>
      <c r="AC295" s="7" t="str">
        <f>IFERROR(IF([1]对账明细接口!$X295=0,"",[1]对账明细接口!$X295),"")</f>
        <v/>
      </c>
      <c r="AD295" s="7" t="str">
        <f>IFERROR(IF([1]对账明细接口!$Y295=0,"",[1]对账明细接口!$Y295),"")</f>
        <v/>
      </c>
      <c r="AE295" s="7" t="str">
        <f>IFERROR(IF([1]对账明细接口!$AA295=0,"",[1]对账明细接口!$AA295),"")</f>
        <v/>
      </c>
      <c r="AF295" s="7" t="str">
        <f>IFERROR(IF([1]对账明细接口!$AB295=0,"",[1]对账明细接口!$AB295),"")</f>
        <v/>
      </c>
      <c r="AG295" s="7" t="str">
        <f>IFERROR(IF([1]对账明细接口!$AC295=0,"",[1]对账明细接口!$AC295),"")</f>
        <v/>
      </c>
      <c r="AH295" s="7" t="str">
        <f>IFERROR(IF([1]对账明细接口!$AD295=0,"",[1]对账明细接口!$AD295),"")</f>
        <v/>
      </c>
      <c r="AI295" s="7" t="str">
        <f>IFERROR(IF([1]对账明细接口!$AE295=0,"",[1]对账明细接口!$AE295),"")</f>
        <v/>
      </c>
      <c r="AJ295" s="7" t="str">
        <f>IFERROR(IF([1]对账明细接口!$AF295=0,"",[1]对账明细接口!$AF295),"")</f>
        <v/>
      </c>
    </row>
    <row r="296" ht="14.25" customHeight="1" spans="1:36">
      <c r="A296" s="14">
        <v>296</v>
      </c>
      <c r="B296" s="15">
        <f>IFERROR(IF([1]对账明细接口!$B$296=0,"",[1]对账明细接口!$B$296),"")</f>
        <v>46283</v>
      </c>
      <c r="C296" s="16" t="str">
        <f>IFERROR(IF([1]对账明细接口!$C$296=0,"",[1]对账明细接口!$C$296),"")</f>
        <v>艾则孜</v>
      </c>
      <c r="D296" s="16" t="str">
        <f>IFERROR(IF([1]对账明细接口!$D$296=0,"",[1]对账明细接口!$D$296),"")</f>
        <v>原料入库</v>
      </c>
      <c r="E296" s="16" t="str">
        <f>IFERROR(IF([1]对账明细接口!$E$296=0,"",[1]对账明细接口!$E$296),"")</f>
        <v>NO:0000898</v>
      </c>
      <c r="F296" s="16" t="str">
        <f>IFERROR(IF([1]对账明细接口!$F$296=0,"",[1]对账明细接口!$F$296),"")</f>
        <v>香梨</v>
      </c>
      <c r="G296" s="16" t="str">
        <f>IFERROR(IF([1]对账明细接口!$G$296=0,"",[1]对账明细接口!$G$296),"")</f>
        <v>香梨副特</v>
      </c>
      <c r="H296" s="17">
        <f>IFERROR(IF([1]对账明细接口!$H$296=0,"",[1]对账明细接口!$H$296),"")</f>
        <v>170</v>
      </c>
      <c r="I296" s="16" t="str">
        <f>IFERROR(IF([1]对账明细接口!$I$296=0,"",[1]对账明细接口!$I$296),"")</f>
        <v>筐</v>
      </c>
      <c r="J296" s="18">
        <f>IFERROR(IF([1]对账明细接口!$J$296=0,"",[1]对账明细接口!$J$296),"")</f>
        <v>3281</v>
      </c>
      <c r="K296" s="18" t="str">
        <f>IFERROR(IF([1]对账明细接口!$K$296=0,"",[1]对账明细接口!$K$296),"")</f>
        <v/>
      </c>
      <c r="L296" s="16" t="str">
        <f>IFERROR(IF([1]对账明细接口!$L$296=0,"",[1]对账明细接口!$L$296),"")</f>
        <v/>
      </c>
      <c r="M296" s="16" t="str">
        <f>IFERROR(IF([1]对账明细接口!$M$296=0,"",[1]对账明细接口!$M$296),"")</f>
        <v>热合曼</v>
      </c>
      <c r="N296" s="19">
        <f t="shared" si="8"/>
        <v>1</v>
      </c>
      <c r="O296" s="19">
        <f t="shared" si="9"/>
        <v>293</v>
      </c>
      <c r="S296" s="20" t="str">
        <f>IFERROR(IF([1]对账明细接口!$N296=0,"",[1]对账明细接口!$N296),"")</f>
        <v>公司红周转筐</v>
      </c>
      <c r="T296" s="21" t="str">
        <f>IFERROR(IF([1]对账明细接口!$O296=0,"",[1]对账明细接口!$O296),"")</f>
        <v/>
      </c>
      <c r="U296" s="21" t="str">
        <f>IFERROR(IF([1]对账明细接口!$P296=0,"",[1]对账明细接口!$P296),"")</f>
        <v/>
      </c>
      <c r="V296" s="21">
        <f>IFERROR(IF([1]对账明细接口!$Q296=0,"",[1]对账明细接口!$Q296),"")</f>
        <v>170</v>
      </c>
      <c r="W296" s="20" t="str">
        <f>IFERROR(IF([1]对账明细接口!$R296=0,"",[1]对账明细接口!$R296),"")</f>
        <v>新A*G0554</v>
      </c>
      <c r="X296" s="20" t="str">
        <f>IFERROR(IF([1]对账明细接口!$S296=0,"",[1]对账明细接口!$S296),"")</f>
        <v>公司筐</v>
      </c>
      <c r="Y296" s="20" t="str">
        <f>IFERROR(IF([1]对账明细接口!$T296=0,"",[1]对账明细接口!$T296),"")</f>
        <v/>
      </c>
      <c r="Z296" s="24" t="str">
        <f>IFERROR(IF([1]对账明细接口!$U296=0,"",[1]对账明细接口!$U296),"")</f>
        <v/>
      </c>
      <c r="AA296" s="24" t="str">
        <f>IFERROR(IF([1]对账明细接口!$V296=0,"",[1]对账明细接口!$V296),"")</f>
        <v/>
      </c>
      <c r="AB296" s="20" t="str">
        <f>IFERROR(IF([1]对账明细接口!$W296=0,"",[1]对账明细接口!$W296),"")</f>
        <v/>
      </c>
      <c r="AC296" s="7" t="str">
        <f>IFERROR(IF([1]对账明细接口!$X296=0,"",[1]对账明细接口!$X296),"")</f>
        <v/>
      </c>
      <c r="AD296" s="7" t="str">
        <f>IFERROR(IF([1]对账明细接口!$Y296=0,"",[1]对账明细接口!$Y296),"")</f>
        <v/>
      </c>
      <c r="AE296" s="7" t="str">
        <f>IFERROR(IF([1]对账明细接口!$AA296=0,"",[1]对账明细接口!$AA296),"")</f>
        <v/>
      </c>
      <c r="AF296" s="7" t="str">
        <f>IFERROR(IF([1]对账明细接口!$AB296=0,"",[1]对账明细接口!$AB296),"")</f>
        <v/>
      </c>
      <c r="AG296" s="7" t="str">
        <f>IFERROR(IF([1]对账明细接口!$AC296=0,"",[1]对账明细接口!$AC296),"")</f>
        <v/>
      </c>
      <c r="AH296" s="7" t="str">
        <f>IFERROR(IF([1]对账明细接口!$AD296=0,"",[1]对账明细接口!$AD296),"")</f>
        <v/>
      </c>
      <c r="AI296" s="7" t="str">
        <f>IFERROR(IF([1]对账明细接口!$AE296=0,"",[1]对账明细接口!$AE296),"")</f>
        <v/>
      </c>
      <c r="AJ296" s="7" t="str">
        <f>IFERROR(IF([1]对账明细接口!$AF296=0,"",[1]对账明细接口!$AF296),"")</f>
        <v/>
      </c>
    </row>
    <row r="297" ht="14.25" customHeight="1" spans="1:36">
      <c r="A297" s="14">
        <v>297</v>
      </c>
      <c r="B297" s="15">
        <f>IFERROR(IF([1]对账明细接口!$B$297=0,"",[1]对账明细接口!$B$297),"")</f>
        <v>46283</v>
      </c>
      <c r="C297" s="16" t="str">
        <f>IFERROR(IF([1]对账明细接口!$C$297=0,"",[1]对账明细接口!$C$297),"")</f>
        <v>王灵云</v>
      </c>
      <c r="D297" s="16" t="str">
        <f>IFERROR(IF([1]对账明细接口!$D$297=0,"",[1]对账明细接口!$D$297),"")</f>
        <v>原料入库</v>
      </c>
      <c r="E297" s="16" t="str">
        <f>IFERROR(IF([1]对账明细接口!$E$297=0,"",[1]对账明细接口!$E$297),"")</f>
        <v>NO:0000901</v>
      </c>
      <c r="F297" s="16" t="str">
        <f>IFERROR(IF([1]对账明细接口!$F$297=0,"",[1]对账明细接口!$F$297),"")</f>
        <v>香梨</v>
      </c>
      <c r="G297" s="16" t="str">
        <f>IFERROR(IF([1]对账明细接口!$G$297=0,"",[1]对账明细接口!$G$297),"")</f>
        <v>香梨一级</v>
      </c>
      <c r="H297" s="17">
        <f>IFERROR(IF([1]对账明细接口!$H$297=0,"",[1]对账明细接口!$H$297),"")</f>
        <v>525</v>
      </c>
      <c r="I297" s="16" t="str">
        <f>IFERROR(IF([1]对账明细接口!$I$297=0,"",[1]对账明细接口!$I$297),"")</f>
        <v>筐</v>
      </c>
      <c r="J297" s="18">
        <f>IFERROR(IF([1]对账明细接口!$J$297=0,"",[1]对账明细接口!$J$297),"")</f>
        <v>9607.5</v>
      </c>
      <c r="K297" s="18" t="str">
        <f>IFERROR(IF([1]对账明细接口!$K$297=0,"",[1]对账明细接口!$K$297),"")</f>
        <v/>
      </c>
      <c r="L297" s="16" t="str">
        <f>IFERROR(IF([1]对账明细接口!$L$297=0,"",[1]对账明细接口!$L$297),"")</f>
        <v/>
      </c>
      <c r="M297" s="16" t="str">
        <f>IFERROR(IF([1]对账明细接口!$M$297=0,"",[1]对账明细接口!$M$297),"")</f>
        <v/>
      </c>
      <c r="N297" s="19">
        <f t="shared" si="8"/>
        <v>1</v>
      </c>
      <c r="O297" s="19">
        <f t="shared" si="9"/>
        <v>294</v>
      </c>
      <c r="S297" s="20" t="str">
        <f>IFERROR(IF([1]对账明细接口!$N297=0,"",[1]对账明细接口!$N297),"")</f>
        <v>公司红周转筐</v>
      </c>
      <c r="T297" s="21" t="str">
        <f>IFERROR(IF([1]对账明细接口!$O297=0,"",[1]对账明细接口!$O297),"")</f>
        <v/>
      </c>
      <c r="U297" s="21" t="str">
        <f>IFERROR(IF([1]对账明细接口!$P297=0,"",[1]对账明细接口!$P297),"")</f>
        <v/>
      </c>
      <c r="V297" s="21">
        <f>IFERROR(IF([1]对账明细接口!$Q297=0,"",[1]对账明细接口!$Q297),"")</f>
        <v>525</v>
      </c>
      <c r="W297" s="20" t="str">
        <f>IFERROR(IF([1]对账明细接口!$R297=0,"",[1]对账明细接口!$R297),"")</f>
        <v>新N*49209</v>
      </c>
      <c r="X297" s="20" t="str">
        <f>IFERROR(IF([1]对账明细接口!$S297=0,"",[1]对账明细接口!$S297),"")</f>
        <v>公司筐</v>
      </c>
      <c r="Y297" s="20" t="str">
        <f>IFERROR(IF([1]对账明细接口!$T297=0,"",[1]对账明细接口!$T297),"")</f>
        <v/>
      </c>
      <c r="Z297" s="24" t="str">
        <f>IFERROR(IF([1]对账明细接口!$U297=0,"",[1]对账明细接口!$U297),"")</f>
        <v/>
      </c>
      <c r="AA297" s="24" t="str">
        <f>IFERROR(IF([1]对账明细接口!$V297=0,"",[1]对账明细接口!$V297),"")</f>
        <v/>
      </c>
      <c r="AB297" s="20" t="str">
        <f>IFERROR(IF([1]对账明细接口!$W297=0,"",[1]对账明细接口!$W297),"")</f>
        <v/>
      </c>
      <c r="AC297" s="7" t="str">
        <f>IFERROR(IF([1]对账明细接口!$X297=0,"",[1]对账明细接口!$X297),"")</f>
        <v/>
      </c>
      <c r="AD297" s="7" t="str">
        <f>IFERROR(IF([1]对账明细接口!$Y297=0,"",[1]对账明细接口!$Y297),"")</f>
        <v/>
      </c>
      <c r="AE297" s="7" t="str">
        <f>IFERROR(IF([1]对账明细接口!$AA297=0,"",[1]对账明细接口!$AA297),"")</f>
        <v/>
      </c>
      <c r="AF297" s="7" t="str">
        <f>IFERROR(IF([1]对账明细接口!$AB297=0,"",[1]对账明细接口!$AB297),"")</f>
        <v/>
      </c>
      <c r="AG297" s="7" t="str">
        <f>IFERROR(IF([1]对账明细接口!$AC297=0,"",[1]对账明细接口!$AC297),"")</f>
        <v/>
      </c>
      <c r="AH297" s="7" t="str">
        <f>IFERROR(IF([1]对账明细接口!$AD297=0,"",[1]对账明细接口!$AD297),"")</f>
        <v/>
      </c>
      <c r="AI297" s="7" t="str">
        <f>IFERROR(IF([1]对账明细接口!$AE297=0,"",[1]对账明细接口!$AE297),"")</f>
        <v/>
      </c>
      <c r="AJ297" s="7" t="str">
        <f>IFERROR(IF([1]对账明细接口!$AF297=0,"",[1]对账明细接口!$AF297),"")</f>
        <v/>
      </c>
    </row>
    <row r="298" ht="14.25" customHeight="1" spans="1:36">
      <c r="A298" s="14">
        <v>298</v>
      </c>
      <c r="B298" s="15">
        <f>IFERROR(IF([1]对账明细接口!$B$298=0,"",[1]对账明细接口!$B$298),"")</f>
        <v>46283</v>
      </c>
      <c r="C298" s="16" t="str">
        <f>IFERROR(IF([1]对账明细接口!$C$298=0,"",[1]对账明细接口!$C$298),"")</f>
        <v>王灵云</v>
      </c>
      <c r="D298" s="16" t="str">
        <f>IFERROR(IF([1]对账明细接口!$D$298=0,"",[1]对账明细接口!$D$298),"")</f>
        <v>原料入库</v>
      </c>
      <c r="E298" s="16" t="str">
        <f>IFERROR(IF([1]对账明细接口!$E$298=0,"",[1]对账明细接口!$E$298),"")</f>
        <v>NO:0000901</v>
      </c>
      <c r="F298" s="16" t="str">
        <f>IFERROR(IF([1]对账明细接口!$F$298=0,"",[1]对账明细接口!$F$298),"")</f>
        <v>香梨</v>
      </c>
      <c r="G298" s="16" t="str">
        <f>IFERROR(IF([1]对账明细接口!$G$298=0,"",[1]对账明细接口!$G$298),"")</f>
        <v>香梨二级</v>
      </c>
      <c r="H298" s="17">
        <f>IFERROR(IF([1]对账明细接口!$H$298=0,"",[1]对账明细接口!$H$298),"")</f>
        <v>87</v>
      </c>
      <c r="I298" s="16" t="str">
        <f>IFERROR(IF([1]对账明细接口!$I$298=0,"",[1]对账明细接口!$I$298),"")</f>
        <v>筐</v>
      </c>
      <c r="J298" s="18">
        <f>IFERROR(IF([1]对账明细接口!$J$298=0,"",[1]对账明细接口!$J$298),"")</f>
        <v>2027.1</v>
      </c>
      <c r="K298" s="18" t="str">
        <f>IFERROR(IF([1]对账明细接口!$K$298=0,"",[1]对账明细接口!$K$298),"")</f>
        <v/>
      </c>
      <c r="L298" s="16" t="str">
        <f>IFERROR(IF([1]对账明细接口!$L$298=0,"",[1]对账明细接口!$L$298),"")</f>
        <v/>
      </c>
      <c r="M298" s="16" t="str">
        <f>IFERROR(IF([1]对账明细接口!$M$298=0,"",[1]对账明细接口!$M$298),"")</f>
        <v/>
      </c>
      <c r="N298" s="19">
        <f t="shared" si="8"/>
        <v>1</v>
      </c>
      <c r="O298" s="19">
        <f t="shared" si="9"/>
        <v>295</v>
      </c>
      <c r="S298" s="20" t="str">
        <f>IFERROR(IF([1]对账明细接口!$N298=0,"",[1]对账明细接口!$N298),"")</f>
        <v>公司红周转筐</v>
      </c>
      <c r="T298" s="21" t="str">
        <f>IFERROR(IF([1]对账明细接口!$O298=0,"",[1]对账明细接口!$O298),"")</f>
        <v/>
      </c>
      <c r="U298" s="21" t="str">
        <f>IFERROR(IF([1]对账明细接口!$P298=0,"",[1]对账明细接口!$P298),"")</f>
        <v/>
      </c>
      <c r="V298" s="21">
        <f>IFERROR(IF([1]对账明细接口!$Q298=0,"",[1]对账明细接口!$Q298),"")</f>
        <v>87</v>
      </c>
      <c r="W298" s="20" t="str">
        <f>IFERROR(IF([1]对账明细接口!$R298=0,"",[1]对账明细接口!$R298),"")</f>
        <v>新N*49209</v>
      </c>
      <c r="X298" s="20" t="str">
        <f>IFERROR(IF([1]对账明细接口!$S298=0,"",[1]对账明细接口!$S298),"")</f>
        <v>公司筐</v>
      </c>
      <c r="Y298" s="20" t="str">
        <f>IFERROR(IF([1]对账明细接口!$T298=0,"",[1]对账明细接口!$T298),"")</f>
        <v/>
      </c>
      <c r="Z298" s="24" t="str">
        <f>IFERROR(IF([1]对账明细接口!$U298=0,"",[1]对账明细接口!$U298),"")</f>
        <v/>
      </c>
      <c r="AA298" s="24" t="str">
        <f>IFERROR(IF([1]对账明细接口!$V298=0,"",[1]对账明细接口!$V298),"")</f>
        <v/>
      </c>
      <c r="AB298" s="20" t="str">
        <f>IFERROR(IF([1]对账明细接口!$W298=0,"",[1]对账明细接口!$W298),"")</f>
        <v/>
      </c>
      <c r="AC298" s="7" t="str">
        <f>IFERROR(IF([1]对账明细接口!$X298=0,"",[1]对账明细接口!$X298),"")</f>
        <v/>
      </c>
      <c r="AD298" s="7" t="str">
        <f>IFERROR(IF([1]对账明细接口!$Y298=0,"",[1]对账明细接口!$Y298),"")</f>
        <v/>
      </c>
      <c r="AE298" s="7" t="str">
        <f>IFERROR(IF([1]对账明细接口!$AA298=0,"",[1]对账明细接口!$AA298),"")</f>
        <v/>
      </c>
      <c r="AF298" s="7" t="str">
        <f>IFERROR(IF([1]对账明细接口!$AB298=0,"",[1]对账明细接口!$AB298),"")</f>
        <v/>
      </c>
      <c r="AG298" s="7" t="str">
        <f>IFERROR(IF([1]对账明细接口!$AC298=0,"",[1]对账明细接口!$AC298),"")</f>
        <v/>
      </c>
      <c r="AH298" s="7" t="str">
        <f>IFERROR(IF([1]对账明细接口!$AD298=0,"",[1]对账明细接口!$AD298),"")</f>
        <v/>
      </c>
      <c r="AI298" s="7" t="str">
        <f>IFERROR(IF([1]对账明细接口!$AE298=0,"",[1]对账明细接口!$AE298),"")</f>
        <v/>
      </c>
      <c r="AJ298" s="7" t="str">
        <f>IFERROR(IF([1]对账明细接口!$AF298=0,"",[1]对账明细接口!$AF298),"")</f>
        <v/>
      </c>
    </row>
    <row r="299" ht="14.25" customHeight="1" spans="1:36">
      <c r="A299" s="14">
        <v>299</v>
      </c>
      <c r="B299" s="15">
        <f>IFERROR(IF([1]对账明细接口!$B$299=0,"",[1]对账明细接口!$B$299),"")</f>
        <v>46283</v>
      </c>
      <c r="C299" s="16" t="str">
        <f>IFERROR(IF([1]对账明细接口!$C$299=0,"",[1]对账明细接口!$C$299),"")</f>
        <v>王灵云</v>
      </c>
      <c r="D299" s="16" t="str">
        <f>IFERROR(IF([1]对账明细接口!$D$299=0,"",[1]对账明细接口!$D$299),"")</f>
        <v>原料入库</v>
      </c>
      <c r="E299" s="16" t="str">
        <f>IFERROR(IF([1]对账明细接口!$E$299=0,"",[1]对账明细接口!$E$299),"")</f>
        <v>NO:0000901</v>
      </c>
      <c r="F299" s="16" t="str">
        <f>IFERROR(IF([1]对账明细接口!$F$299=0,"",[1]对账明细接口!$F$299),"")</f>
        <v>香梨</v>
      </c>
      <c r="G299" s="16" t="str">
        <f>IFERROR(IF([1]对账明细接口!$G$299=0,"",[1]对账明细接口!$G$299),"")</f>
        <v>香梨副特</v>
      </c>
      <c r="H299" s="17">
        <f>IFERROR(IF([1]对账明细接口!$H$299=0,"",[1]对账明细接口!$H$299),"")</f>
        <v>77</v>
      </c>
      <c r="I299" s="16" t="str">
        <f>IFERROR(IF([1]对账明细接口!$I$299=0,"",[1]对账明细接口!$I$299),"")</f>
        <v>筐</v>
      </c>
      <c r="J299" s="18">
        <f>IFERROR(IF([1]对账明细接口!$J$299=0,"",[1]对账明细接口!$J$299),"")</f>
        <v>1409.1</v>
      </c>
      <c r="K299" s="18" t="str">
        <f>IFERROR(IF([1]对账明细接口!$K$299=0,"",[1]对账明细接口!$K$299),"")</f>
        <v/>
      </c>
      <c r="L299" s="16" t="str">
        <f>IFERROR(IF([1]对账明细接口!$L$299=0,"",[1]对账明细接口!$L$299),"")</f>
        <v/>
      </c>
      <c r="M299" s="16" t="str">
        <f>IFERROR(IF([1]对账明细接口!$M$299=0,"",[1]对账明细接口!$M$299),"")</f>
        <v/>
      </c>
      <c r="N299" s="19">
        <f t="shared" si="8"/>
        <v>1</v>
      </c>
      <c r="O299" s="19">
        <f t="shared" si="9"/>
        <v>296</v>
      </c>
      <c r="S299" s="20" t="str">
        <f>IFERROR(IF([1]对账明细接口!$N299=0,"",[1]对账明细接口!$N299),"")</f>
        <v>公司红周转筐</v>
      </c>
      <c r="T299" s="21" t="str">
        <f>IFERROR(IF([1]对账明细接口!$O299=0,"",[1]对账明细接口!$O299),"")</f>
        <v/>
      </c>
      <c r="U299" s="21" t="str">
        <f>IFERROR(IF([1]对账明细接口!$P299=0,"",[1]对账明细接口!$P299),"")</f>
        <v/>
      </c>
      <c r="V299" s="21">
        <f>IFERROR(IF([1]对账明细接口!$Q299=0,"",[1]对账明细接口!$Q299),"")</f>
        <v>77</v>
      </c>
      <c r="W299" s="20" t="str">
        <f>IFERROR(IF([1]对账明细接口!$R299=0,"",[1]对账明细接口!$R299),"")</f>
        <v>新N*49209</v>
      </c>
      <c r="X299" s="20" t="str">
        <f>IFERROR(IF([1]对账明细接口!$S299=0,"",[1]对账明细接口!$S299),"")</f>
        <v>公司筐</v>
      </c>
      <c r="Y299" s="20" t="str">
        <f>IFERROR(IF([1]对账明细接口!$T299=0,"",[1]对账明细接口!$T299),"")</f>
        <v/>
      </c>
      <c r="Z299" s="24" t="str">
        <f>IFERROR(IF([1]对账明细接口!$U299=0,"",[1]对账明细接口!$U299),"")</f>
        <v/>
      </c>
      <c r="AA299" s="24" t="str">
        <f>IFERROR(IF([1]对账明细接口!$V299=0,"",[1]对账明细接口!$V299),"")</f>
        <v/>
      </c>
      <c r="AB299" s="20" t="str">
        <f>IFERROR(IF([1]对账明细接口!$W299=0,"",[1]对账明细接口!$W299),"")</f>
        <v/>
      </c>
      <c r="AC299" s="7" t="str">
        <f>IFERROR(IF([1]对账明细接口!$X299=0,"",[1]对账明细接口!$X299),"")</f>
        <v/>
      </c>
      <c r="AD299" s="7" t="str">
        <f>IFERROR(IF([1]对账明细接口!$Y299=0,"",[1]对账明细接口!$Y299),"")</f>
        <v/>
      </c>
      <c r="AE299" s="7" t="str">
        <f>IFERROR(IF([1]对账明细接口!$AA299=0,"",[1]对账明细接口!$AA299),"")</f>
        <v/>
      </c>
      <c r="AF299" s="7" t="str">
        <f>IFERROR(IF([1]对账明细接口!$AB299=0,"",[1]对账明细接口!$AB299),"")</f>
        <v/>
      </c>
      <c r="AG299" s="7" t="str">
        <f>IFERROR(IF([1]对账明细接口!$AC299=0,"",[1]对账明细接口!$AC299),"")</f>
        <v/>
      </c>
      <c r="AH299" s="7" t="str">
        <f>IFERROR(IF([1]对账明细接口!$AD299=0,"",[1]对账明细接口!$AD299),"")</f>
        <v/>
      </c>
      <c r="AI299" s="7" t="str">
        <f>IFERROR(IF([1]对账明细接口!$AE299=0,"",[1]对账明细接口!$AE299),"")</f>
        <v/>
      </c>
      <c r="AJ299" s="7" t="str">
        <f>IFERROR(IF([1]对账明细接口!$AF299=0,"",[1]对账明细接口!$AF299),"")</f>
        <v/>
      </c>
    </row>
    <row r="300" ht="14.25" customHeight="1" spans="1:36">
      <c r="A300" s="14">
        <v>300</v>
      </c>
      <c r="B300" s="15">
        <f>IFERROR(IF([1]对账明细接口!$B$300=0,"",[1]对账明细接口!$B$300),"")</f>
        <v>46283</v>
      </c>
      <c r="C300" s="16" t="str">
        <f>IFERROR(IF([1]对账明细接口!$C$300=0,"",[1]对账明细接口!$C$300),"")</f>
        <v>王照雪</v>
      </c>
      <c r="D300" s="16" t="str">
        <f>IFERROR(IF([1]对账明细接口!$D$300=0,"",[1]对账明细接口!$D$300),"")</f>
        <v>原料入库</v>
      </c>
      <c r="E300" s="16" t="str">
        <f>IFERROR(IF([1]对账明细接口!$E$300=0,"",[1]对账明细接口!$E$300),"")</f>
        <v>NO:0000902</v>
      </c>
      <c r="F300" s="16" t="str">
        <f>IFERROR(IF([1]对账明细接口!$F$300=0,"",[1]对账明细接口!$F$300),"")</f>
        <v>苹果</v>
      </c>
      <c r="G300" s="16" t="str">
        <f>IFERROR(IF([1]对账明细接口!$G$300=0,"",[1]对账明细接口!$G$300),"")</f>
        <v>新世纪一级</v>
      </c>
      <c r="H300" s="17">
        <f>IFERROR(IF([1]对账明细接口!$H$300=0,"",[1]对账明细接口!$H$300),"")</f>
        <v>182</v>
      </c>
      <c r="I300" s="16" t="str">
        <f>IFERROR(IF([1]对账明细接口!$I$300=0,"",[1]对账明细接口!$I$300),"")</f>
        <v>筐</v>
      </c>
      <c r="J300" s="18">
        <f>IFERROR(IF([1]对账明细接口!$J$300=0,"",[1]对账明细接口!$J$300),"")</f>
        <v>3148.6</v>
      </c>
      <c r="K300" s="18" t="str">
        <f>IFERROR(IF([1]对账明细接口!$K$300=0,"",[1]对账明细接口!$K$300),"")</f>
        <v/>
      </c>
      <c r="L300" s="16" t="str">
        <f>IFERROR(IF([1]对账明细接口!$L$300=0,"",[1]对账明细接口!$L$300),"")</f>
        <v/>
      </c>
      <c r="M300" s="16" t="str">
        <f>IFERROR(IF([1]对账明细接口!$M$300=0,"",[1]对账明细接口!$M$300),"")</f>
        <v/>
      </c>
      <c r="N300" s="19">
        <f t="shared" si="8"/>
        <v>1</v>
      </c>
      <c r="O300" s="19">
        <f t="shared" si="9"/>
        <v>297</v>
      </c>
      <c r="S300" s="20" t="str">
        <f>IFERROR(IF([1]对账明细接口!$N300=0,"",[1]对账明细接口!$N300),"")</f>
        <v>公司杂周转筐</v>
      </c>
      <c r="T300" s="21" t="str">
        <f>IFERROR(IF([1]对账明细接口!$O300=0,"",[1]对账明细接口!$O300),"")</f>
        <v/>
      </c>
      <c r="U300" s="21" t="str">
        <f>IFERROR(IF([1]对账明细接口!$P300=0,"",[1]对账明细接口!$P300),"")</f>
        <v/>
      </c>
      <c r="V300" s="21">
        <f>IFERROR(IF([1]对账明细接口!$Q300=0,"",[1]对账明细接口!$Q300),"")</f>
        <v>182</v>
      </c>
      <c r="W300" s="20" t="str">
        <f>IFERROR(IF([1]对账明细接口!$R300=0,"",[1]对账明细接口!$R300),"")</f>
        <v>豫L*88X19</v>
      </c>
      <c r="X300" s="20" t="str">
        <f>IFERROR(IF([1]对账明细接口!$S300=0,"",[1]对账明细接口!$S300),"")</f>
        <v>公司筐</v>
      </c>
      <c r="Y300" s="20" t="str">
        <f>IFERROR(IF([1]对账明细接口!$T300=0,"",[1]对账明细接口!$T300),"")</f>
        <v/>
      </c>
      <c r="Z300" s="24" t="str">
        <f>IFERROR(IF([1]对账明细接口!$U300=0,"",[1]对账明细接口!$U300),"")</f>
        <v/>
      </c>
      <c r="AA300" s="24" t="str">
        <f>IFERROR(IF([1]对账明细接口!$V300=0,"",[1]对账明细接口!$V300),"")</f>
        <v/>
      </c>
      <c r="AB300" s="20" t="str">
        <f>IFERROR(IF([1]对账明细接口!$W300=0,"",[1]对账明细接口!$W300),"")</f>
        <v/>
      </c>
      <c r="AC300" s="7" t="str">
        <f>IFERROR(IF([1]对账明细接口!$X300=0,"",[1]对账明细接口!$X300),"")</f>
        <v/>
      </c>
      <c r="AD300" s="7" t="str">
        <f>IFERROR(IF([1]对账明细接口!$Y300=0,"",[1]对账明细接口!$Y300),"")</f>
        <v/>
      </c>
      <c r="AE300" s="7" t="str">
        <f>IFERROR(IF([1]对账明细接口!$AA300=0,"",[1]对账明细接口!$AA300),"")</f>
        <v/>
      </c>
      <c r="AF300" s="7" t="str">
        <f>IFERROR(IF([1]对账明细接口!$AB300=0,"",[1]对账明细接口!$AB300),"")</f>
        <v/>
      </c>
      <c r="AG300" s="7" t="str">
        <f>IFERROR(IF([1]对账明细接口!$AC300=0,"",[1]对账明细接口!$AC300),"")</f>
        <v/>
      </c>
      <c r="AH300" s="7" t="str">
        <f>IFERROR(IF([1]对账明细接口!$AD300=0,"",[1]对账明细接口!$AD300),"")</f>
        <v/>
      </c>
      <c r="AI300" s="7" t="str">
        <f>IFERROR(IF([1]对账明细接口!$AE300=0,"",[1]对账明细接口!$AE300),"")</f>
        <v/>
      </c>
      <c r="AJ300" s="7" t="str">
        <f>IFERROR(IF([1]对账明细接口!$AF300=0,"",[1]对账明细接口!$AF300),"")</f>
        <v/>
      </c>
    </row>
    <row r="301" ht="14.25" customHeight="1" spans="1:36">
      <c r="A301" s="14">
        <v>301</v>
      </c>
      <c r="B301" s="15">
        <f>IFERROR(IF([1]对账明细接口!$B$301=0,"",[1]对账明细接口!$B$301),"")</f>
        <v>46283</v>
      </c>
      <c r="C301" s="16" t="str">
        <f>IFERROR(IF([1]对账明细接口!$C$301=0,"",[1]对账明细接口!$C$301),"")</f>
        <v>王照雪</v>
      </c>
      <c r="D301" s="16" t="str">
        <f>IFERROR(IF([1]对账明细接口!$D$301=0,"",[1]对账明细接口!$D$301),"")</f>
        <v>原料入库</v>
      </c>
      <c r="E301" s="16" t="str">
        <f>IFERROR(IF([1]对账明细接口!$E$301=0,"",[1]对账明细接口!$E$301),"")</f>
        <v>NO:0000902</v>
      </c>
      <c r="F301" s="16" t="str">
        <f>IFERROR(IF([1]对账明细接口!$F$301=0,"",[1]对账明细接口!$F$301),"")</f>
        <v>苹果</v>
      </c>
      <c r="G301" s="16" t="str">
        <f>IFERROR(IF([1]对账明细接口!$G$301=0,"",[1]对账明细接口!$G$301),"")</f>
        <v>新世纪二级</v>
      </c>
      <c r="H301" s="17">
        <f>IFERROR(IF([1]对账明细接口!$H$301=0,"",[1]对账明细接口!$H$301),"")</f>
        <v>52</v>
      </c>
      <c r="I301" s="16" t="str">
        <f>IFERROR(IF([1]对账明细接口!$I$301=0,"",[1]对账明细接口!$I$301),"")</f>
        <v>筐</v>
      </c>
      <c r="J301" s="18">
        <f>IFERROR(IF([1]对账明细接口!$J$301=0,"",[1]对账明细接口!$J$301),"")</f>
        <v>1055.6</v>
      </c>
      <c r="K301" s="18" t="str">
        <f>IFERROR(IF([1]对账明细接口!$K$301=0,"",[1]对账明细接口!$K$301),"")</f>
        <v/>
      </c>
      <c r="L301" s="16" t="str">
        <f>IFERROR(IF([1]对账明细接口!$L$301=0,"",[1]对账明细接口!$L$301),"")</f>
        <v/>
      </c>
      <c r="M301" s="16" t="str">
        <f>IFERROR(IF([1]对账明细接口!$M$301=0,"",[1]对账明细接口!$M$301),"")</f>
        <v/>
      </c>
      <c r="N301" s="19">
        <f t="shared" si="8"/>
        <v>1</v>
      </c>
      <c r="O301" s="19">
        <f t="shared" si="9"/>
        <v>298</v>
      </c>
      <c r="S301" s="20" t="str">
        <f>IFERROR(IF([1]对账明细接口!$N301=0,"",[1]对账明细接口!$N301),"")</f>
        <v>公司杂周转筐</v>
      </c>
      <c r="T301" s="21" t="str">
        <f>IFERROR(IF([1]对账明细接口!$O301=0,"",[1]对账明细接口!$O301),"")</f>
        <v/>
      </c>
      <c r="U301" s="21" t="str">
        <f>IFERROR(IF([1]对账明细接口!$P301=0,"",[1]对账明细接口!$P301),"")</f>
        <v/>
      </c>
      <c r="V301" s="21">
        <f>IFERROR(IF([1]对账明细接口!$Q301=0,"",[1]对账明细接口!$Q301),"")</f>
        <v>52</v>
      </c>
      <c r="W301" s="20" t="str">
        <f>IFERROR(IF([1]对账明细接口!$R301=0,"",[1]对账明细接口!$R301),"")</f>
        <v>豫L*88X19</v>
      </c>
      <c r="X301" s="20" t="str">
        <f>IFERROR(IF([1]对账明细接口!$S301=0,"",[1]对账明细接口!$S301),"")</f>
        <v>公司筐</v>
      </c>
      <c r="Y301" s="20" t="str">
        <f>IFERROR(IF([1]对账明细接口!$T301=0,"",[1]对账明细接口!$T301),"")</f>
        <v/>
      </c>
      <c r="Z301" s="24" t="str">
        <f>IFERROR(IF([1]对账明细接口!$U301=0,"",[1]对账明细接口!$U301),"")</f>
        <v/>
      </c>
      <c r="AA301" s="24" t="str">
        <f>IFERROR(IF([1]对账明细接口!$V301=0,"",[1]对账明细接口!$V301),"")</f>
        <v/>
      </c>
      <c r="AB301" s="20" t="str">
        <f>IFERROR(IF([1]对账明细接口!$W301=0,"",[1]对账明细接口!$W301),"")</f>
        <v/>
      </c>
      <c r="AC301" s="7" t="str">
        <f>IFERROR(IF([1]对账明细接口!$X301=0,"",[1]对账明细接口!$X301),"")</f>
        <v/>
      </c>
      <c r="AD301" s="7" t="str">
        <f>IFERROR(IF([1]对账明细接口!$Y301=0,"",[1]对账明细接口!$Y301),"")</f>
        <v/>
      </c>
      <c r="AE301" s="7" t="str">
        <f>IFERROR(IF([1]对账明细接口!$AA301=0,"",[1]对账明细接口!$AA301),"")</f>
        <v/>
      </c>
      <c r="AF301" s="7" t="str">
        <f>IFERROR(IF([1]对账明细接口!$AB301=0,"",[1]对账明细接口!$AB301),"")</f>
        <v/>
      </c>
      <c r="AG301" s="7" t="str">
        <f>IFERROR(IF([1]对账明细接口!$AC301=0,"",[1]对账明细接口!$AC301),"")</f>
        <v/>
      </c>
      <c r="AH301" s="7" t="str">
        <f>IFERROR(IF([1]对账明细接口!$AD301=0,"",[1]对账明细接口!$AD301),"")</f>
        <v/>
      </c>
      <c r="AI301" s="7" t="str">
        <f>IFERROR(IF([1]对账明细接口!$AE301=0,"",[1]对账明细接口!$AE301),"")</f>
        <v/>
      </c>
      <c r="AJ301" s="7" t="str">
        <f>IFERROR(IF([1]对账明细接口!$AF301=0,"",[1]对账明细接口!$AF301),"")</f>
        <v/>
      </c>
    </row>
    <row r="302" ht="14.25" customHeight="1" spans="1:36">
      <c r="A302" s="14">
        <v>302</v>
      </c>
      <c r="B302" s="15">
        <f>IFERROR(IF([1]对账明细接口!$B$302=0,"",[1]对账明细接口!$B$302),"")</f>
        <v>46250</v>
      </c>
      <c r="C302" s="16" t="str">
        <f>IFERROR(IF([1]对账明细接口!$C$302=0,"",[1]对账明细接口!$C$302),"")</f>
        <v>王照雪</v>
      </c>
      <c r="D302" s="16" t="str">
        <f>IFERROR(IF([1]对账明细接口!$D$302=0,"",[1]对账明细接口!$D$302),"")</f>
        <v>原料出库－原筐出库</v>
      </c>
      <c r="E302" s="16" t="str">
        <f>IFERROR(IF([1]对账明细接口!$E$302=0,"",[1]对账明细接口!$E$302),"")</f>
        <v>NO:0001018</v>
      </c>
      <c r="F302" s="16" t="str">
        <f>IFERROR(IF([1]对账明细接口!$F$302=0,"",[1]对账明细接口!$F$302),"")</f>
        <v>李子</v>
      </c>
      <c r="G302" s="16" t="str">
        <f>IFERROR(IF([1]对账明细接口!$G$302=0,"",[1]对账明细接口!$G$302),"")</f>
        <v>樱桃李</v>
      </c>
      <c r="H302" s="17">
        <f>IFERROR(IF([1]对账明细接口!$H$302=0,"",[1]对账明细接口!$H$302),"")</f>
        <v>402</v>
      </c>
      <c r="I302" s="16" t="str">
        <f>IFERROR(IF([1]对账明细接口!$I$302=0,"",[1]对账明细接口!$I$302),"")</f>
        <v>筐</v>
      </c>
      <c r="J302" s="18">
        <f>IFERROR(IF([1]对账明细接口!$J$302=0,"",[1]对账明细接口!$J$302),"")</f>
        <v>6552.6</v>
      </c>
      <c r="K302" s="18" t="str">
        <f>IFERROR(IF([1]对账明细接口!$K$302=0,"",[1]对账明细接口!$K$302),"")</f>
        <v/>
      </c>
      <c r="L302" s="16" t="str">
        <f>IFERROR(IF([1]对账明细接口!$L$302=0,"",[1]对账明细接口!$L$302),"")</f>
        <v/>
      </c>
      <c r="M302" s="16" t="str">
        <f>IFERROR(IF([1]对账明细接口!$M$302=0,"",[1]对账明细接口!$M$302),"")</f>
        <v/>
      </c>
      <c r="N302" s="19">
        <f t="shared" si="8"/>
        <v>1</v>
      </c>
      <c r="O302" s="19">
        <f t="shared" si="9"/>
        <v>299</v>
      </c>
      <c r="S302" s="20" t="str">
        <f>IFERROR(IF([1]对账明细接口!$N302=0,"",[1]对账明细接口!$N302),"")</f>
        <v>自备一次性筐</v>
      </c>
      <c r="T302" s="21">
        <f>IFERROR(IF([1]对账明细接口!$O302=0,"",[1]对账明细接口!$O302),"")</f>
        <v>402</v>
      </c>
      <c r="U302" s="21" t="str">
        <f>IFERROR(IF([1]对账明细接口!$P302=0,"",[1]对账明细接口!$P302),"")</f>
        <v/>
      </c>
      <c r="V302" s="21" t="str">
        <f>IFERROR(IF([1]对账明细接口!$Q302=0,"",[1]对账明细接口!$Q302),"")</f>
        <v/>
      </c>
      <c r="W302" s="20" t="str">
        <f>IFERROR(IF([1]对账明细接口!$R302=0,"",[1]对账明细接口!$R302),"")</f>
        <v>苏C*HB310</v>
      </c>
      <c r="X302" s="20" t="str">
        <f>IFERROR(IF([1]对账明细接口!$S302=0,"",[1]对账明细接口!$S302),"")</f>
        <v>自备筐</v>
      </c>
      <c r="Y302" s="20" t="str">
        <f>IFERROR(IF([1]对账明细接口!$T302=0,"",[1]对账明细接口!$T302),"")</f>
        <v/>
      </c>
      <c r="Z302" s="24" t="str">
        <f>IFERROR(IF([1]对账明细接口!$U302=0,"",[1]对账明细接口!$U302),"")</f>
        <v/>
      </c>
      <c r="AA302" s="24" t="str">
        <f>IFERROR(IF([1]对账明细接口!$V302=0,"",[1]对账明细接口!$V302),"")</f>
        <v/>
      </c>
      <c r="AB302" s="20" t="str">
        <f>IFERROR(IF([1]对账明细接口!$W302=0,"",[1]对账明细接口!$W302),"")</f>
        <v/>
      </c>
      <c r="AC302" s="7" t="str">
        <f>IFERROR(IF([1]对账明细接口!$X302=0,"",[1]对账明细接口!$X302),"")</f>
        <v/>
      </c>
      <c r="AD302" s="7" t="str">
        <f>IFERROR(IF([1]对账明细接口!$Y302=0,"",[1]对账明细接口!$Y302),"")</f>
        <v/>
      </c>
      <c r="AE302" s="7" t="str">
        <f>IFERROR(IF([1]对账明细接口!$AA302=0,"",[1]对账明细接口!$AA302),"")</f>
        <v/>
      </c>
      <c r="AF302" s="7" t="str">
        <f>IFERROR(IF([1]对账明细接口!$AB302=0,"",[1]对账明细接口!$AB302),"")</f>
        <v/>
      </c>
      <c r="AG302" s="7" t="str">
        <f>IFERROR(IF([1]对账明细接口!$AC302=0,"",[1]对账明细接口!$AC302),"")</f>
        <v/>
      </c>
      <c r="AH302" s="7" t="str">
        <f>IFERROR(IF([1]对账明细接口!$AD302=0,"",[1]对账明细接口!$AD302),"")</f>
        <v/>
      </c>
      <c r="AI302" s="7" t="str">
        <f>IFERROR(IF([1]对账明细接口!$AE302=0,"",[1]对账明细接口!$AE302),"")</f>
        <v/>
      </c>
      <c r="AJ302" s="7" t="str">
        <f>IFERROR(IF([1]对账明细接口!$AF302=0,"",[1]对账明细接口!$AF302),"")</f>
        <v/>
      </c>
    </row>
    <row r="303" ht="14.25" customHeight="1" spans="1:36">
      <c r="A303" s="14">
        <v>303</v>
      </c>
      <c r="B303" s="15">
        <f>IFERROR(IF([1]对账明细接口!$B$303=0,"",[1]对账明细接口!$B$303),"")</f>
        <v>46251</v>
      </c>
      <c r="C303" s="16" t="str">
        <f>IFERROR(IF([1]对账明细接口!$C$303=0,"",[1]对账明细接口!$C$303),"")</f>
        <v>王照雪</v>
      </c>
      <c r="D303" s="16" t="str">
        <f>IFERROR(IF([1]对账明细接口!$D$303=0,"",[1]对账明细接口!$D$303),"")</f>
        <v>原料出库－公司购买</v>
      </c>
      <c r="E303" s="16" t="str">
        <f>IFERROR(IF([1]对账明细接口!$E$303=0,"",[1]对账明细接口!$E$303),"")</f>
        <v>NO:0000140</v>
      </c>
      <c r="F303" s="16" t="str">
        <f>IFERROR(IF([1]对账明细接口!$F$303=0,"",[1]对账明细接口!$F$303),"")</f>
        <v>李子</v>
      </c>
      <c r="G303" s="16" t="str">
        <f>IFERROR(IF([1]对账明细接口!$G$303=0,"",[1]对账明细接口!$G$303),"")</f>
        <v>樱桃李</v>
      </c>
      <c r="H303" s="17">
        <f>IFERROR(IF([1]对账明细接口!$H$303=0,"",[1]对账明细接口!$H$303),"")</f>
        <v>1</v>
      </c>
      <c r="I303" s="16" t="str">
        <f>IFERROR(IF([1]对账明细接口!$I$303=0,"",[1]对账明细接口!$I$303),"")</f>
        <v>筐</v>
      </c>
      <c r="J303" s="18">
        <f>IFERROR(IF([1]对账明细接口!$J$303=0,"",[1]对账明细接口!$J$303),"")</f>
        <v>16.3</v>
      </c>
      <c r="K303" s="18" t="str">
        <f>IFERROR(IF([1]对账明细接口!$K$303=0,"",[1]对账明细接口!$K$303),"")</f>
        <v/>
      </c>
      <c r="L303" s="16" t="str">
        <f>IFERROR(IF([1]对账明细接口!$L$303=0,"",[1]对账明细接口!$L$303),"")</f>
        <v/>
      </c>
      <c r="M303" s="16" t="str">
        <f>IFERROR(IF([1]对账明细接口!$M$303=0,"",[1]对账明细接口!$M$303),"")</f>
        <v/>
      </c>
      <c r="N303" s="19">
        <f t="shared" si="8"/>
        <v>1</v>
      </c>
      <c r="O303" s="19">
        <f t="shared" si="9"/>
        <v>300</v>
      </c>
      <c r="S303" s="20" t="str">
        <f>IFERROR(IF([1]对账明细接口!$N303=0,"",[1]对账明细接口!$N303),"")</f>
        <v>自备一次性筐</v>
      </c>
      <c r="T303" s="21">
        <f>IFERROR(IF([1]对账明细接口!$O303=0,"",[1]对账明细接口!$O303),"")</f>
        <v>1</v>
      </c>
      <c r="U303" s="21" t="str">
        <f>IFERROR(IF([1]对账明细接口!$P303=0,"",[1]对账明细接口!$P303),"")</f>
        <v/>
      </c>
      <c r="V303" s="21" t="str">
        <f>IFERROR(IF([1]对账明细接口!$Q303=0,"",[1]对账明细接口!$Q303),"")</f>
        <v/>
      </c>
      <c r="W303" s="20" t="str">
        <f>IFERROR(IF([1]对账明细接口!$R303=0,"",[1]对账明细接口!$R303),"")</f>
        <v/>
      </c>
      <c r="X303" s="20" t="str">
        <f>IFERROR(IF([1]对账明细接口!$S303=0,"",[1]对账明细接口!$S303),"")</f>
        <v>自备筐</v>
      </c>
      <c r="Y303" s="20" t="str">
        <f>IFERROR(IF([1]对账明细接口!$T303=0,"",[1]对账明细接口!$T303),"")</f>
        <v/>
      </c>
      <c r="Z303" s="24" t="str">
        <f>IFERROR(IF([1]对账明细接口!$U303=0,"",[1]对账明细接口!$U303),"")</f>
        <v/>
      </c>
      <c r="AA303" s="24" t="str">
        <f>IFERROR(IF([1]对账明细接口!$V303=0,"",[1]对账明细接口!$V303),"")</f>
        <v/>
      </c>
      <c r="AB303" s="20" t="str">
        <f>IFERROR(IF([1]对账明细接口!$W303=0,"",[1]对账明细接口!$W303),"")</f>
        <v/>
      </c>
      <c r="AC303" s="7" t="str">
        <f>IFERROR(IF([1]对账明细接口!$X303=0,"",[1]对账明细接口!$X303),"")</f>
        <v/>
      </c>
      <c r="AD303" s="7" t="str">
        <f>IFERROR(IF([1]对账明细接口!$Y303=0,"",[1]对账明细接口!$Y303),"")</f>
        <v/>
      </c>
      <c r="AE303" s="7" t="str">
        <f>IFERROR(IF([1]对账明细接口!$AA303=0,"",[1]对账明细接口!$AA303),"")</f>
        <v/>
      </c>
      <c r="AF303" s="7" t="str">
        <f>IFERROR(IF([1]对账明细接口!$AB303=0,"",[1]对账明细接口!$AB303),"")</f>
        <v/>
      </c>
      <c r="AG303" s="7" t="str">
        <f>IFERROR(IF([1]对账明细接口!$AC303=0,"",[1]对账明细接口!$AC303),"")</f>
        <v/>
      </c>
      <c r="AH303" s="7" t="str">
        <f>IFERROR(IF([1]对账明细接口!$AD303=0,"",[1]对账明细接口!$AD303),"")</f>
        <v/>
      </c>
      <c r="AI303" s="7" t="str">
        <f>IFERROR(IF([1]对账明细接口!$AE303=0,"",[1]对账明细接口!$AE303),"")</f>
        <v/>
      </c>
      <c r="AJ303" s="7" t="str">
        <f>IFERROR(IF([1]对账明细接口!$AF303=0,"",[1]对账明细接口!$AF303),"")</f>
        <v/>
      </c>
    </row>
    <row r="304" ht="14.25" customHeight="1" spans="1:36">
      <c r="A304" s="14">
        <v>304</v>
      </c>
      <c r="B304" s="15">
        <f>IFERROR(IF([1]对账明细接口!$B$304=0,"",[1]对账明细接口!$B$304),"")</f>
        <v>46255</v>
      </c>
      <c r="C304" s="16" t="str">
        <f>IFERROR(IF([1]对账明细接口!$C$304=0,"",[1]对账明细接口!$C$304),"")</f>
        <v>伍元虎</v>
      </c>
      <c r="D304" s="16" t="str">
        <f>IFERROR(IF([1]对账明细接口!$D$304=0,"",[1]对账明细接口!$D$304),"")</f>
        <v>原料出库－原筐出库</v>
      </c>
      <c r="E304" s="16" t="str">
        <f>IFERROR(IF([1]对账明细接口!$E$304=0,"",[1]对账明细接口!$E$304),"")</f>
        <v>NO:0001021</v>
      </c>
      <c r="F304" s="16" t="str">
        <f>IFERROR(IF([1]对账明细接口!$F$304=0,"",[1]对账明细接口!$F$304),"")</f>
        <v>苹果</v>
      </c>
      <c r="G304" s="16" t="str">
        <f>IFERROR(IF([1]对账明细接口!$G$304=0,"",[1]对账明细接口!$G$304),"")</f>
        <v>海棠果</v>
      </c>
      <c r="H304" s="17">
        <f>IFERROR(IF([1]对账明细接口!$H$304=0,"",[1]对账明细接口!$H$304),"")</f>
        <v>87</v>
      </c>
      <c r="I304" s="16" t="str">
        <f>IFERROR(IF([1]对账明细接口!$I$304=0,"",[1]对账明细接口!$I$304),"")</f>
        <v>筐</v>
      </c>
      <c r="J304" s="18">
        <f>IFERROR(IF([1]对账明细接口!$J$304=0,"",[1]对账明细接口!$J$304),"")</f>
        <v>1957.5</v>
      </c>
      <c r="K304" s="18" t="str">
        <f>IFERROR(IF([1]对账明细接口!$K$304=0,"",[1]对账明细接口!$K$304),"")</f>
        <v/>
      </c>
      <c r="L304" s="16" t="str">
        <f>IFERROR(IF([1]对账明细接口!$L$304=0,"",[1]对账明细接口!$L$304),"")</f>
        <v/>
      </c>
      <c r="M304" s="16" t="str">
        <f>IFERROR(IF([1]对账明细接口!$M$304=0,"",[1]对账明细接口!$M$304),"")</f>
        <v>出库完毕</v>
      </c>
      <c r="N304" s="19">
        <f t="shared" si="8"/>
        <v>1</v>
      </c>
      <c r="O304" s="19">
        <f t="shared" si="9"/>
        <v>301</v>
      </c>
      <c r="S304" s="20" t="str">
        <f>IFERROR(IF([1]对账明细接口!$N304=0,"",[1]对账明细接口!$N304),"")</f>
        <v>自备一次性筐</v>
      </c>
      <c r="T304" s="21">
        <f>IFERROR(IF([1]对账明细接口!$O304=0,"",[1]对账明细接口!$O304),"")</f>
        <v>87</v>
      </c>
      <c r="U304" s="21" t="str">
        <f>IFERROR(IF([1]对账明细接口!$P304=0,"",[1]对账明细接口!$P304),"")</f>
        <v/>
      </c>
      <c r="V304" s="21" t="str">
        <f>IFERROR(IF([1]对账明细接口!$Q304=0,"",[1]对账明细接口!$Q304),"")</f>
        <v/>
      </c>
      <c r="W304" s="20" t="str">
        <f>IFERROR(IF([1]对账明细接口!$R304=0,"",[1]对账明细接口!$R304),"")</f>
        <v>新N*4377B</v>
      </c>
      <c r="X304" s="20" t="str">
        <f>IFERROR(IF([1]对账明细接口!$S304=0,"",[1]对账明细接口!$S304),"")</f>
        <v>自备筐</v>
      </c>
      <c r="Y304" s="20" t="str">
        <f>IFERROR(IF([1]对账明细接口!$T304=0,"",[1]对账明细接口!$T304),"")</f>
        <v/>
      </c>
      <c r="Z304" s="24" t="str">
        <f>IFERROR(IF([1]对账明细接口!$U304=0,"",[1]对账明细接口!$U304),"")</f>
        <v/>
      </c>
      <c r="AA304" s="24" t="str">
        <f>IFERROR(IF([1]对账明细接口!$V304=0,"",[1]对账明细接口!$V304),"")</f>
        <v/>
      </c>
      <c r="AB304" s="20" t="str">
        <f>IFERROR(IF([1]对账明细接口!$W304=0,"",[1]对账明细接口!$W304),"")</f>
        <v/>
      </c>
      <c r="AC304" s="7" t="str">
        <f>IFERROR(IF([1]对账明细接口!$X304=0,"",[1]对账明细接口!$X304),"")</f>
        <v/>
      </c>
      <c r="AD304" s="7" t="str">
        <f>IFERROR(IF([1]对账明细接口!$Y304=0,"",[1]对账明细接口!$Y304),"")</f>
        <v/>
      </c>
      <c r="AE304" s="7" t="str">
        <f>IFERROR(IF([1]对账明细接口!$AA304=0,"",[1]对账明细接口!$AA304),"")</f>
        <v/>
      </c>
      <c r="AF304" s="7" t="str">
        <f>IFERROR(IF([1]对账明细接口!$AB304=0,"",[1]对账明细接口!$AB304),"")</f>
        <v/>
      </c>
      <c r="AG304" s="7" t="str">
        <f>IFERROR(IF([1]对账明细接口!$AC304=0,"",[1]对账明细接口!$AC304),"")</f>
        <v/>
      </c>
      <c r="AH304" s="7" t="str">
        <f>IFERROR(IF([1]对账明细接口!$AD304=0,"",[1]对账明细接口!$AD304),"")</f>
        <v/>
      </c>
      <c r="AI304" s="7" t="str">
        <f>IFERROR(IF([1]对账明细接口!$AE304=0,"",[1]对账明细接口!$AE304),"")</f>
        <v/>
      </c>
      <c r="AJ304" s="7" t="str">
        <f>IFERROR(IF([1]对账明细接口!$AF304=0,"",[1]对账明细接口!$AF304),"")</f>
        <v/>
      </c>
    </row>
    <row r="305" ht="14.25" customHeight="1" spans="1:36">
      <c r="A305" s="14">
        <v>305</v>
      </c>
      <c r="B305" s="15">
        <f>IFERROR(IF([1]对账明细接口!$B$305=0,"",[1]对账明细接口!$B$305),"")</f>
        <v>46255</v>
      </c>
      <c r="C305" s="16" t="str">
        <f>IFERROR(IF([1]对账明细接口!$C$305=0,"",[1]对账明细接口!$C$305),"")</f>
        <v>聂新平</v>
      </c>
      <c r="D305" s="16" t="str">
        <f>IFERROR(IF([1]对账明细接口!$D$305=0,"",[1]对账明细接口!$D$305),"")</f>
        <v>原料出库－原筐出库</v>
      </c>
      <c r="E305" s="16" t="str">
        <f>IFERROR(IF([1]对账明细接口!$E$305=0,"",[1]对账明细接口!$E$305),"")</f>
        <v>NO:0001024</v>
      </c>
      <c r="F305" s="16" t="str">
        <f>IFERROR(IF([1]对账明细接口!$F$305=0,"",[1]对账明细接口!$F$305),"")</f>
        <v>苹果</v>
      </c>
      <c r="G305" s="16" t="str">
        <f>IFERROR(IF([1]对账明细接口!$G$305=0,"",[1]对账明细接口!$G$305),"")</f>
        <v>嘎啦85#</v>
      </c>
      <c r="H305" s="17">
        <f>IFERROR(IF([1]对账明细接口!$H$305=0,"",[1]对账明细接口!$H$305),"")</f>
        <v>212</v>
      </c>
      <c r="I305" s="16" t="str">
        <f>IFERROR(IF([1]对账明细接口!$I$305=0,"",[1]对账明细接口!$I$305),"")</f>
        <v>筐</v>
      </c>
      <c r="J305" s="18">
        <f>IFERROR(IF([1]对账明细接口!$J$305=0,"",[1]对账明细接口!$J$305),"")</f>
        <v>4621.6</v>
      </c>
      <c r="K305" s="18" t="str">
        <f>IFERROR(IF([1]对账明细接口!$K$305=0,"",[1]对账明细接口!$K$305),"")</f>
        <v/>
      </c>
      <c r="L305" s="16" t="str">
        <f>IFERROR(IF([1]对账明细接口!$L$305=0,"",[1]对账明细接口!$L$305),"")</f>
        <v/>
      </c>
      <c r="M305" s="16" t="str">
        <f>IFERROR(IF([1]对账明细接口!$M$305=0,"",[1]对账明细接口!$M$305),"")</f>
        <v/>
      </c>
      <c r="N305" s="19">
        <f t="shared" si="8"/>
        <v>1</v>
      </c>
      <c r="O305" s="19">
        <f t="shared" si="9"/>
        <v>302</v>
      </c>
      <c r="S305" s="20" t="str">
        <f>IFERROR(IF([1]对账明细接口!$N305=0,"",[1]对账明细接口!$N305),"")</f>
        <v>自备一次性筐</v>
      </c>
      <c r="T305" s="21">
        <f>IFERROR(IF([1]对账明细接口!$O305=0,"",[1]对账明细接口!$O305),"")</f>
        <v>212</v>
      </c>
      <c r="U305" s="21" t="str">
        <f>IFERROR(IF([1]对账明细接口!$P305=0,"",[1]对账明细接口!$P305),"")</f>
        <v/>
      </c>
      <c r="V305" s="21" t="str">
        <f>IFERROR(IF([1]对账明细接口!$Q305=0,"",[1]对账明细接口!$Q305),"")</f>
        <v/>
      </c>
      <c r="W305" s="20" t="str">
        <f>IFERROR(IF([1]对账明细接口!$R305=0,"",[1]对账明细接口!$R305),"")</f>
        <v>晋M*H8582</v>
      </c>
      <c r="X305" s="20" t="str">
        <f>IFERROR(IF([1]对账明细接口!$S305=0,"",[1]对账明细接口!$S305),"")</f>
        <v>自备筐</v>
      </c>
      <c r="Y305" s="20" t="str">
        <f>IFERROR(IF([1]对账明细接口!$T305=0,"",[1]对账明细接口!$T305),"")</f>
        <v/>
      </c>
      <c r="Z305" s="24" t="str">
        <f>IFERROR(IF([1]对账明细接口!$U305=0,"",[1]对账明细接口!$U305),"")</f>
        <v/>
      </c>
      <c r="AA305" s="24" t="str">
        <f>IFERROR(IF([1]对账明细接口!$V305=0,"",[1]对账明细接口!$V305),"")</f>
        <v/>
      </c>
      <c r="AB305" s="20" t="str">
        <f>IFERROR(IF([1]对账明细接口!$W305=0,"",[1]对账明细接口!$W305),"")</f>
        <v/>
      </c>
      <c r="AC305" s="7" t="str">
        <f>IFERROR(IF([1]对账明细接口!$X305=0,"",[1]对账明细接口!$X305),"")</f>
        <v/>
      </c>
      <c r="AD305" s="7" t="str">
        <f>IFERROR(IF([1]对账明细接口!$Y305=0,"",[1]对账明细接口!$Y305),"")</f>
        <v/>
      </c>
      <c r="AE305" s="7" t="str">
        <f>IFERROR(IF([1]对账明细接口!$AA305=0,"",[1]对账明细接口!$AA305),"")</f>
        <v/>
      </c>
      <c r="AF305" s="7" t="str">
        <f>IFERROR(IF([1]对账明细接口!$AB305=0,"",[1]对账明细接口!$AB305),"")</f>
        <v/>
      </c>
      <c r="AG305" s="7" t="str">
        <f>IFERROR(IF([1]对账明细接口!$AC305=0,"",[1]对账明细接口!$AC305),"")</f>
        <v/>
      </c>
      <c r="AH305" s="7" t="str">
        <f>IFERROR(IF([1]对账明细接口!$AD305=0,"",[1]对账明细接口!$AD305),"")</f>
        <v/>
      </c>
      <c r="AI305" s="7" t="str">
        <f>IFERROR(IF([1]对账明细接口!$AE305=0,"",[1]对账明细接口!$AE305),"")</f>
        <v/>
      </c>
      <c r="AJ305" s="7" t="str">
        <f>IFERROR(IF([1]对账明细接口!$AF305=0,"",[1]对账明细接口!$AF305),"")</f>
        <v/>
      </c>
    </row>
    <row r="306" ht="14.25" customHeight="1" spans="1:36">
      <c r="A306" s="14">
        <v>306</v>
      </c>
      <c r="B306" s="15">
        <f>IFERROR(IF([1]对账明细接口!$B$306=0,"",[1]对账明细接口!$B$306),"")</f>
        <v>46255</v>
      </c>
      <c r="C306" s="16" t="str">
        <f>IFERROR(IF([1]对账明细接口!$C$306=0,"",[1]对账明细接口!$C$306),"")</f>
        <v>聂新平</v>
      </c>
      <c r="D306" s="16" t="str">
        <f>IFERROR(IF([1]对账明细接口!$D$306=0,"",[1]对账明细接口!$D$306),"")</f>
        <v>原料出库－原筐出库</v>
      </c>
      <c r="E306" s="16" t="str">
        <f>IFERROR(IF([1]对账明细接口!$E$306=0,"",[1]对账明细接口!$E$306),"")</f>
        <v>NO:0001024</v>
      </c>
      <c r="F306" s="16" t="str">
        <f>IFERROR(IF([1]对账明细接口!$F$306=0,"",[1]对账明细接口!$F$306),"")</f>
        <v>苹果</v>
      </c>
      <c r="G306" s="16" t="str">
        <f>IFERROR(IF([1]对账明细接口!$G$306=0,"",[1]对账明细接口!$G$306),"")</f>
        <v>嘎啦100#</v>
      </c>
      <c r="H306" s="17">
        <f>IFERROR(IF([1]对账明细接口!$H$306=0,"",[1]对账明细接口!$H$306),"")</f>
        <v>240</v>
      </c>
      <c r="I306" s="16" t="str">
        <f>IFERROR(IF([1]对账明细接口!$I$306=0,"",[1]对账明细接口!$I$306),"")</f>
        <v>筐</v>
      </c>
      <c r="J306" s="18">
        <f>IFERROR(IF([1]对账明细接口!$J$306=0,"",[1]对账明细接口!$J$306),"")</f>
        <v>5232</v>
      </c>
      <c r="K306" s="18" t="str">
        <f>IFERROR(IF([1]对账明细接口!$K$306=0,"",[1]对账明细接口!$K$306),"")</f>
        <v/>
      </c>
      <c r="L306" s="16" t="str">
        <f>IFERROR(IF([1]对账明细接口!$L$306=0,"",[1]对账明细接口!$L$306),"")</f>
        <v/>
      </c>
      <c r="M306" s="16" t="str">
        <f>IFERROR(IF([1]对账明细接口!$M$306=0,"",[1]对账明细接口!$M$306),"")</f>
        <v/>
      </c>
      <c r="N306" s="19">
        <f t="shared" si="8"/>
        <v>1</v>
      </c>
      <c r="O306" s="19">
        <f t="shared" si="9"/>
        <v>303</v>
      </c>
      <c r="S306" s="20" t="str">
        <f>IFERROR(IF([1]对账明细接口!$N306=0,"",[1]对账明细接口!$N306),"")</f>
        <v>自备一次性筐</v>
      </c>
      <c r="T306" s="21">
        <f>IFERROR(IF([1]对账明细接口!$O306=0,"",[1]对账明细接口!$O306),"")</f>
        <v>240</v>
      </c>
      <c r="U306" s="21" t="str">
        <f>IFERROR(IF([1]对账明细接口!$P306=0,"",[1]对账明细接口!$P306),"")</f>
        <v/>
      </c>
      <c r="V306" s="21" t="str">
        <f>IFERROR(IF([1]对账明细接口!$Q306=0,"",[1]对账明细接口!$Q306),"")</f>
        <v/>
      </c>
      <c r="W306" s="20" t="str">
        <f>IFERROR(IF([1]对账明细接口!$R306=0,"",[1]对账明细接口!$R306),"")</f>
        <v>晋M*H8582</v>
      </c>
      <c r="X306" s="20" t="str">
        <f>IFERROR(IF([1]对账明细接口!$S306=0,"",[1]对账明细接口!$S306),"")</f>
        <v>自备筐</v>
      </c>
      <c r="Y306" s="20" t="str">
        <f>IFERROR(IF([1]对账明细接口!$T306=0,"",[1]对账明细接口!$T306),"")</f>
        <v/>
      </c>
      <c r="Z306" s="24" t="str">
        <f>IFERROR(IF([1]对账明细接口!$U306=0,"",[1]对账明细接口!$U306),"")</f>
        <v/>
      </c>
      <c r="AA306" s="24" t="str">
        <f>IFERROR(IF([1]对账明细接口!$V306=0,"",[1]对账明细接口!$V306),"")</f>
        <v/>
      </c>
      <c r="AB306" s="20" t="str">
        <f>IFERROR(IF([1]对账明细接口!$W306=0,"",[1]对账明细接口!$W306),"")</f>
        <v/>
      </c>
      <c r="AC306" s="7" t="str">
        <f>IFERROR(IF([1]对账明细接口!$X306=0,"",[1]对账明细接口!$X306),"")</f>
        <v/>
      </c>
      <c r="AD306" s="7" t="str">
        <f>IFERROR(IF([1]对账明细接口!$Y306=0,"",[1]对账明细接口!$Y306),"")</f>
        <v/>
      </c>
      <c r="AE306" s="7" t="str">
        <f>IFERROR(IF([1]对账明细接口!$AA306=0,"",[1]对账明细接口!$AA306),"")</f>
        <v/>
      </c>
      <c r="AF306" s="7" t="str">
        <f>IFERROR(IF([1]对账明细接口!$AB306=0,"",[1]对账明细接口!$AB306),"")</f>
        <v/>
      </c>
      <c r="AG306" s="7" t="str">
        <f>IFERROR(IF([1]对账明细接口!$AC306=0,"",[1]对账明细接口!$AC306),"")</f>
        <v/>
      </c>
      <c r="AH306" s="7" t="str">
        <f>IFERROR(IF([1]对账明细接口!$AD306=0,"",[1]对账明细接口!$AD306),"")</f>
        <v/>
      </c>
      <c r="AI306" s="7" t="str">
        <f>IFERROR(IF([1]对账明细接口!$AE306=0,"",[1]对账明细接口!$AE306),"")</f>
        <v/>
      </c>
      <c r="AJ306" s="7" t="str">
        <f>IFERROR(IF([1]对账明细接口!$AF306=0,"",[1]对账明细接口!$AF306),"")</f>
        <v/>
      </c>
    </row>
    <row r="307" ht="14.25" customHeight="1" spans="1:36">
      <c r="A307" s="14">
        <v>307</v>
      </c>
      <c r="B307" s="15">
        <f>IFERROR(IF([1]对账明细接口!$B$307=0,"",[1]对账明细接口!$B$307),"")</f>
        <v>46258</v>
      </c>
      <c r="C307" s="16" t="str">
        <f>IFERROR(IF([1]对账明细接口!$C$307=0,"",[1]对账明细接口!$C$307),"")</f>
        <v>王照雪</v>
      </c>
      <c r="D307" s="16" t="str">
        <f>IFERROR(IF([1]对账明细接口!$D$307=0,"",[1]对账明细接口!$D$307),"")</f>
        <v>原料出库－原筐出库</v>
      </c>
      <c r="E307" s="16" t="str">
        <f>IFERROR(IF([1]对账明细接口!$E$307=0,"",[1]对账明细接口!$E$307),"")</f>
        <v>NO:0001032</v>
      </c>
      <c r="F307" s="16" t="str">
        <f>IFERROR(IF([1]对账明细接口!$F$307=0,"",[1]对账明细接口!$F$307),"")</f>
        <v>苹果</v>
      </c>
      <c r="G307" s="16" t="str">
        <f>IFERROR(IF([1]对账明细接口!$G$307=0,"",[1]对账明细接口!$G$307),"")</f>
        <v>华硕高次</v>
      </c>
      <c r="H307" s="17">
        <f>IFERROR(IF([1]对账明细接口!$H$307=0,"",[1]对账明细接口!$H$307),"")</f>
        <v>1</v>
      </c>
      <c r="I307" s="16" t="str">
        <f>IFERROR(IF([1]对账明细接口!$I$307=0,"",[1]对账明细接口!$I$307),"")</f>
        <v>筐</v>
      </c>
      <c r="J307" s="18">
        <f>IFERROR(IF([1]对账明细接口!$J$307=0,"",[1]对账明细接口!$J$307),"")</f>
        <v>17.3</v>
      </c>
      <c r="K307" s="18" t="str">
        <f>IFERROR(IF([1]对账明细接口!$K$307=0,"",[1]对账明细接口!$K$307),"")</f>
        <v/>
      </c>
      <c r="L307" s="16" t="str">
        <f>IFERROR(IF([1]对账明细接口!$L$307=0,"",[1]对账明细接口!$L$307),"")</f>
        <v/>
      </c>
      <c r="M307" s="16" t="str">
        <f>IFERROR(IF([1]对账明细接口!$M$307=0,"",[1]对账明细接口!$M$307),"")</f>
        <v>主播拿走</v>
      </c>
      <c r="N307" s="19">
        <f t="shared" si="8"/>
        <v>1</v>
      </c>
      <c r="O307" s="19">
        <f t="shared" si="9"/>
        <v>304</v>
      </c>
      <c r="S307" s="20" t="str">
        <f>IFERROR(IF([1]对账明细接口!$N307=0,"",[1]对账明细接口!$N307),"")</f>
        <v>公司杂周转筐</v>
      </c>
      <c r="T307" s="21">
        <f>IFERROR(IF([1]对账明细接口!$O307=0,"",[1]对账明细接口!$O307),"")</f>
        <v>1</v>
      </c>
      <c r="U307" s="21" t="str">
        <f>IFERROR(IF([1]对账明细接口!$P307=0,"",[1]对账明细接口!$P307),"")</f>
        <v/>
      </c>
      <c r="V307" s="21" t="str">
        <f>IFERROR(IF([1]对账明细接口!$Q307=0,"",[1]对账明细接口!$Q307),"")</f>
        <v/>
      </c>
      <c r="W307" s="20" t="str">
        <f>IFERROR(IF([1]对账明细接口!$R307=0,"",[1]对账明细接口!$R307),"")</f>
        <v/>
      </c>
      <c r="X307" s="20" t="str">
        <f>IFERROR(IF([1]对账明细接口!$S307=0,"",[1]对账明细接口!$S307),"")</f>
        <v>公司筐</v>
      </c>
      <c r="Y307" s="20" t="str">
        <f>IFERROR(IF([1]对账明细接口!$T307=0,"",[1]对账明细接口!$T307),"")</f>
        <v/>
      </c>
      <c r="Z307" s="24" t="str">
        <f>IFERROR(IF([1]对账明细接口!$U307=0,"",[1]对账明细接口!$U307),"")</f>
        <v/>
      </c>
      <c r="AA307" s="24" t="str">
        <f>IFERROR(IF([1]对账明细接口!$V307=0,"",[1]对账明细接口!$V307),"")</f>
        <v/>
      </c>
      <c r="AB307" s="20" t="str">
        <f>IFERROR(IF([1]对账明细接口!$W307=0,"",[1]对账明细接口!$W307),"")</f>
        <v/>
      </c>
      <c r="AC307" s="7" t="str">
        <f>IFERROR(IF([1]对账明细接口!$X307=0,"",[1]对账明细接口!$X307),"")</f>
        <v/>
      </c>
      <c r="AD307" s="7" t="str">
        <f>IFERROR(IF([1]对账明细接口!$Y307=0,"",[1]对账明细接口!$Y307),"")</f>
        <v/>
      </c>
      <c r="AE307" s="7" t="str">
        <f>IFERROR(IF([1]对账明细接口!$AA307=0,"",[1]对账明细接口!$AA307),"")</f>
        <v/>
      </c>
      <c r="AF307" s="7" t="str">
        <f>IFERROR(IF([1]对账明细接口!$AB307=0,"",[1]对账明细接口!$AB307),"")</f>
        <v/>
      </c>
      <c r="AG307" s="7" t="str">
        <f>IFERROR(IF([1]对账明细接口!$AC307=0,"",[1]对账明细接口!$AC307),"")</f>
        <v/>
      </c>
      <c r="AH307" s="7" t="str">
        <f>IFERROR(IF([1]对账明细接口!$AD307=0,"",[1]对账明细接口!$AD307),"")</f>
        <v/>
      </c>
      <c r="AI307" s="7" t="str">
        <f>IFERROR(IF([1]对账明细接口!$AE307=0,"",[1]对账明细接口!$AE307),"")</f>
        <v/>
      </c>
      <c r="AJ307" s="7" t="str">
        <f>IFERROR(IF([1]对账明细接口!$AF307=0,"",[1]对账明细接口!$AF307),"")</f>
        <v/>
      </c>
    </row>
    <row r="308" ht="14.25" customHeight="1" spans="1:36">
      <c r="A308" s="14">
        <v>308</v>
      </c>
      <c r="B308" s="15">
        <f>IFERROR(IF([1]对账明细接口!$B$308=0,"",[1]对账明细接口!$B$308),"")</f>
        <v>46259</v>
      </c>
      <c r="C308" s="16" t="str">
        <f>IFERROR(IF([1]对账明细接口!$C$308=0,"",[1]对账明细接口!$C$308),"")</f>
        <v>王照雪</v>
      </c>
      <c r="D308" s="16" t="str">
        <f>IFERROR(IF([1]对账明细接口!$D$308=0,"",[1]对账明细接口!$D$308),"")</f>
        <v>原料出库－出库加工</v>
      </c>
      <c r="E308" s="16" t="str">
        <f>IFERROR(IF([1]对账明细接口!$E$308=0,"",[1]对账明细接口!$E$308),"")</f>
        <v>NO:0001034</v>
      </c>
      <c r="F308" s="16" t="str">
        <f>IFERROR(IF([1]对账明细接口!$F$308=0,"",[1]对账明细接口!$F$308),"")</f>
        <v>苹果</v>
      </c>
      <c r="G308" s="16" t="str">
        <f>IFERROR(IF([1]对账明细接口!$G$308=0,"",[1]对账明细接口!$G$308),"")</f>
        <v>华硕一级</v>
      </c>
      <c r="H308" s="17">
        <f>IFERROR(IF([1]对账明细接口!$H$308=0,"",[1]对账明细接口!$H$308),"")</f>
        <v>44</v>
      </c>
      <c r="I308" s="16" t="str">
        <f>IFERROR(IF([1]对账明细接口!$I$308=0,"",[1]对账明细接口!$I$308),"")</f>
        <v>筐</v>
      </c>
      <c r="J308" s="18" t="str">
        <f>IFERROR(IF([1]对账明细接口!$J$308=0,"",[1]对账明细接口!$J$308),"")</f>
        <v/>
      </c>
      <c r="K308" s="18" t="str">
        <f>IFERROR(IF([1]对账明细接口!$K$308=0,"",[1]对账明细接口!$K$308),"")</f>
        <v/>
      </c>
      <c r="L308" s="16" t="str">
        <f>IFERROR(IF([1]对账明细接口!$L$308=0,"",[1]对账明细接口!$L$308),"")</f>
        <v/>
      </c>
      <c r="M308" s="16" t="str">
        <f>IFERROR(IF([1]对账明细接口!$M$308=0,"",[1]对账明细接口!$M$308),"")</f>
        <v/>
      </c>
      <c r="N308" s="19">
        <f t="shared" si="8"/>
        <v>1</v>
      </c>
      <c r="O308" s="19">
        <f t="shared" si="9"/>
        <v>305</v>
      </c>
      <c r="S308" s="20" t="str">
        <f>IFERROR(IF([1]对账明细接口!$N308=0,"",[1]对账明细接口!$N308),"")</f>
        <v/>
      </c>
      <c r="T308" s="21" t="str">
        <f>IFERROR(IF([1]对账明细接口!$O308=0,"",[1]对账明细接口!$O308),"")</f>
        <v/>
      </c>
      <c r="U308" s="21" t="str">
        <f>IFERROR(IF([1]对账明细接口!$P308=0,"",[1]对账明细接口!$P308),"")</f>
        <v/>
      </c>
      <c r="V308" s="21" t="str">
        <f>IFERROR(IF([1]对账明细接口!$Q308=0,"",[1]对账明细接口!$Q308),"")</f>
        <v/>
      </c>
      <c r="W308" s="20" t="str">
        <f>IFERROR(IF([1]对账明细接口!$R308=0,"",[1]对账明细接口!$R308),"")</f>
        <v/>
      </c>
      <c r="X308" s="20" t="str">
        <f>IFERROR(IF([1]对账明细接口!$S308=0,"",[1]对账明细接口!$S308),"")</f>
        <v/>
      </c>
      <c r="Y308" s="20" t="str">
        <f>IFERROR(IF([1]对账明细接口!$T308=0,"",[1]对账明细接口!$T308),"")</f>
        <v/>
      </c>
      <c r="Z308" s="24" t="str">
        <f>IFERROR(IF([1]对账明细接口!$U308=0,"",[1]对账明细接口!$U308),"")</f>
        <v/>
      </c>
      <c r="AA308" s="24" t="str">
        <f>IFERROR(IF([1]对账明细接口!$V308=0,"",[1]对账明细接口!$V308),"")</f>
        <v/>
      </c>
      <c r="AB308" s="20" t="str">
        <f>IFERROR(IF([1]对账明细接口!$W308=0,"",[1]对账明细接口!$W308),"")</f>
        <v/>
      </c>
      <c r="AC308" s="7" t="str">
        <f>IFERROR(IF([1]对账明细接口!$X308=0,"",[1]对账明细接口!$X308),"")</f>
        <v/>
      </c>
      <c r="AD308" s="7" t="str">
        <f>IFERROR(IF([1]对账明细接口!$Y308=0,"",[1]对账明细接口!$Y308),"")</f>
        <v/>
      </c>
      <c r="AE308" s="7" t="str">
        <f>IFERROR(IF([1]对账明细接口!$AA308=0,"",[1]对账明细接口!$AA308),"")</f>
        <v/>
      </c>
      <c r="AF308" s="7" t="str">
        <f>IFERROR(IF([1]对账明细接口!$AB308=0,"",[1]对账明细接口!$AB308),"")</f>
        <v/>
      </c>
      <c r="AG308" s="7" t="str">
        <f>IFERROR(IF([1]对账明细接口!$AC308=0,"",[1]对账明细接口!$AC308),"")</f>
        <v/>
      </c>
      <c r="AH308" s="7" t="str">
        <f>IFERROR(IF([1]对账明细接口!$AD308=0,"",[1]对账明细接口!$AD308),"")</f>
        <v/>
      </c>
      <c r="AI308" s="7" t="str">
        <f>IFERROR(IF([1]对账明细接口!$AE308=0,"",[1]对账明细接口!$AE308),"")</f>
        <v/>
      </c>
      <c r="AJ308" s="7" t="str">
        <f>IFERROR(IF([1]对账明细接口!$AF308=0,"",[1]对账明细接口!$AF308),"")</f>
        <v/>
      </c>
    </row>
    <row r="309" ht="14.25" customHeight="1" spans="1:36">
      <c r="A309" s="14">
        <v>309</v>
      </c>
      <c r="B309" s="15">
        <f>IFERROR(IF([1]对账明细接口!$B$309=0,"",[1]对账明细接口!$B$309),"")</f>
        <v>46261</v>
      </c>
      <c r="C309" s="16" t="str">
        <f>IFERROR(IF([1]对账明细接口!$C$309=0,"",[1]对账明细接口!$C$309),"")</f>
        <v>王照雪</v>
      </c>
      <c r="D309" s="16" t="str">
        <f>IFERROR(IF([1]对账明细接口!$D$309=0,"",[1]对账明细接口!$D$309),"")</f>
        <v>原料出库－出库加工</v>
      </c>
      <c r="E309" s="16" t="str">
        <f>IFERROR(IF([1]对账明细接口!$E$309=0,"",[1]对账明细接口!$E$309),"")</f>
        <v>NO:0001038</v>
      </c>
      <c r="F309" s="16" t="str">
        <f>IFERROR(IF([1]对账明细接口!$F$309=0,"",[1]对账明细接口!$F$309),"")</f>
        <v>苹果</v>
      </c>
      <c r="G309" s="16" t="str">
        <f>IFERROR(IF([1]对账明细接口!$G$309=0,"",[1]对账明细接口!$G$309),"")</f>
        <v>华硕一级</v>
      </c>
      <c r="H309" s="17">
        <f>IFERROR(IF([1]对账明细接口!$H$309=0,"",[1]对账明细接口!$H$309),"")</f>
        <v>78</v>
      </c>
      <c r="I309" s="16" t="str">
        <f>IFERROR(IF([1]对账明细接口!$I$309=0,"",[1]对账明细接口!$I$309),"")</f>
        <v>筐</v>
      </c>
      <c r="J309" s="18" t="str">
        <f>IFERROR(IF([1]对账明细接口!$J$309=0,"",[1]对账明细接口!$J$309),"")</f>
        <v/>
      </c>
      <c r="K309" s="18" t="str">
        <f>IFERROR(IF([1]对账明细接口!$K$309=0,"",[1]对账明细接口!$K$309),"")</f>
        <v/>
      </c>
      <c r="L309" s="16" t="str">
        <f>IFERROR(IF([1]对账明细接口!$L$309=0,"",[1]对账明细接口!$L$309),"")</f>
        <v/>
      </c>
      <c r="M309" s="16" t="str">
        <f>IFERROR(IF([1]对账明细接口!$M$309=0,"",[1]对账明细接口!$M$309),"")</f>
        <v/>
      </c>
      <c r="N309" s="19">
        <f t="shared" si="8"/>
        <v>1</v>
      </c>
      <c r="O309" s="19">
        <f t="shared" si="9"/>
        <v>306</v>
      </c>
      <c r="S309" s="20" t="str">
        <f>IFERROR(IF([1]对账明细接口!$N309=0,"",[1]对账明细接口!$N309),"")</f>
        <v/>
      </c>
      <c r="T309" s="21" t="str">
        <f>IFERROR(IF([1]对账明细接口!$O309=0,"",[1]对账明细接口!$O309),"")</f>
        <v/>
      </c>
      <c r="U309" s="21" t="str">
        <f>IFERROR(IF([1]对账明细接口!$P309=0,"",[1]对账明细接口!$P309),"")</f>
        <v/>
      </c>
      <c r="V309" s="21" t="str">
        <f>IFERROR(IF([1]对账明细接口!$Q309=0,"",[1]对账明细接口!$Q309),"")</f>
        <v/>
      </c>
      <c r="W309" s="20" t="str">
        <f>IFERROR(IF([1]对账明细接口!$R309=0,"",[1]对账明细接口!$R309),"")</f>
        <v/>
      </c>
      <c r="X309" s="20" t="str">
        <f>IFERROR(IF([1]对账明细接口!$S309=0,"",[1]对账明细接口!$S309),"")</f>
        <v/>
      </c>
      <c r="Y309" s="20" t="str">
        <f>IFERROR(IF([1]对账明细接口!$T309=0,"",[1]对账明细接口!$T309),"")</f>
        <v/>
      </c>
      <c r="Z309" s="24" t="str">
        <f>IFERROR(IF([1]对账明细接口!$U309=0,"",[1]对账明细接口!$U309),"")</f>
        <v/>
      </c>
      <c r="AA309" s="24" t="str">
        <f>IFERROR(IF([1]对账明细接口!$V309=0,"",[1]对账明细接口!$V309),"")</f>
        <v/>
      </c>
      <c r="AB309" s="20" t="str">
        <f>IFERROR(IF([1]对账明细接口!$W309=0,"",[1]对账明细接口!$W309),"")</f>
        <v/>
      </c>
      <c r="AC309" s="7" t="str">
        <f>IFERROR(IF([1]对账明细接口!$X309=0,"",[1]对账明细接口!$X309),"")</f>
        <v/>
      </c>
      <c r="AD309" s="7" t="str">
        <f>IFERROR(IF([1]对账明细接口!$Y309=0,"",[1]对账明细接口!$Y309),"")</f>
        <v/>
      </c>
      <c r="AE309" s="7" t="str">
        <f>IFERROR(IF([1]对账明细接口!$AA309=0,"",[1]对账明细接口!$AA309),"")</f>
        <v/>
      </c>
      <c r="AF309" s="7" t="str">
        <f>IFERROR(IF([1]对账明细接口!$AB309=0,"",[1]对账明细接口!$AB309),"")</f>
        <v/>
      </c>
      <c r="AG309" s="7" t="str">
        <f>IFERROR(IF([1]对账明细接口!$AC309=0,"",[1]对账明细接口!$AC309),"")</f>
        <v/>
      </c>
      <c r="AH309" s="7" t="str">
        <f>IFERROR(IF([1]对账明细接口!$AD309=0,"",[1]对账明细接口!$AD309),"")</f>
        <v/>
      </c>
      <c r="AI309" s="7" t="str">
        <f>IFERROR(IF([1]对账明细接口!$AE309=0,"",[1]对账明细接口!$AE309),"")</f>
        <v/>
      </c>
      <c r="AJ309" s="7" t="str">
        <f>IFERROR(IF([1]对账明细接口!$AF309=0,"",[1]对账明细接口!$AF309),"")</f>
        <v/>
      </c>
    </row>
    <row r="310" ht="14.25" customHeight="1" spans="1:36">
      <c r="A310" s="14">
        <v>310</v>
      </c>
      <c r="B310" s="15">
        <f>IFERROR(IF([1]对账明细接口!$B$310=0,"",[1]对账明细接口!$B$310),"")</f>
        <v>46261</v>
      </c>
      <c r="C310" s="16" t="str">
        <f>IFERROR(IF([1]对账明细接口!$C$310=0,"",[1]对账明细接口!$C$310),"")</f>
        <v>王照雪</v>
      </c>
      <c r="D310" s="16" t="str">
        <f>IFERROR(IF([1]对账明细接口!$D$310=0,"",[1]对账明细接口!$D$310),"")</f>
        <v>原料出库－出库加工</v>
      </c>
      <c r="E310" s="16" t="str">
        <f>IFERROR(IF([1]对账明细接口!$E$310=0,"",[1]对账明细接口!$E$310),"")</f>
        <v>NO:0001038</v>
      </c>
      <c r="F310" s="16" t="str">
        <f>IFERROR(IF([1]对账明细接口!$F$310=0,"",[1]对账明细接口!$F$310),"")</f>
        <v>苹果</v>
      </c>
      <c r="G310" s="16" t="str">
        <f>IFERROR(IF([1]对账明细接口!$G$310=0,"",[1]对账明细接口!$G$310),"")</f>
        <v>华硕高次</v>
      </c>
      <c r="H310" s="17">
        <f>IFERROR(IF([1]对账明细接口!$H$310=0,"",[1]对账明细接口!$H$310),"")</f>
        <v>44</v>
      </c>
      <c r="I310" s="16" t="str">
        <f>IFERROR(IF([1]对账明细接口!$I$310=0,"",[1]对账明细接口!$I$310),"")</f>
        <v>筐</v>
      </c>
      <c r="J310" s="18" t="str">
        <f>IFERROR(IF([1]对账明细接口!$J$310=0,"",[1]对账明细接口!$J$310),"")</f>
        <v/>
      </c>
      <c r="K310" s="18" t="str">
        <f>IFERROR(IF([1]对账明细接口!$K$310=0,"",[1]对账明细接口!$K$310),"")</f>
        <v/>
      </c>
      <c r="L310" s="16" t="str">
        <f>IFERROR(IF([1]对账明细接口!$L$310=0,"",[1]对账明细接口!$L$310),"")</f>
        <v/>
      </c>
      <c r="M310" s="16" t="str">
        <f>IFERROR(IF([1]对账明细接口!$M$310=0,"",[1]对账明细接口!$M$310),"")</f>
        <v/>
      </c>
      <c r="N310" s="19">
        <f t="shared" si="8"/>
        <v>1</v>
      </c>
      <c r="O310" s="19">
        <f t="shared" si="9"/>
        <v>307</v>
      </c>
      <c r="S310" s="20" t="str">
        <f>IFERROR(IF([1]对账明细接口!$N310=0,"",[1]对账明细接口!$N310),"")</f>
        <v/>
      </c>
      <c r="T310" s="21" t="str">
        <f>IFERROR(IF([1]对账明细接口!$O310=0,"",[1]对账明细接口!$O310),"")</f>
        <v/>
      </c>
      <c r="U310" s="21" t="str">
        <f>IFERROR(IF([1]对账明细接口!$P310=0,"",[1]对账明细接口!$P310),"")</f>
        <v/>
      </c>
      <c r="V310" s="21" t="str">
        <f>IFERROR(IF([1]对账明细接口!$Q310=0,"",[1]对账明细接口!$Q310),"")</f>
        <v/>
      </c>
      <c r="W310" s="20" t="str">
        <f>IFERROR(IF([1]对账明细接口!$R310=0,"",[1]对账明细接口!$R310),"")</f>
        <v/>
      </c>
      <c r="X310" s="20" t="str">
        <f>IFERROR(IF([1]对账明细接口!$S310=0,"",[1]对账明细接口!$S310),"")</f>
        <v/>
      </c>
      <c r="Y310" s="20" t="str">
        <f>IFERROR(IF([1]对账明细接口!$T310=0,"",[1]对账明细接口!$T310),"")</f>
        <v/>
      </c>
      <c r="Z310" s="24" t="str">
        <f>IFERROR(IF([1]对账明细接口!$U310=0,"",[1]对账明细接口!$U310),"")</f>
        <v/>
      </c>
      <c r="AA310" s="24" t="str">
        <f>IFERROR(IF([1]对账明细接口!$V310=0,"",[1]对账明细接口!$V310),"")</f>
        <v/>
      </c>
      <c r="AB310" s="20" t="str">
        <f>IFERROR(IF([1]对账明细接口!$W310=0,"",[1]对账明细接口!$W310),"")</f>
        <v/>
      </c>
      <c r="AC310" s="7" t="str">
        <f>IFERROR(IF([1]对账明细接口!$X310=0,"",[1]对账明细接口!$X310),"")</f>
        <v/>
      </c>
      <c r="AD310" s="7" t="str">
        <f>IFERROR(IF([1]对账明细接口!$Y310=0,"",[1]对账明细接口!$Y310),"")</f>
        <v/>
      </c>
      <c r="AE310" s="7" t="str">
        <f>IFERROR(IF([1]对账明细接口!$AA310=0,"",[1]对账明细接口!$AA310),"")</f>
        <v/>
      </c>
      <c r="AF310" s="7" t="str">
        <f>IFERROR(IF([1]对账明细接口!$AB310=0,"",[1]对账明细接口!$AB310),"")</f>
        <v/>
      </c>
      <c r="AG310" s="7" t="str">
        <f>IFERROR(IF([1]对账明细接口!$AC310=0,"",[1]对账明细接口!$AC310),"")</f>
        <v/>
      </c>
      <c r="AH310" s="7" t="str">
        <f>IFERROR(IF([1]对账明细接口!$AD310=0,"",[1]对账明细接口!$AD310),"")</f>
        <v/>
      </c>
      <c r="AI310" s="7" t="str">
        <f>IFERROR(IF([1]对账明细接口!$AE310=0,"",[1]对账明细接口!$AE310),"")</f>
        <v/>
      </c>
      <c r="AJ310" s="7" t="str">
        <f>IFERROR(IF([1]对账明细接口!$AF310=0,"",[1]对账明细接口!$AF310),"")</f>
        <v/>
      </c>
    </row>
    <row r="311" ht="14.25" customHeight="1" spans="1:36">
      <c r="A311" s="14">
        <v>311</v>
      </c>
      <c r="B311" s="15">
        <f>IFERROR(IF([1]对账明细接口!$B$311=0,"",[1]对账明细接口!$B$311),"")</f>
        <v>46262</v>
      </c>
      <c r="C311" s="16" t="str">
        <f>IFERROR(IF([1]对账明细接口!$C$311=0,"",[1]对账明细接口!$C$311),"")</f>
        <v>马锦祥</v>
      </c>
      <c r="D311" s="16" t="str">
        <f>IFERROR(IF([1]对账明细接口!$D$311=0,"",[1]对账明细接口!$D$311),"")</f>
        <v>原料出库－原筐出库</v>
      </c>
      <c r="E311" s="16" t="str">
        <f>IFERROR(IF([1]对账明细接口!$E$311=0,"",[1]对账明细接口!$E$311),"")</f>
        <v>NO:0001042</v>
      </c>
      <c r="F311" s="16" t="str">
        <f>IFERROR(IF([1]对账明细接口!$F$311=0,"",[1]对账明细接口!$F$311),"")</f>
        <v>苹果</v>
      </c>
      <c r="G311" s="16" t="str">
        <f>IFERROR(IF([1]对账明细接口!$G$311=0,"",[1]对账明细接口!$G$311),"")</f>
        <v>海棠果</v>
      </c>
      <c r="H311" s="17">
        <f>IFERROR(IF([1]对账明细接口!$H$311=0,"",[1]对账明细接口!$H$311),"")</f>
        <v>2</v>
      </c>
      <c r="I311" s="16" t="str">
        <f>IFERROR(IF([1]对账明细接口!$I$311=0,"",[1]对账明细接口!$I$311),"")</f>
        <v>筐</v>
      </c>
      <c r="J311" s="18">
        <f>IFERROR(IF([1]对账明细接口!$J$311=0,"",[1]对账明细接口!$J$311),"")</f>
        <v>6</v>
      </c>
      <c r="K311" s="18" t="str">
        <f>IFERROR(IF([1]对账明细接口!$K$311=0,"",[1]对账明细接口!$K$311),"")</f>
        <v/>
      </c>
      <c r="L311" s="16" t="str">
        <f>IFERROR(IF([1]对账明细接口!$L$311=0,"",[1]对账明细接口!$L$311),"")</f>
        <v/>
      </c>
      <c r="M311" s="16" t="str">
        <f>IFERROR(IF([1]对账明细接口!$M$311=0,"",[1]对账明细接口!$M$311),"")</f>
        <v>司机老王拿</v>
      </c>
      <c r="N311" s="19">
        <f t="shared" si="8"/>
        <v>1</v>
      </c>
      <c r="O311" s="19">
        <f t="shared" si="9"/>
        <v>308</v>
      </c>
      <c r="S311" s="20" t="str">
        <f>IFERROR(IF([1]对账明细接口!$N311=0,"",[1]对账明细接口!$N311),"")</f>
        <v>自备一次性筐</v>
      </c>
      <c r="T311" s="21">
        <f>IFERROR(IF([1]对账明细接口!$O311=0,"",[1]对账明细接口!$O311),"")</f>
        <v>2</v>
      </c>
      <c r="U311" s="21" t="str">
        <f>IFERROR(IF([1]对账明细接口!$P311=0,"",[1]对账明细接口!$P311),"")</f>
        <v/>
      </c>
      <c r="V311" s="21" t="str">
        <f>IFERROR(IF([1]对账明细接口!$Q311=0,"",[1]对账明细接口!$Q311),"")</f>
        <v/>
      </c>
      <c r="W311" s="20" t="str">
        <f>IFERROR(IF([1]对账明细接口!$R311=0,"",[1]对账明细接口!$R311),"")</f>
        <v/>
      </c>
      <c r="X311" s="20" t="str">
        <f>IFERROR(IF([1]对账明细接口!$S311=0,"",[1]对账明细接口!$S311),"")</f>
        <v>自备筐</v>
      </c>
      <c r="Y311" s="20" t="str">
        <f>IFERROR(IF([1]对账明细接口!$T311=0,"",[1]对账明细接口!$T311),"")</f>
        <v/>
      </c>
      <c r="Z311" s="24" t="str">
        <f>IFERROR(IF([1]对账明细接口!$U311=0,"",[1]对账明细接口!$U311),"")</f>
        <v/>
      </c>
      <c r="AA311" s="24" t="str">
        <f>IFERROR(IF([1]对账明细接口!$V311=0,"",[1]对账明细接口!$V311),"")</f>
        <v/>
      </c>
      <c r="AB311" s="20" t="str">
        <f>IFERROR(IF([1]对账明细接口!$W311=0,"",[1]对账明细接口!$W311),"")</f>
        <v/>
      </c>
      <c r="AC311" s="7" t="str">
        <f>IFERROR(IF([1]对账明细接口!$X311=0,"",[1]对账明细接口!$X311),"")</f>
        <v/>
      </c>
      <c r="AD311" s="7" t="str">
        <f>IFERROR(IF([1]对账明细接口!$Y311=0,"",[1]对账明细接口!$Y311),"")</f>
        <v/>
      </c>
      <c r="AE311" s="7" t="str">
        <f>IFERROR(IF([1]对账明细接口!$AA311=0,"",[1]对账明细接口!$AA311),"")</f>
        <v/>
      </c>
      <c r="AF311" s="7" t="str">
        <f>IFERROR(IF([1]对账明细接口!$AB311=0,"",[1]对账明细接口!$AB311),"")</f>
        <v/>
      </c>
      <c r="AG311" s="7" t="str">
        <f>IFERROR(IF([1]对账明细接口!$AC311=0,"",[1]对账明细接口!$AC311),"")</f>
        <v/>
      </c>
      <c r="AH311" s="7" t="str">
        <f>IFERROR(IF([1]对账明细接口!$AD311=0,"",[1]对账明细接口!$AD311),"")</f>
        <v/>
      </c>
      <c r="AI311" s="7" t="str">
        <f>IFERROR(IF([1]对账明细接口!$AE311=0,"",[1]对账明细接口!$AE311),"")</f>
        <v/>
      </c>
      <c r="AJ311" s="7" t="str">
        <f>IFERROR(IF([1]对账明细接口!$AF311=0,"",[1]对账明细接口!$AF311),"")</f>
        <v/>
      </c>
    </row>
    <row r="312" ht="14.25" customHeight="1" spans="1:36">
      <c r="A312" s="14">
        <v>312</v>
      </c>
      <c r="B312" s="15">
        <f>IFERROR(IF([1]对账明细接口!$B$312=0,"",[1]对账明细接口!$B$312),"")</f>
        <v>46263</v>
      </c>
      <c r="C312" s="16" t="str">
        <f>IFERROR(IF([1]对账明细接口!$C$312=0,"",[1]对账明细接口!$C$312),"")</f>
        <v>聂新平</v>
      </c>
      <c r="D312" s="16" t="str">
        <f>IFERROR(IF([1]对账明细接口!$D$312=0,"",[1]对账明细接口!$D$312),"")</f>
        <v>原料出库－出库加工</v>
      </c>
      <c r="E312" s="16" t="str">
        <f>IFERROR(IF([1]对账明细接口!$E$312=0,"",[1]对账明细接口!$E$312),"")</f>
        <v>NO:0001044</v>
      </c>
      <c r="F312" s="16" t="str">
        <f>IFERROR(IF([1]对账明细接口!$F$312=0,"",[1]对账明细接口!$F$312),"")</f>
        <v>苹果</v>
      </c>
      <c r="G312" s="16" t="str">
        <f>IFERROR(IF([1]对账明细接口!$G$312=0,"",[1]对账明细接口!$G$312),"")</f>
        <v>嘎啦100#</v>
      </c>
      <c r="H312" s="17">
        <f>IFERROR(IF([1]对账明细接口!$H$312=0,"",[1]对账明细接口!$H$312),"")</f>
        <v>80</v>
      </c>
      <c r="I312" s="16" t="str">
        <f>IFERROR(IF([1]对账明细接口!$I$312=0,"",[1]对账明细接口!$I$312),"")</f>
        <v>筐</v>
      </c>
      <c r="J312" s="18" t="str">
        <f>IFERROR(IF([1]对账明细接口!$J$312=0,"",[1]对账明细接口!$J$312),"")</f>
        <v/>
      </c>
      <c r="K312" s="18" t="str">
        <f>IFERROR(IF([1]对账明细接口!$K$312=0,"",[1]对账明细接口!$K$312),"")</f>
        <v/>
      </c>
      <c r="L312" s="16" t="str">
        <f>IFERROR(IF([1]对账明细接口!$L$312=0,"",[1]对账明细接口!$L$312),"")</f>
        <v/>
      </c>
      <c r="M312" s="16" t="str">
        <f>IFERROR(IF([1]对账明细接口!$M$312=0,"",[1]对账明细接口!$M$312),"")</f>
        <v/>
      </c>
      <c r="N312" s="19">
        <f t="shared" si="8"/>
        <v>1</v>
      </c>
      <c r="O312" s="19">
        <f t="shared" si="9"/>
        <v>309</v>
      </c>
      <c r="S312" s="20" t="str">
        <f>IFERROR(IF([1]对账明细接口!$N312=0,"",[1]对账明细接口!$N312),"")</f>
        <v/>
      </c>
      <c r="T312" s="21" t="str">
        <f>IFERROR(IF([1]对账明细接口!$O312=0,"",[1]对账明细接口!$O312),"")</f>
        <v/>
      </c>
      <c r="U312" s="21" t="str">
        <f>IFERROR(IF([1]对账明细接口!$P312=0,"",[1]对账明细接口!$P312),"")</f>
        <v/>
      </c>
      <c r="V312" s="21" t="str">
        <f>IFERROR(IF([1]对账明细接口!$Q312=0,"",[1]对账明细接口!$Q312),"")</f>
        <v/>
      </c>
      <c r="W312" s="20" t="str">
        <f>IFERROR(IF([1]对账明细接口!$R312=0,"",[1]对账明细接口!$R312),"")</f>
        <v/>
      </c>
      <c r="X312" s="20" t="str">
        <f>IFERROR(IF([1]对账明细接口!$S312=0,"",[1]对账明细接口!$S312),"")</f>
        <v/>
      </c>
      <c r="Y312" s="20" t="str">
        <f>IFERROR(IF([1]对账明细接口!$T312=0,"",[1]对账明细接口!$T312),"")</f>
        <v/>
      </c>
      <c r="Z312" s="24" t="str">
        <f>IFERROR(IF([1]对账明细接口!$U312=0,"",[1]对账明细接口!$U312),"")</f>
        <v/>
      </c>
      <c r="AA312" s="24" t="str">
        <f>IFERROR(IF([1]对账明细接口!$V312=0,"",[1]对账明细接口!$V312),"")</f>
        <v/>
      </c>
      <c r="AB312" s="20" t="str">
        <f>IFERROR(IF([1]对账明细接口!$W312=0,"",[1]对账明细接口!$W312),"")</f>
        <v/>
      </c>
      <c r="AC312" s="7" t="str">
        <f>IFERROR(IF([1]对账明细接口!$X312=0,"",[1]对账明细接口!$X312),"")</f>
        <v/>
      </c>
      <c r="AD312" s="7" t="str">
        <f>IFERROR(IF([1]对账明细接口!$Y312=0,"",[1]对账明细接口!$Y312),"")</f>
        <v/>
      </c>
      <c r="AE312" s="7" t="str">
        <f>IFERROR(IF([1]对账明细接口!$AA312=0,"",[1]对账明细接口!$AA312),"")</f>
        <v/>
      </c>
      <c r="AF312" s="7" t="str">
        <f>IFERROR(IF([1]对账明细接口!$AB312=0,"",[1]对账明细接口!$AB312),"")</f>
        <v/>
      </c>
      <c r="AG312" s="7" t="str">
        <f>IFERROR(IF([1]对账明细接口!$AC312=0,"",[1]对账明细接口!$AC312),"")</f>
        <v/>
      </c>
      <c r="AH312" s="7" t="str">
        <f>IFERROR(IF([1]对账明细接口!$AD312=0,"",[1]对账明细接口!$AD312),"")</f>
        <v/>
      </c>
      <c r="AI312" s="7" t="str">
        <f>IFERROR(IF([1]对账明细接口!$AE312=0,"",[1]对账明细接口!$AE312),"")</f>
        <v/>
      </c>
      <c r="AJ312" s="7" t="str">
        <f>IFERROR(IF([1]对账明细接口!$AF312=0,"",[1]对账明细接口!$AF312),"")</f>
        <v/>
      </c>
    </row>
    <row r="313" ht="14.25" customHeight="1" spans="1:36">
      <c r="A313" s="14">
        <v>313</v>
      </c>
      <c r="B313" s="15">
        <f>IFERROR(IF([1]对账明细接口!$B$313=0,"",[1]对账明细接口!$B$313),"")</f>
        <v>46263</v>
      </c>
      <c r="C313" s="16" t="str">
        <f>IFERROR(IF([1]对账明细接口!$C$313=0,"",[1]对账明细接口!$C$313),"")</f>
        <v>王照雪</v>
      </c>
      <c r="D313" s="16" t="str">
        <f>IFERROR(IF([1]对账明细接口!$D$313=0,"",[1]对账明细接口!$D$313),"")</f>
        <v>原料出库－出库加工</v>
      </c>
      <c r="E313" s="16" t="str">
        <f>IFERROR(IF([1]对账明细接口!$E$313=0,"",[1]对账明细接口!$E$313),"")</f>
        <v>NO:0001045</v>
      </c>
      <c r="F313" s="16" t="str">
        <f>IFERROR(IF([1]对账明细接口!$F$313=0,"",[1]对账明细接口!$F$313),"")</f>
        <v>苹果</v>
      </c>
      <c r="G313" s="16" t="str">
        <f>IFERROR(IF([1]对账明细接口!$G$313=0,"",[1]对账明细接口!$G$313),"")</f>
        <v>华硕一级</v>
      </c>
      <c r="H313" s="17">
        <f>IFERROR(IF([1]对账明细接口!$H$313=0,"",[1]对账明细接口!$H$313),"")</f>
        <v>240</v>
      </c>
      <c r="I313" s="16" t="str">
        <f>IFERROR(IF([1]对账明细接口!$I$313=0,"",[1]对账明细接口!$I$313),"")</f>
        <v>筐</v>
      </c>
      <c r="J313" s="18" t="str">
        <f>IFERROR(IF([1]对账明细接口!$J$313=0,"",[1]对账明细接口!$J$313),"")</f>
        <v/>
      </c>
      <c r="K313" s="18" t="str">
        <f>IFERROR(IF([1]对账明细接口!$K$313=0,"",[1]对账明细接口!$K$313),"")</f>
        <v/>
      </c>
      <c r="L313" s="16" t="str">
        <f>IFERROR(IF([1]对账明细接口!$L$313=0,"",[1]对账明细接口!$L$313),"")</f>
        <v/>
      </c>
      <c r="M313" s="16" t="str">
        <f>IFERROR(IF([1]对账明细接口!$M$313=0,"",[1]对账明细接口!$M$313),"")</f>
        <v/>
      </c>
      <c r="N313" s="19">
        <f t="shared" si="8"/>
        <v>1</v>
      </c>
      <c r="O313" s="19">
        <f t="shared" si="9"/>
        <v>310</v>
      </c>
      <c r="S313" s="20" t="str">
        <f>IFERROR(IF([1]对账明细接口!$N313=0,"",[1]对账明细接口!$N313),"")</f>
        <v/>
      </c>
      <c r="T313" s="21" t="str">
        <f>IFERROR(IF([1]对账明细接口!$O313=0,"",[1]对账明细接口!$O313),"")</f>
        <v/>
      </c>
      <c r="U313" s="21" t="str">
        <f>IFERROR(IF([1]对账明细接口!$P313=0,"",[1]对账明细接口!$P313),"")</f>
        <v/>
      </c>
      <c r="V313" s="21" t="str">
        <f>IFERROR(IF([1]对账明细接口!$Q313=0,"",[1]对账明细接口!$Q313),"")</f>
        <v/>
      </c>
      <c r="W313" s="20" t="str">
        <f>IFERROR(IF([1]对账明细接口!$R313=0,"",[1]对账明细接口!$R313),"")</f>
        <v/>
      </c>
      <c r="X313" s="20" t="str">
        <f>IFERROR(IF([1]对账明细接口!$S313=0,"",[1]对账明细接口!$S313),"")</f>
        <v/>
      </c>
      <c r="Y313" s="20" t="str">
        <f>IFERROR(IF([1]对账明细接口!$T313=0,"",[1]对账明细接口!$T313),"")</f>
        <v/>
      </c>
      <c r="Z313" s="24" t="str">
        <f>IFERROR(IF([1]对账明细接口!$U313=0,"",[1]对账明细接口!$U313),"")</f>
        <v/>
      </c>
      <c r="AA313" s="24" t="str">
        <f>IFERROR(IF([1]对账明细接口!$V313=0,"",[1]对账明细接口!$V313),"")</f>
        <v/>
      </c>
      <c r="AB313" s="20" t="str">
        <f>IFERROR(IF([1]对账明细接口!$W313=0,"",[1]对账明细接口!$W313),"")</f>
        <v/>
      </c>
      <c r="AC313" s="7" t="str">
        <f>IFERROR(IF([1]对账明细接口!$X313=0,"",[1]对账明细接口!$X313),"")</f>
        <v/>
      </c>
      <c r="AD313" s="7" t="str">
        <f>IFERROR(IF([1]对账明细接口!$Y313=0,"",[1]对账明细接口!$Y313),"")</f>
        <v/>
      </c>
      <c r="AE313" s="7" t="str">
        <f>IFERROR(IF([1]对账明细接口!$AA313=0,"",[1]对账明细接口!$AA313),"")</f>
        <v/>
      </c>
      <c r="AF313" s="7" t="str">
        <f>IFERROR(IF([1]对账明细接口!$AB313=0,"",[1]对账明细接口!$AB313),"")</f>
        <v/>
      </c>
      <c r="AG313" s="7" t="str">
        <f>IFERROR(IF([1]对账明细接口!$AC313=0,"",[1]对账明细接口!$AC313),"")</f>
        <v/>
      </c>
      <c r="AH313" s="7" t="str">
        <f>IFERROR(IF([1]对账明细接口!$AD313=0,"",[1]对账明细接口!$AD313),"")</f>
        <v/>
      </c>
      <c r="AI313" s="7" t="str">
        <f>IFERROR(IF([1]对账明细接口!$AE313=0,"",[1]对账明细接口!$AE313),"")</f>
        <v/>
      </c>
      <c r="AJ313" s="7" t="str">
        <f>IFERROR(IF([1]对账明细接口!$AF313=0,"",[1]对账明细接口!$AF313),"")</f>
        <v/>
      </c>
    </row>
    <row r="314" ht="14.25" customHeight="1" spans="1:36">
      <c r="A314" s="14">
        <v>314</v>
      </c>
      <c r="B314" s="15">
        <f>IFERROR(IF([1]对账明细接口!$B$314=0,"",[1]对账明细接口!$B$314),"")</f>
        <v>46263</v>
      </c>
      <c r="C314" s="16" t="str">
        <f>IFERROR(IF([1]对账明细接口!$C$314=0,"",[1]对账明细接口!$C$314),"")</f>
        <v>聂新平</v>
      </c>
      <c r="D314" s="16" t="str">
        <f>IFERROR(IF([1]对账明细接口!$D$314=0,"",[1]对账明细接口!$D$314),"")</f>
        <v>原料出库－出库加工</v>
      </c>
      <c r="E314" s="16" t="str">
        <f>IFERROR(IF([1]对账明细接口!$E$314=0,"",[1]对账明细接口!$E$314),"")</f>
        <v>NO:0001047</v>
      </c>
      <c r="F314" s="16" t="str">
        <f>IFERROR(IF([1]对账明细接口!$F$314=0,"",[1]对账明细接口!$F$314),"")</f>
        <v>苹果</v>
      </c>
      <c r="G314" s="16" t="str">
        <f>IFERROR(IF([1]对账明细接口!$G$314=0,"",[1]对账明细接口!$G$314),"")</f>
        <v>嘎啦100#</v>
      </c>
      <c r="H314" s="17">
        <f>IFERROR(IF([1]对账明细接口!$H$314=0,"",[1]对账明细接口!$H$314),"")</f>
        <v>240</v>
      </c>
      <c r="I314" s="16" t="str">
        <f>IFERROR(IF([1]对账明细接口!$I$314=0,"",[1]对账明细接口!$I$314),"")</f>
        <v>筐</v>
      </c>
      <c r="J314" s="18" t="str">
        <f>IFERROR(IF([1]对账明细接口!$J$314=0,"",[1]对账明细接口!$J$314),"")</f>
        <v/>
      </c>
      <c r="K314" s="18" t="str">
        <f>IFERROR(IF([1]对账明细接口!$K$314=0,"",[1]对账明细接口!$K$314),"")</f>
        <v/>
      </c>
      <c r="L314" s="16" t="str">
        <f>IFERROR(IF([1]对账明细接口!$L$314=0,"",[1]对账明细接口!$L$314),"")</f>
        <v/>
      </c>
      <c r="M314" s="16" t="str">
        <f>IFERROR(IF([1]对账明细接口!$M$314=0,"",[1]对账明细接口!$M$314),"")</f>
        <v/>
      </c>
      <c r="N314" s="19">
        <f t="shared" si="8"/>
        <v>1</v>
      </c>
      <c r="O314" s="19">
        <f t="shared" si="9"/>
        <v>311</v>
      </c>
      <c r="S314" s="20" t="str">
        <f>IFERROR(IF([1]对账明细接口!$N314=0,"",[1]对账明细接口!$N314),"")</f>
        <v/>
      </c>
      <c r="T314" s="21" t="str">
        <f>IFERROR(IF([1]对账明细接口!$O314=0,"",[1]对账明细接口!$O314),"")</f>
        <v/>
      </c>
      <c r="U314" s="21" t="str">
        <f>IFERROR(IF([1]对账明细接口!$P314=0,"",[1]对账明细接口!$P314),"")</f>
        <v/>
      </c>
      <c r="V314" s="21" t="str">
        <f>IFERROR(IF([1]对账明细接口!$Q314=0,"",[1]对账明细接口!$Q314),"")</f>
        <v/>
      </c>
      <c r="W314" s="20" t="str">
        <f>IFERROR(IF([1]对账明细接口!$R314=0,"",[1]对账明细接口!$R314),"")</f>
        <v/>
      </c>
      <c r="X314" s="20" t="str">
        <f>IFERROR(IF([1]对账明细接口!$S314=0,"",[1]对账明细接口!$S314),"")</f>
        <v/>
      </c>
      <c r="Y314" s="20" t="str">
        <f>IFERROR(IF([1]对账明细接口!$T314=0,"",[1]对账明细接口!$T314),"")</f>
        <v/>
      </c>
      <c r="Z314" s="24" t="str">
        <f>IFERROR(IF([1]对账明细接口!$U314=0,"",[1]对账明细接口!$U314),"")</f>
        <v/>
      </c>
      <c r="AA314" s="24" t="str">
        <f>IFERROR(IF([1]对账明细接口!$V314=0,"",[1]对账明细接口!$V314),"")</f>
        <v/>
      </c>
      <c r="AB314" s="20" t="str">
        <f>IFERROR(IF([1]对账明细接口!$W314=0,"",[1]对账明细接口!$W314),"")</f>
        <v/>
      </c>
      <c r="AC314" s="7" t="str">
        <f>IFERROR(IF([1]对账明细接口!$X314=0,"",[1]对账明细接口!$X314),"")</f>
        <v/>
      </c>
      <c r="AD314" s="7" t="str">
        <f>IFERROR(IF([1]对账明细接口!$Y314=0,"",[1]对账明细接口!$Y314),"")</f>
        <v/>
      </c>
      <c r="AE314" s="7" t="str">
        <f>IFERROR(IF([1]对账明细接口!$AA314=0,"",[1]对账明细接口!$AA314),"")</f>
        <v/>
      </c>
      <c r="AF314" s="7" t="str">
        <f>IFERROR(IF([1]对账明细接口!$AB314=0,"",[1]对账明细接口!$AB314),"")</f>
        <v/>
      </c>
      <c r="AG314" s="7" t="str">
        <f>IFERROR(IF([1]对账明细接口!$AC314=0,"",[1]对账明细接口!$AC314),"")</f>
        <v/>
      </c>
      <c r="AH314" s="7" t="str">
        <f>IFERROR(IF([1]对账明细接口!$AD314=0,"",[1]对账明细接口!$AD314),"")</f>
        <v/>
      </c>
      <c r="AI314" s="7" t="str">
        <f>IFERROR(IF([1]对账明细接口!$AE314=0,"",[1]对账明细接口!$AE314),"")</f>
        <v/>
      </c>
      <c r="AJ314" s="7" t="str">
        <f>IFERROR(IF([1]对账明细接口!$AF314=0,"",[1]对账明细接口!$AF314),"")</f>
        <v/>
      </c>
    </row>
    <row r="315" ht="14.25" customHeight="1" spans="1:36">
      <c r="A315" s="14">
        <v>315</v>
      </c>
      <c r="B315" s="15">
        <f>IFERROR(IF([1]对账明细接口!$B$315=0,"",[1]对账明细接口!$B$315),"")</f>
        <v>46264</v>
      </c>
      <c r="C315" s="16" t="str">
        <f>IFERROR(IF([1]对账明细接口!$C$315=0,"",[1]对账明细接口!$C$315),"")</f>
        <v>王照雪</v>
      </c>
      <c r="D315" s="16" t="str">
        <f>IFERROR(IF([1]对账明细接口!$D$315=0,"",[1]对账明细接口!$D$315),"")</f>
        <v>原料出库－出库加工</v>
      </c>
      <c r="E315" s="16" t="str">
        <f>IFERROR(IF([1]对账明细接口!$E$315=0,"",[1]对账明细接口!$E$315),"")</f>
        <v>NO:0001050</v>
      </c>
      <c r="F315" s="16" t="str">
        <f>IFERROR(IF([1]对账明细接口!$F$315=0,"",[1]对账明细接口!$F$315),"")</f>
        <v>苹果</v>
      </c>
      <c r="G315" s="16" t="str">
        <f>IFERROR(IF([1]对账明细接口!$G$315=0,"",[1]对账明细接口!$G$315),"")</f>
        <v>华硕二级</v>
      </c>
      <c r="H315" s="17">
        <f>IFERROR(IF([1]对账明细接口!$H$315=0,"",[1]对账明细接口!$H$315),"")</f>
        <v>302</v>
      </c>
      <c r="I315" s="16" t="str">
        <f>IFERROR(IF([1]对账明细接口!$I$315=0,"",[1]对账明细接口!$I$315),"")</f>
        <v>筐</v>
      </c>
      <c r="J315" s="18" t="str">
        <f>IFERROR(IF([1]对账明细接口!$J$315=0,"",[1]对账明细接口!$J$315),"")</f>
        <v/>
      </c>
      <c r="K315" s="18" t="str">
        <f>IFERROR(IF([1]对账明细接口!$K$315=0,"",[1]对账明细接口!$K$315),"")</f>
        <v/>
      </c>
      <c r="L315" s="16" t="str">
        <f>IFERROR(IF([1]对账明细接口!$L$315=0,"",[1]对账明细接口!$L$315),"")</f>
        <v/>
      </c>
      <c r="M315" s="16" t="str">
        <f>IFERROR(IF([1]对账明细接口!$M$315=0,"",[1]对账明细接口!$M$315),"")</f>
        <v/>
      </c>
      <c r="N315" s="19">
        <f t="shared" si="8"/>
        <v>1</v>
      </c>
      <c r="O315" s="19">
        <f t="shared" si="9"/>
        <v>312</v>
      </c>
      <c r="S315" s="20" t="str">
        <f>IFERROR(IF([1]对账明细接口!$N315=0,"",[1]对账明细接口!$N315),"")</f>
        <v/>
      </c>
      <c r="T315" s="21" t="str">
        <f>IFERROR(IF([1]对账明细接口!$O315=0,"",[1]对账明细接口!$O315),"")</f>
        <v/>
      </c>
      <c r="U315" s="21" t="str">
        <f>IFERROR(IF([1]对账明细接口!$P315=0,"",[1]对账明细接口!$P315),"")</f>
        <v/>
      </c>
      <c r="V315" s="21" t="str">
        <f>IFERROR(IF([1]对账明细接口!$Q315=0,"",[1]对账明细接口!$Q315),"")</f>
        <v/>
      </c>
      <c r="W315" s="20" t="str">
        <f>IFERROR(IF([1]对账明细接口!$R315=0,"",[1]对账明细接口!$R315),"")</f>
        <v/>
      </c>
      <c r="X315" s="20" t="str">
        <f>IFERROR(IF([1]对账明细接口!$S315=0,"",[1]对账明细接口!$S315),"")</f>
        <v/>
      </c>
      <c r="Y315" s="20" t="str">
        <f>IFERROR(IF([1]对账明细接口!$T315=0,"",[1]对账明细接口!$T315),"")</f>
        <v/>
      </c>
      <c r="Z315" s="24" t="str">
        <f>IFERROR(IF([1]对账明细接口!$U315=0,"",[1]对账明细接口!$U315),"")</f>
        <v/>
      </c>
      <c r="AA315" s="24" t="str">
        <f>IFERROR(IF([1]对账明细接口!$V315=0,"",[1]对账明细接口!$V315),"")</f>
        <v/>
      </c>
      <c r="AB315" s="20" t="str">
        <f>IFERROR(IF([1]对账明细接口!$W315=0,"",[1]对账明细接口!$W315),"")</f>
        <v/>
      </c>
      <c r="AC315" s="7" t="str">
        <f>IFERROR(IF([1]对账明细接口!$X315=0,"",[1]对账明细接口!$X315),"")</f>
        <v/>
      </c>
      <c r="AD315" s="7" t="str">
        <f>IFERROR(IF([1]对账明细接口!$Y315=0,"",[1]对账明细接口!$Y315),"")</f>
        <v/>
      </c>
      <c r="AE315" s="7" t="str">
        <f>IFERROR(IF([1]对账明细接口!$AA315=0,"",[1]对账明细接口!$AA315),"")</f>
        <v/>
      </c>
      <c r="AF315" s="7" t="str">
        <f>IFERROR(IF([1]对账明细接口!$AB315=0,"",[1]对账明细接口!$AB315),"")</f>
        <v/>
      </c>
      <c r="AG315" s="7" t="str">
        <f>IFERROR(IF([1]对账明细接口!$AC315=0,"",[1]对账明细接口!$AC315),"")</f>
        <v/>
      </c>
      <c r="AH315" s="7" t="str">
        <f>IFERROR(IF([1]对账明细接口!$AD315=0,"",[1]对账明细接口!$AD315),"")</f>
        <v/>
      </c>
      <c r="AI315" s="7" t="str">
        <f>IFERROR(IF([1]对账明细接口!$AE315=0,"",[1]对账明细接口!$AE315),"")</f>
        <v/>
      </c>
      <c r="AJ315" s="7" t="str">
        <f>IFERROR(IF([1]对账明细接口!$AF315=0,"",[1]对账明细接口!$AF315),"")</f>
        <v/>
      </c>
    </row>
    <row r="316" ht="14.25" customHeight="1" spans="1:36">
      <c r="A316" s="14">
        <v>316</v>
      </c>
      <c r="B316" s="15">
        <f>IFERROR(IF([1]对账明细接口!$B$316=0,"",[1]对账明细接口!$B$316),"")</f>
        <v>46264</v>
      </c>
      <c r="C316" s="16" t="str">
        <f>IFERROR(IF([1]对账明细接口!$C$316=0,"",[1]对账明细接口!$C$316),"")</f>
        <v>王照雪</v>
      </c>
      <c r="D316" s="16" t="str">
        <f>IFERROR(IF([1]对账明细接口!$D$316=0,"",[1]对账明细接口!$D$316),"")</f>
        <v>原料出库－出库加工</v>
      </c>
      <c r="E316" s="16" t="str">
        <f>IFERROR(IF([1]对账明细接口!$E$316=0,"",[1]对账明细接口!$E$316),"")</f>
        <v>NO:0001050</v>
      </c>
      <c r="F316" s="16" t="str">
        <f>IFERROR(IF([1]对账明细接口!$F$316=0,"",[1]对账明细接口!$F$316),"")</f>
        <v>苹果</v>
      </c>
      <c r="G316" s="16" t="str">
        <f>IFERROR(IF([1]对账明细接口!$G$316=0,"",[1]对账明细接口!$G$316),"")</f>
        <v>华硕一级</v>
      </c>
      <c r="H316" s="17">
        <f>IFERROR(IF([1]对账明细接口!$H$316=0,"",[1]对账明细接口!$H$316),"")</f>
        <v>27</v>
      </c>
      <c r="I316" s="16" t="str">
        <f>IFERROR(IF([1]对账明细接口!$I$316=0,"",[1]对账明细接口!$I$316),"")</f>
        <v>筐</v>
      </c>
      <c r="J316" s="18" t="str">
        <f>IFERROR(IF([1]对账明细接口!$J$316=0,"",[1]对账明细接口!$J$316),"")</f>
        <v/>
      </c>
      <c r="K316" s="18" t="str">
        <f>IFERROR(IF([1]对账明细接口!$K$316=0,"",[1]对账明细接口!$K$316),"")</f>
        <v/>
      </c>
      <c r="L316" s="16" t="str">
        <f>IFERROR(IF([1]对账明细接口!$L$316=0,"",[1]对账明细接口!$L$316),"")</f>
        <v/>
      </c>
      <c r="M316" s="16" t="str">
        <f>IFERROR(IF([1]对账明细接口!$M$316=0,"",[1]对账明细接口!$M$316),"")</f>
        <v/>
      </c>
      <c r="N316" s="19">
        <f t="shared" si="8"/>
        <v>1</v>
      </c>
      <c r="O316" s="19">
        <f t="shared" si="9"/>
        <v>313</v>
      </c>
      <c r="S316" s="20" t="str">
        <f>IFERROR(IF([1]对账明细接口!$N316=0,"",[1]对账明细接口!$N316),"")</f>
        <v/>
      </c>
      <c r="T316" s="21" t="str">
        <f>IFERROR(IF([1]对账明细接口!$O316=0,"",[1]对账明细接口!$O316),"")</f>
        <v/>
      </c>
      <c r="U316" s="21" t="str">
        <f>IFERROR(IF([1]对账明细接口!$P316=0,"",[1]对账明细接口!$P316),"")</f>
        <v/>
      </c>
      <c r="V316" s="21" t="str">
        <f>IFERROR(IF([1]对账明细接口!$Q316=0,"",[1]对账明细接口!$Q316),"")</f>
        <v/>
      </c>
      <c r="W316" s="20" t="str">
        <f>IFERROR(IF([1]对账明细接口!$R316=0,"",[1]对账明细接口!$R316),"")</f>
        <v/>
      </c>
      <c r="X316" s="20" t="str">
        <f>IFERROR(IF([1]对账明细接口!$S316=0,"",[1]对账明细接口!$S316),"")</f>
        <v/>
      </c>
      <c r="Y316" s="20" t="str">
        <f>IFERROR(IF([1]对账明细接口!$T316=0,"",[1]对账明细接口!$T316),"")</f>
        <v/>
      </c>
      <c r="Z316" s="24" t="str">
        <f>IFERROR(IF([1]对账明细接口!$U316=0,"",[1]对账明细接口!$U316),"")</f>
        <v/>
      </c>
      <c r="AA316" s="24" t="str">
        <f>IFERROR(IF([1]对账明细接口!$V316=0,"",[1]对账明细接口!$V316),"")</f>
        <v/>
      </c>
      <c r="AB316" s="20" t="str">
        <f>IFERROR(IF([1]对账明细接口!$W316=0,"",[1]对账明细接口!$W316),"")</f>
        <v/>
      </c>
      <c r="AC316" s="7" t="str">
        <f>IFERROR(IF([1]对账明细接口!$X316=0,"",[1]对账明细接口!$X316),"")</f>
        <v/>
      </c>
      <c r="AD316" s="7" t="str">
        <f>IFERROR(IF([1]对账明细接口!$Y316=0,"",[1]对账明细接口!$Y316),"")</f>
        <v/>
      </c>
      <c r="AE316" s="7" t="str">
        <f>IFERROR(IF([1]对账明细接口!$AA316=0,"",[1]对账明细接口!$AA316),"")</f>
        <v/>
      </c>
      <c r="AF316" s="7" t="str">
        <f>IFERROR(IF([1]对账明细接口!$AB316=0,"",[1]对账明细接口!$AB316),"")</f>
        <v/>
      </c>
      <c r="AG316" s="7" t="str">
        <f>IFERROR(IF([1]对账明细接口!$AC316=0,"",[1]对账明细接口!$AC316),"")</f>
        <v/>
      </c>
      <c r="AH316" s="7" t="str">
        <f>IFERROR(IF([1]对账明细接口!$AD316=0,"",[1]对账明细接口!$AD316),"")</f>
        <v/>
      </c>
      <c r="AI316" s="7" t="str">
        <f>IFERROR(IF([1]对账明细接口!$AE316=0,"",[1]对账明细接口!$AE316),"")</f>
        <v/>
      </c>
      <c r="AJ316" s="7" t="str">
        <f>IFERROR(IF([1]对账明细接口!$AF316=0,"",[1]对账明细接口!$AF316),"")</f>
        <v/>
      </c>
    </row>
    <row r="317" ht="14.25" customHeight="1" spans="1:36">
      <c r="A317" s="14">
        <v>317</v>
      </c>
      <c r="B317" s="15">
        <f>IFERROR(IF([1]对账明细接口!$B$317=0,"",[1]对账明细接口!$B$317),"")</f>
        <v>46264</v>
      </c>
      <c r="C317" s="16" t="str">
        <f>IFERROR(IF([1]对账明细接口!$C$317=0,"",[1]对账明细接口!$C$317),"")</f>
        <v>聂新平</v>
      </c>
      <c r="D317" s="16" t="str">
        <f>IFERROR(IF([1]对账明细接口!$D$317=0,"",[1]对账明细接口!$D$317),"")</f>
        <v>原料出库－出库加工</v>
      </c>
      <c r="E317" s="16" t="str">
        <f>IFERROR(IF([1]对账明细接口!$E$317=0,"",[1]对账明细接口!$E$317),"")</f>
        <v>NO:0001051</v>
      </c>
      <c r="F317" s="16" t="str">
        <f>IFERROR(IF([1]对账明细接口!$F$317=0,"",[1]对账明细接口!$F$317),"")</f>
        <v>苹果</v>
      </c>
      <c r="G317" s="16" t="str">
        <f>IFERROR(IF([1]对账明细接口!$G$317=0,"",[1]对账明细接口!$G$317),"")</f>
        <v>嘎啦100#</v>
      </c>
      <c r="H317" s="17">
        <f>IFERROR(IF([1]对账明细接口!$H$317=0,"",[1]对账明细接口!$H$317),"")</f>
        <v>336</v>
      </c>
      <c r="I317" s="16" t="str">
        <f>IFERROR(IF([1]对账明细接口!$I$317=0,"",[1]对账明细接口!$I$317),"")</f>
        <v>筐</v>
      </c>
      <c r="J317" s="18" t="str">
        <f>IFERROR(IF([1]对账明细接口!$J$317=0,"",[1]对账明细接口!$J$317),"")</f>
        <v/>
      </c>
      <c r="K317" s="18" t="str">
        <f>IFERROR(IF([1]对账明细接口!$K$317=0,"",[1]对账明细接口!$K$317),"")</f>
        <v/>
      </c>
      <c r="L317" s="16" t="str">
        <f>IFERROR(IF([1]对账明细接口!$L$317=0,"",[1]对账明细接口!$L$317),"")</f>
        <v/>
      </c>
      <c r="M317" s="16" t="str">
        <f>IFERROR(IF([1]对账明细接口!$M$317=0,"",[1]对账明细接口!$M$317),"")</f>
        <v/>
      </c>
      <c r="N317" s="19">
        <f t="shared" si="8"/>
        <v>1</v>
      </c>
      <c r="O317" s="19">
        <f t="shared" si="9"/>
        <v>314</v>
      </c>
      <c r="S317" s="20" t="str">
        <f>IFERROR(IF([1]对账明细接口!$N317=0,"",[1]对账明细接口!$N317),"")</f>
        <v/>
      </c>
      <c r="T317" s="21" t="str">
        <f>IFERROR(IF([1]对账明细接口!$O317=0,"",[1]对账明细接口!$O317),"")</f>
        <v/>
      </c>
      <c r="U317" s="21" t="str">
        <f>IFERROR(IF([1]对账明细接口!$P317=0,"",[1]对账明细接口!$P317),"")</f>
        <v/>
      </c>
      <c r="V317" s="21" t="str">
        <f>IFERROR(IF([1]对账明细接口!$Q317=0,"",[1]对账明细接口!$Q317),"")</f>
        <v/>
      </c>
      <c r="W317" s="20" t="str">
        <f>IFERROR(IF([1]对账明细接口!$R317=0,"",[1]对账明细接口!$R317),"")</f>
        <v/>
      </c>
      <c r="X317" s="20" t="str">
        <f>IFERROR(IF([1]对账明细接口!$S317=0,"",[1]对账明细接口!$S317),"")</f>
        <v/>
      </c>
      <c r="Y317" s="20" t="str">
        <f>IFERROR(IF([1]对账明细接口!$T317=0,"",[1]对账明细接口!$T317),"")</f>
        <v/>
      </c>
      <c r="Z317" s="24" t="str">
        <f>IFERROR(IF([1]对账明细接口!$U317=0,"",[1]对账明细接口!$U317),"")</f>
        <v/>
      </c>
      <c r="AA317" s="24" t="str">
        <f>IFERROR(IF([1]对账明细接口!$V317=0,"",[1]对账明细接口!$V317),"")</f>
        <v/>
      </c>
      <c r="AB317" s="20" t="str">
        <f>IFERROR(IF([1]对账明细接口!$W317=0,"",[1]对账明细接口!$W317),"")</f>
        <v/>
      </c>
      <c r="AC317" s="7" t="str">
        <f>IFERROR(IF([1]对账明细接口!$X317=0,"",[1]对账明细接口!$X317),"")</f>
        <v/>
      </c>
      <c r="AD317" s="7" t="str">
        <f>IFERROR(IF([1]对账明细接口!$Y317=0,"",[1]对账明细接口!$Y317),"")</f>
        <v/>
      </c>
      <c r="AE317" s="7" t="str">
        <f>IFERROR(IF([1]对账明细接口!$AA317=0,"",[1]对账明细接口!$AA317),"")</f>
        <v/>
      </c>
      <c r="AF317" s="7" t="str">
        <f>IFERROR(IF([1]对账明细接口!$AB317=0,"",[1]对账明细接口!$AB317),"")</f>
        <v/>
      </c>
      <c r="AG317" s="7" t="str">
        <f>IFERROR(IF([1]对账明细接口!$AC317=0,"",[1]对账明细接口!$AC317),"")</f>
        <v/>
      </c>
      <c r="AH317" s="7" t="str">
        <f>IFERROR(IF([1]对账明细接口!$AD317=0,"",[1]对账明细接口!$AD317),"")</f>
        <v/>
      </c>
      <c r="AI317" s="7" t="str">
        <f>IFERROR(IF([1]对账明细接口!$AE317=0,"",[1]对账明细接口!$AE317),"")</f>
        <v/>
      </c>
      <c r="AJ317" s="7" t="str">
        <f>IFERROR(IF([1]对账明细接口!$AF317=0,"",[1]对账明细接口!$AF317),"")</f>
        <v/>
      </c>
    </row>
    <row r="318" ht="14.25" customHeight="1" spans="1:36">
      <c r="A318" s="14">
        <v>318</v>
      </c>
      <c r="B318" s="15">
        <f>IFERROR(IF([1]对账明细接口!$B$318=0,"",[1]对账明细接口!$B$318),"")</f>
        <v>46265</v>
      </c>
      <c r="C318" s="16" t="str">
        <f>IFERROR(IF([1]对账明细接口!$C$318=0,"",[1]对账明细接口!$C$318),"")</f>
        <v>王照雪</v>
      </c>
      <c r="D318" s="16" t="str">
        <f>IFERROR(IF([1]对账明细接口!$D$318=0,"",[1]对账明细接口!$D$318),"")</f>
        <v>原料出库－出库加工</v>
      </c>
      <c r="E318" s="16" t="str">
        <f>IFERROR(IF([1]对账明细接口!$E$318=0,"",[1]对账明细接口!$E$318),"")</f>
        <v>NO:0001054</v>
      </c>
      <c r="F318" s="16" t="str">
        <f>IFERROR(IF([1]对账明细接口!$F$318=0,"",[1]对账明细接口!$F$318),"")</f>
        <v>苹果</v>
      </c>
      <c r="G318" s="16" t="str">
        <f>IFERROR(IF([1]对账明细接口!$G$318=0,"",[1]对账明细接口!$G$318),"")</f>
        <v>华硕一级</v>
      </c>
      <c r="H318" s="17">
        <f>IFERROR(IF([1]对账明细接口!$H$318=0,"",[1]对账明细接口!$H$318),"")</f>
        <v>117</v>
      </c>
      <c r="I318" s="16" t="str">
        <f>IFERROR(IF([1]对账明细接口!$I$318=0,"",[1]对账明细接口!$I$318),"")</f>
        <v>筐</v>
      </c>
      <c r="J318" s="18" t="str">
        <f>IFERROR(IF([1]对账明细接口!$J$318=0,"",[1]对账明细接口!$J$318),"")</f>
        <v/>
      </c>
      <c r="K318" s="18" t="str">
        <f>IFERROR(IF([1]对账明细接口!$K$318=0,"",[1]对账明细接口!$K$318),"")</f>
        <v/>
      </c>
      <c r="L318" s="16" t="str">
        <f>IFERROR(IF([1]对账明细接口!$L$318=0,"",[1]对账明细接口!$L$318),"")</f>
        <v/>
      </c>
      <c r="M318" s="16" t="str">
        <f>IFERROR(IF([1]对账明细接口!$M$318=0,"",[1]对账明细接口!$M$318),"")</f>
        <v/>
      </c>
      <c r="N318" s="19">
        <f t="shared" si="8"/>
        <v>1</v>
      </c>
      <c r="O318" s="19">
        <f t="shared" si="9"/>
        <v>315</v>
      </c>
      <c r="S318" s="20" t="str">
        <f>IFERROR(IF([1]对账明细接口!$N318=0,"",[1]对账明细接口!$N318),"")</f>
        <v/>
      </c>
      <c r="T318" s="21" t="str">
        <f>IFERROR(IF([1]对账明细接口!$O318=0,"",[1]对账明细接口!$O318),"")</f>
        <v/>
      </c>
      <c r="U318" s="21" t="str">
        <f>IFERROR(IF([1]对账明细接口!$P318=0,"",[1]对账明细接口!$P318),"")</f>
        <v/>
      </c>
      <c r="V318" s="21" t="str">
        <f>IFERROR(IF([1]对账明细接口!$Q318=0,"",[1]对账明细接口!$Q318),"")</f>
        <v/>
      </c>
      <c r="W318" s="20" t="str">
        <f>IFERROR(IF([1]对账明细接口!$R318=0,"",[1]对账明细接口!$R318),"")</f>
        <v/>
      </c>
      <c r="X318" s="20" t="str">
        <f>IFERROR(IF([1]对账明细接口!$S318=0,"",[1]对账明细接口!$S318),"")</f>
        <v/>
      </c>
      <c r="Y318" s="20" t="str">
        <f>IFERROR(IF([1]对账明细接口!$T318=0,"",[1]对账明细接口!$T318),"")</f>
        <v/>
      </c>
      <c r="Z318" s="24" t="str">
        <f>IFERROR(IF([1]对账明细接口!$U318=0,"",[1]对账明细接口!$U318),"")</f>
        <v/>
      </c>
      <c r="AA318" s="24" t="str">
        <f>IFERROR(IF([1]对账明细接口!$V318=0,"",[1]对账明细接口!$V318),"")</f>
        <v/>
      </c>
      <c r="AB318" s="20" t="str">
        <f>IFERROR(IF([1]对账明细接口!$W318=0,"",[1]对账明细接口!$W318),"")</f>
        <v/>
      </c>
      <c r="AC318" s="7" t="str">
        <f>IFERROR(IF([1]对账明细接口!$X318=0,"",[1]对账明细接口!$X318),"")</f>
        <v/>
      </c>
      <c r="AD318" s="7" t="str">
        <f>IFERROR(IF([1]对账明细接口!$Y318=0,"",[1]对账明细接口!$Y318),"")</f>
        <v/>
      </c>
      <c r="AE318" s="7" t="str">
        <f>IFERROR(IF([1]对账明细接口!$AA318=0,"",[1]对账明细接口!$AA318),"")</f>
        <v/>
      </c>
      <c r="AF318" s="7" t="str">
        <f>IFERROR(IF([1]对账明细接口!$AB318=0,"",[1]对账明细接口!$AB318),"")</f>
        <v/>
      </c>
      <c r="AG318" s="7" t="str">
        <f>IFERROR(IF([1]对账明细接口!$AC318=0,"",[1]对账明细接口!$AC318),"")</f>
        <v/>
      </c>
      <c r="AH318" s="7" t="str">
        <f>IFERROR(IF([1]对账明细接口!$AD318=0,"",[1]对账明细接口!$AD318),"")</f>
        <v/>
      </c>
      <c r="AI318" s="7" t="str">
        <f>IFERROR(IF([1]对账明细接口!$AE318=0,"",[1]对账明细接口!$AE318),"")</f>
        <v/>
      </c>
      <c r="AJ318" s="7" t="str">
        <f>IFERROR(IF([1]对账明细接口!$AF318=0,"",[1]对账明细接口!$AF318),"")</f>
        <v/>
      </c>
    </row>
    <row r="319" ht="14.25" customHeight="1" spans="1:36">
      <c r="A319" s="14">
        <v>319</v>
      </c>
      <c r="B319" s="15">
        <f>IFERROR(IF([1]对账明细接口!$B$319=0,"",[1]对账明细接口!$B$319),"")</f>
        <v>46265</v>
      </c>
      <c r="C319" s="16" t="str">
        <f>IFERROR(IF([1]对账明细接口!$C$319=0,"",[1]对账明细接口!$C$319),"")</f>
        <v>聂新平</v>
      </c>
      <c r="D319" s="16" t="str">
        <f>IFERROR(IF([1]对账明细接口!$D$319=0,"",[1]对账明细接口!$D$319),"")</f>
        <v>原料出库－出库加工</v>
      </c>
      <c r="E319" s="16" t="str">
        <f>IFERROR(IF([1]对账明细接口!$E$319=0,"",[1]对账明细接口!$E$319),"")</f>
        <v>NO:0001056</v>
      </c>
      <c r="F319" s="16" t="str">
        <f>IFERROR(IF([1]对账明细接口!$F$319=0,"",[1]对账明细接口!$F$319),"")</f>
        <v>苹果</v>
      </c>
      <c r="G319" s="16" t="str">
        <f>IFERROR(IF([1]对账明细接口!$G$319=0,"",[1]对账明细接口!$G$319),"")</f>
        <v>嘎啦100#</v>
      </c>
      <c r="H319" s="17">
        <f>IFERROR(IF([1]对账明细接口!$H$319=0,"",[1]对账明细接口!$H$319),"")</f>
        <v>201</v>
      </c>
      <c r="I319" s="16" t="str">
        <f>IFERROR(IF([1]对账明细接口!$I$319=0,"",[1]对账明细接口!$I$319),"")</f>
        <v>筐</v>
      </c>
      <c r="J319" s="18" t="str">
        <f>IFERROR(IF([1]对账明细接口!$J$319=0,"",[1]对账明细接口!$J$319),"")</f>
        <v/>
      </c>
      <c r="K319" s="18" t="str">
        <f>IFERROR(IF([1]对账明细接口!$K$319=0,"",[1]对账明细接口!$K$319),"")</f>
        <v/>
      </c>
      <c r="L319" s="16" t="str">
        <f>IFERROR(IF([1]对账明细接口!$L$319=0,"",[1]对账明细接口!$L$319),"")</f>
        <v/>
      </c>
      <c r="M319" s="16" t="str">
        <f>IFERROR(IF([1]对账明细接口!$M$319=0,"",[1]对账明细接口!$M$319),"")</f>
        <v/>
      </c>
      <c r="N319" s="19">
        <f t="shared" si="8"/>
        <v>1</v>
      </c>
      <c r="O319" s="19">
        <f t="shared" si="9"/>
        <v>316</v>
      </c>
      <c r="S319" s="20" t="str">
        <f>IFERROR(IF([1]对账明细接口!$N319=0,"",[1]对账明细接口!$N319),"")</f>
        <v/>
      </c>
      <c r="T319" s="21" t="str">
        <f>IFERROR(IF([1]对账明细接口!$O319=0,"",[1]对账明细接口!$O319),"")</f>
        <v/>
      </c>
      <c r="U319" s="21" t="str">
        <f>IFERROR(IF([1]对账明细接口!$P319=0,"",[1]对账明细接口!$P319),"")</f>
        <v/>
      </c>
      <c r="V319" s="21" t="str">
        <f>IFERROR(IF([1]对账明细接口!$Q319=0,"",[1]对账明细接口!$Q319),"")</f>
        <v/>
      </c>
      <c r="W319" s="20" t="str">
        <f>IFERROR(IF([1]对账明细接口!$R319=0,"",[1]对账明细接口!$R319),"")</f>
        <v/>
      </c>
      <c r="X319" s="20" t="str">
        <f>IFERROR(IF([1]对账明细接口!$S319=0,"",[1]对账明细接口!$S319),"")</f>
        <v/>
      </c>
      <c r="Y319" s="20" t="str">
        <f>IFERROR(IF([1]对账明细接口!$T319=0,"",[1]对账明细接口!$T319),"")</f>
        <v/>
      </c>
      <c r="Z319" s="24" t="str">
        <f>IFERROR(IF([1]对账明细接口!$U319=0,"",[1]对账明细接口!$U319),"")</f>
        <v/>
      </c>
      <c r="AA319" s="24" t="str">
        <f>IFERROR(IF([1]对账明细接口!$V319=0,"",[1]对账明细接口!$V319),"")</f>
        <v/>
      </c>
      <c r="AB319" s="20" t="str">
        <f>IFERROR(IF([1]对账明细接口!$W319=0,"",[1]对账明细接口!$W319),"")</f>
        <v/>
      </c>
      <c r="AC319" s="7" t="str">
        <f>IFERROR(IF([1]对账明细接口!$X319=0,"",[1]对账明细接口!$X319),"")</f>
        <v/>
      </c>
      <c r="AD319" s="7" t="str">
        <f>IFERROR(IF([1]对账明细接口!$Y319=0,"",[1]对账明细接口!$Y319),"")</f>
        <v/>
      </c>
      <c r="AE319" s="7" t="str">
        <f>IFERROR(IF([1]对账明细接口!$AA319=0,"",[1]对账明细接口!$AA319),"")</f>
        <v/>
      </c>
      <c r="AF319" s="7" t="str">
        <f>IFERROR(IF([1]对账明细接口!$AB319=0,"",[1]对账明细接口!$AB319),"")</f>
        <v/>
      </c>
      <c r="AG319" s="7" t="str">
        <f>IFERROR(IF([1]对账明细接口!$AC319=0,"",[1]对账明细接口!$AC319),"")</f>
        <v/>
      </c>
      <c r="AH319" s="7" t="str">
        <f>IFERROR(IF([1]对账明细接口!$AD319=0,"",[1]对账明细接口!$AD319),"")</f>
        <v/>
      </c>
      <c r="AI319" s="7" t="str">
        <f>IFERROR(IF([1]对账明细接口!$AE319=0,"",[1]对账明细接口!$AE319),"")</f>
        <v/>
      </c>
      <c r="AJ319" s="7" t="str">
        <f>IFERROR(IF([1]对账明细接口!$AF319=0,"",[1]对账明细接口!$AF319),"")</f>
        <v/>
      </c>
    </row>
    <row r="320" ht="14.25" customHeight="1" spans="1:36">
      <c r="A320" s="14">
        <v>320</v>
      </c>
      <c r="B320" s="15">
        <f>IFERROR(IF([1]对账明细接口!$B$320=0,"",[1]对账明细接口!$B$320),"")</f>
        <v>46265</v>
      </c>
      <c r="C320" s="16" t="str">
        <f>IFERROR(IF([1]对账明细接口!$C$320=0,"",[1]对账明细接口!$C$320),"")</f>
        <v>聂新平</v>
      </c>
      <c r="D320" s="16" t="str">
        <f>IFERROR(IF([1]对账明细接口!$D$320=0,"",[1]对账明细接口!$D$320),"")</f>
        <v>原料出库－出库加工</v>
      </c>
      <c r="E320" s="16" t="str">
        <f>IFERROR(IF([1]对账明细接口!$E$320=0,"",[1]对账明细接口!$E$320),"")</f>
        <v>NO:0001056</v>
      </c>
      <c r="F320" s="16" t="str">
        <f>IFERROR(IF([1]对账明细接口!$F$320=0,"",[1]对账明细接口!$F$320),"")</f>
        <v>苹果</v>
      </c>
      <c r="G320" s="16" t="str">
        <f>IFERROR(IF([1]对账明细接口!$G$320=0,"",[1]对账明细接口!$G$320),"")</f>
        <v>嘎啦85#</v>
      </c>
      <c r="H320" s="17">
        <f>IFERROR(IF([1]对账明细接口!$H$320=0,"",[1]对账明细接口!$H$320),"")</f>
        <v>166</v>
      </c>
      <c r="I320" s="16" t="str">
        <f>IFERROR(IF([1]对账明细接口!$I$320=0,"",[1]对账明细接口!$I$320),"")</f>
        <v>筐</v>
      </c>
      <c r="J320" s="18" t="str">
        <f>IFERROR(IF([1]对账明细接口!$J$320=0,"",[1]对账明细接口!$J$320),"")</f>
        <v/>
      </c>
      <c r="K320" s="18" t="str">
        <f>IFERROR(IF([1]对账明细接口!$K$320=0,"",[1]对账明细接口!$K$320),"")</f>
        <v/>
      </c>
      <c r="L320" s="16" t="str">
        <f>IFERROR(IF([1]对账明细接口!$L$320=0,"",[1]对账明细接口!$L$320),"")</f>
        <v/>
      </c>
      <c r="M320" s="16" t="str">
        <f>IFERROR(IF([1]对账明细接口!$M$320=0,"",[1]对账明细接口!$M$320),"")</f>
        <v/>
      </c>
      <c r="N320" s="19">
        <f t="shared" si="8"/>
        <v>1</v>
      </c>
      <c r="O320" s="19">
        <f t="shared" si="9"/>
        <v>317</v>
      </c>
      <c r="S320" s="20" t="str">
        <f>IFERROR(IF([1]对账明细接口!$N320=0,"",[1]对账明细接口!$N320),"")</f>
        <v/>
      </c>
      <c r="T320" s="21" t="str">
        <f>IFERROR(IF([1]对账明细接口!$O320=0,"",[1]对账明细接口!$O320),"")</f>
        <v/>
      </c>
      <c r="U320" s="21" t="str">
        <f>IFERROR(IF([1]对账明细接口!$P320=0,"",[1]对账明细接口!$P320),"")</f>
        <v/>
      </c>
      <c r="V320" s="21" t="str">
        <f>IFERROR(IF([1]对账明细接口!$Q320=0,"",[1]对账明细接口!$Q320),"")</f>
        <v/>
      </c>
      <c r="W320" s="20" t="str">
        <f>IFERROR(IF([1]对账明细接口!$R320=0,"",[1]对账明细接口!$R320),"")</f>
        <v/>
      </c>
      <c r="X320" s="20" t="str">
        <f>IFERROR(IF([1]对账明细接口!$S320=0,"",[1]对账明细接口!$S320),"")</f>
        <v/>
      </c>
      <c r="Y320" s="20" t="str">
        <f>IFERROR(IF([1]对账明细接口!$T320=0,"",[1]对账明细接口!$T320),"")</f>
        <v/>
      </c>
      <c r="Z320" s="24" t="str">
        <f>IFERROR(IF([1]对账明细接口!$U320=0,"",[1]对账明细接口!$U320),"")</f>
        <v/>
      </c>
      <c r="AA320" s="24" t="str">
        <f>IFERROR(IF([1]对账明细接口!$V320=0,"",[1]对账明细接口!$V320),"")</f>
        <v/>
      </c>
      <c r="AB320" s="20" t="str">
        <f>IFERROR(IF([1]对账明细接口!$W320=0,"",[1]对账明细接口!$W320),"")</f>
        <v/>
      </c>
      <c r="AC320" s="7" t="str">
        <f>IFERROR(IF([1]对账明细接口!$X320=0,"",[1]对账明细接口!$X320),"")</f>
        <v/>
      </c>
      <c r="AD320" s="7" t="str">
        <f>IFERROR(IF([1]对账明细接口!$Y320=0,"",[1]对账明细接口!$Y320),"")</f>
        <v/>
      </c>
      <c r="AE320" s="7" t="str">
        <f>IFERROR(IF([1]对账明细接口!$AA320=0,"",[1]对账明细接口!$AA320),"")</f>
        <v/>
      </c>
      <c r="AF320" s="7" t="str">
        <f>IFERROR(IF([1]对账明细接口!$AB320=0,"",[1]对账明细接口!$AB320),"")</f>
        <v/>
      </c>
      <c r="AG320" s="7" t="str">
        <f>IFERROR(IF([1]对账明细接口!$AC320=0,"",[1]对账明细接口!$AC320),"")</f>
        <v/>
      </c>
      <c r="AH320" s="7" t="str">
        <f>IFERROR(IF([1]对账明细接口!$AD320=0,"",[1]对账明细接口!$AD320),"")</f>
        <v/>
      </c>
      <c r="AI320" s="7" t="str">
        <f>IFERROR(IF([1]对账明细接口!$AE320=0,"",[1]对账明细接口!$AE320),"")</f>
        <v/>
      </c>
      <c r="AJ320" s="7" t="str">
        <f>IFERROR(IF([1]对账明细接口!$AF320=0,"",[1]对账明细接口!$AF320),"")</f>
        <v/>
      </c>
    </row>
    <row r="321" ht="14.25" customHeight="1" spans="1:36">
      <c r="A321" s="14">
        <v>321</v>
      </c>
      <c r="B321" s="15">
        <f>IFERROR(IF([1]对账明细接口!$B$321=0,"",[1]对账明细接口!$B$321),"")</f>
        <v>46266</v>
      </c>
      <c r="C321" s="16" t="str">
        <f>IFERROR(IF([1]对账明细接口!$C$321=0,"",[1]对账明细接口!$C$321),"")</f>
        <v>聂新平</v>
      </c>
      <c r="D321" s="16" t="str">
        <f>IFERROR(IF([1]对账明细接口!$D$321=0,"",[1]对账明细接口!$D$321),"")</f>
        <v>原料出库－出库加工</v>
      </c>
      <c r="E321" s="16" t="str">
        <f>IFERROR(IF([1]对账明细接口!$E$321=0,"",[1]对账明细接口!$E$321),"")</f>
        <v>NO:0001059</v>
      </c>
      <c r="F321" s="16" t="str">
        <f>IFERROR(IF([1]对账明细接口!$F$321=0,"",[1]对账明细接口!$F$321),"")</f>
        <v>苹果</v>
      </c>
      <c r="G321" s="16" t="str">
        <f>IFERROR(IF([1]对账明细接口!$G$321=0,"",[1]对账明细接口!$G$321),"")</f>
        <v>嘎啦85#</v>
      </c>
      <c r="H321" s="17">
        <f>IFERROR(IF([1]对账明细接口!$H$321=0,"",[1]对账明细接口!$H$321),"")</f>
        <v>254</v>
      </c>
      <c r="I321" s="16" t="str">
        <f>IFERROR(IF([1]对账明细接口!$I$321=0,"",[1]对账明细接口!$I$321),"")</f>
        <v>筐</v>
      </c>
      <c r="J321" s="18" t="str">
        <f>IFERROR(IF([1]对账明细接口!$J$321=0,"",[1]对账明细接口!$J$321),"")</f>
        <v/>
      </c>
      <c r="K321" s="18" t="str">
        <f>IFERROR(IF([1]对账明细接口!$K$321=0,"",[1]对账明细接口!$K$321),"")</f>
        <v/>
      </c>
      <c r="L321" s="16" t="str">
        <f>IFERROR(IF([1]对账明细接口!$L$321=0,"",[1]对账明细接口!$L$321),"")</f>
        <v/>
      </c>
      <c r="M321" s="16" t="str">
        <f>IFERROR(IF([1]对账明细接口!$M$321=0,"",[1]对账明细接口!$M$321),"")</f>
        <v>嘎啦原料全部出库</v>
      </c>
      <c r="N321" s="19">
        <f t="shared" si="8"/>
        <v>1</v>
      </c>
      <c r="O321" s="19">
        <f t="shared" si="9"/>
        <v>318</v>
      </c>
      <c r="S321" s="20" t="str">
        <f>IFERROR(IF([1]对账明细接口!$N321=0,"",[1]对账明细接口!$N321),"")</f>
        <v/>
      </c>
      <c r="T321" s="21" t="str">
        <f>IFERROR(IF([1]对账明细接口!$O321=0,"",[1]对账明细接口!$O321),"")</f>
        <v/>
      </c>
      <c r="U321" s="21" t="str">
        <f>IFERROR(IF([1]对账明细接口!$P321=0,"",[1]对账明细接口!$P321),"")</f>
        <v/>
      </c>
      <c r="V321" s="21" t="str">
        <f>IFERROR(IF([1]对账明细接口!$Q321=0,"",[1]对账明细接口!$Q321),"")</f>
        <v/>
      </c>
      <c r="W321" s="20" t="str">
        <f>IFERROR(IF([1]对账明细接口!$R321=0,"",[1]对账明细接口!$R321),"")</f>
        <v/>
      </c>
      <c r="X321" s="20" t="str">
        <f>IFERROR(IF([1]对账明细接口!$S321=0,"",[1]对账明细接口!$S321),"")</f>
        <v/>
      </c>
      <c r="Y321" s="20" t="str">
        <f>IFERROR(IF([1]对账明细接口!$T321=0,"",[1]对账明细接口!$T321),"")</f>
        <v/>
      </c>
      <c r="Z321" s="24" t="str">
        <f>IFERROR(IF([1]对账明细接口!$U321=0,"",[1]对账明细接口!$U321),"")</f>
        <v/>
      </c>
      <c r="AA321" s="24" t="str">
        <f>IFERROR(IF([1]对账明细接口!$V321=0,"",[1]对账明细接口!$V321),"")</f>
        <v/>
      </c>
      <c r="AB321" s="20" t="str">
        <f>IFERROR(IF([1]对账明细接口!$W321=0,"",[1]对账明细接口!$W321),"")</f>
        <v/>
      </c>
      <c r="AC321" s="7" t="str">
        <f>IFERROR(IF([1]对账明细接口!$X321=0,"",[1]对账明细接口!$X321),"")</f>
        <v/>
      </c>
      <c r="AD321" s="7" t="str">
        <f>IFERROR(IF([1]对账明细接口!$Y321=0,"",[1]对账明细接口!$Y321),"")</f>
        <v/>
      </c>
      <c r="AE321" s="7" t="str">
        <f>IFERROR(IF([1]对账明细接口!$AA321=0,"",[1]对账明细接口!$AA321),"")</f>
        <v/>
      </c>
      <c r="AF321" s="7" t="str">
        <f>IFERROR(IF([1]对账明细接口!$AB321=0,"",[1]对账明细接口!$AB321),"")</f>
        <v/>
      </c>
      <c r="AG321" s="7" t="str">
        <f>IFERROR(IF([1]对账明细接口!$AC321=0,"",[1]对账明细接口!$AC321),"")</f>
        <v/>
      </c>
      <c r="AH321" s="7" t="str">
        <f>IFERROR(IF([1]对账明细接口!$AD321=0,"",[1]对账明细接口!$AD321),"")</f>
        <v/>
      </c>
      <c r="AI321" s="7" t="str">
        <f>IFERROR(IF([1]对账明细接口!$AE321=0,"",[1]对账明细接口!$AE321),"")</f>
        <v/>
      </c>
      <c r="AJ321" s="7" t="str">
        <f>IFERROR(IF([1]对账明细接口!$AF321=0,"",[1]对账明细接口!$AF321),"")</f>
        <v/>
      </c>
    </row>
    <row r="322" ht="14.25" customHeight="1" spans="1:36">
      <c r="A322" s="14">
        <v>322</v>
      </c>
      <c r="B322" s="15">
        <f>IFERROR(IF([1]对账明细接口!$B$322=0,"",[1]对账明细接口!$B$322),"")</f>
        <v>46266</v>
      </c>
      <c r="C322" s="16" t="str">
        <f>IFERROR(IF([1]对账明细接口!$C$322=0,"",[1]对账明细接口!$C$322),"")</f>
        <v>王照雪</v>
      </c>
      <c r="D322" s="16" t="str">
        <f>IFERROR(IF([1]对账明细接口!$D$322=0,"",[1]对账明细接口!$D$322),"")</f>
        <v>原料出库－出库加工</v>
      </c>
      <c r="E322" s="16" t="str">
        <f>IFERROR(IF([1]对账明细接口!$E$322=0,"",[1]对账明细接口!$E$322),"")</f>
        <v>NO:0001060</v>
      </c>
      <c r="F322" s="16" t="str">
        <f>IFERROR(IF([1]对账明细接口!$F$322=0,"",[1]对账明细接口!$F$322),"")</f>
        <v>苹果</v>
      </c>
      <c r="G322" s="16" t="str">
        <f>IFERROR(IF([1]对账明细接口!$G$322=0,"",[1]对账明细接口!$G$322),"")</f>
        <v>华硕一级</v>
      </c>
      <c r="H322" s="17">
        <f>IFERROR(IF([1]对账明细接口!$H$322=0,"",[1]对账明细接口!$H$322),"")</f>
        <v>164</v>
      </c>
      <c r="I322" s="16" t="str">
        <f>IFERROR(IF([1]对账明细接口!$I$322=0,"",[1]对账明细接口!$I$322),"")</f>
        <v>筐</v>
      </c>
      <c r="J322" s="18" t="str">
        <f>IFERROR(IF([1]对账明细接口!$J$322=0,"",[1]对账明细接口!$J$322),"")</f>
        <v/>
      </c>
      <c r="K322" s="18" t="str">
        <f>IFERROR(IF([1]对账明细接口!$K$322=0,"",[1]对账明细接口!$K$322),"")</f>
        <v/>
      </c>
      <c r="L322" s="16" t="str">
        <f>IFERROR(IF([1]对账明细接口!$L$322=0,"",[1]对账明细接口!$L$322),"")</f>
        <v/>
      </c>
      <c r="M322" s="16" t="str">
        <f>IFERROR(IF([1]对账明细接口!$M$322=0,"",[1]对账明细接口!$M$322),"")</f>
        <v/>
      </c>
      <c r="N322" s="19">
        <f t="shared" si="8"/>
        <v>1</v>
      </c>
      <c r="O322" s="19">
        <f t="shared" si="9"/>
        <v>319</v>
      </c>
      <c r="S322" s="20" t="str">
        <f>IFERROR(IF([1]对账明细接口!$N322=0,"",[1]对账明细接口!$N322),"")</f>
        <v/>
      </c>
      <c r="T322" s="21" t="str">
        <f>IFERROR(IF([1]对账明细接口!$O322=0,"",[1]对账明细接口!$O322),"")</f>
        <v/>
      </c>
      <c r="U322" s="21" t="str">
        <f>IFERROR(IF([1]对账明细接口!$P322=0,"",[1]对账明细接口!$P322),"")</f>
        <v/>
      </c>
      <c r="V322" s="21" t="str">
        <f>IFERROR(IF([1]对账明细接口!$Q322=0,"",[1]对账明细接口!$Q322),"")</f>
        <v/>
      </c>
      <c r="W322" s="20" t="str">
        <f>IFERROR(IF([1]对账明细接口!$R322=0,"",[1]对账明细接口!$R322),"")</f>
        <v/>
      </c>
      <c r="X322" s="20" t="str">
        <f>IFERROR(IF([1]对账明细接口!$S322=0,"",[1]对账明细接口!$S322),"")</f>
        <v/>
      </c>
      <c r="Y322" s="20" t="str">
        <f>IFERROR(IF([1]对账明细接口!$T322=0,"",[1]对账明细接口!$T322),"")</f>
        <v/>
      </c>
      <c r="Z322" s="24" t="str">
        <f>IFERROR(IF([1]对账明细接口!$U322=0,"",[1]对账明细接口!$U322),"")</f>
        <v/>
      </c>
      <c r="AA322" s="24" t="str">
        <f>IFERROR(IF([1]对账明细接口!$V322=0,"",[1]对账明细接口!$V322),"")</f>
        <v/>
      </c>
      <c r="AB322" s="20" t="str">
        <f>IFERROR(IF([1]对账明细接口!$W322=0,"",[1]对账明细接口!$W322),"")</f>
        <v/>
      </c>
      <c r="AC322" s="7" t="str">
        <f>IFERROR(IF([1]对账明细接口!$X322=0,"",[1]对账明细接口!$X322),"")</f>
        <v/>
      </c>
      <c r="AD322" s="7" t="str">
        <f>IFERROR(IF([1]对账明细接口!$Y322=0,"",[1]对账明细接口!$Y322),"")</f>
        <v/>
      </c>
      <c r="AE322" s="7" t="str">
        <f>IFERROR(IF([1]对账明细接口!$AA322=0,"",[1]对账明细接口!$AA322),"")</f>
        <v/>
      </c>
      <c r="AF322" s="7" t="str">
        <f>IFERROR(IF([1]对账明细接口!$AB322=0,"",[1]对账明细接口!$AB322),"")</f>
        <v/>
      </c>
      <c r="AG322" s="7" t="str">
        <f>IFERROR(IF([1]对账明细接口!$AC322=0,"",[1]对账明细接口!$AC322),"")</f>
        <v/>
      </c>
      <c r="AH322" s="7" t="str">
        <f>IFERROR(IF([1]对账明细接口!$AD322=0,"",[1]对账明细接口!$AD322),"")</f>
        <v/>
      </c>
      <c r="AI322" s="7" t="str">
        <f>IFERROR(IF([1]对账明细接口!$AE322=0,"",[1]对账明细接口!$AE322),"")</f>
        <v/>
      </c>
      <c r="AJ322" s="7" t="str">
        <f>IFERROR(IF([1]对账明细接口!$AF322=0,"",[1]对账明细接口!$AF322),"")</f>
        <v/>
      </c>
    </row>
    <row r="323" ht="14.25" customHeight="1" spans="1:36">
      <c r="A323" s="14">
        <v>323</v>
      </c>
      <c r="B323" s="15">
        <f>IFERROR(IF([1]对账明细接口!$B$323=0,"",[1]对账明细接口!$B$323),"")</f>
        <v>46266</v>
      </c>
      <c r="C323" s="16" t="str">
        <f>IFERROR(IF([1]对账明细接口!$C$323=0,"",[1]对账明细接口!$C$323),"")</f>
        <v>王照雪</v>
      </c>
      <c r="D323" s="16" t="str">
        <f>IFERROR(IF([1]对账明细接口!$D$323=0,"",[1]对账明细接口!$D$323),"")</f>
        <v>原料出库－出库加工</v>
      </c>
      <c r="E323" s="16" t="str">
        <f>IFERROR(IF([1]对账明细接口!$E$323=0,"",[1]对账明细接口!$E$323),"")</f>
        <v>NO:0001060</v>
      </c>
      <c r="F323" s="16" t="str">
        <f>IFERROR(IF([1]对账明细接口!$F$323=0,"",[1]对账明细接口!$F$323),"")</f>
        <v>苹果</v>
      </c>
      <c r="G323" s="16" t="str">
        <f>IFERROR(IF([1]对账明细接口!$G$323=0,"",[1]对账明细接口!$G$323),"")</f>
        <v>华硕二级</v>
      </c>
      <c r="H323" s="17">
        <f>IFERROR(IF([1]对账明细接口!$H$323=0,"",[1]对账明细接口!$H$323),"")</f>
        <v>27</v>
      </c>
      <c r="I323" s="16" t="str">
        <f>IFERROR(IF([1]对账明细接口!$I$323=0,"",[1]对账明细接口!$I$323),"")</f>
        <v>筐</v>
      </c>
      <c r="J323" s="18" t="str">
        <f>IFERROR(IF([1]对账明细接口!$J$323=0,"",[1]对账明细接口!$J$323),"")</f>
        <v/>
      </c>
      <c r="K323" s="18" t="str">
        <f>IFERROR(IF([1]对账明细接口!$K$323=0,"",[1]对账明细接口!$K$323),"")</f>
        <v/>
      </c>
      <c r="L323" s="16" t="str">
        <f>IFERROR(IF([1]对账明细接口!$L$323=0,"",[1]对账明细接口!$L$323),"")</f>
        <v/>
      </c>
      <c r="M323" s="16" t="str">
        <f>IFERROR(IF([1]对账明细接口!$M$323=0,"",[1]对账明细接口!$M$323),"")</f>
        <v/>
      </c>
      <c r="N323" s="19">
        <f t="shared" si="8"/>
        <v>1</v>
      </c>
      <c r="O323" s="19">
        <f t="shared" si="9"/>
        <v>320</v>
      </c>
      <c r="S323" s="20" t="str">
        <f>IFERROR(IF([1]对账明细接口!$N323=0,"",[1]对账明细接口!$N323),"")</f>
        <v/>
      </c>
      <c r="T323" s="21" t="str">
        <f>IFERROR(IF([1]对账明细接口!$O323=0,"",[1]对账明细接口!$O323),"")</f>
        <v/>
      </c>
      <c r="U323" s="21" t="str">
        <f>IFERROR(IF([1]对账明细接口!$P323=0,"",[1]对账明细接口!$P323),"")</f>
        <v/>
      </c>
      <c r="V323" s="21" t="str">
        <f>IFERROR(IF([1]对账明细接口!$Q323=0,"",[1]对账明细接口!$Q323),"")</f>
        <v/>
      </c>
      <c r="W323" s="20" t="str">
        <f>IFERROR(IF([1]对账明细接口!$R323=0,"",[1]对账明细接口!$R323),"")</f>
        <v/>
      </c>
      <c r="X323" s="20" t="str">
        <f>IFERROR(IF([1]对账明细接口!$S323=0,"",[1]对账明细接口!$S323),"")</f>
        <v/>
      </c>
      <c r="Y323" s="20" t="str">
        <f>IFERROR(IF([1]对账明细接口!$T323=0,"",[1]对账明细接口!$T323),"")</f>
        <v/>
      </c>
      <c r="Z323" s="24" t="str">
        <f>IFERROR(IF([1]对账明细接口!$U323=0,"",[1]对账明细接口!$U323),"")</f>
        <v/>
      </c>
      <c r="AA323" s="24" t="str">
        <f>IFERROR(IF([1]对账明细接口!$V323=0,"",[1]对账明细接口!$V323),"")</f>
        <v/>
      </c>
      <c r="AB323" s="20" t="str">
        <f>IFERROR(IF([1]对账明细接口!$W323=0,"",[1]对账明细接口!$W323),"")</f>
        <v/>
      </c>
      <c r="AC323" s="7" t="str">
        <f>IFERROR(IF([1]对账明细接口!$X323=0,"",[1]对账明细接口!$X323),"")</f>
        <v/>
      </c>
      <c r="AD323" s="7" t="str">
        <f>IFERROR(IF([1]对账明细接口!$Y323=0,"",[1]对账明细接口!$Y323),"")</f>
        <v/>
      </c>
      <c r="AE323" s="7" t="str">
        <f>IFERROR(IF([1]对账明细接口!$AA323=0,"",[1]对账明细接口!$AA323),"")</f>
        <v/>
      </c>
      <c r="AF323" s="7" t="str">
        <f>IFERROR(IF([1]对账明细接口!$AB323=0,"",[1]对账明细接口!$AB323),"")</f>
        <v/>
      </c>
      <c r="AG323" s="7" t="str">
        <f>IFERROR(IF([1]对账明细接口!$AC323=0,"",[1]对账明细接口!$AC323),"")</f>
        <v/>
      </c>
      <c r="AH323" s="7" t="str">
        <f>IFERROR(IF([1]对账明细接口!$AD323=0,"",[1]对账明细接口!$AD323),"")</f>
        <v/>
      </c>
      <c r="AI323" s="7" t="str">
        <f>IFERROR(IF([1]对账明细接口!$AE323=0,"",[1]对账明细接口!$AE323),"")</f>
        <v/>
      </c>
      <c r="AJ323" s="7" t="str">
        <f>IFERROR(IF([1]对账明细接口!$AF323=0,"",[1]对账明细接口!$AF323),"")</f>
        <v/>
      </c>
    </row>
    <row r="324" ht="14.25" customHeight="1" spans="1:36">
      <c r="A324" s="14">
        <v>324</v>
      </c>
      <c r="B324" s="15">
        <f>IFERROR(IF([1]对账明细接口!$B$324=0,"",[1]对账明细接口!$B$324),"")</f>
        <v>46255</v>
      </c>
      <c r="C324" s="16" t="str">
        <f>IFERROR(IF([1]对账明细接口!$C$324=0,"",[1]对账明细接口!$C$324),"")</f>
        <v>聂新平</v>
      </c>
      <c r="D324" s="16" t="str">
        <f>IFERROR(IF([1]对账明细接口!$D$324=0,"",[1]对账明细接口!$D$324),"")</f>
        <v>原料出库－原筐出库</v>
      </c>
      <c r="E324" s="16" t="str">
        <f>IFERROR(IF([1]对账明细接口!$E$324=0,"",[1]对账明细接口!$E$324),"")</f>
        <v>NO:0001023</v>
      </c>
      <c r="F324" s="16" t="str">
        <f>IFERROR(IF([1]对账明细接口!$F$324=0,"",[1]对账明细接口!$F$324),"")</f>
        <v>西梅</v>
      </c>
      <c r="G324" s="16" t="str">
        <f>IFERROR(IF([1]对账明细接口!$G$324=0,"",[1]对账明细接口!$G$324),"")</f>
        <v>西梅三级</v>
      </c>
      <c r="H324" s="17">
        <f>IFERROR(IF([1]对账明细接口!$H$324=0,"",[1]对账明细接口!$H$324),"")</f>
        <v>784</v>
      </c>
      <c r="I324" s="16" t="str">
        <f>IFERROR(IF([1]对账明细接口!$I$324=0,"",[1]对账明细接口!$I$324),"")</f>
        <v>筐</v>
      </c>
      <c r="J324" s="18">
        <f>IFERROR(IF([1]对账明细接口!$J$324=0,"",[1]对账明细接口!$J$324),"")</f>
        <v>1568</v>
      </c>
      <c r="K324" s="18" t="str">
        <f>IFERROR(IF([1]对账明细接口!$K$324=0,"",[1]对账明细接口!$K$324),"")</f>
        <v/>
      </c>
      <c r="L324" s="16" t="str">
        <f>IFERROR(IF([1]对账明细接口!$L$324=0,"",[1]对账明细接口!$L$324),"")</f>
        <v/>
      </c>
      <c r="M324" s="16" t="str">
        <f>IFERROR(IF([1]对账明细接口!$M$324=0,"",[1]对账明细接口!$M$324),"")</f>
        <v/>
      </c>
      <c r="N324" s="19">
        <f t="shared" ref="N324:N387" si="10">IF($C324="",0,1)</f>
        <v>1</v>
      </c>
      <c r="O324" s="19">
        <f t="shared" ref="O324:O387" si="11">N(O323)+$N324</f>
        <v>321</v>
      </c>
      <c r="S324" s="20" t="str">
        <f>IFERROR(IF([1]对账明细接口!$N324=0,"",[1]对账明细接口!$N324),"")</f>
        <v>自备一次性筐</v>
      </c>
      <c r="T324" s="21">
        <f>IFERROR(IF([1]对账明细接口!$O324=0,"",[1]对账明细接口!$O324),"")</f>
        <v>784</v>
      </c>
      <c r="U324" s="21" t="str">
        <f>IFERROR(IF([1]对账明细接口!$P324=0,"",[1]对账明细接口!$P324),"")</f>
        <v/>
      </c>
      <c r="V324" s="21" t="str">
        <f>IFERROR(IF([1]对账明细接口!$Q324=0,"",[1]对账明细接口!$Q324),"")</f>
        <v/>
      </c>
      <c r="W324" s="20" t="str">
        <f>IFERROR(IF([1]对账明细接口!$R324=0,"",[1]对账明细接口!$R324),"")</f>
        <v>晋M*H8582</v>
      </c>
      <c r="X324" s="20" t="str">
        <f>IFERROR(IF([1]对账明细接口!$S324=0,"",[1]对账明细接口!$S324),"")</f>
        <v>自备筐</v>
      </c>
      <c r="Y324" s="20" t="str">
        <f>IFERROR(IF([1]对账明细接口!$T324=0,"",[1]对账明细接口!$T324),"")</f>
        <v/>
      </c>
      <c r="Z324" s="24" t="str">
        <f>IFERROR(IF([1]对账明细接口!$U324=0,"",[1]对账明细接口!$U324),"")</f>
        <v/>
      </c>
      <c r="AA324" s="24" t="str">
        <f>IFERROR(IF([1]对账明细接口!$V324=0,"",[1]对账明细接口!$V324),"")</f>
        <v/>
      </c>
      <c r="AB324" s="20" t="str">
        <f>IFERROR(IF([1]对账明细接口!$W324=0,"",[1]对账明细接口!$W324),"")</f>
        <v/>
      </c>
      <c r="AC324" s="7" t="str">
        <f>IFERROR(IF([1]对账明细接口!$X324=0,"",[1]对账明细接口!$X324),"")</f>
        <v/>
      </c>
      <c r="AD324" s="7" t="str">
        <f>IFERROR(IF([1]对账明细接口!$Y324=0,"",[1]对账明细接口!$Y324),"")</f>
        <v/>
      </c>
      <c r="AE324" s="7" t="str">
        <f>IFERROR(IF([1]对账明细接口!$AA324=0,"",[1]对账明细接口!$AA324),"")</f>
        <v/>
      </c>
      <c r="AF324" s="7" t="str">
        <f>IFERROR(IF([1]对账明细接口!$AB324=0,"",[1]对账明细接口!$AB324),"")</f>
        <v/>
      </c>
      <c r="AG324" s="7" t="str">
        <f>IFERROR(IF([1]对账明细接口!$AC324=0,"",[1]对账明细接口!$AC324),"")</f>
        <v/>
      </c>
      <c r="AH324" s="7" t="str">
        <f>IFERROR(IF([1]对账明细接口!$AD324=0,"",[1]对账明细接口!$AD324),"")</f>
        <v/>
      </c>
      <c r="AI324" s="7" t="str">
        <f>IFERROR(IF([1]对账明细接口!$AE324=0,"",[1]对账明细接口!$AE324),"")</f>
        <v/>
      </c>
      <c r="AJ324" s="7" t="str">
        <f>IFERROR(IF([1]对账明细接口!$AF324=0,"",[1]对账明细接口!$AF324),"")</f>
        <v/>
      </c>
    </row>
    <row r="325" ht="14.25" customHeight="1" spans="1:36">
      <c r="A325" s="14">
        <v>325</v>
      </c>
      <c r="B325" s="15">
        <f>IFERROR(IF([1]对账明细接口!$B$325=0,"",[1]对账明细接口!$B$325),"")</f>
        <v>46255</v>
      </c>
      <c r="C325" s="16" t="str">
        <f>IFERROR(IF([1]对账明细接口!$C$325=0,"",[1]对账明细接口!$C$325),"")</f>
        <v>聂新平</v>
      </c>
      <c r="D325" s="16" t="str">
        <f>IFERROR(IF([1]对账明细接口!$D$325=0,"",[1]对账明细接口!$D$325),"")</f>
        <v>原料出库－原筐出库</v>
      </c>
      <c r="E325" s="16" t="str">
        <f>IFERROR(IF([1]对账明细接口!$E$325=0,"",[1]对账明细接口!$E$325),"")</f>
        <v>NO:0001023</v>
      </c>
      <c r="F325" s="16" t="str">
        <f>IFERROR(IF([1]对账明细接口!$F$325=0,"",[1]对账明细接口!$F$325),"")</f>
        <v>西梅</v>
      </c>
      <c r="G325" s="16" t="str">
        <f>IFERROR(IF([1]对账明细接口!$G$325=0,"",[1]对账明细接口!$G$325),"")</f>
        <v>西梅二级</v>
      </c>
      <c r="H325" s="17">
        <f>IFERROR(IF([1]对账明细接口!$H$325=0,"",[1]对账明细接口!$H$325),"")</f>
        <v>1759</v>
      </c>
      <c r="I325" s="16" t="str">
        <f>IFERROR(IF([1]对账明细接口!$I$325=0,"",[1]对账明细接口!$I$325),"")</f>
        <v>筐</v>
      </c>
      <c r="J325" s="18">
        <f>IFERROR(IF([1]对账明细接口!$J$325=0,"",[1]对账明细接口!$J$325),"")</f>
        <v>3518</v>
      </c>
      <c r="K325" s="18" t="str">
        <f>IFERROR(IF([1]对账明细接口!$K$325=0,"",[1]对账明细接口!$K$325),"")</f>
        <v/>
      </c>
      <c r="L325" s="16" t="str">
        <f>IFERROR(IF([1]对账明细接口!$L$325=0,"",[1]对账明细接口!$L$325),"")</f>
        <v/>
      </c>
      <c r="M325" s="16" t="str">
        <f>IFERROR(IF([1]对账明细接口!$M$325=0,"",[1]对账明细接口!$M$325),"")</f>
        <v/>
      </c>
      <c r="N325" s="19">
        <f t="shared" si="10"/>
        <v>1</v>
      </c>
      <c r="O325" s="19">
        <f t="shared" si="11"/>
        <v>322</v>
      </c>
      <c r="S325" s="20" t="str">
        <f>IFERROR(IF([1]对账明细接口!$N325=0,"",[1]对账明细接口!$N325),"")</f>
        <v>自备一次性筐</v>
      </c>
      <c r="T325" s="21">
        <f>IFERROR(IF([1]对账明细接口!$O325=0,"",[1]对账明细接口!$O325),"")</f>
        <v>1759</v>
      </c>
      <c r="U325" s="21" t="str">
        <f>IFERROR(IF([1]对账明细接口!$P325=0,"",[1]对账明细接口!$P325),"")</f>
        <v/>
      </c>
      <c r="V325" s="21" t="str">
        <f>IFERROR(IF([1]对账明细接口!$Q325=0,"",[1]对账明细接口!$Q325),"")</f>
        <v/>
      </c>
      <c r="W325" s="20" t="str">
        <f>IFERROR(IF([1]对账明细接口!$R325=0,"",[1]对账明细接口!$R325),"")</f>
        <v>晋M*H8582</v>
      </c>
      <c r="X325" s="20" t="str">
        <f>IFERROR(IF([1]对账明细接口!$S325=0,"",[1]对账明细接口!$S325),"")</f>
        <v>自备筐</v>
      </c>
      <c r="Y325" s="20" t="str">
        <f>IFERROR(IF([1]对账明细接口!$T325=0,"",[1]对账明细接口!$T325),"")</f>
        <v/>
      </c>
      <c r="Z325" s="24" t="str">
        <f>IFERROR(IF([1]对账明细接口!$U325=0,"",[1]对账明细接口!$U325),"")</f>
        <v/>
      </c>
      <c r="AA325" s="24" t="str">
        <f>IFERROR(IF([1]对账明细接口!$V325=0,"",[1]对账明细接口!$V325),"")</f>
        <v/>
      </c>
      <c r="AB325" s="20" t="str">
        <f>IFERROR(IF([1]对账明细接口!$W325=0,"",[1]对账明细接口!$W325),"")</f>
        <v/>
      </c>
      <c r="AC325" s="7" t="str">
        <f>IFERROR(IF([1]对账明细接口!$X325=0,"",[1]对账明细接口!$X325),"")</f>
        <v/>
      </c>
      <c r="AD325" s="7" t="str">
        <f>IFERROR(IF([1]对账明细接口!$Y325=0,"",[1]对账明细接口!$Y325),"")</f>
        <v/>
      </c>
      <c r="AE325" s="7" t="str">
        <f>IFERROR(IF([1]对账明细接口!$AA325=0,"",[1]对账明细接口!$AA325),"")</f>
        <v/>
      </c>
      <c r="AF325" s="7" t="str">
        <f>IFERROR(IF([1]对账明细接口!$AB325=0,"",[1]对账明细接口!$AB325),"")</f>
        <v/>
      </c>
      <c r="AG325" s="7" t="str">
        <f>IFERROR(IF([1]对账明细接口!$AC325=0,"",[1]对账明细接口!$AC325),"")</f>
        <v/>
      </c>
      <c r="AH325" s="7" t="str">
        <f>IFERROR(IF([1]对账明细接口!$AD325=0,"",[1]对账明细接口!$AD325),"")</f>
        <v/>
      </c>
      <c r="AI325" s="7" t="str">
        <f>IFERROR(IF([1]对账明细接口!$AE325=0,"",[1]对账明细接口!$AE325),"")</f>
        <v/>
      </c>
      <c r="AJ325" s="7" t="str">
        <f>IFERROR(IF([1]对账明细接口!$AF325=0,"",[1]对账明细接口!$AF325),"")</f>
        <v/>
      </c>
    </row>
    <row r="326" ht="14.25" customHeight="1" spans="1:36">
      <c r="A326" s="14">
        <v>326</v>
      </c>
      <c r="B326" s="15">
        <f>IFERROR(IF([1]对账明细接口!$B$326=0,"",[1]对账明细接口!$B$326),"")</f>
        <v>46255</v>
      </c>
      <c r="C326" s="16" t="str">
        <f>IFERROR(IF([1]对账明细接口!$C$326=0,"",[1]对账明细接口!$C$326),"")</f>
        <v>聂新平</v>
      </c>
      <c r="D326" s="16" t="str">
        <f>IFERROR(IF([1]对账明细接口!$D$326=0,"",[1]对账明细接口!$D$326),"")</f>
        <v>原料出库－原筐出库</v>
      </c>
      <c r="E326" s="16" t="str">
        <f>IFERROR(IF([1]对账明细接口!$E$326=0,"",[1]对账明细接口!$E$326),"")</f>
        <v>NO:0001023</v>
      </c>
      <c r="F326" s="16" t="str">
        <f>IFERROR(IF([1]对账明细接口!$F$326=0,"",[1]对账明细接口!$F$326),"")</f>
        <v>西梅</v>
      </c>
      <c r="G326" s="16" t="str">
        <f>IFERROR(IF([1]对账明细接口!$G$326=0,"",[1]对账明细接口!$G$326),"")</f>
        <v>西梅一级</v>
      </c>
      <c r="H326" s="17">
        <f>IFERROR(IF([1]对账明细接口!$H$326=0,"",[1]对账明细接口!$H$326),"")</f>
        <v>216</v>
      </c>
      <c r="I326" s="16" t="str">
        <f>IFERROR(IF([1]对账明细接口!$I$326=0,"",[1]对账明细接口!$I$326),"")</f>
        <v>筐</v>
      </c>
      <c r="J326" s="18">
        <f>IFERROR(IF([1]对账明细接口!$J$326=0,"",[1]对账明细接口!$J$326),"")</f>
        <v>1512</v>
      </c>
      <c r="K326" s="18" t="str">
        <f>IFERROR(IF([1]对账明细接口!$K$326=0,"",[1]对账明细接口!$K$326),"")</f>
        <v/>
      </c>
      <c r="L326" s="16" t="str">
        <f>IFERROR(IF([1]对账明细接口!$L$326=0,"",[1]对账明细接口!$L$326),"")</f>
        <v/>
      </c>
      <c r="M326" s="16" t="str">
        <f>IFERROR(IF([1]对账明细接口!$M$326=0,"",[1]对账明细接口!$M$326),"")</f>
        <v/>
      </c>
      <c r="N326" s="19">
        <f t="shared" si="10"/>
        <v>1</v>
      </c>
      <c r="O326" s="19">
        <f t="shared" si="11"/>
        <v>323</v>
      </c>
      <c r="S326" s="20" t="str">
        <f>IFERROR(IF([1]对账明细接口!$N326=0,"",[1]对账明细接口!$N326),"")</f>
        <v>自备一次性筐</v>
      </c>
      <c r="T326" s="21">
        <f>IFERROR(IF([1]对账明细接口!$O326=0,"",[1]对账明细接口!$O326),"")</f>
        <v>216</v>
      </c>
      <c r="U326" s="21" t="str">
        <f>IFERROR(IF([1]对账明细接口!$P326=0,"",[1]对账明细接口!$P326),"")</f>
        <v/>
      </c>
      <c r="V326" s="21" t="str">
        <f>IFERROR(IF([1]对账明细接口!$Q326=0,"",[1]对账明细接口!$Q326),"")</f>
        <v/>
      </c>
      <c r="W326" s="20" t="str">
        <f>IFERROR(IF([1]对账明细接口!$R326=0,"",[1]对账明细接口!$R326),"")</f>
        <v>晋M*H8582</v>
      </c>
      <c r="X326" s="20" t="str">
        <f>IFERROR(IF([1]对账明细接口!$S326=0,"",[1]对账明细接口!$S326),"")</f>
        <v>自备筐</v>
      </c>
      <c r="Y326" s="20" t="str">
        <f>IFERROR(IF([1]对账明细接口!$T326=0,"",[1]对账明细接口!$T326),"")</f>
        <v/>
      </c>
      <c r="Z326" s="24" t="str">
        <f>IFERROR(IF([1]对账明细接口!$U326=0,"",[1]对账明细接口!$U326),"")</f>
        <v/>
      </c>
      <c r="AA326" s="24" t="str">
        <f>IFERROR(IF([1]对账明细接口!$V326=0,"",[1]对账明细接口!$V326),"")</f>
        <v/>
      </c>
      <c r="AB326" s="20" t="str">
        <f>IFERROR(IF([1]对账明细接口!$W326=0,"",[1]对账明细接口!$W326),"")</f>
        <v/>
      </c>
      <c r="AC326" s="7" t="str">
        <f>IFERROR(IF([1]对账明细接口!$X326=0,"",[1]对账明细接口!$X326),"")</f>
        <v/>
      </c>
      <c r="AD326" s="7" t="str">
        <f>IFERROR(IF([1]对账明细接口!$Y326=0,"",[1]对账明细接口!$Y326),"")</f>
        <v/>
      </c>
      <c r="AE326" s="7" t="str">
        <f>IFERROR(IF([1]对账明细接口!$AA326=0,"",[1]对账明细接口!$AA326),"")</f>
        <v/>
      </c>
      <c r="AF326" s="7" t="str">
        <f>IFERROR(IF([1]对账明细接口!$AB326=0,"",[1]对账明细接口!$AB326),"")</f>
        <v/>
      </c>
      <c r="AG326" s="7" t="str">
        <f>IFERROR(IF([1]对账明细接口!$AC326=0,"",[1]对账明细接口!$AC326),"")</f>
        <v/>
      </c>
      <c r="AH326" s="7" t="str">
        <f>IFERROR(IF([1]对账明细接口!$AD326=0,"",[1]对账明细接口!$AD326),"")</f>
        <v/>
      </c>
      <c r="AI326" s="7" t="str">
        <f>IFERROR(IF([1]对账明细接口!$AE326=0,"",[1]对账明细接口!$AE326),"")</f>
        <v/>
      </c>
      <c r="AJ326" s="7" t="str">
        <f>IFERROR(IF([1]对账明细接口!$AF326=0,"",[1]对账明细接口!$AF326),"")</f>
        <v/>
      </c>
    </row>
    <row r="327" ht="14.25" customHeight="1" spans="1:36">
      <c r="A327" s="14">
        <v>327</v>
      </c>
      <c r="B327" s="15">
        <f>IFERROR(IF([1]对账明细接口!$B$327=0,"",[1]对账明细接口!$B$327),"")</f>
        <v>46255</v>
      </c>
      <c r="C327" s="16" t="str">
        <f>IFERROR(IF([1]对账明细接口!$C$327=0,"",[1]对账明细接口!$C$327),"")</f>
        <v>聂新平</v>
      </c>
      <c r="D327" s="16" t="str">
        <f>IFERROR(IF([1]对账明细接口!$D$327=0,"",[1]对账明细接口!$D$327),"")</f>
        <v>原料出库－原筐出库</v>
      </c>
      <c r="E327" s="16" t="str">
        <f>IFERROR(IF([1]对账明细接口!$E$327=0,"",[1]对账明细接口!$E$327),"")</f>
        <v>NO:0001023</v>
      </c>
      <c r="F327" s="16" t="str">
        <f>IFERROR(IF([1]对账明细接口!$F$327=0,"",[1]对账明细接口!$F$327),"")</f>
        <v>西梅</v>
      </c>
      <c r="G327" s="16" t="str">
        <f>IFERROR(IF([1]对账明细接口!$G$327=0,"",[1]对账明细接口!$G$327),"")</f>
        <v>西梅二级</v>
      </c>
      <c r="H327" s="17">
        <f>IFERROR(IF([1]对账明细接口!$H$327=0,"",[1]对账明细接口!$H$327),"")</f>
        <v>132</v>
      </c>
      <c r="I327" s="16" t="str">
        <f>IFERROR(IF([1]对账明细接口!$I$327=0,"",[1]对账明细接口!$I$327),"")</f>
        <v>筐</v>
      </c>
      <c r="J327" s="18">
        <f>IFERROR(IF([1]对账明细接口!$J$327=0,"",[1]对账明细接口!$J$327),"")</f>
        <v>1188</v>
      </c>
      <c r="K327" s="18" t="str">
        <f>IFERROR(IF([1]对账明细接口!$K$327=0,"",[1]对账明细接口!$K$327),"")</f>
        <v/>
      </c>
      <c r="L327" s="16" t="str">
        <f>IFERROR(IF([1]对账明细接口!$L$327=0,"",[1]对账明细接口!$L$327),"")</f>
        <v/>
      </c>
      <c r="M327" s="16" t="str">
        <f>IFERROR(IF([1]对账明细接口!$M$327=0,"",[1]对账明细接口!$M$327),"")</f>
        <v/>
      </c>
      <c r="N327" s="19">
        <f t="shared" si="10"/>
        <v>1</v>
      </c>
      <c r="O327" s="19">
        <f t="shared" si="11"/>
        <v>324</v>
      </c>
      <c r="S327" s="20" t="str">
        <f>IFERROR(IF([1]对账明细接口!$N327=0,"",[1]对账明细接口!$N327),"")</f>
        <v>自备一次性筐</v>
      </c>
      <c r="T327" s="21">
        <f>IFERROR(IF([1]对账明细接口!$O327=0,"",[1]对账明细接口!$O327),"")</f>
        <v>132</v>
      </c>
      <c r="U327" s="21" t="str">
        <f>IFERROR(IF([1]对账明细接口!$P327=0,"",[1]对账明细接口!$P327),"")</f>
        <v/>
      </c>
      <c r="V327" s="21" t="str">
        <f>IFERROR(IF([1]对账明细接口!$Q327=0,"",[1]对账明细接口!$Q327),"")</f>
        <v/>
      </c>
      <c r="W327" s="20" t="str">
        <f>IFERROR(IF([1]对账明细接口!$R327=0,"",[1]对账明细接口!$R327),"")</f>
        <v>晋M*H8582</v>
      </c>
      <c r="X327" s="20" t="str">
        <f>IFERROR(IF([1]对账明细接口!$S327=0,"",[1]对账明细接口!$S327),"")</f>
        <v>自备筐</v>
      </c>
      <c r="Y327" s="20" t="str">
        <f>IFERROR(IF([1]对账明细接口!$T327=0,"",[1]对账明细接口!$T327),"")</f>
        <v/>
      </c>
      <c r="Z327" s="24" t="str">
        <f>IFERROR(IF([1]对账明细接口!$U327=0,"",[1]对账明细接口!$U327),"")</f>
        <v/>
      </c>
      <c r="AA327" s="24" t="str">
        <f>IFERROR(IF([1]对账明细接口!$V327=0,"",[1]对账明细接口!$V327),"")</f>
        <v/>
      </c>
      <c r="AB327" s="20" t="str">
        <f>IFERROR(IF([1]对账明细接口!$W327=0,"",[1]对账明细接口!$W327),"")</f>
        <v/>
      </c>
      <c r="AC327" s="7" t="str">
        <f>IFERROR(IF([1]对账明细接口!$X327=0,"",[1]对账明细接口!$X327),"")</f>
        <v/>
      </c>
      <c r="AD327" s="7" t="str">
        <f>IFERROR(IF([1]对账明细接口!$Y327=0,"",[1]对账明细接口!$Y327),"")</f>
        <v/>
      </c>
      <c r="AE327" s="7" t="str">
        <f>IFERROR(IF([1]对账明细接口!$AA327=0,"",[1]对账明细接口!$AA327),"")</f>
        <v/>
      </c>
      <c r="AF327" s="7" t="str">
        <f>IFERROR(IF([1]对账明细接口!$AB327=0,"",[1]对账明细接口!$AB327),"")</f>
        <v/>
      </c>
      <c r="AG327" s="7" t="str">
        <f>IFERROR(IF([1]对账明细接口!$AC327=0,"",[1]对账明细接口!$AC327),"")</f>
        <v/>
      </c>
      <c r="AH327" s="7" t="str">
        <f>IFERROR(IF([1]对账明细接口!$AD327=0,"",[1]对账明细接口!$AD327),"")</f>
        <v/>
      </c>
      <c r="AI327" s="7" t="str">
        <f>IFERROR(IF([1]对账明细接口!$AE327=0,"",[1]对账明细接口!$AE327),"")</f>
        <v/>
      </c>
      <c r="AJ327" s="7" t="str">
        <f>IFERROR(IF([1]对账明细接口!$AF327=0,"",[1]对账明细接口!$AF327),"")</f>
        <v/>
      </c>
    </row>
    <row r="328" ht="14.25" customHeight="1" spans="1:36">
      <c r="A328" s="14">
        <v>328</v>
      </c>
      <c r="B328" s="15">
        <f>IFERROR(IF([1]对账明细接口!$B$328=0,"",[1]对账明细接口!$B$328),"")</f>
        <v>46263</v>
      </c>
      <c r="C328" s="16" t="str">
        <f>IFERROR(IF([1]对账明细接口!$C$328=0,"",[1]对账明细接口!$C$328),"")</f>
        <v>聂新平</v>
      </c>
      <c r="D328" s="16" t="str">
        <f>IFERROR(IF([1]对账明细接口!$D$328=0,"",[1]对账明细接口!$D$328),"")</f>
        <v>原料出库－原筐出库</v>
      </c>
      <c r="E328" s="16" t="str">
        <f>IFERROR(IF([1]对账明细接口!$E$328=0,"",[1]对账明细接口!$E$328),"")</f>
        <v>NO:0001049</v>
      </c>
      <c r="F328" s="16" t="str">
        <f>IFERROR(IF([1]对账明细接口!$F$328=0,"",[1]对账明细接口!$F$328),"")</f>
        <v>西梅</v>
      </c>
      <c r="G328" s="16" t="str">
        <f>IFERROR(IF([1]对账明细接口!$G$328=0,"",[1]对账明细接口!$G$328),"")</f>
        <v>西梅一级</v>
      </c>
      <c r="H328" s="17">
        <f>IFERROR(IF([1]对账明细接口!$H$328=0,"",[1]对账明细接口!$H$328),"")</f>
        <v>773</v>
      </c>
      <c r="I328" s="16" t="str">
        <f>IFERROR(IF([1]对账明细接口!$I$328=0,"",[1]对账明细接口!$I$328),"")</f>
        <v>筐</v>
      </c>
      <c r="J328" s="18">
        <f>IFERROR(IF([1]对账明细接口!$J$328=0,"",[1]对账明细接口!$J$328),"")</f>
        <v>5411</v>
      </c>
      <c r="K328" s="18" t="str">
        <f>IFERROR(IF([1]对账明细接口!$K$328=0,"",[1]对账明细接口!$K$328),"")</f>
        <v/>
      </c>
      <c r="L328" s="16" t="str">
        <f>IFERROR(IF([1]对账明细接口!$L$328=0,"",[1]对账明细接口!$L$328),"")</f>
        <v/>
      </c>
      <c r="M328" s="16" t="str">
        <f>IFERROR(IF([1]对账明细接口!$M$328=0,"",[1]对账明细接口!$M$328),"")</f>
        <v/>
      </c>
      <c r="N328" s="19">
        <f t="shared" si="10"/>
        <v>1</v>
      </c>
      <c r="O328" s="19">
        <f t="shared" si="11"/>
        <v>325</v>
      </c>
      <c r="S328" s="20" t="str">
        <f>IFERROR(IF([1]对账明细接口!$N328=0,"",[1]对账明细接口!$N328),"")</f>
        <v>自备一次性筐</v>
      </c>
      <c r="T328" s="21">
        <f>IFERROR(IF([1]对账明细接口!$O328=0,"",[1]对账明细接口!$O328),"")</f>
        <v>773</v>
      </c>
      <c r="U328" s="21" t="str">
        <f>IFERROR(IF([1]对账明细接口!$P328=0,"",[1]对账明细接口!$P328),"")</f>
        <v/>
      </c>
      <c r="V328" s="21" t="str">
        <f>IFERROR(IF([1]对账明细接口!$Q328=0,"",[1]对账明细接口!$Q328),"")</f>
        <v/>
      </c>
      <c r="W328" s="20" t="str">
        <f>IFERROR(IF([1]对账明细接口!$R328=0,"",[1]对账明细接口!$R328),"")</f>
        <v>鲁G*BJ206</v>
      </c>
      <c r="X328" s="20" t="str">
        <f>IFERROR(IF([1]对账明细接口!$S328=0,"",[1]对账明细接口!$S328),"")</f>
        <v>自备筐</v>
      </c>
      <c r="Y328" s="20" t="str">
        <f>IFERROR(IF([1]对账明细接口!$T328=0,"",[1]对账明细接口!$T328),"")</f>
        <v/>
      </c>
      <c r="Z328" s="24" t="str">
        <f>IFERROR(IF([1]对账明细接口!$U328=0,"",[1]对账明细接口!$U328),"")</f>
        <v/>
      </c>
      <c r="AA328" s="24" t="str">
        <f>IFERROR(IF([1]对账明细接口!$V328=0,"",[1]对账明细接口!$V328),"")</f>
        <v/>
      </c>
      <c r="AB328" s="20" t="str">
        <f>IFERROR(IF([1]对账明细接口!$W328=0,"",[1]对账明细接口!$W328),"")</f>
        <v/>
      </c>
      <c r="AC328" s="7" t="str">
        <f>IFERROR(IF([1]对账明细接口!$X328=0,"",[1]对账明细接口!$X328),"")</f>
        <v/>
      </c>
      <c r="AD328" s="7" t="str">
        <f>IFERROR(IF([1]对账明细接口!$Y328=0,"",[1]对账明细接口!$Y328),"")</f>
        <v/>
      </c>
      <c r="AE328" s="7" t="str">
        <f>IFERROR(IF([1]对账明细接口!$AA328=0,"",[1]对账明细接口!$AA328),"")</f>
        <v/>
      </c>
      <c r="AF328" s="7" t="str">
        <f>IFERROR(IF([1]对账明细接口!$AB328=0,"",[1]对账明细接口!$AB328),"")</f>
        <v/>
      </c>
      <c r="AG328" s="7" t="str">
        <f>IFERROR(IF([1]对账明细接口!$AC328=0,"",[1]对账明细接口!$AC328),"")</f>
        <v/>
      </c>
      <c r="AH328" s="7" t="str">
        <f>IFERROR(IF([1]对账明细接口!$AD328=0,"",[1]对账明细接口!$AD328),"")</f>
        <v/>
      </c>
      <c r="AI328" s="7" t="str">
        <f>IFERROR(IF([1]对账明细接口!$AE328=0,"",[1]对账明细接口!$AE328),"")</f>
        <v/>
      </c>
      <c r="AJ328" s="7" t="str">
        <f>IFERROR(IF([1]对账明细接口!$AF328=0,"",[1]对账明细接口!$AF328),"")</f>
        <v/>
      </c>
    </row>
    <row r="329" ht="14.25" customHeight="1" spans="1:36">
      <c r="A329" s="14">
        <v>329</v>
      </c>
      <c r="B329" s="15">
        <f>IFERROR(IF([1]对账明细接口!$B$329=0,"",[1]对账明细接口!$B$329),"")</f>
        <v>46263</v>
      </c>
      <c r="C329" s="16" t="str">
        <f>IFERROR(IF([1]对账明细接口!$C$329=0,"",[1]对账明细接口!$C$329),"")</f>
        <v>聂新平</v>
      </c>
      <c r="D329" s="16" t="str">
        <f>IFERROR(IF([1]对账明细接口!$D$329=0,"",[1]对账明细接口!$D$329),"")</f>
        <v>原料出库－原筐出库</v>
      </c>
      <c r="E329" s="16" t="str">
        <f>IFERROR(IF([1]对账明细接口!$E$329=0,"",[1]对账明细接口!$E$329),"")</f>
        <v>NO:0001049</v>
      </c>
      <c r="F329" s="16" t="str">
        <f>IFERROR(IF([1]对账明细接口!$F$329=0,"",[1]对账明细接口!$F$329),"")</f>
        <v>西梅</v>
      </c>
      <c r="G329" s="16" t="str">
        <f>IFERROR(IF([1]对账明细接口!$G$329=0,"",[1]对账明细接口!$G$329),"")</f>
        <v>西梅二级</v>
      </c>
      <c r="H329" s="17">
        <f>IFERROR(IF([1]对账明细接口!$H$329=0,"",[1]对账明细接口!$H$329),"")</f>
        <v>423</v>
      </c>
      <c r="I329" s="16" t="str">
        <f>IFERROR(IF([1]对账明细接口!$I$329=0,"",[1]对账明细接口!$I$329),"")</f>
        <v>筐</v>
      </c>
      <c r="J329" s="18">
        <f>IFERROR(IF([1]对账明细接口!$J$329=0,"",[1]对账明细接口!$J$329),"")</f>
        <v>5076</v>
      </c>
      <c r="K329" s="18" t="str">
        <f>IFERROR(IF([1]对账明细接口!$K$329=0,"",[1]对账明细接口!$K$329),"")</f>
        <v/>
      </c>
      <c r="L329" s="16" t="str">
        <f>IFERROR(IF([1]对账明细接口!$L$329=0,"",[1]对账明细接口!$L$329),"")</f>
        <v/>
      </c>
      <c r="M329" s="16" t="str">
        <f>IFERROR(IF([1]对账明细接口!$M$329=0,"",[1]对账明细接口!$M$329),"")</f>
        <v/>
      </c>
      <c r="N329" s="19">
        <f t="shared" si="10"/>
        <v>1</v>
      </c>
      <c r="O329" s="19">
        <f t="shared" si="11"/>
        <v>326</v>
      </c>
      <c r="S329" s="20" t="str">
        <f>IFERROR(IF([1]对账明细接口!$N329=0,"",[1]对账明细接口!$N329),"")</f>
        <v>自备一次性筐</v>
      </c>
      <c r="T329" s="21">
        <f>IFERROR(IF([1]对账明细接口!$O329=0,"",[1]对账明细接口!$O329),"")</f>
        <v>423</v>
      </c>
      <c r="U329" s="21" t="str">
        <f>IFERROR(IF([1]对账明细接口!$P329=0,"",[1]对账明细接口!$P329),"")</f>
        <v/>
      </c>
      <c r="V329" s="21" t="str">
        <f>IFERROR(IF([1]对账明细接口!$Q329=0,"",[1]对账明细接口!$Q329),"")</f>
        <v/>
      </c>
      <c r="W329" s="20" t="str">
        <f>IFERROR(IF([1]对账明细接口!$R329=0,"",[1]对账明细接口!$R329),"")</f>
        <v>鲁G*BJ206</v>
      </c>
      <c r="X329" s="20" t="str">
        <f>IFERROR(IF([1]对账明细接口!$S329=0,"",[1]对账明细接口!$S329),"")</f>
        <v>自备筐</v>
      </c>
      <c r="Y329" s="20" t="str">
        <f>IFERROR(IF([1]对账明细接口!$T329=0,"",[1]对账明细接口!$T329),"")</f>
        <v/>
      </c>
      <c r="Z329" s="24" t="str">
        <f>IFERROR(IF([1]对账明细接口!$U329=0,"",[1]对账明细接口!$U329),"")</f>
        <v/>
      </c>
      <c r="AA329" s="24" t="str">
        <f>IFERROR(IF([1]对账明细接口!$V329=0,"",[1]对账明细接口!$V329),"")</f>
        <v/>
      </c>
      <c r="AB329" s="20" t="str">
        <f>IFERROR(IF([1]对账明细接口!$W329=0,"",[1]对账明细接口!$W329),"")</f>
        <v/>
      </c>
      <c r="AC329" s="7" t="str">
        <f>IFERROR(IF([1]对账明细接口!$X329=0,"",[1]对账明细接口!$X329),"")</f>
        <v/>
      </c>
      <c r="AD329" s="7" t="str">
        <f>IFERROR(IF([1]对账明细接口!$Y329=0,"",[1]对账明细接口!$Y329),"")</f>
        <v/>
      </c>
      <c r="AE329" s="7" t="str">
        <f>IFERROR(IF([1]对账明细接口!$AA329=0,"",[1]对账明细接口!$AA329),"")</f>
        <v/>
      </c>
      <c r="AF329" s="7" t="str">
        <f>IFERROR(IF([1]对账明细接口!$AB329=0,"",[1]对账明细接口!$AB329),"")</f>
        <v/>
      </c>
      <c r="AG329" s="7" t="str">
        <f>IFERROR(IF([1]对账明细接口!$AC329=0,"",[1]对账明细接口!$AC329),"")</f>
        <v/>
      </c>
      <c r="AH329" s="7" t="str">
        <f>IFERROR(IF([1]对账明细接口!$AD329=0,"",[1]对账明细接口!$AD329),"")</f>
        <v/>
      </c>
      <c r="AI329" s="7" t="str">
        <f>IFERROR(IF([1]对账明细接口!$AE329=0,"",[1]对账明细接口!$AE329),"")</f>
        <v/>
      </c>
      <c r="AJ329" s="7" t="str">
        <f>IFERROR(IF([1]对账明细接口!$AF329=0,"",[1]对账明细接口!$AF329),"")</f>
        <v/>
      </c>
    </row>
    <row r="330" ht="14.25" customHeight="1" spans="1:36">
      <c r="A330" s="14">
        <v>330</v>
      </c>
      <c r="B330" s="15">
        <f>IFERROR(IF([1]对账明细接口!$B$330=0,"",[1]对账明细接口!$B$330),"")</f>
        <v>46272</v>
      </c>
      <c r="C330" s="16" t="str">
        <f>IFERROR(IF([1]对账明细接口!$C$330=0,"",[1]对账明细接口!$C$330),"")</f>
        <v>王照雪</v>
      </c>
      <c r="D330" s="16" t="str">
        <f>IFERROR(IF([1]对账明细接口!$D$330=0,"",[1]对账明细接口!$D$330),"")</f>
        <v>原料出库－原筐出库</v>
      </c>
      <c r="E330" s="16" t="str">
        <f>IFERROR(IF([1]对账明细接口!$E$330=0,"",[1]对账明细接口!$E$330),"")</f>
        <v>NO:0001091</v>
      </c>
      <c r="F330" s="16" t="str">
        <f>IFERROR(IF([1]对账明细接口!$F$330=0,"",[1]对账明细接口!$F$330),"")</f>
        <v>李子</v>
      </c>
      <c r="G330" s="16" t="str">
        <f>IFERROR(IF([1]对账明细接口!$G$330=0,"",[1]对账明细接口!$G$330),"")</f>
        <v>樱桃李</v>
      </c>
      <c r="H330" s="17">
        <f>IFERROR(IF([1]对账明细接口!$H$330=0,"",[1]对账明细接口!$H$330),"")</f>
        <v>19</v>
      </c>
      <c r="I330" s="16" t="str">
        <f>IFERROR(IF([1]对账明细接口!$I$330=0,"",[1]对账明细接口!$I$330),"")</f>
        <v>筐</v>
      </c>
      <c r="J330" s="18">
        <f>IFERROR(IF([1]对账明细接口!$J$330=0,"",[1]对账明细接口!$J$330),"")</f>
        <v>309.7</v>
      </c>
      <c r="K330" s="18" t="str">
        <f>IFERROR(IF([1]对账明细接口!$K$330=0,"",[1]对账明细接口!$K$330),"")</f>
        <v/>
      </c>
      <c r="L330" s="16" t="str">
        <f>IFERROR(IF([1]对账明细接口!$L$330=0,"",[1]对账明细接口!$L$330),"")</f>
        <v/>
      </c>
      <c r="M330" s="16" t="str">
        <f>IFERROR(IF([1]对账明细接口!$M$330=0,"",[1]对账明细接口!$M$330),"")</f>
        <v>樱桃李全部出库</v>
      </c>
      <c r="N330" s="19">
        <f t="shared" si="10"/>
        <v>1</v>
      </c>
      <c r="O330" s="19">
        <f t="shared" si="11"/>
        <v>327</v>
      </c>
      <c r="S330" s="20" t="str">
        <f>IFERROR(IF([1]对账明细接口!$N330=0,"",[1]对账明细接口!$N330),"")</f>
        <v>自备一次性筐</v>
      </c>
      <c r="T330" s="21">
        <f>IFERROR(IF([1]对账明细接口!$O330=0,"",[1]对账明细接口!$O330),"")</f>
        <v>19</v>
      </c>
      <c r="U330" s="21" t="str">
        <f>IFERROR(IF([1]对账明细接口!$P330=0,"",[1]对账明细接口!$P330),"")</f>
        <v/>
      </c>
      <c r="V330" s="21" t="str">
        <f>IFERROR(IF([1]对账明细接口!$Q330=0,"",[1]对账明细接口!$Q330),"")</f>
        <v/>
      </c>
      <c r="W330" s="20" t="str">
        <f>IFERROR(IF([1]对账明细接口!$R330=0,"",[1]对账明细接口!$R330),"")</f>
        <v>自提</v>
      </c>
      <c r="X330" s="20" t="str">
        <f>IFERROR(IF([1]对账明细接口!$S330=0,"",[1]对账明细接口!$S330),"")</f>
        <v>自备筐</v>
      </c>
      <c r="Y330" s="20" t="str">
        <f>IFERROR(IF([1]对账明细接口!$T330=0,"",[1]对账明细接口!$T330),"")</f>
        <v/>
      </c>
      <c r="Z330" s="24" t="str">
        <f>IFERROR(IF([1]对账明细接口!$U330=0,"",[1]对账明细接口!$U330),"")</f>
        <v/>
      </c>
      <c r="AA330" s="24" t="str">
        <f>IFERROR(IF([1]对账明细接口!$V330=0,"",[1]对账明细接口!$V330),"")</f>
        <v/>
      </c>
      <c r="AB330" s="20" t="str">
        <f>IFERROR(IF([1]对账明细接口!$W330=0,"",[1]对账明细接口!$W330),"")</f>
        <v/>
      </c>
      <c r="AC330" s="7" t="str">
        <f>IFERROR(IF([1]对账明细接口!$X330=0,"",[1]对账明细接口!$X330),"")</f>
        <v/>
      </c>
      <c r="AD330" s="7" t="str">
        <f>IFERROR(IF([1]对账明细接口!$Y330=0,"",[1]对账明细接口!$Y330),"")</f>
        <v/>
      </c>
      <c r="AE330" s="7" t="str">
        <f>IFERROR(IF([1]对账明细接口!$AA330=0,"",[1]对账明细接口!$AA330),"")</f>
        <v/>
      </c>
      <c r="AF330" s="7" t="str">
        <f>IFERROR(IF([1]对账明细接口!$AB330=0,"",[1]对账明细接口!$AB330),"")</f>
        <v/>
      </c>
      <c r="AG330" s="7" t="str">
        <f>IFERROR(IF([1]对账明细接口!$AC330=0,"",[1]对账明细接口!$AC330),"")</f>
        <v/>
      </c>
      <c r="AH330" s="7" t="str">
        <f>IFERROR(IF([1]对账明细接口!$AD330=0,"",[1]对账明细接口!$AD330),"")</f>
        <v/>
      </c>
      <c r="AI330" s="7" t="str">
        <f>IFERROR(IF([1]对账明细接口!$AE330=0,"",[1]对账明细接口!$AE330),"")</f>
        <v/>
      </c>
      <c r="AJ330" s="7" t="str">
        <f>IFERROR(IF([1]对账明细接口!$AF330=0,"",[1]对账明细接口!$AF330),"")</f>
        <v/>
      </c>
    </row>
    <row r="331" ht="14.25" customHeight="1" spans="1:36">
      <c r="A331" s="14">
        <v>331</v>
      </c>
      <c r="B331" s="15">
        <f>IFERROR(IF([1]对账明细接口!$B$331=0,"",[1]对账明细接口!$B$331),"")</f>
        <v>46273</v>
      </c>
      <c r="C331" s="16" t="str">
        <f>IFERROR(IF([1]对账明细接口!$C$331=0,"",[1]对账明细接口!$C$331),"")</f>
        <v>聂新平</v>
      </c>
      <c r="D331" s="16" t="str">
        <f>IFERROR(IF([1]对账明细接口!$D$331=0,"",[1]对账明细接口!$D$331),"")</f>
        <v>原料出库－原筐出库</v>
      </c>
      <c r="E331" s="16" t="str">
        <f>IFERROR(IF([1]对账明细接口!$E$331=0,"",[1]对账明细接口!$E$331),"")</f>
        <v>NO:0001096</v>
      </c>
      <c r="F331" s="16" t="str">
        <f>IFERROR(IF([1]对账明细接口!$F$331=0,"",[1]对账明细接口!$F$331),"")</f>
        <v>西梅</v>
      </c>
      <c r="G331" s="16" t="str">
        <f>IFERROR(IF([1]对账明细接口!$G$331=0,"",[1]对账明细接口!$G$331),"")</f>
        <v>西梅二级</v>
      </c>
      <c r="H331" s="17">
        <f>IFERROR(IF([1]对账明细接口!$H$331=0,"",[1]对账明细接口!$H$331),"")</f>
        <v>64</v>
      </c>
      <c r="I331" s="16" t="str">
        <f>IFERROR(IF([1]对账明细接口!$I$331=0,"",[1]对账明细接口!$I$331),"")</f>
        <v>筐</v>
      </c>
      <c r="J331" s="18">
        <f>IFERROR(IF([1]对账明细接口!$J$331=0,"",[1]对账明细接口!$J$331),"")</f>
        <v>576</v>
      </c>
      <c r="K331" s="18" t="str">
        <f>IFERROR(IF([1]对账明细接口!$K$331=0,"",[1]对账明细接口!$K$331),"")</f>
        <v/>
      </c>
      <c r="L331" s="16" t="str">
        <f>IFERROR(IF([1]对账明细接口!$L$331=0,"",[1]对账明细接口!$L$331),"")</f>
        <v/>
      </c>
      <c r="M331" s="16" t="str">
        <f>IFERROR(IF([1]对账明细接口!$M$331=0,"",[1]对账明细接口!$M$331),"")</f>
        <v/>
      </c>
      <c r="N331" s="19">
        <f t="shared" si="10"/>
        <v>1</v>
      </c>
      <c r="O331" s="19">
        <f t="shared" si="11"/>
        <v>328</v>
      </c>
      <c r="S331" s="20" t="str">
        <f>IFERROR(IF([1]对账明细接口!$N331=0,"",[1]对账明细接口!$N331),"")</f>
        <v>自备一次性筐</v>
      </c>
      <c r="T331" s="21">
        <f>IFERROR(IF([1]对账明细接口!$O331=0,"",[1]对账明细接口!$O331),"")</f>
        <v>64</v>
      </c>
      <c r="U331" s="21" t="str">
        <f>IFERROR(IF([1]对账明细接口!$P331=0,"",[1]对账明细接口!$P331),"")</f>
        <v/>
      </c>
      <c r="V331" s="21" t="str">
        <f>IFERROR(IF([1]对账明细接口!$Q331=0,"",[1]对账明细接口!$Q331),"")</f>
        <v/>
      </c>
      <c r="W331" s="20" t="str">
        <f>IFERROR(IF([1]对账明细接口!$R331=0,"",[1]对账明细接口!$R331),"")</f>
        <v>吉A*ZM856</v>
      </c>
      <c r="X331" s="20" t="str">
        <f>IFERROR(IF([1]对账明细接口!$S331=0,"",[1]对账明细接口!$S331),"")</f>
        <v>自备筐</v>
      </c>
      <c r="Y331" s="20" t="str">
        <f>IFERROR(IF([1]对账明细接口!$T331=0,"",[1]对账明细接口!$T331),"")</f>
        <v/>
      </c>
      <c r="Z331" s="24" t="str">
        <f>IFERROR(IF([1]对账明细接口!$U331=0,"",[1]对账明细接口!$U331),"")</f>
        <v/>
      </c>
      <c r="AA331" s="24" t="str">
        <f>IFERROR(IF([1]对账明细接口!$V331=0,"",[1]对账明细接口!$V331),"")</f>
        <v/>
      </c>
      <c r="AB331" s="20" t="str">
        <f>IFERROR(IF([1]对账明细接口!$W331=0,"",[1]对账明细接口!$W331),"")</f>
        <v/>
      </c>
      <c r="AC331" s="7" t="str">
        <f>IFERROR(IF([1]对账明细接口!$X331=0,"",[1]对账明细接口!$X331),"")</f>
        <v/>
      </c>
      <c r="AD331" s="7" t="str">
        <f>IFERROR(IF([1]对账明细接口!$Y331=0,"",[1]对账明细接口!$Y331),"")</f>
        <v/>
      </c>
      <c r="AE331" s="7" t="str">
        <f>IFERROR(IF([1]对账明细接口!$AA331=0,"",[1]对账明细接口!$AA331),"")</f>
        <v/>
      </c>
      <c r="AF331" s="7" t="str">
        <f>IFERROR(IF([1]对账明细接口!$AB331=0,"",[1]对账明细接口!$AB331),"")</f>
        <v/>
      </c>
      <c r="AG331" s="7" t="str">
        <f>IFERROR(IF([1]对账明细接口!$AC331=0,"",[1]对账明细接口!$AC331),"")</f>
        <v/>
      </c>
      <c r="AH331" s="7" t="str">
        <f>IFERROR(IF([1]对账明细接口!$AD331=0,"",[1]对账明细接口!$AD331),"")</f>
        <v/>
      </c>
      <c r="AI331" s="7" t="str">
        <f>IFERROR(IF([1]对账明细接口!$AE331=0,"",[1]对账明细接口!$AE331),"")</f>
        <v/>
      </c>
      <c r="AJ331" s="7" t="str">
        <f>IFERROR(IF([1]对账明细接口!$AF331=0,"",[1]对账明细接口!$AF331),"")</f>
        <v/>
      </c>
    </row>
    <row r="332" ht="14.25" customHeight="1" spans="1:36">
      <c r="A332" s="14">
        <v>332</v>
      </c>
      <c r="B332" s="15">
        <f>IFERROR(IF([1]对账明细接口!$B$332=0,"",[1]对账明细接口!$B$332),"")</f>
        <v>46273</v>
      </c>
      <c r="C332" s="16" t="str">
        <f>IFERROR(IF([1]对账明细接口!$C$332=0,"",[1]对账明细接口!$C$332),"")</f>
        <v>聂新平</v>
      </c>
      <c r="D332" s="16" t="str">
        <f>IFERROR(IF([1]对账明细接口!$D$332=0,"",[1]对账明细接口!$D$332),"")</f>
        <v>原料出库－原筐出库</v>
      </c>
      <c r="E332" s="16" t="str">
        <f>IFERROR(IF([1]对账明细接口!$E$332=0,"",[1]对账明细接口!$E$332),"")</f>
        <v>NO:0001096</v>
      </c>
      <c r="F332" s="16" t="str">
        <f>IFERROR(IF([1]对账明细接口!$F$332=0,"",[1]对账明细接口!$F$332),"")</f>
        <v>西梅</v>
      </c>
      <c r="G332" s="16" t="str">
        <f>IFERROR(IF([1]对账明细接口!$G$332=0,"",[1]对账明细接口!$G$332),"")</f>
        <v>西梅一级</v>
      </c>
      <c r="H332" s="17">
        <f>IFERROR(IF([1]对账明细接口!$H$332=0,"",[1]对账明细接口!$H$332),"")</f>
        <v>421</v>
      </c>
      <c r="I332" s="16" t="str">
        <f>IFERROR(IF([1]对账明细接口!$I$332=0,"",[1]对账明细接口!$I$332),"")</f>
        <v>筐</v>
      </c>
      <c r="J332" s="18">
        <f>IFERROR(IF([1]对账明细接口!$J$332=0,"",[1]对账明细接口!$J$332),"")</f>
        <v>2947</v>
      </c>
      <c r="K332" s="18" t="str">
        <f>IFERROR(IF([1]对账明细接口!$K$332=0,"",[1]对账明细接口!$K$332),"")</f>
        <v/>
      </c>
      <c r="L332" s="16" t="str">
        <f>IFERROR(IF([1]对账明细接口!$L$332=0,"",[1]对账明细接口!$L$332),"")</f>
        <v/>
      </c>
      <c r="M332" s="16" t="str">
        <f>IFERROR(IF([1]对账明细接口!$M$332=0,"",[1]对账明细接口!$M$332),"")</f>
        <v/>
      </c>
      <c r="N332" s="19">
        <f t="shared" si="10"/>
        <v>1</v>
      </c>
      <c r="O332" s="19">
        <f t="shared" si="11"/>
        <v>329</v>
      </c>
      <c r="S332" s="20" t="str">
        <f>IFERROR(IF([1]对账明细接口!$N332=0,"",[1]对账明细接口!$N332),"")</f>
        <v>自备一次性筐</v>
      </c>
      <c r="T332" s="21">
        <f>IFERROR(IF([1]对账明细接口!$O332=0,"",[1]对账明细接口!$O332),"")</f>
        <v>421</v>
      </c>
      <c r="U332" s="21" t="str">
        <f>IFERROR(IF([1]对账明细接口!$P332=0,"",[1]对账明细接口!$P332),"")</f>
        <v/>
      </c>
      <c r="V332" s="21" t="str">
        <f>IFERROR(IF([1]对账明细接口!$Q332=0,"",[1]对账明细接口!$Q332),"")</f>
        <v/>
      </c>
      <c r="W332" s="20" t="str">
        <f>IFERROR(IF([1]对账明细接口!$R332=0,"",[1]对账明细接口!$R332),"")</f>
        <v>吉A*ZM856</v>
      </c>
      <c r="X332" s="20" t="str">
        <f>IFERROR(IF([1]对账明细接口!$S332=0,"",[1]对账明细接口!$S332),"")</f>
        <v>自备筐</v>
      </c>
      <c r="Y332" s="20" t="str">
        <f>IFERROR(IF([1]对账明细接口!$T332=0,"",[1]对账明细接口!$T332),"")</f>
        <v/>
      </c>
      <c r="Z332" s="24" t="str">
        <f>IFERROR(IF([1]对账明细接口!$U332=0,"",[1]对账明细接口!$U332),"")</f>
        <v/>
      </c>
      <c r="AA332" s="24" t="str">
        <f>IFERROR(IF([1]对账明细接口!$V332=0,"",[1]对账明细接口!$V332),"")</f>
        <v/>
      </c>
      <c r="AB332" s="20" t="str">
        <f>IFERROR(IF([1]对账明细接口!$W332=0,"",[1]对账明细接口!$W332),"")</f>
        <v/>
      </c>
      <c r="AC332" s="7" t="str">
        <f>IFERROR(IF([1]对账明细接口!$X332=0,"",[1]对账明细接口!$X332),"")</f>
        <v/>
      </c>
      <c r="AD332" s="7" t="str">
        <f>IFERROR(IF([1]对账明细接口!$Y332=0,"",[1]对账明细接口!$Y332),"")</f>
        <v/>
      </c>
      <c r="AE332" s="7" t="str">
        <f>IFERROR(IF([1]对账明细接口!$AA332=0,"",[1]对账明细接口!$AA332),"")</f>
        <v/>
      </c>
      <c r="AF332" s="7" t="str">
        <f>IFERROR(IF([1]对账明细接口!$AB332=0,"",[1]对账明细接口!$AB332),"")</f>
        <v/>
      </c>
      <c r="AG332" s="7" t="str">
        <f>IFERROR(IF([1]对账明细接口!$AC332=0,"",[1]对账明细接口!$AC332),"")</f>
        <v/>
      </c>
      <c r="AH332" s="7" t="str">
        <f>IFERROR(IF([1]对账明细接口!$AD332=0,"",[1]对账明细接口!$AD332),"")</f>
        <v/>
      </c>
      <c r="AI332" s="7" t="str">
        <f>IFERROR(IF([1]对账明细接口!$AE332=0,"",[1]对账明细接口!$AE332),"")</f>
        <v/>
      </c>
      <c r="AJ332" s="7" t="str">
        <f>IFERROR(IF([1]对账明细接口!$AF332=0,"",[1]对账明细接口!$AF332),"")</f>
        <v/>
      </c>
    </row>
    <row r="333" ht="14.25" customHeight="1" spans="1:36">
      <c r="A333" s="14">
        <v>333</v>
      </c>
      <c r="B333" s="15">
        <f>IFERROR(IF([1]对账明细接口!$B$333=0,"",[1]对账明细接口!$B$333),"")</f>
        <v>46273</v>
      </c>
      <c r="C333" s="16" t="str">
        <f>IFERROR(IF([1]对账明细接口!$C$333=0,"",[1]对账明细接口!$C$333),"")</f>
        <v>聂新平</v>
      </c>
      <c r="D333" s="16" t="str">
        <f>IFERROR(IF([1]对账明细接口!$D$333=0,"",[1]对账明细接口!$D$333),"")</f>
        <v>原料出库－原筐出库</v>
      </c>
      <c r="E333" s="16" t="str">
        <f>IFERROR(IF([1]对账明细接口!$E$333=0,"",[1]对账明细接口!$E$333),"")</f>
        <v>NO:0001096</v>
      </c>
      <c r="F333" s="16" t="str">
        <f>IFERROR(IF([1]对账明细接口!$F$333=0,"",[1]对账明细接口!$F$333),"")</f>
        <v>西梅</v>
      </c>
      <c r="G333" s="16" t="str">
        <f>IFERROR(IF([1]对账明细接口!$G$333=0,"",[1]对账明细接口!$G$333),"")</f>
        <v>西梅二级</v>
      </c>
      <c r="H333" s="17">
        <f>IFERROR(IF([1]对账明细接口!$H$333=0,"",[1]对账明细接口!$H$333),"")</f>
        <v>330</v>
      </c>
      <c r="I333" s="16" t="str">
        <f>IFERROR(IF([1]对账明细接口!$I$333=0,"",[1]对账明细接口!$I$333),"")</f>
        <v>筐</v>
      </c>
      <c r="J333" s="18">
        <f>IFERROR(IF([1]对账明细接口!$J$333=0,"",[1]对账明细接口!$J$333),"")</f>
        <v>3960</v>
      </c>
      <c r="K333" s="18" t="str">
        <f>IFERROR(IF([1]对账明细接口!$K$333=0,"",[1]对账明细接口!$K$333),"")</f>
        <v/>
      </c>
      <c r="L333" s="16" t="str">
        <f>IFERROR(IF([1]对账明细接口!$L$333=0,"",[1]对账明细接口!$L$333),"")</f>
        <v/>
      </c>
      <c r="M333" s="16" t="str">
        <f>IFERROR(IF([1]对账明细接口!$M$333=0,"",[1]对账明细接口!$M$333),"")</f>
        <v/>
      </c>
      <c r="N333" s="19">
        <f t="shared" si="10"/>
        <v>1</v>
      </c>
      <c r="O333" s="19">
        <f t="shared" si="11"/>
        <v>330</v>
      </c>
      <c r="S333" s="20" t="str">
        <f>IFERROR(IF([1]对账明细接口!$N333=0,"",[1]对账明细接口!$N333),"")</f>
        <v>自备一次性筐</v>
      </c>
      <c r="T333" s="21">
        <f>IFERROR(IF([1]对账明细接口!$O333=0,"",[1]对账明细接口!$O333),"")</f>
        <v>330</v>
      </c>
      <c r="U333" s="21" t="str">
        <f>IFERROR(IF([1]对账明细接口!$P333=0,"",[1]对账明细接口!$P333),"")</f>
        <v/>
      </c>
      <c r="V333" s="21" t="str">
        <f>IFERROR(IF([1]对账明细接口!$Q333=0,"",[1]对账明细接口!$Q333),"")</f>
        <v/>
      </c>
      <c r="W333" s="20" t="str">
        <f>IFERROR(IF([1]对账明细接口!$R333=0,"",[1]对账明细接口!$R333),"")</f>
        <v>吉A*ZM856</v>
      </c>
      <c r="X333" s="20" t="str">
        <f>IFERROR(IF([1]对账明细接口!$S333=0,"",[1]对账明细接口!$S333),"")</f>
        <v>自备筐</v>
      </c>
      <c r="Y333" s="20" t="str">
        <f>IFERROR(IF([1]对账明细接口!$T333=0,"",[1]对账明细接口!$T333),"")</f>
        <v/>
      </c>
      <c r="Z333" s="24" t="str">
        <f>IFERROR(IF([1]对账明细接口!$U333=0,"",[1]对账明细接口!$U333),"")</f>
        <v/>
      </c>
      <c r="AA333" s="24" t="str">
        <f>IFERROR(IF([1]对账明细接口!$V333=0,"",[1]对账明细接口!$V333),"")</f>
        <v/>
      </c>
      <c r="AB333" s="20" t="str">
        <f>IFERROR(IF([1]对账明细接口!$W333=0,"",[1]对账明细接口!$W333),"")</f>
        <v/>
      </c>
      <c r="AC333" s="7" t="str">
        <f>IFERROR(IF([1]对账明细接口!$X333=0,"",[1]对账明细接口!$X333),"")</f>
        <v/>
      </c>
      <c r="AD333" s="7" t="str">
        <f>IFERROR(IF([1]对账明细接口!$Y333=0,"",[1]对账明细接口!$Y333),"")</f>
        <v/>
      </c>
      <c r="AE333" s="7" t="str">
        <f>IFERROR(IF([1]对账明细接口!$AA333=0,"",[1]对账明细接口!$AA333),"")</f>
        <v/>
      </c>
      <c r="AF333" s="7" t="str">
        <f>IFERROR(IF([1]对账明细接口!$AB333=0,"",[1]对账明细接口!$AB333),"")</f>
        <v/>
      </c>
      <c r="AG333" s="7" t="str">
        <f>IFERROR(IF([1]对账明细接口!$AC333=0,"",[1]对账明细接口!$AC333),"")</f>
        <v/>
      </c>
      <c r="AH333" s="7" t="str">
        <f>IFERROR(IF([1]对账明细接口!$AD333=0,"",[1]对账明细接口!$AD333),"")</f>
        <v/>
      </c>
      <c r="AI333" s="7" t="str">
        <f>IFERROR(IF([1]对账明细接口!$AE333=0,"",[1]对账明细接口!$AE333),"")</f>
        <v/>
      </c>
      <c r="AJ333" s="7" t="str">
        <f>IFERROR(IF([1]对账明细接口!$AF333=0,"",[1]对账明细接口!$AF333),"")</f>
        <v/>
      </c>
    </row>
    <row r="334" ht="14.25" customHeight="1" spans="1:36">
      <c r="A334" s="14">
        <v>334</v>
      </c>
      <c r="B334" s="15">
        <f>IFERROR(IF([1]对账明细接口!$B$334=0,"",[1]对账明细接口!$B$334),"")</f>
        <v>46273</v>
      </c>
      <c r="C334" s="16" t="str">
        <f>IFERROR(IF([1]对账明细接口!$C$334=0,"",[1]对账明细接口!$C$334),"")</f>
        <v>聂新平</v>
      </c>
      <c r="D334" s="16" t="str">
        <f>IFERROR(IF([1]对账明细接口!$D$334=0,"",[1]对账明细接口!$D$334),"")</f>
        <v>原料出库－原筐出库</v>
      </c>
      <c r="E334" s="16" t="str">
        <f>IFERROR(IF([1]对账明细接口!$E$334=0,"",[1]对账明细接口!$E$334),"")</f>
        <v>NO:0001096</v>
      </c>
      <c r="F334" s="16" t="str">
        <f>IFERROR(IF([1]对账明细接口!$F$334=0,"",[1]对账明细接口!$F$334),"")</f>
        <v>西梅</v>
      </c>
      <c r="G334" s="16" t="str">
        <f>IFERROR(IF([1]对账明细接口!$G$334=0,"",[1]对账明细接口!$G$334),"")</f>
        <v>西梅二级</v>
      </c>
      <c r="H334" s="17">
        <f>IFERROR(IF([1]对账明细接口!$H$334=0,"",[1]对账明细接口!$H$334),"")</f>
        <v>2538</v>
      </c>
      <c r="I334" s="16" t="str">
        <f>IFERROR(IF([1]对账明细接口!$I$334=0,"",[1]对账明细接口!$I$334),"")</f>
        <v>筐</v>
      </c>
      <c r="J334" s="18">
        <f>IFERROR(IF([1]对账明细接口!$J$334=0,"",[1]对账明细接口!$J$334),"")</f>
        <v>5076</v>
      </c>
      <c r="K334" s="18" t="str">
        <f>IFERROR(IF([1]对账明细接口!$K$334=0,"",[1]对账明细接口!$K$334),"")</f>
        <v/>
      </c>
      <c r="L334" s="16" t="str">
        <f>IFERROR(IF([1]对账明细接口!$L$334=0,"",[1]对账明细接口!$L$334),"")</f>
        <v/>
      </c>
      <c r="M334" s="16" t="str">
        <f>IFERROR(IF([1]对账明细接口!$M$334=0,"",[1]对账明细接口!$M$334),"")</f>
        <v/>
      </c>
      <c r="N334" s="19">
        <f t="shared" si="10"/>
        <v>1</v>
      </c>
      <c r="O334" s="19">
        <f t="shared" si="11"/>
        <v>331</v>
      </c>
      <c r="S334" s="20" t="str">
        <f>IFERROR(IF([1]对账明细接口!$N334=0,"",[1]对账明细接口!$N334),"")</f>
        <v>自备一次性筐</v>
      </c>
      <c r="T334" s="21">
        <f>IFERROR(IF([1]对账明细接口!$O334=0,"",[1]对账明细接口!$O334),"")</f>
        <v>2538</v>
      </c>
      <c r="U334" s="21" t="str">
        <f>IFERROR(IF([1]对账明细接口!$P334=0,"",[1]对账明细接口!$P334),"")</f>
        <v/>
      </c>
      <c r="V334" s="21" t="str">
        <f>IFERROR(IF([1]对账明细接口!$Q334=0,"",[1]对账明细接口!$Q334),"")</f>
        <v/>
      </c>
      <c r="W334" s="20" t="str">
        <f>IFERROR(IF([1]对账明细接口!$R334=0,"",[1]对账明细接口!$R334),"")</f>
        <v>吉A*ZM856</v>
      </c>
      <c r="X334" s="20" t="str">
        <f>IFERROR(IF([1]对账明细接口!$S334=0,"",[1]对账明细接口!$S334),"")</f>
        <v>自备筐</v>
      </c>
      <c r="Y334" s="20" t="str">
        <f>IFERROR(IF([1]对账明细接口!$T334=0,"",[1]对账明细接口!$T334),"")</f>
        <v/>
      </c>
      <c r="Z334" s="24" t="str">
        <f>IFERROR(IF([1]对账明细接口!$U334=0,"",[1]对账明细接口!$U334),"")</f>
        <v/>
      </c>
      <c r="AA334" s="24" t="str">
        <f>IFERROR(IF([1]对账明细接口!$V334=0,"",[1]对账明细接口!$V334),"")</f>
        <v/>
      </c>
      <c r="AB334" s="20" t="str">
        <f>IFERROR(IF([1]对账明细接口!$W334=0,"",[1]对账明细接口!$W334),"")</f>
        <v/>
      </c>
      <c r="AC334" s="7" t="str">
        <f>IFERROR(IF([1]对账明细接口!$X334=0,"",[1]对账明细接口!$X334),"")</f>
        <v/>
      </c>
      <c r="AD334" s="7" t="str">
        <f>IFERROR(IF([1]对账明细接口!$Y334=0,"",[1]对账明细接口!$Y334),"")</f>
        <v/>
      </c>
      <c r="AE334" s="7" t="str">
        <f>IFERROR(IF([1]对账明细接口!$AA334=0,"",[1]对账明细接口!$AA334),"")</f>
        <v/>
      </c>
      <c r="AF334" s="7" t="str">
        <f>IFERROR(IF([1]对账明细接口!$AB334=0,"",[1]对账明细接口!$AB334),"")</f>
        <v/>
      </c>
      <c r="AG334" s="7" t="str">
        <f>IFERROR(IF([1]对账明细接口!$AC334=0,"",[1]对账明细接口!$AC334),"")</f>
        <v/>
      </c>
      <c r="AH334" s="7" t="str">
        <f>IFERROR(IF([1]对账明细接口!$AD334=0,"",[1]对账明细接口!$AD334),"")</f>
        <v/>
      </c>
      <c r="AI334" s="7" t="str">
        <f>IFERROR(IF([1]对账明细接口!$AE334=0,"",[1]对账明细接口!$AE334),"")</f>
        <v/>
      </c>
      <c r="AJ334" s="7" t="str">
        <f>IFERROR(IF([1]对账明细接口!$AF334=0,"",[1]对账明细接口!$AF334),"")</f>
        <v/>
      </c>
    </row>
    <row r="335" ht="14.25" customHeight="1" spans="1:36">
      <c r="A335" s="14">
        <v>335</v>
      </c>
      <c r="B335" s="15">
        <f>IFERROR(IF([1]对账明细接口!$B$335=0,"",[1]对账明细接口!$B$335),"")</f>
        <v>46273</v>
      </c>
      <c r="C335" s="16" t="str">
        <f>IFERROR(IF([1]对账明细接口!$C$335=0,"",[1]对账明细接口!$C$335),"")</f>
        <v>聂新平</v>
      </c>
      <c r="D335" s="16" t="str">
        <f>IFERROR(IF([1]对账明细接口!$D$335=0,"",[1]对账明细接口!$D$335),"")</f>
        <v>原料出库－原筐出库</v>
      </c>
      <c r="E335" s="16" t="str">
        <f>IFERROR(IF([1]对账明细接口!$E$335=0,"",[1]对账明细接口!$E$335),"")</f>
        <v>NO:0001096</v>
      </c>
      <c r="F335" s="16" t="str">
        <f>IFERROR(IF([1]对账明细接口!$F$335=0,"",[1]对账明细接口!$F$335),"")</f>
        <v>西梅</v>
      </c>
      <c r="G335" s="16" t="str">
        <f>IFERROR(IF([1]对账明细接口!$G$335=0,"",[1]对账明细接口!$G$335),"")</f>
        <v>西梅三级</v>
      </c>
      <c r="H335" s="17">
        <f>IFERROR(IF([1]对账明细接口!$H$335=0,"",[1]对账明细接口!$H$335),"")</f>
        <v>1238</v>
      </c>
      <c r="I335" s="16" t="str">
        <f>IFERROR(IF([1]对账明细接口!$I$335=0,"",[1]对账明细接口!$I$335),"")</f>
        <v>筐</v>
      </c>
      <c r="J335" s="18">
        <f>IFERROR(IF([1]对账明细接口!$J$335=0,"",[1]对账明细接口!$J$335),"")</f>
        <v>2476</v>
      </c>
      <c r="K335" s="18" t="str">
        <f>IFERROR(IF([1]对账明细接口!$K$335=0,"",[1]对账明细接口!$K$335),"")</f>
        <v/>
      </c>
      <c r="L335" s="16" t="str">
        <f>IFERROR(IF([1]对账明细接口!$L$335=0,"",[1]对账明细接口!$L$335),"")</f>
        <v/>
      </c>
      <c r="M335" s="16" t="str">
        <f>IFERROR(IF([1]对账明细接口!$M$335=0,"",[1]对账明细接口!$M$335),"")</f>
        <v/>
      </c>
      <c r="N335" s="19">
        <f t="shared" si="10"/>
        <v>1</v>
      </c>
      <c r="O335" s="19">
        <f t="shared" si="11"/>
        <v>332</v>
      </c>
      <c r="S335" s="20" t="str">
        <f>IFERROR(IF([1]对账明细接口!$N335=0,"",[1]对账明细接口!$N335),"")</f>
        <v>自备一次性筐</v>
      </c>
      <c r="T335" s="21">
        <f>IFERROR(IF([1]对账明细接口!$O335=0,"",[1]对账明细接口!$O335),"")</f>
        <v>1238</v>
      </c>
      <c r="U335" s="21" t="str">
        <f>IFERROR(IF([1]对账明细接口!$P335=0,"",[1]对账明细接口!$P335),"")</f>
        <v/>
      </c>
      <c r="V335" s="21" t="str">
        <f>IFERROR(IF([1]对账明细接口!$Q335=0,"",[1]对账明细接口!$Q335),"")</f>
        <v/>
      </c>
      <c r="W335" s="20" t="str">
        <f>IFERROR(IF([1]对账明细接口!$R335=0,"",[1]对账明细接口!$R335),"")</f>
        <v>吉A*ZM856</v>
      </c>
      <c r="X335" s="20" t="str">
        <f>IFERROR(IF([1]对账明细接口!$S335=0,"",[1]对账明细接口!$S335),"")</f>
        <v>自备筐</v>
      </c>
      <c r="Y335" s="20" t="str">
        <f>IFERROR(IF([1]对账明细接口!$T335=0,"",[1]对账明细接口!$T335),"")</f>
        <v/>
      </c>
      <c r="Z335" s="24" t="str">
        <f>IFERROR(IF([1]对账明细接口!$U335=0,"",[1]对账明细接口!$U335),"")</f>
        <v/>
      </c>
      <c r="AA335" s="24" t="str">
        <f>IFERROR(IF([1]对账明细接口!$V335=0,"",[1]对账明细接口!$V335),"")</f>
        <v/>
      </c>
      <c r="AB335" s="20" t="str">
        <f>IFERROR(IF([1]对账明细接口!$W335=0,"",[1]对账明细接口!$W335),"")</f>
        <v/>
      </c>
      <c r="AC335" s="7" t="str">
        <f>IFERROR(IF([1]对账明细接口!$X335=0,"",[1]对账明细接口!$X335),"")</f>
        <v/>
      </c>
      <c r="AD335" s="7" t="str">
        <f>IFERROR(IF([1]对账明细接口!$Y335=0,"",[1]对账明细接口!$Y335),"")</f>
        <v/>
      </c>
      <c r="AE335" s="7" t="str">
        <f>IFERROR(IF([1]对账明细接口!$AA335=0,"",[1]对账明细接口!$AA335),"")</f>
        <v/>
      </c>
      <c r="AF335" s="7" t="str">
        <f>IFERROR(IF([1]对账明细接口!$AB335=0,"",[1]对账明细接口!$AB335),"")</f>
        <v/>
      </c>
      <c r="AG335" s="7" t="str">
        <f>IFERROR(IF([1]对账明细接口!$AC335=0,"",[1]对账明细接口!$AC335),"")</f>
        <v/>
      </c>
      <c r="AH335" s="7" t="str">
        <f>IFERROR(IF([1]对账明细接口!$AD335=0,"",[1]对账明细接口!$AD335),"")</f>
        <v/>
      </c>
      <c r="AI335" s="7" t="str">
        <f>IFERROR(IF([1]对账明细接口!$AE335=0,"",[1]对账明细接口!$AE335),"")</f>
        <v/>
      </c>
      <c r="AJ335" s="7" t="str">
        <f>IFERROR(IF([1]对账明细接口!$AF335=0,"",[1]对账明细接口!$AF335),"")</f>
        <v/>
      </c>
    </row>
    <row r="336" ht="14.25" customHeight="1" spans="1:36">
      <c r="A336" s="14">
        <v>336</v>
      </c>
      <c r="B336" s="15">
        <f>IFERROR(IF([1]对账明细接口!$B$336=0,"",[1]对账明细接口!$B$336),"")</f>
        <v>46274</v>
      </c>
      <c r="C336" s="16" t="str">
        <f>IFERROR(IF([1]对账明细接口!$C$336=0,"",[1]对账明细接口!$C$336),"")</f>
        <v>王照雪</v>
      </c>
      <c r="D336" s="16" t="str">
        <f>IFERROR(IF([1]对账明细接口!$D$336=0,"",[1]对账明细接口!$D$336),"")</f>
        <v>原料出库－出库加工</v>
      </c>
      <c r="E336" s="16" t="str">
        <f>IFERROR(IF([1]对账明细接口!$E$336=0,"",[1]对账明细接口!$E$336),"")</f>
        <v>NO:0001101</v>
      </c>
      <c r="F336" s="16" t="str">
        <f>IFERROR(IF([1]对账明细接口!$F$336=0,"",[1]对账明细接口!$F$336),"")</f>
        <v>苹果</v>
      </c>
      <c r="G336" s="16" t="str">
        <f>IFERROR(IF([1]对账明细接口!$G$336=0,"",[1]对账明细接口!$G$336),"")</f>
        <v>华硕高次</v>
      </c>
      <c r="H336" s="17">
        <f>IFERROR(IF([1]对账明细接口!$H$336=0,"",[1]对账明细接口!$H$336),"")</f>
        <v>129</v>
      </c>
      <c r="I336" s="16" t="str">
        <f>IFERROR(IF([1]对账明细接口!$I$336=0,"",[1]对账明细接口!$I$336),"")</f>
        <v>筐</v>
      </c>
      <c r="J336" s="18" t="str">
        <f>IFERROR(IF([1]对账明细接口!$J$336=0,"",[1]对账明细接口!$J$336),"")</f>
        <v/>
      </c>
      <c r="K336" s="18" t="str">
        <f>IFERROR(IF([1]对账明细接口!$K$336=0,"",[1]对账明细接口!$K$336),"")</f>
        <v/>
      </c>
      <c r="L336" s="16" t="str">
        <f>IFERROR(IF([1]对账明细接口!$L$336=0,"",[1]对账明细接口!$L$336),"")</f>
        <v/>
      </c>
      <c r="M336" s="16" t="str">
        <f>IFERROR(IF([1]对账明细接口!$M$336=0,"",[1]对账明细接口!$M$336),"")</f>
        <v>华硕原料全部出库</v>
      </c>
      <c r="N336" s="19">
        <f t="shared" si="10"/>
        <v>1</v>
      </c>
      <c r="O336" s="19">
        <f t="shared" si="11"/>
        <v>333</v>
      </c>
      <c r="S336" s="20" t="str">
        <f>IFERROR(IF([1]对账明细接口!$N336=0,"",[1]对账明细接口!$N336),"")</f>
        <v/>
      </c>
      <c r="T336" s="21" t="str">
        <f>IFERROR(IF([1]对账明细接口!$O336=0,"",[1]对账明细接口!$O336),"")</f>
        <v/>
      </c>
      <c r="U336" s="21" t="str">
        <f>IFERROR(IF([1]对账明细接口!$P336=0,"",[1]对账明细接口!$P336),"")</f>
        <v/>
      </c>
      <c r="V336" s="21" t="str">
        <f>IFERROR(IF([1]对账明细接口!$Q336=0,"",[1]对账明细接口!$Q336),"")</f>
        <v/>
      </c>
      <c r="W336" s="20" t="str">
        <f>IFERROR(IF([1]对账明细接口!$R336=0,"",[1]对账明细接口!$R336),"")</f>
        <v/>
      </c>
      <c r="X336" s="20" t="str">
        <f>IFERROR(IF([1]对账明细接口!$S336=0,"",[1]对账明细接口!$S336),"")</f>
        <v/>
      </c>
      <c r="Y336" s="20" t="str">
        <f>IFERROR(IF([1]对账明细接口!$T336=0,"",[1]对账明细接口!$T336),"")</f>
        <v/>
      </c>
      <c r="Z336" s="24" t="str">
        <f>IFERROR(IF([1]对账明细接口!$U336=0,"",[1]对账明细接口!$U336),"")</f>
        <v/>
      </c>
      <c r="AA336" s="24" t="str">
        <f>IFERROR(IF([1]对账明细接口!$V336=0,"",[1]对账明细接口!$V336),"")</f>
        <v/>
      </c>
      <c r="AB336" s="20" t="str">
        <f>IFERROR(IF([1]对账明细接口!$W336=0,"",[1]对账明细接口!$W336),"")</f>
        <v/>
      </c>
      <c r="AC336" s="7" t="str">
        <f>IFERROR(IF([1]对账明细接口!$X336=0,"",[1]对账明细接口!$X336),"")</f>
        <v/>
      </c>
      <c r="AD336" s="7" t="str">
        <f>IFERROR(IF([1]对账明细接口!$Y336=0,"",[1]对账明细接口!$Y336),"")</f>
        <v/>
      </c>
      <c r="AE336" s="7" t="str">
        <f>IFERROR(IF([1]对账明细接口!$AA336=0,"",[1]对账明细接口!$AA336),"")</f>
        <v/>
      </c>
      <c r="AF336" s="7" t="str">
        <f>IFERROR(IF([1]对账明细接口!$AB336=0,"",[1]对账明细接口!$AB336),"")</f>
        <v/>
      </c>
      <c r="AG336" s="7" t="str">
        <f>IFERROR(IF([1]对账明细接口!$AC336=0,"",[1]对账明细接口!$AC336),"")</f>
        <v/>
      </c>
      <c r="AH336" s="7" t="str">
        <f>IFERROR(IF([1]对账明细接口!$AD336=0,"",[1]对账明细接口!$AD336),"")</f>
        <v/>
      </c>
      <c r="AI336" s="7" t="str">
        <f>IFERROR(IF([1]对账明细接口!$AE336=0,"",[1]对账明细接口!$AE336),"")</f>
        <v/>
      </c>
      <c r="AJ336" s="7" t="str">
        <f>IFERROR(IF([1]对账明细接口!$AF336=0,"",[1]对账明细接口!$AF336),"")</f>
        <v/>
      </c>
    </row>
    <row r="337" ht="14.25" customHeight="1" spans="1:36">
      <c r="A337" s="14">
        <v>337</v>
      </c>
      <c r="B337" s="15">
        <f>IFERROR(IF([1]对账明细接口!$B$337=0,"",[1]对账明细接口!$B$337),"")</f>
        <v>46274</v>
      </c>
      <c r="C337" s="16" t="str">
        <f>IFERROR(IF([1]对账明细接口!$C$337=0,"",[1]对账明细接口!$C$337),"")</f>
        <v>麦麦提</v>
      </c>
      <c r="D337" s="16" t="str">
        <f>IFERROR(IF([1]对账明细接口!$D$337=0,"",[1]对账明细接口!$D$337),"")</f>
        <v>原料出库－公司购买</v>
      </c>
      <c r="E337" s="16" t="str">
        <f>IFERROR(IF([1]对账明细接口!$E$337=0,"",[1]对账明细接口!$E$337),"")</f>
        <v>NO:0001103</v>
      </c>
      <c r="F337" s="16" t="str">
        <f>IFERROR(IF([1]对账明细接口!$F$337=0,"",[1]对账明细接口!$F$337),"")</f>
        <v>香梨</v>
      </c>
      <c r="G337" s="16" t="str">
        <f>IFERROR(IF([1]对账明细接口!$G$337=0,"",[1]对账明细接口!$G$337),"")</f>
        <v>香梨特级</v>
      </c>
      <c r="H337" s="17">
        <f>IFERROR(IF([1]对账明细接口!$H$337=0,"",[1]对账明细接口!$H$337),"")</f>
        <v>2</v>
      </c>
      <c r="I337" s="16" t="str">
        <f>IFERROR(IF([1]对账明细接口!$I$337=0,"",[1]对账明细接口!$I$337),"")</f>
        <v>筐</v>
      </c>
      <c r="J337" s="18" t="str">
        <f>IFERROR(IF([1]对账明细接口!$J$337=0,"",[1]对账明细接口!$J$337),"")</f>
        <v/>
      </c>
      <c r="K337" s="18" t="str">
        <f>IFERROR(IF([1]对账明细接口!$K$337=0,"",[1]对账明细接口!$K$337),"")</f>
        <v/>
      </c>
      <c r="L337" s="16" t="str">
        <f>IFERROR(IF([1]对账明细接口!$L$337=0,"",[1]对账明细接口!$L$337),"")</f>
        <v/>
      </c>
      <c r="M337" s="16" t="str">
        <f>IFERROR(IF([1]对账明细接口!$M$337=0,"",[1]对账明细接口!$M$337),"")</f>
        <v/>
      </c>
      <c r="N337" s="19">
        <f t="shared" si="10"/>
        <v>1</v>
      </c>
      <c r="O337" s="19">
        <f t="shared" si="11"/>
        <v>334</v>
      </c>
      <c r="S337" s="20" t="str">
        <f>IFERROR(IF([1]对账明细接口!$N337=0,"",[1]对账明细接口!$N337),"")</f>
        <v/>
      </c>
      <c r="T337" s="21" t="str">
        <f>IFERROR(IF([1]对账明细接口!$O337=0,"",[1]对账明细接口!$O337),"")</f>
        <v/>
      </c>
      <c r="U337" s="21" t="str">
        <f>IFERROR(IF([1]对账明细接口!$P337=0,"",[1]对账明细接口!$P337),"")</f>
        <v/>
      </c>
      <c r="V337" s="21" t="str">
        <f>IFERROR(IF([1]对账明细接口!$Q337=0,"",[1]对账明细接口!$Q337),"")</f>
        <v/>
      </c>
      <c r="W337" s="20" t="str">
        <f>IFERROR(IF([1]对账明细接口!$R337=0,"",[1]对账明细接口!$R337),"")</f>
        <v/>
      </c>
      <c r="X337" s="20" t="str">
        <f>IFERROR(IF([1]对账明细接口!$S337=0,"",[1]对账明细接口!$S337),"")</f>
        <v/>
      </c>
      <c r="Y337" s="20" t="str">
        <f>IFERROR(IF([1]对账明细接口!$T337=0,"",[1]对账明细接口!$T337),"")</f>
        <v/>
      </c>
      <c r="Z337" s="24" t="str">
        <f>IFERROR(IF([1]对账明细接口!$U337=0,"",[1]对账明细接口!$U337),"")</f>
        <v/>
      </c>
      <c r="AA337" s="24" t="str">
        <f>IFERROR(IF([1]对账明细接口!$V337=0,"",[1]对账明细接口!$V337),"")</f>
        <v/>
      </c>
      <c r="AB337" s="20" t="str">
        <f>IFERROR(IF([1]对账明细接口!$W337=0,"",[1]对账明细接口!$W337),"")</f>
        <v/>
      </c>
      <c r="AC337" s="7" t="str">
        <f>IFERROR(IF([1]对账明细接口!$X337=0,"",[1]对账明细接口!$X337),"")</f>
        <v/>
      </c>
      <c r="AD337" s="7" t="str">
        <f>IFERROR(IF([1]对账明细接口!$Y337=0,"",[1]对账明细接口!$Y337),"")</f>
        <v/>
      </c>
      <c r="AE337" s="7" t="str">
        <f>IFERROR(IF([1]对账明细接口!$AA337=0,"",[1]对账明细接口!$AA337),"")</f>
        <v/>
      </c>
      <c r="AF337" s="7" t="str">
        <f>IFERROR(IF([1]对账明细接口!$AB337=0,"",[1]对账明细接口!$AB337),"")</f>
        <v/>
      </c>
      <c r="AG337" s="7" t="str">
        <f>IFERROR(IF([1]对账明细接口!$AC337=0,"",[1]对账明细接口!$AC337),"")</f>
        <v/>
      </c>
      <c r="AH337" s="7" t="str">
        <f>IFERROR(IF([1]对账明细接口!$AD337=0,"",[1]对账明细接口!$AD337),"")</f>
        <v/>
      </c>
      <c r="AI337" s="7" t="str">
        <f>IFERROR(IF([1]对账明细接口!$AE337=0,"",[1]对账明细接口!$AE337),"")</f>
        <v/>
      </c>
      <c r="AJ337" s="7" t="str">
        <f>IFERROR(IF([1]对账明细接口!$AF337=0,"",[1]对账明细接口!$AF337),"")</f>
        <v/>
      </c>
    </row>
    <row r="338" ht="14.25" customHeight="1" spans="1:36">
      <c r="A338" s="14">
        <v>338</v>
      </c>
      <c r="B338" s="15">
        <f>IFERROR(IF([1]对账明细接口!$B$338=0,"",[1]对账明细接口!$B$338),"")</f>
        <v>46275</v>
      </c>
      <c r="C338" s="16" t="str">
        <f>IFERROR(IF([1]对账明细接口!$C$338=0,"",[1]对账明细接口!$C$338),"")</f>
        <v>聂新平</v>
      </c>
      <c r="D338" s="16" t="str">
        <f>IFERROR(IF([1]对账明细接口!$D$338=0,"",[1]对账明细接口!$D$338),"")</f>
        <v>原料出库－原筐出库</v>
      </c>
      <c r="E338" s="16" t="str">
        <f>IFERROR(IF([1]对账明细接口!$E$338=0,"",[1]对账明细接口!$E$338),"")</f>
        <v>NO:0001112</v>
      </c>
      <c r="F338" s="16" t="str">
        <f>IFERROR(IF([1]对账明细接口!$F$338=0,"",[1]对账明细接口!$F$338),"")</f>
        <v>西梅</v>
      </c>
      <c r="G338" s="16" t="str">
        <f>IFERROR(IF([1]对账明细接口!$G$338=0,"",[1]对账明细接口!$G$338),"")</f>
        <v>西梅三级</v>
      </c>
      <c r="H338" s="17">
        <f>IFERROR(IF([1]对账明细接口!$H$338=0,"",[1]对账明细接口!$H$338),"")</f>
        <v>1013</v>
      </c>
      <c r="I338" s="16" t="str">
        <f>IFERROR(IF([1]对账明细接口!$I$338=0,"",[1]对账明细接口!$I$338),"")</f>
        <v>筐</v>
      </c>
      <c r="J338" s="18">
        <f>IFERROR(IF([1]对账明细接口!$J$338=0,"",[1]对账明细接口!$J$338),"")</f>
        <v>2026</v>
      </c>
      <c r="K338" s="18" t="str">
        <f>IFERROR(IF([1]对账明细接口!$K$338=0,"",[1]对账明细接口!$K$338),"")</f>
        <v/>
      </c>
      <c r="L338" s="16" t="str">
        <f>IFERROR(IF([1]对账明细接口!$L$338=0,"",[1]对账明细接口!$L$338),"")</f>
        <v/>
      </c>
      <c r="M338" s="16" t="str">
        <f>IFERROR(IF([1]对账明细接口!$M$338=0,"",[1]对账明细接口!$M$338),"")</f>
        <v>西梅出库完毕</v>
      </c>
      <c r="N338" s="19">
        <f t="shared" si="10"/>
        <v>1</v>
      </c>
      <c r="O338" s="19">
        <f t="shared" si="11"/>
        <v>335</v>
      </c>
      <c r="S338" s="20" t="str">
        <f>IFERROR(IF([1]对账明细接口!$N338=0,"",[1]对账明细接口!$N338),"")</f>
        <v>自备一次性筐</v>
      </c>
      <c r="T338" s="21">
        <f>IFERROR(IF([1]对账明细接口!$O338=0,"",[1]对账明细接口!$O338),"")</f>
        <v>1013</v>
      </c>
      <c r="U338" s="21" t="str">
        <f>IFERROR(IF([1]对账明细接口!$P338=0,"",[1]对账明细接口!$P338),"")</f>
        <v/>
      </c>
      <c r="V338" s="21" t="str">
        <f>IFERROR(IF([1]对账明细接口!$Q338=0,"",[1]对账明细接口!$Q338),"")</f>
        <v/>
      </c>
      <c r="W338" s="20" t="str">
        <f>IFERROR(IF([1]对账明细接口!$R338=0,"",[1]对账明细接口!$R338),"")</f>
        <v>新A*H0050</v>
      </c>
      <c r="X338" s="20" t="str">
        <f>IFERROR(IF([1]对账明细接口!$S338=0,"",[1]对账明细接口!$S338),"")</f>
        <v>自备筐</v>
      </c>
      <c r="Y338" s="20" t="str">
        <f>IFERROR(IF([1]对账明细接口!$T338=0,"",[1]对账明细接口!$T338),"")</f>
        <v/>
      </c>
      <c r="Z338" s="24" t="str">
        <f>IFERROR(IF([1]对账明细接口!$U338=0,"",[1]对账明细接口!$U338),"")</f>
        <v/>
      </c>
      <c r="AA338" s="24" t="str">
        <f>IFERROR(IF([1]对账明细接口!$V338=0,"",[1]对账明细接口!$V338),"")</f>
        <v/>
      </c>
      <c r="AB338" s="20" t="str">
        <f>IFERROR(IF([1]对账明细接口!$W338=0,"",[1]对账明细接口!$W338),"")</f>
        <v/>
      </c>
      <c r="AC338" s="7" t="str">
        <f>IFERROR(IF([1]对账明细接口!$X338=0,"",[1]对账明细接口!$X338),"")</f>
        <v/>
      </c>
      <c r="AD338" s="7" t="str">
        <f>IFERROR(IF([1]对账明细接口!$Y338=0,"",[1]对账明细接口!$Y338),"")</f>
        <v/>
      </c>
      <c r="AE338" s="7" t="str">
        <f>IFERROR(IF([1]对账明细接口!$AA338=0,"",[1]对账明细接口!$AA338),"")</f>
        <v/>
      </c>
      <c r="AF338" s="7" t="str">
        <f>IFERROR(IF([1]对账明细接口!$AB338=0,"",[1]对账明细接口!$AB338),"")</f>
        <v/>
      </c>
      <c r="AG338" s="7" t="str">
        <f>IFERROR(IF([1]对账明细接口!$AC338=0,"",[1]对账明细接口!$AC338),"")</f>
        <v/>
      </c>
      <c r="AH338" s="7" t="str">
        <f>IFERROR(IF([1]对账明细接口!$AD338=0,"",[1]对账明细接口!$AD338),"")</f>
        <v/>
      </c>
      <c r="AI338" s="7" t="str">
        <f>IFERROR(IF([1]对账明细接口!$AE338=0,"",[1]对账明细接口!$AE338),"")</f>
        <v/>
      </c>
      <c r="AJ338" s="7" t="str">
        <f>IFERROR(IF([1]对账明细接口!$AF338=0,"",[1]对账明细接口!$AF338),"")</f>
        <v/>
      </c>
    </row>
    <row r="339" ht="14.25" customHeight="1" spans="1:36">
      <c r="A339" s="14">
        <v>339</v>
      </c>
      <c r="B339" s="15">
        <f>IFERROR(IF([1]对账明细接口!$B$339=0,"",[1]对账明细接口!$B$339),"")</f>
        <v>46277</v>
      </c>
      <c r="C339" s="16" t="str">
        <f>IFERROR(IF([1]对账明细接口!$C$339=0,"",[1]对账明细接口!$C$339),"")</f>
        <v>王照雪</v>
      </c>
      <c r="D339" s="16" t="str">
        <f>IFERROR(IF([1]对账明细接口!$D$339=0,"",[1]对账明细接口!$D$339),"")</f>
        <v>原料出库－出库加工</v>
      </c>
      <c r="E339" s="16" t="str">
        <f>IFERROR(IF([1]对账明细接口!$E$339=0,"",[1]对账明细接口!$E$339),"")</f>
        <v>NO:0001123</v>
      </c>
      <c r="F339" s="16" t="str">
        <f>IFERROR(IF([1]对账明细接口!$F$339=0,"",[1]对账明细接口!$F$339),"")</f>
        <v>香梨</v>
      </c>
      <c r="G339" s="16" t="str">
        <f>IFERROR(IF([1]对账明细接口!$G$339=0,"",[1]对账明细接口!$G$339),"")</f>
        <v>香梨一级</v>
      </c>
      <c r="H339" s="17">
        <f>IFERROR(IF([1]对账明细接口!$H$339=0,"",[1]对账明细接口!$H$339),"")</f>
        <v>2</v>
      </c>
      <c r="I339" s="16" t="str">
        <f>IFERROR(IF([1]对账明细接口!$I$339=0,"",[1]对账明细接口!$I$339),"")</f>
        <v>筐</v>
      </c>
      <c r="J339" s="18" t="str">
        <f>IFERROR(IF([1]对账明细接口!$J$339=0,"",[1]对账明细接口!$J$339),"")</f>
        <v/>
      </c>
      <c r="K339" s="18" t="str">
        <f>IFERROR(IF([1]对账明细接口!$K$339=0,"",[1]对账明细接口!$K$339),"")</f>
        <v/>
      </c>
      <c r="L339" s="16" t="str">
        <f>IFERROR(IF([1]对账明细接口!$L$339=0,"",[1]对账明细接口!$L$339),"")</f>
        <v/>
      </c>
      <c r="M339" s="16" t="str">
        <f>IFERROR(IF([1]对账明细接口!$M$339=0,"",[1]对账明细接口!$M$339),"")</f>
        <v/>
      </c>
      <c r="N339" s="19">
        <f t="shared" si="10"/>
        <v>1</v>
      </c>
      <c r="O339" s="19">
        <f t="shared" si="11"/>
        <v>336</v>
      </c>
      <c r="S339" s="20" t="str">
        <f>IFERROR(IF([1]对账明细接口!$N339=0,"",[1]对账明细接口!$N339),"")</f>
        <v/>
      </c>
      <c r="T339" s="21" t="str">
        <f>IFERROR(IF([1]对账明细接口!$O339=0,"",[1]对账明细接口!$O339),"")</f>
        <v/>
      </c>
      <c r="U339" s="21" t="str">
        <f>IFERROR(IF([1]对账明细接口!$P339=0,"",[1]对账明细接口!$P339),"")</f>
        <v/>
      </c>
      <c r="V339" s="21" t="str">
        <f>IFERROR(IF([1]对账明细接口!$Q339=0,"",[1]对账明细接口!$Q339),"")</f>
        <v/>
      </c>
      <c r="W339" s="20" t="str">
        <f>IFERROR(IF([1]对账明细接口!$R339=0,"",[1]对账明细接口!$R339),"")</f>
        <v/>
      </c>
      <c r="X339" s="20" t="str">
        <f>IFERROR(IF([1]对账明细接口!$S339=0,"",[1]对账明细接口!$S339),"")</f>
        <v/>
      </c>
      <c r="Y339" s="20" t="str">
        <f>IFERROR(IF([1]对账明细接口!$T339=0,"",[1]对账明细接口!$T339),"")</f>
        <v/>
      </c>
      <c r="Z339" s="24" t="str">
        <f>IFERROR(IF([1]对账明细接口!$U339=0,"",[1]对账明细接口!$U339),"")</f>
        <v/>
      </c>
      <c r="AA339" s="24" t="str">
        <f>IFERROR(IF([1]对账明细接口!$V339=0,"",[1]对账明细接口!$V339),"")</f>
        <v/>
      </c>
      <c r="AB339" s="20" t="str">
        <f>IFERROR(IF([1]对账明细接口!$W339=0,"",[1]对账明细接口!$W339),"")</f>
        <v/>
      </c>
      <c r="AC339" s="7" t="str">
        <f>IFERROR(IF([1]对账明细接口!$X339=0,"",[1]对账明细接口!$X339),"")</f>
        <v/>
      </c>
      <c r="AD339" s="7" t="str">
        <f>IFERROR(IF([1]对账明细接口!$Y339=0,"",[1]对账明细接口!$Y339),"")</f>
        <v/>
      </c>
      <c r="AE339" s="7" t="str">
        <f>IFERROR(IF([1]对账明细接口!$AA339=0,"",[1]对账明细接口!$AA339),"")</f>
        <v/>
      </c>
      <c r="AF339" s="7" t="str">
        <f>IFERROR(IF([1]对账明细接口!$AB339=0,"",[1]对账明细接口!$AB339),"")</f>
        <v/>
      </c>
      <c r="AG339" s="7" t="str">
        <f>IFERROR(IF([1]对账明细接口!$AC339=0,"",[1]对账明细接口!$AC339),"")</f>
        <v/>
      </c>
      <c r="AH339" s="7" t="str">
        <f>IFERROR(IF([1]对账明细接口!$AD339=0,"",[1]对账明细接口!$AD339),"")</f>
        <v/>
      </c>
      <c r="AI339" s="7" t="str">
        <f>IFERROR(IF([1]对账明细接口!$AE339=0,"",[1]对账明细接口!$AE339),"")</f>
        <v/>
      </c>
      <c r="AJ339" s="7" t="str">
        <f>IFERROR(IF([1]对账明细接口!$AF339=0,"",[1]对账明细接口!$AF339),"")</f>
        <v/>
      </c>
    </row>
    <row r="340" ht="14.25" customHeight="1" spans="1:36">
      <c r="A340" s="14">
        <v>340</v>
      </c>
      <c r="B340" s="15">
        <f>IFERROR(IF([1]对账明细接口!$B$340=0,"",[1]对账明细接口!$B$340),"")</f>
        <v>46278</v>
      </c>
      <c r="C340" s="16" t="str">
        <f>IFERROR(IF([1]对账明细接口!$C$340=0,"",[1]对账明细接口!$C$340),"")</f>
        <v>王照雪</v>
      </c>
      <c r="D340" s="16" t="str">
        <f>IFERROR(IF([1]对账明细接口!$D$340=0,"",[1]对账明细接口!$D$340),"")</f>
        <v>原料出库－出库加工</v>
      </c>
      <c r="E340" s="16" t="str">
        <f>IFERROR(IF([1]对账明细接口!$E$340=0,"",[1]对账明细接口!$E$340),"")</f>
        <v>NO:0001127</v>
      </c>
      <c r="F340" s="16" t="str">
        <f>IFERROR(IF([1]对账明细接口!$F$340=0,"",[1]对账明细接口!$F$340),"")</f>
        <v>苹果</v>
      </c>
      <c r="G340" s="16" t="str">
        <f>IFERROR(IF([1]对账明细接口!$G$340=0,"",[1]对账明细接口!$G$340),"")</f>
        <v>新世纪一级</v>
      </c>
      <c r="H340" s="17">
        <f>IFERROR(IF([1]对账明细接口!$H$340=0,"",[1]对账明细接口!$H$340),"")</f>
        <v>110</v>
      </c>
      <c r="I340" s="16" t="str">
        <f>IFERROR(IF([1]对账明细接口!$I$340=0,"",[1]对账明细接口!$I$340),"")</f>
        <v>筐</v>
      </c>
      <c r="J340" s="18" t="str">
        <f>IFERROR(IF([1]对账明细接口!$J$340=0,"",[1]对账明细接口!$J$340),"")</f>
        <v/>
      </c>
      <c r="K340" s="18" t="str">
        <f>IFERROR(IF([1]对账明细接口!$K$340=0,"",[1]对账明细接口!$K$340),"")</f>
        <v/>
      </c>
      <c r="L340" s="16" t="str">
        <f>IFERROR(IF([1]对账明细接口!$L$340=0,"",[1]对账明细接口!$L$340),"")</f>
        <v/>
      </c>
      <c r="M340" s="16" t="str">
        <f>IFERROR(IF([1]对账明细接口!$M$340=0,"",[1]对账明细接口!$M$340),"")</f>
        <v/>
      </c>
      <c r="N340" s="19">
        <f t="shared" si="10"/>
        <v>1</v>
      </c>
      <c r="O340" s="19">
        <f t="shared" si="11"/>
        <v>337</v>
      </c>
      <c r="S340" s="20" t="str">
        <f>IFERROR(IF([1]对账明细接口!$N340=0,"",[1]对账明细接口!$N340),"")</f>
        <v/>
      </c>
      <c r="T340" s="21" t="str">
        <f>IFERROR(IF([1]对账明细接口!$O340=0,"",[1]对账明细接口!$O340),"")</f>
        <v/>
      </c>
      <c r="U340" s="21" t="str">
        <f>IFERROR(IF([1]对账明细接口!$P340=0,"",[1]对账明细接口!$P340),"")</f>
        <v/>
      </c>
      <c r="V340" s="21" t="str">
        <f>IFERROR(IF([1]对账明细接口!$Q340=0,"",[1]对账明细接口!$Q340),"")</f>
        <v/>
      </c>
      <c r="W340" s="20" t="str">
        <f>IFERROR(IF([1]对账明细接口!$R340=0,"",[1]对账明细接口!$R340),"")</f>
        <v/>
      </c>
      <c r="X340" s="20" t="str">
        <f>IFERROR(IF([1]对账明细接口!$S340=0,"",[1]对账明细接口!$S340),"")</f>
        <v/>
      </c>
      <c r="Y340" s="20" t="str">
        <f>IFERROR(IF([1]对账明细接口!$T340=0,"",[1]对账明细接口!$T340),"")</f>
        <v/>
      </c>
      <c r="Z340" s="24" t="str">
        <f>IFERROR(IF([1]对账明细接口!$U340=0,"",[1]对账明细接口!$U340),"")</f>
        <v/>
      </c>
      <c r="AA340" s="24" t="str">
        <f>IFERROR(IF([1]对账明细接口!$V340=0,"",[1]对账明细接口!$V340),"")</f>
        <v/>
      </c>
      <c r="AB340" s="20" t="str">
        <f>IFERROR(IF([1]对账明细接口!$W340=0,"",[1]对账明细接口!$W340),"")</f>
        <v/>
      </c>
      <c r="AC340" s="7" t="str">
        <f>IFERROR(IF([1]对账明细接口!$X340=0,"",[1]对账明细接口!$X340),"")</f>
        <v/>
      </c>
      <c r="AD340" s="7" t="str">
        <f>IFERROR(IF([1]对账明细接口!$Y340=0,"",[1]对账明细接口!$Y340),"")</f>
        <v/>
      </c>
      <c r="AE340" s="7" t="str">
        <f>IFERROR(IF([1]对账明细接口!$AA340=0,"",[1]对账明细接口!$AA340),"")</f>
        <v/>
      </c>
      <c r="AF340" s="7" t="str">
        <f>IFERROR(IF([1]对账明细接口!$AB340=0,"",[1]对账明细接口!$AB340),"")</f>
        <v/>
      </c>
      <c r="AG340" s="7" t="str">
        <f>IFERROR(IF([1]对账明细接口!$AC340=0,"",[1]对账明细接口!$AC340),"")</f>
        <v/>
      </c>
      <c r="AH340" s="7" t="str">
        <f>IFERROR(IF([1]对账明细接口!$AD340=0,"",[1]对账明细接口!$AD340),"")</f>
        <v/>
      </c>
      <c r="AI340" s="7" t="str">
        <f>IFERROR(IF([1]对账明细接口!$AE340=0,"",[1]对账明细接口!$AE340),"")</f>
        <v/>
      </c>
      <c r="AJ340" s="7" t="str">
        <f>IFERROR(IF([1]对账明细接口!$AF340=0,"",[1]对账明细接口!$AF340),"")</f>
        <v/>
      </c>
    </row>
    <row r="341" ht="14.25" customHeight="1" spans="1:36">
      <c r="A341" s="14">
        <v>341</v>
      </c>
      <c r="B341" s="15">
        <f>IFERROR(IF([1]对账明细接口!$B$341=0,"",[1]对账明细接口!$B$341),"")</f>
        <v>46279</v>
      </c>
      <c r="C341" s="16" t="str">
        <f>IFERROR(IF([1]对账明细接口!$C$341=0,"",[1]对账明细接口!$C$341),"")</f>
        <v>王照雪</v>
      </c>
      <c r="D341" s="16" t="str">
        <f>IFERROR(IF([1]对账明细接口!$D$341=0,"",[1]对账明细接口!$D$341),"")</f>
        <v>原料出库－出库加工</v>
      </c>
      <c r="E341" s="16" t="str">
        <f>IFERROR(IF([1]对账明细接口!$E$341=0,"",[1]对账明细接口!$E$341),"")</f>
        <v>NO:0001139</v>
      </c>
      <c r="F341" s="16" t="str">
        <f>IFERROR(IF([1]对账明细接口!$F$341=0,"",[1]对账明细接口!$F$341),"")</f>
        <v>苹果</v>
      </c>
      <c r="G341" s="16" t="str">
        <f>IFERROR(IF([1]对账明细接口!$G$341=0,"",[1]对账明细接口!$G$341),"")</f>
        <v>新世纪特级</v>
      </c>
      <c r="H341" s="17">
        <f>IFERROR(IF([1]对账明细接口!$H$341=0,"",[1]对账明细接口!$H$341),"")</f>
        <v>73</v>
      </c>
      <c r="I341" s="16" t="str">
        <f>IFERROR(IF([1]对账明细接口!$I$341=0,"",[1]对账明细接口!$I$341),"")</f>
        <v>筐</v>
      </c>
      <c r="J341" s="18" t="str">
        <f>IFERROR(IF([1]对账明细接口!$J$341=0,"",[1]对账明细接口!$J$341),"")</f>
        <v/>
      </c>
      <c r="K341" s="18" t="str">
        <f>IFERROR(IF([1]对账明细接口!$K$341=0,"",[1]对账明细接口!$K$341),"")</f>
        <v/>
      </c>
      <c r="L341" s="16" t="str">
        <f>IFERROR(IF([1]对账明细接口!$L$341=0,"",[1]对账明细接口!$L$341),"")</f>
        <v/>
      </c>
      <c r="M341" s="16" t="str">
        <f>IFERROR(IF([1]对账明细接口!$M$341=0,"",[1]对账明细接口!$M$341),"")</f>
        <v/>
      </c>
      <c r="N341" s="19">
        <f t="shared" si="10"/>
        <v>1</v>
      </c>
      <c r="O341" s="19">
        <f t="shared" si="11"/>
        <v>338</v>
      </c>
      <c r="S341" s="20" t="str">
        <f>IFERROR(IF([1]对账明细接口!$N341=0,"",[1]对账明细接口!$N341),"")</f>
        <v/>
      </c>
      <c r="T341" s="21" t="str">
        <f>IFERROR(IF([1]对账明细接口!$O341=0,"",[1]对账明细接口!$O341),"")</f>
        <v/>
      </c>
      <c r="U341" s="21" t="str">
        <f>IFERROR(IF([1]对账明细接口!$P341=0,"",[1]对账明细接口!$P341),"")</f>
        <v/>
      </c>
      <c r="V341" s="21" t="str">
        <f>IFERROR(IF([1]对账明细接口!$Q341=0,"",[1]对账明细接口!$Q341),"")</f>
        <v/>
      </c>
      <c r="W341" s="20" t="str">
        <f>IFERROR(IF([1]对账明细接口!$R341=0,"",[1]对账明细接口!$R341),"")</f>
        <v/>
      </c>
      <c r="X341" s="20" t="str">
        <f>IFERROR(IF([1]对账明细接口!$S341=0,"",[1]对账明细接口!$S341),"")</f>
        <v/>
      </c>
      <c r="Y341" s="20" t="str">
        <f>IFERROR(IF([1]对账明细接口!$T341=0,"",[1]对账明细接口!$T341),"")</f>
        <v/>
      </c>
      <c r="Z341" s="24" t="str">
        <f>IFERROR(IF([1]对账明细接口!$U341=0,"",[1]对账明细接口!$U341),"")</f>
        <v/>
      </c>
      <c r="AA341" s="24" t="str">
        <f>IFERROR(IF([1]对账明细接口!$V341=0,"",[1]对账明细接口!$V341),"")</f>
        <v/>
      </c>
      <c r="AB341" s="20" t="str">
        <f>IFERROR(IF([1]对账明细接口!$W341=0,"",[1]对账明细接口!$W341),"")</f>
        <v/>
      </c>
      <c r="AC341" s="7" t="str">
        <f>IFERROR(IF([1]对账明细接口!$X341=0,"",[1]对账明细接口!$X341),"")</f>
        <v/>
      </c>
      <c r="AD341" s="7" t="str">
        <f>IFERROR(IF([1]对账明细接口!$Y341=0,"",[1]对账明细接口!$Y341),"")</f>
        <v/>
      </c>
      <c r="AE341" s="7" t="str">
        <f>IFERROR(IF([1]对账明细接口!$AA341=0,"",[1]对账明细接口!$AA341),"")</f>
        <v/>
      </c>
      <c r="AF341" s="7" t="str">
        <f>IFERROR(IF([1]对账明细接口!$AB341=0,"",[1]对账明细接口!$AB341),"")</f>
        <v/>
      </c>
      <c r="AG341" s="7" t="str">
        <f>IFERROR(IF([1]对账明细接口!$AC341=0,"",[1]对账明细接口!$AC341),"")</f>
        <v/>
      </c>
      <c r="AH341" s="7" t="str">
        <f>IFERROR(IF([1]对账明细接口!$AD341=0,"",[1]对账明细接口!$AD341),"")</f>
        <v/>
      </c>
      <c r="AI341" s="7" t="str">
        <f>IFERROR(IF([1]对账明细接口!$AE341=0,"",[1]对账明细接口!$AE341),"")</f>
        <v/>
      </c>
      <c r="AJ341" s="7" t="str">
        <f>IFERROR(IF([1]对账明细接口!$AF341=0,"",[1]对账明细接口!$AF341),"")</f>
        <v/>
      </c>
    </row>
    <row r="342" ht="14.25" customHeight="1" spans="1:36">
      <c r="A342" s="14">
        <v>342</v>
      </c>
      <c r="B342" s="15">
        <f>IFERROR(IF([1]对账明细接口!$B$342=0,"",[1]对账明细接口!$B$342),"")</f>
        <v>46279</v>
      </c>
      <c r="C342" s="16" t="str">
        <f>IFERROR(IF([1]对账明细接口!$C$342=0,"",[1]对账明细接口!$C$342),"")</f>
        <v>王照雪</v>
      </c>
      <c r="D342" s="16" t="str">
        <f>IFERROR(IF([1]对账明细接口!$D$342=0,"",[1]对账明细接口!$D$342),"")</f>
        <v>原料出库－出库加工</v>
      </c>
      <c r="E342" s="16" t="str">
        <f>IFERROR(IF([1]对账明细接口!$E$342=0,"",[1]对账明细接口!$E$342),"")</f>
        <v>NO:0001139</v>
      </c>
      <c r="F342" s="16" t="str">
        <f>IFERROR(IF([1]对账明细接口!$F$342=0,"",[1]对账明细接口!$F$342),"")</f>
        <v>苹果</v>
      </c>
      <c r="G342" s="16" t="str">
        <f>IFERROR(IF([1]对账明细接口!$G$342=0,"",[1]对账明细接口!$G$342),"")</f>
        <v>新世纪一级</v>
      </c>
      <c r="H342" s="17">
        <f>IFERROR(IF([1]对账明细接口!$H$342=0,"",[1]对账明细接口!$H$342),"")</f>
        <v>86</v>
      </c>
      <c r="I342" s="16" t="str">
        <f>IFERROR(IF([1]对账明细接口!$I$342=0,"",[1]对账明细接口!$I$342),"")</f>
        <v>筐</v>
      </c>
      <c r="J342" s="18" t="str">
        <f>IFERROR(IF([1]对账明细接口!$J$342=0,"",[1]对账明细接口!$J$342),"")</f>
        <v/>
      </c>
      <c r="K342" s="18" t="str">
        <f>IFERROR(IF([1]对账明细接口!$K$342=0,"",[1]对账明细接口!$K$342),"")</f>
        <v/>
      </c>
      <c r="L342" s="16" t="str">
        <f>IFERROR(IF([1]对账明细接口!$L$342=0,"",[1]对账明细接口!$L$342),"")</f>
        <v/>
      </c>
      <c r="M342" s="16" t="str">
        <f>IFERROR(IF([1]对账明细接口!$M$342=0,"",[1]对账明细接口!$M$342),"")</f>
        <v/>
      </c>
      <c r="N342" s="19">
        <f t="shared" si="10"/>
        <v>1</v>
      </c>
      <c r="O342" s="19">
        <f t="shared" si="11"/>
        <v>339</v>
      </c>
      <c r="S342" s="20" t="str">
        <f>IFERROR(IF([1]对账明细接口!$N342=0,"",[1]对账明细接口!$N342),"")</f>
        <v/>
      </c>
      <c r="T342" s="21" t="str">
        <f>IFERROR(IF([1]对账明细接口!$O342=0,"",[1]对账明细接口!$O342),"")</f>
        <v/>
      </c>
      <c r="U342" s="21" t="str">
        <f>IFERROR(IF([1]对账明细接口!$P342=0,"",[1]对账明细接口!$P342),"")</f>
        <v/>
      </c>
      <c r="V342" s="21" t="str">
        <f>IFERROR(IF([1]对账明细接口!$Q342=0,"",[1]对账明细接口!$Q342),"")</f>
        <v/>
      </c>
      <c r="W342" s="20" t="str">
        <f>IFERROR(IF([1]对账明细接口!$R342=0,"",[1]对账明细接口!$R342),"")</f>
        <v/>
      </c>
      <c r="X342" s="20" t="str">
        <f>IFERROR(IF([1]对账明细接口!$S342=0,"",[1]对账明细接口!$S342),"")</f>
        <v/>
      </c>
      <c r="Y342" s="20" t="str">
        <f>IFERROR(IF([1]对账明细接口!$T342=0,"",[1]对账明细接口!$T342),"")</f>
        <v/>
      </c>
      <c r="Z342" s="24" t="str">
        <f>IFERROR(IF([1]对账明细接口!$U342=0,"",[1]对账明细接口!$U342),"")</f>
        <v/>
      </c>
      <c r="AA342" s="24" t="str">
        <f>IFERROR(IF([1]对账明细接口!$V342=0,"",[1]对账明细接口!$V342),"")</f>
        <v/>
      </c>
      <c r="AB342" s="20" t="str">
        <f>IFERROR(IF([1]对账明细接口!$W342=0,"",[1]对账明细接口!$W342),"")</f>
        <v/>
      </c>
      <c r="AC342" s="7" t="str">
        <f>IFERROR(IF([1]对账明细接口!$X342=0,"",[1]对账明细接口!$X342),"")</f>
        <v/>
      </c>
      <c r="AD342" s="7" t="str">
        <f>IFERROR(IF([1]对账明细接口!$Y342=0,"",[1]对账明细接口!$Y342),"")</f>
        <v/>
      </c>
      <c r="AE342" s="7" t="str">
        <f>IFERROR(IF([1]对账明细接口!$AA342=0,"",[1]对账明细接口!$AA342),"")</f>
        <v/>
      </c>
      <c r="AF342" s="7" t="str">
        <f>IFERROR(IF([1]对账明细接口!$AB342=0,"",[1]对账明细接口!$AB342),"")</f>
        <v/>
      </c>
      <c r="AG342" s="7" t="str">
        <f>IFERROR(IF([1]对账明细接口!$AC342=0,"",[1]对账明细接口!$AC342),"")</f>
        <v/>
      </c>
      <c r="AH342" s="7" t="str">
        <f>IFERROR(IF([1]对账明细接口!$AD342=0,"",[1]对账明细接口!$AD342),"")</f>
        <v/>
      </c>
      <c r="AI342" s="7" t="str">
        <f>IFERROR(IF([1]对账明细接口!$AE342=0,"",[1]对账明细接口!$AE342),"")</f>
        <v/>
      </c>
      <c r="AJ342" s="7" t="str">
        <f>IFERROR(IF([1]对账明细接口!$AF342=0,"",[1]对账明细接口!$AF342),"")</f>
        <v/>
      </c>
    </row>
    <row r="343" ht="14.25" customHeight="1" spans="1:36">
      <c r="A343" s="14">
        <v>343</v>
      </c>
      <c r="B343" s="15">
        <f>IFERROR(IF([1]对账明细接口!$B$343=0,"",[1]对账明细接口!$B$343),"")</f>
        <v>46279</v>
      </c>
      <c r="C343" s="16" t="str">
        <f>IFERROR(IF([1]对账明细接口!$C$343=0,"",[1]对账明细接口!$C$343),"")</f>
        <v>王照雪</v>
      </c>
      <c r="D343" s="16" t="str">
        <f>IFERROR(IF([1]对账明细接口!$D$343=0,"",[1]对账明细接口!$D$343),"")</f>
        <v>原料出库－出库加工</v>
      </c>
      <c r="E343" s="16" t="str">
        <f>IFERROR(IF([1]对账明细接口!$E$343=0,"",[1]对账明细接口!$E$343),"")</f>
        <v>NO:0001139</v>
      </c>
      <c r="F343" s="16" t="str">
        <f>IFERROR(IF([1]对账明细接口!$F$343=0,"",[1]对账明细接口!$F$343),"")</f>
        <v>香梨</v>
      </c>
      <c r="G343" s="16" t="str">
        <f>IFERROR(IF([1]对账明细接口!$G$343=0,"",[1]对账明细接口!$G$343),"")</f>
        <v>香梨一级</v>
      </c>
      <c r="H343" s="17">
        <f>IFERROR(IF([1]对账明细接口!$H$343=0,"",[1]对账明细接口!$H$343),"")</f>
        <v>1</v>
      </c>
      <c r="I343" s="16" t="str">
        <f>IFERROR(IF([1]对账明细接口!$I$343=0,"",[1]对账明细接口!$I$343),"")</f>
        <v>筐</v>
      </c>
      <c r="J343" s="18" t="str">
        <f>IFERROR(IF([1]对账明细接口!$J$343=0,"",[1]对账明细接口!$J$343),"")</f>
        <v/>
      </c>
      <c r="K343" s="18" t="str">
        <f>IFERROR(IF([1]对账明细接口!$K$343=0,"",[1]对账明细接口!$K$343),"")</f>
        <v/>
      </c>
      <c r="L343" s="16" t="str">
        <f>IFERROR(IF([1]对账明细接口!$L$343=0,"",[1]对账明细接口!$L$343),"")</f>
        <v/>
      </c>
      <c r="M343" s="16" t="str">
        <f>IFERROR(IF([1]对账明细接口!$M$343=0,"",[1]对账明细接口!$M$343),"")</f>
        <v/>
      </c>
      <c r="N343" s="19">
        <f t="shared" si="10"/>
        <v>1</v>
      </c>
      <c r="O343" s="19">
        <f t="shared" si="11"/>
        <v>340</v>
      </c>
      <c r="S343" s="20" t="str">
        <f>IFERROR(IF([1]对账明细接口!$N343=0,"",[1]对账明细接口!$N343),"")</f>
        <v/>
      </c>
      <c r="T343" s="21" t="str">
        <f>IFERROR(IF([1]对账明细接口!$O343=0,"",[1]对账明细接口!$O343),"")</f>
        <v/>
      </c>
      <c r="U343" s="21" t="str">
        <f>IFERROR(IF([1]对账明细接口!$P343=0,"",[1]对账明细接口!$P343),"")</f>
        <v/>
      </c>
      <c r="V343" s="21" t="str">
        <f>IFERROR(IF([1]对账明细接口!$Q343=0,"",[1]对账明细接口!$Q343),"")</f>
        <v/>
      </c>
      <c r="W343" s="20" t="str">
        <f>IFERROR(IF([1]对账明细接口!$R343=0,"",[1]对账明细接口!$R343),"")</f>
        <v/>
      </c>
      <c r="X343" s="20" t="str">
        <f>IFERROR(IF([1]对账明细接口!$S343=0,"",[1]对账明细接口!$S343),"")</f>
        <v/>
      </c>
      <c r="Y343" s="20" t="str">
        <f>IFERROR(IF([1]对账明细接口!$T343=0,"",[1]对账明细接口!$T343),"")</f>
        <v/>
      </c>
      <c r="Z343" s="24" t="str">
        <f>IFERROR(IF([1]对账明细接口!$U343=0,"",[1]对账明细接口!$U343),"")</f>
        <v/>
      </c>
      <c r="AA343" s="24" t="str">
        <f>IFERROR(IF([1]对账明细接口!$V343=0,"",[1]对账明细接口!$V343),"")</f>
        <v/>
      </c>
      <c r="AB343" s="20" t="str">
        <f>IFERROR(IF([1]对账明细接口!$W343=0,"",[1]对账明细接口!$W343),"")</f>
        <v/>
      </c>
      <c r="AC343" s="7" t="str">
        <f>IFERROR(IF([1]对账明细接口!$X343=0,"",[1]对账明细接口!$X343),"")</f>
        <v/>
      </c>
      <c r="AD343" s="7" t="str">
        <f>IFERROR(IF([1]对账明细接口!$Y343=0,"",[1]对账明细接口!$Y343),"")</f>
        <v/>
      </c>
      <c r="AE343" s="7" t="str">
        <f>IFERROR(IF([1]对账明细接口!$AA343=0,"",[1]对账明细接口!$AA343),"")</f>
        <v/>
      </c>
      <c r="AF343" s="7" t="str">
        <f>IFERROR(IF([1]对账明细接口!$AB343=0,"",[1]对账明细接口!$AB343),"")</f>
        <v/>
      </c>
      <c r="AG343" s="7" t="str">
        <f>IFERROR(IF([1]对账明细接口!$AC343=0,"",[1]对账明细接口!$AC343),"")</f>
        <v/>
      </c>
      <c r="AH343" s="7" t="str">
        <f>IFERROR(IF([1]对账明细接口!$AD343=0,"",[1]对账明细接口!$AD343),"")</f>
        <v/>
      </c>
      <c r="AI343" s="7" t="str">
        <f>IFERROR(IF([1]对账明细接口!$AE343=0,"",[1]对账明细接口!$AE343),"")</f>
        <v/>
      </c>
      <c r="AJ343" s="7" t="str">
        <f>IFERROR(IF([1]对账明细接口!$AF343=0,"",[1]对账明细接口!$AF343),"")</f>
        <v/>
      </c>
    </row>
    <row r="344" ht="14.25" customHeight="1" spans="1:36">
      <c r="A344" s="14">
        <v>344</v>
      </c>
      <c r="B344" s="15">
        <f>IFERROR(IF([1]对账明细接口!$B$344=0,"",[1]对账明细接口!$B$344),"")</f>
        <v>46280</v>
      </c>
      <c r="C344" s="16" t="str">
        <f>IFERROR(IF([1]对账明细接口!$C$344=0,"",[1]对账明细接口!$C$344),"")</f>
        <v>王照雪</v>
      </c>
      <c r="D344" s="16" t="str">
        <f>IFERROR(IF([1]对账明细接口!$D$344=0,"",[1]对账明细接口!$D$344),"")</f>
        <v>原料出库－出库加工</v>
      </c>
      <c r="E344" s="16" t="str">
        <f>IFERROR(IF([1]对账明细接口!$E$344=0,"",[1]对账明细接口!$E$344),"")</f>
        <v>NO:0001144</v>
      </c>
      <c r="F344" s="16" t="str">
        <f>IFERROR(IF([1]对账明细接口!$F$344=0,"",[1]对账明细接口!$F$344),"")</f>
        <v>苹果</v>
      </c>
      <c r="G344" s="16" t="str">
        <f>IFERROR(IF([1]对账明细接口!$G$344=0,"",[1]对账明细接口!$G$344),"")</f>
        <v>新世纪一级</v>
      </c>
      <c r="H344" s="17">
        <f>IFERROR(IF([1]对账明细接口!$H$344=0,"",[1]对账明细接口!$H$344),"")</f>
        <v>96</v>
      </c>
      <c r="I344" s="16" t="str">
        <f>IFERROR(IF([1]对账明细接口!$I$344=0,"",[1]对账明细接口!$I$344),"")</f>
        <v>筐</v>
      </c>
      <c r="J344" s="18" t="str">
        <f>IFERROR(IF([1]对账明细接口!$J$344=0,"",[1]对账明细接口!$J$344),"")</f>
        <v/>
      </c>
      <c r="K344" s="18" t="str">
        <f>IFERROR(IF([1]对账明细接口!$K$344=0,"",[1]对账明细接口!$K$344),"")</f>
        <v/>
      </c>
      <c r="L344" s="16" t="str">
        <f>IFERROR(IF([1]对账明细接口!$L$344=0,"",[1]对账明细接口!$L$344),"")</f>
        <v/>
      </c>
      <c r="M344" s="16" t="str">
        <f>IFERROR(IF([1]对账明细接口!$M$344=0,"",[1]对账明细接口!$M$344),"")</f>
        <v>光果</v>
      </c>
      <c r="N344" s="19">
        <f t="shared" si="10"/>
        <v>1</v>
      </c>
      <c r="O344" s="19">
        <f t="shared" si="11"/>
        <v>341</v>
      </c>
      <c r="S344" s="20" t="str">
        <f>IFERROR(IF([1]对账明细接口!$N344=0,"",[1]对账明细接口!$N344),"")</f>
        <v/>
      </c>
      <c r="T344" s="21" t="str">
        <f>IFERROR(IF([1]对账明细接口!$O344=0,"",[1]对账明细接口!$O344),"")</f>
        <v/>
      </c>
      <c r="U344" s="21" t="str">
        <f>IFERROR(IF([1]对账明细接口!$P344=0,"",[1]对账明细接口!$P344),"")</f>
        <v/>
      </c>
      <c r="V344" s="21" t="str">
        <f>IFERROR(IF([1]对账明细接口!$Q344=0,"",[1]对账明细接口!$Q344),"")</f>
        <v/>
      </c>
      <c r="W344" s="20" t="str">
        <f>IFERROR(IF([1]对账明细接口!$R344=0,"",[1]对账明细接口!$R344),"")</f>
        <v/>
      </c>
      <c r="X344" s="20" t="str">
        <f>IFERROR(IF([1]对账明细接口!$S344=0,"",[1]对账明细接口!$S344),"")</f>
        <v/>
      </c>
      <c r="Y344" s="20" t="str">
        <f>IFERROR(IF([1]对账明细接口!$T344=0,"",[1]对账明细接口!$T344),"")</f>
        <v/>
      </c>
      <c r="Z344" s="24" t="str">
        <f>IFERROR(IF([1]对账明细接口!$U344=0,"",[1]对账明细接口!$U344),"")</f>
        <v/>
      </c>
      <c r="AA344" s="24" t="str">
        <f>IFERROR(IF([1]对账明细接口!$V344=0,"",[1]对账明细接口!$V344),"")</f>
        <v/>
      </c>
      <c r="AB344" s="20" t="str">
        <f>IFERROR(IF([1]对账明细接口!$W344=0,"",[1]对账明细接口!$W344),"")</f>
        <v/>
      </c>
      <c r="AC344" s="7" t="str">
        <f>IFERROR(IF([1]对账明细接口!$X344=0,"",[1]对账明细接口!$X344),"")</f>
        <v/>
      </c>
      <c r="AD344" s="7" t="str">
        <f>IFERROR(IF([1]对账明细接口!$Y344=0,"",[1]对账明细接口!$Y344),"")</f>
        <v/>
      </c>
      <c r="AE344" s="7" t="str">
        <f>IFERROR(IF([1]对账明细接口!$AA344=0,"",[1]对账明细接口!$AA344),"")</f>
        <v/>
      </c>
      <c r="AF344" s="7" t="str">
        <f>IFERROR(IF([1]对账明细接口!$AB344=0,"",[1]对账明细接口!$AB344),"")</f>
        <v/>
      </c>
      <c r="AG344" s="7" t="str">
        <f>IFERROR(IF([1]对账明细接口!$AC344=0,"",[1]对账明细接口!$AC344),"")</f>
        <v/>
      </c>
      <c r="AH344" s="7" t="str">
        <f>IFERROR(IF([1]对账明细接口!$AD344=0,"",[1]对账明细接口!$AD344),"")</f>
        <v/>
      </c>
      <c r="AI344" s="7" t="str">
        <f>IFERROR(IF([1]对账明细接口!$AE344=0,"",[1]对账明细接口!$AE344),"")</f>
        <v/>
      </c>
      <c r="AJ344" s="7" t="str">
        <f>IFERROR(IF([1]对账明细接口!$AF344=0,"",[1]对账明细接口!$AF344),"")</f>
        <v/>
      </c>
    </row>
    <row r="345" ht="14.25" customHeight="1" spans="1:36">
      <c r="A345" s="14">
        <v>345</v>
      </c>
      <c r="B345" s="15">
        <f>IFERROR(IF([1]对账明细接口!$B$345=0,"",[1]对账明细接口!$B$345),"")</f>
        <v>46280</v>
      </c>
      <c r="C345" s="16" t="str">
        <f>IFERROR(IF([1]对账明细接口!$C$345=0,"",[1]对账明细接口!$C$345),"")</f>
        <v>王照雪</v>
      </c>
      <c r="D345" s="16" t="str">
        <f>IFERROR(IF([1]对账明细接口!$D$345=0,"",[1]对账明细接口!$D$345),"")</f>
        <v>原料出库－出库加工</v>
      </c>
      <c r="E345" s="16" t="str">
        <f>IFERROR(IF([1]对账明细接口!$E$345=0,"",[1]对账明细接口!$E$345),"")</f>
        <v>NO:0001144</v>
      </c>
      <c r="F345" s="16" t="str">
        <f>IFERROR(IF([1]对账明细接口!$F$345=0,"",[1]对账明细接口!$F$345),"")</f>
        <v>苹果</v>
      </c>
      <c r="G345" s="16" t="str">
        <f>IFERROR(IF([1]对账明细接口!$G$345=0,"",[1]对账明细接口!$G$345),"")</f>
        <v>新世纪二级</v>
      </c>
      <c r="H345" s="17">
        <f>IFERROR(IF([1]对账明细接口!$H$345=0,"",[1]对账明细接口!$H$345),"")</f>
        <v>58</v>
      </c>
      <c r="I345" s="16" t="str">
        <f>IFERROR(IF([1]对账明细接口!$I$345=0,"",[1]对账明细接口!$I$345),"")</f>
        <v>筐</v>
      </c>
      <c r="J345" s="18" t="str">
        <f>IFERROR(IF([1]对账明细接口!$J$345=0,"",[1]对账明细接口!$J$345),"")</f>
        <v/>
      </c>
      <c r="K345" s="18" t="str">
        <f>IFERROR(IF([1]对账明细接口!$K$345=0,"",[1]对账明细接口!$K$345),"")</f>
        <v/>
      </c>
      <c r="L345" s="16" t="str">
        <f>IFERROR(IF([1]对账明细接口!$L$345=0,"",[1]对账明细接口!$L$345),"")</f>
        <v/>
      </c>
      <c r="M345" s="16" t="str">
        <f>IFERROR(IF([1]对账明细接口!$M$345=0,"",[1]对账明细接口!$M$345),"")</f>
        <v>光果</v>
      </c>
      <c r="N345" s="19">
        <f t="shared" si="10"/>
        <v>1</v>
      </c>
      <c r="O345" s="19">
        <f t="shared" si="11"/>
        <v>342</v>
      </c>
      <c r="S345" s="20" t="str">
        <f>IFERROR(IF([1]对账明细接口!$N345=0,"",[1]对账明细接口!$N345),"")</f>
        <v/>
      </c>
      <c r="T345" s="21" t="str">
        <f>IFERROR(IF([1]对账明细接口!$O345=0,"",[1]对账明细接口!$O345),"")</f>
        <v/>
      </c>
      <c r="U345" s="21" t="str">
        <f>IFERROR(IF([1]对账明细接口!$P345=0,"",[1]对账明细接口!$P345),"")</f>
        <v/>
      </c>
      <c r="V345" s="21" t="str">
        <f>IFERROR(IF([1]对账明细接口!$Q345=0,"",[1]对账明细接口!$Q345),"")</f>
        <v/>
      </c>
      <c r="W345" s="20" t="str">
        <f>IFERROR(IF([1]对账明细接口!$R345=0,"",[1]对账明细接口!$R345),"")</f>
        <v/>
      </c>
      <c r="X345" s="20" t="str">
        <f>IFERROR(IF([1]对账明细接口!$S345=0,"",[1]对账明细接口!$S345),"")</f>
        <v/>
      </c>
      <c r="Y345" s="20" t="str">
        <f>IFERROR(IF([1]对账明细接口!$T345=0,"",[1]对账明细接口!$T345),"")</f>
        <v/>
      </c>
      <c r="Z345" s="24" t="str">
        <f>IFERROR(IF([1]对账明细接口!$U345=0,"",[1]对账明细接口!$U345),"")</f>
        <v/>
      </c>
      <c r="AA345" s="24" t="str">
        <f>IFERROR(IF([1]对账明细接口!$V345=0,"",[1]对账明细接口!$V345),"")</f>
        <v/>
      </c>
      <c r="AB345" s="20" t="str">
        <f>IFERROR(IF([1]对账明细接口!$W345=0,"",[1]对账明细接口!$W345),"")</f>
        <v/>
      </c>
      <c r="AC345" s="7" t="str">
        <f>IFERROR(IF([1]对账明细接口!$X345=0,"",[1]对账明细接口!$X345),"")</f>
        <v/>
      </c>
      <c r="AD345" s="7" t="str">
        <f>IFERROR(IF([1]对账明细接口!$Y345=0,"",[1]对账明细接口!$Y345),"")</f>
        <v/>
      </c>
      <c r="AE345" s="7" t="str">
        <f>IFERROR(IF([1]对账明细接口!$AA345=0,"",[1]对账明细接口!$AA345),"")</f>
        <v/>
      </c>
      <c r="AF345" s="7" t="str">
        <f>IFERROR(IF([1]对账明细接口!$AB345=0,"",[1]对账明细接口!$AB345),"")</f>
        <v/>
      </c>
      <c r="AG345" s="7" t="str">
        <f>IFERROR(IF([1]对账明细接口!$AC345=0,"",[1]对账明细接口!$AC345),"")</f>
        <v/>
      </c>
      <c r="AH345" s="7" t="str">
        <f>IFERROR(IF([1]对账明细接口!$AD345=0,"",[1]对账明细接口!$AD345),"")</f>
        <v/>
      </c>
      <c r="AI345" s="7" t="str">
        <f>IFERROR(IF([1]对账明细接口!$AE345=0,"",[1]对账明细接口!$AE345),"")</f>
        <v/>
      </c>
      <c r="AJ345" s="7" t="str">
        <f>IFERROR(IF([1]对账明细接口!$AF345=0,"",[1]对账明细接口!$AF345),"")</f>
        <v/>
      </c>
    </row>
    <row r="346" ht="14.25" customHeight="1" spans="1:36">
      <c r="A346" s="14">
        <v>346</v>
      </c>
      <c r="B346" s="15">
        <f>IFERROR(IF([1]对账明细接口!$B$346=0,"",[1]对账明细接口!$B$346),"")</f>
        <v>46281</v>
      </c>
      <c r="C346" s="16" t="str">
        <f>IFERROR(IF([1]对账明细接口!$C$346=0,"",[1]对账明细接口!$C$346),"")</f>
        <v>王照雪</v>
      </c>
      <c r="D346" s="16" t="str">
        <f>IFERROR(IF([1]对账明细接口!$D$346=0,"",[1]对账明细接口!$D$346),"")</f>
        <v>原料出库－出库加工</v>
      </c>
      <c r="E346" s="16" t="str">
        <f>IFERROR(IF([1]对账明细接口!$E$346=0,"",[1]对账明细接口!$E$346),"")</f>
        <v>NO:0001150</v>
      </c>
      <c r="F346" s="16" t="str">
        <f>IFERROR(IF([1]对账明细接口!$F$346=0,"",[1]对账明细接口!$F$346),"")</f>
        <v>苹果</v>
      </c>
      <c r="G346" s="16" t="str">
        <f>IFERROR(IF([1]对账明细接口!$G$346=0,"",[1]对账明细接口!$G$346),"")</f>
        <v>新世纪一级</v>
      </c>
      <c r="H346" s="17">
        <f>IFERROR(IF([1]对账明细接口!$H$346=0,"",[1]对账明细接口!$H$346),"")</f>
        <v>174</v>
      </c>
      <c r="I346" s="16" t="str">
        <f>IFERROR(IF([1]对账明细接口!$I$346=0,"",[1]对账明细接口!$I$346),"")</f>
        <v>筐</v>
      </c>
      <c r="J346" s="18" t="str">
        <f>IFERROR(IF([1]对账明细接口!$J$346=0,"",[1]对账明细接口!$J$346),"")</f>
        <v/>
      </c>
      <c r="K346" s="18" t="str">
        <f>IFERROR(IF([1]对账明细接口!$K$346=0,"",[1]对账明细接口!$K$346),"")</f>
        <v/>
      </c>
      <c r="L346" s="16" t="str">
        <f>IFERROR(IF([1]对账明细接口!$L$346=0,"",[1]对账明细接口!$L$346),"")</f>
        <v/>
      </c>
      <c r="M346" s="16" t="str">
        <f>IFERROR(IF([1]对账明细接口!$M$346=0,"",[1]对账明细接口!$M$346),"")</f>
        <v>套袋</v>
      </c>
      <c r="N346" s="19">
        <f t="shared" si="10"/>
        <v>1</v>
      </c>
      <c r="O346" s="19">
        <f t="shared" si="11"/>
        <v>343</v>
      </c>
      <c r="S346" s="20" t="str">
        <f>IFERROR(IF([1]对账明细接口!$N346=0,"",[1]对账明细接口!$N346),"")</f>
        <v/>
      </c>
      <c r="T346" s="21" t="str">
        <f>IFERROR(IF([1]对账明细接口!$O346=0,"",[1]对账明细接口!$O346),"")</f>
        <v/>
      </c>
      <c r="U346" s="21" t="str">
        <f>IFERROR(IF([1]对账明细接口!$P346=0,"",[1]对账明细接口!$P346),"")</f>
        <v/>
      </c>
      <c r="V346" s="21" t="str">
        <f>IFERROR(IF([1]对账明细接口!$Q346=0,"",[1]对账明细接口!$Q346),"")</f>
        <v/>
      </c>
      <c r="W346" s="20" t="str">
        <f>IFERROR(IF([1]对账明细接口!$R346=0,"",[1]对账明细接口!$R346),"")</f>
        <v/>
      </c>
      <c r="X346" s="20" t="str">
        <f>IFERROR(IF([1]对账明细接口!$S346=0,"",[1]对账明细接口!$S346),"")</f>
        <v/>
      </c>
      <c r="Y346" s="20" t="str">
        <f>IFERROR(IF([1]对账明细接口!$T346=0,"",[1]对账明细接口!$T346),"")</f>
        <v/>
      </c>
      <c r="Z346" s="24" t="str">
        <f>IFERROR(IF([1]对账明细接口!$U346=0,"",[1]对账明细接口!$U346),"")</f>
        <v/>
      </c>
      <c r="AA346" s="24" t="str">
        <f>IFERROR(IF([1]对账明细接口!$V346=0,"",[1]对账明细接口!$V346),"")</f>
        <v/>
      </c>
      <c r="AB346" s="20" t="str">
        <f>IFERROR(IF([1]对账明细接口!$W346=0,"",[1]对账明细接口!$W346),"")</f>
        <v/>
      </c>
      <c r="AC346" s="7" t="str">
        <f>IFERROR(IF([1]对账明细接口!$X346=0,"",[1]对账明细接口!$X346),"")</f>
        <v/>
      </c>
      <c r="AD346" s="7" t="str">
        <f>IFERROR(IF([1]对账明细接口!$Y346=0,"",[1]对账明细接口!$Y346),"")</f>
        <v/>
      </c>
      <c r="AE346" s="7" t="str">
        <f>IFERROR(IF([1]对账明细接口!$AA346=0,"",[1]对账明细接口!$AA346),"")</f>
        <v/>
      </c>
      <c r="AF346" s="7" t="str">
        <f>IFERROR(IF([1]对账明细接口!$AB346=0,"",[1]对账明细接口!$AB346),"")</f>
        <v/>
      </c>
      <c r="AG346" s="7" t="str">
        <f>IFERROR(IF([1]对账明细接口!$AC346=0,"",[1]对账明细接口!$AC346),"")</f>
        <v/>
      </c>
      <c r="AH346" s="7" t="str">
        <f>IFERROR(IF([1]对账明细接口!$AD346=0,"",[1]对账明细接口!$AD346),"")</f>
        <v/>
      </c>
      <c r="AI346" s="7" t="str">
        <f>IFERROR(IF([1]对账明细接口!$AE346=0,"",[1]对账明细接口!$AE346),"")</f>
        <v/>
      </c>
      <c r="AJ346" s="7" t="str">
        <f>IFERROR(IF([1]对账明细接口!$AF346=0,"",[1]对账明细接口!$AF346),"")</f>
        <v/>
      </c>
    </row>
    <row r="347" ht="14.25" customHeight="1" spans="1:36">
      <c r="A347" s="14">
        <v>347</v>
      </c>
      <c r="B347" s="15">
        <f>IFERROR(IF([1]对账明细接口!$B$347=0,"",[1]对账明细接口!$B$347),"")</f>
        <v>46281</v>
      </c>
      <c r="C347" s="16" t="str">
        <f>IFERROR(IF([1]对账明细接口!$C$347=0,"",[1]对账明细接口!$C$347),"")</f>
        <v>王照雪</v>
      </c>
      <c r="D347" s="16" t="str">
        <f>IFERROR(IF([1]对账明细接口!$D$347=0,"",[1]对账明细接口!$D$347),"")</f>
        <v>原料出库－出库加工</v>
      </c>
      <c r="E347" s="16" t="str">
        <f>IFERROR(IF([1]对账明细接口!$E$347=0,"",[1]对账明细接口!$E$347),"")</f>
        <v>NO:0001150</v>
      </c>
      <c r="F347" s="16" t="str">
        <f>IFERROR(IF([1]对账明细接口!$F$347=0,"",[1]对账明细接口!$F$347),"")</f>
        <v>香梨</v>
      </c>
      <c r="G347" s="16" t="str">
        <f>IFERROR(IF([1]对账明细接口!$G$347=0,"",[1]对账明细接口!$G$347),"")</f>
        <v>香梨一级</v>
      </c>
      <c r="H347" s="17">
        <f>IFERROR(IF([1]对账明细接口!$H$347=0,"",[1]对账明细接口!$H$347),"")</f>
        <v>1</v>
      </c>
      <c r="I347" s="16" t="str">
        <f>IFERROR(IF([1]对账明细接口!$I$347=0,"",[1]对账明细接口!$I$347),"")</f>
        <v>筐</v>
      </c>
      <c r="J347" s="18" t="str">
        <f>IFERROR(IF([1]对账明细接口!$J$347=0,"",[1]对账明细接口!$J$347),"")</f>
        <v/>
      </c>
      <c r="K347" s="18" t="str">
        <f>IFERROR(IF([1]对账明细接口!$K$347=0,"",[1]对账明细接口!$K$347),"")</f>
        <v/>
      </c>
      <c r="L347" s="16" t="str">
        <f>IFERROR(IF([1]对账明细接口!$L$347=0,"",[1]对账明细接口!$L$347),"")</f>
        <v/>
      </c>
      <c r="M347" s="16" t="str">
        <f>IFERROR(IF([1]对账明细接口!$M$347=0,"",[1]对账明细接口!$M$347),"")</f>
        <v/>
      </c>
      <c r="N347" s="19">
        <f t="shared" si="10"/>
        <v>1</v>
      </c>
      <c r="O347" s="19">
        <f t="shared" si="11"/>
        <v>344</v>
      </c>
      <c r="S347" s="20" t="str">
        <f>IFERROR(IF([1]对账明细接口!$N347=0,"",[1]对账明细接口!$N347),"")</f>
        <v/>
      </c>
      <c r="T347" s="21" t="str">
        <f>IFERROR(IF([1]对账明细接口!$O347=0,"",[1]对账明细接口!$O347),"")</f>
        <v/>
      </c>
      <c r="U347" s="21" t="str">
        <f>IFERROR(IF([1]对账明细接口!$P347=0,"",[1]对账明细接口!$P347),"")</f>
        <v/>
      </c>
      <c r="V347" s="21" t="str">
        <f>IFERROR(IF([1]对账明细接口!$Q347=0,"",[1]对账明细接口!$Q347),"")</f>
        <v/>
      </c>
      <c r="W347" s="20" t="str">
        <f>IFERROR(IF([1]对账明细接口!$R347=0,"",[1]对账明细接口!$R347),"")</f>
        <v/>
      </c>
      <c r="X347" s="20" t="str">
        <f>IFERROR(IF([1]对账明细接口!$S347=0,"",[1]对账明细接口!$S347),"")</f>
        <v/>
      </c>
      <c r="Y347" s="20" t="str">
        <f>IFERROR(IF([1]对账明细接口!$T347=0,"",[1]对账明细接口!$T347),"")</f>
        <v/>
      </c>
      <c r="Z347" s="24" t="str">
        <f>IFERROR(IF([1]对账明细接口!$U347=0,"",[1]对账明细接口!$U347),"")</f>
        <v/>
      </c>
      <c r="AA347" s="24" t="str">
        <f>IFERROR(IF([1]对账明细接口!$V347=0,"",[1]对账明细接口!$V347),"")</f>
        <v/>
      </c>
      <c r="AB347" s="20" t="str">
        <f>IFERROR(IF([1]对账明细接口!$W347=0,"",[1]对账明细接口!$W347),"")</f>
        <v/>
      </c>
      <c r="AC347" s="7" t="str">
        <f>IFERROR(IF([1]对账明细接口!$X347=0,"",[1]对账明细接口!$X347),"")</f>
        <v/>
      </c>
      <c r="AD347" s="7" t="str">
        <f>IFERROR(IF([1]对账明细接口!$Y347=0,"",[1]对账明细接口!$Y347),"")</f>
        <v/>
      </c>
      <c r="AE347" s="7" t="str">
        <f>IFERROR(IF([1]对账明细接口!$AA347=0,"",[1]对账明细接口!$AA347),"")</f>
        <v/>
      </c>
      <c r="AF347" s="7" t="str">
        <f>IFERROR(IF([1]对账明细接口!$AB347=0,"",[1]对账明细接口!$AB347),"")</f>
        <v/>
      </c>
      <c r="AG347" s="7" t="str">
        <f>IFERROR(IF([1]对账明细接口!$AC347=0,"",[1]对账明细接口!$AC347),"")</f>
        <v/>
      </c>
      <c r="AH347" s="7" t="str">
        <f>IFERROR(IF([1]对账明细接口!$AD347=0,"",[1]对账明细接口!$AD347),"")</f>
        <v/>
      </c>
      <c r="AI347" s="7" t="str">
        <f>IFERROR(IF([1]对账明细接口!$AE347=0,"",[1]对账明细接口!$AE347),"")</f>
        <v/>
      </c>
      <c r="AJ347" s="7" t="str">
        <f>IFERROR(IF([1]对账明细接口!$AF347=0,"",[1]对账明细接口!$AF347),"")</f>
        <v/>
      </c>
    </row>
    <row r="348" ht="14.25" customHeight="1" spans="1:36">
      <c r="A348" s="14">
        <v>348</v>
      </c>
      <c r="B348" s="15">
        <f>IFERROR(IF([1]对账明细接口!$B$348=0,"",[1]对账明细接口!$B$348),"")</f>
        <v>46281</v>
      </c>
      <c r="C348" s="16" t="str">
        <f>IFERROR(IF([1]对账明细接口!$C$348=0,"",[1]对账明细接口!$C$348),"")</f>
        <v>麦麦提</v>
      </c>
      <c r="D348" s="16" t="str">
        <f>IFERROR(IF([1]对账明细接口!$D$348=0,"",[1]对账明细接口!$D$348),"")</f>
        <v>原料出库－出库加工</v>
      </c>
      <c r="E348" s="16" t="str">
        <f>IFERROR(IF([1]对账明细接口!$E$348=0,"",[1]对账明细接口!$E$348),"")</f>
        <v>NO:0001151</v>
      </c>
      <c r="F348" s="16" t="str">
        <f>IFERROR(IF([1]对账明细接口!$F$348=0,"",[1]对账明细接口!$F$348),"")</f>
        <v>香梨</v>
      </c>
      <c r="G348" s="16" t="str">
        <f>IFERROR(IF([1]对账明细接口!$G$348=0,"",[1]对账明细接口!$G$348),"")</f>
        <v>香梨一级</v>
      </c>
      <c r="H348" s="17">
        <f>IFERROR(IF([1]对账明细接口!$H$348=0,"",[1]对账明细接口!$H$348),"")</f>
        <v>280</v>
      </c>
      <c r="I348" s="16" t="str">
        <f>IFERROR(IF([1]对账明细接口!$I$348=0,"",[1]对账明细接口!$I$348),"")</f>
        <v>筐</v>
      </c>
      <c r="J348" s="18" t="str">
        <f>IFERROR(IF([1]对账明细接口!$J$348=0,"",[1]对账明细接口!$J$348),"")</f>
        <v/>
      </c>
      <c r="K348" s="18" t="str">
        <f>IFERROR(IF([1]对账明细接口!$K$348=0,"",[1]对账明细接口!$K$348),"")</f>
        <v/>
      </c>
      <c r="L348" s="16" t="str">
        <f>IFERROR(IF([1]对账明细接口!$L$348=0,"",[1]对账明细接口!$L$348),"")</f>
        <v/>
      </c>
      <c r="M348" s="16" t="str">
        <f>IFERROR(IF([1]对账明细接口!$M$348=0,"",[1]对账明细接口!$M$348),"")</f>
        <v/>
      </c>
      <c r="N348" s="19">
        <f t="shared" si="10"/>
        <v>1</v>
      </c>
      <c r="O348" s="19">
        <f t="shared" si="11"/>
        <v>345</v>
      </c>
      <c r="S348" s="20" t="str">
        <f>IFERROR(IF([1]对账明细接口!$N348=0,"",[1]对账明细接口!$N348),"")</f>
        <v/>
      </c>
      <c r="T348" s="21" t="str">
        <f>IFERROR(IF([1]对账明细接口!$O348=0,"",[1]对账明细接口!$O348),"")</f>
        <v/>
      </c>
      <c r="U348" s="21" t="str">
        <f>IFERROR(IF([1]对账明细接口!$P348=0,"",[1]对账明细接口!$P348),"")</f>
        <v/>
      </c>
      <c r="V348" s="21" t="str">
        <f>IFERROR(IF([1]对账明细接口!$Q348=0,"",[1]对账明细接口!$Q348),"")</f>
        <v/>
      </c>
      <c r="W348" s="20" t="str">
        <f>IFERROR(IF([1]对账明细接口!$R348=0,"",[1]对账明细接口!$R348),"")</f>
        <v/>
      </c>
      <c r="X348" s="20" t="str">
        <f>IFERROR(IF([1]对账明细接口!$S348=0,"",[1]对账明细接口!$S348),"")</f>
        <v/>
      </c>
      <c r="Y348" s="20" t="str">
        <f>IFERROR(IF([1]对账明细接口!$T348=0,"",[1]对账明细接口!$T348),"")</f>
        <v/>
      </c>
      <c r="Z348" s="24" t="str">
        <f>IFERROR(IF([1]对账明细接口!$U348=0,"",[1]对账明细接口!$U348),"")</f>
        <v/>
      </c>
      <c r="AA348" s="24" t="str">
        <f>IFERROR(IF([1]对账明细接口!$V348=0,"",[1]对账明细接口!$V348),"")</f>
        <v/>
      </c>
      <c r="AB348" s="20" t="str">
        <f>IFERROR(IF([1]对账明细接口!$W348=0,"",[1]对账明细接口!$W348),"")</f>
        <v/>
      </c>
      <c r="AC348" s="7" t="str">
        <f>IFERROR(IF([1]对账明细接口!$X348=0,"",[1]对账明细接口!$X348),"")</f>
        <v/>
      </c>
      <c r="AD348" s="7" t="str">
        <f>IFERROR(IF([1]对账明细接口!$Y348=0,"",[1]对账明细接口!$Y348),"")</f>
        <v/>
      </c>
      <c r="AE348" s="7" t="str">
        <f>IFERROR(IF([1]对账明细接口!$AA348=0,"",[1]对账明细接口!$AA348),"")</f>
        <v/>
      </c>
      <c r="AF348" s="7" t="str">
        <f>IFERROR(IF([1]对账明细接口!$AB348=0,"",[1]对账明细接口!$AB348),"")</f>
        <v/>
      </c>
      <c r="AG348" s="7" t="str">
        <f>IFERROR(IF([1]对账明细接口!$AC348=0,"",[1]对账明细接口!$AC348),"")</f>
        <v/>
      </c>
      <c r="AH348" s="7" t="str">
        <f>IFERROR(IF([1]对账明细接口!$AD348=0,"",[1]对账明细接口!$AD348),"")</f>
        <v/>
      </c>
      <c r="AI348" s="7" t="str">
        <f>IFERROR(IF([1]对账明细接口!$AE348=0,"",[1]对账明细接口!$AE348),"")</f>
        <v/>
      </c>
      <c r="AJ348" s="7" t="str">
        <f>IFERROR(IF([1]对账明细接口!$AF348=0,"",[1]对账明细接口!$AF348),"")</f>
        <v/>
      </c>
    </row>
    <row r="349" ht="14.25" customHeight="1" spans="1:36">
      <c r="A349" s="14">
        <v>349</v>
      </c>
      <c r="B349" s="15">
        <f>IFERROR(IF([1]对账明细接口!$B$349=0,"",[1]对账明细接口!$B$349),"")</f>
        <v>46281</v>
      </c>
      <c r="C349" s="16" t="str">
        <f>IFERROR(IF([1]对账明细接口!$C$349=0,"",[1]对账明细接口!$C$349),"")</f>
        <v>王浩</v>
      </c>
      <c r="D349" s="16" t="str">
        <f>IFERROR(IF([1]对账明细接口!$D$349=0,"",[1]对账明细接口!$D$349),"")</f>
        <v>原料出库－公司购买</v>
      </c>
      <c r="E349" s="16" t="str">
        <f>IFERROR(IF([1]对账明细接口!$E$349=0,"",[1]对账明细接口!$E$349),"")</f>
        <v>NO:0001152</v>
      </c>
      <c r="F349" s="16" t="str">
        <f>IFERROR(IF([1]对账明细接口!$F$349=0,"",[1]对账明细接口!$F$349),"")</f>
        <v>香梨</v>
      </c>
      <c r="G349" s="16" t="str">
        <f>IFERROR(IF([1]对账明细接口!$G$349=0,"",[1]对账明细接口!$G$349),"")</f>
        <v>香梨一级</v>
      </c>
      <c r="H349" s="17">
        <f>IFERROR(IF([1]对账明细接口!$H$349=0,"",[1]对账明细接口!$H$349),"")</f>
        <v>2</v>
      </c>
      <c r="I349" s="16" t="str">
        <f>IFERROR(IF([1]对账明细接口!$I$349=0,"",[1]对账明细接口!$I$349),"")</f>
        <v>筐</v>
      </c>
      <c r="J349" s="18" t="str">
        <f>IFERROR(IF([1]对账明细接口!$J$349=0,"",[1]对账明细接口!$J$349),"")</f>
        <v/>
      </c>
      <c r="K349" s="18" t="str">
        <f>IFERROR(IF([1]对账明细接口!$K$349=0,"",[1]对账明细接口!$K$349),"")</f>
        <v/>
      </c>
      <c r="L349" s="16" t="str">
        <f>IFERROR(IF([1]对账明细接口!$L$349=0,"",[1]对账明细接口!$L$349),"")</f>
        <v/>
      </c>
      <c r="M349" s="16" t="str">
        <f>IFERROR(IF([1]对账明细接口!$M$349=0,"",[1]对账明细接口!$M$349),"")</f>
        <v/>
      </c>
      <c r="N349" s="19">
        <f t="shared" si="10"/>
        <v>1</v>
      </c>
      <c r="O349" s="19">
        <f t="shared" si="11"/>
        <v>346</v>
      </c>
      <c r="S349" s="20" t="str">
        <f>IFERROR(IF([1]对账明细接口!$N349=0,"",[1]对账明细接口!$N349),"")</f>
        <v/>
      </c>
      <c r="T349" s="21" t="str">
        <f>IFERROR(IF([1]对账明细接口!$O349=0,"",[1]对账明细接口!$O349),"")</f>
        <v/>
      </c>
      <c r="U349" s="21" t="str">
        <f>IFERROR(IF([1]对账明细接口!$P349=0,"",[1]对账明细接口!$P349),"")</f>
        <v/>
      </c>
      <c r="V349" s="21" t="str">
        <f>IFERROR(IF([1]对账明细接口!$Q349=0,"",[1]对账明细接口!$Q349),"")</f>
        <v/>
      </c>
      <c r="W349" s="20" t="str">
        <f>IFERROR(IF([1]对账明细接口!$R349=0,"",[1]对账明细接口!$R349),"")</f>
        <v/>
      </c>
      <c r="X349" s="20" t="str">
        <f>IFERROR(IF([1]对账明细接口!$S349=0,"",[1]对账明细接口!$S349),"")</f>
        <v/>
      </c>
      <c r="Y349" s="20" t="str">
        <f>IFERROR(IF([1]对账明细接口!$T349=0,"",[1]对账明细接口!$T349),"")</f>
        <v/>
      </c>
      <c r="Z349" s="24" t="str">
        <f>IFERROR(IF([1]对账明细接口!$U349=0,"",[1]对账明细接口!$U349),"")</f>
        <v/>
      </c>
      <c r="AA349" s="24" t="str">
        <f>IFERROR(IF([1]对账明细接口!$V349=0,"",[1]对账明细接口!$V349),"")</f>
        <v/>
      </c>
      <c r="AB349" s="20" t="str">
        <f>IFERROR(IF([1]对账明细接口!$W349=0,"",[1]对账明细接口!$W349),"")</f>
        <v/>
      </c>
      <c r="AC349" s="7" t="str">
        <f>IFERROR(IF([1]对账明细接口!$X349=0,"",[1]对账明细接口!$X349),"")</f>
        <v/>
      </c>
      <c r="AD349" s="7" t="str">
        <f>IFERROR(IF([1]对账明细接口!$Y349=0,"",[1]对账明细接口!$Y349),"")</f>
        <v/>
      </c>
      <c r="AE349" s="7" t="str">
        <f>IFERROR(IF([1]对账明细接口!$AA349=0,"",[1]对账明细接口!$AA349),"")</f>
        <v/>
      </c>
      <c r="AF349" s="7" t="str">
        <f>IFERROR(IF([1]对账明细接口!$AB349=0,"",[1]对账明细接口!$AB349),"")</f>
        <v/>
      </c>
      <c r="AG349" s="7" t="str">
        <f>IFERROR(IF([1]对账明细接口!$AC349=0,"",[1]对账明细接口!$AC349),"")</f>
        <v/>
      </c>
      <c r="AH349" s="7" t="str">
        <f>IFERROR(IF([1]对账明细接口!$AD349=0,"",[1]对账明细接口!$AD349),"")</f>
        <v/>
      </c>
      <c r="AI349" s="7" t="str">
        <f>IFERROR(IF([1]对账明细接口!$AE349=0,"",[1]对账明细接口!$AE349),"")</f>
        <v/>
      </c>
      <c r="AJ349" s="7" t="str">
        <f>IFERROR(IF([1]对账明细接口!$AF349=0,"",[1]对账明细接口!$AF349),"")</f>
        <v/>
      </c>
    </row>
    <row r="350" ht="14.25" customHeight="1" spans="1:36">
      <c r="A350" s="14">
        <v>350</v>
      </c>
      <c r="B350" s="15">
        <f>IFERROR(IF([1]对账明细接口!$B$350=0,"",[1]对账明细接口!$B$350),"")</f>
        <v>46282</v>
      </c>
      <c r="C350" s="16" t="str">
        <f>IFERROR(IF([1]对账明细接口!$C$350=0,"",[1]对账明细接口!$C$350),"")</f>
        <v>麦麦提</v>
      </c>
      <c r="D350" s="16" t="str">
        <f>IFERROR(IF([1]对账明细接口!$D$350=0,"",[1]对账明细接口!$D$350),"")</f>
        <v>原料出库－出库加工</v>
      </c>
      <c r="E350" s="16" t="str">
        <f>IFERROR(IF([1]对账明细接口!$E$350=0,"",[1]对账明细接口!$E$350),"")</f>
        <v>NO:0001158</v>
      </c>
      <c r="F350" s="16" t="str">
        <f>IFERROR(IF([1]对账明细接口!$F$350=0,"",[1]对账明细接口!$F$350),"")</f>
        <v>香梨</v>
      </c>
      <c r="G350" s="16" t="str">
        <f>IFERROR(IF([1]对账明细接口!$G$350=0,"",[1]对账明细接口!$G$350),"")</f>
        <v>香梨一级</v>
      </c>
      <c r="H350" s="17">
        <f>IFERROR(IF([1]对账明细接口!$H$350=0,"",[1]对账明细接口!$H$350),"")</f>
        <v>168</v>
      </c>
      <c r="I350" s="16" t="str">
        <f>IFERROR(IF([1]对账明细接口!$I$350=0,"",[1]对账明细接口!$I$350),"")</f>
        <v>筐</v>
      </c>
      <c r="J350" s="18" t="str">
        <f>IFERROR(IF([1]对账明细接口!$J$350=0,"",[1]对账明细接口!$J$350),"")</f>
        <v/>
      </c>
      <c r="K350" s="18" t="str">
        <f>IFERROR(IF([1]对账明细接口!$K$350=0,"",[1]对账明细接口!$K$350),"")</f>
        <v/>
      </c>
      <c r="L350" s="16" t="str">
        <f>IFERROR(IF([1]对账明细接口!$L$350=0,"",[1]对账明细接口!$L$350),"")</f>
        <v/>
      </c>
      <c r="M350" s="16" t="str">
        <f>IFERROR(IF([1]对账明细接口!$M$350=0,"",[1]对账明细接口!$M$350),"")</f>
        <v/>
      </c>
      <c r="N350" s="19">
        <f t="shared" si="10"/>
        <v>1</v>
      </c>
      <c r="O350" s="19">
        <f t="shared" si="11"/>
        <v>347</v>
      </c>
      <c r="S350" s="20" t="str">
        <f>IFERROR(IF([1]对账明细接口!$N350=0,"",[1]对账明细接口!$N350),"")</f>
        <v/>
      </c>
      <c r="T350" s="21" t="str">
        <f>IFERROR(IF([1]对账明细接口!$O350=0,"",[1]对账明细接口!$O350),"")</f>
        <v/>
      </c>
      <c r="U350" s="21" t="str">
        <f>IFERROR(IF([1]对账明细接口!$P350=0,"",[1]对账明细接口!$P350),"")</f>
        <v/>
      </c>
      <c r="V350" s="21" t="str">
        <f>IFERROR(IF([1]对账明细接口!$Q350=0,"",[1]对账明细接口!$Q350),"")</f>
        <v/>
      </c>
      <c r="W350" s="20" t="str">
        <f>IFERROR(IF([1]对账明细接口!$R350=0,"",[1]对账明细接口!$R350),"")</f>
        <v/>
      </c>
      <c r="X350" s="20" t="str">
        <f>IFERROR(IF([1]对账明细接口!$S350=0,"",[1]对账明细接口!$S350),"")</f>
        <v/>
      </c>
      <c r="Y350" s="20" t="str">
        <f>IFERROR(IF([1]对账明细接口!$T350=0,"",[1]对账明细接口!$T350),"")</f>
        <v/>
      </c>
      <c r="Z350" s="24" t="str">
        <f>IFERROR(IF([1]对账明细接口!$U350=0,"",[1]对账明细接口!$U350),"")</f>
        <v/>
      </c>
      <c r="AA350" s="24" t="str">
        <f>IFERROR(IF([1]对账明细接口!$V350=0,"",[1]对账明细接口!$V350),"")</f>
        <v/>
      </c>
      <c r="AB350" s="20" t="str">
        <f>IFERROR(IF([1]对账明细接口!$W350=0,"",[1]对账明细接口!$W350),"")</f>
        <v/>
      </c>
      <c r="AC350" s="7" t="str">
        <f>IFERROR(IF([1]对账明细接口!$X350=0,"",[1]对账明细接口!$X350),"")</f>
        <v/>
      </c>
      <c r="AD350" s="7" t="str">
        <f>IFERROR(IF([1]对账明细接口!$Y350=0,"",[1]对账明细接口!$Y350),"")</f>
        <v/>
      </c>
      <c r="AE350" s="7" t="str">
        <f>IFERROR(IF([1]对账明细接口!$AA350=0,"",[1]对账明细接口!$AA350),"")</f>
        <v/>
      </c>
      <c r="AF350" s="7" t="str">
        <f>IFERROR(IF([1]对账明细接口!$AB350=0,"",[1]对账明细接口!$AB350),"")</f>
        <v/>
      </c>
      <c r="AG350" s="7" t="str">
        <f>IFERROR(IF([1]对账明细接口!$AC350=0,"",[1]对账明细接口!$AC350),"")</f>
        <v/>
      </c>
      <c r="AH350" s="7" t="str">
        <f>IFERROR(IF([1]对账明细接口!$AD350=0,"",[1]对账明细接口!$AD350),"")</f>
        <v/>
      </c>
      <c r="AI350" s="7" t="str">
        <f>IFERROR(IF([1]对账明细接口!$AE350=0,"",[1]对账明细接口!$AE350),"")</f>
        <v/>
      </c>
      <c r="AJ350" s="7" t="str">
        <f>IFERROR(IF([1]对账明细接口!$AF350=0,"",[1]对账明细接口!$AF350),"")</f>
        <v/>
      </c>
    </row>
    <row r="351" ht="14.25" customHeight="1" spans="1:36">
      <c r="A351" s="14">
        <v>351</v>
      </c>
      <c r="B351" s="15">
        <f>IFERROR(IF([1]对账明细接口!$B$351=0,"",[1]对账明细接口!$B$351),"")</f>
        <v>46282</v>
      </c>
      <c r="C351" s="16" t="str">
        <f>IFERROR(IF([1]对账明细接口!$C$351=0,"",[1]对账明细接口!$C$351),"")</f>
        <v>王照雪</v>
      </c>
      <c r="D351" s="16" t="str">
        <f>IFERROR(IF([1]对账明细接口!$D$351=0,"",[1]对账明细接口!$D$351),"")</f>
        <v>原料出库－出库加工</v>
      </c>
      <c r="E351" s="16" t="str">
        <f>IFERROR(IF([1]对账明细接口!$E$351=0,"",[1]对账明细接口!$E$351),"")</f>
        <v>NO:0001159</v>
      </c>
      <c r="F351" s="16" t="str">
        <f>IFERROR(IF([1]对账明细接口!$F$351=0,"",[1]对账明细接口!$F$351),"")</f>
        <v>苹果</v>
      </c>
      <c r="G351" s="16" t="str">
        <f>IFERROR(IF([1]对账明细接口!$G$351=0,"",[1]对账明细接口!$G$351),"")</f>
        <v>新世纪一级</v>
      </c>
      <c r="H351" s="17">
        <f>IFERROR(IF([1]对账明细接口!$H$351=0,"",[1]对账明细接口!$H$351),"")</f>
        <v>48</v>
      </c>
      <c r="I351" s="16" t="str">
        <f>IFERROR(IF([1]对账明细接口!$I$351=0,"",[1]对账明细接口!$I$351),"")</f>
        <v>筐</v>
      </c>
      <c r="J351" s="18" t="str">
        <f>IFERROR(IF([1]对账明细接口!$J$351=0,"",[1]对账明细接口!$J$351),"")</f>
        <v/>
      </c>
      <c r="K351" s="18" t="str">
        <f>IFERROR(IF([1]对账明细接口!$K$351=0,"",[1]对账明细接口!$K$351),"")</f>
        <v/>
      </c>
      <c r="L351" s="16" t="str">
        <f>IFERROR(IF([1]对账明细接口!$L$351=0,"",[1]对账明细接口!$L$351),"")</f>
        <v/>
      </c>
      <c r="M351" s="16" t="str">
        <f>IFERROR(IF([1]对账明细接口!$M$351=0,"",[1]对账明细接口!$M$351),"")</f>
        <v>套袋</v>
      </c>
      <c r="N351" s="19">
        <f t="shared" si="10"/>
        <v>1</v>
      </c>
      <c r="O351" s="19">
        <f t="shared" si="11"/>
        <v>348</v>
      </c>
      <c r="S351" s="20" t="str">
        <f>IFERROR(IF([1]对账明细接口!$N351=0,"",[1]对账明细接口!$N351),"")</f>
        <v/>
      </c>
      <c r="T351" s="21" t="str">
        <f>IFERROR(IF([1]对账明细接口!$O351=0,"",[1]对账明细接口!$O351),"")</f>
        <v/>
      </c>
      <c r="U351" s="21" t="str">
        <f>IFERROR(IF([1]对账明细接口!$P351=0,"",[1]对账明细接口!$P351),"")</f>
        <v/>
      </c>
      <c r="V351" s="21" t="str">
        <f>IFERROR(IF([1]对账明细接口!$Q351=0,"",[1]对账明细接口!$Q351),"")</f>
        <v/>
      </c>
      <c r="W351" s="20" t="str">
        <f>IFERROR(IF([1]对账明细接口!$R351=0,"",[1]对账明细接口!$R351),"")</f>
        <v/>
      </c>
      <c r="X351" s="20" t="str">
        <f>IFERROR(IF([1]对账明细接口!$S351=0,"",[1]对账明细接口!$S351),"")</f>
        <v/>
      </c>
      <c r="Y351" s="20" t="str">
        <f>IFERROR(IF([1]对账明细接口!$T351=0,"",[1]对账明细接口!$T351),"")</f>
        <v/>
      </c>
      <c r="Z351" s="24" t="str">
        <f>IFERROR(IF([1]对账明细接口!$U351=0,"",[1]对账明细接口!$U351),"")</f>
        <v/>
      </c>
      <c r="AA351" s="24" t="str">
        <f>IFERROR(IF([1]对账明细接口!$V351=0,"",[1]对账明细接口!$V351),"")</f>
        <v/>
      </c>
      <c r="AB351" s="20" t="str">
        <f>IFERROR(IF([1]对账明细接口!$W351=0,"",[1]对账明细接口!$W351),"")</f>
        <v/>
      </c>
      <c r="AC351" s="7" t="str">
        <f>IFERROR(IF([1]对账明细接口!$X351=0,"",[1]对账明细接口!$X351),"")</f>
        <v/>
      </c>
      <c r="AD351" s="7" t="str">
        <f>IFERROR(IF([1]对账明细接口!$Y351=0,"",[1]对账明细接口!$Y351),"")</f>
        <v/>
      </c>
      <c r="AE351" s="7" t="str">
        <f>IFERROR(IF([1]对账明细接口!$AA351=0,"",[1]对账明细接口!$AA351),"")</f>
        <v/>
      </c>
      <c r="AF351" s="7" t="str">
        <f>IFERROR(IF([1]对账明细接口!$AB351=0,"",[1]对账明细接口!$AB351),"")</f>
        <v/>
      </c>
      <c r="AG351" s="7" t="str">
        <f>IFERROR(IF([1]对账明细接口!$AC351=0,"",[1]对账明细接口!$AC351),"")</f>
        <v/>
      </c>
      <c r="AH351" s="7" t="str">
        <f>IFERROR(IF([1]对账明细接口!$AD351=0,"",[1]对账明细接口!$AD351),"")</f>
        <v/>
      </c>
      <c r="AI351" s="7" t="str">
        <f>IFERROR(IF([1]对账明细接口!$AE351=0,"",[1]对账明细接口!$AE351),"")</f>
        <v/>
      </c>
      <c r="AJ351" s="7" t="str">
        <f>IFERROR(IF([1]对账明细接口!$AF351=0,"",[1]对账明细接口!$AF351),"")</f>
        <v/>
      </c>
    </row>
    <row r="352" ht="14.25" customHeight="1" spans="1:36">
      <c r="A352" s="14">
        <v>352</v>
      </c>
      <c r="B352" s="15">
        <f>IFERROR(IF([1]对账明细接口!$B$352=0,"",[1]对账明细接口!$B$352),"")</f>
        <v>46282</v>
      </c>
      <c r="C352" s="16" t="str">
        <f>IFERROR(IF([1]对账明细接口!$C$352=0,"",[1]对账明细接口!$C$352),"")</f>
        <v>王照雪</v>
      </c>
      <c r="D352" s="16" t="str">
        <f>IFERROR(IF([1]对账明细接口!$D$352=0,"",[1]对账明细接口!$D$352),"")</f>
        <v>原料出库－出库加工</v>
      </c>
      <c r="E352" s="16" t="str">
        <f>IFERROR(IF([1]对账明细接口!$E$352=0,"",[1]对账明细接口!$E$352),"")</f>
        <v>NO:0001159</v>
      </c>
      <c r="F352" s="16" t="str">
        <f>IFERROR(IF([1]对账明细接口!$F$352=0,"",[1]对账明细接口!$F$352),"")</f>
        <v>苹果</v>
      </c>
      <c r="G352" s="16" t="str">
        <f>IFERROR(IF([1]对账明细接口!$G$352=0,"",[1]对账明细接口!$G$352),"")</f>
        <v>新世纪一级</v>
      </c>
      <c r="H352" s="17">
        <f>IFERROR(IF([1]对账明细接口!$H$352=0,"",[1]对账明细接口!$H$352),"")</f>
        <v>52</v>
      </c>
      <c r="I352" s="16" t="str">
        <f>IFERROR(IF([1]对账明细接口!$I$352=0,"",[1]对账明细接口!$I$352),"")</f>
        <v>筐</v>
      </c>
      <c r="J352" s="18" t="str">
        <f>IFERROR(IF([1]对账明细接口!$J$352=0,"",[1]对账明细接口!$J$352),"")</f>
        <v/>
      </c>
      <c r="K352" s="18" t="str">
        <f>IFERROR(IF([1]对账明细接口!$K$352=0,"",[1]对账明细接口!$K$352),"")</f>
        <v/>
      </c>
      <c r="L352" s="16" t="str">
        <f>IFERROR(IF([1]对账明细接口!$L$352=0,"",[1]对账明细接口!$L$352),"")</f>
        <v/>
      </c>
      <c r="M352" s="16" t="str">
        <f>IFERROR(IF([1]对账明细接口!$M$352=0,"",[1]对账明细接口!$M$352),"")</f>
        <v>光果</v>
      </c>
      <c r="N352" s="19">
        <f t="shared" si="10"/>
        <v>1</v>
      </c>
      <c r="O352" s="19">
        <f t="shared" si="11"/>
        <v>349</v>
      </c>
      <c r="S352" s="20" t="str">
        <f>IFERROR(IF([1]对账明细接口!$N352=0,"",[1]对账明细接口!$N352),"")</f>
        <v/>
      </c>
      <c r="T352" s="21" t="str">
        <f>IFERROR(IF([1]对账明细接口!$O352=0,"",[1]对账明细接口!$O352),"")</f>
        <v/>
      </c>
      <c r="U352" s="21" t="str">
        <f>IFERROR(IF([1]对账明细接口!$P352=0,"",[1]对账明细接口!$P352),"")</f>
        <v/>
      </c>
      <c r="V352" s="21" t="str">
        <f>IFERROR(IF([1]对账明细接口!$Q352=0,"",[1]对账明细接口!$Q352),"")</f>
        <v/>
      </c>
      <c r="W352" s="20" t="str">
        <f>IFERROR(IF([1]对账明细接口!$R352=0,"",[1]对账明细接口!$R352),"")</f>
        <v/>
      </c>
      <c r="X352" s="20" t="str">
        <f>IFERROR(IF([1]对账明细接口!$S352=0,"",[1]对账明细接口!$S352),"")</f>
        <v/>
      </c>
      <c r="Y352" s="20" t="str">
        <f>IFERROR(IF([1]对账明细接口!$T352=0,"",[1]对账明细接口!$T352),"")</f>
        <v/>
      </c>
      <c r="Z352" s="24" t="str">
        <f>IFERROR(IF([1]对账明细接口!$U352=0,"",[1]对账明细接口!$U352),"")</f>
        <v/>
      </c>
      <c r="AA352" s="24" t="str">
        <f>IFERROR(IF([1]对账明细接口!$V352=0,"",[1]对账明细接口!$V352),"")</f>
        <v/>
      </c>
      <c r="AB352" s="20" t="str">
        <f>IFERROR(IF([1]对账明细接口!$W352=0,"",[1]对账明细接口!$W352),"")</f>
        <v/>
      </c>
      <c r="AC352" s="7" t="str">
        <f>IFERROR(IF([1]对账明细接口!$X352=0,"",[1]对账明细接口!$X352),"")</f>
        <v/>
      </c>
      <c r="AD352" s="7" t="str">
        <f>IFERROR(IF([1]对账明细接口!$Y352=0,"",[1]对账明细接口!$Y352),"")</f>
        <v/>
      </c>
      <c r="AE352" s="7" t="str">
        <f>IFERROR(IF([1]对账明细接口!$AA352=0,"",[1]对账明细接口!$AA352),"")</f>
        <v/>
      </c>
      <c r="AF352" s="7" t="str">
        <f>IFERROR(IF([1]对账明细接口!$AB352=0,"",[1]对账明细接口!$AB352),"")</f>
        <v/>
      </c>
      <c r="AG352" s="7" t="str">
        <f>IFERROR(IF([1]对账明细接口!$AC352=0,"",[1]对账明细接口!$AC352),"")</f>
        <v/>
      </c>
      <c r="AH352" s="7" t="str">
        <f>IFERROR(IF([1]对账明细接口!$AD352=0,"",[1]对账明细接口!$AD352),"")</f>
        <v/>
      </c>
      <c r="AI352" s="7" t="str">
        <f>IFERROR(IF([1]对账明细接口!$AE352=0,"",[1]对账明细接口!$AE352),"")</f>
        <v/>
      </c>
      <c r="AJ352" s="7" t="str">
        <f>IFERROR(IF([1]对账明细接口!$AF352=0,"",[1]对账明细接口!$AF352),"")</f>
        <v/>
      </c>
    </row>
    <row r="353" ht="14.25" customHeight="1" spans="1:36">
      <c r="A353" s="14">
        <v>353</v>
      </c>
      <c r="B353" s="15">
        <f>IFERROR(IF([1]对账明细接口!$B$353=0,"",[1]对账明细接口!$B$353),"")</f>
        <v>46282</v>
      </c>
      <c r="C353" s="16" t="str">
        <f>IFERROR(IF([1]对账明细接口!$C$353=0,"",[1]对账明细接口!$C$353),"")</f>
        <v>王照雪</v>
      </c>
      <c r="D353" s="16" t="str">
        <f>IFERROR(IF([1]对账明细接口!$D$353=0,"",[1]对账明细接口!$D$353),"")</f>
        <v>原料出库－出库加工</v>
      </c>
      <c r="E353" s="16" t="str">
        <f>IFERROR(IF([1]对账明细接口!$E$353=0,"",[1]对账明细接口!$E$353),"")</f>
        <v>NO:0001159</v>
      </c>
      <c r="F353" s="16" t="str">
        <f>IFERROR(IF([1]对账明细接口!$F$353=0,"",[1]对账明细接口!$F$353),"")</f>
        <v>苹果</v>
      </c>
      <c r="G353" s="16" t="str">
        <f>IFERROR(IF([1]对账明细接口!$G$353=0,"",[1]对账明细接口!$G$353),"")</f>
        <v>新世纪二级</v>
      </c>
      <c r="H353" s="17">
        <f>IFERROR(IF([1]对账明细接口!$H$353=0,"",[1]对账明细接口!$H$353),"")</f>
        <v>104</v>
      </c>
      <c r="I353" s="16" t="str">
        <f>IFERROR(IF([1]对账明细接口!$I$353=0,"",[1]对账明细接口!$I$353),"")</f>
        <v>筐</v>
      </c>
      <c r="J353" s="18" t="str">
        <f>IFERROR(IF([1]对账明细接口!$J$353=0,"",[1]对账明细接口!$J$353),"")</f>
        <v/>
      </c>
      <c r="K353" s="18" t="str">
        <f>IFERROR(IF([1]对账明细接口!$K$353=0,"",[1]对账明细接口!$K$353),"")</f>
        <v/>
      </c>
      <c r="L353" s="16" t="str">
        <f>IFERROR(IF([1]对账明细接口!$L$353=0,"",[1]对账明细接口!$L$353),"")</f>
        <v/>
      </c>
      <c r="M353" s="16" t="str">
        <f>IFERROR(IF([1]对账明细接口!$M$353=0,"",[1]对账明细接口!$M$353),"")</f>
        <v>光果</v>
      </c>
      <c r="N353" s="19">
        <f t="shared" si="10"/>
        <v>1</v>
      </c>
      <c r="O353" s="19">
        <f t="shared" si="11"/>
        <v>350</v>
      </c>
      <c r="S353" s="20" t="str">
        <f>IFERROR(IF([1]对账明细接口!$N353=0,"",[1]对账明细接口!$N353),"")</f>
        <v/>
      </c>
      <c r="T353" s="21" t="str">
        <f>IFERROR(IF([1]对账明细接口!$O353=0,"",[1]对账明细接口!$O353),"")</f>
        <v/>
      </c>
      <c r="U353" s="21" t="str">
        <f>IFERROR(IF([1]对账明细接口!$P353=0,"",[1]对账明细接口!$P353),"")</f>
        <v/>
      </c>
      <c r="V353" s="21" t="str">
        <f>IFERROR(IF([1]对账明细接口!$Q353=0,"",[1]对账明细接口!$Q353),"")</f>
        <v/>
      </c>
      <c r="W353" s="20" t="str">
        <f>IFERROR(IF([1]对账明细接口!$R353=0,"",[1]对账明细接口!$R353),"")</f>
        <v/>
      </c>
      <c r="X353" s="20" t="str">
        <f>IFERROR(IF([1]对账明细接口!$S353=0,"",[1]对账明细接口!$S353),"")</f>
        <v/>
      </c>
      <c r="Y353" s="20" t="str">
        <f>IFERROR(IF([1]对账明细接口!$T353=0,"",[1]对账明细接口!$T353),"")</f>
        <v/>
      </c>
      <c r="Z353" s="24" t="str">
        <f>IFERROR(IF([1]对账明细接口!$U353=0,"",[1]对账明细接口!$U353),"")</f>
        <v/>
      </c>
      <c r="AA353" s="24" t="str">
        <f>IFERROR(IF([1]对账明细接口!$V353=0,"",[1]对账明细接口!$V353),"")</f>
        <v/>
      </c>
      <c r="AB353" s="20" t="str">
        <f>IFERROR(IF([1]对账明细接口!$W353=0,"",[1]对账明细接口!$W353),"")</f>
        <v/>
      </c>
      <c r="AC353" s="7" t="str">
        <f>IFERROR(IF([1]对账明细接口!$X353=0,"",[1]对账明细接口!$X353),"")</f>
        <v/>
      </c>
      <c r="AD353" s="7" t="str">
        <f>IFERROR(IF([1]对账明细接口!$Y353=0,"",[1]对账明细接口!$Y353),"")</f>
        <v/>
      </c>
      <c r="AE353" s="7" t="str">
        <f>IFERROR(IF([1]对账明细接口!$AA353=0,"",[1]对账明细接口!$AA353),"")</f>
        <v/>
      </c>
      <c r="AF353" s="7" t="str">
        <f>IFERROR(IF([1]对账明细接口!$AB353=0,"",[1]对账明细接口!$AB353),"")</f>
        <v/>
      </c>
      <c r="AG353" s="7" t="str">
        <f>IFERROR(IF([1]对账明细接口!$AC353=0,"",[1]对账明细接口!$AC353),"")</f>
        <v/>
      </c>
      <c r="AH353" s="7" t="str">
        <f>IFERROR(IF([1]对账明细接口!$AD353=0,"",[1]对账明细接口!$AD353),"")</f>
        <v/>
      </c>
      <c r="AI353" s="7" t="str">
        <f>IFERROR(IF([1]对账明细接口!$AE353=0,"",[1]对账明细接口!$AE353),"")</f>
        <v/>
      </c>
      <c r="AJ353" s="7" t="str">
        <f>IFERROR(IF([1]对账明细接口!$AF353=0,"",[1]对账明细接口!$AF353),"")</f>
        <v/>
      </c>
    </row>
    <row r="354" ht="14.25" customHeight="1" spans="1:36">
      <c r="A354" s="14">
        <v>354</v>
      </c>
      <c r="B354" s="15">
        <f>IFERROR(IF([1]对账明细接口!$B$354=0,"",[1]对账明细接口!$B$354),"")</f>
        <v>46282</v>
      </c>
      <c r="C354" s="16" t="str">
        <f>IFERROR(IF([1]对账明细接口!$C$354=0,"",[1]对账明细接口!$C$354),"")</f>
        <v>王照雪</v>
      </c>
      <c r="D354" s="16" t="str">
        <f>IFERROR(IF([1]对账明细接口!$D$354=0,"",[1]对账明细接口!$D$354),"")</f>
        <v>原料出库－出库加工</v>
      </c>
      <c r="E354" s="16" t="str">
        <f>IFERROR(IF([1]对账明细接口!$E$354=0,"",[1]对账明细接口!$E$354),"")</f>
        <v>NO:0001161</v>
      </c>
      <c r="F354" s="16" t="str">
        <f>IFERROR(IF([1]对账明细接口!$F$354=0,"",[1]对账明细接口!$F$354),"")</f>
        <v>香梨</v>
      </c>
      <c r="G354" s="16" t="str">
        <f>IFERROR(IF([1]对账明细接口!$G$354=0,"",[1]对账明细接口!$G$354),"")</f>
        <v>香梨一级</v>
      </c>
      <c r="H354" s="17">
        <f>IFERROR(IF([1]对账明细接口!$H$354=0,"",[1]对账明细接口!$H$354),"")</f>
        <v>9</v>
      </c>
      <c r="I354" s="16" t="str">
        <f>IFERROR(IF([1]对账明细接口!$I$354=0,"",[1]对账明细接口!$I$354),"")</f>
        <v>筐</v>
      </c>
      <c r="J354" s="18" t="str">
        <f>IFERROR(IF([1]对账明细接口!$J$354=0,"",[1]对账明细接口!$J$354),"")</f>
        <v/>
      </c>
      <c r="K354" s="18" t="str">
        <f>IFERROR(IF([1]对账明细接口!$K$354=0,"",[1]对账明细接口!$K$354),"")</f>
        <v/>
      </c>
      <c r="L354" s="16" t="str">
        <f>IFERROR(IF([1]对账明细接口!$L$354=0,"",[1]对账明细接口!$L$354),"")</f>
        <v/>
      </c>
      <c r="M354" s="16" t="str">
        <f>IFERROR(IF([1]对账明细接口!$M$354=0,"",[1]对账明细接口!$M$354),"")</f>
        <v/>
      </c>
      <c r="N354" s="19">
        <f t="shared" si="10"/>
        <v>1</v>
      </c>
      <c r="O354" s="19">
        <f t="shared" si="11"/>
        <v>351</v>
      </c>
      <c r="S354" s="20" t="str">
        <f>IFERROR(IF([1]对账明细接口!$N354=0,"",[1]对账明细接口!$N354),"")</f>
        <v/>
      </c>
      <c r="T354" s="21" t="str">
        <f>IFERROR(IF([1]对账明细接口!$O354=0,"",[1]对账明细接口!$O354),"")</f>
        <v/>
      </c>
      <c r="U354" s="21" t="str">
        <f>IFERROR(IF([1]对账明细接口!$P354=0,"",[1]对账明细接口!$P354),"")</f>
        <v/>
      </c>
      <c r="V354" s="21" t="str">
        <f>IFERROR(IF([1]对账明细接口!$Q354=0,"",[1]对账明细接口!$Q354),"")</f>
        <v/>
      </c>
      <c r="W354" s="20" t="str">
        <f>IFERROR(IF([1]对账明细接口!$R354=0,"",[1]对账明细接口!$R354),"")</f>
        <v/>
      </c>
      <c r="X354" s="20" t="str">
        <f>IFERROR(IF([1]对账明细接口!$S354=0,"",[1]对账明细接口!$S354),"")</f>
        <v/>
      </c>
      <c r="Y354" s="20" t="str">
        <f>IFERROR(IF([1]对账明细接口!$T354=0,"",[1]对账明细接口!$T354),"")</f>
        <v/>
      </c>
      <c r="Z354" s="24" t="str">
        <f>IFERROR(IF([1]对账明细接口!$U354=0,"",[1]对账明细接口!$U354),"")</f>
        <v/>
      </c>
      <c r="AA354" s="24" t="str">
        <f>IFERROR(IF([1]对账明细接口!$V354=0,"",[1]对账明细接口!$V354),"")</f>
        <v/>
      </c>
      <c r="AB354" s="20" t="str">
        <f>IFERROR(IF([1]对账明细接口!$W354=0,"",[1]对账明细接口!$W354),"")</f>
        <v/>
      </c>
      <c r="AC354" s="7" t="str">
        <f>IFERROR(IF([1]对账明细接口!$X354=0,"",[1]对账明细接口!$X354),"")</f>
        <v/>
      </c>
      <c r="AD354" s="7" t="str">
        <f>IFERROR(IF([1]对账明细接口!$Y354=0,"",[1]对账明细接口!$Y354),"")</f>
        <v/>
      </c>
      <c r="AE354" s="7" t="str">
        <f>IFERROR(IF([1]对账明细接口!$AA354=0,"",[1]对账明细接口!$AA354),"")</f>
        <v/>
      </c>
      <c r="AF354" s="7" t="str">
        <f>IFERROR(IF([1]对账明细接口!$AB354=0,"",[1]对账明细接口!$AB354),"")</f>
        <v/>
      </c>
      <c r="AG354" s="7" t="str">
        <f>IFERROR(IF([1]对账明细接口!$AC354=0,"",[1]对账明细接口!$AC354),"")</f>
        <v/>
      </c>
      <c r="AH354" s="7" t="str">
        <f>IFERROR(IF([1]对账明细接口!$AD354=0,"",[1]对账明细接口!$AD354),"")</f>
        <v/>
      </c>
      <c r="AI354" s="7" t="str">
        <f>IFERROR(IF([1]对账明细接口!$AE354=0,"",[1]对账明细接口!$AE354),"")</f>
        <v/>
      </c>
      <c r="AJ354" s="7" t="str">
        <f>IFERROR(IF([1]对账明细接口!$AF354=0,"",[1]对账明细接口!$AF354),"")</f>
        <v/>
      </c>
    </row>
    <row r="355" ht="14.25" customHeight="1" spans="1:36">
      <c r="A355" s="14">
        <v>355</v>
      </c>
      <c r="B355" s="15">
        <f>IFERROR(IF([1]对账明细接口!$B$355=0,"",[1]对账明细接口!$B$355),"")</f>
        <v>46282</v>
      </c>
      <c r="C355" s="16" t="str">
        <f>IFERROR(IF([1]对账明细接口!$C$355=0,"",[1]对账明细接口!$C$355),"")</f>
        <v>王浩</v>
      </c>
      <c r="D355" s="16" t="str">
        <f>IFERROR(IF([1]对账明细接口!$D$355=0,"",[1]对账明细接口!$D$355),"")</f>
        <v>原料出库－公司购买</v>
      </c>
      <c r="E355" s="16" t="str">
        <f>IFERROR(IF([1]对账明细接口!$E$355=0,"",[1]对账明细接口!$E$355),"")</f>
        <v>NO:0001162</v>
      </c>
      <c r="F355" s="16" t="str">
        <f>IFERROR(IF([1]对账明细接口!$F$355=0,"",[1]对账明细接口!$F$355),"")</f>
        <v>香梨</v>
      </c>
      <c r="G355" s="16" t="str">
        <f>IFERROR(IF([1]对账明细接口!$G$355=0,"",[1]对账明细接口!$G$355),"")</f>
        <v>香梨一级</v>
      </c>
      <c r="H355" s="17">
        <f>IFERROR(IF([1]对账明细接口!$H$355=0,"",[1]对账明细接口!$H$355),"")</f>
        <v>2</v>
      </c>
      <c r="I355" s="16" t="str">
        <f>IFERROR(IF([1]对账明细接口!$I$355=0,"",[1]对账明细接口!$I$355),"")</f>
        <v>筐</v>
      </c>
      <c r="J355" s="18" t="str">
        <f>IFERROR(IF([1]对账明细接口!$J$355=0,"",[1]对账明细接口!$J$355),"")</f>
        <v/>
      </c>
      <c r="K355" s="18" t="str">
        <f>IFERROR(IF([1]对账明细接口!$K$355=0,"",[1]对账明细接口!$K$355),"")</f>
        <v/>
      </c>
      <c r="L355" s="16" t="str">
        <f>IFERROR(IF([1]对账明细接口!$L$355=0,"",[1]对账明细接口!$L$355),"")</f>
        <v/>
      </c>
      <c r="M355" s="16" t="str">
        <f>IFERROR(IF([1]对账明细接口!$M$355=0,"",[1]对账明细接口!$M$355),"")</f>
        <v>送礼-桂疆朱总(2筐)</v>
      </c>
      <c r="N355" s="19">
        <f t="shared" si="10"/>
        <v>1</v>
      </c>
      <c r="O355" s="19">
        <f t="shared" si="11"/>
        <v>352</v>
      </c>
      <c r="S355" s="20" t="str">
        <f>IFERROR(IF([1]对账明细接口!$N355=0,"",[1]对账明细接口!$N355),"")</f>
        <v/>
      </c>
      <c r="T355" s="21" t="str">
        <f>IFERROR(IF([1]对账明细接口!$O355=0,"",[1]对账明细接口!$O355),"")</f>
        <v/>
      </c>
      <c r="U355" s="21" t="str">
        <f>IFERROR(IF([1]对账明细接口!$P355=0,"",[1]对账明细接口!$P355),"")</f>
        <v/>
      </c>
      <c r="V355" s="21" t="str">
        <f>IFERROR(IF([1]对账明细接口!$Q355=0,"",[1]对账明细接口!$Q355),"")</f>
        <v/>
      </c>
      <c r="W355" s="20" t="str">
        <f>IFERROR(IF([1]对账明细接口!$R355=0,"",[1]对账明细接口!$R355),"")</f>
        <v/>
      </c>
      <c r="X355" s="20" t="str">
        <f>IFERROR(IF([1]对账明细接口!$S355=0,"",[1]对账明细接口!$S355),"")</f>
        <v/>
      </c>
      <c r="Y355" s="20" t="str">
        <f>IFERROR(IF([1]对账明细接口!$T355=0,"",[1]对账明细接口!$T355),"")</f>
        <v/>
      </c>
      <c r="Z355" s="24" t="str">
        <f>IFERROR(IF([1]对账明细接口!$U355=0,"",[1]对账明细接口!$U355),"")</f>
        <v/>
      </c>
      <c r="AA355" s="24" t="str">
        <f>IFERROR(IF([1]对账明细接口!$V355=0,"",[1]对账明细接口!$V355),"")</f>
        <v/>
      </c>
      <c r="AB355" s="20" t="str">
        <f>IFERROR(IF([1]对账明细接口!$W355=0,"",[1]对账明细接口!$W355),"")</f>
        <v/>
      </c>
      <c r="AC355" s="7" t="str">
        <f>IFERROR(IF([1]对账明细接口!$X355=0,"",[1]对账明细接口!$X355),"")</f>
        <v/>
      </c>
      <c r="AD355" s="7" t="str">
        <f>IFERROR(IF([1]对账明细接口!$Y355=0,"",[1]对账明细接口!$Y355),"")</f>
        <v/>
      </c>
      <c r="AE355" s="7" t="str">
        <f>IFERROR(IF([1]对账明细接口!$AA355=0,"",[1]对账明细接口!$AA355),"")</f>
        <v/>
      </c>
      <c r="AF355" s="7" t="str">
        <f>IFERROR(IF([1]对账明细接口!$AB355=0,"",[1]对账明细接口!$AB355),"")</f>
        <v/>
      </c>
      <c r="AG355" s="7" t="str">
        <f>IFERROR(IF([1]对账明细接口!$AC355=0,"",[1]对账明细接口!$AC355),"")</f>
        <v/>
      </c>
      <c r="AH355" s="7" t="str">
        <f>IFERROR(IF([1]对账明细接口!$AD355=0,"",[1]对账明细接口!$AD355),"")</f>
        <v/>
      </c>
      <c r="AI355" s="7" t="str">
        <f>IFERROR(IF([1]对账明细接口!$AE355=0,"",[1]对账明细接口!$AE355),"")</f>
        <v/>
      </c>
      <c r="AJ355" s="7" t="str">
        <f>IFERROR(IF([1]对账明细接口!$AF355=0,"",[1]对账明细接口!$AF355),"")</f>
        <v/>
      </c>
    </row>
    <row r="356" ht="14.25" customHeight="1" spans="1:36">
      <c r="A356" s="14">
        <v>356</v>
      </c>
      <c r="B356" s="15">
        <f>IFERROR(IF([1]对账明细接口!$B$356=0,"",[1]对账明细接口!$B$356),"")</f>
        <v>46282</v>
      </c>
      <c r="C356" s="16" t="str">
        <f>IFERROR(IF([1]对账明细接口!$C$356=0,"",[1]对账明细接口!$C$356),"")</f>
        <v>王浩</v>
      </c>
      <c r="D356" s="16" t="str">
        <f>IFERROR(IF([1]对账明细接口!$D$356=0,"",[1]对账明细接口!$D$356),"")</f>
        <v>原料出库－公司购买</v>
      </c>
      <c r="E356" s="16" t="str">
        <f>IFERROR(IF([1]对账明细接口!$E$356=0,"",[1]对账明细接口!$E$356),"")</f>
        <v>NO:0001162</v>
      </c>
      <c r="F356" s="16" t="str">
        <f>IFERROR(IF([1]对账明细接口!$F$356=0,"",[1]对账明细接口!$F$356),"")</f>
        <v>香梨</v>
      </c>
      <c r="G356" s="16" t="str">
        <f>IFERROR(IF([1]对账明细接口!$G$356=0,"",[1]对账明细接口!$G$356),"")</f>
        <v>香梨一级</v>
      </c>
      <c r="H356" s="17">
        <f>IFERROR(IF([1]对账明细接口!$H$356=0,"",[1]对账明细接口!$H$356),"")</f>
        <v>3</v>
      </c>
      <c r="I356" s="16" t="str">
        <f>IFERROR(IF([1]对账明细接口!$I$356=0,"",[1]对账明细接口!$I$356),"")</f>
        <v>筐</v>
      </c>
      <c r="J356" s="18" t="str">
        <f>IFERROR(IF([1]对账明细接口!$J$356=0,"",[1]对账明细接口!$J$356),"")</f>
        <v/>
      </c>
      <c r="K356" s="18" t="str">
        <f>IFERROR(IF([1]对账明细接口!$K$356=0,"",[1]对账明细接口!$K$356),"")</f>
        <v/>
      </c>
      <c r="L356" s="16" t="str">
        <f>IFERROR(IF([1]对账明细接口!$L$356=0,"",[1]对账明细接口!$L$356),"")</f>
        <v/>
      </c>
      <c r="M356" s="16" t="str">
        <f>IFERROR(IF([1]对账明细接口!$M$356=0,"",[1]对账明细接口!$M$356),"")</f>
        <v>大汪总拿(特级成品8箱)</v>
      </c>
      <c r="N356" s="19">
        <f t="shared" si="10"/>
        <v>1</v>
      </c>
      <c r="O356" s="19">
        <f t="shared" si="11"/>
        <v>353</v>
      </c>
      <c r="S356" s="20" t="str">
        <f>IFERROR(IF([1]对账明细接口!$N356=0,"",[1]对账明细接口!$N356),"")</f>
        <v/>
      </c>
      <c r="T356" s="21" t="str">
        <f>IFERROR(IF([1]对账明细接口!$O356=0,"",[1]对账明细接口!$O356),"")</f>
        <v/>
      </c>
      <c r="U356" s="21" t="str">
        <f>IFERROR(IF([1]对账明细接口!$P356=0,"",[1]对账明细接口!$P356),"")</f>
        <v/>
      </c>
      <c r="V356" s="21" t="str">
        <f>IFERROR(IF([1]对账明细接口!$Q356=0,"",[1]对账明细接口!$Q356),"")</f>
        <v/>
      </c>
      <c r="W356" s="20" t="str">
        <f>IFERROR(IF([1]对账明细接口!$R356=0,"",[1]对账明细接口!$R356),"")</f>
        <v/>
      </c>
      <c r="X356" s="20" t="str">
        <f>IFERROR(IF([1]对账明细接口!$S356=0,"",[1]对账明细接口!$S356),"")</f>
        <v/>
      </c>
      <c r="Y356" s="20" t="str">
        <f>IFERROR(IF([1]对账明细接口!$T356=0,"",[1]对账明细接口!$T356),"")</f>
        <v/>
      </c>
      <c r="Z356" s="24" t="str">
        <f>IFERROR(IF([1]对账明细接口!$U356=0,"",[1]对账明细接口!$U356),"")</f>
        <v/>
      </c>
      <c r="AA356" s="24" t="str">
        <f>IFERROR(IF([1]对账明细接口!$V356=0,"",[1]对账明细接口!$V356),"")</f>
        <v/>
      </c>
      <c r="AB356" s="20" t="str">
        <f>IFERROR(IF([1]对账明细接口!$W356=0,"",[1]对账明细接口!$W356),"")</f>
        <v/>
      </c>
      <c r="AC356" s="7" t="str">
        <f>IFERROR(IF([1]对账明细接口!$X356=0,"",[1]对账明细接口!$X356),"")</f>
        <v/>
      </c>
      <c r="AD356" s="7" t="str">
        <f>IFERROR(IF([1]对账明细接口!$Y356=0,"",[1]对账明细接口!$Y356),"")</f>
        <v/>
      </c>
      <c r="AE356" s="7" t="str">
        <f>IFERROR(IF([1]对账明细接口!$AA356=0,"",[1]对账明细接口!$AA356),"")</f>
        <v/>
      </c>
      <c r="AF356" s="7" t="str">
        <f>IFERROR(IF([1]对账明细接口!$AB356=0,"",[1]对账明细接口!$AB356),"")</f>
        <v/>
      </c>
      <c r="AG356" s="7" t="str">
        <f>IFERROR(IF([1]对账明细接口!$AC356=0,"",[1]对账明细接口!$AC356),"")</f>
        <v/>
      </c>
      <c r="AH356" s="7" t="str">
        <f>IFERROR(IF([1]对账明细接口!$AD356=0,"",[1]对账明细接口!$AD356),"")</f>
        <v/>
      </c>
      <c r="AI356" s="7" t="str">
        <f>IFERROR(IF([1]对账明细接口!$AE356=0,"",[1]对账明细接口!$AE356),"")</f>
        <v/>
      </c>
      <c r="AJ356" s="7" t="str">
        <f>IFERROR(IF([1]对账明细接口!$AF356=0,"",[1]对账明细接口!$AF356),"")</f>
        <v/>
      </c>
    </row>
    <row r="357" ht="14.25" customHeight="1" spans="1:36">
      <c r="A357" s="14">
        <v>357</v>
      </c>
      <c r="B357" s="15">
        <f>IFERROR(IF([1]对账明细接口!$B$357=0,"",[1]对账明细接口!$B$357),"")</f>
        <v>46282</v>
      </c>
      <c r="C357" s="16" t="str">
        <f>IFERROR(IF([1]对账明细接口!$C$357=0,"",[1]对账明细接口!$C$357),"")</f>
        <v>王照雪</v>
      </c>
      <c r="D357" s="16" t="str">
        <f>IFERROR(IF([1]对账明细接口!$D$357=0,"",[1]对账明细接口!$D$357),"")</f>
        <v>原料出库－出库加工</v>
      </c>
      <c r="E357" s="16" t="str">
        <f>IFERROR(IF([1]对账明细接口!$E$357=0,"",[1]对账明细接口!$E$357),"")</f>
        <v>NO:0001165</v>
      </c>
      <c r="F357" s="16" t="str">
        <f>IFERROR(IF([1]对账明细接口!$F$357=0,"",[1]对账明细接口!$F$357),"")</f>
        <v>苹果</v>
      </c>
      <c r="G357" s="16" t="str">
        <f>IFERROR(IF([1]对账明细接口!$G$357=0,"",[1]对账明细接口!$G$357),"")</f>
        <v>新世纪一级</v>
      </c>
      <c r="H357" s="17">
        <f>IFERROR(IF([1]对账明细接口!$H$357=0,"",[1]对账明细接口!$H$357),"")</f>
        <v>125</v>
      </c>
      <c r="I357" s="16" t="str">
        <f>IFERROR(IF([1]对账明细接口!$I$357=0,"",[1]对账明细接口!$I$357),"")</f>
        <v>筐</v>
      </c>
      <c r="J357" s="18" t="str">
        <f>IFERROR(IF([1]对账明细接口!$J$357=0,"",[1]对账明细接口!$J$357),"")</f>
        <v/>
      </c>
      <c r="K357" s="18" t="str">
        <f>IFERROR(IF([1]对账明细接口!$K$357=0,"",[1]对账明细接口!$K$357),"")</f>
        <v/>
      </c>
      <c r="L357" s="16" t="str">
        <f>IFERROR(IF([1]对账明细接口!$L$357=0,"",[1]对账明细接口!$L$357),"")</f>
        <v/>
      </c>
      <c r="M357" s="16" t="str">
        <f>IFERROR(IF([1]对账明细接口!$M$357=0,"",[1]对账明细接口!$M$357),"")</f>
        <v/>
      </c>
      <c r="N357" s="19">
        <f t="shared" si="10"/>
        <v>1</v>
      </c>
      <c r="O357" s="19">
        <f t="shared" si="11"/>
        <v>354</v>
      </c>
      <c r="S357" s="20" t="str">
        <f>IFERROR(IF([1]对账明细接口!$N357=0,"",[1]对账明细接口!$N357),"")</f>
        <v/>
      </c>
      <c r="T357" s="21" t="str">
        <f>IFERROR(IF([1]对账明细接口!$O357=0,"",[1]对账明细接口!$O357),"")</f>
        <v/>
      </c>
      <c r="U357" s="21" t="str">
        <f>IFERROR(IF([1]对账明细接口!$P357=0,"",[1]对账明细接口!$P357),"")</f>
        <v/>
      </c>
      <c r="V357" s="21" t="str">
        <f>IFERROR(IF([1]对账明细接口!$Q357=0,"",[1]对账明细接口!$Q357),"")</f>
        <v/>
      </c>
      <c r="W357" s="20" t="str">
        <f>IFERROR(IF([1]对账明细接口!$R357=0,"",[1]对账明细接口!$R357),"")</f>
        <v/>
      </c>
      <c r="X357" s="20" t="str">
        <f>IFERROR(IF([1]对账明细接口!$S357=0,"",[1]对账明细接口!$S357),"")</f>
        <v/>
      </c>
      <c r="Y357" s="20" t="str">
        <f>IFERROR(IF([1]对账明细接口!$T357=0,"",[1]对账明细接口!$T357),"")</f>
        <v/>
      </c>
      <c r="Z357" s="24" t="str">
        <f>IFERROR(IF([1]对账明细接口!$U357=0,"",[1]对账明细接口!$U357),"")</f>
        <v/>
      </c>
      <c r="AA357" s="24" t="str">
        <f>IFERROR(IF([1]对账明细接口!$V357=0,"",[1]对账明细接口!$V357),"")</f>
        <v/>
      </c>
      <c r="AB357" s="20" t="str">
        <f>IFERROR(IF([1]对账明细接口!$W357=0,"",[1]对账明细接口!$W357),"")</f>
        <v/>
      </c>
      <c r="AC357" s="7" t="str">
        <f>IFERROR(IF([1]对账明细接口!$X357=0,"",[1]对账明细接口!$X357),"")</f>
        <v/>
      </c>
      <c r="AD357" s="7" t="str">
        <f>IFERROR(IF([1]对账明细接口!$Y357=0,"",[1]对账明细接口!$Y357),"")</f>
        <v/>
      </c>
      <c r="AE357" s="7" t="str">
        <f>IFERROR(IF([1]对账明细接口!$AA357=0,"",[1]对账明细接口!$AA357),"")</f>
        <v/>
      </c>
      <c r="AF357" s="7" t="str">
        <f>IFERROR(IF([1]对账明细接口!$AB357=0,"",[1]对账明细接口!$AB357),"")</f>
        <v/>
      </c>
      <c r="AG357" s="7" t="str">
        <f>IFERROR(IF([1]对账明细接口!$AC357=0,"",[1]对账明细接口!$AC357),"")</f>
        <v/>
      </c>
      <c r="AH357" s="7" t="str">
        <f>IFERROR(IF([1]对账明细接口!$AD357=0,"",[1]对账明细接口!$AD357),"")</f>
        <v/>
      </c>
      <c r="AI357" s="7" t="str">
        <f>IFERROR(IF([1]对账明细接口!$AE357=0,"",[1]对账明细接口!$AE357),"")</f>
        <v/>
      </c>
      <c r="AJ357" s="7" t="str">
        <f>IFERROR(IF([1]对账明细接口!$AF357=0,"",[1]对账明细接口!$AF357),"")</f>
        <v/>
      </c>
    </row>
    <row r="358" ht="14.25" customHeight="1" spans="1:36">
      <c r="A358" s="14">
        <v>358</v>
      </c>
      <c r="B358" s="15">
        <f>IFERROR(IF([1]对账明细接口!$B$358=0,"",[1]对账明细接口!$B$358),"")</f>
        <v>46282</v>
      </c>
      <c r="C358" s="16" t="str">
        <f>IFERROR(IF([1]对账明细接口!$C$358=0,"",[1]对账明细接口!$C$358),"")</f>
        <v>王照雪</v>
      </c>
      <c r="D358" s="16" t="str">
        <f>IFERROR(IF([1]对账明细接口!$D$358=0,"",[1]对账明细接口!$D$358),"")</f>
        <v>原料出库－出库加工</v>
      </c>
      <c r="E358" s="16" t="str">
        <f>IFERROR(IF([1]对账明细接口!$E$358=0,"",[1]对账明细接口!$E$358),"")</f>
        <v>NO:0001165</v>
      </c>
      <c r="F358" s="16" t="str">
        <f>IFERROR(IF([1]对账明细接口!$F$358=0,"",[1]对账明细接口!$F$358),"")</f>
        <v>苹果</v>
      </c>
      <c r="G358" s="16" t="str">
        <f>IFERROR(IF([1]对账明细接口!$G$358=0,"",[1]对账明细接口!$G$358),"")</f>
        <v>新世纪二级</v>
      </c>
      <c r="H358" s="17">
        <f>IFERROR(IF([1]对账明细接口!$H$358=0,"",[1]对账明细接口!$H$358),"")</f>
        <v>28</v>
      </c>
      <c r="I358" s="16" t="str">
        <f>IFERROR(IF([1]对账明细接口!$I$358=0,"",[1]对账明细接口!$I$358),"")</f>
        <v>筐</v>
      </c>
      <c r="J358" s="18" t="str">
        <f>IFERROR(IF([1]对账明细接口!$J$358=0,"",[1]对账明细接口!$J$358),"")</f>
        <v/>
      </c>
      <c r="K358" s="18" t="str">
        <f>IFERROR(IF([1]对账明细接口!$K$358=0,"",[1]对账明细接口!$K$358),"")</f>
        <v/>
      </c>
      <c r="L358" s="16" t="str">
        <f>IFERROR(IF([1]对账明细接口!$L$358=0,"",[1]对账明细接口!$L$358),"")</f>
        <v/>
      </c>
      <c r="M358" s="16" t="str">
        <f>IFERROR(IF([1]对账明细接口!$M$358=0,"",[1]对账明细接口!$M$358),"")</f>
        <v/>
      </c>
      <c r="N358" s="19">
        <f t="shared" si="10"/>
        <v>1</v>
      </c>
      <c r="O358" s="19">
        <f t="shared" si="11"/>
        <v>355</v>
      </c>
      <c r="S358" s="20" t="str">
        <f>IFERROR(IF([1]对账明细接口!$N358=0,"",[1]对账明细接口!$N358),"")</f>
        <v/>
      </c>
      <c r="T358" s="21" t="str">
        <f>IFERROR(IF([1]对账明细接口!$O358=0,"",[1]对账明细接口!$O358),"")</f>
        <v/>
      </c>
      <c r="U358" s="21" t="str">
        <f>IFERROR(IF([1]对账明细接口!$P358=0,"",[1]对账明细接口!$P358),"")</f>
        <v/>
      </c>
      <c r="V358" s="21" t="str">
        <f>IFERROR(IF([1]对账明细接口!$Q358=0,"",[1]对账明细接口!$Q358),"")</f>
        <v/>
      </c>
      <c r="W358" s="20" t="str">
        <f>IFERROR(IF([1]对账明细接口!$R358=0,"",[1]对账明细接口!$R358),"")</f>
        <v/>
      </c>
      <c r="X358" s="20" t="str">
        <f>IFERROR(IF([1]对账明细接口!$S358=0,"",[1]对账明细接口!$S358),"")</f>
        <v/>
      </c>
      <c r="Y358" s="20" t="str">
        <f>IFERROR(IF([1]对账明细接口!$T358=0,"",[1]对账明细接口!$T358),"")</f>
        <v/>
      </c>
      <c r="Z358" s="24" t="str">
        <f>IFERROR(IF([1]对账明细接口!$U358=0,"",[1]对账明细接口!$U358),"")</f>
        <v/>
      </c>
      <c r="AA358" s="24" t="str">
        <f>IFERROR(IF([1]对账明细接口!$V358=0,"",[1]对账明细接口!$V358),"")</f>
        <v/>
      </c>
      <c r="AB358" s="20" t="str">
        <f>IFERROR(IF([1]对账明细接口!$W358=0,"",[1]对账明细接口!$W358),"")</f>
        <v/>
      </c>
      <c r="AC358" s="7" t="str">
        <f>IFERROR(IF([1]对账明细接口!$X358=0,"",[1]对账明细接口!$X358),"")</f>
        <v/>
      </c>
      <c r="AD358" s="7" t="str">
        <f>IFERROR(IF([1]对账明细接口!$Y358=0,"",[1]对账明细接口!$Y358),"")</f>
        <v/>
      </c>
      <c r="AE358" s="7" t="str">
        <f>IFERROR(IF([1]对账明细接口!$AA358=0,"",[1]对账明细接口!$AA358),"")</f>
        <v/>
      </c>
      <c r="AF358" s="7" t="str">
        <f>IFERROR(IF([1]对账明细接口!$AB358=0,"",[1]对账明细接口!$AB358),"")</f>
        <v/>
      </c>
      <c r="AG358" s="7" t="str">
        <f>IFERROR(IF([1]对账明细接口!$AC358=0,"",[1]对账明细接口!$AC358),"")</f>
        <v/>
      </c>
      <c r="AH358" s="7" t="str">
        <f>IFERROR(IF([1]对账明细接口!$AD358=0,"",[1]对账明细接口!$AD358),"")</f>
        <v/>
      </c>
      <c r="AI358" s="7" t="str">
        <f>IFERROR(IF([1]对账明细接口!$AE358=0,"",[1]对账明细接口!$AE358),"")</f>
        <v/>
      </c>
      <c r="AJ358" s="7" t="str">
        <f>IFERROR(IF([1]对账明细接口!$AF358=0,"",[1]对账明细接口!$AF358),"")</f>
        <v/>
      </c>
    </row>
    <row r="359" ht="14.25" customHeight="1" spans="1:36">
      <c r="A359" s="14">
        <v>359</v>
      </c>
      <c r="B359" s="15">
        <f>IFERROR(IF([1]对账明细接口!$B$359=0,"",[1]对账明细接口!$B$359),"")</f>
        <v>46282</v>
      </c>
      <c r="C359" s="16" t="str">
        <f>IFERROR(IF([1]对账明细接口!$C$359=0,"",[1]对账明细接口!$C$359),"")</f>
        <v>王照雪</v>
      </c>
      <c r="D359" s="16" t="str">
        <f>IFERROR(IF([1]对账明细接口!$D$359=0,"",[1]对账明细接口!$D$359),"")</f>
        <v>原料出库－出库加工</v>
      </c>
      <c r="E359" s="16" t="str">
        <f>IFERROR(IF([1]对账明细接口!$E$359=0,"",[1]对账明细接口!$E$359),"")</f>
        <v>NO:0001165</v>
      </c>
      <c r="F359" s="16" t="str">
        <f>IFERROR(IF([1]对账明细接口!$F$359=0,"",[1]对账明细接口!$F$359),"")</f>
        <v>苹果</v>
      </c>
      <c r="G359" s="16" t="str">
        <f>IFERROR(IF([1]对账明细接口!$G$359=0,"",[1]对账明细接口!$G$359),"")</f>
        <v>玫瑰红一级</v>
      </c>
      <c r="H359" s="17">
        <f>IFERROR(IF([1]对账明细接口!$H$359=0,"",[1]对账明细接口!$H$359),"")</f>
        <v>24</v>
      </c>
      <c r="I359" s="16" t="str">
        <f>IFERROR(IF([1]对账明细接口!$I$359=0,"",[1]对账明细接口!$I$359),"")</f>
        <v>筐</v>
      </c>
      <c r="J359" s="18" t="str">
        <f>IFERROR(IF([1]对账明细接口!$J$359=0,"",[1]对账明细接口!$J$359),"")</f>
        <v/>
      </c>
      <c r="K359" s="18" t="str">
        <f>IFERROR(IF([1]对账明细接口!$K$359=0,"",[1]对账明细接口!$K$359),"")</f>
        <v/>
      </c>
      <c r="L359" s="16" t="str">
        <f>IFERROR(IF([1]对账明细接口!$L$359=0,"",[1]对账明细接口!$L$359),"")</f>
        <v/>
      </c>
      <c r="M359" s="16" t="str">
        <f>IFERROR(IF([1]对账明细接口!$M$359=0,"",[1]对账明细接口!$M$359),"")</f>
        <v/>
      </c>
      <c r="N359" s="19">
        <f t="shared" si="10"/>
        <v>1</v>
      </c>
      <c r="O359" s="19">
        <f t="shared" si="11"/>
        <v>356</v>
      </c>
      <c r="S359" s="20" t="str">
        <f>IFERROR(IF([1]对账明细接口!$N359=0,"",[1]对账明细接口!$N359),"")</f>
        <v/>
      </c>
      <c r="T359" s="21" t="str">
        <f>IFERROR(IF([1]对账明细接口!$O359=0,"",[1]对账明细接口!$O359),"")</f>
        <v/>
      </c>
      <c r="U359" s="21" t="str">
        <f>IFERROR(IF([1]对账明细接口!$P359=0,"",[1]对账明细接口!$P359),"")</f>
        <v/>
      </c>
      <c r="V359" s="21" t="str">
        <f>IFERROR(IF([1]对账明细接口!$Q359=0,"",[1]对账明细接口!$Q359),"")</f>
        <v/>
      </c>
      <c r="W359" s="20" t="str">
        <f>IFERROR(IF([1]对账明细接口!$R359=0,"",[1]对账明细接口!$R359),"")</f>
        <v/>
      </c>
      <c r="X359" s="20" t="str">
        <f>IFERROR(IF([1]对账明细接口!$S359=0,"",[1]对账明细接口!$S359),"")</f>
        <v/>
      </c>
      <c r="Y359" s="20" t="str">
        <f>IFERROR(IF([1]对账明细接口!$T359=0,"",[1]对账明细接口!$T359),"")</f>
        <v/>
      </c>
      <c r="Z359" s="24" t="str">
        <f>IFERROR(IF([1]对账明细接口!$U359=0,"",[1]对账明细接口!$U359),"")</f>
        <v/>
      </c>
      <c r="AA359" s="24" t="str">
        <f>IFERROR(IF([1]对账明细接口!$V359=0,"",[1]对账明细接口!$V359),"")</f>
        <v/>
      </c>
      <c r="AB359" s="20" t="str">
        <f>IFERROR(IF([1]对账明细接口!$W359=0,"",[1]对账明细接口!$W359),"")</f>
        <v/>
      </c>
      <c r="AC359" s="7" t="str">
        <f>IFERROR(IF([1]对账明细接口!$X359=0,"",[1]对账明细接口!$X359),"")</f>
        <v/>
      </c>
      <c r="AD359" s="7" t="str">
        <f>IFERROR(IF([1]对账明细接口!$Y359=0,"",[1]对账明细接口!$Y359),"")</f>
        <v/>
      </c>
      <c r="AE359" s="7" t="str">
        <f>IFERROR(IF([1]对账明细接口!$AA359=0,"",[1]对账明细接口!$AA359),"")</f>
        <v/>
      </c>
      <c r="AF359" s="7" t="str">
        <f>IFERROR(IF([1]对账明细接口!$AB359=0,"",[1]对账明细接口!$AB359),"")</f>
        <v/>
      </c>
      <c r="AG359" s="7" t="str">
        <f>IFERROR(IF([1]对账明细接口!$AC359=0,"",[1]对账明细接口!$AC359),"")</f>
        <v/>
      </c>
      <c r="AH359" s="7" t="str">
        <f>IFERROR(IF([1]对账明细接口!$AD359=0,"",[1]对账明细接口!$AD359),"")</f>
        <v/>
      </c>
      <c r="AI359" s="7" t="str">
        <f>IFERROR(IF([1]对账明细接口!$AE359=0,"",[1]对账明细接口!$AE359),"")</f>
        <v/>
      </c>
      <c r="AJ359" s="7" t="str">
        <f>IFERROR(IF([1]对账明细接口!$AF359=0,"",[1]对账明细接口!$AF359),"")</f>
        <v/>
      </c>
    </row>
    <row r="360" ht="14.25" customHeight="1" spans="1:36">
      <c r="A360" s="14">
        <v>360</v>
      </c>
      <c r="B360" s="15">
        <f>IFERROR(IF([1]对账明细接口!$B$360=0,"",[1]对账明细接口!$B$360),"")</f>
        <v>46283</v>
      </c>
      <c r="C360" s="16" t="str">
        <f>IFERROR(IF([1]对账明细接口!$C$360=0,"",[1]对账明细接口!$C$360),"")</f>
        <v>麦麦提</v>
      </c>
      <c r="D360" s="16" t="str">
        <f>IFERROR(IF([1]对账明细接口!$D$360=0,"",[1]对账明细接口!$D$360),"")</f>
        <v>原料出库－出库加工</v>
      </c>
      <c r="E360" s="16" t="str">
        <f>IFERROR(IF([1]对账明细接口!$E$360=0,"",[1]对账明细接口!$E$360),"")</f>
        <v>NO:0001172</v>
      </c>
      <c r="F360" s="16" t="str">
        <f>IFERROR(IF([1]对账明细接口!$F$360=0,"",[1]对账明细接口!$F$360),"")</f>
        <v>香梨</v>
      </c>
      <c r="G360" s="16" t="str">
        <f>IFERROR(IF([1]对账明细接口!$G$360=0,"",[1]对账明细接口!$G$360),"")</f>
        <v>香梨一级</v>
      </c>
      <c r="H360" s="17">
        <f>IFERROR(IF([1]对账明细接口!$H$360=0,"",[1]对账明细接口!$H$360),"")</f>
        <v>160</v>
      </c>
      <c r="I360" s="16" t="str">
        <f>IFERROR(IF([1]对账明细接口!$I$360=0,"",[1]对账明细接口!$I$360),"")</f>
        <v>筐</v>
      </c>
      <c r="J360" s="18" t="str">
        <f>IFERROR(IF([1]对账明细接口!$J$360=0,"",[1]对账明细接口!$J$360),"")</f>
        <v/>
      </c>
      <c r="K360" s="18" t="str">
        <f>IFERROR(IF([1]对账明细接口!$K$360=0,"",[1]对账明细接口!$K$360),"")</f>
        <v/>
      </c>
      <c r="L360" s="16" t="str">
        <f>IFERROR(IF([1]对账明细接口!$L$360=0,"",[1]对账明细接口!$L$360),"")</f>
        <v/>
      </c>
      <c r="M360" s="16" t="str">
        <f>IFERROR(IF([1]对账明细接口!$M$360=0,"",[1]对账明细接口!$M$360),"")</f>
        <v/>
      </c>
      <c r="N360" s="19">
        <f t="shared" si="10"/>
        <v>1</v>
      </c>
      <c r="O360" s="19">
        <f t="shared" si="11"/>
        <v>357</v>
      </c>
      <c r="S360" s="20" t="str">
        <f>IFERROR(IF([1]对账明细接口!$N360=0,"",[1]对账明细接口!$N360),"")</f>
        <v/>
      </c>
      <c r="T360" s="21" t="str">
        <f>IFERROR(IF([1]对账明细接口!$O360=0,"",[1]对账明细接口!$O360),"")</f>
        <v/>
      </c>
      <c r="U360" s="21" t="str">
        <f>IFERROR(IF([1]对账明细接口!$P360=0,"",[1]对账明细接口!$P360),"")</f>
        <v/>
      </c>
      <c r="V360" s="21" t="str">
        <f>IFERROR(IF([1]对账明细接口!$Q360=0,"",[1]对账明细接口!$Q360),"")</f>
        <v/>
      </c>
      <c r="W360" s="20" t="str">
        <f>IFERROR(IF([1]对账明细接口!$R360=0,"",[1]对账明细接口!$R360),"")</f>
        <v/>
      </c>
      <c r="X360" s="20" t="str">
        <f>IFERROR(IF([1]对账明细接口!$S360=0,"",[1]对账明细接口!$S360),"")</f>
        <v/>
      </c>
      <c r="Y360" s="20" t="str">
        <f>IFERROR(IF([1]对账明细接口!$T360=0,"",[1]对账明细接口!$T360),"")</f>
        <v/>
      </c>
      <c r="Z360" s="24" t="str">
        <f>IFERROR(IF([1]对账明细接口!$U360=0,"",[1]对账明细接口!$U360),"")</f>
        <v/>
      </c>
      <c r="AA360" s="24" t="str">
        <f>IFERROR(IF([1]对账明细接口!$V360=0,"",[1]对账明细接口!$V360),"")</f>
        <v/>
      </c>
      <c r="AB360" s="20" t="str">
        <f>IFERROR(IF([1]对账明细接口!$W360=0,"",[1]对账明细接口!$W360),"")</f>
        <v/>
      </c>
      <c r="AC360" s="7" t="str">
        <f>IFERROR(IF([1]对账明细接口!$X360=0,"",[1]对账明细接口!$X360),"")</f>
        <v/>
      </c>
      <c r="AD360" s="7" t="str">
        <f>IFERROR(IF([1]对账明细接口!$Y360=0,"",[1]对账明细接口!$Y360),"")</f>
        <v/>
      </c>
      <c r="AE360" s="7" t="str">
        <f>IFERROR(IF([1]对账明细接口!$AA360=0,"",[1]对账明细接口!$AA360),"")</f>
        <v/>
      </c>
      <c r="AF360" s="7" t="str">
        <f>IFERROR(IF([1]对账明细接口!$AB360=0,"",[1]对账明细接口!$AB360),"")</f>
        <v/>
      </c>
      <c r="AG360" s="7" t="str">
        <f>IFERROR(IF([1]对账明细接口!$AC360=0,"",[1]对账明细接口!$AC360),"")</f>
        <v/>
      </c>
      <c r="AH360" s="7" t="str">
        <f>IFERROR(IF([1]对账明细接口!$AD360=0,"",[1]对账明细接口!$AD360),"")</f>
        <v/>
      </c>
      <c r="AI360" s="7" t="str">
        <f>IFERROR(IF([1]对账明细接口!$AE360=0,"",[1]对账明细接口!$AE360),"")</f>
        <v/>
      </c>
      <c r="AJ360" s="7" t="str">
        <f>IFERROR(IF([1]对账明细接口!$AF360=0,"",[1]对账明细接口!$AF360),"")</f>
        <v/>
      </c>
    </row>
    <row r="361" ht="14.25" customHeight="1" spans="1:36">
      <c r="A361" s="14">
        <v>361</v>
      </c>
      <c r="B361" s="15">
        <f>IFERROR(IF([1]对账明细接口!$B$361=0,"",[1]对账明细接口!$B$361),"")</f>
        <v>46283</v>
      </c>
      <c r="C361" s="16" t="str">
        <f>IFERROR(IF([1]对账明细接口!$C$361=0,"",[1]对账明细接口!$C$361),"")</f>
        <v>王灵云</v>
      </c>
      <c r="D361" s="16" t="str">
        <f>IFERROR(IF([1]对账明细接口!$D$361=0,"",[1]对账明细接口!$D$361),"")</f>
        <v>原料出库－出库加工</v>
      </c>
      <c r="E361" s="16" t="str">
        <f>IFERROR(IF([1]对账明细接口!$E$361=0,"",[1]对账明细接口!$E$361),"")</f>
        <v>NO:0001173</v>
      </c>
      <c r="F361" s="16" t="str">
        <f>IFERROR(IF([1]对账明细接口!$F$361=0,"",[1]对账明细接口!$F$361),"")</f>
        <v>香梨</v>
      </c>
      <c r="G361" s="16" t="str">
        <f>IFERROR(IF([1]对账明细接口!$G$361=0,"",[1]对账明细接口!$G$361),"")</f>
        <v>香梨一级</v>
      </c>
      <c r="H361" s="17">
        <f>IFERROR(IF([1]对账明细接口!$H$361=0,"",[1]对账明细接口!$H$361),"")</f>
        <v>384</v>
      </c>
      <c r="I361" s="16" t="str">
        <f>IFERROR(IF([1]对账明细接口!$I$361=0,"",[1]对账明细接口!$I$361),"")</f>
        <v>筐</v>
      </c>
      <c r="J361" s="18" t="str">
        <f>IFERROR(IF([1]对账明细接口!$J$361=0,"",[1]对账明细接口!$J$361),"")</f>
        <v/>
      </c>
      <c r="K361" s="18" t="str">
        <f>IFERROR(IF([1]对账明细接口!$K$361=0,"",[1]对账明细接口!$K$361),"")</f>
        <v/>
      </c>
      <c r="L361" s="16" t="str">
        <f>IFERROR(IF([1]对账明细接口!$L$361=0,"",[1]对账明细接口!$L$361),"")</f>
        <v/>
      </c>
      <c r="M361" s="16" t="str">
        <f>IFERROR(IF([1]对账明细接口!$M$361=0,"",[1]对账明细接口!$M$361),"")</f>
        <v/>
      </c>
      <c r="N361" s="19">
        <f t="shared" si="10"/>
        <v>1</v>
      </c>
      <c r="O361" s="19">
        <f t="shared" si="11"/>
        <v>358</v>
      </c>
      <c r="S361" s="20" t="str">
        <f>IFERROR(IF([1]对账明细接口!$N361=0,"",[1]对账明细接口!$N361),"")</f>
        <v/>
      </c>
      <c r="T361" s="21" t="str">
        <f>IFERROR(IF([1]对账明细接口!$O361=0,"",[1]对账明细接口!$O361),"")</f>
        <v/>
      </c>
      <c r="U361" s="21" t="str">
        <f>IFERROR(IF([1]对账明细接口!$P361=0,"",[1]对账明细接口!$P361),"")</f>
        <v/>
      </c>
      <c r="V361" s="21" t="str">
        <f>IFERROR(IF([1]对账明细接口!$Q361=0,"",[1]对账明细接口!$Q361),"")</f>
        <v/>
      </c>
      <c r="W361" s="20" t="str">
        <f>IFERROR(IF([1]对账明细接口!$R361=0,"",[1]对账明细接口!$R361),"")</f>
        <v/>
      </c>
      <c r="X361" s="20" t="str">
        <f>IFERROR(IF([1]对账明细接口!$S361=0,"",[1]对账明细接口!$S361),"")</f>
        <v/>
      </c>
      <c r="Y361" s="20" t="str">
        <f>IFERROR(IF([1]对账明细接口!$T361=0,"",[1]对账明细接口!$T361),"")</f>
        <v/>
      </c>
      <c r="Z361" s="24" t="str">
        <f>IFERROR(IF([1]对账明细接口!$U361=0,"",[1]对账明细接口!$U361),"")</f>
        <v/>
      </c>
      <c r="AA361" s="24" t="str">
        <f>IFERROR(IF([1]对账明细接口!$V361=0,"",[1]对账明细接口!$V361),"")</f>
        <v/>
      </c>
      <c r="AB361" s="20" t="str">
        <f>IFERROR(IF([1]对账明细接口!$W361=0,"",[1]对账明细接口!$W361),"")</f>
        <v/>
      </c>
      <c r="AC361" s="7" t="str">
        <f>IFERROR(IF([1]对账明细接口!$X361=0,"",[1]对账明细接口!$X361),"")</f>
        <v/>
      </c>
      <c r="AD361" s="7" t="str">
        <f>IFERROR(IF([1]对账明细接口!$Y361=0,"",[1]对账明细接口!$Y361),"")</f>
        <v/>
      </c>
      <c r="AE361" s="7" t="str">
        <f>IFERROR(IF([1]对账明细接口!$AA361=0,"",[1]对账明细接口!$AA361),"")</f>
        <v/>
      </c>
      <c r="AF361" s="7" t="str">
        <f>IFERROR(IF([1]对账明细接口!$AB361=0,"",[1]对账明细接口!$AB361),"")</f>
        <v/>
      </c>
      <c r="AG361" s="7" t="str">
        <f>IFERROR(IF([1]对账明细接口!$AC361=0,"",[1]对账明细接口!$AC361),"")</f>
        <v/>
      </c>
      <c r="AH361" s="7" t="str">
        <f>IFERROR(IF([1]对账明细接口!$AD361=0,"",[1]对账明细接口!$AD361),"")</f>
        <v/>
      </c>
      <c r="AI361" s="7" t="str">
        <f>IFERROR(IF([1]对账明细接口!$AE361=0,"",[1]对账明细接口!$AE361),"")</f>
        <v/>
      </c>
      <c r="AJ361" s="7" t="str">
        <f>IFERROR(IF([1]对账明细接口!$AF361=0,"",[1]对账明细接口!$AF361),"")</f>
        <v/>
      </c>
    </row>
    <row r="362" ht="14.25" customHeight="1" spans="1:36">
      <c r="A362" s="14">
        <v>362</v>
      </c>
      <c r="B362" s="15">
        <f>IFERROR(IF([1]对账明细接口!$B$362=0,"",[1]对账明细接口!$B$362),"")</f>
        <v>46283</v>
      </c>
      <c r="C362" s="16" t="str">
        <f>IFERROR(IF([1]对账明细接口!$C$362=0,"",[1]对账明细接口!$C$362),"")</f>
        <v>王灵云</v>
      </c>
      <c r="D362" s="16" t="str">
        <f>IFERROR(IF([1]对账明细接口!$D$362=0,"",[1]对账明细接口!$D$362),"")</f>
        <v>原料出库－出库加工</v>
      </c>
      <c r="E362" s="16" t="str">
        <f>IFERROR(IF([1]对账明细接口!$E$362=0,"",[1]对账明细接口!$E$362),"")</f>
        <v>NO:0001173</v>
      </c>
      <c r="F362" s="16" t="str">
        <f>IFERROR(IF([1]对账明细接口!$F$362=0,"",[1]对账明细接口!$F$362),"")</f>
        <v>香梨</v>
      </c>
      <c r="G362" s="16" t="str">
        <f>IFERROR(IF([1]对账明细接口!$G$362=0,"",[1]对账明细接口!$G$362),"")</f>
        <v>香梨副特</v>
      </c>
      <c r="H362" s="17">
        <f>IFERROR(IF([1]对账明细接口!$H$362=0,"",[1]对账明细接口!$H$362),"")</f>
        <v>48</v>
      </c>
      <c r="I362" s="16" t="str">
        <f>IFERROR(IF([1]对账明细接口!$I$362=0,"",[1]对账明细接口!$I$362),"")</f>
        <v>筐</v>
      </c>
      <c r="J362" s="18" t="str">
        <f>IFERROR(IF([1]对账明细接口!$J$362=0,"",[1]对账明细接口!$J$362),"")</f>
        <v/>
      </c>
      <c r="K362" s="18" t="str">
        <f>IFERROR(IF([1]对账明细接口!$K$362=0,"",[1]对账明细接口!$K$362),"")</f>
        <v/>
      </c>
      <c r="L362" s="16" t="str">
        <f>IFERROR(IF([1]对账明细接口!$L$362=0,"",[1]对账明细接口!$L$362),"")</f>
        <v/>
      </c>
      <c r="M362" s="16" t="str">
        <f>IFERROR(IF([1]对账明细接口!$M$362=0,"",[1]对账明细接口!$M$362),"")</f>
        <v/>
      </c>
      <c r="N362" s="19">
        <f t="shared" si="10"/>
        <v>1</v>
      </c>
      <c r="O362" s="19">
        <f t="shared" si="11"/>
        <v>359</v>
      </c>
      <c r="S362" s="20" t="str">
        <f>IFERROR(IF([1]对账明细接口!$N362=0,"",[1]对账明细接口!$N362),"")</f>
        <v/>
      </c>
      <c r="T362" s="21" t="str">
        <f>IFERROR(IF([1]对账明细接口!$O362=0,"",[1]对账明细接口!$O362),"")</f>
        <v/>
      </c>
      <c r="U362" s="21" t="str">
        <f>IFERROR(IF([1]对账明细接口!$P362=0,"",[1]对账明细接口!$P362),"")</f>
        <v/>
      </c>
      <c r="V362" s="21" t="str">
        <f>IFERROR(IF([1]对账明细接口!$Q362=0,"",[1]对账明细接口!$Q362),"")</f>
        <v/>
      </c>
      <c r="W362" s="20" t="str">
        <f>IFERROR(IF([1]对账明细接口!$R362=0,"",[1]对账明细接口!$R362),"")</f>
        <v/>
      </c>
      <c r="X362" s="20" t="str">
        <f>IFERROR(IF([1]对账明细接口!$S362=0,"",[1]对账明细接口!$S362),"")</f>
        <v/>
      </c>
      <c r="Y362" s="20" t="str">
        <f>IFERROR(IF([1]对账明细接口!$T362=0,"",[1]对账明细接口!$T362),"")</f>
        <v/>
      </c>
      <c r="Z362" s="24" t="str">
        <f>IFERROR(IF([1]对账明细接口!$U362=0,"",[1]对账明细接口!$U362),"")</f>
        <v/>
      </c>
      <c r="AA362" s="24" t="str">
        <f>IFERROR(IF([1]对账明细接口!$V362=0,"",[1]对账明细接口!$V362),"")</f>
        <v/>
      </c>
      <c r="AB362" s="20" t="str">
        <f>IFERROR(IF([1]对账明细接口!$W362=0,"",[1]对账明细接口!$W362),"")</f>
        <v/>
      </c>
      <c r="AC362" s="7" t="str">
        <f>IFERROR(IF([1]对账明细接口!$X362=0,"",[1]对账明细接口!$X362),"")</f>
        <v/>
      </c>
      <c r="AD362" s="7" t="str">
        <f>IFERROR(IF([1]对账明细接口!$Y362=0,"",[1]对账明细接口!$Y362),"")</f>
        <v/>
      </c>
      <c r="AE362" s="7" t="str">
        <f>IFERROR(IF([1]对账明细接口!$AA362=0,"",[1]对账明细接口!$AA362),"")</f>
        <v/>
      </c>
      <c r="AF362" s="7" t="str">
        <f>IFERROR(IF([1]对账明细接口!$AB362=0,"",[1]对账明细接口!$AB362),"")</f>
        <v/>
      </c>
      <c r="AG362" s="7" t="str">
        <f>IFERROR(IF([1]对账明细接口!$AC362=0,"",[1]对账明细接口!$AC362),"")</f>
        <v/>
      </c>
      <c r="AH362" s="7" t="str">
        <f>IFERROR(IF([1]对账明细接口!$AD362=0,"",[1]对账明细接口!$AD362),"")</f>
        <v/>
      </c>
      <c r="AI362" s="7" t="str">
        <f>IFERROR(IF([1]对账明细接口!$AE362=0,"",[1]对账明细接口!$AE362),"")</f>
        <v/>
      </c>
      <c r="AJ362" s="7" t="str">
        <f>IFERROR(IF([1]对账明细接口!$AF362=0,"",[1]对账明细接口!$AF362),"")</f>
        <v/>
      </c>
    </row>
    <row r="363" ht="14.25" customHeight="1" spans="1:36">
      <c r="A363" s="14">
        <v>363</v>
      </c>
      <c r="B363" s="15">
        <f>IFERROR(IF([1]对账明细接口!$B$363=0,"",[1]对账明细接口!$B$363),"")</f>
        <v>46259</v>
      </c>
      <c r="C363" s="16" t="str">
        <f>IFERROR(IF([1]对账明细接口!$C$363=0,"",[1]对账明细接口!$C$363),"")</f>
        <v>王照雪</v>
      </c>
      <c r="D363" s="16" t="str">
        <f>IFERROR(IF([1]对账明细接口!$D$363=0,"",[1]对账明细接口!$D$363),"")</f>
        <v>成品出库－成品出库</v>
      </c>
      <c r="E363" s="16" t="str">
        <f>IFERROR(IF([1]对账明细接口!$E$363=0,"",[1]对账明细接口!$E$363),"")</f>
        <v>NO:0001035</v>
      </c>
      <c r="F363" s="16" t="str">
        <f>IFERROR(IF([1]对账明细接口!$F$363=0,"",[1]对账明细接口!$F$363),"")</f>
        <v>苹果</v>
      </c>
      <c r="G363" s="16" t="str">
        <f>IFERROR(IF([1]对账明细接口!$G$363=0,"",[1]对账明细接口!$G$363),"")</f>
        <v>华硕一级</v>
      </c>
      <c r="H363" s="17">
        <f>IFERROR(IF([1]对账明细接口!$H$363=0,"",[1]对账明细接口!$H$363),"")</f>
        <v>74</v>
      </c>
      <c r="I363" s="16" t="str">
        <f>IFERROR(IF([1]对账明细接口!$I$363=0,"",[1]对账明细接口!$I$363),"")</f>
        <v>箱</v>
      </c>
      <c r="J363" s="18">
        <f>IFERROR(IF([1]对账明细接口!$J$363=0,"",[1]对账明细接口!$J$363),"")</f>
        <v>370</v>
      </c>
      <c r="K363" s="18" t="str">
        <f>IFERROR(IF([1]对账明细接口!$K$363=0,"",[1]对账明细接口!$K$363),"")</f>
        <v/>
      </c>
      <c r="L363" s="16" t="str">
        <f>IFERROR(IF([1]对账明细接口!$L$363=0,"",[1]对账明细接口!$L$363),"")</f>
        <v/>
      </c>
      <c r="M363" s="16" t="str">
        <f>IFERROR(IF([1]对账明细接口!$M$363=0,"",[1]对账明细接口!$M$363),"")</f>
        <v/>
      </c>
      <c r="N363" s="19">
        <f t="shared" si="10"/>
        <v>1</v>
      </c>
      <c r="O363" s="19">
        <f t="shared" si="11"/>
        <v>360</v>
      </c>
      <c r="S363" s="20" t="str">
        <f>IFERROR(IF([1]对账明细接口!$N363=0,"",[1]对账明细接口!$N363),"")</f>
        <v>纸箱</v>
      </c>
      <c r="T363" s="21" t="str">
        <f>IFERROR(IF([1]对账明细接口!$O363=0,"",[1]对账明细接口!$O363),"")</f>
        <v/>
      </c>
      <c r="U363" s="21" t="str">
        <f>IFERROR(IF([1]对账明细接口!$P363=0,"",[1]对账明细接口!$P363),"")</f>
        <v/>
      </c>
      <c r="V363" s="21" t="str">
        <f>IFERROR(IF([1]对账明细接口!$Q363=0,"",[1]对账明细接口!$Q363),"")</f>
        <v/>
      </c>
      <c r="W363" s="20" t="str">
        <f>IFERROR(IF([1]对账明细接口!$R363=0,"",[1]对账明细接口!$R363),"")</f>
        <v>新N*622UR</v>
      </c>
      <c r="X363" s="20" t="str">
        <f>IFERROR(IF([1]对账明细接口!$S363=0,"",[1]对账明细接口!$S363),"")</f>
        <v>公司筐</v>
      </c>
      <c r="Y363" s="20" t="str">
        <f>IFERROR(IF([1]对账明细接口!$T363=0,"",[1]对账明细接口!$T363),"")</f>
        <v>王照雪</v>
      </c>
      <c r="Z363" s="24" t="str">
        <f>IFERROR(IF([1]对账明细接口!$U363=0,"",[1]对账明细接口!$U363),"")</f>
        <v/>
      </c>
      <c r="AA363" s="24" t="str">
        <f>IFERROR(IF([1]对账明细接口!$V363=0,"",[1]对账明细接口!$V363),"")</f>
        <v/>
      </c>
      <c r="AB363" s="20" t="str">
        <f>IFERROR(IF([1]对账明细接口!$W363=0,"",[1]对账明细接口!$W363),"")</f>
        <v/>
      </c>
      <c r="AC363" s="7" t="str">
        <f>IFERROR(IF([1]对账明细接口!$X363=0,"",[1]对账明细接口!$X363),"")</f>
        <v>电商/主播</v>
      </c>
      <c r="AD363" s="7" t="str">
        <f>IFERROR(IF([1]对账明细接口!$Y363=0,"",[1]对账明细接口!$Y363),"")</f>
        <v/>
      </c>
      <c r="AE363" s="7" t="str">
        <f>IFERROR(IF([1]对账明细接口!$AA363=0,"",[1]对账明细接口!$AA363),"")</f>
        <v/>
      </c>
      <c r="AF363" s="7" t="str">
        <f>IFERROR(IF([1]对账明细接口!$AB363=0,"",[1]对账明细接口!$AB363),"")</f>
        <v/>
      </c>
      <c r="AG363" s="7" t="str">
        <f>IFERROR(IF([1]对账明细接口!$AC363=0,"",[1]对账明细接口!$AC363),"")</f>
        <v/>
      </c>
      <c r="AH363" s="7" t="str">
        <f>IFERROR(IF([1]对账明细接口!$AD363=0,"",[1]对账明细接口!$AD363),"")</f>
        <v>成品出库</v>
      </c>
      <c r="AI363" s="7" t="str">
        <f>IFERROR(IF([1]对账明细接口!$AE363=0,"",[1]对账明细接口!$AE363),"")</f>
        <v/>
      </c>
      <c r="AJ363" s="7" t="str">
        <f>IFERROR(IF([1]对账明细接口!$AF363=0,"",[1]对账明细接口!$AF363),"")</f>
        <v/>
      </c>
    </row>
    <row r="364" ht="14.25" customHeight="1" spans="1:36">
      <c r="A364" s="14">
        <v>364</v>
      </c>
      <c r="B364" s="15">
        <f>IFERROR(IF([1]对账明细接口!$B$364=0,"",[1]对账明细接口!$B$364),"")</f>
        <v>46259</v>
      </c>
      <c r="C364" s="16" t="str">
        <f>IFERROR(IF([1]对账明细接口!$C$364=0,"",[1]对账明细接口!$C$364),"")</f>
        <v>王照雪</v>
      </c>
      <c r="D364" s="16" t="str">
        <f>IFERROR(IF([1]对账明细接口!$D$364=0,"",[1]对账明细接口!$D$364),"")</f>
        <v>成品出库－成品出库</v>
      </c>
      <c r="E364" s="16" t="str">
        <f>IFERROR(IF([1]对账明细接口!$E$364=0,"",[1]对账明细接口!$E$364),"")</f>
        <v>NO:0001035</v>
      </c>
      <c r="F364" s="16" t="str">
        <f>IFERROR(IF([1]对账明细接口!$F$364=0,"",[1]对账明细接口!$F$364),"")</f>
        <v>苹果</v>
      </c>
      <c r="G364" s="16" t="str">
        <f>IFERROR(IF([1]对账明细接口!$G$364=0,"",[1]对账明细接口!$G$364),"")</f>
        <v>华硕一级</v>
      </c>
      <c r="H364" s="17">
        <f>IFERROR(IF([1]对账明细接口!$H$364=0,"",[1]对账明细接口!$H$364),"")</f>
        <v>13</v>
      </c>
      <c r="I364" s="16" t="str">
        <f>IFERROR(IF([1]对账明细接口!$I$364=0,"",[1]对账明细接口!$I$364),"")</f>
        <v>箱</v>
      </c>
      <c r="J364" s="18">
        <f>IFERROR(IF([1]对账明细接口!$J$364=0,"",[1]对账明细接口!$J$364),"")</f>
        <v>32.5</v>
      </c>
      <c r="K364" s="18" t="str">
        <f>IFERROR(IF([1]对账明细接口!$K$364=0,"",[1]对账明细接口!$K$364),"")</f>
        <v/>
      </c>
      <c r="L364" s="16" t="str">
        <f>IFERROR(IF([1]对账明细接口!$L$364=0,"",[1]对账明细接口!$L$364),"")</f>
        <v/>
      </c>
      <c r="M364" s="16" t="str">
        <f>IFERROR(IF([1]对账明细接口!$M$364=0,"",[1]对账明细接口!$M$364),"")</f>
        <v/>
      </c>
      <c r="N364" s="19">
        <f t="shared" si="10"/>
        <v>1</v>
      </c>
      <c r="O364" s="19">
        <f t="shared" si="11"/>
        <v>361</v>
      </c>
      <c r="S364" s="20" t="str">
        <f>IFERROR(IF([1]对账明细接口!$N364=0,"",[1]对账明细接口!$N364),"")</f>
        <v>纸箱</v>
      </c>
      <c r="T364" s="21" t="str">
        <f>IFERROR(IF([1]对账明细接口!$O364=0,"",[1]对账明细接口!$O364),"")</f>
        <v/>
      </c>
      <c r="U364" s="21" t="str">
        <f>IFERROR(IF([1]对账明细接口!$P364=0,"",[1]对账明细接口!$P364),"")</f>
        <v/>
      </c>
      <c r="V364" s="21" t="str">
        <f>IFERROR(IF([1]对账明细接口!$Q364=0,"",[1]对账明细接口!$Q364),"")</f>
        <v/>
      </c>
      <c r="W364" s="20" t="str">
        <f>IFERROR(IF([1]对账明细接口!$R364=0,"",[1]对账明细接口!$R364),"")</f>
        <v>新N*622UR</v>
      </c>
      <c r="X364" s="20" t="str">
        <f>IFERROR(IF([1]对账明细接口!$S364=0,"",[1]对账明细接口!$S364),"")</f>
        <v>公司筐</v>
      </c>
      <c r="Y364" s="20" t="str">
        <f>IFERROR(IF([1]对账明细接口!$T364=0,"",[1]对账明细接口!$T364),"")</f>
        <v>王照雪</v>
      </c>
      <c r="Z364" s="24" t="str">
        <f>IFERROR(IF([1]对账明细接口!$U364=0,"",[1]对账明细接口!$U364),"")</f>
        <v/>
      </c>
      <c r="AA364" s="24" t="str">
        <f>IFERROR(IF([1]对账明细接口!$V364=0,"",[1]对账明细接口!$V364),"")</f>
        <v/>
      </c>
      <c r="AB364" s="20" t="str">
        <f>IFERROR(IF([1]对账明细接口!$W364=0,"",[1]对账明细接口!$W364),"")</f>
        <v/>
      </c>
      <c r="AC364" s="7" t="str">
        <f>IFERROR(IF([1]对账明细接口!$X364=0,"",[1]对账明细接口!$X364),"")</f>
        <v>电商/主播</v>
      </c>
      <c r="AD364" s="7" t="str">
        <f>IFERROR(IF([1]对账明细接口!$Y364=0,"",[1]对账明细接口!$Y364),"")</f>
        <v/>
      </c>
      <c r="AE364" s="7" t="str">
        <f>IFERROR(IF([1]对账明细接口!$AA364=0,"",[1]对账明细接口!$AA364),"")</f>
        <v/>
      </c>
      <c r="AF364" s="7" t="str">
        <f>IFERROR(IF([1]对账明细接口!$AB364=0,"",[1]对账明细接口!$AB364),"")</f>
        <v/>
      </c>
      <c r="AG364" s="7" t="str">
        <f>IFERROR(IF([1]对账明细接口!$AC364=0,"",[1]对账明细接口!$AC364),"")</f>
        <v/>
      </c>
      <c r="AH364" s="7" t="str">
        <f>IFERROR(IF([1]对账明细接口!$AD364=0,"",[1]对账明细接口!$AD364),"")</f>
        <v>成品出库</v>
      </c>
      <c r="AI364" s="7" t="str">
        <f>IFERROR(IF([1]对账明细接口!$AE364=0,"",[1]对账明细接口!$AE364),"")</f>
        <v/>
      </c>
      <c r="AJ364" s="7" t="str">
        <f>IFERROR(IF([1]对账明细接口!$AF364=0,"",[1]对账明细接口!$AF364),"")</f>
        <v/>
      </c>
    </row>
    <row r="365" ht="14.25" customHeight="1" spans="1:36">
      <c r="A365" s="14">
        <v>365</v>
      </c>
      <c r="B365" s="15">
        <f>IFERROR(IF([1]对账明细接口!$B$365=0,"",[1]对账明细接口!$B$365),"")</f>
        <v>46261</v>
      </c>
      <c r="C365" s="16" t="str">
        <f>IFERROR(IF([1]对账明细接口!$C$365=0,"",[1]对账明细接口!$C$365),"")</f>
        <v>王照雪</v>
      </c>
      <c r="D365" s="16" t="str">
        <f>IFERROR(IF([1]对账明细接口!$D$365=0,"",[1]对账明细接口!$D$365),"")</f>
        <v>成品出库－成品出库</v>
      </c>
      <c r="E365" s="16" t="str">
        <f>IFERROR(IF([1]对账明细接口!$E$365=0,"",[1]对账明细接口!$E$365),"")</f>
        <v>NO:0001040</v>
      </c>
      <c r="F365" s="16" t="str">
        <f>IFERROR(IF([1]对账明细接口!$F$365=0,"",[1]对账明细接口!$F$365),"")</f>
        <v>苹果</v>
      </c>
      <c r="G365" s="16" t="str">
        <f>IFERROR(IF([1]对账明细接口!$G$365=0,"",[1]对账明细接口!$G$365),"")</f>
        <v>华硕一级</v>
      </c>
      <c r="H365" s="17">
        <f>IFERROR(IF([1]对账明细接口!$H$365=0,"",[1]对账明细接口!$H$365),"")</f>
        <v>63</v>
      </c>
      <c r="I365" s="16" t="str">
        <f>IFERROR(IF([1]对账明细接口!$I$365=0,"",[1]对账明细接口!$I$365),"")</f>
        <v>箱</v>
      </c>
      <c r="J365" s="18">
        <f>IFERROR(IF([1]对账明细接口!$J$365=0,"",[1]对账明细接口!$J$365),"")</f>
        <v>321.3</v>
      </c>
      <c r="K365" s="18" t="str">
        <f>IFERROR(IF([1]对账明细接口!$K$365=0,"",[1]对账明细接口!$K$365),"")</f>
        <v/>
      </c>
      <c r="L365" s="16" t="str">
        <f>IFERROR(IF([1]对账明细接口!$L$365=0,"",[1]对账明细接口!$L$365),"")</f>
        <v/>
      </c>
      <c r="M365" s="16" t="str">
        <f>IFERROR(IF([1]对账明细接口!$M$365=0,"",[1]对账明细接口!$M$365),"")</f>
        <v/>
      </c>
      <c r="N365" s="19">
        <f t="shared" si="10"/>
        <v>1</v>
      </c>
      <c r="O365" s="19">
        <f t="shared" si="11"/>
        <v>362</v>
      </c>
      <c r="S365" s="20" t="str">
        <f>IFERROR(IF([1]对账明细接口!$N365=0,"",[1]对账明细接口!$N365),"")</f>
        <v>纸箱</v>
      </c>
      <c r="T365" s="21" t="str">
        <f>IFERROR(IF([1]对账明细接口!$O365=0,"",[1]对账明细接口!$O365),"")</f>
        <v/>
      </c>
      <c r="U365" s="21" t="str">
        <f>IFERROR(IF([1]对账明细接口!$P365=0,"",[1]对账明细接口!$P365),"")</f>
        <v/>
      </c>
      <c r="V365" s="21" t="str">
        <f>IFERROR(IF([1]对账明细接口!$Q365=0,"",[1]对账明细接口!$Q365),"")</f>
        <v/>
      </c>
      <c r="W365" s="20" t="str">
        <f>IFERROR(IF([1]对账明细接口!$R365=0,"",[1]对账明细接口!$R365),"")</f>
        <v>豫N*P269J</v>
      </c>
      <c r="X365" s="20" t="str">
        <f>IFERROR(IF([1]对账明细接口!$S365=0,"",[1]对账明细接口!$S365),"")</f>
        <v>公司筐</v>
      </c>
      <c r="Y365" s="20" t="str">
        <f>IFERROR(IF([1]对账明细接口!$T365=0,"",[1]对账明细接口!$T365),"")</f>
        <v>王照雪</v>
      </c>
      <c r="Z365" s="24" t="str">
        <f>IFERROR(IF([1]对账明细接口!$U365=0,"",[1]对账明细接口!$U365),"")</f>
        <v/>
      </c>
      <c r="AA365" s="24" t="str">
        <f>IFERROR(IF([1]对账明细接口!$V365=0,"",[1]对账明细接口!$V365),"")</f>
        <v/>
      </c>
      <c r="AB365" s="20" t="str">
        <f>IFERROR(IF([1]对账明细接口!$W365=0,"",[1]对账明细接口!$W365),"")</f>
        <v/>
      </c>
      <c r="AC365" s="7" t="str">
        <f>IFERROR(IF([1]对账明细接口!$X365=0,"",[1]对账明细接口!$X365),"")</f>
        <v>电商/主播</v>
      </c>
      <c r="AD365" s="7" t="str">
        <f>IFERROR(IF([1]对账明细接口!$Y365=0,"",[1]对账明细接口!$Y365),"")</f>
        <v/>
      </c>
      <c r="AE365" s="7" t="str">
        <f>IFERROR(IF([1]对账明细接口!$AA365=0,"",[1]对账明细接口!$AA365),"")</f>
        <v/>
      </c>
      <c r="AF365" s="7" t="str">
        <f>IFERROR(IF([1]对账明细接口!$AB365=0,"",[1]对账明细接口!$AB365),"")</f>
        <v/>
      </c>
      <c r="AG365" s="7" t="str">
        <f>IFERROR(IF([1]对账明细接口!$AC365=0,"",[1]对账明细接口!$AC365),"")</f>
        <v/>
      </c>
      <c r="AH365" s="7" t="str">
        <f>IFERROR(IF([1]对账明细接口!$AD365=0,"",[1]对账明细接口!$AD365),"")</f>
        <v>成品出库</v>
      </c>
      <c r="AI365" s="7" t="str">
        <f>IFERROR(IF([1]对账明细接口!$AE365=0,"",[1]对账明细接口!$AE365),"")</f>
        <v/>
      </c>
      <c r="AJ365" s="7" t="str">
        <f>IFERROR(IF([1]对账明细接口!$AF365=0,"",[1]对账明细接口!$AF365),"")</f>
        <v/>
      </c>
    </row>
    <row r="366" ht="14.25" customHeight="1" spans="1:36">
      <c r="A366" s="14">
        <v>366</v>
      </c>
      <c r="B366" s="15">
        <f>IFERROR(IF([1]对账明细接口!$B$366=0,"",[1]对账明细接口!$B$366),"")</f>
        <v>46261</v>
      </c>
      <c r="C366" s="16" t="str">
        <f>IFERROR(IF([1]对账明细接口!$C$366=0,"",[1]对账明细接口!$C$366),"")</f>
        <v>王照雪</v>
      </c>
      <c r="D366" s="16" t="str">
        <f>IFERROR(IF([1]对账明细接口!$D$366=0,"",[1]对账明细接口!$D$366),"")</f>
        <v>成品出库－成品出库</v>
      </c>
      <c r="E366" s="16" t="str">
        <f>IFERROR(IF([1]对账明细接口!$E$366=0,"",[1]对账明细接口!$E$366),"")</f>
        <v>NO:0001040</v>
      </c>
      <c r="F366" s="16" t="str">
        <f>IFERROR(IF([1]对账明细接口!$F$366=0,"",[1]对账明细接口!$F$366),"")</f>
        <v>苹果</v>
      </c>
      <c r="G366" s="16" t="str">
        <f>IFERROR(IF([1]对账明细接口!$G$366=0,"",[1]对账明细接口!$G$366),"")</f>
        <v>华硕一级</v>
      </c>
      <c r="H366" s="17">
        <f>IFERROR(IF([1]对账明细接口!$H$366=0,"",[1]对账明细接口!$H$366),"")</f>
        <v>26</v>
      </c>
      <c r="I366" s="16" t="str">
        <f>IFERROR(IF([1]对账明细接口!$I$366=0,"",[1]对账明细接口!$I$366),"")</f>
        <v>箱</v>
      </c>
      <c r="J366" s="18">
        <f>IFERROR(IF([1]对账明细接口!$J$366=0,"",[1]对账明细接口!$J$366),"")</f>
        <v>67.6</v>
      </c>
      <c r="K366" s="18" t="str">
        <f>IFERROR(IF([1]对账明细接口!$K$366=0,"",[1]对账明细接口!$K$366),"")</f>
        <v/>
      </c>
      <c r="L366" s="16" t="str">
        <f>IFERROR(IF([1]对账明细接口!$L$366=0,"",[1]对账明细接口!$L$366),"")</f>
        <v/>
      </c>
      <c r="M366" s="16" t="str">
        <f>IFERROR(IF([1]对账明细接口!$M$366=0,"",[1]对账明细接口!$M$366),"")</f>
        <v/>
      </c>
      <c r="N366" s="19">
        <f t="shared" si="10"/>
        <v>1</v>
      </c>
      <c r="O366" s="19">
        <f t="shared" si="11"/>
        <v>363</v>
      </c>
      <c r="S366" s="20" t="str">
        <f>IFERROR(IF([1]对账明细接口!$N366=0,"",[1]对账明细接口!$N366),"")</f>
        <v>纸箱</v>
      </c>
      <c r="T366" s="21" t="str">
        <f>IFERROR(IF([1]对账明细接口!$O366=0,"",[1]对账明细接口!$O366),"")</f>
        <v/>
      </c>
      <c r="U366" s="21" t="str">
        <f>IFERROR(IF([1]对账明细接口!$P366=0,"",[1]对账明细接口!$P366),"")</f>
        <v/>
      </c>
      <c r="V366" s="21" t="str">
        <f>IFERROR(IF([1]对账明细接口!$Q366=0,"",[1]对账明细接口!$Q366),"")</f>
        <v/>
      </c>
      <c r="W366" s="20" t="str">
        <f>IFERROR(IF([1]对账明细接口!$R366=0,"",[1]对账明细接口!$R366),"")</f>
        <v>豫N*P269J</v>
      </c>
      <c r="X366" s="20" t="str">
        <f>IFERROR(IF([1]对账明细接口!$S366=0,"",[1]对账明细接口!$S366),"")</f>
        <v>公司筐</v>
      </c>
      <c r="Y366" s="20" t="str">
        <f>IFERROR(IF([1]对账明细接口!$T366=0,"",[1]对账明细接口!$T366),"")</f>
        <v>王照雪</v>
      </c>
      <c r="Z366" s="24" t="str">
        <f>IFERROR(IF([1]对账明细接口!$U366=0,"",[1]对账明细接口!$U366),"")</f>
        <v/>
      </c>
      <c r="AA366" s="24" t="str">
        <f>IFERROR(IF([1]对账明细接口!$V366=0,"",[1]对账明细接口!$V366),"")</f>
        <v/>
      </c>
      <c r="AB366" s="20" t="str">
        <f>IFERROR(IF([1]对账明细接口!$W366=0,"",[1]对账明细接口!$W366),"")</f>
        <v/>
      </c>
      <c r="AC366" s="7" t="str">
        <f>IFERROR(IF([1]对账明细接口!$X366=0,"",[1]对账明细接口!$X366),"")</f>
        <v>电商/主播</v>
      </c>
      <c r="AD366" s="7" t="str">
        <f>IFERROR(IF([1]对账明细接口!$Y366=0,"",[1]对账明细接口!$Y366),"")</f>
        <v/>
      </c>
      <c r="AE366" s="7" t="str">
        <f>IFERROR(IF([1]对账明细接口!$AA366=0,"",[1]对账明细接口!$AA366),"")</f>
        <v/>
      </c>
      <c r="AF366" s="7" t="str">
        <f>IFERROR(IF([1]对账明细接口!$AB366=0,"",[1]对账明细接口!$AB366),"")</f>
        <v/>
      </c>
      <c r="AG366" s="7" t="str">
        <f>IFERROR(IF([1]对账明细接口!$AC366=0,"",[1]对账明细接口!$AC366),"")</f>
        <v/>
      </c>
      <c r="AH366" s="7" t="str">
        <f>IFERROR(IF([1]对账明细接口!$AD366=0,"",[1]对账明细接口!$AD366),"")</f>
        <v>成品出库</v>
      </c>
      <c r="AI366" s="7" t="str">
        <f>IFERROR(IF([1]对账明细接口!$AE366=0,"",[1]对账明细接口!$AE366),"")</f>
        <v/>
      </c>
      <c r="AJ366" s="7" t="str">
        <f>IFERROR(IF([1]对账明细接口!$AF366=0,"",[1]对账明细接口!$AF366),"")</f>
        <v/>
      </c>
    </row>
    <row r="367" ht="14.25" customHeight="1" spans="1:36">
      <c r="A367" s="14">
        <v>367</v>
      </c>
      <c r="B367" s="15">
        <f>IFERROR(IF([1]对账明细接口!$B$367=0,"",[1]对账明细接口!$B$367),"")</f>
        <v>46262</v>
      </c>
      <c r="C367" s="16" t="str">
        <f>IFERROR(IF([1]对账明细接口!$C$367=0,"",[1]对账明细接口!$C$367),"")</f>
        <v>王照雪</v>
      </c>
      <c r="D367" s="16" t="str">
        <f>IFERROR(IF([1]对账明细接口!$D$367=0,"",[1]对账明细接口!$D$367),"")</f>
        <v>成品出库－成品出库</v>
      </c>
      <c r="E367" s="16" t="str">
        <f>IFERROR(IF([1]对账明细接口!$E$367=0,"",[1]对账明细接口!$E$367),"")</f>
        <v>NO:0001043</v>
      </c>
      <c r="F367" s="16" t="str">
        <f>IFERROR(IF([1]对账明细接口!$F$367=0,"",[1]对账明细接口!$F$367),"")</f>
        <v>苹果</v>
      </c>
      <c r="G367" s="16" t="str">
        <f>IFERROR(IF([1]对账明细接口!$G$367=0,"",[1]对账明细接口!$G$367),"")</f>
        <v>华硕一级</v>
      </c>
      <c r="H367" s="17">
        <f>IFERROR(IF([1]对账明细接口!$H$367=0,"",[1]对账明细接口!$H$367),"")</f>
        <v>29</v>
      </c>
      <c r="I367" s="16" t="str">
        <f>IFERROR(IF([1]对账明细接口!$I$367=0,"",[1]对账明细接口!$I$367),"")</f>
        <v>箱</v>
      </c>
      <c r="J367" s="18">
        <f>IFERROR(IF([1]对账明细接口!$J$367=0,"",[1]对账明细接口!$J$367),"")</f>
        <v>147.9</v>
      </c>
      <c r="K367" s="18" t="str">
        <f>IFERROR(IF([1]对账明细接口!$K$367=0,"",[1]对账明细接口!$K$367),"")</f>
        <v/>
      </c>
      <c r="L367" s="16" t="str">
        <f>IFERROR(IF([1]对账明细接口!$L$367=0,"",[1]对账明细接口!$L$367),"")</f>
        <v/>
      </c>
      <c r="M367" s="16" t="str">
        <f>IFERROR(IF([1]对账明细接口!$M$367=0,"",[1]对账明细接口!$M$367),"")</f>
        <v/>
      </c>
      <c r="N367" s="19">
        <f t="shared" si="10"/>
        <v>1</v>
      </c>
      <c r="O367" s="19">
        <f t="shared" si="11"/>
        <v>364</v>
      </c>
      <c r="S367" s="20" t="str">
        <f>IFERROR(IF([1]对账明细接口!$N367=0,"",[1]对账明细接口!$N367),"")</f>
        <v>纸箱</v>
      </c>
      <c r="T367" s="21" t="str">
        <f>IFERROR(IF([1]对账明细接口!$O367=0,"",[1]对账明细接口!$O367),"")</f>
        <v/>
      </c>
      <c r="U367" s="21" t="str">
        <f>IFERROR(IF([1]对账明细接口!$P367=0,"",[1]对账明细接口!$P367),"")</f>
        <v/>
      </c>
      <c r="V367" s="21" t="str">
        <f>IFERROR(IF([1]对账明细接口!$Q367=0,"",[1]对账明细接口!$Q367),"")</f>
        <v/>
      </c>
      <c r="W367" s="20" t="str">
        <f>IFERROR(IF([1]对账明细接口!$R367=0,"",[1]对账明细接口!$R367),"")</f>
        <v>豫N*P269J</v>
      </c>
      <c r="X367" s="20" t="str">
        <f>IFERROR(IF([1]对账明细接口!$S367=0,"",[1]对账明细接口!$S367),"")</f>
        <v>公司筐</v>
      </c>
      <c r="Y367" s="20" t="str">
        <f>IFERROR(IF([1]对账明细接口!$T367=0,"",[1]对账明细接口!$T367),"")</f>
        <v>王照雪</v>
      </c>
      <c r="Z367" s="24" t="str">
        <f>IFERROR(IF([1]对账明细接口!$U367=0,"",[1]对账明细接口!$U367),"")</f>
        <v/>
      </c>
      <c r="AA367" s="24" t="str">
        <f>IFERROR(IF([1]对账明细接口!$V367=0,"",[1]对账明细接口!$V367),"")</f>
        <v/>
      </c>
      <c r="AB367" s="20" t="str">
        <f>IFERROR(IF([1]对账明细接口!$W367=0,"",[1]对账明细接口!$W367),"")</f>
        <v/>
      </c>
      <c r="AC367" s="7" t="str">
        <f>IFERROR(IF([1]对账明细接口!$X367=0,"",[1]对账明细接口!$X367),"")</f>
        <v>电商/主播</v>
      </c>
      <c r="AD367" s="7" t="str">
        <f>IFERROR(IF([1]对账明细接口!$Y367=0,"",[1]对账明细接口!$Y367),"")</f>
        <v/>
      </c>
      <c r="AE367" s="7" t="str">
        <f>IFERROR(IF([1]对账明细接口!$AA367=0,"",[1]对账明细接口!$AA367),"")</f>
        <v/>
      </c>
      <c r="AF367" s="7" t="str">
        <f>IFERROR(IF([1]对账明细接口!$AB367=0,"",[1]对账明细接口!$AB367),"")</f>
        <v/>
      </c>
      <c r="AG367" s="7" t="str">
        <f>IFERROR(IF([1]对账明细接口!$AC367=0,"",[1]对账明细接口!$AC367),"")</f>
        <v/>
      </c>
      <c r="AH367" s="7" t="str">
        <f>IFERROR(IF([1]对账明细接口!$AD367=0,"",[1]对账明细接口!$AD367),"")</f>
        <v>成品出库</v>
      </c>
      <c r="AI367" s="7" t="str">
        <f>IFERROR(IF([1]对账明细接口!$AE367=0,"",[1]对账明细接口!$AE367),"")</f>
        <v/>
      </c>
      <c r="AJ367" s="7" t="str">
        <f>IFERROR(IF([1]对账明细接口!$AF367=0,"",[1]对账明细接口!$AF367),"")</f>
        <v/>
      </c>
    </row>
    <row r="368" ht="14.25" customHeight="1" spans="1:36">
      <c r="A368" s="14">
        <v>368</v>
      </c>
      <c r="B368" s="15">
        <f>IFERROR(IF([1]对账明细接口!$B$368=0,"",[1]对账明细接口!$B$368),"")</f>
        <v>46262</v>
      </c>
      <c r="C368" s="16" t="str">
        <f>IFERROR(IF([1]对账明细接口!$C$368=0,"",[1]对账明细接口!$C$368),"")</f>
        <v>王照雪</v>
      </c>
      <c r="D368" s="16" t="str">
        <f>IFERROR(IF([1]对账明细接口!$D$368=0,"",[1]对账明细接口!$D$368),"")</f>
        <v>成品出库－成品出库</v>
      </c>
      <c r="E368" s="16" t="str">
        <f>IFERROR(IF([1]对账明细接口!$E$368=0,"",[1]对账明细接口!$E$368),"")</f>
        <v>NO:0001043</v>
      </c>
      <c r="F368" s="16" t="str">
        <f>IFERROR(IF([1]对账明细接口!$F$368=0,"",[1]对账明细接口!$F$368),"")</f>
        <v>苹果</v>
      </c>
      <c r="G368" s="16" t="str">
        <f>IFERROR(IF([1]对账明细接口!$G$368=0,"",[1]对账明细接口!$G$368),"")</f>
        <v>华硕一级</v>
      </c>
      <c r="H368" s="17">
        <f>IFERROR(IF([1]对账明细接口!$H$368=0,"",[1]对账明细接口!$H$368),"")</f>
        <v>12</v>
      </c>
      <c r="I368" s="16" t="str">
        <f>IFERROR(IF([1]对账明细接口!$I$368=0,"",[1]对账明细接口!$I$368),"")</f>
        <v>箱</v>
      </c>
      <c r="J368" s="18">
        <f>IFERROR(IF([1]对账明细接口!$J$368=0,"",[1]对账明细接口!$J$368),"")</f>
        <v>31.2</v>
      </c>
      <c r="K368" s="18" t="str">
        <f>IFERROR(IF([1]对账明细接口!$K$368=0,"",[1]对账明细接口!$K$368),"")</f>
        <v/>
      </c>
      <c r="L368" s="16" t="str">
        <f>IFERROR(IF([1]对账明细接口!$L$368=0,"",[1]对账明细接口!$L$368),"")</f>
        <v/>
      </c>
      <c r="M368" s="16" t="str">
        <f>IFERROR(IF([1]对账明细接口!$M$368=0,"",[1]对账明细接口!$M$368),"")</f>
        <v/>
      </c>
      <c r="N368" s="19">
        <f t="shared" si="10"/>
        <v>1</v>
      </c>
      <c r="O368" s="19">
        <f t="shared" si="11"/>
        <v>365</v>
      </c>
      <c r="S368" s="20" t="str">
        <f>IFERROR(IF([1]对账明细接口!$N368=0,"",[1]对账明细接口!$N368),"")</f>
        <v>纸箱</v>
      </c>
      <c r="T368" s="21" t="str">
        <f>IFERROR(IF([1]对账明细接口!$O368=0,"",[1]对账明细接口!$O368),"")</f>
        <v/>
      </c>
      <c r="U368" s="21" t="str">
        <f>IFERROR(IF([1]对账明细接口!$P368=0,"",[1]对账明细接口!$P368),"")</f>
        <v/>
      </c>
      <c r="V368" s="21" t="str">
        <f>IFERROR(IF([1]对账明细接口!$Q368=0,"",[1]对账明细接口!$Q368),"")</f>
        <v/>
      </c>
      <c r="W368" s="20" t="str">
        <f>IFERROR(IF([1]对账明细接口!$R368=0,"",[1]对账明细接口!$R368),"")</f>
        <v>豫N*P269J</v>
      </c>
      <c r="X368" s="20" t="str">
        <f>IFERROR(IF([1]对账明细接口!$S368=0,"",[1]对账明细接口!$S368),"")</f>
        <v>公司筐</v>
      </c>
      <c r="Y368" s="20" t="str">
        <f>IFERROR(IF([1]对账明细接口!$T368=0,"",[1]对账明细接口!$T368),"")</f>
        <v>王照雪</v>
      </c>
      <c r="Z368" s="24" t="str">
        <f>IFERROR(IF([1]对账明细接口!$U368=0,"",[1]对账明细接口!$U368),"")</f>
        <v/>
      </c>
      <c r="AA368" s="24" t="str">
        <f>IFERROR(IF([1]对账明细接口!$V368=0,"",[1]对账明细接口!$V368),"")</f>
        <v/>
      </c>
      <c r="AB368" s="20" t="str">
        <f>IFERROR(IF([1]对账明细接口!$W368=0,"",[1]对账明细接口!$W368),"")</f>
        <v/>
      </c>
      <c r="AC368" s="7" t="str">
        <f>IFERROR(IF([1]对账明细接口!$X368=0,"",[1]对账明细接口!$X368),"")</f>
        <v>电商/主播</v>
      </c>
      <c r="AD368" s="7" t="str">
        <f>IFERROR(IF([1]对账明细接口!$Y368=0,"",[1]对账明细接口!$Y368),"")</f>
        <v/>
      </c>
      <c r="AE368" s="7" t="str">
        <f>IFERROR(IF([1]对账明细接口!$AA368=0,"",[1]对账明细接口!$AA368),"")</f>
        <v/>
      </c>
      <c r="AF368" s="7" t="str">
        <f>IFERROR(IF([1]对账明细接口!$AB368=0,"",[1]对账明细接口!$AB368),"")</f>
        <v/>
      </c>
      <c r="AG368" s="7" t="str">
        <f>IFERROR(IF([1]对账明细接口!$AC368=0,"",[1]对账明细接口!$AC368),"")</f>
        <v/>
      </c>
      <c r="AH368" s="7" t="str">
        <f>IFERROR(IF([1]对账明细接口!$AD368=0,"",[1]对账明细接口!$AD368),"")</f>
        <v>成品出库</v>
      </c>
      <c r="AI368" s="7" t="str">
        <f>IFERROR(IF([1]对账明细接口!$AE368=0,"",[1]对账明细接口!$AE368),"")</f>
        <v/>
      </c>
      <c r="AJ368" s="7" t="str">
        <f>IFERROR(IF([1]对账明细接口!$AF368=0,"",[1]对账明细接口!$AF368),"")</f>
        <v/>
      </c>
    </row>
    <row r="369" ht="14.25" customHeight="1" spans="1:36">
      <c r="A369" s="14">
        <v>369</v>
      </c>
      <c r="B369" s="15">
        <f>IFERROR(IF([1]对账明细接口!$B$369=0,"",[1]对账明细接口!$B$369),"")</f>
        <v>46263</v>
      </c>
      <c r="C369" s="16" t="str">
        <f>IFERROR(IF([1]对账明细接口!$C$369=0,"",[1]对账明细接口!$C$369),"")</f>
        <v>王照雪</v>
      </c>
      <c r="D369" s="16" t="str">
        <f>IFERROR(IF([1]对账明细接口!$D$369=0,"",[1]对账明细接口!$D$369),"")</f>
        <v>成品出库－成品出库</v>
      </c>
      <c r="E369" s="16" t="str">
        <f>IFERROR(IF([1]对账明细接口!$E$369=0,"",[1]对账明细接口!$E$369),"")</f>
        <v>NO:0001048</v>
      </c>
      <c r="F369" s="16" t="str">
        <f>IFERROR(IF([1]对账明细接口!$F$369=0,"",[1]对账明细接口!$F$369),"")</f>
        <v>苹果</v>
      </c>
      <c r="G369" s="16" t="str">
        <f>IFERROR(IF([1]对账明细接口!$G$369=0,"",[1]对账明细接口!$G$369),"")</f>
        <v>华硕一级</v>
      </c>
      <c r="H369" s="17">
        <f>IFERROR(IF([1]对账明细接口!$H$369=0,"",[1]对账明细接口!$H$369),"")</f>
        <v>68</v>
      </c>
      <c r="I369" s="16" t="str">
        <f>IFERROR(IF([1]对账明细接口!$I$369=0,"",[1]对账明细接口!$I$369),"")</f>
        <v>箱</v>
      </c>
      <c r="J369" s="18">
        <f>IFERROR(IF([1]对账明细接口!$J$369=0,"",[1]对账明细接口!$J$369),"")</f>
        <v>346.8</v>
      </c>
      <c r="K369" s="18" t="str">
        <f>IFERROR(IF([1]对账明细接口!$K$369=0,"",[1]对账明细接口!$K$369),"")</f>
        <v/>
      </c>
      <c r="L369" s="16" t="str">
        <f>IFERROR(IF([1]对账明细接口!$L$369=0,"",[1]对账明细接口!$L$369),"")</f>
        <v/>
      </c>
      <c r="M369" s="16" t="str">
        <f>IFERROR(IF([1]对账明细接口!$M$369=0,"",[1]对账明细接口!$M$369),"")</f>
        <v/>
      </c>
      <c r="N369" s="19">
        <f t="shared" si="10"/>
        <v>1</v>
      </c>
      <c r="O369" s="19">
        <f t="shared" si="11"/>
        <v>366</v>
      </c>
      <c r="S369" s="20" t="str">
        <f>IFERROR(IF([1]对账明细接口!$N369=0,"",[1]对账明细接口!$N369),"")</f>
        <v>纸箱</v>
      </c>
      <c r="T369" s="21" t="str">
        <f>IFERROR(IF([1]对账明细接口!$O369=0,"",[1]对账明细接口!$O369),"")</f>
        <v/>
      </c>
      <c r="U369" s="21" t="str">
        <f>IFERROR(IF([1]对账明细接口!$P369=0,"",[1]对账明细接口!$P369),"")</f>
        <v/>
      </c>
      <c r="V369" s="21" t="str">
        <f>IFERROR(IF([1]对账明细接口!$Q369=0,"",[1]对账明细接口!$Q369),"")</f>
        <v/>
      </c>
      <c r="W369" s="20" t="str">
        <f>IFERROR(IF([1]对账明细接口!$R369=0,"",[1]对账明细接口!$R369),"")</f>
        <v>豫N*P269J</v>
      </c>
      <c r="X369" s="20" t="str">
        <f>IFERROR(IF([1]对账明细接口!$S369=0,"",[1]对账明细接口!$S369),"")</f>
        <v>公司筐</v>
      </c>
      <c r="Y369" s="20" t="str">
        <f>IFERROR(IF([1]对账明细接口!$T369=0,"",[1]对账明细接口!$T369),"")</f>
        <v>王照雪</v>
      </c>
      <c r="Z369" s="24" t="str">
        <f>IFERROR(IF([1]对账明细接口!$U369=0,"",[1]对账明细接口!$U369),"")</f>
        <v/>
      </c>
      <c r="AA369" s="24" t="str">
        <f>IFERROR(IF([1]对账明细接口!$V369=0,"",[1]对账明细接口!$V369),"")</f>
        <v/>
      </c>
      <c r="AB369" s="20" t="str">
        <f>IFERROR(IF([1]对账明细接口!$W369=0,"",[1]对账明细接口!$W369),"")</f>
        <v/>
      </c>
      <c r="AC369" s="7" t="str">
        <f>IFERROR(IF([1]对账明细接口!$X369=0,"",[1]对账明细接口!$X369),"")</f>
        <v>电商/主播</v>
      </c>
      <c r="AD369" s="7" t="str">
        <f>IFERROR(IF([1]对账明细接口!$Y369=0,"",[1]对账明细接口!$Y369),"")</f>
        <v/>
      </c>
      <c r="AE369" s="7" t="str">
        <f>IFERROR(IF([1]对账明细接口!$AA369=0,"",[1]对账明细接口!$AA369),"")</f>
        <v/>
      </c>
      <c r="AF369" s="7" t="str">
        <f>IFERROR(IF([1]对账明细接口!$AB369=0,"",[1]对账明细接口!$AB369),"")</f>
        <v/>
      </c>
      <c r="AG369" s="7" t="str">
        <f>IFERROR(IF([1]对账明细接口!$AC369=0,"",[1]对账明细接口!$AC369),"")</f>
        <v/>
      </c>
      <c r="AH369" s="7" t="str">
        <f>IFERROR(IF([1]对账明细接口!$AD369=0,"",[1]对账明细接口!$AD369),"")</f>
        <v>成品出库</v>
      </c>
      <c r="AI369" s="7" t="str">
        <f>IFERROR(IF([1]对账明细接口!$AE369=0,"",[1]对账明细接口!$AE369),"")</f>
        <v/>
      </c>
      <c r="AJ369" s="7" t="str">
        <f>IFERROR(IF([1]对账明细接口!$AF369=0,"",[1]对账明细接口!$AF369),"")</f>
        <v/>
      </c>
    </row>
    <row r="370" ht="14.25" customHeight="1" spans="1:36">
      <c r="A370" s="14">
        <v>370</v>
      </c>
      <c r="B370" s="15">
        <f>IFERROR(IF([1]对账明细接口!$B$370=0,"",[1]对账明细接口!$B$370),"")</f>
        <v>46263</v>
      </c>
      <c r="C370" s="16" t="str">
        <f>IFERROR(IF([1]对账明细接口!$C$370=0,"",[1]对账明细接口!$C$370),"")</f>
        <v>王照雪</v>
      </c>
      <c r="D370" s="16" t="str">
        <f>IFERROR(IF([1]对账明细接口!$D$370=0,"",[1]对账明细接口!$D$370),"")</f>
        <v>成品出库－成品出库</v>
      </c>
      <c r="E370" s="16" t="str">
        <f>IFERROR(IF([1]对账明细接口!$E$370=0,"",[1]对账明细接口!$E$370),"")</f>
        <v>NO:0001048</v>
      </c>
      <c r="F370" s="16" t="str">
        <f>IFERROR(IF([1]对账明细接口!$F$370=0,"",[1]对账明细接口!$F$370),"")</f>
        <v>苹果</v>
      </c>
      <c r="G370" s="16" t="str">
        <f>IFERROR(IF([1]对账明细接口!$G$370=0,"",[1]对账明细接口!$G$370),"")</f>
        <v>华硕一级</v>
      </c>
      <c r="H370" s="17">
        <f>IFERROR(IF([1]对账明细接口!$H$370=0,"",[1]对账明细接口!$H$370),"")</f>
        <v>22</v>
      </c>
      <c r="I370" s="16" t="str">
        <f>IFERROR(IF([1]对账明细接口!$I$370=0,"",[1]对账明细接口!$I$370),"")</f>
        <v>箱</v>
      </c>
      <c r="J370" s="18">
        <f>IFERROR(IF([1]对账明细接口!$J$370=0,"",[1]对账明细接口!$J$370),"")</f>
        <v>57.2</v>
      </c>
      <c r="K370" s="18" t="str">
        <f>IFERROR(IF([1]对账明细接口!$K$370=0,"",[1]对账明细接口!$K$370),"")</f>
        <v/>
      </c>
      <c r="L370" s="16" t="str">
        <f>IFERROR(IF([1]对账明细接口!$L$370=0,"",[1]对账明细接口!$L$370),"")</f>
        <v/>
      </c>
      <c r="M370" s="16" t="str">
        <f>IFERROR(IF([1]对账明细接口!$M$370=0,"",[1]对账明细接口!$M$370),"")</f>
        <v/>
      </c>
      <c r="N370" s="19">
        <f t="shared" si="10"/>
        <v>1</v>
      </c>
      <c r="O370" s="19">
        <f t="shared" si="11"/>
        <v>367</v>
      </c>
      <c r="S370" s="20" t="str">
        <f>IFERROR(IF([1]对账明细接口!$N370=0,"",[1]对账明细接口!$N370),"")</f>
        <v>纸箱</v>
      </c>
      <c r="T370" s="21" t="str">
        <f>IFERROR(IF([1]对账明细接口!$O370=0,"",[1]对账明细接口!$O370),"")</f>
        <v/>
      </c>
      <c r="U370" s="21" t="str">
        <f>IFERROR(IF([1]对账明细接口!$P370=0,"",[1]对账明细接口!$P370),"")</f>
        <v/>
      </c>
      <c r="V370" s="21" t="str">
        <f>IFERROR(IF([1]对账明细接口!$Q370=0,"",[1]对账明细接口!$Q370),"")</f>
        <v/>
      </c>
      <c r="W370" s="20" t="str">
        <f>IFERROR(IF([1]对账明细接口!$R370=0,"",[1]对账明细接口!$R370),"")</f>
        <v>豫N*P269J</v>
      </c>
      <c r="X370" s="20" t="str">
        <f>IFERROR(IF([1]对账明细接口!$S370=0,"",[1]对账明细接口!$S370),"")</f>
        <v>公司筐</v>
      </c>
      <c r="Y370" s="20" t="str">
        <f>IFERROR(IF([1]对账明细接口!$T370=0,"",[1]对账明细接口!$T370),"")</f>
        <v>王照雪</v>
      </c>
      <c r="Z370" s="24" t="str">
        <f>IFERROR(IF([1]对账明细接口!$U370=0,"",[1]对账明细接口!$U370),"")</f>
        <v/>
      </c>
      <c r="AA370" s="24" t="str">
        <f>IFERROR(IF([1]对账明细接口!$V370=0,"",[1]对账明细接口!$V370),"")</f>
        <v/>
      </c>
      <c r="AB370" s="20" t="str">
        <f>IFERROR(IF([1]对账明细接口!$W370=0,"",[1]对账明细接口!$W370),"")</f>
        <v/>
      </c>
      <c r="AC370" s="7" t="str">
        <f>IFERROR(IF([1]对账明细接口!$X370=0,"",[1]对账明细接口!$X370),"")</f>
        <v>电商/主播</v>
      </c>
      <c r="AD370" s="7" t="str">
        <f>IFERROR(IF([1]对账明细接口!$Y370=0,"",[1]对账明细接口!$Y370),"")</f>
        <v/>
      </c>
      <c r="AE370" s="7" t="str">
        <f>IFERROR(IF([1]对账明细接口!$AA370=0,"",[1]对账明细接口!$AA370),"")</f>
        <v/>
      </c>
      <c r="AF370" s="7" t="str">
        <f>IFERROR(IF([1]对账明细接口!$AB370=0,"",[1]对账明细接口!$AB370),"")</f>
        <v/>
      </c>
      <c r="AG370" s="7" t="str">
        <f>IFERROR(IF([1]对账明细接口!$AC370=0,"",[1]对账明细接口!$AC370),"")</f>
        <v/>
      </c>
      <c r="AH370" s="7" t="str">
        <f>IFERROR(IF([1]对账明细接口!$AD370=0,"",[1]对账明细接口!$AD370),"")</f>
        <v>成品出库</v>
      </c>
      <c r="AI370" s="7" t="str">
        <f>IFERROR(IF([1]对账明细接口!$AE370=0,"",[1]对账明细接口!$AE370),"")</f>
        <v/>
      </c>
      <c r="AJ370" s="7" t="str">
        <f>IFERROR(IF([1]对账明细接口!$AF370=0,"",[1]对账明细接口!$AF370),"")</f>
        <v/>
      </c>
    </row>
    <row r="371" ht="14.25" customHeight="1" spans="1:36">
      <c r="A371" s="14">
        <v>371</v>
      </c>
      <c r="B371" s="15">
        <f>IFERROR(IF([1]对账明细接口!$B$371=0,"",[1]对账明细接口!$B$371),"")</f>
        <v>46264</v>
      </c>
      <c r="C371" s="16" t="str">
        <f>IFERROR(IF([1]对账明细接口!$C$371=0,"",[1]对账明细接口!$C$371),"")</f>
        <v>王照雪</v>
      </c>
      <c r="D371" s="16" t="str">
        <f>IFERROR(IF([1]对账明细接口!$D$371=0,"",[1]对账明细接口!$D$371),"")</f>
        <v>成品出库－成品出库</v>
      </c>
      <c r="E371" s="16" t="str">
        <f>IFERROR(IF([1]对账明细接口!$E$371=0,"",[1]对账明细接口!$E$371),"")</f>
        <v>NO:0001052</v>
      </c>
      <c r="F371" s="16" t="str">
        <f>IFERROR(IF([1]对账明细接口!$F$371=0,"",[1]对账明细接口!$F$371),"")</f>
        <v>苹果</v>
      </c>
      <c r="G371" s="16" t="str">
        <f>IFERROR(IF([1]对账明细接口!$G$371=0,"",[1]对账明细接口!$G$371),"")</f>
        <v>华硕一级</v>
      </c>
      <c r="H371" s="17">
        <f>IFERROR(IF([1]对账明细接口!$H$371=0,"",[1]对账明细接口!$H$371),"")</f>
        <v>484</v>
      </c>
      <c r="I371" s="16" t="str">
        <f>IFERROR(IF([1]对账明细接口!$I$371=0,"",[1]对账明细接口!$I$371),"")</f>
        <v>箱</v>
      </c>
      <c r="J371" s="18">
        <f>IFERROR(IF([1]对账明细接口!$J$371=0,"",[1]对账明细接口!$J$371),"")</f>
        <v>2468.4</v>
      </c>
      <c r="K371" s="18" t="str">
        <f>IFERROR(IF([1]对账明细接口!$K$371=0,"",[1]对账明细接口!$K$371),"")</f>
        <v/>
      </c>
      <c r="L371" s="16" t="str">
        <f>IFERROR(IF([1]对账明细接口!$L$371=0,"",[1]对账明细接口!$L$371),"")</f>
        <v/>
      </c>
      <c r="M371" s="16" t="str">
        <f>IFERROR(IF([1]对账明细接口!$M$371=0,"",[1]对账明细接口!$M$371),"")</f>
        <v/>
      </c>
      <c r="N371" s="19">
        <f t="shared" si="10"/>
        <v>1</v>
      </c>
      <c r="O371" s="19">
        <f t="shared" si="11"/>
        <v>368</v>
      </c>
      <c r="S371" s="20" t="str">
        <f>IFERROR(IF([1]对账明细接口!$N371=0,"",[1]对账明细接口!$N371),"")</f>
        <v>纸箱</v>
      </c>
      <c r="T371" s="21" t="str">
        <f>IFERROR(IF([1]对账明细接口!$O371=0,"",[1]对账明细接口!$O371),"")</f>
        <v/>
      </c>
      <c r="U371" s="21" t="str">
        <f>IFERROR(IF([1]对账明细接口!$P371=0,"",[1]对账明细接口!$P371),"")</f>
        <v/>
      </c>
      <c r="V371" s="21" t="str">
        <f>IFERROR(IF([1]对账明细接口!$Q371=0,"",[1]对账明细接口!$Q371),"")</f>
        <v/>
      </c>
      <c r="W371" s="20" t="str">
        <f>IFERROR(IF([1]对账明细接口!$R371=0,"",[1]对账明细接口!$R371),"")</f>
        <v>豫N*P269J</v>
      </c>
      <c r="X371" s="20" t="str">
        <f>IFERROR(IF([1]对账明细接口!$S371=0,"",[1]对账明细接口!$S371),"")</f>
        <v>公司筐</v>
      </c>
      <c r="Y371" s="20" t="str">
        <f>IFERROR(IF([1]对账明细接口!$T371=0,"",[1]对账明细接口!$T371),"")</f>
        <v>王照雪</v>
      </c>
      <c r="Z371" s="24" t="str">
        <f>IFERROR(IF([1]对账明细接口!$U371=0,"",[1]对账明细接口!$U371),"")</f>
        <v/>
      </c>
      <c r="AA371" s="24" t="str">
        <f>IFERROR(IF([1]对账明细接口!$V371=0,"",[1]对账明细接口!$V371),"")</f>
        <v/>
      </c>
      <c r="AB371" s="20" t="str">
        <f>IFERROR(IF([1]对账明细接口!$W371=0,"",[1]对账明细接口!$W371),"")</f>
        <v/>
      </c>
      <c r="AC371" s="7" t="str">
        <f>IFERROR(IF([1]对账明细接口!$X371=0,"",[1]对账明细接口!$X371),"")</f>
        <v>电商/主播</v>
      </c>
      <c r="AD371" s="7" t="str">
        <f>IFERROR(IF([1]对账明细接口!$Y371=0,"",[1]对账明细接口!$Y371),"")</f>
        <v/>
      </c>
      <c r="AE371" s="7" t="str">
        <f>IFERROR(IF([1]对账明细接口!$AA371=0,"",[1]对账明细接口!$AA371),"")</f>
        <v/>
      </c>
      <c r="AF371" s="7" t="str">
        <f>IFERROR(IF([1]对账明细接口!$AB371=0,"",[1]对账明细接口!$AB371),"")</f>
        <v/>
      </c>
      <c r="AG371" s="7" t="str">
        <f>IFERROR(IF([1]对账明细接口!$AC371=0,"",[1]对账明细接口!$AC371),"")</f>
        <v/>
      </c>
      <c r="AH371" s="7" t="str">
        <f>IFERROR(IF([1]对账明细接口!$AD371=0,"",[1]对账明细接口!$AD371),"")</f>
        <v>成品出库</v>
      </c>
      <c r="AI371" s="7" t="str">
        <f>IFERROR(IF([1]对账明细接口!$AE371=0,"",[1]对账明细接口!$AE371),"")</f>
        <v/>
      </c>
      <c r="AJ371" s="7" t="str">
        <f>IFERROR(IF([1]对账明细接口!$AF371=0,"",[1]对账明细接口!$AF371),"")</f>
        <v/>
      </c>
    </row>
    <row r="372" ht="14.25" customHeight="1" spans="1:36">
      <c r="A372" s="14">
        <v>372</v>
      </c>
      <c r="B372" s="15">
        <f>IFERROR(IF([1]对账明细接口!$B$372=0,"",[1]对账明细接口!$B$372),"")</f>
        <v>46264</v>
      </c>
      <c r="C372" s="16" t="str">
        <f>IFERROR(IF([1]对账明细接口!$C$372=0,"",[1]对账明细接口!$C$372),"")</f>
        <v>王照雪</v>
      </c>
      <c r="D372" s="16" t="str">
        <f>IFERROR(IF([1]对账明细接口!$D$372=0,"",[1]对账明细接口!$D$372),"")</f>
        <v>成品出库－成品出库</v>
      </c>
      <c r="E372" s="16" t="str">
        <f>IFERROR(IF([1]对账明细接口!$E$372=0,"",[1]对账明细接口!$E$372),"")</f>
        <v>NO:0001053</v>
      </c>
      <c r="F372" s="16" t="str">
        <f>IFERROR(IF([1]对账明细接口!$F$372=0,"",[1]对账明细接口!$F$372),"")</f>
        <v>苹果</v>
      </c>
      <c r="G372" s="16" t="str">
        <f>IFERROR(IF([1]对账明细接口!$G$372=0,"",[1]对账明细接口!$G$372),"")</f>
        <v>华硕一级</v>
      </c>
      <c r="H372" s="17">
        <f>IFERROR(IF([1]对账明细接口!$H$372=0,"",[1]对账明细接口!$H$372),"")</f>
        <v>320</v>
      </c>
      <c r="I372" s="16" t="str">
        <f>IFERROR(IF([1]对账明细接口!$I$372=0,"",[1]对账明细接口!$I$372),"")</f>
        <v>箱</v>
      </c>
      <c r="J372" s="18">
        <f>IFERROR(IF([1]对账明细接口!$J$372=0,"",[1]对账明细接口!$J$372),"")</f>
        <v>1632</v>
      </c>
      <c r="K372" s="18" t="str">
        <f>IFERROR(IF([1]对账明细接口!$K$372=0,"",[1]对账明细接口!$K$372),"")</f>
        <v/>
      </c>
      <c r="L372" s="16" t="str">
        <f>IFERROR(IF([1]对账明细接口!$L$372=0,"",[1]对账明细接口!$L$372),"")</f>
        <v/>
      </c>
      <c r="M372" s="16" t="str">
        <f>IFERROR(IF([1]对账明细接口!$M$372=0,"",[1]对账明细接口!$M$372),"")</f>
        <v/>
      </c>
      <c r="N372" s="19">
        <f t="shared" si="10"/>
        <v>1</v>
      </c>
      <c r="O372" s="19">
        <f t="shared" si="11"/>
        <v>369</v>
      </c>
      <c r="S372" s="20" t="str">
        <f>IFERROR(IF([1]对账明细接口!$N372=0,"",[1]对账明细接口!$N372),"")</f>
        <v>纸箱</v>
      </c>
      <c r="T372" s="21" t="str">
        <f>IFERROR(IF([1]对账明细接口!$O372=0,"",[1]对账明细接口!$O372),"")</f>
        <v/>
      </c>
      <c r="U372" s="21" t="str">
        <f>IFERROR(IF([1]对账明细接口!$P372=0,"",[1]对账明细接口!$P372),"")</f>
        <v/>
      </c>
      <c r="V372" s="21" t="str">
        <f>IFERROR(IF([1]对账明细接口!$Q372=0,"",[1]对账明细接口!$Q372),"")</f>
        <v/>
      </c>
      <c r="W372" s="20" t="str">
        <f>IFERROR(IF([1]对账明细接口!$R372=0,"",[1]对账明细接口!$R372),"")</f>
        <v>豫N*P269J</v>
      </c>
      <c r="X372" s="20" t="str">
        <f>IFERROR(IF([1]对账明细接口!$S372=0,"",[1]对账明细接口!$S372),"")</f>
        <v>公司筐</v>
      </c>
      <c r="Y372" s="20" t="str">
        <f>IFERROR(IF([1]对账明细接口!$T372=0,"",[1]对账明细接口!$T372),"")</f>
        <v>王照雪</v>
      </c>
      <c r="Z372" s="24" t="str">
        <f>IFERROR(IF([1]对账明细接口!$U372=0,"",[1]对账明细接口!$U372),"")</f>
        <v/>
      </c>
      <c r="AA372" s="24" t="str">
        <f>IFERROR(IF([1]对账明细接口!$V372=0,"",[1]对账明细接口!$V372),"")</f>
        <v/>
      </c>
      <c r="AB372" s="20" t="str">
        <f>IFERROR(IF([1]对账明细接口!$W372=0,"",[1]对账明细接口!$W372),"")</f>
        <v/>
      </c>
      <c r="AC372" s="7" t="str">
        <f>IFERROR(IF([1]对账明细接口!$X372=0,"",[1]对账明细接口!$X372),"")</f>
        <v>电商/主播</v>
      </c>
      <c r="AD372" s="7" t="str">
        <f>IFERROR(IF([1]对账明细接口!$Y372=0,"",[1]对账明细接口!$Y372),"")</f>
        <v/>
      </c>
      <c r="AE372" s="7" t="str">
        <f>IFERROR(IF([1]对账明细接口!$AA372=0,"",[1]对账明细接口!$AA372),"")</f>
        <v/>
      </c>
      <c r="AF372" s="7" t="str">
        <f>IFERROR(IF([1]对账明细接口!$AB372=0,"",[1]对账明细接口!$AB372),"")</f>
        <v/>
      </c>
      <c r="AG372" s="7" t="str">
        <f>IFERROR(IF([1]对账明细接口!$AC372=0,"",[1]对账明细接口!$AC372),"")</f>
        <v/>
      </c>
      <c r="AH372" s="7" t="str">
        <f>IFERROR(IF([1]对账明细接口!$AD372=0,"",[1]对账明细接口!$AD372),"")</f>
        <v>成品出库</v>
      </c>
      <c r="AI372" s="7" t="str">
        <f>IFERROR(IF([1]对账明细接口!$AE372=0,"",[1]对账明细接口!$AE372),"")</f>
        <v/>
      </c>
      <c r="AJ372" s="7" t="str">
        <f>IFERROR(IF([1]对账明细接口!$AF372=0,"",[1]对账明细接口!$AF372),"")</f>
        <v/>
      </c>
    </row>
    <row r="373" ht="14.25" customHeight="1" spans="1:36">
      <c r="A373" s="14">
        <v>373</v>
      </c>
      <c r="B373" s="15">
        <f>IFERROR(IF([1]对账明细接口!$B$373=0,"",[1]对账明细接口!$B$373),"")</f>
        <v>46265</v>
      </c>
      <c r="C373" s="16" t="str">
        <f>IFERROR(IF([1]对账明细接口!$C$373=0,"",[1]对账明细接口!$C$373),"")</f>
        <v>王照雪</v>
      </c>
      <c r="D373" s="16" t="str">
        <f>IFERROR(IF([1]对账明细接口!$D$373=0,"",[1]对账明细接口!$D$373),"")</f>
        <v>成品出库－成品出库</v>
      </c>
      <c r="E373" s="16" t="str">
        <f>IFERROR(IF([1]对账明细接口!$E$373=0,"",[1]对账明细接口!$E$373),"")</f>
        <v>NO:0001058</v>
      </c>
      <c r="F373" s="16" t="str">
        <f>IFERROR(IF([1]对账明细接口!$F$373=0,"",[1]对账明细接口!$F$373),"")</f>
        <v>苹果</v>
      </c>
      <c r="G373" s="16" t="str">
        <f>IFERROR(IF([1]对账明细接口!$G$373=0,"",[1]对账明细接口!$G$373),"")</f>
        <v>华硕一级</v>
      </c>
      <c r="H373" s="17">
        <f>IFERROR(IF([1]对账明细接口!$H$373=0,"",[1]对账明细接口!$H$373),"")</f>
        <v>307</v>
      </c>
      <c r="I373" s="16" t="str">
        <f>IFERROR(IF([1]对账明细接口!$I$373=0,"",[1]对账明细接口!$I$373),"")</f>
        <v>箱</v>
      </c>
      <c r="J373" s="18">
        <f>IFERROR(IF([1]对账明细接口!$J$373=0,"",[1]对账明细接口!$J$373),"")</f>
        <v>1565.7</v>
      </c>
      <c r="K373" s="18" t="str">
        <f>IFERROR(IF([1]对账明细接口!$K$373=0,"",[1]对账明细接口!$K$373),"")</f>
        <v/>
      </c>
      <c r="L373" s="16" t="str">
        <f>IFERROR(IF([1]对账明细接口!$L$373=0,"",[1]对账明细接口!$L$373),"")</f>
        <v/>
      </c>
      <c r="M373" s="16" t="str">
        <f>IFERROR(IF([1]对账明细接口!$M$373=0,"",[1]对账明细接口!$M$373),"")</f>
        <v/>
      </c>
      <c r="N373" s="19">
        <f t="shared" si="10"/>
        <v>1</v>
      </c>
      <c r="O373" s="19">
        <f t="shared" si="11"/>
        <v>370</v>
      </c>
      <c r="S373" s="20" t="str">
        <f>IFERROR(IF([1]对账明细接口!$N373=0,"",[1]对账明细接口!$N373),"")</f>
        <v>纸箱</v>
      </c>
      <c r="T373" s="21" t="str">
        <f>IFERROR(IF([1]对账明细接口!$O373=0,"",[1]对账明细接口!$O373),"")</f>
        <v/>
      </c>
      <c r="U373" s="21" t="str">
        <f>IFERROR(IF([1]对账明细接口!$P373=0,"",[1]对账明细接口!$P373),"")</f>
        <v/>
      </c>
      <c r="V373" s="21" t="str">
        <f>IFERROR(IF([1]对账明细接口!$Q373=0,"",[1]对账明细接口!$Q373),"")</f>
        <v/>
      </c>
      <c r="W373" s="20" t="str">
        <f>IFERROR(IF([1]对账明细接口!$R373=0,"",[1]对账明细接口!$R373),"")</f>
        <v>豫N*P269J</v>
      </c>
      <c r="X373" s="20" t="str">
        <f>IFERROR(IF([1]对账明细接口!$S373=0,"",[1]对账明细接口!$S373),"")</f>
        <v>公司筐</v>
      </c>
      <c r="Y373" s="20" t="str">
        <f>IFERROR(IF([1]对账明细接口!$T373=0,"",[1]对账明细接口!$T373),"")</f>
        <v>王照雪</v>
      </c>
      <c r="Z373" s="24" t="str">
        <f>IFERROR(IF([1]对账明细接口!$U373=0,"",[1]对账明细接口!$U373),"")</f>
        <v/>
      </c>
      <c r="AA373" s="24" t="str">
        <f>IFERROR(IF([1]对账明细接口!$V373=0,"",[1]对账明细接口!$V373),"")</f>
        <v/>
      </c>
      <c r="AB373" s="20" t="str">
        <f>IFERROR(IF([1]对账明细接口!$W373=0,"",[1]对账明细接口!$W373),"")</f>
        <v/>
      </c>
      <c r="AC373" s="7" t="str">
        <f>IFERROR(IF([1]对账明细接口!$X373=0,"",[1]对账明细接口!$X373),"")</f>
        <v>电商/主播</v>
      </c>
      <c r="AD373" s="7" t="str">
        <f>IFERROR(IF([1]对账明细接口!$Y373=0,"",[1]对账明细接口!$Y373),"")</f>
        <v/>
      </c>
      <c r="AE373" s="7" t="str">
        <f>IFERROR(IF([1]对账明细接口!$AA373=0,"",[1]对账明细接口!$AA373),"")</f>
        <v/>
      </c>
      <c r="AF373" s="7" t="str">
        <f>IFERROR(IF([1]对账明细接口!$AB373=0,"",[1]对账明细接口!$AB373),"")</f>
        <v/>
      </c>
      <c r="AG373" s="7" t="str">
        <f>IFERROR(IF([1]对账明细接口!$AC373=0,"",[1]对账明细接口!$AC373),"")</f>
        <v/>
      </c>
      <c r="AH373" s="7" t="str">
        <f>IFERROR(IF([1]对账明细接口!$AD373=0,"",[1]对账明细接口!$AD373),"")</f>
        <v>成品出库</v>
      </c>
      <c r="AI373" s="7" t="str">
        <f>IFERROR(IF([1]对账明细接口!$AE373=0,"",[1]对账明细接口!$AE373),"")</f>
        <v/>
      </c>
      <c r="AJ373" s="7" t="str">
        <f>IFERROR(IF([1]对账明细接口!$AF373=0,"",[1]对账明细接口!$AF373),"")</f>
        <v/>
      </c>
    </row>
    <row r="374" ht="14.25" customHeight="1" spans="1:36">
      <c r="A374" s="14">
        <v>374</v>
      </c>
      <c r="B374" s="15">
        <f>IFERROR(IF([1]对账明细接口!$B$374=0,"",[1]对账明细接口!$B$374),"")</f>
        <v>46265</v>
      </c>
      <c r="C374" s="16" t="str">
        <f>IFERROR(IF([1]对账明细接口!$C$374=0,"",[1]对账明细接口!$C$374),"")</f>
        <v>王照雪</v>
      </c>
      <c r="D374" s="16" t="str">
        <f>IFERROR(IF([1]对账明细接口!$D$374=0,"",[1]对账明细接口!$D$374),"")</f>
        <v>成品出库－成品出库</v>
      </c>
      <c r="E374" s="16" t="str">
        <f>IFERROR(IF([1]对账明细接口!$E$374=0,"",[1]对账明细接口!$E$374),"")</f>
        <v>NO:0001058</v>
      </c>
      <c r="F374" s="16" t="str">
        <f>IFERROR(IF([1]对账明细接口!$F$374=0,"",[1]对账明细接口!$F$374),"")</f>
        <v>苹果</v>
      </c>
      <c r="G374" s="16" t="str">
        <f>IFERROR(IF([1]对账明细接口!$G$374=0,"",[1]对账明细接口!$G$374),"")</f>
        <v>华硕一级</v>
      </c>
      <c r="H374" s="17">
        <f>IFERROR(IF([1]对账明细接口!$H$374=0,"",[1]对账明细接口!$H$374),"")</f>
        <v>1</v>
      </c>
      <c r="I374" s="16" t="str">
        <f>IFERROR(IF([1]对账明细接口!$I$374=0,"",[1]对账明细接口!$I$374),"")</f>
        <v>箱</v>
      </c>
      <c r="J374" s="18">
        <f>IFERROR(IF([1]对账明细接口!$J$374=0,"",[1]对账明细接口!$J$374),"")</f>
        <v>2.6</v>
      </c>
      <c r="K374" s="18" t="str">
        <f>IFERROR(IF([1]对账明细接口!$K$374=0,"",[1]对账明细接口!$K$374),"")</f>
        <v/>
      </c>
      <c r="L374" s="16" t="str">
        <f>IFERROR(IF([1]对账明细接口!$L$374=0,"",[1]对账明细接口!$L$374),"")</f>
        <v/>
      </c>
      <c r="M374" s="16" t="str">
        <f>IFERROR(IF([1]对账明细接口!$M$374=0,"",[1]对账明细接口!$M$374),"")</f>
        <v/>
      </c>
      <c r="N374" s="19">
        <f t="shared" si="10"/>
        <v>1</v>
      </c>
      <c r="O374" s="19">
        <f t="shared" si="11"/>
        <v>371</v>
      </c>
      <c r="S374" s="20" t="str">
        <f>IFERROR(IF([1]对账明细接口!$N374=0,"",[1]对账明细接口!$N374),"")</f>
        <v>纸箱</v>
      </c>
      <c r="T374" s="21" t="str">
        <f>IFERROR(IF([1]对账明细接口!$O374=0,"",[1]对账明细接口!$O374),"")</f>
        <v/>
      </c>
      <c r="U374" s="21" t="str">
        <f>IFERROR(IF([1]对账明细接口!$P374=0,"",[1]对账明细接口!$P374),"")</f>
        <v/>
      </c>
      <c r="V374" s="21" t="str">
        <f>IFERROR(IF([1]对账明细接口!$Q374=0,"",[1]对账明细接口!$Q374),"")</f>
        <v/>
      </c>
      <c r="W374" s="20" t="str">
        <f>IFERROR(IF([1]对账明细接口!$R374=0,"",[1]对账明细接口!$R374),"")</f>
        <v>豫N*P269J</v>
      </c>
      <c r="X374" s="20" t="str">
        <f>IFERROR(IF([1]对账明细接口!$S374=0,"",[1]对账明细接口!$S374),"")</f>
        <v>公司筐</v>
      </c>
      <c r="Y374" s="20" t="str">
        <f>IFERROR(IF([1]对账明细接口!$T374=0,"",[1]对账明细接口!$T374),"")</f>
        <v>王照雪</v>
      </c>
      <c r="Z374" s="24" t="str">
        <f>IFERROR(IF([1]对账明细接口!$U374=0,"",[1]对账明细接口!$U374),"")</f>
        <v/>
      </c>
      <c r="AA374" s="24" t="str">
        <f>IFERROR(IF([1]对账明细接口!$V374=0,"",[1]对账明细接口!$V374),"")</f>
        <v/>
      </c>
      <c r="AB374" s="20" t="str">
        <f>IFERROR(IF([1]对账明细接口!$W374=0,"",[1]对账明细接口!$W374),"")</f>
        <v/>
      </c>
      <c r="AC374" s="7" t="str">
        <f>IFERROR(IF([1]对账明细接口!$X374=0,"",[1]对账明细接口!$X374),"")</f>
        <v>电商/主播</v>
      </c>
      <c r="AD374" s="7" t="str">
        <f>IFERROR(IF([1]对账明细接口!$Y374=0,"",[1]对账明细接口!$Y374),"")</f>
        <v/>
      </c>
      <c r="AE374" s="7" t="str">
        <f>IFERROR(IF([1]对账明细接口!$AA374=0,"",[1]对账明细接口!$AA374),"")</f>
        <v/>
      </c>
      <c r="AF374" s="7" t="str">
        <f>IFERROR(IF([1]对账明细接口!$AB374=0,"",[1]对账明细接口!$AB374),"")</f>
        <v/>
      </c>
      <c r="AG374" s="7" t="str">
        <f>IFERROR(IF([1]对账明细接口!$AC374=0,"",[1]对账明细接口!$AC374),"")</f>
        <v/>
      </c>
      <c r="AH374" s="7" t="str">
        <f>IFERROR(IF([1]对账明细接口!$AD374=0,"",[1]对账明细接口!$AD374),"")</f>
        <v>成品出库</v>
      </c>
      <c r="AI374" s="7" t="str">
        <f>IFERROR(IF([1]对账明细接口!$AE374=0,"",[1]对账明细接口!$AE374),"")</f>
        <v/>
      </c>
      <c r="AJ374" s="7" t="str">
        <f>IFERROR(IF([1]对账明细接口!$AF374=0,"",[1]对账明细接口!$AF374),"")</f>
        <v/>
      </c>
    </row>
    <row r="375" ht="14.25" customHeight="1" spans="1:36">
      <c r="A375" s="14">
        <v>375</v>
      </c>
      <c r="B375" s="15">
        <f>IFERROR(IF([1]对账明细接口!$B$375=0,"",[1]对账明细接口!$B$375),"")</f>
        <v>46266</v>
      </c>
      <c r="C375" s="16" t="str">
        <f>IFERROR(IF([1]对账明细接口!$C$375=0,"",[1]对账明细接口!$C$375),"")</f>
        <v>王照雪</v>
      </c>
      <c r="D375" s="16" t="str">
        <f>IFERROR(IF([1]对账明细接口!$D$375=0,"",[1]对账明细接口!$D$375),"")</f>
        <v>成品出库－成品出库</v>
      </c>
      <c r="E375" s="16" t="str">
        <f>IFERROR(IF([1]对账明细接口!$E$375=0,"",[1]对账明细接口!$E$375),"")</f>
        <v>NO:0001062</v>
      </c>
      <c r="F375" s="16" t="str">
        <f>IFERROR(IF([1]对账明细接口!$F$375=0,"",[1]对账明细接口!$F$375),"")</f>
        <v>苹果</v>
      </c>
      <c r="G375" s="16" t="str">
        <f>IFERROR(IF([1]对账明细接口!$G$375=0,"",[1]对账明细接口!$G$375),"")</f>
        <v>华硕一级</v>
      </c>
      <c r="H375" s="17">
        <f>IFERROR(IF([1]对账明细接口!$H$375=0,"",[1]对账明细接口!$H$375),"")</f>
        <v>346</v>
      </c>
      <c r="I375" s="16" t="str">
        <f>IFERROR(IF([1]对账明细接口!$I$375=0,"",[1]对账明细接口!$I$375),"")</f>
        <v>箱</v>
      </c>
      <c r="J375" s="18">
        <f>IFERROR(IF([1]对账明细接口!$J$375=0,"",[1]对账明细接口!$J$375),"")</f>
        <v>1764.6</v>
      </c>
      <c r="K375" s="18" t="str">
        <f>IFERROR(IF([1]对账明细接口!$K$375=0,"",[1]对账明细接口!$K$375),"")</f>
        <v/>
      </c>
      <c r="L375" s="16" t="str">
        <f>IFERROR(IF([1]对账明细接口!$L$375=0,"",[1]对账明细接口!$L$375),"")</f>
        <v/>
      </c>
      <c r="M375" s="16" t="str">
        <f>IFERROR(IF([1]对账明细接口!$M$375=0,"",[1]对账明细接口!$M$375),"")</f>
        <v/>
      </c>
      <c r="N375" s="19">
        <f t="shared" si="10"/>
        <v>1</v>
      </c>
      <c r="O375" s="19">
        <f t="shared" si="11"/>
        <v>372</v>
      </c>
      <c r="S375" s="20" t="str">
        <f>IFERROR(IF([1]对账明细接口!$N375=0,"",[1]对账明细接口!$N375),"")</f>
        <v>纸箱</v>
      </c>
      <c r="T375" s="21" t="str">
        <f>IFERROR(IF([1]对账明细接口!$O375=0,"",[1]对账明细接口!$O375),"")</f>
        <v/>
      </c>
      <c r="U375" s="21" t="str">
        <f>IFERROR(IF([1]对账明细接口!$P375=0,"",[1]对账明细接口!$P375),"")</f>
        <v/>
      </c>
      <c r="V375" s="21" t="str">
        <f>IFERROR(IF([1]对账明细接口!$Q375=0,"",[1]对账明细接口!$Q375),"")</f>
        <v/>
      </c>
      <c r="W375" s="20" t="str">
        <f>IFERROR(IF([1]对账明细接口!$R375=0,"",[1]对账明细接口!$R375),"")</f>
        <v>豫N*P269J</v>
      </c>
      <c r="X375" s="20" t="str">
        <f>IFERROR(IF([1]对账明细接口!$S375=0,"",[1]对账明细接口!$S375),"")</f>
        <v>公司筐</v>
      </c>
      <c r="Y375" s="20" t="str">
        <f>IFERROR(IF([1]对账明细接口!$T375=0,"",[1]对账明细接口!$T375),"")</f>
        <v>王照雪</v>
      </c>
      <c r="Z375" s="24" t="str">
        <f>IFERROR(IF([1]对账明细接口!$U375=0,"",[1]对账明细接口!$U375),"")</f>
        <v/>
      </c>
      <c r="AA375" s="24" t="str">
        <f>IFERROR(IF([1]对账明细接口!$V375=0,"",[1]对账明细接口!$V375),"")</f>
        <v/>
      </c>
      <c r="AB375" s="20" t="str">
        <f>IFERROR(IF([1]对账明细接口!$W375=0,"",[1]对账明细接口!$W375),"")</f>
        <v/>
      </c>
      <c r="AC375" s="7" t="str">
        <f>IFERROR(IF([1]对账明细接口!$X375=0,"",[1]对账明细接口!$X375),"")</f>
        <v>电商/主播</v>
      </c>
      <c r="AD375" s="7" t="str">
        <f>IFERROR(IF([1]对账明细接口!$Y375=0,"",[1]对账明细接口!$Y375),"")</f>
        <v/>
      </c>
      <c r="AE375" s="7" t="str">
        <f>IFERROR(IF([1]对账明细接口!$AA375=0,"",[1]对账明细接口!$AA375),"")</f>
        <v/>
      </c>
      <c r="AF375" s="7" t="str">
        <f>IFERROR(IF([1]对账明细接口!$AB375=0,"",[1]对账明细接口!$AB375),"")</f>
        <v/>
      </c>
      <c r="AG375" s="7" t="str">
        <f>IFERROR(IF([1]对账明细接口!$AC375=0,"",[1]对账明细接口!$AC375),"")</f>
        <v/>
      </c>
      <c r="AH375" s="7" t="str">
        <f>IFERROR(IF([1]对账明细接口!$AD375=0,"",[1]对账明细接口!$AD375),"")</f>
        <v>成品出库</v>
      </c>
      <c r="AI375" s="7" t="str">
        <f>IFERROR(IF([1]对账明细接口!$AE375=0,"",[1]对账明细接口!$AE375),"")</f>
        <v/>
      </c>
      <c r="AJ375" s="7" t="str">
        <f>IFERROR(IF([1]对账明细接口!$AF375=0,"",[1]对账明细接口!$AF375),"")</f>
        <v/>
      </c>
    </row>
    <row r="376" ht="14.25" customHeight="1" spans="1:36">
      <c r="A376" s="14">
        <v>376</v>
      </c>
      <c r="B376" s="15">
        <f>IFERROR(IF([1]对账明细接口!$B$376=0,"",[1]对账明细接口!$B$376),"")</f>
        <v>46267</v>
      </c>
      <c r="C376" s="16" t="str">
        <f>IFERROR(IF([1]对账明细接口!$C$376=0,"",[1]对账明细接口!$C$376),"")</f>
        <v>王照雪</v>
      </c>
      <c r="D376" s="16" t="str">
        <f>IFERROR(IF([1]对账明细接口!$D$376=0,"",[1]对账明细接口!$D$376),"")</f>
        <v>成品出库－成品出库</v>
      </c>
      <c r="E376" s="16" t="str">
        <f>IFERROR(IF([1]对账明细接口!$E$376=0,"",[1]对账明细接口!$E$376),"")</f>
        <v>NO:0001063</v>
      </c>
      <c r="F376" s="16" t="str">
        <f>IFERROR(IF([1]对账明细接口!$F$376=0,"",[1]对账明细接口!$F$376),"")</f>
        <v>苹果</v>
      </c>
      <c r="G376" s="16" t="str">
        <f>IFERROR(IF([1]对账明细接口!$G$376=0,"",[1]对账明细接口!$G$376),"")</f>
        <v>苹果扎伤</v>
      </c>
      <c r="H376" s="17">
        <f>IFERROR(IF([1]对账明细接口!$H$376=0,"",[1]对账明细接口!$H$376),"")</f>
        <v>1</v>
      </c>
      <c r="I376" s="16" t="str">
        <f>IFERROR(IF([1]对账明细接口!$I$376=0,"",[1]对账明细接口!$I$376),"")</f>
        <v>筐</v>
      </c>
      <c r="J376" s="18">
        <f>IFERROR(IF([1]对账明细接口!$J$376=0,"",[1]对账明细接口!$J$376),"")</f>
        <v>17.3</v>
      </c>
      <c r="K376" s="18" t="str">
        <f>IFERROR(IF([1]对账明细接口!$K$376=0,"",[1]对账明细接口!$K$376),"")</f>
        <v/>
      </c>
      <c r="L376" s="16" t="str">
        <f>IFERROR(IF([1]对账明细接口!$L$376=0,"",[1]对账明细接口!$L$376),"")</f>
        <v/>
      </c>
      <c r="M376" s="16" t="str">
        <f>IFERROR(IF([1]对账明细接口!$M$376=0,"",[1]对账明细接口!$M$376),"")</f>
        <v/>
      </c>
      <c r="N376" s="19">
        <f t="shared" si="10"/>
        <v>1</v>
      </c>
      <c r="O376" s="19">
        <f t="shared" si="11"/>
        <v>373</v>
      </c>
      <c r="S376" s="20" t="str">
        <f>IFERROR(IF([1]对账明细接口!$N376=0,"",[1]对账明细接口!$N376),"")</f>
        <v>公司杂周转筐</v>
      </c>
      <c r="T376" s="21">
        <f>IFERROR(IF([1]对账明细接口!$O376=0,"",[1]对账明细接口!$O376),"")</f>
        <v>1</v>
      </c>
      <c r="U376" s="21" t="str">
        <f>IFERROR(IF([1]对账明细接口!$P376=0,"",[1]对账明细接口!$P376),"")</f>
        <v/>
      </c>
      <c r="V376" s="21" t="str">
        <f>IFERROR(IF([1]对账明细接口!$Q376=0,"",[1]对账明细接口!$Q376),"")</f>
        <v/>
      </c>
      <c r="W376" s="20" t="str">
        <f>IFERROR(IF([1]对账明细接口!$R376=0,"",[1]对账明细接口!$R376),"")</f>
        <v>自提</v>
      </c>
      <c r="X376" s="20" t="str">
        <f>IFERROR(IF([1]对账明细接口!$S376=0,"",[1]对账明细接口!$S376),"")</f>
        <v>公司筐</v>
      </c>
      <c r="Y376" s="20" t="str">
        <f>IFERROR(IF([1]对账明细接口!$T376=0,"",[1]对账明细接口!$T376),"")</f>
        <v>王照雪</v>
      </c>
      <c r="Z376" s="24" t="str">
        <f>IFERROR(IF([1]对账明细接口!$U376=0,"",[1]对账明细接口!$U376),"")</f>
        <v/>
      </c>
      <c r="AA376" s="24" t="str">
        <f>IFERROR(IF([1]对账明细接口!$V376=0,"",[1]对账明细接口!$V376),"")</f>
        <v/>
      </c>
      <c r="AB376" s="20" t="str">
        <f>IFERROR(IF([1]对账明细接口!$W376=0,"",[1]对账明细接口!$W376),"")</f>
        <v/>
      </c>
      <c r="AC376" s="7" t="str">
        <f>IFERROR(IF([1]对账明细接口!$X376=0,"",[1]对账明细接口!$X376),"")</f>
        <v>王照雪</v>
      </c>
      <c r="AD376" s="7" t="str">
        <f>IFERROR(IF([1]对账明细接口!$Y376=0,"",[1]对账明细接口!$Y376),"")</f>
        <v/>
      </c>
      <c r="AE376" s="7" t="str">
        <f>IFERROR(IF([1]对账明细接口!$AA376=0,"",[1]对账明细接口!$AA376),"")</f>
        <v/>
      </c>
      <c r="AF376" s="7" t="str">
        <f>IFERROR(IF([1]对账明细接口!$AB376=0,"",[1]对账明细接口!$AB376),"")</f>
        <v/>
      </c>
      <c r="AG376" s="7" t="str">
        <f>IFERROR(IF([1]对账明细接口!$AC376=0,"",[1]对账明细接口!$AC376),"")</f>
        <v/>
      </c>
      <c r="AH376" s="7" t="str">
        <f>IFERROR(IF([1]对账明细接口!$AD376=0,"",[1]对账明细接口!$AD376),"")</f>
        <v>成品出库</v>
      </c>
      <c r="AI376" s="7" t="str">
        <f>IFERROR(IF([1]对账明细接口!$AE376=0,"",[1]对账明细接口!$AE376),"")</f>
        <v/>
      </c>
      <c r="AJ376" s="7" t="str">
        <f>IFERROR(IF([1]对账明细接口!$AF376=0,"",[1]对账明细接口!$AF376),"")</f>
        <v/>
      </c>
    </row>
    <row r="377" ht="14.25" customHeight="1" spans="1:36">
      <c r="A377" s="14">
        <v>377</v>
      </c>
      <c r="B377" s="15">
        <f>IFERROR(IF([1]对账明细接口!$B$377=0,"",[1]对账明细接口!$B$377),"")</f>
        <v>46267</v>
      </c>
      <c r="C377" s="16" t="str">
        <f>IFERROR(IF([1]对账明细接口!$C$377=0,"",[1]对账明细接口!$C$377),"")</f>
        <v>王照雪</v>
      </c>
      <c r="D377" s="16" t="str">
        <f>IFERROR(IF([1]对账明细接口!$D$377=0,"",[1]对账明细接口!$D$377),"")</f>
        <v>成品出库－成品出库</v>
      </c>
      <c r="E377" s="16" t="str">
        <f>IFERROR(IF([1]对账明细接口!$E$377=0,"",[1]对账明细接口!$E$377),"")</f>
        <v>NO:0001065</v>
      </c>
      <c r="F377" s="16" t="str">
        <f>IFERROR(IF([1]对账明细接口!$F$377=0,"",[1]对账明细接口!$F$377),"")</f>
        <v>苹果</v>
      </c>
      <c r="G377" s="16" t="str">
        <f>IFERROR(IF([1]对账明细接口!$G$377=0,"",[1]对账明细接口!$G$377),"")</f>
        <v>华硕一级</v>
      </c>
      <c r="H377" s="17">
        <f>IFERROR(IF([1]对账明细接口!$H$377=0,"",[1]对账明细接口!$H$377),"")</f>
        <v>242</v>
      </c>
      <c r="I377" s="16" t="str">
        <f>IFERROR(IF([1]对账明细接口!$I$377=0,"",[1]对账明细接口!$I$377),"")</f>
        <v>箱</v>
      </c>
      <c r="J377" s="18">
        <f>IFERROR(IF([1]对账明细接口!$J$377=0,"",[1]对账明细接口!$J$377),"")</f>
        <v>1234.2</v>
      </c>
      <c r="K377" s="18" t="str">
        <f>IFERROR(IF([1]对账明细接口!$K$377=0,"",[1]对账明细接口!$K$377),"")</f>
        <v/>
      </c>
      <c r="L377" s="16" t="str">
        <f>IFERROR(IF([1]对账明细接口!$L$377=0,"",[1]对账明细接口!$L$377),"")</f>
        <v/>
      </c>
      <c r="M377" s="16" t="str">
        <f>IFERROR(IF([1]对账明细接口!$M$377=0,"",[1]对账明细接口!$M$377),"")</f>
        <v/>
      </c>
      <c r="N377" s="19">
        <f t="shared" si="10"/>
        <v>1</v>
      </c>
      <c r="O377" s="19">
        <f t="shared" si="11"/>
        <v>374</v>
      </c>
      <c r="S377" s="20" t="str">
        <f>IFERROR(IF([1]对账明细接口!$N377=0,"",[1]对账明细接口!$N377),"")</f>
        <v>纸箱</v>
      </c>
      <c r="T377" s="21" t="str">
        <f>IFERROR(IF([1]对账明细接口!$O377=0,"",[1]对账明细接口!$O377),"")</f>
        <v/>
      </c>
      <c r="U377" s="21" t="str">
        <f>IFERROR(IF([1]对账明细接口!$P377=0,"",[1]对账明细接口!$P377),"")</f>
        <v/>
      </c>
      <c r="V377" s="21" t="str">
        <f>IFERROR(IF([1]对账明细接口!$Q377=0,"",[1]对账明细接口!$Q377),"")</f>
        <v/>
      </c>
      <c r="W377" s="20" t="str">
        <f>IFERROR(IF([1]对账明细接口!$R377=0,"",[1]对账明细接口!$R377),"")</f>
        <v>豫N*P269J</v>
      </c>
      <c r="X377" s="20" t="str">
        <f>IFERROR(IF([1]对账明细接口!$S377=0,"",[1]对账明细接口!$S377),"")</f>
        <v>公司筐</v>
      </c>
      <c r="Y377" s="20" t="str">
        <f>IFERROR(IF([1]对账明细接口!$T377=0,"",[1]对账明细接口!$T377),"")</f>
        <v>王照雪</v>
      </c>
      <c r="Z377" s="24" t="str">
        <f>IFERROR(IF([1]对账明细接口!$U377=0,"",[1]对账明细接口!$U377),"")</f>
        <v/>
      </c>
      <c r="AA377" s="24" t="str">
        <f>IFERROR(IF([1]对账明细接口!$V377=0,"",[1]对账明细接口!$V377),"")</f>
        <v/>
      </c>
      <c r="AB377" s="20" t="str">
        <f>IFERROR(IF([1]对账明细接口!$W377=0,"",[1]对账明细接口!$W377),"")</f>
        <v/>
      </c>
      <c r="AC377" s="7" t="str">
        <f>IFERROR(IF([1]对账明细接口!$X377=0,"",[1]对账明细接口!$X377),"")</f>
        <v>电商/主播</v>
      </c>
      <c r="AD377" s="7" t="str">
        <f>IFERROR(IF([1]对账明细接口!$Y377=0,"",[1]对账明细接口!$Y377),"")</f>
        <v/>
      </c>
      <c r="AE377" s="7" t="str">
        <f>IFERROR(IF([1]对账明细接口!$AA377=0,"",[1]对账明细接口!$AA377),"")</f>
        <v/>
      </c>
      <c r="AF377" s="7" t="str">
        <f>IFERROR(IF([1]对账明细接口!$AB377=0,"",[1]对账明细接口!$AB377),"")</f>
        <v/>
      </c>
      <c r="AG377" s="7" t="str">
        <f>IFERROR(IF([1]对账明细接口!$AC377=0,"",[1]对账明细接口!$AC377),"")</f>
        <v/>
      </c>
      <c r="AH377" s="7" t="str">
        <f>IFERROR(IF([1]对账明细接口!$AD377=0,"",[1]对账明细接口!$AD377),"")</f>
        <v>成品出库</v>
      </c>
      <c r="AI377" s="7" t="str">
        <f>IFERROR(IF([1]对账明细接口!$AE377=0,"",[1]对账明细接口!$AE377),"")</f>
        <v/>
      </c>
      <c r="AJ377" s="7" t="str">
        <f>IFERROR(IF([1]对账明细接口!$AF377=0,"",[1]对账明细接口!$AF377),"")</f>
        <v/>
      </c>
    </row>
    <row r="378" ht="14.25" customHeight="1" spans="1:36">
      <c r="A378" s="14">
        <v>378</v>
      </c>
      <c r="B378" s="15">
        <f>IFERROR(IF([1]对账明细接口!$B$378=0,"",[1]对账明细接口!$B$378),"")</f>
        <v>46267</v>
      </c>
      <c r="C378" s="16" t="str">
        <f>IFERROR(IF([1]对账明细接口!$C$378=0,"",[1]对账明细接口!$C$378),"")</f>
        <v>王照雪</v>
      </c>
      <c r="D378" s="16" t="str">
        <f>IFERROR(IF([1]对账明细接口!$D$378=0,"",[1]对账明细接口!$D$378),"")</f>
        <v>成品出库－成品出库</v>
      </c>
      <c r="E378" s="16" t="str">
        <f>IFERROR(IF([1]对账明细接口!$E$378=0,"",[1]对账明细接口!$E$378),"")</f>
        <v>NO:0001065</v>
      </c>
      <c r="F378" s="16" t="str">
        <f>IFERROR(IF([1]对账明细接口!$F$378=0,"",[1]对账明细接口!$F$378),"")</f>
        <v>苹果</v>
      </c>
      <c r="G378" s="16" t="str">
        <f>IFERROR(IF([1]对账明细接口!$G$378=0,"",[1]对账明细接口!$G$378),"")</f>
        <v>华硕一级</v>
      </c>
      <c r="H378" s="17">
        <f>IFERROR(IF([1]对账明细接口!$H$378=0,"",[1]对账明细接口!$H$378),"")</f>
        <v>28</v>
      </c>
      <c r="I378" s="16" t="str">
        <f>IFERROR(IF([1]对账明细接口!$I$378=0,"",[1]对账明细接口!$I$378),"")</f>
        <v>箱</v>
      </c>
      <c r="J378" s="18">
        <f>IFERROR(IF([1]对账明细接口!$J$378=0,"",[1]对账明细接口!$J$378),"")</f>
        <v>72.8</v>
      </c>
      <c r="K378" s="18" t="str">
        <f>IFERROR(IF([1]对账明细接口!$K$378=0,"",[1]对账明细接口!$K$378),"")</f>
        <v/>
      </c>
      <c r="L378" s="16" t="str">
        <f>IFERROR(IF([1]对账明细接口!$L$378=0,"",[1]对账明细接口!$L$378),"")</f>
        <v/>
      </c>
      <c r="M378" s="16" t="str">
        <f>IFERROR(IF([1]对账明细接口!$M$378=0,"",[1]对账明细接口!$M$378),"")</f>
        <v/>
      </c>
      <c r="N378" s="19">
        <f t="shared" si="10"/>
        <v>1</v>
      </c>
      <c r="O378" s="19">
        <f t="shared" si="11"/>
        <v>375</v>
      </c>
      <c r="S378" s="20" t="str">
        <f>IFERROR(IF([1]对账明细接口!$N378=0,"",[1]对账明细接口!$N378),"")</f>
        <v>纸箱</v>
      </c>
      <c r="T378" s="21" t="str">
        <f>IFERROR(IF([1]对账明细接口!$O378=0,"",[1]对账明细接口!$O378),"")</f>
        <v/>
      </c>
      <c r="U378" s="21" t="str">
        <f>IFERROR(IF([1]对账明细接口!$P378=0,"",[1]对账明细接口!$P378),"")</f>
        <v/>
      </c>
      <c r="V378" s="21" t="str">
        <f>IFERROR(IF([1]对账明细接口!$Q378=0,"",[1]对账明细接口!$Q378),"")</f>
        <v/>
      </c>
      <c r="W378" s="20" t="str">
        <f>IFERROR(IF([1]对账明细接口!$R378=0,"",[1]对账明细接口!$R378),"")</f>
        <v>豫N*P269J</v>
      </c>
      <c r="X378" s="20" t="str">
        <f>IFERROR(IF([1]对账明细接口!$S378=0,"",[1]对账明细接口!$S378),"")</f>
        <v>公司筐</v>
      </c>
      <c r="Y378" s="20" t="str">
        <f>IFERROR(IF([1]对账明细接口!$T378=0,"",[1]对账明细接口!$T378),"")</f>
        <v>王照雪</v>
      </c>
      <c r="Z378" s="24" t="str">
        <f>IFERROR(IF([1]对账明细接口!$U378=0,"",[1]对账明细接口!$U378),"")</f>
        <v/>
      </c>
      <c r="AA378" s="24" t="str">
        <f>IFERROR(IF([1]对账明细接口!$V378=0,"",[1]对账明细接口!$V378),"")</f>
        <v/>
      </c>
      <c r="AB378" s="20" t="str">
        <f>IFERROR(IF([1]对账明细接口!$W378=0,"",[1]对账明细接口!$W378),"")</f>
        <v/>
      </c>
      <c r="AC378" s="7" t="str">
        <f>IFERROR(IF([1]对账明细接口!$X378=0,"",[1]对账明细接口!$X378),"")</f>
        <v>电商/主播</v>
      </c>
      <c r="AD378" s="7" t="str">
        <f>IFERROR(IF([1]对账明细接口!$Y378=0,"",[1]对账明细接口!$Y378),"")</f>
        <v/>
      </c>
      <c r="AE378" s="7" t="str">
        <f>IFERROR(IF([1]对账明细接口!$AA378=0,"",[1]对账明细接口!$AA378),"")</f>
        <v/>
      </c>
      <c r="AF378" s="7" t="str">
        <f>IFERROR(IF([1]对账明细接口!$AB378=0,"",[1]对账明细接口!$AB378),"")</f>
        <v/>
      </c>
      <c r="AG378" s="7" t="str">
        <f>IFERROR(IF([1]对账明细接口!$AC378=0,"",[1]对账明细接口!$AC378),"")</f>
        <v/>
      </c>
      <c r="AH378" s="7" t="str">
        <f>IFERROR(IF([1]对账明细接口!$AD378=0,"",[1]对账明细接口!$AD378),"")</f>
        <v>成品出库</v>
      </c>
      <c r="AI378" s="7" t="str">
        <f>IFERROR(IF([1]对账明细接口!$AE378=0,"",[1]对账明细接口!$AE378),"")</f>
        <v/>
      </c>
      <c r="AJ378" s="7" t="str">
        <f>IFERROR(IF([1]对账明细接口!$AF378=0,"",[1]对账明细接口!$AF378),"")</f>
        <v/>
      </c>
    </row>
    <row r="379" ht="14.25" customHeight="1" spans="1:36">
      <c r="A379" s="14">
        <v>379</v>
      </c>
      <c r="B379" s="15">
        <f>IFERROR(IF([1]对账明细接口!$B$379=0,"",[1]对账明细接口!$B$379),"")</f>
        <v>46269</v>
      </c>
      <c r="C379" s="16" t="str">
        <f>IFERROR(IF([1]对账明细接口!$C$379=0,"",[1]对账明细接口!$C$379),"")</f>
        <v>聂新平</v>
      </c>
      <c r="D379" s="16" t="str">
        <f>IFERROR(IF([1]对账明细接口!$D$379=0,"",[1]对账明细接口!$D$379),"")</f>
        <v>成品出库－成品出库</v>
      </c>
      <c r="E379" s="16" t="str">
        <f>IFERROR(IF([1]对账明细接口!$E$379=0,"",[1]对账明细接口!$E$379),"")</f>
        <v>NO:0001081</v>
      </c>
      <c r="F379" s="16" t="str">
        <f>IFERROR(IF([1]对账明细接口!$F$379=0,"",[1]对账明细接口!$F$379),"")</f>
        <v>苹果</v>
      </c>
      <c r="G379" s="16" t="str">
        <f>IFERROR(IF([1]对账明细接口!$G$379=0,"",[1]对账明细接口!$G$379),"")</f>
        <v>苹果扎伤</v>
      </c>
      <c r="H379" s="17">
        <f>IFERROR(IF([1]对账明细接口!$H$379=0,"",[1]对账明细接口!$H$379),"")</f>
        <v>113</v>
      </c>
      <c r="I379" s="16" t="str">
        <f>IFERROR(IF([1]对账明细接口!$I$379=0,"",[1]对账明细接口!$I$379),"")</f>
        <v>筐</v>
      </c>
      <c r="J379" s="18">
        <f>IFERROR(IF([1]对账明细接口!$J$379=0,"",[1]对账明细接口!$J$379),"")</f>
        <v>2440.8</v>
      </c>
      <c r="K379" s="18" t="str">
        <f>IFERROR(IF([1]对账明细接口!$K$379=0,"",[1]对账明细接口!$K$379),"")</f>
        <v/>
      </c>
      <c r="L379" s="16" t="str">
        <f>IFERROR(IF([1]对账明细接口!$L$379=0,"",[1]对账明细接口!$L$379),"")</f>
        <v/>
      </c>
      <c r="M379" s="16" t="str">
        <f>IFERROR(IF([1]对账明细接口!$M$379=0,"",[1]对账明细接口!$M$379),"")</f>
        <v/>
      </c>
      <c r="N379" s="19">
        <f t="shared" si="10"/>
        <v>1</v>
      </c>
      <c r="O379" s="19">
        <f t="shared" si="11"/>
        <v>376</v>
      </c>
      <c r="S379" s="20" t="str">
        <f>IFERROR(IF([1]对账明细接口!$N379=0,"",[1]对账明细接口!$N379),"")</f>
        <v>公司一次性筐</v>
      </c>
      <c r="T379" s="21">
        <f>IFERROR(IF([1]对账明细接口!$O379=0,"",[1]对账明细接口!$O379),"")</f>
        <v>113</v>
      </c>
      <c r="U379" s="21" t="str">
        <f>IFERROR(IF([1]对账明细接口!$P379=0,"",[1]对账明细接口!$P379),"")</f>
        <v/>
      </c>
      <c r="V379" s="21" t="str">
        <f>IFERROR(IF([1]对账明细接口!$Q379=0,"",[1]对账明细接口!$Q379),"")</f>
        <v/>
      </c>
      <c r="W379" s="20" t="str">
        <f>IFERROR(IF([1]对账明细接口!$R379=0,"",[1]对账明细接口!$R379),"")</f>
        <v>新Q*61781</v>
      </c>
      <c r="X379" s="20" t="str">
        <f>IFERROR(IF([1]对账明细接口!$S379=0,"",[1]对账明细接口!$S379),"")</f>
        <v>公司筐</v>
      </c>
      <c r="Y379" s="20" t="str">
        <f>IFERROR(IF([1]对账明细接口!$T379=0,"",[1]对账明细接口!$T379),"")</f>
        <v>聂新平</v>
      </c>
      <c r="Z379" s="24" t="str">
        <f>IFERROR(IF([1]对账明细接口!$U379=0,"",[1]对账明细接口!$U379),"")</f>
        <v/>
      </c>
      <c r="AA379" s="24" t="str">
        <f>IFERROR(IF([1]对账明细接口!$V379=0,"",[1]对账明细接口!$V379),"")</f>
        <v/>
      </c>
      <c r="AB379" s="20" t="str">
        <f>IFERROR(IF([1]对账明细接口!$W379=0,"",[1]对账明细接口!$W379),"")</f>
        <v/>
      </c>
      <c r="AC379" s="7" t="str">
        <f>IFERROR(IF([1]对账明细接口!$X379=0,"",[1]对账明细接口!$X379),"")</f>
        <v>伍元虎</v>
      </c>
      <c r="AD379" s="7" t="str">
        <f>IFERROR(IF([1]对账明细接口!$Y379=0,"",[1]对账明细接口!$Y379),"")</f>
        <v/>
      </c>
      <c r="AE379" s="7" t="str">
        <f>IFERROR(IF([1]对账明细接口!$AA379=0,"",[1]对账明细接口!$AA379),"")</f>
        <v/>
      </c>
      <c r="AF379" s="7" t="str">
        <f>IFERROR(IF([1]对账明细接口!$AB379=0,"",[1]对账明细接口!$AB379),"")</f>
        <v/>
      </c>
      <c r="AG379" s="7" t="str">
        <f>IFERROR(IF([1]对账明细接口!$AC379=0,"",[1]对账明细接口!$AC379),"")</f>
        <v/>
      </c>
      <c r="AH379" s="7" t="str">
        <f>IFERROR(IF([1]对账明细接口!$AD379=0,"",[1]对账明细接口!$AD379),"")</f>
        <v>成品出库</v>
      </c>
      <c r="AI379" s="7" t="str">
        <f>IFERROR(IF([1]对账明细接口!$AE379=0,"",[1]对账明细接口!$AE379),"")</f>
        <v/>
      </c>
      <c r="AJ379" s="7" t="str">
        <f>IFERROR(IF([1]对账明细接口!$AF379=0,"",[1]对账明细接口!$AF379),"")</f>
        <v/>
      </c>
    </row>
    <row r="380" ht="14.25" customHeight="1" spans="1:36">
      <c r="A380" s="14">
        <v>380</v>
      </c>
      <c r="B380" s="15">
        <f>IFERROR(IF([1]对账明细接口!$B$380=0,"",[1]对账明细接口!$B$380),"")</f>
        <v>46269</v>
      </c>
      <c r="C380" s="16" t="str">
        <f>IFERROR(IF([1]对账明细接口!$C$380=0,"",[1]对账明细接口!$C$380),"")</f>
        <v>王照雪</v>
      </c>
      <c r="D380" s="16" t="str">
        <f>IFERROR(IF([1]对账明细接口!$D$380=0,"",[1]对账明细接口!$D$380),"")</f>
        <v>成品出库－成品出库</v>
      </c>
      <c r="E380" s="16" t="str">
        <f>IFERROR(IF([1]对账明细接口!$E$380=0,"",[1]对账明细接口!$E$380),"")</f>
        <v>NO:0001082</v>
      </c>
      <c r="F380" s="16" t="str">
        <f>IFERROR(IF([1]对账明细接口!$F$380=0,"",[1]对账明细接口!$F$380),"")</f>
        <v>苹果</v>
      </c>
      <c r="G380" s="16" t="str">
        <f>IFERROR(IF([1]对账明细接口!$G$380=0,"",[1]对账明细接口!$G$380),"")</f>
        <v>苹果扎伤</v>
      </c>
      <c r="H380" s="17">
        <f>IFERROR(IF([1]对账明细接口!$H$380=0,"",[1]对账明细接口!$H$380),"")</f>
        <v>81</v>
      </c>
      <c r="I380" s="16" t="str">
        <f>IFERROR(IF([1]对账明细接口!$I$380=0,"",[1]对账明细接口!$I$380),"")</f>
        <v>箱</v>
      </c>
      <c r="J380" s="18">
        <f>IFERROR(IF([1]对账明细接口!$J$380=0,"",[1]对账明细接口!$J$380),"")</f>
        <v>599.4</v>
      </c>
      <c r="K380" s="18" t="str">
        <f>IFERROR(IF([1]对账明细接口!$K$380=0,"",[1]对账明细接口!$K$380),"")</f>
        <v/>
      </c>
      <c r="L380" s="16" t="str">
        <f>IFERROR(IF([1]对账明细接口!$L$380=0,"",[1]对账明细接口!$L$380),"")</f>
        <v/>
      </c>
      <c r="M380" s="16" t="str">
        <f>IFERROR(IF([1]对账明细接口!$M$380=0,"",[1]对账明细接口!$M$380),"")</f>
        <v/>
      </c>
      <c r="N380" s="19">
        <f t="shared" si="10"/>
        <v>1</v>
      </c>
      <c r="O380" s="19">
        <f t="shared" si="11"/>
        <v>377</v>
      </c>
      <c r="S380" s="20" t="str">
        <f>IFERROR(IF([1]对账明细接口!$N380=0,"",[1]对账明细接口!$N380),"")</f>
        <v>纸箱</v>
      </c>
      <c r="T380" s="21" t="str">
        <f>IFERROR(IF([1]对账明细接口!$O380=0,"",[1]对账明细接口!$O380),"")</f>
        <v/>
      </c>
      <c r="U380" s="21" t="str">
        <f>IFERROR(IF([1]对账明细接口!$P380=0,"",[1]对账明细接口!$P380),"")</f>
        <v/>
      </c>
      <c r="V380" s="21" t="str">
        <f>IFERROR(IF([1]对账明细接口!$Q380=0,"",[1]对账明细接口!$Q380),"")</f>
        <v/>
      </c>
      <c r="W380" s="20" t="str">
        <f>IFERROR(IF([1]对账明细接口!$R380=0,"",[1]对账明细接口!$R380),"")</f>
        <v>新Q*61781</v>
      </c>
      <c r="X380" s="20" t="str">
        <f>IFERROR(IF([1]对账明细接口!$S380=0,"",[1]对账明细接口!$S380),"")</f>
        <v>公司筐</v>
      </c>
      <c r="Y380" s="20" t="str">
        <f>IFERROR(IF([1]对账明细接口!$T380=0,"",[1]对账明细接口!$T380),"")</f>
        <v>王照雪</v>
      </c>
      <c r="Z380" s="24" t="str">
        <f>IFERROR(IF([1]对账明细接口!$U380=0,"",[1]对账明细接口!$U380),"")</f>
        <v/>
      </c>
      <c r="AA380" s="24" t="str">
        <f>IFERROR(IF([1]对账明细接口!$V380=0,"",[1]对账明细接口!$V380),"")</f>
        <v/>
      </c>
      <c r="AB380" s="20" t="str">
        <f>IFERROR(IF([1]对账明细接口!$W380=0,"",[1]对账明细接口!$W380),"")</f>
        <v/>
      </c>
      <c r="AC380" s="7" t="str">
        <f>IFERROR(IF([1]对账明细接口!$X380=0,"",[1]对账明细接口!$X380),"")</f>
        <v>王照雪</v>
      </c>
      <c r="AD380" s="7" t="str">
        <f>IFERROR(IF([1]对账明细接口!$Y380=0,"",[1]对账明细接口!$Y380),"")</f>
        <v/>
      </c>
      <c r="AE380" s="7" t="str">
        <f>IFERROR(IF([1]对账明细接口!$AA380=0,"",[1]对账明细接口!$AA380),"")</f>
        <v/>
      </c>
      <c r="AF380" s="7" t="str">
        <f>IFERROR(IF([1]对账明细接口!$AB380=0,"",[1]对账明细接口!$AB380),"")</f>
        <v/>
      </c>
      <c r="AG380" s="7" t="str">
        <f>IFERROR(IF([1]对账明细接口!$AC380=0,"",[1]对账明细接口!$AC380),"")</f>
        <v/>
      </c>
      <c r="AH380" s="7" t="str">
        <f>IFERROR(IF([1]对账明细接口!$AD380=0,"",[1]对账明细接口!$AD380),"")</f>
        <v>成品出库</v>
      </c>
      <c r="AI380" s="7" t="str">
        <f>IFERROR(IF([1]对账明细接口!$AE380=0,"",[1]对账明细接口!$AE380),"")</f>
        <v/>
      </c>
      <c r="AJ380" s="7" t="str">
        <f>IFERROR(IF([1]对账明细接口!$AF380=0,"",[1]对账明细接口!$AF380),"")</f>
        <v/>
      </c>
    </row>
    <row r="381" ht="14.25" customHeight="1" spans="1:36">
      <c r="A381" s="14">
        <v>381</v>
      </c>
      <c r="B381" s="15">
        <f>IFERROR(IF([1]对账明细接口!$B$381=0,"",[1]对账明细接口!$B$381),"")</f>
        <v>46269</v>
      </c>
      <c r="C381" s="16" t="str">
        <f>IFERROR(IF([1]对账明细接口!$C$381=0,"",[1]对账明细接口!$C$381),"")</f>
        <v>王照雪</v>
      </c>
      <c r="D381" s="16" t="str">
        <f>IFERROR(IF([1]对账明细接口!$D$381=0,"",[1]对账明细接口!$D$381),"")</f>
        <v>成品出库－成品出库</v>
      </c>
      <c r="E381" s="16" t="str">
        <f>IFERROR(IF([1]对账明细接口!$E$381=0,"",[1]对账明细接口!$E$381),"")</f>
        <v>NO:0001083</v>
      </c>
      <c r="F381" s="16" t="str">
        <f>IFERROR(IF([1]对账明细接口!$F$381=0,"",[1]对账明细接口!$F$381),"")</f>
        <v>苹果</v>
      </c>
      <c r="G381" s="16" t="str">
        <f>IFERROR(IF([1]对账明细接口!$G$381=0,"",[1]对账明细接口!$G$381),"")</f>
        <v>华硕一级</v>
      </c>
      <c r="H381" s="17">
        <f>IFERROR(IF([1]对账明细接口!$H$381=0,"",[1]对账明细接口!$H$381),"")</f>
        <v>9</v>
      </c>
      <c r="I381" s="16" t="str">
        <f>IFERROR(IF([1]对账明细接口!$I$381=0,"",[1]对账明细接口!$I$381),"")</f>
        <v>箱</v>
      </c>
      <c r="J381" s="18">
        <f>IFERROR(IF([1]对账明细接口!$J$381=0,"",[1]对账明细接口!$J$381),"")</f>
        <v>45.9</v>
      </c>
      <c r="K381" s="18" t="str">
        <f>IFERROR(IF([1]对账明细接口!$K$381=0,"",[1]对账明细接口!$K$381),"")</f>
        <v/>
      </c>
      <c r="L381" s="16" t="str">
        <f>IFERROR(IF([1]对账明细接口!$L$381=0,"",[1]对账明细接口!$L$381),"")</f>
        <v/>
      </c>
      <c r="M381" s="16" t="str">
        <f>IFERROR(IF([1]对账明细接口!$M$381=0,"",[1]对账明细接口!$M$381),"")</f>
        <v/>
      </c>
      <c r="N381" s="19">
        <f t="shared" si="10"/>
        <v>1</v>
      </c>
      <c r="O381" s="19">
        <f t="shared" si="11"/>
        <v>378</v>
      </c>
      <c r="S381" s="20" t="str">
        <f>IFERROR(IF([1]对账明细接口!$N381=0,"",[1]对账明细接口!$N381),"")</f>
        <v>纸箱</v>
      </c>
      <c r="T381" s="21" t="str">
        <f>IFERROR(IF([1]对账明细接口!$O381=0,"",[1]对账明细接口!$O381),"")</f>
        <v/>
      </c>
      <c r="U381" s="21" t="str">
        <f>IFERROR(IF([1]对账明细接口!$P381=0,"",[1]对账明细接口!$P381),"")</f>
        <v/>
      </c>
      <c r="V381" s="21" t="str">
        <f>IFERROR(IF([1]对账明细接口!$Q381=0,"",[1]对账明细接口!$Q381),"")</f>
        <v/>
      </c>
      <c r="W381" s="20" t="str">
        <f>IFERROR(IF([1]对账明细接口!$R381=0,"",[1]对账明细接口!$R381),"")</f>
        <v>豫N*P269J</v>
      </c>
      <c r="X381" s="20" t="str">
        <f>IFERROR(IF([1]对账明细接口!$S381=0,"",[1]对账明细接口!$S381),"")</f>
        <v>公司筐</v>
      </c>
      <c r="Y381" s="20" t="str">
        <f>IFERROR(IF([1]对账明细接口!$T381=0,"",[1]对账明细接口!$T381),"")</f>
        <v>王照雪</v>
      </c>
      <c r="Z381" s="24" t="str">
        <f>IFERROR(IF([1]对账明细接口!$U381=0,"",[1]对账明细接口!$U381),"")</f>
        <v/>
      </c>
      <c r="AA381" s="24" t="str">
        <f>IFERROR(IF([1]对账明细接口!$V381=0,"",[1]对账明细接口!$V381),"")</f>
        <v/>
      </c>
      <c r="AB381" s="20" t="str">
        <f>IFERROR(IF([1]对账明细接口!$W381=0,"",[1]对账明细接口!$W381),"")</f>
        <v/>
      </c>
      <c r="AC381" s="7" t="str">
        <f>IFERROR(IF([1]对账明细接口!$X381=0,"",[1]对账明细接口!$X381),"")</f>
        <v>电商/主播</v>
      </c>
      <c r="AD381" s="7" t="str">
        <f>IFERROR(IF([1]对账明细接口!$Y381=0,"",[1]对账明细接口!$Y381),"")</f>
        <v/>
      </c>
      <c r="AE381" s="7" t="str">
        <f>IFERROR(IF([1]对账明细接口!$AA381=0,"",[1]对账明细接口!$AA381),"")</f>
        <v/>
      </c>
      <c r="AF381" s="7" t="str">
        <f>IFERROR(IF([1]对账明细接口!$AB381=0,"",[1]对账明细接口!$AB381),"")</f>
        <v/>
      </c>
      <c r="AG381" s="7" t="str">
        <f>IFERROR(IF([1]对账明细接口!$AC381=0,"",[1]对账明细接口!$AC381),"")</f>
        <v/>
      </c>
      <c r="AH381" s="7" t="str">
        <f>IFERROR(IF([1]对账明细接口!$AD381=0,"",[1]对账明细接口!$AD381),"")</f>
        <v>成品出库</v>
      </c>
      <c r="AI381" s="7" t="str">
        <f>IFERROR(IF([1]对账明细接口!$AE381=0,"",[1]对账明细接口!$AE381),"")</f>
        <v/>
      </c>
      <c r="AJ381" s="7" t="str">
        <f>IFERROR(IF([1]对账明细接口!$AF381=0,"",[1]对账明细接口!$AF381),"")</f>
        <v/>
      </c>
    </row>
    <row r="382" ht="14.25" customHeight="1" spans="1:36">
      <c r="A382" s="14">
        <v>382</v>
      </c>
      <c r="B382" s="15">
        <f>IFERROR(IF([1]对账明细接口!$B$382=0,"",[1]对账明细接口!$B$382),"")</f>
        <v>46269</v>
      </c>
      <c r="C382" s="16" t="str">
        <f>IFERROR(IF([1]对账明细接口!$C$382=0,"",[1]对账明细接口!$C$382),"")</f>
        <v>王照雪</v>
      </c>
      <c r="D382" s="16" t="str">
        <f>IFERROR(IF([1]对账明细接口!$D$382=0,"",[1]对账明细接口!$D$382),"")</f>
        <v>成品出库－成品出库</v>
      </c>
      <c r="E382" s="16" t="str">
        <f>IFERROR(IF([1]对账明细接口!$E$382=0,"",[1]对账明细接口!$E$382),"")</f>
        <v>NO:0001083</v>
      </c>
      <c r="F382" s="16" t="str">
        <f>IFERROR(IF([1]对账明细接口!$F$382=0,"",[1]对账明细接口!$F$382),"")</f>
        <v>苹果</v>
      </c>
      <c r="G382" s="16" t="str">
        <f>IFERROR(IF([1]对账明细接口!$G$382=0,"",[1]对账明细接口!$G$382),"")</f>
        <v>华硕一级</v>
      </c>
      <c r="H382" s="17">
        <f>IFERROR(IF([1]对账明细接口!$H$382=0,"",[1]对账明细接口!$H$382),"")</f>
        <v>4</v>
      </c>
      <c r="I382" s="16" t="str">
        <f>IFERROR(IF([1]对账明细接口!$I$382=0,"",[1]对账明细接口!$I$382),"")</f>
        <v>箱</v>
      </c>
      <c r="J382" s="18">
        <f>IFERROR(IF([1]对账明细接口!$J$382=0,"",[1]对账明细接口!$J$382),"")</f>
        <v>10.4</v>
      </c>
      <c r="K382" s="18" t="str">
        <f>IFERROR(IF([1]对账明细接口!$K$382=0,"",[1]对账明细接口!$K$382),"")</f>
        <v/>
      </c>
      <c r="L382" s="16" t="str">
        <f>IFERROR(IF([1]对账明细接口!$L$382=0,"",[1]对账明细接口!$L$382),"")</f>
        <v/>
      </c>
      <c r="M382" s="16" t="str">
        <f>IFERROR(IF([1]对账明细接口!$M$382=0,"",[1]对账明细接口!$M$382),"")</f>
        <v/>
      </c>
      <c r="N382" s="19">
        <f t="shared" si="10"/>
        <v>1</v>
      </c>
      <c r="O382" s="19">
        <f t="shared" si="11"/>
        <v>379</v>
      </c>
      <c r="S382" s="20" t="str">
        <f>IFERROR(IF([1]对账明细接口!$N382=0,"",[1]对账明细接口!$N382),"")</f>
        <v>纸箱</v>
      </c>
      <c r="T382" s="21" t="str">
        <f>IFERROR(IF([1]对账明细接口!$O382=0,"",[1]对账明细接口!$O382),"")</f>
        <v/>
      </c>
      <c r="U382" s="21" t="str">
        <f>IFERROR(IF([1]对账明细接口!$P382=0,"",[1]对账明细接口!$P382),"")</f>
        <v/>
      </c>
      <c r="V382" s="21" t="str">
        <f>IFERROR(IF([1]对账明细接口!$Q382=0,"",[1]对账明细接口!$Q382),"")</f>
        <v/>
      </c>
      <c r="W382" s="20" t="str">
        <f>IFERROR(IF([1]对账明细接口!$R382=0,"",[1]对账明细接口!$R382),"")</f>
        <v>豫N*P269J</v>
      </c>
      <c r="X382" s="20" t="str">
        <f>IFERROR(IF([1]对账明细接口!$S382=0,"",[1]对账明细接口!$S382),"")</f>
        <v>公司筐</v>
      </c>
      <c r="Y382" s="20" t="str">
        <f>IFERROR(IF([1]对账明细接口!$T382=0,"",[1]对账明细接口!$T382),"")</f>
        <v>王照雪</v>
      </c>
      <c r="Z382" s="24" t="str">
        <f>IFERROR(IF([1]对账明细接口!$U382=0,"",[1]对账明细接口!$U382),"")</f>
        <v/>
      </c>
      <c r="AA382" s="24" t="str">
        <f>IFERROR(IF([1]对账明细接口!$V382=0,"",[1]对账明细接口!$V382),"")</f>
        <v/>
      </c>
      <c r="AB382" s="20" t="str">
        <f>IFERROR(IF([1]对账明细接口!$W382=0,"",[1]对账明细接口!$W382),"")</f>
        <v/>
      </c>
      <c r="AC382" s="7" t="str">
        <f>IFERROR(IF([1]对账明细接口!$X382=0,"",[1]对账明细接口!$X382),"")</f>
        <v>电商/主播</v>
      </c>
      <c r="AD382" s="7" t="str">
        <f>IFERROR(IF([1]对账明细接口!$Y382=0,"",[1]对账明细接口!$Y382),"")</f>
        <v/>
      </c>
      <c r="AE382" s="7" t="str">
        <f>IFERROR(IF([1]对账明细接口!$AA382=0,"",[1]对账明细接口!$AA382),"")</f>
        <v/>
      </c>
      <c r="AF382" s="7" t="str">
        <f>IFERROR(IF([1]对账明细接口!$AB382=0,"",[1]对账明细接口!$AB382),"")</f>
        <v/>
      </c>
      <c r="AG382" s="7" t="str">
        <f>IFERROR(IF([1]对账明细接口!$AC382=0,"",[1]对账明细接口!$AC382),"")</f>
        <v/>
      </c>
      <c r="AH382" s="7" t="str">
        <f>IFERROR(IF([1]对账明细接口!$AD382=0,"",[1]对账明细接口!$AD382),"")</f>
        <v>成品出库</v>
      </c>
      <c r="AI382" s="7" t="str">
        <f>IFERROR(IF([1]对账明细接口!$AE382=0,"",[1]对账明细接口!$AE382),"")</f>
        <v/>
      </c>
      <c r="AJ382" s="7" t="str">
        <f>IFERROR(IF([1]对账明细接口!$AF382=0,"",[1]对账明细接口!$AF382),"")</f>
        <v/>
      </c>
    </row>
    <row r="383" ht="14.25" customHeight="1" spans="1:36">
      <c r="A383" s="14">
        <v>383</v>
      </c>
      <c r="B383" s="15">
        <f>IFERROR(IF([1]对账明细接口!$B$383=0,"",[1]对账明细接口!$B$383),"")</f>
        <v>46269</v>
      </c>
      <c r="C383" s="16" t="str">
        <f>IFERROR(IF([1]对账明细接口!$C$383=0,"",[1]对账明细接口!$C$383),"")</f>
        <v>王照雪</v>
      </c>
      <c r="D383" s="16" t="str">
        <f>IFERROR(IF([1]对账明细接口!$D$383=0,"",[1]对账明细接口!$D$383),"")</f>
        <v>成品出库－成品出库</v>
      </c>
      <c r="E383" s="16" t="str">
        <f>IFERROR(IF([1]对账明细接口!$E$383=0,"",[1]对账明细接口!$E$383),"")</f>
        <v>NO:0001083</v>
      </c>
      <c r="F383" s="16" t="str">
        <f>IFERROR(IF([1]对账明细接口!$F$383=0,"",[1]对账明细接口!$F$383),"")</f>
        <v>苹果</v>
      </c>
      <c r="G383" s="16" t="str">
        <f>IFERROR(IF([1]对账明细接口!$G$383=0,"",[1]对账明细接口!$G$383),"")</f>
        <v>苹果扎伤</v>
      </c>
      <c r="H383" s="17">
        <f>IFERROR(IF([1]对账明细接口!$H$383=0,"",[1]对账明细接口!$H$383),"")</f>
        <v>3</v>
      </c>
      <c r="I383" s="16" t="str">
        <f>IFERROR(IF([1]对账明细接口!$I$383=0,"",[1]对账明细接口!$I$383),"")</f>
        <v>筐</v>
      </c>
      <c r="J383" s="18">
        <f>IFERROR(IF([1]对账明细接口!$J$383=0,"",[1]对账明细接口!$J$383),"")</f>
        <v>51.9</v>
      </c>
      <c r="K383" s="18" t="str">
        <f>IFERROR(IF([1]对账明细接口!$K$383=0,"",[1]对账明细接口!$K$383),"")</f>
        <v/>
      </c>
      <c r="L383" s="16" t="str">
        <f>IFERROR(IF([1]对账明细接口!$L$383=0,"",[1]对账明细接口!$L$383),"")</f>
        <v/>
      </c>
      <c r="M383" s="16" t="str">
        <f>IFERROR(IF([1]对账明细接口!$M$383=0,"",[1]对账明细接口!$M$383),"")</f>
        <v/>
      </c>
      <c r="N383" s="19">
        <f t="shared" si="10"/>
        <v>1</v>
      </c>
      <c r="O383" s="19">
        <f t="shared" si="11"/>
        <v>380</v>
      </c>
      <c r="S383" s="20" t="str">
        <f>IFERROR(IF([1]对账明细接口!$N383=0,"",[1]对账明细接口!$N383),"")</f>
        <v>公司杂周转筐</v>
      </c>
      <c r="T383" s="21">
        <f>IFERROR(IF([1]对账明细接口!$O383=0,"",[1]对账明细接口!$O383),"")</f>
        <v>3</v>
      </c>
      <c r="U383" s="21" t="str">
        <f>IFERROR(IF([1]对账明细接口!$P383=0,"",[1]对账明细接口!$P383),"")</f>
        <v/>
      </c>
      <c r="V383" s="21" t="str">
        <f>IFERROR(IF([1]对账明细接口!$Q383=0,"",[1]对账明细接口!$Q383),"")</f>
        <v/>
      </c>
      <c r="W383" s="20" t="str">
        <f>IFERROR(IF([1]对账明细接口!$R383=0,"",[1]对账明细接口!$R383),"")</f>
        <v>豫N*P269J</v>
      </c>
      <c r="X383" s="20" t="str">
        <f>IFERROR(IF([1]对账明细接口!$S383=0,"",[1]对账明细接口!$S383),"")</f>
        <v>公司筐</v>
      </c>
      <c r="Y383" s="20" t="str">
        <f>IFERROR(IF([1]对账明细接口!$T383=0,"",[1]对账明细接口!$T383),"")</f>
        <v>王照雪</v>
      </c>
      <c r="Z383" s="24" t="str">
        <f>IFERROR(IF([1]对账明细接口!$U383=0,"",[1]对账明细接口!$U383),"")</f>
        <v/>
      </c>
      <c r="AA383" s="24" t="str">
        <f>IFERROR(IF([1]对账明细接口!$V383=0,"",[1]对账明细接口!$V383),"")</f>
        <v/>
      </c>
      <c r="AB383" s="20" t="str">
        <f>IFERROR(IF([1]对账明细接口!$W383=0,"",[1]对账明细接口!$W383),"")</f>
        <v/>
      </c>
      <c r="AC383" s="7" t="str">
        <f>IFERROR(IF([1]对账明细接口!$X383=0,"",[1]对账明细接口!$X383),"")</f>
        <v>王照雪</v>
      </c>
      <c r="AD383" s="7" t="str">
        <f>IFERROR(IF([1]对账明细接口!$Y383=0,"",[1]对账明细接口!$Y383),"")</f>
        <v/>
      </c>
      <c r="AE383" s="7" t="str">
        <f>IFERROR(IF([1]对账明细接口!$AA383=0,"",[1]对账明细接口!$AA383),"")</f>
        <v/>
      </c>
      <c r="AF383" s="7" t="str">
        <f>IFERROR(IF([1]对账明细接口!$AB383=0,"",[1]对账明细接口!$AB383),"")</f>
        <v/>
      </c>
      <c r="AG383" s="7" t="str">
        <f>IFERROR(IF([1]对账明细接口!$AC383=0,"",[1]对账明细接口!$AC383),"")</f>
        <v/>
      </c>
      <c r="AH383" s="7" t="str">
        <f>IFERROR(IF([1]对账明细接口!$AD383=0,"",[1]对账明细接口!$AD383),"")</f>
        <v>成品出库</v>
      </c>
      <c r="AI383" s="7" t="str">
        <f>IFERROR(IF([1]对账明细接口!$AE383=0,"",[1]对账明细接口!$AE383),"")</f>
        <v/>
      </c>
      <c r="AJ383" s="7" t="str">
        <f>IFERROR(IF([1]对账明细接口!$AF383=0,"",[1]对账明细接口!$AF383),"")</f>
        <v/>
      </c>
    </row>
    <row r="384" ht="14.25" customHeight="1" spans="1:36">
      <c r="A384" s="14">
        <v>384</v>
      </c>
      <c r="B384" s="15">
        <f>IFERROR(IF([1]对账明细接口!$B$384=0,"",[1]对账明细接口!$B$384),"")</f>
        <v>46269</v>
      </c>
      <c r="C384" s="16" t="str">
        <f>IFERROR(IF([1]对账明细接口!$C$384=0,"",[1]对账明细接口!$C$384),"")</f>
        <v>王照雪</v>
      </c>
      <c r="D384" s="16" t="str">
        <f>IFERROR(IF([1]对账明细接口!$D$384=0,"",[1]对账明细接口!$D$384),"")</f>
        <v>成品出库－成品出库</v>
      </c>
      <c r="E384" s="16" t="str">
        <f>IFERROR(IF([1]对账明细接口!$E$384=0,"",[1]对账明细接口!$E$384),"")</f>
        <v>NO:0001085</v>
      </c>
      <c r="F384" s="16" t="str">
        <f>IFERROR(IF([1]对账明细接口!$F$384=0,"",[1]对账明细接口!$F$384),"")</f>
        <v>苹果</v>
      </c>
      <c r="G384" s="16" t="str">
        <f>IFERROR(IF([1]对账明细接口!$G$384=0,"",[1]对账明细接口!$G$384),"")</f>
        <v>华硕一级</v>
      </c>
      <c r="H384" s="17">
        <f>IFERROR(IF([1]对账明细接口!$H$384=0,"",[1]对账明细接口!$H$384),"")</f>
        <v>93</v>
      </c>
      <c r="I384" s="16" t="str">
        <f>IFERROR(IF([1]对账明细接口!$I$384=0,"",[1]对账明细接口!$I$384),"")</f>
        <v>箱</v>
      </c>
      <c r="J384" s="18">
        <f>IFERROR(IF([1]对账明细接口!$J$384=0,"",[1]对账明细接口!$J$384),"")</f>
        <v>474.3</v>
      </c>
      <c r="K384" s="18" t="str">
        <f>IFERROR(IF([1]对账明细接口!$K$384=0,"",[1]对账明细接口!$K$384),"")</f>
        <v/>
      </c>
      <c r="L384" s="16" t="str">
        <f>IFERROR(IF([1]对账明细接口!$L$384=0,"",[1]对账明细接口!$L$384),"")</f>
        <v/>
      </c>
      <c r="M384" s="16" t="str">
        <f>IFERROR(IF([1]对账明细接口!$M$384=0,"",[1]对账明细接口!$M$384),"")</f>
        <v/>
      </c>
      <c r="N384" s="19">
        <f t="shared" si="10"/>
        <v>1</v>
      </c>
      <c r="O384" s="19">
        <f t="shared" si="11"/>
        <v>381</v>
      </c>
      <c r="S384" s="20" t="str">
        <f>IFERROR(IF([1]对账明细接口!$N384=0,"",[1]对账明细接口!$N384),"")</f>
        <v>纸箱</v>
      </c>
      <c r="T384" s="21" t="str">
        <f>IFERROR(IF([1]对账明细接口!$O384=0,"",[1]对账明细接口!$O384),"")</f>
        <v/>
      </c>
      <c r="U384" s="21" t="str">
        <f>IFERROR(IF([1]对账明细接口!$P384=0,"",[1]对账明细接口!$P384),"")</f>
        <v/>
      </c>
      <c r="V384" s="21" t="str">
        <f>IFERROR(IF([1]对账明细接口!$Q384=0,"",[1]对账明细接口!$Q384),"")</f>
        <v/>
      </c>
      <c r="W384" s="20" t="str">
        <f>IFERROR(IF([1]对账明细接口!$R384=0,"",[1]对账明细接口!$R384),"")</f>
        <v>豫N*P269J</v>
      </c>
      <c r="X384" s="20" t="str">
        <f>IFERROR(IF([1]对账明细接口!$S384=0,"",[1]对账明细接口!$S384),"")</f>
        <v>公司筐</v>
      </c>
      <c r="Y384" s="20" t="str">
        <f>IFERROR(IF([1]对账明细接口!$T384=0,"",[1]对账明细接口!$T384),"")</f>
        <v>王照雪</v>
      </c>
      <c r="Z384" s="24" t="str">
        <f>IFERROR(IF([1]对账明细接口!$U384=0,"",[1]对账明细接口!$U384),"")</f>
        <v/>
      </c>
      <c r="AA384" s="24" t="str">
        <f>IFERROR(IF([1]对账明细接口!$V384=0,"",[1]对账明细接口!$V384),"")</f>
        <v/>
      </c>
      <c r="AB384" s="20" t="str">
        <f>IFERROR(IF([1]对账明细接口!$W384=0,"",[1]对账明细接口!$W384),"")</f>
        <v/>
      </c>
      <c r="AC384" s="7" t="str">
        <f>IFERROR(IF([1]对账明细接口!$X384=0,"",[1]对账明细接口!$X384),"")</f>
        <v>电商/主播</v>
      </c>
      <c r="AD384" s="7" t="str">
        <f>IFERROR(IF([1]对账明细接口!$Y384=0,"",[1]对账明细接口!$Y384),"")</f>
        <v/>
      </c>
      <c r="AE384" s="7" t="str">
        <f>IFERROR(IF([1]对账明细接口!$AA384=0,"",[1]对账明细接口!$AA384),"")</f>
        <v/>
      </c>
      <c r="AF384" s="7" t="str">
        <f>IFERROR(IF([1]对账明细接口!$AB384=0,"",[1]对账明细接口!$AB384),"")</f>
        <v/>
      </c>
      <c r="AG384" s="7" t="str">
        <f>IFERROR(IF([1]对账明细接口!$AC384=0,"",[1]对账明细接口!$AC384),"")</f>
        <v/>
      </c>
      <c r="AH384" s="7" t="str">
        <f>IFERROR(IF([1]对账明细接口!$AD384=0,"",[1]对账明细接口!$AD384),"")</f>
        <v>成品出库</v>
      </c>
      <c r="AI384" s="7" t="str">
        <f>IFERROR(IF([1]对账明细接口!$AE384=0,"",[1]对账明细接口!$AE384),"")</f>
        <v/>
      </c>
      <c r="AJ384" s="7" t="str">
        <f>IFERROR(IF([1]对账明细接口!$AF384=0,"",[1]对账明细接口!$AF384),"")</f>
        <v/>
      </c>
    </row>
    <row r="385" ht="14.25" customHeight="1" spans="1:36">
      <c r="A385" s="14">
        <v>385</v>
      </c>
      <c r="B385" s="15">
        <f>IFERROR(IF([1]对账明细接口!$B$385=0,"",[1]对账明细接口!$B$385),"")</f>
        <v>46270</v>
      </c>
      <c r="C385" s="16" t="str">
        <f>IFERROR(IF([1]对账明细接口!$C$385=0,"",[1]对账明细接口!$C$385),"")</f>
        <v>王照雪</v>
      </c>
      <c r="D385" s="16" t="str">
        <f>IFERROR(IF([1]对账明细接口!$D$385=0,"",[1]对账明细接口!$D$385),"")</f>
        <v>成品出库－成品出库</v>
      </c>
      <c r="E385" s="16" t="str">
        <f>IFERROR(IF([1]对账明细接口!$E$385=0,"",[1]对账明细接口!$E$385),"")</f>
        <v>NO:0001085</v>
      </c>
      <c r="F385" s="16" t="str">
        <f>IFERROR(IF([1]对账明细接口!$F$385=0,"",[1]对账明细接口!$F$385),"")</f>
        <v>苹果</v>
      </c>
      <c r="G385" s="16" t="str">
        <f>IFERROR(IF([1]对账明细接口!$G$385=0,"",[1]对账明细接口!$G$385),"")</f>
        <v>华硕一级</v>
      </c>
      <c r="H385" s="17">
        <f>IFERROR(IF([1]对账明细接口!$H$385=0,"",[1]对账明细接口!$H$385),"")</f>
        <v>3</v>
      </c>
      <c r="I385" s="16" t="str">
        <f>IFERROR(IF([1]对账明细接口!$I$385=0,"",[1]对账明细接口!$I$385),"")</f>
        <v>箱</v>
      </c>
      <c r="J385" s="18">
        <f>IFERROR(IF([1]对账明细接口!$J$385=0,"",[1]对账明细接口!$J$385),"")</f>
        <v>7.8</v>
      </c>
      <c r="K385" s="18" t="str">
        <f>IFERROR(IF([1]对账明细接口!$K$385=0,"",[1]对账明细接口!$K$385),"")</f>
        <v/>
      </c>
      <c r="L385" s="16" t="str">
        <f>IFERROR(IF([1]对账明细接口!$L$385=0,"",[1]对账明细接口!$L$385),"")</f>
        <v/>
      </c>
      <c r="M385" s="16" t="str">
        <f>IFERROR(IF([1]对账明细接口!$M$385=0,"",[1]对账明细接口!$M$385),"")</f>
        <v/>
      </c>
      <c r="N385" s="19">
        <f t="shared" si="10"/>
        <v>1</v>
      </c>
      <c r="O385" s="19">
        <f t="shared" si="11"/>
        <v>382</v>
      </c>
      <c r="S385" s="20" t="str">
        <f>IFERROR(IF([1]对账明细接口!$N385=0,"",[1]对账明细接口!$N385),"")</f>
        <v>纸箱</v>
      </c>
      <c r="T385" s="21" t="str">
        <f>IFERROR(IF([1]对账明细接口!$O385=0,"",[1]对账明细接口!$O385),"")</f>
        <v/>
      </c>
      <c r="U385" s="21" t="str">
        <f>IFERROR(IF([1]对账明细接口!$P385=0,"",[1]对账明细接口!$P385),"")</f>
        <v/>
      </c>
      <c r="V385" s="21" t="str">
        <f>IFERROR(IF([1]对账明细接口!$Q385=0,"",[1]对账明细接口!$Q385),"")</f>
        <v/>
      </c>
      <c r="W385" s="20" t="str">
        <f>IFERROR(IF([1]对账明细接口!$R385=0,"",[1]对账明细接口!$R385),"")</f>
        <v>豫N*P269J</v>
      </c>
      <c r="X385" s="20" t="str">
        <f>IFERROR(IF([1]对账明细接口!$S385=0,"",[1]对账明细接口!$S385),"")</f>
        <v>公司筐</v>
      </c>
      <c r="Y385" s="20" t="str">
        <f>IFERROR(IF([1]对账明细接口!$T385=0,"",[1]对账明细接口!$T385),"")</f>
        <v>王照雪</v>
      </c>
      <c r="Z385" s="24" t="str">
        <f>IFERROR(IF([1]对账明细接口!$U385=0,"",[1]对账明细接口!$U385),"")</f>
        <v/>
      </c>
      <c r="AA385" s="24" t="str">
        <f>IFERROR(IF([1]对账明细接口!$V385=0,"",[1]对账明细接口!$V385),"")</f>
        <v/>
      </c>
      <c r="AB385" s="20" t="str">
        <f>IFERROR(IF([1]对账明细接口!$W385=0,"",[1]对账明细接口!$W385),"")</f>
        <v/>
      </c>
      <c r="AC385" s="7" t="str">
        <f>IFERROR(IF([1]对账明细接口!$X385=0,"",[1]对账明细接口!$X385),"")</f>
        <v>电商/主播</v>
      </c>
      <c r="AD385" s="7" t="str">
        <f>IFERROR(IF([1]对账明细接口!$Y385=0,"",[1]对账明细接口!$Y385),"")</f>
        <v/>
      </c>
      <c r="AE385" s="7" t="str">
        <f>IFERROR(IF([1]对账明细接口!$AA385=0,"",[1]对账明细接口!$AA385),"")</f>
        <v/>
      </c>
      <c r="AF385" s="7" t="str">
        <f>IFERROR(IF([1]对账明细接口!$AB385=0,"",[1]对账明细接口!$AB385),"")</f>
        <v/>
      </c>
      <c r="AG385" s="7" t="str">
        <f>IFERROR(IF([1]对账明细接口!$AC385=0,"",[1]对账明细接口!$AC385),"")</f>
        <v/>
      </c>
      <c r="AH385" s="7" t="str">
        <f>IFERROR(IF([1]对账明细接口!$AD385=0,"",[1]对账明细接口!$AD385),"")</f>
        <v>成品出库</v>
      </c>
      <c r="AI385" s="7" t="str">
        <f>IFERROR(IF([1]对账明细接口!$AE385=0,"",[1]对账明细接口!$AE385),"")</f>
        <v/>
      </c>
      <c r="AJ385" s="7" t="str">
        <f>IFERROR(IF([1]对账明细接口!$AF385=0,"",[1]对账明细接口!$AF385),"")</f>
        <v/>
      </c>
    </row>
    <row r="386" ht="14.25" customHeight="1" spans="1:36">
      <c r="A386" s="14">
        <v>386</v>
      </c>
      <c r="B386" s="15">
        <f>IFERROR(IF([1]对账明细接口!$B$386=0,"",[1]对账明细接口!$B$386),"")</f>
        <v>46271</v>
      </c>
      <c r="C386" s="16" t="str">
        <f>IFERROR(IF([1]对账明细接口!$C$386=0,"",[1]对账明细接口!$C$386),"")</f>
        <v>王照雪</v>
      </c>
      <c r="D386" s="16" t="str">
        <f>IFERROR(IF([1]对账明细接口!$D$386=0,"",[1]对账明细接口!$D$386),"")</f>
        <v>成品出库－成品出库</v>
      </c>
      <c r="E386" s="16" t="str">
        <f>IFERROR(IF([1]对账明细接口!$E$386=0,"",[1]对账明细接口!$E$386),"")</f>
        <v>NO:0001088</v>
      </c>
      <c r="F386" s="16" t="str">
        <f>IFERROR(IF([1]对账明细接口!$F$386=0,"",[1]对账明细接口!$F$386),"")</f>
        <v>苹果</v>
      </c>
      <c r="G386" s="16" t="str">
        <f>IFERROR(IF([1]对账明细接口!$G$386=0,"",[1]对账明细接口!$G$386),"")</f>
        <v>华硕一级</v>
      </c>
      <c r="H386" s="17">
        <f>IFERROR(IF([1]对账明细接口!$H$386=0,"",[1]对账明细接口!$H$386),"")</f>
        <v>105</v>
      </c>
      <c r="I386" s="16" t="str">
        <f>IFERROR(IF([1]对账明细接口!$I$386=0,"",[1]对账明细接口!$I$386),"")</f>
        <v>箱</v>
      </c>
      <c r="J386" s="18">
        <f>IFERROR(IF([1]对账明细接口!$J$386=0,"",[1]对账明细接口!$J$386),"")</f>
        <v>535.5</v>
      </c>
      <c r="K386" s="18" t="str">
        <f>IFERROR(IF([1]对账明细接口!$K$386=0,"",[1]对账明细接口!$K$386),"")</f>
        <v/>
      </c>
      <c r="L386" s="16" t="str">
        <f>IFERROR(IF([1]对账明细接口!$L$386=0,"",[1]对账明细接口!$L$386),"")</f>
        <v/>
      </c>
      <c r="M386" s="16" t="str">
        <f>IFERROR(IF([1]对账明细接口!$M$386=0,"",[1]对账明细接口!$M$386),"")</f>
        <v/>
      </c>
      <c r="N386" s="19">
        <f t="shared" si="10"/>
        <v>1</v>
      </c>
      <c r="O386" s="19">
        <f t="shared" si="11"/>
        <v>383</v>
      </c>
      <c r="S386" s="20" t="str">
        <f>IFERROR(IF([1]对账明细接口!$N386=0,"",[1]对账明细接口!$N386),"")</f>
        <v>纸箱</v>
      </c>
      <c r="T386" s="21" t="str">
        <f>IFERROR(IF([1]对账明细接口!$O386=0,"",[1]对账明细接口!$O386),"")</f>
        <v/>
      </c>
      <c r="U386" s="21" t="str">
        <f>IFERROR(IF([1]对账明细接口!$P386=0,"",[1]对账明细接口!$P386),"")</f>
        <v/>
      </c>
      <c r="V386" s="21" t="str">
        <f>IFERROR(IF([1]对账明细接口!$Q386=0,"",[1]对账明细接口!$Q386),"")</f>
        <v/>
      </c>
      <c r="W386" s="20" t="str">
        <f>IFERROR(IF([1]对账明细接口!$R386=0,"",[1]对账明细接口!$R386),"")</f>
        <v>豫N*P269J</v>
      </c>
      <c r="X386" s="20" t="str">
        <f>IFERROR(IF([1]对账明细接口!$S386=0,"",[1]对账明细接口!$S386),"")</f>
        <v>公司筐</v>
      </c>
      <c r="Y386" s="20" t="str">
        <f>IFERROR(IF([1]对账明细接口!$T386=0,"",[1]对账明细接口!$T386),"")</f>
        <v>王照雪</v>
      </c>
      <c r="Z386" s="24" t="str">
        <f>IFERROR(IF([1]对账明细接口!$U386=0,"",[1]对账明细接口!$U386),"")</f>
        <v/>
      </c>
      <c r="AA386" s="24" t="str">
        <f>IFERROR(IF([1]对账明细接口!$V386=0,"",[1]对账明细接口!$V386),"")</f>
        <v/>
      </c>
      <c r="AB386" s="20" t="str">
        <f>IFERROR(IF([1]对账明细接口!$W386=0,"",[1]对账明细接口!$W386),"")</f>
        <v/>
      </c>
      <c r="AC386" s="7" t="str">
        <f>IFERROR(IF([1]对账明细接口!$X386=0,"",[1]对账明细接口!$X386),"")</f>
        <v>电商/主播</v>
      </c>
      <c r="AD386" s="7" t="str">
        <f>IFERROR(IF([1]对账明细接口!$Y386=0,"",[1]对账明细接口!$Y386),"")</f>
        <v/>
      </c>
      <c r="AE386" s="7" t="str">
        <f>IFERROR(IF([1]对账明细接口!$AA386=0,"",[1]对账明细接口!$AA386),"")</f>
        <v/>
      </c>
      <c r="AF386" s="7" t="str">
        <f>IFERROR(IF([1]对账明细接口!$AB386=0,"",[1]对账明细接口!$AB386),"")</f>
        <v/>
      </c>
      <c r="AG386" s="7" t="str">
        <f>IFERROR(IF([1]对账明细接口!$AC386=0,"",[1]对账明细接口!$AC386),"")</f>
        <v/>
      </c>
      <c r="AH386" s="7" t="str">
        <f>IFERROR(IF([1]对账明细接口!$AD386=0,"",[1]对账明细接口!$AD386),"")</f>
        <v>成品出库</v>
      </c>
      <c r="AI386" s="7" t="str">
        <f>IFERROR(IF([1]对账明细接口!$AE386=0,"",[1]对账明细接口!$AE386),"")</f>
        <v/>
      </c>
      <c r="AJ386" s="7" t="str">
        <f>IFERROR(IF([1]对账明细接口!$AF386=0,"",[1]对账明细接口!$AF386),"")</f>
        <v/>
      </c>
    </row>
    <row r="387" ht="14.25" customHeight="1" spans="1:36">
      <c r="A387" s="14">
        <v>387</v>
      </c>
      <c r="B387" s="15">
        <f>IFERROR(IF([1]对账明细接口!$B$387=0,"",[1]对账明细接口!$B$387),"")</f>
        <v>46272</v>
      </c>
      <c r="C387" s="16" t="str">
        <f>IFERROR(IF([1]对账明细接口!$C$387=0,"",[1]对账明细接口!$C$387),"")</f>
        <v>王照雪</v>
      </c>
      <c r="D387" s="16" t="str">
        <f>IFERROR(IF([1]对账明细接口!$D$387=0,"",[1]对账明细接口!$D$387),"")</f>
        <v>成品出库－成品出库</v>
      </c>
      <c r="E387" s="16" t="str">
        <f>IFERROR(IF([1]对账明细接口!$E$387=0,"",[1]对账明细接口!$E$387),"")</f>
        <v>NO:0001093</v>
      </c>
      <c r="F387" s="16" t="str">
        <f>IFERROR(IF([1]对账明细接口!$F$387=0,"",[1]对账明细接口!$F$387),"")</f>
        <v>苹果</v>
      </c>
      <c r="G387" s="16" t="str">
        <f>IFERROR(IF([1]对账明细接口!$G$387=0,"",[1]对账明细接口!$G$387),"")</f>
        <v>华硕一级</v>
      </c>
      <c r="H387" s="17">
        <f>IFERROR(IF([1]对账明细接口!$H$387=0,"",[1]对账明细接口!$H$387),"")</f>
        <v>150</v>
      </c>
      <c r="I387" s="16" t="str">
        <f>IFERROR(IF([1]对账明细接口!$I$387=0,"",[1]对账明细接口!$I$387),"")</f>
        <v>箱</v>
      </c>
      <c r="J387" s="18">
        <f>IFERROR(IF([1]对账明细接口!$J$387=0,"",[1]对账明细接口!$J$387),"")</f>
        <v>765</v>
      </c>
      <c r="K387" s="18" t="str">
        <f>IFERROR(IF([1]对账明细接口!$K$387=0,"",[1]对账明细接口!$K$387),"")</f>
        <v/>
      </c>
      <c r="L387" s="16" t="str">
        <f>IFERROR(IF([1]对账明细接口!$L$387=0,"",[1]对账明细接口!$L$387),"")</f>
        <v/>
      </c>
      <c r="M387" s="16" t="str">
        <f>IFERROR(IF([1]对账明细接口!$M$387=0,"",[1]对账明细接口!$M$387),"")</f>
        <v/>
      </c>
      <c r="N387" s="19">
        <f t="shared" si="10"/>
        <v>1</v>
      </c>
      <c r="O387" s="19">
        <f t="shared" si="11"/>
        <v>384</v>
      </c>
      <c r="S387" s="20" t="str">
        <f>IFERROR(IF([1]对账明细接口!$N387=0,"",[1]对账明细接口!$N387),"")</f>
        <v>纸箱</v>
      </c>
      <c r="T387" s="21" t="str">
        <f>IFERROR(IF([1]对账明细接口!$O387=0,"",[1]对账明细接口!$O387),"")</f>
        <v/>
      </c>
      <c r="U387" s="21" t="str">
        <f>IFERROR(IF([1]对账明细接口!$P387=0,"",[1]对账明细接口!$P387),"")</f>
        <v/>
      </c>
      <c r="V387" s="21" t="str">
        <f>IFERROR(IF([1]对账明细接口!$Q387=0,"",[1]对账明细接口!$Q387),"")</f>
        <v/>
      </c>
      <c r="W387" s="20" t="str">
        <f>IFERROR(IF([1]对账明细接口!$R387=0,"",[1]对账明细接口!$R387),"")</f>
        <v>豫N*P269J</v>
      </c>
      <c r="X387" s="20" t="str">
        <f>IFERROR(IF([1]对账明细接口!$S387=0,"",[1]对账明细接口!$S387),"")</f>
        <v>公司筐</v>
      </c>
      <c r="Y387" s="20" t="str">
        <f>IFERROR(IF([1]对账明细接口!$T387=0,"",[1]对账明细接口!$T387),"")</f>
        <v>王照雪</v>
      </c>
      <c r="Z387" s="24" t="str">
        <f>IFERROR(IF([1]对账明细接口!$U387=0,"",[1]对账明细接口!$U387),"")</f>
        <v/>
      </c>
      <c r="AA387" s="24" t="str">
        <f>IFERROR(IF([1]对账明细接口!$V387=0,"",[1]对账明细接口!$V387),"")</f>
        <v/>
      </c>
      <c r="AB387" s="20" t="str">
        <f>IFERROR(IF([1]对账明细接口!$W387=0,"",[1]对账明细接口!$W387),"")</f>
        <v/>
      </c>
      <c r="AC387" s="7" t="str">
        <f>IFERROR(IF([1]对账明细接口!$X387=0,"",[1]对账明细接口!$X387),"")</f>
        <v>电商/主播</v>
      </c>
      <c r="AD387" s="7" t="str">
        <f>IFERROR(IF([1]对账明细接口!$Y387=0,"",[1]对账明细接口!$Y387),"")</f>
        <v/>
      </c>
      <c r="AE387" s="7" t="str">
        <f>IFERROR(IF([1]对账明细接口!$AA387=0,"",[1]对账明细接口!$AA387),"")</f>
        <v/>
      </c>
      <c r="AF387" s="7" t="str">
        <f>IFERROR(IF([1]对账明细接口!$AB387=0,"",[1]对账明细接口!$AB387),"")</f>
        <v/>
      </c>
      <c r="AG387" s="7" t="str">
        <f>IFERROR(IF([1]对账明细接口!$AC387=0,"",[1]对账明细接口!$AC387),"")</f>
        <v/>
      </c>
      <c r="AH387" s="7" t="str">
        <f>IFERROR(IF([1]对账明细接口!$AD387=0,"",[1]对账明细接口!$AD387),"")</f>
        <v>成品出库</v>
      </c>
      <c r="AI387" s="7" t="str">
        <f>IFERROR(IF([1]对账明细接口!$AE387=0,"",[1]对账明细接口!$AE387),"")</f>
        <v/>
      </c>
      <c r="AJ387" s="7" t="str">
        <f>IFERROR(IF([1]对账明细接口!$AF387=0,"",[1]对账明细接口!$AF387),"")</f>
        <v/>
      </c>
    </row>
    <row r="388" ht="14.25" customHeight="1" spans="1:36">
      <c r="A388" s="14">
        <v>388</v>
      </c>
      <c r="B388" s="15">
        <f>IFERROR(IF([1]对账明细接口!$B$388=0,"",[1]对账明细接口!$B$388),"")</f>
        <v>46273</v>
      </c>
      <c r="C388" s="16" t="str">
        <f>IFERROR(IF([1]对账明细接口!$C$388=0,"",[1]对账明细接口!$C$388),"")</f>
        <v>王照雪</v>
      </c>
      <c r="D388" s="16" t="str">
        <f>IFERROR(IF([1]对账明细接口!$D$388=0,"",[1]对账明细接口!$D$388),"")</f>
        <v>成品出库－成品出库</v>
      </c>
      <c r="E388" s="16" t="str">
        <f>IFERROR(IF([1]对账明细接口!$E$388=0,"",[1]对账明细接口!$E$388),"")</f>
        <v>NO:0001095</v>
      </c>
      <c r="F388" s="16" t="str">
        <f>IFERROR(IF([1]对账明细接口!$F$388=0,"",[1]对账明细接口!$F$388),"")</f>
        <v>苹果</v>
      </c>
      <c r="G388" s="16" t="str">
        <f>IFERROR(IF([1]对账明细接口!$G$388=0,"",[1]对账明细接口!$G$388),"")</f>
        <v>华硕一级</v>
      </c>
      <c r="H388" s="17">
        <f>IFERROR(IF([1]对账明细接口!$H$388=0,"",[1]对账明细接口!$H$388),"")</f>
        <v>296</v>
      </c>
      <c r="I388" s="16" t="str">
        <f>IFERROR(IF([1]对账明细接口!$I$388=0,"",[1]对账明细接口!$I$388),"")</f>
        <v>箱</v>
      </c>
      <c r="J388" s="18">
        <f>IFERROR(IF([1]对账明细接口!$J$388=0,"",[1]对账明细接口!$J$388),"")</f>
        <v>1509.6</v>
      </c>
      <c r="K388" s="18" t="str">
        <f>IFERROR(IF([1]对账明细接口!$K$388=0,"",[1]对账明细接口!$K$388),"")</f>
        <v/>
      </c>
      <c r="L388" s="16" t="str">
        <f>IFERROR(IF([1]对账明细接口!$L$388=0,"",[1]对账明细接口!$L$388),"")</f>
        <v/>
      </c>
      <c r="M388" s="16" t="str">
        <f>IFERROR(IF([1]对账明细接口!$M$388=0,"",[1]对账明细接口!$M$388),"")</f>
        <v/>
      </c>
      <c r="N388" s="19">
        <f t="shared" ref="N388:N451" si="12">IF($C388="",0,1)</f>
        <v>1</v>
      </c>
      <c r="O388" s="19">
        <f t="shared" ref="O388:O451" si="13">N(O387)+$N388</f>
        <v>385</v>
      </c>
      <c r="S388" s="20" t="str">
        <f>IFERROR(IF([1]对账明细接口!$N388=0,"",[1]对账明细接口!$N388),"")</f>
        <v>纸箱</v>
      </c>
      <c r="T388" s="21" t="str">
        <f>IFERROR(IF([1]对账明细接口!$O388=0,"",[1]对账明细接口!$O388),"")</f>
        <v/>
      </c>
      <c r="U388" s="21" t="str">
        <f>IFERROR(IF([1]对账明细接口!$P388=0,"",[1]对账明细接口!$P388),"")</f>
        <v/>
      </c>
      <c r="V388" s="21" t="str">
        <f>IFERROR(IF([1]对账明细接口!$Q388=0,"",[1]对账明细接口!$Q388),"")</f>
        <v/>
      </c>
      <c r="W388" s="20" t="str">
        <f>IFERROR(IF([1]对账明细接口!$R388=0,"",[1]对账明细接口!$R388),"")</f>
        <v>豫N*P269J</v>
      </c>
      <c r="X388" s="20" t="str">
        <f>IFERROR(IF([1]对账明细接口!$S388=0,"",[1]对账明细接口!$S388),"")</f>
        <v>公司筐</v>
      </c>
      <c r="Y388" s="20" t="str">
        <f>IFERROR(IF([1]对账明细接口!$T388=0,"",[1]对账明细接口!$T388),"")</f>
        <v>王照雪</v>
      </c>
      <c r="Z388" s="24" t="str">
        <f>IFERROR(IF([1]对账明细接口!$U388=0,"",[1]对账明细接口!$U388),"")</f>
        <v/>
      </c>
      <c r="AA388" s="24" t="str">
        <f>IFERROR(IF([1]对账明细接口!$V388=0,"",[1]对账明细接口!$V388),"")</f>
        <v/>
      </c>
      <c r="AB388" s="20" t="str">
        <f>IFERROR(IF([1]对账明细接口!$W388=0,"",[1]对账明细接口!$W388),"")</f>
        <v/>
      </c>
      <c r="AC388" s="7" t="str">
        <f>IFERROR(IF([1]对账明细接口!$X388=0,"",[1]对账明细接口!$X388),"")</f>
        <v>电商/主播</v>
      </c>
      <c r="AD388" s="7" t="str">
        <f>IFERROR(IF([1]对账明细接口!$Y388=0,"",[1]对账明细接口!$Y388),"")</f>
        <v/>
      </c>
      <c r="AE388" s="7" t="str">
        <f>IFERROR(IF([1]对账明细接口!$AA388=0,"",[1]对账明细接口!$AA388),"")</f>
        <v/>
      </c>
      <c r="AF388" s="7" t="str">
        <f>IFERROR(IF([1]对账明细接口!$AB388=0,"",[1]对账明细接口!$AB388),"")</f>
        <v/>
      </c>
      <c r="AG388" s="7" t="str">
        <f>IFERROR(IF([1]对账明细接口!$AC388=0,"",[1]对账明细接口!$AC388),"")</f>
        <v/>
      </c>
      <c r="AH388" s="7" t="str">
        <f>IFERROR(IF([1]对账明细接口!$AD388=0,"",[1]对账明细接口!$AD388),"")</f>
        <v>成品出库</v>
      </c>
      <c r="AI388" s="7" t="str">
        <f>IFERROR(IF([1]对账明细接口!$AE388=0,"",[1]对账明细接口!$AE388),"")</f>
        <v/>
      </c>
      <c r="AJ388" s="7" t="str">
        <f>IFERROR(IF([1]对账明细接口!$AF388=0,"",[1]对账明细接口!$AF388),"")</f>
        <v/>
      </c>
    </row>
    <row r="389" ht="14.25" customHeight="1" spans="1:36">
      <c r="A389" s="14">
        <v>389</v>
      </c>
      <c r="B389" s="15">
        <f>IFERROR(IF([1]对账明细接口!$B$389=0,"",[1]对账明细接口!$B$389),"")</f>
        <v>46273</v>
      </c>
      <c r="C389" s="16" t="str">
        <f>IFERROR(IF([1]对账明细接口!$C$389=0,"",[1]对账明细接口!$C$389),"")</f>
        <v>王照雪</v>
      </c>
      <c r="D389" s="16" t="str">
        <f>IFERROR(IF([1]对账明细接口!$D$389=0,"",[1]对账明细接口!$D$389),"")</f>
        <v>成品出库－成品出库</v>
      </c>
      <c r="E389" s="16" t="str">
        <f>IFERROR(IF([1]对账明细接口!$E$389=0,"",[1]对账明细接口!$E$389),"")</f>
        <v>NO:0001095</v>
      </c>
      <c r="F389" s="16" t="str">
        <f>IFERROR(IF([1]对账明细接口!$F$389=0,"",[1]对账明细接口!$F$389),"")</f>
        <v>苹果</v>
      </c>
      <c r="G389" s="16" t="str">
        <f>IFERROR(IF([1]对账明细接口!$G$389=0,"",[1]对账明细接口!$G$389),"")</f>
        <v>华硕一级</v>
      </c>
      <c r="H389" s="17">
        <f>IFERROR(IF([1]对账明细接口!$H$389=0,"",[1]对账明细接口!$H$389),"")</f>
        <v>16</v>
      </c>
      <c r="I389" s="16" t="str">
        <f>IFERROR(IF([1]对账明细接口!$I$389=0,"",[1]对账明细接口!$I$389),"")</f>
        <v>箱</v>
      </c>
      <c r="J389" s="18">
        <f>IFERROR(IF([1]对账明细接口!$J$389=0,"",[1]对账明细接口!$J$389),"")</f>
        <v>41.6</v>
      </c>
      <c r="K389" s="18" t="str">
        <f>IFERROR(IF([1]对账明细接口!$K$389=0,"",[1]对账明细接口!$K$389),"")</f>
        <v/>
      </c>
      <c r="L389" s="16" t="str">
        <f>IFERROR(IF([1]对账明细接口!$L$389=0,"",[1]对账明细接口!$L$389),"")</f>
        <v/>
      </c>
      <c r="M389" s="16" t="str">
        <f>IFERROR(IF([1]对账明细接口!$M$389=0,"",[1]对账明细接口!$M$389),"")</f>
        <v/>
      </c>
      <c r="N389" s="19">
        <f t="shared" si="12"/>
        <v>1</v>
      </c>
      <c r="O389" s="19">
        <f t="shared" si="13"/>
        <v>386</v>
      </c>
      <c r="S389" s="20" t="str">
        <f>IFERROR(IF([1]对账明细接口!$N389=0,"",[1]对账明细接口!$N389),"")</f>
        <v>纸箱</v>
      </c>
      <c r="T389" s="21" t="str">
        <f>IFERROR(IF([1]对账明细接口!$O389=0,"",[1]对账明细接口!$O389),"")</f>
        <v/>
      </c>
      <c r="U389" s="21" t="str">
        <f>IFERROR(IF([1]对账明细接口!$P389=0,"",[1]对账明细接口!$P389),"")</f>
        <v/>
      </c>
      <c r="V389" s="21" t="str">
        <f>IFERROR(IF([1]对账明细接口!$Q389=0,"",[1]对账明细接口!$Q389),"")</f>
        <v/>
      </c>
      <c r="W389" s="20" t="str">
        <f>IFERROR(IF([1]对账明细接口!$R389=0,"",[1]对账明细接口!$R389),"")</f>
        <v>豫N*P269J</v>
      </c>
      <c r="X389" s="20" t="str">
        <f>IFERROR(IF([1]对账明细接口!$S389=0,"",[1]对账明细接口!$S389),"")</f>
        <v>公司筐</v>
      </c>
      <c r="Y389" s="20" t="str">
        <f>IFERROR(IF([1]对账明细接口!$T389=0,"",[1]对账明细接口!$T389),"")</f>
        <v>王照雪</v>
      </c>
      <c r="Z389" s="24" t="str">
        <f>IFERROR(IF([1]对账明细接口!$U389=0,"",[1]对账明细接口!$U389),"")</f>
        <v/>
      </c>
      <c r="AA389" s="24" t="str">
        <f>IFERROR(IF([1]对账明细接口!$V389=0,"",[1]对账明细接口!$V389),"")</f>
        <v/>
      </c>
      <c r="AB389" s="20" t="str">
        <f>IFERROR(IF([1]对账明细接口!$W389=0,"",[1]对账明细接口!$W389),"")</f>
        <v/>
      </c>
      <c r="AC389" s="7" t="str">
        <f>IFERROR(IF([1]对账明细接口!$X389=0,"",[1]对账明细接口!$X389),"")</f>
        <v>电商/主播</v>
      </c>
      <c r="AD389" s="7" t="str">
        <f>IFERROR(IF([1]对账明细接口!$Y389=0,"",[1]对账明细接口!$Y389),"")</f>
        <v/>
      </c>
      <c r="AE389" s="7" t="str">
        <f>IFERROR(IF([1]对账明细接口!$AA389=0,"",[1]对账明细接口!$AA389),"")</f>
        <v/>
      </c>
      <c r="AF389" s="7" t="str">
        <f>IFERROR(IF([1]对账明细接口!$AB389=0,"",[1]对账明细接口!$AB389),"")</f>
        <v/>
      </c>
      <c r="AG389" s="7" t="str">
        <f>IFERROR(IF([1]对账明细接口!$AC389=0,"",[1]对账明细接口!$AC389),"")</f>
        <v/>
      </c>
      <c r="AH389" s="7" t="str">
        <f>IFERROR(IF([1]对账明细接口!$AD389=0,"",[1]对账明细接口!$AD389),"")</f>
        <v>成品出库</v>
      </c>
      <c r="AI389" s="7" t="str">
        <f>IFERROR(IF([1]对账明细接口!$AE389=0,"",[1]对账明细接口!$AE389),"")</f>
        <v/>
      </c>
      <c r="AJ389" s="7" t="str">
        <f>IFERROR(IF([1]对账明细接口!$AF389=0,"",[1]对账明细接口!$AF389),"")</f>
        <v/>
      </c>
    </row>
    <row r="390" ht="14.25" customHeight="1" spans="1:36">
      <c r="A390" s="14">
        <v>390</v>
      </c>
      <c r="B390" s="15">
        <f>IFERROR(IF([1]对账明细接口!$B$390=0,"",[1]对账明细接口!$B$390),"")</f>
        <v>46273</v>
      </c>
      <c r="C390" s="16" t="str">
        <f>IFERROR(IF([1]对账明细接口!$C$390=0,"",[1]对账明细接口!$C$390),"")</f>
        <v>聂新平</v>
      </c>
      <c r="D390" s="16" t="str">
        <f>IFERROR(IF([1]对账明细接口!$D$390=0,"",[1]对账明细接口!$D$390),"")</f>
        <v>成品出库－成品出库</v>
      </c>
      <c r="E390" s="16" t="str">
        <f>IFERROR(IF([1]对账明细接口!$E$390=0,"",[1]对账明细接口!$E$390),"")</f>
        <v>NO:0001097</v>
      </c>
      <c r="F390" s="16" t="str">
        <f>IFERROR(IF([1]对账明细接口!$F$390=0,"",[1]对账明细接口!$F$390),"")</f>
        <v>苹果</v>
      </c>
      <c r="G390" s="16" t="str">
        <f>IFERROR(IF([1]对账明细接口!$G$390=0,"",[1]对账明细接口!$G$390),"")</f>
        <v>嘎啦100#</v>
      </c>
      <c r="H390" s="17">
        <f>IFERROR(IF([1]对账明细接口!$H$390=0,"",[1]对账明细接口!$H$390),"")</f>
        <v>90</v>
      </c>
      <c r="I390" s="16" t="str">
        <f>IFERROR(IF([1]对账明细接口!$I$390=0,"",[1]对账明细接口!$I$390),"")</f>
        <v>筐</v>
      </c>
      <c r="J390" s="18">
        <f>IFERROR(IF([1]对账明细接口!$J$390=0,"",[1]对账明细接口!$J$390),"")</f>
        <v>1800</v>
      </c>
      <c r="K390" s="18" t="str">
        <f>IFERROR(IF([1]对账明细接口!$K$390=0,"",[1]对账明细接口!$K$390),"")</f>
        <v/>
      </c>
      <c r="L390" s="16" t="str">
        <f>IFERROR(IF([1]对账明细接口!$L$390=0,"",[1]对账明细接口!$L$390),"")</f>
        <v/>
      </c>
      <c r="M390" s="16" t="str">
        <f>IFERROR(IF([1]对账明细接口!$M$390=0,"",[1]对账明细接口!$M$390),"")</f>
        <v/>
      </c>
      <c r="N390" s="19">
        <f t="shared" si="12"/>
        <v>1</v>
      </c>
      <c r="O390" s="19">
        <f t="shared" si="13"/>
        <v>387</v>
      </c>
      <c r="S390" s="20" t="str">
        <f>IFERROR(IF([1]对账明细接口!$N390=0,"",[1]对账明细接口!$N390),"")</f>
        <v>自备一次性筐</v>
      </c>
      <c r="T390" s="21">
        <f>IFERROR(IF([1]对账明细接口!$O390=0,"",[1]对账明细接口!$O390),"")</f>
        <v>90</v>
      </c>
      <c r="U390" s="21" t="str">
        <f>IFERROR(IF([1]对账明细接口!$P390=0,"",[1]对账明细接口!$P390),"")</f>
        <v/>
      </c>
      <c r="V390" s="21" t="str">
        <f>IFERROR(IF([1]对账明细接口!$Q390=0,"",[1]对账明细接口!$Q390),"")</f>
        <v/>
      </c>
      <c r="W390" s="20" t="str">
        <f>IFERROR(IF([1]对账明细接口!$R390=0,"",[1]对账明细接口!$R390),"")</f>
        <v>吉A*ZM856</v>
      </c>
      <c r="X390" s="20" t="str">
        <f>IFERROR(IF([1]对账明细接口!$S390=0,"",[1]对账明细接口!$S390),"")</f>
        <v>自备筐</v>
      </c>
      <c r="Y390" s="20" t="str">
        <f>IFERROR(IF([1]对账明细接口!$T390=0,"",[1]对账明细接口!$T390),"")</f>
        <v>聂新平</v>
      </c>
      <c r="Z390" s="24" t="str">
        <f>IFERROR(IF([1]对账明细接口!$U390=0,"",[1]对账明细接口!$U390),"")</f>
        <v/>
      </c>
      <c r="AA390" s="24" t="str">
        <f>IFERROR(IF([1]对账明细接口!$V390=0,"",[1]对账明细接口!$V390),"")</f>
        <v/>
      </c>
      <c r="AB390" s="20" t="str">
        <f>IFERROR(IF([1]对账明细接口!$W390=0,"",[1]对账明细接口!$W390),"")</f>
        <v/>
      </c>
      <c r="AC390" s="7" t="str">
        <f>IFERROR(IF([1]对账明细接口!$X390=0,"",[1]对账明细接口!$X390),"")</f>
        <v>聂新平</v>
      </c>
      <c r="AD390" s="7" t="str">
        <f>IFERROR(IF([1]对账明细接口!$Y390=0,"",[1]对账明细接口!$Y390),"")</f>
        <v/>
      </c>
      <c r="AE390" s="7" t="str">
        <f>IFERROR(IF([1]对账明细接口!$AA390=0,"",[1]对账明细接口!$AA390),"")</f>
        <v/>
      </c>
      <c r="AF390" s="7" t="str">
        <f>IFERROR(IF([1]对账明细接口!$AB390=0,"",[1]对账明细接口!$AB390),"")</f>
        <v/>
      </c>
      <c r="AG390" s="7" t="str">
        <f>IFERROR(IF([1]对账明细接口!$AC390=0,"",[1]对账明细接口!$AC390),"")</f>
        <v/>
      </c>
      <c r="AH390" s="7" t="str">
        <f>IFERROR(IF([1]对账明细接口!$AD390=0,"",[1]对账明细接口!$AD390),"")</f>
        <v>成品出库</v>
      </c>
      <c r="AI390" s="7" t="str">
        <f>IFERROR(IF([1]对账明细接口!$AE390=0,"",[1]对账明细接口!$AE390),"")</f>
        <v/>
      </c>
      <c r="AJ390" s="7" t="str">
        <f>IFERROR(IF([1]对账明细接口!$AF390=0,"",[1]对账明细接口!$AF390),"")</f>
        <v/>
      </c>
    </row>
    <row r="391" ht="14.25" customHeight="1" spans="1:36">
      <c r="A391" s="14">
        <v>391</v>
      </c>
      <c r="B391" s="15">
        <f>IFERROR(IF([1]对账明细接口!$B$391=0,"",[1]对账明细接口!$B$391),"")</f>
        <v>46274</v>
      </c>
      <c r="C391" s="16" t="str">
        <f>IFERROR(IF([1]对账明细接口!$C$391=0,"",[1]对账明细接口!$C$391),"")</f>
        <v>王照雪</v>
      </c>
      <c r="D391" s="16" t="str">
        <f>IFERROR(IF([1]对账明细接口!$D$391=0,"",[1]对账明细接口!$D$391),"")</f>
        <v>成品出库－成品出库</v>
      </c>
      <c r="E391" s="16" t="str">
        <f>IFERROR(IF([1]对账明细接口!$E$391=0,"",[1]对账明细接口!$E$391),"")</f>
        <v>NO:0001104</v>
      </c>
      <c r="F391" s="16" t="str">
        <f>IFERROR(IF([1]对账明细接口!$F$391=0,"",[1]对账明细接口!$F$391),"")</f>
        <v>苹果</v>
      </c>
      <c r="G391" s="16" t="str">
        <f>IFERROR(IF([1]对账明细接口!$G$391=0,"",[1]对账明细接口!$G$391),"")</f>
        <v>华硕一级</v>
      </c>
      <c r="H391" s="17">
        <f>IFERROR(IF([1]对账明细接口!$H$391=0,"",[1]对账明细接口!$H$391),"")</f>
        <v>27</v>
      </c>
      <c r="I391" s="16" t="str">
        <f>IFERROR(IF([1]对账明细接口!$I$391=0,"",[1]对账明细接口!$I$391),"")</f>
        <v>箱</v>
      </c>
      <c r="J391" s="18">
        <f>IFERROR(IF([1]对账明细接口!$J$391=0,"",[1]对账明细接口!$J$391),"")</f>
        <v>137.7</v>
      </c>
      <c r="K391" s="18" t="str">
        <f>IFERROR(IF([1]对账明细接口!$K$391=0,"",[1]对账明细接口!$K$391),"")</f>
        <v/>
      </c>
      <c r="L391" s="16" t="str">
        <f>IFERROR(IF([1]对账明细接口!$L$391=0,"",[1]对账明细接口!$L$391),"")</f>
        <v/>
      </c>
      <c r="M391" s="16" t="str">
        <f>IFERROR(IF([1]对账明细接口!$M$391=0,"",[1]对账明细接口!$M$391),"")</f>
        <v/>
      </c>
      <c r="N391" s="19">
        <f t="shared" si="12"/>
        <v>1</v>
      </c>
      <c r="O391" s="19">
        <f t="shared" si="13"/>
        <v>388</v>
      </c>
      <c r="S391" s="20" t="str">
        <f>IFERROR(IF([1]对账明细接口!$N391=0,"",[1]对账明细接口!$N391),"")</f>
        <v>纸箱</v>
      </c>
      <c r="T391" s="21" t="str">
        <f>IFERROR(IF([1]对账明细接口!$O391=0,"",[1]对账明细接口!$O391),"")</f>
        <v/>
      </c>
      <c r="U391" s="21" t="str">
        <f>IFERROR(IF([1]对账明细接口!$P391=0,"",[1]对账明细接口!$P391),"")</f>
        <v/>
      </c>
      <c r="V391" s="21" t="str">
        <f>IFERROR(IF([1]对账明细接口!$Q391=0,"",[1]对账明细接口!$Q391),"")</f>
        <v/>
      </c>
      <c r="W391" s="20" t="str">
        <f>IFERROR(IF([1]对账明细接口!$R391=0,"",[1]对账明细接口!$R391),"")</f>
        <v>豫N*P269J</v>
      </c>
      <c r="X391" s="20" t="str">
        <f>IFERROR(IF([1]对账明细接口!$S391=0,"",[1]对账明细接口!$S391),"")</f>
        <v>公司筐</v>
      </c>
      <c r="Y391" s="20" t="str">
        <f>IFERROR(IF([1]对账明细接口!$T391=0,"",[1]对账明细接口!$T391),"")</f>
        <v>王照雪</v>
      </c>
      <c r="Z391" s="24" t="str">
        <f>IFERROR(IF([1]对账明细接口!$U391=0,"",[1]对账明细接口!$U391),"")</f>
        <v/>
      </c>
      <c r="AA391" s="24" t="str">
        <f>IFERROR(IF([1]对账明细接口!$V391=0,"",[1]对账明细接口!$V391),"")</f>
        <v/>
      </c>
      <c r="AB391" s="20" t="str">
        <f>IFERROR(IF([1]对账明细接口!$W391=0,"",[1]对账明细接口!$W391),"")</f>
        <v/>
      </c>
      <c r="AC391" s="7" t="str">
        <f>IFERROR(IF([1]对账明细接口!$X391=0,"",[1]对账明细接口!$X391),"")</f>
        <v>电商/主播</v>
      </c>
      <c r="AD391" s="7" t="str">
        <f>IFERROR(IF([1]对账明细接口!$Y391=0,"",[1]对账明细接口!$Y391),"")</f>
        <v/>
      </c>
      <c r="AE391" s="7" t="str">
        <f>IFERROR(IF([1]对账明细接口!$AA391=0,"",[1]对账明细接口!$AA391),"")</f>
        <v/>
      </c>
      <c r="AF391" s="7" t="str">
        <f>IFERROR(IF([1]对账明细接口!$AB391=0,"",[1]对账明细接口!$AB391),"")</f>
        <v/>
      </c>
      <c r="AG391" s="7" t="str">
        <f>IFERROR(IF([1]对账明细接口!$AC391=0,"",[1]对账明细接口!$AC391),"")</f>
        <v/>
      </c>
      <c r="AH391" s="7" t="str">
        <f>IFERROR(IF([1]对账明细接口!$AD391=0,"",[1]对账明细接口!$AD391),"")</f>
        <v>成品出库</v>
      </c>
      <c r="AI391" s="7" t="str">
        <f>IFERROR(IF([1]对账明细接口!$AE391=0,"",[1]对账明细接口!$AE391),"")</f>
        <v/>
      </c>
      <c r="AJ391" s="7" t="str">
        <f>IFERROR(IF([1]对账明细接口!$AF391=0,"",[1]对账明细接口!$AF391),"")</f>
        <v/>
      </c>
    </row>
    <row r="392" ht="14.25" customHeight="1" spans="1:36">
      <c r="A392" s="14">
        <v>392</v>
      </c>
      <c r="B392" s="15">
        <f>IFERROR(IF([1]对账明细接口!$B$392=0,"",[1]对账明细接口!$B$392),"")</f>
        <v>46275</v>
      </c>
      <c r="C392" s="16" t="str">
        <f>IFERROR(IF([1]对账明细接口!$C$392=0,"",[1]对账明细接口!$C$392),"")</f>
        <v>王照雪</v>
      </c>
      <c r="D392" s="16" t="str">
        <f>IFERROR(IF([1]对账明细接口!$D$392=0,"",[1]对账明细接口!$D$392),"")</f>
        <v>成品出库－成品出库</v>
      </c>
      <c r="E392" s="16" t="str">
        <f>IFERROR(IF([1]对账明细接口!$E$392=0,"",[1]对账明细接口!$E$392),"")</f>
        <v>NO:0001109</v>
      </c>
      <c r="F392" s="16" t="str">
        <f>IFERROR(IF([1]对账明细接口!$F$392=0,"",[1]对账明细接口!$F$392),"")</f>
        <v>苹果</v>
      </c>
      <c r="G392" s="16" t="str">
        <f>IFERROR(IF([1]对账明细接口!$G$392=0,"",[1]对账明细接口!$G$392),"")</f>
        <v>华硕一级</v>
      </c>
      <c r="H392" s="17">
        <f>IFERROR(IF([1]对账明细接口!$H$392=0,"",[1]对账明细接口!$H$392),"")</f>
        <v>132</v>
      </c>
      <c r="I392" s="16" t="str">
        <f>IFERROR(IF([1]对账明细接口!$I$392=0,"",[1]对账明细接口!$I$392),"")</f>
        <v>箱</v>
      </c>
      <c r="J392" s="18">
        <f>IFERROR(IF([1]对账明细接口!$J$392=0,"",[1]对账明细接口!$J$392),"")</f>
        <v>673.2</v>
      </c>
      <c r="K392" s="18" t="str">
        <f>IFERROR(IF([1]对账明细接口!$K$392=0,"",[1]对账明细接口!$K$392),"")</f>
        <v/>
      </c>
      <c r="L392" s="16" t="str">
        <f>IFERROR(IF([1]对账明细接口!$L$392=0,"",[1]对账明细接口!$L$392),"")</f>
        <v/>
      </c>
      <c r="M392" s="16" t="str">
        <f>IFERROR(IF([1]对账明细接口!$M$392=0,"",[1]对账明细接口!$M$392),"")</f>
        <v/>
      </c>
      <c r="N392" s="19">
        <f t="shared" si="12"/>
        <v>1</v>
      </c>
      <c r="O392" s="19">
        <f t="shared" si="13"/>
        <v>389</v>
      </c>
      <c r="S392" s="20" t="str">
        <f>IFERROR(IF([1]对账明细接口!$N392=0,"",[1]对账明细接口!$N392),"")</f>
        <v>纸箱</v>
      </c>
      <c r="T392" s="21" t="str">
        <f>IFERROR(IF([1]对账明细接口!$O392=0,"",[1]对账明细接口!$O392),"")</f>
        <v/>
      </c>
      <c r="U392" s="21" t="str">
        <f>IFERROR(IF([1]对账明细接口!$P392=0,"",[1]对账明细接口!$P392),"")</f>
        <v/>
      </c>
      <c r="V392" s="21" t="str">
        <f>IFERROR(IF([1]对账明细接口!$Q392=0,"",[1]对账明细接口!$Q392),"")</f>
        <v/>
      </c>
      <c r="W392" s="20" t="str">
        <f>IFERROR(IF([1]对账明细接口!$R392=0,"",[1]对账明细接口!$R392),"")</f>
        <v>新N*2865J</v>
      </c>
      <c r="X392" s="20" t="str">
        <f>IFERROR(IF([1]对账明细接口!$S392=0,"",[1]对账明细接口!$S392),"")</f>
        <v>公司筐</v>
      </c>
      <c r="Y392" s="20" t="str">
        <f>IFERROR(IF([1]对账明细接口!$T392=0,"",[1]对账明细接口!$T392),"")</f>
        <v>王照雪</v>
      </c>
      <c r="Z392" s="24" t="str">
        <f>IFERROR(IF([1]对账明细接口!$U392=0,"",[1]对账明细接口!$U392),"")</f>
        <v/>
      </c>
      <c r="AA392" s="24" t="str">
        <f>IFERROR(IF([1]对账明细接口!$V392=0,"",[1]对账明细接口!$V392),"")</f>
        <v/>
      </c>
      <c r="AB392" s="20" t="str">
        <f>IFERROR(IF([1]对账明细接口!$W392=0,"",[1]对账明细接口!$W392),"")</f>
        <v/>
      </c>
      <c r="AC392" s="7" t="str">
        <f>IFERROR(IF([1]对账明细接口!$X392=0,"",[1]对账明细接口!$X392),"")</f>
        <v>电商/主播</v>
      </c>
      <c r="AD392" s="7" t="str">
        <f>IFERROR(IF([1]对账明细接口!$Y392=0,"",[1]对账明细接口!$Y392),"")</f>
        <v/>
      </c>
      <c r="AE392" s="7" t="str">
        <f>IFERROR(IF([1]对账明细接口!$AA392=0,"",[1]对账明细接口!$AA392),"")</f>
        <v/>
      </c>
      <c r="AF392" s="7" t="str">
        <f>IFERROR(IF([1]对账明细接口!$AB392=0,"",[1]对账明细接口!$AB392),"")</f>
        <v/>
      </c>
      <c r="AG392" s="7" t="str">
        <f>IFERROR(IF([1]对账明细接口!$AC392=0,"",[1]对账明细接口!$AC392),"")</f>
        <v/>
      </c>
      <c r="AH392" s="7" t="str">
        <f>IFERROR(IF([1]对账明细接口!$AD392=0,"",[1]对账明细接口!$AD392),"")</f>
        <v>成品出库</v>
      </c>
      <c r="AI392" s="7" t="str">
        <f>IFERROR(IF([1]对账明细接口!$AE392=0,"",[1]对账明细接口!$AE392),"")</f>
        <v/>
      </c>
      <c r="AJ392" s="7" t="str">
        <f>IFERROR(IF([1]对账明细接口!$AF392=0,"",[1]对账明细接口!$AF392),"")</f>
        <v/>
      </c>
    </row>
    <row r="393" ht="14.25" customHeight="1" spans="1:36">
      <c r="A393" s="14">
        <v>393</v>
      </c>
      <c r="B393" s="15">
        <f>IFERROR(IF([1]对账明细接口!$B$393=0,"",[1]对账明细接口!$B$393),"")</f>
        <v>46275</v>
      </c>
      <c r="C393" s="16" t="str">
        <f>IFERROR(IF([1]对账明细接口!$C$393=0,"",[1]对账明细接口!$C$393),"")</f>
        <v>王照雪</v>
      </c>
      <c r="D393" s="16" t="str">
        <f>IFERROR(IF([1]对账明细接口!$D$393=0,"",[1]对账明细接口!$D$393),"")</f>
        <v>成品出库－成品出库</v>
      </c>
      <c r="E393" s="16" t="str">
        <f>IFERROR(IF([1]对账明细接口!$E$393=0,"",[1]对账明细接口!$E$393),"")</f>
        <v>NO:0001109</v>
      </c>
      <c r="F393" s="16" t="str">
        <f>IFERROR(IF([1]对账明细接口!$F$393=0,"",[1]对账明细接口!$F$393),"")</f>
        <v>苹果</v>
      </c>
      <c r="G393" s="16" t="str">
        <f>IFERROR(IF([1]对账明细接口!$G$393=0,"",[1]对账明细接口!$G$393),"")</f>
        <v>华硕一级</v>
      </c>
      <c r="H393" s="17">
        <f>IFERROR(IF([1]对账明细接口!$H$393=0,"",[1]对账明细接口!$H$393),"")</f>
        <v>17</v>
      </c>
      <c r="I393" s="16" t="str">
        <f>IFERROR(IF([1]对账明细接口!$I$393=0,"",[1]对账明细接口!$I$393),"")</f>
        <v>箱</v>
      </c>
      <c r="J393" s="18">
        <f>IFERROR(IF([1]对账明细接口!$J$393=0,"",[1]对账明细接口!$J$393),"")</f>
        <v>44.2</v>
      </c>
      <c r="K393" s="18" t="str">
        <f>IFERROR(IF([1]对账明细接口!$K$393=0,"",[1]对账明细接口!$K$393),"")</f>
        <v/>
      </c>
      <c r="L393" s="16" t="str">
        <f>IFERROR(IF([1]对账明细接口!$L$393=0,"",[1]对账明细接口!$L$393),"")</f>
        <v/>
      </c>
      <c r="M393" s="16" t="str">
        <f>IFERROR(IF([1]对账明细接口!$M$393=0,"",[1]对账明细接口!$M$393),"")</f>
        <v/>
      </c>
      <c r="N393" s="19">
        <f t="shared" si="12"/>
        <v>1</v>
      </c>
      <c r="O393" s="19">
        <f t="shared" si="13"/>
        <v>390</v>
      </c>
      <c r="S393" s="20" t="str">
        <f>IFERROR(IF([1]对账明细接口!$N393=0,"",[1]对账明细接口!$N393),"")</f>
        <v>纸箱</v>
      </c>
      <c r="T393" s="21" t="str">
        <f>IFERROR(IF([1]对账明细接口!$O393=0,"",[1]对账明细接口!$O393),"")</f>
        <v/>
      </c>
      <c r="U393" s="21" t="str">
        <f>IFERROR(IF([1]对账明细接口!$P393=0,"",[1]对账明细接口!$P393),"")</f>
        <v/>
      </c>
      <c r="V393" s="21" t="str">
        <f>IFERROR(IF([1]对账明细接口!$Q393=0,"",[1]对账明细接口!$Q393),"")</f>
        <v/>
      </c>
      <c r="W393" s="20" t="str">
        <f>IFERROR(IF([1]对账明细接口!$R393=0,"",[1]对账明细接口!$R393),"")</f>
        <v>新N*2865J</v>
      </c>
      <c r="X393" s="20" t="str">
        <f>IFERROR(IF([1]对账明细接口!$S393=0,"",[1]对账明细接口!$S393),"")</f>
        <v>公司筐</v>
      </c>
      <c r="Y393" s="20" t="str">
        <f>IFERROR(IF([1]对账明细接口!$T393=0,"",[1]对账明细接口!$T393),"")</f>
        <v>王照雪</v>
      </c>
      <c r="Z393" s="24" t="str">
        <f>IFERROR(IF([1]对账明细接口!$U393=0,"",[1]对账明细接口!$U393),"")</f>
        <v/>
      </c>
      <c r="AA393" s="24" t="str">
        <f>IFERROR(IF([1]对账明细接口!$V393=0,"",[1]对账明细接口!$V393),"")</f>
        <v/>
      </c>
      <c r="AB393" s="20" t="str">
        <f>IFERROR(IF([1]对账明细接口!$W393=0,"",[1]对账明细接口!$W393),"")</f>
        <v/>
      </c>
      <c r="AC393" s="7" t="str">
        <f>IFERROR(IF([1]对账明细接口!$X393=0,"",[1]对账明细接口!$X393),"")</f>
        <v>电商/主播</v>
      </c>
      <c r="AD393" s="7" t="str">
        <f>IFERROR(IF([1]对账明细接口!$Y393=0,"",[1]对账明细接口!$Y393),"")</f>
        <v/>
      </c>
      <c r="AE393" s="7" t="str">
        <f>IFERROR(IF([1]对账明细接口!$AA393=0,"",[1]对账明细接口!$AA393),"")</f>
        <v/>
      </c>
      <c r="AF393" s="7" t="str">
        <f>IFERROR(IF([1]对账明细接口!$AB393=0,"",[1]对账明细接口!$AB393),"")</f>
        <v/>
      </c>
      <c r="AG393" s="7" t="str">
        <f>IFERROR(IF([1]对账明细接口!$AC393=0,"",[1]对账明细接口!$AC393),"")</f>
        <v/>
      </c>
      <c r="AH393" s="7" t="str">
        <f>IFERROR(IF([1]对账明细接口!$AD393=0,"",[1]对账明细接口!$AD393),"")</f>
        <v>成品出库</v>
      </c>
      <c r="AI393" s="7" t="str">
        <f>IFERROR(IF([1]对账明细接口!$AE393=0,"",[1]对账明细接口!$AE393),"")</f>
        <v/>
      </c>
      <c r="AJ393" s="7" t="str">
        <f>IFERROR(IF([1]对账明细接口!$AF393=0,"",[1]对账明细接口!$AF393),"")</f>
        <v/>
      </c>
    </row>
    <row r="394" ht="14.25" customHeight="1" spans="1:36">
      <c r="A394" s="14">
        <v>394</v>
      </c>
      <c r="B394" s="15">
        <f>IFERROR(IF([1]对账明细接口!$B$394=0,"",[1]对账明细接口!$B$394),"")</f>
        <v>46275</v>
      </c>
      <c r="C394" s="16" t="str">
        <f>IFERROR(IF([1]对账明细接口!$C$394=0,"",[1]对账明细接口!$C$394),"")</f>
        <v>聂新平</v>
      </c>
      <c r="D394" s="16" t="str">
        <f>IFERROR(IF([1]对账明细接口!$D$394=0,"",[1]对账明细接口!$D$394),"")</f>
        <v>成品出库－成品出库</v>
      </c>
      <c r="E394" s="16" t="str">
        <f>IFERROR(IF([1]对账明细接口!$E$394=0,"",[1]对账明细接口!$E$394),"")</f>
        <v>NO:0001112</v>
      </c>
      <c r="F394" s="16" t="str">
        <f>IFERROR(IF([1]对账明细接口!$F$394=0,"",[1]对账明细接口!$F$394),"")</f>
        <v>苹果</v>
      </c>
      <c r="G394" s="16" t="str">
        <f>IFERROR(IF([1]对账明细接口!$G$394=0,"",[1]对账明细接口!$G$394),"")</f>
        <v>嘎啦85#</v>
      </c>
      <c r="H394" s="17">
        <f>IFERROR(IF([1]对账明细接口!$H$394=0,"",[1]对账明细接口!$H$394),"")</f>
        <v>736</v>
      </c>
      <c r="I394" s="16" t="str">
        <f>IFERROR(IF([1]对账明细接口!$I$394=0,"",[1]对账明细接口!$I$394),"")</f>
        <v>筐</v>
      </c>
      <c r="J394" s="18">
        <f>IFERROR(IF([1]对账明细接口!$J$394=0,"",[1]对账明细接口!$J$394),"")</f>
        <v>14720</v>
      </c>
      <c r="K394" s="18" t="str">
        <f>IFERROR(IF([1]对账明细接口!$K$394=0,"",[1]对账明细接口!$K$394),"")</f>
        <v/>
      </c>
      <c r="L394" s="16" t="str">
        <f>IFERROR(IF([1]对账明细接口!$L$394=0,"",[1]对账明细接口!$L$394),"")</f>
        <v/>
      </c>
      <c r="M394" s="16" t="str">
        <f>IFERROR(IF([1]对账明细接口!$M$394=0,"",[1]对账明细接口!$M$394),"")</f>
        <v/>
      </c>
      <c r="N394" s="19">
        <f t="shared" si="12"/>
        <v>1</v>
      </c>
      <c r="O394" s="19">
        <f t="shared" si="13"/>
        <v>391</v>
      </c>
      <c r="S394" s="20" t="str">
        <f>IFERROR(IF([1]对账明细接口!$N394=0,"",[1]对账明细接口!$N394),"")</f>
        <v>自备一次性筐</v>
      </c>
      <c r="T394" s="21">
        <f>IFERROR(IF([1]对账明细接口!$O394=0,"",[1]对账明细接口!$O394),"")</f>
        <v>736</v>
      </c>
      <c r="U394" s="21" t="str">
        <f>IFERROR(IF([1]对账明细接口!$P394=0,"",[1]对账明细接口!$P394),"")</f>
        <v/>
      </c>
      <c r="V394" s="21" t="str">
        <f>IFERROR(IF([1]对账明细接口!$Q394=0,"",[1]对账明细接口!$Q394),"")</f>
        <v/>
      </c>
      <c r="W394" s="20" t="str">
        <f>IFERROR(IF([1]对账明细接口!$R394=0,"",[1]对账明细接口!$R394),"")</f>
        <v>新A*H0050</v>
      </c>
      <c r="X394" s="20" t="str">
        <f>IFERROR(IF([1]对账明细接口!$S394=0,"",[1]对账明细接口!$S394),"")</f>
        <v>自备筐</v>
      </c>
      <c r="Y394" s="20" t="str">
        <f>IFERROR(IF([1]对账明细接口!$T394=0,"",[1]对账明细接口!$T394),"")</f>
        <v>聂新平</v>
      </c>
      <c r="Z394" s="24" t="str">
        <f>IFERROR(IF([1]对账明细接口!$U394=0,"",[1]对账明细接口!$U394),"")</f>
        <v/>
      </c>
      <c r="AA394" s="24" t="str">
        <f>IFERROR(IF([1]对账明细接口!$V394=0,"",[1]对账明细接口!$V394),"")</f>
        <v/>
      </c>
      <c r="AB394" s="20" t="str">
        <f>IFERROR(IF([1]对账明细接口!$W394=0,"",[1]对账明细接口!$W394),"")</f>
        <v/>
      </c>
      <c r="AC394" s="7" t="str">
        <f>IFERROR(IF([1]对账明细接口!$X394=0,"",[1]对账明细接口!$X394),"")</f>
        <v>聂新平</v>
      </c>
      <c r="AD394" s="7" t="str">
        <f>IFERROR(IF([1]对账明细接口!$Y394=0,"",[1]对账明细接口!$Y394),"")</f>
        <v/>
      </c>
      <c r="AE394" s="7" t="str">
        <f>IFERROR(IF([1]对账明细接口!$AA394=0,"",[1]对账明细接口!$AA394),"")</f>
        <v/>
      </c>
      <c r="AF394" s="7" t="str">
        <f>IFERROR(IF([1]对账明细接口!$AB394=0,"",[1]对账明细接口!$AB394),"")</f>
        <v/>
      </c>
      <c r="AG394" s="7" t="str">
        <f>IFERROR(IF([1]对账明细接口!$AC394=0,"",[1]对账明细接口!$AC394),"")</f>
        <v/>
      </c>
      <c r="AH394" s="7" t="str">
        <f>IFERROR(IF([1]对账明细接口!$AD394=0,"",[1]对账明细接口!$AD394),"")</f>
        <v>成品出库</v>
      </c>
      <c r="AI394" s="7" t="str">
        <f>IFERROR(IF([1]对账明细接口!$AE394=0,"",[1]对账明细接口!$AE394),"")</f>
        <v/>
      </c>
      <c r="AJ394" s="7" t="str">
        <f>IFERROR(IF([1]对账明细接口!$AF394=0,"",[1]对账明细接口!$AF394),"")</f>
        <v/>
      </c>
    </row>
    <row r="395" ht="14.25" customHeight="1" spans="1:36">
      <c r="A395" s="14">
        <v>395</v>
      </c>
      <c r="B395" s="15">
        <f>IFERROR(IF([1]对账明细接口!$B$395=0,"",[1]对账明细接口!$B$395),"")</f>
        <v>46275</v>
      </c>
      <c r="C395" s="16" t="str">
        <f>IFERROR(IF([1]对账明细接口!$C$395=0,"",[1]对账明细接口!$C$395),"")</f>
        <v>聂新平</v>
      </c>
      <c r="D395" s="16" t="str">
        <f>IFERROR(IF([1]对账明细接口!$D$395=0,"",[1]对账明细接口!$D$395),"")</f>
        <v>成品出库－成品出库</v>
      </c>
      <c r="E395" s="16" t="str">
        <f>IFERROR(IF([1]对账明细接口!$E$395=0,"",[1]对账明细接口!$E$395),"")</f>
        <v>NO:0001112</v>
      </c>
      <c r="F395" s="16" t="str">
        <f>IFERROR(IF([1]对账明细接口!$F$395=0,"",[1]对账明细接口!$F$395),"")</f>
        <v>苹果</v>
      </c>
      <c r="G395" s="16" t="str">
        <f>IFERROR(IF([1]对账明细接口!$G$395=0,"",[1]对账明细接口!$G$395),"")</f>
        <v>嘎啦100#</v>
      </c>
      <c r="H395" s="17">
        <f>IFERROR(IF([1]对账明细接口!$H$395=0,"",[1]对账明细接口!$H$395),"")</f>
        <v>434</v>
      </c>
      <c r="I395" s="16" t="str">
        <f>IFERROR(IF([1]对账明细接口!$I$395=0,"",[1]对账明细接口!$I$395),"")</f>
        <v>筐</v>
      </c>
      <c r="J395" s="18">
        <f>IFERROR(IF([1]对账明细接口!$J$395=0,"",[1]对账明细接口!$J$395),"")</f>
        <v>8680</v>
      </c>
      <c r="K395" s="18" t="str">
        <f>IFERROR(IF([1]对账明细接口!$K$395=0,"",[1]对账明细接口!$K$395),"")</f>
        <v/>
      </c>
      <c r="L395" s="16" t="str">
        <f>IFERROR(IF([1]对账明细接口!$L$395=0,"",[1]对账明细接口!$L$395),"")</f>
        <v/>
      </c>
      <c r="M395" s="16" t="str">
        <f>IFERROR(IF([1]对账明细接口!$M$395=0,"",[1]对账明细接口!$M$395),"")</f>
        <v/>
      </c>
      <c r="N395" s="19">
        <f t="shared" si="12"/>
        <v>1</v>
      </c>
      <c r="O395" s="19">
        <f t="shared" si="13"/>
        <v>392</v>
      </c>
      <c r="S395" s="20" t="str">
        <f>IFERROR(IF([1]对账明细接口!$N395=0,"",[1]对账明细接口!$N395),"")</f>
        <v>自备一次性筐</v>
      </c>
      <c r="T395" s="21">
        <f>IFERROR(IF([1]对账明细接口!$O395=0,"",[1]对账明细接口!$O395),"")</f>
        <v>434</v>
      </c>
      <c r="U395" s="21" t="str">
        <f>IFERROR(IF([1]对账明细接口!$P395=0,"",[1]对账明细接口!$P395),"")</f>
        <v/>
      </c>
      <c r="V395" s="21" t="str">
        <f>IFERROR(IF([1]对账明细接口!$Q395=0,"",[1]对账明细接口!$Q395),"")</f>
        <v/>
      </c>
      <c r="W395" s="20" t="str">
        <f>IFERROR(IF([1]对账明细接口!$R395=0,"",[1]对账明细接口!$R395),"")</f>
        <v>新A*H0050</v>
      </c>
      <c r="X395" s="20" t="str">
        <f>IFERROR(IF([1]对账明细接口!$S395=0,"",[1]对账明细接口!$S395),"")</f>
        <v>自备筐</v>
      </c>
      <c r="Y395" s="20" t="str">
        <f>IFERROR(IF([1]对账明细接口!$T395=0,"",[1]对账明细接口!$T395),"")</f>
        <v>聂新平</v>
      </c>
      <c r="Z395" s="24" t="str">
        <f>IFERROR(IF([1]对账明细接口!$U395=0,"",[1]对账明细接口!$U395),"")</f>
        <v/>
      </c>
      <c r="AA395" s="24" t="str">
        <f>IFERROR(IF([1]对账明细接口!$V395=0,"",[1]对账明细接口!$V395),"")</f>
        <v/>
      </c>
      <c r="AB395" s="20" t="str">
        <f>IFERROR(IF([1]对账明细接口!$W395=0,"",[1]对账明细接口!$W395),"")</f>
        <v/>
      </c>
      <c r="AC395" s="7" t="str">
        <f>IFERROR(IF([1]对账明细接口!$X395=0,"",[1]对账明细接口!$X395),"")</f>
        <v>聂新平</v>
      </c>
      <c r="AD395" s="7" t="str">
        <f>IFERROR(IF([1]对账明细接口!$Y395=0,"",[1]对账明细接口!$Y395),"")</f>
        <v/>
      </c>
      <c r="AE395" s="7" t="str">
        <f>IFERROR(IF([1]对账明细接口!$AA395=0,"",[1]对账明细接口!$AA395),"")</f>
        <v/>
      </c>
      <c r="AF395" s="7" t="str">
        <f>IFERROR(IF([1]对账明细接口!$AB395=0,"",[1]对账明细接口!$AB395),"")</f>
        <v/>
      </c>
      <c r="AG395" s="7" t="str">
        <f>IFERROR(IF([1]对账明细接口!$AC395=0,"",[1]对账明细接口!$AC395),"")</f>
        <v/>
      </c>
      <c r="AH395" s="7" t="str">
        <f>IFERROR(IF([1]对账明细接口!$AD395=0,"",[1]对账明细接口!$AD395),"")</f>
        <v>成品出库</v>
      </c>
      <c r="AI395" s="7" t="str">
        <f>IFERROR(IF([1]对账明细接口!$AE395=0,"",[1]对账明细接口!$AE395),"")</f>
        <v/>
      </c>
      <c r="AJ395" s="7" t="str">
        <f>IFERROR(IF([1]对账明细接口!$AF395=0,"",[1]对账明细接口!$AF395),"")</f>
        <v/>
      </c>
    </row>
    <row r="396" ht="14.25" customHeight="1" spans="1:36">
      <c r="A396" s="14">
        <v>396</v>
      </c>
      <c r="B396" s="15">
        <f>IFERROR(IF([1]对账明细接口!$B$396=0,"",[1]对账明细接口!$B$396),"")</f>
        <v>46276</v>
      </c>
      <c r="C396" s="16" t="str">
        <f>IFERROR(IF([1]对账明细接口!$C$396=0,"",[1]对账明细接口!$C$396),"")</f>
        <v>王照雪</v>
      </c>
      <c r="D396" s="16" t="str">
        <f>IFERROR(IF([1]对账明细接口!$D$396=0,"",[1]对账明细接口!$D$396),"")</f>
        <v>成品出库－成品出库</v>
      </c>
      <c r="E396" s="16" t="str">
        <f>IFERROR(IF([1]对账明细接口!$E$396=0,"",[1]对账明细接口!$E$396),"")</f>
        <v>NO:0001119</v>
      </c>
      <c r="F396" s="16" t="str">
        <f>IFERROR(IF([1]对账明细接口!$F$396=0,"",[1]对账明细接口!$F$396),"")</f>
        <v>苹果</v>
      </c>
      <c r="G396" s="16" t="str">
        <f>IFERROR(IF([1]对账明细接口!$G$396=0,"",[1]对账明细接口!$G$396),"")</f>
        <v>华硕一级</v>
      </c>
      <c r="H396" s="17">
        <f>IFERROR(IF([1]对账明细接口!$H$396=0,"",[1]对账明细接口!$H$396),"")</f>
        <v>228</v>
      </c>
      <c r="I396" s="16" t="str">
        <f>IFERROR(IF([1]对账明细接口!$I$396=0,"",[1]对账明细接口!$I$396),"")</f>
        <v>箱</v>
      </c>
      <c r="J396" s="18">
        <f>IFERROR(IF([1]对账明细接口!$J$396=0,"",[1]对账明细接口!$J$396),"")</f>
        <v>1162.8</v>
      </c>
      <c r="K396" s="18" t="str">
        <f>IFERROR(IF([1]对账明细接口!$K$396=0,"",[1]对账明细接口!$K$396),"")</f>
        <v/>
      </c>
      <c r="L396" s="16" t="str">
        <f>IFERROR(IF([1]对账明细接口!$L$396=0,"",[1]对账明细接口!$L$396),"")</f>
        <v/>
      </c>
      <c r="M396" s="16" t="str">
        <f>IFERROR(IF([1]对账明细接口!$M$396=0,"",[1]对账明细接口!$M$396),"")</f>
        <v/>
      </c>
      <c r="N396" s="19">
        <f t="shared" si="12"/>
        <v>1</v>
      </c>
      <c r="O396" s="19">
        <f t="shared" si="13"/>
        <v>393</v>
      </c>
      <c r="S396" s="20" t="str">
        <f>IFERROR(IF([1]对账明细接口!$N396=0,"",[1]对账明细接口!$N396),"")</f>
        <v>纸箱</v>
      </c>
      <c r="T396" s="21" t="str">
        <f>IFERROR(IF([1]对账明细接口!$O396=0,"",[1]对账明细接口!$O396),"")</f>
        <v/>
      </c>
      <c r="U396" s="21" t="str">
        <f>IFERROR(IF([1]对账明细接口!$P396=0,"",[1]对账明细接口!$P396),"")</f>
        <v/>
      </c>
      <c r="V396" s="21" t="str">
        <f>IFERROR(IF([1]对账明细接口!$Q396=0,"",[1]对账明细接口!$Q396),"")</f>
        <v/>
      </c>
      <c r="W396" s="20" t="str">
        <f>IFERROR(IF([1]对账明细接口!$R396=0,"",[1]对账明细接口!$R396),"")</f>
        <v>豫N*P269J</v>
      </c>
      <c r="X396" s="20" t="str">
        <f>IFERROR(IF([1]对账明细接口!$S396=0,"",[1]对账明细接口!$S396),"")</f>
        <v>公司筐</v>
      </c>
      <c r="Y396" s="20" t="str">
        <f>IFERROR(IF([1]对账明细接口!$T396=0,"",[1]对账明细接口!$T396),"")</f>
        <v>王照雪</v>
      </c>
      <c r="Z396" s="24" t="str">
        <f>IFERROR(IF([1]对账明细接口!$U396=0,"",[1]对账明细接口!$U396),"")</f>
        <v/>
      </c>
      <c r="AA396" s="24" t="str">
        <f>IFERROR(IF([1]对账明细接口!$V396=0,"",[1]对账明细接口!$V396),"")</f>
        <v/>
      </c>
      <c r="AB396" s="20" t="str">
        <f>IFERROR(IF([1]对账明细接口!$W396=0,"",[1]对账明细接口!$W396),"")</f>
        <v/>
      </c>
      <c r="AC396" s="7" t="str">
        <f>IFERROR(IF([1]对账明细接口!$X396=0,"",[1]对账明细接口!$X396),"")</f>
        <v>电商/主播</v>
      </c>
      <c r="AD396" s="7" t="str">
        <f>IFERROR(IF([1]对账明细接口!$Y396=0,"",[1]对账明细接口!$Y396),"")</f>
        <v/>
      </c>
      <c r="AE396" s="7" t="str">
        <f>IFERROR(IF([1]对账明细接口!$AA396=0,"",[1]对账明细接口!$AA396),"")</f>
        <v/>
      </c>
      <c r="AF396" s="7" t="str">
        <f>IFERROR(IF([1]对账明细接口!$AB396=0,"",[1]对账明细接口!$AB396),"")</f>
        <v/>
      </c>
      <c r="AG396" s="7" t="str">
        <f>IFERROR(IF([1]对账明细接口!$AC396=0,"",[1]对账明细接口!$AC396),"")</f>
        <v/>
      </c>
      <c r="AH396" s="7" t="str">
        <f>IFERROR(IF([1]对账明细接口!$AD396=0,"",[1]对账明细接口!$AD396),"")</f>
        <v>成品出库</v>
      </c>
      <c r="AI396" s="7" t="str">
        <f>IFERROR(IF([1]对账明细接口!$AE396=0,"",[1]对账明细接口!$AE396),"")</f>
        <v/>
      </c>
      <c r="AJ396" s="7" t="str">
        <f>IFERROR(IF([1]对账明细接口!$AF396=0,"",[1]对账明细接口!$AF396),"")</f>
        <v/>
      </c>
    </row>
    <row r="397" ht="14.25" customHeight="1" spans="1:36">
      <c r="A397" s="14">
        <v>397</v>
      </c>
      <c r="B397" s="15">
        <f>IFERROR(IF([1]对账明细接口!$B$397=0,"",[1]对账明细接口!$B$397),"")</f>
        <v>46276</v>
      </c>
      <c r="C397" s="16" t="str">
        <f>IFERROR(IF([1]对账明细接口!$C$397=0,"",[1]对账明细接口!$C$397),"")</f>
        <v>王照雪</v>
      </c>
      <c r="D397" s="16" t="str">
        <f>IFERROR(IF([1]对账明细接口!$D$397=0,"",[1]对账明细接口!$D$397),"")</f>
        <v>成品出库－成品出库</v>
      </c>
      <c r="E397" s="16" t="str">
        <f>IFERROR(IF([1]对账明细接口!$E$397=0,"",[1]对账明细接口!$E$397),"")</f>
        <v>NO:0001119</v>
      </c>
      <c r="F397" s="16" t="str">
        <f>IFERROR(IF([1]对账明细接口!$F$397=0,"",[1]对账明细接口!$F$397),"")</f>
        <v>苹果</v>
      </c>
      <c r="G397" s="16" t="str">
        <f>IFERROR(IF([1]对账明细接口!$G$397=0,"",[1]对账明细接口!$G$397),"")</f>
        <v>华硕一级</v>
      </c>
      <c r="H397" s="17">
        <f>IFERROR(IF([1]对账明细接口!$H$397=0,"",[1]对账明细接口!$H$397),"")</f>
        <v>6</v>
      </c>
      <c r="I397" s="16" t="str">
        <f>IFERROR(IF([1]对账明细接口!$I$397=0,"",[1]对账明细接口!$I$397),"")</f>
        <v>箱</v>
      </c>
      <c r="J397" s="18">
        <f>IFERROR(IF([1]对账明细接口!$J$397=0,"",[1]对账明细接口!$J$397),"")</f>
        <v>15.6</v>
      </c>
      <c r="K397" s="18" t="str">
        <f>IFERROR(IF([1]对账明细接口!$K$397=0,"",[1]对账明细接口!$K$397),"")</f>
        <v/>
      </c>
      <c r="L397" s="16" t="str">
        <f>IFERROR(IF([1]对账明细接口!$L$397=0,"",[1]对账明细接口!$L$397),"")</f>
        <v/>
      </c>
      <c r="M397" s="16" t="str">
        <f>IFERROR(IF([1]对账明细接口!$M$397=0,"",[1]对账明细接口!$M$397),"")</f>
        <v/>
      </c>
      <c r="N397" s="19">
        <f t="shared" si="12"/>
        <v>1</v>
      </c>
      <c r="O397" s="19">
        <f t="shared" si="13"/>
        <v>394</v>
      </c>
      <c r="S397" s="20" t="str">
        <f>IFERROR(IF([1]对账明细接口!$N397=0,"",[1]对账明细接口!$N397),"")</f>
        <v>纸箱</v>
      </c>
      <c r="T397" s="21" t="str">
        <f>IFERROR(IF([1]对账明细接口!$O397=0,"",[1]对账明细接口!$O397),"")</f>
        <v/>
      </c>
      <c r="U397" s="21" t="str">
        <f>IFERROR(IF([1]对账明细接口!$P397=0,"",[1]对账明细接口!$P397),"")</f>
        <v/>
      </c>
      <c r="V397" s="21" t="str">
        <f>IFERROR(IF([1]对账明细接口!$Q397=0,"",[1]对账明细接口!$Q397),"")</f>
        <v/>
      </c>
      <c r="W397" s="20" t="str">
        <f>IFERROR(IF([1]对账明细接口!$R397=0,"",[1]对账明细接口!$R397),"")</f>
        <v>豫N*P269J</v>
      </c>
      <c r="X397" s="20" t="str">
        <f>IFERROR(IF([1]对账明细接口!$S397=0,"",[1]对账明细接口!$S397),"")</f>
        <v>公司筐</v>
      </c>
      <c r="Y397" s="20" t="str">
        <f>IFERROR(IF([1]对账明细接口!$T397=0,"",[1]对账明细接口!$T397),"")</f>
        <v>王照雪</v>
      </c>
      <c r="Z397" s="24" t="str">
        <f>IFERROR(IF([1]对账明细接口!$U397=0,"",[1]对账明细接口!$U397),"")</f>
        <v/>
      </c>
      <c r="AA397" s="24" t="str">
        <f>IFERROR(IF([1]对账明细接口!$V397=0,"",[1]对账明细接口!$V397),"")</f>
        <v/>
      </c>
      <c r="AB397" s="20" t="str">
        <f>IFERROR(IF([1]对账明细接口!$W397=0,"",[1]对账明细接口!$W397),"")</f>
        <v/>
      </c>
      <c r="AC397" s="7" t="str">
        <f>IFERROR(IF([1]对账明细接口!$X397=0,"",[1]对账明细接口!$X397),"")</f>
        <v>电商/主播</v>
      </c>
      <c r="AD397" s="7" t="str">
        <f>IFERROR(IF([1]对账明细接口!$Y397=0,"",[1]对账明细接口!$Y397),"")</f>
        <v/>
      </c>
      <c r="AE397" s="7" t="str">
        <f>IFERROR(IF([1]对账明细接口!$AA397=0,"",[1]对账明细接口!$AA397),"")</f>
        <v/>
      </c>
      <c r="AF397" s="7" t="str">
        <f>IFERROR(IF([1]对账明细接口!$AB397=0,"",[1]对账明细接口!$AB397),"")</f>
        <v/>
      </c>
      <c r="AG397" s="7" t="str">
        <f>IFERROR(IF([1]对账明细接口!$AC397=0,"",[1]对账明细接口!$AC397),"")</f>
        <v/>
      </c>
      <c r="AH397" s="7" t="str">
        <f>IFERROR(IF([1]对账明细接口!$AD397=0,"",[1]对账明细接口!$AD397),"")</f>
        <v>成品出库</v>
      </c>
      <c r="AI397" s="7" t="str">
        <f>IFERROR(IF([1]对账明细接口!$AE397=0,"",[1]对账明细接口!$AE397),"")</f>
        <v/>
      </c>
      <c r="AJ397" s="7" t="str">
        <f>IFERROR(IF([1]对账明细接口!$AF397=0,"",[1]对账明细接口!$AF397),"")</f>
        <v/>
      </c>
    </row>
    <row r="398" ht="14.25" customHeight="1" spans="1:36">
      <c r="A398" s="14">
        <v>398</v>
      </c>
      <c r="B398" s="15">
        <f>IFERROR(IF([1]对账明细接口!$B$398=0,"",[1]对账明细接口!$B$398),"")</f>
        <v>46277</v>
      </c>
      <c r="C398" s="16" t="str">
        <f>IFERROR(IF([1]对账明细接口!$C$398=0,"",[1]对账明细接口!$C$398),"")</f>
        <v>王照雪</v>
      </c>
      <c r="D398" s="16" t="str">
        <f>IFERROR(IF([1]对账明细接口!$D$398=0,"",[1]对账明细接口!$D$398),"")</f>
        <v>成品出库－成品出库</v>
      </c>
      <c r="E398" s="16" t="str">
        <f>IFERROR(IF([1]对账明细接口!$E$398=0,"",[1]对账明细接口!$E$398),"")</f>
        <v>NO:0001124</v>
      </c>
      <c r="F398" s="16" t="str">
        <f>IFERROR(IF([1]对账明细接口!$F$398=0,"",[1]对账明细接口!$F$398),"")</f>
        <v>苹果</v>
      </c>
      <c r="G398" s="16" t="str">
        <f>IFERROR(IF([1]对账明细接口!$G$398=0,"",[1]对账明细接口!$G$398),"")</f>
        <v>华硕一级</v>
      </c>
      <c r="H398" s="17">
        <f>IFERROR(IF([1]对账明细接口!$H$398=0,"",[1]对账明细接口!$H$398),"")</f>
        <v>220</v>
      </c>
      <c r="I398" s="16" t="str">
        <f>IFERROR(IF([1]对账明细接口!$I$398=0,"",[1]对账明细接口!$I$398),"")</f>
        <v>箱</v>
      </c>
      <c r="J398" s="18">
        <f>IFERROR(IF([1]对账明细接口!$J$398=0,"",[1]对账明细接口!$J$398),"")</f>
        <v>1122</v>
      </c>
      <c r="K398" s="18" t="str">
        <f>IFERROR(IF([1]对账明细接口!$K$398=0,"",[1]对账明细接口!$K$398),"")</f>
        <v/>
      </c>
      <c r="L398" s="16" t="str">
        <f>IFERROR(IF([1]对账明细接口!$L$398=0,"",[1]对账明细接口!$L$398),"")</f>
        <v/>
      </c>
      <c r="M398" s="16" t="str">
        <f>IFERROR(IF([1]对账明细接口!$M$398=0,"",[1]对账明细接口!$M$398),"")</f>
        <v/>
      </c>
      <c r="N398" s="19">
        <f t="shared" si="12"/>
        <v>1</v>
      </c>
      <c r="O398" s="19">
        <f t="shared" si="13"/>
        <v>395</v>
      </c>
      <c r="S398" s="20" t="str">
        <f>IFERROR(IF([1]对账明细接口!$N398=0,"",[1]对账明细接口!$N398),"")</f>
        <v>纸箱</v>
      </c>
      <c r="T398" s="21" t="str">
        <f>IFERROR(IF([1]对账明细接口!$O398=0,"",[1]对账明细接口!$O398),"")</f>
        <v/>
      </c>
      <c r="U398" s="21" t="str">
        <f>IFERROR(IF([1]对账明细接口!$P398=0,"",[1]对账明细接口!$P398),"")</f>
        <v/>
      </c>
      <c r="V398" s="21" t="str">
        <f>IFERROR(IF([1]对账明细接口!$Q398=0,"",[1]对账明细接口!$Q398),"")</f>
        <v/>
      </c>
      <c r="W398" s="20" t="str">
        <f>IFERROR(IF([1]对账明细接口!$R398=0,"",[1]对账明细接口!$R398),"")</f>
        <v>豫N*P269J</v>
      </c>
      <c r="X398" s="20" t="str">
        <f>IFERROR(IF([1]对账明细接口!$S398=0,"",[1]对账明细接口!$S398),"")</f>
        <v>公司筐</v>
      </c>
      <c r="Y398" s="20" t="str">
        <f>IFERROR(IF([1]对账明细接口!$T398=0,"",[1]对账明细接口!$T398),"")</f>
        <v>王照雪</v>
      </c>
      <c r="Z398" s="24" t="str">
        <f>IFERROR(IF([1]对账明细接口!$U398=0,"",[1]对账明细接口!$U398),"")</f>
        <v/>
      </c>
      <c r="AA398" s="24" t="str">
        <f>IFERROR(IF([1]对账明细接口!$V398=0,"",[1]对账明细接口!$V398),"")</f>
        <v/>
      </c>
      <c r="AB398" s="20" t="str">
        <f>IFERROR(IF([1]对账明细接口!$W398=0,"",[1]对账明细接口!$W398),"")</f>
        <v/>
      </c>
      <c r="AC398" s="7" t="str">
        <f>IFERROR(IF([1]对账明细接口!$X398=0,"",[1]对账明细接口!$X398),"")</f>
        <v>电商/主播</v>
      </c>
      <c r="AD398" s="7" t="str">
        <f>IFERROR(IF([1]对账明细接口!$Y398=0,"",[1]对账明细接口!$Y398),"")</f>
        <v/>
      </c>
      <c r="AE398" s="7" t="str">
        <f>IFERROR(IF([1]对账明细接口!$AA398=0,"",[1]对账明细接口!$AA398),"")</f>
        <v/>
      </c>
      <c r="AF398" s="7" t="str">
        <f>IFERROR(IF([1]对账明细接口!$AB398=0,"",[1]对账明细接口!$AB398),"")</f>
        <v/>
      </c>
      <c r="AG398" s="7" t="str">
        <f>IFERROR(IF([1]对账明细接口!$AC398=0,"",[1]对账明细接口!$AC398),"")</f>
        <v/>
      </c>
      <c r="AH398" s="7" t="str">
        <f>IFERROR(IF([1]对账明细接口!$AD398=0,"",[1]对账明细接口!$AD398),"")</f>
        <v>成品出库</v>
      </c>
      <c r="AI398" s="7" t="str">
        <f>IFERROR(IF([1]对账明细接口!$AE398=0,"",[1]对账明细接口!$AE398),"")</f>
        <v/>
      </c>
      <c r="AJ398" s="7" t="str">
        <f>IFERROR(IF([1]对账明细接口!$AF398=0,"",[1]对账明细接口!$AF398),"")</f>
        <v/>
      </c>
    </row>
    <row r="399" ht="14.25" customHeight="1" spans="1:36">
      <c r="A399" s="14">
        <v>399</v>
      </c>
      <c r="B399" s="15">
        <f>IFERROR(IF([1]对账明细接口!$B$399=0,"",[1]对账明细接口!$B$399),"")</f>
        <v>46277</v>
      </c>
      <c r="C399" s="16" t="str">
        <f>IFERROR(IF([1]对账明细接口!$C$399=0,"",[1]对账明细接口!$C$399),"")</f>
        <v>王照雪</v>
      </c>
      <c r="D399" s="16" t="str">
        <f>IFERROR(IF([1]对账明细接口!$D$399=0,"",[1]对账明细接口!$D$399),"")</f>
        <v>成品出库－成品出库</v>
      </c>
      <c r="E399" s="16" t="str">
        <f>IFERROR(IF([1]对账明细接口!$E$399=0,"",[1]对账明细接口!$E$399),"")</f>
        <v>NO:0001124</v>
      </c>
      <c r="F399" s="16" t="str">
        <f>IFERROR(IF([1]对账明细接口!$F$399=0,"",[1]对账明细接口!$F$399),"")</f>
        <v>苹果</v>
      </c>
      <c r="G399" s="16" t="str">
        <f>IFERROR(IF([1]对账明细接口!$G$399=0,"",[1]对账明细接口!$G$399),"")</f>
        <v>华硕一级</v>
      </c>
      <c r="H399" s="17">
        <f>IFERROR(IF([1]对账明细接口!$H$399=0,"",[1]对账明细接口!$H$399),"")</f>
        <v>3</v>
      </c>
      <c r="I399" s="16" t="str">
        <f>IFERROR(IF([1]对账明细接口!$I$399=0,"",[1]对账明细接口!$I$399),"")</f>
        <v>箱</v>
      </c>
      <c r="J399" s="18">
        <f>IFERROR(IF([1]对账明细接口!$J$399=0,"",[1]对账明细接口!$J$399),"")</f>
        <v>7.8</v>
      </c>
      <c r="K399" s="18" t="str">
        <f>IFERROR(IF([1]对账明细接口!$K$399=0,"",[1]对账明细接口!$K$399),"")</f>
        <v/>
      </c>
      <c r="L399" s="16" t="str">
        <f>IFERROR(IF([1]对账明细接口!$L$399=0,"",[1]对账明细接口!$L$399),"")</f>
        <v/>
      </c>
      <c r="M399" s="16" t="str">
        <f>IFERROR(IF([1]对账明细接口!$M$399=0,"",[1]对账明细接口!$M$399),"")</f>
        <v/>
      </c>
      <c r="N399" s="19">
        <f t="shared" si="12"/>
        <v>1</v>
      </c>
      <c r="O399" s="19">
        <f t="shared" si="13"/>
        <v>396</v>
      </c>
      <c r="S399" s="20" t="str">
        <f>IFERROR(IF([1]对账明细接口!$N399=0,"",[1]对账明细接口!$N399),"")</f>
        <v>纸箱</v>
      </c>
      <c r="T399" s="21" t="str">
        <f>IFERROR(IF([1]对账明细接口!$O399=0,"",[1]对账明细接口!$O399),"")</f>
        <v/>
      </c>
      <c r="U399" s="21" t="str">
        <f>IFERROR(IF([1]对账明细接口!$P399=0,"",[1]对账明细接口!$P399),"")</f>
        <v/>
      </c>
      <c r="V399" s="21" t="str">
        <f>IFERROR(IF([1]对账明细接口!$Q399=0,"",[1]对账明细接口!$Q399),"")</f>
        <v/>
      </c>
      <c r="W399" s="20" t="str">
        <f>IFERROR(IF([1]对账明细接口!$R399=0,"",[1]对账明细接口!$R399),"")</f>
        <v>豫N*P269J</v>
      </c>
      <c r="X399" s="20" t="str">
        <f>IFERROR(IF([1]对账明细接口!$S399=0,"",[1]对账明细接口!$S399),"")</f>
        <v>公司筐</v>
      </c>
      <c r="Y399" s="20" t="str">
        <f>IFERROR(IF([1]对账明细接口!$T399=0,"",[1]对账明细接口!$T399),"")</f>
        <v>王照雪</v>
      </c>
      <c r="Z399" s="24" t="str">
        <f>IFERROR(IF([1]对账明细接口!$U399=0,"",[1]对账明细接口!$U399),"")</f>
        <v/>
      </c>
      <c r="AA399" s="24" t="str">
        <f>IFERROR(IF([1]对账明细接口!$V399=0,"",[1]对账明细接口!$V399),"")</f>
        <v/>
      </c>
      <c r="AB399" s="20" t="str">
        <f>IFERROR(IF([1]对账明细接口!$W399=0,"",[1]对账明细接口!$W399),"")</f>
        <v/>
      </c>
      <c r="AC399" s="7" t="str">
        <f>IFERROR(IF([1]对账明细接口!$X399=0,"",[1]对账明细接口!$X399),"")</f>
        <v>电商/主播</v>
      </c>
      <c r="AD399" s="7" t="str">
        <f>IFERROR(IF([1]对账明细接口!$Y399=0,"",[1]对账明细接口!$Y399),"")</f>
        <v/>
      </c>
      <c r="AE399" s="7" t="str">
        <f>IFERROR(IF([1]对账明细接口!$AA399=0,"",[1]对账明细接口!$AA399),"")</f>
        <v/>
      </c>
      <c r="AF399" s="7" t="str">
        <f>IFERROR(IF([1]对账明细接口!$AB399=0,"",[1]对账明细接口!$AB399),"")</f>
        <v/>
      </c>
      <c r="AG399" s="7" t="str">
        <f>IFERROR(IF([1]对账明细接口!$AC399=0,"",[1]对账明细接口!$AC399),"")</f>
        <v/>
      </c>
      <c r="AH399" s="7" t="str">
        <f>IFERROR(IF([1]对账明细接口!$AD399=0,"",[1]对账明细接口!$AD399),"")</f>
        <v>成品出库</v>
      </c>
      <c r="AI399" s="7" t="str">
        <f>IFERROR(IF([1]对账明细接口!$AE399=0,"",[1]对账明细接口!$AE399),"")</f>
        <v/>
      </c>
      <c r="AJ399" s="7" t="str">
        <f>IFERROR(IF([1]对账明细接口!$AF399=0,"",[1]对账明细接口!$AF399),"")</f>
        <v/>
      </c>
    </row>
    <row r="400" ht="14.25" customHeight="1" spans="1:36">
      <c r="A400" s="14">
        <v>400</v>
      </c>
      <c r="B400" s="15">
        <f>IFERROR(IF([1]对账明细接口!$B$400=0,"",[1]对账明细接口!$B$400),"")</f>
        <v>46277</v>
      </c>
      <c r="C400" s="16" t="str">
        <f>IFERROR(IF([1]对账明细接口!$C$400=0,"",[1]对账明细接口!$C$400),"")</f>
        <v>王照雪</v>
      </c>
      <c r="D400" s="16" t="str">
        <f>IFERROR(IF([1]对账明细接口!$D$400=0,"",[1]对账明细接口!$D$400),"")</f>
        <v>成品出库－成品出库</v>
      </c>
      <c r="E400" s="16" t="str">
        <f>IFERROR(IF([1]对账明细接口!$E$400=0,"",[1]对账明细接口!$E$400),"")</f>
        <v>NO:0001124</v>
      </c>
      <c r="F400" s="16" t="str">
        <f>IFERROR(IF([1]对账明细接口!$F$400=0,"",[1]对账明细接口!$F$400),"")</f>
        <v>香梨</v>
      </c>
      <c r="G400" s="16" t="str">
        <f>IFERROR(IF([1]对账明细接口!$G$400=0,"",[1]对账明细接口!$G$400),"")</f>
        <v>香梨一级</v>
      </c>
      <c r="H400" s="17">
        <f>IFERROR(IF([1]对账明细接口!$H$400=0,"",[1]对账明细接口!$H$400),"")</f>
        <v>7</v>
      </c>
      <c r="I400" s="16" t="str">
        <f>IFERROR(IF([1]对账明细接口!$I$400=0,"",[1]对账明细接口!$I$400),"")</f>
        <v>箱</v>
      </c>
      <c r="J400" s="18">
        <f>IFERROR(IF([1]对账明细接口!$J$400=0,"",[1]对账明细接口!$J$400),"")</f>
        <v>35.7</v>
      </c>
      <c r="K400" s="18" t="str">
        <f>IFERROR(IF([1]对账明细接口!$K$400=0,"",[1]对账明细接口!$K$400),"")</f>
        <v/>
      </c>
      <c r="L400" s="16" t="str">
        <f>IFERROR(IF([1]对账明细接口!$L$400=0,"",[1]对账明细接口!$L$400),"")</f>
        <v/>
      </c>
      <c r="M400" s="16" t="str">
        <f>IFERROR(IF([1]对账明细接口!$M$400=0,"",[1]对账明细接口!$M$400),"")</f>
        <v/>
      </c>
      <c r="N400" s="19">
        <f t="shared" si="12"/>
        <v>1</v>
      </c>
      <c r="O400" s="19">
        <f t="shared" si="13"/>
        <v>397</v>
      </c>
      <c r="S400" s="20" t="str">
        <f>IFERROR(IF([1]对账明细接口!$N400=0,"",[1]对账明细接口!$N400),"")</f>
        <v>纸箱</v>
      </c>
      <c r="T400" s="21" t="str">
        <f>IFERROR(IF([1]对账明细接口!$O400=0,"",[1]对账明细接口!$O400),"")</f>
        <v/>
      </c>
      <c r="U400" s="21" t="str">
        <f>IFERROR(IF([1]对账明细接口!$P400=0,"",[1]对账明细接口!$P400),"")</f>
        <v/>
      </c>
      <c r="V400" s="21" t="str">
        <f>IFERROR(IF([1]对账明细接口!$Q400=0,"",[1]对账明细接口!$Q400),"")</f>
        <v/>
      </c>
      <c r="W400" s="20" t="str">
        <f>IFERROR(IF([1]对账明细接口!$R400=0,"",[1]对账明细接口!$R400),"")</f>
        <v>豫N*P269J</v>
      </c>
      <c r="X400" s="20" t="str">
        <f>IFERROR(IF([1]对账明细接口!$S400=0,"",[1]对账明细接口!$S400),"")</f>
        <v>公司筐</v>
      </c>
      <c r="Y400" s="20" t="str">
        <f>IFERROR(IF([1]对账明细接口!$T400=0,"",[1]对账明细接口!$T400),"")</f>
        <v>王照雪</v>
      </c>
      <c r="Z400" s="24" t="str">
        <f>IFERROR(IF([1]对账明细接口!$U400=0,"",[1]对账明细接口!$U400),"")</f>
        <v/>
      </c>
      <c r="AA400" s="24" t="str">
        <f>IFERROR(IF([1]对账明细接口!$V400=0,"",[1]对账明细接口!$V400),"")</f>
        <v/>
      </c>
      <c r="AB400" s="20" t="str">
        <f>IFERROR(IF([1]对账明细接口!$W400=0,"",[1]对账明细接口!$W400),"")</f>
        <v/>
      </c>
      <c r="AC400" s="7" t="str">
        <f>IFERROR(IF([1]对账明细接口!$X400=0,"",[1]对账明细接口!$X400),"")</f>
        <v>电商/主播</v>
      </c>
      <c r="AD400" s="7" t="str">
        <f>IFERROR(IF([1]对账明细接口!$Y400=0,"",[1]对账明细接口!$Y400),"")</f>
        <v/>
      </c>
      <c r="AE400" s="7" t="str">
        <f>IFERROR(IF([1]对账明细接口!$AA400=0,"",[1]对账明细接口!$AA400),"")</f>
        <v/>
      </c>
      <c r="AF400" s="7" t="str">
        <f>IFERROR(IF([1]对账明细接口!$AB400=0,"",[1]对账明细接口!$AB400),"")</f>
        <v/>
      </c>
      <c r="AG400" s="7" t="str">
        <f>IFERROR(IF([1]对账明细接口!$AC400=0,"",[1]对账明细接口!$AC400),"")</f>
        <v/>
      </c>
      <c r="AH400" s="7" t="str">
        <f>IFERROR(IF([1]对账明细接口!$AD400=0,"",[1]对账明细接口!$AD400),"")</f>
        <v>成品出库</v>
      </c>
      <c r="AI400" s="7" t="str">
        <f>IFERROR(IF([1]对账明细接口!$AE400=0,"",[1]对账明细接口!$AE400),"")</f>
        <v/>
      </c>
      <c r="AJ400" s="7" t="str">
        <f>IFERROR(IF([1]对账明细接口!$AF400=0,"",[1]对账明细接口!$AF400),"")</f>
        <v/>
      </c>
    </row>
    <row r="401" ht="14.25" customHeight="1" spans="1:36">
      <c r="A401" s="14">
        <v>401</v>
      </c>
      <c r="B401" s="15">
        <f>IFERROR(IF([1]对账明细接口!$B$401=0,"",[1]对账明细接口!$B$401),"")</f>
        <v>46278</v>
      </c>
      <c r="C401" s="16" t="str">
        <f>IFERROR(IF([1]对账明细接口!$C$401=0,"",[1]对账明细接口!$C$401),"")</f>
        <v>王照雪</v>
      </c>
      <c r="D401" s="16" t="str">
        <f>IFERROR(IF([1]对账明细接口!$D$401=0,"",[1]对账明细接口!$D$401),"")</f>
        <v>成品出库－成品出库</v>
      </c>
      <c r="E401" s="16" t="str">
        <f>IFERROR(IF([1]对账明细接口!$E$401=0,"",[1]对账明细接口!$E$401),"")</f>
        <v>NO:0001134</v>
      </c>
      <c r="F401" s="16" t="str">
        <f>IFERROR(IF([1]对账明细接口!$F$401=0,"",[1]对账明细接口!$F$401),"")</f>
        <v>苹果</v>
      </c>
      <c r="G401" s="16" t="str">
        <f>IFERROR(IF([1]对账明细接口!$G$401=0,"",[1]对账明细接口!$G$401),"")</f>
        <v>苹果扎伤</v>
      </c>
      <c r="H401" s="17">
        <f>IFERROR(IF([1]对账明细接口!$H$401=0,"",[1]对账明细接口!$H$401),"")</f>
        <v>60</v>
      </c>
      <c r="I401" s="16" t="str">
        <f>IFERROR(IF([1]对账明细接口!$I$401=0,"",[1]对账明细接口!$I$401),"")</f>
        <v>箱</v>
      </c>
      <c r="J401" s="18">
        <f>IFERROR(IF([1]对账明细接口!$J$401=0,"",[1]对账明细接口!$J$401),"")</f>
        <v>979.8</v>
      </c>
      <c r="K401" s="18" t="str">
        <f>IFERROR(IF([1]对账明细接口!$K$401=0,"",[1]对账明细接口!$K$401),"")</f>
        <v/>
      </c>
      <c r="L401" s="16" t="str">
        <f>IFERROR(IF([1]对账明细接口!$L$401=0,"",[1]对账明细接口!$L$401),"")</f>
        <v/>
      </c>
      <c r="M401" s="16" t="str">
        <f>IFERROR(IF([1]对账明细接口!$M$401=0,"",[1]对账明细接口!$M$401),"")</f>
        <v/>
      </c>
      <c r="N401" s="19">
        <f t="shared" si="12"/>
        <v>1</v>
      </c>
      <c r="O401" s="19">
        <f t="shared" si="13"/>
        <v>398</v>
      </c>
      <c r="S401" s="20" t="str">
        <f>IFERROR(IF([1]对账明细接口!$N401=0,"",[1]对账明细接口!$N401),"")</f>
        <v>纸箱</v>
      </c>
      <c r="T401" s="21" t="str">
        <f>IFERROR(IF([1]对账明细接口!$O401=0,"",[1]对账明细接口!$O401),"")</f>
        <v/>
      </c>
      <c r="U401" s="21" t="str">
        <f>IFERROR(IF([1]对账明细接口!$P401=0,"",[1]对账明细接口!$P401),"")</f>
        <v/>
      </c>
      <c r="V401" s="21" t="str">
        <f>IFERROR(IF([1]对账明细接口!$Q401=0,"",[1]对账明细接口!$Q401),"")</f>
        <v/>
      </c>
      <c r="W401" s="20" t="str">
        <f>IFERROR(IF([1]对账明细接口!$R401=0,"",[1]对账明细接口!$R401),"")</f>
        <v>新R*45654</v>
      </c>
      <c r="X401" s="20" t="str">
        <f>IFERROR(IF([1]对账明细接口!$S401=0,"",[1]对账明细接口!$S401),"")</f>
        <v>公司筐</v>
      </c>
      <c r="Y401" s="20" t="str">
        <f>IFERROR(IF([1]对账明细接口!$T401=0,"",[1]对账明细接口!$T401),"")</f>
        <v>王照雪</v>
      </c>
      <c r="Z401" s="24" t="str">
        <f>IFERROR(IF([1]对账明细接口!$U401=0,"",[1]对账明细接口!$U401),"")</f>
        <v/>
      </c>
      <c r="AA401" s="24" t="str">
        <f>IFERROR(IF([1]对账明细接口!$V401=0,"",[1]对账明细接口!$V401),"")</f>
        <v/>
      </c>
      <c r="AB401" s="20" t="str">
        <f>IFERROR(IF([1]对账明细接口!$W401=0,"",[1]对账明细接口!$W401),"")</f>
        <v/>
      </c>
      <c r="AC401" s="7" t="str">
        <f>IFERROR(IF([1]对账明细接口!$X401=0,"",[1]对账明细接口!$X401),"")</f>
        <v>王照雪</v>
      </c>
      <c r="AD401" s="7" t="str">
        <f>IFERROR(IF([1]对账明细接口!$Y401=0,"",[1]对账明细接口!$Y401),"")</f>
        <v/>
      </c>
      <c r="AE401" s="7" t="str">
        <f>IFERROR(IF([1]对账明细接口!$AA401=0,"",[1]对账明细接口!$AA401),"")</f>
        <v/>
      </c>
      <c r="AF401" s="7" t="str">
        <f>IFERROR(IF([1]对账明细接口!$AB401=0,"",[1]对账明细接口!$AB401),"")</f>
        <v/>
      </c>
      <c r="AG401" s="7" t="str">
        <f>IFERROR(IF([1]对账明细接口!$AC401=0,"",[1]对账明细接口!$AC401),"")</f>
        <v/>
      </c>
      <c r="AH401" s="7" t="str">
        <f>IFERROR(IF([1]对账明细接口!$AD401=0,"",[1]对账明细接口!$AD401),"")</f>
        <v>成品出库</v>
      </c>
      <c r="AI401" s="7" t="str">
        <f>IFERROR(IF([1]对账明细接口!$AE401=0,"",[1]对账明细接口!$AE401),"")</f>
        <v/>
      </c>
      <c r="AJ401" s="7" t="str">
        <f>IFERROR(IF([1]对账明细接口!$AF401=0,"",[1]对账明细接口!$AF401),"")</f>
        <v/>
      </c>
    </row>
    <row r="402" ht="14.25" customHeight="1" spans="1:36">
      <c r="A402" s="14">
        <v>402</v>
      </c>
      <c r="B402" s="15">
        <f>IFERROR(IF([1]对账明细接口!$B$402=0,"",[1]对账明细接口!$B$402),"")</f>
        <v>46278</v>
      </c>
      <c r="C402" s="16" t="str">
        <f>IFERROR(IF([1]对账明细接口!$C$402=0,"",[1]对账明细接口!$C$402),"")</f>
        <v>王照雪</v>
      </c>
      <c r="D402" s="16" t="str">
        <f>IFERROR(IF([1]对账明细接口!$D$402=0,"",[1]对账明细接口!$D$402),"")</f>
        <v>成品出库－成品出库</v>
      </c>
      <c r="E402" s="16" t="str">
        <f>IFERROR(IF([1]对账明细接口!$E$402=0,"",[1]对账明细接口!$E$402),"")</f>
        <v>NO:0001136</v>
      </c>
      <c r="F402" s="16" t="str">
        <f>IFERROR(IF([1]对账明细接口!$F$402=0,"",[1]对账明细接口!$F$402),"")</f>
        <v>苹果</v>
      </c>
      <c r="G402" s="16" t="str">
        <f>IFERROR(IF([1]对账明细接口!$G$402=0,"",[1]对账明细接口!$G$402),"")</f>
        <v>华硕一级</v>
      </c>
      <c r="H402" s="17">
        <f>IFERROR(IF([1]对账明细接口!$H$402=0,"",[1]对账明细接口!$H$402),"")</f>
        <v>151</v>
      </c>
      <c r="I402" s="16" t="str">
        <f>IFERROR(IF([1]对账明细接口!$I$402=0,"",[1]对账明细接口!$I$402),"")</f>
        <v>箱</v>
      </c>
      <c r="J402" s="18">
        <f>IFERROR(IF([1]对账明细接口!$J$402=0,"",[1]对账明细接口!$J$402),"")</f>
        <v>770.1</v>
      </c>
      <c r="K402" s="18" t="str">
        <f>IFERROR(IF([1]对账明细接口!$K$402=0,"",[1]对账明细接口!$K$402),"")</f>
        <v/>
      </c>
      <c r="L402" s="16" t="str">
        <f>IFERROR(IF([1]对账明细接口!$L$402=0,"",[1]对账明细接口!$L$402),"")</f>
        <v/>
      </c>
      <c r="M402" s="16" t="str">
        <f>IFERROR(IF([1]对账明细接口!$M$402=0,"",[1]对账明细接口!$M$402),"")</f>
        <v/>
      </c>
      <c r="N402" s="19">
        <f t="shared" si="12"/>
        <v>1</v>
      </c>
      <c r="O402" s="19">
        <f t="shared" si="13"/>
        <v>399</v>
      </c>
      <c r="S402" s="20" t="str">
        <f>IFERROR(IF([1]对账明细接口!$N402=0,"",[1]对账明细接口!$N402),"")</f>
        <v>纸箱</v>
      </c>
      <c r="T402" s="21" t="str">
        <f>IFERROR(IF([1]对账明细接口!$O402=0,"",[1]对账明细接口!$O402),"")</f>
        <v/>
      </c>
      <c r="U402" s="21" t="str">
        <f>IFERROR(IF([1]对账明细接口!$P402=0,"",[1]对账明细接口!$P402),"")</f>
        <v/>
      </c>
      <c r="V402" s="21" t="str">
        <f>IFERROR(IF([1]对账明细接口!$Q402=0,"",[1]对账明细接口!$Q402),"")</f>
        <v/>
      </c>
      <c r="W402" s="20" t="str">
        <f>IFERROR(IF([1]对账明细接口!$R402=0,"",[1]对账明细接口!$R402),"")</f>
        <v>豫N*P269J</v>
      </c>
      <c r="X402" s="20" t="str">
        <f>IFERROR(IF([1]对账明细接口!$S402=0,"",[1]对账明细接口!$S402),"")</f>
        <v>公司筐</v>
      </c>
      <c r="Y402" s="20" t="str">
        <f>IFERROR(IF([1]对账明细接口!$T402=0,"",[1]对账明细接口!$T402),"")</f>
        <v>王照雪</v>
      </c>
      <c r="Z402" s="24" t="str">
        <f>IFERROR(IF([1]对账明细接口!$U402=0,"",[1]对账明细接口!$U402),"")</f>
        <v/>
      </c>
      <c r="AA402" s="24" t="str">
        <f>IFERROR(IF([1]对账明细接口!$V402=0,"",[1]对账明细接口!$V402),"")</f>
        <v/>
      </c>
      <c r="AB402" s="20" t="str">
        <f>IFERROR(IF([1]对账明细接口!$W402=0,"",[1]对账明细接口!$W402),"")</f>
        <v/>
      </c>
      <c r="AC402" s="7" t="str">
        <f>IFERROR(IF([1]对账明细接口!$X402=0,"",[1]对账明细接口!$X402),"")</f>
        <v>电商/主播</v>
      </c>
      <c r="AD402" s="7" t="str">
        <f>IFERROR(IF([1]对账明细接口!$Y402=0,"",[1]对账明细接口!$Y402),"")</f>
        <v/>
      </c>
      <c r="AE402" s="7" t="str">
        <f>IFERROR(IF([1]对账明细接口!$AA402=0,"",[1]对账明细接口!$AA402),"")</f>
        <v/>
      </c>
      <c r="AF402" s="7" t="str">
        <f>IFERROR(IF([1]对账明细接口!$AB402=0,"",[1]对账明细接口!$AB402),"")</f>
        <v/>
      </c>
      <c r="AG402" s="7" t="str">
        <f>IFERROR(IF([1]对账明细接口!$AC402=0,"",[1]对账明细接口!$AC402),"")</f>
        <v/>
      </c>
      <c r="AH402" s="7" t="str">
        <f>IFERROR(IF([1]对账明细接口!$AD402=0,"",[1]对账明细接口!$AD402),"")</f>
        <v>成品出库</v>
      </c>
      <c r="AI402" s="7" t="str">
        <f>IFERROR(IF([1]对账明细接口!$AE402=0,"",[1]对账明细接口!$AE402),"")</f>
        <v/>
      </c>
      <c r="AJ402" s="7" t="str">
        <f>IFERROR(IF([1]对账明细接口!$AF402=0,"",[1]对账明细接口!$AF402),"")</f>
        <v/>
      </c>
    </row>
    <row r="403" ht="14.25" customHeight="1" spans="1:36">
      <c r="A403" s="14">
        <v>403</v>
      </c>
      <c r="B403" s="15">
        <f>IFERROR(IF([1]对账明细接口!$B$403=0,"",[1]对账明细接口!$B$403),"")</f>
        <v>46278</v>
      </c>
      <c r="C403" s="16" t="str">
        <f>IFERROR(IF([1]对账明细接口!$C$403=0,"",[1]对账明细接口!$C$403),"")</f>
        <v>王照雪</v>
      </c>
      <c r="D403" s="16" t="str">
        <f>IFERROR(IF([1]对账明细接口!$D$403=0,"",[1]对账明细接口!$D$403),"")</f>
        <v>成品出库－成品出库</v>
      </c>
      <c r="E403" s="16" t="str">
        <f>IFERROR(IF([1]对账明细接口!$E$403=0,"",[1]对账明细接口!$E$403),"")</f>
        <v>NO:0001136</v>
      </c>
      <c r="F403" s="16" t="str">
        <f>IFERROR(IF([1]对账明细接口!$F$403=0,"",[1]对账明细接口!$F$403),"")</f>
        <v>苹果</v>
      </c>
      <c r="G403" s="16" t="str">
        <f>IFERROR(IF([1]对账明细接口!$G$403=0,"",[1]对账明细接口!$G$403),"")</f>
        <v>华硕一级</v>
      </c>
      <c r="H403" s="17">
        <f>IFERROR(IF([1]对账明细接口!$H$403=0,"",[1]对账明细接口!$H$403),"")</f>
        <v>11</v>
      </c>
      <c r="I403" s="16" t="str">
        <f>IFERROR(IF([1]对账明细接口!$I$403=0,"",[1]对账明细接口!$I$403),"")</f>
        <v>箱</v>
      </c>
      <c r="J403" s="18">
        <f>IFERROR(IF([1]对账明细接口!$J$403=0,"",[1]对账明细接口!$J$403),"")</f>
        <v>28.6</v>
      </c>
      <c r="K403" s="18" t="str">
        <f>IFERROR(IF([1]对账明细接口!$K$403=0,"",[1]对账明细接口!$K$403),"")</f>
        <v/>
      </c>
      <c r="L403" s="16" t="str">
        <f>IFERROR(IF([1]对账明细接口!$L$403=0,"",[1]对账明细接口!$L$403),"")</f>
        <v/>
      </c>
      <c r="M403" s="16" t="str">
        <f>IFERROR(IF([1]对账明细接口!$M$403=0,"",[1]对账明细接口!$M$403),"")</f>
        <v/>
      </c>
      <c r="N403" s="19">
        <f t="shared" si="12"/>
        <v>1</v>
      </c>
      <c r="O403" s="19">
        <f t="shared" si="13"/>
        <v>400</v>
      </c>
      <c r="S403" s="20" t="str">
        <f>IFERROR(IF([1]对账明细接口!$N403=0,"",[1]对账明细接口!$N403),"")</f>
        <v>纸箱</v>
      </c>
      <c r="T403" s="21" t="str">
        <f>IFERROR(IF([1]对账明细接口!$O403=0,"",[1]对账明细接口!$O403),"")</f>
        <v/>
      </c>
      <c r="U403" s="21" t="str">
        <f>IFERROR(IF([1]对账明细接口!$P403=0,"",[1]对账明细接口!$P403),"")</f>
        <v/>
      </c>
      <c r="V403" s="21" t="str">
        <f>IFERROR(IF([1]对账明细接口!$Q403=0,"",[1]对账明细接口!$Q403),"")</f>
        <v/>
      </c>
      <c r="W403" s="20" t="str">
        <f>IFERROR(IF([1]对账明细接口!$R403=0,"",[1]对账明细接口!$R403),"")</f>
        <v>豫N*P269J</v>
      </c>
      <c r="X403" s="20" t="str">
        <f>IFERROR(IF([1]对账明细接口!$S403=0,"",[1]对账明细接口!$S403),"")</f>
        <v>公司筐</v>
      </c>
      <c r="Y403" s="20" t="str">
        <f>IFERROR(IF([1]对账明细接口!$T403=0,"",[1]对账明细接口!$T403),"")</f>
        <v>王照雪</v>
      </c>
      <c r="Z403" s="24" t="str">
        <f>IFERROR(IF([1]对账明细接口!$U403=0,"",[1]对账明细接口!$U403),"")</f>
        <v/>
      </c>
      <c r="AA403" s="24" t="str">
        <f>IFERROR(IF([1]对账明细接口!$V403=0,"",[1]对账明细接口!$V403),"")</f>
        <v/>
      </c>
      <c r="AB403" s="20" t="str">
        <f>IFERROR(IF([1]对账明细接口!$W403=0,"",[1]对账明细接口!$W403),"")</f>
        <v/>
      </c>
      <c r="AC403" s="7" t="str">
        <f>IFERROR(IF([1]对账明细接口!$X403=0,"",[1]对账明细接口!$X403),"")</f>
        <v>电商/主播</v>
      </c>
      <c r="AD403" s="7" t="str">
        <f>IFERROR(IF([1]对账明细接口!$Y403=0,"",[1]对账明细接口!$Y403),"")</f>
        <v/>
      </c>
      <c r="AE403" s="7" t="str">
        <f>IFERROR(IF([1]对账明细接口!$AA403=0,"",[1]对账明细接口!$AA403),"")</f>
        <v/>
      </c>
      <c r="AF403" s="7" t="str">
        <f>IFERROR(IF([1]对账明细接口!$AB403=0,"",[1]对账明细接口!$AB403),"")</f>
        <v/>
      </c>
      <c r="AG403" s="7" t="str">
        <f>IFERROR(IF([1]对账明细接口!$AC403=0,"",[1]对账明细接口!$AC403),"")</f>
        <v/>
      </c>
      <c r="AH403" s="7" t="str">
        <f>IFERROR(IF([1]对账明细接口!$AD403=0,"",[1]对账明细接口!$AD403),"")</f>
        <v>成品出库</v>
      </c>
      <c r="AI403" s="7" t="str">
        <f>IFERROR(IF([1]对账明细接口!$AE403=0,"",[1]对账明细接口!$AE403),"")</f>
        <v/>
      </c>
      <c r="AJ403" s="7" t="str">
        <f>IFERROR(IF([1]对账明细接口!$AF403=0,"",[1]对账明细接口!$AF403),"")</f>
        <v/>
      </c>
    </row>
    <row r="404" ht="14.25" customHeight="1" spans="1:36">
      <c r="A404" s="14">
        <v>404</v>
      </c>
      <c r="B404" s="15">
        <f>IFERROR(IF([1]对账明细接口!$B$404=0,"",[1]对账明细接口!$B$404),"")</f>
        <v>46278</v>
      </c>
      <c r="C404" s="16" t="str">
        <f>IFERROR(IF([1]对账明细接口!$C$404=0,"",[1]对账明细接口!$C$404),"")</f>
        <v>王照雪</v>
      </c>
      <c r="D404" s="16" t="str">
        <f>IFERROR(IF([1]对账明细接口!$D$404=0,"",[1]对账明细接口!$D$404),"")</f>
        <v>成品出库－成品出库</v>
      </c>
      <c r="E404" s="16" t="str">
        <f>IFERROR(IF([1]对账明细接口!$E$404=0,"",[1]对账明细接口!$E$404),"")</f>
        <v>NO:0001136</v>
      </c>
      <c r="F404" s="16" t="str">
        <f>IFERROR(IF([1]对账明细接口!$F$404=0,"",[1]对账明细接口!$F$404),"")</f>
        <v>香梨</v>
      </c>
      <c r="G404" s="16" t="str">
        <f>IFERROR(IF([1]对账明细接口!$G$404=0,"",[1]对账明细接口!$G$404),"")</f>
        <v>香梨一级</v>
      </c>
      <c r="H404" s="17">
        <f>IFERROR(IF([1]对账明细接口!$H$404=0,"",[1]对账明细接口!$H$404),"")</f>
        <v>3</v>
      </c>
      <c r="I404" s="16" t="str">
        <f>IFERROR(IF([1]对账明细接口!$I$404=0,"",[1]对账明细接口!$I$404),"")</f>
        <v>箱</v>
      </c>
      <c r="J404" s="18">
        <f>IFERROR(IF([1]对账明细接口!$J$404=0,"",[1]对账明细接口!$J$404),"")</f>
        <v>15.3</v>
      </c>
      <c r="K404" s="18" t="str">
        <f>IFERROR(IF([1]对账明细接口!$K$404=0,"",[1]对账明细接口!$K$404),"")</f>
        <v/>
      </c>
      <c r="L404" s="16" t="str">
        <f>IFERROR(IF([1]对账明细接口!$L$404=0,"",[1]对账明细接口!$L$404),"")</f>
        <v/>
      </c>
      <c r="M404" s="16" t="str">
        <f>IFERROR(IF([1]对账明细接口!$M$404=0,"",[1]对账明细接口!$M$404),"")</f>
        <v/>
      </c>
      <c r="N404" s="19">
        <f t="shared" si="12"/>
        <v>1</v>
      </c>
      <c r="O404" s="19">
        <f t="shared" si="13"/>
        <v>401</v>
      </c>
      <c r="S404" s="20" t="str">
        <f>IFERROR(IF([1]对账明细接口!$N404=0,"",[1]对账明细接口!$N404),"")</f>
        <v>纸箱</v>
      </c>
      <c r="T404" s="21" t="str">
        <f>IFERROR(IF([1]对账明细接口!$O404=0,"",[1]对账明细接口!$O404),"")</f>
        <v/>
      </c>
      <c r="U404" s="21" t="str">
        <f>IFERROR(IF([1]对账明细接口!$P404=0,"",[1]对账明细接口!$P404),"")</f>
        <v/>
      </c>
      <c r="V404" s="21" t="str">
        <f>IFERROR(IF([1]对账明细接口!$Q404=0,"",[1]对账明细接口!$Q404),"")</f>
        <v/>
      </c>
      <c r="W404" s="20" t="str">
        <f>IFERROR(IF([1]对账明细接口!$R404=0,"",[1]对账明细接口!$R404),"")</f>
        <v>豫N*P269J</v>
      </c>
      <c r="X404" s="20" t="str">
        <f>IFERROR(IF([1]对账明细接口!$S404=0,"",[1]对账明细接口!$S404),"")</f>
        <v>公司筐</v>
      </c>
      <c r="Y404" s="20" t="str">
        <f>IFERROR(IF([1]对账明细接口!$T404=0,"",[1]对账明细接口!$T404),"")</f>
        <v>王照雪</v>
      </c>
      <c r="Z404" s="24" t="str">
        <f>IFERROR(IF([1]对账明细接口!$U404=0,"",[1]对账明细接口!$U404),"")</f>
        <v/>
      </c>
      <c r="AA404" s="24" t="str">
        <f>IFERROR(IF([1]对账明细接口!$V404=0,"",[1]对账明细接口!$V404),"")</f>
        <v/>
      </c>
      <c r="AB404" s="20" t="str">
        <f>IFERROR(IF([1]对账明细接口!$W404=0,"",[1]对账明细接口!$W404),"")</f>
        <v/>
      </c>
      <c r="AC404" s="7" t="str">
        <f>IFERROR(IF([1]对账明细接口!$X404=0,"",[1]对账明细接口!$X404),"")</f>
        <v>电商/主播</v>
      </c>
      <c r="AD404" s="7" t="str">
        <f>IFERROR(IF([1]对账明细接口!$Y404=0,"",[1]对账明细接口!$Y404),"")</f>
        <v/>
      </c>
      <c r="AE404" s="7" t="str">
        <f>IFERROR(IF([1]对账明细接口!$AA404=0,"",[1]对账明细接口!$AA404),"")</f>
        <v/>
      </c>
      <c r="AF404" s="7" t="str">
        <f>IFERROR(IF([1]对账明细接口!$AB404=0,"",[1]对账明细接口!$AB404),"")</f>
        <v/>
      </c>
      <c r="AG404" s="7" t="str">
        <f>IFERROR(IF([1]对账明细接口!$AC404=0,"",[1]对账明细接口!$AC404),"")</f>
        <v/>
      </c>
      <c r="AH404" s="7" t="str">
        <f>IFERROR(IF([1]对账明细接口!$AD404=0,"",[1]对账明细接口!$AD404),"")</f>
        <v>成品出库</v>
      </c>
      <c r="AI404" s="7" t="str">
        <f>IFERROR(IF([1]对账明细接口!$AE404=0,"",[1]对账明细接口!$AE404),"")</f>
        <v/>
      </c>
      <c r="AJ404" s="7" t="str">
        <f>IFERROR(IF([1]对账明细接口!$AF404=0,"",[1]对账明细接口!$AF404),"")</f>
        <v/>
      </c>
    </row>
    <row r="405" ht="14.25" customHeight="1" spans="1:36">
      <c r="A405" s="14">
        <v>405</v>
      </c>
      <c r="B405" s="15">
        <f>IFERROR(IF([1]对账明细接口!$B$405=0,"",[1]对账明细接口!$B$405),"")</f>
        <v>46279</v>
      </c>
      <c r="C405" s="16" t="str">
        <f>IFERROR(IF([1]对账明细接口!$C$405=0,"",[1]对账明细接口!$C$405),"")</f>
        <v>王照雪</v>
      </c>
      <c r="D405" s="16" t="str">
        <f>IFERROR(IF([1]对账明细接口!$D$405=0,"",[1]对账明细接口!$D$405),"")</f>
        <v>成品出库－成品出库</v>
      </c>
      <c r="E405" s="16" t="str">
        <f>IFERROR(IF([1]对账明细接口!$E$405=0,"",[1]对账明细接口!$E$405),"")</f>
        <v>NO:0001142</v>
      </c>
      <c r="F405" s="16" t="str">
        <f>IFERROR(IF([1]对账明细接口!$F$405=0,"",[1]对账明细接口!$F$405),"")</f>
        <v>苹果</v>
      </c>
      <c r="G405" s="16" t="str">
        <f>IFERROR(IF([1]对账明细接口!$G$405=0,"",[1]对账明细接口!$G$405),"")</f>
        <v>华硕一级</v>
      </c>
      <c r="H405" s="17">
        <f>IFERROR(IF([1]对账明细接口!$H$405=0,"",[1]对账明细接口!$H$405),"")</f>
        <v>42</v>
      </c>
      <c r="I405" s="16" t="str">
        <f>IFERROR(IF([1]对账明细接口!$I$405=0,"",[1]对账明细接口!$I$405),"")</f>
        <v>箱</v>
      </c>
      <c r="J405" s="18">
        <f>IFERROR(IF([1]对账明细接口!$J$405=0,"",[1]对账明细接口!$J$405),"")</f>
        <v>214.2</v>
      </c>
      <c r="K405" s="18" t="str">
        <f>IFERROR(IF([1]对账明细接口!$K$405=0,"",[1]对账明细接口!$K$405),"")</f>
        <v/>
      </c>
      <c r="L405" s="16" t="str">
        <f>IFERROR(IF([1]对账明细接口!$L$405=0,"",[1]对账明细接口!$L$405),"")</f>
        <v/>
      </c>
      <c r="M405" s="16" t="str">
        <f>IFERROR(IF([1]对账明细接口!$M$405=0,"",[1]对账明细接口!$M$405),"")</f>
        <v/>
      </c>
      <c r="N405" s="19">
        <f t="shared" si="12"/>
        <v>1</v>
      </c>
      <c r="O405" s="19">
        <f t="shared" si="13"/>
        <v>402</v>
      </c>
      <c r="S405" s="20" t="str">
        <f>IFERROR(IF([1]对账明细接口!$N405=0,"",[1]对账明细接口!$N405),"")</f>
        <v>纸箱</v>
      </c>
      <c r="T405" s="21" t="str">
        <f>IFERROR(IF([1]对账明细接口!$O405=0,"",[1]对账明细接口!$O405),"")</f>
        <v/>
      </c>
      <c r="U405" s="21" t="str">
        <f>IFERROR(IF([1]对账明细接口!$P405=0,"",[1]对账明细接口!$P405),"")</f>
        <v/>
      </c>
      <c r="V405" s="21" t="str">
        <f>IFERROR(IF([1]对账明细接口!$Q405=0,"",[1]对账明细接口!$Q405),"")</f>
        <v/>
      </c>
      <c r="W405" s="20" t="str">
        <f>IFERROR(IF([1]对账明细接口!$R405=0,"",[1]对账明细接口!$R405),"")</f>
        <v>豫N*P269J</v>
      </c>
      <c r="X405" s="20" t="str">
        <f>IFERROR(IF([1]对账明细接口!$S405=0,"",[1]对账明细接口!$S405),"")</f>
        <v>公司筐</v>
      </c>
      <c r="Y405" s="20" t="str">
        <f>IFERROR(IF([1]对账明细接口!$T405=0,"",[1]对账明细接口!$T405),"")</f>
        <v>王照雪</v>
      </c>
      <c r="Z405" s="24" t="str">
        <f>IFERROR(IF([1]对账明细接口!$U405=0,"",[1]对账明细接口!$U405),"")</f>
        <v/>
      </c>
      <c r="AA405" s="24" t="str">
        <f>IFERROR(IF([1]对账明细接口!$V405=0,"",[1]对账明细接口!$V405),"")</f>
        <v/>
      </c>
      <c r="AB405" s="20" t="str">
        <f>IFERROR(IF([1]对账明细接口!$W405=0,"",[1]对账明细接口!$W405),"")</f>
        <v/>
      </c>
      <c r="AC405" s="7" t="str">
        <f>IFERROR(IF([1]对账明细接口!$X405=0,"",[1]对账明细接口!$X405),"")</f>
        <v>电商/主播</v>
      </c>
      <c r="AD405" s="7" t="str">
        <f>IFERROR(IF([1]对账明细接口!$Y405=0,"",[1]对账明细接口!$Y405),"")</f>
        <v/>
      </c>
      <c r="AE405" s="7" t="str">
        <f>IFERROR(IF([1]对账明细接口!$AA405=0,"",[1]对账明细接口!$AA405),"")</f>
        <v/>
      </c>
      <c r="AF405" s="7" t="str">
        <f>IFERROR(IF([1]对账明细接口!$AB405=0,"",[1]对账明细接口!$AB405),"")</f>
        <v/>
      </c>
      <c r="AG405" s="7" t="str">
        <f>IFERROR(IF([1]对账明细接口!$AC405=0,"",[1]对账明细接口!$AC405),"")</f>
        <v/>
      </c>
      <c r="AH405" s="7" t="str">
        <f>IFERROR(IF([1]对账明细接口!$AD405=0,"",[1]对账明细接口!$AD405),"")</f>
        <v>成品出库</v>
      </c>
      <c r="AI405" s="7" t="str">
        <f>IFERROR(IF([1]对账明细接口!$AE405=0,"",[1]对账明细接口!$AE405),"")</f>
        <v/>
      </c>
      <c r="AJ405" s="7" t="str">
        <f>IFERROR(IF([1]对账明细接口!$AF405=0,"",[1]对账明细接口!$AF405),"")</f>
        <v/>
      </c>
    </row>
    <row r="406" ht="14.25" customHeight="1" spans="1:36">
      <c r="A406" s="14">
        <v>406</v>
      </c>
      <c r="B406" s="15">
        <f>IFERROR(IF([1]对账明细接口!$B$406=0,"",[1]对账明细接口!$B$406),"")</f>
        <v>46279</v>
      </c>
      <c r="C406" s="16" t="str">
        <f>IFERROR(IF([1]对账明细接口!$C$406=0,"",[1]对账明细接口!$C$406),"")</f>
        <v>王照雪</v>
      </c>
      <c r="D406" s="16" t="str">
        <f>IFERROR(IF([1]对账明细接口!$D$406=0,"",[1]对账明细接口!$D$406),"")</f>
        <v>成品出库－成品出库</v>
      </c>
      <c r="E406" s="16" t="str">
        <f>IFERROR(IF([1]对账明细接口!$E$406=0,"",[1]对账明细接口!$E$406),"")</f>
        <v>NO:0001142</v>
      </c>
      <c r="F406" s="16" t="str">
        <f>IFERROR(IF([1]对账明细接口!$F$406=0,"",[1]对账明细接口!$F$406),"")</f>
        <v>苹果</v>
      </c>
      <c r="G406" s="16" t="str">
        <f>IFERROR(IF([1]对账明细接口!$G$406=0,"",[1]对账明细接口!$G$406),"")</f>
        <v>华硕一级</v>
      </c>
      <c r="H406" s="17">
        <f>IFERROR(IF([1]对账明细接口!$H$406=0,"",[1]对账明细接口!$H$406),"")</f>
        <v>6</v>
      </c>
      <c r="I406" s="16" t="str">
        <f>IFERROR(IF([1]对账明细接口!$I$406=0,"",[1]对账明细接口!$I$406),"")</f>
        <v>箱</v>
      </c>
      <c r="J406" s="18">
        <f>IFERROR(IF([1]对账明细接口!$J$406=0,"",[1]对账明细接口!$J$406),"")</f>
        <v>15.6</v>
      </c>
      <c r="K406" s="18" t="str">
        <f>IFERROR(IF([1]对账明细接口!$K$406=0,"",[1]对账明细接口!$K$406),"")</f>
        <v/>
      </c>
      <c r="L406" s="16" t="str">
        <f>IFERROR(IF([1]对账明细接口!$L$406=0,"",[1]对账明细接口!$L$406),"")</f>
        <v/>
      </c>
      <c r="M406" s="16" t="str">
        <f>IFERROR(IF([1]对账明细接口!$M$406=0,"",[1]对账明细接口!$M$406),"")</f>
        <v/>
      </c>
      <c r="N406" s="19">
        <f t="shared" si="12"/>
        <v>1</v>
      </c>
      <c r="O406" s="19">
        <f t="shared" si="13"/>
        <v>403</v>
      </c>
      <c r="S406" s="20" t="str">
        <f>IFERROR(IF([1]对账明细接口!$N406=0,"",[1]对账明细接口!$N406),"")</f>
        <v>纸箱</v>
      </c>
      <c r="T406" s="21" t="str">
        <f>IFERROR(IF([1]对账明细接口!$O406=0,"",[1]对账明细接口!$O406),"")</f>
        <v/>
      </c>
      <c r="U406" s="21" t="str">
        <f>IFERROR(IF([1]对账明细接口!$P406=0,"",[1]对账明细接口!$P406),"")</f>
        <v/>
      </c>
      <c r="V406" s="21" t="str">
        <f>IFERROR(IF([1]对账明细接口!$Q406=0,"",[1]对账明细接口!$Q406),"")</f>
        <v/>
      </c>
      <c r="W406" s="20" t="str">
        <f>IFERROR(IF([1]对账明细接口!$R406=0,"",[1]对账明细接口!$R406),"")</f>
        <v>豫N*P269J</v>
      </c>
      <c r="X406" s="20" t="str">
        <f>IFERROR(IF([1]对账明细接口!$S406=0,"",[1]对账明细接口!$S406),"")</f>
        <v>公司筐</v>
      </c>
      <c r="Y406" s="20" t="str">
        <f>IFERROR(IF([1]对账明细接口!$T406=0,"",[1]对账明细接口!$T406),"")</f>
        <v>王照雪</v>
      </c>
      <c r="Z406" s="24" t="str">
        <f>IFERROR(IF([1]对账明细接口!$U406=0,"",[1]对账明细接口!$U406),"")</f>
        <v/>
      </c>
      <c r="AA406" s="24" t="str">
        <f>IFERROR(IF([1]对账明细接口!$V406=0,"",[1]对账明细接口!$V406),"")</f>
        <v/>
      </c>
      <c r="AB406" s="20" t="str">
        <f>IFERROR(IF([1]对账明细接口!$W406=0,"",[1]对账明细接口!$W406),"")</f>
        <v/>
      </c>
      <c r="AC406" s="7" t="str">
        <f>IFERROR(IF([1]对账明细接口!$X406=0,"",[1]对账明细接口!$X406),"")</f>
        <v>电商/主播</v>
      </c>
      <c r="AD406" s="7" t="str">
        <f>IFERROR(IF([1]对账明细接口!$Y406=0,"",[1]对账明细接口!$Y406),"")</f>
        <v/>
      </c>
      <c r="AE406" s="7" t="str">
        <f>IFERROR(IF([1]对账明细接口!$AA406=0,"",[1]对账明细接口!$AA406),"")</f>
        <v/>
      </c>
      <c r="AF406" s="7" t="str">
        <f>IFERROR(IF([1]对账明细接口!$AB406=0,"",[1]对账明细接口!$AB406),"")</f>
        <v/>
      </c>
      <c r="AG406" s="7" t="str">
        <f>IFERROR(IF([1]对账明细接口!$AC406=0,"",[1]对账明细接口!$AC406),"")</f>
        <v/>
      </c>
      <c r="AH406" s="7" t="str">
        <f>IFERROR(IF([1]对账明细接口!$AD406=0,"",[1]对账明细接口!$AD406),"")</f>
        <v>成品出库</v>
      </c>
      <c r="AI406" s="7" t="str">
        <f>IFERROR(IF([1]对账明细接口!$AE406=0,"",[1]对账明细接口!$AE406),"")</f>
        <v/>
      </c>
      <c r="AJ406" s="7" t="str">
        <f>IFERROR(IF([1]对账明细接口!$AF406=0,"",[1]对账明细接口!$AF406),"")</f>
        <v/>
      </c>
    </row>
    <row r="407" ht="14.25" customHeight="1" spans="1:36">
      <c r="A407" s="14">
        <v>407</v>
      </c>
      <c r="B407" s="15">
        <f>IFERROR(IF([1]对账明细接口!$B$407=0,"",[1]对账明细接口!$B$407),"")</f>
        <v>46279</v>
      </c>
      <c r="C407" s="16" t="str">
        <f>IFERROR(IF([1]对账明细接口!$C$407=0,"",[1]对账明细接口!$C$407),"")</f>
        <v>王照雪</v>
      </c>
      <c r="D407" s="16" t="str">
        <f>IFERROR(IF([1]对账明细接口!$D$407=0,"",[1]对账明细接口!$D$407),"")</f>
        <v>成品出库－成品出库</v>
      </c>
      <c r="E407" s="16" t="str">
        <f>IFERROR(IF([1]对账明细接口!$E$407=0,"",[1]对账明细接口!$E$407),"")</f>
        <v>NO:0001142</v>
      </c>
      <c r="F407" s="16" t="str">
        <f>IFERROR(IF([1]对账明细接口!$F$407=0,"",[1]对账明细接口!$F$407),"")</f>
        <v>香梨</v>
      </c>
      <c r="G407" s="16" t="str">
        <f>IFERROR(IF([1]对账明细接口!$G$407=0,"",[1]对账明细接口!$G$407),"")</f>
        <v>香梨一级</v>
      </c>
      <c r="H407" s="17">
        <f>IFERROR(IF([1]对账明细接口!$H$407=0,"",[1]对账明细接口!$H$407),"")</f>
        <v>2</v>
      </c>
      <c r="I407" s="16" t="str">
        <f>IFERROR(IF([1]对账明细接口!$I$407=0,"",[1]对账明细接口!$I$407),"")</f>
        <v>箱</v>
      </c>
      <c r="J407" s="18">
        <f>IFERROR(IF([1]对账明细接口!$J$407=0,"",[1]对账明细接口!$J$407),"")</f>
        <v>10.2</v>
      </c>
      <c r="K407" s="18" t="str">
        <f>IFERROR(IF([1]对账明细接口!$K$407=0,"",[1]对账明细接口!$K$407),"")</f>
        <v/>
      </c>
      <c r="L407" s="16" t="str">
        <f>IFERROR(IF([1]对账明细接口!$L$407=0,"",[1]对账明细接口!$L$407),"")</f>
        <v/>
      </c>
      <c r="M407" s="16" t="str">
        <f>IFERROR(IF([1]对账明细接口!$M$407=0,"",[1]对账明细接口!$M$407),"")</f>
        <v/>
      </c>
      <c r="N407" s="19">
        <f t="shared" si="12"/>
        <v>1</v>
      </c>
      <c r="O407" s="19">
        <f t="shared" si="13"/>
        <v>404</v>
      </c>
      <c r="S407" s="20" t="str">
        <f>IFERROR(IF([1]对账明细接口!$N407=0,"",[1]对账明细接口!$N407),"")</f>
        <v>纸箱</v>
      </c>
      <c r="T407" s="21" t="str">
        <f>IFERROR(IF([1]对账明细接口!$O407=0,"",[1]对账明细接口!$O407),"")</f>
        <v/>
      </c>
      <c r="U407" s="21" t="str">
        <f>IFERROR(IF([1]对账明细接口!$P407=0,"",[1]对账明细接口!$P407),"")</f>
        <v/>
      </c>
      <c r="V407" s="21" t="str">
        <f>IFERROR(IF([1]对账明细接口!$Q407=0,"",[1]对账明细接口!$Q407),"")</f>
        <v/>
      </c>
      <c r="W407" s="20" t="str">
        <f>IFERROR(IF([1]对账明细接口!$R407=0,"",[1]对账明细接口!$R407),"")</f>
        <v>豫N*P269J</v>
      </c>
      <c r="X407" s="20" t="str">
        <f>IFERROR(IF([1]对账明细接口!$S407=0,"",[1]对账明细接口!$S407),"")</f>
        <v>公司筐</v>
      </c>
      <c r="Y407" s="20" t="str">
        <f>IFERROR(IF([1]对账明细接口!$T407=0,"",[1]对账明细接口!$T407),"")</f>
        <v>王照雪</v>
      </c>
      <c r="Z407" s="24" t="str">
        <f>IFERROR(IF([1]对账明细接口!$U407=0,"",[1]对账明细接口!$U407),"")</f>
        <v/>
      </c>
      <c r="AA407" s="24" t="str">
        <f>IFERROR(IF([1]对账明细接口!$V407=0,"",[1]对账明细接口!$V407),"")</f>
        <v/>
      </c>
      <c r="AB407" s="20" t="str">
        <f>IFERROR(IF([1]对账明细接口!$W407=0,"",[1]对账明细接口!$W407),"")</f>
        <v/>
      </c>
      <c r="AC407" s="7" t="str">
        <f>IFERROR(IF([1]对账明细接口!$X407=0,"",[1]对账明细接口!$X407),"")</f>
        <v>电商/主播</v>
      </c>
      <c r="AD407" s="7" t="str">
        <f>IFERROR(IF([1]对账明细接口!$Y407=0,"",[1]对账明细接口!$Y407),"")</f>
        <v/>
      </c>
      <c r="AE407" s="7" t="str">
        <f>IFERROR(IF([1]对账明细接口!$AA407=0,"",[1]对账明细接口!$AA407),"")</f>
        <v/>
      </c>
      <c r="AF407" s="7" t="str">
        <f>IFERROR(IF([1]对账明细接口!$AB407=0,"",[1]对账明细接口!$AB407),"")</f>
        <v/>
      </c>
      <c r="AG407" s="7" t="str">
        <f>IFERROR(IF([1]对账明细接口!$AC407=0,"",[1]对账明细接口!$AC407),"")</f>
        <v/>
      </c>
      <c r="AH407" s="7" t="str">
        <f>IFERROR(IF([1]对账明细接口!$AD407=0,"",[1]对账明细接口!$AD407),"")</f>
        <v>成品出库</v>
      </c>
      <c r="AI407" s="7" t="str">
        <f>IFERROR(IF([1]对账明细接口!$AE407=0,"",[1]对账明细接口!$AE407),"")</f>
        <v/>
      </c>
      <c r="AJ407" s="7" t="str">
        <f>IFERROR(IF([1]对账明细接口!$AF407=0,"",[1]对账明细接口!$AF407),"")</f>
        <v/>
      </c>
    </row>
    <row r="408" ht="14.25" customHeight="1" spans="1:36">
      <c r="A408" s="14">
        <v>408</v>
      </c>
      <c r="B408" s="15">
        <f>IFERROR(IF([1]对账明细接口!$B$408=0,"",[1]对账明细接口!$B$408),"")</f>
        <v>46280</v>
      </c>
      <c r="C408" s="16" t="str">
        <f>IFERROR(IF([1]对账明细接口!$C$408=0,"",[1]对账明细接口!$C$408),"")</f>
        <v>王照雪</v>
      </c>
      <c r="D408" s="16" t="str">
        <f>IFERROR(IF([1]对账明细接口!$D$408=0,"",[1]对账明细接口!$D$408),"")</f>
        <v>成品出库－成品出库</v>
      </c>
      <c r="E408" s="16" t="str">
        <f>IFERROR(IF([1]对账明细接口!$E$408=0,"",[1]对账明细接口!$E$408),"")</f>
        <v>NO:0001147</v>
      </c>
      <c r="F408" s="16" t="str">
        <f>IFERROR(IF([1]对账明细接口!$F$408=0,"",[1]对账明细接口!$F$408),"")</f>
        <v>苹果</v>
      </c>
      <c r="G408" s="16" t="str">
        <f>IFERROR(IF([1]对账明细接口!$G$408=0,"",[1]对账明细接口!$G$408),"")</f>
        <v>新世纪一级</v>
      </c>
      <c r="H408" s="17">
        <f>IFERROR(IF([1]对账明细接口!$H$408=0,"",[1]对账明细接口!$H$408),"")</f>
        <v>195</v>
      </c>
      <c r="I408" s="16" t="str">
        <f>IFERROR(IF([1]对账明细接口!$I$408=0,"",[1]对账明细接口!$I$408),"")</f>
        <v>箱</v>
      </c>
      <c r="J408" s="18">
        <f>IFERROR(IF([1]对账明细接口!$J$408=0,"",[1]对账明细接口!$J$408),"")</f>
        <v>994.5</v>
      </c>
      <c r="K408" s="18" t="str">
        <f>IFERROR(IF([1]对账明细接口!$K$408=0,"",[1]对账明细接口!$K$408),"")</f>
        <v/>
      </c>
      <c r="L408" s="16" t="str">
        <f>IFERROR(IF([1]对账明细接口!$L$408=0,"",[1]对账明细接口!$L$408),"")</f>
        <v/>
      </c>
      <c r="M408" s="16" t="str">
        <f>IFERROR(IF([1]对账明细接口!$M$408=0,"",[1]对账明细接口!$M$408),"")</f>
        <v/>
      </c>
      <c r="N408" s="19">
        <f t="shared" si="12"/>
        <v>1</v>
      </c>
      <c r="O408" s="19">
        <f t="shared" si="13"/>
        <v>405</v>
      </c>
      <c r="S408" s="20" t="str">
        <f>IFERROR(IF([1]对账明细接口!$N408=0,"",[1]对账明细接口!$N408),"")</f>
        <v>纸箱</v>
      </c>
      <c r="T408" s="21" t="str">
        <f>IFERROR(IF([1]对账明细接口!$O408=0,"",[1]对账明细接口!$O408),"")</f>
        <v/>
      </c>
      <c r="U408" s="21" t="str">
        <f>IFERROR(IF([1]对账明细接口!$P408=0,"",[1]对账明细接口!$P408),"")</f>
        <v/>
      </c>
      <c r="V408" s="21" t="str">
        <f>IFERROR(IF([1]对账明细接口!$Q408=0,"",[1]对账明细接口!$Q408),"")</f>
        <v/>
      </c>
      <c r="W408" s="20" t="str">
        <f>IFERROR(IF([1]对账明细接口!$R408=0,"",[1]对账明细接口!$R408),"")</f>
        <v>新N*V5L92</v>
      </c>
      <c r="X408" s="20" t="str">
        <f>IFERROR(IF([1]对账明细接口!$S408=0,"",[1]对账明细接口!$S408),"")</f>
        <v>公司筐</v>
      </c>
      <c r="Y408" s="20" t="str">
        <f>IFERROR(IF([1]对账明细接口!$T408=0,"",[1]对账明细接口!$T408),"")</f>
        <v>王照雪</v>
      </c>
      <c r="Z408" s="24" t="str">
        <f>IFERROR(IF([1]对账明细接口!$U408=0,"",[1]对账明细接口!$U408),"")</f>
        <v/>
      </c>
      <c r="AA408" s="24" t="str">
        <f>IFERROR(IF([1]对账明细接口!$V408=0,"",[1]对账明细接口!$V408),"")</f>
        <v/>
      </c>
      <c r="AB408" s="20" t="str">
        <f>IFERROR(IF([1]对账明细接口!$W408=0,"",[1]对账明细接口!$W408),"")</f>
        <v/>
      </c>
      <c r="AC408" s="7" t="str">
        <f>IFERROR(IF([1]对账明细接口!$X408=0,"",[1]对账明细接口!$X408),"")</f>
        <v>电商/主播</v>
      </c>
      <c r="AD408" s="7" t="str">
        <f>IFERROR(IF([1]对账明细接口!$Y408=0,"",[1]对账明细接口!$Y408),"")</f>
        <v/>
      </c>
      <c r="AE408" s="7" t="str">
        <f>IFERROR(IF([1]对账明细接口!$AA408=0,"",[1]对账明细接口!$AA408),"")</f>
        <v/>
      </c>
      <c r="AF408" s="7" t="str">
        <f>IFERROR(IF([1]对账明细接口!$AB408=0,"",[1]对账明细接口!$AB408),"")</f>
        <v/>
      </c>
      <c r="AG408" s="7" t="str">
        <f>IFERROR(IF([1]对账明细接口!$AC408=0,"",[1]对账明细接口!$AC408),"")</f>
        <v/>
      </c>
      <c r="AH408" s="7" t="str">
        <f>IFERROR(IF([1]对账明细接口!$AD408=0,"",[1]对账明细接口!$AD408),"")</f>
        <v>成品出库</v>
      </c>
      <c r="AI408" s="7" t="str">
        <f>IFERROR(IF([1]对账明细接口!$AE408=0,"",[1]对账明细接口!$AE408),"")</f>
        <v/>
      </c>
      <c r="AJ408" s="7" t="str">
        <f>IFERROR(IF([1]对账明细接口!$AF408=0,"",[1]对账明细接口!$AF408),"")</f>
        <v/>
      </c>
    </row>
    <row r="409" ht="14.25" customHeight="1" spans="1:36">
      <c r="A409" s="14">
        <v>409</v>
      </c>
      <c r="B409" s="15">
        <f>IFERROR(IF([1]对账明细接口!$B$409=0,"",[1]对账明细接口!$B$409),"")</f>
        <v>46280</v>
      </c>
      <c r="C409" s="16" t="str">
        <f>IFERROR(IF([1]对账明细接口!$C$409=0,"",[1]对账明细接口!$C$409),"")</f>
        <v>王照雪</v>
      </c>
      <c r="D409" s="16" t="str">
        <f>IFERROR(IF([1]对账明细接口!$D$409=0,"",[1]对账明细接口!$D$409),"")</f>
        <v>成品出库－成品出库</v>
      </c>
      <c r="E409" s="16" t="str">
        <f>IFERROR(IF([1]对账明细接口!$E$409=0,"",[1]对账明细接口!$E$409),"")</f>
        <v>NO:0001147</v>
      </c>
      <c r="F409" s="16" t="str">
        <f>IFERROR(IF([1]对账明细接口!$F$409=0,"",[1]对账明细接口!$F$409),"")</f>
        <v>苹果</v>
      </c>
      <c r="G409" s="16" t="str">
        <f>IFERROR(IF([1]对账明细接口!$G$409=0,"",[1]对账明细接口!$G$409),"")</f>
        <v>新世纪一级</v>
      </c>
      <c r="H409" s="17">
        <f>IFERROR(IF([1]对账明细接口!$H$409=0,"",[1]对账明细接口!$H$409),"")</f>
        <v>1</v>
      </c>
      <c r="I409" s="16" t="str">
        <f>IFERROR(IF([1]对账明细接口!$I$409=0,"",[1]对账明细接口!$I$409),"")</f>
        <v>箱</v>
      </c>
      <c r="J409" s="18">
        <f>IFERROR(IF([1]对账明细接口!$J$409=0,"",[1]对账明细接口!$J$409),"")</f>
        <v>2.6</v>
      </c>
      <c r="K409" s="18" t="str">
        <f>IFERROR(IF([1]对账明细接口!$K$409=0,"",[1]对账明细接口!$K$409),"")</f>
        <v/>
      </c>
      <c r="L409" s="16" t="str">
        <f>IFERROR(IF([1]对账明细接口!$L$409=0,"",[1]对账明细接口!$L$409),"")</f>
        <v/>
      </c>
      <c r="M409" s="16" t="str">
        <f>IFERROR(IF([1]对账明细接口!$M$409=0,"",[1]对账明细接口!$M$409),"")</f>
        <v/>
      </c>
      <c r="N409" s="19">
        <f t="shared" si="12"/>
        <v>1</v>
      </c>
      <c r="O409" s="19">
        <f t="shared" si="13"/>
        <v>406</v>
      </c>
      <c r="S409" s="20" t="str">
        <f>IFERROR(IF([1]对账明细接口!$N409=0,"",[1]对账明细接口!$N409),"")</f>
        <v>纸箱</v>
      </c>
      <c r="T409" s="21" t="str">
        <f>IFERROR(IF([1]对账明细接口!$O409=0,"",[1]对账明细接口!$O409),"")</f>
        <v/>
      </c>
      <c r="U409" s="21" t="str">
        <f>IFERROR(IF([1]对账明细接口!$P409=0,"",[1]对账明细接口!$P409),"")</f>
        <v/>
      </c>
      <c r="V409" s="21" t="str">
        <f>IFERROR(IF([1]对账明细接口!$Q409=0,"",[1]对账明细接口!$Q409),"")</f>
        <v/>
      </c>
      <c r="W409" s="20" t="str">
        <f>IFERROR(IF([1]对账明细接口!$R409=0,"",[1]对账明细接口!$R409),"")</f>
        <v>新N*V5L92</v>
      </c>
      <c r="X409" s="20" t="str">
        <f>IFERROR(IF([1]对账明细接口!$S409=0,"",[1]对账明细接口!$S409),"")</f>
        <v>公司筐</v>
      </c>
      <c r="Y409" s="20" t="str">
        <f>IFERROR(IF([1]对账明细接口!$T409=0,"",[1]对账明细接口!$T409),"")</f>
        <v>王照雪</v>
      </c>
      <c r="Z409" s="24" t="str">
        <f>IFERROR(IF([1]对账明细接口!$U409=0,"",[1]对账明细接口!$U409),"")</f>
        <v/>
      </c>
      <c r="AA409" s="24" t="str">
        <f>IFERROR(IF([1]对账明细接口!$V409=0,"",[1]对账明细接口!$V409),"")</f>
        <v/>
      </c>
      <c r="AB409" s="20" t="str">
        <f>IFERROR(IF([1]对账明细接口!$W409=0,"",[1]对账明细接口!$W409),"")</f>
        <v/>
      </c>
      <c r="AC409" s="7" t="str">
        <f>IFERROR(IF([1]对账明细接口!$X409=0,"",[1]对账明细接口!$X409),"")</f>
        <v>电商/主播</v>
      </c>
      <c r="AD409" s="7" t="str">
        <f>IFERROR(IF([1]对账明细接口!$Y409=0,"",[1]对账明细接口!$Y409),"")</f>
        <v/>
      </c>
      <c r="AE409" s="7" t="str">
        <f>IFERROR(IF([1]对账明细接口!$AA409=0,"",[1]对账明细接口!$AA409),"")</f>
        <v/>
      </c>
      <c r="AF409" s="7" t="str">
        <f>IFERROR(IF([1]对账明细接口!$AB409=0,"",[1]对账明细接口!$AB409),"")</f>
        <v/>
      </c>
      <c r="AG409" s="7" t="str">
        <f>IFERROR(IF([1]对账明细接口!$AC409=0,"",[1]对账明细接口!$AC409),"")</f>
        <v/>
      </c>
      <c r="AH409" s="7" t="str">
        <f>IFERROR(IF([1]对账明细接口!$AD409=0,"",[1]对账明细接口!$AD409),"")</f>
        <v>成品出库</v>
      </c>
      <c r="AI409" s="7" t="str">
        <f>IFERROR(IF([1]对账明细接口!$AE409=0,"",[1]对账明细接口!$AE409),"")</f>
        <v/>
      </c>
      <c r="AJ409" s="7" t="str">
        <f>IFERROR(IF([1]对账明细接口!$AF409=0,"",[1]对账明细接口!$AF409),"")</f>
        <v/>
      </c>
    </row>
    <row r="410" ht="14.25" customHeight="1" spans="1:36">
      <c r="A410" s="14">
        <v>410</v>
      </c>
      <c r="B410" s="15">
        <f>IFERROR(IF([1]对账明细接口!$B$410=0,"",[1]对账明细接口!$B$410),"")</f>
        <v>46280</v>
      </c>
      <c r="C410" s="16" t="str">
        <f>IFERROR(IF([1]对账明细接口!$C$410=0,"",[1]对账明细接口!$C$410),"")</f>
        <v>王照雪</v>
      </c>
      <c r="D410" s="16" t="str">
        <f>IFERROR(IF([1]对账明细接口!$D$410=0,"",[1]对账明细接口!$D$410),"")</f>
        <v>成品出库－果然鲜销售</v>
      </c>
      <c r="E410" s="16" t="str">
        <f>IFERROR(IF([1]对账明细接口!$E$410=0,"",[1]对账明细接口!$E$410),"")</f>
        <v>NO:0001148</v>
      </c>
      <c r="F410" s="16" t="str">
        <f>IFERROR(IF([1]对账明细接口!$F$410=0,"",[1]对账明细接口!$F$410),"")</f>
        <v>苹果</v>
      </c>
      <c r="G410" s="16" t="str">
        <f>IFERROR(IF([1]对账明细接口!$G$410=0,"",[1]对账明细接口!$G$410),"")</f>
        <v>新世纪一级</v>
      </c>
      <c r="H410" s="17">
        <f>IFERROR(IF([1]对账明细接口!$H$410=0,"",[1]对账明细接口!$H$410),"")</f>
        <v>1</v>
      </c>
      <c r="I410" s="16" t="str">
        <f>IFERROR(IF([1]对账明细接口!$I$410=0,"",[1]对账明细接口!$I$410),"")</f>
        <v>箱</v>
      </c>
      <c r="J410" s="18">
        <f>IFERROR(IF([1]对账明细接口!$J$410=0,"",[1]对账明细接口!$J$410),"")</f>
        <v>5</v>
      </c>
      <c r="K410" s="18">
        <f>IFERROR(IF([1]对账明细接口!$K$410=0,"",[1]对账明细接口!$K$410),"")</f>
        <v>40</v>
      </c>
      <c r="L410" s="16" t="str">
        <f>IFERROR(IF([1]对账明细接口!$L$410=0,"",[1]对账明细接口!$L$410),"")</f>
        <v>已收讫</v>
      </c>
      <c r="M410" s="16" t="str">
        <f>IFERROR(IF([1]对账明细接口!$M$410=0,"",[1]对账明细接口!$M$410),"")</f>
        <v/>
      </c>
      <c r="N410" s="19">
        <f t="shared" si="12"/>
        <v>1</v>
      </c>
      <c r="O410" s="19">
        <f t="shared" si="13"/>
        <v>407</v>
      </c>
      <c r="S410" s="20" t="str">
        <f>IFERROR(IF([1]对账明细接口!$N410=0,"",[1]对账明细接口!$N410),"")</f>
        <v>纸箱</v>
      </c>
      <c r="T410" s="21" t="str">
        <f>IFERROR(IF([1]对账明细接口!$O410=0,"",[1]对账明细接口!$O410),"")</f>
        <v/>
      </c>
      <c r="U410" s="21" t="str">
        <f>IFERROR(IF([1]对账明细接口!$P410=0,"",[1]对账明细接口!$P410),"")</f>
        <v/>
      </c>
      <c r="V410" s="21" t="str">
        <f>IFERROR(IF([1]对账明细接口!$Q410=0,"",[1]对账明细接口!$Q410),"")</f>
        <v/>
      </c>
      <c r="W410" s="20" t="str">
        <f>IFERROR(IF([1]对账明细接口!$R410=0,"",[1]对账明细接口!$R410),"")</f>
        <v>新N*V5L92</v>
      </c>
      <c r="X410" s="20" t="str">
        <f>IFERROR(IF([1]对账明细接口!$S410=0,"",[1]对账明细接口!$S410),"")</f>
        <v>公司筐</v>
      </c>
      <c r="Y410" s="20" t="str">
        <f>IFERROR(IF([1]对账明细接口!$T410=0,"",[1]对账明细接口!$T410),"")</f>
        <v>王照雪</v>
      </c>
      <c r="Z410" s="24">
        <f>IFERROR(IF([1]对账明细接口!$U410=0,"",[1]对账明细接口!$U410),"")</f>
        <v>30</v>
      </c>
      <c r="AA410" s="24">
        <f>IFERROR(IF([1]对账明细接口!$V410=0,"",[1]对账明细接口!$V410),"")</f>
        <v>30</v>
      </c>
      <c r="AB410" s="20" t="str">
        <f>IFERROR(IF([1]对账明细接口!$W410=0,"",[1]对账明细接口!$W410),"")</f>
        <v>已付清</v>
      </c>
      <c r="AC410" s="7" t="str">
        <f>IFERROR(IF([1]对账明细接口!$X410=0,"",[1]对账明细接口!$X410),"")</f>
        <v>张三</v>
      </c>
      <c r="AD410" s="7">
        <f>IFERROR(IF([1]对账明细接口!$Y410=0,"",[1]对账明细接口!$Y410),"")</f>
        <v>40</v>
      </c>
      <c r="AE410" s="7" t="str">
        <f>IFERROR(IF([1]对账明细接口!$AA410=0,"",[1]对账明细接口!$AA410),"")</f>
        <v/>
      </c>
      <c r="AF410" s="7" t="str">
        <f>IFERROR(IF([1]对账明细接口!$AB410=0,"",[1]对账明细接口!$AB410),"")</f>
        <v/>
      </c>
      <c r="AG410" s="7">
        <f>IFERROR(IF([1]对账明细接口!$AC410=0,"",[1]对账明细接口!$AC410),"")</f>
        <v>10</v>
      </c>
      <c r="AH410" s="7" t="str">
        <f>IFERROR(IF([1]对账明细接口!$AD410=0,"",[1]对账明细接口!$AD410),"")</f>
        <v>果然鲜销售</v>
      </c>
      <c r="AI410" s="7">
        <f>IFERROR(IF([1]对账明细接口!$AE410=0,"",[1]对账明细接口!$AE410),"")</f>
        <v>40</v>
      </c>
      <c r="AJ410" s="7">
        <f>IFERROR(IF([1]对账明细接口!$AF410=0,"",[1]对账明细接口!$AF410),"")</f>
        <v>40</v>
      </c>
    </row>
    <row r="411" ht="14.25" customHeight="1" spans="1:36">
      <c r="A411" s="14">
        <v>411</v>
      </c>
      <c r="B411" s="15">
        <f>IFERROR(IF([1]对账明细接口!$B$411=0,"",[1]对账明细接口!$B$411),"")</f>
        <v>46280</v>
      </c>
      <c r="C411" s="16" t="str">
        <f>IFERROR(IF([1]对账明细接口!$C$411=0,"",[1]对账明细接口!$C$411),"")</f>
        <v>麦麦提</v>
      </c>
      <c r="D411" s="16" t="str">
        <f>IFERROR(IF([1]对账明细接口!$D$411=0,"",[1]对账明细接口!$D$411),"")</f>
        <v>成品出库－果然鲜送礼</v>
      </c>
      <c r="E411" s="16" t="str">
        <f>IFERROR(IF([1]对账明细接口!$E$411=0,"",[1]对账明细接口!$E$411),"")</f>
        <v>NO:0001149</v>
      </c>
      <c r="F411" s="16" t="str">
        <f>IFERROR(IF([1]对账明细接口!$F$411=0,"",[1]对账明细接口!$F$411),"")</f>
        <v>香梨</v>
      </c>
      <c r="G411" s="16" t="str">
        <f>IFERROR(IF([1]对账明细接口!$G$411=0,"",[1]对账明细接口!$G$411),"")</f>
        <v>香梨特级</v>
      </c>
      <c r="H411" s="17">
        <f>IFERROR(IF([1]对账明细接口!$H$411=0,"",[1]对账明细接口!$H$411),"")</f>
        <v>2</v>
      </c>
      <c r="I411" s="16" t="str">
        <f>IFERROR(IF([1]对账明细接口!$I$411=0,"",[1]对账明细接口!$I$411),"")</f>
        <v>箱</v>
      </c>
      <c r="J411" s="18">
        <f>IFERROR(IF([1]对账明细接口!$J$411=0,"",[1]对账明细接口!$J$411),"")</f>
        <v>10</v>
      </c>
      <c r="K411" s="18">
        <f>IFERROR(IF([1]对账明细接口!$K$411=0,"",[1]对账明细接口!$K$411),"")</f>
        <v>100</v>
      </c>
      <c r="L411" s="16" t="str">
        <f>IFERROR(IF([1]对账明细接口!$L$411=0,"",[1]对账明细接口!$L$411),"")</f>
        <v>已收讫</v>
      </c>
      <c r="M411" s="16" t="str">
        <f>IFERROR(IF([1]对账明细接口!$M$411=0,"",[1]对账明细接口!$M$411),"")</f>
        <v/>
      </c>
      <c r="N411" s="19">
        <f t="shared" si="12"/>
        <v>1</v>
      </c>
      <c r="O411" s="19">
        <f t="shared" si="13"/>
        <v>408</v>
      </c>
      <c r="S411" s="20" t="str">
        <f>IFERROR(IF([1]对账明细接口!$N411=0,"",[1]对账明细接口!$N411),"")</f>
        <v>纸箱</v>
      </c>
      <c r="T411" s="21" t="str">
        <f>IFERROR(IF([1]对账明细接口!$O411=0,"",[1]对账明细接口!$O411),"")</f>
        <v/>
      </c>
      <c r="U411" s="21" t="str">
        <f>IFERROR(IF([1]对账明细接口!$P411=0,"",[1]对账明细接口!$P411),"")</f>
        <v/>
      </c>
      <c r="V411" s="21" t="str">
        <f>IFERROR(IF([1]对账明细接口!$Q411=0,"",[1]对账明细接口!$Q411),"")</f>
        <v/>
      </c>
      <c r="W411" s="20" t="str">
        <f>IFERROR(IF([1]对账明细接口!$R411=0,"",[1]对账明细接口!$R411),"")</f>
        <v>新N*V5L92</v>
      </c>
      <c r="X411" s="20" t="str">
        <f>IFERROR(IF([1]对账明细接口!$S411=0,"",[1]对账明细接口!$S411),"")</f>
        <v>公司筐</v>
      </c>
      <c r="Y411" s="20" t="str">
        <f>IFERROR(IF([1]对账明细接口!$T411=0,"",[1]对账明细接口!$T411),"")</f>
        <v>麦麦提</v>
      </c>
      <c r="Z411" s="24">
        <f>IFERROR(IF([1]对账明细接口!$U411=0,"",[1]对账明细接口!$U411),"")</f>
        <v>30</v>
      </c>
      <c r="AA411" s="24">
        <f>IFERROR(IF([1]对账明细接口!$V411=0,"",[1]对账明细接口!$V411),"")</f>
        <v>60</v>
      </c>
      <c r="AB411" s="20" t="str">
        <f>IFERROR(IF([1]对账明细接口!$W411=0,"",[1]对账明细接口!$W411),"")</f>
        <v>未付款</v>
      </c>
      <c r="AC411" s="7" t="str">
        <f>IFERROR(IF([1]对账明细接口!$X411=0,"",[1]对账明细接口!$X411),"")</f>
        <v>李四</v>
      </c>
      <c r="AD411" s="7">
        <f>IFERROR(IF([1]对账明细接口!$Y411=0,"",[1]对账明细接口!$Y411),"")</f>
        <v>40</v>
      </c>
      <c r="AE411" s="7" t="str">
        <f>IFERROR(IF([1]对账明细接口!$AA411=0,"",[1]对账明细接口!$AA411),"")</f>
        <v/>
      </c>
      <c r="AF411" s="7">
        <f>IFERROR(IF([1]对账明细接口!$AB411=0,"",[1]对账明细接口!$AB411),"")</f>
        <v>20</v>
      </c>
      <c r="AG411" s="7" t="str">
        <f>IFERROR(IF([1]对账明细接口!$AC411=0,"",[1]对账明细接口!$AC411),"")</f>
        <v/>
      </c>
      <c r="AH411" s="7" t="str">
        <f>IFERROR(IF([1]对账明细接口!$AD411=0,"",[1]对账明细接口!$AD411),"")</f>
        <v>果然鲜送礼</v>
      </c>
      <c r="AI411" s="7">
        <f>IFERROR(IF([1]对账明细接口!$AE411=0,"",[1]对账明细接口!$AE411),"")</f>
        <v>80</v>
      </c>
      <c r="AJ411" s="7">
        <f>IFERROR(IF([1]对账明细接口!$AF411=0,"",[1]对账明细接口!$AF411),"")</f>
        <v>60</v>
      </c>
    </row>
    <row r="412" ht="14.25" customHeight="1" spans="1:36">
      <c r="A412" s="14">
        <v>412</v>
      </c>
      <c r="B412" s="15">
        <f>IFERROR(IF([1]对账明细接口!$B$412=0,"",[1]对账明细接口!$B$412),"")</f>
        <v>46280</v>
      </c>
      <c r="C412" s="16" t="str">
        <f>IFERROR(IF([1]对账明细接口!$C$412=0,"",[1]对账明细接口!$C$412),"")</f>
        <v>热合曼</v>
      </c>
      <c r="D412" s="16" t="str">
        <f>IFERROR(IF([1]对账明细接口!$D$412=0,"",[1]对账明细接口!$D$412),"")</f>
        <v>成品出库－果然鲜福利</v>
      </c>
      <c r="E412" s="16" t="str">
        <f>IFERROR(IF([1]对账明细接口!$E$412=0,"",[1]对账明细接口!$E$412),"")</f>
        <v>NO:0001150</v>
      </c>
      <c r="F412" s="16" t="str">
        <f>IFERROR(IF([1]对账明细接口!$F$412=0,"",[1]对账明细接口!$F$412),"")</f>
        <v>香梨</v>
      </c>
      <c r="G412" s="16" t="str">
        <f>IFERROR(IF([1]对账明细接口!$G$412=0,"",[1]对账明细接口!$G$412),"")</f>
        <v>香梨一级</v>
      </c>
      <c r="H412" s="17">
        <f>IFERROR(IF([1]对账明细接口!$H$412=0,"",[1]对账明细接口!$H$412),"")</f>
        <v>3</v>
      </c>
      <c r="I412" s="16" t="str">
        <f>IFERROR(IF([1]对账明细接口!$I$412=0,"",[1]对账明细接口!$I$412),"")</f>
        <v>箱</v>
      </c>
      <c r="J412" s="18">
        <f>IFERROR(IF([1]对账明细接口!$J$412=0,"",[1]对账明细接口!$J$412),"")</f>
        <v>15</v>
      </c>
      <c r="K412" s="18">
        <f>IFERROR(IF([1]对账明细接口!$K$412=0,"",[1]对账明细接口!$K$412),"")</f>
        <v>130</v>
      </c>
      <c r="L412" s="16" t="str">
        <f>IFERROR(IF([1]对账明细接口!$L$412=0,"",[1]对账明细接口!$L$412),"")</f>
        <v>未收款</v>
      </c>
      <c r="M412" s="16" t="str">
        <f>IFERROR(IF([1]对账明细接口!$M$412=0,"",[1]对账明细接口!$M$412),"")</f>
        <v/>
      </c>
      <c r="N412" s="19">
        <f t="shared" si="12"/>
        <v>1</v>
      </c>
      <c r="O412" s="19">
        <f t="shared" si="13"/>
        <v>409</v>
      </c>
      <c r="S412" s="20" t="str">
        <f>IFERROR(IF([1]对账明细接口!$N412=0,"",[1]对账明细接口!$N412),"")</f>
        <v>纸箱</v>
      </c>
      <c r="T412" s="21" t="str">
        <f>IFERROR(IF([1]对账明细接口!$O412=0,"",[1]对账明细接口!$O412),"")</f>
        <v/>
      </c>
      <c r="U412" s="21" t="str">
        <f>IFERROR(IF([1]对账明细接口!$P412=0,"",[1]对账明细接口!$P412),"")</f>
        <v/>
      </c>
      <c r="V412" s="21" t="str">
        <f>IFERROR(IF([1]对账明细接口!$Q412=0,"",[1]对账明细接口!$Q412),"")</f>
        <v/>
      </c>
      <c r="W412" s="20" t="str">
        <f>IFERROR(IF([1]对账明细接口!$R412=0,"",[1]对账明细接口!$R412),"")</f>
        <v>新N*V5L92</v>
      </c>
      <c r="X412" s="20" t="str">
        <f>IFERROR(IF([1]对账明细接口!$S412=0,"",[1]对账明细接口!$S412),"")</f>
        <v>公司筐</v>
      </c>
      <c r="Y412" s="20" t="str">
        <f>IFERROR(IF([1]对账明细接口!$T412=0,"",[1]对账明细接口!$T412),"")</f>
        <v>热合曼</v>
      </c>
      <c r="Z412" s="24">
        <f>IFERROR(IF([1]对账明细接口!$U412=0,"",[1]对账明细接口!$U412),"")</f>
        <v>30</v>
      </c>
      <c r="AA412" s="24">
        <f>IFERROR(IF([1]对账明细接口!$V412=0,"",[1]对账明细接口!$V412),"")</f>
        <v>90</v>
      </c>
      <c r="AB412" s="20" t="str">
        <f>IFERROR(IF([1]对账明细接口!$W412=0,"",[1]对账明细接口!$W412),"")</f>
        <v>已付清</v>
      </c>
      <c r="AC412" s="7" t="str">
        <f>IFERROR(IF([1]对账明细接口!$X412=0,"",[1]对账明细接口!$X412),"")</f>
        <v>王二</v>
      </c>
      <c r="AD412" s="7">
        <f>IFERROR(IF([1]对账明细接口!$Y412=0,"",[1]对账明细接口!$Y412),"")</f>
        <v>40</v>
      </c>
      <c r="AE412" s="7">
        <f>IFERROR(IF([1]对账明细接口!$AA412=0,"",[1]对账明细接口!$AA412),"")</f>
        <v>10</v>
      </c>
      <c r="AF412" s="7" t="str">
        <f>IFERROR(IF([1]对账明细接口!$AB412=0,"",[1]对账明细接口!$AB412),"")</f>
        <v/>
      </c>
      <c r="AG412" s="7" t="str">
        <f>IFERROR(IF([1]对账明细接口!$AC412=0,"",[1]对账明细接口!$AC412),"")</f>
        <v/>
      </c>
      <c r="AH412" s="7" t="str">
        <f>IFERROR(IF([1]对账明细接口!$AD412=0,"",[1]对账明细接口!$AD412),"")</f>
        <v>果然鲜福利</v>
      </c>
      <c r="AI412" s="7">
        <f>IFERROR(IF([1]对账明细接口!$AE412=0,"",[1]对账明细接口!$AE412),"")</f>
        <v>120</v>
      </c>
      <c r="AJ412" s="7">
        <f>IFERROR(IF([1]对账明细接口!$AF412=0,"",[1]对账明细接口!$AF412),"")</f>
        <v>90</v>
      </c>
    </row>
    <row r="413" ht="14.25" customHeight="1" spans="1:36">
      <c r="A413" s="14">
        <v>413</v>
      </c>
      <c r="B413" s="15">
        <f>IFERROR(IF([1]对账明细接口!$B$413=0,"",[1]对账明细接口!$B$413),"")</f>
        <v>46280</v>
      </c>
      <c r="C413" s="16" t="str">
        <f>IFERROR(IF([1]对账明细接口!$C$413=0,"",[1]对账明细接口!$C$413),"")</f>
        <v>王灵云</v>
      </c>
      <c r="D413" s="16" t="str">
        <f>IFERROR(IF([1]对账明细接口!$D$413=0,"",[1]对账明细接口!$D$413),"")</f>
        <v>成品出库－果然鲜商务</v>
      </c>
      <c r="E413" s="16" t="str">
        <f>IFERROR(IF([1]对账明细接口!$E$413=0,"",[1]对账明细接口!$E$413),"")</f>
        <v>NO:0001151</v>
      </c>
      <c r="F413" s="16" t="str">
        <f>IFERROR(IF([1]对账明细接口!$F$413=0,"",[1]对账明细接口!$F$413),"")</f>
        <v>香梨</v>
      </c>
      <c r="G413" s="16" t="str">
        <f>IFERROR(IF([1]对账明细接口!$G$413=0,"",[1]对账明细接口!$G$413),"")</f>
        <v>香梨一级</v>
      </c>
      <c r="H413" s="17">
        <f>IFERROR(IF([1]对账明细接口!$H$413=0,"",[1]对账明细接口!$H$413),"")</f>
        <v>4</v>
      </c>
      <c r="I413" s="16" t="str">
        <f>IFERROR(IF([1]对账明细接口!$I$413=0,"",[1]对账明细接口!$I$413),"")</f>
        <v>箱</v>
      </c>
      <c r="J413" s="18">
        <f>IFERROR(IF([1]对账明细接口!$J$413=0,"",[1]对账明细接口!$J$413),"")</f>
        <v>20</v>
      </c>
      <c r="K413" s="18">
        <f>IFERROR(IF([1]对账明细接口!$K$413=0,"",[1]对账明细接口!$K$413),"")</f>
        <v>160</v>
      </c>
      <c r="L413" s="16" t="str">
        <f>IFERROR(IF([1]对账明细接口!$L$413=0,"",[1]对账明细接口!$L$413),"")</f>
        <v>已收讫</v>
      </c>
      <c r="M413" s="16" t="str">
        <f>IFERROR(IF([1]对账明细接口!$M$413=0,"",[1]对账明细接口!$M$413),"")</f>
        <v/>
      </c>
      <c r="N413" s="19">
        <f t="shared" si="12"/>
        <v>1</v>
      </c>
      <c r="O413" s="19">
        <f t="shared" si="13"/>
        <v>410</v>
      </c>
      <c r="S413" s="20" t="str">
        <f>IFERROR(IF([1]对账明细接口!$N413=0,"",[1]对账明细接口!$N413),"")</f>
        <v>纸箱</v>
      </c>
      <c r="T413" s="21" t="str">
        <f>IFERROR(IF([1]对账明细接口!$O413=0,"",[1]对账明细接口!$O413),"")</f>
        <v/>
      </c>
      <c r="U413" s="21" t="str">
        <f>IFERROR(IF([1]对账明细接口!$P413=0,"",[1]对账明细接口!$P413),"")</f>
        <v/>
      </c>
      <c r="V413" s="21" t="str">
        <f>IFERROR(IF([1]对账明细接口!$Q413=0,"",[1]对账明细接口!$Q413),"")</f>
        <v/>
      </c>
      <c r="W413" s="20" t="str">
        <f>IFERROR(IF([1]对账明细接口!$R413=0,"",[1]对账明细接口!$R413),"")</f>
        <v>新N*V5L92</v>
      </c>
      <c r="X413" s="20" t="str">
        <f>IFERROR(IF([1]对账明细接口!$S413=0,"",[1]对账明细接口!$S413),"")</f>
        <v>公司筐</v>
      </c>
      <c r="Y413" s="20" t="str">
        <f>IFERROR(IF([1]对账明细接口!$T413=0,"",[1]对账明细接口!$T413),"")</f>
        <v>王灵云</v>
      </c>
      <c r="Z413" s="24">
        <f>IFERROR(IF([1]对账明细接口!$U413=0,"",[1]对账明细接口!$U413),"")</f>
        <v>30</v>
      </c>
      <c r="AA413" s="24">
        <f>IFERROR(IF([1]对账明细接口!$V413=0,"",[1]对账明细接口!$V413),"")</f>
        <v>120</v>
      </c>
      <c r="AB413" s="20" t="str">
        <f>IFERROR(IF([1]对账明细接口!$W413=0,"",[1]对账明细接口!$W413),"")</f>
        <v>未付款</v>
      </c>
      <c r="AC413" s="7" t="str">
        <f>IFERROR(IF([1]对账明细接口!$X413=0,"",[1]对账明细接口!$X413),"")</f>
        <v>赵一</v>
      </c>
      <c r="AD413" s="7">
        <f>IFERROR(IF([1]对账明细接口!$Y413=0,"",[1]对账明细接口!$Y413),"")</f>
        <v>40</v>
      </c>
      <c r="AE413" s="7" t="str">
        <f>IFERROR(IF([1]对账明细接口!$AA413=0,"",[1]对账明细接口!$AA413),"")</f>
        <v/>
      </c>
      <c r="AF413" s="7" t="str">
        <f>IFERROR(IF([1]对账明细接口!$AB413=0,"",[1]对账明细接口!$AB413),"")</f>
        <v/>
      </c>
      <c r="AG413" s="7">
        <f>IFERROR(IF([1]对账明细接口!$AC413=0,"",[1]对账明细接口!$AC413),"")</f>
        <v>12</v>
      </c>
      <c r="AH413" s="7" t="str">
        <f>IFERROR(IF([1]对账明细接口!$AD413=0,"",[1]对账明细接口!$AD413),"")</f>
        <v>果然鲜商务</v>
      </c>
      <c r="AI413" s="7">
        <f>IFERROR(IF([1]对账明细接口!$AE413=0,"",[1]对账明细接口!$AE413),"")</f>
        <v>160</v>
      </c>
      <c r="AJ413" s="7">
        <f>IFERROR(IF([1]对账明细接口!$AF413=0,"",[1]对账明细接口!$AF413),"")</f>
        <v>132</v>
      </c>
    </row>
    <row r="414" ht="14.25" customHeight="1" spans="1:36">
      <c r="A414" s="14">
        <v>414</v>
      </c>
      <c r="B414" s="15">
        <f>IFERROR(IF([1]对账明细接口!$B$414=0,"",[1]对账明细接口!$B$414),"")</f>
        <v>46281</v>
      </c>
      <c r="C414" s="16" t="str">
        <f>IFERROR(IF([1]对账明细接口!$C$414=0,"",[1]对账明细接口!$C$414),"")</f>
        <v>王照雪</v>
      </c>
      <c r="D414" s="16" t="str">
        <f>IFERROR(IF([1]对账明细接口!$D$414=0,"",[1]对账明细接口!$D$414),"")</f>
        <v>成品出库－成品出库</v>
      </c>
      <c r="E414" s="16" t="str">
        <f>IFERROR(IF([1]对账明细接口!$E$414=0,"",[1]对账明细接口!$E$414),"")</f>
        <v>NO:0001154</v>
      </c>
      <c r="F414" s="16" t="str">
        <f>IFERROR(IF([1]对账明细接口!$F$414=0,"",[1]对账明细接口!$F$414),"")</f>
        <v>苹果</v>
      </c>
      <c r="G414" s="16" t="str">
        <f>IFERROR(IF([1]对账明细接口!$G$414=0,"",[1]对账明细接口!$G$414),"")</f>
        <v>新世纪一级</v>
      </c>
      <c r="H414" s="17">
        <f>IFERROR(IF([1]对账明细接口!$H$414=0,"",[1]对账明细接口!$H$414),"")</f>
        <v>29</v>
      </c>
      <c r="I414" s="16" t="str">
        <f>IFERROR(IF([1]对账明细接口!$I$414=0,"",[1]对账明细接口!$I$414),"")</f>
        <v>箱</v>
      </c>
      <c r="J414" s="18">
        <f>IFERROR(IF([1]对账明细接口!$J$414=0,"",[1]对账明细接口!$J$414),"")</f>
        <v>147.9</v>
      </c>
      <c r="K414" s="18" t="str">
        <f>IFERROR(IF([1]对账明细接口!$K$414=0,"",[1]对账明细接口!$K$414),"")</f>
        <v/>
      </c>
      <c r="L414" s="16" t="str">
        <f>IFERROR(IF([1]对账明细接口!$L$414=0,"",[1]对账明细接口!$L$414),"")</f>
        <v/>
      </c>
      <c r="M414" s="16" t="str">
        <f>IFERROR(IF([1]对账明细接口!$M$414=0,"",[1]对账明细接口!$M$414),"")</f>
        <v/>
      </c>
      <c r="N414" s="19">
        <f t="shared" si="12"/>
        <v>1</v>
      </c>
      <c r="O414" s="19">
        <f t="shared" si="13"/>
        <v>411</v>
      </c>
      <c r="S414" s="20" t="str">
        <f>IFERROR(IF([1]对账明细接口!$N414=0,"",[1]对账明细接口!$N414),"")</f>
        <v>纸箱</v>
      </c>
      <c r="T414" s="21" t="str">
        <f>IFERROR(IF([1]对账明细接口!$O414=0,"",[1]对账明细接口!$O414),"")</f>
        <v/>
      </c>
      <c r="U414" s="21" t="str">
        <f>IFERROR(IF([1]对账明细接口!$P414=0,"",[1]对账明细接口!$P414),"")</f>
        <v/>
      </c>
      <c r="V414" s="21" t="str">
        <f>IFERROR(IF([1]对账明细接口!$Q414=0,"",[1]对账明细接口!$Q414),"")</f>
        <v/>
      </c>
      <c r="W414" s="20" t="str">
        <f>IFERROR(IF([1]对账明细接口!$R414=0,"",[1]对账明细接口!$R414),"")</f>
        <v>豫N*P269J</v>
      </c>
      <c r="X414" s="20" t="str">
        <f>IFERROR(IF([1]对账明细接口!$S414=0,"",[1]对账明细接口!$S414),"")</f>
        <v>公司筐</v>
      </c>
      <c r="Y414" s="20" t="str">
        <f>IFERROR(IF([1]对账明细接口!$T414=0,"",[1]对账明细接口!$T414),"")</f>
        <v>王照雪</v>
      </c>
      <c r="Z414" s="24" t="str">
        <f>IFERROR(IF([1]对账明细接口!$U414=0,"",[1]对账明细接口!$U414),"")</f>
        <v/>
      </c>
      <c r="AA414" s="24" t="str">
        <f>IFERROR(IF([1]对账明细接口!$V414=0,"",[1]对账明细接口!$V414),"")</f>
        <v/>
      </c>
      <c r="AB414" s="20" t="str">
        <f>IFERROR(IF([1]对账明细接口!$W414=0,"",[1]对账明细接口!$W414),"")</f>
        <v/>
      </c>
      <c r="AC414" s="7" t="str">
        <f>IFERROR(IF([1]对账明细接口!$X414=0,"",[1]对账明细接口!$X414),"")</f>
        <v>电商/主播</v>
      </c>
      <c r="AD414" s="7" t="str">
        <f>IFERROR(IF([1]对账明细接口!$Y414=0,"",[1]对账明细接口!$Y414),"")</f>
        <v/>
      </c>
      <c r="AE414" s="7" t="str">
        <f>IFERROR(IF([1]对账明细接口!$AA414=0,"",[1]对账明细接口!$AA414),"")</f>
        <v/>
      </c>
      <c r="AF414" s="7" t="str">
        <f>IFERROR(IF([1]对账明细接口!$AB414=0,"",[1]对账明细接口!$AB414),"")</f>
        <v/>
      </c>
      <c r="AG414" s="7" t="str">
        <f>IFERROR(IF([1]对账明细接口!$AC414=0,"",[1]对账明细接口!$AC414),"")</f>
        <v/>
      </c>
      <c r="AH414" s="7" t="str">
        <f>IFERROR(IF([1]对账明细接口!$AD414=0,"",[1]对账明细接口!$AD414),"")</f>
        <v>成品出库</v>
      </c>
      <c r="AI414" s="7" t="str">
        <f>IFERROR(IF([1]对账明细接口!$AE414=0,"",[1]对账明细接口!$AE414),"")</f>
        <v/>
      </c>
      <c r="AJ414" s="7" t="str">
        <f>IFERROR(IF([1]对账明细接口!$AF414=0,"",[1]对账明细接口!$AF414),"")</f>
        <v/>
      </c>
    </row>
    <row r="415" ht="14.25" customHeight="1" spans="1:36">
      <c r="A415" s="14">
        <v>415</v>
      </c>
      <c r="B415" s="15">
        <f>IFERROR(IF([1]对账明细接口!$B$415=0,"",[1]对账明细接口!$B$415),"")</f>
        <v>46281</v>
      </c>
      <c r="C415" s="16" t="str">
        <f>IFERROR(IF([1]对账明细接口!$C$415=0,"",[1]对账明细接口!$C$415),"")</f>
        <v>王照雪</v>
      </c>
      <c r="D415" s="16" t="str">
        <f>IFERROR(IF([1]对账明细接口!$D$415=0,"",[1]对账明细接口!$D$415),"")</f>
        <v>成品出库－成品出库</v>
      </c>
      <c r="E415" s="16" t="str">
        <f>IFERROR(IF([1]对账明细接口!$E$415=0,"",[1]对账明细接口!$E$415),"")</f>
        <v>NO:0001154</v>
      </c>
      <c r="F415" s="16" t="str">
        <f>IFERROR(IF([1]对账明细接口!$F$415=0,"",[1]对账明细接口!$F$415),"")</f>
        <v>苹果</v>
      </c>
      <c r="G415" s="16" t="str">
        <f>IFERROR(IF([1]对账明细接口!$G$415=0,"",[1]对账明细接口!$G$415),"")</f>
        <v>新世纪一级</v>
      </c>
      <c r="H415" s="17">
        <f>IFERROR(IF([1]对账明细接口!$H$415=0,"",[1]对账明细接口!$H$415),"")</f>
        <v>1</v>
      </c>
      <c r="I415" s="16" t="str">
        <f>IFERROR(IF([1]对账明细接口!$I$415=0,"",[1]对账明细接口!$I$415),"")</f>
        <v>箱</v>
      </c>
      <c r="J415" s="18">
        <f>IFERROR(IF([1]对账明细接口!$J$415=0,"",[1]对账明细接口!$J$415),"")</f>
        <v>2.6</v>
      </c>
      <c r="K415" s="18" t="str">
        <f>IFERROR(IF([1]对账明细接口!$K$415=0,"",[1]对账明细接口!$K$415),"")</f>
        <v/>
      </c>
      <c r="L415" s="16" t="str">
        <f>IFERROR(IF([1]对账明细接口!$L$415=0,"",[1]对账明细接口!$L$415),"")</f>
        <v/>
      </c>
      <c r="M415" s="16" t="str">
        <f>IFERROR(IF([1]对账明细接口!$M$415=0,"",[1]对账明细接口!$M$415),"")</f>
        <v/>
      </c>
      <c r="N415" s="19">
        <f t="shared" si="12"/>
        <v>1</v>
      </c>
      <c r="O415" s="19">
        <f t="shared" si="13"/>
        <v>412</v>
      </c>
      <c r="S415" s="20" t="str">
        <f>IFERROR(IF([1]对账明细接口!$N415=0,"",[1]对账明细接口!$N415),"")</f>
        <v>纸箱</v>
      </c>
      <c r="T415" s="21" t="str">
        <f>IFERROR(IF([1]对账明细接口!$O415=0,"",[1]对账明细接口!$O415),"")</f>
        <v/>
      </c>
      <c r="U415" s="21" t="str">
        <f>IFERROR(IF([1]对账明细接口!$P415=0,"",[1]对账明细接口!$P415),"")</f>
        <v/>
      </c>
      <c r="V415" s="21" t="str">
        <f>IFERROR(IF([1]对账明细接口!$Q415=0,"",[1]对账明细接口!$Q415),"")</f>
        <v/>
      </c>
      <c r="W415" s="20" t="str">
        <f>IFERROR(IF([1]对账明细接口!$R415=0,"",[1]对账明细接口!$R415),"")</f>
        <v>豫N*P269J</v>
      </c>
      <c r="X415" s="20" t="str">
        <f>IFERROR(IF([1]对账明细接口!$S415=0,"",[1]对账明细接口!$S415),"")</f>
        <v>公司筐</v>
      </c>
      <c r="Y415" s="20" t="str">
        <f>IFERROR(IF([1]对账明细接口!$T415=0,"",[1]对账明细接口!$T415),"")</f>
        <v>王照雪</v>
      </c>
      <c r="Z415" s="24" t="str">
        <f>IFERROR(IF([1]对账明细接口!$U415=0,"",[1]对账明细接口!$U415),"")</f>
        <v/>
      </c>
      <c r="AA415" s="24" t="str">
        <f>IFERROR(IF([1]对账明细接口!$V415=0,"",[1]对账明细接口!$V415),"")</f>
        <v/>
      </c>
      <c r="AB415" s="20" t="str">
        <f>IFERROR(IF([1]对账明细接口!$W415=0,"",[1]对账明细接口!$W415),"")</f>
        <v/>
      </c>
      <c r="AC415" s="7" t="str">
        <f>IFERROR(IF([1]对账明细接口!$X415=0,"",[1]对账明细接口!$X415),"")</f>
        <v>电商/主播</v>
      </c>
      <c r="AD415" s="7" t="str">
        <f>IFERROR(IF([1]对账明细接口!$Y415=0,"",[1]对账明细接口!$Y415),"")</f>
        <v/>
      </c>
      <c r="AE415" s="7" t="str">
        <f>IFERROR(IF([1]对账明细接口!$AA415=0,"",[1]对账明细接口!$AA415),"")</f>
        <v/>
      </c>
      <c r="AF415" s="7" t="str">
        <f>IFERROR(IF([1]对账明细接口!$AB415=0,"",[1]对账明细接口!$AB415),"")</f>
        <v/>
      </c>
      <c r="AG415" s="7" t="str">
        <f>IFERROR(IF([1]对账明细接口!$AC415=0,"",[1]对账明细接口!$AC415),"")</f>
        <v/>
      </c>
      <c r="AH415" s="7" t="str">
        <f>IFERROR(IF([1]对账明细接口!$AD415=0,"",[1]对账明细接口!$AD415),"")</f>
        <v>成品出库</v>
      </c>
      <c r="AI415" s="7" t="str">
        <f>IFERROR(IF([1]对账明细接口!$AE415=0,"",[1]对账明细接口!$AE415),"")</f>
        <v/>
      </c>
      <c r="AJ415" s="7" t="str">
        <f>IFERROR(IF([1]对账明细接口!$AF415=0,"",[1]对账明细接口!$AF415),"")</f>
        <v/>
      </c>
    </row>
    <row r="416" ht="14.25" customHeight="1" spans="1:36">
      <c r="A416" s="14">
        <v>416</v>
      </c>
      <c r="B416" s="15">
        <f>IFERROR(IF([1]对账明细接口!$B$416=0,"",[1]对账明细接口!$B$416),"")</f>
        <v>46281</v>
      </c>
      <c r="C416" s="16" t="str">
        <f>IFERROR(IF([1]对账明细接口!$C$416=0,"",[1]对账明细接口!$C$416),"")</f>
        <v>王照雪</v>
      </c>
      <c r="D416" s="16" t="str">
        <f>IFERROR(IF([1]对账明细接口!$D$416=0,"",[1]对账明细接口!$D$416),"")</f>
        <v>成品出库－成品出库</v>
      </c>
      <c r="E416" s="16" t="str">
        <f>IFERROR(IF([1]对账明细接口!$E$416=0,"",[1]对账明细接口!$E$416),"")</f>
        <v>NO:0001154</v>
      </c>
      <c r="F416" s="16" t="str">
        <f>IFERROR(IF([1]对账明细接口!$F$416=0,"",[1]对账明细接口!$F$416),"")</f>
        <v>香梨</v>
      </c>
      <c r="G416" s="16" t="str">
        <f>IFERROR(IF([1]对账明细接口!$G$416=0,"",[1]对账明细接口!$G$416),"")</f>
        <v>香梨一级</v>
      </c>
      <c r="H416" s="17">
        <f>IFERROR(IF([1]对账明细接口!$H$416=0,"",[1]对账明细接口!$H$416),"")</f>
        <v>3</v>
      </c>
      <c r="I416" s="16" t="str">
        <f>IFERROR(IF([1]对账明细接口!$I$416=0,"",[1]对账明细接口!$I$416),"")</f>
        <v>箱</v>
      </c>
      <c r="J416" s="18">
        <f>IFERROR(IF([1]对账明细接口!$J$416=0,"",[1]对账明细接口!$J$416),"")</f>
        <v>15</v>
      </c>
      <c r="K416" s="18" t="str">
        <f>IFERROR(IF([1]对账明细接口!$K$416=0,"",[1]对账明细接口!$K$416),"")</f>
        <v/>
      </c>
      <c r="L416" s="16" t="str">
        <f>IFERROR(IF([1]对账明细接口!$L$416=0,"",[1]对账明细接口!$L$416),"")</f>
        <v/>
      </c>
      <c r="M416" s="16" t="str">
        <f>IFERROR(IF([1]对账明细接口!$M$416=0,"",[1]对账明细接口!$M$416),"")</f>
        <v/>
      </c>
      <c r="N416" s="19">
        <f t="shared" si="12"/>
        <v>1</v>
      </c>
      <c r="O416" s="19">
        <f t="shared" si="13"/>
        <v>413</v>
      </c>
      <c r="S416" s="20" t="str">
        <f>IFERROR(IF([1]对账明细接口!$N416=0,"",[1]对账明细接口!$N416),"")</f>
        <v>纸箱</v>
      </c>
      <c r="T416" s="21" t="str">
        <f>IFERROR(IF([1]对账明细接口!$O416=0,"",[1]对账明细接口!$O416),"")</f>
        <v/>
      </c>
      <c r="U416" s="21" t="str">
        <f>IFERROR(IF([1]对账明细接口!$P416=0,"",[1]对账明细接口!$P416),"")</f>
        <v/>
      </c>
      <c r="V416" s="21" t="str">
        <f>IFERROR(IF([1]对账明细接口!$Q416=0,"",[1]对账明细接口!$Q416),"")</f>
        <v/>
      </c>
      <c r="W416" s="20" t="str">
        <f>IFERROR(IF([1]对账明细接口!$R416=0,"",[1]对账明细接口!$R416),"")</f>
        <v>豫N*P269J</v>
      </c>
      <c r="X416" s="20" t="str">
        <f>IFERROR(IF([1]对账明细接口!$S416=0,"",[1]对账明细接口!$S416),"")</f>
        <v>公司筐</v>
      </c>
      <c r="Y416" s="20" t="str">
        <f>IFERROR(IF([1]对账明细接口!$T416=0,"",[1]对账明细接口!$T416),"")</f>
        <v>王照雪</v>
      </c>
      <c r="Z416" s="24" t="str">
        <f>IFERROR(IF([1]对账明细接口!$U416=0,"",[1]对账明细接口!$U416),"")</f>
        <v/>
      </c>
      <c r="AA416" s="24" t="str">
        <f>IFERROR(IF([1]对账明细接口!$V416=0,"",[1]对账明细接口!$V416),"")</f>
        <v/>
      </c>
      <c r="AB416" s="20" t="str">
        <f>IFERROR(IF([1]对账明细接口!$W416=0,"",[1]对账明细接口!$W416),"")</f>
        <v/>
      </c>
      <c r="AC416" s="7" t="str">
        <f>IFERROR(IF([1]对账明细接口!$X416=0,"",[1]对账明细接口!$X416),"")</f>
        <v>电商/主播</v>
      </c>
      <c r="AD416" s="7" t="str">
        <f>IFERROR(IF([1]对账明细接口!$Y416=0,"",[1]对账明细接口!$Y416),"")</f>
        <v/>
      </c>
      <c r="AE416" s="7" t="str">
        <f>IFERROR(IF([1]对账明细接口!$AA416=0,"",[1]对账明细接口!$AA416),"")</f>
        <v/>
      </c>
      <c r="AF416" s="7" t="str">
        <f>IFERROR(IF([1]对账明细接口!$AB416=0,"",[1]对账明细接口!$AB416),"")</f>
        <v/>
      </c>
      <c r="AG416" s="7" t="str">
        <f>IFERROR(IF([1]对账明细接口!$AC416=0,"",[1]对账明细接口!$AC416),"")</f>
        <v/>
      </c>
      <c r="AH416" s="7" t="str">
        <f>IFERROR(IF([1]对账明细接口!$AD416=0,"",[1]对账明细接口!$AD416),"")</f>
        <v>成品出库</v>
      </c>
      <c r="AI416" s="7" t="str">
        <f>IFERROR(IF([1]对账明细接口!$AE416=0,"",[1]对账明细接口!$AE416),"")</f>
        <v/>
      </c>
      <c r="AJ416" s="7" t="str">
        <f>IFERROR(IF([1]对账明细接口!$AF416=0,"",[1]对账明细接口!$AF416),"")</f>
        <v/>
      </c>
    </row>
    <row r="417" ht="14.25" customHeight="1" spans="1:36">
      <c r="A417" s="14">
        <v>417</v>
      </c>
      <c r="B417" s="15">
        <f>IFERROR(IF([1]对账明细接口!$B$417=0,"",[1]对账明细接口!$B$417),"")</f>
        <v>46282</v>
      </c>
      <c r="C417" s="16" t="str">
        <f>IFERROR(IF([1]对账明细接口!$C$417=0,"",[1]对账明细接口!$C$417),"")</f>
        <v>王照雪</v>
      </c>
      <c r="D417" s="16" t="str">
        <f>IFERROR(IF([1]对账明细接口!$D$417=0,"",[1]对账明细接口!$D$417),"")</f>
        <v>成品出库－成品出库</v>
      </c>
      <c r="E417" s="16" t="str">
        <f>IFERROR(IF([1]对账明细接口!$E$417=0,"",[1]对账明细接口!$E$417),"")</f>
        <v>NO:0001166</v>
      </c>
      <c r="F417" s="16" t="str">
        <f>IFERROR(IF([1]对账明细接口!$F$417=0,"",[1]对账明细接口!$F$417),"")</f>
        <v>苹果</v>
      </c>
      <c r="G417" s="16" t="str">
        <f>IFERROR(IF([1]对账明细接口!$G$417=0,"",[1]对账明细接口!$G$417),"")</f>
        <v>苹果扎伤</v>
      </c>
      <c r="H417" s="17">
        <f>IFERROR(IF([1]对账明细接口!$H$417=0,"",[1]对账明细接口!$H$417),"")</f>
        <v>25</v>
      </c>
      <c r="I417" s="16" t="str">
        <f>IFERROR(IF([1]对账明细接口!$I$417=0,"",[1]对账明细接口!$I$417),"")</f>
        <v>筐</v>
      </c>
      <c r="J417" s="18">
        <f>IFERROR(IF([1]对账明细接口!$J$417=0,"",[1]对账明细接口!$J$417),"")</f>
        <v>440</v>
      </c>
      <c r="K417" s="18" t="str">
        <f>IFERROR(IF([1]对账明细接口!$K$417=0,"",[1]对账明细接口!$K$417),"")</f>
        <v/>
      </c>
      <c r="L417" s="16" t="str">
        <f>IFERROR(IF([1]对账明细接口!$L$417=0,"",[1]对账明细接口!$L$417),"")</f>
        <v/>
      </c>
      <c r="M417" s="16" t="str">
        <f>IFERROR(IF([1]对账明细接口!$M$417=0,"",[1]对账明细接口!$M$417),"")</f>
        <v/>
      </c>
      <c r="N417" s="19">
        <f t="shared" si="12"/>
        <v>1</v>
      </c>
      <c r="O417" s="19">
        <f t="shared" si="13"/>
        <v>414</v>
      </c>
      <c r="S417" s="20" t="str">
        <f>IFERROR(IF([1]对账明细接口!$N417=0,"",[1]对账明细接口!$N417),"")</f>
        <v>公司杂周转筐</v>
      </c>
      <c r="T417" s="21">
        <f>IFERROR(IF([1]对账明细接口!$O417=0,"",[1]对账明细接口!$O417),"")</f>
        <v>25</v>
      </c>
      <c r="U417" s="21" t="str">
        <f>IFERROR(IF([1]对账明细接口!$P417=0,"",[1]对账明细接口!$P417),"")</f>
        <v/>
      </c>
      <c r="V417" s="21" t="str">
        <f>IFERROR(IF([1]对账明细接口!$Q417=0,"",[1]对账明细接口!$Q417),"")</f>
        <v/>
      </c>
      <c r="W417" s="20" t="str">
        <f>IFERROR(IF([1]对账明细接口!$R417=0,"",[1]对账明细接口!$R417),"")</f>
        <v>新N*GG901</v>
      </c>
      <c r="X417" s="20" t="str">
        <f>IFERROR(IF([1]对账明细接口!$S417=0,"",[1]对账明细接口!$S417),"")</f>
        <v>公司筐</v>
      </c>
      <c r="Y417" s="20" t="str">
        <f>IFERROR(IF([1]对账明细接口!$T417=0,"",[1]对账明细接口!$T417),"")</f>
        <v>王照雪</v>
      </c>
      <c r="Z417" s="24" t="str">
        <f>IFERROR(IF([1]对账明细接口!$U417=0,"",[1]对账明细接口!$U417),"")</f>
        <v/>
      </c>
      <c r="AA417" s="24" t="str">
        <f>IFERROR(IF([1]对账明细接口!$V417=0,"",[1]对账明细接口!$V417),"")</f>
        <v/>
      </c>
      <c r="AB417" s="20" t="str">
        <f>IFERROR(IF([1]对账明细接口!$W417=0,"",[1]对账明细接口!$W417),"")</f>
        <v/>
      </c>
      <c r="AC417" s="7" t="str">
        <f>IFERROR(IF([1]对账明细接口!$X417=0,"",[1]对账明细接口!$X417),"")</f>
        <v>王照雪</v>
      </c>
      <c r="AD417" s="7" t="str">
        <f>IFERROR(IF([1]对账明细接口!$Y417=0,"",[1]对账明细接口!$Y417),"")</f>
        <v/>
      </c>
      <c r="AE417" s="7" t="str">
        <f>IFERROR(IF([1]对账明细接口!$AA417=0,"",[1]对账明细接口!$AA417),"")</f>
        <v/>
      </c>
      <c r="AF417" s="7" t="str">
        <f>IFERROR(IF([1]对账明细接口!$AB417=0,"",[1]对账明细接口!$AB417),"")</f>
        <v/>
      </c>
      <c r="AG417" s="7" t="str">
        <f>IFERROR(IF([1]对账明细接口!$AC417=0,"",[1]对账明细接口!$AC417),"")</f>
        <v/>
      </c>
      <c r="AH417" s="7" t="str">
        <f>IFERROR(IF([1]对账明细接口!$AD417=0,"",[1]对账明细接口!$AD417),"")</f>
        <v>成品出库</v>
      </c>
      <c r="AI417" s="7" t="str">
        <f>IFERROR(IF([1]对账明细接口!$AE417=0,"",[1]对账明细接口!$AE417),"")</f>
        <v/>
      </c>
      <c r="AJ417" s="7" t="str">
        <f>IFERROR(IF([1]对账明细接口!$AF417=0,"",[1]对账明细接口!$AF417),"")</f>
        <v/>
      </c>
    </row>
    <row r="418" ht="14.25" customHeight="1" spans="1:36">
      <c r="A418" s="14">
        <v>418</v>
      </c>
      <c r="B418" s="15">
        <f>IFERROR(IF([1]对账明细接口!$B$418=0,"",[1]对账明细接口!$B$418),"")</f>
        <v>46282</v>
      </c>
      <c r="C418" s="16" t="str">
        <f>IFERROR(IF([1]对账明细接口!$C$418=0,"",[1]对账明细接口!$C$418),"")</f>
        <v>王照雪</v>
      </c>
      <c r="D418" s="16" t="str">
        <f>IFERROR(IF([1]对账明细接口!$D$418=0,"",[1]对账明细接口!$D$418),"")</f>
        <v>成品出库－成品出库</v>
      </c>
      <c r="E418" s="16" t="str">
        <f>IFERROR(IF([1]对账明细接口!$E$418=0,"",[1]对账明细接口!$E$418),"")</f>
        <v>NO:0001168</v>
      </c>
      <c r="F418" s="16" t="str">
        <f>IFERROR(IF([1]对账明细接口!$F$418=0,"",[1]对账明细接口!$F$418),"")</f>
        <v>苹果</v>
      </c>
      <c r="G418" s="16" t="str">
        <f>IFERROR(IF([1]对账明细接口!$G$418=0,"",[1]对账明细接口!$G$418),"")</f>
        <v>新世纪一级</v>
      </c>
      <c r="H418" s="17">
        <f>IFERROR(IF([1]对账明细接口!$H$418=0,"",[1]对账明细接口!$H$418),"")</f>
        <v>27</v>
      </c>
      <c r="I418" s="16" t="str">
        <f>IFERROR(IF([1]对账明细接口!$I$418=0,"",[1]对账明细接口!$I$418),"")</f>
        <v>箱</v>
      </c>
      <c r="J418" s="18">
        <f>IFERROR(IF([1]对账明细接口!$J$418=0,"",[1]对账明细接口!$J$418),"")</f>
        <v>137.7</v>
      </c>
      <c r="K418" s="18" t="str">
        <f>IFERROR(IF([1]对账明细接口!$K$418=0,"",[1]对账明细接口!$K$418),"")</f>
        <v/>
      </c>
      <c r="L418" s="16" t="str">
        <f>IFERROR(IF([1]对账明细接口!$L$418=0,"",[1]对账明细接口!$L$418),"")</f>
        <v/>
      </c>
      <c r="M418" s="16" t="str">
        <f>IFERROR(IF([1]对账明细接口!$M$418=0,"",[1]对账明细接口!$M$418),"")</f>
        <v/>
      </c>
      <c r="N418" s="19">
        <f t="shared" si="12"/>
        <v>1</v>
      </c>
      <c r="O418" s="19">
        <f t="shared" si="13"/>
        <v>415</v>
      </c>
      <c r="S418" s="20" t="str">
        <f>IFERROR(IF([1]对账明细接口!$N418=0,"",[1]对账明细接口!$N418),"")</f>
        <v>纸箱</v>
      </c>
      <c r="T418" s="21" t="str">
        <f>IFERROR(IF([1]对账明细接口!$O418=0,"",[1]对账明细接口!$O418),"")</f>
        <v/>
      </c>
      <c r="U418" s="21" t="str">
        <f>IFERROR(IF([1]对账明细接口!$P418=0,"",[1]对账明细接口!$P418),"")</f>
        <v/>
      </c>
      <c r="V418" s="21" t="str">
        <f>IFERROR(IF([1]对账明细接口!$Q418=0,"",[1]对账明细接口!$Q418),"")</f>
        <v/>
      </c>
      <c r="W418" s="20" t="str">
        <f>IFERROR(IF([1]对账明细接口!$R418=0,"",[1]对账明细接口!$R418),"")</f>
        <v>新N*V5L92</v>
      </c>
      <c r="X418" s="20" t="str">
        <f>IFERROR(IF([1]对账明细接口!$S418=0,"",[1]对账明细接口!$S418),"")</f>
        <v>公司筐</v>
      </c>
      <c r="Y418" s="20" t="str">
        <f>IFERROR(IF([1]对账明细接口!$T418=0,"",[1]对账明细接口!$T418),"")</f>
        <v>王照雪</v>
      </c>
      <c r="Z418" s="24" t="str">
        <f>IFERROR(IF([1]对账明细接口!$U418=0,"",[1]对账明细接口!$U418),"")</f>
        <v/>
      </c>
      <c r="AA418" s="24" t="str">
        <f>IFERROR(IF([1]对账明细接口!$V418=0,"",[1]对账明细接口!$V418),"")</f>
        <v/>
      </c>
      <c r="AB418" s="20" t="str">
        <f>IFERROR(IF([1]对账明细接口!$W418=0,"",[1]对账明细接口!$W418),"")</f>
        <v/>
      </c>
      <c r="AC418" s="7" t="str">
        <f>IFERROR(IF([1]对账明细接口!$X418=0,"",[1]对账明细接口!$X418),"")</f>
        <v>电商/主播</v>
      </c>
      <c r="AD418" s="7" t="str">
        <f>IFERROR(IF([1]对账明细接口!$Y418=0,"",[1]对账明细接口!$Y418),"")</f>
        <v/>
      </c>
      <c r="AE418" s="7" t="str">
        <f>IFERROR(IF([1]对账明细接口!$AA418=0,"",[1]对账明细接口!$AA418),"")</f>
        <v/>
      </c>
      <c r="AF418" s="7" t="str">
        <f>IFERROR(IF([1]对账明细接口!$AB418=0,"",[1]对账明细接口!$AB418),"")</f>
        <v/>
      </c>
      <c r="AG418" s="7" t="str">
        <f>IFERROR(IF([1]对账明细接口!$AC418=0,"",[1]对账明细接口!$AC418),"")</f>
        <v/>
      </c>
      <c r="AH418" s="7" t="str">
        <f>IFERROR(IF([1]对账明细接口!$AD418=0,"",[1]对账明细接口!$AD418),"")</f>
        <v>成品出库</v>
      </c>
      <c r="AI418" s="7" t="str">
        <f>IFERROR(IF([1]对账明细接口!$AE418=0,"",[1]对账明细接口!$AE418),"")</f>
        <v/>
      </c>
      <c r="AJ418" s="7" t="str">
        <f>IFERROR(IF([1]对账明细接口!$AF418=0,"",[1]对账明细接口!$AF418),"")</f>
        <v/>
      </c>
    </row>
    <row r="419" ht="14.25" customHeight="1" spans="1:36">
      <c r="A419" s="14">
        <v>419</v>
      </c>
      <c r="B419" s="15">
        <f>IFERROR(IF([1]对账明细接口!$B$419=0,"",[1]对账明细接口!$B$419),"")</f>
        <v>46282</v>
      </c>
      <c r="C419" s="16" t="str">
        <f>IFERROR(IF([1]对账明细接口!$C$419=0,"",[1]对账明细接口!$C$419),"")</f>
        <v>王照雪</v>
      </c>
      <c r="D419" s="16" t="str">
        <f>IFERROR(IF([1]对账明细接口!$D$419=0,"",[1]对账明细接口!$D$419),"")</f>
        <v>成品出库－成品出库</v>
      </c>
      <c r="E419" s="16" t="str">
        <f>IFERROR(IF([1]对账明细接口!$E$419=0,"",[1]对账明细接口!$E$419),"")</f>
        <v>NO:0001168</v>
      </c>
      <c r="F419" s="16" t="str">
        <f>IFERROR(IF([1]对账明细接口!$F$419=0,"",[1]对账明细接口!$F$419),"")</f>
        <v>香梨</v>
      </c>
      <c r="G419" s="16" t="str">
        <f>IFERROR(IF([1]对账明细接口!$G$419=0,"",[1]对账明细接口!$G$419),"")</f>
        <v>香梨一级</v>
      </c>
      <c r="H419" s="17">
        <f>IFERROR(IF([1]对账明细接口!$H$419=0,"",[1]对账明细接口!$H$419),"")</f>
        <v>24</v>
      </c>
      <c r="I419" s="16" t="str">
        <f>IFERROR(IF([1]对账明细接口!$I$419=0,"",[1]对账明细接口!$I$419),"")</f>
        <v>箱</v>
      </c>
      <c r="J419" s="18">
        <f>IFERROR(IF([1]对账明细接口!$J$419=0,"",[1]对账明细接口!$J$419),"")</f>
        <v>120</v>
      </c>
      <c r="K419" s="18" t="str">
        <f>IFERROR(IF([1]对账明细接口!$K$419=0,"",[1]对账明细接口!$K$419),"")</f>
        <v/>
      </c>
      <c r="L419" s="16" t="str">
        <f>IFERROR(IF([1]对账明细接口!$L$419=0,"",[1]对账明细接口!$L$419),"")</f>
        <v/>
      </c>
      <c r="M419" s="16" t="str">
        <f>IFERROR(IF([1]对账明细接口!$M$419=0,"",[1]对账明细接口!$M$419),"")</f>
        <v/>
      </c>
      <c r="N419" s="19">
        <f t="shared" si="12"/>
        <v>1</v>
      </c>
      <c r="O419" s="19">
        <f t="shared" si="13"/>
        <v>416</v>
      </c>
      <c r="S419" s="20" t="str">
        <f>IFERROR(IF([1]对账明细接口!$N419=0,"",[1]对账明细接口!$N419),"")</f>
        <v>纸箱</v>
      </c>
      <c r="T419" s="21" t="str">
        <f>IFERROR(IF([1]对账明细接口!$O419=0,"",[1]对账明细接口!$O419),"")</f>
        <v/>
      </c>
      <c r="U419" s="21" t="str">
        <f>IFERROR(IF([1]对账明细接口!$P419=0,"",[1]对账明细接口!$P419),"")</f>
        <v/>
      </c>
      <c r="V419" s="21" t="str">
        <f>IFERROR(IF([1]对账明细接口!$Q419=0,"",[1]对账明细接口!$Q419),"")</f>
        <v/>
      </c>
      <c r="W419" s="20" t="str">
        <f>IFERROR(IF([1]对账明细接口!$R419=0,"",[1]对账明细接口!$R419),"")</f>
        <v>新N*V5L92</v>
      </c>
      <c r="X419" s="20" t="str">
        <f>IFERROR(IF([1]对账明细接口!$S419=0,"",[1]对账明细接口!$S419),"")</f>
        <v>公司筐</v>
      </c>
      <c r="Y419" s="20" t="str">
        <f>IFERROR(IF([1]对账明细接口!$T419=0,"",[1]对账明细接口!$T419),"")</f>
        <v>王照雪</v>
      </c>
      <c r="Z419" s="24" t="str">
        <f>IFERROR(IF([1]对账明细接口!$U419=0,"",[1]对账明细接口!$U419),"")</f>
        <v/>
      </c>
      <c r="AA419" s="24" t="str">
        <f>IFERROR(IF([1]对账明细接口!$V419=0,"",[1]对账明细接口!$V419),"")</f>
        <v/>
      </c>
      <c r="AB419" s="20" t="str">
        <f>IFERROR(IF([1]对账明细接口!$W419=0,"",[1]对账明细接口!$W419),"")</f>
        <v/>
      </c>
      <c r="AC419" s="7" t="str">
        <f>IFERROR(IF([1]对账明细接口!$X419=0,"",[1]对账明细接口!$X419),"")</f>
        <v>电商/主播</v>
      </c>
      <c r="AD419" s="7" t="str">
        <f>IFERROR(IF([1]对账明细接口!$Y419=0,"",[1]对账明细接口!$Y419),"")</f>
        <v/>
      </c>
      <c r="AE419" s="7" t="str">
        <f>IFERROR(IF([1]对账明细接口!$AA419=0,"",[1]对账明细接口!$AA419),"")</f>
        <v/>
      </c>
      <c r="AF419" s="7" t="str">
        <f>IFERROR(IF([1]对账明细接口!$AB419=0,"",[1]对账明细接口!$AB419),"")</f>
        <v/>
      </c>
      <c r="AG419" s="7" t="str">
        <f>IFERROR(IF([1]对账明细接口!$AC419=0,"",[1]对账明细接口!$AC419),"")</f>
        <v/>
      </c>
      <c r="AH419" s="7" t="str">
        <f>IFERROR(IF([1]对账明细接口!$AD419=0,"",[1]对账明细接口!$AD419),"")</f>
        <v>成品出库</v>
      </c>
      <c r="AI419" s="7" t="str">
        <f>IFERROR(IF([1]对账明细接口!$AE419=0,"",[1]对账明细接口!$AE419),"")</f>
        <v/>
      </c>
      <c r="AJ419" s="7" t="str">
        <f>IFERROR(IF([1]对账明细接口!$AF419=0,"",[1]对账明细接口!$AF419),"")</f>
        <v/>
      </c>
    </row>
    <row r="420" ht="14.25" customHeight="1" spans="1:36">
      <c r="A420" s="14">
        <v>420</v>
      </c>
      <c r="B420" s="15">
        <f>IFERROR(IF([1]对账明细接口!$B$420=0,"",[1]对账明细接口!$B$420),"")</f>
        <v>46283</v>
      </c>
      <c r="C420" s="16" t="str">
        <f>IFERROR(IF([1]对账明细接口!$C$420=0,"",[1]对账明细接口!$C$420),"")</f>
        <v>王照雪</v>
      </c>
      <c r="D420" s="16" t="str">
        <f>IFERROR(IF([1]对账明细接口!$D$420=0,"",[1]对账明细接口!$D$420),"")</f>
        <v>成品出库－成品出库</v>
      </c>
      <c r="E420" s="16" t="str">
        <f>IFERROR(IF([1]对账明细接口!$E$420=0,"",[1]对账明细接口!$E$420),"")</f>
        <v>NO:0001175</v>
      </c>
      <c r="F420" s="16" t="str">
        <f>IFERROR(IF([1]对账明细接口!$F$420=0,"",[1]对账明细接口!$F$420),"")</f>
        <v>苹果</v>
      </c>
      <c r="G420" s="16" t="str">
        <f>IFERROR(IF([1]对账明细接口!$G$420=0,"",[1]对账明细接口!$G$420),"")</f>
        <v>新世纪一级</v>
      </c>
      <c r="H420" s="17">
        <f>IFERROR(IF([1]对账明细接口!$H$420=0,"",[1]对账明细接口!$H$420),"")</f>
        <v>486</v>
      </c>
      <c r="I420" s="16" t="str">
        <f>IFERROR(IF([1]对账明细接口!$I$420=0,"",[1]对账明细接口!$I$420),"")</f>
        <v>筐</v>
      </c>
      <c r="J420" s="18">
        <f>IFERROR(IF([1]对账明细接口!$J$420=0,"",[1]对账明细接口!$J$420),"")</f>
        <v>8748</v>
      </c>
      <c r="K420" s="18" t="str">
        <f>IFERROR(IF([1]对账明细接口!$K$420=0,"",[1]对账明细接口!$K$420),"")</f>
        <v/>
      </c>
      <c r="L420" s="16" t="str">
        <f>IFERROR(IF([1]对账明细接口!$L$420=0,"",[1]对账明细接口!$L$420),"")</f>
        <v/>
      </c>
      <c r="M420" s="16" t="str">
        <f>IFERROR(IF([1]对账明细接口!$M$420=0,"",[1]对账明细接口!$M$420),"")</f>
        <v/>
      </c>
      <c r="N420" s="19">
        <f t="shared" si="12"/>
        <v>1</v>
      </c>
      <c r="O420" s="19">
        <f t="shared" si="13"/>
        <v>417</v>
      </c>
      <c r="S420" s="20" t="str">
        <f>IFERROR(IF([1]对账明细接口!$N420=0,"",[1]对账明细接口!$N420),"")</f>
        <v>自备一次性筐</v>
      </c>
      <c r="T420" s="21">
        <f>IFERROR(IF([1]对账明细接口!$O420=0,"",[1]对账明细接口!$O420),"")</f>
        <v>486</v>
      </c>
      <c r="U420" s="21" t="str">
        <f>IFERROR(IF([1]对账明细接口!$P420=0,"",[1]对账明细接口!$P420),"")</f>
        <v/>
      </c>
      <c r="V420" s="21" t="str">
        <f>IFERROR(IF([1]对账明细接口!$Q420=0,"",[1]对账明细接口!$Q420),"")</f>
        <v/>
      </c>
      <c r="W420" s="20" t="str">
        <f>IFERROR(IF([1]对账明细接口!$R420=0,"",[1]对账明细接口!$R420),"")</f>
        <v>冀B*6E205</v>
      </c>
      <c r="X420" s="20" t="str">
        <f>IFERROR(IF([1]对账明细接口!$S420=0,"",[1]对账明细接口!$S420),"")</f>
        <v>自备筐</v>
      </c>
      <c r="Y420" s="20" t="str">
        <f>IFERROR(IF([1]对账明细接口!$T420=0,"",[1]对账明细接口!$T420),"")</f>
        <v>王照雪</v>
      </c>
      <c r="Z420" s="24" t="str">
        <f>IFERROR(IF([1]对账明细接口!$U420=0,"",[1]对账明细接口!$U420),"")</f>
        <v/>
      </c>
      <c r="AA420" s="24" t="str">
        <f>IFERROR(IF([1]对账明细接口!$V420=0,"",[1]对账明细接口!$V420),"")</f>
        <v/>
      </c>
      <c r="AB420" s="20" t="str">
        <f>IFERROR(IF([1]对账明细接口!$W420=0,"",[1]对账明细接口!$W420),"")</f>
        <v/>
      </c>
      <c r="AC420" s="7" t="str">
        <f>IFERROR(IF([1]对账明细接口!$X420=0,"",[1]对账明细接口!$X420),"")</f>
        <v>王照雪</v>
      </c>
      <c r="AD420" s="7" t="str">
        <f>IFERROR(IF([1]对账明细接口!$Y420=0,"",[1]对账明细接口!$Y420),"")</f>
        <v/>
      </c>
      <c r="AE420" s="7" t="str">
        <f>IFERROR(IF([1]对账明细接口!$AA420=0,"",[1]对账明细接口!$AA420),"")</f>
        <v/>
      </c>
      <c r="AF420" s="7" t="str">
        <f>IFERROR(IF([1]对账明细接口!$AB420=0,"",[1]对账明细接口!$AB420),"")</f>
        <v/>
      </c>
      <c r="AG420" s="7" t="str">
        <f>IFERROR(IF([1]对账明细接口!$AC420=0,"",[1]对账明细接口!$AC420),"")</f>
        <v/>
      </c>
      <c r="AH420" s="7" t="str">
        <f>IFERROR(IF([1]对账明细接口!$AD420=0,"",[1]对账明细接口!$AD420),"")</f>
        <v>成品出库</v>
      </c>
      <c r="AI420" s="7" t="str">
        <f>IFERROR(IF([1]对账明细接口!$AE420=0,"",[1]对账明细接口!$AE420),"")</f>
        <v/>
      </c>
      <c r="AJ420" s="7" t="str">
        <f>IFERROR(IF([1]对账明细接口!$AF420=0,"",[1]对账明细接口!$AF420),"")</f>
        <v/>
      </c>
    </row>
    <row r="421" ht="14.25" customHeight="1" spans="1:36">
      <c r="A421" s="14">
        <v>421</v>
      </c>
      <c r="B421" s="15">
        <f>IFERROR(IF([1]对账明细接口!$B$421=0,"",[1]对账明细接口!$B$421),"")</f>
        <v>46283</v>
      </c>
      <c r="C421" s="16" t="str">
        <f>IFERROR(IF([1]对账明细接口!$C$421=0,"",[1]对账明细接口!$C$421),"")</f>
        <v>王照雪</v>
      </c>
      <c r="D421" s="16" t="str">
        <f>IFERROR(IF([1]对账明细接口!$D$421=0,"",[1]对账明细接口!$D$421),"")</f>
        <v>成品出库－成品出库</v>
      </c>
      <c r="E421" s="16" t="str">
        <f>IFERROR(IF([1]对账明细接口!$E$421=0,"",[1]对账明细接口!$E$421),"")</f>
        <v>NO:0001175</v>
      </c>
      <c r="F421" s="16" t="str">
        <f>IFERROR(IF([1]对账明细接口!$F$421=0,"",[1]对账明细接口!$F$421),"")</f>
        <v>苹果</v>
      </c>
      <c r="G421" s="16" t="str">
        <f>IFERROR(IF([1]对账明细接口!$G$421=0,"",[1]对账明细接口!$G$421),"")</f>
        <v>新世纪一级</v>
      </c>
      <c r="H421" s="17">
        <f>IFERROR(IF([1]对账明细接口!$H$421=0,"",[1]对账明细接口!$H$421),"")</f>
        <v>1152</v>
      </c>
      <c r="I421" s="16" t="str">
        <f>IFERROR(IF([1]对账明细接口!$I$421=0,"",[1]对账明细接口!$I$421),"")</f>
        <v>箱</v>
      </c>
      <c r="J421" s="18">
        <f>IFERROR(IF([1]对账明细接口!$J$421=0,"",[1]对账明细接口!$J$421),"")</f>
        <v>5529.6</v>
      </c>
      <c r="K421" s="18" t="str">
        <f>IFERROR(IF([1]对账明细接口!$K$421=0,"",[1]对账明细接口!$K$421),"")</f>
        <v/>
      </c>
      <c r="L421" s="16" t="str">
        <f>IFERROR(IF([1]对账明细接口!$L$421=0,"",[1]对账明细接口!$L$421),"")</f>
        <v/>
      </c>
      <c r="M421" s="16" t="str">
        <f>IFERROR(IF([1]对账明细接口!$M$421=0,"",[1]对账明细接口!$M$421),"")</f>
        <v/>
      </c>
      <c r="N421" s="19">
        <f t="shared" si="12"/>
        <v>1</v>
      </c>
      <c r="O421" s="19">
        <f t="shared" si="13"/>
        <v>418</v>
      </c>
      <c r="S421" s="20" t="str">
        <f>IFERROR(IF([1]对账明细接口!$N421=0,"",[1]对账明细接口!$N421),"")</f>
        <v>纸箱</v>
      </c>
      <c r="T421" s="21" t="str">
        <f>IFERROR(IF([1]对账明细接口!$O421=0,"",[1]对账明细接口!$O421),"")</f>
        <v/>
      </c>
      <c r="U421" s="21" t="str">
        <f>IFERROR(IF([1]对账明细接口!$P421=0,"",[1]对账明细接口!$P421),"")</f>
        <v/>
      </c>
      <c r="V421" s="21" t="str">
        <f>IFERROR(IF([1]对账明细接口!$Q421=0,"",[1]对账明细接口!$Q421),"")</f>
        <v/>
      </c>
      <c r="W421" s="20" t="str">
        <f>IFERROR(IF([1]对账明细接口!$R421=0,"",[1]对账明细接口!$R421),"")</f>
        <v>冀B*6E205</v>
      </c>
      <c r="X421" s="20" t="str">
        <f>IFERROR(IF([1]对账明细接口!$S421=0,"",[1]对账明细接口!$S421),"")</f>
        <v>公司筐</v>
      </c>
      <c r="Y421" s="20" t="str">
        <f>IFERROR(IF([1]对账明细接口!$T421=0,"",[1]对账明细接口!$T421),"")</f>
        <v>王照雪</v>
      </c>
      <c r="Z421" s="24" t="str">
        <f>IFERROR(IF([1]对账明细接口!$U421=0,"",[1]对账明细接口!$U421),"")</f>
        <v/>
      </c>
      <c r="AA421" s="24" t="str">
        <f>IFERROR(IF([1]对账明细接口!$V421=0,"",[1]对账明细接口!$V421),"")</f>
        <v/>
      </c>
      <c r="AB421" s="20" t="str">
        <f>IFERROR(IF([1]对账明细接口!$W421=0,"",[1]对账明细接口!$W421),"")</f>
        <v/>
      </c>
      <c r="AC421" s="7" t="str">
        <f>IFERROR(IF([1]对账明细接口!$X421=0,"",[1]对账明细接口!$X421),"")</f>
        <v>王照雪</v>
      </c>
      <c r="AD421" s="7" t="str">
        <f>IFERROR(IF([1]对账明细接口!$Y421=0,"",[1]对账明细接口!$Y421),"")</f>
        <v/>
      </c>
      <c r="AE421" s="7" t="str">
        <f>IFERROR(IF([1]对账明细接口!$AA421=0,"",[1]对账明细接口!$AA421),"")</f>
        <v/>
      </c>
      <c r="AF421" s="7" t="str">
        <f>IFERROR(IF([1]对账明细接口!$AB421=0,"",[1]对账明细接口!$AB421),"")</f>
        <v/>
      </c>
      <c r="AG421" s="7" t="str">
        <f>IFERROR(IF([1]对账明细接口!$AC421=0,"",[1]对账明细接口!$AC421),"")</f>
        <v/>
      </c>
      <c r="AH421" s="7" t="str">
        <f>IFERROR(IF([1]对账明细接口!$AD421=0,"",[1]对账明细接口!$AD421),"")</f>
        <v>成品出库</v>
      </c>
      <c r="AI421" s="7" t="str">
        <f>IFERROR(IF([1]对账明细接口!$AE421=0,"",[1]对账明细接口!$AE421),"")</f>
        <v/>
      </c>
      <c r="AJ421" s="7" t="str">
        <f>IFERROR(IF([1]对账明细接口!$AF421=0,"",[1]对账明细接口!$AF421),"")</f>
        <v/>
      </c>
    </row>
    <row r="422" ht="14.25" customHeight="1" spans="1:36">
      <c r="A422" s="14">
        <v>422</v>
      </c>
      <c r="B422" s="15">
        <f>IFERROR(IF([1]对账明细接口!$B$422=0,"",[1]对账明细接口!$B$422),"")</f>
        <v>46283</v>
      </c>
      <c r="C422" s="16" t="str">
        <f>IFERROR(IF([1]对账明细接口!$C$422=0,"",[1]对账明细接口!$C$422),"")</f>
        <v>王照雪</v>
      </c>
      <c r="D422" s="16" t="str">
        <f>IFERROR(IF([1]对账明细接口!$D$422=0,"",[1]对账明细接口!$D$422),"")</f>
        <v>成品出库－成品出库</v>
      </c>
      <c r="E422" s="16" t="str">
        <f>IFERROR(IF([1]对账明细接口!$E$422=0,"",[1]对账明细接口!$E$422),"")</f>
        <v>NO:0001177</v>
      </c>
      <c r="F422" s="16" t="str">
        <f>IFERROR(IF([1]对账明细接口!$F$422=0,"",[1]对账明细接口!$F$422),"")</f>
        <v>苹果</v>
      </c>
      <c r="G422" s="16" t="str">
        <f>IFERROR(IF([1]对账明细接口!$G$422=0,"",[1]对账明细接口!$G$422),"")</f>
        <v>新世纪一级</v>
      </c>
      <c r="H422" s="17">
        <f>IFERROR(IF([1]对账明细接口!$H$422=0,"",[1]对账明细接口!$H$422),"")</f>
        <v>26</v>
      </c>
      <c r="I422" s="16" t="str">
        <f>IFERROR(IF([1]对账明细接口!$I$422=0,"",[1]对账明细接口!$I$422),"")</f>
        <v>箱</v>
      </c>
      <c r="J422" s="18">
        <f>IFERROR(IF([1]对账明细接口!$J$422=0,"",[1]对账明细接口!$J$422),"")</f>
        <v>132.6</v>
      </c>
      <c r="K422" s="18" t="str">
        <f>IFERROR(IF([1]对账明细接口!$K$422=0,"",[1]对账明细接口!$K$422),"")</f>
        <v/>
      </c>
      <c r="L422" s="16" t="str">
        <f>IFERROR(IF([1]对账明细接口!$L$422=0,"",[1]对账明细接口!$L$422),"")</f>
        <v/>
      </c>
      <c r="M422" s="16" t="str">
        <f>IFERROR(IF([1]对账明细接口!$M$422=0,"",[1]对账明细接口!$M$422),"")</f>
        <v/>
      </c>
      <c r="N422" s="19">
        <f t="shared" si="12"/>
        <v>1</v>
      </c>
      <c r="O422" s="19">
        <f t="shared" si="13"/>
        <v>419</v>
      </c>
      <c r="S422" s="20" t="str">
        <f>IFERROR(IF([1]对账明细接口!$N422=0,"",[1]对账明细接口!$N422),"")</f>
        <v>纸箱</v>
      </c>
      <c r="T422" s="21" t="str">
        <f>IFERROR(IF([1]对账明细接口!$O422=0,"",[1]对账明细接口!$O422),"")</f>
        <v/>
      </c>
      <c r="U422" s="21" t="str">
        <f>IFERROR(IF([1]对账明细接口!$P422=0,"",[1]对账明细接口!$P422),"")</f>
        <v/>
      </c>
      <c r="V422" s="21" t="str">
        <f>IFERROR(IF([1]对账明细接口!$Q422=0,"",[1]对账明细接口!$Q422),"")</f>
        <v/>
      </c>
      <c r="W422" s="20" t="str">
        <f>IFERROR(IF([1]对账明细接口!$R422=0,"",[1]对账明细接口!$R422),"")</f>
        <v>豫N*P269J</v>
      </c>
      <c r="X422" s="20" t="str">
        <f>IFERROR(IF([1]对账明细接口!$S422=0,"",[1]对账明细接口!$S422),"")</f>
        <v>公司筐</v>
      </c>
      <c r="Y422" s="20" t="str">
        <f>IFERROR(IF([1]对账明细接口!$T422=0,"",[1]对账明细接口!$T422),"")</f>
        <v>王照雪</v>
      </c>
      <c r="Z422" s="24" t="str">
        <f>IFERROR(IF([1]对账明细接口!$U422=0,"",[1]对账明细接口!$U422),"")</f>
        <v/>
      </c>
      <c r="AA422" s="24" t="str">
        <f>IFERROR(IF([1]对账明细接口!$V422=0,"",[1]对账明细接口!$V422),"")</f>
        <v/>
      </c>
      <c r="AB422" s="20" t="str">
        <f>IFERROR(IF([1]对账明细接口!$W422=0,"",[1]对账明细接口!$W422),"")</f>
        <v/>
      </c>
      <c r="AC422" s="7" t="str">
        <f>IFERROR(IF([1]对账明细接口!$X422=0,"",[1]对账明细接口!$X422),"")</f>
        <v>电商/主播</v>
      </c>
      <c r="AD422" s="7" t="str">
        <f>IFERROR(IF([1]对账明细接口!$Y422=0,"",[1]对账明细接口!$Y422),"")</f>
        <v/>
      </c>
      <c r="AE422" s="7" t="str">
        <f>IFERROR(IF([1]对账明细接口!$AA422=0,"",[1]对账明细接口!$AA422),"")</f>
        <v/>
      </c>
      <c r="AF422" s="7" t="str">
        <f>IFERROR(IF([1]对账明细接口!$AB422=0,"",[1]对账明细接口!$AB422),"")</f>
        <v/>
      </c>
      <c r="AG422" s="7" t="str">
        <f>IFERROR(IF([1]对账明细接口!$AC422=0,"",[1]对账明细接口!$AC422),"")</f>
        <v/>
      </c>
      <c r="AH422" s="7" t="str">
        <f>IFERROR(IF([1]对账明细接口!$AD422=0,"",[1]对账明细接口!$AD422),"")</f>
        <v>成品出库</v>
      </c>
      <c r="AI422" s="7" t="str">
        <f>IFERROR(IF([1]对账明细接口!$AE422=0,"",[1]对账明细接口!$AE422),"")</f>
        <v/>
      </c>
      <c r="AJ422" s="7" t="str">
        <f>IFERROR(IF([1]对账明细接口!$AF422=0,"",[1]对账明细接口!$AF422),"")</f>
        <v/>
      </c>
    </row>
    <row r="423" ht="14.25" customHeight="1" spans="1:36">
      <c r="A423" s="14">
        <v>423</v>
      </c>
      <c r="B423" s="15">
        <f>IFERROR(IF([1]对账明细接口!$B$423=0,"",[1]对账明细接口!$B$423),"")</f>
        <v>46283</v>
      </c>
      <c r="C423" s="16" t="str">
        <f>IFERROR(IF([1]对账明细接口!$C$423=0,"",[1]对账明细接口!$C$423),"")</f>
        <v>王照雪</v>
      </c>
      <c r="D423" s="16" t="str">
        <f>IFERROR(IF([1]对账明细接口!$D$423=0,"",[1]对账明细接口!$D$423),"")</f>
        <v>成品出库－成品出库</v>
      </c>
      <c r="E423" s="16" t="str">
        <f>IFERROR(IF([1]对账明细接口!$E$423=0,"",[1]对账明细接口!$E$423),"")</f>
        <v>NO:0001177</v>
      </c>
      <c r="F423" s="16" t="str">
        <f>IFERROR(IF([1]对账明细接口!$F$423=0,"",[1]对账明细接口!$F$423),"")</f>
        <v>苹果</v>
      </c>
      <c r="G423" s="16" t="str">
        <f>IFERROR(IF([1]对账明细接口!$G$423=0,"",[1]对账明细接口!$G$423),"")</f>
        <v>新世纪一级</v>
      </c>
      <c r="H423" s="17">
        <f>IFERROR(IF([1]对账明细接口!$H$423=0,"",[1]对账明细接口!$H$423),"")</f>
        <v>10</v>
      </c>
      <c r="I423" s="16" t="str">
        <f>IFERROR(IF([1]对账明细接口!$I$423=0,"",[1]对账明细接口!$I$423),"")</f>
        <v>箱</v>
      </c>
      <c r="J423" s="18">
        <f>IFERROR(IF([1]对账明细接口!$J$423=0,"",[1]对账明细接口!$J$423),"")</f>
        <v>50</v>
      </c>
      <c r="K423" s="18" t="str">
        <f>IFERROR(IF([1]对账明细接口!$K$423=0,"",[1]对账明细接口!$K$423),"")</f>
        <v/>
      </c>
      <c r="L423" s="16" t="str">
        <f>IFERROR(IF([1]对账明细接口!$L$423=0,"",[1]对账明细接口!$L$423),"")</f>
        <v/>
      </c>
      <c r="M423" s="16" t="str">
        <f>IFERROR(IF([1]对账明细接口!$M$423=0,"",[1]对账明细接口!$M$423),"")</f>
        <v/>
      </c>
      <c r="N423" s="19">
        <f t="shared" si="12"/>
        <v>1</v>
      </c>
      <c r="O423" s="19">
        <f t="shared" si="13"/>
        <v>420</v>
      </c>
      <c r="S423" s="20" t="str">
        <f>IFERROR(IF([1]对账明细接口!$N423=0,"",[1]对账明细接口!$N423),"")</f>
        <v>纸箱</v>
      </c>
      <c r="T423" s="21" t="str">
        <f>IFERROR(IF([1]对账明细接口!$O423=0,"",[1]对账明细接口!$O423),"")</f>
        <v/>
      </c>
      <c r="U423" s="21" t="str">
        <f>IFERROR(IF([1]对账明细接口!$P423=0,"",[1]对账明细接口!$P423),"")</f>
        <v/>
      </c>
      <c r="V423" s="21" t="str">
        <f>IFERROR(IF([1]对账明细接口!$Q423=0,"",[1]对账明细接口!$Q423),"")</f>
        <v/>
      </c>
      <c r="W423" s="20" t="str">
        <f>IFERROR(IF([1]对账明细接口!$R423=0,"",[1]对账明细接口!$R423),"")</f>
        <v>冀B*6E205</v>
      </c>
      <c r="X423" s="20" t="str">
        <f>IFERROR(IF([1]对账明细接口!$S423=0,"",[1]对账明细接口!$S423),"")</f>
        <v>公司筐</v>
      </c>
      <c r="Y423" s="20" t="str">
        <f>IFERROR(IF([1]对账明细接口!$T423=0,"",[1]对账明细接口!$T423),"")</f>
        <v>王照雪</v>
      </c>
      <c r="Z423" s="24" t="str">
        <f>IFERROR(IF([1]对账明细接口!$U423=0,"",[1]对账明细接口!$U423),"")</f>
        <v/>
      </c>
      <c r="AA423" s="24" t="str">
        <f>IFERROR(IF([1]对账明细接口!$V423=0,"",[1]对账明细接口!$V423),"")</f>
        <v/>
      </c>
      <c r="AB423" s="20" t="str">
        <f>IFERROR(IF([1]对账明细接口!$W423=0,"",[1]对账明细接口!$W423),"")</f>
        <v/>
      </c>
      <c r="AC423" s="7" t="str">
        <f>IFERROR(IF([1]对账明细接口!$X423=0,"",[1]对账明细接口!$X423),"")</f>
        <v>王照雪</v>
      </c>
      <c r="AD423" s="7" t="str">
        <f>IFERROR(IF([1]对账明细接口!$Y423=0,"",[1]对账明细接口!$Y423),"")</f>
        <v/>
      </c>
      <c r="AE423" s="7" t="str">
        <f>IFERROR(IF([1]对账明细接口!$AA423=0,"",[1]对账明细接口!$AA423),"")</f>
        <v/>
      </c>
      <c r="AF423" s="7" t="str">
        <f>IFERROR(IF([1]对账明细接口!$AB423=0,"",[1]对账明细接口!$AB423),"")</f>
        <v/>
      </c>
      <c r="AG423" s="7" t="str">
        <f>IFERROR(IF([1]对账明细接口!$AC423=0,"",[1]对账明细接口!$AC423),"")</f>
        <v/>
      </c>
      <c r="AH423" s="7" t="str">
        <f>IFERROR(IF([1]对账明细接口!$AD423=0,"",[1]对账明细接口!$AD423),"")</f>
        <v>成品出库</v>
      </c>
      <c r="AI423" s="7" t="str">
        <f>IFERROR(IF([1]对账明细接口!$AE423=0,"",[1]对账明细接口!$AE423),"")</f>
        <v/>
      </c>
      <c r="AJ423" s="7" t="str">
        <f>IFERROR(IF([1]对账明细接口!$AF423=0,"",[1]对账明细接口!$AF423),"")</f>
        <v/>
      </c>
    </row>
    <row r="424" ht="14.25" customHeight="1" spans="1:36">
      <c r="A424" s="14">
        <v>424</v>
      </c>
      <c r="B424" s="15" t="str">
        <f>IFERROR(IF([1]对账明细接口!$B$424=0,"",[1]对账明细接口!$B$424),"")</f>
        <v/>
      </c>
      <c r="C424" s="16" t="str">
        <f>IFERROR(IF([1]对账明细接口!$C$424=0,"",[1]对账明细接口!$C$424),"")</f>
        <v/>
      </c>
      <c r="D424" s="16" t="str">
        <f>IFERROR(IF([1]对账明细接口!$D$424=0,"",[1]对账明细接口!$D$424),"")</f>
        <v/>
      </c>
      <c r="E424" s="16" t="str">
        <f>IFERROR(IF([1]对账明细接口!$E$424=0,"",[1]对账明细接口!$E$424),"")</f>
        <v/>
      </c>
      <c r="F424" s="16" t="str">
        <f>IFERROR(IF([1]对账明细接口!$F$424=0,"",[1]对账明细接口!$F$424),"")</f>
        <v/>
      </c>
      <c r="G424" s="16" t="str">
        <f>IFERROR(IF([1]对账明细接口!$G$424=0,"",[1]对账明细接口!$G$424),"")</f>
        <v/>
      </c>
      <c r="H424" s="17" t="str">
        <f>IFERROR(IF([1]对账明细接口!$H$424=0,"",[1]对账明细接口!$H$424),"")</f>
        <v/>
      </c>
      <c r="I424" s="16" t="str">
        <f>IFERROR(IF([1]对账明细接口!$I$424=0,"",[1]对账明细接口!$I$424),"")</f>
        <v/>
      </c>
      <c r="J424" s="18" t="str">
        <f>IFERROR(IF([1]对账明细接口!$J$424=0,"",[1]对账明细接口!$J$424),"")</f>
        <v/>
      </c>
      <c r="K424" s="18" t="str">
        <f>IFERROR(IF([1]对账明细接口!$K$424=0,"",[1]对账明细接口!$K$424),"")</f>
        <v/>
      </c>
      <c r="L424" s="16" t="str">
        <f>IFERROR(IF([1]对账明细接口!$L$424=0,"",[1]对账明细接口!$L$424),"")</f>
        <v/>
      </c>
      <c r="M424" s="16" t="str">
        <f>IFERROR(IF([1]对账明细接口!$M$424=0,"",[1]对账明细接口!$M$424),"")</f>
        <v/>
      </c>
      <c r="N424" s="19">
        <f t="shared" si="12"/>
        <v>0</v>
      </c>
      <c r="O424" s="19">
        <f t="shared" si="13"/>
        <v>420</v>
      </c>
      <c r="S424" s="20" t="str">
        <f>IFERROR(IF([1]对账明细接口!$N424=0,"",[1]对账明细接口!$N424),"")</f>
        <v/>
      </c>
      <c r="T424" s="21" t="str">
        <f>IFERROR(IF([1]对账明细接口!$O424=0,"",[1]对账明细接口!$O424),"")</f>
        <v/>
      </c>
      <c r="U424" s="21" t="str">
        <f>IFERROR(IF([1]对账明细接口!$P424=0,"",[1]对账明细接口!$P424),"")</f>
        <v/>
      </c>
      <c r="V424" s="21" t="str">
        <f>IFERROR(IF([1]对账明细接口!$Q424=0,"",[1]对账明细接口!$Q424),"")</f>
        <v/>
      </c>
      <c r="W424" s="20" t="str">
        <f>IFERROR(IF([1]对账明细接口!$R424=0,"",[1]对账明细接口!$R424),"")</f>
        <v/>
      </c>
      <c r="X424" s="20" t="str">
        <f>IFERROR(IF([1]对账明细接口!$S424=0,"",[1]对账明细接口!$S424),"")</f>
        <v/>
      </c>
      <c r="Y424" s="20" t="str">
        <f>IFERROR(IF([1]对账明细接口!$T424=0,"",[1]对账明细接口!$T424),"")</f>
        <v/>
      </c>
      <c r="Z424" s="24" t="str">
        <f>IFERROR(IF([1]对账明细接口!$U424=0,"",[1]对账明细接口!$U424),"")</f>
        <v/>
      </c>
      <c r="AA424" s="24" t="str">
        <f>IFERROR(IF([1]对账明细接口!$V424=0,"",[1]对账明细接口!$V424),"")</f>
        <v/>
      </c>
      <c r="AB424" s="20" t="str">
        <f>IFERROR(IF([1]对账明细接口!$W424=0,"",[1]对账明细接口!$W424),"")</f>
        <v/>
      </c>
      <c r="AC424" s="7" t="str">
        <f>IFERROR(IF([1]对账明细接口!$X424=0,"",[1]对账明细接口!$X424),"")</f>
        <v/>
      </c>
      <c r="AD424" s="7" t="str">
        <f>IFERROR(IF([1]对账明细接口!$Y424=0,"",[1]对账明细接口!$Y424),"")</f>
        <v/>
      </c>
      <c r="AE424" s="7" t="str">
        <f>IFERROR(IF([1]对账明细接口!$AA424=0,"",[1]对账明细接口!$AA424),"")</f>
        <v/>
      </c>
      <c r="AF424" s="7" t="str">
        <f>IFERROR(IF([1]对账明细接口!$AB424=0,"",[1]对账明细接口!$AB424),"")</f>
        <v/>
      </c>
      <c r="AG424" s="7" t="str">
        <f>IFERROR(IF([1]对账明细接口!$AC424=0,"",[1]对账明细接口!$AC424),"")</f>
        <v/>
      </c>
      <c r="AH424" s="7" t="str">
        <f>IFERROR(IF([1]对账明细接口!$AD424=0,"",[1]对账明细接口!$AD424),"")</f>
        <v/>
      </c>
      <c r="AI424" s="7" t="str">
        <f>IFERROR(IF([1]对账明细接口!$AE424=0,"",[1]对账明细接口!$AE424),"")</f>
        <v/>
      </c>
      <c r="AJ424" s="7" t="str">
        <f>IFERROR(IF([1]对账明细接口!$AF424=0,"",[1]对账明细接口!$AF424),"")</f>
        <v/>
      </c>
    </row>
    <row r="425" ht="14.25" customHeight="1" spans="1:36">
      <c r="A425" s="14">
        <v>425</v>
      </c>
      <c r="B425" s="15" t="str">
        <f>IFERROR(IF([1]对账明细接口!$B$425=0,"",[1]对账明细接口!$B$425),"")</f>
        <v/>
      </c>
      <c r="C425" s="16" t="str">
        <f>IFERROR(IF([1]对账明细接口!$C$425=0,"",[1]对账明细接口!$C$425),"")</f>
        <v/>
      </c>
      <c r="D425" s="16" t="str">
        <f>IFERROR(IF([1]对账明细接口!$D$425=0,"",[1]对账明细接口!$D$425),"")</f>
        <v/>
      </c>
      <c r="E425" s="16" t="str">
        <f>IFERROR(IF([1]对账明细接口!$E$425=0,"",[1]对账明细接口!$E$425),"")</f>
        <v/>
      </c>
      <c r="F425" s="16" t="str">
        <f>IFERROR(IF([1]对账明细接口!$F$425=0,"",[1]对账明细接口!$F$425),"")</f>
        <v/>
      </c>
      <c r="G425" s="16" t="str">
        <f>IFERROR(IF([1]对账明细接口!$G$425=0,"",[1]对账明细接口!$G$425),"")</f>
        <v/>
      </c>
      <c r="H425" s="17" t="str">
        <f>IFERROR(IF([1]对账明细接口!$H$425=0,"",[1]对账明细接口!$H$425),"")</f>
        <v/>
      </c>
      <c r="I425" s="16" t="str">
        <f>IFERROR(IF([1]对账明细接口!$I$425=0,"",[1]对账明细接口!$I$425),"")</f>
        <v/>
      </c>
      <c r="J425" s="18" t="str">
        <f>IFERROR(IF([1]对账明细接口!$J$425=0,"",[1]对账明细接口!$J$425),"")</f>
        <v/>
      </c>
      <c r="K425" s="18" t="str">
        <f>IFERROR(IF([1]对账明细接口!$K$425=0,"",[1]对账明细接口!$K$425),"")</f>
        <v/>
      </c>
      <c r="L425" s="16" t="str">
        <f>IFERROR(IF([1]对账明细接口!$L$425=0,"",[1]对账明细接口!$L$425),"")</f>
        <v/>
      </c>
      <c r="M425" s="16" t="str">
        <f>IFERROR(IF([1]对账明细接口!$M$425=0,"",[1]对账明细接口!$M$425),"")</f>
        <v/>
      </c>
      <c r="N425" s="19">
        <f t="shared" si="12"/>
        <v>0</v>
      </c>
      <c r="O425" s="19">
        <f t="shared" si="13"/>
        <v>420</v>
      </c>
      <c r="S425" s="20" t="str">
        <f>IFERROR(IF([1]对账明细接口!$N425=0,"",[1]对账明细接口!$N425),"")</f>
        <v/>
      </c>
      <c r="T425" s="21" t="str">
        <f>IFERROR(IF([1]对账明细接口!$O425=0,"",[1]对账明细接口!$O425),"")</f>
        <v/>
      </c>
      <c r="U425" s="21" t="str">
        <f>IFERROR(IF([1]对账明细接口!$P425=0,"",[1]对账明细接口!$P425),"")</f>
        <v/>
      </c>
      <c r="V425" s="21" t="str">
        <f>IFERROR(IF([1]对账明细接口!$Q425=0,"",[1]对账明细接口!$Q425),"")</f>
        <v/>
      </c>
      <c r="W425" s="20" t="str">
        <f>IFERROR(IF([1]对账明细接口!$R425=0,"",[1]对账明细接口!$R425),"")</f>
        <v/>
      </c>
      <c r="X425" s="20" t="str">
        <f>IFERROR(IF([1]对账明细接口!$S425=0,"",[1]对账明细接口!$S425),"")</f>
        <v/>
      </c>
      <c r="Y425" s="20" t="str">
        <f>IFERROR(IF([1]对账明细接口!$T425=0,"",[1]对账明细接口!$T425),"")</f>
        <v/>
      </c>
      <c r="Z425" s="24" t="str">
        <f>IFERROR(IF([1]对账明细接口!$U425=0,"",[1]对账明细接口!$U425),"")</f>
        <v/>
      </c>
      <c r="AA425" s="24" t="str">
        <f>IFERROR(IF([1]对账明细接口!$V425=0,"",[1]对账明细接口!$V425),"")</f>
        <v/>
      </c>
      <c r="AB425" s="20" t="str">
        <f>IFERROR(IF([1]对账明细接口!$W425=0,"",[1]对账明细接口!$W425),"")</f>
        <v/>
      </c>
      <c r="AC425" s="7" t="str">
        <f>IFERROR(IF([1]对账明细接口!$X425=0,"",[1]对账明细接口!$X425),"")</f>
        <v/>
      </c>
      <c r="AD425" s="7" t="str">
        <f>IFERROR(IF([1]对账明细接口!$Y425=0,"",[1]对账明细接口!$Y425),"")</f>
        <v/>
      </c>
      <c r="AE425" s="7" t="str">
        <f>IFERROR(IF([1]对账明细接口!$AA425=0,"",[1]对账明细接口!$AA425),"")</f>
        <v/>
      </c>
      <c r="AF425" s="7" t="str">
        <f>IFERROR(IF([1]对账明细接口!$AB425=0,"",[1]对账明细接口!$AB425),"")</f>
        <v/>
      </c>
      <c r="AG425" s="7" t="str">
        <f>IFERROR(IF([1]对账明细接口!$AC425=0,"",[1]对账明细接口!$AC425),"")</f>
        <v/>
      </c>
      <c r="AH425" s="7" t="str">
        <f>IFERROR(IF([1]对账明细接口!$AD425=0,"",[1]对账明细接口!$AD425),"")</f>
        <v/>
      </c>
      <c r="AI425" s="7" t="str">
        <f>IFERROR(IF([1]对账明细接口!$AE425=0,"",[1]对账明细接口!$AE425),"")</f>
        <v/>
      </c>
      <c r="AJ425" s="7" t="str">
        <f>IFERROR(IF([1]对账明细接口!$AF425=0,"",[1]对账明细接口!$AF425),"")</f>
        <v/>
      </c>
    </row>
    <row r="426" ht="14.25" customHeight="1" spans="1:36">
      <c r="A426" s="14">
        <v>426</v>
      </c>
      <c r="B426" s="15" t="str">
        <f>IFERROR(IF([1]对账明细接口!$B$426=0,"",[1]对账明细接口!$B$426),"")</f>
        <v/>
      </c>
      <c r="C426" s="16" t="str">
        <f>IFERROR(IF([1]对账明细接口!$C$426=0,"",[1]对账明细接口!$C$426),"")</f>
        <v/>
      </c>
      <c r="D426" s="16" t="str">
        <f>IFERROR(IF([1]对账明细接口!$D$426=0,"",[1]对账明细接口!$D$426),"")</f>
        <v/>
      </c>
      <c r="E426" s="16" t="str">
        <f>IFERROR(IF([1]对账明细接口!$E$426=0,"",[1]对账明细接口!$E$426),"")</f>
        <v/>
      </c>
      <c r="F426" s="16" t="str">
        <f>IFERROR(IF([1]对账明细接口!$F$426=0,"",[1]对账明细接口!$F$426),"")</f>
        <v/>
      </c>
      <c r="G426" s="16" t="str">
        <f>IFERROR(IF([1]对账明细接口!$G$426=0,"",[1]对账明细接口!$G$426),"")</f>
        <v/>
      </c>
      <c r="H426" s="17" t="str">
        <f>IFERROR(IF([1]对账明细接口!$H$426=0,"",[1]对账明细接口!$H$426),"")</f>
        <v/>
      </c>
      <c r="I426" s="16" t="str">
        <f>IFERROR(IF([1]对账明细接口!$I$426=0,"",[1]对账明细接口!$I$426),"")</f>
        <v/>
      </c>
      <c r="J426" s="18" t="str">
        <f>IFERROR(IF([1]对账明细接口!$J$426=0,"",[1]对账明细接口!$J$426),"")</f>
        <v/>
      </c>
      <c r="K426" s="18" t="str">
        <f>IFERROR(IF([1]对账明细接口!$K$426=0,"",[1]对账明细接口!$K$426),"")</f>
        <v/>
      </c>
      <c r="L426" s="16" t="str">
        <f>IFERROR(IF([1]对账明细接口!$L$426=0,"",[1]对账明细接口!$L$426),"")</f>
        <v/>
      </c>
      <c r="M426" s="16" t="str">
        <f>IFERROR(IF([1]对账明细接口!$M$426=0,"",[1]对账明细接口!$M$426),"")</f>
        <v/>
      </c>
      <c r="N426" s="19">
        <f t="shared" si="12"/>
        <v>0</v>
      </c>
      <c r="O426" s="19">
        <f t="shared" si="13"/>
        <v>420</v>
      </c>
      <c r="S426" s="20" t="str">
        <f>IFERROR(IF([1]对账明细接口!$N426=0,"",[1]对账明细接口!$N426),"")</f>
        <v/>
      </c>
      <c r="T426" s="21" t="str">
        <f>IFERROR(IF([1]对账明细接口!$O426=0,"",[1]对账明细接口!$O426),"")</f>
        <v/>
      </c>
      <c r="U426" s="21" t="str">
        <f>IFERROR(IF([1]对账明细接口!$P426=0,"",[1]对账明细接口!$P426),"")</f>
        <v/>
      </c>
      <c r="V426" s="21" t="str">
        <f>IFERROR(IF([1]对账明细接口!$Q426=0,"",[1]对账明细接口!$Q426),"")</f>
        <v/>
      </c>
      <c r="W426" s="20" t="str">
        <f>IFERROR(IF([1]对账明细接口!$R426=0,"",[1]对账明细接口!$R426),"")</f>
        <v/>
      </c>
      <c r="X426" s="20" t="str">
        <f>IFERROR(IF([1]对账明细接口!$S426=0,"",[1]对账明细接口!$S426),"")</f>
        <v/>
      </c>
      <c r="Y426" s="20" t="str">
        <f>IFERROR(IF([1]对账明细接口!$T426=0,"",[1]对账明细接口!$T426),"")</f>
        <v/>
      </c>
      <c r="Z426" s="24" t="str">
        <f>IFERROR(IF([1]对账明细接口!$U426=0,"",[1]对账明细接口!$U426),"")</f>
        <v/>
      </c>
      <c r="AA426" s="24" t="str">
        <f>IFERROR(IF([1]对账明细接口!$V426=0,"",[1]对账明细接口!$V426),"")</f>
        <v/>
      </c>
      <c r="AB426" s="20" t="str">
        <f>IFERROR(IF([1]对账明细接口!$W426=0,"",[1]对账明细接口!$W426),"")</f>
        <v/>
      </c>
      <c r="AC426" s="7" t="str">
        <f>IFERROR(IF([1]对账明细接口!$X426=0,"",[1]对账明细接口!$X426),"")</f>
        <v/>
      </c>
      <c r="AD426" s="7" t="str">
        <f>IFERROR(IF([1]对账明细接口!$Y426=0,"",[1]对账明细接口!$Y426),"")</f>
        <v/>
      </c>
      <c r="AE426" s="7" t="str">
        <f>IFERROR(IF([1]对账明细接口!$AA426=0,"",[1]对账明细接口!$AA426),"")</f>
        <v/>
      </c>
      <c r="AF426" s="7" t="str">
        <f>IFERROR(IF([1]对账明细接口!$AB426=0,"",[1]对账明细接口!$AB426),"")</f>
        <v/>
      </c>
      <c r="AG426" s="7" t="str">
        <f>IFERROR(IF([1]对账明细接口!$AC426=0,"",[1]对账明细接口!$AC426),"")</f>
        <v/>
      </c>
      <c r="AH426" s="7" t="str">
        <f>IFERROR(IF([1]对账明细接口!$AD426=0,"",[1]对账明细接口!$AD426),"")</f>
        <v/>
      </c>
      <c r="AI426" s="7" t="str">
        <f>IFERROR(IF([1]对账明细接口!$AE426=0,"",[1]对账明细接口!$AE426),"")</f>
        <v/>
      </c>
      <c r="AJ426" s="7" t="str">
        <f>IFERROR(IF([1]对账明细接口!$AF426=0,"",[1]对账明细接口!$AF426),"")</f>
        <v/>
      </c>
    </row>
    <row r="427" ht="14.25" customHeight="1" spans="1:36">
      <c r="A427" s="14">
        <v>427</v>
      </c>
      <c r="B427" s="15" t="str">
        <f>IFERROR(IF([1]对账明细接口!$B$427=0,"",[1]对账明细接口!$B$427),"")</f>
        <v/>
      </c>
      <c r="C427" s="16" t="str">
        <f>IFERROR(IF([1]对账明细接口!$C$427=0,"",[1]对账明细接口!$C$427),"")</f>
        <v/>
      </c>
      <c r="D427" s="16" t="str">
        <f>IFERROR(IF([1]对账明细接口!$D$427=0,"",[1]对账明细接口!$D$427),"")</f>
        <v/>
      </c>
      <c r="E427" s="16" t="str">
        <f>IFERROR(IF([1]对账明细接口!$E$427=0,"",[1]对账明细接口!$E$427),"")</f>
        <v/>
      </c>
      <c r="F427" s="16" t="str">
        <f>IFERROR(IF([1]对账明细接口!$F$427=0,"",[1]对账明细接口!$F$427),"")</f>
        <v/>
      </c>
      <c r="G427" s="16" t="str">
        <f>IFERROR(IF([1]对账明细接口!$G$427=0,"",[1]对账明细接口!$G$427),"")</f>
        <v/>
      </c>
      <c r="H427" s="17" t="str">
        <f>IFERROR(IF([1]对账明细接口!$H$427=0,"",[1]对账明细接口!$H$427),"")</f>
        <v/>
      </c>
      <c r="I427" s="16" t="str">
        <f>IFERROR(IF([1]对账明细接口!$I$427=0,"",[1]对账明细接口!$I$427),"")</f>
        <v/>
      </c>
      <c r="J427" s="18" t="str">
        <f>IFERROR(IF([1]对账明细接口!$J$427=0,"",[1]对账明细接口!$J$427),"")</f>
        <v/>
      </c>
      <c r="K427" s="18" t="str">
        <f>IFERROR(IF([1]对账明细接口!$K$427=0,"",[1]对账明细接口!$K$427),"")</f>
        <v/>
      </c>
      <c r="L427" s="16" t="str">
        <f>IFERROR(IF([1]对账明细接口!$L$427=0,"",[1]对账明细接口!$L$427),"")</f>
        <v/>
      </c>
      <c r="M427" s="16" t="str">
        <f>IFERROR(IF([1]对账明细接口!$M$427=0,"",[1]对账明细接口!$M$427),"")</f>
        <v/>
      </c>
      <c r="N427" s="19">
        <f t="shared" si="12"/>
        <v>0</v>
      </c>
      <c r="O427" s="19">
        <f t="shared" si="13"/>
        <v>420</v>
      </c>
      <c r="S427" s="20" t="str">
        <f>IFERROR(IF([1]对账明细接口!$N427=0,"",[1]对账明细接口!$N427),"")</f>
        <v/>
      </c>
      <c r="T427" s="21" t="str">
        <f>IFERROR(IF([1]对账明细接口!$O427=0,"",[1]对账明细接口!$O427),"")</f>
        <v/>
      </c>
      <c r="U427" s="21" t="str">
        <f>IFERROR(IF([1]对账明细接口!$P427=0,"",[1]对账明细接口!$P427),"")</f>
        <v/>
      </c>
      <c r="V427" s="21" t="str">
        <f>IFERROR(IF([1]对账明细接口!$Q427=0,"",[1]对账明细接口!$Q427),"")</f>
        <v/>
      </c>
      <c r="W427" s="20" t="str">
        <f>IFERROR(IF([1]对账明细接口!$R427=0,"",[1]对账明细接口!$R427),"")</f>
        <v/>
      </c>
      <c r="X427" s="20" t="str">
        <f>IFERROR(IF([1]对账明细接口!$S427=0,"",[1]对账明细接口!$S427),"")</f>
        <v/>
      </c>
      <c r="Y427" s="20" t="str">
        <f>IFERROR(IF([1]对账明细接口!$T427=0,"",[1]对账明细接口!$T427),"")</f>
        <v/>
      </c>
      <c r="Z427" s="24" t="str">
        <f>IFERROR(IF([1]对账明细接口!$U427=0,"",[1]对账明细接口!$U427),"")</f>
        <v/>
      </c>
      <c r="AA427" s="24" t="str">
        <f>IFERROR(IF([1]对账明细接口!$V427=0,"",[1]对账明细接口!$V427),"")</f>
        <v/>
      </c>
      <c r="AB427" s="20" t="str">
        <f>IFERROR(IF([1]对账明细接口!$W427=0,"",[1]对账明细接口!$W427),"")</f>
        <v/>
      </c>
      <c r="AC427" s="7" t="str">
        <f>IFERROR(IF([1]对账明细接口!$X427=0,"",[1]对账明细接口!$X427),"")</f>
        <v/>
      </c>
      <c r="AD427" s="7" t="str">
        <f>IFERROR(IF([1]对账明细接口!$Y427=0,"",[1]对账明细接口!$Y427),"")</f>
        <v/>
      </c>
      <c r="AE427" s="7" t="str">
        <f>IFERROR(IF([1]对账明细接口!$AA427=0,"",[1]对账明细接口!$AA427),"")</f>
        <v/>
      </c>
      <c r="AF427" s="7" t="str">
        <f>IFERROR(IF([1]对账明细接口!$AB427=0,"",[1]对账明细接口!$AB427),"")</f>
        <v/>
      </c>
      <c r="AG427" s="7" t="str">
        <f>IFERROR(IF([1]对账明细接口!$AC427=0,"",[1]对账明细接口!$AC427),"")</f>
        <v/>
      </c>
      <c r="AH427" s="7" t="str">
        <f>IFERROR(IF([1]对账明细接口!$AD427=0,"",[1]对账明细接口!$AD427),"")</f>
        <v/>
      </c>
      <c r="AI427" s="7" t="str">
        <f>IFERROR(IF([1]对账明细接口!$AE427=0,"",[1]对账明细接口!$AE427),"")</f>
        <v/>
      </c>
      <c r="AJ427" s="7" t="str">
        <f>IFERROR(IF([1]对账明细接口!$AF427=0,"",[1]对账明细接口!$AF427),"")</f>
        <v/>
      </c>
    </row>
    <row r="428" ht="14.25" customHeight="1" spans="1:36">
      <c r="A428" s="14">
        <v>428</v>
      </c>
      <c r="B428" s="15" t="str">
        <f>IFERROR(IF([1]对账明细接口!$B$428=0,"",[1]对账明细接口!$B$428),"")</f>
        <v/>
      </c>
      <c r="C428" s="16" t="str">
        <f>IFERROR(IF([1]对账明细接口!$C$428=0,"",[1]对账明细接口!$C$428),"")</f>
        <v/>
      </c>
      <c r="D428" s="16" t="str">
        <f>IFERROR(IF([1]对账明细接口!$D$428=0,"",[1]对账明细接口!$D$428),"")</f>
        <v/>
      </c>
      <c r="E428" s="16" t="str">
        <f>IFERROR(IF([1]对账明细接口!$E$428=0,"",[1]对账明细接口!$E$428),"")</f>
        <v/>
      </c>
      <c r="F428" s="16" t="str">
        <f>IFERROR(IF([1]对账明细接口!$F$428=0,"",[1]对账明细接口!$F$428),"")</f>
        <v/>
      </c>
      <c r="G428" s="16" t="str">
        <f>IFERROR(IF([1]对账明细接口!$G$428=0,"",[1]对账明细接口!$G$428),"")</f>
        <v/>
      </c>
      <c r="H428" s="17" t="str">
        <f>IFERROR(IF([1]对账明细接口!$H$428=0,"",[1]对账明细接口!$H$428),"")</f>
        <v/>
      </c>
      <c r="I428" s="16" t="str">
        <f>IFERROR(IF([1]对账明细接口!$I$428=0,"",[1]对账明细接口!$I$428),"")</f>
        <v/>
      </c>
      <c r="J428" s="18" t="str">
        <f>IFERROR(IF([1]对账明细接口!$J$428=0,"",[1]对账明细接口!$J$428),"")</f>
        <v/>
      </c>
      <c r="K428" s="18" t="str">
        <f>IFERROR(IF([1]对账明细接口!$K$428=0,"",[1]对账明细接口!$K$428),"")</f>
        <v/>
      </c>
      <c r="L428" s="16" t="str">
        <f>IFERROR(IF([1]对账明细接口!$L$428=0,"",[1]对账明细接口!$L$428),"")</f>
        <v/>
      </c>
      <c r="M428" s="16" t="str">
        <f>IFERROR(IF([1]对账明细接口!$M$428=0,"",[1]对账明细接口!$M$428),"")</f>
        <v/>
      </c>
      <c r="N428" s="19">
        <f t="shared" si="12"/>
        <v>0</v>
      </c>
      <c r="O428" s="19">
        <f t="shared" si="13"/>
        <v>420</v>
      </c>
      <c r="S428" s="20" t="str">
        <f>IFERROR(IF([1]对账明细接口!$N428=0,"",[1]对账明细接口!$N428),"")</f>
        <v/>
      </c>
      <c r="T428" s="21" t="str">
        <f>IFERROR(IF([1]对账明细接口!$O428=0,"",[1]对账明细接口!$O428),"")</f>
        <v/>
      </c>
      <c r="U428" s="21" t="str">
        <f>IFERROR(IF([1]对账明细接口!$P428=0,"",[1]对账明细接口!$P428),"")</f>
        <v/>
      </c>
      <c r="V428" s="21" t="str">
        <f>IFERROR(IF([1]对账明细接口!$Q428=0,"",[1]对账明细接口!$Q428),"")</f>
        <v/>
      </c>
      <c r="W428" s="20" t="str">
        <f>IFERROR(IF([1]对账明细接口!$R428=0,"",[1]对账明细接口!$R428),"")</f>
        <v/>
      </c>
      <c r="X428" s="20" t="str">
        <f>IFERROR(IF([1]对账明细接口!$S428=0,"",[1]对账明细接口!$S428),"")</f>
        <v/>
      </c>
      <c r="Y428" s="20" t="str">
        <f>IFERROR(IF([1]对账明细接口!$T428=0,"",[1]对账明细接口!$T428),"")</f>
        <v/>
      </c>
      <c r="Z428" s="24" t="str">
        <f>IFERROR(IF([1]对账明细接口!$U428=0,"",[1]对账明细接口!$U428),"")</f>
        <v/>
      </c>
      <c r="AA428" s="24" t="str">
        <f>IFERROR(IF([1]对账明细接口!$V428=0,"",[1]对账明细接口!$V428),"")</f>
        <v/>
      </c>
      <c r="AB428" s="20" t="str">
        <f>IFERROR(IF([1]对账明细接口!$W428=0,"",[1]对账明细接口!$W428),"")</f>
        <v/>
      </c>
      <c r="AC428" s="7" t="str">
        <f>IFERROR(IF([1]对账明细接口!$X428=0,"",[1]对账明细接口!$X428),"")</f>
        <v/>
      </c>
      <c r="AD428" s="7" t="str">
        <f>IFERROR(IF([1]对账明细接口!$Y428=0,"",[1]对账明细接口!$Y428),"")</f>
        <v/>
      </c>
      <c r="AE428" s="7" t="str">
        <f>IFERROR(IF([1]对账明细接口!$AA428=0,"",[1]对账明细接口!$AA428),"")</f>
        <v/>
      </c>
      <c r="AF428" s="7" t="str">
        <f>IFERROR(IF([1]对账明细接口!$AB428=0,"",[1]对账明细接口!$AB428),"")</f>
        <v/>
      </c>
      <c r="AG428" s="7" t="str">
        <f>IFERROR(IF([1]对账明细接口!$AC428=0,"",[1]对账明细接口!$AC428),"")</f>
        <v/>
      </c>
      <c r="AH428" s="7" t="str">
        <f>IFERROR(IF([1]对账明细接口!$AD428=0,"",[1]对账明细接口!$AD428),"")</f>
        <v/>
      </c>
      <c r="AI428" s="7" t="str">
        <f>IFERROR(IF([1]对账明细接口!$AE428=0,"",[1]对账明细接口!$AE428),"")</f>
        <v/>
      </c>
      <c r="AJ428" s="7" t="str">
        <f>IFERROR(IF([1]对账明细接口!$AF428=0,"",[1]对账明细接口!$AF428),"")</f>
        <v/>
      </c>
    </row>
    <row r="429" ht="14.25" customHeight="1" spans="1:36">
      <c r="A429" s="14">
        <v>429</v>
      </c>
      <c r="B429" s="15" t="str">
        <f>IFERROR(IF([1]对账明细接口!$B$429=0,"",[1]对账明细接口!$B$429),"")</f>
        <v/>
      </c>
      <c r="C429" s="16" t="str">
        <f>IFERROR(IF([1]对账明细接口!$C$429=0,"",[1]对账明细接口!$C$429),"")</f>
        <v/>
      </c>
      <c r="D429" s="16" t="str">
        <f>IFERROR(IF([1]对账明细接口!$D$429=0,"",[1]对账明细接口!$D$429),"")</f>
        <v/>
      </c>
      <c r="E429" s="16" t="str">
        <f>IFERROR(IF([1]对账明细接口!$E$429=0,"",[1]对账明细接口!$E$429),"")</f>
        <v/>
      </c>
      <c r="F429" s="16" t="str">
        <f>IFERROR(IF([1]对账明细接口!$F$429=0,"",[1]对账明细接口!$F$429),"")</f>
        <v/>
      </c>
      <c r="G429" s="16" t="str">
        <f>IFERROR(IF([1]对账明细接口!$G$429=0,"",[1]对账明细接口!$G$429),"")</f>
        <v/>
      </c>
      <c r="H429" s="17" t="str">
        <f>IFERROR(IF([1]对账明细接口!$H$429=0,"",[1]对账明细接口!$H$429),"")</f>
        <v/>
      </c>
      <c r="I429" s="16" t="str">
        <f>IFERROR(IF([1]对账明细接口!$I$429=0,"",[1]对账明细接口!$I$429),"")</f>
        <v/>
      </c>
      <c r="J429" s="18" t="str">
        <f>IFERROR(IF([1]对账明细接口!$J$429=0,"",[1]对账明细接口!$J$429),"")</f>
        <v/>
      </c>
      <c r="K429" s="18" t="str">
        <f>IFERROR(IF([1]对账明细接口!$K$429=0,"",[1]对账明细接口!$K$429),"")</f>
        <v/>
      </c>
      <c r="L429" s="16" t="str">
        <f>IFERROR(IF([1]对账明细接口!$L$429=0,"",[1]对账明细接口!$L$429),"")</f>
        <v/>
      </c>
      <c r="M429" s="16" t="str">
        <f>IFERROR(IF([1]对账明细接口!$M$429=0,"",[1]对账明细接口!$M$429),"")</f>
        <v/>
      </c>
      <c r="N429" s="19">
        <f t="shared" si="12"/>
        <v>0</v>
      </c>
      <c r="O429" s="19">
        <f t="shared" si="13"/>
        <v>420</v>
      </c>
      <c r="S429" s="20" t="str">
        <f>IFERROR(IF([1]对账明细接口!$N429=0,"",[1]对账明细接口!$N429),"")</f>
        <v/>
      </c>
      <c r="T429" s="21" t="str">
        <f>IFERROR(IF([1]对账明细接口!$O429=0,"",[1]对账明细接口!$O429),"")</f>
        <v/>
      </c>
      <c r="U429" s="21" t="str">
        <f>IFERROR(IF([1]对账明细接口!$P429=0,"",[1]对账明细接口!$P429),"")</f>
        <v/>
      </c>
      <c r="V429" s="21" t="str">
        <f>IFERROR(IF([1]对账明细接口!$Q429=0,"",[1]对账明细接口!$Q429),"")</f>
        <v/>
      </c>
      <c r="W429" s="20" t="str">
        <f>IFERROR(IF([1]对账明细接口!$R429=0,"",[1]对账明细接口!$R429),"")</f>
        <v/>
      </c>
      <c r="X429" s="20" t="str">
        <f>IFERROR(IF([1]对账明细接口!$S429=0,"",[1]对账明细接口!$S429),"")</f>
        <v/>
      </c>
      <c r="Y429" s="20" t="str">
        <f>IFERROR(IF([1]对账明细接口!$T429=0,"",[1]对账明细接口!$T429),"")</f>
        <v/>
      </c>
      <c r="Z429" s="24" t="str">
        <f>IFERROR(IF([1]对账明细接口!$U429=0,"",[1]对账明细接口!$U429),"")</f>
        <v/>
      </c>
      <c r="AA429" s="24" t="str">
        <f>IFERROR(IF([1]对账明细接口!$V429=0,"",[1]对账明细接口!$V429),"")</f>
        <v/>
      </c>
      <c r="AB429" s="20" t="str">
        <f>IFERROR(IF([1]对账明细接口!$W429=0,"",[1]对账明细接口!$W429),"")</f>
        <v/>
      </c>
      <c r="AC429" s="7" t="str">
        <f>IFERROR(IF([1]对账明细接口!$X429=0,"",[1]对账明细接口!$X429),"")</f>
        <v/>
      </c>
      <c r="AD429" s="7" t="str">
        <f>IFERROR(IF([1]对账明细接口!$Y429=0,"",[1]对账明细接口!$Y429),"")</f>
        <v/>
      </c>
      <c r="AE429" s="7" t="str">
        <f>IFERROR(IF([1]对账明细接口!$AA429=0,"",[1]对账明细接口!$AA429),"")</f>
        <v/>
      </c>
      <c r="AF429" s="7" t="str">
        <f>IFERROR(IF([1]对账明细接口!$AB429=0,"",[1]对账明细接口!$AB429),"")</f>
        <v/>
      </c>
      <c r="AG429" s="7" t="str">
        <f>IFERROR(IF([1]对账明细接口!$AC429=0,"",[1]对账明细接口!$AC429),"")</f>
        <v/>
      </c>
      <c r="AH429" s="7" t="str">
        <f>IFERROR(IF([1]对账明细接口!$AD429=0,"",[1]对账明细接口!$AD429),"")</f>
        <v/>
      </c>
      <c r="AI429" s="7" t="str">
        <f>IFERROR(IF([1]对账明细接口!$AE429=0,"",[1]对账明细接口!$AE429),"")</f>
        <v/>
      </c>
      <c r="AJ429" s="7" t="str">
        <f>IFERROR(IF([1]对账明细接口!$AF429=0,"",[1]对账明细接口!$AF429),"")</f>
        <v/>
      </c>
    </row>
    <row r="430" ht="14.25" customHeight="1" spans="1:36">
      <c r="A430" s="14">
        <v>430</v>
      </c>
      <c r="B430" s="15" t="str">
        <f>IFERROR(IF([1]对账明细接口!$B$430=0,"",[1]对账明细接口!$B$430),"")</f>
        <v/>
      </c>
      <c r="C430" s="16" t="str">
        <f>IFERROR(IF([1]对账明细接口!$C$430=0,"",[1]对账明细接口!$C$430),"")</f>
        <v/>
      </c>
      <c r="D430" s="16" t="str">
        <f>IFERROR(IF([1]对账明细接口!$D$430=0,"",[1]对账明细接口!$D$430),"")</f>
        <v/>
      </c>
      <c r="E430" s="16" t="str">
        <f>IFERROR(IF([1]对账明细接口!$E$430=0,"",[1]对账明细接口!$E$430),"")</f>
        <v/>
      </c>
      <c r="F430" s="16" t="str">
        <f>IFERROR(IF([1]对账明细接口!$F$430=0,"",[1]对账明细接口!$F$430),"")</f>
        <v/>
      </c>
      <c r="G430" s="16" t="str">
        <f>IFERROR(IF([1]对账明细接口!$G$430=0,"",[1]对账明细接口!$G$430),"")</f>
        <v/>
      </c>
      <c r="H430" s="17" t="str">
        <f>IFERROR(IF([1]对账明细接口!$H$430=0,"",[1]对账明细接口!$H$430),"")</f>
        <v/>
      </c>
      <c r="I430" s="16" t="str">
        <f>IFERROR(IF([1]对账明细接口!$I$430=0,"",[1]对账明细接口!$I$430),"")</f>
        <v/>
      </c>
      <c r="J430" s="18" t="str">
        <f>IFERROR(IF([1]对账明细接口!$J$430=0,"",[1]对账明细接口!$J$430),"")</f>
        <v/>
      </c>
      <c r="K430" s="18" t="str">
        <f>IFERROR(IF([1]对账明细接口!$K$430=0,"",[1]对账明细接口!$K$430),"")</f>
        <v/>
      </c>
      <c r="L430" s="16" t="str">
        <f>IFERROR(IF([1]对账明细接口!$L$430=0,"",[1]对账明细接口!$L$430),"")</f>
        <v/>
      </c>
      <c r="M430" s="16" t="str">
        <f>IFERROR(IF([1]对账明细接口!$M$430=0,"",[1]对账明细接口!$M$430),"")</f>
        <v/>
      </c>
      <c r="N430" s="19">
        <f t="shared" si="12"/>
        <v>0</v>
      </c>
      <c r="O430" s="19">
        <f t="shared" si="13"/>
        <v>420</v>
      </c>
      <c r="S430" s="20" t="str">
        <f>IFERROR(IF([1]对账明细接口!$N430=0,"",[1]对账明细接口!$N430),"")</f>
        <v/>
      </c>
      <c r="T430" s="21" t="str">
        <f>IFERROR(IF([1]对账明细接口!$O430=0,"",[1]对账明细接口!$O430),"")</f>
        <v/>
      </c>
      <c r="U430" s="21" t="str">
        <f>IFERROR(IF([1]对账明细接口!$P430=0,"",[1]对账明细接口!$P430),"")</f>
        <v/>
      </c>
      <c r="V430" s="21" t="str">
        <f>IFERROR(IF([1]对账明细接口!$Q430=0,"",[1]对账明细接口!$Q430),"")</f>
        <v/>
      </c>
      <c r="W430" s="20" t="str">
        <f>IFERROR(IF([1]对账明细接口!$R430=0,"",[1]对账明细接口!$R430),"")</f>
        <v/>
      </c>
      <c r="X430" s="20" t="str">
        <f>IFERROR(IF([1]对账明细接口!$S430=0,"",[1]对账明细接口!$S430),"")</f>
        <v/>
      </c>
      <c r="Y430" s="20" t="str">
        <f>IFERROR(IF([1]对账明细接口!$T430=0,"",[1]对账明细接口!$T430),"")</f>
        <v/>
      </c>
      <c r="Z430" s="24" t="str">
        <f>IFERROR(IF([1]对账明细接口!$U430=0,"",[1]对账明细接口!$U430),"")</f>
        <v/>
      </c>
      <c r="AA430" s="24" t="str">
        <f>IFERROR(IF([1]对账明细接口!$V430=0,"",[1]对账明细接口!$V430),"")</f>
        <v/>
      </c>
      <c r="AB430" s="20" t="str">
        <f>IFERROR(IF([1]对账明细接口!$W430=0,"",[1]对账明细接口!$W430),"")</f>
        <v/>
      </c>
      <c r="AC430" s="7" t="str">
        <f>IFERROR(IF([1]对账明细接口!$X430=0,"",[1]对账明细接口!$X430),"")</f>
        <v/>
      </c>
      <c r="AD430" s="7" t="str">
        <f>IFERROR(IF([1]对账明细接口!$Y430=0,"",[1]对账明细接口!$Y430),"")</f>
        <v/>
      </c>
      <c r="AE430" s="7" t="str">
        <f>IFERROR(IF([1]对账明细接口!$AA430=0,"",[1]对账明细接口!$AA430),"")</f>
        <v/>
      </c>
      <c r="AF430" s="7" t="str">
        <f>IFERROR(IF([1]对账明细接口!$AB430=0,"",[1]对账明细接口!$AB430),"")</f>
        <v/>
      </c>
      <c r="AG430" s="7" t="str">
        <f>IFERROR(IF([1]对账明细接口!$AC430=0,"",[1]对账明细接口!$AC430),"")</f>
        <v/>
      </c>
      <c r="AH430" s="7" t="str">
        <f>IFERROR(IF([1]对账明细接口!$AD430=0,"",[1]对账明细接口!$AD430),"")</f>
        <v/>
      </c>
      <c r="AI430" s="7" t="str">
        <f>IFERROR(IF([1]对账明细接口!$AE430=0,"",[1]对账明细接口!$AE430),"")</f>
        <v/>
      </c>
      <c r="AJ430" s="7" t="str">
        <f>IFERROR(IF([1]对账明细接口!$AF430=0,"",[1]对账明细接口!$AF430),"")</f>
        <v/>
      </c>
    </row>
    <row r="431" ht="14.25" customHeight="1" spans="1:36">
      <c r="A431" s="14">
        <v>431</v>
      </c>
      <c r="B431" s="15" t="str">
        <f>IFERROR(IF([1]对账明细接口!$B$431=0,"",[1]对账明细接口!$B$431),"")</f>
        <v/>
      </c>
      <c r="C431" s="16" t="str">
        <f>IFERROR(IF([1]对账明细接口!$C$431=0,"",[1]对账明细接口!$C$431),"")</f>
        <v/>
      </c>
      <c r="D431" s="16" t="str">
        <f>IFERROR(IF([1]对账明细接口!$D$431=0,"",[1]对账明细接口!$D$431),"")</f>
        <v/>
      </c>
      <c r="E431" s="16" t="str">
        <f>IFERROR(IF([1]对账明细接口!$E$431=0,"",[1]对账明细接口!$E$431),"")</f>
        <v/>
      </c>
      <c r="F431" s="16" t="str">
        <f>IFERROR(IF([1]对账明细接口!$F$431=0,"",[1]对账明细接口!$F$431),"")</f>
        <v/>
      </c>
      <c r="G431" s="16" t="str">
        <f>IFERROR(IF([1]对账明细接口!$G$431=0,"",[1]对账明细接口!$G$431),"")</f>
        <v/>
      </c>
      <c r="H431" s="17" t="str">
        <f>IFERROR(IF([1]对账明细接口!$H$431=0,"",[1]对账明细接口!$H$431),"")</f>
        <v/>
      </c>
      <c r="I431" s="16" t="str">
        <f>IFERROR(IF([1]对账明细接口!$I$431=0,"",[1]对账明细接口!$I$431),"")</f>
        <v/>
      </c>
      <c r="J431" s="18" t="str">
        <f>IFERROR(IF([1]对账明细接口!$J$431=0,"",[1]对账明细接口!$J$431),"")</f>
        <v/>
      </c>
      <c r="K431" s="18" t="str">
        <f>IFERROR(IF([1]对账明细接口!$K$431=0,"",[1]对账明细接口!$K$431),"")</f>
        <v/>
      </c>
      <c r="L431" s="16" t="str">
        <f>IFERROR(IF([1]对账明细接口!$L$431=0,"",[1]对账明细接口!$L$431),"")</f>
        <v/>
      </c>
      <c r="M431" s="16" t="str">
        <f>IFERROR(IF([1]对账明细接口!$M$431=0,"",[1]对账明细接口!$M$431),"")</f>
        <v/>
      </c>
      <c r="N431" s="19">
        <f t="shared" si="12"/>
        <v>0</v>
      </c>
      <c r="O431" s="19">
        <f t="shared" si="13"/>
        <v>420</v>
      </c>
      <c r="S431" s="20" t="str">
        <f>IFERROR(IF([1]对账明细接口!$N431=0,"",[1]对账明细接口!$N431),"")</f>
        <v/>
      </c>
      <c r="T431" s="21" t="str">
        <f>IFERROR(IF([1]对账明细接口!$O431=0,"",[1]对账明细接口!$O431),"")</f>
        <v/>
      </c>
      <c r="U431" s="21" t="str">
        <f>IFERROR(IF([1]对账明细接口!$P431=0,"",[1]对账明细接口!$P431),"")</f>
        <v/>
      </c>
      <c r="V431" s="21" t="str">
        <f>IFERROR(IF([1]对账明细接口!$Q431=0,"",[1]对账明细接口!$Q431),"")</f>
        <v/>
      </c>
      <c r="W431" s="20" t="str">
        <f>IFERROR(IF([1]对账明细接口!$R431=0,"",[1]对账明细接口!$R431),"")</f>
        <v/>
      </c>
      <c r="X431" s="20" t="str">
        <f>IFERROR(IF([1]对账明细接口!$S431=0,"",[1]对账明细接口!$S431),"")</f>
        <v/>
      </c>
      <c r="Y431" s="20" t="str">
        <f>IFERROR(IF([1]对账明细接口!$T431=0,"",[1]对账明细接口!$T431),"")</f>
        <v/>
      </c>
      <c r="Z431" s="24" t="str">
        <f>IFERROR(IF([1]对账明细接口!$U431=0,"",[1]对账明细接口!$U431),"")</f>
        <v/>
      </c>
      <c r="AA431" s="24" t="str">
        <f>IFERROR(IF([1]对账明细接口!$V431=0,"",[1]对账明细接口!$V431),"")</f>
        <v/>
      </c>
      <c r="AB431" s="20" t="str">
        <f>IFERROR(IF([1]对账明细接口!$W431=0,"",[1]对账明细接口!$W431),"")</f>
        <v/>
      </c>
      <c r="AC431" s="7" t="str">
        <f>IFERROR(IF([1]对账明细接口!$X431=0,"",[1]对账明细接口!$X431),"")</f>
        <v/>
      </c>
      <c r="AD431" s="7" t="str">
        <f>IFERROR(IF([1]对账明细接口!$Y431=0,"",[1]对账明细接口!$Y431),"")</f>
        <v/>
      </c>
      <c r="AE431" s="7" t="str">
        <f>IFERROR(IF([1]对账明细接口!$AA431=0,"",[1]对账明细接口!$AA431),"")</f>
        <v/>
      </c>
      <c r="AF431" s="7" t="str">
        <f>IFERROR(IF([1]对账明细接口!$AB431=0,"",[1]对账明细接口!$AB431),"")</f>
        <v/>
      </c>
      <c r="AG431" s="7" t="str">
        <f>IFERROR(IF([1]对账明细接口!$AC431=0,"",[1]对账明细接口!$AC431),"")</f>
        <v/>
      </c>
      <c r="AH431" s="7" t="str">
        <f>IFERROR(IF([1]对账明细接口!$AD431=0,"",[1]对账明细接口!$AD431),"")</f>
        <v/>
      </c>
      <c r="AI431" s="7" t="str">
        <f>IFERROR(IF([1]对账明细接口!$AE431=0,"",[1]对账明细接口!$AE431),"")</f>
        <v/>
      </c>
      <c r="AJ431" s="7" t="str">
        <f>IFERROR(IF([1]对账明细接口!$AF431=0,"",[1]对账明细接口!$AF431),"")</f>
        <v/>
      </c>
    </row>
    <row r="432" ht="14.25" customHeight="1" spans="1:36">
      <c r="A432" s="14">
        <v>432</v>
      </c>
      <c r="B432" s="15" t="str">
        <f>IFERROR(IF([1]对账明细接口!$B$432=0,"",[1]对账明细接口!$B$432),"")</f>
        <v/>
      </c>
      <c r="C432" s="16" t="str">
        <f>IFERROR(IF([1]对账明细接口!$C$432=0,"",[1]对账明细接口!$C$432),"")</f>
        <v/>
      </c>
      <c r="D432" s="16" t="str">
        <f>IFERROR(IF([1]对账明细接口!$D$432=0,"",[1]对账明细接口!$D$432),"")</f>
        <v/>
      </c>
      <c r="E432" s="16" t="str">
        <f>IFERROR(IF([1]对账明细接口!$E$432=0,"",[1]对账明细接口!$E$432),"")</f>
        <v/>
      </c>
      <c r="F432" s="16" t="str">
        <f>IFERROR(IF([1]对账明细接口!$F$432=0,"",[1]对账明细接口!$F$432),"")</f>
        <v/>
      </c>
      <c r="G432" s="16" t="str">
        <f>IFERROR(IF([1]对账明细接口!$G$432=0,"",[1]对账明细接口!$G$432),"")</f>
        <v/>
      </c>
      <c r="H432" s="17" t="str">
        <f>IFERROR(IF([1]对账明细接口!$H$432=0,"",[1]对账明细接口!$H$432),"")</f>
        <v/>
      </c>
      <c r="I432" s="16" t="str">
        <f>IFERROR(IF([1]对账明细接口!$I$432=0,"",[1]对账明细接口!$I$432),"")</f>
        <v/>
      </c>
      <c r="J432" s="18" t="str">
        <f>IFERROR(IF([1]对账明细接口!$J$432=0,"",[1]对账明细接口!$J$432),"")</f>
        <v/>
      </c>
      <c r="K432" s="18" t="str">
        <f>IFERROR(IF([1]对账明细接口!$K$432=0,"",[1]对账明细接口!$K$432),"")</f>
        <v/>
      </c>
      <c r="L432" s="16" t="str">
        <f>IFERROR(IF([1]对账明细接口!$L$432=0,"",[1]对账明细接口!$L$432),"")</f>
        <v/>
      </c>
      <c r="M432" s="16" t="str">
        <f>IFERROR(IF([1]对账明细接口!$M$432=0,"",[1]对账明细接口!$M$432),"")</f>
        <v/>
      </c>
      <c r="N432" s="19">
        <f t="shared" si="12"/>
        <v>0</v>
      </c>
      <c r="O432" s="19">
        <f t="shared" si="13"/>
        <v>420</v>
      </c>
      <c r="S432" s="20" t="str">
        <f>IFERROR(IF([1]对账明细接口!$N432=0,"",[1]对账明细接口!$N432),"")</f>
        <v/>
      </c>
      <c r="T432" s="21" t="str">
        <f>IFERROR(IF([1]对账明细接口!$O432=0,"",[1]对账明细接口!$O432),"")</f>
        <v/>
      </c>
      <c r="U432" s="21" t="str">
        <f>IFERROR(IF([1]对账明细接口!$P432=0,"",[1]对账明细接口!$P432),"")</f>
        <v/>
      </c>
      <c r="V432" s="21" t="str">
        <f>IFERROR(IF([1]对账明细接口!$Q432=0,"",[1]对账明细接口!$Q432),"")</f>
        <v/>
      </c>
      <c r="W432" s="20" t="str">
        <f>IFERROR(IF([1]对账明细接口!$R432=0,"",[1]对账明细接口!$R432),"")</f>
        <v/>
      </c>
      <c r="X432" s="20" t="str">
        <f>IFERROR(IF([1]对账明细接口!$S432=0,"",[1]对账明细接口!$S432),"")</f>
        <v/>
      </c>
      <c r="Y432" s="20" t="str">
        <f>IFERROR(IF([1]对账明细接口!$T432=0,"",[1]对账明细接口!$T432),"")</f>
        <v/>
      </c>
      <c r="Z432" s="24" t="str">
        <f>IFERROR(IF([1]对账明细接口!$U432=0,"",[1]对账明细接口!$U432),"")</f>
        <v/>
      </c>
      <c r="AA432" s="24" t="str">
        <f>IFERROR(IF([1]对账明细接口!$V432=0,"",[1]对账明细接口!$V432),"")</f>
        <v/>
      </c>
      <c r="AB432" s="20" t="str">
        <f>IFERROR(IF([1]对账明细接口!$W432=0,"",[1]对账明细接口!$W432),"")</f>
        <v/>
      </c>
      <c r="AC432" s="7" t="str">
        <f>IFERROR(IF([1]对账明细接口!$X432=0,"",[1]对账明细接口!$X432),"")</f>
        <v/>
      </c>
      <c r="AD432" s="7" t="str">
        <f>IFERROR(IF([1]对账明细接口!$Y432=0,"",[1]对账明细接口!$Y432),"")</f>
        <v/>
      </c>
      <c r="AE432" s="7" t="str">
        <f>IFERROR(IF([1]对账明细接口!$AA432=0,"",[1]对账明细接口!$AA432),"")</f>
        <v/>
      </c>
      <c r="AF432" s="7" t="str">
        <f>IFERROR(IF([1]对账明细接口!$AB432=0,"",[1]对账明细接口!$AB432),"")</f>
        <v/>
      </c>
      <c r="AG432" s="7" t="str">
        <f>IFERROR(IF([1]对账明细接口!$AC432=0,"",[1]对账明细接口!$AC432),"")</f>
        <v/>
      </c>
      <c r="AH432" s="7" t="str">
        <f>IFERROR(IF([1]对账明细接口!$AD432=0,"",[1]对账明细接口!$AD432),"")</f>
        <v/>
      </c>
      <c r="AI432" s="7" t="str">
        <f>IFERROR(IF([1]对账明细接口!$AE432=0,"",[1]对账明细接口!$AE432),"")</f>
        <v/>
      </c>
      <c r="AJ432" s="7" t="str">
        <f>IFERROR(IF([1]对账明细接口!$AF432=0,"",[1]对账明细接口!$AF432),"")</f>
        <v/>
      </c>
    </row>
    <row r="433" ht="14.25" customHeight="1" spans="1:36">
      <c r="A433" s="14">
        <v>433</v>
      </c>
      <c r="B433" s="15" t="str">
        <f>IFERROR(IF([1]对账明细接口!$B$433=0,"",[1]对账明细接口!$B$433),"")</f>
        <v/>
      </c>
      <c r="C433" s="16" t="str">
        <f>IFERROR(IF([1]对账明细接口!$C$433=0,"",[1]对账明细接口!$C$433),"")</f>
        <v/>
      </c>
      <c r="D433" s="16" t="str">
        <f>IFERROR(IF([1]对账明细接口!$D$433=0,"",[1]对账明细接口!$D$433),"")</f>
        <v/>
      </c>
      <c r="E433" s="16" t="str">
        <f>IFERROR(IF([1]对账明细接口!$E$433=0,"",[1]对账明细接口!$E$433),"")</f>
        <v/>
      </c>
      <c r="F433" s="16" t="str">
        <f>IFERROR(IF([1]对账明细接口!$F$433=0,"",[1]对账明细接口!$F$433),"")</f>
        <v/>
      </c>
      <c r="G433" s="16" t="str">
        <f>IFERROR(IF([1]对账明细接口!$G$433=0,"",[1]对账明细接口!$G$433),"")</f>
        <v/>
      </c>
      <c r="H433" s="17" t="str">
        <f>IFERROR(IF([1]对账明细接口!$H$433=0,"",[1]对账明细接口!$H$433),"")</f>
        <v/>
      </c>
      <c r="I433" s="16" t="str">
        <f>IFERROR(IF([1]对账明细接口!$I$433=0,"",[1]对账明细接口!$I$433),"")</f>
        <v/>
      </c>
      <c r="J433" s="18" t="str">
        <f>IFERROR(IF([1]对账明细接口!$J$433=0,"",[1]对账明细接口!$J$433),"")</f>
        <v/>
      </c>
      <c r="K433" s="18" t="str">
        <f>IFERROR(IF([1]对账明细接口!$K$433=0,"",[1]对账明细接口!$K$433),"")</f>
        <v/>
      </c>
      <c r="L433" s="16" t="str">
        <f>IFERROR(IF([1]对账明细接口!$L$433=0,"",[1]对账明细接口!$L$433),"")</f>
        <v/>
      </c>
      <c r="M433" s="16" t="str">
        <f>IFERROR(IF([1]对账明细接口!$M$433=0,"",[1]对账明细接口!$M$433),"")</f>
        <v/>
      </c>
      <c r="N433" s="19">
        <f t="shared" si="12"/>
        <v>0</v>
      </c>
      <c r="O433" s="19">
        <f t="shared" si="13"/>
        <v>420</v>
      </c>
      <c r="S433" s="20" t="str">
        <f>IFERROR(IF([1]对账明细接口!$N433=0,"",[1]对账明细接口!$N433),"")</f>
        <v/>
      </c>
      <c r="T433" s="21" t="str">
        <f>IFERROR(IF([1]对账明细接口!$O433=0,"",[1]对账明细接口!$O433),"")</f>
        <v/>
      </c>
      <c r="U433" s="21" t="str">
        <f>IFERROR(IF([1]对账明细接口!$P433=0,"",[1]对账明细接口!$P433),"")</f>
        <v/>
      </c>
      <c r="V433" s="21" t="str">
        <f>IFERROR(IF([1]对账明细接口!$Q433=0,"",[1]对账明细接口!$Q433),"")</f>
        <v/>
      </c>
      <c r="W433" s="20" t="str">
        <f>IFERROR(IF([1]对账明细接口!$R433=0,"",[1]对账明细接口!$R433),"")</f>
        <v/>
      </c>
      <c r="X433" s="20" t="str">
        <f>IFERROR(IF([1]对账明细接口!$S433=0,"",[1]对账明细接口!$S433),"")</f>
        <v/>
      </c>
      <c r="Y433" s="20" t="str">
        <f>IFERROR(IF([1]对账明细接口!$T433=0,"",[1]对账明细接口!$T433),"")</f>
        <v/>
      </c>
      <c r="Z433" s="24" t="str">
        <f>IFERROR(IF([1]对账明细接口!$U433=0,"",[1]对账明细接口!$U433),"")</f>
        <v/>
      </c>
      <c r="AA433" s="24" t="str">
        <f>IFERROR(IF([1]对账明细接口!$V433=0,"",[1]对账明细接口!$V433),"")</f>
        <v/>
      </c>
      <c r="AB433" s="20" t="str">
        <f>IFERROR(IF([1]对账明细接口!$W433=0,"",[1]对账明细接口!$W433),"")</f>
        <v/>
      </c>
      <c r="AC433" s="7" t="str">
        <f>IFERROR(IF([1]对账明细接口!$X433=0,"",[1]对账明细接口!$X433),"")</f>
        <v/>
      </c>
      <c r="AD433" s="7" t="str">
        <f>IFERROR(IF([1]对账明细接口!$Y433=0,"",[1]对账明细接口!$Y433),"")</f>
        <v/>
      </c>
      <c r="AE433" s="7" t="str">
        <f>IFERROR(IF([1]对账明细接口!$AA433=0,"",[1]对账明细接口!$AA433),"")</f>
        <v/>
      </c>
      <c r="AF433" s="7" t="str">
        <f>IFERROR(IF([1]对账明细接口!$AB433=0,"",[1]对账明细接口!$AB433),"")</f>
        <v/>
      </c>
      <c r="AG433" s="7" t="str">
        <f>IFERROR(IF([1]对账明细接口!$AC433=0,"",[1]对账明细接口!$AC433),"")</f>
        <v/>
      </c>
      <c r="AH433" s="7" t="str">
        <f>IFERROR(IF([1]对账明细接口!$AD433=0,"",[1]对账明细接口!$AD433),"")</f>
        <v/>
      </c>
      <c r="AI433" s="7" t="str">
        <f>IFERROR(IF([1]对账明细接口!$AE433=0,"",[1]对账明细接口!$AE433),"")</f>
        <v/>
      </c>
      <c r="AJ433" s="7" t="str">
        <f>IFERROR(IF([1]对账明细接口!$AF433=0,"",[1]对账明细接口!$AF433),"")</f>
        <v/>
      </c>
    </row>
    <row r="434" ht="14.25" customHeight="1" spans="1:36">
      <c r="A434" s="14">
        <v>434</v>
      </c>
      <c r="B434" s="15" t="str">
        <f>IFERROR(IF([1]对账明细接口!$B$434=0,"",[1]对账明细接口!$B$434),"")</f>
        <v/>
      </c>
      <c r="C434" s="16" t="str">
        <f>IFERROR(IF([1]对账明细接口!$C$434=0,"",[1]对账明细接口!$C$434),"")</f>
        <v/>
      </c>
      <c r="D434" s="16" t="str">
        <f>IFERROR(IF([1]对账明细接口!$D$434=0,"",[1]对账明细接口!$D$434),"")</f>
        <v/>
      </c>
      <c r="E434" s="16" t="str">
        <f>IFERROR(IF([1]对账明细接口!$E$434=0,"",[1]对账明细接口!$E$434),"")</f>
        <v/>
      </c>
      <c r="F434" s="16" t="str">
        <f>IFERROR(IF([1]对账明细接口!$F$434=0,"",[1]对账明细接口!$F$434),"")</f>
        <v/>
      </c>
      <c r="G434" s="16" t="str">
        <f>IFERROR(IF([1]对账明细接口!$G$434=0,"",[1]对账明细接口!$G$434),"")</f>
        <v/>
      </c>
      <c r="H434" s="17" t="str">
        <f>IFERROR(IF([1]对账明细接口!$H$434=0,"",[1]对账明细接口!$H$434),"")</f>
        <v/>
      </c>
      <c r="I434" s="16" t="str">
        <f>IFERROR(IF([1]对账明细接口!$I$434=0,"",[1]对账明细接口!$I$434),"")</f>
        <v/>
      </c>
      <c r="J434" s="18" t="str">
        <f>IFERROR(IF([1]对账明细接口!$J$434=0,"",[1]对账明细接口!$J$434),"")</f>
        <v/>
      </c>
      <c r="K434" s="18" t="str">
        <f>IFERROR(IF([1]对账明细接口!$K$434=0,"",[1]对账明细接口!$K$434),"")</f>
        <v/>
      </c>
      <c r="L434" s="16" t="str">
        <f>IFERROR(IF([1]对账明细接口!$L$434=0,"",[1]对账明细接口!$L$434),"")</f>
        <v/>
      </c>
      <c r="M434" s="16" t="str">
        <f>IFERROR(IF([1]对账明细接口!$M$434=0,"",[1]对账明细接口!$M$434),"")</f>
        <v/>
      </c>
      <c r="N434" s="19">
        <f t="shared" si="12"/>
        <v>0</v>
      </c>
      <c r="O434" s="19">
        <f t="shared" si="13"/>
        <v>420</v>
      </c>
      <c r="S434" s="20" t="str">
        <f>IFERROR(IF([1]对账明细接口!$N434=0,"",[1]对账明细接口!$N434),"")</f>
        <v/>
      </c>
      <c r="T434" s="21" t="str">
        <f>IFERROR(IF([1]对账明细接口!$O434=0,"",[1]对账明细接口!$O434),"")</f>
        <v/>
      </c>
      <c r="U434" s="21" t="str">
        <f>IFERROR(IF([1]对账明细接口!$P434=0,"",[1]对账明细接口!$P434),"")</f>
        <v/>
      </c>
      <c r="V434" s="21" t="str">
        <f>IFERROR(IF([1]对账明细接口!$Q434=0,"",[1]对账明细接口!$Q434),"")</f>
        <v/>
      </c>
      <c r="W434" s="20" t="str">
        <f>IFERROR(IF([1]对账明细接口!$R434=0,"",[1]对账明细接口!$R434),"")</f>
        <v/>
      </c>
      <c r="X434" s="20" t="str">
        <f>IFERROR(IF([1]对账明细接口!$S434=0,"",[1]对账明细接口!$S434),"")</f>
        <v/>
      </c>
      <c r="Y434" s="20" t="str">
        <f>IFERROR(IF([1]对账明细接口!$T434=0,"",[1]对账明细接口!$T434),"")</f>
        <v/>
      </c>
      <c r="Z434" s="24" t="str">
        <f>IFERROR(IF([1]对账明细接口!$U434=0,"",[1]对账明细接口!$U434),"")</f>
        <v/>
      </c>
      <c r="AA434" s="24" t="str">
        <f>IFERROR(IF([1]对账明细接口!$V434=0,"",[1]对账明细接口!$V434),"")</f>
        <v/>
      </c>
      <c r="AB434" s="20" t="str">
        <f>IFERROR(IF([1]对账明细接口!$W434=0,"",[1]对账明细接口!$W434),"")</f>
        <v/>
      </c>
      <c r="AC434" s="7" t="str">
        <f>IFERROR(IF([1]对账明细接口!$X434=0,"",[1]对账明细接口!$X434),"")</f>
        <v/>
      </c>
      <c r="AD434" s="7" t="str">
        <f>IFERROR(IF([1]对账明细接口!$Y434=0,"",[1]对账明细接口!$Y434),"")</f>
        <v/>
      </c>
      <c r="AE434" s="7" t="str">
        <f>IFERROR(IF([1]对账明细接口!$AA434=0,"",[1]对账明细接口!$AA434),"")</f>
        <v/>
      </c>
      <c r="AF434" s="7" t="str">
        <f>IFERROR(IF([1]对账明细接口!$AB434=0,"",[1]对账明细接口!$AB434),"")</f>
        <v/>
      </c>
      <c r="AG434" s="7" t="str">
        <f>IFERROR(IF([1]对账明细接口!$AC434=0,"",[1]对账明细接口!$AC434),"")</f>
        <v/>
      </c>
      <c r="AH434" s="7" t="str">
        <f>IFERROR(IF([1]对账明细接口!$AD434=0,"",[1]对账明细接口!$AD434),"")</f>
        <v/>
      </c>
      <c r="AI434" s="7" t="str">
        <f>IFERROR(IF([1]对账明细接口!$AE434=0,"",[1]对账明细接口!$AE434),"")</f>
        <v/>
      </c>
      <c r="AJ434" s="7" t="str">
        <f>IFERROR(IF([1]对账明细接口!$AF434=0,"",[1]对账明细接口!$AF434),"")</f>
        <v/>
      </c>
    </row>
    <row r="435" ht="14.25" customHeight="1" spans="1:36">
      <c r="A435" s="14">
        <v>435</v>
      </c>
      <c r="B435" s="15" t="str">
        <f>IFERROR(IF([1]对账明细接口!$B$435=0,"",[1]对账明细接口!$B$435),"")</f>
        <v/>
      </c>
      <c r="C435" s="16" t="str">
        <f>IFERROR(IF([1]对账明细接口!$C$435=0,"",[1]对账明细接口!$C$435),"")</f>
        <v/>
      </c>
      <c r="D435" s="16" t="str">
        <f>IFERROR(IF([1]对账明细接口!$D$435=0,"",[1]对账明细接口!$D$435),"")</f>
        <v/>
      </c>
      <c r="E435" s="16" t="str">
        <f>IFERROR(IF([1]对账明细接口!$E$435=0,"",[1]对账明细接口!$E$435),"")</f>
        <v/>
      </c>
      <c r="F435" s="16" t="str">
        <f>IFERROR(IF([1]对账明细接口!$F$435=0,"",[1]对账明细接口!$F$435),"")</f>
        <v/>
      </c>
      <c r="G435" s="16" t="str">
        <f>IFERROR(IF([1]对账明细接口!$G$435=0,"",[1]对账明细接口!$G$435),"")</f>
        <v/>
      </c>
      <c r="H435" s="17" t="str">
        <f>IFERROR(IF([1]对账明细接口!$H$435=0,"",[1]对账明细接口!$H$435),"")</f>
        <v/>
      </c>
      <c r="I435" s="16" t="str">
        <f>IFERROR(IF([1]对账明细接口!$I$435=0,"",[1]对账明细接口!$I$435),"")</f>
        <v/>
      </c>
      <c r="J435" s="18" t="str">
        <f>IFERROR(IF([1]对账明细接口!$J$435=0,"",[1]对账明细接口!$J$435),"")</f>
        <v/>
      </c>
      <c r="K435" s="18" t="str">
        <f>IFERROR(IF([1]对账明细接口!$K$435=0,"",[1]对账明细接口!$K$435),"")</f>
        <v/>
      </c>
      <c r="L435" s="16" t="str">
        <f>IFERROR(IF([1]对账明细接口!$L$435=0,"",[1]对账明细接口!$L$435),"")</f>
        <v/>
      </c>
      <c r="M435" s="16" t="str">
        <f>IFERROR(IF([1]对账明细接口!$M$435=0,"",[1]对账明细接口!$M$435),"")</f>
        <v/>
      </c>
      <c r="N435" s="19">
        <f t="shared" si="12"/>
        <v>0</v>
      </c>
      <c r="O435" s="19">
        <f t="shared" si="13"/>
        <v>420</v>
      </c>
      <c r="S435" s="20" t="str">
        <f>IFERROR(IF([1]对账明细接口!$N435=0,"",[1]对账明细接口!$N435),"")</f>
        <v/>
      </c>
      <c r="T435" s="21" t="str">
        <f>IFERROR(IF([1]对账明细接口!$O435=0,"",[1]对账明细接口!$O435),"")</f>
        <v/>
      </c>
      <c r="U435" s="21" t="str">
        <f>IFERROR(IF([1]对账明细接口!$P435=0,"",[1]对账明细接口!$P435),"")</f>
        <v/>
      </c>
      <c r="V435" s="21" t="str">
        <f>IFERROR(IF([1]对账明细接口!$Q435=0,"",[1]对账明细接口!$Q435),"")</f>
        <v/>
      </c>
      <c r="W435" s="20" t="str">
        <f>IFERROR(IF([1]对账明细接口!$R435=0,"",[1]对账明细接口!$R435),"")</f>
        <v/>
      </c>
      <c r="X435" s="20" t="str">
        <f>IFERROR(IF([1]对账明细接口!$S435=0,"",[1]对账明细接口!$S435),"")</f>
        <v/>
      </c>
      <c r="Y435" s="20" t="str">
        <f>IFERROR(IF([1]对账明细接口!$T435=0,"",[1]对账明细接口!$T435),"")</f>
        <v/>
      </c>
      <c r="Z435" s="24" t="str">
        <f>IFERROR(IF([1]对账明细接口!$U435=0,"",[1]对账明细接口!$U435),"")</f>
        <v/>
      </c>
      <c r="AA435" s="24" t="str">
        <f>IFERROR(IF([1]对账明细接口!$V435=0,"",[1]对账明细接口!$V435),"")</f>
        <v/>
      </c>
      <c r="AB435" s="20" t="str">
        <f>IFERROR(IF([1]对账明细接口!$W435=0,"",[1]对账明细接口!$W435),"")</f>
        <v/>
      </c>
      <c r="AC435" s="7" t="str">
        <f>IFERROR(IF([1]对账明细接口!$X435=0,"",[1]对账明细接口!$X435),"")</f>
        <v/>
      </c>
      <c r="AD435" s="7" t="str">
        <f>IFERROR(IF([1]对账明细接口!$Y435=0,"",[1]对账明细接口!$Y435),"")</f>
        <v/>
      </c>
      <c r="AE435" s="7" t="str">
        <f>IFERROR(IF([1]对账明细接口!$AA435=0,"",[1]对账明细接口!$AA435),"")</f>
        <v/>
      </c>
      <c r="AF435" s="7" t="str">
        <f>IFERROR(IF([1]对账明细接口!$AB435=0,"",[1]对账明细接口!$AB435),"")</f>
        <v/>
      </c>
      <c r="AG435" s="7" t="str">
        <f>IFERROR(IF([1]对账明细接口!$AC435=0,"",[1]对账明细接口!$AC435),"")</f>
        <v/>
      </c>
      <c r="AH435" s="7" t="str">
        <f>IFERROR(IF([1]对账明细接口!$AD435=0,"",[1]对账明细接口!$AD435),"")</f>
        <v/>
      </c>
      <c r="AI435" s="7" t="str">
        <f>IFERROR(IF([1]对账明细接口!$AE435=0,"",[1]对账明细接口!$AE435),"")</f>
        <v/>
      </c>
      <c r="AJ435" s="7" t="str">
        <f>IFERROR(IF([1]对账明细接口!$AF435=0,"",[1]对账明细接口!$AF435),"")</f>
        <v/>
      </c>
    </row>
    <row r="436" ht="14.25" customHeight="1" spans="1:36">
      <c r="A436" s="14">
        <v>436</v>
      </c>
      <c r="B436" s="15" t="str">
        <f>IFERROR(IF([1]对账明细接口!$B$436=0,"",[1]对账明细接口!$B$436),"")</f>
        <v/>
      </c>
      <c r="C436" s="16" t="str">
        <f>IFERROR(IF([1]对账明细接口!$C$436=0,"",[1]对账明细接口!$C$436),"")</f>
        <v/>
      </c>
      <c r="D436" s="16" t="str">
        <f>IFERROR(IF([1]对账明细接口!$D$436=0,"",[1]对账明细接口!$D$436),"")</f>
        <v/>
      </c>
      <c r="E436" s="16" t="str">
        <f>IFERROR(IF([1]对账明细接口!$E$436=0,"",[1]对账明细接口!$E$436),"")</f>
        <v/>
      </c>
      <c r="F436" s="16" t="str">
        <f>IFERROR(IF([1]对账明细接口!$F$436=0,"",[1]对账明细接口!$F$436),"")</f>
        <v/>
      </c>
      <c r="G436" s="16" t="str">
        <f>IFERROR(IF([1]对账明细接口!$G$436=0,"",[1]对账明细接口!$G$436),"")</f>
        <v/>
      </c>
      <c r="H436" s="17" t="str">
        <f>IFERROR(IF([1]对账明细接口!$H$436=0,"",[1]对账明细接口!$H$436),"")</f>
        <v/>
      </c>
      <c r="I436" s="16" t="str">
        <f>IFERROR(IF([1]对账明细接口!$I$436=0,"",[1]对账明细接口!$I$436),"")</f>
        <v/>
      </c>
      <c r="J436" s="18" t="str">
        <f>IFERROR(IF([1]对账明细接口!$J$436=0,"",[1]对账明细接口!$J$436),"")</f>
        <v/>
      </c>
      <c r="K436" s="18" t="str">
        <f>IFERROR(IF([1]对账明细接口!$K$436=0,"",[1]对账明细接口!$K$436),"")</f>
        <v/>
      </c>
      <c r="L436" s="16" t="str">
        <f>IFERROR(IF([1]对账明细接口!$L$436=0,"",[1]对账明细接口!$L$436),"")</f>
        <v/>
      </c>
      <c r="M436" s="16" t="str">
        <f>IFERROR(IF([1]对账明细接口!$M$436=0,"",[1]对账明细接口!$M$436),"")</f>
        <v/>
      </c>
      <c r="N436" s="19">
        <f t="shared" si="12"/>
        <v>0</v>
      </c>
      <c r="O436" s="19">
        <f t="shared" si="13"/>
        <v>420</v>
      </c>
      <c r="S436" s="20" t="str">
        <f>IFERROR(IF([1]对账明细接口!$N436=0,"",[1]对账明细接口!$N436),"")</f>
        <v/>
      </c>
      <c r="T436" s="21" t="str">
        <f>IFERROR(IF([1]对账明细接口!$O436=0,"",[1]对账明细接口!$O436),"")</f>
        <v/>
      </c>
      <c r="U436" s="21" t="str">
        <f>IFERROR(IF([1]对账明细接口!$P436=0,"",[1]对账明细接口!$P436),"")</f>
        <v/>
      </c>
      <c r="V436" s="21" t="str">
        <f>IFERROR(IF([1]对账明细接口!$Q436=0,"",[1]对账明细接口!$Q436),"")</f>
        <v/>
      </c>
      <c r="W436" s="20" t="str">
        <f>IFERROR(IF([1]对账明细接口!$R436=0,"",[1]对账明细接口!$R436),"")</f>
        <v/>
      </c>
      <c r="X436" s="20" t="str">
        <f>IFERROR(IF([1]对账明细接口!$S436=0,"",[1]对账明细接口!$S436),"")</f>
        <v/>
      </c>
      <c r="Y436" s="20" t="str">
        <f>IFERROR(IF([1]对账明细接口!$T436=0,"",[1]对账明细接口!$T436),"")</f>
        <v/>
      </c>
      <c r="Z436" s="24" t="str">
        <f>IFERROR(IF([1]对账明细接口!$U436=0,"",[1]对账明细接口!$U436),"")</f>
        <v/>
      </c>
      <c r="AA436" s="24" t="str">
        <f>IFERROR(IF([1]对账明细接口!$V436=0,"",[1]对账明细接口!$V436),"")</f>
        <v/>
      </c>
      <c r="AB436" s="20" t="str">
        <f>IFERROR(IF([1]对账明细接口!$W436=0,"",[1]对账明细接口!$W436),"")</f>
        <v/>
      </c>
      <c r="AC436" s="7" t="str">
        <f>IFERROR(IF([1]对账明细接口!$X436=0,"",[1]对账明细接口!$X436),"")</f>
        <v/>
      </c>
      <c r="AD436" s="7" t="str">
        <f>IFERROR(IF([1]对账明细接口!$Y436=0,"",[1]对账明细接口!$Y436),"")</f>
        <v/>
      </c>
      <c r="AE436" s="7" t="str">
        <f>IFERROR(IF([1]对账明细接口!$AA436=0,"",[1]对账明细接口!$AA436),"")</f>
        <v/>
      </c>
      <c r="AF436" s="7" t="str">
        <f>IFERROR(IF([1]对账明细接口!$AB436=0,"",[1]对账明细接口!$AB436),"")</f>
        <v/>
      </c>
      <c r="AG436" s="7" t="str">
        <f>IFERROR(IF([1]对账明细接口!$AC436=0,"",[1]对账明细接口!$AC436),"")</f>
        <v/>
      </c>
      <c r="AH436" s="7" t="str">
        <f>IFERROR(IF([1]对账明细接口!$AD436=0,"",[1]对账明细接口!$AD436),"")</f>
        <v/>
      </c>
      <c r="AI436" s="7" t="str">
        <f>IFERROR(IF([1]对账明细接口!$AE436=0,"",[1]对账明细接口!$AE436),"")</f>
        <v/>
      </c>
      <c r="AJ436" s="7" t="str">
        <f>IFERROR(IF([1]对账明细接口!$AF436=0,"",[1]对账明细接口!$AF436),"")</f>
        <v/>
      </c>
    </row>
    <row r="437" ht="14.25" customHeight="1" spans="1:36">
      <c r="A437" s="14">
        <v>437</v>
      </c>
      <c r="B437" s="15" t="str">
        <f>IFERROR(IF([1]对账明细接口!$B$437=0,"",[1]对账明细接口!$B$437),"")</f>
        <v/>
      </c>
      <c r="C437" s="16" t="str">
        <f>IFERROR(IF([1]对账明细接口!$C$437=0,"",[1]对账明细接口!$C$437),"")</f>
        <v/>
      </c>
      <c r="D437" s="16" t="str">
        <f>IFERROR(IF([1]对账明细接口!$D$437=0,"",[1]对账明细接口!$D$437),"")</f>
        <v/>
      </c>
      <c r="E437" s="16" t="str">
        <f>IFERROR(IF([1]对账明细接口!$E$437=0,"",[1]对账明细接口!$E$437),"")</f>
        <v/>
      </c>
      <c r="F437" s="16" t="str">
        <f>IFERROR(IF([1]对账明细接口!$F$437=0,"",[1]对账明细接口!$F$437),"")</f>
        <v/>
      </c>
      <c r="G437" s="16" t="str">
        <f>IFERROR(IF([1]对账明细接口!$G$437=0,"",[1]对账明细接口!$G$437),"")</f>
        <v/>
      </c>
      <c r="H437" s="17" t="str">
        <f>IFERROR(IF([1]对账明细接口!$H$437=0,"",[1]对账明细接口!$H$437),"")</f>
        <v/>
      </c>
      <c r="I437" s="16" t="str">
        <f>IFERROR(IF([1]对账明细接口!$I$437=0,"",[1]对账明细接口!$I$437),"")</f>
        <v/>
      </c>
      <c r="J437" s="18" t="str">
        <f>IFERROR(IF([1]对账明细接口!$J$437=0,"",[1]对账明细接口!$J$437),"")</f>
        <v/>
      </c>
      <c r="K437" s="18" t="str">
        <f>IFERROR(IF([1]对账明细接口!$K$437=0,"",[1]对账明细接口!$K$437),"")</f>
        <v/>
      </c>
      <c r="L437" s="16" t="str">
        <f>IFERROR(IF([1]对账明细接口!$L$437=0,"",[1]对账明细接口!$L$437),"")</f>
        <v/>
      </c>
      <c r="M437" s="16" t="str">
        <f>IFERROR(IF([1]对账明细接口!$M$437=0,"",[1]对账明细接口!$M$437),"")</f>
        <v/>
      </c>
      <c r="N437" s="19">
        <f t="shared" si="12"/>
        <v>0</v>
      </c>
      <c r="O437" s="19">
        <f t="shared" si="13"/>
        <v>420</v>
      </c>
      <c r="S437" s="20" t="str">
        <f>IFERROR(IF([1]对账明细接口!$N437=0,"",[1]对账明细接口!$N437),"")</f>
        <v/>
      </c>
      <c r="T437" s="21" t="str">
        <f>IFERROR(IF([1]对账明细接口!$O437=0,"",[1]对账明细接口!$O437),"")</f>
        <v/>
      </c>
      <c r="U437" s="21" t="str">
        <f>IFERROR(IF([1]对账明细接口!$P437=0,"",[1]对账明细接口!$P437),"")</f>
        <v/>
      </c>
      <c r="V437" s="21" t="str">
        <f>IFERROR(IF([1]对账明细接口!$Q437=0,"",[1]对账明细接口!$Q437),"")</f>
        <v/>
      </c>
      <c r="W437" s="20" t="str">
        <f>IFERROR(IF([1]对账明细接口!$R437=0,"",[1]对账明细接口!$R437),"")</f>
        <v/>
      </c>
      <c r="X437" s="20" t="str">
        <f>IFERROR(IF([1]对账明细接口!$S437=0,"",[1]对账明细接口!$S437),"")</f>
        <v/>
      </c>
      <c r="Y437" s="20" t="str">
        <f>IFERROR(IF([1]对账明细接口!$T437=0,"",[1]对账明细接口!$T437),"")</f>
        <v/>
      </c>
      <c r="Z437" s="24" t="str">
        <f>IFERROR(IF([1]对账明细接口!$U437=0,"",[1]对账明细接口!$U437),"")</f>
        <v/>
      </c>
      <c r="AA437" s="24" t="str">
        <f>IFERROR(IF([1]对账明细接口!$V437=0,"",[1]对账明细接口!$V437),"")</f>
        <v/>
      </c>
      <c r="AB437" s="20" t="str">
        <f>IFERROR(IF([1]对账明细接口!$W437=0,"",[1]对账明细接口!$W437),"")</f>
        <v/>
      </c>
      <c r="AC437" s="7" t="str">
        <f>IFERROR(IF([1]对账明细接口!$X437=0,"",[1]对账明细接口!$X437),"")</f>
        <v/>
      </c>
      <c r="AD437" s="7" t="str">
        <f>IFERROR(IF([1]对账明细接口!$Y437=0,"",[1]对账明细接口!$Y437),"")</f>
        <v/>
      </c>
      <c r="AE437" s="7" t="str">
        <f>IFERROR(IF([1]对账明细接口!$AA437=0,"",[1]对账明细接口!$AA437),"")</f>
        <v/>
      </c>
      <c r="AF437" s="7" t="str">
        <f>IFERROR(IF([1]对账明细接口!$AB437=0,"",[1]对账明细接口!$AB437),"")</f>
        <v/>
      </c>
      <c r="AG437" s="7" t="str">
        <f>IFERROR(IF([1]对账明细接口!$AC437=0,"",[1]对账明细接口!$AC437),"")</f>
        <v/>
      </c>
      <c r="AH437" s="7" t="str">
        <f>IFERROR(IF([1]对账明细接口!$AD437=0,"",[1]对账明细接口!$AD437),"")</f>
        <v/>
      </c>
      <c r="AI437" s="7" t="str">
        <f>IFERROR(IF([1]对账明细接口!$AE437=0,"",[1]对账明细接口!$AE437),"")</f>
        <v/>
      </c>
      <c r="AJ437" s="7" t="str">
        <f>IFERROR(IF([1]对账明细接口!$AF437=0,"",[1]对账明细接口!$AF437),"")</f>
        <v/>
      </c>
    </row>
    <row r="438" ht="14.25" customHeight="1" spans="1:36">
      <c r="A438" s="14">
        <v>438</v>
      </c>
      <c r="B438" s="15" t="str">
        <f>IFERROR(IF([1]对账明细接口!$B$438=0,"",[1]对账明细接口!$B$438),"")</f>
        <v/>
      </c>
      <c r="C438" s="16" t="str">
        <f>IFERROR(IF([1]对账明细接口!$C$438=0,"",[1]对账明细接口!$C$438),"")</f>
        <v/>
      </c>
      <c r="D438" s="16" t="str">
        <f>IFERROR(IF([1]对账明细接口!$D$438=0,"",[1]对账明细接口!$D$438),"")</f>
        <v/>
      </c>
      <c r="E438" s="16" t="str">
        <f>IFERROR(IF([1]对账明细接口!$E$438=0,"",[1]对账明细接口!$E$438),"")</f>
        <v/>
      </c>
      <c r="F438" s="16" t="str">
        <f>IFERROR(IF([1]对账明细接口!$F$438=0,"",[1]对账明细接口!$F$438),"")</f>
        <v/>
      </c>
      <c r="G438" s="16" t="str">
        <f>IFERROR(IF([1]对账明细接口!$G$438=0,"",[1]对账明细接口!$G$438),"")</f>
        <v/>
      </c>
      <c r="H438" s="17" t="str">
        <f>IFERROR(IF([1]对账明细接口!$H$438=0,"",[1]对账明细接口!$H$438),"")</f>
        <v/>
      </c>
      <c r="I438" s="16" t="str">
        <f>IFERROR(IF([1]对账明细接口!$I$438=0,"",[1]对账明细接口!$I$438),"")</f>
        <v/>
      </c>
      <c r="J438" s="18" t="str">
        <f>IFERROR(IF([1]对账明细接口!$J$438=0,"",[1]对账明细接口!$J$438),"")</f>
        <v/>
      </c>
      <c r="K438" s="18" t="str">
        <f>IFERROR(IF([1]对账明细接口!$K$438=0,"",[1]对账明细接口!$K$438),"")</f>
        <v/>
      </c>
      <c r="L438" s="16" t="str">
        <f>IFERROR(IF([1]对账明细接口!$L$438=0,"",[1]对账明细接口!$L$438),"")</f>
        <v/>
      </c>
      <c r="M438" s="16" t="str">
        <f>IFERROR(IF([1]对账明细接口!$M$438=0,"",[1]对账明细接口!$M$438),"")</f>
        <v/>
      </c>
      <c r="N438" s="19">
        <f t="shared" si="12"/>
        <v>0</v>
      </c>
      <c r="O438" s="19">
        <f t="shared" si="13"/>
        <v>420</v>
      </c>
      <c r="S438" s="20" t="str">
        <f>IFERROR(IF([1]对账明细接口!$N438=0,"",[1]对账明细接口!$N438),"")</f>
        <v/>
      </c>
      <c r="T438" s="21" t="str">
        <f>IFERROR(IF([1]对账明细接口!$O438=0,"",[1]对账明细接口!$O438),"")</f>
        <v/>
      </c>
      <c r="U438" s="21" t="str">
        <f>IFERROR(IF([1]对账明细接口!$P438=0,"",[1]对账明细接口!$P438),"")</f>
        <v/>
      </c>
      <c r="V438" s="21" t="str">
        <f>IFERROR(IF([1]对账明细接口!$Q438=0,"",[1]对账明细接口!$Q438),"")</f>
        <v/>
      </c>
      <c r="W438" s="20" t="str">
        <f>IFERROR(IF([1]对账明细接口!$R438=0,"",[1]对账明细接口!$R438),"")</f>
        <v/>
      </c>
      <c r="X438" s="20" t="str">
        <f>IFERROR(IF([1]对账明细接口!$S438=0,"",[1]对账明细接口!$S438),"")</f>
        <v/>
      </c>
      <c r="Y438" s="20" t="str">
        <f>IFERROR(IF([1]对账明细接口!$T438=0,"",[1]对账明细接口!$T438),"")</f>
        <v/>
      </c>
      <c r="Z438" s="24" t="str">
        <f>IFERROR(IF([1]对账明细接口!$U438=0,"",[1]对账明细接口!$U438),"")</f>
        <v/>
      </c>
      <c r="AA438" s="24" t="str">
        <f>IFERROR(IF([1]对账明细接口!$V438=0,"",[1]对账明细接口!$V438),"")</f>
        <v/>
      </c>
      <c r="AB438" s="20" t="str">
        <f>IFERROR(IF([1]对账明细接口!$W438=0,"",[1]对账明细接口!$W438),"")</f>
        <v/>
      </c>
      <c r="AC438" s="7" t="str">
        <f>IFERROR(IF([1]对账明细接口!$X438=0,"",[1]对账明细接口!$X438),"")</f>
        <v/>
      </c>
      <c r="AD438" s="7" t="str">
        <f>IFERROR(IF([1]对账明细接口!$Y438=0,"",[1]对账明细接口!$Y438),"")</f>
        <v/>
      </c>
      <c r="AE438" s="7" t="str">
        <f>IFERROR(IF([1]对账明细接口!$AA438=0,"",[1]对账明细接口!$AA438),"")</f>
        <v/>
      </c>
      <c r="AF438" s="7" t="str">
        <f>IFERROR(IF([1]对账明细接口!$AB438=0,"",[1]对账明细接口!$AB438),"")</f>
        <v/>
      </c>
      <c r="AG438" s="7" t="str">
        <f>IFERROR(IF([1]对账明细接口!$AC438=0,"",[1]对账明细接口!$AC438),"")</f>
        <v/>
      </c>
      <c r="AH438" s="7" t="str">
        <f>IFERROR(IF([1]对账明细接口!$AD438=0,"",[1]对账明细接口!$AD438),"")</f>
        <v/>
      </c>
      <c r="AI438" s="7" t="str">
        <f>IFERROR(IF([1]对账明细接口!$AE438=0,"",[1]对账明细接口!$AE438),"")</f>
        <v/>
      </c>
      <c r="AJ438" s="7" t="str">
        <f>IFERROR(IF([1]对账明细接口!$AF438=0,"",[1]对账明细接口!$AF438),"")</f>
        <v/>
      </c>
    </row>
    <row r="439" ht="14.25" customHeight="1" spans="1:36">
      <c r="A439" s="14">
        <v>439</v>
      </c>
      <c r="B439" s="15" t="str">
        <f>IFERROR(IF([1]对账明细接口!$B$439=0,"",[1]对账明细接口!$B$439),"")</f>
        <v/>
      </c>
      <c r="C439" s="16" t="str">
        <f>IFERROR(IF([1]对账明细接口!$C$439=0,"",[1]对账明细接口!$C$439),"")</f>
        <v/>
      </c>
      <c r="D439" s="16" t="str">
        <f>IFERROR(IF([1]对账明细接口!$D$439=0,"",[1]对账明细接口!$D$439),"")</f>
        <v/>
      </c>
      <c r="E439" s="16" t="str">
        <f>IFERROR(IF([1]对账明细接口!$E$439=0,"",[1]对账明细接口!$E$439),"")</f>
        <v/>
      </c>
      <c r="F439" s="16" t="str">
        <f>IFERROR(IF([1]对账明细接口!$F$439=0,"",[1]对账明细接口!$F$439),"")</f>
        <v/>
      </c>
      <c r="G439" s="16" t="str">
        <f>IFERROR(IF([1]对账明细接口!$G$439=0,"",[1]对账明细接口!$G$439),"")</f>
        <v/>
      </c>
      <c r="H439" s="17" t="str">
        <f>IFERROR(IF([1]对账明细接口!$H$439=0,"",[1]对账明细接口!$H$439),"")</f>
        <v/>
      </c>
      <c r="I439" s="16" t="str">
        <f>IFERROR(IF([1]对账明细接口!$I$439=0,"",[1]对账明细接口!$I$439),"")</f>
        <v/>
      </c>
      <c r="J439" s="18" t="str">
        <f>IFERROR(IF([1]对账明细接口!$J$439=0,"",[1]对账明细接口!$J$439),"")</f>
        <v/>
      </c>
      <c r="K439" s="18" t="str">
        <f>IFERROR(IF([1]对账明细接口!$K$439=0,"",[1]对账明细接口!$K$439),"")</f>
        <v/>
      </c>
      <c r="L439" s="16" t="str">
        <f>IFERROR(IF([1]对账明细接口!$L$439=0,"",[1]对账明细接口!$L$439),"")</f>
        <v/>
      </c>
      <c r="M439" s="16" t="str">
        <f>IFERROR(IF([1]对账明细接口!$M$439=0,"",[1]对账明细接口!$M$439),"")</f>
        <v/>
      </c>
      <c r="N439" s="19">
        <f t="shared" si="12"/>
        <v>0</v>
      </c>
      <c r="O439" s="19">
        <f t="shared" si="13"/>
        <v>420</v>
      </c>
      <c r="S439" s="20" t="str">
        <f>IFERROR(IF([1]对账明细接口!$N439=0,"",[1]对账明细接口!$N439),"")</f>
        <v/>
      </c>
      <c r="T439" s="21" t="str">
        <f>IFERROR(IF([1]对账明细接口!$O439=0,"",[1]对账明细接口!$O439),"")</f>
        <v/>
      </c>
      <c r="U439" s="21" t="str">
        <f>IFERROR(IF([1]对账明细接口!$P439=0,"",[1]对账明细接口!$P439),"")</f>
        <v/>
      </c>
      <c r="V439" s="21" t="str">
        <f>IFERROR(IF([1]对账明细接口!$Q439=0,"",[1]对账明细接口!$Q439),"")</f>
        <v/>
      </c>
      <c r="W439" s="20" t="str">
        <f>IFERROR(IF([1]对账明细接口!$R439=0,"",[1]对账明细接口!$R439),"")</f>
        <v/>
      </c>
      <c r="X439" s="20" t="str">
        <f>IFERROR(IF([1]对账明细接口!$S439=0,"",[1]对账明细接口!$S439),"")</f>
        <v/>
      </c>
      <c r="Y439" s="20" t="str">
        <f>IFERROR(IF([1]对账明细接口!$T439=0,"",[1]对账明细接口!$T439),"")</f>
        <v/>
      </c>
      <c r="Z439" s="24" t="str">
        <f>IFERROR(IF([1]对账明细接口!$U439=0,"",[1]对账明细接口!$U439),"")</f>
        <v/>
      </c>
      <c r="AA439" s="24" t="str">
        <f>IFERROR(IF([1]对账明细接口!$V439=0,"",[1]对账明细接口!$V439),"")</f>
        <v/>
      </c>
      <c r="AB439" s="20" t="str">
        <f>IFERROR(IF([1]对账明细接口!$W439=0,"",[1]对账明细接口!$W439),"")</f>
        <v/>
      </c>
      <c r="AC439" s="7" t="str">
        <f>IFERROR(IF([1]对账明细接口!$X439=0,"",[1]对账明细接口!$X439),"")</f>
        <v/>
      </c>
      <c r="AD439" s="7" t="str">
        <f>IFERROR(IF([1]对账明细接口!$Y439=0,"",[1]对账明细接口!$Y439),"")</f>
        <v/>
      </c>
      <c r="AE439" s="7" t="str">
        <f>IFERROR(IF([1]对账明细接口!$AA439=0,"",[1]对账明细接口!$AA439),"")</f>
        <v/>
      </c>
      <c r="AF439" s="7" t="str">
        <f>IFERROR(IF([1]对账明细接口!$AB439=0,"",[1]对账明细接口!$AB439),"")</f>
        <v/>
      </c>
      <c r="AG439" s="7" t="str">
        <f>IFERROR(IF([1]对账明细接口!$AC439=0,"",[1]对账明细接口!$AC439),"")</f>
        <v/>
      </c>
      <c r="AH439" s="7" t="str">
        <f>IFERROR(IF([1]对账明细接口!$AD439=0,"",[1]对账明细接口!$AD439),"")</f>
        <v/>
      </c>
      <c r="AI439" s="7" t="str">
        <f>IFERROR(IF([1]对账明细接口!$AE439=0,"",[1]对账明细接口!$AE439),"")</f>
        <v/>
      </c>
      <c r="AJ439" s="7" t="str">
        <f>IFERROR(IF([1]对账明细接口!$AF439=0,"",[1]对账明细接口!$AF439),"")</f>
        <v/>
      </c>
    </row>
    <row r="440" ht="14.25" customHeight="1" spans="1:36">
      <c r="A440" s="14">
        <v>440</v>
      </c>
      <c r="B440" s="15" t="str">
        <f>IFERROR(IF([1]对账明细接口!$B$440=0,"",[1]对账明细接口!$B$440),"")</f>
        <v/>
      </c>
      <c r="C440" s="16" t="str">
        <f>IFERROR(IF([1]对账明细接口!$C$440=0,"",[1]对账明细接口!$C$440),"")</f>
        <v/>
      </c>
      <c r="D440" s="16" t="str">
        <f>IFERROR(IF([1]对账明细接口!$D$440=0,"",[1]对账明细接口!$D$440),"")</f>
        <v/>
      </c>
      <c r="E440" s="16" t="str">
        <f>IFERROR(IF([1]对账明细接口!$E$440=0,"",[1]对账明细接口!$E$440),"")</f>
        <v/>
      </c>
      <c r="F440" s="16" t="str">
        <f>IFERROR(IF([1]对账明细接口!$F$440=0,"",[1]对账明细接口!$F$440),"")</f>
        <v/>
      </c>
      <c r="G440" s="16" t="str">
        <f>IFERROR(IF([1]对账明细接口!$G$440=0,"",[1]对账明细接口!$G$440),"")</f>
        <v/>
      </c>
      <c r="H440" s="17" t="str">
        <f>IFERROR(IF([1]对账明细接口!$H$440=0,"",[1]对账明细接口!$H$440),"")</f>
        <v/>
      </c>
      <c r="I440" s="16" t="str">
        <f>IFERROR(IF([1]对账明细接口!$I$440=0,"",[1]对账明细接口!$I$440),"")</f>
        <v/>
      </c>
      <c r="J440" s="18" t="str">
        <f>IFERROR(IF([1]对账明细接口!$J$440=0,"",[1]对账明细接口!$J$440),"")</f>
        <v/>
      </c>
      <c r="K440" s="18" t="str">
        <f>IFERROR(IF([1]对账明细接口!$K$440=0,"",[1]对账明细接口!$K$440),"")</f>
        <v/>
      </c>
      <c r="L440" s="16" t="str">
        <f>IFERROR(IF([1]对账明细接口!$L$440=0,"",[1]对账明细接口!$L$440),"")</f>
        <v/>
      </c>
      <c r="M440" s="16" t="str">
        <f>IFERROR(IF([1]对账明细接口!$M$440=0,"",[1]对账明细接口!$M$440),"")</f>
        <v/>
      </c>
      <c r="N440" s="19">
        <f t="shared" si="12"/>
        <v>0</v>
      </c>
      <c r="O440" s="19">
        <f t="shared" si="13"/>
        <v>420</v>
      </c>
      <c r="S440" s="20" t="str">
        <f>IFERROR(IF([1]对账明细接口!$N440=0,"",[1]对账明细接口!$N440),"")</f>
        <v/>
      </c>
      <c r="T440" s="21" t="str">
        <f>IFERROR(IF([1]对账明细接口!$O440=0,"",[1]对账明细接口!$O440),"")</f>
        <v/>
      </c>
      <c r="U440" s="21" t="str">
        <f>IFERROR(IF([1]对账明细接口!$P440=0,"",[1]对账明细接口!$P440),"")</f>
        <v/>
      </c>
      <c r="V440" s="21" t="str">
        <f>IFERROR(IF([1]对账明细接口!$Q440=0,"",[1]对账明细接口!$Q440),"")</f>
        <v/>
      </c>
      <c r="W440" s="20" t="str">
        <f>IFERROR(IF([1]对账明细接口!$R440=0,"",[1]对账明细接口!$R440),"")</f>
        <v/>
      </c>
      <c r="X440" s="20" t="str">
        <f>IFERROR(IF([1]对账明细接口!$S440=0,"",[1]对账明细接口!$S440),"")</f>
        <v/>
      </c>
      <c r="Y440" s="20" t="str">
        <f>IFERROR(IF([1]对账明细接口!$T440=0,"",[1]对账明细接口!$T440),"")</f>
        <v/>
      </c>
      <c r="Z440" s="24" t="str">
        <f>IFERROR(IF([1]对账明细接口!$U440=0,"",[1]对账明细接口!$U440),"")</f>
        <v/>
      </c>
      <c r="AA440" s="24" t="str">
        <f>IFERROR(IF([1]对账明细接口!$V440=0,"",[1]对账明细接口!$V440),"")</f>
        <v/>
      </c>
      <c r="AB440" s="20" t="str">
        <f>IFERROR(IF([1]对账明细接口!$W440=0,"",[1]对账明细接口!$W440),"")</f>
        <v/>
      </c>
      <c r="AC440" s="7" t="str">
        <f>IFERROR(IF([1]对账明细接口!$X440=0,"",[1]对账明细接口!$X440),"")</f>
        <v/>
      </c>
      <c r="AD440" s="7" t="str">
        <f>IFERROR(IF([1]对账明细接口!$Y440=0,"",[1]对账明细接口!$Y440),"")</f>
        <v/>
      </c>
      <c r="AE440" s="7" t="str">
        <f>IFERROR(IF([1]对账明细接口!$AA440=0,"",[1]对账明细接口!$AA440),"")</f>
        <v/>
      </c>
      <c r="AF440" s="7" t="str">
        <f>IFERROR(IF([1]对账明细接口!$AB440=0,"",[1]对账明细接口!$AB440),"")</f>
        <v/>
      </c>
      <c r="AG440" s="7" t="str">
        <f>IFERROR(IF([1]对账明细接口!$AC440=0,"",[1]对账明细接口!$AC440),"")</f>
        <v/>
      </c>
      <c r="AH440" s="7" t="str">
        <f>IFERROR(IF([1]对账明细接口!$AD440=0,"",[1]对账明细接口!$AD440),"")</f>
        <v/>
      </c>
      <c r="AI440" s="7" t="str">
        <f>IFERROR(IF([1]对账明细接口!$AE440=0,"",[1]对账明细接口!$AE440),"")</f>
        <v/>
      </c>
      <c r="AJ440" s="7" t="str">
        <f>IFERROR(IF([1]对账明细接口!$AF440=0,"",[1]对账明细接口!$AF440),"")</f>
        <v/>
      </c>
    </row>
    <row r="441" ht="14.25" customHeight="1" spans="1:36">
      <c r="A441" s="14">
        <v>441</v>
      </c>
      <c r="B441" s="15" t="str">
        <f>IFERROR(IF([1]对账明细接口!$B$441=0,"",[1]对账明细接口!$B$441),"")</f>
        <v/>
      </c>
      <c r="C441" s="16" t="str">
        <f>IFERROR(IF([1]对账明细接口!$C$441=0,"",[1]对账明细接口!$C$441),"")</f>
        <v/>
      </c>
      <c r="D441" s="16" t="str">
        <f>IFERROR(IF([1]对账明细接口!$D$441=0,"",[1]对账明细接口!$D$441),"")</f>
        <v/>
      </c>
      <c r="E441" s="16" t="str">
        <f>IFERROR(IF([1]对账明细接口!$E$441=0,"",[1]对账明细接口!$E$441),"")</f>
        <v/>
      </c>
      <c r="F441" s="16" t="str">
        <f>IFERROR(IF([1]对账明细接口!$F$441=0,"",[1]对账明细接口!$F$441),"")</f>
        <v/>
      </c>
      <c r="G441" s="16" t="str">
        <f>IFERROR(IF([1]对账明细接口!$G$441=0,"",[1]对账明细接口!$G$441),"")</f>
        <v/>
      </c>
      <c r="H441" s="17" t="str">
        <f>IFERROR(IF([1]对账明细接口!$H$441=0,"",[1]对账明细接口!$H$441),"")</f>
        <v/>
      </c>
      <c r="I441" s="16" t="str">
        <f>IFERROR(IF([1]对账明细接口!$I$441=0,"",[1]对账明细接口!$I$441),"")</f>
        <v/>
      </c>
      <c r="J441" s="18" t="str">
        <f>IFERROR(IF([1]对账明细接口!$J$441=0,"",[1]对账明细接口!$J$441),"")</f>
        <v/>
      </c>
      <c r="K441" s="18" t="str">
        <f>IFERROR(IF([1]对账明细接口!$K$441=0,"",[1]对账明细接口!$K$441),"")</f>
        <v/>
      </c>
      <c r="L441" s="16" t="str">
        <f>IFERROR(IF([1]对账明细接口!$L$441=0,"",[1]对账明细接口!$L$441),"")</f>
        <v/>
      </c>
      <c r="M441" s="16" t="str">
        <f>IFERROR(IF([1]对账明细接口!$M$441=0,"",[1]对账明细接口!$M$441),"")</f>
        <v/>
      </c>
      <c r="N441" s="19">
        <f t="shared" si="12"/>
        <v>0</v>
      </c>
      <c r="O441" s="19">
        <f t="shared" si="13"/>
        <v>420</v>
      </c>
      <c r="S441" s="20" t="str">
        <f>IFERROR(IF([1]对账明细接口!$N441=0,"",[1]对账明细接口!$N441),"")</f>
        <v/>
      </c>
      <c r="T441" s="21" t="str">
        <f>IFERROR(IF([1]对账明细接口!$O441=0,"",[1]对账明细接口!$O441),"")</f>
        <v/>
      </c>
      <c r="U441" s="21" t="str">
        <f>IFERROR(IF([1]对账明细接口!$P441=0,"",[1]对账明细接口!$P441),"")</f>
        <v/>
      </c>
      <c r="V441" s="21" t="str">
        <f>IFERROR(IF([1]对账明细接口!$Q441=0,"",[1]对账明细接口!$Q441),"")</f>
        <v/>
      </c>
      <c r="W441" s="20" t="str">
        <f>IFERROR(IF([1]对账明细接口!$R441=0,"",[1]对账明细接口!$R441),"")</f>
        <v/>
      </c>
      <c r="X441" s="20" t="str">
        <f>IFERROR(IF([1]对账明细接口!$S441=0,"",[1]对账明细接口!$S441),"")</f>
        <v/>
      </c>
      <c r="Y441" s="20" t="str">
        <f>IFERROR(IF([1]对账明细接口!$T441=0,"",[1]对账明细接口!$T441),"")</f>
        <v/>
      </c>
      <c r="Z441" s="24" t="str">
        <f>IFERROR(IF([1]对账明细接口!$U441=0,"",[1]对账明细接口!$U441),"")</f>
        <v/>
      </c>
      <c r="AA441" s="24" t="str">
        <f>IFERROR(IF([1]对账明细接口!$V441=0,"",[1]对账明细接口!$V441),"")</f>
        <v/>
      </c>
      <c r="AB441" s="20" t="str">
        <f>IFERROR(IF([1]对账明细接口!$W441=0,"",[1]对账明细接口!$W441),"")</f>
        <v/>
      </c>
      <c r="AC441" s="7" t="str">
        <f>IFERROR(IF([1]对账明细接口!$X441=0,"",[1]对账明细接口!$X441),"")</f>
        <v/>
      </c>
      <c r="AD441" s="7" t="str">
        <f>IFERROR(IF([1]对账明细接口!$Y441=0,"",[1]对账明细接口!$Y441),"")</f>
        <v/>
      </c>
      <c r="AE441" s="7" t="str">
        <f>IFERROR(IF([1]对账明细接口!$AA441=0,"",[1]对账明细接口!$AA441),"")</f>
        <v/>
      </c>
      <c r="AF441" s="7" t="str">
        <f>IFERROR(IF([1]对账明细接口!$AB441=0,"",[1]对账明细接口!$AB441),"")</f>
        <v/>
      </c>
      <c r="AG441" s="7" t="str">
        <f>IFERROR(IF([1]对账明细接口!$AC441=0,"",[1]对账明细接口!$AC441),"")</f>
        <v/>
      </c>
      <c r="AH441" s="7" t="str">
        <f>IFERROR(IF([1]对账明细接口!$AD441=0,"",[1]对账明细接口!$AD441),"")</f>
        <v/>
      </c>
      <c r="AI441" s="7" t="str">
        <f>IFERROR(IF([1]对账明细接口!$AE441=0,"",[1]对账明细接口!$AE441),"")</f>
        <v/>
      </c>
      <c r="AJ441" s="7" t="str">
        <f>IFERROR(IF([1]对账明细接口!$AF441=0,"",[1]对账明细接口!$AF441),"")</f>
        <v/>
      </c>
    </row>
    <row r="442" ht="14.25" customHeight="1" spans="1:36">
      <c r="A442" s="14">
        <v>442</v>
      </c>
      <c r="B442" s="15" t="str">
        <f>IFERROR(IF([1]对账明细接口!$B$442=0,"",[1]对账明细接口!$B$442),"")</f>
        <v/>
      </c>
      <c r="C442" s="16" t="str">
        <f>IFERROR(IF([1]对账明细接口!$C$442=0,"",[1]对账明细接口!$C$442),"")</f>
        <v/>
      </c>
      <c r="D442" s="16" t="str">
        <f>IFERROR(IF([1]对账明细接口!$D$442=0,"",[1]对账明细接口!$D$442),"")</f>
        <v/>
      </c>
      <c r="E442" s="16" t="str">
        <f>IFERROR(IF([1]对账明细接口!$E$442=0,"",[1]对账明细接口!$E$442),"")</f>
        <v/>
      </c>
      <c r="F442" s="16" t="str">
        <f>IFERROR(IF([1]对账明细接口!$F$442=0,"",[1]对账明细接口!$F$442),"")</f>
        <v/>
      </c>
      <c r="G442" s="16" t="str">
        <f>IFERROR(IF([1]对账明细接口!$G$442=0,"",[1]对账明细接口!$G$442),"")</f>
        <v/>
      </c>
      <c r="H442" s="17" t="str">
        <f>IFERROR(IF([1]对账明细接口!$H$442=0,"",[1]对账明细接口!$H$442),"")</f>
        <v/>
      </c>
      <c r="I442" s="16" t="str">
        <f>IFERROR(IF([1]对账明细接口!$I$442=0,"",[1]对账明细接口!$I$442),"")</f>
        <v/>
      </c>
      <c r="J442" s="18" t="str">
        <f>IFERROR(IF([1]对账明细接口!$J$442=0,"",[1]对账明细接口!$J$442),"")</f>
        <v/>
      </c>
      <c r="K442" s="18" t="str">
        <f>IFERROR(IF([1]对账明细接口!$K$442=0,"",[1]对账明细接口!$K$442),"")</f>
        <v/>
      </c>
      <c r="L442" s="16" t="str">
        <f>IFERROR(IF([1]对账明细接口!$L$442=0,"",[1]对账明细接口!$L$442),"")</f>
        <v/>
      </c>
      <c r="M442" s="16" t="str">
        <f>IFERROR(IF([1]对账明细接口!$M$442=0,"",[1]对账明细接口!$M$442),"")</f>
        <v/>
      </c>
      <c r="N442" s="19">
        <f t="shared" si="12"/>
        <v>0</v>
      </c>
      <c r="O442" s="19">
        <f t="shared" si="13"/>
        <v>420</v>
      </c>
      <c r="S442" s="20" t="str">
        <f>IFERROR(IF([1]对账明细接口!$N442=0,"",[1]对账明细接口!$N442),"")</f>
        <v/>
      </c>
      <c r="T442" s="21" t="str">
        <f>IFERROR(IF([1]对账明细接口!$O442=0,"",[1]对账明细接口!$O442),"")</f>
        <v/>
      </c>
      <c r="U442" s="21" t="str">
        <f>IFERROR(IF([1]对账明细接口!$P442=0,"",[1]对账明细接口!$P442),"")</f>
        <v/>
      </c>
      <c r="V442" s="21" t="str">
        <f>IFERROR(IF([1]对账明细接口!$Q442=0,"",[1]对账明细接口!$Q442),"")</f>
        <v/>
      </c>
      <c r="W442" s="20" t="str">
        <f>IFERROR(IF([1]对账明细接口!$R442=0,"",[1]对账明细接口!$R442),"")</f>
        <v/>
      </c>
      <c r="X442" s="20" t="str">
        <f>IFERROR(IF([1]对账明细接口!$S442=0,"",[1]对账明细接口!$S442),"")</f>
        <v/>
      </c>
      <c r="Y442" s="20" t="str">
        <f>IFERROR(IF([1]对账明细接口!$T442=0,"",[1]对账明细接口!$T442),"")</f>
        <v/>
      </c>
      <c r="Z442" s="24" t="str">
        <f>IFERROR(IF([1]对账明细接口!$U442=0,"",[1]对账明细接口!$U442),"")</f>
        <v/>
      </c>
      <c r="AA442" s="24" t="str">
        <f>IFERROR(IF([1]对账明细接口!$V442=0,"",[1]对账明细接口!$V442),"")</f>
        <v/>
      </c>
      <c r="AB442" s="20" t="str">
        <f>IFERROR(IF([1]对账明细接口!$W442=0,"",[1]对账明细接口!$W442),"")</f>
        <v/>
      </c>
      <c r="AC442" s="7" t="str">
        <f>IFERROR(IF([1]对账明细接口!$X442=0,"",[1]对账明细接口!$X442),"")</f>
        <v/>
      </c>
      <c r="AD442" s="7" t="str">
        <f>IFERROR(IF([1]对账明细接口!$Y442=0,"",[1]对账明细接口!$Y442),"")</f>
        <v/>
      </c>
      <c r="AE442" s="7" t="str">
        <f>IFERROR(IF([1]对账明细接口!$AA442=0,"",[1]对账明细接口!$AA442),"")</f>
        <v/>
      </c>
      <c r="AF442" s="7" t="str">
        <f>IFERROR(IF([1]对账明细接口!$AB442=0,"",[1]对账明细接口!$AB442),"")</f>
        <v/>
      </c>
      <c r="AG442" s="7" t="str">
        <f>IFERROR(IF([1]对账明细接口!$AC442=0,"",[1]对账明细接口!$AC442),"")</f>
        <v/>
      </c>
      <c r="AH442" s="7" t="str">
        <f>IFERROR(IF([1]对账明细接口!$AD442=0,"",[1]对账明细接口!$AD442),"")</f>
        <v/>
      </c>
      <c r="AI442" s="7" t="str">
        <f>IFERROR(IF([1]对账明细接口!$AE442=0,"",[1]对账明细接口!$AE442),"")</f>
        <v/>
      </c>
      <c r="AJ442" s="7" t="str">
        <f>IFERROR(IF([1]对账明细接口!$AF442=0,"",[1]对账明细接口!$AF442),"")</f>
        <v/>
      </c>
    </row>
    <row r="443" ht="14.25" customHeight="1" spans="1:36">
      <c r="A443" s="14">
        <v>443</v>
      </c>
      <c r="B443" s="15" t="str">
        <f>IFERROR(IF([1]对账明细接口!$B$443=0,"",[1]对账明细接口!$B$443),"")</f>
        <v/>
      </c>
      <c r="C443" s="16" t="str">
        <f>IFERROR(IF([1]对账明细接口!$C$443=0,"",[1]对账明细接口!$C$443),"")</f>
        <v/>
      </c>
      <c r="D443" s="16" t="str">
        <f>IFERROR(IF([1]对账明细接口!$D$443=0,"",[1]对账明细接口!$D$443),"")</f>
        <v/>
      </c>
      <c r="E443" s="16" t="str">
        <f>IFERROR(IF([1]对账明细接口!$E$443=0,"",[1]对账明细接口!$E$443),"")</f>
        <v/>
      </c>
      <c r="F443" s="16" t="str">
        <f>IFERROR(IF([1]对账明细接口!$F$443=0,"",[1]对账明细接口!$F$443),"")</f>
        <v/>
      </c>
      <c r="G443" s="16" t="str">
        <f>IFERROR(IF([1]对账明细接口!$G$443=0,"",[1]对账明细接口!$G$443),"")</f>
        <v/>
      </c>
      <c r="H443" s="17" t="str">
        <f>IFERROR(IF([1]对账明细接口!$H$443=0,"",[1]对账明细接口!$H$443),"")</f>
        <v/>
      </c>
      <c r="I443" s="16" t="str">
        <f>IFERROR(IF([1]对账明细接口!$I$443=0,"",[1]对账明细接口!$I$443),"")</f>
        <v/>
      </c>
      <c r="J443" s="18" t="str">
        <f>IFERROR(IF([1]对账明细接口!$J$443=0,"",[1]对账明细接口!$J$443),"")</f>
        <v/>
      </c>
      <c r="K443" s="18" t="str">
        <f>IFERROR(IF([1]对账明细接口!$K$443=0,"",[1]对账明细接口!$K$443),"")</f>
        <v/>
      </c>
      <c r="L443" s="16" t="str">
        <f>IFERROR(IF([1]对账明细接口!$L$443=0,"",[1]对账明细接口!$L$443),"")</f>
        <v/>
      </c>
      <c r="M443" s="16" t="str">
        <f>IFERROR(IF([1]对账明细接口!$M$443=0,"",[1]对账明细接口!$M$443),"")</f>
        <v/>
      </c>
      <c r="N443" s="19">
        <f t="shared" si="12"/>
        <v>0</v>
      </c>
      <c r="O443" s="19">
        <f t="shared" si="13"/>
        <v>420</v>
      </c>
      <c r="S443" s="20" t="str">
        <f>IFERROR(IF([1]对账明细接口!$N443=0,"",[1]对账明细接口!$N443),"")</f>
        <v/>
      </c>
      <c r="T443" s="21" t="str">
        <f>IFERROR(IF([1]对账明细接口!$O443=0,"",[1]对账明细接口!$O443),"")</f>
        <v/>
      </c>
      <c r="U443" s="21" t="str">
        <f>IFERROR(IF([1]对账明细接口!$P443=0,"",[1]对账明细接口!$P443),"")</f>
        <v/>
      </c>
      <c r="V443" s="21" t="str">
        <f>IFERROR(IF([1]对账明细接口!$Q443=0,"",[1]对账明细接口!$Q443),"")</f>
        <v/>
      </c>
      <c r="W443" s="20" t="str">
        <f>IFERROR(IF([1]对账明细接口!$R443=0,"",[1]对账明细接口!$R443),"")</f>
        <v/>
      </c>
      <c r="X443" s="20" t="str">
        <f>IFERROR(IF([1]对账明细接口!$S443=0,"",[1]对账明细接口!$S443),"")</f>
        <v/>
      </c>
      <c r="Y443" s="20" t="str">
        <f>IFERROR(IF([1]对账明细接口!$T443=0,"",[1]对账明细接口!$T443),"")</f>
        <v/>
      </c>
      <c r="Z443" s="24" t="str">
        <f>IFERROR(IF([1]对账明细接口!$U443=0,"",[1]对账明细接口!$U443),"")</f>
        <v/>
      </c>
      <c r="AA443" s="24" t="str">
        <f>IFERROR(IF([1]对账明细接口!$V443=0,"",[1]对账明细接口!$V443),"")</f>
        <v/>
      </c>
      <c r="AB443" s="20" t="str">
        <f>IFERROR(IF([1]对账明细接口!$W443=0,"",[1]对账明细接口!$W443),"")</f>
        <v/>
      </c>
      <c r="AC443" s="7" t="str">
        <f>IFERROR(IF([1]对账明细接口!$X443=0,"",[1]对账明细接口!$X443),"")</f>
        <v/>
      </c>
      <c r="AD443" s="7" t="str">
        <f>IFERROR(IF([1]对账明细接口!$Y443=0,"",[1]对账明细接口!$Y443),"")</f>
        <v/>
      </c>
      <c r="AE443" s="7" t="str">
        <f>IFERROR(IF([1]对账明细接口!$AA443=0,"",[1]对账明细接口!$AA443),"")</f>
        <v/>
      </c>
      <c r="AF443" s="7" t="str">
        <f>IFERROR(IF([1]对账明细接口!$AB443=0,"",[1]对账明细接口!$AB443),"")</f>
        <v/>
      </c>
      <c r="AG443" s="7" t="str">
        <f>IFERROR(IF([1]对账明细接口!$AC443=0,"",[1]对账明细接口!$AC443),"")</f>
        <v/>
      </c>
      <c r="AH443" s="7" t="str">
        <f>IFERROR(IF([1]对账明细接口!$AD443=0,"",[1]对账明细接口!$AD443),"")</f>
        <v/>
      </c>
      <c r="AI443" s="7" t="str">
        <f>IFERROR(IF([1]对账明细接口!$AE443=0,"",[1]对账明细接口!$AE443),"")</f>
        <v/>
      </c>
      <c r="AJ443" s="7" t="str">
        <f>IFERROR(IF([1]对账明细接口!$AF443=0,"",[1]对账明细接口!$AF443),"")</f>
        <v/>
      </c>
    </row>
    <row r="444" ht="14.25" customHeight="1" spans="1:36">
      <c r="A444" s="14">
        <v>444</v>
      </c>
      <c r="B444" s="15" t="str">
        <f>IFERROR(IF([1]对账明细接口!$B$444=0,"",[1]对账明细接口!$B$444),"")</f>
        <v/>
      </c>
      <c r="C444" s="16" t="str">
        <f>IFERROR(IF([1]对账明细接口!$C$444=0,"",[1]对账明细接口!$C$444),"")</f>
        <v/>
      </c>
      <c r="D444" s="16" t="str">
        <f>IFERROR(IF([1]对账明细接口!$D$444=0,"",[1]对账明细接口!$D$444),"")</f>
        <v/>
      </c>
      <c r="E444" s="16" t="str">
        <f>IFERROR(IF([1]对账明细接口!$E$444=0,"",[1]对账明细接口!$E$444),"")</f>
        <v/>
      </c>
      <c r="F444" s="16" t="str">
        <f>IFERROR(IF([1]对账明细接口!$F$444=0,"",[1]对账明细接口!$F$444),"")</f>
        <v/>
      </c>
      <c r="G444" s="16" t="str">
        <f>IFERROR(IF([1]对账明细接口!$G$444=0,"",[1]对账明细接口!$G$444),"")</f>
        <v/>
      </c>
      <c r="H444" s="17" t="str">
        <f>IFERROR(IF([1]对账明细接口!$H$444=0,"",[1]对账明细接口!$H$444),"")</f>
        <v/>
      </c>
      <c r="I444" s="16" t="str">
        <f>IFERROR(IF([1]对账明细接口!$I$444=0,"",[1]对账明细接口!$I$444),"")</f>
        <v/>
      </c>
      <c r="J444" s="18" t="str">
        <f>IFERROR(IF([1]对账明细接口!$J$444=0,"",[1]对账明细接口!$J$444),"")</f>
        <v/>
      </c>
      <c r="K444" s="18" t="str">
        <f>IFERROR(IF([1]对账明细接口!$K$444=0,"",[1]对账明细接口!$K$444),"")</f>
        <v/>
      </c>
      <c r="L444" s="16" t="str">
        <f>IFERROR(IF([1]对账明细接口!$L$444=0,"",[1]对账明细接口!$L$444),"")</f>
        <v/>
      </c>
      <c r="M444" s="16" t="str">
        <f>IFERROR(IF([1]对账明细接口!$M$444=0,"",[1]对账明细接口!$M$444),"")</f>
        <v/>
      </c>
      <c r="N444" s="19">
        <f t="shared" si="12"/>
        <v>0</v>
      </c>
      <c r="O444" s="19">
        <f t="shared" si="13"/>
        <v>420</v>
      </c>
      <c r="S444" s="20" t="str">
        <f>IFERROR(IF([1]对账明细接口!$N444=0,"",[1]对账明细接口!$N444),"")</f>
        <v/>
      </c>
      <c r="T444" s="21" t="str">
        <f>IFERROR(IF([1]对账明细接口!$O444=0,"",[1]对账明细接口!$O444),"")</f>
        <v/>
      </c>
      <c r="U444" s="21" t="str">
        <f>IFERROR(IF([1]对账明细接口!$P444=0,"",[1]对账明细接口!$P444),"")</f>
        <v/>
      </c>
      <c r="V444" s="21" t="str">
        <f>IFERROR(IF([1]对账明细接口!$Q444=0,"",[1]对账明细接口!$Q444),"")</f>
        <v/>
      </c>
      <c r="W444" s="20" t="str">
        <f>IFERROR(IF([1]对账明细接口!$R444=0,"",[1]对账明细接口!$R444),"")</f>
        <v/>
      </c>
      <c r="X444" s="20" t="str">
        <f>IFERROR(IF([1]对账明细接口!$S444=0,"",[1]对账明细接口!$S444),"")</f>
        <v/>
      </c>
      <c r="Y444" s="20" t="str">
        <f>IFERROR(IF([1]对账明细接口!$T444=0,"",[1]对账明细接口!$T444),"")</f>
        <v/>
      </c>
      <c r="Z444" s="24" t="str">
        <f>IFERROR(IF([1]对账明细接口!$U444=0,"",[1]对账明细接口!$U444),"")</f>
        <v/>
      </c>
      <c r="AA444" s="24" t="str">
        <f>IFERROR(IF([1]对账明细接口!$V444=0,"",[1]对账明细接口!$V444),"")</f>
        <v/>
      </c>
      <c r="AB444" s="20" t="str">
        <f>IFERROR(IF([1]对账明细接口!$W444=0,"",[1]对账明细接口!$W444),"")</f>
        <v/>
      </c>
      <c r="AC444" s="7" t="str">
        <f>IFERROR(IF([1]对账明细接口!$X444=0,"",[1]对账明细接口!$X444),"")</f>
        <v/>
      </c>
      <c r="AD444" s="7" t="str">
        <f>IFERROR(IF([1]对账明细接口!$Y444=0,"",[1]对账明细接口!$Y444),"")</f>
        <v/>
      </c>
      <c r="AE444" s="7" t="str">
        <f>IFERROR(IF([1]对账明细接口!$AA444=0,"",[1]对账明细接口!$AA444),"")</f>
        <v/>
      </c>
      <c r="AF444" s="7" t="str">
        <f>IFERROR(IF([1]对账明细接口!$AB444=0,"",[1]对账明细接口!$AB444),"")</f>
        <v/>
      </c>
      <c r="AG444" s="7" t="str">
        <f>IFERROR(IF([1]对账明细接口!$AC444=0,"",[1]对账明细接口!$AC444),"")</f>
        <v/>
      </c>
      <c r="AH444" s="7" t="str">
        <f>IFERROR(IF([1]对账明细接口!$AD444=0,"",[1]对账明细接口!$AD444),"")</f>
        <v/>
      </c>
      <c r="AI444" s="7" t="str">
        <f>IFERROR(IF([1]对账明细接口!$AE444=0,"",[1]对账明细接口!$AE444),"")</f>
        <v/>
      </c>
      <c r="AJ444" s="7" t="str">
        <f>IFERROR(IF([1]对账明细接口!$AF444=0,"",[1]对账明细接口!$AF444),"")</f>
        <v/>
      </c>
    </row>
    <row r="445" ht="14.25" customHeight="1" spans="1:36">
      <c r="A445" s="14">
        <v>445</v>
      </c>
      <c r="B445" s="15" t="str">
        <f>IFERROR(IF([1]对账明细接口!$B$445=0,"",[1]对账明细接口!$B$445),"")</f>
        <v/>
      </c>
      <c r="C445" s="16" t="str">
        <f>IFERROR(IF([1]对账明细接口!$C$445=0,"",[1]对账明细接口!$C$445),"")</f>
        <v/>
      </c>
      <c r="D445" s="16" t="str">
        <f>IFERROR(IF([1]对账明细接口!$D$445=0,"",[1]对账明细接口!$D$445),"")</f>
        <v/>
      </c>
      <c r="E445" s="16" t="str">
        <f>IFERROR(IF([1]对账明细接口!$E$445=0,"",[1]对账明细接口!$E$445),"")</f>
        <v/>
      </c>
      <c r="F445" s="16" t="str">
        <f>IFERROR(IF([1]对账明细接口!$F$445=0,"",[1]对账明细接口!$F$445),"")</f>
        <v/>
      </c>
      <c r="G445" s="16" t="str">
        <f>IFERROR(IF([1]对账明细接口!$G$445=0,"",[1]对账明细接口!$G$445),"")</f>
        <v/>
      </c>
      <c r="H445" s="17" t="str">
        <f>IFERROR(IF([1]对账明细接口!$H$445=0,"",[1]对账明细接口!$H$445),"")</f>
        <v/>
      </c>
      <c r="I445" s="16" t="str">
        <f>IFERROR(IF([1]对账明细接口!$I$445=0,"",[1]对账明细接口!$I$445),"")</f>
        <v/>
      </c>
      <c r="J445" s="18" t="str">
        <f>IFERROR(IF([1]对账明细接口!$J$445=0,"",[1]对账明细接口!$J$445),"")</f>
        <v/>
      </c>
      <c r="K445" s="18" t="str">
        <f>IFERROR(IF([1]对账明细接口!$K$445=0,"",[1]对账明细接口!$K$445),"")</f>
        <v/>
      </c>
      <c r="L445" s="16" t="str">
        <f>IFERROR(IF([1]对账明细接口!$L$445=0,"",[1]对账明细接口!$L$445),"")</f>
        <v/>
      </c>
      <c r="M445" s="16" t="str">
        <f>IFERROR(IF([1]对账明细接口!$M$445=0,"",[1]对账明细接口!$M$445),"")</f>
        <v/>
      </c>
      <c r="N445" s="19">
        <f t="shared" si="12"/>
        <v>0</v>
      </c>
      <c r="O445" s="19">
        <f t="shared" si="13"/>
        <v>420</v>
      </c>
      <c r="S445" s="20" t="str">
        <f>IFERROR(IF([1]对账明细接口!$N445=0,"",[1]对账明细接口!$N445),"")</f>
        <v/>
      </c>
      <c r="T445" s="21" t="str">
        <f>IFERROR(IF([1]对账明细接口!$O445=0,"",[1]对账明细接口!$O445),"")</f>
        <v/>
      </c>
      <c r="U445" s="21" t="str">
        <f>IFERROR(IF([1]对账明细接口!$P445=0,"",[1]对账明细接口!$P445),"")</f>
        <v/>
      </c>
      <c r="V445" s="21" t="str">
        <f>IFERROR(IF([1]对账明细接口!$Q445=0,"",[1]对账明细接口!$Q445),"")</f>
        <v/>
      </c>
      <c r="W445" s="20" t="str">
        <f>IFERROR(IF([1]对账明细接口!$R445=0,"",[1]对账明细接口!$R445),"")</f>
        <v/>
      </c>
      <c r="X445" s="20" t="str">
        <f>IFERROR(IF([1]对账明细接口!$S445=0,"",[1]对账明细接口!$S445),"")</f>
        <v/>
      </c>
      <c r="Y445" s="20" t="str">
        <f>IFERROR(IF([1]对账明细接口!$T445=0,"",[1]对账明细接口!$T445),"")</f>
        <v/>
      </c>
      <c r="Z445" s="24" t="str">
        <f>IFERROR(IF([1]对账明细接口!$U445=0,"",[1]对账明细接口!$U445),"")</f>
        <v/>
      </c>
      <c r="AA445" s="24" t="str">
        <f>IFERROR(IF([1]对账明细接口!$V445=0,"",[1]对账明细接口!$V445),"")</f>
        <v/>
      </c>
      <c r="AB445" s="20" t="str">
        <f>IFERROR(IF([1]对账明细接口!$W445=0,"",[1]对账明细接口!$W445),"")</f>
        <v/>
      </c>
      <c r="AC445" s="7" t="str">
        <f>IFERROR(IF([1]对账明细接口!$X445=0,"",[1]对账明细接口!$X445),"")</f>
        <v/>
      </c>
      <c r="AD445" s="7" t="str">
        <f>IFERROR(IF([1]对账明细接口!$Y445=0,"",[1]对账明细接口!$Y445),"")</f>
        <v/>
      </c>
      <c r="AE445" s="7" t="str">
        <f>IFERROR(IF([1]对账明细接口!$AA445=0,"",[1]对账明细接口!$AA445),"")</f>
        <v/>
      </c>
      <c r="AF445" s="7" t="str">
        <f>IFERROR(IF([1]对账明细接口!$AB445=0,"",[1]对账明细接口!$AB445),"")</f>
        <v/>
      </c>
      <c r="AG445" s="7" t="str">
        <f>IFERROR(IF([1]对账明细接口!$AC445=0,"",[1]对账明细接口!$AC445),"")</f>
        <v/>
      </c>
      <c r="AH445" s="7" t="str">
        <f>IFERROR(IF([1]对账明细接口!$AD445=0,"",[1]对账明细接口!$AD445),"")</f>
        <v/>
      </c>
      <c r="AI445" s="7" t="str">
        <f>IFERROR(IF([1]对账明细接口!$AE445=0,"",[1]对账明细接口!$AE445),"")</f>
        <v/>
      </c>
      <c r="AJ445" s="7" t="str">
        <f>IFERROR(IF([1]对账明细接口!$AF445=0,"",[1]对账明细接口!$AF445),"")</f>
        <v/>
      </c>
    </row>
    <row r="446" ht="14.25" customHeight="1" spans="1:36">
      <c r="A446" s="14">
        <v>446</v>
      </c>
      <c r="B446" s="15" t="str">
        <f>IFERROR(IF([1]对账明细接口!$B$446=0,"",[1]对账明细接口!$B$446),"")</f>
        <v/>
      </c>
      <c r="C446" s="16" t="str">
        <f>IFERROR(IF([1]对账明细接口!$C$446=0,"",[1]对账明细接口!$C$446),"")</f>
        <v/>
      </c>
      <c r="D446" s="16" t="str">
        <f>IFERROR(IF([1]对账明细接口!$D$446=0,"",[1]对账明细接口!$D$446),"")</f>
        <v/>
      </c>
      <c r="E446" s="16" t="str">
        <f>IFERROR(IF([1]对账明细接口!$E$446=0,"",[1]对账明细接口!$E$446),"")</f>
        <v/>
      </c>
      <c r="F446" s="16" t="str">
        <f>IFERROR(IF([1]对账明细接口!$F$446=0,"",[1]对账明细接口!$F$446),"")</f>
        <v/>
      </c>
      <c r="G446" s="16" t="str">
        <f>IFERROR(IF([1]对账明细接口!$G$446=0,"",[1]对账明细接口!$G$446),"")</f>
        <v/>
      </c>
      <c r="H446" s="17" t="str">
        <f>IFERROR(IF([1]对账明细接口!$H$446=0,"",[1]对账明细接口!$H$446),"")</f>
        <v/>
      </c>
      <c r="I446" s="16" t="str">
        <f>IFERROR(IF([1]对账明细接口!$I$446=0,"",[1]对账明细接口!$I$446),"")</f>
        <v/>
      </c>
      <c r="J446" s="18" t="str">
        <f>IFERROR(IF([1]对账明细接口!$J$446=0,"",[1]对账明细接口!$J$446),"")</f>
        <v/>
      </c>
      <c r="K446" s="18" t="str">
        <f>IFERROR(IF([1]对账明细接口!$K$446=0,"",[1]对账明细接口!$K$446),"")</f>
        <v/>
      </c>
      <c r="L446" s="16" t="str">
        <f>IFERROR(IF([1]对账明细接口!$L$446=0,"",[1]对账明细接口!$L$446),"")</f>
        <v/>
      </c>
      <c r="M446" s="16" t="str">
        <f>IFERROR(IF([1]对账明细接口!$M$446=0,"",[1]对账明细接口!$M$446),"")</f>
        <v/>
      </c>
      <c r="N446" s="19">
        <f t="shared" si="12"/>
        <v>0</v>
      </c>
      <c r="O446" s="19">
        <f t="shared" si="13"/>
        <v>420</v>
      </c>
      <c r="S446" s="20" t="str">
        <f>IFERROR(IF([1]对账明细接口!$N446=0,"",[1]对账明细接口!$N446),"")</f>
        <v/>
      </c>
      <c r="T446" s="21" t="str">
        <f>IFERROR(IF([1]对账明细接口!$O446=0,"",[1]对账明细接口!$O446),"")</f>
        <v/>
      </c>
      <c r="U446" s="21" t="str">
        <f>IFERROR(IF([1]对账明细接口!$P446=0,"",[1]对账明细接口!$P446),"")</f>
        <v/>
      </c>
      <c r="V446" s="21" t="str">
        <f>IFERROR(IF([1]对账明细接口!$Q446=0,"",[1]对账明细接口!$Q446),"")</f>
        <v/>
      </c>
      <c r="W446" s="20" t="str">
        <f>IFERROR(IF([1]对账明细接口!$R446=0,"",[1]对账明细接口!$R446),"")</f>
        <v/>
      </c>
      <c r="X446" s="20" t="str">
        <f>IFERROR(IF([1]对账明细接口!$S446=0,"",[1]对账明细接口!$S446),"")</f>
        <v/>
      </c>
      <c r="Y446" s="20" t="str">
        <f>IFERROR(IF([1]对账明细接口!$T446=0,"",[1]对账明细接口!$T446),"")</f>
        <v/>
      </c>
      <c r="Z446" s="24" t="str">
        <f>IFERROR(IF([1]对账明细接口!$U446=0,"",[1]对账明细接口!$U446),"")</f>
        <v/>
      </c>
      <c r="AA446" s="24" t="str">
        <f>IFERROR(IF([1]对账明细接口!$V446=0,"",[1]对账明细接口!$V446),"")</f>
        <v/>
      </c>
      <c r="AB446" s="20" t="str">
        <f>IFERROR(IF([1]对账明细接口!$W446=0,"",[1]对账明细接口!$W446),"")</f>
        <v/>
      </c>
      <c r="AC446" s="7" t="str">
        <f>IFERROR(IF([1]对账明细接口!$X446=0,"",[1]对账明细接口!$X446),"")</f>
        <v/>
      </c>
      <c r="AD446" s="7" t="str">
        <f>IFERROR(IF([1]对账明细接口!$Y446=0,"",[1]对账明细接口!$Y446),"")</f>
        <v/>
      </c>
      <c r="AE446" s="7" t="str">
        <f>IFERROR(IF([1]对账明细接口!$AA446=0,"",[1]对账明细接口!$AA446),"")</f>
        <v/>
      </c>
      <c r="AF446" s="7" t="str">
        <f>IFERROR(IF([1]对账明细接口!$AB446=0,"",[1]对账明细接口!$AB446),"")</f>
        <v/>
      </c>
      <c r="AG446" s="7" t="str">
        <f>IFERROR(IF([1]对账明细接口!$AC446=0,"",[1]对账明细接口!$AC446),"")</f>
        <v/>
      </c>
      <c r="AH446" s="7" t="str">
        <f>IFERROR(IF([1]对账明细接口!$AD446=0,"",[1]对账明细接口!$AD446),"")</f>
        <v/>
      </c>
      <c r="AI446" s="7" t="str">
        <f>IFERROR(IF([1]对账明细接口!$AE446=0,"",[1]对账明细接口!$AE446),"")</f>
        <v/>
      </c>
      <c r="AJ446" s="7" t="str">
        <f>IFERROR(IF([1]对账明细接口!$AF446=0,"",[1]对账明细接口!$AF446),"")</f>
        <v/>
      </c>
    </row>
    <row r="447" ht="14.25" customHeight="1" spans="1:36">
      <c r="A447" s="14">
        <v>447</v>
      </c>
      <c r="B447" s="15" t="str">
        <f>IFERROR(IF([1]对账明细接口!$B$447=0,"",[1]对账明细接口!$B$447),"")</f>
        <v/>
      </c>
      <c r="C447" s="16" t="str">
        <f>IFERROR(IF([1]对账明细接口!$C$447=0,"",[1]对账明细接口!$C$447),"")</f>
        <v/>
      </c>
      <c r="D447" s="16" t="str">
        <f>IFERROR(IF([1]对账明细接口!$D$447=0,"",[1]对账明细接口!$D$447),"")</f>
        <v/>
      </c>
      <c r="E447" s="16" t="str">
        <f>IFERROR(IF([1]对账明细接口!$E$447=0,"",[1]对账明细接口!$E$447),"")</f>
        <v/>
      </c>
      <c r="F447" s="16" t="str">
        <f>IFERROR(IF([1]对账明细接口!$F$447=0,"",[1]对账明细接口!$F$447),"")</f>
        <v/>
      </c>
      <c r="G447" s="16" t="str">
        <f>IFERROR(IF([1]对账明细接口!$G$447=0,"",[1]对账明细接口!$G$447),"")</f>
        <v/>
      </c>
      <c r="H447" s="17" t="str">
        <f>IFERROR(IF([1]对账明细接口!$H$447=0,"",[1]对账明细接口!$H$447),"")</f>
        <v/>
      </c>
      <c r="I447" s="16" t="str">
        <f>IFERROR(IF([1]对账明细接口!$I$447=0,"",[1]对账明细接口!$I$447),"")</f>
        <v/>
      </c>
      <c r="J447" s="18" t="str">
        <f>IFERROR(IF([1]对账明细接口!$J$447=0,"",[1]对账明细接口!$J$447),"")</f>
        <v/>
      </c>
      <c r="K447" s="18" t="str">
        <f>IFERROR(IF([1]对账明细接口!$K$447=0,"",[1]对账明细接口!$K$447),"")</f>
        <v/>
      </c>
      <c r="L447" s="16" t="str">
        <f>IFERROR(IF([1]对账明细接口!$L$447=0,"",[1]对账明细接口!$L$447),"")</f>
        <v/>
      </c>
      <c r="M447" s="16" t="str">
        <f>IFERROR(IF([1]对账明细接口!$M$447=0,"",[1]对账明细接口!$M$447),"")</f>
        <v/>
      </c>
      <c r="N447" s="19">
        <f t="shared" si="12"/>
        <v>0</v>
      </c>
      <c r="O447" s="19">
        <f t="shared" si="13"/>
        <v>420</v>
      </c>
      <c r="S447" s="20" t="str">
        <f>IFERROR(IF([1]对账明细接口!$N447=0,"",[1]对账明细接口!$N447),"")</f>
        <v/>
      </c>
      <c r="T447" s="21" t="str">
        <f>IFERROR(IF([1]对账明细接口!$O447=0,"",[1]对账明细接口!$O447),"")</f>
        <v/>
      </c>
      <c r="U447" s="21" t="str">
        <f>IFERROR(IF([1]对账明细接口!$P447=0,"",[1]对账明细接口!$P447),"")</f>
        <v/>
      </c>
      <c r="V447" s="21" t="str">
        <f>IFERROR(IF([1]对账明细接口!$Q447=0,"",[1]对账明细接口!$Q447),"")</f>
        <v/>
      </c>
      <c r="W447" s="20" t="str">
        <f>IFERROR(IF([1]对账明细接口!$R447=0,"",[1]对账明细接口!$R447),"")</f>
        <v/>
      </c>
      <c r="X447" s="20" t="str">
        <f>IFERROR(IF([1]对账明细接口!$S447=0,"",[1]对账明细接口!$S447),"")</f>
        <v/>
      </c>
      <c r="Y447" s="20" t="str">
        <f>IFERROR(IF([1]对账明细接口!$T447=0,"",[1]对账明细接口!$T447),"")</f>
        <v/>
      </c>
      <c r="Z447" s="24" t="str">
        <f>IFERROR(IF([1]对账明细接口!$U447=0,"",[1]对账明细接口!$U447),"")</f>
        <v/>
      </c>
      <c r="AA447" s="24" t="str">
        <f>IFERROR(IF([1]对账明细接口!$V447=0,"",[1]对账明细接口!$V447),"")</f>
        <v/>
      </c>
      <c r="AB447" s="20" t="str">
        <f>IFERROR(IF([1]对账明细接口!$W447=0,"",[1]对账明细接口!$W447),"")</f>
        <v/>
      </c>
      <c r="AC447" s="7" t="str">
        <f>IFERROR(IF([1]对账明细接口!$X447=0,"",[1]对账明细接口!$X447),"")</f>
        <v/>
      </c>
      <c r="AD447" s="7" t="str">
        <f>IFERROR(IF([1]对账明细接口!$Y447=0,"",[1]对账明细接口!$Y447),"")</f>
        <v/>
      </c>
      <c r="AE447" s="7" t="str">
        <f>IFERROR(IF([1]对账明细接口!$AA447=0,"",[1]对账明细接口!$AA447),"")</f>
        <v/>
      </c>
      <c r="AF447" s="7" t="str">
        <f>IFERROR(IF([1]对账明细接口!$AB447=0,"",[1]对账明细接口!$AB447),"")</f>
        <v/>
      </c>
      <c r="AG447" s="7" t="str">
        <f>IFERROR(IF([1]对账明细接口!$AC447=0,"",[1]对账明细接口!$AC447),"")</f>
        <v/>
      </c>
      <c r="AH447" s="7" t="str">
        <f>IFERROR(IF([1]对账明细接口!$AD447=0,"",[1]对账明细接口!$AD447),"")</f>
        <v/>
      </c>
      <c r="AI447" s="7" t="str">
        <f>IFERROR(IF([1]对账明细接口!$AE447=0,"",[1]对账明细接口!$AE447),"")</f>
        <v/>
      </c>
      <c r="AJ447" s="7" t="str">
        <f>IFERROR(IF([1]对账明细接口!$AF447=0,"",[1]对账明细接口!$AF447),"")</f>
        <v/>
      </c>
    </row>
    <row r="448" ht="14.25" customHeight="1" spans="1:36">
      <c r="A448" s="14">
        <v>448</v>
      </c>
      <c r="B448" s="15" t="str">
        <f>IFERROR(IF([1]对账明细接口!$B$448=0,"",[1]对账明细接口!$B$448),"")</f>
        <v/>
      </c>
      <c r="C448" s="16" t="str">
        <f>IFERROR(IF([1]对账明细接口!$C$448=0,"",[1]对账明细接口!$C$448),"")</f>
        <v/>
      </c>
      <c r="D448" s="16" t="str">
        <f>IFERROR(IF([1]对账明细接口!$D$448=0,"",[1]对账明细接口!$D$448),"")</f>
        <v/>
      </c>
      <c r="E448" s="16" t="str">
        <f>IFERROR(IF([1]对账明细接口!$E$448=0,"",[1]对账明细接口!$E$448),"")</f>
        <v/>
      </c>
      <c r="F448" s="16" t="str">
        <f>IFERROR(IF([1]对账明细接口!$F$448=0,"",[1]对账明细接口!$F$448),"")</f>
        <v/>
      </c>
      <c r="G448" s="16" t="str">
        <f>IFERROR(IF([1]对账明细接口!$G$448=0,"",[1]对账明细接口!$G$448),"")</f>
        <v/>
      </c>
      <c r="H448" s="17" t="str">
        <f>IFERROR(IF([1]对账明细接口!$H$448=0,"",[1]对账明细接口!$H$448),"")</f>
        <v/>
      </c>
      <c r="I448" s="16" t="str">
        <f>IFERROR(IF([1]对账明细接口!$I$448=0,"",[1]对账明细接口!$I$448),"")</f>
        <v/>
      </c>
      <c r="J448" s="18" t="str">
        <f>IFERROR(IF([1]对账明细接口!$J$448=0,"",[1]对账明细接口!$J$448),"")</f>
        <v/>
      </c>
      <c r="K448" s="18" t="str">
        <f>IFERROR(IF([1]对账明细接口!$K$448=0,"",[1]对账明细接口!$K$448),"")</f>
        <v/>
      </c>
      <c r="L448" s="16" t="str">
        <f>IFERROR(IF([1]对账明细接口!$L$448=0,"",[1]对账明细接口!$L$448),"")</f>
        <v/>
      </c>
      <c r="M448" s="16" t="str">
        <f>IFERROR(IF([1]对账明细接口!$M$448=0,"",[1]对账明细接口!$M$448),"")</f>
        <v/>
      </c>
      <c r="N448" s="19">
        <f t="shared" si="12"/>
        <v>0</v>
      </c>
      <c r="O448" s="19">
        <f t="shared" si="13"/>
        <v>420</v>
      </c>
      <c r="S448" s="20" t="str">
        <f>IFERROR(IF([1]对账明细接口!$N448=0,"",[1]对账明细接口!$N448),"")</f>
        <v/>
      </c>
      <c r="T448" s="21" t="str">
        <f>IFERROR(IF([1]对账明细接口!$O448=0,"",[1]对账明细接口!$O448),"")</f>
        <v/>
      </c>
      <c r="U448" s="21" t="str">
        <f>IFERROR(IF([1]对账明细接口!$P448=0,"",[1]对账明细接口!$P448),"")</f>
        <v/>
      </c>
      <c r="V448" s="21" t="str">
        <f>IFERROR(IF([1]对账明细接口!$Q448=0,"",[1]对账明细接口!$Q448),"")</f>
        <v/>
      </c>
      <c r="W448" s="20" t="str">
        <f>IFERROR(IF([1]对账明细接口!$R448=0,"",[1]对账明细接口!$R448),"")</f>
        <v/>
      </c>
      <c r="X448" s="20" t="str">
        <f>IFERROR(IF([1]对账明细接口!$S448=0,"",[1]对账明细接口!$S448),"")</f>
        <v/>
      </c>
      <c r="Y448" s="20" t="str">
        <f>IFERROR(IF([1]对账明细接口!$T448=0,"",[1]对账明细接口!$T448),"")</f>
        <v/>
      </c>
      <c r="Z448" s="24" t="str">
        <f>IFERROR(IF([1]对账明细接口!$U448=0,"",[1]对账明细接口!$U448),"")</f>
        <v/>
      </c>
      <c r="AA448" s="24" t="str">
        <f>IFERROR(IF([1]对账明细接口!$V448=0,"",[1]对账明细接口!$V448),"")</f>
        <v/>
      </c>
      <c r="AB448" s="20" t="str">
        <f>IFERROR(IF([1]对账明细接口!$W448=0,"",[1]对账明细接口!$W448),"")</f>
        <v/>
      </c>
      <c r="AC448" s="7" t="str">
        <f>IFERROR(IF([1]对账明细接口!$X448=0,"",[1]对账明细接口!$X448),"")</f>
        <v/>
      </c>
      <c r="AD448" s="7" t="str">
        <f>IFERROR(IF([1]对账明细接口!$Y448=0,"",[1]对账明细接口!$Y448),"")</f>
        <v/>
      </c>
      <c r="AE448" s="7" t="str">
        <f>IFERROR(IF([1]对账明细接口!$AA448=0,"",[1]对账明细接口!$AA448),"")</f>
        <v/>
      </c>
      <c r="AF448" s="7" t="str">
        <f>IFERROR(IF([1]对账明细接口!$AB448=0,"",[1]对账明细接口!$AB448),"")</f>
        <v/>
      </c>
      <c r="AG448" s="7" t="str">
        <f>IFERROR(IF([1]对账明细接口!$AC448=0,"",[1]对账明细接口!$AC448),"")</f>
        <v/>
      </c>
      <c r="AH448" s="7" t="str">
        <f>IFERROR(IF([1]对账明细接口!$AD448=0,"",[1]对账明细接口!$AD448),"")</f>
        <v/>
      </c>
      <c r="AI448" s="7" t="str">
        <f>IFERROR(IF([1]对账明细接口!$AE448=0,"",[1]对账明细接口!$AE448),"")</f>
        <v/>
      </c>
      <c r="AJ448" s="7" t="str">
        <f>IFERROR(IF([1]对账明细接口!$AF448=0,"",[1]对账明细接口!$AF448),"")</f>
        <v/>
      </c>
    </row>
    <row r="449" ht="14.25" customHeight="1" spans="1:36">
      <c r="A449" s="14">
        <v>449</v>
      </c>
      <c r="B449" s="15" t="str">
        <f>IFERROR(IF([1]对账明细接口!$B$449=0,"",[1]对账明细接口!$B$449),"")</f>
        <v/>
      </c>
      <c r="C449" s="16" t="str">
        <f>IFERROR(IF([1]对账明细接口!$C$449=0,"",[1]对账明细接口!$C$449),"")</f>
        <v/>
      </c>
      <c r="D449" s="16" t="str">
        <f>IFERROR(IF([1]对账明细接口!$D$449=0,"",[1]对账明细接口!$D$449),"")</f>
        <v/>
      </c>
      <c r="E449" s="16" t="str">
        <f>IFERROR(IF([1]对账明细接口!$E$449=0,"",[1]对账明细接口!$E$449),"")</f>
        <v/>
      </c>
      <c r="F449" s="16" t="str">
        <f>IFERROR(IF([1]对账明细接口!$F$449=0,"",[1]对账明细接口!$F$449),"")</f>
        <v/>
      </c>
      <c r="G449" s="16" t="str">
        <f>IFERROR(IF([1]对账明细接口!$G$449=0,"",[1]对账明细接口!$G$449),"")</f>
        <v/>
      </c>
      <c r="H449" s="17" t="str">
        <f>IFERROR(IF([1]对账明细接口!$H$449=0,"",[1]对账明细接口!$H$449),"")</f>
        <v/>
      </c>
      <c r="I449" s="16" t="str">
        <f>IFERROR(IF([1]对账明细接口!$I$449=0,"",[1]对账明细接口!$I$449),"")</f>
        <v/>
      </c>
      <c r="J449" s="18" t="str">
        <f>IFERROR(IF([1]对账明细接口!$J$449=0,"",[1]对账明细接口!$J$449),"")</f>
        <v/>
      </c>
      <c r="K449" s="18" t="str">
        <f>IFERROR(IF([1]对账明细接口!$K$449=0,"",[1]对账明细接口!$K$449),"")</f>
        <v/>
      </c>
      <c r="L449" s="16" t="str">
        <f>IFERROR(IF([1]对账明细接口!$L$449=0,"",[1]对账明细接口!$L$449),"")</f>
        <v/>
      </c>
      <c r="M449" s="16" t="str">
        <f>IFERROR(IF([1]对账明细接口!$M$449=0,"",[1]对账明细接口!$M$449),"")</f>
        <v/>
      </c>
      <c r="N449" s="19">
        <f t="shared" si="12"/>
        <v>0</v>
      </c>
      <c r="O449" s="19">
        <f t="shared" si="13"/>
        <v>420</v>
      </c>
      <c r="S449" s="20" t="str">
        <f>IFERROR(IF([1]对账明细接口!$N449=0,"",[1]对账明细接口!$N449),"")</f>
        <v/>
      </c>
      <c r="T449" s="21" t="str">
        <f>IFERROR(IF([1]对账明细接口!$O449=0,"",[1]对账明细接口!$O449),"")</f>
        <v/>
      </c>
      <c r="U449" s="21" t="str">
        <f>IFERROR(IF([1]对账明细接口!$P449=0,"",[1]对账明细接口!$P449),"")</f>
        <v/>
      </c>
      <c r="V449" s="21" t="str">
        <f>IFERROR(IF([1]对账明细接口!$Q449=0,"",[1]对账明细接口!$Q449),"")</f>
        <v/>
      </c>
      <c r="W449" s="20" t="str">
        <f>IFERROR(IF([1]对账明细接口!$R449=0,"",[1]对账明细接口!$R449),"")</f>
        <v/>
      </c>
      <c r="X449" s="20" t="str">
        <f>IFERROR(IF([1]对账明细接口!$S449=0,"",[1]对账明细接口!$S449),"")</f>
        <v/>
      </c>
      <c r="Y449" s="20" t="str">
        <f>IFERROR(IF([1]对账明细接口!$T449=0,"",[1]对账明细接口!$T449),"")</f>
        <v/>
      </c>
      <c r="Z449" s="24" t="str">
        <f>IFERROR(IF([1]对账明细接口!$U449=0,"",[1]对账明细接口!$U449),"")</f>
        <v/>
      </c>
      <c r="AA449" s="24" t="str">
        <f>IFERROR(IF([1]对账明细接口!$V449=0,"",[1]对账明细接口!$V449),"")</f>
        <v/>
      </c>
      <c r="AB449" s="20" t="str">
        <f>IFERROR(IF([1]对账明细接口!$W449=0,"",[1]对账明细接口!$W449),"")</f>
        <v/>
      </c>
      <c r="AC449" s="7" t="str">
        <f>IFERROR(IF([1]对账明细接口!$X449=0,"",[1]对账明细接口!$X449),"")</f>
        <v/>
      </c>
      <c r="AD449" s="7" t="str">
        <f>IFERROR(IF([1]对账明细接口!$Y449=0,"",[1]对账明细接口!$Y449),"")</f>
        <v/>
      </c>
      <c r="AE449" s="7" t="str">
        <f>IFERROR(IF([1]对账明细接口!$AA449=0,"",[1]对账明细接口!$AA449),"")</f>
        <v/>
      </c>
      <c r="AF449" s="7" t="str">
        <f>IFERROR(IF([1]对账明细接口!$AB449=0,"",[1]对账明细接口!$AB449),"")</f>
        <v/>
      </c>
      <c r="AG449" s="7" t="str">
        <f>IFERROR(IF([1]对账明细接口!$AC449=0,"",[1]对账明细接口!$AC449),"")</f>
        <v/>
      </c>
      <c r="AH449" s="7" t="str">
        <f>IFERROR(IF([1]对账明细接口!$AD449=0,"",[1]对账明细接口!$AD449),"")</f>
        <v/>
      </c>
      <c r="AI449" s="7" t="str">
        <f>IFERROR(IF([1]对账明细接口!$AE449=0,"",[1]对账明细接口!$AE449),"")</f>
        <v/>
      </c>
      <c r="AJ449" s="7" t="str">
        <f>IFERROR(IF([1]对账明细接口!$AF449=0,"",[1]对账明细接口!$AF449),"")</f>
        <v/>
      </c>
    </row>
    <row r="450" ht="14.25" customHeight="1" spans="1:36">
      <c r="A450" s="14">
        <v>450</v>
      </c>
      <c r="B450" s="15" t="str">
        <f>IFERROR(IF([1]对账明细接口!$B$450=0,"",[1]对账明细接口!$B$450),"")</f>
        <v/>
      </c>
      <c r="C450" s="16" t="str">
        <f>IFERROR(IF([1]对账明细接口!$C$450=0,"",[1]对账明细接口!$C$450),"")</f>
        <v/>
      </c>
      <c r="D450" s="16" t="str">
        <f>IFERROR(IF([1]对账明细接口!$D$450=0,"",[1]对账明细接口!$D$450),"")</f>
        <v/>
      </c>
      <c r="E450" s="16" t="str">
        <f>IFERROR(IF([1]对账明细接口!$E$450=0,"",[1]对账明细接口!$E$450),"")</f>
        <v/>
      </c>
      <c r="F450" s="16" t="str">
        <f>IFERROR(IF([1]对账明细接口!$F$450=0,"",[1]对账明细接口!$F$450),"")</f>
        <v/>
      </c>
      <c r="G450" s="16" t="str">
        <f>IFERROR(IF([1]对账明细接口!$G$450=0,"",[1]对账明细接口!$G$450),"")</f>
        <v/>
      </c>
      <c r="H450" s="17" t="str">
        <f>IFERROR(IF([1]对账明细接口!$H$450=0,"",[1]对账明细接口!$H$450),"")</f>
        <v/>
      </c>
      <c r="I450" s="16" t="str">
        <f>IFERROR(IF([1]对账明细接口!$I$450=0,"",[1]对账明细接口!$I$450),"")</f>
        <v/>
      </c>
      <c r="J450" s="18" t="str">
        <f>IFERROR(IF([1]对账明细接口!$J$450=0,"",[1]对账明细接口!$J$450),"")</f>
        <v/>
      </c>
      <c r="K450" s="18" t="str">
        <f>IFERROR(IF([1]对账明细接口!$K$450=0,"",[1]对账明细接口!$K$450),"")</f>
        <v/>
      </c>
      <c r="L450" s="16" t="str">
        <f>IFERROR(IF([1]对账明细接口!$L$450=0,"",[1]对账明细接口!$L$450),"")</f>
        <v/>
      </c>
      <c r="M450" s="16" t="str">
        <f>IFERROR(IF([1]对账明细接口!$M$450=0,"",[1]对账明细接口!$M$450),"")</f>
        <v/>
      </c>
      <c r="N450" s="19">
        <f t="shared" si="12"/>
        <v>0</v>
      </c>
      <c r="O450" s="19">
        <f t="shared" si="13"/>
        <v>420</v>
      </c>
      <c r="S450" s="20" t="str">
        <f>IFERROR(IF([1]对账明细接口!$N450=0,"",[1]对账明细接口!$N450),"")</f>
        <v/>
      </c>
      <c r="T450" s="21" t="str">
        <f>IFERROR(IF([1]对账明细接口!$O450=0,"",[1]对账明细接口!$O450),"")</f>
        <v/>
      </c>
      <c r="U450" s="21" t="str">
        <f>IFERROR(IF([1]对账明细接口!$P450=0,"",[1]对账明细接口!$P450),"")</f>
        <v/>
      </c>
      <c r="V450" s="21" t="str">
        <f>IFERROR(IF([1]对账明细接口!$Q450=0,"",[1]对账明细接口!$Q450),"")</f>
        <v/>
      </c>
      <c r="W450" s="20" t="str">
        <f>IFERROR(IF([1]对账明细接口!$R450=0,"",[1]对账明细接口!$R450),"")</f>
        <v/>
      </c>
      <c r="X450" s="20" t="str">
        <f>IFERROR(IF([1]对账明细接口!$S450=0,"",[1]对账明细接口!$S450),"")</f>
        <v/>
      </c>
      <c r="Y450" s="20" t="str">
        <f>IFERROR(IF([1]对账明细接口!$T450=0,"",[1]对账明细接口!$T450),"")</f>
        <v/>
      </c>
      <c r="Z450" s="24" t="str">
        <f>IFERROR(IF([1]对账明细接口!$U450=0,"",[1]对账明细接口!$U450),"")</f>
        <v/>
      </c>
      <c r="AA450" s="24" t="str">
        <f>IFERROR(IF([1]对账明细接口!$V450=0,"",[1]对账明细接口!$V450),"")</f>
        <v/>
      </c>
      <c r="AB450" s="20" t="str">
        <f>IFERROR(IF([1]对账明细接口!$W450=0,"",[1]对账明细接口!$W450),"")</f>
        <v/>
      </c>
      <c r="AC450" s="7" t="str">
        <f>IFERROR(IF([1]对账明细接口!$X450=0,"",[1]对账明细接口!$X450),"")</f>
        <v/>
      </c>
      <c r="AD450" s="7" t="str">
        <f>IFERROR(IF([1]对账明细接口!$Y450=0,"",[1]对账明细接口!$Y450),"")</f>
        <v/>
      </c>
      <c r="AE450" s="7" t="str">
        <f>IFERROR(IF([1]对账明细接口!$AA450=0,"",[1]对账明细接口!$AA450),"")</f>
        <v/>
      </c>
      <c r="AF450" s="7" t="str">
        <f>IFERROR(IF([1]对账明细接口!$AB450=0,"",[1]对账明细接口!$AB450),"")</f>
        <v/>
      </c>
      <c r="AG450" s="7" t="str">
        <f>IFERROR(IF([1]对账明细接口!$AC450=0,"",[1]对账明细接口!$AC450),"")</f>
        <v/>
      </c>
      <c r="AH450" s="7" t="str">
        <f>IFERROR(IF([1]对账明细接口!$AD450=0,"",[1]对账明细接口!$AD450),"")</f>
        <v/>
      </c>
      <c r="AI450" s="7" t="str">
        <f>IFERROR(IF([1]对账明细接口!$AE450=0,"",[1]对账明细接口!$AE450),"")</f>
        <v/>
      </c>
      <c r="AJ450" s="7" t="str">
        <f>IFERROR(IF([1]对账明细接口!$AF450=0,"",[1]对账明细接口!$AF450),"")</f>
        <v/>
      </c>
    </row>
    <row r="451" ht="14.25" customHeight="1" spans="1:36">
      <c r="A451" s="14">
        <v>451</v>
      </c>
      <c r="B451" s="15" t="str">
        <f>IFERROR(IF([1]对账明细接口!$B$451=0,"",[1]对账明细接口!$B$451),"")</f>
        <v/>
      </c>
      <c r="C451" s="16" t="str">
        <f>IFERROR(IF([1]对账明细接口!$C$451=0,"",[1]对账明细接口!$C$451),"")</f>
        <v/>
      </c>
      <c r="D451" s="16" t="str">
        <f>IFERROR(IF([1]对账明细接口!$D$451=0,"",[1]对账明细接口!$D$451),"")</f>
        <v/>
      </c>
      <c r="E451" s="16" t="str">
        <f>IFERROR(IF([1]对账明细接口!$E$451=0,"",[1]对账明细接口!$E$451),"")</f>
        <v/>
      </c>
      <c r="F451" s="16" t="str">
        <f>IFERROR(IF([1]对账明细接口!$F$451=0,"",[1]对账明细接口!$F$451),"")</f>
        <v/>
      </c>
      <c r="G451" s="16" t="str">
        <f>IFERROR(IF([1]对账明细接口!$G$451=0,"",[1]对账明细接口!$G$451),"")</f>
        <v/>
      </c>
      <c r="H451" s="17" t="str">
        <f>IFERROR(IF([1]对账明细接口!$H$451=0,"",[1]对账明细接口!$H$451),"")</f>
        <v/>
      </c>
      <c r="I451" s="16" t="str">
        <f>IFERROR(IF([1]对账明细接口!$I$451=0,"",[1]对账明细接口!$I$451),"")</f>
        <v/>
      </c>
      <c r="J451" s="18" t="str">
        <f>IFERROR(IF([1]对账明细接口!$J$451=0,"",[1]对账明细接口!$J$451),"")</f>
        <v/>
      </c>
      <c r="K451" s="18" t="str">
        <f>IFERROR(IF([1]对账明细接口!$K$451=0,"",[1]对账明细接口!$K$451),"")</f>
        <v/>
      </c>
      <c r="L451" s="16" t="str">
        <f>IFERROR(IF([1]对账明细接口!$L$451=0,"",[1]对账明细接口!$L$451),"")</f>
        <v/>
      </c>
      <c r="M451" s="16" t="str">
        <f>IFERROR(IF([1]对账明细接口!$M$451=0,"",[1]对账明细接口!$M$451),"")</f>
        <v/>
      </c>
      <c r="N451" s="19">
        <f t="shared" si="12"/>
        <v>0</v>
      </c>
      <c r="O451" s="19">
        <f t="shared" si="13"/>
        <v>420</v>
      </c>
      <c r="S451" s="20" t="str">
        <f>IFERROR(IF([1]对账明细接口!$N451=0,"",[1]对账明细接口!$N451),"")</f>
        <v/>
      </c>
      <c r="T451" s="21" t="str">
        <f>IFERROR(IF([1]对账明细接口!$O451=0,"",[1]对账明细接口!$O451),"")</f>
        <v/>
      </c>
      <c r="U451" s="21" t="str">
        <f>IFERROR(IF([1]对账明细接口!$P451=0,"",[1]对账明细接口!$P451),"")</f>
        <v/>
      </c>
      <c r="V451" s="21" t="str">
        <f>IFERROR(IF([1]对账明细接口!$Q451=0,"",[1]对账明细接口!$Q451),"")</f>
        <v/>
      </c>
      <c r="W451" s="20" t="str">
        <f>IFERROR(IF([1]对账明细接口!$R451=0,"",[1]对账明细接口!$R451),"")</f>
        <v/>
      </c>
      <c r="X451" s="20" t="str">
        <f>IFERROR(IF([1]对账明细接口!$S451=0,"",[1]对账明细接口!$S451),"")</f>
        <v/>
      </c>
      <c r="Y451" s="20" t="str">
        <f>IFERROR(IF([1]对账明细接口!$T451=0,"",[1]对账明细接口!$T451),"")</f>
        <v/>
      </c>
      <c r="Z451" s="24" t="str">
        <f>IFERROR(IF([1]对账明细接口!$U451=0,"",[1]对账明细接口!$U451),"")</f>
        <v/>
      </c>
      <c r="AA451" s="24" t="str">
        <f>IFERROR(IF([1]对账明细接口!$V451=0,"",[1]对账明细接口!$V451),"")</f>
        <v/>
      </c>
      <c r="AB451" s="20" t="str">
        <f>IFERROR(IF([1]对账明细接口!$W451=0,"",[1]对账明细接口!$W451),"")</f>
        <v/>
      </c>
      <c r="AC451" s="7" t="str">
        <f>IFERROR(IF([1]对账明细接口!$X451=0,"",[1]对账明细接口!$X451),"")</f>
        <v/>
      </c>
      <c r="AD451" s="7" t="str">
        <f>IFERROR(IF([1]对账明细接口!$Y451=0,"",[1]对账明细接口!$Y451),"")</f>
        <v/>
      </c>
      <c r="AE451" s="7" t="str">
        <f>IFERROR(IF([1]对账明细接口!$AA451=0,"",[1]对账明细接口!$AA451),"")</f>
        <v/>
      </c>
      <c r="AF451" s="7" t="str">
        <f>IFERROR(IF([1]对账明细接口!$AB451=0,"",[1]对账明细接口!$AB451),"")</f>
        <v/>
      </c>
      <c r="AG451" s="7" t="str">
        <f>IFERROR(IF([1]对账明细接口!$AC451=0,"",[1]对账明细接口!$AC451),"")</f>
        <v/>
      </c>
      <c r="AH451" s="7" t="str">
        <f>IFERROR(IF([1]对账明细接口!$AD451=0,"",[1]对账明细接口!$AD451),"")</f>
        <v/>
      </c>
      <c r="AI451" s="7" t="str">
        <f>IFERROR(IF([1]对账明细接口!$AE451=0,"",[1]对账明细接口!$AE451),"")</f>
        <v/>
      </c>
      <c r="AJ451" s="7" t="str">
        <f>IFERROR(IF([1]对账明细接口!$AF451=0,"",[1]对账明细接口!$AF451),"")</f>
        <v/>
      </c>
    </row>
    <row r="452" ht="14.25" customHeight="1" spans="1:36">
      <c r="A452" s="14">
        <v>452</v>
      </c>
      <c r="B452" s="15" t="str">
        <f>IFERROR(IF([1]对账明细接口!$B$452=0,"",[1]对账明细接口!$B$452),"")</f>
        <v/>
      </c>
      <c r="C452" s="16" t="str">
        <f>IFERROR(IF([1]对账明细接口!$C$452=0,"",[1]对账明细接口!$C$452),"")</f>
        <v/>
      </c>
      <c r="D452" s="16" t="str">
        <f>IFERROR(IF([1]对账明细接口!$D$452=0,"",[1]对账明细接口!$D$452),"")</f>
        <v/>
      </c>
      <c r="E452" s="16" t="str">
        <f>IFERROR(IF([1]对账明细接口!$E$452=0,"",[1]对账明细接口!$E$452),"")</f>
        <v/>
      </c>
      <c r="F452" s="16" t="str">
        <f>IFERROR(IF([1]对账明细接口!$F$452=0,"",[1]对账明细接口!$F$452),"")</f>
        <v/>
      </c>
      <c r="G452" s="16" t="str">
        <f>IFERROR(IF([1]对账明细接口!$G$452=0,"",[1]对账明细接口!$G$452),"")</f>
        <v/>
      </c>
      <c r="H452" s="17" t="str">
        <f>IFERROR(IF([1]对账明细接口!$H$452=0,"",[1]对账明细接口!$H$452),"")</f>
        <v/>
      </c>
      <c r="I452" s="16" t="str">
        <f>IFERROR(IF([1]对账明细接口!$I$452=0,"",[1]对账明细接口!$I$452),"")</f>
        <v/>
      </c>
      <c r="J452" s="18" t="str">
        <f>IFERROR(IF([1]对账明细接口!$J$452=0,"",[1]对账明细接口!$J$452),"")</f>
        <v/>
      </c>
      <c r="K452" s="18" t="str">
        <f>IFERROR(IF([1]对账明细接口!$K$452=0,"",[1]对账明细接口!$K$452),"")</f>
        <v/>
      </c>
      <c r="L452" s="16" t="str">
        <f>IFERROR(IF([1]对账明细接口!$L$452=0,"",[1]对账明细接口!$L$452),"")</f>
        <v/>
      </c>
      <c r="M452" s="16" t="str">
        <f>IFERROR(IF([1]对账明细接口!$M$452=0,"",[1]对账明细接口!$M$452),"")</f>
        <v/>
      </c>
      <c r="N452" s="19">
        <f t="shared" ref="N452:N515" si="14">IF($C452="",0,1)</f>
        <v>0</v>
      </c>
      <c r="O452" s="19">
        <f t="shared" ref="O452:O515" si="15">N(O451)+$N452</f>
        <v>420</v>
      </c>
      <c r="S452" s="20" t="str">
        <f>IFERROR(IF([1]对账明细接口!$N452=0,"",[1]对账明细接口!$N452),"")</f>
        <v/>
      </c>
      <c r="T452" s="21" t="str">
        <f>IFERROR(IF([1]对账明细接口!$O452=0,"",[1]对账明细接口!$O452),"")</f>
        <v/>
      </c>
      <c r="U452" s="21" t="str">
        <f>IFERROR(IF([1]对账明细接口!$P452=0,"",[1]对账明细接口!$P452),"")</f>
        <v/>
      </c>
      <c r="V452" s="21" t="str">
        <f>IFERROR(IF([1]对账明细接口!$Q452=0,"",[1]对账明细接口!$Q452),"")</f>
        <v/>
      </c>
      <c r="W452" s="20" t="str">
        <f>IFERROR(IF([1]对账明细接口!$R452=0,"",[1]对账明细接口!$R452),"")</f>
        <v/>
      </c>
      <c r="X452" s="20" t="str">
        <f>IFERROR(IF([1]对账明细接口!$S452=0,"",[1]对账明细接口!$S452),"")</f>
        <v/>
      </c>
      <c r="Y452" s="20" t="str">
        <f>IFERROR(IF([1]对账明细接口!$T452=0,"",[1]对账明细接口!$T452),"")</f>
        <v/>
      </c>
      <c r="Z452" s="24" t="str">
        <f>IFERROR(IF([1]对账明细接口!$U452=0,"",[1]对账明细接口!$U452),"")</f>
        <v/>
      </c>
      <c r="AA452" s="24" t="str">
        <f>IFERROR(IF([1]对账明细接口!$V452=0,"",[1]对账明细接口!$V452),"")</f>
        <v/>
      </c>
      <c r="AB452" s="20" t="str">
        <f>IFERROR(IF([1]对账明细接口!$W452=0,"",[1]对账明细接口!$W452),"")</f>
        <v/>
      </c>
      <c r="AC452" s="7" t="str">
        <f>IFERROR(IF([1]对账明细接口!$X452=0,"",[1]对账明细接口!$X452),"")</f>
        <v/>
      </c>
      <c r="AD452" s="7" t="str">
        <f>IFERROR(IF([1]对账明细接口!$Y452=0,"",[1]对账明细接口!$Y452),"")</f>
        <v/>
      </c>
      <c r="AE452" s="7" t="str">
        <f>IFERROR(IF([1]对账明细接口!$AA452=0,"",[1]对账明细接口!$AA452),"")</f>
        <v/>
      </c>
      <c r="AF452" s="7" t="str">
        <f>IFERROR(IF([1]对账明细接口!$AB452=0,"",[1]对账明细接口!$AB452),"")</f>
        <v/>
      </c>
      <c r="AG452" s="7" t="str">
        <f>IFERROR(IF([1]对账明细接口!$AC452=0,"",[1]对账明细接口!$AC452),"")</f>
        <v/>
      </c>
      <c r="AH452" s="7" t="str">
        <f>IFERROR(IF([1]对账明细接口!$AD452=0,"",[1]对账明细接口!$AD452),"")</f>
        <v/>
      </c>
      <c r="AI452" s="7" t="str">
        <f>IFERROR(IF([1]对账明细接口!$AE452=0,"",[1]对账明细接口!$AE452),"")</f>
        <v/>
      </c>
      <c r="AJ452" s="7" t="str">
        <f>IFERROR(IF([1]对账明细接口!$AF452=0,"",[1]对账明细接口!$AF452),"")</f>
        <v/>
      </c>
    </row>
    <row r="453" ht="14.25" customHeight="1" spans="1:36">
      <c r="A453" s="14">
        <v>453</v>
      </c>
      <c r="B453" s="15" t="str">
        <f>IFERROR(IF([1]对账明细接口!$B$453=0,"",[1]对账明细接口!$B$453),"")</f>
        <v/>
      </c>
      <c r="C453" s="16" t="str">
        <f>IFERROR(IF([1]对账明细接口!$C$453=0,"",[1]对账明细接口!$C$453),"")</f>
        <v/>
      </c>
      <c r="D453" s="16" t="str">
        <f>IFERROR(IF([1]对账明细接口!$D$453=0,"",[1]对账明细接口!$D$453),"")</f>
        <v/>
      </c>
      <c r="E453" s="16" t="str">
        <f>IFERROR(IF([1]对账明细接口!$E$453=0,"",[1]对账明细接口!$E$453),"")</f>
        <v/>
      </c>
      <c r="F453" s="16" t="str">
        <f>IFERROR(IF([1]对账明细接口!$F$453=0,"",[1]对账明细接口!$F$453),"")</f>
        <v/>
      </c>
      <c r="G453" s="16" t="str">
        <f>IFERROR(IF([1]对账明细接口!$G$453=0,"",[1]对账明细接口!$G$453),"")</f>
        <v/>
      </c>
      <c r="H453" s="17" t="str">
        <f>IFERROR(IF([1]对账明细接口!$H$453=0,"",[1]对账明细接口!$H$453),"")</f>
        <v/>
      </c>
      <c r="I453" s="16" t="str">
        <f>IFERROR(IF([1]对账明细接口!$I$453=0,"",[1]对账明细接口!$I$453),"")</f>
        <v/>
      </c>
      <c r="J453" s="18" t="str">
        <f>IFERROR(IF([1]对账明细接口!$J$453=0,"",[1]对账明细接口!$J$453),"")</f>
        <v/>
      </c>
      <c r="K453" s="18" t="str">
        <f>IFERROR(IF([1]对账明细接口!$K$453=0,"",[1]对账明细接口!$K$453),"")</f>
        <v/>
      </c>
      <c r="L453" s="16" t="str">
        <f>IFERROR(IF([1]对账明细接口!$L$453=0,"",[1]对账明细接口!$L$453),"")</f>
        <v/>
      </c>
      <c r="M453" s="16" t="str">
        <f>IFERROR(IF([1]对账明细接口!$M$453=0,"",[1]对账明细接口!$M$453),"")</f>
        <v/>
      </c>
      <c r="N453" s="19">
        <f t="shared" si="14"/>
        <v>0</v>
      </c>
      <c r="O453" s="19">
        <f t="shared" si="15"/>
        <v>420</v>
      </c>
      <c r="S453" s="20" t="str">
        <f>IFERROR(IF([1]对账明细接口!$N453=0,"",[1]对账明细接口!$N453),"")</f>
        <v/>
      </c>
      <c r="T453" s="21" t="str">
        <f>IFERROR(IF([1]对账明细接口!$O453=0,"",[1]对账明细接口!$O453),"")</f>
        <v/>
      </c>
      <c r="U453" s="21" t="str">
        <f>IFERROR(IF([1]对账明细接口!$P453=0,"",[1]对账明细接口!$P453),"")</f>
        <v/>
      </c>
      <c r="V453" s="21" t="str">
        <f>IFERROR(IF([1]对账明细接口!$Q453=0,"",[1]对账明细接口!$Q453),"")</f>
        <v/>
      </c>
      <c r="W453" s="20" t="str">
        <f>IFERROR(IF([1]对账明细接口!$R453=0,"",[1]对账明细接口!$R453),"")</f>
        <v/>
      </c>
      <c r="X453" s="20" t="str">
        <f>IFERROR(IF([1]对账明细接口!$S453=0,"",[1]对账明细接口!$S453),"")</f>
        <v/>
      </c>
      <c r="Y453" s="20" t="str">
        <f>IFERROR(IF([1]对账明细接口!$T453=0,"",[1]对账明细接口!$T453),"")</f>
        <v/>
      </c>
      <c r="Z453" s="24" t="str">
        <f>IFERROR(IF([1]对账明细接口!$U453=0,"",[1]对账明细接口!$U453),"")</f>
        <v/>
      </c>
      <c r="AA453" s="24" t="str">
        <f>IFERROR(IF([1]对账明细接口!$V453=0,"",[1]对账明细接口!$V453),"")</f>
        <v/>
      </c>
      <c r="AB453" s="20" t="str">
        <f>IFERROR(IF([1]对账明细接口!$W453=0,"",[1]对账明细接口!$W453),"")</f>
        <v/>
      </c>
      <c r="AC453" s="7" t="str">
        <f>IFERROR(IF([1]对账明细接口!$X453=0,"",[1]对账明细接口!$X453),"")</f>
        <v/>
      </c>
      <c r="AD453" s="7" t="str">
        <f>IFERROR(IF([1]对账明细接口!$Y453=0,"",[1]对账明细接口!$Y453),"")</f>
        <v/>
      </c>
      <c r="AE453" s="7" t="str">
        <f>IFERROR(IF([1]对账明细接口!$AA453=0,"",[1]对账明细接口!$AA453),"")</f>
        <v/>
      </c>
      <c r="AF453" s="7" t="str">
        <f>IFERROR(IF([1]对账明细接口!$AB453=0,"",[1]对账明细接口!$AB453),"")</f>
        <v/>
      </c>
      <c r="AG453" s="7" t="str">
        <f>IFERROR(IF([1]对账明细接口!$AC453=0,"",[1]对账明细接口!$AC453),"")</f>
        <v/>
      </c>
      <c r="AH453" s="7" t="str">
        <f>IFERROR(IF([1]对账明细接口!$AD453=0,"",[1]对账明细接口!$AD453),"")</f>
        <v/>
      </c>
      <c r="AI453" s="7" t="str">
        <f>IFERROR(IF([1]对账明细接口!$AE453=0,"",[1]对账明细接口!$AE453),"")</f>
        <v/>
      </c>
      <c r="AJ453" s="7" t="str">
        <f>IFERROR(IF([1]对账明细接口!$AF453=0,"",[1]对账明细接口!$AF453),"")</f>
        <v/>
      </c>
    </row>
    <row r="454" ht="14.25" customHeight="1" spans="1:36">
      <c r="A454" s="14">
        <v>454</v>
      </c>
      <c r="B454" s="15" t="str">
        <f>IFERROR(IF([1]对账明细接口!$B$454=0,"",[1]对账明细接口!$B$454),"")</f>
        <v/>
      </c>
      <c r="C454" s="16" t="str">
        <f>IFERROR(IF([1]对账明细接口!$C$454=0,"",[1]对账明细接口!$C$454),"")</f>
        <v/>
      </c>
      <c r="D454" s="16" t="str">
        <f>IFERROR(IF([1]对账明细接口!$D$454=0,"",[1]对账明细接口!$D$454),"")</f>
        <v/>
      </c>
      <c r="E454" s="16" t="str">
        <f>IFERROR(IF([1]对账明细接口!$E$454=0,"",[1]对账明细接口!$E$454),"")</f>
        <v/>
      </c>
      <c r="F454" s="16" t="str">
        <f>IFERROR(IF([1]对账明细接口!$F$454=0,"",[1]对账明细接口!$F$454),"")</f>
        <v/>
      </c>
      <c r="G454" s="16" t="str">
        <f>IFERROR(IF([1]对账明细接口!$G$454=0,"",[1]对账明细接口!$G$454),"")</f>
        <v/>
      </c>
      <c r="H454" s="17" t="str">
        <f>IFERROR(IF([1]对账明细接口!$H$454=0,"",[1]对账明细接口!$H$454),"")</f>
        <v/>
      </c>
      <c r="I454" s="16" t="str">
        <f>IFERROR(IF([1]对账明细接口!$I$454=0,"",[1]对账明细接口!$I$454),"")</f>
        <v/>
      </c>
      <c r="J454" s="18" t="str">
        <f>IFERROR(IF([1]对账明细接口!$J$454=0,"",[1]对账明细接口!$J$454),"")</f>
        <v/>
      </c>
      <c r="K454" s="18" t="str">
        <f>IFERROR(IF([1]对账明细接口!$K$454=0,"",[1]对账明细接口!$K$454),"")</f>
        <v/>
      </c>
      <c r="L454" s="16" t="str">
        <f>IFERROR(IF([1]对账明细接口!$L$454=0,"",[1]对账明细接口!$L$454),"")</f>
        <v/>
      </c>
      <c r="M454" s="16" t="str">
        <f>IFERROR(IF([1]对账明细接口!$M$454=0,"",[1]对账明细接口!$M$454),"")</f>
        <v/>
      </c>
      <c r="N454" s="19">
        <f t="shared" si="14"/>
        <v>0</v>
      </c>
      <c r="O454" s="19">
        <f t="shared" si="15"/>
        <v>420</v>
      </c>
      <c r="S454" s="20" t="str">
        <f>IFERROR(IF([1]对账明细接口!$N454=0,"",[1]对账明细接口!$N454),"")</f>
        <v/>
      </c>
      <c r="T454" s="21" t="str">
        <f>IFERROR(IF([1]对账明细接口!$O454=0,"",[1]对账明细接口!$O454),"")</f>
        <v/>
      </c>
      <c r="U454" s="21" t="str">
        <f>IFERROR(IF([1]对账明细接口!$P454=0,"",[1]对账明细接口!$P454),"")</f>
        <v/>
      </c>
      <c r="V454" s="21" t="str">
        <f>IFERROR(IF([1]对账明细接口!$Q454=0,"",[1]对账明细接口!$Q454),"")</f>
        <v/>
      </c>
      <c r="W454" s="20" t="str">
        <f>IFERROR(IF([1]对账明细接口!$R454=0,"",[1]对账明细接口!$R454),"")</f>
        <v/>
      </c>
      <c r="X454" s="20" t="str">
        <f>IFERROR(IF([1]对账明细接口!$S454=0,"",[1]对账明细接口!$S454),"")</f>
        <v/>
      </c>
      <c r="Y454" s="20" t="str">
        <f>IFERROR(IF([1]对账明细接口!$T454=0,"",[1]对账明细接口!$T454),"")</f>
        <v/>
      </c>
      <c r="Z454" s="24" t="str">
        <f>IFERROR(IF([1]对账明细接口!$U454=0,"",[1]对账明细接口!$U454),"")</f>
        <v/>
      </c>
      <c r="AA454" s="24" t="str">
        <f>IFERROR(IF([1]对账明细接口!$V454=0,"",[1]对账明细接口!$V454),"")</f>
        <v/>
      </c>
      <c r="AB454" s="20" t="str">
        <f>IFERROR(IF([1]对账明细接口!$W454=0,"",[1]对账明细接口!$W454),"")</f>
        <v/>
      </c>
      <c r="AC454" s="7" t="str">
        <f>IFERROR(IF([1]对账明细接口!$X454=0,"",[1]对账明细接口!$X454),"")</f>
        <v/>
      </c>
      <c r="AD454" s="7" t="str">
        <f>IFERROR(IF([1]对账明细接口!$Y454=0,"",[1]对账明细接口!$Y454),"")</f>
        <v/>
      </c>
      <c r="AE454" s="7" t="str">
        <f>IFERROR(IF([1]对账明细接口!$AA454=0,"",[1]对账明细接口!$AA454),"")</f>
        <v/>
      </c>
      <c r="AF454" s="7" t="str">
        <f>IFERROR(IF([1]对账明细接口!$AB454=0,"",[1]对账明细接口!$AB454),"")</f>
        <v/>
      </c>
      <c r="AG454" s="7" t="str">
        <f>IFERROR(IF([1]对账明细接口!$AC454=0,"",[1]对账明细接口!$AC454),"")</f>
        <v/>
      </c>
      <c r="AH454" s="7" t="str">
        <f>IFERROR(IF([1]对账明细接口!$AD454=0,"",[1]对账明细接口!$AD454),"")</f>
        <v/>
      </c>
      <c r="AI454" s="7" t="str">
        <f>IFERROR(IF([1]对账明细接口!$AE454=0,"",[1]对账明细接口!$AE454),"")</f>
        <v/>
      </c>
      <c r="AJ454" s="7" t="str">
        <f>IFERROR(IF([1]对账明细接口!$AF454=0,"",[1]对账明细接口!$AF454),"")</f>
        <v/>
      </c>
    </row>
    <row r="455" ht="14.25" customHeight="1" spans="1:36">
      <c r="A455" s="14">
        <v>455</v>
      </c>
      <c r="B455" s="15" t="str">
        <f>IFERROR(IF([1]对账明细接口!$B$455=0,"",[1]对账明细接口!$B$455),"")</f>
        <v/>
      </c>
      <c r="C455" s="16" t="str">
        <f>IFERROR(IF([1]对账明细接口!$C$455=0,"",[1]对账明细接口!$C$455),"")</f>
        <v/>
      </c>
      <c r="D455" s="16" t="str">
        <f>IFERROR(IF([1]对账明细接口!$D$455=0,"",[1]对账明细接口!$D$455),"")</f>
        <v/>
      </c>
      <c r="E455" s="16" t="str">
        <f>IFERROR(IF([1]对账明细接口!$E$455=0,"",[1]对账明细接口!$E$455),"")</f>
        <v/>
      </c>
      <c r="F455" s="16" t="str">
        <f>IFERROR(IF([1]对账明细接口!$F$455=0,"",[1]对账明细接口!$F$455),"")</f>
        <v/>
      </c>
      <c r="G455" s="16" t="str">
        <f>IFERROR(IF([1]对账明细接口!$G$455=0,"",[1]对账明细接口!$G$455),"")</f>
        <v/>
      </c>
      <c r="H455" s="17" t="str">
        <f>IFERROR(IF([1]对账明细接口!$H$455=0,"",[1]对账明细接口!$H$455),"")</f>
        <v/>
      </c>
      <c r="I455" s="16" t="str">
        <f>IFERROR(IF([1]对账明细接口!$I$455=0,"",[1]对账明细接口!$I$455),"")</f>
        <v/>
      </c>
      <c r="J455" s="18" t="str">
        <f>IFERROR(IF([1]对账明细接口!$J$455=0,"",[1]对账明细接口!$J$455),"")</f>
        <v/>
      </c>
      <c r="K455" s="18" t="str">
        <f>IFERROR(IF([1]对账明细接口!$K$455=0,"",[1]对账明细接口!$K$455),"")</f>
        <v/>
      </c>
      <c r="L455" s="16" t="str">
        <f>IFERROR(IF([1]对账明细接口!$L$455=0,"",[1]对账明细接口!$L$455),"")</f>
        <v/>
      </c>
      <c r="M455" s="16" t="str">
        <f>IFERROR(IF([1]对账明细接口!$M$455=0,"",[1]对账明细接口!$M$455),"")</f>
        <v/>
      </c>
      <c r="N455" s="19">
        <f t="shared" si="14"/>
        <v>0</v>
      </c>
      <c r="O455" s="19">
        <f t="shared" si="15"/>
        <v>420</v>
      </c>
      <c r="S455" s="20" t="str">
        <f>IFERROR(IF([1]对账明细接口!$N455=0,"",[1]对账明细接口!$N455),"")</f>
        <v/>
      </c>
      <c r="T455" s="21" t="str">
        <f>IFERROR(IF([1]对账明细接口!$O455=0,"",[1]对账明细接口!$O455),"")</f>
        <v/>
      </c>
      <c r="U455" s="21" t="str">
        <f>IFERROR(IF([1]对账明细接口!$P455=0,"",[1]对账明细接口!$P455),"")</f>
        <v/>
      </c>
      <c r="V455" s="21" t="str">
        <f>IFERROR(IF([1]对账明细接口!$Q455=0,"",[1]对账明细接口!$Q455),"")</f>
        <v/>
      </c>
      <c r="W455" s="20" t="str">
        <f>IFERROR(IF([1]对账明细接口!$R455=0,"",[1]对账明细接口!$R455),"")</f>
        <v/>
      </c>
      <c r="X455" s="20" t="str">
        <f>IFERROR(IF([1]对账明细接口!$S455=0,"",[1]对账明细接口!$S455),"")</f>
        <v/>
      </c>
      <c r="Y455" s="20" t="str">
        <f>IFERROR(IF([1]对账明细接口!$T455=0,"",[1]对账明细接口!$T455),"")</f>
        <v/>
      </c>
      <c r="Z455" s="24" t="str">
        <f>IFERROR(IF([1]对账明细接口!$U455=0,"",[1]对账明细接口!$U455),"")</f>
        <v/>
      </c>
      <c r="AA455" s="24" t="str">
        <f>IFERROR(IF([1]对账明细接口!$V455=0,"",[1]对账明细接口!$V455),"")</f>
        <v/>
      </c>
      <c r="AB455" s="20" t="str">
        <f>IFERROR(IF([1]对账明细接口!$W455=0,"",[1]对账明细接口!$W455),"")</f>
        <v/>
      </c>
      <c r="AC455" s="7" t="str">
        <f>IFERROR(IF([1]对账明细接口!$X455=0,"",[1]对账明细接口!$X455),"")</f>
        <v/>
      </c>
      <c r="AD455" s="7" t="str">
        <f>IFERROR(IF([1]对账明细接口!$Y455=0,"",[1]对账明细接口!$Y455),"")</f>
        <v/>
      </c>
      <c r="AE455" s="7" t="str">
        <f>IFERROR(IF([1]对账明细接口!$AA455=0,"",[1]对账明细接口!$AA455),"")</f>
        <v/>
      </c>
      <c r="AF455" s="7" t="str">
        <f>IFERROR(IF([1]对账明细接口!$AB455=0,"",[1]对账明细接口!$AB455),"")</f>
        <v/>
      </c>
      <c r="AG455" s="7" t="str">
        <f>IFERROR(IF([1]对账明细接口!$AC455=0,"",[1]对账明细接口!$AC455),"")</f>
        <v/>
      </c>
      <c r="AH455" s="7" t="str">
        <f>IFERROR(IF([1]对账明细接口!$AD455=0,"",[1]对账明细接口!$AD455),"")</f>
        <v/>
      </c>
      <c r="AI455" s="7" t="str">
        <f>IFERROR(IF([1]对账明细接口!$AE455=0,"",[1]对账明细接口!$AE455),"")</f>
        <v/>
      </c>
      <c r="AJ455" s="7" t="str">
        <f>IFERROR(IF([1]对账明细接口!$AF455=0,"",[1]对账明细接口!$AF455),"")</f>
        <v/>
      </c>
    </row>
    <row r="456" ht="14.25" customHeight="1" spans="1:36">
      <c r="A456" s="14">
        <v>456</v>
      </c>
      <c r="B456" s="15" t="str">
        <f>IFERROR(IF([1]对账明细接口!$B$456=0,"",[1]对账明细接口!$B$456),"")</f>
        <v/>
      </c>
      <c r="C456" s="16" t="str">
        <f>IFERROR(IF([1]对账明细接口!$C$456=0,"",[1]对账明细接口!$C$456),"")</f>
        <v/>
      </c>
      <c r="D456" s="16" t="str">
        <f>IFERROR(IF([1]对账明细接口!$D$456=0,"",[1]对账明细接口!$D$456),"")</f>
        <v/>
      </c>
      <c r="E456" s="16" t="str">
        <f>IFERROR(IF([1]对账明细接口!$E$456=0,"",[1]对账明细接口!$E$456),"")</f>
        <v/>
      </c>
      <c r="F456" s="16" t="str">
        <f>IFERROR(IF([1]对账明细接口!$F$456=0,"",[1]对账明细接口!$F$456),"")</f>
        <v/>
      </c>
      <c r="G456" s="16" t="str">
        <f>IFERROR(IF([1]对账明细接口!$G$456=0,"",[1]对账明细接口!$G$456),"")</f>
        <v/>
      </c>
      <c r="H456" s="17" t="str">
        <f>IFERROR(IF([1]对账明细接口!$H$456=0,"",[1]对账明细接口!$H$456),"")</f>
        <v/>
      </c>
      <c r="I456" s="16" t="str">
        <f>IFERROR(IF([1]对账明细接口!$I$456=0,"",[1]对账明细接口!$I$456),"")</f>
        <v/>
      </c>
      <c r="J456" s="18" t="str">
        <f>IFERROR(IF([1]对账明细接口!$J$456=0,"",[1]对账明细接口!$J$456),"")</f>
        <v/>
      </c>
      <c r="K456" s="18" t="str">
        <f>IFERROR(IF([1]对账明细接口!$K$456=0,"",[1]对账明细接口!$K$456),"")</f>
        <v/>
      </c>
      <c r="L456" s="16" t="str">
        <f>IFERROR(IF([1]对账明细接口!$L$456=0,"",[1]对账明细接口!$L$456),"")</f>
        <v/>
      </c>
      <c r="M456" s="16" t="str">
        <f>IFERROR(IF([1]对账明细接口!$M$456=0,"",[1]对账明细接口!$M$456),"")</f>
        <v/>
      </c>
      <c r="N456" s="19">
        <f t="shared" si="14"/>
        <v>0</v>
      </c>
      <c r="O456" s="19">
        <f t="shared" si="15"/>
        <v>420</v>
      </c>
      <c r="S456" s="20" t="str">
        <f>IFERROR(IF([1]对账明细接口!$N456=0,"",[1]对账明细接口!$N456),"")</f>
        <v/>
      </c>
      <c r="T456" s="21" t="str">
        <f>IFERROR(IF([1]对账明细接口!$O456=0,"",[1]对账明细接口!$O456),"")</f>
        <v/>
      </c>
      <c r="U456" s="21" t="str">
        <f>IFERROR(IF([1]对账明细接口!$P456=0,"",[1]对账明细接口!$P456),"")</f>
        <v/>
      </c>
      <c r="V456" s="21" t="str">
        <f>IFERROR(IF([1]对账明细接口!$Q456=0,"",[1]对账明细接口!$Q456),"")</f>
        <v/>
      </c>
      <c r="W456" s="20" t="str">
        <f>IFERROR(IF([1]对账明细接口!$R456=0,"",[1]对账明细接口!$R456),"")</f>
        <v/>
      </c>
      <c r="X456" s="20" t="str">
        <f>IFERROR(IF([1]对账明细接口!$S456=0,"",[1]对账明细接口!$S456),"")</f>
        <v/>
      </c>
      <c r="Y456" s="20" t="str">
        <f>IFERROR(IF([1]对账明细接口!$T456=0,"",[1]对账明细接口!$T456),"")</f>
        <v/>
      </c>
      <c r="Z456" s="24" t="str">
        <f>IFERROR(IF([1]对账明细接口!$U456=0,"",[1]对账明细接口!$U456),"")</f>
        <v/>
      </c>
      <c r="AA456" s="24" t="str">
        <f>IFERROR(IF([1]对账明细接口!$V456=0,"",[1]对账明细接口!$V456),"")</f>
        <v/>
      </c>
      <c r="AB456" s="20" t="str">
        <f>IFERROR(IF([1]对账明细接口!$W456=0,"",[1]对账明细接口!$W456),"")</f>
        <v/>
      </c>
      <c r="AC456" s="7" t="str">
        <f>IFERROR(IF([1]对账明细接口!$X456=0,"",[1]对账明细接口!$X456),"")</f>
        <v/>
      </c>
      <c r="AD456" s="7" t="str">
        <f>IFERROR(IF([1]对账明细接口!$Y456=0,"",[1]对账明细接口!$Y456),"")</f>
        <v/>
      </c>
      <c r="AE456" s="7" t="str">
        <f>IFERROR(IF([1]对账明细接口!$AA456=0,"",[1]对账明细接口!$AA456),"")</f>
        <v/>
      </c>
      <c r="AF456" s="7" t="str">
        <f>IFERROR(IF([1]对账明细接口!$AB456=0,"",[1]对账明细接口!$AB456),"")</f>
        <v/>
      </c>
      <c r="AG456" s="7" t="str">
        <f>IFERROR(IF([1]对账明细接口!$AC456=0,"",[1]对账明细接口!$AC456),"")</f>
        <v/>
      </c>
      <c r="AH456" s="7" t="str">
        <f>IFERROR(IF([1]对账明细接口!$AD456=0,"",[1]对账明细接口!$AD456),"")</f>
        <v/>
      </c>
      <c r="AI456" s="7" t="str">
        <f>IFERROR(IF([1]对账明细接口!$AE456=0,"",[1]对账明细接口!$AE456),"")</f>
        <v/>
      </c>
      <c r="AJ456" s="7" t="str">
        <f>IFERROR(IF([1]对账明细接口!$AF456=0,"",[1]对账明细接口!$AF456),"")</f>
        <v/>
      </c>
    </row>
    <row r="457" ht="14.25" customHeight="1" spans="1:36">
      <c r="A457" s="14">
        <v>457</v>
      </c>
      <c r="B457" s="15" t="str">
        <f>IFERROR(IF([1]对账明细接口!$B$457=0,"",[1]对账明细接口!$B$457),"")</f>
        <v/>
      </c>
      <c r="C457" s="16" t="str">
        <f>IFERROR(IF([1]对账明细接口!$C$457=0,"",[1]对账明细接口!$C$457),"")</f>
        <v/>
      </c>
      <c r="D457" s="16" t="str">
        <f>IFERROR(IF([1]对账明细接口!$D$457=0,"",[1]对账明细接口!$D$457),"")</f>
        <v/>
      </c>
      <c r="E457" s="16" t="str">
        <f>IFERROR(IF([1]对账明细接口!$E$457=0,"",[1]对账明细接口!$E$457),"")</f>
        <v/>
      </c>
      <c r="F457" s="16" t="str">
        <f>IFERROR(IF([1]对账明细接口!$F$457=0,"",[1]对账明细接口!$F$457),"")</f>
        <v/>
      </c>
      <c r="G457" s="16" t="str">
        <f>IFERROR(IF([1]对账明细接口!$G$457=0,"",[1]对账明细接口!$G$457),"")</f>
        <v/>
      </c>
      <c r="H457" s="17" t="str">
        <f>IFERROR(IF([1]对账明细接口!$H$457=0,"",[1]对账明细接口!$H$457),"")</f>
        <v/>
      </c>
      <c r="I457" s="16" t="str">
        <f>IFERROR(IF([1]对账明细接口!$I$457=0,"",[1]对账明细接口!$I$457),"")</f>
        <v/>
      </c>
      <c r="J457" s="18" t="str">
        <f>IFERROR(IF([1]对账明细接口!$J$457=0,"",[1]对账明细接口!$J$457),"")</f>
        <v/>
      </c>
      <c r="K457" s="18" t="str">
        <f>IFERROR(IF([1]对账明细接口!$K$457=0,"",[1]对账明细接口!$K$457),"")</f>
        <v/>
      </c>
      <c r="L457" s="16" t="str">
        <f>IFERROR(IF([1]对账明细接口!$L$457=0,"",[1]对账明细接口!$L$457),"")</f>
        <v/>
      </c>
      <c r="M457" s="16" t="str">
        <f>IFERROR(IF([1]对账明细接口!$M$457=0,"",[1]对账明细接口!$M$457),"")</f>
        <v/>
      </c>
      <c r="N457" s="19">
        <f t="shared" si="14"/>
        <v>0</v>
      </c>
      <c r="O457" s="19">
        <f t="shared" si="15"/>
        <v>420</v>
      </c>
      <c r="S457" s="20" t="str">
        <f>IFERROR(IF([1]对账明细接口!$N457=0,"",[1]对账明细接口!$N457),"")</f>
        <v/>
      </c>
      <c r="T457" s="21" t="str">
        <f>IFERROR(IF([1]对账明细接口!$O457=0,"",[1]对账明细接口!$O457),"")</f>
        <v/>
      </c>
      <c r="U457" s="21" t="str">
        <f>IFERROR(IF([1]对账明细接口!$P457=0,"",[1]对账明细接口!$P457),"")</f>
        <v/>
      </c>
      <c r="V457" s="21" t="str">
        <f>IFERROR(IF([1]对账明细接口!$Q457=0,"",[1]对账明细接口!$Q457),"")</f>
        <v/>
      </c>
      <c r="W457" s="20" t="str">
        <f>IFERROR(IF([1]对账明细接口!$R457=0,"",[1]对账明细接口!$R457),"")</f>
        <v/>
      </c>
      <c r="X457" s="20" t="str">
        <f>IFERROR(IF([1]对账明细接口!$S457=0,"",[1]对账明细接口!$S457),"")</f>
        <v/>
      </c>
      <c r="Y457" s="20" t="str">
        <f>IFERROR(IF([1]对账明细接口!$T457=0,"",[1]对账明细接口!$T457),"")</f>
        <v/>
      </c>
      <c r="Z457" s="24" t="str">
        <f>IFERROR(IF([1]对账明细接口!$U457=0,"",[1]对账明细接口!$U457),"")</f>
        <v/>
      </c>
      <c r="AA457" s="24" t="str">
        <f>IFERROR(IF([1]对账明细接口!$V457=0,"",[1]对账明细接口!$V457),"")</f>
        <v/>
      </c>
      <c r="AB457" s="20" t="str">
        <f>IFERROR(IF([1]对账明细接口!$W457=0,"",[1]对账明细接口!$W457),"")</f>
        <v/>
      </c>
      <c r="AC457" s="7" t="str">
        <f>IFERROR(IF([1]对账明细接口!$X457=0,"",[1]对账明细接口!$X457),"")</f>
        <v/>
      </c>
      <c r="AD457" s="7" t="str">
        <f>IFERROR(IF([1]对账明细接口!$Y457=0,"",[1]对账明细接口!$Y457),"")</f>
        <v/>
      </c>
      <c r="AE457" s="7" t="str">
        <f>IFERROR(IF([1]对账明细接口!$AA457=0,"",[1]对账明细接口!$AA457),"")</f>
        <v/>
      </c>
      <c r="AF457" s="7" t="str">
        <f>IFERROR(IF([1]对账明细接口!$AB457=0,"",[1]对账明细接口!$AB457),"")</f>
        <v/>
      </c>
      <c r="AG457" s="7" t="str">
        <f>IFERROR(IF([1]对账明细接口!$AC457=0,"",[1]对账明细接口!$AC457),"")</f>
        <v/>
      </c>
      <c r="AH457" s="7" t="str">
        <f>IFERROR(IF([1]对账明细接口!$AD457=0,"",[1]对账明细接口!$AD457),"")</f>
        <v/>
      </c>
      <c r="AI457" s="7" t="str">
        <f>IFERROR(IF([1]对账明细接口!$AE457=0,"",[1]对账明细接口!$AE457),"")</f>
        <v/>
      </c>
      <c r="AJ457" s="7" t="str">
        <f>IFERROR(IF([1]对账明细接口!$AF457=0,"",[1]对账明细接口!$AF457),"")</f>
        <v/>
      </c>
    </row>
    <row r="458" ht="14.25" customHeight="1" spans="1:36">
      <c r="A458" s="14">
        <v>458</v>
      </c>
      <c r="B458" s="15" t="str">
        <f>IFERROR(IF([1]对账明细接口!$B$458=0,"",[1]对账明细接口!$B$458),"")</f>
        <v/>
      </c>
      <c r="C458" s="16" t="str">
        <f>IFERROR(IF([1]对账明细接口!$C$458=0,"",[1]对账明细接口!$C$458),"")</f>
        <v/>
      </c>
      <c r="D458" s="16" t="str">
        <f>IFERROR(IF([1]对账明细接口!$D$458=0,"",[1]对账明细接口!$D$458),"")</f>
        <v/>
      </c>
      <c r="E458" s="16" t="str">
        <f>IFERROR(IF([1]对账明细接口!$E$458=0,"",[1]对账明细接口!$E$458),"")</f>
        <v/>
      </c>
      <c r="F458" s="16" t="str">
        <f>IFERROR(IF([1]对账明细接口!$F$458=0,"",[1]对账明细接口!$F$458),"")</f>
        <v/>
      </c>
      <c r="G458" s="16" t="str">
        <f>IFERROR(IF([1]对账明细接口!$G$458=0,"",[1]对账明细接口!$G$458),"")</f>
        <v/>
      </c>
      <c r="H458" s="17" t="str">
        <f>IFERROR(IF([1]对账明细接口!$H$458=0,"",[1]对账明细接口!$H$458),"")</f>
        <v/>
      </c>
      <c r="I458" s="16" t="str">
        <f>IFERROR(IF([1]对账明细接口!$I$458=0,"",[1]对账明细接口!$I$458),"")</f>
        <v/>
      </c>
      <c r="J458" s="18" t="str">
        <f>IFERROR(IF([1]对账明细接口!$J$458=0,"",[1]对账明细接口!$J$458),"")</f>
        <v/>
      </c>
      <c r="K458" s="18" t="str">
        <f>IFERROR(IF([1]对账明细接口!$K$458=0,"",[1]对账明细接口!$K$458),"")</f>
        <v/>
      </c>
      <c r="L458" s="16" t="str">
        <f>IFERROR(IF([1]对账明细接口!$L$458=0,"",[1]对账明细接口!$L$458),"")</f>
        <v/>
      </c>
      <c r="M458" s="16" t="str">
        <f>IFERROR(IF([1]对账明细接口!$M$458=0,"",[1]对账明细接口!$M$458),"")</f>
        <v/>
      </c>
      <c r="N458" s="19">
        <f t="shared" si="14"/>
        <v>0</v>
      </c>
      <c r="O458" s="19">
        <f t="shared" si="15"/>
        <v>420</v>
      </c>
      <c r="S458" s="20" t="str">
        <f>IFERROR(IF([1]对账明细接口!$N458=0,"",[1]对账明细接口!$N458),"")</f>
        <v/>
      </c>
      <c r="T458" s="21" t="str">
        <f>IFERROR(IF([1]对账明细接口!$O458=0,"",[1]对账明细接口!$O458),"")</f>
        <v/>
      </c>
      <c r="U458" s="21" t="str">
        <f>IFERROR(IF([1]对账明细接口!$P458=0,"",[1]对账明细接口!$P458),"")</f>
        <v/>
      </c>
      <c r="V458" s="21" t="str">
        <f>IFERROR(IF([1]对账明细接口!$Q458=0,"",[1]对账明细接口!$Q458),"")</f>
        <v/>
      </c>
      <c r="W458" s="20" t="str">
        <f>IFERROR(IF([1]对账明细接口!$R458=0,"",[1]对账明细接口!$R458),"")</f>
        <v/>
      </c>
      <c r="X458" s="20" t="str">
        <f>IFERROR(IF([1]对账明细接口!$S458=0,"",[1]对账明细接口!$S458),"")</f>
        <v/>
      </c>
      <c r="Y458" s="20" t="str">
        <f>IFERROR(IF([1]对账明细接口!$T458=0,"",[1]对账明细接口!$T458),"")</f>
        <v/>
      </c>
      <c r="Z458" s="24" t="str">
        <f>IFERROR(IF([1]对账明细接口!$U458=0,"",[1]对账明细接口!$U458),"")</f>
        <v/>
      </c>
      <c r="AA458" s="24" t="str">
        <f>IFERROR(IF([1]对账明细接口!$V458=0,"",[1]对账明细接口!$V458),"")</f>
        <v/>
      </c>
      <c r="AB458" s="20" t="str">
        <f>IFERROR(IF([1]对账明细接口!$W458=0,"",[1]对账明细接口!$W458),"")</f>
        <v/>
      </c>
      <c r="AC458" s="7" t="str">
        <f>IFERROR(IF([1]对账明细接口!$X458=0,"",[1]对账明细接口!$X458),"")</f>
        <v/>
      </c>
      <c r="AD458" s="7" t="str">
        <f>IFERROR(IF([1]对账明细接口!$Y458=0,"",[1]对账明细接口!$Y458),"")</f>
        <v/>
      </c>
      <c r="AE458" s="7" t="str">
        <f>IFERROR(IF([1]对账明细接口!$AA458=0,"",[1]对账明细接口!$AA458),"")</f>
        <v/>
      </c>
      <c r="AF458" s="7" t="str">
        <f>IFERROR(IF([1]对账明细接口!$AB458=0,"",[1]对账明细接口!$AB458),"")</f>
        <v/>
      </c>
      <c r="AG458" s="7" t="str">
        <f>IFERROR(IF([1]对账明细接口!$AC458=0,"",[1]对账明细接口!$AC458),"")</f>
        <v/>
      </c>
      <c r="AH458" s="7" t="str">
        <f>IFERROR(IF([1]对账明细接口!$AD458=0,"",[1]对账明细接口!$AD458),"")</f>
        <v/>
      </c>
      <c r="AI458" s="7" t="str">
        <f>IFERROR(IF([1]对账明细接口!$AE458=0,"",[1]对账明细接口!$AE458),"")</f>
        <v/>
      </c>
      <c r="AJ458" s="7" t="str">
        <f>IFERROR(IF([1]对账明细接口!$AF458=0,"",[1]对账明细接口!$AF458),"")</f>
        <v/>
      </c>
    </row>
    <row r="459" ht="14.25" customHeight="1" spans="1:36">
      <c r="A459" s="14">
        <v>459</v>
      </c>
      <c r="B459" s="15" t="str">
        <f>IFERROR(IF([1]对账明细接口!$B$459=0,"",[1]对账明细接口!$B$459),"")</f>
        <v/>
      </c>
      <c r="C459" s="16" t="str">
        <f>IFERROR(IF([1]对账明细接口!$C$459=0,"",[1]对账明细接口!$C$459),"")</f>
        <v/>
      </c>
      <c r="D459" s="16" t="str">
        <f>IFERROR(IF([1]对账明细接口!$D$459=0,"",[1]对账明细接口!$D$459),"")</f>
        <v/>
      </c>
      <c r="E459" s="16" t="str">
        <f>IFERROR(IF([1]对账明细接口!$E$459=0,"",[1]对账明细接口!$E$459),"")</f>
        <v/>
      </c>
      <c r="F459" s="16" t="str">
        <f>IFERROR(IF([1]对账明细接口!$F$459=0,"",[1]对账明细接口!$F$459),"")</f>
        <v/>
      </c>
      <c r="G459" s="16" t="str">
        <f>IFERROR(IF([1]对账明细接口!$G$459=0,"",[1]对账明细接口!$G$459),"")</f>
        <v/>
      </c>
      <c r="H459" s="17" t="str">
        <f>IFERROR(IF([1]对账明细接口!$H$459=0,"",[1]对账明细接口!$H$459),"")</f>
        <v/>
      </c>
      <c r="I459" s="16" t="str">
        <f>IFERROR(IF([1]对账明细接口!$I$459=0,"",[1]对账明细接口!$I$459),"")</f>
        <v/>
      </c>
      <c r="J459" s="18" t="str">
        <f>IFERROR(IF([1]对账明细接口!$J$459=0,"",[1]对账明细接口!$J$459),"")</f>
        <v/>
      </c>
      <c r="K459" s="18" t="str">
        <f>IFERROR(IF([1]对账明细接口!$K$459=0,"",[1]对账明细接口!$K$459),"")</f>
        <v/>
      </c>
      <c r="L459" s="16" t="str">
        <f>IFERROR(IF([1]对账明细接口!$L$459=0,"",[1]对账明细接口!$L$459),"")</f>
        <v/>
      </c>
      <c r="M459" s="16" t="str">
        <f>IFERROR(IF([1]对账明细接口!$M$459=0,"",[1]对账明细接口!$M$459),"")</f>
        <v/>
      </c>
      <c r="N459" s="19">
        <f t="shared" si="14"/>
        <v>0</v>
      </c>
      <c r="O459" s="19">
        <f t="shared" si="15"/>
        <v>420</v>
      </c>
      <c r="S459" s="20" t="str">
        <f>IFERROR(IF([1]对账明细接口!$N459=0,"",[1]对账明细接口!$N459),"")</f>
        <v/>
      </c>
      <c r="T459" s="21" t="str">
        <f>IFERROR(IF([1]对账明细接口!$O459=0,"",[1]对账明细接口!$O459),"")</f>
        <v/>
      </c>
      <c r="U459" s="21" t="str">
        <f>IFERROR(IF([1]对账明细接口!$P459=0,"",[1]对账明细接口!$P459),"")</f>
        <v/>
      </c>
      <c r="V459" s="21" t="str">
        <f>IFERROR(IF([1]对账明细接口!$Q459=0,"",[1]对账明细接口!$Q459),"")</f>
        <v/>
      </c>
      <c r="W459" s="20" t="str">
        <f>IFERROR(IF([1]对账明细接口!$R459=0,"",[1]对账明细接口!$R459),"")</f>
        <v/>
      </c>
      <c r="X459" s="20" t="str">
        <f>IFERROR(IF([1]对账明细接口!$S459=0,"",[1]对账明细接口!$S459),"")</f>
        <v/>
      </c>
      <c r="Y459" s="20" t="str">
        <f>IFERROR(IF([1]对账明细接口!$T459=0,"",[1]对账明细接口!$T459),"")</f>
        <v/>
      </c>
      <c r="Z459" s="24" t="str">
        <f>IFERROR(IF([1]对账明细接口!$U459=0,"",[1]对账明细接口!$U459),"")</f>
        <v/>
      </c>
      <c r="AA459" s="24" t="str">
        <f>IFERROR(IF([1]对账明细接口!$V459=0,"",[1]对账明细接口!$V459),"")</f>
        <v/>
      </c>
      <c r="AB459" s="20" t="str">
        <f>IFERROR(IF([1]对账明细接口!$W459=0,"",[1]对账明细接口!$W459),"")</f>
        <v/>
      </c>
      <c r="AC459" s="7" t="str">
        <f>IFERROR(IF([1]对账明细接口!$X459=0,"",[1]对账明细接口!$X459),"")</f>
        <v/>
      </c>
      <c r="AD459" s="7" t="str">
        <f>IFERROR(IF([1]对账明细接口!$Y459=0,"",[1]对账明细接口!$Y459),"")</f>
        <v/>
      </c>
      <c r="AE459" s="7" t="str">
        <f>IFERROR(IF([1]对账明细接口!$AA459=0,"",[1]对账明细接口!$AA459),"")</f>
        <v/>
      </c>
      <c r="AF459" s="7" t="str">
        <f>IFERROR(IF([1]对账明细接口!$AB459=0,"",[1]对账明细接口!$AB459),"")</f>
        <v/>
      </c>
      <c r="AG459" s="7" t="str">
        <f>IFERROR(IF([1]对账明细接口!$AC459=0,"",[1]对账明细接口!$AC459),"")</f>
        <v/>
      </c>
      <c r="AH459" s="7" t="str">
        <f>IFERROR(IF([1]对账明细接口!$AD459=0,"",[1]对账明细接口!$AD459),"")</f>
        <v/>
      </c>
      <c r="AI459" s="7" t="str">
        <f>IFERROR(IF([1]对账明细接口!$AE459=0,"",[1]对账明细接口!$AE459),"")</f>
        <v/>
      </c>
      <c r="AJ459" s="7" t="str">
        <f>IFERROR(IF([1]对账明细接口!$AF459=0,"",[1]对账明细接口!$AF459),"")</f>
        <v/>
      </c>
    </row>
    <row r="460" ht="14.25" customHeight="1" spans="1:36">
      <c r="A460" s="14">
        <v>460</v>
      </c>
      <c r="B460" s="15" t="str">
        <f>IFERROR(IF([1]对账明细接口!$B$460=0,"",[1]对账明细接口!$B$460),"")</f>
        <v/>
      </c>
      <c r="C460" s="16" t="str">
        <f>IFERROR(IF([1]对账明细接口!$C$460=0,"",[1]对账明细接口!$C$460),"")</f>
        <v/>
      </c>
      <c r="D460" s="16" t="str">
        <f>IFERROR(IF([1]对账明细接口!$D$460=0,"",[1]对账明细接口!$D$460),"")</f>
        <v/>
      </c>
      <c r="E460" s="16" t="str">
        <f>IFERROR(IF([1]对账明细接口!$E$460=0,"",[1]对账明细接口!$E$460),"")</f>
        <v/>
      </c>
      <c r="F460" s="16" t="str">
        <f>IFERROR(IF([1]对账明细接口!$F$460=0,"",[1]对账明细接口!$F$460),"")</f>
        <v/>
      </c>
      <c r="G460" s="16" t="str">
        <f>IFERROR(IF([1]对账明细接口!$G$460=0,"",[1]对账明细接口!$G$460),"")</f>
        <v/>
      </c>
      <c r="H460" s="17" t="str">
        <f>IFERROR(IF([1]对账明细接口!$H$460=0,"",[1]对账明细接口!$H$460),"")</f>
        <v/>
      </c>
      <c r="I460" s="16" t="str">
        <f>IFERROR(IF([1]对账明细接口!$I$460=0,"",[1]对账明细接口!$I$460),"")</f>
        <v/>
      </c>
      <c r="J460" s="18" t="str">
        <f>IFERROR(IF([1]对账明细接口!$J$460=0,"",[1]对账明细接口!$J$460),"")</f>
        <v/>
      </c>
      <c r="K460" s="18" t="str">
        <f>IFERROR(IF([1]对账明细接口!$K$460=0,"",[1]对账明细接口!$K$460),"")</f>
        <v/>
      </c>
      <c r="L460" s="16" t="str">
        <f>IFERROR(IF([1]对账明细接口!$L$460=0,"",[1]对账明细接口!$L$460),"")</f>
        <v/>
      </c>
      <c r="M460" s="16" t="str">
        <f>IFERROR(IF([1]对账明细接口!$M$460=0,"",[1]对账明细接口!$M$460),"")</f>
        <v/>
      </c>
      <c r="N460" s="19">
        <f t="shared" si="14"/>
        <v>0</v>
      </c>
      <c r="O460" s="19">
        <f t="shared" si="15"/>
        <v>420</v>
      </c>
      <c r="S460" s="20" t="str">
        <f>IFERROR(IF([1]对账明细接口!$N460=0,"",[1]对账明细接口!$N460),"")</f>
        <v/>
      </c>
      <c r="T460" s="21" t="str">
        <f>IFERROR(IF([1]对账明细接口!$O460=0,"",[1]对账明细接口!$O460),"")</f>
        <v/>
      </c>
      <c r="U460" s="21" t="str">
        <f>IFERROR(IF([1]对账明细接口!$P460=0,"",[1]对账明细接口!$P460),"")</f>
        <v/>
      </c>
      <c r="V460" s="21" t="str">
        <f>IFERROR(IF([1]对账明细接口!$Q460=0,"",[1]对账明细接口!$Q460),"")</f>
        <v/>
      </c>
      <c r="W460" s="20" t="str">
        <f>IFERROR(IF([1]对账明细接口!$R460=0,"",[1]对账明细接口!$R460),"")</f>
        <v/>
      </c>
      <c r="X460" s="20" t="str">
        <f>IFERROR(IF([1]对账明细接口!$S460=0,"",[1]对账明细接口!$S460),"")</f>
        <v/>
      </c>
      <c r="Y460" s="20" t="str">
        <f>IFERROR(IF([1]对账明细接口!$T460=0,"",[1]对账明细接口!$T460),"")</f>
        <v/>
      </c>
      <c r="Z460" s="24" t="str">
        <f>IFERROR(IF([1]对账明细接口!$U460=0,"",[1]对账明细接口!$U460),"")</f>
        <v/>
      </c>
      <c r="AA460" s="24" t="str">
        <f>IFERROR(IF([1]对账明细接口!$V460=0,"",[1]对账明细接口!$V460),"")</f>
        <v/>
      </c>
      <c r="AB460" s="20" t="str">
        <f>IFERROR(IF([1]对账明细接口!$W460=0,"",[1]对账明细接口!$W460),"")</f>
        <v/>
      </c>
      <c r="AC460" s="7" t="str">
        <f>IFERROR(IF([1]对账明细接口!$X460=0,"",[1]对账明细接口!$X460),"")</f>
        <v/>
      </c>
      <c r="AD460" s="7" t="str">
        <f>IFERROR(IF([1]对账明细接口!$Y460=0,"",[1]对账明细接口!$Y460),"")</f>
        <v/>
      </c>
      <c r="AE460" s="7" t="str">
        <f>IFERROR(IF([1]对账明细接口!$AA460=0,"",[1]对账明细接口!$AA460),"")</f>
        <v/>
      </c>
      <c r="AF460" s="7" t="str">
        <f>IFERROR(IF([1]对账明细接口!$AB460=0,"",[1]对账明细接口!$AB460),"")</f>
        <v/>
      </c>
      <c r="AG460" s="7" t="str">
        <f>IFERROR(IF([1]对账明细接口!$AC460=0,"",[1]对账明细接口!$AC460),"")</f>
        <v/>
      </c>
      <c r="AH460" s="7" t="str">
        <f>IFERROR(IF([1]对账明细接口!$AD460=0,"",[1]对账明细接口!$AD460),"")</f>
        <v/>
      </c>
      <c r="AI460" s="7" t="str">
        <f>IFERROR(IF([1]对账明细接口!$AE460=0,"",[1]对账明细接口!$AE460),"")</f>
        <v/>
      </c>
      <c r="AJ460" s="7" t="str">
        <f>IFERROR(IF([1]对账明细接口!$AF460=0,"",[1]对账明细接口!$AF460),"")</f>
        <v/>
      </c>
    </row>
    <row r="461" ht="14.25" customHeight="1" spans="1:36">
      <c r="A461" s="14">
        <v>461</v>
      </c>
      <c r="B461" s="15" t="str">
        <f>IFERROR(IF([1]对账明细接口!$B$461=0,"",[1]对账明细接口!$B$461),"")</f>
        <v/>
      </c>
      <c r="C461" s="16" t="str">
        <f>IFERROR(IF([1]对账明细接口!$C$461=0,"",[1]对账明细接口!$C$461),"")</f>
        <v/>
      </c>
      <c r="D461" s="16" t="str">
        <f>IFERROR(IF([1]对账明细接口!$D$461=0,"",[1]对账明细接口!$D$461),"")</f>
        <v/>
      </c>
      <c r="E461" s="16" t="str">
        <f>IFERROR(IF([1]对账明细接口!$E$461=0,"",[1]对账明细接口!$E$461),"")</f>
        <v/>
      </c>
      <c r="F461" s="16" t="str">
        <f>IFERROR(IF([1]对账明细接口!$F$461=0,"",[1]对账明细接口!$F$461),"")</f>
        <v/>
      </c>
      <c r="G461" s="16" t="str">
        <f>IFERROR(IF([1]对账明细接口!$G$461=0,"",[1]对账明细接口!$G$461),"")</f>
        <v/>
      </c>
      <c r="H461" s="17" t="str">
        <f>IFERROR(IF([1]对账明细接口!$H$461=0,"",[1]对账明细接口!$H$461),"")</f>
        <v/>
      </c>
      <c r="I461" s="16" t="str">
        <f>IFERROR(IF([1]对账明细接口!$I$461=0,"",[1]对账明细接口!$I$461),"")</f>
        <v/>
      </c>
      <c r="J461" s="18" t="str">
        <f>IFERROR(IF([1]对账明细接口!$J$461=0,"",[1]对账明细接口!$J$461),"")</f>
        <v/>
      </c>
      <c r="K461" s="18" t="str">
        <f>IFERROR(IF([1]对账明细接口!$K$461=0,"",[1]对账明细接口!$K$461),"")</f>
        <v/>
      </c>
      <c r="L461" s="16" t="str">
        <f>IFERROR(IF([1]对账明细接口!$L$461=0,"",[1]对账明细接口!$L$461),"")</f>
        <v/>
      </c>
      <c r="M461" s="16" t="str">
        <f>IFERROR(IF([1]对账明细接口!$M$461=0,"",[1]对账明细接口!$M$461),"")</f>
        <v/>
      </c>
      <c r="N461" s="19">
        <f t="shared" si="14"/>
        <v>0</v>
      </c>
      <c r="O461" s="19">
        <f t="shared" si="15"/>
        <v>420</v>
      </c>
      <c r="S461" s="20" t="str">
        <f>IFERROR(IF([1]对账明细接口!$N461=0,"",[1]对账明细接口!$N461),"")</f>
        <v/>
      </c>
      <c r="T461" s="21" t="str">
        <f>IFERROR(IF([1]对账明细接口!$O461=0,"",[1]对账明细接口!$O461),"")</f>
        <v/>
      </c>
      <c r="U461" s="21" t="str">
        <f>IFERROR(IF([1]对账明细接口!$P461=0,"",[1]对账明细接口!$P461),"")</f>
        <v/>
      </c>
      <c r="V461" s="21" t="str">
        <f>IFERROR(IF([1]对账明细接口!$Q461=0,"",[1]对账明细接口!$Q461),"")</f>
        <v/>
      </c>
      <c r="W461" s="20" t="str">
        <f>IFERROR(IF([1]对账明细接口!$R461=0,"",[1]对账明细接口!$R461),"")</f>
        <v/>
      </c>
      <c r="X461" s="20" t="str">
        <f>IFERROR(IF([1]对账明细接口!$S461=0,"",[1]对账明细接口!$S461),"")</f>
        <v/>
      </c>
      <c r="Y461" s="20" t="str">
        <f>IFERROR(IF([1]对账明细接口!$T461=0,"",[1]对账明细接口!$T461),"")</f>
        <v/>
      </c>
      <c r="Z461" s="24" t="str">
        <f>IFERROR(IF([1]对账明细接口!$U461=0,"",[1]对账明细接口!$U461),"")</f>
        <v/>
      </c>
      <c r="AA461" s="24" t="str">
        <f>IFERROR(IF([1]对账明细接口!$V461=0,"",[1]对账明细接口!$V461),"")</f>
        <v/>
      </c>
      <c r="AB461" s="20" t="str">
        <f>IFERROR(IF([1]对账明细接口!$W461=0,"",[1]对账明细接口!$W461),"")</f>
        <v/>
      </c>
      <c r="AC461" s="7" t="str">
        <f>IFERROR(IF([1]对账明细接口!$X461=0,"",[1]对账明细接口!$X461),"")</f>
        <v/>
      </c>
      <c r="AD461" s="7" t="str">
        <f>IFERROR(IF([1]对账明细接口!$Y461=0,"",[1]对账明细接口!$Y461),"")</f>
        <v/>
      </c>
      <c r="AE461" s="7" t="str">
        <f>IFERROR(IF([1]对账明细接口!$AA461=0,"",[1]对账明细接口!$AA461),"")</f>
        <v/>
      </c>
      <c r="AF461" s="7" t="str">
        <f>IFERROR(IF([1]对账明细接口!$AB461=0,"",[1]对账明细接口!$AB461),"")</f>
        <v/>
      </c>
      <c r="AG461" s="7" t="str">
        <f>IFERROR(IF([1]对账明细接口!$AC461=0,"",[1]对账明细接口!$AC461),"")</f>
        <v/>
      </c>
      <c r="AH461" s="7" t="str">
        <f>IFERROR(IF([1]对账明细接口!$AD461=0,"",[1]对账明细接口!$AD461),"")</f>
        <v/>
      </c>
      <c r="AI461" s="7" t="str">
        <f>IFERROR(IF([1]对账明细接口!$AE461=0,"",[1]对账明细接口!$AE461),"")</f>
        <v/>
      </c>
      <c r="AJ461" s="7" t="str">
        <f>IFERROR(IF([1]对账明细接口!$AF461=0,"",[1]对账明细接口!$AF461),"")</f>
        <v/>
      </c>
    </row>
    <row r="462" ht="14.25" customHeight="1" spans="1:36">
      <c r="A462" s="14">
        <v>462</v>
      </c>
      <c r="B462" s="15" t="str">
        <f>IFERROR(IF([1]对账明细接口!$B$462=0,"",[1]对账明细接口!$B$462),"")</f>
        <v/>
      </c>
      <c r="C462" s="16" t="str">
        <f>IFERROR(IF([1]对账明细接口!$C$462=0,"",[1]对账明细接口!$C$462),"")</f>
        <v/>
      </c>
      <c r="D462" s="16" t="str">
        <f>IFERROR(IF([1]对账明细接口!$D$462=0,"",[1]对账明细接口!$D$462),"")</f>
        <v/>
      </c>
      <c r="E462" s="16" t="str">
        <f>IFERROR(IF([1]对账明细接口!$E$462=0,"",[1]对账明细接口!$E$462),"")</f>
        <v/>
      </c>
      <c r="F462" s="16" t="str">
        <f>IFERROR(IF([1]对账明细接口!$F$462=0,"",[1]对账明细接口!$F$462),"")</f>
        <v/>
      </c>
      <c r="G462" s="16" t="str">
        <f>IFERROR(IF([1]对账明细接口!$G$462=0,"",[1]对账明细接口!$G$462),"")</f>
        <v/>
      </c>
      <c r="H462" s="17" t="str">
        <f>IFERROR(IF([1]对账明细接口!$H$462=0,"",[1]对账明细接口!$H$462),"")</f>
        <v/>
      </c>
      <c r="I462" s="16" t="str">
        <f>IFERROR(IF([1]对账明细接口!$I$462=0,"",[1]对账明细接口!$I$462),"")</f>
        <v/>
      </c>
      <c r="J462" s="18" t="str">
        <f>IFERROR(IF([1]对账明细接口!$J$462=0,"",[1]对账明细接口!$J$462),"")</f>
        <v/>
      </c>
      <c r="K462" s="18" t="str">
        <f>IFERROR(IF([1]对账明细接口!$K$462=0,"",[1]对账明细接口!$K$462),"")</f>
        <v/>
      </c>
      <c r="L462" s="16" t="str">
        <f>IFERROR(IF([1]对账明细接口!$L$462=0,"",[1]对账明细接口!$L$462),"")</f>
        <v/>
      </c>
      <c r="M462" s="16" t="str">
        <f>IFERROR(IF([1]对账明细接口!$M$462=0,"",[1]对账明细接口!$M$462),"")</f>
        <v/>
      </c>
      <c r="N462" s="19">
        <f t="shared" si="14"/>
        <v>0</v>
      </c>
      <c r="O462" s="19">
        <f t="shared" si="15"/>
        <v>420</v>
      </c>
      <c r="S462" s="20" t="str">
        <f>IFERROR(IF([1]对账明细接口!$N462=0,"",[1]对账明细接口!$N462),"")</f>
        <v/>
      </c>
      <c r="T462" s="21" t="str">
        <f>IFERROR(IF([1]对账明细接口!$O462=0,"",[1]对账明细接口!$O462),"")</f>
        <v/>
      </c>
      <c r="U462" s="21" t="str">
        <f>IFERROR(IF([1]对账明细接口!$P462=0,"",[1]对账明细接口!$P462),"")</f>
        <v/>
      </c>
      <c r="V462" s="21" t="str">
        <f>IFERROR(IF([1]对账明细接口!$Q462=0,"",[1]对账明细接口!$Q462),"")</f>
        <v/>
      </c>
      <c r="W462" s="20" t="str">
        <f>IFERROR(IF([1]对账明细接口!$R462=0,"",[1]对账明细接口!$R462),"")</f>
        <v/>
      </c>
      <c r="X462" s="20" t="str">
        <f>IFERROR(IF([1]对账明细接口!$S462=0,"",[1]对账明细接口!$S462),"")</f>
        <v/>
      </c>
      <c r="Y462" s="20" t="str">
        <f>IFERROR(IF([1]对账明细接口!$T462=0,"",[1]对账明细接口!$T462),"")</f>
        <v/>
      </c>
      <c r="Z462" s="24" t="str">
        <f>IFERROR(IF([1]对账明细接口!$U462=0,"",[1]对账明细接口!$U462),"")</f>
        <v/>
      </c>
      <c r="AA462" s="24" t="str">
        <f>IFERROR(IF([1]对账明细接口!$V462=0,"",[1]对账明细接口!$V462),"")</f>
        <v/>
      </c>
      <c r="AB462" s="20" t="str">
        <f>IFERROR(IF([1]对账明细接口!$W462=0,"",[1]对账明细接口!$W462),"")</f>
        <v/>
      </c>
      <c r="AC462" s="7" t="str">
        <f>IFERROR(IF([1]对账明细接口!$X462=0,"",[1]对账明细接口!$X462),"")</f>
        <v/>
      </c>
      <c r="AD462" s="7" t="str">
        <f>IFERROR(IF([1]对账明细接口!$Y462=0,"",[1]对账明细接口!$Y462),"")</f>
        <v/>
      </c>
      <c r="AE462" s="7" t="str">
        <f>IFERROR(IF([1]对账明细接口!$AA462=0,"",[1]对账明细接口!$AA462),"")</f>
        <v/>
      </c>
      <c r="AF462" s="7" t="str">
        <f>IFERROR(IF([1]对账明细接口!$AB462=0,"",[1]对账明细接口!$AB462),"")</f>
        <v/>
      </c>
      <c r="AG462" s="7" t="str">
        <f>IFERROR(IF([1]对账明细接口!$AC462=0,"",[1]对账明细接口!$AC462),"")</f>
        <v/>
      </c>
      <c r="AH462" s="7" t="str">
        <f>IFERROR(IF([1]对账明细接口!$AD462=0,"",[1]对账明细接口!$AD462),"")</f>
        <v/>
      </c>
      <c r="AI462" s="7" t="str">
        <f>IFERROR(IF([1]对账明细接口!$AE462=0,"",[1]对账明细接口!$AE462),"")</f>
        <v/>
      </c>
      <c r="AJ462" s="7" t="str">
        <f>IFERROR(IF([1]对账明细接口!$AF462=0,"",[1]对账明细接口!$AF462),"")</f>
        <v/>
      </c>
    </row>
    <row r="463" ht="14.25" customHeight="1" spans="1:36">
      <c r="A463" s="14">
        <v>463</v>
      </c>
      <c r="B463" s="15" t="str">
        <f>IFERROR(IF([1]对账明细接口!$B$463=0,"",[1]对账明细接口!$B$463),"")</f>
        <v/>
      </c>
      <c r="C463" s="16" t="str">
        <f>IFERROR(IF([1]对账明细接口!$C$463=0,"",[1]对账明细接口!$C$463),"")</f>
        <v/>
      </c>
      <c r="D463" s="16" t="str">
        <f>IFERROR(IF([1]对账明细接口!$D$463=0,"",[1]对账明细接口!$D$463),"")</f>
        <v/>
      </c>
      <c r="E463" s="16" t="str">
        <f>IFERROR(IF([1]对账明细接口!$E$463=0,"",[1]对账明细接口!$E$463),"")</f>
        <v/>
      </c>
      <c r="F463" s="16" t="str">
        <f>IFERROR(IF([1]对账明细接口!$F$463=0,"",[1]对账明细接口!$F$463),"")</f>
        <v/>
      </c>
      <c r="G463" s="16" t="str">
        <f>IFERROR(IF([1]对账明细接口!$G$463=0,"",[1]对账明细接口!$G$463),"")</f>
        <v/>
      </c>
      <c r="H463" s="17" t="str">
        <f>IFERROR(IF([1]对账明细接口!$H$463=0,"",[1]对账明细接口!$H$463),"")</f>
        <v/>
      </c>
      <c r="I463" s="16" t="str">
        <f>IFERROR(IF([1]对账明细接口!$I$463=0,"",[1]对账明细接口!$I$463),"")</f>
        <v/>
      </c>
      <c r="J463" s="18" t="str">
        <f>IFERROR(IF([1]对账明细接口!$J$463=0,"",[1]对账明细接口!$J$463),"")</f>
        <v/>
      </c>
      <c r="K463" s="18" t="str">
        <f>IFERROR(IF([1]对账明细接口!$K$463=0,"",[1]对账明细接口!$K$463),"")</f>
        <v/>
      </c>
      <c r="L463" s="16" t="str">
        <f>IFERROR(IF([1]对账明细接口!$L$463=0,"",[1]对账明细接口!$L$463),"")</f>
        <v/>
      </c>
      <c r="M463" s="16" t="str">
        <f>IFERROR(IF([1]对账明细接口!$M$463=0,"",[1]对账明细接口!$M$463),"")</f>
        <v/>
      </c>
      <c r="N463" s="19">
        <f t="shared" si="14"/>
        <v>0</v>
      </c>
      <c r="O463" s="19">
        <f t="shared" si="15"/>
        <v>420</v>
      </c>
      <c r="S463" s="20" t="str">
        <f>IFERROR(IF([1]对账明细接口!$N463=0,"",[1]对账明细接口!$N463),"")</f>
        <v/>
      </c>
      <c r="T463" s="21" t="str">
        <f>IFERROR(IF([1]对账明细接口!$O463=0,"",[1]对账明细接口!$O463),"")</f>
        <v/>
      </c>
      <c r="U463" s="21" t="str">
        <f>IFERROR(IF([1]对账明细接口!$P463=0,"",[1]对账明细接口!$P463),"")</f>
        <v/>
      </c>
      <c r="V463" s="21" t="str">
        <f>IFERROR(IF([1]对账明细接口!$Q463=0,"",[1]对账明细接口!$Q463),"")</f>
        <v/>
      </c>
      <c r="W463" s="20" t="str">
        <f>IFERROR(IF([1]对账明细接口!$R463=0,"",[1]对账明细接口!$R463),"")</f>
        <v/>
      </c>
      <c r="X463" s="20" t="str">
        <f>IFERROR(IF([1]对账明细接口!$S463=0,"",[1]对账明细接口!$S463),"")</f>
        <v/>
      </c>
      <c r="Y463" s="20" t="str">
        <f>IFERROR(IF([1]对账明细接口!$T463=0,"",[1]对账明细接口!$T463),"")</f>
        <v/>
      </c>
      <c r="Z463" s="24" t="str">
        <f>IFERROR(IF([1]对账明细接口!$U463=0,"",[1]对账明细接口!$U463),"")</f>
        <v/>
      </c>
      <c r="AA463" s="24" t="str">
        <f>IFERROR(IF([1]对账明细接口!$V463=0,"",[1]对账明细接口!$V463),"")</f>
        <v/>
      </c>
      <c r="AB463" s="20" t="str">
        <f>IFERROR(IF([1]对账明细接口!$W463=0,"",[1]对账明细接口!$W463),"")</f>
        <v/>
      </c>
      <c r="AC463" s="7" t="str">
        <f>IFERROR(IF([1]对账明细接口!$X463=0,"",[1]对账明细接口!$X463),"")</f>
        <v/>
      </c>
      <c r="AD463" s="7" t="str">
        <f>IFERROR(IF([1]对账明细接口!$Y463=0,"",[1]对账明细接口!$Y463),"")</f>
        <v/>
      </c>
      <c r="AE463" s="7" t="str">
        <f>IFERROR(IF([1]对账明细接口!$AA463=0,"",[1]对账明细接口!$AA463),"")</f>
        <v/>
      </c>
      <c r="AF463" s="7" t="str">
        <f>IFERROR(IF([1]对账明细接口!$AB463=0,"",[1]对账明细接口!$AB463),"")</f>
        <v/>
      </c>
      <c r="AG463" s="7" t="str">
        <f>IFERROR(IF([1]对账明细接口!$AC463=0,"",[1]对账明细接口!$AC463),"")</f>
        <v/>
      </c>
      <c r="AH463" s="7" t="str">
        <f>IFERROR(IF([1]对账明细接口!$AD463=0,"",[1]对账明细接口!$AD463),"")</f>
        <v/>
      </c>
      <c r="AI463" s="7" t="str">
        <f>IFERROR(IF([1]对账明细接口!$AE463=0,"",[1]对账明细接口!$AE463),"")</f>
        <v/>
      </c>
      <c r="AJ463" s="7" t="str">
        <f>IFERROR(IF([1]对账明细接口!$AF463=0,"",[1]对账明细接口!$AF463),"")</f>
        <v/>
      </c>
    </row>
    <row r="464" ht="14.25" customHeight="1" spans="1:36">
      <c r="A464" s="14">
        <v>464</v>
      </c>
      <c r="B464" s="15" t="str">
        <f>IFERROR(IF([1]对账明细接口!$B$464=0,"",[1]对账明细接口!$B$464),"")</f>
        <v/>
      </c>
      <c r="C464" s="16" t="str">
        <f>IFERROR(IF([1]对账明细接口!$C$464=0,"",[1]对账明细接口!$C$464),"")</f>
        <v/>
      </c>
      <c r="D464" s="16" t="str">
        <f>IFERROR(IF([1]对账明细接口!$D$464=0,"",[1]对账明细接口!$D$464),"")</f>
        <v/>
      </c>
      <c r="E464" s="16" t="str">
        <f>IFERROR(IF([1]对账明细接口!$E$464=0,"",[1]对账明细接口!$E$464),"")</f>
        <v/>
      </c>
      <c r="F464" s="16" t="str">
        <f>IFERROR(IF([1]对账明细接口!$F$464=0,"",[1]对账明细接口!$F$464),"")</f>
        <v/>
      </c>
      <c r="G464" s="16" t="str">
        <f>IFERROR(IF([1]对账明细接口!$G$464=0,"",[1]对账明细接口!$G$464),"")</f>
        <v/>
      </c>
      <c r="H464" s="17" t="str">
        <f>IFERROR(IF([1]对账明细接口!$H$464=0,"",[1]对账明细接口!$H$464),"")</f>
        <v/>
      </c>
      <c r="I464" s="16" t="str">
        <f>IFERROR(IF([1]对账明细接口!$I$464=0,"",[1]对账明细接口!$I$464),"")</f>
        <v/>
      </c>
      <c r="J464" s="18" t="str">
        <f>IFERROR(IF([1]对账明细接口!$J$464=0,"",[1]对账明细接口!$J$464),"")</f>
        <v/>
      </c>
      <c r="K464" s="18" t="str">
        <f>IFERROR(IF([1]对账明细接口!$K$464=0,"",[1]对账明细接口!$K$464),"")</f>
        <v/>
      </c>
      <c r="L464" s="16" t="str">
        <f>IFERROR(IF([1]对账明细接口!$L$464=0,"",[1]对账明细接口!$L$464),"")</f>
        <v/>
      </c>
      <c r="M464" s="16" t="str">
        <f>IFERROR(IF([1]对账明细接口!$M$464=0,"",[1]对账明细接口!$M$464),"")</f>
        <v/>
      </c>
      <c r="N464" s="19">
        <f t="shared" si="14"/>
        <v>0</v>
      </c>
      <c r="O464" s="19">
        <f t="shared" si="15"/>
        <v>420</v>
      </c>
      <c r="S464" s="20" t="str">
        <f>IFERROR(IF([1]对账明细接口!$N464=0,"",[1]对账明细接口!$N464),"")</f>
        <v/>
      </c>
      <c r="T464" s="21" t="str">
        <f>IFERROR(IF([1]对账明细接口!$O464=0,"",[1]对账明细接口!$O464),"")</f>
        <v/>
      </c>
      <c r="U464" s="21" t="str">
        <f>IFERROR(IF([1]对账明细接口!$P464=0,"",[1]对账明细接口!$P464),"")</f>
        <v/>
      </c>
      <c r="V464" s="21" t="str">
        <f>IFERROR(IF([1]对账明细接口!$Q464=0,"",[1]对账明细接口!$Q464),"")</f>
        <v/>
      </c>
      <c r="W464" s="20" t="str">
        <f>IFERROR(IF([1]对账明细接口!$R464=0,"",[1]对账明细接口!$R464),"")</f>
        <v/>
      </c>
      <c r="X464" s="20" t="str">
        <f>IFERROR(IF([1]对账明细接口!$S464=0,"",[1]对账明细接口!$S464),"")</f>
        <v/>
      </c>
      <c r="Y464" s="20" t="str">
        <f>IFERROR(IF([1]对账明细接口!$T464=0,"",[1]对账明细接口!$T464),"")</f>
        <v/>
      </c>
      <c r="Z464" s="24" t="str">
        <f>IFERROR(IF([1]对账明细接口!$U464=0,"",[1]对账明细接口!$U464),"")</f>
        <v/>
      </c>
      <c r="AA464" s="24" t="str">
        <f>IFERROR(IF([1]对账明细接口!$V464=0,"",[1]对账明细接口!$V464),"")</f>
        <v/>
      </c>
      <c r="AB464" s="20" t="str">
        <f>IFERROR(IF([1]对账明细接口!$W464=0,"",[1]对账明细接口!$W464),"")</f>
        <v/>
      </c>
      <c r="AC464" s="7" t="str">
        <f>IFERROR(IF([1]对账明细接口!$X464=0,"",[1]对账明细接口!$X464),"")</f>
        <v/>
      </c>
      <c r="AD464" s="7" t="str">
        <f>IFERROR(IF([1]对账明细接口!$Y464=0,"",[1]对账明细接口!$Y464),"")</f>
        <v/>
      </c>
      <c r="AE464" s="7" t="str">
        <f>IFERROR(IF([1]对账明细接口!$AA464=0,"",[1]对账明细接口!$AA464),"")</f>
        <v/>
      </c>
      <c r="AF464" s="7" t="str">
        <f>IFERROR(IF([1]对账明细接口!$AB464=0,"",[1]对账明细接口!$AB464),"")</f>
        <v/>
      </c>
      <c r="AG464" s="7" t="str">
        <f>IFERROR(IF([1]对账明细接口!$AC464=0,"",[1]对账明细接口!$AC464),"")</f>
        <v/>
      </c>
      <c r="AH464" s="7" t="str">
        <f>IFERROR(IF([1]对账明细接口!$AD464=0,"",[1]对账明细接口!$AD464),"")</f>
        <v/>
      </c>
      <c r="AI464" s="7" t="str">
        <f>IFERROR(IF([1]对账明细接口!$AE464=0,"",[1]对账明细接口!$AE464),"")</f>
        <v/>
      </c>
      <c r="AJ464" s="7" t="str">
        <f>IFERROR(IF([1]对账明细接口!$AF464=0,"",[1]对账明细接口!$AF464),"")</f>
        <v/>
      </c>
    </row>
    <row r="465" ht="14.25" customHeight="1" spans="1:36">
      <c r="A465" s="14">
        <v>465</v>
      </c>
      <c r="B465" s="15" t="str">
        <f>IFERROR(IF([1]对账明细接口!$B$465=0,"",[1]对账明细接口!$B$465),"")</f>
        <v/>
      </c>
      <c r="C465" s="16" t="str">
        <f>IFERROR(IF([1]对账明细接口!$C$465=0,"",[1]对账明细接口!$C$465),"")</f>
        <v/>
      </c>
      <c r="D465" s="16" t="str">
        <f>IFERROR(IF([1]对账明细接口!$D$465=0,"",[1]对账明细接口!$D$465),"")</f>
        <v/>
      </c>
      <c r="E465" s="16" t="str">
        <f>IFERROR(IF([1]对账明细接口!$E$465=0,"",[1]对账明细接口!$E$465),"")</f>
        <v/>
      </c>
      <c r="F465" s="16" t="str">
        <f>IFERROR(IF([1]对账明细接口!$F$465=0,"",[1]对账明细接口!$F$465),"")</f>
        <v/>
      </c>
      <c r="G465" s="16" t="str">
        <f>IFERROR(IF([1]对账明细接口!$G$465=0,"",[1]对账明细接口!$G$465),"")</f>
        <v/>
      </c>
      <c r="H465" s="17" t="str">
        <f>IFERROR(IF([1]对账明细接口!$H$465=0,"",[1]对账明细接口!$H$465),"")</f>
        <v/>
      </c>
      <c r="I465" s="16" t="str">
        <f>IFERROR(IF([1]对账明细接口!$I$465=0,"",[1]对账明细接口!$I$465),"")</f>
        <v/>
      </c>
      <c r="J465" s="18" t="str">
        <f>IFERROR(IF([1]对账明细接口!$J$465=0,"",[1]对账明细接口!$J$465),"")</f>
        <v/>
      </c>
      <c r="K465" s="18" t="str">
        <f>IFERROR(IF([1]对账明细接口!$K$465=0,"",[1]对账明细接口!$K$465),"")</f>
        <v/>
      </c>
      <c r="L465" s="16" t="str">
        <f>IFERROR(IF([1]对账明细接口!$L$465=0,"",[1]对账明细接口!$L$465),"")</f>
        <v/>
      </c>
      <c r="M465" s="16" t="str">
        <f>IFERROR(IF([1]对账明细接口!$M$465=0,"",[1]对账明细接口!$M$465),"")</f>
        <v/>
      </c>
      <c r="N465" s="19">
        <f t="shared" si="14"/>
        <v>0</v>
      </c>
      <c r="O465" s="19">
        <f t="shared" si="15"/>
        <v>420</v>
      </c>
      <c r="S465" s="20" t="str">
        <f>IFERROR(IF([1]对账明细接口!$N465=0,"",[1]对账明细接口!$N465),"")</f>
        <v/>
      </c>
      <c r="T465" s="21" t="str">
        <f>IFERROR(IF([1]对账明细接口!$O465=0,"",[1]对账明细接口!$O465),"")</f>
        <v/>
      </c>
      <c r="U465" s="21" t="str">
        <f>IFERROR(IF([1]对账明细接口!$P465=0,"",[1]对账明细接口!$P465),"")</f>
        <v/>
      </c>
      <c r="V465" s="21" t="str">
        <f>IFERROR(IF([1]对账明细接口!$Q465=0,"",[1]对账明细接口!$Q465),"")</f>
        <v/>
      </c>
      <c r="W465" s="20" t="str">
        <f>IFERROR(IF([1]对账明细接口!$R465=0,"",[1]对账明细接口!$R465),"")</f>
        <v/>
      </c>
      <c r="X465" s="20" t="str">
        <f>IFERROR(IF([1]对账明细接口!$S465=0,"",[1]对账明细接口!$S465),"")</f>
        <v/>
      </c>
      <c r="Y465" s="20" t="str">
        <f>IFERROR(IF([1]对账明细接口!$T465=0,"",[1]对账明细接口!$T465),"")</f>
        <v/>
      </c>
      <c r="Z465" s="24" t="str">
        <f>IFERROR(IF([1]对账明细接口!$U465=0,"",[1]对账明细接口!$U465),"")</f>
        <v/>
      </c>
      <c r="AA465" s="24" t="str">
        <f>IFERROR(IF([1]对账明细接口!$V465=0,"",[1]对账明细接口!$V465),"")</f>
        <v/>
      </c>
      <c r="AB465" s="20" t="str">
        <f>IFERROR(IF([1]对账明细接口!$W465=0,"",[1]对账明细接口!$W465),"")</f>
        <v/>
      </c>
      <c r="AC465" s="7" t="str">
        <f>IFERROR(IF([1]对账明细接口!$X465=0,"",[1]对账明细接口!$X465),"")</f>
        <v/>
      </c>
      <c r="AD465" s="7" t="str">
        <f>IFERROR(IF([1]对账明细接口!$Y465=0,"",[1]对账明细接口!$Y465),"")</f>
        <v/>
      </c>
      <c r="AE465" s="7" t="str">
        <f>IFERROR(IF([1]对账明细接口!$AA465=0,"",[1]对账明细接口!$AA465),"")</f>
        <v/>
      </c>
      <c r="AF465" s="7" t="str">
        <f>IFERROR(IF([1]对账明细接口!$AB465=0,"",[1]对账明细接口!$AB465),"")</f>
        <v/>
      </c>
      <c r="AG465" s="7" t="str">
        <f>IFERROR(IF([1]对账明细接口!$AC465=0,"",[1]对账明细接口!$AC465),"")</f>
        <v/>
      </c>
      <c r="AH465" s="7" t="str">
        <f>IFERROR(IF([1]对账明细接口!$AD465=0,"",[1]对账明细接口!$AD465),"")</f>
        <v/>
      </c>
      <c r="AI465" s="7" t="str">
        <f>IFERROR(IF([1]对账明细接口!$AE465=0,"",[1]对账明细接口!$AE465),"")</f>
        <v/>
      </c>
      <c r="AJ465" s="7" t="str">
        <f>IFERROR(IF([1]对账明细接口!$AF465=0,"",[1]对账明细接口!$AF465),"")</f>
        <v/>
      </c>
    </row>
    <row r="466" ht="14.25" customHeight="1" spans="1:36">
      <c r="A466" s="14">
        <v>466</v>
      </c>
      <c r="B466" s="15" t="str">
        <f>IFERROR(IF([1]对账明细接口!$B$466=0,"",[1]对账明细接口!$B$466),"")</f>
        <v/>
      </c>
      <c r="C466" s="16" t="str">
        <f>IFERROR(IF([1]对账明细接口!$C$466=0,"",[1]对账明细接口!$C$466),"")</f>
        <v/>
      </c>
      <c r="D466" s="16" t="str">
        <f>IFERROR(IF([1]对账明细接口!$D$466=0,"",[1]对账明细接口!$D$466),"")</f>
        <v/>
      </c>
      <c r="E466" s="16" t="str">
        <f>IFERROR(IF([1]对账明细接口!$E$466=0,"",[1]对账明细接口!$E$466),"")</f>
        <v/>
      </c>
      <c r="F466" s="16" t="str">
        <f>IFERROR(IF([1]对账明细接口!$F$466=0,"",[1]对账明细接口!$F$466),"")</f>
        <v/>
      </c>
      <c r="G466" s="16" t="str">
        <f>IFERROR(IF([1]对账明细接口!$G$466=0,"",[1]对账明细接口!$G$466),"")</f>
        <v/>
      </c>
      <c r="H466" s="17" t="str">
        <f>IFERROR(IF([1]对账明细接口!$H$466=0,"",[1]对账明细接口!$H$466),"")</f>
        <v/>
      </c>
      <c r="I466" s="16" t="str">
        <f>IFERROR(IF([1]对账明细接口!$I$466=0,"",[1]对账明细接口!$I$466),"")</f>
        <v/>
      </c>
      <c r="J466" s="18" t="str">
        <f>IFERROR(IF([1]对账明细接口!$J$466=0,"",[1]对账明细接口!$J$466),"")</f>
        <v/>
      </c>
      <c r="K466" s="18" t="str">
        <f>IFERROR(IF([1]对账明细接口!$K$466=0,"",[1]对账明细接口!$K$466),"")</f>
        <v/>
      </c>
      <c r="L466" s="16" t="str">
        <f>IFERROR(IF([1]对账明细接口!$L$466=0,"",[1]对账明细接口!$L$466),"")</f>
        <v/>
      </c>
      <c r="M466" s="16" t="str">
        <f>IFERROR(IF([1]对账明细接口!$M$466=0,"",[1]对账明细接口!$M$466),"")</f>
        <v/>
      </c>
      <c r="N466" s="19">
        <f t="shared" si="14"/>
        <v>0</v>
      </c>
      <c r="O466" s="19">
        <f t="shared" si="15"/>
        <v>420</v>
      </c>
      <c r="S466" s="20" t="str">
        <f>IFERROR(IF([1]对账明细接口!$N466=0,"",[1]对账明细接口!$N466),"")</f>
        <v/>
      </c>
      <c r="T466" s="21" t="str">
        <f>IFERROR(IF([1]对账明细接口!$O466=0,"",[1]对账明细接口!$O466),"")</f>
        <v/>
      </c>
      <c r="U466" s="21" t="str">
        <f>IFERROR(IF([1]对账明细接口!$P466=0,"",[1]对账明细接口!$P466),"")</f>
        <v/>
      </c>
      <c r="V466" s="21" t="str">
        <f>IFERROR(IF([1]对账明细接口!$Q466=0,"",[1]对账明细接口!$Q466),"")</f>
        <v/>
      </c>
      <c r="W466" s="20" t="str">
        <f>IFERROR(IF([1]对账明细接口!$R466=0,"",[1]对账明细接口!$R466),"")</f>
        <v/>
      </c>
      <c r="X466" s="20" t="str">
        <f>IFERROR(IF([1]对账明细接口!$S466=0,"",[1]对账明细接口!$S466),"")</f>
        <v/>
      </c>
      <c r="Y466" s="20" t="str">
        <f>IFERROR(IF([1]对账明细接口!$T466=0,"",[1]对账明细接口!$T466),"")</f>
        <v/>
      </c>
      <c r="Z466" s="24" t="str">
        <f>IFERROR(IF([1]对账明细接口!$U466=0,"",[1]对账明细接口!$U466),"")</f>
        <v/>
      </c>
      <c r="AA466" s="24" t="str">
        <f>IFERROR(IF([1]对账明细接口!$V466=0,"",[1]对账明细接口!$V466),"")</f>
        <v/>
      </c>
      <c r="AB466" s="20" t="str">
        <f>IFERROR(IF([1]对账明细接口!$W466=0,"",[1]对账明细接口!$W466),"")</f>
        <v/>
      </c>
      <c r="AC466" s="7" t="str">
        <f>IFERROR(IF([1]对账明细接口!$X466=0,"",[1]对账明细接口!$X466),"")</f>
        <v/>
      </c>
      <c r="AD466" s="7" t="str">
        <f>IFERROR(IF([1]对账明细接口!$Y466=0,"",[1]对账明细接口!$Y466),"")</f>
        <v/>
      </c>
      <c r="AE466" s="7" t="str">
        <f>IFERROR(IF([1]对账明细接口!$AA466=0,"",[1]对账明细接口!$AA466),"")</f>
        <v/>
      </c>
      <c r="AF466" s="7" t="str">
        <f>IFERROR(IF([1]对账明细接口!$AB466=0,"",[1]对账明细接口!$AB466),"")</f>
        <v/>
      </c>
      <c r="AG466" s="7" t="str">
        <f>IFERROR(IF([1]对账明细接口!$AC466=0,"",[1]对账明细接口!$AC466),"")</f>
        <v/>
      </c>
      <c r="AH466" s="7" t="str">
        <f>IFERROR(IF([1]对账明细接口!$AD466=0,"",[1]对账明细接口!$AD466),"")</f>
        <v/>
      </c>
      <c r="AI466" s="7" t="str">
        <f>IFERROR(IF([1]对账明细接口!$AE466=0,"",[1]对账明细接口!$AE466),"")</f>
        <v/>
      </c>
      <c r="AJ466" s="7" t="str">
        <f>IFERROR(IF([1]对账明细接口!$AF466=0,"",[1]对账明细接口!$AF466),"")</f>
        <v/>
      </c>
    </row>
    <row r="467" ht="14.25" customHeight="1" spans="1:36">
      <c r="A467" s="14">
        <v>467</v>
      </c>
      <c r="B467" s="15" t="str">
        <f>IFERROR(IF([1]对账明细接口!$B$467=0,"",[1]对账明细接口!$B$467),"")</f>
        <v/>
      </c>
      <c r="C467" s="16" t="str">
        <f>IFERROR(IF([1]对账明细接口!$C$467=0,"",[1]对账明细接口!$C$467),"")</f>
        <v/>
      </c>
      <c r="D467" s="16" t="str">
        <f>IFERROR(IF([1]对账明细接口!$D$467=0,"",[1]对账明细接口!$D$467),"")</f>
        <v/>
      </c>
      <c r="E467" s="16" t="str">
        <f>IFERROR(IF([1]对账明细接口!$E$467=0,"",[1]对账明细接口!$E$467),"")</f>
        <v/>
      </c>
      <c r="F467" s="16" t="str">
        <f>IFERROR(IF([1]对账明细接口!$F$467=0,"",[1]对账明细接口!$F$467),"")</f>
        <v/>
      </c>
      <c r="G467" s="16" t="str">
        <f>IFERROR(IF([1]对账明细接口!$G$467=0,"",[1]对账明细接口!$G$467),"")</f>
        <v/>
      </c>
      <c r="H467" s="17" t="str">
        <f>IFERROR(IF([1]对账明细接口!$H$467=0,"",[1]对账明细接口!$H$467),"")</f>
        <v/>
      </c>
      <c r="I467" s="16" t="str">
        <f>IFERROR(IF([1]对账明细接口!$I$467=0,"",[1]对账明细接口!$I$467),"")</f>
        <v/>
      </c>
      <c r="J467" s="18" t="str">
        <f>IFERROR(IF([1]对账明细接口!$J$467=0,"",[1]对账明细接口!$J$467),"")</f>
        <v/>
      </c>
      <c r="K467" s="18" t="str">
        <f>IFERROR(IF([1]对账明细接口!$K$467=0,"",[1]对账明细接口!$K$467),"")</f>
        <v/>
      </c>
      <c r="L467" s="16" t="str">
        <f>IFERROR(IF([1]对账明细接口!$L$467=0,"",[1]对账明细接口!$L$467),"")</f>
        <v/>
      </c>
      <c r="M467" s="16" t="str">
        <f>IFERROR(IF([1]对账明细接口!$M$467=0,"",[1]对账明细接口!$M$467),"")</f>
        <v/>
      </c>
      <c r="N467" s="19">
        <f t="shared" si="14"/>
        <v>0</v>
      </c>
      <c r="O467" s="19">
        <f t="shared" si="15"/>
        <v>420</v>
      </c>
      <c r="S467" s="20" t="str">
        <f>IFERROR(IF([1]对账明细接口!$N467=0,"",[1]对账明细接口!$N467),"")</f>
        <v/>
      </c>
      <c r="T467" s="21" t="str">
        <f>IFERROR(IF([1]对账明细接口!$O467=0,"",[1]对账明细接口!$O467),"")</f>
        <v/>
      </c>
      <c r="U467" s="21" t="str">
        <f>IFERROR(IF([1]对账明细接口!$P467=0,"",[1]对账明细接口!$P467),"")</f>
        <v/>
      </c>
      <c r="V467" s="21" t="str">
        <f>IFERROR(IF([1]对账明细接口!$Q467=0,"",[1]对账明细接口!$Q467),"")</f>
        <v/>
      </c>
      <c r="W467" s="20" t="str">
        <f>IFERROR(IF([1]对账明细接口!$R467=0,"",[1]对账明细接口!$R467),"")</f>
        <v/>
      </c>
      <c r="X467" s="20" t="str">
        <f>IFERROR(IF([1]对账明细接口!$S467=0,"",[1]对账明细接口!$S467),"")</f>
        <v/>
      </c>
      <c r="Y467" s="20" t="str">
        <f>IFERROR(IF([1]对账明细接口!$T467=0,"",[1]对账明细接口!$T467),"")</f>
        <v/>
      </c>
      <c r="Z467" s="24" t="str">
        <f>IFERROR(IF([1]对账明细接口!$U467=0,"",[1]对账明细接口!$U467),"")</f>
        <v/>
      </c>
      <c r="AA467" s="24" t="str">
        <f>IFERROR(IF([1]对账明细接口!$V467=0,"",[1]对账明细接口!$V467),"")</f>
        <v/>
      </c>
      <c r="AB467" s="20" t="str">
        <f>IFERROR(IF([1]对账明细接口!$W467=0,"",[1]对账明细接口!$W467),"")</f>
        <v/>
      </c>
      <c r="AC467" s="7" t="str">
        <f>IFERROR(IF([1]对账明细接口!$X467=0,"",[1]对账明细接口!$X467),"")</f>
        <v/>
      </c>
      <c r="AD467" s="7" t="str">
        <f>IFERROR(IF([1]对账明细接口!$Y467=0,"",[1]对账明细接口!$Y467),"")</f>
        <v/>
      </c>
      <c r="AE467" s="7" t="str">
        <f>IFERROR(IF([1]对账明细接口!$AA467=0,"",[1]对账明细接口!$AA467),"")</f>
        <v/>
      </c>
      <c r="AF467" s="7" t="str">
        <f>IFERROR(IF([1]对账明细接口!$AB467=0,"",[1]对账明细接口!$AB467),"")</f>
        <v/>
      </c>
      <c r="AG467" s="7" t="str">
        <f>IFERROR(IF([1]对账明细接口!$AC467=0,"",[1]对账明细接口!$AC467),"")</f>
        <v/>
      </c>
      <c r="AH467" s="7" t="str">
        <f>IFERROR(IF([1]对账明细接口!$AD467=0,"",[1]对账明细接口!$AD467),"")</f>
        <v/>
      </c>
      <c r="AI467" s="7" t="str">
        <f>IFERROR(IF([1]对账明细接口!$AE467=0,"",[1]对账明细接口!$AE467),"")</f>
        <v/>
      </c>
      <c r="AJ467" s="7" t="str">
        <f>IFERROR(IF([1]对账明细接口!$AF467=0,"",[1]对账明细接口!$AF467),"")</f>
        <v/>
      </c>
    </row>
    <row r="468" ht="14.25" customHeight="1" spans="1:36">
      <c r="A468" s="14">
        <v>468</v>
      </c>
      <c r="B468" s="15" t="str">
        <f>IFERROR(IF([1]对账明细接口!$B$468=0,"",[1]对账明细接口!$B$468),"")</f>
        <v/>
      </c>
      <c r="C468" s="16" t="str">
        <f>IFERROR(IF([1]对账明细接口!$C$468=0,"",[1]对账明细接口!$C$468),"")</f>
        <v/>
      </c>
      <c r="D468" s="16" t="str">
        <f>IFERROR(IF([1]对账明细接口!$D$468=0,"",[1]对账明细接口!$D$468),"")</f>
        <v/>
      </c>
      <c r="E468" s="16" t="str">
        <f>IFERROR(IF([1]对账明细接口!$E$468=0,"",[1]对账明细接口!$E$468),"")</f>
        <v/>
      </c>
      <c r="F468" s="16" t="str">
        <f>IFERROR(IF([1]对账明细接口!$F$468=0,"",[1]对账明细接口!$F$468),"")</f>
        <v/>
      </c>
      <c r="G468" s="16" t="str">
        <f>IFERROR(IF([1]对账明细接口!$G$468=0,"",[1]对账明细接口!$G$468),"")</f>
        <v/>
      </c>
      <c r="H468" s="17" t="str">
        <f>IFERROR(IF([1]对账明细接口!$H$468=0,"",[1]对账明细接口!$H$468),"")</f>
        <v/>
      </c>
      <c r="I468" s="16" t="str">
        <f>IFERROR(IF([1]对账明细接口!$I$468=0,"",[1]对账明细接口!$I$468),"")</f>
        <v/>
      </c>
      <c r="J468" s="18" t="str">
        <f>IFERROR(IF([1]对账明细接口!$J$468=0,"",[1]对账明细接口!$J$468),"")</f>
        <v/>
      </c>
      <c r="K468" s="18" t="str">
        <f>IFERROR(IF([1]对账明细接口!$K$468=0,"",[1]对账明细接口!$K$468),"")</f>
        <v/>
      </c>
      <c r="L468" s="16" t="str">
        <f>IFERROR(IF([1]对账明细接口!$L$468=0,"",[1]对账明细接口!$L$468),"")</f>
        <v/>
      </c>
      <c r="M468" s="16" t="str">
        <f>IFERROR(IF([1]对账明细接口!$M$468=0,"",[1]对账明细接口!$M$468),"")</f>
        <v/>
      </c>
      <c r="N468" s="19">
        <f t="shared" si="14"/>
        <v>0</v>
      </c>
      <c r="O468" s="19">
        <f t="shared" si="15"/>
        <v>420</v>
      </c>
      <c r="S468" s="20" t="str">
        <f>IFERROR(IF([1]对账明细接口!$N468=0,"",[1]对账明细接口!$N468),"")</f>
        <v/>
      </c>
      <c r="T468" s="21" t="str">
        <f>IFERROR(IF([1]对账明细接口!$O468=0,"",[1]对账明细接口!$O468),"")</f>
        <v/>
      </c>
      <c r="U468" s="21" t="str">
        <f>IFERROR(IF([1]对账明细接口!$P468=0,"",[1]对账明细接口!$P468),"")</f>
        <v/>
      </c>
      <c r="V468" s="21" t="str">
        <f>IFERROR(IF([1]对账明细接口!$Q468=0,"",[1]对账明细接口!$Q468),"")</f>
        <v/>
      </c>
      <c r="W468" s="20" t="str">
        <f>IFERROR(IF([1]对账明细接口!$R468=0,"",[1]对账明细接口!$R468),"")</f>
        <v/>
      </c>
      <c r="X468" s="20" t="str">
        <f>IFERROR(IF([1]对账明细接口!$S468=0,"",[1]对账明细接口!$S468),"")</f>
        <v/>
      </c>
      <c r="Y468" s="20" t="str">
        <f>IFERROR(IF([1]对账明细接口!$T468=0,"",[1]对账明细接口!$T468),"")</f>
        <v/>
      </c>
      <c r="Z468" s="24" t="str">
        <f>IFERROR(IF([1]对账明细接口!$U468=0,"",[1]对账明细接口!$U468),"")</f>
        <v/>
      </c>
      <c r="AA468" s="24" t="str">
        <f>IFERROR(IF([1]对账明细接口!$V468=0,"",[1]对账明细接口!$V468),"")</f>
        <v/>
      </c>
      <c r="AB468" s="20" t="str">
        <f>IFERROR(IF([1]对账明细接口!$W468=0,"",[1]对账明细接口!$W468),"")</f>
        <v/>
      </c>
      <c r="AC468" s="7" t="str">
        <f>IFERROR(IF([1]对账明细接口!$X468=0,"",[1]对账明细接口!$X468),"")</f>
        <v/>
      </c>
      <c r="AD468" s="7" t="str">
        <f>IFERROR(IF([1]对账明细接口!$Y468=0,"",[1]对账明细接口!$Y468),"")</f>
        <v/>
      </c>
      <c r="AE468" s="7" t="str">
        <f>IFERROR(IF([1]对账明细接口!$AA468=0,"",[1]对账明细接口!$AA468),"")</f>
        <v/>
      </c>
      <c r="AF468" s="7" t="str">
        <f>IFERROR(IF([1]对账明细接口!$AB468=0,"",[1]对账明细接口!$AB468),"")</f>
        <v/>
      </c>
      <c r="AG468" s="7" t="str">
        <f>IFERROR(IF([1]对账明细接口!$AC468=0,"",[1]对账明细接口!$AC468),"")</f>
        <v/>
      </c>
      <c r="AH468" s="7" t="str">
        <f>IFERROR(IF([1]对账明细接口!$AD468=0,"",[1]对账明细接口!$AD468),"")</f>
        <v/>
      </c>
      <c r="AI468" s="7" t="str">
        <f>IFERROR(IF([1]对账明细接口!$AE468=0,"",[1]对账明细接口!$AE468),"")</f>
        <v/>
      </c>
      <c r="AJ468" s="7" t="str">
        <f>IFERROR(IF([1]对账明细接口!$AF468=0,"",[1]对账明细接口!$AF468),"")</f>
        <v/>
      </c>
    </row>
    <row r="469" ht="14.25" customHeight="1" spans="1:36">
      <c r="A469" s="14">
        <v>469</v>
      </c>
      <c r="B469" s="15" t="str">
        <f>IFERROR(IF([1]对账明细接口!$B$469=0,"",[1]对账明细接口!$B$469),"")</f>
        <v/>
      </c>
      <c r="C469" s="16" t="str">
        <f>IFERROR(IF([1]对账明细接口!$C$469=0,"",[1]对账明细接口!$C$469),"")</f>
        <v/>
      </c>
      <c r="D469" s="16" t="str">
        <f>IFERROR(IF([1]对账明细接口!$D$469=0,"",[1]对账明细接口!$D$469),"")</f>
        <v/>
      </c>
      <c r="E469" s="16" t="str">
        <f>IFERROR(IF([1]对账明细接口!$E$469=0,"",[1]对账明细接口!$E$469),"")</f>
        <v/>
      </c>
      <c r="F469" s="16" t="str">
        <f>IFERROR(IF([1]对账明细接口!$F$469=0,"",[1]对账明细接口!$F$469),"")</f>
        <v/>
      </c>
      <c r="G469" s="16" t="str">
        <f>IFERROR(IF([1]对账明细接口!$G$469=0,"",[1]对账明细接口!$G$469),"")</f>
        <v/>
      </c>
      <c r="H469" s="17" t="str">
        <f>IFERROR(IF([1]对账明细接口!$H$469=0,"",[1]对账明细接口!$H$469),"")</f>
        <v/>
      </c>
      <c r="I469" s="16" t="str">
        <f>IFERROR(IF([1]对账明细接口!$I$469=0,"",[1]对账明细接口!$I$469),"")</f>
        <v/>
      </c>
      <c r="J469" s="18" t="str">
        <f>IFERROR(IF([1]对账明细接口!$J$469=0,"",[1]对账明细接口!$J$469),"")</f>
        <v/>
      </c>
      <c r="K469" s="18" t="str">
        <f>IFERROR(IF([1]对账明细接口!$K$469=0,"",[1]对账明细接口!$K$469),"")</f>
        <v/>
      </c>
      <c r="L469" s="16" t="str">
        <f>IFERROR(IF([1]对账明细接口!$L$469=0,"",[1]对账明细接口!$L$469),"")</f>
        <v/>
      </c>
      <c r="M469" s="16" t="str">
        <f>IFERROR(IF([1]对账明细接口!$M$469=0,"",[1]对账明细接口!$M$469),"")</f>
        <v/>
      </c>
      <c r="N469" s="19">
        <f t="shared" si="14"/>
        <v>0</v>
      </c>
      <c r="O469" s="19">
        <f t="shared" si="15"/>
        <v>420</v>
      </c>
      <c r="S469" s="20" t="str">
        <f>IFERROR(IF([1]对账明细接口!$N469=0,"",[1]对账明细接口!$N469),"")</f>
        <v/>
      </c>
      <c r="T469" s="21" t="str">
        <f>IFERROR(IF([1]对账明细接口!$O469=0,"",[1]对账明细接口!$O469),"")</f>
        <v/>
      </c>
      <c r="U469" s="21" t="str">
        <f>IFERROR(IF([1]对账明细接口!$P469=0,"",[1]对账明细接口!$P469),"")</f>
        <v/>
      </c>
      <c r="V469" s="21" t="str">
        <f>IFERROR(IF([1]对账明细接口!$Q469=0,"",[1]对账明细接口!$Q469),"")</f>
        <v/>
      </c>
      <c r="W469" s="20" t="str">
        <f>IFERROR(IF([1]对账明细接口!$R469=0,"",[1]对账明细接口!$R469),"")</f>
        <v/>
      </c>
      <c r="X469" s="20" t="str">
        <f>IFERROR(IF([1]对账明细接口!$S469=0,"",[1]对账明细接口!$S469),"")</f>
        <v/>
      </c>
      <c r="Y469" s="20" t="str">
        <f>IFERROR(IF([1]对账明细接口!$T469=0,"",[1]对账明细接口!$T469),"")</f>
        <v/>
      </c>
      <c r="Z469" s="24" t="str">
        <f>IFERROR(IF([1]对账明细接口!$U469=0,"",[1]对账明细接口!$U469),"")</f>
        <v/>
      </c>
      <c r="AA469" s="24" t="str">
        <f>IFERROR(IF([1]对账明细接口!$V469=0,"",[1]对账明细接口!$V469),"")</f>
        <v/>
      </c>
      <c r="AB469" s="20" t="str">
        <f>IFERROR(IF([1]对账明细接口!$W469=0,"",[1]对账明细接口!$W469),"")</f>
        <v/>
      </c>
      <c r="AC469" s="7" t="str">
        <f>IFERROR(IF([1]对账明细接口!$X469=0,"",[1]对账明细接口!$X469),"")</f>
        <v/>
      </c>
      <c r="AD469" s="7" t="str">
        <f>IFERROR(IF([1]对账明细接口!$Y469=0,"",[1]对账明细接口!$Y469),"")</f>
        <v/>
      </c>
      <c r="AE469" s="7" t="str">
        <f>IFERROR(IF([1]对账明细接口!$AA469=0,"",[1]对账明细接口!$AA469),"")</f>
        <v/>
      </c>
      <c r="AF469" s="7" t="str">
        <f>IFERROR(IF([1]对账明细接口!$AB469=0,"",[1]对账明细接口!$AB469),"")</f>
        <v/>
      </c>
      <c r="AG469" s="7" t="str">
        <f>IFERROR(IF([1]对账明细接口!$AC469=0,"",[1]对账明细接口!$AC469),"")</f>
        <v/>
      </c>
      <c r="AH469" s="7" t="str">
        <f>IFERROR(IF([1]对账明细接口!$AD469=0,"",[1]对账明细接口!$AD469),"")</f>
        <v/>
      </c>
      <c r="AI469" s="7" t="str">
        <f>IFERROR(IF([1]对账明细接口!$AE469=0,"",[1]对账明细接口!$AE469),"")</f>
        <v/>
      </c>
      <c r="AJ469" s="7" t="str">
        <f>IFERROR(IF([1]对账明细接口!$AF469=0,"",[1]对账明细接口!$AF469),"")</f>
        <v/>
      </c>
    </row>
    <row r="470" ht="14.25" customHeight="1" spans="1:36">
      <c r="A470" s="14">
        <v>470</v>
      </c>
      <c r="B470" s="15" t="str">
        <f>IFERROR(IF([1]对账明细接口!$B$470=0,"",[1]对账明细接口!$B$470),"")</f>
        <v/>
      </c>
      <c r="C470" s="16" t="str">
        <f>IFERROR(IF([1]对账明细接口!$C$470=0,"",[1]对账明细接口!$C$470),"")</f>
        <v/>
      </c>
      <c r="D470" s="16" t="str">
        <f>IFERROR(IF([1]对账明细接口!$D$470=0,"",[1]对账明细接口!$D$470),"")</f>
        <v/>
      </c>
      <c r="E470" s="16" t="str">
        <f>IFERROR(IF([1]对账明细接口!$E$470=0,"",[1]对账明细接口!$E$470),"")</f>
        <v/>
      </c>
      <c r="F470" s="16" t="str">
        <f>IFERROR(IF([1]对账明细接口!$F$470=0,"",[1]对账明细接口!$F$470),"")</f>
        <v/>
      </c>
      <c r="G470" s="16" t="str">
        <f>IFERROR(IF([1]对账明细接口!$G$470=0,"",[1]对账明细接口!$G$470),"")</f>
        <v/>
      </c>
      <c r="H470" s="17" t="str">
        <f>IFERROR(IF([1]对账明细接口!$H$470=0,"",[1]对账明细接口!$H$470),"")</f>
        <v/>
      </c>
      <c r="I470" s="16" t="str">
        <f>IFERROR(IF([1]对账明细接口!$I$470=0,"",[1]对账明细接口!$I$470),"")</f>
        <v/>
      </c>
      <c r="J470" s="18" t="str">
        <f>IFERROR(IF([1]对账明细接口!$J$470=0,"",[1]对账明细接口!$J$470),"")</f>
        <v/>
      </c>
      <c r="K470" s="18" t="str">
        <f>IFERROR(IF([1]对账明细接口!$K$470=0,"",[1]对账明细接口!$K$470),"")</f>
        <v/>
      </c>
      <c r="L470" s="16" t="str">
        <f>IFERROR(IF([1]对账明细接口!$L$470=0,"",[1]对账明细接口!$L$470),"")</f>
        <v/>
      </c>
      <c r="M470" s="16" t="str">
        <f>IFERROR(IF([1]对账明细接口!$M$470=0,"",[1]对账明细接口!$M$470),"")</f>
        <v/>
      </c>
      <c r="N470" s="19">
        <f t="shared" si="14"/>
        <v>0</v>
      </c>
      <c r="O470" s="19">
        <f t="shared" si="15"/>
        <v>420</v>
      </c>
      <c r="S470" s="20" t="str">
        <f>IFERROR(IF([1]对账明细接口!$N470=0,"",[1]对账明细接口!$N470),"")</f>
        <v/>
      </c>
      <c r="T470" s="21" t="str">
        <f>IFERROR(IF([1]对账明细接口!$O470=0,"",[1]对账明细接口!$O470),"")</f>
        <v/>
      </c>
      <c r="U470" s="21" t="str">
        <f>IFERROR(IF([1]对账明细接口!$P470=0,"",[1]对账明细接口!$P470),"")</f>
        <v/>
      </c>
      <c r="V470" s="21" t="str">
        <f>IFERROR(IF([1]对账明细接口!$Q470=0,"",[1]对账明细接口!$Q470),"")</f>
        <v/>
      </c>
      <c r="W470" s="20" t="str">
        <f>IFERROR(IF([1]对账明细接口!$R470=0,"",[1]对账明细接口!$R470),"")</f>
        <v/>
      </c>
      <c r="X470" s="20" t="str">
        <f>IFERROR(IF([1]对账明细接口!$S470=0,"",[1]对账明细接口!$S470),"")</f>
        <v/>
      </c>
      <c r="Y470" s="20" t="str">
        <f>IFERROR(IF([1]对账明细接口!$T470=0,"",[1]对账明细接口!$T470),"")</f>
        <v/>
      </c>
      <c r="Z470" s="24" t="str">
        <f>IFERROR(IF([1]对账明细接口!$U470=0,"",[1]对账明细接口!$U470),"")</f>
        <v/>
      </c>
      <c r="AA470" s="24" t="str">
        <f>IFERROR(IF([1]对账明细接口!$V470=0,"",[1]对账明细接口!$V470),"")</f>
        <v/>
      </c>
      <c r="AB470" s="20" t="str">
        <f>IFERROR(IF([1]对账明细接口!$W470=0,"",[1]对账明细接口!$W470),"")</f>
        <v/>
      </c>
      <c r="AC470" s="7" t="str">
        <f>IFERROR(IF([1]对账明细接口!$X470=0,"",[1]对账明细接口!$X470),"")</f>
        <v/>
      </c>
      <c r="AD470" s="7" t="str">
        <f>IFERROR(IF([1]对账明细接口!$Y470=0,"",[1]对账明细接口!$Y470),"")</f>
        <v/>
      </c>
      <c r="AE470" s="7" t="str">
        <f>IFERROR(IF([1]对账明细接口!$AA470=0,"",[1]对账明细接口!$AA470),"")</f>
        <v/>
      </c>
      <c r="AF470" s="7" t="str">
        <f>IFERROR(IF([1]对账明细接口!$AB470=0,"",[1]对账明细接口!$AB470),"")</f>
        <v/>
      </c>
      <c r="AG470" s="7" t="str">
        <f>IFERROR(IF([1]对账明细接口!$AC470=0,"",[1]对账明细接口!$AC470),"")</f>
        <v/>
      </c>
      <c r="AH470" s="7" t="str">
        <f>IFERROR(IF([1]对账明细接口!$AD470=0,"",[1]对账明细接口!$AD470),"")</f>
        <v/>
      </c>
      <c r="AI470" s="7" t="str">
        <f>IFERROR(IF([1]对账明细接口!$AE470=0,"",[1]对账明细接口!$AE470),"")</f>
        <v/>
      </c>
      <c r="AJ470" s="7" t="str">
        <f>IFERROR(IF([1]对账明细接口!$AF470=0,"",[1]对账明细接口!$AF470),"")</f>
        <v/>
      </c>
    </row>
    <row r="471" ht="14.25" customHeight="1" spans="1:36">
      <c r="A471" s="14">
        <v>471</v>
      </c>
      <c r="B471" s="15" t="str">
        <f>IFERROR(IF([1]对账明细接口!$B$471=0,"",[1]对账明细接口!$B$471),"")</f>
        <v/>
      </c>
      <c r="C471" s="16" t="str">
        <f>IFERROR(IF([1]对账明细接口!$C$471=0,"",[1]对账明细接口!$C$471),"")</f>
        <v/>
      </c>
      <c r="D471" s="16" t="str">
        <f>IFERROR(IF([1]对账明细接口!$D$471=0,"",[1]对账明细接口!$D$471),"")</f>
        <v/>
      </c>
      <c r="E471" s="16" t="str">
        <f>IFERROR(IF([1]对账明细接口!$E$471=0,"",[1]对账明细接口!$E$471),"")</f>
        <v/>
      </c>
      <c r="F471" s="16" t="str">
        <f>IFERROR(IF([1]对账明细接口!$F$471=0,"",[1]对账明细接口!$F$471),"")</f>
        <v/>
      </c>
      <c r="G471" s="16" t="str">
        <f>IFERROR(IF([1]对账明细接口!$G$471=0,"",[1]对账明细接口!$G$471),"")</f>
        <v/>
      </c>
      <c r="H471" s="17" t="str">
        <f>IFERROR(IF([1]对账明细接口!$H$471=0,"",[1]对账明细接口!$H$471),"")</f>
        <v/>
      </c>
      <c r="I471" s="16" t="str">
        <f>IFERROR(IF([1]对账明细接口!$I$471=0,"",[1]对账明细接口!$I$471),"")</f>
        <v/>
      </c>
      <c r="J471" s="18" t="str">
        <f>IFERROR(IF([1]对账明细接口!$J$471=0,"",[1]对账明细接口!$J$471),"")</f>
        <v/>
      </c>
      <c r="K471" s="18" t="str">
        <f>IFERROR(IF([1]对账明细接口!$K$471=0,"",[1]对账明细接口!$K$471),"")</f>
        <v/>
      </c>
      <c r="L471" s="16" t="str">
        <f>IFERROR(IF([1]对账明细接口!$L$471=0,"",[1]对账明细接口!$L$471),"")</f>
        <v/>
      </c>
      <c r="M471" s="16" t="str">
        <f>IFERROR(IF([1]对账明细接口!$M$471=0,"",[1]对账明细接口!$M$471),"")</f>
        <v/>
      </c>
      <c r="N471" s="19">
        <f t="shared" si="14"/>
        <v>0</v>
      </c>
      <c r="O471" s="19">
        <f t="shared" si="15"/>
        <v>420</v>
      </c>
      <c r="S471" s="20" t="str">
        <f>IFERROR(IF([1]对账明细接口!$N471=0,"",[1]对账明细接口!$N471),"")</f>
        <v/>
      </c>
      <c r="T471" s="21" t="str">
        <f>IFERROR(IF([1]对账明细接口!$O471=0,"",[1]对账明细接口!$O471),"")</f>
        <v/>
      </c>
      <c r="U471" s="21" t="str">
        <f>IFERROR(IF([1]对账明细接口!$P471=0,"",[1]对账明细接口!$P471),"")</f>
        <v/>
      </c>
      <c r="V471" s="21" t="str">
        <f>IFERROR(IF([1]对账明细接口!$Q471=0,"",[1]对账明细接口!$Q471),"")</f>
        <v/>
      </c>
      <c r="W471" s="20" t="str">
        <f>IFERROR(IF([1]对账明细接口!$R471=0,"",[1]对账明细接口!$R471),"")</f>
        <v/>
      </c>
      <c r="X471" s="20" t="str">
        <f>IFERROR(IF([1]对账明细接口!$S471=0,"",[1]对账明细接口!$S471),"")</f>
        <v/>
      </c>
      <c r="Y471" s="20" t="str">
        <f>IFERROR(IF([1]对账明细接口!$T471=0,"",[1]对账明细接口!$T471),"")</f>
        <v/>
      </c>
      <c r="Z471" s="24" t="str">
        <f>IFERROR(IF([1]对账明细接口!$U471=0,"",[1]对账明细接口!$U471),"")</f>
        <v/>
      </c>
      <c r="AA471" s="24" t="str">
        <f>IFERROR(IF([1]对账明细接口!$V471=0,"",[1]对账明细接口!$V471),"")</f>
        <v/>
      </c>
      <c r="AB471" s="20" t="str">
        <f>IFERROR(IF([1]对账明细接口!$W471=0,"",[1]对账明细接口!$W471),"")</f>
        <v/>
      </c>
      <c r="AC471" s="7" t="str">
        <f>IFERROR(IF([1]对账明细接口!$X471=0,"",[1]对账明细接口!$X471),"")</f>
        <v/>
      </c>
      <c r="AD471" s="7" t="str">
        <f>IFERROR(IF([1]对账明细接口!$Y471=0,"",[1]对账明细接口!$Y471),"")</f>
        <v/>
      </c>
      <c r="AE471" s="7" t="str">
        <f>IFERROR(IF([1]对账明细接口!$AA471=0,"",[1]对账明细接口!$AA471),"")</f>
        <v/>
      </c>
      <c r="AF471" s="7" t="str">
        <f>IFERROR(IF([1]对账明细接口!$AB471=0,"",[1]对账明细接口!$AB471),"")</f>
        <v/>
      </c>
      <c r="AG471" s="7" t="str">
        <f>IFERROR(IF([1]对账明细接口!$AC471=0,"",[1]对账明细接口!$AC471),"")</f>
        <v/>
      </c>
      <c r="AH471" s="7" t="str">
        <f>IFERROR(IF([1]对账明细接口!$AD471=0,"",[1]对账明细接口!$AD471),"")</f>
        <v/>
      </c>
      <c r="AI471" s="7" t="str">
        <f>IFERROR(IF([1]对账明细接口!$AE471=0,"",[1]对账明细接口!$AE471),"")</f>
        <v/>
      </c>
      <c r="AJ471" s="7" t="str">
        <f>IFERROR(IF([1]对账明细接口!$AF471=0,"",[1]对账明细接口!$AF471),"")</f>
        <v/>
      </c>
    </row>
    <row r="472" ht="14.25" customHeight="1" spans="1:36">
      <c r="A472" s="14">
        <v>472</v>
      </c>
      <c r="B472" s="15" t="str">
        <f>IFERROR(IF([1]对账明细接口!$B$472=0,"",[1]对账明细接口!$B$472),"")</f>
        <v/>
      </c>
      <c r="C472" s="16" t="str">
        <f>IFERROR(IF([1]对账明细接口!$C$472=0,"",[1]对账明细接口!$C$472),"")</f>
        <v/>
      </c>
      <c r="D472" s="16" t="str">
        <f>IFERROR(IF([1]对账明细接口!$D$472=0,"",[1]对账明细接口!$D$472),"")</f>
        <v/>
      </c>
      <c r="E472" s="16" t="str">
        <f>IFERROR(IF([1]对账明细接口!$E$472=0,"",[1]对账明细接口!$E$472),"")</f>
        <v/>
      </c>
      <c r="F472" s="16" t="str">
        <f>IFERROR(IF([1]对账明细接口!$F$472=0,"",[1]对账明细接口!$F$472),"")</f>
        <v/>
      </c>
      <c r="G472" s="16" t="str">
        <f>IFERROR(IF([1]对账明细接口!$G$472=0,"",[1]对账明细接口!$G$472),"")</f>
        <v/>
      </c>
      <c r="H472" s="17" t="str">
        <f>IFERROR(IF([1]对账明细接口!$H$472=0,"",[1]对账明细接口!$H$472),"")</f>
        <v/>
      </c>
      <c r="I472" s="16" t="str">
        <f>IFERROR(IF([1]对账明细接口!$I$472=0,"",[1]对账明细接口!$I$472),"")</f>
        <v/>
      </c>
      <c r="J472" s="18" t="str">
        <f>IFERROR(IF([1]对账明细接口!$J$472=0,"",[1]对账明细接口!$J$472),"")</f>
        <v/>
      </c>
      <c r="K472" s="18" t="str">
        <f>IFERROR(IF([1]对账明细接口!$K$472=0,"",[1]对账明细接口!$K$472),"")</f>
        <v/>
      </c>
      <c r="L472" s="16" t="str">
        <f>IFERROR(IF([1]对账明细接口!$L$472=0,"",[1]对账明细接口!$L$472),"")</f>
        <v/>
      </c>
      <c r="M472" s="16" t="str">
        <f>IFERROR(IF([1]对账明细接口!$M$472=0,"",[1]对账明细接口!$M$472),"")</f>
        <v/>
      </c>
      <c r="N472" s="19">
        <f t="shared" si="14"/>
        <v>0</v>
      </c>
      <c r="O472" s="19">
        <f t="shared" si="15"/>
        <v>420</v>
      </c>
      <c r="S472" s="20" t="str">
        <f>IFERROR(IF([1]对账明细接口!$N472=0,"",[1]对账明细接口!$N472),"")</f>
        <v/>
      </c>
      <c r="T472" s="21" t="str">
        <f>IFERROR(IF([1]对账明细接口!$O472=0,"",[1]对账明细接口!$O472),"")</f>
        <v/>
      </c>
      <c r="U472" s="21" t="str">
        <f>IFERROR(IF([1]对账明细接口!$P472=0,"",[1]对账明细接口!$P472),"")</f>
        <v/>
      </c>
      <c r="V472" s="21" t="str">
        <f>IFERROR(IF([1]对账明细接口!$Q472=0,"",[1]对账明细接口!$Q472),"")</f>
        <v/>
      </c>
      <c r="W472" s="20" t="str">
        <f>IFERROR(IF([1]对账明细接口!$R472=0,"",[1]对账明细接口!$R472),"")</f>
        <v/>
      </c>
      <c r="X472" s="20" t="str">
        <f>IFERROR(IF([1]对账明细接口!$S472=0,"",[1]对账明细接口!$S472),"")</f>
        <v/>
      </c>
      <c r="Y472" s="20" t="str">
        <f>IFERROR(IF([1]对账明细接口!$T472=0,"",[1]对账明细接口!$T472),"")</f>
        <v/>
      </c>
      <c r="Z472" s="24" t="str">
        <f>IFERROR(IF([1]对账明细接口!$U472=0,"",[1]对账明细接口!$U472),"")</f>
        <v/>
      </c>
      <c r="AA472" s="24" t="str">
        <f>IFERROR(IF([1]对账明细接口!$V472=0,"",[1]对账明细接口!$V472),"")</f>
        <v/>
      </c>
      <c r="AB472" s="20" t="str">
        <f>IFERROR(IF([1]对账明细接口!$W472=0,"",[1]对账明细接口!$W472),"")</f>
        <v/>
      </c>
      <c r="AC472" s="7" t="str">
        <f>IFERROR(IF([1]对账明细接口!$X472=0,"",[1]对账明细接口!$X472),"")</f>
        <v/>
      </c>
      <c r="AD472" s="7" t="str">
        <f>IFERROR(IF([1]对账明细接口!$Y472=0,"",[1]对账明细接口!$Y472),"")</f>
        <v/>
      </c>
      <c r="AE472" s="7" t="str">
        <f>IFERROR(IF([1]对账明细接口!$AA472=0,"",[1]对账明细接口!$AA472),"")</f>
        <v/>
      </c>
      <c r="AF472" s="7" t="str">
        <f>IFERROR(IF([1]对账明细接口!$AB472=0,"",[1]对账明细接口!$AB472),"")</f>
        <v/>
      </c>
      <c r="AG472" s="7" t="str">
        <f>IFERROR(IF([1]对账明细接口!$AC472=0,"",[1]对账明细接口!$AC472),"")</f>
        <v/>
      </c>
      <c r="AH472" s="7" t="str">
        <f>IFERROR(IF([1]对账明细接口!$AD472=0,"",[1]对账明细接口!$AD472),"")</f>
        <v/>
      </c>
      <c r="AI472" s="7" t="str">
        <f>IFERROR(IF([1]对账明细接口!$AE472=0,"",[1]对账明细接口!$AE472),"")</f>
        <v/>
      </c>
      <c r="AJ472" s="7" t="str">
        <f>IFERROR(IF([1]对账明细接口!$AF472=0,"",[1]对账明细接口!$AF472),"")</f>
        <v/>
      </c>
    </row>
    <row r="473" ht="14.25" customHeight="1" spans="1:36">
      <c r="A473" s="14">
        <v>473</v>
      </c>
      <c r="B473" s="15" t="str">
        <f>IFERROR(IF([1]对账明细接口!$B$473=0,"",[1]对账明细接口!$B$473),"")</f>
        <v/>
      </c>
      <c r="C473" s="16" t="str">
        <f>IFERROR(IF([1]对账明细接口!$C$473=0,"",[1]对账明细接口!$C$473),"")</f>
        <v/>
      </c>
      <c r="D473" s="16" t="str">
        <f>IFERROR(IF([1]对账明细接口!$D$473=0,"",[1]对账明细接口!$D$473),"")</f>
        <v/>
      </c>
      <c r="E473" s="16" t="str">
        <f>IFERROR(IF([1]对账明细接口!$E$473=0,"",[1]对账明细接口!$E$473),"")</f>
        <v/>
      </c>
      <c r="F473" s="16" t="str">
        <f>IFERROR(IF([1]对账明细接口!$F$473=0,"",[1]对账明细接口!$F$473),"")</f>
        <v/>
      </c>
      <c r="G473" s="16" t="str">
        <f>IFERROR(IF([1]对账明细接口!$G$473=0,"",[1]对账明细接口!$G$473),"")</f>
        <v/>
      </c>
      <c r="H473" s="17" t="str">
        <f>IFERROR(IF([1]对账明细接口!$H$473=0,"",[1]对账明细接口!$H$473),"")</f>
        <v/>
      </c>
      <c r="I473" s="16" t="str">
        <f>IFERROR(IF([1]对账明细接口!$I$473=0,"",[1]对账明细接口!$I$473),"")</f>
        <v/>
      </c>
      <c r="J473" s="18" t="str">
        <f>IFERROR(IF([1]对账明细接口!$J$473=0,"",[1]对账明细接口!$J$473),"")</f>
        <v/>
      </c>
      <c r="K473" s="18" t="str">
        <f>IFERROR(IF([1]对账明细接口!$K$473=0,"",[1]对账明细接口!$K$473),"")</f>
        <v/>
      </c>
      <c r="L473" s="16" t="str">
        <f>IFERROR(IF([1]对账明细接口!$L$473=0,"",[1]对账明细接口!$L$473),"")</f>
        <v/>
      </c>
      <c r="M473" s="16" t="str">
        <f>IFERROR(IF([1]对账明细接口!$M$473=0,"",[1]对账明细接口!$M$473),"")</f>
        <v/>
      </c>
      <c r="N473" s="19">
        <f t="shared" si="14"/>
        <v>0</v>
      </c>
      <c r="O473" s="19">
        <f t="shared" si="15"/>
        <v>420</v>
      </c>
      <c r="S473" s="20" t="str">
        <f>IFERROR(IF([1]对账明细接口!$N473=0,"",[1]对账明细接口!$N473),"")</f>
        <v/>
      </c>
      <c r="T473" s="21" t="str">
        <f>IFERROR(IF([1]对账明细接口!$O473=0,"",[1]对账明细接口!$O473),"")</f>
        <v/>
      </c>
      <c r="U473" s="21" t="str">
        <f>IFERROR(IF([1]对账明细接口!$P473=0,"",[1]对账明细接口!$P473),"")</f>
        <v/>
      </c>
      <c r="V473" s="21" t="str">
        <f>IFERROR(IF([1]对账明细接口!$Q473=0,"",[1]对账明细接口!$Q473),"")</f>
        <v/>
      </c>
      <c r="W473" s="20" t="str">
        <f>IFERROR(IF([1]对账明细接口!$R473=0,"",[1]对账明细接口!$R473),"")</f>
        <v/>
      </c>
      <c r="X473" s="20" t="str">
        <f>IFERROR(IF([1]对账明细接口!$S473=0,"",[1]对账明细接口!$S473),"")</f>
        <v/>
      </c>
      <c r="Y473" s="20" t="str">
        <f>IFERROR(IF([1]对账明细接口!$T473=0,"",[1]对账明细接口!$T473),"")</f>
        <v/>
      </c>
      <c r="Z473" s="24" t="str">
        <f>IFERROR(IF([1]对账明细接口!$U473=0,"",[1]对账明细接口!$U473),"")</f>
        <v/>
      </c>
      <c r="AA473" s="24" t="str">
        <f>IFERROR(IF([1]对账明细接口!$V473=0,"",[1]对账明细接口!$V473),"")</f>
        <v/>
      </c>
      <c r="AB473" s="20" t="str">
        <f>IFERROR(IF([1]对账明细接口!$W473=0,"",[1]对账明细接口!$W473),"")</f>
        <v/>
      </c>
      <c r="AC473" s="7" t="str">
        <f>IFERROR(IF([1]对账明细接口!$X473=0,"",[1]对账明细接口!$X473),"")</f>
        <v/>
      </c>
      <c r="AD473" s="7" t="str">
        <f>IFERROR(IF([1]对账明细接口!$Y473=0,"",[1]对账明细接口!$Y473),"")</f>
        <v/>
      </c>
      <c r="AE473" s="7" t="str">
        <f>IFERROR(IF([1]对账明细接口!$AA473=0,"",[1]对账明细接口!$AA473),"")</f>
        <v/>
      </c>
      <c r="AF473" s="7" t="str">
        <f>IFERROR(IF([1]对账明细接口!$AB473=0,"",[1]对账明细接口!$AB473),"")</f>
        <v/>
      </c>
      <c r="AG473" s="7" t="str">
        <f>IFERROR(IF([1]对账明细接口!$AC473=0,"",[1]对账明细接口!$AC473),"")</f>
        <v/>
      </c>
      <c r="AH473" s="7" t="str">
        <f>IFERROR(IF([1]对账明细接口!$AD473=0,"",[1]对账明细接口!$AD473),"")</f>
        <v/>
      </c>
      <c r="AI473" s="7" t="str">
        <f>IFERROR(IF([1]对账明细接口!$AE473=0,"",[1]对账明细接口!$AE473),"")</f>
        <v/>
      </c>
      <c r="AJ473" s="7" t="str">
        <f>IFERROR(IF([1]对账明细接口!$AF473=0,"",[1]对账明细接口!$AF473),"")</f>
        <v/>
      </c>
    </row>
    <row r="474" ht="14.25" customHeight="1" spans="1:36">
      <c r="A474" s="14">
        <v>474</v>
      </c>
      <c r="B474" s="15" t="str">
        <f>IFERROR(IF([1]对账明细接口!$B$474=0,"",[1]对账明细接口!$B$474),"")</f>
        <v/>
      </c>
      <c r="C474" s="16" t="str">
        <f>IFERROR(IF([1]对账明细接口!$C$474=0,"",[1]对账明细接口!$C$474),"")</f>
        <v/>
      </c>
      <c r="D474" s="16" t="str">
        <f>IFERROR(IF([1]对账明细接口!$D$474=0,"",[1]对账明细接口!$D$474),"")</f>
        <v/>
      </c>
      <c r="E474" s="16" t="str">
        <f>IFERROR(IF([1]对账明细接口!$E$474=0,"",[1]对账明细接口!$E$474),"")</f>
        <v/>
      </c>
      <c r="F474" s="16" t="str">
        <f>IFERROR(IF([1]对账明细接口!$F$474=0,"",[1]对账明细接口!$F$474),"")</f>
        <v/>
      </c>
      <c r="G474" s="16" t="str">
        <f>IFERROR(IF([1]对账明细接口!$G$474=0,"",[1]对账明细接口!$G$474),"")</f>
        <v/>
      </c>
      <c r="H474" s="17" t="str">
        <f>IFERROR(IF([1]对账明细接口!$H$474=0,"",[1]对账明细接口!$H$474),"")</f>
        <v/>
      </c>
      <c r="I474" s="16" t="str">
        <f>IFERROR(IF([1]对账明细接口!$I$474=0,"",[1]对账明细接口!$I$474),"")</f>
        <v/>
      </c>
      <c r="J474" s="18" t="str">
        <f>IFERROR(IF([1]对账明细接口!$J$474=0,"",[1]对账明细接口!$J$474),"")</f>
        <v/>
      </c>
      <c r="K474" s="18" t="str">
        <f>IFERROR(IF([1]对账明细接口!$K$474=0,"",[1]对账明细接口!$K$474),"")</f>
        <v/>
      </c>
      <c r="L474" s="16" t="str">
        <f>IFERROR(IF([1]对账明细接口!$L$474=0,"",[1]对账明细接口!$L$474),"")</f>
        <v/>
      </c>
      <c r="M474" s="16" t="str">
        <f>IFERROR(IF([1]对账明细接口!$M$474=0,"",[1]对账明细接口!$M$474),"")</f>
        <v/>
      </c>
      <c r="N474" s="19">
        <f t="shared" si="14"/>
        <v>0</v>
      </c>
      <c r="O474" s="19">
        <f t="shared" si="15"/>
        <v>420</v>
      </c>
      <c r="S474" s="20" t="str">
        <f>IFERROR(IF([1]对账明细接口!$N474=0,"",[1]对账明细接口!$N474),"")</f>
        <v/>
      </c>
      <c r="T474" s="21" t="str">
        <f>IFERROR(IF([1]对账明细接口!$O474=0,"",[1]对账明细接口!$O474),"")</f>
        <v/>
      </c>
      <c r="U474" s="21" t="str">
        <f>IFERROR(IF([1]对账明细接口!$P474=0,"",[1]对账明细接口!$P474),"")</f>
        <v/>
      </c>
      <c r="V474" s="21" t="str">
        <f>IFERROR(IF([1]对账明细接口!$Q474=0,"",[1]对账明细接口!$Q474),"")</f>
        <v/>
      </c>
      <c r="W474" s="20" t="str">
        <f>IFERROR(IF([1]对账明细接口!$R474=0,"",[1]对账明细接口!$R474),"")</f>
        <v/>
      </c>
      <c r="X474" s="20" t="str">
        <f>IFERROR(IF([1]对账明细接口!$S474=0,"",[1]对账明细接口!$S474),"")</f>
        <v/>
      </c>
      <c r="Y474" s="20" t="str">
        <f>IFERROR(IF([1]对账明细接口!$T474=0,"",[1]对账明细接口!$T474),"")</f>
        <v/>
      </c>
      <c r="Z474" s="24" t="str">
        <f>IFERROR(IF([1]对账明细接口!$U474=0,"",[1]对账明细接口!$U474),"")</f>
        <v/>
      </c>
      <c r="AA474" s="24" t="str">
        <f>IFERROR(IF([1]对账明细接口!$V474=0,"",[1]对账明细接口!$V474),"")</f>
        <v/>
      </c>
      <c r="AB474" s="20" t="str">
        <f>IFERROR(IF([1]对账明细接口!$W474=0,"",[1]对账明细接口!$W474),"")</f>
        <v/>
      </c>
      <c r="AC474" s="7" t="str">
        <f>IFERROR(IF([1]对账明细接口!$X474=0,"",[1]对账明细接口!$X474),"")</f>
        <v/>
      </c>
      <c r="AD474" s="7" t="str">
        <f>IFERROR(IF([1]对账明细接口!$Y474=0,"",[1]对账明细接口!$Y474),"")</f>
        <v/>
      </c>
      <c r="AE474" s="7" t="str">
        <f>IFERROR(IF([1]对账明细接口!$AA474=0,"",[1]对账明细接口!$AA474),"")</f>
        <v/>
      </c>
      <c r="AF474" s="7" t="str">
        <f>IFERROR(IF([1]对账明细接口!$AB474=0,"",[1]对账明细接口!$AB474),"")</f>
        <v/>
      </c>
      <c r="AG474" s="7" t="str">
        <f>IFERROR(IF([1]对账明细接口!$AC474=0,"",[1]对账明细接口!$AC474),"")</f>
        <v/>
      </c>
      <c r="AH474" s="7" t="str">
        <f>IFERROR(IF([1]对账明细接口!$AD474=0,"",[1]对账明细接口!$AD474),"")</f>
        <v/>
      </c>
      <c r="AI474" s="7" t="str">
        <f>IFERROR(IF([1]对账明细接口!$AE474=0,"",[1]对账明细接口!$AE474),"")</f>
        <v/>
      </c>
      <c r="AJ474" s="7" t="str">
        <f>IFERROR(IF([1]对账明细接口!$AF474=0,"",[1]对账明细接口!$AF474),"")</f>
        <v/>
      </c>
    </row>
    <row r="475" ht="14.25" customHeight="1" spans="1:36">
      <c r="A475" s="14">
        <v>475</v>
      </c>
      <c r="B475" s="15" t="str">
        <f>IFERROR(IF([1]对账明细接口!$B$475=0,"",[1]对账明细接口!$B$475),"")</f>
        <v/>
      </c>
      <c r="C475" s="16" t="str">
        <f>IFERROR(IF([1]对账明细接口!$C$475=0,"",[1]对账明细接口!$C$475),"")</f>
        <v/>
      </c>
      <c r="D475" s="16" t="str">
        <f>IFERROR(IF([1]对账明细接口!$D$475=0,"",[1]对账明细接口!$D$475),"")</f>
        <v/>
      </c>
      <c r="E475" s="16" t="str">
        <f>IFERROR(IF([1]对账明细接口!$E$475=0,"",[1]对账明细接口!$E$475),"")</f>
        <v/>
      </c>
      <c r="F475" s="16" t="str">
        <f>IFERROR(IF([1]对账明细接口!$F$475=0,"",[1]对账明细接口!$F$475),"")</f>
        <v/>
      </c>
      <c r="G475" s="16" t="str">
        <f>IFERROR(IF([1]对账明细接口!$G$475=0,"",[1]对账明细接口!$G$475),"")</f>
        <v/>
      </c>
      <c r="H475" s="17" t="str">
        <f>IFERROR(IF([1]对账明细接口!$H$475=0,"",[1]对账明细接口!$H$475),"")</f>
        <v/>
      </c>
      <c r="I475" s="16" t="str">
        <f>IFERROR(IF([1]对账明细接口!$I$475=0,"",[1]对账明细接口!$I$475),"")</f>
        <v/>
      </c>
      <c r="J475" s="18" t="str">
        <f>IFERROR(IF([1]对账明细接口!$J$475=0,"",[1]对账明细接口!$J$475),"")</f>
        <v/>
      </c>
      <c r="K475" s="18" t="str">
        <f>IFERROR(IF([1]对账明细接口!$K$475=0,"",[1]对账明细接口!$K$475),"")</f>
        <v/>
      </c>
      <c r="L475" s="16" t="str">
        <f>IFERROR(IF([1]对账明细接口!$L$475=0,"",[1]对账明细接口!$L$475),"")</f>
        <v/>
      </c>
      <c r="M475" s="16" t="str">
        <f>IFERROR(IF([1]对账明细接口!$M$475=0,"",[1]对账明细接口!$M$475),"")</f>
        <v/>
      </c>
      <c r="N475" s="19">
        <f t="shared" si="14"/>
        <v>0</v>
      </c>
      <c r="O475" s="19">
        <f t="shared" si="15"/>
        <v>420</v>
      </c>
      <c r="S475" s="20" t="str">
        <f>IFERROR(IF([1]对账明细接口!$N475=0,"",[1]对账明细接口!$N475),"")</f>
        <v/>
      </c>
      <c r="T475" s="21" t="str">
        <f>IFERROR(IF([1]对账明细接口!$O475=0,"",[1]对账明细接口!$O475),"")</f>
        <v/>
      </c>
      <c r="U475" s="21" t="str">
        <f>IFERROR(IF([1]对账明细接口!$P475=0,"",[1]对账明细接口!$P475),"")</f>
        <v/>
      </c>
      <c r="V475" s="21" t="str">
        <f>IFERROR(IF([1]对账明细接口!$Q475=0,"",[1]对账明细接口!$Q475),"")</f>
        <v/>
      </c>
      <c r="W475" s="20" t="str">
        <f>IFERROR(IF([1]对账明细接口!$R475=0,"",[1]对账明细接口!$R475),"")</f>
        <v/>
      </c>
      <c r="X475" s="20" t="str">
        <f>IFERROR(IF([1]对账明细接口!$S475=0,"",[1]对账明细接口!$S475),"")</f>
        <v/>
      </c>
      <c r="Y475" s="20" t="str">
        <f>IFERROR(IF([1]对账明细接口!$T475=0,"",[1]对账明细接口!$T475),"")</f>
        <v/>
      </c>
      <c r="Z475" s="24" t="str">
        <f>IFERROR(IF([1]对账明细接口!$U475=0,"",[1]对账明细接口!$U475),"")</f>
        <v/>
      </c>
      <c r="AA475" s="24" t="str">
        <f>IFERROR(IF([1]对账明细接口!$V475=0,"",[1]对账明细接口!$V475),"")</f>
        <v/>
      </c>
      <c r="AB475" s="20" t="str">
        <f>IFERROR(IF([1]对账明细接口!$W475=0,"",[1]对账明细接口!$W475),"")</f>
        <v/>
      </c>
      <c r="AC475" s="7" t="str">
        <f>IFERROR(IF([1]对账明细接口!$X475=0,"",[1]对账明细接口!$X475),"")</f>
        <v/>
      </c>
      <c r="AD475" s="7" t="str">
        <f>IFERROR(IF([1]对账明细接口!$Y475=0,"",[1]对账明细接口!$Y475),"")</f>
        <v/>
      </c>
      <c r="AE475" s="7" t="str">
        <f>IFERROR(IF([1]对账明细接口!$AA475=0,"",[1]对账明细接口!$AA475),"")</f>
        <v/>
      </c>
      <c r="AF475" s="7" t="str">
        <f>IFERROR(IF([1]对账明细接口!$AB475=0,"",[1]对账明细接口!$AB475),"")</f>
        <v/>
      </c>
      <c r="AG475" s="7" t="str">
        <f>IFERROR(IF([1]对账明细接口!$AC475=0,"",[1]对账明细接口!$AC475),"")</f>
        <v/>
      </c>
      <c r="AH475" s="7" t="str">
        <f>IFERROR(IF([1]对账明细接口!$AD475=0,"",[1]对账明细接口!$AD475),"")</f>
        <v/>
      </c>
      <c r="AI475" s="7" t="str">
        <f>IFERROR(IF([1]对账明细接口!$AE475=0,"",[1]对账明细接口!$AE475),"")</f>
        <v/>
      </c>
      <c r="AJ475" s="7" t="str">
        <f>IFERROR(IF([1]对账明细接口!$AF475=0,"",[1]对账明细接口!$AF475),"")</f>
        <v/>
      </c>
    </row>
    <row r="476" ht="14.25" customHeight="1" spans="1:36">
      <c r="A476" s="14">
        <v>476</v>
      </c>
      <c r="B476" s="15" t="str">
        <f>IFERROR(IF([1]对账明细接口!$B$476=0,"",[1]对账明细接口!$B$476),"")</f>
        <v/>
      </c>
      <c r="C476" s="16" t="str">
        <f>IFERROR(IF([1]对账明细接口!$C$476=0,"",[1]对账明细接口!$C$476),"")</f>
        <v/>
      </c>
      <c r="D476" s="16" t="str">
        <f>IFERROR(IF([1]对账明细接口!$D$476=0,"",[1]对账明细接口!$D$476),"")</f>
        <v/>
      </c>
      <c r="E476" s="16" t="str">
        <f>IFERROR(IF([1]对账明细接口!$E$476=0,"",[1]对账明细接口!$E$476),"")</f>
        <v/>
      </c>
      <c r="F476" s="16" t="str">
        <f>IFERROR(IF([1]对账明细接口!$F$476=0,"",[1]对账明细接口!$F$476),"")</f>
        <v/>
      </c>
      <c r="G476" s="16" t="str">
        <f>IFERROR(IF([1]对账明细接口!$G$476=0,"",[1]对账明细接口!$G$476),"")</f>
        <v/>
      </c>
      <c r="H476" s="17" t="str">
        <f>IFERROR(IF([1]对账明细接口!$H$476=0,"",[1]对账明细接口!$H$476),"")</f>
        <v/>
      </c>
      <c r="I476" s="16" t="str">
        <f>IFERROR(IF([1]对账明细接口!$I$476=0,"",[1]对账明细接口!$I$476),"")</f>
        <v/>
      </c>
      <c r="J476" s="18" t="str">
        <f>IFERROR(IF([1]对账明细接口!$J$476=0,"",[1]对账明细接口!$J$476),"")</f>
        <v/>
      </c>
      <c r="K476" s="18" t="str">
        <f>IFERROR(IF([1]对账明细接口!$K$476=0,"",[1]对账明细接口!$K$476),"")</f>
        <v/>
      </c>
      <c r="L476" s="16" t="str">
        <f>IFERROR(IF([1]对账明细接口!$L$476=0,"",[1]对账明细接口!$L$476),"")</f>
        <v/>
      </c>
      <c r="M476" s="16" t="str">
        <f>IFERROR(IF([1]对账明细接口!$M$476=0,"",[1]对账明细接口!$M$476),"")</f>
        <v/>
      </c>
      <c r="N476" s="19">
        <f t="shared" si="14"/>
        <v>0</v>
      </c>
      <c r="O476" s="19">
        <f t="shared" si="15"/>
        <v>420</v>
      </c>
      <c r="S476" s="20" t="str">
        <f>IFERROR(IF([1]对账明细接口!$N476=0,"",[1]对账明细接口!$N476),"")</f>
        <v/>
      </c>
      <c r="T476" s="21" t="str">
        <f>IFERROR(IF([1]对账明细接口!$O476=0,"",[1]对账明细接口!$O476),"")</f>
        <v/>
      </c>
      <c r="U476" s="21" t="str">
        <f>IFERROR(IF([1]对账明细接口!$P476=0,"",[1]对账明细接口!$P476),"")</f>
        <v/>
      </c>
      <c r="V476" s="21" t="str">
        <f>IFERROR(IF([1]对账明细接口!$Q476=0,"",[1]对账明细接口!$Q476),"")</f>
        <v/>
      </c>
      <c r="W476" s="20" t="str">
        <f>IFERROR(IF([1]对账明细接口!$R476=0,"",[1]对账明细接口!$R476),"")</f>
        <v/>
      </c>
      <c r="X476" s="20" t="str">
        <f>IFERROR(IF([1]对账明细接口!$S476=0,"",[1]对账明细接口!$S476),"")</f>
        <v/>
      </c>
      <c r="Y476" s="20" t="str">
        <f>IFERROR(IF([1]对账明细接口!$T476=0,"",[1]对账明细接口!$T476),"")</f>
        <v/>
      </c>
      <c r="Z476" s="24" t="str">
        <f>IFERROR(IF([1]对账明细接口!$U476=0,"",[1]对账明细接口!$U476),"")</f>
        <v/>
      </c>
      <c r="AA476" s="24" t="str">
        <f>IFERROR(IF([1]对账明细接口!$V476=0,"",[1]对账明细接口!$V476),"")</f>
        <v/>
      </c>
      <c r="AB476" s="20" t="str">
        <f>IFERROR(IF([1]对账明细接口!$W476=0,"",[1]对账明细接口!$W476),"")</f>
        <v/>
      </c>
      <c r="AC476" s="7" t="str">
        <f>IFERROR(IF([1]对账明细接口!$X476=0,"",[1]对账明细接口!$X476),"")</f>
        <v/>
      </c>
      <c r="AD476" s="7" t="str">
        <f>IFERROR(IF([1]对账明细接口!$Y476=0,"",[1]对账明细接口!$Y476),"")</f>
        <v/>
      </c>
      <c r="AE476" s="7" t="str">
        <f>IFERROR(IF([1]对账明细接口!$AA476=0,"",[1]对账明细接口!$AA476),"")</f>
        <v/>
      </c>
      <c r="AF476" s="7" t="str">
        <f>IFERROR(IF([1]对账明细接口!$AB476=0,"",[1]对账明细接口!$AB476),"")</f>
        <v/>
      </c>
      <c r="AG476" s="7" t="str">
        <f>IFERROR(IF([1]对账明细接口!$AC476=0,"",[1]对账明细接口!$AC476),"")</f>
        <v/>
      </c>
      <c r="AH476" s="7" t="str">
        <f>IFERROR(IF([1]对账明细接口!$AD476=0,"",[1]对账明细接口!$AD476),"")</f>
        <v/>
      </c>
      <c r="AI476" s="7" t="str">
        <f>IFERROR(IF([1]对账明细接口!$AE476=0,"",[1]对账明细接口!$AE476),"")</f>
        <v/>
      </c>
      <c r="AJ476" s="7" t="str">
        <f>IFERROR(IF([1]对账明细接口!$AF476=0,"",[1]对账明细接口!$AF476),"")</f>
        <v/>
      </c>
    </row>
    <row r="477" ht="14.25" customHeight="1" spans="1:36">
      <c r="A477" s="14">
        <v>477</v>
      </c>
      <c r="B477" s="15" t="str">
        <f>IFERROR(IF([1]对账明细接口!$B$477=0,"",[1]对账明细接口!$B$477),"")</f>
        <v/>
      </c>
      <c r="C477" s="16" t="str">
        <f>IFERROR(IF([1]对账明细接口!$C$477=0,"",[1]对账明细接口!$C$477),"")</f>
        <v/>
      </c>
      <c r="D477" s="16" t="str">
        <f>IFERROR(IF([1]对账明细接口!$D$477=0,"",[1]对账明细接口!$D$477),"")</f>
        <v/>
      </c>
      <c r="E477" s="16" t="str">
        <f>IFERROR(IF([1]对账明细接口!$E$477=0,"",[1]对账明细接口!$E$477),"")</f>
        <v/>
      </c>
      <c r="F477" s="16" t="str">
        <f>IFERROR(IF([1]对账明细接口!$F$477=0,"",[1]对账明细接口!$F$477),"")</f>
        <v/>
      </c>
      <c r="G477" s="16" t="str">
        <f>IFERROR(IF([1]对账明细接口!$G$477=0,"",[1]对账明细接口!$G$477),"")</f>
        <v/>
      </c>
      <c r="H477" s="17" t="str">
        <f>IFERROR(IF([1]对账明细接口!$H$477=0,"",[1]对账明细接口!$H$477),"")</f>
        <v/>
      </c>
      <c r="I477" s="16" t="str">
        <f>IFERROR(IF([1]对账明细接口!$I$477=0,"",[1]对账明细接口!$I$477),"")</f>
        <v/>
      </c>
      <c r="J477" s="18" t="str">
        <f>IFERROR(IF([1]对账明细接口!$J$477=0,"",[1]对账明细接口!$J$477),"")</f>
        <v/>
      </c>
      <c r="K477" s="18" t="str">
        <f>IFERROR(IF([1]对账明细接口!$K$477=0,"",[1]对账明细接口!$K$477),"")</f>
        <v/>
      </c>
      <c r="L477" s="16" t="str">
        <f>IFERROR(IF([1]对账明细接口!$L$477=0,"",[1]对账明细接口!$L$477),"")</f>
        <v/>
      </c>
      <c r="M477" s="16" t="str">
        <f>IFERROR(IF([1]对账明细接口!$M$477=0,"",[1]对账明细接口!$M$477),"")</f>
        <v/>
      </c>
      <c r="N477" s="19">
        <f t="shared" si="14"/>
        <v>0</v>
      </c>
      <c r="O477" s="19">
        <f t="shared" si="15"/>
        <v>420</v>
      </c>
      <c r="S477" s="20" t="str">
        <f>IFERROR(IF([1]对账明细接口!$N477=0,"",[1]对账明细接口!$N477),"")</f>
        <v/>
      </c>
      <c r="T477" s="21" t="str">
        <f>IFERROR(IF([1]对账明细接口!$O477=0,"",[1]对账明细接口!$O477),"")</f>
        <v/>
      </c>
      <c r="U477" s="21" t="str">
        <f>IFERROR(IF([1]对账明细接口!$P477=0,"",[1]对账明细接口!$P477),"")</f>
        <v/>
      </c>
      <c r="V477" s="21" t="str">
        <f>IFERROR(IF([1]对账明细接口!$Q477=0,"",[1]对账明细接口!$Q477),"")</f>
        <v/>
      </c>
      <c r="W477" s="20" t="str">
        <f>IFERROR(IF([1]对账明细接口!$R477=0,"",[1]对账明细接口!$R477),"")</f>
        <v/>
      </c>
      <c r="X477" s="20" t="str">
        <f>IFERROR(IF([1]对账明细接口!$S477=0,"",[1]对账明细接口!$S477),"")</f>
        <v/>
      </c>
      <c r="Y477" s="20" t="str">
        <f>IFERROR(IF([1]对账明细接口!$T477=0,"",[1]对账明细接口!$T477),"")</f>
        <v/>
      </c>
      <c r="Z477" s="24" t="str">
        <f>IFERROR(IF([1]对账明细接口!$U477=0,"",[1]对账明细接口!$U477),"")</f>
        <v/>
      </c>
      <c r="AA477" s="24" t="str">
        <f>IFERROR(IF([1]对账明细接口!$V477=0,"",[1]对账明细接口!$V477),"")</f>
        <v/>
      </c>
      <c r="AB477" s="20" t="str">
        <f>IFERROR(IF([1]对账明细接口!$W477=0,"",[1]对账明细接口!$W477),"")</f>
        <v/>
      </c>
      <c r="AC477" s="7" t="str">
        <f>IFERROR(IF([1]对账明细接口!$X477=0,"",[1]对账明细接口!$X477),"")</f>
        <v/>
      </c>
      <c r="AD477" s="7" t="str">
        <f>IFERROR(IF([1]对账明细接口!$Y477=0,"",[1]对账明细接口!$Y477),"")</f>
        <v/>
      </c>
      <c r="AE477" s="7" t="str">
        <f>IFERROR(IF([1]对账明细接口!$AA477=0,"",[1]对账明细接口!$AA477),"")</f>
        <v/>
      </c>
      <c r="AF477" s="7" t="str">
        <f>IFERROR(IF([1]对账明细接口!$AB477=0,"",[1]对账明细接口!$AB477),"")</f>
        <v/>
      </c>
      <c r="AG477" s="7" t="str">
        <f>IFERROR(IF([1]对账明细接口!$AC477=0,"",[1]对账明细接口!$AC477),"")</f>
        <v/>
      </c>
      <c r="AH477" s="7" t="str">
        <f>IFERROR(IF([1]对账明细接口!$AD477=0,"",[1]对账明细接口!$AD477),"")</f>
        <v/>
      </c>
      <c r="AI477" s="7" t="str">
        <f>IFERROR(IF([1]对账明细接口!$AE477=0,"",[1]对账明细接口!$AE477),"")</f>
        <v/>
      </c>
      <c r="AJ477" s="7" t="str">
        <f>IFERROR(IF([1]对账明细接口!$AF477=0,"",[1]对账明细接口!$AF477),"")</f>
        <v/>
      </c>
    </row>
    <row r="478" ht="14.25" customHeight="1" spans="1:36">
      <c r="A478" s="14">
        <v>478</v>
      </c>
      <c r="B478" s="15" t="str">
        <f>IFERROR(IF([1]对账明细接口!$B$478=0,"",[1]对账明细接口!$B$478),"")</f>
        <v/>
      </c>
      <c r="C478" s="16" t="str">
        <f>IFERROR(IF([1]对账明细接口!$C$478=0,"",[1]对账明细接口!$C$478),"")</f>
        <v/>
      </c>
      <c r="D478" s="16" t="str">
        <f>IFERROR(IF([1]对账明细接口!$D$478=0,"",[1]对账明细接口!$D$478),"")</f>
        <v/>
      </c>
      <c r="E478" s="16" t="str">
        <f>IFERROR(IF([1]对账明细接口!$E$478=0,"",[1]对账明细接口!$E$478),"")</f>
        <v/>
      </c>
      <c r="F478" s="16" t="str">
        <f>IFERROR(IF([1]对账明细接口!$F$478=0,"",[1]对账明细接口!$F$478),"")</f>
        <v/>
      </c>
      <c r="G478" s="16" t="str">
        <f>IFERROR(IF([1]对账明细接口!$G$478=0,"",[1]对账明细接口!$G$478),"")</f>
        <v/>
      </c>
      <c r="H478" s="17" t="str">
        <f>IFERROR(IF([1]对账明细接口!$H$478=0,"",[1]对账明细接口!$H$478),"")</f>
        <v/>
      </c>
      <c r="I478" s="16" t="str">
        <f>IFERROR(IF([1]对账明细接口!$I$478=0,"",[1]对账明细接口!$I$478),"")</f>
        <v/>
      </c>
      <c r="J478" s="18" t="str">
        <f>IFERROR(IF([1]对账明细接口!$J$478=0,"",[1]对账明细接口!$J$478),"")</f>
        <v/>
      </c>
      <c r="K478" s="18" t="str">
        <f>IFERROR(IF([1]对账明细接口!$K$478=0,"",[1]对账明细接口!$K$478),"")</f>
        <v/>
      </c>
      <c r="L478" s="16" t="str">
        <f>IFERROR(IF([1]对账明细接口!$L$478=0,"",[1]对账明细接口!$L$478),"")</f>
        <v/>
      </c>
      <c r="M478" s="16" t="str">
        <f>IFERROR(IF([1]对账明细接口!$M$478=0,"",[1]对账明细接口!$M$478),"")</f>
        <v/>
      </c>
      <c r="N478" s="19">
        <f t="shared" si="14"/>
        <v>0</v>
      </c>
      <c r="O478" s="19">
        <f t="shared" si="15"/>
        <v>420</v>
      </c>
      <c r="S478" s="20" t="str">
        <f>IFERROR(IF([1]对账明细接口!$N478=0,"",[1]对账明细接口!$N478),"")</f>
        <v/>
      </c>
      <c r="T478" s="21" t="str">
        <f>IFERROR(IF([1]对账明细接口!$O478=0,"",[1]对账明细接口!$O478),"")</f>
        <v/>
      </c>
      <c r="U478" s="21" t="str">
        <f>IFERROR(IF([1]对账明细接口!$P478=0,"",[1]对账明细接口!$P478),"")</f>
        <v/>
      </c>
      <c r="V478" s="21" t="str">
        <f>IFERROR(IF([1]对账明细接口!$Q478=0,"",[1]对账明细接口!$Q478),"")</f>
        <v/>
      </c>
      <c r="W478" s="20" t="str">
        <f>IFERROR(IF([1]对账明细接口!$R478=0,"",[1]对账明细接口!$R478),"")</f>
        <v/>
      </c>
      <c r="X478" s="20" t="str">
        <f>IFERROR(IF([1]对账明细接口!$S478=0,"",[1]对账明细接口!$S478),"")</f>
        <v/>
      </c>
      <c r="Y478" s="20" t="str">
        <f>IFERROR(IF([1]对账明细接口!$T478=0,"",[1]对账明细接口!$T478),"")</f>
        <v/>
      </c>
      <c r="Z478" s="24" t="str">
        <f>IFERROR(IF([1]对账明细接口!$U478=0,"",[1]对账明细接口!$U478),"")</f>
        <v/>
      </c>
      <c r="AA478" s="24" t="str">
        <f>IFERROR(IF([1]对账明细接口!$V478=0,"",[1]对账明细接口!$V478),"")</f>
        <v/>
      </c>
      <c r="AB478" s="20" t="str">
        <f>IFERROR(IF([1]对账明细接口!$W478=0,"",[1]对账明细接口!$W478),"")</f>
        <v/>
      </c>
      <c r="AC478" s="7" t="str">
        <f>IFERROR(IF([1]对账明细接口!$X478=0,"",[1]对账明细接口!$X478),"")</f>
        <v/>
      </c>
      <c r="AD478" s="7" t="str">
        <f>IFERROR(IF([1]对账明细接口!$Y478=0,"",[1]对账明细接口!$Y478),"")</f>
        <v/>
      </c>
      <c r="AE478" s="7" t="str">
        <f>IFERROR(IF([1]对账明细接口!$AA478=0,"",[1]对账明细接口!$AA478),"")</f>
        <v/>
      </c>
      <c r="AF478" s="7" t="str">
        <f>IFERROR(IF([1]对账明细接口!$AB478=0,"",[1]对账明细接口!$AB478),"")</f>
        <v/>
      </c>
      <c r="AG478" s="7" t="str">
        <f>IFERROR(IF([1]对账明细接口!$AC478=0,"",[1]对账明细接口!$AC478),"")</f>
        <v/>
      </c>
      <c r="AH478" s="7" t="str">
        <f>IFERROR(IF([1]对账明细接口!$AD478=0,"",[1]对账明细接口!$AD478),"")</f>
        <v/>
      </c>
      <c r="AI478" s="7" t="str">
        <f>IFERROR(IF([1]对账明细接口!$AE478=0,"",[1]对账明细接口!$AE478),"")</f>
        <v/>
      </c>
      <c r="AJ478" s="7" t="str">
        <f>IFERROR(IF([1]对账明细接口!$AF478=0,"",[1]对账明细接口!$AF478),"")</f>
        <v/>
      </c>
    </row>
    <row r="479" ht="14.25" customHeight="1" spans="1:36">
      <c r="A479" s="14">
        <v>479</v>
      </c>
      <c r="B479" s="15" t="str">
        <f>IFERROR(IF([1]对账明细接口!$B$479=0,"",[1]对账明细接口!$B$479),"")</f>
        <v/>
      </c>
      <c r="C479" s="16" t="str">
        <f>IFERROR(IF([1]对账明细接口!$C$479=0,"",[1]对账明细接口!$C$479),"")</f>
        <v/>
      </c>
      <c r="D479" s="16" t="str">
        <f>IFERROR(IF([1]对账明细接口!$D$479=0,"",[1]对账明细接口!$D$479),"")</f>
        <v/>
      </c>
      <c r="E479" s="16" t="str">
        <f>IFERROR(IF([1]对账明细接口!$E$479=0,"",[1]对账明细接口!$E$479),"")</f>
        <v/>
      </c>
      <c r="F479" s="16" t="str">
        <f>IFERROR(IF([1]对账明细接口!$F$479=0,"",[1]对账明细接口!$F$479),"")</f>
        <v/>
      </c>
      <c r="G479" s="16" t="str">
        <f>IFERROR(IF([1]对账明细接口!$G$479=0,"",[1]对账明细接口!$G$479),"")</f>
        <v/>
      </c>
      <c r="H479" s="17" t="str">
        <f>IFERROR(IF([1]对账明细接口!$H$479=0,"",[1]对账明细接口!$H$479),"")</f>
        <v/>
      </c>
      <c r="I479" s="16" t="str">
        <f>IFERROR(IF([1]对账明细接口!$I$479=0,"",[1]对账明细接口!$I$479),"")</f>
        <v/>
      </c>
      <c r="J479" s="18" t="str">
        <f>IFERROR(IF([1]对账明细接口!$J$479=0,"",[1]对账明细接口!$J$479),"")</f>
        <v/>
      </c>
      <c r="K479" s="18" t="str">
        <f>IFERROR(IF([1]对账明细接口!$K$479=0,"",[1]对账明细接口!$K$479),"")</f>
        <v/>
      </c>
      <c r="L479" s="16" t="str">
        <f>IFERROR(IF([1]对账明细接口!$L$479=0,"",[1]对账明细接口!$L$479),"")</f>
        <v/>
      </c>
      <c r="M479" s="16" t="str">
        <f>IFERROR(IF([1]对账明细接口!$M$479=0,"",[1]对账明细接口!$M$479),"")</f>
        <v/>
      </c>
      <c r="N479" s="19">
        <f t="shared" si="14"/>
        <v>0</v>
      </c>
      <c r="O479" s="19">
        <f t="shared" si="15"/>
        <v>420</v>
      </c>
      <c r="S479" s="20" t="str">
        <f>IFERROR(IF([1]对账明细接口!$N479=0,"",[1]对账明细接口!$N479),"")</f>
        <v/>
      </c>
      <c r="T479" s="21" t="str">
        <f>IFERROR(IF([1]对账明细接口!$O479=0,"",[1]对账明细接口!$O479),"")</f>
        <v/>
      </c>
      <c r="U479" s="21" t="str">
        <f>IFERROR(IF([1]对账明细接口!$P479=0,"",[1]对账明细接口!$P479),"")</f>
        <v/>
      </c>
      <c r="V479" s="21" t="str">
        <f>IFERROR(IF([1]对账明细接口!$Q479=0,"",[1]对账明细接口!$Q479),"")</f>
        <v/>
      </c>
      <c r="W479" s="20" t="str">
        <f>IFERROR(IF([1]对账明细接口!$R479=0,"",[1]对账明细接口!$R479),"")</f>
        <v/>
      </c>
      <c r="X479" s="20" t="str">
        <f>IFERROR(IF([1]对账明细接口!$S479=0,"",[1]对账明细接口!$S479),"")</f>
        <v/>
      </c>
      <c r="Y479" s="20" t="str">
        <f>IFERROR(IF([1]对账明细接口!$T479=0,"",[1]对账明细接口!$T479),"")</f>
        <v/>
      </c>
      <c r="Z479" s="24" t="str">
        <f>IFERROR(IF([1]对账明细接口!$U479=0,"",[1]对账明细接口!$U479),"")</f>
        <v/>
      </c>
      <c r="AA479" s="24" t="str">
        <f>IFERROR(IF([1]对账明细接口!$V479=0,"",[1]对账明细接口!$V479),"")</f>
        <v/>
      </c>
      <c r="AB479" s="20" t="str">
        <f>IFERROR(IF([1]对账明细接口!$W479=0,"",[1]对账明细接口!$W479),"")</f>
        <v/>
      </c>
      <c r="AC479" s="7" t="str">
        <f>IFERROR(IF([1]对账明细接口!$X479=0,"",[1]对账明细接口!$X479),"")</f>
        <v/>
      </c>
      <c r="AD479" s="7" t="str">
        <f>IFERROR(IF([1]对账明细接口!$Y479=0,"",[1]对账明细接口!$Y479),"")</f>
        <v/>
      </c>
      <c r="AE479" s="7" t="str">
        <f>IFERROR(IF([1]对账明细接口!$AA479=0,"",[1]对账明细接口!$AA479),"")</f>
        <v/>
      </c>
      <c r="AF479" s="7" t="str">
        <f>IFERROR(IF([1]对账明细接口!$AB479=0,"",[1]对账明细接口!$AB479),"")</f>
        <v/>
      </c>
      <c r="AG479" s="7" t="str">
        <f>IFERROR(IF([1]对账明细接口!$AC479=0,"",[1]对账明细接口!$AC479),"")</f>
        <v/>
      </c>
      <c r="AH479" s="7" t="str">
        <f>IFERROR(IF([1]对账明细接口!$AD479=0,"",[1]对账明细接口!$AD479),"")</f>
        <v/>
      </c>
      <c r="AI479" s="7" t="str">
        <f>IFERROR(IF([1]对账明细接口!$AE479=0,"",[1]对账明细接口!$AE479),"")</f>
        <v/>
      </c>
      <c r="AJ479" s="7" t="str">
        <f>IFERROR(IF([1]对账明细接口!$AF479=0,"",[1]对账明细接口!$AF479),"")</f>
        <v/>
      </c>
    </row>
    <row r="480" ht="14.25" customHeight="1" spans="1:36">
      <c r="A480" s="14">
        <v>480</v>
      </c>
      <c r="B480" s="15" t="str">
        <f>IFERROR(IF([1]对账明细接口!$B$480=0,"",[1]对账明细接口!$B$480),"")</f>
        <v/>
      </c>
      <c r="C480" s="16" t="str">
        <f>IFERROR(IF([1]对账明细接口!$C$480=0,"",[1]对账明细接口!$C$480),"")</f>
        <v/>
      </c>
      <c r="D480" s="16" t="str">
        <f>IFERROR(IF([1]对账明细接口!$D$480=0,"",[1]对账明细接口!$D$480),"")</f>
        <v/>
      </c>
      <c r="E480" s="16" t="str">
        <f>IFERROR(IF([1]对账明细接口!$E$480=0,"",[1]对账明细接口!$E$480),"")</f>
        <v/>
      </c>
      <c r="F480" s="16" t="str">
        <f>IFERROR(IF([1]对账明细接口!$F$480=0,"",[1]对账明细接口!$F$480),"")</f>
        <v/>
      </c>
      <c r="G480" s="16" t="str">
        <f>IFERROR(IF([1]对账明细接口!$G$480=0,"",[1]对账明细接口!$G$480),"")</f>
        <v/>
      </c>
      <c r="H480" s="17" t="str">
        <f>IFERROR(IF([1]对账明细接口!$H$480=0,"",[1]对账明细接口!$H$480),"")</f>
        <v/>
      </c>
      <c r="I480" s="16" t="str">
        <f>IFERROR(IF([1]对账明细接口!$I$480=0,"",[1]对账明细接口!$I$480),"")</f>
        <v/>
      </c>
      <c r="J480" s="18" t="str">
        <f>IFERROR(IF([1]对账明细接口!$J$480=0,"",[1]对账明细接口!$J$480),"")</f>
        <v/>
      </c>
      <c r="K480" s="18" t="str">
        <f>IFERROR(IF([1]对账明细接口!$K$480=0,"",[1]对账明细接口!$K$480),"")</f>
        <v/>
      </c>
      <c r="L480" s="16" t="str">
        <f>IFERROR(IF([1]对账明细接口!$L$480=0,"",[1]对账明细接口!$L$480),"")</f>
        <v/>
      </c>
      <c r="M480" s="16" t="str">
        <f>IFERROR(IF([1]对账明细接口!$M$480=0,"",[1]对账明细接口!$M$480),"")</f>
        <v/>
      </c>
      <c r="N480" s="19">
        <f t="shared" si="14"/>
        <v>0</v>
      </c>
      <c r="O480" s="19">
        <f t="shared" si="15"/>
        <v>420</v>
      </c>
      <c r="S480" s="20" t="str">
        <f>IFERROR(IF([1]对账明细接口!$N480=0,"",[1]对账明细接口!$N480),"")</f>
        <v/>
      </c>
      <c r="T480" s="21" t="str">
        <f>IFERROR(IF([1]对账明细接口!$O480=0,"",[1]对账明细接口!$O480),"")</f>
        <v/>
      </c>
      <c r="U480" s="21" t="str">
        <f>IFERROR(IF([1]对账明细接口!$P480=0,"",[1]对账明细接口!$P480),"")</f>
        <v/>
      </c>
      <c r="V480" s="21" t="str">
        <f>IFERROR(IF([1]对账明细接口!$Q480=0,"",[1]对账明细接口!$Q480),"")</f>
        <v/>
      </c>
      <c r="W480" s="20" t="str">
        <f>IFERROR(IF([1]对账明细接口!$R480=0,"",[1]对账明细接口!$R480),"")</f>
        <v/>
      </c>
      <c r="X480" s="20" t="str">
        <f>IFERROR(IF([1]对账明细接口!$S480=0,"",[1]对账明细接口!$S480),"")</f>
        <v/>
      </c>
      <c r="Y480" s="20" t="str">
        <f>IFERROR(IF([1]对账明细接口!$T480=0,"",[1]对账明细接口!$T480),"")</f>
        <v/>
      </c>
      <c r="Z480" s="24" t="str">
        <f>IFERROR(IF([1]对账明细接口!$U480=0,"",[1]对账明细接口!$U480),"")</f>
        <v/>
      </c>
      <c r="AA480" s="24" t="str">
        <f>IFERROR(IF([1]对账明细接口!$V480=0,"",[1]对账明细接口!$V480),"")</f>
        <v/>
      </c>
      <c r="AB480" s="20" t="str">
        <f>IFERROR(IF([1]对账明细接口!$W480=0,"",[1]对账明细接口!$W480),"")</f>
        <v/>
      </c>
      <c r="AC480" s="7" t="str">
        <f>IFERROR(IF([1]对账明细接口!$X480=0,"",[1]对账明细接口!$X480),"")</f>
        <v/>
      </c>
      <c r="AD480" s="7" t="str">
        <f>IFERROR(IF([1]对账明细接口!$Y480=0,"",[1]对账明细接口!$Y480),"")</f>
        <v/>
      </c>
      <c r="AE480" s="7" t="str">
        <f>IFERROR(IF([1]对账明细接口!$AA480=0,"",[1]对账明细接口!$AA480),"")</f>
        <v/>
      </c>
      <c r="AF480" s="7" t="str">
        <f>IFERROR(IF([1]对账明细接口!$AB480=0,"",[1]对账明细接口!$AB480),"")</f>
        <v/>
      </c>
      <c r="AG480" s="7" t="str">
        <f>IFERROR(IF([1]对账明细接口!$AC480=0,"",[1]对账明细接口!$AC480),"")</f>
        <v/>
      </c>
      <c r="AH480" s="7" t="str">
        <f>IFERROR(IF([1]对账明细接口!$AD480=0,"",[1]对账明细接口!$AD480),"")</f>
        <v/>
      </c>
      <c r="AI480" s="7" t="str">
        <f>IFERROR(IF([1]对账明细接口!$AE480=0,"",[1]对账明细接口!$AE480),"")</f>
        <v/>
      </c>
      <c r="AJ480" s="7" t="str">
        <f>IFERROR(IF([1]对账明细接口!$AF480=0,"",[1]对账明细接口!$AF480),"")</f>
        <v/>
      </c>
    </row>
    <row r="481" ht="14.25" customHeight="1" spans="1:36">
      <c r="A481" s="14">
        <v>481</v>
      </c>
      <c r="B481" s="15" t="str">
        <f>IFERROR(IF([1]对账明细接口!$B$481=0,"",[1]对账明细接口!$B$481),"")</f>
        <v/>
      </c>
      <c r="C481" s="16" t="str">
        <f>IFERROR(IF([1]对账明细接口!$C$481=0,"",[1]对账明细接口!$C$481),"")</f>
        <v/>
      </c>
      <c r="D481" s="16" t="str">
        <f>IFERROR(IF([1]对账明细接口!$D$481=0,"",[1]对账明细接口!$D$481),"")</f>
        <v/>
      </c>
      <c r="E481" s="16" t="str">
        <f>IFERROR(IF([1]对账明细接口!$E$481=0,"",[1]对账明细接口!$E$481),"")</f>
        <v/>
      </c>
      <c r="F481" s="16" t="str">
        <f>IFERROR(IF([1]对账明细接口!$F$481=0,"",[1]对账明细接口!$F$481),"")</f>
        <v/>
      </c>
      <c r="G481" s="16" t="str">
        <f>IFERROR(IF([1]对账明细接口!$G$481=0,"",[1]对账明细接口!$G$481),"")</f>
        <v/>
      </c>
      <c r="H481" s="17" t="str">
        <f>IFERROR(IF([1]对账明细接口!$H$481=0,"",[1]对账明细接口!$H$481),"")</f>
        <v/>
      </c>
      <c r="I481" s="16" t="str">
        <f>IFERROR(IF([1]对账明细接口!$I$481=0,"",[1]对账明细接口!$I$481),"")</f>
        <v/>
      </c>
      <c r="J481" s="18" t="str">
        <f>IFERROR(IF([1]对账明细接口!$J$481=0,"",[1]对账明细接口!$J$481),"")</f>
        <v/>
      </c>
      <c r="K481" s="18" t="str">
        <f>IFERROR(IF([1]对账明细接口!$K$481=0,"",[1]对账明细接口!$K$481),"")</f>
        <v/>
      </c>
      <c r="L481" s="16" t="str">
        <f>IFERROR(IF([1]对账明细接口!$L$481=0,"",[1]对账明细接口!$L$481),"")</f>
        <v/>
      </c>
      <c r="M481" s="16" t="str">
        <f>IFERROR(IF([1]对账明细接口!$M$481=0,"",[1]对账明细接口!$M$481),"")</f>
        <v/>
      </c>
      <c r="N481" s="19">
        <f t="shared" si="14"/>
        <v>0</v>
      </c>
      <c r="O481" s="19">
        <f t="shared" si="15"/>
        <v>420</v>
      </c>
      <c r="S481" s="20" t="str">
        <f>IFERROR(IF([1]对账明细接口!$N481=0,"",[1]对账明细接口!$N481),"")</f>
        <v/>
      </c>
      <c r="T481" s="21" t="str">
        <f>IFERROR(IF([1]对账明细接口!$O481=0,"",[1]对账明细接口!$O481),"")</f>
        <v/>
      </c>
      <c r="U481" s="21" t="str">
        <f>IFERROR(IF([1]对账明细接口!$P481=0,"",[1]对账明细接口!$P481),"")</f>
        <v/>
      </c>
      <c r="V481" s="21" t="str">
        <f>IFERROR(IF([1]对账明细接口!$Q481=0,"",[1]对账明细接口!$Q481),"")</f>
        <v/>
      </c>
      <c r="W481" s="20" t="str">
        <f>IFERROR(IF([1]对账明细接口!$R481=0,"",[1]对账明细接口!$R481),"")</f>
        <v/>
      </c>
      <c r="X481" s="20" t="str">
        <f>IFERROR(IF([1]对账明细接口!$S481=0,"",[1]对账明细接口!$S481),"")</f>
        <v/>
      </c>
      <c r="Y481" s="20" t="str">
        <f>IFERROR(IF([1]对账明细接口!$T481=0,"",[1]对账明细接口!$T481),"")</f>
        <v/>
      </c>
      <c r="Z481" s="24" t="str">
        <f>IFERROR(IF([1]对账明细接口!$U481=0,"",[1]对账明细接口!$U481),"")</f>
        <v/>
      </c>
      <c r="AA481" s="24" t="str">
        <f>IFERROR(IF([1]对账明细接口!$V481=0,"",[1]对账明细接口!$V481),"")</f>
        <v/>
      </c>
      <c r="AB481" s="20" t="str">
        <f>IFERROR(IF([1]对账明细接口!$W481=0,"",[1]对账明细接口!$W481),"")</f>
        <v/>
      </c>
      <c r="AC481" s="7" t="str">
        <f>IFERROR(IF([1]对账明细接口!$X481=0,"",[1]对账明细接口!$X481),"")</f>
        <v/>
      </c>
      <c r="AD481" s="7" t="str">
        <f>IFERROR(IF([1]对账明细接口!$Y481=0,"",[1]对账明细接口!$Y481),"")</f>
        <v/>
      </c>
      <c r="AE481" s="7" t="str">
        <f>IFERROR(IF([1]对账明细接口!$AA481=0,"",[1]对账明细接口!$AA481),"")</f>
        <v/>
      </c>
      <c r="AF481" s="7" t="str">
        <f>IFERROR(IF([1]对账明细接口!$AB481=0,"",[1]对账明细接口!$AB481),"")</f>
        <v/>
      </c>
      <c r="AG481" s="7" t="str">
        <f>IFERROR(IF([1]对账明细接口!$AC481=0,"",[1]对账明细接口!$AC481),"")</f>
        <v/>
      </c>
      <c r="AH481" s="7" t="str">
        <f>IFERROR(IF([1]对账明细接口!$AD481=0,"",[1]对账明细接口!$AD481),"")</f>
        <v/>
      </c>
      <c r="AI481" s="7" t="str">
        <f>IFERROR(IF([1]对账明细接口!$AE481=0,"",[1]对账明细接口!$AE481),"")</f>
        <v/>
      </c>
      <c r="AJ481" s="7" t="str">
        <f>IFERROR(IF([1]对账明细接口!$AF481=0,"",[1]对账明细接口!$AF481),"")</f>
        <v/>
      </c>
    </row>
    <row r="482" ht="14.25" customHeight="1" spans="1:36">
      <c r="A482" s="14">
        <v>482</v>
      </c>
      <c r="B482" s="15" t="str">
        <f>IFERROR(IF([1]对账明细接口!$B$482=0,"",[1]对账明细接口!$B$482),"")</f>
        <v/>
      </c>
      <c r="C482" s="16" t="str">
        <f>IFERROR(IF([1]对账明细接口!$C$482=0,"",[1]对账明细接口!$C$482),"")</f>
        <v/>
      </c>
      <c r="D482" s="16" t="str">
        <f>IFERROR(IF([1]对账明细接口!$D$482=0,"",[1]对账明细接口!$D$482),"")</f>
        <v/>
      </c>
      <c r="E482" s="16" t="str">
        <f>IFERROR(IF([1]对账明细接口!$E$482=0,"",[1]对账明细接口!$E$482),"")</f>
        <v/>
      </c>
      <c r="F482" s="16" t="str">
        <f>IFERROR(IF([1]对账明细接口!$F$482=0,"",[1]对账明细接口!$F$482),"")</f>
        <v/>
      </c>
      <c r="G482" s="16" t="str">
        <f>IFERROR(IF([1]对账明细接口!$G$482=0,"",[1]对账明细接口!$G$482),"")</f>
        <v/>
      </c>
      <c r="H482" s="17" t="str">
        <f>IFERROR(IF([1]对账明细接口!$H$482=0,"",[1]对账明细接口!$H$482),"")</f>
        <v/>
      </c>
      <c r="I482" s="16" t="str">
        <f>IFERROR(IF([1]对账明细接口!$I$482=0,"",[1]对账明细接口!$I$482),"")</f>
        <v/>
      </c>
      <c r="J482" s="18" t="str">
        <f>IFERROR(IF([1]对账明细接口!$J$482=0,"",[1]对账明细接口!$J$482),"")</f>
        <v/>
      </c>
      <c r="K482" s="18" t="str">
        <f>IFERROR(IF([1]对账明细接口!$K$482=0,"",[1]对账明细接口!$K$482),"")</f>
        <v/>
      </c>
      <c r="L482" s="16" t="str">
        <f>IFERROR(IF([1]对账明细接口!$L$482=0,"",[1]对账明细接口!$L$482),"")</f>
        <v/>
      </c>
      <c r="M482" s="16" t="str">
        <f>IFERROR(IF([1]对账明细接口!$M$482=0,"",[1]对账明细接口!$M$482),"")</f>
        <v/>
      </c>
      <c r="N482" s="19">
        <f t="shared" si="14"/>
        <v>0</v>
      </c>
      <c r="O482" s="19">
        <f t="shared" si="15"/>
        <v>420</v>
      </c>
      <c r="S482" s="20" t="str">
        <f>IFERROR(IF([1]对账明细接口!$N482=0,"",[1]对账明细接口!$N482),"")</f>
        <v/>
      </c>
      <c r="T482" s="21" t="str">
        <f>IFERROR(IF([1]对账明细接口!$O482=0,"",[1]对账明细接口!$O482),"")</f>
        <v/>
      </c>
      <c r="U482" s="21" t="str">
        <f>IFERROR(IF([1]对账明细接口!$P482=0,"",[1]对账明细接口!$P482),"")</f>
        <v/>
      </c>
      <c r="V482" s="21" t="str">
        <f>IFERROR(IF([1]对账明细接口!$Q482=0,"",[1]对账明细接口!$Q482),"")</f>
        <v/>
      </c>
      <c r="W482" s="20" t="str">
        <f>IFERROR(IF([1]对账明细接口!$R482=0,"",[1]对账明细接口!$R482),"")</f>
        <v/>
      </c>
      <c r="X482" s="20" t="str">
        <f>IFERROR(IF([1]对账明细接口!$S482=0,"",[1]对账明细接口!$S482),"")</f>
        <v/>
      </c>
      <c r="Y482" s="20" t="str">
        <f>IFERROR(IF([1]对账明细接口!$T482=0,"",[1]对账明细接口!$T482),"")</f>
        <v/>
      </c>
      <c r="Z482" s="24" t="str">
        <f>IFERROR(IF([1]对账明细接口!$U482=0,"",[1]对账明细接口!$U482),"")</f>
        <v/>
      </c>
      <c r="AA482" s="24" t="str">
        <f>IFERROR(IF([1]对账明细接口!$V482=0,"",[1]对账明细接口!$V482),"")</f>
        <v/>
      </c>
      <c r="AB482" s="20" t="str">
        <f>IFERROR(IF([1]对账明细接口!$W482=0,"",[1]对账明细接口!$W482),"")</f>
        <v/>
      </c>
      <c r="AC482" s="7" t="str">
        <f>IFERROR(IF([1]对账明细接口!$X482=0,"",[1]对账明细接口!$X482),"")</f>
        <v/>
      </c>
      <c r="AD482" s="7" t="str">
        <f>IFERROR(IF([1]对账明细接口!$Y482=0,"",[1]对账明细接口!$Y482),"")</f>
        <v/>
      </c>
      <c r="AE482" s="7" t="str">
        <f>IFERROR(IF([1]对账明细接口!$AA482=0,"",[1]对账明细接口!$AA482),"")</f>
        <v/>
      </c>
      <c r="AF482" s="7" t="str">
        <f>IFERROR(IF([1]对账明细接口!$AB482=0,"",[1]对账明细接口!$AB482),"")</f>
        <v/>
      </c>
      <c r="AG482" s="7" t="str">
        <f>IFERROR(IF([1]对账明细接口!$AC482=0,"",[1]对账明细接口!$AC482),"")</f>
        <v/>
      </c>
      <c r="AH482" s="7" t="str">
        <f>IFERROR(IF([1]对账明细接口!$AD482=0,"",[1]对账明细接口!$AD482),"")</f>
        <v/>
      </c>
      <c r="AI482" s="7" t="str">
        <f>IFERROR(IF([1]对账明细接口!$AE482=0,"",[1]对账明细接口!$AE482),"")</f>
        <v/>
      </c>
      <c r="AJ482" s="7" t="str">
        <f>IFERROR(IF([1]对账明细接口!$AF482=0,"",[1]对账明细接口!$AF482),"")</f>
        <v/>
      </c>
    </row>
    <row r="483" ht="14.25" customHeight="1" spans="1:36">
      <c r="A483" s="14">
        <v>483</v>
      </c>
      <c r="B483" s="15" t="str">
        <f>IFERROR(IF([1]对账明细接口!$B$483=0,"",[1]对账明细接口!$B$483),"")</f>
        <v/>
      </c>
      <c r="C483" s="16" t="str">
        <f>IFERROR(IF([1]对账明细接口!$C$483=0,"",[1]对账明细接口!$C$483),"")</f>
        <v/>
      </c>
      <c r="D483" s="16" t="str">
        <f>IFERROR(IF([1]对账明细接口!$D$483=0,"",[1]对账明细接口!$D$483),"")</f>
        <v/>
      </c>
      <c r="E483" s="16" t="str">
        <f>IFERROR(IF([1]对账明细接口!$E$483=0,"",[1]对账明细接口!$E$483),"")</f>
        <v/>
      </c>
      <c r="F483" s="16" t="str">
        <f>IFERROR(IF([1]对账明细接口!$F$483=0,"",[1]对账明细接口!$F$483),"")</f>
        <v/>
      </c>
      <c r="G483" s="16" t="str">
        <f>IFERROR(IF([1]对账明细接口!$G$483=0,"",[1]对账明细接口!$G$483),"")</f>
        <v/>
      </c>
      <c r="H483" s="17" t="str">
        <f>IFERROR(IF([1]对账明细接口!$H$483=0,"",[1]对账明细接口!$H$483),"")</f>
        <v/>
      </c>
      <c r="I483" s="16" t="str">
        <f>IFERROR(IF([1]对账明细接口!$I$483=0,"",[1]对账明细接口!$I$483),"")</f>
        <v/>
      </c>
      <c r="J483" s="18" t="str">
        <f>IFERROR(IF([1]对账明细接口!$J$483=0,"",[1]对账明细接口!$J$483),"")</f>
        <v/>
      </c>
      <c r="K483" s="18" t="str">
        <f>IFERROR(IF([1]对账明细接口!$K$483=0,"",[1]对账明细接口!$K$483),"")</f>
        <v/>
      </c>
      <c r="L483" s="16" t="str">
        <f>IFERROR(IF([1]对账明细接口!$L$483=0,"",[1]对账明细接口!$L$483),"")</f>
        <v/>
      </c>
      <c r="M483" s="16" t="str">
        <f>IFERROR(IF([1]对账明细接口!$M$483=0,"",[1]对账明细接口!$M$483),"")</f>
        <v/>
      </c>
      <c r="N483" s="19">
        <f t="shared" si="14"/>
        <v>0</v>
      </c>
      <c r="O483" s="19">
        <f t="shared" si="15"/>
        <v>420</v>
      </c>
      <c r="S483" s="20" t="str">
        <f>IFERROR(IF([1]对账明细接口!$N483=0,"",[1]对账明细接口!$N483),"")</f>
        <v/>
      </c>
      <c r="T483" s="21" t="str">
        <f>IFERROR(IF([1]对账明细接口!$O483=0,"",[1]对账明细接口!$O483),"")</f>
        <v/>
      </c>
      <c r="U483" s="21" t="str">
        <f>IFERROR(IF([1]对账明细接口!$P483=0,"",[1]对账明细接口!$P483),"")</f>
        <v/>
      </c>
      <c r="V483" s="21" t="str">
        <f>IFERROR(IF([1]对账明细接口!$Q483=0,"",[1]对账明细接口!$Q483),"")</f>
        <v/>
      </c>
      <c r="W483" s="20" t="str">
        <f>IFERROR(IF([1]对账明细接口!$R483=0,"",[1]对账明细接口!$R483),"")</f>
        <v/>
      </c>
      <c r="X483" s="20" t="str">
        <f>IFERROR(IF([1]对账明细接口!$S483=0,"",[1]对账明细接口!$S483),"")</f>
        <v/>
      </c>
      <c r="Y483" s="20" t="str">
        <f>IFERROR(IF([1]对账明细接口!$T483=0,"",[1]对账明细接口!$T483),"")</f>
        <v/>
      </c>
      <c r="Z483" s="24" t="str">
        <f>IFERROR(IF([1]对账明细接口!$U483=0,"",[1]对账明细接口!$U483),"")</f>
        <v/>
      </c>
      <c r="AA483" s="24" t="str">
        <f>IFERROR(IF([1]对账明细接口!$V483=0,"",[1]对账明细接口!$V483),"")</f>
        <v/>
      </c>
      <c r="AB483" s="20" t="str">
        <f>IFERROR(IF([1]对账明细接口!$W483=0,"",[1]对账明细接口!$W483),"")</f>
        <v/>
      </c>
      <c r="AC483" s="7" t="str">
        <f>IFERROR(IF([1]对账明细接口!$X483=0,"",[1]对账明细接口!$X483),"")</f>
        <v/>
      </c>
      <c r="AD483" s="7" t="str">
        <f>IFERROR(IF([1]对账明细接口!$Y483=0,"",[1]对账明细接口!$Y483),"")</f>
        <v/>
      </c>
      <c r="AE483" s="7" t="str">
        <f>IFERROR(IF([1]对账明细接口!$AA483=0,"",[1]对账明细接口!$AA483),"")</f>
        <v/>
      </c>
      <c r="AF483" s="7" t="str">
        <f>IFERROR(IF([1]对账明细接口!$AB483=0,"",[1]对账明细接口!$AB483),"")</f>
        <v/>
      </c>
      <c r="AG483" s="7" t="str">
        <f>IFERROR(IF([1]对账明细接口!$AC483=0,"",[1]对账明细接口!$AC483),"")</f>
        <v/>
      </c>
      <c r="AH483" s="7" t="str">
        <f>IFERROR(IF([1]对账明细接口!$AD483=0,"",[1]对账明细接口!$AD483),"")</f>
        <v/>
      </c>
      <c r="AI483" s="7" t="str">
        <f>IFERROR(IF([1]对账明细接口!$AE483=0,"",[1]对账明细接口!$AE483),"")</f>
        <v/>
      </c>
      <c r="AJ483" s="7" t="str">
        <f>IFERROR(IF([1]对账明细接口!$AF483=0,"",[1]对账明细接口!$AF483),"")</f>
        <v/>
      </c>
    </row>
    <row r="484" ht="14.25" customHeight="1" spans="1:36">
      <c r="A484" s="14">
        <v>484</v>
      </c>
      <c r="B484" s="15" t="str">
        <f>IFERROR(IF([1]对账明细接口!$B$484=0,"",[1]对账明细接口!$B$484),"")</f>
        <v/>
      </c>
      <c r="C484" s="16" t="str">
        <f>IFERROR(IF([1]对账明细接口!$C$484=0,"",[1]对账明细接口!$C$484),"")</f>
        <v/>
      </c>
      <c r="D484" s="16" t="str">
        <f>IFERROR(IF([1]对账明细接口!$D$484=0,"",[1]对账明细接口!$D$484),"")</f>
        <v/>
      </c>
      <c r="E484" s="16" t="str">
        <f>IFERROR(IF([1]对账明细接口!$E$484=0,"",[1]对账明细接口!$E$484),"")</f>
        <v/>
      </c>
      <c r="F484" s="16" t="str">
        <f>IFERROR(IF([1]对账明细接口!$F$484=0,"",[1]对账明细接口!$F$484),"")</f>
        <v/>
      </c>
      <c r="G484" s="16" t="str">
        <f>IFERROR(IF([1]对账明细接口!$G$484=0,"",[1]对账明细接口!$G$484),"")</f>
        <v/>
      </c>
      <c r="H484" s="17" t="str">
        <f>IFERROR(IF([1]对账明细接口!$H$484=0,"",[1]对账明细接口!$H$484),"")</f>
        <v/>
      </c>
      <c r="I484" s="16" t="str">
        <f>IFERROR(IF([1]对账明细接口!$I$484=0,"",[1]对账明细接口!$I$484),"")</f>
        <v/>
      </c>
      <c r="J484" s="18" t="str">
        <f>IFERROR(IF([1]对账明细接口!$J$484=0,"",[1]对账明细接口!$J$484),"")</f>
        <v/>
      </c>
      <c r="K484" s="18" t="str">
        <f>IFERROR(IF([1]对账明细接口!$K$484=0,"",[1]对账明细接口!$K$484),"")</f>
        <v/>
      </c>
      <c r="L484" s="16" t="str">
        <f>IFERROR(IF([1]对账明细接口!$L$484=0,"",[1]对账明细接口!$L$484),"")</f>
        <v/>
      </c>
      <c r="M484" s="16" t="str">
        <f>IFERROR(IF([1]对账明细接口!$M$484=0,"",[1]对账明细接口!$M$484),"")</f>
        <v/>
      </c>
      <c r="N484" s="19">
        <f t="shared" si="14"/>
        <v>0</v>
      </c>
      <c r="O484" s="19">
        <f t="shared" si="15"/>
        <v>420</v>
      </c>
      <c r="S484" s="20" t="str">
        <f>IFERROR(IF([1]对账明细接口!$N484=0,"",[1]对账明细接口!$N484),"")</f>
        <v/>
      </c>
      <c r="T484" s="21" t="str">
        <f>IFERROR(IF([1]对账明细接口!$O484=0,"",[1]对账明细接口!$O484),"")</f>
        <v/>
      </c>
      <c r="U484" s="21" t="str">
        <f>IFERROR(IF([1]对账明细接口!$P484=0,"",[1]对账明细接口!$P484),"")</f>
        <v/>
      </c>
      <c r="V484" s="21" t="str">
        <f>IFERROR(IF([1]对账明细接口!$Q484=0,"",[1]对账明细接口!$Q484),"")</f>
        <v/>
      </c>
      <c r="W484" s="20" t="str">
        <f>IFERROR(IF([1]对账明细接口!$R484=0,"",[1]对账明细接口!$R484),"")</f>
        <v/>
      </c>
      <c r="X484" s="20" t="str">
        <f>IFERROR(IF([1]对账明细接口!$S484=0,"",[1]对账明细接口!$S484),"")</f>
        <v/>
      </c>
      <c r="Y484" s="20" t="str">
        <f>IFERROR(IF([1]对账明细接口!$T484=0,"",[1]对账明细接口!$T484),"")</f>
        <v/>
      </c>
      <c r="Z484" s="24" t="str">
        <f>IFERROR(IF([1]对账明细接口!$U484=0,"",[1]对账明细接口!$U484),"")</f>
        <v/>
      </c>
      <c r="AA484" s="24" t="str">
        <f>IFERROR(IF([1]对账明细接口!$V484=0,"",[1]对账明细接口!$V484),"")</f>
        <v/>
      </c>
      <c r="AB484" s="20" t="str">
        <f>IFERROR(IF([1]对账明细接口!$W484=0,"",[1]对账明细接口!$W484),"")</f>
        <v/>
      </c>
      <c r="AC484" s="7" t="str">
        <f>IFERROR(IF([1]对账明细接口!$X484=0,"",[1]对账明细接口!$X484),"")</f>
        <v/>
      </c>
      <c r="AD484" s="7" t="str">
        <f>IFERROR(IF([1]对账明细接口!$Y484=0,"",[1]对账明细接口!$Y484),"")</f>
        <v/>
      </c>
      <c r="AE484" s="7" t="str">
        <f>IFERROR(IF([1]对账明细接口!$AA484=0,"",[1]对账明细接口!$AA484),"")</f>
        <v/>
      </c>
      <c r="AF484" s="7" t="str">
        <f>IFERROR(IF([1]对账明细接口!$AB484=0,"",[1]对账明细接口!$AB484),"")</f>
        <v/>
      </c>
      <c r="AG484" s="7" t="str">
        <f>IFERROR(IF([1]对账明细接口!$AC484=0,"",[1]对账明细接口!$AC484),"")</f>
        <v/>
      </c>
      <c r="AH484" s="7" t="str">
        <f>IFERROR(IF([1]对账明细接口!$AD484=0,"",[1]对账明细接口!$AD484),"")</f>
        <v/>
      </c>
      <c r="AI484" s="7" t="str">
        <f>IFERROR(IF([1]对账明细接口!$AE484=0,"",[1]对账明细接口!$AE484),"")</f>
        <v/>
      </c>
      <c r="AJ484" s="7" t="str">
        <f>IFERROR(IF([1]对账明细接口!$AF484=0,"",[1]对账明细接口!$AF484),"")</f>
        <v/>
      </c>
    </row>
    <row r="485" ht="14.25" customHeight="1" spans="1:36">
      <c r="A485" s="14">
        <v>485</v>
      </c>
      <c r="B485" s="15" t="str">
        <f>IFERROR(IF([1]对账明细接口!$B$485=0,"",[1]对账明细接口!$B$485),"")</f>
        <v/>
      </c>
      <c r="C485" s="16" t="str">
        <f>IFERROR(IF([1]对账明细接口!$C$485=0,"",[1]对账明细接口!$C$485),"")</f>
        <v/>
      </c>
      <c r="D485" s="16" t="str">
        <f>IFERROR(IF([1]对账明细接口!$D$485=0,"",[1]对账明细接口!$D$485),"")</f>
        <v/>
      </c>
      <c r="E485" s="16" t="str">
        <f>IFERROR(IF([1]对账明细接口!$E$485=0,"",[1]对账明细接口!$E$485),"")</f>
        <v/>
      </c>
      <c r="F485" s="16" t="str">
        <f>IFERROR(IF([1]对账明细接口!$F$485=0,"",[1]对账明细接口!$F$485),"")</f>
        <v/>
      </c>
      <c r="G485" s="16" t="str">
        <f>IFERROR(IF([1]对账明细接口!$G$485=0,"",[1]对账明细接口!$G$485),"")</f>
        <v/>
      </c>
      <c r="H485" s="17" t="str">
        <f>IFERROR(IF([1]对账明细接口!$H$485=0,"",[1]对账明细接口!$H$485),"")</f>
        <v/>
      </c>
      <c r="I485" s="16" t="str">
        <f>IFERROR(IF([1]对账明细接口!$I$485=0,"",[1]对账明细接口!$I$485),"")</f>
        <v/>
      </c>
      <c r="J485" s="18" t="str">
        <f>IFERROR(IF([1]对账明细接口!$J$485=0,"",[1]对账明细接口!$J$485),"")</f>
        <v/>
      </c>
      <c r="K485" s="18" t="str">
        <f>IFERROR(IF([1]对账明细接口!$K$485=0,"",[1]对账明细接口!$K$485),"")</f>
        <v/>
      </c>
      <c r="L485" s="16" t="str">
        <f>IFERROR(IF([1]对账明细接口!$L$485=0,"",[1]对账明细接口!$L$485),"")</f>
        <v/>
      </c>
      <c r="M485" s="16" t="str">
        <f>IFERROR(IF([1]对账明细接口!$M$485=0,"",[1]对账明细接口!$M$485),"")</f>
        <v/>
      </c>
      <c r="N485" s="19">
        <f t="shared" si="14"/>
        <v>0</v>
      </c>
      <c r="O485" s="19">
        <f t="shared" si="15"/>
        <v>420</v>
      </c>
      <c r="S485" s="20" t="str">
        <f>IFERROR(IF([1]对账明细接口!$N485=0,"",[1]对账明细接口!$N485),"")</f>
        <v/>
      </c>
      <c r="T485" s="21" t="str">
        <f>IFERROR(IF([1]对账明细接口!$O485=0,"",[1]对账明细接口!$O485),"")</f>
        <v/>
      </c>
      <c r="U485" s="21" t="str">
        <f>IFERROR(IF([1]对账明细接口!$P485=0,"",[1]对账明细接口!$P485),"")</f>
        <v/>
      </c>
      <c r="V485" s="21" t="str">
        <f>IFERROR(IF([1]对账明细接口!$Q485=0,"",[1]对账明细接口!$Q485),"")</f>
        <v/>
      </c>
      <c r="W485" s="20" t="str">
        <f>IFERROR(IF([1]对账明细接口!$R485=0,"",[1]对账明细接口!$R485),"")</f>
        <v/>
      </c>
      <c r="X485" s="20" t="str">
        <f>IFERROR(IF([1]对账明细接口!$S485=0,"",[1]对账明细接口!$S485),"")</f>
        <v/>
      </c>
      <c r="Y485" s="20" t="str">
        <f>IFERROR(IF([1]对账明细接口!$T485=0,"",[1]对账明细接口!$T485),"")</f>
        <v/>
      </c>
      <c r="Z485" s="24" t="str">
        <f>IFERROR(IF([1]对账明细接口!$U485=0,"",[1]对账明细接口!$U485),"")</f>
        <v/>
      </c>
      <c r="AA485" s="24" t="str">
        <f>IFERROR(IF([1]对账明细接口!$V485=0,"",[1]对账明细接口!$V485),"")</f>
        <v/>
      </c>
      <c r="AB485" s="20" t="str">
        <f>IFERROR(IF([1]对账明细接口!$W485=0,"",[1]对账明细接口!$W485),"")</f>
        <v/>
      </c>
      <c r="AC485" s="7" t="str">
        <f>IFERROR(IF([1]对账明细接口!$X485=0,"",[1]对账明细接口!$X485),"")</f>
        <v/>
      </c>
      <c r="AD485" s="7" t="str">
        <f>IFERROR(IF([1]对账明细接口!$Y485=0,"",[1]对账明细接口!$Y485),"")</f>
        <v/>
      </c>
      <c r="AE485" s="7" t="str">
        <f>IFERROR(IF([1]对账明细接口!$AA485=0,"",[1]对账明细接口!$AA485),"")</f>
        <v/>
      </c>
      <c r="AF485" s="7" t="str">
        <f>IFERROR(IF([1]对账明细接口!$AB485=0,"",[1]对账明细接口!$AB485),"")</f>
        <v/>
      </c>
      <c r="AG485" s="7" t="str">
        <f>IFERROR(IF([1]对账明细接口!$AC485=0,"",[1]对账明细接口!$AC485),"")</f>
        <v/>
      </c>
      <c r="AH485" s="7" t="str">
        <f>IFERROR(IF([1]对账明细接口!$AD485=0,"",[1]对账明细接口!$AD485),"")</f>
        <v/>
      </c>
      <c r="AI485" s="7" t="str">
        <f>IFERROR(IF([1]对账明细接口!$AE485=0,"",[1]对账明细接口!$AE485),"")</f>
        <v/>
      </c>
      <c r="AJ485" s="7" t="str">
        <f>IFERROR(IF([1]对账明细接口!$AF485=0,"",[1]对账明细接口!$AF485),"")</f>
        <v/>
      </c>
    </row>
    <row r="486" ht="14.25" customHeight="1" spans="1:36">
      <c r="A486" s="14">
        <v>486</v>
      </c>
      <c r="B486" s="15" t="str">
        <f>IFERROR(IF([1]对账明细接口!$B$486=0,"",[1]对账明细接口!$B$486),"")</f>
        <v/>
      </c>
      <c r="C486" s="16" t="str">
        <f>IFERROR(IF([1]对账明细接口!$C$486=0,"",[1]对账明细接口!$C$486),"")</f>
        <v/>
      </c>
      <c r="D486" s="16" t="str">
        <f>IFERROR(IF([1]对账明细接口!$D$486=0,"",[1]对账明细接口!$D$486),"")</f>
        <v/>
      </c>
      <c r="E486" s="16" t="str">
        <f>IFERROR(IF([1]对账明细接口!$E$486=0,"",[1]对账明细接口!$E$486),"")</f>
        <v/>
      </c>
      <c r="F486" s="16" t="str">
        <f>IFERROR(IF([1]对账明细接口!$F$486=0,"",[1]对账明细接口!$F$486),"")</f>
        <v/>
      </c>
      <c r="G486" s="16" t="str">
        <f>IFERROR(IF([1]对账明细接口!$G$486=0,"",[1]对账明细接口!$G$486),"")</f>
        <v/>
      </c>
      <c r="H486" s="17" t="str">
        <f>IFERROR(IF([1]对账明细接口!$H$486=0,"",[1]对账明细接口!$H$486),"")</f>
        <v/>
      </c>
      <c r="I486" s="16" t="str">
        <f>IFERROR(IF([1]对账明细接口!$I$486=0,"",[1]对账明细接口!$I$486),"")</f>
        <v/>
      </c>
      <c r="J486" s="18" t="str">
        <f>IFERROR(IF([1]对账明细接口!$J$486=0,"",[1]对账明细接口!$J$486),"")</f>
        <v/>
      </c>
      <c r="K486" s="18" t="str">
        <f>IFERROR(IF([1]对账明细接口!$K$486=0,"",[1]对账明细接口!$K$486),"")</f>
        <v/>
      </c>
      <c r="L486" s="16" t="str">
        <f>IFERROR(IF([1]对账明细接口!$L$486=0,"",[1]对账明细接口!$L$486),"")</f>
        <v/>
      </c>
      <c r="M486" s="16" t="str">
        <f>IFERROR(IF([1]对账明细接口!$M$486=0,"",[1]对账明细接口!$M$486),"")</f>
        <v/>
      </c>
      <c r="N486" s="19">
        <f t="shared" si="14"/>
        <v>0</v>
      </c>
      <c r="O486" s="19">
        <f t="shared" si="15"/>
        <v>420</v>
      </c>
      <c r="S486" s="20" t="str">
        <f>IFERROR(IF([1]对账明细接口!$N486=0,"",[1]对账明细接口!$N486),"")</f>
        <v/>
      </c>
      <c r="T486" s="21" t="str">
        <f>IFERROR(IF([1]对账明细接口!$O486=0,"",[1]对账明细接口!$O486),"")</f>
        <v/>
      </c>
      <c r="U486" s="21" t="str">
        <f>IFERROR(IF([1]对账明细接口!$P486=0,"",[1]对账明细接口!$P486),"")</f>
        <v/>
      </c>
      <c r="V486" s="21" t="str">
        <f>IFERROR(IF([1]对账明细接口!$Q486=0,"",[1]对账明细接口!$Q486),"")</f>
        <v/>
      </c>
      <c r="W486" s="20" t="str">
        <f>IFERROR(IF([1]对账明细接口!$R486=0,"",[1]对账明细接口!$R486),"")</f>
        <v/>
      </c>
      <c r="X486" s="20" t="str">
        <f>IFERROR(IF([1]对账明细接口!$S486=0,"",[1]对账明细接口!$S486),"")</f>
        <v/>
      </c>
      <c r="Y486" s="20" t="str">
        <f>IFERROR(IF([1]对账明细接口!$T486=0,"",[1]对账明细接口!$T486),"")</f>
        <v/>
      </c>
      <c r="Z486" s="24" t="str">
        <f>IFERROR(IF([1]对账明细接口!$U486=0,"",[1]对账明细接口!$U486),"")</f>
        <v/>
      </c>
      <c r="AA486" s="24" t="str">
        <f>IFERROR(IF([1]对账明细接口!$V486=0,"",[1]对账明细接口!$V486),"")</f>
        <v/>
      </c>
      <c r="AB486" s="20" t="str">
        <f>IFERROR(IF([1]对账明细接口!$W486=0,"",[1]对账明细接口!$W486),"")</f>
        <v/>
      </c>
      <c r="AC486" s="7" t="str">
        <f>IFERROR(IF([1]对账明细接口!$X486=0,"",[1]对账明细接口!$X486),"")</f>
        <v/>
      </c>
      <c r="AD486" s="7" t="str">
        <f>IFERROR(IF([1]对账明细接口!$Y486=0,"",[1]对账明细接口!$Y486),"")</f>
        <v/>
      </c>
      <c r="AE486" s="7" t="str">
        <f>IFERROR(IF([1]对账明细接口!$AA486=0,"",[1]对账明细接口!$AA486),"")</f>
        <v/>
      </c>
      <c r="AF486" s="7" t="str">
        <f>IFERROR(IF([1]对账明细接口!$AB486=0,"",[1]对账明细接口!$AB486),"")</f>
        <v/>
      </c>
      <c r="AG486" s="7" t="str">
        <f>IFERROR(IF([1]对账明细接口!$AC486=0,"",[1]对账明细接口!$AC486),"")</f>
        <v/>
      </c>
      <c r="AH486" s="7" t="str">
        <f>IFERROR(IF([1]对账明细接口!$AD486=0,"",[1]对账明细接口!$AD486),"")</f>
        <v/>
      </c>
      <c r="AI486" s="7" t="str">
        <f>IFERROR(IF([1]对账明细接口!$AE486=0,"",[1]对账明细接口!$AE486),"")</f>
        <v/>
      </c>
      <c r="AJ486" s="7" t="str">
        <f>IFERROR(IF([1]对账明细接口!$AF486=0,"",[1]对账明细接口!$AF486),"")</f>
        <v/>
      </c>
    </row>
    <row r="487" ht="14.25" customHeight="1" spans="1:36">
      <c r="A487" s="14">
        <v>487</v>
      </c>
      <c r="B487" s="15" t="str">
        <f>IFERROR(IF([1]对账明细接口!$B$487=0,"",[1]对账明细接口!$B$487),"")</f>
        <v/>
      </c>
      <c r="C487" s="16" t="str">
        <f>IFERROR(IF([1]对账明细接口!$C$487=0,"",[1]对账明细接口!$C$487),"")</f>
        <v/>
      </c>
      <c r="D487" s="16" t="str">
        <f>IFERROR(IF([1]对账明细接口!$D$487=0,"",[1]对账明细接口!$D$487),"")</f>
        <v/>
      </c>
      <c r="E487" s="16" t="str">
        <f>IFERROR(IF([1]对账明细接口!$E$487=0,"",[1]对账明细接口!$E$487),"")</f>
        <v/>
      </c>
      <c r="F487" s="16" t="str">
        <f>IFERROR(IF([1]对账明细接口!$F$487=0,"",[1]对账明细接口!$F$487),"")</f>
        <v/>
      </c>
      <c r="G487" s="16" t="str">
        <f>IFERROR(IF([1]对账明细接口!$G$487=0,"",[1]对账明细接口!$G$487),"")</f>
        <v/>
      </c>
      <c r="H487" s="17" t="str">
        <f>IFERROR(IF([1]对账明细接口!$H$487=0,"",[1]对账明细接口!$H$487),"")</f>
        <v/>
      </c>
      <c r="I487" s="16" t="str">
        <f>IFERROR(IF([1]对账明细接口!$I$487=0,"",[1]对账明细接口!$I$487),"")</f>
        <v/>
      </c>
      <c r="J487" s="18" t="str">
        <f>IFERROR(IF([1]对账明细接口!$J$487=0,"",[1]对账明细接口!$J$487),"")</f>
        <v/>
      </c>
      <c r="K487" s="18" t="str">
        <f>IFERROR(IF([1]对账明细接口!$K$487=0,"",[1]对账明细接口!$K$487),"")</f>
        <v/>
      </c>
      <c r="L487" s="16" t="str">
        <f>IFERROR(IF([1]对账明细接口!$L$487=0,"",[1]对账明细接口!$L$487),"")</f>
        <v/>
      </c>
      <c r="M487" s="16" t="str">
        <f>IFERROR(IF([1]对账明细接口!$M$487=0,"",[1]对账明细接口!$M$487),"")</f>
        <v/>
      </c>
      <c r="N487" s="19">
        <f t="shared" si="14"/>
        <v>0</v>
      </c>
      <c r="O487" s="19">
        <f t="shared" si="15"/>
        <v>420</v>
      </c>
      <c r="S487" s="20" t="str">
        <f>IFERROR(IF([1]对账明细接口!$N487=0,"",[1]对账明细接口!$N487),"")</f>
        <v/>
      </c>
      <c r="T487" s="21" t="str">
        <f>IFERROR(IF([1]对账明细接口!$O487=0,"",[1]对账明细接口!$O487),"")</f>
        <v/>
      </c>
      <c r="U487" s="21" t="str">
        <f>IFERROR(IF([1]对账明细接口!$P487=0,"",[1]对账明细接口!$P487),"")</f>
        <v/>
      </c>
      <c r="V487" s="21" t="str">
        <f>IFERROR(IF([1]对账明细接口!$Q487=0,"",[1]对账明细接口!$Q487),"")</f>
        <v/>
      </c>
      <c r="W487" s="20" t="str">
        <f>IFERROR(IF([1]对账明细接口!$R487=0,"",[1]对账明细接口!$R487),"")</f>
        <v/>
      </c>
      <c r="X487" s="20" t="str">
        <f>IFERROR(IF([1]对账明细接口!$S487=0,"",[1]对账明细接口!$S487),"")</f>
        <v/>
      </c>
      <c r="Y487" s="20" t="str">
        <f>IFERROR(IF([1]对账明细接口!$T487=0,"",[1]对账明细接口!$T487),"")</f>
        <v/>
      </c>
      <c r="Z487" s="24" t="str">
        <f>IFERROR(IF([1]对账明细接口!$U487=0,"",[1]对账明细接口!$U487),"")</f>
        <v/>
      </c>
      <c r="AA487" s="24" t="str">
        <f>IFERROR(IF([1]对账明细接口!$V487=0,"",[1]对账明细接口!$V487),"")</f>
        <v/>
      </c>
      <c r="AB487" s="20" t="str">
        <f>IFERROR(IF([1]对账明细接口!$W487=0,"",[1]对账明细接口!$W487),"")</f>
        <v/>
      </c>
      <c r="AC487" s="7" t="str">
        <f>IFERROR(IF([1]对账明细接口!$X487=0,"",[1]对账明细接口!$X487),"")</f>
        <v/>
      </c>
      <c r="AD487" s="7" t="str">
        <f>IFERROR(IF([1]对账明细接口!$Y487=0,"",[1]对账明细接口!$Y487),"")</f>
        <v/>
      </c>
      <c r="AE487" s="7" t="str">
        <f>IFERROR(IF([1]对账明细接口!$AA487=0,"",[1]对账明细接口!$AA487),"")</f>
        <v/>
      </c>
      <c r="AF487" s="7" t="str">
        <f>IFERROR(IF([1]对账明细接口!$AB487=0,"",[1]对账明细接口!$AB487),"")</f>
        <v/>
      </c>
      <c r="AG487" s="7" t="str">
        <f>IFERROR(IF([1]对账明细接口!$AC487=0,"",[1]对账明细接口!$AC487),"")</f>
        <v/>
      </c>
      <c r="AH487" s="7" t="str">
        <f>IFERROR(IF([1]对账明细接口!$AD487=0,"",[1]对账明细接口!$AD487),"")</f>
        <v/>
      </c>
      <c r="AI487" s="7" t="str">
        <f>IFERROR(IF([1]对账明细接口!$AE487=0,"",[1]对账明细接口!$AE487),"")</f>
        <v/>
      </c>
      <c r="AJ487" s="7" t="str">
        <f>IFERROR(IF([1]对账明细接口!$AF487=0,"",[1]对账明细接口!$AF487),"")</f>
        <v/>
      </c>
    </row>
    <row r="488" ht="14.25" customHeight="1" spans="1:36">
      <c r="A488" s="14">
        <v>488</v>
      </c>
      <c r="B488" s="15" t="str">
        <f>IFERROR(IF([1]对账明细接口!$B$488=0,"",[1]对账明细接口!$B$488),"")</f>
        <v/>
      </c>
      <c r="C488" s="16" t="str">
        <f>IFERROR(IF([1]对账明细接口!$C$488=0,"",[1]对账明细接口!$C$488),"")</f>
        <v/>
      </c>
      <c r="D488" s="16" t="str">
        <f>IFERROR(IF([1]对账明细接口!$D$488=0,"",[1]对账明细接口!$D$488),"")</f>
        <v/>
      </c>
      <c r="E488" s="16" t="str">
        <f>IFERROR(IF([1]对账明细接口!$E$488=0,"",[1]对账明细接口!$E$488),"")</f>
        <v/>
      </c>
      <c r="F488" s="16" t="str">
        <f>IFERROR(IF([1]对账明细接口!$F$488=0,"",[1]对账明细接口!$F$488),"")</f>
        <v/>
      </c>
      <c r="G488" s="16" t="str">
        <f>IFERROR(IF([1]对账明细接口!$G$488=0,"",[1]对账明细接口!$G$488),"")</f>
        <v/>
      </c>
      <c r="H488" s="17" t="str">
        <f>IFERROR(IF([1]对账明细接口!$H$488=0,"",[1]对账明细接口!$H$488),"")</f>
        <v/>
      </c>
      <c r="I488" s="16" t="str">
        <f>IFERROR(IF([1]对账明细接口!$I$488=0,"",[1]对账明细接口!$I$488),"")</f>
        <v/>
      </c>
      <c r="J488" s="18" t="str">
        <f>IFERROR(IF([1]对账明细接口!$J$488=0,"",[1]对账明细接口!$J$488),"")</f>
        <v/>
      </c>
      <c r="K488" s="18" t="str">
        <f>IFERROR(IF([1]对账明细接口!$K$488=0,"",[1]对账明细接口!$K$488),"")</f>
        <v/>
      </c>
      <c r="L488" s="16" t="str">
        <f>IFERROR(IF([1]对账明细接口!$L$488=0,"",[1]对账明细接口!$L$488),"")</f>
        <v/>
      </c>
      <c r="M488" s="16" t="str">
        <f>IFERROR(IF([1]对账明细接口!$M$488=0,"",[1]对账明细接口!$M$488),"")</f>
        <v/>
      </c>
      <c r="N488" s="19">
        <f t="shared" si="14"/>
        <v>0</v>
      </c>
      <c r="O488" s="19">
        <f t="shared" si="15"/>
        <v>420</v>
      </c>
      <c r="S488" s="20" t="str">
        <f>IFERROR(IF([1]对账明细接口!$N488=0,"",[1]对账明细接口!$N488),"")</f>
        <v/>
      </c>
      <c r="T488" s="21" t="str">
        <f>IFERROR(IF([1]对账明细接口!$O488=0,"",[1]对账明细接口!$O488),"")</f>
        <v/>
      </c>
      <c r="U488" s="21" t="str">
        <f>IFERROR(IF([1]对账明细接口!$P488=0,"",[1]对账明细接口!$P488),"")</f>
        <v/>
      </c>
      <c r="V488" s="21" t="str">
        <f>IFERROR(IF([1]对账明细接口!$Q488=0,"",[1]对账明细接口!$Q488),"")</f>
        <v/>
      </c>
      <c r="W488" s="20" t="str">
        <f>IFERROR(IF([1]对账明细接口!$R488=0,"",[1]对账明细接口!$R488),"")</f>
        <v/>
      </c>
      <c r="X488" s="20" t="str">
        <f>IFERROR(IF([1]对账明细接口!$S488=0,"",[1]对账明细接口!$S488),"")</f>
        <v/>
      </c>
      <c r="Y488" s="20" t="str">
        <f>IFERROR(IF([1]对账明细接口!$T488=0,"",[1]对账明细接口!$T488),"")</f>
        <v/>
      </c>
      <c r="Z488" s="24" t="str">
        <f>IFERROR(IF([1]对账明细接口!$U488=0,"",[1]对账明细接口!$U488),"")</f>
        <v/>
      </c>
      <c r="AA488" s="24" t="str">
        <f>IFERROR(IF([1]对账明细接口!$V488=0,"",[1]对账明细接口!$V488),"")</f>
        <v/>
      </c>
      <c r="AB488" s="20" t="str">
        <f>IFERROR(IF([1]对账明细接口!$W488=0,"",[1]对账明细接口!$W488),"")</f>
        <v/>
      </c>
      <c r="AC488" s="7" t="str">
        <f>IFERROR(IF([1]对账明细接口!$X488=0,"",[1]对账明细接口!$X488),"")</f>
        <v/>
      </c>
      <c r="AD488" s="7" t="str">
        <f>IFERROR(IF([1]对账明细接口!$Y488=0,"",[1]对账明细接口!$Y488),"")</f>
        <v/>
      </c>
      <c r="AE488" s="7" t="str">
        <f>IFERROR(IF([1]对账明细接口!$AA488=0,"",[1]对账明细接口!$AA488),"")</f>
        <v/>
      </c>
      <c r="AF488" s="7" t="str">
        <f>IFERROR(IF([1]对账明细接口!$AB488=0,"",[1]对账明细接口!$AB488),"")</f>
        <v/>
      </c>
      <c r="AG488" s="7" t="str">
        <f>IFERROR(IF([1]对账明细接口!$AC488=0,"",[1]对账明细接口!$AC488),"")</f>
        <v/>
      </c>
      <c r="AH488" s="7" t="str">
        <f>IFERROR(IF([1]对账明细接口!$AD488=0,"",[1]对账明细接口!$AD488),"")</f>
        <v/>
      </c>
      <c r="AI488" s="7" t="str">
        <f>IFERROR(IF([1]对账明细接口!$AE488=0,"",[1]对账明细接口!$AE488),"")</f>
        <v/>
      </c>
      <c r="AJ488" s="7" t="str">
        <f>IFERROR(IF([1]对账明细接口!$AF488=0,"",[1]对账明细接口!$AF488),"")</f>
        <v/>
      </c>
    </row>
    <row r="489" ht="14.25" customHeight="1" spans="1:36">
      <c r="A489" s="14">
        <v>489</v>
      </c>
      <c r="B489" s="15" t="str">
        <f>IFERROR(IF([1]对账明细接口!$B$489=0,"",[1]对账明细接口!$B$489),"")</f>
        <v/>
      </c>
      <c r="C489" s="16" t="str">
        <f>IFERROR(IF([1]对账明细接口!$C$489=0,"",[1]对账明细接口!$C$489),"")</f>
        <v/>
      </c>
      <c r="D489" s="16" t="str">
        <f>IFERROR(IF([1]对账明细接口!$D$489=0,"",[1]对账明细接口!$D$489),"")</f>
        <v/>
      </c>
      <c r="E489" s="16" t="str">
        <f>IFERROR(IF([1]对账明细接口!$E$489=0,"",[1]对账明细接口!$E$489),"")</f>
        <v/>
      </c>
      <c r="F489" s="16" t="str">
        <f>IFERROR(IF([1]对账明细接口!$F$489=0,"",[1]对账明细接口!$F$489),"")</f>
        <v/>
      </c>
      <c r="G489" s="16" t="str">
        <f>IFERROR(IF([1]对账明细接口!$G$489=0,"",[1]对账明细接口!$G$489),"")</f>
        <v/>
      </c>
      <c r="H489" s="17" t="str">
        <f>IFERROR(IF([1]对账明细接口!$H$489=0,"",[1]对账明细接口!$H$489),"")</f>
        <v/>
      </c>
      <c r="I489" s="16" t="str">
        <f>IFERROR(IF([1]对账明细接口!$I$489=0,"",[1]对账明细接口!$I$489),"")</f>
        <v/>
      </c>
      <c r="J489" s="18" t="str">
        <f>IFERROR(IF([1]对账明细接口!$J$489=0,"",[1]对账明细接口!$J$489),"")</f>
        <v/>
      </c>
      <c r="K489" s="18" t="str">
        <f>IFERROR(IF([1]对账明细接口!$K$489=0,"",[1]对账明细接口!$K$489),"")</f>
        <v/>
      </c>
      <c r="L489" s="16" t="str">
        <f>IFERROR(IF([1]对账明细接口!$L$489=0,"",[1]对账明细接口!$L$489),"")</f>
        <v/>
      </c>
      <c r="M489" s="16" t="str">
        <f>IFERROR(IF([1]对账明细接口!$M$489=0,"",[1]对账明细接口!$M$489),"")</f>
        <v/>
      </c>
      <c r="N489" s="19">
        <f t="shared" si="14"/>
        <v>0</v>
      </c>
      <c r="O489" s="19">
        <f t="shared" si="15"/>
        <v>420</v>
      </c>
      <c r="S489" s="20" t="str">
        <f>IFERROR(IF([1]对账明细接口!$N489=0,"",[1]对账明细接口!$N489),"")</f>
        <v/>
      </c>
      <c r="T489" s="21" t="str">
        <f>IFERROR(IF([1]对账明细接口!$O489=0,"",[1]对账明细接口!$O489),"")</f>
        <v/>
      </c>
      <c r="U489" s="21" t="str">
        <f>IFERROR(IF([1]对账明细接口!$P489=0,"",[1]对账明细接口!$P489),"")</f>
        <v/>
      </c>
      <c r="V489" s="21" t="str">
        <f>IFERROR(IF([1]对账明细接口!$Q489=0,"",[1]对账明细接口!$Q489),"")</f>
        <v/>
      </c>
      <c r="W489" s="20" t="str">
        <f>IFERROR(IF([1]对账明细接口!$R489=0,"",[1]对账明细接口!$R489),"")</f>
        <v/>
      </c>
      <c r="X489" s="20" t="str">
        <f>IFERROR(IF([1]对账明细接口!$S489=0,"",[1]对账明细接口!$S489),"")</f>
        <v/>
      </c>
      <c r="Y489" s="20" t="str">
        <f>IFERROR(IF([1]对账明细接口!$T489=0,"",[1]对账明细接口!$T489),"")</f>
        <v/>
      </c>
      <c r="Z489" s="24" t="str">
        <f>IFERROR(IF([1]对账明细接口!$U489=0,"",[1]对账明细接口!$U489),"")</f>
        <v/>
      </c>
      <c r="AA489" s="24" t="str">
        <f>IFERROR(IF([1]对账明细接口!$V489=0,"",[1]对账明细接口!$V489),"")</f>
        <v/>
      </c>
      <c r="AB489" s="20" t="str">
        <f>IFERROR(IF([1]对账明细接口!$W489=0,"",[1]对账明细接口!$W489),"")</f>
        <v/>
      </c>
      <c r="AC489" s="7" t="str">
        <f>IFERROR(IF([1]对账明细接口!$X489=0,"",[1]对账明细接口!$X489),"")</f>
        <v/>
      </c>
      <c r="AD489" s="7" t="str">
        <f>IFERROR(IF([1]对账明细接口!$Y489=0,"",[1]对账明细接口!$Y489),"")</f>
        <v/>
      </c>
      <c r="AE489" s="7" t="str">
        <f>IFERROR(IF([1]对账明细接口!$AA489=0,"",[1]对账明细接口!$AA489),"")</f>
        <v/>
      </c>
      <c r="AF489" s="7" t="str">
        <f>IFERROR(IF([1]对账明细接口!$AB489=0,"",[1]对账明细接口!$AB489),"")</f>
        <v/>
      </c>
      <c r="AG489" s="7" t="str">
        <f>IFERROR(IF([1]对账明细接口!$AC489=0,"",[1]对账明细接口!$AC489),"")</f>
        <v/>
      </c>
      <c r="AH489" s="7" t="str">
        <f>IFERROR(IF([1]对账明细接口!$AD489=0,"",[1]对账明细接口!$AD489),"")</f>
        <v/>
      </c>
      <c r="AI489" s="7" t="str">
        <f>IFERROR(IF([1]对账明细接口!$AE489=0,"",[1]对账明细接口!$AE489),"")</f>
        <v/>
      </c>
      <c r="AJ489" s="7" t="str">
        <f>IFERROR(IF([1]对账明细接口!$AF489=0,"",[1]对账明细接口!$AF489),"")</f>
        <v/>
      </c>
    </row>
    <row r="490" ht="14.25" customHeight="1" spans="1:36">
      <c r="A490" s="14">
        <v>490</v>
      </c>
      <c r="B490" s="15" t="str">
        <f>IFERROR(IF([1]对账明细接口!$B$490=0,"",[1]对账明细接口!$B$490),"")</f>
        <v/>
      </c>
      <c r="C490" s="16" t="str">
        <f>IFERROR(IF([1]对账明细接口!$C$490=0,"",[1]对账明细接口!$C$490),"")</f>
        <v/>
      </c>
      <c r="D490" s="16" t="str">
        <f>IFERROR(IF([1]对账明细接口!$D$490=0,"",[1]对账明细接口!$D$490),"")</f>
        <v/>
      </c>
      <c r="E490" s="16" t="str">
        <f>IFERROR(IF([1]对账明细接口!$E$490=0,"",[1]对账明细接口!$E$490),"")</f>
        <v/>
      </c>
      <c r="F490" s="16" t="str">
        <f>IFERROR(IF([1]对账明细接口!$F$490=0,"",[1]对账明细接口!$F$490),"")</f>
        <v/>
      </c>
      <c r="G490" s="16" t="str">
        <f>IFERROR(IF([1]对账明细接口!$G$490=0,"",[1]对账明细接口!$G$490),"")</f>
        <v/>
      </c>
      <c r="H490" s="17" t="str">
        <f>IFERROR(IF([1]对账明细接口!$H$490=0,"",[1]对账明细接口!$H$490),"")</f>
        <v/>
      </c>
      <c r="I490" s="16" t="str">
        <f>IFERROR(IF([1]对账明细接口!$I$490=0,"",[1]对账明细接口!$I$490),"")</f>
        <v/>
      </c>
      <c r="J490" s="18" t="str">
        <f>IFERROR(IF([1]对账明细接口!$J$490=0,"",[1]对账明细接口!$J$490),"")</f>
        <v/>
      </c>
      <c r="K490" s="18" t="str">
        <f>IFERROR(IF([1]对账明细接口!$K$490=0,"",[1]对账明细接口!$K$490),"")</f>
        <v/>
      </c>
      <c r="L490" s="16" t="str">
        <f>IFERROR(IF([1]对账明细接口!$L$490=0,"",[1]对账明细接口!$L$490),"")</f>
        <v/>
      </c>
      <c r="M490" s="16" t="str">
        <f>IFERROR(IF([1]对账明细接口!$M$490=0,"",[1]对账明细接口!$M$490),"")</f>
        <v/>
      </c>
      <c r="N490" s="19">
        <f t="shared" si="14"/>
        <v>0</v>
      </c>
      <c r="O490" s="19">
        <f t="shared" si="15"/>
        <v>420</v>
      </c>
      <c r="S490" s="20" t="str">
        <f>IFERROR(IF([1]对账明细接口!$N490=0,"",[1]对账明细接口!$N490),"")</f>
        <v/>
      </c>
      <c r="T490" s="21" t="str">
        <f>IFERROR(IF([1]对账明细接口!$O490=0,"",[1]对账明细接口!$O490),"")</f>
        <v/>
      </c>
      <c r="U490" s="21" t="str">
        <f>IFERROR(IF([1]对账明细接口!$P490=0,"",[1]对账明细接口!$P490),"")</f>
        <v/>
      </c>
      <c r="V490" s="21" t="str">
        <f>IFERROR(IF([1]对账明细接口!$Q490=0,"",[1]对账明细接口!$Q490),"")</f>
        <v/>
      </c>
      <c r="W490" s="20" t="str">
        <f>IFERROR(IF([1]对账明细接口!$R490=0,"",[1]对账明细接口!$R490),"")</f>
        <v/>
      </c>
      <c r="X490" s="20" t="str">
        <f>IFERROR(IF([1]对账明细接口!$S490=0,"",[1]对账明细接口!$S490),"")</f>
        <v/>
      </c>
      <c r="Y490" s="20" t="str">
        <f>IFERROR(IF([1]对账明细接口!$T490=0,"",[1]对账明细接口!$T490),"")</f>
        <v/>
      </c>
      <c r="Z490" s="24" t="str">
        <f>IFERROR(IF([1]对账明细接口!$U490=0,"",[1]对账明细接口!$U490),"")</f>
        <v/>
      </c>
      <c r="AA490" s="24" t="str">
        <f>IFERROR(IF([1]对账明细接口!$V490=0,"",[1]对账明细接口!$V490),"")</f>
        <v/>
      </c>
      <c r="AB490" s="20" t="str">
        <f>IFERROR(IF([1]对账明细接口!$W490=0,"",[1]对账明细接口!$W490),"")</f>
        <v/>
      </c>
      <c r="AC490" s="7" t="str">
        <f>IFERROR(IF([1]对账明细接口!$X490=0,"",[1]对账明细接口!$X490),"")</f>
        <v/>
      </c>
      <c r="AD490" s="7" t="str">
        <f>IFERROR(IF([1]对账明细接口!$Y490=0,"",[1]对账明细接口!$Y490),"")</f>
        <v/>
      </c>
      <c r="AE490" s="7" t="str">
        <f>IFERROR(IF([1]对账明细接口!$AA490=0,"",[1]对账明细接口!$AA490),"")</f>
        <v/>
      </c>
      <c r="AF490" s="7" t="str">
        <f>IFERROR(IF([1]对账明细接口!$AB490=0,"",[1]对账明细接口!$AB490),"")</f>
        <v/>
      </c>
      <c r="AG490" s="7" t="str">
        <f>IFERROR(IF([1]对账明细接口!$AC490=0,"",[1]对账明细接口!$AC490),"")</f>
        <v/>
      </c>
      <c r="AH490" s="7" t="str">
        <f>IFERROR(IF([1]对账明细接口!$AD490=0,"",[1]对账明细接口!$AD490),"")</f>
        <v/>
      </c>
      <c r="AI490" s="7" t="str">
        <f>IFERROR(IF([1]对账明细接口!$AE490=0,"",[1]对账明细接口!$AE490),"")</f>
        <v/>
      </c>
      <c r="AJ490" s="7" t="str">
        <f>IFERROR(IF([1]对账明细接口!$AF490=0,"",[1]对账明细接口!$AF490),"")</f>
        <v/>
      </c>
    </row>
    <row r="491" ht="14.25" customHeight="1" spans="1:36">
      <c r="A491" s="14">
        <v>491</v>
      </c>
      <c r="B491" s="15" t="str">
        <f>IFERROR(IF([1]对账明细接口!$B$491=0,"",[1]对账明细接口!$B$491),"")</f>
        <v/>
      </c>
      <c r="C491" s="16" t="str">
        <f>IFERROR(IF([1]对账明细接口!$C$491=0,"",[1]对账明细接口!$C$491),"")</f>
        <v/>
      </c>
      <c r="D491" s="16" t="str">
        <f>IFERROR(IF([1]对账明细接口!$D$491=0,"",[1]对账明细接口!$D$491),"")</f>
        <v/>
      </c>
      <c r="E491" s="16" t="str">
        <f>IFERROR(IF([1]对账明细接口!$E$491=0,"",[1]对账明细接口!$E$491),"")</f>
        <v/>
      </c>
      <c r="F491" s="16" t="str">
        <f>IFERROR(IF([1]对账明细接口!$F$491=0,"",[1]对账明细接口!$F$491),"")</f>
        <v/>
      </c>
      <c r="G491" s="16" t="str">
        <f>IFERROR(IF([1]对账明细接口!$G$491=0,"",[1]对账明细接口!$G$491),"")</f>
        <v/>
      </c>
      <c r="H491" s="17" t="str">
        <f>IFERROR(IF([1]对账明细接口!$H$491=0,"",[1]对账明细接口!$H$491),"")</f>
        <v/>
      </c>
      <c r="I491" s="16" t="str">
        <f>IFERROR(IF([1]对账明细接口!$I$491=0,"",[1]对账明细接口!$I$491),"")</f>
        <v/>
      </c>
      <c r="J491" s="18" t="str">
        <f>IFERROR(IF([1]对账明细接口!$J$491=0,"",[1]对账明细接口!$J$491),"")</f>
        <v/>
      </c>
      <c r="K491" s="18" t="str">
        <f>IFERROR(IF([1]对账明细接口!$K$491=0,"",[1]对账明细接口!$K$491),"")</f>
        <v/>
      </c>
      <c r="L491" s="16" t="str">
        <f>IFERROR(IF([1]对账明细接口!$L$491=0,"",[1]对账明细接口!$L$491),"")</f>
        <v/>
      </c>
      <c r="M491" s="16" t="str">
        <f>IFERROR(IF([1]对账明细接口!$M$491=0,"",[1]对账明细接口!$M$491),"")</f>
        <v/>
      </c>
      <c r="N491" s="19">
        <f t="shared" si="14"/>
        <v>0</v>
      </c>
      <c r="O491" s="19">
        <f t="shared" si="15"/>
        <v>420</v>
      </c>
      <c r="S491" s="20" t="str">
        <f>IFERROR(IF([1]对账明细接口!$N491=0,"",[1]对账明细接口!$N491),"")</f>
        <v/>
      </c>
      <c r="T491" s="21" t="str">
        <f>IFERROR(IF([1]对账明细接口!$O491=0,"",[1]对账明细接口!$O491),"")</f>
        <v/>
      </c>
      <c r="U491" s="21" t="str">
        <f>IFERROR(IF([1]对账明细接口!$P491=0,"",[1]对账明细接口!$P491),"")</f>
        <v/>
      </c>
      <c r="V491" s="21" t="str">
        <f>IFERROR(IF([1]对账明细接口!$Q491=0,"",[1]对账明细接口!$Q491),"")</f>
        <v/>
      </c>
      <c r="W491" s="20" t="str">
        <f>IFERROR(IF([1]对账明细接口!$R491=0,"",[1]对账明细接口!$R491),"")</f>
        <v/>
      </c>
      <c r="X491" s="20" t="str">
        <f>IFERROR(IF([1]对账明细接口!$S491=0,"",[1]对账明细接口!$S491),"")</f>
        <v/>
      </c>
      <c r="Y491" s="20" t="str">
        <f>IFERROR(IF([1]对账明细接口!$T491=0,"",[1]对账明细接口!$T491),"")</f>
        <v/>
      </c>
      <c r="Z491" s="24" t="str">
        <f>IFERROR(IF([1]对账明细接口!$U491=0,"",[1]对账明细接口!$U491),"")</f>
        <v/>
      </c>
      <c r="AA491" s="24" t="str">
        <f>IFERROR(IF([1]对账明细接口!$V491=0,"",[1]对账明细接口!$V491),"")</f>
        <v/>
      </c>
      <c r="AB491" s="20" t="str">
        <f>IFERROR(IF([1]对账明细接口!$W491=0,"",[1]对账明细接口!$W491),"")</f>
        <v/>
      </c>
      <c r="AC491" s="7" t="str">
        <f>IFERROR(IF([1]对账明细接口!$X491=0,"",[1]对账明细接口!$X491),"")</f>
        <v/>
      </c>
      <c r="AD491" s="7" t="str">
        <f>IFERROR(IF([1]对账明细接口!$Y491=0,"",[1]对账明细接口!$Y491),"")</f>
        <v/>
      </c>
      <c r="AE491" s="7" t="str">
        <f>IFERROR(IF([1]对账明细接口!$AA491=0,"",[1]对账明细接口!$AA491),"")</f>
        <v/>
      </c>
      <c r="AF491" s="7" t="str">
        <f>IFERROR(IF([1]对账明细接口!$AB491=0,"",[1]对账明细接口!$AB491),"")</f>
        <v/>
      </c>
      <c r="AG491" s="7" t="str">
        <f>IFERROR(IF([1]对账明细接口!$AC491=0,"",[1]对账明细接口!$AC491),"")</f>
        <v/>
      </c>
      <c r="AH491" s="7" t="str">
        <f>IFERROR(IF([1]对账明细接口!$AD491=0,"",[1]对账明细接口!$AD491),"")</f>
        <v/>
      </c>
      <c r="AI491" s="7" t="str">
        <f>IFERROR(IF([1]对账明细接口!$AE491=0,"",[1]对账明细接口!$AE491),"")</f>
        <v/>
      </c>
      <c r="AJ491" s="7" t="str">
        <f>IFERROR(IF([1]对账明细接口!$AF491=0,"",[1]对账明细接口!$AF491),"")</f>
        <v/>
      </c>
    </row>
    <row r="492" ht="14.25" customHeight="1" spans="1:36">
      <c r="A492" s="14">
        <v>492</v>
      </c>
      <c r="B492" s="15" t="str">
        <f>IFERROR(IF([1]对账明细接口!$B$492=0,"",[1]对账明细接口!$B$492),"")</f>
        <v/>
      </c>
      <c r="C492" s="16" t="str">
        <f>IFERROR(IF([1]对账明细接口!$C$492=0,"",[1]对账明细接口!$C$492),"")</f>
        <v/>
      </c>
      <c r="D492" s="16" t="str">
        <f>IFERROR(IF([1]对账明细接口!$D$492=0,"",[1]对账明细接口!$D$492),"")</f>
        <v/>
      </c>
      <c r="E492" s="16" t="str">
        <f>IFERROR(IF([1]对账明细接口!$E$492=0,"",[1]对账明细接口!$E$492),"")</f>
        <v/>
      </c>
      <c r="F492" s="16" t="str">
        <f>IFERROR(IF([1]对账明细接口!$F$492=0,"",[1]对账明细接口!$F$492),"")</f>
        <v/>
      </c>
      <c r="G492" s="16" t="str">
        <f>IFERROR(IF([1]对账明细接口!$G$492=0,"",[1]对账明细接口!$G$492),"")</f>
        <v/>
      </c>
      <c r="H492" s="17" t="str">
        <f>IFERROR(IF([1]对账明细接口!$H$492=0,"",[1]对账明细接口!$H$492),"")</f>
        <v/>
      </c>
      <c r="I492" s="16" t="str">
        <f>IFERROR(IF([1]对账明细接口!$I$492=0,"",[1]对账明细接口!$I$492),"")</f>
        <v/>
      </c>
      <c r="J492" s="18" t="str">
        <f>IFERROR(IF([1]对账明细接口!$J$492=0,"",[1]对账明细接口!$J$492),"")</f>
        <v/>
      </c>
      <c r="K492" s="18" t="str">
        <f>IFERROR(IF([1]对账明细接口!$K$492=0,"",[1]对账明细接口!$K$492),"")</f>
        <v/>
      </c>
      <c r="L492" s="16" t="str">
        <f>IFERROR(IF([1]对账明细接口!$L$492=0,"",[1]对账明细接口!$L$492),"")</f>
        <v/>
      </c>
      <c r="M492" s="16" t="str">
        <f>IFERROR(IF([1]对账明细接口!$M$492=0,"",[1]对账明细接口!$M$492),"")</f>
        <v/>
      </c>
      <c r="N492" s="19">
        <f t="shared" si="14"/>
        <v>0</v>
      </c>
      <c r="O492" s="19">
        <f t="shared" si="15"/>
        <v>420</v>
      </c>
      <c r="S492" s="20" t="str">
        <f>IFERROR(IF([1]对账明细接口!$N492=0,"",[1]对账明细接口!$N492),"")</f>
        <v/>
      </c>
      <c r="T492" s="21" t="str">
        <f>IFERROR(IF([1]对账明细接口!$O492=0,"",[1]对账明细接口!$O492),"")</f>
        <v/>
      </c>
      <c r="U492" s="21" t="str">
        <f>IFERROR(IF([1]对账明细接口!$P492=0,"",[1]对账明细接口!$P492),"")</f>
        <v/>
      </c>
      <c r="V492" s="21" t="str">
        <f>IFERROR(IF([1]对账明细接口!$Q492=0,"",[1]对账明细接口!$Q492),"")</f>
        <v/>
      </c>
      <c r="W492" s="20" t="str">
        <f>IFERROR(IF([1]对账明细接口!$R492=0,"",[1]对账明细接口!$R492),"")</f>
        <v/>
      </c>
      <c r="X492" s="20" t="str">
        <f>IFERROR(IF([1]对账明细接口!$S492=0,"",[1]对账明细接口!$S492),"")</f>
        <v/>
      </c>
      <c r="Y492" s="20" t="str">
        <f>IFERROR(IF([1]对账明细接口!$T492=0,"",[1]对账明细接口!$T492),"")</f>
        <v/>
      </c>
      <c r="Z492" s="24" t="str">
        <f>IFERROR(IF([1]对账明细接口!$U492=0,"",[1]对账明细接口!$U492),"")</f>
        <v/>
      </c>
      <c r="AA492" s="24" t="str">
        <f>IFERROR(IF([1]对账明细接口!$V492=0,"",[1]对账明细接口!$V492),"")</f>
        <v/>
      </c>
      <c r="AB492" s="20" t="str">
        <f>IFERROR(IF([1]对账明细接口!$W492=0,"",[1]对账明细接口!$W492),"")</f>
        <v/>
      </c>
      <c r="AC492" s="7" t="str">
        <f>IFERROR(IF([1]对账明细接口!$X492=0,"",[1]对账明细接口!$X492),"")</f>
        <v/>
      </c>
      <c r="AD492" s="7" t="str">
        <f>IFERROR(IF([1]对账明细接口!$Y492=0,"",[1]对账明细接口!$Y492),"")</f>
        <v/>
      </c>
      <c r="AE492" s="7" t="str">
        <f>IFERROR(IF([1]对账明细接口!$AA492=0,"",[1]对账明细接口!$AA492),"")</f>
        <v/>
      </c>
      <c r="AF492" s="7" t="str">
        <f>IFERROR(IF([1]对账明细接口!$AB492=0,"",[1]对账明细接口!$AB492),"")</f>
        <v/>
      </c>
      <c r="AG492" s="7" t="str">
        <f>IFERROR(IF([1]对账明细接口!$AC492=0,"",[1]对账明细接口!$AC492),"")</f>
        <v/>
      </c>
      <c r="AH492" s="7" t="str">
        <f>IFERROR(IF([1]对账明细接口!$AD492=0,"",[1]对账明细接口!$AD492),"")</f>
        <v/>
      </c>
      <c r="AI492" s="7" t="str">
        <f>IFERROR(IF([1]对账明细接口!$AE492=0,"",[1]对账明细接口!$AE492),"")</f>
        <v/>
      </c>
      <c r="AJ492" s="7" t="str">
        <f>IFERROR(IF([1]对账明细接口!$AF492=0,"",[1]对账明细接口!$AF492),"")</f>
        <v/>
      </c>
    </row>
    <row r="493" ht="14.25" customHeight="1" spans="1:36">
      <c r="A493" s="14">
        <v>493</v>
      </c>
      <c r="B493" s="15" t="str">
        <f>IFERROR(IF([1]对账明细接口!$B$493=0,"",[1]对账明细接口!$B$493),"")</f>
        <v/>
      </c>
      <c r="C493" s="16" t="str">
        <f>IFERROR(IF([1]对账明细接口!$C$493=0,"",[1]对账明细接口!$C$493),"")</f>
        <v/>
      </c>
      <c r="D493" s="16" t="str">
        <f>IFERROR(IF([1]对账明细接口!$D$493=0,"",[1]对账明细接口!$D$493),"")</f>
        <v/>
      </c>
      <c r="E493" s="16" t="str">
        <f>IFERROR(IF([1]对账明细接口!$E$493=0,"",[1]对账明细接口!$E$493),"")</f>
        <v/>
      </c>
      <c r="F493" s="16" t="str">
        <f>IFERROR(IF([1]对账明细接口!$F$493=0,"",[1]对账明细接口!$F$493),"")</f>
        <v/>
      </c>
      <c r="G493" s="16" t="str">
        <f>IFERROR(IF([1]对账明细接口!$G$493=0,"",[1]对账明细接口!$G$493),"")</f>
        <v/>
      </c>
      <c r="H493" s="17" t="str">
        <f>IFERROR(IF([1]对账明细接口!$H$493=0,"",[1]对账明细接口!$H$493),"")</f>
        <v/>
      </c>
      <c r="I493" s="16" t="str">
        <f>IFERROR(IF([1]对账明细接口!$I$493=0,"",[1]对账明细接口!$I$493),"")</f>
        <v/>
      </c>
      <c r="J493" s="18" t="str">
        <f>IFERROR(IF([1]对账明细接口!$J$493=0,"",[1]对账明细接口!$J$493),"")</f>
        <v/>
      </c>
      <c r="K493" s="18" t="str">
        <f>IFERROR(IF([1]对账明细接口!$K$493=0,"",[1]对账明细接口!$K$493),"")</f>
        <v/>
      </c>
      <c r="L493" s="16" t="str">
        <f>IFERROR(IF([1]对账明细接口!$L$493=0,"",[1]对账明细接口!$L$493),"")</f>
        <v/>
      </c>
      <c r="M493" s="16" t="str">
        <f>IFERROR(IF([1]对账明细接口!$M$493=0,"",[1]对账明细接口!$M$493),"")</f>
        <v/>
      </c>
      <c r="N493" s="19">
        <f t="shared" si="14"/>
        <v>0</v>
      </c>
      <c r="O493" s="19">
        <f t="shared" si="15"/>
        <v>420</v>
      </c>
      <c r="S493" s="20" t="str">
        <f>IFERROR(IF([1]对账明细接口!$N493=0,"",[1]对账明细接口!$N493),"")</f>
        <v/>
      </c>
      <c r="T493" s="21" t="str">
        <f>IFERROR(IF([1]对账明细接口!$O493=0,"",[1]对账明细接口!$O493),"")</f>
        <v/>
      </c>
      <c r="U493" s="21" t="str">
        <f>IFERROR(IF([1]对账明细接口!$P493=0,"",[1]对账明细接口!$P493),"")</f>
        <v/>
      </c>
      <c r="V493" s="21" t="str">
        <f>IFERROR(IF([1]对账明细接口!$Q493=0,"",[1]对账明细接口!$Q493),"")</f>
        <v/>
      </c>
      <c r="W493" s="20" t="str">
        <f>IFERROR(IF([1]对账明细接口!$R493=0,"",[1]对账明细接口!$R493),"")</f>
        <v/>
      </c>
      <c r="X493" s="20" t="str">
        <f>IFERROR(IF([1]对账明细接口!$S493=0,"",[1]对账明细接口!$S493),"")</f>
        <v/>
      </c>
      <c r="Y493" s="20" t="str">
        <f>IFERROR(IF([1]对账明细接口!$T493=0,"",[1]对账明细接口!$T493),"")</f>
        <v/>
      </c>
      <c r="Z493" s="24" t="str">
        <f>IFERROR(IF([1]对账明细接口!$U493=0,"",[1]对账明细接口!$U493),"")</f>
        <v/>
      </c>
      <c r="AA493" s="24" t="str">
        <f>IFERROR(IF([1]对账明细接口!$V493=0,"",[1]对账明细接口!$V493),"")</f>
        <v/>
      </c>
      <c r="AB493" s="20" t="str">
        <f>IFERROR(IF([1]对账明细接口!$W493=0,"",[1]对账明细接口!$W493),"")</f>
        <v/>
      </c>
      <c r="AC493" s="7" t="str">
        <f>IFERROR(IF([1]对账明细接口!$X493=0,"",[1]对账明细接口!$X493),"")</f>
        <v/>
      </c>
      <c r="AD493" s="7" t="str">
        <f>IFERROR(IF([1]对账明细接口!$Y493=0,"",[1]对账明细接口!$Y493),"")</f>
        <v/>
      </c>
      <c r="AE493" s="7" t="str">
        <f>IFERROR(IF([1]对账明细接口!$AA493=0,"",[1]对账明细接口!$AA493),"")</f>
        <v/>
      </c>
      <c r="AF493" s="7" t="str">
        <f>IFERROR(IF([1]对账明细接口!$AB493=0,"",[1]对账明细接口!$AB493),"")</f>
        <v/>
      </c>
      <c r="AG493" s="7" t="str">
        <f>IFERROR(IF([1]对账明细接口!$AC493=0,"",[1]对账明细接口!$AC493),"")</f>
        <v/>
      </c>
      <c r="AH493" s="7" t="str">
        <f>IFERROR(IF([1]对账明细接口!$AD493=0,"",[1]对账明细接口!$AD493),"")</f>
        <v/>
      </c>
      <c r="AI493" s="7" t="str">
        <f>IFERROR(IF([1]对账明细接口!$AE493=0,"",[1]对账明细接口!$AE493),"")</f>
        <v/>
      </c>
      <c r="AJ493" s="7" t="str">
        <f>IFERROR(IF([1]对账明细接口!$AF493=0,"",[1]对账明细接口!$AF493),"")</f>
        <v/>
      </c>
    </row>
    <row r="494" ht="14.25" customHeight="1" spans="1:36">
      <c r="A494" s="14">
        <v>494</v>
      </c>
      <c r="B494" s="15" t="str">
        <f>IFERROR(IF([1]对账明细接口!$B$494=0,"",[1]对账明细接口!$B$494),"")</f>
        <v/>
      </c>
      <c r="C494" s="16" t="str">
        <f>IFERROR(IF([1]对账明细接口!$C$494=0,"",[1]对账明细接口!$C$494),"")</f>
        <v/>
      </c>
      <c r="D494" s="16" t="str">
        <f>IFERROR(IF([1]对账明细接口!$D$494=0,"",[1]对账明细接口!$D$494),"")</f>
        <v/>
      </c>
      <c r="E494" s="16" t="str">
        <f>IFERROR(IF([1]对账明细接口!$E$494=0,"",[1]对账明细接口!$E$494),"")</f>
        <v/>
      </c>
      <c r="F494" s="16" t="str">
        <f>IFERROR(IF([1]对账明细接口!$F$494=0,"",[1]对账明细接口!$F$494),"")</f>
        <v/>
      </c>
      <c r="G494" s="16" t="str">
        <f>IFERROR(IF([1]对账明细接口!$G$494=0,"",[1]对账明细接口!$G$494),"")</f>
        <v/>
      </c>
      <c r="H494" s="17" t="str">
        <f>IFERROR(IF([1]对账明细接口!$H$494=0,"",[1]对账明细接口!$H$494),"")</f>
        <v/>
      </c>
      <c r="I494" s="16" t="str">
        <f>IFERROR(IF([1]对账明细接口!$I$494=0,"",[1]对账明细接口!$I$494),"")</f>
        <v/>
      </c>
      <c r="J494" s="18" t="str">
        <f>IFERROR(IF([1]对账明细接口!$J$494=0,"",[1]对账明细接口!$J$494),"")</f>
        <v/>
      </c>
      <c r="K494" s="18" t="str">
        <f>IFERROR(IF([1]对账明细接口!$K$494=0,"",[1]对账明细接口!$K$494),"")</f>
        <v/>
      </c>
      <c r="L494" s="16" t="str">
        <f>IFERROR(IF([1]对账明细接口!$L$494=0,"",[1]对账明细接口!$L$494),"")</f>
        <v/>
      </c>
      <c r="M494" s="16" t="str">
        <f>IFERROR(IF([1]对账明细接口!$M$494=0,"",[1]对账明细接口!$M$494),"")</f>
        <v/>
      </c>
      <c r="N494" s="19">
        <f t="shared" si="14"/>
        <v>0</v>
      </c>
      <c r="O494" s="19">
        <f t="shared" si="15"/>
        <v>420</v>
      </c>
      <c r="S494" s="20" t="str">
        <f>IFERROR(IF([1]对账明细接口!$N494=0,"",[1]对账明细接口!$N494),"")</f>
        <v/>
      </c>
      <c r="T494" s="21" t="str">
        <f>IFERROR(IF([1]对账明细接口!$O494=0,"",[1]对账明细接口!$O494),"")</f>
        <v/>
      </c>
      <c r="U494" s="21" t="str">
        <f>IFERROR(IF([1]对账明细接口!$P494=0,"",[1]对账明细接口!$P494),"")</f>
        <v/>
      </c>
      <c r="V494" s="21" t="str">
        <f>IFERROR(IF([1]对账明细接口!$Q494=0,"",[1]对账明细接口!$Q494),"")</f>
        <v/>
      </c>
      <c r="W494" s="20" t="str">
        <f>IFERROR(IF([1]对账明细接口!$R494=0,"",[1]对账明细接口!$R494),"")</f>
        <v/>
      </c>
      <c r="X494" s="20" t="str">
        <f>IFERROR(IF([1]对账明细接口!$S494=0,"",[1]对账明细接口!$S494),"")</f>
        <v/>
      </c>
      <c r="Y494" s="20" t="str">
        <f>IFERROR(IF([1]对账明细接口!$T494=0,"",[1]对账明细接口!$T494),"")</f>
        <v/>
      </c>
      <c r="Z494" s="24" t="str">
        <f>IFERROR(IF([1]对账明细接口!$U494=0,"",[1]对账明细接口!$U494),"")</f>
        <v/>
      </c>
      <c r="AA494" s="24" t="str">
        <f>IFERROR(IF([1]对账明细接口!$V494=0,"",[1]对账明细接口!$V494),"")</f>
        <v/>
      </c>
      <c r="AB494" s="20" t="str">
        <f>IFERROR(IF([1]对账明细接口!$W494=0,"",[1]对账明细接口!$W494),"")</f>
        <v/>
      </c>
      <c r="AC494" s="7" t="str">
        <f>IFERROR(IF([1]对账明细接口!$X494=0,"",[1]对账明细接口!$X494),"")</f>
        <v/>
      </c>
      <c r="AD494" s="7" t="str">
        <f>IFERROR(IF([1]对账明细接口!$Y494=0,"",[1]对账明细接口!$Y494),"")</f>
        <v/>
      </c>
      <c r="AE494" s="7" t="str">
        <f>IFERROR(IF([1]对账明细接口!$AA494=0,"",[1]对账明细接口!$AA494),"")</f>
        <v/>
      </c>
      <c r="AF494" s="7" t="str">
        <f>IFERROR(IF([1]对账明细接口!$AB494=0,"",[1]对账明细接口!$AB494),"")</f>
        <v/>
      </c>
      <c r="AG494" s="7" t="str">
        <f>IFERROR(IF([1]对账明细接口!$AC494=0,"",[1]对账明细接口!$AC494),"")</f>
        <v/>
      </c>
      <c r="AH494" s="7" t="str">
        <f>IFERROR(IF([1]对账明细接口!$AD494=0,"",[1]对账明细接口!$AD494),"")</f>
        <v/>
      </c>
      <c r="AI494" s="7" t="str">
        <f>IFERROR(IF([1]对账明细接口!$AE494=0,"",[1]对账明细接口!$AE494),"")</f>
        <v/>
      </c>
      <c r="AJ494" s="7" t="str">
        <f>IFERROR(IF([1]对账明细接口!$AF494=0,"",[1]对账明细接口!$AF494),"")</f>
        <v/>
      </c>
    </row>
    <row r="495" ht="14.25" customHeight="1" spans="1:36">
      <c r="A495" s="14">
        <v>495</v>
      </c>
      <c r="B495" s="15" t="str">
        <f>IFERROR(IF([1]对账明细接口!$B$495=0,"",[1]对账明细接口!$B$495),"")</f>
        <v/>
      </c>
      <c r="C495" s="16" t="str">
        <f>IFERROR(IF([1]对账明细接口!$C$495=0,"",[1]对账明细接口!$C$495),"")</f>
        <v/>
      </c>
      <c r="D495" s="16" t="str">
        <f>IFERROR(IF([1]对账明细接口!$D$495=0,"",[1]对账明细接口!$D$495),"")</f>
        <v/>
      </c>
      <c r="E495" s="16" t="str">
        <f>IFERROR(IF([1]对账明细接口!$E$495=0,"",[1]对账明细接口!$E$495),"")</f>
        <v/>
      </c>
      <c r="F495" s="16" t="str">
        <f>IFERROR(IF([1]对账明细接口!$F$495=0,"",[1]对账明细接口!$F$495),"")</f>
        <v/>
      </c>
      <c r="G495" s="16" t="str">
        <f>IFERROR(IF([1]对账明细接口!$G$495=0,"",[1]对账明细接口!$G$495),"")</f>
        <v/>
      </c>
      <c r="H495" s="17" t="str">
        <f>IFERROR(IF([1]对账明细接口!$H$495=0,"",[1]对账明细接口!$H$495),"")</f>
        <v/>
      </c>
      <c r="I495" s="16" t="str">
        <f>IFERROR(IF([1]对账明细接口!$I$495=0,"",[1]对账明细接口!$I$495),"")</f>
        <v/>
      </c>
      <c r="J495" s="18" t="str">
        <f>IFERROR(IF([1]对账明细接口!$J$495=0,"",[1]对账明细接口!$J$495),"")</f>
        <v/>
      </c>
      <c r="K495" s="18" t="str">
        <f>IFERROR(IF([1]对账明细接口!$K$495=0,"",[1]对账明细接口!$K$495),"")</f>
        <v/>
      </c>
      <c r="L495" s="16" t="str">
        <f>IFERROR(IF([1]对账明细接口!$L$495=0,"",[1]对账明细接口!$L$495),"")</f>
        <v/>
      </c>
      <c r="M495" s="16" t="str">
        <f>IFERROR(IF([1]对账明细接口!$M$495=0,"",[1]对账明细接口!$M$495),"")</f>
        <v/>
      </c>
      <c r="N495" s="19">
        <f t="shared" si="14"/>
        <v>0</v>
      </c>
      <c r="O495" s="19">
        <f t="shared" si="15"/>
        <v>420</v>
      </c>
      <c r="S495" s="20" t="str">
        <f>IFERROR(IF([1]对账明细接口!$N495=0,"",[1]对账明细接口!$N495),"")</f>
        <v/>
      </c>
      <c r="T495" s="21" t="str">
        <f>IFERROR(IF([1]对账明细接口!$O495=0,"",[1]对账明细接口!$O495),"")</f>
        <v/>
      </c>
      <c r="U495" s="21" t="str">
        <f>IFERROR(IF([1]对账明细接口!$P495=0,"",[1]对账明细接口!$P495),"")</f>
        <v/>
      </c>
      <c r="V495" s="21" t="str">
        <f>IFERROR(IF([1]对账明细接口!$Q495=0,"",[1]对账明细接口!$Q495),"")</f>
        <v/>
      </c>
      <c r="W495" s="20" t="str">
        <f>IFERROR(IF([1]对账明细接口!$R495=0,"",[1]对账明细接口!$R495),"")</f>
        <v/>
      </c>
      <c r="X495" s="20" t="str">
        <f>IFERROR(IF([1]对账明细接口!$S495=0,"",[1]对账明细接口!$S495),"")</f>
        <v/>
      </c>
      <c r="Y495" s="20" t="str">
        <f>IFERROR(IF([1]对账明细接口!$T495=0,"",[1]对账明细接口!$T495),"")</f>
        <v/>
      </c>
      <c r="Z495" s="24" t="str">
        <f>IFERROR(IF([1]对账明细接口!$U495=0,"",[1]对账明细接口!$U495),"")</f>
        <v/>
      </c>
      <c r="AA495" s="24" t="str">
        <f>IFERROR(IF([1]对账明细接口!$V495=0,"",[1]对账明细接口!$V495),"")</f>
        <v/>
      </c>
      <c r="AB495" s="20" t="str">
        <f>IFERROR(IF([1]对账明细接口!$W495=0,"",[1]对账明细接口!$W495),"")</f>
        <v/>
      </c>
      <c r="AC495" s="7" t="str">
        <f>IFERROR(IF([1]对账明细接口!$X495=0,"",[1]对账明细接口!$X495),"")</f>
        <v/>
      </c>
      <c r="AD495" s="7" t="str">
        <f>IFERROR(IF([1]对账明细接口!$Y495=0,"",[1]对账明细接口!$Y495),"")</f>
        <v/>
      </c>
      <c r="AE495" s="7" t="str">
        <f>IFERROR(IF([1]对账明细接口!$AA495=0,"",[1]对账明细接口!$AA495),"")</f>
        <v/>
      </c>
      <c r="AF495" s="7" t="str">
        <f>IFERROR(IF([1]对账明细接口!$AB495=0,"",[1]对账明细接口!$AB495),"")</f>
        <v/>
      </c>
      <c r="AG495" s="7" t="str">
        <f>IFERROR(IF([1]对账明细接口!$AC495=0,"",[1]对账明细接口!$AC495),"")</f>
        <v/>
      </c>
      <c r="AH495" s="7" t="str">
        <f>IFERROR(IF([1]对账明细接口!$AD495=0,"",[1]对账明细接口!$AD495),"")</f>
        <v/>
      </c>
      <c r="AI495" s="7" t="str">
        <f>IFERROR(IF([1]对账明细接口!$AE495=0,"",[1]对账明细接口!$AE495),"")</f>
        <v/>
      </c>
      <c r="AJ495" s="7" t="str">
        <f>IFERROR(IF([1]对账明细接口!$AF495=0,"",[1]对账明细接口!$AF495),"")</f>
        <v/>
      </c>
    </row>
    <row r="496" ht="14.25" customHeight="1" spans="1:36">
      <c r="A496" s="14">
        <v>496</v>
      </c>
      <c r="B496" s="15" t="str">
        <f>IFERROR(IF([1]对账明细接口!$B$496=0,"",[1]对账明细接口!$B$496),"")</f>
        <v/>
      </c>
      <c r="C496" s="16" t="str">
        <f>IFERROR(IF([1]对账明细接口!$C$496=0,"",[1]对账明细接口!$C$496),"")</f>
        <v/>
      </c>
      <c r="D496" s="16" t="str">
        <f>IFERROR(IF([1]对账明细接口!$D$496=0,"",[1]对账明细接口!$D$496),"")</f>
        <v/>
      </c>
      <c r="E496" s="16" t="str">
        <f>IFERROR(IF([1]对账明细接口!$E$496=0,"",[1]对账明细接口!$E$496),"")</f>
        <v/>
      </c>
      <c r="F496" s="16" t="str">
        <f>IFERROR(IF([1]对账明细接口!$F$496=0,"",[1]对账明细接口!$F$496),"")</f>
        <v/>
      </c>
      <c r="G496" s="16" t="str">
        <f>IFERROR(IF([1]对账明细接口!$G$496=0,"",[1]对账明细接口!$G$496),"")</f>
        <v/>
      </c>
      <c r="H496" s="17" t="str">
        <f>IFERROR(IF([1]对账明细接口!$H$496=0,"",[1]对账明细接口!$H$496),"")</f>
        <v/>
      </c>
      <c r="I496" s="16" t="str">
        <f>IFERROR(IF([1]对账明细接口!$I$496=0,"",[1]对账明细接口!$I$496),"")</f>
        <v/>
      </c>
      <c r="J496" s="18" t="str">
        <f>IFERROR(IF([1]对账明细接口!$J$496=0,"",[1]对账明细接口!$J$496),"")</f>
        <v/>
      </c>
      <c r="K496" s="18" t="str">
        <f>IFERROR(IF([1]对账明细接口!$K$496=0,"",[1]对账明细接口!$K$496),"")</f>
        <v/>
      </c>
      <c r="L496" s="16" t="str">
        <f>IFERROR(IF([1]对账明细接口!$L$496=0,"",[1]对账明细接口!$L$496),"")</f>
        <v/>
      </c>
      <c r="M496" s="16" t="str">
        <f>IFERROR(IF([1]对账明细接口!$M$496=0,"",[1]对账明细接口!$M$496),"")</f>
        <v/>
      </c>
      <c r="N496" s="19">
        <f t="shared" si="14"/>
        <v>0</v>
      </c>
      <c r="O496" s="19">
        <f t="shared" si="15"/>
        <v>420</v>
      </c>
      <c r="S496" s="20" t="str">
        <f>IFERROR(IF([1]对账明细接口!$N496=0,"",[1]对账明细接口!$N496),"")</f>
        <v/>
      </c>
      <c r="T496" s="21" t="str">
        <f>IFERROR(IF([1]对账明细接口!$O496=0,"",[1]对账明细接口!$O496),"")</f>
        <v/>
      </c>
      <c r="U496" s="21" t="str">
        <f>IFERROR(IF([1]对账明细接口!$P496=0,"",[1]对账明细接口!$P496),"")</f>
        <v/>
      </c>
      <c r="V496" s="21" t="str">
        <f>IFERROR(IF([1]对账明细接口!$Q496=0,"",[1]对账明细接口!$Q496),"")</f>
        <v/>
      </c>
      <c r="W496" s="20" t="str">
        <f>IFERROR(IF([1]对账明细接口!$R496=0,"",[1]对账明细接口!$R496),"")</f>
        <v/>
      </c>
      <c r="X496" s="20" t="str">
        <f>IFERROR(IF([1]对账明细接口!$S496=0,"",[1]对账明细接口!$S496),"")</f>
        <v/>
      </c>
      <c r="Y496" s="20" t="str">
        <f>IFERROR(IF([1]对账明细接口!$T496=0,"",[1]对账明细接口!$T496),"")</f>
        <v/>
      </c>
      <c r="Z496" s="24" t="str">
        <f>IFERROR(IF([1]对账明细接口!$U496=0,"",[1]对账明细接口!$U496),"")</f>
        <v/>
      </c>
      <c r="AA496" s="24" t="str">
        <f>IFERROR(IF([1]对账明细接口!$V496=0,"",[1]对账明细接口!$V496),"")</f>
        <v/>
      </c>
      <c r="AB496" s="20" t="str">
        <f>IFERROR(IF([1]对账明细接口!$W496=0,"",[1]对账明细接口!$W496),"")</f>
        <v/>
      </c>
      <c r="AC496" s="7" t="str">
        <f>IFERROR(IF([1]对账明细接口!$X496=0,"",[1]对账明细接口!$X496),"")</f>
        <v/>
      </c>
      <c r="AD496" s="7" t="str">
        <f>IFERROR(IF([1]对账明细接口!$Y496=0,"",[1]对账明细接口!$Y496),"")</f>
        <v/>
      </c>
      <c r="AE496" s="7" t="str">
        <f>IFERROR(IF([1]对账明细接口!$AA496=0,"",[1]对账明细接口!$AA496),"")</f>
        <v/>
      </c>
      <c r="AF496" s="7" t="str">
        <f>IFERROR(IF([1]对账明细接口!$AB496=0,"",[1]对账明细接口!$AB496),"")</f>
        <v/>
      </c>
      <c r="AG496" s="7" t="str">
        <f>IFERROR(IF([1]对账明细接口!$AC496=0,"",[1]对账明细接口!$AC496),"")</f>
        <v/>
      </c>
      <c r="AH496" s="7" t="str">
        <f>IFERROR(IF([1]对账明细接口!$AD496=0,"",[1]对账明细接口!$AD496),"")</f>
        <v/>
      </c>
      <c r="AI496" s="7" t="str">
        <f>IFERROR(IF([1]对账明细接口!$AE496=0,"",[1]对账明细接口!$AE496),"")</f>
        <v/>
      </c>
      <c r="AJ496" s="7" t="str">
        <f>IFERROR(IF([1]对账明细接口!$AF496=0,"",[1]对账明细接口!$AF496),"")</f>
        <v/>
      </c>
    </row>
    <row r="497" ht="14.25" customHeight="1" spans="1:36">
      <c r="A497" s="14">
        <v>497</v>
      </c>
      <c r="B497" s="15" t="str">
        <f>IFERROR(IF([1]对账明细接口!$B$497=0,"",[1]对账明细接口!$B$497),"")</f>
        <v/>
      </c>
      <c r="C497" s="16" t="str">
        <f>IFERROR(IF([1]对账明细接口!$C$497=0,"",[1]对账明细接口!$C$497),"")</f>
        <v/>
      </c>
      <c r="D497" s="16" t="str">
        <f>IFERROR(IF([1]对账明细接口!$D$497=0,"",[1]对账明细接口!$D$497),"")</f>
        <v/>
      </c>
      <c r="E497" s="16" t="str">
        <f>IFERROR(IF([1]对账明细接口!$E$497=0,"",[1]对账明细接口!$E$497),"")</f>
        <v/>
      </c>
      <c r="F497" s="16" t="str">
        <f>IFERROR(IF([1]对账明细接口!$F$497=0,"",[1]对账明细接口!$F$497),"")</f>
        <v/>
      </c>
      <c r="G497" s="16" t="str">
        <f>IFERROR(IF([1]对账明细接口!$G$497=0,"",[1]对账明细接口!$G$497),"")</f>
        <v/>
      </c>
      <c r="H497" s="17" t="str">
        <f>IFERROR(IF([1]对账明细接口!$H$497=0,"",[1]对账明细接口!$H$497),"")</f>
        <v/>
      </c>
      <c r="I497" s="16" t="str">
        <f>IFERROR(IF([1]对账明细接口!$I$497=0,"",[1]对账明细接口!$I$497),"")</f>
        <v/>
      </c>
      <c r="J497" s="18" t="str">
        <f>IFERROR(IF([1]对账明细接口!$J$497=0,"",[1]对账明细接口!$J$497),"")</f>
        <v/>
      </c>
      <c r="K497" s="18" t="str">
        <f>IFERROR(IF([1]对账明细接口!$K$497=0,"",[1]对账明细接口!$K$497),"")</f>
        <v/>
      </c>
      <c r="L497" s="16" t="str">
        <f>IFERROR(IF([1]对账明细接口!$L$497=0,"",[1]对账明细接口!$L$497),"")</f>
        <v/>
      </c>
      <c r="M497" s="16" t="str">
        <f>IFERROR(IF([1]对账明细接口!$M$497=0,"",[1]对账明细接口!$M$497),"")</f>
        <v/>
      </c>
      <c r="N497" s="19">
        <f t="shared" si="14"/>
        <v>0</v>
      </c>
      <c r="O497" s="19">
        <f t="shared" si="15"/>
        <v>420</v>
      </c>
      <c r="S497" s="20" t="str">
        <f>IFERROR(IF([1]对账明细接口!$N497=0,"",[1]对账明细接口!$N497),"")</f>
        <v/>
      </c>
      <c r="T497" s="21" t="str">
        <f>IFERROR(IF([1]对账明细接口!$O497=0,"",[1]对账明细接口!$O497),"")</f>
        <v/>
      </c>
      <c r="U497" s="21" t="str">
        <f>IFERROR(IF([1]对账明细接口!$P497=0,"",[1]对账明细接口!$P497),"")</f>
        <v/>
      </c>
      <c r="V497" s="21" t="str">
        <f>IFERROR(IF([1]对账明细接口!$Q497=0,"",[1]对账明细接口!$Q497),"")</f>
        <v/>
      </c>
      <c r="W497" s="20" t="str">
        <f>IFERROR(IF([1]对账明细接口!$R497=0,"",[1]对账明细接口!$R497),"")</f>
        <v/>
      </c>
      <c r="X497" s="20" t="str">
        <f>IFERROR(IF([1]对账明细接口!$S497=0,"",[1]对账明细接口!$S497),"")</f>
        <v/>
      </c>
      <c r="Y497" s="20" t="str">
        <f>IFERROR(IF([1]对账明细接口!$T497=0,"",[1]对账明细接口!$T497),"")</f>
        <v/>
      </c>
      <c r="Z497" s="24" t="str">
        <f>IFERROR(IF([1]对账明细接口!$U497=0,"",[1]对账明细接口!$U497),"")</f>
        <v/>
      </c>
      <c r="AA497" s="24" t="str">
        <f>IFERROR(IF([1]对账明细接口!$V497=0,"",[1]对账明细接口!$V497),"")</f>
        <v/>
      </c>
      <c r="AB497" s="20" t="str">
        <f>IFERROR(IF([1]对账明细接口!$W497=0,"",[1]对账明细接口!$W497),"")</f>
        <v/>
      </c>
      <c r="AC497" s="7" t="str">
        <f>IFERROR(IF([1]对账明细接口!$X497=0,"",[1]对账明细接口!$X497),"")</f>
        <v/>
      </c>
      <c r="AD497" s="7" t="str">
        <f>IFERROR(IF([1]对账明细接口!$Y497=0,"",[1]对账明细接口!$Y497),"")</f>
        <v/>
      </c>
      <c r="AE497" s="7" t="str">
        <f>IFERROR(IF([1]对账明细接口!$AA497=0,"",[1]对账明细接口!$AA497),"")</f>
        <v/>
      </c>
      <c r="AF497" s="7" t="str">
        <f>IFERROR(IF([1]对账明细接口!$AB497=0,"",[1]对账明细接口!$AB497),"")</f>
        <v/>
      </c>
      <c r="AG497" s="7" t="str">
        <f>IFERROR(IF([1]对账明细接口!$AC497=0,"",[1]对账明细接口!$AC497),"")</f>
        <v/>
      </c>
      <c r="AH497" s="7" t="str">
        <f>IFERROR(IF([1]对账明细接口!$AD497=0,"",[1]对账明细接口!$AD497),"")</f>
        <v/>
      </c>
      <c r="AI497" s="7" t="str">
        <f>IFERROR(IF([1]对账明细接口!$AE497=0,"",[1]对账明细接口!$AE497),"")</f>
        <v/>
      </c>
      <c r="AJ497" s="7" t="str">
        <f>IFERROR(IF([1]对账明细接口!$AF497=0,"",[1]对账明细接口!$AF497),"")</f>
        <v/>
      </c>
    </row>
    <row r="498" ht="14.25" customHeight="1" spans="1:36">
      <c r="A498" s="14">
        <v>498</v>
      </c>
      <c r="B498" s="15" t="str">
        <f>IFERROR(IF([1]对账明细接口!$B$498=0,"",[1]对账明细接口!$B$498),"")</f>
        <v/>
      </c>
      <c r="C498" s="16" t="str">
        <f>IFERROR(IF([1]对账明细接口!$C$498=0,"",[1]对账明细接口!$C$498),"")</f>
        <v/>
      </c>
      <c r="D498" s="16" t="str">
        <f>IFERROR(IF([1]对账明细接口!$D$498=0,"",[1]对账明细接口!$D$498),"")</f>
        <v/>
      </c>
      <c r="E498" s="16" t="str">
        <f>IFERROR(IF([1]对账明细接口!$E$498=0,"",[1]对账明细接口!$E$498),"")</f>
        <v/>
      </c>
      <c r="F498" s="16" t="str">
        <f>IFERROR(IF([1]对账明细接口!$F$498=0,"",[1]对账明细接口!$F$498),"")</f>
        <v/>
      </c>
      <c r="G498" s="16" t="str">
        <f>IFERROR(IF([1]对账明细接口!$G$498=0,"",[1]对账明细接口!$G$498),"")</f>
        <v/>
      </c>
      <c r="H498" s="17" t="str">
        <f>IFERROR(IF([1]对账明细接口!$H$498=0,"",[1]对账明细接口!$H$498),"")</f>
        <v/>
      </c>
      <c r="I498" s="16" t="str">
        <f>IFERROR(IF([1]对账明细接口!$I$498=0,"",[1]对账明细接口!$I$498),"")</f>
        <v/>
      </c>
      <c r="J498" s="18" t="str">
        <f>IFERROR(IF([1]对账明细接口!$J$498=0,"",[1]对账明细接口!$J$498),"")</f>
        <v/>
      </c>
      <c r="K498" s="18" t="str">
        <f>IFERROR(IF([1]对账明细接口!$K$498=0,"",[1]对账明细接口!$K$498),"")</f>
        <v/>
      </c>
      <c r="L498" s="16" t="str">
        <f>IFERROR(IF([1]对账明细接口!$L$498=0,"",[1]对账明细接口!$L$498),"")</f>
        <v/>
      </c>
      <c r="M498" s="16" t="str">
        <f>IFERROR(IF([1]对账明细接口!$M$498=0,"",[1]对账明细接口!$M$498),"")</f>
        <v/>
      </c>
      <c r="N498" s="19">
        <f t="shared" si="14"/>
        <v>0</v>
      </c>
      <c r="O498" s="19">
        <f t="shared" si="15"/>
        <v>420</v>
      </c>
      <c r="S498" s="20" t="str">
        <f>IFERROR(IF([1]对账明细接口!$N498=0,"",[1]对账明细接口!$N498),"")</f>
        <v/>
      </c>
      <c r="T498" s="21" t="str">
        <f>IFERROR(IF([1]对账明细接口!$O498=0,"",[1]对账明细接口!$O498),"")</f>
        <v/>
      </c>
      <c r="U498" s="21" t="str">
        <f>IFERROR(IF([1]对账明细接口!$P498=0,"",[1]对账明细接口!$P498),"")</f>
        <v/>
      </c>
      <c r="V498" s="21" t="str">
        <f>IFERROR(IF([1]对账明细接口!$Q498=0,"",[1]对账明细接口!$Q498),"")</f>
        <v/>
      </c>
      <c r="W498" s="20" t="str">
        <f>IFERROR(IF([1]对账明细接口!$R498=0,"",[1]对账明细接口!$R498),"")</f>
        <v/>
      </c>
      <c r="X498" s="20" t="str">
        <f>IFERROR(IF([1]对账明细接口!$S498=0,"",[1]对账明细接口!$S498),"")</f>
        <v/>
      </c>
      <c r="Y498" s="20" t="str">
        <f>IFERROR(IF([1]对账明细接口!$T498=0,"",[1]对账明细接口!$T498),"")</f>
        <v/>
      </c>
      <c r="Z498" s="24" t="str">
        <f>IFERROR(IF([1]对账明细接口!$U498=0,"",[1]对账明细接口!$U498),"")</f>
        <v/>
      </c>
      <c r="AA498" s="24" t="str">
        <f>IFERROR(IF([1]对账明细接口!$V498=0,"",[1]对账明细接口!$V498),"")</f>
        <v/>
      </c>
      <c r="AB498" s="20" t="str">
        <f>IFERROR(IF([1]对账明细接口!$W498=0,"",[1]对账明细接口!$W498),"")</f>
        <v/>
      </c>
      <c r="AC498" s="7" t="str">
        <f>IFERROR(IF([1]对账明细接口!$X498=0,"",[1]对账明细接口!$X498),"")</f>
        <v/>
      </c>
      <c r="AD498" s="7" t="str">
        <f>IFERROR(IF([1]对账明细接口!$Y498=0,"",[1]对账明细接口!$Y498),"")</f>
        <v/>
      </c>
      <c r="AE498" s="7" t="str">
        <f>IFERROR(IF([1]对账明细接口!$AA498=0,"",[1]对账明细接口!$AA498),"")</f>
        <v/>
      </c>
      <c r="AF498" s="7" t="str">
        <f>IFERROR(IF([1]对账明细接口!$AB498=0,"",[1]对账明细接口!$AB498),"")</f>
        <v/>
      </c>
      <c r="AG498" s="7" t="str">
        <f>IFERROR(IF([1]对账明细接口!$AC498=0,"",[1]对账明细接口!$AC498),"")</f>
        <v/>
      </c>
      <c r="AH498" s="7" t="str">
        <f>IFERROR(IF([1]对账明细接口!$AD498=0,"",[1]对账明细接口!$AD498),"")</f>
        <v/>
      </c>
      <c r="AI498" s="7" t="str">
        <f>IFERROR(IF([1]对账明细接口!$AE498=0,"",[1]对账明细接口!$AE498),"")</f>
        <v/>
      </c>
      <c r="AJ498" s="7" t="str">
        <f>IFERROR(IF([1]对账明细接口!$AF498=0,"",[1]对账明细接口!$AF498),"")</f>
        <v/>
      </c>
    </row>
    <row r="499" ht="14.25" customHeight="1" spans="1:36">
      <c r="A499" s="14">
        <v>499</v>
      </c>
      <c r="B499" s="15" t="str">
        <f>IFERROR(IF([1]对账明细接口!$B$499=0,"",[1]对账明细接口!$B$499),"")</f>
        <v/>
      </c>
      <c r="C499" s="16" t="str">
        <f>IFERROR(IF([1]对账明细接口!$C$499=0,"",[1]对账明细接口!$C$499),"")</f>
        <v/>
      </c>
      <c r="D499" s="16" t="str">
        <f>IFERROR(IF([1]对账明细接口!$D$499=0,"",[1]对账明细接口!$D$499),"")</f>
        <v/>
      </c>
      <c r="E499" s="16" t="str">
        <f>IFERROR(IF([1]对账明细接口!$E$499=0,"",[1]对账明细接口!$E$499),"")</f>
        <v/>
      </c>
      <c r="F499" s="16" t="str">
        <f>IFERROR(IF([1]对账明细接口!$F$499=0,"",[1]对账明细接口!$F$499),"")</f>
        <v/>
      </c>
      <c r="G499" s="16" t="str">
        <f>IFERROR(IF([1]对账明细接口!$G$499=0,"",[1]对账明细接口!$G$499),"")</f>
        <v/>
      </c>
      <c r="H499" s="17" t="str">
        <f>IFERROR(IF([1]对账明细接口!$H$499=0,"",[1]对账明细接口!$H$499),"")</f>
        <v/>
      </c>
      <c r="I499" s="16" t="str">
        <f>IFERROR(IF([1]对账明细接口!$I$499=0,"",[1]对账明细接口!$I$499),"")</f>
        <v/>
      </c>
      <c r="J499" s="18" t="str">
        <f>IFERROR(IF([1]对账明细接口!$J$499=0,"",[1]对账明细接口!$J$499),"")</f>
        <v/>
      </c>
      <c r="K499" s="18" t="str">
        <f>IFERROR(IF([1]对账明细接口!$K$499=0,"",[1]对账明细接口!$K$499),"")</f>
        <v/>
      </c>
      <c r="L499" s="16" t="str">
        <f>IFERROR(IF([1]对账明细接口!$L$499=0,"",[1]对账明细接口!$L$499),"")</f>
        <v/>
      </c>
      <c r="M499" s="16" t="str">
        <f>IFERROR(IF([1]对账明细接口!$M$499=0,"",[1]对账明细接口!$M$499),"")</f>
        <v/>
      </c>
      <c r="N499" s="19">
        <f t="shared" si="14"/>
        <v>0</v>
      </c>
      <c r="O499" s="19">
        <f t="shared" si="15"/>
        <v>420</v>
      </c>
      <c r="S499" s="20" t="str">
        <f>IFERROR(IF([1]对账明细接口!$N499=0,"",[1]对账明细接口!$N499),"")</f>
        <v/>
      </c>
      <c r="T499" s="21" t="str">
        <f>IFERROR(IF([1]对账明细接口!$O499=0,"",[1]对账明细接口!$O499),"")</f>
        <v/>
      </c>
      <c r="U499" s="21" t="str">
        <f>IFERROR(IF([1]对账明细接口!$P499=0,"",[1]对账明细接口!$P499),"")</f>
        <v/>
      </c>
      <c r="V499" s="21" t="str">
        <f>IFERROR(IF([1]对账明细接口!$Q499=0,"",[1]对账明细接口!$Q499),"")</f>
        <v/>
      </c>
      <c r="W499" s="20" t="str">
        <f>IFERROR(IF([1]对账明细接口!$R499=0,"",[1]对账明细接口!$R499),"")</f>
        <v/>
      </c>
      <c r="X499" s="20" t="str">
        <f>IFERROR(IF([1]对账明细接口!$S499=0,"",[1]对账明细接口!$S499),"")</f>
        <v/>
      </c>
      <c r="Y499" s="20" t="str">
        <f>IFERROR(IF([1]对账明细接口!$T499=0,"",[1]对账明细接口!$T499),"")</f>
        <v/>
      </c>
      <c r="Z499" s="24" t="str">
        <f>IFERROR(IF([1]对账明细接口!$U499=0,"",[1]对账明细接口!$U499),"")</f>
        <v/>
      </c>
      <c r="AA499" s="24" t="str">
        <f>IFERROR(IF([1]对账明细接口!$V499=0,"",[1]对账明细接口!$V499),"")</f>
        <v/>
      </c>
      <c r="AB499" s="20" t="str">
        <f>IFERROR(IF([1]对账明细接口!$W499=0,"",[1]对账明细接口!$W499),"")</f>
        <v/>
      </c>
      <c r="AC499" s="7" t="str">
        <f>IFERROR(IF([1]对账明细接口!$X499=0,"",[1]对账明细接口!$X499),"")</f>
        <v/>
      </c>
      <c r="AD499" s="7" t="str">
        <f>IFERROR(IF([1]对账明细接口!$Y499=0,"",[1]对账明细接口!$Y499),"")</f>
        <v/>
      </c>
      <c r="AE499" s="7" t="str">
        <f>IFERROR(IF([1]对账明细接口!$AA499=0,"",[1]对账明细接口!$AA499),"")</f>
        <v/>
      </c>
      <c r="AF499" s="7" t="str">
        <f>IFERROR(IF([1]对账明细接口!$AB499=0,"",[1]对账明细接口!$AB499),"")</f>
        <v/>
      </c>
      <c r="AG499" s="7" t="str">
        <f>IFERROR(IF([1]对账明细接口!$AC499=0,"",[1]对账明细接口!$AC499),"")</f>
        <v/>
      </c>
      <c r="AH499" s="7" t="str">
        <f>IFERROR(IF([1]对账明细接口!$AD499=0,"",[1]对账明细接口!$AD499),"")</f>
        <v/>
      </c>
      <c r="AI499" s="7" t="str">
        <f>IFERROR(IF([1]对账明细接口!$AE499=0,"",[1]对账明细接口!$AE499),"")</f>
        <v/>
      </c>
      <c r="AJ499" s="7" t="str">
        <f>IFERROR(IF([1]对账明细接口!$AF499=0,"",[1]对账明细接口!$AF499),"")</f>
        <v/>
      </c>
    </row>
    <row r="500" ht="14.25" customHeight="1" spans="1:36">
      <c r="A500" s="14">
        <v>500</v>
      </c>
      <c r="B500" s="15" t="str">
        <f>IFERROR(IF([1]对账明细接口!$B$500=0,"",[1]对账明细接口!$B$500),"")</f>
        <v/>
      </c>
      <c r="C500" s="16" t="str">
        <f>IFERROR(IF([1]对账明细接口!$C$500=0,"",[1]对账明细接口!$C$500),"")</f>
        <v/>
      </c>
      <c r="D500" s="16" t="str">
        <f>IFERROR(IF([1]对账明细接口!$D$500=0,"",[1]对账明细接口!$D$500),"")</f>
        <v/>
      </c>
      <c r="E500" s="16" t="str">
        <f>IFERROR(IF([1]对账明细接口!$E$500=0,"",[1]对账明细接口!$E$500),"")</f>
        <v/>
      </c>
      <c r="F500" s="16" t="str">
        <f>IFERROR(IF([1]对账明细接口!$F$500=0,"",[1]对账明细接口!$F$500),"")</f>
        <v/>
      </c>
      <c r="G500" s="16" t="str">
        <f>IFERROR(IF([1]对账明细接口!$G$500=0,"",[1]对账明细接口!$G$500),"")</f>
        <v/>
      </c>
      <c r="H500" s="17" t="str">
        <f>IFERROR(IF([1]对账明细接口!$H$500=0,"",[1]对账明细接口!$H$500),"")</f>
        <v/>
      </c>
      <c r="I500" s="16" t="str">
        <f>IFERROR(IF([1]对账明细接口!$I$500=0,"",[1]对账明细接口!$I$500),"")</f>
        <v/>
      </c>
      <c r="J500" s="18" t="str">
        <f>IFERROR(IF([1]对账明细接口!$J$500=0,"",[1]对账明细接口!$J$500),"")</f>
        <v/>
      </c>
      <c r="K500" s="18" t="str">
        <f>IFERROR(IF([1]对账明细接口!$K$500=0,"",[1]对账明细接口!$K$500),"")</f>
        <v/>
      </c>
      <c r="L500" s="16" t="str">
        <f>IFERROR(IF([1]对账明细接口!$L$500=0,"",[1]对账明细接口!$L$500),"")</f>
        <v/>
      </c>
      <c r="M500" s="16" t="str">
        <f>IFERROR(IF([1]对账明细接口!$M$500=0,"",[1]对账明细接口!$M$500),"")</f>
        <v/>
      </c>
      <c r="N500" s="19">
        <f t="shared" si="14"/>
        <v>0</v>
      </c>
      <c r="O500" s="19">
        <f t="shared" si="15"/>
        <v>420</v>
      </c>
      <c r="S500" s="20" t="str">
        <f>IFERROR(IF([1]对账明细接口!$N500=0,"",[1]对账明细接口!$N500),"")</f>
        <v/>
      </c>
      <c r="T500" s="21" t="str">
        <f>IFERROR(IF([1]对账明细接口!$O500=0,"",[1]对账明细接口!$O500),"")</f>
        <v/>
      </c>
      <c r="U500" s="21" t="str">
        <f>IFERROR(IF([1]对账明细接口!$P500=0,"",[1]对账明细接口!$P500),"")</f>
        <v/>
      </c>
      <c r="V500" s="21" t="str">
        <f>IFERROR(IF([1]对账明细接口!$Q500=0,"",[1]对账明细接口!$Q500),"")</f>
        <v/>
      </c>
      <c r="W500" s="20" t="str">
        <f>IFERROR(IF([1]对账明细接口!$R500=0,"",[1]对账明细接口!$R500),"")</f>
        <v/>
      </c>
      <c r="X500" s="20" t="str">
        <f>IFERROR(IF([1]对账明细接口!$S500=0,"",[1]对账明细接口!$S500),"")</f>
        <v/>
      </c>
      <c r="Y500" s="20" t="str">
        <f>IFERROR(IF([1]对账明细接口!$T500=0,"",[1]对账明细接口!$T500),"")</f>
        <v/>
      </c>
      <c r="Z500" s="24" t="str">
        <f>IFERROR(IF([1]对账明细接口!$U500=0,"",[1]对账明细接口!$U500),"")</f>
        <v/>
      </c>
      <c r="AA500" s="24" t="str">
        <f>IFERROR(IF([1]对账明细接口!$V500=0,"",[1]对账明细接口!$V500),"")</f>
        <v/>
      </c>
      <c r="AB500" s="20" t="str">
        <f>IFERROR(IF([1]对账明细接口!$W500=0,"",[1]对账明细接口!$W500),"")</f>
        <v/>
      </c>
      <c r="AC500" s="7" t="str">
        <f>IFERROR(IF([1]对账明细接口!$X500=0,"",[1]对账明细接口!$X500),"")</f>
        <v/>
      </c>
      <c r="AD500" s="7" t="str">
        <f>IFERROR(IF([1]对账明细接口!$Y500=0,"",[1]对账明细接口!$Y500),"")</f>
        <v/>
      </c>
      <c r="AE500" s="7" t="str">
        <f>IFERROR(IF([1]对账明细接口!$AA500=0,"",[1]对账明细接口!$AA500),"")</f>
        <v/>
      </c>
      <c r="AF500" s="7" t="str">
        <f>IFERROR(IF([1]对账明细接口!$AB500=0,"",[1]对账明细接口!$AB500),"")</f>
        <v/>
      </c>
      <c r="AG500" s="7" t="str">
        <f>IFERROR(IF([1]对账明细接口!$AC500=0,"",[1]对账明细接口!$AC500),"")</f>
        <v/>
      </c>
      <c r="AH500" s="7" t="str">
        <f>IFERROR(IF([1]对账明细接口!$AD500=0,"",[1]对账明细接口!$AD500),"")</f>
        <v/>
      </c>
      <c r="AI500" s="7" t="str">
        <f>IFERROR(IF([1]对账明细接口!$AE500=0,"",[1]对账明细接口!$AE500),"")</f>
        <v/>
      </c>
      <c r="AJ500" s="7" t="str">
        <f>IFERROR(IF([1]对账明细接口!$AF500=0,"",[1]对账明细接口!$AF500),"")</f>
        <v/>
      </c>
    </row>
    <row r="501" ht="14.25" customHeight="1" spans="1:36">
      <c r="A501" s="14">
        <v>501</v>
      </c>
      <c r="B501" s="15" t="str">
        <f>IFERROR(IF([1]对账明细接口!$B$501=0,"",[1]对账明细接口!$B$501),"")</f>
        <v/>
      </c>
      <c r="C501" s="16" t="str">
        <f>IFERROR(IF([1]对账明细接口!$C$501=0,"",[1]对账明细接口!$C$501),"")</f>
        <v/>
      </c>
      <c r="D501" s="16" t="str">
        <f>IFERROR(IF([1]对账明细接口!$D$501=0,"",[1]对账明细接口!$D$501),"")</f>
        <v/>
      </c>
      <c r="E501" s="16" t="str">
        <f>IFERROR(IF([1]对账明细接口!$E$501=0,"",[1]对账明细接口!$E$501),"")</f>
        <v/>
      </c>
      <c r="F501" s="16" t="str">
        <f>IFERROR(IF([1]对账明细接口!$F$501=0,"",[1]对账明细接口!$F$501),"")</f>
        <v/>
      </c>
      <c r="G501" s="16" t="str">
        <f>IFERROR(IF([1]对账明细接口!$G$501=0,"",[1]对账明细接口!$G$501),"")</f>
        <v/>
      </c>
      <c r="H501" s="17" t="str">
        <f>IFERROR(IF([1]对账明细接口!$H$501=0,"",[1]对账明细接口!$H$501),"")</f>
        <v/>
      </c>
      <c r="I501" s="16" t="str">
        <f>IFERROR(IF([1]对账明细接口!$I$501=0,"",[1]对账明细接口!$I$501),"")</f>
        <v/>
      </c>
      <c r="J501" s="18" t="str">
        <f>IFERROR(IF([1]对账明细接口!$J$501=0,"",[1]对账明细接口!$J$501),"")</f>
        <v/>
      </c>
      <c r="K501" s="18" t="str">
        <f>IFERROR(IF([1]对账明细接口!$K$501=0,"",[1]对账明细接口!$K$501),"")</f>
        <v/>
      </c>
      <c r="L501" s="16" t="str">
        <f>IFERROR(IF([1]对账明细接口!$L$501=0,"",[1]对账明细接口!$L$501),"")</f>
        <v/>
      </c>
      <c r="M501" s="16" t="str">
        <f>IFERROR(IF([1]对账明细接口!$M$501=0,"",[1]对账明细接口!$M$501),"")</f>
        <v/>
      </c>
      <c r="N501" s="19">
        <f t="shared" si="14"/>
        <v>0</v>
      </c>
      <c r="O501" s="19">
        <f t="shared" si="15"/>
        <v>420</v>
      </c>
      <c r="S501" s="20" t="str">
        <f>IFERROR(IF([1]对账明细接口!$N501=0,"",[1]对账明细接口!$N501),"")</f>
        <v/>
      </c>
      <c r="T501" s="21" t="str">
        <f>IFERROR(IF([1]对账明细接口!$O501=0,"",[1]对账明细接口!$O501),"")</f>
        <v/>
      </c>
      <c r="U501" s="21" t="str">
        <f>IFERROR(IF([1]对账明细接口!$P501=0,"",[1]对账明细接口!$P501),"")</f>
        <v/>
      </c>
      <c r="V501" s="21" t="str">
        <f>IFERROR(IF([1]对账明细接口!$Q501=0,"",[1]对账明细接口!$Q501),"")</f>
        <v/>
      </c>
      <c r="W501" s="20" t="str">
        <f>IFERROR(IF([1]对账明细接口!$R501=0,"",[1]对账明细接口!$R501),"")</f>
        <v/>
      </c>
      <c r="X501" s="20" t="str">
        <f>IFERROR(IF([1]对账明细接口!$S501=0,"",[1]对账明细接口!$S501),"")</f>
        <v/>
      </c>
      <c r="Y501" s="20" t="str">
        <f>IFERROR(IF([1]对账明细接口!$T501=0,"",[1]对账明细接口!$T501),"")</f>
        <v/>
      </c>
      <c r="Z501" s="24" t="str">
        <f>IFERROR(IF([1]对账明细接口!$U501=0,"",[1]对账明细接口!$U501),"")</f>
        <v/>
      </c>
      <c r="AA501" s="24" t="str">
        <f>IFERROR(IF([1]对账明细接口!$V501=0,"",[1]对账明细接口!$V501),"")</f>
        <v/>
      </c>
      <c r="AB501" s="20" t="str">
        <f>IFERROR(IF([1]对账明细接口!$W501=0,"",[1]对账明细接口!$W501),"")</f>
        <v/>
      </c>
      <c r="AC501" s="7" t="str">
        <f>IFERROR(IF([1]对账明细接口!$X501=0,"",[1]对账明细接口!$X501),"")</f>
        <v/>
      </c>
      <c r="AD501" s="7" t="str">
        <f>IFERROR(IF([1]对账明细接口!$Y501=0,"",[1]对账明细接口!$Y501),"")</f>
        <v/>
      </c>
      <c r="AE501" s="7" t="str">
        <f>IFERROR(IF([1]对账明细接口!$AA501=0,"",[1]对账明细接口!$AA501),"")</f>
        <v/>
      </c>
      <c r="AF501" s="7" t="str">
        <f>IFERROR(IF([1]对账明细接口!$AB501=0,"",[1]对账明细接口!$AB501),"")</f>
        <v/>
      </c>
      <c r="AG501" s="7" t="str">
        <f>IFERROR(IF([1]对账明细接口!$AC501=0,"",[1]对账明细接口!$AC501),"")</f>
        <v/>
      </c>
      <c r="AH501" s="7" t="str">
        <f>IFERROR(IF([1]对账明细接口!$AD501=0,"",[1]对账明细接口!$AD501),"")</f>
        <v/>
      </c>
      <c r="AI501" s="7" t="str">
        <f>IFERROR(IF([1]对账明细接口!$AE501=0,"",[1]对账明细接口!$AE501),"")</f>
        <v/>
      </c>
      <c r="AJ501" s="7" t="str">
        <f>IFERROR(IF([1]对账明细接口!$AF501=0,"",[1]对账明细接口!$AF501),"")</f>
        <v/>
      </c>
    </row>
    <row r="502" ht="14.25" customHeight="1" spans="1:36">
      <c r="A502" s="14">
        <v>502</v>
      </c>
      <c r="B502" s="15" t="str">
        <f>IFERROR(IF([1]对账明细接口!$B$502=0,"",[1]对账明细接口!$B$502),"")</f>
        <v/>
      </c>
      <c r="C502" s="16" t="str">
        <f>IFERROR(IF([1]对账明细接口!$C$502=0,"",[1]对账明细接口!$C$502),"")</f>
        <v/>
      </c>
      <c r="D502" s="16" t="str">
        <f>IFERROR(IF([1]对账明细接口!$D$502=0,"",[1]对账明细接口!$D$502),"")</f>
        <v/>
      </c>
      <c r="E502" s="16" t="str">
        <f>IFERROR(IF([1]对账明细接口!$E$502=0,"",[1]对账明细接口!$E$502),"")</f>
        <v/>
      </c>
      <c r="F502" s="16" t="str">
        <f>IFERROR(IF([1]对账明细接口!$F$502=0,"",[1]对账明细接口!$F$502),"")</f>
        <v/>
      </c>
      <c r="G502" s="16" t="str">
        <f>IFERROR(IF([1]对账明细接口!$G$502=0,"",[1]对账明细接口!$G$502),"")</f>
        <v/>
      </c>
      <c r="H502" s="17" t="str">
        <f>IFERROR(IF([1]对账明细接口!$H$502=0,"",[1]对账明细接口!$H$502),"")</f>
        <v/>
      </c>
      <c r="I502" s="16" t="str">
        <f>IFERROR(IF([1]对账明细接口!$I$502=0,"",[1]对账明细接口!$I$502),"")</f>
        <v/>
      </c>
      <c r="J502" s="18" t="str">
        <f>IFERROR(IF([1]对账明细接口!$J$502=0,"",[1]对账明细接口!$J$502),"")</f>
        <v/>
      </c>
      <c r="K502" s="18" t="str">
        <f>IFERROR(IF([1]对账明细接口!$K$502=0,"",[1]对账明细接口!$K$502),"")</f>
        <v/>
      </c>
      <c r="L502" s="16" t="str">
        <f>IFERROR(IF([1]对账明细接口!$L$502=0,"",[1]对账明细接口!$L$502),"")</f>
        <v/>
      </c>
      <c r="M502" s="16" t="str">
        <f>IFERROR(IF([1]对账明细接口!$M$502=0,"",[1]对账明细接口!$M$502),"")</f>
        <v/>
      </c>
      <c r="N502" s="19">
        <f t="shared" si="14"/>
        <v>0</v>
      </c>
      <c r="O502" s="19">
        <f t="shared" si="15"/>
        <v>420</v>
      </c>
      <c r="S502" s="20" t="str">
        <f>IFERROR(IF([1]对账明细接口!$N502=0,"",[1]对账明细接口!$N502),"")</f>
        <v/>
      </c>
      <c r="T502" s="21" t="str">
        <f>IFERROR(IF([1]对账明细接口!$O502=0,"",[1]对账明细接口!$O502),"")</f>
        <v/>
      </c>
      <c r="U502" s="21" t="str">
        <f>IFERROR(IF([1]对账明细接口!$P502=0,"",[1]对账明细接口!$P502),"")</f>
        <v/>
      </c>
      <c r="V502" s="21" t="str">
        <f>IFERROR(IF([1]对账明细接口!$Q502=0,"",[1]对账明细接口!$Q502),"")</f>
        <v/>
      </c>
      <c r="W502" s="20" t="str">
        <f>IFERROR(IF([1]对账明细接口!$R502=0,"",[1]对账明细接口!$R502),"")</f>
        <v/>
      </c>
      <c r="X502" s="20" t="str">
        <f>IFERROR(IF([1]对账明细接口!$S502=0,"",[1]对账明细接口!$S502),"")</f>
        <v/>
      </c>
      <c r="Y502" s="20" t="str">
        <f>IFERROR(IF([1]对账明细接口!$T502=0,"",[1]对账明细接口!$T502),"")</f>
        <v/>
      </c>
      <c r="Z502" s="24" t="str">
        <f>IFERROR(IF([1]对账明细接口!$U502=0,"",[1]对账明细接口!$U502),"")</f>
        <v/>
      </c>
      <c r="AA502" s="24" t="str">
        <f>IFERROR(IF([1]对账明细接口!$V502=0,"",[1]对账明细接口!$V502),"")</f>
        <v/>
      </c>
      <c r="AB502" s="20" t="str">
        <f>IFERROR(IF([1]对账明细接口!$W502=0,"",[1]对账明细接口!$W502),"")</f>
        <v/>
      </c>
      <c r="AC502" s="7" t="str">
        <f>IFERROR(IF([1]对账明细接口!$X502=0,"",[1]对账明细接口!$X502),"")</f>
        <v/>
      </c>
      <c r="AD502" s="7" t="str">
        <f>IFERROR(IF([1]对账明细接口!$Y502=0,"",[1]对账明细接口!$Y502),"")</f>
        <v/>
      </c>
      <c r="AE502" s="7" t="str">
        <f>IFERROR(IF([1]对账明细接口!$AA502=0,"",[1]对账明细接口!$AA502),"")</f>
        <v/>
      </c>
      <c r="AF502" s="7" t="str">
        <f>IFERROR(IF([1]对账明细接口!$AB502=0,"",[1]对账明细接口!$AB502),"")</f>
        <v/>
      </c>
      <c r="AG502" s="7" t="str">
        <f>IFERROR(IF([1]对账明细接口!$AC502=0,"",[1]对账明细接口!$AC502),"")</f>
        <v/>
      </c>
      <c r="AH502" s="7" t="str">
        <f>IFERROR(IF([1]对账明细接口!$AD502=0,"",[1]对账明细接口!$AD502),"")</f>
        <v/>
      </c>
      <c r="AI502" s="7" t="str">
        <f>IFERROR(IF([1]对账明细接口!$AE502=0,"",[1]对账明细接口!$AE502),"")</f>
        <v/>
      </c>
      <c r="AJ502" s="7" t="str">
        <f>IFERROR(IF([1]对账明细接口!$AF502=0,"",[1]对账明细接口!$AF502),"")</f>
        <v/>
      </c>
    </row>
    <row r="503" ht="14.25" customHeight="1" spans="1:36">
      <c r="A503" s="14">
        <v>503</v>
      </c>
      <c r="B503" s="15" t="str">
        <f>IFERROR(IF([1]对账明细接口!$B$503=0,"",[1]对账明细接口!$B$503),"")</f>
        <v/>
      </c>
      <c r="C503" s="16" t="str">
        <f>IFERROR(IF([1]对账明细接口!$C$503=0,"",[1]对账明细接口!$C$503),"")</f>
        <v/>
      </c>
      <c r="D503" s="16" t="str">
        <f>IFERROR(IF([1]对账明细接口!$D$503=0,"",[1]对账明细接口!$D$503),"")</f>
        <v/>
      </c>
      <c r="E503" s="16" t="str">
        <f>IFERROR(IF([1]对账明细接口!$E$503=0,"",[1]对账明细接口!$E$503),"")</f>
        <v/>
      </c>
      <c r="F503" s="16" t="str">
        <f>IFERROR(IF([1]对账明细接口!$F$503=0,"",[1]对账明细接口!$F$503),"")</f>
        <v/>
      </c>
      <c r="G503" s="16" t="str">
        <f>IFERROR(IF([1]对账明细接口!$G$503=0,"",[1]对账明细接口!$G$503),"")</f>
        <v/>
      </c>
      <c r="H503" s="17" t="str">
        <f>IFERROR(IF([1]对账明细接口!$H$503=0,"",[1]对账明细接口!$H$503),"")</f>
        <v/>
      </c>
      <c r="I503" s="16" t="str">
        <f>IFERROR(IF([1]对账明细接口!$I$503=0,"",[1]对账明细接口!$I$503),"")</f>
        <v/>
      </c>
      <c r="J503" s="18" t="str">
        <f>IFERROR(IF([1]对账明细接口!$J$503=0,"",[1]对账明细接口!$J$503),"")</f>
        <v/>
      </c>
      <c r="K503" s="18" t="str">
        <f>IFERROR(IF([1]对账明细接口!$K$503=0,"",[1]对账明细接口!$K$503),"")</f>
        <v/>
      </c>
      <c r="L503" s="16" t="str">
        <f>IFERROR(IF([1]对账明细接口!$L$503=0,"",[1]对账明细接口!$L$503),"")</f>
        <v/>
      </c>
      <c r="M503" s="16" t="str">
        <f>IFERROR(IF([1]对账明细接口!$M$503=0,"",[1]对账明细接口!$M$503),"")</f>
        <v/>
      </c>
      <c r="N503" s="19">
        <f t="shared" si="14"/>
        <v>0</v>
      </c>
      <c r="O503" s="19">
        <f t="shared" si="15"/>
        <v>420</v>
      </c>
      <c r="S503" s="20" t="str">
        <f>IFERROR(IF([1]对账明细接口!$N503=0,"",[1]对账明细接口!$N503),"")</f>
        <v/>
      </c>
      <c r="T503" s="21" t="str">
        <f>IFERROR(IF([1]对账明细接口!$O503=0,"",[1]对账明细接口!$O503),"")</f>
        <v/>
      </c>
      <c r="U503" s="21" t="str">
        <f>IFERROR(IF([1]对账明细接口!$P503=0,"",[1]对账明细接口!$P503),"")</f>
        <v/>
      </c>
      <c r="V503" s="21" t="str">
        <f>IFERROR(IF([1]对账明细接口!$Q503=0,"",[1]对账明细接口!$Q503),"")</f>
        <v/>
      </c>
      <c r="W503" s="20" t="str">
        <f>IFERROR(IF([1]对账明细接口!$R503=0,"",[1]对账明细接口!$R503),"")</f>
        <v/>
      </c>
      <c r="X503" s="20" t="str">
        <f>IFERROR(IF([1]对账明细接口!$S503=0,"",[1]对账明细接口!$S503),"")</f>
        <v/>
      </c>
      <c r="Y503" s="20" t="str">
        <f>IFERROR(IF([1]对账明细接口!$T503=0,"",[1]对账明细接口!$T503),"")</f>
        <v/>
      </c>
      <c r="Z503" s="24" t="str">
        <f>IFERROR(IF([1]对账明细接口!$U503=0,"",[1]对账明细接口!$U503),"")</f>
        <v/>
      </c>
      <c r="AA503" s="24" t="str">
        <f>IFERROR(IF([1]对账明细接口!$V503=0,"",[1]对账明细接口!$V503),"")</f>
        <v/>
      </c>
      <c r="AB503" s="20" t="str">
        <f>IFERROR(IF([1]对账明细接口!$W503=0,"",[1]对账明细接口!$W503),"")</f>
        <v/>
      </c>
      <c r="AC503" s="7" t="str">
        <f>IFERROR(IF([1]对账明细接口!$X503=0,"",[1]对账明细接口!$X503),"")</f>
        <v/>
      </c>
      <c r="AD503" s="7" t="str">
        <f>IFERROR(IF([1]对账明细接口!$Y503=0,"",[1]对账明细接口!$Y503),"")</f>
        <v/>
      </c>
      <c r="AE503" s="7" t="str">
        <f>IFERROR(IF([1]对账明细接口!$AA503=0,"",[1]对账明细接口!$AA503),"")</f>
        <v/>
      </c>
      <c r="AF503" s="7" t="str">
        <f>IFERROR(IF([1]对账明细接口!$AB503=0,"",[1]对账明细接口!$AB503),"")</f>
        <v/>
      </c>
      <c r="AG503" s="7" t="str">
        <f>IFERROR(IF([1]对账明细接口!$AC503=0,"",[1]对账明细接口!$AC503),"")</f>
        <v/>
      </c>
      <c r="AH503" s="7" t="str">
        <f>IFERROR(IF([1]对账明细接口!$AD503=0,"",[1]对账明细接口!$AD503),"")</f>
        <v/>
      </c>
      <c r="AI503" s="7" t="str">
        <f>IFERROR(IF([1]对账明细接口!$AE503=0,"",[1]对账明细接口!$AE503),"")</f>
        <v/>
      </c>
      <c r="AJ503" s="7" t="str">
        <f>IFERROR(IF([1]对账明细接口!$AF503=0,"",[1]对账明细接口!$AF503),"")</f>
        <v/>
      </c>
    </row>
    <row r="504" ht="14.25" customHeight="1" spans="1:36">
      <c r="A504" s="14">
        <v>504</v>
      </c>
      <c r="B504" s="15" t="str">
        <f>IFERROR(IF([1]对账明细接口!$B$504=0,"",[1]对账明细接口!$B$504),"")</f>
        <v/>
      </c>
      <c r="C504" s="16" t="str">
        <f>IFERROR(IF([1]对账明细接口!$C$504=0,"",[1]对账明细接口!$C$504),"")</f>
        <v/>
      </c>
      <c r="D504" s="16" t="str">
        <f>IFERROR(IF([1]对账明细接口!$D$504=0,"",[1]对账明细接口!$D$504),"")</f>
        <v/>
      </c>
      <c r="E504" s="16" t="str">
        <f>IFERROR(IF([1]对账明细接口!$E$504=0,"",[1]对账明细接口!$E$504),"")</f>
        <v/>
      </c>
      <c r="F504" s="16" t="str">
        <f>IFERROR(IF([1]对账明细接口!$F$504=0,"",[1]对账明细接口!$F$504),"")</f>
        <v/>
      </c>
      <c r="G504" s="16" t="str">
        <f>IFERROR(IF([1]对账明细接口!$G$504=0,"",[1]对账明细接口!$G$504),"")</f>
        <v/>
      </c>
      <c r="H504" s="17" t="str">
        <f>IFERROR(IF([1]对账明细接口!$H$504=0,"",[1]对账明细接口!$H$504),"")</f>
        <v/>
      </c>
      <c r="I504" s="16" t="str">
        <f>IFERROR(IF([1]对账明细接口!$I$504=0,"",[1]对账明细接口!$I$504),"")</f>
        <v/>
      </c>
      <c r="J504" s="18" t="str">
        <f>IFERROR(IF([1]对账明细接口!$J$504=0,"",[1]对账明细接口!$J$504),"")</f>
        <v/>
      </c>
      <c r="K504" s="18" t="str">
        <f>IFERROR(IF([1]对账明细接口!$K$504=0,"",[1]对账明细接口!$K$504),"")</f>
        <v/>
      </c>
      <c r="L504" s="16" t="str">
        <f>IFERROR(IF([1]对账明细接口!$L$504=0,"",[1]对账明细接口!$L$504),"")</f>
        <v/>
      </c>
      <c r="M504" s="16" t="str">
        <f>IFERROR(IF([1]对账明细接口!$M$504=0,"",[1]对账明细接口!$M$504),"")</f>
        <v/>
      </c>
      <c r="N504" s="19">
        <f t="shared" si="14"/>
        <v>0</v>
      </c>
      <c r="O504" s="19">
        <f t="shared" si="15"/>
        <v>420</v>
      </c>
      <c r="S504" s="20" t="str">
        <f>IFERROR(IF([1]对账明细接口!$N504=0,"",[1]对账明细接口!$N504),"")</f>
        <v/>
      </c>
      <c r="T504" s="21" t="str">
        <f>IFERROR(IF([1]对账明细接口!$O504=0,"",[1]对账明细接口!$O504),"")</f>
        <v/>
      </c>
      <c r="U504" s="21" t="str">
        <f>IFERROR(IF([1]对账明细接口!$P504=0,"",[1]对账明细接口!$P504),"")</f>
        <v/>
      </c>
      <c r="V504" s="21" t="str">
        <f>IFERROR(IF([1]对账明细接口!$Q504=0,"",[1]对账明细接口!$Q504),"")</f>
        <v/>
      </c>
      <c r="W504" s="20" t="str">
        <f>IFERROR(IF([1]对账明细接口!$R504=0,"",[1]对账明细接口!$R504),"")</f>
        <v/>
      </c>
      <c r="X504" s="20" t="str">
        <f>IFERROR(IF([1]对账明细接口!$S504=0,"",[1]对账明细接口!$S504),"")</f>
        <v/>
      </c>
      <c r="Y504" s="20" t="str">
        <f>IFERROR(IF([1]对账明细接口!$T504=0,"",[1]对账明细接口!$T504),"")</f>
        <v/>
      </c>
      <c r="Z504" s="24" t="str">
        <f>IFERROR(IF([1]对账明细接口!$U504=0,"",[1]对账明细接口!$U504),"")</f>
        <v/>
      </c>
      <c r="AA504" s="24" t="str">
        <f>IFERROR(IF([1]对账明细接口!$V504=0,"",[1]对账明细接口!$V504),"")</f>
        <v/>
      </c>
      <c r="AB504" s="20" t="str">
        <f>IFERROR(IF([1]对账明细接口!$W504=0,"",[1]对账明细接口!$W504),"")</f>
        <v/>
      </c>
      <c r="AC504" s="7" t="str">
        <f>IFERROR(IF([1]对账明细接口!$X504=0,"",[1]对账明细接口!$X504),"")</f>
        <v/>
      </c>
      <c r="AD504" s="7" t="str">
        <f>IFERROR(IF([1]对账明细接口!$Y504=0,"",[1]对账明细接口!$Y504),"")</f>
        <v/>
      </c>
      <c r="AE504" s="7" t="str">
        <f>IFERROR(IF([1]对账明细接口!$AA504=0,"",[1]对账明细接口!$AA504),"")</f>
        <v/>
      </c>
      <c r="AF504" s="7" t="str">
        <f>IFERROR(IF([1]对账明细接口!$AB504=0,"",[1]对账明细接口!$AB504),"")</f>
        <v/>
      </c>
      <c r="AG504" s="7" t="str">
        <f>IFERROR(IF([1]对账明细接口!$AC504=0,"",[1]对账明细接口!$AC504),"")</f>
        <v/>
      </c>
      <c r="AH504" s="7" t="str">
        <f>IFERROR(IF([1]对账明细接口!$AD504=0,"",[1]对账明细接口!$AD504),"")</f>
        <v/>
      </c>
      <c r="AI504" s="7" t="str">
        <f>IFERROR(IF([1]对账明细接口!$AE504=0,"",[1]对账明细接口!$AE504),"")</f>
        <v/>
      </c>
      <c r="AJ504" s="7" t="str">
        <f>IFERROR(IF([1]对账明细接口!$AF504=0,"",[1]对账明细接口!$AF504),"")</f>
        <v/>
      </c>
    </row>
    <row r="505" ht="14.25" customHeight="1" spans="1:36">
      <c r="A505" s="14">
        <v>505</v>
      </c>
      <c r="B505" s="15" t="str">
        <f>IFERROR(IF([1]对账明细接口!$B$505=0,"",[1]对账明细接口!$B$505),"")</f>
        <v/>
      </c>
      <c r="C505" s="16" t="str">
        <f>IFERROR(IF([1]对账明细接口!$C$505=0,"",[1]对账明细接口!$C$505),"")</f>
        <v/>
      </c>
      <c r="D505" s="16" t="str">
        <f>IFERROR(IF([1]对账明细接口!$D$505=0,"",[1]对账明细接口!$D$505),"")</f>
        <v/>
      </c>
      <c r="E505" s="16" t="str">
        <f>IFERROR(IF([1]对账明细接口!$E$505=0,"",[1]对账明细接口!$E$505),"")</f>
        <v/>
      </c>
      <c r="F505" s="16" t="str">
        <f>IFERROR(IF([1]对账明细接口!$F$505=0,"",[1]对账明细接口!$F$505),"")</f>
        <v/>
      </c>
      <c r="G505" s="16" t="str">
        <f>IFERROR(IF([1]对账明细接口!$G$505=0,"",[1]对账明细接口!$G$505),"")</f>
        <v/>
      </c>
      <c r="H505" s="17" t="str">
        <f>IFERROR(IF([1]对账明细接口!$H$505=0,"",[1]对账明细接口!$H$505),"")</f>
        <v/>
      </c>
      <c r="I505" s="16" t="str">
        <f>IFERROR(IF([1]对账明细接口!$I$505=0,"",[1]对账明细接口!$I$505),"")</f>
        <v/>
      </c>
      <c r="J505" s="18" t="str">
        <f>IFERROR(IF([1]对账明细接口!$J$505=0,"",[1]对账明细接口!$J$505),"")</f>
        <v/>
      </c>
      <c r="K505" s="18" t="str">
        <f>IFERROR(IF([1]对账明细接口!$K$505=0,"",[1]对账明细接口!$K$505),"")</f>
        <v/>
      </c>
      <c r="L505" s="16" t="str">
        <f>IFERROR(IF([1]对账明细接口!$L$505=0,"",[1]对账明细接口!$L$505),"")</f>
        <v/>
      </c>
      <c r="M505" s="16" t="str">
        <f>IFERROR(IF([1]对账明细接口!$M$505=0,"",[1]对账明细接口!$M$505),"")</f>
        <v/>
      </c>
      <c r="N505" s="19">
        <f t="shared" si="14"/>
        <v>0</v>
      </c>
      <c r="O505" s="19">
        <f t="shared" si="15"/>
        <v>420</v>
      </c>
      <c r="S505" s="20" t="str">
        <f>IFERROR(IF([1]对账明细接口!$N505=0,"",[1]对账明细接口!$N505),"")</f>
        <v/>
      </c>
      <c r="T505" s="21" t="str">
        <f>IFERROR(IF([1]对账明细接口!$O505=0,"",[1]对账明细接口!$O505),"")</f>
        <v/>
      </c>
      <c r="U505" s="21" t="str">
        <f>IFERROR(IF([1]对账明细接口!$P505=0,"",[1]对账明细接口!$P505),"")</f>
        <v/>
      </c>
      <c r="V505" s="21" t="str">
        <f>IFERROR(IF([1]对账明细接口!$Q505=0,"",[1]对账明细接口!$Q505),"")</f>
        <v/>
      </c>
      <c r="W505" s="20" t="str">
        <f>IFERROR(IF([1]对账明细接口!$R505=0,"",[1]对账明细接口!$R505),"")</f>
        <v/>
      </c>
      <c r="X505" s="20" t="str">
        <f>IFERROR(IF([1]对账明细接口!$S505=0,"",[1]对账明细接口!$S505),"")</f>
        <v/>
      </c>
      <c r="Y505" s="20" t="str">
        <f>IFERROR(IF([1]对账明细接口!$T505=0,"",[1]对账明细接口!$T505),"")</f>
        <v/>
      </c>
      <c r="Z505" s="24" t="str">
        <f>IFERROR(IF([1]对账明细接口!$U505=0,"",[1]对账明细接口!$U505),"")</f>
        <v/>
      </c>
      <c r="AA505" s="24" t="str">
        <f>IFERROR(IF([1]对账明细接口!$V505=0,"",[1]对账明细接口!$V505),"")</f>
        <v/>
      </c>
      <c r="AB505" s="20" t="str">
        <f>IFERROR(IF([1]对账明细接口!$W505=0,"",[1]对账明细接口!$W505),"")</f>
        <v/>
      </c>
      <c r="AC505" s="7" t="str">
        <f>IFERROR(IF([1]对账明细接口!$X505=0,"",[1]对账明细接口!$X505),"")</f>
        <v/>
      </c>
      <c r="AD505" s="7" t="str">
        <f>IFERROR(IF([1]对账明细接口!$Y505=0,"",[1]对账明细接口!$Y505),"")</f>
        <v/>
      </c>
      <c r="AE505" s="7" t="str">
        <f>IFERROR(IF([1]对账明细接口!$AA505=0,"",[1]对账明细接口!$AA505),"")</f>
        <v/>
      </c>
      <c r="AF505" s="7" t="str">
        <f>IFERROR(IF([1]对账明细接口!$AB505=0,"",[1]对账明细接口!$AB505),"")</f>
        <v/>
      </c>
      <c r="AG505" s="7" t="str">
        <f>IFERROR(IF([1]对账明细接口!$AC505=0,"",[1]对账明细接口!$AC505),"")</f>
        <v/>
      </c>
      <c r="AH505" s="7" t="str">
        <f>IFERROR(IF([1]对账明细接口!$AD505=0,"",[1]对账明细接口!$AD505),"")</f>
        <v/>
      </c>
      <c r="AI505" s="7" t="str">
        <f>IFERROR(IF([1]对账明细接口!$AE505=0,"",[1]对账明细接口!$AE505),"")</f>
        <v/>
      </c>
      <c r="AJ505" s="7" t="str">
        <f>IFERROR(IF([1]对账明细接口!$AF505=0,"",[1]对账明细接口!$AF505),"")</f>
        <v/>
      </c>
    </row>
    <row r="506" ht="14.25" customHeight="1" spans="1:36">
      <c r="A506" s="14">
        <v>506</v>
      </c>
      <c r="B506" s="15" t="str">
        <f>IFERROR(IF([1]对账明细接口!$B$506=0,"",[1]对账明细接口!$B$506),"")</f>
        <v/>
      </c>
      <c r="C506" s="16" t="str">
        <f>IFERROR(IF([1]对账明细接口!$C$506=0,"",[1]对账明细接口!$C$506),"")</f>
        <v/>
      </c>
      <c r="D506" s="16" t="str">
        <f>IFERROR(IF([1]对账明细接口!$D$506=0,"",[1]对账明细接口!$D$506),"")</f>
        <v/>
      </c>
      <c r="E506" s="16" t="str">
        <f>IFERROR(IF([1]对账明细接口!$E$506=0,"",[1]对账明细接口!$E$506),"")</f>
        <v/>
      </c>
      <c r="F506" s="16" t="str">
        <f>IFERROR(IF([1]对账明细接口!$F$506=0,"",[1]对账明细接口!$F$506),"")</f>
        <v/>
      </c>
      <c r="G506" s="16" t="str">
        <f>IFERROR(IF([1]对账明细接口!$G$506=0,"",[1]对账明细接口!$G$506),"")</f>
        <v/>
      </c>
      <c r="H506" s="17" t="str">
        <f>IFERROR(IF([1]对账明细接口!$H$506=0,"",[1]对账明细接口!$H$506),"")</f>
        <v/>
      </c>
      <c r="I506" s="16" t="str">
        <f>IFERROR(IF([1]对账明细接口!$I$506=0,"",[1]对账明细接口!$I$506),"")</f>
        <v/>
      </c>
      <c r="J506" s="18" t="str">
        <f>IFERROR(IF([1]对账明细接口!$J$506=0,"",[1]对账明细接口!$J$506),"")</f>
        <v/>
      </c>
      <c r="K506" s="18" t="str">
        <f>IFERROR(IF([1]对账明细接口!$K$506=0,"",[1]对账明细接口!$K$506),"")</f>
        <v/>
      </c>
      <c r="L506" s="16" t="str">
        <f>IFERROR(IF([1]对账明细接口!$L$506=0,"",[1]对账明细接口!$L$506),"")</f>
        <v/>
      </c>
      <c r="M506" s="16" t="str">
        <f>IFERROR(IF([1]对账明细接口!$M$506=0,"",[1]对账明细接口!$M$506),"")</f>
        <v/>
      </c>
      <c r="N506" s="19">
        <f t="shared" si="14"/>
        <v>0</v>
      </c>
      <c r="O506" s="19">
        <f t="shared" si="15"/>
        <v>420</v>
      </c>
      <c r="S506" s="20" t="str">
        <f>IFERROR(IF([1]对账明细接口!$N506=0,"",[1]对账明细接口!$N506),"")</f>
        <v/>
      </c>
      <c r="T506" s="21" t="str">
        <f>IFERROR(IF([1]对账明细接口!$O506=0,"",[1]对账明细接口!$O506),"")</f>
        <v/>
      </c>
      <c r="U506" s="21" t="str">
        <f>IFERROR(IF([1]对账明细接口!$P506=0,"",[1]对账明细接口!$P506),"")</f>
        <v/>
      </c>
      <c r="V506" s="21" t="str">
        <f>IFERROR(IF([1]对账明细接口!$Q506=0,"",[1]对账明细接口!$Q506),"")</f>
        <v/>
      </c>
      <c r="W506" s="20" t="str">
        <f>IFERROR(IF([1]对账明细接口!$R506=0,"",[1]对账明细接口!$R506),"")</f>
        <v/>
      </c>
      <c r="X506" s="20" t="str">
        <f>IFERROR(IF([1]对账明细接口!$S506=0,"",[1]对账明细接口!$S506),"")</f>
        <v/>
      </c>
      <c r="Y506" s="20" t="str">
        <f>IFERROR(IF([1]对账明细接口!$T506=0,"",[1]对账明细接口!$T506),"")</f>
        <v/>
      </c>
      <c r="Z506" s="24" t="str">
        <f>IFERROR(IF([1]对账明细接口!$U506=0,"",[1]对账明细接口!$U506),"")</f>
        <v/>
      </c>
      <c r="AA506" s="24" t="str">
        <f>IFERROR(IF([1]对账明细接口!$V506=0,"",[1]对账明细接口!$V506),"")</f>
        <v/>
      </c>
      <c r="AB506" s="20" t="str">
        <f>IFERROR(IF([1]对账明细接口!$W506=0,"",[1]对账明细接口!$W506),"")</f>
        <v/>
      </c>
      <c r="AC506" s="7" t="str">
        <f>IFERROR(IF([1]对账明细接口!$X506=0,"",[1]对账明细接口!$X506),"")</f>
        <v/>
      </c>
      <c r="AD506" s="7" t="str">
        <f>IFERROR(IF([1]对账明细接口!$Y506=0,"",[1]对账明细接口!$Y506),"")</f>
        <v/>
      </c>
      <c r="AE506" s="7" t="str">
        <f>IFERROR(IF([1]对账明细接口!$AA506=0,"",[1]对账明细接口!$AA506),"")</f>
        <v/>
      </c>
      <c r="AF506" s="7" t="str">
        <f>IFERROR(IF([1]对账明细接口!$AB506=0,"",[1]对账明细接口!$AB506),"")</f>
        <v/>
      </c>
      <c r="AG506" s="7" t="str">
        <f>IFERROR(IF([1]对账明细接口!$AC506=0,"",[1]对账明细接口!$AC506),"")</f>
        <v/>
      </c>
      <c r="AH506" s="7" t="str">
        <f>IFERROR(IF([1]对账明细接口!$AD506=0,"",[1]对账明细接口!$AD506),"")</f>
        <v/>
      </c>
      <c r="AI506" s="7" t="str">
        <f>IFERROR(IF([1]对账明细接口!$AE506=0,"",[1]对账明细接口!$AE506),"")</f>
        <v/>
      </c>
      <c r="AJ506" s="7" t="str">
        <f>IFERROR(IF([1]对账明细接口!$AF506=0,"",[1]对账明细接口!$AF506),"")</f>
        <v/>
      </c>
    </row>
    <row r="507" ht="14.25" customHeight="1" spans="1:36">
      <c r="A507" s="14">
        <v>507</v>
      </c>
      <c r="B507" s="15" t="str">
        <f>IFERROR(IF([1]对账明细接口!$B$507=0,"",[1]对账明细接口!$B$507),"")</f>
        <v/>
      </c>
      <c r="C507" s="16" t="str">
        <f>IFERROR(IF([1]对账明细接口!$C$507=0,"",[1]对账明细接口!$C$507),"")</f>
        <v/>
      </c>
      <c r="D507" s="16" t="str">
        <f>IFERROR(IF([1]对账明细接口!$D$507=0,"",[1]对账明细接口!$D$507),"")</f>
        <v/>
      </c>
      <c r="E507" s="16" t="str">
        <f>IFERROR(IF([1]对账明细接口!$E$507=0,"",[1]对账明细接口!$E$507),"")</f>
        <v/>
      </c>
      <c r="F507" s="16" t="str">
        <f>IFERROR(IF([1]对账明细接口!$F$507=0,"",[1]对账明细接口!$F$507),"")</f>
        <v/>
      </c>
      <c r="G507" s="16" t="str">
        <f>IFERROR(IF([1]对账明细接口!$G$507=0,"",[1]对账明细接口!$G$507),"")</f>
        <v/>
      </c>
      <c r="H507" s="17" t="str">
        <f>IFERROR(IF([1]对账明细接口!$H$507=0,"",[1]对账明细接口!$H$507),"")</f>
        <v/>
      </c>
      <c r="I507" s="16" t="str">
        <f>IFERROR(IF([1]对账明细接口!$I$507=0,"",[1]对账明细接口!$I$507),"")</f>
        <v/>
      </c>
      <c r="J507" s="18" t="str">
        <f>IFERROR(IF([1]对账明细接口!$J$507=0,"",[1]对账明细接口!$J$507),"")</f>
        <v/>
      </c>
      <c r="K507" s="18" t="str">
        <f>IFERROR(IF([1]对账明细接口!$K$507=0,"",[1]对账明细接口!$K$507),"")</f>
        <v/>
      </c>
      <c r="L507" s="16" t="str">
        <f>IFERROR(IF([1]对账明细接口!$L$507=0,"",[1]对账明细接口!$L$507),"")</f>
        <v/>
      </c>
      <c r="M507" s="16" t="str">
        <f>IFERROR(IF([1]对账明细接口!$M$507=0,"",[1]对账明细接口!$M$507),"")</f>
        <v/>
      </c>
      <c r="N507" s="19">
        <f t="shared" si="14"/>
        <v>0</v>
      </c>
      <c r="O507" s="19">
        <f t="shared" si="15"/>
        <v>420</v>
      </c>
      <c r="S507" s="20" t="str">
        <f>IFERROR(IF([1]对账明细接口!$N507=0,"",[1]对账明细接口!$N507),"")</f>
        <v/>
      </c>
      <c r="T507" s="21" t="str">
        <f>IFERROR(IF([1]对账明细接口!$O507=0,"",[1]对账明细接口!$O507),"")</f>
        <v/>
      </c>
      <c r="U507" s="21" t="str">
        <f>IFERROR(IF([1]对账明细接口!$P507=0,"",[1]对账明细接口!$P507),"")</f>
        <v/>
      </c>
      <c r="V507" s="21" t="str">
        <f>IFERROR(IF([1]对账明细接口!$Q507=0,"",[1]对账明细接口!$Q507),"")</f>
        <v/>
      </c>
      <c r="W507" s="20" t="str">
        <f>IFERROR(IF([1]对账明细接口!$R507=0,"",[1]对账明细接口!$R507),"")</f>
        <v/>
      </c>
      <c r="X507" s="20" t="str">
        <f>IFERROR(IF([1]对账明细接口!$S507=0,"",[1]对账明细接口!$S507),"")</f>
        <v/>
      </c>
      <c r="Y507" s="20" t="str">
        <f>IFERROR(IF([1]对账明细接口!$T507=0,"",[1]对账明细接口!$T507),"")</f>
        <v/>
      </c>
      <c r="Z507" s="24" t="str">
        <f>IFERROR(IF([1]对账明细接口!$U507=0,"",[1]对账明细接口!$U507),"")</f>
        <v/>
      </c>
      <c r="AA507" s="24" t="str">
        <f>IFERROR(IF([1]对账明细接口!$V507=0,"",[1]对账明细接口!$V507),"")</f>
        <v/>
      </c>
      <c r="AB507" s="20" t="str">
        <f>IFERROR(IF([1]对账明细接口!$W507=0,"",[1]对账明细接口!$W507),"")</f>
        <v/>
      </c>
      <c r="AC507" s="7" t="str">
        <f>IFERROR(IF([1]对账明细接口!$X507=0,"",[1]对账明细接口!$X507),"")</f>
        <v/>
      </c>
      <c r="AD507" s="7" t="str">
        <f>IFERROR(IF([1]对账明细接口!$Y507=0,"",[1]对账明细接口!$Y507),"")</f>
        <v/>
      </c>
      <c r="AE507" s="7" t="str">
        <f>IFERROR(IF([1]对账明细接口!$AA507=0,"",[1]对账明细接口!$AA507),"")</f>
        <v/>
      </c>
      <c r="AF507" s="7" t="str">
        <f>IFERROR(IF([1]对账明细接口!$AB507=0,"",[1]对账明细接口!$AB507),"")</f>
        <v/>
      </c>
      <c r="AG507" s="7" t="str">
        <f>IFERROR(IF([1]对账明细接口!$AC507=0,"",[1]对账明细接口!$AC507),"")</f>
        <v/>
      </c>
      <c r="AH507" s="7" t="str">
        <f>IFERROR(IF([1]对账明细接口!$AD507=0,"",[1]对账明细接口!$AD507),"")</f>
        <v/>
      </c>
      <c r="AI507" s="7" t="str">
        <f>IFERROR(IF([1]对账明细接口!$AE507=0,"",[1]对账明细接口!$AE507),"")</f>
        <v/>
      </c>
      <c r="AJ507" s="7" t="str">
        <f>IFERROR(IF([1]对账明细接口!$AF507=0,"",[1]对账明细接口!$AF507),"")</f>
        <v/>
      </c>
    </row>
    <row r="508" ht="14.25" customHeight="1" spans="1:36">
      <c r="A508" s="14">
        <v>508</v>
      </c>
      <c r="B508" s="15" t="str">
        <f>IFERROR(IF([1]对账明细接口!$B$508=0,"",[1]对账明细接口!$B$508),"")</f>
        <v/>
      </c>
      <c r="C508" s="16" t="str">
        <f>IFERROR(IF([1]对账明细接口!$C$508=0,"",[1]对账明细接口!$C$508),"")</f>
        <v/>
      </c>
      <c r="D508" s="16" t="str">
        <f>IFERROR(IF([1]对账明细接口!$D$508=0,"",[1]对账明细接口!$D$508),"")</f>
        <v/>
      </c>
      <c r="E508" s="16" t="str">
        <f>IFERROR(IF([1]对账明细接口!$E$508=0,"",[1]对账明细接口!$E$508),"")</f>
        <v/>
      </c>
      <c r="F508" s="16" t="str">
        <f>IFERROR(IF([1]对账明细接口!$F$508=0,"",[1]对账明细接口!$F$508),"")</f>
        <v/>
      </c>
      <c r="G508" s="16" t="str">
        <f>IFERROR(IF([1]对账明细接口!$G$508=0,"",[1]对账明细接口!$G$508),"")</f>
        <v/>
      </c>
      <c r="H508" s="17" t="str">
        <f>IFERROR(IF([1]对账明细接口!$H$508=0,"",[1]对账明细接口!$H$508),"")</f>
        <v/>
      </c>
      <c r="I508" s="16" t="str">
        <f>IFERROR(IF([1]对账明细接口!$I$508=0,"",[1]对账明细接口!$I$508),"")</f>
        <v/>
      </c>
      <c r="J508" s="18" t="str">
        <f>IFERROR(IF([1]对账明细接口!$J$508=0,"",[1]对账明细接口!$J$508),"")</f>
        <v/>
      </c>
      <c r="K508" s="18" t="str">
        <f>IFERROR(IF([1]对账明细接口!$K$508=0,"",[1]对账明细接口!$K$508),"")</f>
        <v/>
      </c>
      <c r="L508" s="16" t="str">
        <f>IFERROR(IF([1]对账明细接口!$L$508=0,"",[1]对账明细接口!$L$508),"")</f>
        <v/>
      </c>
      <c r="M508" s="16" t="str">
        <f>IFERROR(IF([1]对账明细接口!$M$508=0,"",[1]对账明细接口!$M$508),"")</f>
        <v/>
      </c>
      <c r="N508" s="19">
        <f t="shared" si="14"/>
        <v>0</v>
      </c>
      <c r="O508" s="19">
        <f t="shared" si="15"/>
        <v>420</v>
      </c>
      <c r="S508" s="20" t="str">
        <f>IFERROR(IF([1]对账明细接口!$N508=0,"",[1]对账明细接口!$N508),"")</f>
        <v/>
      </c>
      <c r="T508" s="21" t="str">
        <f>IFERROR(IF([1]对账明细接口!$O508=0,"",[1]对账明细接口!$O508),"")</f>
        <v/>
      </c>
      <c r="U508" s="21" t="str">
        <f>IFERROR(IF([1]对账明细接口!$P508=0,"",[1]对账明细接口!$P508),"")</f>
        <v/>
      </c>
      <c r="V508" s="21" t="str">
        <f>IFERROR(IF([1]对账明细接口!$Q508=0,"",[1]对账明细接口!$Q508),"")</f>
        <v/>
      </c>
      <c r="W508" s="20" t="str">
        <f>IFERROR(IF([1]对账明细接口!$R508=0,"",[1]对账明细接口!$R508),"")</f>
        <v/>
      </c>
      <c r="X508" s="20" t="str">
        <f>IFERROR(IF([1]对账明细接口!$S508=0,"",[1]对账明细接口!$S508),"")</f>
        <v/>
      </c>
      <c r="Y508" s="20" t="str">
        <f>IFERROR(IF([1]对账明细接口!$T508=0,"",[1]对账明细接口!$T508),"")</f>
        <v/>
      </c>
      <c r="Z508" s="24" t="str">
        <f>IFERROR(IF([1]对账明细接口!$U508=0,"",[1]对账明细接口!$U508),"")</f>
        <v/>
      </c>
      <c r="AA508" s="24" t="str">
        <f>IFERROR(IF([1]对账明细接口!$V508=0,"",[1]对账明细接口!$V508),"")</f>
        <v/>
      </c>
      <c r="AB508" s="20" t="str">
        <f>IFERROR(IF([1]对账明细接口!$W508=0,"",[1]对账明细接口!$W508),"")</f>
        <v/>
      </c>
      <c r="AC508" s="7" t="str">
        <f>IFERROR(IF([1]对账明细接口!$X508=0,"",[1]对账明细接口!$X508),"")</f>
        <v/>
      </c>
      <c r="AD508" s="7" t="str">
        <f>IFERROR(IF([1]对账明细接口!$Y508=0,"",[1]对账明细接口!$Y508),"")</f>
        <v/>
      </c>
      <c r="AE508" s="7" t="str">
        <f>IFERROR(IF([1]对账明细接口!$AA508=0,"",[1]对账明细接口!$AA508),"")</f>
        <v/>
      </c>
      <c r="AF508" s="7" t="str">
        <f>IFERROR(IF([1]对账明细接口!$AB508=0,"",[1]对账明细接口!$AB508),"")</f>
        <v/>
      </c>
      <c r="AG508" s="7" t="str">
        <f>IFERROR(IF([1]对账明细接口!$AC508=0,"",[1]对账明细接口!$AC508),"")</f>
        <v/>
      </c>
      <c r="AH508" s="7" t="str">
        <f>IFERROR(IF([1]对账明细接口!$AD508=0,"",[1]对账明细接口!$AD508),"")</f>
        <v/>
      </c>
      <c r="AI508" s="7" t="str">
        <f>IFERROR(IF([1]对账明细接口!$AE508=0,"",[1]对账明细接口!$AE508),"")</f>
        <v/>
      </c>
      <c r="AJ508" s="7" t="str">
        <f>IFERROR(IF([1]对账明细接口!$AF508=0,"",[1]对账明细接口!$AF508),"")</f>
        <v/>
      </c>
    </row>
    <row r="509" ht="14.25" customHeight="1" spans="1:36">
      <c r="A509" s="14">
        <v>509</v>
      </c>
      <c r="B509" s="15" t="str">
        <f>IFERROR(IF([1]对账明细接口!$B$509=0,"",[1]对账明细接口!$B$509),"")</f>
        <v/>
      </c>
      <c r="C509" s="16" t="str">
        <f>IFERROR(IF([1]对账明细接口!$C$509=0,"",[1]对账明细接口!$C$509),"")</f>
        <v/>
      </c>
      <c r="D509" s="16" t="str">
        <f>IFERROR(IF([1]对账明细接口!$D$509=0,"",[1]对账明细接口!$D$509),"")</f>
        <v/>
      </c>
      <c r="E509" s="16" t="str">
        <f>IFERROR(IF([1]对账明细接口!$E$509=0,"",[1]对账明细接口!$E$509),"")</f>
        <v/>
      </c>
      <c r="F509" s="16" t="str">
        <f>IFERROR(IF([1]对账明细接口!$F$509=0,"",[1]对账明细接口!$F$509),"")</f>
        <v/>
      </c>
      <c r="G509" s="16" t="str">
        <f>IFERROR(IF([1]对账明细接口!$G$509=0,"",[1]对账明细接口!$G$509),"")</f>
        <v/>
      </c>
      <c r="H509" s="17" t="str">
        <f>IFERROR(IF([1]对账明细接口!$H$509=0,"",[1]对账明细接口!$H$509),"")</f>
        <v/>
      </c>
      <c r="I509" s="16" t="str">
        <f>IFERROR(IF([1]对账明细接口!$I$509=0,"",[1]对账明细接口!$I$509),"")</f>
        <v/>
      </c>
      <c r="J509" s="18" t="str">
        <f>IFERROR(IF([1]对账明细接口!$J$509=0,"",[1]对账明细接口!$J$509),"")</f>
        <v/>
      </c>
      <c r="K509" s="18" t="str">
        <f>IFERROR(IF([1]对账明细接口!$K$509=0,"",[1]对账明细接口!$K$509),"")</f>
        <v/>
      </c>
      <c r="L509" s="16" t="str">
        <f>IFERROR(IF([1]对账明细接口!$L$509=0,"",[1]对账明细接口!$L$509),"")</f>
        <v/>
      </c>
      <c r="M509" s="16" t="str">
        <f>IFERROR(IF([1]对账明细接口!$M$509=0,"",[1]对账明细接口!$M$509),"")</f>
        <v/>
      </c>
      <c r="N509" s="19">
        <f t="shared" si="14"/>
        <v>0</v>
      </c>
      <c r="O509" s="19">
        <f t="shared" si="15"/>
        <v>420</v>
      </c>
      <c r="S509" s="20" t="str">
        <f>IFERROR(IF([1]对账明细接口!$N509=0,"",[1]对账明细接口!$N509),"")</f>
        <v/>
      </c>
      <c r="T509" s="21" t="str">
        <f>IFERROR(IF([1]对账明细接口!$O509=0,"",[1]对账明细接口!$O509),"")</f>
        <v/>
      </c>
      <c r="U509" s="21" t="str">
        <f>IFERROR(IF([1]对账明细接口!$P509=0,"",[1]对账明细接口!$P509),"")</f>
        <v/>
      </c>
      <c r="V509" s="21" t="str">
        <f>IFERROR(IF([1]对账明细接口!$Q509=0,"",[1]对账明细接口!$Q509),"")</f>
        <v/>
      </c>
      <c r="W509" s="20" t="str">
        <f>IFERROR(IF([1]对账明细接口!$R509=0,"",[1]对账明细接口!$R509),"")</f>
        <v/>
      </c>
      <c r="X509" s="20" t="str">
        <f>IFERROR(IF([1]对账明细接口!$S509=0,"",[1]对账明细接口!$S509),"")</f>
        <v/>
      </c>
      <c r="Y509" s="20" t="str">
        <f>IFERROR(IF([1]对账明细接口!$T509=0,"",[1]对账明细接口!$T509),"")</f>
        <v/>
      </c>
      <c r="Z509" s="24" t="str">
        <f>IFERROR(IF([1]对账明细接口!$U509=0,"",[1]对账明细接口!$U509),"")</f>
        <v/>
      </c>
      <c r="AA509" s="24" t="str">
        <f>IFERROR(IF([1]对账明细接口!$V509=0,"",[1]对账明细接口!$V509),"")</f>
        <v/>
      </c>
      <c r="AB509" s="20" t="str">
        <f>IFERROR(IF([1]对账明细接口!$W509=0,"",[1]对账明细接口!$W509),"")</f>
        <v/>
      </c>
      <c r="AC509" s="7" t="str">
        <f>IFERROR(IF([1]对账明细接口!$X509=0,"",[1]对账明细接口!$X509),"")</f>
        <v/>
      </c>
      <c r="AD509" s="7" t="str">
        <f>IFERROR(IF([1]对账明细接口!$Y509=0,"",[1]对账明细接口!$Y509),"")</f>
        <v/>
      </c>
      <c r="AE509" s="7" t="str">
        <f>IFERROR(IF([1]对账明细接口!$AA509=0,"",[1]对账明细接口!$AA509),"")</f>
        <v/>
      </c>
      <c r="AF509" s="7" t="str">
        <f>IFERROR(IF([1]对账明细接口!$AB509=0,"",[1]对账明细接口!$AB509),"")</f>
        <v/>
      </c>
      <c r="AG509" s="7" t="str">
        <f>IFERROR(IF([1]对账明细接口!$AC509=0,"",[1]对账明细接口!$AC509),"")</f>
        <v/>
      </c>
      <c r="AH509" s="7" t="str">
        <f>IFERROR(IF([1]对账明细接口!$AD509=0,"",[1]对账明细接口!$AD509),"")</f>
        <v/>
      </c>
      <c r="AI509" s="7" t="str">
        <f>IFERROR(IF([1]对账明细接口!$AE509=0,"",[1]对账明细接口!$AE509),"")</f>
        <v/>
      </c>
      <c r="AJ509" s="7" t="str">
        <f>IFERROR(IF([1]对账明细接口!$AF509=0,"",[1]对账明细接口!$AF509),"")</f>
        <v/>
      </c>
    </row>
    <row r="510" ht="14.25" customHeight="1" spans="1:36">
      <c r="A510" s="14">
        <v>510</v>
      </c>
      <c r="B510" s="15" t="str">
        <f>IFERROR(IF([1]对账明细接口!$B$510=0,"",[1]对账明细接口!$B$510),"")</f>
        <v/>
      </c>
      <c r="C510" s="16" t="str">
        <f>IFERROR(IF([1]对账明细接口!$C$510=0,"",[1]对账明细接口!$C$510),"")</f>
        <v/>
      </c>
      <c r="D510" s="16" t="str">
        <f>IFERROR(IF([1]对账明细接口!$D$510=0,"",[1]对账明细接口!$D$510),"")</f>
        <v/>
      </c>
      <c r="E510" s="16" t="str">
        <f>IFERROR(IF([1]对账明细接口!$E$510=0,"",[1]对账明细接口!$E$510),"")</f>
        <v/>
      </c>
      <c r="F510" s="16" t="str">
        <f>IFERROR(IF([1]对账明细接口!$F$510=0,"",[1]对账明细接口!$F$510),"")</f>
        <v/>
      </c>
      <c r="G510" s="16" t="str">
        <f>IFERROR(IF([1]对账明细接口!$G$510=0,"",[1]对账明细接口!$G$510),"")</f>
        <v/>
      </c>
      <c r="H510" s="17" t="str">
        <f>IFERROR(IF([1]对账明细接口!$H$510=0,"",[1]对账明细接口!$H$510),"")</f>
        <v/>
      </c>
      <c r="I510" s="16" t="str">
        <f>IFERROR(IF([1]对账明细接口!$I$510=0,"",[1]对账明细接口!$I$510),"")</f>
        <v/>
      </c>
      <c r="J510" s="18" t="str">
        <f>IFERROR(IF([1]对账明细接口!$J$510=0,"",[1]对账明细接口!$J$510),"")</f>
        <v/>
      </c>
      <c r="K510" s="18" t="str">
        <f>IFERROR(IF([1]对账明细接口!$K$510=0,"",[1]对账明细接口!$K$510),"")</f>
        <v/>
      </c>
      <c r="L510" s="16" t="str">
        <f>IFERROR(IF([1]对账明细接口!$L$510=0,"",[1]对账明细接口!$L$510),"")</f>
        <v/>
      </c>
      <c r="M510" s="16" t="str">
        <f>IFERROR(IF([1]对账明细接口!$M$510=0,"",[1]对账明细接口!$M$510),"")</f>
        <v/>
      </c>
      <c r="N510" s="19">
        <f t="shared" si="14"/>
        <v>0</v>
      </c>
      <c r="O510" s="19">
        <f t="shared" si="15"/>
        <v>420</v>
      </c>
      <c r="S510" s="20" t="str">
        <f>IFERROR(IF([1]对账明细接口!$N510=0,"",[1]对账明细接口!$N510),"")</f>
        <v/>
      </c>
      <c r="T510" s="21" t="str">
        <f>IFERROR(IF([1]对账明细接口!$O510=0,"",[1]对账明细接口!$O510),"")</f>
        <v/>
      </c>
      <c r="U510" s="21" t="str">
        <f>IFERROR(IF([1]对账明细接口!$P510=0,"",[1]对账明细接口!$P510),"")</f>
        <v/>
      </c>
      <c r="V510" s="21" t="str">
        <f>IFERROR(IF([1]对账明细接口!$Q510=0,"",[1]对账明细接口!$Q510),"")</f>
        <v/>
      </c>
      <c r="W510" s="20" t="str">
        <f>IFERROR(IF([1]对账明细接口!$R510=0,"",[1]对账明细接口!$R510),"")</f>
        <v/>
      </c>
      <c r="X510" s="20" t="str">
        <f>IFERROR(IF([1]对账明细接口!$S510=0,"",[1]对账明细接口!$S510),"")</f>
        <v/>
      </c>
      <c r="Y510" s="20" t="str">
        <f>IFERROR(IF([1]对账明细接口!$T510=0,"",[1]对账明细接口!$T510),"")</f>
        <v/>
      </c>
      <c r="Z510" s="24" t="str">
        <f>IFERROR(IF([1]对账明细接口!$U510=0,"",[1]对账明细接口!$U510),"")</f>
        <v/>
      </c>
      <c r="AA510" s="24" t="str">
        <f>IFERROR(IF([1]对账明细接口!$V510=0,"",[1]对账明细接口!$V510),"")</f>
        <v/>
      </c>
      <c r="AB510" s="20" t="str">
        <f>IFERROR(IF([1]对账明细接口!$W510=0,"",[1]对账明细接口!$W510),"")</f>
        <v/>
      </c>
      <c r="AC510" s="7" t="str">
        <f>IFERROR(IF([1]对账明细接口!$X510=0,"",[1]对账明细接口!$X510),"")</f>
        <v/>
      </c>
      <c r="AD510" s="7" t="str">
        <f>IFERROR(IF([1]对账明细接口!$Y510=0,"",[1]对账明细接口!$Y510),"")</f>
        <v/>
      </c>
      <c r="AE510" s="7" t="str">
        <f>IFERROR(IF([1]对账明细接口!$AA510=0,"",[1]对账明细接口!$AA510),"")</f>
        <v/>
      </c>
      <c r="AF510" s="7" t="str">
        <f>IFERROR(IF([1]对账明细接口!$AB510=0,"",[1]对账明细接口!$AB510),"")</f>
        <v/>
      </c>
      <c r="AG510" s="7" t="str">
        <f>IFERROR(IF([1]对账明细接口!$AC510=0,"",[1]对账明细接口!$AC510),"")</f>
        <v/>
      </c>
      <c r="AH510" s="7" t="str">
        <f>IFERROR(IF([1]对账明细接口!$AD510=0,"",[1]对账明细接口!$AD510),"")</f>
        <v/>
      </c>
      <c r="AI510" s="7" t="str">
        <f>IFERROR(IF([1]对账明细接口!$AE510=0,"",[1]对账明细接口!$AE510),"")</f>
        <v/>
      </c>
      <c r="AJ510" s="7" t="str">
        <f>IFERROR(IF([1]对账明细接口!$AF510=0,"",[1]对账明细接口!$AF510),"")</f>
        <v/>
      </c>
    </row>
    <row r="511" ht="14.25" customHeight="1" spans="1:36">
      <c r="A511" s="14">
        <v>511</v>
      </c>
      <c r="B511" s="15" t="str">
        <f>IFERROR(IF([1]对账明细接口!$B$511=0,"",[1]对账明细接口!$B$511),"")</f>
        <v/>
      </c>
      <c r="C511" s="16" t="str">
        <f>IFERROR(IF([1]对账明细接口!$C$511=0,"",[1]对账明细接口!$C$511),"")</f>
        <v/>
      </c>
      <c r="D511" s="16" t="str">
        <f>IFERROR(IF([1]对账明细接口!$D$511=0,"",[1]对账明细接口!$D$511),"")</f>
        <v/>
      </c>
      <c r="E511" s="16" t="str">
        <f>IFERROR(IF([1]对账明细接口!$E$511=0,"",[1]对账明细接口!$E$511),"")</f>
        <v/>
      </c>
      <c r="F511" s="16" t="str">
        <f>IFERROR(IF([1]对账明细接口!$F$511=0,"",[1]对账明细接口!$F$511),"")</f>
        <v/>
      </c>
      <c r="G511" s="16" t="str">
        <f>IFERROR(IF([1]对账明细接口!$G$511=0,"",[1]对账明细接口!$G$511),"")</f>
        <v/>
      </c>
      <c r="H511" s="17" t="str">
        <f>IFERROR(IF([1]对账明细接口!$H$511=0,"",[1]对账明细接口!$H$511),"")</f>
        <v/>
      </c>
      <c r="I511" s="16" t="str">
        <f>IFERROR(IF([1]对账明细接口!$I$511=0,"",[1]对账明细接口!$I$511),"")</f>
        <v/>
      </c>
      <c r="J511" s="18" t="str">
        <f>IFERROR(IF([1]对账明细接口!$J$511=0,"",[1]对账明细接口!$J$511),"")</f>
        <v/>
      </c>
      <c r="K511" s="18" t="str">
        <f>IFERROR(IF([1]对账明细接口!$K$511=0,"",[1]对账明细接口!$K$511),"")</f>
        <v/>
      </c>
      <c r="L511" s="16" t="str">
        <f>IFERROR(IF([1]对账明细接口!$L$511=0,"",[1]对账明细接口!$L$511),"")</f>
        <v/>
      </c>
      <c r="M511" s="16" t="str">
        <f>IFERROR(IF([1]对账明细接口!$M$511=0,"",[1]对账明细接口!$M$511),"")</f>
        <v/>
      </c>
      <c r="N511" s="19">
        <f t="shared" si="14"/>
        <v>0</v>
      </c>
      <c r="O511" s="19">
        <f t="shared" si="15"/>
        <v>420</v>
      </c>
      <c r="S511" s="20" t="str">
        <f>IFERROR(IF([1]对账明细接口!$N511=0,"",[1]对账明细接口!$N511),"")</f>
        <v/>
      </c>
      <c r="T511" s="21" t="str">
        <f>IFERROR(IF([1]对账明细接口!$O511=0,"",[1]对账明细接口!$O511),"")</f>
        <v/>
      </c>
      <c r="U511" s="21" t="str">
        <f>IFERROR(IF([1]对账明细接口!$P511=0,"",[1]对账明细接口!$P511),"")</f>
        <v/>
      </c>
      <c r="V511" s="21" t="str">
        <f>IFERROR(IF([1]对账明细接口!$Q511=0,"",[1]对账明细接口!$Q511),"")</f>
        <v/>
      </c>
      <c r="W511" s="20" t="str">
        <f>IFERROR(IF([1]对账明细接口!$R511=0,"",[1]对账明细接口!$R511),"")</f>
        <v/>
      </c>
      <c r="X511" s="20" t="str">
        <f>IFERROR(IF([1]对账明细接口!$S511=0,"",[1]对账明细接口!$S511),"")</f>
        <v/>
      </c>
      <c r="Y511" s="20" t="str">
        <f>IFERROR(IF([1]对账明细接口!$T511=0,"",[1]对账明细接口!$T511),"")</f>
        <v/>
      </c>
      <c r="Z511" s="24" t="str">
        <f>IFERROR(IF([1]对账明细接口!$U511=0,"",[1]对账明细接口!$U511),"")</f>
        <v/>
      </c>
      <c r="AA511" s="24" t="str">
        <f>IFERROR(IF([1]对账明细接口!$V511=0,"",[1]对账明细接口!$V511),"")</f>
        <v/>
      </c>
      <c r="AB511" s="20" t="str">
        <f>IFERROR(IF([1]对账明细接口!$W511=0,"",[1]对账明细接口!$W511),"")</f>
        <v/>
      </c>
      <c r="AC511" s="7" t="str">
        <f>IFERROR(IF([1]对账明细接口!$X511=0,"",[1]对账明细接口!$X511),"")</f>
        <v/>
      </c>
      <c r="AD511" s="7" t="str">
        <f>IFERROR(IF([1]对账明细接口!$Y511=0,"",[1]对账明细接口!$Y511),"")</f>
        <v/>
      </c>
      <c r="AE511" s="7" t="str">
        <f>IFERROR(IF([1]对账明细接口!$AA511=0,"",[1]对账明细接口!$AA511),"")</f>
        <v/>
      </c>
      <c r="AF511" s="7" t="str">
        <f>IFERROR(IF([1]对账明细接口!$AB511=0,"",[1]对账明细接口!$AB511),"")</f>
        <v/>
      </c>
      <c r="AG511" s="7" t="str">
        <f>IFERROR(IF([1]对账明细接口!$AC511=0,"",[1]对账明细接口!$AC511),"")</f>
        <v/>
      </c>
      <c r="AH511" s="7" t="str">
        <f>IFERROR(IF([1]对账明细接口!$AD511=0,"",[1]对账明细接口!$AD511),"")</f>
        <v/>
      </c>
      <c r="AI511" s="7" t="str">
        <f>IFERROR(IF([1]对账明细接口!$AE511=0,"",[1]对账明细接口!$AE511),"")</f>
        <v/>
      </c>
      <c r="AJ511" s="7" t="str">
        <f>IFERROR(IF([1]对账明细接口!$AF511=0,"",[1]对账明细接口!$AF511),"")</f>
        <v/>
      </c>
    </row>
    <row r="512" ht="14.25" customHeight="1" spans="1:36">
      <c r="A512" s="14">
        <v>512</v>
      </c>
      <c r="B512" s="15" t="str">
        <f>IFERROR(IF([1]对账明细接口!$B$512=0,"",[1]对账明细接口!$B$512),"")</f>
        <v/>
      </c>
      <c r="C512" s="16" t="str">
        <f>IFERROR(IF([1]对账明细接口!$C$512=0,"",[1]对账明细接口!$C$512),"")</f>
        <v/>
      </c>
      <c r="D512" s="16" t="str">
        <f>IFERROR(IF([1]对账明细接口!$D$512=0,"",[1]对账明细接口!$D$512),"")</f>
        <v/>
      </c>
      <c r="E512" s="16" t="str">
        <f>IFERROR(IF([1]对账明细接口!$E$512=0,"",[1]对账明细接口!$E$512),"")</f>
        <v/>
      </c>
      <c r="F512" s="16" t="str">
        <f>IFERROR(IF([1]对账明细接口!$F$512=0,"",[1]对账明细接口!$F$512),"")</f>
        <v/>
      </c>
      <c r="G512" s="16" t="str">
        <f>IFERROR(IF([1]对账明细接口!$G$512=0,"",[1]对账明细接口!$G$512),"")</f>
        <v/>
      </c>
      <c r="H512" s="17" t="str">
        <f>IFERROR(IF([1]对账明细接口!$H$512=0,"",[1]对账明细接口!$H$512),"")</f>
        <v/>
      </c>
      <c r="I512" s="16" t="str">
        <f>IFERROR(IF([1]对账明细接口!$I$512=0,"",[1]对账明细接口!$I$512),"")</f>
        <v/>
      </c>
      <c r="J512" s="18" t="str">
        <f>IFERROR(IF([1]对账明细接口!$J$512=0,"",[1]对账明细接口!$J$512),"")</f>
        <v/>
      </c>
      <c r="K512" s="18" t="str">
        <f>IFERROR(IF([1]对账明细接口!$K$512=0,"",[1]对账明细接口!$K$512),"")</f>
        <v/>
      </c>
      <c r="L512" s="16" t="str">
        <f>IFERROR(IF([1]对账明细接口!$L$512=0,"",[1]对账明细接口!$L$512),"")</f>
        <v/>
      </c>
      <c r="M512" s="16" t="str">
        <f>IFERROR(IF([1]对账明细接口!$M$512=0,"",[1]对账明细接口!$M$512),"")</f>
        <v/>
      </c>
      <c r="N512" s="19">
        <f t="shared" si="14"/>
        <v>0</v>
      </c>
      <c r="O512" s="19">
        <f t="shared" si="15"/>
        <v>420</v>
      </c>
      <c r="S512" s="20" t="str">
        <f>IFERROR(IF([1]对账明细接口!$N512=0,"",[1]对账明细接口!$N512),"")</f>
        <v/>
      </c>
      <c r="T512" s="21" t="str">
        <f>IFERROR(IF([1]对账明细接口!$O512=0,"",[1]对账明细接口!$O512),"")</f>
        <v/>
      </c>
      <c r="U512" s="21" t="str">
        <f>IFERROR(IF([1]对账明细接口!$P512=0,"",[1]对账明细接口!$P512),"")</f>
        <v/>
      </c>
      <c r="V512" s="21" t="str">
        <f>IFERROR(IF([1]对账明细接口!$Q512=0,"",[1]对账明细接口!$Q512),"")</f>
        <v/>
      </c>
      <c r="W512" s="20" t="str">
        <f>IFERROR(IF([1]对账明细接口!$R512=0,"",[1]对账明细接口!$R512),"")</f>
        <v/>
      </c>
      <c r="X512" s="20" t="str">
        <f>IFERROR(IF([1]对账明细接口!$S512=0,"",[1]对账明细接口!$S512),"")</f>
        <v/>
      </c>
      <c r="Y512" s="20" t="str">
        <f>IFERROR(IF([1]对账明细接口!$T512=0,"",[1]对账明细接口!$T512),"")</f>
        <v/>
      </c>
      <c r="Z512" s="24" t="str">
        <f>IFERROR(IF([1]对账明细接口!$U512=0,"",[1]对账明细接口!$U512),"")</f>
        <v/>
      </c>
      <c r="AA512" s="24" t="str">
        <f>IFERROR(IF([1]对账明细接口!$V512=0,"",[1]对账明细接口!$V512),"")</f>
        <v/>
      </c>
      <c r="AB512" s="20" t="str">
        <f>IFERROR(IF([1]对账明细接口!$W512=0,"",[1]对账明细接口!$W512),"")</f>
        <v/>
      </c>
      <c r="AC512" s="7" t="str">
        <f>IFERROR(IF([1]对账明细接口!$X512=0,"",[1]对账明细接口!$X512),"")</f>
        <v/>
      </c>
      <c r="AD512" s="7" t="str">
        <f>IFERROR(IF([1]对账明细接口!$Y512=0,"",[1]对账明细接口!$Y512),"")</f>
        <v/>
      </c>
      <c r="AE512" s="7" t="str">
        <f>IFERROR(IF([1]对账明细接口!$AA512=0,"",[1]对账明细接口!$AA512),"")</f>
        <v/>
      </c>
      <c r="AF512" s="7" t="str">
        <f>IFERROR(IF([1]对账明细接口!$AB512=0,"",[1]对账明细接口!$AB512),"")</f>
        <v/>
      </c>
      <c r="AG512" s="7" t="str">
        <f>IFERROR(IF([1]对账明细接口!$AC512=0,"",[1]对账明细接口!$AC512),"")</f>
        <v/>
      </c>
      <c r="AH512" s="7" t="str">
        <f>IFERROR(IF([1]对账明细接口!$AD512=0,"",[1]对账明细接口!$AD512),"")</f>
        <v/>
      </c>
      <c r="AI512" s="7" t="str">
        <f>IFERROR(IF([1]对账明细接口!$AE512=0,"",[1]对账明细接口!$AE512),"")</f>
        <v/>
      </c>
      <c r="AJ512" s="7" t="str">
        <f>IFERROR(IF([1]对账明细接口!$AF512=0,"",[1]对账明细接口!$AF512),"")</f>
        <v/>
      </c>
    </row>
    <row r="513" ht="14.25" customHeight="1" spans="1:36">
      <c r="A513" s="14">
        <v>513</v>
      </c>
      <c r="B513" s="15" t="str">
        <f>IFERROR(IF([1]对账明细接口!$B$513=0,"",[1]对账明细接口!$B$513),"")</f>
        <v/>
      </c>
      <c r="C513" s="16" t="str">
        <f>IFERROR(IF([1]对账明细接口!$C$513=0,"",[1]对账明细接口!$C$513),"")</f>
        <v/>
      </c>
      <c r="D513" s="16" t="str">
        <f>IFERROR(IF([1]对账明细接口!$D$513=0,"",[1]对账明细接口!$D$513),"")</f>
        <v/>
      </c>
      <c r="E513" s="16" t="str">
        <f>IFERROR(IF([1]对账明细接口!$E$513=0,"",[1]对账明细接口!$E$513),"")</f>
        <v/>
      </c>
      <c r="F513" s="16" t="str">
        <f>IFERROR(IF([1]对账明细接口!$F$513=0,"",[1]对账明细接口!$F$513),"")</f>
        <v/>
      </c>
      <c r="G513" s="16" t="str">
        <f>IFERROR(IF([1]对账明细接口!$G$513=0,"",[1]对账明细接口!$G$513),"")</f>
        <v/>
      </c>
      <c r="H513" s="17" t="str">
        <f>IFERROR(IF([1]对账明细接口!$H$513=0,"",[1]对账明细接口!$H$513),"")</f>
        <v/>
      </c>
      <c r="I513" s="16" t="str">
        <f>IFERROR(IF([1]对账明细接口!$I$513=0,"",[1]对账明细接口!$I$513),"")</f>
        <v/>
      </c>
      <c r="J513" s="18" t="str">
        <f>IFERROR(IF([1]对账明细接口!$J$513=0,"",[1]对账明细接口!$J$513),"")</f>
        <v/>
      </c>
      <c r="K513" s="18" t="str">
        <f>IFERROR(IF([1]对账明细接口!$K$513=0,"",[1]对账明细接口!$K$513),"")</f>
        <v/>
      </c>
      <c r="L513" s="16" t="str">
        <f>IFERROR(IF([1]对账明细接口!$L$513=0,"",[1]对账明细接口!$L$513),"")</f>
        <v/>
      </c>
      <c r="M513" s="16" t="str">
        <f>IFERROR(IF([1]对账明细接口!$M$513=0,"",[1]对账明细接口!$M$513),"")</f>
        <v/>
      </c>
      <c r="N513" s="19">
        <f t="shared" si="14"/>
        <v>0</v>
      </c>
      <c r="O513" s="19">
        <f t="shared" si="15"/>
        <v>420</v>
      </c>
      <c r="S513" s="20" t="str">
        <f>IFERROR(IF([1]对账明细接口!$N513=0,"",[1]对账明细接口!$N513),"")</f>
        <v/>
      </c>
      <c r="T513" s="21" t="str">
        <f>IFERROR(IF([1]对账明细接口!$O513=0,"",[1]对账明细接口!$O513),"")</f>
        <v/>
      </c>
      <c r="U513" s="21" t="str">
        <f>IFERROR(IF([1]对账明细接口!$P513=0,"",[1]对账明细接口!$P513),"")</f>
        <v/>
      </c>
      <c r="V513" s="21" t="str">
        <f>IFERROR(IF([1]对账明细接口!$Q513=0,"",[1]对账明细接口!$Q513),"")</f>
        <v/>
      </c>
      <c r="W513" s="20" t="str">
        <f>IFERROR(IF([1]对账明细接口!$R513=0,"",[1]对账明细接口!$R513),"")</f>
        <v/>
      </c>
      <c r="X513" s="20" t="str">
        <f>IFERROR(IF([1]对账明细接口!$S513=0,"",[1]对账明细接口!$S513),"")</f>
        <v/>
      </c>
      <c r="Y513" s="20" t="str">
        <f>IFERROR(IF([1]对账明细接口!$T513=0,"",[1]对账明细接口!$T513),"")</f>
        <v/>
      </c>
      <c r="Z513" s="24" t="str">
        <f>IFERROR(IF([1]对账明细接口!$U513=0,"",[1]对账明细接口!$U513),"")</f>
        <v/>
      </c>
      <c r="AA513" s="24" t="str">
        <f>IFERROR(IF([1]对账明细接口!$V513=0,"",[1]对账明细接口!$V513),"")</f>
        <v/>
      </c>
      <c r="AB513" s="20" t="str">
        <f>IFERROR(IF([1]对账明细接口!$W513=0,"",[1]对账明细接口!$W513),"")</f>
        <v/>
      </c>
      <c r="AC513" s="7" t="str">
        <f>IFERROR(IF([1]对账明细接口!$X513=0,"",[1]对账明细接口!$X513),"")</f>
        <v/>
      </c>
      <c r="AD513" s="7" t="str">
        <f>IFERROR(IF([1]对账明细接口!$Y513=0,"",[1]对账明细接口!$Y513),"")</f>
        <v/>
      </c>
      <c r="AE513" s="7" t="str">
        <f>IFERROR(IF([1]对账明细接口!$AA513=0,"",[1]对账明细接口!$AA513),"")</f>
        <v/>
      </c>
      <c r="AF513" s="7" t="str">
        <f>IFERROR(IF([1]对账明细接口!$AB513=0,"",[1]对账明细接口!$AB513),"")</f>
        <v/>
      </c>
      <c r="AG513" s="7" t="str">
        <f>IFERROR(IF([1]对账明细接口!$AC513=0,"",[1]对账明细接口!$AC513),"")</f>
        <v/>
      </c>
      <c r="AH513" s="7" t="str">
        <f>IFERROR(IF([1]对账明细接口!$AD513=0,"",[1]对账明细接口!$AD513),"")</f>
        <v/>
      </c>
      <c r="AI513" s="7" t="str">
        <f>IFERROR(IF([1]对账明细接口!$AE513=0,"",[1]对账明细接口!$AE513),"")</f>
        <v/>
      </c>
      <c r="AJ513" s="7" t="str">
        <f>IFERROR(IF([1]对账明细接口!$AF513=0,"",[1]对账明细接口!$AF513),"")</f>
        <v/>
      </c>
    </row>
    <row r="514" ht="14.25" customHeight="1" spans="1:36">
      <c r="A514" s="14">
        <v>514</v>
      </c>
      <c r="B514" s="15" t="str">
        <f>IFERROR(IF([1]对账明细接口!$B$514=0,"",[1]对账明细接口!$B$514),"")</f>
        <v/>
      </c>
      <c r="C514" s="16" t="str">
        <f>IFERROR(IF([1]对账明细接口!$C$514=0,"",[1]对账明细接口!$C$514),"")</f>
        <v/>
      </c>
      <c r="D514" s="16" t="str">
        <f>IFERROR(IF([1]对账明细接口!$D$514=0,"",[1]对账明细接口!$D$514),"")</f>
        <v/>
      </c>
      <c r="E514" s="16" t="str">
        <f>IFERROR(IF([1]对账明细接口!$E$514=0,"",[1]对账明细接口!$E$514),"")</f>
        <v/>
      </c>
      <c r="F514" s="16" t="str">
        <f>IFERROR(IF([1]对账明细接口!$F$514=0,"",[1]对账明细接口!$F$514),"")</f>
        <v/>
      </c>
      <c r="G514" s="16" t="str">
        <f>IFERROR(IF([1]对账明细接口!$G$514=0,"",[1]对账明细接口!$G$514),"")</f>
        <v/>
      </c>
      <c r="H514" s="17" t="str">
        <f>IFERROR(IF([1]对账明细接口!$H$514=0,"",[1]对账明细接口!$H$514),"")</f>
        <v/>
      </c>
      <c r="I514" s="16" t="str">
        <f>IFERROR(IF([1]对账明细接口!$I$514=0,"",[1]对账明细接口!$I$514),"")</f>
        <v/>
      </c>
      <c r="J514" s="18" t="str">
        <f>IFERROR(IF([1]对账明细接口!$J$514=0,"",[1]对账明细接口!$J$514),"")</f>
        <v/>
      </c>
      <c r="K514" s="18" t="str">
        <f>IFERROR(IF([1]对账明细接口!$K$514=0,"",[1]对账明细接口!$K$514),"")</f>
        <v/>
      </c>
      <c r="L514" s="16" t="str">
        <f>IFERROR(IF([1]对账明细接口!$L$514=0,"",[1]对账明细接口!$L$514),"")</f>
        <v/>
      </c>
      <c r="M514" s="16" t="str">
        <f>IFERROR(IF([1]对账明细接口!$M$514=0,"",[1]对账明细接口!$M$514),"")</f>
        <v/>
      </c>
      <c r="N514" s="19">
        <f t="shared" si="14"/>
        <v>0</v>
      </c>
      <c r="O514" s="19">
        <f t="shared" si="15"/>
        <v>420</v>
      </c>
      <c r="S514" s="20" t="str">
        <f>IFERROR(IF([1]对账明细接口!$N514=0,"",[1]对账明细接口!$N514),"")</f>
        <v/>
      </c>
      <c r="T514" s="21" t="str">
        <f>IFERROR(IF([1]对账明细接口!$O514=0,"",[1]对账明细接口!$O514),"")</f>
        <v/>
      </c>
      <c r="U514" s="21" t="str">
        <f>IFERROR(IF([1]对账明细接口!$P514=0,"",[1]对账明细接口!$P514),"")</f>
        <v/>
      </c>
      <c r="V514" s="21" t="str">
        <f>IFERROR(IF([1]对账明细接口!$Q514=0,"",[1]对账明细接口!$Q514),"")</f>
        <v/>
      </c>
      <c r="W514" s="20" t="str">
        <f>IFERROR(IF([1]对账明细接口!$R514=0,"",[1]对账明细接口!$R514),"")</f>
        <v/>
      </c>
      <c r="X514" s="20" t="str">
        <f>IFERROR(IF([1]对账明细接口!$S514=0,"",[1]对账明细接口!$S514),"")</f>
        <v/>
      </c>
      <c r="Y514" s="20" t="str">
        <f>IFERROR(IF([1]对账明细接口!$T514=0,"",[1]对账明细接口!$T514),"")</f>
        <v/>
      </c>
      <c r="Z514" s="24" t="str">
        <f>IFERROR(IF([1]对账明细接口!$U514=0,"",[1]对账明细接口!$U514),"")</f>
        <v/>
      </c>
      <c r="AA514" s="24" t="str">
        <f>IFERROR(IF([1]对账明细接口!$V514=0,"",[1]对账明细接口!$V514),"")</f>
        <v/>
      </c>
      <c r="AB514" s="20" t="str">
        <f>IFERROR(IF([1]对账明细接口!$W514=0,"",[1]对账明细接口!$W514),"")</f>
        <v/>
      </c>
      <c r="AC514" s="7" t="str">
        <f>IFERROR(IF([1]对账明细接口!$X514=0,"",[1]对账明细接口!$X514),"")</f>
        <v/>
      </c>
      <c r="AD514" s="7" t="str">
        <f>IFERROR(IF([1]对账明细接口!$Y514=0,"",[1]对账明细接口!$Y514),"")</f>
        <v/>
      </c>
      <c r="AE514" s="7" t="str">
        <f>IFERROR(IF([1]对账明细接口!$AA514=0,"",[1]对账明细接口!$AA514),"")</f>
        <v/>
      </c>
      <c r="AF514" s="7" t="str">
        <f>IFERROR(IF([1]对账明细接口!$AB514=0,"",[1]对账明细接口!$AB514),"")</f>
        <v/>
      </c>
      <c r="AG514" s="7" t="str">
        <f>IFERROR(IF([1]对账明细接口!$AC514=0,"",[1]对账明细接口!$AC514),"")</f>
        <v/>
      </c>
      <c r="AH514" s="7" t="str">
        <f>IFERROR(IF([1]对账明细接口!$AD514=0,"",[1]对账明细接口!$AD514),"")</f>
        <v/>
      </c>
      <c r="AI514" s="7" t="str">
        <f>IFERROR(IF([1]对账明细接口!$AE514=0,"",[1]对账明细接口!$AE514),"")</f>
        <v/>
      </c>
      <c r="AJ514" s="7" t="str">
        <f>IFERROR(IF([1]对账明细接口!$AF514=0,"",[1]对账明细接口!$AF514),"")</f>
        <v/>
      </c>
    </row>
    <row r="515" ht="14.25" customHeight="1" spans="1:36">
      <c r="A515" s="14">
        <v>515</v>
      </c>
      <c r="B515" s="15" t="str">
        <f>IFERROR(IF([1]对账明细接口!$B$515=0,"",[1]对账明细接口!$B$515),"")</f>
        <v/>
      </c>
      <c r="C515" s="16" t="str">
        <f>IFERROR(IF([1]对账明细接口!$C$515=0,"",[1]对账明细接口!$C$515),"")</f>
        <v/>
      </c>
      <c r="D515" s="16" t="str">
        <f>IFERROR(IF([1]对账明细接口!$D$515=0,"",[1]对账明细接口!$D$515),"")</f>
        <v/>
      </c>
      <c r="E515" s="16" t="str">
        <f>IFERROR(IF([1]对账明细接口!$E$515=0,"",[1]对账明细接口!$E$515),"")</f>
        <v/>
      </c>
      <c r="F515" s="16" t="str">
        <f>IFERROR(IF([1]对账明细接口!$F$515=0,"",[1]对账明细接口!$F$515),"")</f>
        <v/>
      </c>
      <c r="G515" s="16" t="str">
        <f>IFERROR(IF([1]对账明细接口!$G$515=0,"",[1]对账明细接口!$G$515),"")</f>
        <v/>
      </c>
      <c r="H515" s="17" t="str">
        <f>IFERROR(IF([1]对账明细接口!$H$515=0,"",[1]对账明细接口!$H$515),"")</f>
        <v/>
      </c>
      <c r="I515" s="16" t="str">
        <f>IFERROR(IF([1]对账明细接口!$I$515=0,"",[1]对账明细接口!$I$515),"")</f>
        <v/>
      </c>
      <c r="J515" s="18" t="str">
        <f>IFERROR(IF([1]对账明细接口!$J$515=0,"",[1]对账明细接口!$J$515),"")</f>
        <v/>
      </c>
      <c r="K515" s="18" t="str">
        <f>IFERROR(IF([1]对账明细接口!$K$515=0,"",[1]对账明细接口!$K$515),"")</f>
        <v/>
      </c>
      <c r="L515" s="16" t="str">
        <f>IFERROR(IF([1]对账明细接口!$L$515=0,"",[1]对账明细接口!$L$515),"")</f>
        <v/>
      </c>
      <c r="M515" s="16" t="str">
        <f>IFERROR(IF([1]对账明细接口!$M$515=0,"",[1]对账明细接口!$M$515),"")</f>
        <v/>
      </c>
      <c r="N515" s="19">
        <f t="shared" si="14"/>
        <v>0</v>
      </c>
      <c r="O515" s="19">
        <f t="shared" si="15"/>
        <v>420</v>
      </c>
      <c r="S515" s="20" t="str">
        <f>IFERROR(IF([1]对账明细接口!$N515=0,"",[1]对账明细接口!$N515),"")</f>
        <v/>
      </c>
      <c r="T515" s="21" t="str">
        <f>IFERROR(IF([1]对账明细接口!$O515=0,"",[1]对账明细接口!$O515),"")</f>
        <v/>
      </c>
      <c r="U515" s="21" t="str">
        <f>IFERROR(IF([1]对账明细接口!$P515=0,"",[1]对账明细接口!$P515),"")</f>
        <v/>
      </c>
      <c r="V515" s="21" t="str">
        <f>IFERROR(IF([1]对账明细接口!$Q515=0,"",[1]对账明细接口!$Q515),"")</f>
        <v/>
      </c>
      <c r="W515" s="20" t="str">
        <f>IFERROR(IF([1]对账明细接口!$R515=0,"",[1]对账明细接口!$R515),"")</f>
        <v/>
      </c>
      <c r="X515" s="20" t="str">
        <f>IFERROR(IF([1]对账明细接口!$S515=0,"",[1]对账明细接口!$S515),"")</f>
        <v/>
      </c>
      <c r="Y515" s="20" t="str">
        <f>IFERROR(IF([1]对账明细接口!$T515=0,"",[1]对账明细接口!$T515),"")</f>
        <v/>
      </c>
      <c r="Z515" s="24" t="str">
        <f>IFERROR(IF([1]对账明细接口!$U515=0,"",[1]对账明细接口!$U515),"")</f>
        <v/>
      </c>
      <c r="AA515" s="24" t="str">
        <f>IFERROR(IF([1]对账明细接口!$V515=0,"",[1]对账明细接口!$V515),"")</f>
        <v/>
      </c>
      <c r="AB515" s="20" t="str">
        <f>IFERROR(IF([1]对账明细接口!$W515=0,"",[1]对账明细接口!$W515),"")</f>
        <v/>
      </c>
      <c r="AC515" s="7" t="str">
        <f>IFERROR(IF([1]对账明细接口!$X515=0,"",[1]对账明细接口!$X515),"")</f>
        <v/>
      </c>
      <c r="AD515" s="7" t="str">
        <f>IFERROR(IF([1]对账明细接口!$Y515=0,"",[1]对账明细接口!$Y515),"")</f>
        <v/>
      </c>
      <c r="AE515" s="7" t="str">
        <f>IFERROR(IF([1]对账明细接口!$AA515=0,"",[1]对账明细接口!$AA515),"")</f>
        <v/>
      </c>
      <c r="AF515" s="7" t="str">
        <f>IFERROR(IF([1]对账明细接口!$AB515=0,"",[1]对账明细接口!$AB515),"")</f>
        <v/>
      </c>
      <c r="AG515" s="7" t="str">
        <f>IFERROR(IF([1]对账明细接口!$AC515=0,"",[1]对账明细接口!$AC515),"")</f>
        <v/>
      </c>
      <c r="AH515" s="7" t="str">
        <f>IFERROR(IF([1]对账明细接口!$AD515=0,"",[1]对账明细接口!$AD515),"")</f>
        <v/>
      </c>
      <c r="AI515" s="7" t="str">
        <f>IFERROR(IF([1]对账明细接口!$AE515=0,"",[1]对账明细接口!$AE515),"")</f>
        <v/>
      </c>
      <c r="AJ515" s="7" t="str">
        <f>IFERROR(IF([1]对账明细接口!$AF515=0,"",[1]对账明细接口!$AF515),"")</f>
        <v/>
      </c>
    </row>
    <row r="516" ht="14.25" customHeight="1" spans="1:36">
      <c r="A516" s="14">
        <v>516</v>
      </c>
      <c r="B516" s="15" t="str">
        <f>IFERROR(IF([1]对账明细接口!$B$516=0,"",[1]对账明细接口!$B$516),"")</f>
        <v/>
      </c>
      <c r="C516" s="16" t="str">
        <f>IFERROR(IF([1]对账明细接口!$C$516=0,"",[1]对账明细接口!$C$516),"")</f>
        <v/>
      </c>
      <c r="D516" s="16" t="str">
        <f>IFERROR(IF([1]对账明细接口!$D$516=0,"",[1]对账明细接口!$D$516),"")</f>
        <v/>
      </c>
      <c r="E516" s="16" t="str">
        <f>IFERROR(IF([1]对账明细接口!$E$516=0,"",[1]对账明细接口!$E$516),"")</f>
        <v/>
      </c>
      <c r="F516" s="16" t="str">
        <f>IFERROR(IF([1]对账明细接口!$F$516=0,"",[1]对账明细接口!$F$516),"")</f>
        <v/>
      </c>
      <c r="G516" s="16" t="str">
        <f>IFERROR(IF([1]对账明细接口!$G$516=0,"",[1]对账明细接口!$G$516),"")</f>
        <v/>
      </c>
      <c r="H516" s="17" t="str">
        <f>IFERROR(IF([1]对账明细接口!$H$516=0,"",[1]对账明细接口!$H$516),"")</f>
        <v/>
      </c>
      <c r="I516" s="16" t="str">
        <f>IFERROR(IF([1]对账明细接口!$I$516=0,"",[1]对账明细接口!$I$516),"")</f>
        <v/>
      </c>
      <c r="J516" s="18" t="str">
        <f>IFERROR(IF([1]对账明细接口!$J$516=0,"",[1]对账明细接口!$J$516),"")</f>
        <v/>
      </c>
      <c r="K516" s="18" t="str">
        <f>IFERROR(IF([1]对账明细接口!$K$516=0,"",[1]对账明细接口!$K$516),"")</f>
        <v/>
      </c>
      <c r="L516" s="16" t="str">
        <f>IFERROR(IF([1]对账明细接口!$L$516=0,"",[1]对账明细接口!$L$516),"")</f>
        <v/>
      </c>
      <c r="M516" s="16" t="str">
        <f>IFERROR(IF([1]对账明细接口!$M$516=0,"",[1]对账明细接口!$M$516),"")</f>
        <v/>
      </c>
      <c r="N516" s="19">
        <f t="shared" ref="N516:N579" si="16">IF($C516="",0,1)</f>
        <v>0</v>
      </c>
      <c r="O516" s="19">
        <f t="shared" ref="O516:O579" si="17">N(O515)+$N516</f>
        <v>420</v>
      </c>
      <c r="S516" s="20" t="str">
        <f>IFERROR(IF([1]对账明细接口!$N516=0,"",[1]对账明细接口!$N516),"")</f>
        <v/>
      </c>
      <c r="T516" s="21" t="str">
        <f>IFERROR(IF([1]对账明细接口!$O516=0,"",[1]对账明细接口!$O516),"")</f>
        <v/>
      </c>
      <c r="U516" s="21" t="str">
        <f>IFERROR(IF([1]对账明细接口!$P516=0,"",[1]对账明细接口!$P516),"")</f>
        <v/>
      </c>
      <c r="V516" s="21" t="str">
        <f>IFERROR(IF([1]对账明细接口!$Q516=0,"",[1]对账明细接口!$Q516),"")</f>
        <v/>
      </c>
      <c r="W516" s="20" t="str">
        <f>IFERROR(IF([1]对账明细接口!$R516=0,"",[1]对账明细接口!$R516),"")</f>
        <v/>
      </c>
      <c r="X516" s="20" t="str">
        <f>IFERROR(IF([1]对账明细接口!$S516=0,"",[1]对账明细接口!$S516),"")</f>
        <v/>
      </c>
      <c r="Y516" s="20" t="str">
        <f>IFERROR(IF([1]对账明细接口!$T516=0,"",[1]对账明细接口!$T516),"")</f>
        <v/>
      </c>
      <c r="Z516" s="24" t="str">
        <f>IFERROR(IF([1]对账明细接口!$U516=0,"",[1]对账明细接口!$U516),"")</f>
        <v/>
      </c>
      <c r="AA516" s="24" t="str">
        <f>IFERROR(IF([1]对账明细接口!$V516=0,"",[1]对账明细接口!$V516),"")</f>
        <v/>
      </c>
      <c r="AB516" s="20" t="str">
        <f>IFERROR(IF([1]对账明细接口!$W516=0,"",[1]对账明细接口!$W516),"")</f>
        <v/>
      </c>
      <c r="AC516" s="7" t="str">
        <f>IFERROR(IF([1]对账明细接口!$X516=0,"",[1]对账明细接口!$X516),"")</f>
        <v/>
      </c>
      <c r="AD516" s="7" t="str">
        <f>IFERROR(IF([1]对账明细接口!$Y516=0,"",[1]对账明细接口!$Y516),"")</f>
        <v/>
      </c>
      <c r="AE516" s="7" t="str">
        <f>IFERROR(IF([1]对账明细接口!$AA516=0,"",[1]对账明细接口!$AA516),"")</f>
        <v/>
      </c>
      <c r="AF516" s="7" t="str">
        <f>IFERROR(IF([1]对账明细接口!$AB516=0,"",[1]对账明细接口!$AB516),"")</f>
        <v/>
      </c>
      <c r="AG516" s="7" t="str">
        <f>IFERROR(IF([1]对账明细接口!$AC516=0,"",[1]对账明细接口!$AC516),"")</f>
        <v/>
      </c>
      <c r="AH516" s="7" t="str">
        <f>IFERROR(IF([1]对账明细接口!$AD516=0,"",[1]对账明细接口!$AD516),"")</f>
        <v/>
      </c>
      <c r="AI516" s="7" t="str">
        <f>IFERROR(IF([1]对账明细接口!$AE516=0,"",[1]对账明细接口!$AE516),"")</f>
        <v/>
      </c>
      <c r="AJ516" s="7" t="str">
        <f>IFERROR(IF([1]对账明细接口!$AF516=0,"",[1]对账明细接口!$AF516),"")</f>
        <v/>
      </c>
    </row>
    <row r="517" ht="14.25" customHeight="1" spans="1:36">
      <c r="A517" s="14">
        <v>517</v>
      </c>
      <c r="B517" s="15" t="str">
        <f>IFERROR(IF([1]对账明细接口!$B$517=0,"",[1]对账明细接口!$B$517),"")</f>
        <v/>
      </c>
      <c r="C517" s="16" t="str">
        <f>IFERROR(IF([1]对账明细接口!$C$517=0,"",[1]对账明细接口!$C$517),"")</f>
        <v/>
      </c>
      <c r="D517" s="16" t="str">
        <f>IFERROR(IF([1]对账明细接口!$D$517=0,"",[1]对账明细接口!$D$517),"")</f>
        <v/>
      </c>
      <c r="E517" s="16" t="str">
        <f>IFERROR(IF([1]对账明细接口!$E$517=0,"",[1]对账明细接口!$E$517),"")</f>
        <v/>
      </c>
      <c r="F517" s="16" t="str">
        <f>IFERROR(IF([1]对账明细接口!$F$517=0,"",[1]对账明细接口!$F$517),"")</f>
        <v/>
      </c>
      <c r="G517" s="16" t="str">
        <f>IFERROR(IF([1]对账明细接口!$G$517=0,"",[1]对账明细接口!$G$517),"")</f>
        <v/>
      </c>
      <c r="H517" s="17" t="str">
        <f>IFERROR(IF([1]对账明细接口!$H$517=0,"",[1]对账明细接口!$H$517),"")</f>
        <v/>
      </c>
      <c r="I517" s="16" t="str">
        <f>IFERROR(IF([1]对账明细接口!$I$517=0,"",[1]对账明细接口!$I$517),"")</f>
        <v/>
      </c>
      <c r="J517" s="18" t="str">
        <f>IFERROR(IF([1]对账明细接口!$J$517=0,"",[1]对账明细接口!$J$517),"")</f>
        <v/>
      </c>
      <c r="K517" s="18" t="str">
        <f>IFERROR(IF([1]对账明细接口!$K$517=0,"",[1]对账明细接口!$K$517),"")</f>
        <v/>
      </c>
      <c r="L517" s="16" t="str">
        <f>IFERROR(IF([1]对账明细接口!$L$517=0,"",[1]对账明细接口!$L$517),"")</f>
        <v/>
      </c>
      <c r="M517" s="16" t="str">
        <f>IFERROR(IF([1]对账明细接口!$M$517=0,"",[1]对账明细接口!$M$517),"")</f>
        <v/>
      </c>
      <c r="N517" s="19">
        <f t="shared" si="16"/>
        <v>0</v>
      </c>
      <c r="O517" s="19">
        <f t="shared" si="17"/>
        <v>420</v>
      </c>
      <c r="S517" s="20" t="str">
        <f>IFERROR(IF([1]对账明细接口!$N517=0,"",[1]对账明细接口!$N517),"")</f>
        <v/>
      </c>
      <c r="T517" s="21" t="str">
        <f>IFERROR(IF([1]对账明细接口!$O517=0,"",[1]对账明细接口!$O517),"")</f>
        <v/>
      </c>
      <c r="U517" s="21" t="str">
        <f>IFERROR(IF([1]对账明细接口!$P517=0,"",[1]对账明细接口!$P517),"")</f>
        <v/>
      </c>
      <c r="V517" s="21" t="str">
        <f>IFERROR(IF([1]对账明细接口!$Q517=0,"",[1]对账明细接口!$Q517),"")</f>
        <v/>
      </c>
      <c r="W517" s="20" t="str">
        <f>IFERROR(IF([1]对账明细接口!$R517=0,"",[1]对账明细接口!$R517),"")</f>
        <v/>
      </c>
      <c r="X517" s="20" t="str">
        <f>IFERROR(IF([1]对账明细接口!$S517=0,"",[1]对账明细接口!$S517),"")</f>
        <v/>
      </c>
      <c r="Y517" s="20" t="str">
        <f>IFERROR(IF([1]对账明细接口!$T517=0,"",[1]对账明细接口!$T517),"")</f>
        <v/>
      </c>
      <c r="Z517" s="24" t="str">
        <f>IFERROR(IF([1]对账明细接口!$U517=0,"",[1]对账明细接口!$U517),"")</f>
        <v/>
      </c>
      <c r="AA517" s="24" t="str">
        <f>IFERROR(IF([1]对账明细接口!$V517=0,"",[1]对账明细接口!$V517),"")</f>
        <v/>
      </c>
      <c r="AB517" s="20" t="str">
        <f>IFERROR(IF([1]对账明细接口!$W517=0,"",[1]对账明细接口!$W517),"")</f>
        <v/>
      </c>
      <c r="AC517" s="7" t="str">
        <f>IFERROR(IF([1]对账明细接口!$X517=0,"",[1]对账明细接口!$X517),"")</f>
        <v/>
      </c>
      <c r="AD517" s="7" t="str">
        <f>IFERROR(IF([1]对账明细接口!$Y517=0,"",[1]对账明细接口!$Y517),"")</f>
        <v/>
      </c>
      <c r="AE517" s="7" t="str">
        <f>IFERROR(IF([1]对账明细接口!$AA517=0,"",[1]对账明细接口!$AA517),"")</f>
        <v/>
      </c>
      <c r="AF517" s="7" t="str">
        <f>IFERROR(IF([1]对账明细接口!$AB517=0,"",[1]对账明细接口!$AB517),"")</f>
        <v/>
      </c>
      <c r="AG517" s="7" t="str">
        <f>IFERROR(IF([1]对账明细接口!$AC517=0,"",[1]对账明细接口!$AC517),"")</f>
        <v/>
      </c>
      <c r="AH517" s="7" t="str">
        <f>IFERROR(IF([1]对账明细接口!$AD517=0,"",[1]对账明细接口!$AD517),"")</f>
        <v/>
      </c>
      <c r="AI517" s="7" t="str">
        <f>IFERROR(IF([1]对账明细接口!$AE517=0,"",[1]对账明细接口!$AE517),"")</f>
        <v/>
      </c>
      <c r="AJ517" s="7" t="str">
        <f>IFERROR(IF([1]对账明细接口!$AF517=0,"",[1]对账明细接口!$AF517),"")</f>
        <v/>
      </c>
    </row>
    <row r="518" ht="14.25" customHeight="1" spans="1:36">
      <c r="A518" s="14">
        <v>518</v>
      </c>
      <c r="B518" s="15" t="str">
        <f>IFERROR(IF([1]对账明细接口!$B$518=0,"",[1]对账明细接口!$B$518),"")</f>
        <v/>
      </c>
      <c r="C518" s="16" t="str">
        <f>IFERROR(IF([1]对账明细接口!$C$518=0,"",[1]对账明细接口!$C$518),"")</f>
        <v/>
      </c>
      <c r="D518" s="16" t="str">
        <f>IFERROR(IF([1]对账明细接口!$D$518=0,"",[1]对账明细接口!$D$518),"")</f>
        <v/>
      </c>
      <c r="E518" s="16" t="str">
        <f>IFERROR(IF([1]对账明细接口!$E$518=0,"",[1]对账明细接口!$E$518),"")</f>
        <v/>
      </c>
      <c r="F518" s="16" t="str">
        <f>IFERROR(IF([1]对账明细接口!$F$518=0,"",[1]对账明细接口!$F$518),"")</f>
        <v/>
      </c>
      <c r="G518" s="16" t="str">
        <f>IFERROR(IF([1]对账明细接口!$G$518=0,"",[1]对账明细接口!$G$518),"")</f>
        <v/>
      </c>
      <c r="H518" s="17" t="str">
        <f>IFERROR(IF([1]对账明细接口!$H$518=0,"",[1]对账明细接口!$H$518),"")</f>
        <v/>
      </c>
      <c r="I518" s="16" t="str">
        <f>IFERROR(IF([1]对账明细接口!$I$518=0,"",[1]对账明细接口!$I$518),"")</f>
        <v/>
      </c>
      <c r="J518" s="18" t="str">
        <f>IFERROR(IF([1]对账明细接口!$J$518=0,"",[1]对账明细接口!$J$518),"")</f>
        <v/>
      </c>
      <c r="K518" s="18" t="str">
        <f>IFERROR(IF([1]对账明细接口!$K$518=0,"",[1]对账明细接口!$K$518),"")</f>
        <v/>
      </c>
      <c r="L518" s="16" t="str">
        <f>IFERROR(IF([1]对账明细接口!$L$518=0,"",[1]对账明细接口!$L$518),"")</f>
        <v/>
      </c>
      <c r="M518" s="16" t="str">
        <f>IFERROR(IF([1]对账明细接口!$M$518=0,"",[1]对账明细接口!$M$518),"")</f>
        <v/>
      </c>
      <c r="N518" s="19">
        <f t="shared" si="16"/>
        <v>0</v>
      </c>
      <c r="O518" s="19">
        <f t="shared" si="17"/>
        <v>420</v>
      </c>
      <c r="S518" s="20" t="str">
        <f>IFERROR(IF([1]对账明细接口!$N518=0,"",[1]对账明细接口!$N518),"")</f>
        <v/>
      </c>
      <c r="T518" s="21" t="str">
        <f>IFERROR(IF([1]对账明细接口!$O518=0,"",[1]对账明细接口!$O518),"")</f>
        <v/>
      </c>
      <c r="U518" s="21" t="str">
        <f>IFERROR(IF([1]对账明细接口!$P518=0,"",[1]对账明细接口!$P518),"")</f>
        <v/>
      </c>
      <c r="V518" s="21" t="str">
        <f>IFERROR(IF([1]对账明细接口!$Q518=0,"",[1]对账明细接口!$Q518),"")</f>
        <v/>
      </c>
      <c r="W518" s="20" t="str">
        <f>IFERROR(IF([1]对账明细接口!$R518=0,"",[1]对账明细接口!$R518),"")</f>
        <v/>
      </c>
      <c r="X518" s="20" t="str">
        <f>IFERROR(IF([1]对账明细接口!$S518=0,"",[1]对账明细接口!$S518),"")</f>
        <v/>
      </c>
      <c r="Y518" s="20" t="str">
        <f>IFERROR(IF([1]对账明细接口!$T518=0,"",[1]对账明细接口!$T518),"")</f>
        <v/>
      </c>
      <c r="Z518" s="24" t="str">
        <f>IFERROR(IF([1]对账明细接口!$U518=0,"",[1]对账明细接口!$U518),"")</f>
        <v/>
      </c>
      <c r="AA518" s="24" t="str">
        <f>IFERROR(IF([1]对账明细接口!$V518=0,"",[1]对账明细接口!$V518),"")</f>
        <v/>
      </c>
      <c r="AB518" s="20" t="str">
        <f>IFERROR(IF([1]对账明细接口!$W518=0,"",[1]对账明细接口!$W518),"")</f>
        <v/>
      </c>
      <c r="AC518" s="7" t="str">
        <f>IFERROR(IF([1]对账明细接口!$X518=0,"",[1]对账明细接口!$X518),"")</f>
        <v/>
      </c>
      <c r="AD518" s="7" t="str">
        <f>IFERROR(IF([1]对账明细接口!$Y518=0,"",[1]对账明细接口!$Y518),"")</f>
        <v/>
      </c>
      <c r="AE518" s="7" t="str">
        <f>IFERROR(IF([1]对账明细接口!$AA518=0,"",[1]对账明细接口!$AA518),"")</f>
        <v/>
      </c>
      <c r="AF518" s="7" t="str">
        <f>IFERROR(IF([1]对账明细接口!$AB518=0,"",[1]对账明细接口!$AB518),"")</f>
        <v/>
      </c>
      <c r="AG518" s="7" t="str">
        <f>IFERROR(IF([1]对账明细接口!$AC518=0,"",[1]对账明细接口!$AC518),"")</f>
        <v/>
      </c>
      <c r="AH518" s="7" t="str">
        <f>IFERROR(IF([1]对账明细接口!$AD518=0,"",[1]对账明细接口!$AD518),"")</f>
        <v/>
      </c>
      <c r="AI518" s="7" t="str">
        <f>IFERROR(IF([1]对账明细接口!$AE518=0,"",[1]对账明细接口!$AE518),"")</f>
        <v/>
      </c>
      <c r="AJ518" s="7" t="str">
        <f>IFERROR(IF([1]对账明细接口!$AF518=0,"",[1]对账明细接口!$AF518),"")</f>
        <v/>
      </c>
    </row>
    <row r="519" ht="14.25" customHeight="1" spans="1:36">
      <c r="A519" s="14">
        <v>519</v>
      </c>
      <c r="B519" s="15" t="str">
        <f>IFERROR(IF([1]对账明细接口!$B$519=0,"",[1]对账明细接口!$B$519),"")</f>
        <v/>
      </c>
      <c r="C519" s="16" t="str">
        <f>IFERROR(IF([1]对账明细接口!$C$519=0,"",[1]对账明细接口!$C$519),"")</f>
        <v/>
      </c>
      <c r="D519" s="16" t="str">
        <f>IFERROR(IF([1]对账明细接口!$D$519=0,"",[1]对账明细接口!$D$519),"")</f>
        <v/>
      </c>
      <c r="E519" s="16" t="str">
        <f>IFERROR(IF([1]对账明细接口!$E$519=0,"",[1]对账明细接口!$E$519),"")</f>
        <v/>
      </c>
      <c r="F519" s="16" t="str">
        <f>IFERROR(IF([1]对账明细接口!$F$519=0,"",[1]对账明细接口!$F$519),"")</f>
        <v/>
      </c>
      <c r="G519" s="16" t="str">
        <f>IFERROR(IF([1]对账明细接口!$G$519=0,"",[1]对账明细接口!$G$519),"")</f>
        <v/>
      </c>
      <c r="H519" s="17" t="str">
        <f>IFERROR(IF([1]对账明细接口!$H$519=0,"",[1]对账明细接口!$H$519),"")</f>
        <v/>
      </c>
      <c r="I519" s="16" t="str">
        <f>IFERROR(IF([1]对账明细接口!$I$519=0,"",[1]对账明细接口!$I$519),"")</f>
        <v/>
      </c>
      <c r="J519" s="18" t="str">
        <f>IFERROR(IF([1]对账明细接口!$J$519=0,"",[1]对账明细接口!$J$519),"")</f>
        <v/>
      </c>
      <c r="K519" s="18" t="str">
        <f>IFERROR(IF([1]对账明细接口!$K$519=0,"",[1]对账明细接口!$K$519),"")</f>
        <v/>
      </c>
      <c r="L519" s="16" t="str">
        <f>IFERROR(IF([1]对账明细接口!$L$519=0,"",[1]对账明细接口!$L$519),"")</f>
        <v/>
      </c>
      <c r="M519" s="16" t="str">
        <f>IFERROR(IF([1]对账明细接口!$M$519=0,"",[1]对账明细接口!$M$519),"")</f>
        <v/>
      </c>
      <c r="N519" s="19">
        <f t="shared" si="16"/>
        <v>0</v>
      </c>
      <c r="O519" s="19">
        <f t="shared" si="17"/>
        <v>420</v>
      </c>
      <c r="S519" s="20" t="str">
        <f>IFERROR(IF([1]对账明细接口!$N519=0,"",[1]对账明细接口!$N519),"")</f>
        <v/>
      </c>
      <c r="T519" s="21" t="str">
        <f>IFERROR(IF([1]对账明细接口!$O519=0,"",[1]对账明细接口!$O519),"")</f>
        <v/>
      </c>
      <c r="U519" s="21" t="str">
        <f>IFERROR(IF([1]对账明细接口!$P519=0,"",[1]对账明细接口!$P519),"")</f>
        <v/>
      </c>
      <c r="V519" s="21" t="str">
        <f>IFERROR(IF([1]对账明细接口!$Q519=0,"",[1]对账明细接口!$Q519),"")</f>
        <v/>
      </c>
      <c r="W519" s="20" t="str">
        <f>IFERROR(IF([1]对账明细接口!$R519=0,"",[1]对账明细接口!$R519),"")</f>
        <v/>
      </c>
      <c r="X519" s="20" t="str">
        <f>IFERROR(IF([1]对账明细接口!$S519=0,"",[1]对账明细接口!$S519),"")</f>
        <v/>
      </c>
      <c r="Y519" s="20" t="str">
        <f>IFERROR(IF([1]对账明细接口!$T519=0,"",[1]对账明细接口!$T519),"")</f>
        <v/>
      </c>
      <c r="Z519" s="24" t="str">
        <f>IFERROR(IF([1]对账明细接口!$U519=0,"",[1]对账明细接口!$U519),"")</f>
        <v/>
      </c>
      <c r="AA519" s="24" t="str">
        <f>IFERROR(IF([1]对账明细接口!$V519=0,"",[1]对账明细接口!$V519),"")</f>
        <v/>
      </c>
      <c r="AB519" s="20" t="str">
        <f>IFERROR(IF([1]对账明细接口!$W519=0,"",[1]对账明细接口!$W519),"")</f>
        <v/>
      </c>
      <c r="AC519" s="7" t="str">
        <f>IFERROR(IF([1]对账明细接口!$X519=0,"",[1]对账明细接口!$X519),"")</f>
        <v/>
      </c>
      <c r="AD519" s="7" t="str">
        <f>IFERROR(IF([1]对账明细接口!$Y519=0,"",[1]对账明细接口!$Y519),"")</f>
        <v/>
      </c>
      <c r="AE519" s="7" t="str">
        <f>IFERROR(IF([1]对账明细接口!$AA519=0,"",[1]对账明细接口!$AA519),"")</f>
        <v/>
      </c>
      <c r="AF519" s="7" t="str">
        <f>IFERROR(IF([1]对账明细接口!$AB519=0,"",[1]对账明细接口!$AB519),"")</f>
        <v/>
      </c>
      <c r="AG519" s="7" t="str">
        <f>IFERROR(IF([1]对账明细接口!$AC519=0,"",[1]对账明细接口!$AC519),"")</f>
        <v/>
      </c>
      <c r="AH519" s="7" t="str">
        <f>IFERROR(IF([1]对账明细接口!$AD519=0,"",[1]对账明细接口!$AD519),"")</f>
        <v/>
      </c>
      <c r="AI519" s="7" t="str">
        <f>IFERROR(IF([1]对账明细接口!$AE519=0,"",[1]对账明细接口!$AE519),"")</f>
        <v/>
      </c>
      <c r="AJ519" s="7" t="str">
        <f>IFERROR(IF([1]对账明细接口!$AF519=0,"",[1]对账明细接口!$AF519),"")</f>
        <v/>
      </c>
    </row>
    <row r="520" ht="14.25" customHeight="1" spans="1:36">
      <c r="A520" s="14">
        <v>520</v>
      </c>
      <c r="B520" s="15" t="str">
        <f>IFERROR(IF([1]对账明细接口!$B$520=0,"",[1]对账明细接口!$B$520),"")</f>
        <v/>
      </c>
      <c r="C520" s="16" t="str">
        <f>IFERROR(IF([1]对账明细接口!$C$520=0,"",[1]对账明细接口!$C$520),"")</f>
        <v/>
      </c>
      <c r="D520" s="16" t="str">
        <f>IFERROR(IF([1]对账明细接口!$D$520=0,"",[1]对账明细接口!$D$520),"")</f>
        <v/>
      </c>
      <c r="E520" s="16" t="str">
        <f>IFERROR(IF([1]对账明细接口!$E$520=0,"",[1]对账明细接口!$E$520),"")</f>
        <v/>
      </c>
      <c r="F520" s="16" t="str">
        <f>IFERROR(IF([1]对账明细接口!$F$520=0,"",[1]对账明细接口!$F$520),"")</f>
        <v/>
      </c>
      <c r="G520" s="16" t="str">
        <f>IFERROR(IF([1]对账明细接口!$G$520=0,"",[1]对账明细接口!$G$520),"")</f>
        <v/>
      </c>
      <c r="H520" s="17" t="str">
        <f>IFERROR(IF([1]对账明细接口!$H$520=0,"",[1]对账明细接口!$H$520),"")</f>
        <v/>
      </c>
      <c r="I520" s="16" t="str">
        <f>IFERROR(IF([1]对账明细接口!$I$520=0,"",[1]对账明细接口!$I$520),"")</f>
        <v/>
      </c>
      <c r="J520" s="18" t="str">
        <f>IFERROR(IF([1]对账明细接口!$J$520=0,"",[1]对账明细接口!$J$520),"")</f>
        <v/>
      </c>
      <c r="K520" s="18" t="str">
        <f>IFERROR(IF([1]对账明细接口!$K$520=0,"",[1]对账明细接口!$K$520),"")</f>
        <v/>
      </c>
      <c r="L520" s="16" t="str">
        <f>IFERROR(IF([1]对账明细接口!$L$520=0,"",[1]对账明细接口!$L$520),"")</f>
        <v/>
      </c>
      <c r="M520" s="16" t="str">
        <f>IFERROR(IF([1]对账明细接口!$M$520=0,"",[1]对账明细接口!$M$520),"")</f>
        <v/>
      </c>
      <c r="N520" s="19">
        <f t="shared" si="16"/>
        <v>0</v>
      </c>
      <c r="O520" s="19">
        <f t="shared" si="17"/>
        <v>420</v>
      </c>
      <c r="S520" s="20" t="str">
        <f>IFERROR(IF([1]对账明细接口!$N520=0,"",[1]对账明细接口!$N520),"")</f>
        <v/>
      </c>
      <c r="T520" s="21" t="str">
        <f>IFERROR(IF([1]对账明细接口!$O520=0,"",[1]对账明细接口!$O520),"")</f>
        <v/>
      </c>
      <c r="U520" s="21" t="str">
        <f>IFERROR(IF([1]对账明细接口!$P520=0,"",[1]对账明细接口!$P520),"")</f>
        <v/>
      </c>
      <c r="V520" s="21" t="str">
        <f>IFERROR(IF([1]对账明细接口!$Q520=0,"",[1]对账明细接口!$Q520),"")</f>
        <v/>
      </c>
      <c r="W520" s="20" t="str">
        <f>IFERROR(IF([1]对账明细接口!$R520=0,"",[1]对账明细接口!$R520),"")</f>
        <v/>
      </c>
      <c r="X520" s="20" t="str">
        <f>IFERROR(IF([1]对账明细接口!$S520=0,"",[1]对账明细接口!$S520),"")</f>
        <v/>
      </c>
      <c r="Y520" s="20" t="str">
        <f>IFERROR(IF([1]对账明细接口!$T520=0,"",[1]对账明细接口!$T520),"")</f>
        <v/>
      </c>
      <c r="Z520" s="24" t="str">
        <f>IFERROR(IF([1]对账明细接口!$U520=0,"",[1]对账明细接口!$U520),"")</f>
        <v/>
      </c>
      <c r="AA520" s="24" t="str">
        <f>IFERROR(IF([1]对账明细接口!$V520=0,"",[1]对账明细接口!$V520),"")</f>
        <v/>
      </c>
      <c r="AB520" s="20" t="str">
        <f>IFERROR(IF([1]对账明细接口!$W520=0,"",[1]对账明细接口!$W520),"")</f>
        <v/>
      </c>
      <c r="AC520" s="7" t="str">
        <f>IFERROR(IF([1]对账明细接口!$X520=0,"",[1]对账明细接口!$X520),"")</f>
        <v/>
      </c>
      <c r="AD520" s="7" t="str">
        <f>IFERROR(IF([1]对账明细接口!$Y520=0,"",[1]对账明细接口!$Y520),"")</f>
        <v/>
      </c>
      <c r="AE520" s="7" t="str">
        <f>IFERROR(IF([1]对账明细接口!$AA520=0,"",[1]对账明细接口!$AA520),"")</f>
        <v/>
      </c>
      <c r="AF520" s="7" t="str">
        <f>IFERROR(IF([1]对账明细接口!$AB520=0,"",[1]对账明细接口!$AB520),"")</f>
        <v/>
      </c>
      <c r="AG520" s="7" t="str">
        <f>IFERROR(IF([1]对账明细接口!$AC520=0,"",[1]对账明细接口!$AC520),"")</f>
        <v/>
      </c>
      <c r="AH520" s="7" t="str">
        <f>IFERROR(IF([1]对账明细接口!$AD520=0,"",[1]对账明细接口!$AD520),"")</f>
        <v/>
      </c>
      <c r="AI520" s="7" t="str">
        <f>IFERROR(IF([1]对账明细接口!$AE520=0,"",[1]对账明细接口!$AE520),"")</f>
        <v/>
      </c>
      <c r="AJ520" s="7" t="str">
        <f>IFERROR(IF([1]对账明细接口!$AF520=0,"",[1]对账明细接口!$AF520),"")</f>
        <v/>
      </c>
    </row>
    <row r="521" ht="14.25" customHeight="1" spans="1:36">
      <c r="A521" s="14">
        <v>521</v>
      </c>
      <c r="B521" s="15" t="str">
        <f>IFERROR(IF([1]对账明细接口!$B$521=0,"",[1]对账明细接口!$B$521),"")</f>
        <v/>
      </c>
      <c r="C521" s="16" t="str">
        <f>IFERROR(IF([1]对账明细接口!$C$521=0,"",[1]对账明细接口!$C$521),"")</f>
        <v/>
      </c>
      <c r="D521" s="16" t="str">
        <f>IFERROR(IF([1]对账明细接口!$D$521=0,"",[1]对账明细接口!$D$521),"")</f>
        <v/>
      </c>
      <c r="E521" s="16" t="str">
        <f>IFERROR(IF([1]对账明细接口!$E$521=0,"",[1]对账明细接口!$E$521),"")</f>
        <v/>
      </c>
      <c r="F521" s="16" t="str">
        <f>IFERROR(IF([1]对账明细接口!$F$521=0,"",[1]对账明细接口!$F$521),"")</f>
        <v/>
      </c>
      <c r="G521" s="16" t="str">
        <f>IFERROR(IF([1]对账明细接口!$G$521=0,"",[1]对账明细接口!$G$521),"")</f>
        <v/>
      </c>
      <c r="H521" s="17" t="str">
        <f>IFERROR(IF([1]对账明细接口!$H$521=0,"",[1]对账明细接口!$H$521),"")</f>
        <v/>
      </c>
      <c r="I521" s="16" t="str">
        <f>IFERROR(IF([1]对账明细接口!$I$521=0,"",[1]对账明细接口!$I$521),"")</f>
        <v/>
      </c>
      <c r="J521" s="18" t="str">
        <f>IFERROR(IF([1]对账明细接口!$J$521=0,"",[1]对账明细接口!$J$521),"")</f>
        <v/>
      </c>
      <c r="K521" s="18" t="str">
        <f>IFERROR(IF([1]对账明细接口!$K$521=0,"",[1]对账明细接口!$K$521),"")</f>
        <v/>
      </c>
      <c r="L521" s="16" t="str">
        <f>IFERROR(IF([1]对账明细接口!$L$521=0,"",[1]对账明细接口!$L$521),"")</f>
        <v/>
      </c>
      <c r="M521" s="16" t="str">
        <f>IFERROR(IF([1]对账明细接口!$M$521=0,"",[1]对账明细接口!$M$521),"")</f>
        <v/>
      </c>
      <c r="N521" s="19">
        <f t="shared" si="16"/>
        <v>0</v>
      </c>
      <c r="O521" s="19">
        <f t="shared" si="17"/>
        <v>420</v>
      </c>
      <c r="S521" s="20" t="str">
        <f>IFERROR(IF([1]对账明细接口!$N521=0,"",[1]对账明细接口!$N521),"")</f>
        <v/>
      </c>
      <c r="T521" s="21" t="str">
        <f>IFERROR(IF([1]对账明细接口!$O521=0,"",[1]对账明细接口!$O521),"")</f>
        <v/>
      </c>
      <c r="U521" s="21" t="str">
        <f>IFERROR(IF([1]对账明细接口!$P521=0,"",[1]对账明细接口!$P521),"")</f>
        <v/>
      </c>
      <c r="V521" s="21" t="str">
        <f>IFERROR(IF([1]对账明细接口!$Q521=0,"",[1]对账明细接口!$Q521),"")</f>
        <v/>
      </c>
      <c r="W521" s="20" t="str">
        <f>IFERROR(IF([1]对账明细接口!$R521=0,"",[1]对账明细接口!$R521),"")</f>
        <v/>
      </c>
      <c r="X521" s="20" t="str">
        <f>IFERROR(IF([1]对账明细接口!$S521=0,"",[1]对账明细接口!$S521),"")</f>
        <v/>
      </c>
      <c r="Y521" s="20" t="str">
        <f>IFERROR(IF([1]对账明细接口!$T521=0,"",[1]对账明细接口!$T521),"")</f>
        <v/>
      </c>
      <c r="Z521" s="24" t="str">
        <f>IFERROR(IF([1]对账明细接口!$U521=0,"",[1]对账明细接口!$U521),"")</f>
        <v/>
      </c>
      <c r="AA521" s="24" t="str">
        <f>IFERROR(IF([1]对账明细接口!$V521=0,"",[1]对账明细接口!$V521),"")</f>
        <v/>
      </c>
      <c r="AB521" s="20" t="str">
        <f>IFERROR(IF([1]对账明细接口!$W521=0,"",[1]对账明细接口!$W521),"")</f>
        <v/>
      </c>
      <c r="AC521" s="7" t="str">
        <f>IFERROR(IF([1]对账明细接口!$X521=0,"",[1]对账明细接口!$X521),"")</f>
        <v/>
      </c>
      <c r="AD521" s="7" t="str">
        <f>IFERROR(IF([1]对账明细接口!$Y521=0,"",[1]对账明细接口!$Y521),"")</f>
        <v/>
      </c>
      <c r="AE521" s="7" t="str">
        <f>IFERROR(IF([1]对账明细接口!$AA521=0,"",[1]对账明细接口!$AA521),"")</f>
        <v/>
      </c>
      <c r="AF521" s="7" t="str">
        <f>IFERROR(IF([1]对账明细接口!$AB521=0,"",[1]对账明细接口!$AB521),"")</f>
        <v/>
      </c>
      <c r="AG521" s="7" t="str">
        <f>IFERROR(IF([1]对账明细接口!$AC521=0,"",[1]对账明细接口!$AC521),"")</f>
        <v/>
      </c>
      <c r="AH521" s="7" t="str">
        <f>IFERROR(IF([1]对账明细接口!$AD521=0,"",[1]对账明细接口!$AD521),"")</f>
        <v/>
      </c>
      <c r="AI521" s="7" t="str">
        <f>IFERROR(IF([1]对账明细接口!$AE521=0,"",[1]对账明细接口!$AE521),"")</f>
        <v/>
      </c>
      <c r="AJ521" s="7" t="str">
        <f>IFERROR(IF([1]对账明细接口!$AF521=0,"",[1]对账明细接口!$AF521),"")</f>
        <v/>
      </c>
    </row>
    <row r="522" ht="14.25" customHeight="1" spans="1:36">
      <c r="A522" s="14">
        <v>522</v>
      </c>
      <c r="B522" s="15" t="str">
        <f>IFERROR(IF([1]对账明细接口!$B$522=0,"",[1]对账明细接口!$B$522),"")</f>
        <v/>
      </c>
      <c r="C522" s="16" t="str">
        <f>IFERROR(IF([1]对账明细接口!$C$522=0,"",[1]对账明细接口!$C$522),"")</f>
        <v/>
      </c>
      <c r="D522" s="16" t="str">
        <f>IFERROR(IF([1]对账明细接口!$D$522=0,"",[1]对账明细接口!$D$522),"")</f>
        <v/>
      </c>
      <c r="E522" s="16" t="str">
        <f>IFERROR(IF([1]对账明细接口!$E$522=0,"",[1]对账明细接口!$E$522),"")</f>
        <v/>
      </c>
      <c r="F522" s="16" t="str">
        <f>IFERROR(IF([1]对账明细接口!$F$522=0,"",[1]对账明细接口!$F$522),"")</f>
        <v/>
      </c>
      <c r="G522" s="16" t="str">
        <f>IFERROR(IF([1]对账明细接口!$G$522=0,"",[1]对账明细接口!$G$522),"")</f>
        <v/>
      </c>
      <c r="H522" s="17" t="str">
        <f>IFERROR(IF([1]对账明细接口!$H$522=0,"",[1]对账明细接口!$H$522),"")</f>
        <v/>
      </c>
      <c r="I522" s="16" t="str">
        <f>IFERROR(IF([1]对账明细接口!$I$522=0,"",[1]对账明细接口!$I$522),"")</f>
        <v/>
      </c>
      <c r="J522" s="18" t="str">
        <f>IFERROR(IF([1]对账明细接口!$J$522=0,"",[1]对账明细接口!$J$522),"")</f>
        <v/>
      </c>
      <c r="K522" s="18" t="str">
        <f>IFERROR(IF([1]对账明细接口!$K$522=0,"",[1]对账明细接口!$K$522),"")</f>
        <v/>
      </c>
      <c r="L522" s="16" t="str">
        <f>IFERROR(IF([1]对账明细接口!$L$522=0,"",[1]对账明细接口!$L$522),"")</f>
        <v/>
      </c>
      <c r="M522" s="16" t="str">
        <f>IFERROR(IF([1]对账明细接口!$M$522=0,"",[1]对账明细接口!$M$522),"")</f>
        <v/>
      </c>
      <c r="N522" s="19">
        <f t="shared" si="16"/>
        <v>0</v>
      </c>
      <c r="O522" s="19">
        <f t="shared" si="17"/>
        <v>420</v>
      </c>
      <c r="S522" s="20" t="str">
        <f>IFERROR(IF([1]对账明细接口!$N522=0,"",[1]对账明细接口!$N522),"")</f>
        <v/>
      </c>
      <c r="T522" s="21" t="str">
        <f>IFERROR(IF([1]对账明细接口!$O522=0,"",[1]对账明细接口!$O522),"")</f>
        <v/>
      </c>
      <c r="U522" s="21" t="str">
        <f>IFERROR(IF([1]对账明细接口!$P522=0,"",[1]对账明细接口!$P522),"")</f>
        <v/>
      </c>
      <c r="V522" s="21" t="str">
        <f>IFERROR(IF([1]对账明细接口!$Q522=0,"",[1]对账明细接口!$Q522),"")</f>
        <v/>
      </c>
      <c r="W522" s="20" t="str">
        <f>IFERROR(IF([1]对账明细接口!$R522=0,"",[1]对账明细接口!$R522),"")</f>
        <v/>
      </c>
      <c r="X522" s="20" t="str">
        <f>IFERROR(IF([1]对账明细接口!$S522=0,"",[1]对账明细接口!$S522),"")</f>
        <v/>
      </c>
      <c r="Y522" s="20" t="str">
        <f>IFERROR(IF([1]对账明细接口!$T522=0,"",[1]对账明细接口!$T522),"")</f>
        <v/>
      </c>
      <c r="Z522" s="24" t="str">
        <f>IFERROR(IF([1]对账明细接口!$U522=0,"",[1]对账明细接口!$U522),"")</f>
        <v/>
      </c>
      <c r="AA522" s="24" t="str">
        <f>IFERROR(IF([1]对账明细接口!$V522=0,"",[1]对账明细接口!$V522),"")</f>
        <v/>
      </c>
      <c r="AB522" s="20" t="str">
        <f>IFERROR(IF([1]对账明细接口!$W522=0,"",[1]对账明细接口!$W522),"")</f>
        <v/>
      </c>
      <c r="AC522" s="7" t="str">
        <f>IFERROR(IF([1]对账明细接口!$X522=0,"",[1]对账明细接口!$X522),"")</f>
        <v/>
      </c>
      <c r="AD522" s="7" t="str">
        <f>IFERROR(IF([1]对账明细接口!$Y522=0,"",[1]对账明细接口!$Y522),"")</f>
        <v/>
      </c>
      <c r="AE522" s="7" t="str">
        <f>IFERROR(IF([1]对账明细接口!$AA522=0,"",[1]对账明细接口!$AA522),"")</f>
        <v/>
      </c>
      <c r="AF522" s="7" t="str">
        <f>IFERROR(IF([1]对账明细接口!$AB522=0,"",[1]对账明细接口!$AB522),"")</f>
        <v/>
      </c>
      <c r="AG522" s="7" t="str">
        <f>IFERROR(IF([1]对账明细接口!$AC522=0,"",[1]对账明细接口!$AC522),"")</f>
        <v/>
      </c>
      <c r="AH522" s="7" t="str">
        <f>IFERROR(IF([1]对账明细接口!$AD522=0,"",[1]对账明细接口!$AD522),"")</f>
        <v/>
      </c>
      <c r="AI522" s="7" t="str">
        <f>IFERROR(IF([1]对账明细接口!$AE522=0,"",[1]对账明细接口!$AE522),"")</f>
        <v/>
      </c>
      <c r="AJ522" s="7" t="str">
        <f>IFERROR(IF([1]对账明细接口!$AF522=0,"",[1]对账明细接口!$AF522),"")</f>
        <v/>
      </c>
    </row>
    <row r="523" ht="14.25" customHeight="1" spans="1:36">
      <c r="A523" s="14">
        <v>523</v>
      </c>
      <c r="B523" s="15" t="str">
        <f>IFERROR(IF([1]对账明细接口!$B$523=0,"",[1]对账明细接口!$B$523),"")</f>
        <v/>
      </c>
      <c r="C523" s="16" t="str">
        <f>IFERROR(IF([1]对账明细接口!$C$523=0,"",[1]对账明细接口!$C$523),"")</f>
        <v/>
      </c>
      <c r="D523" s="16" t="str">
        <f>IFERROR(IF([1]对账明细接口!$D$523=0,"",[1]对账明细接口!$D$523),"")</f>
        <v/>
      </c>
      <c r="E523" s="16" t="str">
        <f>IFERROR(IF([1]对账明细接口!$E$523=0,"",[1]对账明细接口!$E$523),"")</f>
        <v/>
      </c>
      <c r="F523" s="16" t="str">
        <f>IFERROR(IF([1]对账明细接口!$F$523=0,"",[1]对账明细接口!$F$523),"")</f>
        <v/>
      </c>
      <c r="G523" s="16" t="str">
        <f>IFERROR(IF([1]对账明细接口!$G$523=0,"",[1]对账明细接口!$G$523),"")</f>
        <v/>
      </c>
      <c r="H523" s="17" t="str">
        <f>IFERROR(IF([1]对账明细接口!$H$523=0,"",[1]对账明细接口!$H$523),"")</f>
        <v/>
      </c>
      <c r="I523" s="16" t="str">
        <f>IFERROR(IF([1]对账明细接口!$I$523=0,"",[1]对账明细接口!$I$523),"")</f>
        <v/>
      </c>
      <c r="J523" s="18" t="str">
        <f>IFERROR(IF([1]对账明细接口!$J$523=0,"",[1]对账明细接口!$J$523),"")</f>
        <v/>
      </c>
      <c r="K523" s="18" t="str">
        <f>IFERROR(IF([1]对账明细接口!$K$523=0,"",[1]对账明细接口!$K$523),"")</f>
        <v/>
      </c>
      <c r="L523" s="16" t="str">
        <f>IFERROR(IF([1]对账明细接口!$L$523=0,"",[1]对账明细接口!$L$523),"")</f>
        <v/>
      </c>
      <c r="M523" s="16" t="str">
        <f>IFERROR(IF([1]对账明细接口!$M$523=0,"",[1]对账明细接口!$M$523),"")</f>
        <v/>
      </c>
      <c r="N523" s="19">
        <f t="shared" si="16"/>
        <v>0</v>
      </c>
      <c r="O523" s="19">
        <f t="shared" si="17"/>
        <v>420</v>
      </c>
      <c r="S523" s="20" t="str">
        <f>IFERROR(IF([1]对账明细接口!$N523=0,"",[1]对账明细接口!$N523),"")</f>
        <v/>
      </c>
      <c r="T523" s="21" t="str">
        <f>IFERROR(IF([1]对账明细接口!$O523=0,"",[1]对账明细接口!$O523),"")</f>
        <v/>
      </c>
      <c r="U523" s="21" t="str">
        <f>IFERROR(IF([1]对账明细接口!$P523=0,"",[1]对账明细接口!$P523),"")</f>
        <v/>
      </c>
      <c r="V523" s="21" t="str">
        <f>IFERROR(IF([1]对账明细接口!$Q523=0,"",[1]对账明细接口!$Q523),"")</f>
        <v/>
      </c>
      <c r="W523" s="20" t="str">
        <f>IFERROR(IF([1]对账明细接口!$R523=0,"",[1]对账明细接口!$R523),"")</f>
        <v/>
      </c>
      <c r="X523" s="20" t="str">
        <f>IFERROR(IF([1]对账明细接口!$S523=0,"",[1]对账明细接口!$S523),"")</f>
        <v/>
      </c>
      <c r="Y523" s="20" t="str">
        <f>IFERROR(IF([1]对账明细接口!$T523=0,"",[1]对账明细接口!$T523),"")</f>
        <v/>
      </c>
      <c r="Z523" s="24" t="str">
        <f>IFERROR(IF([1]对账明细接口!$U523=0,"",[1]对账明细接口!$U523),"")</f>
        <v/>
      </c>
      <c r="AA523" s="24" t="str">
        <f>IFERROR(IF([1]对账明细接口!$V523=0,"",[1]对账明细接口!$V523),"")</f>
        <v/>
      </c>
      <c r="AB523" s="20" t="str">
        <f>IFERROR(IF([1]对账明细接口!$W523=0,"",[1]对账明细接口!$W523),"")</f>
        <v/>
      </c>
      <c r="AC523" s="7" t="str">
        <f>IFERROR(IF([1]对账明细接口!$X523=0,"",[1]对账明细接口!$X523),"")</f>
        <v/>
      </c>
      <c r="AD523" s="7" t="str">
        <f>IFERROR(IF([1]对账明细接口!$Y523=0,"",[1]对账明细接口!$Y523),"")</f>
        <v/>
      </c>
      <c r="AE523" s="7" t="str">
        <f>IFERROR(IF([1]对账明细接口!$AA523=0,"",[1]对账明细接口!$AA523),"")</f>
        <v/>
      </c>
      <c r="AF523" s="7" t="str">
        <f>IFERROR(IF([1]对账明细接口!$AB523=0,"",[1]对账明细接口!$AB523),"")</f>
        <v/>
      </c>
      <c r="AG523" s="7" t="str">
        <f>IFERROR(IF([1]对账明细接口!$AC523=0,"",[1]对账明细接口!$AC523),"")</f>
        <v/>
      </c>
      <c r="AH523" s="7" t="str">
        <f>IFERROR(IF([1]对账明细接口!$AD523=0,"",[1]对账明细接口!$AD523),"")</f>
        <v/>
      </c>
      <c r="AI523" s="7" t="str">
        <f>IFERROR(IF([1]对账明细接口!$AE523=0,"",[1]对账明细接口!$AE523),"")</f>
        <v/>
      </c>
      <c r="AJ523" s="7" t="str">
        <f>IFERROR(IF([1]对账明细接口!$AF523=0,"",[1]对账明细接口!$AF523),"")</f>
        <v/>
      </c>
    </row>
    <row r="524" ht="14.25" customHeight="1" spans="1:36">
      <c r="A524" s="14">
        <v>524</v>
      </c>
      <c r="B524" s="15" t="str">
        <f>IFERROR(IF([1]对账明细接口!$B$524=0,"",[1]对账明细接口!$B$524),"")</f>
        <v/>
      </c>
      <c r="C524" s="16" t="str">
        <f>IFERROR(IF([1]对账明细接口!$C$524=0,"",[1]对账明细接口!$C$524),"")</f>
        <v/>
      </c>
      <c r="D524" s="16" t="str">
        <f>IFERROR(IF([1]对账明细接口!$D$524=0,"",[1]对账明细接口!$D$524),"")</f>
        <v/>
      </c>
      <c r="E524" s="16" t="str">
        <f>IFERROR(IF([1]对账明细接口!$E$524=0,"",[1]对账明细接口!$E$524),"")</f>
        <v/>
      </c>
      <c r="F524" s="16" t="str">
        <f>IFERROR(IF([1]对账明细接口!$F$524=0,"",[1]对账明细接口!$F$524),"")</f>
        <v/>
      </c>
      <c r="G524" s="16" t="str">
        <f>IFERROR(IF([1]对账明细接口!$G$524=0,"",[1]对账明细接口!$G$524),"")</f>
        <v/>
      </c>
      <c r="H524" s="17" t="str">
        <f>IFERROR(IF([1]对账明细接口!$H$524=0,"",[1]对账明细接口!$H$524),"")</f>
        <v/>
      </c>
      <c r="I524" s="16" t="str">
        <f>IFERROR(IF([1]对账明细接口!$I$524=0,"",[1]对账明细接口!$I$524),"")</f>
        <v/>
      </c>
      <c r="J524" s="18" t="str">
        <f>IFERROR(IF([1]对账明细接口!$J$524=0,"",[1]对账明细接口!$J$524),"")</f>
        <v/>
      </c>
      <c r="K524" s="18" t="str">
        <f>IFERROR(IF([1]对账明细接口!$K$524=0,"",[1]对账明细接口!$K$524),"")</f>
        <v/>
      </c>
      <c r="L524" s="16" t="str">
        <f>IFERROR(IF([1]对账明细接口!$L$524=0,"",[1]对账明细接口!$L$524),"")</f>
        <v/>
      </c>
      <c r="M524" s="16" t="str">
        <f>IFERROR(IF([1]对账明细接口!$M$524=0,"",[1]对账明细接口!$M$524),"")</f>
        <v/>
      </c>
      <c r="N524" s="19">
        <f t="shared" si="16"/>
        <v>0</v>
      </c>
      <c r="O524" s="19">
        <f t="shared" si="17"/>
        <v>420</v>
      </c>
      <c r="S524" s="20" t="str">
        <f>IFERROR(IF([1]对账明细接口!$N524=0,"",[1]对账明细接口!$N524),"")</f>
        <v/>
      </c>
      <c r="T524" s="21" t="str">
        <f>IFERROR(IF([1]对账明细接口!$O524=0,"",[1]对账明细接口!$O524),"")</f>
        <v/>
      </c>
      <c r="U524" s="21" t="str">
        <f>IFERROR(IF([1]对账明细接口!$P524=0,"",[1]对账明细接口!$P524),"")</f>
        <v/>
      </c>
      <c r="V524" s="21" t="str">
        <f>IFERROR(IF([1]对账明细接口!$Q524=0,"",[1]对账明细接口!$Q524),"")</f>
        <v/>
      </c>
      <c r="W524" s="20" t="str">
        <f>IFERROR(IF([1]对账明细接口!$R524=0,"",[1]对账明细接口!$R524),"")</f>
        <v/>
      </c>
      <c r="X524" s="20" t="str">
        <f>IFERROR(IF([1]对账明细接口!$S524=0,"",[1]对账明细接口!$S524),"")</f>
        <v/>
      </c>
      <c r="Y524" s="20" t="str">
        <f>IFERROR(IF([1]对账明细接口!$T524=0,"",[1]对账明细接口!$T524),"")</f>
        <v/>
      </c>
      <c r="Z524" s="24" t="str">
        <f>IFERROR(IF([1]对账明细接口!$U524=0,"",[1]对账明细接口!$U524),"")</f>
        <v/>
      </c>
      <c r="AA524" s="24" t="str">
        <f>IFERROR(IF([1]对账明细接口!$V524=0,"",[1]对账明细接口!$V524),"")</f>
        <v/>
      </c>
      <c r="AB524" s="20" t="str">
        <f>IFERROR(IF([1]对账明细接口!$W524=0,"",[1]对账明细接口!$W524),"")</f>
        <v/>
      </c>
      <c r="AC524" s="7" t="str">
        <f>IFERROR(IF([1]对账明细接口!$X524=0,"",[1]对账明细接口!$X524),"")</f>
        <v/>
      </c>
      <c r="AD524" s="7" t="str">
        <f>IFERROR(IF([1]对账明细接口!$Y524=0,"",[1]对账明细接口!$Y524),"")</f>
        <v/>
      </c>
      <c r="AE524" s="7" t="str">
        <f>IFERROR(IF([1]对账明细接口!$AA524=0,"",[1]对账明细接口!$AA524),"")</f>
        <v/>
      </c>
      <c r="AF524" s="7" t="str">
        <f>IFERROR(IF([1]对账明细接口!$AB524=0,"",[1]对账明细接口!$AB524),"")</f>
        <v/>
      </c>
      <c r="AG524" s="7" t="str">
        <f>IFERROR(IF([1]对账明细接口!$AC524=0,"",[1]对账明细接口!$AC524),"")</f>
        <v/>
      </c>
      <c r="AH524" s="7" t="str">
        <f>IFERROR(IF([1]对账明细接口!$AD524=0,"",[1]对账明细接口!$AD524),"")</f>
        <v/>
      </c>
      <c r="AI524" s="7" t="str">
        <f>IFERROR(IF([1]对账明细接口!$AE524=0,"",[1]对账明细接口!$AE524),"")</f>
        <v/>
      </c>
      <c r="AJ524" s="7" t="str">
        <f>IFERROR(IF([1]对账明细接口!$AF524=0,"",[1]对账明细接口!$AF524),"")</f>
        <v/>
      </c>
    </row>
    <row r="525" ht="14.25" customHeight="1" spans="1:36">
      <c r="A525" s="14">
        <v>525</v>
      </c>
      <c r="B525" s="15" t="str">
        <f>IFERROR(IF([1]对账明细接口!$B$525=0,"",[1]对账明细接口!$B$525),"")</f>
        <v/>
      </c>
      <c r="C525" s="16" t="str">
        <f>IFERROR(IF([1]对账明细接口!$C$525=0,"",[1]对账明细接口!$C$525),"")</f>
        <v/>
      </c>
      <c r="D525" s="16" t="str">
        <f>IFERROR(IF([1]对账明细接口!$D$525=0,"",[1]对账明细接口!$D$525),"")</f>
        <v/>
      </c>
      <c r="E525" s="16" t="str">
        <f>IFERROR(IF([1]对账明细接口!$E$525=0,"",[1]对账明细接口!$E$525),"")</f>
        <v/>
      </c>
      <c r="F525" s="16" t="str">
        <f>IFERROR(IF([1]对账明细接口!$F$525=0,"",[1]对账明细接口!$F$525),"")</f>
        <v/>
      </c>
      <c r="G525" s="16" t="str">
        <f>IFERROR(IF([1]对账明细接口!$G$525=0,"",[1]对账明细接口!$G$525),"")</f>
        <v/>
      </c>
      <c r="H525" s="17" t="str">
        <f>IFERROR(IF([1]对账明细接口!$H$525=0,"",[1]对账明细接口!$H$525),"")</f>
        <v/>
      </c>
      <c r="I525" s="16" t="str">
        <f>IFERROR(IF([1]对账明细接口!$I$525=0,"",[1]对账明细接口!$I$525),"")</f>
        <v/>
      </c>
      <c r="J525" s="18" t="str">
        <f>IFERROR(IF([1]对账明细接口!$J$525=0,"",[1]对账明细接口!$J$525),"")</f>
        <v/>
      </c>
      <c r="K525" s="18" t="str">
        <f>IFERROR(IF([1]对账明细接口!$K$525=0,"",[1]对账明细接口!$K$525),"")</f>
        <v/>
      </c>
      <c r="L525" s="16" t="str">
        <f>IFERROR(IF([1]对账明细接口!$L$525=0,"",[1]对账明细接口!$L$525),"")</f>
        <v/>
      </c>
      <c r="M525" s="16" t="str">
        <f>IFERROR(IF([1]对账明细接口!$M$525=0,"",[1]对账明细接口!$M$525),"")</f>
        <v/>
      </c>
      <c r="N525" s="19">
        <f t="shared" si="16"/>
        <v>0</v>
      </c>
      <c r="O525" s="19">
        <f t="shared" si="17"/>
        <v>420</v>
      </c>
      <c r="S525" s="20" t="str">
        <f>IFERROR(IF([1]对账明细接口!$N525=0,"",[1]对账明细接口!$N525),"")</f>
        <v/>
      </c>
      <c r="T525" s="21" t="str">
        <f>IFERROR(IF([1]对账明细接口!$O525=0,"",[1]对账明细接口!$O525),"")</f>
        <v/>
      </c>
      <c r="U525" s="21" t="str">
        <f>IFERROR(IF([1]对账明细接口!$P525=0,"",[1]对账明细接口!$P525),"")</f>
        <v/>
      </c>
      <c r="V525" s="21" t="str">
        <f>IFERROR(IF([1]对账明细接口!$Q525=0,"",[1]对账明细接口!$Q525),"")</f>
        <v/>
      </c>
      <c r="W525" s="20" t="str">
        <f>IFERROR(IF([1]对账明细接口!$R525=0,"",[1]对账明细接口!$R525),"")</f>
        <v/>
      </c>
      <c r="X525" s="20" t="str">
        <f>IFERROR(IF([1]对账明细接口!$S525=0,"",[1]对账明细接口!$S525),"")</f>
        <v/>
      </c>
      <c r="Y525" s="20" t="str">
        <f>IFERROR(IF([1]对账明细接口!$T525=0,"",[1]对账明细接口!$T525),"")</f>
        <v/>
      </c>
      <c r="Z525" s="24" t="str">
        <f>IFERROR(IF([1]对账明细接口!$U525=0,"",[1]对账明细接口!$U525),"")</f>
        <v/>
      </c>
      <c r="AA525" s="24" t="str">
        <f>IFERROR(IF([1]对账明细接口!$V525=0,"",[1]对账明细接口!$V525),"")</f>
        <v/>
      </c>
      <c r="AB525" s="20" t="str">
        <f>IFERROR(IF([1]对账明细接口!$W525=0,"",[1]对账明细接口!$W525),"")</f>
        <v/>
      </c>
      <c r="AC525" s="7" t="str">
        <f>IFERROR(IF([1]对账明细接口!$X525=0,"",[1]对账明细接口!$X525),"")</f>
        <v/>
      </c>
      <c r="AD525" s="7" t="str">
        <f>IFERROR(IF([1]对账明细接口!$Y525=0,"",[1]对账明细接口!$Y525),"")</f>
        <v/>
      </c>
      <c r="AE525" s="7" t="str">
        <f>IFERROR(IF([1]对账明细接口!$AA525=0,"",[1]对账明细接口!$AA525),"")</f>
        <v/>
      </c>
      <c r="AF525" s="7" t="str">
        <f>IFERROR(IF([1]对账明细接口!$AB525=0,"",[1]对账明细接口!$AB525),"")</f>
        <v/>
      </c>
      <c r="AG525" s="7" t="str">
        <f>IFERROR(IF([1]对账明细接口!$AC525=0,"",[1]对账明细接口!$AC525),"")</f>
        <v/>
      </c>
      <c r="AH525" s="7" t="str">
        <f>IFERROR(IF([1]对账明细接口!$AD525=0,"",[1]对账明细接口!$AD525),"")</f>
        <v/>
      </c>
      <c r="AI525" s="7" t="str">
        <f>IFERROR(IF([1]对账明细接口!$AE525=0,"",[1]对账明细接口!$AE525),"")</f>
        <v/>
      </c>
      <c r="AJ525" s="7" t="str">
        <f>IFERROR(IF([1]对账明细接口!$AF525=0,"",[1]对账明细接口!$AF525),"")</f>
        <v/>
      </c>
    </row>
    <row r="526" ht="14.25" customHeight="1" spans="1:36">
      <c r="A526" s="14">
        <v>526</v>
      </c>
      <c r="B526" s="15" t="str">
        <f>IFERROR(IF([1]对账明细接口!$B$526=0,"",[1]对账明细接口!$B$526),"")</f>
        <v/>
      </c>
      <c r="C526" s="16" t="str">
        <f>IFERROR(IF([1]对账明细接口!$C$526=0,"",[1]对账明细接口!$C$526),"")</f>
        <v/>
      </c>
      <c r="D526" s="16" t="str">
        <f>IFERROR(IF([1]对账明细接口!$D$526=0,"",[1]对账明细接口!$D$526),"")</f>
        <v/>
      </c>
      <c r="E526" s="16" t="str">
        <f>IFERROR(IF([1]对账明细接口!$E$526=0,"",[1]对账明细接口!$E$526),"")</f>
        <v/>
      </c>
      <c r="F526" s="16" t="str">
        <f>IFERROR(IF([1]对账明细接口!$F$526=0,"",[1]对账明细接口!$F$526),"")</f>
        <v/>
      </c>
      <c r="G526" s="16" t="str">
        <f>IFERROR(IF([1]对账明细接口!$G$526=0,"",[1]对账明细接口!$G$526),"")</f>
        <v/>
      </c>
      <c r="H526" s="17" t="str">
        <f>IFERROR(IF([1]对账明细接口!$H$526=0,"",[1]对账明细接口!$H$526),"")</f>
        <v/>
      </c>
      <c r="I526" s="16" t="str">
        <f>IFERROR(IF([1]对账明细接口!$I$526=0,"",[1]对账明细接口!$I$526),"")</f>
        <v/>
      </c>
      <c r="J526" s="18" t="str">
        <f>IFERROR(IF([1]对账明细接口!$J$526=0,"",[1]对账明细接口!$J$526),"")</f>
        <v/>
      </c>
      <c r="K526" s="18" t="str">
        <f>IFERROR(IF([1]对账明细接口!$K$526=0,"",[1]对账明细接口!$K$526),"")</f>
        <v/>
      </c>
      <c r="L526" s="16" t="str">
        <f>IFERROR(IF([1]对账明细接口!$L$526=0,"",[1]对账明细接口!$L$526),"")</f>
        <v/>
      </c>
      <c r="M526" s="16" t="str">
        <f>IFERROR(IF([1]对账明细接口!$M$526=0,"",[1]对账明细接口!$M$526),"")</f>
        <v/>
      </c>
      <c r="N526" s="19">
        <f t="shared" si="16"/>
        <v>0</v>
      </c>
      <c r="O526" s="19">
        <f t="shared" si="17"/>
        <v>420</v>
      </c>
      <c r="S526" s="20" t="str">
        <f>IFERROR(IF([1]对账明细接口!$N526=0,"",[1]对账明细接口!$N526),"")</f>
        <v/>
      </c>
      <c r="T526" s="21" t="str">
        <f>IFERROR(IF([1]对账明细接口!$O526=0,"",[1]对账明细接口!$O526),"")</f>
        <v/>
      </c>
      <c r="U526" s="21" t="str">
        <f>IFERROR(IF([1]对账明细接口!$P526=0,"",[1]对账明细接口!$P526),"")</f>
        <v/>
      </c>
      <c r="V526" s="21" t="str">
        <f>IFERROR(IF([1]对账明细接口!$Q526=0,"",[1]对账明细接口!$Q526),"")</f>
        <v/>
      </c>
      <c r="W526" s="20" t="str">
        <f>IFERROR(IF([1]对账明细接口!$R526=0,"",[1]对账明细接口!$R526),"")</f>
        <v/>
      </c>
      <c r="X526" s="20" t="str">
        <f>IFERROR(IF([1]对账明细接口!$S526=0,"",[1]对账明细接口!$S526),"")</f>
        <v/>
      </c>
      <c r="Y526" s="20" t="str">
        <f>IFERROR(IF([1]对账明细接口!$T526=0,"",[1]对账明细接口!$T526),"")</f>
        <v/>
      </c>
      <c r="Z526" s="24" t="str">
        <f>IFERROR(IF([1]对账明细接口!$U526=0,"",[1]对账明细接口!$U526),"")</f>
        <v/>
      </c>
      <c r="AA526" s="24" t="str">
        <f>IFERROR(IF([1]对账明细接口!$V526=0,"",[1]对账明细接口!$V526),"")</f>
        <v/>
      </c>
      <c r="AB526" s="20" t="str">
        <f>IFERROR(IF([1]对账明细接口!$W526=0,"",[1]对账明细接口!$W526),"")</f>
        <v/>
      </c>
      <c r="AC526" s="7" t="str">
        <f>IFERROR(IF([1]对账明细接口!$X526=0,"",[1]对账明细接口!$X526),"")</f>
        <v/>
      </c>
      <c r="AD526" s="7" t="str">
        <f>IFERROR(IF([1]对账明细接口!$Y526=0,"",[1]对账明细接口!$Y526),"")</f>
        <v/>
      </c>
      <c r="AE526" s="7" t="str">
        <f>IFERROR(IF([1]对账明细接口!$AA526=0,"",[1]对账明细接口!$AA526),"")</f>
        <v/>
      </c>
      <c r="AF526" s="7" t="str">
        <f>IFERROR(IF([1]对账明细接口!$AB526=0,"",[1]对账明细接口!$AB526),"")</f>
        <v/>
      </c>
      <c r="AG526" s="7" t="str">
        <f>IFERROR(IF([1]对账明细接口!$AC526=0,"",[1]对账明细接口!$AC526),"")</f>
        <v/>
      </c>
      <c r="AH526" s="7" t="str">
        <f>IFERROR(IF([1]对账明细接口!$AD526=0,"",[1]对账明细接口!$AD526),"")</f>
        <v/>
      </c>
      <c r="AI526" s="7" t="str">
        <f>IFERROR(IF([1]对账明细接口!$AE526=0,"",[1]对账明细接口!$AE526),"")</f>
        <v/>
      </c>
      <c r="AJ526" s="7" t="str">
        <f>IFERROR(IF([1]对账明细接口!$AF526=0,"",[1]对账明细接口!$AF526),"")</f>
        <v/>
      </c>
    </row>
    <row r="527" ht="14.25" customHeight="1" spans="1:36">
      <c r="A527" s="14">
        <v>527</v>
      </c>
      <c r="B527" s="15" t="str">
        <f>IFERROR(IF([1]对账明细接口!$B$527=0,"",[1]对账明细接口!$B$527),"")</f>
        <v/>
      </c>
      <c r="C527" s="16" t="str">
        <f>IFERROR(IF([1]对账明细接口!$C$527=0,"",[1]对账明细接口!$C$527),"")</f>
        <v/>
      </c>
      <c r="D527" s="16" t="str">
        <f>IFERROR(IF([1]对账明细接口!$D$527=0,"",[1]对账明细接口!$D$527),"")</f>
        <v/>
      </c>
      <c r="E527" s="16" t="str">
        <f>IFERROR(IF([1]对账明细接口!$E$527=0,"",[1]对账明细接口!$E$527),"")</f>
        <v/>
      </c>
      <c r="F527" s="16" t="str">
        <f>IFERROR(IF([1]对账明细接口!$F$527=0,"",[1]对账明细接口!$F$527),"")</f>
        <v/>
      </c>
      <c r="G527" s="16" t="str">
        <f>IFERROR(IF([1]对账明细接口!$G$527=0,"",[1]对账明细接口!$G$527),"")</f>
        <v/>
      </c>
      <c r="H527" s="17" t="str">
        <f>IFERROR(IF([1]对账明细接口!$H$527=0,"",[1]对账明细接口!$H$527),"")</f>
        <v/>
      </c>
      <c r="I527" s="16" t="str">
        <f>IFERROR(IF([1]对账明细接口!$I$527=0,"",[1]对账明细接口!$I$527),"")</f>
        <v/>
      </c>
      <c r="J527" s="18" t="str">
        <f>IFERROR(IF([1]对账明细接口!$J$527=0,"",[1]对账明细接口!$J$527),"")</f>
        <v/>
      </c>
      <c r="K527" s="18" t="str">
        <f>IFERROR(IF([1]对账明细接口!$K$527=0,"",[1]对账明细接口!$K$527),"")</f>
        <v/>
      </c>
      <c r="L527" s="16" t="str">
        <f>IFERROR(IF([1]对账明细接口!$L$527=0,"",[1]对账明细接口!$L$527),"")</f>
        <v/>
      </c>
      <c r="M527" s="16" t="str">
        <f>IFERROR(IF([1]对账明细接口!$M$527=0,"",[1]对账明细接口!$M$527),"")</f>
        <v/>
      </c>
      <c r="N527" s="19">
        <f t="shared" si="16"/>
        <v>0</v>
      </c>
      <c r="O527" s="19">
        <f t="shared" si="17"/>
        <v>420</v>
      </c>
      <c r="S527" s="20" t="str">
        <f>IFERROR(IF([1]对账明细接口!$N527=0,"",[1]对账明细接口!$N527),"")</f>
        <v/>
      </c>
      <c r="T527" s="21" t="str">
        <f>IFERROR(IF([1]对账明细接口!$O527=0,"",[1]对账明细接口!$O527),"")</f>
        <v/>
      </c>
      <c r="U527" s="21" t="str">
        <f>IFERROR(IF([1]对账明细接口!$P527=0,"",[1]对账明细接口!$P527),"")</f>
        <v/>
      </c>
      <c r="V527" s="21" t="str">
        <f>IFERROR(IF([1]对账明细接口!$Q527=0,"",[1]对账明细接口!$Q527),"")</f>
        <v/>
      </c>
      <c r="W527" s="20" t="str">
        <f>IFERROR(IF([1]对账明细接口!$R527=0,"",[1]对账明细接口!$R527),"")</f>
        <v/>
      </c>
      <c r="X527" s="20" t="str">
        <f>IFERROR(IF([1]对账明细接口!$S527=0,"",[1]对账明细接口!$S527),"")</f>
        <v/>
      </c>
      <c r="Y527" s="20" t="str">
        <f>IFERROR(IF([1]对账明细接口!$T527=0,"",[1]对账明细接口!$T527),"")</f>
        <v/>
      </c>
      <c r="Z527" s="24" t="str">
        <f>IFERROR(IF([1]对账明细接口!$U527=0,"",[1]对账明细接口!$U527),"")</f>
        <v/>
      </c>
      <c r="AA527" s="24" t="str">
        <f>IFERROR(IF([1]对账明细接口!$V527=0,"",[1]对账明细接口!$V527),"")</f>
        <v/>
      </c>
      <c r="AB527" s="20" t="str">
        <f>IFERROR(IF([1]对账明细接口!$W527=0,"",[1]对账明细接口!$W527),"")</f>
        <v/>
      </c>
      <c r="AC527" s="7" t="str">
        <f>IFERROR(IF([1]对账明细接口!$X527=0,"",[1]对账明细接口!$X527),"")</f>
        <v/>
      </c>
      <c r="AD527" s="7" t="str">
        <f>IFERROR(IF([1]对账明细接口!$Y527=0,"",[1]对账明细接口!$Y527),"")</f>
        <v/>
      </c>
      <c r="AE527" s="7" t="str">
        <f>IFERROR(IF([1]对账明细接口!$AA527=0,"",[1]对账明细接口!$AA527),"")</f>
        <v/>
      </c>
      <c r="AF527" s="7" t="str">
        <f>IFERROR(IF([1]对账明细接口!$AB527=0,"",[1]对账明细接口!$AB527),"")</f>
        <v/>
      </c>
      <c r="AG527" s="7" t="str">
        <f>IFERROR(IF([1]对账明细接口!$AC527=0,"",[1]对账明细接口!$AC527),"")</f>
        <v/>
      </c>
      <c r="AH527" s="7" t="str">
        <f>IFERROR(IF([1]对账明细接口!$AD527=0,"",[1]对账明细接口!$AD527),"")</f>
        <v/>
      </c>
      <c r="AI527" s="7" t="str">
        <f>IFERROR(IF([1]对账明细接口!$AE527=0,"",[1]对账明细接口!$AE527),"")</f>
        <v/>
      </c>
      <c r="AJ527" s="7" t="str">
        <f>IFERROR(IF([1]对账明细接口!$AF527=0,"",[1]对账明细接口!$AF527),"")</f>
        <v/>
      </c>
    </row>
    <row r="528" ht="14.25" customHeight="1" spans="1:36">
      <c r="A528" s="14">
        <v>528</v>
      </c>
      <c r="B528" s="15" t="str">
        <f>IFERROR(IF([1]对账明细接口!$B$528=0,"",[1]对账明细接口!$B$528),"")</f>
        <v/>
      </c>
      <c r="C528" s="16" t="str">
        <f>IFERROR(IF([1]对账明细接口!$C$528=0,"",[1]对账明细接口!$C$528),"")</f>
        <v/>
      </c>
      <c r="D528" s="16" t="str">
        <f>IFERROR(IF([1]对账明细接口!$D$528=0,"",[1]对账明细接口!$D$528),"")</f>
        <v/>
      </c>
      <c r="E528" s="16" t="str">
        <f>IFERROR(IF([1]对账明细接口!$E$528=0,"",[1]对账明细接口!$E$528),"")</f>
        <v/>
      </c>
      <c r="F528" s="16" t="str">
        <f>IFERROR(IF([1]对账明细接口!$F$528=0,"",[1]对账明细接口!$F$528),"")</f>
        <v/>
      </c>
      <c r="G528" s="16" t="str">
        <f>IFERROR(IF([1]对账明细接口!$G$528=0,"",[1]对账明细接口!$G$528),"")</f>
        <v/>
      </c>
      <c r="H528" s="17" t="str">
        <f>IFERROR(IF([1]对账明细接口!$H$528=0,"",[1]对账明细接口!$H$528),"")</f>
        <v/>
      </c>
      <c r="I528" s="16" t="str">
        <f>IFERROR(IF([1]对账明细接口!$I$528=0,"",[1]对账明细接口!$I$528),"")</f>
        <v/>
      </c>
      <c r="J528" s="18" t="str">
        <f>IFERROR(IF([1]对账明细接口!$J$528=0,"",[1]对账明细接口!$J$528),"")</f>
        <v/>
      </c>
      <c r="K528" s="18" t="str">
        <f>IFERROR(IF([1]对账明细接口!$K$528=0,"",[1]对账明细接口!$K$528),"")</f>
        <v/>
      </c>
      <c r="L528" s="16" t="str">
        <f>IFERROR(IF([1]对账明细接口!$L$528=0,"",[1]对账明细接口!$L$528),"")</f>
        <v/>
      </c>
      <c r="M528" s="16" t="str">
        <f>IFERROR(IF([1]对账明细接口!$M$528=0,"",[1]对账明细接口!$M$528),"")</f>
        <v/>
      </c>
      <c r="N528" s="19">
        <f t="shared" si="16"/>
        <v>0</v>
      </c>
      <c r="O528" s="19">
        <f t="shared" si="17"/>
        <v>420</v>
      </c>
      <c r="S528" s="20" t="str">
        <f>IFERROR(IF([1]对账明细接口!$N528=0,"",[1]对账明细接口!$N528),"")</f>
        <v/>
      </c>
      <c r="T528" s="21" t="str">
        <f>IFERROR(IF([1]对账明细接口!$O528=0,"",[1]对账明细接口!$O528),"")</f>
        <v/>
      </c>
      <c r="U528" s="21" t="str">
        <f>IFERROR(IF([1]对账明细接口!$P528=0,"",[1]对账明细接口!$P528),"")</f>
        <v/>
      </c>
      <c r="V528" s="21" t="str">
        <f>IFERROR(IF([1]对账明细接口!$Q528=0,"",[1]对账明细接口!$Q528),"")</f>
        <v/>
      </c>
      <c r="W528" s="20" t="str">
        <f>IFERROR(IF([1]对账明细接口!$R528=0,"",[1]对账明细接口!$R528),"")</f>
        <v/>
      </c>
      <c r="X528" s="20" t="str">
        <f>IFERROR(IF([1]对账明细接口!$S528=0,"",[1]对账明细接口!$S528),"")</f>
        <v/>
      </c>
      <c r="Y528" s="20" t="str">
        <f>IFERROR(IF([1]对账明细接口!$T528=0,"",[1]对账明细接口!$T528),"")</f>
        <v/>
      </c>
      <c r="Z528" s="24" t="str">
        <f>IFERROR(IF([1]对账明细接口!$U528=0,"",[1]对账明细接口!$U528),"")</f>
        <v/>
      </c>
      <c r="AA528" s="24" t="str">
        <f>IFERROR(IF([1]对账明细接口!$V528=0,"",[1]对账明细接口!$V528),"")</f>
        <v/>
      </c>
      <c r="AB528" s="20" t="str">
        <f>IFERROR(IF([1]对账明细接口!$W528=0,"",[1]对账明细接口!$W528),"")</f>
        <v/>
      </c>
      <c r="AC528" s="7" t="str">
        <f>IFERROR(IF([1]对账明细接口!$X528=0,"",[1]对账明细接口!$X528),"")</f>
        <v/>
      </c>
      <c r="AD528" s="7" t="str">
        <f>IFERROR(IF([1]对账明细接口!$Y528=0,"",[1]对账明细接口!$Y528),"")</f>
        <v/>
      </c>
      <c r="AE528" s="7" t="str">
        <f>IFERROR(IF([1]对账明细接口!$AA528=0,"",[1]对账明细接口!$AA528),"")</f>
        <v/>
      </c>
      <c r="AF528" s="7" t="str">
        <f>IFERROR(IF([1]对账明细接口!$AB528=0,"",[1]对账明细接口!$AB528),"")</f>
        <v/>
      </c>
      <c r="AG528" s="7" t="str">
        <f>IFERROR(IF([1]对账明细接口!$AC528=0,"",[1]对账明细接口!$AC528),"")</f>
        <v/>
      </c>
      <c r="AH528" s="7" t="str">
        <f>IFERROR(IF([1]对账明细接口!$AD528=0,"",[1]对账明细接口!$AD528),"")</f>
        <v/>
      </c>
      <c r="AI528" s="7" t="str">
        <f>IFERROR(IF([1]对账明细接口!$AE528=0,"",[1]对账明细接口!$AE528),"")</f>
        <v/>
      </c>
      <c r="AJ528" s="7" t="str">
        <f>IFERROR(IF([1]对账明细接口!$AF528=0,"",[1]对账明细接口!$AF528),"")</f>
        <v/>
      </c>
    </row>
    <row r="529" ht="14.25" customHeight="1" spans="1:36">
      <c r="A529" s="14">
        <v>529</v>
      </c>
      <c r="B529" s="15" t="str">
        <f>IFERROR(IF([1]对账明细接口!$B$529=0,"",[1]对账明细接口!$B$529),"")</f>
        <v/>
      </c>
      <c r="C529" s="16" t="str">
        <f>IFERROR(IF([1]对账明细接口!$C$529=0,"",[1]对账明细接口!$C$529),"")</f>
        <v/>
      </c>
      <c r="D529" s="16" t="str">
        <f>IFERROR(IF([1]对账明细接口!$D$529=0,"",[1]对账明细接口!$D$529),"")</f>
        <v/>
      </c>
      <c r="E529" s="16" t="str">
        <f>IFERROR(IF([1]对账明细接口!$E$529=0,"",[1]对账明细接口!$E$529),"")</f>
        <v/>
      </c>
      <c r="F529" s="16" t="str">
        <f>IFERROR(IF([1]对账明细接口!$F$529=0,"",[1]对账明细接口!$F$529),"")</f>
        <v/>
      </c>
      <c r="G529" s="16" t="str">
        <f>IFERROR(IF([1]对账明细接口!$G$529=0,"",[1]对账明细接口!$G$529),"")</f>
        <v/>
      </c>
      <c r="H529" s="17" t="str">
        <f>IFERROR(IF([1]对账明细接口!$H$529=0,"",[1]对账明细接口!$H$529),"")</f>
        <v/>
      </c>
      <c r="I529" s="16" t="str">
        <f>IFERROR(IF([1]对账明细接口!$I$529=0,"",[1]对账明细接口!$I$529),"")</f>
        <v/>
      </c>
      <c r="J529" s="18" t="str">
        <f>IFERROR(IF([1]对账明细接口!$J$529=0,"",[1]对账明细接口!$J$529),"")</f>
        <v/>
      </c>
      <c r="K529" s="18" t="str">
        <f>IFERROR(IF([1]对账明细接口!$K$529=0,"",[1]对账明细接口!$K$529),"")</f>
        <v/>
      </c>
      <c r="L529" s="16" t="str">
        <f>IFERROR(IF([1]对账明细接口!$L$529=0,"",[1]对账明细接口!$L$529),"")</f>
        <v/>
      </c>
      <c r="M529" s="16" t="str">
        <f>IFERROR(IF([1]对账明细接口!$M$529=0,"",[1]对账明细接口!$M$529),"")</f>
        <v/>
      </c>
      <c r="N529" s="19">
        <f t="shared" si="16"/>
        <v>0</v>
      </c>
      <c r="O529" s="19">
        <f t="shared" si="17"/>
        <v>420</v>
      </c>
      <c r="S529" s="20" t="str">
        <f>IFERROR(IF([1]对账明细接口!$N529=0,"",[1]对账明细接口!$N529),"")</f>
        <v/>
      </c>
      <c r="T529" s="21" t="str">
        <f>IFERROR(IF([1]对账明细接口!$O529=0,"",[1]对账明细接口!$O529),"")</f>
        <v/>
      </c>
      <c r="U529" s="21" t="str">
        <f>IFERROR(IF([1]对账明细接口!$P529=0,"",[1]对账明细接口!$P529),"")</f>
        <v/>
      </c>
      <c r="V529" s="21" t="str">
        <f>IFERROR(IF([1]对账明细接口!$Q529=0,"",[1]对账明细接口!$Q529),"")</f>
        <v/>
      </c>
      <c r="W529" s="20" t="str">
        <f>IFERROR(IF([1]对账明细接口!$R529=0,"",[1]对账明细接口!$R529),"")</f>
        <v/>
      </c>
      <c r="X529" s="20" t="str">
        <f>IFERROR(IF([1]对账明细接口!$S529=0,"",[1]对账明细接口!$S529),"")</f>
        <v/>
      </c>
      <c r="Y529" s="20" t="str">
        <f>IFERROR(IF([1]对账明细接口!$T529=0,"",[1]对账明细接口!$T529),"")</f>
        <v/>
      </c>
      <c r="Z529" s="24" t="str">
        <f>IFERROR(IF([1]对账明细接口!$U529=0,"",[1]对账明细接口!$U529),"")</f>
        <v/>
      </c>
      <c r="AA529" s="24" t="str">
        <f>IFERROR(IF([1]对账明细接口!$V529=0,"",[1]对账明细接口!$V529),"")</f>
        <v/>
      </c>
      <c r="AB529" s="20" t="str">
        <f>IFERROR(IF([1]对账明细接口!$W529=0,"",[1]对账明细接口!$W529),"")</f>
        <v/>
      </c>
      <c r="AC529" s="7" t="str">
        <f>IFERROR(IF([1]对账明细接口!$X529=0,"",[1]对账明细接口!$X529),"")</f>
        <v/>
      </c>
      <c r="AD529" s="7" t="str">
        <f>IFERROR(IF([1]对账明细接口!$Y529=0,"",[1]对账明细接口!$Y529),"")</f>
        <v/>
      </c>
      <c r="AE529" s="7" t="str">
        <f>IFERROR(IF([1]对账明细接口!$AA529=0,"",[1]对账明细接口!$AA529),"")</f>
        <v/>
      </c>
      <c r="AF529" s="7" t="str">
        <f>IFERROR(IF([1]对账明细接口!$AB529=0,"",[1]对账明细接口!$AB529),"")</f>
        <v/>
      </c>
      <c r="AG529" s="7" t="str">
        <f>IFERROR(IF([1]对账明细接口!$AC529=0,"",[1]对账明细接口!$AC529),"")</f>
        <v/>
      </c>
      <c r="AH529" s="7" t="str">
        <f>IFERROR(IF([1]对账明细接口!$AD529=0,"",[1]对账明细接口!$AD529),"")</f>
        <v/>
      </c>
      <c r="AI529" s="7" t="str">
        <f>IFERROR(IF([1]对账明细接口!$AE529=0,"",[1]对账明细接口!$AE529),"")</f>
        <v/>
      </c>
      <c r="AJ529" s="7" t="str">
        <f>IFERROR(IF([1]对账明细接口!$AF529=0,"",[1]对账明细接口!$AF529),"")</f>
        <v/>
      </c>
    </row>
    <row r="530" ht="14.25" customHeight="1" spans="1:36">
      <c r="A530" s="14">
        <v>530</v>
      </c>
      <c r="B530" s="15" t="str">
        <f>IFERROR(IF([1]对账明细接口!$B$530=0,"",[1]对账明细接口!$B$530),"")</f>
        <v/>
      </c>
      <c r="C530" s="16" t="str">
        <f>IFERROR(IF([1]对账明细接口!$C$530=0,"",[1]对账明细接口!$C$530),"")</f>
        <v/>
      </c>
      <c r="D530" s="16" t="str">
        <f>IFERROR(IF([1]对账明细接口!$D$530=0,"",[1]对账明细接口!$D$530),"")</f>
        <v/>
      </c>
      <c r="E530" s="16" t="str">
        <f>IFERROR(IF([1]对账明细接口!$E$530=0,"",[1]对账明细接口!$E$530),"")</f>
        <v/>
      </c>
      <c r="F530" s="16" t="str">
        <f>IFERROR(IF([1]对账明细接口!$F$530=0,"",[1]对账明细接口!$F$530),"")</f>
        <v/>
      </c>
      <c r="G530" s="16" t="str">
        <f>IFERROR(IF([1]对账明细接口!$G$530=0,"",[1]对账明细接口!$G$530),"")</f>
        <v/>
      </c>
      <c r="H530" s="17" t="str">
        <f>IFERROR(IF([1]对账明细接口!$H$530=0,"",[1]对账明细接口!$H$530),"")</f>
        <v/>
      </c>
      <c r="I530" s="16" t="str">
        <f>IFERROR(IF([1]对账明细接口!$I$530=0,"",[1]对账明细接口!$I$530),"")</f>
        <v/>
      </c>
      <c r="J530" s="18" t="str">
        <f>IFERROR(IF([1]对账明细接口!$J$530=0,"",[1]对账明细接口!$J$530),"")</f>
        <v/>
      </c>
      <c r="K530" s="18" t="str">
        <f>IFERROR(IF([1]对账明细接口!$K$530=0,"",[1]对账明细接口!$K$530),"")</f>
        <v/>
      </c>
      <c r="L530" s="16" t="str">
        <f>IFERROR(IF([1]对账明细接口!$L$530=0,"",[1]对账明细接口!$L$530),"")</f>
        <v/>
      </c>
      <c r="M530" s="16" t="str">
        <f>IFERROR(IF([1]对账明细接口!$M$530=0,"",[1]对账明细接口!$M$530),"")</f>
        <v/>
      </c>
      <c r="N530" s="19">
        <f t="shared" si="16"/>
        <v>0</v>
      </c>
      <c r="O530" s="19">
        <f t="shared" si="17"/>
        <v>420</v>
      </c>
      <c r="S530" s="20" t="str">
        <f>IFERROR(IF([1]对账明细接口!$N530=0,"",[1]对账明细接口!$N530),"")</f>
        <v/>
      </c>
      <c r="T530" s="21" t="str">
        <f>IFERROR(IF([1]对账明细接口!$O530=0,"",[1]对账明细接口!$O530),"")</f>
        <v/>
      </c>
      <c r="U530" s="21" t="str">
        <f>IFERROR(IF([1]对账明细接口!$P530=0,"",[1]对账明细接口!$P530),"")</f>
        <v/>
      </c>
      <c r="V530" s="21" t="str">
        <f>IFERROR(IF([1]对账明细接口!$Q530=0,"",[1]对账明细接口!$Q530),"")</f>
        <v/>
      </c>
      <c r="W530" s="20" t="str">
        <f>IFERROR(IF([1]对账明细接口!$R530=0,"",[1]对账明细接口!$R530),"")</f>
        <v/>
      </c>
      <c r="X530" s="20" t="str">
        <f>IFERROR(IF([1]对账明细接口!$S530=0,"",[1]对账明细接口!$S530),"")</f>
        <v/>
      </c>
      <c r="Y530" s="20" t="str">
        <f>IFERROR(IF([1]对账明细接口!$T530=0,"",[1]对账明细接口!$T530),"")</f>
        <v/>
      </c>
      <c r="Z530" s="24" t="str">
        <f>IFERROR(IF([1]对账明细接口!$U530=0,"",[1]对账明细接口!$U530),"")</f>
        <v/>
      </c>
      <c r="AA530" s="24" t="str">
        <f>IFERROR(IF([1]对账明细接口!$V530=0,"",[1]对账明细接口!$V530),"")</f>
        <v/>
      </c>
      <c r="AB530" s="20" t="str">
        <f>IFERROR(IF([1]对账明细接口!$W530=0,"",[1]对账明细接口!$W530),"")</f>
        <v/>
      </c>
      <c r="AC530" s="7" t="str">
        <f>IFERROR(IF([1]对账明细接口!$X530=0,"",[1]对账明细接口!$X530),"")</f>
        <v/>
      </c>
      <c r="AD530" s="7" t="str">
        <f>IFERROR(IF([1]对账明细接口!$Y530=0,"",[1]对账明细接口!$Y530),"")</f>
        <v/>
      </c>
      <c r="AE530" s="7" t="str">
        <f>IFERROR(IF([1]对账明细接口!$AA530=0,"",[1]对账明细接口!$AA530),"")</f>
        <v/>
      </c>
      <c r="AF530" s="7" t="str">
        <f>IFERROR(IF([1]对账明细接口!$AB530=0,"",[1]对账明细接口!$AB530),"")</f>
        <v/>
      </c>
      <c r="AG530" s="7" t="str">
        <f>IFERROR(IF([1]对账明细接口!$AC530=0,"",[1]对账明细接口!$AC530),"")</f>
        <v/>
      </c>
      <c r="AH530" s="7" t="str">
        <f>IFERROR(IF([1]对账明细接口!$AD530=0,"",[1]对账明细接口!$AD530),"")</f>
        <v/>
      </c>
      <c r="AI530" s="7" t="str">
        <f>IFERROR(IF([1]对账明细接口!$AE530=0,"",[1]对账明细接口!$AE530),"")</f>
        <v/>
      </c>
      <c r="AJ530" s="7" t="str">
        <f>IFERROR(IF([1]对账明细接口!$AF530=0,"",[1]对账明细接口!$AF530),"")</f>
        <v/>
      </c>
    </row>
    <row r="531" ht="14.25" customHeight="1" spans="1:36">
      <c r="A531" s="14">
        <v>531</v>
      </c>
      <c r="B531" s="15" t="str">
        <f>IFERROR(IF([1]对账明细接口!$B$531=0,"",[1]对账明细接口!$B$531),"")</f>
        <v/>
      </c>
      <c r="C531" s="16" t="str">
        <f>IFERROR(IF([1]对账明细接口!$C$531=0,"",[1]对账明细接口!$C$531),"")</f>
        <v/>
      </c>
      <c r="D531" s="16" t="str">
        <f>IFERROR(IF([1]对账明细接口!$D$531=0,"",[1]对账明细接口!$D$531),"")</f>
        <v/>
      </c>
      <c r="E531" s="16" t="str">
        <f>IFERROR(IF([1]对账明细接口!$E$531=0,"",[1]对账明细接口!$E$531),"")</f>
        <v/>
      </c>
      <c r="F531" s="16" t="str">
        <f>IFERROR(IF([1]对账明细接口!$F$531=0,"",[1]对账明细接口!$F$531),"")</f>
        <v/>
      </c>
      <c r="G531" s="16" t="str">
        <f>IFERROR(IF([1]对账明细接口!$G$531=0,"",[1]对账明细接口!$G$531),"")</f>
        <v/>
      </c>
      <c r="H531" s="17" t="str">
        <f>IFERROR(IF([1]对账明细接口!$H$531=0,"",[1]对账明细接口!$H$531),"")</f>
        <v/>
      </c>
      <c r="I531" s="16" t="str">
        <f>IFERROR(IF([1]对账明细接口!$I$531=0,"",[1]对账明细接口!$I$531),"")</f>
        <v/>
      </c>
      <c r="J531" s="18" t="str">
        <f>IFERROR(IF([1]对账明细接口!$J$531=0,"",[1]对账明细接口!$J$531),"")</f>
        <v/>
      </c>
      <c r="K531" s="18" t="str">
        <f>IFERROR(IF([1]对账明细接口!$K$531=0,"",[1]对账明细接口!$K$531),"")</f>
        <v/>
      </c>
      <c r="L531" s="16" t="str">
        <f>IFERROR(IF([1]对账明细接口!$L$531=0,"",[1]对账明细接口!$L$531),"")</f>
        <v/>
      </c>
      <c r="M531" s="16" t="str">
        <f>IFERROR(IF([1]对账明细接口!$M$531=0,"",[1]对账明细接口!$M$531),"")</f>
        <v/>
      </c>
      <c r="N531" s="19">
        <f t="shared" si="16"/>
        <v>0</v>
      </c>
      <c r="O531" s="19">
        <f t="shared" si="17"/>
        <v>420</v>
      </c>
      <c r="S531" s="20" t="str">
        <f>IFERROR(IF([1]对账明细接口!$N531=0,"",[1]对账明细接口!$N531),"")</f>
        <v/>
      </c>
      <c r="T531" s="21" t="str">
        <f>IFERROR(IF([1]对账明细接口!$O531=0,"",[1]对账明细接口!$O531),"")</f>
        <v/>
      </c>
      <c r="U531" s="21" t="str">
        <f>IFERROR(IF([1]对账明细接口!$P531=0,"",[1]对账明细接口!$P531),"")</f>
        <v/>
      </c>
      <c r="V531" s="21" t="str">
        <f>IFERROR(IF([1]对账明细接口!$Q531=0,"",[1]对账明细接口!$Q531),"")</f>
        <v/>
      </c>
      <c r="W531" s="20" t="str">
        <f>IFERROR(IF([1]对账明细接口!$R531=0,"",[1]对账明细接口!$R531),"")</f>
        <v/>
      </c>
      <c r="X531" s="20" t="str">
        <f>IFERROR(IF([1]对账明细接口!$S531=0,"",[1]对账明细接口!$S531),"")</f>
        <v/>
      </c>
      <c r="Y531" s="20" t="str">
        <f>IFERROR(IF([1]对账明细接口!$T531=0,"",[1]对账明细接口!$T531),"")</f>
        <v/>
      </c>
      <c r="Z531" s="24" t="str">
        <f>IFERROR(IF([1]对账明细接口!$U531=0,"",[1]对账明细接口!$U531),"")</f>
        <v/>
      </c>
      <c r="AA531" s="24" t="str">
        <f>IFERROR(IF([1]对账明细接口!$V531=0,"",[1]对账明细接口!$V531),"")</f>
        <v/>
      </c>
      <c r="AB531" s="20" t="str">
        <f>IFERROR(IF([1]对账明细接口!$W531=0,"",[1]对账明细接口!$W531),"")</f>
        <v/>
      </c>
      <c r="AC531" s="7" t="str">
        <f>IFERROR(IF([1]对账明细接口!$X531=0,"",[1]对账明细接口!$X531),"")</f>
        <v/>
      </c>
      <c r="AD531" s="7" t="str">
        <f>IFERROR(IF([1]对账明细接口!$Y531=0,"",[1]对账明细接口!$Y531),"")</f>
        <v/>
      </c>
      <c r="AE531" s="7" t="str">
        <f>IFERROR(IF([1]对账明细接口!$AA531=0,"",[1]对账明细接口!$AA531),"")</f>
        <v/>
      </c>
      <c r="AF531" s="7" t="str">
        <f>IFERROR(IF([1]对账明细接口!$AB531=0,"",[1]对账明细接口!$AB531),"")</f>
        <v/>
      </c>
      <c r="AG531" s="7" t="str">
        <f>IFERROR(IF([1]对账明细接口!$AC531=0,"",[1]对账明细接口!$AC531),"")</f>
        <v/>
      </c>
      <c r="AH531" s="7" t="str">
        <f>IFERROR(IF([1]对账明细接口!$AD531=0,"",[1]对账明细接口!$AD531),"")</f>
        <v/>
      </c>
      <c r="AI531" s="7" t="str">
        <f>IFERROR(IF([1]对账明细接口!$AE531=0,"",[1]对账明细接口!$AE531),"")</f>
        <v/>
      </c>
      <c r="AJ531" s="7" t="str">
        <f>IFERROR(IF([1]对账明细接口!$AF531=0,"",[1]对账明细接口!$AF531),"")</f>
        <v/>
      </c>
    </row>
    <row r="532" ht="14.25" customHeight="1" spans="1:36">
      <c r="A532" s="14">
        <v>532</v>
      </c>
      <c r="B532" s="15" t="str">
        <f>IFERROR(IF([1]对账明细接口!$B$532=0,"",[1]对账明细接口!$B$532),"")</f>
        <v/>
      </c>
      <c r="C532" s="16" t="str">
        <f>IFERROR(IF([1]对账明细接口!$C$532=0,"",[1]对账明细接口!$C$532),"")</f>
        <v/>
      </c>
      <c r="D532" s="16" t="str">
        <f>IFERROR(IF([1]对账明细接口!$D$532=0,"",[1]对账明细接口!$D$532),"")</f>
        <v/>
      </c>
      <c r="E532" s="16" t="str">
        <f>IFERROR(IF([1]对账明细接口!$E$532=0,"",[1]对账明细接口!$E$532),"")</f>
        <v/>
      </c>
      <c r="F532" s="16" t="str">
        <f>IFERROR(IF([1]对账明细接口!$F$532=0,"",[1]对账明细接口!$F$532),"")</f>
        <v/>
      </c>
      <c r="G532" s="16" t="str">
        <f>IFERROR(IF([1]对账明细接口!$G$532=0,"",[1]对账明细接口!$G$532),"")</f>
        <v/>
      </c>
      <c r="H532" s="17" t="str">
        <f>IFERROR(IF([1]对账明细接口!$H$532=0,"",[1]对账明细接口!$H$532),"")</f>
        <v/>
      </c>
      <c r="I532" s="16" t="str">
        <f>IFERROR(IF([1]对账明细接口!$I$532=0,"",[1]对账明细接口!$I$532),"")</f>
        <v/>
      </c>
      <c r="J532" s="18" t="str">
        <f>IFERROR(IF([1]对账明细接口!$J$532=0,"",[1]对账明细接口!$J$532),"")</f>
        <v/>
      </c>
      <c r="K532" s="18" t="str">
        <f>IFERROR(IF([1]对账明细接口!$K$532=0,"",[1]对账明细接口!$K$532),"")</f>
        <v/>
      </c>
      <c r="L532" s="16" t="str">
        <f>IFERROR(IF([1]对账明细接口!$L$532=0,"",[1]对账明细接口!$L$532),"")</f>
        <v/>
      </c>
      <c r="M532" s="16" t="str">
        <f>IFERROR(IF([1]对账明细接口!$M$532=0,"",[1]对账明细接口!$M$532),"")</f>
        <v/>
      </c>
      <c r="N532" s="19">
        <f t="shared" si="16"/>
        <v>0</v>
      </c>
      <c r="O532" s="19">
        <f t="shared" si="17"/>
        <v>420</v>
      </c>
      <c r="S532" s="20" t="str">
        <f>IFERROR(IF([1]对账明细接口!$N532=0,"",[1]对账明细接口!$N532),"")</f>
        <v/>
      </c>
      <c r="T532" s="21" t="str">
        <f>IFERROR(IF([1]对账明细接口!$O532=0,"",[1]对账明细接口!$O532),"")</f>
        <v/>
      </c>
      <c r="U532" s="21" t="str">
        <f>IFERROR(IF([1]对账明细接口!$P532=0,"",[1]对账明细接口!$P532),"")</f>
        <v/>
      </c>
      <c r="V532" s="21" t="str">
        <f>IFERROR(IF([1]对账明细接口!$Q532=0,"",[1]对账明细接口!$Q532),"")</f>
        <v/>
      </c>
      <c r="W532" s="20" t="str">
        <f>IFERROR(IF([1]对账明细接口!$R532=0,"",[1]对账明细接口!$R532),"")</f>
        <v/>
      </c>
      <c r="X532" s="20" t="str">
        <f>IFERROR(IF([1]对账明细接口!$S532=0,"",[1]对账明细接口!$S532),"")</f>
        <v/>
      </c>
      <c r="Y532" s="20" t="str">
        <f>IFERROR(IF([1]对账明细接口!$T532=0,"",[1]对账明细接口!$T532),"")</f>
        <v/>
      </c>
      <c r="Z532" s="24" t="str">
        <f>IFERROR(IF([1]对账明细接口!$U532=0,"",[1]对账明细接口!$U532),"")</f>
        <v/>
      </c>
      <c r="AA532" s="24" t="str">
        <f>IFERROR(IF([1]对账明细接口!$V532=0,"",[1]对账明细接口!$V532),"")</f>
        <v/>
      </c>
      <c r="AB532" s="20" t="str">
        <f>IFERROR(IF([1]对账明细接口!$W532=0,"",[1]对账明细接口!$W532),"")</f>
        <v/>
      </c>
      <c r="AC532" s="7" t="str">
        <f>IFERROR(IF([1]对账明细接口!$X532=0,"",[1]对账明细接口!$X532),"")</f>
        <v/>
      </c>
      <c r="AD532" s="7" t="str">
        <f>IFERROR(IF([1]对账明细接口!$Y532=0,"",[1]对账明细接口!$Y532),"")</f>
        <v/>
      </c>
      <c r="AE532" s="7" t="str">
        <f>IFERROR(IF([1]对账明细接口!$AA532=0,"",[1]对账明细接口!$AA532),"")</f>
        <v/>
      </c>
      <c r="AF532" s="7" t="str">
        <f>IFERROR(IF([1]对账明细接口!$AB532=0,"",[1]对账明细接口!$AB532),"")</f>
        <v/>
      </c>
      <c r="AG532" s="7" t="str">
        <f>IFERROR(IF([1]对账明细接口!$AC532=0,"",[1]对账明细接口!$AC532),"")</f>
        <v/>
      </c>
      <c r="AH532" s="7" t="str">
        <f>IFERROR(IF([1]对账明细接口!$AD532=0,"",[1]对账明细接口!$AD532),"")</f>
        <v/>
      </c>
      <c r="AI532" s="7" t="str">
        <f>IFERROR(IF([1]对账明细接口!$AE532=0,"",[1]对账明细接口!$AE532),"")</f>
        <v/>
      </c>
      <c r="AJ532" s="7" t="str">
        <f>IFERROR(IF([1]对账明细接口!$AF532=0,"",[1]对账明细接口!$AF532),"")</f>
        <v/>
      </c>
    </row>
    <row r="533" ht="14.25" customHeight="1" spans="1:36">
      <c r="A533" s="14">
        <v>533</v>
      </c>
      <c r="B533" s="15" t="str">
        <f>IFERROR(IF([1]对账明细接口!$B$533=0,"",[1]对账明细接口!$B$533),"")</f>
        <v/>
      </c>
      <c r="C533" s="16" t="str">
        <f>IFERROR(IF([1]对账明细接口!$C$533=0,"",[1]对账明细接口!$C$533),"")</f>
        <v/>
      </c>
      <c r="D533" s="16" t="str">
        <f>IFERROR(IF([1]对账明细接口!$D$533=0,"",[1]对账明细接口!$D$533),"")</f>
        <v/>
      </c>
      <c r="E533" s="16" t="str">
        <f>IFERROR(IF([1]对账明细接口!$E$533=0,"",[1]对账明细接口!$E$533),"")</f>
        <v/>
      </c>
      <c r="F533" s="16" t="str">
        <f>IFERROR(IF([1]对账明细接口!$F$533=0,"",[1]对账明细接口!$F$533),"")</f>
        <v/>
      </c>
      <c r="G533" s="16" t="str">
        <f>IFERROR(IF([1]对账明细接口!$G$533=0,"",[1]对账明细接口!$G$533),"")</f>
        <v/>
      </c>
      <c r="H533" s="17" t="str">
        <f>IFERROR(IF([1]对账明细接口!$H$533=0,"",[1]对账明细接口!$H$533),"")</f>
        <v/>
      </c>
      <c r="I533" s="16" t="str">
        <f>IFERROR(IF([1]对账明细接口!$I$533=0,"",[1]对账明细接口!$I$533),"")</f>
        <v/>
      </c>
      <c r="J533" s="18" t="str">
        <f>IFERROR(IF([1]对账明细接口!$J$533=0,"",[1]对账明细接口!$J$533),"")</f>
        <v/>
      </c>
      <c r="K533" s="18" t="str">
        <f>IFERROR(IF([1]对账明细接口!$K$533=0,"",[1]对账明细接口!$K$533),"")</f>
        <v/>
      </c>
      <c r="L533" s="16" t="str">
        <f>IFERROR(IF([1]对账明细接口!$L$533=0,"",[1]对账明细接口!$L$533),"")</f>
        <v/>
      </c>
      <c r="M533" s="16" t="str">
        <f>IFERROR(IF([1]对账明细接口!$M$533=0,"",[1]对账明细接口!$M$533),"")</f>
        <v/>
      </c>
      <c r="N533" s="19">
        <f t="shared" si="16"/>
        <v>0</v>
      </c>
      <c r="O533" s="19">
        <f t="shared" si="17"/>
        <v>420</v>
      </c>
      <c r="S533" s="20" t="str">
        <f>IFERROR(IF([1]对账明细接口!$N533=0,"",[1]对账明细接口!$N533),"")</f>
        <v/>
      </c>
      <c r="T533" s="21" t="str">
        <f>IFERROR(IF([1]对账明细接口!$O533=0,"",[1]对账明细接口!$O533),"")</f>
        <v/>
      </c>
      <c r="U533" s="21" t="str">
        <f>IFERROR(IF([1]对账明细接口!$P533=0,"",[1]对账明细接口!$P533),"")</f>
        <v/>
      </c>
      <c r="V533" s="21" t="str">
        <f>IFERROR(IF([1]对账明细接口!$Q533=0,"",[1]对账明细接口!$Q533),"")</f>
        <v/>
      </c>
      <c r="W533" s="20" t="str">
        <f>IFERROR(IF([1]对账明细接口!$R533=0,"",[1]对账明细接口!$R533),"")</f>
        <v/>
      </c>
      <c r="X533" s="20" t="str">
        <f>IFERROR(IF([1]对账明细接口!$S533=0,"",[1]对账明细接口!$S533),"")</f>
        <v/>
      </c>
      <c r="Y533" s="20" t="str">
        <f>IFERROR(IF([1]对账明细接口!$T533=0,"",[1]对账明细接口!$T533),"")</f>
        <v/>
      </c>
      <c r="Z533" s="24" t="str">
        <f>IFERROR(IF([1]对账明细接口!$U533=0,"",[1]对账明细接口!$U533),"")</f>
        <v/>
      </c>
      <c r="AA533" s="24" t="str">
        <f>IFERROR(IF([1]对账明细接口!$V533=0,"",[1]对账明细接口!$V533),"")</f>
        <v/>
      </c>
      <c r="AB533" s="20" t="str">
        <f>IFERROR(IF([1]对账明细接口!$W533=0,"",[1]对账明细接口!$W533),"")</f>
        <v/>
      </c>
      <c r="AC533" s="7" t="str">
        <f>IFERROR(IF([1]对账明细接口!$X533=0,"",[1]对账明细接口!$X533),"")</f>
        <v/>
      </c>
      <c r="AD533" s="7" t="str">
        <f>IFERROR(IF([1]对账明细接口!$Y533=0,"",[1]对账明细接口!$Y533),"")</f>
        <v/>
      </c>
      <c r="AE533" s="7" t="str">
        <f>IFERROR(IF([1]对账明细接口!$AA533=0,"",[1]对账明细接口!$AA533),"")</f>
        <v/>
      </c>
      <c r="AF533" s="7" t="str">
        <f>IFERROR(IF([1]对账明细接口!$AB533=0,"",[1]对账明细接口!$AB533),"")</f>
        <v/>
      </c>
      <c r="AG533" s="7" t="str">
        <f>IFERROR(IF([1]对账明细接口!$AC533=0,"",[1]对账明细接口!$AC533),"")</f>
        <v/>
      </c>
      <c r="AH533" s="7" t="str">
        <f>IFERROR(IF([1]对账明细接口!$AD533=0,"",[1]对账明细接口!$AD533),"")</f>
        <v/>
      </c>
      <c r="AI533" s="7" t="str">
        <f>IFERROR(IF([1]对账明细接口!$AE533=0,"",[1]对账明细接口!$AE533),"")</f>
        <v/>
      </c>
      <c r="AJ533" s="7" t="str">
        <f>IFERROR(IF([1]对账明细接口!$AF533=0,"",[1]对账明细接口!$AF533),"")</f>
        <v/>
      </c>
    </row>
    <row r="534" ht="14.25" customHeight="1" spans="1:36">
      <c r="A534" s="14">
        <v>534</v>
      </c>
      <c r="B534" s="15" t="str">
        <f>IFERROR(IF([1]对账明细接口!$B$534=0,"",[1]对账明细接口!$B$534),"")</f>
        <v/>
      </c>
      <c r="C534" s="16" t="str">
        <f>IFERROR(IF([1]对账明细接口!$C$534=0,"",[1]对账明细接口!$C$534),"")</f>
        <v/>
      </c>
      <c r="D534" s="16" t="str">
        <f>IFERROR(IF([1]对账明细接口!$D$534=0,"",[1]对账明细接口!$D$534),"")</f>
        <v/>
      </c>
      <c r="E534" s="16" t="str">
        <f>IFERROR(IF([1]对账明细接口!$E$534=0,"",[1]对账明细接口!$E$534),"")</f>
        <v/>
      </c>
      <c r="F534" s="16" t="str">
        <f>IFERROR(IF([1]对账明细接口!$F$534=0,"",[1]对账明细接口!$F$534),"")</f>
        <v/>
      </c>
      <c r="G534" s="16" t="str">
        <f>IFERROR(IF([1]对账明细接口!$G$534=0,"",[1]对账明细接口!$G$534),"")</f>
        <v/>
      </c>
      <c r="H534" s="17" t="str">
        <f>IFERROR(IF([1]对账明细接口!$H$534=0,"",[1]对账明细接口!$H$534),"")</f>
        <v/>
      </c>
      <c r="I534" s="16" t="str">
        <f>IFERROR(IF([1]对账明细接口!$I$534=0,"",[1]对账明细接口!$I$534),"")</f>
        <v/>
      </c>
      <c r="J534" s="18" t="str">
        <f>IFERROR(IF([1]对账明细接口!$J$534=0,"",[1]对账明细接口!$J$534),"")</f>
        <v/>
      </c>
      <c r="K534" s="18" t="str">
        <f>IFERROR(IF([1]对账明细接口!$K$534=0,"",[1]对账明细接口!$K$534),"")</f>
        <v/>
      </c>
      <c r="L534" s="16" t="str">
        <f>IFERROR(IF([1]对账明细接口!$L$534=0,"",[1]对账明细接口!$L$534),"")</f>
        <v/>
      </c>
      <c r="M534" s="16" t="str">
        <f>IFERROR(IF([1]对账明细接口!$M$534=0,"",[1]对账明细接口!$M$534),"")</f>
        <v/>
      </c>
      <c r="N534" s="19">
        <f t="shared" si="16"/>
        <v>0</v>
      </c>
      <c r="O534" s="19">
        <f t="shared" si="17"/>
        <v>420</v>
      </c>
      <c r="S534" s="20" t="str">
        <f>IFERROR(IF([1]对账明细接口!$N534=0,"",[1]对账明细接口!$N534),"")</f>
        <v/>
      </c>
      <c r="T534" s="21" t="str">
        <f>IFERROR(IF([1]对账明细接口!$O534=0,"",[1]对账明细接口!$O534),"")</f>
        <v/>
      </c>
      <c r="U534" s="21" t="str">
        <f>IFERROR(IF([1]对账明细接口!$P534=0,"",[1]对账明细接口!$P534),"")</f>
        <v/>
      </c>
      <c r="V534" s="21" t="str">
        <f>IFERROR(IF([1]对账明细接口!$Q534=0,"",[1]对账明细接口!$Q534),"")</f>
        <v/>
      </c>
      <c r="W534" s="20" t="str">
        <f>IFERROR(IF([1]对账明细接口!$R534=0,"",[1]对账明细接口!$R534),"")</f>
        <v/>
      </c>
      <c r="X534" s="20" t="str">
        <f>IFERROR(IF([1]对账明细接口!$S534=0,"",[1]对账明细接口!$S534),"")</f>
        <v/>
      </c>
      <c r="Y534" s="20" t="str">
        <f>IFERROR(IF([1]对账明细接口!$T534=0,"",[1]对账明细接口!$T534),"")</f>
        <v/>
      </c>
      <c r="Z534" s="24" t="str">
        <f>IFERROR(IF([1]对账明细接口!$U534=0,"",[1]对账明细接口!$U534),"")</f>
        <v/>
      </c>
      <c r="AA534" s="24" t="str">
        <f>IFERROR(IF([1]对账明细接口!$V534=0,"",[1]对账明细接口!$V534),"")</f>
        <v/>
      </c>
      <c r="AB534" s="20" t="str">
        <f>IFERROR(IF([1]对账明细接口!$W534=0,"",[1]对账明细接口!$W534),"")</f>
        <v/>
      </c>
      <c r="AC534" s="7" t="str">
        <f>IFERROR(IF([1]对账明细接口!$X534=0,"",[1]对账明细接口!$X534),"")</f>
        <v/>
      </c>
      <c r="AD534" s="7" t="str">
        <f>IFERROR(IF([1]对账明细接口!$Y534=0,"",[1]对账明细接口!$Y534),"")</f>
        <v/>
      </c>
      <c r="AE534" s="7" t="str">
        <f>IFERROR(IF([1]对账明细接口!$AA534=0,"",[1]对账明细接口!$AA534),"")</f>
        <v/>
      </c>
      <c r="AF534" s="7" t="str">
        <f>IFERROR(IF([1]对账明细接口!$AB534=0,"",[1]对账明细接口!$AB534),"")</f>
        <v/>
      </c>
      <c r="AG534" s="7" t="str">
        <f>IFERROR(IF([1]对账明细接口!$AC534=0,"",[1]对账明细接口!$AC534),"")</f>
        <v/>
      </c>
      <c r="AH534" s="7" t="str">
        <f>IFERROR(IF([1]对账明细接口!$AD534=0,"",[1]对账明细接口!$AD534),"")</f>
        <v/>
      </c>
      <c r="AI534" s="7" t="str">
        <f>IFERROR(IF([1]对账明细接口!$AE534=0,"",[1]对账明细接口!$AE534),"")</f>
        <v/>
      </c>
      <c r="AJ534" s="7" t="str">
        <f>IFERROR(IF([1]对账明细接口!$AF534=0,"",[1]对账明细接口!$AF534),"")</f>
        <v/>
      </c>
    </row>
    <row r="535" ht="14.25" customHeight="1" spans="1:36">
      <c r="A535" s="14">
        <v>535</v>
      </c>
      <c r="B535" s="15" t="str">
        <f>IFERROR(IF([1]对账明细接口!$B$535=0,"",[1]对账明细接口!$B$535),"")</f>
        <v/>
      </c>
      <c r="C535" s="16" t="str">
        <f>IFERROR(IF([1]对账明细接口!$C$535=0,"",[1]对账明细接口!$C$535),"")</f>
        <v/>
      </c>
      <c r="D535" s="16" t="str">
        <f>IFERROR(IF([1]对账明细接口!$D$535=0,"",[1]对账明细接口!$D$535),"")</f>
        <v/>
      </c>
      <c r="E535" s="16" t="str">
        <f>IFERROR(IF([1]对账明细接口!$E$535=0,"",[1]对账明细接口!$E$535),"")</f>
        <v/>
      </c>
      <c r="F535" s="16" t="str">
        <f>IFERROR(IF([1]对账明细接口!$F$535=0,"",[1]对账明细接口!$F$535),"")</f>
        <v/>
      </c>
      <c r="G535" s="16" t="str">
        <f>IFERROR(IF([1]对账明细接口!$G$535=0,"",[1]对账明细接口!$G$535),"")</f>
        <v/>
      </c>
      <c r="H535" s="17" t="str">
        <f>IFERROR(IF([1]对账明细接口!$H$535=0,"",[1]对账明细接口!$H$535),"")</f>
        <v/>
      </c>
      <c r="I535" s="16" t="str">
        <f>IFERROR(IF([1]对账明细接口!$I$535=0,"",[1]对账明细接口!$I$535),"")</f>
        <v/>
      </c>
      <c r="J535" s="18" t="str">
        <f>IFERROR(IF([1]对账明细接口!$J$535=0,"",[1]对账明细接口!$J$535),"")</f>
        <v/>
      </c>
      <c r="K535" s="18" t="str">
        <f>IFERROR(IF([1]对账明细接口!$K$535=0,"",[1]对账明细接口!$K$535),"")</f>
        <v/>
      </c>
      <c r="L535" s="16" t="str">
        <f>IFERROR(IF([1]对账明细接口!$L$535=0,"",[1]对账明细接口!$L$535),"")</f>
        <v/>
      </c>
      <c r="M535" s="16" t="str">
        <f>IFERROR(IF([1]对账明细接口!$M$535=0,"",[1]对账明细接口!$M$535),"")</f>
        <v/>
      </c>
      <c r="N535" s="19">
        <f t="shared" si="16"/>
        <v>0</v>
      </c>
      <c r="O535" s="19">
        <f t="shared" si="17"/>
        <v>420</v>
      </c>
      <c r="S535" s="20" t="str">
        <f>IFERROR(IF([1]对账明细接口!$N535=0,"",[1]对账明细接口!$N535),"")</f>
        <v/>
      </c>
      <c r="T535" s="21" t="str">
        <f>IFERROR(IF([1]对账明细接口!$O535=0,"",[1]对账明细接口!$O535),"")</f>
        <v/>
      </c>
      <c r="U535" s="21" t="str">
        <f>IFERROR(IF([1]对账明细接口!$P535=0,"",[1]对账明细接口!$P535),"")</f>
        <v/>
      </c>
      <c r="V535" s="21" t="str">
        <f>IFERROR(IF([1]对账明细接口!$Q535=0,"",[1]对账明细接口!$Q535),"")</f>
        <v/>
      </c>
      <c r="W535" s="20" t="str">
        <f>IFERROR(IF([1]对账明细接口!$R535=0,"",[1]对账明细接口!$R535),"")</f>
        <v/>
      </c>
      <c r="X535" s="20" t="str">
        <f>IFERROR(IF([1]对账明细接口!$S535=0,"",[1]对账明细接口!$S535),"")</f>
        <v/>
      </c>
      <c r="Y535" s="20" t="str">
        <f>IFERROR(IF([1]对账明细接口!$T535=0,"",[1]对账明细接口!$T535),"")</f>
        <v/>
      </c>
      <c r="Z535" s="24" t="str">
        <f>IFERROR(IF([1]对账明细接口!$U535=0,"",[1]对账明细接口!$U535),"")</f>
        <v/>
      </c>
      <c r="AA535" s="24" t="str">
        <f>IFERROR(IF([1]对账明细接口!$V535=0,"",[1]对账明细接口!$V535),"")</f>
        <v/>
      </c>
      <c r="AB535" s="20" t="str">
        <f>IFERROR(IF([1]对账明细接口!$W535=0,"",[1]对账明细接口!$W535),"")</f>
        <v/>
      </c>
      <c r="AC535" s="7" t="str">
        <f>IFERROR(IF([1]对账明细接口!$X535=0,"",[1]对账明细接口!$X535),"")</f>
        <v/>
      </c>
      <c r="AD535" s="7" t="str">
        <f>IFERROR(IF([1]对账明细接口!$Y535=0,"",[1]对账明细接口!$Y535),"")</f>
        <v/>
      </c>
      <c r="AE535" s="7" t="str">
        <f>IFERROR(IF([1]对账明细接口!$AA535=0,"",[1]对账明细接口!$AA535),"")</f>
        <v/>
      </c>
      <c r="AF535" s="7" t="str">
        <f>IFERROR(IF([1]对账明细接口!$AB535=0,"",[1]对账明细接口!$AB535),"")</f>
        <v/>
      </c>
      <c r="AG535" s="7" t="str">
        <f>IFERROR(IF([1]对账明细接口!$AC535=0,"",[1]对账明细接口!$AC535),"")</f>
        <v/>
      </c>
      <c r="AH535" s="7" t="str">
        <f>IFERROR(IF([1]对账明细接口!$AD535=0,"",[1]对账明细接口!$AD535),"")</f>
        <v/>
      </c>
      <c r="AI535" s="7" t="str">
        <f>IFERROR(IF([1]对账明细接口!$AE535=0,"",[1]对账明细接口!$AE535),"")</f>
        <v/>
      </c>
      <c r="AJ535" s="7" t="str">
        <f>IFERROR(IF([1]对账明细接口!$AF535=0,"",[1]对账明细接口!$AF535),"")</f>
        <v/>
      </c>
    </row>
    <row r="536" ht="14.25" customHeight="1" spans="1:36">
      <c r="A536" s="14">
        <v>536</v>
      </c>
      <c r="B536" s="15" t="str">
        <f>IFERROR(IF([1]对账明细接口!$B$536=0,"",[1]对账明细接口!$B$536),"")</f>
        <v/>
      </c>
      <c r="C536" s="16" t="str">
        <f>IFERROR(IF([1]对账明细接口!$C$536=0,"",[1]对账明细接口!$C$536),"")</f>
        <v/>
      </c>
      <c r="D536" s="16" t="str">
        <f>IFERROR(IF([1]对账明细接口!$D$536=0,"",[1]对账明细接口!$D$536),"")</f>
        <v/>
      </c>
      <c r="E536" s="16" t="str">
        <f>IFERROR(IF([1]对账明细接口!$E$536=0,"",[1]对账明细接口!$E$536),"")</f>
        <v/>
      </c>
      <c r="F536" s="16" t="str">
        <f>IFERROR(IF([1]对账明细接口!$F$536=0,"",[1]对账明细接口!$F$536),"")</f>
        <v/>
      </c>
      <c r="G536" s="16" t="str">
        <f>IFERROR(IF([1]对账明细接口!$G$536=0,"",[1]对账明细接口!$G$536),"")</f>
        <v/>
      </c>
      <c r="H536" s="17" t="str">
        <f>IFERROR(IF([1]对账明细接口!$H$536=0,"",[1]对账明细接口!$H$536),"")</f>
        <v/>
      </c>
      <c r="I536" s="16" t="str">
        <f>IFERROR(IF([1]对账明细接口!$I$536=0,"",[1]对账明细接口!$I$536),"")</f>
        <v/>
      </c>
      <c r="J536" s="18" t="str">
        <f>IFERROR(IF([1]对账明细接口!$J$536=0,"",[1]对账明细接口!$J$536),"")</f>
        <v/>
      </c>
      <c r="K536" s="18" t="str">
        <f>IFERROR(IF([1]对账明细接口!$K$536=0,"",[1]对账明细接口!$K$536),"")</f>
        <v/>
      </c>
      <c r="L536" s="16" t="str">
        <f>IFERROR(IF([1]对账明细接口!$L$536=0,"",[1]对账明细接口!$L$536),"")</f>
        <v/>
      </c>
      <c r="M536" s="16" t="str">
        <f>IFERROR(IF([1]对账明细接口!$M$536=0,"",[1]对账明细接口!$M$536),"")</f>
        <v/>
      </c>
      <c r="N536" s="19">
        <f t="shared" si="16"/>
        <v>0</v>
      </c>
      <c r="O536" s="19">
        <f t="shared" si="17"/>
        <v>420</v>
      </c>
      <c r="S536" s="20" t="str">
        <f>IFERROR(IF([1]对账明细接口!$N536=0,"",[1]对账明细接口!$N536),"")</f>
        <v/>
      </c>
      <c r="T536" s="21" t="str">
        <f>IFERROR(IF([1]对账明细接口!$O536=0,"",[1]对账明细接口!$O536),"")</f>
        <v/>
      </c>
      <c r="U536" s="21" t="str">
        <f>IFERROR(IF([1]对账明细接口!$P536=0,"",[1]对账明细接口!$P536),"")</f>
        <v/>
      </c>
      <c r="V536" s="21" t="str">
        <f>IFERROR(IF([1]对账明细接口!$Q536=0,"",[1]对账明细接口!$Q536),"")</f>
        <v/>
      </c>
      <c r="W536" s="20" t="str">
        <f>IFERROR(IF([1]对账明细接口!$R536=0,"",[1]对账明细接口!$R536),"")</f>
        <v/>
      </c>
      <c r="X536" s="20" t="str">
        <f>IFERROR(IF([1]对账明细接口!$S536=0,"",[1]对账明细接口!$S536),"")</f>
        <v/>
      </c>
      <c r="Y536" s="20" t="str">
        <f>IFERROR(IF([1]对账明细接口!$T536=0,"",[1]对账明细接口!$T536),"")</f>
        <v/>
      </c>
      <c r="Z536" s="24" t="str">
        <f>IFERROR(IF([1]对账明细接口!$U536=0,"",[1]对账明细接口!$U536),"")</f>
        <v/>
      </c>
      <c r="AA536" s="24" t="str">
        <f>IFERROR(IF([1]对账明细接口!$V536=0,"",[1]对账明细接口!$V536),"")</f>
        <v/>
      </c>
      <c r="AB536" s="20" t="str">
        <f>IFERROR(IF([1]对账明细接口!$W536=0,"",[1]对账明细接口!$W536),"")</f>
        <v/>
      </c>
      <c r="AC536" s="7" t="str">
        <f>IFERROR(IF([1]对账明细接口!$X536=0,"",[1]对账明细接口!$X536),"")</f>
        <v/>
      </c>
      <c r="AD536" s="7" t="str">
        <f>IFERROR(IF([1]对账明细接口!$Y536=0,"",[1]对账明细接口!$Y536),"")</f>
        <v/>
      </c>
      <c r="AE536" s="7" t="str">
        <f>IFERROR(IF([1]对账明细接口!$AA536=0,"",[1]对账明细接口!$AA536),"")</f>
        <v/>
      </c>
      <c r="AF536" s="7" t="str">
        <f>IFERROR(IF([1]对账明细接口!$AB536=0,"",[1]对账明细接口!$AB536),"")</f>
        <v/>
      </c>
      <c r="AG536" s="7" t="str">
        <f>IFERROR(IF([1]对账明细接口!$AC536=0,"",[1]对账明细接口!$AC536),"")</f>
        <v/>
      </c>
      <c r="AH536" s="7" t="str">
        <f>IFERROR(IF([1]对账明细接口!$AD536=0,"",[1]对账明细接口!$AD536),"")</f>
        <v/>
      </c>
      <c r="AI536" s="7" t="str">
        <f>IFERROR(IF([1]对账明细接口!$AE536=0,"",[1]对账明细接口!$AE536),"")</f>
        <v/>
      </c>
      <c r="AJ536" s="7" t="str">
        <f>IFERROR(IF([1]对账明细接口!$AF536=0,"",[1]对账明细接口!$AF536),"")</f>
        <v/>
      </c>
    </row>
    <row r="537" ht="14.25" customHeight="1" spans="1:36">
      <c r="A537" s="14">
        <v>537</v>
      </c>
      <c r="B537" s="15" t="str">
        <f>IFERROR(IF([1]对账明细接口!$B$537=0,"",[1]对账明细接口!$B$537),"")</f>
        <v/>
      </c>
      <c r="C537" s="16" t="str">
        <f>IFERROR(IF([1]对账明细接口!$C$537=0,"",[1]对账明细接口!$C$537),"")</f>
        <v/>
      </c>
      <c r="D537" s="16" t="str">
        <f>IFERROR(IF([1]对账明细接口!$D$537=0,"",[1]对账明细接口!$D$537),"")</f>
        <v/>
      </c>
      <c r="E537" s="16" t="str">
        <f>IFERROR(IF([1]对账明细接口!$E$537=0,"",[1]对账明细接口!$E$537),"")</f>
        <v/>
      </c>
      <c r="F537" s="16" t="str">
        <f>IFERROR(IF([1]对账明细接口!$F$537=0,"",[1]对账明细接口!$F$537),"")</f>
        <v/>
      </c>
      <c r="G537" s="16" t="str">
        <f>IFERROR(IF([1]对账明细接口!$G$537=0,"",[1]对账明细接口!$G$537),"")</f>
        <v/>
      </c>
      <c r="H537" s="17" t="str">
        <f>IFERROR(IF([1]对账明细接口!$H$537=0,"",[1]对账明细接口!$H$537),"")</f>
        <v/>
      </c>
      <c r="I537" s="16" t="str">
        <f>IFERROR(IF([1]对账明细接口!$I$537=0,"",[1]对账明细接口!$I$537),"")</f>
        <v/>
      </c>
      <c r="J537" s="18" t="str">
        <f>IFERROR(IF([1]对账明细接口!$J$537=0,"",[1]对账明细接口!$J$537),"")</f>
        <v/>
      </c>
      <c r="K537" s="18" t="str">
        <f>IFERROR(IF([1]对账明细接口!$K$537=0,"",[1]对账明细接口!$K$537),"")</f>
        <v/>
      </c>
      <c r="L537" s="16" t="str">
        <f>IFERROR(IF([1]对账明细接口!$L$537=0,"",[1]对账明细接口!$L$537),"")</f>
        <v/>
      </c>
      <c r="M537" s="16" t="str">
        <f>IFERROR(IF([1]对账明细接口!$M$537=0,"",[1]对账明细接口!$M$537),"")</f>
        <v/>
      </c>
      <c r="N537" s="19">
        <f t="shared" si="16"/>
        <v>0</v>
      </c>
      <c r="O537" s="19">
        <f t="shared" si="17"/>
        <v>420</v>
      </c>
      <c r="S537" s="20" t="str">
        <f>IFERROR(IF([1]对账明细接口!$N537=0,"",[1]对账明细接口!$N537),"")</f>
        <v/>
      </c>
      <c r="T537" s="21" t="str">
        <f>IFERROR(IF([1]对账明细接口!$O537=0,"",[1]对账明细接口!$O537),"")</f>
        <v/>
      </c>
      <c r="U537" s="21" t="str">
        <f>IFERROR(IF([1]对账明细接口!$P537=0,"",[1]对账明细接口!$P537),"")</f>
        <v/>
      </c>
      <c r="V537" s="21" t="str">
        <f>IFERROR(IF([1]对账明细接口!$Q537=0,"",[1]对账明细接口!$Q537),"")</f>
        <v/>
      </c>
      <c r="W537" s="20" t="str">
        <f>IFERROR(IF([1]对账明细接口!$R537=0,"",[1]对账明细接口!$R537),"")</f>
        <v/>
      </c>
      <c r="X537" s="20" t="str">
        <f>IFERROR(IF([1]对账明细接口!$S537=0,"",[1]对账明细接口!$S537),"")</f>
        <v/>
      </c>
      <c r="Y537" s="20" t="str">
        <f>IFERROR(IF([1]对账明细接口!$T537=0,"",[1]对账明细接口!$T537),"")</f>
        <v/>
      </c>
      <c r="Z537" s="24" t="str">
        <f>IFERROR(IF([1]对账明细接口!$U537=0,"",[1]对账明细接口!$U537),"")</f>
        <v/>
      </c>
      <c r="AA537" s="24" t="str">
        <f>IFERROR(IF([1]对账明细接口!$V537=0,"",[1]对账明细接口!$V537),"")</f>
        <v/>
      </c>
      <c r="AB537" s="20" t="str">
        <f>IFERROR(IF([1]对账明细接口!$W537=0,"",[1]对账明细接口!$W537),"")</f>
        <v/>
      </c>
      <c r="AC537" s="7" t="str">
        <f>IFERROR(IF([1]对账明细接口!$X537=0,"",[1]对账明细接口!$X537),"")</f>
        <v/>
      </c>
      <c r="AD537" s="7" t="str">
        <f>IFERROR(IF([1]对账明细接口!$Y537=0,"",[1]对账明细接口!$Y537),"")</f>
        <v/>
      </c>
      <c r="AE537" s="7" t="str">
        <f>IFERROR(IF([1]对账明细接口!$AA537=0,"",[1]对账明细接口!$AA537),"")</f>
        <v/>
      </c>
      <c r="AF537" s="7" t="str">
        <f>IFERROR(IF([1]对账明细接口!$AB537=0,"",[1]对账明细接口!$AB537),"")</f>
        <v/>
      </c>
      <c r="AG537" s="7" t="str">
        <f>IFERROR(IF([1]对账明细接口!$AC537=0,"",[1]对账明细接口!$AC537),"")</f>
        <v/>
      </c>
      <c r="AH537" s="7" t="str">
        <f>IFERROR(IF([1]对账明细接口!$AD537=0,"",[1]对账明细接口!$AD537),"")</f>
        <v/>
      </c>
      <c r="AI537" s="7" t="str">
        <f>IFERROR(IF([1]对账明细接口!$AE537=0,"",[1]对账明细接口!$AE537),"")</f>
        <v/>
      </c>
      <c r="AJ537" s="7" t="str">
        <f>IFERROR(IF([1]对账明细接口!$AF537=0,"",[1]对账明细接口!$AF537),"")</f>
        <v/>
      </c>
    </row>
    <row r="538" ht="14.25" customHeight="1" spans="1:36">
      <c r="A538" s="14">
        <v>538</v>
      </c>
      <c r="B538" s="15" t="str">
        <f>IFERROR(IF([1]对账明细接口!$B$538=0,"",[1]对账明细接口!$B$538),"")</f>
        <v/>
      </c>
      <c r="C538" s="16" t="str">
        <f>IFERROR(IF([1]对账明细接口!$C$538=0,"",[1]对账明细接口!$C$538),"")</f>
        <v/>
      </c>
      <c r="D538" s="16" t="str">
        <f>IFERROR(IF([1]对账明细接口!$D$538=0,"",[1]对账明细接口!$D$538),"")</f>
        <v/>
      </c>
      <c r="E538" s="16" t="str">
        <f>IFERROR(IF([1]对账明细接口!$E$538=0,"",[1]对账明细接口!$E$538),"")</f>
        <v/>
      </c>
      <c r="F538" s="16" t="str">
        <f>IFERROR(IF([1]对账明细接口!$F$538=0,"",[1]对账明细接口!$F$538),"")</f>
        <v/>
      </c>
      <c r="G538" s="16" t="str">
        <f>IFERROR(IF([1]对账明细接口!$G$538=0,"",[1]对账明细接口!$G$538),"")</f>
        <v/>
      </c>
      <c r="H538" s="17" t="str">
        <f>IFERROR(IF([1]对账明细接口!$H$538=0,"",[1]对账明细接口!$H$538),"")</f>
        <v/>
      </c>
      <c r="I538" s="16" t="str">
        <f>IFERROR(IF([1]对账明细接口!$I$538=0,"",[1]对账明细接口!$I$538),"")</f>
        <v/>
      </c>
      <c r="J538" s="18" t="str">
        <f>IFERROR(IF([1]对账明细接口!$J$538=0,"",[1]对账明细接口!$J$538),"")</f>
        <v/>
      </c>
      <c r="K538" s="18" t="str">
        <f>IFERROR(IF([1]对账明细接口!$K$538=0,"",[1]对账明细接口!$K$538),"")</f>
        <v/>
      </c>
      <c r="L538" s="16" t="str">
        <f>IFERROR(IF([1]对账明细接口!$L$538=0,"",[1]对账明细接口!$L$538),"")</f>
        <v/>
      </c>
      <c r="M538" s="16" t="str">
        <f>IFERROR(IF([1]对账明细接口!$M$538=0,"",[1]对账明细接口!$M$538),"")</f>
        <v/>
      </c>
      <c r="N538" s="19">
        <f t="shared" si="16"/>
        <v>0</v>
      </c>
      <c r="O538" s="19">
        <f t="shared" si="17"/>
        <v>420</v>
      </c>
      <c r="S538" s="20" t="str">
        <f>IFERROR(IF([1]对账明细接口!$N538=0,"",[1]对账明细接口!$N538),"")</f>
        <v/>
      </c>
      <c r="T538" s="21" t="str">
        <f>IFERROR(IF([1]对账明细接口!$O538=0,"",[1]对账明细接口!$O538),"")</f>
        <v/>
      </c>
      <c r="U538" s="21" t="str">
        <f>IFERROR(IF([1]对账明细接口!$P538=0,"",[1]对账明细接口!$P538),"")</f>
        <v/>
      </c>
      <c r="V538" s="21" t="str">
        <f>IFERROR(IF([1]对账明细接口!$Q538=0,"",[1]对账明细接口!$Q538),"")</f>
        <v/>
      </c>
      <c r="W538" s="20" t="str">
        <f>IFERROR(IF([1]对账明细接口!$R538=0,"",[1]对账明细接口!$R538),"")</f>
        <v/>
      </c>
      <c r="X538" s="20" t="str">
        <f>IFERROR(IF([1]对账明细接口!$S538=0,"",[1]对账明细接口!$S538),"")</f>
        <v/>
      </c>
      <c r="Y538" s="20" t="str">
        <f>IFERROR(IF([1]对账明细接口!$T538=0,"",[1]对账明细接口!$T538),"")</f>
        <v/>
      </c>
      <c r="Z538" s="24" t="str">
        <f>IFERROR(IF([1]对账明细接口!$U538=0,"",[1]对账明细接口!$U538),"")</f>
        <v/>
      </c>
      <c r="AA538" s="24" t="str">
        <f>IFERROR(IF([1]对账明细接口!$V538=0,"",[1]对账明细接口!$V538),"")</f>
        <v/>
      </c>
      <c r="AB538" s="20" t="str">
        <f>IFERROR(IF([1]对账明细接口!$W538=0,"",[1]对账明细接口!$W538),"")</f>
        <v/>
      </c>
      <c r="AC538" s="7" t="str">
        <f>IFERROR(IF([1]对账明细接口!$X538=0,"",[1]对账明细接口!$X538),"")</f>
        <v/>
      </c>
      <c r="AD538" s="7" t="str">
        <f>IFERROR(IF([1]对账明细接口!$Y538=0,"",[1]对账明细接口!$Y538),"")</f>
        <v/>
      </c>
      <c r="AE538" s="7" t="str">
        <f>IFERROR(IF([1]对账明细接口!$AA538=0,"",[1]对账明细接口!$AA538),"")</f>
        <v/>
      </c>
      <c r="AF538" s="7" t="str">
        <f>IFERROR(IF([1]对账明细接口!$AB538=0,"",[1]对账明细接口!$AB538),"")</f>
        <v/>
      </c>
      <c r="AG538" s="7" t="str">
        <f>IFERROR(IF([1]对账明细接口!$AC538=0,"",[1]对账明细接口!$AC538),"")</f>
        <v/>
      </c>
      <c r="AH538" s="7" t="str">
        <f>IFERROR(IF([1]对账明细接口!$AD538=0,"",[1]对账明细接口!$AD538),"")</f>
        <v/>
      </c>
      <c r="AI538" s="7" t="str">
        <f>IFERROR(IF([1]对账明细接口!$AE538=0,"",[1]对账明细接口!$AE538),"")</f>
        <v/>
      </c>
      <c r="AJ538" s="7" t="str">
        <f>IFERROR(IF([1]对账明细接口!$AF538=0,"",[1]对账明细接口!$AF538),"")</f>
        <v/>
      </c>
    </row>
    <row r="539" ht="14.25" customHeight="1" spans="1:36">
      <c r="A539" s="14">
        <v>539</v>
      </c>
      <c r="B539" s="15" t="str">
        <f>IFERROR(IF([1]对账明细接口!$B$539=0,"",[1]对账明细接口!$B$539),"")</f>
        <v/>
      </c>
      <c r="C539" s="16" t="str">
        <f>IFERROR(IF([1]对账明细接口!$C$539=0,"",[1]对账明细接口!$C$539),"")</f>
        <v/>
      </c>
      <c r="D539" s="16" t="str">
        <f>IFERROR(IF([1]对账明细接口!$D$539=0,"",[1]对账明细接口!$D$539),"")</f>
        <v/>
      </c>
      <c r="E539" s="16" t="str">
        <f>IFERROR(IF([1]对账明细接口!$E$539=0,"",[1]对账明细接口!$E$539),"")</f>
        <v/>
      </c>
      <c r="F539" s="16" t="str">
        <f>IFERROR(IF([1]对账明细接口!$F$539=0,"",[1]对账明细接口!$F$539),"")</f>
        <v/>
      </c>
      <c r="G539" s="16" t="str">
        <f>IFERROR(IF([1]对账明细接口!$G$539=0,"",[1]对账明细接口!$G$539),"")</f>
        <v/>
      </c>
      <c r="H539" s="17" t="str">
        <f>IFERROR(IF([1]对账明细接口!$H$539=0,"",[1]对账明细接口!$H$539),"")</f>
        <v/>
      </c>
      <c r="I539" s="16" t="str">
        <f>IFERROR(IF([1]对账明细接口!$I$539=0,"",[1]对账明细接口!$I$539),"")</f>
        <v/>
      </c>
      <c r="J539" s="18" t="str">
        <f>IFERROR(IF([1]对账明细接口!$J$539=0,"",[1]对账明细接口!$J$539),"")</f>
        <v/>
      </c>
      <c r="K539" s="18" t="str">
        <f>IFERROR(IF([1]对账明细接口!$K$539=0,"",[1]对账明细接口!$K$539),"")</f>
        <v/>
      </c>
      <c r="L539" s="16" t="str">
        <f>IFERROR(IF([1]对账明细接口!$L$539=0,"",[1]对账明细接口!$L$539),"")</f>
        <v/>
      </c>
      <c r="M539" s="16" t="str">
        <f>IFERROR(IF([1]对账明细接口!$M$539=0,"",[1]对账明细接口!$M$539),"")</f>
        <v/>
      </c>
      <c r="N539" s="19">
        <f t="shared" si="16"/>
        <v>0</v>
      </c>
      <c r="O539" s="19">
        <f t="shared" si="17"/>
        <v>420</v>
      </c>
      <c r="S539" s="20" t="str">
        <f>IFERROR(IF([1]对账明细接口!$N539=0,"",[1]对账明细接口!$N539),"")</f>
        <v/>
      </c>
      <c r="T539" s="21" t="str">
        <f>IFERROR(IF([1]对账明细接口!$O539=0,"",[1]对账明细接口!$O539),"")</f>
        <v/>
      </c>
      <c r="U539" s="21" t="str">
        <f>IFERROR(IF([1]对账明细接口!$P539=0,"",[1]对账明细接口!$P539),"")</f>
        <v/>
      </c>
      <c r="V539" s="21" t="str">
        <f>IFERROR(IF([1]对账明细接口!$Q539=0,"",[1]对账明细接口!$Q539),"")</f>
        <v/>
      </c>
      <c r="W539" s="20" t="str">
        <f>IFERROR(IF([1]对账明细接口!$R539=0,"",[1]对账明细接口!$R539),"")</f>
        <v/>
      </c>
      <c r="X539" s="20" t="str">
        <f>IFERROR(IF([1]对账明细接口!$S539=0,"",[1]对账明细接口!$S539),"")</f>
        <v/>
      </c>
      <c r="Y539" s="20" t="str">
        <f>IFERROR(IF([1]对账明细接口!$T539=0,"",[1]对账明细接口!$T539),"")</f>
        <v/>
      </c>
      <c r="Z539" s="24" t="str">
        <f>IFERROR(IF([1]对账明细接口!$U539=0,"",[1]对账明细接口!$U539),"")</f>
        <v/>
      </c>
      <c r="AA539" s="24" t="str">
        <f>IFERROR(IF([1]对账明细接口!$V539=0,"",[1]对账明细接口!$V539),"")</f>
        <v/>
      </c>
      <c r="AB539" s="20" t="str">
        <f>IFERROR(IF([1]对账明细接口!$W539=0,"",[1]对账明细接口!$W539),"")</f>
        <v/>
      </c>
      <c r="AC539" s="7" t="str">
        <f>IFERROR(IF([1]对账明细接口!$X539=0,"",[1]对账明细接口!$X539),"")</f>
        <v/>
      </c>
      <c r="AD539" s="7" t="str">
        <f>IFERROR(IF([1]对账明细接口!$Y539=0,"",[1]对账明细接口!$Y539),"")</f>
        <v/>
      </c>
      <c r="AE539" s="7" t="str">
        <f>IFERROR(IF([1]对账明细接口!$AA539=0,"",[1]对账明细接口!$AA539),"")</f>
        <v/>
      </c>
      <c r="AF539" s="7" t="str">
        <f>IFERROR(IF([1]对账明细接口!$AB539=0,"",[1]对账明细接口!$AB539),"")</f>
        <v/>
      </c>
      <c r="AG539" s="7" t="str">
        <f>IFERROR(IF([1]对账明细接口!$AC539=0,"",[1]对账明细接口!$AC539),"")</f>
        <v/>
      </c>
      <c r="AH539" s="7" t="str">
        <f>IFERROR(IF([1]对账明细接口!$AD539=0,"",[1]对账明细接口!$AD539),"")</f>
        <v/>
      </c>
      <c r="AI539" s="7" t="str">
        <f>IFERROR(IF([1]对账明细接口!$AE539=0,"",[1]对账明细接口!$AE539),"")</f>
        <v/>
      </c>
      <c r="AJ539" s="7" t="str">
        <f>IFERROR(IF([1]对账明细接口!$AF539=0,"",[1]对账明细接口!$AF539),"")</f>
        <v/>
      </c>
    </row>
    <row r="540" ht="14.25" customHeight="1" spans="1:36">
      <c r="A540" s="14">
        <v>540</v>
      </c>
      <c r="B540" s="15" t="str">
        <f>IFERROR(IF([1]对账明细接口!$B$540=0,"",[1]对账明细接口!$B$540),"")</f>
        <v/>
      </c>
      <c r="C540" s="16" t="str">
        <f>IFERROR(IF([1]对账明细接口!$C$540=0,"",[1]对账明细接口!$C$540),"")</f>
        <v/>
      </c>
      <c r="D540" s="16" t="str">
        <f>IFERROR(IF([1]对账明细接口!$D$540=0,"",[1]对账明细接口!$D$540),"")</f>
        <v/>
      </c>
      <c r="E540" s="16" t="str">
        <f>IFERROR(IF([1]对账明细接口!$E$540=0,"",[1]对账明细接口!$E$540),"")</f>
        <v/>
      </c>
      <c r="F540" s="16" t="str">
        <f>IFERROR(IF([1]对账明细接口!$F$540=0,"",[1]对账明细接口!$F$540),"")</f>
        <v/>
      </c>
      <c r="G540" s="16" t="str">
        <f>IFERROR(IF([1]对账明细接口!$G$540=0,"",[1]对账明细接口!$G$540),"")</f>
        <v/>
      </c>
      <c r="H540" s="17" t="str">
        <f>IFERROR(IF([1]对账明细接口!$H$540=0,"",[1]对账明细接口!$H$540),"")</f>
        <v/>
      </c>
      <c r="I540" s="16" t="str">
        <f>IFERROR(IF([1]对账明细接口!$I$540=0,"",[1]对账明细接口!$I$540),"")</f>
        <v/>
      </c>
      <c r="J540" s="18" t="str">
        <f>IFERROR(IF([1]对账明细接口!$J$540=0,"",[1]对账明细接口!$J$540),"")</f>
        <v/>
      </c>
      <c r="K540" s="18" t="str">
        <f>IFERROR(IF([1]对账明细接口!$K$540=0,"",[1]对账明细接口!$K$540),"")</f>
        <v/>
      </c>
      <c r="L540" s="16" t="str">
        <f>IFERROR(IF([1]对账明细接口!$L$540=0,"",[1]对账明细接口!$L$540),"")</f>
        <v/>
      </c>
      <c r="M540" s="16" t="str">
        <f>IFERROR(IF([1]对账明细接口!$M$540=0,"",[1]对账明细接口!$M$540),"")</f>
        <v/>
      </c>
      <c r="N540" s="19">
        <f t="shared" si="16"/>
        <v>0</v>
      </c>
      <c r="O540" s="19">
        <f t="shared" si="17"/>
        <v>420</v>
      </c>
      <c r="S540" s="20" t="str">
        <f>IFERROR(IF([1]对账明细接口!$N540=0,"",[1]对账明细接口!$N540),"")</f>
        <v/>
      </c>
      <c r="T540" s="21" t="str">
        <f>IFERROR(IF([1]对账明细接口!$O540=0,"",[1]对账明细接口!$O540),"")</f>
        <v/>
      </c>
      <c r="U540" s="21" t="str">
        <f>IFERROR(IF([1]对账明细接口!$P540=0,"",[1]对账明细接口!$P540),"")</f>
        <v/>
      </c>
      <c r="V540" s="21" t="str">
        <f>IFERROR(IF([1]对账明细接口!$Q540=0,"",[1]对账明细接口!$Q540),"")</f>
        <v/>
      </c>
      <c r="W540" s="20" t="str">
        <f>IFERROR(IF([1]对账明细接口!$R540=0,"",[1]对账明细接口!$R540),"")</f>
        <v/>
      </c>
      <c r="X540" s="20" t="str">
        <f>IFERROR(IF([1]对账明细接口!$S540=0,"",[1]对账明细接口!$S540),"")</f>
        <v/>
      </c>
      <c r="Y540" s="20" t="str">
        <f>IFERROR(IF([1]对账明细接口!$T540=0,"",[1]对账明细接口!$T540),"")</f>
        <v/>
      </c>
      <c r="Z540" s="24" t="str">
        <f>IFERROR(IF([1]对账明细接口!$U540=0,"",[1]对账明细接口!$U540),"")</f>
        <v/>
      </c>
      <c r="AA540" s="24" t="str">
        <f>IFERROR(IF([1]对账明细接口!$V540=0,"",[1]对账明细接口!$V540),"")</f>
        <v/>
      </c>
      <c r="AB540" s="20" t="str">
        <f>IFERROR(IF([1]对账明细接口!$W540=0,"",[1]对账明细接口!$W540),"")</f>
        <v/>
      </c>
      <c r="AC540" s="7" t="str">
        <f>IFERROR(IF([1]对账明细接口!$X540=0,"",[1]对账明细接口!$X540),"")</f>
        <v/>
      </c>
      <c r="AD540" s="7" t="str">
        <f>IFERROR(IF([1]对账明细接口!$Y540=0,"",[1]对账明细接口!$Y540),"")</f>
        <v/>
      </c>
      <c r="AE540" s="7" t="str">
        <f>IFERROR(IF([1]对账明细接口!$AA540=0,"",[1]对账明细接口!$AA540),"")</f>
        <v/>
      </c>
      <c r="AF540" s="7" t="str">
        <f>IFERROR(IF([1]对账明细接口!$AB540=0,"",[1]对账明细接口!$AB540),"")</f>
        <v/>
      </c>
      <c r="AG540" s="7" t="str">
        <f>IFERROR(IF([1]对账明细接口!$AC540=0,"",[1]对账明细接口!$AC540),"")</f>
        <v/>
      </c>
      <c r="AH540" s="7" t="str">
        <f>IFERROR(IF([1]对账明细接口!$AD540=0,"",[1]对账明细接口!$AD540),"")</f>
        <v/>
      </c>
      <c r="AI540" s="7" t="str">
        <f>IFERROR(IF([1]对账明细接口!$AE540=0,"",[1]对账明细接口!$AE540),"")</f>
        <v/>
      </c>
      <c r="AJ540" s="7" t="str">
        <f>IFERROR(IF([1]对账明细接口!$AF540=0,"",[1]对账明细接口!$AF540),"")</f>
        <v/>
      </c>
    </row>
    <row r="541" ht="14.25" customHeight="1" spans="1:36">
      <c r="A541" s="14">
        <v>541</v>
      </c>
      <c r="B541" s="15" t="str">
        <f>IFERROR(IF([1]对账明细接口!$B$541=0,"",[1]对账明细接口!$B$541),"")</f>
        <v/>
      </c>
      <c r="C541" s="16" t="str">
        <f>IFERROR(IF([1]对账明细接口!$C$541=0,"",[1]对账明细接口!$C$541),"")</f>
        <v/>
      </c>
      <c r="D541" s="16" t="str">
        <f>IFERROR(IF([1]对账明细接口!$D$541=0,"",[1]对账明细接口!$D$541),"")</f>
        <v/>
      </c>
      <c r="E541" s="16" t="str">
        <f>IFERROR(IF([1]对账明细接口!$E$541=0,"",[1]对账明细接口!$E$541),"")</f>
        <v/>
      </c>
      <c r="F541" s="16" t="str">
        <f>IFERROR(IF([1]对账明细接口!$F$541=0,"",[1]对账明细接口!$F$541),"")</f>
        <v/>
      </c>
      <c r="G541" s="16" t="str">
        <f>IFERROR(IF([1]对账明细接口!$G$541=0,"",[1]对账明细接口!$G$541),"")</f>
        <v/>
      </c>
      <c r="H541" s="17" t="str">
        <f>IFERROR(IF([1]对账明细接口!$H$541=0,"",[1]对账明细接口!$H$541),"")</f>
        <v/>
      </c>
      <c r="I541" s="16" t="str">
        <f>IFERROR(IF([1]对账明细接口!$I$541=0,"",[1]对账明细接口!$I$541),"")</f>
        <v/>
      </c>
      <c r="J541" s="18" t="str">
        <f>IFERROR(IF([1]对账明细接口!$J$541=0,"",[1]对账明细接口!$J$541),"")</f>
        <v/>
      </c>
      <c r="K541" s="18" t="str">
        <f>IFERROR(IF([1]对账明细接口!$K$541=0,"",[1]对账明细接口!$K$541),"")</f>
        <v/>
      </c>
      <c r="L541" s="16" t="str">
        <f>IFERROR(IF([1]对账明细接口!$L$541=0,"",[1]对账明细接口!$L$541),"")</f>
        <v/>
      </c>
      <c r="M541" s="16" t="str">
        <f>IFERROR(IF([1]对账明细接口!$M$541=0,"",[1]对账明细接口!$M$541),"")</f>
        <v/>
      </c>
      <c r="N541" s="19">
        <f t="shared" si="16"/>
        <v>0</v>
      </c>
      <c r="O541" s="19">
        <f t="shared" si="17"/>
        <v>420</v>
      </c>
      <c r="S541" s="20" t="str">
        <f>IFERROR(IF([1]对账明细接口!$N541=0,"",[1]对账明细接口!$N541),"")</f>
        <v/>
      </c>
      <c r="T541" s="21" t="str">
        <f>IFERROR(IF([1]对账明细接口!$O541=0,"",[1]对账明细接口!$O541),"")</f>
        <v/>
      </c>
      <c r="U541" s="21" t="str">
        <f>IFERROR(IF([1]对账明细接口!$P541=0,"",[1]对账明细接口!$P541),"")</f>
        <v/>
      </c>
      <c r="V541" s="21" t="str">
        <f>IFERROR(IF([1]对账明细接口!$Q541=0,"",[1]对账明细接口!$Q541),"")</f>
        <v/>
      </c>
      <c r="W541" s="20" t="str">
        <f>IFERROR(IF([1]对账明细接口!$R541=0,"",[1]对账明细接口!$R541),"")</f>
        <v/>
      </c>
      <c r="X541" s="20" t="str">
        <f>IFERROR(IF([1]对账明细接口!$S541=0,"",[1]对账明细接口!$S541),"")</f>
        <v/>
      </c>
      <c r="Y541" s="20" t="str">
        <f>IFERROR(IF([1]对账明细接口!$T541=0,"",[1]对账明细接口!$T541),"")</f>
        <v/>
      </c>
      <c r="Z541" s="24" t="str">
        <f>IFERROR(IF([1]对账明细接口!$U541=0,"",[1]对账明细接口!$U541),"")</f>
        <v/>
      </c>
      <c r="AA541" s="24" t="str">
        <f>IFERROR(IF([1]对账明细接口!$V541=0,"",[1]对账明细接口!$V541),"")</f>
        <v/>
      </c>
      <c r="AB541" s="20" t="str">
        <f>IFERROR(IF([1]对账明细接口!$W541=0,"",[1]对账明细接口!$W541),"")</f>
        <v/>
      </c>
      <c r="AC541" s="7" t="str">
        <f>IFERROR(IF([1]对账明细接口!$X541=0,"",[1]对账明细接口!$X541),"")</f>
        <v/>
      </c>
      <c r="AD541" s="7" t="str">
        <f>IFERROR(IF([1]对账明细接口!$Y541=0,"",[1]对账明细接口!$Y541),"")</f>
        <v/>
      </c>
      <c r="AE541" s="7" t="str">
        <f>IFERROR(IF([1]对账明细接口!$AA541=0,"",[1]对账明细接口!$AA541),"")</f>
        <v/>
      </c>
      <c r="AF541" s="7" t="str">
        <f>IFERROR(IF([1]对账明细接口!$AB541=0,"",[1]对账明细接口!$AB541),"")</f>
        <v/>
      </c>
      <c r="AG541" s="7" t="str">
        <f>IFERROR(IF([1]对账明细接口!$AC541=0,"",[1]对账明细接口!$AC541),"")</f>
        <v/>
      </c>
      <c r="AH541" s="7" t="str">
        <f>IFERROR(IF([1]对账明细接口!$AD541=0,"",[1]对账明细接口!$AD541),"")</f>
        <v/>
      </c>
      <c r="AI541" s="7" t="str">
        <f>IFERROR(IF([1]对账明细接口!$AE541=0,"",[1]对账明细接口!$AE541),"")</f>
        <v/>
      </c>
      <c r="AJ541" s="7" t="str">
        <f>IFERROR(IF([1]对账明细接口!$AF541=0,"",[1]对账明细接口!$AF541),"")</f>
        <v/>
      </c>
    </row>
    <row r="542" ht="14.25" customHeight="1" spans="1:36">
      <c r="A542" s="14">
        <v>542</v>
      </c>
      <c r="B542" s="15" t="str">
        <f>IFERROR(IF([1]对账明细接口!$B$542=0,"",[1]对账明细接口!$B$542),"")</f>
        <v/>
      </c>
      <c r="C542" s="16" t="str">
        <f>IFERROR(IF([1]对账明细接口!$C$542=0,"",[1]对账明细接口!$C$542),"")</f>
        <v/>
      </c>
      <c r="D542" s="16" t="str">
        <f>IFERROR(IF([1]对账明细接口!$D$542=0,"",[1]对账明细接口!$D$542),"")</f>
        <v/>
      </c>
      <c r="E542" s="16" t="str">
        <f>IFERROR(IF([1]对账明细接口!$E$542=0,"",[1]对账明细接口!$E$542),"")</f>
        <v/>
      </c>
      <c r="F542" s="16" t="str">
        <f>IFERROR(IF([1]对账明细接口!$F$542=0,"",[1]对账明细接口!$F$542),"")</f>
        <v/>
      </c>
      <c r="G542" s="16" t="str">
        <f>IFERROR(IF([1]对账明细接口!$G$542=0,"",[1]对账明细接口!$G$542),"")</f>
        <v/>
      </c>
      <c r="H542" s="17" t="str">
        <f>IFERROR(IF([1]对账明细接口!$H$542=0,"",[1]对账明细接口!$H$542),"")</f>
        <v/>
      </c>
      <c r="I542" s="16" t="str">
        <f>IFERROR(IF([1]对账明细接口!$I$542=0,"",[1]对账明细接口!$I$542),"")</f>
        <v/>
      </c>
      <c r="J542" s="18" t="str">
        <f>IFERROR(IF([1]对账明细接口!$J$542=0,"",[1]对账明细接口!$J$542),"")</f>
        <v/>
      </c>
      <c r="K542" s="18" t="str">
        <f>IFERROR(IF([1]对账明细接口!$K$542=0,"",[1]对账明细接口!$K$542),"")</f>
        <v/>
      </c>
      <c r="L542" s="16" t="str">
        <f>IFERROR(IF([1]对账明细接口!$L$542=0,"",[1]对账明细接口!$L$542),"")</f>
        <v/>
      </c>
      <c r="M542" s="16" t="str">
        <f>IFERROR(IF([1]对账明细接口!$M$542=0,"",[1]对账明细接口!$M$542),"")</f>
        <v/>
      </c>
      <c r="N542" s="19">
        <f t="shared" si="16"/>
        <v>0</v>
      </c>
      <c r="O542" s="19">
        <f t="shared" si="17"/>
        <v>420</v>
      </c>
      <c r="S542" s="20" t="str">
        <f>IFERROR(IF([1]对账明细接口!$N542=0,"",[1]对账明细接口!$N542),"")</f>
        <v/>
      </c>
      <c r="T542" s="21" t="str">
        <f>IFERROR(IF([1]对账明细接口!$O542=0,"",[1]对账明细接口!$O542),"")</f>
        <v/>
      </c>
      <c r="U542" s="21" t="str">
        <f>IFERROR(IF([1]对账明细接口!$P542=0,"",[1]对账明细接口!$P542),"")</f>
        <v/>
      </c>
      <c r="V542" s="21" t="str">
        <f>IFERROR(IF([1]对账明细接口!$Q542=0,"",[1]对账明细接口!$Q542),"")</f>
        <v/>
      </c>
      <c r="W542" s="20" t="str">
        <f>IFERROR(IF([1]对账明细接口!$R542=0,"",[1]对账明细接口!$R542),"")</f>
        <v/>
      </c>
      <c r="X542" s="20" t="str">
        <f>IFERROR(IF([1]对账明细接口!$S542=0,"",[1]对账明细接口!$S542),"")</f>
        <v/>
      </c>
      <c r="Y542" s="20" t="str">
        <f>IFERROR(IF([1]对账明细接口!$T542=0,"",[1]对账明细接口!$T542),"")</f>
        <v/>
      </c>
      <c r="Z542" s="24" t="str">
        <f>IFERROR(IF([1]对账明细接口!$U542=0,"",[1]对账明细接口!$U542),"")</f>
        <v/>
      </c>
      <c r="AA542" s="24" t="str">
        <f>IFERROR(IF([1]对账明细接口!$V542=0,"",[1]对账明细接口!$V542),"")</f>
        <v/>
      </c>
      <c r="AB542" s="20" t="str">
        <f>IFERROR(IF([1]对账明细接口!$W542=0,"",[1]对账明细接口!$W542),"")</f>
        <v/>
      </c>
      <c r="AC542" s="7" t="str">
        <f>IFERROR(IF([1]对账明细接口!$X542=0,"",[1]对账明细接口!$X542),"")</f>
        <v/>
      </c>
      <c r="AD542" s="7" t="str">
        <f>IFERROR(IF([1]对账明细接口!$Y542=0,"",[1]对账明细接口!$Y542),"")</f>
        <v/>
      </c>
      <c r="AE542" s="7" t="str">
        <f>IFERROR(IF([1]对账明细接口!$AA542=0,"",[1]对账明细接口!$AA542),"")</f>
        <v/>
      </c>
      <c r="AF542" s="7" t="str">
        <f>IFERROR(IF([1]对账明细接口!$AB542=0,"",[1]对账明细接口!$AB542),"")</f>
        <v/>
      </c>
      <c r="AG542" s="7" t="str">
        <f>IFERROR(IF([1]对账明细接口!$AC542=0,"",[1]对账明细接口!$AC542),"")</f>
        <v/>
      </c>
      <c r="AH542" s="7" t="str">
        <f>IFERROR(IF([1]对账明细接口!$AD542=0,"",[1]对账明细接口!$AD542),"")</f>
        <v/>
      </c>
      <c r="AI542" s="7" t="str">
        <f>IFERROR(IF([1]对账明细接口!$AE542=0,"",[1]对账明细接口!$AE542),"")</f>
        <v/>
      </c>
      <c r="AJ542" s="7" t="str">
        <f>IFERROR(IF([1]对账明细接口!$AF542=0,"",[1]对账明细接口!$AF542),"")</f>
        <v/>
      </c>
    </row>
    <row r="543" ht="14.25" customHeight="1" spans="1:36">
      <c r="A543" s="14">
        <v>543</v>
      </c>
      <c r="B543" s="15" t="str">
        <f>IFERROR(IF([1]对账明细接口!$B$543=0,"",[1]对账明细接口!$B$543),"")</f>
        <v/>
      </c>
      <c r="C543" s="16" t="str">
        <f>IFERROR(IF([1]对账明细接口!$C$543=0,"",[1]对账明细接口!$C$543),"")</f>
        <v/>
      </c>
      <c r="D543" s="16" t="str">
        <f>IFERROR(IF([1]对账明细接口!$D$543=0,"",[1]对账明细接口!$D$543),"")</f>
        <v/>
      </c>
      <c r="E543" s="16" t="str">
        <f>IFERROR(IF([1]对账明细接口!$E$543=0,"",[1]对账明细接口!$E$543),"")</f>
        <v/>
      </c>
      <c r="F543" s="16" t="str">
        <f>IFERROR(IF([1]对账明细接口!$F$543=0,"",[1]对账明细接口!$F$543),"")</f>
        <v/>
      </c>
      <c r="G543" s="16" t="str">
        <f>IFERROR(IF([1]对账明细接口!$G$543=0,"",[1]对账明细接口!$G$543),"")</f>
        <v/>
      </c>
      <c r="H543" s="17" t="str">
        <f>IFERROR(IF([1]对账明细接口!$H$543=0,"",[1]对账明细接口!$H$543),"")</f>
        <v/>
      </c>
      <c r="I543" s="16" t="str">
        <f>IFERROR(IF([1]对账明细接口!$I$543=0,"",[1]对账明细接口!$I$543),"")</f>
        <v/>
      </c>
      <c r="J543" s="18" t="str">
        <f>IFERROR(IF([1]对账明细接口!$J$543=0,"",[1]对账明细接口!$J$543),"")</f>
        <v/>
      </c>
      <c r="K543" s="18" t="str">
        <f>IFERROR(IF([1]对账明细接口!$K$543=0,"",[1]对账明细接口!$K$543),"")</f>
        <v/>
      </c>
      <c r="L543" s="16" t="str">
        <f>IFERROR(IF([1]对账明细接口!$L$543=0,"",[1]对账明细接口!$L$543),"")</f>
        <v/>
      </c>
      <c r="M543" s="16" t="str">
        <f>IFERROR(IF([1]对账明细接口!$M$543=0,"",[1]对账明细接口!$M$543),"")</f>
        <v/>
      </c>
      <c r="N543" s="19">
        <f t="shared" si="16"/>
        <v>0</v>
      </c>
      <c r="O543" s="19">
        <f t="shared" si="17"/>
        <v>420</v>
      </c>
      <c r="S543" s="20" t="str">
        <f>IFERROR(IF([1]对账明细接口!$N543=0,"",[1]对账明细接口!$N543),"")</f>
        <v/>
      </c>
      <c r="T543" s="21" t="str">
        <f>IFERROR(IF([1]对账明细接口!$O543=0,"",[1]对账明细接口!$O543),"")</f>
        <v/>
      </c>
      <c r="U543" s="21" t="str">
        <f>IFERROR(IF([1]对账明细接口!$P543=0,"",[1]对账明细接口!$P543),"")</f>
        <v/>
      </c>
      <c r="V543" s="21" t="str">
        <f>IFERROR(IF([1]对账明细接口!$Q543=0,"",[1]对账明细接口!$Q543),"")</f>
        <v/>
      </c>
      <c r="W543" s="20" t="str">
        <f>IFERROR(IF([1]对账明细接口!$R543=0,"",[1]对账明细接口!$R543),"")</f>
        <v/>
      </c>
      <c r="X543" s="20" t="str">
        <f>IFERROR(IF([1]对账明细接口!$S543=0,"",[1]对账明细接口!$S543),"")</f>
        <v/>
      </c>
      <c r="Y543" s="20" t="str">
        <f>IFERROR(IF([1]对账明细接口!$T543=0,"",[1]对账明细接口!$T543),"")</f>
        <v/>
      </c>
      <c r="Z543" s="24" t="str">
        <f>IFERROR(IF([1]对账明细接口!$U543=0,"",[1]对账明细接口!$U543),"")</f>
        <v/>
      </c>
      <c r="AA543" s="24" t="str">
        <f>IFERROR(IF([1]对账明细接口!$V543=0,"",[1]对账明细接口!$V543),"")</f>
        <v/>
      </c>
      <c r="AB543" s="20" t="str">
        <f>IFERROR(IF([1]对账明细接口!$W543=0,"",[1]对账明细接口!$W543),"")</f>
        <v/>
      </c>
      <c r="AC543" s="7" t="str">
        <f>IFERROR(IF([1]对账明细接口!$X543=0,"",[1]对账明细接口!$X543),"")</f>
        <v/>
      </c>
      <c r="AD543" s="7" t="str">
        <f>IFERROR(IF([1]对账明细接口!$Y543=0,"",[1]对账明细接口!$Y543),"")</f>
        <v/>
      </c>
      <c r="AE543" s="7" t="str">
        <f>IFERROR(IF([1]对账明细接口!$AA543=0,"",[1]对账明细接口!$AA543),"")</f>
        <v/>
      </c>
      <c r="AF543" s="7" t="str">
        <f>IFERROR(IF([1]对账明细接口!$AB543=0,"",[1]对账明细接口!$AB543),"")</f>
        <v/>
      </c>
      <c r="AG543" s="7" t="str">
        <f>IFERROR(IF([1]对账明细接口!$AC543=0,"",[1]对账明细接口!$AC543),"")</f>
        <v/>
      </c>
      <c r="AH543" s="7" t="str">
        <f>IFERROR(IF([1]对账明细接口!$AD543=0,"",[1]对账明细接口!$AD543),"")</f>
        <v/>
      </c>
      <c r="AI543" s="7" t="str">
        <f>IFERROR(IF([1]对账明细接口!$AE543=0,"",[1]对账明细接口!$AE543),"")</f>
        <v/>
      </c>
      <c r="AJ543" s="7" t="str">
        <f>IFERROR(IF([1]对账明细接口!$AF543=0,"",[1]对账明细接口!$AF543),"")</f>
        <v/>
      </c>
    </row>
    <row r="544" ht="14.25" customHeight="1" spans="1:36">
      <c r="A544" s="14">
        <v>544</v>
      </c>
      <c r="B544" s="15" t="str">
        <f>IFERROR(IF([1]对账明细接口!$B$544=0,"",[1]对账明细接口!$B$544),"")</f>
        <v/>
      </c>
      <c r="C544" s="16" t="str">
        <f>IFERROR(IF([1]对账明细接口!$C$544=0,"",[1]对账明细接口!$C$544),"")</f>
        <v/>
      </c>
      <c r="D544" s="16" t="str">
        <f>IFERROR(IF([1]对账明细接口!$D$544=0,"",[1]对账明细接口!$D$544),"")</f>
        <v/>
      </c>
      <c r="E544" s="16" t="str">
        <f>IFERROR(IF([1]对账明细接口!$E$544=0,"",[1]对账明细接口!$E$544),"")</f>
        <v/>
      </c>
      <c r="F544" s="16" t="str">
        <f>IFERROR(IF([1]对账明细接口!$F$544=0,"",[1]对账明细接口!$F$544),"")</f>
        <v/>
      </c>
      <c r="G544" s="16" t="str">
        <f>IFERROR(IF([1]对账明细接口!$G$544=0,"",[1]对账明细接口!$G$544),"")</f>
        <v/>
      </c>
      <c r="H544" s="17" t="str">
        <f>IFERROR(IF([1]对账明细接口!$H$544=0,"",[1]对账明细接口!$H$544),"")</f>
        <v/>
      </c>
      <c r="I544" s="16" t="str">
        <f>IFERROR(IF([1]对账明细接口!$I$544=0,"",[1]对账明细接口!$I$544),"")</f>
        <v/>
      </c>
      <c r="J544" s="18" t="str">
        <f>IFERROR(IF([1]对账明细接口!$J$544=0,"",[1]对账明细接口!$J$544),"")</f>
        <v/>
      </c>
      <c r="K544" s="18" t="str">
        <f>IFERROR(IF([1]对账明细接口!$K$544=0,"",[1]对账明细接口!$K$544),"")</f>
        <v/>
      </c>
      <c r="L544" s="16" t="str">
        <f>IFERROR(IF([1]对账明细接口!$L$544=0,"",[1]对账明细接口!$L$544),"")</f>
        <v/>
      </c>
      <c r="M544" s="16" t="str">
        <f>IFERROR(IF([1]对账明细接口!$M$544=0,"",[1]对账明细接口!$M$544),"")</f>
        <v/>
      </c>
      <c r="N544" s="19">
        <f t="shared" si="16"/>
        <v>0</v>
      </c>
      <c r="O544" s="19">
        <f t="shared" si="17"/>
        <v>420</v>
      </c>
      <c r="S544" s="20" t="str">
        <f>IFERROR(IF([1]对账明细接口!$N544=0,"",[1]对账明细接口!$N544),"")</f>
        <v/>
      </c>
      <c r="T544" s="21" t="str">
        <f>IFERROR(IF([1]对账明细接口!$O544=0,"",[1]对账明细接口!$O544),"")</f>
        <v/>
      </c>
      <c r="U544" s="21" t="str">
        <f>IFERROR(IF([1]对账明细接口!$P544=0,"",[1]对账明细接口!$P544),"")</f>
        <v/>
      </c>
      <c r="V544" s="21" t="str">
        <f>IFERROR(IF([1]对账明细接口!$Q544=0,"",[1]对账明细接口!$Q544),"")</f>
        <v/>
      </c>
      <c r="W544" s="20" t="str">
        <f>IFERROR(IF([1]对账明细接口!$R544=0,"",[1]对账明细接口!$R544),"")</f>
        <v/>
      </c>
      <c r="X544" s="20" t="str">
        <f>IFERROR(IF([1]对账明细接口!$S544=0,"",[1]对账明细接口!$S544),"")</f>
        <v/>
      </c>
      <c r="Y544" s="20" t="str">
        <f>IFERROR(IF([1]对账明细接口!$T544=0,"",[1]对账明细接口!$T544),"")</f>
        <v/>
      </c>
      <c r="Z544" s="24" t="str">
        <f>IFERROR(IF([1]对账明细接口!$U544=0,"",[1]对账明细接口!$U544),"")</f>
        <v/>
      </c>
      <c r="AA544" s="24" t="str">
        <f>IFERROR(IF([1]对账明细接口!$V544=0,"",[1]对账明细接口!$V544),"")</f>
        <v/>
      </c>
      <c r="AB544" s="20" t="str">
        <f>IFERROR(IF([1]对账明细接口!$W544=0,"",[1]对账明细接口!$W544),"")</f>
        <v/>
      </c>
      <c r="AC544" s="7" t="str">
        <f>IFERROR(IF([1]对账明细接口!$X544=0,"",[1]对账明细接口!$X544),"")</f>
        <v/>
      </c>
      <c r="AD544" s="7" t="str">
        <f>IFERROR(IF([1]对账明细接口!$Y544=0,"",[1]对账明细接口!$Y544),"")</f>
        <v/>
      </c>
      <c r="AE544" s="7" t="str">
        <f>IFERROR(IF([1]对账明细接口!$AA544=0,"",[1]对账明细接口!$AA544),"")</f>
        <v/>
      </c>
      <c r="AF544" s="7" t="str">
        <f>IFERROR(IF([1]对账明细接口!$AB544=0,"",[1]对账明细接口!$AB544),"")</f>
        <v/>
      </c>
      <c r="AG544" s="7" t="str">
        <f>IFERROR(IF([1]对账明细接口!$AC544=0,"",[1]对账明细接口!$AC544),"")</f>
        <v/>
      </c>
      <c r="AH544" s="7" t="str">
        <f>IFERROR(IF([1]对账明细接口!$AD544=0,"",[1]对账明细接口!$AD544),"")</f>
        <v/>
      </c>
      <c r="AI544" s="7" t="str">
        <f>IFERROR(IF([1]对账明细接口!$AE544=0,"",[1]对账明细接口!$AE544),"")</f>
        <v/>
      </c>
      <c r="AJ544" s="7" t="str">
        <f>IFERROR(IF([1]对账明细接口!$AF544=0,"",[1]对账明细接口!$AF544),"")</f>
        <v/>
      </c>
    </row>
    <row r="545" ht="14.25" customHeight="1" spans="1:36">
      <c r="A545" s="14">
        <v>545</v>
      </c>
      <c r="B545" s="15" t="str">
        <f>IFERROR(IF([1]对账明细接口!$B$545=0,"",[1]对账明细接口!$B$545),"")</f>
        <v/>
      </c>
      <c r="C545" s="16" t="str">
        <f>IFERROR(IF([1]对账明细接口!$C$545=0,"",[1]对账明细接口!$C$545),"")</f>
        <v/>
      </c>
      <c r="D545" s="16" t="str">
        <f>IFERROR(IF([1]对账明细接口!$D$545=0,"",[1]对账明细接口!$D$545),"")</f>
        <v/>
      </c>
      <c r="E545" s="16" t="str">
        <f>IFERROR(IF([1]对账明细接口!$E$545=0,"",[1]对账明细接口!$E$545),"")</f>
        <v/>
      </c>
      <c r="F545" s="16" t="str">
        <f>IFERROR(IF([1]对账明细接口!$F$545=0,"",[1]对账明细接口!$F$545),"")</f>
        <v/>
      </c>
      <c r="G545" s="16" t="str">
        <f>IFERROR(IF([1]对账明细接口!$G$545=0,"",[1]对账明细接口!$G$545),"")</f>
        <v/>
      </c>
      <c r="H545" s="17" t="str">
        <f>IFERROR(IF([1]对账明细接口!$H$545=0,"",[1]对账明细接口!$H$545),"")</f>
        <v/>
      </c>
      <c r="I545" s="16" t="str">
        <f>IFERROR(IF([1]对账明细接口!$I$545=0,"",[1]对账明细接口!$I$545),"")</f>
        <v/>
      </c>
      <c r="J545" s="18" t="str">
        <f>IFERROR(IF([1]对账明细接口!$J$545=0,"",[1]对账明细接口!$J$545),"")</f>
        <v/>
      </c>
      <c r="K545" s="18" t="str">
        <f>IFERROR(IF([1]对账明细接口!$K$545=0,"",[1]对账明细接口!$K$545),"")</f>
        <v/>
      </c>
      <c r="L545" s="16" t="str">
        <f>IFERROR(IF([1]对账明细接口!$L$545=0,"",[1]对账明细接口!$L$545),"")</f>
        <v/>
      </c>
      <c r="M545" s="16" t="str">
        <f>IFERROR(IF([1]对账明细接口!$M$545=0,"",[1]对账明细接口!$M$545),"")</f>
        <v/>
      </c>
      <c r="N545" s="19">
        <f t="shared" si="16"/>
        <v>0</v>
      </c>
      <c r="O545" s="19">
        <f t="shared" si="17"/>
        <v>420</v>
      </c>
      <c r="S545" s="20" t="str">
        <f>IFERROR(IF([1]对账明细接口!$N545=0,"",[1]对账明细接口!$N545),"")</f>
        <v/>
      </c>
      <c r="T545" s="21" t="str">
        <f>IFERROR(IF([1]对账明细接口!$O545=0,"",[1]对账明细接口!$O545),"")</f>
        <v/>
      </c>
      <c r="U545" s="21" t="str">
        <f>IFERROR(IF([1]对账明细接口!$P545=0,"",[1]对账明细接口!$P545),"")</f>
        <v/>
      </c>
      <c r="V545" s="21" t="str">
        <f>IFERROR(IF([1]对账明细接口!$Q545=0,"",[1]对账明细接口!$Q545),"")</f>
        <v/>
      </c>
      <c r="W545" s="20" t="str">
        <f>IFERROR(IF([1]对账明细接口!$R545=0,"",[1]对账明细接口!$R545),"")</f>
        <v/>
      </c>
      <c r="X545" s="20" t="str">
        <f>IFERROR(IF([1]对账明细接口!$S545=0,"",[1]对账明细接口!$S545),"")</f>
        <v/>
      </c>
      <c r="Y545" s="20" t="str">
        <f>IFERROR(IF([1]对账明细接口!$T545=0,"",[1]对账明细接口!$T545),"")</f>
        <v/>
      </c>
      <c r="Z545" s="24" t="str">
        <f>IFERROR(IF([1]对账明细接口!$U545=0,"",[1]对账明细接口!$U545),"")</f>
        <v/>
      </c>
      <c r="AA545" s="24" t="str">
        <f>IFERROR(IF([1]对账明细接口!$V545=0,"",[1]对账明细接口!$V545),"")</f>
        <v/>
      </c>
      <c r="AB545" s="20" t="str">
        <f>IFERROR(IF([1]对账明细接口!$W545=0,"",[1]对账明细接口!$W545),"")</f>
        <v/>
      </c>
      <c r="AC545" s="7" t="str">
        <f>IFERROR(IF([1]对账明细接口!$X545=0,"",[1]对账明细接口!$X545),"")</f>
        <v/>
      </c>
      <c r="AD545" s="7" t="str">
        <f>IFERROR(IF([1]对账明细接口!$Y545=0,"",[1]对账明细接口!$Y545),"")</f>
        <v/>
      </c>
      <c r="AE545" s="7" t="str">
        <f>IFERROR(IF([1]对账明细接口!$AA545=0,"",[1]对账明细接口!$AA545),"")</f>
        <v/>
      </c>
      <c r="AF545" s="7" t="str">
        <f>IFERROR(IF([1]对账明细接口!$AB545=0,"",[1]对账明细接口!$AB545),"")</f>
        <v/>
      </c>
      <c r="AG545" s="7" t="str">
        <f>IFERROR(IF([1]对账明细接口!$AC545=0,"",[1]对账明细接口!$AC545),"")</f>
        <v/>
      </c>
      <c r="AH545" s="7" t="str">
        <f>IFERROR(IF([1]对账明细接口!$AD545=0,"",[1]对账明细接口!$AD545),"")</f>
        <v/>
      </c>
      <c r="AI545" s="7" t="str">
        <f>IFERROR(IF([1]对账明细接口!$AE545=0,"",[1]对账明细接口!$AE545),"")</f>
        <v/>
      </c>
      <c r="AJ545" s="7" t="str">
        <f>IFERROR(IF([1]对账明细接口!$AF545=0,"",[1]对账明细接口!$AF545),"")</f>
        <v/>
      </c>
    </row>
    <row r="546" ht="14.25" customHeight="1" spans="1:36">
      <c r="A546" s="14">
        <v>546</v>
      </c>
      <c r="B546" s="15" t="str">
        <f>IFERROR(IF([1]对账明细接口!$B$546=0,"",[1]对账明细接口!$B$546),"")</f>
        <v/>
      </c>
      <c r="C546" s="16" t="str">
        <f>IFERROR(IF([1]对账明细接口!$C$546=0,"",[1]对账明细接口!$C$546),"")</f>
        <v/>
      </c>
      <c r="D546" s="16" t="str">
        <f>IFERROR(IF([1]对账明细接口!$D$546=0,"",[1]对账明细接口!$D$546),"")</f>
        <v/>
      </c>
      <c r="E546" s="16" t="str">
        <f>IFERROR(IF([1]对账明细接口!$E$546=0,"",[1]对账明细接口!$E$546),"")</f>
        <v/>
      </c>
      <c r="F546" s="16" t="str">
        <f>IFERROR(IF([1]对账明细接口!$F$546=0,"",[1]对账明细接口!$F$546),"")</f>
        <v/>
      </c>
      <c r="G546" s="16" t="str">
        <f>IFERROR(IF([1]对账明细接口!$G$546=0,"",[1]对账明细接口!$G$546),"")</f>
        <v/>
      </c>
      <c r="H546" s="17" t="str">
        <f>IFERROR(IF([1]对账明细接口!$H$546=0,"",[1]对账明细接口!$H$546),"")</f>
        <v/>
      </c>
      <c r="I546" s="16" t="str">
        <f>IFERROR(IF([1]对账明细接口!$I$546=0,"",[1]对账明细接口!$I$546),"")</f>
        <v/>
      </c>
      <c r="J546" s="18" t="str">
        <f>IFERROR(IF([1]对账明细接口!$J$546=0,"",[1]对账明细接口!$J$546),"")</f>
        <v/>
      </c>
      <c r="K546" s="18" t="str">
        <f>IFERROR(IF([1]对账明细接口!$K$546=0,"",[1]对账明细接口!$K$546),"")</f>
        <v/>
      </c>
      <c r="L546" s="16" t="str">
        <f>IFERROR(IF([1]对账明细接口!$L$546=0,"",[1]对账明细接口!$L$546),"")</f>
        <v/>
      </c>
      <c r="M546" s="16" t="str">
        <f>IFERROR(IF([1]对账明细接口!$M$546=0,"",[1]对账明细接口!$M$546),"")</f>
        <v/>
      </c>
      <c r="N546" s="19">
        <f t="shared" si="16"/>
        <v>0</v>
      </c>
      <c r="O546" s="19">
        <f t="shared" si="17"/>
        <v>420</v>
      </c>
      <c r="S546" s="20" t="str">
        <f>IFERROR(IF([1]对账明细接口!$N546=0,"",[1]对账明细接口!$N546),"")</f>
        <v/>
      </c>
      <c r="T546" s="21" t="str">
        <f>IFERROR(IF([1]对账明细接口!$O546=0,"",[1]对账明细接口!$O546),"")</f>
        <v/>
      </c>
      <c r="U546" s="21" t="str">
        <f>IFERROR(IF([1]对账明细接口!$P546=0,"",[1]对账明细接口!$P546),"")</f>
        <v/>
      </c>
      <c r="V546" s="21" t="str">
        <f>IFERROR(IF([1]对账明细接口!$Q546=0,"",[1]对账明细接口!$Q546),"")</f>
        <v/>
      </c>
      <c r="W546" s="20" t="str">
        <f>IFERROR(IF([1]对账明细接口!$R546=0,"",[1]对账明细接口!$R546),"")</f>
        <v/>
      </c>
      <c r="X546" s="20" t="str">
        <f>IFERROR(IF([1]对账明细接口!$S546=0,"",[1]对账明细接口!$S546),"")</f>
        <v/>
      </c>
      <c r="Y546" s="20" t="str">
        <f>IFERROR(IF([1]对账明细接口!$T546=0,"",[1]对账明细接口!$T546),"")</f>
        <v/>
      </c>
      <c r="Z546" s="24" t="str">
        <f>IFERROR(IF([1]对账明细接口!$U546=0,"",[1]对账明细接口!$U546),"")</f>
        <v/>
      </c>
      <c r="AA546" s="24" t="str">
        <f>IFERROR(IF([1]对账明细接口!$V546=0,"",[1]对账明细接口!$V546),"")</f>
        <v/>
      </c>
      <c r="AB546" s="20" t="str">
        <f>IFERROR(IF([1]对账明细接口!$W546=0,"",[1]对账明细接口!$W546),"")</f>
        <v/>
      </c>
      <c r="AC546" s="7" t="str">
        <f>IFERROR(IF([1]对账明细接口!$X546=0,"",[1]对账明细接口!$X546),"")</f>
        <v/>
      </c>
      <c r="AD546" s="7" t="str">
        <f>IFERROR(IF([1]对账明细接口!$Y546=0,"",[1]对账明细接口!$Y546),"")</f>
        <v/>
      </c>
      <c r="AE546" s="7" t="str">
        <f>IFERROR(IF([1]对账明细接口!$AA546=0,"",[1]对账明细接口!$AA546),"")</f>
        <v/>
      </c>
      <c r="AF546" s="7" t="str">
        <f>IFERROR(IF([1]对账明细接口!$AB546=0,"",[1]对账明细接口!$AB546),"")</f>
        <v/>
      </c>
      <c r="AG546" s="7" t="str">
        <f>IFERROR(IF([1]对账明细接口!$AC546=0,"",[1]对账明细接口!$AC546),"")</f>
        <v/>
      </c>
      <c r="AH546" s="7" t="str">
        <f>IFERROR(IF([1]对账明细接口!$AD546=0,"",[1]对账明细接口!$AD546),"")</f>
        <v/>
      </c>
      <c r="AI546" s="7" t="str">
        <f>IFERROR(IF([1]对账明细接口!$AE546=0,"",[1]对账明细接口!$AE546),"")</f>
        <v/>
      </c>
      <c r="AJ546" s="7" t="str">
        <f>IFERROR(IF([1]对账明细接口!$AF546=0,"",[1]对账明细接口!$AF546),"")</f>
        <v/>
      </c>
    </row>
    <row r="547" ht="14.25" customHeight="1" spans="1:36">
      <c r="A547" s="14">
        <v>547</v>
      </c>
      <c r="B547" s="15" t="str">
        <f>IFERROR(IF([1]对账明细接口!$B$547=0,"",[1]对账明细接口!$B$547),"")</f>
        <v/>
      </c>
      <c r="C547" s="16" t="str">
        <f>IFERROR(IF([1]对账明细接口!$C$547=0,"",[1]对账明细接口!$C$547),"")</f>
        <v/>
      </c>
      <c r="D547" s="16" t="str">
        <f>IFERROR(IF([1]对账明细接口!$D$547=0,"",[1]对账明细接口!$D$547),"")</f>
        <v/>
      </c>
      <c r="E547" s="16" t="str">
        <f>IFERROR(IF([1]对账明细接口!$E$547=0,"",[1]对账明细接口!$E$547),"")</f>
        <v/>
      </c>
      <c r="F547" s="16" t="str">
        <f>IFERROR(IF([1]对账明细接口!$F$547=0,"",[1]对账明细接口!$F$547),"")</f>
        <v/>
      </c>
      <c r="G547" s="16" t="str">
        <f>IFERROR(IF([1]对账明细接口!$G$547=0,"",[1]对账明细接口!$G$547),"")</f>
        <v/>
      </c>
      <c r="H547" s="17" t="str">
        <f>IFERROR(IF([1]对账明细接口!$H$547=0,"",[1]对账明细接口!$H$547),"")</f>
        <v/>
      </c>
      <c r="I547" s="16" t="str">
        <f>IFERROR(IF([1]对账明细接口!$I$547=0,"",[1]对账明细接口!$I$547),"")</f>
        <v/>
      </c>
      <c r="J547" s="18" t="str">
        <f>IFERROR(IF([1]对账明细接口!$J$547=0,"",[1]对账明细接口!$J$547),"")</f>
        <v/>
      </c>
      <c r="K547" s="18" t="str">
        <f>IFERROR(IF([1]对账明细接口!$K$547=0,"",[1]对账明细接口!$K$547),"")</f>
        <v/>
      </c>
      <c r="L547" s="16" t="str">
        <f>IFERROR(IF([1]对账明细接口!$L$547=0,"",[1]对账明细接口!$L$547),"")</f>
        <v/>
      </c>
      <c r="M547" s="16" t="str">
        <f>IFERROR(IF([1]对账明细接口!$M$547=0,"",[1]对账明细接口!$M$547),"")</f>
        <v/>
      </c>
      <c r="N547" s="19">
        <f t="shared" si="16"/>
        <v>0</v>
      </c>
      <c r="O547" s="19">
        <f t="shared" si="17"/>
        <v>420</v>
      </c>
      <c r="S547" s="20" t="str">
        <f>IFERROR(IF([1]对账明细接口!$N547=0,"",[1]对账明细接口!$N547),"")</f>
        <v/>
      </c>
      <c r="T547" s="21" t="str">
        <f>IFERROR(IF([1]对账明细接口!$O547=0,"",[1]对账明细接口!$O547),"")</f>
        <v/>
      </c>
      <c r="U547" s="21" t="str">
        <f>IFERROR(IF([1]对账明细接口!$P547=0,"",[1]对账明细接口!$P547),"")</f>
        <v/>
      </c>
      <c r="V547" s="21" t="str">
        <f>IFERROR(IF([1]对账明细接口!$Q547=0,"",[1]对账明细接口!$Q547),"")</f>
        <v/>
      </c>
      <c r="W547" s="20" t="str">
        <f>IFERROR(IF([1]对账明细接口!$R547=0,"",[1]对账明细接口!$R547),"")</f>
        <v/>
      </c>
      <c r="X547" s="20" t="str">
        <f>IFERROR(IF([1]对账明细接口!$S547=0,"",[1]对账明细接口!$S547),"")</f>
        <v/>
      </c>
      <c r="Y547" s="20" t="str">
        <f>IFERROR(IF([1]对账明细接口!$T547=0,"",[1]对账明细接口!$T547),"")</f>
        <v/>
      </c>
      <c r="Z547" s="24" t="str">
        <f>IFERROR(IF([1]对账明细接口!$U547=0,"",[1]对账明细接口!$U547),"")</f>
        <v/>
      </c>
      <c r="AA547" s="24" t="str">
        <f>IFERROR(IF([1]对账明细接口!$V547=0,"",[1]对账明细接口!$V547),"")</f>
        <v/>
      </c>
      <c r="AB547" s="20" t="str">
        <f>IFERROR(IF([1]对账明细接口!$W547=0,"",[1]对账明细接口!$W547),"")</f>
        <v/>
      </c>
      <c r="AC547" s="7" t="str">
        <f>IFERROR(IF([1]对账明细接口!$X547=0,"",[1]对账明细接口!$X547),"")</f>
        <v/>
      </c>
      <c r="AD547" s="7" t="str">
        <f>IFERROR(IF([1]对账明细接口!$Y547=0,"",[1]对账明细接口!$Y547),"")</f>
        <v/>
      </c>
      <c r="AE547" s="7" t="str">
        <f>IFERROR(IF([1]对账明细接口!$AA547=0,"",[1]对账明细接口!$AA547),"")</f>
        <v/>
      </c>
      <c r="AF547" s="7" t="str">
        <f>IFERROR(IF([1]对账明细接口!$AB547=0,"",[1]对账明细接口!$AB547),"")</f>
        <v/>
      </c>
      <c r="AG547" s="7" t="str">
        <f>IFERROR(IF([1]对账明细接口!$AC547=0,"",[1]对账明细接口!$AC547),"")</f>
        <v/>
      </c>
      <c r="AH547" s="7" t="str">
        <f>IFERROR(IF([1]对账明细接口!$AD547=0,"",[1]对账明细接口!$AD547),"")</f>
        <v/>
      </c>
      <c r="AI547" s="7" t="str">
        <f>IFERROR(IF([1]对账明细接口!$AE547=0,"",[1]对账明细接口!$AE547),"")</f>
        <v/>
      </c>
      <c r="AJ547" s="7" t="str">
        <f>IFERROR(IF([1]对账明细接口!$AF547=0,"",[1]对账明细接口!$AF547),"")</f>
        <v/>
      </c>
    </row>
    <row r="548" ht="14.25" customHeight="1" spans="1:36">
      <c r="A548" s="14">
        <v>548</v>
      </c>
      <c r="B548" s="15" t="str">
        <f>IFERROR(IF([1]对账明细接口!$B$548=0,"",[1]对账明细接口!$B$548),"")</f>
        <v/>
      </c>
      <c r="C548" s="16" t="str">
        <f>IFERROR(IF([1]对账明细接口!$C$548=0,"",[1]对账明细接口!$C$548),"")</f>
        <v/>
      </c>
      <c r="D548" s="16" t="str">
        <f>IFERROR(IF([1]对账明细接口!$D$548=0,"",[1]对账明细接口!$D$548),"")</f>
        <v/>
      </c>
      <c r="E548" s="16" t="str">
        <f>IFERROR(IF([1]对账明细接口!$E$548=0,"",[1]对账明细接口!$E$548),"")</f>
        <v/>
      </c>
      <c r="F548" s="16" t="str">
        <f>IFERROR(IF([1]对账明细接口!$F$548=0,"",[1]对账明细接口!$F$548),"")</f>
        <v/>
      </c>
      <c r="G548" s="16" t="str">
        <f>IFERROR(IF([1]对账明细接口!$G$548=0,"",[1]对账明细接口!$G$548),"")</f>
        <v/>
      </c>
      <c r="H548" s="17" t="str">
        <f>IFERROR(IF([1]对账明细接口!$H$548=0,"",[1]对账明细接口!$H$548),"")</f>
        <v/>
      </c>
      <c r="I548" s="16" t="str">
        <f>IFERROR(IF([1]对账明细接口!$I$548=0,"",[1]对账明细接口!$I$548),"")</f>
        <v/>
      </c>
      <c r="J548" s="18" t="str">
        <f>IFERROR(IF([1]对账明细接口!$J$548=0,"",[1]对账明细接口!$J$548),"")</f>
        <v/>
      </c>
      <c r="K548" s="18" t="str">
        <f>IFERROR(IF([1]对账明细接口!$K$548=0,"",[1]对账明细接口!$K$548),"")</f>
        <v/>
      </c>
      <c r="L548" s="16" t="str">
        <f>IFERROR(IF([1]对账明细接口!$L$548=0,"",[1]对账明细接口!$L$548),"")</f>
        <v/>
      </c>
      <c r="M548" s="16" t="str">
        <f>IFERROR(IF([1]对账明细接口!$M$548=0,"",[1]对账明细接口!$M$548),"")</f>
        <v/>
      </c>
      <c r="N548" s="19">
        <f t="shared" si="16"/>
        <v>0</v>
      </c>
      <c r="O548" s="19">
        <f t="shared" si="17"/>
        <v>420</v>
      </c>
      <c r="S548" s="20" t="str">
        <f>IFERROR(IF([1]对账明细接口!$N548=0,"",[1]对账明细接口!$N548),"")</f>
        <v/>
      </c>
      <c r="T548" s="21" t="str">
        <f>IFERROR(IF([1]对账明细接口!$O548=0,"",[1]对账明细接口!$O548),"")</f>
        <v/>
      </c>
      <c r="U548" s="21" t="str">
        <f>IFERROR(IF([1]对账明细接口!$P548=0,"",[1]对账明细接口!$P548),"")</f>
        <v/>
      </c>
      <c r="V548" s="21" t="str">
        <f>IFERROR(IF([1]对账明细接口!$Q548=0,"",[1]对账明细接口!$Q548),"")</f>
        <v/>
      </c>
      <c r="W548" s="20" t="str">
        <f>IFERROR(IF([1]对账明细接口!$R548=0,"",[1]对账明细接口!$R548),"")</f>
        <v/>
      </c>
      <c r="X548" s="20" t="str">
        <f>IFERROR(IF([1]对账明细接口!$S548=0,"",[1]对账明细接口!$S548),"")</f>
        <v/>
      </c>
      <c r="Y548" s="20" t="str">
        <f>IFERROR(IF([1]对账明细接口!$T548=0,"",[1]对账明细接口!$T548),"")</f>
        <v/>
      </c>
      <c r="Z548" s="24" t="str">
        <f>IFERROR(IF([1]对账明细接口!$U548=0,"",[1]对账明细接口!$U548),"")</f>
        <v/>
      </c>
      <c r="AA548" s="24" t="str">
        <f>IFERROR(IF([1]对账明细接口!$V548=0,"",[1]对账明细接口!$V548),"")</f>
        <v/>
      </c>
      <c r="AB548" s="20" t="str">
        <f>IFERROR(IF([1]对账明细接口!$W548=0,"",[1]对账明细接口!$W548),"")</f>
        <v/>
      </c>
      <c r="AC548" s="7" t="str">
        <f>IFERROR(IF([1]对账明细接口!$X548=0,"",[1]对账明细接口!$X548),"")</f>
        <v/>
      </c>
      <c r="AD548" s="7" t="str">
        <f>IFERROR(IF([1]对账明细接口!$Y548=0,"",[1]对账明细接口!$Y548),"")</f>
        <v/>
      </c>
      <c r="AE548" s="7" t="str">
        <f>IFERROR(IF([1]对账明细接口!$AA548=0,"",[1]对账明细接口!$AA548),"")</f>
        <v/>
      </c>
      <c r="AF548" s="7" t="str">
        <f>IFERROR(IF([1]对账明细接口!$AB548=0,"",[1]对账明细接口!$AB548),"")</f>
        <v/>
      </c>
      <c r="AG548" s="7" t="str">
        <f>IFERROR(IF([1]对账明细接口!$AC548=0,"",[1]对账明细接口!$AC548),"")</f>
        <v/>
      </c>
      <c r="AH548" s="7" t="str">
        <f>IFERROR(IF([1]对账明细接口!$AD548=0,"",[1]对账明细接口!$AD548),"")</f>
        <v/>
      </c>
      <c r="AI548" s="7" t="str">
        <f>IFERROR(IF([1]对账明细接口!$AE548=0,"",[1]对账明细接口!$AE548),"")</f>
        <v/>
      </c>
      <c r="AJ548" s="7" t="str">
        <f>IFERROR(IF([1]对账明细接口!$AF548=0,"",[1]对账明细接口!$AF548),"")</f>
        <v/>
      </c>
    </row>
    <row r="549" ht="14.25" customHeight="1" spans="1:36">
      <c r="A549" s="14">
        <v>549</v>
      </c>
      <c r="B549" s="15" t="str">
        <f>IFERROR(IF([1]对账明细接口!$B$549=0,"",[1]对账明细接口!$B$549),"")</f>
        <v/>
      </c>
      <c r="C549" s="16" t="str">
        <f>IFERROR(IF([1]对账明细接口!$C$549=0,"",[1]对账明细接口!$C$549),"")</f>
        <v/>
      </c>
      <c r="D549" s="16" t="str">
        <f>IFERROR(IF([1]对账明细接口!$D$549=0,"",[1]对账明细接口!$D$549),"")</f>
        <v/>
      </c>
      <c r="E549" s="16" t="str">
        <f>IFERROR(IF([1]对账明细接口!$E$549=0,"",[1]对账明细接口!$E$549),"")</f>
        <v/>
      </c>
      <c r="F549" s="16" t="str">
        <f>IFERROR(IF([1]对账明细接口!$F$549=0,"",[1]对账明细接口!$F$549),"")</f>
        <v/>
      </c>
      <c r="G549" s="16" t="str">
        <f>IFERROR(IF([1]对账明细接口!$G$549=0,"",[1]对账明细接口!$G$549),"")</f>
        <v/>
      </c>
      <c r="H549" s="17" t="str">
        <f>IFERROR(IF([1]对账明细接口!$H$549=0,"",[1]对账明细接口!$H$549),"")</f>
        <v/>
      </c>
      <c r="I549" s="16" t="str">
        <f>IFERROR(IF([1]对账明细接口!$I$549=0,"",[1]对账明细接口!$I$549),"")</f>
        <v/>
      </c>
      <c r="J549" s="18" t="str">
        <f>IFERROR(IF([1]对账明细接口!$J$549=0,"",[1]对账明细接口!$J$549),"")</f>
        <v/>
      </c>
      <c r="K549" s="18" t="str">
        <f>IFERROR(IF([1]对账明细接口!$K$549=0,"",[1]对账明细接口!$K$549),"")</f>
        <v/>
      </c>
      <c r="L549" s="16" t="str">
        <f>IFERROR(IF([1]对账明细接口!$L$549=0,"",[1]对账明细接口!$L$549),"")</f>
        <v/>
      </c>
      <c r="M549" s="16" t="str">
        <f>IFERROR(IF([1]对账明细接口!$M$549=0,"",[1]对账明细接口!$M$549),"")</f>
        <v/>
      </c>
      <c r="N549" s="19">
        <f t="shared" si="16"/>
        <v>0</v>
      </c>
      <c r="O549" s="19">
        <f t="shared" si="17"/>
        <v>420</v>
      </c>
      <c r="S549" s="20" t="str">
        <f>IFERROR(IF([1]对账明细接口!$N549=0,"",[1]对账明细接口!$N549),"")</f>
        <v/>
      </c>
      <c r="T549" s="21" t="str">
        <f>IFERROR(IF([1]对账明细接口!$O549=0,"",[1]对账明细接口!$O549),"")</f>
        <v/>
      </c>
      <c r="U549" s="21" t="str">
        <f>IFERROR(IF([1]对账明细接口!$P549=0,"",[1]对账明细接口!$P549),"")</f>
        <v/>
      </c>
      <c r="V549" s="21" t="str">
        <f>IFERROR(IF([1]对账明细接口!$Q549=0,"",[1]对账明细接口!$Q549),"")</f>
        <v/>
      </c>
      <c r="W549" s="20" t="str">
        <f>IFERROR(IF([1]对账明细接口!$R549=0,"",[1]对账明细接口!$R549),"")</f>
        <v/>
      </c>
      <c r="X549" s="20" t="str">
        <f>IFERROR(IF([1]对账明细接口!$S549=0,"",[1]对账明细接口!$S549),"")</f>
        <v/>
      </c>
      <c r="Y549" s="20" t="str">
        <f>IFERROR(IF([1]对账明细接口!$T549=0,"",[1]对账明细接口!$T549),"")</f>
        <v/>
      </c>
      <c r="Z549" s="24" t="str">
        <f>IFERROR(IF([1]对账明细接口!$U549=0,"",[1]对账明细接口!$U549),"")</f>
        <v/>
      </c>
      <c r="AA549" s="24" t="str">
        <f>IFERROR(IF([1]对账明细接口!$V549=0,"",[1]对账明细接口!$V549),"")</f>
        <v/>
      </c>
      <c r="AB549" s="20" t="str">
        <f>IFERROR(IF([1]对账明细接口!$W549=0,"",[1]对账明细接口!$W549),"")</f>
        <v/>
      </c>
      <c r="AC549" s="7" t="str">
        <f>IFERROR(IF([1]对账明细接口!$X549=0,"",[1]对账明细接口!$X549),"")</f>
        <v/>
      </c>
      <c r="AD549" s="7" t="str">
        <f>IFERROR(IF([1]对账明细接口!$Y549=0,"",[1]对账明细接口!$Y549),"")</f>
        <v/>
      </c>
      <c r="AE549" s="7" t="str">
        <f>IFERROR(IF([1]对账明细接口!$AA549=0,"",[1]对账明细接口!$AA549),"")</f>
        <v/>
      </c>
      <c r="AF549" s="7" t="str">
        <f>IFERROR(IF([1]对账明细接口!$AB549=0,"",[1]对账明细接口!$AB549),"")</f>
        <v/>
      </c>
      <c r="AG549" s="7" t="str">
        <f>IFERROR(IF([1]对账明细接口!$AC549=0,"",[1]对账明细接口!$AC549),"")</f>
        <v/>
      </c>
      <c r="AH549" s="7" t="str">
        <f>IFERROR(IF([1]对账明细接口!$AD549=0,"",[1]对账明细接口!$AD549),"")</f>
        <v/>
      </c>
      <c r="AI549" s="7" t="str">
        <f>IFERROR(IF([1]对账明细接口!$AE549=0,"",[1]对账明细接口!$AE549),"")</f>
        <v/>
      </c>
      <c r="AJ549" s="7" t="str">
        <f>IFERROR(IF([1]对账明细接口!$AF549=0,"",[1]对账明细接口!$AF549),"")</f>
        <v/>
      </c>
    </row>
    <row r="550" ht="14.25" customHeight="1" spans="1:36">
      <c r="A550" s="14">
        <v>550</v>
      </c>
      <c r="B550" s="15" t="str">
        <f>IFERROR(IF([1]对账明细接口!$B$550=0,"",[1]对账明细接口!$B$550),"")</f>
        <v/>
      </c>
      <c r="C550" s="16" t="str">
        <f>IFERROR(IF([1]对账明细接口!$C$550=0,"",[1]对账明细接口!$C$550),"")</f>
        <v/>
      </c>
      <c r="D550" s="16" t="str">
        <f>IFERROR(IF([1]对账明细接口!$D$550=0,"",[1]对账明细接口!$D$550),"")</f>
        <v/>
      </c>
      <c r="E550" s="16" t="str">
        <f>IFERROR(IF([1]对账明细接口!$E$550=0,"",[1]对账明细接口!$E$550),"")</f>
        <v/>
      </c>
      <c r="F550" s="16" t="str">
        <f>IFERROR(IF([1]对账明细接口!$F$550=0,"",[1]对账明细接口!$F$550),"")</f>
        <v/>
      </c>
      <c r="G550" s="16" t="str">
        <f>IFERROR(IF([1]对账明细接口!$G$550=0,"",[1]对账明细接口!$G$550),"")</f>
        <v/>
      </c>
      <c r="H550" s="17" t="str">
        <f>IFERROR(IF([1]对账明细接口!$H$550=0,"",[1]对账明细接口!$H$550),"")</f>
        <v/>
      </c>
      <c r="I550" s="16" t="str">
        <f>IFERROR(IF([1]对账明细接口!$I$550=0,"",[1]对账明细接口!$I$550),"")</f>
        <v/>
      </c>
      <c r="J550" s="18" t="str">
        <f>IFERROR(IF([1]对账明细接口!$J$550=0,"",[1]对账明细接口!$J$550),"")</f>
        <v/>
      </c>
      <c r="K550" s="18" t="str">
        <f>IFERROR(IF([1]对账明细接口!$K$550=0,"",[1]对账明细接口!$K$550),"")</f>
        <v/>
      </c>
      <c r="L550" s="16" t="str">
        <f>IFERROR(IF([1]对账明细接口!$L$550=0,"",[1]对账明细接口!$L$550),"")</f>
        <v/>
      </c>
      <c r="M550" s="16" t="str">
        <f>IFERROR(IF([1]对账明细接口!$M$550=0,"",[1]对账明细接口!$M$550),"")</f>
        <v/>
      </c>
      <c r="N550" s="19">
        <f t="shared" si="16"/>
        <v>0</v>
      </c>
      <c r="O550" s="19">
        <f t="shared" si="17"/>
        <v>420</v>
      </c>
      <c r="S550" s="20" t="str">
        <f>IFERROR(IF([1]对账明细接口!$N550=0,"",[1]对账明细接口!$N550),"")</f>
        <v/>
      </c>
      <c r="T550" s="21" t="str">
        <f>IFERROR(IF([1]对账明细接口!$O550=0,"",[1]对账明细接口!$O550),"")</f>
        <v/>
      </c>
      <c r="U550" s="21" t="str">
        <f>IFERROR(IF([1]对账明细接口!$P550=0,"",[1]对账明细接口!$P550),"")</f>
        <v/>
      </c>
      <c r="V550" s="21" t="str">
        <f>IFERROR(IF([1]对账明细接口!$Q550=0,"",[1]对账明细接口!$Q550),"")</f>
        <v/>
      </c>
      <c r="W550" s="20" t="str">
        <f>IFERROR(IF([1]对账明细接口!$R550=0,"",[1]对账明细接口!$R550),"")</f>
        <v/>
      </c>
      <c r="X550" s="20" t="str">
        <f>IFERROR(IF([1]对账明细接口!$S550=0,"",[1]对账明细接口!$S550),"")</f>
        <v/>
      </c>
      <c r="Y550" s="20" t="str">
        <f>IFERROR(IF([1]对账明细接口!$T550=0,"",[1]对账明细接口!$T550),"")</f>
        <v/>
      </c>
      <c r="Z550" s="24" t="str">
        <f>IFERROR(IF([1]对账明细接口!$U550=0,"",[1]对账明细接口!$U550),"")</f>
        <v/>
      </c>
      <c r="AA550" s="24" t="str">
        <f>IFERROR(IF([1]对账明细接口!$V550=0,"",[1]对账明细接口!$V550),"")</f>
        <v/>
      </c>
      <c r="AB550" s="20" t="str">
        <f>IFERROR(IF([1]对账明细接口!$W550=0,"",[1]对账明细接口!$W550),"")</f>
        <v/>
      </c>
      <c r="AC550" s="7" t="str">
        <f>IFERROR(IF([1]对账明细接口!$X550=0,"",[1]对账明细接口!$X550),"")</f>
        <v/>
      </c>
      <c r="AD550" s="7" t="str">
        <f>IFERROR(IF([1]对账明细接口!$Y550=0,"",[1]对账明细接口!$Y550),"")</f>
        <v/>
      </c>
      <c r="AE550" s="7" t="str">
        <f>IFERROR(IF([1]对账明细接口!$AA550=0,"",[1]对账明细接口!$AA550),"")</f>
        <v/>
      </c>
      <c r="AF550" s="7" t="str">
        <f>IFERROR(IF([1]对账明细接口!$AB550=0,"",[1]对账明细接口!$AB550),"")</f>
        <v/>
      </c>
      <c r="AG550" s="7" t="str">
        <f>IFERROR(IF([1]对账明细接口!$AC550=0,"",[1]对账明细接口!$AC550),"")</f>
        <v/>
      </c>
      <c r="AH550" s="7" t="str">
        <f>IFERROR(IF([1]对账明细接口!$AD550=0,"",[1]对账明细接口!$AD550),"")</f>
        <v/>
      </c>
      <c r="AI550" s="7" t="str">
        <f>IFERROR(IF([1]对账明细接口!$AE550=0,"",[1]对账明细接口!$AE550),"")</f>
        <v/>
      </c>
      <c r="AJ550" s="7" t="str">
        <f>IFERROR(IF([1]对账明细接口!$AF550=0,"",[1]对账明细接口!$AF550),"")</f>
        <v/>
      </c>
    </row>
    <row r="551" ht="14.25" customHeight="1" spans="1:36">
      <c r="A551" s="14">
        <v>551</v>
      </c>
      <c r="B551" s="15" t="str">
        <f>IFERROR(IF([1]对账明细接口!$B$551=0,"",[1]对账明细接口!$B$551),"")</f>
        <v/>
      </c>
      <c r="C551" s="16" t="str">
        <f>IFERROR(IF([1]对账明细接口!$C$551=0,"",[1]对账明细接口!$C$551),"")</f>
        <v/>
      </c>
      <c r="D551" s="16" t="str">
        <f>IFERROR(IF([1]对账明细接口!$D$551=0,"",[1]对账明细接口!$D$551),"")</f>
        <v/>
      </c>
      <c r="E551" s="16" t="str">
        <f>IFERROR(IF([1]对账明细接口!$E$551=0,"",[1]对账明细接口!$E$551),"")</f>
        <v/>
      </c>
      <c r="F551" s="16" t="str">
        <f>IFERROR(IF([1]对账明细接口!$F$551=0,"",[1]对账明细接口!$F$551),"")</f>
        <v/>
      </c>
      <c r="G551" s="16" t="str">
        <f>IFERROR(IF([1]对账明细接口!$G$551=0,"",[1]对账明细接口!$G$551),"")</f>
        <v/>
      </c>
      <c r="H551" s="17" t="str">
        <f>IFERROR(IF([1]对账明细接口!$H$551=0,"",[1]对账明细接口!$H$551),"")</f>
        <v/>
      </c>
      <c r="I551" s="16" t="str">
        <f>IFERROR(IF([1]对账明细接口!$I$551=0,"",[1]对账明细接口!$I$551),"")</f>
        <v/>
      </c>
      <c r="J551" s="18" t="str">
        <f>IFERROR(IF([1]对账明细接口!$J$551=0,"",[1]对账明细接口!$J$551),"")</f>
        <v/>
      </c>
      <c r="K551" s="18" t="str">
        <f>IFERROR(IF([1]对账明细接口!$K$551=0,"",[1]对账明细接口!$K$551),"")</f>
        <v/>
      </c>
      <c r="L551" s="16" t="str">
        <f>IFERROR(IF([1]对账明细接口!$L$551=0,"",[1]对账明细接口!$L$551),"")</f>
        <v/>
      </c>
      <c r="M551" s="16" t="str">
        <f>IFERROR(IF([1]对账明细接口!$M$551=0,"",[1]对账明细接口!$M$551),"")</f>
        <v/>
      </c>
      <c r="N551" s="19">
        <f t="shared" si="16"/>
        <v>0</v>
      </c>
      <c r="O551" s="19">
        <f t="shared" si="17"/>
        <v>420</v>
      </c>
      <c r="S551" s="20" t="str">
        <f>IFERROR(IF([1]对账明细接口!$N551=0,"",[1]对账明细接口!$N551),"")</f>
        <v/>
      </c>
      <c r="T551" s="21" t="str">
        <f>IFERROR(IF([1]对账明细接口!$O551=0,"",[1]对账明细接口!$O551),"")</f>
        <v/>
      </c>
      <c r="U551" s="21" t="str">
        <f>IFERROR(IF([1]对账明细接口!$P551=0,"",[1]对账明细接口!$P551),"")</f>
        <v/>
      </c>
      <c r="V551" s="21" t="str">
        <f>IFERROR(IF([1]对账明细接口!$Q551=0,"",[1]对账明细接口!$Q551),"")</f>
        <v/>
      </c>
      <c r="W551" s="20" t="str">
        <f>IFERROR(IF([1]对账明细接口!$R551=0,"",[1]对账明细接口!$R551),"")</f>
        <v/>
      </c>
      <c r="X551" s="20" t="str">
        <f>IFERROR(IF([1]对账明细接口!$S551=0,"",[1]对账明细接口!$S551),"")</f>
        <v/>
      </c>
      <c r="Y551" s="20" t="str">
        <f>IFERROR(IF([1]对账明细接口!$T551=0,"",[1]对账明细接口!$T551),"")</f>
        <v/>
      </c>
      <c r="Z551" s="24" t="str">
        <f>IFERROR(IF([1]对账明细接口!$U551=0,"",[1]对账明细接口!$U551),"")</f>
        <v/>
      </c>
      <c r="AA551" s="24" t="str">
        <f>IFERROR(IF([1]对账明细接口!$V551=0,"",[1]对账明细接口!$V551),"")</f>
        <v/>
      </c>
      <c r="AB551" s="20" t="str">
        <f>IFERROR(IF([1]对账明细接口!$W551=0,"",[1]对账明细接口!$W551),"")</f>
        <v/>
      </c>
      <c r="AC551" s="7" t="str">
        <f>IFERROR(IF([1]对账明细接口!$X551=0,"",[1]对账明细接口!$X551),"")</f>
        <v/>
      </c>
      <c r="AD551" s="7" t="str">
        <f>IFERROR(IF([1]对账明细接口!$Y551=0,"",[1]对账明细接口!$Y551),"")</f>
        <v/>
      </c>
      <c r="AE551" s="7" t="str">
        <f>IFERROR(IF([1]对账明细接口!$AA551=0,"",[1]对账明细接口!$AA551),"")</f>
        <v/>
      </c>
      <c r="AF551" s="7" t="str">
        <f>IFERROR(IF([1]对账明细接口!$AB551=0,"",[1]对账明细接口!$AB551),"")</f>
        <v/>
      </c>
      <c r="AG551" s="7" t="str">
        <f>IFERROR(IF([1]对账明细接口!$AC551=0,"",[1]对账明细接口!$AC551),"")</f>
        <v/>
      </c>
      <c r="AH551" s="7" t="str">
        <f>IFERROR(IF([1]对账明细接口!$AD551=0,"",[1]对账明细接口!$AD551),"")</f>
        <v/>
      </c>
      <c r="AI551" s="7" t="str">
        <f>IFERROR(IF([1]对账明细接口!$AE551=0,"",[1]对账明细接口!$AE551),"")</f>
        <v/>
      </c>
      <c r="AJ551" s="7" t="str">
        <f>IFERROR(IF([1]对账明细接口!$AF551=0,"",[1]对账明细接口!$AF551),"")</f>
        <v/>
      </c>
    </row>
    <row r="552" ht="14.25" customHeight="1" spans="1:36">
      <c r="A552" s="14">
        <v>552</v>
      </c>
      <c r="B552" s="15" t="str">
        <f>IFERROR(IF([1]对账明细接口!$B$552=0,"",[1]对账明细接口!$B$552),"")</f>
        <v/>
      </c>
      <c r="C552" s="16" t="str">
        <f>IFERROR(IF([1]对账明细接口!$C$552=0,"",[1]对账明细接口!$C$552),"")</f>
        <v/>
      </c>
      <c r="D552" s="16" t="str">
        <f>IFERROR(IF([1]对账明细接口!$D$552=0,"",[1]对账明细接口!$D$552),"")</f>
        <v/>
      </c>
      <c r="E552" s="16" t="str">
        <f>IFERROR(IF([1]对账明细接口!$E$552=0,"",[1]对账明细接口!$E$552),"")</f>
        <v/>
      </c>
      <c r="F552" s="16" t="str">
        <f>IFERROR(IF([1]对账明细接口!$F$552=0,"",[1]对账明细接口!$F$552),"")</f>
        <v/>
      </c>
      <c r="G552" s="16" t="str">
        <f>IFERROR(IF([1]对账明细接口!$G$552=0,"",[1]对账明细接口!$G$552),"")</f>
        <v/>
      </c>
      <c r="H552" s="17" t="str">
        <f>IFERROR(IF([1]对账明细接口!$H$552=0,"",[1]对账明细接口!$H$552),"")</f>
        <v/>
      </c>
      <c r="I552" s="16" t="str">
        <f>IFERROR(IF([1]对账明细接口!$I$552=0,"",[1]对账明细接口!$I$552),"")</f>
        <v/>
      </c>
      <c r="J552" s="18" t="str">
        <f>IFERROR(IF([1]对账明细接口!$J$552=0,"",[1]对账明细接口!$J$552),"")</f>
        <v/>
      </c>
      <c r="K552" s="18" t="str">
        <f>IFERROR(IF([1]对账明细接口!$K$552=0,"",[1]对账明细接口!$K$552),"")</f>
        <v/>
      </c>
      <c r="L552" s="16" t="str">
        <f>IFERROR(IF([1]对账明细接口!$L$552=0,"",[1]对账明细接口!$L$552),"")</f>
        <v/>
      </c>
      <c r="M552" s="16" t="str">
        <f>IFERROR(IF([1]对账明细接口!$M$552=0,"",[1]对账明细接口!$M$552),"")</f>
        <v/>
      </c>
      <c r="N552" s="19">
        <f t="shared" si="16"/>
        <v>0</v>
      </c>
      <c r="O552" s="19">
        <f t="shared" si="17"/>
        <v>420</v>
      </c>
      <c r="S552" s="20" t="str">
        <f>IFERROR(IF([1]对账明细接口!$N552=0,"",[1]对账明细接口!$N552),"")</f>
        <v/>
      </c>
      <c r="T552" s="21" t="str">
        <f>IFERROR(IF([1]对账明细接口!$O552=0,"",[1]对账明细接口!$O552),"")</f>
        <v/>
      </c>
      <c r="U552" s="21" t="str">
        <f>IFERROR(IF([1]对账明细接口!$P552=0,"",[1]对账明细接口!$P552),"")</f>
        <v/>
      </c>
      <c r="V552" s="21" t="str">
        <f>IFERROR(IF([1]对账明细接口!$Q552=0,"",[1]对账明细接口!$Q552),"")</f>
        <v/>
      </c>
      <c r="W552" s="20" t="str">
        <f>IFERROR(IF([1]对账明细接口!$R552=0,"",[1]对账明细接口!$R552),"")</f>
        <v/>
      </c>
      <c r="X552" s="20" t="str">
        <f>IFERROR(IF([1]对账明细接口!$S552=0,"",[1]对账明细接口!$S552),"")</f>
        <v/>
      </c>
      <c r="Y552" s="20" t="str">
        <f>IFERROR(IF([1]对账明细接口!$T552=0,"",[1]对账明细接口!$T552),"")</f>
        <v/>
      </c>
      <c r="Z552" s="24" t="str">
        <f>IFERROR(IF([1]对账明细接口!$U552=0,"",[1]对账明细接口!$U552),"")</f>
        <v/>
      </c>
      <c r="AA552" s="24" t="str">
        <f>IFERROR(IF([1]对账明细接口!$V552=0,"",[1]对账明细接口!$V552),"")</f>
        <v/>
      </c>
      <c r="AB552" s="20" t="str">
        <f>IFERROR(IF([1]对账明细接口!$W552=0,"",[1]对账明细接口!$W552),"")</f>
        <v/>
      </c>
      <c r="AC552" s="7" t="str">
        <f>IFERROR(IF([1]对账明细接口!$X552=0,"",[1]对账明细接口!$X552),"")</f>
        <v/>
      </c>
      <c r="AD552" s="7" t="str">
        <f>IFERROR(IF([1]对账明细接口!$Y552=0,"",[1]对账明细接口!$Y552),"")</f>
        <v/>
      </c>
      <c r="AE552" s="7" t="str">
        <f>IFERROR(IF([1]对账明细接口!$AA552=0,"",[1]对账明细接口!$AA552),"")</f>
        <v/>
      </c>
      <c r="AF552" s="7" t="str">
        <f>IFERROR(IF([1]对账明细接口!$AB552=0,"",[1]对账明细接口!$AB552),"")</f>
        <v/>
      </c>
      <c r="AG552" s="7" t="str">
        <f>IFERROR(IF([1]对账明细接口!$AC552=0,"",[1]对账明细接口!$AC552),"")</f>
        <v/>
      </c>
      <c r="AH552" s="7" t="str">
        <f>IFERROR(IF([1]对账明细接口!$AD552=0,"",[1]对账明细接口!$AD552),"")</f>
        <v/>
      </c>
      <c r="AI552" s="7" t="str">
        <f>IFERROR(IF([1]对账明细接口!$AE552=0,"",[1]对账明细接口!$AE552),"")</f>
        <v/>
      </c>
      <c r="AJ552" s="7" t="str">
        <f>IFERROR(IF([1]对账明细接口!$AF552=0,"",[1]对账明细接口!$AF552),"")</f>
        <v/>
      </c>
    </row>
    <row r="553" ht="14.25" customHeight="1" spans="1:36">
      <c r="A553" s="14">
        <v>553</v>
      </c>
      <c r="B553" s="15" t="str">
        <f>IFERROR(IF([1]对账明细接口!$B$553=0,"",[1]对账明细接口!$B$553),"")</f>
        <v/>
      </c>
      <c r="C553" s="16" t="str">
        <f>IFERROR(IF([1]对账明细接口!$C$553=0,"",[1]对账明细接口!$C$553),"")</f>
        <v/>
      </c>
      <c r="D553" s="16" t="str">
        <f>IFERROR(IF([1]对账明细接口!$D$553=0,"",[1]对账明细接口!$D$553),"")</f>
        <v/>
      </c>
      <c r="E553" s="16" t="str">
        <f>IFERROR(IF([1]对账明细接口!$E$553=0,"",[1]对账明细接口!$E$553),"")</f>
        <v/>
      </c>
      <c r="F553" s="16" t="str">
        <f>IFERROR(IF([1]对账明细接口!$F$553=0,"",[1]对账明细接口!$F$553),"")</f>
        <v/>
      </c>
      <c r="G553" s="16" t="str">
        <f>IFERROR(IF([1]对账明细接口!$G$553=0,"",[1]对账明细接口!$G$553),"")</f>
        <v/>
      </c>
      <c r="H553" s="17" t="str">
        <f>IFERROR(IF([1]对账明细接口!$H$553=0,"",[1]对账明细接口!$H$553),"")</f>
        <v/>
      </c>
      <c r="I553" s="16" t="str">
        <f>IFERROR(IF([1]对账明细接口!$I$553=0,"",[1]对账明细接口!$I$553),"")</f>
        <v/>
      </c>
      <c r="J553" s="18" t="str">
        <f>IFERROR(IF([1]对账明细接口!$J$553=0,"",[1]对账明细接口!$J$553),"")</f>
        <v/>
      </c>
      <c r="K553" s="18" t="str">
        <f>IFERROR(IF([1]对账明细接口!$K$553=0,"",[1]对账明细接口!$K$553),"")</f>
        <v/>
      </c>
      <c r="L553" s="16" t="str">
        <f>IFERROR(IF([1]对账明细接口!$L$553=0,"",[1]对账明细接口!$L$553),"")</f>
        <v/>
      </c>
      <c r="M553" s="16" t="str">
        <f>IFERROR(IF([1]对账明细接口!$M$553=0,"",[1]对账明细接口!$M$553),"")</f>
        <v/>
      </c>
      <c r="N553" s="19">
        <f t="shared" si="16"/>
        <v>0</v>
      </c>
      <c r="O553" s="19">
        <f t="shared" si="17"/>
        <v>420</v>
      </c>
      <c r="S553" s="20" t="str">
        <f>IFERROR(IF([1]对账明细接口!$N553=0,"",[1]对账明细接口!$N553),"")</f>
        <v/>
      </c>
      <c r="T553" s="21" t="str">
        <f>IFERROR(IF([1]对账明细接口!$O553=0,"",[1]对账明细接口!$O553),"")</f>
        <v/>
      </c>
      <c r="U553" s="21" t="str">
        <f>IFERROR(IF([1]对账明细接口!$P553=0,"",[1]对账明细接口!$P553),"")</f>
        <v/>
      </c>
      <c r="V553" s="21" t="str">
        <f>IFERROR(IF([1]对账明细接口!$Q553=0,"",[1]对账明细接口!$Q553),"")</f>
        <v/>
      </c>
      <c r="W553" s="20" t="str">
        <f>IFERROR(IF([1]对账明细接口!$R553=0,"",[1]对账明细接口!$R553),"")</f>
        <v/>
      </c>
      <c r="X553" s="20" t="str">
        <f>IFERROR(IF([1]对账明细接口!$S553=0,"",[1]对账明细接口!$S553),"")</f>
        <v/>
      </c>
      <c r="Y553" s="20" t="str">
        <f>IFERROR(IF([1]对账明细接口!$T553=0,"",[1]对账明细接口!$T553),"")</f>
        <v/>
      </c>
      <c r="Z553" s="24" t="str">
        <f>IFERROR(IF([1]对账明细接口!$U553=0,"",[1]对账明细接口!$U553),"")</f>
        <v/>
      </c>
      <c r="AA553" s="24" t="str">
        <f>IFERROR(IF([1]对账明细接口!$V553=0,"",[1]对账明细接口!$V553),"")</f>
        <v/>
      </c>
      <c r="AB553" s="20" t="str">
        <f>IFERROR(IF([1]对账明细接口!$W553=0,"",[1]对账明细接口!$W553),"")</f>
        <v/>
      </c>
      <c r="AC553" s="7" t="str">
        <f>IFERROR(IF([1]对账明细接口!$X553=0,"",[1]对账明细接口!$X553),"")</f>
        <v/>
      </c>
      <c r="AD553" s="7" t="str">
        <f>IFERROR(IF([1]对账明细接口!$Y553=0,"",[1]对账明细接口!$Y553),"")</f>
        <v/>
      </c>
      <c r="AE553" s="7" t="str">
        <f>IFERROR(IF([1]对账明细接口!$AA553=0,"",[1]对账明细接口!$AA553),"")</f>
        <v/>
      </c>
      <c r="AF553" s="7" t="str">
        <f>IFERROR(IF([1]对账明细接口!$AB553=0,"",[1]对账明细接口!$AB553),"")</f>
        <v/>
      </c>
      <c r="AG553" s="7" t="str">
        <f>IFERROR(IF([1]对账明细接口!$AC553=0,"",[1]对账明细接口!$AC553),"")</f>
        <v/>
      </c>
      <c r="AH553" s="7" t="str">
        <f>IFERROR(IF([1]对账明细接口!$AD553=0,"",[1]对账明细接口!$AD553),"")</f>
        <v/>
      </c>
      <c r="AI553" s="7" t="str">
        <f>IFERROR(IF([1]对账明细接口!$AE553=0,"",[1]对账明细接口!$AE553),"")</f>
        <v/>
      </c>
      <c r="AJ553" s="7" t="str">
        <f>IFERROR(IF([1]对账明细接口!$AF553=0,"",[1]对账明细接口!$AF553),"")</f>
        <v/>
      </c>
    </row>
    <row r="554" ht="14.25" customHeight="1" spans="1:36">
      <c r="A554" s="14">
        <v>554</v>
      </c>
      <c r="B554" s="15" t="str">
        <f>IFERROR(IF([1]对账明细接口!$B$554=0,"",[1]对账明细接口!$B$554),"")</f>
        <v/>
      </c>
      <c r="C554" s="16" t="str">
        <f>IFERROR(IF([1]对账明细接口!$C$554=0,"",[1]对账明细接口!$C$554),"")</f>
        <v/>
      </c>
      <c r="D554" s="16" t="str">
        <f>IFERROR(IF([1]对账明细接口!$D$554=0,"",[1]对账明细接口!$D$554),"")</f>
        <v/>
      </c>
      <c r="E554" s="16" t="str">
        <f>IFERROR(IF([1]对账明细接口!$E$554=0,"",[1]对账明细接口!$E$554),"")</f>
        <v/>
      </c>
      <c r="F554" s="16" t="str">
        <f>IFERROR(IF([1]对账明细接口!$F$554=0,"",[1]对账明细接口!$F$554),"")</f>
        <v/>
      </c>
      <c r="G554" s="16" t="str">
        <f>IFERROR(IF([1]对账明细接口!$G$554=0,"",[1]对账明细接口!$G$554),"")</f>
        <v/>
      </c>
      <c r="H554" s="17" t="str">
        <f>IFERROR(IF([1]对账明细接口!$H$554=0,"",[1]对账明细接口!$H$554),"")</f>
        <v/>
      </c>
      <c r="I554" s="16" t="str">
        <f>IFERROR(IF([1]对账明细接口!$I$554=0,"",[1]对账明细接口!$I$554),"")</f>
        <v/>
      </c>
      <c r="J554" s="18" t="str">
        <f>IFERROR(IF([1]对账明细接口!$J$554=0,"",[1]对账明细接口!$J$554),"")</f>
        <v/>
      </c>
      <c r="K554" s="18" t="str">
        <f>IFERROR(IF([1]对账明细接口!$K$554=0,"",[1]对账明细接口!$K$554),"")</f>
        <v/>
      </c>
      <c r="L554" s="16" t="str">
        <f>IFERROR(IF([1]对账明细接口!$L$554=0,"",[1]对账明细接口!$L$554),"")</f>
        <v/>
      </c>
      <c r="M554" s="16" t="str">
        <f>IFERROR(IF([1]对账明细接口!$M$554=0,"",[1]对账明细接口!$M$554),"")</f>
        <v/>
      </c>
      <c r="N554" s="19">
        <f t="shared" si="16"/>
        <v>0</v>
      </c>
      <c r="O554" s="19">
        <f t="shared" si="17"/>
        <v>420</v>
      </c>
      <c r="S554" s="20" t="str">
        <f>IFERROR(IF([1]对账明细接口!$N554=0,"",[1]对账明细接口!$N554),"")</f>
        <v/>
      </c>
      <c r="T554" s="21" t="str">
        <f>IFERROR(IF([1]对账明细接口!$O554=0,"",[1]对账明细接口!$O554),"")</f>
        <v/>
      </c>
      <c r="U554" s="21" t="str">
        <f>IFERROR(IF([1]对账明细接口!$P554=0,"",[1]对账明细接口!$P554),"")</f>
        <v/>
      </c>
      <c r="V554" s="21" t="str">
        <f>IFERROR(IF([1]对账明细接口!$Q554=0,"",[1]对账明细接口!$Q554),"")</f>
        <v/>
      </c>
      <c r="W554" s="20" t="str">
        <f>IFERROR(IF([1]对账明细接口!$R554=0,"",[1]对账明细接口!$R554),"")</f>
        <v/>
      </c>
      <c r="X554" s="20" t="str">
        <f>IFERROR(IF([1]对账明细接口!$S554=0,"",[1]对账明细接口!$S554),"")</f>
        <v/>
      </c>
      <c r="Y554" s="20" t="str">
        <f>IFERROR(IF([1]对账明细接口!$T554=0,"",[1]对账明细接口!$T554),"")</f>
        <v/>
      </c>
      <c r="Z554" s="24" t="str">
        <f>IFERROR(IF([1]对账明细接口!$U554=0,"",[1]对账明细接口!$U554),"")</f>
        <v/>
      </c>
      <c r="AA554" s="24" t="str">
        <f>IFERROR(IF([1]对账明细接口!$V554=0,"",[1]对账明细接口!$V554),"")</f>
        <v/>
      </c>
      <c r="AB554" s="20" t="str">
        <f>IFERROR(IF([1]对账明细接口!$W554=0,"",[1]对账明细接口!$W554),"")</f>
        <v/>
      </c>
      <c r="AC554" s="7" t="str">
        <f>IFERROR(IF([1]对账明细接口!$X554=0,"",[1]对账明细接口!$X554),"")</f>
        <v/>
      </c>
      <c r="AD554" s="7" t="str">
        <f>IFERROR(IF([1]对账明细接口!$Y554=0,"",[1]对账明细接口!$Y554),"")</f>
        <v/>
      </c>
      <c r="AE554" s="7" t="str">
        <f>IFERROR(IF([1]对账明细接口!$AA554=0,"",[1]对账明细接口!$AA554),"")</f>
        <v/>
      </c>
      <c r="AF554" s="7" t="str">
        <f>IFERROR(IF([1]对账明细接口!$AB554=0,"",[1]对账明细接口!$AB554),"")</f>
        <v/>
      </c>
      <c r="AG554" s="7" t="str">
        <f>IFERROR(IF([1]对账明细接口!$AC554=0,"",[1]对账明细接口!$AC554),"")</f>
        <v/>
      </c>
      <c r="AH554" s="7" t="str">
        <f>IFERROR(IF([1]对账明细接口!$AD554=0,"",[1]对账明细接口!$AD554),"")</f>
        <v/>
      </c>
      <c r="AI554" s="7" t="str">
        <f>IFERROR(IF([1]对账明细接口!$AE554=0,"",[1]对账明细接口!$AE554),"")</f>
        <v/>
      </c>
      <c r="AJ554" s="7" t="str">
        <f>IFERROR(IF([1]对账明细接口!$AF554=0,"",[1]对账明细接口!$AF554),"")</f>
        <v/>
      </c>
    </row>
    <row r="555" ht="14.25" customHeight="1" spans="1:36">
      <c r="A555" s="14">
        <v>555</v>
      </c>
      <c r="B555" s="15" t="str">
        <f>IFERROR(IF([1]对账明细接口!$B$555=0,"",[1]对账明细接口!$B$555),"")</f>
        <v/>
      </c>
      <c r="C555" s="16" t="str">
        <f>IFERROR(IF([1]对账明细接口!$C$555=0,"",[1]对账明细接口!$C$555),"")</f>
        <v/>
      </c>
      <c r="D555" s="16" t="str">
        <f>IFERROR(IF([1]对账明细接口!$D$555=0,"",[1]对账明细接口!$D$555),"")</f>
        <v/>
      </c>
      <c r="E555" s="16" t="str">
        <f>IFERROR(IF([1]对账明细接口!$E$555=0,"",[1]对账明细接口!$E$555),"")</f>
        <v/>
      </c>
      <c r="F555" s="16" t="str">
        <f>IFERROR(IF([1]对账明细接口!$F$555=0,"",[1]对账明细接口!$F$555),"")</f>
        <v/>
      </c>
      <c r="G555" s="16" t="str">
        <f>IFERROR(IF([1]对账明细接口!$G$555=0,"",[1]对账明细接口!$G$555),"")</f>
        <v/>
      </c>
      <c r="H555" s="17" t="str">
        <f>IFERROR(IF([1]对账明细接口!$H$555=0,"",[1]对账明细接口!$H$555),"")</f>
        <v/>
      </c>
      <c r="I555" s="16" t="str">
        <f>IFERROR(IF([1]对账明细接口!$I$555=0,"",[1]对账明细接口!$I$555),"")</f>
        <v/>
      </c>
      <c r="J555" s="18" t="str">
        <f>IFERROR(IF([1]对账明细接口!$J$555=0,"",[1]对账明细接口!$J$555),"")</f>
        <v/>
      </c>
      <c r="K555" s="18" t="str">
        <f>IFERROR(IF([1]对账明细接口!$K$555=0,"",[1]对账明细接口!$K$555),"")</f>
        <v/>
      </c>
      <c r="L555" s="16" t="str">
        <f>IFERROR(IF([1]对账明细接口!$L$555=0,"",[1]对账明细接口!$L$555),"")</f>
        <v/>
      </c>
      <c r="M555" s="16" t="str">
        <f>IFERROR(IF([1]对账明细接口!$M$555=0,"",[1]对账明细接口!$M$555),"")</f>
        <v/>
      </c>
      <c r="N555" s="19">
        <f t="shared" si="16"/>
        <v>0</v>
      </c>
      <c r="O555" s="19">
        <f t="shared" si="17"/>
        <v>420</v>
      </c>
      <c r="S555" s="20" t="str">
        <f>IFERROR(IF([1]对账明细接口!$N555=0,"",[1]对账明细接口!$N555),"")</f>
        <v/>
      </c>
      <c r="T555" s="21" t="str">
        <f>IFERROR(IF([1]对账明细接口!$O555=0,"",[1]对账明细接口!$O555),"")</f>
        <v/>
      </c>
      <c r="U555" s="21" t="str">
        <f>IFERROR(IF([1]对账明细接口!$P555=0,"",[1]对账明细接口!$P555),"")</f>
        <v/>
      </c>
      <c r="V555" s="21" t="str">
        <f>IFERROR(IF([1]对账明细接口!$Q555=0,"",[1]对账明细接口!$Q555),"")</f>
        <v/>
      </c>
      <c r="W555" s="20" t="str">
        <f>IFERROR(IF([1]对账明细接口!$R555=0,"",[1]对账明细接口!$R555),"")</f>
        <v/>
      </c>
      <c r="X555" s="20" t="str">
        <f>IFERROR(IF([1]对账明细接口!$S555=0,"",[1]对账明细接口!$S555),"")</f>
        <v/>
      </c>
      <c r="Y555" s="20" t="str">
        <f>IFERROR(IF([1]对账明细接口!$T555=0,"",[1]对账明细接口!$T555),"")</f>
        <v/>
      </c>
      <c r="Z555" s="24" t="str">
        <f>IFERROR(IF([1]对账明细接口!$U555=0,"",[1]对账明细接口!$U555),"")</f>
        <v/>
      </c>
      <c r="AA555" s="24" t="str">
        <f>IFERROR(IF([1]对账明细接口!$V555=0,"",[1]对账明细接口!$V555),"")</f>
        <v/>
      </c>
      <c r="AB555" s="20" t="str">
        <f>IFERROR(IF([1]对账明细接口!$W555=0,"",[1]对账明细接口!$W555),"")</f>
        <v/>
      </c>
      <c r="AC555" s="7" t="str">
        <f>IFERROR(IF([1]对账明细接口!$X555=0,"",[1]对账明细接口!$X555),"")</f>
        <v/>
      </c>
      <c r="AD555" s="7" t="str">
        <f>IFERROR(IF([1]对账明细接口!$Y555=0,"",[1]对账明细接口!$Y555),"")</f>
        <v/>
      </c>
      <c r="AE555" s="7" t="str">
        <f>IFERROR(IF([1]对账明细接口!$AA555=0,"",[1]对账明细接口!$AA555),"")</f>
        <v/>
      </c>
      <c r="AF555" s="7" t="str">
        <f>IFERROR(IF([1]对账明细接口!$AB555=0,"",[1]对账明细接口!$AB555),"")</f>
        <v/>
      </c>
      <c r="AG555" s="7" t="str">
        <f>IFERROR(IF([1]对账明细接口!$AC555=0,"",[1]对账明细接口!$AC555),"")</f>
        <v/>
      </c>
      <c r="AH555" s="7" t="str">
        <f>IFERROR(IF([1]对账明细接口!$AD555=0,"",[1]对账明细接口!$AD555),"")</f>
        <v/>
      </c>
      <c r="AI555" s="7" t="str">
        <f>IFERROR(IF([1]对账明细接口!$AE555=0,"",[1]对账明细接口!$AE555),"")</f>
        <v/>
      </c>
      <c r="AJ555" s="7" t="str">
        <f>IFERROR(IF([1]对账明细接口!$AF555=0,"",[1]对账明细接口!$AF555),"")</f>
        <v/>
      </c>
    </row>
    <row r="556" ht="14.25" customHeight="1" spans="1:36">
      <c r="A556" s="14">
        <v>556</v>
      </c>
      <c r="B556" s="15" t="str">
        <f>IFERROR(IF([1]对账明细接口!$B$556=0,"",[1]对账明细接口!$B$556),"")</f>
        <v/>
      </c>
      <c r="C556" s="16" t="str">
        <f>IFERROR(IF([1]对账明细接口!$C$556=0,"",[1]对账明细接口!$C$556),"")</f>
        <v/>
      </c>
      <c r="D556" s="16" t="str">
        <f>IFERROR(IF([1]对账明细接口!$D$556=0,"",[1]对账明细接口!$D$556),"")</f>
        <v/>
      </c>
      <c r="E556" s="16" t="str">
        <f>IFERROR(IF([1]对账明细接口!$E$556=0,"",[1]对账明细接口!$E$556),"")</f>
        <v/>
      </c>
      <c r="F556" s="16" t="str">
        <f>IFERROR(IF([1]对账明细接口!$F$556=0,"",[1]对账明细接口!$F$556),"")</f>
        <v/>
      </c>
      <c r="G556" s="16" t="str">
        <f>IFERROR(IF([1]对账明细接口!$G$556=0,"",[1]对账明细接口!$G$556),"")</f>
        <v/>
      </c>
      <c r="H556" s="17" t="str">
        <f>IFERROR(IF([1]对账明细接口!$H$556=0,"",[1]对账明细接口!$H$556),"")</f>
        <v/>
      </c>
      <c r="I556" s="16" t="str">
        <f>IFERROR(IF([1]对账明细接口!$I$556=0,"",[1]对账明细接口!$I$556),"")</f>
        <v/>
      </c>
      <c r="J556" s="18" t="str">
        <f>IFERROR(IF([1]对账明细接口!$J$556=0,"",[1]对账明细接口!$J$556),"")</f>
        <v/>
      </c>
      <c r="K556" s="18" t="str">
        <f>IFERROR(IF([1]对账明细接口!$K$556=0,"",[1]对账明细接口!$K$556),"")</f>
        <v/>
      </c>
      <c r="L556" s="16" t="str">
        <f>IFERROR(IF([1]对账明细接口!$L$556=0,"",[1]对账明细接口!$L$556),"")</f>
        <v/>
      </c>
      <c r="M556" s="16" t="str">
        <f>IFERROR(IF([1]对账明细接口!$M$556=0,"",[1]对账明细接口!$M$556),"")</f>
        <v/>
      </c>
      <c r="N556" s="19">
        <f t="shared" si="16"/>
        <v>0</v>
      </c>
      <c r="O556" s="19">
        <f t="shared" si="17"/>
        <v>420</v>
      </c>
      <c r="S556" s="20" t="str">
        <f>IFERROR(IF([1]对账明细接口!$N556=0,"",[1]对账明细接口!$N556),"")</f>
        <v/>
      </c>
      <c r="T556" s="21" t="str">
        <f>IFERROR(IF([1]对账明细接口!$O556=0,"",[1]对账明细接口!$O556),"")</f>
        <v/>
      </c>
      <c r="U556" s="21" t="str">
        <f>IFERROR(IF([1]对账明细接口!$P556=0,"",[1]对账明细接口!$P556),"")</f>
        <v/>
      </c>
      <c r="V556" s="21" t="str">
        <f>IFERROR(IF([1]对账明细接口!$Q556=0,"",[1]对账明细接口!$Q556),"")</f>
        <v/>
      </c>
      <c r="W556" s="20" t="str">
        <f>IFERROR(IF([1]对账明细接口!$R556=0,"",[1]对账明细接口!$R556),"")</f>
        <v/>
      </c>
      <c r="X556" s="20" t="str">
        <f>IFERROR(IF([1]对账明细接口!$S556=0,"",[1]对账明细接口!$S556),"")</f>
        <v/>
      </c>
      <c r="Y556" s="20" t="str">
        <f>IFERROR(IF([1]对账明细接口!$T556=0,"",[1]对账明细接口!$T556),"")</f>
        <v/>
      </c>
      <c r="Z556" s="24" t="str">
        <f>IFERROR(IF([1]对账明细接口!$U556=0,"",[1]对账明细接口!$U556),"")</f>
        <v/>
      </c>
      <c r="AA556" s="24" t="str">
        <f>IFERROR(IF([1]对账明细接口!$V556=0,"",[1]对账明细接口!$V556),"")</f>
        <v/>
      </c>
      <c r="AB556" s="20" t="str">
        <f>IFERROR(IF([1]对账明细接口!$W556=0,"",[1]对账明细接口!$W556),"")</f>
        <v/>
      </c>
      <c r="AC556" s="7" t="str">
        <f>IFERROR(IF([1]对账明细接口!$X556=0,"",[1]对账明细接口!$X556),"")</f>
        <v/>
      </c>
      <c r="AD556" s="7" t="str">
        <f>IFERROR(IF([1]对账明细接口!$Y556=0,"",[1]对账明细接口!$Y556),"")</f>
        <v/>
      </c>
      <c r="AE556" s="7" t="str">
        <f>IFERROR(IF([1]对账明细接口!$AA556=0,"",[1]对账明细接口!$AA556),"")</f>
        <v/>
      </c>
      <c r="AF556" s="7" t="str">
        <f>IFERROR(IF([1]对账明细接口!$AB556=0,"",[1]对账明细接口!$AB556),"")</f>
        <v/>
      </c>
      <c r="AG556" s="7" t="str">
        <f>IFERROR(IF([1]对账明细接口!$AC556=0,"",[1]对账明细接口!$AC556),"")</f>
        <v/>
      </c>
      <c r="AH556" s="7" t="str">
        <f>IFERROR(IF([1]对账明细接口!$AD556=0,"",[1]对账明细接口!$AD556),"")</f>
        <v/>
      </c>
      <c r="AI556" s="7" t="str">
        <f>IFERROR(IF([1]对账明细接口!$AE556=0,"",[1]对账明细接口!$AE556),"")</f>
        <v/>
      </c>
      <c r="AJ556" s="7" t="str">
        <f>IFERROR(IF([1]对账明细接口!$AF556=0,"",[1]对账明细接口!$AF556),"")</f>
        <v/>
      </c>
    </row>
    <row r="557" ht="14.25" customHeight="1" spans="1:36">
      <c r="A557" s="14">
        <v>557</v>
      </c>
      <c r="B557" s="15" t="str">
        <f>IFERROR(IF([1]对账明细接口!$B$557=0,"",[1]对账明细接口!$B$557),"")</f>
        <v/>
      </c>
      <c r="C557" s="16" t="str">
        <f>IFERROR(IF([1]对账明细接口!$C$557=0,"",[1]对账明细接口!$C$557),"")</f>
        <v/>
      </c>
      <c r="D557" s="16" t="str">
        <f>IFERROR(IF([1]对账明细接口!$D$557=0,"",[1]对账明细接口!$D$557),"")</f>
        <v/>
      </c>
      <c r="E557" s="16" t="str">
        <f>IFERROR(IF([1]对账明细接口!$E$557=0,"",[1]对账明细接口!$E$557),"")</f>
        <v/>
      </c>
      <c r="F557" s="16" t="str">
        <f>IFERROR(IF([1]对账明细接口!$F$557=0,"",[1]对账明细接口!$F$557),"")</f>
        <v/>
      </c>
      <c r="G557" s="16" t="str">
        <f>IFERROR(IF([1]对账明细接口!$G$557=0,"",[1]对账明细接口!$G$557),"")</f>
        <v/>
      </c>
      <c r="H557" s="17" t="str">
        <f>IFERROR(IF([1]对账明细接口!$H$557=0,"",[1]对账明细接口!$H$557),"")</f>
        <v/>
      </c>
      <c r="I557" s="16" t="str">
        <f>IFERROR(IF([1]对账明细接口!$I$557=0,"",[1]对账明细接口!$I$557),"")</f>
        <v/>
      </c>
      <c r="J557" s="18" t="str">
        <f>IFERROR(IF([1]对账明细接口!$J$557=0,"",[1]对账明细接口!$J$557),"")</f>
        <v/>
      </c>
      <c r="K557" s="18" t="str">
        <f>IFERROR(IF([1]对账明细接口!$K$557=0,"",[1]对账明细接口!$K$557),"")</f>
        <v/>
      </c>
      <c r="L557" s="16" t="str">
        <f>IFERROR(IF([1]对账明细接口!$L$557=0,"",[1]对账明细接口!$L$557),"")</f>
        <v/>
      </c>
      <c r="M557" s="16" t="str">
        <f>IFERROR(IF([1]对账明细接口!$M$557=0,"",[1]对账明细接口!$M$557),"")</f>
        <v/>
      </c>
      <c r="N557" s="19">
        <f t="shared" si="16"/>
        <v>0</v>
      </c>
      <c r="O557" s="19">
        <f t="shared" si="17"/>
        <v>420</v>
      </c>
      <c r="S557" s="20" t="str">
        <f>IFERROR(IF([1]对账明细接口!$N557=0,"",[1]对账明细接口!$N557),"")</f>
        <v/>
      </c>
      <c r="T557" s="21" t="str">
        <f>IFERROR(IF([1]对账明细接口!$O557=0,"",[1]对账明细接口!$O557),"")</f>
        <v/>
      </c>
      <c r="U557" s="21" t="str">
        <f>IFERROR(IF([1]对账明细接口!$P557=0,"",[1]对账明细接口!$P557),"")</f>
        <v/>
      </c>
      <c r="V557" s="21" t="str">
        <f>IFERROR(IF([1]对账明细接口!$Q557=0,"",[1]对账明细接口!$Q557),"")</f>
        <v/>
      </c>
      <c r="W557" s="20" t="str">
        <f>IFERROR(IF([1]对账明细接口!$R557=0,"",[1]对账明细接口!$R557),"")</f>
        <v/>
      </c>
      <c r="X557" s="20" t="str">
        <f>IFERROR(IF([1]对账明细接口!$S557=0,"",[1]对账明细接口!$S557),"")</f>
        <v/>
      </c>
      <c r="Y557" s="20" t="str">
        <f>IFERROR(IF([1]对账明细接口!$T557=0,"",[1]对账明细接口!$T557),"")</f>
        <v/>
      </c>
      <c r="Z557" s="24" t="str">
        <f>IFERROR(IF([1]对账明细接口!$U557=0,"",[1]对账明细接口!$U557),"")</f>
        <v/>
      </c>
      <c r="AA557" s="24" t="str">
        <f>IFERROR(IF([1]对账明细接口!$V557=0,"",[1]对账明细接口!$V557),"")</f>
        <v/>
      </c>
      <c r="AB557" s="20" t="str">
        <f>IFERROR(IF([1]对账明细接口!$W557=0,"",[1]对账明细接口!$W557),"")</f>
        <v/>
      </c>
      <c r="AC557" s="7" t="str">
        <f>IFERROR(IF([1]对账明细接口!$X557=0,"",[1]对账明细接口!$X557),"")</f>
        <v/>
      </c>
      <c r="AD557" s="7" t="str">
        <f>IFERROR(IF([1]对账明细接口!$Y557=0,"",[1]对账明细接口!$Y557),"")</f>
        <v/>
      </c>
      <c r="AE557" s="7" t="str">
        <f>IFERROR(IF([1]对账明细接口!$AA557=0,"",[1]对账明细接口!$AA557),"")</f>
        <v/>
      </c>
      <c r="AF557" s="7" t="str">
        <f>IFERROR(IF([1]对账明细接口!$AB557=0,"",[1]对账明细接口!$AB557),"")</f>
        <v/>
      </c>
      <c r="AG557" s="7" t="str">
        <f>IFERROR(IF([1]对账明细接口!$AC557=0,"",[1]对账明细接口!$AC557),"")</f>
        <v/>
      </c>
      <c r="AH557" s="7" t="str">
        <f>IFERROR(IF([1]对账明细接口!$AD557=0,"",[1]对账明细接口!$AD557),"")</f>
        <v/>
      </c>
      <c r="AI557" s="7" t="str">
        <f>IFERROR(IF([1]对账明细接口!$AE557=0,"",[1]对账明细接口!$AE557),"")</f>
        <v/>
      </c>
      <c r="AJ557" s="7" t="str">
        <f>IFERROR(IF([1]对账明细接口!$AF557=0,"",[1]对账明细接口!$AF557),"")</f>
        <v/>
      </c>
    </row>
    <row r="558" ht="14.25" customHeight="1" spans="1:36">
      <c r="A558" s="14">
        <v>558</v>
      </c>
      <c r="B558" s="15" t="str">
        <f>IFERROR(IF([1]对账明细接口!$B$558=0,"",[1]对账明细接口!$B$558),"")</f>
        <v/>
      </c>
      <c r="C558" s="16" t="str">
        <f>IFERROR(IF([1]对账明细接口!$C$558=0,"",[1]对账明细接口!$C$558),"")</f>
        <v/>
      </c>
      <c r="D558" s="16" t="str">
        <f>IFERROR(IF([1]对账明细接口!$D$558=0,"",[1]对账明细接口!$D$558),"")</f>
        <v/>
      </c>
      <c r="E558" s="16" t="str">
        <f>IFERROR(IF([1]对账明细接口!$E$558=0,"",[1]对账明细接口!$E$558),"")</f>
        <v/>
      </c>
      <c r="F558" s="16" t="str">
        <f>IFERROR(IF([1]对账明细接口!$F$558=0,"",[1]对账明细接口!$F$558),"")</f>
        <v/>
      </c>
      <c r="G558" s="16" t="str">
        <f>IFERROR(IF([1]对账明细接口!$G$558=0,"",[1]对账明细接口!$G$558),"")</f>
        <v/>
      </c>
      <c r="H558" s="17" t="str">
        <f>IFERROR(IF([1]对账明细接口!$H$558=0,"",[1]对账明细接口!$H$558),"")</f>
        <v/>
      </c>
      <c r="I558" s="16" t="str">
        <f>IFERROR(IF([1]对账明细接口!$I$558=0,"",[1]对账明细接口!$I$558),"")</f>
        <v/>
      </c>
      <c r="J558" s="18" t="str">
        <f>IFERROR(IF([1]对账明细接口!$J$558=0,"",[1]对账明细接口!$J$558),"")</f>
        <v/>
      </c>
      <c r="K558" s="18" t="str">
        <f>IFERROR(IF([1]对账明细接口!$K$558=0,"",[1]对账明细接口!$K$558),"")</f>
        <v/>
      </c>
      <c r="L558" s="16" t="str">
        <f>IFERROR(IF([1]对账明细接口!$L$558=0,"",[1]对账明细接口!$L$558),"")</f>
        <v/>
      </c>
      <c r="M558" s="16" t="str">
        <f>IFERROR(IF([1]对账明细接口!$M$558=0,"",[1]对账明细接口!$M$558),"")</f>
        <v/>
      </c>
      <c r="N558" s="19">
        <f t="shared" si="16"/>
        <v>0</v>
      </c>
      <c r="O558" s="19">
        <f t="shared" si="17"/>
        <v>420</v>
      </c>
      <c r="S558" s="20" t="str">
        <f>IFERROR(IF([1]对账明细接口!$N558=0,"",[1]对账明细接口!$N558),"")</f>
        <v/>
      </c>
      <c r="T558" s="21" t="str">
        <f>IFERROR(IF([1]对账明细接口!$O558=0,"",[1]对账明细接口!$O558),"")</f>
        <v/>
      </c>
      <c r="U558" s="21" t="str">
        <f>IFERROR(IF([1]对账明细接口!$P558=0,"",[1]对账明细接口!$P558),"")</f>
        <v/>
      </c>
      <c r="V558" s="21" t="str">
        <f>IFERROR(IF([1]对账明细接口!$Q558=0,"",[1]对账明细接口!$Q558),"")</f>
        <v/>
      </c>
      <c r="W558" s="20" t="str">
        <f>IFERROR(IF([1]对账明细接口!$R558=0,"",[1]对账明细接口!$R558),"")</f>
        <v/>
      </c>
      <c r="X558" s="20" t="str">
        <f>IFERROR(IF([1]对账明细接口!$S558=0,"",[1]对账明细接口!$S558),"")</f>
        <v/>
      </c>
      <c r="Y558" s="20" t="str">
        <f>IFERROR(IF([1]对账明细接口!$T558=0,"",[1]对账明细接口!$T558),"")</f>
        <v/>
      </c>
      <c r="Z558" s="24" t="str">
        <f>IFERROR(IF([1]对账明细接口!$U558=0,"",[1]对账明细接口!$U558),"")</f>
        <v/>
      </c>
      <c r="AA558" s="24" t="str">
        <f>IFERROR(IF([1]对账明细接口!$V558=0,"",[1]对账明细接口!$V558),"")</f>
        <v/>
      </c>
      <c r="AB558" s="20" t="str">
        <f>IFERROR(IF([1]对账明细接口!$W558=0,"",[1]对账明细接口!$W558),"")</f>
        <v/>
      </c>
      <c r="AC558" s="7" t="str">
        <f>IFERROR(IF([1]对账明细接口!$X558=0,"",[1]对账明细接口!$X558),"")</f>
        <v/>
      </c>
      <c r="AD558" s="7" t="str">
        <f>IFERROR(IF([1]对账明细接口!$Y558=0,"",[1]对账明细接口!$Y558),"")</f>
        <v/>
      </c>
      <c r="AE558" s="7" t="str">
        <f>IFERROR(IF([1]对账明细接口!$AA558=0,"",[1]对账明细接口!$AA558),"")</f>
        <v/>
      </c>
      <c r="AF558" s="7" t="str">
        <f>IFERROR(IF([1]对账明细接口!$AB558=0,"",[1]对账明细接口!$AB558),"")</f>
        <v/>
      </c>
      <c r="AG558" s="7" t="str">
        <f>IFERROR(IF([1]对账明细接口!$AC558=0,"",[1]对账明细接口!$AC558),"")</f>
        <v/>
      </c>
      <c r="AH558" s="7" t="str">
        <f>IFERROR(IF([1]对账明细接口!$AD558=0,"",[1]对账明细接口!$AD558),"")</f>
        <v/>
      </c>
      <c r="AI558" s="7" t="str">
        <f>IFERROR(IF([1]对账明细接口!$AE558=0,"",[1]对账明细接口!$AE558),"")</f>
        <v/>
      </c>
      <c r="AJ558" s="7" t="str">
        <f>IFERROR(IF([1]对账明细接口!$AF558=0,"",[1]对账明细接口!$AF558),"")</f>
        <v/>
      </c>
    </row>
    <row r="559" ht="14.25" customHeight="1" spans="1:36">
      <c r="A559" s="14">
        <v>559</v>
      </c>
      <c r="B559" s="15" t="str">
        <f>IFERROR(IF([1]对账明细接口!$B$559=0,"",[1]对账明细接口!$B$559),"")</f>
        <v/>
      </c>
      <c r="C559" s="16" t="str">
        <f>IFERROR(IF([1]对账明细接口!$C$559=0,"",[1]对账明细接口!$C$559),"")</f>
        <v/>
      </c>
      <c r="D559" s="16" t="str">
        <f>IFERROR(IF([1]对账明细接口!$D$559=0,"",[1]对账明细接口!$D$559),"")</f>
        <v/>
      </c>
      <c r="E559" s="16" t="str">
        <f>IFERROR(IF([1]对账明细接口!$E$559=0,"",[1]对账明细接口!$E$559),"")</f>
        <v/>
      </c>
      <c r="F559" s="16" t="str">
        <f>IFERROR(IF([1]对账明细接口!$F$559=0,"",[1]对账明细接口!$F$559),"")</f>
        <v/>
      </c>
      <c r="G559" s="16" t="str">
        <f>IFERROR(IF([1]对账明细接口!$G$559=0,"",[1]对账明细接口!$G$559),"")</f>
        <v/>
      </c>
      <c r="H559" s="17" t="str">
        <f>IFERROR(IF([1]对账明细接口!$H$559=0,"",[1]对账明细接口!$H$559),"")</f>
        <v/>
      </c>
      <c r="I559" s="16" t="str">
        <f>IFERROR(IF([1]对账明细接口!$I$559=0,"",[1]对账明细接口!$I$559),"")</f>
        <v/>
      </c>
      <c r="J559" s="18" t="str">
        <f>IFERROR(IF([1]对账明细接口!$J$559=0,"",[1]对账明细接口!$J$559),"")</f>
        <v/>
      </c>
      <c r="K559" s="18" t="str">
        <f>IFERROR(IF([1]对账明细接口!$K$559=0,"",[1]对账明细接口!$K$559),"")</f>
        <v/>
      </c>
      <c r="L559" s="16" t="str">
        <f>IFERROR(IF([1]对账明细接口!$L$559=0,"",[1]对账明细接口!$L$559),"")</f>
        <v/>
      </c>
      <c r="M559" s="16" t="str">
        <f>IFERROR(IF([1]对账明细接口!$M$559=0,"",[1]对账明细接口!$M$559),"")</f>
        <v/>
      </c>
      <c r="N559" s="19">
        <f t="shared" si="16"/>
        <v>0</v>
      </c>
      <c r="O559" s="19">
        <f t="shared" si="17"/>
        <v>420</v>
      </c>
      <c r="S559" s="20" t="str">
        <f>IFERROR(IF([1]对账明细接口!$N559=0,"",[1]对账明细接口!$N559),"")</f>
        <v/>
      </c>
      <c r="T559" s="21" t="str">
        <f>IFERROR(IF([1]对账明细接口!$O559=0,"",[1]对账明细接口!$O559),"")</f>
        <v/>
      </c>
      <c r="U559" s="21" t="str">
        <f>IFERROR(IF([1]对账明细接口!$P559=0,"",[1]对账明细接口!$P559),"")</f>
        <v/>
      </c>
      <c r="V559" s="21" t="str">
        <f>IFERROR(IF([1]对账明细接口!$Q559=0,"",[1]对账明细接口!$Q559),"")</f>
        <v/>
      </c>
      <c r="W559" s="20" t="str">
        <f>IFERROR(IF([1]对账明细接口!$R559=0,"",[1]对账明细接口!$R559),"")</f>
        <v/>
      </c>
      <c r="X559" s="20" t="str">
        <f>IFERROR(IF([1]对账明细接口!$S559=0,"",[1]对账明细接口!$S559),"")</f>
        <v/>
      </c>
      <c r="Y559" s="20" t="str">
        <f>IFERROR(IF([1]对账明细接口!$T559=0,"",[1]对账明细接口!$T559),"")</f>
        <v/>
      </c>
      <c r="Z559" s="24" t="str">
        <f>IFERROR(IF([1]对账明细接口!$U559=0,"",[1]对账明细接口!$U559),"")</f>
        <v/>
      </c>
      <c r="AA559" s="24" t="str">
        <f>IFERROR(IF([1]对账明细接口!$V559=0,"",[1]对账明细接口!$V559),"")</f>
        <v/>
      </c>
      <c r="AB559" s="20" t="str">
        <f>IFERROR(IF([1]对账明细接口!$W559=0,"",[1]对账明细接口!$W559),"")</f>
        <v/>
      </c>
      <c r="AC559" s="7" t="str">
        <f>IFERROR(IF([1]对账明细接口!$X559=0,"",[1]对账明细接口!$X559),"")</f>
        <v/>
      </c>
      <c r="AD559" s="7" t="str">
        <f>IFERROR(IF([1]对账明细接口!$Y559=0,"",[1]对账明细接口!$Y559),"")</f>
        <v/>
      </c>
      <c r="AE559" s="7" t="str">
        <f>IFERROR(IF([1]对账明细接口!$AA559=0,"",[1]对账明细接口!$AA559),"")</f>
        <v/>
      </c>
      <c r="AF559" s="7" t="str">
        <f>IFERROR(IF([1]对账明细接口!$AB559=0,"",[1]对账明细接口!$AB559),"")</f>
        <v/>
      </c>
      <c r="AG559" s="7" t="str">
        <f>IFERROR(IF([1]对账明细接口!$AC559=0,"",[1]对账明细接口!$AC559),"")</f>
        <v/>
      </c>
      <c r="AH559" s="7" t="str">
        <f>IFERROR(IF([1]对账明细接口!$AD559=0,"",[1]对账明细接口!$AD559),"")</f>
        <v/>
      </c>
      <c r="AI559" s="7" t="str">
        <f>IFERROR(IF([1]对账明细接口!$AE559=0,"",[1]对账明细接口!$AE559),"")</f>
        <v/>
      </c>
      <c r="AJ559" s="7" t="str">
        <f>IFERROR(IF([1]对账明细接口!$AF559=0,"",[1]对账明细接口!$AF559),"")</f>
        <v/>
      </c>
    </row>
    <row r="560" ht="14.25" customHeight="1" spans="1:36">
      <c r="A560" s="14">
        <v>560</v>
      </c>
      <c r="B560" s="15" t="str">
        <f>IFERROR(IF([1]对账明细接口!$B$560=0,"",[1]对账明细接口!$B$560),"")</f>
        <v/>
      </c>
      <c r="C560" s="16" t="str">
        <f>IFERROR(IF([1]对账明细接口!$C$560=0,"",[1]对账明细接口!$C$560),"")</f>
        <v/>
      </c>
      <c r="D560" s="16" t="str">
        <f>IFERROR(IF([1]对账明细接口!$D$560=0,"",[1]对账明细接口!$D$560),"")</f>
        <v/>
      </c>
      <c r="E560" s="16" t="str">
        <f>IFERROR(IF([1]对账明细接口!$E$560=0,"",[1]对账明细接口!$E$560),"")</f>
        <v/>
      </c>
      <c r="F560" s="16" t="str">
        <f>IFERROR(IF([1]对账明细接口!$F$560=0,"",[1]对账明细接口!$F$560),"")</f>
        <v/>
      </c>
      <c r="G560" s="16" t="str">
        <f>IFERROR(IF([1]对账明细接口!$G$560=0,"",[1]对账明细接口!$G$560),"")</f>
        <v/>
      </c>
      <c r="H560" s="17" t="str">
        <f>IFERROR(IF([1]对账明细接口!$H$560=0,"",[1]对账明细接口!$H$560),"")</f>
        <v/>
      </c>
      <c r="I560" s="16" t="str">
        <f>IFERROR(IF([1]对账明细接口!$I$560=0,"",[1]对账明细接口!$I$560),"")</f>
        <v/>
      </c>
      <c r="J560" s="18" t="str">
        <f>IFERROR(IF([1]对账明细接口!$J$560=0,"",[1]对账明细接口!$J$560),"")</f>
        <v/>
      </c>
      <c r="K560" s="18" t="str">
        <f>IFERROR(IF([1]对账明细接口!$K$560=0,"",[1]对账明细接口!$K$560),"")</f>
        <v/>
      </c>
      <c r="L560" s="16" t="str">
        <f>IFERROR(IF([1]对账明细接口!$L$560=0,"",[1]对账明细接口!$L$560),"")</f>
        <v/>
      </c>
      <c r="M560" s="16" t="str">
        <f>IFERROR(IF([1]对账明细接口!$M$560=0,"",[1]对账明细接口!$M$560),"")</f>
        <v/>
      </c>
      <c r="N560" s="19">
        <f t="shared" si="16"/>
        <v>0</v>
      </c>
      <c r="O560" s="19">
        <f t="shared" si="17"/>
        <v>420</v>
      </c>
      <c r="S560" s="20" t="str">
        <f>IFERROR(IF([1]对账明细接口!$N560=0,"",[1]对账明细接口!$N560),"")</f>
        <v/>
      </c>
      <c r="T560" s="21" t="str">
        <f>IFERROR(IF([1]对账明细接口!$O560=0,"",[1]对账明细接口!$O560),"")</f>
        <v/>
      </c>
      <c r="U560" s="21" t="str">
        <f>IFERROR(IF([1]对账明细接口!$P560=0,"",[1]对账明细接口!$P560),"")</f>
        <v/>
      </c>
      <c r="V560" s="21" t="str">
        <f>IFERROR(IF([1]对账明细接口!$Q560=0,"",[1]对账明细接口!$Q560),"")</f>
        <v/>
      </c>
      <c r="W560" s="20" t="str">
        <f>IFERROR(IF([1]对账明细接口!$R560=0,"",[1]对账明细接口!$R560),"")</f>
        <v/>
      </c>
      <c r="X560" s="20" t="str">
        <f>IFERROR(IF([1]对账明细接口!$S560=0,"",[1]对账明细接口!$S560),"")</f>
        <v/>
      </c>
      <c r="Y560" s="20" t="str">
        <f>IFERROR(IF([1]对账明细接口!$T560=0,"",[1]对账明细接口!$T560),"")</f>
        <v/>
      </c>
      <c r="Z560" s="24" t="str">
        <f>IFERROR(IF([1]对账明细接口!$U560=0,"",[1]对账明细接口!$U560),"")</f>
        <v/>
      </c>
      <c r="AA560" s="24" t="str">
        <f>IFERROR(IF([1]对账明细接口!$V560=0,"",[1]对账明细接口!$V560),"")</f>
        <v/>
      </c>
      <c r="AB560" s="20" t="str">
        <f>IFERROR(IF([1]对账明细接口!$W560=0,"",[1]对账明细接口!$W560),"")</f>
        <v/>
      </c>
      <c r="AC560" s="7" t="str">
        <f>IFERROR(IF([1]对账明细接口!$X560=0,"",[1]对账明细接口!$X560),"")</f>
        <v/>
      </c>
      <c r="AD560" s="7" t="str">
        <f>IFERROR(IF([1]对账明细接口!$Y560=0,"",[1]对账明细接口!$Y560),"")</f>
        <v/>
      </c>
      <c r="AE560" s="7" t="str">
        <f>IFERROR(IF([1]对账明细接口!$AA560=0,"",[1]对账明细接口!$AA560),"")</f>
        <v/>
      </c>
      <c r="AF560" s="7" t="str">
        <f>IFERROR(IF([1]对账明细接口!$AB560=0,"",[1]对账明细接口!$AB560),"")</f>
        <v/>
      </c>
      <c r="AG560" s="7" t="str">
        <f>IFERROR(IF([1]对账明细接口!$AC560=0,"",[1]对账明细接口!$AC560),"")</f>
        <v/>
      </c>
      <c r="AH560" s="7" t="str">
        <f>IFERROR(IF([1]对账明细接口!$AD560=0,"",[1]对账明细接口!$AD560),"")</f>
        <v/>
      </c>
      <c r="AI560" s="7" t="str">
        <f>IFERROR(IF([1]对账明细接口!$AE560=0,"",[1]对账明细接口!$AE560),"")</f>
        <v/>
      </c>
      <c r="AJ560" s="7" t="str">
        <f>IFERROR(IF([1]对账明细接口!$AF560=0,"",[1]对账明细接口!$AF560),"")</f>
        <v/>
      </c>
    </row>
    <row r="561" ht="14.25" customHeight="1" spans="1:36">
      <c r="A561" s="14">
        <v>561</v>
      </c>
      <c r="B561" s="15" t="str">
        <f>IFERROR(IF([1]对账明细接口!$B$561=0,"",[1]对账明细接口!$B$561),"")</f>
        <v/>
      </c>
      <c r="C561" s="16" t="str">
        <f>IFERROR(IF([1]对账明细接口!$C$561=0,"",[1]对账明细接口!$C$561),"")</f>
        <v/>
      </c>
      <c r="D561" s="16" t="str">
        <f>IFERROR(IF([1]对账明细接口!$D$561=0,"",[1]对账明细接口!$D$561),"")</f>
        <v/>
      </c>
      <c r="E561" s="16" t="str">
        <f>IFERROR(IF([1]对账明细接口!$E$561=0,"",[1]对账明细接口!$E$561),"")</f>
        <v/>
      </c>
      <c r="F561" s="16" t="str">
        <f>IFERROR(IF([1]对账明细接口!$F$561=0,"",[1]对账明细接口!$F$561),"")</f>
        <v/>
      </c>
      <c r="G561" s="16" t="str">
        <f>IFERROR(IF([1]对账明细接口!$G$561=0,"",[1]对账明细接口!$G$561),"")</f>
        <v/>
      </c>
      <c r="H561" s="17" t="str">
        <f>IFERROR(IF([1]对账明细接口!$H$561=0,"",[1]对账明细接口!$H$561),"")</f>
        <v/>
      </c>
      <c r="I561" s="16" t="str">
        <f>IFERROR(IF([1]对账明细接口!$I$561=0,"",[1]对账明细接口!$I$561),"")</f>
        <v/>
      </c>
      <c r="J561" s="18" t="str">
        <f>IFERROR(IF([1]对账明细接口!$J$561=0,"",[1]对账明细接口!$J$561),"")</f>
        <v/>
      </c>
      <c r="K561" s="18" t="str">
        <f>IFERROR(IF([1]对账明细接口!$K$561=0,"",[1]对账明细接口!$K$561),"")</f>
        <v/>
      </c>
      <c r="L561" s="16" t="str">
        <f>IFERROR(IF([1]对账明细接口!$L$561=0,"",[1]对账明细接口!$L$561),"")</f>
        <v/>
      </c>
      <c r="M561" s="16" t="str">
        <f>IFERROR(IF([1]对账明细接口!$M$561=0,"",[1]对账明细接口!$M$561),"")</f>
        <v/>
      </c>
      <c r="N561" s="19">
        <f t="shared" si="16"/>
        <v>0</v>
      </c>
      <c r="O561" s="19">
        <f t="shared" si="17"/>
        <v>420</v>
      </c>
      <c r="S561" s="20" t="str">
        <f>IFERROR(IF([1]对账明细接口!$N561=0,"",[1]对账明细接口!$N561),"")</f>
        <v/>
      </c>
      <c r="T561" s="21" t="str">
        <f>IFERROR(IF([1]对账明细接口!$O561=0,"",[1]对账明细接口!$O561),"")</f>
        <v/>
      </c>
      <c r="U561" s="21" t="str">
        <f>IFERROR(IF([1]对账明细接口!$P561=0,"",[1]对账明细接口!$P561),"")</f>
        <v/>
      </c>
      <c r="V561" s="21" t="str">
        <f>IFERROR(IF([1]对账明细接口!$Q561=0,"",[1]对账明细接口!$Q561),"")</f>
        <v/>
      </c>
      <c r="W561" s="20" t="str">
        <f>IFERROR(IF([1]对账明细接口!$R561=0,"",[1]对账明细接口!$R561),"")</f>
        <v/>
      </c>
      <c r="X561" s="20" t="str">
        <f>IFERROR(IF([1]对账明细接口!$S561=0,"",[1]对账明细接口!$S561),"")</f>
        <v/>
      </c>
      <c r="Y561" s="20" t="str">
        <f>IFERROR(IF([1]对账明细接口!$T561=0,"",[1]对账明细接口!$T561),"")</f>
        <v/>
      </c>
      <c r="Z561" s="24" t="str">
        <f>IFERROR(IF([1]对账明细接口!$U561=0,"",[1]对账明细接口!$U561),"")</f>
        <v/>
      </c>
      <c r="AA561" s="24" t="str">
        <f>IFERROR(IF([1]对账明细接口!$V561=0,"",[1]对账明细接口!$V561),"")</f>
        <v/>
      </c>
      <c r="AB561" s="20" t="str">
        <f>IFERROR(IF([1]对账明细接口!$W561=0,"",[1]对账明细接口!$W561),"")</f>
        <v/>
      </c>
      <c r="AC561" s="7" t="str">
        <f>IFERROR(IF([1]对账明细接口!$X561=0,"",[1]对账明细接口!$X561),"")</f>
        <v/>
      </c>
      <c r="AD561" s="7" t="str">
        <f>IFERROR(IF([1]对账明细接口!$Y561=0,"",[1]对账明细接口!$Y561),"")</f>
        <v/>
      </c>
      <c r="AE561" s="7" t="str">
        <f>IFERROR(IF([1]对账明细接口!$AA561=0,"",[1]对账明细接口!$AA561),"")</f>
        <v/>
      </c>
      <c r="AF561" s="7" t="str">
        <f>IFERROR(IF([1]对账明细接口!$AB561=0,"",[1]对账明细接口!$AB561),"")</f>
        <v/>
      </c>
      <c r="AG561" s="7" t="str">
        <f>IFERROR(IF([1]对账明细接口!$AC561=0,"",[1]对账明细接口!$AC561),"")</f>
        <v/>
      </c>
      <c r="AH561" s="7" t="str">
        <f>IFERROR(IF([1]对账明细接口!$AD561=0,"",[1]对账明细接口!$AD561),"")</f>
        <v/>
      </c>
      <c r="AI561" s="7" t="str">
        <f>IFERROR(IF([1]对账明细接口!$AE561=0,"",[1]对账明细接口!$AE561),"")</f>
        <v/>
      </c>
      <c r="AJ561" s="7" t="str">
        <f>IFERROR(IF([1]对账明细接口!$AF561=0,"",[1]对账明细接口!$AF561),"")</f>
        <v/>
      </c>
    </row>
    <row r="562" ht="14.25" customHeight="1" spans="1:36">
      <c r="A562" s="14">
        <v>562</v>
      </c>
      <c r="B562" s="15" t="str">
        <f>IFERROR(IF([1]对账明细接口!$B$562=0,"",[1]对账明细接口!$B$562),"")</f>
        <v/>
      </c>
      <c r="C562" s="16" t="str">
        <f>IFERROR(IF([1]对账明细接口!$C$562=0,"",[1]对账明细接口!$C$562),"")</f>
        <v/>
      </c>
      <c r="D562" s="16" t="str">
        <f>IFERROR(IF([1]对账明细接口!$D$562=0,"",[1]对账明细接口!$D$562),"")</f>
        <v/>
      </c>
      <c r="E562" s="16" t="str">
        <f>IFERROR(IF([1]对账明细接口!$E$562=0,"",[1]对账明细接口!$E$562),"")</f>
        <v/>
      </c>
      <c r="F562" s="16" t="str">
        <f>IFERROR(IF([1]对账明细接口!$F$562=0,"",[1]对账明细接口!$F$562),"")</f>
        <v/>
      </c>
      <c r="G562" s="16" t="str">
        <f>IFERROR(IF([1]对账明细接口!$G$562=0,"",[1]对账明细接口!$G$562),"")</f>
        <v/>
      </c>
      <c r="H562" s="17" t="str">
        <f>IFERROR(IF([1]对账明细接口!$H$562=0,"",[1]对账明细接口!$H$562),"")</f>
        <v/>
      </c>
      <c r="I562" s="16" t="str">
        <f>IFERROR(IF([1]对账明细接口!$I$562=0,"",[1]对账明细接口!$I$562),"")</f>
        <v/>
      </c>
      <c r="J562" s="18" t="str">
        <f>IFERROR(IF([1]对账明细接口!$J$562=0,"",[1]对账明细接口!$J$562),"")</f>
        <v/>
      </c>
      <c r="K562" s="18" t="str">
        <f>IFERROR(IF([1]对账明细接口!$K$562=0,"",[1]对账明细接口!$K$562),"")</f>
        <v/>
      </c>
      <c r="L562" s="16" t="str">
        <f>IFERROR(IF([1]对账明细接口!$L$562=0,"",[1]对账明细接口!$L$562),"")</f>
        <v/>
      </c>
      <c r="M562" s="16" t="str">
        <f>IFERROR(IF([1]对账明细接口!$M$562=0,"",[1]对账明细接口!$M$562),"")</f>
        <v/>
      </c>
      <c r="N562" s="19">
        <f t="shared" si="16"/>
        <v>0</v>
      </c>
      <c r="O562" s="19">
        <f t="shared" si="17"/>
        <v>420</v>
      </c>
      <c r="S562" s="20" t="str">
        <f>IFERROR(IF([1]对账明细接口!$N562=0,"",[1]对账明细接口!$N562),"")</f>
        <v/>
      </c>
      <c r="T562" s="21" t="str">
        <f>IFERROR(IF([1]对账明细接口!$O562=0,"",[1]对账明细接口!$O562),"")</f>
        <v/>
      </c>
      <c r="U562" s="21" t="str">
        <f>IFERROR(IF([1]对账明细接口!$P562=0,"",[1]对账明细接口!$P562),"")</f>
        <v/>
      </c>
      <c r="V562" s="21" t="str">
        <f>IFERROR(IF([1]对账明细接口!$Q562=0,"",[1]对账明细接口!$Q562),"")</f>
        <v/>
      </c>
      <c r="W562" s="20" t="str">
        <f>IFERROR(IF([1]对账明细接口!$R562=0,"",[1]对账明细接口!$R562),"")</f>
        <v/>
      </c>
      <c r="X562" s="20" t="str">
        <f>IFERROR(IF([1]对账明细接口!$S562=0,"",[1]对账明细接口!$S562),"")</f>
        <v/>
      </c>
      <c r="Y562" s="20" t="str">
        <f>IFERROR(IF([1]对账明细接口!$T562=0,"",[1]对账明细接口!$T562),"")</f>
        <v/>
      </c>
      <c r="Z562" s="24" t="str">
        <f>IFERROR(IF([1]对账明细接口!$U562=0,"",[1]对账明细接口!$U562),"")</f>
        <v/>
      </c>
      <c r="AA562" s="24" t="str">
        <f>IFERROR(IF([1]对账明细接口!$V562=0,"",[1]对账明细接口!$V562),"")</f>
        <v/>
      </c>
      <c r="AB562" s="20" t="str">
        <f>IFERROR(IF([1]对账明细接口!$W562=0,"",[1]对账明细接口!$W562),"")</f>
        <v/>
      </c>
      <c r="AC562" s="7" t="str">
        <f>IFERROR(IF([1]对账明细接口!$X562=0,"",[1]对账明细接口!$X562),"")</f>
        <v/>
      </c>
      <c r="AD562" s="7" t="str">
        <f>IFERROR(IF([1]对账明细接口!$Y562=0,"",[1]对账明细接口!$Y562),"")</f>
        <v/>
      </c>
      <c r="AE562" s="7" t="str">
        <f>IFERROR(IF([1]对账明细接口!$AA562=0,"",[1]对账明细接口!$AA562),"")</f>
        <v/>
      </c>
      <c r="AF562" s="7" t="str">
        <f>IFERROR(IF([1]对账明细接口!$AB562=0,"",[1]对账明细接口!$AB562),"")</f>
        <v/>
      </c>
      <c r="AG562" s="7" t="str">
        <f>IFERROR(IF([1]对账明细接口!$AC562=0,"",[1]对账明细接口!$AC562),"")</f>
        <v/>
      </c>
      <c r="AH562" s="7" t="str">
        <f>IFERROR(IF([1]对账明细接口!$AD562=0,"",[1]对账明细接口!$AD562),"")</f>
        <v/>
      </c>
      <c r="AI562" s="7" t="str">
        <f>IFERROR(IF([1]对账明细接口!$AE562=0,"",[1]对账明细接口!$AE562),"")</f>
        <v/>
      </c>
      <c r="AJ562" s="7" t="str">
        <f>IFERROR(IF([1]对账明细接口!$AF562=0,"",[1]对账明细接口!$AF562),"")</f>
        <v/>
      </c>
    </row>
    <row r="563" ht="14.25" customHeight="1" spans="1:36">
      <c r="A563" s="14">
        <v>563</v>
      </c>
      <c r="B563" s="15" t="str">
        <f>IFERROR(IF([1]对账明细接口!$B$563=0,"",[1]对账明细接口!$B$563),"")</f>
        <v/>
      </c>
      <c r="C563" s="16" t="str">
        <f>IFERROR(IF([1]对账明细接口!$C$563=0,"",[1]对账明细接口!$C$563),"")</f>
        <v/>
      </c>
      <c r="D563" s="16" t="str">
        <f>IFERROR(IF([1]对账明细接口!$D$563=0,"",[1]对账明细接口!$D$563),"")</f>
        <v/>
      </c>
      <c r="E563" s="16" t="str">
        <f>IFERROR(IF([1]对账明细接口!$E$563=0,"",[1]对账明细接口!$E$563),"")</f>
        <v/>
      </c>
      <c r="F563" s="16" t="str">
        <f>IFERROR(IF([1]对账明细接口!$F$563=0,"",[1]对账明细接口!$F$563),"")</f>
        <v/>
      </c>
      <c r="G563" s="16" t="str">
        <f>IFERROR(IF([1]对账明细接口!$G$563=0,"",[1]对账明细接口!$G$563),"")</f>
        <v/>
      </c>
      <c r="H563" s="17" t="str">
        <f>IFERROR(IF([1]对账明细接口!$H$563=0,"",[1]对账明细接口!$H$563),"")</f>
        <v/>
      </c>
      <c r="I563" s="16" t="str">
        <f>IFERROR(IF([1]对账明细接口!$I$563=0,"",[1]对账明细接口!$I$563),"")</f>
        <v/>
      </c>
      <c r="J563" s="18" t="str">
        <f>IFERROR(IF([1]对账明细接口!$J$563=0,"",[1]对账明细接口!$J$563),"")</f>
        <v/>
      </c>
      <c r="K563" s="18" t="str">
        <f>IFERROR(IF([1]对账明细接口!$K$563=0,"",[1]对账明细接口!$K$563),"")</f>
        <v/>
      </c>
      <c r="L563" s="16" t="str">
        <f>IFERROR(IF([1]对账明细接口!$L$563=0,"",[1]对账明细接口!$L$563),"")</f>
        <v/>
      </c>
      <c r="M563" s="16" t="str">
        <f>IFERROR(IF([1]对账明细接口!$M$563=0,"",[1]对账明细接口!$M$563),"")</f>
        <v/>
      </c>
      <c r="N563" s="19">
        <f t="shared" si="16"/>
        <v>0</v>
      </c>
      <c r="O563" s="19">
        <f t="shared" si="17"/>
        <v>420</v>
      </c>
      <c r="S563" s="20" t="str">
        <f>IFERROR(IF([1]对账明细接口!$N563=0,"",[1]对账明细接口!$N563),"")</f>
        <v/>
      </c>
      <c r="T563" s="21" t="str">
        <f>IFERROR(IF([1]对账明细接口!$O563=0,"",[1]对账明细接口!$O563),"")</f>
        <v/>
      </c>
      <c r="U563" s="21" t="str">
        <f>IFERROR(IF([1]对账明细接口!$P563=0,"",[1]对账明细接口!$P563),"")</f>
        <v/>
      </c>
      <c r="V563" s="21" t="str">
        <f>IFERROR(IF([1]对账明细接口!$Q563=0,"",[1]对账明细接口!$Q563),"")</f>
        <v/>
      </c>
      <c r="W563" s="20" t="str">
        <f>IFERROR(IF([1]对账明细接口!$R563=0,"",[1]对账明细接口!$R563),"")</f>
        <v/>
      </c>
      <c r="X563" s="20" t="str">
        <f>IFERROR(IF([1]对账明细接口!$S563=0,"",[1]对账明细接口!$S563),"")</f>
        <v/>
      </c>
      <c r="Y563" s="20" t="str">
        <f>IFERROR(IF([1]对账明细接口!$T563=0,"",[1]对账明细接口!$T563),"")</f>
        <v/>
      </c>
      <c r="Z563" s="24" t="str">
        <f>IFERROR(IF([1]对账明细接口!$U563=0,"",[1]对账明细接口!$U563),"")</f>
        <v/>
      </c>
      <c r="AA563" s="24" t="str">
        <f>IFERROR(IF([1]对账明细接口!$V563=0,"",[1]对账明细接口!$V563),"")</f>
        <v/>
      </c>
      <c r="AB563" s="20" t="str">
        <f>IFERROR(IF([1]对账明细接口!$W563=0,"",[1]对账明细接口!$W563),"")</f>
        <v/>
      </c>
      <c r="AC563" s="7" t="str">
        <f>IFERROR(IF([1]对账明细接口!$X563=0,"",[1]对账明细接口!$X563),"")</f>
        <v/>
      </c>
      <c r="AD563" s="7" t="str">
        <f>IFERROR(IF([1]对账明细接口!$Y563=0,"",[1]对账明细接口!$Y563),"")</f>
        <v/>
      </c>
      <c r="AE563" s="7" t="str">
        <f>IFERROR(IF([1]对账明细接口!$AA563=0,"",[1]对账明细接口!$AA563),"")</f>
        <v/>
      </c>
      <c r="AF563" s="7" t="str">
        <f>IFERROR(IF([1]对账明细接口!$AB563=0,"",[1]对账明细接口!$AB563),"")</f>
        <v/>
      </c>
      <c r="AG563" s="7" t="str">
        <f>IFERROR(IF([1]对账明细接口!$AC563=0,"",[1]对账明细接口!$AC563),"")</f>
        <v/>
      </c>
      <c r="AH563" s="7" t="str">
        <f>IFERROR(IF([1]对账明细接口!$AD563=0,"",[1]对账明细接口!$AD563),"")</f>
        <v/>
      </c>
      <c r="AI563" s="7" t="str">
        <f>IFERROR(IF([1]对账明细接口!$AE563=0,"",[1]对账明细接口!$AE563),"")</f>
        <v/>
      </c>
      <c r="AJ563" s="7" t="str">
        <f>IFERROR(IF([1]对账明细接口!$AF563=0,"",[1]对账明细接口!$AF563),"")</f>
        <v/>
      </c>
    </row>
    <row r="564" ht="14.25" customHeight="1" spans="1:36">
      <c r="A564" s="14">
        <v>564</v>
      </c>
      <c r="B564" s="15" t="str">
        <f>IFERROR(IF([1]对账明细接口!$B$564=0,"",[1]对账明细接口!$B$564),"")</f>
        <v/>
      </c>
      <c r="C564" s="16" t="str">
        <f>IFERROR(IF([1]对账明细接口!$C$564=0,"",[1]对账明细接口!$C$564),"")</f>
        <v/>
      </c>
      <c r="D564" s="16" t="str">
        <f>IFERROR(IF([1]对账明细接口!$D$564=0,"",[1]对账明细接口!$D$564),"")</f>
        <v/>
      </c>
      <c r="E564" s="16" t="str">
        <f>IFERROR(IF([1]对账明细接口!$E$564=0,"",[1]对账明细接口!$E$564),"")</f>
        <v/>
      </c>
      <c r="F564" s="16" t="str">
        <f>IFERROR(IF([1]对账明细接口!$F$564=0,"",[1]对账明细接口!$F$564),"")</f>
        <v/>
      </c>
      <c r="G564" s="16" t="str">
        <f>IFERROR(IF([1]对账明细接口!$G$564=0,"",[1]对账明细接口!$G$564),"")</f>
        <v/>
      </c>
      <c r="H564" s="17" t="str">
        <f>IFERROR(IF([1]对账明细接口!$H$564=0,"",[1]对账明细接口!$H$564),"")</f>
        <v/>
      </c>
      <c r="I564" s="16" t="str">
        <f>IFERROR(IF([1]对账明细接口!$I$564=0,"",[1]对账明细接口!$I$564),"")</f>
        <v/>
      </c>
      <c r="J564" s="18" t="str">
        <f>IFERROR(IF([1]对账明细接口!$J$564=0,"",[1]对账明细接口!$J$564),"")</f>
        <v/>
      </c>
      <c r="K564" s="18" t="str">
        <f>IFERROR(IF([1]对账明细接口!$K$564=0,"",[1]对账明细接口!$K$564),"")</f>
        <v/>
      </c>
      <c r="L564" s="16" t="str">
        <f>IFERROR(IF([1]对账明细接口!$L$564=0,"",[1]对账明细接口!$L$564),"")</f>
        <v/>
      </c>
      <c r="M564" s="16" t="str">
        <f>IFERROR(IF([1]对账明细接口!$M$564=0,"",[1]对账明细接口!$M$564),"")</f>
        <v/>
      </c>
      <c r="N564" s="19">
        <f t="shared" si="16"/>
        <v>0</v>
      </c>
      <c r="O564" s="19">
        <f t="shared" si="17"/>
        <v>420</v>
      </c>
      <c r="S564" s="20" t="str">
        <f>IFERROR(IF([1]对账明细接口!$N564=0,"",[1]对账明细接口!$N564),"")</f>
        <v/>
      </c>
      <c r="T564" s="21" t="str">
        <f>IFERROR(IF([1]对账明细接口!$O564=0,"",[1]对账明细接口!$O564),"")</f>
        <v/>
      </c>
      <c r="U564" s="21" t="str">
        <f>IFERROR(IF([1]对账明细接口!$P564=0,"",[1]对账明细接口!$P564),"")</f>
        <v/>
      </c>
      <c r="V564" s="21" t="str">
        <f>IFERROR(IF([1]对账明细接口!$Q564=0,"",[1]对账明细接口!$Q564),"")</f>
        <v/>
      </c>
      <c r="W564" s="20" t="str">
        <f>IFERROR(IF([1]对账明细接口!$R564=0,"",[1]对账明细接口!$R564),"")</f>
        <v/>
      </c>
      <c r="X564" s="20" t="str">
        <f>IFERROR(IF([1]对账明细接口!$S564=0,"",[1]对账明细接口!$S564),"")</f>
        <v/>
      </c>
      <c r="Y564" s="20" t="str">
        <f>IFERROR(IF([1]对账明细接口!$T564=0,"",[1]对账明细接口!$T564),"")</f>
        <v/>
      </c>
      <c r="Z564" s="24" t="str">
        <f>IFERROR(IF([1]对账明细接口!$U564=0,"",[1]对账明细接口!$U564),"")</f>
        <v/>
      </c>
      <c r="AA564" s="24" t="str">
        <f>IFERROR(IF([1]对账明细接口!$V564=0,"",[1]对账明细接口!$V564),"")</f>
        <v/>
      </c>
      <c r="AB564" s="20" t="str">
        <f>IFERROR(IF([1]对账明细接口!$W564=0,"",[1]对账明细接口!$W564),"")</f>
        <v/>
      </c>
      <c r="AC564" s="7" t="str">
        <f>IFERROR(IF([1]对账明细接口!$X564=0,"",[1]对账明细接口!$X564),"")</f>
        <v/>
      </c>
      <c r="AD564" s="7" t="str">
        <f>IFERROR(IF([1]对账明细接口!$Y564=0,"",[1]对账明细接口!$Y564),"")</f>
        <v/>
      </c>
      <c r="AE564" s="7" t="str">
        <f>IFERROR(IF([1]对账明细接口!$AA564=0,"",[1]对账明细接口!$AA564),"")</f>
        <v/>
      </c>
      <c r="AF564" s="7" t="str">
        <f>IFERROR(IF([1]对账明细接口!$AB564=0,"",[1]对账明细接口!$AB564),"")</f>
        <v/>
      </c>
      <c r="AG564" s="7" t="str">
        <f>IFERROR(IF([1]对账明细接口!$AC564=0,"",[1]对账明细接口!$AC564),"")</f>
        <v/>
      </c>
      <c r="AH564" s="7" t="str">
        <f>IFERROR(IF([1]对账明细接口!$AD564=0,"",[1]对账明细接口!$AD564),"")</f>
        <v/>
      </c>
      <c r="AI564" s="7" t="str">
        <f>IFERROR(IF([1]对账明细接口!$AE564=0,"",[1]对账明细接口!$AE564),"")</f>
        <v/>
      </c>
      <c r="AJ564" s="7" t="str">
        <f>IFERROR(IF([1]对账明细接口!$AF564=0,"",[1]对账明细接口!$AF564),"")</f>
        <v/>
      </c>
    </row>
    <row r="565" ht="14.25" customHeight="1" spans="1:36">
      <c r="A565" s="14">
        <v>565</v>
      </c>
      <c r="B565" s="15" t="str">
        <f>IFERROR(IF([1]对账明细接口!$B$565=0,"",[1]对账明细接口!$B$565),"")</f>
        <v/>
      </c>
      <c r="C565" s="16" t="str">
        <f>IFERROR(IF([1]对账明细接口!$C$565=0,"",[1]对账明细接口!$C$565),"")</f>
        <v/>
      </c>
      <c r="D565" s="16" t="str">
        <f>IFERROR(IF([1]对账明细接口!$D$565=0,"",[1]对账明细接口!$D$565),"")</f>
        <v/>
      </c>
      <c r="E565" s="16" t="str">
        <f>IFERROR(IF([1]对账明细接口!$E$565=0,"",[1]对账明细接口!$E$565),"")</f>
        <v/>
      </c>
      <c r="F565" s="16" t="str">
        <f>IFERROR(IF([1]对账明细接口!$F$565=0,"",[1]对账明细接口!$F$565),"")</f>
        <v/>
      </c>
      <c r="G565" s="16" t="str">
        <f>IFERROR(IF([1]对账明细接口!$G$565=0,"",[1]对账明细接口!$G$565),"")</f>
        <v/>
      </c>
      <c r="H565" s="17" t="str">
        <f>IFERROR(IF([1]对账明细接口!$H$565=0,"",[1]对账明细接口!$H$565),"")</f>
        <v/>
      </c>
      <c r="I565" s="16" t="str">
        <f>IFERROR(IF([1]对账明细接口!$I$565=0,"",[1]对账明细接口!$I$565),"")</f>
        <v/>
      </c>
      <c r="J565" s="18" t="str">
        <f>IFERROR(IF([1]对账明细接口!$J$565=0,"",[1]对账明细接口!$J$565),"")</f>
        <v/>
      </c>
      <c r="K565" s="18" t="str">
        <f>IFERROR(IF([1]对账明细接口!$K$565=0,"",[1]对账明细接口!$K$565),"")</f>
        <v/>
      </c>
      <c r="L565" s="16" t="str">
        <f>IFERROR(IF([1]对账明细接口!$L$565=0,"",[1]对账明细接口!$L$565),"")</f>
        <v/>
      </c>
      <c r="M565" s="16" t="str">
        <f>IFERROR(IF([1]对账明细接口!$M$565=0,"",[1]对账明细接口!$M$565),"")</f>
        <v/>
      </c>
      <c r="N565" s="19">
        <f t="shared" si="16"/>
        <v>0</v>
      </c>
      <c r="O565" s="19">
        <f t="shared" si="17"/>
        <v>420</v>
      </c>
      <c r="S565" s="20" t="str">
        <f>IFERROR(IF([1]对账明细接口!$N565=0,"",[1]对账明细接口!$N565),"")</f>
        <v/>
      </c>
      <c r="T565" s="21" t="str">
        <f>IFERROR(IF([1]对账明细接口!$O565=0,"",[1]对账明细接口!$O565),"")</f>
        <v/>
      </c>
      <c r="U565" s="21" t="str">
        <f>IFERROR(IF([1]对账明细接口!$P565=0,"",[1]对账明细接口!$P565),"")</f>
        <v/>
      </c>
      <c r="V565" s="21" t="str">
        <f>IFERROR(IF([1]对账明细接口!$Q565=0,"",[1]对账明细接口!$Q565),"")</f>
        <v/>
      </c>
      <c r="W565" s="20" t="str">
        <f>IFERROR(IF([1]对账明细接口!$R565=0,"",[1]对账明细接口!$R565),"")</f>
        <v/>
      </c>
      <c r="X565" s="20" t="str">
        <f>IFERROR(IF([1]对账明细接口!$S565=0,"",[1]对账明细接口!$S565),"")</f>
        <v/>
      </c>
      <c r="Y565" s="20" t="str">
        <f>IFERROR(IF([1]对账明细接口!$T565=0,"",[1]对账明细接口!$T565),"")</f>
        <v/>
      </c>
      <c r="Z565" s="24" t="str">
        <f>IFERROR(IF([1]对账明细接口!$U565=0,"",[1]对账明细接口!$U565),"")</f>
        <v/>
      </c>
      <c r="AA565" s="24" t="str">
        <f>IFERROR(IF([1]对账明细接口!$V565=0,"",[1]对账明细接口!$V565),"")</f>
        <v/>
      </c>
      <c r="AB565" s="20" t="str">
        <f>IFERROR(IF([1]对账明细接口!$W565=0,"",[1]对账明细接口!$W565),"")</f>
        <v/>
      </c>
      <c r="AC565" s="7" t="str">
        <f>IFERROR(IF([1]对账明细接口!$X565=0,"",[1]对账明细接口!$X565),"")</f>
        <v/>
      </c>
      <c r="AD565" s="7" t="str">
        <f>IFERROR(IF([1]对账明细接口!$Y565=0,"",[1]对账明细接口!$Y565),"")</f>
        <v/>
      </c>
      <c r="AE565" s="7" t="str">
        <f>IFERROR(IF([1]对账明细接口!$AA565=0,"",[1]对账明细接口!$AA565),"")</f>
        <v/>
      </c>
      <c r="AF565" s="7" t="str">
        <f>IFERROR(IF([1]对账明细接口!$AB565=0,"",[1]对账明细接口!$AB565),"")</f>
        <v/>
      </c>
      <c r="AG565" s="7" t="str">
        <f>IFERROR(IF([1]对账明细接口!$AC565=0,"",[1]对账明细接口!$AC565),"")</f>
        <v/>
      </c>
      <c r="AH565" s="7" t="str">
        <f>IFERROR(IF([1]对账明细接口!$AD565=0,"",[1]对账明细接口!$AD565),"")</f>
        <v/>
      </c>
      <c r="AI565" s="7" t="str">
        <f>IFERROR(IF([1]对账明细接口!$AE565=0,"",[1]对账明细接口!$AE565),"")</f>
        <v/>
      </c>
      <c r="AJ565" s="7" t="str">
        <f>IFERROR(IF([1]对账明细接口!$AF565=0,"",[1]对账明细接口!$AF565),"")</f>
        <v/>
      </c>
    </row>
    <row r="566" ht="14.25" customHeight="1" spans="1:36">
      <c r="A566" s="14">
        <v>566</v>
      </c>
      <c r="B566" s="15" t="str">
        <f>IFERROR(IF([1]对账明细接口!$B$566=0,"",[1]对账明细接口!$B$566),"")</f>
        <v/>
      </c>
      <c r="C566" s="16" t="str">
        <f>IFERROR(IF([1]对账明细接口!$C$566=0,"",[1]对账明细接口!$C$566),"")</f>
        <v/>
      </c>
      <c r="D566" s="16" t="str">
        <f>IFERROR(IF([1]对账明细接口!$D$566=0,"",[1]对账明细接口!$D$566),"")</f>
        <v/>
      </c>
      <c r="E566" s="16" t="str">
        <f>IFERROR(IF([1]对账明细接口!$E$566=0,"",[1]对账明细接口!$E$566),"")</f>
        <v/>
      </c>
      <c r="F566" s="16" t="str">
        <f>IFERROR(IF([1]对账明细接口!$F$566=0,"",[1]对账明细接口!$F$566),"")</f>
        <v/>
      </c>
      <c r="G566" s="16" t="str">
        <f>IFERROR(IF([1]对账明细接口!$G$566=0,"",[1]对账明细接口!$G$566),"")</f>
        <v/>
      </c>
      <c r="H566" s="17" t="str">
        <f>IFERROR(IF([1]对账明细接口!$H$566=0,"",[1]对账明细接口!$H$566),"")</f>
        <v/>
      </c>
      <c r="I566" s="16" t="str">
        <f>IFERROR(IF([1]对账明细接口!$I$566=0,"",[1]对账明细接口!$I$566),"")</f>
        <v/>
      </c>
      <c r="J566" s="18" t="str">
        <f>IFERROR(IF([1]对账明细接口!$J$566=0,"",[1]对账明细接口!$J$566),"")</f>
        <v/>
      </c>
      <c r="K566" s="18" t="str">
        <f>IFERROR(IF([1]对账明细接口!$K$566=0,"",[1]对账明细接口!$K$566),"")</f>
        <v/>
      </c>
      <c r="L566" s="16" t="str">
        <f>IFERROR(IF([1]对账明细接口!$L$566=0,"",[1]对账明细接口!$L$566),"")</f>
        <v/>
      </c>
      <c r="M566" s="16" t="str">
        <f>IFERROR(IF([1]对账明细接口!$M$566=0,"",[1]对账明细接口!$M$566),"")</f>
        <v/>
      </c>
      <c r="N566" s="19">
        <f t="shared" si="16"/>
        <v>0</v>
      </c>
      <c r="O566" s="19">
        <f t="shared" si="17"/>
        <v>420</v>
      </c>
      <c r="S566" s="20" t="str">
        <f>IFERROR(IF([1]对账明细接口!$N566=0,"",[1]对账明细接口!$N566),"")</f>
        <v/>
      </c>
      <c r="T566" s="21" t="str">
        <f>IFERROR(IF([1]对账明细接口!$O566=0,"",[1]对账明细接口!$O566),"")</f>
        <v/>
      </c>
      <c r="U566" s="21" t="str">
        <f>IFERROR(IF([1]对账明细接口!$P566=0,"",[1]对账明细接口!$P566),"")</f>
        <v/>
      </c>
      <c r="V566" s="21" t="str">
        <f>IFERROR(IF([1]对账明细接口!$Q566=0,"",[1]对账明细接口!$Q566),"")</f>
        <v/>
      </c>
      <c r="W566" s="20" t="str">
        <f>IFERROR(IF([1]对账明细接口!$R566=0,"",[1]对账明细接口!$R566),"")</f>
        <v/>
      </c>
      <c r="X566" s="20" t="str">
        <f>IFERROR(IF([1]对账明细接口!$S566=0,"",[1]对账明细接口!$S566),"")</f>
        <v/>
      </c>
      <c r="Y566" s="20" t="str">
        <f>IFERROR(IF([1]对账明细接口!$T566=0,"",[1]对账明细接口!$T566),"")</f>
        <v/>
      </c>
      <c r="Z566" s="24" t="str">
        <f>IFERROR(IF([1]对账明细接口!$U566=0,"",[1]对账明细接口!$U566),"")</f>
        <v/>
      </c>
      <c r="AA566" s="24" t="str">
        <f>IFERROR(IF([1]对账明细接口!$V566=0,"",[1]对账明细接口!$V566),"")</f>
        <v/>
      </c>
      <c r="AB566" s="20" t="str">
        <f>IFERROR(IF([1]对账明细接口!$W566=0,"",[1]对账明细接口!$W566),"")</f>
        <v/>
      </c>
      <c r="AC566" s="7" t="str">
        <f>IFERROR(IF([1]对账明细接口!$X566=0,"",[1]对账明细接口!$X566),"")</f>
        <v/>
      </c>
      <c r="AD566" s="7" t="str">
        <f>IFERROR(IF([1]对账明细接口!$Y566=0,"",[1]对账明细接口!$Y566),"")</f>
        <v/>
      </c>
      <c r="AE566" s="7" t="str">
        <f>IFERROR(IF([1]对账明细接口!$AA566=0,"",[1]对账明细接口!$AA566),"")</f>
        <v/>
      </c>
      <c r="AF566" s="7" t="str">
        <f>IFERROR(IF([1]对账明细接口!$AB566=0,"",[1]对账明细接口!$AB566),"")</f>
        <v/>
      </c>
      <c r="AG566" s="7" t="str">
        <f>IFERROR(IF([1]对账明细接口!$AC566=0,"",[1]对账明细接口!$AC566),"")</f>
        <v/>
      </c>
      <c r="AH566" s="7" t="str">
        <f>IFERROR(IF([1]对账明细接口!$AD566=0,"",[1]对账明细接口!$AD566),"")</f>
        <v/>
      </c>
      <c r="AI566" s="7" t="str">
        <f>IFERROR(IF([1]对账明细接口!$AE566=0,"",[1]对账明细接口!$AE566),"")</f>
        <v/>
      </c>
      <c r="AJ566" s="7" t="str">
        <f>IFERROR(IF([1]对账明细接口!$AF566=0,"",[1]对账明细接口!$AF566),"")</f>
        <v/>
      </c>
    </row>
    <row r="567" ht="14.25" customHeight="1" spans="1:36">
      <c r="A567" s="14">
        <v>567</v>
      </c>
      <c r="B567" s="15" t="str">
        <f>IFERROR(IF([1]对账明细接口!$B$567=0,"",[1]对账明细接口!$B$567),"")</f>
        <v/>
      </c>
      <c r="C567" s="16" t="str">
        <f>IFERROR(IF([1]对账明细接口!$C$567=0,"",[1]对账明细接口!$C$567),"")</f>
        <v/>
      </c>
      <c r="D567" s="16" t="str">
        <f>IFERROR(IF([1]对账明细接口!$D$567=0,"",[1]对账明细接口!$D$567),"")</f>
        <v/>
      </c>
      <c r="E567" s="16" t="str">
        <f>IFERROR(IF([1]对账明细接口!$E$567=0,"",[1]对账明细接口!$E$567),"")</f>
        <v/>
      </c>
      <c r="F567" s="16" t="str">
        <f>IFERROR(IF([1]对账明细接口!$F$567=0,"",[1]对账明细接口!$F$567),"")</f>
        <v/>
      </c>
      <c r="G567" s="16" t="str">
        <f>IFERROR(IF([1]对账明细接口!$G$567=0,"",[1]对账明细接口!$G$567),"")</f>
        <v/>
      </c>
      <c r="H567" s="17" t="str">
        <f>IFERROR(IF([1]对账明细接口!$H$567=0,"",[1]对账明细接口!$H$567),"")</f>
        <v/>
      </c>
      <c r="I567" s="16" t="str">
        <f>IFERROR(IF([1]对账明细接口!$I$567=0,"",[1]对账明细接口!$I$567),"")</f>
        <v/>
      </c>
      <c r="J567" s="18" t="str">
        <f>IFERROR(IF([1]对账明细接口!$J$567=0,"",[1]对账明细接口!$J$567),"")</f>
        <v/>
      </c>
      <c r="K567" s="18" t="str">
        <f>IFERROR(IF([1]对账明细接口!$K$567=0,"",[1]对账明细接口!$K$567),"")</f>
        <v/>
      </c>
      <c r="L567" s="16" t="str">
        <f>IFERROR(IF([1]对账明细接口!$L$567=0,"",[1]对账明细接口!$L$567),"")</f>
        <v/>
      </c>
      <c r="M567" s="16" t="str">
        <f>IFERROR(IF([1]对账明细接口!$M$567=0,"",[1]对账明细接口!$M$567),"")</f>
        <v/>
      </c>
      <c r="N567" s="19">
        <f t="shared" si="16"/>
        <v>0</v>
      </c>
      <c r="O567" s="19">
        <f t="shared" si="17"/>
        <v>420</v>
      </c>
      <c r="S567" s="20" t="str">
        <f>IFERROR(IF([1]对账明细接口!$N567=0,"",[1]对账明细接口!$N567),"")</f>
        <v/>
      </c>
      <c r="T567" s="21" t="str">
        <f>IFERROR(IF([1]对账明细接口!$O567=0,"",[1]对账明细接口!$O567),"")</f>
        <v/>
      </c>
      <c r="U567" s="21" t="str">
        <f>IFERROR(IF([1]对账明细接口!$P567=0,"",[1]对账明细接口!$P567),"")</f>
        <v/>
      </c>
      <c r="V567" s="21" t="str">
        <f>IFERROR(IF([1]对账明细接口!$Q567=0,"",[1]对账明细接口!$Q567),"")</f>
        <v/>
      </c>
      <c r="W567" s="20" t="str">
        <f>IFERROR(IF([1]对账明细接口!$R567=0,"",[1]对账明细接口!$R567),"")</f>
        <v/>
      </c>
      <c r="X567" s="20" t="str">
        <f>IFERROR(IF([1]对账明细接口!$S567=0,"",[1]对账明细接口!$S567),"")</f>
        <v/>
      </c>
      <c r="Y567" s="20" t="str">
        <f>IFERROR(IF([1]对账明细接口!$T567=0,"",[1]对账明细接口!$T567),"")</f>
        <v/>
      </c>
      <c r="Z567" s="24" t="str">
        <f>IFERROR(IF([1]对账明细接口!$U567=0,"",[1]对账明细接口!$U567),"")</f>
        <v/>
      </c>
      <c r="AA567" s="24" t="str">
        <f>IFERROR(IF([1]对账明细接口!$V567=0,"",[1]对账明细接口!$V567),"")</f>
        <v/>
      </c>
      <c r="AB567" s="20" t="str">
        <f>IFERROR(IF([1]对账明细接口!$W567=0,"",[1]对账明细接口!$W567),"")</f>
        <v/>
      </c>
      <c r="AC567" s="7" t="str">
        <f>IFERROR(IF([1]对账明细接口!$X567=0,"",[1]对账明细接口!$X567),"")</f>
        <v/>
      </c>
      <c r="AD567" s="7" t="str">
        <f>IFERROR(IF([1]对账明细接口!$Y567=0,"",[1]对账明细接口!$Y567),"")</f>
        <v/>
      </c>
      <c r="AE567" s="7" t="str">
        <f>IFERROR(IF([1]对账明细接口!$AA567=0,"",[1]对账明细接口!$AA567),"")</f>
        <v/>
      </c>
      <c r="AF567" s="7" t="str">
        <f>IFERROR(IF([1]对账明细接口!$AB567=0,"",[1]对账明细接口!$AB567),"")</f>
        <v/>
      </c>
      <c r="AG567" s="7" t="str">
        <f>IFERROR(IF([1]对账明细接口!$AC567=0,"",[1]对账明细接口!$AC567),"")</f>
        <v/>
      </c>
      <c r="AH567" s="7" t="str">
        <f>IFERROR(IF([1]对账明细接口!$AD567=0,"",[1]对账明细接口!$AD567),"")</f>
        <v/>
      </c>
      <c r="AI567" s="7" t="str">
        <f>IFERROR(IF([1]对账明细接口!$AE567=0,"",[1]对账明细接口!$AE567),"")</f>
        <v/>
      </c>
      <c r="AJ567" s="7" t="str">
        <f>IFERROR(IF([1]对账明细接口!$AF567=0,"",[1]对账明细接口!$AF567),"")</f>
        <v/>
      </c>
    </row>
    <row r="568" ht="14.25" customHeight="1" spans="1:36">
      <c r="A568" s="14">
        <v>568</v>
      </c>
      <c r="B568" s="15" t="str">
        <f>IFERROR(IF([1]对账明细接口!$B$568=0,"",[1]对账明细接口!$B$568),"")</f>
        <v/>
      </c>
      <c r="C568" s="16" t="str">
        <f>IFERROR(IF([1]对账明细接口!$C$568=0,"",[1]对账明细接口!$C$568),"")</f>
        <v/>
      </c>
      <c r="D568" s="16" t="str">
        <f>IFERROR(IF([1]对账明细接口!$D$568=0,"",[1]对账明细接口!$D$568),"")</f>
        <v/>
      </c>
      <c r="E568" s="16" t="str">
        <f>IFERROR(IF([1]对账明细接口!$E$568=0,"",[1]对账明细接口!$E$568),"")</f>
        <v/>
      </c>
      <c r="F568" s="16" t="str">
        <f>IFERROR(IF([1]对账明细接口!$F$568=0,"",[1]对账明细接口!$F$568),"")</f>
        <v/>
      </c>
      <c r="G568" s="16" t="str">
        <f>IFERROR(IF([1]对账明细接口!$G$568=0,"",[1]对账明细接口!$G$568),"")</f>
        <v/>
      </c>
      <c r="H568" s="17" t="str">
        <f>IFERROR(IF([1]对账明细接口!$H$568=0,"",[1]对账明细接口!$H$568),"")</f>
        <v/>
      </c>
      <c r="I568" s="16" t="str">
        <f>IFERROR(IF([1]对账明细接口!$I$568=0,"",[1]对账明细接口!$I$568),"")</f>
        <v/>
      </c>
      <c r="J568" s="18" t="str">
        <f>IFERROR(IF([1]对账明细接口!$J$568=0,"",[1]对账明细接口!$J$568),"")</f>
        <v/>
      </c>
      <c r="K568" s="18" t="str">
        <f>IFERROR(IF([1]对账明细接口!$K$568=0,"",[1]对账明细接口!$K$568),"")</f>
        <v/>
      </c>
      <c r="L568" s="16" t="str">
        <f>IFERROR(IF([1]对账明细接口!$L$568=0,"",[1]对账明细接口!$L$568),"")</f>
        <v/>
      </c>
      <c r="M568" s="16" t="str">
        <f>IFERROR(IF([1]对账明细接口!$M$568=0,"",[1]对账明细接口!$M$568),"")</f>
        <v/>
      </c>
      <c r="N568" s="19">
        <f t="shared" si="16"/>
        <v>0</v>
      </c>
      <c r="O568" s="19">
        <f t="shared" si="17"/>
        <v>420</v>
      </c>
      <c r="S568" s="20" t="str">
        <f>IFERROR(IF([1]对账明细接口!$N568=0,"",[1]对账明细接口!$N568),"")</f>
        <v/>
      </c>
      <c r="T568" s="21" t="str">
        <f>IFERROR(IF([1]对账明细接口!$O568=0,"",[1]对账明细接口!$O568),"")</f>
        <v/>
      </c>
      <c r="U568" s="21" t="str">
        <f>IFERROR(IF([1]对账明细接口!$P568=0,"",[1]对账明细接口!$P568),"")</f>
        <v/>
      </c>
      <c r="V568" s="21" t="str">
        <f>IFERROR(IF([1]对账明细接口!$Q568=0,"",[1]对账明细接口!$Q568),"")</f>
        <v/>
      </c>
      <c r="W568" s="20" t="str">
        <f>IFERROR(IF([1]对账明细接口!$R568=0,"",[1]对账明细接口!$R568),"")</f>
        <v/>
      </c>
      <c r="X568" s="20" t="str">
        <f>IFERROR(IF([1]对账明细接口!$S568=0,"",[1]对账明细接口!$S568),"")</f>
        <v/>
      </c>
      <c r="Y568" s="20" t="str">
        <f>IFERROR(IF([1]对账明细接口!$T568=0,"",[1]对账明细接口!$T568),"")</f>
        <v/>
      </c>
      <c r="Z568" s="24" t="str">
        <f>IFERROR(IF([1]对账明细接口!$U568=0,"",[1]对账明细接口!$U568),"")</f>
        <v/>
      </c>
      <c r="AA568" s="24" t="str">
        <f>IFERROR(IF([1]对账明细接口!$V568=0,"",[1]对账明细接口!$V568),"")</f>
        <v/>
      </c>
      <c r="AB568" s="20" t="str">
        <f>IFERROR(IF([1]对账明细接口!$W568=0,"",[1]对账明细接口!$W568),"")</f>
        <v/>
      </c>
      <c r="AC568" s="7" t="str">
        <f>IFERROR(IF([1]对账明细接口!$X568=0,"",[1]对账明细接口!$X568),"")</f>
        <v/>
      </c>
      <c r="AD568" s="7" t="str">
        <f>IFERROR(IF([1]对账明细接口!$Y568=0,"",[1]对账明细接口!$Y568),"")</f>
        <v/>
      </c>
      <c r="AE568" s="7" t="str">
        <f>IFERROR(IF([1]对账明细接口!$AA568=0,"",[1]对账明细接口!$AA568),"")</f>
        <v/>
      </c>
      <c r="AF568" s="7" t="str">
        <f>IFERROR(IF([1]对账明细接口!$AB568=0,"",[1]对账明细接口!$AB568),"")</f>
        <v/>
      </c>
      <c r="AG568" s="7" t="str">
        <f>IFERROR(IF([1]对账明细接口!$AC568=0,"",[1]对账明细接口!$AC568),"")</f>
        <v/>
      </c>
      <c r="AH568" s="7" t="str">
        <f>IFERROR(IF([1]对账明细接口!$AD568=0,"",[1]对账明细接口!$AD568),"")</f>
        <v/>
      </c>
      <c r="AI568" s="7" t="str">
        <f>IFERROR(IF([1]对账明细接口!$AE568=0,"",[1]对账明细接口!$AE568),"")</f>
        <v/>
      </c>
      <c r="AJ568" s="7" t="str">
        <f>IFERROR(IF([1]对账明细接口!$AF568=0,"",[1]对账明细接口!$AF568),"")</f>
        <v/>
      </c>
    </row>
    <row r="569" ht="14.25" customHeight="1" spans="1:36">
      <c r="A569" s="14">
        <v>569</v>
      </c>
      <c r="B569" s="15" t="str">
        <f>IFERROR(IF([1]对账明细接口!$B$569=0,"",[1]对账明细接口!$B$569),"")</f>
        <v/>
      </c>
      <c r="C569" s="16" t="str">
        <f>IFERROR(IF([1]对账明细接口!$C$569=0,"",[1]对账明细接口!$C$569),"")</f>
        <v/>
      </c>
      <c r="D569" s="16" t="str">
        <f>IFERROR(IF([1]对账明细接口!$D$569=0,"",[1]对账明细接口!$D$569),"")</f>
        <v/>
      </c>
      <c r="E569" s="16" t="str">
        <f>IFERROR(IF([1]对账明细接口!$E$569=0,"",[1]对账明细接口!$E$569),"")</f>
        <v/>
      </c>
      <c r="F569" s="16" t="str">
        <f>IFERROR(IF([1]对账明细接口!$F$569=0,"",[1]对账明细接口!$F$569),"")</f>
        <v/>
      </c>
      <c r="G569" s="16" t="str">
        <f>IFERROR(IF([1]对账明细接口!$G$569=0,"",[1]对账明细接口!$G$569),"")</f>
        <v/>
      </c>
      <c r="H569" s="17" t="str">
        <f>IFERROR(IF([1]对账明细接口!$H$569=0,"",[1]对账明细接口!$H$569),"")</f>
        <v/>
      </c>
      <c r="I569" s="16" t="str">
        <f>IFERROR(IF([1]对账明细接口!$I$569=0,"",[1]对账明细接口!$I$569),"")</f>
        <v/>
      </c>
      <c r="J569" s="18" t="str">
        <f>IFERROR(IF([1]对账明细接口!$J$569=0,"",[1]对账明细接口!$J$569),"")</f>
        <v/>
      </c>
      <c r="K569" s="18" t="str">
        <f>IFERROR(IF([1]对账明细接口!$K$569=0,"",[1]对账明细接口!$K$569),"")</f>
        <v/>
      </c>
      <c r="L569" s="16" t="str">
        <f>IFERROR(IF([1]对账明细接口!$L$569=0,"",[1]对账明细接口!$L$569),"")</f>
        <v/>
      </c>
      <c r="M569" s="16" t="str">
        <f>IFERROR(IF([1]对账明细接口!$M$569=0,"",[1]对账明细接口!$M$569),"")</f>
        <v/>
      </c>
      <c r="N569" s="19">
        <f t="shared" si="16"/>
        <v>0</v>
      </c>
      <c r="O569" s="19">
        <f t="shared" si="17"/>
        <v>420</v>
      </c>
      <c r="S569" s="20" t="str">
        <f>IFERROR(IF([1]对账明细接口!$N569=0,"",[1]对账明细接口!$N569),"")</f>
        <v/>
      </c>
      <c r="T569" s="21" t="str">
        <f>IFERROR(IF([1]对账明细接口!$O569=0,"",[1]对账明细接口!$O569),"")</f>
        <v/>
      </c>
      <c r="U569" s="21" t="str">
        <f>IFERROR(IF([1]对账明细接口!$P569=0,"",[1]对账明细接口!$P569),"")</f>
        <v/>
      </c>
      <c r="V569" s="21" t="str">
        <f>IFERROR(IF([1]对账明细接口!$Q569=0,"",[1]对账明细接口!$Q569),"")</f>
        <v/>
      </c>
      <c r="W569" s="20" t="str">
        <f>IFERROR(IF([1]对账明细接口!$R569=0,"",[1]对账明细接口!$R569),"")</f>
        <v/>
      </c>
      <c r="X569" s="20" t="str">
        <f>IFERROR(IF([1]对账明细接口!$S569=0,"",[1]对账明细接口!$S569),"")</f>
        <v/>
      </c>
      <c r="Y569" s="20" t="str">
        <f>IFERROR(IF([1]对账明细接口!$T569=0,"",[1]对账明细接口!$T569),"")</f>
        <v/>
      </c>
      <c r="Z569" s="24" t="str">
        <f>IFERROR(IF([1]对账明细接口!$U569=0,"",[1]对账明细接口!$U569),"")</f>
        <v/>
      </c>
      <c r="AA569" s="24" t="str">
        <f>IFERROR(IF([1]对账明细接口!$V569=0,"",[1]对账明细接口!$V569),"")</f>
        <v/>
      </c>
      <c r="AB569" s="20" t="str">
        <f>IFERROR(IF([1]对账明细接口!$W569=0,"",[1]对账明细接口!$W569),"")</f>
        <v/>
      </c>
      <c r="AC569" s="7" t="str">
        <f>IFERROR(IF([1]对账明细接口!$X569=0,"",[1]对账明细接口!$X569),"")</f>
        <v/>
      </c>
      <c r="AD569" s="7" t="str">
        <f>IFERROR(IF([1]对账明细接口!$Y569=0,"",[1]对账明细接口!$Y569),"")</f>
        <v/>
      </c>
      <c r="AE569" s="7" t="str">
        <f>IFERROR(IF([1]对账明细接口!$AA569=0,"",[1]对账明细接口!$AA569),"")</f>
        <v/>
      </c>
      <c r="AF569" s="7" t="str">
        <f>IFERROR(IF([1]对账明细接口!$AB569=0,"",[1]对账明细接口!$AB569),"")</f>
        <v/>
      </c>
      <c r="AG569" s="7" t="str">
        <f>IFERROR(IF([1]对账明细接口!$AC569=0,"",[1]对账明细接口!$AC569),"")</f>
        <v/>
      </c>
      <c r="AH569" s="7" t="str">
        <f>IFERROR(IF([1]对账明细接口!$AD569=0,"",[1]对账明细接口!$AD569),"")</f>
        <v/>
      </c>
      <c r="AI569" s="7" t="str">
        <f>IFERROR(IF([1]对账明细接口!$AE569=0,"",[1]对账明细接口!$AE569),"")</f>
        <v/>
      </c>
      <c r="AJ569" s="7" t="str">
        <f>IFERROR(IF([1]对账明细接口!$AF569=0,"",[1]对账明细接口!$AF569),"")</f>
        <v/>
      </c>
    </row>
    <row r="570" ht="14.25" customHeight="1" spans="1:36">
      <c r="A570" s="14">
        <v>570</v>
      </c>
      <c r="B570" s="15" t="str">
        <f>IFERROR(IF([1]对账明细接口!$B$570=0,"",[1]对账明细接口!$B$570),"")</f>
        <v/>
      </c>
      <c r="C570" s="16" t="str">
        <f>IFERROR(IF([1]对账明细接口!$C$570=0,"",[1]对账明细接口!$C$570),"")</f>
        <v/>
      </c>
      <c r="D570" s="16" t="str">
        <f>IFERROR(IF([1]对账明细接口!$D$570=0,"",[1]对账明细接口!$D$570),"")</f>
        <v/>
      </c>
      <c r="E570" s="16" t="str">
        <f>IFERROR(IF([1]对账明细接口!$E$570=0,"",[1]对账明细接口!$E$570),"")</f>
        <v/>
      </c>
      <c r="F570" s="16" t="str">
        <f>IFERROR(IF([1]对账明细接口!$F$570=0,"",[1]对账明细接口!$F$570),"")</f>
        <v/>
      </c>
      <c r="G570" s="16" t="str">
        <f>IFERROR(IF([1]对账明细接口!$G$570=0,"",[1]对账明细接口!$G$570),"")</f>
        <v/>
      </c>
      <c r="H570" s="17" t="str">
        <f>IFERROR(IF([1]对账明细接口!$H$570=0,"",[1]对账明细接口!$H$570),"")</f>
        <v/>
      </c>
      <c r="I570" s="16" t="str">
        <f>IFERROR(IF([1]对账明细接口!$I$570=0,"",[1]对账明细接口!$I$570),"")</f>
        <v/>
      </c>
      <c r="J570" s="18" t="str">
        <f>IFERROR(IF([1]对账明细接口!$J$570=0,"",[1]对账明细接口!$J$570),"")</f>
        <v/>
      </c>
      <c r="K570" s="18" t="str">
        <f>IFERROR(IF([1]对账明细接口!$K$570=0,"",[1]对账明细接口!$K$570),"")</f>
        <v/>
      </c>
      <c r="L570" s="16" t="str">
        <f>IFERROR(IF([1]对账明细接口!$L$570=0,"",[1]对账明细接口!$L$570),"")</f>
        <v/>
      </c>
      <c r="M570" s="16" t="str">
        <f>IFERROR(IF([1]对账明细接口!$M$570=0,"",[1]对账明细接口!$M$570),"")</f>
        <v/>
      </c>
      <c r="N570" s="19">
        <f t="shared" si="16"/>
        <v>0</v>
      </c>
      <c r="O570" s="19">
        <f t="shared" si="17"/>
        <v>420</v>
      </c>
      <c r="S570" s="20" t="str">
        <f>IFERROR(IF([1]对账明细接口!$N570=0,"",[1]对账明细接口!$N570),"")</f>
        <v/>
      </c>
      <c r="T570" s="21" t="str">
        <f>IFERROR(IF([1]对账明细接口!$O570=0,"",[1]对账明细接口!$O570),"")</f>
        <v/>
      </c>
      <c r="U570" s="21" t="str">
        <f>IFERROR(IF([1]对账明细接口!$P570=0,"",[1]对账明细接口!$P570),"")</f>
        <v/>
      </c>
      <c r="V570" s="21" t="str">
        <f>IFERROR(IF([1]对账明细接口!$Q570=0,"",[1]对账明细接口!$Q570),"")</f>
        <v/>
      </c>
      <c r="W570" s="20" t="str">
        <f>IFERROR(IF([1]对账明细接口!$R570=0,"",[1]对账明细接口!$R570),"")</f>
        <v/>
      </c>
      <c r="X570" s="20" t="str">
        <f>IFERROR(IF([1]对账明细接口!$S570=0,"",[1]对账明细接口!$S570),"")</f>
        <v/>
      </c>
      <c r="Y570" s="20" t="str">
        <f>IFERROR(IF([1]对账明细接口!$T570=0,"",[1]对账明细接口!$T570),"")</f>
        <v/>
      </c>
      <c r="Z570" s="24" t="str">
        <f>IFERROR(IF([1]对账明细接口!$U570=0,"",[1]对账明细接口!$U570),"")</f>
        <v/>
      </c>
      <c r="AA570" s="24" t="str">
        <f>IFERROR(IF([1]对账明细接口!$V570=0,"",[1]对账明细接口!$V570),"")</f>
        <v/>
      </c>
      <c r="AB570" s="20" t="str">
        <f>IFERROR(IF([1]对账明细接口!$W570=0,"",[1]对账明细接口!$W570),"")</f>
        <v/>
      </c>
      <c r="AC570" s="7" t="str">
        <f>IFERROR(IF([1]对账明细接口!$X570=0,"",[1]对账明细接口!$X570),"")</f>
        <v/>
      </c>
      <c r="AD570" s="7" t="str">
        <f>IFERROR(IF([1]对账明细接口!$Y570=0,"",[1]对账明细接口!$Y570),"")</f>
        <v/>
      </c>
      <c r="AE570" s="7" t="str">
        <f>IFERROR(IF([1]对账明细接口!$AA570=0,"",[1]对账明细接口!$AA570),"")</f>
        <v/>
      </c>
      <c r="AF570" s="7" t="str">
        <f>IFERROR(IF([1]对账明细接口!$AB570=0,"",[1]对账明细接口!$AB570),"")</f>
        <v/>
      </c>
      <c r="AG570" s="7" t="str">
        <f>IFERROR(IF([1]对账明细接口!$AC570=0,"",[1]对账明细接口!$AC570),"")</f>
        <v/>
      </c>
      <c r="AH570" s="7" t="str">
        <f>IFERROR(IF([1]对账明细接口!$AD570=0,"",[1]对账明细接口!$AD570),"")</f>
        <v/>
      </c>
      <c r="AI570" s="7" t="str">
        <f>IFERROR(IF([1]对账明细接口!$AE570=0,"",[1]对账明细接口!$AE570),"")</f>
        <v/>
      </c>
      <c r="AJ570" s="7" t="str">
        <f>IFERROR(IF([1]对账明细接口!$AF570=0,"",[1]对账明细接口!$AF570),"")</f>
        <v/>
      </c>
    </row>
    <row r="571" ht="14.25" customHeight="1" spans="1:36">
      <c r="A571" s="14">
        <v>571</v>
      </c>
      <c r="B571" s="15" t="str">
        <f>IFERROR(IF([1]对账明细接口!$B$571=0,"",[1]对账明细接口!$B$571),"")</f>
        <v/>
      </c>
      <c r="C571" s="16" t="str">
        <f>IFERROR(IF([1]对账明细接口!$C$571=0,"",[1]对账明细接口!$C$571),"")</f>
        <v/>
      </c>
      <c r="D571" s="16" t="str">
        <f>IFERROR(IF([1]对账明细接口!$D$571=0,"",[1]对账明细接口!$D$571),"")</f>
        <v/>
      </c>
      <c r="E571" s="16" t="str">
        <f>IFERROR(IF([1]对账明细接口!$E$571=0,"",[1]对账明细接口!$E$571),"")</f>
        <v/>
      </c>
      <c r="F571" s="16" t="str">
        <f>IFERROR(IF([1]对账明细接口!$F$571=0,"",[1]对账明细接口!$F$571),"")</f>
        <v/>
      </c>
      <c r="G571" s="16" t="str">
        <f>IFERROR(IF([1]对账明细接口!$G$571=0,"",[1]对账明细接口!$G$571),"")</f>
        <v/>
      </c>
      <c r="H571" s="17" t="str">
        <f>IFERROR(IF([1]对账明细接口!$H$571=0,"",[1]对账明细接口!$H$571),"")</f>
        <v/>
      </c>
      <c r="I571" s="16" t="str">
        <f>IFERROR(IF([1]对账明细接口!$I$571=0,"",[1]对账明细接口!$I$571),"")</f>
        <v/>
      </c>
      <c r="J571" s="18" t="str">
        <f>IFERROR(IF([1]对账明细接口!$J$571=0,"",[1]对账明细接口!$J$571),"")</f>
        <v/>
      </c>
      <c r="K571" s="18" t="str">
        <f>IFERROR(IF([1]对账明细接口!$K$571=0,"",[1]对账明细接口!$K$571),"")</f>
        <v/>
      </c>
      <c r="L571" s="16" t="str">
        <f>IFERROR(IF([1]对账明细接口!$L$571=0,"",[1]对账明细接口!$L$571),"")</f>
        <v/>
      </c>
      <c r="M571" s="16" t="str">
        <f>IFERROR(IF([1]对账明细接口!$M$571=0,"",[1]对账明细接口!$M$571),"")</f>
        <v/>
      </c>
      <c r="N571" s="19">
        <f t="shared" si="16"/>
        <v>0</v>
      </c>
      <c r="O571" s="19">
        <f t="shared" si="17"/>
        <v>420</v>
      </c>
      <c r="S571" s="20" t="str">
        <f>IFERROR(IF([1]对账明细接口!$N571=0,"",[1]对账明细接口!$N571),"")</f>
        <v/>
      </c>
      <c r="T571" s="21" t="str">
        <f>IFERROR(IF([1]对账明细接口!$O571=0,"",[1]对账明细接口!$O571),"")</f>
        <v/>
      </c>
      <c r="U571" s="21" t="str">
        <f>IFERROR(IF([1]对账明细接口!$P571=0,"",[1]对账明细接口!$P571),"")</f>
        <v/>
      </c>
      <c r="V571" s="21" t="str">
        <f>IFERROR(IF([1]对账明细接口!$Q571=0,"",[1]对账明细接口!$Q571),"")</f>
        <v/>
      </c>
      <c r="W571" s="20" t="str">
        <f>IFERROR(IF([1]对账明细接口!$R571=0,"",[1]对账明细接口!$R571),"")</f>
        <v/>
      </c>
      <c r="X571" s="20" t="str">
        <f>IFERROR(IF([1]对账明细接口!$S571=0,"",[1]对账明细接口!$S571),"")</f>
        <v/>
      </c>
      <c r="Y571" s="20" t="str">
        <f>IFERROR(IF([1]对账明细接口!$T571=0,"",[1]对账明细接口!$T571),"")</f>
        <v/>
      </c>
      <c r="Z571" s="24" t="str">
        <f>IFERROR(IF([1]对账明细接口!$U571=0,"",[1]对账明细接口!$U571),"")</f>
        <v/>
      </c>
      <c r="AA571" s="24" t="str">
        <f>IFERROR(IF([1]对账明细接口!$V571=0,"",[1]对账明细接口!$V571),"")</f>
        <v/>
      </c>
      <c r="AB571" s="20" t="str">
        <f>IFERROR(IF([1]对账明细接口!$W571=0,"",[1]对账明细接口!$W571),"")</f>
        <v/>
      </c>
      <c r="AC571" s="7" t="str">
        <f>IFERROR(IF([1]对账明细接口!$X571=0,"",[1]对账明细接口!$X571),"")</f>
        <v/>
      </c>
      <c r="AD571" s="7" t="str">
        <f>IFERROR(IF([1]对账明细接口!$Y571=0,"",[1]对账明细接口!$Y571),"")</f>
        <v/>
      </c>
      <c r="AE571" s="7" t="str">
        <f>IFERROR(IF([1]对账明细接口!$AA571=0,"",[1]对账明细接口!$AA571),"")</f>
        <v/>
      </c>
      <c r="AF571" s="7" t="str">
        <f>IFERROR(IF([1]对账明细接口!$AB571=0,"",[1]对账明细接口!$AB571),"")</f>
        <v/>
      </c>
      <c r="AG571" s="7" t="str">
        <f>IFERROR(IF([1]对账明细接口!$AC571=0,"",[1]对账明细接口!$AC571),"")</f>
        <v/>
      </c>
      <c r="AH571" s="7" t="str">
        <f>IFERROR(IF([1]对账明细接口!$AD571=0,"",[1]对账明细接口!$AD571),"")</f>
        <v/>
      </c>
      <c r="AI571" s="7" t="str">
        <f>IFERROR(IF([1]对账明细接口!$AE571=0,"",[1]对账明细接口!$AE571),"")</f>
        <v/>
      </c>
      <c r="AJ571" s="7" t="str">
        <f>IFERROR(IF([1]对账明细接口!$AF571=0,"",[1]对账明细接口!$AF571),"")</f>
        <v/>
      </c>
    </row>
    <row r="572" ht="14.25" customHeight="1" spans="1:36">
      <c r="A572" s="14">
        <v>572</v>
      </c>
      <c r="B572" s="15" t="str">
        <f>IFERROR(IF([1]对账明细接口!$B$572=0,"",[1]对账明细接口!$B$572),"")</f>
        <v/>
      </c>
      <c r="C572" s="16" t="str">
        <f>IFERROR(IF([1]对账明细接口!$C$572=0,"",[1]对账明细接口!$C$572),"")</f>
        <v/>
      </c>
      <c r="D572" s="16" t="str">
        <f>IFERROR(IF([1]对账明细接口!$D$572=0,"",[1]对账明细接口!$D$572),"")</f>
        <v/>
      </c>
      <c r="E572" s="16" t="str">
        <f>IFERROR(IF([1]对账明细接口!$E$572=0,"",[1]对账明细接口!$E$572),"")</f>
        <v/>
      </c>
      <c r="F572" s="16" t="str">
        <f>IFERROR(IF([1]对账明细接口!$F$572=0,"",[1]对账明细接口!$F$572),"")</f>
        <v/>
      </c>
      <c r="G572" s="16" t="str">
        <f>IFERROR(IF([1]对账明细接口!$G$572=0,"",[1]对账明细接口!$G$572),"")</f>
        <v/>
      </c>
      <c r="H572" s="17" t="str">
        <f>IFERROR(IF([1]对账明细接口!$H$572=0,"",[1]对账明细接口!$H$572),"")</f>
        <v/>
      </c>
      <c r="I572" s="16" t="str">
        <f>IFERROR(IF([1]对账明细接口!$I$572=0,"",[1]对账明细接口!$I$572),"")</f>
        <v/>
      </c>
      <c r="J572" s="18" t="str">
        <f>IFERROR(IF([1]对账明细接口!$J$572=0,"",[1]对账明细接口!$J$572),"")</f>
        <v/>
      </c>
      <c r="K572" s="18" t="str">
        <f>IFERROR(IF([1]对账明细接口!$K$572=0,"",[1]对账明细接口!$K$572),"")</f>
        <v/>
      </c>
      <c r="L572" s="16" t="str">
        <f>IFERROR(IF([1]对账明细接口!$L$572=0,"",[1]对账明细接口!$L$572),"")</f>
        <v/>
      </c>
      <c r="M572" s="16" t="str">
        <f>IFERROR(IF([1]对账明细接口!$M$572=0,"",[1]对账明细接口!$M$572),"")</f>
        <v/>
      </c>
      <c r="N572" s="19">
        <f t="shared" si="16"/>
        <v>0</v>
      </c>
      <c r="O572" s="19">
        <f t="shared" si="17"/>
        <v>420</v>
      </c>
      <c r="S572" s="20" t="str">
        <f>IFERROR(IF([1]对账明细接口!$N572=0,"",[1]对账明细接口!$N572),"")</f>
        <v/>
      </c>
      <c r="T572" s="21" t="str">
        <f>IFERROR(IF([1]对账明细接口!$O572=0,"",[1]对账明细接口!$O572),"")</f>
        <v/>
      </c>
      <c r="U572" s="21" t="str">
        <f>IFERROR(IF([1]对账明细接口!$P572=0,"",[1]对账明细接口!$P572),"")</f>
        <v/>
      </c>
      <c r="V572" s="21" t="str">
        <f>IFERROR(IF([1]对账明细接口!$Q572=0,"",[1]对账明细接口!$Q572),"")</f>
        <v/>
      </c>
      <c r="W572" s="20" t="str">
        <f>IFERROR(IF([1]对账明细接口!$R572=0,"",[1]对账明细接口!$R572),"")</f>
        <v/>
      </c>
      <c r="X572" s="20" t="str">
        <f>IFERROR(IF([1]对账明细接口!$S572=0,"",[1]对账明细接口!$S572),"")</f>
        <v/>
      </c>
      <c r="Y572" s="20" t="str">
        <f>IFERROR(IF([1]对账明细接口!$T572=0,"",[1]对账明细接口!$T572),"")</f>
        <v/>
      </c>
      <c r="Z572" s="24" t="str">
        <f>IFERROR(IF([1]对账明细接口!$U572=0,"",[1]对账明细接口!$U572),"")</f>
        <v/>
      </c>
      <c r="AA572" s="24" t="str">
        <f>IFERROR(IF([1]对账明细接口!$V572=0,"",[1]对账明细接口!$V572),"")</f>
        <v/>
      </c>
      <c r="AB572" s="20" t="str">
        <f>IFERROR(IF([1]对账明细接口!$W572=0,"",[1]对账明细接口!$W572),"")</f>
        <v/>
      </c>
      <c r="AC572" s="7" t="str">
        <f>IFERROR(IF([1]对账明细接口!$X572=0,"",[1]对账明细接口!$X572),"")</f>
        <v/>
      </c>
      <c r="AD572" s="7" t="str">
        <f>IFERROR(IF([1]对账明细接口!$Y572=0,"",[1]对账明细接口!$Y572),"")</f>
        <v/>
      </c>
      <c r="AE572" s="7" t="str">
        <f>IFERROR(IF([1]对账明细接口!$AA572=0,"",[1]对账明细接口!$AA572),"")</f>
        <v/>
      </c>
      <c r="AF572" s="7" t="str">
        <f>IFERROR(IF([1]对账明细接口!$AB572=0,"",[1]对账明细接口!$AB572),"")</f>
        <v/>
      </c>
      <c r="AG572" s="7" t="str">
        <f>IFERROR(IF([1]对账明细接口!$AC572=0,"",[1]对账明细接口!$AC572),"")</f>
        <v/>
      </c>
      <c r="AH572" s="7" t="str">
        <f>IFERROR(IF([1]对账明细接口!$AD572=0,"",[1]对账明细接口!$AD572),"")</f>
        <v/>
      </c>
      <c r="AI572" s="7" t="str">
        <f>IFERROR(IF([1]对账明细接口!$AE572=0,"",[1]对账明细接口!$AE572),"")</f>
        <v/>
      </c>
      <c r="AJ572" s="7" t="str">
        <f>IFERROR(IF([1]对账明细接口!$AF572=0,"",[1]对账明细接口!$AF572),"")</f>
        <v/>
      </c>
    </row>
    <row r="573" ht="14.25" customHeight="1" spans="1:36">
      <c r="A573" s="14">
        <v>573</v>
      </c>
      <c r="B573" s="15" t="str">
        <f>IFERROR(IF([1]对账明细接口!$B$573=0,"",[1]对账明细接口!$B$573),"")</f>
        <v/>
      </c>
      <c r="C573" s="16" t="str">
        <f>IFERROR(IF([1]对账明细接口!$C$573=0,"",[1]对账明细接口!$C$573),"")</f>
        <v/>
      </c>
      <c r="D573" s="16" t="str">
        <f>IFERROR(IF([1]对账明细接口!$D$573=0,"",[1]对账明细接口!$D$573),"")</f>
        <v/>
      </c>
      <c r="E573" s="16" t="str">
        <f>IFERROR(IF([1]对账明细接口!$E$573=0,"",[1]对账明细接口!$E$573),"")</f>
        <v/>
      </c>
      <c r="F573" s="16" t="str">
        <f>IFERROR(IF([1]对账明细接口!$F$573=0,"",[1]对账明细接口!$F$573),"")</f>
        <v/>
      </c>
      <c r="G573" s="16" t="str">
        <f>IFERROR(IF([1]对账明细接口!$G$573=0,"",[1]对账明细接口!$G$573),"")</f>
        <v/>
      </c>
      <c r="H573" s="17" t="str">
        <f>IFERROR(IF([1]对账明细接口!$H$573=0,"",[1]对账明细接口!$H$573),"")</f>
        <v/>
      </c>
      <c r="I573" s="16" t="str">
        <f>IFERROR(IF([1]对账明细接口!$I$573=0,"",[1]对账明细接口!$I$573),"")</f>
        <v/>
      </c>
      <c r="J573" s="18" t="str">
        <f>IFERROR(IF([1]对账明细接口!$J$573=0,"",[1]对账明细接口!$J$573),"")</f>
        <v/>
      </c>
      <c r="K573" s="18" t="str">
        <f>IFERROR(IF([1]对账明细接口!$K$573=0,"",[1]对账明细接口!$K$573),"")</f>
        <v/>
      </c>
      <c r="L573" s="16" t="str">
        <f>IFERROR(IF([1]对账明细接口!$L$573=0,"",[1]对账明细接口!$L$573),"")</f>
        <v/>
      </c>
      <c r="M573" s="16" t="str">
        <f>IFERROR(IF([1]对账明细接口!$M$573=0,"",[1]对账明细接口!$M$573),"")</f>
        <v/>
      </c>
      <c r="N573" s="19">
        <f t="shared" si="16"/>
        <v>0</v>
      </c>
      <c r="O573" s="19">
        <f t="shared" si="17"/>
        <v>420</v>
      </c>
      <c r="S573" s="20" t="str">
        <f>IFERROR(IF([1]对账明细接口!$N573=0,"",[1]对账明细接口!$N573),"")</f>
        <v/>
      </c>
      <c r="T573" s="21" t="str">
        <f>IFERROR(IF([1]对账明细接口!$O573=0,"",[1]对账明细接口!$O573),"")</f>
        <v/>
      </c>
      <c r="U573" s="21" t="str">
        <f>IFERROR(IF([1]对账明细接口!$P573=0,"",[1]对账明细接口!$P573),"")</f>
        <v/>
      </c>
      <c r="V573" s="21" t="str">
        <f>IFERROR(IF([1]对账明细接口!$Q573=0,"",[1]对账明细接口!$Q573),"")</f>
        <v/>
      </c>
      <c r="W573" s="20" t="str">
        <f>IFERROR(IF([1]对账明细接口!$R573=0,"",[1]对账明细接口!$R573),"")</f>
        <v/>
      </c>
      <c r="X573" s="20" t="str">
        <f>IFERROR(IF([1]对账明细接口!$S573=0,"",[1]对账明细接口!$S573),"")</f>
        <v/>
      </c>
      <c r="Y573" s="20" t="str">
        <f>IFERROR(IF([1]对账明细接口!$T573=0,"",[1]对账明细接口!$T573),"")</f>
        <v/>
      </c>
      <c r="Z573" s="24" t="str">
        <f>IFERROR(IF([1]对账明细接口!$U573=0,"",[1]对账明细接口!$U573),"")</f>
        <v/>
      </c>
      <c r="AA573" s="24" t="str">
        <f>IFERROR(IF([1]对账明细接口!$V573=0,"",[1]对账明细接口!$V573),"")</f>
        <v/>
      </c>
      <c r="AB573" s="20" t="str">
        <f>IFERROR(IF([1]对账明细接口!$W573=0,"",[1]对账明细接口!$W573),"")</f>
        <v/>
      </c>
      <c r="AC573" s="7" t="str">
        <f>IFERROR(IF([1]对账明细接口!$X573=0,"",[1]对账明细接口!$X573),"")</f>
        <v/>
      </c>
      <c r="AD573" s="7" t="str">
        <f>IFERROR(IF([1]对账明细接口!$Y573=0,"",[1]对账明细接口!$Y573),"")</f>
        <v/>
      </c>
      <c r="AE573" s="7" t="str">
        <f>IFERROR(IF([1]对账明细接口!$AA573=0,"",[1]对账明细接口!$AA573),"")</f>
        <v/>
      </c>
      <c r="AF573" s="7" t="str">
        <f>IFERROR(IF([1]对账明细接口!$AB573=0,"",[1]对账明细接口!$AB573),"")</f>
        <v/>
      </c>
      <c r="AG573" s="7" t="str">
        <f>IFERROR(IF([1]对账明细接口!$AC573=0,"",[1]对账明细接口!$AC573),"")</f>
        <v/>
      </c>
      <c r="AH573" s="7" t="str">
        <f>IFERROR(IF([1]对账明细接口!$AD573=0,"",[1]对账明细接口!$AD573),"")</f>
        <v/>
      </c>
      <c r="AI573" s="7" t="str">
        <f>IFERROR(IF([1]对账明细接口!$AE573=0,"",[1]对账明细接口!$AE573),"")</f>
        <v/>
      </c>
      <c r="AJ573" s="7" t="str">
        <f>IFERROR(IF([1]对账明细接口!$AF573=0,"",[1]对账明细接口!$AF573),"")</f>
        <v/>
      </c>
    </row>
    <row r="574" ht="14.25" customHeight="1" spans="1:36">
      <c r="A574" s="14">
        <v>574</v>
      </c>
      <c r="B574" s="15" t="str">
        <f>IFERROR(IF([1]对账明细接口!$B$574=0,"",[1]对账明细接口!$B$574),"")</f>
        <v/>
      </c>
      <c r="C574" s="16" t="str">
        <f>IFERROR(IF([1]对账明细接口!$C$574=0,"",[1]对账明细接口!$C$574),"")</f>
        <v/>
      </c>
      <c r="D574" s="16" t="str">
        <f>IFERROR(IF([1]对账明细接口!$D$574=0,"",[1]对账明细接口!$D$574),"")</f>
        <v/>
      </c>
      <c r="E574" s="16" t="str">
        <f>IFERROR(IF([1]对账明细接口!$E$574=0,"",[1]对账明细接口!$E$574),"")</f>
        <v/>
      </c>
      <c r="F574" s="16" t="str">
        <f>IFERROR(IF([1]对账明细接口!$F$574=0,"",[1]对账明细接口!$F$574),"")</f>
        <v/>
      </c>
      <c r="G574" s="16" t="str">
        <f>IFERROR(IF([1]对账明细接口!$G$574=0,"",[1]对账明细接口!$G$574),"")</f>
        <v/>
      </c>
      <c r="H574" s="17" t="str">
        <f>IFERROR(IF([1]对账明细接口!$H$574=0,"",[1]对账明细接口!$H$574),"")</f>
        <v/>
      </c>
      <c r="I574" s="16" t="str">
        <f>IFERROR(IF([1]对账明细接口!$I$574=0,"",[1]对账明细接口!$I$574),"")</f>
        <v/>
      </c>
      <c r="J574" s="18" t="str">
        <f>IFERROR(IF([1]对账明细接口!$J$574=0,"",[1]对账明细接口!$J$574),"")</f>
        <v/>
      </c>
      <c r="K574" s="18" t="str">
        <f>IFERROR(IF([1]对账明细接口!$K$574=0,"",[1]对账明细接口!$K$574),"")</f>
        <v/>
      </c>
      <c r="L574" s="16" t="str">
        <f>IFERROR(IF([1]对账明细接口!$L$574=0,"",[1]对账明细接口!$L$574),"")</f>
        <v/>
      </c>
      <c r="M574" s="16" t="str">
        <f>IFERROR(IF([1]对账明细接口!$M$574=0,"",[1]对账明细接口!$M$574),"")</f>
        <v/>
      </c>
      <c r="N574" s="19">
        <f t="shared" si="16"/>
        <v>0</v>
      </c>
      <c r="O574" s="19">
        <f t="shared" si="17"/>
        <v>420</v>
      </c>
      <c r="S574" s="20" t="str">
        <f>IFERROR(IF([1]对账明细接口!$N574=0,"",[1]对账明细接口!$N574),"")</f>
        <v/>
      </c>
      <c r="T574" s="21" t="str">
        <f>IFERROR(IF([1]对账明细接口!$O574=0,"",[1]对账明细接口!$O574),"")</f>
        <v/>
      </c>
      <c r="U574" s="21" t="str">
        <f>IFERROR(IF([1]对账明细接口!$P574=0,"",[1]对账明细接口!$P574),"")</f>
        <v/>
      </c>
      <c r="V574" s="21" t="str">
        <f>IFERROR(IF([1]对账明细接口!$Q574=0,"",[1]对账明细接口!$Q574),"")</f>
        <v/>
      </c>
      <c r="W574" s="20" t="str">
        <f>IFERROR(IF([1]对账明细接口!$R574=0,"",[1]对账明细接口!$R574),"")</f>
        <v/>
      </c>
      <c r="X574" s="20" t="str">
        <f>IFERROR(IF([1]对账明细接口!$S574=0,"",[1]对账明细接口!$S574),"")</f>
        <v/>
      </c>
      <c r="Y574" s="20" t="str">
        <f>IFERROR(IF([1]对账明细接口!$T574=0,"",[1]对账明细接口!$T574),"")</f>
        <v/>
      </c>
      <c r="Z574" s="24" t="str">
        <f>IFERROR(IF([1]对账明细接口!$U574=0,"",[1]对账明细接口!$U574),"")</f>
        <v/>
      </c>
      <c r="AA574" s="24" t="str">
        <f>IFERROR(IF([1]对账明细接口!$V574=0,"",[1]对账明细接口!$V574),"")</f>
        <v/>
      </c>
      <c r="AB574" s="20" t="str">
        <f>IFERROR(IF([1]对账明细接口!$W574=0,"",[1]对账明细接口!$W574),"")</f>
        <v/>
      </c>
      <c r="AC574" s="7" t="str">
        <f>IFERROR(IF([1]对账明细接口!$X574=0,"",[1]对账明细接口!$X574),"")</f>
        <v/>
      </c>
      <c r="AD574" s="7" t="str">
        <f>IFERROR(IF([1]对账明细接口!$Y574=0,"",[1]对账明细接口!$Y574),"")</f>
        <v/>
      </c>
      <c r="AE574" s="7" t="str">
        <f>IFERROR(IF([1]对账明细接口!$AA574=0,"",[1]对账明细接口!$AA574),"")</f>
        <v/>
      </c>
      <c r="AF574" s="7" t="str">
        <f>IFERROR(IF([1]对账明细接口!$AB574=0,"",[1]对账明细接口!$AB574),"")</f>
        <v/>
      </c>
      <c r="AG574" s="7" t="str">
        <f>IFERROR(IF([1]对账明细接口!$AC574=0,"",[1]对账明细接口!$AC574),"")</f>
        <v/>
      </c>
      <c r="AH574" s="7" t="str">
        <f>IFERROR(IF([1]对账明细接口!$AD574=0,"",[1]对账明细接口!$AD574),"")</f>
        <v/>
      </c>
      <c r="AI574" s="7" t="str">
        <f>IFERROR(IF([1]对账明细接口!$AE574=0,"",[1]对账明细接口!$AE574),"")</f>
        <v/>
      </c>
      <c r="AJ574" s="7" t="str">
        <f>IFERROR(IF([1]对账明细接口!$AF574=0,"",[1]对账明细接口!$AF574),"")</f>
        <v/>
      </c>
    </row>
    <row r="575" ht="14.25" customHeight="1" spans="1:36">
      <c r="A575" s="14">
        <v>575</v>
      </c>
      <c r="B575" s="15" t="str">
        <f>IFERROR(IF([1]对账明细接口!$B$575=0,"",[1]对账明细接口!$B$575),"")</f>
        <v/>
      </c>
      <c r="C575" s="16" t="str">
        <f>IFERROR(IF([1]对账明细接口!$C$575=0,"",[1]对账明细接口!$C$575),"")</f>
        <v/>
      </c>
      <c r="D575" s="16" t="str">
        <f>IFERROR(IF([1]对账明细接口!$D$575=0,"",[1]对账明细接口!$D$575),"")</f>
        <v/>
      </c>
      <c r="E575" s="16" t="str">
        <f>IFERROR(IF([1]对账明细接口!$E$575=0,"",[1]对账明细接口!$E$575),"")</f>
        <v/>
      </c>
      <c r="F575" s="16" t="str">
        <f>IFERROR(IF([1]对账明细接口!$F$575=0,"",[1]对账明细接口!$F$575),"")</f>
        <v/>
      </c>
      <c r="G575" s="16" t="str">
        <f>IFERROR(IF([1]对账明细接口!$G$575=0,"",[1]对账明细接口!$G$575),"")</f>
        <v/>
      </c>
      <c r="H575" s="17" t="str">
        <f>IFERROR(IF([1]对账明细接口!$H$575=0,"",[1]对账明细接口!$H$575),"")</f>
        <v/>
      </c>
      <c r="I575" s="16" t="str">
        <f>IFERROR(IF([1]对账明细接口!$I$575=0,"",[1]对账明细接口!$I$575),"")</f>
        <v/>
      </c>
      <c r="J575" s="18" t="str">
        <f>IFERROR(IF([1]对账明细接口!$J$575=0,"",[1]对账明细接口!$J$575),"")</f>
        <v/>
      </c>
      <c r="K575" s="18" t="str">
        <f>IFERROR(IF([1]对账明细接口!$K$575=0,"",[1]对账明细接口!$K$575),"")</f>
        <v/>
      </c>
      <c r="L575" s="16" t="str">
        <f>IFERROR(IF([1]对账明细接口!$L$575=0,"",[1]对账明细接口!$L$575),"")</f>
        <v/>
      </c>
      <c r="M575" s="16" t="str">
        <f>IFERROR(IF([1]对账明细接口!$M$575=0,"",[1]对账明细接口!$M$575),"")</f>
        <v/>
      </c>
      <c r="N575" s="19">
        <f t="shared" si="16"/>
        <v>0</v>
      </c>
      <c r="O575" s="19">
        <f t="shared" si="17"/>
        <v>420</v>
      </c>
      <c r="S575" s="20" t="str">
        <f>IFERROR(IF([1]对账明细接口!$N575=0,"",[1]对账明细接口!$N575),"")</f>
        <v/>
      </c>
      <c r="T575" s="21" t="str">
        <f>IFERROR(IF([1]对账明细接口!$O575=0,"",[1]对账明细接口!$O575),"")</f>
        <v/>
      </c>
      <c r="U575" s="21" t="str">
        <f>IFERROR(IF([1]对账明细接口!$P575=0,"",[1]对账明细接口!$P575),"")</f>
        <v/>
      </c>
      <c r="V575" s="21" t="str">
        <f>IFERROR(IF([1]对账明细接口!$Q575=0,"",[1]对账明细接口!$Q575),"")</f>
        <v/>
      </c>
      <c r="W575" s="20" t="str">
        <f>IFERROR(IF([1]对账明细接口!$R575=0,"",[1]对账明细接口!$R575),"")</f>
        <v/>
      </c>
      <c r="X575" s="20" t="str">
        <f>IFERROR(IF([1]对账明细接口!$S575=0,"",[1]对账明细接口!$S575),"")</f>
        <v/>
      </c>
      <c r="Y575" s="20" t="str">
        <f>IFERROR(IF([1]对账明细接口!$T575=0,"",[1]对账明细接口!$T575),"")</f>
        <v/>
      </c>
      <c r="Z575" s="24" t="str">
        <f>IFERROR(IF([1]对账明细接口!$U575=0,"",[1]对账明细接口!$U575),"")</f>
        <v/>
      </c>
      <c r="AA575" s="24" t="str">
        <f>IFERROR(IF([1]对账明细接口!$V575=0,"",[1]对账明细接口!$V575),"")</f>
        <v/>
      </c>
      <c r="AB575" s="20" t="str">
        <f>IFERROR(IF([1]对账明细接口!$W575=0,"",[1]对账明细接口!$W575),"")</f>
        <v/>
      </c>
      <c r="AC575" s="7" t="str">
        <f>IFERROR(IF([1]对账明细接口!$X575=0,"",[1]对账明细接口!$X575),"")</f>
        <v/>
      </c>
      <c r="AD575" s="7" t="str">
        <f>IFERROR(IF([1]对账明细接口!$Y575=0,"",[1]对账明细接口!$Y575),"")</f>
        <v/>
      </c>
      <c r="AE575" s="7" t="str">
        <f>IFERROR(IF([1]对账明细接口!$AA575=0,"",[1]对账明细接口!$AA575),"")</f>
        <v/>
      </c>
      <c r="AF575" s="7" t="str">
        <f>IFERROR(IF([1]对账明细接口!$AB575=0,"",[1]对账明细接口!$AB575),"")</f>
        <v/>
      </c>
      <c r="AG575" s="7" t="str">
        <f>IFERROR(IF([1]对账明细接口!$AC575=0,"",[1]对账明细接口!$AC575),"")</f>
        <v/>
      </c>
      <c r="AH575" s="7" t="str">
        <f>IFERROR(IF([1]对账明细接口!$AD575=0,"",[1]对账明细接口!$AD575),"")</f>
        <v/>
      </c>
      <c r="AI575" s="7" t="str">
        <f>IFERROR(IF([1]对账明细接口!$AE575=0,"",[1]对账明细接口!$AE575),"")</f>
        <v/>
      </c>
      <c r="AJ575" s="7" t="str">
        <f>IFERROR(IF([1]对账明细接口!$AF575=0,"",[1]对账明细接口!$AF575),"")</f>
        <v/>
      </c>
    </row>
    <row r="576" ht="14.25" customHeight="1" spans="1:36">
      <c r="A576" s="14">
        <v>576</v>
      </c>
      <c r="B576" s="15" t="str">
        <f>IFERROR(IF([1]对账明细接口!$B$576=0,"",[1]对账明细接口!$B$576),"")</f>
        <v/>
      </c>
      <c r="C576" s="16" t="str">
        <f>IFERROR(IF([1]对账明细接口!$C$576=0,"",[1]对账明细接口!$C$576),"")</f>
        <v/>
      </c>
      <c r="D576" s="16" t="str">
        <f>IFERROR(IF([1]对账明细接口!$D$576=0,"",[1]对账明细接口!$D$576),"")</f>
        <v/>
      </c>
      <c r="E576" s="16" t="str">
        <f>IFERROR(IF([1]对账明细接口!$E$576=0,"",[1]对账明细接口!$E$576),"")</f>
        <v/>
      </c>
      <c r="F576" s="16" t="str">
        <f>IFERROR(IF([1]对账明细接口!$F$576=0,"",[1]对账明细接口!$F$576),"")</f>
        <v/>
      </c>
      <c r="G576" s="16" t="str">
        <f>IFERROR(IF([1]对账明细接口!$G$576=0,"",[1]对账明细接口!$G$576),"")</f>
        <v/>
      </c>
      <c r="H576" s="17" t="str">
        <f>IFERROR(IF([1]对账明细接口!$H$576=0,"",[1]对账明细接口!$H$576),"")</f>
        <v/>
      </c>
      <c r="I576" s="16" t="str">
        <f>IFERROR(IF([1]对账明细接口!$I$576=0,"",[1]对账明细接口!$I$576),"")</f>
        <v/>
      </c>
      <c r="J576" s="18" t="str">
        <f>IFERROR(IF([1]对账明细接口!$J$576=0,"",[1]对账明细接口!$J$576),"")</f>
        <v/>
      </c>
      <c r="K576" s="18" t="str">
        <f>IFERROR(IF([1]对账明细接口!$K$576=0,"",[1]对账明细接口!$K$576),"")</f>
        <v/>
      </c>
      <c r="L576" s="16" t="str">
        <f>IFERROR(IF([1]对账明细接口!$L$576=0,"",[1]对账明细接口!$L$576),"")</f>
        <v/>
      </c>
      <c r="M576" s="16" t="str">
        <f>IFERROR(IF([1]对账明细接口!$M$576=0,"",[1]对账明细接口!$M$576),"")</f>
        <v/>
      </c>
      <c r="N576" s="19">
        <f t="shared" si="16"/>
        <v>0</v>
      </c>
      <c r="O576" s="19">
        <f t="shared" si="17"/>
        <v>420</v>
      </c>
      <c r="S576" s="20" t="str">
        <f>IFERROR(IF([1]对账明细接口!$N576=0,"",[1]对账明细接口!$N576),"")</f>
        <v/>
      </c>
      <c r="T576" s="21" t="str">
        <f>IFERROR(IF([1]对账明细接口!$O576=0,"",[1]对账明细接口!$O576),"")</f>
        <v/>
      </c>
      <c r="U576" s="21" t="str">
        <f>IFERROR(IF([1]对账明细接口!$P576=0,"",[1]对账明细接口!$P576),"")</f>
        <v/>
      </c>
      <c r="V576" s="21" t="str">
        <f>IFERROR(IF([1]对账明细接口!$Q576=0,"",[1]对账明细接口!$Q576),"")</f>
        <v/>
      </c>
      <c r="W576" s="20" t="str">
        <f>IFERROR(IF([1]对账明细接口!$R576=0,"",[1]对账明细接口!$R576),"")</f>
        <v/>
      </c>
      <c r="X576" s="20" t="str">
        <f>IFERROR(IF([1]对账明细接口!$S576=0,"",[1]对账明细接口!$S576),"")</f>
        <v/>
      </c>
      <c r="Y576" s="20" t="str">
        <f>IFERROR(IF([1]对账明细接口!$T576=0,"",[1]对账明细接口!$T576),"")</f>
        <v/>
      </c>
      <c r="Z576" s="24" t="str">
        <f>IFERROR(IF([1]对账明细接口!$U576=0,"",[1]对账明细接口!$U576),"")</f>
        <v/>
      </c>
      <c r="AA576" s="24" t="str">
        <f>IFERROR(IF([1]对账明细接口!$V576=0,"",[1]对账明细接口!$V576),"")</f>
        <v/>
      </c>
      <c r="AB576" s="20" t="str">
        <f>IFERROR(IF([1]对账明细接口!$W576=0,"",[1]对账明细接口!$W576),"")</f>
        <v/>
      </c>
      <c r="AC576" s="7" t="str">
        <f>IFERROR(IF([1]对账明细接口!$X576=0,"",[1]对账明细接口!$X576),"")</f>
        <v/>
      </c>
      <c r="AD576" s="7" t="str">
        <f>IFERROR(IF([1]对账明细接口!$Y576=0,"",[1]对账明细接口!$Y576),"")</f>
        <v/>
      </c>
      <c r="AE576" s="7" t="str">
        <f>IFERROR(IF([1]对账明细接口!$AA576=0,"",[1]对账明细接口!$AA576),"")</f>
        <v/>
      </c>
      <c r="AF576" s="7" t="str">
        <f>IFERROR(IF([1]对账明细接口!$AB576=0,"",[1]对账明细接口!$AB576),"")</f>
        <v/>
      </c>
      <c r="AG576" s="7" t="str">
        <f>IFERROR(IF([1]对账明细接口!$AC576=0,"",[1]对账明细接口!$AC576),"")</f>
        <v/>
      </c>
      <c r="AH576" s="7" t="str">
        <f>IFERROR(IF([1]对账明细接口!$AD576=0,"",[1]对账明细接口!$AD576),"")</f>
        <v/>
      </c>
      <c r="AI576" s="7" t="str">
        <f>IFERROR(IF([1]对账明细接口!$AE576=0,"",[1]对账明细接口!$AE576),"")</f>
        <v/>
      </c>
      <c r="AJ576" s="7" t="str">
        <f>IFERROR(IF([1]对账明细接口!$AF576=0,"",[1]对账明细接口!$AF576),"")</f>
        <v/>
      </c>
    </row>
    <row r="577" ht="14.25" customHeight="1" spans="1:36">
      <c r="A577" s="14">
        <v>577</v>
      </c>
      <c r="B577" s="15" t="str">
        <f>IFERROR(IF([1]对账明细接口!$B$577=0,"",[1]对账明细接口!$B$577),"")</f>
        <v/>
      </c>
      <c r="C577" s="16" t="str">
        <f>IFERROR(IF([1]对账明细接口!$C$577=0,"",[1]对账明细接口!$C$577),"")</f>
        <v/>
      </c>
      <c r="D577" s="16" t="str">
        <f>IFERROR(IF([1]对账明细接口!$D$577=0,"",[1]对账明细接口!$D$577),"")</f>
        <v/>
      </c>
      <c r="E577" s="16" t="str">
        <f>IFERROR(IF([1]对账明细接口!$E$577=0,"",[1]对账明细接口!$E$577),"")</f>
        <v/>
      </c>
      <c r="F577" s="16" t="str">
        <f>IFERROR(IF([1]对账明细接口!$F$577=0,"",[1]对账明细接口!$F$577),"")</f>
        <v/>
      </c>
      <c r="G577" s="16" t="str">
        <f>IFERROR(IF([1]对账明细接口!$G$577=0,"",[1]对账明细接口!$G$577),"")</f>
        <v/>
      </c>
      <c r="H577" s="17" t="str">
        <f>IFERROR(IF([1]对账明细接口!$H$577=0,"",[1]对账明细接口!$H$577),"")</f>
        <v/>
      </c>
      <c r="I577" s="16" t="str">
        <f>IFERROR(IF([1]对账明细接口!$I$577=0,"",[1]对账明细接口!$I$577),"")</f>
        <v/>
      </c>
      <c r="J577" s="18" t="str">
        <f>IFERROR(IF([1]对账明细接口!$J$577=0,"",[1]对账明细接口!$J$577),"")</f>
        <v/>
      </c>
      <c r="K577" s="18" t="str">
        <f>IFERROR(IF([1]对账明细接口!$K$577=0,"",[1]对账明细接口!$K$577),"")</f>
        <v/>
      </c>
      <c r="L577" s="16" t="str">
        <f>IFERROR(IF([1]对账明细接口!$L$577=0,"",[1]对账明细接口!$L$577),"")</f>
        <v/>
      </c>
      <c r="M577" s="16" t="str">
        <f>IFERROR(IF([1]对账明细接口!$M$577=0,"",[1]对账明细接口!$M$577),"")</f>
        <v/>
      </c>
      <c r="N577" s="19">
        <f t="shared" si="16"/>
        <v>0</v>
      </c>
      <c r="O577" s="19">
        <f t="shared" si="17"/>
        <v>420</v>
      </c>
      <c r="S577" s="20" t="str">
        <f>IFERROR(IF([1]对账明细接口!$N577=0,"",[1]对账明细接口!$N577),"")</f>
        <v/>
      </c>
      <c r="T577" s="21" t="str">
        <f>IFERROR(IF([1]对账明细接口!$O577=0,"",[1]对账明细接口!$O577),"")</f>
        <v/>
      </c>
      <c r="U577" s="21" t="str">
        <f>IFERROR(IF([1]对账明细接口!$P577=0,"",[1]对账明细接口!$P577),"")</f>
        <v/>
      </c>
      <c r="V577" s="21" t="str">
        <f>IFERROR(IF([1]对账明细接口!$Q577=0,"",[1]对账明细接口!$Q577),"")</f>
        <v/>
      </c>
      <c r="W577" s="20" t="str">
        <f>IFERROR(IF([1]对账明细接口!$R577=0,"",[1]对账明细接口!$R577),"")</f>
        <v/>
      </c>
      <c r="X577" s="20" t="str">
        <f>IFERROR(IF([1]对账明细接口!$S577=0,"",[1]对账明细接口!$S577),"")</f>
        <v/>
      </c>
      <c r="Y577" s="20" t="str">
        <f>IFERROR(IF([1]对账明细接口!$T577=0,"",[1]对账明细接口!$T577),"")</f>
        <v/>
      </c>
      <c r="Z577" s="24" t="str">
        <f>IFERROR(IF([1]对账明细接口!$U577=0,"",[1]对账明细接口!$U577),"")</f>
        <v/>
      </c>
      <c r="AA577" s="24" t="str">
        <f>IFERROR(IF([1]对账明细接口!$V577=0,"",[1]对账明细接口!$V577),"")</f>
        <v/>
      </c>
      <c r="AB577" s="20" t="str">
        <f>IFERROR(IF([1]对账明细接口!$W577=0,"",[1]对账明细接口!$W577),"")</f>
        <v/>
      </c>
      <c r="AC577" s="7" t="str">
        <f>IFERROR(IF([1]对账明细接口!$X577=0,"",[1]对账明细接口!$X577),"")</f>
        <v/>
      </c>
      <c r="AD577" s="7" t="str">
        <f>IFERROR(IF([1]对账明细接口!$Y577=0,"",[1]对账明细接口!$Y577),"")</f>
        <v/>
      </c>
      <c r="AE577" s="7" t="str">
        <f>IFERROR(IF([1]对账明细接口!$AA577=0,"",[1]对账明细接口!$AA577),"")</f>
        <v/>
      </c>
      <c r="AF577" s="7" t="str">
        <f>IFERROR(IF([1]对账明细接口!$AB577=0,"",[1]对账明细接口!$AB577),"")</f>
        <v/>
      </c>
      <c r="AG577" s="7" t="str">
        <f>IFERROR(IF([1]对账明细接口!$AC577=0,"",[1]对账明细接口!$AC577),"")</f>
        <v/>
      </c>
      <c r="AH577" s="7" t="str">
        <f>IFERROR(IF([1]对账明细接口!$AD577=0,"",[1]对账明细接口!$AD577),"")</f>
        <v/>
      </c>
      <c r="AI577" s="7" t="str">
        <f>IFERROR(IF([1]对账明细接口!$AE577=0,"",[1]对账明细接口!$AE577),"")</f>
        <v/>
      </c>
      <c r="AJ577" s="7" t="str">
        <f>IFERROR(IF([1]对账明细接口!$AF577=0,"",[1]对账明细接口!$AF577),"")</f>
        <v/>
      </c>
    </row>
    <row r="578" ht="14.25" customHeight="1" spans="1:36">
      <c r="A578" s="14">
        <v>578</v>
      </c>
      <c r="B578" s="15" t="str">
        <f>IFERROR(IF([1]对账明细接口!$B$578=0,"",[1]对账明细接口!$B$578),"")</f>
        <v/>
      </c>
      <c r="C578" s="16" t="str">
        <f>IFERROR(IF([1]对账明细接口!$C$578=0,"",[1]对账明细接口!$C$578),"")</f>
        <v/>
      </c>
      <c r="D578" s="16" t="str">
        <f>IFERROR(IF([1]对账明细接口!$D$578=0,"",[1]对账明细接口!$D$578),"")</f>
        <v/>
      </c>
      <c r="E578" s="16" t="str">
        <f>IFERROR(IF([1]对账明细接口!$E$578=0,"",[1]对账明细接口!$E$578),"")</f>
        <v/>
      </c>
      <c r="F578" s="16" t="str">
        <f>IFERROR(IF([1]对账明细接口!$F$578=0,"",[1]对账明细接口!$F$578),"")</f>
        <v/>
      </c>
      <c r="G578" s="16" t="str">
        <f>IFERROR(IF([1]对账明细接口!$G$578=0,"",[1]对账明细接口!$G$578),"")</f>
        <v/>
      </c>
      <c r="H578" s="17" t="str">
        <f>IFERROR(IF([1]对账明细接口!$H$578=0,"",[1]对账明细接口!$H$578),"")</f>
        <v/>
      </c>
      <c r="I578" s="16" t="str">
        <f>IFERROR(IF([1]对账明细接口!$I$578=0,"",[1]对账明细接口!$I$578),"")</f>
        <v/>
      </c>
      <c r="J578" s="18" t="str">
        <f>IFERROR(IF([1]对账明细接口!$J$578=0,"",[1]对账明细接口!$J$578),"")</f>
        <v/>
      </c>
      <c r="K578" s="18" t="str">
        <f>IFERROR(IF([1]对账明细接口!$K$578=0,"",[1]对账明细接口!$K$578),"")</f>
        <v/>
      </c>
      <c r="L578" s="16" t="str">
        <f>IFERROR(IF([1]对账明细接口!$L$578=0,"",[1]对账明细接口!$L$578),"")</f>
        <v/>
      </c>
      <c r="M578" s="16" t="str">
        <f>IFERROR(IF([1]对账明细接口!$M$578=0,"",[1]对账明细接口!$M$578),"")</f>
        <v/>
      </c>
      <c r="N578" s="19">
        <f t="shared" si="16"/>
        <v>0</v>
      </c>
      <c r="O578" s="19">
        <f t="shared" si="17"/>
        <v>420</v>
      </c>
      <c r="S578" s="20" t="str">
        <f>IFERROR(IF([1]对账明细接口!$N578=0,"",[1]对账明细接口!$N578),"")</f>
        <v/>
      </c>
      <c r="T578" s="21" t="str">
        <f>IFERROR(IF([1]对账明细接口!$O578=0,"",[1]对账明细接口!$O578),"")</f>
        <v/>
      </c>
      <c r="U578" s="21" t="str">
        <f>IFERROR(IF([1]对账明细接口!$P578=0,"",[1]对账明细接口!$P578),"")</f>
        <v/>
      </c>
      <c r="V578" s="21" t="str">
        <f>IFERROR(IF([1]对账明细接口!$Q578=0,"",[1]对账明细接口!$Q578),"")</f>
        <v/>
      </c>
      <c r="W578" s="20" t="str">
        <f>IFERROR(IF([1]对账明细接口!$R578=0,"",[1]对账明细接口!$R578),"")</f>
        <v/>
      </c>
      <c r="X578" s="20" t="str">
        <f>IFERROR(IF([1]对账明细接口!$S578=0,"",[1]对账明细接口!$S578),"")</f>
        <v/>
      </c>
      <c r="Y578" s="20" t="str">
        <f>IFERROR(IF([1]对账明细接口!$T578=0,"",[1]对账明细接口!$T578),"")</f>
        <v/>
      </c>
      <c r="Z578" s="24" t="str">
        <f>IFERROR(IF([1]对账明细接口!$U578=0,"",[1]对账明细接口!$U578),"")</f>
        <v/>
      </c>
      <c r="AA578" s="24" t="str">
        <f>IFERROR(IF([1]对账明细接口!$V578=0,"",[1]对账明细接口!$V578),"")</f>
        <v/>
      </c>
      <c r="AB578" s="20" t="str">
        <f>IFERROR(IF([1]对账明细接口!$W578=0,"",[1]对账明细接口!$W578),"")</f>
        <v/>
      </c>
      <c r="AC578" s="7" t="str">
        <f>IFERROR(IF([1]对账明细接口!$X578=0,"",[1]对账明细接口!$X578),"")</f>
        <v/>
      </c>
      <c r="AD578" s="7" t="str">
        <f>IFERROR(IF([1]对账明细接口!$Y578=0,"",[1]对账明细接口!$Y578),"")</f>
        <v/>
      </c>
      <c r="AE578" s="7" t="str">
        <f>IFERROR(IF([1]对账明细接口!$AA578=0,"",[1]对账明细接口!$AA578),"")</f>
        <v/>
      </c>
      <c r="AF578" s="7" t="str">
        <f>IFERROR(IF([1]对账明细接口!$AB578=0,"",[1]对账明细接口!$AB578),"")</f>
        <v/>
      </c>
      <c r="AG578" s="7" t="str">
        <f>IFERROR(IF([1]对账明细接口!$AC578=0,"",[1]对账明细接口!$AC578),"")</f>
        <v/>
      </c>
      <c r="AH578" s="7" t="str">
        <f>IFERROR(IF([1]对账明细接口!$AD578=0,"",[1]对账明细接口!$AD578),"")</f>
        <v/>
      </c>
      <c r="AI578" s="7" t="str">
        <f>IFERROR(IF([1]对账明细接口!$AE578=0,"",[1]对账明细接口!$AE578),"")</f>
        <v/>
      </c>
      <c r="AJ578" s="7" t="str">
        <f>IFERROR(IF([1]对账明细接口!$AF578=0,"",[1]对账明细接口!$AF578),"")</f>
        <v/>
      </c>
    </row>
    <row r="579" ht="14.25" customHeight="1" spans="1:36">
      <c r="A579" s="14">
        <v>579</v>
      </c>
      <c r="B579" s="15" t="str">
        <f>IFERROR(IF([1]对账明细接口!$B$579=0,"",[1]对账明细接口!$B$579),"")</f>
        <v/>
      </c>
      <c r="C579" s="16" t="str">
        <f>IFERROR(IF([1]对账明细接口!$C$579=0,"",[1]对账明细接口!$C$579),"")</f>
        <v/>
      </c>
      <c r="D579" s="16" t="str">
        <f>IFERROR(IF([1]对账明细接口!$D$579=0,"",[1]对账明细接口!$D$579),"")</f>
        <v/>
      </c>
      <c r="E579" s="16" t="str">
        <f>IFERROR(IF([1]对账明细接口!$E$579=0,"",[1]对账明细接口!$E$579),"")</f>
        <v/>
      </c>
      <c r="F579" s="16" t="str">
        <f>IFERROR(IF([1]对账明细接口!$F$579=0,"",[1]对账明细接口!$F$579),"")</f>
        <v/>
      </c>
      <c r="G579" s="16" t="str">
        <f>IFERROR(IF([1]对账明细接口!$G$579=0,"",[1]对账明细接口!$G$579),"")</f>
        <v/>
      </c>
      <c r="H579" s="17" t="str">
        <f>IFERROR(IF([1]对账明细接口!$H$579=0,"",[1]对账明细接口!$H$579),"")</f>
        <v/>
      </c>
      <c r="I579" s="16" t="str">
        <f>IFERROR(IF([1]对账明细接口!$I$579=0,"",[1]对账明细接口!$I$579),"")</f>
        <v/>
      </c>
      <c r="J579" s="18" t="str">
        <f>IFERROR(IF([1]对账明细接口!$J$579=0,"",[1]对账明细接口!$J$579),"")</f>
        <v/>
      </c>
      <c r="K579" s="18" t="str">
        <f>IFERROR(IF([1]对账明细接口!$K$579=0,"",[1]对账明细接口!$K$579),"")</f>
        <v/>
      </c>
      <c r="L579" s="16" t="str">
        <f>IFERROR(IF([1]对账明细接口!$L$579=0,"",[1]对账明细接口!$L$579),"")</f>
        <v/>
      </c>
      <c r="M579" s="16" t="str">
        <f>IFERROR(IF([1]对账明细接口!$M$579=0,"",[1]对账明细接口!$M$579),"")</f>
        <v/>
      </c>
      <c r="N579" s="19">
        <f t="shared" si="16"/>
        <v>0</v>
      </c>
      <c r="O579" s="19">
        <f t="shared" si="17"/>
        <v>420</v>
      </c>
      <c r="S579" s="20" t="str">
        <f>IFERROR(IF([1]对账明细接口!$N579=0,"",[1]对账明细接口!$N579),"")</f>
        <v/>
      </c>
      <c r="T579" s="21" t="str">
        <f>IFERROR(IF([1]对账明细接口!$O579=0,"",[1]对账明细接口!$O579),"")</f>
        <v/>
      </c>
      <c r="U579" s="21" t="str">
        <f>IFERROR(IF([1]对账明细接口!$P579=0,"",[1]对账明细接口!$P579),"")</f>
        <v/>
      </c>
      <c r="V579" s="21" t="str">
        <f>IFERROR(IF([1]对账明细接口!$Q579=0,"",[1]对账明细接口!$Q579),"")</f>
        <v/>
      </c>
      <c r="W579" s="20" t="str">
        <f>IFERROR(IF([1]对账明细接口!$R579=0,"",[1]对账明细接口!$R579),"")</f>
        <v/>
      </c>
      <c r="X579" s="20" t="str">
        <f>IFERROR(IF([1]对账明细接口!$S579=0,"",[1]对账明细接口!$S579),"")</f>
        <v/>
      </c>
      <c r="Y579" s="20" t="str">
        <f>IFERROR(IF([1]对账明细接口!$T579=0,"",[1]对账明细接口!$T579),"")</f>
        <v/>
      </c>
      <c r="Z579" s="24" t="str">
        <f>IFERROR(IF([1]对账明细接口!$U579=0,"",[1]对账明细接口!$U579),"")</f>
        <v/>
      </c>
      <c r="AA579" s="24" t="str">
        <f>IFERROR(IF([1]对账明细接口!$V579=0,"",[1]对账明细接口!$V579),"")</f>
        <v/>
      </c>
      <c r="AB579" s="20" t="str">
        <f>IFERROR(IF([1]对账明细接口!$W579=0,"",[1]对账明细接口!$W579),"")</f>
        <v/>
      </c>
      <c r="AC579" s="7" t="str">
        <f>IFERROR(IF([1]对账明细接口!$X579=0,"",[1]对账明细接口!$X579),"")</f>
        <v/>
      </c>
      <c r="AD579" s="7" t="str">
        <f>IFERROR(IF([1]对账明细接口!$Y579=0,"",[1]对账明细接口!$Y579),"")</f>
        <v/>
      </c>
      <c r="AE579" s="7" t="str">
        <f>IFERROR(IF([1]对账明细接口!$AA579=0,"",[1]对账明细接口!$AA579),"")</f>
        <v/>
      </c>
      <c r="AF579" s="7" t="str">
        <f>IFERROR(IF([1]对账明细接口!$AB579=0,"",[1]对账明细接口!$AB579),"")</f>
        <v/>
      </c>
      <c r="AG579" s="7" t="str">
        <f>IFERROR(IF([1]对账明细接口!$AC579=0,"",[1]对账明细接口!$AC579),"")</f>
        <v/>
      </c>
      <c r="AH579" s="7" t="str">
        <f>IFERROR(IF([1]对账明细接口!$AD579=0,"",[1]对账明细接口!$AD579),"")</f>
        <v/>
      </c>
      <c r="AI579" s="7" t="str">
        <f>IFERROR(IF([1]对账明细接口!$AE579=0,"",[1]对账明细接口!$AE579),"")</f>
        <v/>
      </c>
      <c r="AJ579" s="7" t="str">
        <f>IFERROR(IF([1]对账明细接口!$AF579=0,"",[1]对账明细接口!$AF579),"")</f>
        <v/>
      </c>
    </row>
    <row r="580" ht="14.25" customHeight="1" spans="1:36">
      <c r="A580" s="14">
        <v>580</v>
      </c>
      <c r="B580" s="15" t="str">
        <f>IFERROR(IF([1]对账明细接口!$B$580=0,"",[1]对账明细接口!$B$580),"")</f>
        <v/>
      </c>
      <c r="C580" s="16" t="str">
        <f>IFERROR(IF([1]对账明细接口!$C$580=0,"",[1]对账明细接口!$C$580),"")</f>
        <v/>
      </c>
      <c r="D580" s="16" t="str">
        <f>IFERROR(IF([1]对账明细接口!$D$580=0,"",[1]对账明细接口!$D$580),"")</f>
        <v/>
      </c>
      <c r="E580" s="16" t="str">
        <f>IFERROR(IF([1]对账明细接口!$E$580=0,"",[1]对账明细接口!$E$580),"")</f>
        <v/>
      </c>
      <c r="F580" s="16" t="str">
        <f>IFERROR(IF([1]对账明细接口!$F$580=0,"",[1]对账明细接口!$F$580),"")</f>
        <v/>
      </c>
      <c r="G580" s="16" t="str">
        <f>IFERROR(IF([1]对账明细接口!$G$580=0,"",[1]对账明细接口!$G$580),"")</f>
        <v/>
      </c>
      <c r="H580" s="17" t="str">
        <f>IFERROR(IF([1]对账明细接口!$H$580=0,"",[1]对账明细接口!$H$580),"")</f>
        <v/>
      </c>
      <c r="I580" s="16" t="str">
        <f>IFERROR(IF([1]对账明细接口!$I$580=0,"",[1]对账明细接口!$I$580),"")</f>
        <v/>
      </c>
      <c r="J580" s="18" t="str">
        <f>IFERROR(IF([1]对账明细接口!$J$580=0,"",[1]对账明细接口!$J$580),"")</f>
        <v/>
      </c>
      <c r="K580" s="18" t="str">
        <f>IFERROR(IF([1]对账明细接口!$K$580=0,"",[1]对账明细接口!$K$580),"")</f>
        <v/>
      </c>
      <c r="L580" s="16" t="str">
        <f>IFERROR(IF([1]对账明细接口!$L$580=0,"",[1]对账明细接口!$L$580),"")</f>
        <v/>
      </c>
      <c r="M580" s="16" t="str">
        <f>IFERROR(IF([1]对账明细接口!$M$580=0,"",[1]对账明细接口!$M$580),"")</f>
        <v/>
      </c>
      <c r="N580" s="19">
        <f t="shared" ref="N580:N643" si="18">IF($C580="",0,1)</f>
        <v>0</v>
      </c>
      <c r="O580" s="19">
        <f t="shared" ref="O580:O643" si="19">N(O579)+$N580</f>
        <v>420</v>
      </c>
      <c r="S580" s="20" t="str">
        <f>IFERROR(IF([1]对账明细接口!$N580=0,"",[1]对账明细接口!$N580),"")</f>
        <v/>
      </c>
      <c r="T580" s="21" t="str">
        <f>IFERROR(IF([1]对账明细接口!$O580=0,"",[1]对账明细接口!$O580),"")</f>
        <v/>
      </c>
      <c r="U580" s="21" t="str">
        <f>IFERROR(IF([1]对账明细接口!$P580=0,"",[1]对账明细接口!$P580),"")</f>
        <v/>
      </c>
      <c r="V580" s="21" t="str">
        <f>IFERROR(IF([1]对账明细接口!$Q580=0,"",[1]对账明细接口!$Q580),"")</f>
        <v/>
      </c>
      <c r="W580" s="20" t="str">
        <f>IFERROR(IF([1]对账明细接口!$R580=0,"",[1]对账明细接口!$R580),"")</f>
        <v/>
      </c>
      <c r="X580" s="20" t="str">
        <f>IFERROR(IF([1]对账明细接口!$S580=0,"",[1]对账明细接口!$S580),"")</f>
        <v/>
      </c>
      <c r="Y580" s="20" t="str">
        <f>IFERROR(IF([1]对账明细接口!$T580=0,"",[1]对账明细接口!$T580),"")</f>
        <v/>
      </c>
      <c r="Z580" s="24" t="str">
        <f>IFERROR(IF([1]对账明细接口!$U580=0,"",[1]对账明细接口!$U580),"")</f>
        <v/>
      </c>
      <c r="AA580" s="24" t="str">
        <f>IFERROR(IF([1]对账明细接口!$V580=0,"",[1]对账明细接口!$V580),"")</f>
        <v/>
      </c>
      <c r="AB580" s="20" t="str">
        <f>IFERROR(IF([1]对账明细接口!$W580=0,"",[1]对账明细接口!$W580),"")</f>
        <v/>
      </c>
      <c r="AC580" s="7" t="str">
        <f>IFERROR(IF([1]对账明细接口!$X580=0,"",[1]对账明细接口!$X580),"")</f>
        <v/>
      </c>
      <c r="AD580" s="7" t="str">
        <f>IFERROR(IF([1]对账明细接口!$Y580=0,"",[1]对账明细接口!$Y580),"")</f>
        <v/>
      </c>
      <c r="AE580" s="7" t="str">
        <f>IFERROR(IF([1]对账明细接口!$AA580=0,"",[1]对账明细接口!$AA580),"")</f>
        <v/>
      </c>
      <c r="AF580" s="7" t="str">
        <f>IFERROR(IF([1]对账明细接口!$AB580=0,"",[1]对账明细接口!$AB580),"")</f>
        <v/>
      </c>
      <c r="AG580" s="7" t="str">
        <f>IFERROR(IF([1]对账明细接口!$AC580=0,"",[1]对账明细接口!$AC580),"")</f>
        <v/>
      </c>
      <c r="AH580" s="7" t="str">
        <f>IFERROR(IF([1]对账明细接口!$AD580=0,"",[1]对账明细接口!$AD580),"")</f>
        <v/>
      </c>
      <c r="AI580" s="7" t="str">
        <f>IFERROR(IF([1]对账明细接口!$AE580=0,"",[1]对账明细接口!$AE580),"")</f>
        <v/>
      </c>
      <c r="AJ580" s="7" t="str">
        <f>IFERROR(IF([1]对账明细接口!$AF580=0,"",[1]对账明细接口!$AF580),"")</f>
        <v/>
      </c>
    </row>
    <row r="581" ht="14.25" customHeight="1" spans="1:36">
      <c r="A581" s="14">
        <v>581</v>
      </c>
      <c r="B581" s="15" t="str">
        <f>IFERROR(IF([1]对账明细接口!$B$581=0,"",[1]对账明细接口!$B$581),"")</f>
        <v/>
      </c>
      <c r="C581" s="16" t="str">
        <f>IFERROR(IF([1]对账明细接口!$C$581=0,"",[1]对账明细接口!$C$581),"")</f>
        <v/>
      </c>
      <c r="D581" s="16" t="str">
        <f>IFERROR(IF([1]对账明细接口!$D$581=0,"",[1]对账明细接口!$D$581),"")</f>
        <v/>
      </c>
      <c r="E581" s="16" t="str">
        <f>IFERROR(IF([1]对账明细接口!$E$581=0,"",[1]对账明细接口!$E$581),"")</f>
        <v/>
      </c>
      <c r="F581" s="16" t="str">
        <f>IFERROR(IF([1]对账明细接口!$F$581=0,"",[1]对账明细接口!$F$581),"")</f>
        <v/>
      </c>
      <c r="G581" s="16" t="str">
        <f>IFERROR(IF([1]对账明细接口!$G$581=0,"",[1]对账明细接口!$G$581),"")</f>
        <v/>
      </c>
      <c r="H581" s="17" t="str">
        <f>IFERROR(IF([1]对账明细接口!$H$581=0,"",[1]对账明细接口!$H$581),"")</f>
        <v/>
      </c>
      <c r="I581" s="16" t="str">
        <f>IFERROR(IF([1]对账明细接口!$I$581=0,"",[1]对账明细接口!$I$581),"")</f>
        <v/>
      </c>
      <c r="J581" s="18" t="str">
        <f>IFERROR(IF([1]对账明细接口!$J$581=0,"",[1]对账明细接口!$J$581),"")</f>
        <v/>
      </c>
      <c r="K581" s="18" t="str">
        <f>IFERROR(IF([1]对账明细接口!$K$581=0,"",[1]对账明细接口!$K$581),"")</f>
        <v/>
      </c>
      <c r="L581" s="16" t="str">
        <f>IFERROR(IF([1]对账明细接口!$L$581=0,"",[1]对账明细接口!$L$581),"")</f>
        <v/>
      </c>
      <c r="M581" s="16" t="str">
        <f>IFERROR(IF([1]对账明细接口!$M$581=0,"",[1]对账明细接口!$M$581),"")</f>
        <v/>
      </c>
      <c r="N581" s="19">
        <f t="shared" si="18"/>
        <v>0</v>
      </c>
      <c r="O581" s="19">
        <f t="shared" si="19"/>
        <v>420</v>
      </c>
      <c r="S581" s="20" t="str">
        <f>IFERROR(IF([1]对账明细接口!$N581=0,"",[1]对账明细接口!$N581),"")</f>
        <v/>
      </c>
      <c r="T581" s="21" t="str">
        <f>IFERROR(IF([1]对账明细接口!$O581=0,"",[1]对账明细接口!$O581),"")</f>
        <v/>
      </c>
      <c r="U581" s="21" t="str">
        <f>IFERROR(IF([1]对账明细接口!$P581=0,"",[1]对账明细接口!$P581),"")</f>
        <v/>
      </c>
      <c r="V581" s="21" t="str">
        <f>IFERROR(IF([1]对账明细接口!$Q581=0,"",[1]对账明细接口!$Q581),"")</f>
        <v/>
      </c>
      <c r="W581" s="20" t="str">
        <f>IFERROR(IF([1]对账明细接口!$R581=0,"",[1]对账明细接口!$R581),"")</f>
        <v/>
      </c>
      <c r="X581" s="20" t="str">
        <f>IFERROR(IF([1]对账明细接口!$S581=0,"",[1]对账明细接口!$S581),"")</f>
        <v/>
      </c>
      <c r="Y581" s="20" t="str">
        <f>IFERROR(IF([1]对账明细接口!$T581=0,"",[1]对账明细接口!$T581),"")</f>
        <v/>
      </c>
      <c r="Z581" s="24" t="str">
        <f>IFERROR(IF([1]对账明细接口!$U581=0,"",[1]对账明细接口!$U581),"")</f>
        <v/>
      </c>
      <c r="AA581" s="24" t="str">
        <f>IFERROR(IF([1]对账明细接口!$V581=0,"",[1]对账明细接口!$V581),"")</f>
        <v/>
      </c>
      <c r="AB581" s="20" t="str">
        <f>IFERROR(IF([1]对账明细接口!$W581=0,"",[1]对账明细接口!$W581),"")</f>
        <v/>
      </c>
      <c r="AC581" s="7" t="str">
        <f>IFERROR(IF([1]对账明细接口!$X581=0,"",[1]对账明细接口!$X581),"")</f>
        <v/>
      </c>
      <c r="AD581" s="7" t="str">
        <f>IFERROR(IF([1]对账明细接口!$Y581=0,"",[1]对账明细接口!$Y581),"")</f>
        <v/>
      </c>
      <c r="AE581" s="7" t="str">
        <f>IFERROR(IF([1]对账明细接口!$AA581=0,"",[1]对账明细接口!$AA581),"")</f>
        <v/>
      </c>
      <c r="AF581" s="7" t="str">
        <f>IFERROR(IF([1]对账明细接口!$AB581=0,"",[1]对账明细接口!$AB581),"")</f>
        <v/>
      </c>
      <c r="AG581" s="7" t="str">
        <f>IFERROR(IF([1]对账明细接口!$AC581=0,"",[1]对账明细接口!$AC581),"")</f>
        <v/>
      </c>
      <c r="AH581" s="7" t="str">
        <f>IFERROR(IF([1]对账明细接口!$AD581=0,"",[1]对账明细接口!$AD581),"")</f>
        <v/>
      </c>
      <c r="AI581" s="7" t="str">
        <f>IFERROR(IF([1]对账明细接口!$AE581=0,"",[1]对账明细接口!$AE581),"")</f>
        <v/>
      </c>
      <c r="AJ581" s="7" t="str">
        <f>IFERROR(IF([1]对账明细接口!$AF581=0,"",[1]对账明细接口!$AF581),"")</f>
        <v/>
      </c>
    </row>
    <row r="582" ht="14.25" customHeight="1" spans="1:36">
      <c r="A582" s="14">
        <v>582</v>
      </c>
      <c r="B582" s="15" t="str">
        <f>IFERROR(IF([1]对账明细接口!$B$582=0,"",[1]对账明细接口!$B$582),"")</f>
        <v/>
      </c>
      <c r="C582" s="16" t="str">
        <f>IFERROR(IF([1]对账明细接口!$C$582=0,"",[1]对账明细接口!$C$582),"")</f>
        <v/>
      </c>
      <c r="D582" s="16" t="str">
        <f>IFERROR(IF([1]对账明细接口!$D$582=0,"",[1]对账明细接口!$D$582),"")</f>
        <v/>
      </c>
      <c r="E582" s="16" t="str">
        <f>IFERROR(IF([1]对账明细接口!$E$582=0,"",[1]对账明细接口!$E$582),"")</f>
        <v/>
      </c>
      <c r="F582" s="16" t="str">
        <f>IFERROR(IF([1]对账明细接口!$F$582=0,"",[1]对账明细接口!$F$582),"")</f>
        <v/>
      </c>
      <c r="G582" s="16" t="str">
        <f>IFERROR(IF([1]对账明细接口!$G$582=0,"",[1]对账明细接口!$G$582),"")</f>
        <v/>
      </c>
      <c r="H582" s="17" t="str">
        <f>IFERROR(IF([1]对账明细接口!$H$582=0,"",[1]对账明细接口!$H$582),"")</f>
        <v/>
      </c>
      <c r="I582" s="16" t="str">
        <f>IFERROR(IF([1]对账明细接口!$I$582=0,"",[1]对账明细接口!$I$582),"")</f>
        <v/>
      </c>
      <c r="J582" s="18" t="str">
        <f>IFERROR(IF([1]对账明细接口!$J$582=0,"",[1]对账明细接口!$J$582),"")</f>
        <v/>
      </c>
      <c r="K582" s="18" t="str">
        <f>IFERROR(IF([1]对账明细接口!$K$582=0,"",[1]对账明细接口!$K$582),"")</f>
        <v/>
      </c>
      <c r="L582" s="16" t="str">
        <f>IFERROR(IF([1]对账明细接口!$L$582=0,"",[1]对账明细接口!$L$582),"")</f>
        <v/>
      </c>
      <c r="M582" s="16" t="str">
        <f>IFERROR(IF([1]对账明细接口!$M$582=0,"",[1]对账明细接口!$M$582),"")</f>
        <v/>
      </c>
      <c r="N582" s="19">
        <f t="shared" si="18"/>
        <v>0</v>
      </c>
      <c r="O582" s="19">
        <f t="shared" si="19"/>
        <v>420</v>
      </c>
      <c r="S582" s="20" t="str">
        <f>IFERROR(IF([1]对账明细接口!$N582=0,"",[1]对账明细接口!$N582),"")</f>
        <v/>
      </c>
      <c r="T582" s="21" t="str">
        <f>IFERROR(IF([1]对账明细接口!$O582=0,"",[1]对账明细接口!$O582),"")</f>
        <v/>
      </c>
      <c r="U582" s="21" t="str">
        <f>IFERROR(IF([1]对账明细接口!$P582=0,"",[1]对账明细接口!$P582),"")</f>
        <v/>
      </c>
      <c r="V582" s="21" t="str">
        <f>IFERROR(IF([1]对账明细接口!$Q582=0,"",[1]对账明细接口!$Q582),"")</f>
        <v/>
      </c>
      <c r="W582" s="20" t="str">
        <f>IFERROR(IF([1]对账明细接口!$R582=0,"",[1]对账明细接口!$R582),"")</f>
        <v/>
      </c>
      <c r="X582" s="20" t="str">
        <f>IFERROR(IF([1]对账明细接口!$S582=0,"",[1]对账明细接口!$S582),"")</f>
        <v/>
      </c>
      <c r="Y582" s="20" t="str">
        <f>IFERROR(IF([1]对账明细接口!$T582=0,"",[1]对账明细接口!$T582),"")</f>
        <v/>
      </c>
      <c r="Z582" s="24" t="str">
        <f>IFERROR(IF([1]对账明细接口!$U582=0,"",[1]对账明细接口!$U582),"")</f>
        <v/>
      </c>
      <c r="AA582" s="24" t="str">
        <f>IFERROR(IF([1]对账明细接口!$V582=0,"",[1]对账明细接口!$V582),"")</f>
        <v/>
      </c>
      <c r="AB582" s="20" t="str">
        <f>IFERROR(IF([1]对账明细接口!$W582=0,"",[1]对账明细接口!$W582),"")</f>
        <v/>
      </c>
      <c r="AC582" s="7" t="str">
        <f>IFERROR(IF([1]对账明细接口!$X582=0,"",[1]对账明细接口!$X582),"")</f>
        <v/>
      </c>
      <c r="AD582" s="7" t="str">
        <f>IFERROR(IF([1]对账明细接口!$Y582=0,"",[1]对账明细接口!$Y582),"")</f>
        <v/>
      </c>
      <c r="AE582" s="7" t="str">
        <f>IFERROR(IF([1]对账明细接口!$AA582=0,"",[1]对账明细接口!$AA582),"")</f>
        <v/>
      </c>
      <c r="AF582" s="7" t="str">
        <f>IFERROR(IF([1]对账明细接口!$AB582=0,"",[1]对账明细接口!$AB582),"")</f>
        <v/>
      </c>
      <c r="AG582" s="7" t="str">
        <f>IFERROR(IF([1]对账明细接口!$AC582=0,"",[1]对账明细接口!$AC582),"")</f>
        <v/>
      </c>
      <c r="AH582" s="7" t="str">
        <f>IFERROR(IF([1]对账明细接口!$AD582=0,"",[1]对账明细接口!$AD582),"")</f>
        <v/>
      </c>
      <c r="AI582" s="7" t="str">
        <f>IFERROR(IF([1]对账明细接口!$AE582=0,"",[1]对账明细接口!$AE582),"")</f>
        <v/>
      </c>
      <c r="AJ582" s="7" t="str">
        <f>IFERROR(IF([1]对账明细接口!$AF582=0,"",[1]对账明细接口!$AF582),"")</f>
        <v/>
      </c>
    </row>
    <row r="583" ht="14.25" customHeight="1" spans="1:36">
      <c r="A583" s="14">
        <v>583</v>
      </c>
      <c r="B583" s="15" t="str">
        <f>IFERROR(IF([1]对账明细接口!$B$583=0,"",[1]对账明细接口!$B$583),"")</f>
        <v/>
      </c>
      <c r="C583" s="16" t="str">
        <f>IFERROR(IF([1]对账明细接口!$C$583=0,"",[1]对账明细接口!$C$583),"")</f>
        <v/>
      </c>
      <c r="D583" s="16" t="str">
        <f>IFERROR(IF([1]对账明细接口!$D$583=0,"",[1]对账明细接口!$D$583),"")</f>
        <v/>
      </c>
      <c r="E583" s="16" t="str">
        <f>IFERROR(IF([1]对账明细接口!$E$583=0,"",[1]对账明细接口!$E$583),"")</f>
        <v/>
      </c>
      <c r="F583" s="16" t="str">
        <f>IFERROR(IF([1]对账明细接口!$F$583=0,"",[1]对账明细接口!$F$583),"")</f>
        <v/>
      </c>
      <c r="G583" s="16" t="str">
        <f>IFERROR(IF([1]对账明细接口!$G$583=0,"",[1]对账明细接口!$G$583),"")</f>
        <v/>
      </c>
      <c r="H583" s="17" t="str">
        <f>IFERROR(IF([1]对账明细接口!$H$583=0,"",[1]对账明细接口!$H$583),"")</f>
        <v/>
      </c>
      <c r="I583" s="16" t="str">
        <f>IFERROR(IF([1]对账明细接口!$I$583=0,"",[1]对账明细接口!$I$583),"")</f>
        <v/>
      </c>
      <c r="J583" s="18" t="str">
        <f>IFERROR(IF([1]对账明细接口!$J$583=0,"",[1]对账明细接口!$J$583),"")</f>
        <v/>
      </c>
      <c r="K583" s="18" t="str">
        <f>IFERROR(IF([1]对账明细接口!$K$583=0,"",[1]对账明细接口!$K$583),"")</f>
        <v/>
      </c>
      <c r="L583" s="16" t="str">
        <f>IFERROR(IF([1]对账明细接口!$L$583=0,"",[1]对账明细接口!$L$583),"")</f>
        <v/>
      </c>
      <c r="M583" s="16" t="str">
        <f>IFERROR(IF([1]对账明细接口!$M$583=0,"",[1]对账明细接口!$M$583),"")</f>
        <v/>
      </c>
      <c r="N583" s="19">
        <f t="shared" si="18"/>
        <v>0</v>
      </c>
      <c r="O583" s="19">
        <f t="shared" si="19"/>
        <v>420</v>
      </c>
      <c r="S583" s="20" t="str">
        <f>IFERROR(IF([1]对账明细接口!$N583=0,"",[1]对账明细接口!$N583),"")</f>
        <v/>
      </c>
      <c r="T583" s="21" t="str">
        <f>IFERROR(IF([1]对账明细接口!$O583=0,"",[1]对账明细接口!$O583),"")</f>
        <v/>
      </c>
      <c r="U583" s="21" t="str">
        <f>IFERROR(IF([1]对账明细接口!$P583=0,"",[1]对账明细接口!$P583),"")</f>
        <v/>
      </c>
      <c r="V583" s="21" t="str">
        <f>IFERROR(IF([1]对账明细接口!$Q583=0,"",[1]对账明细接口!$Q583),"")</f>
        <v/>
      </c>
      <c r="W583" s="20" t="str">
        <f>IFERROR(IF([1]对账明细接口!$R583=0,"",[1]对账明细接口!$R583),"")</f>
        <v/>
      </c>
      <c r="X583" s="20" t="str">
        <f>IFERROR(IF([1]对账明细接口!$S583=0,"",[1]对账明细接口!$S583),"")</f>
        <v/>
      </c>
      <c r="Y583" s="20" t="str">
        <f>IFERROR(IF([1]对账明细接口!$T583=0,"",[1]对账明细接口!$T583),"")</f>
        <v/>
      </c>
      <c r="Z583" s="24" t="str">
        <f>IFERROR(IF([1]对账明细接口!$U583=0,"",[1]对账明细接口!$U583),"")</f>
        <v/>
      </c>
      <c r="AA583" s="24" t="str">
        <f>IFERROR(IF([1]对账明细接口!$V583=0,"",[1]对账明细接口!$V583),"")</f>
        <v/>
      </c>
      <c r="AB583" s="20" t="str">
        <f>IFERROR(IF([1]对账明细接口!$W583=0,"",[1]对账明细接口!$W583),"")</f>
        <v/>
      </c>
      <c r="AC583" s="7" t="str">
        <f>IFERROR(IF([1]对账明细接口!$X583=0,"",[1]对账明细接口!$X583),"")</f>
        <v/>
      </c>
      <c r="AD583" s="7" t="str">
        <f>IFERROR(IF([1]对账明细接口!$Y583=0,"",[1]对账明细接口!$Y583),"")</f>
        <v/>
      </c>
      <c r="AE583" s="7" t="str">
        <f>IFERROR(IF([1]对账明细接口!$AA583=0,"",[1]对账明细接口!$AA583),"")</f>
        <v/>
      </c>
      <c r="AF583" s="7" t="str">
        <f>IFERROR(IF([1]对账明细接口!$AB583=0,"",[1]对账明细接口!$AB583),"")</f>
        <v/>
      </c>
      <c r="AG583" s="7" t="str">
        <f>IFERROR(IF([1]对账明细接口!$AC583=0,"",[1]对账明细接口!$AC583),"")</f>
        <v/>
      </c>
      <c r="AH583" s="7" t="str">
        <f>IFERROR(IF([1]对账明细接口!$AD583=0,"",[1]对账明细接口!$AD583),"")</f>
        <v/>
      </c>
      <c r="AI583" s="7" t="str">
        <f>IFERROR(IF([1]对账明细接口!$AE583=0,"",[1]对账明细接口!$AE583),"")</f>
        <v/>
      </c>
      <c r="AJ583" s="7" t="str">
        <f>IFERROR(IF([1]对账明细接口!$AF583=0,"",[1]对账明细接口!$AF583),"")</f>
        <v/>
      </c>
    </row>
    <row r="584" ht="14.25" customHeight="1" spans="1:36">
      <c r="A584" s="14">
        <v>584</v>
      </c>
      <c r="B584" s="15" t="str">
        <f>IFERROR(IF([1]对账明细接口!$B$584=0,"",[1]对账明细接口!$B$584),"")</f>
        <v/>
      </c>
      <c r="C584" s="16" t="str">
        <f>IFERROR(IF([1]对账明细接口!$C$584=0,"",[1]对账明细接口!$C$584),"")</f>
        <v/>
      </c>
      <c r="D584" s="16" t="str">
        <f>IFERROR(IF([1]对账明细接口!$D$584=0,"",[1]对账明细接口!$D$584),"")</f>
        <v/>
      </c>
      <c r="E584" s="16" t="str">
        <f>IFERROR(IF([1]对账明细接口!$E$584=0,"",[1]对账明细接口!$E$584),"")</f>
        <v/>
      </c>
      <c r="F584" s="16" t="str">
        <f>IFERROR(IF([1]对账明细接口!$F$584=0,"",[1]对账明细接口!$F$584),"")</f>
        <v/>
      </c>
      <c r="G584" s="16" t="str">
        <f>IFERROR(IF([1]对账明细接口!$G$584=0,"",[1]对账明细接口!$G$584),"")</f>
        <v/>
      </c>
      <c r="H584" s="17" t="str">
        <f>IFERROR(IF([1]对账明细接口!$H$584=0,"",[1]对账明细接口!$H$584),"")</f>
        <v/>
      </c>
      <c r="I584" s="16" t="str">
        <f>IFERROR(IF([1]对账明细接口!$I$584=0,"",[1]对账明细接口!$I$584),"")</f>
        <v/>
      </c>
      <c r="J584" s="18" t="str">
        <f>IFERROR(IF([1]对账明细接口!$J$584=0,"",[1]对账明细接口!$J$584),"")</f>
        <v/>
      </c>
      <c r="K584" s="18" t="str">
        <f>IFERROR(IF([1]对账明细接口!$K$584=0,"",[1]对账明细接口!$K$584),"")</f>
        <v/>
      </c>
      <c r="L584" s="16" t="str">
        <f>IFERROR(IF([1]对账明细接口!$L$584=0,"",[1]对账明细接口!$L$584),"")</f>
        <v/>
      </c>
      <c r="M584" s="16" t="str">
        <f>IFERROR(IF([1]对账明细接口!$M$584=0,"",[1]对账明细接口!$M$584),"")</f>
        <v/>
      </c>
      <c r="N584" s="19">
        <f t="shared" si="18"/>
        <v>0</v>
      </c>
      <c r="O584" s="19">
        <f t="shared" si="19"/>
        <v>420</v>
      </c>
      <c r="S584" s="20" t="str">
        <f>IFERROR(IF([1]对账明细接口!$N584=0,"",[1]对账明细接口!$N584),"")</f>
        <v/>
      </c>
      <c r="T584" s="21" t="str">
        <f>IFERROR(IF([1]对账明细接口!$O584=0,"",[1]对账明细接口!$O584),"")</f>
        <v/>
      </c>
      <c r="U584" s="21" t="str">
        <f>IFERROR(IF([1]对账明细接口!$P584=0,"",[1]对账明细接口!$P584),"")</f>
        <v/>
      </c>
      <c r="V584" s="21" t="str">
        <f>IFERROR(IF([1]对账明细接口!$Q584=0,"",[1]对账明细接口!$Q584),"")</f>
        <v/>
      </c>
      <c r="W584" s="20" t="str">
        <f>IFERROR(IF([1]对账明细接口!$R584=0,"",[1]对账明细接口!$R584),"")</f>
        <v/>
      </c>
      <c r="X584" s="20" t="str">
        <f>IFERROR(IF([1]对账明细接口!$S584=0,"",[1]对账明细接口!$S584),"")</f>
        <v/>
      </c>
      <c r="Y584" s="20" t="str">
        <f>IFERROR(IF([1]对账明细接口!$T584=0,"",[1]对账明细接口!$T584),"")</f>
        <v/>
      </c>
      <c r="Z584" s="24" t="str">
        <f>IFERROR(IF([1]对账明细接口!$U584=0,"",[1]对账明细接口!$U584),"")</f>
        <v/>
      </c>
      <c r="AA584" s="24" t="str">
        <f>IFERROR(IF([1]对账明细接口!$V584=0,"",[1]对账明细接口!$V584),"")</f>
        <v/>
      </c>
      <c r="AB584" s="20" t="str">
        <f>IFERROR(IF([1]对账明细接口!$W584=0,"",[1]对账明细接口!$W584),"")</f>
        <v/>
      </c>
      <c r="AC584" s="7" t="str">
        <f>IFERROR(IF([1]对账明细接口!$X584=0,"",[1]对账明细接口!$X584),"")</f>
        <v/>
      </c>
      <c r="AD584" s="7" t="str">
        <f>IFERROR(IF([1]对账明细接口!$Y584=0,"",[1]对账明细接口!$Y584),"")</f>
        <v/>
      </c>
      <c r="AE584" s="7" t="str">
        <f>IFERROR(IF([1]对账明细接口!$AA584=0,"",[1]对账明细接口!$AA584),"")</f>
        <v/>
      </c>
      <c r="AF584" s="7" t="str">
        <f>IFERROR(IF([1]对账明细接口!$AB584=0,"",[1]对账明细接口!$AB584),"")</f>
        <v/>
      </c>
      <c r="AG584" s="7" t="str">
        <f>IFERROR(IF([1]对账明细接口!$AC584=0,"",[1]对账明细接口!$AC584),"")</f>
        <v/>
      </c>
      <c r="AH584" s="7" t="str">
        <f>IFERROR(IF([1]对账明细接口!$AD584=0,"",[1]对账明细接口!$AD584),"")</f>
        <v/>
      </c>
      <c r="AI584" s="7" t="str">
        <f>IFERROR(IF([1]对账明细接口!$AE584=0,"",[1]对账明细接口!$AE584),"")</f>
        <v/>
      </c>
      <c r="AJ584" s="7" t="str">
        <f>IFERROR(IF([1]对账明细接口!$AF584=0,"",[1]对账明细接口!$AF584),"")</f>
        <v/>
      </c>
    </row>
    <row r="585" ht="14.25" customHeight="1" spans="1:36">
      <c r="A585" s="14">
        <v>585</v>
      </c>
      <c r="B585" s="15" t="str">
        <f>IFERROR(IF([1]对账明细接口!$B$585=0,"",[1]对账明细接口!$B$585),"")</f>
        <v/>
      </c>
      <c r="C585" s="16" t="str">
        <f>IFERROR(IF([1]对账明细接口!$C$585=0,"",[1]对账明细接口!$C$585),"")</f>
        <v/>
      </c>
      <c r="D585" s="16" t="str">
        <f>IFERROR(IF([1]对账明细接口!$D$585=0,"",[1]对账明细接口!$D$585),"")</f>
        <v/>
      </c>
      <c r="E585" s="16" t="str">
        <f>IFERROR(IF([1]对账明细接口!$E$585=0,"",[1]对账明细接口!$E$585),"")</f>
        <v/>
      </c>
      <c r="F585" s="16" t="str">
        <f>IFERROR(IF([1]对账明细接口!$F$585=0,"",[1]对账明细接口!$F$585),"")</f>
        <v/>
      </c>
      <c r="G585" s="16" t="str">
        <f>IFERROR(IF([1]对账明细接口!$G$585=0,"",[1]对账明细接口!$G$585),"")</f>
        <v/>
      </c>
      <c r="H585" s="17" t="str">
        <f>IFERROR(IF([1]对账明细接口!$H$585=0,"",[1]对账明细接口!$H$585),"")</f>
        <v/>
      </c>
      <c r="I585" s="16" t="str">
        <f>IFERROR(IF([1]对账明细接口!$I$585=0,"",[1]对账明细接口!$I$585),"")</f>
        <v/>
      </c>
      <c r="J585" s="18" t="str">
        <f>IFERROR(IF([1]对账明细接口!$J$585=0,"",[1]对账明细接口!$J$585),"")</f>
        <v/>
      </c>
      <c r="K585" s="18" t="str">
        <f>IFERROR(IF([1]对账明细接口!$K$585=0,"",[1]对账明细接口!$K$585),"")</f>
        <v/>
      </c>
      <c r="L585" s="16" t="str">
        <f>IFERROR(IF([1]对账明细接口!$L$585=0,"",[1]对账明细接口!$L$585),"")</f>
        <v/>
      </c>
      <c r="M585" s="16" t="str">
        <f>IFERROR(IF([1]对账明细接口!$M$585=0,"",[1]对账明细接口!$M$585),"")</f>
        <v/>
      </c>
      <c r="N585" s="19">
        <f t="shared" si="18"/>
        <v>0</v>
      </c>
      <c r="O585" s="19">
        <f t="shared" si="19"/>
        <v>420</v>
      </c>
      <c r="S585" s="20" t="str">
        <f>IFERROR(IF([1]对账明细接口!$N585=0,"",[1]对账明细接口!$N585),"")</f>
        <v/>
      </c>
      <c r="T585" s="21" t="str">
        <f>IFERROR(IF([1]对账明细接口!$O585=0,"",[1]对账明细接口!$O585),"")</f>
        <v/>
      </c>
      <c r="U585" s="21" t="str">
        <f>IFERROR(IF([1]对账明细接口!$P585=0,"",[1]对账明细接口!$P585),"")</f>
        <v/>
      </c>
      <c r="V585" s="21" t="str">
        <f>IFERROR(IF([1]对账明细接口!$Q585=0,"",[1]对账明细接口!$Q585),"")</f>
        <v/>
      </c>
      <c r="W585" s="20" t="str">
        <f>IFERROR(IF([1]对账明细接口!$R585=0,"",[1]对账明细接口!$R585),"")</f>
        <v/>
      </c>
      <c r="X585" s="20" t="str">
        <f>IFERROR(IF([1]对账明细接口!$S585=0,"",[1]对账明细接口!$S585),"")</f>
        <v/>
      </c>
      <c r="Y585" s="20" t="str">
        <f>IFERROR(IF([1]对账明细接口!$T585=0,"",[1]对账明细接口!$T585),"")</f>
        <v/>
      </c>
      <c r="Z585" s="24" t="str">
        <f>IFERROR(IF([1]对账明细接口!$U585=0,"",[1]对账明细接口!$U585),"")</f>
        <v/>
      </c>
      <c r="AA585" s="24" t="str">
        <f>IFERROR(IF([1]对账明细接口!$V585=0,"",[1]对账明细接口!$V585),"")</f>
        <v/>
      </c>
      <c r="AB585" s="20" t="str">
        <f>IFERROR(IF([1]对账明细接口!$W585=0,"",[1]对账明细接口!$W585),"")</f>
        <v/>
      </c>
      <c r="AC585" s="7" t="str">
        <f>IFERROR(IF([1]对账明细接口!$X585=0,"",[1]对账明细接口!$X585),"")</f>
        <v/>
      </c>
      <c r="AD585" s="7" t="str">
        <f>IFERROR(IF([1]对账明细接口!$Y585=0,"",[1]对账明细接口!$Y585),"")</f>
        <v/>
      </c>
      <c r="AE585" s="7" t="str">
        <f>IFERROR(IF([1]对账明细接口!$AA585=0,"",[1]对账明细接口!$AA585),"")</f>
        <v/>
      </c>
      <c r="AF585" s="7" t="str">
        <f>IFERROR(IF([1]对账明细接口!$AB585=0,"",[1]对账明细接口!$AB585),"")</f>
        <v/>
      </c>
      <c r="AG585" s="7" t="str">
        <f>IFERROR(IF([1]对账明细接口!$AC585=0,"",[1]对账明细接口!$AC585),"")</f>
        <v/>
      </c>
      <c r="AH585" s="7" t="str">
        <f>IFERROR(IF([1]对账明细接口!$AD585=0,"",[1]对账明细接口!$AD585),"")</f>
        <v/>
      </c>
      <c r="AI585" s="7" t="str">
        <f>IFERROR(IF([1]对账明细接口!$AE585=0,"",[1]对账明细接口!$AE585),"")</f>
        <v/>
      </c>
      <c r="AJ585" s="7" t="str">
        <f>IFERROR(IF([1]对账明细接口!$AF585=0,"",[1]对账明细接口!$AF585),"")</f>
        <v/>
      </c>
    </row>
    <row r="586" ht="14.25" customHeight="1" spans="1:36">
      <c r="A586" s="14">
        <v>586</v>
      </c>
      <c r="B586" s="15" t="str">
        <f>IFERROR(IF([1]对账明细接口!$B$586=0,"",[1]对账明细接口!$B$586),"")</f>
        <v/>
      </c>
      <c r="C586" s="16" t="str">
        <f>IFERROR(IF([1]对账明细接口!$C$586=0,"",[1]对账明细接口!$C$586),"")</f>
        <v/>
      </c>
      <c r="D586" s="16" t="str">
        <f>IFERROR(IF([1]对账明细接口!$D$586=0,"",[1]对账明细接口!$D$586),"")</f>
        <v/>
      </c>
      <c r="E586" s="16" t="str">
        <f>IFERROR(IF([1]对账明细接口!$E$586=0,"",[1]对账明细接口!$E$586),"")</f>
        <v/>
      </c>
      <c r="F586" s="16" t="str">
        <f>IFERROR(IF([1]对账明细接口!$F$586=0,"",[1]对账明细接口!$F$586),"")</f>
        <v/>
      </c>
      <c r="G586" s="16" t="str">
        <f>IFERROR(IF([1]对账明细接口!$G$586=0,"",[1]对账明细接口!$G$586),"")</f>
        <v/>
      </c>
      <c r="H586" s="17" t="str">
        <f>IFERROR(IF([1]对账明细接口!$H$586=0,"",[1]对账明细接口!$H$586),"")</f>
        <v/>
      </c>
      <c r="I586" s="16" t="str">
        <f>IFERROR(IF([1]对账明细接口!$I$586=0,"",[1]对账明细接口!$I$586),"")</f>
        <v/>
      </c>
      <c r="J586" s="18" t="str">
        <f>IFERROR(IF([1]对账明细接口!$J$586=0,"",[1]对账明细接口!$J$586),"")</f>
        <v/>
      </c>
      <c r="K586" s="18" t="str">
        <f>IFERROR(IF([1]对账明细接口!$K$586=0,"",[1]对账明细接口!$K$586),"")</f>
        <v/>
      </c>
      <c r="L586" s="16" t="str">
        <f>IFERROR(IF([1]对账明细接口!$L$586=0,"",[1]对账明细接口!$L$586),"")</f>
        <v/>
      </c>
      <c r="M586" s="16" t="str">
        <f>IFERROR(IF([1]对账明细接口!$M$586=0,"",[1]对账明细接口!$M$586),"")</f>
        <v/>
      </c>
      <c r="N586" s="19">
        <f t="shared" si="18"/>
        <v>0</v>
      </c>
      <c r="O586" s="19">
        <f t="shared" si="19"/>
        <v>420</v>
      </c>
      <c r="S586" s="20" t="str">
        <f>IFERROR(IF([1]对账明细接口!$N586=0,"",[1]对账明细接口!$N586),"")</f>
        <v/>
      </c>
      <c r="T586" s="21" t="str">
        <f>IFERROR(IF([1]对账明细接口!$O586=0,"",[1]对账明细接口!$O586),"")</f>
        <v/>
      </c>
      <c r="U586" s="21" t="str">
        <f>IFERROR(IF([1]对账明细接口!$P586=0,"",[1]对账明细接口!$P586),"")</f>
        <v/>
      </c>
      <c r="V586" s="21" t="str">
        <f>IFERROR(IF([1]对账明细接口!$Q586=0,"",[1]对账明细接口!$Q586),"")</f>
        <v/>
      </c>
      <c r="W586" s="20" t="str">
        <f>IFERROR(IF([1]对账明细接口!$R586=0,"",[1]对账明细接口!$R586),"")</f>
        <v/>
      </c>
      <c r="X586" s="20" t="str">
        <f>IFERROR(IF([1]对账明细接口!$S586=0,"",[1]对账明细接口!$S586),"")</f>
        <v/>
      </c>
      <c r="Y586" s="20" t="str">
        <f>IFERROR(IF([1]对账明细接口!$T586=0,"",[1]对账明细接口!$T586),"")</f>
        <v/>
      </c>
      <c r="Z586" s="24" t="str">
        <f>IFERROR(IF([1]对账明细接口!$U586=0,"",[1]对账明细接口!$U586),"")</f>
        <v/>
      </c>
      <c r="AA586" s="24" t="str">
        <f>IFERROR(IF([1]对账明细接口!$V586=0,"",[1]对账明细接口!$V586),"")</f>
        <v/>
      </c>
      <c r="AB586" s="20" t="str">
        <f>IFERROR(IF([1]对账明细接口!$W586=0,"",[1]对账明细接口!$W586),"")</f>
        <v/>
      </c>
      <c r="AC586" s="7" t="str">
        <f>IFERROR(IF([1]对账明细接口!$X586=0,"",[1]对账明细接口!$X586),"")</f>
        <v/>
      </c>
      <c r="AD586" s="7" t="str">
        <f>IFERROR(IF([1]对账明细接口!$Y586=0,"",[1]对账明细接口!$Y586),"")</f>
        <v/>
      </c>
      <c r="AE586" s="7" t="str">
        <f>IFERROR(IF([1]对账明细接口!$AA586=0,"",[1]对账明细接口!$AA586),"")</f>
        <v/>
      </c>
      <c r="AF586" s="7" t="str">
        <f>IFERROR(IF([1]对账明细接口!$AB586=0,"",[1]对账明细接口!$AB586),"")</f>
        <v/>
      </c>
      <c r="AG586" s="7" t="str">
        <f>IFERROR(IF([1]对账明细接口!$AC586=0,"",[1]对账明细接口!$AC586),"")</f>
        <v/>
      </c>
      <c r="AH586" s="7" t="str">
        <f>IFERROR(IF([1]对账明细接口!$AD586=0,"",[1]对账明细接口!$AD586),"")</f>
        <v/>
      </c>
      <c r="AI586" s="7" t="str">
        <f>IFERROR(IF([1]对账明细接口!$AE586=0,"",[1]对账明细接口!$AE586),"")</f>
        <v/>
      </c>
      <c r="AJ586" s="7" t="str">
        <f>IFERROR(IF([1]对账明细接口!$AF586=0,"",[1]对账明细接口!$AF586),"")</f>
        <v/>
      </c>
    </row>
    <row r="587" ht="14.25" customHeight="1" spans="1:36">
      <c r="A587" s="14">
        <v>587</v>
      </c>
      <c r="B587" s="15" t="str">
        <f>IFERROR(IF([1]对账明细接口!$B$587=0,"",[1]对账明细接口!$B$587),"")</f>
        <v/>
      </c>
      <c r="C587" s="16" t="str">
        <f>IFERROR(IF([1]对账明细接口!$C$587=0,"",[1]对账明细接口!$C$587),"")</f>
        <v/>
      </c>
      <c r="D587" s="16" t="str">
        <f>IFERROR(IF([1]对账明细接口!$D$587=0,"",[1]对账明细接口!$D$587),"")</f>
        <v/>
      </c>
      <c r="E587" s="16" t="str">
        <f>IFERROR(IF([1]对账明细接口!$E$587=0,"",[1]对账明细接口!$E$587),"")</f>
        <v/>
      </c>
      <c r="F587" s="16" t="str">
        <f>IFERROR(IF([1]对账明细接口!$F$587=0,"",[1]对账明细接口!$F$587),"")</f>
        <v/>
      </c>
      <c r="G587" s="16" t="str">
        <f>IFERROR(IF([1]对账明细接口!$G$587=0,"",[1]对账明细接口!$G$587),"")</f>
        <v/>
      </c>
      <c r="H587" s="17" t="str">
        <f>IFERROR(IF([1]对账明细接口!$H$587=0,"",[1]对账明细接口!$H$587),"")</f>
        <v/>
      </c>
      <c r="I587" s="16" t="str">
        <f>IFERROR(IF([1]对账明细接口!$I$587=0,"",[1]对账明细接口!$I$587),"")</f>
        <v/>
      </c>
      <c r="J587" s="18" t="str">
        <f>IFERROR(IF([1]对账明细接口!$J$587=0,"",[1]对账明细接口!$J$587),"")</f>
        <v/>
      </c>
      <c r="K587" s="18" t="str">
        <f>IFERROR(IF([1]对账明细接口!$K$587=0,"",[1]对账明细接口!$K$587),"")</f>
        <v/>
      </c>
      <c r="L587" s="16" t="str">
        <f>IFERROR(IF([1]对账明细接口!$L$587=0,"",[1]对账明细接口!$L$587),"")</f>
        <v/>
      </c>
      <c r="M587" s="16" t="str">
        <f>IFERROR(IF([1]对账明细接口!$M$587=0,"",[1]对账明细接口!$M$587),"")</f>
        <v/>
      </c>
      <c r="N587" s="19">
        <f t="shared" si="18"/>
        <v>0</v>
      </c>
      <c r="O587" s="19">
        <f t="shared" si="19"/>
        <v>420</v>
      </c>
      <c r="S587" s="20" t="str">
        <f>IFERROR(IF([1]对账明细接口!$N587=0,"",[1]对账明细接口!$N587),"")</f>
        <v/>
      </c>
      <c r="T587" s="21" t="str">
        <f>IFERROR(IF([1]对账明细接口!$O587=0,"",[1]对账明细接口!$O587),"")</f>
        <v/>
      </c>
      <c r="U587" s="21" t="str">
        <f>IFERROR(IF([1]对账明细接口!$P587=0,"",[1]对账明细接口!$P587),"")</f>
        <v/>
      </c>
      <c r="V587" s="21" t="str">
        <f>IFERROR(IF([1]对账明细接口!$Q587=0,"",[1]对账明细接口!$Q587),"")</f>
        <v/>
      </c>
      <c r="W587" s="20" t="str">
        <f>IFERROR(IF([1]对账明细接口!$R587=0,"",[1]对账明细接口!$R587),"")</f>
        <v/>
      </c>
      <c r="X587" s="20" t="str">
        <f>IFERROR(IF([1]对账明细接口!$S587=0,"",[1]对账明细接口!$S587),"")</f>
        <v/>
      </c>
      <c r="Y587" s="20" t="str">
        <f>IFERROR(IF([1]对账明细接口!$T587=0,"",[1]对账明细接口!$T587),"")</f>
        <v/>
      </c>
      <c r="Z587" s="24" t="str">
        <f>IFERROR(IF([1]对账明细接口!$U587=0,"",[1]对账明细接口!$U587),"")</f>
        <v/>
      </c>
      <c r="AA587" s="24" t="str">
        <f>IFERROR(IF([1]对账明细接口!$V587=0,"",[1]对账明细接口!$V587),"")</f>
        <v/>
      </c>
      <c r="AB587" s="20" t="str">
        <f>IFERROR(IF([1]对账明细接口!$W587=0,"",[1]对账明细接口!$W587),"")</f>
        <v/>
      </c>
      <c r="AC587" s="7" t="str">
        <f>IFERROR(IF([1]对账明细接口!$X587=0,"",[1]对账明细接口!$X587),"")</f>
        <v/>
      </c>
      <c r="AD587" s="7" t="str">
        <f>IFERROR(IF([1]对账明细接口!$Y587=0,"",[1]对账明细接口!$Y587),"")</f>
        <v/>
      </c>
      <c r="AE587" s="7" t="str">
        <f>IFERROR(IF([1]对账明细接口!$AA587=0,"",[1]对账明细接口!$AA587),"")</f>
        <v/>
      </c>
      <c r="AF587" s="7" t="str">
        <f>IFERROR(IF([1]对账明细接口!$AB587=0,"",[1]对账明细接口!$AB587),"")</f>
        <v/>
      </c>
      <c r="AG587" s="7" t="str">
        <f>IFERROR(IF([1]对账明细接口!$AC587=0,"",[1]对账明细接口!$AC587),"")</f>
        <v/>
      </c>
      <c r="AH587" s="7" t="str">
        <f>IFERROR(IF([1]对账明细接口!$AD587=0,"",[1]对账明细接口!$AD587),"")</f>
        <v/>
      </c>
      <c r="AI587" s="7" t="str">
        <f>IFERROR(IF([1]对账明细接口!$AE587=0,"",[1]对账明细接口!$AE587),"")</f>
        <v/>
      </c>
      <c r="AJ587" s="7" t="str">
        <f>IFERROR(IF([1]对账明细接口!$AF587=0,"",[1]对账明细接口!$AF587),"")</f>
        <v/>
      </c>
    </row>
    <row r="588" ht="14.25" customHeight="1" spans="1:36">
      <c r="A588" s="14">
        <v>588</v>
      </c>
      <c r="B588" s="15" t="str">
        <f>IFERROR(IF([1]对账明细接口!$B$588=0,"",[1]对账明细接口!$B$588),"")</f>
        <v/>
      </c>
      <c r="C588" s="16" t="str">
        <f>IFERROR(IF([1]对账明细接口!$C$588=0,"",[1]对账明细接口!$C$588),"")</f>
        <v/>
      </c>
      <c r="D588" s="16" t="str">
        <f>IFERROR(IF([1]对账明细接口!$D$588=0,"",[1]对账明细接口!$D$588),"")</f>
        <v/>
      </c>
      <c r="E588" s="16" t="str">
        <f>IFERROR(IF([1]对账明细接口!$E$588=0,"",[1]对账明细接口!$E$588),"")</f>
        <v/>
      </c>
      <c r="F588" s="16" t="str">
        <f>IFERROR(IF([1]对账明细接口!$F$588=0,"",[1]对账明细接口!$F$588),"")</f>
        <v/>
      </c>
      <c r="G588" s="16" t="str">
        <f>IFERROR(IF([1]对账明细接口!$G$588=0,"",[1]对账明细接口!$G$588),"")</f>
        <v/>
      </c>
      <c r="H588" s="17" t="str">
        <f>IFERROR(IF([1]对账明细接口!$H$588=0,"",[1]对账明细接口!$H$588),"")</f>
        <v/>
      </c>
      <c r="I588" s="16" t="str">
        <f>IFERROR(IF([1]对账明细接口!$I$588=0,"",[1]对账明细接口!$I$588),"")</f>
        <v/>
      </c>
      <c r="J588" s="18" t="str">
        <f>IFERROR(IF([1]对账明细接口!$J$588=0,"",[1]对账明细接口!$J$588),"")</f>
        <v/>
      </c>
      <c r="K588" s="18" t="str">
        <f>IFERROR(IF([1]对账明细接口!$K$588=0,"",[1]对账明细接口!$K$588),"")</f>
        <v/>
      </c>
      <c r="L588" s="16" t="str">
        <f>IFERROR(IF([1]对账明细接口!$L$588=0,"",[1]对账明细接口!$L$588),"")</f>
        <v/>
      </c>
      <c r="M588" s="16" t="str">
        <f>IFERROR(IF([1]对账明细接口!$M$588=0,"",[1]对账明细接口!$M$588),"")</f>
        <v/>
      </c>
      <c r="N588" s="19">
        <f t="shared" si="18"/>
        <v>0</v>
      </c>
      <c r="O588" s="19">
        <f t="shared" si="19"/>
        <v>420</v>
      </c>
      <c r="S588" s="20" t="str">
        <f>IFERROR(IF([1]对账明细接口!$N588=0,"",[1]对账明细接口!$N588),"")</f>
        <v/>
      </c>
      <c r="T588" s="21" t="str">
        <f>IFERROR(IF([1]对账明细接口!$O588=0,"",[1]对账明细接口!$O588),"")</f>
        <v/>
      </c>
      <c r="U588" s="21" t="str">
        <f>IFERROR(IF([1]对账明细接口!$P588=0,"",[1]对账明细接口!$P588),"")</f>
        <v/>
      </c>
      <c r="V588" s="21" t="str">
        <f>IFERROR(IF([1]对账明细接口!$Q588=0,"",[1]对账明细接口!$Q588),"")</f>
        <v/>
      </c>
      <c r="W588" s="20" t="str">
        <f>IFERROR(IF([1]对账明细接口!$R588=0,"",[1]对账明细接口!$R588),"")</f>
        <v/>
      </c>
      <c r="X588" s="20" t="str">
        <f>IFERROR(IF([1]对账明细接口!$S588=0,"",[1]对账明细接口!$S588),"")</f>
        <v/>
      </c>
      <c r="Y588" s="20" t="str">
        <f>IFERROR(IF([1]对账明细接口!$T588=0,"",[1]对账明细接口!$T588),"")</f>
        <v/>
      </c>
      <c r="Z588" s="24" t="str">
        <f>IFERROR(IF([1]对账明细接口!$U588=0,"",[1]对账明细接口!$U588),"")</f>
        <v/>
      </c>
      <c r="AA588" s="24" t="str">
        <f>IFERROR(IF([1]对账明细接口!$V588=0,"",[1]对账明细接口!$V588),"")</f>
        <v/>
      </c>
      <c r="AB588" s="20" t="str">
        <f>IFERROR(IF([1]对账明细接口!$W588=0,"",[1]对账明细接口!$W588),"")</f>
        <v/>
      </c>
      <c r="AC588" s="7" t="str">
        <f>IFERROR(IF([1]对账明细接口!$X588=0,"",[1]对账明细接口!$X588),"")</f>
        <v/>
      </c>
      <c r="AD588" s="7" t="str">
        <f>IFERROR(IF([1]对账明细接口!$Y588=0,"",[1]对账明细接口!$Y588),"")</f>
        <v/>
      </c>
      <c r="AE588" s="7" t="str">
        <f>IFERROR(IF([1]对账明细接口!$AA588=0,"",[1]对账明细接口!$AA588),"")</f>
        <v/>
      </c>
      <c r="AF588" s="7" t="str">
        <f>IFERROR(IF([1]对账明细接口!$AB588=0,"",[1]对账明细接口!$AB588),"")</f>
        <v/>
      </c>
      <c r="AG588" s="7" t="str">
        <f>IFERROR(IF([1]对账明细接口!$AC588=0,"",[1]对账明细接口!$AC588),"")</f>
        <v/>
      </c>
      <c r="AH588" s="7" t="str">
        <f>IFERROR(IF([1]对账明细接口!$AD588=0,"",[1]对账明细接口!$AD588),"")</f>
        <v/>
      </c>
      <c r="AI588" s="7" t="str">
        <f>IFERROR(IF([1]对账明细接口!$AE588=0,"",[1]对账明细接口!$AE588),"")</f>
        <v/>
      </c>
      <c r="AJ588" s="7" t="str">
        <f>IFERROR(IF([1]对账明细接口!$AF588=0,"",[1]对账明细接口!$AF588),"")</f>
        <v/>
      </c>
    </row>
    <row r="589" ht="14.25" customHeight="1" spans="1:36">
      <c r="A589" s="14">
        <v>589</v>
      </c>
      <c r="B589" s="15" t="str">
        <f>IFERROR(IF([1]对账明细接口!$B$589=0,"",[1]对账明细接口!$B$589),"")</f>
        <v/>
      </c>
      <c r="C589" s="16" t="str">
        <f>IFERROR(IF([1]对账明细接口!$C$589=0,"",[1]对账明细接口!$C$589),"")</f>
        <v/>
      </c>
      <c r="D589" s="16" t="str">
        <f>IFERROR(IF([1]对账明细接口!$D$589=0,"",[1]对账明细接口!$D$589),"")</f>
        <v/>
      </c>
      <c r="E589" s="16" t="str">
        <f>IFERROR(IF([1]对账明细接口!$E$589=0,"",[1]对账明细接口!$E$589),"")</f>
        <v/>
      </c>
      <c r="F589" s="16" t="str">
        <f>IFERROR(IF([1]对账明细接口!$F$589=0,"",[1]对账明细接口!$F$589),"")</f>
        <v/>
      </c>
      <c r="G589" s="16" t="str">
        <f>IFERROR(IF([1]对账明细接口!$G$589=0,"",[1]对账明细接口!$G$589),"")</f>
        <v/>
      </c>
      <c r="H589" s="17" t="str">
        <f>IFERROR(IF([1]对账明细接口!$H$589=0,"",[1]对账明细接口!$H$589),"")</f>
        <v/>
      </c>
      <c r="I589" s="16" t="str">
        <f>IFERROR(IF([1]对账明细接口!$I$589=0,"",[1]对账明细接口!$I$589),"")</f>
        <v/>
      </c>
      <c r="J589" s="18" t="str">
        <f>IFERROR(IF([1]对账明细接口!$J$589=0,"",[1]对账明细接口!$J$589),"")</f>
        <v/>
      </c>
      <c r="K589" s="18" t="str">
        <f>IFERROR(IF([1]对账明细接口!$K$589=0,"",[1]对账明细接口!$K$589),"")</f>
        <v/>
      </c>
      <c r="L589" s="16" t="str">
        <f>IFERROR(IF([1]对账明细接口!$L$589=0,"",[1]对账明细接口!$L$589),"")</f>
        <v/>
      </c>
      <c r="M589" s="16" t="str">
        <f>IFERROR(IF([1]对账明细接口!$M$589=0,"",[1]对账明细接口!$M$589),"")</f>
        <v/>
      </c>
      <c r="N589" s="19">
        <f t="shared" si="18"/>
        <v>0</v>
      </c>
      <c r="O589" s="19">
        <f t="shared" si="19"/>
        <v>420</v>
      </c>
      <c r="S589" s="20" t="str">
        <f>IFERROR(IF([1]对账明细接口!$N589=0,"",[1]对账明细接口!$N589),"")</f>
        <v/>
      </c>
      <c r="T589" s="21" t="str">
        <f>IFERROR(IF([1]对账明细接口!$O589=0,"",[1]对账明细接口!$O589),"")</f>
        <v/>
      </c>
      <c r="U589" s="21" t="str">
        <f>IFERROR(IF([1]对账明细接口!$P589=0,"",[1]对账明细接口!$P589),"")</f>
        <v/>
      </c>
      <c r="V589" s="21" t="str">
        <f>IFERROR(IF([1]对账明细接口!$Q589=0,"",[1]对账明细接口!$Q589),"")</f>
        <v/>
      </c>
      <c r="W589" s="20" t="str">
        <f>IFERROR(IF([1]对账明细接口!$R589=0,"",[1]对账明细接口!$R589),"")</f>
        <v/>
      </c>
      <c r="X589" s="20" t="str">
        <f>IFERROR(IF([1]对账明细接口!$S589=0,"",[1]对账明细接口!$S589),"")</f>
        <v/>
      </c>
      <c r="Y589" s="20" t="str">
        <f>IFERROR(IF([1]对账明细接口!$T589=0,"",[1]对账明细接口!$T589),"")</f>
        <v/>
      </c>
      <c r="Z589" s="24" t="str">
        <f>IFERROR(IF([1]对账明细接口!$U589=0,"",[1]对账明细接口!$U589),"")</f>
        <v/>
      </c>
      <c r="AA589" s="24" t="str">
        <f>IFERROR(IF([1]对账明细接口!$V589=0,"",[1]对账明细接口!$V589),"")</f>
        <v/>
      </c>
      <c r="AB589" s="20" t="str">
        <f>IFERROR(IF([1]对账明细接口!$W589=0,"",[1]对账明细接口!$W589),"")</f>
        <v/>
      </c>
      <c r="AC589" s="7" t="str">
        <f>IFERROR(IF([1]对账明细接口!$X589=0,"",[1]对账明细接口!$X589),"")</f>
        <v/>
      </c>
      <c r="AD589" s="7" t="str">
        <f>IFERROR(IF([1]对账明细接口!$Y589=0,"",[1]对账明细接口!$Y589),"")</f>
        <v/>
      </c>
      <c r="AE589" s="7" t="str">
        <f>IFERROR(IF([1]对账明细接口!$AA589=0,"",[1]对账明细接口!$AA589),"")</f>
        <v/>
      </c>
      <c r="AF589" s="7" t="str">
        <f>IFERROR(IF([1]对账明细接口!$AB589=0,"",[1]对账明细接口!$AB589),"")</f>
        <v/>
      </c>
      <c r="AG589" s="7" t="str">
        <f>IFERROR(IF([1]对账明细接口!$AC589=0,"",[1]对账明细接口!$AC589),"")</f>
        <v/>
      </c>
      <c r="AH589" s="7" t="str">
        <f>IFERROR(IF([1]对账明细接口!$AD589=0,"",[1]对账明细接口!$AD589),"")</f>
        <v/>
      </c>
      <c r="AI589" s="7" t="str">
        <f>IFERROR(IF([1]对账明细接口!$AE589=0,"",[1]对账明细接口!$AE589),"")</f>
        <v/>
      </c>
      <c r="AJ589" s="7" t="str">
        <f>IFERROR(IF([1]对账明细接口!$AF589=0,"",[1]对账明细接口!$AF589),"")</f>
        <v/>
      </c>
    </row>
    <row r="590" ht="14.25" customHeight="1" spans="1:36">
      <c r="A590" s="14">
        <v>590</v>
      </c>
      <c r="B590" s="15" t="str">
        <f>IFERROR(IF([1]对账明细接口!$B$590=0,"",[1]对账明细接口!$B$590),"")</f>
        <v/>
      </c>
      <c r="C590" s="16" t="str">
        <f>IFERROR(IF([1]对账明细接口!$C$590=0,"",[1]对账明细接口!$C$590),"")</f>
        <v/>
      </c>
      <c r="D590" s="16" t="str">
        <f>IFERROR(IF([1]对账明细接口!$D$590=0,"",[1]对账明细接口!$D$590),"")</f>
        <v/>
      </c>
      <c r="E590" s="16" t="str">
        <f>IFERROR(IF([1]对账明细接口!$E$590=0,"",[1]对账明细接口!$E$590),"")</f>
        <v/>
      </c>
      <c r="F590" s="16" t="str">
        <f>IFERROR(IF([1]对账明细接口!$F$590=0,"",[1]对账明细接口!$F$590),"")</f>
        <v/>
      </c>
      <c r="G590" s="16" t="str">
        <f>IFERROR(IF([1]对账明细接口!$G$590=0,"",[1]对账明细接口!$G$590),"")</f>
        <v/>
      </c>
      <c r="H590" s="17" t="str">
        <f>IFERROR(IF([1]对账明细接口!$H$590=0,"",[1]对账明细接口!$H$590),"")</f>
        <v/>
      </c>
      <c r="I590" s="16" t="str">
        <f>IFERROR(IF([1]对账明细接口!$I$590=0,"",[1]对账明细接口!$I$590),"")</f>
        <v/>
      </c>
      <c r="J590" s="18" t="str">
        <f>IFERROR(IF([1]对账明细接口!$J$590=0,"",[1]对账明细接口!$J$590),"")</f>
        <v/>
      </c>
      <c r="K590" s="18" t="str">
        <f>IFERROR(IF([1]对账明细接口!$K$590=0,"",[1]对账明细接口!$K$590),"")</f>
        <v/>
      </c>
      <c r="L590" s="16" t="str">
        <f>IFERROR(IF([1]对账明细接口!$L$590=0,"",[1]对账明细接口!$L$590),"")</f>
        <v/>
      </c>
      <c r="M590" s="16" t="str">
        <f>IFERROR(IF([1]对账明细接口!$M$590=0,"",[1]对账明细接口!$M$590),"")</f>
        <v/>
      </c>
      <c r="N590" s="19">
        <f t="shared" si="18"/>
        <v>0</v>
      </c>
      <c r="O590" s="19">
        <f t="shared" si="19"/>
        <v>420</v>
      </c>
      <c r="S590" s="20" t="str">
        <f>IFERROR(IF([1]对账明细接口!$N590=0,"",[1]对账明细接口!$N590),"")</f>
        <v/>
      </c>
      <c r="T590" s="21" t="str">
        <f>IFERROR(IF([1]对账明细接口!$O590=0,"",[1]对账明细接口!$O590),"")</f>
        <v/>
      </c>
      <c r="U590" s="21" t="str">
        <f>IFERROR(IF([1]对账明细接口!$P590=0,"",[1]对账明细接口!$P590),"")</f>
        <v/>
      </c>
      <c r="V590" s="21" t="str">
        <f>IFERROR(IF([1]对账明细接口!$Q590=0,"",[1]对账明细接口!$Q590),"")</f>
        <v/>
      </c>
      <c r="W590" s="20" t="str">
        <f>IFERROR(IF([1]对账明细接口!$R590=0,"",[1]对账明细接口!$R590),"")</f>
        <v/>
      </c>
      <c r="X590" s="20" t="str">
        <f>IFERROR(IF([1]对账明细接口!$S590=0,"",[1]对账明细接口!$S590),"")</f>
        <v/>
      </c>
      <c r="Y590" s="20" t="str">
        <f>IFERROR(IF([1]对账明细接口!$T590=0,"",[1]对账明细接口!$T590),"")</f>
        <v/>
      </c>
      <c r="Z590" s="24" t="str">
        <f>IFERROR(IF([1]对账明细接口!$U590=0,"",[1]对账明细接口!$U590),"")</f>
        <v/>
      </c>
      <c r="AA590" s="24" t="str">
        <f>IFERROR(IF([1]对账明细接口!$V590=0,"",[1]对账明细接口!$V590),"")</f>
        <v/>
      </c>
      <c r="AB590" s="20" t="str">
        <f>IFERROR(IF([1]对账明细接口!$W590=0,"",[1]对账明细接口!$W590),"")</f>
        <v/>
      </c>
      <c r="AC590" s="7" t="str">
        <f>IFERROR(IF([1]对账明细接口!$X590=0,"",[1]对账明细接口!$X590),"")</f>
        <v/>
      </c>
      <c r="AD590" s="7" t="str">
        <f>IFERROR(IF([1]对账明细接口!$Y590=0,"",[1]对账明细接口!$Y590),"")</f>
        <v/>
      </c>
      <c r="AE590" s="7" t="str">
        <f>IFERROR(IF([1]对账明细接口!$AA590=0,"",[1]对账明细接口!$AA590),"")</f>
        <v/>
      </c>
      <c r="AF590" s="7" t="str">
        <f>IFERROR(IF([1]对账明细接口!$AB590=0,"",[1]对账明细接口!$AB590),"")</f>
        <v/>
      </c>
      <c r="AG590" s="7" t="str">
        <f>IFERROR(IF([1]对账明细接口!$AC590=0,"",[1]对账明细接口!$AC590),"")</f>
        <v/>
      </c>
      <c r="AH590" s="7" t="str">
        <f>IFERROR(IF([1]对账明细接口!$AD590=0,"",[1]对账明细接口!$AD590),"")</f>
        <v/>
      </c>
      <c r="AI590" s="7" t="str">
        <f>IFERROR(IF([1]对账明细接口!$AE590=0,"",[1]对账明细接口!$AE590),"")</f>
        <v/>
      </c>
      <c r="AJ590" s="7" t="str">
        <f>IFERROR(IF([1]对账明细接口!$AF590=0,"",[1]对账明细接口!$AF590),"")</f>
        <v/>
      </c>
    </row>
    <row r="591" ht="14.25" customHeight="1" spans="1:36">
      <c r="A591" s="14">
        <v>591</v>
      </c>
      <c r="B591" s="15" t="str">
        <f>IFERROR(IF([1]对账明细接口!$B$591=0,"",[1]对账明细接口!$B$591),"")</f>
        <v/>
      </c>
      <c r="C591" s="16" t="str">
        <f>IFERROR(IF([1]对账明细接口!$C$591=0,"",[1]对账明细接口!$C$591),"")</f>
        <v/>
      </c>
      <c r="D591" s="16" t="str">
        <f>IFERROR(IF([1]对账明细接口!$D$591=0,"",[1]对账明细接口!$D$591),"")</f>
        <v/>
      </c>
      <c r="E591" s="16" t="str">
        <f>IFERROR(IF([1]对账明细接口!$E$591=0,"",[1]对账明细接口!$E$591),"")</f>
        <v/>
      </c>
      <c r="F591" s="16" t="str">
        <f>IFERROR(IF([1]对账明细接口!$F$591=0,"",[1]对账明细接口!$F$591),"")</f>
        <v/>
      </c>
      <c r="G591" s="16" t="str">
        <f>IFERROR(IF([1]对账明细接口!$G$591=0,"",[1]对账明细接口!$G$591),"")</f>
        <v/>
      </c>
      <c r="H591" s="17" t="str">
        <f>IFERROR(IF([1]对账明细接口!$H$591=0,"",[1]对账明细接口!$H$591),"")</f>
        <v/>
      </c>
      <c r="I591" s="16" t="str">
        <f>IFERROR(IF([1]对账明细接口!$I$591=0,"",[1]对账明细接口!$I$591),"")</f>
        <v/>
      </c>
      <c r="J591" s="18" t="str">
        <f>IFERROR(IF([1]对账明细接口!$J$591=0,"",[1]对账明细接口!$J$591),"")</f>
        <v/>
      </c>
      <c r="K591" s="18" t="str">
        <f>IFERROR(IF([1]对账明细接口!$K$591=0,"",[1]对账明细接口!$K$591),"")</f>
        <v/>
      </c>
      <c r="L591" s="16" t="str">
        <f>IFERROR(IF([1]对账明细接口!$L$591=0,"",[1]对账明细接口!$L$591),"")</f>
        <v/>
      </c>
      <c r="M591" s="16" t="str">
        <f>IFERROR(IF([1]对账明细接口!$M$591=0,"",[1]对账明细接口!$M$591),"")</f>
        <v/>
      </c>
      <c r="N591" s="19">
        <f t="shared" si="18"/>
        <v>0</v>
      </c>
      <c r="O591" s="19">
        <f t="shared" si="19"/>
        <v>420</v>
      </c>
      <c r="S591" s="20" t="str">
        <f>IFERROR(IF([1]对账明细接口!$N591=0,"",[1]对账明细接口!$N591),"")</f>
        <v/>
      </c>
      <c r="T591" s="21" t="str">
        <f>IFERROR(IF([1]对账明细接口!$O591=0,"",[1]对账明细接口!$O591),"")</f>
        <v/>
      </c>
      <c r="U591" s="21" t="str">
        <f>IFERROR(IF([1]对账明细接口!$P591=0,"",[1]对账明细接口!$P591),"")</f>
        <v/>
      </c>
      <c r="V591" s="21" t="str">
        <f>IFERROR(IF([1]对账明细接口!$Q591=0,"",[1]对账明细接口!$Q591),"")</f>
        <v/>
      </c>
      <c r="W591" s="20" t="str">
        <f>IFERROR(IF([1]对账明细接口!$R591=0,"",[1]对账明细接口!$R591),"")</f>
        <v/>
      </c>
      <c r="X591" s="20" t="str">
        <f>IFERROR(IF([1]对账明细接口!$S591=0,"",[1]对账明细接口!$S591),"")</f>
        <v/>
      </c>
      <c r="Y591" s="20" t="str">
        <f>IFERROR(IF([1]对账明细接口!$T591=0,"",[1]对账明细接口!$T591),"")</f>
        <v/>
      </c>
      <c r="Z591" s="24" t="str">
        <f>IFERROR(IF([1]对账明细接口!$U591=0,"",[1]对账明细接口!$U591),"")</f>
        <v/>
      </c>
      <c r="AA591" s="24" t="str">
        <f>IFERROR(IF([1]对账明细接口!$V591=0,"",[1]对账明细接口!$V591),"")</f>
        <v/>
      </c>
      <c r="AB591" s="20" t="str">
        <f>IFERROR(IF([1]对账明细接口!$W591=0,"",[1]对账明细接口!$W591),"")</f>
        <v/>
      </c>
      <c r="AC591" s="7" t="str">
        <f>IFERROR(IF([1]对账明细接口!$X591=0,"",[1]对账明细接口!$X591),"")</f>
        <v/>
      </c>
      <c r="AD591" s="7" t="str">
        <f>IFERROR(IF([1]对账明细接口!$Y591=0,"",[1]对账明细接口!$Y591),"")</f>
        <v/>
      </c>
      <c r="AE591" s="7" t="str">
        <f>IFERROR(IF([1]对账明细接口!$AA591=0,"",[1]对账明细接口!$AA591),"")</f>
        <v/>
      </c>
      <c r="AF591" s="7" t="str">
        <f>IFERROR(IF([1]对账明细接口!$AB591=0,"",[1]对账明细接口!$AB591),"")</f>
        <v/>
      </c>
      <c r="AG591" s="7" t="str">
        <f>IFERROR(IF([1]对账明细接口!$AC591=0,"",[1]对账明细接口!$AC591),"")</f>
        <v/>
      </c>
      <c r="AH591" s="7" t="str">
        <f>IFERROR(IF([1]对账明细接口!$AD591=0,"",[1]对账明细接口!$AD591),"")</f>
        <v/>
      </c>
      <c r="AI591" s="7" t="str">
        <f>IFERROR(IF([1]对账明细接口!$AE591=0,"",[1]对账明细接口!$AE591),"")</f>
        <v/>
      </c>
      <c r="AJ591" s="7" t="str">
        <f>IFERROR(IF([1]对账明细接口!$AF591=0,"",[1]对账明细接口!$AF591),"")</f>
        <v/>
      </c>
    </row>
    <row r="592" ht="14.25" customHeight="1" spans="1:36">
      <c r="A592" s="14">
        <v>592</v>
      </c>
      <c r="B592" s="15" t="str">
        <f>IFERROR(IF([1]对账明细接口!$B$592=0,"",[1]对账明细接口!$B$592),"")</f>
        <v/>
      </c>
      <c r="C592" s="16" t="str">
        <f>IFERROR(IF([1]对账明细接口!$C$592=0,"",[1]对账明细接口!$C$592),"")</f>
        <v/>
      </c>
      <c r="D592" s="16" t="str">
        <f>IFERROR(IF([1]对账明细接口!$D$592=0,"",[1]对账明细接口!$D$592),"")</f>
        <v/>
      </c>
      <c r="E592" s="16" t="str">
        <f>IFERROR(IF([1]对账明细接口!$E$592=0,"",[1]对账明细接口!$E$592),"")</f>
        <v/>
      </c>
      <c r="F592" s="16" t="str">
        <f>IFERROR(IF([1]对账明细接口!$F$592=0,"",[1]对账明细接口!$F$592),"")</f>
        <v/>
      </c>
      <c r="G592" s="16" t="str">
        <f>IFERROR(IF([1]对账明细接口!$G$592=0,"",[1]对账明细接口!$G$592),"")</f>
        <v/>
      </c>
      <c r="H592" s="17" t="str">
        <f>IFERROR(IF([1]对账明细接口!$H$592=0,"",[1]对账明细接口!$H$592),"")</f>
        <v/>
      </c>
      <c r="I592" s="16" t="str">
        <f>IFERROR(IF([1]对账明细接口!$I$592=0,"",[1]对账明细接口!$I$592),"")</f>
        <v/>
      </c>
      <c r="J592" s="18" t="str">
        <f>IFERROR(IF([1]对账明细接口!$J$592=0,"",[1]对账明细接口!$J$592),"")</f>
        <v/>
      </c>
      <c r="K592" s="18" t="str">
        <f>IFERROR(IF([1]对账明细接口!$K$592=0,"",[1]对账明细接口!$K$592),"")</f>
        <v/>
      </c>
      <c r="L592" s="16" t="str">
        <f>IFERROR(IF([1]对账明细接口!$L$592=0,"",[1]对账明细接口!$L$592),"")</f>
        <v/>
      </c>
      <c r="M592" s="16" t="str">
        <f>IFERROR(IF([1]对账明细接口!$M$592=0,"",[1]对账明细接口!$M$592),"")</f>
        <v/>
      </c>
      <c r="N592" s="19">
        <f t="shared" si="18"/>
        <v>0</v>
      </c>
      <c r="O592" s="19">
        <f t="shared" si="19"/>
        <v>420</v>
      </c>
      <c r="S592" s="20" t="str">
        <f>IFERROR(IF([1]对账明细接口!$N592=0,"",[1]对账明细接口!$N592),"")</f>
        <v/>
      </c>
      <c r="T592" s="21" t="str">
        <f>IFERROR(IF([1]对账明细接口!$O592=0,"",[1]对账明细接口!$O592),"")</f>
        <v/>
      </c>
      <c r="U592" s="21" t="str">
        <f>IFERROR(IF([1]对账明细接口!$P592=0,"",[1]对账明细接口!$P592),"")</f>
        <v/>
      </c>
      <c r="V592" s="21" t="str">
        <f>IFERROR(IF([1]对账明细接口!$Q592=0,"",[1]对账明细接口!$Q592),"")</f>
        <v/>
      </c>
      <c r="W592" s="20" t="str">
        <f>IFERROR(IF([1]对账明细接口!$R592=0,"",[1]对账明细接口!$R592),"")</f>
        <v/>
      </c>
      <c r="X592" s="20" t="str">
        <f>IFERROR(IF([1]对账明细接口!$S592=0,"",[1]对账明细接口!$S592),"")</f>
        <v/>
      </c>
      <c r="Y592" s="20" t="str">
        <f>IFERROR(IF([1]对账明细接口!$T592=0,"",[1]对账明细接口!$T592),"")</f>
        <v/>
      </c>
      <c r="Z592" s="24" t="str">
        <f>IFERROR(IF([1]对账明细接口!$U592=0,"",[1]对账明细接口!$U592),"")</f>
        <v/>
      </c>
      <c r="AA592" s="24" t="str">
        <f>IFERROR(IF([1]对账明细接口!$V592=0,"",[1]对账明细接口!$V592),"")</f>
        <v/>
      </c>
      <c r="AB592" s="20" t="str">
        <f>IFERROR(IF([1]对账明细接口!$W592=0,"",[1]对账明细接口!$W592),"")</f>
        <v/>
      </c>
      <c r="AC592" s="7" t="str">
        <f>IFERROR(IF([1]对账明细接口!$X592=0,"",[1]对账明细接口!$X592),"")</f>
        <v/>
      </c>
      <c r="AD592" s="7" t="str">
        <f>IFERROR(IF([1]对账明细接口!$Y592=0,"",[1]对账明细接口!$Y592),"")</f>
        <v/>
      </c>
      <c r="AE592" s="7" t="str">
        <f>IFERROR(IF([1]对账明细接口!$AA592=0,"",[1]对账明细接口!$AA592),"")</f>
        <v/>
      </c>
      <c r="AF592" s="7" t="str">
        <f>IFERROR(IF([1]对账明细接口!$AB592=0,"",[1]对账明细接口!$AB592),"")</f>
        <v/>
      </c>
      <c r="AG592" s="7" t="str">
        <f>IFERROR(IF([1]对账明细接口!$AC592=0,"",[1]对账明细接口!$AC592),"")</f>
        <v/>
      </c>
      <c r="AH592" s="7" t="str">
        <f>IFERROR(IF([1]对账明细接口!$AD592=0,"",[1]对账明细接口!$AD592),"")</f>
        <v/>
      </c>
      <c r="AI592" s="7" t="str">
        <f>IFERROR(IF([1]对账明细接口!$AE592=0,"",[1]对账明细接口!$AE592),"")</f>
        <v/>
      </c>
      <c r="AJ592" s="7" t="str">
        <f>IFERROR(IF([1]对账明细接口!$AF592=0,"",[1]对账明细接口!$AF592),"")</f>
        <v/>
      </c>
    </row>
    <row r="593" ht="14.25" customHeight="1" spans="1:36">
      <c r="A593" s="14">
        <v>593</v>
      </c>
      <c r="B593" s="15" t="str">
        <f>IFERROR(IF([1]对账明细接口!$B$593=0,"",[1]对账明细接口!$B$593),"")</f>
        <v/>
      </c>
      <c r="C593" s="16" t="str">
        <f>IFERROR(IF([1]对账明细接口!$C$593=0,"",[1]对账明细接口!$C$593),"")</f>
        <v/>
      </c>
      <c r="D593" s="16" t="str">
        <f>IFERROR(IF([1]对账明细接口!$D$593=0,"",[1]对账明细接口!$D$593),"")</f>
        <v/>
      </c>
      <c r="E593" s="16" t="str">
        <f>IFERROR(IF([1]对账明细接口!$E$593=0,"",[1]对账明细接口!$E$593),"")</f>
        <v/>
      </c>
      <c r="F593" s="16" t="str">
        <f>IFERROR(IF([1]对账明细接口!$F$593=0,"",[1]对账明细接口!$F$593),"")</f>
        <v/>
      </c>
      <c r="G593" s="16" t="str">
        <f>IFERROR(IF([1]对账明细接口!$G$593=0,"",[1]对账明细接口!$G$593),"")</f>
        <v/>
      </c>
      <c r="H593" s="17" t="str">
        <f>IFERROR(IF([1]对账明细接口!$H$593=0,"",[1]对账明细接口!$H$593),"")</f>
        <v/>
      </c>
      <c r="I593" s="16" t="str">
        <f>IFERROR(IF([1]对账明细接口!$I$593=0,"",[1]对账明细接口!$I$593),"")</f>
        <v/>
      </c>
      <c r="J593" s="18" t="str">
        <f>IFERROR(IF([1]对账明细接口!$J$593=0,"",[1]对账明细接口!$J$593),"")</f>
        <v/>
      </c>
      <c r="K593" s="18" t="str">
        <f>IFERROR(IF([1]对账明细接口!$K$593=0,"",[1]对账明细接口!$K$593),"")</f>
        <v/>
      </c>
      <c r="L593" s="16" t="str">
        <f>IFERROR(IF([1]对账明细接口!$L$593=0,"",[1]对账明细接口!$L$593),"")</f>
        <v/>
      </c>
      <c r="M593" s="16" t="str">
        <f>IFERROR(IF([1]对账明细接口!$M$593=0,"",[1]对账明细接口!$M$593),"")</f>
        <v/>
      </c>
      <c r="N593" s="19">
        <f t="shared" si="18"/>
        <v>0</v>
      </c>
      <c r="O593" s="19">
        <f t="shared" si="19"/>
        <v>420</v>
      </c>
      <c r="S593" s="20" t="str">
        <f>IFERROR(IF([1]对账明细接口!$N593=0,"",[1]对账明细接口!$N593),"")</f>
        <v/>
      </c>
      <c r="T593" s="21" t="str">
        <f>IFERROR(IF([1]对账明细接口!$O593=0,"",[1]对账明细接口!$O593),"")</f>
        <v/>
      </c>
      <c r="U593" s="21" t="str">
        <f>IFERROR(IF([1]对账明细接口!$P593=0,"",[1]对账明细接口!$P593),"")</f>
        <v/>
      </c>
      <c r="V593" s="21" t="str">
        <f>IFERROR(IF([1]对账明细接口!$Q593=0,"",[1]对账明细接口!$Q593),"")</f>
        <v/>
      </c>
      <c r="W593" s="20" t="str">
        <f>IFERROR(IF([1]对账明细接口!$R593=0,"",[1]对账明细接口!$R593),"")</f>
        <v/>
      </c>
      <c r="X593" s="20" t="str">
        <f>IFERROR(IF([1]对账明细接口!$S593=0,"",[1]对账明细接口!$S593),"")</f>
        <v/>
      </c>
      <c r="Y593" s="20" t="str">
        <f>IFERROR(IF([1]对账明细接口!$T593=0,"",[1]对账明细接口!$T593),"")</f>
        <v/>
      </c>
      <c r="Z593" s="24" t="str">
        <f>IFERROR(IF([1]对账明细接口!$U593=0,"",[1]对账明细接口!$U593),"")</f>
        <v/>
      </c>
      <c r="AA593" s="24" t="str">
        <f>IFERROR(IF([1]对账明细接口!$V593=0,"",[1]对账明细接口!$V593),"")</f>
        <v/>
      </c>
      <c r="AB593" s="20" t="str">
        <f>IFERROR(IF([1]对账明细接口!$W593=0,"",[1]对账明细接口!$W593),"")</f>
        <v/>
      </c>
      <c r="AC593" s="7" t="str">
        <f>IFERROR(IF([1]对账明细接口!$X593=0,"",[1]对账明细接口!$X593),"")</f>
        <v/>
      </c>
      <c r="AD593" s="7" t="str">
        <f>IFERROR(IF([1]对账明细接口!$Y593=0,"",[1]对账明细接口!$Y593),"")</f>
        <v/>
      </c>
      <c r="AE593" s="7" t="str">
        <f>IFERROR(IF([1]对账明细接口!$AA593=0,"",[1]对账明细接口!$AA593),"")</f>
        <v/>
      </c>
      <c r="AF593" s="7" t="str">
        <f>IFERROR(IF([1]对账明细接口!$AB593=0,"",[1]对账明细接口!$AB593),"")</f>
        <v/>
      </c>
      <c r="AG593" s="7" t="str">
        <f>IFERROR(IF([1]对账明细接口!$AC593=0,"",[1]对账明细接口!$AC593),"")</f>
        <v/>
      </c>
      <c r="AH593" s="7" t="str">
        <f>IFERROR(IF([1]对账明细接口!$AD593=0,"",[1]对账明细接口!$AD593),"")</f>
        <v/>
      </c>
      <c r="AI593" s="7" t="str">
        <f>IFERROR(IF([1]对账明细接口!$AE593=0,"",[1]对账明细接口!$AE593),"")</f>
        <v/>
      </c>
      <c r="AJ593" s="7" t="str">
        <f>IFERROR(IF([1]对账明细接口!$AF593=0,"",[1]对账明细接口!$AF593),"")</f>
        <v/>
      </c>
    </row>
    <row r="594" ht="14.25" customHeight="1" spans="1:36">
      <c r="A594" s="14">
        <v>594</v>
      </c>
      <c r="B594" s="15" t="str">
        <f>IFERROR(IF([1]对账明细接口!$B$594=0,"",[1]对账明细接口!$B$594),"")</f>
        <v/>
      </c>
      <c r="C594" s="16" t="str">
        <f>IFERROR(IF([1]对账明细接口!$C$594=0,"",[1]对账明细接口!$C$594),"")</f>
        <v/>
      </c>
      <c r="D594" s="16" t="str">
        <f>IFERROR(IF([1]对账明细接口!$D$594=0,"",[1]对账明细接口!$D$594),"")</f>
        <v/>
      </c>
      <c r="E594" s="16" t="str">
        <f>IFERROR(IF([1]对账明细接口!$E$594=0,"",[1]对账明细接口!$E$594),"")</f>
        <v/>
      </c>
      <c r="F594" s="16" t="str">
        <f>IFERROR(IF([1]对账明细接口!$F$594=0,"",[1]对账明细接口!$F$594),"")</f>
        <v/>
      </c>
      <c r="G594" s="16" t="str">
        <f>IFERROR(IF([1]对账明细接口!$G$594=0,"",[1]对账明细接口!$G$594),"")</f>
        <v/>
      </c>
      <c r="H594" s="17" t="str">
        <f>IFERROR(IF([1]对账明细接口!$H$594=0,"",[1]对账明细接口!$H$594),"")</f>
        <v/>
      </c>
      <c r="I594" s="16" t="str">
        <f>IFERROR(IF([1]对账明细接口!$I$594=0,"",[1]对账明细接口!$I$594),"")</f>
        <v/>
      </c>
      <c r="J594" s="18" t="str">
        <f>IFERROR(IF([1]对账明细接口!$J$594=0,"",[1]对账明细接口!$J$594),"")</f>
        <v/>
      </c>
      <c r="K594" s="18" t="str">
        <f>IFERROR(IF([1]对账明细接口!$K$594=0,"",[1]对账明细接口!$K$594),"")</f>
        <v/>
      </c>
      <c r="L594" s="16" t="str">
        <f>IFERROR(IF([1]对账明细接口!$L$594=0,"",[1]对账明细接口!$L$594),"")</f>
        <v/>
      </c>
      <c r="M594" s="16" t="str">
        <f>IFERROR(IF([1]对账明细接口!$M$594=0,"",[1]对账明细接口!$M$594),"")</f>
        <v/>
      </c>
      <c r="N594" s="19">
        <f t="shared" si="18"/>
        <v>0</v>
      </c>
      <c r="O594" s="19">
        <f t="shared" si="19"/>
        <v>420</v>
      </c>
      <c r="S594" s="20" t="str">
        <f>IFERROR(IF([1]对账明细接口!$N594=0,"",[1]对账明细接口!$N594),"")</f>
        <v/>
      </c>
      <c r="T594" s="21" t="str">
        <f>IFERROR(IF([1]对账明细接口!$O594=0,"",[1]对账明细接口!$O594),"")</f>
        <v/>
      </c>
      <c r="U594" s="21" t="str">
        <f>IFERROR(IF([1]对账明细接口!$P594=0,"",[1]对账明细接口!$P594),"")</f>
        <v/>
      </c>
      <c r="V594" s="21" t="str">
        <f>IFERROR(IF([1]对账明细接口!$Q594=0,"",[1]对账明细接口!$Q594),"")</f>
        <v/>
      </c>
      <c r="W594" s="20" t="str">
        <f>IFERROR(IF([1]对账明细接口!$R594=0,"",[1]对账明细接口!$R594),"")</f>
        <v/>
      </c>
      <c r="X594" s="20" t="str">
        <f>IFERROR(IF([1]对账明细接口!$S594=0,"",[1]对账明细接口!$S594),"")</f>
        <v/>
      </c>
      <c r="Y594" s="20" t="str">
        <f>IFERROR(IF([1]对账明细接口!$T594=0,"",[1]对账明细接口!$T594),"")</f>
        <v/>
      </c>
      <c r="Z594" s="24" t="str">
        <f>IFERROR(IF([1]对账明细接口!$U594=0,"",[1]对账明细接口!$U594),"")</f>
        <v/>
      </c>
      <c r="AA594" s="24" t="str">
        <f>IFERROR(IF([1]对账明细接口!$V594=0,"",[1]对账明细接口!$V594),"")</f>
        <v/>
      </c>
      <c r="AB594" s="20" t="str">
        <f>IFERROR(IF([1]对账明细接口!$W594=0,"",[1]对账明细接口!$W594),"")</f>
        <v/>
      </c>
      <c r="AC594" s="7" t="str">
        <f>IFERROR(IF([1]对账明细接口!$X594=0,"",[1]对账明细接口!$X594),"")</f>
        <v/>
      </c>
      <c r="AD594" s="7" t="str">
        <f>IFERROR(IF([1]对账明细接口!$Y594=0,"",[1]对账明细接口!$Y594),"")</f>
        <v/>
      </c>
      <c r="AE594" s="7" t="str">
        <f>IFERROR(IF([1]对账明细接口!$AA594=0,"",[1]对账明细接口!$AA594),"")</f>
        <v/>
      </c>
      <c r="AF594" s="7" t="str">
        <f>IFERROR(IF([1]对账明细接口!$AB594=0,"",[1]对账明细接口!$AB594),"")</f>
        <v/>
      </c>
      <c r="AG594" s="7" t="str">
        <f>IFERROR(IF([1]对账明细接口!$AC594=0,"",[1]对账明细接口!$AC594),"")</f>
        <v/>
      </c>
      <c r="AH594" s="7" t="str">
        <f>IFERROR(IF([1]对账明细接口!$AD594=0,"",[1]对账明细接口!$AD594),"")</f>
        <v/>
      </c>
      <c r="AI594" s="7" t="str">
        <f>IFERROR(IF([1]对账明细接口!$AE594=0,"",[1]对账明细接口!$AE594),"")</f>
        <v/>
      </c>
      <c r="AJ594" s="7" t="str">
        <f>IFERROR(IF([1]对账明细接口!$AF594=0,"",[1]对账明细接口!$AF594),"")</f>
        <v/>
      </c>
    </row>
    <row r="595" ht="14.25" customHeight="1" spans="1:36">
      <c r="A595" s="14">
        <v>595</v>
      </c>
      <c r="B595" s="15" t="str">
        <f>IFERROR(IF([1]对账明细接口!$B$595=0,"",[1]对账明细接口!$B$595),"")</f>
        <v/>
      </c>
      <c r="C595" s="16" t="str">
        <f>IFERROR(IF([1]对账明细接口!$C$595=0,"",[1]对账明细接口!$C$595),"")</f>
        <v/>
      </c>
      <c r="D595" s="16" t="str">
        <f>IFERROR(IF([1]对账明细接口!$D$595=0,"",[1]对账明细接口!$D$595),"")</f>
        <v/>
      </c>
      <c r="E595" s="16" t="str">
        <f>IFERROR(IF([1]对账明细接口!$E$595=0,"",[1]对账明细接口!$E$595),"")</f>
        <v/>
      </c>
      <c r="F595" s="16" t="str">
        <f>IFERROR(IF([1]对账明细接口!$F$595=0,"",[1]对账明细接口!$F$595),"")</f>
        <v/>
      </c>
      <c r="G595" s="16" t="str">
        <f>IFERROR(IF([1]对账明细接口!$G$595=0,"",[1]对账明细接口!$G$595),"")</f>
        <v/>
      </c>
      <c r="H595" s="17" t="str">
        <f>IFERROR(IF([1]对账明细接口!$H$595=0,"",[1]对账明细接口!$H$595),"")</f>
        <v/>
      </c>
      <c r="I595" s="16" t="str">
        <f>IFERROR(IF([1]对账明细接口!$I$595=0,"",[1]对账明细接口!$I$595),"")</f>
        <v/>
      </c>
      <c r="J595" s="18" t="str">
        <f>IFERROR(IF([1]对账明细接口!$J$595=0,"",[1]对账明细接口!$J$595),"")</f>
        <v/>
      </c>
      <c r="K595" s="18" t="str">
        <f>IFERROR(IF([1]对账明细接口!$K$595=0,"",[1]对账明细接口!$K$595),"")</f>
        <v/>
      </c>
      <c r="L595" s="16" t="str">
        <f>IFERROR(IF([1]对账明细接口!$L$595=0,"",[1]对账明细接口!$L$595),"")</f>
        <v/>
      </c>
      <c r="M595" s="16" t="str">
        <f>IFERROR(IF([1]对账明细接口!$M$595=0,"",[1]对账明细接口!$M$595),"")</f>
        <v/>
      </c>
      <c r="N595" s="19">
        <f t="shared" si="18"/>
        <v>0</v>
      </c>
      <c r="O595" s="19">
        <f t="shared" si="19"/>
        <v>420</v>
      </c>
      <c r="S595" s="20" t="str">
        <f>IFERROR(IF([1]对账明细接口!$N595=0,"",[1]对账明细接口!$N595),"")</f>
        <v/>
      </c>
      <c r="T595" s="21" t="str">
        <f>IFERROR(IF([1]对账明细接口!$O595=0,"",[1]对账明细接口!$O595),"")</f>
        <v/>
      </c>
      <c r="U595" s="21" t="str">
        <f>IFERROR(IF([1]对账明细接口!$P595=0,"",[1]对账明细接口!$P595),"")</f>
        <v/>
      </c>
      <c r="V595" s="21" t="str">
        <f>IFERROR(IF([1]对账明细接口!$Q595=0,"",[1]对账明细接口!$Q595),"")</f>
        <v/>
      </c>
      <c r="W595" s="20" t="str">
        <f>IFERROR(IF([1]对账明细接口!$R595=0,"",[1]对账明细接口!$R595),"")</f>
        <v/>
      </c>
      <c r="X595" s="20" t="str">
        <f>IFERROR(IF([1]对账明细接口!$S595=0,"",[1]对账明细接口!$S595),"")</f>
        <v/>
      </c>
      <c r="Y595" s="20" t="str">
        <f>IFERROR(IF([1]对账明细接口!$T595=0,"",[1]对账明细接口!$T595),"")</f>
        <v/>
      </c>
      <c r="Z595" s="24" t="str">
        <f>IFERROR(IF([1]对账明细接口!$U595=0,"",[1]对账明细接口!$U595),"")</f>
        <v/>
      </c>
      <c r="AA595" s="24" t="str">
        <f>IFERROR(IF([1]对账明细接口!$V595=0,"",[1]对账明细接口!$V595),"")</f>
        <v/>
      </c>
      <c r="AB595" s="20" t="str">
        <f>IFERROR(IF([1]对账明细接口!$W595=0,"",[1]对账明细接口!$W595),"")</f>
        <v/>
      </c>
      <c r="AC595" s="7" t="str">
        <f>IFERROR(IF([1]对账明细接口!$X595=0,"",[1]对账明细接口!$X595),"")</f>
        <v/>
      </c>
      <c r="AD595" s="7" t="str">
        <f>IFERROR(IF([1]对账明细接口!$Y595=0,"",[1]对账明细接口!$Y595),"")</f>
        <v/>
      </c>
      <c r="AE595" s="7" t="str">
        <f>IFERROR(IF([1]对账明细接口!$AA595=0,"",[1]对账明细接口!$AA595),"")</f>
        <v/>
      </c>
      <c r="AF595" s="7" t="str">
        <f>IFERROR(IF([1]对账明细接口!$AB595=0,"",[1]对账明细接口!$AB595),"")</f>
        <v/>
      </c>
      <c r="AG595" s="7" t="str">
        <f>IFERROR(IF([1]对账明细接口!$AC595=0,"",[1]对账明细接口!$AC595),"")</f>
        <v/>
      </c>
      <c r="AH595" s="7" t="str">
        <f>IFERROR(IF([1]对账明细接口!$AD595=0,"",[1]对账明细接口!$AD595),"")</f>
        <v/>
      </c>
      <c r="AI595" s="7" t="str">
        <f>IFERROR(IF([1]对账明细接口!$AE595=0,"",[1]对账明细接口!$AE595),"")</f>
        <v/>
      </c>
      <c r="AJ595" s="7" t="str">
        <f>IFERROR(IF([1]对账明细接口!$AF595=0,"",[1]对账明细接口!$AF595),"")</f>
        <v/>
      </c>
    </row>
    <row r="596" ht="14.25" customHeight="1" spans="1:36">
      <c r="A596" s="14">
        <v>596</v>
      </c>
      <c r="B596" s="15" t="str">
        <f>IFERROR(IF([1]对账明细接口!$B$596=0,"",[1]对账明细接口!$B$596),"")</f>
        <v/>
      </c>
      <c r="C596" s="16" t="str">
        <f>IFERROR(IF([1]对账明细接口!$C$596=0,"",[1]对账明细接口!$C$596),"")</f>
        <v/>
      </c>
      <c r="D596" s="16" t="str">
        <f>IFERROR(IF([1]对账明细接口!$D$596=0,"",[1]对账明细接口!$D$596),"")</f>
        <v/>
      </c>
      <c r="E596" s="16" t="str">
        <f>IFERROR(IF([1]对账明细接口!$E$596=0,"",[1]对账明细接口!$E$596),"")</f>
        <v/>
      </c>
      <c r="F596" s="16" t="str">
        <f>IFERROR(IF([1]对账明细接口!$F$596=0,"",[1]对账明细接口!$F$596),"")</f>
        <v/>
      </c>
      <c r="G596" s="16" t="str">
        <f>IFERROR(IF([1]对账明细接口!$G$596=0,"",[1]对账明细接口!$G$596),"")</f>
        <v/>
      </c>
      <c r="H596" s="17" t="str">
        <f>IFERROR(IF([1]对账明细接口!$H$596=0,"",[1]对账明细接口!$H$596),"")</f>
        <v/>
      </c>
      <c r="I596" s="16" t="str">
        <f>IFERROR(IF([1]对账明细接口!$I$596=0,"",[1]对账明细接口!$I$596),"")</f>
        <v/>
      </c>
      <c r="J596" s="18" t="str">
        <f>IFERROR(IF([1]对账明细接口!$J$596=0,"",[1]对账明细接口!$J$596),"")</f>
        <v/>
      </c>
      <c r="K596" s="18" t="str">
        <f>IFERROR(IF([1]对账明细接口!$K$596=0,"",[1]对账明细接口!$K$596),"")</f>
        <v/>
      </c>
      <c r="L596" s="16" t="str">
        <f>IFERROR(IF([1]对账明细接口!$L$596=0,"",[1]对账明细接口!$L$596),"")</f>
        <v/>
      </c>
      <c r="M596" s="16" t="str">
        <f>IFERROR(IF([1]对账明细接口!$M$596=0,"",[1]对账明细接口!$M$596),"")</f>
        <v/>
      </c>
      <c r="N596" s="19">
        <f t="shared" si="18"/>
        <v>0</v>
      </c>
      <c r="O596" s="19">
        <f t="shared" si="19"/>
        <v>420</v>
      </c>
      <c r="S596" s="20" t="str">
        <f>IFERROR(IF([1]对账明细接口!$N596=0,"",[1]对账明细接口!$N596),"")</f>
        <v/>
      </c>
      <c r="T596" s="21" t="str">
        <f>IFERROR(IF([1]对账明细接口!$O596=0,"",[1]对账明细接口!$O596),"")</f>
        <v/>
      </c>
      <c r="U596" s="21" t="str">
        <f>IFERROR(IF([1]对账明细接口!$P596=0,"",[1]对账明细接口!$P596),"")</f>
        <v/>
      </c>
      <c r="V596" s="21" t="str">
        <f>IFERROR(IF([1]对账明细接口!$Q596=0,"",[1]对账明细接口!$Q596),"")</f>
        <v/>
      </c>
      <c r="W596" s="20" t="str">
        <f>IFERROR(IF([1]对账明细接口!$R596=0,"",[1]对账明细接口!$R596),"")</f>
        <v/>
      </c>
      <c r="X596" s="20" t="str">
        <f>IFERROR(IF([1]对账明细接口!$S596=0,"",[1]对账明细接口!$S596),"")</f>
        <v/>
      </c>
      <c r="Y596" s="20" t="str">
        <f>IFERROR(IF([1]对账明细接口!$T596=0,"",[1]对账明细接口!$T596),"")</f>
        <v/>
      </c>
      <c r="Z596" s="24" t="str">
        <f>IFERROR(IF([1]对账明细接口!$U596=0,"",[1]对账明细接口!$U596),"")</f>
        <v/>
      </c>
      <c r="AA596" s="24" t="str">
        <f>IFERROR(IF([1]对账明细接口!$V596=0,"",[1]对账明细接口!$V596),"")</f>
        <v/>
      </c>
      <c r="AB596" s="20" t="str">
        <f>IFERROR(IF([1]对账明细接口!$W596=0,"",[1]对账明细接口!$W596),"")</f>
        <v/>
      </c>
      <c r="AC596" s="7" t="str">
        <f>IFERROR(IF([1]对账明细接口!$X596=0,"",[1]对账明细接口!$X596),"")</f>
        <v/>
      </c>
      <c r="AD596" s="7" t="str">
        <f>IFERROR(IF([1]对账明细接口!$Y596=0,"",[1]对账明细接口!$Y596),"")</f>
        <v/>
      </c>
      <c r="AE596" s="7" t="str">
        <f>IFERROR(IF([1]对账明细接口!$AA596=0,"",[1]对账明细接口!$AA596),"")</f>
        <v/>
      </c>
      <c r="AF596" s="7" t="str">
        <f>IFERROR(IF([1]对账明细接口!$AB596=0,"",[1]对账明细接口!$AB596),"")</f>
        <v/>
      </c>
      <c r="AG596" s="7" t="str">
        <f>IFERROR(IF([1]对账明细接口!$AC596=0,"",[1]对账明细接口!$AC596),"")</f>
        <v/>
      </c>
      <c r="AH596" s="7" t="str">
        <f>IFERROR(IF([1]对账明细接口!$AD596=0,"",[1]对账明细接口!$AD596),"")</f>
        <v/>
      </c>
      <c r="AI596" s="7" t="str">
        <f>IFERROR(IF([1]对账明细接口!$AE596=0,"",[1]对账明细接口!$AE596),"")</f>
        <v/>
      </c>
      <c r="AJ596" s="7" t="str">
        <f>IFERROR(IF([1]对账明细接口!$AF596=0,"",[1]对账明细接口!$AF596),"")</f>
        <v/>
      </c>
    </row>
    <row r="597" ht="14.25" customHeight="1" spans="1:36">
      <c r="A597" s="14">
        <v>597</v>
      </c>
      <c r="B597" s="15" t="str">
        <f>IFERROR(IF([1]对账明细接口!$B$597=0,"",[1]对账明细接口!$B$597),"")</f>
        <v/>
      </c>
      <c r="C597" s="16" t="str">
        <f>IFERROR(IF([1]对账明细接口!$C$597=0,"",[1]对账明细接口!$C$597),"")</f>
        <v/>
      </c>
      <c r="D597" s="16" t="str">
        <f>IFERROR(IF([1]对账明细接口!$D$597=0,"",[1]对账明细接口!$D$597),"")</f>
        <v/>
      </c>
      <c r="E597" s="16" t="str">
        <f>IFERROR(IF([1]对账明细接口!$E$597=0,"",[1]对账明细接口!$E$597),"")</f>
        <v/>
      </c>
      <c r="F597" s="16" t="str">
        <f>IFERROR(IF([1]对账明细接口!$F$597=0,"",[1]对账明细接口!$F$597),"")</f>
        <v/>
      </c>
      <c r="G597" s="16" t="str">
        <f>IFERROR(IF([1]对账明细接口!$G$597=0,"",[1]对账明细接口!$G$597),"")</f>
        <v/>
      </c>
      <c r="H597" s="17" t="str">
        <f>IFERROR(IF([1]对账明细接口!$H$597=0,"",[1]对账明细接口!$H$597),"")</f>
        <v/>
      </c>
      <c r="I597" s="16" t="str">
        <f>IFERROR(IF([1]对账明细接口!$I$597=0,"",[1]对账明细接口!$I$597),"")</f>
        <v/>
      </c>
      <c r="J597" s="18" t="str">
        <f>IFERROR(IF([1]对账明细接口!$J$597=0,"",[1]对账明细接口!$J$597),"")</f>
        <v/>
      </c>
      <c r="K597" s="18" t="str">
        <f>IFERROR(IF([1]对账明细接口!$K$597=0,"",[1]对账明细接口!$K$597),"")</f>
        <v/>
      </c>
      <c r="L597" s="16" t="str">
        <f>IFERROR(IF([1]对账明细接口!$L$597=0,"",[1]对账明细接口!$L$597),"")</f>
        <v/>
      </c>
      <c r="M597" s="16" t="str">
        <f>IFERROR(IF([1]对账明细接口!$M$597=0,"",[1]对账明细接口!$M$597),"")</f>
        <v/>
      </c>
      <c r="N597" s="19">
        <f t="shared" si="18"/>
        <v>0</v>
      </c>
      <c r="O597" s="19">
        <f t="shared" si="19"/>
        <v>420</v>
      </c>
      <c r="S597" s="20" t="str">
        <f>IFERROR(IF([1]对账明细接口!$N597=0,"",[1]对账明细接口!$N597),"")</f>
        <v/>
      </c>
      <c r="T597" s="21" t="str">
        <f>IFERROR(IF([1]对账明细接口!$O597=0,"",[1]对账明细接口!$O597),"")</f>
        <v/>
      </c>
      <c r="U597" s="21" t="str">
        <f>IFERROR(IF([1]对账明细接口!$P597=0,"",[1]对账明细接口!$P597),"")</f>
        <v/>
      </c>
      <c r="V597" s="21" t="str">
        <f>IFERROR(IF([1]对账明细接口!$Q597=0,"",[1]对账明细接口!$Q597),"")</f>
        <v/>
      </c>
      <c r="W597" s="20" t="str">
        <f>IFERROR(IF([1]对账明细接口!$R597=0,"",[1]对账明细接口!$R597),"")</f>
        <v/>
      </c>
      <c r="X597" s="20" t="str">
        <f>IFERROR(IF([1]对账明细接口!$S597=0,"",[1]对账明细接口!$S597),"")</f>
        <v/>
      </c>
      <c r="Y597" s="20" t="str">
        <f>IFERROR(IF([1]对账明细接口!$T597=0,"",[1]对账明细接口!$T597),"")</f>
        <v/>
      </c>
      <c r="Z597" s="24" t="str">
        <f>IFERROR(IF([1]对账明细接口!$U597=0,"",[1]对账明细接口!$U597),"")</f>
        <v/>
      </c>
      <c r="AA597" s="24" t="str">
        <f>IFERROR(IF([1]对账明细接口!$V597=0,"",[1]对账明细接口!$V597),"")</f>
        <v/>
      </c>
      <c r="AB597" s="20" t="str">
        <f>IFERROR(IF([1]对账明细接口!$W597=0,"",[1]对账明细接口!$W597),"")</f>
        <v/>
      </c>
      <c r="AC597" s="7" t="str">
        <f>IFERROR(IF([1]对账明细接口!$X597=0,"",[1]对账明细接口!$X597),"")</f>
        <v/>
      </c>
      <c r="AD597" s="7" t="str">
        <f>IFERROR(IF([1]对账明细接口!$Y597=0,"",[1]对账明细接口!$Y597),"")</f>
        <v/>
      </c>
      <c r="AE597" s="7" t="str">
        <f>IFERROR(IF([1]对账明细接口!$AA597=0,"",[1]对账明细接口!$AA597),"")</f>
        <v/>
      </c>
      <c r="AF597" s="7" t="str">
        <f>IFERROR(IF([1]对账明细接口!$AB597=0,"",[1]对账明细接口!$AB597),"")</f>
        <v/>
      </c>
      <c r="AG597" s="7" t="str">
        <f>IFERROR(IF([1]对账明细接口!$AC597=0,"",[1]对账明细接口!$AC597),"")</f>
        <v/>
      </c>
      <c r="AH597" s="7" t="str">
        <f>IFERROR(IF([1]对账明细接口!$AD597=0,"",[1]对账明细接口!$AD597),"")</f>
        <v/>
      </c>
      <c r="AI597" s="7" t="str">
        <f>IFERROR(IF([1]对账明细接口!$AE597=0,"",[1]对账明细接口!$AE597),"")</f>
        <v/>
      </c>
      <c r="AJ597" s="7" t="str">
        <f>IFERROR(IF([1]对账明细接口!$AF597=0,"",[1]对账明细接口!$AF597),"")</f>
        <v/>
      </c>
    </row>
    <row r="598" ht="14.25" customHeight="1" spans="1:36">
      <c r="A598" s="14">
        <v>598</v>
      </c>
      <c r="B598" s="15" t="str">
        <f>IFERROR(IF([1]对账明细接口!$B$598=0,"",[1]对账明细接口!$B$598),"")</f>
        <v/>
      </c>
      <c r="C598" s="16" t="str">
        <f>IFERROR(IF([1]对账明细接口!$C$598=0,"",[1]对账明细接口!$C$598),"")</f>
        <v/>
      </c>
      <c r="D598" s="16" t="str">
        <f>IFERROR(IF([1]对账明细接口!$D$598=0,"",[1]对账明细接口!$D$598),"")</f>
        <v/>
      </c>
      <c r="E598" s="16" t="str">
        <f>IFERROR(IF([1]对账明细接口!$E$598=0,"",[1]对账明细接口!$E$598),"")</f>
        <v/>
      </c>
      <c r="F598" s="16" t="str">
        <f>IFERROR(IF([1]对账明细接口!$F$598=0,"",[1]对账明细接口!$F$598),"")</f>
        <v/>
      </c>
      <c r="G598" s="16" t="str">
        <f>IFERROR(IF([1]对账明细接口!$G$598=0,"",[1]对账明细接口!$G$598),"")</f>
        <v/>
      </c>
      <c r="H598" s="17" t="str">
        <f>IFERROR(IF([1]对账明细接口!$H$598=0,"",[1]对账明细接口!$H$598),"")</f>
        <v/>
      </c>
      <c r="I598" s="16" t="str">
        <f>IFERROR(IF([1]对账明细接口!$I$598=0,"",[1]对账明细接口!$I$598),"")</f>
        <v/>
      </c>
      <c r="J598" s="18" t="str">
        <f>IFERROR(IF([1]对账明细接口!$J$598=0,"",[1]对账明细接口!$J$598),"")</f>
        <v/>
      </c>
      <c r="K598" s="18" t="str">
        <f>IFERROR(IF([1]对账明细接口!$K$598=0,"",[1]对账明细接口!$K$598),"")</f>
        <v/>
      </c>
      <c r="L598" s="16" t="str">
        <f>IFERROR(IF([1]对账明细接口!$L$598=0,"",[1]对账明细接口!$L$598),"")</f>
        <v/>
      </c>
      <c r="M598" s="16" t="str">
        <f>IFERROR(IF([1]对账明细接口!$M$598=0,"",[1]对账明细接口!$M$598),"")</f>
        <v/>
      </c>
      <c r="N598" s="19">
        <f t="shared" si="18"/>
        <v>0</v>
      </c>
      <c r="O598" s="19">
        <f t="shared" si="19"/>
        <v>420</v>
      </c>
      <c r="S598" s="20" t="str">
        <f>IFERROR(IF([1]对账明细接口!$N598=0,"",[1]对账明细接口!$N598),"")</f>
        <v/>
      </c>
      <c r="T598" s="21" t="str">
        <f>IFERROR(IF([1]对账明细接口!$O598=0,"",[1]对账明细接口!$O598),"")</f>
        <v/>
      </c>
      <c r="U598" s="21" t="str">
        <f>IFERROR(IF([1]对账明细接口!$P598=0,"",[1]对账明细接口!$P598),"")</f>
        <v/>
      </c>
      <c r="V598" s="21" t="str">
        <f>IFERROR(IF([1]对账明细接口!$Q598=0,"",[1]对账明细接口!$Q598),"")</f>
        <v/>
      </c>
      <c r="W598" s="20" t="str">
        <f>IFERROR(IF([1]对账明细接口!$R598=0,"",[1]对账明细接口!$R598),"")</f>
        <v/>
      </c>
      <c r="X598" s="20" t="str">
        <f>IFERROR(IF([1]对账明细接口!$S598=0,"",[1]对账明细接口!$S598),"")</f>
        <v/>
      </c>
      <c r="Y598" s="20" t="str">
        <f>IFERROR(IF([1]对账明细接口!$T598=0,"",[1]对账明细接口!$T598),"")</f>
        <v/>
      </c>
      <c r="Z598" s="24" t="str">
        <f>IFERROR(IF([1]对账明细接口!$U598=0,"",[1]对账明细接口!$U598),"")</f>
        <v/>
      </c>
      <c r="AA598" s="24" t="str">
        <f>IFERROR(IF([1]对账明细接口!$V598=0,"",[1]对账明细接口!$V598),"")</f>
        <v/>
      </c>
      <c r="AB598" s="20" t="str">
        <f>IFERROR(IF([1]对账明细接口!$W598=0,"",[1]对账明细接口!$W598),"")</f>
        <v/>
      </c>
      <c r="AC598" s="7" t="str">
        <f>IFERROR(IF([1]对账明细接口!$X598=0,"",[1]对账明细接口!$X598),"")</f>
        <v/>
      </c>
      <c r="AD598" s="7" t="str">
        <f>IFERROR(IF([1]对账明细接口!$Y598=0,"",[1]对账明细接口!$Y598),"")</f>
        <v/>
      </c>
      <c r="AE598" s="7" t="str">
        <f>IFERROR(IF([1]对账明细接口!$AA598=0,"",[1]对账明细接口!$AA598),"")</f>
        <v/>
      </c>
      <c r="AF598" s="7" t="str">
        <f>IFERROR(IF([1]对账明细接口!$AB598=0,"",[1]对账明细接口!$AB598),"")</f>
        <v/>
      </c>
      <c r="AG598" s="7" t="str">
        <f>IFERROR(IF([1]对账明细接口!$AC598=0,"",[1]对账明细接口!$AC598),"")</f>
        <v/>
      </c>
      <c r="AH598" s="7" t="str">
        <f>IFERROR(IF([1]对账明细接口!$AD598=0,"",[1]对账明细接口!$AD598),"")</f>
        <v/>
      </c>
      <c r="AI598" s="7" t="str">
        <f>IFERROR(IF([1]对账明细接口!$AE598=0,"",[1]对账明细接口!$AE598),"")</f>
        <v/>
      </c>
      <c r="AJ598" s="7" t="str">
        <f>IFERROR(IF([1]对账明细接口!$AF598=0,"",[1]对账明细接口!$AF598),"")</f>
        <v/>
      </c>
    </row>
    <row r="599" ht="14.25" customHeight="1" spans="1:36">
      <c r="A599" s="14">
        <v>599</v>
      </c>
      <c r="B599" s="15" t="str">
        <f>IFERROR(IF([1]对账明细接口!$B$599=0,"",[1]对账明细接口!$B$599),"")</f>
        <v/>
      </c>
      <c r="C599" s="16" t="str">
        <f>IFERROR(IF([1]对账明细接口!$C$599=0,"",[1]对账明细接口!$C$599),"")</f>
        <v/>
      </c>
      <c r="D599" s="16" t="str">
        <f>IFERROR(IF([1]对账明细接口!$D$599=0,"",[1]对账明细接口!$D$599),"")</f>
        <v/>
      </c>
      <c r="E599" s="16" t="str">
        <f>IFERROR(IF([1]对账明细接口!$E$599=0,"",[1]对账明细接口!$E$599),"")</f>
        <v/>
      </c>
      <c r="F599" s="16" t="str">
        <f>IFERROR(IF([1]对账明细接口!$F$599=0,"",[1]对账明细接口!$F$599),"")</f>
        <v/>
      </c>
      <c r="G599" s="16" t="str">
        <f>IFERROR(IF([1]对账明细接口!$G$599=0,"",[1]对账明细接口!$G$599),"")</f>
        <v/>
      </c>
      <c r="H599" s="17" t="str">
        <f>IFERROR(IF([1]对账明细接口!$H$599=0,"",[1]对账明细接口!$H$599),"")</f>
        <v/>
      </c>
      <c r="I599" s="16" t="str">
        <f>IFERROR(IF([1]对账明细接口!$I$599=0,"",[1]对账明细接口!$I$599),"")</f>
        <v/>
      </c>
      <c r="J599" s="18" t="str">
        <f>IFERROR(IF([1]对账明细接口!$J$599=0,"",[1]对账明细接口!$J$599),"")</f>
        <v/>
      </c>
      <c r="K599" s="18" t="str">
        <f>IFERROR(IF([1]对账明细接口!$K$599=0,"",[1]对账明细接口!$K$599),"")</f>
        <v/>
      </c>
      <c r="L599" s="16" t="str">
        <f>IFERROR(IF([1]对账明细接口!$L$599=0,"",[1]对账明细接口!$L$599),"")</f>
        <v/>
      </c>
      <c r="M599" s="16" t="str">
        <f>IFERROR(IF([1]对账明细接口!$M$599=0,"",[1]对账明细接口!$M$599),"")</f>
        <v/>
      </c>
      <c r="N599" s="19">
        <f t="shared" si="18"/>
        <v>0</v>
      </c>
      <c r="O599" s="19">
        <f t="shared" si="19"/>
        <v>420</v>
      </c>
      <c r="S599" s="20" t="str">
        <f>IFERROR(IF([1]对账明细接口!$N599=0,"",[1]对账明细接口!$N599),"")</f>
        <v/>
      </c>
      <c r="T599" s="21" t="str">
        <f>IFERROR(IF([1]对账明细接口!$O599=0,"",[1]对账明细接口!$O599),"")</f>
        <v/>
      </c>
      <c r="U599" s="21" t="str">
        <f>IFERROR(IF([1]对账明细接口!$P599=0,"",[1]对账明细接口!$P599),"")</f>
        <v/>
      </c>
      <c r="V599" s="21" t="str">
        <f>IFERROR(IF([1]对账明细接口!$Q599=0,"",[1]对账明细接口!$Q599),"")</f>
        <v/>
      </c>
      <c r="W599" s="20" t="str">
        <f>IFERROR(IF([1]对账明细接口!$R599=0,"",[1]对账明细接口!$R599),"")</f>
        <v/>
      </c>
      <c r="X599" s="20" t="str">
        <f>IFERROR(IF([1]对账明细接口!$S599=0,"",[1]对账明细接口!$S599),"")</f>
        <v/>
      </c>
      <c r="Y599" s="20" t="str">
        <f>IFERROR(IF([1]对账明细接口!$T599=0,"",[1]对账明细接口!$T599),"")</f>
        <v/>
      </c>
      <c r="Z599" s="24" t="str">
        <f>IFERROR(IF([1]对账明细接口!$U599=0,"",[1]对账明细接口!$U599),"")</f>
        <v/>
      </c>
      <c r="AA599" s="24" t="str">
        <f>IFERROR(IF([1]对账明细接口!$V599=0,"",[1]对账明细接口!$V599),"")</f>
        <v/>
      </c>
      <c r="AB599" s="20" t="str">
        <f>IFERROR(IF([1]对账明细接口!$W599=0,"",[1]对账明细接口!$W599),"")</f>
        <v/>
      </c>
      <c r="AC599" s="7" t="str">
        <f>IFERROR(IF([1]对账明细接口!$X599=0,"",[1]对账明细接口!$X599),"")</f>
        <v/>
      </c>
      <c r="AD599" s="7" t="str">
        <f>IFERROR(IF([1]对账明细接口!$Y599=0,"",[1]对账明细接口!$Y599),"")</f>
        <v/>
      </c>
      <c r="AE599" s="7" t="str">
        <f>IFERROR(IF([1]对账明细接口!$AA599=0,"",[1]对账明细接口!$AA599),"")</f>
        <v/>
      </c>
      <c r="AF599" s="7" t="str">
        <f>IFERROR(IF([1]对账明细接口!$AB599=0,"",[1]对账明细接口!$AB599),"")</f>
        <v/>
      </c>
      <c r="AG599" s="7" t="str">
        <f>IFERROR(IF([1]对账明细接口!$AC599=0,"",[1]对账明细接口!$AC599),"")</f>
        <v/>
      </c>
      <c r="AH599" s="7" t="str">
        <f>IFERROR(IF([1]对账明细接口!$AD599=0,"",[1]对账明细接口!$AD599),"")</f>
        <v/>
      </c>
      <c r="AI599" s="7" t="str">
        <f>IFERROR(IF([1]对账明细接口!$AE599=0,"",[1]对账明细接口!$AE599),"")</f>
        <v/>
      </c>
      <c r="AJ599" s="7" t="str">
        <f>IFERROR(IF([1]对账明细接口!$AF599=0,"",[1]对账明细接口!$AF599),"")</f>
        <v/>
      </c>
    </row>
    <row r="600" ht="14.25" customHeight="1" spans="1:36">
      <c r="A600" s="14">
        <v>600</v>
      </c>
      <c r="B600" s="15" t="str">
        <f>IFERROR(IF([1]对账明细接口!$B$600=0,"",[1]对账明细接口!$B$600),"")</f>
        <v/>
      </c>
      <c r="C600" s="16" t="str">
        <f>IFERROR(IF([1]对账明细接口!$C$600=0,"",[1]对账明细接口!$C$600),"")</f>
        <v/>
      </c>
      <c r="D600" s="16" t="str">
        <f>IFERROR(IF([1]对账明细接口!$D$600=0,"",[1]对账明细接口!$D$600),"")</f>
        <v/>
      </c>
      <c r="E600" s="16" t="str">
        <f>IFERROR(IF([1]对账明细接口!$E$600=0,"",[1]对账明细接口!$E$600),"")</f>
        <v/>
      </c>
      <c r="F600" s="16" t="str">
        <f>IFERROR(IF([1]对账明细接口!$F$600=0,"",[1]对账明细接口!$F$600),"")</f>
        <v/>
      </c>
      <c r="G600" s="16" t="str">
        <f>IFERROR(IF([1]对账明细接口!$G$600=0,"",[1]对账明细接口!$G$600),"")</f>
        <v/>
      </c>
      <c r="H600" s="17" t="str">
        <f>IFERROR(IF([1]对账明细接口!$H$600=0,"",[1]对账明细接口!$H$600),"")</f>
        <v/>
      </c>
      <c r="I600" s="16" t="str">
        <f>IFERROR(IF([1]对账明细接口!$I$600=0,"",[1]对账明细接口!$I$600),"")</f>
        <v/>
      </c>
      <c r="J600" s="18" t="str">
        <f>IFERROR(IF([1]对账明细接口!$J$600=0,"",[1]对账明细接口!$J$600),"")</f>
        <v/>
      </c>
      <c r="K600" s="18" t="str">
        <f>IFERROR(IF([1]对账明细接口!$K$600=0,"",[1]对账明细接口!$K$600),"")</f>
        <v/>
      </c>
      <c r="L600" s="16" t="str">
        <f>IFERROR(IF([1]对账明细接口!$L$600=0,"",[1]对账明细接口!$L$600),"")</f>
        <v/>
      </c>
      <c r="M600" s="16" t="str">
        <f>IFERROR(IF([1]对账明细接口!$M$600=0,"",[1]对账明细接口!$M$600),"")</f>
        <v/>
      </c>
      <c r="N600" s="19">
        <f t="shared" si="18"/>
        <v>0</v>
      </c>
      <c r="O600" s="19">
        <f t="shared" si="19"/>
        <v>420</v>
      </c>
      <c r="S600" s="20" t="str">
        <f>IFERROR(IF([1]对账明细接口!$N600=0,"",[1]对账明细接口!$N600),"")</f>
        <v/>
      </c>
      <c r="T600" s="21" t="str">
        <f>IFERROR(IF([1]对账明细接口!$O600=0,"",[1]对账明细接口!$O600),"")</f>
        <v/>
      </c>
      <c r="U600" s="21" t="str">
        <f>IFERROR(IF([1]对账明细接口!$P600=0,"",[1]对账明细接口!$P600),"")</f>
        <v/>
      </c>
      <c r="V600" s="21" t="str">
        <f>IFERROR(IF([1]对账明细接口!$Q600=0,"",[1]对账明细接口!$Q600),"")</f>
        <v/>
      </c>
      <c r="W600" s="20" t="str">
        <f>IFERROR(IF([1]对账明细接口!$R600=0,"",[1]对账明细接口!$R600),"")</f>
        <v/>
      </c>
      <c r="X600" s="20" t="str">
        <f>IFERROR(IF([1]对账明细接口!$S600=0,"",[1]对账明细接口!$S600),"")</f>
        <v/>
      </c>
      <c r="Y600" s="20" t="str">
        <f>IFERROR(IF([1]对账明细接口!$T600=0,"",[1]对账明细接口!$T600),"")</f>
        <v/>
      </c>
      <c r="Z600" s="24" t="str">
        <f>IFERROR(IF([1]对账明细接口!$U600=0,"",[1]对账明细接口!$U600),"")</f>
        <v/>
      </c>
      <c r="AA600" s="24" t="str">
        <f>IFERROR(IF([1]对账明细接口!$V600=0,"",[1]对账明细接口!$V600),"")</f>
        <v/>
      </c>
      <c r="AB600" s="20" t="str">
        <f>IFERROR(IF([1]对账明细接口!$W600=0,"",[1]对账明细接口!$W600),"")</f>
        <v/>
      </c>
      <c r="AC600" s="7" t="str">
        <f>IFERROR(IF([1]对账明细接口!$X600=0,"",[1]对账明细接口!$X600),"")</f>
        <v/>
      </c>
      <c r="AD600" s="7" t="str">
        <f>IFERROR(IF([1]对账明细接口!$Y600=0,"",[1]对账明细接口!$Y600),"")</f>
        <v/>
      </c>
      <c r="AE600" s="7" t="str">
        <f>IFERROR(IF([1]对账明细接口!$AA600=0,"",[1]对账明细接口!$AA600),"")</f>
        <v/>
      </c>
      <c r="AF600" s="7" t="str">
        <f>IFERROR(IF([1]对账明细接口!$AB600=0,"",[1]对账明细接口!$AB600),"")</f>
        <v/>
      </c>
      <c r="AG600" s="7" t="str">
        <f>IFERROR(IF([1]对账明细接口!$AC600=0,"",[1]对账明细接口!$AC600),"")</f>
        <v/>
      </c>
      <c r="AH600" s="7" t="str">
        <f>IFERROR(IF([1]对账明细接口!$AD600=0,"",[1]对账明细接口!$AD600),"")</f>
        <v/>
      </c>
      <c r="AI600" s="7" t="str">
        <f>IFERROR(IF([1]对账明细接口!$AE600=0,"",[1]对账明细接口!$AE600),"")</f>
        <v/>
      </c>
      <c r="AJ600" s="7" t="str">
        <f>IFERROR(IF([1]对账明细接口!$AF600=0,"",[1]对账明细接口!$AF600),"")</f>
        <v/>
      </c>
    </row>
    <row r="601" ht="14.25" customHeight="1" spans="1:36">
      <c r="A601" s="14">
        <v>601</v>
      </c>
      <c r="B601" s="15" t="str">
        <f>IFERROR(IF([1]对账明细接口!$B$601=0,"",[1]对账明细接口!$B$601),"")</f>
        <v/>
      </c>
      <c r="C601" s="16" t="str">
        <f>IFERROR(IF([1]对账明细接口!$C$601=0,"",[1]对账明细接口!$C$601),"")</f>
        <v/>
      </c>
      <c r="D601" s="16" t="str">
        <f>IFERROR(IF([1]对账明细接口!$D$601=0,"",[1]对账明细接口!$D$601),"")</f>
        <v/>
      </c>
      <c r="E601" s="16" t="str">
        <f>IFERROR(IF([1]对账明细接口!$E$601=0,"",[1]对账明细接口!$E$601),"")</f>
        <v/>
      </c>
      <c r="F601" s="16" t="str">
        <f>IFERROR(IF([1]对账明细接口!$F$601=0,"",[1]对账明细接口!$F$601),"")</f>
        <v/>
      </c>
      <c r="G601" s="16" t="str">
        <f>IFERROR(IF([1]对账明细接口!$G$601=0,"",[1]对账明细接口!$G$601),"")</f>
        <v/>
      </c>
      <c r="H601" s="17" t="str">
        <f>IFERROR(IF([1]对账明细接口!$H$601=0,"",[1]对账明细接口!$H$601),"")</f>
        <v/>
      </c>
      <c r="I601" s="16" t="str">
        <f>IFERROR(IF([1]对账明细接口!$I$601=0,"",[1]对账明细接口!$I$601),"")</f>
        <v/>
      </c>
      <c r="J601" s="18" t="str">
        <f>IFERROR(IF([1]对账明细接口!$J$601=0,"",[1]对账明细接口!$J$601),"")</f>
        <v/>
      </c>
      <c r="K601" s="18" t="str">
        <f>IFERROR(IF([1]对账明细接口!$K$601=0,"",[1]对账明细接口!$K$601),"")</f>
        <v/>
      </c>
      <c r="L601" s="16" t="str">
        <f>IFERROR(IF([1]对账明细接口!$L$601=0,"",[1]对账明细接口!$L$601),"")</f>
        <v/>
      </c>
      <c r="M601" s="16" t="str">
        <f>IFERROR(IF([1]对账明细接口!$M$601=0,"",[1]对账明细接口!$M$601),"")</f>
        <v/>
      </c>
      <c r="N601" s="19">
        <f t="shared" si="18"/>
        <v>0</v>
      </c>
      <c r="O601" s="19">
        <f t="shared" si="19"/>
        <v>420</v>
      </c>
      <c r="S601" s="20" t="str">
        <f>IFERROR(IF([1]对账明细接口!$N601=0,"",[1]对账明细接口!$N601),"")</f>
        <v/>
      </c>
      <c r="T601" s="21" t="str">
        <f>IFERROR(IF([1]对账明细接口!$O601=0,"",[1]对账明细接口!$O601),"")</f>
        <v/>
      </c>
      <c r="U601" s="21" t="str">
        <f>IFERROR(IF([1]对账明细接口!$P601=0,"",[1]对账明细接口!$P601),"")</f>
        <v/>
      </c>
      <c r="V601" s="21" t="str">
        <f>IFERROR(IF([1]对账明细接口!$Q601=0,"",[1]对账明细接口!$Q601),"")</f>
        <v/>
      </c>
      <c r="W601" s="20" t="str">
        <f>IFERROR(IF([1]对账明细接口!$R601=0,"",[1]对账明细接口!$R601),"")</f>
        <v/>
      </c>
      <c r="X601" s="20" t="str">
        <f>IFERROR(IF([1]对账明细接口!$S601=0,"",[1]对账明细接口!$S601),"")</f>
        <v/>
      </c>
      <c r="Y601" s="20" t="str">
        <f>IFERROR(IF([1]对账明细接口!$T601=0,"",[1]对账明细接口!$T601),"")</f>
        <v/>
      </c>
      <c r="Z601" s="24" t="str">
        <f>IFERROR(IF([1]对账明细接口!$U601=0,"",[1]对账明细接口!$U601),"")</f>
        <v/>
      </c>
      <c r="AA601" s="24" t="str">
        <f>IFERROR(IF([1]对账明细接口!$V601=0,"",[1]对账明细接口!$V601),"")</f>
        <v/>
      </c>
      <c r="AB601" s="20" t="str">
        <f>IFERROR(IF([1]对账明细接口!$W601=0,"",[1]对账明细接口!$W601),"")</f>
        <v/>
      </c>
      <c r="AC601" s="7" t="str">
        <f>IFERROR(IF([1]对账明细接口!$X601=0,"",[1]对账明细接口!$X601),"")</f>
        <v/>
      </c>
      <c r="AD601" s="7" t="str">
        <f>IFERROR(IF([1]对账明细接口!$Y601=0,"",[1]对账明细接口!$Y601),"")</f>
        <v/>
      </c>
      <c r="AE601" s="7" t="str">
        <f>IFERROR(IF([1]对账明细接口!$AA601=0,"",[1]对账明细接口!$AA601),"")</f>
        <v/>
      </c>
      <c r="AF601" s="7" t="str">
        <f>IFERROR(IF([1]对账明细接口!$AB601=0,"",[1]对账明细接口!$AB601),"")</f>
        <v/>
      </c>
      <c r="AG601" s="7" t="str">
        <f>IFERROR(IF([1]对账明细接口!$AC601=0,"",[1]对账明细接口!$AC601),"")</f>
        <v/>
      </c>
      <c r="AH601" s="7" t="str">
        <f>IFERROR(IF([1]对账明细接口!$AD601=0,"",[1]对账明细接口!$AD601),"")</f>
        <v/>
      </c>
      <c r="AI601" s="7" t="str">
        <f>IFERROR(IF([1]对账明细接口!$AE601=0,"",[1]对账明细接口!$AE601),"")</f>
        <v/>
      </c>
      <c r="AJ601" s="7" t="str">
        <f>IFERROR(IF([1]对账明细接口!$AF601=0,"",[1]对账明细接口!$AF601),"")</f>
        <v/>
      </c>
    </row>
    <row r="602" ht="14.25" customHeight="1" spans="1:36">
      <c r="A602" s="14">
        <v>602</v>
      </c>
      <c r="B602" s="15" t="str">
        <f>IFERROR(IF([1]对账明细接口!$B$602=0,"",[1]对账明细接口!$B$602),"")</f>
        <v/>
      </c>
      <c r="C602" s="16" t="str">
        <f>IFERROR(IF([1]对账明细接口!$C$602=0,"",[1]对账明细接口!$C$602),"")</f>
        <v/>
      </c>
      <c r="D602" s="16" t="str">
        <f>IFERROR(IF([1]对账明细接口!$D$602=0,"",[1]对账明细接口!$D$602),"")</f>
        <v/>
      </c>
      <c r="E602" s="16" t="str">
        <f>IFERROR(IF([1]对账明细接口!$E$602=0,"",[1]对账明细接口!$E$602),"")</f>
        <v/>
      </c>
      <c r="F602" s="16" t="str">
        <f>IFERROR(IF([1]对账明细接口!$F$602=0,"",[1]对账明细接口!$F$602),"")</f>
        <v/>
      </c>
      <c r="G602" s="16" t="str">
        <f>IFERROR(IF([1]对账明细接口!$G$602=0,"",[1]对账明细接口!$G$602),"")</f>
        <v/>
      </c>
      <c r="H602" s="17" t="str">
        <f>IFERROR(IF([1]对账明细接口!$H$602=0,"",[1]对账明细接口!$H$602),"")</f>
        <v/>
      </c>
      <c r="I602" s="16" t="str">
        <f>IFERROR(IF([1]对账明细接口!$I$602=0,"",[1]对账明细接口!$I$602),"")</f>
        <v/>
      </c>
      <c r="J602" s="18" t="str">
        <f>IFERROR(IF([1]对账明细接口!$J$602=0,"",[1]对账明细接口!$J$602),"")</f>
        <v/>
      </c>
      <c r="K602" s="18" t="str">
        <f>IFERROR(IF([1]对账明细接口!$K$602=0,"",[1]对账明细接口!$K$602),"")</f>
        <v/>
      </c>
      <c r="L602" s="16" t="str">
        <f>IFERROR(IF([1]对账明细接口!$L$602=0,"",[1]对账明细接口!$L$602),"")</f>
        <v/>
      </c>
      <c r="M602" s="16" t="str">
        <f>IFERROR(IF([1]对账明细接口!$M$602=0,"",[1]对账明细接口!$M$602),"")</f>
        <v/>
      </c>
      <c r="N602" s="19">
        <f t="shared" si="18"/>
        <v>0</v>
      </c>
      <c r="O602" s="19">
        <f t="shared" si="19"/>
        <v>420</v>
      </c>
      <c r="S602" s="20" t="str">
        <f>IFERROR(IF([1]对账明细接口!$N602=0,"",[1]对账明细接口!$N602),"")</f>
        <v/>
      </c>
      <c r="T602" s="21" t="str">
        <f>IFERROR(IF([1]对账明细接口!$O602=0,"",[1]对账明细接口!$O602),"")</f>
        <v/>
      </c>
      <c r="U602" s="21" t="str">
        <f>IFERROR(IF([1]对账明细接口!$P602=0,"",[1]对账明细接口!$P602),"")</f>
        <v/>
      </c>
      <c r="V602" s="21" t="str">
        <f>IFERROR(IF([1]对账明细接口!$Q602=0,"",[1]对账明细接口!$Q602),"")</f>
        <v/>
      </c>
      <c r="W602" s="20" t="str">
        <f>IFERROR(IF([1]对账明细接口!$R602=0,"",[1]对账明细接口!$R602),"")</f>
        <v/>
      </c>
      <c r="X602" s="20" t="str">
        <f>IFERROR(IF([1]对账明细接口!$S602=0,"",[1]对账明细接口!$S602),"")</f>
        <v/>
      </c>
      <c r="Y602" s="20" t="str">
        <f>IFERROR(IF([1]对账明细接口!$T602=0,"",[1]对账明细接口!$T602),"")</f>
        <v/>
      </c>
      <c r="Z602" s="24" t="str">
        <f>IFERROR(IF([1]对账明细接口!$U602=0,"",[1]对账明细接口!$U602),"")</f>
        <v/>
      </c>
      <c r="AA602" s="24" t="str">
        <f>IFERROR(IF([1]对账明细接口!$V602=0,"",[1]对账明细接口!$V602),"")</f>
        <v/>
      </c>
      <c r="AB602" s="20" t="str">
        <f>IFERROR(IF([1]对账明细接口!$W602=0,"",[1]对账明细接口!$W602),"")</f>
        <v/>
      </c>
      <c r="AC602" s="7" t="str">
        <f>IFERROR(IF([1]对账明细接口!$X602=0,"",[1]对账明细接口!$X602),"")</f>
        <v/>
      </c>
      <c r="AD602" s="7" t="str">
        <f>IFERROR(IF([1]对账明细接口!$Y602=0,"",[1]对账明细接口!$Y602),"")</f>
        <v/>
      </c>
      <c r="AE602" s="7" t="str">
        <f>IFERROR(IF([1]对账明细接口!$AA602=0,"",[1]对账明细接口!$AA602),"")</f>
        <v/>
      </c>
      <c r="AF602" s="7" t="str">
        <f>IFERROR(IF([1]对账明细接口!$AB602=0,"",[1]对账明细接口!$AB602),"")</f>
        <v/>
      </c>
      <c r="AG602" s="7" t="str">
        <f>IFERROR(IF([1]对账明细接口!$AC602=0,"",[1]对账明细接口!$AC602),"")</f>
        <v/>
      </c>
      <c r="AH602" s="7" t="str">
        <f>IFERROR(IF([1]对账明细接口!$AD602=0,"",[1]对账明细接口!$AD602),"")</f>
        <v/>
      </c>
      <c r="AI602" s="7" t="str">
        <f>IFERROR(IF([1]对账明细接口!$AE602=0,"",[1]对账明细接口!$AE602),"")</f>
        <v/>
      </c>
      <c r="AJ602" s="7" t="str">
        <f>IFERROR(IF([1]对账明细接口!$AF602=0,"",[1]对账明细接口!$AF602),"")</f>
        <v/>
      </c>
    </row>
    <row r="603" ht="14.25" customHeight="1" spans="1:36">
      <c r="A603" s="14">
        <v>603</v>
      </c>
      <c r="B603" s="15" t="str">
        <f>IFERROR(IF([1]对账明细接口!$B$603=0,"",[1]对账明细接口!$B$603),"")</f>
        <v/>
      </c>
      <c r="C603" s="16" t="str">
        <f>IFERROR(IF([1]对账明细接口!$C$603=0,"",[1]对账明细接口!$C$603),"")</f>
        <v/>
      </c>
      <c r="D603" s="16" t="str">
        <f>IFERROR(IF([1]对账明细接口!$D$603=0,"",[1]对账明细接口!$D$603),"")</f>
        <v/>
      </c>
      <c r="E603" s="16" t="str">
        <f>IFERROR(IF([1]对账明细接口!$E$603=0,"",[1]对账明细接口!$E$603),"")</f>
        <v/>
      </c>
      <c r="F603" s="16" t="str">
        <f>IFERROR(IF([1]对账明细接口!$F$603=0,"",[1]对账明细接口!$F$603),"")</f>
        <v/>
      </c>
      <c r="G603" s="16" t="str">
        <f>IFERROR(IF([1]对账明细接口!$G$603=0,"",[1]对账明细接口!$G$603),"")</f>
        <v/>
      </c>
      <c r="H603" s="17" t="str">
        <f>IFERROR(IF([1]对账明细接口!$H$603=0,"",[1]对账明细接口!$H$603),"")</f>
        <v/>
      </c>
      <c r="I603" s="16" t="str">
        <f>IFERROR(IF([1]对账明细接口!$I$603=0,"",[1]对账明细接口!$I$603),"")</f>
        <v/>
      </c>
      <c r="J603" s="18" t="str">
        <f>IFERROR(IF([1]对账明细接口!$J$603=0,"",[1]对账明细接口!$J$603),"")</f>
        <v/>
      </c>
      <c r="K603" s="18" t="str">
        <f>IFERROR(IF([1]对账明细接口!$K$603=0,"",[1]对账明细接口!$K$603),"")</f>
        <v/>
      </c>
      <c r="L603" s="16" t="str">
        <f>IFERROR(IF([1]对账明细接口!$L$603=0,"",[1]对账明细接口!$L$603),"")</f>
        <v/>
      </c>
      <c r="M603" s="16" t="str">
        <f>IFERROR(IF([1]对账明细接口!$M$603=0,"",[1]对账明细接口!$M$603),"")</f>
        <v/>
      </c>
      <c r="N603" s="19">
        <f t="shared" si="18"/>
        <v>0</v>
      </c>
      <c r="O603" s="19">
        <f t="shared" si="19"/>
        <v>420</v>
      </c>
      <c r="S603" s="20" t="str">
        <f>IFERROR(IF([1]对账明细接口!$N603=0,"",[1]对账明细接口!$N603),"")</f>
        <v/>
      </c>
      <c r="T603" s="21" t="str">
        <f>IFERROR(IF([1]对账明细接口!$O603=0,"",[1]对账明细接口!$O603),"")</f>
        <v/>
      </c>
      <c r="U603" s="21" t="str">
        <f>IFERROR(IF([1]对账明细接口!$P603=0,"",[1]对账明细接口!$P603),"")</f>
        <v/>
      </c>
      <c r="V603" s="21" t="str">
        <f>IFERROR(IF([1]对账明细接口!$Q603=0,"",[1]对账明细接口!$Q603),"")</f>
        <v/>
      </c>
      <c r="W603" s="20" t="str">
        <f>IFERROR(IF([1]对账明细接口!$R603=0,"",[1]对账明细接口!$R603),"")</f>
        <v/>
      </c>
      <c r="X603" s="20" t="str">
        <f>IFERROR(IF([1]对账明细接口!$S603=0,"",[1]对账明细接口!$S603),"")</f>
        <v/>
      </c>
      <c r="Y603" s="20" t="str">
        <f>IFERROR(IF([1]对账明细接口!$T603=0,"",[1]对账明细接口!$T603),"")</f>
        <v/>
      </c>
      <c r="Z603" s="24" t="str">
        <f>IFERROR(IF([1]对账明细接口!$U603=0,"",[1]对账明细接口!$U603),"")</f>
        <v/>
      </c>
      <c r="AA603" s="24" t="str">
        <f>IFERROR(IF([1]对账明细接口!$V603=0,"",[1]对账明细接口!$V603),"")</f>
        <v/>
      </c>
      <c r="AB603" s="20" t="str">
        <f>IFERROR(IF([1]对账明细接口!$W603=0,"",[1]对账明细接口!$W603),"")</f>
        <v/>
      </c>
      <c r="AC603" s="7" t="str">
        <f>IFERROR(IF([1]对账明细接口!$X603=0,"",[1]对账明细接口!$X603),"")</f>
        <v/>
      </c>
      <c r="AD603" s="7" t="str">
        <f>IFERROR(IF([1]对账明细接口!$Y603=0,"",[1]对账明细接口!$Y603),"")</f>
        <v/>
      </c>
      <c r="AE603" s="7" t="str">
        <f>IFERROR(IF([1]对账明细接口!$AA603=0,"",[1]对账明细接口!$AA603),"")</f>
        <v/>
      </c>
      <c r="AF603" s="7" t="str">
        <f>IFERROR(IF([1]对账明细接口!$AB603=0,"",[1]对账明细接口!$AB603),"")</f>
        <v/>
      </c>
      <c r="AG603" s="7" t="str">
        <f>IFERROR(IF([1]对账明细接口!$AC603=0,"",[1]对账明细接口!$AC603),"")</f>
        <v/>
      </c>
      <c r="AH603" s="7" t="str">
        <f>IFERROR(IF([1]对账明细接口!$AD603=0,"",[1]对账明细接口!$AD603),"")</f>
        <v/>
      </c>
      <c r="AI603" s="7" t="str">
        <f>IFERROR(IF([1]对账明细接口!$AE603=0,"",[1]对账明细接口!$AE603),"")</f>
        <v/>
      </c>
      <c r="AJ603" s="7" t="str">
        <f>IFERROR(IF([1]对账明细接口!$AF603=0,"",[1]对账明细接口!$AF603),"")</f>
        <v/>
      </c>
    </row>
    <row r="604" ht="14.25" customHeight="1" spans="1:36">
      <c r="A604" s="14">
        <v>604</v>
      </c>
      <c r="B604" s="15" t="str">
        <f>IFERROR(IF([1]对账明细接口!$B$604=0,"",[1]对账明细接口!$B$604),"")</f>
        <v/>
      </c>
      <c r="C604" s="16" t="str">
        <f>IFERROR(IF([1]对账明细接口!$C$604=0,"",[1]对账明细接口!$C$604),"")</f>
        <v/>
      </c>
      <c r="D604" s="16" t="str">
        <f>IFERROR(IF([1]对账明细接口!$D$604=0,"",[1]对账明细接口!$D$604),"")</f>
        <v/>
      </c>
      <c r="E604" s="16" t="str">
        <f>IFERROR(IF([1]对账明细接口!$E$604=0,"",[1]对账明细接口!$E$604),"")</f>
        <v/>
      </c>
      <c r="F604" s="16" t="str">
        <f>IFERROR(IF([1]对账明细接口!$F$604=0,"",[1]对账明细接口!$F$604),"")</f>
        <v/>
      </c>
      <c r="G604" s="16" t="str">
        <f>IFERROR(IF([1]对账明细接口!$G$604=0,"",[1]对账明细接口!$G$604),"")</f>
        <v/>
      </c>
      <c r="H604" s="17" t="str">
        <f>IFERROR(IF([1]对账明细接口!$H$604=0,"",[1]对账明细接口!$H$604),"")</f>
        <v/>
      </c>
      <c r="I604" s="16" t="str">
        <f>IFERROR(IF([1]对账明细接口!$I$604=0,"",[1]对账明细接口!$I$604),"")</f>
        <v/>
      </c>
      <c r="J604" s="18" t="str">
        <f>IFERROR(IF([1]对账明细接口!$J$604=0,"",[1]对账明细接口!$J$604),"")</f>
        <v/>
      </c>
      <c r="K604" s="18" t="str">
        <f>IFERROR(IF([1]对账明细接口!$K$604=0,"",[1]对账明细接口!$K$604),"")</f>
        <v/>
      </c>
      <c r="L604" s="16" t="str">
        <f>IFERROR(IF([1]对账明细接口!$L$604=0,"",[1]对账明细接口!$L$604),"")</f>
        <v/>
      </c>
      <c r="M604" s="16" t="str">
        <f>IFERROR(IF([1]对账明细接口!$M$604=0,"",[1]对账明细接口!$M$604),"")</f>
        <v/>
      </c>
      <c r="N604" s="19">
        <f t="shared" si="18"/>
        <v>0</v>
      </c>
      <c r="O604" s="19">
        <f t="shared" si="19"/>
        <v>420</v>
      </c>
      <c r="S604" s="20" t="str">
        <f>IFERROR(IF([1]对账明细接口!$N604=0,"",[1]对账明细接口!$N604),"")</f>
        <v/>
      </c>
      <c r="T604" s="21" t="str">
        <f>IFERROR(IF([1]对账明细接口!$O604=0,"",[1]对账明细接口!$O604),"")</f>
        <v/>
      </c>
      <c r="U604" s="21" t="str">
        <f>IFERROR(IF([1]对账明细接口!$P604=0,"",[1]对账明细接口!$P604),"")</f>
        <v/>
      </c>
      <c r="V604" s="21" t="str">
        <f>IFERROR(IF([1]对账明细接口!$Q604=0,"",[1]对账明细接口!$Q604),"")</f>
        <v/>
      </c>
      <c r="W604" s="20" t="str">
        <f>IFERROR(IF([1]对账明细接口!$R604=0,"",[1]对账明细接口!$R604),"")</f>
        <v/>
      </c>
      <c r="X604" s="20" t="str">
        <f>IFERROR(IF([1]对账明细接口!$S604=0,"",[1]对账明细接口!$S604),"")</f>
        <v/>
      </c>
      <c r="Y604" s="20" t="str">
        <f>IFERROR(IF([1]对账明细接口!$T604=0,"",[1]对账明细接口!$T604),"")</f>
        <v/>
      </c>
      <c r="Z604" s="24" t="str">
        <f>IFERROR(IF([1]对账明细接口!$U604=0,"",[1]对账明细接口!$U604),"")</f>
        <v/>
      </c>
      <c r="AA604" s="24" t="str">
        <f>IFERROR(IF([1]对账明细接口!$V604=0,"",[1]对账明细接口!$V604),"")</f>
        <v/>
      </c>
      <c r="AB604" s="20" t="str">
        <f>IFERROR(IF([1]对账明细接口!$W604=0,"",[1]对账明细接口!$W604),"")</f>
        <v/>
      </c>
      <c r="AC604" s="7" t="str">
        <f>IFERROR(IF([1]对账明细接口!$X604=0,"",[1]对账明细接口!$X604),"")</f>
        <v/>
      </c>
      <c r="AD604" s="7" t="str">
        <f>IFERROR(IF([1]对账明细接口!$Y604=0,"",[1]对账明细接口!$Y604),"")</f>
        <v/>
      </c>
      <c r="AE604" s="7" t="str">
        <f>IFERROR(IF([1]对账明细接口!$AA604=0,"",[1]对账明细接口!$AA604),"")</f>
        <v/>
      </c>
      <c r="AF604" s="7" t="str">
        <f>IFERROR(IF([1]对账明细接口!$AB604=0,"",[1]对账明细接口!$AB604),"")</f>
        <v/>
      </c>
      <c r="AG604" s="7" t="str">
        <f>IFERROR(IF([1]对账明细接口!$AC604=0,"",[1]对账明细接口!$AC604),"")</f>
        <v/>
      </c>
      <c r="AH604" s="7" t="str">
        <f>IFERROR(IF([1]对账明细接口!$AD604=0,"",[1]对账明细接口!$AD604),"")</f>
        <v/>
      </c>
      <c r="AI604" s="7" t="str">
        <f>IFERROR(IF([1]对账明细接口!$AE604=0,"",[1]对账明细接口!$AE604),"")</f>
        <v/>
      </c>
      <c r="AJ604" s="7" t="str">
        <f>IFERROR(IF([1]对账明细接口!$AF604=0,"",[1]对账明细接口!$AF604),"")</f>
        <v/>
      </c>
    </row>
    <row r="605" ht="14.25" customHeight="1" spans="1:36">
      <c r="A605" s="14">
        <v>605</v>
      </c>
      <c r="B605" s="15" t="str">
        <f>IFERROR(IF([1]对账明细接口!$B$605=0,"",[1]对账明细接口!$B$605),"")</f>
        <v/>
      </c>
      <c r="C605" s="16" t="str">
        <f>IFERROR(IF([1]对账明细接口!$C$605=0,"",[1]对账明细接口!$C$605),"")</f>
        <v/>
      </c>
      <c r="D605" s="16" t="str">
        <f>IFERROR(IF([1]对账明细接口!$D$605=0,"",[1]对账明细接口!$D$605),"")</f>
        <v/>
      </c>
      <c r="E605" s="16" t="str">
        <f>IFERROR(IF([1]对账明细接口!$E$605=0,"",[1]对账明细接口!$E$605),"")</f>
        <v/>
      </c>
      <c r="F605" s="16" t="str">
        <f>IFERROR(IF([1]对账明细接口!$F$605=0,"",[1]对账明细接口!$F$605),"")</f>
        <v/>
      </c>
      <c r="G605" s="16" t="str">
        <f>IFERROR(IF([1]对账明细接口!$G$605=0,"",[1]对账明细接口!$G$605),"")</f>
        <v/>
      </c>
      <c r="H605" s="17" t="str">
        <f>IFERROR(IF([1]对账明细接口!$H$605=0,"",[1]对账明细接口!$H$605),"")</f>
        <v/>
      </c>
      <c r="I605" s="16" t="str">
        <f>IFERROR(IF([1]对账明细接口!$I$605=0,"",[1]对账明细接口!$I$605),"")</f>
        <v/>
      </c>
      <c r="J605" s="18" t="str">
        <f>IFERROR(IF([1]对账明细接口!$J$605=0,"",[1]对账明细接口!$J$605),"")</f>
        <v/>
      </c>
      <c r="K605" s="18" t="str">
        <f>IFERROR(IF([1]对账明细接口!$K$605=0,"",[1]对账明细接口!$K$605),"")</f>
        <v/>
      </c>
      <c r="L605" s="16" t="str">
        <f>IFERROR(IF([1]对账明细接口!$L$605=0,"",[1]对账明细接口!$L$605),"")</f>
        <v/>
      </c>
      <c r="M605" s="16" t="str">
        <f>IFERROR(IF([1]对账明细接口!$M$605=0,"",[1]对账明细接口!$M$605),"")</f>
        <v/>
      </c>
      <c r="N605" s="19">
        <f t="shared" si="18"/>
        <v>0</v>
      </c>
      <c r="O605" s="19">
        <f t="shared" si="19"/>
        <v>420</v>
      </c>
      <c r="S605" s="20" t="str">
        <f>IFERROR(IF([1]对账明细接口!$N605=0,"",[1]对账明细接口!$N605),"")</f>
        <v/>
      </c>
      <c r="T605" s="21" t="str">
        <f>IFERROR(IF([1]对账明细接口!$O605=0,"",[1]对账明细接口!$O605),"")</f>
        <v/>
      </c>
      <c r="U605" s="21" t="str">
        <f>IFERROR(IF([1]对账明细接口!$P605=0,"",[1]对账明细接口!$P605),"")</f>
        <v/>
      </c>
      <c r="V605" s="21" t="str">
        <f>IFERROR(IF([1]对账明细接口!$Q605=0,"",[1]对账明细接口!$Q605),"")</f>
        <v/>
      </c>
      <c r="W605" s="20" t="str">
        <f>IFERROR(IF([1]对账明细接口!$R605=0,"",[1]对账明细接口!$R605),"")</f>
        <v/>
      </c>
      <c r="X605" s="20" t="str">
        <f>IFERROR(IF([1]对账明细接口!$S605=0,"",[1]对账明细接口!$S605),"")</f>
        <v/>
      </c>
      <c r="Y605" s="20" t="str">
        <f>IFERROR(IF([1]对账明细接口!$T605=0,"",[1]对账明细接口!$T605),"")</f>
        <v/>
      </c>
      <c r="Z605" s="24" t="str">
        <f>IFERROR(IF([1]对账明细接口!$U605=0,"",[1]对账明细接口!$U605),"")</f>
        <v/>
      </c>
      <c r="AA605" s="24" t="str">
        <f>IFERROR(IF([1]对账明细接口!$V605=0,"",[1]对账明细接口!$V605),"")</f>
        <v/>
      </c>
      <c r="AB605" s="20" t="str">
        <f>IFERROR(IF([1]对账明细接口!$W605=0,"",[1]对账明细接口!$W605),"")</f>
        <v/>
      </c>
      <c r="AC605" s="7" t="str">
        <f>IFERROR(IF([1]对账明细接口!$X605=0,"",[1]对账明细接口!$X605),"")</f>
        <v/>
      </c>
      <c r="AD605" s="7" t="str">
        <f>IFERROR(IF([1]对账明细接口!$Y605=0,"",[1]对账明细接口!$Y605),"")</f>
        <v/>
      </c>
      <c r="AE605" s="7" t="str">
        <f>IFERROR(IF([1]对账明细接口!$AA605=0,"",[1]对账明细接口!$AA605),"")</f>
        <v/>
      </c>
      <c r="AF605" s="7" t="str">
        <f>IFERROR(IF([1]对账明细接口!$AB605=0,"",[1]对账明细接口!$AB605),"")</f>
        <v/>
      </c>
      <c r="AG605" s="7" t="str">
        <f>IFERROR(IF([1]对账明细接口!$AC605=0,"",[1]对账明细接口!$AC605),"")</f>
        <v/>
      </c>
      <c r="AH605" s="7" t="str">
        <f>IFERROR(IF([1]对账明细接口!$AD605=0,"",[1]对账明细接口!$AD605),"")</f>
        <v/>
      </c>
      <c r="AI605" s="7" t="str">
        <f>IFERROR(IF([1]对账明细接口!$AE605=0,"",[1]对账明细接口!$AE605),"")</f>
        <v/>
      </c>
      <c r="AJ605" s="7" t="str">
        <f>IFERROR(IF([1]对账明细接口!$AF605=0,"",[1]对账明细接口!$AF605),"")</f>
        <v/>
      </c>
    </row>
    <row r="606" ht="14.25" customHeight="1" spans="1:36">
      <c r="A606" s="14">
        <v>606</v>
      </c>
      <c r="B606" s="15" t="str">
        <f>IFERROR(IF([1]对账明细接口!$B$606=0,"",[1]对账明细接口!$B$606),"")</f>
        <v/>
      </c>
      <c r="C606" s="16" t="str">
        <f>IFERROR(IF([1]对账明细接口!$C$606=0,"",[1]对账明细接口!$C$606),"")</f>
        <v/>
      </c>
      <c r="D606" s="16" t="str">
        <f>IFERROR(IF([1]对账明细接口!$D$606=0,"",[1]对账明细接口!$D$606),"")</f>
        <v/>
      </c>
      <c r="E606" s="16" t="str">
        <f>IFERROR(IF([1]对账明细接口!$E$606=0,"",[1]对账明细接口!$E$606),"")</f>
        <v/>
      </c>
      <c r="F606" s="16" t="str">
        <f>IFERROR(IF([1]对账明细接口!$F$606=0,"",[1]对账明细接口!$F$606),"")</f>
        <v/>
      </c>
      <c r="G606" s="16" t="str">
        <f>IFERROR(IF([1]对账明细接口!$G$606=0,"",[1]对账明细接口!$G$606),"")</f>
        <v/>
      </c>
      <c r="H606" s="17" t="str">
        <f>IFERROR(IF([1]对账明细接口!$H$606=0,"",[1]对账明细接口!$H$606),"")</f>
        <v/>
      </c>
      <c r="I606" s="16" t="str">
        <f>IFERROR(IF([1]对账明细接口!$I$606=0,"",[1]对账明细接口!$I$606),"")</f>
        <v/>
      </c>
      <c r="J606" s="18" t="str">
        <f>IFERROR(IF([1]对账明细接口!$J$606=0,"",[1]对账明细接口!$J$606),"")</f>
        <v/>
      </c>
      <c r="K606" s="18" t="str">
        <f>IFERROR(IF([1]对账明细接口!$K$606=0,"",[1]对账明细接口!$K$606),"")</f>
        <v/>
      </c>
      <c r="L606" s="16" t="str">
        <f>IFERROR(IF([1]对账明细接口!$L$606=0,"",[1]对账明细接口!$L$606),"")</f>
        <v/>
      </c>
      <c r="M606" s="16" t="str">
        <f>IFERROR(IF([1]对账明细接口!$M$606=0,"",[1]对账明细接口!$M$606),"")</f>
        <v/>
      </c>
      <c r="N606" s="19">
        <f t="shared" si="18"/>
        <v>0</v>
      </c>
      <c r="O606" s="19">
        <f t="shared" si="19"/>
        <v>420</v>
      </c>
      <c r="S606" s="20" t="str">
        <f>IFERROR(IF([1]对账明细接口!$N606=0,"",[1]对账明细接口!$N606),"")</f>
        <v/>
      </c>
      <c r="T606" s="21" t="str">
        <f>IFERROR(IF([1]对账明细接口!$O606=0,"",[1]对账明细接口!$O606),"")</f>
        <v/>
      </c>
      <c r="U606" s="21" t="str">
        <f>IFERROR(IF([1]对账明细接口!$P606=0,"",[1]对账明细接口!$P606),"")</f>
        <v/>
      </c>
      <c r="V606" s="21" t="str">
        <f>IFERROR(IF([1]对账明细接口!$Q606=0,"",[1]对账明细接口!$Q606),"")</f>
        <v/>
      </c>
      <c r="W606" s="20" t="str">
        <f>IFERROR(IF([1]对账明细接口!$R606=0,"",[1]对账明细接口!$R606),"")</f>
        <v/>
      </c>
      <c r="X606" s="20" t="str">
        <f>IFERROR(IF([1]对账明细接口!$S606=0,"",[1]对账明细接口!$S606),"")</f>
        <v/>
      </c>
      <c r="Y606" s="20" t="str">
        <f>IFERROR(IF([1]对账明细接口!$T606=0,"",[1]对账明细接口!$T606),"")</f>
        <v/>
      </c>
      <c r="Z606" s="24" t="str">
        <f>IFERROR(IF([1]对账明细接口!$U606=0,"",[1]对账明细接口!$U606),"")</f>
        <v/>
      </c>
      <c r="AA606" s="24" t="str">
        <f>IFERROR(IF([1]对账明细接口!$V606=0,"",[1]对账明细接口!$V606),"")</f>
        <v/>
      </c>
      <c r="AB606" s="20" t="str">
        <f>IFERROR(IF([1]对账明细接口!$W606=0,"",[1]对账明细接口!$W606),"")</f>
        <v/>
      </c>
      <c r="AC606" s="7" t="str">
        <f>IFERROR(IF([1]对账明细接口!$X606=0,"",[1]对账明细接口!$X606),"")</f>
        <v/>
      </c>
      <c r="AD606" s="7" t="str">
        <f>IFERROR(IF([1]对账明细接口!$Y606=0,"",[1]对账明细接口!$Y606),"")</f>
        <v/>
      </c>
      <c r="AE606" s="7" t="str">
        <f>IFERROR(IF([1]对账明细接口!$AA606=0,"",[1]对账明细接口!$AA606),"")</f>
        <v/>
      </c>
      <c r="AF606" s="7" t="str">
        <f>IFERROR(IF([1]对账明细接口!$AB606=0,"",[1]对账明细接口!$AB606),"")</f>
        <v/>
      </c>
      <c r="AG606" s="7" t="str">
        <f>IFERROR(IF([1]对账明细接口!$AC606=0,"",[1]对账明细接口!$AC606),"")</f>
        <v/>
      </c>
      <c r="AH606" s="7" t="str">
        <f>IFERROR(IF([1]对账明细接口!$AD606=0,"",[1]对账明细接口!$AD606),"")</f>
        <v/>
      </c>
      <c r="AI606" s="7" t="str">
        <f>IFERROR(IF([1]对账明细接口!$AE606=0,"",[1]对账明细接口!$AE606),"")</f>
        <v/>
      </c>
      <c r="AJ606" s="7" t="str">
        <f>IFERROR(IF([1]对账明细接口!$AF606=0,"",[1]对账明细接口!$AF606),"")</f>
        <v/>
      </c>
    </row>
    <row r="607" ht="14.25" customHeight="1" spans="1:36">
      <c r="A607" s="14">
        <v>607</v>
      </c>
      <c r="B607" s="15" t="str">
        <f>IFERROR(IF([1]对账明细接口!$B$607=0,"",[1]对账明细接口!$B$607),"")</f>
        <v/>
      </c>
      <c r="C607" s="16" t="str">
        <f>IFERROR(IF([1]对账明细接口!$C$607=0,"",[1]对账明细接口!$C$607),"")</f>
        <v/>
      </c>
      <c r="D607" s="16" t="str">
        <f>IFERROR(IF([1]对账明细接口!$D$607=0,"",[1]对账明细接口!$D$607),"")</f>
        <v/>
      </c>
      <c r="E607" s="16" t="str">
        <f>IFERROR(IF([1]对账明细接口!$E$607=0,"",[1]对账明细接口!$E$607),"")</f>
        <v/>
      </c>
      <c r="F607" s="16" t="str">
        <f>IFERROR(IF([1]对账明细接口!$F$607=0,"",[1]对账明细接口!$F$607),"")</f>
        <v/>
      </c>
      <c r="G607" s="16" t="str">
        <f>IFERROR(IF([1]对账明细接口!$G$607=0,"",[1]对账明细接口!$G$607),"")</f>
        <v/>
      </c>
      <c r="H607" s="17" t="str">
        <f>IFERROR(IF([1]对账明细接口!$H$607=0,"",[1]对账明细接口!$H$607),"")</f>
        <v/>
      </c>
      <c r="I607" s="16" t="str">
        <f>IFERROR(IF([1]对账明细接口!$I$607=0,"",[1]对账明细接口!$I$607),"")</f>
        <v/>
      </c>
      <c r="J607" s="18" t="str">
        <f>IFERROR(IF([1]对账明细接口!$J$607=0,"",[1]对账明细接口!$J$607),"")</f>
        <v/>
      </c>
      <c r="K607" s="18" t="str">
        <f>IFERROR(IF([1]对账明细接口!$K$607=0,"",[1]对账明细接口!$K$607),"")</f>
        <v/>
      </c>
      <c r="L607" s="16" t="str">
        <f>IFERROR(IF([1]对账明细接口!$L$607=0,"",[1]对账明细接口!$L$607),"")</f>
        <v/>
      </c>
      <c r="M607" s="16" t="str">
        <f>IFERROR(IF([1]对账明细接口!$M$607=0,"",[1]对账明细接口!$M$607),"")</f>
        <v/>
      </c>
      <c r="N607" s="19">
        <f t="shared" si="18"/>
        <v>0</v>
      </c>
      <c r="O607" s="19">
        <f t="shared" si="19"/>
        <v>420</v>
      </c>
      <c r="S607" s="20" t="str">
        <f>IFERROR(IF([1]对账明细接口!$N607=0,"",[1]对账明细接口!$N607),"")</f>
        <v/>
      </c>
      <c r="T607" s="21" t="str">
        <f>IFERROR(IF([1]对账明细接口!$O607=0,"",[1]对账明细接口!$O607),"")</f>
        <v/>
      </c>
      <c r="U607" s="21" t="str">
        <f>IFERROR(IF([1]对账明细接口!$P607=0,"",[1]对账明细接口!$P607),"")</f>
        <v/>
      </c>
      <c r="V607" s="21" t="str">
        <f>IFERROR(IF([1]对账明细接口!$Q607=0,"",[1]对账明细接口!$Q607),"")</f>
        <v/>
      </c>
      <c r="W607" s="20" t="str">
        <f>IFERROR(IF([1]对账明细接口!$R607=0,"",[1]对账明细接口!$R607),"")</f>
        <v/>
      </c>
      <c r="X607" s="20" t="str">
        <f>IFERROR(IF([1]对账明细接口!$S607=0,"",[1]对账明细接口!$S607),"")</f>
        <v/>
      </c>
      <c r="Y607" s="20" t="str">
        <f>IFERROR(IF([1]对账明细接口!$T607=0,"",[1]对账明细接口!$T607),"")</f>
        <v/>
      </c>
      <c r="Z607" s="24" t="str">
        <f>IFERROR(IF([1]对账明细接口!$U607=0,"",[1]对账明细接口!$U607),"")</f>
        <v/>
      </c>
      <c r="AA607" s="24" t="str">
        <f>IFERROR(IF([1]对账明细接口!$V607=0,"",[1]对账明细接口!$V607),"")</f>
        <v/>
      </c>
      <c r="AB607" s="20" t="str">
        <f>IFERROR(IF([1]对账明细接口!$W607=0,"",[1]对账明细接口!$W607),"")</f>
        <v/>
      </c>
      <c r="AC607" s="7" t="str">
        <f>IFERROR(IF([1]对账明细接口!$X607=0,"",[1]对账明细接口!$X607),"")</f>
        <v/>
      </c>
      <c r="AD607" s="7" t="str">
        <f>IFERROR(IF([1]对账明细接口!$Y607=0,"",[1]对账明细接口!$Y607),"")</f>
        <v/>
      </c>
      <c r="AE607" s="7" t="str">
        <f>IFERROR(IF([1]对账明细接口!$AA607=0,"",[1]对账明细接口!$AA607),"")</f>
        <v/>
      </c>
      <c r="AF607" s="7" t="str">
        <f>IFERROR(IF([1]对账明细接口!$AB607=0,"",[1]对账明细接口!$AB607),"")</f>
        <v/>
      </c>
      <c r="AG607" s="7" t="str">
        <f>IFERROR(IF([1]对账明细接口!$AC607=0,"",[1]对账明细接口!$AC607),"")</f>
        <v/>
      </c>
      <c r="AH607" s="7" t="str">
        <f>IFERROR(IF([1]对账明细接口!$AD607=0,"",[1]对账明细接口!$AD607),"")</f>
        <v/>
      </c>
      <c r="AI607" s="7" t="str">
        <f>IFERROR(IF([1]对账明细接口!$AE607=0,"",[1]对账明细接口!$AE607),"")</f>
        <v/>
      </c>
      <c r="AJ607" s="7" t="str">
        <f>IFERROR(IF([1]对账明细接口!$AF607=0,"",[1]对账明细接口!$AF607),"")</f>
        <v/>
      </c>
    </row>
    <row r="608" ht="14.25" customHeight="1" spans="1:36">
      <c r="A608" s="14">
        <v>608</v>
      </c>
      <c r="B608" s="15" t="str">
        <f>IFERROR(IF([1]对账明细接口!$B$608=0,"",[1]对账明细接口!$B$608),"")</f>
        <v/>
      </c>
      <c r="C608" s="16" t="str">
        <f>IFERROR(IF([1]对账明细接口!$C$608=0,"",[1]对账明细接口!$C$608),"")</f>
        <v/>
      </c>
      <c r="D608" s="16" t="str">
        <f>IFERROR(IF([1]对账明细接口!$D$608=0,"",[1]对账明细接口!$D$608),"")</f>
        <v/>
      </c>
      <c r="E608" s="16" t="str">
        <f>IFERROR(IF([1]对账明细接口!$E$608=0,"",[1]对账明细接口!$E$608),"")</f>
        <v/>
      </c>
      <c r="F608" s="16" t="str">
        <f>IFERROR(IF([1]对账明细接口!$F$608=0,"",[1]对账明细接口!$F$608),"")</f>
        <v/>
      </c>
      <c r="G608" s="16" t="str">
        <f>IFERROR(IF([1]对账明细接口!$G$608=0,"",[1]对账明细接口!$G$608),"")</f>
        <v/>
      </c>
      <c r="H608" s="17" t="str">
        <f>IFERROR(IF([1]对账明细接口!$H$608=0,"",[1]对账明细接口!$H$608),"")</f>
        <v/>
      </c>
      <c r="I608" s="16" t="str">
        <f>IFERROR(IF([1]对账明细接口!$I$608=0,"",[1]对账明细接口!$I$608),"")</f>
        <v/>
      </c>
      <c r="J608" s="18" t="str">
        <f>IFERROR(IF([1]对账明细接口!$J$608=0,"",[1]对账明细接口!$J$608),"")</f>
        <v/>
      </c>
      <c r="K608" s="18" t="str">
        <f>IFERROR(IF([1]对账明细接口!$K$608=0,"",[1]对账明细接口!$K$608),"")</f>
        <v/>
      </c>
      <c r="L608" s="16" t="str">
        <f>IFERROR(IF([1]对账明细接口!$L$608=0,"",[1]对账明细接口!$L$608),"")</f>
        <v/>
      </c>
      <c r="M608" s="16" t="str">
        <f>IFERROR(IF([1]对账明细接口!$M$608=0,"",[1]对账明细接口!$M$608),"")</f>
        <v/>
      </c>
      <c r="N608" s="19">
        <f t="shared" si="18"/>
        <v>0</v>
      </c>
      <c r="O608" s="19">
        <f t="shared" si="19"/>
        <v>420</v>
      </c>
      <c r="S608" s="20" t="str">
        <f>IFERROR(IF([1]对账明细接口!$N608=0,"",[1]对账明细接口!$N608),"")</f>
        <v/>
      </c>
      <c r="T608" s="21" t="str">
        <f>IFERROR(IF([1]对账明细接口!$O608=0,"",[1]对账明细接口!$O608),"")</f>
        <v/>
      </c>
      <c r="U608" s="21" t="str">
        <f>IFERROR(IF([1]对账明细接口!$P608=0,"",[1]对账明细接口!$P608),"")</f>
        <v/>
      </c>
      <c r="V608" s="21" t="str">
        <f>IFERROR(IF([1]对账明细接口!$Q608=0,"",[1]对账明细接口!$Q608),"")</f>
        <v/>
      </c>
      <c r="W608" s="20" t="str">
        <f>IFERROR(IF([1]对账明细接口!$R608=0,"",[1]对账明细接口!$R608),"")</f>
        <v/>
      </c>
      <c r="X608" s="20" t="str">
        <f>IFERROR(IF([1]对账明细接口!$S608=0,"",[1]对账明细接口!$S608),"")</f>
        <v/>
      </c>
      <c r="Y608" s="20" t="str">
        <f>IFERROR(IF([1]对账明细接口!$T608=0,"",[1]对账明细接口!$T608),"")</f>
        <v/>
      </c>
      <c r="Z608" s="24" t="str">
        <f>IFERROR(IF([1]对账明细接口!$U608=0,"",[1]对账明细接口!$U608),"")</f>
        <v/>
      </c>
      <c r="AA608" s="24" t="str">
        <f>IFERROR(IF([1]对账明细接口!$V608=0,"",[1]对账明细接口!$V608),"")</f>
        <v/>
      </c>
      <c r="AB608" s="20" t="str">
        <f>IFERROR(IF([1]对账明细接口!$W608=0,"",[1]对账明细接口!$W608),"")</f>
        <v/>
      </c>
      <c r="AC608" s="7" t="str">
        <f>IFERROR(IF([1]对账明细接口!$X608=0,"",[1]对账明细接口!$X608),"")</f>
        <v/>
      </c>
      <c r="AD608" s="7" t="str">
        <f>IFERROR(IF([1]对账明细接口!$Y608=0,"",[1]对账明细接口!$Y608),"")</f>
        <v/>
      </c>
      <c r="AE608" s="7" t="str">
        <f>IFERROR(IF([1]对账明细接口!$AA608=0,"",[1]对账明细接口!$AA608),"")</f>
        <v/>
      </c>
      <c r="AF608" s="7" t="str">
        <f>IFERROR(IF([1]对账明细接口!$AB608=0,"",[1]对账明细接口!$AB608),"")</f>
        <v/>
      </c>
      <c r="AG608" s="7" t="str">
        <f>IFERROR(IF([1]对账明细接口!$AC608=0,"",[1]对账明细接口!$AC608),"")</f>
        <v/>
      </c>
      <c r="AH608" s="7" t="str">
        <f>IFERROR(IF([1]对账明细接口!$AD608=0,"",[1]对账明细接口!$AD608),"")</f>
        <v/>
      </c>
      <c r="AI608" s="7" t="str">
        <f>IFERROR(IF([1]对账明细接口!$AE608=0,"",[1]对账明细接口!$AE608),"")</f>
        <v/>
      </c>
      <c r="AJ608" s="7" t="str">
        <f>IFERROR(IF([1]对账明细接口!$AF608=0,"",[1]对账明细接口!$AF608),"")</f>
        <v/>
      </c>
    </row>
    <row r="609" ht="14.25" customHeight="1" spans="1:36">
      <c r="A609" s="14">
        <v>609</v>
      </c>
      <c r="B609" s="15" t="str">
        <f>IFERROR(IF([1]对账明细接口!$B$609=0,"",[1]对账明细接口!$B$609),"")</f>
        <v/>
      </c>
      <c r="C609" s="16" t="str">
        <f>IFERROR(IF([1]对账明细接口!$C$609=0,"",[1]对账明细接口!$C$609),"")</f>
        <v/>
      </c>
      <c r="D609" s="16" t="str">
        <f>IFERROR(IF([1]对账明细接口!$D$609=0,"",[1]对账明细接口!$D$609),"")</f>
        <v/>
      </c>
      <c r="E609" s="16" t="str">
        <f>IFERROR(IF([1]对账明细接口!$E$609=0,"",[1]对账明细接口!$E$609),"")</f>
        <v/>
      </c>
      <c r="F609" s="16" t="str">
        <f>IFERROR(IF([1]对账明细接口!$F$609=0,"",[1]对账明细接口!$F$609),"")</f>
        <v/>
      </c>
      <c r="G609" s="16" t="str">
        <f>IFERROR(IF([1]对账明细接口!$G$609=0,"",[1]对账明细接口!$G$609),"")</f>
        <v/>
      </c>
      <c r="H609" s="17" t="str">
        <f>IFERROR(IF([1]对账明细接口!$H$609=0,"",[1]对账明细接口!$H$609),"")</f>
        <v/>
      </c>
      <c r="I609" s="16" t="str">
        <f>IFERROR(IF([1]对账明细接口!$I$609=0,"",[1]对账明细接口!$I$609),"")</f>
        <v/>
      </c>
      <c r="J609" s="18" t="str">
        <f>IFERROR(IF([1]对账明细接口!$J$609=0,"",[1]对账明细接口!$J$609),"")</f>
        <v/>
      </c>
      <c r="K609" s="18" t="str">
        <f>IFERROR(IF([1]对账明细接口!$K$609=0,"",[1]对账明细接口!$K$609),"")</f>
        <v/>
      </c>
      <c r="L609" s="16" t="str">
        <f>IFERROR(IF([1]对账明细接口!$L$609=0,"",[1]对账明细接口!$L$609),"")</f>
        <v/>
      </c>
      <c r="M609" s="16" t="str">
        <f>IFERROR(IF([1]对账明细接口!$M$609=0,"",[1]对账明细接口!$M$609),"")</f>
        <v/>
      </c>
      <c r="N609" s="19">
        <f t="shared" si="18"/>
        <v>0</v>
      </c>
      <c r="O609" s="19">
        <f t="shared" si="19"/>
        <v>420</v>
      </c>
      <c r="S609" s="20" t="str">
        <f>IFERROR(IF([1]对账明细接口!$N609=0,"",[1]对账明细接口!$N609),"")</f>
        <v/>
      </c>
      <c r="T609" s="21" t="str">
        <f>IFERROR(IF([1]对账明细接口!$O609=0,"",[1]对账明细接口!$O609),"")</f>
        <v/>
      </c>
      <c r="U609" s="21" t="str">
        <f>IFERROR(IF([1]对账明细接口!$P609=0,"",[1]对账明细接口!$P609),"")</f>
        <v/>
      </c>
      <c r="V609" s="21" t="str">
        <f>IFERROR(IF([1]对账明细接口!$Q609=0,"",[1]对账明细接口!$Q609),"")</f>
        <v/>
      </c>
      <c r="W609" s="20" t="str">
        <f>IFERROR(IF([1]对账明细接口!$R609=0,"",[1]对账明细接口!$R609),"")</f>
        <v/>
      </c>
      <c r="X609" s="20" t="str">
        <f>IFERROR(IF([1]对账明细接口!$S609=0,"",[1]对账明细接口!$S609),"")</f>
        <v/>
      </c>
      <c r="Y609" s="20" t="str">
        <f>IFERROR(IF([1]对账明细接口!$T609=0,"",[1]对账明细接口!$T609),"")</f>
        <v/>
      </c>
      <c r="Z609" s="24" t="str">
        <f>IFERROR(IF([1]对账明细接口!$U609=0,"",[1]对账明细接口!$U609),"")</f>
        <v/>
      </c>
      <c r="AA609" s="24" t="str">
        <f>IFERROR(IF([1]对账明细接口!$V609=0,"",[1]对账明细接口!$V609),"")</f>
        <v/>
      </c>
      <c r="AB609" s="20" t="str">
        <f>IFERROR(IF([1]对账明细接口!$W609=0,"",[1]对账明细接口!$W609),"")</f>
        <v/>
      </c>
      <c r="AC609" s="7" t="str">
        <f>IFERROR(IF([1]对账明细接口!$X609=0,"",[1]对账明细接口!$X609),"")</f>
        <v/>
      </c>
      <c r="AD609" s="7" t="str">
        <f>IFERROR(IF([1]对账明细接口!$Y609=0,"",[1]对账明细接口!$Y609),"")</f>
        <v/>
      </c>
      <c r="AE609" s="7" t="str">
        <f>IFERROR(IF([1]对账明细接口!$AA609=0,"",[1]对账明细接口!$AA609),"")</f>
        <v/>
      </c>
      <c r="AF609" s="7" t="str">
        <f>IFERROR(IF([1]对账明细接口!$AB609=0,"",[1]对账明细接口!$AB609),"")</f>
        <v/>
      </c>
      <c r="AG609" s="7" t="str">
        <f>IFERROR(IF([1]对账明细接口!$AC609=0,"",[1]对账明细接口!$AC609),"")</f>
        <v/>
      </c>
      <c r="AH609" s="7" t="str">
        <f>IFERROR(IF([1]对账明细接口!$AD609=0,"",[1]对账明细接口!$AD609),"")</f>
        <v/>
      </c>
      <c r="AI609" s="7" t="str">
        <f>IFERROR(IF([1]对账明细接口!$AE609=0,"",[1]对账明细接口!$AE609),"")</f>
        <v/>
      </c>
      <c r="AJ609" s="7" t="str">
        <f>IFERROR(IF([1]对账明细接口!$AF609=0,"",[1]对账明细接口!$AF609),"")</f>
        <v/>
      </c>
    </row>
    <row r="610" ht="14.25" customHeight="1" spans="1:36">
      <c r="A610" s="14">
        <v>610</v>
      </c>
      <c r="B610" s="15" t="str">
        <f>IFERROR(IF([1]对账明细接口!$B$610=0,"",[1]对账明细接口!$B$610),"")</f>
        <v/>
      </c>
      <c r="C610" s="16" t="str">
        <f>IFERROR(IF([1]对账明细接口!$C$610=0,"",[1]对账明细接口!$C$610),"")</f>
        <v/>
      </c>
      <c r="D610" s="16" t="str">
        <f>IFERROR(IF([1]对账明细接口!$D$610=0,"",[1]对账明细接口!$D$610),"")</f>
        <v/>
      </c>
      <c r="E610" s="16" t="str">
        <f>IFERROR(IF([1]对账明细接口!$E$610=0,"",[1]对账明细接口!$E$610),"")</f>
        <v/>
      </c>
      <c r="F610" s="16" t="str">
        <f>IFERROR(IF([1]对账明细接口!$F$610=0,"",[1]对账明细接口!$F$610),"")</f>
        <v/>
      </c>
      <c r="G610" s="16" t="str">
        <f>IFERROR(IF([1]对账明细接口!$G$610=0,"",[1]对账明细接口!$G$610),"")</f>
        <v/>
      </c>
      <c r="H610" s="17" t="str">
        <f>IFERROR(IF([1]对账明细接口!$H$610=0,"",[1]对账明细接口!$H$610),"")</f>
        <v/>
      </c>
      <c r="I610" s="16" t="str">
        <f>IFERROR(IF([1]对账明细接口!$I$610=0,"",[1]对账明细接口!$I$610),"")</f>
        <v/>
      </c>
      <c r="J610" s="18" t="str">
        <f>IFERROR(IF([1]对账明细接口!$J$610=0,"",[1]对账明细接口!$J$610),"")</f>
        <v/>
      </c>
      <c r="K610" s="18" t="str">
        <f>IFERROR(IF([1]对账明细接口!$K$610=0,"",[1]对账明细接口!$K$610),"")</f>
        <v/>
      </c>
      <c r="L610" s="16" t="str">
        <f>IFERROR(IF([1]对账明细接口!$L$610=0,"",[1]对账明细接口!$L$610),"")</f>
        <v/>
      </c>
      <c r="M610" s="16" t="str">
        <f>IFERROR(IF([1]对账明细接口!$M$610=0,"",[1]对账明细接口!$M$610),"")</f>
        <v/>
      </c>
      <c r="N610" s="19">
        <f t="shared" si="18"/>
        <v>0</v>
      </c>
      <c r="O610" s="19">
        <f t="shared" si="19"/>
        <v>420</v>
      </c>
      <c r="S610" s="20" t="str">
        <f>IFERROR(IF([1]对账明细接口!$N610=0,"",[1]对账明细接口!$N610),"")</f>
        <v/>
      </c>
      <c r="T610" s="21" t="str">
        <f>IFERROR(IF([1]对账明细接口!$O610=0,"",[1]对账明细接口!$O610),"")</f>
        <v/>
      </c>
      <c r="U610" s="21" t="str">
        <f>IFERROR(IF([1]对账明细接口!$P610=0,"",[1]对账明细接口!$P610),"")</f>
        <v/>
      </c>
      <c r="V610" s="21" t="str">
        <f>IFERROR(IF([1]对账明细接口!$Q610=0,"",[1]对账明细接口!$Q610),"")</f>
        <v/>
      </c>
      <c r="W610" s="20" t="str">
        <f>IFERROR(IF([1]对账明细接口!$R610=0,"",[1]对账明细接口!$R610),"")</f>
        <v/>
      </c>
      <c r="X610" s="20" t="str">
        <f>IFERROR(IF([1]对账明细接口!$S610=0,"",[1]对账明细接口!$S610),"")</f>
        <v/>
      </c>
      <c r="Y610" s="20" t="str">
        <f>IFERROR(IF([1]对账明细接口!$T610=0,"",[1]对账明细接口!$T610),"")</f>
        <v/>
      </c>
      <c r="Z610" s="24" t="str">
        <f>IFERROR(IF([1]对账明细接口!$U610=0,"",[1]对账明细接口!$U610),"")</f>
        <v/>
      </c>
      <c r="AA610" s="24" t="str">
        <f>IFERROR(IF([1]对账明细接口!$V610=0,"",[1]对账明细接口!$V610),"")</f>
        <v/>
      </c>
      <c r="AB610" s="20" t="str">
        <f>IFERROR(IF([1]对账明细接口!$W610=0,"",[1]对账明细接口!$W610),"")</f>
        <v/>
      </c>
      <c r="AC610" s="7" t="str">
        <f>IFERROR(IF([1]对账明细接口!$X610=0,"",[1]对账明细接口!$X610),"")</f>
        <v/>
      </c>
      <c r="AD610" s="7" t="str">
        <f>IFERROR(IF([1]对账明细接口!$Y610=0,"",[1]对账明细接口!$Y610),"")</f>
        <v/>
      </c>
      <c r="AE610" s="7" t="str">
        <f>IFERROR(IF([1]对账明细接口!$AA610=0,"",[1]对账明细接口!$AA610),"")</f>
        <v/>
      </c>
      <c r="AF610" s="7" t="str">
        <f>IFERROR(IF([1]对账明细接口!$AB610=0,"",[1]对账明细接口!$AB610),"")</f>
        <v/>
      </c>
      <c r="AG610" s="7" t="str">
        <f>IFERROR(IF([1]对账明细接口!$AC610=0,"",[1]对账明细接口!$AC610),"")</f>
        <v/>
      </c>
      <c r="AH610" s="7" t="str">
        <f>IFERROR(IF([1]对账明细接口!$AD610=0,"",[1]对账明细接口!$AD610),"")</f>
        <v/>
      </c>
      <c r="AI610" s="7" t="str">
        <f>IFERROR(IF([1]对账明细接口!$AE610=0,"",[1]对账明细接口!$AE610),"")</f>
        <v/>
      </c>
      <c r="AJ610" s="7" t="str">
        <f>IFERROR(IF([1]对账明细接口!$AF610=0,"",[1]对账明细接口!$AF610),"")</f>
        <v/>
      </c>
    </row>
    <row r="611" ht="14.25" customHeight="1" spans="1:36">
      <c r="A611" s="14">
        <v>611</v>
      </c>
      <c r="B611" s="15" t="str">
        <f>IFERROR(IF([1]对账明细接口!$B$611=0,"",[1]对账明细接口!$B$611),"")</f>
        <v/>
      </c>
      <c r="C611" s="16" t="str">
        <f>IFERROR(IF([1]对账明细接口!$C$611=0,"",[1]对账明细接口!$C$611),"")</f>
        <v/>
      </c>
      <c r="D611" s="16" t="str">
        <f>IFERROR(IF([1]对账明细接口!$D$611=0,"",[1]对账明细接口!$D$611),"")</f>
        <v/>
      </c>
      <c r="E611" s="16" t="str">
        <f>IFERROR(IF([1]对账明细接口!$E$611=0,"",[1]对账明细接口!$E$611),"")</f>
        <v/>
      </c>
      <c r="F611" s="16" t="str">
        <f>IFERROR(IF([1]对账明细接口!$F$611=0,"",[1]对账明细接口!$F$611),"")</f>
        <v/>
      </c>
      <c r="G611" s="16" t="str">
        <f>IFERROR(IF([1]对账明细接口!$G$611=0,"",[1]对账明细接口!$G$611),"")</f>
        <v/>
      </c>
      <c r="H611" s="17" t="str">
        <f>IFERROR(IF([1]对账明细接口!$H$611=0,"",[1]对账明细接口!$H$611),"")</f>
        <v/>
      </c>
      <c r="I611" s="16" t="str">
        <f>IFERROR(IF([1]对账明细接口!$I$611=0,"",[1]对账明细接口!$I$611),"")</f>
        <v/>
      </c>
      <c r="J611" s="18" t="str">
        <f>IFERROR(IF([1]对账明细接口!$J$611=0,"",[1]对账明细接口!$J$611),"")</f>
        <v/>
      </c>
      <c r="K611" s="18" t="str">
        <f>IFERROR(IF([1]对账明细接口!$K$611=0,"",[1]对账明细接口!$K$611),"")</f>
        <v/>
      </c>
      <c r="L611" s="16" t="str">
        <f>IFERROR(IF([1]对账明细接口!$L$611=0,"",[1]对账明细接口!$L$611),"")</f>
        <v/>
      </c>
      <c r="M611" s="16" t="str">
        <f>IFERROR(IF([1]对账明细接口!$M$611=0,"",[1]对账明细接口!$M$611),"")</f>
        <v/>
      </c>
      <c r="N611" s="19">
        <f t="shared" si="18"/>
        <v>0</v>
      </c>
      <c r="O611" s="19">
        <f t="shared" si="19"/>
        <v>420</v>
      </c>
      <c r="S611" s="20" t="str">
        <f>IFERROR(IF([1]对账明细接口!$N611=0,"",[1]对账明细接口!$N611),"")</f>
        <v/>
      </c>
      <c r="T611" s="21" t="str">
        <f>IFERROR(IF([1]对账明细接口!$O611=0,"",[1]对账明细接口!$O611),"")</f>
        <v/>
      </c>
      <c r="U611" s="21" t="str">
        <f>IFERROR(IF([1]对账明细接口!$P611=0,"",[1]对账明细接口!$P611),"")</f>
        <v/>
      </c>
      <c r="V611" s="21" t="str">
        <f>IFERROR(IF([1]对账明细接口!$Q611=0,"",[1]对账明细接口!$Q611),"")</f>
        <v/>
      </c>
      <c r="W611" s="20" t="str">
        <f>IFERROR(IF([1]对账明细接口!$R611=0,"",[1]对账明细接口!$R611),"")</f>
        <v/>
      </c>
      <c r="X611" s="20" t="str">
        <f>IFERROR(IF([1]对账明细接口!$S611=0,"",[1]对账明细接口!$S611),"")</f>
        <v/>
      </c>
      <c r="Y611" s="20" t="str">
        <f>IFERROR(IF([1]对账明细接口!$T611=0,"",[1]对账明细接口!$T611),"")</f>
        <v/>
      </c>
      <c r="Z611" s="24" t="str">
        <f>IFERROR(IF([1]对账明细接口!$U611=0,"",[1]对账明细接口!$U611),"")</f>
        <v/>
      </c>
      <c r="AA611" s="24" t="str">
        <f>IFERROR(IF([1]对账明细接口!$V611=0,"",[1]对账明细接口!$V611),"")</f>
        <v/>
      </c>
      <c r="AB611" s="20" t="str">
        <f>IFERROR(IF([1]对账明细接口!$W611=0,"",[1]对账明细接口!$W611),"")</f>
        <v/>
      </c>
      <c r="AC611" s="7" t="str">
        <f>IFERROR(IF([1]对账明细接口!$X611=0,"",[1]对账明细接口!$X611),"")</f>
        <v/>
      </c>
      <c r="AD611" s="7" t="str">
        <f>IFERROR(IF([1]对账明细接口!$Y611=0,"",[1]对账明细接口!$Y611),"")</f>
        <v/>
      </c>
      <c r="AE611" s="7" t="str">
        <f>IFERROR(IF([1]对账明细接口!$AA611=0,"",[1]对账明细接口!$AA611),"")</f>
        <v/>
      </c>
      <c r="AF611" s="7" t="str">
        <f>IFERROR(IF([1]对账明细接口!$AB611=0,"",[1]对账明细接口!$AB611),"")</f>
        <v/>
      </c>
      <c r="AG611" s="7" t="str">
        <f>IFERROR(IF([1]对账明细接口!$AC611=0,"",[1]对账明细接口!$AC611),"")</f>
        <v/>
      </c>
      <c r="AH611" s="7" t="str">
        <f>IFERROR(IF([1]对账明细接口!$AD611=0,"",[1]对账明细接口!$AD611),"")</f>
        <v/>
      </c>
      <c r="AI611" s="7" t="str">
        <f>IFERROR(IF([1]对账明细接口!$AE611=0,"",[1]对账明细接口!$AE611),"")</f>
        <v/>
      </c>
      <c r="AJ611" s="7" t="str">
        <f>IFERROR(IF([1]对账明细接口!$AF611=0,"",[1]对账明细接口!$AF611),"")</f>
        <v/>
      </c>
    </row>
    <row r="612" ht="14.25" customHeight="1" spans="1:36">
      <c r="A612" s="14">
        <v>612</v>
      </c>
      <c r="B612" s="15" t="str">
        <f>IFERROR(IF([1]对账明细接口!$B$612=0,"",[1]对账明细接口!$B$612),"")</f>
        <v/>
      </c>
      <c r="C612" s="16" t="str">
        <f>IFERROR(IF([1]对账明细接口!$C$612=0,"",[1]对账明细接口!$C$612),"")</f>
        <v/>
      </c>
      <c r="D612" s="16" t="str">
        <f>IFERROR(IF([1]对账明细接口!$D$612=0,"",[1]对账明细接口!$D$612),"")</f>
        <v/>
      </c>
      <c r="E612" s="16" t="str">
        <f>IFERROR(IF([1]对账明细接口!$E$612=0,"",[1]对账明细接口!$E$612),"")</f>
        <v/>
      </c>
      <c r="F612" s="16" t="str">
        <f>IFERROR(IF([1]对账明细接口!$F$612=0,"",[1]对账明细接口!$F$612),"")</f>
        <v/>
      </c>
      <c r="G612" s="16" t="str">
        <f>IFERROR(IF([1]对账明细接口!$G$612=0,"",[1]对账明细接口!$G$612),"")</f>
        <v/>
      </c>
      <c r="H612" s="17" t="str">
        <f>IFERROR(IF([1]对账明细接口!$H$612=0,"",[1]对账明细接口!$H$612),"")</f>
        <v/>
      </c>
      <c r="I612" s="16" t="str">
        <f>IFERROR(IF([1]对账明细接口!$I$612=0,"",[1]对账明细接口!$I$612),"")</f>
        <v/>
      </c>
      <c r="J612" s="18" t="str">
        <f>IFERROR(IF([1]对账明细接口!$J$612=0,"",[1]对账明细接口!$J$612),"")</f>
        <v/>
      </c>
      <c r="K612" s="18" t="str">
        <f>IFERROR(IF([1]对账明细接口!$K$612=0,"",[1]对账明细接口!$K$612),"")</f>
        <v/>
      </c>
      <c r="L612" s="16" t="str">
        <f>IFERROR(IF([1]对账明细接口!$L$612=0,"",[1]对账明细接口!$L$612),"")</f>
        <v/>
      </c>
      <c r="M612" s="16" t="str">
        <f>IFERROR(IF([1]对账明细接口!$M$612=0,"",[1]对账明细接口!$M$612),"")</f>
        <v/>
      </c>
      <c r="N612" s="19">
        <f t="shared" si="18"/>
        <v>0</v>
      </c>
      <c r="O612" s="19">
        <f t="shared" si="19"/>
        <v>420</v>
      </c>
      <c r="S612" s="20" t="str">
        <f>IFERROR(IF([1]对账明细接口!$N612=0,"",[1]对账明细接口!$N612),"")</f>
        <v/>
      </c>
      <c r="T612" s="21" t="str">
        <f>IFERROR(IF([1]对账明细接口!$O612=0,"",[1]对账明细接口!$O612),"")</f>
        <v/>
      </c>
      <c r="U612" s="21" t="str">
        <f>IFERROR(IF([1]对账明细接口!$P612=0,"",[1]对账明细接口!$P612),"")</f>
        <v/>
      </c>
      <c r="V612" s="21" t="str">
        <f>IFERROR(IF([1]对账明细接口!$Q612=0,"",[1]对账明细接口!$Q612),"")</f>
        <v/>
      </c>
      <c r="W612" s="20" t="str">
        <f>IFERROR(IF([1]对账明细接口!$R612=0,"",[1]对账明细接口!$R612),"")</f>
        <v/>
      </c>
      <c r="X612" s="20" t="str">
        <f>IFERROR(IF([1]对账明细接口!$S612=0,"",[1]对账明细接口!$S612),"")</f>
        <v/>
      </c>
      <c r="Y612" s="20" t="str">
        <f>IFERROR(IF([1]对账明细接口!$T612=0,"",[1]对账明细接口!$T612),"")</f>
        <v/>
      </c>
      <c r="Z612" s="24" t="str">
        <f>IFERROR(IF([1]对账明细接口!$U612=0,"",[1]对账明细接口!$U612),"")</f>
        <v/>
      </c>
      <c r="AA612" s="24" t="str">
        <f>IFERROR(IF([1]对账明细接口!$V612=0,"",[1]对账明细接口!$V612),"")</f>
        <v/>
      </c>
      <c r="AB612" s="20" t="str">
        <f>IFERROR(IF([1]对账明细接口!$W612=0,"",[1]对账明细接口!$W612),"")</f>
        <v/>
      </c>
      <c r="AC612" s="7" t="str">
        <f>IFERROR(IF([1]对账明细接口!$X612=0,"",[1]对账明细接口!$X612),"")</f>
        <v/>
      </c>
      <c r="AD612" s="7" t="str">
        <f>IFERROR(IF([1]对账明细接口!$Y612=0,"",[1]对账明细接口!$Y612),"")</f>
        <v/>
      </c>
      <c r="AE612" s="7" t="str">
        <f>IFERROR(IF([1]对账明细接口!$AA612=0,"",[1]对账明细接口!$AA612),"")</f>
        <v/>
      </c>
      <c r="AF612" s="7" t="str">
        <f>IFERROR(IF([1]对账明细接口!$AB612=0,"",[1]对账明细接口!$AB612),"")</f>
        <v/>
      </c>
      <c r="AG612" s="7" t="str">
        <f>IFERROR(IF([1]对账明细接口!$AC612=0,"",[1]对账明细接口!$AC612),"")</f>
        <v/>
      </c>
      <c r="AH612" s="7" t="str">
        <f>IFERROR(IF([1]对账明细接口!$AD612=0,"",[1]对账明细接口!$AD612),"")</f>
        <v/>
      </c>
      <c r="AI612" s="7" t="str">
        <f>IFERROR(IF([1]对账明细接口!$AE612=0,"",[1]对账明细接口!$AE612),"")</f>
        <v/>
      </c>
      <c r="AJ612" s="7" t="str">
        <f>IFERROR(IF([1]对账明细接口!$AF612=0,"",[1]对账明细接口!$AF612),"")</f>
        <v/>
      </c>
    </row>
    <row r="613" ht="14.25" customHeight="1" spans="1:36">
      <c r="A613" s="14">
        <v>613</v>
      </c>
      <c r="B613" s="15" t="str">
        <f>IFERROR(IF([1]对账明细接口!$B$613=0,"",[1]对账明细接口!$B$613),"")</f>
        <v/>
      </c>
      <c r="C613" s="16" t="str">
        <f>IFERROR(IF([1]对账明细接口!$C$613=0,"",[1]对账明细接口!$C$613),"")</f>
        <v/>
      </c>
      <c r="D613" s="16" t="str">
        <f>IFERROR(IF([1]对账明细接口!$D$613=0,"",[1]对账明细接口!$D$613),"")</f>
        <v/>
      </c>
      <c r="E613" s="16" t="str">
        <f>IFERROR(IF([1]对账明细接口!$E$613=0,"",[1]对账明细接口!$E$613),"")</f>
        <v/>
      </c>
      <c r="F613" s="16" t="str">
        <f>IFERROR(IF([1]对账明细接口!$F$613=0,"",[1]对账明细接口!$F$613),"")</f>
        <v/>
      </c>
      <c r="G613" s="16" t="str">
        <f>IFERROR(IF([1]对账明细接口!$G$613=0,"",[1]对账明细接口!$G$613),"")</f>
        <v/>
      </c>
      <c r="H613" s="17" t="str">
        <f>IFERROR(IF([1]对账明细接口!$H$613=0,"",[1]对账明细接口!$H$613),"")</f>
        <v/>
      </c>
      <c r="I613" s="16" t="str">
        <f>IFERROR(IF([1]对账明细接口!$I$613=0,"",[1]对账明细接口!$I$613),"")</f>
        <v/>
      </c>
      <c r="J613" s="18" t="str">
        <f>IFERROR(IF([1]对账明细接口!$J$613=0,"",[1]对账明细接口!$J$613),"")</f>
        <v/>
      </c>
      <c r="K613" s="18" t="str">
        <f>IFERROR(IF([1]对账明细接口!$K$613=0,"",[1]对账明细接口!$K$613),"")</f>
        <v/>
      </c>
      <c r="L613" s="16" t="str">
        <f>IFERROR(IF([1]对账明细接口!$L$613=0,"",[1]对账明细接口!$L$613),"")</f>
        <v/>
      </c>
      <c r="M613" s="16" t="str">
        <f>IFERROR(IF([1]对账明细接口!$M$613=0,"",[1]对账明细接口!$M$613),"")</f>
        <v/>
      </c>
      <c r="N613" s="19">
        <f t="shared" si="18"/>
        <v>0</v>
      </c>
      <c r="O613" s="19">
        <f t="shared" si="19"/>
        <v>420</v>
      </c>
      <c r="S613" s="20" t="str">
        <f>IFERROR(IF([1]对账明细接口!$N613=0,"",[1]对账明细接口!$N613),"")</f>
        <v/>
      </c>
      <c r="T613" s="21" t="str">
        <f>IFERROR(IF([1]对账明细接口!$O613=0,"",[1]对账明细接口!$O613),"")</f>
        <v/>
      </c>
      <c r="U613" s="21" t="str">
        <f>IFERROR(IF([1]对账明细接口!$P613=0,"",[1]对账明细接口!$P613),"")</f>
        <v/>
      </c>
      <c r="V613" s="21" t="str">
        <f>IFERROR(IF([1]对账明细接口!$Q613=0,"",[1]对账明细接口!$Q613),"")</f>
        <v/>
      </c>
      <c r="W613" s="20" t="str">
        <f>IFERROR(IF([1]对账明细接口!$R613=0,"",[1]对账明细接口!$R613),"")</f>
        <v/>
      </c>
      <c r="X613" s="20" t="str">
        <f>IFERROR(IF([1]对账明细接口!$S613=0,"",[1]对账明细接口!$S613),"")</f>
        <v/>
      </c>
      <c r="Y613" s="20" t="str">
        <f>IFERROR(IF([1]对账明细接口!$T613=0,"",[1]对账明细接口!$T613),"")</f>
        <v/>
      </c>
      <c r="Z613" s="24" t="str">
        <f>IFERROR(IF([1]对账明细接口!$U613=0,"",[1]对账明细接口!$U613),"")</f>
        <v/>
      </c>
      <c r="AA613" s="24" t="str">
        <f>IFERROR(IF([1]对账明细接口!$V613=0,"",[1]对账明细接口!$V613),"")</f>
        <v/>
      </c>
      <c r="AB613" s="20" t="str">
        <f>IFERROR(IF([1]对账明细接口!$W613=0,"",[1]对账明细接口!$W613),"")</f>
        <v/>
      </c>
      <c r="AC613" s="7" t="str">
        <f>IFERROR(IF([1]对账明细接口!$X613=0,"",[1]对账明细接口!$X613),"")</f>
        <v/>
      </c>
      <c r="AD613" s="7" t="str">
        <f>IFERROR(IF([1]对账明细接口!$Y613=0,"",[1]对账明细接口!$Y613),"")</f>
        <v/>
      </c>
      <c r="AE613" s="7" t="str">
        <f>IFERROR(IF([1]对账明细接口!$AA613=0,"",[1]对账明细接口!$AA613),"")</f>
        <v/>
      </c>
      <c r="AF613" s="7" t="str">
        <f>IFERROR(IF([1]对账明细接口!$AB613=0,"",[1]对账明细接口!$AB613),"")</f>
        <v/>
      </c>
      <c r="AG613" s="7" t="str">
        <f>IFERROR(IF([1]对账明细接口!$AC613=0,"",[1]对账明细接口!$AC613),"")</f>
        <v/>
      </c>
      <c r="AH613" s="7" t="str">
        <f>IFERROR(IF([1]对账明细接口!$AD613=0,"",[1]对账明细接口!$AD613),"")</f>
        <v/>
      </c>
      <c r="AI613" s="7" t="str">
        <f>IFERROR(IF([1]对账明细接口!$AE613=0,"",[1]对账明细接口!$AE613),"")</f>
        <v/>
      </c>
      <c r="AJ613" s="7" t="str">
        <f>IFERROR(IF([1]对账明细接口!$AF613=0,"",[1]对账明细接口!$AF613),"")</f>
        <v/>
      </c>
    </row>
    <row r="614" ht="14.25" customHeight="1" spans="1:36">
      <c r="A614" s="14">
        <v>614</v>
      </c>
      <c r="B614" s="15" t="str">
        <f>IFERROR(IF([1]对账明细接口!$B$614=0,"",[1]对账明细接口!$B$614),"")</f>
        <v/>
      </c>
      <c r="C614" s="16" t="str">
        <f>IFERROR(IF([1]对账明细接口!$C$614=0,"",[1]对账明细接口!$C$614),"")</f>
        <v/>
      </c>
      <c r="D614" s="16" t="str">
        <f>IFERROR(IF([1]对账明细接口!$D$614=0,"",[1]对账明细接口!$D$614),"")</f>
        <v/>
      </c>
      <c r="E614" s="16" t="str">
        <f>IFERROR(IF([1]对账明细接口!$E$614=0,"",[1]对账明细接口!$E$614),"")</f>
        <v/>
      </c>
      <c r="F614" s="16" t="str">
        <f>IFERROR(IF([1]对账明细接口!$F$614=0,"",[1]对账明细接口!$F$614),"")</f>
        <v/>
      </c>
      <c r="G614" s="16" t="str">
        <f>IFERROR(IF([1]对账明细接口!$G$614=0,"",[1]对账明细接口!$G$614),"")</f>
        <v/>
      </c>
      <c r="H614" s="17" t="str">
        <f>IFERROR(IF([1]对账明细接口!$H$614=0,"",[1]对账明细接口!$H$614),"")</f>
        <v/>
      </c>
      <c r="I614" s="16" t="str">
        <f>IFERROR(IF([1]对账明细接口!$I$614=0,"",[1]对账明细接口!$I$614),"")</f>
        <v/>
      </c>
      <c r="J614" s="18" t="str">
        <f>IFERROR(IF([1]对账明细接口!$J$614=0,"",[1]对账明细接口!$J$614),"")</f>
        <v/>
      </c>
      <c r="K614" s="18" t="str">
        <f>IFERROR(IF([1]对账明细接口!$K$614=0,"",[1]对账明细接口!$K$614),"")</f>
        <v/>
      </c>
      <c r="L614" s="16" t="str">
        <f>IFERROR(IF([1]对账明细接口!$L$614=0,"",[1]对账明细接口!$L$614),"")</f>
        <v/>
      </c>
      <c r="M614" s="16" t="str">
        <f>IFERROR(IF([1]对账明细接口!$M$614=0,"",[1]对账明细接口!$M$614),"")</f>
        <v/>
      </c>
      <c r="N614" s="19">
        <f t="shared" si="18"/>
        <v>0</v>
      </c>
      <c r="O614" s="19">
        <f t="shared" si="19"/>
        <v>420</v>
      </c>
      <c r="S614" s="20" t="str">
        <f>IFERROR(IF([1]对账明细接口!$N614=0,"",[1]对账明细接口!$N614),"")</f>
        <v/>
      </c>
      <c r="T614" s="21" t="str">
        <f>IFERROR(IF([1]对账明细接口!$O614=0,"",[1]对账明细接口!$O614),"")</f>
        <v/>
      </c>
      <c r="U614" s="21" t="str">
        <f>IFERROR(IF([1]对账明细接口!$P614=0,"",[1]对账明细接口!$P614),"")</f>
        <v/>
      </c>
      <c r="V614" s="21" t="str">
        <f>IFERROR(IF([1]对账明细接口!$Q614=0,"",[1]对账明细接口!$Q614),"")</f>
        <v/>
      </c>
      <c r="W614" s="20" t="str">
        <f>IFERROR(IF([1]对账明细接口!$R614=0,"",[1]对账明细接口!$R614),"")</f>
        <v/>
      </c>
      <c r="X614" s="20" t="str">
        <f>IFERROR(IF([1]对账明细接口!$S614=0,"",[1]对账明细接口!$S614),"")</f>
        <v/>
      </c>
      <c r="Y614" s="20" t="str">
        <f>IFERROR(IF([1]对账明细接口!$T614=0,"",[1]对账明细接口!$T614),"")</f>
        <v/>
      </c>
      <c r="Z614" s="24" t="str">
        <f>IFERROR(IF([1]对账明细接口!$U614=0,"",[1]对账明细接口!$U614),"")</f>
        <v/>
      </c>
      <c r="AA614" s="24" t="str">
        <f>IFERROR(IF([1]对账明细接口!$V614=0,"",[1]对账明细接口!$V614),"")</f>
        <v/>
      </c>
      <c r="AB614" s="20" t="str">
        <f>IFERROR(IF([1]对账明细接口!$W614=0,"",[1]对账明细接口!$W614),"")</f>
        <v/>
      </c>
      <c r="AC614" s="7" t="str">
        <f>IFERROR(IF([1]对账明细接口!$X614=0,"",[1]对账明细接口!$X614),"")</f>
        <v/>
      </c>
      <c r="AD614" s="7" t="str">
        <f>IFERROR(IF([1]对账明细接口!$Y614=0,"",[1]对账明细接口!$Y614),"")</f>
        <v/>
      </c>
      <c r="AE614" s="7" t="str">
        <f>IFERROR(IF([1]对账明细接口!$AA614=0,"",[1]对账明细接口!$AA614),"")</f>
        <v/>
      </c>
      <c r="AF614" s="7" t="str">
        <f>IFERROR(IF([1]对账明细接口!$AB614=0,"",[1]对账明细接口!$AB614),"")</f>
        <v/>
      </c>
      <c r="AG614" s="7" t="str">
        <f>IFERROR(IF([1]对账明细接口!$AC614=0,"",[1]对账明细接口!$AC614),"")</f>
        <v/>
      </c>
      <c r="AH614" s="7" t="str">
        <f>IFERROR(IF([1]对账明细接口!$AD614=0,"",[1]对账明细接口!$AD614),"")</f>
        <v/>
      </c>
      <c r="AI614" s="7" t="str">
        <f>IFERROR(IF([1]对账明细接口!$AE614=0,"",[1]对账明细接口!$AE614),"")</f>
        <v/>
      </c>
      <c r="AJ614" s="7" t="str">
        <f>IFERROR(IF([1]对账明细接口!$AF614=0,"",[1]对账明细接口!$AF614),"")</f>
        <v/>
      </c>
    </row>
    <row r="615" ht="14.25" customHeight="1" spans="1:36">
      <c r="A615" s="14">
        <v>615</v>
      </c>
      <c r="B615" s="15" t="str">
        <f>IFERROR(IF([1]对账明细接口!$B$615=0,"",[1]对账明细接口!$B$615),"")</f>
        <v/>
      </c>
      <c r="C615" s="16" t="str">
        <f>IFERROR(IF([1]对账明细接口!$C$615=0,"",[1]对账明细接口!$C$615),"")</f>
        <v/>
      </c>
      <c r="D615" s="16" t="str">
        <f>IFERROR(IF([1]对账明细接口!$D$615=0,"",[1]对账明细接口!$D$615),"")</f>
        <v/>
      </c>
      <c r="E615" s="16" t="str">
        <f>IFERROR(IF([1]对账明细接口!$E$615=0,"",[1]对账明细接口!$E$615),"")</f>
        <v/>
      </c>
      <c r="F615" s="16" t="str">
        <f>IFERROR(IF([1]对账明细接口!$F$615=0,"",[1]对账明细接口!$F$615),"")</f>
        <v/>
      </c>
      <c r="G615" s="16" t="str">
        <f>IFERROR(IF([1]对账明细接口!$G$615=0,"",[1]对账明细接口!$G$615),"")</f>
        <v/>
      </c>
      <c r="H615" s="17" t="str">
        <f>IFERROR(IF([1]对账明细接口!$H$615=0,"",[1]对账明细接口!$H$615),"")</f>
        <v/>
      </c>
      <c r="I615" s="16" t="str">
        <f>IFERROR(IF([1]对账明细接口!$I$615=0,"",[1]对账明细接口!$I$615),"")</f>
        <v/>
      </c>
      <c r="J615" s="18" t="str">
        <f>IFERROR(IF([1]对账明细接口!$J$615=0,"",[1]对账明细接口!$J$615),"")</f>
        <v/>
      </c>
      <c r="K615" s="18" t="str">
        <f>IFERROR(IF([1]对账明细接口!$K$615=0,"",[1]对账明细接口!$K$615),"")</f>
        <v/>
      </c>
      <c r="L615" s="16" t="str">
        <f>IFERROR(IF([1]对账明细接口!$L$615=0,"",[1]对账明细接口!$L$615),"")</f>
        <v/>
      </c>
      <c r="M615" s="16" t="str">
        <f>IFERROR(IF([1]对账明细接口!$M$615=0,"",[1]对账明细接口!$M$615),"")</f>
        <v/>
      </c>
      <c r="N615" s="19">
        <f t="shared" si="18"/>
        <v>0</v>
      </c>
      <c r="O615" s="19">
        <f t="shared" si="19"/>
        <v>420</v>
      </c>
      <c r="S615" s="20" t="str">
        <f>IFERROR(IF([1]对账明细接口!$N615=0,"",[1]对账明细接口!$N615),"")</f>
        <v/>
      </c>
      <c r="T615" s="21" t="str">
        <f>IFERROR(IF([1]对账明细接口!$O615=0,"",[1]对账明细接口!$O615),"")</f>
        <v/>
      </c>
      <c r="U615" s="21" t="str">
        <f>IFERROR(IF([1]对账明细接口!$P615=0,"",[1]对账明细接口!$P615),"")</f>
        <v/>
      </c>
      <c r="V615" s="21" t="str">
        <f>IFERROR(IF([1]对账明细接口!$Q615=0,"",[1]对账明细接口!$Q615),"")</f>
        <v/>
      </c>
      <c r="W615" s="20" t="str">
        <f>IFERROR(IF([1]对账明细接口!$R615=0,"",[1]对账明细接口!$R615),"")</f>
        <v/>
      </c>
      <c r="X615" s="20" t="str">
        <f>IFERROR(IF([1]对账明细接口!$S615=0,"",[1]对账明细接口!$S615),"")</f>
        <v/>
      </c>
      <c r="Y615" s="20" t="str">
        <f>IFERROR(IF([1]对账明细接口!$T615=0,"",[1]对账明细接口!$T615),"")</f>
        <v/>
      </c>
      <c r="Z615" s="24" t="str">
        <f>IFERROR(IF([1]对账明细接口!$U615=0,"",[1]对账明细接口!$U615),"")</f>
        <v/>
      </c>
      <c r="AA615" s="24" t="str">
        <f>IFERROR(IF([1]对账明细接口!$V615=0,"",[1]对账明细接口!$V615),"")</f>
        <v/>
      </c>
      <c r="AB615" s="20" t="str">
        <f>IFERROR(IF([1]对账明细接口!$W615=0,"",[1]对账明细接口!$W615),"")</f>
        <v/>
      </c>
      <c r="AC615" s="7" t="str">
        <f>IFERROR(IF([1]对账明细接口!$X615=0,"",[1]对账明细接口!$X615),"")</f>
        <v/>
      </c>
      <c r="AD615" s="7" t="str">
        <f>IFERROR(IF([1]对账明细接口!$Y615=0,"",[1]对账明细接口!$Y615),"")</f>
        <v/>
      </c>
      <c r="AE615" s="7" t="str">
        <f>IFERROR(IF([1]对账明细接口!$AA615=0,"",[1]对账明细接口!$AA615),"")</f>
        <v/>
      </c>
      <c r="AF615" s="7" t="str">
        <f>IFERROR(IF([1]对账明细接口!$AB615=0,"",[1]对账明细接口!$AB615),"")</f>
        <v/>
      </c>
      <c r="AG615" s="7" t="str">
        <f>IFERROR(IF([1]对账明细接口!$AC615=0,"",[1]对账明细接口!$AC615),"")</f>
        <v/>
      </c>
      <c r="AH615" s="7" t="str">
        <f>IFERROR(IF([1]对账明细接口!$AD615=0,"",[1]对账明细接口!$AD615),"")</f>
        <v/>
      </c>
      <c r="AI615" s="7" t="str">
        <f>IFERROR(IF([1]对账明细接口!$AE615=0,"",[1]对账明细接口!$AE615),"")</f>
        <v/>
      </c>
      <c r="AJ615" s="7" t="str">
        <f>IFERROR(IF([1]对账明细接口!$AF615=0,"",[1]对账明细接口!$AF615),"")</f>
        <v/>
      </c>
    </row>
    <row r="616" ht="14.25" customHeight="1" spans="1:36">
      <c r="A616" s="14">
        <v>616</v>
      </c>
      <c r="B616" s="15" t="str">
        <f>IFERROR(IF([1]对账明细接口!$B$616=0,"",[1]对账明细接口!$B$616),"")</f>
        <v/>
      </c>
      <c r="C616" s="16" t="str">
        <f>IFERROR(IF([1]对账明细接口!$C$616=0,"",[1]对账明细接口!$C$616),"")</f>
        <v/>
      </c>
      <c r="D616" s="16" t="str">
        <f>IFERROR(IF([1]对账明细接口!$D$616=0,"",[1]对账明细接口!$D$616),"")</f>
        <v/>
      </c>
      <c r="E616" s="16" t="str">
        <f>IFERROR(IF([1]对账明细接口!$E$616=0,"",[1]对账明细接口!$E$616),"")</f>
        <v/>
      </c>
      <c r="F616" s="16" t="str">
        <f>IFERROR(IF([1]对账明细接口!$F$616=0,"",[1]对账明细接口!$F$616),"")</f>
        <v/>
      </c>
      <c r="G616" s="16" t="str">
        <f>IFERROR(IF([1]对账明细接口!$G$616=0,"",[1]对账明细接口!$G$616),"")</f>
        <v/>
      </c>
      <c r="H616" s="17" t="str">
        <f>IFERROR(IF([1]对账明细接口!$H$616=0,"",[1]对账明细接口!$H$616),"")</f>
        <v/>
      </c>
      <c r="I616" s="16" t="str">
        <f>IFERROR(IF([1]对账明细接口!$I$616=0,"",[1]对账明细接口!$I$616),"")</f>
        <v/>
      </c>
      <c r="J616" s="18" t="str">
        <f>IFERROR(IF([1]对账明细接口!$J$616=0,"",[1]对账明细接口!$J$616),"")</f>
        <v/>
      </c>
      <c r="K616" s="18" t="str">
        <f>IFERROR(IF([1]对账明细接口!$K$616=0,"",[1]对账明细接口!$K$616),"")</f>
        <v/>
      </c>
      <c r="L616" s="16" t="str">
        <f>IFERROR(IF([1]对账明细接口!$L$616=0,"",[1]对账明细接口!$L$616),"")</f>
        <v/>
      </c>
      <c r="M616" s="16" t="str">
        <f>IFERROR(IF([1]对账明细接口!$M$616=0,"",[1]对账明细接口!$M$616),"")</f>
        <v/>
      </c>
      <c r="N616" s="19">
        <f t="shared" si="18"/>
        <v>0</v>
      </c>
      <c r="O616" s="19">
        <f t="shared" si="19"/>
        <v>420</v>
      </c>
      <c r="S616" s="20" t="str">
        <f>IFERROR(IF([1]对账明细接口!$N616=0,"",[1]对账明细接口!$N616),"")</f>
        <v/>
      </c>
      <c r="T616" s="21" t="str">
        <f>IFERROR(IF([1]对账明细接口!$O616=0,"",[1]对账明细接口!$O616),"")</f>
        <v/>
      </c>
      <c r="U616" s="21" t="str">
        <f>IFERROR(IF([1]对账明细接口!$P616=0,"",[1]对账明细接口!$P616),"")</f>
        <v/>
      </c>
      <c r="V616" s="21" t="str">
        <f>IFERROR(IF([1]对账明细接口!$Q616=0,"",[1]对账明细接口!$Q616),"")</f>
        <v/>
      </c>
      <c r="W616" s="20" t="str">
        <f>IFERROR(IF([1]对账明细接口!$R616=0,"",[1]对账明细接口!$R616),"")</f>
        <v/>
      </c>
      <c r="X616" s="20" t="str">
        <f>IFERROR(IF([1]对账明细接口!$S616=0,"",[1]对账明细接口!$S616),"")</f>
        <v/>
      </c>
      <c r="Y616" s="20" t="str">
        <f>IFERROR(IF([1]对账明细接口!$T616=0,"",[1]对账明细接口!$T616),"")</f>
        <v/>
      </c>
      <c r="Z616" s="24" t="str">
        <f>IFERROR(IF([1]对账明细接口!$U616=0,"",[1]对账明细接口!$U616),"")</f>
        <v/>
      </c>
      <c r="AA616" s="24" t="str">
        <f>IFERROR(IF([1]对账明细接口!$V616=0,"",[1]对账明细接口!$V616),"")</f>
        <v/>
      </c>
      <c r="AB616" s="20" t="str">
        <f>IFERROR(IF([1]对账明细接口!$W616=0,"",[1]对账明细接口!$W616),"")</f>
        <v/>
      </c>
      <c r="AC616" s="7" t="str">
        <f>IFERROR(IF([1]对账明细接口!$X616=0,"",[1]对账明细接口!$X616),"")</f>
        <v/>
      </c>
      <c r="AD616" s="7" t="str">
        <f>IFERROR(IF([1]对账明细接口!$Y616=0,"",[1]对账明细接口!$Y616),"")</f>
        <v/>
      </c>
      <c r="AE616" s="7" t="str">
        <f>IFERROR(IF([1]对账明细接口!$AA616=0,"",[1]对账明细接口!$AA616),"")</f>
        <v/>
      </c>
      <c r="AF616" s="7" t="str">
        <f>IFERROR(IF([1]对账明细接口!$AB616=0,"",[1]对账明细接口!$AB616),"")</f>
        <v/>
      </c>
      <c r="AG616" s="7" t="str">
        <f>IFERROR(IF([1]对账明细接口!$AC616=0,"",[1]对账明细接口!$AC616),"")</f>
        <v/>
      </c>
      <c r="AH616" s="7" t="str">
        <f>IFERROR(IF([1]对账明细接口!$AD616=0,"",[1]对账明细接口!$AD616),"")</f>
        <v/>
      </c>
      <c r="AI616" s="7" t="str">
        <f>IFERROR(IF([1]对账明细接口!$AE616=0,"",[1]对账明细接口!$AE616),"")</f>
        <v/>
      </c>
      <c r="AJ616" s="7" t="str">
        <f>IFERROR(IF([1]对账明细接口!$AF616=0,"",[1]对账明细接口!$AF616),"")</f>
        <v/>
      </c>
    </row>
    <row r="617" ht="14.25" customHeight="1" spans="1:36">
      <c r="A617" s="14">
        <v>617</v>
      </c>
      <c r="B617" s="15" t="str">
        <f>IFERROR(IF([1]对账明细接口!$B$617=0,"",[1]对账明细接口!$B$617),"")</f>
        <v/>
      </c>
      <c r="C617" s="16" t="str">
        <f>IFERROR(IF([1]对账明细接口!$C$617=0,"",[1]对账明细接口!$C$617),"")</f>
        <v/>
      </c>
      <c r="D617" s="16" t="str">
        <f>IFERROR(IF([1]对账明细接口!$D$617=0,"",[1]对账明细接口!$D$617),"")</f>
        <v/>
      </c>
      <c r="E617" s="16" t="str">
        <f>IFERROR(IF([1]对账明细接口!$E$617=0,"",[1]对账明细接口!$E$617),"")</f>
        <v/>
      </c>
      <c r="F617" s="16" t="str">
        <f>IFERROR(IF([1]对账明细接口!$F$617=0,"",[1]对账明细接口!$F$617),"")</f>
        <v/>
      </c>
      <c r="G617" s="16" t="str">
        <f>IFERROR(IF([1]对账明细接口!$G$617=0,"",[1]对账明细接口!$G$617),"")</f>
        <v/>
      </c>
      <c r="H617" s="17" t="str">
        <f>IFERROR(IF([1]对账明细接口!$H$617=0,"",[1]对账明细接口!$H$617),"")</f>
        <v/>
      </c>
      <c r="I617" s="16" t="str">
        <f>IFERROR(IF([1]对账明细接口!$I$617=0,"",[1]对账明细接口!$I$617),"")</f>
        <v/>
      </c>
      <c r="J617" s="18" t="str">
        <f>IFERROR(IF([1]对账明细接口!$J$617=0,"",[1]对账明细接口!$J$617),"")</f>
        <v/>
      </c>
      <c r="K617" s="18" t="str">
        <f>IFERROR(IF([1]对账明细接口!$K$617=0,"",[1]对账明细接口!$K$617),"")</f>
        <v/>
      </c>
      <c r="L617" s="16" t="str">
        <f>IFERROR(IF([1]对账明细接口!$L$617=0,"",[1]对账明细接口!$L$617),"")</f>
        <v/>
      </c>
      <c r="M617" s="16" t="str">
        <f>IFERROR(IF([1]对账明细接口!$M$617=0,"",[1]对账明细接口!$M$617),"")</f>
        <v/>
      </c>
      <c r="N617" s="19">
        <f t="shared" si="18"/>
        <v>0</v>
      </c>
      <c r="O617" s="19">
        <f t="shared" si="19"/>
        <v>420</v>
      </c>
      <c r="S617" s="20" t="str">
        <f>IFERROR(IF([1]对账明细接口!$N617=0,"",[1]对账明细接口!$N617),"")</f>
        <v/>
      </c>
      <c r="T617" s="21" t="str">
        <f>IFERROR(IF([1]对账明细接口!$O617=0,"",[1]对账明细接口!$O617),"")</f>
        <v/>
      </c>
      <c r="U617" s="21" t="str">
        <f>IFERROR(IF([1]对账明细接口!$P617=0,"",[1]对账明细接口!$P617),"")</f>
        <v/>
      </c>
      <c r="V617" s="21" t="str">
        <f>IFERROR(IF([1]对账明细接口!$Q617=0,"",[1]对账明细接口!$Q617),"")</f>
        <v/>
      </c>
      <c r="W617" s="20" t="str">
        <f>IFERROR(IF([1]对账明细接口!$R617=0,"",[1]对账明细接口!$R617),"")</f>
        <v/>
      </c>
      <c r="X617" s="20" t="str">
        <f>IFERROR(IF([1]对账明细接口!$S617=0,"",[1]对账明细接口!$S617),"")</f>
        <v/>
      </c>
      <c r="Y617" s="20" t="str">
        <f>IFERROR(IF([1]对账明细接口!$T617=0,"",[1]对账明细接口!$T617),"")</f>
        <v/>
      </c>
      <c r="Z617" s="24" t="str">
        <f>IFERROR(IF([1]对账明细接口!$U617=0,"",[1]对账明细接口!$U617),"")</f>
        <v/>
      </c>
      <c r="AA617" s="24" t="str">
        <f>IFERROR(IF([1]对账明细接口!$V617=0,"",[1]对账明细接口!$V617),"")</f>
        <v/>
      </c>
      <c r="AB617" s="20" t="str">
        <f>IFERROR(IF([1]对账明细接口!$W617=0,"",[1]对账明细接口!$W617),"")</f>
        <v/>
      </c>
      <c r="AC617" s="7" t="str">
        <f>IFERROR(IF([1]对账明细接口!$X617=0,"",[1]对账明细接口!$X617),"")</f>
        <v/>
      </c>
      <c r="AD617" s="7" t="str">
        <f>IFERROR(IF([1]对账明细接口!$Y617=0,"",[1]对账明细接口!$Y617),"")</f>
        <v/>
      </c>
      <c r="AE617" s="7" t="str">
        <f>IFERROR(IF([1]对账明细接口!$AA617=0,"",[1]对账明细接口!$AA617),"")</f>
        <v/>
      </c>
      <c r="AF617" s="7" t="str">
        <f>IFERROR(IF([1]对账明细接口!$AB617=0,"",[1]对账明细接口!$AB617),"")</f>
        <v/>
      </c>
      <c r="AG617" s="7" t="str">
        <f>IFERROR(IF([1]对账明细接口!$AC617=0,"",[1]对账明细接口!$AC617),"")</f>
        <v/>
      </c>
      <c r="AH617" s="7" t="str">
        <f>IFERROR(IF([1]对账明细接口!$AD617=0,"",[1]对账明细接口!$AD617),"")</f>
        <v/>
      </c>
      <c r="AI617" s="7" t="str">
        <f>IFERROR(IF([1]对账明细接口!$AE617=0,"",[1]对账明细接口!$AE617),"")</f>
        <v/>
      </c>
      <c r="AJ617" s="7" t="str">
        <f>IFERROR(IF([1]对账明细接口!$AF617=0,"",[1]对账明细接口!$AF617),"")</f>
        <v/>
      </c>
    </row>
    <row r="618" ht="14.25" customHeight="1" spans="1:36">
      <c r="A618" s="14">
        <v>618</v>
      </c>
      <c r="B618" s="15" t="str">
        <f>IFERROR(IF([1]对账明细接口!$B$618=0,"",[1]对账明细接口!$B$618),"")</f>
        <v/>
      </c>
      <c r="C618" s="16" t="str">
        <f>IFERROR(IF([1]对账明细接口!$C$618=0,"",[1]对账明细接口!$C$618),"")</f>
        <v/>
      </c>
      <c r="D618" s="16" t="str">
        <f>IFERROR(IF([1]对账明细接口!$D$618=0,"",[1]对账明细接口!$D$618),"")</f>
        <v/>
      </c>
      <c r="E618" s="16" t="str">
        <f>IFERROR(IF([1]对账明细接口!$E$618=0,"",[1]对账明细接口!$E$618),"")</f>
        <v/>
      </c>
      <c r="F618" s="16" t="str">
        <f>IFERROR(IF([1]对账明细接口!$F$618=0,"",[1]对账明细接口!$F$618),"")</f>
        <v/>
      </c>
      <c r="G618" s="16" t="str">
        <f>IFERROR(IF([1]对账明细接口!$G$618=0,"",[1]对账明细接口!$G$618),"")</f>
        <v/>
      </c>
      <c r="H618" s="17" t="str">
        <f>IFERROR(IF([1]对账明细接口!$H$618=0,"",[1]对账明细接口!$H$618),"")</f>
        <v/>
      </c>
      <c r="I618" s="16" t="str">
        <f>IFERROR(IF([1]对账明细接口!$I$618=0,"",[1]对账明细接口!$I$618),"")</f>
        <v/>
      </c>
      <c r="J618" s="18" t="str">
        <f>IFERROR(IF([1]对账明细接口!$J$618=0,"",[1]对账明细接口!$J$618),"")</f>
        <v/>
      </c>
      <c r="K618" s="18" t="str">
        <f>IFERROR(IF([1]对账明细接口!$K$618=0,"",[1]对账明细接口!$K$618),"")</f>
        <v/>
      </c>
      <c r="L618" s="16" t="str">
        <f>IFERROR(IF([1]对账明细接口!$L$618=0,"",[1]对账明细接口!$L$618),"")</f>
        <v/>
      </c>
      <c r="M618" s="16" t="str">
        <f>IFERROR(IF([1]对账明细接口!$M$618=0,"",[1]对账明细接口!$M$618),"")</f>
        <v/>
      </c>
      <c r="N618" s="19">
        <f t="shared" si="18"/>
        <v>0</v>
      </c>
      <c r="O618" s="19">
        <f t="shared" si="19"/>
        <v>420</v>
      </c>
      <c r="S618" s="20" t="str">
        <f>IFERROR(IF([1]对账明细接口!$N618=0,"",[1]对账明细接口!$N618),"")</f>
        <v/>
      </c>
      <c r="T618" s="21" t="str">
        <f>IFERROR(IF([1]对账明细接口!$O618=0,"",[1]对账明细接口!$O618),"")</f>
        <v/>
      </c>
      <c r="U618" s="21" t="str">
        <f>IFERROR(IF([1]对账明细接口!$P618=0,"",[1]对账明细接口!$P618),"")</f>
        <v/>
      </c>
      <c r="V618" s="21" t="str">
        <f>IFERROR(IF([1]对账明细接口!$Q618=0,"",[1]对账明细接口!$Q618),"")</f>
        <v/>
      </c>
      <c r="W618" s="20" t="str">
        <f>IFERROR(IF([1]对账明细接口!$R618=0,"",[1]对账明细接口!$R618),"")</f>
        <v/>
      </c>
      <c r="X618" s="20" t="str">
        <f>IFERROR(IF([1]对账明细接口!$S618=0,"",[1]对账明细接口!$S618),"")</f>
        <v/>
      </c>
      <c r="Y618" s="20" t="str">
        <f>IFERROR(IF([1]对账明细接口!$T618=0,"",[1]对账明细接口!$T618),"")</f>
        <v/>
      </c>
      <c r="Z618" s="24" t="str">
        <f>IFERROR(IF([1]对账明细接口!$U618=0,"",[1]对账明细接口!$U618),"")</f>
        <v/>
      </c>
      <c r="AA618" s="24" t="str">
        <f>IFERROR(IF([1]对账明细接口!$V618=0,"",[1]对账明细接口!$V618),"")</f>
        <v/>
      </c>
      <c r="AB618" s="20" t="str">
        <f>IFERROR(IF([1]对账明细接口!$W618=0,"",[1]对账明细接口!$W618),"")</f>
        <v/>
      </c>
      <c r="AC618" s="7" t="str">
        <f>IFERROR(IF([1]对账明细接口!$X618=0,"",[1]对账明细接口!$X618),"")</f>
        <v/>
      </c>
      <c r="AD618" s="7" t="str">
        <f>IFERROR(IF([1]对账明细接口!$Y618=0,"",[1]对账明细接口!$Y618),"")</f>
        <v/>
      </c>
      <c r="AE618" s="7" t="str">
        <f>IFERROR(IF([1]对账明细接口!$AA618=0,"",[1]对账明细接口!$AA618),"")</f>
        <v/>
      </c>
      <c r="AF618" s="7" t="str">
        <f>IFERROR(IF([1]对账明细接口!$AB618=0,"",[1]对账明细接口!$AB618),"")</f>
        <v/>
      </c>
      <c r="AG618" s="7" t="str">
        <f>IFERROR(IF([1]对账明细接口!$AC618=0,"",[1]对账明细接口!$AC618),"")</f>
        <v/>
      </c>
      <c r="AH618" s="7" t="str">
        <f>IFERROR(IF([1]对账明细接口!$AD618=0,"",[1]对账明细接口!$AD618),"")</f>
        <v/>
      </c>
      <c r="AI618" s="7" t="str">
        <f>IFERROR(IF([1]对账明细接口!$AE618=0,"",[1]对账明细接口!$AE618),"")</f>
        <v/>
      </c>
      <c r="AJ618" s="7" t="str">
        <f>IFERROR(IF([1]对账明细接口!$AF618=0,"",[1]对账明细接口!$AF618),"")</f>
        <v/>
      </c>
    </row>
    <row r="619" ht="14.25" customHeight="1" spans="1:36">
      <c r="A619" s="14">
        <v>619</v>
      </c>
      <c r="B619" s="15" t="str">
        <f>IFERROR(IF([1]对账明细接口!$B$619=0,"",[1]对账明细接口!$B$619),"")</f>
        <v/>
      </c>
      <c r="C619" s="16" t="str">
        <f>IFERROR(IF([1]对账明细接口!$C$619=0,"",[1]对账明细接口!$C$619),"")</f>
        <v/>
      </c>
      <c r="D619" s="16" t="str">
        <f>IFERROR(IF([1]对账明细接口!$D$619=0,"",[1]对账明细接口!$D$619),"")</f>
        <v/>
      </c>
      <c r="E619" s="16" t="str">
        <f>IFERROR(IF([1]对账明细接口!$E$619=0,"",[1]对账明细接口!$E$619),"")</f>
        <v/>
      </c>
      <c r="F619" s="16" t="str">
        <f>IFERROR(IF([1]对账明细接口!$F$619=0,"",[1]对账明细接口!$F$619),"")</f>
        <v/>
      </c>
      <c r="G619" s="16" t="str">
        <f>IFERROR(IF([1]对账明细接口!$G$619=0,"",[1]对账明细接口!$G$619),"")</f>
        <v/>
      </c>
      <c r="H619" s="17" t="str">
        <f>IFERROR(IF([1]对账明细接口!$H$619=0,"",[1]对账明细接口!$H$619),"")</f>
        <v/>
      </c>
      <c r="I619" s="16" t="str">
        <f>IFERROR(IF([1]对账明细接口!$I$619=0,"",[1]对账明细接口!$I$619),"")</f>
        <v/>
      </c>
      <c r="J619" s="18" t="str">
        <f>IFERROR(IF([1]对账明细接口!$J$619=0,"",[1]对账明细接口!$J$619),"")</f>
        <v/>
      </c>
      <c r="K619" s="18" t="str">
        <f>IFERROR(IF([1]对账明细接口!$K$619=0,"",[1]对账明细接口!$K$619),"")</f>
        <v/>
      </c>
      <c r="L619" s="16" t="str">
        <f>IFERROR(IF([1]对账明细接口!$L$619=0,"",[1]对账明细接口!$L$619),"")</f>
        <v/>
      </c>
      <c r="M619" s="16" t="str">
        <f>IFERROR(IF([1]对账明细接口!$M$619=0,"",[1]对账明细接口!$M$619),"")</f>
        <v/>
      </c>
      <c r="N619" s="19">
        <f t="shared" si="18"/>
        <v>0</v>
      </c>
      <c r="O619" s="19">
        <f t="shared" si="19"/>
        <v>420</v>
      </c>
      <c r="S619" s="20" t="str">
        <f>IFERROR(IF([1]对账明细接口!$N619=0,"",[1]对账明细接口!$N619),"")</f>
        <v/>
      </c>
      <c r="T619" s="21" t="str">
        <f>IFERROR(IF([1]对账明细接口!$O619=0,"",[1]对账明细接口!$O619),"")</f>
        <v/>
      </c>
      <c r="U619" s="21" t="str">
        <f>IFERROR(IF([1]对账明细接口!$P619=0,"",[1]对账明细接口!$P619),"")</f>
        <v/>
      </c>
      <c r="V619" s="21" t="str">
        <f>IFERROR(IF([1]对账明细接口!$Q619=0,"",[1]对账明细接口!$Q619),"")</f>
        <v/>
      </c>
      <c r="W619" s="20" t="str">
        <f>IFERROR(IF([1]对账明细接口!$R619=0,"",[1]对账明细接口!$R619),"")</f>
        <v/>
      </c>
      <c r="X619" s="20" t="str">
        <f>IFERROR(IF([1]对账明细接口!$S619=0,"",[1]对账明细接口!$S619),"")</f>
        <v/>
      </c>
      <c r="Y619" s="20" t="str">
        <f>IFERROR(IF([1]对账明细接口!$T619=0,"",[1]对账明细接口!$T619),"")</f>
        <v/>
      </c>
      <c r="Z619" s="24" t="str">
        <f>IFERROR(IF([1]对账明细接口!$U619=0,"",[1]对账明细接口!$U619),"")</f>
        <v/>
      </c>
      <c r="AA619" s="24" t="str">
        <f>IFERROR(IF([1]对账明细接口!$V619=0,"",[1]对账明细接口!$V619),"")</f>
        <v/>
      </c>
      <c r="AB619" s="20" t="str">
        <f>IFERROR(IF([1]对账明细接口!$W619=0,"",[1]对账明细接口!$W619),"")</f>
        <v/>
      </c>
      <c r="AC619" s="7" t="str">
        <f>IFERROR(IF([1]对账明细接口!$X619=0,"",[1]对账明细接口!$X619),"")</f>
        <v/>
      </c>
      <c r="AD619" s="7" t="str">
        <f>IFERROR(IF([1]对账明细接口!$Y619=0,"",[1]对账明细接口!$Y619),"")</f>
        <v/>
      </c>
      <c r="AE619" s="7" t="str">
        <f>IFERROR(IF([1]对账明细接口!$AA619=0,"",[1]对账明细接口!$AA619),"")</f>
        <v/>
      </c>
      <c r="AF619" s="7" t="str">
        <f>IFERROR(IF([1]对账明细接口!$AB619=0,"",[1]对账明细接口!$AB619),"")</f>
        <v/>
      </c>
      <c r="AG619" s="7" t="str">
        <f>IFERROR(IF([1]对账明细接口!$AC619=0,"",[1]对账明细接口!$AC619),"")</f>
        <v/>
      </c>
      <c r="AH619" s="7" t="str">
        <f>IFERROR(IF([1]对账明细接口!$AD619=0,"",[1]对账明细接口!$AD619),"")</f>
        <v/>
      </c>
      <c r="AI619" s="7" t="str">
        <f>IFERROR(IF([1]对账明细接口!$AE619=0,"",[1]对账明细接口!$AE619),"")</f>
        <v/>
      </c>
      <c r="AJ619" s="7" t="str">
        <f>IFERROR(IF([1]对账明细接口!$AF619=0,"",[1]对账明细接口!$AF619),"")</f>
        <v/>
      </c>
    </row>
    <row r="620" ht="14.25" customHeight="1" spans="1:36">
      <c r="A620" s="14">
        <v>620</v>
      </c>
      <c r="B620" s="15" t="str">
        <f>IFERROR(IF([1]对账明细接口!$B$620=0,"",[1]对账明细接口!$B$620),"")</f>
        <v/>
      </c>
      <c r="C620" s="16" t="str">
        <f>IFERROR(IF([1]对账明细接口!$C$620=0,"",[1]对账明细接口!$C$620),"")</f>
        <v/>
      </c>
      <c r="D620" s="16" t="str">
        <f>IFERROR(IF([1]对账明细接口!$D$620=0,"",[1]对账明细接口!$D$620),"")</f>
        <v/>
      </c>
      <c r="E620" s="16" t="str">
        <f>IFERROR(IF([1]对账明细接口!$E$620=0,"",[1]对账明细接口!$E$620),"")</f>
        <v/>
      </c>
      <c r="F620" s="16" t="str">
        <f>IFERROR(IF([1]对账明细接口!$F$620=0,"",[1]对账明细接口!$F$620),"")</f>
        <v/>
      </c>
      <c r="G620" s="16" t="str">
        <f>IFERROR(IF([1]对账明细接口!$G$620=0,"",[1]对账明细接口!$G$620),"")</f>
        <v/>
      </c>
      <c r="H620" s="17" t="str">
        <f>IFERROR(IF([1]对账明细接口!$H$620=0,"",[1]对账明细接口!$H$620),"")</f>
        <v/>
      </c>
      <c r="I620" s="16" t="str">
        <f>IFERROR(IF([1]对账明细接口!$I$620=0,"",[1]对账明细接口!$I$620),"")</f>
        <v/>
      </c>
      <c r="J620" s="18" t="str">
        <f>IFERROR(IF([1]对账明细接口!$J$620=0,"",[1]对账明细接口!$J$620),"")</f>
        <v/>
      </c>
      <c r="K620" s="18" t="str">
        <f>IFERROR(IF([1]对账明细接口!$K$620=0,"",[1]对账明细接口!$K$620),"")</f>
        <v/>
      </c>
      <c r="L620" s="16" t="str">
        <f>IFERROR(IF([1]对账明细接口!$L$620=0,"",[1]对账明细接口!$L$620),"")</f>
        <v/>
      </c>
      <c r="M620" s="16" t="str">
        <f>IFERROR(IF([1]对账明细接口!$M$620=0,"",[1]对账明细接口!$M$620),"")</f>
        <v/>
      </c>
      <c r="N620" s="19">
        <f t="shared" si="18"/>
        <v>0</v>
      </c>
      <c r="O620" s="19">
        <f t="shared" si="19"/>
        <v>420</v>
      </c>
      <c r="S620" s="20" t="str">
        <f>IFERROR(IF([1]对账明细接口!$N620=0,"",[1]对账明细接口!$N620),"")</f>
        <v/>
      </c>
      <c r="T620" s="21" t="str">
        <f>IFERROR(IF([1]对账明细接口!$O620=0,"",[1]对账明细接口!$O620),"")</f>
        <v/>
      </c>
      <c r="U620" s="21" t="str">
        <f>IFERROR(IF([1]对账明细接口!$P620=0,"",[1]对账明细接口!$P620),"")</f>
        <v/>
      </c>
      <c r="V620" s="21" t="str">
        <f>IFERROR(IF([1]对账明细接口!$Q620=0,"",[1]对账明细接口!$Q620),"")</f>
        <v/>
      </c>
      <c r="W620" s="20" t="str">
        <f>IFERROR(IF([1]对账明细接口!$R620=0,"",[1]对账明细接口!$R620),"")</f>
        <v/>
      </c>
      <c r="X620" s="20" t="str">
        <f>IFERROR(IF([1]对账明细接口!$S620=0,"",[1]对账明细接口!$S620),"")</f>
        <v/>
      </c>
      <c r="Y620" s="20" t="str">
        <f>IFERROR(IF([1]对账明细接口!$T620=0,"",[1]对账明细接口!$T620),"")</f>
        <v/>
      </c>
      <c r="Z620" s="24" t="str">
        <f>IFERROR(IF([1]对账明细接口!$U620=0,"",[1]对账明细接口!$U620),"")</f>
        <v/>
      </c>
      <c r="AA620" s="24" t="str">
        <f>IFERROR(IF([1]对账明细接口!$V620=0,"",[1]对账明细接口!$V620),"")</f>
        <v/>
      </c>
      <c r="AB620" s="20" t="str">
        <f>IFERROR(IF([1]对账明细接口!$W620=0,"",[1]对账明细接口!$W620),"")</f>
        <v/>
      </c>
      <c r="AC620" s="7" t="str">
        <f>IFERROR(IF([1]对账明细接口!$X620=0,"",[1]对账明细接口!$X620),"")</f>
        <v/>
      </c>
      <c r="AD620" s="7" t="str">
        <f>IFERROR(IF([1]对账明细接口!$Y620=0,"",[1]对账明细接口!$Y620),"")</f>
        <v/>
      </c>
      <c r="AE620" s="7" t="str">
        <f>IFERROR(IF([1]对账明细接口!$AA620=0,"",[1]对账明细接口!$AA620),"")</f>
        <v/>
      </c>
      <c r="AF620" s="7" t="str">
        <f>IFERROR(IF([1]对账明细接口!$AB620=0,"",[1]对账明细接口!$AB620),"")</f>
        <v/>
      </c>
      <c r="AG620" s="7" t="str">
        <f>IFERROR(IF([1]对账明细接口!$AC620=0,"",[1]对账明细接口!$AC620),"")</f>
        <v/>
      </c>
      <c r="AH620" s="7" t="str">
        <f>IFERROR(IF([1]对账明细接口!$AD620=0,"",[1]对账明细接口!$AD620),"")</f>
        <v/>
      </c>
      <c r="AI620" s="7" t="str">
        <f>IFERROR(IF([1]对账明细接口!$AE620=0,"",[1]对账明细接口!$AE620),"")</f>
        <v/>
      </c>
      <c r="AJ620" s="7" t="str">
        <f>IFERROR(IF([1]对账明细接口!$AF620=0,"",[1]对账明细接口!$AF620),"")</f>
        <v/>
      </c>
    </row>
    <row r="621" ht="14.25" customHeight="1" spans="1:36">
      <c r="A621" s="14">
        <v>621</v>
      </c>
      <c r="B621" s="15" t="str">
        <f>IFERROR(IF([1]对账明细接口!$B$621=0,"",[1]对账明细接口!$B$621),"")</f>
        <v/>
      </c>
      <c r="C621" s="16" t="str">
        <f>IFERROR(IF([1]对账明细接口!$C$621=0,"",[1]对账明细接口!$C$621),"")</f>
        <v/>
      </c>
      <c r="D621" s="16" t="str">
        <f>IFERROR(IF([1]对账明细接口!$D$621=0,"",[1]对账明细接口!$D$621),"")</f>
        <v/>
      </c>
      <c r="E621" s="16" t="str">
        <f>IFERROR(IF([1]对账明细接口!$E$621=0,"",[1]对账明细接口!$E$621),"")</f>
        <v/>
      </c>
      <c r="F621" s="16" t="str">
        <f>IFERROR(IF([1]对账明细接口!$F$621=0,"",[1]对账明细接口!$F$621),"")</f>
        <v/>
      </c>
      <c r="G621" s="16" t="str">
        <f>IFERROR(IF([1]对账明细接口!$G$621=0,"",[1]对账明细接口!$G$621),"")</f>
        <v/>
      </c>
      <c r="H621" s="17" t="str">
        <f>IFERROR(IF([1]对账明细接口!$H$621=0,"",[1]对账明细接口!$H$621),"")</f>
        <v/>
      </c>
      <c r="I621" s="16" t="str">
        <f>IFERROR(IF([1]对账明细接口!$I$621=0,"",[1]对账明细接口!$I$621),"")</f>
        <v/>
      </c>
      <c r="J621" s="18" t="str">
        <f>IFERROR(IF([1]对账明细接口!$J$621=0,"",[1]对账明细接口!$J$621),"")</f>
        <v/>
      </c>
      <c r="K621" s="18" t="str">
        <f>IFERROR(IF([1]对账明细接口!$K$621=0,"",[1]对账明细接口!$K$621),"")</f>
        <v/>
      </c>
      <c r="L621" s="16" t="str">
        <f>IFERROR(IF([1]对账明细接口!$L$621=0,"",[1]对账明细接口!$L$621),"")</f>
        <v/>
      </c>
      <c r="M621" s="16" t="str">
        <f>IFERROR(IF([1]对账明细接口!$M$621=0,"",[1]对账明细接口!$M$621),"")</f>
        <v/>
      </c>
      <c r="N621" s="19">
        <f t="shared" si="18"/>
        <v>0</v>
      </c>
      <c r="O621" s="19">
        <f t="shared" si="19"/>
        <v>420</v>
      </c>
      <c r="S621" s="20" t="str">
        <f>IFERROR(IF([1]对账明细接口!$N621=0,"",[1]对账明细接口!$N621),"")</f>
        <v/>
      </c>
      <c r="T621" s="21" t="str">
        <f>IFERROR(IF([1]对账明细接口!$O621=0,"",[1]对账明细接口!$O621),"")</f>
        <v/>
      </c>
      <c r="U621" s="21" t="str">
        <f>IFERROR(IF([1]对账明细接口!$P621=0,"",[1]对账明细接口!$P621),"")</f>
        <v/>
      </c>
      <c r="V621" s="21" t="str">
        <f>IFERROR(IF([1]对账明细接口!$Q621=0,"",[1]对账明细接口!$Q621),"")</f>
        <v/>
      </c>
      <c r="W621" s="20" t="str">
        <f>IFERROR(IF([1]对账明细接口!$R621=0,"",[1]对账明细接口!$R621),"")</f>
        <v/>
      </c>
      <c r="X621" s="20" t="str">
        <f>IFERROR(IF([1]对账明细接口!$S621=0,"",[1]对账明细接口!$S621),"")</f>
        <v/>
      </c>
      <c r="Y621" s="20" t="str">
        <f>IFERROR(IF([1]对账明细接口!$T621=0,"",[1]对账明细接口!$T621),"")</f>
        <v/>
      </c>
      <c r="Z621" s="24" t="str">
        <f>IFERROR(IF([1]对账明细接口!$U621=0,"",[1]对账明细接口!$U621),"")</f>
        <v/>
      </c>
      <c r="AA621" s="24" t="str">
        <f>IFERROR(IF([1]对账明细接口!$V621=0,"",[1]对账明细接口!$V621),"")</f>
        <v/>
      </c>
      <c r="AB621" s="20" t="str">
        <f>IFERROR(IF([1]对账明细接口!$W621=0,"",[1]对账明细接口!$W621),"")</f>
        <v/>
      </c>
      <c r="AC621" s="7" t="str">
        <f>IFERROR(IF([1]对账明细接口!$X621=0,"",[1]对账明细接口!$X621),"")</f>
        <v/>
      </c>
      <c r="AD621" s="7" t="str">
        <f>IFERROR(IF([1]对账明细接口!$Y621=0,"",[1]对账明细接口!$Y621),"")</f>
        <v/>
      </c>
      <c r="AE621" s="7" t="str">
        <f>IFERROR(IF([1]对账明细接口!$AA621=0,"",[1]对账明细接口!$AA621),"")</f>
        <v/>
      </c>
      <c r="AF621" s="7" t="str">
        <f>IFERROR(IF([1]对账明细接口!$AB621=0,"",[1]对账明细接口!$AB621),"")</f>
        <v/>
      </c>
      <c r="AG621" s="7" t="str">
        <f>IFERROR(IF([1]对账明细接口!$AC621=0,"",[1]对账明细接口!$AC621),"")</f>
        <v/>
      </c>
      <c r="AH621" s="7" t="str">
        <f>IFERROR(IF([1]对账明细接口!$AD621=0,"",[1]对账明细接口!$AD621),"")</f>
        <v/>
      </c>
      <c r="AI621" s="7" t="str">
        <f>IFERROR(IF([1]对账明细接口!$AE621=0,"",[1]对账明细接口!$AE621),"")</f>
        <v/>
      </c>
      <c r="AJ621" s="7" t="str">
        <f>IFERROR(IF([1]对账明细接口!$AF621=0,"",[1]对账明细接口!$AF621),"")</f>
        <v/>
      </c>
    </row>
    <row r="622" ht="14.25" customHeight="1" spans="1:36">
      <c r="A622" s="14">
        <v>622</v>
      </c>
      <c r="B622" s="15" t="str">
        <f>IFERROR(IF([1]对账明细接口!$B$622=0,"",[1]对账明细接口!$B$622),"")</f>
        <v/>
      </c>
      <c r="C622" s="16" t="str">
        <f>IFERROR(IF([1]对账明细接口!$C$622=0,"",[1]对账明细接口!$C$622),"")</f>
        <v/>
      </c>
      <c r="D622" s="16" t="str">
        <f>IFERROR(IF([1]对账明细接口!$D$622=0,"",[1]对账明细接口!$D$622),"")</f>
        <v/>
      </c>
      <c r="E622" s="16" t="str">
        <f>IFERROR(IF([1]对账明细接口!$E$622=0,"",[1]对账明细接口!$E$622),"")</f>
        <v/>
      </c>
      <c r="F622" s="16" t="str">
        <f>IFERROR(IF([1]对账明细接口!$F$622=0,"",[1]对账明细接口!$F$622),"")</f>
        <v/>
      </c>
      <c r="G622" s="16" t="str">
        <f>IFERROR(IF([1]对账明细接口!$G$622=0,"",[1]对账明细接口!$G$622),"")</f>
        <v/>
      </c>
      <c r="H622" s="17" t="str">
        <f>IFERROR(IF([1]对账明细接口!$H$622=0,"",[1]对账明细接口!$H$622),"")</f>
        <v/>
      </c>
      <c r="I622" s="16" t="str">
        <f>IFERROR(IF([1]对账明细接口!$I$622=0,"",[1]对账明细接口!$I$622),"")</f>
        <v/>
      </c>
      <c r="J622" s="18" t="str">
        <f>IFERROR(IF([1]对账明细接口!$J$622=0,"",[1]对账明细接口!$J$622),"")</f>
        <v/>
      </c>
      <c r="K622" s="18" t="str">
        <f>IFERROR(IF([1]对账明细接口!$K$622=0,"",[1]对账明细接口!$K$622),"")</f>
        <v/>
      </c>
      <c r="L622" s="16" t="str">
        <f>IFERROR(IF([1]对账明细接口!$L$622=0,"",[1]对账明细接口!$L$622),"")</f>
        <v/>
      </c>
      <c r="M622" s="16" t="str">
        <f>IFERROR(IF([1]对账明细接口!$M$622=0,"",[1]对账明细接口!$M$622),"")</f>
        <v/>
      </c>
      <c r="N622" s="19">
        <f t="shared" si="18"/>
        <v>0</v>
      </c>
      <c r="O622" s="19">
        <f t="shared" si="19"/>
        <v>420</v>
      </c>
      <c r="S622" s="20" t="str">
        <f>IFERROR(IF([1]对账明细接口!$N622=0,"",[1]对账明细接口!$N622),"")</f>
        <v/>
      </c>
      <c r="T622" s="21" t="str">
        <f>IFERROR(IF([1]对账明细接口!$O622=0,"",[1]对账明细接口!$O622),"")</f>
        <v/>
      </c>
      <c r="U622" s="21" t="str">
        <f>IFERROR(IF([1]对账明细接口!$P622=0,"",[1]对账明细接口!$P622),"")</f>
        <v/>
      </c>
      <c r="V622" s="21" t="str">
        <f>IFERROR(IF([1]对账明细接口!$Q622=0,"",[1]对账明细接口!$Q622),"")</f>
        <v/>
      </c>
      <c r="W622" s="20" t="str">
        <f>IFERROR(IF([1]对账明细接口!$R622=0,"",[1]对账明细接口!$R622),"")</f>
        <v/>
      </c>
      <c r="X622" s="20" t="str">
        <f>IFERROR(IF([1]对账明细接口!$S622=0,"",[1]对账明细接口!$S622),"")</f>
        <v/>
      </c>
      <c r="Y622" s="20" t="str">
        <f>IFERROR(IF([1]对账明细接口!$T622=0,"",[1]对账明细接口!$T622),"")</f>
        <v/>
      </c>
      <c r="Z622" s="24" t="str">
        <f>IFERROR(IF([1]对账明细接口!$U622=0,"",[1]对账明细接口!$U622),"")</f>
        <v/>
      </c>
      <c r="AA622" s="24" t="str">
        <f>IFERROR(IF([1]对账明细接口!$V622=0,"",[1]对账明细接口!$V622),"")</f>
        <v/>
      </c>
      <c r="AB622" s="20" t="str">
        <f>IFERROR(IF([1]对账明细接口!$W622=0,"",[1]对账明细接口!$W622),"")</f>
        <v/>
      </c>
      <c r="AC622" s="7" t="str">
        <f>IFERROR(IF([1]对账明细接口!$X622=0,"",[1]对账明细接口!$X622),"")</f>
        <v/>
      </c>
      <c r="AD622" s="7" t="str">
        <f>IFERROR(IF([1]对账明细接口!$Y622=0,"",[1]对账明细接口!$Y622),"")</f>
        <v/>
      </c>
      <c r="AE622" s="7" t="str">
        <f>IFERROR(IF([1]对账明细接口!$AA622=0,"",[1]对账明细接口!$AA622),"")</f>
        <v/>
      </c>
      <c r="AF622" s="7" t="str">
        <f>IFERROR(IF([1]对账明细接口!$AB622=0,"",[1]对账明细接口!$AB622),"")</f>
        <v/>
      </c>
      <c r="AG622" s="7" t="str">
        <f>IFERROR(IF([1]对账明细接口!$AC622=0,"",[1]对账明细接口!$AC622),"")</f>
        <v/>
      </c>
      <c r="AH622" s="7" t="str">
        <f>IFERROR(IF([1]对账明细接口!$AD622=0,"",[1]对账明细接口!$AD622),"")</f>
        <v/>
      </c>
      <c r="AI622" s="7" t="str">
        <f>IFERROR(IF([1]对账明细接口!$AE622=0,"",[1]对账明细接口!$AE622),"")</f>
        <v/>
      </c>
      <c r="AJ622" s="7" t="str">
        <f>IFERROR(IF([1]对账明细接口!$AF622=0,"",[1]对账明细接口!$AF622),"")</f>
        <v/>
      </c>
    </row>
    <row r="623" ht="14.25" customHeight="1" spans="1:36">
      <c r="A623" s="14">
        <v>623</v>
      </c>
      <c r="B623" s="15" t="str">
        <f>IFERROR(IF([1]对账明细接口!$B$623=0,"",[1]对账明细接口!$B$623),"")</f>
        <v/>
      </c>
      <c r="C623" s="16" t="str">
        <f>IFERROR(IF([1]对账明细接口!$C$623=0,"",[1]对账明细接口!$C$623),"")</f>
        <v/>
      </c>
      <c r="D623" s="16" t="str">
        <f>IFERROR(IF([1]对账明细接口!$D$623=0,"",[1]对账明细接口!$D$623),"")</f>
        <v/>
      </c>
      <c r="E623" s="16" t="str">
        <f>IFERROR(IF([1]对账明细接口!$E$623=0,"",[1]对账明细接口!$E$623),"")</f>
        <v/>
      </c>
      <c r="F623" s="16" t="str">
        <f>IFERROR(IF([1]对账明细接口!$F$623=0,"",[1]对账明细接口!$F$623),"")</f>
        <v/>
      </c>
      <c r="G623" s="16" t="str">
        <f>IFERROR(IF([1]对账明细接口!$G$623=0,"",[1]对账明细接口!$G$623),"")</f>
        <v/>
      </c>
      <c r="H623" s="17" t="str">
        <f>IFERROR(IF([1]对账明细接口!$H$623=0,"",[1]对账明细接口!$H$623),"")</f>
        <v/>
      </c>
      <c r="I623" s="16" t="str">
        <f>IFERROR(IF([1]对账明细接口!$I$623=0,"",[1]对账明细接口!$I$623),"")</f>
        <v/>
      </c>
      <c r="J623" s="18" t="str">
        <f>IFERROR(IF([1]对账明细接口!$J$623=0,"",[1]对账明细接口!$J$623),"")</f>
        <v/>
      </c>
      <c r="K623" s="18" t="str">
        <f>IFERROR(IF([1]对账明细接口!$K$623=0,"",[1]对账明细接口!$K$623),"")</f>
        <v/>
      </c>
      <c r="L623" s="16" t="str">
        <f>IFERROR(IF([1]对账明细接口!$L$623=0,"",[1]对账明细接口!$L$623),"")</f>
        <v/>
      </c>
      <c r="M623" s="16" t="str">
        <f>IFERROR(IF([1]对账明细接口!$M$623=0,"",[1]对账明细接口!$M$623),"")</f>
        <v/>
      </c>
      <c r="N623" s="19">
        <f t="shared" si="18"/>
        <v>0</v>
      </c>
      <c r="O623" s="19">
        <f t="shared" si="19"/>
        <v>420</v>
      </c>
      <c r="S623" s="20" t="str">
        <f>IFERROR(IF([1]对账明细接口!$N623=0,"",[1]对账明细接口!$N623),"")</f>
        <v/>
      </c>
      <c r="T623" s="21" t="str">
        <f>IFERROR(IF([1]对账明细接口!$O623=0,"",[1]对账明细接口!$O623),"")</f>
        <v/>
      </c>
      <c r="U623" s="21" t="str">
        <f>IFERROR(IF([1]对账明细接口!$P623=0,"",[1]对账明细接口!$P623),"")</f>
        <v/>
      </c>
      <c r="V623" s="21" t="str">
        <f>IFERROR(IF([1]对账明细接口!$Q623=0,"",[1]对账明细接口!$Q623),"")</f>
        <v/>
      </c>
      <c r="W623" s="20" t="str">
        <f>IFERROR(IF([1]对账明细接口!$R623=0,"",[1]对账明细接口!$R623),"")</f>
        <v/>
      </c>
      <c r="X623" s="20" t="str">
        <f>IFERROR(IF([1]对账明细接口!$S623=0,"",[1]对账明细接口!$S623),"")</f>
        <v/>
      </c>
      <c r="Y623" s="20" t="str">
        <f>IFERROR(IF([1]对账明细接口!$T623=0,"",[1]对账明细接口!$T623),"")</f>
        <v/>
      </c>
      <c r="Z623" s="24" t="str">
        <f>IFERROR(IF([1]对账明细接口!$U623=0,"",[1]对账明细接口!$U623),"")</f>
        <v/>
      </c>
      <c r="AA623" s="24" t="str">
        <f>IFERROR(IF([1]对账明细接口!$V623=0,"",[1]对账明细接口!$V623),"")</f>
        <v/>
      </c>
      <c r="AB623" s="20" t="str">
        <f>IFERROR(IF([1]对账明细接口!$W623=0,"",[1]对账明细接口!$W623),"")</f>
        <v/>
      </c>
      <c r="AC623" s="7" t="str">
        <f>IFERROR(IF([1]对账明细接口!$X623=0,"",[1]对账明细接口!$X623),"")</f>
        <v/>
      </c>
      <c r="AD623" s="7" t="str">
        <f>IFERROR(IF([1]对账明细接口!$Y623=0,"",[1]对账明细接口!$Y623),"")</f>
        <v/>
      </c>
      <c r="AE623" s="7" t="str">
        <f>IFERROR(IF([1]对账明细接口!$AA623=0,"",[1]对账明细接口!$AA623),"")</f>
        <v/>
      </c>
      <c r="AF623" s="7" t="str">
        <f>IFERROR(IF([1]对账明细接口!$AB623=0,"",[1]对账明细接口!$AB623),"")</f>
        <v/>
      </c>
      <c r="AG623" s="7" t="str">
        <f>IFERROR(IF([1]对账明细接口!$AC623=0,"",[1]对账明细接口!$AC623),"")</f>
        <v/>
      </c>
      <c r="AH623" s="7" t="str">
        <f>IFERROR(IF([1]对账明细接口!$AD623=0,"",[1]对账明细接口!$AD623),"")</f>
        <v/>
      </c>
      <c r="AI623" s="7" t="str">
        <f>IFERROR(IF([1]对账明细接口!$AE623=0,"",[1]对账明细接口!$AE623),"")</f>
        <v/>
      </c>
      <c r="AJ623" s="7" t="str">
        <f>IFERROR(IF([1]对账明细接口!$AF623=0,"",[1]对账明细接口!$AF623),"")</f>
        <v/>
      </c>
    </row>
    <row r="624" ht="14.25" customHeight="1" spans="1:36">
      <c r="A624" s="14">
        <v>624</v>
      </c>
      <c r="B624" s="15" t="str">
        <f>IFERROR(IF([1]对账明细接口!$B$624=0,"",[1]对账明细接口!$B$624),"")</f>
        <v/>
      </c>
      <c r="C624" s="16" t="str">
        <f>IFERROR(IF([1]对账明细接口!$C$624=0,"",[1]对账明细接口!$C$624),"")</f>
        <v/>
      </c>
      <c r="D624" s="16" t="str">
        <f>IFERROR(IF([1]对账明细接口!$D$624=0,"",[1]对账明细接口!$D$624),"")</f>
        <v/>
      </c>
      <c r="E624" s="16" t="str">
        <f>IFERROR(IF([1]对账明细接口!$E$624=0,"",[1]对账明细接口!$E$624),"")</f>
        <v/>
      </c>
      <c r="F624" s="16" t="str">
        <f>IFERROR(IF([1]对账明细接口!$F$624=0,"",[1]对账明细接口!$F$624),"")</f>
        <v/>
      </c>
      <c r="G624" s="16" t="str">
        <f>IFERROR(IF([1]对账明细接口!$G$624=0,"",[1]对账明细接口!$G$624),"")</f>
        <v/>
      </c>
      <c r="H624" s="17" t="str">
        <f>IFERROR(IF([1]对账明细接口!$H$624=0,"",[1]对账明细接口!$H$624),"")</f>
        <v/>
      </c>
      <c r="I624" s="16" t="str">
        <f>IFERROR(IF([1]对账明细接口!$I$624=0,"",[1]对账明细接口!$I$624),"")</f>
        <v/>
      </c>
      <c r="J624" s="18" t="str">
        <f>IFERROR(IF([1]对账明细接口!$J$624=0,"",[1]对账明细接口!$J$624),"")</f>
        <v/>
      </c>
      <c r="K624" s="18" t="str">
        <f>IFERROR(IF([1]对账明细接口!$K$624=0,"",[1]对账明细接口!$K$624),"")</f>
        <v/>
      </c>
      <c r="L624" s="16" t="str">
        <f>IFERROR(IF([1]对账明细接口!$L$624=0,"",[1]对账明细接口!$L$624),"")</f>
        <v/>
      </c>
      <c r="M624" s="16" t="str">
        <f>IFERROR(IF([1]对账明细接口!$M$624=0,"",[1]对账明细接口!$M$624),"")</f>
        <v/>
      </c>
      <c r="N624" s="19">
        <f t="shared" si="18"/>
        <v>0</v>
      </c>
      <c r="O624" s="19">
        <f t="shared" si="19"/>
        <v>420</v>
      </c>
      <c r="S624" s="20" t="str">
        <f>IFERROR(IF([1]对账明细接口!$N624=0,"",[1]对账明细接口!$N624),"")</f>
        <v/>
      </c>
      <c r="T624" s="21" t="str">
        <f>IFERROR(IF([1]对账明细接口!$O624=0,"",[1]对账明细接口!$O624),"")</f>
        <v/>
      </c>
      <c r="U624" s="21" t="str">
        <f>IFERROR(IF([1]对账明细接口!$P624=0,"",[1]对账明细接口!$P624),"")</f>
        <v/>
      </c>
      <c r="V624" s="21" t="str">
        <f>IFERROR(IF([1]对账明细接口!$Q624=0,"",[1]对账明细接口!$Q624),"")</f>
        <v/>
      </c>
      <c r="W624" s="20" t="str">
        <f>IFERROR(IF([1]对账明细接口!$R624=0,"",[1]对账明细接口!$R624),"")</f>
        <v/>
      </c>
      <c r="X624" s="20" t="str">
        <f>IFERROR(IF([1]对账明细接口!$S624=0,"",[1]对账明细接口!$S624),"")</f>
        <v/>
      </c>
      <c r="Y624" s="20" t="str">
        <f>IFERROR(IF([1]对账明细接口!$T624=0,"",[1]对账明细接口!$T624),"")</f>
        <v/>
      </c>
      <c r="Z624" s="24" t="str">
        <f>IFERROR(IF([1]对账明细接口!$U624=0,"",[1]对账明细接口!$U624),"")</f>
        <v/>
      </c>
      <c r="AA624" s="24" t="str">
        <f>IFERROR(IF([1]对账明细接口!$V624=0,"",[1]对账明细接口!$V624),"")</f>
        <v/>
      </c>
      <c r="AB624" s="20" t="str">
        <f>IFERROR(IF([1]对账明细接口!$W624=0,"",[1]对账明细接口!$W624),"")</f>
        <v/>
      </c>
      <c r="AC624" s="7" t="str">
        <f>IFERROR(IF([1]对账明细接口!$X624=0,"",[1]对账明细接口!$X624),"")</f>
        <v/>
      </c>
      <c r="AD624" s="7" t="str">
        <f>IFERROR(IF([1]对账明细接口!$Y624=0,"",[1]对账明细接口!$Y624),"")</f>
        <v/>
      </c>
      <c r="AE624" s="7" t="str">
        <f>IFERROR(IF([1]对账明细接口!$AA624=0,"",[1]对账明细接口!$AA624),"")</f>
        <v/>
      </c>
      <c r="AF624" s="7" t="str">
        <f>IFERROR(IF([1]对账明细接口!$AB624=0,"",[1]对账明细接口!$AB624),"")</f>
        <v/>
      </c>
      <c r="AG624" s="7" t="str">
        <f>IFERROR(IF([1]对账明细接口!$AC624=0,"",[1]对账明细接口!$AC624),"")</f>
        <v/>
      </c>
      <c r="AH624" s="7" t="str">
        <f>IFERROR(IF([1]对账明细接口!$AD624=0,"",[1]对账明细接口!$AD624),"")</f>
        <v/>
      </c>
      <c r="AI624" s="7" t="str">
        <f>IFERROR(IF([1]对账明细接口!$AE624=0,"",[1]对账明细接口!$AE624),"")</f>
        <v/>
      </c>
      <c r="AJ624" s="7" t="str">
        <f>IFERROR(IF([1]对账明细接口!$AF624=0,"",[1]对账明细接口!$AF624),"")</f>
        <v/>
      </c>
    </row>
    <row r="625" ht="14.25" customHeight="1" spans="1:36">
      <c r="A625" s="14">
        <v>625</v>
      </c>
      <c r="B625" s="15" t="str">
        <f>IFERROR(IF([1]对账明细接口!$B$625=0,"",[1]对账明细接口!$B$625),"")</f>
        <v/>
      </c>
      <c r="C625" s="16" t="str">
        <f>IFERROR(IF([1]对账明细接口!$C$625=0,"",[1]对账明细接口!$C$625),"")</f>
        <v/>
      </c>
      <c r="D625" s="16" t="str">
        <f>IFERROR(IF([1]对账明细接口!$D$625=0,"",[1]对账明细接口!$D$625),"")</f>
        <v/>
      </c>
      <c r="E625" s="16" t="str">
        <f>IFERROR(IF([1]对账明细接口!$E$625=0,"",[1]对账明细接口!$E$625),"")</f>
        <v/>
      </c>
      <c r="F625" s="16" t="str">
        <f>IFERROR(IF([1]对账明细接口!$F$625=0,"",[1]对账明细接口!$F$625),"")</f>
        <v/>
      </c>
      <c r="G625" s="16" t="str">
        <f>IFERROR(IF([1]对账明细接口!$G$625=0,"",[1]对账明细接口!$G$625),"")</f>
        <v/>
      </c>
      <c r="H625" s="17" t="str">
        <f>IFERROR(IF([1]对账明细接口!$H$625=0,"",[1]对账明细接口!$H$625),"")</f>
        <v/>
      </c>
      <c r="I625" s="16" t="str">
        <f>IFERROR(IF([1]对账明细接口!$I$625=0,"",[1]对账明细接口!$I$625),"")</f>
        <v/>
      </c>
      <c r="J625" s="18" t="str">
        <f>IFERROR(IF([1]对账明细接口!$J$625=0,"",[1]对账明细接口!$J$625),"")</f>
        <v/>
      </c>
      <c r="K625" s="18" t="str">
        <f>IFERROR(IF([1]对账明细接口!$K$625=0,"",[1]对账明细接口!$K$625),"")</f>
        <v/>
      </c>
      <c r="L625" s="16" t="str">
        <f>IFERROR(IF([1]对账明细接口!$L$625=0,"",[1]对账明细接口!$L$625),"")</f>
        <v/>
      </c>
      <c r="M625" s="16" t="str">
        <f>IFERROR(IF([1]对账明细接口!$M$625=0,"",[1]对账明细接口!$M$625),"")</f>
        <v/>
      </c>
      <c r="N625" s="19">
        <f t="shared" si="18"/>
        <v>0</v>
      </c>
      <c r="O625" s="19">
        <f t="shared" si="19"/>
        <v>420</v>
      </c>
      <c r="S625" s="20" t="str">
        <f>IFERROR(IF([1]对账明细接口!$N625=0,"",[1]对账明细接口!$N625),"")</f>
        <v/>
      </c>
      <c r="T625" s="21" t="str">
        <f>IFERROR(IF([1]对账明细接口!$O625=0,"",[1]对账明细接口!$O625),"")</f>
        <v/>
      </c>
      <c r="U625" s="21" t="str">
        <f>IFERROR(IF([1]对账明细接口!$P625=0,"",[1]对账明细接口!$P625),"")</f>
        <v/>
      </c>
      <c r="V625" s="21" t="str">
        <f>IFERROR(IF([1]对账明细接口!$Q625=0,"",[1]对账明细接口!$Q625),"")</f>
        <v/>
      </c>
      <c r="W625" s="20" t="str">
        <f>IFERROR(IF([1]对账明细接口!$R625=0,"",[1]对账明细接口!$R625),"")</f>
        <v/>
      </c>
      <c r="X625" s="20" t="str">
        <f>IFERROR(IF([1]对账明细接口!$S625=0,"",[1]对账明细接口!$S625),"")</f>
        <v/>
      </c>
      <c r="Y625" s="20" t="str">
        <f>IFERROR(IF([1]对账明细接口!$T625=0,"",[1]对账明细接口!$T625),"")</f>
        <v/>
      </c>
      <c r="Z625" s="24" t="str">
        <f>IFERROR(IF([1]对账明细接口!$U625=0,"",[1]对账明细接口!$U625),"")</f>
        <v/>
      </c>
      <c r="AA625" s="24" t="str">
        <f>IFERROR(IF([1]对账明细接口!$V625=0,"",[1]对账明细接口!$V625),"")</f>
        <v/>
      </c>
      <c r="AB625" s="20" t="str">
        <f>IFERROR(IF([1]对账明细接口!$W625=0,"",[1]对账明细接口!$W625),"")</f>
        <v/>
      </c>
      <c r="AC625" s="7" t="str">
        <f>IFERROR(IF([1]对账明细接口!$X625=0,"",[1]对账明细接口!$X625),"")</f>
        <v/>
      </c>
      <c r="AD625" s="7" t="str">
        <f>IFERROR(IF([1]对账明细接口!$Y625=0,"",[1]对账明细接口!$Y625),"")</f>
        <v/>
      </c>
      <c r="AE625" s="7" t="str">
        <f>IFERROR(IF([1]对账明细接口!$AA625=0,"",[1]对账明细接口!$AA625),"")</f>
        <v/>
      </c>
      <c r="AF625" s="7" t="str">
        <f>IFERROR(IF([1]对账明细接口!$AB625=0,"",[1]对账明细接口!$AB625),"")</f>
        <v/>
      </c>
      <c r="AG625" s="7" t="str">
        <f>IFERROR(IF([1]对账明细接口!$AC625=0,"",[1]对账明细接口!$AC625),"")</f>
        <v/>
      </c>
      <c r="AH625" s="7" t="str">
        <f>IFERROR(IF([1]对账明细接口!$AD625=0,"",[1]对账明细接口!$AD625),"")</f>
        <v/>
      </c>
      <c r="AI625" s="7" t="str">
        <f>IFERROR(IF([1]对账明细接口!$AE625=0,"",[1]对账明细接口!$AE625),"")</f>
        <v/>
      </c>
      <c r="AJ625" s="7" t="str">
        <f>IFERROR(IF([1]对账明细接口!$AF625=0,"",[1]对账明细接口!$AF625),"")</f>
        <v/>
      </c>
    </row>
    <row r="626" ht="14.25" customHeight="1" spans="1:36">
      <c r="A626" s="14">
        <v>626</v>
      </c>
      <c r="B626" s="15" t="str">
        <f>IFERROR(IF([1]对账明细接口!$B$626=0,"",[1]对账明细接口!$B$626),"")</f>
        <v/>
      </c>
      <c r="C626" s="16" t="str">
        <f>IFERROR(IF([1]对账明细接口!$C$626=0,"",[1]对账明细接口!$C$626),"")</f>
        <v/>
      </c>
      <c r="D626" s="16" t="str">
        <f>IFERROR(IF([1]对账明细接口!$D$626=0,"",[1]对账明细接口!$D$626),"")</f>
        <v/>
      </c>
      <c r="E626" s="16" t="str">
        <f>IFERROR(IF([1]对账明细接口!$E$626=0,"",[1]对账明细接口!$E$626),"")</f>
        <v/>
      </c>
      <c r="F626" s="16" t="str">
        <f>IFERROR(IF([1]对账明细接口!$F$626=0,"",[1]对账明细接口!$F$626),"")</f>
        <v/>
      </c>
      <c r="G626" s="16" t="str">
        <f>IFERROR(IF([1]对账明细接口!$G$626=0,"",[1]对账明细接口!$G$626),"")</f>
        <v/>
      </c>
      <c r="H626" s="17" t="str">
        <f>IFERROR(IF([1]对账明细接口!$H$626=0,"",[1]对账明细接口!$H$626),"")</f>
        <v/>
      </c>
      <c r="I626" s="16" t="str">
        <f>IFERROR(IF([1]对账明细接口!$I$626=0,"",[1]对账明细接口!$I$626),"")</f>
        <v/>
      </c>
      <c r="J626" s="18" t="str">
        <f>IFERROR(IF([1]对账明细接口!$J$626=0,"",[1]对账明细接口!$J$626),"")</f>
        <v/>
      </c>
      <c r="K626" s="18" t="str">
        <f>IFERROR(IF([1]对账明细接口!$K$626=0,"",[1]对账明细接口!$K$626),"")</f>
        <v/>
      </c>
      <c r="L626" s="16" t="str">
        <f>IFERROR(IF([1]对账明细接口!$L$626=0,"",[1]对账明细接口!$L$626),"")</f>
        <v/>
      </c>
      <c r="M626" s="16" t="str">
        <f>IFERROR(IF([1]对账明细接口!$M$626=0,"",[1]对账明细接口!$M$626),"")</f>
        <v/>
      </c>
      <c r="N626" s="19">
        <f t="shared" si="18"/>
        <v>0</v>
      </c>
      <c r="O626" s="19">
        <f t="shared" si="19"/>
        <v>420</v>
      </c>
      <c r="S626" s="20" t="str">
        <f>IFERROR(IF([1]对账明细接口!$N626=0,"",[1]对账明细接口!$N626),"")</f>
        <v/>
      </c>
      <c r="T626" s="21" t="str">
        <f>IFERROR(IF([1]对账明细接口!$O626=0,"",[1]对账明细接口!$O626),"")</f>
        <v/>
      </c>
      <c r="U626" s="21" t="str">
        <f>IFERROR(IF([1]对账明细接口!$P626=0,"",[1]对账明细接口!$P626),"")</f>
        <v/>
      </c>
      <c r="V626" s="21" t="str">
        <f>IFERROR(IF([1]对账明细接口!$Q626=0,"",[1]对账明细接口!$Q626),"")</f>
        <v/>
      </c>
      <c r="W626" s="20" t="str">
        <f>IFERROR(IF([1]对账明细接口!$R626=0,"",[1]对账明细接口!$R626),"")</f>
        <v/>
      </c>
      <c r="X626" s="20" t="str">
        <f>IFERROR(IF([1]对账明细接口!$S626=0,"",[1]对账明细接口!$S626),"")</f>
        <v/>
      </c>
      <c r="Y626" s="20" t="str">
        <f>IFERROR(IF([1]对账明细接口!$T626=0,"",[1]对账明细接口!$T626),"")</f>
        <v/>
      </c>
      <c r="Z626" s="24" t="str">
        <f>IFERROR(IF([1]对账明细接口!$U626=0,"",[1]对账明细接口!$U626),"")</f>
        <v/>
      </c>
      <c r="AA626" s="24" t="str">
        <f>IFERROR(IF([1]对账明细接口!$V626=0,"",[1]对账明细接口!$V626),"")</f>
        <v/>
      </c>
      <c r="AB626" s="20" t="str">
        <f>IFERROR(IF([1]对账明细接口!$W626=0,"",[1]对账明细接口!$W626),"")</f>
        <v/>
      </c>
      <c r="AC626" s="7" t="str">
        <f>IFERROR(IF([1]对账明细接口!$X626=0,"",[1]对账明细接口!$X626),"")</f>
        <v/>
      </c>
      <c r="AD626" s="7" t="str">
        <f>IFERROR(IF([1]对账明细接口!$Y626=0,"",[1]对账明细接口!$Y626),"")</f>
        <v/>
      </c>
      <c r="AE626" s="7" t="str">
        <f>IFERROR(IF([1]对账明细接口!$AA626=0,"",[1]对账明细接口!$AA626),"")</f>
        <v/>
      </c>
      <c r="AF626" s="7" t="str">
        <f>IFERROR(IF([1]对账明细接口!$AB626=0,"",[1]对账明细接口!$AB626),"")</f>
        <v/>
      </c>
      <c r="AG626" s="7" t="str">
        <f>IFERROR(IF([1]对账明细接口!$AC626=0,"",[1]对账明细接口!$AC626),"")</f>
        <v/>
      </c>
      <c r="AH626" s="7" t="str">
        <f>IFERROR(IF([1]对账明细接口!$AD626=0,"",[1]对账明细接口!$AD626),"")</f>
        <v/>
      </c>
      <c r="AI626" s="7" t="str">
        <f>IFERROR(IF([1]对账明细接口!$AE626=0,"",[1]对账明细接口!$AE626),"")</f>
        <v/>
      </c>
      <c r="AJ626" s="7" t="str">
        <f>IFERROR(IF([1]对账明细接口!$AF626=0,"",[1]对账明细接口!$AF626),"")</f>
        <v/>
      </c>
    </row>
    <row r="627" ht="14.25" customHeight="1" spans="1:36">
      <c r="A627" s="14">
        <v>627</v>
      </c>
      <c r="B627" s="15" t="str">
        <f>IFERROR(IF([1]对账明细接口!$B$627=0,"",[1]对账明细接口!$B$627),"")</f>
        <v/>
      </c>
      <c r="C627" s="16" t="str">
        <f>IFERROR(IF([1]对账明细接口!$C$627=0,"",[1]对账明细接口!$C$627),"")</f>
        <v/>
      </c>
      <c r="D627" s="16" t="str">
        <f>IFERROR(IF([1]对账明细接口!$D$627=0,"",[1]对账明细接口!$D$627),"")</f>
        <v/>
      </c>
      <c r="E627" s="16" t="str">
        <f>IFERROR(IF([1]对账明细接口!$E$627=0,"",[1]对账明细接口!$E$627),"")</f>
        <v/>
      </c>
      <c r="F627" s="16" t="str">
        <f>IFERROR(IF([1]对账明细接口!$F$627=0,"",[1]对账明细接口!$F$627),"")</f>
        <v/>
      </c>
      <c r="G627" s="16" t="str">
        <f>IFERROR(IF([1]对账明细接口!$G$627=0,"",[1]对账明细接口!$G$627),"")</f>
        <v/>
      </c>
      <c r="H627" s="17" t="str">
        <f>IFERROR(IF([1]对账明细接口!$H$627=0,"",[1]对账明细接口!$H$627),"")</f>
        <v/>
      </c>
      <c r="I627" s="16" t="str">
        <f>IFERROR(IF([1]对账明细接口!$I$627=0,"",[1]对账明细接口!$I$627),"")</f>
        <v/>
      </c>
      <c r="J627" s="18" t="str">
        <f>IFERROR(IF([1]对账明细接口!$J$627=0,"",[1]对账明细接口!$J$627),"")</f>
        <v/>
      </c>
      <c r="K627" s="18" t="str">
        <f>IFERROR(IF([1]对账明细接口!$K$627=0,"",[1]对账明细接口!$K$627),"")</f>
        <v/>
      </c>
      <c r="L627" s="16" t="str">
        <f>IFERROR(IF([1]对账明细接口!$L$627=0,"",[1]对账明细接口!$L$627),"")</f>
        <v/>
      </c>
      <c r="M627" s="16" t="str">
        <f>IFERROR(IF([1]对账明细接口!$M$627=0,"",[1]对账明细接口!$M$627),"")</f>
        <v/>
      </c>
      <c r="N627" s="19">
        <f t="shared" si="18"/>
        <v>0</v>
      </c>
      <c r="O627" s="19">
        <f t="shared" si="19"/>
        <v>420</v>
      </c>
      <c r="S627" s="20" t="str">
        <f>IFERROR(IF([1]对账明细接口!$N627=0,"",[1]对账明细接口!$N627),"")</f>
        <v/>
      </c>
      <c r="T627" s="21" t="str">
        <f>IFERROR(IF([1]对账明细接口!$O627=0,"",[1]对账明细接口!$O627),"")</f>
        <v/>
      </c>
      <c r="U627" s="21" t="str">
        <f>IFERROR(IF([1]对账明细接口!$P627=0,"",[1]对账明细接口!$P627),"")</f>
        <v/>
      </c>
      <c r="V627" s="21" t="str">
        <f>IFERROR(IF([1]对账明细接口!$Q627=0,"",[1]对账明细接口!$Q627),"")</f>
        <v/>
      </c>
      <c r="W627" s="20" t="str">
        <f>IFERROR(IF([1]对账明细接口!$R627=0,"",[1]对账明细接口!$R627),"")</f>
        <v/>
      </c>
      <c r="X627" s="20" t="str">
        <f>IFERROR(IF([1]对账明细接口!$S627=0,"",[1]对账明细接口!$S627),"")</f>
        <v/>
      </c>
      <c r="Y627" s="20" t="str">
        <f>IFERROR(IF([1]对账明细接口!$T627=0,"",[1]对账明细接口!$T627),"")</f>
        <v/>
      </c>
      <c r="Z627" s="24" t="str">
        <f>IFERROR(IF([1]对账明细接口!$U627=0,"",[1]对账明细接口!$U627),"")</f>
        <v/>
      </c>
      <c r="AA627" s="24" t="str">
        <f>IFERROR(IF([1]对账明细接口!$V627=0,"",[1]对账明细接口!$V627),"")</f>
        <v/>
      </c>
      <c r="AB627" s="20" t="str">
        <f>IFERROR(IF([1]对账明细接口!$W627=0,"",[1]对账明细接口!$W627),"")</f>
        <v/>
      </c>
      <c r="AC627" s="7" t="str">
        <f>IFERROR(IF([1]对账明细接口!$X627=0,"",[1]对账明细接口!$X627),"")</f>
        <v/>
      </c>
      <c r="AD627" s="7" t="str">
        <f>IFERROR(IF([1]对账明细接口!$Y627=0,"",[1]对账明细接口!$Y627),"")</f>
        <v/>
      </c>
      <c r="AE627" s="7" t="str">
        <f>IFERROR(IF([1]对账明细接口!$AA627=0,"",[1]对账明细接口!$AA627),"")</f>
        <v/>
      </c>
      <c r="AF627" s="7" t="str">
        <f>IFERROR(IF([1]对账明细接口!$AB627=0,"",[1]对账明细接口!$AB627),"")</f>
        <v/>
      </c>
      <c r="AG627" s="7" t="str">
        <f>IFERROR(IF([1]对账明细接口!$AC627=0,"",[1]对账明细接口!$AC627),"")</f>
        <v/>
      </c>
      <c r="AH627" s="7" t="str">
        <f>IFERROR(IF([1]对账明细接口!$AD627=0,"",[1]对账明细接口!$AD627),"")</f>
        <v/>
      </c>
      <c r="AI627" s="7" t="str">
        <f>IFERROR(IF([1]对账明细接口!$AE627=0,"",[1]对账明细接口!$AE627),"")</f>
        <v/>
      </c>
      <c r="AJ627" s="7" t="str">
        <f>IFERROR(IF([1]对账明细接口!$AF627=0,"",[1]对账明细接口!$AF627),"")</f>
        <v/>
      </c>
    </row>
    <row r="628" ht="14.25" customHeight="1" spans="1:36">
      <c r="A628" s="14">
        <v>628</v>
      </c>
      <c r="B628" s="15" t="str">
        <f>IFERROR(IF([1]对账明细接口!$B$628=0,"",[1]对账明细接口!$B$628),"")</f>
        <v/>
      </c>
      <c r="C628" s="16" t="str">
        <f>IFERROR(IF([1]对账明细接口!$C$628=0,"",[1]对账明细接口!$C$628),"")</f>
        <v/>
      </c>
      <c r="D628" s="16" t="str">
        <f>IFERROR(IF([1]对账明细接口!$D$628=0,"",[1]对账明细接口!$D$628),"")</f>
        <v/>
      </c>
      <c r="E628" s="16" t="str">
        <f>IFERROR(IF([1]对账明细接口!$E$628=0,"",[1]对账明细接口!$E$628),"")</f>
        <v/>
      </c>
      <c r="F628" s="16" t="str">
        <f>IFERROR(IF([1]对账明细接口!$F$628=0,"",[1]对账明细接口!$F$628),"")</f>
        <v/>
      </c>
      <c r="G628" s="16" t="str">
        <f>IFERROR(IF([1]对账明细接口!$G$628=0,"",[1]对账明细接口!$G$628),"")</f>
        <v/>
      </c>
      <c r="H628" s="17" t="str">
        <f>IFERROR(IF([1]对账明细接口!$H$628=0,"",[1]对账明细接口!$H$628),"")</f>
        <v/>
      </c>
      <c r="I628" s="16" t="str">
        <f>IFERROR(IF([1]对账明细接口!$I$628=0,"",[1]对账明细接口!$I$628),"")</f>
        <v/>
      </c>
      <c r="J628" s="18" t="str">
        <f>IFERROR(IF([1]对账明细接口!$J$628=0,"",[1]对账明细接口!$J$628),"")</f>
        <v/>
      </c>
      <c r="K628" s="18" t="str">
        <f>IFERROR(IF([1]对账明细接口!$K$628=0,"",[1]对账明细接口!$K$628),"")</f>
        <v/>
      </c>
      <c r="L628" s="16" t="str">
        <f>IFERROR(IF([1]对账明细接口!$L$628=0,"",[1]对账明细接口!$L$628),"")</f>
        <v/>
      </c>
      <c r="M628" s="16" t="str">
        <f>IFERROR(IF([1]对账明细接口!$M$628=0,"",[1]对账明细接口!$M$628),"")</f>
        <v/>
      </c>
      <c r="N628" s="19">
        <f t="shared" si="18"/>
        <v>0</v>
      </c>
      <c r="O628" s="19">
        <f t="shared" si="19"/>
        <v>420</v>
      </c>
      <c r="S628" s="20" t="str">
        <f>IFERROR(IF([1]对账明细接口!$N628=0,"",[1]对账明细接口!$N628),"")</f>
        <v/>
      </c>
      <c r="T628" s="21" t="str">
        <f>IFERROR(IF([1]对账明细接口!$O628=0,"",[1]对账明细接口!$O628),"")</f>
        <v/>
      </c>
      <c r="U628" s="21" t="str">
        <f>IFERROR(IF([1]对账明细接口!$P628=0,"",[1]对账明细接口!$P628),"")</f>
        <v/>
      </c>
      <c r="V628" s="21" t="str">
        <f>IFERROR(IF([1]对账明细接口!$Q628=0,"",[1]对账明细接口!$Q628),"")</f>
        <v/>
      </c>
      <c r="W628" s="20" t="str">
        <f>IFERROR(IF([1]对账明细接口!$R628=0,"",[1]对账明细接口!$R628),"")</f>
        <v/>
      </c>
      <c r="X628" s="20" t="str">
        <f>IFERROR(IF([1]对账明细接口!$S628=0,"",[1]对账明细接口!$S628),"")</f>
        <v/>
      </c>
      <c r="Y628" s="20" t="str">
        <f>IFERROR(IF([1]对账明细接口!$T628=0,"",[1]对账明细接口!$T628),"")</f>
        <v/>
      </c>
      <c r="Z628" s="24" t="str">
        <f>IFERROR(IF([1]对账明细接口!$U628=0,"",[1]对账明细接口!$U628),"")</f>
        <v/>
      </c>
      <c r="AA628" s="24" t="str">
        <f>IFERROR(IF([1]对账明细接口!$V628=0,"",[1]对账明细接口!$V628),"")</f>
        <v/>
      </c>
      <c r="AB628" s="20" t="str">
        <f>IFERROR(IF([1]对账明细接口!$W628=0,"",[1]对账明细接口!$W628),"")</f>
        <v/>
      </c>
      <c r="AC628" s="7" t="str">
        <f>IFERROR(IF([1]对账明细接口!$X628=0,"",[1]对账明细接口!$X628),"")</f>
        <v/>
      </c>
      <c r="AD628" s="7" t="str">
        <f>IFERROR(IF([1]对账明细接口!$Y628=0,"",[1]对账明细接口!$Y628),"")</f>
        <v/>
      </c>
      <c r="AE628" s="7" t="str">
        <f>IFERROR(IF([1]对账明细接口!$AA628=0,"",[1]对账明细接口!$AA628),"")</f>
        <v/>
      </c>
      <c r="AF628" s="7" t="str">
        <f>IFERROR(IF([1]对账明细接口!$AB628=0,"",[1]对账明细接口!$AB628),"")</f>
        <v/>
      </c>
      <c r="AG628" s="7" t="str">
        <f>IFERROR(IF([1]对账明细接口!$AC628=0,"",[1]对账明细接口!$AC628),"")</f>
        <v/>
      </c>
      <c r="AH628" s="7" t="str">
        <f>IFERROR(IF([1]对账明细接口!$AD628=0,"",[1]对账明细接口!$AD628),"")</f>
        <v/>
      </c>
      <c r="AI628" s="7" t="str">
        <f>IFERROR(IF([1]对账明细接口!$AE628=0,"",[1]对账明细接口!$AE628),"")</f>
        <v/>
      </c>
      <c r="AJ628" s="7" t="str">
        <f>IFERROR(IF([1]对账明细接口!$AF628=0,"",[1]对账明细接口!$AF628),"")</f>
        <v/>
      </c>
    </row>
    <row r="629" ht="14.25" customHeight="1" spans="1:36">
      <c r="A629" s="14">
        <v>629</v>
      </c>
      <c r="B629" s="15" t="str">
        <f>IFERROR(IF([1]对账明细接口!$B$629=0,"",[1]对账明细接口!$B$629),"")</f>
        <v/>
      </c>
      <c r="C629" s="16" t="str">
        <f>IFERROR(IF([1]对账明细接口!$C$629=0,"",[1]对账明细接口!$C$629),"")</f>
        <v/>
      </c>
      <c r="D629" s="16" t="str">
        <f>IFERROR(IF([1]对账明细接口!$D$629=0,"",[1]对账明细接口!$D$629),"")</f>
        <v/>
      </c>
      <c r="E629" s="16" t="str">
        <f>IFERROR(IF([1]对账明细接口!$E$629=0,"",[1]对账明细接口!$E$629),"")</f>
        <v/>
      </c>
      <c r="F629" s="16" t="str">
        <f>IFERROR(IF([1]对账明细接口!$F$629=0,"",[1]对账明细接口!$F$629),"")</f>
        <v/>
      </c>
      <c r="G629" s="16" t="str">
        <f>IFERROR(IF([1]对账明细接口!$G$629=0,"",[1]对账明细接口!$G$629),"")</f>
        <v/>
      </c>
      <c r="H629" s="17" t="str">
        <f>IFERROR(IF([1]对账明细接口!$H$629=0,"",[1]对账明细接口!$H$629),"")</f>
        <v/>
      </c>
      <c r="I629" s="16" t="str">
        <f>IFERROR(IF([1]对账明细接口!$I$629=0,"",[1]对账明细接口!$I$629),"")</f>
        <v/>
      </c>
      <c r="J629" s="18" t="str">
        <f>IFERROR(IF([1]对账明细接口!$J$629=0,"",[1]对账明细接口!$J$629),"")</f>
        <v/>
      </c>
      <c r="K629" s="18" t="str">
        <f>IFERROR(IF([1]对账明细接口!$K$629=0,"",[1]对账明细接口!$K$629),"")</f>
        <v/>
      </c>
      <c r="L629" s="16" t="str">
        <f>IFERROR(IF([1]对账明细接口!$L$629=0,"",[1]对账明细接口!$L$629),"")</f>
        <v/>
      </c>
      <c r="M629" s="16" t="str">
        <f>IFERROR(IF([1]对账明细接口!$M$629=0,"",[1]对账明细接口!$M$629),"")</f>
        <v/>
      </c>
      <c r="N629" s="19">
        <f t="shared" si="18"/>
        <v>0</v>
      </c>
      <c r="O629" s="19">
        <f t="shared" si="19"/>
        <v>420</v>
      </c>
      <c r="S629" s="20" t="str">
        <f>IFERROR(IF([1]对账明细接口!$N629=0,"",[1]对账明细接口!$N629),"")</f>
        <v/>
      </c>
      <c r="T629" s="21" t="str">
        <f>IFERROR(IF([1]对账明细接口!$O629=0,"",[1]对账明细接口!$O629),"")</f>
        <v/>
      </c>
      <c r="U629" s="21" t="str">
        <f>IFERROR(IF([1]对账明细接口!$P629=0,"",[1]对账明细接口!$P629),"")</f>
        <v/>
      </c>
      <c r="V629" s="21" t="str">
        <f>IFERROR(IF([1]对账明细接口!$Q629=0,"",[1]对账明细接口!$Q629),"")</f>
        <v/>
      </c>
      <c r="W629" s="20" t="str">
        <f>IFERROR(IF([1]对账明细接口!$R629=0,"",[1]对账明细接口!$R629),"")</f>
        <v/>
      </c>
      <c r="X629" s="20" t="str">
        <f>IFERROR(IF([1]对账明细接口!$S629=0,"",[1]对账明细接口!$S629),"")</f>
        <v/>
      </c>
      <c r="Y629" s="20" t="str">
        <f>IFERROR(IF([1]对账明细接口!$T629=0,"",[1]对账明细接口!$T629),"")</f>
        <v/>
      </c>
      <c r="Z629" s="24" t="str">
        <f>IFERROR(IF([1]对账明细接口!$U629=0,"",[1]对账明细接口!$U629),"")</f>
        <v/>
      </c>
      <c r="AA629" s="24" t="str">
        <f>IFERROR(IF([1]对账明细接口!$V629=0,"",[1]对账明细接口!$V629),"")</f>
        <v/>
      </c>
      <c r="AB629" s="20" t="str">
        <f>IFERROR(IF([1]对账明细接口!$W629=0,"",[1]对账明细接口!$W629),"")</f>
        <v/>
      </c>
      <c r="AC629" s="7" t="str">
        <f>IFERROR(IF([1]对账明细接口!$X629=0,"",[1]对账明细接口!$X629),"")</f>
        <v/>
      </c>
      <c r="AD629" s="7" t="str">
        <f>IFERROR(IF([1]对账明细接口!$Y629=0,"",[1]对账明细接口!$Y629),"")</f>
        <v/>
      </c>
      <c r="AE629" s="7" t="str">
        <f>IFERROR(IF([1]对账明细接口!$AA629=0,"",[1]对账明细接口!$AA629),"")</f>
        <v/>
      </c>
      <c r="AF629" s="7" t="str">
        <f>IFERROR(IF([1]对账明细接口!$AB629=0,"",[1]对账明细接口!$AB629),"")</f>
        <v/>
      </c>
      <c r="AG629" s="7" t="str">
        <f>IFERROR(IF([1]对账明细接口!$AC629=0,"",[1]对账明细接口!$AC629),"")</f>
        <v/>
      </c>
      <c r="AH629" s="7" t="str">
        <f>IFERROR(IF([1]对账明细接口!$AD629=0,"",[1]对账明细接口!$AD629),"")</f>
        <v/>
      </c>
      <c r="AI629" s="7" t="str">
        <f>IFERROR(IF([1]对账明细接口!$AE629=0,"",[1]对账明细接口!$AE629),"")</f>
        <v/>
      </c>
      <c r="AJ629" s="7" t="str">
        <f>IFERROR(IF([1]对账明细接口!$AF629=0,"",[1]对账明细接口!$AF629),"")</f>
        <v/>
      </c>
    </row>
    <row r="630" ht="14.25" customHeight="1" spans="1:36">
      <c r="A630" s="14">
        <v>630</v>
      </c>
      <c r="B630" s="15" t="str">
        <f>IFERROR(IF([1]对账明细接口!$B$630=0,"",[1]对账明细接口!$B$630),"")</f>
        <v/>
      </c>
      <c r="C630" s="16" t="str">
        <f>IFERROR(IF([1]对账明细接口!$C$630=0,"",[1]对账明细接口!$C$630),"")</f>
        <v/>
      </c>
      <c r="D630" s="16" t="str">
        <f>IFERROR(IF([1]对账明细接口!$D$630=0,"",[1]对账明细接口!$D$630),"")</f>
        <v/>
      </c>
      <c r="E630" s="16" t="str">
        <f>IFERROR(IF([1]对账明细接口!$E$630=0,"",[1]对账明细接口!$E$630),"")</f>
        <v/>
      </c>
      <c r="F630" s="16" t="str">
        <f>IFERROR(IF([1]对账明细接口!$F$630=0,"",[1]对账明细接口!$F$630),"")</f>
        <v/>
      </c>
      <c r="G630" s="16" t="str">
        <f>IFERROR(IF([1]对账明细接口!$G$630=0,"",[1]对账明细接口!$G$630),"")</f>
        <v/>
      </c>
      <c r="H630" s="17" t="str">
        <f>IFERROR(IF([1]对账明细接口!$H$630=0,"",[1]对账明细接口!$H$630),"")</f>
        <v/>
      </c>
      <c r="I630" s="16" t="str">
        <f>IFERROR(IF([1]对账明细接口!$I$630=0,"",[1]对账明细接口!$I$630),"")</f>
        <v/>
      </c>
      <c r="J630" s="18" t="str">
        <f>IFERROR(IF([1]对账明细接口!$J$630=0,"",[1]对账明细接口!$J$630),"")</f>
        <v/>
      </c>
      <c r="K630" s="18" t="str">
        <f>IFERROR(IF([1]对账明细接口!$K$630=0,"",[1]对账明细接口!$K$630),"")</f>
        <v/>
      </c>
      <c r="L630" s="16" t="str">
        <f>IFERROR(IF([1]对账明细接口!$L$630=0,"",[1]对账明细接口!$L$630),"")</f>
        <v/>
      </c>
      <c r="M630" s="16" t="str">
        <f>IFERROR(IF([1]对账明细接口!$M$630=0,"",[1]对账明细接口!$M$630),"")</f>
        <v/>
      </c>
      <c r="N630" s="19">
        <f t="shared" si="18"/>
        <v>0</v>
      </c>
      <c r="O630" s="19">
        <f t="shared" si="19"/>
        <v>420</v>
      </c>
      <c r="S630" s="20" t="str">
        <f>IFERROR(IF([1]对账明细接口!$N630=0,"",[1]对账明细接口!$N630),"")</f>
        <v/>
      </c>
      <c r="T630" s="21" t="str">
        <f>IFERROR(IF([1]对账明细接口!$O630=0,"",[1]对账明细接口!$O630),"")</f>
        <v/>
      </c>
      <c r="U630" s="21" t="str">
        <f>IFERROR(IF([1]对账明细接口!$P630=0,"",[1]对账明细接口!$P630),"")</f>
        <v/>
      </c>
      <c r="V630" s="21" t="str">
        <f>IFERROR(IF([1]对账明细接口!$Q630=0,"",[1]对账明细接口!$Q630),"")</f>
        <v/>
      </c>
      <c r="W630" s="20" t="str">
        <f>IFERROR(IF([1]对账明细接口!$R630=0,"",[1]对账明细接口!$R630),"")</f>
        <v/>
      </c>
      <c r="X630" s="20" t="str">
        <f>IFERROR(IF([1]对账明细接口!$S630=0,"",[1]对账明细接口!$S630),"")</f>
        <v/>
      </c>
      <c r="Y630" s="20" t="str">
        <f>IFERROR(IF([1]对账明细接口!$T630=0,"",[1]对账明细接口!$T630),"")</f>
        <v/>
      </c>
      <c r="Z630" s="24" t="str">
        <f>IFERROR(IF([1]对账明细接口!$U630=0,"",[1]对账明细接口!$U630),"")</f>
        <v/>
      </c>
      <c r="AA630" s="24" t="str">
        <f>IFERROR(IF([1]对账明细接口!$V630=0,"",[1]对账明细接口!$V630),"")</f>
        <v/>
      </c>
      <c r="AB630" s="20" t="str">
        <f>IFERROR(IF([1]对账明细接口!$W630=0,"",[1]对账明细接口!$W630),"")</f>
        <v/>
      </c>
      <c r="AC630" s="7" t="str">
        <f>IFERROR(IF([1]对账明细接口!$X630=0,"",[1]对账明细接口!$X630),"")</f>
        <v/>
      </c>
      <c r="AD630" s="7" t="str">
        <f>IFERROR(IF([1]对账明细接口!$Y630=0,"",[1]对账明细接口!$Y630),"")</f>
        <v/>
      </c>
      <c r="AE630" s="7" t="str">
        <f>IFERROR(IF([1]对账明细接口!$AA630=0,"",[1]对账明细接口!$AA630),"")</f>
        <v/>
      </c>
      <c r="AF630" s="7" t="str">
        <f>IFERROR(IF([1]对账明细接口!$AB630=0,"",[1]对账明细接口!$AB630),"")</f>
        <v/>
      </c>
      <c r="AG630" s="7" t="str">
        <f>IFERROR(IF([1]对账明细接口!$AC630=0,"",[1]对账明细接口!$AC630),"")</f>
        <v/>
      </c>
      <c r="AH630" s="7" t="str">
        <f>IFERROR(IF([1]对账明细接口!$AD630=0,"",[1]对账明细接口!$AD630),"")</f>
        <v/>
      </c>
      <c r="AI630" s="7" t="str">
        <f>IFERROR(IF([1]对账明细接口!$AE630=0,"",[1]对账明细接口!$AE630),"")</f>
        <v/>
      </c>
      <c r="AJ630" s="7" t="str">
        <f>IFERROR(IF([1]对账明细接口!$AF630=0,"",[1]对账明细接口!$AF630),"")</f>
        <v/>
      </c>
    </row>
    <row r="631" ht="14.25" customHeight="1" spans="1:36">
      <c r="A631" s="14">
        <v>631</v>
      </c>
      <c r="B631" s="15" t="str">
        <f>IFERROR(IF([1]对账明细接口!$B$631=0,"",[1]对账明细接口!$B$631),"")</f>
        <v/>
      </c>
      <c r="C631" s="16" t="str">
        <f>IFERROR(IF([1]对账明细接口!$C$631=0,"",[1]对账明细接口!$C$631),"")</f>
        <v/>
      </c>
      <c r="D631" s="16" t="str">
        <f>IFERROR(IF([1]对账明细接口!$D$631=0,"",[1]对账明细接口!$D$631),"")</f>
        <v/>
      </c>
      <c r="E631" s="16" t="str">
        <f>IFERROR(IF([1]对账明细接口!$E$631=0,"",[1]对账明细接口!$E$631),"")</f>
        <v/>
      </c>
      <c r="F631" s="16" t="str">
        <f>IFERROR(IF([1]对账明细接口!$F$631=0,"",[1]对账明细接口!$F$631),"")</f>
        <v/>
      </c>
      <c r="G631" s="16" t="str">
        <f>IFERROR(IF([1]对账明细接口!$G$631=0,"",[1]对账明细接口!$G$631),"")</f>
        <v/>
      </c>
      <c r="H631" s="17" t="str">
        <f>IFERROR(IF([1]对账明细接口!$H$631=0,"",[1]对账明细接口!$H$631),"")</f>
        <v/>
      </c>
      <c r="I631" s="16" t="str">
        <f>IFERROR(IF([1]对账明细接口!$I$631=0,"",[1]对账明细接口!$I$631),"")</f>
        <v/>
      </c>
      <c r="J631" s="18" t="str">
        <f>IFERROR(IF([1]对账明细接口!$J$631=0,"",[1]对账明细接口!$J$631),"")</f>
        <v/>
      </c>
      <c r="K631" s="18" t="str">
        <f>IFERROR(IF([1]对账明细接口!$K$631=0,"",[1]对账明细接口!$K$631),"")</f>
        <v/>
      </c>
      <c r="L631" s="16" t="str">
        <f>IFERROR(IF([1]对账明细接口!$L$631=0,"",[1]对账明细接口!$L$631),"")</f>
        <v/>
      </c>
      <c r="M631" s="16" t="str">
        <f>IFERROR(IF([1]对账明细接口!$M$631=0,"",[1]对账明细接口!$M$631),"")</f>
        <v/>
      </c>
      <c r="N631" s="19">
        <f t="shared" si="18"/>
        <v>0</v>
      </c>
      <c r="O631" s="19">
        <f t="shared" si="19"/>
        <v>420</v>
      </c>
      <c r="S631" s="20" t="str">
        <f>IFERROR(IF([1]对账明细接口!$N631=0,"",[1]对账明细接口!$N631),"")</f>
        <v/>
      </c>
      <c r="T631" s="21" t="str">
        <f>IFERROR(IF([1]对账明细接口!$O631=0,"",[1]对账明细接口!$O631),"")</f>
        <v/>
      </c>
      <c r="U631" s="21" t="str">
        <f>IFERROR(IF([1]对账明细接口!$P631=0,"",[1]对账明细接口!$P631),"")</f>
        <v/>
      </c>
      <c r="V631" s="21" t="str">
        <f>IFERROR(IF([1]对账明细接口!$Q631=0,"",[1]对账明细接口!$Q631),"")</f>
        <v/>
      </c>
      <c r="W631" s="20" t="str">
        <f>IFERROR(IF([1]对账明细接口!$R631=0,"",[1]对账明细接口!$R631),"")</f>
        <v/>
      </c>
      <c r="X631" s="20" t="str">
        <f>IFERROR(IF([1]对账明细接口!$S631=0,"",[1]对账明细接口!$S631),"")</f>
        <v/>
      </c>
      <c r="Y631" s="20" t="str">
        <f>IFERROR(IF([1]对账明细接口!$T631=0,"",[1]对账明细接口!$T631),"")</f>
        <v/>
      </c>
      <c r="Z631" s="24" t="str">
        <f>IFERROR(IF([1]对账明细接口!$U631=0,"",[1]对账明细接口!$U631),"")</f>
        <v/>
      </c>
      <c r="AA631" s="24" t="str">
        <f>IFERROR(IF([1]对账明细接口!$V631=0,"",[1]对账明细接口!$V631),"")</f>
        <v/>
      </c>
      <c r="AB631" s="20" t="str">
        <f>IFERROR(IF([1]对账明细接口!$W631=0,"",[1]对账明细接口!$W631),"")</f>
        <v/>
      </c>
      <c r="AC631" s="7" t="str">
        <f>IFERROR(IF([1]对账明细接口!$X631=0,"",[1]对账明细接口!$X631),"")</f>
        <v/>
      </c>
      <c r="AD631" s="7" t="str">
        <f>IFERROR(IF([1]对账明细接口!$Y631=0,"",[1]对账明细接口!$Y631),"")</f>
        <v/>
      </c>
      <c r="AE631" s="7" t="str">
        <f>IFERROR(IF([1]对账明细接口!$AA631=0,"",[1]对账明细接口!$AA631),"")</f>
        <v/>
      </c>
      <c r="AF631" s="7" t="str">
        <f>IFERROR(IF([1]对账明细接口!$AB631=0,"",[1]对账明细接口!$AB631),"")</f>
        <v/>
      </c>
      <c r="AG631" s="7" t="str">
        <f>IFERROR(IF([1]对账明细接口!$AC631=0,"",[1]对账明细接口!$AC631),"")</f>
        <v/>
      </c>
      <c r="AH631" s="7" t="str">
        <f>IFERROR(IF([1]对账明细接口!$AD631=0,"",[1]对账明细接口!$AD631),"")</f>
        <v/>
      </c>
      <c r="AI631" s="7" t="str">
        <f>IFERROR(IF([1]对账明细接口!$AE631=0,"",[1]对账明细接口!$AE631),"")</f>
        <v/>
      </c>
      <c r="AJ631" s="7" t="str">
        <f>IFERROR(IF([1]对账明细接口!$AF631=0,"",[1]对账明细接口!$AF631),"")</f>
        <v/>
      </c>
    </row>
    <row r="632" ht="14.25" customHeight="1" spans="1:36">
      <c r="A632" s="14">
        <v>632</v>
      </c>
      <c r="B632" s="15" t="str">
        <f>IFERROR(IF([1]对账明细接口!$B$632=0,"",[1]对账明细接口!$B$632),"")</f>
        <v/>
      </c>
      <c r="C632" s="16" t="str">
        <f>IFERROR(IF([1]对账明细接口!$C$632=0,"",[1]对账明细接口!$C$632),"")</f>
        <v/>
      </c>
      <c r="D632" s="16" t="str">
        <f>IFERROR(IF([1]对账明细接口!$D$632=0,"",[1]对账明细接口!$D$632),"")</f>
        <v/>
      </c>
      <c r="E632" s="16" t="str">
        <f>IFERROR(IF([1]对账明细接口!$E$632=0,"",[1]对账明细接口!$E$632),"")</f>
        <v/>
      </c>
      <c r="F632" s="16" t="str">
        <f>IFERROR(IF([1]对账明细接口!$F$632=0,"",[1]对账明细接口!$F$632),"")</f>
        <v/>
      </c>
      <c r="G632" s="16" t="str">
        <f>IFERROR(IF([1]对账明细接口!$G$632=0,"",[1]对账明细接口!$G$632),"")</f>
        <v/>
      </c>
      <c r="H632" s="17" t="str">
        <f>IFERROR(IF([1]对账明细接口!$H$632=0,"",[1]对账明细接口!$H$632),"")</f>
        <v/>
      </c>
      <c r="I632" s="16" t="str">
        <f>IFERROR(IF([1]对账明细接口!$I$632=0,"",[1]对账明细接口!$I$632),"")</f>
        <v/>
      </c>
      <c r="J632" s="18" t="str">
        <f>IFERROR(IF([1]对账明细接口!$J$632=0,"",[1]对账明细接口!$J$632),"")</f>
        <v/>
      </c>
      <c r="K632" s="18" t="str">
        <f>IFERROR(IF([1]对账明细接口!$K$632=0,"",[1]对账明细接口!$K$632),"")</f>
        <v/>
      </c>
      <c r="L632" s="16" t="str">
        <f>IFERROR(IF([1]对账明细接口!$L$632=0,"",[1]对账明细接口!$L$632),"")</f>
        <v/>
      </c>
      <c r="M632" s="16" t="str">
        <f>IFERROR(IF([1]对账明细接口!$M$632=0,"",[1]对账明细接口!$M$632),"")</f>
        <v/>
      </c>
      <c r="N632" s="19">
        <f t="shared" si="18"/>
        <v>0</v>
      </c>
      <c r="O632" s="19">
        <f t="shared" si="19"/>
        <v>420</v>
      </c>
      <c r="S632" s="20" t="str">
        <f>IFERROR(IF([1]对账明细接口!$N632=0,"",[1]对账明细接口!$N632),"")</f>
        <v/>
      </c>
      <c r="T632" s="21" t="str">
        <f>IFERROR(IF([1]对账明细接口!$O632=0,"",[1]对账明细接口!$O632),"")</f>
        <v/>
      </c>
      <c r="U632" s="21" t="str">
        <f>IFERROR(IF([1]对账明细接口!$P632=0,"",[1]对账明细接口!$P632),"")</f>
        <v/>
      </c>
      <c r="V632" s="21" t="str">
        <f>IFERROR(IF([1]对账明细接口!$Q632=0,"",[1]对账明细接口!$Q632),"")</f>
        <v/>
      </c>
      <c r="W632" s="20" t="str">
        <f>IFERROR(IF([1]对账明细接口!$R632=0,"",[1]对账明细接口!$R632),"")</f>
        <v/>
      </c>
      <c r="X632" s="20" t="str">
        <f>IFERROR(IF([1]对账明细接口!$S632=0,"",[1]对账明细接口!$S632),"")</f>
        <v/>
      </c>
      <c r="Y632" s="20" t="str">
        <f>IFERROR(IF([1]对账明细接口!$T632=0,"",[1]对账明细接口!$T632),"")</f>
        <v/>
      </c>
      <c r="Z632" s="24" t="str">
        <f>IFERROR(IF([1]对账明细接口!$U632=0,"",[1]对账明细接口!$U632),"")</f>
        <v/>
      </c>
      <c r="AA632" s="24" t="str">
        <f>IFERROR(IF([1]对账明细接口!$V632=0,"",[1]对账明细接口!$V632),"")</f>
        <v/>
      </c>
      <c r="AB632" s="20" t="str">
        <f>IFERROR(IF([1]对账明细接口!$W632=0,"",[1]对账明细接口!$W632),"")</f>
        <v/>
      </c>
      <c r="AC632" s="7" t="str">
        <f>IFERROR(IF([1]对账明细接口!$X632=0,"",[1]对账明细接口!$X632),"")</f>
        <v/>
      </c>
      <c r="AD632" s="7" t="str">
        <f>IFERROR(IF([1]对账明细接口!$Y632=0,"",[1]对账明细接口!$Y632),"")</f>
        <v/>
      </c>
      <c r="AE632" s="7" t="str">
        <f>IFERROR(IF([1]对账明细接口!$AA632=0,"",[1]对账明细接口!$AA632),"")</f>
        <v/>
      </c>
      <c r="AF632" s="7" t="str">
        <f>IFERROR(IF([1]对账明细接口!$AB632=0,"",[1]对账明细接口!$AB632),"")</f>
        <v/>
      </c>
      <c r="AG632" s="7" t="str">
        <f>IFERROR(IF([1]对账明细接口!$AC632=0,"",[1]对账明细接口!$AC632),"")</f>
        <v/>
      </c>
      <c r="AH632" s="7" t="str">
        <f>IFERROR(IF([1]对账明细接口!$AD632=0,"",[1]对账明细接口!$AD632),"")</f>
        <v/>
      </c>
      <c r="AI632" s="7" t="str">
        <f>IFERROR(IF([1]对账明细接口!$AE632=0,"",[1]对账明细接口!$AE632),"")</f>
        <v/>
      </c>
      <c r="AJ632" s="7" t="str">
        <f>IFERROR(IF([1]对账明细接口!$AF632=0,"",[1]对账明细接口!$AF632),"")</f>
        <v/>
      </c>
    </row>
    <row r="633" ht="14.25" customHeight="1" spans="1:36">
      <c r="A633" s="14">
        <v>633</v>
      </c>
      <c r="B633" s="15" t="str">
        <f>IFERROR(IF([1]对账明细接口!$B$633=0,"",[1]对账明细接口!$B$633),"")</f>
        <v/>
      </c>
      <c r="C633" s="16" t="str">
        <f>IFERROR(IF([1]对账明细接口!$C$633=0,"",[1]对账明细接口!$C$633),"")</f>
        <v/>
      </c>
      <c r="D633" s="16" t="str">
        <f>IFERROR(IF([1]对账明细接口!$D$633=0,"",[1]对账明细接口!$D$633),"")</f>
        <v/>
      </c>
      <c r="E633" s="16" t="str">
        <f>IFERROR(IF([1]对账明细接口!$E$633=0,"",[1]对账明细接口!$E$633),"")</f>
        <v/>
      </c>
      <c r="F633" s="16" t="str">
        <f>IFERROR(IF([1]对账明细接口!$F$633=0,"",[1]对账明细接口!$F$633),"")</f>
        <v/>
      </c>
      <c r="G633" s="16" t="str">
        <f>IFERROR(IF([1]对账明细接口!$G$633=0,"",[1]对账明细接口!$G$633),"")</f>
        <v/>
      </c>
      <c r="H633" s="17" t="str">
        <f>IFERROR(IF([1]对账明细接口!$H$633=0,"",[1]对账明细接口!$H$633),"")</f>
        <v/>
      </c>
      <c r="I633" s="16" t="str">
        <f>IFERROR(IF([1]对账明细接口!$I$633=0,"",[1]对账明细接口!$I$633),"")</f>
        <v/>
      </c>
      <c r="J633" s="18" t="str">
        <f>IFERROR(IF([1]对账明细接口!$J$633=0,"",[1]对账明细接口!$J$633),"")</f>
        <v/>
      </c>
      <c r="K633" s="18" t="str">
        <f>IFERROR(IF([1]对账明细接口!$K$633=0,"",[1]对账明细接口!$K$633),"")</f>
        <v/>
      </c>
      <c r="L633" s="16" t="str">
        <f>IFERROR(IF([1]对账明细接口!$L$633=0,"",[1]对账明细接口!$L$633),"")</f>
        <v/>
      </c>
      <c r="M633" s="16" t="str">
        <f>IFERROR(IF([1]对账明细接口!$M$633=0,"",[1]对账明细接口!$M$633),"")</f>
        <v/>
      </c>
      <c r="N633" s="19">
        <f t="shared" si="18"/>
        <v>0</v>
      </c>
      <c r="O633" s="19">
        <f t="shared" si="19"/>
        <v>420</v>
      </c>
      <c r="S633" s="20" t="str">
        <f>IFERROR(IF([1]对账明细接口!$N633=0,"",[1]对账明细接口!$N633),"")</f>
        <v/>
      </c>
      <c r="T633" s="21" t="str">
        <f>IFERROR(IF([1]对账明细接口!$O633=0,"",[1]对账明细接口!$O633),"")</f>
        <v/>
      </c>
      <c r="U633" s="21" t="str">
        <f>IFERROR(IF([1]对账明细接口!$P633=0,"",[1]对账明细接口!$P633),"")</f>
        <v/>
      </c>
      <c r="V633" s="21" t="str">
        <f>IFERROR(IF([1]对账明细接口!$Q633=0,"",[1]对账明细接口!$Q633),"")</f>
        <v/>
      </c>
      <c r="W633" s="20" t="str">
        <f>IFERROR(IF([1]对账明细接口!$R633=0,"",[1]对账明细接口!$R633),"")</f>
        <v/>
      </c>
      <c r="X633" s="20" t="str">
        <f>IFERROR(IF([1]对账明细接口!$S633=0,"",[1]对账明细接口!$S633),"")</f>
        <v/>
      </c>
      <c r="Y633" s="20" t="str">
        <f>IFERROR(IF([1]对账明细接口!$T633=0,"",[1]对账明细接口!$T633),"")</f>
        <v/>
      </c>
      <c r="Z633" s="24" t="str">
        <f>IFERROR(IF([1]对账明细接口!$U633=0,"",[1]对账明细接口!$U633),"")</f>
        <v/>
      </c>
      <c r="AA633" s="24" t="str">
        <f>IFERROR(IF([1]对账明细接口!$V633=0,"",[1]对账明细接口!$V633),"")</f>
        <v/>
      </c>
      <c r="AB633" s="20" t="str">
        <f>IFERROR(IF([1]对账明细接口!$W633=0,"",[1]对账明细接口!$W633),"")</f>
        <v/>
      </c>
      <c r="AC633" s="7" t="str">
        <f>IFERROR(IF([1]对账明细接口!$X633=0,"",[1]对账明细接口!$X633),"")</f>
        <v/>
      </c>
      <c r="AD633" s="7" t="str">
        <f>IFERROR(IF([1]对账明细接口!$Y633=0,"",[1]对账明细接口!$Y633),"")</f>
        <v/>
      </c>
      <c r="AE633" s="7" t="str">
        <f>IFERROR(IF([1]对账明细接口!$AA633=0,"",[1]对账明细接口!$AA633),"")</f>
        <v/>
      </c>
      <c r="AF633" s="7" t="str">
        <f>IFERROR(IF([1]对账明细接口!$AB633=0,"",[1]对账明细接口!$AB633),"")</f>
        <v/>
      </c>
      <c r="AG633" s="7" t="str">
        <f>IFERROR(IF([1]对账明细接口!$AC633=0,"",[1]对账明细接口!$AC633),"")</f>
        <v/>
      </c>
      <c r="AH633" s="7" t="str">
        <f>IFERROR(IF([1]对账明细接口!$AD633=0,"",[1]对账明细接口!$AD633),"")</f>
        <v/>
      </c>
      <c r="AI633" s="7" t="str">
        <f>IFERROR(IF([1]对账明细接口!$AE633=0,"",[1]对账明细接口!$AE633),"")</f>
        <v/>
      </c>
      <c r="AJ633" s="7" t="str">
        <f>IFERROR(IF([1]对账明细接口!$AF633=0,"",[1]对账明细接口!$AF633),"")</f>
        <v/>
      </c>
    </row>
    <row r="634" ht="14.25" customHeight="1" spans="1:36">
      <c r="A634" s="14">
        <v>634</v>
      </c>
      <c r="B634" s="15" t="str">
        <f>IFERROR(IF([1]对账明细接口!$B$634=0,"",[1]对账明细接口!$B$634),"")</f>
        <v/>
      </c>
      <c r="C634" s="16" t="str">
        <f>IFERROR(IF([1]对账明细接口!$C$634=0,"",[1]对账明细接口!$C$634),"")</f>
        <v/>
      </c>
      <c r="D634" s="16" t="str">
        <f>IFERROR(IF([1]对账明细接口!$D$634=0,"",[1]对账明细接口!$D$634),"")</f>
        <v/>
      </c>
      <c r="E634" s="16" t="str">
        <f>IFERROR(IF([1]对账明细接口!$E$634=0,"",[1]对账明细接口!$E$634),"")</f>
        <v/>
      </c>
      <c r="F634" s="16" t="str">
        <f>IFERROR(IF([1]对账明细接口!$F$634=0,"",[1]对账明细接口!$F$634),"")</f>
        <v/>
      </c>
      <c r="G634" s="16" t="str">
        <f>IFERROR(IF([1]对账明细接口!$G$634=0,"",[1]对账明细接口!$G$634),"")</f>
        <v/>
      </c>
      <c r="H634" s="17" t="str">
        <f>IFERROR(IF([1]对账明细接口!$H$634=0,"",[1]对账明细接口!$H$634),"")</f>
        <v/>
      </c>
      <c r="I634" s="16" t="str">
        <f>IFERROR(IF([1]对账明细接口!$I$634=0,"",[1]对账明细接口!$I$634),"")</f>
        <v/>
      </c>
      <c r="J634" s="18" t="str">
        <f>IFERROR(IF([1]对账明细接口!$J$634=0,"",[1]对账明细接口!$J$634),"")</f>
        <v/>
      </c>
      <c r="K634" s="18" t="str">
        <f>IFERROR(IF([1]对账明细接口!$K$634=0,"",[1]对账明细接口!$K$634),"")</f>
        <v/>
      </c>
      <c r="L634" s="16" t="str">
        <f>IFERROR(IF([1]对账明细接口!$L$634=0,"",[1]对账明细接口!$L$634),"")</f>
        <v/>
      </c>
      <c r="M634" s="16" t="str">
        <f>IFERROR(IF([1]对账明细接口!$M$634=0,"",[1]对账明细接口!$M$634),"")</f>
        <v/>
      </c>
      <c r="N634" s="19">
        <f t="shared" si="18"/>
        <v>0</v>
      </c>
      <c r="O634" s="19">
        <f t="shared" si="19"/>
        <v>420</v>
      </c>
      <c r="S634" s="20" t="str">
        <f>IFERROR(IF([1]对账明细接口!$N634=0,"",[1]对账明细接口!$N634),"")</f>
        <v/>
      </c>
      <c r="T634" s="21" t="str">
        <f>IFERROR(IF([1]对账明细接口!$O634=0,"",[1]对账明细接口!$O634),"")</f>
        <v/>
      </c>
      <c r="U634" s="21" t="str">
        <f>IFERROR(IF([1]对账明细接口!$P634=0,"",[1]对账明细接口!$P634),"")</f>
        <v/>
      </c>
      <c r="V634" s="21" t="str">
        <f>IFERROR(IF([1]对账明细接口!$Q634=0,"",[1]对账明细接口!$Q634),"")</f>
        <v/>
      </c>
      <c r="W634" s="20" t="str">
        <f>IFERROR(IF([1]对账明细接口!$R634=0,"",[1]对账明细接口!$R634),"")</f>
        <v/>
      </c>
      <c r="X634" s="20" t="str">
        <f>IFERROR(IF([1]对账明细接口!$S634=0,"",[1]对账明细接口!$S634),"")</f>
        <v/>
      </c>
      <c r="Y634" s="20" t="str">
        <f>IFERROR(IF([1]对账明细接口!$T634=0,"",[1]对账明细接口!$T634),"")</f>
        <v/>
      </c>
      <c r="Z634" s="24" t="str">
        <f>IFERROR(IF([1]对账明细接口!$U634=0,"",[1]对账明细接口!$U634),"")</f>
        <v/>
      </c>
      <c r="AA634" s="24" t="str">
        <f>IFERROR(IF([1]对账明细接口!$V634=0,"",[1]对账明细接口!$V634),"")</f>
        <v/>
      </c>
      <c r="AB634" s="20" t="str">
        <f>IFERROR(IF([1]对账明细接口!$W634=0,"",[1]对账明细接口!$W634),"")</f>
        <v/>
      </c>
      <c r="AC634" s="7" t="str">
        <f>IFERROR(IF([1]对账明细接口!$X634=0,"",[1]对账明细接口!$X634),"")</f>
        <v/>
      </c>
      <c r="AD634" s="7" t="str">
        <f>IFERROR(IF([1]对账明细接口!$Y634=0,"",[1]对账明细接口!$Y634),"")</f>
        <v/>
      </c>
      <c r="AE634" s="7" t="str">
        <f>IFERROR(IF([1]对账明细接口!$AA634=0,"",[1]对账明细接口!$AA634),"")</f>
        <v/>
      </c>
      <c r="AF634" s="7" t="str">
        <f>IFERROR(IF([1]对账明细接口!$AB634=0,"",[1]对账明细接口!$AB634),"")</f>
        <v/>
      </c>
      <c r="AG634" s="7" t="str">
        <f>IFERROR(IF([1]对账明细接口!$AC634=0,"",[1]对账明细接口!$AC634),"")</f>
        <v/>
      </c>
      <c r="AH634" s="7" t="str">
        <f>IFERROR(IF([1]对账明细接口!$AD634=0,"",[1]对账明细接口!$AD634),"")</f>
        <v/>
      </c>
      <c r="AI634" s="7" t="str">
        <f>IFERROR(IF([1]对账明细接口!$AE634=0,"",[1]对账明细接口!$AE634),"")</f>
        <v/>
      </c>
      <c r="AJ634" s="7" t="str">
        <f>IFERROR(IF([1]对账明细接口!$AF634=0,"",[1]对账明细接口!$AF634),"")</f>
        <v/>
      </c>
    </row>
    <row r="635" ht="14.25" customHeight="1" spans="1:36">
      <c r="A635" s="14">
        <v>635</v>
      </c>
      <c r="B635" s="15" t="str">
        <f>IFERROR(IF([1]对账明细接口!$B$635=0,"",[1]对账明细接口!$B$635),"")</f>
        <v/>
      </c>
      <c r="C635" s="16" t="str">
        <f>IFERROR(IF([1]对账明细接口!$C$635=0,"",[1]对账明细接口!$C$635),"")</f>
        <v/>
      </c>
      <c r="D635" s="16" t="str">
        <f>IFERROR(IF([1]对账明细接口!$D$635=0,"",[1]对账明细接口!$D$635),"")</f>
        <v/>
      </c>
      <c r="E635" s="16" t="str">
        <f>IFERROR(IF([1]对账明细接口!$E$635=0,"",[1]对账明细接口!$E$635),"")</f>
        <v/>
      </c>
      <c r="F635" s="16" t="str">
        <f>IFERROR(IF([1]对账明细接口!$F$635=0,"",[1]对账明细接口!$F$635),"")</f>
        <v/>
      </c>
      <c r="G635" s="16" t="str">
        <f>IFERROR(IF([1]对账明细接口!$G$635=0,"",[1]对账明细接口!$G$635),"")</f>
        <v/>
      </c>
      <c r="H635" s="17" t="str">
        <f>IFERROR(IF([1]对账明细接口!$H$635=0,"",[1]对账明细接口!$H$635),"")</f>
        <v/>
      </c>
      <c r="I635" s="16" t="str">
        <f>IFERROR(IF([1]对账明细接口!$I$635=0,"",[1]对账明细接口!$I$635),"")</f>
        <v/>
      </c>
      <c r="J635" s="18" t="str">
        <f>IFERROR(IF([1]对账明细接口!$J$635=0,"",[1]对账明细接口!$J$635),"")</f>
        <v/>
      </c>
      <c r="K635" s="18" t="str">
        <f>IFERROR(IF([1]对账明细接口!$K$635=0,"",[1]对账明细接口!$K$635),"")</f>
        <v/>
      </c>
      <c r="L635" s="16" t="str">
        <f>IFERROR(IF([1]对账明细接口!$L$635=0,"",[1]对账明细接口!$L$635),"")</f>
        <v/>
      </c>
      <c r="M635" s="16" t="str">
        <f>IFERROR(IF([1]对账明细接口!$M$635=0,"",[1]对账明细接口!$M$635),"")</f>
        <v/>
      </c>
      <c r="N635" s="19">
        <f t="shared" si="18"/>
        <v>0</v>
      </c>
      <c r="O635" s="19">
        <f t="shared" si="19"/>
        <v>420</v>
      </c>
      <c r="S635" s="20" t="str">
        <f>IFERROR(IF([1]对账明细接口!$N635=0,"",[1]对账明细接口!$N635),"")</f>
        <v/>
      </c>
      <c r="T635" s="21" t="str">
        <f>IFERROR(IF([1]对账明细接口!$O635=0,"",[1]对账明细接口!$O635),"")</f>
        <v/>
      </c>
      <c r="U635" s="21" t="str">
        <f>IFERROR(IF([1]对账明细接口!$P635=0,"",[1]对账明细接口!$P635),"")</f>
        <v/>
      </c>
      <c r="V635" s="21" t="str">
        <f>IFERROR(IF([1]对账明细接口!$Q635=0,"",[1]对账明细接口!$Q635),"")</f>
        <v/>
      </c>
      <c r="W635" s="20" t="str">
        <f>IFERROR(IF([1]对账明细接口!$R635=0,"",[1]对账明细接口!$R635),"")</f>
        <v/>
      </c>
      <c r="X635" s="20" t="str">
        <f>IFERROR(IF([1]对账明细接口!$S635=0,"",[1]对账明细接口!$S635),"")</f>
        <v/>
      </c>
      <c r="Y635" s="20" t="str">
        <f>IFERROR(IF([1]对账明细接口!$T635=0,"",[1]对账明细接口!$T635),"")</f>
        <v/>
      </c>
      <c r="Z635" s="24" t="str">
        <f>IFERROR(IF([1]对账明细接口!$U635=0,"",[1]对账明细接口!$U635),"")</f>
        <v/>
      </c>
      <c r="AA635" s="24" t="str">
        <f>IFERROR(IF([1]对账明细接口!$V635=0,"",[1]对账明细接口!$V635),"")</f>
        <v/>
      </c>
      <c r="AB635" s="20" t="str">
        <f>IFERROR(IF([1]对账明细接口!$W635=0,"",[1]对账明细接口!$W635),"")</f>
        <v/>
      </c>
      <c r="AC635" s="7" t="str">
        <f>IFERROR(IF([1]对账明细接口!$X635=0,"",[1]对账明细接口!$X635),"")</f>
        <v/>
      </c>
      <c r="AD635" s="7" t="str">
        <f>IFERROR(IF([1]对账明细接口!$Y635=0,"",[1]对账明细接口!$Y635),"")</f>
        <v/>
      </c>
      <c r="AE635" s="7" t="str">
        <f>IFERROR(IF([1]对账明细接口!$AA635=0,"",[1]对账明细接口!$AA635),"")</f>
        <v/>
      </c>
      <c r="AF635" s="7" t="str">
        <f>IFERROR(IF([1]对账明细接口!$AB635=0,"",[1]对账明细接口!$AB635),"")</f>
        <v/>
      </c>
      <c r="AG635" s="7" t="str">
        <f>IFERROR(IF([1]对账明细接口!$AC635=0,"",[1]对账明细接口!$AC635),"")</f>
        <v/>
      </c>
      <c r="AH635" s="7" t="str">
        <f>IFERROR(IF([1]对账明细接口!$AD635=0,"",[1]对账明细接口!$AD635),"")</f>
        <v/>
      </c>
      <c r="AI635" s="7" t="str">
        <f>IFERROR(IF([1]对账明细接口!$AE635=0,"",[1]对账明细接口!$AE635),"")</f>
        <v/>
      </c>
      <c r="AJ635" s="7" t="str">
        <f>IFERROR(IF([1]对账明细接口!$AF635=0,"",[1]对账明细接口!$AF635),"")</f>
        <v/>
      </c>
    </row>
    <row r="636" ht="14.25" customHeight="1" spans="1:36">
      <c r="A636" s="14">
        <v>636</v>
      </c>
      <c r="B636" s="15" t="str">
        <f>IFERROR(IF([1]对账明细接口!$B$636=0,"",[1]对账明细接口!$B$636),"")</f>
        <v/>
      </c>
      <c r="C636" s="16" t="str">
        <f>IFERROR(IF([1]对账明细接口!$C$636=0,"",[1]对账明细接口!$C$636),"")</f>
        <v/>
      </c>
      <c r="D636" s="16" t="str">
        <f>IFERROR(IF([1]对账明细接口!$D$636=0,"",[1]对账明细接口!$D$636),"")</f>
        <v/>
      </c>
      <c r="E636" s="16" t="str">
        <f>IFERROR(IF([1]对账明细接口!$E$636=0,"",[1]对账明细接口!$E$636),"")</f>
        <v/>
      </c>
      <c r="F636" s="16" t="str">
        <f>IFERROR(IF([1]对账明细接口!$F$636=0,"",[1]对账明细接口!$F$636),"")</f>
        <v/>
      </c>
      <c r="G636" s="16" t="str">
        <f>IFERROR(IF([1]对账明细接口!$G$636=0,"",[1]对账明细接口!$G$636),"")</f>
        <v/>
      </c>
      <c r="H636" s="17" t="str">
        <f>IFERROR(IF([1]对账明细接口!$H$636=0,"",[1]对账明细接口!$H$636),"")</f>
        <v/>
      </c>
      <c r="I636" s="16" t="str">
        <f>IFERROR(IF([1]对账明细接口!$I$636=0,"",[1]对账明细接口!$I$636),"")</f>
        <v/>
      </c>
      <c r="J636" s="18" t="str">
        <f>IFERROR(IF([1]对账明细接口!$J$636=0,"",[1]对账明细接口!$J$636),"")</f>
        <v/>
      </c>
      <c r="K636" s="18" t="str">
        <f>IFERROR(IF([1]对账明细接口!$K$636=0,"",[1]对账明细接口!$K$636),"")</f>
        <v/>
      </c>
      <c r="L636" s="16" t="str">
        <f>IFERROR(IF([1]对账明细接口!$L$636=0,"",[1]对账明细接口!$L$636),"")</f>
        <v/>
      </c>
      <c r="M636" s="16" t="str">
        <f>IFERROR(IF([1]对账明细接口!$M$636=0,"",[1]对账明细接口!$M$636),"")</f>
        <v/>
      </c>
      <c r="N636" s="19">
        <f t="shared" si="18"/>
        <v>0</v>
      </c>
      <c r="O636" s="19">
        <f t="shared" si="19"/>
        <v>420</v>
      </c>
      <c r="S636" s="20" t="str">
        <f>IFERROR(IF([1]对账明细接口!$N636=0,"",[1]对账明细接口!$N636),"")</f>
        <v/>
      </c>
      <c r="T636" s="21" t="str">
        <f>IFERROR(IF([1]对账明细接口!$O636=0,"",[1]对账明细接口!$O636),"")</f>
        <v/>
      </c>
      <c r="U636" s="21" t="str">
        <f>IFERROR(IF([1]对账明细接口!$P636=0,"",[1]对账明细接口!$P636),"")</f>
        <v/>
      </c>
      <c r="V636" s="21" t="str">
        <f>IFERROR(IF([1]对账明细接口!$Q636=0,"",[1]对账明细接口!$Q636),"")</f>
        <v/>
      </c>
      <c r="W636" s="20" t="str">
        <f>IFERROR(IF([1]对账明细接口!$R636=0,"",[1]对账明细接口!$R636),"")</f>
        <v/>
      </c>
      <c r="X636" s="20" t="str">
        <f>IFERROR(IF([1]对账明细接口!$S636=0,"",[1]对账明细接口!$S636),"")</f>
        <v/>
      </c>
      <c r="Y636" s="20" t="str">
        <f>IFERROR(IF([1]对账明细接口!$T636=0,"",[1]对账明细接口!$T636),"")</f>
        <v/>
      </c>
      <c r="Z636" s="24" t="str">
        <f>IFERROR(IF([1]对账明细接口!$U636=0,"",[1]对账明细接口!$U636),"")</f>
        <v/>
      </c>
      <c r="AA636" s="24" t="str">
        <f>IFERROR(IF([1]对账明细接口!$V636=0,"",[1]对账明细接口!$V636),"")</f>
        <v/>
      </c>
      <c r="AB636" s="20" t="str">
        <f>IFERROR(IF([1]对账明细接口!$W636=0,"",[1]对账明细接口!$W636),"")</f>
        <v/>
      </c>
      <c r="AC636" s="7" t="str">
        <f>IFERROR(IF([1]对账明细接口!$X636=0,"",[1]对账明细接口!$X636),"")</f>
        <v/>
      </c>
      <c r="AD636" s="7" t="str">
        <f>IFERROR(IF([1]对账明细接口!$Y636=0,"",[1]对账明细接口!$Y636),"")</f>
        <v/>
      </c>
      <c r="AE636" s="7" t="str">
        <f>IFERROR(IF([1]对账明细接口!$AA636=0,"",[1]对账明细接口!$AA636),"")</f>
        <v/>
      </c>
      <c r="AF636" s="7" t="str">
        <f>IFERROR(IF([1]对账明细接口!$AB636=0,"",[1]对账明细接口!$AB636),"")</f>
        <v/>
      </c>
      <c r="AG636" s="7" t="str">
        <f>IFERROR(IF([1]对账明细接口!$AC636=0,"",[1]对账明细接口!$AC636),"")</f>
        <v/>
      </c>
      <c r="AH636" s="7" t="str">
        <f>IFERROR(IF([1]对账明细接口!$AD636=0,"",[1]对账明细接口!$AD636),"")</f>
        <v/>
      </c>
      <c r="AI636" s="7" t="str">
        <f>IFERROR(IF([1]对账明细接口!$AE636=0,"",[1]对账明细接口!$AE636),"")</f>
        <v/>
      </c>
      <c r="AJ636" s="7" t="str">
        <f>IFERROR(IF([1]对账明细接口!$AF636=0,"",[1]对账明细接口!$AF636),"")</f>
        <v/>
      </c>
    </row>
    <row r="637" ht="14.25" customHeight="1" spans="1:36">
      <c r="A637" s="14">
        <v>637</v>
      </c>
      <c r="B637" s="15" t="str">
        <f>IFERROR(IF([1]对账明细接口!$B$637=0,"",[1]对账明细接口!$B$637),"")</f>
        <v/>
      </c>
      <c r="C637" s="16" t="str">
        <f>IFERROR(IF([1]对账明细接口!$C$637=0,"",[1]对账明细接口!$C$637),"")</f>
        <v/>
      </c>
      <c r="D637" s="16" t="str">
        <f>IFERROR(IF([1]对账明细接口!$D$637=0,"",[1]对账明细接口!$D$637),"")</f>
        <v/>
      </c>
      <c r="E637" s="16" t="str">
        <f>IFERROR(IF([1]对账明细接口!$E$637=0,"",[1]对账明细接口!$E$637),"")</f>
        <v/>
      </c>
      <c r="F637" s="16" t="str">
        <f>IFERROR(IF([1]对账明细接口!$F$637=0,"",[1]对账明细接口!$F$637),"")</f>
        <v/>
      </c>
      <c r="G637" s="16" t="str">
        <f>IFERROR(IF([1]对账明细接口!$G$637=0,"",[1]对账明细接口!$G$637),"")</f>
        <v/>
      </c>
      <c r="H637" s="17" t="str">
        <f>IFERROR(IF([1]对账明细接口!$H$637=0,"",[1]对账明细接口!$H$637),"")</f>
        <v/>
      </c>
      <c r="I637" s="16" t="str">
        <f>IFERROR(IF([1]对账明细接口!$I$637=0,"",[1]对账明细接口!$I$637),"")</f>
        <v/>
      </c>
      <c r="J637" s="18" t="str">
        <f>IFERROR(IF([1]对账明细接口!$J$637=0,"",[1]对账明细接口!$J$637),"")</f>
        <v/>
      </c>
      <c r="K637" s="18" t="str">
        <f>IFERROR(IF([1]对账明细接口!$K$637=0,"",[1]对账明细接口!$K$637),"")</f>
        <v/>
      </c>
      <c r="L637" s="16" t="str">
        <f>IFERROR(IF([1]对账明细接口!$L$637=0,"",[1]对账明细接口!$L$637),"")</f>
        <v/>
      </c>
      <c r="M637" s="16" t="str">
        <f>IFERROR(IF([1]对账明细接口!$M$637=0,"",[1]对账明细接口!$M$637),"")</f>
        <v/>
      </c>
      <c r="N637" s="19">
        <f t="shared" si="18"/>
        <v>0</v>
      </c>
      <c r="O637" s="19">
        <f t="shared" si="19"/>
        <v>420</v>
      </c>
      <c r="S637" s="20" t="str">
        <f>IFERROR(IF([1]对账明细接口!$N637=0,"",[1]对账明细接口!$N637),"")</f>
        <v/>
      </c>
      <c r="T637" s="21" t="str">
        <f>IFERROR(IF([1]对账明细接口!$O637=0,"",[1]对账明细接口!$O637),"")</f>
        <v/>
      </c>
      <c r="U637" s="21" t="str">
        <f>IFERROR(IF([1]对账明细接口!$P637=0,"",[1]对账明细接口!$P637),"")</f>
        <v/>
      </c>
      <c r="V637" s="21" t="str">
        <f>IFERROR(IF([1]对账明细接口!$Q637=0,"",[1]对账明细接口!$Q637),"")</f>
        <v/>
      </c>
      <c r="W637" s="20" t="str">
        <f>IFERROR(IF([1]对账明细接口!$R637=0,"",[1]对账明细接口!$R637),"")</f>
        <v/>
      </c>
      <c r="X637" s="20" t="str">
        <f>IFERROR(IF([1]对账明细接口!$S637=0,"",[1]对账明细接口!$S637),"")</f>
        <v/>
      </c>
      <c r="Y637" s="20" t="str">
        <f>IFERROR(IF([1]对账明细接口!$T637=0,"",[1]对账明细接口!$T637),"")</f>
        <v/>
      </c>
      <c r="Z637" s="24" t="str">
        <f>IFERROR(IF([1]对账明细接口!$U637=0,"",[1]对账明细接口!$U637),"")</f>
        <v/>
      </c>
      <c r="AA637" s="24" t="str">
        <f>IFERROR(IF([1]对账明细接口!$V637=0,"",[1]对账明细接口!$V637),"")</f>
        <v/>
      </c>
      <c r="AB637" s="20" t="str">
        <f>IFERROR(IF([1]对账明细接口!$W637=0,"",[1]对账明细接口!$W637),"")</f>
        <v/>
      </c>
      <c r="AC637" s="7" t="str">
        <f>IFERROR(IF([1]对账明细接口!$X637=0,"",[1]对账明细接口!$X637),"")</f>
        <v/>
      </c>
      <c r="AD637" s="7" t="str">
        <f>IFERROR(IF([1]对账明细接口!$Y637=0,"",[1]对账明细接口!$Y637),"")</f>
        <v/>
      </c>
      <c r="AE637" s="7" t="str">
        <f>IFERROR(IF([1]对账明细接口!$AA637=0,"",[1]对账明细接口!$AA637),"")</f>
        <v/>
      </c>
      <c r="AF637" s="7" t="str">
        <f>IFERROR(IF([1]对账明细接口!$AB637=0,"",[1]对账明细接口!$AB637),"")</f>
        <v/>
      </c>
      <c r="AG637" s="7" t="str">
        <f>IFERROR(IF([1]对账明细接口!$AC637=0,"",[1]对账明细接口!$AC637),"")</f>
        <v/>
      </c>
      <c r="AH637" s="7" t="str">
        <f>IFERROR(IF([1]对账明细接口!$AD637=0,"",[1]对账明细接口!$AD637),"")</f>
        <v/>
      </c>
      <c r="AI637" s="7" t="str">
        <f>IFERROR(IF([1]对账明细接口!$AE637=0,"",[1]对账明细接口!$AE637),"")</f>
        <v/>
      </c>
      <c r="AJ637" s="7" t="str">
        <f>IFERROR(IF([1]对账明细接口!$AF637=0,"",[1]对账明细接口!$AF637),"")</f>
        <v/>
      </c>
    </row>
    <row r="638" ht="14.25" customHeight="1" spans="1:36">
      <c r="A638" s="14">
        <v>638</v>
      </c>
      <c r="B638" s="15" t="str">
        <f>IFERROR(IF([1]对账明细接口!$B$638=0,"",[1]对账明细接口!$B$638),"")</f>
        <v/>
      </c>
      <c r="C638" s="16" t="str">
        <f>IFERROR(IF([1]对账明细接口!$C$638=0,"",[1]对账明细接口!$C$638),"")</f>
        <v/>
      </c>
      <c r="D638" s="16" t="str">
        <f>IFERROR(IF([1]对账明细接口!$D$638=0,"",[1]对账明细接口!$D$638),"")</f>
        <v/>
      </c>
      <c r="E638" s="16" t="str">
        <f>IFERROR(IF([1]对账明细接口!$E$638=0,"",[1]对账明细接口!$E$638),"")</f>
        <v/>
      </c>
      <c r="F638" s="16" t="str">
        <f>IFERROR(IF([1]对账明细接口!$F$638=0,"",[1]对账明细接口!$F$638),"")</f>
        <v/>
      </c>
      <c r="G638" s="16" t="str">
        <f>IFERROR(IF([1]对账明细接口!$G$638=0,"",[1]对账明细接口!$G$638),"")</f>
        <v/>
      </c>
      <c r="H638" s="17" t="str">
        <f>IFERROR(IF([1]对账明细接口!$H$638=0,"",[1]对账明细接口!$H$638),"")</f>
        <v/>
      </c>
      <c r="I638" s="16" t="str">
        <f>IFERROR(IF([1]对账明细接口!$I$638=0,"",[1]对账明细接口!$I$638),"")</f>
        <v/>
      </c>
      <c r="J638" s="18" t="str">
        <f>IFERROR(IF([1]对账明细接口!$J$638=0,"",[1]对账明细接口!$J$638),"")</f>
        <v/>
      </c>
      <c r="K638" s="18" t="str">
        <f>IFERROR(IF([1]对账明细接口!$K$638=0,"",[1]对账明细接口!$K$638),"")</f>
        <v/>
      </c>
      <c r="L638" s="16" t="str">
        <f>IFERROR(IF([1]对账明细接口!$L$638=0,"",[1]对账明细接口!$L$638),"")</f>
        <v/>
      </c>
      <c r="M638" s="16" t="str">
        <f>IFERROR(IF([1]对账明细接口!$M$638=0,"",[1]对账明细接口!$M$638),"")</f>
        <v/>
      </c>
      <c r="N638" s="19">
        <f t="shared" si="18"/>
        <v>0</v>
      </c>
      <c r="O638" s="19">
        <f t="shared" si="19"/>
        <v>420</v>
      </c>
      <c r="S638" s="20" t="str">
        <f>IFERROR(IF([1]对账明细接口!$N638=0,"",[1]对账明细接口!$N638),"")</f>
        <v/>
      </c>
      <c r="T638" s="21" t="str">
        <f>IFERROR(IF([1]对账明细接口!$O638=0,"",[1]对账明细接口!$O638),"")</f>
        <v/>
      </c>
      <c r="U638" s="21" t="str">
        <f>IFERROR(IF([1]对账明细接口!$P638=0,"",[1]对账明细接口!$P638),"")</f>
        <v/>
      </c>
      <c r="V638" s="21" t="str">
        <f>IFERROR(IF([1]对账明细接口!$Q638=0,"",[1]对账明细接口!$Q638),"")</f>
        <v/>
      </c>
      <c r="W638" s="20" t="str">
        <f>IFERROR(IF([1]对账明细接口!$R638=0,"",[1]对账明细接口!$R638),"")</f>
        <v/>
      </c>
      <c r="X638" s="20" t="str">
        <f>IFERROR(IF([1]对账明细接口!$S638=0,"",[1]对账明细接口!$S638),"")</f>
        <v/>
      </c>
      <c r="Y638" s="20" t="str">
        <f>IFERROR(IF([1]对账明细接口!$T638=0,"",[1]对账明细接口!$T638),"")</f>
        <v/>
      </c>
      <c r="Z638" s="24" t="str">
        <f>IFERROR(IF([1]对账明细接口!$U638=0,"",[1]对账明细接口!$U638),"")</f>
        <v/>
      </c>
      <c r="AA638" s="24" t="str">
        <f>IFERROR(IF([1]对账明细接口!$V638=0,"",[1]对账明细接口!$V638),"")</f>
        <v/>
      </c>
      <c r="AB638" s="20" t="str">
        <f>IFERROR(IF([1]对账明细接口!$W638=0,"",[1]对账明细接口!$W638),"")</f>
        <v/>
      </c>
      <c r="AC638" s="7" t="str">
        <f>IFERROR(IF([1]对账明细接口!$X638=0,"",[1]对账明细接口!$X638),"")</f>
        <v/>
      </c>
      <c r="AD638" s="7" t="str">
        <f>IFERROR(IF([1]对账明细接口!$Y638=0,"",[1]对账明细接口!$Y638),"")</f>
        <v/>
      </c>
      <c r="AE638" s="7" t="str">
        <f>IFERROR(IF([1]对账明细接口!$AA638=0,"",[1]对账明细接口!$AA638),"")</f>
        <v/>
      </c>
      <c r="AF638" s="7" t="str">
        <f>IFERROR(IF([1]对账明细接口!$AB638=0,"",[1]对账明细接口!$AB638),"")</f>
        <v/>
      </c>
      <c r="AG638" s="7" t="str">
        <f>IFERROR(IF([1]对账明细接口!$AC638=0,"",[1]对账明细接口!$AC638),"")</f>
        <v/>
      </c>
      <c r="AH638" s="7" t="str">
        <f>IFERROR(IF([1]对账明细接口!$AD638=0,"",[1]对账明细接口!$AD638),"")</f>
        <v/>
      </c>
      <c r="AI638" s="7" t="str">
        <f>IFERROR(IF([1]对账明细接口!$AE638=0,"",[1]对账明细接口!$AE638),"")</f>
        <v/>
      </c>
      <c r="AJ638" s="7" t="str">
        <f>IFERROR(IF([1]对账明细接口!$AF638=0,"",[1]对账明细接口!$AF638),"")</f>
        <v/>
      </c>
    </row>
    <row r="639" ht="14.25" customHeight="1" spans="1:36">
      <c r="A639" s="14">
        <v>639</v>
      </c>
      <c r="B639" s="15" t="str">
        <f>IFERROR(IF([1]对账明细接口!$B$639=0,"",[1]对账明细接口!$B$639),"")</f>
        <v/>
      </c>
      <c r="C639" s="16" t="str">
        <f>IFERROR(IF([1]对账明细接口!$C$639=0,"",[1]对账明细接口!$C$639),"")</f>
        <v/>
      </c>
      <c r="D639" s="16" t="str">
        <f>IFERROR(IF([1]对账明细接口!$D$639=0,"",[1]对账明细接口!$D$639),"")</f>
        <v/>
      </c>
      <c r="E639" s="16" t="str">
        <f>IFERROR(IF([1]对账明细接口!$E$639=0,"",[1]对账明细接口!$E$639),"")</f>
        <v/>
      </c>
      <c r="F639" s="16" t="str">
        <f>IFERROR(IF([1]对账明细接口!$F$639=0,"",[1]对账明细接口!$F$639),"")</f>
        <v/>
      </c>
      <c r="G639" s="16" t="str">
        <f>IFERROR(IF([1]对账明细接口!$G$639=0,"",[1]对账明细接口!$G$639),"")</f>
        <v/>
      </c>
      <c r="H639" s="17" t="str">
        <f>IFERROR(IF([1]对账明细接口!$H$639=0,"",[1]对账明细接口!$H$639),"")</f>
        <v/>
      </c>
      <c r="I639" s="16" t="str">
        <f>IFERROR(IF([1]对账明细接口!$I$639=0,"",[1]对账明细接口!$I$639),"")</f>
        <v/>
      </c>
      <c r="J639" s="18" t="str">
        <f>IFERROR(IF([1]对账明细接口!$J$639=0,"",[1]对账明细接口!$J$639),"")</f>
        <v/>
      </c>
      <c r="K639" s="18" t="str">
        <f>IFERROR(IF([1]对账明细接口!$K$639=0,"",[1]对账明细接口!$K$639),"")</f>
        <v/>
      </c>
      <c r="L639" s="16" t="str">
        <f>IFERROR(IF([1]对账明细接口!$L$639=0,"",[1]对账明细接口!$L$639),"")</f>
        <v/>
      </c>
      <c r="M639" s="16" t="str">
        <f>IFERROR(IF([1]对账明细接口!$M$639=0,"",[1]对账明细接口!$M$639),"")</f>
        <v/>
      </c>
      <c r="N639" s="19">
        <f t="shared" si="18"/>
        <v>0</v>
      </c>
      <c r="O639" s="19">
        <f t="shared" si="19"/>
        <v>420</v>
      </c>
      <c r="S639" s="20" t="str">
        <f>IFERROR(IF([1]对账明细接口!$N639=0,"",[1]对账明细接口!$N639),"")</f>
        <v/>
      </c>
      <c r="T639" s="21" t="str">
        <f>IFERROR(IF([1]对账明细接口!$O639=0,"",[1]对账明细接口!$O639),"")</f>
        <v/>
      </c>
      <c r="U639" s="21" t="str">
        <f>IFERROR(IF([1]对账明细接口!$P639=0,"",[1]对账明细接口!$P639),"")</f>
        <v/>
      </c>
      <c r="V639" s="21" t="str">
        <f>IFERROR(IF([1]对账明细接口!$Q639=0,"",[1]对账明细接口!$Q639),"")</f>
        <v/>
      </c>
      <c r="W639" s="20" t="str">
        <f>IFERROR(IF([1]对账明细接口!$R639=0,"",[1]对账明细接口!$R639),"")</f>
        <v/>
      </c>
      <c r="X639" s="20" t="str">
        <f>IFERROR(IF([1]对账明细接口!$S639=0,"",[1]对账明细接口!$S639),"")</f>
        <v/>
      </c>
      <c r="Y639" s="20" t="str">
        <f>IFERROR(IF([1]对账明细接口!$T639=0,"",[1]对账明细接口!$T639),"")</f>
        <v/>
      </c>
      <c r="Z639" s="24" t="str">
        <f>IFERROR(IF([1]对账明细接口!$U639=0,"",[1]对账明细接口!$U639),"")</f>
        <v/>
      </c>
      <c r="AA639" s="24" t="str">
        <f>IFERROR(IF([1]对账明细接口!$V639=0,"",[1]对账明细接口!$V639),"")</f>
        <v/>
      </c>
      <c r="AB639" s="20" t="str">
        <f>IFERROR(IF([1]对账明细接口!$W639=0,"",[1]对账明细接口!$W639),"")</f>
        <v/>
      </c>
      <c r="AC639" s="7" t="str">
        <f>IFERROR(IF([1]对账明细接口!$X639=0,"",[1]对账明细接口!$X639),"")</f>
        <v/>
      </c>
      <c r="AD639" s="7" t="str">
        <f>IFERROR(IF([1]对账明细接口!$Y639=0,"",[1]对账明细接口!$Y639),"")</f>
        <v/>
      </c>
      <c r="AE639" s="7" t="str">
        <f>IFERROR(IF([1]对账明细接口!$AA639=0,"",[1]对账明细接口!$AA639),"")</f>
        <v/>
      </c>
      <c r="AF639" s="7" t="str">
        <f>IFERROR(IF([1]对账明细接口!$AB639=0,"",[1]对账明细接口!$AB639),"")</f>
        <v/>
      </c>
      <c r="AG639" s="7" t="str">
        <f>IFERROR(IF([1]对账明细接口!$AC639=0,"",[1]对账明细接口!$AC639),"")</f>
        <v/>
      </c>
      <c r="AH639" s="7" t="str">
        <f>IFERROR(IF([1]对账明细接口!$AD639=0,"",[1]对账明细接口!$AD639),"")</f>
        <v/>
      </c>
      <c r="AI639" s="7" t="str">
        <f>IFERROR(IF([1]对账明细接口!$AE639=0,"",[1]对账明细接口!$AE639),"")</f>
        <v/>
      </c>
      <c r="AJ639" s="7" t="str">
        <f>IFERROR(IF([1]对账明细接口!$AF639=0,"",[1]对账明细接口!$AF639),"")</f>
        <v/>
      </c>
    </row>
    <row r="640" ht="14.25" customHeight="1" spans="1:36">
      <c r="A640" s="14">
        <v>640</v>
      </c>
      <c r="B640" s="15" t="str">
        <f>IFERROR(IF([1]对账明细接口!$B$640=0,"",[1]对账明细接口!$B$640),"")</f>
        <v/>
      </c>
      <c r="C640" s="16" t="str">
        <f>IFERROR(IF([1]对账明细接口!$C$640=0,"",[1]对账明细接口!$C$640),"")</f>
        <v/>
      </c>
      <c r="D640" s="16" t="str">
        <f>IFERROR(IF([1]对账明细接口!$D$640=0,"",[1]对账明细接口!$D$640),"")</f>
        <v/>
      </c>
      <c r="E640" s="16" t="str">
        <f>IFERROR(IF([1]对账明细接口!$E$640=0,"",[1]对账明细接口!$E$640),"")</f>
        <v/>
      </c>
      <c r="F640" s="16" t="str">
        <f>IFERROR(IF([1]对账明细接口!$F$640=0,"",[1]对账明细接口!$F$640),"")</f>
        <v/>
      </c>
      <c r="G640" s="16" t="str">
        <f>IFERROR(IF([1]对账明细接口!$G$640=0,"",[1]对账明细接口!$G$640),"")</f>
        <v/>
      </c>
      <c r="H640" s="17" t="str">
        <f>IFERROR(IF([1]对账明细接口!$H$640=0,"",[1]对账明细接口!$H$640),"")</f>
        <v/>
      </c>
      <c r="I640" s="16" t="str">
        <f>IFERROR(IF([1]对账明细接口!$I$640=0,"",[1]对账明细接口!$I$640),"")</f>
        <v/>
      </c>
      <c r="J640" s="18" t="str">
        <f>IFERROR(IF([1]对账明细接口!$J$640=0,"",[1]对账明细接口!$J$640),"")</f>
        <v/>
      </c>
      <c r="K640" s="18" t="str">
        <f>IFERROR(IF([1]对账明细接口!$K$640=0,"",[1]对账明细接口!$K$640),"")</f>
        <v/>
      </c>
      <c r="L640" s="16" t="str">
        <f>IFERROR(IF([1]对账明细接口!$L$640=0,"",[1]对账明细接口!$L$640),"")</f>
        <v/>
      </c>
      <c r="M640" s="16" t="str">
        <f>IFERROR(IF([1]对账明细接口!$M$640=0,"",[1]对账明细接口!$M$640),"")</f>
        <v/>
      </c>
      <c r="N640" s="19">
        <f t="shared" si="18"/>
        <v>0</v>
      </c>
      <c r="O640" s="19">
        <f t="shared" si="19"/>
        <v>420</v>
      </c>
      <c r="S640" s="20" t="str">
        <f>IFERROR(IF([1]对账明细接口!$N640=0,"",[1]对账明细接口!$N640),"")</f>
        <v/>
      </c>
      <c r="T640" s="21" t="str">
        <f>IFERROR(IF([1]对账明细接口!$O640=0,"",[1]对账明细接口!$O640),"")</f>
        <v/>
      </c>
      <c r="U640" s="21" t="str">
        <f>IFERROR(IF([1]对账明细接口!$P640=0,"",[1]对账明细接口!$P640),"")</f>
        <v/>
      </c>
      <c r="V640" s="21" t="str">
        <f>IFERROR(IF([1]对账明细接口!$Q640=0,"",[1]对账明细接口!$Q640),"")</f>
        <v/>
      </c>
      <c r="W640" s="20" t="str">
        <f>IFERROR(IF([1]对账明细接口!$R640=0,"",[1]对账明细接口!$R640),"")</f>
        <v/>
      </c>
      <c r="X640" s="20" t="str">
        <f>IFERROR(IF([1]对账明细接口!$S640=0,"",[1]对账明细接口!$S640),"")</f>
        <v/>
      </c>
      <c r="Y640" s="20" t="str">
        <f>IFERROR(IF([1]对账明细接口!$T640=0,"",[1]对账明细接口!$T640),"")</f>
        <v/>
      </c>
      <c r="Z640" s="24" t="str">
        <f>IFERROR(IF([1]对账明细接口!$U640=0,"",[1]对账明细接口!$U640),"")</f>
        <v/>
      </c>
      <c r="AA640" s="24" t="str">
        <f>IFERROR(IF([1]对账明细接口!$V640=0,"",[1]对账明细接口!$V640),"")</f>
        <v/>
      </c>
      <c r="AB640" s="20" t="str">
        <f>IFERROR(IF([1]对账明细接口!$W640=0,"",[1]对账明细接口!$W640),"")</f>
        <v/>
      </c>
      <c r="AC640" s="7" t="str">
        <f>IFERROR(IF([1]对账明细接口!$X640=0,"",[1]对账明细接口!$X640),"")</f>
        <v/>
      </c>
      <c r="AD640" s="7" t="str">
        <f>IFERROR(IF([1]对账明细接口!$Y640=0,"",[1]对账明细接口!$Y640),"")</f>
        <v/>
      </c>
      <c r="AE640" s="7" t="str">
        <f>IFERROR(IF([1]对账明细接口!$AA640=0,"",[1]对账明细接口!$AA640),"")</f>
        <v/>
      </c>
      <c r="AF640" s="7" t="str">
        <f>IFERROR(IF([1]对账明细接口!$AB640=0,"",[1]对账明细接口!$AB640),"")</f>
        <v/>
      </c>
      <c r="AG640" s="7" t="str">
        <f>IFERROR(IF([1]对账明细接口!$AC640=0,"",[1]对账明细接口!$AC640),"")</f>
        <v/>
      </c>
      <c r="AH640" s="7" t="str">
        <f>IFERROR(IF([1]对账明细接口!$AD640=0,"",[1]对账明细接口!$AD640),"")</f>
        <v/>
      </c>
      <c r="AI640" s="7" t="str">
        <f>IFERROR(IF([1]对账明细接口!$AE640=0,"",[1]对账明细接口!$AE640),"")</f>
        <v/>
      </c>
      <c r="AJ640" s="7" t="str">
        <f>IFERROR(IF([1]对账明细接口!$AF640=0,"",[1]对账明细接口!$AF640),"")</f>
        <v/>
      </c>
    </row>
    <row r="641" ht="14.25" customHeight="1" spans="1:36">
      <c r="A641" s="14">
        <v>641</v>
      </c>
      <c r="B641" s="15" t="str">
        <f>IFERROR(IF([1]对账明细接口!$B$641=0,"",[1]对账明细接口!$B$641),"")</f>
        <v/>
      </c>
      <c r="C641" s="16" t="str">
        <f>IFERROR(IF([1]对账明细接口!$C$641=0,"",[1]对账明细接口!$C$641),"")</f>
        <v/>
      </c>
      <c r="D641" s="16" t="str">
        <f>IFERROR(IF([1]对账明细接口!$D$641=0,"",[1]对账明细接口!$D$641),"")</f>
        <v/>
      </c>
      <c r="E641" s="16" t="str">
        <f>IFERROR(IF([1]对账明细接口!$E$641=0,"",[1]对账明细接口!$E$641),"")</f>
        <v/>
      </c>
      <c r="F641" s="16" t="str">
        <f>IFERROR(IF([1]对账明细接口!$F$641=0,"",[1]对账明细接口!$F$641),"")</f>
        <v/>
      </c>
      <c r="G641" s="16" t="str">
        <f>IFERROR(IF([1]对账明细接口!$G$641=0,"",[1]对账明细接口!$G$641),"")</f>
        <v/>
      </c>
      <c r="H641" s="17" t="str">
        <f>IFERROR(IF([1]对账明细接口!$H$641=0,"",[1]对账明细接口!$H$641),"")</f>
        <v/>
      </c>
      <c r="I641" s="16" t="str">
        <f>IFERROR(IF([1]对账明细接口!$I$641=0,"",[1]对账明细接口!$I$641),"")</f>
        <v/>
      </c>
      <c r="J641" s="18" t="str">
        <f>IFERROR(IF([1]对账明细接口!$J$641=0,"",[1]对账明细接口!$J$641),"")</f>
        <v/>
      </c>
      <c r="K641" s="18" t="str">
        <f>IFERROR(IF([1]对账明细接口!$K$641=0,"",[1]对账明细接口!$K$641),"")</f>
        <v/>
      </c>
      <c r="L641" s="16" t="str">
        <f>IFERROR(IF([1]对账明细接口!$L$641=0,"",[1]对账明细接口!$L$641),"")</f>
        <v/>
      </c>
      <c r="M641" s="16" t="str">
        <f>IFERROR(IF([1]对账明细接口!$M$641=0,"",[1]对账明细接口!$M$641),"")</f>
        <v/>
      </c>
      <c r="N641" s="19">
        <f t="shared" si="18"/>
        <v>0</v>
      </c>
      <c r="O641" s="19">
        <f t="shared" si="19"/>
        <v>420</v>
      </c>
      <c r="S641" s="20" t="str">
        <f>IFERROR(IF([1]对账明细接口!$N641=0,"",[1]对账明细接口!$N641),"")</f>
        <v/>
      </c>
      <c r="T641" s="21" t="str">
        <f>IFERROR(IF([1]对账明细接口!$O641=0,"",[1]对账明细接口!$O641),"")</f>
        <v/>
      </c>
      <c r="U641" s="21" t="str">
        <f>IFERROR(IF([1]对账明细接口!$P641=0,"",[1]对账明细接口!$P641),"")</f>
        <v/>
      </c>
      <c r="V641" s="21" t="str">
        <f>IFERROR(IF([1]对账明细接口!$Q641=0,"",[1]对账明细接口!$Q641),"")</f>
        <v/>
      </c>
      <c r="W641" s="20" t="str">
        <f>IFERROR(IF([1]对账明细接口!$R641=0,"",[1]对账明细接口!$R641),"")</f>
        <v/>
      </c>
      <c r="X641" s="20" t="str">
        <f>IFERROR(IF([1]对账明细接口!$S641=0,"",[1]对账明细接口!$S641),"")</f>
        <v/>
      </c>
      <c r="Y641" s="20" t="str">
        <f>IFERROR(IF([1]对账明细接口!$T641=0,"",[1]对账明细接口!$T641),"")</f>
        <v/>
      </c>
      <c r="Z641" s="24" t="str">
        <f>IFERROR(IF([1]对账明细接口!$U641=0,"",[1]对账明细接口!$U641),"")</f>
        <v/>
      </c>
      <c r="AA641" s="24" t="str">
        <f>IFERROR(IF([1]对账明细接口!$V641=0,"",[1]对账明细接口!$V641),"")</f>
        <v/>
      </c>
      <c r="AB641" s="20" t="str">
        <f>IFERROR(IF([1]对账明细接口!$W641=0,"",[1]对账明细接口!$W641),"")</f>
        <v/>
      </c>
      <c r="AC641" s="7" t="str">
        <f>IFERROR(IF([1]对账明细接口!$X641=0,"",[1]对账明细接口!$X641),"")</f>
        <v/>
      </c>
      <c r="AD641" s="7" t="str">
        <f>IFERROR(IF([1]对账明细接口!$Y641=0,"",[1]对账明细接口!$Y641),"")</f>
        <v/>
      </c>
      <c r="AE641" s="7" t="str">
        <f>IFERROR(IF([1]对账明细接口!$AA641=0,"",[1]对账明细接口!$AA641),"")</f>
        <v/>
      </c>
      <c r="AF641" s="7" t="str">
        <f>IFERROR(IF([1]对账明细接口!$AB641=0,"",[1]对账明细接口!$AB641),"")</f>
        <v/>
      </c>
      <c r="AG641" s="7" t="str">
        <f>IFERROR(IF([1]对账明细接口!$AC641=0,"",[1]对账明细接口!$AC641),"")</f>
        <v/>
      </c>
      <c r="AH641" s="7" t="str">
        <f>IFERROR(IF([1]对账明细接口!$AD641=0,"",[1]对账明细接口!$AD641),"")</f>
        <v/>
      </c>
      <c r="AI641" s="7" t="str">
        <f>IFERROR(IF([1]对账明细接口!$AE641=0,"",[1]对账明细接口!$AE641),"")</f>
        <v/>
      </c>
      <c r="AJ641" s="7" t="str">
        <f>IFERROR(IF([1]对账明细接口!$AF641=0,"",[1]对账明细接口!$AF641),"")</f>
        <v/>
      </c>
    </row>
    <row r="642" ht="14.25" customHeight="1" spans="1:36">
      <c r="A642" s="14">
        <v>642</v>
      </c>
      <c r="B642" s="15" t="str">
        <f>IFERROR(IF([1]对账明细接口!$B$642=0,"",[1]对账明细接口!$B$642),"")</f>
        <v/>
      </c>
      <c r="C642" s="16" t="str">
        <f>IFERROR(IF([1]对账明细接口!$C$642=0,"",[1]对账明细接口!$C$642),"")</f>
        <v/>
      </c>
      <c r="D642" s="16" t="str">
        <f>IFERROR(IF([1]对账明细接口!$D$642=0,"",[1]对账明细接口!$D$642),"")</f>
        <v/>
      </c>
      <c r="E642" s="16" t="str">
        <f>IFERROR(IF([1]对账明细接口!$E$642=0,"",[1]对账明细接口!$E$642),"")</f>
        <v/>
      </c>
      <c r="F642" s="16" t="str">
        <f>IFERROR(IF([1]对账明细接口!$F$642=0,"",[1]对账明细接口!$F$642),"")</f>
        <v/>
      </c>
      <c r="G642" s="16" t="str">
        <f>IFERROR(IF([1]对账明细接口!$G$642=0,"",[1]对账明细接口!$G$642),"")</f>
        <v/>
      </c>
      <c r="H642" s="17" t="str">
        <f>IFERROR(IF([1]对账明细接口!$H$642=0,"",[1]对账明细接口!$H$642),"")</f>
        <v/>
      </c>
      <c r="I642" s="16" t="str">
        <f>IFERROR(IF([1]对账明细接口!$I$642=0,"",[1]对账明细接口!$I$642),"")</f>
        <v/>
      </c>
      <c r="J642" s="18" t="str">
        <f>IFERROR(IF([1]对账明细接口!$J$642=0,"",[1]对账明细接口!$J$642),"")</f>
        <v/>
      </c>
      <c r="K642" s="18" t="str">
        <f>IFERROR(IF([1]对账明细接口!$K$642=0,"",[1]对账明细接口!$K$642),"")</f>
        <v/>
      </c>
      <c r="L642" s="16" t="str">
        <f>IFERROR(IF([1]对账明细接口!$L$642=0,"",[1]对账明细接口!$L$642),"")</f>
        <v/>
      </c>
      <c r="M642" s="16" t="str">
        <f>IFERROR(IF([1]对账明细接口!$M$642=0,"",[1]对账明细接口!$M$642),"")</f>
        <v/>
      </c>
      <c r="N642" s="19">
        <f t="shared" si="18"/>
        <v>0</v>
      </c>
      <c r="O642" s="19">
        <f t="shared" si="19"/>
        <v>420</v>
      </c>
      <c r="S642" s="20" t="str">
        <f>IFERROR(IF([1]对账明细接口!$N642=0,"",[1]对账明细接口!$N642),"")</f>
        <v/>
      </c>
      <c r="T642" s="21" t="str">
        <f>IFERROR(IF([1]对账明细接口!$O642=0,"",[1]对账明细接口!$O642),"")</f>
        <v/>
      </c>
      <c r="U642" s="21" t="str">
        <f>IFERROR(IF([1]对账明细接口!$P642=0,"",[1]对账明细接口!$P642),"")</f>
        <v/>
      </c>
      <c r="V642" s="21" t="str">
        <f>IFERROR(IF([1]对账明细接口!$Q642=0,"",[1]对账明细接口!$Q642),"")</f>
        <v/>
      </c>
      <c r="W642" s="20" t="str">
        <f>IFERROR(IF([1]对账明细接口!$R642=0,"",[1]对账明细接口!$R642),"")</f>
        <v/>
      </c>
      <c r="X642" s="20" t="str">
        <f>IFERROR(IF([1]对账明细接口!$S642=0,"",[1]对账明细接口!$S642),"")</f>
        <v/>
      </c>
      <c r="Y642" s="20" t="str">
        <f>IFERROR(IF([1]对账明细接口!$T642=0,"",[1]对账明细接口!$T642),"")</f>
        <v/>
      </c>
      <c r="Z642" s="24" t="str">
        <f>IFERROR(IF([1]对账明细接口!$U642=0,"",[1]对账明细接口!$U642),"")</f>
        <v/>
      </c>
      <c r="AA642" s="24" t="str">
        <f>IFERROR(IF([1]对账明细接口!$V642=0,"",[1]对账明细接口!$V642),"")</f>
        <v/>
      </c>
      <c r="AB642" s="20" t="str">
        <f>IFERROR(IF([1]对账明细接口!$W642=0,"",[1]对账明细接口!$W642),"")</f>
        <v/>
      </c>
      <c r="AC642" s="7" t="str">
        <f>IFERROR(IF([1]对账明细接口!$X642=0,"",[1]对账明细接口!$X642),"")</f>
        <v/>
      </c>
      <c r="AD642" s="7" t="str">
        <f>IFERROR(IF([1]对账明细接口!$Y642=0,"",[1]对账明细接口!$Y642),"")</f>
        <v/>
      </c>
      <c r="AE642" s="7" t="str">
        <f>IFERROR(IF([1]对账明细接口!$AA642=0,"",[1]对账明细接口!$AA642),"")</f>
        <v/>
      </c>
      <c r="AF642" s="7" t="str">
        <f>IFERROR(IF([1]对账明细接口!$AB642=0,"",[1]对账明细接口!$AB642),"")</f>
        <v/>
      </c>
      <c r="AG642" s="7" t="str">
        <f>IFERROR(IF([1]对账明细接口!$AC642=0,"",[1]对账明细接口!$AC642),"")</f>
        <v/>
      </c>
      <c r="AH642" s="7" t="str">
        <f>IFERROR(IF([1]对账明细接口!$AD642=0,"",[1]对账明细接口!$AD642),"")</f>
        <v/>
      </c>
      <c r="AI642" s="7" t="str">
        <f>IFERROR(IF([1]对账明细接口!$AE642=0,"",[1]对账明细接口!$AE642),"")</f>
        <v/>
      </c>
      <c r="AJ642" s="7" t="str">
        <f>IFERROR(IF([1]对账明细接口!$AF642=0,"",[1]对账明细接口!$AF642),"")</f>
        <v/>
      </c>
    </row>
    <row r="643" ht="14.25" customHeight="1" spans="1:36">
      <c r="A643" s="14">
        <v>643</v>
      </c>
      <c r="B643" s="15" t="str">
        <f>IFERROR(IF([1]对账明细接口!$B$643=0,"",[1]对账明细接口!$B$643),"")</f>
        <v/>
      </c>
      <c r="C643" s="16" t="str">
        <f>IFERROR(IF([1]对账明细接口!$C$643=0,"",[1]对账明细接口!$C$643),"")</f>
        <v/>
      </c>
      <c r="D643" s="16" t="str">
        <f>IFERROR(IF([1]对账明细接口!$D$643=0,"",[1]对账明细接口!$D$643),"")</f>
        <v/>
      </c>
      <c r="E643" s="16" t="str">
        <f>IFERROR(IF([1]对账明细接口!$E$643=0,"",[1]对账明细接口!$E$643),"")</f>
        <v/>
      </c>
      <c r="F643" s="16" t="str">
        <f>IFERROR(IF([1]对账明细接口!$F$643=0,"",[1]对账明细接口!$F$643),"")</f>
        <v/>
      </c>
      <c r="G643" s="16" t="str">
        <f>IFERROR(IF([1]对账明细接口!$G$643=0,"",[1]对账明细接口!$G$643),"")</f>
        <v/>
      </c>
      <c r="H643" s="17" t="str">
        <f>IFERROR(IF([1]对账明细接口!$H$643=0,"",[1]对账明细接口!$H$643),"")</f>
        <v/>
      </c>
      <c r="I643" s="16" t="str">
        <f>IFERROR(IF([1]对账明细接口!$I$643=0,"",[1]对账明细接口!$I$643),"")</f>
        <v/>
      </c>
      <c r="J643" s="18" t="str">
        <f>IFERROR(IF([1]对账明细接口!$J$643=0,"",[1]对账明细接口!$J$643),"")</f>
        <v/>
      </c>
      <c r="K643" s="18" t="str">
        <f>IFERROR(IF([1]对账明细接口!$K$643=0,"",[1]对账明细接口!$K$643),"")</f>
        <v/>
      </c>
      <c r="L643" s="16" t="str">
        <f>IFERROR(IF([1]对账明细接口!$L$643=0,"",[1]对账明细接口!$L$643),"")</f>
        <v/>
      </c>
      <c r="M643" s="16" t="str">
        <f>IFERROR(IF([1]对账明细接口!$M$643=0,"",[1]对账明细接口!$M$643),"")</f>
        <v/>
      </c>
      <c r="N643" s="19">
        <f t="shared" si="18"/>
        <v>0</v>
      </c>
      <c r="O643" s="19">
        <f t="shared" si="19"/>
        <v>420</v>
      </c>
      <c r="S643" s="20" t="str">
        <f>IFERROR(IF([1]对账明细接口!$N643=0,"",[1]对账明细接口!$N643),"")</f>
        <v/>
      </c>
      <c r="T643" s="21" t="str">
        <f>IFERROR(IF([1]对账明细接口!$O643=0,"",[1]对账明细接口!$O643),"")</f>
        <v/>
      </c>
      <c r="U643" s="21" t="str">
        <f>IFERROR(IF([1]对账明细接口!$P643=0,"",[1]对账明细接口!$P643),"")</f>
        <v/>
      </c>
      <c r="V643" s="21" t="str">
        <f>IFERROR(IF([1]对账明细接口!$Q643=0,"",[1]对账明细接口!$Q643),"")</f>
        <v/>
      </c>
      <c r="W643" s="20" t="str">
        <f>IFERROR(IF([1]对账明细接口!$R643=0,"",[1]对账明细接口!$R643),"")</f>
        <v/>
      </c>
      <c r="X643" s="20" t="str">
        <f>IFERROR(IF([1]对账明细接口!$S643=0,"",[1]对账明细接口!$S643),"")</f>
        <v/>
      </c>
      <c r="Y643" s="20" t="str">
        <f>IFERROR(IF([1]对账明细接口!$T643=0,"",[1]对账明细接口!$T643),"")</f>
        <v/>
      </c>
      <c r="Z643" s="24" t="str">
        <f>IFERROR(IF([1]对账明细接口!$U643=0,"",[1]对账明细接口!$U643),"")</f>
        <v/>
      </c>
      <c r="AA643" s="24" t="str">
        <f>IFERROR(IF([1]对账明细接口!$V643=0,"",[1]对账明细接口!$V643),"")</f>
        <v/>
      </c>
      <c r="AB643" s="20" t="str">
        <f>IFERROR(IF([1]对账明细接口!$W643=0,"",[1]对账明细接口!$W643),"")</f>
        <v/>
      </c>
      <c r="AC643" s="7" t="str">
        <f>IFERROR(IF([1]对账明细接口!$X643=0,"",[1]对账明细接口!$X643),"")</f>
        <v/>
      </c>
      <c r="AD643" s="7" t="str">
        <f>IFERROR(IF([1]对账明细接口!$Y643=0,"",[1]对账明细接口!$Y643),"")</f>
        <v/>
      </c>
      <c r="AE643" s="7" t="str">
        <f>IFERROR(IF([1]对账明细接口!$AA643=0,"",[1]对账明细接口!$AA643),"")</f>
        <v/>
      </c>
      <c r="AF643" s="7" t="str">
        <f>IFERROR(IF([1]对账明细接口!$AB643=0,"",[1]对账明细接口!$AB643),"")</f>
        <v/>
      </c>
      <c r="AG643" s="7" t="str">
        <f>IFERROR(IF([1]对账明细接口!$AC643=0,"",[1]对账明细接口!$AC643),"")</f>
        <v/>
      </c>
      <c r="AH643" s="7" t="str">
        <f>IFERROR(IF([1]对账明细接口!$AD643=0,"",[1]对账明细接口!$AD643),"")</f>
        <v/>
      </c>
      <c r="AI643" s="7" t="str">
        <f>IFERROR(IF([1]对账明细接口!$AE643=0,"",[1]对账明细接口!$AE643),"")</f>
        <v/>
      </c>
      <c r="AJ643" s="7" t="str">
        <f>IFERROR(IF([1]对账明细接口!$AF643=0,"",[1]对账明细接口!$AF643),"")</f>
        <v/>
      </c>
    </row>
    <row r="644" ht="14.25" customHeight="1" spans="1:36">
      <c r="A644" s="14">
        <v>644</v>
      </c>
      <c r="B644" s="15" t="str">
        <f>IFERROR(IF([1]对账明细接口!$B$644=0,"",[1]对账明细接口!$B$644),"")</f>
        <v/>
      </c>
      <c r="C644" s="16" t="str">
        <f>IFERROR(IF([1]对账明细接口!$C$644=0,"",[1]对账明细接口!$C$644),"")</f>
        <v/>
      </c>
      <c r="D644" s="16" t="str">
        <f>IFERROR(IF([1]对账明细接口!$D$644=0,"",[1]对账明细接口!$D$644),"")</f>
        <v/>
      </c>
      <c r="E644" s="16" t="str">
        <f>IFERROR(IF([1]对账明细接口!$E$644=0,"",[1]对账明细接口!$E$644),"")</f>
        <v/>
      </c>
      <c r="F644" s="16" t="str">
        <f>IFERROR(IF([1]对账明细接口!$F$644=0,"",[1]对账明细接口!$F$644),"")</f>
        <v/>
      </c>
      <c r="G644" s="16" t="str">
        <f>IFERROR(IF([1]对账明细接口!$G$644=0,"",[1]对账明细接口!$G$644),"")</f>
        <v/>
      </c>
      <c r="H644" s="17" t="str">
        <f>IFERROR(IF([1]对账明细接口!$H$644=0,"",[1]对账明细接口!$H$644),"")</f>
        <v/>
      </c>
      <c r="I644" s="16" t="str">
        <f>IFERROR(IF([1]对账明细接口!$I$644=0,"",[1]对账明细接口!$I$644),"")</f>
        <v/>
      </c>
      <c r="J644" s="18" t="str">
        <f>IFERROR(IF([1]对账明细接口!$J$644=0,"",[1]对账明细接口!$J$644),"")</f>
        <v/>
      </c>
      <c r="K644" s="18" t="str">
        <f>IFERROR(IF([1]对账明细接口!$K$644=0,"",[1]对账明细接口!$K$644),"")</f>
        <v/>
      </c>
      <c r="L644" s="16" t="str">
        <f>IFERROR(IF([1]对账明细接口!$L$644=0,"",[1]对账明细接口!$L$644),"")</f>
        <v/>
      </c>
      <c r="M644" s="16" t="str">
        <f>IFERROR(IF([1]对账明细接口!$M$644=0,"",[1]对账明细接口!$M$644),"")</f>
        <v/>
      </c>
      <c r="N644" s="19">
        <f t="shared" ref="N644:N707" si="20">IF($C644="",0,1)</f>
        <v>0</v>
      </c>
      <c r="O644" s="19">
        <f t="shared" ref="O644:O707" si="21">N(O643)+$N644</f>
        <v>420</v>
      </c>
      <c r="S644" s="20" t="str">
        <f>IFERROR(IF([1]对账明细接口!$N644=0,"",[1]对账明细接口!$N644),"")</f>
        <v/>
      </c>
      <c r="T644" s="21" t="str">
        <f>IFERROR(IF([1]对账明细接口!$O644=0,"",[1]对账明细接口!$O644),"")</f>
        <v/>
      </c>
      <c r="U644" s="21" t="str">
        <f>IFERROR(IF([1]对账明细接口!$P644=0,"",[1]对账明细接口!$P644),"")</f>
        <v/>
      </c>
      <c r="V644" s="21" t="str">
        <f>IFERROR(IF([1]对账明细接口!$Q644=0,"",[1]对账明细接口!$Q644),"")</f>
        <v/>
      </c>
      <c r="W644" s="20" t="str">
        <f>IFERROR(IF([1]对账明细接口!$R644=0,"",[1]对账明细接口!$R644),"")</f>
        <v/>
      </c>
      <c r="X644" s="20" t="str">
        <f>IFERROR(IF([1]对账明细接口!$S644=0,"",[1]对账明细接口!$S644),"")</f>
        <v/>
      </c>
      <c r="Y644" s="20" t="str">
        <f>IFERROR(IF([1]对账明细接口!$T644=0,"",[1]对账明细接口!$T644),"")</f>
        <v/>
      </c>
      <c r="Z644" s="24" t="str">
        <f>IFERROR(IF([1]对账明细接口!$U644=0,"",[1]对账明细接口!$U644),"")</f>
        <v/>
      </c>
      <c r="AA644" s="24" t="str">
        <f>IFERROR(IF([1]对账明细接口!$V644=0,"",[1]对账明细接口!$V644),"")</f>
        <v/>
      </c>
      <c r="AB644" s="20" t="str">
        <f>IFERROR(IF([1]对账明细接口!$W644=0,"",[1]对账明细接口!$W644),"")</f>
        <v/>
      </c>
      <c r="AC644" s="7" t="str">
        <f>IFERROR(IF([1]对账明细接口!$X644=0,"",[1]对账明细接口!$X644),"")</f>
        <v/>
      </c>
      <c r="AD644" s="7" t="str">
        <f>IFERROR(IF([1]对账明细接口!$Y644=0,"",[1]对账明细接口!$Y644),"")</f>
        <v/>
      </c>
      <c r="AE644" s="7" t="str">
        <f>IFERROR(IF([1]对账明细接口!$AA644=0,"",[1]对账明细接口!$AA644),"")</f>
        <v/>
      </c>
      <c r="AF644" s="7" t="str">
        <f>IFERROR(IF([1]对账明细接口!$AB644=0,"",[1]对账明细接口!$AB644),"")</f>
        <v/>
      </c>
      <c r="AG644" s="7" t="str">
        <f>IFERROR(IF([1]对账明细接口!$AC644=0,"",[1]对账明细接口!$AC644),"")</f>
        <v/>
      </c>
      <c r="AH644" s="7" t="str">
        <f>IFERROR(IF([1]对账明细接口!$AD644=0,"",[1]对账明细接口!$AD644),"")</f>
        <v/>
      </c>
      <c r="AI644" s="7" t="str">
        <f>IFERROR(IF([1]对账明细接口!$AE644=0,"",[1]对账明细接口!$AE644),"")</f>
        <v/>
      </c>
      <c r="AJ644" s="7" t="str">
        <f>IFERROR(IF([1]对账明细接口!$AF644=0,"",[1]对账明细接口!$AF644),"")</f>
        <v/>
      </c>
    </row>
    <row r="645" ht="14.25" customHeight="1" spans="1:36">
      <c r="A645" s="14">
        <v>645</v>
      </c>
      <c r="B645" s="15" t="str">
        <f>IFERROR(IF([1]对账明细接口!$B$645=0,"",[1]对账明细接口!$B$645),"")</f>
        <v/>
      </c>
      <c r="C645" s="16" t="str">
        <f>IFERROR(IF([1]对账明细接口!$C$645=0,"",[1]对账明细接口!$C$645),"")</f>
        <v/>
      </c>
      <c r="D645" s="16" t="str">
        <f>IFERROR(IF([1]对账明细接口!$D$645=0,"",[1]对账明细接口!$D$645),"")</f>
        <v/>
      </c>
      <c r="E645" s="16" t="str">
        <f>IFERROR(IF([1]对账明细接口!$E$645=0,"",[1]对账明细接口!$E$645),"")</f>
        <v/>
      </c>
      <c r="F645" s="16" t="str">
        <f>IFERROR(IF([1]对账明细接口!$F$645=0,"",[1]对账明细接口!$F$645),"")</f>
        <v/>
      </c>
      <c r="G645" s="16" t="str">
        <f>IFERROR(IF([1]对账明细接口!$G$645=0,"",[1]对账明细接口!$G$645),"")</f>
        <v/>
      </c>
      <c r="H645" s="17" t="str">
        <f>IFERROR(IF([1]对账明细接口!$H$645=0,"",[1]对账明细接口!$H$645),"")</f>
        <v/>
      </c>
      <c r="I645" s="16" t="str">
        <f>IFERROR(IF([1]对账明细接口!$I$645=0,"",[1]对账明细接口!$I$645),"")</f>
        <v/>
      </c>
      <c r="J645" s="18" t="str">
        <f>IFERROR(IF([1]对账明细接口!$J$645=0,"",[1]对账明细接口!$J$645),"")</f>
        <v/>
      </c>
      <c r="K645" s="18" t="str">
        <f>IFERROR(IF([1]对账明细接口!$K$645=0,"",[1]对账明细接口!$K$645),"")</f>
        <v/>
      </c>
      <c r="L645" s="16" t="str">
        <f>IFERROR(IF([1]对账明细接口!$L$645=0,"",[1]对账明细接口!$L$645),"")</f>
        <v/>
      </c>
      <c r="M645" s="16" t="str">
        <f>IFERROR(IF([1]对账明细接口!$M$645=0,"",[1]对账明细接口!$M$645),"")</f>
        <v/>
      </c>
      <c r="N645" s="19">
        <f t="shared" si="20"/>
        <v>0</v>
      </c>
      <c r="O645" s="19">
        <f t="shared" si="21"/>
        <v>420</v>
      </c>
      <c r="S645" s="20" t="str">
        <f>IFERROR(IF([1]对账明细接口!$N645=0,"",[1]对账明细接口!$N645),"")</f>
        <v/>
      </c>
      <c r="T645" s="21" t="str">
        <f>IFERROR(IF([1]对账明细接口!$O645=0,"",[1]对账明细接口!$O645),"")</f>
        <v/>
      </c>
      <c r="U645" s="21" t="str">
        <f>IFERROR(IF([1]对账明细接口!$P645=0,"",[1]对账明细接口!$P645),"")</f>
        <v/>
      </c>
      <c r="V645" s="21" t="str">
        <f>IFERROR(IF([1]对账明细接口!$Q645=0,"",[1]对账明细接口!$Q645),"")</f>
        <v/>
      </c>
      <c r="W645" s="20" t="str">
        <f>IFERROR(IF([1]对账明细接口!$R645=0,"",[1]对账明细接口!$R645),"")</f>
        <v/>
      </c>
      <c r="X645" s="20" t="str">
        <f>IFERROR(IF([1]对账明细接口!$S645=0,"",[1]对账明细接口!$S645),"")</f>
        <v/>
      </c>
      <c r="Y645" s="20" t="str">
        <f>IFERROR(IF([1]对账明细接口!$T645=0,"",[1]对账明细接口!$T645),"")</f>
        <v/>
      </c>
      <c r="Z645" s="24" t="str">
        <f>IFERROR(IF([1]对账明细接口!$U645=0,"",[1]对账明细接口!$U645),"")</f>
        <v/>
      </c>
      <c r="AA645" s="24" t="str">
        <f>IFERROR(IF([1]对账明细接口!$V645=0,"",[1]对账明细接口!$V645),"")</f>
        <v/>
      </c>
      <c r="AB645" s="20" t="str">
        <f>IFERROR(IF([1]对账明细接口!$W645=0,"",[1]对账明细接口!$W645),"")</f>
        <v/>
      </c>
      <c r="AC645" s="7" t="str">
        <f>IFERROR(IF([1]对账明细接口!$X645=0,"",[1]对账明细接口!$X645),"")</f>
        <v/>
      </c>
      <c r="AD645" s="7" t="str">
        <f>IFERROR(IF([1]对账明细接口!$Y645=0,"",[1]对账明细接口!$Y645),"")</f>
        <v/>
      </c>
      <c r="AE645" s="7" t="str">
        <f>IFERROR(IF([1]对账明细接口!$AA645=0,"",[1]对账明细接口!$AA645),"")</f>
        <v/>
      </c>
      <c r="AF645" s="7" t="str">
        <f>IFERROR(IF([1]对账明细接口!$AB645=0,"",[1]对账明细接口!$AB645),"")</f>
        <v/>
      </c>
      <c r="AG645" s="7" t="str">
        <f>IFERROR(IF([1]对账明细接口!$AC645=0,"",[1]对账明细接口!$AC645),"")</f>
        <v/>
      </c>
      <c r="AH645" s="7" t="str">
        <f>IFERROR(IF([1]对账明细接口!$AD645=0,"",[1]对账明细接口!$AD645),"")</f>
        <v/>
      </c>
      <c r="AI645" s="7" t="str">
        <f>IFERROR(IF([1]对账明细接口!$AE645=0,"",[1]对账明细接口!$AE645),"")</f>
        <v/>
      </c>
      <c r="AJ645" s="7" t="str">
        <f>IFERROR(IF([1]对账明细接口!$AF645=0,"",[1]对账明细接口!$AF645),"")</f>
        <v/>
      </c>
    </row>
    <row r="646" ht="14.25" customHeight="1" spans="1:36">
      <c r="A646" s="14">
        <v>646</v>
      </c>
      <c r="B646" s="15" t="str">
        <f>IFERROR(IF([1]对账明细接口!$B$646=0,"",[1]对账明细接口!$B$646),"")</f>
        <v/>
      </c>
      <c r="C646" s="16" t="str">
        <f>IFERROR(IF([1]对账明细接口!$C$646=0,"",[1]对账明细接口!$C$646),"")</f>
        <v/>
      </c>
      <c r="D646" s="16" t="str">
        <f>IFERROR(IF([1]对账明细接口!$D$646=0,"",[1]对账明细接口!$D$646),"")</f>
        <v/>
      </c>
      <c r="E646" s="16" t="str">
        <f>IFERROR(IF([1]对账明细接口!$E$646=0,"",[1]对账明细接口!$E$646),"")</f>
        <v/>
      </c>
      <c r="F646" s="16" t="str">
        <f>IFERROR(IF([1]对账明细接口!$F$646=0,"",[1]对账明细接口!$F$646),"")</f>
        <v/>
      </c>
      <c r="G646" s="16" t="str">
        <f>IFERROR(IF([1]对账明细接口!$G$646=0,"",[1]对账明细接口!$G$646),"")</f>
        <v/>
      </c>
      <c r="H646" s="17" t="str">
        <f>IFERROR(IF([1]对账明细接口!$H$646=0,"",[1]对账明细接口!$H$646),"")</f>
        <v/>
      </c>
      <c r="I646" s="16" t="str">
        <f>IFERROR(IF([1]对账明细接口!$I$646=0,"",[1]对账明细接口!$I$646),"")</f>
        <v/>
      </c>
      <c r="J646" s="18" t="str">
        <f>IFERROR(IF([1]对账明细接口!$J$646=0,"",[1]对账明细接口!$J$646),"")</f>
        <v/>
      </c>
      <c r="K646" s="18" t="str">
        <f>IFERROR(IF([1]对账明细接口!$K$646=0,"",[1]对账明细接口!$K$646),"")</f>
        <v/>
      </c>
      <c r="L646" s="16" t="str">
        <f>IFERROR(IF([1]对账明细接口!$L$646=0,"",[1]对账明细接口!$L$646),"")</f>
        <v/>
      </c>
      <c r="M646" s="16" t="str">
        <f>IFERROR(IF([1]对账明细接口!$M$646=0,"",[1]对账明细接口!$M$646),"")</f>
        <v/>
      </c>
      <c r="N646" s="19">
        <f t="shared" si="20"/>
        <v>0</v>
      </c>
      <c r="O646" s="19">
        <f t="shared" si="21"/>
        <v>420</v>
      </c>
      <c r="S646" s="20" t="str">
        <f>IFERROR(IF([1]对账明细接口!$N646=0,"",[1]对账明细接口!$N646),"")</f>
        <v/>
      </c>
      <c r="T646" s="21" t="str">
        <f>IFERROR(IF([1]对账明细接口!$O646=0,"",[1]对账明细接口!$O646),"")</f>
        <v/>
      </c>
      <c r="U646" s="21" t="str">
        <f>IFERROR(IF([1]对账明细接口!$P646=0,"",[1]对账明细接口!$P646),"")</f>
        <v/>
      </c>
      <c r="V646" s="21" t="str">
        <f>IFERROR(IF([1]对账明细接口!$Q646=0,"",[1]对账明细接口!$Q646),"")</f>
        <v/>
      </c>
      <c r="W646" s="20" t="str">
        <f>IFERROR(IF([1]对账明细接口!$R646=0,"",[1]对账明细接口!$R646),"")</f>
        <v/>
      </c>
      <c r="X646" s="20" t="str">
        <f>IFERROR(IF([1]对账明细接口!$S646=0,"",[1]对账明细接口!$S646),"")</f>
        <v/>
      </c>
      <c r="Y646" s="20" t="str">
        <f>IFERROR(IF([1]对账明细接口!$T646=0,"",[1]对账明细接口!$T646),"")</f>
        <v/>
      </c>
      <c r="Z646" s="24" t="str">
        <f>IFERROR(IF([1]对账明细接口!$U646=0,"",[1]对账明细接口!$U646),"")</f>
        <v/>
      </c>
      <c r="AA646" s="24" t="str">
        <f>IFERROR(IF([1]对账明细接口!$V646=0,"",[1]对账明细接口!$V646),"")</f>
        <v/>
      </c>
      <c r="AB646" s="20" t="str">
        <f>IFERROR(IF([1]对账明细接口!$W646=0,"",[1]对账明细接口!$W646),"")</f>
        <v/>
      </c>
      <c r="AC646" s="7" t="str">
        <f>IFERROR(IF([1]对账明细接口!$X646=0,"",[1]对账明细接口!$X646),"")</f>
        <v/>
      </c>
      <c r="AD646" s="7" t="str">
        <f>IFERROR(IF([1]对账明细接口!$Y646=0,"",[1]对账明细接口!$Y646),"")</f>
        <v/>
      </c>
      <c r="AE646" s="7" t="str">
        <f>IFERROR(IF([1]对账明细接口!$AA646=0,"",[1]对账明细接口!$AA646),"")</f>
        <v/>
      </c>
      <c r="AF646" s="7" t="str">
        <f>IFERROR(IF([1]对账明细接口!$AB646=0,"",[1]对账明细接口!$AB646),"")</f>
        <v/>
      </c>
      <c r="AG646" s="7" t="str">
        <f>IFERROR(IF([1]对账明细接口!$AC646=0,"",[1]对账明细接口!$AC646),"")</f>
        <v/>
      </c>
      <c r="AH646" s="7" t="str">
        <f>IFERROR(IF([1]对账明细接口!$AD646=0,"",[1]对账明细接口!$AD646),"")</f>
        <v/>
      </c>
      <c r="AI646" s="7" t="str">
        <f>IFERROR(IF([1]对账明细接口!$AE646=0,"",[1]对账明细接口!$AE646),"")</f>
        <v/>
      </c>
      <c r="AJ646" s="7" t="str">
        <f>IFERROR(IF([1]对账明细接口!$AF646=0,"",[1]对账明细接口!$AF646),"")</f>
        <v/>
      </c>
    </row>
    <row r="647" ht="14.25" customHeight="1" spans="1:36">
      <c r="A647" s="14">
        <v>647</v>
      </c>
      <c r="B647" s="15" t="str">
        <f>IFERROR(IF([1]对账明细接口!$B$647=0,"",[1]对账明细接口!$B$647),"")</f>
        <v/>
      </c>
      <c r="C647" s="16" t="str">
        <f>IFERROR(IF([1]对账明细接口!$C$647=0,"",[1]对账明细接口!$C$647),"")</f>
        <v/>
      </c>
      <c r="D647" s="16" t="str">
        <f>IFERROR(IF([1]对账明细接口!$D$647=0,"",[1]对账明细接口!$D$647),"")</f>
        <v/>
      </c>
      <c r="E647" s="16" t="str">
        <f>IFERROR(IF([1]对账明细接口!$E$647=0,"",[1]对账明细接口!$E$647),"")</f>
        <v/>
      </c>
      <c r="F647" s="16" t="str">
        <f>IFERROR(IF([1]对账明细接口!$F$647=0,"",[1]对账明细接口!$F$647),"")</f>
        <v/>
      </c>
      <c r="G647" s="16" t="str">
        <f>IFERROR(IF([1]对账明细接口!$G$647=0,"",[1]对账明细接口!$G$647),"")</f>
        <v/>
      </c>
      <c r="H647" s="17" t="str">
        <f>IFERROR(IF([1]对账明细接口!$H$647=0,"",[1]对账明细接口!$H$647),"")</f>
        <v/>
      </c>
      <c r="I647" s="16" t="str">
        <f>IFERROR(IF([1]对账明细接口!$I$647=0,"",[1]对账明细接口!$I$647),"")</f>
        <v/>
      </c>
      <c r="J647" s="18" t="str">
        <f>IFERROR(IF([1]对账明细接口!$J$647=0,"",[1]对账明细接口!$J$647),"")</f>
        <v/>
      </c>
      <c r="K647" s="18" t="str">
        <f>IFERROR(IF([1]对账明细接口!$K$647=0,"",[1]对账明细接口!$K$647),"")</f>
        <v/>
      </c>
      <c r="L647" s="16" t="str">
        <f>IFERROR(IF([1]对账明细接口!$L$647=0,"",[1]对账明细接口!$L$647),"")</f>
        <v/>
      </c>
      <c r="M647" s="16" t="str">
        <f>IFERROR(IF([1]对账明细接口!$M$647=0,"",[1]对账明细接口!$M$647),"")</f>
        <v/>
      </c>
      <c r="N647" s="19">
        <f t="shared" si="20"/>
        <v>0</v>
      </c>
      <c r="O647" s="19">
        <f t="shared" si="21"/>
        <v>420</v>
      </c>
      <c r="S647" s="20" t="str">
        <f>IFERROR(IF([1]对账明细接口!$N647=0,"",[1]对账明细接口!$N647),"")</f>
        <v/>
      </c>
      <c r="T647" s="21" t="str">
        <f>IFERROR(IF([1]对账明细接口!$O647=0,"",[1]对账明细接口!$O647),"")</f>
        <v/>
      </c>
      <c r="U647" s="21" t="str">
        <f>IFERROR(IF([1]对账明细接口!$P647=0,"",[1]对账明细接口!$P647),"")</f>
        <v/>
      </c>
      <c r="V647" s="21" t="str">
        <f>IFERROR(IF([1]对账明细接口!$Q647=0,"",[1]对账明细接口!$Q647),"")</f>
        <v/>
      </c>
      <c r="W647" s="20" t="str">
        <f>IFERROR(IF([1]对账明细接口!$R647=0,"",[1]对账明细接口!$R647),"")</f>
        <v/>
      </c>
      <c r="X647" s="20" t="str">
        <f>IFERROR(IF([1]对账明细接口!$S647=0,"",[1]对账明细接口!$S647),"")</f>
        <v/>
      </c>
      <c r="Y647" s="20" t="str">
        <f>IFERROR(IF([1]对账明细接口!$T647=0,"",[1]对账明细接口!$T647),"")</f>
        <v/>
      </c>
      <c r="Z647" s="24" t="str">
        <f>IFERROR(IF([1]对账明细接口!$U647=0,"",[1]对账明细接口!$U647),"")</f>
        <v/>
      </c>
      <c r="AA647" s="24" t="str">
        <f>IFERROR(IF([1]对账明细接口!$V647=0,"",[1]对账明细接口!$V647),"")</f>
        <v/>
      </c>
      <c r="AB647" s="20" t="str">
        <f>IFERROR(IF([1]对账明细接口!$W647=0,"",[1]对账明细接口!$W647),"")</f>
        <v/>
      </c>
      <c r="AC647" s="7" t="str">
        <f>IFERROR(IF([1]对账明细接口!$X647=0,"",[1]对账明细接口!$X647),"")</f>
        <v/>
      </c>
      <c r="AD647" s="7" t="str">
        <f>IFERROR(IF([1]对账明细接口!$Y647=0,"",[1]对账明细接口!$Y647),"")</f>
        <v/>
      </c>
      <c r="AE647" s="7" t="str">
        <f>IFERROR(IF([1]对账明细接口!$AA647=0,"",[1]对账明细接口!$AA647),"")</f>
        <v/>
      </c>
      <c r="AF647" s="7" t="str">
        <f>IFERROR(IF([1]对账明细接口!$AB647=0,"",[1]对账明细接口!$AB647),"")</f>
        <v/>
      </c>
      <c r="AG647" s="7" t="str">
        <f>IFERROR(IF([1]对账明细接口!$AC647=0,"",[1]对账明细接口!$AC647),"")</f>
        <v/>
      </c>
      <c r="AH647" s="7" t="str">
        <f>IFERROR(IF([1]对账明细接口!$AD647=0,"",[1]对账明细接口!$AD647),"")</f>
        <v/>
      </c>
      <c r="AI647" s="7" t="str">
        <f>IFERROR(IF([1]对账明细接口!$AE647=0,"",[1]对账明细接口!$AE647),"")</f>
        <v/>
      </c>
      <c r="AJ647" s="7" t="str">
        <f>IFERROR(IF([1]对账明细接口!$AF647=0,"",[1]对账明细接口!$AF647),"")</f>
        <v/>
      </c>
    </row>
    <row r="648" ht="14.25" customHeight="1" spans="1:36">
      <c r="A648" s="14">
        <v>648</v>
      </c>
      <c r="B648" s="15" t="str">
        <f>IFERROR(IF([1]对账明细接口!$B$648=0,"",[1]对账明细接口!$B$648),"")</f>
        <v/>
      </c>
      <c r="C648" s="16" t="str">
        <f>IFERROR(IF([1]对账明细接口!$C$648=0,"",[1]对账明细接口!$C$648),"")</f>
        <v/>
      </c>
      <c r="D648" s="16" t="str">
        <f>IFERROR(IF([1]对账明细接口!$D$648=0,"",[1]对账明细接口!$D$648),"")</f>
        <v/>
      </c>
      <c r="E648" s="16" t="str">
        <f>IFERROR(IF([1]对账明细接口!$E$648=0,"",[1]对账明细接口!$E$648),"")</f>
        <v/>
      </c>
      <c r="F648" s="16" t="str">
        <f>IFERROR(IF([1]对账明细接口!$F$648=0,"",[1]对账明细接口!$F$648),"")</f>
        <v/>
      </c>
      <c r="G648" s="16" t="str">
        <f>IFERROR(IF([1]对账明细接口!$G$648=0,"",[1]对账明细接口!$G$648),"")</f>
        <v/>
      </c>
      <c r="H648" s="17" t="str">
        <f>IFERROR(IF([1]对账明细接口!$H$648=0,"",[1]对账明细接口!$H$648),"")</f>
        <v/>
      </c>
      <c r="I648" s="16" t="str">
        <f>IFERROR(IF([1]对账明细接口!$I$648=0,"",[1]对账明细接口!$I$648),"")</f>
        <v/>
      </c>
      <c r="J648" s="18" t="str">
        <f>IFERROR(IF([1]对账明细接口!$J$648=0,"",[1]对账明细接口!$J$648),"")</f>
        <v/>
      </c>
      <c r="K648" s="18" t="str">
        <f>IFERROR(IF([1]对账明细接口!$K$648=0,"",[1]对账明细接口!$K$648),"")</f>
        <v/>
      </c>
      <c r="L648" s="16" t="str">
        <f>IFERROR(IF([1]对账明细接口!$L$648=0,"",[1]对账明细接口!$L$648),"")</f>
        <v/>
      </c>
      <c r="M648" s="16" t="str">
        <f>IFERROR(IF([1]对账明细接口!$M$648=0,"",[1]对账明细接口!$M$648),"")</f>
        <v/>
      </c>
      <c r="N648" s="19">
        <f t="shared" si="20"/>
        <v>0</v>
      </c>
      <c r="O648" s="19">
        <f t="shared" si="21"/>
        <v>420</v>
      </c>
      <c r="S648" s="20" t="str">
        <f>IFERROR(IF([1]对账明细接口!$N648=0,"",[1]对账明细接口!$N648),"")</f>
        <v/>
      </c>
      <c r="T648" s="21" t="str">
        <f>IFERROR(IF([1]对账明细接口!$O648=0,"",[1]对账明细接口!$O648),"")</f>
        <v/>
      </c>
      <c r="U648" s="21" t="str">
        <f>IFERROR(IF([1]对账明细接口!$P648=0,"",[1]对账明细接口!$P648),"")</f>
        <v/>
      </c>
      <c r="V648" s="21" t="str">
        <f>IFERROR(IF([1]对账明细接口!$Q648=0,"",[1]对账明细接口!$Q648),"")</f>
        <v/>
      </c>
      <c r="W648" s="20" t="str">
        <f>IFERROR(IF([1]对账明细接口!$R648=0,"",[1]对账明细接口!$R648),"")</f>
        <v/>
      </c>
      <c r="X648" s="20" t="str">
        <f>IFERROR(IF([1]对账明细接口!$S648=0,"",[1]对账明细接口!$S648),"")</f>
        <v/>
      </c>
      <c r="Y648" s="20" t="str">
        <f>IFERROR(IF([1]对账明细接口!$T648=0,"",[1]对账明细接口!$T648),"")</f>
        <v/>
      </c>
      <c r="Z648" s="24" t="str">
        <f>IFERROR(IF([1]对账明细接口!$U648=0,"",[1]对账明细接口!$U648),"")</f>
        <v/>
      </c>
      <c r="AA648" s="24" t="str">
        <f>IFERROR(IF([1]对账明细接口!$V648=0,"",[1]对账明细接口!$V648),"")</f>
        <v/>
      </c>
      <c r="AB648" s="20" t="str">
        <f>IFERROR(IF([1]对账明细接口!$W648=0,"",[1]对账明细接口!$W648),"")</f>
        <v/>
      </c>
      <c r="AC648" s="7" t="str">
        <f>IFERROR(IF([1]对账明细接口!$X648=0,"",[1]对账明细接口!$X648),"")</f>
        <v/>
      </c>
      <c r="AD648" s="7" t="str">
        <f>IFERROR(IF([1]对账明细接口!$Y648=0,"",[1]对账明细接口!$Y648),"")</f>
        <v/>
      </c>
      <c r="AE648" s="7" t="str">
        <f>IFERROR(IF([1]对账明细接口!$AA648=0,"",[1]对账明细接口!$AA648),"")</f>
        <v/>
      </c>
      <c r="AF648" s="7" t="str">
        <f>IFERROR(IF([1]对账明细接口!$AB648=0,"",[1]对账明细接口!$AB648),"")</f>
        <v/>
      </c>
      <c r="AG648" s="7" t="str">
        <f>IFERROR(IF([1]对账明细接口!$AC648=0,"",[1]对账明细接口!$AC648),"")</f>
        <v/>
      </c>
      <c r="AH648" s="7" t="str">
        <f>IFERROR(IF([1]对账明细接口!$AD648=0,"",[1]对账明细接口!$AD648),"")</f>
        <v/>
      </c>
      <c r="AI648" s="7" t="str">
        <f>IFERROR(IF([1]对账明细接口!$AE648=0,"",[1]对账明细接口!$AE648),"")</f>
        <v/>
      </c>
      <c r="AJ648" s="7" t="str">
        <f>IFERROR(IF([1]对账明细接口!$AF648=0,"",[1]对账明细接口!$AF648),"")</f>
        <v/>
      </c>
    </row>
    <row r="649" ht="14.25" customHeight="1" spans="1:36">
      <c r="A649" s="14">
        <v>649</v>
      </c>
      <c r="B649" s="15" t="str">
        <f>IFERROR(IF([1]对账明细接口!$B$649=0,"",[1]对账明细接口!$B$649),"")</f>
        <v/>
      </c>
      <c r="C649" s="16" t="str">
        <f>IFERROR(IF([1]对账明细接口!$C$649=0,"",[1]对账明细接口!$C$649),"")</f>
        <v/>
      </c>
      <c r="D649" s="16" t="str">
        <f>IFERROR(IF([1]对账明细接口!$D$649=0,"",[1]对账明细接口!$D$649),"")</f>
        <v/>
      </c>
      <c r="E649" s="16" t="str">
        <f>IFERROR(IF([1]对账明细接口!$E$649=0,"",[1]对账明细接口!$E$649),"")</f>
        <v/>
      </c>
      <c r="F649" s="16" t="str">
        <f>IFERROR(IF([1]对账明细接口!$F$649=0,"",[1]对账明细接口!$F$649),"")</f>
        <v/>
      </c>
      <c r="G649" s="16" t="str">
        <f>IFERROR(IF([1]对账明细接口!$G$649=0,"",[1]对账明细接口!$G$649),"")</f>
        <v/>
      </c>
      <c r="H649" s="17" t="str">
        <f>IFERROR(IF([1]对账明细接口!$H$649=0,"",[1]对账明细接口!$H$649),"")</f>
        <v/>
      </c>
      <c r="I649" s="16" t="str">
        <f>IFERROR(IF([1]对账明细接口!$I$649=0,"",[1]对账明细接口!$I$649),"")</f>
        <v/>
      </c>
      <c r="J649" s="18" t="str">
        <f>IFERROR(IF([1]对账明细接口!$J$649=0,"",[1]对账明细接口!$J$649),"")</f>
        <v/>
      </c>
      <c r="K649" s="18" t="str">
        <f>IFERROR(IF([1]对账明细接口!$K$649=0,"",[1]对账明细接口!$K$649),"")</f>
        <v/>
      </c>
      <c r="L649" s="16" t="str">
        <f>IFERROR(IF([1]对账明细接口!$L$649=0,"",[1]对账明细接口!$L$649),"")</f>
        <v/>
      </c>
      <c r="M649" s="16" t="str">
        <f>IFERROR(IF([1]对账明细接口!$M$649=0,"",[1]对账明细接口!$M$649),"")</f>
        <v/>
      </c>
      <c r="N649" s="19">
        <f t="shared" si="20"/>
        <v>0</v>
      </c>
      <c r="O649" s="19">
        <f t="shared" si="21"/>
        <v>420</v>
      </c>
      <c r="S649" s="20" t="str">
        <f>IFERROR(IF([1]对账明细接口!$N649=0,"",[1]对账明细接口!$N649),"")</f>
        <v/>
      </c>
      <c r="T649" s="21" t="str">
        <f>IFERROR(IF([1]对账明细接口!$O649=0,"",[1]对账明细接口!$O649),"")</f>
        <v/>
      </c>
      <c r="U649" s="21" t="str">
        <f>IFERROR(IF([1]对账明细接口!$P649=0,"",[1]对账明细接口!$P649),"")</f>
        <v/>
      </c>
      <c r="V649" s="21" t="str">
        <f>IFERROR(IF([1]对账明细接口!$Q649=0,"",[1]对账明细接口!$Q649),"")</f>
        <v/>
      </c>
      <c r="W649" s="20" t="str">
        <f>IFERROR(IF([1]对账明细接口!$R649=0,"",[1]对账明细接口!$R649),"")</f>
        <v/>
      </c>
      <c r="X649" s="20" t="str">
        <f>IFERROR(IF([1]对账明细接口!$S649=0,"",[1]对账明细接口!$S649),"")</f>
        <v/>
      </c>
      <c r="Y649" s="20" t="str">
        <f>IFERROR(IF([1]对账明细接口!$T649=0,"",[1]对账明细接口!$T649),"")</f>
        <v/>
      </c>
      <c r="Z649" s="24" t="str">
        <f>IFERROR(IF([1]对账明细接口!$U649=0,"",[1]对账明细接口!$U649),"")</f>
        <v/>
      </c>
      <c r="AA649" s="24" t="str">
        <f>IFERROR(IF([1]对账明细接口!$V649=0,"",[1]对账明细接口!$V649),"")</f>
        <v/>
      </c>
      <c r="AB649" s="20" t="str">
        <f>IFERROR(IF([1]对账明细接口!$W649=0,"",[1]对账明细接口!$W649),"")</f>
        <v/>
      </c>
      <c r="AC649" s="7" t="str">
        <f>IFERROR(IF([1]对账明细接口!$X649=0,"",[1]对账明细接口!$X649),"")</f>
        <v/>
      </c>
      <c r="AD649" s="7" t="str">
        <f>IFERROR(IF([1]对账明细接口!$Y649=0,"",[1]对账明细接口!$Y649),"")</f>
        <v/>
      </c>
      <c r="AE649" s="7" t="str">
        <f>IFERROR(IF([1]对账明细接口!$AA649=0,"",[1]对账明细接口!$AA649),"")</f>
        <v/>
      </c>
      <c r="AF649" s="7" t="str">
        <f>IFERROR(IF([1]对账明细接口!$AB649=0,"",[1]对账明细接口!$AB649),"")</f>
        <v/>
      </c>
      <c r="AG649" s="7" t="str">
        <f>IFERROR(IF([1]对账明细接口!$AC649=0,"",[1]对账明细接口!$AC649),"")</f>
        <v/>
      </c>
      <c r="AH649" s="7" t="str">
        <f>IFERROR(IF([1]对账明细接口!$AD649=0,"",[1]对账明细接口!$AD649),"")</f>
        <v/>
      </c>
      <c r="AI649" s="7" t="str">
        <f>IFERROR(IF([1]对账明细接口!$AE649=0,"",[1]对账明细接口!$AE649),"")</f>
        <v/>
      </c>
      <c r="AJ649" s="7" t="str">
        <f>IFERROR(IF([1]对账明细接口!$AF649=0,"",[1]对账明细接口!$AF649),"")</f>
        <v/>
      </c>
    </row>
    <row r="650" ht="14.25" customHeight="1" spans="1:36">
      <c r="A650" s="14">
        <v>650</v>
      </c>
      <c r="B650" s="15" t="str">
        <f>IFERROR(IF([1]对账明细接口!$B$650=0,"",[1]对账明细接口!$B$650),"")</f>
        <v/>
      </c>
      <c r="C650" s="16" t="str">
        <f>IFERROR(IF([1]对账明细接口!$C$650=0,"",[1]对账明细接口!$C$650),"")</f>
        <v/>
      </c>
      <c r="D650" s="16" t="str">
        <f>IFERROR(IF([1]对账明细接口!$D$650=0,"",[1]对账明细接口!$D$650),"")</f>
        <v/>
      </c>
      <c r="E650" s="16" t="str">
        <f>IFERROR(IF([1]对账明细接口!$E$650=0,"",[1]对账明细接口!$E$650),"")</f>
        <v/>
      </c>
      <c r="F650" s="16" t="str">
        <f>IFERROR(IF([1]对账明细接口!$F$650=0,"",[1]对账明细接口!$F$650),"")</f>
        <v/>
      </c>
      <c r="G650" s="16" t="str">
        <f>IFERROR(IF([1]对账明细接口!$G$650=0,"",[1]对账明细接口!$G$650),"")</f>
        <v/>
      </c>
      <c r="H650" s="17" t="str">
        <f>IFERROR(IF([1]对账明细接口!$H$650=0,"",[1]对账明细接口!$H$650),"")</f>
        <v/>
      </c>
      <c r="I650" s="16" t="str">
        <f>IFERROR(IF([1]对账明细接口!$I$650=0,"",[1]对账明细接口!$I$650),"")</f>
        <v/>
      </c>
      <c r="J650" s="18" t="str">
        <f>IFERROR(IF([1]对账明细接口!$J$650=0,"",[1]对账明细接口!$J$650),"")</f>
        <v/>
      </c>
      <c r="K650" s="18" t="str">
        <f>IFERROR(IF([1]对账明细接口!$K$650=0,"",[1]对账明细接口!$K$650),"")</f>
        <v/>
      </c>
      <c r="L650" s="16" t="str">
        <f>IFERROR(IF([1]对账明细接口!$L$650=0,"",[1]对账明细接口!$L$650),"")</f>
        <v/>
      </c>
      <c r="M650" s="16" t="str">
        <f>IFERROR(IF([1]对账明细接口!$M$650=0,"",[1]对账明细接口!$M$650),"")</f>
        <v/>
      </c>
      <c r="N650" s="19">
        <f t="shared" si="20"/>
        <v>0</v>
      </c>
      <c r="O650" s="19">
        <f t="shared" si="21"/>
        <v>420</v>
      </c>
      <c r="S650" s="20" t="str">
        <f>IFERROR(IF([1]对账明细接口!$N650=0,"",[1]对账明细接口!$N650),"")</f>
        <v/>
      </c>
      <c r="T650" s="21" t="str">
        <f>IFERROR(IF([1]对账明细接口!$O650=0,"",[1]对账明细接口!$O650),"")</f>
        <v/>
      </c>
      <c r="U650" s="21" t="str">
        <f>IFERROR(IF([1]对账明细接口!$P650=0,"",[1]对账明细接口!$P650),"")</f>
        <v/>
      </c>
      <c r="V650" s="21" t="str">
        <f>IFERROR(IF([1]对账明细接口!$Q650=0,"",[1]对账明细接口!$Q650),"")</f>
        <v/>
      </c>
      <c r="W650" s="20" t="str">
        <f>IFERROR(IF([1]对账明细接口!$R650=0,"",[1]对账明细接口!$R650),"")</f>
        <v/>
      </c>
      <c r="X650" s="20" t="str">
        <f>IFERROR(IF([1]对账明细接口!$S650=0,"",[1]对账明细接口!$S650),"")</f>
        <v/>
      </c>
      <c r="Y650" s="20" t="str">
        <f>IFERROR(IF([1]对账明细接口!$T650=0,"",[1]对账明细接口!$T650),"")</f>
        <v/>
      </c>
      <c r="Z650" s="24" t="str">
        <f>IFERROR(IF([1]对账明细接口!$U650=0,"",[1]对账明细接口!$U650),"")</f>
        <v/>
      </c>
      <c r="AA650" s="24" t="str">
        <f>IFERROR(IF([1]对账明细接口!$V650=0,"",[1]对账明细接口!$V650),"")</f>
        <v/>
      </c>
      <c r="AB650" s="20" t="str">
        <f>IFERROR(IF([1]对账明细接口!$W650=0,"",[1]对账明细接口!$W650),"")</f>
        <v/>
      </c>
      <c r="AC650" s="7" t="str">
        <f>IFERROR(IF([1]对账明细接口!$X650=0,"",[1]对账明细接口!$X650),"")</f>
        <v/>
      </c>
      <c r="AD650" s="7" t="str">
        <f>IFERROR(IF([1]对账明细接口!$Y650=0,"",[1]对账明细接口!$Y650),"")</f>
        <v/>
      </c>
      <c r="AE650" s="7" t="str">
        <f>IFERROR(IF([1]对账明细接口!$AA650=0,"",[1]对账明细接口!$AA650),"")</f>
        <v/>
      </c>
      <c r="AF650" s="7" t="str">
        <f>IFERROR(IF([1]对账明细接口!$AB650=0,"",[1]对账明细接口!$AB650),"")</f>
        <v/>
      </c>
      <c r="AG650" s="7" t="str">
        <f>IFERROR(IF([1]对账明细接口!$AC650=0,"",[1]对账明细接口!$AC650),"")</f>
        <v/>
      </c>
      <c r="AH650" s="7" t="str">
        <f>IFERROR(IF([1]对账明细接口!$AD650=0,"",[1]对账明细接口!$AD650),"")</f>
        <v/>
      </c>
      <c r="AI650" s="7" t="str">
        <f>IFERROR(IF([1]对账明细接口!$AE650=0,"",[1]对账明细接口!$AE650),"")</f>
        <v/>
      </c>
      <c r="AJ650" s="7" t="str">
        <f>IFERROR(IF([1]对账明细接口!$AF650=0,"",[1]对账明细接口!$AF650),"")</f>
        <v/>
      </c>
    </row>
    <row r="651" ht="14.25" customHeight="1" spans="1:36">
      <c r="A651" s="14">
        <v>651</v>
      </c>
      <c r="B651" s="15" t="str">
        <f>IFERROR(IF([1]对账明细接口!$B$651=0,"",[1]对账明细接口!$B$651),"")</f>
        <v/>
      </c>
      <c r="C651" s="16" t="str">
        <f>IFERROR(IF([1]对账明细接口!$C$651=0,"",[1]对账明细接口!$C$651),"")</f>
        <v/>
      </c>
      <c r="D651" s="16" t="str">
        <f>IFERROR(IF([1]对账明细接口!$D$651=0,"",[1]对账明细接口!$D$651),"")</f>
        <v/>
      </c>
      <c r="E651" s="16" t="str">
        <f>IFERROR(IF([1]对账明细接口!$E$651=0,"",[1]对账明细接口!$E$651),"")</f>
        <v/>
      </c>
      <c r="F651" s="16" t="str">
        <f>IFERROR(IF([1]对账明细接口!$F$651=0,"",[1]对账明细接口!$F$651),"")</f>
        <v/>
      </c>
      <c r="G651" s="16" t="str">
        <f>IFERROR(IF([1]对账明细接口!$G$651=0,"",[1]对账明细接口!$G$651),"")</f>
        <v/>
      </c>
      <c r="H651" s="17" t="str">
        <f>IFERROR(IF([1]对账明细接口!$H$651=0,"",[1]对账明细接口!$H$651),"")</f>
        <v/>
      </c>
      <c r="I651" s="16" t="str">
        <f>IFERROR(IF([1]对账明细接口!$I$651=0,"",[1]对账明细接口!$I$651),"")</f>
        <v/>
      </c>
      <c r="J651" s="18" t="str">
        <f>IFERROR(IF([1]对账明细接口!$J$651=0,"",[1]对账明细接口!$J$651),"")</f>
        <v/>
      </c>
      <c r="K651" s="18" t="str">
        <f>IFERROR(IF([1]对账明细接口!$K$651=0,"",[1]对账明细接口!$K$651),"")</f>
        <v/>
      </c>
      <c r="L651" s="16" t="str">
        <f>IFERROR(IF([1]对账明细接口!$L$651=0,"",[1]对账明细接口!$L$651),"")</f>
        <v/>
      </c>
      <c r="M651" s="16" t="str">
        <f>IFERROR(IF([1]对账明细接口!$M$651=0,"",[1]对账明细接口!$M$651),"")</f>
        <v/>
      </c>
      <c r="N651" s="19">
        <f t="shared" si="20"/>
        <v>0</v>
      </c>
      <c r="O651" s="19">
        <f t="shared" si="21"/>
        <v>420</v>
      </c>
      <c r="S651" s="20" t="str">
        <f>IFERROR(IF([1]对账明细接口!$N651=0,"",[1]对账明细接口!$N651),"")</f>
        <v/>
      </c>
      <c r="T651" s="21" t="str">
        <f>IFERROR(IF([1]对账明细接口!$O651=0,"",[1]对账明细接口!$O651),"")</f>
        <v/>
      </c>
      <c r="U651" s="21" t="str">
        <f>IFERROR(IF([1]对账明细接口!$P651=0,"",[1]对账明细接口!$P651),"")</f>
        <v/>
      </c>
      <c r="V651" s="21" t="str">
        <f>IFERROR(IF([1]对账明细接口!$Q651=0,"",[1]对账明细接口!$Q651),"")</f>
        <v/>
      </c>
      <c r="W651" s="20" t="str">
        <f>IFERROR(IF([1]对账明细接口!$R651=0,"",[1]对账明细接口!$R651),"")</f>
        <v/>
      </c>
      <c r="X651" s="20" t="str">
        <f>IFERROR(IF([1]对账明细接口!$S651=0,"",[1]对账明细接口!$S651),"")</f>
        <v/>
      </c>
      <c r="Y651" s="20" t="str">
        <f>IFERROR(IF([1]对账明细接口!$T651=0,"",[1]对账明细接口!$T651),"")</f>
        <v/>
      </c>
      <c r="Z651" s="24" t="str">
        <f>IFERROR(IF([1]对账明细接口!$U651=0,"",[1]对账明细接口!$U651),"")</f>
        <v/>
      </c>
      <c r="AA651" s="24" t="str">
        <f>IFERROR(IF([1]对账明细接口!$V651=0,"",[1]对账明细接口!$V651),"")</f>
        <v/>
      </c>
      <c r="AB651" s="20" t="str">
        <f>IFERROR(IF([1]对账明细接口!$W651=0,"",[1]对账明细接口!$W651),"")</f>
        <v/>
      </c>
      <c r="AC651" s="7" t="str">
        <f>IFERROR(IF([1]对账明细接口!$X651=0,"",[1]对账明细接口!$X651),"")</f>
        <v/>
      </c>
      <c r="AD651" s="7" t="str">
        <f>IFERROR(IF([1]对账明细接口!$Y651=0,"",[1]对账明细接口!$Y651),"")</f>
        <v/>
      </c>
      <c r="AE651" s="7" t="str">
        <f>IFERROR(IF([1]对账明细接口!$AA651=0,"",[1]对账明细接口!$AA651),"")</f>
        <v/>
      </c>
      <c r="AF651" s="7" t="str">
        <f>IFERROR(IF([1]对账明细接口!$AB651=0,"",[1]对账明细接口!$AB651),"")</f>
        <v/>
      </c>
      <c r="AG651" s="7" t="str">
        <f>IFERROR(IF([1]对账明细接口!$AC651=0,"",[1]对账明细接口!$AC651),"")</f>
        <v/>
      </c>
      <c r="AH651" s="7" t="str">
        <f>IFERROR(IF([1]对账明细接口!$AD651=0,"",[1]对账明细接口!$AD651),"")</f>
        <v/>
      </c>
      <c r="AI651" s="7" t="str">
        <f>IFERROR(IF([1]对账明细接口!$AE651=0,"",[1]对账明细接口!$AE651),"")</f>
        <v/>
      </c>
      <c r="AJ651" s="7" t="str">
        <f>IFERROR(IF([1]对账明细接口!$AF651=0,"",[1]对账明细接口!$AF651),"")</f>
        <v/>
      </c>
    </row>
    <row r="652" ht="14.25" customHeight="1" spans="1:36">
      <c r="A652" s="14">
        <v>652</v>
      </c>
      <c r="B652" s="15" t="str">
        <f>IFERROR(IF([1]对账明细接口!$B$652=0,"",[1]对账明细接口!$B$652),"")</f>
        <v/>
      </c>
      <c r="C652" s="16" t="str">
        <f>IFERROR(IF([1]对账明细接口!$C$652=0,"",[1]对账明细接口!$C$652),"")</f>
        <v/>
      </c>
      <c r="D652" s="16" t="str">
        <f>IFERROR(IF([1]对账明细接口!$D$652=0,"",[1]对账明细接口!$D$652),"")</f>
        <v/>
      </c>
      <c r="E652" s="16" t="str">
        <f>IFERROR(IF([1]对账明细接口!$E$652=0,"",[1]对账明细接口!$E$652),"")</f>
        <v/>
      </c>
      <c r="F652" s="16" t="str">
        <f>IFERROR(IF([1]对账明细接口!$F$652=0,"",[1]对账明细接口!$F$652),"")</f>
        <v/>
      </c>
      <c r="G652" s="16" t="str">
        <f>IFERROR(IF([1]对账明细接口!$G$652=0,"",[1]对账明细接口!$G$652),"")</f>
        <v/>
      </c>
      <c r="H652" s="17" t="str">
        <f>IFERROR(IF([1]对账明细接口!$H$652=0,"",[1]对账明细接口!$H$652),"")</f>
        <v/>
      </c>
      <c r="I652" s="16" t="str">
        <f>IFERROR(IF([1]对账明细接口!$I$652=0,"",[1]对账明细接口!$I$652),"")</f>
        <v/>
      </c>
      <c r="J652" s="18" t="str">
        <f>IFERROR(IF([1]对账明细接口!$J$652=0,"",[1]对账明细接口!$J$652),"")</f>
        <v/>
      </c>
      <c r="K652" s="18" t="str">
        <f>IFERROR(IF([1]对账明细接口!$K$652=0,"",[1]对账明细接口!$K$652),"")</f>
        <v/>
      </c>
      <c r="L652" s="16" t="str">
        <f>IFERROR(IF([1]对账明细接口!$L$652=0,"",[1]对账明细接口!$L$652),"")</f>
        <v/>
      </c>
      <c r="M652" s="16" t="str">
        <f>IFERROR(IF([1]对账明细接口!$M$652=0,"",[1]对账明细接口!$M$652),"")</f>
        <v/>
      </c>
      <c r="N652" s="19">
        <f t="shared" si="20"/>
        <v>0</v>
      </c>
      <c r="O652" s="19">
        <f t="shared" si="21"/>
        <v>420</v>
      </c>
      <c r="S652" s="20" t="str">
        <f>IFERROR(IF([1]对账明细接口!$N652=0,"",[1]对账明细接口!$N652),"")</f>
        <v/>
      </c>
      <c r="T652" s="21" t="str">
        <f>IFERROR(IF([1]对账明细接口!$O652=0,"",[1]对账明细接口!$O652),"")</f>
        <v/>
      </c>
      <c r="U652" s="21" t="str">
        <f>IFERROR(IF([1]对账明细接口!$P652=0,"",[1]对账明细接口!$P652),"")</f>
        <v/>
      </c>
      <c r="V652" s="21" t="str">
        <f>IFERROR(IF([1]对账明细接口!$Q652=0,"",[1]对账明细接口!$Q652),"")</f>
        <v/>
      </c>
      <c r="W652" s="20" t="str">
        <f>IFERROR(IF([1]对账明细接口!$R652=0,"",[1]对账明细接口!$R652),"")</f>
        <v/>
      </c>
      <c r="X652" s="20" t="str">
        <f>IFERROR(IF([1]对账明细接口!$S652=0,"",[1]对账明细接口!$S652),"")</f>
        <v/>
      </c>
      <c r="Y652" s="20" t="str">
        <f>IFERROR(IF([1]对账明细接口!$T652=0,"",[1]对账明细接口!$T652),"")</f>
        <v/>
      </c>
      <c r="Z652" s="24" t="str">
        <f>IFERROR(IF([1]对账明细接口!$U652=0,"",[1]对账明细接口!$U652),"")</f>
        <v/>
      </c>
      <c r="AA652" s="24" t="str">
        <f>IFERROR(IF([1]对账明细接口!$V652=0,"",[1]对账明细接口!$V652),"")</f>
        <v/>
      </c>
      <c r="AB652" s="20" t="str">
        <f>IFERROR(IF([1]对账明细接口!$W652=0,"",[1]对账明细接口!$W652),"")</f>
        <v/>
      </c>
      <c r="AC652" s="7" t="str">
        <f>IFERROR(IF([1]对账明细接口!$X652=0,"",[1]对账明细接口!$X652),"")</f>
        <v/>
      </c>
      <c r="AD652" s="7" t="str">
        <f>IFERROR(IF([1]对账明细接口!$Y652=0,"",[1]对账明细接口!$Y652),"")</f>
        <v/>
      </c>
      <c r="AE652" s="7" t="str">
        <f>IFERROR(IF([1]对账明细接口!$AA652=0,"",[1]对账明细接口!$AA652),"")</f>
        <v/>
      </c>
      <c r="AF652" s="7" t="str">
        <f>IFERROR(IF([1]对账明细接口!$AB652=0,"",[1]对账明细接口!$AB652),"")</f>
        <v/>
      </c>
      <c r="AG652" s="7" t="str">
        <f>IFERROR(IF([1]对账明细接口!$AC652=0,"",[1]对账明细接口!$AC652),"")</f>
        <v/>
      </c>
      <c r="AH652" s="7" t="str">
        <f>IFERROR(IF([1]对账明细接口!$AD652=0,"",[1]对账明细接口!$AD652),"")</f>
        <v/>
      </c>
      <c r="AI652" s="7" t="str">
        <f>IFERROR(IF([1]对账明细接口!$AE652=0,"",[1]对账明细接口!$AE652),"")</f>
        <v/>
      </c>
      <c r="AJ652" s="7" t="str">
        <f>IFERROR(IF([1]对账明细接口!$AF652=0,"",[1]对账明细接口!$AF652),"")</f>
        <v/>
      </c>
    </row>
    <row r="653" ht="14.25" customHeight="1" spans="1:36">
      <c r="A653" s="14">
        <v>653</v>
      </c>
      <c r="B653" s="15" t="str">
        <f>IFERROR(IF([1]对账明细接口!$B$653=0,"",[1]对账明细接口!$B$653),"")</f>
        <v/>
      </c>
      <c r="C653" s="16" t="str">
        <f>IFERROR(IF([1]对账明细接口!$C$653=0,"",[1]对账明细接口!$C$653),"")</f>
        <v/>
      </c>
      <c r="D653" s="16" t="str">
        <f>IFERROR(IF([1]对账明细接口!$D$653=0,"",[1]对账明细接口!$D$653),"")</f>
        <v/>
      </c>
      <c r="E653" s="16" t="str">
        <f>IFERROR(IF([1]对账明细接口!$E$653=0,"",[1]对账明细接口!$E$653),"")</f>
        <v/>
      </c>
      <c r="F653" s="16" t="str">
        <f>IFERROR(IF([1]对账明细接口!$F$653=0,"",[1]对账明细接口!$F$653),"")</f>
        <v/>
      </c>
      <c r="G653" s="16" t="str">
        <f>IFERROR(IF([1]对账明细接口!$G$653=0,"",[1]对账明细接口!$G$653),"")</f>
        <v/>
      </c>
      <c r="H653" s="17" t="str">
        <f>IFERROR(IF([1]对账明细接口!$H$653=0,"",[1]对账明细接口!$H$653),"")</f>
        <v/>
      </c>
      <c r="I653" s="16" t="str">
        <f>IFERROR(IF([1]对账明细接口!$I$653=0,"",[1]对账明细接口!$I$653),"")</f>
        <v/>
      </c>
      <c r="J653" s="18" t="str">
        <f>IFERROR(IF([1]对账明细接口!$J$653=0,"",[1]对账明细接口!$J$653),"")</f>
        <v/>
      </c>
      <c r="K653" s="18" t="str">
        <f>IFERROR(IF([1]对账明细接口!$K$653=0,"",[1]对账明细接口!$K$653),"")</f>
        <v/>
      </c>
      <c r="L653" s="16" t="str">
        <f>IFERROR(IF([1]对账明细接口!$L$653=0,"",[1]对账明细接口!$L$653),"")</f>
        <v/>
      </c>
      <c r="M653" s="16" t="str">
        <f>IFERROR(IF([1]对账明细接口!$M$653=0,"",[1]对账明细接口!$M$653),"")</f>
        <v/>
      </c>
      <c r="N653" s="19">
        <f t="shared" si="20"/>
        <v>0</v>
      </c>
      <c r="O653" s="19">
        <f t="shared" si="21"/>
        <v>420</v>
      </c>
      <c r="S653" s="20" t="str">
        <f>IFERROR(IF([1]对账明细接口!$N653=0,"",[1]对账明细接口!$N653),"")</f>
        <v/>
      </c>
      <c r="T653" s="21" t="str">
        <f>IFERROR(IF([1]对账明细接口!$O653=0,"",[1]对账明细接口!$O653),"")</f>
        <v/>
      </c>
      <c r="U653" s="21" t="str">
        <f>IFERROR(IF([1]对账明细接口!$P653=0,"",[1]对账明细接口!$P653),"")</f>
        <v/>
      </c>
      <c r="V653" s="21" t="str">
        <f>IFERROR(IF([1]对账明细接口!$Q653=0,"",[1]对账明细接口!$Q653),"")</f>
        <v/>
      </c>
      <c r="W653" s="20" t="str">
        <f>IFERROR(IF([1]对账明细接口!$R653=0,"",[1]对账明细接口!$R653),"")</f>
        <v/>
      </c>
      <c r="X653" s="20" t="str">
        <f>IFERROR(IF([1]对账明细接口!$S653=0,"",[1]对账明细接口!$S653),"")</f>
        <v/>
      </c>
      <c r="Y653" s="20" t="str">
        <f>IFERROR(IF([1]对账明细接口!$T653=0,"",[1]对账明细接口!$T653),"")</f>
        <v/>
      </c>
      <c r="Z653" s="24" t="str">
        <f>IFERROR(IF([1]对账明细接口!$U653=0,"",[1]对账明细接口!$U653),"")</f>
        <v/>
      </c>
      <c r="AA653" s="24" t="str">
        <f>IFERROR(IF([1]对账明细接口!$V653=0,"",[1]对账明细接口!$V653),"")</f>
        <v/>
      </c>
      <c r="AB653" s="20" t="str">
        <f>IFERROR(IF([1]对账明细接口!$W653=0,"",[1]对账明细接口!$W653),"")</f>
        <v/>
      </c>
      <c r="AC653" s="7" t="str">
        <f>IFERROR(IF([1]对账明细接口!$X653=0,"",[1]对账明细接口!$X653),"")</f>
        <v/>
      </c>
      <c r="AD653" s="7" t="str">
        <f>IFERROR(IF([1]对账明细接口!$Y653=0,"",[1]对账明细接口!$Y653),"")</f>
        <v/>
      </c>
      <c r="AE653" s="7" t="str">
        <f>IFERROR(IF([1]对账明细接口!$AA653=0,"",[1]对账明细接口!$AA653),"")</f>
        <v/>
      </c>
      <c r="AF653" s="7" t="str">
        <f>IFERROR(IF([1]对账明细接口!$AB653=0,"",[1]对账明细接口!$AB653),"")</f>
        <v/>
      </c>
      <c r="AG653" s="7" t="str">
        <f>IFERROR(IF([1]对账明细接口!$AC653=0,"",[1]对账明细接口!$AC653),"")</f>
        <v/>
      </c>
      <c r="AH653" s="7" t="str">
        <f>IFERROR(IF([1]对账明细接口!$AD653=0,"",[1]对账明细接口!$AD653),"")</f>
        <v/>
      </c>
      <c r="AI653" s="7" t="str">
        <f>IFERROR(IF([1]对账明细接口!$AE653=0,"",[1]对账明细接口!$AE653),"")</f>
        <v/>
      </c>
      <c r="AJ653" s="7" t="str">
        <f>IFERROR(IF([1]对账明细接口!$AF653=0,"",[1]对账明细接口!$AF653),"")</f>
        <v/>
      </c>
    </row>
    <row r="654" ht="14.25" customHeight="1" spans="1:36">
      <c r="A654" s="14">
        <v>654</v>
      </c>
      <c r="B654" s="15" t="str">
        <f>IFERROR(IF([1]对账明细接口!$B$654=0,"",[1]对账明细接口!$B$654),"")</f>
        <v/>
      </c>
      <c r="C654" s="16" t="str">
        <f>IFERROR(IF([1]对账明细接口!$C$654=0,"",[1]对账明细接口!$C$654),"")</f>
        <v/>
      </c>
      <c r="D654" s="16" t="str">
        <f>IFERROR(IF([1]对账明细接口!$D$654=0,"",[1]对账明细接口!$D$654),"")</f>
        <v/>
      </c>
      <c r="E654" s="16" t="str">
        <f>IFERROR(IF([1]对账明细接口!$E$654=0,"",[1]对账明细接口!$E$654),"")</f>
        <v/>
      </c>
      <c r="F654" s="16" t="str">
        <f>IFERROR(IF([1]对账明细接口!$F$654=0,"",[1]对账明细接口!$F$654),"")</f>
        <v/>
      </c>
      <c r="G654" s="16" t="str">
        <f>IFERROR(IF([1]对账明细接口!$G$654=0,"",[1]对账明细接口!$G$654),"")</f>
        <v/>
      </c>
      <c r="H654" s="17" t="str">
        <f>IFERROR(IF([1]对账明细接口!$H$654=0,"",[1]对账明细接口!$H$654),"")</f>
        <v/>
      </c>
      <c r="I654" s="16" t="str">
        <f>IFERROR(IF([1]对账明细接口!$I$654=0,"",[1]对账明细接口!$I$654),"")</f>
        <v/>
      </c>
      <c r="J654" s="18" t="str">
        <f>IFERROR(IF([1]对账明细接口!$J$654=0,"",[1]对账明细接口!$J$654),"")</f>
        <v/>
      </c>
      <c r="K654" s="18" t="str">
        <f>IFERROR(IF([1]对账明细接口!$K$654=0,"",[1]对账明细接口!$K$654),"")</f>
        <v/>
      </c>
      <c r="L654" s="16" t="str">
        <f>IFERROR(IF([1]对账明细接口!$L$654=0,"",[1]对账明细接口!$L$654),"")</f>
        <v/>
      </c>
      <c r="M654" s="16" t="str">
        <f>IFERROR(IF([1]对账明细接口!$M$654=0,"",[1]对账明细接口!$M$654),"")</f>
        <v/>
      </c>
      <c r="N654" s="19">
        <f t="shared" si="20"/>
        <v>0</v>
      </c>
      <c r="O654" s="19">
        <f t="shared" si="21"/>
        <v>420</v>
      </c>
      <c r="S654" s="20" t="str">
        <f>IFERROR(IF([1]对账明细接口!$N654=0,"",[1]对账明细接口!$N654),"")</f>
        <v/>
      </c>
      <c r="T654" s="21" t="str">
        <f>IFERROR(IF([1]对账明细接口!$O654=0,"",[1]对账明细接口!$O654),"")</f>
        <v/>
      </c>
      <c r="U654" s="21" t="str">
        <f>IFERROR(IF([1]对账明细接口!$P654=0,"",[1]对账明细接口!$P654),"")</f>
        <v/>
      </c>
      <c r="V654" s="21" t="str">
        <f>IFERROR(IF([1]对账明细接口!$Q654=0,"",[1]对账明细接口!$Q654),"")</f>
        <v/>
      </c>
      <c r="W654" s="20" t="str">
        <f>IFERROR(IF([1]对账明细接口!$R654=0,"",[1]对账明细接口!$R654),"")</f>
        <v/>
      </c>
      <c r="X654" s="20" t="str">
        <f>IFERROR(IF([1]对账明细接口!$S654=0,"",[1]对账明细接口!$S654),"")</f>
        <v/>
      </c>
      <c r="Y654" s="20" t="str">
        <f>IFERROR(IF([1]对账明细接口!$T654=0,"",[1]对账明细接口!$T654),"")</f>
        <v/>
      </c>
      <c r="Z654" s="24" t="str">
        <f>IFERROR(IF([1]对账明细接口!$U654=0,"",[1]对账明细接口!$U654),"")</f>
        <v/>
      </c>
      <c r="AA654" s="24" t="str">
        <f>IFERROR(IF([1]对账明细接口!$V654=0,"",[1]对账明细接口!$V654),"")</f>
        <v/>
      </c>
      <c r="AB654" s="20" t="str">
        <f>IFERROR(IF([1]对账明细接口!$W654=0,"",[1]对账明细接口!$W654),"")</f>
        <v/>
      </c>
      <c r="AC654" s="7" t="str">
        <f>IFERROR(IF([1]对账明细接口!$X654=0,"",[1]对账明细接口!$X654),"")</f>
        <v/>
      </c>
      <c r="AD654" s="7" t="str">
        <f>IFERROR(IF([1]对账明细接口!$Y654=0,"",[1]对账明细接口!$Y654),"")</f>
        <v/>
      </c>
      <c r="AE654" s="7" t="str">
        <f>IFERROR(IF([1]对账明细接口!$AA654=0,"",[1]对账明细接口!$AA654),"")</f>
        <v/>
      </c>
      <c r="AF654" s="7" t="str">
        <f>IFERROR(IF([1]对账明细接口!$AB654=0,"",[1]对账明细接口!$AB654),"")</f>
        <v/>
      </c>
      <c r="AG654" s="7" t="str">
        <f>IFERROR(IF([1]对账明细接口!$AC654=0,"",[1]对账明细接口!$AC654),"")</f>
        <v/>
      </c>
      <c r="AH654" s="7" t="str">
        <f>IFERROR(IF([1]对账明细接口!$AD654=0,"",[1]对账明细接口!$AD654),"")</f>
        <v/>
      </c>
      <c r="AI654" s="7" t="str">
        <f>IFERROR(IF([1]对账明细接口!$AE654=0,"",[1]对账明细接口!$AE654),"")</f>
        <v/>
      </c>
      <c r="AJ654" s="7" t="str">
        <f>IFERROR(IF([1]对账明细接口!$AF654=0,"",[1]对账明细接口!$AF654),"")</f>
        <v/>
      </c>
    </row>
    <row r="655" ht="14.25" customHeight="1" spans="1:36">
      <c r="A655" s="14">
        <v>655</v>
      </c>
      <c r="B655" s="15" t="str">
        <f>IFERROR(IF([1]对账明细接口!$B$655=0,"",[1]对账明细接口!$B$655),"")</f>
        <v/>
      </c>
      <c r="C655" s="16" t="str">
        <f>IFERROR(IF([1]对账明细接口!$C$655=0,"",[1]对账明细接口!$C$655),"")</f>
        <v/>
      </c>
      <c r="D655" s="16" t="str">
        <f>IFERROR(IF([1]对账明细接口!$D$655=0,"",[1]对账明细接口!$D$655),"")</f>
        <v/>
      </c>
      <c r="E655" s="16" t="str">
        <f>IFERROR(IF([1]对账明细接口!$E$655=0,"",[1]对账明细接口!$E$655),"")</f>
        <v/>
      </c>
      <c r="F655" s="16" t="str">
        <f>IFERROR(IF([1]对账明细接口!$F$655=0,"",[1]对账明细接口!$F$655),"")</f>
        <v/>
      </c>
      <c r="G655" s="16" t="str">
        <f>IFERROR(IF([1]对账明细接口!$G$655=0,"",[1]对账明细接口!$G$655),"")</f>
        <v/>
      </c>
      <c r="H655" s="17" t="str">
        <f>IFERROR(IF([1]对账明细接口!$H$655=0,"",[1]对账明细接口!$H$655),"")</f>
        <v/>
      </c>
      <c r="I655" s="16" t="str">
        <f>IFERROR(IF([1]对账明细接口!$I$655=0,"",[1]对账明细接口!$I$655),"")</f>
        <v/>
      </c>
      <c r="J655" s="18" t="str">
        <f>IFERROR(IF([1]对账明细接口!$J$655=0,"",[1]对账明细接口!$J$655),"")</f>
        <v/>
      </c>
      <c r="K655" s="18" t="str">
        <f>IFERROR(IF([1]对账明细接口!$K$655=0,"",[1]对账明细接口!$K$655),"")</f>
        <v/>
      </c>
      <c r="L655" s="16" t="str">
        <f>IFERROR(IF([1]对账明细接口!$L$655=0,"",[1]对账明细接口!$L$655),"")</f>
        <v/>
      </c>
      <c r="M655" s="16" t="str">
        <f>IFERROR(IF([1]对账明细接口!$M$655=0,"",[1]对账明细接口!$M$655),"")</f>
        <v/>
      </c>
      <c r="N655" s="19">
        <f t="shared" si="20"/>
        <v>0</v>
      </c>
      <c r="O655" s="19">
        <f t="shared" si="21"/>
        <v>420</v>
      </c>
      <c r="S655" s="20" t="str">
        <f>IFERROR(IF([1]对账明细接口!$N655=0,"",[1]对账明细接口!$N655),"")</f>
        <v/>
      </c>
      <c r="T655" s="21" t="str">
        <f>IFERROR(IF([1]对账明细接口!$O655=0,"",[1]对账明细接口!$O655),"")</f>
        <v/>
      </c>
      <c r="U655" s="21" t="str">
        <f>IFERROR(IF([1]对账明细接口!$P655=0,"",[1]对账明细接口!$P655),"")</f>
        <v/>
      </c>
      <c r="V655" s="21" t="str">
        <f>IFERROR(IF([1]对账明细接口!$Q655=0,"",[1]对账明细接口!$Q655),"")</f>
        <v/>
      </c>
      <c r="W655" s="20" t="str">
        <f>IFERROR(IF([1]对账明细接口!$R655=0,"",[1]对账明细接口!$R655),"")</f>
        <v/>
      </c>
      <c r="X655" s="20" t="str">
        <f>IFERROR(IF([1]对账明细接口!$S655=0,"",[1]对账明细接口!$S655),"")</f>
        <v/>
      </c>
      <c r="Y655" s="20" t="str">
        <f>IFERROR(IF([1]对账明细接口!$T655=0,"",[1]对账明细接口!$T655),"")</f>
        <v/>
      </c>
      <c r="Z655" s="24" t="str">
        <f>IFERROR(IF([1]对账明细接口!$U655=0,"",[1]对账明细接口!$U655),"")</f>
        <v/>
      </c>
      <c r="AA655" s="24" t="str">
        <f>IFERROR(IF([1]对账明细接口!$V655=0,"",[1]对账明细接口!$V655),"")</f>
        <v/>
      </c>
      <c r="AB655" s="20" t="str">
        <f>IFERROR(IF([1]对账明细接口!$W655=0,"",[1]对账明细接口!$W655),"")</f>
        <v/>
      </c>
      <c r="AC655" s="7" t="str">
        <f>IFERROR(IF([1]对账明细接口!$X655=0,"",[1]对账明细接口!$X655),"")</f>
        <v/>
      </c>
      <c r="AD655" s="7" t="str">
        <f>IFERROR(IF([1]对账明细接口!$Y655=0,"",[1]对账明细接口!$Y655),"")</f>
        <v/>
      </c>
      <c r="AE655" s="7" t="str">
        <f>IFERROR(IF([1]对账明细接口!$AA655=0,"",[1]对账明细接口!$AA655),"")</f>
        <v/>
      </c>
      <c r="AF655" s="7" t="str">
        <f>IFERROR(IF([1]对账明细接口!$AB655=0,"",[1]对账明细接口!$AB655),"")</f>
        <v/>
      </c>
      <c r="AG655" s="7" t="str">
        <f>IFERROR(IF([1]对账明细接口!$AC655=0,"",[1]对账明细接口!$AC655),"")</f>
        <v/>
      </c>
      <c r="AH655" s="7" t="str">
        <f>IFERROR(IF([1]对账明细接口!$AD655=0,"",[1]对账明细接口!$AD655),"")</f>
        <v/>
      </c>
      <c r="AI655" s="7" t="str">
        <f>IFERROR(IF([1]对账明细接口!$AE655=0,"",[1]对账明细接口!$AE655),"")</f>
        <v/>
      </c>
      <c r="AJ655" s="7" t="str">
        <f>IFERROR(IF([1]对账明细接口!$AF655=0,"",[1]对账明细接口!$AF655),"")</f>
        <v/>
      </c>
    </row>
    <row r="656" ht="14.25" customHeight="1" spans="1:36">
      <c r="A656" s="14">
        <v>656</v>
      </c>
      <c r="B656" s="15" t="str">
        <f>IFERROR(IF([1]对账明细接口!$B$656=0,"",[1]对账明细接口!$B$656),"")</f>
        <v/>
      </c>
      <c r="C656" s="16" t="str">
        <f>IFERROR(IF([1]对账明细接口!$C$656=0,"",[1]对账明细接口!$C$656),"")</f>
        <v/>
      </c>
      <c r="D656" s="16" t="str">
        <f>IFERROR(IF([1]对账明细接口!$D$656=0,"",[1]对账明细接口!$D$656),"")</f>
        <v/>
      </c>
      <c r="E656" s="16" t="str">
        <f>IFERROR(IF([1]对账明细接口!$E$656=0,"",[1]对账明细接口!$E$656),"")</f>
        <v/>
      </c>
      <c r="F656" s="16" t="str">
        <f>IFERROR(IF([1]对账明细接口!$F$656=0,"",[1]对账明细接口!$F$656),"")</f>
        <v/>
      </c>
      <c r="G656" s="16" t="str">
        <f>IFERROR(IF([1]对账明细接口!$G$656=0,"",[1]对账明细接口!$G$656),"")</f>
        <v/>
      </c>
      <c r="H656" s="17" t="str">
        <f>IFERROR(IF([1]对账明细接口!$H$656=0,"",[1]对账明细接口!$H$656),"")</f>
        <v/>
      </c>
      <c r="I656" s="16" t="str">
        <f>IFERROR(IF([1]对账明细接口!$I$656=0,"",[1]对账明细接口!$I$656),"")</f>
        <v/>
      </c>
      <c r="J656" s="18" t="str">
        <f>IFERROR(IF([1]对账明细接口!$J$656=0,"",[1]对账明细接口!$J$656),"")</f>
        <v/>
      </c>
      <c r="K656" s="18" t="str">
        <f>IFERROR(IF([1]对账明细接口!$K$656=0,"",[1]对账明细接口!$K$656),"")</f>
        <v/>
      </c>
      <c r="L656" s="16" t="str">
        <f>IFERROR(IF([1]对账明细接口!$L$656=0,"",[1]对账明细接口!$L$656),"")</f>
        <v/>
      </c>
      <c r="M656" s="16" t="str">
        <f>IFERROR(IF([1]对账明细接口!$M$656=0,"",[1]对账明细接口!$M$656),"")</f>
        <v/>
      </c>
      <c r="N656" s="19">
        <f t="shared" si="20"/>
        <v>0</v>
      </c>
      <c r="O656" s="19">
        <f t="shared" si="21"/>
        <v>420</v>
      </c>
      <c r="S656" s="20" t="str">
        <f>IFERROR(IF([1]对账明细接口!$N656=0,"",[1]对账明细接口!$N656),"")</f>
        <v/>
      </c>
      <c r="T656" s="21" t="str">
        <f>IFERROR(IF([1]对账明细接口!$O656=0,"",[1]对账明细接口!$O656),"")</f>
        <v/>
      </c>
      <c r="U656" s="21" t="str">
        <f>IFERROR(IF([1]对账明细接口!$P656=0,"",[1]对账明细接口!$P656),"")</f>
        <v/>
      </c>
      <c r="V656" s="21" t="str">
        <f>IFERROR(IF([1]对账明细接口!$Q656=0,"",[1]对账明细接口!$Q656),"")</f>
        <v/>
      </c>
      <c r="W656" s="20" t="str">
        <f>IFERROR(IF([1]对账明细接口!$R656=0,"",[1]对账明细接口!$R656),"")</f>
        <v/>
      </c>
      <c r="X656" s="20" t="str">
        <f>IFERROR(IF([1]对账明细接口!$S656=0,"",[1]对账明细接口!$S656),"")</f>
        <v/>
      </c>
      <c r="Y656" s="20" t="str">
        <f>IFERROR(IF([1]对账明细接口!$T656=0,"",[1]对账明细接口!$T656),"")</f>
        <v/>
      </c>
      <c r="Z656" s="24" t="str">
        <f>IFERROR(IF([1]对账明细接口!$U656=0,"",[1]对账明细接口!$U656),"")</f>
        <v/>
      </c>
      <c r="AA656" s="24" t="str">
        <f>IFERROR(IF([1]对账明细接口!$V656=0,"",[1]对账明细接口!$V656),"")</f>
        <v/>
      </c>
      <c r="AB656" s="20" t="str">
        <f>IFERROR(IF([1]对账明细接口!$W656=0,"",[1]对账明细接口!$W656),"")</f>
        <v/>
      </c>
      <c r="AC656" s="7" t="str">
        <f>IFERROR(IF([1]对账明细接口!$X656=0,"",[1]对账明细接口!$X656),"")</f>
        <v/>
      </c>
      <c r="AD656" s="7" t="str">
        <f>IFERROR(IF([1]对账明细接口!$Y656=0,"",[1]对账明细接口!$Y656),"")</f>
        <v/>
      </c>
      <c r="AE656" s="7" t="str">
        <f>IFERROR(IF([1]对账明细接口!$AA656=0,"",[1]对账明细接口!$AA656),"")</f>
        <v/>
      </c>
      <c r="AF656" s="7" t="str">
        <f>IFERROR(IF([1]对账明细接口!$AB656=0,"",[1]对账明细接口!$AB656),"")</f>
        <v/>
      </c>
      <c r="AG656" s="7" t="str">
        <f>IFERROR(IF([1]对账明细接口!$AC656=0,"",[1]对账明细接口!$AC656),"")</f>
        <v/>
      </c>
      <c r="AH656" s="7" t="str">
        <f>IFERROR(IF([1]对账明细接口!$AD656=0,"",[1]对账明细接口!$AD656),"")</f>
        <v/>
      </c>
      <c r="AI656" s="7" t="str">
        <f>IFERROR(IF([1]对账明细接口!$AE656=0,"",[1]对账明细接口!$AE656),"")</f>
        <v/>
      </c>
      <c r="AJ656" s="7" t="str">
        <f>IFERROR(IF([1]对账明细接口!$AF656=0,"",[1]对账明细接口!$AF656),"")</f>
        <v/>
      </c>
    </row>
    <row r="657" ht="14.25" customHeight="1" spans="1:36">
      <c r="A657" s="14">
        <v>657</v>
      </c>
      <c r="B657" s="15" t="str">
        <f>IFERROR(IF([1]对账明细接口!$B$657=0,"",[1]对账明细接口!$B$657),"")</f>
        <v/>
      </c>
      <c r="C657" s="16" t="str">
        <f>IFERROR(IF([1]对账明细接口!$C$657=0,"",[1]对账明细接口!$C$657),"")</f>
        <v/>
      </c>
      <c r="D657" s="16" t="str">
        <f>IFERROR(IF([1]对账明细接口!$D$657=0,"",[1]对账明细接口!$D$657),"")</f>
        <v/>
      </c>
      <c r="E657" s="16" t="str">
        <f>IFERROR(IF([1]对账明细接口!$E$657=0,"",[1]对账明细接口!$E$657),"")</f>
        <v/>
      </c>
      <c r="F657" s="16" t="str">
        <f>IFERROR(IF([1]对账明细接口!$F$657=0,"",[1]对账明细接口!$F$657),"")</f>
        <v/>
      </c>
      <c r="G657" s="16" t="str">
        <f>IFERROR(IF([1]对账明细接口!$G$657=0,"",[1]对账明细接口!$G$657),"")</f>
        <v/>
      </c>
      <c r="H657" s="17" t="str">
        <f>IFERROR(IF([1]对账明细接口!$H$657=0,"",[1]对账明细接口!$H$657),"")</f>
        <v/>
      </c>
      <c r="I657" s="16" t="str">
        <f>IFERROR(IF([1]对账明细接口!$I$657=0,"",[1]对账明细接口!$I$657),"")</f>
        <v/>
      </c>
      <c r="J657" s="18" t="str">
        <f>IFERROR(IF([1]对账明细接口!$J$657=0,"",[1]对账明细接口!$J$657),"")</f>
        <v/>
      </c>
      <c r="K657" s="18" t="str">
        <f>IFERROR(IF([1]对账明细接口!$K$657=0,"",[1]对账明细接口!$K$657),"")</f>
        <v/>
      </c>
      <c r="L657" s="16" t="str">
        <f>IFERROR(IF([1]对账明细接口!$L$657=0,"",[1]对账明细接口!$L$657),"")</f>
        <v/>
      </c>
      <c r="M657" s="16" t="str">
        <f>IFERROR(IF([1]对账明细接口!$M$657=0,"",[1]对账明细接口!$M$657),"")</f>
        <v/>
      </c>
      <c r="N657" s="19">
        <f t="shared" si="20"/>
        <v>0</v>
      </c>
      <c r="O657" s="19">
        <f t="shared" si="21"/>
        <v>420</v>
      </c>
      <c r="S657" s="20" t="str">
        <f>IFERROR(IF([1]对账明细接口!$N657=0,"",[1]对账明细接口!$N657),"")</f>
        <v/>
      </c>
      <c r="T657" s="21" t="str">
        <f>IFERROR(IF([1]对账明细接口!$O657=0,"",[1]对账明细接口!$O657),"")</f>
        <v/>
      </c>
      <c r="U657" s="21" t="str">
        <f>IFERROR(IF([1]对账明细接口!$P657=0,"",[1]对账明细接口!$P657),"")</f>
        <v/>
      </c>
      <c r="V657" s="21" t="str">
        <f>IFERROR(IF([1]对账明细接口!$Q657=0,"",[1]对账明细接口!$Q657),"")</f>
        <v/>
      </c>
      <c r="W657" s="20" t="str">
        <f>IFERROR(IF([1]对账明细接口!$R657=0,"",[1]对账明细接口!$R657),"")</f>
        <v/>
      </c>
      <c r="X657" s="20" t="str">
        <f>IFERROR(IF([1]对账明细接口!$S657=0,"",[1]对账明细接口!$S657),"")</f>
        <v/>
      </c>
      <c r="Y657" s="20" t="str">
        <f>IFERROR(IF([1]对账明细接口!$T657=0,"",[1]对账明细接口!$T657),"")</f>
        <v/>
      </c>
      <c r="Z657" s="24" t="str">
        <f>IFERROR(IF([1]对账明细接口!$U657=0,"",[1]对账明细接口!$U657),"")</f>
        <v/>
      </c>
      <c r="AA657" s="24" t="str">
        <f>IFERROR(IF([1]对账明细接口!$V657=0,"",[1]对账明细接口!$V657),"")</f>
        <v/>
      </c>
      <c r="AB657" s="20" t="str">
        <f>IFERROR(IF([1]对账明细接口!$W657=0,"",[1]对账明细接口!$W657),"")</f>
        <v/>
      </c>
      <c r="AC657" s="7" t="str">
        <f>IFERROR(IF([1]对账明细接口!$X657=0,"",[1]对账明细接口!$X657),"")</f>
        <v/>
      </c>
      <c r="AD657" s="7" t="str">
        <f>IFERROR(IF([1]对账明细接口!$Y657=0,"",[1]对账明细接口!$Y657),"")</f>
        <v/>
      </c>
      <c r="AE657" s="7" t="str">
        <f>IFERROR(IF([1]对账明细接口!$AA657=0,"",[1]对账明细接口!$AA657),"")</f>
        <v/>
      </c>
      <c r="AF657" s="7" t="str">
        <f>IFERROR(IF([1]对账明细接口!$AB657=0,"",[1]对账明细接口!$AB657),"")</f>
        <v/>
      </c>
      <c r="AG657" s="7" t="str">
        <f>IFERROR(IF([1]对账明细接口!$AC657=0,"",[1]对账明细接口!$AC657),"")</f>
        <v/>
      </c>
      <c r="AH657" s="7" t="str">
        <f>IFERROR(IF([1]对账明细接口!$AD657=0,"",[1]对账明细接口!$AD657),"")</f>
        <v/>
      </c>
      <c r="AI657" s="7" t="str">
        <f>IFERROR(IF([1]对账明细接口!$AE657=0,"",[1]对账明细接口!$AE657),"")</f>
        <v/>
      </c>
      <c r="AJ657" s="7" t="str">
        <f>IFERROR(IF([1]对账明细接口!$AF657=0,"",[1]对账明细接口!$AF657),"")</f>
        <v/>
      </c>
    </row>
    <row r="658" ht="14.25" customHeight="1" spans="1:36">
      <c r="A658" s="14">
        <v>658</v>
      </c>
      <c r="B658" s="15" t="str">
        <f>IFERROR(IF([1]对账明细接口!$B$658=0,"",[1]对账明细接口!$B$658),"")</f>
        <v/>
      </c>
      <c r="C658" s="16" t="str">
        <f>IFERROR(IF([1]对账明细接口!$C$658=0,"",[1]对账明细接口!$C$658),"")</f>
        <v/>
      </c>
      <c r="D658" s="16" t="str">
        <f>IFERROR(IF([1]对账明细接口!$D$658=0,"",[1]对账明细接口!$D$658),"")</f>
        <v/>
      </c>
      <c r="E658" s="16" t="str">
        <f>IFERROR(IF([1]对账明细接口!$E$658=0,"",[1]对账明细接口!$E$658),"")</f>
        <v/>
      </c>
      <c r="F658" s="16" t="str">
        <f>IFERROR(IF([1]对账明细接口!$F$658=0,"",[1]对账明细接口!$F$658),"")</f>
        <v/>
      </c>
      <c r="G658" s="16" t="str">
        <f>IFERROR(IF([1]对账明细接口!$G$658=0,"",[1]对账明细接口!$G$658),"")</f>
        <v/>
      </c>
      <c r="H658" s="17" t="str">
        <f>IFERROR(IF([1]对账明细接口!$H$658=0,"",[1]对账明细接口!$H$658),"")</f>
        <v/>
      </c>
      <c r="I658" s="16" t="str">
        <f>IFERROR(IF([1]对账明细接口!$I$658=0,"",[1]对账明细接口!$I$658),"")</f>
        <v/>
      </c>
      <c r="J658" s="18" t="str">
        <f>IFERROR(IF([1]对账明细接口!$J$658=0,"",[1]对账明细接口!$J$658),"")</f>
        <v/>
      </c>
      <c r="K658" s="18" t="str">
        <f>IFERROR(IF([1]对账明细接口!$K$658=0,"",[1]对账明细接口!$K$658),"")</f>
        <v/>
      </c>
      <c r="L658" s="16" t="str">
        <f>IFERROR(IF([1]对账明细接口!$L$658=0,"",[1]对账明细接口!$L$658),"")</f>
        <v/>
      </c>
      <c r="M658" s="16" t="str">
        <f>IFERROR(IF([1]对账明细接口!$M$658=0,"",[1]对账明细接口!$M$658),"")</f>
        <v/>
      </c>
      <c r="N658" s="19">
        <f t="shared" si="20"/>
        <v>0</v>
      </c>
      <c r="O658" s="19">
        <f t="shared" si="21"/>
        <v>420</v>
      </c>
      <c r="S658" s="20" t="str">
        <f>IFERROR(IF([1]对账明细接口!$N658=0,"",[1]对账明细接口!$N658),"")</f>
        <v/>
      </c>
      <c r="T658" s="21" t="str">
        <f>IFERROR(IF([1]对账明细接口!$O658=0,"",[1]对账明细接口!$O658),"")</f>
        <v/>
      </c>
      <c r="U658" s="21" t="str">
        <f>IFERROR(IF([1]对账明细接口!$P658=0,"",[1]对账明细接口!$P658),"")</f>
        <v/>
      </c>
      <c r="V658" s="21" t="str">
        <f>IFERROR(IF([1]对账明细接口!$Q658=0,"",[1]对账明细接口!$Q658),"")</f>
        <v/>
      </c>
      <c r="W658" s="20" t="str">
        <f>IFERROR(IF([1]对账明细接口!$R658=0,"",[1]对账明细接口!$R658),"")</f>
        <v/>
      </c>
      <c r="X658" s="20" t="str">
        <f>IFERROR(IF([1]对账明细接口!$S658=0,"",[1]对账明细接口!$S658),"")</f>
        <v/>
      </c>
      <c r="Y658" s="20" t="str">
        <f>IFERROR(IF([1]对账明细接口!$T658=0,"",[1]对账明细接口!$T658),"")</f>
        <v/>
      </c>
      <c r="Z658" s="24" t="str">
        <f>IFERROR(IF([1]对账明细接口!$U658=0,"",[1]对账明细接口!$U658),"")</f>
        <v/>
      </c>
      <c r="AA658" s="24" t="str">
        <f>IFERROR(IF([1]对账明细接口!$V658=0,"",[1]对账明细接口!$V658),"")</f>
        <v/>
      </c>
      <c r="AB658" s="20" t="str">
        <f>IFERROR(IF([1]对账明细接口!$W658=0,"",[1]对账明细接口!$W658),"")</f>
        <v/>
      </c>
      <c r="AC658" s="7" t="str">
        <f>IFERROR(IF([1]对账明细接口!$X658=0,"",[1]对账明细接口!$X658),"")</f>
        <v/>
      </c>
      <c r="AD658" s="7" t="str">
        <f>IFERROR(IF([1]对账明细接口!$Y658=0,"",[1]对账明细接口!$Y658),"")</f>
        <v/>
      </c>
      <c r="AE658" s="7" t="str">
        <f>IFERROR(IF([1]对账明细接口!$AA658=0,"",[1]对账明细接口!$AA658),"")</f>
        <v/>
      </c>
      <c r="AF658" s="7" t="str">
        <f>IFERROR(IF([1]对账明细接口!$AB658=0,"",[1]对账明细接口!$AB658),"")</f>
        <v/>
      </c>
      <c r="AG658" s="7" t="str">
        <f>IFERROR(IF([1]对账明细接口!$AC658=0,"",[1]对账明细接口!$AC658),"")</f>
        <v/>
      </c>
      <c r="AH658" s="7" t="str">
        <f>IFERROR(IF([1]对账明细接口!$AD658=0,"",[1]对账明细接口!$AD658),"")</f>
        <v/>
      </c>
      <c r="AI658" s="7" t="str">
        <f>IFERROR(IF([1]对账明细接口!$AE658=0,"",[1]对账明细接口!$AE658),"")</f>
        <v/>
      </c>
      <c r="AJ658" s="7" t="str">
        <f>IFERROR(IF([1]对账明细接口!$AF658=0,"",[1]对账明细接口!$AF658),"")</f>
        <v/>
      </c>
    </row>
    <row r="659" ht="14.25" customHeight="1" spans="1:36">
      <c r="A659" s="14">
        <v>659</v>
      </c>
      <c r="B659" s="15" t="str">
        <f>IFERROR(IF([1]对账明细接口!$B$659=0,"",[1]对账明细接口!$B$659),"")</f>
        <v/>
      </c>
      <c r="C659" s="16" t="str">
        <f>IFERROR(IF([1]对账明细接口!$C$659=0,"",[1]对账明细接口!$C$659),"")</f>
        <v/>
      </c>
      <c r="D659" s="16" t="str">
        <f>IFERROR(IF([1]对账明细接口!$D$659=0,"",[1]对账明细接口!$D$659),"")</f>
        <v/>
      </c>
      <c r="E659" s="16" t="str">
        <f>IFERROR(IF([1]对账明细接口!$E$659=0,"",[1]对账明细接口!$E$659),"")</f>
        <v/>
      </c>
      <c r="F659" s="16" t="str">
        <f>IFERROR(IF([1]对账明细接口!$F$659=0,"",[1]对账明细接口!$F$659),"")</f>
        <v/>
      </c>
      <c r="G659" s="16" t="str">
        <f>IFERROR(IF([1]对账明细接口!$G$659=0,"",[1]对账明细接口!$G$659),"")</f>
        <v/>
      </c>
      <c r="H659" s="17" t="str">
        <f>IFERROR(IF([1]对账明细接口!$H$659=0,"",[1]对账明细接口!$H$659),"")</f>
        <v/>
      </c>
      <c r="I659" s="16" t="str">
        <f>IFERROR(IF([1]对账明细接口!$I$659=0,"",[1]对账明细接口!$I$659),"")</f>
        <v/>
      </c>
      <c r="J659" s="18" t="str">
        <f>IFERROR(IF([1]对账明细接口!$J$659=0,"",[1]对账明细接口!$J$659),"")</f>
        <v/>
      </c>
      <c r="K659" s="18" t="str">
        <f>IFERROR(IF([1]对账明细接口!$K$659=0,"",[1]对账明细接口!$K$659),"")</f>
        <v/>
      </c>
      <c r="L659" s="16" t="str">
        <f>IFERROR(IF([1]对账明细接口!$L$659=0,"",[1]对账明细接口!$L$659),"")</f>
        <v/>
      </c>
      <c r="M659" s="16" t="str">
        <f>IFERROR(IF([1]对账明细接口!$M$659=0,"",[1]对账明细接口!$M$659),"")</f>
        <v/>
      </c>
      <c r="N659" s="19">
        <f t="shared" si="20"/>
        <v>0</v>
      </c>
      <c r="O659" s="19">
        <f t="shared" si="21"/>
        <v>420</v>
      </c>
      <c r="S659" s="20" t="str">
        <f>IFERROR(IF([1]对账明细接口!$N659=0,"",[1]对账明细接口!$N659),"")</f>
        <v/>
      </c>
      <c r="T659" s="21" t="str">
        <f>IFERROR(IF([1]对账明细接口!$O659=0,"",[1]对账明细接口!$O659),"")</f>
        <v/>
      </c>
      <c r="U659" s="21" t="str">
        <f>IFERROR(IF([1]对账明细接口!$P659=0,"",[1]对账明细接口!$P659),"")</f>
        <v/>
      </c>
      <c r="V659" s="21" t="str">
        <f>IFERROR(IF([1]对账明细接口!$Q659=0,"",[1]对账明细接口!$Q659),"")</f>
        <v/>
      </c>
      <c r="W659" s="20" t="str">
        <f>IFERROR(IF([1]对账明细接口!$R659=0,"",[1]对账明细接口!$R659),"")</f>
        <v/>
      </c>
      <c r="X659" s="20" t="str">
        <f>IFERROR(IF([1]对账明细接口!$S659=0,"",[1]对账明细接口!$S659),"")</f>
        <v/>
      </c>
      <c r="Y659" s="20" t="str">
        <f>IFERROR(IF([1]对账明细接口!$T659=0,"",[1]对账明细接口!$T659),"")</f>
        <v/>
      </c>
      <c r="Z659" s="24" t="str">
        <f>IFERROR(IF([1]对账明细接口!$U659=0,"",[1]对账明细接口!$U659),"")</f>
        <v/>
      </c>
      <c r="AA659" s="24" t="str">
        <f>IFERROR(IF([1]对账明细接口!$V659=0,"",[1]对账明细接口!$V659),"")</f>
        <v/>
      </c>
      <c r="AB659" s="20" t="str">
        <f>IFERROR(IF([1]对账明细接口!$W659=0,"",[1]对账明细接口!$W659),"")</f>
        <v/>
      </c>
      <c r="AC659" s="7" t="str">
        <f>IFERROR(IF([1]对账明细接口!$X659=0,"",[1]对账明细接口!$X659),"")</f>
        <v/>
      </c>
      <c r="AD659" s="7" t="str">
        <f>IFERROR(IF([1]对账明细接口!$Y659=0,"",[1]对账明细接口!$Y659),"")</f>
        <v/>
      </c>
      <c r="AE659" s="7" t="str">
        <f>IFERROR(IF([1]对账明细接口!$AA659=0,"",[1]对账明细接口!$AA659),"")</f>
        <v/>
      </c>
      <c r="AF659" s="7" t="str">
        <f>IFERROR(IF([1]对账明细接口!$AB659=0,"",[1]对账明细接口!$AB659),"")</f>
        <v/>
      </c>
      <c r="AG659" s="7" t="str">
        <f>IFERROR(IF([1]对账明细接口!$AC659=0,"",[1]对账明细接口!$AC659),"")</f>
        <v/>
      </c>
      <c r="AH659" s="7" t="str">
        <f>IFERROR(IF([1]对账明细接口!$AD659=0,"",[1]对账明细接口!$AD659),"")</f>
        <v/>
      </c>
      <c r="AI659" s="7" t="str">
        <f>IFERROR(IF([1]对账明细接口!$AE659=0,"",[1]对账明细接口!$AE659),"")</f>
        <v/>
      </c>
      <c r="AJ659" s="7" t="str">
        <f>IFERROR(IF([1]对账明细接口!$AF659=0,"",[1]对账明细接口!$AF659),"")</f>
        <v/>
      </c>
    </row>
    <row r="660" ht="14.25" customHeight="1" spans="1:36">
      <c r="A660" s="14">
        <v>660</v>
      </c>
      <c r="B660" s="15" t="str">
        <f>IFERROR(IF([1]对账明细接口!$B$660=0,"",[1]对账明细接口!$B$660),"")</f>
        <v/>
      </c>
      <c r="C660" s="16" t="str">
        <f>IFERROR(IF([1]对账明细接口!$C$660=0,"",[1]对账明细接口!$C$660),"")</f>
        <v/>
      </c>
      <c r="D660" s="16" t="str">
        <f>IFERROR(IF([1]对账明细接口!$D$660=0,"",[1]对账明细接口!$D$660),"")</f>
        <v/>
      </c>
      <c r="E660" s="16" t="str">
        <f>IFERROR(IF([1]对账明细接口!$E$660=0,"",[1]对账明细接口!$E$660),"")</f>
        <v/>
      </c>
      <c r="F660" s="16" t="str">
        <f>IFERROR(IF([1]对账明细接口!$F$660=0,"",[1]对账明细接口!$F$660),"")</f>
        <v/>
      </c>
      <c r="G660" s="16" t="str">
        <f>IFERROR(IF([1]对账明细接口!$G$660=0,"",[1]对账明细接口!$G$660),"")</f>
        <v/>
      </c>
      <c r="H660" s="17" t="str">
        <f>IFERROR(IF([1]对账明细接口!$H$660=0,"",[1]对账明细接口!$H$660),"")</f>
        <v/>
      </c>
      <c r="I660" s="16" t="str">
        <f>IFERROR(IF([1]对账明细接口!$I$660=0,"",[1]对账明细接口!$I$660),"")</f>
        <v/>
      </c>
      <c r="J660" s="18" t="str">
        <f>IFERROR(IF([1]对账明细接口!$J$660=0,"",[1]对账明细接口!$J$660),"")</f>
        <v/>
      </c>
      <c r="K660" s="18" t="str">
        <f>IFERROR(IF([1]对账明细接口!$K$660=0,"",[1]对账明细接口!$K$660),"")</f>
        <v/>
      </c>
      <c r="L660" s="16" t="str">
        <f>IFERROR(IF([1]对账明细接口!$L$660=0,"",[1]对账明细接口!$L$660),"")</f>
        <v/>
      </c>
      <c r="M660" s="16" t="str">
        <f>IFERROR(IF([1]对账明细接口!$M$660=0,"",[1]对账明细接口!$M$660),"")</f>
        <v/>
      </c>
      <c r="N660" s="19">
        <f t="shared" si="20"/>
        <v>0</v>
      </c>
      <c r="O660" s="19">
        <f t="shared" si="21"/>
        <v>420</v>
      </c>
      <c r="S660" s="20" t="str">
        <f>IFERROR(IF([1]对账明细接口!$N660=0,"",[1]对账明细接口!$N660),"")</f>
        <v/>
      </c>
      <c r="T660" s="21" t="str">
        <f>IFERROR(IF([1]对账明细接口!$O660=0,"",[1]对账明细接口!$O660),"")</f>
        <v/>
      </c>
      <c r="U660" s="21" t="str">
        <f>IFERROR(IF([1]对账明细接口!$P660=0,"",[1]对账明细接口!$P660),"")</f>
        <v/>
      </c>
      <c r="V660" s="21" t="str">
        <f>IFERROR(IF([1]对账明细接口!$Q660=0,"",[1]对账明细接口!$Q660),"")</f>
        <v/>
      </c>
      <c r="W660" s="20" t="str">
        <f>IFERROR(IF([1]对账明细接口!$R660=0,"",[1]对账明细接口!$R660),"")</f>
        <v/>
      </c>
      <c r="X660" s="20" t="str">
        <f>IFERROR(IF([1]对账明细接口!$S660=0,"",[1]对账明细接口!$S660),"")</f>
        <v/>
      </c>
      <c r="Y660" s="20" t="str">
        <f>IFERROR(IF([1]对账明细接口!$T660=0,"",[1]对账明细接口!$T660),"")</f>
        <v/>
      </c>
      <c r="Z660" s="24" t="str">
        <f>IFERROR(IF([1]对账明细接口!$U660=0,"",[1]对账明细接口!$U660),"")</f>
        <v/>
      </c>
      <c r="AA660" s="24" t="str">
        <f>IFERROR(IF([1]对账明细接口!$V660=0,"",[1]对账明细接口!$V660),"")</f>
        <v/>
      </c>
      <c r="AB660" s="20" t="str">
        <f>IFERROR(IF([1]对账明细接口!$W660=0,"",[1]对账明细接口!$W660),"")</f>
        <v/>
      </c>
      <c r="AC660" s="7" t="str">
        <f>IFERROR(IF([1]对账明细接口!$X660=0,"",[1]对账明细接口!$X660),"")</f>
        <v/>
      </c>
      <c r="AD660" s="7" t="str">
        <f>IFERROR(IF([1]对账明细接口!$Y660=0,"",[1]对账明细接口!$Y660),"")</f>
        <v/>
      </c>
      <c r="AE660" s="7" t="str">
        <f>IFERROR(IF([1]对账明细接口!$AA660=0,"",[1]对账明细接口!$AA660),"")</f>
        <v/>
      </c>
      <c r="AF660" s="7" t="str">
        <f>IFERROR(IF([1]对账明细接口!$AB660=0,"",[1]对账明细接口!$AB660),"")</f>
        <v/>
      </c>
      <c r="AG660" s="7" t="str">
        <f>IFERROR(IF([1]对账明细接口!$AC660=0,"",[1]对账明细接口!$AC660),"")</f>
        <v/>
      </c>
      <c r="AH660" s="7" t="str">
        <f>IFERROR(IF([1]对账明细接口!$AD660=0,"",[1]对账明细接口!$AD660),"")</f>
        <v/>
      </c>
      <c r="AI660" s="7" t="str">
        <f>IFERROR(IF([1]对账明细接口!$AE660=0,"",[1]对账明细接口!$AE660),"")</f>
        <v/>
      </c>
      <c r="AJ660" s="7" t="str">
        <f>IFERROR(IF([1]对账明细接口!$AF660=0,"",[1]对账明细接口!$AF660),"")</f>
        <v/>
      </c>
    </row>
    <row r="661" ht="14.25" customHeight="1" spans="1:36">
      <c r="A661" s="14">
        <v>661</v>
      </c>
      <c r="B661" s="15" t="str">
        <f>IFERROR(IF([1]对账明细接口!$B$661=0,"",[1]对账明细接口!$B$661),"")</f>
        <v/>
      </c>
      <c r="C661" s="16" t="str">
        <f>IFERROR(IF([1]对账明细接口!$C$661=0,"",[1]对账明细接口!$C$661),"")</f>
        <v/>
      </c>
      <c r="D661" s="16" t="str">
        <f>IFERROR(IF([1]对账明细接口!$D$661=0,"",[1]对账明细接口!$D$661),"")</f>
        <v/>
      </c>
      <c r="E661" s="16" t="str">
        <f>IFERROR(IF([1]对账明细接口!$E$661=0,"",[1]对账明细接口!$E$661),"")</f>
        <v/>
      </c>
      <c r="F661" s="16" t="str">
        <f>IFERROR(IF([1]对账明细接口!$F$661=0,"",[1]对账明细接口!$F$661),"")</f>
        <v/>
      </c>
      <c r="G661" s="16" t="str">
        <f>IFERROR(IF([1]对账明细接口!$G$661=0,"",[1]对账明细接口!$G$661),"")</f>
        <v/>
      </c>
      <c r="H661" s="17" t="str">
        <f>IFERROR(IF([1]对账明细接口!$H$661=0,"",[1]对账明细接口!$H$661),"")</f>
        <v/>
      </c>
      <c r="I661" s="16" t="str">
        <f>IFERROR(IF([1]对账明细接口!$I$661=0,"",[1]对账明细接口!$I$661),"")</f>
        <v/>
      </c>
      <c r="J661" s="18" t="str">
        <f>IFERROR(IF([1]对账明细接口!$J$661=0,"",[1]对账明细接口!$J$661),"")</f>
        <v/>
      </c>
      <c r="K661" s="18" t="str">
        <f>IFERROR(IF([1]对账明细接口!$K$661=0,"",[1]对账明细接口!$K$661),"")</f>
        <v/>
      </c>
      <c r="L661" s="16" t="str">
        <f>IFERROR(IF([1]对账明细接口!$L$661=0,"",[1]对账明细接口!$L$661),"")</f>
        <v/>
      </c>
      <c r="M661" s="16" t="str">
        <f>IFERROR(IF([1]对账明细接口!$M$661=0,"",[1]对账明细接口!$M$661),"")</f>
        <v/>
      </c>
      <c r="N661" s="19">
        <f t="shared" si="20"/>
        <v>0</v>
      </c>
      <c r="O661" s="19">
        <f t="shared" si="21"/>
        <v>420</v>
      </c>
      <c r="S661" s="20" t="str">
        <f>IFERROR(IF([1]对账明细接口!$N661=0,"",[1]对账明细接口!$N661),"")</f>
        <v/>
      </c>
      <c r="T661" s="21" t="str">
        <f>IFERROR(IF([1]对账明细接口!$O661=0,"",[1]对账明细接口!$O661),"")</f>
        <v/>
      </c>
      <c r="U661" s="21" t="str">
        <f>IFERROR(IF([1]对账明细接口!$P661=0,"",[1]对账明细接口!$P661),"")</f>
        <v/>
      </c>
      <c r="V661" s="21" t="str">
        <f>IFERROR(IF([1]对账明细接口!$Q661=0,"",[1]对账明细接口!$Q661),"")</f>
        <v/>
      </c>
      <c r="W661" s="20" t="str">
        <f>IFERROR(IF([1]对账明细接口!$R661=0,"",[1]对账明细接口!$R661),"")</f>
        <v/>
      </c>
      <c r="X661" s="20" t="str">
        <f>IFERROR(IF([1]对账明细接口!$S661=0,"",[1]对账明细接口!$S661),"")</f>
        <v/>
      </c>
      <c r="Y661" s="20" t="str">
        <f>IFERROR(IF([1]对账明细接口!$T661=0,"",[1]对账明细接口!$T661),"")</f>
        <v/>
      </c>
      <c r="Z661" s="24" t="str">
        <f>IFERROR(IF([1]对账明细接口!$U661=0,"",[1]对账明细接口!$U661),"")</f>
        <v/>
      </c>
      <c r="AA661" s="24" t="str">
        <f>IFERROR(IF([1]对账明细接口!$V661=0,"",[1]对账明细接口!$V661),"")</f>
        <v/>
      </c>
      <c r="AB661" s="20" t="str">
        <f>IFERROR(IF([1]对账明细接口!$W661=0,"",[1]对账明细接口!$W661),"")</f>
        <v/>
      </c>
      <c r="AC661" s="7" t="str">
        <f>IFERROR(IF([1]对账明细接口!$X661=0,"",[1]对账明细接口!$X661),"")</f>
        <v/>
      </c>
      <c r="AD661" s="7" t="str">
        <f>IFERROR(IF([1]对账明细接口!$Y661=0,"",[1]对账明细接口!$Y661),"")</f>
        <v/>
      </c>
      <c r="AE661" s="7" t="str">
        <f>IFERROR(IF([1]对账明细接口!$AA661=0,"",[1]对账明细接口!$AA661),"")</f>
        <v/>
      </c>
      <c r="AF661" s="7" t="str">
        <f>IFERROR(IF([1]对账明细接口!$AB661=0,"",[1]对账明细接口!$AB661),"")</f>
        <v/>
      </c>
      <c r="AG661" s="7" t="str">
        <f>IFERROR(IF([1]对账明细接口!$AC661=0,"",[1]对账明细接口!$AC661),"")</f>
        <v/>
      </c>
      <c r="AH661" s="7" t="str">
        <f>IFERROR(IF([1]对账明细接口!$AD661=0,"",[1]对账明细接口!$AD661),"")</f>
        <v/>
      </c>
      <c r="AI661" s="7" t="str">
        <f>IFERROR(IF([1]对账明细接口!$AE661=0,"",[1]对账明细接口!$AE661),"")</f>
        <v/>
      </c>
      <c r="AJ661" s="7" t="str">
        <f>IFERROR(IF([1]对账明细接口!$AF661=0,"",[1]对账明细接口!$AF661),"")</f>
        <v/>
      </c>
    </row>
    <row r="662" ht="14.25" customHeight="1" spans="1:36">
      <c r="A662" s="14">
        <v>662</v>
      </c>
      <c r="B662" s="15" t="str">
        <f>IFERROR(IF([1]对账明细接口!$B$662=0,"",[1]对账明细接口!$B$662),"")</f>
        <v/>
      </c>
      <c r="C662" s="16" t="str">
        <f>IFERROR(IF([1]对账明细接口!$C$662=0,"",[1]对账明细接口!$C$662),"")</f>
        <v/>
      </c>
      <c r="D662" s="16" t="str">
        <f>IFERROR(IF([1]对账明细接口!$D$662=0,"",[1]对账明细接口!$D$662),"")</f>
        <v/>
      </c>
      <c r="E662" s="16" t="str">
        <f>IFERROR(IF([1]对账明细接口!$E$662=0,"",[1]对账明细接口!$E$662),"")</f>
        <v/>
      </c>
      <c r="F662" s="16" t="str">
        <f>IFERROR(IF([1]对账明细接口!$F$662=0,"",[1]对账明细接口!$F$662),"")</f>
        <v/>
      </c>
      <c r="G662" s="16" t="str">
        <f>IFERROR(IF([1]对账明细接口!$G$662=0,"",[1]对账明细接口!$G$662),"")</f>
        <v/>
      </c>
      <c r="H662" s="17" t="str">
        <f>IFERROR(IF([1]对账明细接口!$H$662=0,"",[1]对账明细接口!$H$662),"")</f>
        <v/>
      </c>
      <c r="I662" s="16" t="str">
        <f>IFERROR(IF([1]对账明细接口!$I$662=0,"",[1]对账明细接口!$I$662),"")</f>
        <v/>
      </c>
      <c r="J662" s="18" t="str">
        <f>IFERROR(IF([1]对账明细接口!$J$662=0,"",[1]对账明细接口!$J$662),"")</f>
        <v/>
      </c>
      <c r="K662" s="18" t="str">
        <f>IFERROR(IF([1]对账明细接口!$K$662=0,"",[1]对账明细接口!$K$662),"")</f>
        <v/>
      </c>
      <c r="L662" s="16" t="str">
        <f>IFERROR(IF([1]对账明细接口!$L$662=0,"",[1]对账明细接口!$L$662),"")</f>
        <v/>
      </c>
      <c r="M662" s="16" t="str">
        <f>IFERROR(IF([1]对账明细接口!$M$662=0,"",[1]对账明细接口!$M$662),"")</f>
        <v/>
      </c>
      <c r="N662" s="19">
        <f t="shared" si="20"/>
        <v>0</v>
      </c>
      <c r="O662" s="19">
        <f t="shared" si="21"/>
        <v>420</v>
      </c>
      <c r="S662" s="20" t="str">
        <f>IFERROR(IF([1]对账明细接口!$N662=0,"",[1]对账明细接口!$N662),"")</f>
        <v/>
      </c>
      <c r="T662" s="21" t="str">
        <f>IFERROR(IF([1]对账明细接口!$O662=0,"",[1]对账明细接口!$O662),"")</f>
        <v/>
      </c>
      <c r="U662" s="21" t="str">
        <f>IFERROR(IF([1]对账明细接口!$P662=0,"",[1]对账明细接口!$P662),"")</f>
        <v/>
      </c>
      <c r="V662" s="21" t="str">
        <f>IFERROR(IF([1]对账明细接口!$Q662=0,"",[1]对账明细接口!$Q662),"")</f>
        <v/>
      </c>
      <c r="W662" s="20" t="str">
        <f>IFERROR(IF([1]对账明细接口!$R662=0,"",[1]对账明细接口!$R662),"")</f>
        <v/>
      </c>
      <c r="X662" s="20" t="str">
        <f>IFERROR(IF([1]对账明细接口!$S662=0,"",[1]对账明细接口!$S662),"")</f>
        <v/>
      </c>
      <c r="Y662" s="20" t="str">
        <f>IFERROR(IF([1]对账明细接口!$T662=0,"",[1]对账明细接口!$T662),"")</f>
        <v/>
      </c>
      <c r="Z662" s="24" t="str">
        <f>IFERROR(IF([1]对账明细接口!$U662=0,"",[1]对账明细接口!$U662),"")</f>
        <v/>
      </c>
      <c r="AA662" s="24" t="str">
        <f>IFERROR(IF([1]对账明细接口!$V662=0,"",[1]对账明细接口!$V662),"")</f>
        <v/>
      </c>
      <c r="AB662" s="20" t="str">
        <f>IFERROR(IF([1]对账明细接口!$W662=0,"",[1]对账明细接口!$W662),"")</f>
        <v/>
      </c>
      <c r="AC662" s="7" t="str">
        <f>IFERROR(IF([1]对账明细接口!$X662=0,"",[1]对账明细接口!$X662),"")</f>
        <v/>
      </c>
      <c r="AD662" s="7" t="str">
        <f>IFERROR(IF([1]对账明细接口!$Y662=0,"",[1]对账明细接口!$Y662),"")</f>
        <v/>
      </c>
      <c r="AE662" s="7" t="str">
        <f>IFERROR(IF([1]对账明细接口!$AA662=0,"",[1]对账明细接口!$AA662),"")</f>
        <v/>
      </c>
      <c r="AF662" s="7" t="str">
        <f>IFERROR(IF([1]对账明细接口!$AB662=0,"",[1]对账明细接口!$AB662),"")</f>
        <v/>
      </c>
      <c r="AG662" s="7" t="str">
        <f>IFERROR(IF([1]对账明细接口!$AC662=0,"",[1]对账明细接口!$AC662),"")</f>
        <v/>
      </c>
      <c r="AH662" s="7" t="str">
        <f>IFERROR(IF([1]对账明细接口!$AD662=0,"",[1]对账明细接口!$AD662),"")</f>
        <v/>
      </c>
      <c r="AI662" s="7" t="str">
        <f>IFERROR(IF([1]对账明细接口!$AE662=0,"",[1]对账明细接口!$AE662),"")</f>
        <v/>
      </c>
      <c r="AJ662" s="7" t="str">
        <f>IFERROR(IF([1]对账明细接口!$AF662=0,"",[1]对账明细接口!$AF662),"")</f>
        <v/>
      </c>
    </row>
    <row r="663" ht="14.25" customHeight="1" spans="1:36">
      <c r="A663" s="14">
        <v>663</v>
      </c>
      <c r="B663" s="15" t="str">
        <f>IFERROR(IF([1]对账明细接口!$B$663=0,"",[1]对账明细接口!$B$663),"")</f>
        <v/>
      </c>
      <c r="C663" s="16" t="str">
        <f>IFERROR(IF([1]对账明细接口!$C$663=0,"",[1]对账明细接口!$C$663),"")</f>
        <v/>
      </c>
      <c r="D663" s="16" t="str">
        <f>IFERROR(IF([1]对账明细接口!$D$663=0,"",[1]对账明细接口!$D$663),"")</f>
        <v/>
      </c>
      <c r="E663" s="16" t="str">
        <f>IFERROR(IF([1]对账明细接口!$E$663=0,"",[1]对账明细接口!$E$663),"")</f>
        <v/>
      </c>
      <c r="F663" s="16" t="str">
        <f>IFERROR(IF([1]对账明细接口!$F$663=0,"",[1]对账明细接口!$F$663),"")</f>
        <v/>
      </c>
      <c r="G663" s="16" t="str">
        <f>IFERROR(IF([1]对账明细接口!$G$663=0,"",[1]对账明细接口!$G$663),"")</f>
        <v/>
      </c>
      <c r="H663" s="17" t="str">
        <f>IFERROR(IF([1]对账明细接口!$H$663=0,"",[1]对账明细接口!$H$663),"")</f>
        <v/>
      </c>
      <c r="I663" s="16" t="str">
        <f>IFERROR(IF([1]对账明细接口!$I$663=0,"",[1]对账明细接口!$I$663),"")</f>
        <v/>
      </c>
      <c r="J663" s="18" t="str">
        <f>IFERROR(IF([1]对账明细接口!$J$663=0,"",[1]对账明细接口!$J$663),"")</f>
        <v/>
      </c>
      <c r="K663" s="18" t="str">
        <f>IFERROR(IF([1]对账明细接口!$K$663=0,"",[1]对账明细接口!$K$663),"")</f>
        <v/>
      </c>
      <c r="L663" s="16" t="str">
        <f>IFERROR(IF([1]对账明细接口!$L$663=0,"",[1]对账明细接口!$L$663),"")</f>
        <v/>
      </c>
      <c r="M663" s="16" t="str">
        <f>IFERROR(IF([1]对账明细接口!$M$663=0,"",[1]对账明细接口!$M$663),"")</f>
        <v/>
      </c>
      <c r="N663" s="19">
        <f t="shared" si="20"/>
        <v>0</v>
      </c>
      <c r="O663" s="19">
        <f t="shared" si="21"/>
        <v>420</v>
      </c>
      <c r="S663" s="20" t="str">
        <f>IFERROR(IF([1]对账明细接口!$N663=0,"",[1]对账明细接口!$N663),"")</f>
        <v/>
      </c>
      <c r="T663" s="21" t="str">
        <f>IFERROR(IF([1]对账明细接口!$O663=0,"",[1]对账明细接口!$O663),"")</f>
        <v/>
      </c>
      <c r="U663" s="21" t="str">
        <f>IFERROR(IF([1]对账明细接口!$P663=0,"",[1]对账明细接口!$P663),"")</f>
        <v/>
      </c>
      <c r="V663" s="21" t="str">
        <f>IFERROR(IF([1]对账明细接口!$Q663=0,"",[1]对账明细接口!$Q663),"")</f>
        <v/>
      </c>
      <c r="W663" s="20" t="str">
        <f>IFERROR(IF([1]对账明细接口!$R663=0,"",[1]对账明细接口!$R663),"")</f>
        <v/>
      </c>
      <c r="X663" s="20" t="str">
        <f>IFERROR(IF([1]对账明细接口!$S663=0,"",[1]对账明细接口!$S663),"")</f>
        <v/>
      </c>
      <c r="Y663" s="20" t="str">
        <f>IFERROR(IF([1]对账明细接口!$T663=0,"",[1]对账明细接口!$T663),"")</f>
        <v/>
      </c>
      <c r="Z663" s="24" t="str">
        <f>IFERROR(IF([1]对账明细接口!$U663=0,"",[1]对账明细接口!$U663),"")</f>
        <v/>
      </c>
      <c r="AA663" s="24" t="str">
        <f>IFERROR(IF([1]对账明细接口!$V663=0,"",[1]对账明细接口!$V663),"")</f>
        <v/>
      </c>
      <c r="AB663" s="20" t="str">
        <f>IFERROR(IF([1]对账明细接口!$W663=0,"",[1]对账明细接口!$W663),"")</f>
        <v/>
      </c>
      <c r="AC663" s="7" t="str">
        <f>IFERROR(IF([1]对账明细接口!$X663=0,"",[1]对账明细接口!$X663),"")</f>
        <v/>
      </c>
      <c r="AD663" s="7" t="str">
        <f>IFERROR(IF([1]对账明细接口!$Y663=0,"",[1]对账明细接口!$Y663),"")</f>
        <v/>
      </c>
      <c r="AE663" s="7" t="str">
        <f>IFERROR(IF([1]对账明细接口!$AA663=0,"",[1]对账明细接口!$AA663),"")</f>
        <v/>
      </c>
      <c r="AF663" s="7" t="str">
        <f>IFERROR(IF([1]对账明细接口!$AB663=0,"",[1]对账明细接口!$AB663),"")</f>
        <v/>
      </c>
      <c r="AG663" s="7" t="str">
        <f>IFERROR(IF([1]对账明细接口!$AC663=0,"",[1]对账明细接口!$AC663),"")</f>
        <v/>
      </c>
      <c r="AH663" s="7" t="str">
        <f>IFERROR(IF([1]对账明细接口!$AD663=0,"",[1]对账明细接口!$AD663),"")</f>
        <v/>
      </c>
      <c r="AI663" s="7" t="str">
        <f>IFERROR(IF([1]对账明细接口!$AE663=0,"",[1]对账明细接口!$AE663),"")</f>
        <v/>
      </c>
      <c r="AJ663" s="7" t="str">
        <f>IFERROR(IF([1]对账明细接口!$AF663=0,"",[1]对账明细接口!$AF663),"")</f>
        <v/>
      </c>
    </row>
    <row r="664" ht="14.25" customHeight="1" spans="1:36">
      <c r="A664" s="14">
        <v>664</v>
      </c>
      <c r="B664" s="15" t="str">
        <f>IFERROR(IF([1]对账明细接口!$B$664=0,"",[1]对账明细接口!$B$664),"")</f>
        <v/>
      </c>
      <c r="C664" s="16" t="str">
        <f>IFERROR(IF([1]对账明细接口!$C$664=0,"",[1]对账明细接口!$C$664),"")</f>
        <v/>
      </c>
      <c r="D664" s="16" t="str">
        <f>IFERROR(IF([1]对账明细接口!$D$664=0,"",[1]对账明细接口!$D$664),"")</f>
        <v/>
      </c>
      <c r="E664" s="16" t="str">
        <f>IFERROR(IF([1]对账明细接口!$E$664=0,"",[1]对账明细接口!$E$664),"")</f>
        <v/>
      </c>
      <c r="F664" s="16" t="str">
        <f>IFERROR(IF([1]对账明细接口!$F$664=0,"",[1]对账明细接口!$F$664),"")</f>
        <v/>
      </c>
      <c r="G664" s="16" t="str">
        <f>IFERROR(IF([1]对账明细接口!$G$664=0,"",[1]对账明细接口!$G$664),"")</f>
        <v/>
      </c>
      <c r="H664" s="17" t="str">
        <f>IFERROR(IF([1]对账明细接口!$H$664=0,"",[1]对账明细接口!$H$664),"")</f>
        <v/>
      </c>
      <c r="I664" s="16" t="str">
        <f>IFERROR(IF([1]对账明细接口!$I$664=0,"",[1]对账明细接口!$I$664),"")</f>
        <v/>
      </c>
      <c r="J664" s="18" t="str">
        <f>IFERROR(IF([1]对账明细接口!$J$664=0,"",[1]对账明细接口!$J$664),"")</f>
        <v/>
      </c>
      <c r="K664" s="18" t="str">
        <f>IFERROR(IF([1]对账明细接口!$K$664=0,"",[1]对账明细接口!$K$664),"")</f>
        <v/>
      </c>
      <c r="L664" s="16" t="str">
        <f>IFERROR(IF([1]对账明细接口!$L$664=0,"",[1]对账明细接口!$L$664),"")</f>
        <v/>
      </c>
      <c r="M664" s="16" t="str">
        <f>IFERROR(IF([1]对账明细接口!$M$664=0,"",[1]对账明细接口!$M$664),"")</f>
        <v/>
      </c>
      <c r="N664" s="19">
        <f t="shared" si="20"/>
        <v>0</v>
      </c>
      <c r="O664" s="19">
        <f t="shared" si="21"/>
        <v>420</v>
      </c>
      <c r="S664" s="20" t="str">
        <f>IFERROR(IF([1]对账明细接口!$N664=0,"",[1]对账明细接口!$N664),"")</f>
        <v/>
      </c>
      <c r="T664" s="21" t="str">
        <f>IFERROR(IF([1]对账明细接口!$O664=0,"",[1]对账明细接口!$O664),"")</f>
        <v/>
      </c>
      <c r="U664" s="21" t="str">
        <f>IFERROR(IF([1]对账明细接口!$P664=0,"",[1]对账明细接口!$P664),"")</f>
        <v/>
      </c>
      <c r="V664" s="21" t="str">
        <f>IFERROR(IF([1]对账明细接口!$Q664=0,"",[1]对账明细接口!$Q664),"")</f>
        <v/>
      </c>
      <c r="W664" s="20" t="str">
        <f>IFERROR(IF([1]对账明细接口!$R664=0,"",[1]对账明细接口!$R664),"")</f>
        <v/>
      </c>
      <c r="X664" s="20" t="str">
        <f>IFERROR(IF([1]对账明细接口!$S664=0,"",[1]对账明细接口!$S664),"")</f>
        <v/>
      </c>
      <c r="Y664" s="20" t="str">
        <f>IFERROR(IF([1]对账明细接口!$T664=0,"",[1]对账明细接口!$T664),"")</f>
        <v/>
      </c>
      <c r="Z664" s="24" t="str">
        <f>IFERROR(IF([1]对账明细接口!$U664=0,"",[1]对账明细接口!$U664),"")</f>
        <v/>
      </c>
      <c r="AA664" s="24" t="str">
        <f>IFERROR(IF([1]对账明细接口!$V664=0,"",[1]对账明细接口!$V664),"")</f>
        <v/>
      </c>
      <c r="AB664" s="20" t="str">
        <f>IFERROR(IF([1]对账明细接口!$W664=0,"",[1]对账明细接口!$W664),"")</f>
        <v/>
      </c>
      <c r="AC664" s="7" t="str">
        <f>IFERROR(IF([1]对账明细接口!$X664=0,"",[1]对账明细接口!$X664),"")</f>
        <v/>
      </c>
      <c r="AD664" s="7" t="str">
        <f>IFERROR(IF([1]对账明细接口!$Y664=0,"",[1]对账明细接口!$Y664),"")</f>
        <v/>
      </c>
      <c r="AE664" s="7" t="str">
        <f>IFERROR(IF([1]对账明细接口!$AA664=0,"",[1]对账明细接口!$AA664),"")</f>
        <v/>
      </c>
      <c r="AF664" s="7" t="str">
        <f>IFERROR(IF([1]对账明细接口!$AB664=0,"",[1]对账明细接口!$AB664),"")</f>
        <v/>
      </c>
      <c r="AG664" s="7" t="str">
        <f>IFERROR(IF([1]对账明细接口!$AC664=0,"",[1]对账明细接口!$AC664),"")</f>
        <v/>
      </c>
      <c r="AH664" s="7" t="str">
        <f>IFERROR(IF([1]对账明细接口!$AD664=0,"",[1]对账明细接口!$AD664),"")</f>
        <v/>
      </c>
      <c r="AI664" s="7" t="str">
        <f>IFERROR(IF([1]对账明细接口!$AE664=0,"",[1]对账明细接口!$AE664),"")</f>
        <v/>
      </c>
      <c r="AJ664" s="7" t="str">
        <f>IFERROR(IF([1]对账明细接口!$AF664=0,"",[1]对账明细接口!$AF664),"")</f>
        <v/>
      </c>
    </row>
    <row r="665" ht="14.25" customHeight="1" spans="1:36">
      <c r="A665" s="14">
        <v>665</v>
      </c>
      <c r="B665" s="15" t="str">
        <f>IFERROR(IF([1]对账明细接口!$B$665=0,"",[1]对账明细接口!$B$665),"")</f>
        <v/>
      </c>
      <c r="C665" s="16" t="str">
        <f>IFERROR(IF([1]对账明细接口!$C$665=0,"",[1]对账明细接口!$C$665),"")</f>
        <v/>
      </c>
      <c r="D665" s="16" t="str">
        <f>IFERROR(IF([1]对账明细接口!$D$665=0,"",[1]对账明细接口!$D$665),"")</f>
        <v/>
      </c>
      <c r="E665" s="16" t="str">
        <f>IFERROR(IF([1]对账明细接口!$E$665=0,"",[1]对账明细接口!$E$665),"")</f>
        <v/>
      </c>
      <c r="F665" s="16" t="str">
        <f>IFERROR(IF([1]对账明细接口!$F$665=0,"",[1]对账明细接口!$F$665),"")</f>
        <v/>
      </c>
      <c r="G665" s="16" t="str">
        <f>IFERROR(IF([1]对账明细接口!$G$665=0,"",[1]对账明细接口!$G$665),"")</f>
        <v/>
      </c>
      <c r="H665" s="17" t="str">
        <f>IFERROR(IF([1]对账明细接口!$H$665=0,"",[1]对账明细接口!$H$665),"")</f>
        <v/>
      </c>
      <c r="I665" s="16" t="str">
        <f>IFERROR(IF([1]对账明细接口!$I$665=0,"",[1]对账明细接口!$I$665),"")</f>
        <v/>
      </c>
      <c r="J665" s="18" t="str">
        <f>IFERROR(IF([1]对账明细接口!$J$665=0,"",[1]对账明细接口!$J$665),"")</f>
        <v/>
      </c>
      <c r="K665" s="18" t="str">
        <f>IFERROR(IF([1]对账明细接口!$K$665=0,"",[1]对账明细接口!$K$665),"")</f>
        <v/>
      </c>
      <c r="L665" s="16" t="str">
        <f>IFERROR(IF([1]对账明细接口!$L$665=0,"",[1]对账明细接口!$L$665),"")</f>
        <v/>
      </c>
      <c r="M665" s="16" t="str">
        <f>IFERROR(IF([1]对账明细接口!$M$665=0,"",[1]对账明细接口!$M$665),"")</f>
        <v/>
      </c>
      <c r="N665" s="19">
        <f t="shared" si="20"/>
        <v>0</v>
      </c>
      <c r="O665" s="19">
        <f t="shared" si="21"/>
        <v>420</v>
      </c>
      <c r="S665" s="20" t="str">
        <f>IFERROR(IF([1]对账明细接口!$N665=0,"",[1]对账明细接口!$N665),"")</f>
        <v/>
      </c>
      <c r="T665" s="21" t="str">
        <f>IFERROR(IF([1]对账明细接口!$O665=0,"",[1]对账明细接口!$O665),"")</f>
        <v/>
      </c>
      <c r="U665" s="21" t="str">
        <f>IFERROR(IF([1]对账明细接口!$P665=0,"",[1]对账明细接口!$P665),"")</f>
        <v/>
      </c>
      <c r="V665" s="21" t="str">
        <f>IFERROR(IF([1]对账明细接口!$Q665=0,"",[1]对账明细接口!$Q665),"")</f>
        <v/>
      </c>
      <c r="W665" s="20" t="str">
        <f>IFERROR(IF([1]对账明细接口!$R665=0,"",[1]对账明细接口!$R665),"")</f>
        <v/>
      </c>
      <c r="X665" s="20" t="str">
        <f>IFERROR(IF([1]对账明细接口!$S665=0,"",[1]对账明细接口!$S665),"")</f>
        <v/>
      </c>
      <c r="Y665" s="20" t="str">
        <f>IFERROR(IF([1]对账明细接口!$T665=0,"",[1]对账明细接口!$T665),"")</f>
        <v/>
      </c>
      <c r="Z665" s="24" t="str">
        <f>IFERROR(IF([1]对账明细接口!$U665=0,"",[1]对账明细接口!$U665),"")</f>
        <v/>
      </c>
      <c r="AA665" s="24" t="str">
        <f>IFERROR(IF([1]对账明细接口!$V665=0,"",[1]对账明细接口!$V665),"")</f>
        <v/>
      </c>
      <c r="AB665" s="20" t="str">
        <f>IFERROR(IF([1]对账明细接口!$W665=0,"",[1]对账明细接口!$W665),"")</f>
        <v/>
      </c>
      <c r="AC665" s="7" t="str">
        <f>IFERROR(IF([1]对账明细接口!$X665=0,"",[1]对账明细接口!$X665),"")</f>
        <v/>
      </c>
      <c r="AD665" s="7" t="str">
        <f>IFERROR(IF([1]对账明细接口!$Y665=0,"",[1]对账明细接口!$Y665),"")</f>
        <v/>
      </c>
      <c r="AE665" s="7" t="str">
        <f>IFERROR(IF([1]对账明细接口!$AA665=0,"",[1]对账明细接口!$AA665),"")</f>
        <v/>
      </c>
      <c r="AF665" s="7" t="str">
        <f>IFERROR(IF([1]对账明细接口!$AB665=0,"",[1]对账明细接口!$AB665),"")</f>
        <v/>
      </c>
      <c r="AG665" s="7" t="str">
        <f>IFERROR(IF([1]对账明细接口!$AC665=0,"",[1]对账明细接口!$AC665),"")</f>
        <v/>
      </c>
      <c r="AH665" s="7" t="str">
        <f>IFERROR(IF([1]对账明细接口!$AD665=0,"",[1]对账明细接口!$AD665),"")</f>
        <v/>
      </c>
      <c r="AI665" s="7" t="str">
        <f>IFERROR(IF([1]对账明细接口!$AE665=0,"",[1]对账明细接口!$AE665),"")</f>
        <v/>
      </c>
      <c r="AJ665" s="7" t="str">
        <f>IFERROR(IF([1]对账明细接口!$AF665=0,"",[1]对账明细接口!$AF665),"")</f>
        <v/>
      </c>
    </row>
    <row r="666" ht="14.25" customHeight="1" spans="1:36">
      <c r="A666" s="14">
        <v>666</v>
      </c>
      <c r="B666" s="15" t="str">
        <f>IFERROR(IF([1]对账明细接口!$B$666=0,"",[1]对账明细接口!$B$666),"")</f>
        <v/>
      </c>
      <c r="C666" s="16" t="str">
        <f>IFERROR(IF([1]对账明细接口!$C$666=0,"",[1]对账明细接口!$C$666),"")</f>
        <v/>
      </c>
      <c r="D666" s="16" t="str">
        <f>IFERROR(IF([1]对账明细接口!$D$666=0,"",[1]对账明细接口!$D$666),"")</f>
        <v/>
      </c>
      <c r="E666" s="16" t="str">
        <f>IFERROR(IF([1]对账明细接口!$E$666=0,"",[1]对账明细接口!$E$666),"")</f>
        <v/>
      </c>
      <c r="F666" s="16" t="str">
        <f>IFERROR(IF([1]对账明细接口!$F$666=0,"",[1]对账明细接口!$F$666),"")</f>
        <v/>
      </c>
      <c r="G666" s="16" t="str">
        <f>IFERROR(IF([1]对账明细接口!$G$666=0,"",[1]对账明细接口!$G$666),"")</f>
        <v/>
      </c>
      <c r="H666" s="17" t="str">
        <f>IFERROR(IF([1]对账明细接口!$H$666=0,"",[1]对账明细接口!$H$666),"")</f>
        <v/>
      </c>
      <c r="I666" s="16" t="str">
        <f>IFERROR(IF([1]对账明细接口!$I$666=0,"",[1]对账明细接口!$I$666),"")</f>
        <v/>
      </c>
      <c r="J666" s="18" t="str">
        <f>IFERROR(IF([1]对账明细接口!$J$666=0,"",[1]对账明细接口!$J$666),"")</f>
        <v/>
      </c>
      <c r="K666" s="18" t="str">
        <f>IFERROR(IF([1]对账明细接口!$K$666=0,"",[1]对账明细接口!$K$666),"")</f>
        <v/>
      </c>
      <c r="L666" s="16" t="str">
        <f>IFERROR(IF([1]对账明细接口!$L$666=0,"",[1]对账明细接口!$L$666),"")</f>
        <v/>
      </c>
      <c r="M666" s="16" t="str">
        <f>IFERROR(IF([1]对账明细接口!$M$666=0,"",[1]对账明细接口!$M$666),"")</f>
        <v/>
      </c>
      <c r="N666" s="19">
        <f t="shared" si="20"/>
        <v>0</v>
      </c>
      <c r="O666" s="19">
        <f t="shared" si="21"/>
        <v>420</v>
      </c>
      <c r="S666" s="20" t="str">
        <f>IFERROR(IF([1]对账明细接口!$N666=0,"",[1]对账明细接口!$N666),"")</f>
        <v/>
      </c>
      <c r="T666" s="21" t="str">
        <f>IFERROR(IF([1]对账明细接口!$O666=0,"",[1]对账明细接口!$O666),"")</f>
        <v/>
      </c>
      <c r="U666" s="21" t="str">
        <f>IFERROR(IF([1]对账明细接口!$P666=0,"",[1]对账明细接口!$P666),"")</f>
        <v/>
      </c>
      <c r="V666" s="21" t="str">
        <f>IFERROR(IF([1]对账明细接口!$Q666=0,"",[1]对账明细接口!$Q666),"")</f>
        <v/>
      </c>
      <c r="W666" s="20" t="str">
        <f>IFERROR(IF([1]对账明细接口!$R666=0,"",[1]对账明细接口!$R666),"")</f>
        <v/>
      </c>
      <c r="X666" s="20" t="str">
        <f>IFERROR(IF([1]对账明细接口!$S666=0,"",[1]对账明细接口!$S666),"")</f>
        <v/>
      </c>
      <c r="Y666" s="20" t="str">
        <f>IFERROR(IF([1]对账明细接口!$T666=0,"",[1]对账明细接口!$T666),"")</f>
        <v/>
      </c>
      <c r="Z666" s="24" t="str">
        <f>IFERROR(IF([1]对账明细接口!$U666=0,"",[1]对账明细接口!$U666),"")</f>
        <v/>
      </c>
      <c r="AA666" s="24" t="str">
        <f>IFERROR(IF([1]对账明细接口!$V666=0,"",[1]对账明细接口!$V666),"")</f>
        <v/>
      </c>
      <c r="AB666" s="20" t="str">
        <f>IFERROR(IF([1]对账明细接口!$W666=0,"",[1]对账明细接口!$W666),"")</f>
        <v/>
      </c>
      <c r="AC666" s="7" t="str">
        <f>IFERROR(IF([1]对账明细接口!$X666=0,"",[1]对账明细接口!$X666),"")</f>
        <v/>
      </c>
      <c r="AD666" s="7" t="str">
        <f>IFERROR(IF([1]对账明细接口!$Y666=0,"",[1]对账明细接口!$Y666),"")</f>
        <v/>
      </c>
      <c r="AE666" s="7" t="str">
        <f>IFERROR(IF([1]对账明细接口!$AA666=0,"",[1]对账明细接口!$AA666),"")</f>
        <v/>
      </c>
      <c r="AF666" s="7" t="str">
        <f>IFERROR(IF([1]对账明细接口!$AB666=0,"",[1]对账明细接口!$AB666),"")</f>
        <v/>
      </c>
      <c r="AG666" s="7" t="str">
        <f>IFERROR(IF([1]对账明细接口!$AC666=0,"",[1]对账明细接口!$AC666),"")</f>
        <v/>
      </c>
      <c r="AH666" s="7" t="str">
        <f>IFERROR(IF([1]对账明细接口!$AD666=0,"",[1]对账明细接口!$AD666),"")</f>
        <v/>
      </c>
      <c r="AI666" s="7" t="str">
        <f>IFERROR(IF([1]对账明细接口!$AE666=0,"",[1]对账明细接口!$AE666),"")</f>
        <v/>
      </c>
      <c r="AJ666" s="7" t="str">
        <f>IFERROR(IF([1]对账明细接口!$AF666=0,"",[1]对账明细接口!$AF666),"")</f>
        <v/>
      </c>
    </row>
    <row r="667" ht="14.25" customHeight="1" spans="1:36">
      <c r="A667" s="14">
        <v>667</v>
      </c>
      <c r="B667" s="15" t="str">
        <f>IFERROR(IF([1]对账明细接口!$B$667=0,"",[1]对账明细接口!$B$667),"")</f>
        <v/>
      </c>
      <c r="C667" s="16" t="str">
        <f>IFERROR(IF([1]对账明细接口!$C$667=0,"",[1]对账明细接口!$C$667),"")</f>
        <v/>
      </c>
      <c r="D667" s="16" t="str">
        <f>IFERROR(IF([1]对账明细接口!$D$667=0,"",[1]对账明细接口!$D$667),"")</f>
        <v/>
      </c>
      <c r="E667" s="16" t="str">
        <f>IFERROR(IF([1]对账明细接口!$E$667=0,"",[1]对账明细接口!$E$667),"")</f>
        <v/>
      </c>
      <c r="F667" s="16" t="str">
        <f>IFERROR(IF([1]对账明细接口!$F$667=0,"",[1]对账明细接口!$F$667),"")</f>
        <v/>
      </c>
      <c r="G667" s="16" t="str">
        <f>IFERROR(IF([1]对账明细接口!$G$667=0,"",[1]对账明细接口!$G$667),"")</f>
        <v/>
      </c>
      <c r="H667" s="17" t="str">
        <f>IFERROR(IF([1]对账明细接口!$H$667=0,"",[1]对账明细接口!$H$667),"")</f>
        <v/>
      </c>
      <c r="I667" s="16" t="str">
        <f>IFERROR(IF([1]对账明细接口!$I$667=0,"",[1]对账明细接口!$I$667),"")</f>
        <v/>
      </c>
      <c r="J667" s="18" t="str">
        <f>IFERROR(IF([1]对账明细接口!$J$667=0,"",[1]对账明细接口!$J$667),"")</f>
        <v/>
      </c>
      <c r="K667" s="18" t="str">
        <f>IFERROR(IF([1]对账明细接口!$K$667=0,"",[1]对账明细接口!$K$667),"")</f>
        <v/>
      </c>
      <c r="L667" s="16" t="str">
        <f>IFERROR(IF([1]对账明细接口!$L$667=0,"",[1]对账明细接口!$L$667),"")</f>
        <v/>
      </c>
      <c r="M667" s="16" t="str">
        <f>IFERROR(IF([1]对账明细接口!$M$667=0,"",[1]对账明细接口!$M$667),"")</f>
        <v/>
      </c>
      <c r="N667" s="19">
        <f t="shared" si="20"/>
        <v>0</v>
      </c>
      <c r="O667" s="19">
        <f t="shared" si="21"/>
        <v>420</v>
      </c>
      <c r="S667" s="20" t="str">
        <f>IFERROR(IF([1]对账明细接口!$N667=0,"",[1]对账明细接口!$N667),"")</f>
        <v/>
      </c>
      <c r="T667" s="21" t="str">
        <f>IFERROR(IF([1]对账明细接口!$O667=0,"",[1]对账明细接口!$O667),"")</f>
        <v/>
      </c>
      <c r="U667" s="21" t="str">
        <f>IFERROR(IF([1]对账明细接口!$P667=0,"",[1]对账明细接口!$P667),"")</f>
        <v/>
      </c>
      <c r="V667" s="21" t="str">
        <f>IFERROR(IF([1]对账明细接口!$Q667=0,"",[1]对账明细接口!$Q667),"")</f>
        <v/>
      </c>
      <c r="W667" s="20" t="str">
        <f>IFERROR(IF([1]对账明细接口!$R667=0,"",[1]对账明细接口!$R667),"")</f>
        <v/>
      </c>
      <c r="X667" s="20" t="str">
        <f>IFERROR(IF([1]对账明细接口!$S667=0,"",[1]对账明细接口!$S667),"")</f>
        <v/>
      </c>
      <c r="Y667" s="20" t="str">
        <f>IFERROR(IF([1]对账明细接口!$T667=0,"",[1]对账明细接口!$T667),"")</f>
        <v/>
      </c>
      <c r="Z667" s="24" t="str">
        <f>IFERROR(IF([1]对账明细接口!$U667=0,"",[1]对账明细接口!$U667),"")</f>
        <v/>
      </c>
      <c r="AA667" s="24" t="str">
        <f>IFERROR(IF([1]对账明细接口!$V667=0,"",[1]对账明细接口!$V667),"")</f>
        <v/>
      </c>
      <c r="AB667" s="20" t="str">
        <f>IFERROR(IF([1]对账明细接口!$W667=0,"",[1]对账明细接口!$W667),"")</f>
        <v/>
      </c>
      <c r="AC667" s="7" t="str">
        <f>IFERROR(IF([1]对账明细接口!$X667=0,"",[1]对账明细接口!$X667),"")</f>
        <v/>
      </c>
      <c r="AD667" s="7" t="str">
        <f>IFERROR(IF([1]对账明细接口!$Y667=0,"",[1]对账明细接口!$Y667),"")</f>
        <v/>
      </c>
      <c r="AE667" s="7" t="str">
        <f>IFERROR(IF([1]对账明细接口!$AA667=0,"",[1]对账明细接口!$AA667),"")</f>
        <v/>
      </c>
      <c r="AF667" s="7" t="str">
        <f>IFERROR(IF([1]对账明细接口!$AB667=0,"",[1]对账明细接口!$AB667),"")</f>
        <v/>
      </c>
      <c r="AG667" s="7" t="str">
        <f>IFERROR(IF([1]对账明细接口!$AC667=0,"",[1]对账明细接口!$AC667),"")</f>
        <v/>
      </c>
      <c r="AH667" s="7" t="str">
        <f>IFERROR(IF([1]对账明细接口!$AD667=0,"",[1]对账明细接口!$AD667),"")</f>
        <v/>
      </c>
      <c r="AI667" s="7" t="str">
        <f>IFERROR(IF([1]对账明细接口!$AE667=0,"",[1]对账明细接口!$AE667),"")</f>
        <v/>
      </c>
      <c r="AJ667" s="7" t="str">
        <f>IFERROR(IF([1]对账明细接口!$AF667=0,"",[1]对账明细接口!$AF667),"")</f>
        <v/>
      </c>
    </row>
    <row r="668" ht="14.25" customHeight="1" spans="1:36">
      <c r="A668" s="14">
        <v>668</v>
      </c>
      <c r="B668" s="15" t="str">
        <f>IFERROR(IF([1]对账明细接口!$B$668=0,"",[1]对账明细接口!$B$668),"")</f>
        <v/>
      </c>
      <c r="C668" s="16" t="str">
        <f>IFERROR(IF([1]对账明细接口!$C$668=0,"",[1]对账明细接口!$C$668),"")</f>
        <v/>
      </c>
      <c r="D668" s="16" t="str">
        <f>IFERROR(IF([1]对账明细接口!$D$668=0,"",[1]对账明细接口!$D$668),"")</f>
        <v/>
      </c>
      <c r="E668" s="16" t="str">
        <f>IFERROR(IF([1]对账明细接口!$E$668=0,"",[1]对账明细接口!$E$668),"")</f>
        <v/>
      </c>
      <c r="F668" s="16" t="str">
        <f>IFERROR(IF([1]对账明细接口!$F$668=0,"",[1]对账明细接口!$F$668),"")</f>
        <v/>
      </c>
      <c r="G668" s="16" t="str">
        <f>IFERROR(IF([1]对账明细接口!$G$668=0,"",[1]对账明细接口!$G$668),"")</f>
        <v/>
      </c>
      <c r="H668" s="17" t="str">
        <f>IFERROR(IF([1]对账明细接口!$H$668=0,"",[1]对账明细接口!$H$668),"")</f>
        <v/>
      </c>
      <c r="I668" s="16" t="str">
        <f>IFERROR(IF([1]对账明细接口!$I$668=0,"",[1]对账明细接口!$I$668),"")</f>
        <v/>
      </c>
      <c r="J668" s="18" t="str">
        <f>IFERROR(IF([1]对账明细接口!$J$668=0,"",[1]对账明细接口!$J$668),"")</f>
        <v/>
      </c>
      <c r="K668" s="18" t="str">
        <f>IFERROR(IF([1]对账明细接口!$K$668=0,"",[1]对账明细接口!$K$668),"")</f>
        <v/>
      </c>
      <c r="L668" s="16" t="str">
        <f>IFERROR(IF([1]对账明细接口!$L$668=0,"",[1]对账明细接口!$L$668),"")</f>
        <v/>
      </c>
      <c r="M668" s="16" t="str">
        <f>IFERROR(IF([1]对账明细接口!$M$668=0,"",[1]对账明细接口!$M$668),"")</f>
        <v/>
      </c>
      <c r="N668" s="19">
        <f t="shared" si="20"/>
        <v>0</v>
      </c>
      <c r="O668" s="19">
        <f t="shared" si="21"/>
        <v>420</v>
      </c>
      <c r="S668" s="20" t="str">
        <f>IFERROR(IF([1]对账明细接口!$N668=0,"",[1]对账明细接口!$N668),"")</f>
        <v/>
      </c>
      <c r="T668" s="21" t="str">
        <f>IFERROR(IF([1]对账明细接口!$O668=0,"",[1]对账明细接口!$O668),"")</f>
        <v/>
      </c>
      <c r="U668" s="21" t="str">
        <f>IFERROR(IF([1]对账明细接口!$P668=0,"",[1]对账明细接口!$P668),"")</f>
        <v/>
      </c>
      <c r="V668" s="21" t="str">
        <f>IFERROR(IF([1]对账明细接口!$Q668=0,"",[1]对账明细接口!$Q668),"")</f>
        <v/>
      </c>
      <c r="W668" s="20" t="str">
        <f>IFERROR(IF([1]对账明细接口!$R668=0,"",[1]对账明细接口!$R668),"")</f>
        <v/>
      </c>
      <c r="X668" s="20" t="str">
        <f>IFERROR(IF([1]对账明细接口!$S668=0,"",[1]对账明细接口!$S668),"")</f>
        <v/>
      </c>
      <c r="Y668" s="20" t="str">
        <f>IFERROR(IF([1]对账明细接口!$T668=0,"",[1]对账明细接口!$T668),"")</f>
        <v/>
      </c>
      <c r="Z668" s="24" t="str">
        <f>IFERROR(IF([1]对账明细接口!$U668=0,"",[1]对账明细接口!$U668),"")</f>
        <v/>
      </c>
      <c r="AA668" s="24" t="str">
        <f>IFERROR(IF([1]对账明细接口!$V668=0,"",[1]对账明细接口!$V668),"")</f>
        <v/>
      </c>
      <c r="AB668" s="20" t="str">
        <f>IFERROR(IF([1]对账明细接口!$W668=0,"",[1]对账明细接口!$W668),"")</f>
        <v/>
      </c>
      <c r="AC668" s="7" t="str">
        <f>IFERROR(IF([1]对账明细接口!$X668=0,"",[1]对账明细接口!$X668),"")</f>
        <v/>
      </c>
      <c r="AD668" s="7" t="str">
        <f>IFERROR(IF([1]对账明细接口!$Y668=0,"",[1]对账明细接口!$Y668),"")</f>
        <v/>
      </c>
      <c r="AE668" s="7" t="str">
        <f>IFERROR(IF([1]对账明细接口!$AA668=0,"",[1]对账明细接口!$AA668),"")</f>
        <v/>
      </c>
      <c r="AF668" s="7" t="str">
        <f>IFERROR(IF([1]对账明细接口!$AB668=0,"",[1]对账明细接口!$AB668),"")</f>
        <v/>
      </c>
      <c r="AG668" s="7" t="str">
        <f>IFERROR(IF([1]对账明细接口!$AC668=0,"",[1]对账明细接口!$AC668),"")</f>
        <v/>
      </c>
      <c r="AH668" s="7" t="str">
        <f>IFERROR(IF([1]对账明细接口!$AD668=0,"",[1]对账明细接口!$AD668),"")</f>
        <v/>
      </c>
      <c r="AI668" s="7" t="str">
        <f>IFERROR(IF([1]对账明细接口!$AE668=0,"",[1]对账明细接口!$AE668),"")</f>
        <v/>
      </c>
      <c r="AJ668" s="7" t="str">
        <f>IFERROR(IF([1]对账明细接口!$AF668=0,"",[1]对账明细接口!$AF668),"")</f>
        <v/>
      </c>
    </row>
    <row r="669" ht="14.25" customHeight="1" spans="1:36">
      <c r="A669" s="14">
        <v>669</v>
      </c>
      <c r="B669" s="15" t="str">
        <f>IFERROR(IF([1]对账明细接口!$B$669=0,"",[1]对账明细接口!$B$669),"")</f>
        <v/>
      </c>
      <c r="C669" s="16" t="str">
        <f>IFERROR(IF([1]对账明细接口!$C$669=0,"",[1]对账明细接口!$C$669),"")</f>
        <v/>
      </c>
      <c r="D669" s="16" t="str">
        <f>IFERROR(IF([1]对账明细接口!$D$669=0,"",[1]对账明细接口!$D$669),"")</f>
        <v/>
      </c>
      <c r="E669" s="16" t="str">
        <f>IFERROR(IF([1]对账明细接口!$E$669=0,"",[1]对账明细接口!$E$669),"")</f>
        <v/>
      </c>
      <c r="F669" s="16" t="str">
        <f>IFERROR(IF([1]对账明细接口!$F$669=0,"",[1]对账明细接口!$F$669),"")</f>
        <v/>
      </c>
      <c r="G669" s="16" t="str">
        <f>IFERROR(IF([1]对账明细接口!$G$669=0,"",[1]对账明细接口!$G$669),"")</f>
        <v/>
      </c>
      <c r="H669" s="17" t="str">
        <f>IFERROR(IF([1]对账明细接口!$H$669=0,"",[1]对账明细接口!$H$669),"")</f>
        <v/>
      </c>
      <c r="I669" s="16" t="str">
        <f>IFERROR(IF([1]对账明细接口!$I$669=0,"",[1]对账明细接口!$I$669),"")</f>
        <v/>
      </c>
      <c r="J669" s="18" t="str">
        <f>IFERROR(IF([1]对账明细接口!$J$669=0,"",[1]对账明细接口!$J$669),"")</f>
        <v/>
      </c>
      <c r="K669" s="18" t="str">
        <f>IFERROR(IF([1]对账明细接口!$K$669=0,"",[1]对账明细接口!$K$669),"")</f>
        <v/>
      </c>
      <c r="L669" s="16" t="str">
        <f>IFERROR(IF([1]对账明细接口!$L$669=0,"",[1]对账明细接口!$L$669),"")</f>
        <v/>
      </c>
      <c r="M669" s="16" t="str">
        <f>IFERROR(IF([1]对账明细接口!$M$669=0,"",[1]对账明细接口!$M$669),"")</f>
        <v/>
      </c>
      <c r="N669" s="19">
        <f t="shared" si="20"/>
        <v>0</v>
      </c>
      <c r="O669" s="19">
        <f t="shared" si="21"/>
        <v>420</v>
      </c>
      <c r="S669" s="20" t="str">
        <f>IFERROR(IF([1]对账明细接口!$N669=0,"",[1]对账明细接口!$N669),"")</f>
        <v/>
      </c>
      <c r="T669" s="21" t="str">
        <f>IFERROR(IF([1]对账明细接口!$O669=0,"",[1]对账明细接口!$O669),"")</f>
        <v/>
      </c>
      <c r="U669" s="21" t="str">
        <f>IFERROR(IF([1]对账明细接口!$P669=0,"",[1]对账明细接口!$P669),"")</f>
        <v/>
      </c>
      <c r="V669" s="21" t="str">
        <f>IFERROR(IF([1]对账明细接口!$Q669=0,"",[1]对账明细接口!$Q669),"")</f>
        <v/>
      </c>
      <c r="W669" s="20" t="str">
        <f>IFERROR(IF([1]对账明细接口!$R669=0,"",[1]对账明细接口!$R669),"")</f>
        <v/>
      </c>
      <c r="X669" s="20" t="str">
        <f>IFERROR(IF([1]对账明细接口!$S669=0,"",[1]对账明细接口!$S669),"")</f>
        <v/>
      </c>
      <c r="Y669" s="20" t="str">
        <f>IFERROR(IF([1]对账明细接口!$T669=0,"",[1]对账明细接口!$T669),"")</f>
        <v/>
      </c>
      <c r="Z669" s="24" t="str">
        <f>IFERROR(IF([1]对账明细接口!$U669=0,"",[1]对账明细接口!$U669),"")</f>
        <v/>
      </c>
      <c r="AA669" s="24" t="str">
        <f>IFERROR(IF([1]对账明细接口!$V669=0,"",[1]对账明细接口!$V669),"")</f>
        <v/>
      </c>
      <c r="AB669" s="20" t="str">
        <f>IFERROR(IF([1]对账明细接口!$W669=0,"",[1]对账明细接口!$W669),"")</f>
        <v/>
      </c>
      <c r="AC669" s="7" t="str">
        <f>IFERROR(IF([1]对账明细接口!$X669=0,"",[1]对账明细接口!$X669),"")</f>
        <v/>
      </c>
      <c r="AD669" s="7" t="str">
        <f>IFERROR(IF([1]对账明细接口!$Y669=0,"",[1]对账明细接口!$Y669),"")</f>
        <v/>
      </c>
      <c r="AE669" s="7" t="str">
        <f>IFERROR(IF([1]对账明细接口!$AA669=0,"",[1]对账明细接口!$AA669),"")</f>
        <v/>
      </c>
      <c r="AF669" s="7" t="str">
        <f>IFERROR(IF([1]对账明细接口!$AB669=0,"",[1]对账明细接口!$AB669),"")</f>
        <v/>
      </c>
      <c r="AG669" s="7" t="str">
        <f>IFERROR(IF([1]对账明细接口!$AC669=0,"",[1]对账明细接口!$AC669),"")</f>
        <v/>
      </c>
      <c r="AH669" s="7" t="str">
        <f>IFERROR(IF([1]对账明细接口!$AD669=0,"",[1]对账明细接口!$AD669),"")</f>
        <v/>
      </c>
      <c r="AI669" s="7" t="str">
        <f>IFERROR(IF([1]对账明细接口!$AE669=0,"",[1]对账明细接口!$AE669),"")</f>
        <v/>
      </c>
      <c r="AJ669" s="7" t="str">
        <f>IFERROR(IF([1]对账明细接口!$AF669=0,"",[1]对账明细接口!$AF669),"")</f>
        <v/>
      </c>
    </row>
    <row r="670" ht="14.25" customHeight="1" spans="1:36">
      <c r="A670" s="14">
        <v>670</v>
      </c>
      <c r="B670" s="15" t="str">
        <f>IFERROR(IF([1]对账明细接口!$B$670=0,"",[1]对账明细接口!$B$670),"")</f>
        <v/>
      </c>
      <c r="C670" s="16" t="str">
        <f>IFERROR(IF([1]对账明细接口!$C$670=0,"",[1]对账明细接口!$C$670),"")</f>
        <v/>
      </c>
      <c r="D670" s="16" t="str">
        <f>IFERROR(IF([1]对账明细接口!$D$670=0,"",[1]对账明细接口!$D$670),"")</f>
        <v/>
      </c>
      <c r="E670" s="16" t="str">
        <f>IFERROR(IF([1]对账明细接口!$E$670=0,"",[1]对账明细接口!$E$670),"")</f>
        <v/>
      </c>
      <c r="F670" s="16" t="str">
        <f>IFERROR(IF([1]对账明细接口!$F$670=0,"",[1]对账明细接口!$F$670),"")</f>
        <v/>
      </c>
      <c r="G670" s="16" t="str">
        <f>IFERROR(IF([1]对账明细接口!$G$670=0,"",[1]对账明细接口!$G$670),"")</f>
        <v/>
      </c>
      <c r="H670" s="17" t="str">
        <f>IFERROR(IF([1]对账明细接口!$H$670=0,"",[1]对账明细接口!$H$670),"")</f>
        <v/>
      </c>
      <c r="I670" s="16" t="str">
        <f>IFERROR(IF([1]对账明细接口!$I$670=0,"",[1]对账明细接口!$I$670),"")</f>
        <v/>
      </c>
      <c r="J670" s="18" t="str">
        <f>IFERROR(IF([1]对账明细接口!$J$670=0,"",[1]对账明细接口!$J$670),"")</f>
        <v/>
      </c>
      <c r="K670" s="18" t="str">
        <f>IFERROR(IF([1]对账明细接口!$K$670=0,"",[1]对账明细接口!$K$670),"")</f>
        <v/>
      </c>
      <c r="L670" s="16" t="str">
        <f>IFERROR(IF([1]对账明细接口!$L$670=0,"",[1]对账明细接口!$L$670),"")</f>
        <v/>
      </c>
      <c r="M670" s="16" t="str">
        <f>IFERROR(IF([1]对账明细接口!$M$670=0,"",[1]对账明细接口!$M$670),"")</f>
        <v/>
      </c>
      <c r="N670" s="19">
        <f t="shared" si="20"/>
        <v>0</v>
      </c>
      <c r="O670" s="19">
        <f t="shared" si="21"/>
        <v>420</v>
      </c>
      <c r="S670" s="20" t="str">
        <f>IFERROR(IF([1]对账明细接口!$N670=0,"",[1]对账明细接口!$N670),"")</f>
        <v/>
      </c>
      <c r="T670" s="21" t="str">
        <f>IFERROR(IF([1]对账明细接口!$O670=0,"",[1]对账明细接口!$O670),"")</f>
        <v/>
      </c>
      <c r="U670" s="21" t="str">
        <f>IFERROR(IF([1]对账明细接口!$P670=0,"",[1]对账明细接口!$P670),"")</f>
        <v/>
      </c>
      <c r="V670" s="21" t="str">
        <f>IFERROR(IF([1]对账明细接口!$Q670=0,"",[1]对账明细接口!$Q670),"")</f>
        <v/>
      </c>
      <c r="W670" s="20" t="str">
        <f>IFERROR(IF([1]对账明细接口!$R670=0,"",[1]对账明细接口!$R670),"")</f>
        <v/>
      </c>
      <c r="X670" s="20" t="str">
        <f>IFERROR(IF([1]对账明细接口!$S670=0,"",[1]对账明细接口!$S670),"")</f>
        <v/>
      </c>
      <c r="Y670" s="20" t="str">
        <f>IFERROR(IF([1]对账明细接口!$T670=0,"",[1]对账明细接口!$T670),"")</f>
        <v/>
      </c>
      <c r="Z670" s="24" t="str">
        <f>IFERROR(IF([1]对账明细接口!$U670=0,"",[1]对账明细接口!$U670),"")</f>
        <v/>
      </c>
      <c r="AA670" s="24" t="str">
        <f>IFERROR(IF([1]对账明细接口!$V670=0,"",[1]对账明细接口!$V670),"")</f>
        <v/>
      </c>
      <c r="AB670" s="20" t="str">
        <f>IFERROR(IF([1]对账明细接口!$W670=0,"",[1]对账明细接口!$W670),"")</f>
        <v/>
      </c>
      <c r="AC670" s="7" t="str">
        <f>IFERROR(IF([1]对账明细接口!$X670=0,"",[1]对账明细接口!$X670),"")</f>
        <v/>
      </c>
      <c r="AD670" s="7" t="str">
        <f>IFERROR(IF([1]对账明细接口!$Y670=0,"",[1]对账明细接口!$Y670),"")</f>
        <v/>
      </c>
      <c r="AE670" s="7" t="str">
        <f>IFERROR(IF([1]对账明细接口!$AA670=0,"",[1]对账明细接口!$AA670),"")</f>
        <v/>
      </c>
      <c r="AF670" s="7" t="str">
        <f>IFERROR(IF([1]对账明细接口!$AB670=0,"",[1]对账明细接口!$AB670),"")</f>
        <v/>
      </c>
      <c r="AG670" s="7" t="str">
        <f>IFERROR(IF([1]对账明细接口!$AC670=0,"",[1]对账明细接口!$AC670),"")</f>
        <v/>
      </c>
      <c r="AH670" s="7" t="str">
        <f>IFERROR(IF([1]对账明细接口!$AD670=0,"",[1]对账明细接口!$AD670),"")</f>
        <v/>
      </c>
      <c r="AI670" s="7" t="str">
        <f>IFERROR(IF([1]对账明细接口!$AE670=0,"",[1]对账明细接口!$AE670),"")</f>
        <v/>
      </c>
      <c r="AJ670" s="7" t="str">
        <f>IFERROR(IF([1]对账明细接口!$AF670=0,"",[1]对账明细接口!$AF670),"")</f>
        <v/>
      </c>
    </row>
    <row r="671" ht="14.25" customHeight="1" spans="1:36">
      <c r="A671" s="14">
        <v>671</v>
      </c>
      <c r="B671" s="15" t="str">
        <f>IFERROR(IF([1]对账明细接口!$B$671=0,"",[1]对账明细接口!$B$671),"")</f>
        <v/>
      </c>
      <c r="C671" s="16" t="str">
        <f>IFERROR(IF([1]对账明细接口!$C$671=0,"",[1]对账明细接口!$C$671),"")</f>
        <v/>
      </c>
      <c r="D671" s="16" t="str">
        <f>IFERROR(IF([1]对账明细接口!$D$671=0,"",[1]对账明细接口!$D$671),"")</f>
        <v/>
      </c>
      <c r="E671" s="16" t="str">
        <f>IFERROR(IF([1]对账明细接口!$E$671=0,"",[1]对账明细接口!$E$671),"")</f>
        <v/>
      </c>
      <c r="F671" s="16" t="str">
        <f>IFERROR(IF([1]对账明细接口!$F$671=0,"",[1]对账明细接口!$F$671),"")</f>
        <v/>
      </c>
      <c r="G671" s="16" t="str">
        <f>IFERROR(IF([1]对账明细接口!$G$671=0,"",[1]对账明细接口!$G$671),"")</f>
        <v/>
      </c>
      <c r="H671" s="17" t="str">
        <f>IFERROR(IF([1]对账明细接口!$H$671=0,"",[1]对账明细接口!$H$671),"")</f>
        <v/>
      </c>
      <c r="I671" s="16" t="str">
        <f>IFERROR(IF([1]对账明细接口!$I$671=0,"",[1]对账明细接口!$I$671),"")</f>
        <v/>
      </c>
      <c r="J671" s="18" t="str">
        <f>IFERROR(IF([1]对账明细接口!$J$671=0,"",[1]对账明细接口!$J$671),"")</f>
        <v/>
      </c>
      <c r="K671" s="18" t="str">
        <f>IFERROR(IF([1]对账明细接口!$K$671=0,"",[1]对账明细接口!$K$671),"")</f>
        <v/>
      </c>
      <c r="L671" s="16" t="str">
        <f>IFERROR(IF([1]对账明细接口!$L$671=0,"",[1]对账明细接口!$L$671),"")</f>
        <v/>
      </c>
      <c r="M671" s="16" t="str">
        <f>IFERROR(IF([1]对账明细接口!$M$671=0,"",[1]对账明细接口!$M$671),"")</f>
        <v/>
      </c>
      <c r="N671" s="19">
        <f t="shared" si="20"/>
        <v>0</v>
      </c>
      <c r="O671" s="19">
        <f t="shared" si="21"/>
        <v>420</v>
      </c>
      <c r="S671" s="20" t="str">
        <f>IFERROR(IF([1]对账明细接口!$N671=0,"",[1]对账明细接口!$N671),"")</f>
        <v/>
      </c>
      <c r="T671" s="21" t="str">
        <f>IFERROR(IF([1]对账明细接口!$O671=0,"",[1]对账明细接口!$O671),"")</f>
        <v/>
      </c>
      <c r="U671" s="21" t="str">
        <f>IFERROR(IF([1]对账明细接口!$P671=0,"",[1]对账明细接口!$P671),"")</f>
        <v/>
      </c>
      <c r="V671" s="21" t="str">
        <f>IFERROR(IF([1]对账明细接口!$Q671=0,"",[1]对账明细接口!$Q671),"")</f>
        <v/>
      </c>
      <c r="W671" s="20" t="str">
        <f>IFERROR(IF([1]对账明细接口!$R671=0,"",[1]对账明细接口!$R671),"")</f>
        <v/>
      </c>
      <c r="X671" s="20" t="str">
        <f>IFERROR(IF([1]对账明细接口!$S671=0,"",[1]对账明细接口!$S671),"")</f>
        <v/>
      </c>
      <c r="Y671" s="20" t="str">
        <f>IFERROR(IF([1]对账明细接口!$T671=0,"",[1]对账明细接口!$T671),"")</f>
        <v/>
      </c>
      <c r="Z671" s="24" t="str">
        <f>IFERROR(IF([1]对账明细接口!$U671=0,"",[1]对账明细接口!$U671),"")</f>
        <v/>
      </c>
      <c r="AA671" s="24" t="str">
        <f>IFERROR(IF([1]对账明细接口!$V671=0,"",[1]对账明细接口!$V671),"")</f>
        <v/>
      </c>
      <c r="AB671" s="20" t="str">
        <f>IFERROR(IF([1]对账明细接口!$W671=0,"",[1]对账明细接口!$W671),"")</f>
        <v/>
      </c>
      <c r="AC671" s="7" t="str">
        <f>IFERROR(IF([1]对账明细接口!$X671=0,"",[1]对账明细接口!$X671),"")</f>
        <v/>
      </c>
      <c r="AD671" s="7" t="str">
        <f>IFERROR(IF([1]对账明细接口!$Y671=0,"",[1]对账明细接口!$Y671),"")</f>
        <v/>
      </c>
      <c r="AE671" s="7" t="str">
        <f>IFERROR(IF([1]对账明细接口!$AA671=0,"",[1]对账明细接口!$AA671),"")</f>
        <v/>
      </c>
      <c r="AF671" s="7" t="str">
        <f>IFERROR(IF([1]对账明细接口!$AB671=0,"",[1]对账明细接口!$AB671),"")</f>
        <v/>
      </c>
      <c r="AG671" s="7" t="str">
        <f>IFERROR(IF([1]对账明细接口!$AC671=0,"",[1]对账明细接口!$AC671),"")</f>
        <v/>
      </c>
      <c r="AH671" s="7" t="str">
        <f>IFERROR(IF([1]对账明细接口!$AD671=0,"",[1]对账明细接口!$AD671),"")</f>
        <v/>
      </c>
      <c r="AI671" s="7" t="str">
        <f>IFERROR(IF([1]对账明细接口!$AE671=0,"",[1]对账明细接口!$AE671),"")</f>
        <v/>
      </c>
      <c r="AJ671" s="7" t="str">
        <f>IFERROR(IF([1]对账明细接口!$AF671=0,"",[1]对账明细接口!$AF671),"")</f>
        <v/>
      </c>
    </row>
    <row r="672" ht="14.25" customHeight="1" spans="1:36">
      <c r="A672" s="14">
        <v>672</v>
      </c>
      <c r="B672" s="15" t="str">
        <f>IFERROR(IF([1]对账明细接口!$B$672=0,"",[1]对账明细接口!$B$672),"")</f>
        <v/>
      </c>
      <c r="C672" s="16" t="str">
        <f>IFERROR(IF([1]对账明细接口!$C$672=0,"",[1]对账明细接口!$C$672),"")</f>
        <v/>
      </c>
      <c r="D672" s="16" t="str">
        <f>IFERROR(IF([1]对账明细接口!$D$672=0,"",[1]对账明细接口!$D$672),"")</f>
        <v/>
      </c>
      <c r="E672" s="16" t="str">
        <f>IFERROR(IF([1]对账明细接口!$E$672=0,"",[1]对账明细接口!$E$672),"")</f>
        <v/>
      </c>
      <c r="F672" s="16" t="str">
        <f>IFERROR(IF([1]对账明细接口!$F$672=0,"",[1]对账明细接口!$F$672),"")</f>
        <v/>
      </c>
      <c r="G672" s="16" t="str">
        <f>IFERROR(IF([1]对账明细接口!$G$672=0,"",[1]对账明细接口!$G$672),"")</f>
        <v/>
      </c>
      <c r="H672" s="17" t="str">
        <f>IFERROR(IF([1]对账明细接口!$H$672=0,"",[1]对账明细接口!$H$672),"")</f>
        <v/>
      </c>
      <c r="I672" s="16" t="str">
        <f>IFERROR(IF([1]对账明细接口!$I$672=0,"",[1]对账明细接口!$I$672),"")</f>
        <v/>
      </c>
      <c r="J672" s="18" t="str">
        <f>IFERROR(IF([1]对账明细接口!$J$672=0,"",[1]对账明细接口!$J$672),"")</f>
        <v/>
      </c>
      <c r="K672" s="18" t="str">
        <f>IFERROR(IF([1]对账明细接口!$K$672=0,"",[1]对账明细接口!$K$672),"")</f>
        <v/>
      </c>
      <c r="L672" s="16" t="str">
        <f>IFERROR(IF([1]对账明细接口!$L$672=0,"",[1]对账明细接口!$L$672),"")</f>
        <v/>
      </c>
      <c r="M672" s="16" t="str">
        <f>IFERROR(IF([1]对账明细接口!$M$672=0,"",[1]对账明细接口!$M$672),"")</f>
        <v/>
      </c>
      <c r="N672" s="19">
        <f t="shared" si="20"/>
        <v>0</v>
      </c>
      <c r="O672" s="19">
        <f t="shared" si="21"/>
        <v>420</v>
      </c>
      <c r="S672" s="20" t="str">
        <f>IFERROR(IF([1]对账明细接口!$N672=0,"",[1]对账明细接口!$N672),"")</f>
        <v/>
      </c>
      <c r="T672" s="21" t="str">
        <f>IFERROR(IF([1]对账明细接口!$O672=0,"",[1]对账明细接口!$O672),"")</f>
        <v/>
      </c>
      <c r="U672" s="21" t="str">
        <f>IFERROR(IF([1]对账明细接口!$P672=0,"",[1]对账明细接口!$P672),"")</f>
        <v/>
      </c>
      <c r="V672" s="21" t="str">
        <f>IFERROR(IF([1]对账明细接口!$Q672=0,"",[1]对账明细接口!$Q672),"")</f>
        <v/>
      </c>
      <c r="W672" s="20" t="str">
        <f>IFERROR(IF([1]对账明细接口!$R672=0,"",[1]对账明细接口!$R672),"")</f>
        <v/>
      </c>
      <c r="X672" s="20" t="str">
        <f>IFERROR(IF([1]对账明细接口!$S672=0,"",[1]对账明细接口!$S672),"")</f>
        <v/>
      </c>
      <c r="Y672" s="20" t="str">
        <f>IFERROR(IF([1]对账明细接口!$T672=0,"",[1]对账明细接口!$T672),"")</f>
        <v/>
      </c>
      <c r="Z672" s="24" t="str">
        <f>IFERROR(IF([1]对账明细接口!$U672=0,"",[1]对账明细接口!$U672),"")</f>
        <v/>
      </c>
      <c r="AA672" s="24" t="str">
        <f>IFERROR(IF([1]对账明细接口!$V672=0,"",[1]对账明细接口!$V672),"")</f>
        <v/>
      </c>
      <c r="AB672" s="20" t="str">
        <f>IFERROR(IF([1]对账明细接口!$W672=0,"",[1]对账明细接口!$W672),"")</f>
        <v/>
      </c>
      <c r="AC672" s="7" t="str">
        <f>IFERROR(IF([1]对账明细接口!$X672=0,"",[1]对账明细接口!$X672),"")</f>
        <v/>
      </c>
      <c r="AD672" s="7" t="str">
        <f>IFERROR(IF([1]对账明细接口!$Y672=0,"",[1]对账明细接口!$Y672),"")</f>
        <v/>
      </c>
      <c r="AE672" s="7" t="str">
        <f>IFERROR(IF([1]对账明细接口!$AA672=0,"",[1]对账明细接口!$AA672),"")</f>
        <v/>
      </c>
      <c r="AF672" s="7" t="str">
        <f>IFERROR(IF([1]对账明细接口!$AB672=0,"",[1]对账明细接口!$AB672),"")</f>
        <v/>
      </c>
      <c r="AG672" s="7" t="str">
        <f>IFERROR(IF([1]对账明细接口!$AC672=0,"",[1]对账明细接口!$AC672),"")</f>
        <v/>
      </c>
      <c r="AH672" s="7" t="str">
        <f>IFERROR(IF([1]对账明细接口!$AD672=0,"",[1]对账明细接口!$AD672),"")</f>
        <v/>
      </c>
      <c r="AI672" s="7" t="str">
        <f>IFERROR(IF([1]对账明细接口!$AE672=0,"",[1]对账明细接口!$AE672),"")</f>
        <v/>
      </c>
      <c r="AJ672" s="7" t="str">
        <f>IFERROR(IF([1]对账明细接口!$AF672=0,"",[1]对账明细接口!$AF672),"")</f>
        <v/>
      </c>
    </row>
    <row r="673" ht="14.25" customHeight="1" spans="1:36">
      <c r="A673" s="14">
        <v>673</v>
      </c>
      <c r="B673" s="15" t="str">
        <f>IFERROR(IF([1]对账明细接口!$B$673=0,"",[1]对账明细接口!$B$673),"")</f>
        <v/>
      </c>
      <c r="C673" s="16" t="str">
        <f>IFERROR(IF([1]对账明细接口!$C$673=0,"",[1]对账明细接口!$C$673),"")</f>
        <v/>
      </c>
      <c r="D673" s="16" t="str">
        <f>IFERROR(IF([1]对账明细接口!$D$673=0,"",[1]对账明细接口!$D$673),"")</f>
        <v/>
      </c>
      <c r="E673" s="16" t="str">
        <f>IFERROR(IF([1]对账明细接口!$E$673=0,"",[1]对账明细接口!$E$673),"")</f>
        <v/>
      </c>
      <c r="F673" s="16" t="str">
        <f>IFERROR(IF([1]对账明细接口!$F$673=0,"",[1]对账明细接口!$F$673),"")</f>
        <v/>
      </c>
      <c r="G673" s="16" t="str">
        <f>IFERROR(IF([1]对账明细接口!$G$673=0,"",[1]对账明细接口!$G$673),"")</f>
        <v/>
      </c>
      <c r="H673" s="17" t="str">
        <f>IFERROR(IF([1]对账明细接口!$H$673=0,"",[1]对账明细接口!$H$673),"")</f>
        <v/>
      </c>
      <c r="I673" s="16" t="str">
        <f>IFERROR(IF([1]对账明细接口!$I$673=0,"",[1]对账明细接口!$I$673),"")</f>
        <v/>
      </c>
      <c r="J673" s="18" t="str">
        <f>IFERROR(IF([1]对账明细接口!$J$673=0,"",[1]对账明细接口!$J$673),"")</f>
        <v/>
      </c>
      <c r="K673" s="18" t="str">
        <f>IFERROR(IF([1]对账明细接口!$K$673=0,"",[1]对账明细接口!$K$673),"")</f>
        <v/>
      </c>
      <c r="L673" s="16" t="str">
        <f>IFERROR(IF([1]对账明细接口!$L$673=0,"",[1]对账明细接口!$L$673),"")</f>
        <v/>
      </c>
      <c r="M673" s="16" t="str">
        <f>IFERROR(IF([1]对账明细接口!$M$673=0,"",[1]对账明细接口!$M$673),"")</f>
        <v/>
      </c>
      <c r="N673" s="19">
        <f t="shared" si="20"/>
        <v>0</v>
      </c>
      <c r="O673" s="19">
        <f t="shared" si="21"/>
        <v>420</v>
      </c>
      <c r="S673" s="20" t="str">
        <f>IFERROR(IF([1]对账明细接口!$N673=0,"",[1]对账明细接口!$N673),"")</f>
        <v/>
      </c>
      <c r="T673" s="21" t="str">
        <f>IFERROR(IF([1]对账明细接口!$O673=0,"",[1]对账明细接口!$O673),"")</f>
        <v/>
      </c>
      <c r="U673" s="21" t="str">
        <f>IFERROR(IF([1]对账明细接口!$P673=0,"",[1]对账明细接口!$P673),"")</f>
        <v/>
      </c>
      <c r="V673" s="21" t="str">
        <f>IFERROR(IF([1]对账明细接口!$Q673=0,"",[1]对账明细接口!$Q673),"")</f>
        <v/>
      </c>
      <c r="W673" s="20" t="str">
        <f>IFERROR(IF([1]对账明细接口!$R673=0,"",[1]对账明细接口!$R673),"")</f>
        <v/>
      </c>
      <c r="X673" s="20" t="str">
        <f>IFERROR(IF([1]对账明细接口!$S673=0,"",[1]对账明细接口!$S673),"")</f>
        <v/>
      </c>
      <c r="Y673" s="20" t="str">
        <f>IFERROR(IF([1]对账明细接口!$T673=0,"",[1]对账明细接口!$T673),"")</f>
        <v/>
      </c>
      <c r="Z673" s="24" t="str">
        <f>IFERROR(IF([1]对账明细接口!$U673=0,"",[1]对账明细接口!$U673),"")</f>
        <v/>
      </c>
      <c r="AA673" s="24" t="str">
        <f>IFERROR(IF([1]对账明细接口!$V673=0,"",[1]对账明细接口!$V673),"")</f>
        <v/>
      </c>
      <c r="AB673" s="20" t="str">
        <f>IFERROR(IF([1]对账明细接口!$W673=0,"",[1]对账明细接口!$W673),"")</f>
        <v/>
      </c>
      <c r="AC673" s="7" t="str">
        <f>IFERROR(IF([1]对账明细接口!$X673=0,"",[1]对账明细接口!$X673),"")</f>
        <v/>
      </c>
      <c r="AD673" s="7" t="str">
        <f>IFERROR(IF([1]对账明细接口!$Y673=0,"",[1]对账明细接口!$Y673),"")</f>
        <v/>
      </c>
      <c r="AE673" s="7" t="str">
        <f>IFERROR(IF([1]对账明细接口!$AA673=0,"",[1]对账明细接口!$AA673),"")</f>
        <v/>
      </c>
      <c r="AF673" s="7" t="str">
        <f>IFERROR(IF([1]对账明细接口!$AB673=0,"",[1]对账明细接口!$AB673),"")</f>
        <v/>
      </c>
      <c r="AG673" s="7" t="str">
        <f>IFERROR(IF([1]对账明细接口!$AC673=0,"",[1]对账明细接口!$AC673),"")</f>
        <v/>
      </c>
      <c r="AH673" s="7" t="str">
        <f>IFERROR(IF([1]对账明细接口!$AD673=0,"",[1]对账明细接口!$AD673),"")</f>
        <v/>
      </c>
      <c r="AI673" s="7" t="str">
        <f>IFERROR(IF([1]对账明细接口!$AE673=0,"",[1]对账明细接口!$AE673),"")</f>
        <v/>
      </c>
      <c r="AJ673" s="7" t="str">
        <f>IFERROR(IF([1]对账明细接口!$AF673=0,"",[1]对账明细接口!$AF673),"")</f>
        <v/>
      </c>
    </row>
    <row r="674" ht="14.25" customHeight="1" spans="1:36">
      <c r="A674" s="14">
        <v>674</v>
      </c>
      <c r="B674" s="15" t="str">
        <f>IFERROR(IF([1]对账明细接口!$B$674=0,"",[1]对账明细接口!$B$674),"")</f>
        <v/>
      </c>
      <c r="C674" s="16" t="str">
        <f>IFERROR(IF([1]对账明细接口!$C$674=0,"",[1]对账明细接口!$C$674),"")</f>
        <v/>
      </c>
      <c r="D674" s="16" t="str">
        <f>IFERROR(IF([1]对账明细接口!$D$674=0,"",[1]对账明细接口!$D$674),"")</f>
        <v/>
      </c>
      <c r="E674" s="16" t="str">
        <f>IFERROR(IF([1]对账明细接口!$E$674=0,"",[1]对账明细接口!$E$674),"")</f>
        <v/>
      </c>
      <c r="F674" s="16" t="str">
        <f>IFERROR(IF([1]对账明细接口!$F$674=0,"",[1]对账明细接口!$F$674),"")</f>
        <v/>
      </c>
      <c r="G674" s="16" t="str">
        <f>IFERROR(IF([1]对账明细接口!$G$674=0,"",[1]对账明细接口!$G$674),"")</f>
        <v/>
      </c>
      <c r="H674" s="17" t="str">
        <f>IFERROR(IF([1]对账明细接口!$H$674=0,"",[1]对账明细接口!$H$674),"")</f>
        <v/>
      </c>
      <c r="I674" s="16" t="str">
        <f>IFERROR(IF([1]对账明细接口!$I$674=0,"",[1]对账明细接口!$I$674),"")</f>
        <v/>
      </c>
      <c r="J674" s="18" t="str">
        <f>IFERROR(IF([1]对账明细接口!$J$674=0,"",[1]对账明细接口!$J$674),"")</f>
        <v/>
      </c>
      <c r="K674" s="18" t="str">
        <f>IFERROR(IF([1]对账明细接口!$K$674=0,"",[1]对账明细接口!$K$674),"")</f>
        <v/>
      </c>
      <c r="L674" s="16" t="str">
        <f>IFERROR(IF([1]对账明细接口!$L$674=0,"",[1]对账明细接口!$L$674),"")</f>
        <v/>
      </c>
      <c r="M674" s="16" t="str">
        <f>IFERROR(IF([1]对账明细接口!$M$674=0,"",[1]对账明细接口!$M$674),"")</f>
        <v/>
      </c>
      <c r="N674" s="19">
        <f t="shared" si="20"/>
        <v>0</v>
      </c>
      <c r="O674" s="19">
        <f t="shared" si="21"/>
        <v>420</v>
      </c>
      <c r="S674" s="20" t="str">
        <f>IFERROR(IF([1]对账明细接口!$N674=0,"",[1]对账明细接口!$N674),"")</f>
        <v/>
      </c>
      <c r="T674" s="21" t="str">
        <f>IFERROR(IF([1]对账明细接口!$O674=0,"",[1]对账明细接口!$O674),"")</f>
        <v/>
      </c>
      <c r="U674" s="21" t="str">
        <f>IFERROR(IF([1]对账明细接口!$P674=0,"",[1]对账明细接口!$P674),"")</f>
        <v/>
      </c>
      <c r="V674" s="21" t="str">
        <f>IFERROR(IF([1]对账明细接口!$Q674=0,"",[1]对账明细接口!$Q674),"")</f>
        <v/>
      </c>
      <c r="W674" s="20" t="str">
        <f>IFERROR(IF([1]对账明细接口!$R674=0,"",[1]对账明细接口!$R674),"")</f>
        <v/>
      </c>
      <c r="X674" s="20" t="str">
        <f>IFERROR(IF([1]对账明细接口!$S674=0,"",[1]对账明细接口!$S674),"")</f>
        <v/>
      </c>
      <c r="Y674" s="20" t="str">
        <f>IFERROR(IF([1]对账明细接口!$T674=0,"",[1]对账明细接口!$T674),"")</f>
        <v/>
      </c>
      <c r="Z674" s="24" t="str">
        <f>IFERROR(IF([1]对账明细接口!$U674=0,"",[1]对账明细接口!$U674),"")</f>
        <v/>
      </c>
      <c r="AA674" s="24" t="str">
        <f>IFERROR(IF([1]对账明细接口!$V674=0,"",[1]对账明细接口!$V674),"")</f>
        <v/>
      </c>
      <c r="AB674" s="20" t="str">
        <f>IFERROR(IF([1]对账明细接口!$W674=0,"",[1]对账明细接口!$W674),"")</f>
        <v/>
      </c>
      <c r="AC674" s="7" t="str">
        <f>IFERROR(IF([1]对账明细接口!$X674=0,"",[1]对账明细接口!$X674),"")</f>
        <v/>
      </c>
      <c r="AD674" s="7" t="str">
        <f>IFERROR(IF([1]对账明细接口!$Y674=0,"",[1]对账明细接口!$Y674),"")</f>
        <v/>
      </c>
      <c r="AE674" s="7" t="str">
        <f>IFERROR(IF([1]对账明细接口!$AA674=0,"",[1]对账明细接口!$AA674),"")</f>
        <v/>
      </c>
      <c r="AF674" s="7" t="str">
        <f>IFERROR(IF([1]对账明细接口!$AB674=0,"",[1]对账明细接口!$AB674),"")</f>
        <v/>
      </c>
      <c r="AG674" s="7" t="str">
        <f>IFERROR(IF([1]对账明细接口!$AC674=0,"",[1]对账明细接口!$AC674),"")</f>
        <v/>
      </c>
      <c r="AH674" s="7" t="str">
        <f>IFERROR(IF([1]对账明细接口!$AD674=0,"",[1]对账明细接口!$AD674),"")</f>
        <v/>
      </c>
      <c r="AI674" s="7" t="str">
        <f>IFERROR(IF([1]对账明细接口!$AE674=0,"",[1]对账明细接口!$AE674),"")</f>
        <v/>
      </c>
      <c r="AJ674" s="7" t="str">
        <f>IFERROR(IF([1]对账明细接口!$AF674=0,"",[1]对账明细接口!$AF674),"")</f>
        <v/>
      </c>
    </row>
    <row r="675" ht="14.25" customHeight="1" spans="1:36">
      <c r="A675" s="14">
        <v>675</v>
      </c>
      <c r="B675" s="15" t="str">
        <f>IFERROR(IF([1]对账明细接口!$B$675=0,"",[1]对账明细接口!$B$675),"")</f>
        <v/>
      </c>
      <c r="C675" s="16" t="str">
        <f>IFERROR(IF([1]对账明细接口!$C$675=0,"",[1]对账明细接口!$C$675),"")</f>
        <v/>
      </c>
      <c r="D675" s="16" t="str">
        <f>IFERROR(IF([1]对账明细接口!$D$675=0,"",[1]对账明细接口!$D$675),"")</f>
        <v/>
      </c>
      <c r="E675" s="16" t="str">
        <f>IFERROR(IF([1]对账明细接口!$E$675=0,"",[1]对账明细接口!$E$675),"")</f>
        <v/>
      </c>
      <c r="F675" s="16" t="str">
        <f>IFERROR(IF([1]对账明细接口!$F$675=0,"",[1]对账明细接口!$F$675),"")</f>
        <v/>
      </c>
      <c r="G675" s="16" t="str">
        <f>IFERROR(IF([1]对账明细接口!$G$675=0,"",[1]对账明细接口!$G$675),"")</f>
        <v/>
      </c>
      <c r="H675" s="17" t="str">
        <f>IFERROR(IF([1]对账明细接口!$H$675=0,"",[1]对账明细接口!$H$675),"")</f>
        <v/>
      </c>
      <c r="I675" s="16" t="str">
        <f>IFERROR(IF([1]对账明细接口!$I$675=0,"",[1]对账明细接口!$I$675),"")</f>
        <v/>
      </c>
      <c r="J675" s="18" t="str">
        <f>IFERROR(IF([1]对账明细接口!$J$675=0,"",[1]对账明细接口!$J$675),"")</f>
        <v/>
      </c>
      <c r="K675" s="18" t="str">
        <f>IFERROR(IF([1]对账明细接口!$K$675=0,"",[1]对账明细接口!$K$675),"")</f>
        <v/>
      </c>
      <c r="L675" s="16" t="str">
        <f>IFERROR(IF([1]对账明细接口!$L$675=0,"",[1]对账明细接口!$L$675),"")</f>
        <v/>
      </c>
      <c r="M675" s="16" t="str">
        <f>IFERROR(IF([1]对账明细接口!$M$675=0,"",[1]对账明细接口!$M$675),"")</f>
        <v/>
      </c>
      <c r="N675" s="19">
        <f t="shared" si="20"/>
        <v>0</v>
      </c>
      <c r="O675" s="19">
        <f t="shared" si="21"/>
        <v>420</v>
      </c>
      <c r="S675" s="20" t="str">
        <f>IFERROR(IF([1]对账明细接口!$N675=0,"",[1]对账明细接口!$N675),"")</f>
        <v/>
      </c>
      <c r="T675" s="21" t="str">
        <f>IFERROR(IF([1]对账明细接口!$O675=0,"",[1]对账明细接口!$O675),"")</f>
        <v/>
      </c>
      <c r="U675" s="21" t="str">
        <f>IFERROR(IF([1]对账明细接口!$P675=0,"",[1]对账明细接口!$P675),"")</f>
        <v/>
      </c>
      <c r="V675" s="21" t="str">
        <f>IFERROR(IF([1]对账明细接口!$Q675=0,"",[1]对账明细接口!$Q675),"")</f>
        <v/>
      </c>
      <c r="W675" s="20" t="str">
        <f>IFERROR(IF([1]对账明细接口!$R675=0,"",[1]对账明细接口!$R675),"")</f>
        <v/>
      </c>
      <c r="X675" s="20" t="str">
        <f>IFERROR(IF([1]对账明细接口!$S675=0,"",[1]对账明细接口!$S675),"")</f>
        <v/>
      </c>
      <c r="Y675" s="20" t="str">
        <f>IFERROR(IF([1]对账明细接口!$T675=0,"",[1]对账明细接口!$T675),"")</f>
        <v/>
      </c>
      <c r="Z675" s="24" t="str">
        <f>IFERROR(IF([1]对账明细接口!$U675=0,"",[1]对账明细接口!$U675),"")</f>
        <v/>
      </c>
      <c r="AA675" s="24" t="str">
        <f>IFERROR(IF([1]对账明细接口!$V675=0,"",[1]对账明细接口!$V675),"")</f>
        <v/>
      </c>
      <c r="AB675" s="20" t="str">
        <f>IFERROR(IF([1]对账明细接口!$W675=0,"",[1]对账明细接口!$W675),"")</f>
        <v/>
      </c>
      <c r="AC675" s="7" t="str">
        <f>IFERROR(IF([1]对账明细接口!$X675=0,"",[1]对账明细接口!$X675),"")</f>
        <v/>
      </c>
      <c r="AD675" s="7" t="str">
        <f>IFERROR(IF([1]对账明细接口!$Y675=0,"",[1]对账明细接口!$Y675),"")</f>
        <v/>
      </c>
      <c r="AE675" s="7" t="str">
        <f>IFERROR(IF([1]对账明细接口!$AA675=0,"",[1]对账明细接口!$AA675),"")</f>
        <v/>
      </c>
      <c r="AF675" s="7" t="str">
        <f>IFERROR(IF([1]对账明细接口!$AB675=0,"",[1]对账明细接口!$AB675),"")</f>
        <v/>
      </c>
      <c r="AG675" s="7" t="str">
        <f>IFERROR(IF([1]对账明细接口!$AC675=0,"",[1]对账明细接口!$AC675),"")</f>
        <v/>
      </c>
      <c r="AH675" s="7" t="str">
        <f>IFERROR(IF([1]对账明细接口!$AD675=0,"",[1]对账明细接口!$AD675),"")</f>
        <v/>
      </c>
      <c r="AI675" s="7" t="str">
        <f>IFERROR(IF([1]对账明细接口!$AE675=0,"",[1]对账明细接口!$AE675),"")</f>
        <v/>
      </c>
      <c r="AJ675" s="7" t="str">
        <f>IFERROR(IF([1]对账明细接口!$AF675=0,"",[1]对账明细接口!$AF675),"")</f>
        <v/>
      </c>
    </row>
    <row r="676" ht="14.25" customHeight="1" spans="1:36">
      <c r="A676" s="14">
        <v>676</v>
      </c>
      <c r="B676" s="15" t="str">
        <f>IFERROR(IF([1]对账明细接口!$B$676=0,"",[1]对账明细接口!$B$676),"")</f>
        <v/>
      </c>
      <c r="C676" s="16" t="str">
        <f>IFERROR(IF([1]对账明细接口!$C$676=0,"",[1]对账明细接口!$C$676),"")</f>
        <v/>
      </c>
      <c r="D676" s="16" t="str">
        <f>IFERROR(IF([1]对账明细接口!$D$676=0,"",[1]对账明细接口!$D$676),"")</f>
        <v/>
      </c>
      <c r="E676" s="16" t="str">
        <f>IFERROR(IF([1]对账明细接口!$E$676=0,"",[1]对账明细接口!$E$676),"")</f>
        <v/>
      </c>
      <c r="F676" s="16" t="str">
        <f>IFERROR(IF([1]对账明细接口!$F$676=0,"",[1]对账明细接口!$F$676),"")</f>
        <v/>
      </c>
      <c r="G676" s="16" t="str">
        <f>IFERROR(IF([1]对账明细接口!$G$676=0,"",[1]对账明细接口!$G$676),"")</f>
        <v/>
      </c>
      <c r="H676" s="17" t="str">
        <f>IFERROR(IF([1]对账明细接口!$H$676=0,"",[1]对账明细接口!$H$676),"")</f>
        <v/>
      </c>
      <c r="I676" s="16" t="str">
        <f>IFERROR(IF([1]对账明细接口!$I$676=0,"",[1]对账明细接口!$I$676),"")</f>
        <v/>
      </c>
      <c r="J676" s="18" t="str">
        <f>IFERROR(IF([1]对账明细接口!$J$676=0,"",[1]对账明细接口!$J$676),"")</f>
        <v/>
      </c>
      <c r="K676" s="18" t="str">
        <f>IFERROR(IF([1]对账明细接口!$K$676=0,"",[1]对账明细接口!$K$676),"")</f>
        <v/>
      </c>
      <c r="L676" s="16" t="str">
        <f>IFERROR(IF([1]对账明细接口!$L$676=0,"",[1]对账明细接口!$L$676),"")</f>
        <v/>
      </c>
      <c r="M676" s="16" t="str">
        <f>IFERROR(IF([1]对账明细接口!$M$676=0,"",[1]对账明细接口!$M$676),"")</f>
        <v/>
      </c>
      <c r="N676" s="19">
        <f t="shared" si="20"/>
        <v>0</v>
      </c>
      <c r="O676" s="19">
        <f t="shared" si="21"/>
        <v>420</v>
      </c>
      <c r="S676" s="20" t="str">
        <f>IFERROR(IF([1]对账明细接口!$N676=0,"",[1]对账明细接口!$N676),"")</f>
        <v/>
      </c>
      <c r="T676" s="21" t="str">
        <f>IFERROR(IF([1]对账明细接口!$O676=0,"",[1]对账明细接口!$O676),"")</f>
        <v/>
      </c>
      <c r="U676" s="21" t="str">
        <f>IFERROR(IF([1]对账明细接口!$P676=0,"",[1]对账明细接口!$P676),"")</f>
        <v/>
      </c>
      <c r="V676" s="21" t="str">
        <f>IFERROR(IF([1]对账明细接口!$Q676=0,"",[1]对账明细接口!$Q676),"")</f>
        <v/>
      </c>
      <c r="W676" s="20" t="str">
        <f>IFERROR(IF([1]对账明细接口!$R676=0,"",[1]对账明细接口!$R676),"")</f>
        <v/>
      </c>
      <c r="X676" s="20" t="str">
        <f>IFERROR(IF([1]对账明细接口!$S676=0,"",[1]对账明细接口!$S676),"")</f>
        <v/>
      </c>
      <c r="Y676" s="20" t="str">
        <f>IFERROR(IF([1]对账明细接口!$T676=0,"",[1]对账明细接口!$T676),"")</f>
        <v/>
      </c>
      <c r="Z676" s="24" t="str">
        <f>IFERROR(IF([1]对账明细接口!$U676=0,"",[1]对账明细接口!$U676),"")</f>
        <v/>
      </c>
      <c r="AA676" s="24" t="str">
        <f>IFERROR(IF([1]对账明细接口!$V676=0,"",[1]对账明细接口!$V676),"")</f>
        <v/>
      </c>
      <c r="AB676" s="20" t="str">
        <f>IFERROR(IF([1]对账明细接口!$W676=0,"",[1]对账明细接口!$W676),"")</f>
        <v/>
      </c>
      <c r="AC676" s="7" t="str">
        <f>IFERROR(IF([1]对账明细接口!$X676=0,"",[1]对账明细接口!$X676),"")</f>
        <v/>
      </c>
      <c r="AD676" s="7" t="str">
        <f>IFERROR(IF([1]对账明细接口!$Y676=0,"",[1]对账明细接口!$Y676),"")</f>
        <v/>
      </c>
      <c r="AE676" s="7" t="str">
        <f>IFERROR(IF([1]对账明细接口!$AA676=0,"",[1]对账明细接口!$AA676),"")</f>
        <v/>
      </c>
      <c r="AF676" s="7" t="str">
        <f>IFERROR(IF([1]对账明细接口!$AB676=0,"",[1]对账明细接口!$AB676),"")</f>
        <v/>
      </c>
      <c r="AG676" s="7" t="str">
        <f>IFERROR(IF([1]对账明细接口!$AC676=0,"",[1]对账明细接口!$AC676),"")</f>
        <v/>
      </c>
      <c r="AH676" s="7" t="str">
        <f>IFERROR(IF([1]对账明细接口!$AD676=0,"",[1]对账明细接口!$AD676),"")</f>
        <v/>
      </c>
      <c r="AI676" s="7" t="str">
        <f>IFERROR(IF([1]对账明细接口!$AE676=0,"",[1]对账明细接口!$AE676),"")</f>
        <v/>
      </c>
      <c r="AJ676" s="7" t="str">
        <f>IFERROR(IF([1]对账明细接口!$AF676=0,"",[1]对账明细接口!$AF676),"")</f>
        <v/>
      </c>
    </row>
    <row r="677" ht="14.25" customHeight="1" spans="1:36">
      <c r="A677" s="14">
        <v>677</v>
      </c>
      <c r="B677" s="15" t="str">
        <f>IFERROR(IF([1]对账明细接口!$B$677=0,"",[1]对账明细接口!$B$677),"")</f>
        <v/>
      </c>
      <c r="C677" s="16" t="str">
        <f>IFERROR(IF([1]对账明细接口!$C$677=0,"",[1]对账明细接口!$C$677),"")</f>
        <v/>
      </c>
      <c r="D677" s="16" t="str">
        <f>IFERROR(IF([1]对账明细接口!$D$677=0,"",[1]对账明细接口!$D$677),"")</f>
        <v/>
      </c>
      <c r="E677" s="16" t="str">
        <f>IFERROR(IF([1]对账明细接口!$E$677=0,"",[1]对账明细接口!$E$677),"")</f>
        <v/>
      </c>
      <c r="F677" s="16" t="str">
        <f>IFERROR(IF([1]对账明细接口!$F$677=0,"",[1]对账明细接口!$F$677),"")</f>
        <v/>
      </c>
      <c r="G677" s="16" t="str">
        <f>IFERROR(IF([1]对账明细接口!$G$677=0,"",[1]对账明细接口!$G$677),"")</f>
        <v/>
      </c>
      <c r="H677" s="17" t="str">
        <f>IFERROR(IF([1]对账明细接口!$H$677=0,"",[1]对账明细接口!$H$677),"")</f>
        <v/>
      </c>
      <c r="I677" s="16" t="str">
        <f>IFERROR(IF([1]对账明细接口!$I$677=0,"",[1]对账明细接口!$I$677),"")</f>
        <v/>
      </c>
      <c r="J677" s="18" t="str">
        <f>IFERROR(IF([1]对账明细接口!$J$677=0,"",[1]对账明细接口!$J$677),"")</f>
        <v/>
      </c>
      <c r="K677" s="18" t="str">
        <f>IFERROR(IF([1]对账明细接口!$K$677=0,"",[1]对账明细接口!$K$677),"")</f>
        <v/>
      </c>
      <c r="L677" s="16" t="str">
        <f>IFERROR(IF([1]对账明细接口!$L$677=0,"",[1]对账明细接口!$L$677),"")</f>
        <v/>
      </c>
      <c r="M677" s="16" t="str">
        <f>IFERROR(IF([1]对账明细接口!$M$677=0,"",[1]对账明细接口!$M$677),"")</f>
        <v/>
      </c>
      <c r="N677" s="19">
        <f t="shared" si="20"/>
        <v>0</v>
      </c>
      <c r="O677" s="19">
        <f t="shared" si="21"/>
        <v>420</v>
      </c>
      <c r="S677" s="20" t="str">
        <f>IFERROR(IF([1]对账明细接口!$N677=0,"",[1]对账明细接口!$N677),"")</f>
        <v/>
      </c>
      <c r="T677" s="21" t="str">
        <f>IFERROR(IF([1]对账明细接口!$O677=0,"",[1]对账明细接口!$O677),"")</f>
        <v/>
      </c>
      <c r="U677" s="21" t="str">
        <f>IFERROR(IF([1]对账明细接口!$P677=0,"",[1]对账明细接口!$P677),"")</f>
        <v/>
      </c>
      <c r="V677" s="21" t="str">
        <f>IFERROR(IF([1]对账明细接口!$Q677=0,"",[1]对账明细接口!$Q677),"")</f>
        <v/>
      </c>
      <c r="W677" s="20" t="str">
        <f>IFERROR(IF([1]对账明细接口!$R677=0,"",[1]对账明细接口!$R677),"")</f>
        <v/>
      </c>
      <c r="X677" s="20" t="str">
        <f>IFERROR(IF([1]对账明细接口!$S677=0,"",[1]对账明细接口!$S677),"")</f>
        <v/>
      </c>
      <c r="Y677" s="20" t="str">
        <f>IFERROR(IF([1]对账明细接口!$T677=0,"",[1]对账明细接口!$T677),"")</f>
        <v/>
      </c>
      <c r="Z677" s="24" t="str">
        <f>IFERROR(IF([1]对账明细接口!$U677=0,"",[1]对账明细接口!$U677),"")</f>
        <v/>
      </c>
      <c r="AA677" s="24" t="str">
        <f>IFERROR(IF([1]对账明细接口!$V677=0,"",[1]对账明细接口!$V677),"")</f>
        <v/>
      </c>
      <c r="AB677" s="20" t="str">
        <f>IFERROR(IF([1]对账明细接口!$W677=0,"",[1]对账明细接口!$W677),"")</f>
        <v/>
      </c>
      <c r="AC677" s="7" t="str">
        <f>IFERROR(IF([1]对账明细接口!$X677=0,"",[1]对账明细接口!$X677),"")</f>
        <v/>
      </c>
      <c r="AD677" s="7" t="str">
        <f>IFERROR(IF([1]对账明细接口!$Y677=0,"",[1]对账明细接口!$Y677),"")</f>
        <v/>
      </c>
      <c r="AE677" s="7" t="str">
        <f>IFERROR(IF([1]对账明细接口!$AA677=0,"",[1]对账明细接口!$AA677),"")</f>
        <v/>
      </c>
      <c r="AF677" s="7" t="str">
        <f>IFERROR(IF([1]对账明细接口!$AB677=0,"",[1]对账明细接口!$AB677),"")</f>
        <v/>
      </c>
      <c r="AG677" s="7" t="str">
        <f>IFERROR(IF([1]对账明细接口!$AC677=0,"",[1]对账明细接口!$AC677),"")</f>
        <v/>
      </c>
      <c r="AH677" s="7" t="str">
        <f>IFERROR(IF([1]对账明细接口!$AD677=0,"",[1]对账明细接口!$AD677),"")</f>
        <v/>
      </c>
      <c r="AI677" s="7" t="str">
        <f>IFERROR(IF([1]对账明细接口!$AE677=0,"",[1]对账明细接口!$AE677),"")</f>
        <v/>
      </c>
      <c r="AJ677" s="7" t="str">
        <f>IFERROR(IF([1]对账明细接口!$AF677=0,"",[1]对账明细接口!$AF677),"")</f>
        <v/>
      </c>
    </row>
    <row r="678" ht="14.25" customHeight="1" spans="1:36">
      <c r="A678" s="14">
        <v>678</v>
      </c>
      <c r="B678" s="15" t="str">
        <f>IFERROR(IF([1]对账明细接口!$B$678=0,"",[1]对账明细接口!$B$678),"")</f>
        <v/>
      </c>
      <c r="C678" s="16" t="str">
        <f>IFERROR(IF([1]对账明细接口!$C$678=0,"",[1]对账明细接口!$C$678),"")</f>
        <v/>
      </c>
      <c r="D678" s="16" t="str">
        <f>IFERROR(IF([1]对账明细接口!$D$678=0,"",[1]对账明细接口!$D$678),"")</f>
        <v/>
      </c>
      <c r="E678" s="16" t="str">
        <f>IFERROR(IF([1]对账明细接口!$E$678=0,"",[1]对账明细接口!$E$678),"")</f>
        <v/>
      </c>
      <c r="F678" s="16" t="str">
        <f>IFERROR(IF([1]对账明细接口!$F$678=0,"",[1]对账明细接口!$F$678),"")</f>
        <v/>
      </c>
      <c r="G678" s="16" t="str">
        <f>IFERROR(IF([1]对账明细接口!$G$678=0,"",[1]对账明细接口!$G$678),"")</f>
        <v/>
      </c>
      <c r="H678" s="17" t="str">
        <f>IFERROR(IF([1]对账明细接口!$H$678=0,"",[1]对账明细接口!$H$678),"")</f>
        <v/>
      </c>
      <c r="I678" s="16" t="str">
        <f>IFERROR(IF([1]对账明细接口!$I$678=0,"",[1]对账明细接口!$I$678),"")</f>
        <v/>
      </c>
      <c r="J678" s="18" t="str">
        <f>IFERROR(IF([1]对账明细接口!$J$678=0,"",[1]对账明细接口!$J$678),"")</f>
        <v/>
      </c>
      <c r="K678" s="18" t="str">
        <f>IFERROR(IF([1]对账明细接口!$K$678=0,"",[1]对账明细接口!$K$678),"")</f>
        <v/>
      </c>
      <c r="L678" s="16" t="str">
        <f>IFERROR(IF([1]对账明细接口!$L$678=0,"",[1]对账明细接口!$L$678),"")</f>
        <v/>
      </c>
      <c r="M678" s="16" t="str">
        <f>IFERROR(IF([1]对账明细接口!$M$678=0,"",[1]对账明细接口!$M$678),"")</f>
        <v/>
      </c>
      <c r="N678" s="19">
        <f t="shared" si="20"/>
        <v>0</v>
      </c>
      <c r="O678" s="19">
        <f t="shared" si="21"/>
        <v>420</v>
      </c>
      <c r="S678" s="20" t="str">
        <f>IFERROR(IF([1]对账明细接口!$N678=0,"",[1]对账明细接口!$N678),"")</f>
        <v/>
      </c>
      <c r="T678" s="21" t="str">
        <f>IFERROR(IF([1]对账明细接口!$O678=0,"",[1]对账明细接口!$O678),"")</f>
        <v/>
      </c>
      <c r="U678" s="21" t="str">
        <f>IFERROR(IF([1]对账明细接口!$P678=0,"",[1]对账明细接口!$P678),"")</f>
        <v/>
      </c>
      <c r="V678" s="21" t="str">
        <f>IFERROR(IF([1]对账明细接口!$Q678=0,"",[1]对账明细接口!$Q678),"")</f>
        <v/>
      </c>
      <c r="W678" s="20" t="str">
        <f>IFERROR(IF([1]对账明细接口!$R678=0,"",[1]对账明细接口!$R678),"")</f>
        <v/>
      </c>
      <c r="X678" s="20" t="str">
        <f>IFERROR(IF([1]对账明细接口!$S678=0,"",[1]对账明细接口!$S678),"")</f>
        <v/>
      </c>
      <c r="Y678" s="20" t="str">
        <f>IFERROR(IF([1]对账明细接口!$T678=0,"",[1]对账明细接口!$T678),"")</f>
        <v/>
      </c>
      <c r="Z678" s="24" t="str">
        <f>IFERROR(IF([1]对账明细接口!$U678=0,"",[1]对账明细接口!$U678),"")</f>
        <v/>
      </c>
      <c r="AA678" s="24" t="str">
        <f>IFERROR(IF([1]对账明细接口!$V678=0,"",[1]对账明细接口!$V678),"")</f>
        <v/>
      </c>
      <c r="AB678" s="20" t="str">
        <f>IFERROR(IF([1]对账明细接口!$W678=0,"",[1]对账明细接口!$W678),"")</f>
        <v/>
      </c>
      <c r="AC678" s="7" t="str">
        <f>IFERROR(IF([1]对账明细接口!$X678=0,"",[1]对账明细接口!$X678),"")</f>
        <v/>
      </c>
      <c r="AD678" s="7" t="str">
        <f>IFERROR(IF([1]对账明细接口!$Y678=0,"",[1]对账明细接口!$Y678),"")</f>
        <v/>
      </c>
      <c r="AE678" s="7" t="str">
        <f>IFERROR(IF([1]对账明细接口!$AA678=0,"",[1]对账明细接口!$AA678),"")</f>
        <v/>
      </c>
      <c r="AF678" s="7" t="str">
        <f>IFERROR(IF([1]对账明细接口!$AB678=0,"",[1]对账明细接口!$AB678),"")</f>
        <v/>
      </c>
      <c r="AG678" s="7" t="str">
        <f>IFERROR(IF([1]对账明细接口!$AC678=0,"",[1]对账明细接口!$AC678),"")</f>
        <v/>
      </c>
      <c r="AH678" s="7" t="str">
        <f>IFERROR(IF([1]对账明细接口!$AD678=0,"",[1]对账明细接口!$AD678),"")</f>
        <v/>
      </c>
      <c r="AI678" s="7" t="str">
        <f>IFERROR(IF([1]对账明细接口!$AE678=0,"",[1]对账明细接口!$AE678),"")</f>
        <v/>
      </c>
      <c r="AJ678" s="7" t="str">
        <f>IFERROR(IF([1]对账明细接口!$AF678=0,"",[1]对账明细接口!$AF678),"")</f>
        <v/>
      </c>
    </row>
    <row r="679" ht="14.25" customHeight="1" spans="1:36">
      <c r="A679" s="14">
        <v>679</v>
      </c>
      <c r="B679" s="15" t="str">
        <f>IFERROR(IF([1]对账明细接口!$B$679=0,"",[1]对账明细接口!$B$679),"")</f>
        <v/>
      </c>
      <c r="C679" s="16" t="str">
        <f>IFERROR(IF([1]对账明细接口!$C$679=0,"",[1]对账明细接口!$C$679),"")</f>
        <v/>
      </c>
      <c r="D679" s="16" t="str">
        <f>IFERROR(IF([1]对账明细接口!$D$679=0,"",[1]对账明细接口!$D$679),"")</f>
        <v/>
      </c>
      <c r="E679" s="16" t="str">
        <f>IFERROR(IF([1]对账明细接口!$E$679=0,"",[1]对账明细接口!$E$679),"")</f>
        <v/>
      </c>
      <c r="F679" s="16" t="str">
        <f>IFERROR(IF([1]对账明细接口!$F$679=0,"",[1]对账明细接口!$F$679),"")</f>
        <v/>
      </c>
      <c r="G679" s="16" t="str">
        <f>IFERROR(IF([1]对账明细接口!$G$679=0,"",[1]对账明细接口!$G$679),"")</f>
        <v/>
      </c>
      <c r="H679" s="17" t="str">
        <f>IFERROR(IF([1]对账明细接口!$H$679=0,"",[1]对账明细接口!$H$679),"")</f>
        <v/>
      </c>
      <c r="I679" s="16" t="str">
        <f>IFERROR(IF([1]对账明细接口!$I$679=0,"",[1]对账明细接口!$I$679),"")</f>
        <v/>
      </c>
      <c r="J679" s="18" t="str">
        <f>IFERROR(IF([1]对账明细接口!$J$679=0,"",[1]对账明细接口!$J$679),"")</f>
        <v/>
      </c>
      <c r="K679" s="18" t="str">
        <f>IFERROR(IF([1]对账明细接口!$K$679=0,"",[1]对账明细接口!$K$679),"")</f>
        <v/>
      </c>
      <c r="L679" s="16" t="str">
        <f>IFERROR(IF([1]对账明细接口!$L$679=0,"",[1]对账明细接口!$L$679),"")</f>
        <v/>
      </c>
      <c r="M679" s="16" t="str">
        <f>IFERROR(IF([1]对账明细接口!$M$679=0,"",[1]对账明细接口!$M$679),"")</f>
        <v/>
      </c>
      <c r="N679" s="19">
        <f t="shared" si="20"/>
        <v>0</v>
      </c>
      <c r="O679" s="19">
        <f t="shared" si="21"/>
        <v>420</v>
      </c>
      <c r="S679" s="20" t="str">
        <f>IFERROR(IF([1]对账明细接口!$N679=0,"",[1]对账明细接口!$N679),"")</f>
        <v/>
      </c>
      <c r="T679" s="21" t="str">
        <f>IFERROR(IF([1]对账明细接口!$O679=0,"",[1]对账明细接口!$O679),"")</f>
        <v/>
      </c>
      <c r="U679" s="21" t="str">
        <f>IFERROR(IF([1]对账明细接口!$P679=0,"",[1]对账明细接口!$P679),"")</f>
        <v/>
      </c>
      <c r="V679" s="21" t="str">
        <f>IFERROR(IF([1]对账明细接口!$Q679=0,"",[1]对账明细接口!$Q679),"")</f>
        <v/>
      </c>
      <c r="W679" s="20" t="str">
        <f>IFERROR(IF([1]对账明细接口!$R679=0,"",[1]对账明细接口!$R679),"")</f>
        <v/>
      </c>
      <c r="X679" s="20" t="str">
        <f>IFERROR(IF([1]对账明细接口!$S679=0,"",[1]对账明细接口!$S679),"")</f>
        <v/>
      </c>
      <c r="Y679" s="20" t="str">
        <f>IFERROR(IF([1]对账明细接口!$T679=0,"",[1]对账明细接口!$T679),"")</f>
        <v/>
      </c>
      <c r="Z679" s="24" t="str">
        <f>IFERROR(IF([1]对账明细接口!$U679=0,"",[1]对账明细接口!$U679),"")</f>
        <v/>
      </c>
      <c r="AA679" s="24" t="str">
        <f>IFERROR(IF([1]对账明细接口!$V679=0,"",[1]对账明细接口!$V679),"")</f>
        <v/>
      </c>
      <c r="AB679" s="20" t="str">
        <f>IFERROR(IF([1]对账明细接口!$W679=0,"",[1]对账明细接口!$W679),"")</f>
        <v/>
      </c>
      <c r="AC679" s="7" t="str">
        <f>IFERROR(IF([1]对账明细接口!$X679=0,"",[1]对账明细接口!$X679),"")</f>
        <v/>
      </c>
      <c r="AD679" s="7" t="str">
        <f>IFERROR(IF([1]对账明细接口!$Y679=0,"",[1]对账明细接口!$Y679),"")</f>
        <v/>
      </c>
      <c r="AE679" s="7" t="str">
        <f>IFERROR(IF([1]对账明细接口!$AA679=0,"",[1]对账明细接口!$AA679),"")</f>
        <v/>
      </c>
      <c r="AF679" s="7" t="str">
        <f>IFERROR(IF([1]对账明细接口!$AB679=0,"",[1]对账明细接口!$AB679),"")</f>
        <v/>
      </c>
      <c r="AG679" s="7" t="str">
        <f>IFERROR(IF([1]对账明细接口!$AC679=0,"",[1]对账明细接口!$AC679),"")</f>
        <v/>
      </c>
      <c r="AH679" s="7" t="str">
        <f>IFERROR(IF([1]对账明细接口!$AD679=0,"",[1]对账明细接口!$AD679),"")</f>
        <v/>
      </c>
      <c r="AI679" s="7" t="str">
        <f>IFERROR(IF([1]对账明细接口!$AE679=0,"",[1]对账明细接口!$AE679),"")</f>
        <v/>
      </c>
      <c r="AJ679" s="7" t="str">
        <f>IFERROR(IF([1]对账明细接口!$AF679=0,"",[1]对账明细接口!$AF679),"")</f>
        <v/>
      </c>
    </row>
    <row r="680" ht="14.25" customHeight="1" spans="1:36">
      <c r="A680" s="14">
        <v>680</v>
      </c>
      <c r="B680" s="15" t="str">
        <f>IFERROR(IF([1]对账明细接口!$B$680=0,"",[1]对账明细接口!$B$680),"")</f>
        <v/>
      </c>
      <c r="C680" s="16" t="str">
        <f>IFERROR(IF([1]对账明细接口!$C$680=0,"",[1]对账明细接口!$C$680),"")</f>
        <v/>
      </c>
      <c r="D680" s="16" t="str">
        <f>IFERROR(IF([1]对账明细接口!$D$680=0,"",[1]对账明细接口!$D$680),"")</f>
        <v/>
      </c>
      <c r="E680" s="16" t="str">
        <f>IFERROR(IF([1]对账明细接口!$E$680=0,"",[1]对账明细接口!$E$680),"")</f>
        <v/>
      </c>
      <c r="F680" s="16" t="str">
        <f>IFERROR(IF([1]对账明细接口!$F$680=0,"",[1]对账明细接口!$F$680),"")</f>
        <v/>
      </c>
      <c r="G680" s="16" t="str">
        <f>IFERROR(IF([1]对账明细接口!$G$680=0,"",[1]对账明细接口!$G$680),"")</f>
        <v/>
      </c>
      <c r="H680" s="17" t="str">
        <f>IFERROR(IF([1]对账明细接口!$H$680=0,"",[1]对账明细接口!$H$680),"")</f>
        <v/>
      </c>
      <c r="I680" s="16" t="str">
        <f>IFERROR(IF([1]对账明细接口!$I$680=0,"",[1]对账明细接口!$I$680),"")</f>
        <v/>
      </c>
      <c r="J680" s="18" t="str">
        <f>IFERROR(IF([1]对账明细接口!$J$680=0,"",[1]对账明细接口!$J$680),"")</f>
        <v/>
      </c>
      <c r="K680" s="18" t="str">
        <f>IFERROR(IF([1]对账明细接口!$K$680=0,"",[1]对账明细接口!$K$680),"")</f>
        <v/>
      </c>
      <c r="L680" s="16" t="str">
        <f>IFERROR(IF([1]对账明细接口!$L$680=0,"",[1]对账明细接口!$L$680),"")</f>
        <v/>
      </c>
      <c r="M680" s="16" t="str">
        <f>IFERROR(IF([1]对账明细接口!$M$680=0,"",[1]对账明细接口!$M$680),"")</f>
        <v/>
      </c>
      <c r="N680" s="19">
        <f t="shared" si="20"/>
        <v>0</v>
      </c>
      <c r="O680" s="19">
        <f t="shared" si="21"/>
        <v>420</v>
      </c>
      <c r="S680" s="20" t="str">
        <f>IFERROR(IF([1]对账明细接口!$N680=0,"",[1]对账明细接口!$N680),"")</f>
        <v/>
      </c>
      <c r="T680" s="21" t="str">
        <f>IFERROR(IF([1]对账明细接口!$O680=0,"",[1]对账明细接口!$O680),"")</f>
        <v/>
      </c>
      <c r="U680" s="21" t="str">
        <f>IFERROR(IF([1]对账明细接口!$P680=0,"",[1]对账明细接口!$P680),"")</f>
        <v/>
      </c>
      <c r="V680" s="21" t="str">
        <f>IFERROR(IF([1]对账明细接口!$Q680=0,"",[1]对账明细接口!$Q680),"")</f>
        <v/>
      </c>
      <c r="W680" s="20" t="str">
        <f>IFERROR(IF([1]对账明细接口!$R680=0,"",[1]对账明细接口!$R680),"")</f>
        <v/>
      </c>
      <c r="X680" s="20" t="str">
        <f>IFERROR(IF([1]对账明细接口!$S680=0,"",[1]对账明细接口!$S680),"")</f>
        <v/>
      </c>
      <c r="Y680" s="20" t="str">
        <f>IFERROR(IF([1]对账明细接口!$T680=0,"",[1]对账明细接口!$T680),"")</f>
        <v/>
      </c>
      <c r="Z680" s="24" t="str">
        <f>IFERROR(IF([1]对账明细接口!$U680=0,"",[1]对账明细接口!$U680),"")</f>
        <v/>
      </c>
      <c r="AA680" s="24" t="str">
        <f>IFERROR(IF([1]对账明细接口!$V680=0,"",[1]对账明细接口!$V680),"")</f>
        <v/>
      </c>
      <c r="AB680" s="20" t="str">
        <f>IFERROR(IF([1]对账明细接口!$W680=0,"",[1]对账明细接口!$W680),"")</f>
        <v/>
      </c>
      <c r="AC680" s="7" t="str">
        <f>IFERROR(IF([1]对账明细接口!$X680=0,"",[1]对账明细接口!$X680),"")</f>
        <v/>
      </c>
      <c r="AD680" s="7" t="str">
        <f>IFERROR(IF([1]对账明细接口!$Y680=0,"",[1]对账明细接口!$Y680),"")</f>
        <v/>
      </c>
      <c r="AE680" s="7" t="str">
        <f>IFERROR(IF([1]对账明细接口!$AA680=0,"",[1]对账明细接口!$AA680),"")</f>
        <v/>
      </c>
      <c r="AF680" s="7" t="str">
        <f>IFERROR(IF([1]对账明细接口!$AB680=0,"",[1]对账明细接口!$AB680),"")</f>
        <v/>
      </c>
      <c r="AG680" s="7" t="str">
        <f>IFERROR(IF([1]对账明细接口!$AC680=0,"",[1]对账明细接口!$AC680),"")</f>
        <v/>
      </c>
      <c r="AH680" s="7" t="str">
        <f>IFERROR(IF([1]对账明细接口!$AD680=0,"",[1]对账明细接口!$AD680),"")</f>
        <v/>
      </c>
      <c r="AI680" s="7" t="str">
        <f>IFERROR(IF([1]对账明细接口!$AE680=0,"",[1]对账明细接口!$AE680),"")</f>
        <v/>
      </c>
      <c r="AJ680" s="7" t="str">
        <f>IFERROR(IF([1]对账明细接口!$AF680=0,"",[1]对账明细接口!$AF680),"")</f>
        <v/>
      </c>
    </row>
    <row r="681" ht="14.25" customHeight="1" spans="1:36">
      <c r="A681" s="14">
        <v>681</v>
      </c>
      <c r="B681" s="15" t="str">
        <f>IFERROR(IF([1]对账明细接口!$B$681=0,"",[1]对账明细接口!$B$681),"")</f>
        <v/>
      </c>
      <c r="C681" s="16" t="str">
        <f>IFERROR(IF([1]对账明细接口!$C$681=0,"",[1]对账明细接口!$C$681),"")</f>
        <v/>
      </c>
      <c r="D681" s="16" t="str">
        <f>IFERROR(IF([1]对账明细接口!$D$681=0,"",[1]对账明细接口!$D$681),"")</f>
        <v/>
      </c>
      <c r="E681" s="16" t="str">
        <f>IFERROR(IF([1]对账明细接口!$E$681=0,"",[1]对账明细接口!$E$681),"")</f>
        <v/>
      </c>
      <c r="F681" s="16" t="str">
        <f>IFERROR(IF([1]对账明细接口!$F$681=0,"",[1]对账明细接口!$F$681),"")</f>
        <v/>
      </c>
      <c r="G681" s="16" t="str">
        <f>IFERROR(IF([1]对账明细接口!$G$681=0,"",[1]对账明细接口!$G$681),"")</f>
        <v/>
      </c>
      <c r="H681" s="17" t="str">
        <f>IFERROR(IF([1]对账明细接口!$H$681=0,"",[1]对账明细接口!$H$681),"")</f>
        <v/>
      </c>
      <c r="I681" s="16" t="str">
        <f>IFERROR(IF([1]对账明细接口!$I$681=0,"",[1]对账明细接口!$I$681),"")</f>
        <v/>
      </c>
      <c r="J681" s="18" t="str">
        <f>IFERROR(IF([1]对账明细接口!$J$681=0,"",[1]对账明细接口!$J$681),"")</f>
        <v/>
      </c>
      <c r="K681" s="18" t="str">
        <f>IFERROR(IF([1]对账明细接口!$K$681=0,"",[1]对账明细接口!$K$681),"")</f>
        <v/>
      </c>
      <c r="L681" s="16" t="str">
        <f>IFERROR(IF([1]对账明细接口!$L$681=0,"",[1]对账明细接口!$L$681),"")</f>
        <v/>
      </c>
      <c r="M681" s="16" t="str">
        <f>IFERROR(IF([1]对账明细接口!$M$681=0,"",[1]对账明细接口!$M$681),"")</f>
        <v/>
      </c>
      <c r="N681" s="19">
        <f t="shared" si="20"/>
        <v>0</v>
      </c>
      <c r="O681" s="19">
        <f t="shared" si="21"/>
        <v>420</v>
      </c>
      <c r="S681" s="20" t="str">
        <f>IFERROR(IF([1]对账明细接口!$N681=0,"",[1]对账明细接口!$N681),"")</f>
        <v/>
      </c>
      <c r="T681" s="21" t="str">
        <f>IFERROR(IF([1]对账明细接口!$O681=0,"",[1]对账明细接口!$O681),"")</f>
        <v/>
      </c>
      <c r="U681" s="21" t="str">
        <f>IFERROR(IF([1]对账明细接口!$P681=0,"",[1]对账明细接口!$P681),"")</f>
        <v/>
      </c>
      <c r="V681" s="21" t="str">
        <f>IFERROR(IF([1]对账明细接口!$Q681=0,"",[1]对账明细接口!$Q681),"")</f>
        <v/>
      </c>
      <c r="W681" s="20" t="str">
        <f>IFERROR(IF([1]对账明细接口!$R681=0,"",[1]对账明细接口!$R681),"")</f>
        <v/>
      </c>
      <c r="X681" s="20" t="str">
        <f>IFERROR(IF([1]对账明细接口!$S681=0,"",[1]对账明细接口!$S681),"")</f>
        <v/>
      </c>
      <c r="Y681" s="20" t="str">
        <f>IFERROR(IF([1]对账明细接口!$T681=0,"",[1]对账明细接口!$T681),"")</f>
        <v/>
      </c>
      <c r="Z681" s="24" t="str">
        <f>IFERROR(IF([1]对账明细接口!$U681=0,"",[1]对账明细接口!$U681),"")</f>
        <v/>
      </c>
      <c r="AA681" s="24" t="str">
        <f>IFERROR(IF([1]对账明细接口!$V681=0,"",[1]对账明细接口!$V681),"")</f>
        <v/>
      </c>
      <c r="AB681" s="20" t="str">
        <f>IFERROR(IF([1]对账明细接口!$W681=0,"",[1]对账明细接口!$W681),"")</f>
        <v/>
      </c>
      <c r="AC681" s="7" t="str">
        <f>IFERROR(IF([1]对账明细接口!$X681=0,"",[1]对账明细接口!$X681),"")</f>
        <v/>
      </c>
      <c r="AD681" s="7" t="str">
        <f>IFERROR(IF([1]对账明细接口!$Y681=0,"",[1]对账明细接口!$Y681),"")</f>
        <v/>
      </c>
      <c r="AE681" s="7" t="str">
        <f>IFERROR(IF([1]对账明细接口!$AA681=0,"",[1]对账明细接口!$AA681),"")</f>
        <v/>
      </c>
      <c r="AF681" s="7" t="str">
        <f>IFERROR(IF([1]对账明细接口!$AB681=0,"",[1]对账明细接口!$AB681),"")</f>
        <v/>
      </c>
      <c r="AG681" s="7" t="str">
        <f>IFERROR(IF([1]对账明细接口!$AC681=0,"",[1]对账明细接口!$AC681),"")</f>
        <v/>
      </c>
      <c r="AH681" s="7" t="str">
        <f>IFERROR(IF([1]对账明细接口!$AD681=0,"",[1]对账明细接口!$AD681),"")</f>
        <v/>
      </c>
      <c r="AI681" s="7" t="str">
        <f>IFERROR(IF([1]对账明细接口!$AE681=0,"",[1]对账明细接口!$AE681),"")</f>
        <v/>
      </c>
      <c r="AJ681" s="7" t="str">
        <f>IFERROR(IF([1]对账明细接口!$AF681=0,"",[1]对账明细接口!$AF681),"")</f>
        <v/>
      </c>
    </row>
    <row r="682" ht="14.25" customHeight="1" spans="1:36">
      <c r="A682" s="14">
        <v>682</v>
      </c>
      <c r="B682" s="15" t="str">
        <f>IFERROR(IF([1]对账明细接口!$B$682=0,"",[1]对账明细接口!$B$682),"")</f>
        <v/>
      </c>
      <c r="C682" s="16" t="str">
        <f>IFERROR(IF([1]对账明细接口!$C$682=0,"",[1]对账明细接口!$C$682),"")</f>
        <v/>
      </c>
      <c r="D682" s="16" t="str">
        <f>IFERROR(IF([1]对账明细接口!$D$682=0,"",[1]对账明细接口!$D$682),"")</f>
        <v/>
      </c>
      <c r="E682" s="16" t="str">
        <f>IFERROR(IF([1]对账明细接口!$E$682=0,"",[1]对账明细接口!$E$682),"")</f>
        <v/>
      </c>
      <c r="F682" s="16" t="str">
        <f>IFERROR(IF([1]对账明细接口!$F$682=0,"",[1]对账明细接口!$F$682),"")</f>
        <v/>
      </c>
      <c r="G682" s="16" t="str">
        <f>IFERROR(IF([1]对账明细接口!$G$682=0,"",[1]对账明细接口!$G$682),"")</f>
        <v/>
      </c>
      <c r="H682" s="17" t="str">
        <f>IFERROR(IF([1]对账明细接口!$H$682=0,"",[1]对账明细接口!$H$682),"")</f>
        <v/>
      </c>
      <c r="I682" s="16" t="str">
        <f>IFERROR(IF([1]对账明细接口!$I$682=0,"",[1]对账明细接口!$I$682),"")</f>
        <v/>
      </c>
      <c r="J682" s="18" t="str">
        <f>IFERROR(IF([1]对账明细接口!$J$682=0,"",[1]对账明细接口!$J$682),"")</f>
        <v/>
      </c>
      <c r="K682" s="18" t="str">
        <f>IFERROR(IF([1]对账明细接口!$K$682=0,"",[1]对账明细接口!$K$682),"")</f>
        <v/>
      </c>
      <c r="L682" s="16" t="str">
        <f>IFERROR(IF([1]对账明细接口!$L$682=0,"",[1]对账明细接口!$L$682),"")</f>
        <v/>
      </c>
      <c r="M682" s="16" t="str">
        <f>IFERROR(IF([1]对账明细接口!$M$682=0,"",[1]对账明细接口!$M$682),"")</f>
        <v/>
      </c>
      <c r="N682" s="19">
        <f t="shared" si="20"/>
        <v>0</v>
      </c>
      <c r="O682" s="19">
        <f t="shared" si="21"/>
        <v>420</v>
      </c>
      <c r="S682" s="20" t="str">
        <f>IFERROR(IF([1]对账明细接口!$N682=0,"",[1]对账明细接口!$N682),"")</f>
        <v/>
      </c>
      <c r="T682" s="21" t="str">
        <f>IFERROR(IF([1]对账明细接口!$O682=0,"",[1]对账明细接口!$O682),"")</f>
        <v/>
      </c>
      <c r="U682" s="21" t="str">
        <f>IFERROR(IF([1]对账明细接口!$P682=0,"",[1]对账明细接口!$P682),"")</f>
        <v/>
      </c>
      <c r="V682" s="21" t="str">
        <f>IFERROR(IF([1]对账明细接口!$Q682=0,"",[1]对账明细接口!$Q682),"")</f>
        <v/>
      </c>
      <c r="W682" s="20" t="str">
        <f>IFERROR(IF([1]对账明细接口!$R682=0,"",[1]对账明细接口!$R682),"")</f>
        <v/>
      </c>
      <c r="X682" s="20" t="str">
        <f>IFERROR(IF([1]对账明细接口!$S682=0,"",[1]对账明细接口!$S682),"")</f>
        <v/>
      </c>
      <c r="Y682" s="20" t="str">
        <f>IFERROR(IF([1]对账明细接口!$T682=0,"",[1]对账明细接口!$T682),"")</f>
        <v/>
      </c>
      <c r="Z682" s="24" t="str">
        <f>IFERROR(IF([1]对账明细接口!$U682=0,"",[1]对账明细接口!$U682),"")</f>
        <v/>
      </c>
      <c r="AA682" s="24" t="str">
        <f>IFERROR(IF([1]对账明细接口!$V682=0,"",[1]对账明细接口!$V682),"")</f>
        <v/>
      </c>
      <c r="AB682" s="20" t="str">
        <f>IFERROR(IF([1]对账明细接口!$W682=0,"",[1]对账明细接口!$W682),"")</f>
        <v/>
      </c>
      <c r="AC682" s="7" t="str">
        <f>IFERROR(IF([1]对账明细接口!$X682=0,"",[1]对账明细接口!$X682),"")</f>
        <v/>
      </c>
      <c r="AD682" s="7" t="str">
        <f>IFERROR(IF([1]对账明细接口!$Y682=0,"",[1]对账明细接口!$Y682),"")</f>
        <v/>
      </c>
      <c r="AE682" s="7" t="str">
        <f>IFERROR(IF([1]对账明细接口!$AA682=0,"",[1]对账明细接口!$AA682),"")</f>
        <v/>
      </c>
      <c r="AF682" s="7" t="str">
        <f>IFERROR(IF([1]对账明细接口!$AB682=0,"",[1]对账明细接口!$AB682),"")</f>
        <v/>
      </c>
      <c r="AG682" s="7" t="str">
        <f>IFERROR(IF([1]对账明细接口!$AC682=0,"",[1]对账明细接口!$AC682),"")</f>
        <v/>
      </c>
      <c r="AH682" s="7" t="str">
        <f>IFERROR(IF([1]对账明细接口!$AD682=0,"",[1]对账明细接口!$AD682),"")</f>
        <v/>
      </c>
      <c r="AI682" s="7" t="str">
        <f>IFERROR(IF([1]对账明细接口!$AE682=0,"",[1]对账明细接口!$AE682),"")</f>
        <v/>
      </c>
      <c r="AJ682" s="7" t="str">
        <f>IFERROR(IF([1]对账明细接口!$AF682=0,"",[1]对账明细接口!$AF682),"")</f>
        <v/>
      </c>
    </row>
    <row r="683" ht="14.25" customHeight="1" spans="1:36">
      <c r="A683" s="14">
        <v>683</v>
      </c>
      <c r="B683" s="15" t="str">
        <f>IFERROR(IF([1]对账明细接口!$B$683=0,"",[1]对账明细接口!$B$683),"")</f>
        <v/>
      </c>
      <c r="C683" s="16" t="str">
        <f>IFERROR(IF([1]对账明细接口!$C$683=0,"",[1]对账明细接口!$C$683),"")</f>
        <v/>
      </c>
      <c r="D683" s="16" t="str">
        <f>IFERROR(IF([1]对账明细接口!$D$683=0,"",[1]对账明细接口!$D$683),"")</f>
        <v/>
      </c>
      <c r="E683" s="16" t="str">
        <f>IFERROR(IF([1]对账明细接口!$E$683=0,"",[1]对账明细接口!$E$683),"")</f>
        <v/>
      </c>
      <c r="F683" s="16" t="str">
        <f>IFERROR(IF([1]对账明细接口!$F$683=0,"",[1]对账明细接口!$F$683),"")</f>
        <v/>
      </c>
      <c r="G683" s="16" t="str">
        <f>IFERROR(IF([1]对账明细接口!$G$683=0,"",[1]对账明细接口!$G$683),"")</f>
        <v/>
      </c>
      <c r="H683" s="17" t="str">
        <f>IFERROR(IF([1]对账明细接口!$H$683=0,"",[1]对账明细接口!$H$683),"")</f>
        <v/>
      </c>
      <c r="I683" s="16" t="str">
        <f>IFERROR(IF([1]对账明细接口!$I$683=0,"",[1]对账明细接口!$I$683),"")</f>
        <v/>
      </c>
      <c r="J683" s="18" t="str">
        <f>IFERROR(IF([1]对账明细接口!$J$683=0,"",[1]对账明细接口!$J$683),"")</f>
        <v/>
      </c>
      <c r="K683" s="18" t="str">
        <f>IFERROR(IF([1]对账明细接口!$K$683=0,"",[1]对账明细接口!$K$683),"")</f>
        <v/>
      </c>
      <c r="L683" s="16" t="str">
        <f>IFERROR(IF([1]对账明细接口!$L$683=0,"",[1]对账明细接口!$L$683),"")</f>
        <v/>
      </c>
      <c r="M683" s="16" t="str">
        <f>IFERROR(IF([1]对账明细接口!$M$683=0,"",[1]对账明细接口!$M$683),"")</f>
        <v/>
      </c>
      <c r="N683" s="19">
        <f t="shared" si="20"/>
        <v>0</v>
      </c>
      <c r="O683" s="19">
        <f t="shared" si="21"/>
        <v>420</v>
      </c>
      <c r="S683" s="20" t="str">
        <f>IFERROR(IF([1]对账明细接口!$N683=0,"",[1]对账明细接口!$N683),"")</f>
        <v/>
      </c>
      <c r="T683" s="21" t="str">
        <f>IFERROR(IF([1]对账明细接口!$O683=0,"",[1]对账明细接口!$O683),"")</f>
        <v/>
      </c>
      <c r="U683" s="21" t="str">
        <f>IFERROR(IF([1]对账明细接口!$P683=0,"",[1]对账明细接口!$P683),"")</f>
        <v/>
      </c>
      <c r="V683" s="21" t="str">
        <f>IFERROR(IF([1]对账明细接口!$Q683=0,"",[1]对账明细接口!$Q683),"")</f>
        <v/>
      </c>
      <c r="W683" s="20" t="str">
        <f>IFERROR(IF([1]对账明细接口!$R683=0,"",[1]对账明细接口!$R683),"")</f>
        <v/>
      </c>
      <c r="X683" s="20" t="str">
        <f>IFERROR(IF([1]对账明细接口!$S683=0,"",[1]对账明细接口!$S683),"")</f>
        <v/>
      </c>
      <c r="Y683" s="20" t="str">
        <f>IFERROR(IF([1]对账明细接口!$T683=0,"",[1]对账明细接口!$T683),"")</f>
        <v/>
      </c>
      <c r="Z683" s="24" t="str">
        <f>IFERROR(IF([1]对账明细接口!$U683=0,"",[1]对账明细接口!$U683),"")</f>
        <v/>
      </c>
      <c r="AA683" s="24" t="str">
        <f>IFERROR(IF([1]对账明细接口!$V683=0,"",[1]对账明细接口!$V683),"")</f>
        <v/>
      </c>
      <c r="AB683" s="20" t="str">
        <f>IFERROR(IF([1]对账明细接口!$W683=0,"",[1]对账明细接口!$W683),"")</f>
        <v/>
      </c>
      <c r="AC683" s="7" t="str">
        <f>IFERROR(IF([1]对账明细接口!$X683=0,"",[1]对账明细接口!$X683),"")</f>
        <v/>
      </c>
      <c r="AD683" s="7" t="str">
        <f>IFERROR(IF([1]对账明细接口!$Y683=0,"",[1]对账明细接口!$Y683),"")</f>
        <v/>
      </c>
      <c r="AE683" s="7" t="str">
        <f>IFERROR(IF([1]对账明细接口!$AA683=0,"",[1]对账明细接口!$AA683),"")</f>
        <v/>
      </c>
      <c r="AF683" s="7" t="str">
        <f>IFERROR(IF([1]对账明细接口!$AB683=0,"",[1]对账明细接口!$AB683),"")</f>
        <v/>
      </c>
      <c r="AG683" s="7" t="str">
        <f>IFERROR(IF([1]对账明细接口!$AC683=0,"",[1]对账明细接口!$AC683),"")</f>
        <v/>
      </c>
      <c r="AH683" s="7" t="str">
        <f>IFERROR(IF([1]对账明细接口!$AD683=0,"",[1]对账明细接口!$AD683),"")</f>
        <v/>
      </c>
      <c r="AI683" s="7" t="str">
        <f>IFERROR(IF([1]对账明细接口!$AE683=0,"",[1]对账明细接口!$AE683),"")</f>
        <v/>
      </c>
      <c r="AJ683" s="7" t="str">
        <f>IFERROR(IF([1]对账明细接口!$AF683=0,"",[1]对账明细接口!$AF683),"")</f>
        <v/>
      </c>
    </row>
    <row r="684" ht="14.25" customHeight="1" spans="1:36">
      <c r="A684" s="14">
        <v>684</v>
      </c>
      <c r="B684" s="15" t="str">
        <f>IFERROR(IF([1]对账明细接口!$B$684=0,"",[1]对账明细接口!$B$684),"")</f>
        <v/>
      </c>
      <c r="C684" s="16" t="str">
        <f>IFERROR(IF([1]对账明细接口!$C$684=0,"",[1]对账明细接口!$C$684),"")</f>
        <v/>
      </c>
      <c r="D684" s="16" t="str">
        <f>IFERROR(IF([1]对账明细接口!$D$684=0,"",[1]对账明细接口!$D$684),"")</f>
        <v/>
      </c>
      <c r="E684" s="16" t="str">
        <f>IFERROR(IF([1]对账明细接口!$E$684=0,"",[1]对账明细接口!$E$684),"")</f>
        <v/>
      </c>
      <c r="F684" s="16" t="str">
        <f>IFERROR(IF([1]对账明细接口!$F$684=0,"",[1]对账明细接口!$F$684),"")</f>
        <v/>
      </c>
      <c r="G684" s="16" t="str">
        <f>IFERROR(IF([1]对账明细接口!$G$684=0,"",[1]对账明细接口!$G$684),"")</f>
        <v/>
      </c>
      <c r="H684" s="17" t="str">
        <f>IFERROR(IF([1]对账明细接口!$H$684=0,"",[1]对账明细接口!$H$684),"")</f>
        <v/>
      </c>
      <c r="I684" s="16" t="str">
        <f>IFERROR(IF([1]对账明细接口!$I$684=0,"",[1]对账明细接口!$I$684),"")</f>
        <v/>
      </c>
      <c r="J684" s="18" t="str">
        <f>IFERROR(IF([1]对账明细接口!$J$684=0,"",[1]对账明细接口!$J$684),"")</f>
        <v/>
      </c>
      <c r="K684" s="18" t="str">
        <f>IFERROR(IF([1]对账明细接口!$K$684=0,"",[1]对账明细接口!$K$684),"")</f>
        <v/>
      </c>
      <c r="L684" s="16" t="str">
        <f>IFERROR(IF([1]对账明细接口!$L$684=0,"",[1]对账明细接口!$L$684),"")</f>
        <v/>
      </c>
      <c r="M684" s="16" t="str">
        <f>IFERROR(IF([1]对账明细接口!$M$684=0,"",[1]对账明细接口!$M$684),"")</f>
        <v/>
      </c>
      <c r="N684" s="19">
        <f t="shared" si="20"/>
        <v>0</v>
      </c>
      <c r="O684" s="19">
        <f t="shared" si="21"/>
        <v>420</v>
      </c>
      <c r="S684" s="20" t="str">
        <f>IFERROR(IF([1]对账明细接口!$N684=0,"",[1]对账明细接口!$N684),"")</f>
        <v/>
      </c>
      <c r="T684" s="21" t="str">
        <f>IFERROR(IF([1]对账明细接口!$O684=0,"",[1]对账明细接口!$O684),"")</f>
        <v/>
      </c>
      <c r="U684" s="21" t="str">
        <f>IFERROR(IF([1]对账明细接口!$P684=0,"",[1]对账明细接口!$P684),"")</f>
        <v/>
      </c>
      <c r="V684" s="21" t="str">
        <f>IFERROR(IF([1]对账明细接口!$Q684=0,"",[1]对账明细接口!$Q684),"")</f>
        <v/>
      </c>
      <c r="W684" s="20" t="str">
        <f>IFERROR(IF([1]对账明细接口!$R684=0,"",[1]对账明细接口!$R684),"")</f>
        <v/>
      </c>
      <c r="X684" s="20" t="str">
        <f>IFERROR(IF([1]对账明细接口!$S684=0,"",[1]对账明细接口!$S684),"")</f>
        <v/>
      </c>
      <c r="Y684" s="20" t="str">
        <f>IFERROR(IF([1]对账明细接口!$T684=0,"",[1]对账明细接口!$T684),"")</f>
        <v/>
      </c>
      <c r="Z684" s="24" t="str">
        <f>IFERROR(IF([1]对账明细接口!$U684=0,"",[1]对账明细接口!$U684),"")</f>
        <v/>
      </c>
      <c r="AA684" s="24" t="str">
        <f>IFERROR(IF([1]对账明细接口!$V684=0,"",[1]对账明细接口!$V684),"")</f>
        <v/>
      </c>
      <c r="AB684" s="20" t="str">
        <f>IFERROR(IF([1]对账明细接口!$W684=0,"",[1]对账明细接口!$W684),"")</f>
        <v/>
      </c>
      <c r="AC684" s="7" t="str">
        <f>IFERROR(IF([1]对账明细接口!$X684=0,"",[1]对账明细接口!$X684),"")</f>
        <v/>
      </c>
      <c r="AD684" s="7" t="str">
        <f>IFERROR(IF([1]对账明细接口!$Y684=0,"",[1]对账明细接口!$Y684),"")</f>
        <v/>
      </c>
      <c r="AE684" s="7" t="str">
        <f>IFERROR(IF([1]对账明细接口!$AA684=0,"",[1]对账明细接口!$AA684),"")</f>
        <v/>
      </c>
      <c r="AF684" s="7" t="str">
        <f>IFERROR(IF([1]对账明细接口!$AB684=0,"",[1]对账明细接口!$AB684),"")</f>
        <v/>
      </c>
      <c r="AG684" s="7" t="str">
        <f>IFERROR(IF([1]对账明细接口!$AC684=0,"",[1]对账明细接口!$AC684),"")</f>
        <v/>
      </c>
      <c r="AH684" s="7" t="str">
        <f>IFERROR(IF([1]对账明细接口!$AD684=0,"",[1]对账明细接口!$AD684),"")</f>
        <v/>
      </c>
      <c r="AI684" s="7" t="str">
        <f>IFERROR(IF([1]对账明细接口!$AE684=0,"",[1]对账明细接口!$AE684),"")</f>
        <v/>
      </c>
      <c r="AJ684" s="7" t="str">
        <f>IFERROR(IF([1]对账明细接口!$AF684=0,"",[1]对账明细接口!$AF684),"")</f>
        <v/>
      </c>
    </row>
    <row r="685" ht="14.25" customHeight="1" spans="1:36">
      <c r="A685" s="14">
        <v>685</v>
      </c>
      <c r="B685" s="15" t="str">
        <f>IFERROR(IF([1]对账明细接口!$B$685=0,"",[1]对账明细接口!$B$685),"")</f>
        <v/>
      </c>
      <c r="C685" s="16" t="str">
        <f>IFERROR(IF([1]对账明细接口!$C$685=0,"",[1]对账明细接口!$C$685),"")</f>
        <v/>
      </c>
      <c r="D685" s="16" t="str">
        <f>IFERROR(IF([1]对账明细接口!$D$685=0,"",[1]对账明细接口!$D$685),"")</f>
        <v/>
      </c>
      <c r="E685" s="16" t="str">
        <f>IFERROR(IF([1]对账明细接口!$E$685=0,"",[1]对账明细接口!$E$685),"")</f>
        <v/>
      </c>
      <c r="F685" s="16" t="str">
        <f>IFERROR(IF([1]对账明细接口!$F$685=0,"",[1]对账明细接口!$F$685),"")</f>
        <v/>
      </c>
      <c r="G685" s="16" t="str">
        <f>IFERROR(IF([1]对账明细接口!$G$685=0,"",[1]对账明细接口!$G$685),"")</f>
        <v/>
      </c>
      <c r="H685" s="17" t="str">
        <f>IFERROR(IF([1]对账明细接口!$H$685=0,"",[1]对账明细接口!$H$685),"")</f>
        <v/>
      </c>
      <c r="I685" s="16" t="str">
        <f>IFERROR(IF([1]对账明细接口!$I$685=0,"",[1]对账明细接口!$I$685),"")</f>
        <v/>
      </c>
      <c r="J685" s="18" t="str">
        <f>IFERROR(IF([1]对账明细接口!$J$685=0,"",[1]对账明细接口!$J$685),"")</f>
        <v/>
      </c>
      <c r="K685" s="18" t="str">
        <f>IFERROR(IF([1]对账明细接口!$K$685=0,"",[1]对账明细接口!$K$685),"")</f>
        <v/>
      </c>
      <c r="L685" s="16" t="str">
        <f>IFERROR(IF([1]对账明细接口!$L$685=0,"",[1]对账明细接口!$L$685),"")</f>
        <v/>
      </c>
      <c r="M685" s="16" t="str">
        <f>IFERROR(IF([1]对账明细接口!$M$685=0,"",[1]对账明细接口!$M$685),"")</f>
        <v/>
      </c>
      <c r="N685" s="19">
        <f t="shared" si="20"/>
        <v>0</v>
      </c>
      <c r="O685" s="19">
        <f t="shared" si="21"/>
        <v>420</v>
      </c>
      <c r="S685" s="20" t="str">
        <f>IFERROR(IF([1]对账明细接口!$N685=0,"",[1]对账明细接口!$N685),"")</f>
        <v/>
      </c>
      <c r="T685" s="21" t="str">
        <f>IFERROR(IF([1]对账明细接口!$O685=0,"",[1]对账明细接口!$O685),"")</f>
        <v/>
      </c>
      <c r="U685" s="21" t="str">
        <f>IFERROR(IF([1]对账明细接口!$P685=0,"",[1]对账明细接口!$P685),"")</f>
        <v/>
      </c>
      <c r="V685" s="21" t="str">
        <f>IFERROR(IF([1]对账明细接口!$Q685=0,"",[1]对账明细接口!$Q685),"")</f>
        <v/>
      </c>
      <c r="W685" s="20" t="str">
        <f>IFERROR(IF([1]对账明细接口!$R685=0,"",[1]对账明细接口!$R685),"")</f>
        <v/>
      </c>
      <c r="X685" s="20" t="str">
        <f>IFERROR(IF([1]对账明细接口!$S685=0,"",[1]对账明细接口!$S685),"")</f>
        <v/>
      </c>
      <c r="Y685" s="20" t="str">
        <f>IFERROR(IF([1]对账明细接口!$T685=0,"",[1]对账明细接口!$T685),"")</f>
        <v/>
      </c>
      <c r="Z685" s="24" t="str">
        <f>IFERROR(IF([1]对账明细接口!$U685=0,"",[1]对账明细接口!$U685),"")</f>
        <v/>
      </c>
      <c r="AA685" s="24" t="str">
        <f>IFERROR(IF([1]对账明细接口!$V685=0,"",[1]对账明细接口!$V685),"")</f>
        <v/>
      </c>
      <c r="AB685" s="20" t="str">
        <f>IFERROR(IF([1]对账明细接口!$W685=0,"",[1]对账明细接口!$W685),"")</f>
        <v/>
      </c>
      <c r="AC685" s="7" t="str">
        <f>IFERROR(IF([1]对账明细接口!$X685=0,"",[1]对账明细接口!$X685),"")</f>
        <v/>
      </c>
      <c r="AD685" s="7" t="str">
        <f>IFERROR(IF([1]对账明细接口!$Y685=0,"",[1]对账明细接口!$Y685),"")</f>
        <v/>
      </c>
      <c r="AE685" s="7" t="str">
        <f>IFERROR(IF([1]对账明细接口!$AA685=0,"",[1]对账明细接口!$AA685),"")</f>
        <v/>
      </c>
      <c r="AF685" s="7" t="str">
        <f>IFERROR(IF([1]对账明细接口!$AB685=0,"",[1]对账明细接口!$AB685),"")</f>
        <v/>
      </c>
      <c r="AG685" s="7" t="str">
        <f>IFERROR(IF([1]对账明细接口!$AC685=0,"",[1]对账明细接口!$AC685),"")</f>
        <v/>
      </c>
      <c r="AH685" s="7" t="str">
        <f>IFERROR(IF([1]对账明细接口!$AD685=0,"",[1]对账明细接口!$AD685),"")</f>
        <v/>
      </c>
      <c r="AI685" s="7" t="str">
        <f>IFERROR(IF([1]对账明细接口!$AE685=0,"",[1]对账明细接口!$AE685),"")</f>
        <v/>
      </c>
      <c r="AJ685" s="7" t="str">
        <f>IFERROR(IF([1]对账明细接口!$AF685=0,"",[1]对账明细接口!$AF685),"")</f>
        <v/>
      </c>
    </row>
    <row r="686" ht="14.25" customHeight="1" spans="1:36">
      <c r="A686" s="14">
        <v>686</v>
      </c>
      <c r="B686" s="15" t="str">
        <f>IFERROR(IF([1]对账明细接口!$B$686=0,"",[1]对账明细接口!$B$686),"")</f>
        <v/>
      </c>
      <c r="C686" s="16" t="str">
        <f>IFERROR(IF([1]对账明细接口!$C$686=0,"",[1]对账明细接口!$C$686),"")</f>
        <v/>
      </c>
      <c r="D686" s="16" t="str">
        <f>IFERROR(IF([1]对账明细接口!$D$686=0,"",[1]对账明细接口!$D$686),"")</f>
        <v/>
      </c>
      <c r="E686" s="16" t="str">
        <f>IFERROR(IF([1]对账明细接口!$E$686=0,"",[1]对账明细接口!$E$686),"")</f>
        <v/>
      </c>
      <c r="F686" s="16" t="str">
        <f>IFERROR(IF([1]对账明细接口!$F$686=0,"",[1]对账明细接口!$F$686),"")</f>
        <v/>
      </c>
      <c r="G686" s="16" t="str">
        <f>IFERROR(IF([1]对账明细接口!$G$686=0,"",[1]对账明细接口!$G$686),"")</f>
        <v/>
      </c>
      <c r="H686" s="17" t="str">
        <f>IFERROR(IF([1]对账明细接口!$H$686=0,"",[1]对账明细接口!$H$686),"")</f>
        <v/>
      </c>
      <c r="I686" s="16" t="str">
        <f>IFERROR(IF([1]对账明细接口!$I$686=0,"",[1]对账明细接口!$I$686),"")</f>
        <v/>
      </c>
      <c r="J686" s="18" t="str">
        <f>IFERROR(IF([1]对账明细接口!$J$686=0,"",[1]对账明细接口!$J$686),"")</f>
        <v/>
      </c>
      <c r="K686" s="18" t="str">
        <f>IFERROR(IF([1]对账明细接口!$K$686=0,"",[1]对账明细接口!$K$686),"")</f>
        <v/>
      </c>
      <c r="L686" s="16" t="str">
        <f>IFERROR(IF([1]对账明细接口!$L$686=0,"",[1]对账明细接口!$L$686),"")</f>
        <v/>
      </c>
      <c r="M686" s="16" t="str">
        <f>IFERROR(IF([1]对账明细接口!$M$686=0,"",[1]对账明细接口!$M$686),"")</f>
        <v/>
      </c>
      <c r="N686" s="19">
        <f t="shared" si="20"/>
        <v>0</v>
      </c>
      <c r="O686" s="19">
        <f t="shared" si="21"/>
        <v>420</v>
      </c>
      <c r="S686" s="20" t="str">
        <f>IFERROR(IF([1]对账明细接口!$N686=0,"",[1]对账明细接口!$N686),"")</f>
        <v/>
      </c>
      <c r="T686" s="21" t="str">
        <f>IFERROR(IF([1]对账明细接口!$O686=0,"",[1]对账明细接口!$O686),"")</f>
        <v/>
      </c>
      <c r="U686" s="21" t="str">
        <f>IFERROR(IF([1]对账明细接口!$P686=0,"",[1]对账明细接口!$P686),"")</f>
        <v/>
      </c>
      <c r="V686" s="21" t="str">
        <f>IFERROR(IF([1]对账明细接口!$Q686=0,"",[1]对账明细接口!$Q686),"")</f>
        <v/>
      </c>
      <c r="W686" s="20" t="str">
        <f>IFERROR(IF([1]对账明细接口!$R686=0,"",[1]对账明细接口!$R686),"")</f>
        <v/>
      </c>
      <c r="X686" s="20" t="str">
        <f>IFERROR(IF([1]对账明细接口!$S686=0,"",[1]对账明细接口!$S686),"")</f>
        <v/>
      </c>
      <c r="Y686" s="20" t="str">
        <f>IFERROR(IF([1]对账明细接口!$T686=0,"",[1]对账明细接口!$T686),"")</f>
        <v/>
      </c>
      <c r="Z686" s="24" t="str">
        <f>IFERROR(IF([1]对账明细接口!$U686=0,"",[1]对账明细接口!$U686),"")</f>
        <v/>
      </c>
      <c r="AA686" s="24" t="str">
        <f>IFERROR(IF([1]对账明细接口!$V686=0,"",[1]对账明细接口!$V686),"")</f>
        <v/>
      </c>
      <c r="AB686" s="20" t="str">
        <f>IFERROR(IF([1]对账明细接口!$W686=0,"",[1]对账明细接口!$W686),"")</f>
        <v/>
      </c>
      <c r="AC686" s="7" t="str">
        <f>IFERROR(IF([1]对账明细接口!$X686=0,"",[1]对账明细接口!$X686),"")</f>
        <v/>
      </c>
      <c r="AD686" s="7" t="str">
        <f>IFERROR(IF([1]对账明细接口!$Y686=0,"",[1]对账明细接口!$Y686),"")</f>
        <v/>
      </c>
      <c r="AE686" s="7" t="str">
        <f>IFERROR(IF([1]对账明细接口!$AA686=0,"",[1]对账明细接口!$AA686),"")</f>
        <v/>
      </c>
      <c r="AF686" s="7" t="str">
        <f>IFERROR(IF([1]对账明细接口!$AB686=0,"",[1]对账明细接口!$AB686),"")</f>
        <v/>
      </c>
      <c r="AG686" s="7" t="str">
        <f>IFERROR(IF([1]对账明细接口!$AC686=0,"",[1]对账明细接口!$AC686),"")</f>
        <v/>
      </c>
      <c r="AH686" s="7" t="str">
        <f>IFERROR(IF([1]对账明细接口!$AD686=0,"",[1]对账明细接口!$AD686),"")</f>
        <v/>
      </c>
      <c r="AI686" s="7" t="str">
        <f>IFERROR(IF([1]对账明细接口!$AE686=0,"",[1]对账明细接口!$AE686),"")</f>
        <v/>
      </c>
      <c r="AJ686" s="7" t="str">
        <f>IFERROR(IF([1]对账明细接口!$AF686=0,"",[1]对账明细接口!$AF686),"")</f>
        <v/>
      </c>
    </row>
    <row r="687" ht="14.25" customHeight="1" spans="1:36">
      <c r="A687" s="14">
        <v>687</v>
      </c>
      <c r="B687" s="15" t="str">
        <f>IFERROR(IF([1]对账明细接口!$B$687=0,"",[1]对账明细接口!$B$687),"")</f>
        <v/>
      </c>
      <c r="C687" s="16" t="str">
        <f>IFERROR(IF([1]对账明细接口!$C$687=0,"",[1]对账明细接口!$C$687),"")</f>
        <v/>
      </c>
      <c r="D687" s="16" t="str">
        <f>IFERROR(IF([1]对账明细接口!$D$687=0,"",[1]对账明细接口!$D$687),"")</f>
        <v/>
      </c>
      <c r="E687" s="16" t="str">
        <f>IFERROR(IF([1]对账明细接口!$E$687=0,"",[1]对账明细接口!$E$687),"")</f>
        <v/>
      </c>
      <c r="F687" s="16" t="str">
        <f>IFERROR(IF([1]对账明细接口!$F$687=0,"",[1]对账明细接口!$F$687),"")</f>
        <v/>
      </c>
      <c r="G687" s="16" t="str">
        <f>IFERROR(IF([1]对账明细接口!$G$687=0,"",[1]对账明细接口!$G$687),"")</f>
        <v/>
      </c>
      <c r="H687" s="17" t="str">
        <f>IFERROR(IF([1]对账明细接口!$H$687=0,"",[1]对账明细接口!$H$687),"")</f>
        <v/>
      </c>
      <c r="I687" s="16" t="str">
        <f>IFERROR(IF([1]对账明细接口!$I$687=0,"",[1]对账明细接口!$I$687),"")</f>
        <v/>
      </c>
      <c r="J687" s="18" t="str">
        <f>IFERROR(IF([1]对账明细接口!$J$687=0,"",[1]对账明细接口!$J$687),"")</f>
        <v/>
      </c>
      <c r="K687" s="18" t="str">
        <f>IFERROR(IF([1]对账明细接口!$K$687=0,"",[1]对账明细接口!$K$687),"")</f>
        <v/>
      </c>
      <c r="L687" s="16" t="str">
        <f>IFERROR(IF([1]对账明细接口!$L$687=0,"",[1]对账明细接口!$L$687),"")</f>
        <v/>
      </c>
      <c r="M687" s="16" t="str">
        <f>IFERROR(IF([1]对账明细接口!$M$687=0,"",[1]对账明细接口!$M$687),"")</f>
        <v/>
      </c>
      <c r="N687" s="19">
        <f t="shared" si="20"/>
        <v>0</v>
      </c>
      <c r="O687" s="19">
        <f t="shared" si="21"/>
        <v>420</v>
      </c>
      <c r="S687" s="20" t="str">
        <f>IFERROR(IF([1]对账明细接口!$N687=0,"",[1]对账明细接口!$N687),"")</f>
        <v/>
      </c>
      <c r="T687" s="21" t="str">
        <f>IFERROR(IF([1]对账明细接口!$O687=0,"",[1]对账明细接口!$O687),"")</f>
        <v/>
      </c>
      <c r="U687" s="21" t="str">
        <f>IFERROR(IF([1]对账明细接口!$P687=0,"",[1]对账明细接口!$P687),"")</f>
        <v/>
      </c>
      <c r="V687" s="21" t="str">
        <f>IFERROR(IF([1]对账明细接口!$Q687=0,"",[1]对账明细接口!$Q687),"")</f>
        <v/>
      </c>
      <c r="W687" s="20" t="str">
        <f>IFERROR(IF([1]对账明细接口!$R687=0,"",[1]对账明细接口!$R687),"")</f>
        <v/>
      </c>
      <c r="X687" s="20" t="str">
        <f>IFERROR(IF([1]对账明细接口!$S687=0,"",[1]对账明细接口!$S687),"")</f>
        <v/>
      </c>
      <c r="Y687" s="20" t="str">
        <f>IFERROR(IF([1]对账明细接口!$T687=0,"",[1]对账明细接口!$T687),"")</f>
        <v/>
      </c>
      <c r="Z687" s="24" t="str">
        <f>IFERROR(IF([1]对账明细接口!$U687=0,"",[1]对账明细接口!$U687),"")</f>
        <v/>
      </c>
      <c r="AA687" s="24" t="str">
        <f>IFERROR(IF([1]对账明细接口!$V687=0,"",[1]对账明细接口!$V687),"")</f>
        <v/>
      </c>
      <c r="AB687" s="20" t="str">
        <f>IFERROR(IF([1]对账明细接口!$W687=0,"",[1]对账明细接口!$W687),"")</f>
        <v/>
      </c>
      <c r="AC687" s="7" t="str">
        <f>IFERROR(IF([1]对账明细接口!$X687=0,"",[1]对账明细接口!$X687),"")</f>
        <v/>
      </c>
      <c r="AD687" s="7" t="str">
        <f>IFERROR(IF([1]对账明细接口!$Y687=0,"",[1]对账明细接口!$Y687),"")</f>
        <v/>
      </c>
      <c r="AE687" s="7" t="str">
        <f>IFERROR(IF([1]对账明细接口!$AA687=0,"",[1]对账明细接口!$AA687),"")</f>
        <v/>
      </c>
      <c r="AF687" s="7" t="str">
        <f>IFERROR(IF([1]对账明细接口!$AB687=0,"",[1]对账明细接口!$AB687),"")</f>
        <v/>
      </c>
      <c r="AG687" s="7" t="str">
        <f>IFERROR(IF([1]对账明细接口!$AC687=0,"",[1]对账明细接口!$AC687),"")</f>
        <v/>
      </c>
      <c r="AH687" s="7" t="str">
        <f>IFERROR(IF([1]对账明细接口!$AD687=0,"",[1]对账明细接口!$AD687),"")</f>
        <v/>
      </c>
      <c r="AI687" s="7" t="str">
        <f>IFERROR(IF([1]对账明细接口!$AE687=0,"",[1]对账明细接口!$AE687),"")</f>
        <v/>
      </c>
      <c r="AJ687" s="7" t="str">
        <f>IFERROR(IF([1]对账明细接口!$AF687=0,"",[1]对账明细接口!$AF687),"")</f>
        <v/>
      </c>
    </row>
    <row r="688" ht="14.25" customHeight="1" spans="1:36">
      <c r="A688" s="14">
        <v>688</v>
      </c>
      <c r="B688" s="15" t="str">
        <f>IFERROR(IF([1]对账明细接口!$B$688=0,"",[1]对账明细接口!$B$688),"")</f>
        <v/>
      </c>
      <c r="C688" s="16" t="str">
        <f>IFERROR(IF([1]对账明细接口!$C$688=0,"",[1]对账明细接口!$C$688),"")</f>
        <v/>
      </c>
      <c r="D688" s="16" t="str">
        <f>IFERROR(IF([1]对账明细接口!$D$688=0,"",[1]对账明细接口!$D$688),"")</f>
        <v/>
      </c>
      <c r="E688" s="16" t="str">
        <f>IFERROR(IF([1]对账明细接口!$E$688=0,"",[1]对账明细接口!$E$688),"")</f>
        <v/>
      </c>
      <c r="F688" s="16" t="str">
        <f>IFERROR(IF([1]对账明细接口!$F$688=0,"",[1]对账明细接口!$F$688),"")</f>
        <v/>
      </c>
      <c r="G688" s="16" t="str">
        <f>IFERROR(IF([1]对账明细接口!$G$688=0,"",[1]对账明细接口!$G$688),"")</f>
        <v/>
      </c>
      <c r="H688" s="17" t="str">
        <f>IFERROR(IF([1]对账明细接口!$H$688=0,"",[1]对账明细接口!$H$688),"")</f>
        <v/>
      </c>
      <c r="I688" s="16" t="str">
        <f>IFERROR(IF([1]对账明细接口!$I$688=0,"",[1]对账明细接口!$I$688),"")</f>
        <v/>
      </c>
      <c r="J688" s="18" t="str">
        <f>IFERROR(IF([1]对账明细接口!$J$688=0,"",[1]对账明细接口!$J$688),"")</f>
        <v/>
      </c>
      <c r="K688" s="18" t="str">
        <f>IFERROR(IF([1]对账明细接口!$K$688=0,"",[1]对账明细接口!$K$688),"")</f>
        <v/>
      </c>
      <c r="L688" s="16" t="str">
        <f>IFERROR(IF([1]对账明细接口!$L$688=0,"",[1]对账明细接口!$L$688),"")</f>
        <v/>
      </c>
      <c r="M688" s="16" t="str">
        <f>IFERROR(IF([1]对账明细接口!$M$688=0,"",[1]对账明细接口!$M$688),"")</f>
        <v/>
      </c>
      <c r="N688" s="19">
        <f t="shared" si="20"/>
        <v>0</v>
      </c>
      <c r="O688" s="19">
        <f t="shared" si="21"/>
        <v>420</v>
      </c>
      <c r="S688" s="20" t="str">
        <f>IFERROR(IF([1]对账明细接口!$N688=0,"",[1]对账明细接口!$N688),"")</f>
        <v/>
      </c>
      <c r="T688" s="21" t="str">
        <f>IFERROR(IF([1]对账明细接口!$O688=0,"",[1]对账明细接口!$O688),"")</f>
        <v/>
      </c>
      <c r="U688" s="21" t="str">
        <f>IFERROR(IF([1]对账明细接口!$P688=0,"",[1]对账明细接口!$P688),"")</f>
        <v/>
      </c>
      <c r="V688" s="21" t="str">
        <f>IFERROR(IF([1]对账明细接口!$Q688=0,"",[1]对账明细接口!$Q688),"")</f>
        <v/>
      </c>
      <c r="W688" s="20" t="str">
        <f>IFERROR(IF([1]对账明细接口!$R688=0,"",[1]对账明细接口!$R688),"")</f>
        <v/>
      </c>
      <c r="X688" s="20" t="str">
        <f>IFERROR(IF([1]对账明细接口!$S688=0,"",[1]对账明细接口!$S688),"")</f>
        <v/>
      </c>
      <c r="Y688" s="20" t="str">
        <f>IFERROR(IF([1]对账明细接口!$T688=0,"",[1]对账明细接口!$T688),"")</f>
        <v/>
      </c>
      <c r="Z688" s="24" t="str">
        <f>IFERROR(IF([1]对账明细接口!$U688=0,"",[1]对账明细接口!$U688),"")</f>
        <v/>
      </c>
      <c r="AA688" s="24" t="str">
        <f>IFERROR(IF([1]对账明细接口!$V688=0,"",[1]对账明细接口!$V688),"")</f>
        <v/>
      </c>
      <c r="AB688" s="20" t="str">
        <f>IFERROR(IF([1]对账明细接口!$W688=0,"",[1]对账明细接口!$W688),"")</f>
        <v/>
      </c>
      <c r="AC688" s="7" t="str">
        <f>IFERROR(IF([1]对账明细接口!$X688=0,"",[1]对账明细接口!$X688),"")</f>
        <v/>
      </c>
      <c r="AD688" s="7" t="str">
        <f>IFERROR(IF([1]对账明细接口!$Y688=0,"",[1]对账明细接口!$Y688),"")</f>
        <v/>
      </c>
      <c r="AE688" s="7" t="str">
        <f>IFERROR(IF([1]对账明细接口!$AA688=0,"",[1]对账明细接口!$AA688),"")</f>
        <v/>
      </c>
      <c r="AF688" s="7" t="str">
        <f>IFERROR(IF([1]对账明细接口!$AB688=0,"",[1]对账明细接口!$AB688),"")</f>
        <v/>
      </c>
      <c r="AG688" s="7" t="str">
        <f>IFERROR(IF([1]对账明细接口!$AC688=0,"",[1]对账明细接口!$AC688),"")</f>
        <v/>
      </c>
      <c r="AH688" s="7" t="str">
        <f>IFERROR(IF([1]对账明细接口!$AD688=0,"",[1]对账明细接口!$AD688),"")</f>
        <v/>
      </c>
      <c r="AI688" s="7" t="str">
        <f>IFERROR(IF([1]对账明细接口!$AE688=0,"",[1]对账明细接口!$AE688),"")</f>
        <v/>
      </c>
      <c r="AJ688" s="7" t="str">
        <f>IFERROR(IF([1]对账明细接口!$AF688=0,"",[1]对账明细接口!$AF688),"")</f>
        <v/>
      </c>
    </row>
    <row r="689" ht="14.25" customHeight="1" spans="1:36">
      <c r="A689" s="14">
        <v>689</v>
      </c>
      <c r="B689" s="15" t="str">
        <f>IFERROR(IF([1]对账明细接口!$B$689=0,"",[1]对账明细接口!$B$689),"")</f>
        <v/>
      </c>
      <c r="C689" s="16" t="str">
        <f>IFERROR(IF([1]对账明细接口!$C$689=0,"",[1]对账明细接口!$C$689),"")</f>
        <v/>
      </c>
      <c r="D689" s="16" t="str">
        <f>IFERROR(IF([1]对账明细接口!$D$689=0,"",[1]对账明细接口!$D$689),"")</f>
        <v/>
      </c>
      <c r="E689" s="16" t="str">
        <f>IFERROR(IF([1]对账明细接口!$E$689=0,"",[1]对账明细接口!$E$689),"")</f>
        <v/>
      </c>
      <c r="F689" s="16" t="str">
        <f>IFERROR(IF([1]对账明细接口!$F$689=0,"",[1]对账明细接口!$F$689),"")</f>
        <v/>
      </c>
      <c r="G689" s="16" t="str">
        <f>IFERROR(IF([1]对账明细接口!$G$689=0,"",[1]对账明细接口!$G$689),"")</f>
        <v/>
      </c>
      <c r="H689" s="17" t="str">
        <f>IFERROR(IF([1]对账明细接口!$H$689=0,"",[1]对账明细接口!$H$689),"")</f>
        <v/>
      </c>
      <c r="I689" s="16" t="str">
        <f>IFERROR(IF([1]对账明细接口!$I$689=0,"",[1]对账明细接口!$I$689),"")</f>
        <v/>
      </c>
      <c r="J689" s="18" t="str">
        <f>IFERROR(IF([1]对账明细接口!$J$689=0,"",[1]对账明细接口!$J$689),"")</f>
        <v/>
      </c>
      <c r="K689" s="18" t="str">
        <f>IFERROR(IF([1]对账明细接口!$K$689=0,"",[1]对账明细接口!$K$689),"")</f>
        <v/>
      </c>
      <c r="L689" s="16" t="str">
        <f>IFERROR(IF([1]对账明细接口!$L$689=0,"",[1]对账明细接口!$L$689),"")</f>
        <v/>
      </c>
      <c r="M689" s="16" t="str">
        <f>IFERROR(IF([1]对账明细接口!$M$689=0,"",[1]对账明细接口!$M$689),"")</f>
        <v/>
      </c>
      <c r="N689" s="19">
        <f t="shared" si="20"/>
        <v>0</v>
      </c>
      <c r="O689" s="19">
        <f t="shared" si="21"/>
        <v>420</v>
      </c>
      <c r="S689" s="20" t="str">
        <f>IFERROR(IF([1]对账明细接口!$N689=0,"",[1]对账明细接口!$N689),"")</f>
        <v/>
      </c>
      <c r="T689" s="21" t="str">
        <f>IFERROR(IF([1]对账明细接口!$O689=0,"",[1]对账明细接口!$O689),"")</f>
        <v/>
      </c>
      <c r="U689" s="21" t="str">
        <f>IFERROR(IF([1]对账明细接口!$P689=0,"",[1]对账明细接口!$P689),"")</f>
        <v/>
      </c>
      <c r="V689" s="21" t="str">
        <f>IFERROR(IF([1]对账明细接口!$Q689=0,"",[1]对账明细接口!$Q689),"")</f>
        <v/>
      </c>
      <c r="W689" s="20" t="str">
        <f>IFERROR(IF([1]对账明细接口!$R689=0,"",[1]对账明细接口!$R689),"")</f>
        <v/>
      </c>
      <c r="X689" s="20" t="str">
        <f>IFERROR(IF([1]对账明细接口!$S689=0,"",[1]对账明细接口!$S689),"")</f>
        <v/>
      </c>
      <c r="Y689" s="20" t="str">
        <f>IFERROR(IF([1]对账明细接口!$T689=0,"",[1]对账明细接口!$T689),"")</f>
        <v/>
      </c>
      <c r="Z689" s="24" t="str">
        <f>IFERROR(IF([1]对账明细接口!$U689=0,"",[1]对账明细接口!$U689),"")</f>
        <v/>
      </c>
      <c r="AA689" s="24" t="str">
        <f>IFERROR(IF([1]对账明细接口!$V689=0,"",[1]对账明细接口!$V689),"")</f>
        <v/>
      </c>
      <c r="AB689" s="20" t="str">
        <f>IFERROR(IF([1]对账明细接口!$W689=0,"",[1]对账明细接口!$W689),"")</f>
        <v/>
      </c>
      <c r="AC689" s="7" t="str">
        <f>IFERROR(IF([1]对账明细接口!$X689=0,"",[1]对账明细接口!$X689),"")</f>
        <v/>
      </c>
      <c r="AD689" s="7" t="str">
        <f>IFERROR(IF([1]对账明细接口!$Y689=0,"",[1]对账明细接口!$Y689),"")</f>
        <v/>
      </c>
      <c r="AE689" s="7" t="str">
        <f>IFERROR(IF([1]对账明细接口!$AA689=0,"",[1]对账明细接口!$AA689),"")</f>
        <v/>
      </c>
      <c r="AF689" s="7" t="str">
        <f>IFERROR(IF([1]对账明细接口!$AB689=0,"",[1]对账明细接口!$AB689),"")</f>
        <v/>
      </c>
      <c r="AG689" s="7" t="str">
        <f>IFERROR(IF([1]对账明细接口!$AC689=0,"",[1]对账明细接口!$AC689),"")</f>
        <v/>
      </c>
      <c r="AH689" s="7" t="str">
        <f>IFERROR(IF([1]对账明细接口!$AD689=0,"",[1]对账明细接口!$AD689),"")</f>
        <v/>
      </c>
      <c r="AI689" s="7" t="str">
        <f>IFERROR(IF([1]对账明细接口!$AE689=0,"",[1]对账明细接口!$AE689),"")</f>
        <v/>
      </c>
      <c r="AJ689" s="7" t="str">
        <f>IFERROR(IF([1]对账明细接口!$AF689=0,"",[1]对账明细接口!$AF689),"")</f>
        <v/>
      </c>
    </row>
    <row r="690" ht="14.25" customHeight="1" spans="1:36">
      <c r="A690" s="14">
        <v>690</v>
      </c>
      <c r="B690" s="15" t="str">
        <f>IFERROR(IF([1]对账明细接口!$B$690=0,"",[1]对账明细接口!$B$690),"")</f>
        <v/>
      </c>
      <c r="C690" s="16" t="str">
        <f>IFERROR(IF([1]对账明细接口!$C$690=0,"",[1]对账明细接口!$C$690),"")</f>
        <v/>
      </c>
      <c r="D690" s="16" t="str">
        <f>IFERROR(IF([1]对账明细接口!$D$690=0,"",[1]对账明细接口!$D$690),"")</f>
        <v/>
      </c>
      <c r="E690" s="16" t="str">
        <f>IFERROR(IF([1]对账明细接口!$E$690=0,"",[1]对账明细接口!$E$690),"")</f>
        <v/>
      </c>
      <c r="F690" s="16" t="str">
        <f>IFERROR(IF([1]对账明细接口!$F$690=0,"",[1]对账明细接口!$F$690),"")</f>
        <v/>
      </c>
      <c r="G690" s="16" t="str">
        <f>IFERROR(IF([1]对账明细接口!$G$690=0,"",[1]对账明细接口!$G$690),"")</f>
        <v/>
      </c>
      <c r="H690" s="17" t="str">
        <f>IFERROR(IF([1]对账明细接口!$H$690=0,"",[1]对账明细接口!$H$690),"")</f>
        <v/>
      </c>
      <c r="I690" s="16" t="str">
        <f>IFERROR(IF([1]对账明细接口!$I$690=0,"",[1]对账明细接口!$I$690),"")</f>
        <v/>
      </c>
      <c r="J690" s="18" t="str">
        <f>IFERROR(IF([1]对账明细接口!$J$690=0,"",[1]对账明细接口!$J$690),"")</f>
        <v/>
      </c>
      <c r="K690" s="18" t="str">
        <f>IFERROR(IF([1]对账明细接口!$K$690=0,"",[1]对账明细接口!$K$690),"")</f>
        <v/>
      </c>
      <c r="L690" s="16" t="str">
        <f>IFERROR(IF([1]对账明细接口!$L$690=0,"",[1]对账明细接口!$L$690),"")</f>
        <v/>
      </c>
      <c r="M690" s="16" t="str">
        <f>IFERROR(IF([1]对账明细接口!$M$690=0,"",[1]对账明细接口!$M$690),"")</f>
        <v/>
      </c>
      <c r="N690" s="19">
        <f t="shared" si="20"/>
        <v>0</v>
      </c>
      <c r="O690" s="19">
        <f t="shared" si="21"/>
        <v>420</v>
      </c>
      <c r="S690" s="20" t="str">
        <f>IFERROR(IF([1]对账明细接口!$N690=0,"",[1]对账明细接口!$N690),"")</f>
        <v/>
      </c>
      <c r="T690" s="21" t="str">
        <f>IFERROR(IF([1]对账明细接口!$O690=0,"",[1]对账明细接口!$O690),"")</f>
        <v/>
      </c>
      <c r="U690" s="21" t="str">
        <f>IFERROR(IF([1]对账明细接口!$P690=0,"",[1]对账明细接口!$P690),"")</f>
        <v/>
      </c>
      <c r="V690" s="21" t="str">
        <f>IFERROR(IF([1]对账明细接口!$Q690=0,"",[1]对账明细接口!$Q690),"")</f>
        <v/>
      </c>
      <c r="W690" s="20" t="str">
        <f>IFERROR(IF([1]对账明细接口!$R690=0,"",[1]对账明细接口!$R690),"")</f>
        <v/>
      </c>
      <c r="X690" s="20" t="str">
        <f>IFERROR(IF([1]对账明细接口!$S690=0,"",[1]对账明细接口!$S690),"")</f>
        <v/>
      </c>
      <c r="Y690" s="20" t="str">
        <f>IFERROR(IF([1]对账明细接口!$T690=0,"",[1]对账明细接口!$T690),"")</f>
        <v/>
      </c>
      <c r="Z690" s="24" t="str">
        <f>IFERROR(IF([1]对账明细接口!$U690=0,"",[1]对账明细接口!$U690),"")</f>
        <v/>
      </c>
      <c r="AA690" s="24" t="str">
        <f>IFERROR(IF([1]对账明细接口!$V690=0,"",[1]对账明细接口!$V690),"")</f>
        <v/>
      </c>
      <c r="AB690" s="20" t="str">
        <f>IFERROR(IF([1]对账明细接口!$W690=0,"",[1]对账明细接口!$W690),"")</f>
        <v/>
      </c>
      <c r="AC690" s="7" t="str">
        <f>IFERROR(IF([1]对账明细接口!$X690=0,"",[1]对账明细接口!$X690),"")</f>
        <v/>
      </c>
      <c r="AD690" s="7" t="str">
        <f>IFERROR(IF([1]对账明细接口!$Y690=0,"",[1]对账明细接口!$Y690),"")</f>
        <v/>
      </c>
      <c r="AE690" s="7" t="str">
        <f>IFERROR(IF([1]对账明细接口!$AA690=0,"",[1]对账明细接口!$AA690),"")</f>
        <v/>
      </c>
      <c r="AF690" s="7" t="str">
        <f>IFERROR(IF([1]对账明细接口!$AB690=0,"",[1]对账明细接口!$AB690),"")</f>
        <v/>
      </c>
      <c r="AG690" s="7" t="str">
        <f>IFERROR(IF([1]对账明细接口!$AC690=0,"",[1]对账明细接口!$AC690),"")</f>
        <v/>
      </c>
      <c r="AH690" s="7" t="str">
        <f>IFERROR(IF([1]对账明细接口!$AD690=0,"",[1]对账明细接口!$AD690),"")</f>
        <v/>
      </c>
      <c r="AI690" s="7" t="str">
        <f>IFERROR(IF([1]对账明细接口!$AE690=0,"",[1]对账明细接口!$AE690),"")</f>
        <v/>
      </c>
      <c r="AJ690" s="7" t="str">
        <f>IFERROR(IF([1]对账明细接口!$AF690=0,"",[1]对账明细接口!$AF690),"")</f>
        <v/>
      </c>
    </row>
    <row r="691" ht="14.25" customHeight="1" spans="1:36">
      <c r="A691" s="14">
        <v>691</v>
      </c>
      <c r="B691" s="15" t="str">
        <f>IFERROR(IF([1]对账明细接口!$B$691=0,"",[1]对账明细接口!$B$691),"")</f>
        <v/>
      </c>
      <c r="C691" s="16" t="str">
        <f>IFERROR(IF([1]对账明细接口!$C$691=0,"",[1]对账明细接口!$C$691),"")</f>
        <v/>
      </c>
      <c r="D691" s="16" t="str">
        <f>IFERROR(IF([1]对账明细接口!$D$691=0,"",[1]对账明细接口!$D$691),"")</f>
        <v/>
      </c>
      <c r="E691" s="16" t="str">
        <f>IFERROR(IF([1]对账明细接口!$E$691=0,"",[1]对账明细接口!$E$691),"")</f>
        <v/>
      </c>
      <c r="F691" s="16" t="str">
        <f>IFERROR(IF([1]对账明细接口!$F$691=0,"",[1]对账明细接口!$F$691),"")</f>
        <v/>
      </c>
      <c r="G691" s="16" t="str">
        <f>IFERROR(IF([1]对账明细接口!$G$691=0,"",[1]对账明细接口!$G$691),"")</f>
        <v/>
      </c>
      <c r="H691" s="17" t="str">
        <f>IFERROR(IF([1]对账明细接口!$H$691=0,"",[1]对账明细接口!$H$691),"")</f>
        <v/>
      </c>
      <c r="I691" s="16" t="str">
        <f>IFERROR(IF([1]对账明细接口!$I$691=0,"",[1]对账明细接口!$I$691),"")</f>
        <v/>
      </c>
      <c r="J691" s="18" t="str">
        <f>IFERROR(IF([1]对账明细接口!$J$691=0,"",[1]对账明细接口!$J$691),"")</f>
        <v/>
      </c>
      <c r="K691" s="18" t="str">
        <f>IFERROR(IF([1]对账明细接口!$K$691=0,"",[1]对账明细接口!$K$691),"")</f>
        <v/>
      </c>
      <c r="L691" s="16" t="str">
        <f>IFERROR(IF([1]对账明细接口!$L$691=0,"",[1]对账明细接口!$L$691),"")</f>
        <v/>
      </c>
      <c r="M691" s="16" t="str">
        <f>IFERROR(IF([1]对账明细接口!$M$691=0,"",[1]对账明细接口!$M$691),"")</f>
        <v/>
      </c>
      <c r="N691" s="19">
        <f t="shared" si="20"/>
        <v>0</v>
      </c>
      <c r="O691" s="19">
        <f t="shared" si="21"/>
        <v>420</v>
      </c>
      <c r="S691" s="20" t="str">
        <f>IFERROR(IF([1]对账明细接口!$N691=0,"",[1]对账明细接口!$N691),"")</f>
        <v/>
      </c>
      <c r="T691" s="21" t="str">
        <f>IFERROR(IF([1]对账明细接口!$O691=0,"",[1]对账明细接口!$O691),"")</f>
        <v/>
      </c>
      <c r="U691" s="21" t="str">
        <f>IFERROR(IF([1]对账明细接口!$P691=0,"",[1]对账明细接口!$P691),"")</f>
        <v/>
      </c>
      <c r="V691" s="21" t="str">
        <f>IFERROR(IF([1]对账明细接口!$Q691=0,"",[1]对账明细接口!$Q691),"")</f>
        <v/>
      </c>
      <c r="W691" s="20" t="str">
        <f>IFERROR(IF([1]对账明细接口!$R691=0,"",[1]对账明细接口!$R691),"")</f>
        <v/>
      </c>
      <c r="X691" s="20" t="str">
        <f>IFERROR(IF([1]对账明细接口!$S691=0,"",[1]对账明细接口!$S691),"")</f>
        <v/>
      </c>
      <c r="Y691" s="20" t="str">
        <f>IFERROR(IF([1]对账明细接口!$T691=0,"",[1]对账明细接口!$T691),"")</f>
        <v/>
      </c>
      <c r="Z691" s="24" t="str">
        <f>IFERROR(IF([1]对账明细接口!$U691=0,"",[1]对账明细接口!$U691),"")</f>
        <v/>
      </c>
      <c r="AA691" s="24" t="str">
        <f>IFERROR(IF([1]对账明细接口!$V691=0,"",[1]对账明细接口!$V691),"")</f>
        <v/>
      </c>
      <c r="AB691" s="20" t="str">
        <f>IFERROR(IF([1]对账明细接口!$W691=0,"",[1]对账明细接口!$W691),"")</f>
        <v/>
      </c>
      <c r="AC691" s="7" t="str">
        <f>IFERROR(IF([1]对账明细接口!$X691=0,"",[1]对账明细接口!$X691),"")</f>
        <v/>
      </c>
      <c r="AD691" s="7" t="str">
        <f>IFERROR(IF([1]对账明细接口!$Y691=0,"",[1]对账明细接口!$Y691),"")</f>
        <v/>
      </c>
      <c r="AE691" s="7" t="str">
        <f>IFERROR(IF([1]对账明细接口!$AA691=0,"",[1]对账明细接口!$AA691),"")</f>
        <v/>
      </c>
      <c r="AF691" s="7" t="str">
        <f>IFERROR(IF([1]对账明细接口!$AB691=0,"",[1]对账明细接口!$AB691),"")</f>
        <v/>
      </c>
      <c r="AG691" s="7" t="str">
        <f>IFERROR(IF([1]对账明细接口!$AC691=0,"",[1]对账明细接口!$AC691),"")</f>
        <v/>
      </c>
      <c r="AH691" s="7" t="str">
        <f>IFERROR(IF([1]对账明细接口!$AD691=0,"",[1]对账明细接口!$AD691),"")</f>
        <v/>
      </c>
      <c r="AI691" s="7" t="str">
        <f>IFERROR(IF([1]对账明细接口!$AE691=0,"",[1]对账明细接口!$AE691),"")</f>
        <v/>
      </c>
      <c r="AJ691" s="7" t="str">
        <f>IFERROR(IF([1]对账明细接口!$AF691=0,"",[1]对账明细接口!$AF691),"")</f>
        <v/>
      </c>
    </row>
    <row r="692" ht="14.25" customHeight="1" spans="1:36">
      <c r="A692" s="14">
        <v>692</v>
      </c>
      <c r="B692" s="15" t="str">
        <f>IFERROR(IF([1]对账明细接口!$B$692=0,"",[1]对账明细接口!$B$692),"")</f>
        <v/>
      </c>
      <c r="C692" s="16" t="str">
        <f>IFERROR(IF([1]对账明细接口!$C$692=0,"",[1]对账明细接口!$C$692),"")</f>
        <v/>
      </c>
      <c r="D692" s="16" t="str">
        <f>IFERROR(IF([1]对账明细接口!$D$692=0,"",[1]对账明细接口!$D$692),"")</f>
        <v/>
      </c>
      <c r="E692" s="16" t="str">
        <f>IFERROR(IF([1]对账明细接口!$E$692=0,"",[1]对账明细接口!$E$692),"")</f>
        <v/>
      </c>
      <c r="F692" s="16" t="str">
        <f>IFERROR(IF([1]对账明细接口!$F$692=0,"",[1]对账明细接口!$F$692),"")</f>
        <v/>
      </c>
      <c r="G692" s="16" t="str">
        <f>IFERROR(IF([1]对账明细接口!$G$692=0,"",[1]对账明细接口!$G$692),"")</f>
        <v/>
      </c>
      <c r="H692" s="17" t="str">
        <f>IFERROR(IF([1]对账明细接口!$H$692=0,"",[1]对账明细接口!$H$692),"")</f>
        <v/>
      </c>
      <c r="I692" s="16" t="str">
        <f>IFERROR(IF([1]对账明细接口!$I$692=0,"",[1]对账明细接口!$I$692),"")</f>
        <v/>
      </c>
      <c r="J692" s="18" t="str">
        <f>IFERROR(IF([1]对账明细接口!$J$692=0,"",[1]对账明细接口!$J$692),"")</f>
        <v/>
      </c>
      <c r="K692" s="18" t="str">
        <f>IFERROR(IF([1]对账明细接口!$K$692=0,"",[1]对账明细接口!$K$692),"")</f>
        <v/>
      </c>
      <c r="L692" s="16" t="str">
        <f>IFERROR(IF([1]对账明细接口!$L$692=0,"",[1]对账明细接口!$L$692),"")</f>
        <v/>
      </c>
      <c r="M692" s="16" t="str">
        <f>IFERROR(IF([1]对账明细接口!$M$692=0,"",[1]对账明细接口!$M$692),"")</f>
        <v/>
      </c>
      <c r="N692" s="19">
        <f t="shared" si="20"/>
        <v>0</v>
      </c>
      <c r="O692" s="19">
        <f t="shared" si="21"/>
        <v>420</v>
      </c>
      <c r="S692" s="20" t="str">
        <f>IFERROR(IF([1]对账明细接口!$N692=0,"",[1]对账明细接口!$N692),"")</f>
        <v/>
      </c>
      <c r="T692" s="21" t="str">
        <f>IFERROR(IF([1]对账明细接口!$O692=0,"",[1]对账明细接口!$O692),"")</f>
        <v/>
      </c>
      <c r="U692" s="21" t="str">
        <f>IFERROR(IF([1]对账明细接口!$P692=0,"",[1]对账明细接口!$P692),"")</f>
        <v/>
      </c>
      <c r="V692" s="21" t="str">
        <f>IFERROR(IF([1]对账明细接口!$Q692=0,"",[1]对账明细接口!$Q692),"")</f>
        <v/>
      </c>
      <c r="W692" s="20" t="str">
        <f>IFERROR(IF([1]对账明细接口!$R692=0,"",[1]对账明细接口!$R692),"")</f>
        <v/>
      </c>
      <c r="X692" s="20" t="str">
        <f>IFERROR(IF([1]对账明细接口!$S692=0,"",[1]对账明细接口!$S692),"")</f>
        <v/>
      </c>
      <c r="Y692" s="20" t="str">
        <f>IFERROR(IF([1]对账明细接口!$T692=0,"",[1]对账明细接口!$T692),"")</f>
        <v/>
      </c>
      <c r="Z692" s="24" t="str">
        <f>IFERROR(IF([1]对账明细接口!$U692=0,"",[1]对账明细接口!$U692),"")</f>
        <v/>
      </c>
      <c r="AA692" s="24" t="str">
        <f>IFERROR(IF([1]对账明细接口!$V692=0,"",[1]对账明细接口!$V692),"")</f>
        <v/>
      </c>
      <c r="AB692" s="20" t="str">
        <f>IFERROR(IF([1]对账明细接口!$W692=0,"",[1]对账明细接口!$W692),"")</f>
        <v/>
      </c>
      <c r="AC692" s="7" t="str">
        <f>IFERROR(IF([1]对账明细接口!$X692=0,"",[1]对账明细接口!$X692),"")</f>
        <v/>
      </c>
      <c r="AD692" s="7" t="str">
        <f>IFERROR(IF([1]对账明细接口!$Y692=0,"",[1]对账明细接口!$Y692),"")</f>
        <v/>
      </c>
      <c r="AE692" s="7" t="str">
        <f>IFERROR(IF([1]对账明细接口!$AA692=0,"",[1]对账明细接口!$AA692),"")</f>
        <v/>
      </c>
      <c r="AF692" s="7" t="str">
        <f>IFERROR(IF([1]对账明细接口!$AB692=0,"",[1]对账明细接口!$AB692),"")</f>
        <v/>
      </c>
      <c r="AG692" s="7" t="str">
        <f>IFERROR(IF([1]对账明细接口!$AC692=0,"",[1]对账明细接口!$AC692),"")</f>
        <v/>
      </c>
      <c r="AH692" s="7" t="str">
        <f>IFERROR(IF([1]对账明细接口!$AD692=0,"",[1]对账明细接口!$AD692),"")</f>
        <v/>
      </c>
      <c r="AI692" s="7" t="str">
        <f>IFERROR(IF([1]对账明细接口!$AE692=0,"",[1]对账明细接口!$AE692),"")</f>
        <v/>
      </c>
      <c r="AJ692" s="7" t="str">
        <f>IFERROR(IF([1]对账明细接口!$AF692=0,"",[1]对账明细接口!$AF692),"")</f>
        <v/>
      </c>
    </row>
    <row r="693" ht="14.25" customHeight="1" spans="1:36">
      <c r="A693" s="14">
        <v>693</v>
      </c>
      <c r="B693" s="15" t="str">
        <f>IFERROR(IF([1]对账明细接口!$B$693=0,"",[1]对账明细接口!$B$693),"")</f>
        <v/>
      </c>
      <c r="C693" s="16" t="str">
        <f>IFERROR(IF([1]对账明细接口!$C$693=0,"",[1]对账明细接口!$C$693),"")</f>
        <v/>
      </c>
      <c r="D693" s="16" t="str">
        <f>IFERROR(IF([1]对账明细接口!$D$693=0,"",[1]对账明细接口!$D$693),"")</f>
        <v/>
      </c>
      <c r="E693" s="16" t="str">
        <f>IFERROR(IF([1]对账明细接口!$E$693=0,"",[1]对账明细接口!$E$693),"")</f>
        <v/>
      </c>
      <c r="F693" s="16" t="str">
        <f>IFERROR(IF([1]对账明细接口!$F$693=0,"",[1]对账明细接口!$F$693),"")</f>
        <v/>
      </c>
      <c r="G693" s="16" t="str">
        <f>IFERROR(IF([1]对账明细接口!$G$693=0,"",[1]对账明细接口!$G$693),"")</f>
        <v/>
      </c>
      <c r="H693" s="17" t="str">
        <f>IFERROR(IF([1]对账明细接口!$H$693=0,"",[1]对账明细接口!$H$693),"")</f>
        <v/>
      </c>
      <c r="I693" s="16" t="str">
        <f>IFERROR(IF([1]对账明细接口!$I$693=0,"",[1]对账明细接口!$I$693),"")</f>
        <v/>
      </c>
      <c r="J693" s="18" t="str">
        <f>IFERROR(IF([1]对账明细接口!$J$693=0,"",[1]对账明细接口!$J$693),"")</f>
        <v/>
      </c>
      <c r="K693" s="18" t="str">
        <f>IFERROR(IF([1]对账明细接口!$K$693=0,"",[1]对账明细接口!$K$693),"")</f>
        <v/>
      </c>
      <c r="L693" s="16" t="str">
        <f>IFERROR(IF([1]对账明细接口!$L$693=0,"",[1]对账明细接口!$L$693),"")</f>
        <v/>
      </c>
      <c r="M693" s="16" t="str">
        <f>IFERROR(IF([1]对账明细接口!$M$693=0,"",[1]对账明细接口!$M$693),"")</f>
        <v/>
      </c>
      <c r="N693" s="19">
        <f t="shared" si="20"/>
        <v>0</v>
      </c>
      <c r="O693" s="19">
        <f t="shared" si="21"/>
        <v>420</v>
      </c>
      <c r="S693" s="20" t="str">
        <f>IFERROR(IF([1]对账明细接口!$N693=0,"",[1]对账明细接口!$N693),"")</f>
        <v/>
      </c>
      <c r="T693" s="21" t="str">
        <f>IFERROR(IF([1]对账明细接口!$O693=0,"",[1]对账明细接口!$O693),"")</f>
        <v/>
      </c>
      <c r="U693" s="21" t="str">
        <f>IFERROR(IF([1]对账明细接口!$P693=0,"",[1]对账明细接口!$P693),"")</f>
        <v/>
      </c>
      <c r="V693" s="21" t="str">
        <f>IFERROR(IF([1]对账明细接口!$Q693=0,"",[1]对账明细接口!$Q693),"")</f>
        <v/>
      </c>
      <c r="W693" s="20" t="str">
        <f>IFERROR(IF([1]对账明细接口!$R693=0,"",[1]对账明细接口!$R693),"")</f>
        <v/>
      </c>
      <c r="X693" s="20" t="str">
        <f>IFERROR(IF([1]对账明细接口!$S693=0,"",[1]对账明细接口!$S693),"")</f>
        <v/>
      </c>
      <c r="Y693" s="20" t="str">
        <f>IFERROR(IF([1]对账明细接口!$T693=0,"",[1]对账明细接口!$T693),"")</f>
        <v/>
      </c>
      <c r="Z693" s="24" t="str">
        <f>IFERROR(IF([1]对账明细接口!$U693=0,"",[1]对账明细接口!$U693),"")</f>
        <v/>
      </c>
      <c r="AA693" s="24" t="str">
        <f>IFERROR(IF([1]对账明细接口!$V693=0,"",[1]对账明细接口!$V693),"")</f>
        <v/>
      </c>
      <c r="AB693" s="20" t="str">
        <f>IFERROR(IF([1]对账明细接口!$W693=0,"",[1]对账明细接口!$W693),"")</f>
        <v/>
      </c>
      <c r="AC693" s="7" t="str">
        <f>IFERROR(IF([1]对账明细接口!$X693=0,"",[1]对账明细接口!$X693),"")</f>
        <v/>
      </c>
      <c r="AD693" s="7" t="str">
        <f>IFERROR(IF([1]对账明细接口!$Y693=0,"",[1]对账明细接口!$Y693),"")</f>
        <v/>
      </c>
      <c r="AE693" s="7" t="str">
        <f>IFERROR(IF([1]对账明细接口!$AA693=0,"",[1]对账明细接口!$AA693),"")</f>
        <v/>
      </c>
      <c r="AF693" s="7" t="str">
        <f>IFERROR(IF([1]对账明细接口!$AB693=0,"",[1]对账明细接口!$AB693),"")</f>
        <v/>
      </c>
      <c r="AG693" s="7" t="str">
        <f>IFERROR(IF([1]对账明细接口!$AC693=0,"",[1]对账明细接口!$AC693),"")</f>
        <v/>
      </c>
      <c r="AH693" s="7" t="str">
        <f>IFERROR(IF([1]对账明细接口!$AD693=0,"",[1]对账明细接口!$AD693),"")</f>
        <v/>
      </c>
      <c r="AI693" s="7" t="str">
        <f>IFERROR(IF([1]对账明细接口!$AE693=0,"",[1]对账明细接口!$AE693),"")</f>
        <v/>
      </c>
      <c r="AJ693" s="7" t="str">
        <f>IFERROR(IF([1]对账明细接口!$AF693=0,"",[1]对账明细接口!$AF693),"")</f>
        <v/>
      </c>
    </row>
    <row r="694" ht="14.25" customHeight="1" spans="1:36">
      <c r="A694" s="14">
        <v>694</v>
      </c>
      <c r="B694" s="15" t="str">
        <f>IFERROR(IF([1]对账明细接口!$B$694=0,"",[1]对账明细接口!$B$694),"")</f>
        <v/>
      </c>
      <c r="C694" s="16" t="str">
        <f>IFERROR(IF([1]对账明细接口!$C$694=0,"",[1]对账明细接口!$C$694),"")</f>
        <v/>
      </c>
      <c r="D694" s="16" t="str">
        <f>IFERROR(IF([1]对账明细接口!$D$694=0,"",[1]对账明细接口!$D$694),"")</f>
        <v/>
      </c>
      <c r="E694" s="16" t="str">
        <f>IFERROR(IF([1]对账明细接口!$E$694=0,"",[1]对账明细接口!$E$694),"")</f>
        <v/>
      </c>
      <c r="F694" s="16" t="str">
        <f>IFERROR(IF([1]对账明细接口!$F$694=0,"",[1]对账明细接口!$F$694),"")</f>
        <v/>
      </c>
      <c r="G694" s="16" t="str">
        <f>IFERROR(IF([1]对账明细接口!$G$694=0,"",[1]对账明细接口!$G$694),"")</f>
        <v/>
      </c>
      <c r="H694" s="17" t="str">
        <f>IFERROR(IF([1]对账明细接口!$H$694=0,"",[1]对账明细接口!$H$694),"")</f>
        <v/>
      </c>
      <c r="I694" s="16" t="str">
        <f>IFERROR(IF([1]对账明细接口!$I$694=0,"",[1]对账明细接口!$I$694),"")</f>
        <v/>
      </c>
      <c r="J694" s="18" t="str">
        <f>IFERROR(IF([1]对账明细接口!$J$694=0,"",[1]对账明细接口!$J$694),"")</f>
        <v/>
      </c>
      <c r="K694" s="18" t="str">
        <f>IFERROR(IF([1]对账明细接口!$K$694=0,"",[1]对账明细接口!$K$694),"")</f>
        <v/>
      </c>
      <c r="L694" s="16" t="str">
        <f>IFERROR(IF([1]对账明细接口!$L$694=0,"",[1]对账明细接口!$L$694),"")</f>
        <v/>
      </c>
      <c r="M694" s="16" t="str">
        <f>IFERROR(IF([1]对账明细接口!$M$694=0,"",[1]对账明细接口!$M$694),"")</f>
        <v/>
      </c>
      <c r="N694" s="19">
        <f t="shared" si="20"/>
        <v>0</v>
      </c>
      <c r="O694" s="19">
        <f t="shared" si="21"/>
        <v>420</v>
      </c>
      <c r="S694" s="20" t="str">
        <f>IFERROR(IF([1]对账明细接口!$N694=0,"",[1]对账明细接口!$N694),"")</f>
        <v/>
      </c>
      <c r="T694" s="21" t="str">
        <f>IFERROR(IF([1]对账明细接口!$O694=0,"",[1]对账明细接口!$O694),"")</f>
        <v/>
      </c>
      <c r="U694" s="21" t="str">
        <f>IFERROR(IF([1]对账明细接口!$P694=0,"",[1]对账明细接口!$P694),"")</f>
        <v/>
      </c>
      <c r="V694" s="21" t="str">
        <f>IFERROR(IF([1]对账明细接口!$Q694=0,"",[1]对账明细接口!$Q694),"")</f>
        <v/>
      </c>
      <c r="W694" s="20" t="str">
        <f>IFERROR(IF([1]对账明细接口!$R694=0,"",[1]对账明细接口!$R694),"")</f>
        <v/>
      </c>
      <c r="X694" s="20" t="str">
        <f>IFERROR(IF([1]对账明细接口!$S694=0,"",[1]对账明细接口!$S694),"")</f>
        <v/>
      </c>
      <c r="Y694" s="20" t="str">
        <f>IFERROR(IF([1]对账明细接口!$T694=0,"",[1]对账明细接口!$T694),"")</f>
        <v/>
      </c>
      <c r="Z694" s="24" t="str">
        <f>IFERROR(IF([1]对账明细接口!$U694=0,"",[1]对账明细接口!$U694),"")</f>
        <v/>
      </c>
      <c r="AA694" s="24" t="str">
        <f>IFERROR(IF([1]对账明细接口!$V694=0,"",[1]对账明细接口!$V694),"")</f>
        <v/>
      </c>
      <c r="AB694" s="20" t="str">
        <f>IFERROR(IF([1]对账明细接口!$W694=0,"",[1]对账明细接口!$W694),"")</f>
        <v/>
      </c>
      <c r="AC694" s="7" t="str">
        <f>IFERROR(IF([1]对账明细接口!$X694=0,"",[1]对账明细接口!$X694),"")</f>
        <v/>
      </c>
      <c r="AD694" s="7" t="str">
        <f>IFERROR(IF([1]对账明细接口!$Y694=0,"",[1]对账明细接口!$Y694),"")</f>
        <v/>
      </c>
      <c r="AE694" s="7" t="str">
        <f>IFERROR(IF([1]对账明细接口!$AA694=0,"",[1]对账明细接口!$AA694),"")</f>
        <v/>
      </c>
      <c r="AF694" s="7" t="str">
        <f>IFERROR(IF([1]对账明细接口!$AB694=0,"",[1]对账明细接口!$AB694),"")</f>
        <v/>
      </c>
      <c r="AG694" s="7" t="str">
        <f>IFERROR(IF([1]对账明细接口!$AC694=0,"",[1]对账明细接口!$AC694),"")</f>
        <v/>
      </c>
      <c r="AH694" s="7" t="str">
        <f>IFERROR(IF([1]对账明细接口!$AD694=0,"",[1]对账明细接口!$AD694),"")</f>
        <v/>
      </c>
      <c r="AI694" s="7" t="str">
        <f>IFERROR(IF([1]对账明细接口!$AE694=0,"",[1]对账明细接口!$AE694),"")</f>
        <v/>
      </c>
      <c r="AJ694" s="7" t="str">
        <f>IFERROR(IF([1]对账明细接口!$AF694=0,"",[1]对账明细接口!$AF694),"")</f>
        <v/>
      </c>
    </row>
    <row r="695" ht="14.25" customHeight="1" spans="1:36">
      <c r="A695" s="14">
        <v>695</v>
      </c>
      <c r="B695" s="15" t="str">
        <f>IFERROR(IF([1]对账明细接口!$B$695=0,"",[1]对账明细接口!$B$695),"")</f>
        <v/>
      </c>
      <c r="C695" s="16" t="str">
        <f>IFERROR(IF([1]对账明细接口!$C$695=0,"",[1]对账明细接口!$C$695),"")</f>
        <v/>
      </c>
      <c r="D695" s="16" t="str">
        <f>IFERROR(IF([1]对账明细接口!$D$695=0,"",[1]对账明细接口!$D$695),"")</f>
        <v/>
      </c>
      <c r="E695" s="16" t="str">
        <f>IFERROR(IF([1]对账明细接口!$E$695=0,"",[1]对账明细接口!$E$695),"")</f>
        <v/>
      </c>
      <c r="F695" s="16" t="str">
        <f>IFERROR(IF([1]对账明细接口!$F$695=0,"",[1]对账明细接口!$F$695),"")</f>
        <v/>
      </c>
      <c r="G695" s="16" t="str">
        <f>IFERROR(IF([1]对账明细接口!$G$695=0,"",[1]对账明细接口!$G$695),"")</f>
        <v/>
      </c>
      <c r="H695" s="17" t="str">
        <f>IFERROR(IF([1]对账明细接口!$H$695=0,"",[1]对账明细接口!$H$695),"")</f>
        <v/>
      </c>
      <c r="I695" s="16" t="str">
        <f>IFERROR(IF([1]对账明细接口!$I$695=0,"",[1]对账明细接口!$I$695),"")</f>
        <v/>
      </c>
      <c r="J695" s="18" t="str">
        <f>IFERROR(IF([1]对账明细接口!$J$695=0,"",[1]对账明细接口!$J$695),"")</f>
        <v/>
      </c>
      <c r="K695" s="18" t="str">
        <f>IFERROR(IF([1]对账明细接口!$K$695=0,"",[1]对账明细接口!$K$695),"")</f>
        <v/>
      </c>
      <c r="L695" s="16" t="str">
        <f>IFERROR(IF([1]对账明细接口!$L$695=0,"",[1]对账明细接口!$L$695),"")</f>
        <v/>
      </c>
      <c r="M695" s="16" t="str">
        <f>IFERROR(IF([1]对账明细接口!$M$695=0,"",[1]对账明细接口!$M$695),"")</f>
        <v/>
      </c>
      <c r="N695" s="19">
        <f t="shared" si="20"/>
        <v>0</v>
      </c>
      <c r="O695" s="19">
        <f t="shared" si="21"/>
        <v>420</v>
      </c>
      <c r="S695" s="20" t="str">
        <f>IFERROR(IF([1]对账明细接口!$N695=0,"",[1]对账明细接口!$N695),"")</f>
        <v/>
      </c>
      <c r="T695" s="21" t="str">
        <f>IFERROR(IF([1]对账明细接口!$O695=0,"",[1]对账明细接口!$O695),"")</f>
        <v/>
      </c>
      <c r="U695" s="21" t="str">
        <f>IFERROR(IF([1]对账明细接口!$P695=0,"",[1]对账明细接口!$P695),"")</f>
        <v/>
      </c>
      <c r="V695" s="21" t="str">
        <f>IFERROR(IF([1]对账明细接口!$Q695=0,"",[1]对账明细接口!$Q695),"")</f>
        <v/>
      </c>
      <c r="W695" s="20" t="str">
        <f>IFERROR(IF([1]对账明细接口!$R695=0,"",[1]对账明细接口!$R695),"")</f>
        <v/>
      </c>
      <c r="X695" s="20" t="str">
        <f>IFERROR(IF([1]对账明细接口!$S695=0,"",[1]对账明细接口!$S695),"")</f>
        <v/>
      </c>
      <c r="Y695" s="20" t="str">
        <f>IFERROR(IF([1]对账明细接口!$T695=0,"",[1]对账明细接口!$T695),"")</f>
        <v/>
      </c>
      <c r="Z695" s="24" t="str">
        <f>IFERROR(IF([1]对账明细接口!$U695=0,"",[1]对账明细接口!$U695),"")</f>
        <v/>
      </c>
      <c r="AA695" s="24" t="str">
        <f>IFERROR(IF([1]对账明细接口!$V695=0,"",[1]对账明细接口!$V695),"")</f>
        <v/>
      </c>
      <c r="AB695" s="20" t="str">
        <f>IFERROR(IF([1]对账明细接口!$W695=0,"",[1]对账明细接口!$W695),"")</f>
        <v/>
      </c>
      <c r="AC695" s="7" t="str">
        <f>IFERROR(IF([1]对账明细接口!$X695=0,"",[1]对账明细接口!$X695),"")</f>
        <v/>
      </c>
      <c r="AD695" s="7" t="str">
        <f>IFERROR(IF([1]对账明细接口!$Y695=0,"",[1]对账明细接口!$Y695),"")</f>
        <v/>
      </c>
      <c r="AE695" s="7" t="str">
        <f>IFERROR(IF([1]对账明细接口!$AA695=0,"",[1]对账明细接口!$AA695),"")</f>
        <v/>
      </c>
      <c r="AF695" s="7" t="str">
        <f>IFERROR(IF([1]对账明细接口!$AB695=0,"",[1]对账明细接口!$AB695),"")</f>
        <v/>
      </c>
      <c r="AG695" s="7" t="str">
        <f>IFERROR(IF([1]对账明细接口!$AC695=0,"",[1]对账明细接口!$AC695),"")</f>
        <v/>
      </c>
      <c r="AH695" s="7" t="str">
        <f>IFERROR(IF([1]对账明细接口!$AD695=0,"",[1]对账明细接口!$AD695),"")</f>
        <v/>
      </c>
      <c r="AI695" s="7" t="str">
        <f>IFERROR(IF([1]对账明细接口!$AE695=0,"",[1]对账明细接口!$AE695),"")</f>
        <v/>
      </c>
      <c r="AJ695" s="7" t="str">
        <f>IFERROR(IF([1]对账明细接口!$AF695=0,"",[1]对账明细接口!$AF695),"")</f>
        <v/>
      </c>
    </row>
    <row r="696" ht="14.25" customHeight="1" spans="1:36">
      <c r="A696" s="14">
        <v>696</v>
      </c>
      <c r="B696" s="15" t="str">
        <f>IFERROR(IF([1]对账明细接口!$B$696=0,"",[1]对账明细接口!$B$696),"")</f>
        <v/>
      </c>
      <c r="C696" s="16" t="str">
        <f>IFERROR(IF([1]对账明细接口!$C$696=0,"",[1]对账明细接口!$C$696),"")</f>
        <v/>
      </c>
      <c r="D696" s="16" t="str">
        <f>IFERROR(IF([1]对账明细接口!$D$696=0,"",[1]对账明细接口!$D$696),"")</f>
        <v/>
      </c>
      <c r="E696" s="16" t="str">
        <f>IFERROR(IF([1]对账明细接口!$E$696=0,"",[1]对账明细接口!$E$696),"")</f>
        <v/>
      </c>
      <c r="F696" s="16" t="str">
        <f>IFERROR(IF([1]对账明细接口!$F$696=0,"",[1]对账明细接口!$F$696),"")</f>
        <v/>
      </c>
      <c r="G696" s="16" t="str">
        <f>IFERROR(IF([1]对账明细接口!$G$696=0,"",[1]对账明细接口!$G$696),"")</f>
        <v/>
      </c>
      <c r="H696" s="17" t="str">
        <f>IFERROR(IF([1]对账明细接口!$H$696=0,"",[1]对账明细接口!$H$696),"")</f>
        <v/>
      </c>
      <c r="I696" s="16" t="str">
        <f>IFERROR(IF([1]对账明细接口!$I$696=0,"",[1]对账明细接口!$I$696),"")</f>
        <v/>
      </c>
      <c r="J696" s="18" t="str">
        <f>IFERROR(IF([1]对账明细接口!$J$696=0,"",[1]对账明细接口!$J$696),"")</f>
        <v/>
      </c>
      <c r="K696" s="18" t="str">
        <f>IFERROR(IF([1]对账明细接口!$K$696=0,"",[1]对账明细接口!$K$696),"")</f>
        <v/>
      </c>
      <c r="L696" s="16" t="str">
        <f>IFERROR(IF([1]对账明细接口!$L$696=0,"",[1]对账明细接口!$L$696),"")</f>
        <v/>
      </c>
      <c r="M696" s="16" t="str">
        <f>IFERROR(IF([1]对账明细接口!$M$696=0,"",[1]对账明细接口!$M$696),"")</f>
        <v/>
      </c>
      <c r="N696" s="19">
        <f t="shared" si="20"/>
        <v>0</v>
      </c>
      <c r="O696" s="19">
        <f t="shared" si="21"/>
        <v>420</v>
      </c>
      <c r="S696" s="20" t="str">
        <f>IFERROR(IF([1]对账明细接口!$N696=0,"",[1]对账明细接口!$N696),"")</f>
        <v/>
      </c>
      <c r="T696" s="21" t="str">
        <f>IFERROR(IF([1]对账明细接口!$O696=0,"",[1]对账明细接口!$O696),"")</f>
        <v/>
      </c>
      <c r="U696" s="21" t="str">
        <f>IFERROR(IF([1]对账明细接口!$P696=0,"",[1]对账明细接口!$P696),"")</f>
        <v/>
      </c>
      <c r="V696" s="21" t="str">
        <f>IFERROR(IF([1]对账明细接口!$Q696=0,"",[1]对账明细接口!$Q696),"")</f>
        <v/>
      </c>
      <c r="W696" s="20" t="str">
        <f>IFERROR(IF([1]对账明细接口!$R696=0,"",[1]对账明细接口!$R696),"")</f>
        <v/>
      </c>
      <c r="X696" s="20" t="str">
        <f>IFERROR(IF([1]对账明细接口!$S696=0,"",[1]对账明细接口!$S696),"")</f>
        <v/>
      </c>
      <c r="Y696" s="20" t="str">
        <f>IFERROR(IF([1]对账明细接口!$T696=0,"",[1]对账明细接口!$T696),"")</f>
        <v/>
      </c>
      <c r="Z696" s="24" t="str">
        <f>IFERROR(IF([1]对账明细接口!$U696=0,"",[1]对账明细接口!$U696),"")</f>
        <v/>
      </c>
      <c r="AA696" s="24" t="str">
        <f>IFERROR(IF([1]对账明细接口!$V696=0,"",[1]对账明细接口!$V696),"")</f>
        <v/>
      </c>
      <c r="AB696" s="20" t="str">
        <f>IFERROR(IF([1]对账明细接口!$W696=0,"",[1]对账明细接口!$W696),"")</f>
        <v/>
      </c>
      <c r="AC696" s="7" t="str">
        <f>IFERROR(IF([1]对账明细接口!$X696=0,"",[1]对账明细接口!$X696),"")</f>
        <v/>
      </c>
      <c r="AD696" s="7" t="str">
        <f>IFERROR(IF([1]对账明细接口!$Y696=0,"",[1]对账明细接口!$Y696),"")</f>
        <v/>
      </c>
      <c r="AE696" s="7" t="str">
        <f>IFERROR(IF([1]对账明细接口!$AA696=0,"",[1]对账明细接口!$AA696),"")</f>
        <v/>
      </c>
      <c r="AF696" s="7" t="str">
        <f>IFERROR(IF([1]对账明细接口!$AB696=0,"",[1]对账明细接口!$AB696),"")</f>
        <v/>
      </c>
      <c r="AG696" s="7" t="str">
        <f>IFERROR(IF([1]对账明细接口!$AC696=0,"",[1]对账明细接口!$AC696),"")</f>
        <v/>
      </c>
      <c r="AH696" s="7" t="str">
        <f>IFERROR(IF([1]对账明细接口!$AD696=0,"",[1]对账明细接口!$AD696),"")</f>
        <v/>
      </c>
      <c r="AI696" s="7" t="str">
        <f>IFERROR(IF([1]对账明细接口!$AE696=0,"",[1]对账明细接口!$AE696),"")</f>
        <v/>
      </c>
      <c r="AJ696" s="7" t="str">
        <f>IFERROR(IF([1]对账明细接口!$AF696=0,"",[1]对账明细接口!$AF696),"")</f>
        <v/>
      </c>
    </row>
    <row r="697" ht="14.25" customHeight="1" spans="1:36">
      <c r="A697" s="14">
        <v>697</v>
      </c>
      <c r="B697" s="15" t="str">
        <f>IFERROR(IF([1]对账明细接口!$B$697=0,"",[1]对账明细接口!$B$697),"")</f>
        <v/>
      </c>
      <c r="C697" s="16" t="str">
        <f>IFERROR(IF([1]对账明细接口!$C$697=0,"",[1]对账明细接口!$C$697),"")</f>
        <v/>
      </c>
      <c r="D697" s="16" t="str">
        <f>IFERROR(IF([1]对账明细接口!$D$697=0,"",[1]对账明细接口!$D$697),"")</f>
        <v/>
      </c>
      <c r="E697" s="16" t="str">
        <f>IFERROR(IF([1]对账明细接口!$E$697=0,"",[1]对账明细接口!$E$697),"")</f>
        <v/>
      </c>
      <c r="F697" s="16" t="str">
        <f>IFERROR(IF([1]对账明细接口!$F$697=0,"",[1]对账明细接口!$F$697),"")</f>
        <v/>
      </c>
      <c r="G697" s="16" t="str">
        <f>IFERROR(IF([1]对账明细接口!$G$697=0,"",[1]对账明细接口!$G$697),"")</f>
        <v/>
      </c>
      <c r="H697" s="17" t="str">
        <f>IFERROR(IF([1]对账明细接口!$H$697=0,"",[1]对账明细接口!$H$697),"")</f>
        <v/>
      </c>
      <c r="I697" s="16" t="str">
        <f>IFERROR(IF([1]对账明细接口!$I$697=0,"",[1]对账明细接口!$I$697),"")</f>
        <v/>
      </c>
      <c r="J697" s="18" t="str">
        <f>IFERROR(IF([1]对账明细接口!$J$697=0,"",[1]对账明细接口!$J$697),"")</f>
        <v/>
      </c>
      <c r="K697" s="18" t="str">
        <f>IFERROR(IF([1]对账明细接口!$K$697=0,"",[1]对账明细接口!$K$697),"")</f>
        <v/>
      </c>
      <c r="L697" s="16" t="str">
        <f>IFERROR(IF([1]对账明细接口!$L$697=0,"",[1]对账明细接口!$L$697),"")</f>
        <v/>
      </c>
      <c r="M697" s="16" t="str">
        <f>IFERROR(IF([1]对账明细接口!$M$697=0,"",[1]对账明细接口!$M$697),"")</f>
        <v/>
      </c>
      <c r="N697" s="19">
        <f t="shared" si="20"/>
        <v>0</v>
      </c>
      <c r="O697" s="19">
        <f t="shared" si="21"/>
        <v>420</v>
      </c>
      <c r="S697" s="20" t="str">
        <f>IFERROR(IF([1]对账明细接口!$N697=0,"",[1]对账明细接口!$N697),"")</f>
        <v/>
      </c>
      <c r="T697" s="21" t="str">
        <f>IFERROR(IF([1]对账明细接口!$O697=0,"",[1]对账明细接口!$O697),"")</f>
        <v/>
      </c>
      <c r="U697" s="21" t="str">
        <f>IFERROR(IF([1]对账明细接口!$P697=0,"",[1]对账明细接口!$P697),"")</f>
        <v/>
      </c>
      <c r="V697" s="21" t="str">
        <f>IFERROR(IF([1]对账明细接口!$Q697=0,"",[1]对账明细接口!$Q697),"")</f>
        <v/>
      </c>
      <c r="W697" s="20" t="str">
        <f>IFERROR(IF([1]对账明细接口!$R697=0,"",[1]对账明细接口!$R697),"")</f>
        <v/>
      </c>
      <c r="X697" s="20" t="str">
        <f>IFERROR(IF([1]对账明细接口!$S697=0,"",[1]对账明细接口!$S697),"")</f>
        <v/>
      </c>
      <c r="Y697" s="20" t="str">
        <f>IFERROR(IF([1]对账明细接口!$T697=0,"",[1]对账明细接口!$T697),"")</f>
        <v/>
      </c>
      <c r="Z697" s="24" t="str">
        <f>IFERROR(IF([1]对账明细接口!$U697=0,"",[1]对账明细接口!$U697),"")</f>
        <v/>
      </c>
      <c r="AA697" s="24" t="str">
        <f>IFERROR(IF([1]对账明细接口!$V697=0,"",[1]对账明细接口!$V697),"")</f>
        <v/>
      </c>
      <c r="AB697" s="20" t="str">
        <f>IFERROR(IF([1]对账明细接口!$W697=0,"",[1]对账明细接口!$W697),"")</f>
        <v/>
      </c>
      <c r="AC697" s="7" t="str">
        <f>IFERROR(IF([1]对账明细接口!$X697=0,"",[1]对账明细接口!$X697),"")</f>
        <v/>
      </c>
      <c r="AD697" s="7" t="str">
        <f>IFERROR(IF([1]对账明细接口!$Y697=0,"",[1]对账明细接口!$Y697),"")</f>
        <v/>
      </c>
      <c r="AE697" s="7" t="str">
        <f>IFERROR(IF([1]对账明细接口!$AA697=0,"",[1]对账明细接口!$AA697),"")</f>
        <v/>
      </c>
      <c r="AF697" s="7" t="str">
        <f>IFERROR(IF([1]对账明细接口!$AB697=0,"",[1]对账明细接口!$AB697),"")</f>
        <v/>
      </c>
      <c r="AG697" s="7" t="str">
        <f>IFERROR(IF([1]对账明细接口!$AC697=0,"",[1]对账明细接口!$AC697),"")</f>
        <v/>
      </c>
      <c r="AH697" s="7" t="str">
        <f>IFERROR(IF([1]对账明细接口!$AD697=0,"",[1]对账明细接口!$AD697),"")</f>
        <v/>
      </c>
      <c r="AI697" s="7" t="str">
        <f>IFERROR(IF([1]对账明细接口!$AE697=0,"",[1]对账明细接口!$AE697),"")</f>
        <v/>
      </c>
      <c r="AJ697" s="7" t="str">
        <f>IFERROR(IF([1]对账明细接口!$AF697=0,"",[1]对账明细接口!$AF697),"")</f>
        <v/>
      </c>
    </row>
    <row r="698" ht="14.25" customHeight="1" spans="1:36">
      <c r="A698" s="14">
        <v>698</v>
      </c>
      <c r="B698" s="15" t="str">
        <f>IFERROR(IF([1]对账明细接口!$B$698=0,"",[1]对账明细接口!$B$698),"")</f>
        <v/>
      </c>
      <c r="C698" s="16" t="str">
        <f>IFERROR(IF([1]对账明细接口!$C$698=0,"",[1]对账明细接口!$C$698),"")</f>
        <v/>
      </c>
      <c r="D698" s="16" t="str">
        <f>IFERROR(IF([1]对账明细接口!$D$698=0,"",[1]对账明细接口!$D$698),"")</f>
        <v/>
      </c>
      <c r="E698" s="16" t="str">
        <f>IFERROR(IF([1]对账明细接口!$E$698=0,"",[1]对账明细接口!$E$698),"")</f>
        <v/>
      </c>
      <c r="F698" s="16" t="str">
        <f>IFERROR(IF([1]对账明细接口!$F$698=0,"",[1]对账明细接口!$F$698),"")</f>
        <v/>
      </c>
      <c r="G698" s="16" t="str">
        <f>IFERROR(IF([1]对账明细接口!$G$698=0,"",[1]对账明细接口!$G$698),"")</f>
        <v/>
      </c>
      <c r="H698" s="17" t="str">
        <f>IFERROR(IF([1]对账明细接口!$H$698=0,"",[1]对账明细接口!$H$698),"")</f>
        <v/>
      </c>
      <c r="I698" s="16" t="str">
        <f>IFERROR(IF([1]对账明细接口!$I$698=0,"",[1]对账明细接口!$I$698),"")</f>
        <v/>
      </c>
      <c r="J698" s="18" t="str">
        <f>IFERROR(IF([1]对账明细接口!$J$698=0,"",[1]对账明细接口!$J$698),"")</f>
        <v/>
      </c>
      <c r="K698" s="18" t="str">
        <f>IFERROR(IF([1]对账明细接口!$K$698=0,"",[1]对账明细接口!$K$698),"")</f>
        <v/>
      </c>
      <c r="L698" s="16" t="str">
        <f>IFERROR(IF([1]对账明细接口!$L$698=0,"",[1]对账明细接口!$L$698),"")</f>
        <v/>
      </c>
      <c r="M698" s="16" t="str">
        <f>IFERROR(IF([1]对账明细接口!$M$698=0,"",[1]对账明细接口!$M$698),"")</f>
        <v/>
      </c>
      <c r="N698" s="19">
        <f t="shared" si="20"/>
        <v>0</v>
      </c>
      <c r="O698" s="19">
        <f t="shared" si="21"/>
        <v>420</v>
      </c>
      <c r="S698" s="20" t="str">
        <f>IFERROR(IF([1]对账明细接口!$N698=0,"",[1]对账明细接口!$N698),"")</f>
        <v/>
      </c>
      <c r="T698" s="21" t="str">
        <f>IFERROR(IF([1]对账明细接口!$O698=0,"",[1]对账明细接口!$O698),"")</f>
        <v/>
      </c>
      <c r="U698" s="21" t="str">
        <f>IFERROR(IF([1]对账明细接口!$P698=0,"",[1]对账明细接口!$P698),"")</f>
        <v/>
      </c>
      <c r="V698" s="21" t="str">
        <f>IFERROR(IF([1]对账明细接口!$Q698=0,"",[1]对账明细接口!$Q698),"")</f>
        <v/>
      </c>
      <c r="W698" s="20" t="str">
        <f>IFERROR(IF([1]对账明细接口!$R698=0,"",[1]对账明细接口!$R698),"")</f>
        <v/>
      </c>
      <c r="X698" s="20" t="str">
        <f>IFERROR(IF([1]对账明细接口!$S698=0,"",[1]对账明细接口!$S698),"")</f>
        <v/>
      </c>
      <c r="Y698" s="20" t="str">
        <f>IFERROR(IF([1]对账明细接口!$T698=0,"",[1]对账明细接口!$T698),"")</f>
        <v/>
      </c>
      <c r="Z698" s="24" t="str">
        <f>IFERROR(IF([1]对账明细接口!$U698=0,"",[1]对账明细接口!$U698),"")</f>
        <v/>
      </c>
      <c r="AA698" s="24" t="str">
        <f>IFERROR(IF([1]对账明细接口!$V698=0,"",[1]对账明细接口!$V698),"")</f>
        <v/>
      </c>
      <c r="AB698" s="20" t="str">
        <f>IFERROR(IF([1]对账明细接口!$W698=0,"",[1]对账明细接口!$W698),"")</f>
        <v/>
      </c>
      <c r="AC698" s="7" t="str">
        <f>IFERROR(IF([1]对账明细接口!$X698=0,"",[1]对账明细接口!$X698),"")</f>
        <v/>
      </c>
      <c r="AD698" s="7" t="str">
        <f>IFERROR(IF([1]对账明细接口!$Y698=0,"",[1]对账明细接口!$Y698),"")</f>
        <v/>
      </c>
      <c r="AE698" s="7" t="str">
        <f>IFERROR(IF([1]对账明细接口!$AA698=0,"",[1]对账明细接口!$AA698),"")</f>
        <v/>
      </c>
      <c r="AF698" s="7" t="str">
        <f>IFERROR(IF([1]对账明细接口!$AB698=0,"",[1]对账明细接口!$AB698),"")</f>
        <v/>
      </c>
      <c r="AG698" s="7" t="str">
        <f>IFERROR(IF([1]对账明细接口!$AC698=0,"",[1]对账明细接口!$AC698),"")</f>
        <v/>
      </c>
      <c r="AH698" s="7" t="str">
        <f>IFERROR(IF([1]对账明细接口!$AD698=0,"",[1]对账明细接口!$AD698),"")</f>
        <v/>
      </c>
      <c r="AI698" s="7" t="str">
        <f>IFERROR(IF([1]对账明细接口!$AE698=0,"",[1]对账明细接口!$AE698),"")</f>
        <v/>
      </c>
      <c r="AJ698" s="7" t="str">
        <f>IFERROR(IF([1]对账明细接口!$AF698=0,"",[1]对账明细接口!$AF698),"")</f>
        <v/>
      </c>
    </row>
    <row r="699" ht="14.25" customHeight="1" spans="1:36">
      <c r="A699" s="14">
        <v>699</v>
      </c>
      <c r="B699" s="15" t="str">
        <f>IFERROR(IF([1]对账明细接口!$B$699=0,"",[1]对账明细接口!$B$699),"")</f>
        <v/>
      </c>
      <c r="C699" s="16" t="str">
        <f>IFERROR(IF([1]对账明细接口!$C$699=0,"",[1]对账明细接口!$C$699),"")</f>
        <v/>
      </c>
      <c r="D699" s="16" t="str">
        <f>IFERROR(IF([1]对账明细接口!$D$699=0,"",[1]对账明细接口!$D$699),"")</f>
        <v/>
      </c>
      <c r="E699" s="16" t="str">
        <f>IFERROR(IF([1]对账明细接口!$E$699=0,"",[1]对账明细接口!$E$699),"")</f>
        <v/>
      </c>
      <c r="F699" s="16" t="str">
        <f>IFERROR(IF([1]对账明细接口!$F$699=0,"",[1]对账明细接口!$F$699),"")</f>
        <v/>
      </c>
      <c r="G699" s="16" t="str">
        <f>IFERROR(IF([1]对账明细接口!$G$699=0,"",[1]对账明细接口!$G$699),"")</f>
        <v/>
      </c>
      <c r="H699" s="17" t="str">
        <f>IFERROR(IF([1]对账明细接口!$H$699=0,"",[1]对账明细接口!$H$699),"")</f>
        <v/>
      </c>
      <c r="I699" s="16" t="str">
        <f>IFERROR(IF([1]对账明细接口!$I$699=0,"",[1]对账明细接口!$I$699),"")</f>
        <v/>
      </c>
      <c r="J699" s="18" t="str">
        <f>IFERROR(IF([1]对账明细接口!$J$699=0,"",[1]对账明细接口!$J$699),"")</f>
        <v/>
      </c>
      <c r="K699" s="18" t="str">
        <f>IFERROR(IF([1]对账明细接口!$K$699=0,"",[1]对账明细接口!$K$699),"")</f>
        <v/>
      </c>
      <c r="L699" s="16" t="str">
        <f>IFERROR(IF([1]对账明细接口!$L$699=0,"",[1]对账明细接口!$L$699),"")</f>
        <v/>
      </c>
      <c r="M699" s="16" t="str">
        <f>IFERROR(IF([1]对账明细接口!$M$699=0,"",[1]对账明细接口!$M$699),"")</f>
        <v/>
      </c>
      <c r="N699" s="19">
        <f t="shared" si="20"/>
        <v>0</v>
      </c>
      <c r="O699" s="19">
        <f t="shared" si="21"/>
        <v>420</v>
      </c>
      <c r="S699" s="20" t="str">
        <f>IFERROR(IF([1]对账明细接口!$N699=0,"",[1]对账明细接口!$N699),"")</f>
        <v/>
      </c>
      <c r="T699" s="21" t="str">
        <f>IFERROR(IF([1]对账明细接口!$O699=0,"",[1]对账明细接口!$O699),"")</f>
        <v/>
      </c>
      <c r="U699" s="21" t="str">
        <f>IFERROR(IF([1]对账明细接口!$P699=0,"",[1]对账明细接口!$P699),"")</f>
        <v/>
      </c>
      <c r="V699" s="21" t="str">
        <f>IFERROR(IF([1]对账明细接口!$Q699=0,"",[1]对账明细接口!$Q699),"")</f>
        <v/>
      </c>
      <c r="W699" s="20" t="str">
        <f>IFERROR(IF([1]对账明细接口!$R699=0,"",[1]对账明细接口!$R699),"")</f>
        <v/>
      </c>
      <c r="X699" s="20" t="str">
        <f>IFERROR(IF([1]对账明细接口!$S699=0,"",[1]对账明细接口!$S699),"")</f>
        <v/>
      </c>
      <c r="Y699" s="20" t="str">
        <f>IFERROR(IF([1]对账明细接口!$T699=0,"",[1]对账明细接口!$T699),"")</f>
        <v/>
      </c>
      <c r="Z699" s="24" t="str">
        <f>IFERROR(IF([1]对账明细接口!$U699=0,"",[1]对账明细接口!$U699),"")</f>
        <v/>
      </c>
      <c r="AA699" s="24" t="str">
        <f>IFERROR(IF([1]对账明细接口!$V699=0,"",[1]对账明细接口!$V699),"")</f>
        <v/>
      </c>
      <c r="AB699" s="20" t="str">
        <f>IFERROR(IF([1]对账明细接口!$W699=0,"",[1]对账明细接口!$W699),"")</f>
        <v/>
      </c>
      <c r="AC699" s="7" t="str">
        <f>IFERROR(IF([1]对账明细接口!$X699=0,"",[1]对账明细接口!$X699),"")</f>
        <v/>
      </c>
      <c r="AD699" s="7" t="str">
        <f>IFERROR(IF([1]对账明细接口!$Y699=0,"",[1]对账明细接口!$Y699),"")</f>
        <v/>
      </c>
      <c r="AE699" s="7" t="str">
        <f>IFERROR(IF([1]对账明细接口!$AA699=0,"",[1]对账明细接口!$AA699),"")</f>
        <v/>
      </c>
      <c r="AF699" s="7" t="str">
        <f>IFERROR(IF([1]对账明细接口!$AB699=0,"",[1]对账明细接口!$AB699),"")</f>
        <v/>
      </c>
      <c r="AG699" s="7" t="str">
        <f>IFERROR(IF([1]对账明细接口!$AC699=0,"",[1]对账明细接口!$AC699),"")</f>
        <v/>
      </c>
      <c r="AH699" s="7" t="str">
        <f>IFERROR(IF([1]对账明细接口!$AD699=0,"",[1]对账明细接口!$AD699),"")</f>
        <v/>
      </c>
      <c r="AI699" s="7" t="str">
        <f>IFERROR(IF([1]对账明细接口!$AE699=0,"",[1]对账明细接口!$AE699),"")</f>
        <v/>
      </c>
      <c r="AJ699" s="7" t="str">
        <f>IFERROR(IF([1]对账明细接口!$AF699=0,"",[1]对账明细接口!$AF699),"")</f>
        <v/>
      </c>
    </row>
    <row r="700" ht="14.25" customHeight="1" spans="1:36">
      <c r="A700" s="14">
        <v>700</v>
      </c>
      <c r="B700" s="15" t="str">
        <f>IFERROR(IF([1]对账明细接口!$B$700=0,"",[1]对账明细接口!$B$700),"")</f>
        <v/>
      </c>
      <c r="C700" s="16" t="str">
        <f>IFERROR(IF([1]对账明细接口!$C$700=0,"",[1]对账明细接口!$C$700),"")</f>
        <v/>
      </c>
      <c r="D700" s="16" t="str">
        <f>IFERROR(IF([1]对账明细接口!$D$700=0,"",[1]对账明细接口!$D$700),"")</f>
        <v/>
      </c>
      <c r="E700" s="16" t="str">
        <f>IFERROR(IF([1]对账明细接口!$E$700=0,"",[1]对账明细接口!$E$700),"")</f>
        <v/>
      </c>
      <c r="F700" s="16" t="str">
        <f>IFERROR(IF([1]对账明细接口!$F$700=0,"",[1]对账明细接口!$F$700),"")</f>
        <v/>
      </c>
      <c r="G700" s="16" t="str">
        <f>IFERROR(IF([1]对账明细接口!$G$700=0,"",[1]对账明细接口!$G$700),"")</f>
        <v/>
      </c>
      <c r="H700" s="17" t="str">
        <f>IFERROR(IF([1]对账明细接口!$H$700=0,"",[1]对账明细接口!$H$700),"")</f>
        <v/>
      </c>
      <c r="I700" s="16" t="str">
        <f>IFERROR(IF([1]对账明细接口!$I$700=0,"",[1]对账明细接口!$I$700),"")</f>
        <v/>
      </c>
      <c r="J700" s="18" t="str">
        <f>IFERROR(IF([1]对账明细接口!$J$700=0,"",[1]对账明细接口!$J$700),"")</f>
        <v/>
      </c>
      <c r="K700" s="18" t="str">
        <f>IFERROR(IF([1]对账明细接口!$K$700=0,"",[1]对账明细接口!$K$700),"")</f>
        <v/>
      </c>
      <c r="L700" s="16" t="str">
        <f>IFERROR(IF([1]对账明细接口!$L$700=0,"",[1]对账明细接口!$L$700),"")</f>
        <v/>
      </c>
      <c r="M700" s="16" t="str">
        <f>IFERROR(IF([1]对账明细接口!$M$700=0,"",[1]对账明细接口!$M$700),"")</f>
        <v/>
      </c>
      <c r="N700" s="19">
        <f t="shared" si="20"/>
        <v>0</v>
      </c>
      <c r="O700" s="19">
        <f t="shared" si="21"/>
        <v>420</v>
      </c>
      <c r="S700" s="20" t="str">
        <f>IFERROR(IF([1]对账明细接口!$N700=0,"",[1]对账明细接口!$N700),"")</f>
        <v/>
      </c>
      <c r="T700" s="21" t="str">
        <f>IFERROR(IF([1]对账明细接口!$O700=0,"",[1]对账明细接口!$O700),"")</f>
        <v/>
      </c>
      <c r="U700" s="21" t="str">
        <f>IFERROR(IF([1]对账明细接口!$P700=0,"",[1]对账明细接口!$P700),"")</f>
        <v/>
      </c>
      <c r="V700" s="21" t="str">
        <f>IFERROR(IF([1]对账明细接口!$Q700=0,"",[1]对账明细接口!$Q700),"")</f>
        <v/>
      </c>
      <c r="W700" s="20" t="str">
        <f>IFERROR(IF([1]对账明细接口!$R700=0,"",[1]对账明细接口!$R700),"")</f>
        <v/>
      </c>
      <c r="X700" s="20" t="str">
        <f>IFERROR(IF([1]对账明细接口!$S700=0,"",[1]对账明细接口!$S700),"")</f>
        <v/>
      </c>
      <c r="Y700" s="20" t="str">
        <f>IFERROR(IF([1]对账明细接口!$T700=0,"",[1]对账明细接口!$T700),"")</f>
        <v/>
      </c>
      <c r="Z700" s="24" t="str">
        <f>IFERROR(IF([1]对账明细接口!$U700=0,"",[1]对账明细接口!$U700),"")</f>
        <v/>
      </c>
      <c r="AA700" s="24" t="str">
        <f>IFERROR(IF([1]对账明细接口!$V700=0,"",[1]对账明细接口!$V700),"")</f>
        <v/>
      </c>
      <c r="AB700" s="20" t="str">
        <f>IFERROR(IF([1]对账明细接口!$W700=0,"",[1]对账明细接口!$W700),"")</f>
        <v/>
      </c>
      <c r="AC700" s="7" t="str">
        <f>IFERROR(IF([1]对账明细接口!$X700=0,"",[1]对账明细接口!$X700),"")</f>
        <v/>
      </c>
      <c r="AD700" s="7" t="str">
        <f>IFERROR(IF([1]对账明细接口!$Y700=0,"",[1]对账明细接口!$Y700),"")</f>
        <v/>
      </c>
      <c r="AE700" s="7" t="str">
        <f>IFERROR(IF([1]对账明细接口!$AA700=0,"",[1]对账明细接口!$AA700),"")</f>
        <v/>
      </c>
      <c r="AF700" s="7" t="str">
        <f>IFERROR(IF([1]对账明细接口!$AB700=0,"",[1]对账明细接口!$AB700),"")</f>
        <v/>
      </c>
      <c r="AG700" s="7" t="str">
        <f>IFERROR(IF([1]对账明细接口!$AC700=0,"",[1]对账明细接口!$AC700),"")</f>
        <v/>
      </c>
      <c r="AH700" s="7" t="str">
        <f>IFERROR(IF([1]对账明细接口!$AD700=0,"",[1]对账明细接口!$AD700),"")</f>
        <v/>
      </c>
      <c r="AI700" s="7" t="str">
        <f>IFERROR(IF([1]对账明细接口!$AE700=0,"",[1]对账明细接口!$AE700),"")</f>
        <v/>
      </c>
      <c r="AJ700" s="7" t="str">
        <f>IFERROR(IF([1]对账明细接口!$AF700=0,"",[1]对账明细接口!$AF700),"")</f>
        <v/>
      </c>
    </row>
    <row r="701" ht="14.25" customHeight="1" spans="1:36">
      <c r="A701" s="14">
        <v>701</v>
      </c>
      <c r="B701" s="15" t="str">
        <f>IFERROR(IF([1]对账明细接口!$B$701=0,"",[1]对账明细接口!$B$701),"")</f>
        <v/>
      </c>
      <c r="C701" s="16" t="str">
        <f>IFERROR(IF([1]对账明细接口!$C$701=0,"",[1]对账明细接口!$C$701),"")</f>
        <v/>
      </c>
      <c r="D701" s="16" t="str">
        <f>IFERROR(IF([1]对账明细接口!$D$701=0,"",[1]对账明细接口!$D$701),"")</f>
        <v/>
      </c>
      <c r="E701" s="16" t="str">
        <f>IFERROR(IF([1]对账明细接口!$E$701=0,"",[1]对账明细接口!$E$701),"")</f>
        <v/>
      </c>
      <c r="F701" s="16" t="str">
        <f>IFERROR(IF([1]对账明细接口!$F$701=0,"",[1]对账明细接口!$F$701),"")</f>
        <v/>
      </c>
      <c r="G701" s="16" t="str">
        <f>IFERROR(IF([1]对账明细接口!$G$701=0,"",[1]对账明细接口!$G$701),"")</f>
        <v/>
      </c>
      <c r="H701" s="17" t="str">
        <f>IFERROR(IF([1]对账明细接口!$H$701=0,"",[1]对账明细接口!$H$701),"")</f>
        <v/>
      </c>
      <c r="I701" s="16" t="str">
        <f>IFERROR(IF([1]对账明细接口!$I$701=0,"",[1]对账明细接口!$I$701),"")</f>
        <v/>
      </c>
      <c r="J701" s="18" t="str">
        <f>IFERROR(IF([1]对账明细接口!$J$701=0,"",[1]对账明细接口!$J$701),"")</f>
        <v/>
      </c>
      <c r="K701" s="18" t="str">
        <f>IFERROR(IF([1]对账明细接口!$K$701=0,"",[1]对账明细接口!$K$701),"")</f>
        <v/>
      </c>
      <c r="L701" s="16" t="str">
        <f>IFERROR(IF([1]对账明细接口!$L$701=0,"",[1]对账明细接口!$L$701),"")</f>
        <v/>
      </c>
      <c r="M701" s="16" t="str">
        <f>IFERROR(IF([1]对账明细接口!$M$701=0,"",[1]对账明细接口!$M$701),"")</f>
        <v/>
      </c>
      <c r="N701" s="19">
        <f t="shared" si="20"/>
        <v>0</v>
      </c>
      <c r="O701" s="19">
        <f t="shared" si="21"/>
        <v>420</v>
      </c>
      <c r="S701" s="20" t="str">
        <f>IFERROR(IF([1]对账明细接口!$N701=0,"",[1]对账明细接口!$N701),"")</f>
        <v/>
      </c>
      <c r="T701" s="21" t="str">
        <f>IFERROR(IF([1]对账明细接口!$O701=0,"",[1]对账明细接口!$O701),"")</f>
        <v/>
      </c>
      <c r="U701" s="21" t="str">
        <f>IFERROR(IF([1]对账明细接口!$P701=0,"",[1]对账明细接口!$P701),"")</f>
        <v/>
      </c>
      <c r="V701" s="21" t="str">
        <f>IFERROR(IF([1]对账明细接口!$Q701=0,"",[1]对账明细接口!$Q701),"")</f>
        <v/>
      </c>
      <c r="W701" s="20" t="str">
        <f>IFERROR(IF([1]对账明细接口!$R701=0,"",[1]对账明细接口!$R701),"")</f>
        <v/>
      </c>
      <c r="X701" s="20" t="str">
        <f>IFERROR(IF([1]对账明细接口!$S701=0,"",[1]对账明细接口!$S701),"")</f>
        <v/>
      </c>
      <c r="Y701" s="20" t="str">
        <f>IFERROR(IF([1]对账明细接口!$T701=0,"",[1]对账明细接口!$T701),"")</f>
        <v/>
      </c>
      <c r="Z701" s="24" t="str">
        <f>IFERROR(IF([1]对账明细接口!$U701=0,"",[1]对账明细接口!$U701),"")</f>
        <v/>
      </c>
      <c r="AA701" s="24" t="str">
        <f>IFERROR(IF([1]对账明细接口!$V701=0,"",[1]对账明细接口!$V701),"")</f>
        <v/>
      </c>
      <c r="AB701" s="20" t="str">
        <f>IFERROR(IF([1]对账明细接口!$W701=0,"",[1]对账明细接口!$W701),"")</f>
        <v/>
      </c>
      <c r="AC701" s="7" t="str">
        <f>IFERROR(IF([1]对账明细接口!$X701=0,"",[1]对账明细接口!$X701),"")</f>
        <v/>
      </c>
      <c r="AD701" s="7" t="str">
        <f>IFERROR(IF([1]对账明细接口!$Y701=0,"",[1]对账明细接口!$Y701),"")</f>
        <v/>
      </c>
      <c r="AE701" s="7" t="str">
        <f>IFERROR(IF([1]对账明细接口!$AA701=0,"",[1]对账明细接口!$AA701),"")</f>
        <v/>
      </c>
      <c r="AF701" s="7" t="str">
        <f>IFERROR(IF([1]对账明细接口!$AB701=0,"",[1]对账明细接口!$AB701),"")</f>
        <v/>
      </c>
      <c r="AG701" s="7" t="str">
        <f>IFERROR(IF([1]对账明细接口!$AC701=0,"",[1]对账明细接口!$AC701),"")</f>
        <v/>
      </c>
      <c r="AH701" s="7" t="str">
        <f>IFERROR(IF([1]对账明细接口!$AD701=0,"",[1]对账明细接口!$AD701),"")</f>
        <v/>
      </c>
      <c r="AI701" s="7" t="str">
        <f>IFERROR(IF([1]对账明细接口!$AE701=0,"",[1]对账明细接口!$AE701),"")</f>
        <v/>
      </c>
      <c r="AJ701" s="7" t="str">
        <f>IFERROR(IF([1]对账明细接口!$AF701=0,"",[1]对账明细接口!$AF701),"")</f>
        <v/>
      </c>
    </row>
    <row r="702" ht="14.25" customHeight="1" spans="1:36">
      <c r="A702" s="14">
        <v>702</v>
      </c>
      <c r="B702" s="15" t="str">
        <f>IFERROR(IF([1]对账明细接口!$B$702=0,"",[1]对账明细接口!$B$702),"")</f>
        <v/>
      </c>
      <c r="C702" s="16" t="str">
        <f>IFERROR(IF([1]对账明细接口!$C$702=0,"",[1]对账明细接口!$C$702),"")</f>
        <v/>
      </c>
      <c r="D702" s="16" t="str">
        <f>IFERROR(IF([1]对账明细接口!$D$702=0,"",[1]对账明细接口!$D$702),"")</f>
        <v/>
      </c>
      <c r="E702" s="16" t="str">
        <f>IFERROR(IF([1]对账明细接口!$E$702=0,"",[1]对账明细接口!$E$702),"")</f>
        <v/>
      </c>
      <c r="F702" s="16" t="str">
        <f>IFERROR(IF([1]对账明细接口!$F$702=0,"",[1]对账明细接口!$F$702),"")</f>
        <v/>
      </c>
      <c r="G702" s="16" t="str">
        <f>IFERROR(IF([1]对账明细接口!$G$702=0,"",[1]对账明细接口!$G$702),"")</f>
        <v/>
      </c>
      <c r="H702" s="17" t="str">
        <f>IFERROR(IF([1]对账明细接口!$H$702=0,"",[1]对账明细接口!$H$702),"")</f>
        <v/>
      </c>
      <c r="I702" s="16" t="str">
        <f>IFERROR(IF([1]对账明细接口!$I$702=0,"",[1]对账明细接口!$I$702),"")</f>
        <v/>
      </c>
      <c r="J702" s="18" t="str">
        <f>IFERROR(IF([1]对账明细接口!$J$702=0,"",[1]对账明细接口!$J$702),"")</f>
        <v/>
      </c>
      <c r="K702" s="18" t="str">
        <f>IFERROR(IF([1]对账明细接口!$K$702=0,"",[1]对账明细接口!$K$702),"")</f>
        <v/>
      </c>
      <c r="L702" s="16" t="str">
        <f>IFERROR(IF([1]对账明细接口!$L$702=0,"",[1]对账明细接口!$L$702),"")</f>
        <v/>
      </c>
      <c r="M702" s="16" t="str">
        <f>IFERROR(IF([1]对账明细接口!$M$702=0,"",[1]对账明细接口!$M$702),"")</f>
        <v/>
      </c>
      <c r="N702" s="19">
        <f t="shared" si="20"/>
        <v>0</v>
      </c>
      <c r="O702" s="19">
        <f t="shared" si="21"/>
        <v>420</v>
      </c>
      <c r="S702" s="20" t="str">
        <f>IFERROR(IF([1]对账明细接口!$N702=0,"",[1]对账明细接口!$N702),"")</f>
        <v/>
      </c>
      <c r="T702" s="21" t="str">
        <f>IFERROR(IF([1]对账明细接口!$O702=0,"",[1]对账明细接口!$O702),"")</f>
        <v/>
      </c>
      <c r="U702" s="21" t="str">
        <f>IFERROR(IF([1]对账明细接口!$P702=0,"",[1]对账明细接口!$P702),"")</f>
        <v/>
      </c>
      <c r="V702" s="21" t="str">
        <f>IFERROR(IF([1]对账明细接口!$Q702=0,"",[1]对账明细接口!$Q702),"")</f>
        <v/>
      </c>
      <c r="W702" s="20" t="str">
        <f>IFERROR(IF([1]对账明细接口!$R702=0,"",[1]对账明细接口!$R702),"")</f>
        <v/>
      </c>
      <c r="X702" s="20" t="str">
        <f>IFERROR(IF([1]对账明细接口!$S702=0,"",[1]对账明细接口!$S702),"")</f>
        <v/>
      </c>
      <c r="Y702" s="20" t="str">
        <f>IFERROR(IF([1]对账明细接口!$T702=0,"",[1]对账明细接口!$T702),"")</f>
        <v/>
      </c>
      <c r="Z702" s="24" t="str">
        <f>IFERROR(IF([1]对账明细接口!$U702=0,"",[1]对账明细接口!$U702),"")</f>
        <v/>
      </c>
      <c r="AA702" s="24" t="str">
        <f>IFERROR(IF([1]对账明细接口!$V702=0,"",[1]对账明细接口!$V702),"")</f>
        <v/>
      </c>
      <c r="AB702" s="20" t="str">
        <f>IFERROR(IF([1]对账明细接口!$W702=0,"",[1]对账明细接口!$W702),"")</f>
        <v/>
      </c>
      <c r="AC702" s="7" t="str">
        <f>IFERROR(IF([1]对账明细接口!$X702=0,"",[1]对账明细接口!$X702),"")</f>
        <v/>
      </c>
      <c r="AD702" s="7" t="str">
        <f>IFERROR(IF([1]对账明细接口!$Y702=0,"",[1]对账明细接口!$Y702),"")</f>
        <v/>
      </c>
      <c r="AE702" s="7" t="str">
        <f>IFERROR(IF([1]对账明细接口!$AA702=0,"",[1]对账明细接口!$AA702),"")</f>
        <v/>
      </c>
      <c r="AF702" s="7" t="str">
        <f>IFERROR(IF([1]对账明细接口!$AB702=0,"",[1]对账明细接口!$AB702),"")</f>
        <v/>
      </c>
      <c r="AG702" s="7" t="str">
        <f>IFERROR(IF([1]对账明细接口!$AC702=0,"",[1]对账明细接口!$AC702),"")</f>
        <v/>
      </c>
      <c r="AH702" s="7" t="str">
        <f>IFERROR(IF([1]对账明细接口!$AD702=0,"",[1]对账明细接口!$AD702),"")</f>
        <v/>
      </c>
      <c r="AI702" s="7" t="str">
        <f>IFERROR(IF([1]对账明细接口!$AE702=0,"",[1]对账明细接口!$AE702),"")</f>
        <v/>
      </c>
      <c r="AJ702" s="7" t="str">
        <f>IFERROR(IF([1]对账明细接口!$AF702=0,"",[1]对账明细接口!$AF702),"")</f>
        <v/>
      </c>
    </row>
    <row r="703" ht="14.25" customHeight="1" spans="1:36">
      <c r="A703" s="14">
        <v>703</v>
      </c>
      <c r="B703" s="15" t="str">
        <f>IFERROR(IF([1]对账明细接口!$B$703=0,"",[1]对账明细接口!$B$703),"")</f>
        <v/>
      </c>
      <c r="C703" s="16" t="str">
        <f>IFERROR(IF([1]对账明细接口!$C$703=0,"",[1]对账明细接口!$C$703),"")</f>
        <v/>
      </c>
      <c r="D703" s="16" t="str">
        <f>IFERROR(IF([1]对账明细接口!$D$703=0,"",[1]对账明细接口!$D$703),"")</f>
        <v/>
      </c>
      <c r="E703" s="16" t="str">
        <f>IFERROR(IF([1]对账明细接口!$E$703=0,"",[1]对账明细接口!$E$703),"")</f>
        <v/>
      </c>
      <c r="F703" s="16" t="str">
        <f>IFERROR(IF([1]对账明细接口!$F$703=0,"",[1]对账明细接口!$F$703),"")</f>
        <v/>
      </c>
      <c r="G703" s="16" t="str">
        <f>IFERROR(IF([1]对账明细接口!$G$703=0,"",[1]对账明细接口!$G$703),"")</f>
        <v/>
      </c>
      <c r="H703" s="17" t="str">
        <f>IFERROR(IF([1]对账明细接口!$H$703=0,"",[1]对账明细接口!$H$703),"")</f>
        <v/>
      </c>
      <c r="I703" s="16" t="str">
        <f>IFERROR(IF([1]对账明细接口!$I$703=0,"",[1]对账明细接口!$I$703),"")</f>
        <v/>
      </c>
      <c r="J703" s="18" t="str">
        <f>IFERROR(IF([1]对账明细接口!$J$703=0,"",[1]对账明细接口!$J$703),"")</f>
        <v/>
      </c>
      <c r="K703" s="18" t="str">
        <f>IFERROR(IF([1]对账明细接口!$K$703=0,"",[1]对账明细接口!$K$703),"")</f>
        <v/>
      </c>
      <c r="L703" s="16" t="str">
        <f>IFERROR(IF([1]对账明细接口!$L$703=0,"",[1]对账明细接口!$L$703),"")</f>
        <v/>
      </c>
      <c r="M703" s="16" t="str">
        <f>IFERROR(IF([1]对账明细接口!$M$703=0,"",[1]对账明细接口!$M$703),"")</f>
        <v/>
      </c>
      <c r="N703" s="19">
        <f t="shared" si="20"/>
        <v>0</v>
      </c>
      <c r="O703" s="19">
        <f t="shared" si="21"/>
        <v>420</v>
      </c>
      <c r="S703" s="20" t="str">
        <f>IFERROR(IF([1]对账明细接口!$N703=0,"",[1]对账明细接口!$N703),"")</f>
        <v/>
      </c>
      <c r="T703" s="21" t="str">
        <f>IFERROR(IF([1]对账明细接口!$O703=0,"",[1]对账明细接口!$O703),"")</f>
        <v/>
      </c>
      <c r="U703" s="21" t="str">
        <f>IFERROR(IF([1]对账明细接口!$P703=0,"",[1]对账明细接口!$P703),"")</f>
        <v/>
      </c>
      <c r="V703" s="21" t="str">
        <f>IFERROR(IF([1]对账明细接口!$Q703=0,"",[1]对账明细接口!$Q703),"")</f>
        <v/>
      </c>
      <c r="W703" s="20" t="str">
        <f>IFERROR(IF([1]对账明细接口!$R703=0,"",[1]对账明细接口!$R703),"")</f>
        <v/>
      </c>
      <c r="X703" s="20" t="str">
        <f>IFERROR(IF([1]对账明细接口!$S703=0,"",[1]对账明细接口!$S703),"")</f>
        <v/>
      </c>
      <c r="Y703" s="20" t="str">
        <f>IFERROR(IF([1]对账明细接口!$T703=0,"",[1]对账明细接口!$T703),"")</f>
        <v/>
      </c>
      <c r="Z703" s="24" t="str">
        <f>IFERROR(IF([1]对账明细接口!$U703=0,"",[1]对账明细接口!$U703),"")</f>
        <v/>
      </c>
      <c r="AA703" s="24" t="str">
        <f>IFERROR(IF([1]对账明细接口!$V703=0,"",[1]对账明细接口!$V703),"")</f>
        <v/>
      </c>
      <c r="AB703" s="20" t="str">
        <f>IFERROR(IF([1]对账明细接口!$W703=0,"",[1]对账明细接口!$W703),"")</f>
        <v/>
      </c>
      <c r="AC703" s="7" t="str">
        <f>IFERROR(IF([1]对账明细接口!$X703=0,"",[1]对账明细接口!$X703),"")</f>
        <v/>
      </c>
      <c r="AD703" s="7" t="str">
        <f>IFERROR(IF([1]对账明细接口!$Y703=0,"",[1]对账明细接口!$Y703),"")</f>
        <v/>
      </c>
      <c r="AE703" s="7" t="str">
        <f>IFERROR(IF([1]对账明细接口!$AA703=0,"",[1]对账明细接口!$AA703),"")</f>
        <v/>
      </c>
      <c r="AF703" s="7" t="str">
        <f>IFERROR(IF([1]对账明细接口!$AB703=0,"",[1]对账明细接口!$AB703),"")</f>
        <v/>
      </c>
      <c r="AG703" s="7" t="str">
        <f>IFERROR(IF([1]对账明细接口!$AC703=0,"",[1]对账明细接口!$AC703),"")</f>
        <v/>
      </c>
      <c r="AH703" s="7" t="str">
        <f>IFERROR(IF([1]对账明细接口!$AD703=0,"",[1]对账明细接口!$AD703),"")</f>
        <v/>
      </c>
      <c r="AI703" s="7" t="str">
        <f>IFERROR(IF([1]对账明细接口!$AE703=0,"",[1]对账明细接口!$AE703),"")</f>
        <v/>
      </c>
      <c r="AJ703" s="7" t="str">
        <f>IFERROR(IF([1]对账明细接口!$AF703=0,"",[1]对账明细接口!$AF703),"")</f>
        <v/>
      </c>
    </row>
    <row r="704" ht="14.25" customHeight="1" spans="1:36">
      <c r="A704" s="14">
        <v>704</v>
      </c>
      <c r="B704" s="15" t="str">
        <f>IFERROR(IF([1]对账明细接口!$B$704=0,"",[1]对账明细接口!$B$704),"")</f>
        <v/>
      </c>
      <c r="C704" s="16" t="str">
        <f>IFERROR(IF([1]对账明细接口!$C$704=0,"",[1]对账明细接口!$C$704),"")</f>
        <v/>
      </c>
      <c r="D704" s="16" t="str">
        <f>IFERROR(IF([1]对账明细接口!$D$704=0,"",[1]对账明细接口!$D$704),"")</f>
        <v/>
      </c>
      <c r="E704" s="16" t="str">
        <f>IFERROR(IF([1]对账明细接口!$E$704=0,"",[1]对账明细接口!$E$704),"")</f>
        <v/>
      </c>
      <c r="F704" s="16" t="str">
        <f>IFERROR(IF([1]对账明细接口!$F$704=0,"",[1]对账明细接口!$F$704),"")</f>
        <v/>
      </c>
      <c r="G704" s="16" t="str">
        <f>IFERROR(IF([1]对账明细接口!$G$704=0,"",[1]对账明细接口!$G$704),"")</f>
        <v/>
      </c>
      <c r="H704" s="17" t="str">
        <f>IFERROR(IF([1]对账明细接口!$H$704=0,"",[1]对账明细接口!$H$704),"")</f>
        <v/>
      </c>
      <c r="I704" s="16" t="str">
        <f>IFERROR(IF([1]对账明细接口!$I$704=0,"",[1]对账明细接口!$I$704),"")</f>
        <v/>
      </c>
      <c r="J704" s="18" t="str">
        <f>IFERROR(IF([1]对账明细接口!$J$704=0,"",[1]对账明细接口!$J$704),"")</f>
        <v/>
      </c>
      <c r="K704" s="18" t="str">
        <f>IFERROR(IF([1]对账明细接口!$K$704=0,"",[1]对账明细接口!$K$704),"")</f>
        <v/>
      </c>
      <c r="L704" s="16" t="str">
        <f>IFERROR(IF([1]对账明细接口!$L$704=0,"",[1]对账明细接口!$L$704),"")</f>
        <v/>
      </c>
      <c r="M704" s="16" t="str">
        <f>IFERROR(IF([1]对账明细接口!$M$704=0,"",[1]对账明细接口!$M$704),"")</f>
        <v/>
      </c>
      <c r="N704" s="19">
        <f t="shared" si="20"/>
        <v>0</v>
      </c>
      <c r="O704" s="19">
        <f t="shared" si="21"/>
        <v>420</v>
      </c>
      <c r="S704" s="20" t="str">
        <f>IFERROR(IF([1]对账明细接口!$N704=0,"",[1]对账明细接口!$N704),"")</f>
        <v/>
      </c>
      <c r="T704" s="21" t="str">
        <f>IFERROR(IF([1]对账明细接口!$O704=0,"",[1]对账明细接口!$O704),"")</f>
        <v/>
      </c>
      <c r="U704" s="21" t="str">
        <f>IFERROR(IF([1]对账明细接口!$P704=0,"",[1]对账明细接口!$P704),"")</f>
        <v/>
      </c>
      <c r="V704" s="21" t="str">
        <f>IFERROR(IF([1]对账明细接口!$Q704=0,"",[1]对账明细接口!$Q704),"")</f>
        <v/>
      </c>
      <c r="W704" s="20" t="str">
        <f>IFERROR(IF([1]对账明细接口!$R704=0,"",[1]对账明细接口!$R704),"")</f>
        <v/>
      </c>
      <c r="X704" s="20" t="str">
        <f>IFERROR(IF([1]对账明细接口!$S704=0,"",[1]对账明细接口!$S704),"")</f>
        <v/>
      </c>
      <c r="Y704" s="20" t="str">
        <f>IFERROR(IF([1]对账明细接口!$T704=0,"",[1]对账明细接口!$T704),"")</f>
        <v/>
      </c>
      <c r="Z704" s="24" t="str">
        <f>IFERROR(IF([1]对账明细接口!$U704=0,"",[1]对账明细接口!$U704),"")</f>
        <v/>
      </c>
      <c r="AA704" s="24" t="str">
        <f>IFERROR(IF([1]对账明细接口!$V704=0,"",[1]对账明细接口!$V704),"")</f>
        <v/>
      </c>
      <c r="AB704" s="20" t="str">
        <f>IFERROR(IF([1]对账明细接口!$W704=0,"",[1]对账明细接口!$W704),"")</f>
        <v/>
      </c>
      <c r="AC704" s="7" t="str">
        <f>IFERROR(IF([1]对账明细接口!$X704=0,"",[1]对账明细接口!$X704),"")</f>
        <v/>
      </c>
      <c r="AD704" s="7" t="str">
        <f>IFERROR(IF([1]对账明细接口!$Y704=0,"",[1]对账明细接口!$Y704),"")</f>
        <v/>
      </c>
      <c r="AE704" s="7" t="str">
        <f>IFERROR(IF([1]对账明细接口!$AA704=0,"",[1]对账明细接口!$AA704),"")</f>
        <v/>
      </c>
      <c r="AF704" s="7" t="str">
        <f>IFERROR(IF([1]对账明细接口!$AB704=0,"",[1]对账明细接口!$AB704),"")</f>
        <v/>
      </c>
      <c r="AG704" s="7" t="str">
        <f>IFERROR(IF([1]对账明细接口!$AC704=0,"",[1]对账明细接口!$AC704),"")</f>
        <v/>
      </c>
      <c r="AH704" s="7" t="str">
        <f>IFERROR(IF([1]对账明细接口!$AD704=0,"",[1]对账明细接口!$AD704),"")</f>
        <v/>
      </c>
      <c r="AI704" s="7" t="str">
        <f>IFERROR(IF([1]对账明细接口!$AE704=0,"",[1]对账明细接口!$AE704),"")</f>
        <v/>
      </c>
      <c r="AJ704" s="7" t="str">
        <f>IFERROR(IF([1]对账明细接口!$AF704=0,"",[1]对账明细接口!$AF704),"")</f>
        <v/>
      </c>
    </row>
    <row r="705" ht="14.25" customHeight="1" spans="1:36">
      <c r="A705" s="14">
        <v>705</v>
      </c>
      <c r="B705" s="15" t="str">
        <f>IFERROR(IF([1]对账明细接口!$B$705=0,"",[1]对账明细接口!$B$705),"")</f>
        <v/>
      </c>
      <c r="C705" s="16" t="str">
        <f>IFERROR(IF([1]对账明细接口!$C$705=0,"",[1]对账明细接口!$C$705),"")</f>
        <v/>
      </c>
      <c r="D705" s="16" t="str">
        <f>IFERROR(IF([1]对账明细接口!$D$705=0,"",[1]对账明细接口!$D$705),"")</f>
        <v/>
      </c>
      <c r="E705" s="16" t="str">
        <f>IFERROR(IF([1]对账明细接口!$E$705=0,"",[1]对账明细接口!$E$705),"")</f>
        <v/>
      </c>
      <c r="F705" s="16" t="str">
        <f>IFERROR(IF([1]对账明细接口!$F$705=0,"",[1]对账明细接口!$F$705),"")</f>
        <v/>
      </c>
      <c r="G705" s="16" t="str">
        <f>IFERROR(IF([1]对账明细接口!$G$705=0,"",[1]对账明细接口!$G$705),"")</f>
        <v/>
      </c>
      <c r="H705" s="17" t="str">
        <f>IFERROR(IF([1]对账明细接口!$H$705=0,"",[1]对账明细接口!$H$705),"")</f>
        <v/>
      </c>
      <c r="I705" s="16" t="str">
        <f>IFERROR(IF([1]对账明细接口!$I$705=0,"",[1]对账明细接口!$I$705),"")</f>
        <v/>
      </c>
      <c r="J705" s="18" t="str">
        <f>IFERROR(IF([1]对账明细接口!$J$705=0,"",[1]对账明细接口!$J$705),"")</f>
        <v/>
      </c>
      <c r="K705" s="18" t="str">
        <f>IFERROR(IF([1]对账明细接口!$K$705=0,"",[1]对账明细接口!$K$705),"")</f>
        <v/>
      </c>
      <c r="L705" s="16" t="str">
        <f>IFERROR(IF([1]对账明细接口!$L$705=0,"",[1]对账明细接口!$L$705),"")</f>
        <v/>
      </c>
      <c r="M705" s="16" t="str">
        <f>IFERROR(IF([1]对账明细接口!$M$705=0,"",[1]对账明细接口!$M$705),"")</f>
        <v/>
      </c>
      <c r="N705" s="19">
        <f t="shared" si="20"/>
        <v>0</v>
      </c>
      <c r="O705" s="19">
        <f t="shared" si="21"/>
        <v>420</v>
      </c>
      <c r="S705" s="20" t="str">
        <f>IFERROR(IF([1]对账明细接口!$N705=0,"",[1]对账明细接口!$N705),"")</f>
        <v/>
      </c>
      <c r="T705" s="21" t="str">
        <f>IFERROR(IF([1]对账明细接口!$O705=0,"",[1]对账明细接口!$O705),"")</f>
        <v/>
      </c>
      <c r="U705" s="21" t="str">
        <f>IFERROR(IF([1]对账明细接口!$P705=0,"",[1]对账明细接口!$P705),"")</f>
        <v/>
      </c>
      <c r="V705" s="21" t="str">
        <f>IFERROR(IF([1]对账明细接口!$Q705=0,"",[1]对账明细接口!$Q705),"")</f>
        <v/>
      </c>
      <c r="W705" s="20" t="str">
        <f>IFERROR(IF([1]对账明细接口!$R705=0,"",[1]对账明细接口!$R705),"")</f>
        <v/>
      </c>
      <c r="X705" s="20" t="str">
        <f>IFERROR(IF([1]对账明细接口!$S705=0,"",[1]对账明细接口!$S705),"")</f>
        <v/>
      </c>
      <c r="Y705" s="20" t="str">
        <f>IFERROR(IF([1]对账明细接口!$T705=0,"",[1]对账明细接口!$T705),"")</f>
        <v/>
      </c>
      <c r="Z705" s="24" t="str">
        <f>IFERROR(IF([1]对账明细接口!$U705=0,"",[1]对账明细接口!$U705),"")</f>
        <v/>
      </c>
      <c r="AA705" s="24" t="str">
        <f>IFERROR(IF([1]对账明细接口!$V705=0,"",[1]对账明细接口!$V705),"")</f>
        <v/>
      </c>
      <c r="AB705" s="20" t="str">
        <f>IFERROR(IF([1]对账明细接口!$W705=0,"",[1]对账明细接口!$W705),"")</f>
        <v/>
      </c>
      <c r="AC705" s="7" t="str">
        <f>IFERROR(IF([1]对账明细接口!$X705=0,"",[1]对账明细接口!$X705),"")</f>
        <v/>
      </c>
      <c r="AD705" s="7" t="str">
        <f>IFERROR(IF([1]对账明细接口!$Y705=0,"",[1]对账明细接口!$Y705),"")</f>
        <v/>
      </c>
      <c r="AE705" s="7" t="str">
        <f>IFERROR(IF([1]对账明细接口!$AA705=0,"",[1]对账明细接口!$AA705),"")</f>
        <v/>
      </c>
      <c r="AF705" s="7" t="str">
        <f>IFERROR(IF([1]对账明细接口!$AB705=0,"",[1]对账明细接口!$AB705),"")</f>
        <v/>
      </c>
      <c r="AG705" s="7" t="str">
        <f>IFERROR(IF([1]对账明细接口!$AC705=0,"",[1]对账明细接口!$AC705),"")</f>
        <v/>
      </c>
      <c r="AH705" s="7" t="str">
        <f>IFERROR(IF([1]对账明细接口!$AD705=0,"",[1]对账明细接口!$AD705),"")</f>
        <v/>
      </c>
      <c r="AI705" s="7" t="str">
        <f>IFERROR(IF([1]对账明细接口!$AE705=0,"",[1]对账明细接口!$AE705),"")</f>
        <v/>
      </c>
      <c r="AJ705" s="7" t="str">
        <f>IFERROR(IF([1]对账明细接口!$AF705=0,"",[1]对账明细接口!$AF705),"")</f>
        <v/>
      </c>
    </row>
    <row r="706" ht="14.25" customHeight="1" spans="1:36">
      <c r="A706" s="14">
        <v>706</v>
      </c>
      <c r="B706" s="15" t="str">
        <f>IFERROR(IF([1]对账明细接口!$B$706=0,"",[1]对账明细接口!$B$706),"")</f>
        <v/>
      </c>
      <c r="C706" s="16" t="str">
        <f>IFERROR(IF([1]对账明细接口!$C$706=0,"",[1]对账明细接口!$C$706),"")</f>
        <v/>
      </c>
      <c r="D706" s="16" t="str">
        <f>IFERROR(IF([1]对账明细接口!$D$706=0,"",[1]对账明细接口!$D$706),"")</f>
        <v/>
      </c>
      <c r="E706" s="16" t="str">
        <f>IFERROR(IF([1]对账明细接口!$E$706=0,"",[1]对账明细接口!$E$706),"")</f>
        <v/>
      </c>
      <c r="F706" s="16" t="str">
        <f>IFERROR(IF([1]对账明细接口!$F$706=0,"",[1]对账明细接口!$F$706),"")</f>
        <v/>
      </c>
      <c r="G706" s="16" t="str">
        <f>IFERROR(IF([1]对账明细接口!$G$706=0,"",[1]对账明细接口!$G$706),"")</f>
        <v/>
      </c>
      <c r="H706" s="17" t="str">
        <f>IFERROR(IF([1]对账明细接口!$H$706=0,"",[1]对账明细接口!$H$706),"")</f>
        <v/>
      </c>
      <c r="I706" s="16" t="str">
        <f>IFERROR(IF([1]对账明细接口!$I$706=0,"",[1]对账明细接口!$I$706),"")</f>
        <v/>
      </c>
      <c r="J706" s="18" t="str">
        <f>IFERROR(IF([1]对账明细接口!$J$706=0,"",[1]对账明细接口!$J$706),"")</f>
        <v/>
      </c>
      <c r="K706" s="18" t="str">
        <f>IFERROR(IF([1]对账明细接口!$K$706=0,"",[1]对账明细接口!$K$706),"")</f>
        <v/>
      </c>
      <c r="L706" s="16" t="str">
        <f>IFERROR(IF([1]对账明细接口!$L$706=0,"",[1]对账明细接口!$L$706),"")</f>
        <v/>
      </c>
      <c r="M706" s="16" t="str">
        <f>IFERROR(IF([1]对账明细接口!$M$706=0,"",[1]对账明细接口!$M$706),"")</f>
        <v/>
      </c>
      <c r="N706" s="19">
        <f t="shared" si="20"/>
        <v>0</v>
      </c>
      <c r="O706" s="19">
        <f t="shared" si="21"/>
        <v>420</v>
      </c>
      <c r="S706" s="20" t="str">
        <f>IFERROR(IF([1]对账明细接口!$N706=0,"",[1]对账明细接口!$N706),"")</f>
        <v/>
      </c>
      <c r="T706" s="21" t="str">
        <f>IFERROR(IF([1]对账明细接口!$O706=0,"",[1]对账明细接口!$O706),"")</f>
        <v/>
      </c>
      <c r="U706" s="21" t="str">
        <f>IFERROR(IF([1]对账明细接口!$P706=0,"",[1]对账明细接口!$P706),"")</f>
        <v/>
      </c>
      <c r="V706" s="21" t="str">
        <f>IFERROR(IF([1]对账明细接口!$Q706=0,"",[1]对账明细接口!$Q706),"")</f>
        <v/>
      </c>
      <c r="W706" s="20" t="str">
        <f>IFERROR(IF([1]对账明细接口!$R706=0,"",[1]对账明细接口!$R706),"")</f>
        <v/>
      </c>
      <c r="X706" s="20" t="str">
        <f>IFERROR(IF([1]对账明细接口!$S706=0,"",[1]对账明细接口!$S706),"")</f>
        <v/>
      </c>
      <c r="Y706" s="20" t="str">
        <f>IFERROR(IF([1]对账明细接口!$T706=0,"",[1]对账明细接口!$T706),"")</f>
        <v/>
      </c>
      <c r="Z706" s="24" t="str">
        <f>IFERROR(IF([1]对账明细接口!$U706=0,"",[1]对账明细接口!$U706),"")</f>
        <v/>
      </c>
      <c r="AA706" s="24" t="str">
        <f>IFERROR(IF([1]对账明细接口!$V706=0,"",[1]对账明细接口!$V706),"")</f>
        <v/>
      </c>
      <c r="AB706" s="20" t="str">
        <f>IFERROR(IF([1]对账明细接口!$W706=0,"",[1]对账明细接口!$W706),"")</f>
        <v/>
      </c>
      <c r="AC706" s="7" t="str">
        <f>IFERROR(IF([1]对账明细接口!$X706=0,"",[1]对账明细接口!$X706),"")</f>
        <v/>
      </c>
      <c r="AD706" s="7" t="str">
        <f>IFERROR(IF([1]对账明细接口!$Y706=0,"",[1]对账明细接口!$Y706),"")</f>
        <v/>
      </c>
      <c r="AE706" s="7" t="str">
        <f>IFERROR(IF([1]对账明细接口!$AA706=0,"",[1]对账明细接口!$AA706),"")</f>
        <v/>
      </c>
      <c r="AF706" s="7" t="str">
        <f>IFERROR(IF([1]对账明细接口!$AB706=0,"",[1]对账明细接口!$AB706),"")</f>
        <v/>
      </c>
      <c r="AG706" s="7" t="str">
        <f>IFERROR(IF([1]对账明细接口!$AC706=0,"",[1]对账明细接口!$AC706),"")</f>
        <v/>
      </c>
      <c r="AH706" s="7" t="str">
        <f>IFERROR(IF([1]对账明细接口!$AD706=0,"",[1]对账明细接口!$AD706),"")</f>
        <v/>
      </c>
      <c r="AI706" s="7" t="str">
        <f>IFERROR(IF([1]对账明细接口!$AE706=0,"",[1]对账明细接口!$AE706),"")</f>
        <v/>
      </c>
      <c r="AJ706" s="7" t="str">
        <f>IFERROR(IF([1]对账明细接口!$AF706=0,"",[1]对账明细接口!$AF706),"")</f>
        <v/>
      </c>
    </row>
    <row r="707" ht="14.25" customHeight="1" spans="1:36">
      <c r="A707" s="14">
        <v>707</v>
      </c>
      <c r="B707" s="15" t="str">
        <f>IFERROR(IF([1]对账明细接口!$B$707=0,"",[1]对账明细接口!$B$707),"")</f>
        <v/>
      </c>
      <c r="C707" s="16" t="str">
        <f>IFERROR(IF([1]对账明细接口!$C$707=0,"",[1]对账明细接口!$C$707),"")</f>
        <v/>
      </c>
      <c r="D707" s="16" t="str">
        <f>IFERROR(IF([1]对账明细接口!$D$707=0,"",[1]对账明细接口!$D$707),"")</f>
        <v/>
      </c>
      <c r="E707" s="16" t="str">
        <f>IFERROR(IF([1]对账明细接口!$E$707=0,"",[1]对账明细接口!$E$707),"")</f>
        <v/>
      </c>
      <c r="F707" s="16" t="str">
        <f>IFERROR(IF([1]对账明细接口!$F$707=0,"",[1]对账明细接口!$F$707),"")</f>
        <v/>
      </c>
      <c r="G707" s="16" t="str">
        <f>IFERROR(IF([1]对账明细接口!$G$707=0,"",[1]对账明细接口!$G$707),"")</f>
        <v/>
      </c>
      <c r="H707" s="17" t="str">
        <f>IFERROR(IF([1]对账明细接口!$H$707=0,"",[1]对账明细接口!$H$707),"")</f>
        <v/>
      </c>
      <c r="I707" s="16" t="str">
        <f>IFERROR(IF([1]对账明细接口!$I$707=0,"",[1]对账明细接口!$I$707),"")</f>
        <v/>
      </c>
      <c r="J707" s="18" t="str">
        <f>IFERROR(IF([1]对账明细接口!$J$707=0,"",[1]对账明细接口!$J$707),"")</f>
        <v/>
      </c>
      <c r="K707" s="18" t="str">
        <f>IFERROR(IF([1]对账明细接口!$K$707=0,"",[1]对账明细接口!$K$707),"")</f>
        <v/>
      </c>
      <c r="L707" s="16" t="str">
        <f>IFERROR(IF([1]对账明细接口!$L$707=0,"",[1]对账明细接口!$L$707),"")</f>
        <v/>
      </c>
      <c r="M707" s="16" t="str">
        <f>IFERROR(IF([1]对账明细接口!$M$707=0,"",[1]对账明细接口!$M$707),"")</f>
        <v/>
      </c>
      <c r="N707" s="19">
        <f t="shared" si="20"/>
        <v>0</v>
      </c>
      <c r="O707" s="19">
        <f t="shared" si="21"/>
        <v>420</v>
      </c>
      <c r="S707" s="20" t="str">
        <f>IFERROR(IF([1]对账明细接口!$N707=0,"",[1]对账明细接口!$N707),"")</f>
        <v/>
      </c>
      <c r="T707" s="21" t="str">
        <f>IFERROR(IF([1]对账明细接口!$O707=0,"",[1]对账明细接口!$O707),"")</f>
        <v/>
      </c>
      <c r="U707" s="21" t="str">
        <f>IFERROR(IF([1]对账明细接口!$P707=0,"",[1]对账明细接口!$P707),"")</f>
        <v/>
      </c>
      <c r="V707" s="21" t="str">
        <f>IFERROR(IF([1]对账明细接口!$Q707=0,"",[1]对账明细接口!$Q707),"")</f>
        <v/>
      </c>
      <c r="W707" s="20" t="str">
        <f>IFERROR(IF([1]对账明细接口!$R707=0,"",[1]对账明细接口!$R707),"")</f>
        <v/>
      </c>
      <c r="X707" s="20" t="str">
        <f>IFERROR(IF([1]对账明细接口!$S707=0,"",[1]对账明细接口!$S707),"")</f>
        <v/>
      </c>
      <c r="Y707" s="20" t="str">
        <f>IFERROR(IF([1]对账明细接口!$T707=0,"",[1]对账明细接口!$T707),"")</f>
        <v/>
      </c>
      <c r="Z707" s="24" t="str">
        <f>IFERROR(IF([1]对账明细接口!$U707=0,"",[1]对账明细接口!$U707),"")</f>
        <v/>
      </c>
      <c r="AA707" s="24" t="str">
        <f>IFERROR(IF([1]对账明细接口!$V707=0,"",[1]对账明细接口!$V707),"")</f>
        <v/>
      </c>
      <c r="AB707" s="20" t="str">
        <f>IFERROR(IF([1]对账明细接口!$W707=0,"",[1]对账明细接口!$W707),"")</f>
        <v/>
      </c>
      <c r="AC707" s="7" t="str">
        <f>IFERROR(IF([1]对账明细接口!$X707=0,"",[1]对账明细接口!$X707),"")</f>
        <v/>
      </c>
      <c r="AD707" s="7" t="str">
        <f>IFERROR(IF([1]对账明细接口!$Y707=0,"",[1]对账明细接口!$Y707),"")</f>
        <v/>
      </c>
      <c r="AE707" s="7" t="str">
        <f>IFERROR(IF([1]对账明细接口!$AA707=0,"",[1]对账明细接口!$AA707),"")</f>
        <v/>
      </c>
      <c r="AF707" s="7" t="str">
        <f>IFERROR(IF([1]对账明细接口!$AB707=0,"",[1]对账明细接口!$AB707),"")</f>
        <v/>
      </c>
      <c r="AG707" s="7" t="str">
        <f>IFERROR(IF([1]对账明细接口!$AC707=0,"",[1]对账明细接口!$AC707),"")</f>
        <v/>
      </c>
      <c r="AH707" s="7" t="str">
        <f>IFERROR(IF([1]对账明细接口!$AD707=0,"",[1]对账明细接口!$AD707),"")</f>
        <v/>
      </c>
      <c r="AI707" s="7" t="str">
        <f>IFERROR(IF([1]对账明细接口!$AE707=0,"",[1]对账明细接口!$AE707),"")</f>
        <v/>
      </c>
      <c r="AJ707" s="7" t="str">
        <f>IFERROR(IF([1]对账明细接口!$AF707=0,"",[1]对账明细接口!$AF707),"")</f>
        <v/>
      </c>
    </row>
    <row r="708" ht="14.25" customHeight="1" spans="1:36">
      <c r="A708" s="14">
        <v>708</v>
      </c>
      <c r="B708" s="15" t="str">
        <f>IFERROR(IF([1]对账明细接口!$B$708=0,"",[1]对账明细接口!$B$708),"")</f>
        <v/>
      </c>
      <c r="C708" s="16" t="str">
        <f>IFERROR(IF([1]对账明细接口!$C$708=0,"",[1]对账明细接口!$C$708),"")</f>
        <v/>
      </c>
      <c r="D708" s="16" t="str">
        <f>IFERROR(IF([1]对账明细接口!$D$708=0,"",[1]对账明细接口!$D$708),"")</f>
        <v/>
      </c>
      <c r="E708" s="16" t="str">
        <f>IFERROR(IF([1]对账明细接口!$E$708=0,"",[1]对账明细接口!$E$708),"")</f>
        <v/>
      </c>
      <c r="F708" s="16" t="str">
        <f>IFERROR(IF([1]对账明细接口!$F$708=0,"",[1]对账明细接口!$F$708),"")</f>
        <v/>
      </c>
      <c r="G708" s="16" t="str">
        <f>IFERROR(IF([1]对账明细接口!$G$708=0,"",[1]对账明细接口!$G$708),"")</f>
        <v/>
      </c>
      <c r="H708" s="17" t="str">
        <f>IFERROR(IF([1]对账明细接口!$H$708=0,"",[1]对账明细接口!$H$708),"")</f>
        <v/>
      </c>
      <c r="I708" s="16" t="str">
        <f>IFERROR(IF([1]对账明细接口!$I$708=0,"",[1]对账明细接口!$I$708),"")</f>
        <v/>
      </c>
      <c r="J708" s="18" t="str">
        <f>IFERROR(IF([1]对账明细接口!$J$708=0,"",[1]对账明细接口!$J$708),"")</f>
        <v/>
      </c>
      <c r="K708" s="18" t="str">
        <f>IFERROR(IF([1]对账明细接口!$K$708=0,"",[1]对账明细接口!$K$708),"")</f>
        <v/>
      </c>
      <c r="L708" s="16" t="str">
        <f>IFERROR(IF([1]对账明细接口!$L$708=0,"",[1]对账明细接口!$L$708),"")</f>
        <v/>
      </c>
      <c r="M708" s="16" t="str">
        <f>IFERROR(IF([1]对账明细接口!$M$708=0,"",[1]对账明细接口!$M$708),"")</f>
        <v/>
      </c>
      <c r="N708" s="19">
        <f t="shared" ref="N708:N771" si="22">IF($C708="",0,1)</f>
        <v>0</v>
      </c>
      <c r="O708" s="19">
        <f t="shared" ref="O708:O771" si="23">N(O707)+$N708</f>
        <v>420</v>
      </c>
      <c r="S708" s="20" t="str">
        <f>IFERROR(IF([1]对账明细接口!$N708=0,"",[1]对账明细接口!$N708),"")</f>
        <v/>
      </c>
      <c r="T708" s="21" t="str">
        <f>IFERROR(IF([1]对账明细接口!$O708=0,"",[1]对账明细接口!$O708),"")</f>
        <v/>
      </c>
      <c r="U708" s="21" t="str">
        <f>IFERROR(IF([1]对账明细接口!$P708=0,"",[1]对账明细接口!$P708),"")</f>
        <v/>
      </c>
      <c r="V708" s="21" t="str">
        <f>IFERROR(IF([1]对账明细接口!$Q708=0,"",[1]对账明细接口!$Q708),"")</f>
        <v/>
      </c>
      <c r="W708" s="20" t="str">
        <f>IFERROR(IF([1]对账明细接口!$R708=0,"",[1]对账明细接口!$R708),"")</f>
        <v/>
      </c>
      <c r="X708" s="20" t="str">
        <f>IFERROR(IF([1]对账明细接口!$S708=0,"",[1]对账明细接口!$S708),"")</f>
        <v/>
      </c>
      <c r="Y708" s="20" t="str">
        <f>IFERROR(IF([1]对账明细接口!$T708=0,"",[1]对账明细接口!$T708),"")</f>
        <v/>
      </c>
      <c r="Z708" s="24" t="str">
        <f>IFERROR(IF([1]对账明细接口!$U708=0,"",[1]对账明细接口!$U708),"")</f>
        <v/>
      </c>
      <c r="AA708" s="24" t="str">
        <f>IFERROR(IF([1]对账明细接口!$V708=0,"",[1]对账明细接口!$V708),"")</f>
        <v/>
      </c>
      <c r="AB708" s="20" t="str">
        <f>IFERROR(IF([1]对账明细接口!$W708=0,"",[1]对账明细接口!$W708),"")</f>
        <v/>
      </c>
      <c r="AC708" s="7" t="str">
        <f>IFERROR(IF([1]对账明细接口!$X708=0,"",[1]对账明细接口!$X708),"")</f>
        <v/>
      </c>
      <c r="AD708" s="7" t="str">
        <f>IFERROR(IF([1]对账明细接口!$Y708=0,"",[1]对账明细接口!$Y708),"")</f>
        <v/>
      </c>
      <c r="AE708" s="7" t="str">
        <f>IFERROR(IF([1]对账明细接口!$AA708=0,"",[1]对账明细接口!$AA708),"")</f>
        <v/>
      </c>
      <c r="AF708" s="7" t="str">
        <f>IFERROR(IF([1]对账明细接口!$AB708=0,"",[1]对账明细接口!$AB708),"")</f>
        <v/>
      </c>
      <c r="AG708" s="7" t="str">
        <f>IFERROR(IF([1]对账明细接口!$AC708=0,"",[1]对账明细接口!$AC708),"")</f>
        <v/>
      </c>
      <c r="AH708" s="7" t="str">
        <f>IFERROR(IF([1]对账明细接口!$AD708=0,"",[1]对账明细接口!$AD708),"")</f>
        <v/>
      </c>
      <c r="AI708" s="7" t="str">
        <f>IFERROR(IF([1]对账明细接口!$AE708=0,"",[1]对账明细接口!$AE708),"")</f>
        <v/>
      </c>
      <c r="AJ708" s="7" t="str">
        <f>IFERROR(IF([1]对账明细接口!$AF708=0,"",[1]对账明细接口!$AF708),"")</f>
        <v/>
      </c>
    </row>
    <row r="709" ht="14.25" customHeight="1" spans="1:36">
      <c r="A709" s="14">
        <v>709</v>
      </c>
      <c r="B709" s="15" t="str">
        <f>IFERROR(IF([1]对账明细接口!$B$709=0,"",[1]对账明细接口!$B$709),"")</f>
        <v/>
      </c>
      <c r="C709" s="16" t="str">
        <f>IFERROR(IF([1]对账明细接口!$C$709=0,"",[1]对账明细接口!$C$709),"")</f>
        <v/>
      </c>
      <c r="D709" s="16" t="str">
        <f>IFERROR(IF([1]对账明细接口!$D$709=0,"",[1]对账明细接口!$D$709),"")</f>
        <v/>
      </c>
      <c r="E709" s="16" t="str">
        <f>IFERROR(IF([1]对账明细接口!$E$709=0,"",[1]对账明细接口!$E$709),"")</f>
        <v/>
      </c>
      <c r="F709" s="16" t="str">
        <f>IFERROR(IF([1]对账明细接口!$F$709=0,"",[1]对账明细接口!$F$709),"")</f>
        <v/>
      </c>
      <c r="G709" s="16" t="str">
        <f>IFERROR(IF([1]对账明细接口!$G$709=0,"",[1]对账明细接口!$G$709),"")</f>
        <v/>
      </c>
      <c r="H709" s="17" t="str">
        <f>IFERROR(IF([1]对账明细接口!$H$709=0,"",[1]对账明细接口!$H$709),"")</f>
        <v/>
      </c>
      <c r="I709" s="16" t="str">
        <f>IFERROR(IF([1]对账明细接口!$I$709=0,"",[1]对账明细接口!$I$709),"")</f>
        <v/>
      </c>
      <c r="J709" s="18" t="str">
        <f>IFERROR(IF([1]对账明细接口!$J$709=0,"",[1]对账明细接口!$J$709),"")</f>
        <v/>
      </c>
      <c r="K709" s="18" t="str">
        <f>IFERROR(IF([1]对账明细接口!$K$709=0,"",[1]对账明细接口!$K$709),"")</f>
        <v/>
      </c>
      <c r="L709" s="16" t="str">
        <f>IFERROR(IF([1]对账明细接口!$L$709=0,"",[1]对账明细接口!$L$709),"")</f>
        <v/>
      </c>
      <c r="M709" s="16" t="str">
        <f>IFERROR(IF([1]对账明细接口!$M$709=0,"",[1]对账明细接口!$M$709),"")</f>
        <v/>
      </c>
      <c r="N709" s="19">
        <f t="shared" si="22"/>
        <v>0</v>
      </c>
      <c r="O709" s="19">
        <f t="shared" si="23"/>
        <v>420</v>
      </c>
      <c r="S709" s="20" t="str">
        <f>IFERROR(IF([1]对账明细接口!$N709=0,"",[1]对账明细接口!$N709),"")</f>
        <v/>
      </c>
      <c r="T709" s="21" t="str">
        <f>IFERROR(IF([1]对账明细接口!$O709=0,"",[1]对账明细接口!$O709),"")</f>
        <v/>
      </c>
      <c r="U709" s="21" t="str">
        <f>IFERROR(IF([1]对账明细接口!$P709=0,"",[1]对账明细接口!$P709),"")</f>
        <v/>
      </c>
      <c r="V709" s="21" t="str">
        <f>IFERROR(IF([1]对账明细接口!$Q709=0,"",[1]对账明细接口!$Q709),"")</f>
        <v/>
      </c>
      <c r="W709" s="20" t="str">
        <f>IFERROR(IF([1]对账明细接口!$R709=0,"",[1]对账明细接口!$R709),"")</f>
        <v/>
      </c>
      <c r="X709" s="20" t="str">
        <f>IFERROR(IF([1]对账明细接口!$S709=0,"",[1]对账明细接口!$S709),"")</f>
        <v/>
      </c>
      <c r="Y709" s="20" t="str">
        <f>IFERROR(IF([1]对账明细接口!$T709=0,"",[1]对账明细接口!$T709),"")</f>
        <v/>
      </c>
      <c r="Z709" s="24" t="str">
        <f>IFERROR(IF([1]对账明细接口!$U709=0,"",[1]对账明细接口!$U709),"")</f>
        <v/>
      </c>
      <c r="AA709" s="24" t="str">
        <f>IFERROR(IF([1]对账明细接口!$V709=0,"",[1]对账明细接口!$V709),"")</f>
        <v/>
      </c>
      <c r="AB709" s="20" t="str">
        <f>IFERROR(IF([1]对账明细接口!$W709=0,"",[1]对账明细接口!$W709),"")</f>
        <v/>
      </c>
      <c r="AC709" s="7" t="str">
        <f>IFERROR(IF([1]对账明细接口!$X709=0,"",[1]对账明细接口!$X709),"")</f>
        <v/>
      </c>
      <c r="AD709" s="7" t="str">
        <f>IFERROR(IF([1]对账明细接口!$Y709=0,"",[1]对账明细接口!$Y709),"")</f>
        <v/>
      </c>
      <c r="AE709" s="7" t="str">
        <f>IFERROR(IF([1]对账明细接口!$AA709=0,"",[1]对账明细接口!$AA709),"")</f>
        <v/>
      </c>
      <c r="AF709" s="7" t="str">
        <f>IFERROR(IF([1]对账明细接口!$AB709=0,"",[1]对账明细接口!$AB709),"")</f>
        <v/>
      </c>
      <c r="AG709" s="7" t="str">
        <f>IFERROR(IF([1]对账明细接口!$AC709=0,"",[1]对账明细接口!$AC709),"")</f>
        <v/>
      </c>
      <c r="AH709" s="7" t="str">
        <f>IFERROR(IF([1]对账明细接口!$AD709=0,"",[1]对账明细接口!$AD709),"")</f>
        <v/>
      </c>
      <c r="AI709" s="7" t="str">
        <f>IFERROR(IF([1]对账明细接口!$AE709=0,"",[1]对账明细接口!$AE709),"")</f>
        <v/>
      </c>
      <c r="AJ709" s="7" t="str">
        <f>IFERROR(IF([1]对账明细接口!$AF709=0,"",[1]对账明细接口!$AF709),"")</f>
        <v/>
      </c>
    </row>
    <row r="710" ht="14.25" customHeight="1" spans="1:36">
      <c r="A710" s="14">
        <v>710</v>
      </c>
      <c r="B710" s="15" t="str">
        <f>IFERROR(IF([1]对账明细接口!$B$710=0,"",[1]对账明细接口!$B$710),"")</f>
        <v/>
      </c>
      <c r="C710" s="16" t="str">
        <f>IFERROR(IF([1]对账明细接口!$C$710=0,"",[1]对账明细接口!$C$710),"")</f>
        <v/>
      </c>
      <c r="D710" s="16" t="str">
        <f>IFERROR(IF([1]对账明细接口!$D$710=0,"",[1]对账明细接口!$D$710),"")</f>
        <v/>
      </c>
      <c r="E710" s="16" t="str">
        <f>IFERROR(IF([1]对账明细接口!$E$710=0,"",[1]对账明细接口!$E$710),"")</f>
        <v/>
      </c>
      <c r="F710" s="16" t="str">
        <f>IFERROR(IF([1]对账明细接口!$F$710=0,"",[1]对账明细接口!$F$710),"")</f>
        <v/>
      </c>
      <c r="G710" s="16" t="str">
        <f>IFERROR(IF([1]对账明细接口!$G$710=0,"",[1]对账明细接口!$G$710),"")</f>
        <v/>
      </c>
      <c r="H710" s="17" t="str">
        <f>IFERROR(IF([1]对账明细接口!$H$710=0,"",[1]对账明细接口!$H$710),"")</f>
        <v/>
      </c>
      <c r="I710" s="16" t="str">
        <f>IFERROR(IF([1]对账明细接口!$I$710=0,"",[1]对账明细接口!$I$710),"")</f>
        <v/>
      </c>
      <c r="J710" s="18" t="str">
        <f>IFERROR(IF([1]对账明细接口!$J$710=0,"",[1]对账明细接口!$J$710),"")</f>
        <v/>
      </c>
      <c r="K710" s="18" t="str">
        <f>IFERROR(IF([1]对账明细接口!$K$710=0,"",[1]对账明细接口!$K$710),"")</f>
        <v/>
      </c>
      <c r="L710" s="16" t="str">
        <f>IFERROR(IF([1]对账明细接口!$L$710=0,"",[1]对账明细接口!$L$710),"")</f>
        <v/>
      </c>
      <c r="M710" s="16" t="str">
        <f>IFERROR(IF([1]对账明细接口!$M$710=0,"",[1]对账明细接口!$M$710),"")</f>
        <v/>
      </c>
      <c r="N710" s="19">
        <f t="shared" si="22"/>
        <v>0</v>
      </c>
      <c r="O710" s="19">
        <f t="shared" si="23"/>
        <v>420</v>
      </c>
      <c r="S710" s="20" t="str">
        <f>IFERROR(IF([1]对账明细接口!$N710=0,"",[1]对账明细接口!$N710),"")</f>
        <v/>
      </c>
      <c r="T710" s="21" t="str">
        <f>IFERROR(IF([1]对账明细接口!$O710=0,"",[1]对账明细接口!$O710),"")</f>
        <v/>
      </c>
      <c r="U710" s="21" t="str">
        <f>IFERROR(IF([1]对账明细接口!$P710=0,"",[1]对账明细接口!$P710),"")</f>
        <v/>
      </c>
      <c r="V710" s="21" t="str">
        <f>IFERROR(IF([1]对账明细接口!$Q710=0,"",[1]对账明细接口!$Q710),"")</f>
        <v/>
      </c>
      <c r="W710" s="20" t="str">
        <f>IFERROR(IF([1]对账明细接口!$R710=0,"",[1]对账明细接口!$R710),"")</f>
        <v/>
      </c>
      <c r="X710" s="20" t="str">
        <f>IFERROR(IF([1]对账明细接口!$S710=0,"",[1]对账明细接口!$S710),"")</f>
        <v/>
      </c>
      <c r="Y710" s="20" t="str">
        <f>IFERROR(IF([1]对账明细接口!$T710=0,"",[1]对账明细接口!$T710),"")</f>
        <v/>
      </c>
      <c r="Z710" s="24" t="str">
        <f>IFERROR(IF([1]对账明细接口!$U710=0,"",[1]对账明细接口!$U710),"")</f>
        <v/>
      </c>
      <c r="AA710" s="24" t="str">
        <f>IFERROR(IF([1]对账明细接口!$V710=0,"",[1]对账明细接口!$V710),"")</f>
        <v/>
      </c>
      <c r="AB710" s="20" t="str">
        <f>IFERROR(IF([1]对账明细接口!$W710=0,"",[1]对账明细接口!$W710),"")</f>
        <v/>
      </c>
      <c r="AC710" s="7" t="str">
        <f>IFERROR(IF([1]对账明细接口!$X710=0,"",[1]对账明细接口!$X710),"")</f>
        <v/>
      </c>
      <c r="AD710" s="7" t="str">
        <f>IFERROR(IF([1]对账明细接口!$Y710=0,"",[1]对账明细接口!$Y710),"")</f>
        <v/>
      </c>
      <c r="AE710" s="7" t="str">
        <f>IFERROR(IF([1]对账明细接口!$AA710=0,"",[1]对账明细接口!$AA710),"")</f>
        <v/>
      </c>
      <c r="AF710" s="7" t="str">
        <f>IFERROR(IF([1]对账明细接口!$AB710=0,"",[1]对账明细接口!$AB710),"")</f>
        <v/>
      </c>
      <c r="AG710" s="7" t="str">
        <f>IFERROR(IF([1]对账明细接口!$AC710=0,"",[1]对账明细接口!$AC710),"")</f>
        <v/>
      </c>
      <c r="AH710" s="7" t="str">
        <f>IFERROR(IF([1]对账明细接口!$AD710=0,"",[1]对账明细接口!$AD710),"")</f>
        <v/>
      </c>
      <c r="AI710" s="7" t="str">
        <f>IFERROR(IF([1]对账明细接口!$AE710=0,"",[1]对账明细接口!$AE710),"")</f>
        <v/>
      </c>
      <c r="AJ710" s="7" t="str">
        <f>IFERROR(IF([1]对账明细接口!$AF710=0,"",[1]对账明细接口!$AF710),"")</f>
        <v/>
      </c>
    </row>
    <row r="711" ht="14.25" customHeight="1" spans="1:36">
      <c r="A711" s="14">
        <v>711</v>
      </c>
      <c r="B711" s="15" t="str">
        <f>IFERROR(IF([1]对账明细接口!$B$711=0,"",[1]对账明细接口!$B$711),"")</f>
        <v/>
      </c>
      <c r="C711" s="16" t="str">
        <f>IFERROR(IF([1]对账明细接口!$C$711=0,"",[1]对账明细接口!$C$711),"")</f>
        <v/>
      </c>
      <c r="D711" s="16" t="str">
        <f>IFERROR(IF([1]对账明细接口!$D$711=0,"",[1]对账明细接口!$D$711),"")</f>
        <v/>
      </c>
      <c r="E711" s="16" t="str">
        <f>IFERROR(IF([1]对账明细接口!$E$711=0,"",[1]对账明细接口!$E$711),"")</f>
        <v/>
      </c>
      <c r="F711" s="16" t="str">
        <f>IFERROR(IF([1]对账明细接口!$F$711=0,"",[1]对账明细接口!$F$711),"")</f>
        <v/>
      </c>
      <c r="G711" s="16" t="str">
        <f>IFERROR(IF([1]对账明细接口!$G$711=0,"",[1]对账明细接口!$G$711),"")</f>
        <v/>
      </c>
      <c r="H711" s="17" t="str">
        <f>IFERROR(IF([1]对账明细接口!$H$711=0,"",[1]对账明细接口!$H$711),"")</f>
        <v/>
      </c>
      <c r="I711" s="16" t="str">
        <f>IFERROR(IF([1]对账明细接口!$I$711=0,"",[1]对账明细接口!$I$711),"")</f>
        <v/>
      </c>
      <c r="J711" s="18" t="str">
        <f>IFERROR(IF([1]对账明细接口!$J$711=0,"",[1]对账明细接口!$J$711),"")</f>
        <v/>
      </c>
      <c r="K711" s="18" t="str">
        <f>IFERROR(IF([1]对账明细接口!$K$711=0,"",[1]对账明细接口!$K$711),"")</f>
        <v/>
      </c>
      <c r="L711" s="16" t="str">
        <f>IFERROR(IF([1]对账明细接口!$L$711=0,"",[1]对账明细接口!$L$711),"")</f>
        <v/>
      </c>
      <c r="M711" s="16" t="str">
        <f>IFERROR(IF([1]对账明细接口!$M$711=0,"",[1]对账明细接口!$M$711),"")</f>
        <v/>
      </c>
      <c r="N711" s="19">
        <f t="shared" si="22"/>
        <v>0</v>
      </c>
      <c r="O711" s="19">
        <f t="shared" si="23"/>
        <v>420</v>
      </c>
      <c r="S711" s="20" t="str">
        <f>IFERROR(IF([1]对账明细接口!$N711=0,"",[1]对账明细接口!$N711),"")</f>
        <v/>
      </c>
      <c r="T711" s="21" t="str">
        <f>IFERROR(IF([1]对账明细接口!$O711=0,"",[1]对账明细接口!$O711),"")</f>
        <v/>
      </c>
      <c r="U711" s="21" t="str">
        <f>IFERROR(IF([1]对账明细接口!$P711=0,"",[1]对账明细接口!$P711),"")</f>
        <v/>
      </c>
      <c r="V711" s="21" t="str">
        <f>IFERROR(IF([1]对账明细接口!$Q711=0,"",[1]对账明细接口!$Q711),"")</f>
        <v/>
      </c>
      <c r="W711" s="20" t="str">
        <f>IFERROR(IF([1]对账明细接口!$R711=0,"",[1]对账明细接口!$R711),"")</f>
        <v/>
      </c>
      <c r="X711" s="20" t="str">
        <f>IFERROR(IF([1]对账明细接口!$S711=0,"",[1]对账明细接口!$S711),"")</f>
        <v/>
      </c>
      <c r="Y711" s="20" t="str">
        <f>IFERROR(IF([1]对账明细接口!$T711=0,"",[1]对账明细接口!$T711),"")</f>
        <v/>
      </c>
      <c r="Z711" s="24" t="str">
        <f>IFERROR(IF([1]对账明细接口!$U711=0,"",[1]对账明细接口!$U711),"")</f>
        <v/>
      </c>
      <c r="AA711" s="24" t="str">
        <f>IFERROR(IF([1]对账明细接口!$V711=0,"",[1]对账明细接口!$V711),"")</f>
        <v/>
      </c>
      <c r="AB711" s="20" t="str">
        <f>IFERROR(IF([1]对账明细接口!$W711=0,"",[1]对账明细接口!$W711),"")</f>
        <v/>
      </c>
      <c r="AC711" s="7" t="str">
        <f>IFERROR(IF([1]对账明细接口!$X711=0,"",[1]对账明细接口!$X711),"")</f>
        <v/>
      </c>
      <c r="AD711" s="7" t="str">
        <f>IFERROR(IF([1]对账明细接口!$Y711=0,"",[1]对账明细接口!$Y711),"")</f>
        <v/>
      </c>
      <c r="AE711" s="7" t="str">
        <f>IFERROR(IF([1]对账明细接口!$AA711=0,"",[1]对账明细接口!$AA711),"")</f>
        <v/>
      </c>
      <c r="AF711" s="7" t="str">
        <f>IFERROR(IF([1]对账明细接口!$AB711=0,"",[1]对账明细接口!$AB711),"")</f>
        <v/>
      </c>
      <c r="AG711" s="7" t="str">
        <f>IFERROR(IF([1]对账明细接口!$AC711=0,"",[1]对账明细接口!$AC711),"")</f>
        <v/>
      </c>
      <c r="AH711" s="7" t="str">
        <f>IFERROR(IF([1]对账明细接口!$AD711=0,"",[1]对账明细接口!$AD711),"")</f>
        <v/>
      </c>
      <c r="AI711" s="7" t="str">
        <f>IFERROR(IF([1]对账明细接口!$AE711=0,"",[1]对账明细接口!$AE711),"")</f>
        <v/>
      </c>
      <c r="AJ711" s="7" t="str">
        <f>IFERROR(IF([1]对账明细接口!$AF711=0,"",[1]对账明细接口!$AF711),"")</f>
        <v/>
      </c>
    </row>
    <row r="712" ht="14.25" customHeight="1" spans="1:36">
      <c r="A712" s="14">
        <v>712</v>
      </c>
      <c r="B712" s="15" t="str">
        <f>IFERROR(IF([1]对账明细接口!$B$712=0,"",[1]对账明细接口!$B$712),"")</f>
        <v/>
      </c>
      <c r="C712" s="16" t="str">
        <f>IFERROR(IF([1]对账明细接口!$C$712=0,"",[1]对账明细接口!$C$712),"")</f>
        <v/>
      </c>
      <c r="D712" s="16" t="str">
        <f>IFERROR(IF([1]对账明细接口!$D$712=0,"",[1]对账明细接口!$D$712),"")</f>
        <v/>
      </c>
      <c r="E712" s="16" t="str">
        <f>IFERROR(IF([1]对账明细接口!$E$712=0,"",[1]对账明细接口!$E$712),"")</f>
        <v/>
      </c>
      <c r="F712" s="16" t="str">
        <f>IFERROR(IF([1]对账明细接口!$F$712=0,"",[1]对账明细接口!$F$712),"")</f>
        <v/>
      </c>
      <c r="G712" s="16" t="str">
        <f>IFERROR(IF([1]对账明细接口!$G$712=0,"",[1]对账明细接口!$G$712),"")</f>
        <v/>
      </c>
      <c r="H712" s="17" t="str">
        <f>IFERROR(IF([1]对账明细接口!$H$712=0,"",[1]对账明细接口!$H$712),"")</f>
        <v/>
      </c>
      <c r="I712" s="16" t="str">
        <f>IFERROR(IF([1]对账明细接口!$I$712=0,"",[1]对账明细接口!$I$712),"")</f>
        <v/>
      </c>
      <c r="J712" s="18" t="str">
        <f>IFERROR(IF([1]对账明细接口!$J$712=0,"",[1]对账明细接口!$J$712),"")</f>
        <v/>
      </c>
      <c r="K712" s="18" t="str">
        <f>IFERROR(IF([1]对账明细接口!$K$712=0,"",[1]对账明细接口!$K$712),"")</f>
        <v/>
      </c>
      <c r="L712" s="16" t="str">
        <f>IFERROR(IF([1]对账明细接口!$L$712=0,"",[1]对账明细接口!$L$712),"")</f>
        <v/>
      </c>
      <c r="M712" s="16" t="str">
        <f>IFERROR(IF([1]对账明细接口!$M$712=0,"",[1]对账明细接口!$M$712),"")</f>
        <v/>
      </c>
      <c r="N712" s="19">
        <f t="shared" si="22"/>
        <v>0</v>
      </c>
      <c r="O712" s="19">
        <f t="shared" si="23"/>
        <v>420</v>
      </c>
      <c r="S712" s="20" t="str">
        <f>IFERROR(IF([1]对账明细接口!$N712=0,"",[1]对账明细接口!$N712),"")</f>
        <v/>
      </c>
      <c r="T712" s="21" t="str">
        <f>IFERROR(IF([1]对账明细接口!$O712=0,"",[1]对账明细接口!$O712),"")</f>
        <v/>
      </c>
      <c r="U712" s="21" t="str">
        <f>IFERROR(IF([1]对账明细接口!$P712=0,"",[1]对账明细接口!$P712),"")</f>
        <v/>
      </c>
      <c r="V712" s="21" t="str">
        <f>IFERROR(IF([1]对账明细接口!$Q712=0,"",[1]对账明细接口!$Q712),"")</f>
        <v/>
      </c>
      <c r="W712" s="20" t="str">
        <f>IFERROR(IF([1]对账明细接口!$R712=0,"",[1]对账明细接口!$R712),"")</f>
        <v/>
      </c>
      <c r="X712" s="20" t="str">
        <f>IFERROR(IF([1]对账明细接口!$S712=0,"",[1]对账明细接口!$S712),"")</f>
        <v/>
      </c>
      <c r="Y712" s="20" t="str">
        <f>IFERROR(IF([1]对账明细接口!$T712=0,"",[1]对账明细接口!$T712),"")</f>
        <v/>
      </c>
      <c r="Z712" s="24" t="str">
        <f>IFERROR(IF([1]对账明细接口!$U712=0,"",[1]对账明细接口!$U712),"")</f>
        <v/>
      </c>
      <c r="AA712" s="24" t="str">
        <f>IFERROR(IF([1]对账明细接口!$V712=0,"",[1]对账明细接口!$V712),"")</f>
        <v/>
      </c>
      <c r="AB712" s="20" t="str">
        <f>IFERROR(IF([1]对账明细接口!$W712=0,"",[1]对账明细接口!$W712),"")</f>
        <v/>
      </c>
      <c r="AC712" s="7" t="str">
        <f>IFERROR(IF([1]对账明细接口!$X712=0,"",[1]对账明细接口!$X712),"")</f>
        <v/>
      </c>
      <c r="AD712" s="7" t="str">
        <f>IFERROR(IF([1]对账明细接口!$Y712=0,"",[1]对账明细接口!$Y712),"")</f>
        <v/>
      </c>
      <c r="AE712" s="7" t="str">
        <f>IFERROR(IF([1]对账明细接口!$AA712=0,"",[1]对账明细接口!$AA712),"")</f>
        <v/>
      </c>
      <c r="AF712" s="7" t="str">
        <f>IFERROR(IF([1]对账明细接口!$AB712=0,"",[1]对账明细接口!$AB712),"")</f>
        <v/>
      </c>
      <c r="AG712" s="7" t="str">
        <f>IFERROR(IF([1]对账明细接口!$AC712=0,"",[1]对账明细接口!$AC712),"")</f>
        <v/>
      </c>
      <c r="AH712" s="7" t="str">
        <f>IFERROR(IF([1]对账明细接口!$AD712=0,"",[1]对账明细接口!$AD712),"")</f>
        <v/>
      </c>
      <c r="AI712" s="7" t="str">
        <f>IFERROR(IF([1]对账明细接口!$AE712=0,"",[1]对账明细接口!$AE712),"")</f>
        <v/>
      </c>
      <c r="AJ712" s="7" t="str">
        <f>IFERROR(IF([1]对账明细接口!$AF712=0,"",[1]对账明细接口!$AF712),"")</f>
        <v/>
      </c>
    </row>
    <row r="713" ht="14.25" customHeight="1" spans="1:36">
      <c r="A713" s="14">
        <v>713</v>
      </c>
      <c r="B713" s="15" t="str">
        <f>IFERROR(IF([1]对账明细接口!$B$713=0,"",[1]对账明细接口!$B$713),"")</f>
        <v/>
      </c>
      <c r="C713" s="16" t="str">
        <f>IFERROR(IF([1]对账明细接口!$C$713=0,"",[1]对账明细接口!$C$713),"")</f>
        <v/>
      </c>
      <c r="D713" s="16" t="str">
        <f>IFERROR(IF([1]对账明细接口!$D$713=0,"",[1]对账明细接口!$D$713),"")</f>
        <v/>
      </c>
      <c r="E713" s="16" t="str">
        <f>IFERROR(IF([1]对账明细接口!$E$713=0,"",[1]对账明细接口!$E$713),"")</f>
        <v/>
      </c>
      <c r="F713" s="16" t="str">
        <f>IFERROR(IF([1]对账明细接口!$F$713=0,"",[1]对账明细接口!$F$713),"")</f>
        <v/>
      </c>
      <c r="G713" s="16" t="str">
        <f>IFERROR(IF([1]对账明细接口!$G$713=0,"",[1]对账明细接口!$G$713),"")</f>
        <v/>
      </c>
      <c r="H713" s="17" t="str">
        <f>IFERROR(IF([1]对账明细接口!$H$713=0,"",[1]对账明细接口!$H$713),"")</f>
        <v/>
      </c>
      <c r="I713" s="16" t="str">
        <f>IFERROR(IF([1]对账明细接口!$I$713=0,"",[1]对账明细接口!$I$713),"")</f>
        <v/>
      </c>
      <c r="J713" s="18" t="str">
        <f>IFERROR(IF([1]对账明细接口!$J$713=0,"",[1]对账明细接口!$J$713),"")</f>
        <v/>
      </c>
      <c r="K713" s="18" t="str">
        <f>IFERROR(IF([1]对账明细接口!$K$713=0,"",[1]对账明细接口!$K$713),"")</f>
        <v/>
      </c>
      <c r="L713" s="16" t="str">
        <f>IFERROR(IF([1]对账明细接口!$L$713=0,"",[1]对账明细接口!$L$713),"")</f>
        <v/>
      </c>
      <c r="M713" s="16" t="str">
        <f>IFERROR(IF([1]对账明细接口!$M$713=0,"",[1]对账明细接口!$M$713),"")</f>
        <v/>
      </c>
      <c r="N713" s="19">
        <f t="shared" si="22"/>
        <v>0</v>
      </c>
      <c r="O713" s="19">
        <f t="shared" si="23"/>
        <v>420</v>
      </c>
      <c r="S713" s="20" t="str">
        <f>IFERROR(IF([1]对账明细接口!$N713=0,"",[1]对账明细接口!$N713),"")</f>
        <v/>
      </c>
      <c r="T713" s="21" t="str">
        <f>IFERROR(IF([1]对账明细接口!$O713=0,"",[1]对账明细接口!$O713),"")</f>
        <v/>
      </c>
      <c r="U713" s="21" t="str">
        <f>IFERROR(IF([1]对账明细接口!$P713=0,"",[1]对账明细接口!$P713),"")</f>
        <v/>
      </c>
      <c r="V713" s="21" t="str">
        <f>IFERROR(IF([1]对账明细接口!$Q713=0,"",[1]对账明细接口!$Q713),"")</f>
        <v/>
      </c>
      <c r="W713" s="20" t="str">
        <f>IFERROR(IF([1]对账明细接口!$R713=0,"",[1]对账明细接口!$R713),"")</f>
        <v/>
      </c>
      <c r="X713" s="20" t="str">
        <f>IFERROR(IF([1]对账明细接口!$S713=0,"",[1]对账明细接口!$S713),"")</f>
        <v/>
      </c>
      <c r="Y713" s="20" t="str">
        <f>IFERROR(IF([1]对账明细接口!$T713=0,"",[1]对账明细接口!$T713),"")</f>
        <v/>
      </c>
      <c r="Z713" s="24" t="str">
        <f>IFERROR(IF([1]对账明细接口!$U713=0,"",[1]对账明细接口!$U713),"")</f>
        <v/>
      </c>
      <c r="AA713" s="24" t="str">
        <f>IFERROR(IF([1]对账明细接口!$V713=0,"",[1]对账明细接口!$V713),"")</f>
        <v/>
      </c>
      <c r="AB713" s="20" t="str">
        <f>IFERROR(IF([1]对账明细接口!$W713=0,"",[1]对账明细接口!$W713),"")</f>
        <v/>
      </c>
      <c r="AC713" s="7" t="str">
        <f>IFERROR(IF([1]对账明细接口!$X713=0,"",[1]对账明细接口!$X713),"")</f>
        <v/>
      </c>
      <c r="AD713" s="7" t="str">
        <f>IFERROR(IF([1]对账明细接口!$Y713=0,"",[1]对账明细接口!$Y713),"")</f>
        <v/>
      </c>
      <c r="AE713" s="7" t="str">
        <f>IFERROR(IF([1]对账明细接口!$AA713=0,"",[1]对账明细接口!$AA713),"")</f>
        <v/>
      </c>
      <c r="AF713" s="7" t="str">
        <f>IFERROR(IF([1]对账明细接口!$AB713=0,"",[1]对账明细接口!$AB713),"")</f>
        <v/>
      </c>
      <c r="AG713" s="7" t="str">
        <f>IFERROR(IF([1]对账明细接口!$AC713=0,"",[1]对账明细接口!$AC713),"")</f>
        <v/>
      </c>
      <c r="AH713" s="7" t="str">
        <f>IFERROR(IF([1]对账明细接口!$AD713=0,"",[1]对账明细接口!$AD713),"")</f>
        <v/>
      </c>
      <c r="AI713" s="7" t="str">
        <f>IFERROR(IF([1]对账明细接口!$AE713=0,"",[1]对账明细接口!$AE713),"")</f>
        <v/>
      </c>
      <c r="AJ713" s="7" t="str">
        <f>IFERROR(IF([1]对账明细接口!$AF713=0,"",[1]对账明细接口!$AF713),"")</f>
        <v/>
      </c>
    </row>
    <row r="714" ht="14.25" customHeight="1" spans="1:36">
      <c r="A714" s="14">
        <v>714</v>
      </c>
      <c r="B714" s="15" t="str">
        <f>IFERROR(IF([1]对账明细接口!$B$714=0,"",[1]对账明细接口!$B$714),"")</f>
        <v/>
      </c>
      <c r="C714" s="16" t="str">
        <f>IFERROR(IF([1]对账明细接口!$C$714=0,"",[1]对账明细接口!$C$714),"")</f>
        <v/>
      </c>
      <c r="D714" s="16" t="str">
        <f>IFERROR(IF([1]对账明细接口!$D$714=0,"",[1]对账明细接口!$D$714),"")</f>
        <v/>
      </c>
      <c r="E714" s="16" t="str">
        <f>IFERROR(IF([1]对账明细接口!$E$714=0,"",[1]对账明细接口!$E$714),"")</f>
        <v/>
      </c>
      <c r="F714" s="16" t="str">
        <f>IFERROR(IF([1]对账明细接口!$F$714=0,"",[1]对账明细接口!$F$714),"")</f>
        <v/>
      </c>
      <c r="G714" s="16" t="str">
        <f>IFERROR(IF([1]对账明细接口!$G$714=0,"",[1]对账明细接口!$G$714),"")</f>
        <v/>
      </c>
      <c r="H714" s="17" t="str">
        <f>IFERROR(IF([1]对账明细接口!$H$714=0,"",[1]对账明细接口!$H$714),"")</f>
        <v/>
      </c>
      <c r="I714" s="16" t="str">
        <f>IFERROR(IF([1]对账明细接口!$I$714=0,"",[1]对账明细接口!$I$714),"")</f>
        <v/>
      </c>
      <c r="J714" s="18" t="str">
        <f>IFERROR(IF([1]对账明细接口!$J$714=0,"",[1]对账明细接口!$J$714),"")</f>
        <v/>
      </c>
      <c r="K714" s="18" t="str">
        <f>IFERROR(IF([1]对账明细接口!$K$714=0,"",[1]对账明细接口!$K$714),"")</f>
        <v/>
      </c>
      <c r="L714" s="16" t="str">
        <f>IFERROR(IF([1]对账明细接口!$L$714=0,"",[1]对账明细接口!$L$714),"")</f>
        <v/>
      </c>
      <c r="M714" s="16" t="str">
        <f>IFERROR(IF([1]对账明细接口!$M$714=0,"",[1]对账明细接口!$M$714),"")</f>
        <v/>
      </c>
      <c r="N714" s="19">
        <f t="shared" si="22"/>
        <v>0</v>
      </c>
      <c r="O714" s="19">
        <f t="shared" si="23"/>
        <v>420</v>
      </c>
      <c r="S714" s="20" t="str">
        <f>IFERROR(IF([1]对账明细接口!$N714=0,"",[1]对账明细接口!$N714),"")</f>
        <v/>
      </c>
      <c r="T714" s="21" t="str">
        <f>IFERROR(IF([1]对账明细接口!$O714=0,"",[1]对账明细接口!$O714),"")</f>
        <v/>
      </c>
      <c r="U714" s="21" t="str">
        <f>IFERROR(IF([1]对账明细接口!$P714=0,"",[1]对账明细接口!$P714),"")</f>
        <v/>
      </c>
      <c r="V714" s="21" t="str">
        <f>IFERROR(IF([1]对账明细接口!$Q714=0,"",[1]对账明细接口!$Q714),"")</f>
        <v/>
      </c>
      <c r="W714" s="20" t="str">
        <f>IFERROR(IF([1]对账明细接口!$R714=0,"",[1]对账明细接口!$R714),"")</f>
        <v/>
      </c>
      <c r="X714" s="20" t="str">
        <f>IFERROR(IF([1]对账明细接口!$S714=0,"",[1]对账明细接口!$S714),"")</f>
        <v/>
      </c>
      <c r="Y714" s="20" t="str">
        <f>IFERROR(IF([1]对账明细接口!$T714=0,"",[1]对账明细接口!$T714),"")</f>
        <v/>
      </c>
      <c r="Z714" s="24" t="str">
        <f>IFERROR(IF([1]对账明细接口!$U714=0,"",[1]对账明细接口!$U714),"")</f>
        <v/>
      </c>
      <c r="AA714" s="24" t="str">
        <f>IFERROR(IF([1]对账明细接口!$V714=0,"",[1]对账明细接口!$V714),"")</f>
        <v/>
      </c>
      <c r="AB714" s="20" t="str">
        <f>IFERROR(IF([1]对账明细接口!$W714=0,"",[1]对账明细接口!$W714),"")</f>
        <v/>
      </c>
      <c r="AC714" s="7" t="str">
        <f>IFERROR(IF([1]对账明细接口!$X714=0,"",[1]对账明细接口!$X714),"")</f>
        <v/>
      </c>
      <c r="AD714" s="7" t="str">
        <f>IFERROR(IF([1]对账明细接口!$Y714=0,"",[1]对账明细接口!$Y714),"")</f>
        <v/>
      </c>
      <c r="AE714" s="7" t="str">
        <f>IFERROR(IF([1]对账明细接口!$AA714=0,"",[1]对账明细接口!$AA714),"")</f>
        <v/>
      </c>
      <c r="AF714" s="7" t="str">
        <f>IFERROR(IF([1]对账明细接口!$AB714=0,"",[1]对账明细接口!$AB714),"")</f>
        <v/>
      </c>
      <c r="AG714" s="7" t="str">
        <f>IFERROR(IF([1]对账明细接口!$AC714=0,"",[1]对账明细接口!$AC714),"")</f>
        <v/>
      </c>
      <c r="AH714" s="7" t="str">
        <f>IFERROR(IF([1]对账明细接口!$AD714=0,"",[1]对账明细接口!$AD714),"")</f>
        <v/>
      </c>
      <c r="AI714" s="7" t="str">
        <f>IFERROR(IF([1]对账明细接口!$AE714=0,"",[1]对账明细接口!$AE714),"")</f>
        <v/>
      </c>
      <c r="AJ714" s="7" t="str">
        <f>IFERROR(IF([1]对账明细接口!$AF714=0,"",[1]对账明细接口!$AF714),"")</f>
        <v/>
      </c>
    </row>
    <row r="715" ht="14.25" customHeight="1" spans="1:36">
      <c r="A715" s="14">
        <v>715</v>
      </c>
      <c r="B715" s="15" t="str">
        <f>IFERROR(IF([1]对账明细接口!$B$715=0,"",[1]对账明细接口!$B$715),"")</f>
        <v/>
      </c>
      <c r="C715" s="16" t="str">
        <f>IFERROR(IF([1]对账明细接口!$C$715=0,"",[1]对账明细接口!$C$715),"")</f>
        <v/>
      </c>
      <c r="D715" s="16" t="str">
        <f>IFERROR(IF([1]对账明细接口!$D$715=0,"",[1]对账明细接口!$D$715),"")</f>
        <v/>
      </c>
      <c r="E715" s="16" t="str">
        <f>IFERROR(IF([1]对账明细接口!$E$715=0,"",[1]对账明细接口!$E$715),"")</f>
        <v/>
      </c>
      <c r="F715" s="16" t="str">
        <f>IFERROR(IF([1]对账明细接口!$F$715=0,"",[1]对账明细接口!$F$715),"")</f>
        <v/>
      </c>
      <c r="G715" s="16" t="str">
        <f>IFERROR(IF([1]对账明细接口!$G$715=0,"",[1]对账明细接口!$G$715),"")</f>
        <v/>
      </c>
      <c r="H715" s="17" t="str">
        <f>IFERROR(IF([1]对账明细接口!$H$715=0,"",[1]对账明细接口!$H$715),"")</f>
        <v/>
      </c>
      <c r="I715" s="16" t="str">
        <f>IFERROR(IF([1]对账明细接口!$I$715=0,"",[1]对账明细接口!$I$715),"")</f>
        <v/>
      </c>
      <c r="J715" s="18" t="str">
        <f>IFERROR(IF([1]对账明细接口!$J$715=0,"",[1]对账明细接口!$J$715),"")</f>
        <v/>
      </c>
      <c r="K715" s="18" t="str">
        <f>IFERROR(IF([1]对账明细接口!$K$715=0,"",[1]对账明细接口!$K$715),"")</f>
        <v/>
      </c>
      <c r="L715" s="16" t="str">
        <f>IFERROR(IF([1]对账明细接口!$L$715=0,"",[1]对账明细接口!$L$715),"")</f>
        <v/>
      </c>
      <c r="M715" s="16" t="str">
        <f>IFERROR(IF([1]对账明细接口!$M$715=0,"",[1]对账明细接口!$M$715),"")</f>
        <v/>
      </c>
      <c r="N715" s="19">
        <f t="shared" si="22"/>
        <v>0</v>
      </c>
      <c r="O715" s="19">
        <f t="shared" si="23"/>
        <v>420</v>
      </c>
      <c r="S715" s="20" t="str">
        <f>IFERROR(IF([1]对账明细接口!$N715=0,"",[1]对账明细接口!$N715),"")</f>
        <v/>
      </c>
      <c r="T715" s="21" t="str">
        <f>IFERROR(IF([1]对账明细接口!$O715=0,"",[1]对账明细接口!$O715),"")</f>
        <v/>
      </c>
      <c r="U715" s="21" t="str">
        <f>IFERROR(IF([1]对账明细接口!$P715=0,"",[1]对账明细接口!$P715),"")</f>
        <v/>
      </c>
      <c r="V715" s="21" t="str">
        <f>IFERROR(IF([1]对账明细接口!$Q715=0,"",[1]对账明细接口!$Q715),"")</f>
        <v/>
      </c>
      <c r="W715" s="20" t="str">
        <f>IFERROR(IF([1]对账明细接口!$R715=0,"",[1]对账明细接口!$R715),"")</f>
        <v/>
      </c>
      <c r="X715" s="20" t="str">
        <f>IFERROR(IF([1]对账明细接口!$S715=0,"",[1]对账明细接口!$S715),"")</f>
        <v/>
      </c>
      <c r="Y715" s="20" t="str">
        <f>IFERROR(IF([1]对账明细接口!$T715=0,"",[1]对账明细接口!$T715),"")</f>
        <v/>
      </c>
      <c r="Z715" s="24" t="str">
        <f>IFERROR(IF([1]对账明细接口!$U715=0,"",[1]对账明细接口!$U715),"")</f>
        <v/>
      </c>
      <c r="AA715" s="24" t="str">
        <f>IFERROR(IF([1]对账明细接口!$V715=0,"",[1]对账明细接口!$V715),"")</f>
        <v/>
      </c>
      <c r="AB715" s="20" t="str">
        <f>IFERROR(IF([1]对账明细接口!$W715=0,"",[1]对账明细接口!$W715),"")</f>
        <v/>
      </c>
      <c r="AC715" s="7" t="str">
        <f>IFERROR(IF([1]对账明细接口!$X715=0,"",[1]对账明细接口!$X715),"")</f>
        <v/>
      </c>
      <c r="AD715" s="7" t="str">
        <f>IFERROR(IF([1]对账明细接口!$Y715=0,"",[1]对账明细接口!$Y715),"")</f>
        <v/>
      </c>
      <c r="AE715" s="7" t="str">
        <f>IFERROR(IF([1]对账明细接口!$AA715=0,"",[1]对账明细接口!$AA715),"")</f>
        <v/>
      </c>
      <c r="AF715" s="7" t="str">
        <f>IFERROR(IF([1]对账明细接口!$AB715=0,"",[1]对账明细接口!$AB715),"")</f>
        <v/>
      </c>
      <c r="AG715" s="7" t="str">
        <f>IFERROR(IF([1]对账明细接口!$AC715=0,"",[1]对账明细接口!$AC715),"")</f>
        <v/>
      </c>
      <c r="AH715" s="7" t="str">
        <f>IFERROR(IF([1]对账明细接口!$AD715=0,"",[1]对账明细接口!$AD715),"")</f>
        <v/>
      </c>
      <c r="AI715" s="7" t="str">
        <f>IFERROR(IF([1]对账明细接口!$AE715=0,"",[1]对账明细接口!$AE715),"")</f>
        <v/>
      </c>
      <c r="AJ715" s="7" t="str">
        <f>IFERROR(IF([1]对账明细接口!$AF715=0,"",[1]对账明细接口!$AF715),"")</f>
        <v/>
      </c>
    </row>
    <row r="716" ht="14.25" customHeight="1" spans="1:36">
      <c r="A716" s="14">
        <v>716</v>
      </c>
      <c r="B716" s="15" t="str">
        <f>IFERROR(IF([1]对账明细接口!$B$716=0,"",[1]对账明细接口!$B$716),"")</f>
        <v/>
      </c>
      <c r="C716" s="16" t="str">
        <f>IFERROR(IF([1]对账明细接口!$C$716=0,"",[1]对账明细接口!$C$716),"")</f>
        <v/>
      </c>
      <c r="D716" s="16" t="str">
        <f>IFERROR(IF([1]对账明细接口!$D$716=0,"",[1]对账明细接口!$D$716),"")</f>
        <v/>
      </c>
      <c r="E716" s="16" t="str">
        <f>IFERROR(IF([1]对账明细接口!$E$716=0,"",[1]对账明细接口!$E$716),"")</f>
        <v/>
      </c>
      <c r="F716" s="16" t="str">
        <f>IFERROR(IF([1]对账明细接口!$F$716=0,"",[1]对账明细接口!$F$716),"")</f>
        <v/>
      </c>
      <c r="G716" s="16" t="str">
        <f>IFERROR(IF([1]对账明细接口!$G$716=0,"",[1]对账明细接口!$G$716),"")</f>
        <v/>
      </c>
      <c r="H716" s="17" t="str">
        <f>IFERROR(IF([1]对账明细接口!$H$716=0,"",[1]对账明细接口!$H$716),"")</f>
        <v/>
      </c>
      <c r="I716" s="16" t="str">
        <f>IFERROR(IF([1]对账明细接口!$I$716=0,"",[1]对账明细接口!$I$716),"")</f>
        <v/>
      </c>
      <c r="J716" s="18" t="str">
        <f>IFERROR(IF([1]对账明细接口!$J$716=0,"",[1]对账明细接口!$J$716),"")</f>
        <v/>
      </c>
      <c r="K716" s="18" t="str">
        <f>IFERROR(IF([1]对账明细接口!$K$716=0,"",[1]对账明细接口!$K$716),"")</f>
        <v/>
      </c>
      <c r="L716" s="16" t="str">
        <f>IFERROR(IF([1]对账明细接口!$L$716=0,"",[1]对账明细接口!$L$716),"")</f>
        <v/>
      </c>
      <c r="M716" s="16" t="str">
        <f>IFERROR(IF([1]对账明细接口!$M$716=0,"",[1]对账明细接口!$M$716),"")</f>
        <v/>
      </c>
      <c r="N716" s="19">
        <f t="shared" si="22"/>
        <v>0</v>
      </c>
      <c r="O716" s="19">
        <f t="shared" si="23"/>
        <v>420</v>
      </c>
      <c r="S716" s="20" t="str">
        <f>IFERROR(IF([1]对账明细接口!$N716=0,"",[1]对账明细接口!$N716),"")</f>
        <v/>
      </c>
      <c r="T716" s="21" t="str">
        <f>IFERROR(IF([1]对账明细接口!$O716=0,"",[1]对账明细接口!$O716),"")</f>
        <v/>
      </c>
      <c r="U716" s="21" t="str">
        <f>IFERROR(IF([1]对账明细接口!$P716=0,"",[1]对账明细接口!$P716),"")</f>
        <v/>
      </c>
      <c r="V716" s="21" t="str">
        <f>IFERROR(IF([1]对账明细接口!$Q716=0,"",[1]对账明细接口!$Q716),"")</f>
        <v/>
      </c>
      <c r="W716" s="20" t="str">
        <f>IFERROR(IF([1]对账明细接口!$R716=0,"",[1]对账明细接口!$R716),"")</f>
        <v/>
      </c>
      <c r="X716" s="20" t="str">
        <f>IFERROR(IF([1]对账明细接口!$S716=0,"",[1]对账明细接口!$S716),"")</f>
        <v/>
      </c>
      <c r="Y716" s="20" t="str">
        <f>IFERROR(IF([1]对账明细接口!$T716=0,"",[1]对账明细接口!$T716),"")</f>
        <v/>
      </c>
      <c r="Z716" s="24" t="str">
        <f>IFERROR(IF([1]对账明细接口!$U716=0,"",[1]对账明细接口!$U716),"")</f>
        <v/>
      </c>
      <c r="AA716" s="24" t="str">
        <f>IFERROR(IF([1]对账明细接口!$V716=0,"",[1]对账明细接口!$V716),"")</f>
        <v/>
      </c>
      <c r="AB716" s="20" t="str">
        <f>IFERROR(IF([1]对账明细接口!$W716=0,"",[1]对账明细接口!$W716),"")</f>
        <v/>
      </c>
      <c r="AC716" s="7" t="str">
        <f>IFERROR(IF([1]对账明细接口!$X716=0,"",[1]对账明细接口!$X716),"")</f>
        <v/>
      </c>
      <c r="AD716" s="7" t="str">
        <f>IFERROR(IF([1]对账明细接口!$Y716=0,"",[1]对账明细接口!$Y716),"")</f>
        <v/>
      </c>
      <c r="AE716" s="7" t="str">
        <f>IFERROR(IF([1]对账明细接口!$AA716=0,"",[1]对账明细接口!$AA716),"")</f>
        <v/>
      </c>
      <c r="AF716" s="7" t="str">
        <f>IFERROR(IF([1]对账明细接口!$AB716=0,"",[1]对账明细接口!$AB716),"")</f>
        <v/>
      </c>
      <c r="AG716" s="7" t="str">
        <f>IFERROR(IF([1]对账明细接口!$AC716=0,"",[1]对账明细接口!$AC716),"")</f>
        <v/>
      </c>
      <c r="AH716" s="7" t="str">
        <f>IFERROR(IF([1]对账明细接口!$AD716=0,"",[1]对账明细接口!$AD716),"")</f>
        <v/>
      </c>
      <c r="AI716" s="7" t="str">
        <f>IFERROR(IF([1]对账明细接口!$AE716=0,"",[1]对账明细接口!$AE716),"")</f>
        <v/>
      </c>
      <c r="AJ716" s="7" t="str">
        <f>IFERROR(IF([1]对账明细接口!$AF716=0,"",[1]对账明细接口!$AF716),"")</f>
        <v/>
      </c>
    </row>
    <row r="717" ht="14.25" customHeight="1" spans="1:36">
      <c r="A717" s="14">
        <v>717</v>
      </c>
      <c r="B717" s="15" t="str">
        <f>IFERROR(IF([1]对账明细接口!$B$717=0,"",[1]对账明细接口!$B$717),"")</f>
        <v/>
      </c>
      <c r="C717" s="16" t="str">
        <f>IFERROR(IF([1]对账明细接口!$C$717=0,"",[1]对账明细接口!$C$717),"")</f>
        <v/>
      </c>
      <c r="D717" s="16" t="str">
        <f>IFERROR(IF([1]对账明细接口!$D$717=0,"",[1]对账明细接口!$D$717),"")</f>
        <v/>
      </c>
      <c r="E717" s="16" t="str">
        <f>IFERROR(IF([1]对账明细接口!$E$717=0,"",[1]对账明细接口!$E$717),"")</f>
        <v/>
      </c>
      <c r="F717" s="16" t="str">
        <f>IFERROR(IF([1]对账明细接口!$F$717=0,"",[1]对账明细接口!$F$717),"")</f>
        <v/>
      </c>
      <c r="G717" s="16" t="str">
        <f>IFERROR(IF([1]对账明细接口!$G$717=0,"",[1]对账明细接口!$G$717),"")</f>
        <v/>
      </c>
      <c r="H717" s="17" t="str">
        <f>IFERROR(IF([1]对账明细接口!$H$717=0,"",[1]对账明细接口!$H$717),"")</f>
        <v/>
      </c>
      <c r="I717" s="16" t="str">
        <f>IFERROR(IF([1]对账明细接口!$I$717=0,"",[1]对账明细接口!$I$717),"")</f>
        <v/>
      </c>
      <c r="J717" s="18" t="str">
        <f>IFERROR(IF([1]对账明细接口!$J$717=0,"",[1]对账明细接口!$J$717),"")</f>
        <v/>
      </c>
      <c r="K717" s="18" t="str">
        <f>IFERROR(IF([1]对账明细接口!$K$717=0,"",[1]对账明细接口!$K$717),"")</f>
        <v/>
      </c>
      <c r="L717" s="16" t="str">
        <f>IFERROR(IF([1]对账明细接口!$L$717=0,"",[1]对账明细接口!$L$717),"")</f>
        <v/>
      </c>
      <c r="M717" s="16" t="str">
        <f>IFERROR(IF([1]对账明细接口!$M$717=0,"",[1]对账明细接口!$M$717),"")</f>
        <v/>
      </c>
      <c r="N717" s="19">
        <f t="shared" si="22"/>
        <v>0</v>
      </c>
      <c r="O717" s="19">
        <f t="shared" si="23"/>
        <v>420</v>
      </c>
      <c r="S717" s="20" t="str">
        <f>IFERROR(IF([1]对账明细接口!$N717=0,"",[1]对账明细接口!$N717),"")</f>
        <v/>
      </c>
      <c r="T717" s="21" t="str">
        <f>IFERROR(IF([1]对账明细接口!$O717=0,"",[1]对账明细接口!$O717),"")</f>
        <v/>
      </c>
      <c r="U717" s="21" t="str">
        <f>IFERROR(IF([1]对账明细接口!$P717=0,"",[1]对账明细接口!$P717),"")</f>
        <v/>
      </c>
      <c r="V717" s="21" t="str">
        <f>IFERROR(IF([1]对账明细接口!$Q717=0,"",[1]对账明细接口!$Q717),"")</f>
        <v/>
      </c>
      <c r="W717" s="20" t="str">
        <f>IFERROR(IF([1]对账明细接口!$R717=0,"",[1]对账明细接口!$R717),"")</f>
        <v/>
      </c>
      <c r="X717" s="20" t="str">
        <f>IFERROR(IF([1]对账明细接口!$S717=0,"",[1]对账明细接口!$S717),"")</f>
        <v/>
      </c>
      <c r="Y717" s="20" t="str">
        <f>IFERROR(IF([1]对账明细接口!$T717=0,"",[1]对账明细接口!$T717),"")</f>
        <v/>
      </c>
      <c r="Z717" s="24" t="str">
        <f>IFERROR(IF([1]对账明细接口!$U717=0,"",[1]对账明细接口!$U717),"")</f>
        <v/>
      </c>
      <c r="AA717" s="24" t="str">
        <f>IFERROR(IF([1]对账明细接口!$V717=0,"",[1]对账明细接口!$V717),"")</f>
        <v/>
      </c>
      <c r="AB717" s="20" t="str">
        <f>IFERROR(IF([1]对账明细接口!$W717=0,"",[1]对账明细接口!$W717),"")</f>
        <v/>
      </c>
      <c r="AC717" s="7" t="str">
        <f>IFERROR(IF([1]对账明细接口!$X717=0,"",[1]对账明细接口!$X717),"")</f>
        <v/>
      </c>
      <c r="AD717" s="7" t="str">
        <f>IFERROR(IF([1]对账明细接口!$Y717=0,"",[1]对账明细接口!$Y717),"")</f>
        <v/>
      </c>
      <c r="AE717" s="7" t="str">
        <f>IFERROR(IF([1]对账明细接口!$AA717=0,"",[1]对账明细接口!$AA717),"")</f>
        <v/>
      </c>
      <c r="AF717" s="7" t="str">
        <f>IFERROR(IF([1]对账明细接口!$AB717=0,"",[1]对账明细接口!$AB717),"")</f>
        <v/>
      </c>
      <c r="AG717" s="7" t="str">
        <f>IFERROR(IF([1]对账明细接口!$AC717=0,"",[1]对账明细接口!$AC717),"")</f>
        <v/>
      </c>
      <c r="AH717" s="7" t="str">
        <f>IFERROR(IF([1]对账明细接口!$AD717=0,"",[1]对账明细接口!$AD717),"")</f>
        <v/>
      </c>
      <c r="AI717" s="7" t="str">
        <f>IFERROR(IF([1]对账明细接口!$AE717=0,"",[1]对账明细接口!$AE717),"")</f>
        <v/>
      </c>
      <c r="AJ717" s="7" t="str">
        <f>IFERROR(IF([1]对账明细接口!$AF717=0,"",[1]对账明细接口!$AF717),"")</f>
        <v/>
      </c>
    </row>
    <row r="718" ht="14.25" customHeight="1" spans="1:36">
      <c r="A718" s="14">
        <v>718</v>
      </c>
      <c r="B718" s="15" t="str">
        <f>IFERROR(IF([1]对账明细接口!$B$718=0,"",[1]对账明细接口!$B$718),"")</f>
        <v/>
      </c>
      <c r="C718" s="16" t="str">
        <f>IFERROR(IF([1]对账明细接口!$C$718=0,"",[1]对账明细接口!$C$718),"")</f>
        <v/>
      </c>
      <c r="D718" s="16" t="str">
        <f>IFERROR(IF([1]对账明细接口!$D$718=0,"",[1]对账明细接口!$D$718),"")</f>
        <v/>
      </c>
      <c r="E718" s="16" t="str">
        <f>IFERROR(IF([1]对账明细接口!$E$718=0,"",[1]对账明细接口!$E$718),"")</f>
        <v/>
      </c>
      <c r="F718" s="16" t="str">
        <f>IFERROR(IF([1]对账明细接口!$F$718=0,"",[1]对账明细接口!$F$718),"")</f>
        <v/>
      </c>
      <c r="G718" s="16" t="str">
        <f>IFERROR(IF([1]对账明细接口!$G$718=0,"",[1]对账明细接口!$G$718),"")</f>
        <v/>
      </c>
      <c r="H718" s="17" t="str">
        <f>IFERROR(IF([1]对账明细接口!$H$718=0,"",[1]对账明细接口!$H$718),"")</f>
        <v/>
      </c>
      <c r="I718" s="16" t="str">
        <f>IFERROR(IF([1]对账明细接口!$I$718=0,"",[1]对账明细接口!$I$718),"")</f>
        <v/>
      </c>
      <c r="J718" s="18" t="str">
        <f>IFERROR(IF([1]对账明细接口!$J$718=0,"",[1]对账明细接口!$J$718),"")</f>
        <v/>
      </c>
      <c r="K718" s="18" t="str">
        <f>IFERROR(IF([1]对账明细接口!$K$718=0,"",[1]对账明细接口!$K$718),"")</f>
        <v/>
      </c>
      <c r="L718" s="16" t="str">
        <f>IFERROR(IF([1]对账明细接口!$L$718=0,"",[1]对账明细接口!$L$718),"")</f>
        <v/>
      </c>
      <c r="M718" s="16" t="str">
        <f>IFERROR(IF([1]对账明细接口!$M$718=0,"",[1]对账明细接口!$M$718),"")</f>
        <v/>
      </c>
      <c r="N718" s="19">
        <f t="shared" si="22"/>
        <v>0</v>
      </c>
      <c r="O718" s="19">
        <f t="shared" si="23"/>
        <v>420</v>
      </c>
      <c r="S718" s="20" t="str">
        <f>IFERROR(IF([1]对账明细接口!$N718=0,"",[1]对账明细接口!$N718),"")</f>
        <v/>
      </c>
      <c r="T718" s="21" t="str">
        <f>IFERROR(IF([1]对账明细接口!$O718=0,"",[1]对账明细接口!$O718),"")</f>
        <v/>
      </c>
      <c r="U718" s="21" t="str">
        <f>IFERROR(IF([1]对账明细接口!$P718=0,"",[1]对账明细接口!$P718),"")</f>
        <v/>
      </c>
      <c r="V718" s="21" t="str">
        <f>IFERROR(IF([1]对账明细接口!$Q718=0,"",[1]对账明细接口!$Q718),"")</f>
        <v/>
      </c>
      <c r="W718" s="20" t="str">
        <f>IFERROR(IF([1]对账明细接口!$R718=0,"",[1]对账明细接口!$R718),"")</f>
        <v/>
      </c>
      <c r="X718" s="20" t="str">
        <f>IFERROR(IF([1]对账明细接口!$S718=0,"",[1]对账明细接口!$S718),"")</f>
        <v/>
      </c>
      <c r="Y718" s="20" t="str">
        <f>IFERROR(IF([1]对账明细接口!$T718=0,"",[1]对账明细接口!$T718),"")</f>
        <v/>
      </c>
      <c r="Z718" s="24" t="str">
        <f>IFERROR(IF([1]对账明细接口!$U718=0,"",[1]对账明细接口!$U718),"")</f>
        <v/>
      </c>
      <c r="AA718" s="24" t="str">
        <f>IFERROR(IF([1]对账明细接口!$V718=0,"",[1]对账明细接口!$V718),"")</f>
        <v/>
      </c>
      <c r="AB718" s="20" t="str">
        <f>IFERROR(IF([1]对账明细接口!$W718=0,"",[1]对账明细接口!$W718),"")</f>
        <v/>
      </c>
      <c r="AC718" s="7" t="str">
        <f>IFERROR(IF([1]对账明细接口!$X718=0,"",[1]对账明细接口!$X718),"")</f>
        <v/>
      </c>
      <c r="AD718" s="7" t="str">
        <f>IFERROR(IF([1]对账明细接口!$Y718=0,"",[1]对账明细接口!$Y718),"")</f>
        <v/>
      </c>
      <c r="AE718" s="7" t="str">
        <f>IFERROR(IF([1]对账明细接口!$AA718=0,"",[1]对账明细接口!$AA718),"")</f>
        <v/>
      </c>
      <c r="AF718" s="7" t="str">
        <f>IFERROR(IF([1]对账明细接口!$AB718=0,"",[1]对账明细接口!$AB718),"")</f>
        <v/>
      </c>
      <c r="AG718" s="7" t="str">
        <f>IFERROR(IF([1]对账明细接口!$AC718=0,"",[1]对账明细接口!$AC718),"")</f>
        <v/>
      </c>
      <c r="AH718" s="7" t="str">
        <f>IFERROR(IF([1]对账明细接口!$AD718=0,"",[1]对账明细接口!$AD718),"")</f>
        <v/>
      </c>
      <c r="AI718" s="7" t="str">
        <f>IFERROR(IF([1]对账明细接口!$AE718=0,"",[1]对账明细接口!$AE718),"")</f>
        <v/>
      </c>
      <c r="AJ718" s="7" t="str">
        <f>IFERROR(IF([1]对账明细接口!$AF718=0,"",[1]对账明细接口!$AF718),"")</f>
        <v/>
      </c>
    </row>
    <row r="719" ht="14.25" customHeight="1" spans="1:36">
      <c r="A719" s="14">
        <v>719</v>
      </c>
      <c r="B719" s="15" t="str">
        <f>IFERROR(IF([1]对账明细接口!$B$719=0,"",[1]对账明细接口!$B$719),"")</f>
        <v/>
      </c>
      <c r="C719" s="16" t="str">
        <f>IFERROR(IF([1]对账明细接口!$C$719=0,"",[1]对账明细接口!$C$719),"")</f>
        <v/>
      </c>
      <c r="D719" s="16" t="str">
        <f>IFERROR(IF([1]对账明细接口!$D$719=0,"",[1]对账明细接口!$D$719),"")</f>
        <v/>
      </c>
      <c r="E719" s="16" t="str">
        <f>IFERROR(IF([1]对账明细接口!$E$719=0,"",[1]对账明细接口!$E$719),"")</f>
        <v/>
      </c>
      <c r="F719" s="16" t="str">
        <f>IFERROR(IF([1]对账明细接口!$F$719=0,"",[1]对账明细接口!$F$719),"")</f>
        <v/>
      </c>
      <c r="G719" s="16" t="str">
        <f>IFERROR(IF([1]对账明细接口!$G$719=0,"",[1]对账明细接口!$G$719),"")</f>
        <v/>
      </c>
      <c r="H719" s="17" t="str">
        <f>IFERROR(IF([1]对账明细接口!$H$719=0,"",[1]对账明细接口!$H$719),"")</f>
        <v/>
      </c>
      <c r="I719" s="16" t="str">
        <f>IFERROR(IF([1]对账明细接口!$I$719=0,"",[1]对账明细接口!$I$719),"")</f>
        <v/>
      </c>
      <c r="J719" s="18" t="str">
        <f>IFERROR(IF([1]对账明细接口!$J$719=0,"",[1]对账明细接口!$J$719),"")</f>
        <v/>
      </c>
      <c r="K719" s="18" t="str">
        <f>IFERROR(IF([1]对账明细接口!$K$719=0,"",[1]对账明细接口!$K$719),"")</f>
        <v/>
      </c>
      <c r="L719" s="16" t="str">
        <f>IFERROR(IF([1]对账明细接口!$L$719=0,"",[1]对账明细接口!$L$719),"")</f>
        <v/>
      </c>
      <c r="M719" s="16" t="str">
        <f>IFERROR(IF([1]对账明细接口!$M$719=0,"",[1]对账明细接口!$M$719),"")</f>
        <v/>
      </c>
      <c r="N719" s="19">
        <f t="shared" si="22"/>
        <v>0</v>
      </c>
      <c r="O719" s="19">
        <f t="shared" si="23"/>
        <v>420</v>
      </c>
      <c r="S719" s="20" t="str">
        <f>IFERROR(IF([1]对账明细接口!$N719=0,"",[1]对账明细接口!$N719),"")</f>
        <v/>
      </c>
      <c r="T719" s="21" t="str">
        <f>IFERROR(IF([1]对账明细接口!$O719=0,"",[1]对账明细接口!$O719),"")</f>
        <v/>
      </c>
      <c r="U719" s="21" t="str">
        <f>IFERROR(IF([1]对账明细接口!$P719=0,"",[1]对账明细接口!$P719),"")</f>
        <v/>
      </c>
      <c r="V719" s="21" t="str">
        <f>IFERROR(IF([1]对账明细接口!$Q719=0,"",[1]对账明细接口!$Q719),"")</f>
        <v/>
      </c>
      <c r="W719" s="20" t="str">
        <f>IFERROR(IF([1]对账明细接口!$R719=0,"",[1]对账明细接口!$R719),"")</f>
        <v/>
      </c>
      <c r="X719" s="20" t="str">
        <f>IFERROR(IF([1]对账明细接口!$S719=0,"",[1]对账明细接口!$S719),"")</f>
        <v/>
      </c>
      <c r="Y719" s="20" t="str">
        <f>IFERROR(IF([1]对账明细接口!$T719=0,"",[1]对账明细接口!$T719),"")</f>
        <v/>
      </c>
      <c r="Z719" s="24" t="str">
        <f>IFERROR(IF([1]对账明细接口!$U719=0,"",[1]对账明细接口!$U719),"")</f>
        <v/>
      </c>
      <c r="AA719" s="24" t="str">
        <f>IFERROR(IF([1]对账明细接口!$V719=0,"",[1]对账明细接口!$V719),"")</f>
        <v/>
      </c>
      <c r="AB719" s="20" t="str">
        <f>IFERROR(IF([1]对账明细接口!$W719=0,"",[1]对账明细接口!$W719),"")</f>
        <v/>
      </c>
      <c r="AC719" s="7" t="str">
        <f>IFERROR(IF([1]对账明细接口!$X719=0,"",[1]对账明细接口!$X719),"")</f>
        <v/>
      </c>
      <c r="AD719" s="7" t="str">
        <f>IFERROR(IF([1]对账明细接口!$Y719=0,"",[1]对账明细接口!$Y719),"")</f>
        <v/>
      </c>
      <c r="AE719" s="7" t="str">
        <f>IFERROR(IF([1]对账明细接口!$AA719=0,"",[1]对账明细接口!$AA719),"")</f>
        <v/>
      </c>
      <c r="AF719" s="7" t="str">
        <f>IFERROR(IF([1]对账明细接口!$AB719=0,"",[1]对账明细接口!$AB719),"")</f>
        <v/>
      </c>
      <c r="AG719" s="7" t="str">
        <f>IFERROR(IF([1]对账明细接口!$AC719=0,"",[1]对账明细接口!$AC719),"")</f>
        <v/>
      </c>
      <c r="AH719" s="7" t="str">
        <f>IFERROR(IF([1]对账明细接口!$AD719=0,"",[1]对账明细接口!$AD719),"")</f>
        <v/>
      </c>
      <c r="AI719" s="7" t="str">
        <f>IFERROR(IF([1]对账明细接口!$AE719=0,"",[1]对账明细接口!$AE719),"")</f>
        <v/>
      </c>
      <c r="AJ719" s="7" t="str">
        <f>IFERROR(IF([1]对账明细接口!$AF719=0,"",[1]对账明细接口!$AF719),"")</f>
        <v/>
      </c>
    </row>
    <row r="720" ht="14.25" customHeight="1" spans="1:36">
      <c r="A720" s="14">
        <v>720</v>
      </c>
      <c r="B720" s="15" t="str">
        <f>IFERROR(IF([1]对账明细接口!$B$720=0,"",[1]对账明细接口!$B$720),"")</f>
        <v/>
      </c>
      <c r="C720" s="16" t="str">
        <f>IFERROR(IF([1]对账明细接口!$C$720=0,"",[1]对账明细接口!$C$720),"")</f>
        <v/>
      </c>
      <c r="D720" s="16" t="str">
        <f>IFERROR(IF([1]对账明细接口!$D$720=0,"",[1]对账明细接口!$D$720),"")</f>
        <v/>
      </c>
      <c r="E720" s="16" t="str">
        <f>IFERROR(IF([1]对账明细接口!$E$720=0,"",[1]对账明细接口!$E$720),"")</f>
        <v/>
      </c>
      <c r="F720" s="16" t="str">
        <f>IFERROR(IF([1]对账明细接口!$F$720=0,"",[1]对账明细接口!$F$720),"")</f>
        <v/>
      </c>
      <c r="G720" s="16" t="str">
        <f>IFERROR(IF([1]对账明细接口!$G$720=0,"",[1]对账明细接口!$G$720),"")</f>
        <v/>
      </c>
      <c r="H720" s="17" t="str">
        <f>IFERROR(IF([1]对账明细接口!$H$720=0,"",[1]对账明细接口!$H$720),"")</f>
        <v/>
      </c>
      <c r="I720" s="16" t="str">
        <f>IFERROR(IF([1]对账明细接口!$I$720=0,"",[1]对账明细接口!$I$720),"")</f>
        <v/>
      </c>
      <c r="J720" s="18" t="str">
        <f>IFERROR(IF([1]对账明细接口!$J$720=0,"",[1]对账明细接口!$J$720),"")</f>
        <v/>
      </c>
      <c r="K720" s="18" t="str">
        <f>IFERROR(IF([1]对账明细接口!$K$720=0,"",[1]对账明细接口!$K$720),"")</f>
        <v/>
      </c>
      <c r="L720" s="16" t="str">
        <f>IFERROR(IF([1]对账明细接口!$L$720=0,"",[1]对账明细接口!$L$720),"")</f>
        <v/>
      </c>
      <c r="M720" s="16" t="str">
        <f>IFERROR(IF([1]对账明细接口!$M$720=0,"",[1]对账明细接口!$M$720),"")</f>
        <v/>
      </c>
      <c r="N720" s="19">
        <f t="shared" si="22"/>
        <v>0</v>
      </c>
      <c r="O720" s="19">
        <f t="shared" si="23"/>
        <v>420</v>
      </c>
      <c r="S720" s="20" t="str">
        <f>IFERROR(IF([1]对账明细接口!$N720=0,"",[1]对账明细接口!$N720),"")</f>
        <v/>
      </c>
      <c r="T720" s="21" t="str">
        <f>IFERROR(IF([1]对账明细接口!$O720=0,"",[1]对账明细接口!$O720),"")</f>
        <v/>
      </c>
      <c r="U720" s="21" t="str">
        <f>IFERROR(IF([1]对账明细接口!$P720=0,"",[1]对账明细接口!$P720),"")</f>
        <v/>
      </c>
      <c r="V720" s="21" t="str">
        <f>IFERROR(IF([1]对账明细接口!$Q720=0,"",[1]对账明细接口!$Q720),"")</f>
        <v/>
      </c>
      <c r="W720" s="20" t="str">
        <f>IFERROR(IF([1]对账明细接口!$R720=0,"",[1]对账明细接口!$R720),"")</f>
        <v/>
      </c>
      <c r="X720" s="20" t="str">
        <f>IFERROR(IF([1]对账明细接口!$S720=0,"",[1]对账明细接口!$S720),"")</f>
        <v/>
      </c>
      <c r="Y720" s="20" t="str">
        <f>IFERROR(IF([1]对账明细接口!$T720=0,"",[1]对账明细接口!$T720),"")</f>
        <v/>
      </c>
      <c r="Z720" s="24" t="str">
        <f>IFERROR(IF([1]对账明细接口!$U720=0,"",[1]对账明细接口!$U720),"")</f>
        <v/>
      </c>
      <c r="AA720" s="24" t="str">
        <f>IFERROR(IF([1]对账明细接口!$V720=0,"",[1]对账明细接口!$V720),"")</f>
        <v/>
      </c>
      <c r="AB720" s="20" t="str">
        <f>IFERROR(IF([1]对账明细接口!$W720=0,"",[1]对账明细接口!$W720),"")</f>
        <v/>
      </c>
      <c r="AC720" s="7" t="str">
        <f>IFERROR(IF([1]对账明细接口!$X720=0,"",[1]对账明细接口!$X720),"")</f>
        <v/>
      </c>
      <c r="AD720" s="7" t="str">
        <f>IFERROR(IF([1]对账明细接口!$Y720=0,"",[1]对账明细接口!$Y720),"")</f>
        <v/>
      </c>
      <c r="AE720" s="7" t="str">
        <f>IFERROR(IF([1]对账明细接口!$AA720=0,"",[1]对账明细接口!$AA720),"")</f>
        <v/>
      </c>
      <c r="AF720" s="7" t="str">
        <f>IFERROR(IF([1]对账明细接口!$AB720=0,"",[1]对账明细接口!$AB720),"")</f>
        <v/>
      </c>
      <c r="AG720" s="7" t="str">
        <f>IFERROR(IF([1]对账明细接口!$AC720=0,"",[1]对账明细接口!$AC720),"")</f>
        <v/>
      </c>
      <c r="AH720" s="7" t="str">
        <f>IFERROR(IF([1]对账明细接口!$AD720=0,"",[1]对账明细接口!$AD720),"")</f>
        <v/>
      </c>
      <c r="AI720" s="7" t="str">
        <f>IFERROR(IF([1]对账明细接口!$AE720=0,"",[1]对账明细接口!$AE720),"")</f>
        <v/>
      </c>
      <c r="AJ720" s="7" t="str">
        <f>IFERROR(IF([1]对账明细接口!$AF720=0,"",[1]对账明细接口!$AF720),"")</f>
        <v/>
      </c>
    </row>
    <row r="721" ht="14.25" customHeight="1" spans="1:36">
      <c r="A721" s="14">
        <v>721</v>
      </c>
      <c r="B721" s="15" t="str">
        <f>IFERROR(IF([1]对账明细接口!$B$721=0,"",[1]对账明细接口!$B$721),"")</f>
        <v/>
      </c>
      <c r="C721" s="16" t="str">
        <f>IFERROR(IF([1]对账明细接口!$C$721=0,"",[1]对账明细接口!$C$721),"")</f>
        <v/>
      </c>
      <c r="D721" s="16" t="str">
        <f>IFERROR(IF([1]对账明细接口!$D$721=0,"",[1]对账明细接口!$D$721),"")</f>
        <v/>
      </c>
      <c r="E721" s="16" t="str">
        <f>IFERROR(IF([1]对账明细接口!$E$721=0,"",[1]对账明细接口!$E$721),"")</f>
        <v/>
      </c>
      <c r="F721" s="16" t="str">
        <f>IFERROR(IF([1]对账明细接口!$F$721=0,"",[1]对账明细接口!$F$721),"")</f>
        <v/>
      </c>
      <c r="G721" s="16" t="str">
        <f>IFERROR(IF([1]对账明细接口!$G$721=0,"",[1]对账明细接口!$G$721),"")</f>
        <v/>
      </c>
      <c r="H721" s="17" t="str">
        <f>IFERROR(IF([1]对账明细接口!$H$721=0,"",[1]对账明细接口!$H$721),"")</f>
        <v/>
      </c>
      <c r="I721" s="16" t="str">
        <f>IFERROR(IF([1]对账明细接口!$I$721=0,"",[1]对账明细接口!$I$721),"")</f>
        <v/>
      </c>
      <c r="J721" s="18" t="str">
        <f>IFERROR(IF([1]对账明细接口!$J$721=0,"",[1]对账明细接口!$J$721),"")</f>
        <v/>
      </c>
      <c r="K721" s="18" t="str">
        <f>IFERROR(IF([1]对账明细接口!$K$721=0,"",[1]对账明细接口!$K$721),"")</f>
        <v/>
      </c>
      <c r="L721" s="16" t="str">
        <f>IFERROR(IF([1]对账明细接口!$L$721=0,"",[1]对账明细接口!$L$721),"")</f>
        <v/>
      </c>
      <c r="M721" s="16" t="str">
        <f>IFERROR(IF([1]对账明细接口!$M$721=0,"",[1]对账明细接口!$M$721),"")</f>
        <v/>
      </c>
      <c r="N721" s="19">
        <f t="shared" si="22"/>
        <v>0</v>
      </c>
      <c r="O721" s="19">
        <f t="shared" si="23"/>
        <v>420</v>
      </c>
      <c r="S721" s="20" t="str">
        <f>IFERROR(IF([1]对账明细接口!$N721=0,"",[1]对账明细接口!$N721),"")</f>
        <v/>
      </c>
      <c r="T721" s="21" t="str">
        <f>IFERROR(IF([1]对账明细接口!$O721=0,"",[1]对账明细接口!$O721),"")</f>
        <v/>
      </c>
      <c r="U721" s="21" t="str">
        <f>IFERROR(IF([1]对账明细接口!$P721=0,"",[1]对账明细接口!$P721),"")</f>
        <v/>
      </c>
      <c r="V721" s="21" t="str">
        <f>IFERROR(IF([1]对账明细接口!$Q721=0,"",[1]对账明细接口!$Q721),"")</f>
        <v/>
      </c>
      <c r="W721" s="20" t="str">
        <f>IFERROR(IF([1]对账明细接口!$R721=0,"",[1]对账明细接口!$R721),"")</f>
        <v/>
      </c>
      <c r="X721" s="20" t="str">
        <f>IFERROR(IF([1]对账明细接口!$S721=0,"",[1]对账明细接口!$S721),"")</f>
        <v/>
      </c>
      <c r="Y721" s="20" t="str">
        <f>IFERROR(IF([1]对账明细接口!$T721=0,"",[1]对账明细接口!$T721),"")</f>
        <v/>
      </c>
      <c r="Z721" s="24" t="str">
        <f>IFERROR(IF([1]对账明细接口!$U721=0,"",[1]对账明细接口!$U721),"")</f>
        <v/>
      </c>
      <c r="AA721" s="24" t="str">
        <f>IFERROR(IF([1]对账明细接口!$V721=0,"",[1]对账明细接口!$V721),"")</f>
        <v/>
      </c>
      <c r="AB721" s="20" t="str">
        <f>IFERROR(IF([1]对账明细接口!$W721=0,"",[1]对账明细接口!$W721),"")</f>
        <v/>
      </c>
      <c r="AC721" s="7" t="str">
        <f>IFERROR(IF([1]对账明细接口!$X721=0,"",[1]对账明细接口!$X721),"")</f>
        <v/>
      </c>
      <c r="AD721" s="7" t="str">
        <f>IFERROR(IF([1]对账明细接口!$Y721=0,"",[1]对账明细接口!$Y721),"")</f>
        <v/>
      </c>
      <c r="AE721" s="7" t="str">
        <f>IFERROR(IF([1]对账明细接口!$AA721=0,"",[1]对账明细接口!$AA721),"")</f>
        <v/>
      </c>
      <c r="AF721" s="7" t="str">
        <f>IFERROR(IF([1]对账明细接口!$AB721=0,"",[1]对账明细接口!$AB721),"")</f>
        <v/>
      </c>
      <c r="AG721" s="7" t="str">
        <f>IFERROR(IF([1]对账明细接口!$AC721=0,"",[1]对账明细接口!$AC721),"")</f>
        <v/>
      </c>
      <c r="AH721" s="7" t="str">
        <f>IFERROR(IF([1]对账明细接口!$AD721=0,"",[1]对账明细接口!$AD721),"")</f>
        <v/>
      </c>
      <c r="AI721" s="7" t="str">
        <f>IFERROR(IF([1]对账明细接口!$AE721=0,"",[1]对账明细接口!$AE721),"")</f>
        <v/>
      </c>
      <c r="AJ721" s="7" t="str">
        <f>IFERROR(IF([1]对账明细接口!$AF721=0,"",[1]对账明细接口!$AF721),"")</f>
        <v/>
      </c>
    </row>
    <row r="722" ht="14.25" customHeight="1" spans="1:36">
      <c r="A722" s="14">
        <v>722</v>
      </c>
      <c r="B722" s="15" t="str">
        <f>IFERROR(IF([1]对账明细接口!$B$722=0,"",[1]对账明细接口!$B$722),"")</f>
        <v/>
      </c>
      <c r="C722" s="16" t="str">
        <f>IFERROR(IF([1]对账明细接口!$C$722=0,"",[1]对账明细接口!$C$722),"")</f>
        <v/>
      </c>
      <c r="D722" s="16" t="str">
        <f>IFERROR(IF([1]对账明细接口!$D$722=0,"",[1]对账明细接口!$D$722),"")</f>
        <v/>
      </c>
      <c r="E722" s="16" t="str">
        <f>IFERROR(IF([1]对账明细接口!$E$722=0,"",[1]对账明细接口!$E$722),"")</f>
        <v/>
      </c>
      <c r="F722" s="16" t="str">
        <f>IFERROR(IF([1]对账明细接口!$F$722=0,"",[1]对账明细接口!$F$722),"")</f>
        <v/>
      </c>
      <c r="G722" s="16" t="str">
        <f>IFERROR(IF([1]对账明细接口!$G$722=0,"",[1]对账明细接口!$G$722),"")</f>
        <v/>
      </c>
      <c r="H722" s="17" t="str">
        <f>IFERROR(IF([1]对账明细接口!$H$722=0,"",[1]对账明细接口!$H$722),"")</f>
        <v/>
      </c>
      <c r="I722" s="16" t="str">
        <f>IFERROR(IF([1]对账明细接口!$I$722=0,"",[1]对账明细接口!$I$722),"")</f>
        <v/>
      </c>
      <c r="J722" s="18" t="str">
        <f>IFERROR(IF([1]对账明细接口!$J$722=0,"",[1]对账明细接口!$J$722),"")</f>
        <v/>
      </c>
      <c r="K722" s="18" t="str">
        <f>IFERROR(IF([1]对账明细接口!$K$722=0,"",[1]对账明细接口!$K$722),"")</f>
        <v/>
      </c>
      <c r="L722" s="16" t="str">
        <f>IFERROR(IF([1]对账明细接口!$L$722=0,"",[1]对账明细接口!$L$722),"")</f>
        <v/>
      </c>
      <c r="M722" s="16" t="str">
        <f>IFERROR(IF([1]对账明细接口!$M$722=0,"",[1]对账明细接口!$M$722),"")</f>
        <v/>
      </c>
      <c r="N722" s="19">
        <f t="shared" si="22"/>
        <v>0</v>
      </c>
      <c r="O722" s="19">
        <f t="shared" si="23"/>
        <v>420</v>
      </c>
      <c r="S722" s="20" t="str">
        <f>IFERROR(IF([1]对账明细接口!$N722=0,"",[1]对账明细接口!$N722),"")</f>
        <v/>
      </c>
      <c r="T722" s="21" t="str">
        <f>IFERROR(IF([1]对账明细接口!$O722=0,"",[1]对账明细接口!$O722),"")</f>
        <v/>
      </c>
      <c r="U722" s="21" t="str">
        <f>IFERROR(IF([1]对账明细接口!$P722=0,"",[1]对账明细接口!$P722),"")</f>
        <v/>
      </c>
      <c r="V722" s="21" t="str">
        <f>IFERROR(IF([1]对账明细接口!$Q722=0,"",[1]对账明细接口!$Q722),"")</f>
        <v/>
      </c>
      <c r="W722" s="20" t="str">
        <f>IFERROR(IF([1]对账明细接口!$R722=0,"",[1]对账明细接口!$R722),"")</f>
        <v/>
      </c>
      <c r="X722" s="20" t="str">
        <f>IFERROR(IF([1]对账明细接口!$S722=0,"",[1]对账明细接口!$S722),"")</f>
        <v/>
      </c>
      <c r="Y722" s="20" t="str">
        <f>IFERROR(IF([1]对账明细接口!$T722=0,"",[1]对账明细接口!$T722),"")</f>
        <v/>
      </c>
      <c r="Z722" s="24" t="str">
        <f>IFERROR(IF([1]对账明细接口!$U722=0,"",[1]对账明细接口!$U722),"")</f>
        <v/>
      </c>
      <c r="AA722" s="24" t="str">
        <f>IFERROR(IF([1]对账明细接口!$V722=0,"",[1]对账明细接口!$V722),"")</f>
        <v/>
      </c>
      <c r="AB722" s="20" t="str">
        <f>IFERROR(IF([1]对账明细接口!$W722=0,"",[1]对账明细接口!$W722),"")</f>
        <v/>
      </c>
      <c r="AC722" s="7" t="str">
        <f>IFERROR(IF([1]对账明细接口!$X722=0,"",[1]对账明细接口!$X722),"")</f>
        <v/>
      </c>
      <c r="AD722" s="7" t="str">
        <f>IFERROR(IF([1]对账明细接口!$Y722=0,"",[1]对账明细接口!$Y722),"")</f>
        <v/>
      </c>
      <c r="AE722" s="7" t="str">
        <f>IFERROR(IF([1]对账明细接口!$AA722=0,"",[1]对账明细接口!$AA722),"")</f>
        <v/>
      </c>
      <c r="AF722" s="7" t="str">
        <f>IFERROR(IF([1]对账明细接口!$AB722=0,"",[1]对账明细接口!$AB722),"")</f>
        <v/>
      </c>
      <c r="AG722" s="7" t="str">
        <f>IFERROR(IF([1]对账明细接口!$AC722=0,"",[1]对账明细接口!$AC722),"")</f>
        <v/>
      </c>
      <c r="AH722" s="7" t="str">
        <f>IFERROR(IF([1]对账明细接口!$AD722=0,"",[1]对账明细接口!$AD722),"")</f>
        <v/>
      </c>
      <c r="AI722" s="7" t="str">
        <f>IFERROR(IF([1]对账明细接口!$AE722=0,"",[1]对账明细接口!$AE722),"")</f>
        <v/>
      </c>
      <c r="AJ722" s="7" t="str">
        <f>IFERROR(IF([1]对账明细接口!$AF722=0,"",[1]对账明细接口!$AF722),"")</f>
        <v/>
      </c>
    </row>
    <row r="723" ht="14.25" customHeight="1" spans="1:36">
      <c r="A723" s="14">
        <v>723</v>
      </c>
      <c r="B723" s="15" t="str">
        <f>IFERROR(IF([1]对账明细接口!$B$723=0,"",[1]对账明细接口!$B$723),"")</f>
        <v/>
      </c>
      <c r="C723" s="16" t="str">
        <f>IFERROR(IF([1]对账明细接口!$C$723=0,"",[1]对账明细接口!$C$723),"")</f>
        <v/>
      </c>
      <c r="D723" s="16" t="str">
        <f>IFERROR(IF([1]对账明细接口!$D$723=0,"",[1]对账明细接口!$D$723),"")</f>
        <v/>
      </c>
      <c r="E723" s="16" t="str">
        <f>IFERROR(IF([1]对账明细接口!$E$723=0,"",[1]对账明细接口!$E$723),"")</f>
        <v/>
      </c>
      <c r="F723" s="16" t="str">
        <f>IFERROR(IF([1]对账明细接口!$F$723=0,"",[1]对账明细接口!$F$723),"")</f>
        <v/>
      </c>
      <c r="G723" s="16" t="str">
        <f>IFERROR(IF([1]对账明细接口!$G$723=0,"",[1]对账明细接口!$G$723),"")</f>
        <v/>
      </c>
      <c r="H723" s="17" t="str">
        <f>IFERROR(IF([1]对账明细接口!$H$723=0,"",[1]对账明细接口!$H$723),"")</f>
        <v/>
      </c>
      <c r="I723" s="16" t="str">
        <f>IFERROR(IF([1]对账明细接口!$I$723=0,"",[1]对账明细接口!$I$723),"")</f>
        <v/>
      </c>
      <c r="J723" s="18" t="str">
        <f>IFERROR(IF([1]对账明细接口!$J$723=0,"",[1]对账明细接口!$J$723),"")</f>
        <v/>
      </c>
      <c r="K723" s="18" t="str">
        <f>IFERROR(IF([1]对账明细接口!$K$723=0,"",[1]对账明细接口!$K$723),"")</f>
        <v/>
      </c>
      <c r="L723" s="16" t="str">
        <f>IFERROR(IF([1]对账明细接口!$L$723=0,"",[1]对账明细接口!$L$723),"")</f>
        <v/>
      </c>
      <c r="M723" s="16" t="str">
        <f>IFERROR(IF([1]对账明细接口!$M$723=0,"",[1]对账明细接口!$M$723),"")</f>
        <v/>
      </c>
      <c r="N723" s="19">
        <f t="shared" si="22"/>
        <v>0</v>
      </c>
      <c r="O723" s="19">
        <f t="shared" si="23"/>
        <v>420</v>
      </c>
      <c r="S723" s="20" t="str">
        <f>IFERROR(IF([1]对账明细接口!$N723=0,"",[1]对账明细接口!$N723),"")</f>
        <v/>
      </c>
      <c r="T723" s="21" t="str">
        <f>IFERROR(IF([1]对账明细接口!$O723=0,"",[1]对账明细接口!$O723),"")</f>
        <v/>
      </c>
      <c r="U723" s="21" t="str">
        <f>IFERROR(IF([1]对账明细接口!$P723=0,"",[1]对账明细接口!$P723),"")</f>
        <v/>
      </c>
      <c r="V723" s="21" t="str">
        <f>IFERROR(IF([1]对账明细接口!$Q723=0,"",[1]对账明细接口!$Q723),"")</f>
        <v/>
      </c>
      <c r="W723" s="20" t="str">
        <f>IFERROR(IF([1]对账明细接口!$R723=0,"",[1]对账明细接口!$R723),"")</f>
        <v/>
      </c>
      <c r="X723" s="20" t="str">
        <f>IFERROR(IF([1]对账明细接口!$S723=0,"",[1]对账明细接口!$S723),"")</f>
        <v/>
      </c>
      <c r="Y723" s="20" t="str">
        <f>IFERROR(IF([1]对账明细接口!$T723=0,"",[1]对账明细接口!$T723),"")</f>
        <v/>
      </c>
      <c r="Z723" s="24" t="str">
        <f>IFERROR(IF([1]对账明细接口!$U723=0,"",[1]对账明细接口!$U723),"")</f>
        <v/>
      </c>
      <c r="AA723" s="24" t="str">
        <f>IFERROR(IF([1]对账明细接口!$V723=0,"",[1]对账明细接口!$V723),"")</f>
        <v/>
      </c>
      <c r="AB723" s="20" t="str">
        <f>IFERROR(IF([1]对账明细接口!$W723=0,"",[1]对账明细接口!$W723),"")</f>
        <v/>
      </c>
      <c r="AC723" s="7" t="str">
        <f>IFERROR(IF([1]对账明细接口!$X723=0,"",[1]对账明细接口!$X723),"")</f>
        <v/>
      </c>
      <c r="AD723" s="7" t="str">
        <f>IFERROR(IF([1]对账明细接口!$Y723=0,"",[1]对账明细接口!$Y723),"")</f>
        <v/>
      </c>
      <c r="AE723" s="7" t="str">
        <f>IFERROR(IF([1]对账明细接口!$AA723=0,"",[1]对账明细接口!$AA723),"")</f>
        <v/>
      </c>
      <c r="AF723" s="7" t="str">
        <f>IFERROR(IF([1]对账明细接口!$AB723=0,"",[1]对账明细接口!$AB723),"")</f>
        <v/>
      </c>
      <c r="AG723" s="7" t="str">
        <f>IFERROR(IF([1]对账明细接口!$AC723=0,"",[1]对账明细接口!$AC723),"")</f>
        <v/>
      </c>
      <c r="AH723" s="7" t="str">
        <f>IFERROR(IF([1]对账明细接口!$AD723=0,"",[1]对账明细接口!$AD723),"")</f>
        <v/>
      </c>
      <c r="AI723" s="7" t="str">
        <f>IFERROR(IF([1]对账明细接口!$AE723=0,"",[1]对账明细接口!$AE723),"")</f>
        <v/>
      </c>
      <c r="AJ723" s="7" t="str">
        <f>IFERROR(IF([1]对账明细接口!$AF723=0,"",[1]对账明细接口!$AF723),"")</f>
        <v/>
      </c>
    </row>
    <row r="724" ht="14.25" customHeight="1" spans="1:36">
      <c r="A724" s="14">
        <v>724</v>
      </c>
      <c r="B724" s="15" t="str">
        <f>IFERROR(IF([1]对账明细接口!$B$724=0,"",[1]对账明细接口!$B$724),"")</f>
        <v/>
      </c>
      <c r="C724" s="16" t="str">
        <f>IFERROR(IF([1]对账明细接口!$C$724=0,"",[1]对账明细接口!$C$724),"")</f>
        <v/>
      </c>
      <c r="D724" s="16" t="str">
        <f>IFERROR(IF([1]对账明细接口!$D$724=0,"",[1]对账明细接口!$D$724),"")</f>
        <v/>
      </c>
      <c r="E724" s="16" t="str">
        <f>IFERROR(IF([1]对账明细接口!$E$724=0,"",[1]对账明细接口!$E$724),"")</f>
        <v/>
      </c>
      <c r="F724" s="16" t="str">
        <f>IFERROR(IF([1]对账明细接口!$F$724=0,"",[1]对账明细接口!$F$724),"")</f>
        <v/>
      </c>
      <c r="G724" s="16" t="str">
        <f>IFERROR(IF([1]对账明细接口!$G$724=0,"",[1]对账明细接口!$G$724),"")</f>
        <v/>
      </c>
      <c r="H724" s="17" t="str">
        <f>IFERROR(IF([1]对账明细接口!$H$724=0,"",[1]对账明细接口!$H$724),"")</f>
        <v/>
      </c>
      <c r="I724" s="16" t="str">
        <f>IFERROR(IF([1]对账明细接口!$I$724=0,"",[1]对账明细接口!$I$724),"")</f>
        <v/>
      </c>
      <c r="J724" s="18" t="str">
        <f>IFERROR(IF([1]对账明细接口!$J$724=0,"",[1]对账明细接口!$J$724),"")</f>
        <v/>
      </c>
      <c r="K724" s="18" t="str">
        <f>IFERROR(IF([1]对账明细接口!$K$724=0,"",[1]对账明细接口!$K$724),"")</f>
        <v/>
      </c>
      <c r="L724" s="16" t="str">
        <f>IFERROR(IF([1]对账明细接口!$L$724=0,"",[1]对账明细接口!$L$724),"")</f>
        <v/>
      </c>
      <c r="M724" s="16" t="str">
        <f>IFERROR(IF([1]对账明细接口!$M$724=0,"",[1]对账明细接口!$M$724),"")</f>
        <v/>
      </c>
      <c r="N724" s="19">
        <f t="shared" si="22"/>
        <v>0</v>
      </c>
      <c r="O724" s="19">
        <f t="shared" si="23"/>
        <v>420</v>
      </c>
      <c r="S724" s="20" t="str">
        <f>IFERROR(IF([1]对账明细接口!$N724=0,"",[1]对账明细接口!$N724),"")</f>
        <v/>
      </c>
      <c r="T724" s="21" t="str">
        <f>IFERROR(IF([1]对账明细接口!$O724=0,"",[1]对账明细接口!$O724),"")</f>
        <v/>
      </c>
      <c r="U724" s="21" t="str">
        <f>IFERROR(IF([1]对账明细接口!$P724=0,"",[1]对账明细接口!$P724),"")</f>
        <v/>
      </c>
      <c r="V724" s="21" t="str">
        <f>IFERROR(IF([1]对账明细接口!$Q724=0,"",[1]对账明细接口!$Q724),"")</f>
        <v/>
      </c>
      <c r="W724" s="20" t="str">
        <f>IFERROR(IF([1]对账明细接口!$R724=0,"",[1]对账明细接口!$R724),"")</f>
        <v/>
      </c>
      <c r="X724" s="20" t="str">
        <f>IFERROR(IF([1]对账明细接口!$S724=0,"",[1]对账明细接口!$S724),"")</f>
        <v/>
      </c>
      <c r="Y724" s="20" t="str">
        <f>IFERROR(IF([1]对账明细接口!$T724=0,"",[1]对账明细接口!$T724),"")</f>
        <v/>
      </c>
      <c r="Z724" s="24" t="str">
        <f>IFERROR(IF([1]对账明细接口!$U724=0,"",[1]对账明细接口!$U724),"")</f>
        <v/>
      </c>
      <c r="AA724" s="24" t="str">
        <f>IFERROR(IF([1]对账明细接口!$V724=0,"",[1]对账明细接口!$V724),"")</f>
        <v/>
      </c>
      <c r="AB724" s="20" t="str">
        <f>IFERROR(IF([1]对账明细接口!$W724=0,"",[1]对账明细接口!$W724),"")</f>
        <v/>
      </c>
      <c r="AC724" s="7" t="str">
        <f>IFERROR(IF([1]对账明细接口!$X724=0,"",[1]对账明细接口!$X724),"")</f>
        <v/>
      </c>
      <c r="AD724" s="7" t="str">
        <f>IFERROR(IF([1]对账明细接口!$Y724=0,"",[1]对账明细接口!$Y724),"")</f>
        <v/>
      </c>
      <c r="AE724" s="7" t="str">
        <f>IFERROR(IF([1]对账明细接口!$AA724=0,"",[1]对账明细接口!$AA724),"")</f>
        <v/>
      </c>
      <c r="AF724" s="7" t="str">
        <f>IFERROR(IF([1]对账明细接口!$AB724=0,"",[1]对账明细接口!$AB724),"")</f>
        <v/>
      </c>
      <c r="AG724" s="7" t="str">
        <f>IFERROR(IF([1]对账明细接口!$AC724=0,"",[1]对账明细接口!$AC724),"")</f>
        <v/>
      </c>
      <c r="AH724" s="7" t="str">
        <f>IFERROR(IF([1]对账明细接口!$AD724=0,"",[1]对账明细接口!$AD724),"")</f>
        <v/>
      </c>
      <c r="AI724" s="7" t="str">
        <f>IFERROR(IF([1]对账明细接口!$AE724=0,"",[1]对账明细接口!$AE724),"")</f>
        <v/>
      </c>
      <c r="AJ724" s="7" t="str">
        <f>IFERROR(IF([1]对账明细接口!$AF724=0,"",[1]对账明细接口!$AF724),"")</f>
        <v/>
      </c>
    </row>
    <row r="725" ht="14.25" customHeight="1" spans="1:36">
      <c r="A725" s="14">
        <v>725</v>
      </c>
      <c r="B725" s="15" t="str">
        <f>IFERROR(IF([1]对账明细接口!$B$725=0,"",[1]对账明细接口!$B$725),"")</f>
        <v/>
      </c>
      <c r="C725" s="16" t="str">
        <f>IFERROR(IF([1]对账明细接口!$C$725=0,"",[1]对账明细接口!$C$725),"")</f>
        <v/>
      </c>
      <c r="D725" s="16" t="str">
        <f>IFERROR(IF([1]对账明细接口!$D$725=0,"",[1]对账明细接口!$D$725),"")</f>
        <v/>
      </c>
      <c r="E725" s="16" t="str">
        <f>IFERROR(IF([1]对账明细接口!$E$725=0,"",[1]对账明细接口!$E$725),"")</f>
        <v/>
      </c>
      <c r="F725" s="16" t="str">
        <f>IFERROR(IF([1]对账明细接口!$F$725=0,"",[1]对账明细接口!$F$725),"")</f>
        <v/>
      </c>
      <c r="G725" s="16" t="str">
        <f>IFERROR(IF([1]对账明细接口!$G$725=0,"",[1]对账明细接口!$G$725),"")</f>
        <v/>
      </c>
      <c r="H725" s="17" t="str">
        <f>IFERROR(IF([1]对账明细接口!$H$725=0,"",[1]对账明细接口!$H$725),"")</f>
        <v/>
      </c>
      <c r="I725" s="16" t="str">
        <f>IFERROR(IF([1]对账明细接口!$I$725=0,"",[1]对账明细接口!$I$725),"")</f>
        <v/>
      </c>
      <c r="J725" s="18" t="str">
        <f>IFERROR(IF([1]对账明细接口!$J$725=0,"",[1]对账明细接口!$J$725),"")</f>
        <v/>
      </c>
      <c r="K725" s="18" t="str">
        <f>IFERROR(IF([1]对账明细接口!$K$725=0,"",[1]对账明细接口!$K$725),"")</f>
        <v/>
      </c>
      <c r="L725" s="16" t="str">
        <f>IFERROR(IF([1]对账明细接口!$L$725=0,"",[1]对账明细接口!$L$725),"")</f>
        <v/>
      </c>
      <c r="M725" s="16" t="str">
        <f>IFERROR(IF([1]对账明细接口!$M$725=0,"",[1]对账明细接口!$M$725),"")</f>
        <v/>
      </c>
      <c r="N725" s="19">
        <f t="shared" si="22"/>
        <v>0</v>
      </c>
      <c r="O725" s="19">
        <f t="shared" si="23"/>
        <v>420</v>
      </c>
      <c r="S725" s="20" t="str">
        <f>IFERROR(IF([1]对账明细接口!$N725=0,"",[1]对账明细接口!$N725),"")</f>
        <v/>
      </c>
      <c r="T725" s="21" t="str">
        <f>IFERROR(IF([1]对账明细接口!$O725=0,"",[1]对账明细接口!$O725),"")</f>
        <v/>
      </c>
      <c r="U725" s="21" t="str">
        <f>IFERROR(IF([1]对账明细接口!$P725=0,"",[1]对账明细接口!$P725),"")</f>
        <v/>
      </c>
      <c r="V725" s="21" t="str">
        <f>IFERROR(IF([1]对账明细接口!$Q725=0,"",[1]对账明细接口!$Q725),"")</f>
        <v/>
      </c>
      <c r="W725" s="20" t="str">
        <f>IFERROR(IF([1]对账明细接口!$R725=0,"",[1]对账明细接口!$R725),"")</f>
        <v/>
      </c>
      <c r="X725" s="20" t="str">
        <f>IFERROR(IF([1]对账明细接口!$S725=0,"",[1]对账明细接口!$S725),"")</f>
        <v/>
      </c>
      <c r="Y725" s="20" t="str">
        <f>IFERROR(IF([1]对账明细接口!$T725=0,"",[1]对账明细接口!$T725),"")</f>
        <v/>
      </c>
      <c r="Z725" s="24" t="str">
        <f>IFERROR(IF([1]对账明细接口!$U725=0,"",[1]对账明细接口!$U725),"")</f>
        <v/>
      </c>
      <c r="AA725" s="24" t="str">
        <f>IFERROR(IF([1]对账明细接口!$V725=0,"",[1]对账明细接口!$V725),"")</f>
        <v/>
      </c>
      <c r="AB725" s="20" t="str">
        <f>IFERROR(IF([1]对账明细接口!$W725=0,"",[1]对账明细接口!$W725),"")</f>
        <v/>
      </c>
      <c r="AC725" s="7" t="str">
        <f>IFERROR(IF([1]对账明细接口!$X725=0,"",[1]对账明细接口!$X725),"")</f>
        <v/>
      </c>
      <c r="AD725" s="7" t="str">
        <f>IFERROR(IF([1]对账明细接口!$Y725=0,"",[1]对账明细接口!$Y725),"")</f>
        <v/>
      </c>
      <c r="AE725" s="7" t="str">
        <f>IFERROR(IF([1]对账明细接口!$AA725=0,"",[1]对账明细接口!$AA725),"")</f>
        <v/>
      </c>
      <c r="AF725" s="7" t="str">
        <f>IFERROR(IF([1]对账明细接口!$AB725=0,"",[1]对账明细接口!$AB725),"")</f>
        <v/>
      </c>
      <c r="AG725" s="7" t="str">
        <f>IFERROR(IF([1]对账明细接口!$AC725=0,"",[1]对账明细接口!$AC725),"")</f>
        <v/>
      </c>
      <c r="AH725" s="7" t="str">
        <f>IFERROR(IF([1]对账明细接口!$AD725=0,"",[1]对账明细接口!$AD725),"")</f>
        <v/>
      </c>
      <c r="AI725" s="7" t="str">
        <f>IFERROR(IF([1]对账明细接口!$AE725=0,"",[1]对账明细接口!$AE725),"")</f>
        <v/>
      </c>
      <c r="AJ725" s="7" t="str">
        <f>IFERROR(IF([1]对账明细接口!$AF725=0,"",[1]对账明细接口!$AF725),"")</f>
        <v/>
      </c>
    </row>
    <row r="726" ht="14.25" customHeight="1" spans="1:36">
      <c r="A726" s="14">
        <v>726</v>
      </c>
      <c r="B726" s="15" t="str">
        <f>IFERROR(IF([1]对账明细接口!$B$726=0,"",[1]对账明细接口!$B$726),"")</f>
        <v/>
      </c>
      <c r="C726" s="16" t="str">
        <f>IFERROR(IF([1]对账明细接口!$C$726=0,"",[1]对账明细接口!$C$726),"")</f>
        <v/>
      </c>
      <c r="D726" s="16" t="str">
        <f>IFERROR(IF([1]对账明细接口!$D$726=0,"",[1]对账明细接口!$D$726),"")</f>
        <v/>
      </c>
      <c r="E726" s="16" t="str">
        <f>IFERROR(IF([1]对账明细接口!$E$726=0,"",[1]对账明细接口!$E$726),"")</f>
        <v/>
      </c>
      <c r="F726" s="16" t="str">
        <f>IFERROR(IF([1]对账明细接口!$F$726=0,"",[1]对账明细接口!$F$726),"")</f>
        <v/>
      </c>
      <c r="G726" s="16" t="str">
        <f>IFERROR(IF([1]对账明细接口!$G$726=0,"",[1]对账明细接口!$G$726),"")</f>
        <v/>
      </c>
      <c r="H726" s="17" t="str">
        <f>IFERROR(IF([1]对账明细接口!$H$726=0,"",[1]对账明细接口!$H$726),"")</f>
        <v/>
      </c>
      <c r="I726" s="16" t="str">
        <f>IFERROR(IF([1]对账明细接口!$I$726=0,"",[1]对账明细接口!$I$726),"")</f>
        <v/>
      </c>
      <c r="J726" s="18" t="str">
        <f>IFERROR(IF([1]对账明细接口!$J$726=0,"",[1]对账明细接口!$J$726),"")</f>
        <v/>
      </c>
      <c r="K726" s="18" t="str">
        <f>IFERROR(IF([1]对账明细接口!$K$726=0,"",[1]对账明细接口!$K$726),"")</f>
        <v/>
      </c>
      <c r="L726" s="16" t="str">
        <f>IFERROR(IF([1]对账明细接口!$L$726=0,"",[1]对账明细接口!$L$726),"")</f>
        <v/>
      </c>
      <c r="M726" s="16" t="str">
        <f>IFERROR(IF([1]对账明细接口!$M$726=0,"",[1]对账明细接口!$M$726),"")</f>
        <v/>
      </c>
      <c r="N726" s="19">
        <f t="shared" si="22"/>
        <v>0</v>
      </c>
      <c r="O726" s="19">
        <f t="shared" si="23"/>
        <v>420</v>
      </c>
      <c r="S726" s="20" t="str">
        <f>IFERROR(IF([1]对账明细接口!$N726=0,"",[1]对账明细接口!$N726),"")</f>
        <v/>
      </c>
      <c r="T726" s="21" t="str">
        <f>IFERROR(IF([1]对账明细接口!$O726=0,"",[1]对账明细接口!$O726),"")</f>
        <v/>
      </c>
      <c r="U726" s="21" t="str">
        <f>IFERROR(IF([1]对账明细接口!$P726=0,"",[1]对账明细接口!$P726),"")</f>
        <v/>
      </c>
      <c r="V726" s="21" t="str">
        <f>IFERROR(IF([1]对账明细接口!$Q726=0,"",[1]对账明细接口!$Q726),"")</f>
        <v/>
      </c>
      <c r="W726" s="20" t="str">
        <f>IFERROR(IF([1]对账明细接口!$R726=0,"",[1]对账明细接口!$R726),"")</f>
        <v/>
      </c>
      <c r="X726" s="20" t="str">
        <f>IFERROR(IF([1]对账明细接口!$S726=0,"",[1]对账明细接口!$S726),"")</f>
        <v/>
      </c>
      <c r="Y726" s="20" t="str">
        <f>IFERROR(IF([1]对账明细接口!$T726=0,"",[1]对账明细接口!$T726),"")</f>
        <v/>
      </c>
      <c r="Z726" s="24" t="str">
        <f>IFERROR(IF([1]对账明细接口!$U726=0,"",[1]对账明细接口!$U726),"")</f>
        <v/>
      </c>
      <c r="AA726" s="24" t="str">
        <f>IFERROR(IF([1]对账明细接口!$V726=0,"",[1]对账明细接口!$V726),"")</f>
        <v/>
      </c>
      <c r="AB726" s="20" t="str">
        <f>IFERROR(IF([1]对账明细接口!$W726=0,"",[1]对账明细接口!$W726),"")</f>
        <v/>
      </c>
      <c r="AC726" s="7" t="str">
        <f>IFERROR(IF([1]对账明细接口!$X726=0,"",[1]对账明细接口!$X726),"")</f>
        <v/>
      </c>
      <c r="AD726" s="7" t="str">
        <f>IFERROR(IF([1]对账明细接口!$Y726=0,"",[1]对账明细接口!$Y726),"")</f>
        <v/>
      </c>
      <c r="AE726" s="7" t="str">
        <f>IFERROR(IF([1]对账明细接口!$AA726=0,"",[1]对账明细接口!$AA726),"")</f>
        <v/>
      </c>
      <c r="AF726" s="7" t="str">
        <f>IFERROR(IF([1]对账明细接口!$AB726=0,"",[1]对账明细接口!$AB726),"")</f>
        <v/>
      </c>
      <c r="AG726" s="7" t="str">
        <f>IFERROR(IF([1]对账明细接口!$AC726=0,"",[1]对账明细接口!$AC726),"")</f>
        <v/>
      </c>
      <c r="AH726" s="7" t="str">
        <f>IFERROR(IF([1]对账明细接口!$AD726=0,"",[1]对账明细接口!$AD726),"")</f>
        <v/>
      </c>
      <c r="AI726" s="7" t="str">
        <f>IFERROR(IF([1]对账明细接口!$AE726=0,"",[1]对账明细接口!$AE726),"")</f>
        <v/>
      </c>
      <c r="AJ726" s="7" t="str">
        <f>IFERROR(IF([1]对账明细接口!$AF726=0,"",[1]对账明细接口!$AF726),"")</f>
        <v/>
      </c>
    </row>
    <row r="727" ht="14.25" customHeight="1" spans="1:36">
      <c r="A727" s="14">
        <v>727</v>
      </c>
      <c r="B727" s="15" t="str">
        <f>IFERROR(IF([1]对账明细接口!$B$727=0,"",[1]对账明细接口!$B$727),"")</f>
        <v/>
      </c>
      <c r="C727" s="16" t="str">
        <f>IFERROR(IF([1]对账明细接口!$C$727=0,"",[1]对账明细接口!$C$727),"")</f>
        <v/>
      </c>
      <c r="D727" s="16" t="str">
        <f>IFERROR(IF([1]对账明细接口!$D$727=0,"",[1]对账明细接口!$D$727),"")</f>
        <v/>
      </c>
      <c r="E727" s="16" t="str">
        <f>IFERROR(IF([1]对账明细接口!$E$727=0,"",[1]对账明细接口!$E$727),"")</f>
        <v/>
      </c>
      <c r="F727" s="16" t="str">
        <f>IFERROR(IF([1]对账明细接口!$F$727=0,"",[1]对账明细接口!$F$727),"")</f>
        <v/>
      </c>
      <c r="G727" s="16" t="str">
        <f>IFERROR(IF([1]对账明细接口!$G$727=0,"",[1]对账明细接口!$G$727),"")</f>
        <v/>
      </c>
      <c r="H727" s="17" t="str">
        <f>IFERROR(IF([1]对账明细接口!$H$727=0,"",[1]对账明细接口!$H$727),"")</f>
        <v/>
      </c>
      <c r="I727" s="16" t="str">
        <f>IFERROR(IF([1]对账明细接口!$I$727=0,"",[1]对账明细接口!$I$727),"")</f>
        <v/>
      </c>
      <c r="J727" s="18" t="str">
        <f>IFERROR(IF([1]对账明细接口!$J$727=0,"",[1]对账明细接口!$J$727),"")</f>
        <v/>
      </c>
      <c r="K727" s="18" t="str">
        <f>IFERROR(IF([1]对账明细接口!$K$727=0,"",[1]对账明细接口!$K$727),"")</f>
        <v/>
      </c>
      <c r="L727" s="16" t="str">
        <f>IFERROR(IF([1]对账明细接口!$L$727=0,"",[1]对账明细接口!$L$727),"")</f>
        <v/>
      </c>
      <c r="M727" s="16" t="str">
        <f>IFERROR(IF([1]对账明细接口!$M$727=0,"",[1]对账明细接口!$M$727),"")</f>
        <v/>
      </c>
      <c r="N727" s="19">
        <f t="shared" si="22"/>
        <v>0</v>
      </c>
      <c r="O727" s="19">
        <f t="shared" si="23"/>
        <v>420</v>
      </c>
      <c r="S727" s="20" t="str">
        <f>IFERROR(IF([1]对账明细接口!$N727=0,"",[1]对账明细接口!$N727),"")</f>
        <v/>
      </c>
      <c r="T727" s="21" t="str">
        <f>IFERROR(IF([1]对账明细接口!$O727=0,"",[1]对账明细接口!$O727),"")</f>
        <v/>
      </c>
      <c r="U727" s="21" t="str">
        <f>IFERROR(IF([1]对账明细接口!$P727=0,"",[1]对账明细接口!$P727),"")</f>
        <v/>
      </c>
      <c r="V727" s="21" t="str">
        <f>IFERROR(IF([1]对账明细接口!$Q727=0,"",[1]对账明细接口!$Q727),"")</f>
        <v/>
      </c>
      <c r="W727" s="20" t="str">
        <f>IFERROR(IF([1]对账明细接口!$R727=0,"",[1]对账明细接口!$R727),"")</f>
        <v/>
      </c>
      <c r="X727" s="20" t="str">
        <f>IFERROR(IF([1]对账明细接口!$S727=0,"",[1]对账明细接口!$S727),"")</f>
        <v/>
      </c>
      <c r="Y727" s="20" t="str">
        <f>IFERROR(IF([1]对账明细接口!$T727=0,"",[1]对账明细接口!$T727),"")</f>
        <v/>
      </c>
      <c r="Z727" s="24" t="str">
        <f>IFERROR(IF([1]对账明细接口!$U727=0,"",[1]对账明细接口!$U727),"")</f>
        <v/>
      </c>
      <c r="AA727" s="24" t="str">
        <f>IFERROR(IF([1]对账明细接口!$V727=0,"",[1]对账明细接口!$V727),"")</f>
        <v/>
      </c>
      <c r="AB727" s="20" t="str">
        <f>IFERROR(IF([1]对账明细接口!$W727=0,"",[1]对账明细接口!$W727),"")</f>
        <v/>
      </c>
      <c r="AC727" s="7" t="str">
        <f>IFERROR(IF([1]对账明细接口!$X727=0,"",[1]对账明细接口!$X727),"")</f>
        <v/>
      </c>
      <c r="AD727" s="7" t="str">
        <f>IFERROR(IF([1]对账明细接口!$Y727=0,"",[1]对账明细接口!$Y727),"")</f>
        <v/>
      </c>
      <c r="AE727" s="7" t="str">
        <f>IFERROR(IF([1]对账明细接口!$AA727=0,"",[1]对账明细接口!$AA727),"")</f>
        <v/>
      </c>
      <c r="AF727" s="7" t="str">
        <f>IFERROR(IF([1]对账明细接口!$AB727=0,"",[1]对账明细接口!$AB727),"")</f>
        <v/>
      </c>
      <c r="AG727" s="7" t="str">
        <f>IFERROR(IF([1]对账明细接口!$AC727=0,"",[1]对账明细接口!$AC727),"")</f>
        <v/>
      </c>
      <c r="AH727" s="7" t="str">
        <f>IFERROR(IF([1]对账明细接口!$AD727=0,"",[1]对账明细接口!$AD727),"")</f>
        <v/>
      </c>
      <c r="AI727" s="7" t="str">
        <f>IFERROR(IF([1]对账明细接口!$AE727=0,"",[1]对账明细接口!$AE727),"")</f>
        <v/>
      </c>
      <c r="AJ727" s="7" t="str">
        <f>IFERROR(IF([1]对账明细接口!$AF727=0,"",[1]对账明细接口!$AF727),"")</f>
        <v/>
      </c>
    </row>
    <row r="728" ht="14.25" customHeight="1" spans="1:36">
      <c r="A728" s="14">
        <v>728</v>
      </c>
      <c r="B728" s="15" t="str">
        <f>IFERROR(IF([1]对账明细接口!$B$728=0,"",[1]对账明细接口!$B$728),"")</f>
        <v/>
      </c>
      <c r="C728" s="16" t="str">
        <f>IFERROR(IF([1]对账明细接口!$C$728=0,"",[1]对账明细接口!$C$728),"")</f>
        <v/>
      </c>
      <c r="D728" s="16" t="str">
        <f>IFERROR(IF([1]对账明细接口!$D$728=0,"",[1]对账明细接口!$D$728),"")</f>
        <v/>
      </c>
      <c r="E728" s="16" t="str">
        <f>IFERROR(IF([1]对账明细接口!$E$728=0,"",[1]对账明细接口!$E$728),"")</f>
        <v/>
      </c>
      <c r="F728" s="16" t="str">
        <f>IFERROR(IF([1]对账明细接口!$F$728=0,"",[1]对账明细接口!$F$728),"")</f>
        <v/>
      </c>
      <c r="G728" s="16" t="str">
        <f>IFERROR(IF([1]对账明细接口!$G$728=0,"",[1]对账明细接口!$G$728),"")</f>
        <v/>
      </c>
      <c r="H728" s="17" t="str">
        <f>IFERROR(IF([1]对账明细接口!$H$728=0,"",[1]对账明细接口!$H$728),"")</f>
        <v/>
      </c>
      <c r="I728" s="16" t="str">
        <f>IFERROR(IF([1]对账明细接口!$I$728=0,"",[1]对账明细接口!$I$728),"")</f>
        <v/>
      </c>
      <c r="J728" s="18" t="str">
        <f>IFERROR(IF([1]对账明细接口!$J$728=0,"",[1]对账明细接口!$J$728),"")</f>
        <v/>
      </c>
      <c r="K728" s="18" t="str">
        <f>IFERROR(IF([1]对账明细接口!$K$728=0,"",[1]对账明细接口!$K$728),"")</f>
        <v/>
      </c>
      <c r="L728" s="16" t="str">
        <f>IFERROR(IF([1]对账明细接口!$L$728=0,"",[1]对账明细接口!$L$728),"")</f>
        <v/>
      </c>
      <c r="M728" s="16" t="str">
        <f>IFERROR(IF([1]对账明细接口!$M$728=0,"",[1]对账明细接口!$M$728),"")</f>
        <v/>
      </c>
      <c r="N728" s="19">
        <f t="shared" si="22"/>
        <v>0</v>
      </c>
      <c r="O728" s="19">
        <f t="shared" si="23"/>
        <v>420</v>
      </c>
      <c r="S728" s="20" t="str">
        <f>IFERROR(IF([1]对账明细接口!$N728=0,"",[1]对账明细接口!$N728),"")</f>
        <v/>
      </c>
      <c r="T728" s="21" t="str">
        <f>IFERROR(IF([1]对账明细接口!$O728=0,"",[1]对账明细接口!$O728),"")</f>
        <v/>
      </c>
      <c r="U728" s="21" t="str">
        <f>IFERROR(IF([1]对账明细接口!$P728=0,"",[1]对账明细接口!$P728),"")</f>
        <v/>
      </c>
      <c r="V728" s="21" t="str">
        <f>IFERROR(IF([1]对账明细接口!$Q728=0,"",[1]对账明细接口!$Q728),"")</f>
        <v/>
      </c>
      <c r="W728" s="20" t="str">
        <f>IFERROR(IF([1]对账明细接口!$R728=0,"",[1]对账明细接口!$R728),"")</f>
        <v/>
      </c>
      <c r="X728" s="20" t="str">
        <f>IFERROR(IF([1]对账明细接口!$S728=0,"",[1]对账明细接口!$S728),"")</f>
        <v/>
      </c>
      <c r="Y728" s="20" t="str">
        <f>IFERROR(IF([1]对账明细接口!$T728=0,"",[1]对账明细接口!$T728),"")</f>
        <v/>
      </c>
      <c r="Z728" s="24" t="str">
        <f>IFERROR(IF([1]对账明细接口!$U728=0,"",[1]对账明细接口!$U728),"")</f>
        <v/>
      </c>
      <c r="AA728" s="24" t="str">
        <f>IFERROR(IF([1]对账明细接口!$V728=0,"",[1]对账明细接口!$V728),"")</f>
        <v/>
      </c>
      <c r="AB728" s="20" t="str">
        <f>IFERROR(IF([1]对账明细接口!$W728=0,"",[1]对账明细接口!$W728),"")</f>
        <v/>
      </c>
      <c r="AC728" s="7" t="str">
        <f>IFERROR(IF([1]对账明细接口!$X728=0,"",[1]对账明细接口!$X728),"")</f>
        <v/>
      </c>
      <c r="AD728" s="7" t="str">
        <f>IFERROR(IF([1]对账明细接口!$Y728=0,"",[1]对账明细接口!$Y728),"")</f>
        <v/>
      </c>
      <c r="AE728" s="7" t="str">
        <f>IFERROR(IF([1]对账明细接口!$AA728=0,"",[1]对账明细接口!$AA728),"")</f>
        <v/>
      </c>
      <c r="AF728" s="7" t="str">
        <f>IFERROR(IF([1]对账明细接口!$AB728=0,"",[1]对账明细接口!$AB728),"")</f>
        <v/>
      </c>
      <c r="AG728" s="7" t="str">
        <f>IFERROR(IF([1]对账明细接口!$AC728=0,"",[1]对账明细接口!$AC728),"")</f>
        <v/>
      </c>
      <c r="AH728" s="7" t="str">
        <f>IFERROR(IF([1]对账明细接口!$AD728=0,"",[1]对账明细接口!$AD728),"")</f>
        <v/>
      </c>
      <c r="AI728" s="7" t="str">
        <f>IFERROR(IF([1]对账明细接口!$AE728=0,"",[1]对账明细接口!$AE728),"")</f>
        <v/>
      </c>
      <c r="AJ728" s="7" t="str">
        <f>IFERROR(IF([1]对账明细接口!$AF728=0,"",[1]对账明细接口!$AF728),"")</f>
        <v/>
      </c>
    </row>
    <row r="729" ht="14.25" customHeight="1" spans="1:36">
      <c r="A729" s="14">
        <v>729</v>
      </c>
      <c r="B729" s="15" t="str">
        <f>IFERROR(IF([1]对账明细接口!$B$729=0,"",[1]对账明细接口!$B$729),"")</f>
        <v/>
      </c>
      <c r="C729" s="16" t="str">
        <f>IFERROR(IF([1]对账明细接口!$C$729=0,"",[1]对账明细接口!$C$729),"")</f>
        <v/>
      </c>
      <c r="D729" s="16" t="str">
        <f>IFERROR(IF([1]对账明细接口!$D$729=0,"",[1]对账明细接口!$D$729),"")</f>
        <v/>
      </c>
      <c r="E729" s="16" t="str">
        <f>IFERROR(IF([1]对账明细接口!$E$729=0,"",[1]对账明细接口!$E$729),"")</f>
        <v/>
      </c>
      <c r="F729" s="16" t="str">
        <f>IFERROR(IF([1]对账明细接口!$F$729=0,"",[1]对账明细接口!$F$729),"")</f>
        <v/>
      </c>
      <c r="G729" s="16" t="str">
        <f>IFERROR(IF([1]对账明细接口!$G$729=0,"",[1]对账明细接口!$G$729),"")</f>
        <v/>
      </c>
      <c r="H729" s="17" t="str">
        <f>IFERROR(IF([1]对账明细接口!$H$729=0,"",[1]对账明细接口!$H$729),"")</f>
        <v/>
      </c>
      <c r="I729" s="16" t="str">
        <f>IFERROR(IF([1]对账明细接口!$I$729=0,"",[1]对账明细接口!$I$729),"")</f>
        <v/>
      </c>
      <c r="J729" s="18" t="str">
        <f>IFERROR(IF([1]对账明细接口!$J$729=0,"",[1]对账明细接口!$J$729),"")</f>
        <v/>
      </c>
      <c r="K729" s="18" t="str">
        <f>IFERROR(IF([1]对账明细接口!$K$729=0,"",[1]对账明细接口!$K$729),"")</f>
        <v/>
      </c>
      <c r="L729" s="16" t="str">
        <f>IFERROR(IF([1]对账明细接口!$L$729=0,"",[1]对账明细接口!$L$729),"")</f>
        <v/>
      </c>
      <c r="M729" s="16" t="str">
        <f>IFERROR(IF([1]对账明细接口!$M$729=0,"",[1]对账明细接口!$M$729),"")</f>
        <v/>
      </c>
      <c r="N729" s="19">
        <f t="shared" si="22"/>
        <v>0</v>
      </c>
      <c r="O729" s="19">
        <f t="shared" si="23"/>
        <v>420</v>
      </c>
      <c r="S729" s="20" t="str">
        <f>IFERROR(IF([1]对账明细接口!$N729=0,"",[1]对账明细接口!$N729),"")</f>
        <v/>
      </c>
      <c r="T729" s="21" t="str">
        <f>IFERROR(IF([1]对账明细接口!$O729=0,"",[1]对账明细接口!$O729),"")</f>
        <v/>
      </c>
      <c r="U729" s="21" t="str">
        <f>IFERROR(IF([1]对账明细接口!$P729=0,"",[1]对账明细接口!$P729),"")</f>
        <v/>
      </c>
      <c r="V729" s="21" t="str">
        <f>IFERROR(IF([1]对账明细接口!$Q729=0,"",[1]对账明细接口!$Q729),"")</f>
        <v/>
      </c>
      <c r="W729" s="20" t="str">
        <f>IFERROR(IF([1]对账明细接口!$R729=0,"",[1]对账明细接口!$R729),"")</f>
        <v/>
      </c>
      <c r="X729" s="20" t="str">
        <f>IFERROR(IF([1]对账明细接口!$S729=0,"",[1]对账明细接口!$S729),"")</f>
        <v/>
      </c>
      <c r="Y729" s="20" t="str">
        <f>IFERROR(IF([1]对账明细接口!$T729=0,"",[1]对账明细接口!$T729),"")</f>
        <v/>
      </c>
      <c r="Z729" s="24" t="str">
        <f>IFERROR(IF([1]对账明细接口!$U729=0,"",[1]对账明细接口!$U729),"")</f>
        <v/>
      </c>
      <c r="AA729" s="24" t="str">
        <f>IFERROR(IF([1]对账明细接口!$V729=0,"",[1]对账明细接口!$V729),"")</f>
        <v/>
      </c>
      <c r="AB729" s="20" t="str">
        <f>IFERROR(IF([1]对账明细接口!$W729=0,"",[1]对账明细接口!$W729),"")</f>
        <v/>
      </c>
      <c r="AC729" s="7" t="str">
        <f>IFERROR(IF([1]对账明细接口!$X729=0,"",[1]对账明细接口!$X729),"")</f>
        <v/>
      </c>
      <c r="AD729" s="7" t="str">
        <f>IFERROR(IF([1]对账明细接口!$Y729=0,"",[1]对账明细接口!$Y729),"")</f>
        <v/>
      </c>
      <c r="AE729" s="7" t="str">
        <f>IFERROR(IF([1]对账明细接口!$AA729=0,"",[1]对账明细接口!$AA729),"")</f>
        <v/>
      </c>
      <c r="AF729" s="7" t="str">
        <f>IFERROR(IF([1]对账明细接口!$AB729=0,"",[1]对账明细接口!$AB729),"")</f>
        <v/>
      </c>
      <c r="AG729" s="7" t="str">
        <f>IFERROR(IF([1]对账明细接口!$AC729=0,"",[1]对账明细接口!$AC729),"")</f>
        <v/>
      </c>
      <c r="AH729" s="7" t="str">
        <f>IFERROR(IF([1]对账明细接口!$AD729=0,"",[1]对账明细接口!$AD729),"")</f>
        <v/>
      </c>
      <c r="AI729" s="7" t="str">
        <f>IFERROR(IF([1]对账明细接口!$AE729=0,"",[1]对账明细接口!$AE729),"")</f>
        <v/>
      </c>
      <c r="AJ729" s="7" t="str">
        <f>IFERROR(IF([1]对账明细接口!$AF729=0,"",[1]对账明细接口!$AF729),"")</f>
        <v/>
      </c>
    </row>
    <row r="730" ht="14.25" customHeight="1" spans="1:36">
      <c r="A730" s="14">
        <v>730</v>
      </c>
      <c r="B730" s="15" t="str">
        <f>IFERROR(IF([1]对账明细接口!$B$730=0,"",[1]对账明细接口!$B$730),"")</f>
        <v/>
      </c>
      <c r="C730" s="16" t="str">
        <f>IFERROR(IF([1]对账明细接口!$C$730=0,"",[1]对账明细接口!$C$730),"")</f>
        <v/>
      </c>
      <c r="D730" s="16" t="str">
        <f>IFERROR(IF([1]对账明细接口!$D$730=0,"",[1]对账明细接口!$D$730),"")</f>
        <v/>
      </c>
      <c r="E730" s="16" t="str">
        <f>IFERROR(IF([1]对账明细接口!$E$730=0,"",[1]对账明细接口!$E$730),"")</f>
        <v/>
      </c>
      <c r="F730" s="16" t="str">
        <f>IFERROR(IF([1]对账明细接口!$F$730=0,"",[1]对账明细接口!$F$730),"")</f>
        <v/>
      </c>
      <c r="G730" s="16" t="str">
        <f>IFERROR(IF([1]对账明细接口!$G$730=0,"",[1]对账明细接口!$G$730),"")</f>
        <v/>
      </c>
      <c r="H730" s="17" t="str">
        <f>IFERROR(IF([1]对账明细接口!$H$730=0,"",[1]对账明细接口!$H$730),"")</f>
        <v/>
      </c>
      <c r="I730" s="16" t="str">
        <f>IFERROR(IF([1]对账明细接口!$I$730=0,"",[1]对账明细接口!$I$730),"")</f>
        <v/>
      </c>
      <c r="J730" s="18" t="str">
        <f>IFERROR(IF([1]对账明细接口!$J$730=0,"",[1]对账明细接口!$J$730),"")</f>
        <v/>
      </c>
      <c r="K730" s="18" t="str">
        <f>IFERROR(IF([1]对账明细接口!$K$730=0,"",[1]对账明细接口!$K$730),"")</f>
        <v/>
      </c>
      <c r="L730" s="16" t="str">
        <f>IFERROR(IF([1]对账明细接口!$L$730=0,"",[1]对账明细接口!$L$730),"")</f>
        <v/>
      </c>
      <c r="M730" s="16" t="str">
        <f>IFERROR(IF([1]对账明细接口!$M$730=0,"",[1]对账明细接口!$M$730),"")</f>
        <v/>
      </c>
      <c r="N730" s="19">
        <f t="shared" si="22"/>
        <v>0</v>
      </c>
      <c r="O730" s="19">
        <f t="shared" si="23"/>
        <v>420</v>
      </c>
      <c r="S730" s="20" t="str">
        <f>IFERROR(IF([1]对账明细接口!$N730=0,"",[1]对账明细接口!$N730),"")</f>
        <v/>
      </c>
      <c r="T730" s="21" t="str">
        <f>IFERROR(IF([1]对账明细接口!$O730=0,"",[1]对账明细接口!$O730),"")</f>
        <v/>
      </c>
      <c r="U730" s="21" t="str">
        <f>IFERROR(IF([1]对账明细接口!$P730=0,"",[1]对账明细接口!$P730),"")</f>
        <v/>
      </c>
      <c r="V730" s="21" t="str">
        <f>IFERROR(IF([1]对账明细接口!$Q730=0,"",[1]对账明细接口!$Q730),"")</f>
        <v/>
      </c>
      <c r="W730" s="20" t="str">
        <f>IFERROR(IF([1]对账明细接口!$R730=0,"",[1]对账明细接口!$R730),"")</f>
        <v/>
      </c>
      <c r="X730" s="20" t="str">
        <f>IFERROR(IF([1]对账明细接口!$S730=0,"",[1]对账明细接口!$S730),"")</f>
        <v/>
      </c>
      <c r="Y730" s="20" t="str">
        <f>IFERROR(IF([1]对账明细接口!$T730=0,"",[1]对账明细接口!$T730),"")</f>
        <v/>
      </c>
      <c r="Z730" s="24" t="str">
        <f>IFERROR(IF([1]对账明细接口!$U730=0,"",[1]对账明细接口!$U730),"")</f>
        <v/>
      </c>
      <c r="AA730" s="24" t="str">
        <f>IFERROR(IF([1]对账明细接口!$V730=0,"",[1]对账明细接口!$V730),"")</f>
        <v/>
      </c>
      <c r="AB730" s="20" t="str">
        <f>IFERROR(IF([1]对账明细接口!$W730=0,"",[1]对账明细接口!$W730),"")</f>
        <v/>
      </c>
      <c r="AC730" s="7" t="str">
        <f>IFERROR(IF([1]对账明细接口!$X730=0,"",[1]对账明细接口!$X730),"")</f>
        <v/>
      </c>
      <c r="AD730" s="7" t="str">
        <f>IFERROR(IF([1]对账明细接口!$Y730=0,"",[1]对账明细接口!$Y730),"")</f>
        <v/>
      </c>
      <c r="AE730" s="7" t="str">
        <f>IFERROR(IF([1]对账明细接口!$AA730=0,"",[1]对账明细接口!$AA730),"")</f>
        <v/>
      </c>
      <c r="AF730" s="7" t="str">
        <f>IFERROR(IF([1]对账明细接口!$AB730=0,"",[1]对账明细接口!$AB730),"")</f>
        <v/>
      </c>
      <c r="AG730" s="7" t="str">
        <f>IFERROR(IF([1]对账明细接口!$AC730=0,"",[1]对账明细接口!$AC730),"")</f>
        <v/>
      </c>
      <c r="AH730" s="7" t="str">
        <f>IFERROR(IF([1]对账明细接口!$AD730=0,"",[1]对账明细接口!$AD730),"")</f>
        <v/>
      </c>
      <c r="AI730" s="7" t="str">
        <f>IFERROR(IF([1]对账明细接口!$AE730=0,"",[1]对账明细接口!$AE730),"")</f>
        <v/>
      </c>
      <c r="AJ730" s="7" t="str">
        <f>IFERROR(IF([1]对账明细接口!$AF730=0,"",[1]对账明细接口!$AF730),"")</f>
        <v/>
      </c>
    </row>
    <row r="731" ht="14.25" customHeight="1" spans="1:36">
      <c r="A731" s="14">
        <v>731</v>
      </c>
      <c r="B731" s="15" t="str">
        <f>IFERROR(IF([1]对账明细接口!$B$731=0,"",[1]对账明细接口!$B$731),"")</f>
        <v/>
      </c>
      <c r="C731" s="16" t="str">
        <f>IFERROR(IF([1]对账明细接口!$C$731=0,"",[1]对账明细接口!$C$731),"")</f>
        <v/>
      </c>
      <c r="D731" s="16" t="str">
        <f>IFERROR(IF([1]对账明细接口!$D$731=0,"",[1]对账明细接口!$D$731),"")</f>
        <v/>
      </c>
      <c r="E731" s="16" t="str">
        <f>IFERROR(IF([1]对账明细接口!$E$731=0,"",[1]对账明细接口!$E$731),"")</f>
        <v/>
      </c>
      <c r="F731" s="16" t="str">
        <f>IFERROR(IF([1]对账明细接口!$F$731=0,"",[1]对账明细接口!$F$731),"")</f>
        <v/>
      </c>
      <c r="G731" s="16" t="str">
        <f>IFERROR(IF([1]对账明细接口!$G$731=0,"",[1]对账明细接口!$G$731),"")</f>
        <v/>
      </c>
      <c r="H731" s="17" t="str">
        <f>IFERROR(IF([1]对账明细接口!$H$731=0,"",[1]对账明细接口!$H$731),"")</f>
        <v/>
      </c>
      <c r="I731" s="16" t="str">
        <f>IFERROR(IF([1]对账明细接口!$I$731=0,"",[1]对账明细接口!$I$731),"")</f>
        <v/>
      </c>
      <c r="J731" s="18" t="str">
        <f>IFERROR(IF([1]对账明细接口!$J$731=0,"",[1]对账明细接口!$J$731),"")</f>
        <v/>
      </c>
      <c r="K731" s="18" t="str">
        <f>IFERROR(IF([1]对账明细接口!$K$731=0,"",[1]对账明细接口!$K$731),"")</f>
        <v/>
      </c>
      <c r="L731" s="16" t="str">
        <f>IFERROR(IF([1]对账明细接口!$L$731=0,"",[1]对账明细接口!$L$731),"")</f>
        <v/>
      </c>
      <c r="M731" s="16" t="str">
        <f>IFERROR(IF([1]对账明细接口!$M$731=0,"",[1]对账明细接口!$M$731),"")</f>
        <v/>
      </c>
      <c r="N731" s="19">
        <f t="shared" si="22"/>
        <v>0</v>
      </c>
      <c r="O731" s="19">
        <f t="shared" si="23"/>
        <v>420</v>
      </c>
      <c r="S731" s="20" t="str">
        <f>IFERROR(IF([1]对账明细接口!$N731=0,"",[1]对账明细接口!$N731),"")</f>
        <v/>
      </c>
      <c r="T731" s="21" t="str">
        <f>IFERROR(IF([1]对账明细接口!$O731=0,"",[1]对账明细接口!$O731),"")</f>
        <v/>
      </c>
      <c r="U731" s="21" t="str">
        <f>IFERROR(IF([1]对账明细接口!$P731=0,"",[1]对账明细接口!$P731),"")</f>
        <v/>
      </c>
      <c r="V731" s="21" t="str">
        <f>IFERROR(IF([1]对账明细接口!$Q731=0,"",[1]对账明细接口!$Q731),"")</f>
        <v/>
      </c>
      <c r="W731" s="20" t="str">
        <f>IFERROR(IF([1]对账明细接口!$R731=0,"",[1]对账明细接口!$R731),"")</f>
        <v/>
      </c>
      <c r="X731" s="20" t="str">
        <f>IFERROR(IF([1]对账明细接口!$S731=0,"",[1]对账明细接口!$S731),"")</f>
        <v/>
      </c>
      <c r="Y731" s="20" t="str">
        <f>IFERROR(IF([1]对账明细接口!$T731=0,"",[1]对账明细接口!$T731),"")</f>
        <v/>
      </c>
      <c r="Z731" s="24" t="str">
        <f>IFERROR(IF([1]对账明细接口!$U731=0,"",[1]对账明细接口!$U731),"")</f>
        <v/>
      </c>
      <c r="AA731" s="24" t="str">
        <f>IFERROR(IF([1]对账明细接口!$V731=0,"",[1]对账明细接口!$V731),"")</f>
        <v/>
      </c>
      <c r="AB731" s="20" t="str">
        <f>IFERROR(IF([1]对账明细接口!$W731=0,"",[1]对账明细接口!$W731),"")</f>
        <v/>
      </c>
      <c r="AC731" s="7" t="str">
        <f>IFERROR(IF([1]对账明细接口!$X731=0,"",[1]对账明细接口!$X731),"")</f>
        <v/>
      </c>
      <c r="AD731" s="7" t="str">
        <f>IFERROR(IF([1]对账明细接口!$Y731=0,"",[1]对账明细接口!$Y731),"")</f>
        <v/>
      </c>
      <c r="AE731" s="7" t="str">
        <f>IFERROR(IF([1]对账明细接口!$AA731=0,"",[1]对账明细接口!$AA731),"")</f>
        <v/>
      </c>
      <c r="AF731" s="7" t="str">
        <f>IFERROR(IF([1]对账明细接口!$AB731=0,"",[1]对账明细接口!$AB731),"")</f>
        <v/>
      </c>
      <c r="AG731" s="7" t="str">
        <f>IFERROR(IF([1]对账明细接口!$AC731=0,"",[1]对账明细接口!$AC731),"")</f>
        <v/>
      </c>
      <c r="AH731" s="7" t="str">
        <f>IFERROR(IF([1]对账明细接口!$AD731=0,"",[1]对账明细接口!$AD731),"")</f>
        <v/>
      </c>
      <c r="AI731" s="7" t="str">
        <f>IFERROR(IF([1]对账明细接口!$AE731=0,"",[1]对账明细接口!$AE731),"")</f>
        <v/>
      </c>
      <c r="AJ731" s="7" t="str">
        <f>IFERROR(IF([1]对账明细接口!$AF731=0,"",[1]对账明细接口!$AF731),"")</f>
        <v/>
      </c>
    </row>
    <row r="732" ht="14.25" customHeight="1" spans="1:36">
      <c r="A732" s="14">
        <v>732</v>
      </c>
      <c r="B732" s="15" t="str">
        <f>IFERROR(IF([1]对账明细接口!$B$732=0,"",[1]对账明细接口!$B$732),"")</f>
        <v/>
      </c>
      <c r="C732" s="16" t="str">
        <f>IFERROR(IF([1]对账明细接口!$C$732=0,"",[1]对账明细接口!$C$732),"")</f>
        <v/>
      </c>
      <c r="D732" s="16" t="str">
        <f>IFERROR(IF([1]对账明细接口!$D$732=0,"",[1]对账明细接口!$D$732),"")</f>
        <v/>
      </c>
      <c r="E732" s="16" t="str">
        <f>IFERROR(IF([1]对账明细接口!$E$732=0,"",[1]对账明细接口!$E$732),"")</f>
        <v/>
      </c>
      <c r="F732" s="16" t="str">
        <f>IFERROR(IF([1]对账明细接口!$F$732=0,"",[1]对账明细接口!$F$732),"")</f>
        <v/>
      </c>
      <c r="G732" s="16" t="str">
        <f>IFERROR(IF([1]对账明细接口!$G$732=0,"",[1]对账明细接口!$G$732),"")</f>
        <v/>
      </c>
      <c r="H732" s="17" t="str">
        <f>IFERROR(IF([1]对账明细接口!$H$732=0,"",[1]对账明细接口!$H$732),"")</f>
        <v/>
      </c>
      <c r="I732" s="16" t="str">
        <f>IFERROR(IF([1]对账明细接口!$I$732=0,"",[1]对账明细接口!$I$732),"")</f>
        <v/>
      </c>
      <c r="J732" s="18" t="str">
        <f>IFERROR(IF([1]对账明细接口!$J$732=0,"",[1]对账明细接口!$J$732),"")</f>
        <v/>
      </c>
      <c r="K732" s="18" t="str">
        <f>IFERROR(IF([1]对账明细接口!$K$732=0,"",[1]对账明细接口!$K$732),"")</f>
        <v/>
      </c>
      <c r="L732" s="16" t="str">
        <f>IFERROR(IF([1]对账明细接口!$L$732=0,"",[1]对账明细接口!$L$732),"")</f>
        <v/>
      </c>
      <c r="M732" s="16" t="str">
        <f>IFERROR(IF([1]对账明细接口!$M$732=0,"",[1]对账明细接口!$M$732),"")</f>
        <v/>
      </c>
      <c r="N732" s="19">
        <f t="shared" si="22"/>
        <v>0</v>
      </c>
      <c r="O732" s="19">
        <f t="shared" si="23"/>
        <v>420</v>
      </c>
      <c r="S732" s="20" t="str">
        <f>IFERROR(IF([1]对账明细接口!$N732=0,"",[1]对账明细接口!$N732),"")</f>
        <v/>
      </c>
      <c r="T732" s="21" t="str">
        <f>IFERROR(IF([1]对账明细接口!$O732=0,"",[1]对账明细接口!$O732),"")</f>
        <v/>
      </c>
      <c r="U732" s="21" t="str">
        <f>IFERROR(IF([1]对账明细接口!$P732=0,"",[1]对账明细接口!$P732),"")</f>
        <v/>
      </c>
      <c r="V732" s="21" t="str">
        <f>IFERROR(IF([1]对账明细接口!$Q732=0,"",[1]对账明细接口!$Q732),"")</f>
        <v/>
      </c>
      <c r="W732" s="20" t="str">
        <f>IFERROR(IF([1]对账明细接口!$R732=0,"",[1]对账明细接口!$R732),"")</f>
        <v/>
      </c>
      <c r="X732" s="20" t="str">
        <f>IFERROR(IF([1]对账明细接口!$S732=0,"",[1]对账明细接口!$S732),"")</f>
        <v/>
      </c>
      <c r="Y732" s="20" t="str">
        <f>IFERROR(IF([1]对账明细接口!$T732=0,"",[1]对账明细接口!$T732),"")</f>
        <v/>
      </c>
      <c r="Z732" s="24" t="str">
        <f>IFERROR(IF([1]对账明细接口!$U732=0,"",[1]对账明细接口!$U732),"")</f>
        <v/>
      </c>
      <c r="AA732" s="24" t="str">
        <f>IFERROR(IF([1]对账明细接口!$V732=0,"",[1]对账明细接口!$V732),"")</f>
        <v/>
      </c>
      <c r="AB732" s="20" t="str">
        <f>IFERROR(IF([1]对账明细接口!$W732=0,"",[1]对账明细接口!$W732),"")</f>
        <v/>
      </c>
      <c r="AC732" s="7" t="str">
        <f>IFERROR(IF([1]对账明细接口!$X732=0,"",[1]对账明细接口!$X732),"")</f>
        <v/>
      </c>
      <c r="AD732" s="7" t="str">
        <f>IFERROR(IF([1]对账明细接口!$Y732=0,"",[1]对账明细接口!$Y732),"")</f>
        <v/>
      </c>
      <c r="AE732" s="7" t="str">
        <f>IFERROR(IF([1]对账明细接口!$AA732=0,"",[1]对账明细接口!$AA732),"")</f>
        <v/>
      </c>
      <c r="AF732" s="7" t="str">
        <f>IFERROR(IF([1]对账明细接口!$AB732=0,"",[1]对账明细接口!$AB732),"")</f>
        <v/>
      </c>
      <c r="AG732" s="7" t="str">
        <f>IFERROR(IF([1]对账明细接口!$AC732=0,"",[1]对账明细接口!$AC732),"")</f>
        <v/>
      </c>
      <c r="AH732" s="7" t="str">
        <f>IFERROR(IF([1]对账明细接口!$AD732=0,"",[1]对账明细接口!$AD732),"")</f>
        <v/>
      </c>
      <c r="AI732" s="7" t="str">
        <f>IFERROR(IF([1]对账明细接口!$AE732=0,"",[1]对账明细接口!$AE732),"")</f>
        <v/>
      </c>
      <c r="AJ732" s="7" t="str">
        <f>IFERROR(IF([1]对账明细接口!$AF732=0,"",[1]对账明细接口!$AF732),"")</f>
        <v/>
      </c>
    </row>
    <row r="733" ht="14.25" customHeight="1" spans="1:36">
      <c r="A733" s="14">
        <v>733</v>
      </c>
      <c r="B733" s="15" t="str">
        <f>IFERROR(IF([1]对账明细接口!$B$733=0,"",[1]对账明细接口!$B$733),"")</f>
        <v/>
      </c>
      <c r="C733" s="16" t="str">
        <f>IFERROR(IF([1]对账明细接口!$C$733=0,"",[1]对账明细接口!$C$733),"")</f>
        <v/>
      </c>
      <c r="D733" s="16" t="str">
        <f>IFERROR(IF([1]对账明细接口!$D$733=0,"",[1]对账明细接口!$D$733),"")</f>
        <v/>
      </c>
      <c r="E733" s="16" t="str">
        <f>IFERROR(IF([1]对账明细接口!$E$733=0,"",[1]对账明细接口!$E$733),"")</f>
        <v/>
      </c>
      <c r="F733" s="16" t="str">
        <f>IFERROR(IF([1]对账明细接口!$F$733=0,"",[1]对账明细接口!$F$733),"")</f>
        <v/>
      </c>
      <c r="G733" s="16" t="str">
        <f>IFERROR(IF([1]对账明细接口!$G$733=0,"",[1]对账明细接口!$G$733),"")</f>
        <v/>
      </c>
      <c r="H733" s="17" t="str">
        <f>IFERROR(IF([1]对账明细接口!$H$733=0,"",[1]对账明细接口!$H$733),"")</f>
        <v/>
      </c>
      <c r="I733" s="16" t="str">
        <f>IFERROR(IF([1]对账明细接口!$I$733=0,"",[1]对账明细接口!$I$733),"")</f>
        <v/>
      </c>
      <c r="J733" s="18" t="str">
        <f>IFERROR(IF([1]对账明细接口!$J$733=0,"",[1]对账明细接口!$J$733),"")</f>
        <v/>
      </c>
      <c r="K733" s="18" t="str">
        <f>IFERROR(IF([1]对账明细接口!$K$733=0,"",[1]对账明细接口!$K$733),"")</f>
        <v/>
      </c>
      <c r="L733" s="16" t="str">
        <f>IFERROR(IF([1]对账明细接口!$L$733=0,"",[1]对账明细接口!$L$733),"")</f>
        <v/>
      </c>
      <c r="M733" s="16" t="str">
        <f>IFERROR(IF([1]对账明细接口!$M$733=0,"",[1]对账明细接口!$M$733),"")</f>
        <v/>
      </c>
      <c r="N733" s="19">
        <f t="shared" si="22"/>
        <v>0</v>
      </c>
      <c r="O733" s="19">
        <f t="shared" si="23"/>
        <v>420</v>
      </c>
      <c r="S733" s="20" t="str">
        <f>IFERROR(IF([1]对账明细接口!$N733=0,"",[1]对账明细接口!$N733),"")</f>
        <v/>
      </c>
      <c r="T733" s="21" t="str">
        <f>IFERROR(IF([1]对账明细接口!$O733=0,"",[1]对账明细接口!$O733),"")</f>
        <v/>
      </c>
      <c r="U733" s="21" t="str">
        <f>IFERROR(IF([1]对账明细接口!$P733=0,"",[1]对账明细接口!$P733),"")</f>
        <v/>
      </c>
      <c r="V733" s="21" t="str">
        <f>IFERROR(IF([1]对账明细接口!$Q733=0,"",[1]对账明细接口!$Q733),"")</f>
        <v/>
      </c>
      <c r="W733" s="20" t="str">
        <f>IFERROR(IF([1]对账明细接口!$R733=0,"",[1]对账明细接口!$R733),"")</f>
        <v/>
      </c>
      <c r="X733" s="20" t="str">
        <f>IFERROR(IF([1]对账明细接口!$S733=0,"",[1]对账明细接口!$S733),"")</f>
        <v/>
      </c>
      <c r="Y733" s="20" t="str">
        <f>IFERROR(IF([1]对账明细接口!$T733=0,"",[1]对账明细接口!$T733),"")</f>
        <v/>
      </c>
      <c r="Z733" s="24" t="str">
        <f>IFERROR(IF([1]对账明细接口!$U733=0,"",[1]对账明细接口!$U733),"")</f>
        <v/>
      </c>
      <c r="AA733" s="24" t="str">
        <f>IFERROR(IF([1]对账明细接口!$V733=0,"",[1]对账明细接口!$V733),"")</f>
        <v/>
      </c>
      <c r="AB733" s="20" t="str">
        <f>IFERROR(IF([1]对账明细接口!$W733=0,"",[1]对账明细接口!$W733),"")</f>
        <v/>
      </c>
      <c r="AC733" s="7" t="str">
        <f>IFERROR(IF([1]对账明细接口!$X733=0,"",[1]对账明细接口!$X733),"")</f>
        <v/>
      </c>
      <c r="AD733" s="7" t="str">
        <f>IFERROR(IF([1]对账明细接口!$Y733=0,"",[1]对账明细接口!$Y733),"")</f>
        <v/>
      </c>
      <c r="AE733" s="7" t="str">
        <f>IFERROR(IF([1]对账明细接口!$AA733=0,"",[1]对账明细接口!$AA733),"")</f>
        <v/>
      </c>
      <c r="AF733" s="7" t="str">
        <f>IFERROR(IF([1]对账明细接口!$AB733=0,"",[1]对账明细接口!$AB733),"")</f>
        <v/>
      </c>
      <c r="AG733" s="7" t="str">
        <f>IFERROR(IF([1]对账明细接口!$AC733=0,"",[1]对账明细接口!$AC733),"")</f>
        <v/>
      </c>
      <c r="AH733" s="7" t="str">
        <f>IFERROR(IF([1]对账明细接口!$AD733=0,"",[1]对账明细接口!$AD733),"")</f>
        <v/>
      </c>
      <c r="AI733" s="7" t="str">
        <f>IFERROR(IF([1]对账明细接口!$AE733=0,"",[1]对账明细接口!$AE733),"")</f>
        <v/>
      </c>
      <c r="AJ733" s="7" t="str">
        <f>IFERROR(IF([1]对账明细接口!$AF733=0,"",[1]对账明细接口!$AF733),"")</f>
        <v/>
      </c>
    </row>
    <row r="734" ht="14.25" customHeight="1" spans="1:36">
      <c r="A734" s="14">
        <v>734</v>
      </c>
      <c r="B734" s="15" t="str">
        <f>IFERROR(IF([1]对账明细接口!$B$734=0,"",[1]对账明细接口!$B$734),"")</f>
        <v/>
      </c>
      <c r="C734" s="16" t="str">
        <f>IFERROR(IF([1]对账明细接口!$C$734=0,"",[1]对账明细接口!$C$734),"")</f>
        <v/>
      </c>
      <c r="D734" s="16" t="str">
        <f>IFERROR(IF([1]对账明细接口!$D$734=0,"",[1]对账明细接口!$D$734),"")</f>
        <v/>
      </c>
      <c r="E734" s="16" t="str">
        <f>IFERROR(IF([1]对账明细接口!$E$734=0,"",[1]对账明细接口!$E$734),"")</f>
        <v/>
      </c>
      <c r="F734" s="16" t="str">
        <f>IFERROR(IF([1]对账明细接口!$F$734=0,"",[1]对账明细接口!$F$734),"")</f>
        <v/>
      </c>
      <c r="G734" s="16" t="str">
        <f>IFERROR(IF([1]对账明细接口!$G$734=0,"",[1]对账明细接口!$G$734),"")</f>
        <v/>
      </c>
      <c r="H734" s="17" t="str">
        <f>IFERROR(IF([1]对账明细接口!$H$734=0,"",[1]对账明细接口!$H$734),"")</f>
        <v/>
      </c>
      <c r="I734" s="16" t="str">
        <f>IFERROR(IF([1]对账明细接口!$I$734=0,"",[1]对账明细接口!$I$734),"")</f>
        <v/>
      </c>
      <c r="J734" s="18" t="str">
        <f>IFERROR(IF([1]对账明细接口!$J$734=0,"",[1]对账明细接口!$J$734),"")</f>
        <v/>
      </c>
      <c r="K734" s="18" t="str">
        <f>IFERROR(IF([1]对账明细接口!$K$734=0,"",[1]对账明细接口!$K$734),"")</f>
        <v/>
      </c>
      <c r="L734" s="16" t="str">
        <f>IFERROR(IF([1]对账明细接口!$L$734=0,"",[1]对账明细接口!$L$734),"")</f>
        <v/>
      </c>
      <c r="M734" s="16" t="str">
        <f>IFERROR(IF([1]对账明细接口!$M$734=0,"",[1]对账明细接口!$M$734),"")</f>
        <v/>
      </c>
      <c r="N734" s="19">
        <f t="shared" si="22"/>
        <v>0</v>
      </c>
      <c r="O734" s="19">
        <f t="shared" si="23"/>
        <v>420</v>
      </c>
      <c r="S734" s="20" t="str">
        <f>IFERROR(IF([1]对账明细接口!$N734=0,"",[1]对账明细接口!$N734),"")</f>
        <v/>
      </c>
      <c r="T734" s="21" t="str">
        <f>IFERROR(IF([1]对账明细接口!$O734=0,"",[1]对账明细接口!$O734),"")</f>
        <v/>
      </c>
      <c r="U734" s="21" t="str">
        <f>IFERROR(IF([1]对账明细接口!$P734=0,"",[1]对账明细接口!$P734),"")</f>
        <v/>
      </c>
      <c r="V734" s="21" t="str">
        <f>IFERROR(IF([1]对账明细接口!$Q734=0,"",[1]对账明细接口!$Q734),"")</f>
        <v/>
      </c>
      <c r="W734" s="20" t="str">
        <f>IFERROR(IF([1]对账明细接口!$R734=0,"",[1]对账明细接口!$R734),"")</f>
        <v/>
      </c>
      <c r="X734" s="20" t="str">
        <f>IFERROR(IF([1]对账明细接口!$S734=0,"",[1]对账明细接口!$S734),"")</f>
        <v/>
      </c>
      <c r="Y734" s="20" t="str">
        <f>IFERROR(IF([1]对账明细接口!$T734=0,"",[1]对账明细接口!$T734),"")</f>
        <v/>
      </c>
      <c r="Z734" s="24" t="str">
        <f>IFERROR(IF([1]对账明细接口!$U734=0,"",[1]对账明细接口!$U734),"")</f>
        <v/>
      </c>
      <c r="AA734" s="24" t="str">
        <f>IFERROR(IF([1]对账明细接口!$V734=0,"",[1]对账明细接口!$V734),"")</f>
        <v/>
      </c>
      <c r="AB734" s="20" t="str">
        <f>IFERROR(IF([1]对账明细接口!$W734=0,"",[1]对账明细接口!$W734),"")</f>
        <v/>
      </c>
      <c r="AC734" s="7" t="str">
        <f>IFERROR(IF([1]对账明细接口!$X734=0,"",[1]对账明细接口!$X734),"")</f>
        <v/>
      </c>
      <c r="AD734" s="7" t="str">
        <f>IFERROR(IF([1]对账明细接口!$Y734=0,"",[1]对账明细接口!$Y734),"")</f>
        <v/>
      </c>
      <c r="AE734" s="7" t="str">
        <f>IFERROR(IF([1]对账明细接口!$AA734=0,"",[1]对账明细接口!$AA734),"")</f>
        <v/>
      </c>
      <c r="AF734" s="7" t="str">
        <f>IFERROR(IF([1]对账明细接口!$AB734=0,"",[1]对账明细接口!$AB734),"")</f>
        <v/>
      </c>
      <c r="AG734" s="7" t="str">
        <f>IFERROR(IF([1]对账明细接口!$AC734=0,"",[1]对账明细接口!$AC734),"")</f>
        <v/>
      </c>
      <c r="AH734" s="7" t="str">
        <f>IFERROR(IF([1]对账明细接口!$AD734=0,"",[1]对账明细接口!$AD734),"")</f>
        <v/>
      </c>
      <c r="AI734" s="7" t="str">
        <f>IFERROR(IF([1]对账明细接口!$AE734=0,"",[1]对账明细接口!$AE734),"")</f>
        <v/>
      </c>
      <c r="AJ734" s="7" t="str">
        <f>IFERROR(IF([1]对账明细接口!$AF734=0,"",[1]对账明细接口!$AF734),"")</f>
        <v/>
      </c>
    </row>
    <row r="735" ht="14.25" customHeight="1" spans="1:36">
      <c r="A735" s="14">
        <v>735</v>
      </c>
      <c r="B735" s="15" t="str">
        <f>IFERROR(IF([1]对账明细接口!$B$735=0,"",[1]对账明细接口!$B$735),"")</f>
        <v/>
      </c>
      <c r="C735" s="16" t="str">
        <f>IFERROR(IF([1]对账明细接口!$C$735=0,"",[1]对账明细接口!$C$735),"")</f>
        <v/>
      </c>
      <c r="D735" s="16" t="str">
        <f>IFERROR(IF([1]对账明细接口!$D$735=0,"",[1]对账明细接口!$D$735),"")</f>
        <v/>
      </c>
      <c r="E735" s="16" t="str">
        <f>IFERROR(IF([1]对账明细接口!$E$735=0,"",[1]对账明细接口!$E$735),"")</f>
        <v/>
      </c>
      <c r="F735" s="16" t="str">
        <f>IFERROR(IF([1]对账明细接口!$F$735=0,"",[1]对账明细接口!$F$735),"")</f>
        <v/>
      </c>
      <c r="G735" s="16" t="str">
        <f>IFERROR(IF([1]对账明细接口!$G$735=0,"",[1]对账明细接口!$G$735),"")</f>
        <v/>
      </c>
      <c r="H735" s="17" t="str">
        <f>IFERROR(IF([1]对账明细接口!$H$735=0,"",[1]对账明细接口!$H$735),"")</f>
        <v/>
      </c>
      <c r="I735" s="16" t="str">
        <f>IFERROR(IF([1]对账明细接口!$I$735=0,"",[1]对账明细接口!$I$735),"")</f>
        <v/>
      </c>
      <c r="J735" s="18" t="str">
        <f>IFERROR(IF([1]对账明细接口!$J$735=0,"",[1]对账明细接口!$J$735),"")</f>
        <v/>
      </c>
      <c r="K735" s="18" t="str">
        <f>IFERROR(IF([1]对账明细接口!$K$735=0,"",[1]对账明细接口!$K$735),"")</f>
        <v/>
      </c>
      <c r="L735" s="16" t="str">
        <f>IFERROR(IF([1]对账明细接口!$L$735=0,"",[1]对账明细接口!$L$735),"")</f>
        <v/>
      </c>
      <c r="M735" s="16" t="str">
        <f>IFERROR(IF([1]对账明细接口!$M$735=0,"",[1]对账明细接口!$M$735),"")</f>
        <v/>
      </c>
      <c r="N735" s="19">
        <f t="shared" si="22"/>
        <v>0</v>
      </c>
      <c r="O735" s="19">
        <f t="shared" si="23"/>
        <v>420</v>
      </c>
      <c r="S735" s="20" t="str">
        <f>IFERROR(IF([1]对账明细接口!$N735=0,"",[1]对账明细接口!$N735),"")</f>
        <v/>
      </c>
      <c r="T735" s="21" t="str">
        <f>IFERROR(IF([1]对账明细接口!$O735=0,"",[1]对账明细接口!$O735),"")</f>
        <v/>
      </c>
      <c r="U735" s="21" t="str">
        <f>IFERROR(IF([1]对账明细接口!$P735=0,"",[1]对账明细接口!$P735),"")</f>
        <v/>
      </c>
      <c r="V735" s="21" t="str">
        <f>IFERROR(IF([1]对账明细接口!$Q735=0,"",[1]对账明细接口!$Q735),"")</f>
        <v/>
      </c>
      <c r="W735" s="20" t="str">
        <f>IFERROR(IF([1]对账明细接口!$R735=0,"",[1]对账明细接口!$R735),"")</f>
        <v/>
      </c>
      <c r="X735" s="20" t="str">
        <f>IFERROR(IF([1]对账明细接口!$S735=0,"",[1]对账明细接口!$S735),"")</f>
        <v/>
      </c>
      <c r="Y735" s="20" t="str">
        <f>IFERROR(IF([1]对账明细接口!$T735=0,"",[1]对账明细接口!$T735),"")</f>
        <v/>
      </c>
      <c r="Z735" s="24" t="str">
        <f>IFERROR(IF([1]对账明细接口!$U735=0,"",[1]对账明细接口!$U735),"")</f>
        <v/>
      </c>
      <c r="AA735" s="24" t="str">
        <f>IFERROR(IF([1]对账明细接口!$V735=0,"",[1]对账明细接口!$V735),"")</f>
        <v/>
      </c>
      <c r="AB735" s="20" t="str">
        <f>IFERROR(IF([1]对账明细接口!$W735=0,"",[1]对账明细接口!$W735),"")</f>
        <v/>
      </c>
      <c r="AC735" s="7" t="str">
        <f>IFERROR(IF([1]对账明细接口!$X735=0,"",[1]对账明细接口!$X735),"")</f>
        <v/>
      </c>
      <c r="AD735" s="7" t="str">
        <f>IFERROR(IF([1]对账明细接口!$Y735=0,"",[1]对账明细接口!$Y735),"")</f>
        <v/>
      </c>
      <c r="AE735" s="7" t="str">
        <f>IFERROR(IF([1]对账明细接口!$AA735=0,"",[1]对账明细接口!$AA735),"")</f>
        <v/>
      </c>
      <c r="AF735" s="7" t="str">
        <f>IFERROR(IF([1]对账明细接口!$AB735=0,"",[1]对账明细接口!$AB735),"")</f>
        <v/>
      </c>
      <c r="AG735" s="7" t="str">
        <f>IFERROR(IF([1]对账明细接口!$AC735=0,"",[1]对账明细接口!$AC735),"")</f>
        <v/>
      </c>
      <c r="AH735" s="7" t="str">
        <f>IFERROR(IF([1]对账明细接口!$AD735=0,"",[1]对账明细接口!$AD735),"")</f>
        <v/>
      </c>
      <c r="AI735" s="7" t="str">
        <f>IFERROR(IF([1]对账明细接口!$AE735=0,"",[1]对账明细接口!$AE735),"")</f>
        <v/>
      </c>
      <c r="AJ735" s="7" t="str">
        <f>IFERROR(IF([1]对账明细接口!$AF735=0,"",[1]对账明细接口!$AF735),"")</f>
        <v/>
      </c>
    </row>
    <row r="736" ht="14.25" customHeight="1" spans="1:36">
      <c r="A736" s="14">
        <v>736</v>
      </c>
      <c r="B736" s="15" t="str">
        <f>IFERROR(IF([1]对账明细接口!$B$736=0,"",[1]对账明细接口!$B$736),"")</f>
        <v/>
      </c>
      <c r="C736" s="16" t="str">
        <f>IFERROR(IF([1]对账明细接口!$C$736=0,"",[1]对账明细接口!$C$736),"")</f>
        <v/>
      </c>
      <c r="D736" s="16" t="str">
        <f>IFERROR(IF([1]对账明细接口!$D$736=0,"",[1]对账明细接口!$D$736),"")</f>
        <v/>
      </c>
      <c r="E736" s="16" t="str">
        <f>IFERROR(IF([1]对账明细接口!$E$736=0,"",[1]对账明细接口!$E$736),"")</f>
        <v/>
      </c>
      <c r="F736" s="16" t="str">
        <f>IFERROR(IF([1]对账明细接口!$F$736=0,"",[1]对账明细接口!$F$736),"")</f>
        <v/>
      </c>
      <c r="G736" s="16" t="str">
        <f>IFERROR(IF([1]对账明细接口!$G$736=0,"",[1]对账明细接口!$G$736),"")</f>
        <v/>
      </c>
      <c r="H736" s="17" t="str">
        <f>IFERROR(IF([1]对账明细接口!$H$736=0,"",[1]对账明细接口!$H$736),"")</f>
        <v/>
      </c>
      <c r="I736" s="16" t="str">
        <f>IFERROR(IF([1]对账明细接口!$I$736=0,"",[1]对账明细接口!$I$736),"")</f>
        <v/>
      </c>
      <c r="J736" s="18" t="str">
        <f>IFERROR(IF([1]对账明细接口!$J$736=0,"",[1]对账明细接口!$J$736),"")</f>
        <v/>
      </c>
      <c r="K736" s="18" t="str">
        <f>IFERROR(IF([1]对账明细接口!$K$736=0,"",[1]对账明细接口!$K$736),"")</f>
        <v/>
      </c>
      <c r="L736" s="16" t="str">
        <f>IFERROR(IF([1]对账明细接口!$L$736=0,"",[1]对账明细接口!$L$736),"")</f>
        <v/>
      </c>
      <c r="M736" s="16" t="str">
        <f>IFERROR(IF([1]对账明细接口!$M$736=0,"",[1]对账明细接口!$M$736),"")</f>
        <v/>
      </c>
      <c r="N736" s="19">
        <f t="shared" si="22"/>
        <v>0</v>
      </c>
      <c r="O736" s="19">
        <f t="shared" si="23"/>
        <v>420</v>
      </c>
      <c r="S736" s="20" t="str">
        <f>IFERROR(IF([1]对账明细接口!$N736=0,"",[1]对账明细接口!$N736),"")</f>
        <v/>
      </c>
      <c r="T736" s="21" t="str">
        <f>IFERROR(IF([1]对账明细接口!$O736=0,"",[1]对账明细接口!$O736),"")</f>
        <v/>
      </c>
      <c r="U736" s="21" t="str">
        <f>IFERROR(IF([1]对账明细接口!$P736=0,"",[1]对账明细接口!$P736),"")</f>
        <v/>
      </c>
      <c r="V736" s="21" t="str">
        <f>IFERROR(IF([1]对账明细接口!$Q736=0,"",[1]对账明细接口!$Q736),"")</f>
        <v/>
      </c>
      <c r="W736" s="20" t="str">
        <f>IFERROR(IF([1]对账明细接口!$R736=0,"",[1]对账明细接口!$R736),"")</f>
        <v/>
      </c>
      <c r="X736" s="20" t="str">
        <f>IFERROR(IF([1]对账明细接口!$S736=0,"",[1]对账明细接口!$S736),"")</f>
        <v/>
      </c>
      <c r="Y736" s="20" t="str">
        <f>IFERROR(IF([1]对账明细接口!$T736=0,"",[1]对账明细接口!$T736),"")</f>
        <v/>
      </c>
      <c r="Z736" s="24" t="str">
        <f>IFERROR(IF([1]对账明细接口!$U736=0,"",[1]对账明细接口!$U736),"")</f>
        <v/>
      </c>
      <c r="AA736" s="24" t="str">
        <f>IFERROR(IF([1]对账明细接口!$V736=0,"",[1]对账明细接口!$V736),"")</f>
        <v/>
      </c>
      <c r="AB736" s="20" t="str">
        <f>IFERROR(IF([1]对账明细接口!$W736=0,"",[1]对账明细接口!$W736),"")</f>
        <v/>
      </c>
      <c r="AC736" s="7" t="str">
        <f>IFERROR(IF([1]对账明细接口!$X736=0,"",[1]对账明细接口!$X736),"")</f>
        <v/>
      </c>
      <c r="AD736" s="7" t="str">
        <f>IFERROR(IF([1]对账明细接口!$Y736=0,"",[1]对账明细接口!$Y736),"")</f>
        <v/>
      </c>
      <c r="AE736" s="7" t="str">
        <f>IFERROR(IF([1]对账明细接口!$AA736=0,"",[1]对账明细接口!$AA736),"")</f>
        <v/>
      </c>
      <c r="AF736" s="7" t="str">
        <f>IFERROR(IF([1]对账明细接口!$AB736=0,"",[1]对账明细接口!$AB736),"")</f>
        <v/>
      </c>
      <c r="AG736" s="7" t="str">
        <f>IFERROR(IF([1]对账明细接口!$AC736=0,"",[1]对账明细接口!$AC736),"")</f>
        <v/>
      </c>
      <c r="AH736" s="7" t="str">
        <f>IFERROR(IF([1]对账明细接口!$AD736=0,"",[1]对账明细接口!$AD736),"")</f>
        <v/>
      </c>
      <c r="AI736" s="7" t="str">
        <f>IFERROR(IF([1]对账明细接口!$AE736=0,"",[1]对账明细接口!$AE736),"")</f>
        <v/>
      </c>
      <c r="AJ736" s="7" t="str">
        <f>IFERROR(IF([1]对账明细接口!$AF736=0,"",[1]对账明细接口!$AF736),"")</f>
        <v/>
      </c>
    </row>
    <row r="737" ht="14.25" customHeight="1" spans="1:36">
      <c r="A737" s="14">
        <v>737</v>
      </c>
      <c r="B737" s="15" t="str">
        <f>IFERROR(IF([1]对账明细接口!$B$737=0,"",[1]对账明细接口!$B$737),"")</f>
        <v/>
      </c>
      <c r="C737" s="16" t="str">
        <f>IFERROR(IF([1]对账明细接口!$C$737=0,"",[1]对账明细接口!$C$737),"")</f>
        <v/>
      </c>
      <c r="D737" s="16" t="str">
        <f>IFERROR(IF([1]对账明细接口!$D$737=0,"",[1]对账明细接口!$D$737),"")</f>
        <v/>
      </c>
      <c r="E737" s="16" t="str">
        <f>IFERROR(IF([1]对账明细接口!$E$737=0,"",[1]对账明细接口!$E$737),"")</f>
        <v/>
      </c>
      <c r="F737" s="16" t="str">
        <f>IFERROR(IF([1]对账明细接口!$F$737=0,"",[1]对账明细接口!$F$737),"")</f>
        <v/>
      </c>
      <c r="G737" s="16" t="str">
        <f>IFERROR(IF([1]对账明细接口!$G$737=0,"",[1]对账明细接口!$G$737),"")</f>
        <v/>
      </c>
      <c r="H737" s="17" t="str">
        <f>IFERROR(IF([1]对账明细接口!$H$737=0,"",[1]对账明细接口!$H$737),"")</f>
        <v/>
      </c>
      <c r="I737" s="16" t="str">
        <f>IFERROR(IF([1]对账明细接口!$I$737=0,"",[1]对账明细接口!$I$737),"")</f>
        <v/>
      </c>
      <c r="J737" s="18" t="str">
        <f>IFERROR(IF([1]对账明细接口!$J$737=0,"",[1]对账明细接口!$J$737),"")</f>
        <v/>
      </c>
      <c r="K737" s="18" t="str">
        <f>IFERROR(IF([1]对账明细接口!$K$737=0,"",[1]对账明细接口!$K$737),"")</f>
        <v/>
      </c>
      <c r="L737" s="16" t="str">
        <f>IFERROR(IF([1]对账明细接口!$L$737=0,"",[1]对账明细接口!$L$737),"")</f>
        <v/>
      </c>
      <c r="M737" s="16" t="str">
        <f>IFERROR(IF([1]对账明细接口!$M$737=0,"",[1]对账明细接口!$M$737),"")</f>
        <v/>
      </c>
      <c r="N737" s="19">
        <f t="shared" si="22"/>
        <v>0</v>
      </c>
      <c r="O737" s="19">
        <f t="shared" si="23"/>
        <v>420</v>
      </c>
      <c r="S737" s="20" t="str">
        <f>IFERROR(IF([1]对账明细接口!$N737=0,"",[1]对账明细接口!$N737),"")</f>
        <v/>
      </c>
      <c r="T737" s="21" t="str">
        <f>IFERROR(IF([1]对账明细接口!$O737=0,"",[1]对账明细接口!$O737),"")</f>
        <v/>
      </c>
      <c r="U737" s="21" t="str">
        <f>IFERROR(IF([1]对账明细接口!$P737=0,"",[1]对账明细接口!$P737),"")</f>
        <v/>
      </c>
      <c r="V737" s="21" t="str">
        <f>IFERROR(IF([1]对账明细接口!$Q737=0,"",[1]对账明细接口!$Q737),"")</f>
        <v/>
      </c>
      <c r="W737" s="20" t="str">
        <f>IFERROR(IF([1]对账明细接口!$R737=0,"",[1]对账明细接口!$R737),"")</f>
        <v/>
      </c>
      <c r="X737" s="20" t="str">
        <f>IFERROR(IF([1]对账明细接口!$S737=0,"",[1]对账明细接口!$S737),"")</f>
        <v/>
      </c>
      <c r="Y737" s="20" t="str">
        <f>IFERROR(IF([1]对账明细接口!$T737=0,"",[1]对账明细接口!$T737),"")</f>
        <v/>
      </c>
      <c r="Z737" s="24" t="str">
        <f>IFERROR(IF([1]对账明细接口!$U737=0,"",[1]对账明细接口!$U737),"")</f>
        <v/>
      </c>
      <c r="AA737" s="24" t="str">
        <f>IFERROR(IF([1]对账明细接口!$V737=0,"",[1]对账明细接口!$V737),"")</f>
        <v/>
      </c>
      <c r="AB737" s="20" t="str">
        <f>IFERROR(IF([1]对账明细接口!$W737=0,"",[1]对账明细接口!$W737),"")</f>
        <v/>
      </c>
      <c r="AC737" s="7" t="str">
        <f>IFERROR(IF([1]对账明细接口!$X737=0,"",[1]对账明细接口!$X737),"")</f>
        <v/>
      </c>
      <c r="AD737" s="7" t="str">
        <f>IFERROR(IF([1]对账明细接口!$Y737=0,"",[1]对账明细接口!$Y737),"")</f>
        <v/>
      </c>
      <c r="AE737" s="7" t="str">
        <f>IFERROR(IF([1]对账明细接口!$AA737=0,"",[1]对账明细接口!$AA737),"")</f>
        <v/>
      </c>
      <c r="AF737" s="7" t="str">
        <f>IFERROR(IF([1]对账明细接口!$AB737=0,"",[1]对账明细接口!$AB737),"")</f>
        <v/>
      </c>
      <c r="AG737" s="7" t="str">
        <f>IFERROR(IF([1]对账明细接口!$AC737=0,"",[1]对账明细接口!$AC737),"")</f>
        <v/>
      </c>
      <c r="AH737" s="7" t="str">
        <f>IFERROR(IF([1]对账明细接口!$AD737=0,"",[1]对账明细接口!$AD737),"")</f>
        <v/>
      </c>
      <c r="AI737" s="7" t="str">
        <f>IFERROR(IF([1]对账明细接口!$AE737=0,"",[1]对账明细接口!$AE737),"")</f>
        <v/>
      </c>
      <c r="AJ737" s="7" t="str">
        <f>IFERROR(IF([1]对账明细接口!$AF737=0,"",[1]对账明细接口!$AF737),"")</f>
        <v/>
      </c>
    </row>
    <row r="738" ht="14.25" customHeight="1" spans="1:36">
      <c r="A738" s="14">
        <v>738</v>
      </c>
      <c r="B738" s="15" t="str">
        <f>IFERROR(IF([1]对账明细接口!$B$738=0,"",[1]对账明细接口!$B$738),"")</f>
        <v/>
      </c>
      <c r="C738" s="16" t="str">
        <f>IFERROR(IF([1]对账明细接口!$C$738=0,"",[1]对账明细接口!$C$738),"")</f>
        <v/>
      </c>
      <c r="D738" s="16" t="str">
        <f>IFERROR(IF([1]对账明细接口!$D$738=0,"",[1]对账明细接口!$D$738),"")</f>
        <v/>
      </c>
      <c r="E738" s="16" t="str">
        <f>IFERROR(IF([1]对账明细接口!$E$738=0,"",[1]对账明细接口!$E$738),"")</f>
        <v/>
      </c>
      <c r="F738" s="16" t="str">
        <f>IFERROR(IF([1]对账明细接口!$F$738=0,"",[1]对账明细接口!$F$738),"")</f>
        <v/>
      </c>
      <c r="G738" s="16" t="str">
        <f>IFERROR(IF([1]对账明细接口!$G$738=0,"",[1]对账明细接口!$G$738),"")</f>
        <v/>
      </c>
      <c r="H738" s="17" t="str">
        <f>IFERROR(IF([1]对账明细接口!$H$738=0,"",[1]对账明细接口!$H$738),"")</f>
        <v/>
      </c>
      <c r="I738" s="16" t="str">
        <f>IFERROR(IF([1]对账明细接口!$I$738=0,"",[1]对账明细接口!$I$738),"")</f>
        <v/>
      </c>
      <c r="J738" s="18" t="str">
        <f>IFERROR(IF([1]对账明细接口!$J$738=0,"",[1]对账明细接口!$J$738),"")</f>
        <v/>
      </c>
      <c r="K738" s="18" t="str">
        <f>IFERROR(IF([1]对账明细接口!$K$738=0,"",[1]对账明细接口!$K$738),"")</f>
        <v/>
      </c>
      <c r="L738" s="16" t="str">
        <f>IFERROR(IF([1]对账明细接口!$L$738=0,"",[1]对账明细接口!$L$738),"")</f>
        <v/>
      </c>
      <c r="M738" s="16" t="str">
        <f>IFERROR(IF([1]对账明细接口!$M$738=0,"",[1]对账明细接口!$M$738),"")</f>
        <v/>
      </c>
      <c r="N738" s="19">
        <f t="shared" si="22"/>
        <v>0</v>
      </c>
      <c r="O738" s="19">
        <f t="shared" si="23"/>
        <v>420</v>
      </c>
      <c r="S738" s="20" t="str">
        <f>IFERROR(IF([1]对账明细接口!$N738=0,"",[1]对账明细接口!$N738),"")</f>
        <v/>
      </c>
      <c r="T738" s="21" t="str">
        <f>IFERROR(IF([1]对账明细接口!$O738=0,"",[1]对账明细接口!$O738),"")</f>
        <v/>
      </c>
      <c r="U738" s="21" t="str">
        <f>IFERROR(IF([1]对账明细接口!$P738=0,"",[1]对账明细接口!$P738),"")</f>
        <v/>
      </c>
      <c r="V738" s="21" t="str">
        <f>IFERROR(IF([1]对账明细接口!$Q738=0,"",[1]对账明细接口!$Q738),"")</f>
        <v/>
      </c>
      <c r="W738" s="20" t="str">
        <f>IFERROR(IF([1]对账明细接口!$R738=0,"",[1]对账明细接口!$R738),"")</f>
        <v/>
      </c>
      <c r="X738" s="20" t="str">
        <f>IFERROR(IF([1]对账明细接口!$S738=0,"",[1]对账明细接口!$S738),"")</f>
        <v/>
      </c>
      <c r="Y738" s="20" t="str">
        <f>IFERROR(IF([1]对账明细接口!$T738=0,"",[1]对账明细接口!$T738),"")</f>
        <v/>
      </c>
      <c r="Z738" s="24" t="str">
        <f>IFERROR(IF([1]对账明细接口!$U738=0,"",[1]对账明细接口!$U738),"")</f>
        <v/>
      </c>
      <c r="AA738" s="24" t="str">
        <f>IFERROR(IF([1]对账明细接口!$V738=0,"",[1]对账明细接口!$V738),"")</f>
        <v/>
      </c>
      <c r="AB738" s="20" t="str">
        <f>IFERROR(IF([1]对账明细接口!$W738=0,"",[1]对账明细接口!$W738),"")</f>
        <v/>
      </c>
      <c r="AC738" s="7" t="str">
        <f>IFERROR(IF([1]对账明细接口!$X738=0,"",[1]对账明细接口!$X738),"")</f>
        <v/>
      </c>
      <c r="AD738" s="7" t="str">
        <f>IFERROR(IF([1]对账明细接口!$Y738=0,"",[1]对账明细接口!$Y738),"")</f>
        <v/>
      </c>
      <c r="AE738" s="7" t="str">
        <f>IFERROR(IF([1]对账明细接口!$AA738=0,"",[1]对账明细接口!$AA738),"")</f>
        <v/>
      </c>
      <c r="AF738" s="7" t="str">
        <f>IFERROR(IF([1]对账明细接口!$AB738=0,"",[1]对账明细接口!$AB738),"")</f>
        <v/>
      </c>
      <c r="AG738" s="7" t="str">
        <f>IFERROR(IF([1]对账明细接口!$AC738=0,"",[1]对账明细接口!$AC738),"")</f>
        <v/>
      </c>
      <c r="AH738" s="7" t="str">
        <f>IFERROR(IF([1]对账明细接口!$AD738=0,"",[1]对账明细接口!$AD738),"")</f>
        <v/>
      </c>
      <c r="AI738" s="7" t="str">
        <f>IFERROR(IF([1]对账明细接口!$AE738=0,"",[1]对账明细接口!$AE738),"")</f>
        <v/>
      </c>
      <c r="AJ738" s="7" t="str">
        <f>IFERROR(IF([1]对账明细接口!$AF738=0,"",[1]对账明细接口!$AF738),"")</f>
        <v/>
      </c>
    </row>
    <row r="739" ht="14.25" customHeight="1" spans="1:36">
      <c r="A739" s="14">
        <v>739</v>
      </c>
      <c r="B739" s="15" t="str">
        <f>IFERROR(IF([1]对账明细接口!$B$739=0,"",[1]对账明细接口!$B$739),"")</f>
        <v/>
      </c>
      <c r="C739" s="16" t="str">
        <f>IFERROR(IF([1]对账明细接口!$C$739=0,"",[1]对账明细接口!$C$739),"")</f>
        <v/>
      </c>
      <c r="D739" s="16" t="str">
        <f>IFERROR(IF([1]对账明细接口!$D$739=0,"",[1]对账明细接口!$D$739),"")</f>
        <v/>
      </c>
      <c r="E739" s="16" t="str">
        <f>IFERROR(IF([1]对账明细接口!$E$739=0,"",[1]对账明细接口!$E$739),"")</f>
        <v/>
      </c>
      <c r="F739" s="16" t="str">
        <f>IFERROR(IF([1]对账明细接口!$F$739=0,"",[1]对账明细接口!$F$739),"")</f>
        <v/>
      </c>
      <c r="G739" s="16" t="str">
        <f>IFERROR(IF([1]对账明细接口!$G$739=0,"",[1]对账明细接口!$G$739),"")</f>
        <v/>
      </c>
      <c r="H739" s="17" t="str">
        <f>IFERROR(IF([1]对账明细接口!$H$739=0,"",[1]对账明细接口!$H$739),"")</f>
        <v/>
      </c>
      <c r="I739" s="16" t="str">
        <f>IFERROR(IF([1]对账明细接口!$I$739=0,"",[1]对账明细接口!$I$739),"")</f>
        <v/>
      </c>
      <c r="J739" s="18" t="str">
        <f>IFERROR(IF([1]对账明细接口!$J$739=0,"",[1]对账明细接口!$J$739),"")</f>
        <v/>
      </c>
      <c r="K739" s="18" t="str">
        <f>IFERROR(IF([1]对账明细接口!$K$739=0,"",[1]对账明细接口!$K$739),"")</f>
        <v/>
      </c>
      <c r="L739" s="16" t="str">
        <f>IFERROR(IF([1]对账明细接口!$L$739=0,"",[1]对账明细接口!$L$739),"")</f>
        <v/>
      </c>
      <c r="M739" s="16" t="str">
        <f>IFERROR(IF([1]对账明细接口!$M$739=0,"",[1]对账明细接口!$M$739),"")</f>
        <v/>
      </c>
      <c r="N739" s="19">
        <f t="shared" si="22"/>
        <v>0</v>
      </c>
      <c r="O739" s="19">
        <f t="shared" si="23"/>
        <v>420</v>
      </c>
      <c r="S739" s="20" t="str">
        <f>IFERROR(IF([1]对账明细接口!$N739=0,"",[1]对账明细接口!$N739),"")</f>
        <v/>
      </c>
      <c r="T739" s="21" t="str">
        <f>IFERROR(IF([1]对账明细接口!$O739=0,"",[1]对账明细接口!$O739),"")</f>
        <v/>
      </c>
      <c r="U739" s="21" t="str">
        <f>IFERROR(IF([1]对账明细接口!$P739=0,"",[1]对账明细接口!$P739),"")</f>
        <v/>
      </c>
      <c r="V739" s="21" t="str">
        <f>IFERROR(IF([1]对账明细接口!$Q739=0,"",[1]对账明细接口!$Q739),"")</f>
        <v/>
      </c>
      <c r="W739" s="20" t="str">
        <f>IFERROR(IF([1]对账明细接口!$R739=0,"",[1]对账明细接口!$R739),"")</f>
        <v/>
      </c>
      <c r="X739" s="20" t="str">
        <f>IFERROR(IF([1]对账明细接口!$S739=0,"",[1]对账明细接口!$S739),"")</f>
        <v/>
      </c>
      <c r="Y739" s="20" t="str">
        <f>IFERROR(IF([1]对账明细接口!$T739=0,"",[1]对账明细接口!$T739),"")</f>
        <v/>
      </c>
      <c r="Z739" s="24" t="str">
        <f>IFERROR(IF([1]对账明细接口!$U739=0,"",[1]对账明细接口!$U739),"")</f>
        <v/>
      </c>
      <c r="AA739" s="24" t="str">
        <f>IFERROR(IF([1]对账明细接口!$V739=0,"",[1]对账明细接口!$V739),"")</f>
        <v/>
      </c>
      <c r="AB739" s="20" t="str">
        <f>IFERROR(IF([1]对账明细接口!$W739=0,"",[1]对账明细接口!$W739),"")</f>
        <v/>
      </c>
      <c r="AC739" s="7" t="str">
        <f>IFERROR(IF([1]对账明细接口!$X739=0,"",[1]对账明细接口!$X739),"")</f>
        <v/>
      </c>
      <c r="AD739" s="7" t="str">
        <f>IFERROR(IF([1]对账明细接口!$Y739=0,"",[1]对账明细接口!$Y739),"")</f>
        <v/>
      </c>
      <c r="AE739" s="7" t="str">
        <f>IFERROR(IF([1]对账明细接口!$AA739=0,"",[1]对账明细接口!$AA739),"")</f>
        <v/>
      </c>
      <c r="AF739" s="7" t="str">
        <f>IFERROR(IF([1]对账明细接口!$AB739=0,"",[1]对账明细接口!$AB739),"")</f>
        <v/>
      </c>
      <c r="AG739" s="7" t="str">
        <f>IFERROR(IF([1]对账明细接口!$AC739=0,"",[1]对账明细接口!$AC739),"")</f>
        <v/>
      </c>
      <c r="AH739" s="7" t="str">
        <f>IFERROR(IF([1]对账明细接口!$AD739=0,"",[1]对账明细接口!$AD739),"")</f>
        <v/>
      </c>
      <c r="AI739" s="7" t="str">
        <f>IFERROR(IF([1]对账明细接口!$AE739=0,"",[1]对账明细接口!$AE739),"")</f>
        <v/>
      </c>
      <c r="AJ739" s="7" t="str">
        <f>IFERROR(IF([1]对账明细接口!$AF739=0,"",[1]对账明细接口!$AF739),"")</f>
        <v/>
      </c>
    </row>
    <row r="740" ht="14.25" customHeight="1" spans="1:36">
      <c r="A740" s="14">
        <v>740</v>
      </c>
      <c r="B740" s="15" t="str">
        <f>IFERROR(IF([1]对账明细接口!$B$740=0,"",[1]对账明细接口!$B$740),"")</f>
        <v/>
      </c>
      <c r="C740" s="16" t="str">
        <f>IFERROR(IF([1]对账明细接口!$C$740=0,"",[1]对账明细接口!$C$740),"")</f>
        <v/>
      </c>
      <c r="D740" s="16" t="str">
        <f>IFERROR(IF([1]对账明细接口!$D$740=0,"",[1]对账明细接口!$D$740),"")</f>
        <v/>
      </c>
      <c r="E740" s="16" t="str">
        <f>IFERROR(IF([1]对账明细接口!$E$740=0,"",[1]对账明细接口!$E$740),"")</f>
        <v/>
      </c>
      <c r="F740" s="16" t="str">
        <f>IFERROR(IF([1]对账明细接口!$F$740=0,"",[1]对账明细接口!$F$740),"")</f>
        <v/>
      </c>
      <c r="G740" s="16" t="str">
        <f>IFERROR(IF([1]对账明细接口!$G$740=0,"",[1]对账明细接口!$G$740),"")</f>
        <v/>
      </c>
      <c r="H740" s="17" t="str">
        <f>IFERROR(IF([1]对账明细接口!$H$740=0,"",[1]对账明细接口!$H$740),"")</f>
        <v/>
      </c>
      <c r="I740" s="16" t="str">
        <f>IFERROR(IF([1]对账明细接口!$I$740=0,"",[1]对账明细接口!$I$740),"")</f>
        <v/>
      </c>
      <c r="J740" s="18" t="str">
        <f>IFERROR(IF([1]对账明细接口!$J$740=0,"",[1]对账明细接口!$J$740),"")</f>
        <v/>
      </c>
      <c r="K740" s="18" t="str">
        <f>IFERROR(IF([1]对账明细接口!$K$740=0,"",[1]对账明细接口!$K$740),"")</f>
        <v/>
      </c>
      <c r="L740" s="16" t="str">
        <f>IFERROR(IF([1]对账明细接口!$L$740=0,"",[1]对账明细接口!$L$740),"")</f>
        <v/>
      </c>
      <c r="M740" s="16" t="str">
        <f>IFERROR(IF([1]对账明细接口!$M$740=0,"",[1]对账明细接口!$M$740),"")</f>
        <v/>
      </c>
      <c r="N740" s="19">
        <f t="shared" si="22"/>
        <v>0</v>
      </c>
      <c r="O740" s="19">
        <f t="shared" si="23"/>
        <v>420</v>
      </c>
      <c r="S740" s="20" t="str">
        <f>IFERROR(IF([1]对账明细接口!$N740=0,"",[1]对账明细接口!$N740),"")</f>
        <v/>
      </c>
      <c r="T740" s="21" t="str">
        <f>IFERROR(IF([1]对账明细接口!$O740=0,"",[1]对账明细接口!$O740),"")</f>
        <v/>
      </c>
      <c r="U740" s="21" t="str">
        <f>IFERROR(IF([1]对账明细接口!$P740=0,"",[1]对账明细接口!$P740),"")</f>
        <v/>
      </c>
      <c r="V740" s="21" t="str">
        <f>IFERROR(IF([1]对账明细接口!$Q740=0,"",[1]对账明细接口!$Q740),"")</f>
        <v/>
      </c>
      <c r="W740" s="20" t="str">
        <f>IFERROR(IF([1]对账明细接口!$R740=0,"",[1]对账明细接口!$R740),"")</f>
        <v/>
      </c>
      <c r="X740" s="20" t="str">
        <f>IFERROR(IF([1]对账明细接口!$S740=0,"",[1]对账明细接口!$S740),"")</f>
        <v/>
      </c>
      <c r="Y740" s="20" t="str">
        <f>IFERROR(IF([1]对账明细接口!$T740=0,"",[1]对账明细接口!$T740),"")</f>
        <v/>
      </c>
      <c r="Z740" s="24" t="str">
        <f>IFERROR(IF([1]对账明细接口!$U740=0,"",[1]对账明细接口!$U740),"")</f>
        <v/>
      </c>
      <c r="AA740" s="24" t="str">
        <f>IFERROR(IF([1]对账明细接口!$V740=0,"",[1]对账明细接口!$V740),"")</f>
        <v/>
      </c>
      <c r="AB740" s="20" t="str">
        <f>IFERROR(IF([1]对账明细接口!$W740=0,"",[1]对账明细接口!$W740),"")</f>
        <v/>
      </c>
      <c r="AC740" s="7" t="str">
        <f>IFERROR(IF([1]对账明细接口!$X740=0,"",[1]对账明细接口!$X740),"")</f>
        <v/>
      </c>
      <c r="AD740" s="7" t="str">
        <f>IFERROR(IF([1]对账明细接口!$Y740=0,"",[1]对账明细接口!$Y740),"")</f>
        <v/>
      </c>
      <c r="AE740" s="7" t="str">
        <f>IFERROR(IF([1]对账明细接口!$AA740=0,"",[1]对账明细接口!$AA740),"")</f>
        <v/>
      </c>
      <c r="AF740" s="7" t="str">
        <f>IFERROR(IF([1]对账明细接口!$AB740=0,"",[1]对账明细接口!$AB740),"")</f>
        <v/>
      </c>
      <c r="AG740" s="7" t="str">
        <f>IFERROR(IF([1]对账明细接口!$AC740=0,"",[1]对账明细接口!$AC740),"")</f>
        <v/>
      </c>
      <c r="AH740" s="7" t="str">
        <f>IFERROR(IF([1]对账明细接口!$AD740=0,"",[1]对账明细接口!$AD740),"")</f>
        <v/>
      </c>
      <c r="AI740" s="7" t="str">
        <f>IFERROR(IF([1]对账明细接口!$AE740=0,"",[1]对账明细接口!$AE740),"")</f>
        <v/>
      </c>
      <c r="AJ740" s="7" t="str">
        <f>IFERROR(IF([1]对账明细接口!$AF740=0,"",[1]对账明细接口!$AF740),"")</f>
        <v/>
      </c>
    </row>
    <row r="741" ht="14.25" customHeight="1" spans="1:36">
      <c r="A741" s="14">
        <v>741</v>
      </c>
      <c r="B741" s="15" t="str">
        <f>IFERROR(IF([1]对账明细接口!$B$741=0,"",[1]对账明细接口!$B$741),"")</f>
        <v/>
      </c>
      <c r="C741" s="16" t="str">
        <f>IFERROR(IF([1]对账明细接口!$C$741=0,"",[1]对账明细接口!$C$741),"")</f>
        <v/>
      </c>
      <c r="D741" s="16" t="str">
        <f>IFERROR(IF([1]对账明细接口!$D$741=0,"",[1]对账明细接口!$D$741),"")</f>
        <v/>
      </c>
      <c r="E741" s="16" t="str">
        <f>IFERROR(IF([1]对账明细接口!$E$741=0,"",[1]对账明细接口!$E$741),"")</f>
        <v/>
      </c>
      <c r="F741" s="16" t="str">
        <f>IFERROR(IF([1]对账明细接口!$F$741=0,"",[1]对账明细接口!$F$741),"")</f>
        <v/>
      </c>
      <c r="G741" s="16" t="str">
        <f>IFERROR(IF([1]对账明细接口!$G$741=0,"",[1]对账明细接口!$G$741),"")</f>
        <v/>
      </c>
      <c r="H741" s="17" t="str">
        <f>IFERROR(IF([1]对账明细接口!$H$741=0,"",[1]对账明细接口!$H$741),"")</f>
        <v/>
      </c>
      <c r="I741" s="16" t="str">
        <f>IFERROR(IF([1]对账明细接口!$I$741=0,"",[1]对账明细接口!$I$741),"")</f>
        <v/>
      </c>
      <c r="J741" s="18" t="str">
        <f>IFERROR(IF([1]对账明细接口!$J$741=0,"",[1]对账明细接口!$J$741),"")</f>
        <v/>
      </c>
      <c r="K741" s="18" t="str">
        <f>IFERROR(IF([1]对账明细接口!$K$741=0,"",[1]对账明细接口!$K$741),"")</f>
        <v/>
      </c>
      <c r="L741" s="16" t="str">
        <f>IFERROR(IF([1]对账明细接口!$L$741=0,"",[1]对账明细接口!$L$741),"")</f>
        <v/>
      </c>
      <c r="M741" s="16" t="str">
        <f>IFERROR(IF([1]对账明细接口!$M$741=0,"",[1]对账明细接口!$M$741),"")</f>
        <v/>
      </c>
      <c r="N741" s="19">
        <f t="shared" si="22"/>
        <v>0</v>
      </c>
      <c r="O741" s="19">
        <f t="shared" si="23"/>
        <v>420</v>
      </c>
      <c r="S741" s="20" t="str">
        <f>IFERROR(IF([1]对账明细接口!$N741=0,"",[1]对账明细接口!$N741),"")</f>
        <v/>
      </c>
      <c r="T741" s="21" t="str">
        <f>IFERROR(IF([1]对账明细接口!$O741=0,"",[1]对账明细接口!$O741),"")</f>
        <v/>
      </c>
      <c r="U741" s="21" t="str">
        <f>IFERROR(IF([1]对账明细接口!$P741=0,"",[1]对账明细接口!$P741),"")</f>
        <v/>
      </c>
      <c r="V741" s="21" t="str">
        <f>IFERROR(IF([1]对账明细接口!$Q741=0,"",[1]对账明细接口!$Q741),"")</f>
        <v/>
      </c>
      <c r="W741" s="20" t="str">
        <f>IFERROR(IF([1]对账明细接口!$R741=0,"",[1]对账明细接口!$R741),"")</f>
        <v/>
      </c>
      <c r="X741" s="20" t="str">
        <f>IFERROR(IF([1]对账明细接口!$S741=0,"",[1]对账明细接口!$S741),"")</f>
        <v/>
      </c>
      <c r="Y741" s="20" t="str">
        <f>IFERROR(IF([1]对账明细接口!$T741=0,"",[1]对账明细接口!$T741),"")</f>
        <v/>
      </c>
      <c r="Z741" s="24" t="str">
        <f>IFERROR(IF([1]对账明细接口!$U741=0,"",[1]对账明细接口!$U741),"")</f>
        <v/>
      </c>
      <c r="AA741" s="24" t="str">
        <f>IFERROR(IF([1]对账明细接口!$V741=0,"",[1]对账明细接口!$V741),"")</f>
        <v/>
      </c>
      <c r="AB741" s="20" t="str">
        <f>IFERROR(IF([1]对账明细接口!$W741=0,"",[1]对账明细接口!$W741),"")</f>
        <v/>
      </c>
      <c r="AC741" s="7" t="str">
        <f>IFERROR(IF([1]对账明细接口!$X741=0,"",[1]对账明细接口!$X741),"")</f>
        <v/>
      </c>
      <c r="AD741" s="7" t="str">
        <f>IFERROR(IF([1]对账明细接口!$Y741=0,"",[1]对账明细接口!$Y741),"")</f>
        <v/>
      </c>
      <c r="AE741" s="7" t="str">
        <f>IFERROR(IF([1]对账明细接口!$AA741=0,"",[1]对账明细接口!$AA741),"")</f>
        <v/>
      </c>
      <c r="AF741" s="7" t="str">
        <f>IFERROR(IF([1]对账明细接口!$AB741=0,"",[1]对账明细接口!$AB741),"")</f>
        <v/>
      </c>
      <c r="AG741" s="7" t="str">
        <f>IFERROR(IF([1]对账明细接口!$AC741=0,"",[1]对账明细接口!$AC741),"")</f>
        <v/>
      </c>
      <c r="AH741" s="7" t="str">
        <f>IFERROR(IF([1]对账明细接口!$AD741=0,"",[1]对账明细接口!$AD741),"")</f>
        <v/>
      </c>
      <c r="AI741" s="7" t="str">
        <f>IFERROR(IF([1]对账明细接口!$AE741=0,"",[1]对账明细接口!$AE741),"")</f>
        <v/>
      </c>
      <c r="AJ741" s="7" t="str">
        <f>IFERROR(IF([1]对账明细接口!$AF741=0,"",[1]对账明细接口!$AF741),"")</f>
        <v/>
      </c>
    </row>
    <row r="742" ht="14.25" customHeight="1" spans="1:36">
      <c r="A742" s="14">
        <v>742</v>
      </c>
      <c r="B742" s="15" t="str">
        <f>IFERROR(IF([1]对账明细接口!$B$742=0,"",[1]对账明细接口!$B$742),"")</f>
        <v/>
      </c>
      <c r="C742" s="16" t="str">
        <f>IFERROR(IF([1]对账明细接口!$C$742=0,"",[1]对账明细接口!$C$742),"")</f>
        <v/>
      </c>
      <c r="D742" s="16" t="str">
        <f>IFERROR(IF([1]对账明细接口!$D$742=0,"",[1]对账明细接口!$D$742),"")</f>
        <v/>
      </c>
      <c r="E742" s="16" t="str">
        <f>IFERROR(IF([1]对账明细接口!$E$742=0,"",[1]对账明细接口!$E$742),"")</f>
        <v/>
      </c>
      <c r="F742" s="16" t="str">
        <f>IFERROR(IF([1]对账明细接口!$F$742=0,"",[1]对账明细接口!$F$742),"")</f>
        <v/>
      </c>
      <c r="G742" s="16" t="str">
        <f>IFERROR(IF([1]对账明细接口!$G$742=0,"",[1]对账明细接口!$G$742),"")</f>
        <v/>
      </c>
      <c r="H742" s="17" t="str">
        <f>IFERROR(IF([1]对账明细接口!$H$742=0,"",[1]对账明细接口!$H$742),"")</f>
        <v/>
      </c>
      <c r="I742" s="16" t="str">
        <f>IFERROR(IF([1]对账明细接口!$I$742=0,"",[1]对账明细接口!$I$742),"")</f>
        <v/>
      </c>
      <c r="J742" s="18" t="str">
        <f>IFERROR(IF([1]对账明细接口!$J$742=0,"",[1]对账明细接口!$J$742),"")</f>
        <v/>
      </c>
      <c r="K742" s="18" t="str">
        <f>IFERROR(IF([1]对账明细接口!$K$742=0,"",[1]对账明细接口!$K$742),"")</f>
        <v/>
      </c>
      <c r="L742" s="16" t="str">
        <f>IFERROR(IF([1]对账明细接口!$L$742=0,"",[1]对账明细接口!$L$742),"")</f>
        <v/>
      </c>
      <c r="M742" s="16" t="str">
        <f>IFERROR(IF([1]对账明细接口!$M$742=0,"",[1]对账明细接口!$M$742),"")</f>
        <v/>
      </c>
      <c r="N742" s="19">
        <f t="shared" si="22"/>
        <v>0</v>
      </c>
      <c r="O742" s="19">
        <f t="shared" si="23"/>
        <v>420</v>
      </c>
      <c r="S742" s="20" t="str">
        <f>IFERROR(IF([1]对账明细接口!$N742=0,"",[1]对账明细接口!$N742),"")</f>
        <v/>
      </c>
      <c r="T742" s="21" t="str">
        <f>IFERROR(IF([1]对账明细接口!$O742=0,"",[1]对账明细接口!$O742),"")</f>
        <v/>
      </c>
      <c r="U742" s="21" t="str">
        <f>IFERROR(IF([1]对账明细接口!$P742=0,"",[1]对账明细接口!$P742),"")</f>
        <v/>
      </c>
      <c r="V742" s="21" t="str">
        <f>IFERROR(IF([1]对账明细接口!$Q742=0,"",[1]对账明细接口!$Q742),"")</f>
        <v/>
      </c>
      <c r="W742" s="20" t="str">
        <f>IFERROR(IF([1]对账明细接口!$R742=0,"",[1]对账明细接口!$R742),"")</f>
        <v/>
      </c>
      <c r="X742" s="20" t="str">
        <f>IFERROR(IF([1]对账明细接口!$S742=0,"",[1]对账明细接口!$S742),"")</f>
        <v/>
      </c>
      <c r="Y742" s="20" t="str">
        <f>IFERROR(IF([1]对账明细接口!$T742=0,"",[1]对账明细接口!$T742),"")</f>
        <v/>
      </c>
      <c r="Z742" s="24" t="str">
        <f>IFERROR(IF([1]对账明细接口!$U742=0,"",[1]对账明细接口!$U742),"")</f>
        <v/>
      </c>
      <c r="AA742" s="24" t="str">
        <f>IFERROR(IF([1]对账明细接口!$V742=0,"",[1]对账明细接口!$V742),"")</f>
        <v/>
      </c>
      <c r="AB742" s="20" t="str">
        <f>IFERROR(IF([1]对账明细接口!$W742=0,"",[1]对账明细接口!$W742),"")</f>
        <v/>
      </c>
      <c r="AC742" s="7" t="str">
        <f>IFERROR(IF([1]对账明细接口!$X742=0,"",[1]对账明细接口!$X742),"")</f>
        <v/>
      </c>
      <c r="AD742" s="7" t="str">
        <f>IFERROR(IF([1]对账明细接口!$Y742=0,"",[1]对账明细接口!$Y742),"")</f>
        <v/>
      </c>
      <c r="AE742" s="7" t="str">
        <f>IFERROR(IF([1]对账明细接口!$AA742=0,"",[1]对账明细接口!$AA742),"")</f>
        <v/>
      </c>
      <c r="AF742" s="7" t="str">
        <f>IFERROR(IF([1]对账明细接口!$AB742=0,"",[1]对账明细接口!$AB742),"")</f>
        <v/>
      </c>
      <c r="AG742" s="7" t="str">
        <f>IFERROR(IF([1]对账明细接口!$AC742=0,"",[1]对账明细接口!$AC742),"")</f>
        <v/>
      </c>
      <c r="AH742" s="7" t="str">
        <f>IFERROR(IF([1]对账明细接口!$AD742=0,"",[1]对账明细接口!$AD742),"")</f>
        <v/>
      </c>
      <c r="AI742" s="7" t="str">
        <f>IFERROR(IF([1]对账明细接口!$AE742=0,"",[1]对账明细接口!$AE742),"")</f>
        <v/>
      </c>
      <c r="AJ742" s="7" t="str">
        <f>IFERROR(IF([1]对账明细接口!$AF742=0,"",[1]对账明细接口!$AF742),"")</f>
        <v/>
      </c>
    </row>
    <row r="743" ht="14.25" customHeight="1" spans="1:36">
      <c r="A743" s="14">
        <v>743</v>
      </c>
      <c r="B743" s="15" t="str">
        <f>IFERROR(IF([1]对账明细接口!$B$743=0,"",[1]对账明细接口!$B$743),"")</f>
        <v/>
      </c>
      <c r="C743" s="16" t="str">
        <f>IFERROR(IF([1]对账明细接口!$C$743=0,"",[1]对账明细接口!$C$743),"")</f>
        <v/>
      </c>
      <c r="D743" s="16" t="str">
        <f>IFERROR(IF([1]对账明细接口!$D$743=0,"",[1]对账明细接口!$D$743),"")</f>
        <v/>
      </c>
      <c r="E743" s="16" t="str">
        <f>IFERROR(IF([1]对账明细接口!$E$743=0,"",[1]对账明细接口!$E$743),"")</f>
        <v/>
      </c>
      <c r="F743" s="16" t="str">
        <f>IFERROR(IF([1]对账明细接口!$F$743=0,"",[1]对账明细接口!$F$743),"")</f>
        <v/>
      </c>
      <c r="G743" s="16" t="str">
        <f>IFERROR(IF([1]对账明细接口!$G$743=0,"",[1]对账明细接口!$G$743),"")</f>
        <v/>
      </c>
      <c r="H743" s="17" t="str">
        <f>IFERROR(IF([1]对账明细接口!$H$743=0,"",[1]对账明细接口!$H$743),"")</f>
        <v/>
      </c>
      <c r="I743" s="16" t="str">
        <f>IFERROR(IF([1]对账明细接口!$I$743=0,"",[1]对账明细接口!$I$743),"")</f>
        <v/>
      </c>
      <c r="J743" s="18" t="str">
        <f>IFERROR(IF([1]对账明细接口!$J$743=0,"",[1]对账明细接口!$J$743),"")</f>
        <v/>
      </c>
      <c r="K743" s="18" t="str">
        <f>IFERROR(IF([1]对账明细接口!$K$743=0,"",[1]对账明细接口!$K$743),"")</f>
        <v/>
      </c>
      <c r="L743" s="16" t="str">
        <f>IFERROR(IF([1]对账明细接口!$L$743=0,"",[1]对账明细接口!$L$743),"")</f>
        <v/>
      </c>
      <c r="M743" s="16" t="str">
        <f>IFERROR(IF([1]对账明细接口!$M$743=0,"",[1]对账明细接口!$M$743),"")</f>
        <v/>
      </c>
      <c r="N743" s="19">
        <f t="shared" si="22"/>
        <v>0</v>
      </c>
      <c r="O743" s="19">
        <f t="shared" si="23"/>
        <v>420</v>
      </c>
      <c r="S743" s="20" t="str">
        <f>IFERROR(IF([1]对账明细接口!$N743=0,"",[1]对账明细接口!$N743),"")</f>
        <v/>
      </c>
      <c r="T743" s="21" t="str">
        <f>IFERROR(IF([1]对账明细接口!$O743=0,"",[1]对账明细接口!$O743),"")</f>
        <v/>
      </c>
      <c r="U743" s="21" t="str">
        <f>IFERROR(IF([1]对账明细接口!$P743=0,"",[1]对账明细接口!$P743),"")</f>
        <v/>
      </c>
      <c r="V743" s="21" t="str">
        <f>IFERROR(IF([1]对账明细接口!$Q743=0,"",[1]对账明细接口!$Q743),"")</f>
        <v/>
      </c>
      <c r="W743" s="20" t="str">
        <f>IFERROR(IF([1]对账明细接口!$R743=0,"",[1]对账明细接口!$R743),"")</f>
        <v/>
      </c>
      <c r="X743" s="20" t="str">
        <f>IFERROR(IF([1]对账明细接口!$S743=0,"",[1]对账明细接口!$S743),"")</f>
        <v/>
      </c>
      <c r="Y743" s="20" t="str">
        <f>IFERROR(IF([1]对账明细接口!$T743=0,"",[1]对账明细接口!$T743),"")</f>
        <v/>
      </c>
      <c r="Z743" s="24" t="str">
        <f>IFERROR(IF([1]对账明细接口!$U743=0,"",[1]对账明细接口!$U743),"")</f>
        <v/>
      </c>
      <c r="AA743" s="24" t="str">
        <f>IFERROR(IF([1]对账明细接口!$V743=0,"",[1]对账明细接口!$V743),"")</f>
        <v/>
      </c>
      <c r="AB743" s="20" t="str">
        <f>IFERROR(IF([1]对账明细接口!$W743=0,"",[1]对账明细接口!$W743),"")</f>
        <v/>
      </c>
      <c r="AC743" s="7" t="str">
        <f>IFERROR(IF([1]对账明细接口!$X743=0,"",[1]对账明细接口!$X743),"")</f>
        <v/>
      </c>
      <c r="AD743" s="7" t="str">
        <f>IFERROR(IF([1]对账明细接口!$Y743=0,"",[1]对账明细接口!$Y743),"")</f>
        <v/>
      </c>
      <c r="AE743" s="7" t="str">
        <f>IFERROR(IF([1]对账明细接口!$AA743=0,"",[1]对账明细接口!$AA743),"")</f>
        <v/>
      </c>
      <c r="AF743" s="7" t="str">
        <f>IFERROR(IF([1]对账明细接口!$AB743=0,"",[1]对账明细接口!$AB743),"")</f>
        <v/>
      </c>
      <c r="AG743" s="7" t="str">
        <f>IFERROR(IF([1]对账明细接口!$AC743=0,"",[1]对账明细接口!$AC743),"")</f>
        <v/>
      </c>
      <c r="AH743" s="7" t="str">
        <f>IFERROR(IF([1]对账明细接口!$AD743=0,"",[1]对账明细接口!$AD743),"")</f>
        <v/>
      </c>
      <c r="AI743" s="7" t="str">
        <f>IFERROR(IF([1]对账明细接口!$AE743=0,"",[1]对账明细接口!$AE743),"")</f>
        <v/>
      </c>
      <c r="AJ743" s="7" t="str">
        <f>IFERROR(IF([1]对账明细接口!$AF743=0,"",[1]对账明细接口!$AF743),"")</f>
        <v/>
      </c>
    </row>
    <row r="744" ht="14.25" customHeight="1" spans="1:36">
      <c r="A744" s="14">
        <v>744</v>
      </c>
      <c r="B744" s="15" t="str">
        <f>IFERROR(IF([1]对账明细接口!$B$744=0,"",[1]对账明细接口!$B$744),"")</f>
        <v/>
      </c>
      <c r="C744" s="16" t="str">
        <f>IFERROR(IF([1]对账明细接口!$C$744=0,"",[1]对账明细接口!$C$744),"")</f>
        <v/>
      </c>
      <c r="D744" s="16" t="str">
        <f>IFERROR(IF([1]对账明细接口!$D$744=0,"",[1]对账明细接口!$D$744),"")</f>
        <v/>
      </c>
      <c r="E744" s="16" t="str">
        <f>IFERROR(IF([1]对账明细接口!$E$744=0,"",[1]对账明细接口!$E$744),"")</f>
        <v/>
      </c>
      <c r="F744" s="16" t="str">
        <f>IFERROR(IF([1]对账明细接口!$F$744=0,"",[1]对账明细接口!$F$744),"")</f>
        <v/>
      </c>
      <c r="G744" s="16" t="str">
        <f>IFERROR(IF([1]对账明细接口!$G$744=0,"",[1]对账明细接口!$G$744),"")</f>
        <v/>
      </c>
      <c r="H744" s="17" t="str">
        <f>IFERROR(IF([1]对账明细接口!$H$744=0,"",[1]对账明细接口!$H$744),"")</f>
        <v/>
      </c>
      <c r="I744" s="16" t="str">
        <f>IFERROR(IF([1]对账明细接口!$I$744=0,"",[1]对账明细接口!$I$744),"")</f>
        <v/>
      </c>
      <c r="J744" s="18" t="str">
        <f>IFERROR(IF([1]对账明细接口!$J$744=0,"",[1]对账明细接口!$J$744),"")</f>
        <v/>
      </c>
      <c r="K744" s="18" t="str">
        <f>IFERROR(IF([1]对账明细接口!$K$744=0,"",[1]对账明细接口!$K$744),"")</f>
        <v/>
      </c>
      <c r="L744" s="16" t="str">
        <f>IFERROR(IF([1]对账明细接口!$L$744=0,"",[1]对账明细接口!$L$744),"")</f>
        <v/>
      </c>
      <c r="M744" s="16" t="str">
        <f>IFERROR(IF([1]对账明细接口!$M$744=0,"",[1]对账明细接口!$M$744),"")</f>
        <v/>
      </c>
      <c r="N744" s="19">
        <f t="shared" si="22"/>
        <v>0</v>
      </c>
      <c r="O744" s="19">
        <f t="shared" si="23"/>
        <v>420</v>
      </c>
      <c r="S744" s="20" t="str">
        <f>IFERROR(IF([1]对账明细接口!$N744=0,"",[1]对账明细接口!$N744),"")</f>
        <v/>
      </c>
      <c r="T744" s="21" t="str">
        <f>IFERROR(IF([1]对账明细接口!$O744=0,"",[1]对账明细接口!$O744),"")</f>
        <v/>
      </c>
      <c r="U744" s="21" t="str">
        <f>IFERROR(IF([1]对账明细接口!$P744=0,"",[1]对账明细接口!$P744),"")</f>
        <v/>
      </c>
      <c r="V744" s="21" t="str">
        <f>IFERROR(IF([1]对账明细接口!$Q744=0,"",[1]对账明细接口!$Q744),"")</f>
        <v/>
      </c>
      <c r="W744" s="20" t="str">
        <f>IFERROR(IF([1]对账明细接口!$R744=0,"",[1]对账明细接口!$R744),"")</f>
        <v/>
      </c>
      <c r="X744" s="20" t="str">
        <f>IFERROR(IF([1]对账明细接口!$S744=0,"",[1]对账明细接口!$S744),"")</f>
        <v/>
      </c>
      <c r="Y744" s="20" t="str">
        <f>IFERROR(IF([1]对账明细接口!$T744=0,"",[1]对账明细接口!$T744),"")</f>
        <v/>
      </c>
      <c r="Z744" s="24" t="str">
        <f>IFERROR(IF([1]对账明细接口!$U744=0,"",[1]对账明细接口!$U744),"")</f>
        <v/>
      </c>
      <c r="AA744" s="24" t="str">
        <f>IFERROR(IF([1]对账明细接口!$V744=0,"",[1]对账明细接口!$V744),"")</f>
        <v/>
      </c>
      <c r="AB744" s="20" t="str">
        <f>IFERROR(IF([1]对账明细接口!$W744=0,"",[1]对账明细接口!$W744),"")</f>
        <v/>
      </c>
      <c r="AC744" s="7" t="str">
        <f>IFERROR(IF([1]对账明细接口!$X744=0,"",[1]对账明细接口!$X744),"")</f>
        <v/>
      </c>
      <c r="AD744" s="7" t="str">
        <f>IFERROR(IF([1]对账明细接口!$Y744=0,"",[1]对账明细接口!$Y744),"")</f>
        <v/>
      </c>
      <c r="AE744" s="7" t="str">
        <f>IFERROR(IF([1]对账明细接口!$AA744=0,"",[1]对账明细接口!$AA744),"")</f>
        <v/>
      </c>
      <c r="AF744" s="7" t="str">
        <f>IFERROR(IF([1]对账明细接口!$AB744=0,"",[1]对账明细接口!$AB744),"")</f>
        <v/>
      </c>
      <c r="AG744" s="7" t="str">
        <f>IFERROR(IF([1]对账明细接口!$AC744=0,"",[1]对账明细接口!$AC744),"")</f>
        <v/>
      </c>
      <c r="AH744" s="7" t="str">
        <f>IFERROR(IF([1]对账明细接口!$AD744=0,"",[1]对账明细接口!$AD744),"")</f>
        <v/>
      </c>
      <c r="AI744" s="7" t="str">
        <f>IFERROR(IF([1]对账明细接口!$AE744=0,"",[1]对账明细接口!$AE744),"")</f>
        <v/>
      </c>
      <c r="AJ744" s="7" t="str">
        <f>IFERROR(IF([1]对账明细接口!$AF744=0,"",[1]对账明细接口!$AF744),"")</f>
        <v/>
      </c>
    </row>
    <row r="745" ht="14.25" customHeight="1" spans="1:36">
      <c r="A745" s="14">
        <v>745</v>
      </c>
      <c r="B745" s="15" t="str">
        <f>IFERROR(IF([1]对账明细接口!$B$745=0,"",[1]对账明细接口!$B$745),"")</f>
        <v/>
      </c>
      <c r="C745" s="16" t="str">
        <f>IFERROR(IF([1]对账明细接口!$C$745=0,"",[1]对账明细接口!$C$745),"")</f>
        <v/>
      </c>
      <c r="D745" s="16" t="str">
        <f>IFERROR(IF([1]对账明细接口!$D$745=0,"",[1]对账明细接口!$D$745),"")</f>
        <v/>
      </c>
      <c r="E745" s="16" t="str">
        <f>IFERROR(IF([1]对账明细接口!$E$745=0,"",[1]对账明细接口!$E$745),"")</f>
        <v/>
      </c>
      <c r="F745" s="16" t="str">
        <f>IFERROR(IF([1]对账明细接口!$F$745=0,"",[1]对账明细接口!$F$745),"")</f>
        <v/>
      </c>
      <c r="G745" s="16" t="str">
        <f>IFERROR(IF([1]对账明细接口!$G$745=0,"",[1]对账明细接口!$G$745),"")</f>
        <v/>
      </c>
      <c r="H745" s="17" t="str">
        <f>IFERROR(IF([1]对账明细接口!$H$745=0,"",[1]对账明细接口!$H$745),"")</f>
        <v/>
      </c>
      <c r="I745" s="16" t="str">
        <f>IFERROR(IF([1]对账明细接口!$I$745=0,"",[1]对账明细接口!$I$745),"")</f>
        <v/>
      </c>
      <c r="J745" s="18" t="str">
        <f>IFERROR(IF([1]对账明细接口!$J$745=0,"",[1]对账明细接口!$J$745),"")</f>
        <v/>
      </c>
      <c r="K745" s="18" t="str">
        <f>IFERROR(IF([1]对账明细接口!$K$745=0,"",[1]对账明细接口!$K$745),"")</f>
        <v/>
      </c>
      <c r="L745" s="16" t="str">
        <f>IFERROR(IF([1]对账明细接口!$L$745=0,"",[1]对账明细接口!$L$745),"")</f>
        <v/>
      </c>
      <c r="M745" s="16" t="str">
        <f>IFERROR(IF([1]对账明细接口!$M$745=0,"",[1]对账明细接口!$M$745),"")</f>
        <v/>
      </c>
      <c r="N745" s="19">
        <f t="shared" si="22"/>
        <v>0</v>
      </c>
      <c r="O745" s="19">
        <f t="shared" si="23"/>
        <v>420</v>
      </c>
      <c r="S745" s="20" t="str">
        <f>IFERROR(IF([1]对账明细接口!$N745=0,"",[1]对账明细接口!$N745),"")</f>
        <v/>
      </c>
      <c r="T745" s="21" t="str">
        <f>IFERROR(IF([1]对账明细接口!$O745=0,"",[1]对账明细接口!$O745),"")</f>
        <v/>
      </c>
      <c r="U745" s="21" t="str">
        <f>IFERROR(IF([1]对账明细接口!$P745=0,"",[1]对账明细接口!$P745),"")</f>
        <v/>
      </c>
      <c r="V745" s="21" t="str">
        <f>IFERROR(IF([1]对账明细接口!$Q745=0,"",[1]对账明细接口!$Q745),"")</f>
        <v/>
      </c>
      <c r="W745" s="20" t="str">
        <f>IFERROR(IF([1]对账明细接口!$R745=0,"",[1]对账明细接口!$R745),"")</f>
        <v/>
      </c>
      <c r="X745" s="20" t="str">
        <f>IFERROR(IF([1]对账明细接口!$S745=0,"",[1]对账明细接口!$S745),"")</f>
        <v/>
      </c>
      <c r="Y745" s="20" t="str">
        <f>IFERROR(IF([1]对账明细接口!$T745=0,"",[1]对账明细接口!$T745),"")</f>
        <v/>
      </c>
      <c r="Z745" s="24" t="str">
        <f>IFERROR(IF([1]对账明细接口!$U745=0,"",[1]对账明细接口!$U745),"")</f>
        <v/>
      </c>
      <c r="AA745" s="24" t="str">
        <f>IFERROR(IF([1]对账明细接口!$V745=0,"",[1]对账明细接口!$V745),"")</f>
        <v/>
      </c>
      <c r="AB745" s="20" t="str">
        <f>IFERROR(IF([1]对账明细接口!$W745=0,"",[1]对账明细接口!$W745),"")</f>
        <v/>
      </c>
      <c r="AC745" s="7" t="str">
        <f>IFERROR(IF([1]对账明细接口!$X745=0,"",[1]对账明细接口!$X745),"")</f>
        <v/>
      </c>
      <c r="AD745" s="7" t="str">
        <f>IFERROR(IF([1]对账明细接口!$Y745=0,"",[1]对账明细接口!$Y745),"")</f>
        <v/>
      </c>
      <c r="AE745" s="7" t="str">
        <f>IFERROR(IF([1]对账明细接口!$AA745=0,"",[1]对账明细接口!$AA745),"")</f>
        <v/>
      </c>
      <c r="AF745" s="7" t="str">
        <f>IFERROR(IF([1]对账明细接口!$AB745=0,"",[1]对账明细接口!$AB745),"")</f>
        <v/>
      </c>
      <c r="AG745" s="7" t="str">
        <f>IFERROR(IF([1]对账明细接口!$AC745=0,"",[1]对账明细接口!$AC745),"")</f>
        <v/>
      </c>
      <c r="AH745" s="7" t="str">
        <f>IFERROR(IF([1]对账明细接口!$AD745=0,"",[1]对账明细接口!$AD745),"")</f>
        <v/>
      </c>
      <c r="AI745" s="7" t="str">
        <f>IFERROR(IF([1]对账明细接口!$AE745=0,"",[1]对账明细接口!$AE745),"")</f>
        <v/>
      </c>
      <c r="AJ745" s="7" t="str">
        <f>IFERROR(IF([1]对账明细接口!$AF745=0,"",[1]对账明细接口!$AF745),"")</f>
        <v/>
      </c>
    </row>
    <row r="746" ht="14.25" customHeight="1" spans="1:36">
      <c r="A746" s="14">
        <v>746</v>
      </c>
      <c r="B746" s="15" t="str">
        <f>IFERROR(IF([1]对账明细接口!$B$746=0,"",[1]对账明细接口!$B$746),"")</f>
        <v/>
      </c>
      <c r="C746" s="16" t="str">
        <f>IFERROR(IF([1]对账明细接口!$C$746=0,"",[1]对账明细接口!$C$746),"")</f>
        <v/>
      </c>
      <c r="D746" s="16" t="str">
        <f>IFERROR(IF([1]对账明细接口!$D$746=0,"",[1]对账明细接口!$D$746),"")</f>
        <v/>
      </c>
      <c r="E746" s="16" t="str">
        <f>IFERROR(IF([1]对账明细接口!$E$746=0,"",[1]对账明细接口!$E$746),"")</f>
        <v/>
      </c>
      <c r="F746" s="16" t="str">
        <f>IFERROR(IF([1]对账明细接口!$F$746=0,"",[1]对账明细接口!$F$746),"")</f>
        <v/>
      </c>
      <c r="G746" s="16" t="str">
        <f>IFERROR(IF([1]对账明细接口!$G$746=0,"",[1]对账明细接口!$G$746),"")</f>
        <v/>
      </c>
      <c r="H746" s="17" t="str">
        <f>IFERROR(IF([1]对账明细接口!$H$746=0,"",[1]对账明细接口!$H$746),"")</f>
        <v/>
      </c>
      <c r="I746" s="16" t="str">
        <f>IFERROR(IF([1]对账明细接口!$I$746=0,"",[1]对账明细接口!$I$746),"")</f>
        <v/>
      </c>
      <c r="J746" s="18" t="str">
        <f>IFERROR(IF([1]对账明细接口!$J$746=0,"",[1]对账明细接口!$J$746),"")</f>
        <v/>
      </c>
      <c r="K746" s="18" t="str">
        <f>IFERROR(IF([1]对账明细接口!$K$746=0,"",[1]对账明细接口!$K$746),"")</f>
        <v/>
      </c>
      <c r="L746" s="16" t="str">
        <f>IFERROR(IF([1]对账明细接口!$L$746=0,"",[1]对账明细接口!$L$746),"")</f>
        <v/>
      </c>
      <c r="M746" s="16" t="str">
        <f>IFERROR(IF([1]对账明细接口!$M$746=0,"",[1]对账明细接口!$M$746),"")</f>
        <v/>
      </c>
      <c r="N746" s="19">
        <f t="shared" si="22"/>
        <v>0</v>
      </c>
      <c r="O746" s="19">
        <f t="shared" si="23"/>
        <v>420</v>
      </c>
      <c r="S746" s="20" t="str">
        <f>IFERROR(IF([1]对账明细接口!$N746=0,"",[1]对账明细接口!$N746),"")</f>
        <v/>
      </c>
      <c r="T746" s="21" t="str">
        <f>IFERROR(IF([1]对账明细接口!$O746=0,"",[1]对账明细接口!$O746),"")</f>
        <v/>
      </c>
      <c r="U746" s="21" t="str">
        <f>IFERROR(IF([1]对账明细接口!$P746=0,"",[1]对账明细接口!$P746),"")</f>
        <v/>
      </c>
      <c r="V746" s="21" t="str">
        <f>IFERROR(IF([1]对账明细接口!$Q746=0,"",[1]对账明细接口!$Q746),"")</f>
        <v/>
      </c>
      <c r="W746" s="20" t="str">
        <f>IFERROR(IF([1]对账明细接口!$R746=0,"",[1]对账明细接口!$R746),"")</f>
        <v/>
      </c>
      <c r="X746" s="20" t="str">
        <f>IFERROR(IF([1]对账明细接口!$S746=0,"",[1]对账明细接口!$S746),"")</f>
        <v/>
      </c>
      <c r="Y746" s="20" t="str">
        <f>IFERROR(IF([1]对账明细接口!$T746=0,"",[1]对账明细接口!$T746),"")</f>
        <v/>
      </c>
      <c r="Z746" s="24" t="str">
        <f>IFERROR(IF([1]对账明细接口!$U746=0,"",[1]对账明细接口!$U746),"")</f>
        <v/>
      </c>
      <c r="AA746" s="24" t="str">
        <f>IFERROR(IF([1]对账明细接口!$V746=0,"",[1]对账明细接口!$V746),"")</f>
        <v/>
      </c>
      <c r="AB746" s="20" t="str">
        <f>IFERROR(IF([1]对账明细接口!$W746=0,"",[1]对账明细接口!$W746),"")</f>
        <v/>
      </c>
      <c r="AC746" s="7" t="str">
        <f>IFERROR(IF([1]对账明细接口!$X746=0,"",[1]对账明细接口!$X746),"")</f>
        <v/>
      </c>
      <c r="AD746" s="7" t="str">
        <f>IFERROR(IF([1]对账明细接口!$Y746=0,"",[1]对账明细接口!$Y746),"")</f>
        <v/>
      </c>
      <c r="AE746" s="7" t="str">
        <f>IFERROR(IF([1]对账明细接口!$AA746=0,"",[1]对账明细接口!$AA746),"")</f>
        <v/>
      </c>
      <c r="AF746" s="7" t="str">
        <f>IFERROR(IF([1]对账明细接口!$AB746=0,"",[1]对账明细接口!$AB746),"")</f>
        <v/>
      </c>
      <c r="AG746" s="7" t="str">
        <f>IFERROR(IF([1]对账明细接口!$AC746=0,"",[1]对账明细接口!$AC746),"")</f>
        <v/>
      </c>
      <c r="AH746" s="7" t="str">
        <f>IFERROR(IF([1]对账明细接口!$AD746=0,"",[1]对账明细接口!$AD746),"")</f>
        <v/>
      </c>
      <c r="AI746" s="7" t="str">
        <f>IFERROR(IF([1]对账明细接口!$AE746=0,"",[1]对账明细接口!$AE746),"")</f>
        <v/>
      </c>
      <c r="AJ746" s="7" t="str">
        <f>IFERROR(IF([1]对账明细接口!$AF746=0,"",[1]对账明细接口!$AF746),"")</f>
        <v/>
      </c>
    </row>
    <row r="747" ht="14.25" customHeight="1" spans="1:36">
      <c r="A747" s="14">
        <v>747</v>
      </c>
      <c r="B747" s="15" t="str">
        <f>IFERROR(IF([1]对账明细接口!$B$747=0,"",[1]对账明细接口!$B$747),"")</f>
        <v/>
      </c>
      <c r="C747" s="16" t="str">
        <f>IFERROR(IF([1]对账明细接口!$C$747=0,"",[1]对账明细接口!$C$747),"")</f>
        <v/>
      </c>
      <c r="D747" s="16" t="str">
        <f>IFERROR(IF([1]对账明细接口!$D$747=0,"",[1]对账明细接口!$D$747),"")</f>
        <v/>
      </c>
      <c r="E747" s="16" t="str">
        <f>IFERROR(IF([1]对账明细接口!$E$747=0,"",[1]对账明细接口!$E$747),"")</f>
        <v/>
      </c>
      <c r="F747" s="16" t="str">
        <f>IFERROR(IF([1]对账明细接口!$F$747=0,"",[1]对账明细接口!$F$747),"")</f>
        <v/>
      </c>
      <c r="G747" s="16" t="str">
        <f>IFERROR(IF([1]对账明细接口!$G$747=0,"",[1]对账明细接口!$G$747),"")</f>
        <v/>
      </c>
      <c r="H747" s="17" t="str">
        <f>IFERROR(IF([1]对账明细接口!$H$747=0,"",[1]对账明细接口!$H$747),"")</f>
        <v/>
      </c>
      <c r="I747" s="16" t="str">
        <f>IFERROR(IF([1]对账明细接口!$I$747=0,"",[1]对账明细接口!$I$747),"")</f>
        <v/>
      </c>
      <c r="J747" s="18" t="str">
        <f>IFERROR(IF([1]对账明细接口!$J$747=0,"",[1]对账明细接口!$J$747),"")</f>
        <v/>
      </c>
      <c r="K747" s="18" t="str">
        <f>IFERROR(IF([1]对账明细接口!$K$747=0,"",[1]对账明细接口!$K$747),"")</f>
        <v/>
      </c>
      <c r="L747" s="16" t="str">
        <f>IFERROR(IF([1]对账明细接口!$L$747=0,"",[1]对账明细接口!$L$747),"")</f>
        <v/>
      </c>
      <c r="M747" s="16" t="str">
        <f>IFERROR(IF([1]对账明细接口!$M$747=0,"",[1]对账明细接口!$M$747),"")</f>
        <v/>
      </c>
      <c r="N747" s="19">
        <f t="shared" si="22"/>
        <v>0</v>
      </c>
      <c r="O747" s="19">
        <f t="shared" si="23"/>
        <v>420</v>
      </c>
      <c r="S747" s="20" t="str">
        <f>IFERROR(IF([1]对账明细接口!$N747=0,"",[1]对账明细接口!$N747),"")</f>
        <v/>
      </c>
      <c r="T747" s="21" t="str">
        <f>IFERROR(IF([1]对账明细接口!$O747=0,"",[1]对账明细接口!$O747),"")</f>
        <v/>
      </c>
      <c r="U747" s="21" t="str">
        <f>IFERROR(IF([1]对账明细接口!$P747=0,"",[1]对账明细接口!$P747),"")</f>
        <v/>
      </c>
      <c r="V747" s="21" t="str">
        <f>IFERROR(IF([1]对账明细接口!$Q747=0,"",[1]对账明细接口!$Q747),"")</f>
        <v/>
      </c>
      <c r="W747" s="20" t="str">
        <f>IFERROR(IF([1]对账明细接口!$R747=0,"",[1]对账明细接口!$R747),"")</f>
        <v/>
      </c>
      <c r="X747" s="20" t="str">
        <f>IFERROR(IF([1]对账明细接口!$S747=0,"",[1]对账明细接口!$S747),"")</f>
        <v/>
      </c>
      <c r="Y747" s="20" t="str">
        <f>IFERROR(IF([1]对账明细接口!$T747=0,"",[1]对账明细接口!$T747),"")</f>
        <v/>
      </c>
      <c r="Z747" s="24" t="str">
        <f>IFERROR(IF([1]对账明细接口!$U747=0,"",[1]对账明细接口!$U747),"")</f>
        <v/>
      </c>
      <c r="AA747" s="24" t="str">
        <f>IFERROR(IF([1]对账明细接口!$V747=0,"",[1]对账明细接口!$V747),"")</f>
        <v/>
      </c>
      <c r="AB747" s="20" t="str">
        <f>IFERROR(IF([1]对账明细接口!$W747=0,"",[1]对账明细接口!$W747),"")</f>
        <v/>
      </c>
      <c r="AC747" s="7" t="str">
        <f>IFERROR(IF([1]对账明细接口!$X747=0,"",[1]对账明细接口!$X747),"")</f>
        <v/>
      </c>
      <c r="AD747" s="7" t="str">
        <f>IFERROR(IF([1]对账明细接口!$Y747=0,"",[1]对账明细接口!$Y747),"")</f>
        <v/>
      </c>
      <c r="AE747" s="7" t="str">
        <f>IFERROR(IF([1]对账明细接口!$AA747=0,"",[1]对账明细接口!$AA747),"")</f>
        <v/>
      </c>
      <c r="AF747" s="7" t="str">
        <f>IFERROR(IF([1]对账明细接口!$AB747=0,"",[1]对账明细接口!$AB747),"")</f>
        <v/>
      </c>
      <c r="AG747" s="7" t="str">
        <f>IFERROR(IF([1]对账明细接口!$AC747=0,"",[1]对账明细接口!$AC747),"")</f>
        <v/>
      </c>
      <c r="AH747" s="7" t="str">
        <f>IFERROR(IF([1]对账明细接口!$AD747=0,"",[1]对账明细接口!$AD747),"")</f>
        <v/>
      </c>
      <c r="AI747" s="7" t="str">
        <f>IFERROR(IF([1]对账明细接口!$AE747=0,"",[1]对账明细接口!$AE747),"")</f>
        <v/>
      </c>
      <c r="AJ747" s="7" t="str">
        <f>IFERROR(IF([1]对账明细接口!$AF747=0,"",[1]对账明细接口!$AF747),"")</f>
        <v/>
      </c>
    </row>
    <row r="748" ht="14.25" customHeight="1" spans="1:36">
      <c r="A748" s="14">
        <v>748</v>
      </c>
      <c r="B748" s="15" t="str">
        <f>IFERROR(IF([1]对账明细接口!$B$748=0,"",[1]对账明细接口!$B$748),"")</f>
        <v/>
      </c>
      <c r="C748" s="16" t="str">
        <f>IFERROR(IF([1]对账明细接口!$C$748=0,"",[1]对账明细接口!$C$748),"")</f>
        <v/>
      </c>
      <c r="D748" s="16" t="str">
        <f>IFERROR(IF([1]对账明细接口!$D$748=0,"",[1]对账明细接口!$D$748),"")</f>
        <v/>
      </c>
      <c r="E748" s="16" t="str">
        <f>IFERROR(IF([1]对账明细接口!$E$748=0,"",[1]对账明细接口!$E$748),"")</f>
        <v/>
      </c>
      <c r="F748" s="16" t="str">
        <f>IFERROR(IF([1]对账明细接口!$F$748=0,"",[1]对账明细接口!$F$748),"")</f>
        <v/>
      </c>
      <c r="G748" s="16" t="str">
        <f>IFERROR(IF([1]对账明细接口!$G$748=0,"",[1]对账明细接口!$G$748),"")</f>
        <v/>
      </c>
      <c r="H748" s="17" t="str">
        <f>IFERROR(IF([1]对账明细接口!$H$748=0,"",[1]对账明细接口!$H$748),"")</f>
        <v/>
      </c>
      <c r="I748" s="16" t="str">
        <f>IFERROR(IF([1]对账明细接口!$I$748=0,"",[1]对账明细接口!$I$748),"")</f>
        <v/>
      </c>
      <c r="J748" s="18" t="str">
        <f>IFERROR(IF([1]对账明细接口!$J$748=0,"",[1]对账明细接口!$J$748),"")</f>
        <v/>
      </c>
      <c r="K748" s="18" t="str">
        <f>IFERROR(IF([1]对账明细接口!$K$748=0,"",[1]对账明细接口!$K$748),"")</f>
        <v/>
      </c>
      <c r="L748" s="16" t="str">
        <f>IFERROR(IF([1]对账明细接口!$L$748=0,"",[1]对账明细接口!$L$748),"")</f>
        <v/>
      </c>
      <c r="M748" s="16" t="str">
        <f>IFERROR(IF([1]对账明细接口!$M$748=0,"",[1]对账明细接口!$M$748),"")</f>
        <v/>
      </c>
      <c r="N748" s="19">
        <f t="shared" si="22"/>
        <v>0</v>
      </c>
      <c r="O748" s="19">
        <f t="shared" si="23"/>
        <v>420</v>
      </c>
      <c r="S748" s="20" t="str">
        <f>IFERROR(IF([1]对账明细接口!$N748=0,"",[1]对账明细接口!$N748),"")</f>
        <v/>
      </c>
      <c r="T748" s="21" t="str">
        <f>IFERROR(IF([1]对账明细接口!$O748=0,"",[1]对账明细接口!$O748),"")</f>
        <v/>
      </c>
      <c r="U748" s="21" t="str">
        <f>IFERROR(IF([1]对账明细接口!$P748=0,"",[1]对账明细接口!$P748),"")</f>
        <v/>
      </c>
      <c r="V748" s="21" t="str">
        <f>IFERROR(IF([1]对账明细接口!$Q748=0,"",[1]对账明细接口!$Q748),"")</f>
        <v/>
      </c>
      <c r="W748" s="20" t="str">
        <f>IFERROR(IF([1]对账明细接口!$R748=0,"",[1]对账明细接口!$R748),"")</f>
        <v/>
      </c>
      <c r="X748" s="20" t="str">
        <f>IFERROR(IF([1]对账明细接口!$S748=0,"",[1]对账明细接口!$S748),"")</f>
        <v/>
      </c>
      <c r="Y748" s="20" t="str">
        <f>IFERROR(IF([1]对账明细接口!$T748=0,"",[1]对账明细接口!$T748),"")</f>
        <v/>
      </c>
      <c r="Z748" s="24" t="str">
        <f>IFERROR(IF([1]对账明细接口!$U748=0,"",[1]对账明细接口!$U748),"")</f>
        <v/>
      </c>
      <c r="AA748" s="24" t="str">
        <f>IFERROR(IF([1]对账明细接口!$V748=0,"",[1]对账明细接口!$V748),"")</f>
        <v/>
      </c>
      <c r="AB748" s="20" t="str">
        <f>IFERROR(IF([1]对账明细接口!$W748=0,"",[1]对账明细接口!$W748),"")</f>
        <v/>
      </c>
      <c r="AC748" s="7" t="str">
        <f>IFERROR(IF([1]对账明细接口!$X748=0,"",[1]对账明细接口!$X748),"")</f>
        <v/>
      </c>
      <c r="AD748" s="7" t="str">
        <f>IFERROR(IF([1]对账明细接口!$Y748=0,"",[1]对账明细接口!$Y748),"")</f>
        <v/>
      </c>
      <c r="AE748" s="7" t="str">
        <f>IFERROR(IF([1]对账明细接口!$AA748=0,"",[1]对账明细接口!$AA748),"")</f>
        <v/>
      </c>
      <c r="AF748" s="7" t="str">
        <f>IFERROR(IF([1]对账明细接口!$AB748=0,"",[1]对账明细接口!$AB748),"")</f>
        <v/>
      </c>
      <c r="AG748" s="7" t="str">
        <f>IFERROR(IF([1]对账明细接口!$AC748=0,"",[1]对账明细接口!$AC748),"")</f>
        <v/>
      </c>
      <c r="AH748" s="7" t="str">
        <f>IFERROR(IF([1]对账明细接口!$AD748=0,"",[1]对账明细接口!$AD748),"")</f>
        <v/>
      </c>
      <c r="AI748" s="7" t="str">
        <f>IFERROR(IF([1]对账明细接口!$AE748=0,"",[1]对账明细接口!$AE748),"")</f>
        <v/>
      </c>
      <c r="AJ748" s="7" t="str">
        <f>IFERROR(IF([1]对账明细接口!$AF748=0,"",[1]对账明细接口!$AF748),"")</f>
        <v/>
      </c>
    </row>
    <row r="749" ht="14.25" customHeight="1" spans="1:36">
      <c r="A749" s="14">
        <v>749</v>
      </c>
      <c r="B749" s="15" t="str">
        <f>IFERROR(IF([1]对账明细接口!$B$749=0,"",[1]对账明细接口!$B$749),"")</f>
        <v/>
      </c>
      <c r="C749" s="16" t="str">
        <f>IFERROR(IF([1]对账明细接口!$C$749=0,"",[1]对账明细接口!$C$749),"")</f>
        <v/>
      </c>
      <c r="D749" s="16" t="str">
        <f>IFERROR(IF([1]对账明细接口!$D$749=0,"",[1]对账明细接口!$D$749),"")</f>
        <v/>
      </c>
      <c r="E749" s="16" t="str">
        <f>IFERROR(IF([1]对账明细接口!$E$749=0,"",[1]对账明细接口!$E$749),"")</f>
        <v/>
      </c>
      <c r="F749" s="16" t="str">
        <f>IFERROR(IF([1]对账明细接口!$F$749=0,"",[1]对账明细接口!$F$749),"")</f>
        <v/>
      </c>
      <c r="G749" s="16" t="str">
        <f>IFERROR(IF([1]对账明细接口!$G$749=0,"",[1]对账明细接口!$G$749),"")</f>
        <v/>
      </c>
      <c r="H749" s="17" t="str">
        <f>IFERROR(IF([1]对账明细接口!$H$749=0,"",[1]对账明细接口!$H$749),"")</f>
        <v/>
      </c>
      <c r="I749" s="16" t="str">
        <f>IFERROR(IF([1]对账明细接口!$I$749=0,"",[1]对账明细接口!$I$749),"")</f>
        <v/>
      </c>
      <c r="J749" s="18" t="str">
        <f>IFERROR(IF([1]对账明细接口!$J$749=0,"",[1]对账明细接口!$J$749),"")</f>
        <v/>
      </c>
      <c r="K749" s="18" t="str">
        <f>IFERROR(IF([1]对账明细接口!$K$749=0,"",[1]对账明细接口!$K$749),"")</f>
        <v/>
      </c>
      <c r="L749" s="16" t="str">
        <f>IFERROR(IF([1]对账明细接口!$L$749=0,"",[1]对账明细接口!$L$749),"")</f>
        <v/>
      </c>
      <c r="M749" s="16" t="str">
        <f>IFERROR(IF([1]对账明细接口!$M$749=0,"",[1]对账明细接口!$M$749),"")</f>
        <v/>
      </c>
      <c r="N749" s="19">
        <f t="shared" si="22"/>
        <v>0</v>
      </c>
      <c r="O749" s="19">
        <f t="shared" si="23"/>
        <v>420</v>
      </c>
      <c r="S749" s="20" t="str">
        <f>IFERROR(IF([1]对账明细接口!$N749=0,"",[1]对账明细接口!$N749),"")</f>
        <v/>
      </c>
      <c r="T749" s="21" t="str">
        <f>IFERROR(IF([1]对账明细接口!$O749=0,"",[1]对账明细接口!$O749),"")</f>
        <v/>
      </c>
      <c r="U749" s="21" t="str">
        <f>IFERROR(IF([1]对账明细接口!$P749=0,"",[1]对账明细接口!$P749),"")</f>
        <v/>
      </c>
      <c r="V749" s="21" t="str">
        <f>IFERROR(IF([1]对账明细接口!$Q749=0,"",[1]对账明细接口!$Q749),"")</f>
        <v/>
      </c>
      <c r="W749" s="20" t="str">
        <f>IFERROR(IF([1]对账明细接口!$R749=0,"",[1]对账明细接口!$R749),"")</f>
        <v/>
      </c>
      <c r="X749" s="20" t="str">
        <f>IFERROR(IF([1]对账明细接口!$S749=0,"",[1]对账明细接口!$S749),"")</f>
        <v/>
      </c>
      <c r="Y749" s="20" t="str">
        <f>IFERROR(IF([1]对账明细接口!$T749=0,"",[1]对账明细接口!$T749),"")</f>
        <v/>
      </c>
      <c r="Z749" s="24" t="str">
        <f>IFERROR(IF([1]对账明细接口!$U749=0,"",[1]对账明细接口!$U749),"")</f>
        <v/>
      </c>
      <c r="AA749" s="24" t="str">
        <f>IFERROR(IF([1]对账明细接口!$V749=0,"",[1]对账明细接口!$V749),"")</f>
        <v/>
      </c>
      <c r="AB749" s="20" t="str">
        <f>IFERROR(IF([1]对账明细接口!$W749=0,"",[1]对账明细接口!$W749),"")</f>
        <v/>
      </c>
      <c r="AC749" s="7" t="str">
        <f>IFERROR(IF([1]对账明细接口!$X749=0,"",[1]对账明细接口!$X749),"")</f>
        <v/>
      </c>
      <c r="AD749" s="7" t="str">
        <f>IFERROR(IF([1]对账明细接口!$Y749=0,"",[1]对账明细接口!$Y749),"")</f>
        <v/>
      </c>
      <c r="AE749" s="7" t="str">
        <f>IFERROR(IF([1]对账明细接口!$AA749=0,"",[1]对账明细接口!$AA749),"")</f>
        <v/>
      </c>
      <c r="AF749" s="7" t="str">
        <f>IFERROR(IF([1]对账明细接口!$AB749=0,"",[1]对账明细接口!$AB749),"")</f>
        <v/>
      </c>
      <c r="AG749" s="7" t="str">
        <f>IFERROR(IF([1]对账明细接口!$AC749=0,"",[1]对账明细接口!$AC749),"")</f>
        <v/>
      </c>
      <c r="AH749" s="7" t="str">
        <f>IFERROR(IF([1]对账明细接口!$AD749=0,"",[1]对账明细接口!$AD749),"")</f>
        <v/>
      </c>
      <c r="AI749" s="7" t="str">
        <f>IFERROR(IF([1]对账明细接口!$AE749=0,"",[1]对账明细接口!$AE749),"")</f>
        <v/>
      </c>
      <c r="AJ749" s="7" t="str">
        <f>IFERROR(IF([1]对账明细接口!$AF749=0,"",[1]对账明细接口!$AF749),"")</f>
        <v/>
      </c>
    </row>
    <row r="750" ht="14.25" customHeight="1" spans="1:36">
      <c r="A750" s="14">
        <v>750</v>
      </c>
      <c r="B750" s="15" t="str">
        <f>IFERROR(IF([1]对账明细接口!$B$750=0,"",[1]对账明细接口!$B$750),"")</f>
        <v/>
      </c>
      <c r="C750" s="16" t="str">
        <f>IFERROR(IF([1]对账明细接口!$C$750=0,"",[1]对账明细接口!$C$750),"")</f>
        <v/>
      </c>
      <c r="D750" s="16" t="str">
        <f>IFERROR(IF([1]对账明细接口!$D$750=0,"",[1]对账明细接口!$D$750),"")</f>
        <v/>
      </c>
      <c r="E750" s="16" t="str">
        <f>IFERROR(IF([1]对账明细接口!$E$750=0,"",[1]对账明细接口!$E$750),"")</f>
        <v/>
      </c>
      <c r="F750" s="16" t="str">
        <f>IFERROR(IF([1]对账明细接口!$F$750=0,"",[1]对账明细接口!$F$750),"")</f>
        <v/>
      </c>
      <c r="G750" s="16" t="str">
        <f>IFERROR(IF([1]对账明细接口!$G$750=0,"",[1]对账明细接口!$G$750),"")</f>
        <v/>
      </c>
      <c r="H750" s="17" t="str">
        <f>IFERROR(IF([1]对账明细接口!$H$750=0,"",[1]对账明细接口!$H$750),"")</f>
        <v/>
      </c>
      <c r="I750" s="16" t="str">
        <f>IFERROR(IF([1]对账明细接口!$I$750=0,"",[1]对账明细接口!$I$750),"")</f>
        <v/>
      </c>
      <c r="J750" s="18" t="str">
        <f>IFERROR(IF([1]对账明细接口!$J$750=0,"",[1]对账明细接口!$J$750),"")</f>
        <v/>
      </c>
      <c r="K750" s="18" t="str">
        <f>IFERROR(IF([1]对账明细接口!$K$750=0,"",[1]对账明细接口!$K$750),"")</f>
        <v/>
      </c>
      <c r="L750" s="16" t="str">
        <f>IFERROR(IF([1]对账明细接口!$L$750=0,"",[1]对账明细接口!$L$750),"")</f>
        <v/>
      </c>
      <c r="M750" s="16" t="str">
        <f>IFERROR(IF([1]对账明细接口!$M$750=0,"",[1]对账明细接口!$M$750),"")</f>
        <v/>
      </c>
      <c r="N750" s="19">
        <f t="shared" si="22"/>
        <v>0</v>
      </c>
      <c r="O750" s="19">
        <f t="shared" si="23"/>
        <v>420</v>
      </c>
      <c r="S750" s="20" t="str">
        <f>IFERROR(IF([1]对账明细接口!$N750=0,"",[1]对账明细接口!$N750),"")</f>
        <v/>
      </c>
      <c r="T750" s="21" t="str">
        <f>IFERROR(IF([1]对账明细接口!$O750=0,"",[1]对账明细接口!$O750),"")</f>
        <v/>
      </c>
      <c r="U750" s="21" t="str">
        <f>IFERROR(IF([1]对账明细接口!$P750=0,"",[1]对账明细接口!$P750),"")</f>
        <v/>
      </c>
      <c r="V750" s="21" t="str">
        <f>IFERROR(IF([1]对账明细接口!$Q750=0,"",[1]对账明细接口!$Q750),"")</f>
        <v/>
      </c>
      <c r="W750" s="20" t="str">
        <f>IFERROR(IF([1]对账明细接口!$R750=0,"",[1]对账明细接口!$R750),"")</f>
        <v/>
      </c>
      <c r="X750" s="20" t="str">
        <f>IFERROR(IF([1]对账明细接口!$S750=0,"",[1]对账明细接口!$S750),"")</f>
        <v/>
      </c>
      <c r="Y750" s="20" t="str">
        <f>IFERROR(IF([1]对账明细接口!$T750=0,"",[1]对账明细接口!$T750),"")</f>
        <v/>
      </c>
      <c r="Z750" s="24" t="str">
        <f>IFERROR(IF([1]对账明细接口!$U750=0,"",[1]对账明细接口!$U750),"")</f>
        <v/>
      </c>
      <c r="AA750" s="24" t="str">
        <f>IFERROR(IF([1]对账明细接口!$V750=0,"",[1]对账明细接口!$V750),"")</f>
        <v/>
      </c>
      <c r="AB750" s="20" t="str">
        <f>IFERROR(IF([1]对账明细接口!$W750=0,"",[1]对账明细接口!$W750),"")</f>
        <v/>
      </c>
      <c r="AC750" s="7" t="str">
        <f>IFERROR(IF([1]对账明细接口!$X750=0,"",[1]对账明细接口!$X750),"")</f>
        <v/>
      </c>
      <c r="AD750" s="7" t="str">
        <f>IFERROR(IF([1]对账明细接口!$Y750=0,"",[1]对账明细接口!$Y750),"")</f>
        <v/>
      </c>
      <c r="AE750" s="7" t="str">
        <f>IFERROR(IF([1]对账明细接口!$AA750=0,"",[1]对账明细接口!$AA750),"")</f>
        <v/>
      </c>
      <c r="AF750" s="7" t="str">
        <f>IFERROR(IF([1]对账明细接口!$AB750=0,"",[1]对账明细接口!$AB750),"")</f>
        <v/>
      </c>
      <c r="AG750" s="7" t="str">
        <f>IFERROR(IF([1]对账明细接口!$AC750=0,"",[1]对账明细接口!$AC750),"")</f>
        <v/>
      </c>
      <c r="AH750" s="7" t="str">
        <f>IFERROR(IF([1]对账明细接口!$AD750=0,"",[1]对账明细接口!$AD750),"")</f>
        <v/>
      </c>
      <c r="AI750" s="7" t="str">
        <f>IFERROR(IF([1]对账明细接口!$AE750=0,"",[1]对账明细接口!$AE750),"")</f>
        <v/>
      </c>
      <c r="AJ750" s="7" t="str">
        <f>IFERROR(IF([1]对账明细接口!$AF750=0,"",[1]对账明细接口!$AF750),"")</f>
        <v/>
      </c>
    </row>
    <row r="751" ht="14.25" customHeight="1" spans="1:36">
      <c r="A751" s="14">
        <v>751</v>
      </c>
      <c r="B751" s="15" t="str">
        <f>IFERROR(IF([1]对账明细接口!$B$751=0,"",[1]对账明细接口!$B$751),"")</f>
        <v/>
      </c>
      <c r="C751" s="16" t="str">
        <f>IFERROR(IF([1]对账明细接口!$C$751=0,"",[1]对账明细接口!$C$751),"")</f>
        <v/>
      </c>
      <c r="D751" s="16" t="str">
        <f>IFERROR(IF([1]对账明细接口!$D$751=0,"",[1]对账明细接口!$D$751),"")</f>
        <v/>
      </c>
      <c r="E751" s="16" t="str">
        <f>IFERROR(IF([1]对账明细接口!$E$751=0,"",[1]对账明细接口!$E$751),"")</f>
        <v/>
      </c>
      <c r="F751" s="16" t="str">
        <f>IFERROR(IF([1]对账明细接口!$F$751=0,"",[1]对账明细接口!$F$751),"")</f>
        <v/>
      </c>
      <c r="G751" s="16" t="str">
        <f>IFERROR(IF([1]对账明细接口!$G$751=0,"",[1]对账明细接口!$G$751),"")</f>
        <v/>
      </c>
      <c r="H751" s="17" t="str">
        <f>IFERROR(IF([1]对账明细接口!$H$751=0,"",[1]对账明细接口!$H$751),"")</f>
        <v/>
      </c>
      <c r="I751" s="16" t="str">
        <f>IFERROR(IF([1]对账明细接口!$I$751=0,"",[1]对账明细接口!$I$751),"")</f>
        <v/>
      </c>
      <c r="J751" s="18" t="str">
        <f>IFERROR(IF([1]对账明细接口!$J$751=0,"",[1]对账明细接口!$J$751),"")</f>
        <v/>
      </c>
      <c r="K751" s="18" t="str">
        <f>IFERROR(IF([1]对账明细接口!$K$751=0,"",[1]对账明细接口!$K$751),"")</f>
        <v/>
      </c>
      <c r="L751" s="16" t="str">
        <f>IFERROR(IF([1]对账明细接口!$L$751=0,"",[1]对账明细接口!$L$751),"")</f>
        <v/>
      </c>
      <c r="M751" s="16" t="str">
        <f>IFERROR(IF([1]对账明细接口!$M$751=0,"",[1]对账明细接口!$M$751),"")</f>
        <v/>
      </c>
      <c r="N751" s="19">
        <f t="shared" si="22"/>
        <v>0</v>
      </c>
      <c r="O751" s="19">
        <f t="shared" si="23"/>
        <v>420</v>
      </c>
      <c r="S751" s="20" t="str">
        <f>IFERROR(IF([1]对账明细接口!$N751=0,"",[1]对账明细接口!$N751),"")</f>
        <v/>
      </c>
      <c r="T751" s="21" t="str">
        <f>IFERROR(IF([1]对账明细接口!$O751=0,"",[1]对账明细接口!$O751),"")</f>
        <v/>
      </c>
      <c r="U751" s="21" t="str">
        <f>IFERROR(IF([1]对账明细接口!$P751=0,"",[1]对账明细接口!$P751),"")</f>
        <v/>
      </c>
      <c r="V751" s="21" t="str">
        <f>IFERROR(IF([1]对账明细接口!$Q751=0,"",[1]对账明细接口!$Q751),"")</f>
        <v/>
      </c>
      <c r="W751" s="20" t="str">
        <f>IFERROR(IF([1]对账明细接口!$R751=0,"",[1]对账明细接口!$R751),"")</f>
        <v/>
      </c>
      <c r="X751" s="20" t="str">
        <f>IFERROR(IF([1]对账明细接口!$S751=0,"",[1]对账明细接口!$S751),"")</f>
        <v/>
      </c>
      <c r="Y751" s="20" t="str">
        <f>IFERROR(IF([1]对账明细接口!$T751=0,"",[1]对账明细接口!$T751),"")</f>
        <v/>
      </c>
      <c r="Z751" s="24" t="str">
        <f>IFERROR(IF([1]对账明细接口!$U751=0,"",[1]对账明细接口!$U751),"")</f>
        <v/>
      </c>
      <c r="AA751" s="24" t="str">
        <f>IFERROR(IF([1]对账明细接口!$V751=0,"",[1]对账明细接口!$V751),"")</f>
        <v/>
      </c>
      <c r="AB751" s="20" t="str">
        <f>IFERROR(IF([1]对账明细接口!$W751=0,"",[1]对账明细接口!$W751),"")</f>
        <v/>
      </c>
      <c r="AC751" s="7" t="str">
        <f>IFERROR(IF([1]对账明细接口!$X751=0,"",[1]对账明细接口!$X751),"")</f>
        <v/>
      </c>
      <c r="AD751" s="7" t="str">
        <f>IFERROR(IF([1]对账明细接口!$Y751=0,"",[1]对账明细接口!$Y751),"")</f>
        <v/>
      </c>
      <c r="AE751" s="7" t="str">
        <f>IFERROR(IF([1]对账明细接口!$AA751=0,"",[1]对账明细接口!$AA751),"")</f>
        <v/>
      </c>
      <c r="AF751" s="7" t="str">
        <f>IFERROR(IF([1]对账明细接口!$AB751=0,"",[1]对账明细接口!$AB751),"")</f>
        <v/>
      </c>
      <c r="AG751" s="7" t="str">
        <f>IFERROR(IF([1]对账明细接口!$AC751=0,"",[1]对账明细接口!$AC751),"")</f>
        <v/>
      </c>
      <c r="AH751" s="7" t="str">
        <f>IFERROR(IF([1]对账明细接口!$AD751=0,"",[1]对账明细接口!$AD751),"")</f>
        <v/>
      </c>
      <c r="AI751" s="7" t="str">
        <f>IFERROR(IF([1]对账明细接口!$AE751=0,"",[1]对账明细接口!$AE751),"")</f>
        <v/>
      </c>
      <c r="AJ751" s="7" t="str">
        <f>IFERROR(IF([1]对账明细接口!$AF751=0,"",[1]对账明细接口!$AF751),"")</f>
        <v/>
      </c>
    </row>
    <row r="752" ht="14.25" customHeight="1" spans="1:36">
      <c r="A752" s="14">
        <v>752</v>
      </c>
      <c r="B752" s="15" t="str">
        <f>IFERROR(IF([1]对账明细接口!$B$752=0,"",[1]对账明细接口!$B$752),"")</f>
        <v/>
      </c>
      <c r="C752" s="16" t="str">
        <f>IFERROR(IF([1]对账明细接口!$C$752=0,"",[1]对账明细接口!$C$752),"")</f>
        <v/>
      </c>
      <c r="D752" s="16" t="str">
        <f>IFERROR(IF([1]对账明细接口!$D$752=0,"",[1]对账明细接口!$D$752),"")</f>
        <v/>
      </c>
      <c r="E752" s="16" t="str">
        <f>IFERROR(IF([1]对账明细接口!$E$752=0,"",[1]对账明细接口!$E$752),"")</f>
        <v/>
      </c>
      <c r="F752" s="16" t="str">
        <f>IFERROR(IF([1]对账明细接口!$F$752=0,"",[1]对账明细接口!$F$752),"")</f>
        <v/>
      </c>
      <c r="G752" s="16" t="str">
        <f>IFERROR(IF([1]对账明细接口!$G$752=0,"",[1]对账明细接口!$G$752),"")</f>
        <v/>
      </c>
      <c r="H752" s="17" t="str">
        <f>IFERROR(IF([1]对账明细接口!$H$752=0,"",[1]对账明细接口!$H$752),"")</f>
        <v/>
      </c>
      <c r="I752" s="16" t="str">
        <f>IFERROR(IF([1]对账明细接口!$I$752=0,"",[1]对账明细接口!$I$752),"")</f>
        <v/>
      </c>
      <c r="J752" s="18" t="str">
        <f>IFERROR(IF([1]对账明细接口!$J$752=0,"",[1]对账明细接口!$J$752),"")</f>
        <v/>
      </c>
      <c r="K752" s="18" t="str">
        <f>IFERROR(IF([1]对账明细接口!$K$752=0,"",[1]对账明细接口!$K$752),"")</f>
        <v/>
      </c>
      <c r="L752" s="16" t="str">
        <f>IFERROR(IF([1]对账明细接口!$L$752=0,"",[1]对账明细接口!$L$752),"")</f>
        <v/>
      </c>
      <c r="M752" s="16" t="str">
        <f>IFERROR(IF([1]对账明细接口!$M$752=0,"",[1]对账明细接口!$M$752),"")</f>
        <v/>
      </c>
      <c r="N752" s="19">
        <f t="shared" si="22"/>
        <v>0</v>
      </c>
      <c r="O752" s="19">
        <f t="shared" si="23"/>
        <v>420</v>
      </c>
      <c r="S752" s="20" t="str">
        <f>IFERROR(IF([1]对账明细接口!$N752=0,"",[1]对账明细接口!$N752),"")</f>
        <v/>
      </c>
      <c r="T752" s="21" t="str">
        <f>IFERROR(IF([1]对账明细接口!$O752=0,"",[1]对账明细接口!$O752),"")</f>
        <v/>
      </c>
      <c r="U752" s="21" t="str">
        <f>IFERROR(IF([1]对账明细接口!$P752=0,"",[1]对账明细接口!$P752),"")</f>
        <v/>
      </c>
      <c r="V752" s="21" t="str">
        <f>IFERROR(IF([1]对账明细接口!$Q752=0,"",[1]对账明细接口!$Q752),"")</f>
        <v/>
      </c>
      <c r="W752" s="20" t="str">
        <f>IFERROR(IF([1]对账明细接口!$R752=0,"",[1]对账明细接口!$R752),"")</f>
        <v/>
      </c>
      <c r="X752" s="20" t="str">
        <f>IFERROR(IF([1]对账明细接口!$S752=0,"",[1]对账明细接口!$S752),"")</f>
        <v/>
      </c>
      <c r="Y752" s="20" t="str">
        <f>IFERROR(IF([1]对账明细接口!$T752=0,"",[1]对账明细接口!$T752),"")</f>
        <v/>
      </c>
      <c r="Z752" s="24" t="str">
        <f>IFERROR(IF([1]对账明细接口!$U752=0,"",[1]对账明细接口!$U752),"")</f>
        <v/>
      </c>
      <c r="AA752" s="24" t="str">
        <f>IFERROR(IF([1]对账明细接口!$V752=0,"",[1]对账明细接口!$V752),"")</f>
        <v/>
      </c>
      <c r="AB752" s="20" t="str">
        <f>IFERROR(IF([1]对账明细接口!$W752=0,"",[1]对账明细接口!$W752),"")</f>
        <v/>
      </c>
      <c r="AC752" s="7" t="str">
        <f>IFERROR(IF([1]对账明细接口!$X752=0,"",[1]对账明细接口!$X752),"")</f>
        <v/>
      </c>
      <c r="AD752" s="7" t="str">
        <f>IFERROR(IF([1]对账明细接口!$Y752=0,"",[1]对账明细接口!$Y752),"")</f>
        <v/>
      </c>
      <c r="AE752" s="7" t="str">
        <f>IFERROR(IF([1]对账明细接口!$AA752=0,"",[1]对账明细接口!$AA752),"")</f>
        <v/>
      </c>
      <c r="AF752" s="7" t="str">
        <f>IFERROR(IF([1]对账明细接口!$AB752=0,"",[1]对账明细接口!$AB752),"")</f>
        <v/>
      </c>
      <c r="AG752" s="7" t="str">
        <f>IFERROR(IF([1]对账明细接口!$AC752=0,"",[1]对账明细接口!$AC752),"")</f>
        <v/>
      </c>
      <c r="AH752" s="7" t="str">
        <f>IFERROR(IF([1]对账明细接口!$AD752=0,"",[1]对账明细接口!$AD752),"")</f>
        <v/>
      </c>
      <c r="AI752" s="7" t="str">
        <f>IFERROR(IF([1]对账明细接口!$AE752=0,"",[1]对账明细接口!$AE752),"")</f>
        <v/>
      </c>
      <c r="AJ752" s="7" t="str">
        <f>IFERROR(IF([1]对账明细接口!$AF752=0,"",[1]对账明细接口!$AF752),"")</f>
        <v/>
      </c>
    </row>
    <row r="753" ht="14.25" customHeight="1" spans="1:36">
      <c r="A753" s="14">
        <v>753</v>
      </c>
      <c r="B753" s="15" t="str">
        <f>IFERROR(IF([1]对账明细接口!$B$753=0,"",[1]对账明细接口!$B$753),"")</f>
        <v/>
      </c>
      <c r="C753" s="16" t="str">
        <f>IFERROR(IF([1]对账明细接口!$C$753=0,"",[1]对账明细接口!$C$753),"")</f>
        <v/>
      </c>
      <c r="D753" s="16" t="str">
        <f>IFERROR(IF([1]对账明细接口!$D$753=0,"",[1]对账明细接口!$D$753),"")</f>
        <v/>
      </c>
      <c r="E753" s="16" t="str">
        <f>IFERROR(IF([1]对账明细接口!$E$753=0,"",[1]对账明细接口!$E$753),"")</f>
        <v/>
      </c>
      <c r="F753" s="16" t="str">
        <f>IFERROR(IF([1]对账明细接口!$F$753=0,"",[1]对账明细接口!$F$753),"")</f>
        <v/>
      </c>
      <c r="G753" s="16" t="str">
        <f>IFERROR(IF([1]对账明细接口!$G$753=0,"",[1]对账明细接口!$G$753),"")</f>
        <v/>
      </c>
      <c r="H753" s="17" t="str">
        <f>IFERROR(IF([1]对账明细接口!$H$753=0,"",[1]对账明细接口!$H$753),"")</f>
        <v/>
      </c>
      <c r="I753" s="16" t="str">
        <f>IFERROR(IF([1]对账明细接口!$I$753=0,"",[1]对账明细接口!$I$753),"")</f>
        <v/>
      </c>
      <c r="J753" s="18" t="str">
        <f>IFERROR(IF([1]对账明细接口!$J$753=0,"",[1]对账明细接口!$J$753),"")</f>
        <v/>
      </c>
      <c r="K753" s="18" t="str">
        <f>IFERROR(IF([1]对账明细接口!$K$753=0,"",[1]对账明细接口!$K$753),"")</f>
        <v/>
      </c>
      <c r="L753" s="16" t="str">
        <f>IFERROR(IF([1]对账明细接口!$L$753=0,"",[1]对账明细接口!$L$753),"")</f>
        <v/>
      </c>
      <c r="M753" s="16" t="str">
        <f>IFERROR(IF([1]对账明细接口!$M$753=0,"",[1]对账明细接口!$M$753),"")</f>
        <v/>
      </c>
      <c r="N753" s="19">
        <f t="shared" si="22"/>
        <v>0</v>
      </c>
      <c r="O753" s="19">
        <f t="shared" si="23"/>
        <v>420</v>
      </c>
      <c r="S753" s="20" t="str">
        <f>IFERROR(IF([1]对账明细接口!$N753=0,"",[1]对账明细接口!$N753),"")</f>
        <v/>
      </c>
      <c r="T753" s="21" t="str">
        <f>IFERROR(IF([1]对账明细接口!$O753=0,"",[1]对账明细接口!$O753),"")</f>
        <v/>
      </c>
      <c r="U753" s="21" t="str">
        <f>IFERROR(IF([1]对账明细接口!$P753=0,"",[1]对账明细接口!$P753),"")</f>
        <v/>
      </c>
      <c r="V753" s="21" t="str">
        <f>IFERROR(IF([1]对账明细接口!$Q753=0,"",[1]对账明细接口!$Q753),"")</f>
        <v/>
      </c>
      <c r="W753" s="20" t="str">
        <f>IFERROR(IF([1]对账明细接口!$R753=0,"",[1]对账明细接口!$R753),"")</f>
        <v/>
      </c>
      <c r="X753" s="20" t="str">
        <f>IFERROR(IF([1]对账明细接口!$S753=0,"",[1]对账明细接口!$S753),"")</f>
        <v/>
      </c>
      <c r="Y753" s="20" t="str">
        <f>IFERROR(IF([1]对账明细接口!$T753=0,"",[1]对账明细接口!$T753),"")</f>
        <v/>
      </c>
      <c r="Z753" s="24" t="str">
        <f>IFERROR(IF([1]对账明细接口!$U753=0,"",[1]对账明细接口!$U753),"")</f>
        <v/>
      </c>
      <c r="AA753" s="24" t="str">
        <f>IFERROR(IF([1]对账明细接口!$V753=0,"",[1]对账明细接口!$V753),"")</f>
        <v/>
      </c>
      <c r="AB753" s="20" t="str">
        <f>IFERROR(IF([1]对账明细接口!$W753=0,"",[1]对账明细接口!$W753),"")</f>
        <v/>
      </c>
      <c r="AC753" s="7" t="str">
        <f>IFERROR(IF([1]对账明细接口!$X753=0,"",[1]对账明细接口!$X753),"")</f>
        <v/>
      </c>
      <c r="AD753" s="7" t="str">
        <f>IFERROR(IF([1]对账明细接口!$Y753=0,"",[1]对账明细接口!$Y753),"")</f>
        <v/>
      </c>
      <c r="AE753" s="7" t="str">
        <f>IFERROR(IF([1]对账明细接口!$AA753=0,"",[1]对账明细接口!$AA753),"")</f>
        <v/>
      </c>
      <c r="AF753" s="7" t="str">
        <f>IFERROR(IF([1]对账明细接口!$AB753=0,"",[1]对账明细接口!$AB753),"")</f>
        <v/>
      </c>
      <c r="AG753" s="7" t="str">
        <f>IFERROR(IF([1]对账明细接口!$AC753=0,"",[1]对账明细接口!$AC753),"")</f>
        <v/>
      </c>
      <c r="AH753" s="7" t="str">
        <f>IFERROR(IF([1]对账明细接口!$AD753=0,"",[1]对账明细接口!$AD753),"")</f>
        <v/>
      </c>
      <c r="AI753" s="7" t="str">
        <f>IFERROR(IF([1]对账明细接口!$AE753=0,"",[1]对账明细接口!$AE753),"")</f>
        <v/>
      </c>
      <c r="AJ753" s="7" t="str">
        <f>IFERROR(IF([1]对账明细接口!$AF753=0,"",[1]对账明细接口!$AF753),"")</f>
        <v/>
      </c>
    </row>
    <row r="754" ht="14.25" customHeight="1" spans="1:36">
      <c r="A754" s="14">
        <v>754</v>
      </c>
      <c r="B754" s="15" t="str">
        <f>IFERROR(IF([1]对账明细接口!$B$754=0,"",[1]对账明细接口!$B$754),"")</f>
        <v/>
      </c>
      <c r="C754" s="16" t="str">
        <f>IFERROR(IF([1]对账明细接口!$C$754=0,"",[1]对账明细接口!$C$754),"")</f>
        <v/>
      </c>
      <c r="D754" s="16" t="str">
        <f>IFERROR(IF([1]对账明细接口!$D$754=0,"",[1]对账明细接口!$D$754),"")</f>
        <v/>
      </c>
      <c r="E754" s="16" t="str">
        <f>IFERROR(IF([1]对账明细接口!$E$754=0,"",[1]对账明细接口!$E$754),"")</f>
        <v/>
      </c>
      <c r="F754" s="16" t="str">
        <f>IFERROR(IF([1]对账明细接口!$F$754=0,"",[1]对账明细接口!$F$754),"")</f>
        <v/>
      </c>
      <c r="G754" s="16" t="str">
        <f>IFERROR(IF([1]对账明细接口!$G$754=0,"",[1]对账明细接口!$G$754),"")</f>
        <v/>
      </c>
      <c r="H754" s="17" t="str">
        <f>IFERROR(IF([1]对账明细接口!$H$754=0,"",[1]对账明细接口!$H$754),"")</f>
        <v/>
      </c>
      <c r="I754" s="16" t="str">
        <f>IFERROR(IF([1]对账明细接口!$I$754=0,"",[1]对账明细接口!$I$754),"")</f>
        <v/>
      </c>
      <c r="J754" s="18" t="str">
        <f>IFERROR(IF([1]对账明细接口!$J$754=0,"",[1]对账明细接口!$J$754),"")</f>
        <v/>
      </c>
      <c r="K754" s="18" t="str">
        <f>IFERROR(IF([1]对账明细接口!$K$754=0,"",[1]对账明细接口!$K$754),"")</f>
        <v/>
      </c>
      <c r="L754" s="16" t="str">
        <f>IFERROR(IF([1]对账明细接口!$L$754=0,"",[1]对账明细接口!$L$754),"")</f>
        <v/>
      </c>
      <c r="M754" s="16" t="str">
        <f>IFERROR(IF([1]对账明细接口!$M$754=0,"",[1]对账明细接口!$M$754),"")</f>
        <v/>
      </c>
      <c r="N754" s="19">
        <f t="shared" si="22"/>
        <v>0</v>
      </c>
      <c r="O754" s="19">
        <f t="shared" si="23"/>
        <v>420</v>
      </c>
      <c r="S754" s="20" t="str">
        <f>IFERROR(IF([1]对账明细接口!$N754=0,"",[1]对账明细接口!$N754),"")</f>
        <v/>
      </c>
      <c r="T754" s="21" t="str">
        <f>IFERROR(IF([1]对账明细接口!$O754=0,"",[1]对账明细接口!$O754),"")</f>
        <v/>
      </c>
      <c r="U754" s="21" t="str">
        <f>IFERROR(IF([1]对账明细接口!$P754=0,"",[1]对账明细接口!$P754),"")</f>
        <v/>
      </c>
      <c r="V754" s="21" t="str">
        <f>IFERROR(IF([1]对账明细接口!$Q754=0,"",[1]对账明细接口!$Q754),"")</f>
        <v/>
      </c>
      <c r="W754" s="20" t="str">
        <f>IFERROR(IF([1]对账明细接口!$R754=0,"",[1]对账明细接口!$R754),"")</f>
        <v/>
      </c>
      <c r="X754" s="20" t="str">
        <f>IFERROR(IF([1]对账明细接口!$S754=0,"",[1]对账明细接口!$S754),"")</f>
        <v/>
      </c>
      <c r="Y754" s="20" t="str">
        <f>IFERROR(IF([1]对账明细接口!$T754=0,"",[1]对账明细接口!$T754),"")</f>
        <v/>
      </c>
      <c r="Z754" s="24" t="str">
        <f>IFERROR(IF([1]对账明细接口!$U754=0,"",[1]对账明细接口!$U754),"")</f>
        <v/>
      </c>
      <c r="AA754" s="24" t="str">
        <f>IFERROR(IF([1]对账明细接口!$V754=0,"",[1]对账明细接口!$V754),"")</f>
        <v/>
      </c>
      <c r="AB754" s="20" t="str">
        <f>IFERROR(IF([1]对账明细接口!$W754=0,"",[1]对账明细接口!$W754),"")</f>
        <v/>
      </c>
      <c r="AC754" s="7" t="str">
        <f>IFERROR(IF([1]对账明细接口!$X754=0,"",[1]对账明细接口!$X754),"")</f>
        <v/>
      </c>
      <c r="AD754" s="7" t="str">
        <f>IFERROR(IF([1]对账明细接口!$Y754=0,"",[1]对账明细接口!$Y754),"")</f>
        <v/>
      </c>
      <c r="AE754" s="7" t="str">
        <f>IFERROR(IF([1]对账明细接口!$AA754=0,"",[1]对账明细接口!$AA754),"")</f>
        <v/>
      </c>
      <c r="AF754" s="7" t="str">
        <f>IFERROR(IF([1]对账明细接口!$AB754=0,"",[1]对账明细接口!$AB754),"")</f>
        <v/>
      </c>
      <c r="AG754" s="7" t="str">
        <f>IFERROR(IF([1]对账明细接口!$AC754=0,"",[1]对账明细接口!$AC754),"")</f>
        <v/>
      </c>
      <c r="AH754" s="7" t="str">
        <f>IFERROR(IF([1]对账明细接口!$AD754=0,"",[1]对账明细接口!$AD754),"")</f>
        <v/>
      </c>
      <c r="AI754" s="7" t="str">
        <f>IFERROR(IF([1]对账明细接口!$AE754=0,"",[1]对账明细接口!$AE754),"")</f>
        <v/>
      </c>
      <c r="AJ754" s="7" t="str">
        <f>IFERROR(IF([1]对账明细接口!$AF754=0,"",[1]对账明细接口!$AF754),"")</f>
        <v/>
      </c>
    </row>
    <row r="755" ht="14.25" customHeight="1" spans="1:36">
      <c r="A755" s="14">
        <v>755</v>
      </c>
      <c r="B755" s="15" t="str">
        <f>IFERROR(IF([1]对账明细接口!$B$755=0,"",[1]对账明细接口!$B$755),"")</f>
        <v/>
      </c>
      <c r="C755" s="16" t="str">
        <f>IFERROR(IF([1]对账明细接口!$C$755=0,"",[1]对账明细接口!$C$755),"")</f>
        <v/>
      </c>
      <c r="D755" s="16" t="str">
        <f>IFERROR(IF([1]对账明细接口!$D$755=0,"",[1]对账明细接口!$D$755),"")</f>
        <v/>
      </c>
      <c r="E755" s="16" t="str">
        <f>IFERROR(IF([1]对账明细接口!$E$755=0,"",[1]对账明细接口!$E$755),"")</f>
        <v/>
      </c>
      <c r="F755" s="16" t="str">
        <f>IFERROR(IF([1]对账明细接口!$F$755=0,"",[1]对账明细接口!$F$755),"")</f>
        <v/>
      </c>
      <c r="G755" s="16" t="str">
        <f>IFERROR(IF([1]对账明细接口!$G$755=0,"",[1]对账明细接口!$G$755),"")</f>
        <v/>
      </c>
      <c r="H755" s="17" t="str">
        <f>IFERROR(IF([1]对账明细接口!$H$755=0,"",[1]对账明细接口!$H$755),"")</f>
        <v/>
      </c>
      <c r="I755" s="16" t="str">
        <f>IFERROR(IF([1]对账明细接口!$I$755=0,"",[1]对账明细接口!$I$755),"")</f>
        <v/>
      </c>
      <c r="J755" s="18" t="str">
        <f>IFERROR(IF([1]对账明细接口!$J$755=0,"",[1]对账明细接口!$J$755),"")</f>
        <v/>
      </c>
      <c r="K755" s="18" t="str">
        <f>IFERROR(IF([1]对账明细接口!$K$755=0,"",[1]对账明细接口!$K$755),"")</f>
        <v/>
      </c>
      <c r="L755" s="16" t="str">
        <f>IFERROR(IF([1]对账明细接口!$L$755=0,"",[1]对账明细接口!$L$755),"")</f>
        <v/>
      </c>
      <c r="M755" s="16" t="str">
        <f>IFERROR(IF([1]对账明细接口!$M$755=0,"",[1]对账明细接口!$M$755),"")</f>
        <v/>
      </c>
      <c r="N755" s="19">
        <f t="shared" si="22"/>
        <v>0</v>
      </c>
      <c r="O755" s="19">
        <f t="shared" si="23"/>
        <v>420</v>
      </c>
      <c r="S755" s="20" t="str">
        <f>IFERROR(IF([1]对账明细接口!$N755=0,"",[1]对账明细接口!$N755),"")</f>
        <v/>
      </c>
      <c r="T755" s="21" t="str">
        <f>IFERROR(IF([1]对账明细接口!$O755=0,"",[1]对账明细接口!$O755),"")</f>
        <v/>
      </c>
      <c r="U755" s="21" t="str">
        <f>IFERROR(IF([1]对账明细接口!$P755=0,"",[1]对账明细接口!$P755),"")</f>
        <v/>
      </c>
      <c r="V755" s="21" t="str">
        <f>IFERROR(IF([1]对账明细接口!$Q755=0,"",[1]对账明细接口!$Q755),"")</f>
        <v/>
      </c>
      <c r="W755" s="20" t="str">
        <f>IFERROR(IF([1]对账明细接口!$R755=0,"",[1]对账明细接口!$R755),"")</f>
        <v/>
      </c>
      <c r="X755" s="20" t="str">
        <f>IFERROR(IF([1]对账明细接口!$S755=0,"",[1]对账明细接口!$S755),"")</f>
        <v/>
      </c>
      <c r="Y755" s="20" t="str">
        <f>IFERROR(IF([1]对账明细接口!$T755=0,"",[1]对账明细接口!$T755),"")</f>
        <v/>
      </c>
      <c r="Z755" s="24" t="str">
        <f>IFERROR(IF([1]对账明细接口!$U755=0,"",[1]对账明细接口!$U755),"")</f>
        <v/>
      </c>
      <c r="AA755" s="24" t="str">
        <f>IFERROR(IF([1]对账明细接口!$V755=0,"",[1]对账明细接口!$V755),"")</f>
        <v/>
      </c>
      <c r="AB755" s="20" t="str">
        <f>IFERROR(IF([1]对账明细接口!$W755=0,"",[1]对账明细接口!$W755),"")</f>
        <v/>
      </c>
      <c r="AC755" s="7" t="str">
        <f>IFERROR(IF([1]对账明细接口!$X755=0,"",[1]对账明细接口!$X755),"")</f>
        <v/>
      </c>
      <c r="AD755" s="7" t="str">
        <f>IFERROR(IF([1]对账明细接口!$Y755=0,"",[1]对账明细接口!$Y755),"")</f>
        <v/>
      </c>
      <c r="AE755" s="7" t="str">
        <f>IFERROR(IF([1]对账明细接口!$AA755=0,"",[1]对账明细接口!$AA755),"")</f>
        <v/>
      </c>
      <c r="AF755" s="7" t="str">
        <f>IFERROR(IF([1]对账明细接口!$AB755=0,"",[1]对账明细接口!$AB755),"")</f>
        <v/>
      </c>
      <c r="AG755" s="7" t="str">
        <f>IFERROR(IF([1]对账明细接口!$AC755=0,"",[1]对账明细接口!$AC755),"")</f>
        <v/>
      </c>
      <c r="AH755" s="7" t="str">
        <f>IFERROR(IF([1]对账明细接口!$AD755=0,"",[1]对账明细接口!$AD755),"")</f>
        <v/>
      </c>
      <c r="AI755" s="7" t="str">
        <f>IFERROR(IF([1]对账明细接口!$AE755=0,"",[1]对账明细接口!$AE755),"")</f>
        <v/>
      </c>
      <c r="AJ755" s="7" t="str">
        <f>IFERROR(IF([1]对账明细接口!$AF755=0,"",[1]对账明细接口!$AF755),"")</f>
        <v/>
      </c>
    </row>
    <row r="756" ht="14.25" customHeight="1" spans="1:36">
      <c r="A756" s="14">
        <v>756</v>
      </c>
      <c r="B756" s="15" t="str">
        <f>IFERROR(IF([1]对账明细接口!$B$756=0,"",[1]对账明细接口!$B$756),"")</f>
        <v/>
      </c>
      <c r="C756" s="16" t="str">
        <f>IFERROR(IF([1]对账明细接口!$C$756=0,"",[1]对账明细接口!$C$756),"")</f>
        <v/>
      </c>
      <c r="D756" s="16" t="str">
        <f>IFERROR(IF([1]对账明细接口!$D$756=0,"",[1]对账明细接口!$D$756),"")</f>
        <v/>
      </c>
      <c r="E756" s="16" t="str">
        <f>IFERROR(IF([1]对账明细接口!$E$756=0,"",[1]对账明细接口!$E$756),"")</f>
        <v/>
      </c>
      <c r="F756" s="16" t="str">
        <f>IFERROR(IF([1]对账明细接口!$F$756=0,"",[1]对账明细接口!$F$756),"")</f>
        <v/>
      </c>
      <c r="G756" s="16" t="str">
        <f>IFERROR(IF([1]对账明细接口!$G$756=0,"",[1]对账明细接口!$G$756),"")</f>
        <v/>
      </c>
      <c r="H756" s="17" t="str">
        <f>IFERROR(IF([1]对账明细接口!$H$756=0,"",[1]对账明细接口!$H$756),"")</f>
        <v/>
      </c>
      <c r="I756" s="16" t="str">
        <f>IFERROR(IF([1]对账明细接口!$I$756=0,"",[1]对账明细接口!$I$756),"")</f>
        <v/>
      </c>
      <c r="J756" s="18" t="str">
        <f>IFERROR(IF([1]对账明细接口!$J$756=0,"",[1]对账明细接口!$J$756),"")</f>
        <v/>
      </c>
      <c r="K756" s="18" t="str">
        <f>IFERROR(IF([1]对账明细接口!$K$756=0,"",[1]对账明细接口!$K$756),"")</f>
        <v/>
      </c>
      <c r="L756" s="16" t="str">
        <f>IFERROR(IF([1]对账明细接口!$L$756=0,"",[1]对账明细接口!$L$756),"")</f>
        <v/>
      </c>
      <c r="M756" s="16" t="str">
        <f>IFERROR(IF([1]对账明细接口!$M$756=0,"",[1]对账明细接口!$M$756),"")</f>
        <v/>
      </c>
      <c r="N756" s="19">
        <f t="shared" si="22"/>
        <v>0</v>
      </c>
      <c r="O756" s="19">
        <f t="shared" si="23"/>
        <v>420</v>
      </c>
      <c r="S756" s="20" t="str">
        <f>IFERROR(IF([1]对账明细接口!$N756=0,"",[1]对账明细接口!$N756),"")</f>
        <v/>
      </c>
      <c r="T756" s="21" t="str">
        <f>IFERROR(IF([1]对账明细接口!$O756=0,"",[1]对账明细接口!$O756),"")</f>
        <v/>
      </c>
      <c r="U756" s="21" t="str">
        <f>IFERROR(IF([1]对账明细接口!$P756=0,"",[1]对账明细接口!$P756),"")</f>
        <v/>
      </c>
      <c r="V756" s="21" t="str">
        <f>IFERROR(IF([1]对账明细接口!$Q756=0,"",[1]对账明细接口!$Q756),"")</f>
        <v/>
      </c>
      <c r="W756" s="20" t="str">
        <f>IFERROR(IF([1]对账明细接口!$R756=0,"",[1]对账明细接口!$R756),"")</f>
        <v/>
      </c>
      <c r="X756" s="20" t="str">
        <f>IFERROR(IF([1]对账明细接口!$S756=0,"",[1]对账明细接口!$S756),"")</f>
        <v/>
      </c>
      <c r="Y756" s="20" t="str">
        <f>IFERROR(IF([1]对账明细接口!$T756=0,"",[1]对账明细接口!$T756),"")</f>
        <v/>
      </c>
      <c r="Z756" s="24" t="str">
        <f>IFERROR(IF([1]对账明细接口!$U756=0,"",[1]对账明细接口!$U756),"")</f>
        <v/>
      </c>
      <c r="AA756" s="24" t="str">
        <f>IFERROR(IF([1]对账明细接口!$V756=0,"",[1]对账明细接口!$V756),"")</f>
        <v/>
      </c>
      <c r="AB756" s="20" t="str">
        <f>IFERROR(IF([1]对账明细接口!$W756=0,"",[1]对账明细接口!$W756),"")</f>
        <v/>
      </c>
      <c r="AC756" s="7" t="str">
        <f>IFERROR(IF([1]对账明细接口!$X756=0,"",[1]对账明细接口!$X756),"")</f>
        <v/>
      </c>
      <c r="AD756" s="7" t="str">
        <f>IFERROR(IF([1]对账明细接口!$Y756=0,"",[1]对账明细接口!$Y756),"")</f>
        <v/>
      </c>
      <c r="AE756" s="7" t="str">
        <f>IFERROR(IF([1]对账明细接口!$AA756=0,"",[1]对账明细接口!$AA756),"")</f>
        <v/>
      </c>
      <c r="AF756" s="7" t="str">
        <f>IFERROR(IF([1]对账明细接口!$AB756=0,"",[1]对账明细接口!$AB756),"")</f>
        <v/>
      </c>
      <c r="AG756" s="7" t="str">
        <f>IFERROR(IF([1]对账明细接口!$AC756=0,"",[1]对账明细接口!$AC756),"")</f>
        <v/>
      </c>
      <c r="AH756" s="7" t="str">
        <f>IFERROR(IF([1]对账明细接口!$AD756=0,"",[1]对账明细接口!$AD756),"")</f>
        <v/>
      </c>
      <c r="AI756" s="7" t="str">
        <f>IFERROR(IF([1]对账明细接口!$AE756=0,"",[1]对账明细接口!$AE756),"")</f>
        <v/>
      </c>
      <c r="AJ756" s="7" t="str">
        <f>IFERROR(IF([1]对账明细接口!$AF756=0,"",[1]对账明细接口!$AF756),"")</f>
        <v/>
      </c>
    </row>
    <row r="757" ht="14.25" customHeight="1" spans="1:36">
      <c r="A757" s="14">
        <v>757</v>
      </c>
      <c r="B757" s="15" t="str">
        <f>IFERROR(IF([1]对账明细接口!$B$757=0,"",[1]对账明细接口!$B$757),"")</f>
        <v/>
      </c>
      <c r="C757" s="16" t="str">
        <f>IFERROR(IF([1]对账明细接口!$C$757=0,"",[1]对账明细接口!$C$757),"")</f>
        <v/>
      </c>
      <c r="D757" s="16" t="str">
        <f>IFERROR(IF([1]对账明细接口!$D$757=0,"",[1]对账明细接口!$D$757),"")</f>
        <v/>
      </c>
      <c r="E757" s="16" t="str">
        <f>IFERROR(IF([1]对账明细接口!$E$757=0,"",[1]对账明细接口!$E$757),"")</f>
        <v/>
      </c>
      <c r="F757" s="16" t="str">
        <f>IFERROR(IF([1]对账明细接口!$F$757=0,"",[1]对账明细接口!$F$757),"")</f>
        <v/>
      </c>
      <c r="G757" s="16" t="str">
        <f>IFERROR(IF([1]对账明细接口!$G$757=0,"",[1]对账明细接口!$G$757),"")</f>
        <v/>
      </c>
      <c r="H757" s="17" t="str">
        <f>IFERROR(IF([1]对账明细接口!$H$757=0,"",[1]对账明细接口!$H$757),"")</f>
        <v/>
      </c>
      <c r="I757" s="16" t="str">
        <f>IFERROR(IF([1]对账明细接口!$I$757=0,"",[1]对账明细接口!$I$757),"")</f>
        <v/>
      </c>
      <c r="J757" s="18" t="str">
        <f>IFERROR(IF([1]对账明细接口!$J$757=0,"",[1]对账明细接口!$J$757),"")</f>
        <v/>
      </c>
      <c r="K757" s="18" t="str">
        <f>IFERROR(IF([1]对账明细接口!$K$757=0,"",[1]对账明细接口!$K$757),"")</f>
        <v/>
      </c>
      <c r="L757" s="16" t="str">
        <f>IFERROR(IF([1]对账明细接口!$L$757=0,"",[1]对账明细接口!$L$757),"")</f>
        <v/>
      </c>
      <c r="M757" s="16" t="str">
        <f>IFERROR(IF([1]对账明细接口!$M$757=0,"",[1]对账明细接口!$M$757),"")</f>
        <v/>
      </c>
      <c r="N757" s="19">
        <f t="shared" si="22"/>
        <v>0</v>
      </c>
      <c r="O757" s="19">
        <f t="shared" si="23"/>
        <v>420</v>
      </c>
      <c r="S757" s="20" t="str">
        <f>IFERROR(IF([1]对账明细接口!$N757=0,"",[1]对账明细接口!$N757),"")</f>
        <v/>
      </c>
      <c r="T757" s="21" t="str">
        <f>IFERROR(IF([1]对账明细接口!$O757=0,"",[1]对账明细接口!$O757),"")</f>
        <v/>
      </c>
      <c r="U757" s="21" t="str">
        <f>IFERROR(IF([1]对账明细接口!$P757=0,"",[1]对账明细接口!$P757),"")</f>
        <v/>
      </c>
      <c r="V757" s="21" t="str">
        <f>IFERROR(IF([1]对账明细接口!$Q757=0,"",[1]对账明细接口!$Q757),"")</f>
        <v/>
      </c>
      <c r="W757" s="20" t="str">
        <f>IFERROR(IF([1]对账明细接口!$R757=0,"",[1]对账明细接口!$R757),"")</f>
        <v/>
      </c>
      <c r="X757" s="20" t="str">
        <f>IFERROR(IF([1]对账明细接口!$S757=0,"",[1]对账明细接口!$S757),"")</f>
        <v/>
      </c>
      <c r="Y757" s="20" t="str">
        <f>IFERROR(IF([1]对账明细接口!$T757=0,"",[1]对账明细接口!$T757),"")</f>
        <v/>
      </c>
      <c r="Z757" s="24" t="str">
        <f>IFERROR(IF([1]对账明细接口!$U757=0,"",[1]对账明细接口!$U757),"")</f>
        <v/>
      </c>
      <c r="AA757" s="24" t="str">
        <f>IFERROR(IF([1]对账明细接口!$V757=0,"",[1]对账明细接口!$V757),"")</f>
        <v/>
      </c>
      <c r="AB757" s="20" t="str">
        <f>IFERROR(IF([1]对账明细接口!$W757=0,"",[1]对账明细接口!$W757),"")</f>
        <v/>
      </c>
      <c r="AC757" s="7" t="str">
        <f>IFERROR(IF([1]对账明细接口!$X757=0,"",[1]对账明细接口!$X757),"")</f>
        <v/>
      </c>
      <c r="AD757" s="7" t="str">
        <f>IFERROR(IF([1]对账明细接口!$Y757=0,"",[1]对账明细接口!$Y757),"")</f>
        <v/>
      </c>
      <c r="AE757" s="7" t="str">
        <f>IFERROR(IF([1]对账明细接口!$AA757=0,"",[1]对账明细接口!$AA757),"")</f>
        <v/>
      </c>
      <c r="AF757" s="7" t="str">
        <f>IFERROR(IF([1]对账明细接口!$AB757=0,"",[1]对账明细接口!$AB757),"")</f>
        <v/>
      </c>
      <c r="AG757" s="7" t="str">
        <f>IFERROR(IF([1]对账明细接口!$AC757=0,"",[1]对账明细接口!$AC757),"")</f>
        <v/>
      </c>
      <c r="AH757" s="7" t="str">
        <f>IFERROR(IF([1]对账明细接口!$AD757=0,"",[1]对账明细接口!$AD757),"")</f>
        <v/>
      </c>
      <c r="AI757" s="7" t="str">
        <f>IFERROR(IF([1]对账明细接口!$AE757=0,"",[1]对账明细接口!$AE757),"")</f>
        <v/>
      </c>
      <c r="AJ757" s="7" t="str">
        <f>IFERROR(IF([1]对账明细接口!$AF757=0,"",[1]对账明细接口!$AF757),"")</f>
        <v/>
      </c>
    </row>
    <row r="758" ht="14.25" customHeight="1" spans="1:36">
      <c r="A758" s="14">
        <v>758</v>
      </c>
      <c r="B758" s="15" t="str">
        <f>IFERROR(IF([1]对账明细接口!$B$758=0,"",[1]对账明细接口!$B$758),"")</f>
        <v/>
      </c>
      <c r="C758" s="16" t="str">
        <f>IFERROR(IF([1]对账明细接口!$C$758=0,"",[1]对账明细接口!$C$758),"")</f>
        <v/>
      </c>
      <c r="D758" s="16" t="str">
        <f>IFERROR(IF([1]对账明细接口!$D$758=0,"",[1]对账明细接口!$D$758),"")</f>
        <v/>
      </c>
      <c r="E758" s="16" t="str">
        <f>IFERROR(IF([1]对账明细接口!$E$758=0,"",[1]对账明细接口!$E$758),"")</f>
        <v/>
      </c>
      <c r="F758" s="16" t="str">
        <f>IFERROR(IF([1]对账明细接口!$F$758=0,"",[1]对账明细接口!$F$758),"")</f>
        <v/>
      </c>
      <c r="G758" s="16" t="str">
        <f>IFERROR(IF([1]对账明细接口!$G$758=0,"",[1]对账明细接口!$G$758),"")</f>
        <v/>
      </c>
      <c r="H758" s="17" t="str">
        <f>IFERROR(IF([1]对账明细接口!$H$758=0,"",[1]对账明细接口!$H$758),"")</f>
        <v/>
      </c>
      <c r="I758" s="16" t="str">
        <f>IFERROR(IF([1]对账明细接口!$I$758=0,"",[1]对账明细接口!$I$758),"")</f>
        <v/>
      </c>
      <c r="J758" s="18" t="str">
        <f>IFERROR(IF([1]对账明细接口!$J$758=0,"",[1]对账明细接口!$J$758),"")</f>
        <v/>
      </c>
      <c r="K758" s="18" t="str">
        <f>IFERROR(IF([1]对账明细接口!$K$758=0,"",[1]对账明细接口!$K$758),"")</f>
        <v/>
      </c>
      <c r="L758" s="16" t="str">
        <f>IFERROR(IF([1]对账明细接口!$L$758=0,"",[1]对账明细接口!$L$758),"")</f>
        <v/>
      </c>
      <c r="M758" s="16" t="str">
        <f>IFERROR(IF([1]对账明细接口!$M$758=0,"",[1]对账明细接口!$M$758),"")</f>
        <v/>
      </c>
      <c r="N758" s="19">
        <f t="shared" si="22"/>
        <v>0</v>
      </c>
      <c r="O758" s="19">
        <f t="shared" si="23"/>
        <v>420</v>
      </c>
      <c r="S758" s="20" t="str">
        <f>IFERROR(IF([1]对账明细接口!$N758=0,"",[1]对账明细接口!$N758),"")</f>
        <v/>
      </c>
      <c r="T758" s="21" t="str">
        <f>IFERROR(IF([1]对账明细接口!$O758=0,"",[1]对账明细接口!$O758),"")</f>
        <v/>
      </c>
      <c r="U758" s="21" t="str">
        <f>IFERROR(IF([1]对账明细接口!$P758=0,"",[1]对账明细接口!$P758),"")</f>
        <v/>
      </c>
      <c r="V758" s="21" t="str">
        <f>IFERROR(IF([1]对账明细接口!$Q758=0,"",[1]对账明细接口!$Q758),"")</f>
        <v/>
      </c>
      <c r="W758" s="20" t="str">
        <f>IFERROR(IF([1]对账明细接口!$R758=0,"",[1]对账明细接口!$R758),"")</f>
        <v/>
      </c>
      <c r="X758" s="20" t="str">
        <f>IFERROR(IF([1]对账明细接口!$S758=0,"",[1]对账明细接口!$S758),"")</f>
        <v/>
      </c>
      <c r="Y758" s="20" t="str">
        <f>IFERROR(IF([1]对账明细接口!$T758=0,"",[1]对账明细接口!$T758),"")</f>
        <v/>
      </c>
      <c r="Z758" s="24" t="str">
        <f>IFERROR(IF([1]对账明细接口!$U758=0,"",[1]对账明细接口!$U758),"")</f>
        <v/>
      </c>
      <c r="AA758" s="24" t="str">
        <f>IFERROR(IF([1]对账明细接口!$V758=0,"",[1]对账明细接口!$V758),"")</f>
        <v/>
      </c>
      <c r="AB758" s="20" t="str">
        <f>IFERROR(IF([1]对账明细接口!$W758=0,"",[1]对账明细接口!$W758),"")</f>
        <v/>
      </c>
      <c r="AC758" s="7" t="str">
        <f>IFERROR(IF([1]对账明细接口!$X758=0,"",[1]对账明细接口!$X758),"")</f>
        <v/>
      </c>
      <c r="AD758" s="7" t="str">
        <f>IFERROR(IF([1]对账明细接口!$Y758=0,"",[1]对账明细接口!$Y758),"")</f>
        <v/>
      </c>
      <c r="AE758" s="7" t="str">
        <f>IFERROR(IF([1]对账明细接口!$AA758=0,"",[1]对账明细接口!$AA758),"")</f>
        <v/>
      </c>
      <c r="AF758" s="7" t="str">
        <f>IFERROR(IF([1]对账明细接口!$AB758=0,"",[1]对账明细接口!$AB758),"")</f>
        <v/>
      </c>
      <c r="AG758" s="7" t="str">
        <f>IFERROR(IF([1]对账明细接口!$AC758=0,"",[1]对账明细接口!$AC758),"")</f>
        <v/>
      </c>
      <c r="AH758" s="7" t="str">
        <f>IFERROR(IF([1]对账明细接口!$AD758=0,"",[1]对账明细接口!$AD758),"")</f>
        <v/>
      </c>
      <c r="AI758" s="7" t="str">
        <f>IFERROR(IF([1]对账明细接口!$AE758=0,"",[1]对账明细接口!$AE758),"")</f>
        <v/>
      </c>
      <c r="AJ758" s="7" t="str">
        <f>IFERROR(IF([1]对账明细接口!$AF758=0,"",[1]对账明细接口!$AF758),"")</f>
        <v/>
      </c>
    </row>
    <row r="759" ht="14.25" customHeight="1" spans="1:36">
      <c r="A759" s="14">
        <v>759</v>
      </c>
      <c r="B759" s="15" t="str">
        <f>IFERROR(IF([1]对账明细接口!$B$759=0,"",[1]对账明细接口!$B$759),"")</f>
        <v/>
      </c>
      <c r="C759" s="16" t="str">
        <f>IFERROR(IF([1]对账明细接口!$C$759=0,"",[1]对账明细接口!$C$759),"")</f>
        <v/>
      </c>
      <c r="D759" s="16" t="str">
        <f>IFERROR(IF([1]对账明细接口!$D$759=0,"",[1]对账明细接口!$D$759),"")</f>
        <v/>
      </c>
      <c r="E759" s="16" t="str">
        <f>IFERROR(IF([1]对账明细接口!$E$759=0,"",[1]对账明细接口!$E$759),"")</f>
        <v/>
      </c>
      <c r="F759" s="16" t="str">
        <f>IFERROR(IF([1]对账明细接口!$F$759=0,"",[1]对账明细接口!$F$759),"")</f>
        <v/>
      </c>
      <c r="G759" s="16" t="str">
        <f>IFERROR(IF([1]对账明细接口!$G$759=0,"",[1]对账明细接口!$G$759),"")</f>
        <v/>
      </c>
      <c r="H759" s="17" t="str">
        <f>IFERROR(IF([1]对账明细接口!$H$759=0,"",[1]对账明细接口!$H$759),"")</f>
        <v/>
      </c>
      <c r="I759" s="16" t="str">
        <f>IFERROR(IF([1]对账明细接口!$I$759=0,"",[1]对账明细接口!$I$759),"")</f>
        <v/>
      </c>
      <c r="J759" s="18" t="str">
        <f>IFERROR(IF([1]对账明细接口!$J$759=0,"",[1]对账明细接口!$J$759),"")</f>
        <v/>
      </c>
      <c r="K759" s="18" t="str">
        <f>IFERROR(IF([1]对账明细接口!$K$759=0,"",[1]对账明细接口!$K$759),"")</f>
        <v/>
      </c>
      <c r="L759" s="16" t="str">
        <f>IFERROR(IF([1]对账明细接口!$L$759=0,"",[1]对账明细接口!$L$759),"")</f>
        <v/>
      </c>
      <c r="M759" s="16" t="str">
        <f>IFERROR(IF([1]对账明细接口!$M$759=0,"",[1]对账明细接口!$M$759),"")</f>
        <v/>
      </c>
      <c r="N759" s="19">
        <f t="shared" si="22"/>
        <v>0</v>
      </c>
      <c r="O759" s="19">
        <f t="shared" si="23"/>
        <v>420</v>
      </c>
      <c r="S759" s="20" t="str">
        <f>IFERROR(IF([1]对账明细接口!$N759=0,"",[1]对账明细接口!$N759),"")</f>
        <v/>
      </c>
      <c r="T759" s="21" t="str">
        <f>IFERROR(IF([1]对账明细接口!$O759=0,"",[1]对账明细接口!$O759),"")</f>
        <v/>
      </c>
      <c r="U759" s="21" t="str">
        <f>IFERROR(IF([1]对账明细接口!$P759=0,"",[1]对账明细接口!$P759),"")</f>
        <v/>
      </c>
      <c r="V759" s="21" t="str">
        <f>IFERROR(IF([1]对账明细接口!$Q759=0,"",[1]对账明细接口!$Q759),"")</f>
        <v/>
      </c>
      <c r="W759" s="20" t="str">
        <f>IFERROR(IF([1]对账明细接口!$R759=0,"",[1]对账明细接口!$R759),"")</f>
        <v/>
      </c>
      <c r="X759" s="20" t="str">
        <f>IFERROR(IF([1]对账明细接口!$S759=0,"",[1]对账明细接口!$S759),"")</f>
        <v/>
      </c>
      <c r="Y759" s="20" t="str">
        <f>IFERROR(IF([1]对账明细接口!$T759=0,"",[1]对账明细接口!$T759),"")</f>
        <v/>
      </c>
      <c r="Z759" s="24" t="str">
        <f>IFERROR(IF([1]对账明细接口!$U759=0,"",[1]对账明细接口!$U759),"")</f>
        <v/>
      </c>
      <c r="AA759" s="24" t="str">
        <f>IFERROR(IF([1]对账明细接口!$V759=0,"",[1]对账明细接口!$V759),"")</f>
        <v/>
      </c>
      <c r="AB759" s="20" t="str">
        <f>IFERROR(IF([1]对账明细接口!$W759=0,"",[1]对账明细接口!$W759),"")</f>
        <v/>
      </c>
      <c r="AC759" s="7" t="str">
        <f>IFERROR(IF([1]对账明细接口!$X759=0,"",[1]对账明细接口!$X759),"")</f>
        <v/>
      </c>
      <c r="AD759" s="7" t="str">
        <f>IFERROR(IF([1]对账明细接口!$Y759=0,"",[1]对账明细接口!$Y759),"")</f>
        <v/>
      </c>
      <c r="AE759" s="7" t="str">
        <f>IFERROR(IF([1]对账明细接口!$AA759=0,"",[1]对账明细接口!$AA759),"")</f>
        <v/>
      </c>
      <c r="AF759" s="7" t="str">
        <f>IFERROR(IF([1]对账明细接口!$AB759=0,"",[1]对账明细接口!$AB759),"")</f>
        <v/>
      </c>
      <c r="AG759" s="7" t="str">
        <f>IFERROR(IF([1]对账明细接口!$AC759=0,"",[1]对账明细接口!$AC759),"")</f>
        <v/>
      </c>
      <c r="AH759" s="7" t="str">
        <f>IFERROR(IF([1]对账明细接口!$AD759=0,"",[1]对账明细接口!$AD759),"")</f>
        <v/>
      </c>
      <c r="AI759" s="7" t="str">
        <f>IFERROR(IF([1]对账明细接口!$AE759=0,"",[1]对账明细接口!$AE759),"")</f>
        <v/>
      </c>
      <c r="AJ759" s="7" t="str">
        <f>IFERROR(IF([1]对账明细接口!$AF759=0,"",[1]对账明细接口!$AF759),"")</f>
        <v/>
      </c>
    </row>
    <row r="760" ht="14.25" customHeight="1" spans="1:36">
      <c r="A760" s="14">
        <v>760</v>
      </c>
      <c r="B760" s="15" t="str">
        <f>IFERROR(IF([1]对账明细接口!$B$760=0,"",[1]对账明细接口!$B$760),"")</f>
        <v/>
      </c>
      <c r="C760" s="16" t="str">
        <f>IFERROR(IF([1]对账明细接口!$C$760=0,"",[1]对账明细接口!$C$760),"")</f>
        <v/>
      </c>
      <c r="D760" s="16" t="str">
        <f>IFERROR(IF([1]对账明细接口!$D$760=0,"",[1]对账明细接口!$D$760),"")</f>
        <v/>
      </c>
      <c r="E760" s="16" t="str">
        <f>IFERROR(IF([1]对账明细接口!$E$760=0,"",[1]对账明细接口!$E$760),"")</f>
        <v/>
      </c>
      <c r="F760" s="16" t="str">
        <f>IFERROR(IF([1]对账明细接口!$F$760=0,"",[1]对账明细接口!$F$760),"")</f>
        <v/>
      </c>
      <c r="G760" s="16" t="str">
        <f>IFERROR(IF([1]对账明细接口!$G$760=0,"",[1]对账明细接口!$G$760),"")</f>
        <v/>
      </c>
      <c r="H760" s="17" t="str">
        <f>IFERROR(IF([1]对账明细接口!$H$760=0,"",[1]对账明细接口!$H$760),"")</f>
        <v/>
      </c>
      <c r="I760" s="16" t="str">
        <f>IFERROR(IF([1]对账明细接口!$I$760=0,"",[1]对账明细接口!$I$760),"")</f>
        <v/>
      </c>
      <c r="J760" s="18" t="str">
        <f>IFERROR(IF([1]对账明细接口!$J$760=0,"",[1]对账明细接口!$J$760),"")</f>
        <v/>
      </c>
      <c r="K760" s="18" t="str">
        <f>IFERROR(IF([1]对账明细接口!$K$760=0,"",[1]对账明细接口!$K$760),"")</f>
        <v/>
      </c>
      <c r="L760" s="16" t="str">
        <f>IFERROR(IF([1]对账明细接口!$L$760=0,"",[1]对账明细接口!$L$760),"")</f>
        <v/>
      </c>
      <c r="M760" s="16" t="str">
        <f>IFERROR(IF([1]对账明细接口!$M$760=0,"",[1]对账明细接口!$M$760),"")</f>
        <v/>
      </c>
      <c r="N760" s="19">
        <f t="shared" si="22"/>
        <v>0</v>
      </c>
      <c r="O760" s="19">
        <f t="shared" si="23"/>
        <v>420</v>
      </c>
      <c r="S760" s="20" t="str">
        <f>IFERROR(IF([1]对账明细接口!$N760=0,"",[1]对账明细接口!$N760),"")</f>
        <v/>
      </c>
      <c r="T760" s="21" t="str">
        <f>IFERROR(IF([1]对账明细接口!$O760=0,"",[1]对账明细接口!$O760),"")</f>
        <v/>
      </c>
      <c r="U760" s="21" t="str">
        <f>IFERROR(IF([1]对账明细接口!$P760=0,"",[1]对账明细接口!$P760),"")</f>
        <v/>
      </c>
      <c r="V760" s="21" t="str">
        <f>IFERROR(IF([1]对账明细接口!$Q760=0,"",[1]对账明细接口!$Q760),"")</f>
        <v/>
      </c>
      <c r="W760" s="20" t="str">
        <f>IFERROR(IF([1]对账明细接口!$R760=0,"",[1]对账明细接口!$R760),"")</f>
        <v/>
      </c>
      <c r="X760" s="20" t="str">
        <f>IFERROR(IF([1]对账明细接口!$S760=0,"",[1]对账明细接口!$S760),"")</f>
        <v/>
      </c>
      <c r="Y760" s="20" t="str">
        <f>IFERROR(IF([1]对账明细接口!$T760=0,"",[1]对账明细接口!$T760),"")</f>
        <v/>
      </c>
      <c r="Z760" s="24" t="str">
        <f>IFERROR(IF([1]对账明细接口!$U760=0,"",[1]对账明细接口!$U760),"")</f>
        <v/>
      </c>
      <c r="AA760" s="24" t="str">
        <f>IFERROR(IF([1]对账明细接口!$V760=0,"",[1]对账明细接口!$V760),"")</f>
        <v/>
      </c>
      <c r="AB760" s="20" t="str">
        <f>IFERROR(IF([1]对账明细接口!$W760=0,"",[1]对账明细接口!$W760),"")</f>
        <v/>
      </c>
      <c r="AC760" s="7" t="str">
        <f>IFERROR(IF([1]对账明细接口!$X760=0,"",[1]对账明细接口!$X760),"")</f>
        <v/>
      </c>
      <c r="AD760" s="7" t="str">
        <f>IFERROR(IF([1]对账明细接口!$Y760=0,"",[1]对账明细接口!$Y760),"")</f>
        <v/>
      </c>
      <c r="AE760" s="7" t="str">
        <f>IFERROR(IF([1]对账明细接口!$AA760=0,"",[1]对账明细接口!$AA760),"")</f>
        <v/>
      </c>
      <c r="AF760" s="7" t="str">
        <f>IFERROR(IF([1]对账明细接口!$AB760=0,"",[1]对账明细接口!$AB760),"")</f>
        <v/>
      </c>
      <c r="AG760" s="7" t="str">
        <f>IFERROR(IF([1]对账明细接口!$AC760=0,"",[1]对账明细接口!$AC760),"")</f>
        <v/>
      </c>
      <c r="AH760" s="7" t="str">
        <f>IFERROR(IF([1]对账明细接口!$AD760=0,"",[1]对账明细接口!$AD760),"")</f>
        <v/>
      </c>
      <c r="AI760" s="7" t="str">
        <f>IFERROR(IF([1]对账明细接口!$AE760=0,"",[1]对账明细接口!$AE760),"")</f>
        <v/>
      </c>
      <c r="AJ760" s="7" t="str">
        <f>IFERROR(IF([1]对账明细接口!$AF760=0,"",[1]对账明细接口!$AF760),"")</f>
        <v/>
      </c>
    </row>
    <row r="761" ht="14.25" customHeight="1" spans="1:36">
      <c r="A761" s="14">
        <v>761</v>
      </c>
      <c r="B761" s="15" t="str">
        <f>IFERROR(IF([1]对账明细接口!$B$761=0,"",[1]对账明细接口!$B$761),"")</f>
        <v/>
      </c>
      <c r="C761" s="16" t="str">
        <f>IFERROR(IF([1]对账明细接口!$C$761=0,"",[1]对账明细接口!$C$761),"")</f>
        <v/>
      </c>
      <c r="D761" s="16" t="str">
        <f>IFERROR(IF([1]对账明细接口!$D$761=0,"",[1]对账明细接口!$D$761),"")</f>
        <v/>
      </c>
      <c r="E761" s="16" t="str">
        <f>IFERROR(IF([1]对账明细接口!$E$761=0,"",[1]对账明细接口!$E$761),"")</f>
        <v/>
      </c>
      <c r="F761" s="16" t="str">
        <f>IFERROR(IF([1]对账明细接口!$F$761=0,"",[1]对账明细接口!$F$761),"")</f>
        <v/>
      </c>
      <c r="G761" s="16" t="str">
        <f>IFERROR(IF([1]对账明细接口!$G$761=0,"",[1]对账明细接口!$G$761),"")</f>
        <v/>
      </c>
      <c r="H761" s="17" t="str">
        <f>IFERROR(IF([1]对账明细接口!$H$761=0,"",[1]对账明细接口!$H$761),"")</f>
        <v/>
      </c>
      <c r="I761" s="16" t="str">
        <f>IFERROR(IF([1]对账明细接口!$I$761=0,"",[1]对账明细接口!$I$761),"")</f>
        <v/>
      </c>
      <c r="J761" s="18" t="str">
        <f>IFERROR(IF([1]对账明细接口!$J$761=0,"",[1]对账明细接口!$J$761),"")</f>
        <v/>
      </c>
      <c r="K761" s="18" t="str">
        <f>IFERROR(IF([1]对账明细接口!$K$761=0,"",[1]对账明细接口!$K$761),"")</f>
        <v/>
      </c>
      <c r="L761" s="16" t="str">
        <f>IFERROR(IF([1]对账明细接口!$L$761=0,"",[1]对账明细接口!$L$761),"")</f>
        <v/>
      </c>
      <c r="M761" s="16" t="str">
        <f>IFERROR(IF([1]对账明细接口!$M$761=0,"",[1]对账明细接口!$M$761),"")</f>
        <v/>
      </c>
      <c r="N761" s="19">
        <f t="shared" si="22"/>
        <v>0</v>
      </c>
      <c r="O761" s="19">
        <f t="shared" si="23"/>
        <v>420</v>
      </c>
      <c r="S761" s="20" t="str">
        <f>IFERROR(IF([1]对账明细接口!$N761=0,"",[1]对账明细接口!$N761),"")</f>
        <v/>
      </c>
      <c r="T761" s="21" t="str">
        <f>IFERROR(IF([1]对账明细接口!$O761=0,"",[1]对账明细接口!$O761),"")</f>
        <v/>
      </c>
      <c r="U761" s="21" t="str">
        <f>IFERROR(IF([1]对账明细接口!$P761=0,"",[1]对账明细接口!$P761),"")</f>
        <v/>
      </c>
      <c r="V761" s="21" t="str">
        <f>IFERROR(IF([1]对账明细接口!$Q761=0,"",[1]对账明细接口!$Q761),"")</f>
        <v/>
      </c>
      <c r="W761" s="20" t="str">
        <f>IFERROR(IF([1]对账明细接口!$R761=0,"",[1]对账明细接口!$R761),"")</f>
        <v/>
      </c>
      <c r="X761" s="20" t="str">
        <f>IFERROR(IF([1]对账明细接口!$S761=0,"",[1]对账明细接口!$S761),"")</f>
        <v/>
      </c>
      <c r="Y761" s="20" t="str">
        <f>IFERROR(IF([1]对账明细接口!$T761=0,"",[1]对账明细接口!$T761),"")</f>
        <v/>
      </c>
      <c r="Z761" s="24" t="str">
        <f>IFERROR(IF([1]对账明细接口!$U761=0,"",[1]对账明细接口!$U761),"")</f>
        <v/>
      </c>
      <c r="AA761" s="24" t="str">
        <f>IFERROR(IF([1]对账明细接口!$V761=0,"",[1]对账明细接口!$V761),"")</f>
        <v/>
      </c>
      <c r="AB761" s="20" t="str">
        <f>IFERROR(IF([1]对账明细接口!$W761=0,"",[1]对账明细接口!$W761),"")</f>
        <v/>
      </c>
      <c r="AC761" s="7" t="str">
        <f>IFERROR(IF([1]对账明细接口!$X761=0,"",[1]对账明细接口!$X761),"")</f>
        <v/>
      </c>
      <c r="AD761" s="7" t="str">
        <f>IFERROR(IF([1]对账明细接口!$Y761=0,"",[1]对账明细接口!$Y761),"")</f>
        <v/>
      </c>
      <c r="AE761" s="7" t="str">
        <f>IFERROR(IF([1]对账明细接口!$AA761=0,"",[1]对账明细接口!$AA761),"")</f>
        <v/>
      </c>
      <c r="AF761" s="7" t="str">
        <f>IFERROR(IF([1]对账明细接口!$AB761=0,"",[1]对账明细接口!$AB761),"")</f>
        <v/>
      </c>
      <c r="AG761" s="7" t="str">
        <f>IFERROR(IF([1]对账明细接口!$AC761=0,"",[1]对账明细接口!$AC761),"")</f>
        <v/>
      </c>
      <c r="AH761" s="7" t="str">
        <f>IFERROR(IF([1]对账明细接口!$AD761=0,"",[1]对账明细接口!$AD761),"")</f>
        <v/>
      </c>
      <c r="AI761" s="7" t="str">
        <f>IFERROR(IF([1]对账明细接口!$AE761=0,"",[1]对账明细接口!$AE761),"")</f>
        <v/>
      </c>
      <c r="AJ761" s="7" t="str">
        <f>IFERROR(IF([1]对账明细接口!$AF761=0,"",[1]对账明细接口!$AF761),"")</f>
        <v/>
      </c>
    </row>
    <row r="762" ht="14.25" customHeight="1" spans="1:36">
      <c r="A762" s="14">
        <v>762</v>
      </c>
      <c r="B762" s="15" t="str">
        <f>IFERROR(IF([1]对账明细接口!$B$762=0,"",[1]对账明细接口!$B$762),"")</f>
        <v/>
      </c>
      <c r="C762" s="16" t="str">
        <f>IFERROR(IF([1]对账明细接口!$C$762=0,"",[1]对账明细接口!$C$762),"")</f>
        <v/>
      </c>
      <c r="D762" s="16" t="str">
        <f>IFERROR(IF([1]对账明细接口!$D$762=0,"",[1]对账明细接口!$D$762),"")</f>
        <v/>
      </c>
      <c r="E762" s="16" t="str">
        <f>IFERROR(IF([1]对账明细接口!$E$762=0,"",[1]对账明细接口!$E$762),"")</f>
        <v/>
      </c>
      <c r="F762" s="16" t="str">
        <f>IFERROR(IF([1]对账明细接口!$F$762=0,"",[1]对账明细接口!$F$762),"")</f>
        <v/>
      </c>
      <c r="G762" s="16" t="str">
        <f>IFERROR(IF([1]对账明细接口!$G$762=0,"",[1]对账明细接口!$G$762),"")</f>
        <v/>
      </c>
      <c r="H762" s="17" t="str">
        <f>IFERROR(IF([1]对账明细接口!$H$762=0,"",[1]对账明细接口!$H$762),"")</f>
        <v/>
      </c>
      <c r="I762" s="16" t="str">
        <f>IFERROR(IF([1]对账明细接口!$I$762=0,"",[1]对账明细接口!$I$762),"")</f>
        <v/>
      </c>
      <c r="J762" s="18" t="str">
        <f>IFERROR(IF([1]对账明细接口!$J$762=0,"",[1]对账明细接口!$J$762),"")</f>
        <v/>
      </c>
      <c r="K762" s="18" t="str">
        <f>IFERROR(IF([1]对账明细接口!$K$762=0,"",[1]对账明细接口!$K$762),"")</f>
        <v/>
      </c>
      <c r="L762" s="16" t="str">
        <f>IFERROR(IF([1]对账明细接口!$L$762=0,"",[1]对账明细接口!$L$762),"")</f>
        <v/>
      </c>
      <c r="M762" s="16" t="str">
        <f>IFERROR(IF([1]对账明细接口!$M$762=0,"",[1]对账明细接口!$M$762),"")</f>
        <v/>
      </c>
      <c r="N762" s="19">
        <f t="shared" si="22"/>
        <v>0</v>
      </c>
      <c r="O762" s="19">
        <f t="shared" si="23"/>
        <v>420</v>
      </c>
      <c r="S762" s="20" t="str">
        <f>IFERROR(IF([1]对账明细接口!$N762=0,"",[1]对账明细接口!$N762),"")</f>
        <v/>
      </c>
      <c r="T762" s="21" t="str">
        <f>IFERROR(IF([1]对账明细接口!$O762=0,"",[1]对账明细接口!$O762),"")</f>
        <v/>
      </c>
      <c r="U762" s="21" t="str">
        <f>IFERROR(IF([1]对账明细接口!$P762=0,"",[1]对账明细接口!$P762),"")</f>
        <v/>
      </c>
      <c r="V762" s="21" t="str">
        <f>IFERROR(IF([1]对账明细接口!$Q762=0,"",[1]对账明细接口!$Q762),"")</f>
        <v/>
      </c>
      <c r="W762" s="20" t="str">
        <f>IFERROR(IF([1]对账明细接口!$R762=0,"",[1]对账明细接口!$R762),"")</f>
        <v/>
      </c>
      <c r="X762" s="20" t="str">
        <f>IFERROR(IF([1]对账明细接口!$S762=0,"",[1]对账明细接口!$S762),"")</f>
        <v/>
      </c>
      <c r="Y762" s="20" t="str">
        <f>IFERROR(IF([1]对账明细接口!$T762=0,"",[1]对账明细接口!$T762),"")</f>
        <v/>
      </c>
      <c r="Z762" s="24" t="str">
        <f>IFERROR(IF([1]对账明细接口!$U762=0,"",[1]对账明细接口!$U762),"")</f>
        <v/>
      </c>
      <c r="AA762" s="24" t="str">
        <f>IFERROR(IF([1]对账明细接口!$V762=0,"",[1]对账明细接口!$V762),"")</f>
        <v/>
      </c>
      <c r="AB762" s="20" t="str">
        <f>IFERROR(IF([1]对账明细接口!$W762=0,"",[1]对账明细接口!$W762),"")</f>
        <v/>
      </c>
      <c r="AC762" s="7" t="str">
        <f>IFERROR(IF([1]对账明细接口!$X762=0,"",[1]对账明细接口!$X762),"")</f>
        <v/>
      </c>
      <c r="AD762" s="7" t="str">
        <f>IFERROR(IF([1]对账明细接口!$Y762=0,"",[1]对账明细接口!$Y762),"")</f>
        <v/>
      </c>
      <c r="AE762" s="7" t="str">
        <f>IFERROR(IF([1]对账明细接口!$AA762=0,"",[1]对账明细接口!$AA762),"")</f>
        <v/>
      </c>
      <c r="AF762" s="7" t="str">
        <f>IFERROR(IF([1]对账明细接口!$AB762=0,"",[1]对账明细接口!$AB762),"")</f>
        <v/>
      </c>
      <c r="AG762" s="7" t="str">
        <f>IFERROR(IF([1]对账明细接口!$AC762=0,"",[1]对账明细接口!$AC762),"")</f>
        <v/>
      </c>
      <c r="AH762" s="7" t="str">
        <f>IFERROR(IF([1]对账明细接口!$AD762=0,"",[1]对账明细接口!$AD762),"")</f>
        <v/>
      </c>
      <c r="AI762" s="7" t="str">
        <f>IFERROR(IF([1]对账明细接口!$AE762=0,"",[1]对账明细接口!$AE762),"")</f>
        <v/>
      </c>
      <c r="AJ762" s="7" t="str">
        <f>IFERROR(IF([1]对账明细接口!$AF762=0,"",[1]对账明细接口!$AF762),"")</f>
        <v/>
      </c>
    </row>
    <row r="763" ht="14.25" customHeight="1" spans="1:36">
      <c r="A763" s="14">
        <v>763</v>
      </c>
      <c r="B763" s="15" t="str">
        <f>IFERROR(IF([1]对账明细接口!$B$763=0,"",[1]对账明细接口!$B$763),"")</f>
        <v/>
      </c>
      <c r="C763" s="16" t="str">
        <f>IFERROR(IF([1]对账明细接口!$C$763=0,"",[1]对账明细接口!$C$763),"")</f>
        <v/>
      </c>
      <c r="D763" s="16" t="str">
        <f>IFERROR(IF([1]对账明细接口!$D$763=0,"",[1]对账明细接口!$D$763),"")</f>
        <v/>
      </c>
      <c r="E763" s="16" t="str">
        <f>IFERROR(IF([1]对账明细接口!$E$763=0,"",[1]对账明细接口!$E$763),"")</f>
        <v/>
      </c>
      <c r="F763" s="16" t="str">
        <f>IFERROR(IF([1]对账明细接口!$F$763=0,"",[1]对账明细接口!$F$763),"")</f>
        <v/>
      </c>
      <c r="G763" s="16" t="str">
        <f>IFERROR(IF([1]对账明细接口!$G$763=0,"",[1]对账明细接口!$G$763),"")</f>
        <v/>
      </c>
      <c r="H763" s="17" t="str">
        <f>IFERROR(IF([1]对账明细接口!$H$763=0,"",[1]对账明细接口!$H$763),"")</f>
        <v/>
      </c>
      <c r="I763" s="16" t="str">
        <f>IFERROR(IF([1]对账明细接口!$I$763=0,"",[1]对账明细接口!$I$763),"")</f>
        <v/>
      </c>
      <c r="J763" s="18" t="str">
        <f>IFERROR(IF([1]对账明细接口!$J$763=0,"",[1]对账明细接口!$J$763),"")</f>
        <v/>
      </c>
      <c r="K763" s="18" t="str">
        <f>IFERROR(IF([1]对账明细接口!$K$763=0,"",[1]对账明细接口!$K$763),"")</f>
        <v/>
      </c>
      <c r="L763" s="16" t="str">
        <f>IFERROR(IF([1]对账明细接口!$L$763=0,"",[1]对账明细接口!$L$763),"")</f>
        <v/>
      </c>
      <c r="M763" s="16" t="str">
        <f>IFERROR(IF([1]对账明细接口!$M$763=0,"",[1]对账明细接口!$M$763),"")</f>
        <v/>
      </c>
      <c r="N763" s="19">
        <f t="shared" si="22"/>
        <v>0</v>
      </c>
      <c r="O763" s="19">
        <f t="shared" si="23"/>
        <v>420</v>
      </c>
      <c r="S763" s="20" t="str">
        <f>IFERROR(IF([1]对账明细接口!$N763=0,"",[1]对账明细接口!$N763),"")</f>
        <v/>
      </c>
      <c r="T763" s="21" t="str">
        <f>IFERROR(IF([1]对账明细接口!$O763=0,"",[1]对账明细接口!$O763),"")</f>
        <v/>
      </c>
      <c r="U763" s="21" t="str">
        <f>IFERROR(IF([1]对账明细接口!$P763=0,"",[1]对账明细接口!$P763),"")</f>
        <v/>
      </c>
      <c r="V763" s="21" t="str">
        <f>IFERROR(IF([1]对账明细接口!$Q763=0,"",[1]对账明细接口!$Q763),"")</f>
        <v/>
      </c>
      <c r="W763" s="20" t="str">
        <f>IFERROR(IF([1]对账明细接口!$R763=0,"",[1]对账明细接口!$R763),"")</f>
        <v/>
      </c>
      <c r="X763" s="20" t="str">
        <f>IFERROR(IF([1]对账明细接口!$S763=0,"",[1]对账明细接口!$S763),"")</f>
        <v/>
      </c>
      <c r="Y763" s="20" t="str">
        <f>IFERROR(IF([1]对账明细接口!$T763=0,"",[1]对账明细接口!$T763),"")</f>
        <v/>
      </c>
      <c r="Z763" s="24" t="str">
        <f>IFERROR(IF([1]对账明细接口!$U763=0,"",[1]对账明细接口!$U763),"")</f>
        <v/>
      </c>
      <c r="AA763" s="24" t="str">
        <f>IFERROR(IF([1]对账明细接口!$V763=0,"",[1]对账明细接口!$V763),"")</f>
        <v/>
      </c>
      <c r="AB763" s="20" t="str">
        <f>IFERROR(IF([1]对账明细接口!$W763=0,"",[1]对账明细接口!$W763),"")</f>
        <v/>
      </c>
      <c r="AC763" s="7" t="str">
        <f>IFERROR(IF([1]对账明细接口!$X763=0,"",[1]对账明细接口!$X763),"")</f>
        <v/>
      </c>
      <c r="AD763" s="7" t="str">
        <f>IFERROR(IF([1]对账明细接口!$Y763=0,"",[1]对账明细接口!$Y763),"")</f>
        <v/>
      </c>
      <c r="AE763" s="7" t="str">
        <f>IFERROR(IF([1]对账明细接口!$AA763=0,"",[1]对账明细接口!$AA763),"")</f>
        <v/>
      </c>
      <c r="AF763" s="7" t="str">
        <f>IFERROR(IF([1]对账明细接口!$AB763=0,"",[1]对账明细接口!$AB763),"")</f>
        <v/>
      </c>
      <c r="AG763" s="7" t="str">
        <f>IFERROR(IF([1]对账明细接口!$AC763=0,"",[1]对账明细接口!$AC763),"")</f>
        <v/>
      </c>
      <c r="AH763" s="7" t="str">
        <f>IFERROR(IF([1]对账明细接口!$AD763=0,"",[1]对账明细接口!$AD763),"")</f>
        <v/>
      </c>
      <c r="AI763" s="7" t="str">
        <f>IFERROR(IF([1]对账明细接口!$AE763=0,"",[1]对账明细接口!$AE763),"")</f>
        <v/>
      </c>
      <c r="AJ763" s="7" t="str">
        <f>IFERROR(IF([1]对账明细接口!$AF763=0,"",[1]对账明细接口!$AF763),"")</f>
        <v/>
      </c>
    </row>
    <row r="764" ht="14.25" customHeight="1" spans="1:36">
      <c r="A764" s="14">
        <v>764</v>
      </c>
      <c r="B764" s="15" t="str">
        <f>IFERROR(IF([1]对账明细接口!$B$764=0,"",[1]对账明细接口!$B$764),"")</f>
        <v/>
      </c>
      <c r="C764" s="16" t="str">
        <f>IFERROR(IF([1]对账明细接口!$C$764=0,"",[1]对账明细接口!$C$764),"")</f>
        <v/>
      </c>
      <c r="D764" s="16" t="str">
        <f>IFERROR(IF([1]对账明细接口!$D$764=0,"",[1]对账明细接口!$D$764),"")</f>
        <v/>
      </c>
      <c r="E764" s="16" t="str">
        <f>IFERROR(IF([1]对账明细接口!$E$764=0,"",[1]对账明细接口!$E$764),"")</f>
        <v/>
      </c>
      <c r="F764" s="16" t="str">
        <f>IFERROR(IF([1]对账明细接口!$F$764=0,"",[1]对账明细接口!$F$764),"")</f>
        <v/>
      </c>
      <c r="G764" s="16" t="str">
        <f>IFERROR(IF([1]对账明细接口!$G$764=0,"",[1]对账明细接口!$G$764),"")</f>
        <v/>
      </c>
      <c r="H764" s="17" t="str">
        <f>IFERROR(IF([1]对账明细接口!$H$764=0,"",[1]对账明细接口!$H$764),"")</f>
        <v/>
      </c>
      <c r="I764" s="16" t="str">
        <f>IFERROR(IF([1]对账明细接口!$I$764=0,"",[1]对账明细接口!$I$764),"")</f>
        <v/>
      </c>
      <c r="J764" s="18" t="str">
        <f>IFERROR(IF([1]对账明细接口!$J$764=0,"",[1]对账明细接口!$J$764),"")</f>
        <v/>
      </c>
      <c r="K764" s="18" t="str">
        <f>IFERROR(IF([1]对账明细接口!$K$764=0,"",[1]对账明细接口!$K$764),"")</f>
        <v/>
      </c>
      <c r="L764" s="16" t="str">
        <f>IFERROR(IF([1]对账明细接口!$L$764=0,"",[1]对账明细接口!$L$764),"")</f>
        <v/>
      </c>
      <c r="M764" s="16" t="str">
        <f>IFERROR(IF([1]对账明细接口!$M$764=0,"",[1]对账明细接口!$M$764),"")</f>
        <v/>
      </c>
      <c r="N764" s="19">
        <f t="shared" si="22"/>
        <v>0</v>
      </c>
      <c r="O764" s="19">
        <f t="shared" si="23"/>
        <v>420</v>
      </c>
      <c r="S764" s="20" t="str">
        <f>IFERROR(IF([1]对账明细接口!$N764=0,"",[1]对账明细接口!$N764),"")</f>
        <v/>
      </c>
      <c r="T764" s="21" t="str">
        <f>IFERROR(IF([1]对账明细接口!$O764=0,"",[1]对账明细接口!$O764),"")</f>
        <v/>
      </c>
      <c r="U764" s="21" t="str">
        <f>IFERROR(IF([1]对账明细接口!$P764=0,"",[1]对账明细接口!$P764),"")</f>
        <v/>
      </c>
      <c r="V764" s="21" t="str">
        <f>IFERROR(IF([1]对账明细接口!$Q764=0,"",[1]对账明细接口!$Q764),"")</f>
        <v/>
      </c>
      <c r="W764" s="20" t="str">
        <f>IFERROR(IF([1]对账明细接口!$R764=0,"",[1]对账明细接口!$R764),"")</f>
        <v/>
      </c>
      <c r="X764" s="20" t="str">
        <f>IFERROR(IF([1]对账明细接口!$S764=0,"",[1]对账明细接口!$S764),"")</f>
        <v/>
      </c>
      <c r="Y764" s="20" t="str">
        <f>IFERROR(IF([1]对账明细接口!$T764=0,"",[1]对账明细接口!$T764),"")</f>
        <v/>
      </c>
      <c r="Z764" s="24" t="str">
        <f>IFERROR(IF([1]对账明细接口!$U764=0,"",[1]对账明细接口!$U764),"")</f>
        <v/>
      </c>
      <c r="AA764" s="24" t="str">
        <f>IFERROR(IF([1]对账明细接口!$V764=0,"",[1]对账明细接口!$V764),"")</f>
        <v/>
      </c>
      <c r="AB764" s="20" t="str">
        <f>IFERROR(IF([1]对账明细接口!$W764=0,"",[1]对账明细接口!$W764),"")</f>
        <v/>
      </c>
      <c r="AC764" s="7" t="str">
        <f>IFERROR(IF([1]对账明细接口!$X764=0,"",[1]对账明细接口!$X764),"")</f>
        <v/>
      </c>
      <c r="AD764" s="7" t="str">
        <f>IFERROR(IF([1]对账明细接口!$Y764=0,"",[1]对账明细接口!$Y764),"")</f>
        <v/>
      </c>
      <c r="AE764" s="7" t="str">
        <f>IFERROR(IF([1]对账明细接口!$AA764=0,"",[1]对账明细接口!$AA764),"")</f>
        <v/>
      </c>
      <c r="AF764" s="7" t="str">
        <f>IFERROR(IF([1]对账明细接口!$AB764=0,"",[1]对账明细接口!$AB764),"")</f>
        <v/>
      </c>
      <c r="AG764" s="7" t="str">
        <f>IFERROR(IF([1]对账明细接口!$AC764=0,"",[1]对账明细接口!$AC764),"")</f>
        <v/>
      </c>
      <c r="AH764" s="7" t="str">
        <f>IFERROR(IF([1]对账明细接口!$AD764=0,"",[1]对账明细接口!$AD764),"")</f>
        <v/>
      </c>
      <c r="AI764" s="7" t="str">
        <f>IFERROR(IF([1]对账明细接口!$AE764=0,"",[1]对账明细接口!$AE764),"")</f>
        <v/>
      </c>
      <c r="AJ764" s="7" t="str">
        <f>IFERROR(IF([1]对账明细接口!$AF764=0,"",[1]对账明细接口!$AF764),"")</f>
        <v/>
      </c>
    </row>
    <row r="765" ht="14.25" customHeight="1" spans="1:36">
      <c r="A765" s="14">
        <v>765</v>
      </c>
      <c r="B765" s="15" t="str">
        <f>IFERROR(IF([1]对账明细接口!$B$765=0,"",[1]对账明细接口!$B$765),"")</f>
        <v/>
      </c>
      <c r="C765" s="16" t="str">
        <f>IFERROR(IF([1]对账明细接口!$C$765=0,"",[1]对账明细接口!$C$765),"")</f>
        <v/>
      </c>
      <c r="D765" s="16" t="str">
        <f>IFERROR(IF([1]对账明细接口!$D$765=0,"",[1]对账明细接口!$D$765),"")</f>
        <v/>
      </c>
      <c r="E765" s="16" t="str">
        <f>IFERROR(IF([1]对账明细接口!$E$765=0,"",[1]对账明细接口!$E$765),"")</f>
        <v/>
      </c>
      <c r="F765" s="16" t="str">
        <f>IFERROR(IF([1]对账明细接口!$F$765=0,"",[1]对账明细接口!$F$765),"")</f>
        <v/>
      </c>
      <c r="G765" s="16" t="str">
        <f>IFERROR(IF([1]对账明细接口!$G$765=0,"",[1]对账明细接口!$G$765),"")</f>
        <v/>
      </c>
      <c r="H765" s="17" t="str">
        <f>IFERROR(IF([1]对账明细接口!$H$765=0,"",[1]对账明细接口!$H$765),"")</f>
        <v/>
      </c>
      <c r="I765" s="16" t="str">
        <f>IFERROR(IF([1]对账明细接口!$I$765=0,"",[1]对账明细接口!$I$765),"")</f>
        <v/>
      </c>
      <c r="J765" s="18" t="str">
        <f>IFERROR(IF([1]对账明细接口!$J$765=0,"",[1]对账明细接口!$J$765),"")</f>
        <v/>
      </c>
      <c r="K765" s="18" t="str">
        <f>IFERROR(IF([1]对账明细接口!$K$765=0,"",[1]对账明细接口!$K$765),"")</f>
        <v/>
      </c>
      <c r="L765" s="16" t="str">
        <f>IFERROR(IF([1]对账明细接口!$L$765=0,"",[1]对账明细接口!$L$765),"")</f>
        <v/>
      </c>
      <c r="M765" s="16" t="str">
        <f>IFERROR(IF([1]对账明细接口!$M$765=0,"",[1]对账明细接口!$M$765),"")</f>
        <v/>
      </c>
      <c r="N765" s="19">
        <f t="shared" si="22"/>
        <v>0</v>
      </c>
      <c r="O765" s="19">
        <f t="shared" si="23"/>
        <v>420</v>
      </c>
      <c r="S765" s="20" t="str">
        <f>IFERROR(IF([1]对账明细接口!$N765=0,"",[1]对账明细接口!$N765),"")</f>
        <v/>
      </c>
      <c r="T765" s="21" t="str">
        <f>IFERROR(IF([1]对账明细接口!$O765=0,"",[1]对账明细接口!$O765),"")</f>
        <v/>
      </c>
      <c r="U765" s="21" t="str">
        <f>IFERROR(IF([1]对账明细接口!$P765=0,"",[1]对账明细接口!$P765),"")</f>
        <v/>
      </c>
      <c r="V765" s="21" t="str">
        <f>IFERROR(IF([1]对账明细接口!$Q765=0,"",[1]对账明细接口!$Q765),"")</f>
        <v/>
      </c>
      <c r="W765" s="20" t="str">
        <f>IFERROR(IF([1]对账明细接口!$R765=0,"",[1]对账明细接口!$R765),"")</f>
        <v/>
      </c>
      <c r="X765" s="20" t="str">
        <f>IFERROR(IF([1]对账明细接口!$S765=0,"",[1]对账明细接口!$S765),"")</f>
        <v/>
      </c>
      <c r="Y765" s="20" t="str">
        <f>IFERROR(IF([1]对账明细接口!$T765=0,"",[1]对账明细接口!$T765),"")</f>
        <v/>
      </c>
      <c r="Z765" s="24" t="str">
        <f>IFERROR(IF([1]对账明细接口!$U765=0,"",[1]对账明细接口!$U765),"")</f>
        <v/>
      </c>
      <c r="AA765" s="24" t="str">
        <f>IFERROR(IF([1]对账明细接口!$V765=0,"",[1]对账明细接口!$V765),"")</f>
        <v/>
      </c>
      <c r="AB765" s="20" t="str">
        <f>IFERROR(IF([1]对账明细接口!$W765=0,"",[1]对账明细接口!$W765),"")</f>
        <v/>
      </c>
      <c r="AC765" s="7" t="str">
        <f>IFERROR(IF([1]对账明细接口!$X765=0,"",[1]对账明细接口!$X765),"")</f>
        <v/>
      </c>
      <c r="AD765" s="7" t="str">
        <f>IFERROR(IF([1]对账明细接口!$Y765=0,"",[1]对账明细接口!$Y765),"")</f>
        <v/>
      </c>
      <c r="AE765" s="7" t="str">
        <f>IFERROR(IF([1]对账明细接口!$AA765=0,"",[1]对账明细接口!$AA765),"")</f>
        <v/>
      </c>
      <c r="AF765" s="7" t="str">
        <f>IFERROR(IF([1]对账明细接口!$AB765=0,"",[1]对账明细接口!$AB765),"")</f>
        <v/>
      </c>
      <c r="AG765" s="7" t="str">
        <f>IFERROR(IF([1]对账明细接口!$AC765=0,"",[1]对账明细接口!$AC765),"")</f>
        <v/>
      </c>
      <c r="AH765" s="7" t="str">
        <f>IFERROR(IF([1]对账明细接口!$AD765=0,"",[1]对账明细接口!$AD765),"")</f>
        <v/>
      </c>
      <c r="AI765" s="7" t="str">
        <f>IFERROR(IF([1]对账明细接口!$AE765=0,"",[1]对账明细接口!$AE765),"")</f>
        <v/>
      </c>
      <c r="AJ765" s="7" t="str">
        <f>IFERROR(IF([1]对账明细接口!$AF765=0,"",[1]对账明细接口!$AF765),"")</f>
        <v/>
      </c>
    </row>
    <row r="766" ht="14.25" customHeight="1" spans="1:36">
      <c r="A766" s="14">
        <v>766</v>
      </c>
      <c r="B766" s="15" t="str">
        <f>IFERROR(IF([1]对账明细接口!$B$766=0,"",[1]对账明细接口!$B$766),"")</f>
        <v/>
      </c>
      <c r="C766" s="16" t="str">
        <f>IFERROR(IF([1]对账明细接口!$C$766=0,"",[1]对账明细接口!$C$766),"")</f>
        <v/>
      </c>
      <c r="D766" s="16" t="str">
        <f>IFERROR(IF([1]对账明细接口!$D$766=0,"",[1]对账明细接口!$D$766),"")</f>
        <v/>
      </c>
      <c r="E766" s="16" t="str">
        <f>IFERROR(IF([1]对账明细接口!$E$766=0,"",[1]对账明细接口!$E$766),"")</f>
        <v/>
      </c>
      <c r="F766" s="16" t="str">
        <f>IFERROR(IF([1]对账明细接口!$F$766=0,"",[1]对账明细接口!$F$766),"")</f>
        <v/>
      </c>
      <c r="G766" s="16" t="str">
        <f>IFERROR(IF([1]对账明细接口!$G$766=0,"",[1]对账明细接口!$G$766),"")</f>
        <v/>
      </c>
      <c r="H766" s="17" t="str">
        <f>IFERROR(IF([1]对账明细接口!$H$766=0,"",[1]对账明细接口!$H$766),"")</f>
        <v/>
      </c>
      <c r="I766" s="16" t="str">
        <f>IFERROR(IF([1]对账明细接口!$I$766=0,"",[1]对账明细接口!$I$766),"")</f>
        <v/>
      </c>
      <c r="J766" s="18" t="str">
        <f>IFERROR(IF([1]对账明细接口!$J$766=0,"",[1]对账明细接口!$J$766),"")</f>
        <v/>
      </c>
      <c r="K766" s="18" t="str">
        <f>IFERROR(IF([1]对账明细接口!$K$766=0,"",[1]对账明细接口!$K$766),"")</f>
        <v/>
      </c>
      <c r="L766" s="16" t="str">
        <f>IFERROR(IF([1]对账明细接口!$L$766=0,"",[1]对账明细接口!$L$766),"")</f>
        <v/>
      </c>
      <c r="M766" s="16" t="str">
        <f>IFERROR(IF([1]对账明细接口!$M$766=0,"",[1]对账明细接口!$M$766),"")</f>
        <v/>
      </c>
      <c r="N766" s="19">
        <f t="shared" si="22"/>
        <v>0</v>
      </c>
      <c r="O766" s="19">
        <f t="shared" si="23"/>
        <v>420</v>
      </c>
      <c r="S766" s="20" t="str">
        <f>IFERROR(IF([1]对账明细接口!$N766=0,"",[1]对账明细接口!$N766),"")</f>
        <v/>
      </c>
      <c r="T766" s="21" t="str">
        <f>IFERROR(IF([1]对账明细接口!$O766=0,"",[1]对账明细接口!$O766),"")</f>
        <v/>
      </c>
      <c r="U766" s="21" t="str">
        <f>IFERROR(IF([1]对账明细接口!$P766=0,"",[1]对账明细接口!$P766),"")</f>
        <v/>
      </c>
      <c r="V766" s="21" t="str">
        <f>IFERROR(IF([1]对账明细接口!$Q766=0,"",[1]对账明细接口!$Q766),"")</f>
        <v/>
      </c>
      <c r="W766" s="20" t="str">
        <f>IFERROR(IF([1]对账明细接口!$R766=0,"",[1]对账明细接口!$R766),"")</f>
        <v/>
      </c>
      <c r="X766" s="20" t="str">
        <f>IFERROR(IF([1]对账明细接口!$S766=0,"",[1]对账明细接口!$S766),"")</f>
        <v/>
      </c>
      <c r="Y766" s="20" t="str">
        <f>IFERROR(IF([1]对账明细接口!$T766=0,"",[1]对账明细接口!$T766),"")</f>
        <v/>
      </c>
      <c r="Z766" s="24" t="str">
        <f>IFERROR(IF([1]对账明细接口!$U766=0,"",[1]对账明细接口!$U766),"")</f>
        <v/>
      </c>
      <c r="AA766" s="24" t="str">
        <f>IFERROR(IF([1]对账明细接口!$V766=0,"",[1]对账明细接口!$V766),"")</f>
        <v/>
      </c>
      <c r="AB766" s="20" t="str">
        <f>IFERROR(IF([1]对账明细接口!$W766=0,"",[1]对账明细接口!$W766),"")</f>
        <v/>
      </c>
      <c r="AC766" s="7" t="str">
        <f>IFERROR(IF([1]对账明细接口!$X766=0,"",[1]对账明细接口!$X766),"")</f>
        <v/>
      </c>
      <c r="AD766" s="7" t="str">
        <f>IFERROR(IF([1]对账明细接口!$Y766=0,"",[1]对账明细接口!$Y766),"")</f>
        <v/>
      </c>
      <c r="AE766" s="7" t="str">
        <f>IFERROR(IF([1]对账明细接口!$AA766=0,"",[1]对账明细接口!$AA766),"")</f>
        <v/>
      </c>
      <c r="AF766" s="7" t="str">
        <f>IFERROR(IF([1]对账明细接口!$AB766=0,"",[1]对账明细接口!$AB766),"")</f>
        <v/>
      </c>
      <c r="AG766" s="7" t="str">
        <f>IFERROR(IF([1]对账明细接口!$AC766=0,"",[1]对账明细接口!$AC766),"")</f>
        <v/>
      </c>
      <c r="AH766" s="7" t="str">
        <f>IFERROR(IF([1]对账明细接口!$AD766=0,"",[1]对账明细接口!$AD766),"")</f>
        <v/>
      </c>
      <c r="AI766" s="7" t="str">
        <f>IFERROR(IF([1]对账明细接口!$AE766=0,"",[1]对账明细接口!$AE766),"")</f>
        <v/>
      </c>
      <c r="AJ766" s="7" t="str">
        <f>IFERROR(IF([1]对账明细接口!$AF766=0,"",[1]对账明细接口!$AF766),"")</f>
        <v/>
      </c>
    </row>
    <row r="767" ht="14.25" customHeight="1" spans="1:36">
      <c r="A767" s="14">
        <v>767</v>
      </c>
      <c r="B767" s="15" t="str">
        <f>IFERROR(IF([1]对账明细接口!$B$767=0,"",[1]对账明细接口!$B$767),"")</f>
        <v/>
      </c>
      <c r="C767" s="16" t="str">
        <f>IFERROR(IF([1]对账明细接口!$C$767=0,"",[1]对账明细接口!$C$767),"")</f>
        <v/>
      </c>
      <c r="D767" s="16" t="str">
        <f>IFERROR(IF([1]对账明细接口!$D$767=0,"",[1]对账明细接口!$D$767),"")</f>
        <v/>
      </c>
      <c r="E767" s="16" t="str">
        <f>IFERROR(IF([1]对账明细接口!$E$767=0,"",[1]对账明细接口!$E$767),"")</f>
        <v/>
      </c>
      <c r="F767" s="16" t="str">
        <f>IFERROR(IF([1]对账明细接口!$F$767=0,"",[1]对账明细接口!$F$767),"")</f>
        <v/>
      </c>
      <c r="G767" s="16" t="str">
        <f>IFERROR(IF([1]对账明细接口!$G$767=0,"",[1]对账明细接口!$G$767),"")</f>
        <v/>
      </c>
      <c r="H767" s="17" t="str">
        <f>IFERROR(IF([1]对账明细接口!$H$767=0,"",[1]对账明细接口!$H$767),"")</f>
        <v/>
      </c>
      <c r="I767" s="16" t="str">
        <f>IFERROR(IF([1]对账明细接口!$I$767=0,"",[1]对账明细接口!$I$767),"")</f>
        <v/>
      </c>
      <c r="J767" s="18" t="str">
        <f>IFERROR(IF([1]对账明细接口!$J$767=0,"",[1]对账明细接口!$J$767),"")</f>
        <v/>
      </c>
      <c r="K767" s="18" t="str">
        <f>IFERROR(IF([1]对账明细接口!$K$767=0,"",[1]对账明细接口!$K$767),"")</f>
        <v/>
      </c>
      <c r="L767" s="16" t="str">
        <f>IFERROR(IF([1]对账明细接口!$L$767=0,"",[1]对账明细接口!$L$767),"")</f>
        <v/>
      </c>
      <c r="M767" s="16" t="str">
        <f>IFERROR(IF([1]对账明细接口!$M$767=0,"",[1]对账明细接口!$M$767),"")</f>
        <v/>
      </c>
      <c r="N767" s="19">
        <f t="shared" si="22"/>
        <v>0</v>
      </c>
      <c r="O767" s="19">
        <f t="shared" si="23"/>
        <v>420</v>
      </c>
      <c r="S767" s="20" t="str">
        <f>IFERROR(IF([1]对账明细接口!$N767=0,"",[1]对账明细接口!$N767),"")</f>
        <v/>
      </c>
      <c r="T767" s="21" t="str">
        <f>IFERROR(IF([1]对账明细接口!$O767=0,"",[1]对账明细接口!$O767),"")</f>
        <v/>
      </c>
      <c r="U767" s="21" t="str">
        <f>IFERROR(IF([1]对账明细接口!$P767=0,"",[1]对账明细接口!$P767),"")</f>
        <v/>
      </c>
      <c r="V767" s="21" t="str">
        <f>IFERROR(IF([1]对账明细接口!$Q767=0,"",[1]对账明细接口!$Q767),"")</f>
        <v/>
      </c>
      <c r="W767" s="20" t="str">
        <f>IFERROR(IF([1]对账明细接口!$R767=0,"",[1]对账明细接口!$R767),"")</f>
        <v/>
      </c>
      <c r="X767" s="20" t="str">
        <f>IFERROR(IF([1]对账明细接口!$S767=0,"",[1]对账明细接口!$S767),"")</f>
        <v/>
      </c>
      <c r="Y767" s="20" t="str">
        <f>IFERROR(IF([1]对账明细接口!$T767=0,"",[1]对账明细接口!$T767),"")</f>
        <v/>
      </c>
      <c r="Z767" s="24" t="str">
        <f>IFERROR(IF([1]对账明细接口!$U767=0,"",[1]对账明细接口!$U767),"")</f>
        <v/>
      </c>
      <c r="AA767" s="24" t="str">
        <f>IFERROR(IF([1]对账明细接口!$V767=0,"",[1]对账明细接口!$V767),"")</f>
        <v/>
      </c>
      <c r="AB767" s="20" t="str">
        <f>IFERROR(IF([1]对账明细接口!$W767=0,"",[1]对账明细接口!$W767),"")</f>
        <v/>
      </c>
      <c r="AC767" s="7" t="str">
        <f>IFERROR(IF([1]对账明细接口!$X767=0,"",[1]对账明细接口!$X767),"")</f>
        <v/>
      </c>
      <c r="AD767" s="7" t="str">
        <f>IFERROR(IF([1]对账明细接口!$Y767=0,"",[1]对账明细接口!$Y767),"")</f>
        <v/>
      </c>
      <c r="AE767" s="7" t="str">
        <f>IFERROR(IF([1]对账明细接口!$AA767=0,"",[1]对账明细接口!$AA767),"")</f>
        <v/>
      </c>
      <c r="AF767" s="7" t="str">
        <f>IFERROR(IF([1]对账明细接口!$AB767=0,"",[1]对账明细接口!$AB767),"")</f>
        <v/>
      </c>
      <c r="AG767" s="7" t="str">
        <f>IFERROR(IF([1]对账明细接口!$AC767=0,"",[1]对账明细接口!$AC767),"")</f>
        <v/>
      </c>
      <c r="AH767" s="7" t="str">
        <f>IFERROR(IF([1]对账明细接口!$AD767=0,"",[1]对账明细接口!$AD767),"")</f>
        <v/>
      </c>
      <c r="AI767" s="7" t="str">
        <f>IFERROR(IF([1]对账明细接口!$AE767=0,"",[1]对账明细接口!$AE767),"")</f>
        <v/>
      </c>
      <c r="AJ767" s="7" t="str">
        <f>IFERROR(IF([1]对账明细接口!$AF767=0,"",[1]对账明细接口!$AF767),"")</f>
        <v/>
      </c>
    </row>
    <row r="768" ht="14.25" customHeight="1" spans="1:36">
      <c r="A768" s="14">
        <v>768</v>
      </c>
      <c r="B768" s="15" t="str">
        <f>IFERROR(IF([1]对账明细接口!$B$768=0,"",[1]对账明细接口!$B$768),"")</f>
        <v/>
      </c>
      <c r="C768" s="16" t="str">
        <f>IFERROR(IF([1]对账明细接口!$C$768=0,"",[1]对账明细接口!$C$768),"")</f>
        <v/>
      </c>
      <c r="D768" s="16" t="str">
        <f>IFERROR(IF([1]对账明细接口!$D$768=0,"",[1]对账明细接口!$D$768),"")</f>
        <v/>
      </c>
      <c r="E768" s="16" t="str">
        <f>IFERROR(IF([1]对账明细接口!$E$768=0,"",[1]对账明细接口!$E$768),"")</f>
        <v/>
      </c>
      <c r="F768" s="16" t="str">
        <f>IFERROR(IF([1]对账明细接口!$F$768=0,"",[1]对账明细接口!$F$768),"")</f>
        <v/>
      </c>
      <c r="G768" s="16" t="str">
        <f>IFERROR(IF([1]对账明细接口!$G$768=0,"",[1]对账明细接口!$G$768),"")</f>
        <v/>
      </c>
      <c r="H768" s="17" t="str">
        <f>IFERROR(IF([1]对账明细接口!$H$768=0,"",[1]对账明细接口!$H$768),"")</f>
        <v/>
      </c>
      <c r="I768" s="16" t="str">
        <f>IFERROR(IF([1]对账明细接口!$I$768=0,"",[1]对账明细接口!$I$768),"")</f>
        <v/>
      </c>
      <c r="J768" s="18" t="str">
        <f>IFERROR(IF([1]对账明细接口!$J$768=0,"",[1]对账明细接口!$J$768),"")</f>
        <v/>
      </c>
      <c r="K768" s="18" t="str">
        <f>IFERROR(IF([1]对账明细接口!$K$768=0,"",[1]对账明细接口!$K$768),"")</f>
        <v/>
      </c>
      <c r="L768" s="16" t="str">
        <f>IFERROR(IF([1]对账明细接口!$L$768=0,"",[1]对账明细接口!$L$768),"")</f>
        <v/>
      </c>
      <c r="M768" s="16" t="str">
        <f>IFERROR(IF([1]对账明细接口!$M$768=0,"",[1]对账明细接口!$M$768),"")</f>
        <v/>
      </c>
      <c r="N768" s="19">
        <f t="shared" si="22"/>
        <v>0</v>
      </c>
      <c r="O768" s="19">
        <f t="shared" si="23"/>
        <v>420</v>
      </c>
      <c r="S768" s="20" t="str">
        <f>IFERROR(IF([1]对账明细接口!$N768=0,"",[1]对账明细接口!$N768),"")</f>
        <v/>
      </c>
      <c r="T768" s="21" t="str">
        <f>IFERROR(IF([1]对账明细接口!$O768=0,"",[1]对账明细接口!$O768),"")</f>
        <v/>
      </c>
      <c r="U768" s="21" t="str">
        <f>IFERROR(IF([1]对账明细接口!$P768=0,"",[1]对账明细接口!$P768),"")</f>
        <v/>
      </c>
      <c r="V768" s="21" t="str">
        <f>IFERROR(IF([1]对账明细接口!$Q768=0,"",[1]对账明细接口!$Q768),"")</f>
        <v/>
      </c>
      <c r="W768" s="20" t="str">
        <f>IFERROR(IF([1]对账明细接口!$R768=0,"",[1]对账明细接口!$R768),"")</f>
        <v/>
      </c>
      <c r="X768" s="20" t="str">
        <f>IFERROR(IF([1]对账明细接口!$S768=0,"",[1]对账明细接口!$S768),"")</f>
        <v/>
      </c>
      <c r="Y768" s="20" t="str">
        <f>IFERROR(IF([1]对账明细接口!$T768=0,"",[1]对账明细接口!$T768),"")</f>
        <v/>
      </c>
      <c r="Z768" s="24" t="str">
        <f>IFERROR(IF([1]对账明细接口!$U768=0,"",[1]对账明细接口!$U768),"")</f>
        <v/>
      </c>
      <c r="AA768" s="24" t="str">
        <f>IFERROR(IF([1]对账明细接口!$V768=0,"",[1]对账明细接口!$V768),"")</f>
        <v/>
      </c>
      <c r="AB768" s="20" t="str">
        <f>IFERROR(IF([1]对账明细接口!$W768=0,"",[1]对账明细接口!$W768),"")</f>
        <v/>
      </c>
      <c r="AC768" s="7" t="str">
        <f>IFERROR(IF([1]对账明细接口!$X768=0,"",[1]对账明细接口!$X768),"")</f>
        <v/>
      </c>
      <c r="AD768" s="7" t="str">
        <f>IFERROR(IF([1]对账明细接口!$Y768=0,"",[1]对账明细接口!$Y768),"")</f>
        <v/>
      </c>
      <c r="AE768" s="7" t="str">
        <f>IFERROR(IF([1]对账明细接口!$AA768=0,"",[1]对账明细接口!$AA768),"")</f>
        <v/>
      </c>
      <c r="AF768" s="7" t="str">
        <f>IFERROR(IF([1]对账明细接口!$AB768=0,"",[1]对账明细接口!$AB768),"")</f>
        <v/>
      </c>
      <c r="AG768" s="7" t="str">
        <f>IFERROR(IF([1]对账明细接口!$AC768=0,"",[1]对账明细接口!$AC768),"")</f>
        <v/>
      </c>
      <c r="AH768" s="7" t="str">
        <f>IFERROR(IF([1]对账明细接口!$AD768=0,"",[1]对账明细接口!$AD768),"")</f>
        <v/>
      </c>
      <c r="AI768" s="7" t="str">
        <f>IFERROR(IF([1]对账明细接口!$AE768=0,"",[1]对账明细接口!$AE768),"")</f>
        <v/>
      </c>
      <c r="AJ768" s="7" t="str">
        <f>IFERROR(IF([1]对账明细接口!$AF768=0,"",[1]对账明细接口!$AF768),"")</f>
        <v/>
      </c>
    </row>
    <row r="769" ht="14.25" customHeight="1" spans="1:36">
      <c r="A769" s="14">
        <v>769</v>
      </c>
      <c r="B769" s="15" t="str">
        <f>IFERROR(IF([1]对账明细接口!$B$769=0,"",[1]对账明细接口!$B$769),"")</f>
        <v/>
      </c>
      <c r="C769" s="16" t="str">
        <f>IFERROR(IF([1]对账明细接口!$C$769=0,"",[1]对账明细接口!$C$769),"")</f>
        <v/>
      </c>
      <c r="D769" s="16" t="str">
        <f>IFERROR(IF([1]对账明细接口!$D$769=0,"",[1]对账明细接口!$D$769),"")</f>
        <v/>
      </c>
      <c r="E769" s="16" t="str">
        <f>IFERROR(IF([1]对账明细接口!$E$769=0,"",[1]对账明细接口!$E$769),"")</f>
        <v/>
      </c>
      <c r="F769" s="16" t="str">
        <f>IFERROR(IF([1]对账明细接口!$F$769=0,"",[1]对账明细接口!$F$769),"")</f>
        <v/>
      </c>
      <c r="G769" s="16" t="str">
        <f>IFERROR(IF([1]对账明细接口!$G$769=0,"",[1]对账明细接口!$G$769),"")</f>
        <v/>
      </c>
      <c r="H769" s="17" t="str">
        <f>IFERROR(IF([1]对账明细接口!$H$769=0,"",[1]对账明细接口!$H$769),"")</f>
        <v/>
      </c>
      <c r="I769" s="16" t="str">
        <f>IFERROR(IF([1]对账明细接口!$I$769=0,"",[1]对账明细接口!$I$769),"")</f>
        <v/>
      </c>
      <c r="J769" s="18" t="str">
        <f>IFERROR(IF([1]对账明细接口!$J$769=0,"",[1]对账明细接口!$J$769),"")</f>
        <v/>
      </c>
      <c r="K769" s="18" t="str">
        <f>IFERROR(IF([1]对账明细接口!$K$769=0,"",[1]对账明细接口!$K$769),"")</f>
        <v/>
      </c>
      <c r="L769" s="16" t="str">
        <f>IFERROR(IF([1]对账明细接口!$L$769=0,"",[1]对账明细接口!$L$769),"")</f>
        <v/>
      </c>
      <c r="M769" s="16" t="str">
        <f>IFERROR(IF([1]对账明细接口!$M$769=0,"",[1]对账明细接口!$M$769),"")</f>
        <v/>
      </c>
      <c r="N769" s="19">
        <f t="shared" si="22"/>
        <v>0</v>
      </c>
      <c r="O769" s="19">
        <f t="shared" si="23"/>
        <v>420</v>
      </c>
      <c r="S769" s="20" t="str">
        <f>IFERROR(IF([1]对账明细接口!$N769=0,"",[1]对账明细接口!$N769),"")</f>
        <v/>
      </c>
      <c r="T769" s="21" t="str">
        <f>IFERROR(IF([1]对账明细接口!$O769=0,"",[1]对账明细接口!$O769),"")</f>
        <v/>
      </c>
      <c r="U769" s="21" t="str">
        <f>IFERROR(IF([1]对账明细接口!$P769=0,"",[1]对账明细接口!$P769),"")</f>
        <v/>
      </c>
      <c r="V769" s="21" t="str">
        <f>IFERROR(IF([1]对账明细接口!$Q769=0,"",[1]对账明细接口!$Q769),"")</f>
        <v/>
      </c>
      <c r="W769" s="20" t="str">
        <f>IFERROR(IF([1]对账明细接口!$R769=0,"",[1]对账明细接口!$R769),"")</f>
        <v/>
      </c>
      <c r="X769" s="20" t="str">
        <f>IFERROR(IF([1]对账明细接口!$S769=0,"",[1]对账明细接口!$S769),"")</f>
        <v/>
      </c>
      <c r="Y769" s="20" t="str">
        <f>IFERROR(IF([1]对账明细接口!$T769=0,"",[1]对账明细接口!$T769),"")</f>
        <v/>
      </c>
      <c r="Z769" s="24" t="str">
        <f>IFERROR(IF([1]对账明细接口!$U769=0,"",[1]对账明细接口!$U769),"")</f>
        <v/>
      </c>
      <c r="AA769" s="24" t="str">
        <f>IFERROR(IF([1]对账明细接口!$V769=0,"",[1]对账明细接口!$V769),"")</f>
        <v/>
      </c>
      <c r="AB769" s="20" t="str">
        <f>IFERROR(IF([1]对账明细接口!$W769=0,"",[1]对账明细接口!$W769),"")</f>
        <v/>
      </c>
      <c r="AC769" s="7" t="str">
        <f>IFERROR(IF([1]对账明细接口!$X769=0,"",[1]对账明细接口!$X769),"")</f>
        <v/>
      </c>
      <c r="AD769" s="7" t="str">
        <f>IFERROR(IF([1]对账明细接口!$Y769=0,"",[1]对账明细接口!$Y769),"")</f>
        <v/>
      </c>
      <c r="AE769" s="7" t="str">
        <f>IFERROR(IF([1]对账明细接口!$AA769=0,"",[1]对账明细接口!$AA769),"")</f>
        <v/>
      </c>
      <c r="AF769" s="7" t="str">
        <f>IFERROR(IF([1]对账明细接口!$AB769=0,"",[1]对账明细接口!$AB769),"")</f>
        <v/>
      </c>
      <c r="AG769" s="7" t="str">
        <f>IFERROR(IF([1]对账明细接口!$AC769=0,"",[1]对账明细接口!$AC769),"")</f>
        <v/>
      </c>
      <c r="AH769" s="7" t="str">
        <f>IFERROR(IF([1]对账明细接口!$AD769=0,"",[1]对账明细接口!$AD769),"")</f>
        <v/>
      </c>
      <c r="AI769" s="7" t="str">
        <f>IFERROR(IF([1]对账明细接口!$AE769=0,"",[1]对账明细接口!$AE769),"")</f>
        <v/>
      </c>
      <c r="AJ769" s="7" t="str">
        <f>IFERROR(IF([1]对账明细接口!$AF769=0,"",[1]对账明细接口!$AF769),"")</f>
        <v/>
      </c>
    </row>
    <row r="770" ht="14.25" customHeight="1" spans="1:36">
      <c r="A770" s="14">
        <v>770</v>
      </c>
      <c r="B770" s="15" t="str">
        <f>IFERROR(IF([1]对账明细接口!$B$770=0,"",[1]对账明细接口!$B$770),"")</f>
        <v/>
      </c>
      <c r="C770" s="16" t="str">
        <f>IFERROR(IF([1]对账明细接口!$C$770=0,"",[1]对账明细接口!$C$770),"")</f>
        <v/>
      </c>
      <c r="D770" s="16" t="str">
        <f>IFERROR(IF([1]对账明细接口!$D$770=0,"",[1]对账明细接口!$D$770),"")</f>
        <v/>
      </c>
      <c r="E770" s="16" t="str">
        <f>IFERROR(IF([1]对账明细接口!$E$770=0,"",[1]对账明细接口!$E$770),"")</f>
        <v/>
      </c>
      <c r="F770" s="16" t="str">
        <f>IFERROR(IF([1]对账明细接口!$F$770=0,"",[1]对账明细接口!$F$770),"")</f>
        <v/>
      </c>
      <c r="G770" s="16" t="str">
        <f>IFERROR(IF([1]对账明细接口!$G$770=0,"",[1]对账明细接口!$G$770),"")</f>
        <v/>
      </c>
      <c r="H770" s="17" t="str">
        <f>IFERROR(IF([1]对账明细接口!$H$770=0,"",[1]对账明细接口!$H$770),"")</f>
        <v/>
      </c>
      <c r="I770" s="16" t="str">
        <f>IFERROR(IF([1]对账明细接口!$I$770=0,"",[1]对账明细接口!$I$770),"")</f>
        <v/>
      </c>
      <c r="J770" s="18" t="str">
        <f>IFERROR(IF([1]对账明细接口!$J$770=0,"",[1]对账明细接口!$J$770),"")</f>
        <v/>
      </c>
      <c r="K770" s="18" t="str">
        <f>IFERROR(IF([1]对账明细接口!$K$770=0,"",[1]对账明细接口!$K$770),"")</f>
        <v/>
      </c>
      <c r="L770" s="16" t="str">
        <f>IFERROR(IF([1]对账明细接口!$L$770=0,"",[1]对账明细接口!$L$770),"")</f>
        <v/>
      </c>
      <c r="M770" s="16" t="str">
        <f>IFERROR(IF([1]对账明细接口!$M$770=0,"",[1]对账明细接口!$M$770),"")</f>
        <v/>
      </c>
      <c r="N770" s="19">
        <f t="shared" si="22"/>
        <v>0</v>
      </c>
      <c r="O770" s="19">
        <f t="shared" si="23"/>
        <v>420</v>
      </c>
      <c r="S770" s="20" t="str">
        <f>IFERROR(IF([1]对账明细接口!$N770=0,"",[1]对账明细接口!$N770),"")</f>
        <v/>
      </c>
      <c r="T770" s="21" t="str">
        <f>IFERROR(IF([1]对账明细接口!$O770=0,"",[1]对账明细接口!$O770),"")</f>
        <v/>
      </c>
      <c r="U770" s="21" t="str">
        <f>IFERROR(IF([1]对账明细接口!$P770=0,"",[1]对账明细接口!$P770),"")</f>
        <v/>
      </c>
      <c r="V770" s="21" t="str">
        <f>IFERROR(IF([1]对账明细接口!$Q770=0,"",[1]对账明细接口!$Q770),"")</f>
        <v/>
      </c>
      <c r="W770" s="20" t="str">
        <f>IFERROR(IF([1]对账明细接口!$R770=0,"",[1]对账明细接口!$R770),"")</f>
        <v/>
      </c>
      <c r="X770" s="20" t="str">
        <f>IFERROR(IF([1]对账明细接口!$S770=0,"",[1]对账明细接口!$S770),"")</f>
        <v/>
      </c>
      <c r="Y770" s="20" t="str">
        <f>IFERROR(IF([1]对账明细接口!$T770=0,"",[1]对账明细接口!$T770),"")</f>
        <v/>
      </c>
      <c r="Z770" s="24" t="str">
        <f>IFERROR(IF([1]对账明细接口!$U770=0,"",[1]对账明细接口!$U770),"")</f>
        <v/>
      </c>
      <c r="AA770" s="24" t="str">
        <f>IFERROR(IF([1]对账明细接口!$V770=0,"",[1]对账明细接口!$V770),"")</f>
        <v/>
      </c>
      <c r="AB770" s="20" t="str">
        <f>IFERROR(IF([1]对账明细接口!$W770=0,"",[1]对账明细接口!$W770),"")</f>
        <v/>
      </c>
      <c r="AC770" s="7" t="str">
        <f>IFERROR(IF([1]对账明细接口!$X770=0,"",[1]对账明细接口!$X770),"")</f>
        <v/>
      </c>
      <c r="AD770" s="7" t="str">
        <f>IFERROR(IF([1]对账明细接口!$Y770=0,"",[1]对账明细接口!$Y770),"")</f>
        <v/>
      </c>
      <c r="AE770" s="7" t="str">
        <f>IFERROR(IF([1]对账明细接口!$AA770=0,"",[1]对账明细接口!$AA770),"")</f>
        <v/>
      </c>
      <c r="AF770" s="7" t="str">
        <f>IFERROR(IF([1]对账明细接口!$AB770=0,"",[1]对账明细接口!$AB770),"")</f>
        <v/>
      </c>
      <c r="AG770" s="7" t="str">
        <f>IFERROR(IF([1]对账明细接口!$AC770=0,"",[1]对账明细接口!$AC770),"")</f>
        <v/>
      </c>
      <c r="AH770" s="7" t="str">
        <f>IFERROR(IF([1]对账明细接口!$AD770=0,"",[1]对账明细接口!$AD770),"")</f>
        <v/>
      </c>
      <c r="AI770" s="7" t="str">
        <f>IFERROR(IF([1]对账明细接口!$AE770=0,"",[1]对账明细接口!$AE770),"")</f>
        <v/>
      </c>
      <c r="AJ770" s="7" t="str">
        <f>IFERROR(IF([1]对账明细接口!$AF770=0,"",[1]对账明细接口!$AF770),"")</f>
        <v/>
      </c>
    </row>
    <row r="771" ht="14.25" customHeight="1" spans="1:36">
      <c r="A771" s="14">
        <v>771</v>
      </c>
      <c r="B771" s="15" t="str">
        <f>IFERROR(IF([1]对账明细接口!$B$771=0,"",[1]对账明细接口!$B$771),"")</f>
        <v/>
      </c>
      <c r="C771" s="16" t="str">
        <f>IFERROR(IF([1]对账明细接口!$C$771=0,"",[1]对账明细接口!$C$771),"")</f>
        <v/>
      </c>
      <c r="D771" s="16" t="str">
        <f>IFERROR(IF([1]对账明细接口!$D$771=0,"",[1]对账明细接口!$D$771),"")</f>
        <v/>
      </c>
      <c r="E771" s="16" t="str">
        <f>IFERROR(IF([1]对账明细接口!$E$771=0,"",[1]对账明细接口!$E$771),"")</f>
        <v/>
      </c>
      <c r="F771" s="16" t="str">
        <f>IFERROR(IF([1]对账明细接口!$F$771=0,"",[1]对账明细接口!$F$771),"")</f>
        <v/>
      </c>
      <c r="G771" s="16" t="str">
        <f>IFERROR(IF([1]对账明细接口!$G$771=0,"",[1]对账明细接口!$G$771),"")</f>
        <v/>
      </c>
      <c r="H771" s="17" t="str">
        <f>IFERROR(IF([1]对账明细接口!$H$771=0,"",[1]对账明细接口!$H$771),"")</f>
        <v/>
      </c>
      <c r="I771" s="16" t="str">
        <f>IFERROR(IF([1]对账明细接口!$I$771=0,"",[1]对账明细接口!$I$771),"")</f>
        <v/>
      </c>
      <c r="J771" s="18" t="str">
        <f>IFERROR(IF([1]对账明细接口!$J$771=0,"",[1]对账明细接口!$J$771),"")</f>
        <v/>
      </c>
      <c r="K771" s="18" t="str">
        <f>IFERROR(IF([1]对账明细接口!$K$771=0,"",[1]对账明细接口!$K$771),"")</f>
        <v/>
      </c>
      <c r="L771" s="16" t="str">
        <f>IFERROR(IF([1]对账明细接口!$L$771=0,"",[1]对账明细接口!$L$771),"")</f>
        <v/>
      </c>
      <c r="M771" s="16" t="str">
        <f>IFERROR(IF([1]对账明细接口!$M$771=0,"",[1]对账明细接口!$M$771),"")</f>
        <v/>
      </c>
      <c r="N771" s="19">
        <f t="shared" si="22"/>
        <v>0</v>
      </c>
      <c r="O771" s="19">
        <f t="shared" si="23"/>
        <v>420</v>
      </c>
      <c r="S771" s="20" t="str">
        <f>IFERROR(IF([1]对账明细接口!$N771=0,"",[1]对账明细接口!$N771),"")</f>
        <v/>
      </c>
      <c r="T771" s="21" t="str">
        <f>IFERROR(IF([1]对账明细接口!$O771=0,"",[1]对账明细接口!$O771),"")</f>
        <v/>
      </c>
      <c r="U771" s="21" t="str">
        <f>IFERROR(IF([1]对账明细接口!$P771=0,"",[1]对账明细接口!$P771),"")</f>
        <v/>
      </c>
      <c r="V771" s="21" t="str">
        <f>IFERROR(IF([1]对账明细接口!$Q771=0,"",[1]对账明细接口!$Q771),"")</f>
        <v/>
      </c>
      <c r="W771" s="20" t="str">
        <f>IFERROR(IF([1]对账明细接口!$R771=0,"",[1]对账明细接口!$R771),"")</f>
        <v/>
      </c>
      <c r="X771" s="20" t="str">
        <f>IFERROR(IF([1]对账明细接口!$S771=0,"",[1]对账明细接口!$S771),"")</f>
        <v/>
      </c>
      <c r="Y771" s="20" t="str">
        <f>IFERROR(IF([1]对账明细接口!$T771=0,"",[1]对账明细接口!$T771),"")</f>
        <v/>
      </c>
      <c r="Z771" s="24" t="str">
        <f>IFERROR(IF([1]对账明细接口!$U771=0,"",[1]对账明细接口!$U771),"")</f>
        <v/>
      </c>
      <c r="AA771" s="24" t="str">
        <f>IFERROR(IF([1]对账明细接口!$V771=0,"",[1]对账明细接口!$V771),"")</f>
        <v/>
      </c>
      <c r="AB771" s="20" t="str">
        <f>IFERROR(IF([1]对账明细接口!$W771=0,"",[1]对账明细接口!$W771),"")</f>
        <v/>
      </c>
      <c r="AC771" s="7" t="str">
        <f>IFERROR(IF([1]对账明细接口!$X771=0,"",[1]对账明细接口!$X771),"")</f>
        <v/>
      </c>
      <c r="AD771" s="7" t="str">
        <f>IFERROR(IF([1]对账明细接口!$Y771=0,"",[1]对账明细接口!$Y771),"")</f>
        <v/>
      </c>
      <c r="AE771" s="7" t="str">
        <f>IFERROR(IF([1]对账明细接口!$AA771=0,"",[1]对账明细接口!$AA771),"")</f>
        <v/>
      </c>
      <c r="AF771" s="7" t="str">
        <f>IFERROR(IF([1]对账明细接口!$AB771=0,"",[1]对账明细接口!$AB771),"")</f>
        <v/>
      </c>
      <c r="AG771" s="7" t="str">
        <f>IFERROR(IF([1]对账明细接口!$AC771=0,"",[1]对账明细接口!$AC771),"")</f>
        <v/>
      </c>
      <c r="AH771" s="7" t="str">
        <f>IFERROR(IF([1]对账明细接口!$AD771=0,"",[1]对账明细接口!$AD771),"")</f>
        <v/>
      </c>
      <c r="AI771" s="7" t="str">
        <f>IFERROR(IF([1]对账明细接口!$AE771=0,"",[1]对账明细接口!$AE771),"")</f>
        <v/>
      </c>
      <c r="AJ771" s="7" t="str">
        <f>IFERROR(IF([1]对账明细接口!$AF771=0,"",[1]对账明细接口!$AF771),"")</f>
        <v/>
      </c>
    </row>
    <row r="772" ht="14.25" customHeight="1" spans="1:36">
      <c r="A772" s="14">
        <v>772</v>
      </c>
      <c r="B772" s="15" t="str">
        <f>IFERROR(IF([1]对账明细接口!$B$772=0,"",[1]对账明细接口!$B$772),"")</f>
        <v/>
      </c>
      <c r="C772" s="16" t="str">
        <f>IFERROR(IF([1]对账明细接口!$C$772=0,"",[1]对账明细接口!$C$772),"")</f>
        <v/>
      </c>
      <c r="D772" s="16" t="str">
        <f>IFERROR(IF([1]对账明细接口!$D$772=0,"",[1]对账明细接口!$D$772),"")</f>
        <v/>
      </c>
      <c r="E772" s="16" t="str">
        <f>IFERROR(IF([1]对账明细接口!$E$772=0,"",[1]对账明细接口!$E$772),"")</f>
        <v/>
      </c>
      <c r="F772" s="16" t="str">
        <f>IFERROR(IF([1]对账明细接口!$F$772=0,"",[1]对账明细接口!$F$772),"")</f>
        <v/>
      </c>
      <c r="G772" s="16" t="str">
        <f>IFERROR(IF([1]对账明细接口!$G$772=0,"",[1]对账明细接口!$G$772),"")</f>
        <v/>
      </c>
      <c r="H772" s="17" t="str">
        <f>IFERROR(IF([1]对账明细接口!$H$772=0,"",[1]对账明细接口!$H$772),"")</f>
        <v/>
      </c>
      <c r="I772" s="16" t="str">
        <f>IFERROR(IF([1]对账明细接口!$I$772=0,"",[1]对账明细接口!$I$772),"")</f>
        <v/>
      </c>
      <c r="J772" s="18" t="str">
        <f>IFERROR(IF([1]对账明细接口!$J$772=0,"",[1]对账明细接口!$J$772),"")</f>
        <v/>
      </c>
      <c r="K772" s="18" t="str">
        <f>IFERROR(IF([1]对账明细接口!$K$772=0,"",[1]对账明细接口!$K$772),"")</f>
        <v/>
      </c>
      <c r="L772" s="16" t="str">
        <f>IFERROR(IF([1]对账明细接口!$L$772=0,"",[1]对账明细接口!$L$772),"")</f>
        <v/>
      </c>
      <c r="M772" s="16" t="str">
        <f>IFERROR(IF([1]对账明细接口!$M$772=0,"",[1]对账明细接口!$M$772),"")</f>
        <v/>
      </c>
      <c r="N772" s="19">
        <f t="shared" ref="N772:N835" si="24">IF($C772="",0,1)</f>
        <v>0</v>
      </c>
      <c r="O772" s="19">
        <f t="shared" ref="O772:O835" si="25">N(O771)+$N772</f>
        <v>420</v>
      </c>
      <c r="S772" s="20" t="str">
        <f>IFERROR(IF([1]对账明细接口!$N772=0,"",[1]对账明细接口!$N772),"")</f>
        <v/>
      </c>
      <c r="T772" s="21" t="str">
        <f>IFERROR(IF([1]对账明细接口!$O772=0,"",[1]对账明细接口!$O772),"")</f>
        <v/>
      </c>
      <c r="U772" s="21" t="str">
        <f>IFERROR(IF([1]对账明细接口!$P772=0,"",[1]对账明细接口!$P772),"")</f>
        <v/>
      </c>
      <c r="V772" s="21" t="str">
        <f>IFERROR(IF([1]对账明细接口!$Q772=0,"",[1]对账明细接口!$Q772),"")</f>
        <v/>
      </c>
      <c r="W772" s="20" t="str">
        <f>IFERROR(IF([1]对账明细接口!$R772=0,"",[1]对账明细接口!$R772),"")</f>
        <v/>
      </c>
      <c r="X772" s="20" t="str">
        <f>IFERROR(IF([1]对账明细接口!$S772=0,"",[1]对账明细接口!$S772),"")</f>
        <v/>
      </c>
      <c r="Y772" s="20" t="str">
        <f>IFERROR(IF([1]对账明细接口!$T772=0,"",[1]对账明细接口!$T772),"")</f>
        <v/>
      </c>
      <c r="Z772" s="24" t="str">
        <f>IFERROR(IF([1]对账明细接口!$U772=0,"",[1]对账明细接口!$U772),"")</f>
        <v/>
      </c>
      <c r="AA772" s="24" t="str">
        <f>IFERROR(IF([1]对账明细接口!$V772=0,"",[1]对账明细接口!$V772),"")</f>
        <v/>
      </c>
      <c r="AB772" s="20" t="str">
        <f>IFERROR(IF([1]对账明细接口!$W772=0,"",[1]对账明细接口!$W772),"")</f>
        <v/>
      </c>
      <c r="AC772" s="7" t="str">
        <f>IFERROR(IF([1]对账明细接口!$X772=0,"",[1]对账明细接口!$X772),"")</f>
        <v/>
      </c>
      <c r="AD772" s="7" t="str">
        <f>IFERROR(IF([1]对账明细接口!$Y772=0,"",[1]对账明细接口!$Y772),"")</f>
        <v/>
      </c>
      <c r="AE772" s="7" t="str">
        <f>IFERROR(IF([1]对账明细接口!$AA772=0,"",[1]对账明细接口!$AA772),"")</f>
        <v/>
      </c>
      <c r="AF772" s="7" t="str">
        <f>IFERROR(IF([1]对账明细接口!$AB772=0,"",[1]对账明细接口!$AB772),"")</f>
        <v/>
      </c>
      <c r="AG772" s="7" t="str">
        <f>IFERROR(IF([1]对账明细接口!$AC772=0,"",[1]对账明细接口!$AC772),"")</f>
        <v/>
      </c>
      <c r="AH772" s="7" t="str">
        <f>IFERROR(IF([1]对账明细接口!$AD772=0,"",[1]对账明细接口!$AD772),"")</f>
        <v/>
      </c>
      <c r="AI772" s="7" t="str">
        <f>IFERROR(IF([1]对账明细接口!$AE772=0,"",[1]对账明细接口!$AE772),"")</f>
        <v/>
      </c>
      <c r="AJ772" s="7" t="str">
        <f>IFERROR(IF([1]对账明细接口!$AF772=0,"",[1]对账明细接口!$AF772),"")</f>
        <v/>
      </c>
    </row>
    <row r="773" ht="14.25" customHeight="1" spans="1:36">
      <c r="A773" s="14">
        <v>773</v>
      </c>
      <c r="B773" s="15" t="str">
        <f>IFERROR(IF([1]对账明细接口!$B$773=0,"",[1]对账明细接口!$B$773),"")</f>
        <v/>
      </c>
      <c r="C773" s="16" t="str">
        <f>IFERROR(IF([1]对账明细接口!$C$773=0,"",[1]对账明细接口!$C$773),"")</f>
        <v/>
      </c>
      <c r="D773" s="16" t="str">
        <f>IFERROR(IF([1]对账明细接口!$D$773=0,"",[1]对账明细接口!$D$773),"")</f>
        <v/>
      </c>
      <c r="E773" s="16" t="str">
        <f>IFERROR(IF([1]对账明细接口!$E$773=0,"",[1]对账明细接口!$E$773),"")</f>
        <v/>
      </c>
      <c r="F773" s="16" t="str">
        <f>IFERROR(IF([1]对账明细接口!$F$773=0,"",[1]对账明细接口!$F$773),"")</f>
        <v/>
      </c>
      <c r="G773" s="16" t="str">
        <f>IFERROR(IF([1]对账明细接口!$G$773=0,"",[1]对账明细接口!$G$773),"")</f>
        <v/>
      </c>
      <c r="H773" s="17" t="str">
        <f>IFERROR(IF([1]对账明细接口!$H$773=0,"",[1]对账明细接口!$H$773),"")</f>
        <v/>
      </c>
      <c r="I773" s="16" t="str">
        <f>IFERROR(IF([1]对账明细接口!$I$773=0,"",[1]对账明细接口!$I$773),"")</f>
        <v/>
      </c>
      <c r="J773" s="18" t="str">
        <f>IFERROR(IF([1]对账明细接口!$J$773=0,"",[1]对账明细接口!$J$773),"")</f>
        <v/>
      </c>
      <c r="K773" s="18" t="str">
        <f>IFERROR(IF([1]对账明细接口!$K$773=0,"",[1]对账明细接口!$K$773),"")</f>
        <v/>
      </c>
      <c r="L773" s="16" t="str">
        <f>IFERROR(IF([1]对账明细接口!$L$773=0,"",[1]对账明细接口!$L$773),"")</f>
        <v/>
      </c>
      <c r="M773" s="16" t="str">
        <f>IFERROR(IF([1]对账明细接口!$M$773=0,"",[1]对账明细接口!$M$773),"")</f>
        <v/>
      </c>
      <c r="N773" s="19">
        <f t="shared" si="24"/>
        <v>0</v>
      </c>
      <c r="O773" s="19">
        <f t="shared" si="25"/>
        <v>420</v>
      </c>
      <c r="S773" s="20" t="str">
        <f>IFERROR(IF([1]对账明细接口!$N773=0,"",[1]对账明细接口!$N773),"")</f>
        <v/>
      </c>
      <c r="T773" s="21" t="str">
        <f>IFERROR(IF([1]对账明细接口!$O773=0,"",[1]对账明细接口!$O773),"")</f>
        <v/>
      </c>
      <c r="U773" s="21" t="str">
        <f>IFERROR(IF([1]对账明细接口!$P773=0,"",[1]对账明细接口!$P773),"")</f>
        <v/>
      </c>
      <c r="V773" s="21" t="str">
        <f>IFERROR(IF([1]对账明细接口!$Q773=0,"",[1]对账明细接口!$Q773),"")</f>
        <v/>
      </c>
      <c r="W773" s="20" t="str">
        <f>IFERROR(IF([1]对账明细接口!$R773=0,"",[1]对账明细接口!$R773),"")</f>
        <v/>
      </c>
      <c r="X773" s="20" t="str">
        <f>IFERROR(IF([1]对账明细接口!$S773=0,"",[1]对账明细接口!$S773),"")</f>
        <v/>
      </c>
      <c r="Y773" s="20" t="str">
        <f>IFERROR(IF([1]对账明细接口!$T773=0,"",[1]对账明细接口!$T773),"")</f>
        <v/>
      </c>
      <c r="Z773" s="24" t="str">
        <f>IFERROR(IF([1]对账明细接口!$U773=0,"",[1]对账明细接口!$U773),"")</f>
        <v/>
      </c>
      <c r="AA773" s="24" t="str">
        <f>IFERROR(IF([1]对账明细接口!$V773=0,"",[1]对账明细接口!$V773),"")</f>
        <v/>
      </c>
      <c r="AB773" s="20" t="str">
        <f>IFERROR(IF([1]对账明细接口!$W773=0,"",[1]对账明细接口!$W773),"")</f>
        <v/>
      </c>
      <c r="AC773" s="7" t="str">
        <f>IFERROR(IF([1]对账明细接口!$X773=0,"",[1]对账明细接口!$X773),"")</f>
        <v/>
      </c>
      <c r="AD773" s="7" t="str">
        <f>IFERROR(IF([1]对账明细接口!$Y773=0,"",[1]对账明细接口!$Y773),"")</f>
        <v/>
      </c>
      <c r="AE773" s="7" t="str">
        <f>IFERROR(IF([1]对账明细接口!$AA773=0,"",[1]对账明细接口!$AA773),"")</f>
        <v/>
      </c>
      <c r="AF773" s="7" t="str">
        <f>IFERROR(IF([1]对账明细接口!$AB773=0,"",[1]对账明细接口!$AB773),"")</f>
        <v/>
      </c>
      <c r="AG773" s="7" t="str">
        <f>IFERROR(IF([1]对账明细接口!$AC773=0,"",[1]对账明细接口!$AC773),"")</f>
        <v/>
      </c>
      <c r="AH773" s="7" t="str">
        <f>IFERROR(IF([1]对账明细接口!$AD773=0,"",[1]对账明细接口!$AD773),"")</f>
        <v/>
      </c>
      <c r="AI773" s="7" t="str">
        <f>IFERROR(IF([1]对账明细接口!$AE773=0,"",[1]对账明细接口!$AE773),"")</f>
        <v/>
      </c>
      <c r="AJ773" s="7" t="str">
        <f>IFERROR(IF([1]对账明细接口!$AF773=0,"",[1]对账明细接口!$AF773),"")</f>
        <v/>
      </c>
    </row>
    <row r="774" ht="14.25" customHeight="1" spans="1:36">
      <c r="A774" s="14">
        <v>774</v>
      </c>
      <c r="B774" s="15" t="str">
        <f>IFERROR(IF([1]对账明细接口!$B$774=0,"",[1]对账明细接口!$B$774),"")</f>
        <v/>
      </c>
      <c r="C774" s="16" t="str">
        <f>IFERROR(IF([1]对账明细接口!$C$774=0,"",[1]对账明细接口!$C$774),"")</f>
        <v/>
      </c>
      <c r="D774" s="16" t="str">
        <f>IFERROR(IF([1]对账明细接口!$D$774=0,"",[1]对账明细接口!$D$774),"")</f>
        <v/>
      </c>
      <c r="E774" s="16" t="str">
        <f>IFERROR(IF([1]对账明细接口!$E$774=0,"",[1]对账明细接口!$E$774),"")</f>
        <v/>
      </c>
      <c r="F774" s="16" t="str">
        <f>IFERROR(IF([1]对账明细接口!$F$774=0,"",[1]对账明细接口!$F$774),"")</f>
        <v/>
      </c>
      <c r="G774" s="16" t="str">
        <f>IFERROR(IF([1]对账明细接口!$G$774=0,"",[1]对账明细接口!$G$774),"")</f>
        <v/>
      </c>
      <c r="H774" s="17" t="str">
        <f>IFERROR(IF([1]对账明细接口!$H$774=0,"",[1]对账明细接口!$H$774),"")</f>
        <v/>
      </c>
      <c r="I774" s="16" t="str">
        <f>IFERROR(IF([1]对账明细接口!$I$774=0,"",[1]对账明细接口!$I$774),"")</f>
        <v/>
      </c>
      <c r="J774" s="18" t="str">
        <f>IFERROR(IF([1]对账明细接口!$J$774=0,"",[1]对账明细接口!$J$774),"")</f>
        <v/>
      </c>
      <c r="K774" s="18" t="str">
        <f>IFERROR(IF([1]对账明细接口!$K$774=0,"",[1]对账明细接口!$K$774),"")</f>
        <v/>
      </c>
      <c r="L774" s="16" t="str">
        <f>IFERROR(IF([1]对账明细接口!$L$774=0,"",[1]对账明细接口!$L$774),"")</f>
        <v/>
      </c>
      <c r="M774" s="16" t="str">
        <f>IFERROR(IF([1]对账明细接口!$M$774=0,"",[1]对账明细接口!$M$774),"")</f>
        <v/>
      </c>
      <c r="N774" s="19">
        <f t="shared" si="24"/>
        <v>0</v>
      </c>
      <c r="O774" s="19">
        <f t="shared" si="25"/>
        <v>420</v>
      </c>
      <c r="S774" s="20" t="str">
        <f>IFERROR(IF([1]对账明细接口!$N774=0,"",[1]对账明细接口!$N774),"")</f>
        <v/>
      </c>
      <c r="T774" s="21" t="str">
        <f>IFERROR(IF([1]对账明细接口!$O774=0,"",[1]对账明细接口!$O774),"")</f>
        <v/>
      </c>
      <c r="U774" s="21" t="str">
        <f>IFERROR(IF([1]对账明细接口!$P774=0,"",[1]对账明细接口!$P774),"")</f>
        <v/>
      </c>
      <c r="V774" s="21" t="str">
        <f>IFERROR(IF([1]对账明细接口!$Q774=0,"",[1]对账明细接口!$Q774),"")</f>
        <v/>
      </c>
      <c r="W774" s="20" t="str">
        <f>IFERROR(IF([1]对账明细接口!$R774=0,"",[1]对账明细接口!$R774),"")</f>
        <v/>
      </c>
      <c r="X774" s="20" t="str">
        <f>IFERROR(IF([1]对账明细接口!$S774=0,"",[1]对账明细接口!$S774),"")</f>
        <v/>
      </c>
      <c r="Y774" s="20" t="str">
        <f>IFERROR(IF([1]对账明细接口!$T774=0,"",[1]对账明细接口!$T774),"")</f>
        <v/>
      </c>
      <c r="Z774" s="24" t="str">
        <f>IFERROR(IF([1]对账明细接口!$U774=0,"",[1]对账明细接口!$U774),"")</f>
        <v/>
      </c>
      <c r="AA774" s="24" t="str">
        <f>IFERROR(IF([1]对账明细接口!$V774=0,"",[1]对账明细接口!$V774),"")</f>
        <v/>
      </c>
      <c r="AB774" s="20" t="str">
        <f>IFERROR(IF([1]对账明细接口!$W774=0,"",[1]对账明细接口!$W774),"")</f>
        <v/>
      </c>
      <c r="AC774" s="7" t="str">
        <f>IFERROR(IF([1]对账明细接口!$X774=0,"",[1]对账明细接口!$X774),"")</f>
        <v/>
      </c>
      <c r="AD774" s="7" t="str">
        <f>IFERROR(IF([1]对账明细接口!$Y774=0,"",[1]对账明细接口!$Y774),"")</f>
        <v/>
      </c>
      <c r="AE774" s="7" t="str">
        <f>IFERROR(IF([1]对账明细接口!$AA774=0,"",[1]对账明细接口!$AA774),"")</f>
        <v/>
      </c>
      <c r="AF774" s="7" t="str">
        <f>IFERROR(IF([1]对账明细接口!$AB774=0,"",[1]对账明细接口!$AB774),"")</f>
        <v/>
      </c>
      <c r="AG774" s="7" t="str">
        <f>IFERROR(IF([1]对账明细接口!$AC774=0,"",[1]对账明细接口!$AC774),"")</f>
        <v/>
      </c>
      <c r="AH774" s="7" t="str">
        <f>IFERROR(IF([1]对账明细接口!$AD774=0,"",[1]对账明细接口!$AD774),"")</f>
        <v/>
      </c>
      <c r="AI774" s="7" t="str">
        <f>IFERROR(IF([1]对账明细接口!$AE774=0,"",[1]对账明细接口!$AE774),"")</f>
        <v/>
      </c>
      <c r="AJ774" s="7" t="str">
        <f>IFERROR(IF([1]对账明细接口!$AF774=0,"",[1]对账明细接口!$AF774),"")</f>
        <v/>
      </c>
    </row>
    <row r="775" ht="14.25" customHeight="1" spans="1:36">
      <c r="A775" s="14">
        <v>775</v>
      </c>
      <c r="B775" s="15" t="str">
        <f>IFERROR(IF([1]对账明细接口!$B$775=0,"",[1]对账明细接口!$B$775),"")</f>
        <v/>
      </c>
      <c r="C775" s="16" t="str">
        <f>IFERROR(IF([1]对账明细接口!$C$775=0,"",[1]对账明细接口!$C$775),"")</f>
        <v/>
      </c>
      <c r="D775" s="16" t="str">
        <f>IFERROR(IF([1]对账明细接口!$D$775=0,"",[1]对账明细接口!$D$775),"")</f>
        <v/>
      </c>
      <c r="E775" s="16" t="str">
        <f>IFERROR(IF([1]对账明细接口!$E$775=0,"",[1]对账明细接口!$E$775),"")</f>
        <v/>
      </c>
      <c r="F775" s="16" t="str">
        <f>IFERROR(IF([1]对账明细接口!$F$775=0,"",[1]对账明细接口!$F$775),"")</f>
        <v/>
      </c>
      <c r="G775" s="16" t="str">
        <f>IFERROR(IF([1]对账明细接口!$G$775=0,"",[1]对账明细接口!$G$775),"")</f>
        <v/>
      </c>
      <c r="H775" s="17" t="str">
        <f>IFERROR(IF([1]对账明细接口!$H$775=0,"",[1]对账明细接口!$H$775),"")</f>
        <v/>
      </c>
      <c r="I775" s="16" t="str">
        <f>IFERROR(IF([1]对账明细接口!$I$775=0,"",[1]对账明细接口!$I$775),"")</f>
        <v/>
      </c>
      <c r="J775" s="18" t="str">
        <f>IFERROR(IF([1]对账明细接口!$J$775=0,"",[1]对账明细接口!$J$775),"")</f>
        <v/>
      </c>
      <c r="K775" s="18" t="str">
        <f>IFERROR(IF([1]对账明细接口!$K$775=0,"",[1]对账明细接口!$K$775),"")</f>
        <v/>
      </c>
      <c r="L775" s="16" t="str">
        <f>IFERROR(IF([1]对账明细接口!$L$775=0,"",[1]对账明细接口!$L$775),"")</f>
        <v/>
      </c>
      <c r="M775" s="16" t="str">
        <f>IFERROR(IF([1]对账明细接口!$M$775=0,"",[1]对账明细接口!$M$775),"")</f>
        <v/>
      </c>
      <c r="N775" s="19">
        <f t="shared" si="24"/>
        <v>0</v>
      </c>
      <c r="O775" s="19">
        <f t="shared" si="25"/>
        <v>420</v>
      </c>
      <c r="S775" s="20" t="str">
        <f>IFERROR(IF([1]对账明细接口!$N775=0,"",[1]对账明细接口!$N775),"")</f>
        <v/>
      </c>
      <c r="T775" s="21" t="str">
        <f>IFERROR(IF([1]对账明细接口!$O775=0,"",[1]对账明细接口!$O775),"")</f>
        <v/>
      </c>
      <c r="U775" s="21" t="str">
        <f>IFERROR(IF([1]对账明细接口!$P775=0,"",[1]对账明细接口!$P775),"")</f>
        <v/>
      </c>
      <c r="V775" s="21" t="str">
        <f>IFERROR(IF([1]对账明细接口!$Q775=0,"",[1]对账明细接口!$Q775),"")</f>
        <v/>
      </c>
      <c r="W775" s="20" t="str">
        <f>IFERROR(IF([1]对账明细接口!$R775=0,"",[1]对账明细接口!$R775),"")</f>
        <v/>
      </c>
      <c r="X775" s="20" t="str">
        <f>IFERROR(IF([1]对账明细接口!$S775=0,"",[1]对账明细接口!$S775),"")</f>
        <v/>
      </c>
      <c r="Y775" s="20" t="str">
        <f>IFERROR(IF([1]对账明细接口!$T775=0,"",[1]对账明细接口!$T775),"")</f>
        <v/>
      </c>
      <c r="Z775" s="24" t="str">
        <f>IFERROR(IF([1]对账明细接口!$U775=0,"",[1]对账明细接口!$U775),"")</f>
        <v/>
      </c>
      <c r="AA775" s="24" t="str">
        <f>IFERROR(IF([1]对账明细接口!$V775=0,"",[1]对账明细接口!$V775),"")</f>
        <v/>
      </c>
      <c r="AB775" s="20" t="str">
        <f>IFERROR(IF([1]对账明细接口!$W775=0,"",[1]对账明细接口!$W775),"")</f>
        <v/>
      </c>
      <c r="AC775" s="7" t="str">
        <f>IFERROR(IF([1]对账明细接口!$X775=0,"",[1]对账明细接口!$X775),"")</f>
        <v/>
      </c>
      <c r="AD775" s="7" t="str">
        <f>IFERROR(IF([1]对账明细接口!$Y775=0,"",[1]对账明细接口!$Y775),"")</f>
        <v/>
      </c>
      <c r="AE775" s="7" t="str">
        <f>IFERROR(IF([1]对账明细接口!$AA775=0,"",[1]对账明细接口!$AA775),"")</f>
        <v/>
      </c>
      <c r="AF775" s="7" t="str">
        <f>IFERROR(IF([1]对账明细接口!$AB775=0,"",[1]对账明细接口!$AB775),"")</f>
        <v/>
      </c>
      <c r="AG775" s="7" t="str">
        <f>IFERROR(IF([1]对账明细接口!$AC775=0,"",[1]对账明细接口!$AC775),"")</f>
        <v/>
      </c>
      <c r="AH775" s="7" t="str">
        <f>IFERROR(IF([1]对账明细接口!$AD775=0,"",[1]对账明细接口!$AD775),"")</f>
        <v/>
      </c>
      <c r="AI775" s="7" t="str">
        <f>IFERROR(IF([1]对账明细接口!$AE775=0,"",[1]对账明细接口!$AE775),"")</f>
        <v/>
      </c>
      <c r="AJ775" s="7" t="str">
        <f>IFERROR(IF([1]对账明细接口!$AF775=0,"",[1]对账明细接口!$AF775),"")</f>
        <v/>
      </c>
    </row>
    <row r="776" ht="14.25" customHeight="1" spans="1:36">
      <c r="A776" s="14">
        <v>776</v>
      </c>
      <c r="B776" s="15" t="str">
        <f>IFERROR(IF([1]对账明细接口!$B$776=0,"",[1]对账明细接口!$B$776),"")</f>
        <v/>
      </c>
      <c r="C776" s="16" t="str">
        <f>IFERROR(IF([1]对账明细接口!$C$776=0,"",[1]对账明细接口!$C$776),"")</f>
        <v/>
      </c>
      <c r="D776" s="16" t="str">
        <f>IFERROR(IF([1]对账明细接口!$D$776=0,"",[1]对账明细接口!$D$776),"")</f>
        <v/>
      </c>
      <c r="E776" s="16" t="str">
        <f>IFERROR(IF([1]对账明细接口!$E$776=0,"",[1]对账明细接口!$E$776),"")</f>
        <v/>
      </c>
      <c r="F776" s="16" t="str">
        <f>IFERROR(IF([1]对账明细接口!$F$776=0,"",[1]对账明细接口!$F$776),"")</f>
        <v/>
      </c>
      <c r="G776" s="16" t="str">
        <f>IFERROR(IF([1]对账明细接口!$G$776=0,"",[1]对账明细接口!$G$776),"")</f>
        <v/>
      </c>
      <c r="H776" s="17" t="str">
        <f>IFERROR(IF([1]对账明细接口!$H$776=0,"",[1]对账明细接口!$H$776),"")</f>
        <v/>
      </c>
      <c r="I776" s="16" t="str">
        <f>IFERROR(IF([1]对账明细接口!$I$776=0,"",[1]对账明细接口!$I$776),"")</f>
        <v/>
      </c>
      <c r="J776" s="18" t="str">
        <f>IFERROR(IF([1]对账明细接口!$J$776=0,"",[1]对账明细接口!$J$776),"")</f>
        <v/>
      </c>
      <c r="K776" s="18" t="str">
        <f>IFERROR(IF([1]对账明细接口!$K$776=0,"",[1]对账明细接口!$K$776),"")</f>
        <v/>
      </c>
      <c r="L776" s="16" t="str">
        <f>IFERROR(IF([1]对账明细接口!$L$776=0,"",[1]对账明细接口!$L$776),"")</f>
        <v/>
      </c>
      <c r="M776" s="16" t="str">
        <f>IFERROR(IF([1]对账明细接口!$M$776=0,"",[1]对账明细接口!$M$776),"")</f>
        <v/>
      </c>
      <c r="N776" s="19">
        <f t="shared" si="24"/>
        <v>0</v>
      </c>
      <c r="O776" s="19">
        <f t="shared" si="25"/>
        <v>420</v>
      </c>
      <c r="S776" s="20" t="str">
        <f>IFERROR(IF([1]对账明细接口!$N776=0,"",[1]对账明细接口!$N776),"")</f>
        <v/>
      </c>
      <c r="T776" s="21" t="str">
        <f>IFERROR(IF([1]对账明细接口!$O776=0,"",[1]对账明细接口!$O776),"")</f>
        <v/>
      </c>
      <c r="U776" s="21" t="str">
        <f>IFERROR(IF([1]对账明细接口!$P776=0,"",[1]对账明细接口!$P776),"")</f>
        <v/>
      </c>
      <c r="V776" s="21" t="str">
        <f>IFERROR(IF([1]对账明细接口!$Q776=0,"",[1]对账明细接口!$Q776),"")</f>
        <v/>
      </c>
      <c r="W776" s="20" t="str">
        <f>IFERROR(IF([1]对账明细接口!$R776=0,"",[1]对账明细接口!$R776),"")</f>
        <v/>
      </c>
      <c r="X776" s="20" t="str">
        <f>IFERROR(IF([1]对账明细接口!$S776=0,"",[1]对账明细接口!$S776),"")</f>
        <v/>
      </c>
      <c r="Y776" s="20" t="str">
        <f>IFERROR(IF([1]对账明细接口!$T776=0,"",[1]对账明细接口!$T776),"")</f>
        <v/>
      </c>
      <c r="Z776" s="24" t="str">
        <f>IFERROR(IF([1]对账明细接口!$U776=0,"",[1]对账明细接口!$U776),"")</f>
        <v/>
      </c>
      <c r="AA776" s="24" t="str">
        <f>IFERROR(IF([1]对账明细接口!$V776=0,"",[1]对账明细接口!$V776),"")</f>
        <v/>
      </c>
      <c r="AB776" s="20" t="str">
        <f>IFERROR(IF([1]对账明细接口!$W776=0,"",[1]对账明细接口!$W776),"")</f>
        <v/>
      </c>
      <c r="AC776" s="7" t="str">
        <f>IFERROR(IF([1]对账明细接口!$X776=0,"",[1]对账明细接口!$X776),"")</f>
        <v/>
      </c>
      <c r="AD776" s="7" t="str">
        <f>IFERROR(IF([1]对账明细接口!$Y776=0,"",[1]对账明细接口!$Y776),"")</f>
        <v/>
      </c>
      <c r="AE776" s="7" t="str">
        <f>IFERROR(IF([1]对账明细接口!$AA776=0,"",[1]对账明细接口!$AA776),"")</f>
        <v/>
      </c>
      <c r="AF776" s="7" t="str">
        <f>IFERROR(IF([1]对账明细接口!$AB776=0,"",[1]对账明细接口!$AB776),"")</f>
        <v/>
      </c>
      <c r="AG776" s="7" t="str">
        <f>IFERROR(IF([1]对账明细接口!$AC776=0,"",[1]对账明细接口!$AC776),"")</f>
        <v/>
      </c>
      <c r="AH776" s="7" t="str">
        <f>IFERROR(IF([1]对账明细接口!$AD776=0,"",[1]对账明细接口!$AD776),"")</f>
        <v/>
      </c>
      <c r="AI776" s="7" t="str">
        <f>IFERROR(IF([1]对账明细接口!$AE776=0,"",[1]对账明细接口!$AE776),"")</f>
        <v/>
      </c>
      <c r="AJ776" s="7" t="str">
        <f>IFERROR(IF([1]对账明细接口!$AF776=0,"",[1]对账明细接口!$AF776),"")</f>
        <v/>
      </c>
    </row>
    <row r="777" ht="14.25" customHeight="1" spans="1:36">
      <c r="A777" s="14">
        <v>777</v>
      </c>
      <c r="B777" s="15" t="str">
        <f>IFERROR(IF([1]对账明细接口!$B$777=0,"",[1]对账明细接口!$B$777),"")</f>
        <v/>
      </c>
      <c r="C777" s="16" t="str">
        <f>IFERROR(IF([1]对账明细接口!$C$777=0,"",[1]对账明细接口!$C$777),"")</f>
        <v/>
      </c>
      <c r="D777" s="16" t="str">
        <f>IFERROR(IF([1]对账明细接口!$D$777=0,"",[1]对账明细接口!$D$777),"")</f>
        <v/>
      </c>
      <c r="E777" s="16" t="str">
        <f>IFERROR(IF([1]对账明细接口!$E$777=0,"",[1]对账明细接口!$E$777),"")</f>
        <v/>
      </c>
      <c r="F777" s="16" t="str">
        <f>IFERROR(IF([1]对账明细接口!$F$777=0,"",[1]对账明细接口!$F$777),"")</f>
        <v/>
      </c>
      <c r="G777" s="16" t="str">
        <f>IFERROR(IF([1]对账明细接口!$G$777=0,"",[1]对账明细接口!$G$777),"")</f>
        <v/>
      </c>
      <c r="H777" s="17" t="str">
        <f>IFERROR(IF([1]对账明细接口!$H$777=0,"",[1]对账明细接口!$H$777),"")</f>
        <v/>
      </c>
      <c r="I777" s="16" t="str">
        <f>IFERROR(IF([1]对账明细接口!$I$777=0,"",[1]对账明细接口!$I$777),"")</f>
        <v/>
      </c>
      <c r="J777" s="18" t="str">
        <f>IFERROR(IF([1]对账明细接口!$J$777=0,"",[1]对账明细接口!$J$777),"")</f>
        <v/>
      </c>
      <c r="K777" s="18" t="str">
        <f>IFERROR(IF([1]对账明细接口!$K$777=0,"",[1]对账明细接口!$K$777),"")</f>
        <v/>
      </c>
      <c r="L777" s="16" t="str">
        <f>IFERROR(IF([1]对账明细接口!$L$777=0,"",[1]对账明细接口!$L$777),"")</f>
        <v/>
      </c>
      <c r="M777" s="16" t="str">
        <f>IFERROR(IF([1]对账明细接口!$M$777=0,"",[1]对账明细接口!$M$777),"")</f>
        <v/>
      </c>
      <c r="N777" s="19">
        <f t="shared" si="24"/>
        <v>0</v>
      </c>
      <c r="O777" s="19">
        <f t="shared" si="25"/>
        <v>420</v>
      </c>
      <c r="S777" s="20" t="str">
        <f>IFERROR(IF([1]对账明细接口!$N777=0,"",[1]对账明细接口!$N777),"")</f>
        <v/>
      </c>
      <c r="T777" s="21" t="str">
        <f>IFERROR(IF([1]对账明细接口!$O777=0,"",[1]对账明细接口!$O777),"")</f>
        <v/>
      </c>
      <c r="U777" s="21" t="str">
        <f>IFERROR(IF([1]对账明细接口!$P777=0,"",[1]对账明细接口!$P777),"")</f>
        <v/>
      </c>
      <c r="V777" s="21" t="str">
        <f>IFERROR(IF([1]对账明细接口!$Q777=0,"",[1]对账明细接口!$Q777),"")</f>
        <v/>
      </c>
      <c r="W777" s="20" t="str">
        <f>IFERROR(IF([1]对账明细接口!$R777=0,"",[1]对账明细接口!$R777),"")</f>
        <v/>
      </c>
      <c r="X777" s="20" t="str">
        <f>IFERROR(IF([1]对账明细接口!$S777=0,"",[1]对账明细接口!$S777),"")</f>
        <v/>
      </c>
      <c r="Y777" s="20" t="str">
        <f>IFERROR(IF([1]对账明细接口!$T777=0,"",[1]对账明细接口!$T777),"")</f>
        <v/>
      </c>
      <c r="Z777" s="24" t="str">
        <f>IFERROR(IF([1]对账明细接口!$U777=0,"",[1]对账明细接口!$U777),"")</f>
        <v/>
      </c>
      <c r="AA777" s="24" t="str">
        <f>IFERROR(IF([1]对账明细接口!$V777=0,"",[1]对账明细接口!$V777),"")</f>
        <v/>
      </c>
      <c r="AB777" s="20" t="str">
        <f>IFERROR(IF([1]对账明细接口!$W777=0,"",[1]对账明细接口!$W777),"")</f>
        <v/>
      </c>
      <c r="AC777" s="7" t="str">
        <f>IFERROR(IF([1]对账明细接口!$X777=0,"",[1]对账明细接口!$X777),"")</f>
        <v/>
      </c>
      <c r="AD777" s="7" t="str">
        <f>IFERROR(IF([1]对账明细接口!$Y777=0,"",[1]对账明细接口!$Y777),"")</f>
        <v/>
      </c>
      <c r="AE777" s="7" t="str">
        <f>IFERROR(IF([1]对账明细接口!$AA777=0,"",[1]对账明细接口!$AA777),"")</f>
        <v/>
      </c>
      <c r="AF777" s="7" t="str">
        <f>IFERROR(IF([1]对账明细接口!$AB777=0,"",[1]对账明细接口!$AB777),"")</f>
        <v/>
      </c>
      <c r="AG777" s="7" t="str">
        <f>IFERROR(IF([1]对账明细接口!$AC777=0,"",[1]对账明细接口!$AC777),"")</f>
        <v/>
      </c>
      <c r="AH777" s="7" t="str">
        <f>IFERROR(IF([1]对账明细接口!$AD777=0,"",[1]对账明细接口!$AD777),"")</f>
        <v/>
      </c>
      <c r="AI777" s="7" t="str">
        <f>IFERROR(IF([1]对账明细接口!$AE777=0,"",[1]对账明细接口!$AE777),"")</f>
        <v/>
      </c>
      <c r="AJ777" s="7" t="str">
        <f>IFERROR(IF([1]对账明细接口!$AF777=0,"",[1]对账明细接口!$AF777),"")</f>
        <v/>
      </c>
    </row>
    <row r="778" ht="14.25" customHeight="1" spans="1:36">
      <c r="A778" s="14">
        <v>778</v>
      </c>
      <c r="B778" s="15" t="str">
        <f>IFERROR(IF([1]对账明细接口!$B$778=0,"",[1]对账明细接口!$B$778),"")</f>
        <v/>
      </c>
      <c r="C778" s="16" t="str">
        <f>IFERROR(IF([1]对账明细接口!$C$778=0,"",[1]对账明细接口!$C$778),"")</f>
        <v/>
      </c>
      <c r="D778" s="16" t="str">
        <f>IFERROR(IF([1]对账明细接口!$D$778=0,"",[1]对账明细接口!$D$778),"")</f>
        <v/>
      </c>
      <c r="E778" s="16" t="str">
        <f>IFERROR(IF([1]对账明细接口!$E$778=0,"",[1]对账明细接口!$E$778),"")</f>
        <v/>
      </c>
      <c r="F778" s="16" t="str">
        <f>IFERROR(IF([1]对账明细接口!$F$778=0,"",[1]对账明细接口!$F$778),"")</f>
        <v/>
      </c>
      <c r="G778" s="16" t="str">
        <f>IFERROR(IF([1]对账明细接口!$G$778=0,"",[1]对账明细接口!$G$778),"")</f>
        <v/>
      </c>
      <c r="H778" s="17" t="str">
        <f>IFERROR(IF([1]对账明细接口!$H$778=0,"",[1]对账明细接口!$H$778),"")</f>
        <v/>
      </c>
      <c r="I778" s="16" t="str">
        <f>IFERROR(IF([1]对账明细接口!$I$778=0,"",[1]对账明细接口!$I$778),"")</f>
        <v/>
      </c>
      <c r="J778" s="18" t="str">
        <f>IFERROR(IF([1]对账明细接口!$J$778=0,"",[1]对账明细接口!$J$778),"")</f>
        <v/>
      </c>
      <c r="K778" s="18" t="str">
        <f>IFERROR(IF([1]对账明细接口!$K$778=0,"",[1]对账明细接口!$K$778),"")</f>
        <v/>
      </c>
      <c r="L778" s="16" t="str">
        <f>IFERROR(IF([1]对账明细接口!$L$778=0,"",[1]对账明细接口!$L$778),"")</f>
        <v/>
      </c>
      <c r="M778" s="16" t="str">
        <f>IFERROR(IF([1]对账明细接口!$M$778=0,"",[1]对账明细接口!$M$778),"")</f>
        <v/>
      </c>
      <c r="N778" s="19">
        <f t="shared" si="24"/>
        <v>0</v>
      </c>
      <c r="O778" s="19">
        <f t="shared" si="25"/>
        <v>420</v>
      </c>
      <c r="S778" s="20" t="str">
        <f>IFERROR(IF([1]对账明细接口!$N778=0,"",[1]对账明细接口!$N778),"")</f>
        <v/>
      </c>
      <c r="T778" s="21" t="str">
        <f>IFERROR(IF([1]对账明细接口!$O778=0,"",[1]对账明细接口!$O778),"")</f>
        <v/>
      </c>
      <c r="U778" s="21" t="str">
        <f>IFERROR(IF([1]对账明细接口!$P778=0,"",[1]对账明细接口!$P778),"")</f>
        <v/>
      </c>
      <c r="V778" s="21" t="str">
        <f>IFERROR(IF([1]对账明细接口!$Q778=0,"",[1]对账明细接口!$Q778),"")</f>
        <v/>
      </c>
      <c r="W778" s="20" t="str">
        <f>IFERROR(IF([1]对账明细接口!$R778=0,"",[1]对账明细接口!$R778),"")</f>
        <v/>
      </c>
      <c r="X778" s="20" t="str">
        <f>IFERROR(IF([1]对账明细接口!$S778=0,"",[1]对账明细接口!$S778),"")</f>
        <v/>
      </c>
      <c r="Y778" s="20" t="str">
        <f>IFERROR(IF([1]对账明细接口!$T778=0,"",[1]对账明细接口!$T778),"")</f>
        <v/>
      </c>
      <c r="Z778" s="24" t="str">
        <f>IFERROR(IF([1]对账明细接口!$U778=0,"",[1]对账明细接口!$U778),"")</f>
        <v/>
      </c>
      <c r="AA778" s="24" t="str">
        <f>IFERROR(IF([1]对账明细接口!$V778=0,"",[1]对账明细接口!$V778),"")</f>
        <v/>
      </c>
      <c r="AB778" s="20" t="str">
        <f>IFERROR(IF([1]对账明细接口!$W778=0,"",[1]对账明细接口!$W778),"")</f>
        <v/>
      </c>
      <c r="AC778" s="7" t="str">
        <f>IFERROR(IF([1]对账明细接口!$X778=0,"",[1]对账明细接口!$X778),"")</f>
        <v/>
      </c>
      <c r="AD778" s="7" t="str">
        <f>IFERROR(IF([1]对账明细接口!$Y778=0,"",[1]对账明细接口!$Y778),"")</f>
        <v/>
      </c>
      <c r="AE778" s="7" t="str">
        <f>IFERROR(IF([1]对账明细接口!$AA778=0,"",[1]对账明细接口!$AA778),"")</f>
        <v/>
      </c>
      <c r="AF778" s="7" t="str">
        <f>IFERROR(IF([1]对账明细接口!$AB778=0,"",[1]对账明细接口!$AB778),"")</f>
        <v/>
      </c>
      <c r="AG778" s="7" t="str">
        <f>IFERROR(IF([1]对账明细接口!$AC778=0,"",[1]对账明细接口!$AC778),"")</f>
        <v/>
      </c>
      <c r="AH778" s="7" t="str">
        <f>IFERROR(IF([1]对账明细接口!$AD778=0,"",[1]对账明细接口!$AD778),"")</f>
        <v/>
      </c>
      <c r="AI778" s="7" t="str">
        <f>IFERROR(IF([1]对账明细接口!$AE778=0,"",[1]对账明细接口!$AE778),"")</f>
        <v/>
      </c>
      <c r="AJ778" s="7" t="str">
        <f>IFERROR(IF([1]对账明细接口!$AF778=0,"",[1]对账明细接口!$AF778),"")</f>
        <v/>
      </c>
    </row>
    <row r="779" ht="14.25" customHeight="1" spans="1:36">
      <c r="A779" s="14">
        <v>779</v>
      </c>
      <c r="B779" s="15" t="str">
        <f>IFERROR(IF([1]对账明细接口!$B$779=0,"",[1]对账明细接口!$B$779),"")</f>
        <v/>
      </c>
      <c r="C779" s="16" t="str">
        <f>IFERROR(IF([1]对账明细接口!$C$779=0,"",[1]对账明细接口!$C$779),"")</f>
        <v/>
      </c>
      <c r="D779" s="16" t="str">
        <f>IFERROR(IF([1]对账明细接口!$D$779=0,"",[1]对账明细接口!$D$779),"")</f>
        <v/>
      </c>
      <c r="E779" s="16" t="str">
        <f>IFERROR(IF([1]对账明细接口!$E$779=0,"",[1]对账明细接口!$E$779),"")</f>
        <v/>
      </c>
      <c r="F779" s="16" t="str">
        <f>IFERROR(IF([1]对账明细接口!$F$779=0,"",[1]对账明细接口!$F$779),"")</f>
        <v/>
      </c>
      <c r="G779" s="16" t="str">
        <f>IFERROR(IF([1]对账明细接口!$G$779=0,"",[1]对账明细接口!$G$779),"")</f>
        <v/>
      </c>
      <c r="H779" s="17" t="str">
        <f>IFERROR(IF([1]对账明细接口!$H$779=0,"",[1]对账明细接口!$H$779),"")</f>
        <v/>
      </c>
      <c r="I779" s="16" t="str">
        <f>IFERROR(IF([1]对账明细接口!$I$779=0,"",[1]对账明细接口!$I$779),"")</f>
        <v/>
      </c>
      <c r="J779" s="18" t="str">
        <f>IFERROR(IF([1]对账明细接口!$J$779=0,"",[1]对账明细接口!$J$779),"")</f>
        <v/>
      </c>
      <c r="K779" s="18" t="str">
        <f>IFERROR(IF([1]对账明细接口!$K$779=0,"",[1]对账明细接口!$K$779),"")</f>
        <v/>
      </c>
      <c r="L779" s="16" t="str">
        <f>IFERROR(IF([1]对账明细接口!$L$779=0,"",[1]对账明细接口!$L$779),"")</f>
        <v/>
      </c>
      <c r="M779" s="16" t="str">
        <f>IFERROR(IF([1]对账明细接口!$M$779=0,"",[1]对账明细接口!$M$779),"")</f>
        <v/>
      </c>
      <c r="N779" s="19">
        <f t="shared" si="24"/>
        <v>0</v>
      </c>
      <c r="O779" s="19">
        <f t="shared" si="25"/>
        <v>420</v>
      </c>
      <c r="S779" s="20" t="str">
        <f>IFERROR(IF([1]对账明细接口!$N779=0,"",[1]对账明细接口!$N779),"")</f>
        <v/>
      </c>
      <c r="T779" s="21" t="str">
        <f>IFERROR(IF([1]对账明细接口!$O779=0,"",[1]对账明细接口!$O779),"")</f>
        <v/>
      </c>
      <c r="U779" s="21" t="str">
        <f>IFERROR(IF([1]对账明细接口!$P779=0,"",[1]对账明细接口!$P779),"")</f>
        <v/>
      </c>
      <c r="V779" s="21" t="str">
        <f>IFERROR(IF([1]对账明细接口!$Q779=0,"",[1]对账明细接口!$Q779),"")</f>
        <v/>
      </c>
      <c r="W779" s="20" t="str">
        <f>IFERROR(IF([1]对账明细接口!$R779=0,"",[1]对账明细接口!$R779),"")</f>
        <v/>
      </c>
      <c r="X779" s="20" t="str">
        <f>IFERROR(IF([1]对账明细接口!$S779=0,"",[1]对账明细接口!$S779),"")</f>
        <v/>
      </c>
      <c r="Y779" s="20" t="str">
        <f>IFERROR(IF([1]对账明细接口!$T779=0,"",[1]对账明细接口!$T779),"")</f>
        <v/>
      </c>
      <c r="Z779" s="24" t="str">
        <f>IFERROR(IF([1]对账明细接口!$U779=0,"",[1]对账明细接口!$U779),"")</f>
        <v/>
      </c>
      <c r="AA779" s="24" t="str">
        <f>IFERROR(IF([1]对账明细接口!$V779=0,"",[1]对账明细接口!$V779),"")</f>
        <v/>
      </c>
      <c r="AB779" s="20" t="str">
        <f>IFERROR(IF([1]对账明细接口!$W779=0,"",[1]对账明细接口!$W779),"")</f>
        <v/>
      </c>
      <c r="AC779" s="7" t="str">
        <f>IFERROR(IF([1]对账明细接口!$X779=0,"",[1]对账明细接口!$X779),"")</f>
        <v/>
      </c>
      <c r="AD779" s="7" t="str">
        <f>IFERROR(IF([1]对账明细接口!$Y779=0,"",[1]对账明细接口!$Y779),"")</f>
        <v/>
      </c>
      <c r="AE779" s="7" t="str">
        <f>IFERROR(IF([1]对账明细接口!$AA779=0,"",[1]对账明细接口!$AA779),"")</f>
        <v/>
      </c>
      <c r="AF779" s="7" t="str">
        <f>IFERROR(IF([1]对账明细接口!$AB779=0,"",[1]对账明细接口!$AB779),"")</f>
        <v/>
      </c>
      <c r="AG779" s="7" t="str">
        <f>IFERROR(IF([1]对账明细接口!$AC779=0,"",[1]对账明细接口!$AC779),"")</f>
        <v/>
      </c>
      <c r="AH779" s="7" t="str">
        <f>IFERROR(IF([1]对账明细接口!$AD779=0,"",[1]对账明细接口!$AD779),"")</f>
        <v/>
      </c>
      <c r="AI779" s="7" t="str">
        <f>IFERROR(IF([1]对账明细接口!$AE779=0,"",[1]对账明细接口!$AE779),"")</f>
        <v/>
      </c>
      <c r="AJ779" s="7" t="str">
        <f>IFERROR(IF([1]对账明细接口!$AF779=0,"",[1]对账明细接口!$AF779),"")</f>
        <v/>
      </c>
    </row>
    <row r="780" ht="14.25" customHeight="1" spans="1:36">
      <c r="A780" s="14">
        <v>780</v>
      </c>
      <c r="B780" s="15" t="str">
        <f>IFERROR(IF([1]对账明细接口!$B$780=0,"",[1]对账明细接口!$B$780),"")</f>
        <v/>
      </c>
      <c r="C780" s="16" t="str">
        <f>IFERROR(IF([1]对账明细接口!$C$780=0,"",[1]对账明细接口!$C$780),"")</f>
        <v/>
      </c>
      <c r="D780" s="16" t="str">
        <f>IFERROR(IF([1]对账明细接口!$D$780=0,"",[1]对账明细接口!$D$780),"")</f>
        <v/>
      </c>
      <c r="E780" s="16" t="str">
        <f>IFERROR(IF([1]对账明细接口!$E$780=0,"",[1]对账明细接口!$E$780),"")</f>
        <v/>
      </c>
      <c r="F780" s="16" t="str">
        <f>IFERROR(IF([1]对账明细接口!$F$780=0,"",[1]对账明细接口!$F$780),"")</f>
        <v/>
      </c>
      <c r="G780" s="16" t="str">
        <f>IFERROR(IF([1]对账明细接口!$G$780=0,"",[1]对账明细接口!$G$780),"")</f>
        <v/>
      </c>
      <c r="H780" s="17" t="str">
        <f>IFERROR(IF([1]对账明细接口!$H$780=0,"",[1]对账明细接口!$H$780),"")</f>
        <v/>
      </c>
      <c r="I780" s="16" t="str">
        <f>IFERROR(IF([1]对账明细接口!$I$780=0,"",[1]对账明细接口!$I$780),"")</f>
        <v/>
      </c>
      <c r="J780" s="18" t="str">
        <f>IFERROR(IF([1]对账明细接口!$J$780=0,"",[1]对账明细接口!$J$780),"")</f>
        <v/>
      </c>
      <c r="K780" s="18" t="str">
        <f>IFERROR(IF([1]对账明细接口!$K$780=0,"",[1]对账明细接口!$K$780),"")</f>
        <v/>
      </c>
      <c r="L780" s="16" t="str">
        <f>IFERROR(IF([1]对账明细接口!$L$780=0,"",[1]对账明细接口!$L$780),"")</f>
        <v/>
      </c>
      <c r="M780" s="16" t="str">
        <f>IFERROR(IF([1]对账明细接口!$M$780=0,"",[1]对账明细接口!$M$780),"")</f>
        <v/>
      </c>
      <c r="N780" s="19">
        <f t="shared" si="24"/>
        <v>0</v>
      </c>
      <c r="O780" s="19">
        <f t="shared" si="25"/>
        <v>420</v>
      </c>
      <c r="S780" s="20" t="str">
        <f>IFERROR(IF([1]对账明细接口!$N780=0,"",[1]对账明细接口!$N780),"")</f>
        <v/>
      </c>
      <c r="T780" s="21" t="str">
        <f>IFERROR(IF([1]对账明细接口!$O780=0,"",[1]对账明细接口!$O780),"")</f>
        <v/>
      </c>
      <c r="U780" s="21" t="str">
        <f>IFERROR(IF([1]对账明细接口!$P780=0,"",[1]对账明细接口!$P780),"")</f>
        <v/>
      </c>
      <c r="V780" s="21" t="str">
        <f>IFERROR(IF([1]对账明细接口!$Q780=0,"",[1]对账明细接口!$Q780),"")</f>
        <v/>
      </c>
      <c r="W780" s="20" t="str">
        <f>IFERROR(IF([1]对账明细接口!$R780=0,"",[1]对账明细接口!$R780),"")</f>
        <v/>
      </c>
      <c r="X780" s="20" t="str">
        <f>IFERROR(IF([1]对账明细接口!$S780=0,"",[1]对账明细接口!$S780),"")</f>
        <v/>
      </c>
      <c r="Y780" s="20" t="str">
        <f>IFERROR(IF([1]对账明细接口!$T780=0,"",[1]对账明细接口!$T780),"")</f>
        <v/>
      </c>
      <c r="Z780" s="24" t="str">
        <f>IFERROR(IF([1]对账明细接口!$U780=0,"",[1]对账明细接口!$U780),"")</f>
        <v/>
      </c>
      <c r="AA780" s="24" t="str">
        <f>IFERROR(IF([1]对账明细接口!$V780=0,"",[1]对账明细接口!$V780),"")</f>
        <v/>
      </c>
      <c r="AB780" s="20" t="str">
        <f>IFERROR(IF([1]对账明细接口!$W780=0,"",[1]对账明细接口!$W780),"")</f>
        <v/>
      </c>
      <c r="AC780" s="7" t="str">
        <f>IFERROR(IF([1]对账明细接口!$X780=0,"",[1]对账明细接口!$X780),"")</f>
        <v/>
      </c>
      <c r="AD780" s="7" t="str">
        <f>IFERROR(IF([1]对账明细接口!$Y780=0,"",[1]对账明细接口!$Y780),"")</f>
        <v/>
      </c>
      <c r="AE780" s="7" t="str">
        <f>IFERROR(IF([1]对账明细接口!$AA780=0,"",[1]对账明细接口!$AA780),"")</f>
        <v/>
      </c>
      <c r="AF780" s="7" t="str">
        <f>IFERROR(IF([1]对账明细接口!$AB780=0,"",[1]对账明细接口!$AB780),"")</f>
        <v/>
      </c>
      <c r="AG780" s="7" t="str">
        <f>IFERROR(IF([1]对账明细接口!$AC780=0,"",[1]对账明细接口!$AC780),"")</f>
        <v/>
      </c>
      <c r="AH780" s="7" t="str">
        <f>IFERROR(IF([1]对账明细接口!$AD780=0,"",[1]对账明细接口!$AD780),"")</f>
        <v/>
      </c>
      <c r="AI780" s="7" t="str">
        <f>IFERROR(IF([1]对账明细接口!$AE780=0,"",[1]对账明细接口!$AE780),"")</f>
        <v/>
      </c>
      <c r="AJ780" s="7" t="str">
        <f>IFERROR(IF([1]对账明细接口!$AF780=0,"",[1]对账明细接口!$AF780),"")</f>
        <v/>
      </c>
    </row>
    <row r="781" ht="14.25" customHeight="1" spans="1:36">
      <c r="A781" s="14">
        <v>781</v>
      </c>
      <c r="B781" s="15" t="str">
        <f>IFERROR(IF([1]对账明细接口!$B$781=0,"",[1]对账明细接口!$B$781),"")</f>
        <v/>
      </c>
      <c r="C781" s="16" t="str">
        <f>IFERROR(IF([1]对账明细接口!$C$781=0,"",[1]对账明细接口!$C$781),"")</f>
        <v/>
      </c>
      <c r="D781" s="16" t="str">
        <f>IFERROR(IF([1]对账明细接口!$D$781=0,"",[1]对账明细接口!$D$781),"")</f>
        <v/>
      </c>
      <c r="E781" s="16" t="str">
        <f>IFERROR(IF([1]对账明细接口!$E$781=0,"",[1]对账明细接口!$E$781),"")</f>
        <v/>
      </c>
      <c r="F781" s="16" t="str">
        <f>IFERROR(IF([1]对账明细接口!$F$781=0,"",[1]对账明细接口!$F$781),"")</f>
        <v/>
      </c>
      <c r="G781" s="16" t="str">
        <f>IFERROR(IF([1]对账明细接口!$G$781=0,"",[1]对账明细接口!$G$781),"")</f>
        <v/>
      </c>
      <c r="H781" s="17" t="str">
        <f>IFERROR(IF([1]对账明细接口!$H$781=0,"",[1]对账明细接口!$H$781),"")</f>
        <v/>
      </c>
      <c r="I781" s="16" t="str">
        <f>IFERROR(IF([1]对账明细接口!$I$781=0,"",[1]对账明细接口!$I$781),"")</f>
        <v/>
      </c>
      <c r="J781" s="18" t="str">
        <f>IFERROR(IF([1]对账明细接口!$J$781=0,"",[1]对账明细接口!$J$781),"")</f>
        <v/>
      </c>
      <c r="K781" s="18" t="str">
        <f>IFERROR(IF([1]对账明细接口!$K$781=0,"",[1]对账明细接口!$K$781),"")</f>
        <v/>
      </c>
      <c r="L781" s="16" t="str">
        <f>IFERROR(IF([1]对账明细接口!$L$781=0,"",[1]对账明细接口!$L$781),"")</f>
        <v/>
      </c>
      <c r="M781" s="16" t="str">
        <f>IFERROR(IF([1]对账明细接口!$M$781=0,"",[1]对账明细接口!$M$781),"")</f>
        <v/>
      </c>
      <c r="N781" s="19">
        <f t="shared" si="24"/>
        <v>0</v>
      </c>
      <c r="O781" s="19">
        <f t="shared" si="25"/>
        <v>420</v>
      </c>
      <c r="S781" s="20" t="str">
        <f>IFERROR(IF([1]对账明细接口!$N781=0,"",[1]对账明细接口!$N781),"")</f>
        <v/>
      </c>
      <c r="T781" s="21" t="str">
        <f>IFERROR(IF([1]对账明细接口!$O781=0,"",[1]对账明细接口!$O781),"")</f>
        <v/>
      </c>
      <c r="U781" s="21" t="str">
        <f>IFERROR(IF([1]对账明细接口!$P781=0,"",[1]对账明细接口!$P781),"")</f>
        <v/>
      </c>
      <c r="V781" s="21" t="str">
        <f>IFERROR(IF([1]对账明细接口!$Q781=0,"",[1]对账明细接口!$Q781),"")</f>
        <v/>
      </c>
      <c r="W781" s="20" t="str">
        <f>IFERROR(IF([1]对账明细接口!$R781=0,"",[1]对账明细接口!$R781),"")</f>
        <v/>
      </c>
      <c r="X781" s="20" t="str">
        <f>IFERROR(IF([1]对账明细接口!$S781=0,"",[1]对账明细接口!$S781),"")</f>
        <v/>
      </c>
      <c r="Y781" s="20" t="str">
        <f>IFERROR(IF([1]对账明细接口!$T781=0,"",[1]对账明细接口!$T781),"")</f>
        <v/>
      </c>
      <c r="Z781" s="24" t="str">
        <f>IFERROR(IF([1]对账明细接口!$U781=0,"",[1]对账明细接口!$U781),"")</f>
        <v/>
      </c>
      <c r="AA781" s="24" t="str">
        <f>IFERROR(IF([1]对账明细接口!$V781=0,"",[1]对账明细接口!$V781),"")</f>
        <v/>
      </c>
      <c r="AB781" s="20" t="str">
        <f>IFERROR(IF([1]对账明细接口!$W781=0,"",[1]对账明细接口!$W781),"")</f>
        <v/>
      </c>
      <c r="AC781" s="7" t="str">
        <f>IFERROR(IF([1]对账明细接口!$X781=0,"",[1]对账明细接口!$X781),"")</f>
        <v/>
      </c>
      <c r="AD781" s="7" t="str">
        <f>IFERROR(IF([1]对账明细接口!$Y781=0,"",[1]对账明细接口!$Y781),"")</f>
        <v/>
      </c>
      <c r="AE781" s="7" t="str">
        <f>IFERROR(IF([1]对账明细接口!$AA781=0,"",[1]对账明细接口!$AA781),"")</f>
        <v/>
      </c>
      <c r="AF781" s="7" t="str">
        <f>IFERROR(IF([1]对账明细接口!$AB781=0,"",[1]对账明细接口!$AB781),"")</f>
        <v/>
      </c>
      <c r="AG781" s="7" t="str">
        <f>IFERROR(IF([1]对账明细接口!$AC781=0,"",[1]对账明细接口!$AC781),"")</f>
        <v/>
      </c>
      <c r="AH781" s="7" t="str">
        <f>IFERROR(IF([1]对账明细接口!$AD781=0,"",[1]对账明细接口!$AD781),"")</f>
        <v/>
      </c>
      <c r="AI781" s="7" t="str">
        <f>IFERROR(IF([1]对账明细接口!$AE781=0,"",[1]对账明细接口!$AE781),"")</f>
        <v/>
      </c>
      <c r="AJ781" s="7" t="str">
        <f>IFERROR(IF([1]对账明细接口!$AF781=0,"",[1]对账明细接口!$AF781),"")</f>
        <v/>
      </c>
    </row>
    <row r="782" ht="14.25" customHeight="1" spans="1:36">
      <c r="A782" s="14">
        <v>782</v>
      </c>
      <c r="B782" s="15" t="str">
        <f>IFERROR(IF([1]对账明细接口!$B$782=0,"",[1]对账明细接口!$B$782),"")</f>
        <v/>
      </c>
      <c r="C782" s="16" t="str">
        <f>IFERROR(IF([1]对账明细接口!$C$782=0,"",[1]对账明细接口!$C$782),"")</f>
        <v/>
      </c>
      <c r="D782" s="16" t="str">
        <f>IFERROR(IF([1]对账明细接口!$D$782=0,"",[1]对账明细接口!$D$782),"")</f>
        <v/>
      </c>
      <c r="E782" s="16" t="str">
        <f>IFERROR(IF([1]对账明细接口!$E$782=0,"",[1]对账明细接口!$E$782),"")</f>
        <v/>
      </c>
      <c r="F782" s="16" t="str">
        <f>IFERROR(IF([1]对账明细接口!$F$782=0,"",[1]对账明细接口!$F$782),"")</f>
        <v/>
      </c>
      <c r="G782" s="16" t="str">
        <f>IFERROR(IF([1]对账明细接口!$G$782=0,"",[1]对账明细接口!$G$782),"")</f>
        <v/>
      </c>
      <c r="H782" s="17" t="str">
        <f>IFERROR(IF([1]对账明细接口!$H$782=0,"",[1]对账明细接口!$H$782),"")</f>
        <v/>
      </c>
      <c r="I782" s="16" t="str">
        <f>IFERROR(IF([1]对账明细接口!$I$782=0,"",[1]对账明细接口!$I$782),"")</f>
        <v/>
      </c>
      <c r="J782" s="18" t="str">
        <f>IFERROR(IF([1]对账明细接口!$J$782=0,"",[1]对账明细接口!$J$782),"")</f>
        <v/>
      </c>
      <c r="K782" s="18" t="str">
        <f>IFERROR(IF([1]对账明细接口!$K$782=0,"",[1]对账明细接口!$K$782),"")</f>
        <v/>
      </c>
      <c r="L782" s="16" t="str">
        <f>IFERROR(IF([1]对账明细接口!$L$782=0,"",[1]对账明细接口!$L$782),"")</f>
        <v/>
      </c>
      <c r="M782" s="16" t="str">
        <f>IFERROR(IF([1]对账明细接口!$M$782=0,"",[1]对账明细接口!$M$782),"")</f>
        <v/>
      </c>
      <c r="N782" s="19">
        <f t="shared" si="24"/>
        <v>0</v>
      </c>
      <c r="O782" s="19">
        <f t="shared" si="25"/>
        <v>420</v>
      </c>
      <c r="S782" s="20" t="str">
        <f>IFERROR(IF([1]对账明细接口!$N782=0,"",[1]对账明细接口!$N782),"")</f>
        <v/>
      </c>
      <c r="T782" s="21" t="str">
        <f>IFERROR(IF([1]对账明细接口!$O782=0,"",[1]对账明细接口!$O782),"")</f>
        <v/>
      </c>
      <c r="U782" s="21" t="str">
        <f>IFERROR(IF([1]对账明细接口!$P782=0,"",[1]对账明细接口!$P782),"")</f>
        <v/>
      </c>
      <c r="V782" s="21" t="str">
        <f>IFERROR(IF([1]对账明细接口!$Q782=0,"",[1]对账明细接口!$Q782),"")</f>
        <v/>
      </c>
      <c r="W782" s="20" t="str">
        <f>IFERROR(IF([1]对账明细接口!$R782=0,"",[1]对账明细接口!$R782),"")</f>
        <v/>
      </c>
      <c r="X782" s="20" t="str">
        <f>IFERROR(IF([1]对账明细接口!$S782=0,"",[1]对账明细接口!$S782),"")</f>
        <v/>
      </c>
      <c r="Y782" s="20" t="str">
        <f>IFERROR(IF([1]对账明细接口!$T782=0,"",[1]对账明细接口!$T782),"")</f>
        <v/>
      </c>
      <c r="Z782" s="24" t="str">
        <f>IFERROR(IF([1]对账明细接口!$U782=0,"",[1]对账明细接口!$U782),"")</f>
        <v/>
      </c>
      <c r="AA782" s="24" t="str">
        <f>IFERROR(IF([1]对账明细接口!$V782=0,"",[1]对账明细接口!$V782),"")</f>
        <v/>
      </c>
      <c r="AB782" s="20" t="str">
        <f>IFERROR(IF([1]对账明细接口!$W782=0,"",[1]对账明细接口!$W782),"")</f>
        <v/>
      </c>
      <c r="AC782" s="7" t="str">
        <f>IFERROR(IF([1]对账明细接口!$X782=0,"",[1]对账明细接口!$X782),"")</f>
        <v/>
      </c>
      <c r="AD782" s="7" t="str">
        <f>IFERROR(IF([1]对账明细接口!$Y782=0,"",[1]对账明细接口!$Y782),"")</f>
        <v/>
      </c>
      <c r="AE782" s="7" t="str">
        <f>IFERROR(IF([1]对账明细接口!$AA782=0,"",[1]对账明细接口!$AA782),"")</f>
        <v/>
      </c>
      <c r="AF782" s="7" t="str">
        <f>IFERROR(IF([1]对账明细接口!$AB782=0,"",[1]对账明细接口!$AB782),"")</f>
        <v/>
      </c>
      <c r="AG782" s="7" t="str">
        <f>IFERROR(IF([1]对账明细接口!$AC782=0,"",[1]对账明细接口!$AC782),"")</f>
        <v/>
      </c>
      <c r="AH782" s="7" t="str">
        <f>IFERROR(IF([1]对账明细接口!$AD782=0,"",[1]对账明细接口!$AD782),"")</f>
        <v/>
      </c>
      <c r="AI782" s="7" t="str">
        <f>IFERROR(IF([1]对账明细接口!$AE782=0,"",[1]对账明细接口!$AE782),"")</f>
        <v/>
      </c>
      <c r="AJ782" s="7" t="str">
        <f>IFERROR(IF([1]对账明细接口!$AF782=0,"",[1]对账明细接口!$AF782),"")</f>
        <v/>
      </c>
    </row>
    <row r="783" ht="14.25" customHeight="1" spans="1:36">
      <c r="A783" s="14">
        <v>783</v>
      </c>
      <c r="B783" s="15" t="str">
        <f>IFERROR(IF([1]对账明细接口!$B$783=0,"",[1]对账明细接口!$B$783),"")</f>
        <v/>
      </c>
      <c r="C783" s="16" t="str">
        <f>IFERROR(IF([1]对账明细接口!$C$783=0,"",[1]对账明细接口!$C$783),"")</f>
        <v/>
      </c>
      <c r="D783" s="16" t="str">
        <f>IFERROR(IF([1]对账明细接口!$D$783=0,"",[1]对账明细接口!$D$783),"")</f>
        <v/>
      </c>
      <c r="E783" s="16" t="str">
        <f>IFERROR(IF([1]对账明细接口!$E$783=0,"",[1]对账明细接口!$E$783),"")</f>
        <v/>
      </c>
      <c r="F783" s="16" t="str">
        <f>IFERROR(IF([1]对账明细接口!$F$783=0,"",[1]对账明细接口!$F$783),"")</f>
        <v/>
      </c>
      <c r="G783" s="16" t="str">
        <f>IFERROR(IF([1]对账明细接口!$G$783=0,"",[1]对账明细接口!$G$783),"")</f>
        <v/>
      </c>
      <c r="H783" s="17" t="str">
        <f>IFERROR(IF([1]对账明细接口!$H$783=0,"",[1]对账明细接口!$H$783),"")</f>
        <v/>
      </c>
      <c r="I783" s="16" t="str">
        <f>IFERROR(IF([1]对账明细接口!$I$783=0,"",[1]对账明细接口!$I$783),"")</f>
        <v/>
      </c>
      <c r="J783" s="18" t="str">
        <f>IFERROR(IF([1]对账明细接口!$J$783=0,"",[1]对账明细接口!$J$783),"")</f>
        <v/>
      </c>
      <c r="K783" s="18" t="str">
        <f>IFERROR(IF([1]对账明细接口!$K$783=0,"",[1]对账明细接口!$K$783),"")</f>
        <v/>
      </c>
      <c r="L783" s="16" t="str">
        <f>IFERROR(IF([1]对账明细接口!$L$783=0,"",[1]对账明细接口!$L$783),"")</f>
        <v/>
      </c>
      <c r="M783" s="16" t="str">
        <f>IFERROR(IF([1]对账明细接口!$M$783=0,"",[1]对账明细接口!$M$783),"")</f>
        <v/>
      </c>
      <c r="N783" s="19">
        <f t="shared" si="24"/>
        <v>0</v>
      </c>
      <c r="O783" s="19">
        <f t="shared" si="25"/>
        <v>420</v>
      </c>
      <c r="S783" s="20" t="str">
        <f>IFERROR(IF([1]对账明细接口!$N783=0,"",[1]对账明细接口!$N783),"")</f>
        <v/>
      </c>
      <c r="T783" s="21" t="str">
        <f>IFERROR(IF([1]对账明细接口!$O783=0,"",[1]对账明细接口!$O783),"")</f>
        <v/>
      </c>
      <c r="U783" s="21" t="str">
        <f>IFERROR(IF([1]对账明细接口!$P783=0,"",[1]对账明细接口!$P783),"")</f>
        <v/>
      </c>
      <c r="V783" s="21" t="str">
        <f>IFERROR(IF([1]对账明细接口!$Q783=0,"",[1]对账明细接口!$Q783),"")</f>
        <v/>
      </c>
      <c r="W783" s="20" t="str">
        <f>IFERROR(IF([1]对账明细接口!$R783=0,"",[1]对账明细接口!$R783),"")</f>
        <v/>
      </c>
      <c r="X783" s="20" t="str">
        <f>IFERROR(IF([1]对账明细接口!$S783=0,"",[1]对账明细接口!$S783),"")</f>
        <v/>
      </c>
      <c r="Y783" s="20" t="str">
        <f>IFERROR(IF([1]对账明细接口!$T783=0,"",[1]对账明细接口!$T783),"")</f>
        <v/>
      </c>
      <c r="Z783" s="24" t="str">
        <f>IFERROR(IF([1]对账明细接口!$U783=0,"",[1]对账明细接口!$U783),"")</f>
        <v/>
      </c>
      <c r="AA783" s="24" t="str">
        <f>IFERROR(IF([1]对账明细接口!$V783=0,"",[1]对账明细接口!$V783),"")</f>
        <v/>
      </c>
      <c r="AB783" s="20" t="str">
        <f>IFERROR(IF([1]对账明细接口!$W783=0,"",[1]对账明细接口!$W783),"")</f>
        <v/>
      </c>
      <c r="AC783" s="7" t="str">
        <f>IFERROR(IF([1]对账明细接口!$X783=0,"",[1]对账明细接口!$X783),"")</f>
        <v/>
      </c>
      <c r="AD783" s="7" t="str">
        <f>IFERROR(IF([1]对账明细接口!$Y783=0,"",[1]对账明细接口!$Y783),"")</f>
        <v/>
      </c>
      <c r="AE783" s="7" t="str">
        <f>IFERROR(IF([1]对账明细接口!$AA783=0,"",[1]对账明细接口!$AA783),"")</f>
        <v/>
      </c>
      <c r="AF783" s="7" t="str">
        <f>IFERROR(IF([1]对账明细接口!$AB783=0,"",[1]对账明细接口!$AB783),"")</f>
        <v/>
      </c>
      <c r="AG783" s="7" t="str">
        <f>IFERROR(IF([1]对账明细接口!$AC783=0,"",[1]对账明细接口!$AC783),"")</f>
        <v/>
      </c>
      <c r="AH783" s="7" t="str">
        <f>IFERROR(IF([1]对账明细接口!$AD783=0,"",[1]对账明细接口!$AD783),"")</f>
        <v/>
      </c>
      <c r="AI783" s="7" t="str">
        <f>IFERROR(IF([1]对账明细接口!$AE783=0,"",[1]对账明细接口!$AE783),"")</f>
        <v/>
      </c>
      <c r="AJ783" s="7" t="str">
        <f>IFERROR(IF([1]对账明细接口!$AF783=0,"",[1]对账明细接口!$AF783),"")</f>
        <v/>
      </c>
    </row>
    <row r="784" ht="14.25" customHeight="1" spans="1:36">
      <c r="A784" s="14">
        <v>784</v>
      </c>
      <c r="B784" s="15" t="str">
        <f>IFERROR(IF([1]对账明细接口!$B$784=0,"",[1]对账明细接口!$B$784),"")</f>
        <v/>
      </c>
      <c r="C784" s="16" t="str">
        <f>IFERROR(IF([1]对账明细接口!$C$784=0,"",[1]对账明细接口!$C$784),"")</f>
        <v/>
      </c>
      <c r="D784" s="16" t="str">
        <f>IFERROR(IF([1]对账明细接口!$D$784=0,"",[1]对账明细接口!$D$784),"")</f>
        <v/>
      </c>
      <c r="E784" s="16" t="str">
        <f>IFERROR(IF([1]对账明细接口!$E$784=0,"",[1]对账明细接口!$E$784),"")</f>
        <v/>
      </c>
      <c r="F784" s="16" t="str">
        <f>IFERROR(IF([1]对账明细接口!$F$784=0,"",[1]对账明细接口!$F$784),"")</f>
        <v/>
      </c>
      <c r="G784" s="16" t="str">
        <f>IFERROR(IF([1]对账明细接口!$G$784=0,"",[1]对账明细接口!$G$784),"")</f>
        <v/>
      </c>
      <c r="H784" s="17" t="str">
        <f>IFERROR(IF([1]对账明细接口!$H$784=0,"",[1]对账明细接口!$H$784),"")</f>
        <v/>
      </c>
      <c r="I784" s="16" t="str">
        <f>IFERROR(IF([1]对账明细接口!$I$784=0,"",[1]对账明细接口!$I$784),"")</f>
        <v/>
      </c>
      <c r="J784" s="18" t="str">
        <f>IFERROR(IF([1]对账明细接口!$J$784=0,"",[1]对账明细接口!$J$784),"")</f>
        <v/>
      </c>
      <c r="K784" s="18" t="str">
        <f>IFERROR(IF([1]对账明细接口!$K$784=0,"",[1]对账明细接口!$K$784),"")</f>
        <v/>
      </c>
      <c r="L784" s="16" t="str">
        <f>IFERROR(IF([1]对账明细接口!$L$784=0,"",[1]对账明细接口!$L$784),"")</f>
        <v/>
      </c>
      <c r="M784" s="16" t="str">
        <f>IFERROR(IF([1]对账明细接口!$M$784=0,"",[1]对账明细接口!$M$784),"")</f>
        <v/>
      </c>
      <c r="N784" s="19">
        <f t="shared" si="24"/>
        <v>0</v>
      </c>
      <c r="O784" s="19">
        <f t="shared" si="25"/>
        <v>420</v>
      </c>
      <c r="S784" s="20" t="str">
        <f>IFERROR(IF([1]对账明细接口!$N784=0,"",[1]对账明细接口!$N784),"")</f>
        <v/>
      </c>
      <c r="T784" s="21" t="str">
        <f>IFERROR(IF([1]对账明细接口!$O784=0,"",[1]对账明细接口!$O784),"")</f>
        <v/>
      </c>
      <c r="U784" s="21" t="str">
        <f>IFERROR(IF([1]对账明细接口!$P784=0,"",[1]对账明细接口!$P784),"")</f>
        <v/>
      </c>
      <c r="V784" s="21" t="str">
        <f>IFERROR(IF([1]对账明细接口!$Q784=0,"",[1]对账明细接口!$Q784),"")</f>
        <v/>
      </c>
      <c r="W784" s="20" t="str">
        <f>IFERROR(IF([1]对账明细接口!$R784=0,"",[1]对账明细接口!$R784),"")</f>
        <v/>
      </c>
      <c r="X784" s="20" t="str">
        <f>IFERROR(IF([1]对账明细接口!$S784=0,"",[1]对账明细接口!$S784),"")</f>
        <v/>
      </c>
      <c r="Y784" s="20" t="str">
        <f>IFERROR(IF([1]对账明细接口!$T784=0,"",[1]对账明细接口!$T784),"")</f>
        <v/>
      </c>
      <c r="Z784" s="24" t="str">
        <f>IFERROR(IF([1]对账明细接口!$U784=0,"",[1]对账明细接口!$U784),"")</f>
        <v/>
      </c>
      <c r="AA784" s="24" t="str">
        <f>IFERROR(IF([1]对账明细接口!$V784=0,"",[1]对账明细接口!$V784),"")</f>
        <v/>
      </c>
      <c r="AB784" s="20" t="str">
        <f>IFERROR(IF([1]对账明细接口!$W784=0,"",[1]对账明细接口!$W784),"")</f>
        <v/>
      </c>
      <c r="AC784" s="7" t="str">
        <f>IFERROR(IF([1]对账明细接口!$X784=0,"",[1]对账明细接口!$X784),"")</f>
        <v/>
      </c>
      <c r="AD784" s="7" t="str">
        <f>IFERROR(IF([1]对账明细接口!$Y784=0,"",[1]对账明细接口!$Y784),"")</f>
        <v/>
      </c>
      <c r="AE784" s="7" t="str">
        <f>IFERROR(IF([1]对账明细接口!$AA784=0,"",[1]对账明细接口!$AA784),"")</f>
        <v/>
      </c>
      <c r="AF784" s="7" t="str">
        <f>IFERROR(IF([1]对账明细接口!$AB784=0,"",[1]对账明细接口!$AB784),"")</f>
        <v/>
      </c>
      <c r="AG784" s="7" t="str">
        <f>IFERROR(IF([1]对账明细接口!$AC784=0,"",[1]对账明细接口!$AC784),"")</f>
        <v/>
      </c>
      <c r="AH784" s="7" t="str">
        <f>IFERROR(IF([1]对账明细接口!$AD784=0,"",[1]对账明细接口!$AD784),"")</f>
        <v/>
      </c>
      <c r="AI784" s="7" t="str">
        <f>IFERROR(IF([1]对账明细接口!$AE784=0,"",[1]对账明细接口!$AE784),"")</f>
        <v/>
      </c>
      <c r="AJ784" s="7" t="str">
        <f>IFERROR(IF([1]对账明细接口!$AF784=0,"",[1]对账明细接口!$AF784),"")</f>
        <v/>
      </c>
    </row>
    <row r="785" ht="14.25" customHeight="1" spans="1:36">
      <c r="A785" s="14">
        <v>785</v>
      </c>
      <c r="B785" s="15" t="str">
        <f>IFERROR(IF([1]对账明细接口!$B$785=0,"",[1]对账明细接口!$B$785),"")</f>
        <v/>
      </c>
      <c r="C785" s="16" t="str">
        <f>IFERROR(IF([1]对账明细接口!$C$785=0,"",[1]对账明细接口!$C$785),"")</f>
        <v/>
      </c>
      <c r="D785" s="16" t="str">
        <f>IFERROR(IF([1]对账明细接口!$D$785=0,"",[1]对账明细接口!$D$785),"")</f>
        <v/>
      </c>
      <c r="E785" s="16" t="str">
        <f>IFERROR(IF([1]对账明细接口!$E$785=0,"",[1]对账明细接口!$E$785),"")</f>
        <v/>
      </c>
      <c r="F785" s="16" t="str">
        <f>IFERROR(IF([1]对账明细接口!$F$785=0,"",[1]对账明细接口!$F$785),"")</f>
        <v/>
      </c>
      <c r="G785" s="16" t="str">
        <f>IFERROR(IF([1]对账明细接口!$G$785=0,"",[1]对账明细接口!$G$785),"")</f>
        <v/>
      </c>
      <c r="H785" s="17" t="str">
        <f>IFERROR(IF([1]对账明细接口!$H$785=0,"",[1]对账明细接口!$H$785),"")</f>
        <v/>
      </c>
      <c r="I785" s="16" t="str">
        <f>IFERROR(IF([1]对账明细接口!$I$785=0,"",[1]对账明细接口!$I$785),"")</f>
        <v/>
      </c>
      <c r="J785" s="18" t="str">
        <f>IFERROR(IF([1]对账明细接口!$J$785=0,"",[1]对账明细接口!$J$785),"")</f>
        <v/>
      </c>
      <c r="K785" s="18" t="str">
        <f>IFERROR(IF([1]对账明细接口!$K$785=0,"",[1]对账明细接口!$K$785),"")</f>
        <v/>
      </c>
      <c r="L785" s="16" t="str">
        <f>IFERROR(IF([1]对账明细接口!$L$785=0,"",[1]对账明细接口!$L$785),"")</f>
        <v/>
      </c>
      <c r="M785" s="16" t="str">
        <f>IFERROR(IF([1]对账明细接口!$M$785=0,"",[1]对账明细接口!$M$785),"")</f>
        <v/>
      </c>
      <c r="N785" s="19">
        <f t="shared" si="24"/>
        <v>0</v>
      </c>
      <c r="O785" s="19">
        <f t="shared" si="25"/>
        <v>420</v>
      </c>
      <c r="S785" s="20" t="str">
        <f>IFERROR(IF([1]对账明细接口!$N785=0,"",[1]对账明细接口!$N785),"")</f>
        <v/>
      </c>
      <c r="T785" s="21" t="str">
        <f>IFERROR(IF([1]对账明细接口!$O785=0,"",[1]对账明细接口!$O785),"")</f>
        <v/>
      </c>
      <c r="U785" s="21" t="str">
        <f>IFERROR(IF([1]对账明细接口!$P785=0,"",[1]对账明细接口!$P785),"")</f>
        <v/>
      </c>
      <c r="V785" s="21" t="str">
        <f>IFERROR(IF([1]对账明细接口!$Q785=0,"",[1]对账明细接口!$Q785),"")</f>
        <v/>
      </c>
      <c r="W785" s="20" t="str">
        <f>IFERROR(IF([1]对账明细接口!$R785=0,"",[1]对账明细接口!$R785),"")</f>
        <v/>
      </c>
      <c r="X785" s="20" t="str">
        <f>IFERROR(IF([1]对账明细接口!$S785=0,"",[1]对账明细接口!$S785),"")</f>
        <v/>
      </c>
      <c r="Y785" s="20" t="str">
        <f>IFERROR(IF([1]对账明细接口!$T785=0,"",[1]对账明细接口!$T785),"")</f>
        <v/>
      </c>
      <c r="Z785" s="24" t="str">
        <f>IFERROR(IF([1]对账明细接口!$U785=0,"",[1]对账明细接口!$U785),"")</f>
        <v/>
      </c>
      <c r="AA785" s="24" t="str">
        <f>IFERROR(IF([1]对账明细接口!$V785=0,"",[1]对账明细接口!$V785),"")</f>
        <v/>
      </c>
      <c r="AB785" s="20" t="str">
        <f>IFERROR(IF([1]对账明细接口!$W785=0,"",[1]对账明细接口!$W785),"")</f>
        <v/>
      </c>
      <c r="AC785" s="7" t="str">
        <f>IFERROR(IF([1]对账明细接口!$X785=0,"",[1]对账明细接口!$X785),"")</f>
        <v/>
      </c>
      <c r="AD785" s="7" t="str">
        <f>IFERROR(IF([1]对账明细接口!$Y785=0,"",[1]对账明细接口!$Y785),"")</f>
        <v/>
      </c>
      <c r="AE785" s="7" t="str">
        <f>IFERROR(IF([1]对账明细接口!$AA785=0,"",[1]对账明细接口!$AA785),"")</f>
        <v/>
      </c>
      <c r="AF785" s="7" t="str">
        <f>IFERROR(IF([1]对账明细接口!$AB785=0,"",[1]对账明细接口!$AB785),"")</f>
        <v/>
      </c>
      <c r="AG785" s="7" t="str">
        <f>IFERROR(IF([1]对账明细接口!$AC785=0,"",[1]对账明细接口!$AC785),"")</f>
        <v/>
      </c>
      <c r="AH785" s="7" t="str">
        <f>IFERROR(IF([1]对账明细接口!$AD785=0,"",[1]对账明细接口!$AD785),"")</f>
        <v/>
      </c>
      <c r="AI785" s="7" t="str">
        <f>IFERROR(IF([1]对账明细接口!$AE785=0,"",[1]对账明细接口!$AE785),"")</f>
        <v/>
      </c>
      <c r="AJ785" s="7" t="str">
        <f>IFERROR(IF([1]对账明细接口!$AF785=0,"",[1]对账明细接口!$AF785),"")</f>
        <v/>
      </c>
    </row>
    <row r="786" ht="14.25" customHeight="1" spans="1:36">
      <c r="A786" s="14">
        <v>786</v>
      </c>
      <c r="B786" s="15" t="str">
        <f>IFERROR(IF([1]对账明细接口!$B$786=0,"",[1]对账明细接口!$B$786),"")</f>
        <v/>
      </c>
      <c r="C786" s="16" t="str">
        <f>IFERROR(IF([1]对账明细接口!$C$786=0,"",[1]对账明细接口!$C$786),"")</f>
        <v/>
      </c>
      <c r="D786" s="16" t="str">
        <f>IFERROR(IF([1]对账明细接口!$D$786=0,"",[1]对账明细接口!$D$786),"")</f>
        <v/>
      </c>
      <c r="E786" s="16" t="str">
        <f>IFERROR(IF([1]对账明细接口!$E$786=0,"",[1]对账明细接口!$E$786),"")</f>
        <v/>
      </c>
      <c r="F786" s="16" t="str">
        <f>IFERROR(IF([1]对账明细接口!$F$786=0,"",[1]对账明细接口!$F$786),"")</f>
        <v/>
      </c>
      <c r="G786" s="16" t="str">
        <f>IFERROR(IF([1]对账明细接口!$G$786=0,"",[1]对账明细接口!$G$786),"")</f>
        <v/>
      </c>
      <c r="H786" s="17" t="str">
        <f>IFERROR(IF([1]对账明细接口!$H$786=0,"",[1]对账明细接口!$H$786),"")</f>
        <v/>
      </c>
      <c r="I786" s="16" t="str">
        <f>IFERROR(IF([1]对账明细接口!$I$786=0,"",[1]对账明细接口!$I$786),"")</f>
        <v/>
      </c>
      <c r="J786" s="18" t="str">
        <f>IFERROR(IF([1]对账明细接口!$J$786=0,"",[1]对账明细接口!$J$786),"")</f>
        <v/>
      </c>
      <c r="K786" s="18" t="str">
        <f>IFERROR(IF([1]对账明细接口!$K$786=0,"",[1]对账明细接口!$K$786),"")</f>
        <v/>
      </c>
      <c r="L786" s="16" t="str">
        <f>IFERROR(IF([1]对账明细接口!$L$786=0,"",[1]对账明细接口!$L$786),"")</f>
        <v/>
      </c>
      <c r="M786" s="16" t="str">
        <f>IFERROR(IF([1]对账明细接口!$M$786=0,"",[1]对账明细接口!$M$786),"")</f>
        <v/>
      </c>
      <c r="N786" s="19">
        <f t="shared" si="24"/>
        <v>0</v>
      </c>
      <c r="O786" s="19">
        <f t="shared" si="25"/>
        <v>420</v>
      </c>
      <c r="S786" s="20" t="str">
        <f>IFERROR(IF([1]对账明细接口!$N786=0,"",[1]对账明细接口!$N786),"")</f>
        <v/>
      </c>
      <c r="T786" s="21" t="str">
        <f>IFERROR(IF([1]对账明细接口!$O786=0,"",[1]对账明细接口!$O786),"")</f>
        <v/>
      </c>
      <c r="U786" s="21" t="str">
        <f>IFERROR(IF([1]对账明细接口!$P786=0,"",[1]对账明细接口!$P786),"")</f>
        <v/>
      </c>
      <c r="V786" s="21" t="str">
        <f>IFERROR(IF([1]对账明细接口!$Q786=0,"",[1]对账明细接口!$Q786),"")</f>
        <v/>
      </c>
      <c r="W786" s="20" t="str">
        <f>IFERROR(IF([1]对账明细接口!$R786=0,"",[1]对账明细接口!$R786),"")</f>
        <v/>
      </c>
      <c r="X786" s="20" t="str">
        <f>IFERROR(IF([1]对账明细接口!$S786=0,"",[1]对账明细接口!$S786),"")</f>
        <v/>
      </c>
      <c r="Y786" s="20" t="str">
        <f>IFERROR(IF([1]对账明细接口!$T786=0,"",[1]对账明细接口!$T786),"")</f>
        <v/>
      </c>
      <c r="Z786" s="24" t="str">
        <f>IFERROR(IF([1]对账明细接口!$U786=0,"",[1]对账明细接口!$U786),"")</f>
        <v/>
      </c>
      <c r="AA786" s="24" t="str">
        <f>IFERROR(IF([1]对账明细接口!$V786=0,"",[1]对账明细接口!$V786),"")</f>
        <v/>
      </c>
      <c r="AB786" s="20" t="str">
        <f>IFERROR(IF([1]对账明细接口!$W786=0,"",[1]对账明细接口!$W786),"")</f>
        <v/>
      </c>
      <c r="AC786" s="7" t="str">
        <f>IFERROR(IF([1]对账明细接口!$X786=0,"",[1]对账明细接口!$X786),"")</f>
        <v/>
      </c>
      <c r="AD786" s="7" t="str">
        <f>IFERROR(IF([1]对账明细接口!$Y786=0,"",[1]对账明细接口!$Y786),"")</f>
        <v/>
      </c>
      <c r="AE786" s="7" t="str">
        <f>IFERROR(IF([1]对账明细接口!$AA786=0,"",[1]对账明细接口!$AA786),"")</f>
        <v/>
      </c>
      <c r="AF786" s="7" t="str">
        <f>IFERROR(IF([1]对账明细接口!$AB786=0,"",[1]对账明细接口!$AB786),"")</f>
        <v/>
      </c>
      <c r="AG786" s="7" t="str">
        <f>IFERROR(IF([1]对账明细接口!$AC786=0,"",[1]对账明细接口!$AC786),"")</f>
        <v/>
      </c>
      <c r="AH786" s="7" t="str">
        <f>IFERROR(IF([1]对账明细接口!$AD786=0,"",[1]对账明细接口!$AD786),"")</f>
        <v/>
      </c>
      <c r="AI786" s="7" t="str">
        <f>IFERROR(IF([1]对账明细接口!$AE786=0,"",[1]对账明细接口!$AE786),"")</f>
        <v/>
      </c>
      <c r="AJ786" s="7" t="str">
        <f>IFERROR(IF([1]对账明细接口!$AF786=0,"",[1]对账明细接口!$AF786),"")</f>
        <v/>
      </c>
    </row>
    <row r="787" ht="14.25" customHeight="1" spans="1:36">
      <c r="A787" s="14">
        <v>787</v>
      </c>
      <c r="B787" s="15" t="str">
        <f>IFERROR(IF([1]对账明细接口!$B$787=0,"",[1]对账明细接口!$B$787),"")</f>
        <v/>
      </c>
      <c r="C787" s="16" t="str">
        <f>IFERROR(IF([1]对账明细接口!$C$787=0,"",[1]对账明细接口!$C$787),"")</f>
        <v/>
      </c>
      <c r="D787" s="16" t="str">
        <f>IFERROR(IF([1]对账明细接口!$D$787=0,"",[1]对账明细接口!$D$787),"")</f>
        <v/>
      </c>
      <c r="E787" s="16" t="str">
        <f>IFERROR(IF([1]对账明细接口!$E$787=0,"",[1]对账明细接口!$E$787),"")</f>
        <v/>
      </c>
      <c r="F787" s="16" t="str">
        <f>IFERROR(IF([1]对账明细接口!$F$787=0,"",[1]对账明细接口!$F$787),"")</f>
        <v/>
      </c>
      <c r="G787" s="16" t="str">
        <f>IFERROR(IF([1]对账明细接口!$G$787=0,"",[1]对账明细接口!$G$787),"")</f>
        <v/>
      </c>
      <c r="H787" s="17" t="str">
        <f>IFERROR(IF([1]对账明细接口!$H$787=0,"",[1]对账明细接口!$H$787),"")</f>
        <v/>
      </c>
      <c r="I787" s="16" t="str">
        <f>IFERROR(IF([1]对账明细接口!$I$787=0,"",[1]对账明细接口!$I$787),"")</f>
        <v/>
      </c>
      <c r="J787" s="18" t="str">
        <f>IFERROR(IF([1]对账明细接口!$J$787=0,"",[1]对账明细接口!$J$787),"")</f>
        <v/>
      </c>
      <c r="K787" s="18" t="str">
        <f>IFERROR(IF([1]对账明细接口!$K$787=0,"",[1]对账明细接口!$K$787),"")</f>
        <v/>
      </c>
      <c r="L787" s="16" t="str">
        <f>IFERROR(IF([1]对账明细接口!$L$787=0,"",[1]对账明细接口!$L$787),"")</f>
        <v/>
      </c>
      <c r="M787" s="16" t="str">
        <f>IFERROR(IF([1]对账明细接口!$M$787=0,"",[1]对账明细接口!$M$787),"")</f>
        <v/>
      </c>
      <c r="N787" s="19">
        <f t="shared" si="24"/>
        <v>0</v>
      </c>
      <c r="O787" s="19">
        <f t="shared" si="25"/>
        <v>420</v>
      </c>
      <c r="S787" s="20" t="str">
        <f>IFERROR(IF([1]对账明细接口!$N787=0,"",[1]对账明细接口!$N787),"")</f>
        <v/>
      </c>
      <c r="T787" s="21" t="str">
        <f>IFERROR(IF([1]对账明细接口!$O787=0,"",[1]对账明细接口!$O787),"")</f>
        <v/>
      </c>
      <c r="U787" s="21" t="str">
        <f>IFERROR(IF([1]对账明细接口!$P787=0,"",[1]对账明细接口!$P787),"")</f>
        <v/>
      </c>
      <c r="V787" s="21" t="str">
        <f>IFERROR(IF([1]对账明细接口!$Q787=0,"",[1]对账明细接口!$Q787),"")</f>
        <v/>
      </c>
      <c r="W787" s="20" t="str">
        <f>IFERROR(IF([1]对账明细接口!$R787=0,"",[1]对账明细接口!$R787),"")</f>
        <v/>
      </c>
      <c r="X787" s="20" t="str">
        <f>IFERROR(IF([1]对账明细接口!$S787=0,"",[1]对账明细接口!$S787),"")</f>
        <v/>
      </c>
      <c r="Y787" s="20" t="str">
        <f>IFERROR(IF([1]对账明细接口!$T787=0,"",[1]对账明细接口!$T787),"")</f>
        <v/>
      </c>
      <c r="Z787" s="24" t="str">
        <f>IFERROR(IF([1]对账明细接口!$U787=0,"",[1]对账明细接口!$U787),"")</f>
        <v/>
      </c>
      <c r="AA787" s="24" t="str">
        <f>IFERROR(IF([1]对账明细接口!$V787=0,"",[1]对账明细接口!$V787),"")</f>
        <v/>
      </c>
      <c r="AB787" s="20" t="str">
        <f>IFERROR(IF([1]对账明细接口!$W787=0,"",[1]对账明细接口!$W787),"")</f>
        <v/>
      </c>
      <c r="AC787" s="7" t="str">
        <f>IFERROR(IF([1]对账明细接口!$X787=0,"",[1]对账明细接口!$X787),"")</f>
        <v/>
      </c>
      <c r="AD787" s="7" t="str">
        <f>IFERROR(IF([1]对账明细接口!$Y787=0,"",[1]对账明细接口!$Y787),"")</f>
        <v/>
      </c>
      <c r="AE787" s="7" t="str">
        <f>IFERROR(IF([1]对账明细接口!$AA787=0,"",[1]对账明细接口!$AA787),"")</f>
        <v/>
      </c>
      <c r="AF787" s="7" t="str">
        <f>IFERROR(IF([1]对账明细接口!$AB787=0,"",[1]对账明细接口!$AB787),"")</f>
        <v/>
      </c>
      <c r="AG787" s="7" t="str">
        <f>IFERROR(IF([1]对账明细接口!$AC787=0,"",[1]对账明细接口!$AC787),"")</f>
        <v/>
      </c>
      <c r="AH787" s="7" t="str">
        <f>IFERROR(IF([1]对账明细接口!$AD787=0,"",[1]对账明细接口!$AD787),"")</f>
        <v/>
      </c>
      <c r="AI787" s="7" t="str">
        <f>IFERROR(IF([1]对账明细接口!$AE787=0,"",[1]对账明细接口!$AE787),"")</f>
        <v/>
      </c>
      <c r="AJ787" s="7" t="str">
        <f>IFERROR(IF([1]对账明细接口!$AF787=0,"",[1]对账明细接口!$AF787),"")</f>
        <v/>
      </c>
    </row>
    <row r="788" ht="14.25" customHeight="1" spans="1:36">
      <c r="A788" s="14">
        <v>788</v>
      </c>
      <c r="B788" s="15" t="str">
        <f>IFERROR(IF([1]对账明细接口!$B$788=0,"",[1]对账明细接口!$B$788),"")</f>
        <v/>
      </c>
      <c r="C788" s="16" t="str">
        <f>IFERROR(IF([1]对账明细接口!$C$788=0,"",[1]对账明细接口!$C$788),"")</f>
        <v/>
      </c>
      <c r="D788" s="16" t="str">
        <f>IFERROR(IF([1]对账明细接口!$D$788=0,"",[1]对账明细接口!$D$788),"")</f>
        <v/>
      </c>
      <c r="E788" s="16" t="str">
        <f>IFERROR(IF([1]对账明细接口!$E$788=0,"",[1]对账明细接口!$E$788),"")</f>
        <v/>
      </c>
      <c r="F788" s="16" t="str">
        <f>IFERROR(IF([1]对账明细接口!$F$788=0,"",[1]对账明细接口!$F$788),"")</f>
        <v/>
      </c>
      <c r="G788" s="16" t="str">
        <f>IFERROR(IF([1]对账明细接口!$G$788=0,"",[1]对账明细接口!$G$788),"")</f>
        <v/>
      </c>
      <c r="H788" s="17" t="str">
        <f>IFERROR(IF([1]对账明细接口!$H$788=0,"",[1]对账明细接口!$H$788),"")</f>
        <v/>
      </c>
      <c r="I788" s="16" t="str">
        <f>IFERROR(IF([1]对账明细接口!$I$788=0,"",[1]对账明细接口!$I$788),"")</f>
        <v/>
      </c>
      <c r="J788" s="18" t="str">
        <f>IFERROR(IF([1]对账明细接口!$J$788=0,"",[1]对账明细接口!$J$788),"")</f>
        <v/>
      </c>
      <c r="K788" s="18" t="str">
        <f>IFERROR(IF([1]对账明细接口!$K$788=0,"",[1]对账明细接口!$K$788),"")</f>
        <v/>
      </c>
      <c r="L788" s="16" t="str">
        <f>IFERROR(IF([1]对账明细接口!$L$788=0,"",[1]对账明细接口!$L$788),"")</f>
        <v/>
      </c>
      <c r="M788" s="16" t="str">
        <f>IFERROR(IF([1]对账明细接口!$M$788=0,"",[1]对账明细接口!$M$788),"")</f>
        <v/>
      </c>
      <c r="N788" s="19">
        <f t="shared" si="24"/>
        <v>0</v>
      </c>
      <c r="O788" s="19">
        <f t="shared" si="25"/>
        <v>420</v>
      </c>
      <c r="S788" s="20" t="str">
        <f>IFERROR(IF([1]对账明细接口!$N788=0,"",[1]对账明细接口!$N788),"")</f>
        <v/>
      </c>
      <c r="T788" s="21" t="str">
        <f>IFERROR(IF([1]对账明细接口!$O788=0,"",[1]对账明细接口!$O788),"")</f>
        <v/>
      </c>
      <c r="U788" s="21" t="str">
        <f>IFERROR(IF([1]对账明细接口!$P788=0,"",[1]对账明细接口!$P788),"")</f>
        <v/>
      </c>
      <c r="V788" s="21" t="str">
        <f>IFERROR(IF([1]对账明细接口!$Q788=0,"",[1]对账明细接口!$Q788),"")</f>
        <v/>
      </c>
      <c r="W788" s="20" t="str">
        <f>IFERROR(IF([1]对账明细接口!$R788=0,"",[1]对账明细接口!$R788),"")</f>
        <v/>
      </c>
      <c r="X788" s="20" t="str">
        <f>IFERROR(IF([1]对账明细接口!$S788=0,"",[1]对账明细接口!$S788),"")</f>
        <v/>
      </c>
      <c r="Y788" s="20" t="str">
        <f>IFERROR(IF([1]对账明细接口!$T788=0,"",[1]对账明细接口!$T788),"")</f>
        <v/>
      </c>
      <c r="Z788" s="24" t="str">
        <f>IFERROR(IF([1]对账明细接口!$U788=0,"",[1]对账明细接口!$U788),"")</f>
        <v/>
      </c>
      <c r="AA788" s="24" t="str">
        <f>IFERROR(IF([1]对账明细接口!$V788=0,"",[1]对账明细接口!$V788),"")</f>
        <v/>
      </c>
      <c r="AB788" s="20" t="str">
        <f>IFERROR(IF([1]对账明细接口!$W788=0,"",[1]对账明细接口!$W788),"")</f>
        <v/>
      </c>
      <c r="AC788" s="7" t="str">
        <f>IFERROR(IF([1]对账明细接口!$X788=0,"",[1]对账明细接口!$X788),"")</f>
        <v/>
      </c>
      <c r="AD788" s="7" t="str">
        <f>IFERROR(IF([1]对账明细接口!$Y788=0,"",[1]对账明细接口!$Y788),"")</f>
        <v/>
      </c>
      <c r="AE788" s="7" t="str">
        <f>IFERROR(IF([1]对账明细接口!$AA788=0,"",[1]对账明细接口!$AA788),"")</f>
        <v/>
      </c>
      <c r="AF788" s="7" t="str">
        <f>IFERROR(IF([1]对账明细接口!$AB788=0,"",[1]对账明细接口!$AB788),"")</f>
        <v/>
      </c>
      <c r="AG788" s="7" t="str">
        <f>IFERROR(IF([1]对账明细接口!$AC788=0,"",[1]对账明细接口!$AC788),"")</f>
        <v/>
      </c>
      <c r="AH788" s="7" t="str">
        <f>IFERROR(IF([1]对账明细接口!$AD788=0,"",[1]对账明细接口!$AD788),"")</f>
        <v/>
      </c>
      <c r="AI788" s="7" t="str">
        <f>IFERROR(IF([1]对账明细接口!$AE788=0,"",[1]对账明细接口!$AE788),"")</f>
        <v/>
      </c>
      <c r="AJ788" s="7" t="str">
        <f>IFERROR(IF([1]对账明细接口!$AF788=0,"",[1]对账明细接口!$AF788),"")</f>
        <v/>
      </c>
    </row>
    <row r="789" ht="14.25" customHeight="1" spans="1:36">
      <c r="A789" s="14">
        <v>789</v>
      </c>
      <c r="B789" s="15" t="str">
        <f>IFERROR(IF([1]对账明细接口!$B$789=0,"",[1]对账明细接口!$B$789),"")</f>
        <v/>
      </c>
      <c r="C789" s="16" t="str">
        <f>IFERROR(IF([1]对账明细接口!$C$789=0,"",[1]对账明细接口!$C$789),"")</f>
        <v/>
      </c>
      <c r="D789" s="16" t="str">
        <f>IFERROR(IF([1]对账明细接口!$D$789=0,"",[1]对账明细接口!$D$789),"")</f>
        <v/>
      </c>
      <c r="E789" s="16" t="str">
        <f>IFERROR(IF([1]对账明细接口!$E$789=0,"",[1]对账明细接口!$E$789),"")</f>
        <v/>
      </c>
      <c r="F789" s="16" t="str">
        <f>IFERROR(IF([1]对账明细接口!$F$789=0,"",[1]对账明细接口!$F$789),"")</f>
        <v/>
      </c>
      <c r="G789" s="16" t="str">
        <f>IFERROR(IF([1]对账明细接口!$G$789=0,"",[1]对账明细接口!$G$789),"")</f>
        <v/>
      </c>
      <c r="H789" s="17" t="str">
        <f>IFERROR(IF([1]对账明细接口!$H$789=0,"",[1]对账明细接口!$H$789),"")</f>
        <v/>
      </c>
      <c r="I789" s="16" t="str">
        <f>IFERROR(IF([1]对账明细接口!$I$789=0,"",[1]对账明细接口!$I$789),"")</f>
        <v/>
      </c>
      <c r="J789" s="18" t="str">
        <f>IFERROR(IF([1]对账明细接口!$J$789=0,"",[1]对账明细接口!$J$789),"")</f>
        <v/>
      </c>
      <c r="K789" s="18" t="str">
        <f>IFERROR(IF([1]对账明细接口!$K$789=0,"",[1]对账明细接口!$K$789),"")</f>
        <v/>
      </c>
      <c r="L789" s="16" t="str">
        <f>IFERROR(IF([1]对账明细接口!$L$789=0,"",[1]对账明细接口!$L$789),"")</f>
        <v/>
      </c>
      <c r="M789" s="16" t="str">
        <f>IFERROR(IF([1]对账明细接口!$M$789=0,"",[1]对账明细接口!$M$789),"")</f>
        <v/>
      </c>
      <c r="N789" s="19">
        <f t="shared" si="24"/>
        <v>0</v>
      </c>
      <c r="O789" s="19">
        <f t="shared" si="25"/>
        <v>420</v>
      </c>
      <c r="S789" s="20" t="str">
        <f>IFERROR(IF([1]对账明细接口!$N789=0,"",[1]对账明细接口!$N789),"")</f>
        <v/>
      </c>
      <c r="T789" s="21" t="str">
        <f>IFERROR(IF([1]对账明细接口!$O789=0,"",[1]对账明细接口!$O789),"")</f>
        <v/>
      </c>
      <c r="U789" s="21" t="str">
        <f>IFERROR(IF([1]对账明细接口!$P789=0,"",[1]对账明细接口!$P789),"")</f>
        <v/>
      </c>
      <c r="V789" s="21" t="str">
        <f>IFERROR(IF([1]对账明细接口!$Q789=0,"",[1]对账明细接口!$Q789),"")</f>
        <v/>
      </c>
      <c r="W789" s="20" t="str">
        <f>IFERROR(IF([1]对账明细接口!$R789=0,"",[1]对账明细接口!$R789),"")</f>
        <v/>
      </c>
      <c r="X789" s="20" t="str">
        <f>IFERROR(IF([1]对账明细接口!$S789=0,"",[1]对账明细接口!$S789),"")</f>
        <v/>
      </c>
      <c r="Y789" s="20" t="str">
        <f>IFERROR(IF([1]对账明细接口!$T789=0,"",[1]对账明细接口!$T789),"")</f>
        <v/>
      </c>
      <c r="Z789" s="24" t="str">
        <f>IFERROR(IF([1]对账明细接口!$U789=0,"",[1]对账明细接口!$U789),"")</f>
        <v/>
      </c>
      <c r="AA789" s="24" t="str">
        <f>IFERROR(IF([1]对账明细接口!$V789=0,"",[1]对账明细接口!$V789),"")</f>
        <v/>
      </c>
      <c r="AB789" s="20" t="str">
        <f>IFERROR(IF([1]对账明细接口!$W789=0,"",[1]对账明细接口!$W789),"")</f>
        <v/>
      </c>
      <c r="AC789" s="7" t="str">
        <f>IFERROR(IF([1]对账明细接口!$X789=0,"",[1]对账明细接口!$X789),"")</f>
        <v/>
      </c>
      <c r="AD789" s="7" t="str">
        <f>IFERROR(IF([1]对账明细接口!$Y789=0,"",[1]对账明细接口!$Y789),"")</f>
        <v/>
      </c>
      <c r="AE789" s="7" t="str">
        <f>IFERROR(IF([1]对账明细接口!$AA789=0,"",[1]对账明细接口!$AA789),"")</f>
        <v/>
      </c>
      <c r="AF789" s="7" t="str">
        <f>IFERROR(IF([1]对账明细接口!$AB789=0,"",[1]对账明细接口!$AB789),"")</f>
        <v/>
      </c>
      <c r="AG789" s="7" t="str">
        <f>IFERROR(IF([1]对账明细接口!$AC789=0,"",[1]对账明细接口!$AC789),"")</f>
        <v/>
      </c>
      <c r="AH789" s="7" t="str">
        <f>IFERROR(IF([1]对账明细接口!$AD789=0,"",[1]对账明细接口!$AD789),"")</f>
        <v/>
      </c>
      <c r="AI789" s="7" t="str">
        <f>IFERROR(IF([1]对账明细接口!$AE789=0,"",[1]对账明细接口!$AE789),"")</f>
        <v/>
      </c>
      <c r="AJ789" s="7" t="str">
        <f>IFERROR(IF([1]对账明细接口!$AF789=0,"",[1]对账明细接口!$AF789),"")</f>
        <v/>
      </c>
    </row>
    <row r="790" ht="14.25" customHeight="1" spans="1:36">
      <c r="A790" s="14">
        <v>790</v>
      </c>
      <c r="B790" s="15" t="str">
        <f>IFERROR(IF([1]对账明细接口!$B$790=0,"",[1]对账明细接口!$B$790),"")</f>
        <v/>
      </c>
      <c r="C790" s="16" t="str">
        <f>IFERROR(IF([1]对账明细接口!$C$790=0,"",[1]对账明细接口!$C$790),"")</f>
        <v/>
      </c>
      <c r="D790" s="16" t="str">
        <f>IFERROR(IF([1]对账明细接口!$D$790=0,"",[1]对账明细接口!$D$790),"")</f>
        <v/>
      </c>
      <c r="E790" s="16" t="str">
        <f>IFERROR(IF([1]对账明细接口!$E$790=0,"",[1]对账明细接口!$E$790),"")</f>
        <v/>
      </c>
      <c r="F790" s="16" t="str">
        <f>IFERROR(IF([1]对账明细接口!$F$790=0,"",[1]对账明细接口!$F$790),"")</f>
        <v/>
      </c>
      <c r="G790" s="16" t="str">
        <f>IFERROR(IF([1]对账明细接口!$G$790=0,"",[1]对账明细接口!$G$790),"")</f>
        <v/>
      </c>
      <c r="H790" s="17" t="str">
        <f>IFERROR(IF([1]对账明细接口!$H$790=0,"",[1]对账明细接口!$H$790),"")</f>
        <v/>
      </c>
      <c r="I790" s="16" t="str">
        <f>IFERROR(IF([1]对账明细接口!$I$790=0,"",[1]对账明细接口!$I$790),"")</f>
        <v/>
      </c>
      <c r="J790" s="18" t="str">
        <f>IFERROR(IF([1]对账明细接口!$J$790=0,"",[1]对账明细接口!$J$790),"")</f>
        <v/>
      </c>
      <c r="K790" s="18" t="str">
        <f>IFERROR(IF([1]对账明细接口!$K$790=0,"",[1]对账明细接口!$K$790),"")</f>
        <v/>
      </c>
      <c r="L790" s="16" t="str">
        <f>IFERROR(IF([1]对账明细接口!$L$790=0,"",[1]对账明细接口!$L$790),"")</f>
        <v/>
      </c>
      <c r="M790" s="16" t="str">
        <f>IFERROR(IF([1]对账明细接口!$M$790=0,"",[1]对账明细接口!$M$790),"")</f>
        <v/>
      </c>
      <c r="N790" s="19">
        <f t="shared" si="24"/>
        <v>0</v>
      </c>
      <c r="O790" s="19">
        <f t="shared" si="25"/>
        <v>420</v>
      </c>
      <c r="S790" s="20" t="str">
        <f>IFERROR(IF([1]对账明细接口!$N790=0,"",[1]对账明细接口!$N790),"")</f>
        <v/>
      </c>
      <c r="T790" s="21" t="str">
        <f>IFERROR(IF([1]对账明细接口!$O790=0,"",[1]对账明细接口!$O790),"")</f>
        <v/>
      </c>
      <c r="U790" s="21" t="str">
        <f>IFERROR(IF([1]对账明细接口!$P790=0,"",[1]对账明细接口!$P790),"")</f>
        <v/>
      </c>
      <c r="V790" s="21" t="str">
        <f>IFERROR(IF([1]对账明细接口!$Q790=0,"",[1]对账明细接口!$Q790),"")</f>
        <v/>
      </c>
      <c r="W790" s="20" t="str">
        <f>IFERROR(IF([1]对账明细接口!$R790=0,"",[1]对账明细接口!$R790),"")</f>
        <v/>
      </c>
      <c r="X790" s="20" t="str">
        <f>IFERROR(IF([1]对账明细接口!$S790=0,"",[1]对账明细接口!$S790),"")</f>
        <v/>
      </c>
      <c r="Y790" s="20" t="str">
        <f>IFERROR(IF([1]对账明细接口!$T790=0,"",[1]对账明细接口!$T790),"")</f>
        <v/>
      </c>
      <c r="Z790" s="24" t="str">
        <f>IFERROR(IF([1]对账明细接口!$U790=0,"",[1]对账明细接口!$U790),"")</f>
        <v/>
      </c>
      <c r="AA790" s="24" t="str">
        <f>IFERROR(IF([1]对账明细接口!$V790=0,"",[1]对账明细接口!$V790),"")</f>
        <v/>
      </c>
      <c r="AB790" s="20" t="str">
        <f>IFERROR(IF([1]对账明细接口!$W790=0,"",[1]对账明细接口!$W790),"")</f>
        <v/>
      </c>
      <c r="AC790" s="7" t="str">
        <f>IFERROR(IF([1]对账明细接口!$X790=0,"",[1]对账明细接口!$X790),"")</f>
        <v/>
      </c>
      <c r="AD790" s="7" t="str">
        <f>IFERROR(IF([1]对账明细接口!$Y790=0,"",[1]对账明细接口!$Y790),"")</f>
        <v/>
      </c>
      <c r="AE790" s="7" t="str">
        <f>IFERROR(IF([1]对账明细接口!$AA790=0,"",[1]对账明细接口!$AA790),"")</f>
        <v/>
      </c>
      <c r="AF790" s="7" t="str">
        <f>IFERROR(IF([1]对账明细接口!$AB790=0,"",[1]对账明细接口!$AB790),"")</f>
        <v/>
      </c>
      <c r="AG790" s="7" t="str">
        <f>IFERROR(IF([1]对账明细接口!$AC790=0,"",[1]对账明细接口!$AC790),"")</f>
        <v/>
      </c>
      <c r="AH790" s="7" t="str">
        <f>IFERROR(IF([1]对账明细接口!$AD790=0,"",[1]对账明细接口!$AD790),"")</f>
        <v/>
      </c>
      <c r="AI790" s="7" t="str">
        <f>IFERROR(IF([1]对账明细接口!$AE790=0,"",[1]对账明细接口!$AE790),"")</f>
        <v/>
      </c>
      <c r="AJ790" s="7" t="str">
        <f>IFERROR(IF([1]对账明细接口!$AF790=0,"",[1]对账明细接口!$AF790),"")</f>
        <v/>
      </c>
    </row>
    <row r="791" ht="14.25" customHeight="1" spans="1:36">
      <c r="A791" s="14">
        <v>791</v>
      </c>
      <c r="B791" s="15" t="str">
        <f>IFERROR(IF([1]对账明细接口!$B$791=0,"",[1]对账明细接口!$B$791),"")</f>
        <v/>
      </c>
      <c r="C791" s="16" t="str">
        <f>IFERROR(IF([1]对账明细接口!$C$791=0,"",[1]对账明细接口!$C$791),"")</f>
        <v/>
      </c>
      <c r="D791" s="16" t="str">
        <f>IFERROR(IF([1]对账明细接口!$D$791=0,"",[1]对账明细接口!$D$791),"")</f>
        <v/>
      </c>
      <c r="E791" s="16" t="str">
        <f>IFERROR(IF([1]对账明细接口!$E$791=0,"",[1]对账明细接口!$E$791),"")</f>
        <v/>
      </c>
      <c r="F791" s="16" t="str">
        <f>IFERROR(IF([1]对账明细接口!$F$791=0,"",[1]对账明细接口!$F$791),"")</f>
        <v/>
      </c>
      <c r="G791" s="16" t="str">
        <f>IFERROR(IF([1]对账明细接口!$G$791=0,"",[1]对账明细接口!$G$791),"")</f>
        <v/>
      </c>
      <c r="H791" s="17" t="str">
        <f>IFERROR(IF([1]对账明细接口!$H$791=0,"",[1]对账明细接口!$H$791),"")</f>
        <v/>
      </c>
      <c r="I791" s="16" t="str">
        <f>IFERROR(IF([1]对账明细接口!$I$791=0,"",[1]对账明细接口!$I$791),"")</f>
        <v/>
      </c>
      <c r="J791" s="18" t="str">
        <f>IFERROR(IF([1]对账明细接口!$J$791=0,"",[1]对账明细接口!$J$791),"")</f>
        <v/>
      </c>
      <c r="K791" s="18" t="str">
        <f>IFERROR(IF([1]对账明细接口!$K$791=0,"",[1]对账明细接口!$K$791),"")</f>
        <v/>
      </c>
      <c r="L791" s="16" t="str">
        <f>IFERROR(IF([1]对账明细接口!$L$791=0,"",[1]对账明细接口!$L$791),"")</f>
        <v/>
      </c>
      <c r="M791" s="16" t="str">
        <f>IFERROR(IF([1]对账明细接口!$M$791=0,"",[1]对账明细接口!$M$791),"")</f>
        <v/>
      </c>
      <c r="N791" s="19">
        <f t="shared" si="24"/>
        <v>0</v>
      </c>
      <c r="O791" s="19">
        <f t="shared" si="25"/>
        <v>420</v>
      </c>
      <c r="S791" s="20" t="str">
        <f>IFERROR(IF([1]对账明细接口!$N791=0,"",[1]对账明细接口!$N791),"")</f>
        <v/>
      </c>
      <c r="T791" s="21" t="str">
        <f>IFERROR(IF([1]对账明细接口!$O791=0,"",[1]对账明细接口!$O791),"")</f>
        <v/>
      </c>
      <c r="U791" s="21" t="str">
        <f>IFERROR(IF([1]对账明细接口!$P791=0,"",[1]对账明细接口!$P791),"")</f>
        <v/>
      </c>
      <c r="V791" s="21" t="str">
        <f>IFERROR(IF([1]对账明细接口!$Q791=0,"",[1]对账明细接口!$Q791),"")</f>
        <v/>
      </c>
      <c r="W791" s="20" t="str">
        <f>IFERROR(IF([1]对账明细接口!$R791=0,"",[1]对账明细接口!$R791),"")</f>
        <v/>
      </c>
      <c r="X791" s="20" t="str">
        <f>IFERROR(IF([1]对账明细接口!$S791=0,"",[1]对账明细接口!$S791),"")</f>
        <v/>
      </c>
      <c r="Y791" s="20" t="str">
        <f>IFERROR(IF([1]对账明细接口!$T791=0,"",[1]对账明细接口!$T791),"")</f>
        <v/>
      </c>
      <c r="Z791" s="24" t="str">
        <f>IFERROR(IF([1]对账明细接口!$U791=0,"",[1]对账明细接口!$U791),"")</f>
        <v/>
      </c>
      <c r="AA791" s="24" t="str">
        <f>IFERROR(IF([1]对账明细接口!$V791=0,"",[1]对账明细接口!$V791),"")</f>
        <v/>
      </c>
      <c r="AB791" s="20" t="str">
        <f>IFERROR(IF([1]对账明细接口!$W791=0,"",[1]对账明细接口!$W791),"")</f>
        <v/>
      </c>
      <c r="AC791" s="7" t="str">
        <f>IFERROR(IF([1]对账明细接口!$X791=0,"",[1]对账明细接口!$X791),"")</f>
        <v/>
      </c>
      <c r="AD791" s="7" t="str">
        <f>IFERROR(IF([1]对账明细接口!$Y791=0,"",[1]对账明细接口!$Y791),"")</f>
        <v/>
      </c>
      <c r="AE791" s="7" t="str">
        <f>IFERROR(IF([1]对账明细接口!$AA791=0,"",[1]对账明细接口!$AA791),"")</f>
        <v/>
      </c>
      <c r="AF791" s="7" t="str">
        <f>IFERROR(IF([1]对账明细接口!$AB791=0,"",[1]对账明细接口!$AB791),"")</f>
        <v/>
      </c>
      <c r="AG791" s="7" t="str">
        <f>IFERROR(IF([1]对账明细接口!$AC791=0,"",[1]对账明细接口!$AC791),"")</f>
        <v/>
      </c>
      <c r="AH791" s="7" t="str">
        <f>IFERROR(IF([1]对账明细接口!$AD791=0,"",[1]对账明细接口!$AD791),"")</f>
        <v/>
      </c>
      <c r="AI791" s="7" t="str">
        <f>IFERROR(IF([1]对账明细接口!$AE791=0,"",[1]对账明细接口!$AE791),"")</f>
        <v/>
      </c>
      <c r="AJ791" s="7" t="str">
        <f>IFERROR(IF([1]对账明细接口!$AF791=0,"",[1]对账明细接口!$AF791),"")</f>
        <v/>
      </c>
    </row>
    <row r="792" ht="14.25" customHeight="1" spans="1:36">
      <c r="A792" s="14">
        <v>792</v>
      </c>
      <c r="B792" s="15" t="str">
        <f>IFERROR(IF([1]对账明细接口!$B$792=0,"",[1]对账明细接口!$B$792),"")</f>
        <v/>
      </c>
      <c r="C792" s="16" t="str">
        <f>IFERROR(IF([1]对账明细接口!$C$792=0,"",[1]对账明细接口!$C$792),"")</f>
        <v/>
      </c>
      <c r="D792" s="16" t="str">
        <f>IFERROR(IF([1]对账明细接口!$D$792=0,"",[1]对账明细接口!$D$792),"")</f>
        <v/>
      </c>
      <c r="E792" s="16" t="str">
        <f>IFERROR(IF([1]对账明细接口!$E$792=0,"",[1]对账明细接口!$E$792),"")</f>
        <v/>
      </c>
      <c r="F792" s="16" t="str">
        <f>IFERROR(IF([1]对账明细接口!$F$792=0,"",[1]对账明细接口!$F$792),"")</f>
        <v/>
      </c>
      <c r="G792" s="16" t="str">
        <f>IFERROR(IF([1]对账明细接口!$G$792=0,"",[1]对账明细接口!$G$792),"")</f>
        <v/>
      </c>
      <c r="H792" s="17" t="str">
        <f>IFERROR(IF([1]对账明细接口!$H$792=0,"",[1]对账明细接口!$H$792),"")</f>
        <v/>
      </c>
      <c r="I792" s="16" t="str">
        <f>IFERROR(IF([1]对账明细接口!$I$792=0,"",[1]对账明细接口!$I$792),"")</f>
        <v/>
      </c>
      <c r="J792" s="18" t="str">
        <f>IFERROR(IF([1]对账明细接口!$J$792=0,"",[1]对账明细接口!$J$792),"")</f>
        <v/>
      </c>
      <c r="K792" s="18" t="str">
        <f>IFERROR(IF([1]对账明细接口!$K$792=0,"",[1]对账明细接口!$K$792),"")</f>
        <v/>
      </c>
      <c r="L792" s="16" t="str">
        <f>IFERROR(IF([1]对账明细接口!$L$792=0,"",[1]对账明细接口!$L$792),"")</f>
        <v/>
      </c>
      <c r="M792" s="16" t="str">
        <f>IFERROR(IF([1]对账明细接口!$M$792=0,"",[1]对账明细接口!$M$792),"")</f>
        <v/>
      </c>
      <c r="N792" s="19">
        <f t="shared" si="24"/>
        <v>0</v>
      </c>
      <c r="O792" s="19">
        <f t="shared" si="25"/>
        <v>420</v>
      </c>
      <c r="S792" s="20" t="str">
        <f>IFERROR(IF([1]对账明细接口!$N792=0,"",[1]对账明细接口!$N792),"")</f>
        <v/>
      </c>
      <c r="T792" s="21" t="str">
        <f>IFERROR(IF([1]对账明细接口!$O792=0,"",[1]对账明细接口!$O792),"")</f>
        <v/>
      </c>
      <c r="U792" s="21" t="str">
        <f>IFERROR(IF([1]对账明细接口!$P792=0,"",[1]对账明细接口!$P792),"")</f>
        <v/>
      </c>
      <c r="V792" s="21" t="str">
        <f>IFERROR(IF([1]对账明细接口!$Q792=0,"",[1]对账明细接口!$Q792),"")</f>
        <v/>
      </c>
      <c r="W792" s="20" t="str">
        <f>IFERROR(IF([1]对账明细接口!$R792=0,"",[1]对账明细接口!$R792),"")</f>
        <v/>
      </c>
      <c r="X792" s="20" t="str">
        <f>IFERROR(IF([1]对账明细接口!$S792=0,"",[1]对账明细接口!$S792),"")</f>
        <v/>
      </c>
      <c r="Y792" s="20" t="str">
        <f>IFERROR(IF([1]对账明细接口!$T792=0,"",[1]对账明细接口!$T792),"")</f>
        <v/>
      </c>
      <c r="Z792" s="24" t="str">
        <f>IFERROR(IF([1]对账明细接口!$U792=0,"",[1]对账明细接口!$U792),"")</f>
        <v/>
      </c>
      <c r="AA792" s="24" t="str">
        <f>IFERROR(IF([1]对账明细接口!$V792=0,"",[1]对账明细接口!$V792),"")</f>
        <v/>
      </c>
      <c r="AB792" s="20" t="str">
        <f>IFERROR(IF([1]对账明细接口!$W792=0,"",[1]对账明细接口!$W792),"")</f>
        <v/>
      </c>
      <c r="AC792" s="7" t="str">
        <f>IFERROR(IF([1]对账明细接口!$X792=0,"",[1]对账明细接口!$X792),"")</f>
        <v/>
      </c>
      <c r="AD792" s="7" t="str">
        <f>IFERROR(IF([1]对账明细接口!$Y792=0,"",[1]对账明细接口!$Y792),"")</f>
        <v/>
      </c>
      <c r="AE792" s="7" t="str">
        <f>IFERROR(IF([1]对账明细接口!$AA792=0,"",[1]对账明细接口!$AA792),"")</f>
        <v/>
      </c>
      <c r="AF792" s="7" t="str">
        <f>IFERROR(IF([1]对账明细接口!$AB792=0,"",[1]对账明细接口!$AB792),"")</f>
        <v/>
      </c>
      <c r="AG792" s="7" t="str">
        <f>IFERROR(IF([1]对账明细接口!$AC792=0,"",[1]对账明细接口!$AC792),"")</f>
        <v/>
      </c>
      <c r="AH792" s="7" t="str">
        <f>IFERROR(IF([1]对账明细接口!$AD792=0,"",[1]对账明细接口!$AD792),"")</f>
        <v/>
      </c>
      <c r="AI792" s="7" t="str">
        <f>IFERROR(IF([1]对账明细接口!$AE792=0,"",[1]对账明细接口!$AE792),"")</f>
        <v/>
      </c>
      <c r="AJ792" s="7" t="str">
        <f>IFERROR(IF([1]对账明细接口!$AF792=0,"",[1]对账明细接口!$AF792),"")</f>
        <v/>
      </c>
    </row>
    <row r="793" ht="14.25" customHeight="1" spans="1:36">
      <c r="A793" s="14">
        <v>793</v>
      </c>
      <c r="B793" s="15" t="str">
        <f>IFERROR(IF([1]对账明细接口!$B$793=0,"",[1]对账明细接口!$B$793),"")</f>
        <v/>
      </c>
      <c r="C793" s="16" t="str">
        <f>IFERROR(IF([1]对账明细接口!$C$793=0,"",[1]对账明细接口!$C$793),"")</f>
        <v/>
      </c>
      <c r="D793" s="16" t="str">
        <f>IFERROR(IF([1]对账明细接口!$D$793=0,"",[1]对账明细接口!$D$793),"")</f>
        <v/>
      </c>
      <c r="E793" s="16" t="str">
        <f>IFERROR(IF([1]对账明细接口!$E$793=0,"",[1]对账明细接口!$E$793),"")</f>
        <v/>
      </c>
      <c r="F793" s="16" t="str">
        <f>IFERROR(IF([1]对账明细接口!$F$793=0,"",[1]对账明细接口!$F$793),"")</f>
        <v/>
      </c>
      <c r="G793" s="16" t="str">
        <f>IFERROR(IF([1]对账明细接口!$G$793=0,"",[1]对账明细接口!$G$793),"")</f>
        <v/>
      </c>
      <c r="H793" s="17" t="str">
        <f>IFERROR(IF([1]对账明细接口!$H$793=0,"",[1]对账明细接口!$H$793),"")</f>
        <v/>
      </c>
      <c r="I793" s="16" t="str">
        <f>IFERROR(IF([1]对账明细接口!$I$793=0,"",[1]对账明细接口!$I$793),"")</f>
        <v/>
      </c>
      <c r="J793" s="18" t="str">
        <f>IFERROR(IF([1]对账明细接口!$J$793=0,"",[1]对账明细接口!$J$793),"")</f>
        <v/>
      </c>
      <c r="K793" s="18" t="str">
        <f>IFERROR(IF([1]对账明细接口!$K$793=0,"",[1]对账明细接口!$K$793),"")</f>
        <v/>
      </c>
      <c r="L793" s="16" t="str">
        <f>IFERROR(IF([1]对账明细接口!$L$793=0,"",[1]对账明细接口!$L$793),"")</f>
        <v/>
      </c>
      <c r="M793" s="16" t="str">
        <f>IFERROR(IF([1]对账明细接口!$M$793=0,"",[1]对账明细接口!$M$793),"")</f>
        <v/>
      </c>
      <c r="N793" s="19">
        <f t="shared" si="24"/>
        <v>0</v>
      </c>
      <c r="O793" s="19">
        <f t="shared" si="25"/>
        <v>420</v>
      </c>
      <c r="S793" s="20" t="str">
        <f>IFERROR(IF([1]对账明细接口!$N793=0,"",[1]对账明细接口!$N793),"")</f>
        <v/>
      </c>
      <c r="T793" s="21" t="str">
        <f>IFERROR(IF([1]对账明细接口!$O793=0,"",[1]对账明细接口!$O793),"")</f>
        <v/>
      </c>
      <c r="U793" s="21" t="str">
        <f>IFERROR(IF([1]对账明细接口!$P793=0,"",[1]对账明细接口!$P793),"")</f>
        <v/>
      </c>
      <c r="V793" s="21" t="str">
        <f>IFERROR(IF([1]对账明细接口!$Q793=0,"",[1]对账明细接口!$Q793),"")</f>
        <v/>
      </c>
      <c r="W793" s="20" t="str">
        <f>IFERROR(IF([1]对账明细接口!$R793=0,"",[1]对账明细接口!$R793),"")</f>
        <v/>
      </c>
      <c r="X793" s="20" t="str">
        <f>IFERROR(IF([1]对账明细接口!$S793=0,"",[1]对账明细接口!$S793),"")</f>
        <v/>
      </c>
      <c r="Y793" s="20" t="str">
        <f>IFERROR(IF([1]对账明细接口!$T793=0,"",[1]对账明细接口!$T793),"")</f>
        <v/>
      </c>
      <c r="Z793" s="24" t="str">
        <f>IFERROR(IF([1]对账明细接口!$U793=0,"",[1]对账明细接口!$U793),"")</f>
        <v/>
      </c>
      <c r="AA793" s="24" t="str">
        <f>IFERROR(IF([1]对账明细接口!$V793=0,"",[1]对账明细接口!$V793),"")</f>
        <v/>
      </c>
      <c r="AB793" s="20" t="str">
        <f>IFERROR(IF([1]对账明细接口!$W793=0,"",[1]对账明细接口!$W793),"")</f>
        <v/>
      </c>
      <c r="AC793" s="7" t="str">
        <f>IFERROR(IF([1]对账明细接口!$X793=0,"",[1]对账明细接口!$X793),"")</f>
        <v/>
      </c>
      <c r="AD793" s="7" t="str">
        <f>IFERROR(IF([1]对账明细接口!$Y793=0,"",[1]对账明细接口!$Y793),"")</f>
        <v/>
      </c>
      <c r="AE793" s="7" t="str">
        <f>IFERROR(IF([1]对账明细接口!$AA793=0,"",[1]对账明细接口!$AA793),"")</f>
        <v/>
      </c>
      <c r="AF793" s="7" t="str">
        <f>IFERROR(IF([1]对账明细接口!$AB793=0,"",[1]对账明细接口!$AB793),"")</f>
        <v/>
      </c>
      <c r="AG793" s="7" t="str">
        <f>IFERROR(IF([1]对账明细接口!$AC793=0,"",[1]对账明细接口!$AC793),"")</f>
        <v/>
      </c>
      <c r="AH793" s="7" t="str">
        <f>IFERROR(IF([1]对账明细接口!$AD793=0,"",[1]对账明细接口!$AD793),"")</f>
        <v/>
      </c>
      <c r="AI793" s="7" t="str">
        <f>IFERROR(IF([1]对账明细接口!$AE793=0,"",[1]对账明细接口!$AE793),"")</f>
        <v/>
      </c>
      <c r="AJ793" s="7" t="str">
        <f>IFERROR(IF([1]对账明细接口!$AF793=0,"",[1]对账明细接口!$AF793),"")</f>
        <v/>
      </c>
    </row>
    <row r="794" ht="14.25" customHeight="1" spans="1:36">
      <c r="A794" s="14">
        <v>794</v>
      </c>
      <c r="B794" s="15" t="str">
        <f>IFERROR(IF([1]对账明细接口!$B$794=0,"",[1]对账明细接口!$B$794),"")</f>
        <v/>
      </c>
      <c r="C794" s="16" t="str">
        <f>IFERROR(IF([1]对账明细接口!$C$794=0,"",[1]对账明细接口!$C$794),"")</f>
        <v/>
      </c>
      <c r="D794" s="16" t="str">
        <f>IFERROR(IF([1]对账明细接口!$D$794=0,"",[1]对账明细接口!$D$794),"")</f>
        <v/>
      </c>
      <c r="E794" s="16" t="str">
        <f>IFERROR(IF([1]对账明细接口!$E$794=0,"",[1]对账明细接口!$E$794),"")</f>
        <v/>
      </c>
      <c r="F794" s="16" t="str">
        <f>IFERROR(IF([1]对账明细接口!$F$794=0,"",[1]对账明细接口!$F$794),"")</f>
        <v/>
      </c>
      <c r="G794" s="16" t="str">
        <f>IFERROR(IF([1]对账明细接口!$G$794=0,"",[1]对账明细接口!$G$794),"")</f>
        <v/>
      </c>
      <c r="H794" s="17" t="str">
        <f>IFERROR(IF([1]对账明细接口!$H$794=0,"",[1]对账明细接口!$H$794),"")</f>
        <v/>
      </c>
      <c r="I794" s="16" t="str">
        <f>IFERROR(IF([1]对账明细接口!$I$794=0,"",[1]对账明细接口!$I$794),"")</f>
        <v/>
      </c>
      <c r="J794" s="18" t="str">
        <f>IFERROR(IF([1]对账明细接口!$J$794=0,"",[1]对账明细接口!$J$794),"")</f>
        <v/>
      </c>
      <c r="K794" s="18" t="str">
        <f>IFERROR(IF([1]对账明细接口!$K$794=0,"",[1]对账明细接口!$K$794),"")</f>
        <v/>
      </c>
      <c r="L794" s="16" t="str">
        <f>IFERROR(IF([1]对账明细接口!$L$794=0,"",[1]对账明细接口!$L$794),"")</f>
        <v/>
      </c>
      <c r="M794" s="16" t="str">
        <f>IFERROR(IF([1]对账明细接口!$M$794=0,"",[1]对账明细接口!$M$794),"")</f>
        <v/>
      </c>
      <c r="N794" s="19">
        <f t="shared" si="24"/>
        <v>0</v>
      </c>
      <c r="O794" s="19">
        <f t="shared" si="25"/>
        <v>420</v>
      </c>
      <c r="S794" s="20" t="str">
        <f>IFERROR(IF([1]对账明细接口!$N794=0,"",[1]对账明细接口!$N794),"")</f>
        <v/>
      </c>
      <c r="T794" s="21" t="str">
        <f>IFERROR(IF([1]对账明细接口!$O794=0,"",[1]对账明细接口!$O794),"")</f>
        <v/>
      </c>
      <c r="U794" s="21" t="str">
        <f>IFERROR(IF([1]对账明细接口!$P794=0,"",[1]对账明细接口!$P794),"")</f>
        <v/>
      </c>
      <c r="V794" s="21" t="str">
        <f>IFERROR(IF([1]对账明细接口!$Q794=0,"",[1]对账明细接口!$Q794),"")</f>
        <v/>
      </c>
      <c r="W794" s="20" t="str">
        <f>IFERROR(IF([1]对账明细接口!$R794=0,"",[1]对账明细接口!$R794),"")</f>
        <v/>
      </c>
      <c r="X794" s="20" t="str">
        <f>IFERROR(IF([1]对账明细接口!$S794=0,"",[1]对账明细接口!$S794),"")</f>
        <v/>
      </c>
      <c r="Y794" s="20" t="str">
        <f>IFERROR(IF([1]对账明细接口!$T794=0,"",[1]对账明细接口!$T794),"")</f>
        <v/>
      </c>
      <c r="Z794" s="24" t="str">
        <f>IFERROR(IF([1]对账明细接口!$U794=0,"",[1]对账明细接口!$U794),"")</f>
        <v/>
      </c>
      <c r="AA794" s="24" t="str">
        <f>IFERROR(IF([1]对账明细接口!$V794=0,"",[1]对账明细接口!$V794),"")</f>
        <v/>
      </c>
      <c r="AB794" s="20" t="str">
        <f>IFERROR(IF([1]对账明细接口!$W794=0,"",[1]对账明细接口!$W794),"")</f>
        <v/>
      </c>
      <c r="AC794" s="7" t="str">
        <f>IFERROR(IF([1]对账明细接口!$X794=0,"",[1]对账明细接口!$X794),"")</f>
        <v/>
      </c>
      <c r="AD794" s="7" t="str">
        <f>IFERROR(IF([1]对账明细接口!$Y794=0,"",[1]对账明细接口!$Y794),"")</f>
        <v/>
      </c>
      <c r="AE794" s="7" t="str">
        <f>IFERROR(IF([1]对账明细接口!$AA794=0,"",[1]对账明细接口!$AA794),"")</f>
        <v/>
      </c>
      <c r="AF794" s="7" t="str">
        <f>IFERROR(IF([1]对账明细接口!$AB794=0,"",[1]对账明细接口!$AB794),"")</f>
        <v/>
      </c>
      <c r="AG794" s="7" t="str">
        <f>IFERROR(IF([1]对账明细接口!$AC794=0,"",[1]对账明细接口!$AC794),"")</f>
        <v/>
      </c>
      <c r="AH794" s="7" t="str">
        <f>IFERROR(IF([1]对账明细接口!$AD794=0,"",[1]对账明细接口!$AD794),"")</f>
        <v/>
      </c>
      <c r="AI794" s="7" t="str">
        <f>IFERROR(IF([1]对账明细接口!$AE794=0,"",[1]对账明细接口!$AE794),"")</f>
        <v/>
      </c>
      <c r="AJ794" s="7" t="str">
        <f>IFERROR(IF([1]对账明细接口!$AF794=0,"",[1]对账明细接口!$AF794),"")</f>
        <v/>
      </c>
    </row>
    <row r="795" ht="14.25" customHeight="1" spans="1:36">
      <c r="A795" s="14">
        <v>795</v>
      </c>
      <c r="B795" s="15" t="str">
        <f>IFERROR(IF([1]对账明细接口!$B$795=0,"",[1]对账明细接口!$B$795),"")</f>
        <v/>
      </c>
      <c r="C795" s="16" t="str">
        <f>IFERROR(IF([1]对账明细接口!$C$795=0,"",[1]对账明细接口!$C$795),"")</f>
        <v/>
      </c>
      <c r="D795" s="16" t="str">
        <f>IFERROR(IF([1]对账明细接口!$D$795=0,"",[1]对账明细接口!$D$795),"")</f>
        <v/>
      </c>
      <c r="E795" s="16" t="str">
        <f>IFERROR(IF([1]对账明细接口!$E$795=0,"",[1]对账明细接口!$E$795),"")</f>
        <v/>
      </c>
      <c r="F795" s="16" t="str">
        <f>IFERROR(IF([1]对账明细接口!$F$795=0,"",[1]对账明细接口!$F$795),"")</f>
        <v/>
      </c>
      <c r="G795" s="16" t="str">
        <f>IFERROR(IF([1]对账明细接口!$G$795=0,"",[1]对账明细接口!$G$795),"")</f>
        <v/>
      </c>
      <c r="H795" s="17" t="str">
        <f>IFERROR(IF([1]对账明细接口!$H$795=0,"",[1]对账明细接口!$H$795),"")</f>
        <v/>
      </c>
      <c r="I795" s="16" t="str">
        <f>IFERROR(IF([1]对账明细接口!$I$795=0,"",[1]对账明细接口!$I$795),"")</f>
        <v/>
      </c>
      <c r="J795" s="18" t="str">
        <f>IFERROR(IF([1]对账明细接口!$J$795=0,"",[1]对账明细接口!$J$795),"")</f>
        <v/>
      </c>
      <c r="K795" s="18" t="str">
        <f>IFERROR(IF([1]对账明细接口!$K$795=0,"",[1]对账明细接口!$K$795),"")</f>
        <v/>
      </c>
      <c r="L795" s="16" t="str">
        <f>IFERROR(IF([1]对账明细接口!$L$795=0,"",[1]对账明细接口!$L$795),"")</f>
        <v/>
      </c>
      <c r="M795" s="16" t="str">
        <f>IFERROR(IF([1]对账明细接口!$M$795=0,"",[1]对账明细接口!$M$795),"")</f>
        <v/>
      </c>
      <c r="N795" s="19">
        <f t="shared" si="24"/>
        <v>0</v>
      </c>
      <c r="O795" s="19">
        <f t="shared" si="25"/>
        <v>420</v>
      </c>
      <c r="S795" s="20" t="str">
        <f>IFERROR(IF([1]对账明细接口!$N795=0,"",[1]对账明细接口!$N795),"")</f>
        <v/>
      </c>
      <c r="T795" s="21" t="str">
        <f>IFERROR(IF([1]对账明细接口!$O795=0,"",[1]对账明细接口!$O795),"")</f>
        <v/>
      </c>
      <c r="U795" s="21" t="str">
        <f>IFERROR(IF([1]对账明细接口!$P795=0,"",[1]对账明细接口!$P795),"")</f>
        <v/>
      </c>
      <c r="V795" s="21" t="str">
        <f>IFERROR(IF([1]对账明细接口!$Q795=0,"",[1]对账明细接口!$Q795),"")</f>
        <v/>
      </c>
      <c r="W795" s="20" t="str">
        <f>IFERROR(IF([1]对账明细接口!$R795=0,"",[1]对账明细接口!$R795),"")</f>
        <v/>
      </c>
      <c r="X795" s="20" t="str">
        <f>IFERROR(IF([1]对账明细接口!$S795=0,"",[1]对账明细接口!$S795),"")</f>
        <v/>
      </c>
      <c r="Y795" s="20" t="str">
        <f>IFERROR(IF([1]对账明细接口!$T795=0,"",[1]对账明细接口!$T795),"")</f>
        <v/>
      </c>
      <c r="Z795" s="24" t="str">
        <f>IFERROR(IF([1]对账明细接口!$U795=0,"",[1]对账明细接口!$U795),"")</f>
        <v/>
      </c>
      <c r="AA795" s="24" t="str">
        <f>IFERROR(IF([1]对账明细接口!$V795=0,"",[1]对账明细接口!$V795),"")</f>
        <v/>
      </c>
      <c r="AB795" s="20" t="str">
        <f>IFERROR(IF([1]对账明细接口!$W795=0,"",[1]对账明细接口!$W795),"")</f>
        <v/>
      </c>
      <c r="AC795" s="7" t="str">
        <f>IFERROR(IF([1]对账明细接口!$X795=0,"",[1]对账明细接口!$X795),"")</f>
        <v/>
      </c>
      <c r="AD795" s="7" t="str">
        <f>IFERROR(IF([1]对账明细接口!$Y795=0,"",[1]对账明细接口!$Y795),"")</f>
        <v/>
      </c>
      <c r="AE795" s="7" t="str">
        <f>IFERROR(IF([1]对账明细接口!$AA795=0,"",[1]对账明细接口!$AA795),"")</f>
        <v/>
      </c>
      <c r="AF795" s="7" t="str">
        <f>IFERROR(IF([1]对账明细接口!$AB795=0,"",[1]对账明细接口!$AB795),"")</f>
        <v/>
      </c>
      <c r="AG795" s="7" t="str">
        <f>IFERROR(IF([1]对账明细接口!$AC795=0,"",[1]对账明细接口!$AC795),"")</f>
        <v/>
      </c>
      <c r="AH795" s="7" t="str">
        <f>IFERROR(IF([1]对账明细接口!$AD795=0,"",[1]对账明细接口!$AD795),"")</f>
        <v/>
      </c>
      <c r="AI795" s="7" t="str">
        <f>IFERROR(IF([1]对账明细接口!$AE795=0,"",[1]对账明细接口!$AE795),"")</f>
        <v/>
      </c>
      <c r="AJ795" s="7" t="str">
        <f>IFERROR(IF([1]对账明细接口!$AF795=0,"",[1]对账明细接口!$AF795),"")</f>
        <v/>
      </c>
    </row>
    <row r="796" ht="14.25" customHeight="1" spans="1:36">
      <c r="A796" s="14">
        <v>796</v>
      </c>
      <c r="B796" s="15" t="str">
        <f>IFERROR(IF([1]对账明细接口!$B$796=0,"",[1]对账明细接口!$B$796),"")</f>
        <v/>
      </c>
      <c r="C796" s="16" t="str">
        <f>IFERROR(IF([1]对账明细接口!$C$796=0,"",[1]对账明细接口!$C$796),"")</f>
        <v/>
      </c>
      <c r="D796" s="16" t="str">
        <f>IFERROR(IF([1]对账明细接口!$D$796=0,"",[1]对账明细接口!$D$796),"")</f>
        <v/>
      </c>
      <c r="E796" s="16" t="str">
        <f>IFERROR(IF([1]对账明细接口!$E$796=0,"",[1]对账明细接口!$E$796),"")</f>
        <v/>
      </c>
      <c r="F796" s="16" t="str">
        <f>IFERROR(IF([1]对账明细接口!$F$796=0,"",[1]对账明细接口!$F$796),"")</f>
        <v/>
      </c>
      <c r="G796" s="16" t="str">
        <f>IFERROR(IF([1]对账明细接口!$G$796=0,"",[1]对账明细接口!$G$796),"")</f>
        <v/>
      </c>
      <c r="H796" s="17" t="str">
        <f>IFERROR(IF([1]对账明细接口!$H$796=0,"",[1]对账明细接口!$H$796),"")</f>
        <v/>
      </c>
      <c r="I796" s="16" t="str">
        <f>IFERROR(IF([1]对账明细接口!$I$796=0,"",[1]对账明细接口!$I$796),"")</f>
        <v/>
      </c>
      <c r="J796" s="18" t="str">
        <f>IFERROR(IF([1]对账明细接口!$J$796=0,"",[1]对账明细接口!$J$796),"")</f>
        <v/>
      </c>
      <c r="K796" s="18" t="str">
        <f>IFERROR(IF([1]对账明细接口!$K$796=0,"",[1]对账明细接口!$K$796),"")</f>
        <v/>
      </c>
      <c r="L796" s="16" t="str">
        <f>IFERROR(IF([1]对账明细接口!$L$796=0,"",[1]对账明细接口!$L$796),"")</f>
        <v/>
      </c>
      <c r="M796" s="16" t="str">
        <f>IFERROR(IF([1]对账明细接口!$M$796=0,"",[1]对账明细接口!$M$796),"")</f>
        <v/>
      </c>
      <c r="N796" s="19">
        <f t="shared" si="24"/>
        <v>0</v>
      </c>
      <c r="O796" s="19">
        <f t="shared" si="25"/>
        <v>420</v>
      </c>
      <c r="S796" s="20" t="str">
        <f>IFERROR(IF([1]对账明细接口!$N796=0,"",[1]对账明细接口!$N796),"")</f>
        <v/>
      </c>
      <c r="T796" s="21" t="str">
        <f>IFERROR(IF([1]对账明细接口!$O796=0,"",[1]对账明细接口!$O796),"")</f>
        <v/>
      </c>
      <c r="U796" s="21" t="str">
        <f>IFERROR(IF([1]对账明细接口!$P796=0,"",[1]对账明细接口!$P796),"")</f>
        <v/>
      </c>
      <c r="V796" s="21" t="str">
        <f>IFERROR(IF([1]对账明细接口!$Q796=0,"",[1]对账明细接口!$Q796),"")</f>
        <v/>
      </c>
      <c r="W796" s="20" t="str">
        <f>IFERROR(IF([1]对账明细接口!$R796=0,"",[1]对账明细接口!$R796),"")</f>
        <v/>
      </c>
      <c r="X796" s="20" t="str">
        <f>IFERROR(IF([1]对账明细接口!$S796=0,"",[1]对账明细接口!$S796),"")</f>
        <v/>
      </c>
      <c r="Y796" s="20" t="str">
        <f>IFERROR(IF([1]对账明细接口!$T796=0,"",[1]对账明细接口!$T796),"")</f>
        <v/>
      </c>
      <c r="Z796" s="24" t="str">
        <f>IFERROR(IF([1]对账明细接口!$U796=0,"",[1]对账明细接口!$U796),"")</f>
        <v/>
      </c>
      <c r="AA796" s="24" t="str">
        <f>IFERROR(IF([1]对账明细接口!$V796=0,"",[1]对账明细接口!$V796),"")</f>
        <v/>
      </c>
      <c r="AB796" s="20" t="str">
        <f>IFERROR(IF([1]对账明细接口!$W796=0,"",[1]对账明细接口!$W796),"")</f>
        <v/>
      </c>
      <c r="AC796" s="7" t="str">
        <f>IFERROR(IF([1]对账明细接口!$X796=0,"",[1]对账明细接口!$X796),"")</f>
        <v/>
      </c>
      <c r="AD796" s="7" t="str">
        <f>IFERROR(IF([1]对账明细接口!$Y796=0,"",[1]对账明细接口!$Y796),"")</f>
        <v/>
      </c>
      <c r="AE796" s="7" t="str">
        <f>IFERROR(IF([1]对账明细接口!$AA796=0,"",[1]对账明细接口!$AA796),"")</f>
        <v/>
      </c>
      <c r="AF796" s="7" t="str">
        <f>IFERROR(IF([1]对账明细接口!$AB796=0,"",[1]对账明细接口!$AB796),"")</f>
        <v/>
      </c>
      <c r="AG796" s="7" t="str">
        <f>IFERROR(IF([1]对账明细接口!$AC796=0,"",[1]对账明细接口!$AC796),"")</f>
        <v/>
      </c>
      <c r="AH796" s="7" t="str">
        <f>IFERROR(IF([1]对账明细接口!$AD796=0,"",[1]对账明细接口!$AD796),"")</f>
        <v/>
      </c>
      <c r="AI796" s="7" t="str">
        <f>IFERROR(IF([1]对账明细接口!$AE796=0,"",[1]对账明细接口!$AE796),"")</f>
        <v/>
      </c>
      <c r="AJ796" s="7" t="str">
        <f>IFERROR(IF([1]对账明细接口!$AF796=0,"",[1]对账明细接口!$AF796),"")</f>
        <v/>
      </c>
    </row>
    <row r="797" ht="14.25" customHeight="1" spans="1:36">
      <c r="A797" s="14">
        <v>797</v>
      </c>
      <c r="B797" s="15" t="str">
        <f>IFERROR(IF([1]对账明细接口!$B$797=0,"",[1]对账明细接口!$B$797),"")</f>
        <v/>
      </c>
      <c r="C797" s="16" t="str">
        <f>IFERROR(IF([1]对账明细接口!$C$797=0,"",[1]对账明细接口!$C$797),"")</f>
        <v/>
      </c>
      <c r="D797" s="16" t="str">
        <f>IFERROR(IF([1]对账明细接口!$D$797=0,"",[1]对账明细接口!$D$797),"")</f>
        <v/>
      </c>
      <c r="E797" s="16" t="str">
        <f>IFERROR(IF([1]对账明细接口!$E$797=0,"",[1]对账明细接口!$E$797),"")</f>
        <v/>
      </c>
      <c r="F797" s="16" t="str">
        <f>IFERROR(IF([1]对账明细接口!$F$797=0,"",[1]对账明细接口!$F$797),"")</f>
        <v/>
      </c>
      <c r="G797" s="16" t="str">
        <f>IFERROR(IF([1]对账明细接口!$G$797=0,"",[1]对账明细接口!$G$797),"")</f>
        <v/>
      </c>
      <c r="H797" s="17" t="str">
        <f>IFERROR(IF([1]对账明细接口!$H$797=0,"",[1]对账明细接口!$H$797),"")</f>
        <v/>
      </c>
      <c r="I797" s="16" t="str">
        <f>IFERROR(IF([1]对账明细接口!$I$797=0,"",[1]对账明细接口!$I$797),"")</f>
        <v/>
      </c>
      <c r="J797" s="18" t="str">
        <f>IFERROR(IF([1]对账明细接口!$J$797=0,"",[1]对账明细接口!$J$797),"")</f>
        <v/>
      </c>
      <c r="K797" s="18" t="str">
        <f>IFERROR(IF([1]对账明细接口!$K$797=0,"",[1]对账明细接口!$K$797),"")</f>
        <v/>
      </c>
      <c r="L797" s="16" t="str">
        <f>IFERROR(IF([1]对账明细接口!$L$797=0,"",[1]对账明细接口!$L$797),"")</f>
        <v/>
      </c>
      <c r="M797" s="16" t="str">
        <f>IFERROR(IF([1]对账明细接口!$M$797=0,"",[1]对账明细接口!$M$797),"")</f>
        <v/>
      </c>
      <c r="N797" s="19">
        <f t="shared" si="24"/>
        <v>0</v>
      </c>
      <c r="O797" s="19">
        <f t="shared" si="25"/>
        <v>420</v>
      </c>
      <c r="S797" s="20" t="str">
        <f>IFERROR(IF([1]对账明细接口!$N797=0,"",[1]对账明细接口!$N797),"")</f>
        <v/>
      </c>
      <c r="T797" s="21" t="str">
        <f>IFERROR(IF([1]对账明细接口!$O797=0,"",[1]对账明细接口!$O797),"")</f>
        <v/>
      </c>
      <c r="U797" s="21" t="str">
        <f>IFERROR(IF([1]对账明细接口!$P797=0,"",[1]对账明细接口!$P797),"")</f>
        <v/>
      </c>
      <c r="V797" s="21" t="str">
        <f>IFERROR(IF([1]对账明细接口!$Q797=0,"",[1]对账明细接口!$Q797),"")</f>
        <v/>
      </c>
      <c r="W797" s="20" t="str">
        <f>IFERROR(IF([1]对账明细接口!$R797=0,"",[1]对账明细接口!$R797),"")</f>
        <v/>
      </c>
      <c r="X797" s="20" t="str">
        <f>IFERROR(IF([1]对账明细接口!$S797=0,"",[1]对账明细接口!$S797),"")</f>
        <v/>
      </c>
      <c r="Y797" s="20" t="str">
        <f>IFERROR(IF([1]对账明细接口!$T797=0,"",[1]对账明细接口!$T797),"")</f>
        <v/>
      </c>
      <c r="Z797" s="24" t="str">
        <f>IFERROR(IF([1]对账明细接口!$U797=0,"",[1]对账明细接口!$U797),"")</f>
        <v/>
      </c>
      <c r="AA797" s="24" t="str">
        <f>IFERROR(IF([1]对账明细接口!$V797=0,"",[1]对账明细接口!$V797),"")</f>
        <v/>
      </c>
      <c r="AB797" s="20" t="str">
        <f>IFERROR(IF([1]对账明细接口!$W797=0,"",[1]对账明细接口!$W797),"")</f>
        <v/>
      </c>
      <c r="AC797" s="7" t="str">
        <f>IFERROR(IF([1]对账明细接口!$X797=0,"",[1]对账明细接口!$X797),"")</f>
        <v/>
      </c>
      <c r="AD797" s="7" t="str">
        <f>IFERROR(IF([1]对账明细接口!$Y797=0,"",[1]对账明细接口!$Y797),"")</f>
        <v/>
      </c>
      <c r="AE797" s="7" t="str">
        <f>IFERROR(IF([1]对账明细接口!$AA797=0,"",[1]对账明细接口!$AA797),"")</f>
        <v/>
      </c>
      <c r="AF797" s="7" t="str">
        <f>IFERROR(IF([1]对账明细接口!$AB797=0,"",[1]对账明细接口!$AB797),"")</f>
        <v/>
      </c>
      <c r="AG797" s="7" t="str">
        <f>IFERROR(IF([1]对账明细接口!$AC797=0,"",[1]对账明细接口!$AC797),"")</f>
        <v/>
      </c>
      <c r="AH797" s="7" t="str">
        <f>IFERROR(IF([1]对账明细接口!$AD797=0,"",[1]对账明细接口!$AD797),"")</f>
        <v/>
      </c>
      <c r="AI797" s="7" t="str">
        <f>IFERROR(IF([1]对账明细接口!$AE797=0,"",[1]对账明细接口!$AE797),"")</f>
        <v/>
      </c>
      <c r="AJ797" s="7" t="str">
        <f>IFERROR(IF([1]对账明细接口!$AF797=0,"",[1]对账明细接口!$AF797),"")</f>
        <v/>
      </c>
    </row>
    <row r="798" ht="14.25" customHeight="1" spans="1:36">
      <c r="A798" s="14">
        <v>798</v>
      </c>
      <c r="B798" s="15" t="str">
        <f>IFERROR(IF([1]对账明细接口!$B$798=0,"",[1]对账明细接口!$B$798),"")</f>
        <v/>
      </c>
      <c r="C798" s="16" t="str">
        <f>IFERROR(IF([1]对账明细接口!$C$798=0,"",[1]对账明细接口!$C$798),"")</f>
        <v/>
      </c>
      <c r="D798" s="16" t="str">
        <f>IFERROR(IF([1]对账明细接口!$D$798=0,"",[1]对账明细接口!$D$798),"")</f>
        <v/>
      </c>
      <c r="E798" s="16" t="str">
        <f>IFERROR(IF([1]对账明细接口!$E$798=0,"",[1]对账明细接口!$E$798),"")</f>
        <v/>
      </c>
      <c r="F798" s="16" t="str">
        <f>IFERROR(IF([1]对账明细接口!$F$798=0,"",[1]对账明细接口!$F$798),"")</f>
        <v/>
      </c>
      <c r="G798" s="16" t="str">
        <f>IFERROR(IF([1]对账明细接口!$G$798=0,"",[1]对账明细接口!$G$798),"")</f>
        <v/>
      </c>
      <c r="H798" s="17" t="str">
        <f>IFERROR(IF([1]对账明细接口!$H$798=0,"",[1]对账明细接口!$H$798),"")</f>
        <v/>
      </c>
      <c r="I798" s="16" t="str">
        <f>IFERROR(IF([1]对账明细接口!$I$798=0,"",[1]对账明细接口!$I$798),"")</f>
        <v/>
      </c>
      <c r="J798" s="18" t="str">
        <f>IFERROR(IF([1]对账明细接口!$J$798=0,"",[1]对账明细接口!$J$798),"")</f>
        <v/>
      </c>
      <c r="K798" s="18" t="str">
        <f>IFERROR(IF([1]对账明细接口!$K$798=0,"",[1]对账明细接口!$K$798),"")</f>
        <v/>
      </c>
      <c r="L798" s="16" t="str">
        <f>IFERROR(IF([1]对账明细接口!$L$798=0,"",[1]对账明细接口!$L$798),"")</f>
        <v/>
      </c>
      <c r="M798" s="16" t="str">
        <f>IFERROR(IF([1]对账明细接口!$M$798=0,"",[1]对账明细接口!$M$798),"")</f>
        <v/>
      </c>
      <c r="N798" s="19">
        <f t="shared" si="24"/>
        <v>0</v>
      </c>
      <c r="O798" s="19">
        <f t="shared" si="25"/>
        <v>420</v>
      </c>
      <c r="S798" s="20" t="str">
        <f>IFERROR(IF([1]对账明细接口!$N798=0,"",[1]对账明细接口!$N798),"")</f>
        <v/>
      </c>
      <c r="T798" s="21" t="str">
        <f>IFERROR(IF([1]对账明细接口!$O798=0,"",[1]对账明细接口!$O798),"")</f>
        <v/>
      </c>
      <c r="U798" s="21" t="str">
        <f>IFERROR(IF([1]对账明细接口!$P798=0,"",[1]对账明细接口!$P798),"")</f>
        <v/>
      </c>
      <c r="V798" s="21" t="str">
        <f>IFERROR(IF([1]对账明细接口!$Q798=0,"",[1]对账明细接口!$Q798),"")</f>
        <v/>
      </c>
      <c r="W798" s="20" t="str">
        <f>IFERROR(IF([1]对账明细接口!$R798=0,"",[1]对账明细接口!$R798),"")</f>
        <v/>
      </c>
      <c r="X798" s="20" t="str">
        <f>IFERROR(IF([1]对账明细接口!$S798=0,"",[1]对账明细接口!$S798),"")</f>
        <v/>
      </c>
      <c r="Y798" s="20" t="str">
        <f>IFERROR(IF([1]对账明细接口!$T798=0,"",[1]对账明细接口!$T798),"")</f>
        <v/>
      </c>
      <c r="Z798" s="24" t="str">
        <f>IFERROR(IF([1]对账明细接口!$U798=0,"",[1]对账明细接口!$U798),"")</f>
        <v/>
      </c>
      <c r="AA798" s="24" t="str">
        <f>IFERROR(IF([1]对账明细接口!$V798=0,"",[1]对账明细接口!$V798),"")</f>
        <v/>
      </c>
      <c r="AB798" s="20" t="str">
        <f>IFERROR(IF([1]对账明细接口!$W798=0,"",[1]对账明细接口!$W798),"")</f>
        <v/>
      </c>
      <c r="AC798" s="7" t="str">
        <f>IFERROR(IF([1]对账明细接口!$X798=0,"",[1]对账明细接口!$X798),"")</f>
        <v/>
      </c>
      <c r="AD798" s="7" t="str">
        <f>IFERROR(IF([1]对账明细接口!$Y798=0,"",[1]对账明细接口!$Y798),"")</f>
        <v/>
      </c>
      <c r="AE798" s="7" t="str">
        <f>IFERROR(IF([1]对账明细接口!$AA798=0,"",[1]对账明细接口!$AA798),"")</f>
        <v/>
      </c>
      <c r="AF798" s="7" t="str">
        <f>IFERROR(IF([1]对账明细接口!$AB798=0,"",[1]对账明细接口!$AB798),"")</f>
        <v/>
      </c>
      <c r="AG798" s="7" t="str">
        <f>IFERROR(IF([1]对账明细接口!$AC798=0,"",[1]对账明细接口!$AC798),"")</f>
        <v/>
      </c>
      <c r="AH798" s="7" t="str">
        <f>IFERROR(IF([1]对账明细接口!$AD798=0,"",[1]对账明细接口!$AD798),"")</f>
        <v/>
      </c>
      <c r="AI798" s="7" t="str">
        <f>IFERROR(IF([1]对账明细接口!$AE798=0,"",[1]对账明细接口!$AE798),"")</f>
        <v/>
      </c>
      <c r="AJ798" s="7" t="str">
        <f>IFERROR(IF([1]对账明细接口!$AF798=0,"",[1]对账明细接口!$AF798),"")</f>
        <v/>
      </c>
    </row>
    <row r="799" ht="14.25" customHeight="1" spans="1:36">
      <c r="A799" s="14">
        <v>799</v>
      </c>
      <c r="B799" s="15" t="str">
        <f>IFERROR(IF([1]对账明细接口!$B$799=0,"",[1]对账明细接口!$B$799),"")</f>
        <v/>
      </c>
      <c r="C799" s="16" t="str">
        <f>IFERROR(IF([1]对账明细接口!$C$799=0,"",[1]对账明细接口!$C$799),"")</f>
        <v/>
      </c>
      <c r="D799" s="16" t="str">
        <f>IFERROR(IF([1]对账明细接口!$D$799=0,"",[1]对账明细接口!$D$799),"")</f>
        <v/>
      </c>
      <c r="E799" s="16" t="str">
        <f>IFERROR(IF([1]对账明细接口!$E$799=0,"",[1]对账明细接口!$E$799),"")</f>
        <v/>
      </c>
      <c r="F799" s="16" t="str">
        <f>IFERROR(IF([1]对账明细接口!$F$799=0,"",[1]对账明细接口!$F$799),"")</f>
        <v/>
      </c>
      <c r="G799" s="16" t="str">
        <f>IFERROR(IF([1]对账明细接口!$G$799=0,"",[1]对账明细接口!$G$799),"")</f>
        <v/>
      </c>
      <c r="H799" s="17" t="str">
        <f>IFERROR(IF([1]对账明细接口!$H$799=0,"",[1]对账明细接口!$H$799),"")</f>
        <v/>
      </c>
      <c r="I799" s="16" t="str">
        <f>IFERROR(IF([1]对账明细接口!$I$799=0,"",[1]对账明细接口!$I$799),"")</f>
        <v/>
      </c>
      <c r="J799" s="18" t="str">
        <f>IFERROR(IF([1]对账明细接口!$J$799=0,"",[1]对账明细接口!$J$799),"")</f>
        <v/>
      </c>
      <c r="K799" s="18" t="str">
        <f>IFERROR(IF([1]对账明细接口!$K$799=0,"",[1]对账明细接口!$K$799),"")</f>
        <v/>
      </c>
      <c r="L799" s="16" t="str">
        <f>IFERROR(IF([1]对账明细接口!$L$799=0,"",[1]对账明细接口!$L$799),"")</f>
        <v/>
      </c>
      <c r="M799" s="16" t="str">
        <f>IFERROR(IF([1]对账明细接口!$M$799=0,"",[1]对账明细接口!$M$799),"")</f>
        <v/>
      </c>
      <c r="N799" s="19">
        <f t="shared" si="24"/>
        <v>0</v>
      </c>
      <c r="O799" s="19">
        <f t="shared" si="25"/>
        <v>420</v>
      </c>
      <c r="S799" s="20" t="str">
        <f>IFERROR(IF([1]对账明细接口!$N799=0,"",[1]对账明细接口!$N799),"")</f>
        <v/>
      </c>
      <c r="T799" s="21" t="str">
        <f>IFERROR(IF([1]对账明细接口!$O799=0,"",[1]对账明细接口!$O799),"")</f>
        <v/>
      </c>
      <c r="U799" s="21" t="str">
        <f>IFERROR(IF([1]对账明细接口!$P799=0,"",[1]对账明细接口!$P799),"")</f>
        <v/>
      </c>
      <c r="V799" s="21" t="str">
        <f>IFERROR(IF([1]对账明细接口!$Q799=0,"",[1]对账明细接口!$Q799),"")</f>
        <v/>
      </c>
      <c r="W799" s="20" t="str">
        <f>IFERROR(IF([1]对账明细接口!$R799=0,"",[1]对账明细接口!$R799),"")</f>
        <v/>
      </c>
      <c r="X799" s="20" t="str">
        <f>IFERROR(IF([1]对账明细接口!$S799=0,"",[1]对账明细接口!$S799),"")</f>
        <v/>
      </c>
      <c r="Y799" s="20" t="str">
        <f>IFERROR(IF([1]对账明细接口!$T799=0,"",[1]对账明细接口!$T799),"")</f>
        <v/>
      </c>
      <c r="Z799" s="24" t="str">
        <f>IFERROR(IF([1]对账明细接口!$U799=0,"",[1]对账明细接口!$U799),"")</f>
        <v/>
      </c>
      <c r="AA799" s="24" t="str">
        <f>IFERROR(IF([1]对账明细接口!$V799=0,"",[1]对账明细接口!$V799),"")</f>
        <v/>
      </c>
      <c r="AB799" s="20" t="str">
        <f>IFERROR(IF([1]对账明细接口!$W799=0,"",[1]对账明细接口!$W799),"")</f>
        <v/>
      </c>
      <c r="AC799" s="7" t="str">
        <f>IFERROR(IF([1]对账明细接口!$X799=0,"",[1]对账明细接口!$X799),"")</f>
        <v/>
      </c>
      <c r="AD799" s="7" t="str">
        <f>IFERROR(IF([1]对账明细接口!$Y799=0,"",[1]对账明细接口!$Y799),"")</f>
        <v/>
      </c>
      <c r="AE799" s="7" t="str">
        <f>IFERROR(IF([1]对账明细接口!$AA799=0,"",[1]对账明细接口!$AA799),"")</f>
        <v/>
      </c>
      <c r="AF799" s="7" t="str">
        <f>IFERROR(IF([1]对账明细接口!$AB799=0,"",[1]对账明细接口!$AB799),"")</f>
        <v/>
      </c>
      <c r="AG799" s="7" t="str">
        <f>IFERROR(IF([1]对账明细接口!$AC799=0,"",[1]对账明细接口!$AC799),"")</f>
        <v/>
      </c>
      <c r="AH799" s="7" t="str">
        <f>IFERROR(IF([1]对账明细接口!$AD799=0,"",[1]对账明细接口!$AD799),"")</f>
        <v/>
      </c>
      <c r="AI799" s="7" t="str">
        <f>IFERROR(IF([1]对账明细接口!$AE799=0,"",[1]对账明细接口!$AE799),"")</f>
        <v/>
      </c>
      <c r="AJ799" s="7" t="str">
        <f>IFERROR(IF([1]对账明细接口!$AF799=0,"",[1]对账明细接口!$AF799),"")</f>
        <v/>
      </c>
    </row>
    <row r="800" ht="14.25" customHeight="1" spans="1:36">
      <c r="A800" s="14">
        <v>800</v>
      </c>
      <c r="B800" s="15" t="str">
        <f>IFERROR(IF([1]对账明细接口!$B$800=0,"",[1]对账明细接口!$B$800),"")</f>
        <v/>
      </c>
      <c r="C800" s="16" t="str">
        <f>IFERROR(IF([1]对账明细接口!$C$800=0,"",[1]对账明细接口!$C$800),"")</f>
        <v/>
      </c>
      <c r="D800" s="16" t="str">
        <f>IFERROR(IF([1]对账明细接口!$D$800=0,"",[1]对账明细接口!$D$800),"")</f>
        <v/>
      </c>
      <c r="E800" s="16" t="str">
        <f>IFERROR(IF([1]对账明细接口!$E$800=0,"",[1]对账明细接口!$E$800),"")</f>
        <v/>
      </c>
      <c r="F800" s="16" t="str">
        <f>IFERROR(IF([1]对账明细接口!$F$800=0,"",[1]对账明细接口!$F$800),"")</f>
        <v/>
      </c>
      <c r="G800" s="16" t="str">
        <f>IFERROR(IF([1]对账明细接口!$G$800=0,"",[1]对账明细接口!$G$800),"")</f>
        <v/>
      </c>
      <c r="H800" s="17" t="str">
        <f>IFERROR(IF([1]对账明细接口!$H$800=0,"",[1]对账明细接口!$H$800),"")</f>
        <v/>
      </c>
      <c r="I800" s="16" t="str">
        <f>IFERROR(IF([1]对账明细接口!$I$800=0,"",[1]对账明细接口!$I$800),"")</f>
        <v/>
      </c>
      <c r="J800" s="18" t="str">
        <f>IFERROR(IF([1]对账明细接口!$J$800=0,"",[1]对账明细接口!$J$800),"")</f>
        <v/>
      </c>
      <c r="K800" s="18" t="str">
        <f>IFERROR(IF([1]对账明细接口!$K$800=0,"",[1]对账明细接口!$K$800),"")</f>
        <v/>
      </c>
      <c r="L800" s="16" t="str">
        <f>IFERROR(IF([1]对账明细接口!$L$800=0,"",[1]对账明细接口!$L$800),"")</f>
        <v/>
      </c>
      <c r="M800" s="16" t="str">
        <f>IFERROR(IF([1]对账明细接口!$M$800=0,"",[1]对账明细接口!$M$800),"")</f>
        <v/>
      </c>
      <c r="N800" s="19">
        <f t="shared" si="24"/>
        <v>0</v>
      </c>
      <c r="O800" s="19">
        <f t="shared" si="25"/>
        <v>420</v>
      </c>
      <c r="S800" s="20" t="str">
        <f>IFERROR(IF([1]对账明细接口!$N800=0,"",[1]对账明细接口!$N800),"")</f>
        <v/>
      </c>
      <c r="T800" s="21" t="str">
        <f>IFERROR(IF([1]对账明细接口!$O800=0,"",[1]对账明细接口!$O800),"")</f>
        <v/>
      </c>
      <c r="U800" s="21" t="str">
        <f>IFERROR(IF([1]对账明细接口!$P800=0,"",[1]对账明细接口!$P800),"")</f>
        <v/>
      </c>
      <c r="V800" s="21" t="str">
        <f>IFERROR(IF([1]对账明细接口!$Q800=0,"",[1]对账明细接口!$Q800),"")</f>
        <v/>
      </c>
      <c r="W800" s="20" t="str">
        <f>IFERROR(IF([1]对账明细接口!$R800=0,"",[1]对账明细接口!$R800),"")</f>
        <v/>
      </c>
      <c r="X800" s="20" t="str">
        <f>IFERROR(IF([1]对账明细接口!$S800=0,"",[1]对账明细接口!$S800),"")</f>
        <v/>
      </c>
      <c r="Y800" s="20" t="str">
        <f>IFERROR(IF([1]对账明细接口!$T800=0,"",[1]对账明细接口!$T800),"")</f>
        <v/>
      </c>
      <c r="Z800" s="24" t="str">
        <f>IFERROR(IF([1]对账明细接口!$U800=0,"",[1]对账明细接口!$U800),"")</f>
        <v/>
      </c>
      <c r="AA800" s="24" t="str">
        <f>IFERROR(IF([1]对账明细接口!$V800=0,"",[1]对账明细接口!$V800),"")</f>
        <v/>
      </c>
      <c r="AB800" s="20" t="str">
        <f>IFERROR(IF([1]对账明细接口!$W800=0,"",[1]对账明细接口!$W800),"")</f>
        <v/>
      </c>
      <c r="AC800" s="7" t="str">
        <f>IFERROR(IF([1]对账明细接口!$X800=0,"",[1]对账明细接口!$X800),"")</f>
        <v/>
      </c>
      <c r="AD800" s="7" t="str">
        <f>IFERROR(IF([1]对账明细接口!$Y800=0,"",[1]对账明细接口!$Y800),"")</f>
        <v/>
      </c>
      <c r="AE800" s="7" t="str">
        <f>IFERROR(IF([1]对账明细接口!$AA800=0,"",[1]对账明细接口!$AA800),"")</f>
        <v/>
      </c>
      <c r="AF800" s="7" t="str">
        <f>IFERROR(IF([1]对账明细接口!$AB800=0,"",[1]对账明细接口!$AB800),"")</f>
        <v/>
      </c>
      <c r="AG800" s="7" t="str">
        <f>IFERROR(IF([1]对账明细接口!$AC800=0,"",[1]对账明细接口!$AC800),"")</f>
        <v/>
      </c>
      <c r="AH800" s="7" t="str">
        <f>IFERROR(IF([1]对账明细接口!$AD800=0,"",[1]对账明细接口!$AD800),"")</f>
        <v/>
      </c>
      <c r="AI800" s="7" t="str">
        <f>IFERROR(IF([1]对账明细接口!$AE800=0,"",[1]对账明细接口!$AE800),"")</f>
        <v/>
      </c>
      <c r="AJ800" s="7" t="str">
        <f>IFERROR(IF([1]对账明细接口!$AF800=0,"",[1]对账明细接口!$AF800),"")</f>
        <v/>
      </c>
    </row>
    <row r="801" ht="14.25" customHeight="1" spans="1:36">
      <c r="A801" s="14">
        <v>801</v>
      </c>
      <c r="B801" s="15" t="str">
        <f>IFERROR(IF([1]对账明细接口!$B$801=0,"",[1]对账明细接口!$B$801),"")</f>
        <v/>
      </c>
      <c r="C801" s="16" t="str">
        <f>IFERROR(IF([1]对账明细接口!$C$801=0,"",[1]对账明细接口!$C$801),"")</f>
        <v/>
      </c>
      <c r="D801" s="16" t="str">
        <f>IFERROR(IF([1]对账明细接口!$D$801=0,"",[1]对账明细接口!$D$801),"")</f>
        <v/>
      </c>
      <c r="E801" s="16" t="str">
        <f>IFERROR(IF([1]对账明细接口!$E$801=0,"",[1]对账明细接口!$E$801),"")</f>
        <v/>
      </c>
      <c r="F801" s="16" t="str">
        <f>IFERROR(IF([1]对账明细接口!$F$801=0,"",[1]对账明细接口!$F$801),"")</f>
        <v/>
      </c>
      <c r="G801" s="16" t="str">
        <f>IFERROR(IF([1]对账明细接口!$G$801=0,"",[1]对账明细接口!$G$801),"")</f>
        <v/>
      </c>
      <c r="H801" s="17" t="str">
        <f>IFERROR(IF([1]对账明细接口!$H$801=0,"",[1]对账明细接口!$H$801),"")</f>
        <v/>
      </c>
      <c r="I801" s="16" t="str">
        <f>IFERROR(IF([1]对账明细接口!$I$801=0,"",[1]对账明细接口!$I$801),"")</f>
        <v/>
      </c>
      <c r="J801" s="18" t="str">
        <f>IFERROR(IF([1]对账明细接口!$J$801=0,"",[1]对账明细接口!$J$801),"")</f>
        <v/>
      </c>
      <c r="K801" s="18" t="str">
        <f>IFERROR(IF([1]对账明细接口!$K$801=0,"",[1]对账明细接口!$K$801),"")</f>
        <v/>
      </c>
      <c r="L801" s="16" t="str">
        <f>IFERROR(IF([1]对账明细接口!$L$801=0,"",[1]对账明细接口!$L$801),"")</f>
        <v/>
      </c>
      <c r="M801" s="16" t="str">
        <f>IFERROR(IF([1]对账明细接口!$M$801=0,"",[1]对账明细接口!$M$801),"")</f>
        <v/>
      </c>
      <c r="N801" s="19">
        <f t="shared" si="24"/>
        <v>0</v>
      </c>
      <c r="O801" s="19">
        <f t="shared" si="25"/>
        <v>420</v>
      </c>
      <c r="S801" s="20" t="str">
        <f>IFERROR(IF([1]对账明细接口!$N801=0,"",[1]对账明细接口!$N801),"")</f>
        <v/>
      </c>
      <c r="T801" s="21" t="str">
        <f>IFERROR(IF([1]对账明细接口!$O801=0,"",[1]对账明细接口!$O801),"")</f>
        <v/>
      </c>
      <c r="U801" s="21" t="str">
        <f>IFERROR(IF([1]对账明细接口!$P801=0,"",[1]对账明细接口!$P801),"")</f>
        <v/>
      </c>
      <c r="V801" s="21" t="str">
        <f>IFERROR(IF([1]对账明细接口!$Q801=0,"",[1]对账明细接口!$Q801),"")</f>
        <v/>
      </c>
      <c r="W801" s="20" t="str">
        <f>IFERROR(IF([1]对账明细接口!$R801=0,"",[1]对账明细接口!$R801),"")</f>
        <v/>
      </c>
      <c r="X801" s="20" t="str">
        <f>IFERROR(IF([1]对账明细接口!$S801=0,"",[1]对账明细接口!$S801),"")</f>
        <v/>
      </c>
      <c r="Y801" s="20" t="str">
        <f>IFERROR(IF([1]对账明细接口!$T801=0,"",[1]对账明细接口!$T801),"")</f>
        <v/>
      </c>
      <c r="Z801" s="24" t="str">
        <f>IFERROR(IF([1]对账明细接口!$U801=0,"",[1]对账明细接口!$U801),"")</f>
        <v/>
      </c>
      <c r="AA801" s="24" t="str">
        <f>IFERROR(IF([1]对账明细接口!$V801=0,"",[1]对账明细接口!$V801),"")</f>
        <v/>
      </c>
      <c r="AB801" s="20" t="str">
        <f>IFERROR(IF([1]对账明细接口!$W801=0,"",[1]对账明细接口!$W801),"")</f>
        <v/>
      </c>
      <c r="AC801" s="7" t="str">
        <f>IFERROR(IF([1]对账明细接口!$X801=0,"",[1]对账明细接口!$X801),"")</f>
        <v/>
      </c>
      <c r="AD801" s="7" t="str">
        <f>IFERROR(IF([1]对账明细接口!$Y801=0,"",[1]对账明细接口!$Y801),"")</f>
        <v/>
      </c>
      <c r="AE801" s="7" t="str">
        <f>IFERROR(IF([1]对账明细接口!$AA801=0,"",[1]对账明细接口!$AA801),"")</f>
        <v/>
      </c>
      <c r="AF801" s="7" t="str">
        <f>IFERROR(IF([1]对账明细接口!$AB801=0,"",[1]对账明细接口!$AB801),"")</f>
        <v/>
      </c>
      <c r="AG801" s="7" t="str">
        <f>IFERROR(IF([1]对账明细接口!$AC801=0,"",[1]对账明细接口!$AC801),"")</f>
        <v/>
      </c>
      <c r="AH801" s="7" t="str">
        <f>IFERROR(IF([1]对账明细接口!$AD801=0,"",[1]对账明细接口!$AD801),"")</f>
        <v/>
      </c>
      <c r="AI801" s="7" t="str">
        <f>IFERROR(IF([1]对账明细接口!$AE801=0,"",[1]对账明细接口!$AE801),"")</f>
        <v/>
      </c>
      <c r="AJ801" s="7" t="str">
        <f>IFERROR(IF([1]对账明细接口!$AF801=0,"",[1]对账明细接口!$AF801),"")</f>
        <v/>
      </c>
    </row>
    <row r="802" ht="14.25" customHeight="1" spans="1:36">
      <c r="A802" s="14">
        <v>802</v>
      </c>
      <c r="B802" s="15" t="str">
        <f>IFERROR(IF([1]对账明细接口!$B$802=0,"",[1]对账明细接口!$B$802),"")</f>
        <v/>
      </c>
      <c r="C802" s="16" t="str">
        <f>IFERROR(IF([1]对账明细接口!$C$802=0,"",[1]对账明细接口!$C$802),"")</f>
        <v/>
      </c>
      <c r="D802" s="16" t="str">
        <f>IFERROR(IF([1]对账明细接口!$D$802=0,"",[1]对账明细接口!$D$802),"")</f>
        <v/>
      </c>
      <c r="E802" s="16" t="str">
        <f>IFERROR(IF([1]对账明细接口!$E$802=0,"",[1]对账明细接口!$E$802),"")</f>
        <v/>
      </c>
      <c r="F802" s="16" t="str">
        <f>IFERROR(IF([1]对账明细接口!$F$802=0,"",[1]对账明细接口!$F$802),"")</f>
        <v/>
      </c>
      <c r="G802" s="16" t="str">
        <f>IFERROR(IF([1]对账明细接口!$G$802=0,"",[1]对账明细接口!$G$802),"")</f>
        <v/>
      </c>
      <c r="H802" s="17" t="str">
        <f>IFERROR(IF([1]对账明细接口!$H$802=0,"",[1]对账明细接口!$H$802),"")</f>
        <v/>
      </c>
      <c r="I802" s="16" t="str">
        <f>IFERROR(IF([1]对账明细接口!$I$802=0,"",[1]对账明细接口!$I$802),"")</f>
        <v/>
      </c>
      <c r="J802" s="18" t="str">
        <f>IFERROR(IF([1]对账明细接口!$J$802=0,"",[1]对账明细接口!$J$802),"")</f>
        <v/>
      </c>
      <c r="K802" s="18" t="str">
        <f>IFERROR(IF([1]对账明细接口!$K$802=0,"",[1]对账明细接口!$K$802),"")</f>
        <v/>
      </c>
      <c r="L802" s="16" t="str">
        <f>IFERROR(IF([1]对账明细接口!$L$802=0,"",[1]对账明细接口!$L$802),"")</f>
        <v/>
      </c>
      <c r="M802" s="16" t="str">
        <f>IFERROR(IF([1]对账明细接口!$M$802=0,"",[1]对账明细接口!$M$802),"")</f>
        <v/>
      </c>
      <c r="N802" s="19">
        <f t="shared" si="24"/>
        <v>0</v>
      </c>
      <c r="O802" s="19">
        <f t="shared" si="25"/>
        <v>420</v>
      </c>
      <c r="S802" s="20" t="str">
        <f>IFERROR(IF([1]对账明细接口!$N802=0,"",[1]对账明细接口!$N802),"")</f>
        <v/>
      </c>
      <c r="T802" s="21" t="str">
        <f>IFERROR(IF([1]对账明细接口!$O802=0,"",[1]对账明细接口!$O802),"")</f>
        <v/>
      </c>
      <c r="U802" s="21" t="str">
        <f>IFERROR(IF([1]对账明细接口!$P802=0,"",[1]对账明细接口!$P802),"")</f>
        <v/>
      </c>
      <c r="V802" s="21" t="str">
        <f>IFERROR(IF([1]对账明细接口!$Q802=0,"",[1]对账明细接口!$Q802),"")</f>
        <v/>
      </c>
      <c r="W802" s="20" t="str">
        <f>IFERROR(IF([1]对账明细接口!$R802=0,"",[1]对账明细接口!$R802),"")</f>
        <v/>
      </c>
      <c r="X802" s="20" t="str">
        <f>IFERROR(IF([1]对账明细接口!$S802=0,"",[1]对账明细接口!$S802),"")</f>
        <v/>
      </c>
      <c r="Y802" s="20" t="str">
        <f>IFERROR(IF([1]对账明细接口!$T802=0,"",[1]对账明细接口!$T802),"")</f>
        <v/>
      </c>
      <c r="Z802" s="24" t="str">
        <f>IFERROR(IF([1]对账明细接口!$U802=0,"",[1]对账明细接口!$U802),"")</f>
        <v/>
      </c>
      <c r="AA802" s="24" t="str">
        <f>IFERROR(IF([1]对账明细接口!$V802=0,"",[1]对账明细接口!$V802),"")</f>
        <v/>
      </c>
      <c r="AB802" s="20" t="str">
        <f>IFERROR(IF([1]对账明细接口!$W802=0,"",[1]对账明细接口!$W802),"")</f>
        <v/>
      </c>
      <c r="AC802" s="7" t="str">
        <f>IFERROR(IF([1]对账明细接口!$X802=0,"",[1]对账明细接口!$X802),"")</f>
        <v/>
      </c>
      <c r="AD802" s="7" t="str">
        <f>IFERROR(IF([1]对账明细接口!$Y802=0,"",[1]对账明细接口!$Y802),"")</f>
        <v/>
      </c>
      <c r="AE802" s="7" t="str">
        <f>IFERROR(IF([1]对账明细接口!$AA802=0,"",[1]对账明细接口!$AA802),"")</f>
        <v/>
      </c>
      <c r="AF802" s="7" t="str">
        <f>IFERROR(IF([1]对账明细接口!$AB802=0,"",[1]对账明细接口!$AB802),"")</f>
        <v/>
      </c>
      <c r="AG802" s="7" t="str">
        <f>IFERROR(IF([1]对账明细接口!$AC802=0,"",[1]对账明细接口!$AC802),"")</f>
        <v/>
      </c>
      <c r="AH802" s="7" t="str">
        <f>IFERROR(IF([1]对账明细接口!$AD802=0,"",[1]对账明细接口!$AD802),"")</f>
        <v/>
      </c>
      <c r="AI802" s="7" t="str">
        <f>IFERROR(IF([1]对账明细接口!$AE802=0,"",[1]对账明细接口!$AE802),"")</f>
        <v/>
      </c>
      <c r="AJ802" s="7" t="str">
        <f>IFERROR(IF([1]对账明细接口!$AF802=0,"",[1]对账明细接口!$AF802),"")</f>
        <v/>
      </c>
    </row>
    <row r="803" ht="14.25" customHeight="1" spans="1:36">
      <c r="A803" s="14">
        <v>803</v>
      </c>
      <c r="B803" s="15" t="str">
        <f>IFERROR(IF([1]对账明细接口!$B$803=0,"",[1]对账明细接口!$B$803),"")</f>
        <v/>
      </c>
      <c r="C803" s="16" t="str">
        <f>IFERROR(IF([1]对账明细接口!$C$803=0,"",[1]对账明细接口!$C$803),"")</f>
        <v/>
      </c>
      <c r="D803" s="16" t="str">
        <f>IFERROR(IF([1]对账明细接口!$D$803=0,"",[1]对账明细接口!$D$803),"")</f>
        <v/>
      </c>
      <c r="E803" s="16" t="str">
        <f>IFERROR(IF([1]对账明细接口!$E$803=0,"",[1]对账明细接口!$E$803),"")</f>
        <v/>
      </c>
      <c r="F803" s="16" t="str">
        <f>IFERROR(IF([1]对账明细接口!$F$803=0,"",[1]对账明细接口!$F$803),"")</f>
        <v/>
      </c>
      <c r="G803" s="16" t="str">
        <f>IFERROR(IF([1]对账明细接口!$G$803=0,"",[1]对账明细接口!$G$803),"")</f>
        <v/>
      </c>
      <c r="H803" s="17" t="str">
        <f>IFERROR(IF([1]对账明细接口!$H$803=0,"",[1]对账明细接口!$H$803),"")</f>
        <v/>
      </c>
      <c r="I803" s="16" t="str">
        <f>IFERROR(IF([1]对账明细接口!$I$803=0,"",[1]对账明细接口!$I$803),"")</f>
        <v/>
      </c>
      <c r="J803" s="18" t="str">
        <f>IFERROR(IF([1]对账明细接口!$J$803=0,"",[1]对账明细接口!$J$803),"")</f>
        <v/>
      </c>
      <c r="K803" s="18" t="str">
        <f>IFERROR(IF([1]对账明细接口!$K$803=0,"",[1]对账明细接口!$K$803),"")</f>
        <v/>
      </c>
      <c r="L803" s="16" t="str">
        <f>IFERROR(IF([1]对账明细接口!$L$803=0,"",[1]对账明细接口!$L$803),"")</f>
        <v/>
      </c>
      <c r="M803" s="16" t="str">
        <f>IFERROR(IF([1]对账明细接口!$M$803=0,"",[1]对账明细接口!$M$803),"")</f>
        <v/>
      </c>
      <c r="N803" s="19">
        <f t="shared" si="24"/>
        <v>0</v>
      </c>
      <c r="O803" s="19">
        <f t="shared" si="25"/>
        <v>420</v>
      </c>
      <c r="S803" s="20" t="str">
        <f>IFERROR(IF([1]对账明细接口!$N803=0,"",[1]对账明细接口!$N803),"")</f>
        <v/>
      </c>
      <c r="T803" s="21" t="str">
        <f>IFERROR(IF([1]对账明细接口!$O803=0,"",[1]对账明细接口!$O803),"")</f>
        <v/>
      </c>
      <c r="U803" s="21" t="str">
        <f>IFERROR(IF([1]对账明细接口!$P803=0,"",[1]对账明细接口!$P803),"")</f>
        <v/>
      </c>
      <c r="V803" s="21" t="str">
        <f>IFERROR(IF([1]对账明细接口!$Q803=0,"",[1]对账明细接口!$Q803),"")</f>
        <v/>
      </c>
      <c r="W803" s="20" t="str">
        <f>IFERROR(IF([1]对账明细接口!$R803=0,"",[1]对账明细接口!$R803),"")</f>
        <v/>
      </c>
      <c r="X803" s="20" t="str">
        <f>IFERROR(IF([1]对账明细接口!$S803=0,"",[1]对账明细接口!$S803),"")</f>
        <v/>
      </c>
      <c r="Y803" s="20" t="str">
        <f>IFERROR(IF([1]对账明细接口!$T803=0,"",[1]对账明细接口!$T803),"")</f>
        <v/>
      </c>
      <c r="Z803" s="24" t="str">
        <f>IFERROR(IF([1]对账明细接口!$U803=0,"",[1]对账明细接口!$U803),"")</f>
        <v/>
      </c>
      <c r="AA803" s="24" t="str">
        <f>IFERROR(IF([1]对账明细接口!$V803=0,"",[1]对账明细接口!$V803),"")</f>
        <v/>
      </c>
      <c r="AB803" s="20" t="str">
        <f>IFERROR(IF([1]对账明细接口!$W803=0,"",[1]对账明细接口!$W803),"")</f>
        <v/>
      </c>
      <c r="AC803" s="7" t="str">
        <f>IFERROR(IF([1]对账明细接口!$X803=0,"",[1]对账明细接口!$X803),"")</f>
        <v/>
      </c>
      <c r="AD803" s="7" t="str">
        <f>IFERROR(IF([1]对账明细接口!$Y803=0,"",[1]对账明细接口!$Y803),"")</f>
        <v/>
      </c>
      <c r="AE803" s="7" t="str">
        <f>IFERROR(IF([1]对账明细接口!$AA803=0,"",[1]对账明细接口!$AA803),"")</f>
        <v/>
      </c>
      <c r="AF803" s="7" t="str">
        <f>IFERROR(IF([1]对账明细接口!$AB803=0,"",[1]对账明细接口!$AB803),"")</f>
        <v/>
      </c>
      <c r="AG803" s="7" t="str">
        <f>IFERROR(IF([1]对账明细接口!$AC803=0,"",[1]对账明细接口!$AC803),"")</f>
        <v/>
      </c>
      <c r="AH803" s="7" t="str">
        <f>IFERROR(IF([1]对账明细接口!$AD803=0,"",[1]对账明细接口!$AD803),"")</f>
        <v/>
      </c>
      <c r="AI803" s="7" t="str">
        <f>IFERROR(IF([1]对账明细接口!$AE803=0,"",[1]对账明细接口!$AE803),"")</f>
        <v/>
      </c>
      <c r="AJ803" s="7" t="str">
        <f>IFERROR(IF([1]对账明细接口!$AF803=0,"",[1]对账明细接口!$AF803),"")</f>
        <v/>
      </c>
    </row>
    <row r="804" ht="14.25" customHeight="1" spans="1:36">
      <c r="A804" s="14">
        <v>804</v>
      </c>
      <c r="B804" s="15" t="str">
        <f>IFERROR(IF([1]对账明细接口!$B$804=0,"",[1]对账明细接口!$B$804),"")</f>
        <v/>
      </c>
      <c r="C804" s="16" t="str">
        <f>IFERROR(IF([1]对账明细接口!$C$804=0,"",[1]对账明细接口!$C$804),"")</f>
        <v/>
      </c>
      <c r="D804" s="16" t="str">
        <f>IFERROR(IF([1]对账明细接口!$D$804=0,"",[1]对账明细接口!$D$804),"")</f>
        <v/>
      </c>
      <c r="E804" s="16" t="str">
        <f>IFERROR(IF([1]对账明细接口!$E$804=0,"",[1]对账明细接口!$E$804),"")</f>
        <v/>
      </c>
      <c r="F804" s="16" t="str">
        <f>IFERROR(IF([1]对账明细接口!$F$804=0,"",[1]对账明细接口!$F$804),"")</f>
        <v/>
      </c>
      <c r="G804" s="16" t="str">
        <f>IFERROR(IF([1]对账明细接口!$G$804=0,"",[1]对账明细接口!$G$804),"")</f>
        <v/>
      </c>
      <c r="H804" s="17" t="str">
        <f>IFERROR(IF([1]对账明细接口!$H$804=0,"",[1]对账明细接口!$H$804),"")</f>
        <v/>
      </c>
      <c r="I804" s="16" t="str">
        <f>IFERROR(IF([1]对账明细接口!$I$804=0,"",[1]对账明细接口!$I$804),"")</f>
        <v/>
      </c>
      <c r="J804" s="18" t="str">
        <f>IFERROR(IF([1]对账明细接口!$J$804=0,"",[1]对账明细接口!$J$804),"")</f>
        <v/>
      </c>
      <c r="K804" s="18" t="str">
        <f>IFERROR(IF([1]对账明细接口!$K$804=0,"",[1]对账明细接口!$K$804),"")</f>
        <v/>
      </c>
      <c r="L804" s="16" t="str">
        <f>IFERROR(IF([1]对账明细接口!$L$804=0,"",[1]对账明细接口!$L$804),"")</f>
        <v/>
      </c>
      <c r="M804" s="16" t="str">
        <f>IFERROR(IF([1]对账明细接口!$M$804=0,"",[1]对账明细接口!$M$804),"")</f>
        <v/>
      </c>
      <c r="N804" s="19">
        <f t="shared" si="24"/>
        <v>0</v>
      </c>
      <c r="O804" s="19">
        <f t="shared" si="25"/>
        <v>420</v>
      </c>
      <c r="S804" s="20" t="str">
        <f>IFERROR(IF([1]对账明细接口!$N804=0,"",[1]对账明细接口!$N804),"")</f>
        <v/>
      </c>
      <c r="T804" s="21" t="str">
        <f>IFERROR(IF([1]对账明细接口!$O804=0,"",[1]对账明细接口!$O804),"")</f>
        <v/>
      </c>
      <c r="U804" s="21" t="str">
        <f>IFERROR(IF([1]对账明细接口!$P804=0,"",[1]对账明细接口!$P804),"")</f>
        <v/>
      </c>
      <c r="V804" s="21" t="str">
        <f>IFERROR(IF([1]对账明细接口!$Q804=0,"",[1]对账明细接口!$Q804),"")</f>
        <v/>
      </c>
      <c r="W804" s="20" t="str">
        <f>IFERROR(IF([1]对账明细接口!$R804=0,"",[1]对账明细接口!$R804),"")</f>
        <v/>
      </c>
      <c r="X804" s="20" t="str">
        <f>IFERROR(IF([1]对账明细接口!$S804=0,"",[1]对账明细接口!$S804),"")</f>
        <v/>
      </c>
      <c r="Y804" s="20" t="str">
        <f>IFERROR(IF([1]对账明细接口!$T804=0,"",[1]对账明细接口!$T804),"")</f>
        <v/>
      </c>
      <c r="Z804" s="24" t="str">
        <f>IFERROR(IF([1]对账明细接口!$U804=0,"",[1]对账明细接口!$U804),"")</f>
        <v/>
      </c>
      <c r="AA804" s="24" t="str">
        <f>IFERROR(IF([1]对账明细接口!$V804=0,"",[1]对账明细接口!$V804),"")</f>
        <v/>
      </c>
      <c r="AB804" s="20" t="str">
        <f>IFERROR(IF([1]对账明细接口!$W804=0,"",[1]对账明细接口!$W804),"")</f>
        <v/>
      </c>
      <c r="AC804" s="7" t="str">
        <f>IFERROR(IF([1]对账明细接口!$X804=0,"",[1]对账明细接口!$X804),"")</f>
        <v/>
      </c>
      <c r="AD804" s="7" t="str">
        <f>IFERROR(IF([1]对账明细接口!$Y804=0,"",[1]对账明细接口!$Y804),"")</f>
        <v/>
      </c>
      <c r="AE804" s="7" t="str">
        <f>IFERROR(IF([1]对账明细接口!$AA804=0,"",[1]对账明细接口!$AA804),"")</f>
        <v/>
      </c>
      <c r="AF804" s="7" t="str">
        <f>IFERROR(IF([1]对账明细接口!$AB804=0,"",[1]对账明细接口!$AB804),"")</f>
        <v/>
      </c>
      <c r="AG804" s="7" t="str">
        <f>IFERROR(IF([1]对账明细接口!$AC804=0,"",[1]对账明细接口!$AC804),"")</f>
        <v/>
      </c>
      <c r="AH804" s="7" t="str">
        <f>IFERROR(IF([1]对账明细接口!$AD804=0,"",[1]对账明细接口!$AD804),"")</f>
        <v/>
      </c>
      <c r="AI804" s="7" t="str">
        <f>IFERROR(IF([1]对账明细接口!$AE804=0,"",[1]对账明细接口!$AE804),"")</f>
        <v/>
      </c>
      <c r="AJ804" s="7" t="str">
        <f>IFERROR(IF([1]对账明细接口!$AF804=0,"",[1]对账明细接口!$AF804),"")</f>
        <v/>
      </c>
    </row>
    <row r="805" ht="14.25" customHeight="1" spans="1:36">
      <c r="A805" s="14">
        <v>805</v>
      </c>
      <c r="B805" s="15" t="str">
        <f>IFERROR(IF([1]对账明细接口!$B$805=0,"",[1]对账明细接口!$B$805),"")</f>
        <v/>
      </c>
      <c r="C805" s="16" t="str">
        <f>IFERROR(IF([1]对账明细接口!$C$805=0,"",[1]对账明细接口!$C$805),"")</f>
        <v/>
      </c>
      <c r="D805" s="16" t="str">
        <f>IFERROR(IF([1]对账明细接口!$D$805=0,"",[1]对账明细接口!$D$805),"")</f>
        <v/>
      </c>
      <c r="E805" s="16" t="str">
        <f>IFERROR(IF([1]对账明细接口!$E$805=0,"",[1]对账明细接口!$E$805),"")</f>
        <v/>
      </c>
      <c r="F805" s="16" t="str">
        <f>IFERROR(IF([1]对账明细接口!$F$805=0,"",[1]对账明细接口!$F$805),"")</f>
        <v/>
      </c>
      <c r="G805" s="16" t="str">
        <f>IFERROR(IF([1]对账明细接口!$G$805=0,"",[1]对账明细接口!$G$805),"")</f>
        <v/>
      </c>
      <c r="H805" s="17" t="str">
        <f>IFERROR(IF([1]对账明细接口!$H$805=0,"",[1]对账明细接口!$H$805),"")</f>
        <v/>
      </c>
      <c r="I805" s="16" t="str">
        <f>IFERROR(IF([1]对账明细接口!$I$805=0,"",[1]对账明细接口!$I$805),"")</f>
        <v/>
      </c>
      <c r="J805" s="18" t="str">
        <f>IFERROR(IF([1]对账明细接口!$J$805=0,"",[1]对账明细接口!$J$805),"")</f>
        <v/>
      </c>
      <c r="K805" s="18" t="str">
        <f>IFERROR(IF([1]对账明细接口!$K$805=0,"",[1]对账明细接口!$K$805),"")</f>
        <v/>
      </c>
      <c r="L805" s="16" t="str">
        <f>IFERROR(IF([1]对账明细接口!$L$805=0,"",[1]对账明细接口!$L$805),"")</f>
        <v/>
      </c>
      <c r="M805" s="16" t="str">
        <f>IFERROR(IF([1]对账明细接口!$M$805=0,"",[1]对账明细接口!$M$805),"")</f>
        <v/>
      </c>
      <c r="N805" s="19">
        <f t="shared" si="24"/>
        <v>0</v>
      </c>
      <c r="O805" s="19">
        <f t="shared" si="25"/>
        <v>420</v>
      </c>
      <c r="S805" s="20" t="str">
        <f>IFERROR(IF([1]对账明细接口!$N805=0,"",[1]对账明细接口!$N805),"")</f>
        <v/>
      </c>
      <c r="T805" s="21" t="str">
        <f>IFERROR(IF([1]对账明细接口!$O805=0,"",[1]对账明细接口!$O805),"")</f>
        <v/>
      </c>
      <c r="U805" s="21" t="str">
        <f>IFERROR(IF([1]对账明细接口!$P805=0,"",[1]对账明细接口!$P805),"")</f>
        <v/>
      </c>
      <c r="V805" s="21" t="str">
        <f>IFERROR(IF([1]对账明细接口!$Q805=0,"",[1]对账明细接口!$Q805),"")</f>
        <v/>
      </c>
      <c r="W805" s="20" t="str">
        <f>IFERROR(IF([1]对账明细接口!$R805=0,"",[1]对账明细接口!$R805),"")</f>
        <v/>
      </c>
      <c r="X805" s="20" t="str">
        <f>IFERROR(IF([1]对账明细接口!$S805=0,"",[1]对账明细接口!$S805),"")</f>
        <v/>
      </c>
      <c r="Y805" s="20" t="str">
        <f>IFERROR(IF([1]对账明细接口!$T805=0,"",[1]对账明细接口!$T805),"")</f>
        <v/>
      </c>
      <c r="Z805" s="24" t="str">
        <f>IFERROR(IF([1]对账明细接口!$U805=0,"",[1]对账明细接口!$U805),"")</f>
        <v/>
      </c>
      <c r="AA805" s="24" t="str">
        <f>IFERROR(IF([1]对账明细接口!$V805=0,"",[1]对账明细接口!$V805),"")</f>
        <v/>
      </c>
      <c r="AB805" s="20" t="str">
        <f>IFERROR(IF([1]对账明细接口!$W805=0,"",[1]对账明细接口!$W805),"")</f>
        <v/>
      </c>
      <c r="AC805" s="7" t="str">
        <f>IFERROR(IF([1]对账明细接口!$X805=0,"",[1]对账明细接口!$X805),"")</f>
        <v/>
      </c>
      <c r="AD805" s="7" t="str">
        <f>IFERROR(IF([1]对账明细接口!$Y805=0,"",[1]对账明细接口!$Y805),"")</f>
        <v/>
      </c>
      <c r="AE805" s="7" t="str">
        <f>IFERROR(IF([1]对账明细接口!$AA805=0,"",[1]对账明细接口!$AA805),"")</f>
        <v/>
      </c>
      <c r="AF805" s="7" t="str">
        <f>IFERROR(IF([1]对账明细接口!$AB805=0,"",[1]对账明细接口!$AB805),"")</f>
        <v/>
      </c>
      <c r="AG805" s="7" t="str">
        <f>IFERROR(IF([1]对账明细接口!$AC805=0,"",[1]对账明细接口!$AC805),"")</f>
        <v/>
      </c>
      <c r="AH805" s="7" t="str">
        <f>IFERROR(IF([1]对账明细接口!$AD805=0,"",[1]对账明细接口!$AD805),"")</f>
        <v/>
      </c>
      <c r="AI805" s="7" t="str">
        <f>IFERROR(IF([1]对账明细接口!$AE805=0,"",[1]对账明细接口!$AE805),"")</f>
        <v/>
      </c>
      <c r="AJ805" s="7" t="str">
        <f>IFERROR(IF([1]对账明细接口!$AF805=0,"",[1]对账明细接口!$AF805),"")</f>
        <v/>
      </c>
    </row>
    <row r="806" ht="14.25" customHeight="1" spans="1:36">
      <c r="A806" s="14">
        <v>806</v>
      </c>
      <c r="B806" s="15" t="str">
        <f>IFERROR(IF([1]对账明细接口!$B$806=0,"",[1]对账明细接口!$B$806),"")</f>
        <v/>
      </c>
      <c r="C806" s="16" t="str">
        <f>IFERROR(IF([1]对账明细接口!$C$806=0,"",[1]对账明细接口!$C$806),"")</f>
        <v/>
      </c>
      <c r="D806" s="16" t="str">
        <f>IFERROR(IF([1]对账明细接口!$D$806=0,"",[1]对账明细接口!$D$806),"")</f>
        <v/>
      </c>
      <c r="E806" s="16" t="str">
        <f>IFERROR(IF([1]对账明细接口!$E$806=0,"",[1]对账明细接口!$E$806),"")</f>
        <v/>
      </c>
      <c r="F806" s="16" t="str">
        <f>IFERROR(IF([1]对账明细接口!$F$806=0,"",[1]对账明细接口!$F$806),"")</f>
        <v/>
      </c>
      <c r="G806" s="16" t="str">
        <f>IFERROR(IF([1]对账明细接口!$G$806=0,"",[1]对账明细接口!$G$806),"")</f>
        <v/>
      </c>
      <c r="H806" s="17" t="str">
        <f>IFERROR(IF([1]对账明细接口!$H$806=0,"",[1]对账明细接口!$H$806),"")</f>
        <v/>
      </c>
      <c r="I806" s="16" t="str">
        <f>IFERROR(IF([1]对账明细接口!$I$806=0,"",[1]对账明细接口!$I$806),"")</f>
        <v/>
      </c>
      <c r="J806" s="18" t="str">
        <f>IFERROR(IF([1]对账明细接口!$J$806=0,"",[1]对账明细接口!$J$806),"")</f>
        <v/>
      </c>
      <c r="K806" s="18" t="str">
        <f>IFERROR(IF([1]对账明细接口!$K$806=0,"",[1]对账明细接口!$K$806),"")</f>
        <v/>
      </c>
      <c r="L806" s="16" t="str">
        <f>IFERROR(IF([1]对账明细接口!$L$806=0,"",[1]对账明细接口!$L$806),"")</f>
        <v/>
      </c>
      <c r="M806" s="16" t="str">
        <f>IFERROR(IF([1]对账明细接口!$M$806=0,"",[1]对账明细接口!$M$806),"")</f>
        <v/>
      </c>
      <c r="N806" s="19">
        <f t="shared" si="24"/>
        <v>0</v>
      </c>
      <c r="O806" s="19">
        <f t="shared" si="25"/>
        <v>420</v>
      </c>
      <c r="S806" s="20" t="str">
        <f>IFERROR(IF([1]对账明细接口!$N806=0,"",[1]对账明细接口!$N806),"")</f>
        <v/>
      </c>
      <c r="T806" s="21" t="str">
        <f>IFERROR(IF([1]对账明细接口!$O806=0,"",[1]对账明细接口!$O806),"")</f>
        <v/>
      </c>
      <c r="U806" s="21" t="str">
        <f>IFERROR(IF([1]对账明细接口!$P806=0,"",[1]对账明细接口!$P806),"")</f>
        <v/>
      </c>
      <c r="V806" s="21" t="str">
        <f>IFERROR(IF([1]对账明细接口!$Q806=0,"",[1]对账明细接口!$Q806),"")</f>
        <v/>
      </c>
      <c r="W806" s="20" t="str">
        <f>IFERROR(IF([1]对账明细接口!$R806=0,"",[1]对账明细接口!$R806),"")</f>
        <v/>
      </c>
      <c r="X806" s="20" t="str">
        <f>IFERROR(IF([1]对账明细接口!$S806=0,"",[1]对账明细接口!$S806),"")</f>
        <v/>
      </c>
      <c r="Y806" s="20" t="str">
        <f>IFERROR(IF([1]对账明细接口!$T806=0,"",[1]对账明细接口!$T806),"")</f>
        <v/>
      </c>
      <c r="Z806" s="24" t="str">
        <f>IFERROR(IF([1]对账明细接口!$U806=0,"",[1]对账明细接口!$U806),"")</f>
        <v/>
      </c>
      <c r="AA806" s="24" t="str">
        <f>IFERROR(IF([1]对账明细接口!$V806=0,"",[1]对账明细接口!$V806),"")</f>
        <v/>
      </c>
      <c r="AB806" s="20" t="str">
        <f>IFERROR(IF([1]对账明细接口!$W806=0,"",[1]对账明细接口!$W806),"")</f>
        <v/>
      </c>
      <c r="AC806" s="7" t="str">
        <f>IFERROR(IF([1]对账明细接口!$X806=0,"",[1]对账明细接口!$X806),"")</f>
        <v/>
      </c>
      <c r="AD806" s="7" t="str">
        <f>IFERROR(IF([1]对账明细接口!$Y806=0,"",[1]对账明细接口!$Y806),"")</f>
        <v/>
      </c>
      <c r="AE806" s="7" t="str">
        <f>IFERROR(IF([1]对账明细接口!$AA806=0,"",[1]对账明细接口!$AA806),"")</f>
        <v/>
      </c>
      <c r="AF806" s="7" t="str">
        <f>IFERROR(IF([1]对账明细接口!$AB806=0,"",[1]对账明细接口!$AB806),"")</f>
        <v/>
      </c>
      <c r="AG806" s="7" t="str">
        <f>IFERROR(IF([1]对账明细接口!$AC806=0,"",[1]对账明细接口!$AC806),"")</f>
        <v/>
      </c>
      <c r="AH806" s="7" t="str">
        <f>IFERROR(IF([1]对账明细接口!$AD806=0,"",[1]对账明细接口!$AD806),"")</f>
        <v/>
      </c>
      <c r="AI806" s="7" t="str">
        <f>IFERROR(IF([1]对账明细接口!$AE806=0,"",[1]对账明细接口!$AE806),"")</f>
        <v/>
      </c>
      <c r="AJ806" s="7" t="str">
        <f>IFERROR(IF([1]对账明细接口!$AF806=0,"",[1]对账明细接口!$AF806),"")</f>
        <v/>
      </c>
    </row>
    <row r="807" ht="14.25" customHeight="1" spans="1:36">
      <c r="A807" s="14">
        <v>807</v>
      </c>
      <c r="B807" s="15" t="str">
        <f>IFERROR(IF([1]对账明细接口!$B$807=0,"",[1]对账明细接口!$B$807),"")</f>
        <v/>
      </c>
      <c r="C807" s="16" t="str">
        <f>IFERROR(IF([1]对账明细接口!$C$807=0,"",[1]对账明细接口!$C$807),"")</f>
        <v/>
      </c>
      <c r="D807" s="16" t="str">
        <f>IFERROR(IF([1]对账明细接口!$D$807=0,"",[1]对账明细接口!$D$807),"")</f>
        <v/>
      </c>
      <c r="E807" s="16" t="str">
        <f>IFERROR(IF([1]对账明细接口!$E$807=0,"",[1]对账明细接口!$E$807),"")</f>
        <v/>
      </c>
      <c r="F807" s="16" t="str">
        <f>IFERROR(IF([1]对账明细接口!$F$807=0,"",[1]对账明细接口!$F$807),"")</f>
        <v/>
      </c>
      <c r="G807" s="16" t="str">
        <f>IFERROR(IF([1]对账明细接口!$G$807=0,"",[1]对账明细接口!$G$807),"")</f>
        <v/>
      </c>
      <c r="H807" s="17" t="str">
        <f>IFERROR(IF([1]对账明细接口!$H$807=0,"",[1]对账明细接口!$H$807),"")</f>
        <v/>
      </c>
      <c r="I807" s="16" t="str">
        <f>IFERROR(IF([1]对账明细接口!$I$807=0,"",[1]对账明细接口!$I$807),"")</f>
        <v/>
      </c>
      <c r="J807" s="18" t="str">
        <f>IFERROR(IF([1]对账明细接口!$J$807=0,"",[1]对账明细接口!$J$807),"")</f>
        <v/>
      </c>
      <c r="K807" s="18" t="str">
        <f>IFERROR(IF([1]对账明细接口!$K$807=0,"",[1]对账明细接口!$K$807),"")</f>
        <v/>
      </c>
      <c r="L807" s="16" t="str">
        <f>IFERROR(IF([1]对账明细接口!$L$807=0,"",[1]对账明细接口!$L$807),"")</f>
        <v/>
      </c>
      <c r="M807" s="16" t="str">
        <f>IFERROR(IF([1]对账明细接口!$M$807=0,"",[1]对账明细接口!$M$807),"")</f>
        <v/>
      </c>
      <c r="N807" s="19">
        <f t="shared" si="24"/>
        <v>0</v>
      </c>
      <c r="O807" s="19">
        <f t="shared" si="25"/>
        <v>420</v>
      </c>
      <c r="S807" s="20" t="str">
        <f>IFERROR(IF([1]对账明细接口!$N807=0,"",[1]对账明细接口!$N807),"")</f>
        <v/>
      </c>
      <c r="T807" s="21" t="str">
        <f>IFERROR(IF([1]对账明细接口!$O807=0,"",[1]对账明细接口!$O807),"")</f>
        <v/>
      </c>
      <c r="U807" s="21" t="str">
        <f>IFERROR(IF([1]对账明细接口!$P807=0,"",[1]对账明细接口!$P807),"")</f>
        <v/>
      </c>
      <c r="V807" s="21" t="str">
        <f>IFERROR(IF([1]对账明细接口!$Q807=0,"",[1]对账明细接口!$Q807),"")</f>
        <v/>
      </c>
      <c r="W807" s="20" t="str">
        <f>IFERROR(IF([1]对账明细接口!$R807=0,"",[1]对账明细接口!$R807),"")</f>
        <v/>
      </c>
      <c r="X807" s="20" t="str">
        <f>IFERROR(IF([1]对账明细接口!$S807=0,"",[1]对账明细接口!$S807),"")</f>
        <v/>
      </c>
      <c r="Y807" s="20" t="str">
        <f>IFERROR(IF([1]对账明细接口!$T807=0,"",[1]对账明细接口!$T807),"")</f>
        <v/>
      </c>
      <c r="Z807" s="24" t="str">
        <f>IFERROR(IF([1]对账明细接口!$U807=0,"",[1]对账明细接口!$U807),"")</f>
        <v/>
      </c>
      <c r="AA807" s="24" t="str">
        <f>IFERROR(IF([1]对账明细接口!$V807=0,"",[1]对账明细接口!$V807),"")</f>
        <v/>
      </c>
      <c r="AB807" s="20" t="str">
        <f>IFERROR(IF([1]对账明细接口!$W807=0,"",[1]对账明细接口!$W807),"")</f>
        <v/>
      </c>
      <c r="AC807" s="7" t="str">
        <f>IFERROR(IF([1]对账明细接口!$X807=0,"",[1]对账明细接口!$X807),"")</f>
        <v/>
      </c>
      <c r="AD807" s="7" t="str">
        <f>IFERROR(IF([1]对账明细接口!$Y807=0,"",[1]对账明细接口!$Y807),"")</f>
        <v/>
      </c>
      <c r="AE807" s="7" t="str">
        <f>IFERROR(IF([1]对账明细接口!$AA807=0,"",[1]对账明细接口!$AA807),"")</f>
        <v/>
      </c>
      <c r="AF807" s="7" t="str">
        <f>IFERROR(IF([1]对账明细接口!$AB807=0,"",[1]对账明细接口!$AB807),"")</f>
        <v/>
      </c>
      <c r="AG807" s="7" t="str">
        <f>IFERROR(IF([1]对账明细接口!$AC807=0,"",[1]对账明细接口!$AC807),"")</f>
        <v/>
      </c>
      <c r="AH807" s="7" t="str">
        <f>IFERROR(IF([1]对账明细接口!$AD807=0,"",[1]对账明细接口!$AD807),"")</f>
        <v/>
      </c>
      <c r="AI807" s="7" t="str">
        <f>IFERROR(IF([1]对账明细接口!$AE807=0,"",[1]对账明细接口!$AE807),"")</f>
        <v/>
      </c>
      <c r="AJ807" s="7" t="str">
        <f>IFERROR(IF([1]对账明细接口!$AF807=0,"",[1]对账明细接口!$AF807),"")</f>
        <v/>
      </c>
    </row>
    <row r="808" ht="14.25" customHeight="1" spans="1:36">
      <c r="A808" s="14">
        <v>808</v>
      </c>
      <c r="B808" s="15" t="str">
        <f>IFERROR(IF([1]对账明细接口!$B$808=0,"",[1]对账明细接口!$B$808),"")</f>
        <v/>
      </c>
      <c r="C808" s="16" t="str">
        <f>IFERROR(IF([1]对账明细接口!$C$808=0,"",[1]对账明细接口!$C$808),"")</f>
        <v/>
      </c>
      <c r="D808" s="16" t="str">
        <f>IFERROR(IF([1]对账明细接口!$D$808=0,"",[1]对账明细接口!$D$808),"")</f>
        <v/>
      </c>
      <c r="E808" s="16" t="str">
        <f>IFERROR(IF([1]对账明细接口!$E$808=0,"",[1]对账明细接口!$E$808),"")</f>
        <v/>
      </c>
      <c r="F808" s="16" t="str">
        <f>IFERROR(IF([1]对账明细接口!$F$808=0,"",[1]对账明细接口!$F$808),"")</f>
        <v/>
      </c>
      <c r="G808" s="16" t="str">
        <f>IFERROR(IF([1]对账明细接口!$G$808=0,"",[1]对账明细接口!$G$808),"")</f>
        <v/>
      </c>
      <c r="H808" s="17" t="str">
        <f>IFERROR(IF([1]对账明细接口!$H$808=0,"",[1]对账明细接口!$H$808),"")</f>
        <v/>
      </c>
      <c r="I808" s="16" t="str">
        <f>IFERROR(IF([1]对账明细接口!$I$808=0,"",[1]对账明细接口!$I$808),"")</f>
        <v/>
      </c>
      <c r="J808" s="18" t="str">
        <f>IFERROR(IF([1]对账明细接口!$J$808=0,"",[1]对账明细接口!$J$808),"")</f>
        <v/>
      </c>
      <c r="K808" s="18" t="str">
        <f>IFERROR(IF([1]对账明细接口!$K$808=0,"",[1]对账明细接口!$K$808),"")</f>
        <v/>
      </c>
      <c r="L808" s="16" t="str">
        <f>IFERROR(IF([1]对账明细接口!$L$808=0,"",[1]对账明细接口!$L$808),"")</f>
        <v/>
      </c>
      <c r="M808" s="16" t="str">
        <f>IFERROR(IF([1]对账明细接口!$M$808=0,"",[1]对账明细接口!$M$808),"")</f>
        <v/>
      </c>
      <c r="N808" s="19">
        <f t="shared" si="24"/>
        <v>0</v>
      </c>
      <c r="O808" s="19">
        <f t="shared" si="25"/>
        <v>420</v>
      </c>
      <c r="S808" s="20" t="str">
        <f>IFERROR(IF([1]对账明细接口!$N808=0,"",[1]对账明细接口!$N808),"")</f>
        <v/>
      </c>
      <c r="T808" s="21" t="str">
        <f>IFERROR(IF([1]对账明细接口!$O808=0,"",[1]对账明细接口!$O808),"")</f>
        <v/>
      </c>
      <c r="U808" s="21" t="str">
        <f>IFERROR(IF([1]对账明细接口!$P808=0,"",[1]对账明细接口!$P808),"")</f>
        <v/>
      </c>
      <c r="V808" s="21" t="str">
        <f>IFERROR(IF([1]对账明细接口!$Q808=0,"",[1]对账明细接口!$Q808),"")</f>
        <v/>
      </c>
      <c r="W808" s="20" t="str">
        <f>IFERROR(IF([1]对账明细接口!$R808=0,"",[1]对账明细接口!$R808),"")</f>
        <v/>
      </c>
      <c r="X808" s="20" t="str">
        <f>IFERROR(IF([1]对账明细接口!$S808=0,"",[1]对账明细接口!$S808),"")</f>
        <v/>
      </c>
      <c r="Y808" s="20" t="str">
        <f>IFERROR(IF([1]对账明细接口!$T808=0,"",[1]对账明细接口!$T808),"")</f>
        <v/>
      </c>
      <c r="Z808" s="24" t="str">
        <f>IFERROR(IF([1]对账明细接口!$U808=0,"",[1]对账明细接口!$U808),"")</f>
        <v/>
      </c>
      <c r="AA808" s="24" t="str">
        <f>IFERROR(IF([1]对账明细接口!$V808=0,"",[1]对账明细接口!$V808),"")</f>
        <v/>
      </c>
      <c r="AB808" s="20" t="str">
        <f>IFERROR(IF([1]对账明细接口!$W808=0,"",[1]对账明细接口!$W808),"")</f>
        <v/>
      </c>
      <c r="AC808" s="7" t="str">
        <f>IFERROR(IF([1]对账明细接口!$X808=0,"",[1]对账明细接口!$X808),"")</f>
        <v/>
      </c>
      <c r="AD808" s="7" t="str">
        <f>IFERROR(IF([1]对账明细接口!$Y808=0,"",[1]对账明细接口!$Y808),"")</f>
        <v/>
      </c>
      <c r="AE808" s="7" t="str">
        <f>IFERROR(IF([1]对账明细接口!$AA808=0,"",[1]对账明细接口!$AA808),"")</f>
        <v/>
      </c>
      <c r="AF808" s="7" t="str">
        <f>IFERROR(IF([1]对账明细接口!$AB808=0,"",[1]对账明细接口!$AB808),"")</f>
        <v/>
      </c>
      <c r="AG808" s="7" t="str">
        <f>IFERROR(IF([1]对账明细接口!$AC808=0,"",[1]对账明细接口!$AC808),"")</f>
        <v/>
      </c>
      <c r="AH808" s="7" t="str">
        <f>IFERROR(IF([1]对账明细接口!$AD808=0,"",[1]对账明细接口!$AD808),"")</f>
        <v/>
      </c>
      <c r="AI808" s="7" t="str">
        <f>IFERROR(IF([1]对账明细接口!$AE808=0,"",[1]对账明细接口!$AE808),"")</f>
        <v/>
      </c>
      <c r="AJ808" s="7" t="str">
        <f>IFERROR(IF([1]对账明细接口!$AF808=0,"",[1]对账明细接口!$AF808),"")</f>
        <v/>
      </c>
    </row>
    <row r="809" ht="14.25" customHeight="1" spans="1:36">
      <c r="A809" s="14">
        <v>809</v>
      </c>
      <c r="B809" s="15" t="str">
        <f>IFERROR(IF([1]对账明细接口!$B$809=0,"",[1]对账明细接口!$B$809),"")</f>
        <v/>
      </c>
      <c r="C809" s="16" t="str">
        <f>IFERROR(IF([1]对账明细接口!$C$809=0,"",[1]对账明细接口!$C$809),"")</f>
        <v/>
      </c>
      <c r="D809" s="16" t="str">
        <f>IFERROR(IF([1]对账明细接口!$D$809=0,"",[1]对账明细接口!$D$809),"")</f>
        <v/>
      </c>
      <c r="E809" s="16" t="str">
        <f>IFERROR(IF([1]对账明细接口!$E$809=0,"",[1]对账明细接口!$E$809),"")</f>
        <v/>
      </c>
      <c r="F809" s="16" t="str">
        <f>IFERROR(IF([1]对账明细接口!$F$809=0,"",[1]对账明细接口!$F$809),"")</f>
        <v/>
      </c>
      <c r="G809" s="16" t="str">
        <f>IFERROR(IF([1]对账明细接口!$G$809=0,"",[1]对账明细接口!$G$809),"")</f>
        <v/>
      </c>
      <c r="H809" s="17" t="str">
        <f>IFERROR(IF([1]对账明细接口!$H$809=0,"",[1]对账明细接口!$H$809),"")</f>
        <v/>
      </c>
      <c r="I809" s="16" t="str">
        <f>IFERROR(IF([1]对账明细接口!$I$809=0,"",[1]对账明细接口!$I$809),"")</f>
        <v/>
      </c>
      <c r="J809" s="18" t="str">
        <f>IFERROR(IF([1]对账明细接口!$J$809=0,"",[1]对账明细接口!$J$809),"")</f>
        <v/>
      </c>
      <c r="K809" s="18" t="str">
        <f>IFERROR(IF([1]对账明细接口!$K$809=0,"",[1]对账明细接口!$K$809),"")</f>
        <v/>
      </c>
      <c r="L809" s="16" t="str">
        <f>IFERROR(IF([1]对账明细接口!$L$809=0,"",[1]对账明细接口!$L$809),"")</f>
        <v/>
      </c>
      <c r="M809" s="16" t="str">
        <f>IFERROR(IF([1]对账明细接口!$M$809=0,"",[1]对账明细接口!$M$809),"")</f>
        <v/>
      </c>
      <c r="N809" s="19">
        <f t="shared" si="24"/>
        <v>0</v>
      </c>
      <c r="O809" s="19">
        <f t="shared" si="25"/>
        <v>420</v>
      </c>
      <c r="S809" s="20" t="str">
        <f>IFERROR(IF([1]对账明细接口!$N809=0,"",[1]对账明细接口!$N809),"")</f>
        <v/>
      </c>
      <c r="T809" s="21" t="str">
        <f>IFERROR(IF([1]对账明细接口!$O809=0,"",[1]对账明细接口!$O809),"")</f>
        <v/>
      </c>
      <c r="U809" s="21" t="str">
        <f>IFERROR(IF([1]对账明细接口!$P809=0,"",[1]对账明细接口!$P809),"")</f>
        <v/>
      </c>
      <c r="V809" s="21" t="str">
        <f>IFERROR(IF([1]对账明细接口!$Q809=0,"",[1]对账明细接口!$Q809),"")</f>
        <v/>
      </c>
      <c r="W809" s="20" t="str">
        <f>IFERROR(IF([1]对账明细接口!$R809=0,"",[1]对账明细接口!$R809),"")</f>
        <v/>
      </c>
      <c r="X809" s="20" t="str">
        <f>IFERROR(IF([1]对账明细接口!$S809=0,"",[1]对账明细接口!$S809),"")</f>
        <v/>
      </c>
      <c r="Y809" s="20" t="str">
        <f>IFERROR(IF([1]对账明细接口!$T809=0,"",[1]对账明细接口!$T809),"")</f>
        <v/>
      </c>
      <c r="Z809" s="24" t="str">
        <f>IFERROR(IF([1]对账明细接口!$U809=0,"",[1]对账明细接口!$U809),"")</f>
        <v/>
      </c>
      <c r="AA809" s="24" t="str">
        <f>IFERROR(IF([1]对账明细接口!$V809=0,"",[1]对账明细接口!$V809),"")</f>
        <v/>
      </c>
      <c r="AB809" s="20" t="str">
        <f>IFERROR(IF([1]对账明细接口!$W809=0,"",[1]对账明细接口!$W809),"")</f>
        <v/>
      </c>
      <c r="AC809" s="7" t="str">
        <f>IFERROR(IF([1]对账明细接口!$X809=0,"",[1]对账明细接口!$X809),"")</f>
        <v/>
      </c>
      <c r="AD809" s="7" t="str">
        <f>IFERROR(IF([1]对账明细接口!$Y809=0,"",[1]对账明细接口!$Y809),"")</f>
        <v/>
      </c>
      <c r="AE809" s="7" t="str">
        <f>IFERROR(IF([1]对账明细接口!$AA809=0,"",[1]对账明细接口!$AA809),"")</f>
        <v/>
      </c>
      <c r="AF809" s="7" t="str">
        <f>IFERROR(IF([1]对账明细接口!$AB809=0,"",[1]对账明细接口!$AB809),"")</f>
        <v/>
      </c>
      <c r="AG809" s="7" t="str">
        <f>IFERROR(IF([1]对账明细接口!$AC809=0,"",[1]对账明细接口!$AC809),"")</f>
        <v/>
      </c>
      <c r="AH809" s="7" t="str">
        <f>IFERROR(IF([1]对账明细接口!$AD809=0,"",[1]对账明细接口!$AD809),"")</f>
        <v/>
      </c>
      <c r="AI809" s="7" t="str">
        <f>IFERROR(IF([1]对账明细接口!$AE809=0,"",[1]对账明细接口!$AE809),"")</f>
        <v/>
      </c>
      <c r="AJ809" s="7" t="str">
        <f>IFERROR(IF([1]对账明细接口!$AF809=0,"",[1]对账明细接口!$AF809),"")</f>
        <v/>
      </c>
    </row>
    <row r="810" ht="14.25" customHeight="1" spans="1:36">
      <c r="A810" s="14">
        <v>810</v>
      </c>
      <c r="B810" s="15" t="str">
        <f>IFERROR(IF([1]对账明细接口!$B$810=0,"",[1]对账明细接口!$B$810),"")</f>
        <v/>
      </c>
      <c r="C810" s="16" t="str">
        <f>IFERROR(IF([1]对账明细接口!$C$810=0,"",[1]对账明细接口!$C$810),"")</f>
        <v/>
      </c>
      <c r="D810" s="16" t="str">
        <f>IFERROR(IF([1]对账明细接口!$D$810=0,"",[1]对账明细接口!$D$810),"")</f>
        <v/>
      </c>
      <c r="E810" s="16" t="str">
        <f>IFERROR(IF([1]对账明细接口!$E$810=0,"",[1]对账明细接口!$E$810),"")</f>
        <v/>
      </c>
      <c r="F810" s="16" t="str">
        <f>IFERROR(IF([1]对账明细接口!$F$810=0,"",[1]对账明细接口!$F$810),"")</f>
        <v/>
      </c>
      <c r="G810" s="16" t="str">
        <f>IFERROR(IF([1]对账明细接口!$G$810=0,"",[1]对账明细接口!$G$810),"")</f>
        <v/>
      </c>
      <c r="H810" s="17" t="str">
        <f>IFERROR(IF([1]对账明细接口!$H$810=0,"",[1]对账明细接口!$H$810),"")</f>
        <v/>
      </c>
      <c r="I810" s="16" t="str">
        <f>IFERROR(IF([1]对账明细接口!$I$810=0,"",[1]对账明细接口!$I$810),"")</f>
        <v/>
      </c>
      <c r="J810" s="18" t="str">
        <f>IFERROR(IF([1]对账明细接口!$J$810=0,"",[1]对账明细接口!$J$810),"")</f>
        <v/>
      </c>
      <c r="K810" s="18" t="str">
        <f>IFERROR(IF([1]对账明细接口!$K$810=0,"",[1]对账明细接口!$K$810),"")</f>
        <v/>
      </c>
      <c r="L810" s="16" t="str">
        <f>IFERROR(IF([1]对账明细接口!$L$810=0,"",[1]对账明细接口!$L$810),"")</f>
        <v/>
      </c>
      <c r="M810" s="16" t="str">
        <f>IFERROR(IF([1]对账明细接口!$M$810=0,"",[1]对账明细接口!$M$810),"")</f>
        <v/>
      </c>
      <c r="N810" s="19">
        <f t="shared" si="24"/>
        <v>0</v>
      </c>
      <c r="O810" s="19">
        <f t="shared" si="25"/>
        <v>420</v>
      </c>
      <c r="S810" s="20" t="str">
        <f>IFERROR(IF([1]对账明细接口!$N810=0,"",[1]对账明细接口!$N810),"")</f>
        <v/>
      </c>
      <c r="T810" s="21" t="str">
        <f>IFERROR(IF([1]对账明细接口!$O810=0,"",[1]对账明细接口!$O810),"")</f>
        <v/>
      </c>
      <c r="U810" s="21" t="str">
        <f>IFERROR(IF([1]对账明细接口!$P810=0,"",[1]对账明细接口!$P810),"")</f>
        <v/>
      </c>
      <c r="V810" s="21" t="str">
        <f>IFERROR(IF([1]对账明细接口!$Q810=0,"",[1]对账明细接口!$Q810),"")</f>
        <v/>
      </c>
      <c r="W810" s="20" t="str">
        <f>IFERROR(IF([1]对账明细接口!$R810=0,"",[1]对账明细接口!$R810),"")</f>
        <v/>
      </c>
      <c r="X810" s="20" t="str">
        <f>IFERROR(IF([1]对账明细接口!$S810=0,"",[1]对账明细接口!$S810),"")</f>
        <v/>
      </c>
      <c r="Y810" s="20" t="str">
        <f>IFERROR(IF([1]对账明细接口!$T810=0,"",[1]对账明细接口!$T810),"")</f>
        <v/>
      </c>
      <c r="Z810" s="24" t="str">
        <f>IFERROR(IF([1]对账明细接口!$U810=0,"",[1]对账明细接口!$U810),"")</f>
        <v/>
      </c>
      <c r="AA810" s="24" t="str">
        <f>IFERROR(IF([1]对账明细接口!$V810=0,"",[1]对账明细接口!$V810),"")</f>
        <v/>
      </c>
      <c r="AB810" s="20" t="str">
        <f>IFERROR(IF([1]对账明细接口!$W810=0,"",[1]对账明细接口!$W810),"")</f>
        <v/>
      </c>
      <c r="AC810" s="7" t="str">
        <f>IFERROR(IF([1]对账明细接口!$X810=0,"",[1]对账明细接口!$X810),"")</f>
        <v/>
      </c>
      <c r="AD810" s="7" t="str">
        <f>IFERROR(IF([1]对账明细接口!$Y810=0,"",[1]对账明细接口!$Y810),"")</f>
        <v/>
      </c>
      <c r="AE810" s="7" t="str">
        <f>IFERROR(IF([1]对账明细接口!$AA810=0,"",[1]对账明细接口!$AA810),"")</f>
        <v/>
      </c>
      <c r="AF810" s="7" t="str">
        <f>IFERROR(IF([1]对账明细接口!$AB810=0,"",[1]对账明细接口!$AB810),"")</f>
        <v/>
      </c>
      <c r="AG810" s="7" t="str">
        <f>IFERROR(IF([1]对账明细接口!$AC810=0,"",[1]对账明细接口!$AC810),"")</f>
        <v/>
      </c>
      <c r="AH810" s="7" t="str">
        <f>IFERROR(IF([1]对账明细接口!$AD810=0,"",[1]对账明细接口!$AD810),"")</f>
        <v/>
      </c>
      <c r="AI810" s="7" t="str">
        <f>IFERROR(IF([1]对账明细接口!$AE810=0,"",[1]对账明细接口!$AE810),"")</f>
        <v/>
      </c>
      <c r="AJ810" s="7" t="str">
        <f>IFERROR(IF([1]对账明细接口!$AF810=0,"",[1]对账明细接口!$AF810),"")</f>
        <v/>
      </c>
    </row>
    <row r="811" ht="14.25" customHeight="1" spans="1:36">
      <c r="A811" s="14">
        <v>811</v>
      </c>
      <c r="B811" s="15" t="str">
        <f>IFERROR(IF([1]对账明细接口!$B$811=0,"",[1]对账明细接口!$B$811),"")</f>
        <v/>
      </c>
      <c r="C811" s="16" t="str">
        <f>IFERROR(IF([1]对账明细接口!$C$811=0,"",[1]对账明细接口!$C$811),"")</f>
        <v/>
      </c>
      <c r="D811" s="16" t="str">
        <f>IFERROR(IF([1]对账明细接口!$D$811=0,"",[1]对账明细接口!$D$811),"")</f>
        <v/>
      </c>
      <c r="E811" s="16" t="str">
        <f>IFERROR(IF([1]对账明细接口!$E$811=0,"",[1]对账明细接口!$E$811),"")</f>
        <v/>
      </c>
      <c r="F811" s="16" t="str">
        <f>IFERROR(IF([1]对账明细接口!$F$811=0,"",[1]对账明细接口!$F$811),"")</f>
        <v/>
      </c>
      <c r="G811" s="16" t="str">
        <f>IFERROR(IF([1]对账明细接口!$G$811=0,"",[1]对账明细接口!$G$811),"")</f>
        <v/>
      </c>
      <c r="H811" s="17" t="str">
        <f>IFERROR(IF([1]对账明细接口!$H$811=0,"",[1]对账明细接口!$H$811),"")</f>
        <v/>
      </c>
      <c r="I811" s="16" t="str">
        <f>IFERROR(IF([1]对账明细接口!$I$811=0,"",[1]对账明细接口!$I$811),"")</f>
        <v/>
      </c>
      <c r="J811" s="18" t="str">
        <f>IFERROR(IF([1]对账明细接口!$J$811=0,"",[1]对账明细接口!$J$811),"")</f>
        <v/>
      </c>
      <c r="K811" s="18" t="str">
        <f>IFERROR(IF([1]对账明细接口!$K$811=0,"",[1]对账明细接口!$K$811),"")</f>
        <v/>
      </c>
      <c r="L811" s="16" t="str">
        <f>IFERROR(IF([1]对账明细接口!$L$811=0,"",[1]对账明细接口!$L$811),"")</f>
        <v/>
      </c>
      <c r="M811" s="16" t="str">
        <f>IFERROR(IF([1]对账明细接口!$M$811=0,"",[1]对账明细接口!$M$811),"")</f>
        <v/>
      </c>
      <c r="N811" s="19">
        <f t="shared" si="24"/>
        <v>0</v>
      </c>
      <c r="O811" s="19">
        <f t="shared" si="25"/>
        <v>420</v>
      </c>
      <c r="S811" s="20" t="str">
        <f>IFERROR(IF([1]对账明细接口!$N811=0,"",[1]对账明细接口!$N811),"")</f>
        <v/>
      </c>
      <c r="T811" s="21" t="str">
        <f>IFERROR(IF([1]对账明细接口!$O811=0,"",[1]对账明细接口!$O811),"")</f>
        <v/>
      </c>
      <c r="U811" s="21" t="str">
        <f>IFERROR(IF([1]对账明细接口!$P811=0,"",[1]对账明细接口!$P811),"")</f>
        <v/>
      </c>
      <c r="V811" s="21" t="str">
        <f>IFERROR(IF([1]对账明细接口!$Q811=0,"",[1]对账明细接口!$Q811),"")</f>
        <v/>
      </c>
      <c r="W811" s="20" t="str">
        <f>IFERROR(IF([1]对账明细接口!$R811=0,"",[1]对账明细接口!$R811),"")</f>
        <v/>
      </c>
      <c r="X811" s="20" t="str">
        <f>IFERROR(IF([1]对账明细接口!$S811=0,"",[1]对账明细接口!$S811),"")</f>
        <v/>
      </c>
      <c r="Y811" s="20" t="str">
        <f>IFERROR(IF([1]对账明细接口!$T811=0,"",[1]对账明细接口!$T811),"")</f>
        <v/>
      </c>
      <c r="Z811" s="24" t="str">
        <f>IFERROR(IF([1]对账明细接口!$U811=0,"",[1]对账明细接口!$U811),"")</f>
        <v/>
      </c>
      <c r="AA811" s="24" t="str">
        <f>IFERROR(IF([1]对账明细接口!$V811=0,"",[1]对账明细接口!$V811),"")</f>
        <v/>
      </c>
      <c r="AB811" s="20" t="str">
        <f>IFERROR(IF([1]对账明细接口!$W811=0,"",[1]对账明细接口!$W811),"")</f>
        <v/>
      </c>
      <c r="AC811" s="7" t="str">
        <f>IFERROR(IF([1]对账明细接口!$X811=0,"",[1]对账明细接口!$X811),"")</f>
        <v/>
      </c>
      <c r="AD811" s="7" t="str">
        <f>IFERROR(IF([1]对账明细接口!$Y811=0,"",[1]对账明细接口!$Y811),"")</f>
        <v/>
      </c>
      <c r="AE811" s="7" t="str">
        <f>IFERROR(IF([1]对账明细接口!$AA811=0,"",[1]对账明细接口!$AA811),"")</f>
        <v/>
      </c>
      <c r="AF811" s="7" t="str">
        <f>IFERROR(IF([1]对账明细接口!$AB811=0,"",[1]对账明细接口!$AB811),"")</f>
        <v/>
      </c>
      <c r="AG811" s="7" t="str">
        <f>IFERROR(IF([1]对账明细接口!$AC811=0,"",[1]对账明细接口!$AC811),"")</f>
        <v/>
      </c>
      <c r="AH811" s="7" t="str">
        <f>IFERROR(IF([1]对账明细接口!$AD811=0,"",[1]对账明细接口!$AD811),"")</f>
        <v/>
      </c>
      <c r="AI811" s="7" t="str">
        <f>IFERROR(IF([1]对账明细接口!$AE811=0,"",[1]对账明细接口!$AE811),"")</f>
        <v/>
      </c>
      <c r="AJ811" s="7" t="str">
        <f>IFERROR(IF([1]对账明细接口!$AF811=0,"",[1]对账明细接口!$AF811),"")</f>
        <v/>
      </c>
    </row>
    <row r="812" ht="14.25" customHeight="1" spans="1:36">
      <c r="A812" s="14">
        <v>812</v>
      </c>
      <c r="B812" s="15" t="str">
        <f>IFERROR(IF([1]对账明细接口!$B$812=0,"",[1]对账明细接口!$B$812),"")</f>
        <v/>
      </c>
      <c r="C812" s="16" t="str">
        <f>IFERROR(IF([1]对账明细接口!$C$812=0,"",[1]对账明细接口!$C$812),"")</f>
        <v/>
      </c>
      <c r="D812" s="16" t="str">
        <f>IFERROR(IF([1]对账明细接口!$D$812=0,"",[1]对账明细接口!$D$812),"")</f>
        <v/>
      </c>
      <c r="E812" s="16" t="str">
        <f>IFERROR(IF([1]对账明细接口!$E$812=0,"",[1]对账明细接口!$E$812),"")</f>
        <v/>
      </c>
      <c r="F812" s="16" t="str">
        <f>IFERROR(IF([1]对账明细接口!$F$812=0,"",[1]对账明细接口!$F$812),"")</f>
        <v/>
      </c>
      <c r="G812" s="16" t="str">
        <f>IFERROR(IF([1]对账明细接口!$G$812=0,"",[1]对账明细接口!$G$812),"")</f>
        <v/>
      </c>
      <c r="H812" s="17" t="str">
        <f>IFERROR(IF([1]对账明细接口!$H$812=0,"",[1]对账明细接口!$H$812),"")</f>
        <v/>
      </c>
      <c r="I812" s="16" t="str">
        <f>IFERROR(IF([1]对账明细接口!$I$812=0,"",[1]对账明细接口!$I$812),"")</f>
        <v/>
      </c>
      <c r="J812" s="18" t="str">
        <f>IFERROR(IF([1]对账明细接口!$J$812=0,"",[1]对账明细接口!$J$812),"")</f>
        <v/>
      </c>
      <c r="K812" s="18" t="str">
        <f>IFERROR(IF([1]对账明细接口!$K$812=0,"",[1]对账明细接口!$K$812),"")</f>
        <v/>
      </c>
      <c r="L812" s="16" t="str">
        <f>IFERROR(IF([1]对账明细接口!$L$812=0,"",[1]对账明细接口!$L$812),"")</f>
        <v/>
      </c>
      <c r="M812" s="16" t="str">
        <f>IFERROR(IF([1]对账明细接口!$M$812=0,"",[1]对账明细接口!$M$812),"")</f>
        <v/>
      </c>
      <c r="N812" s="19">
        <f t="shared" si="24"/>
        <v>0</v>
      </c>
      <c r="O812" s="19">
        <f t="shared" si="25"/>
        <v>420</v>
      </c>
      <c r="S812" s="20" t="str">
        <f>IFERROR(IF([1]对账明细接口!$N812=0,"",[1]对账明细接口!$N812),"")</f>
        <v/>
      </c>
      <c r="T812" s="21" t="str">
        <f>IFERROR(IF([1]对账明细接口!$O812=0,"",[1]对账明细接口!$O812),"")</f>
        <v/>
      </c>
      <c r="U812" s="21" t="str">
        <f>IFERROR(IF([1]对账明细接口!$P812=0,"",[1]对账明细接口!$P812),"")</f>
        <v/>
      </c>
      <c r="V812" s="21" t="str">
        <f>IFERROR(IF([1]对账明细接口!$Q812=0,"",[1]对账明细接口!$Q812),"")</f>
        <v/>
      </c>
      <c r="W812" s="20" t="str">
        <f>IFERROR(IF([1]对账明细接口!$R812=0,"",[1]对账明细接口!$R812),"")</f>
        <v/>
      </c>
      <c r="X812" s="20" t="str">
        <f>IFERROR(IF([1]对账明细接口!$S812=0,"",[1]对账明细接口!$S812),"")</f>
        <v/>
      </c>
      <c r="Y812" s="20" t="str">
        <f>IFERROR(IF([1]对账明细接口!$T812=0,"",[1]对账明细接口!$T812),"")</f>
        <v/>
      </c>
      <c r="Z812" s="24" t="str">
        <f>IFERROR(IF([1]对账明细接口!$U812=0,"",[1]对账明细接口!$U812),"")</f>
        <v/>
      </c>
      <c r="AA812" s="24" t="str">
        <f>IFERROR(IF([1]对账明细接口!$V812=0,"",[1]对账明细接口!$V812),"")</f>
        <v/>
      </c>
      <c r="AB812" s="20" t="str">
        <f>IFERROR(IF([1]对账明细接口!$W812=0,"",[1]对账明细接口!$W812),"")</f>
        <v/>
      </c>
      <c r="AC812" s="7" t="str">
        <f>IFERROR(IF([1]对账明细接口!$X812=0,"",[1]对账明细接口!$X812),"")</f>
        <v/>
      </c>
      <c r="AD812" s="7" t="str">
        <f>IFERROR(IF([1]对账明细接口!$Y812=0,"",[1]对账明细接口!$Y812),"")</f>
        <v/>
      </c>
      <c r="AE812" s="7" t="str">
        <f>IFERROR(IF([1]对账明细接口!$AA812=0,"",[1]对账明细接口!$AA812),"")</f>
        <v/>
      </c>
      <c r="AF812" s="7" t="str">
        <f>IFERROR(IF([1]对账明细接口!$AB812=0,"",[1]对账明细接口!$AB812),"")</f>
        <v/>
      </c>
      <c r="AG812" s="7" t="str">
        <f>IFERROR(IF([1]对账明细接口!$AC812=0,"",[1]对账明细接口!$AC812),"")</f>
        <v/>
      </c>
      <c r="AH812" s="7" t="str">
        <f>IFERROR(IF([1]对账明细接口!$AD812=0,"",[1]对账明细接口!$AD812),"")</f>
        <v/>
      </c>
      <c r="AI812" s="7" t="str">
        <f>IFERROR(IF([1]对账明细接口!$AE812=0,"",[1]对账明细接口!$AE812),"")</f>
        <v/>
      </c>
      <c r="AJ812" s="7" t="str">
        <f>IFERROR(IF([1]对账明细接口!$AF812=0,"",[1]对账明细接口!$AF812),"")</f>
        <v/>
      </c>
    </row>
    <row r="813" ht="14.25" customHeight="1" spans="1:36">
      <c r="A813" s="14">
        <v>813</v>
      </c>
      <c r="B813" s="15" t="str">
        <f>IFERROR(IF([1]对账明细接口!$B$813=0,"",[1]对账明细接口!$B$813),"")</f>
        <v/>
      </c>
      <c r="C813" s="16" t="str">
        <f>IFERROR(IF([1]对账明细接口!$C$813=0,"",[1]对账明细接口!$C$813),"")</f>
        <v/>
      </c>
      <c r="D813" s="16" t="str">
        <f>IFERROR(IF([1]对账明细接口!$D$813=0,"",[1]对账明细接口!$D$813),"")</f>
        <v/>
      </c>
      <c r="E813" s="16" t="str">
        <f>IFERROR(IF([1]对账明细接口!$E$813=0,"",[1]对账明细接口!$E$813),"")</f>
        <v/>
      </c>
      <c r="F813" s="16" t="str">
        <f>IFERROR(IF([1]对账明细接口!$F$813=0,"",[1]对账明细接口!$F$813),"")</f>
        <v/>
      </c>
      <c r="G813" s="16" t="str">
        <f>IFERROR(IF([1]对账明细接口!$G$813=0,"",[1]对账明细接口!$G$813),"")</f>
        <v/>
      </c>
      <c r="H813" s="17" t="str">
        <f>IFERROR(IF([1]对账明细接口!$H$813=0,"",[1]对账明细接口!$H$813),"")</f>
        <v/>
      </c>
      <c r="I813" s="16" t="str">
        <f>IFERROR(IF([1]对账明细接口!$I$813=0,"",[1]对账明细接口!$I$813),"")</f>
        <v/>
      </c>
      <c r="J813" s="18" t="str">
        <f>IFERROR(IF([1]对账明细接口!$J$813=0,"",[1]对账明细接口!$J$813),"")</f>
        <v/>
      </c>
      <c r="K813" s="18" t="str">
        <f>IFERROR(IF([1]对账明细接口!$K$813=0,"",[1]对账明细接口!$K$813),"")</f>
        <v/>
      </c>
      <c r="L813" s="16" t="str">
        <f>IFERROR(IF([1]对账明细接口!$L$813=0,"",[1]对账明细接口!$L$813),"")</f>
        <v/>
      </c>
      <c r="M813" s="16" t="str">
        <f>IFERROR(IF([1]对账明细接口!$M$813=0,"",[1]对账明细接口!$M$813),"")</f>
        <v/>
      </c>
      <c r="N813" s="19">
        <f t="shared" si="24"/>
        <v>0</v>
      </c>
      <c r="O813" s="19">
        <f t="shared" si="25"/>
        <v>420</v>
      </c>
      <c r="S813" s="20" t="str">
        <f>IFERROR(IF([1]对账明细接口!$N813=0,"",[1]对账明细接口!$N813),"")</f>
        <v/>
      </c>
      <c r="T813" s="21" t="str">
        <f>IFERROR(IF([1]对账明细接口!$O813=0,"",[1]对账明细接口!$O813),"")</f>
        <v/>
      </c>
      <c r="U813" s="21" t="str">
        <f>IFERROR(IF([1]对账明细接口!$P813=0,"",[1]对账明细接口!$P813),"")</f>
        <v/>
      </c>
      <c r="V813" s="21" t="str">
        <f>IFERROR(IF([1]对账明细接口!$Q813=0,"",[1]对账明细接口!$Q813),"")</f>
        <v/>
      </c>
      <c r="W813" s="20" t="str">
        <f>IFERROR(IF([1]对账明细接口!$R813=0,"",[1]对账明细接口!$R813),"")</f>
        <v/>
      </c>
      <c r="X813" s="20" t="str">
        <f>IFERROR(IF([1]对账明细接口!$S813=0,"",[1]对账明细接口!$S813),"")</f>
        <v/>
      </c>
      <c r="Y813" s="20" t="str">
        <f>IFERROR(IF([1]对账明细接口!$T813=0,"",[1]对账明细接口!$T813),"")</f>
        <v/>
      </c>
      <c r="Z813" s="24" t="str">
        <f>IFERROR(IF([1]对账明细接口!$U813=0,"",[1]对账明细接口!$U813),"")</f>
        <v/>
      </c>
      <c r="AA813" s="24" t="str">
        <f>IFERROR(IF([1]对账明细接口!$V813=0,"",[1]对账明细接口!$V813),"")</f>
        <v/>
      </c>
      <c r="AB813" s="20" t="str">
        <f>IFERROR(IF([1]对账明细接口!$W813=0,"",[1]对账明细接口!$W813),"")</f>
        <v/>
      </c>
      <c r="AC813" s="7" t="str">
        <f>IFERROR(IF([1]对账明细接口!$X813=0,"",[1]对账明细接口!$X813),"")</f>
        <v/>
      </c>
      <c r="AD813" s="7" t="str">
        <f>IFERROR(IF([1]对账明细接口!$Y813=0,"",[1]对账明细接口!$Y813),"")</f>
        <v/>
      </c>
      <c r="AE813" s="7" t="str">
        <f>IFERROR(IF([1]对账明细接口!$AA813=0,"",[1]对账明细接口!$AA813),"")</f>
        <v/>
      </c>
      <c r="AF813" s="7" t="str">
        <f>IFERROR(IF([1]对账明细接口!$AB813=0,"",[1]对账明细接口!$AB813),"")</f>
        <v/>
      </c>
      <c r="AG813" s="7" t="str">
        <f>IFERROR(IF([1]对账明细接口!$AC813=0,"",[1]对账明细接口!$AC813),"")</f>
        <v/>
      </c>
      <c r="AH813" s="7" t="str">
        <f>IFERROR(IF([1]对账明细接口!$AD813=0,"",[1]对账明细接口!$AD813),"")</f>
        <v/>
      </c>
      <c r="AI813" s="7" t="str">
        <f>IFERROR(IF([1]对账明细接口!$AE813=0,"",[1]对账明细接口!$AE813),"")</f>
        <v/>
      </c>
      <c r="AJ813" s="7" t="str">
        <f>IFERROR(IF([1]对账明细接口!$AF813=0,"",[1]对账明细接口!$AF813),"")</f>
        <v/>
      </c>
    </row>
    <row r="814" ht="14.25" customHeight="1" spans="1:36">
      <c r="A814" s="14">
        <v>814</v>
      </c>
      <c r="B814" s="15" t="str">
        <f>IFERROR(IF([1]对账明细接口!$B$814=0,"",[1]对账明细接口!$B$814),"")</f>
        <v/>
      </c>
      <c r="C814" s="16" t="str">
        <f>IFERROR(IF([1]对账明细接口!$C$814=0,"",[1]对账明细接口!$C$814),"")</f>
        <v/>
      </c>
      <c r="D814" s="16" t="str">
        <f>IFERROR(IF([1]对账明细接口!$D$814=0,"",[1]对账明细接口!$D$814),"")</f>
        <v/>
      </c>
      <c r="E814" s="16" t="str">
        <f>IFERROR(IF([1]对账明细接口!$E$814=0,"",[1]对账明细接口!$E$814),"")</f>
        <v/>
      </c>
      <c r="F814" s="16" t="str">
        <f>IFERROR(IF([1]对账明细接口!$F$814=0,"",[1]对账明细接口!$F$814),"")</f>
        <v/>
      </c>
      <c r="G814" s="16" t="str">
        <f>IFERROR(IF([1]对账明细接口!$G$814=0,"",[1]对账明细接口!$G$814),"")</f>
        <v/>
      </c>
      <c r="H814" s="17" t="str">
        <f>IFERROR(IF([1]对账明细接口!$H$814=0,"",[1]对账明细接口!$H$814),"")</f>
        <v/>
      </c>
      <c r="I814" s="16" t="str">
        <f>IFERROR(IF([1]对账明细接口!$I$814=0,"",[1]对账明细接口!$I$814),"")</f>
        <v/>
      </c>
      <c r="J814" s="18" t="str">
        <f>IFERROR(IF([1]对账明细接口!$J$814=0,"",[1]对账明细接口!$J$814),"")</f>
        <v/>
      </c>
      <c r="K814" s="18" t="str">
        <f>IFERROR(IF([1]对账明细接口!$K$814=0,"",[1]对账明细接口!$K$814),"")</f>
        <v/>
      </c>
      <c r="L814" s="16" t="str">
        <f>IFERROR(IF([1]对账明细接口!$L$814=0,"",[1]对账明细接口!$L$814),"")</f>
        <v/>
      </c>
      <c r="M814" s="16" t="str">
        <f>IFERROR(IF([1]对账明细接口!$M$814=0,"",[1]对账明细接口!$M$814),"")</f>
        <v/>
      </c>
      <c r="N814" s="19">
        <f t="shared" si="24"/>
        <v>0</v>
      </c>
      <c r="O814" s="19">
        <f t="shared" si="25"/>
        <v>420</v>
      </c>
      <c r="S814" s="20" t="str">
        <f>IFERROR(IF([1]对账明细接口!$N814=0,"",[1]对账明细接口!$N814),"")</f>
        <v/>
      </c>
      <c r="T814" s="21" t="str">
        <f>IFERROR(IF([1]对账明细接口!$O814=0,"",[1]对账明细接口!$O814),"")</f>
        <v/>
      </c>
      <c r="U814" s="21" t="str">
        <f>IFERROR(IF([1]对账明细接口!$P814=0,"",[1]对账明细接口!$P814),"")</f>
        <v/>
      </c>
      <c r="V814" s="21" t="str">
        <f>IFERROR(IF([1]对账明细接口!$Q814=0,"",[1]对账明细接口!$Q814),"")</f>
        <v/>
      </c>
      <c r="W814" s="20" t="str">
        <f>IFERROR(IF([1]对账明细接口!$R814=0,"",[1]对账明细接口!$R814),"")</f>
        <v/>
      </c>
      <c r="X814" s="20" t="str">
        <f>IFERROR(IF([1]对账明细接口!$S814=0,"",[1]对账明细接口!$S814),"")</f>
        <v/>
      </c>
      <c r="Y814" s="20" t="str">
        <f>IFERROR(IF([1]对账明细接口!$T814=0,"",[1]对账明细接口!$T814),"")</f>
        <v/>
      </c>
      <c r="Z814" s="24" t="str">
        <f>IFERROR(IF([1]对账明细接口!$U814=0,"",[1]对账明细接口!$U814),"")</f>
        <v/>
      </c>
      <c r="AA814" s="24" t="str">
        <f>IFERROR(IF([1]对账明细接口!$V814=0,"",[1]对账明细接口!$V814),"")</f>
        <v/>
      </c>
      <c r="AB814" s="20" t="str">
        <f>IFERROR(IF([1]对账明细接口!$W814=0,"",[1]对账明细接口!$W814),"")</f>
        <v/>
      </c>
      <c r="AC814" s="7" t="str">
        <f>IFERROR(IF([1]对账明细接口!$X814=0,"",[1]对账明细接口!$X814),"")</f>
        <v/>
      </c>
      <c r="AD814" s="7" t="str">
        <f>IFERROR(IF([1]对账明细接口!$Y814=0,"",[1]对账明细接口!$Y814),"")</f>
        <v/>
      </c>
      <c r="AE814" s="7" t="str">
        <f>IFERROR(IF([1]对账明细接口!$AA814=0,"",[1]对账明细接口!$AA814),"")</f>
        <v/>
      </c>
      <c r="AF814" s="7" t="str">
        <f>IFERROR(IF([1]对账明细接口!$AB814=0,"",[1]对账明细接口!$AB814),"")</f>
        <v/>
      </c>
      <c r="AG814" s="7" t="str">
        <f>IFERROR(IF([1]对账明细接口!$AC814=0,"",[1]对账明细接口!$AC814),"")</f>
        <v/>
      </c>
      <c r="AH814" s="7" t="str">
        <f>IFERROR(IF([1]对账明细接口!$AD814=0,"",[1]对账明细接口!$AD814),"")</f>
        <v/>
      </c>
      <c r="AI814" s="7" t="str">
        <f>IFERROR(IF([1]对账明细接口!$AE814=0,"",[1]对账明细接口!$AE814),"")</f>
        <v/>
      </c>
      <c r="AJ814" s="7" t="str">
        <f>IFERROR(IF([1]对账明细接口!$AF814=0,"",[1]对账明细接口!$AF814),"")</f>
        <v/>
      </c>
    </row>
    <row r="815" ht="14.25" customHeight="1" spans="1:36">
      <c r="A815" s="14">
        <v>815</v>
      </c>
      <c r="B815" s="15" t="str">
        <f>IFERROR(IF([1]对账明细接口!$B$815=0,"",[1]对账明细接口!$B$815),"")</f>
        <v/>
      </c>
      <c r="C815" s="16" t="str">
        <f>IFERROR(IF([1]对账明细接口!$C$815=0,"",[1]对账明细接口!$C$815),"")</f>
        <v/>
      </c>
      <c r="D815" s="16" t="str">
        <f>IFERROR(IF([1]对账明细接口!$D$815=0,"",[1]对账明细接口!$D$815),"")</f>
        <v/>
      </c>
      <c r="E815" s="16" t="str">
        <f>IFERROR(IF([1]对账明细接口!$E$815=0,"",[1]对账明细接口!$E$815),"")</f>
        <v/>
      </c>
      <c r="F815" s="16" t="str">
        <f>IFERROR(IF([1]对账明细接口!$F$815=0,"",[1]对账明细接口!$F$815),"")</f>
        <v/>
      </c>
      <c r="G815" s="16" t="str">
        <f>IFERROR(IF([1]对账明细接口!$G$815=0,"",[1]对账明细接口!$G$815),"")</f>
        <v/>
      </c>
      <c r="H815" s="17" t="str">
        <f>IFERROR(IF([1]对账明细接口!$H$815=0,"",[1]对账明细接口!$H$815),"")</f>
        <v/>
      </c>
      <c r="I815" s="16" t="str">
        <f>IFERROR(IF([1]对账明细接口!$I$815=0,"",[1]对账明细接口!$I$815),"")</f>
        <v/>
      </c>
      <c r="J815" s="18" t="str">
        <f>IFERROR(IF([1]对账明细接口!$J$815=0,"",[1]对账明细接口!$J$815),"")</f>
        <v/>
      </c>
      <c r="K815" s="18" t="str">
        <f>IFERROR(IF([1]对账明细接口!$K$815=0,"",[1]对账明细接口!$K$815),"")</f>
        <v/>
      </c>
      <c r="L815" s="16" t="str">
        <f>IFERROR(IF([1]对账明细接口!$L$815=0,"",[1]对账明细接口!$L$815),"")</f>
        <v/>
      </c>
      <c r="M815" s="16" t="str">
        <f>IFERROR(IF([1]对账明细接口!$M$815=0,"",[1]对账明细接口!$M$815),"")</f>
        <v/>
      </c>
      <c r="N815" s="19">
        <f t="shared" si="24"/>
        <v>0</v>
      </c>
      <c r="O815" s="19">
        <f t="shared" si="25"/>
        <v>420</v>
      </c>
      <c r="S815" s="20" t="str">
        <f>IFERROR(IF([1]对账明细接口!$N815=0,"",[1]对账明细接口!$N815),"")</f>
        <v/>
      </c>
      <c r="T815" s="21" t="str">
        <f>IFERROR(IF([1]对账明细接口!$O815=0,"",[1]对账明细接口!$O815),"")</f>
        <v/>
      </c>
      <c r="U815" s="21" t="str">
        <f>IFERROR(IF([1]对账明细接口!$P815=0,"",[1]对账明细接口!$P815),"")</f>
        <v/>
      </c>
      <c r="V815" s="21" t="str">
        <f>IFERROR(IF([1]对账明细接口!$Q815=0,"",[1]对账明细接口!$Q815),"")</f>
        <v/>
      </c>
      <c r="W815" s="20" t="str">
        <f>IFERROR(IF([1]对账明细接口!$R815=0,"",[1]对账明细接口!$R815),"")</f>
        <v/>
      </c>
      <c r="X815" s="20" t="str">
        <f>IFERROR(IF([1]对账明细接口!$S815=0,"",[1]对账明细接口!$S815),"")</f>
        <v/>
      </c>
      <c r="Y815" s="20" t="str">
        <f>IFERROR(IF([1]对账明细接口!$T815=0,"",[1]对账明细接口!$T815),"")</f>
        <v/>
      </c>
      <c r="Z815" s="24" t="str">
        <f>IFERROR(IF([1]对账明细接口!$U815=0,"",[1]对账明细接口!$U815),"")</f>
        <v/>
      </c>
      <c r="AA815" s="24" t="str">
        <f>IFERROR(IF([1]对账明细接口!$V815=0,"",[1]对账明细接口!$V815),"")</f>
        <v/>
      </c>
      <c r="AB815" s="20" t="str">
        <f>IFERROR(IF([1]对账明细接口!$W815=0,"",[1]对账明细接口!$W815),"")</f>
        <v/>
      </c>
      <c r="AC815" s="7" t="str">
        <f>IFERROR(IF([1]对账明细接口!$X815=0,"",[1]对账明细接口!$X815),"")</f>
        <v/>
      </c>
      <c r="AD815" s="7" t="str">
        <f>IFERROR(IF([1]对账明细接口!$Y815=0,"",[1]对账明细接口!$Y815),"")</f>
        <v/>
      </c>
      <c r="AE815" s="7" t="str">
        <f>IFERROR(IF([1]对账明细接口!$AA815=0,"",[1]对账明细接口!$AA815),"")</f>
        <v/>
      </c>
      <c r="AF815" s="7" t="str">
        <f>IFERROR(IF([1]对账明细接口!$AB815=0,"",[1]对账明细接口!$AB815),"")</f>
        <v/>
      </c>
      <c r="AG815" s="7" t="str">
        <f>IFERROR(IF([1]对账明细接口!$AC815=0,"",[1]对账明细接口!$AC815),"")</f>
        <v/>
      </c>
      <c r="AH815" s="7" t="str">
        <f>IFERROR(IF([1]对账明细接口!$AD815=0,"",[1]对账明细接口!$AD815),"")</f>
        <v/>
      </c>
      <c r="AI815" s="7" t="str">
        <f>IFERROR(IF([1]对账明细接口!$AE815=0,"",[1]对账明细接口!$AE815),"")</f>
        <v/>
      </c>
      <c r="AJ815" s="7" t="str">
        <f>IFERROR(IF([1]对账明细接口!$AF815=0,"",[1]对账明细接口!$AF815),"")</f>
        <v/>
      </c>
    </row>
    <row r="816" ht="14.25" customHeight="1" spans="1:36">
      <c r="A816" s="14">
        <v>816</v>
      </c>
      <c r="B816" s="15" t="str">
        <f>IFERROR(IF([1]对账明细接口!$B$816=0,"",[1]对账明细接口!$B$816),"")</f>
        <v/>
      </c>
      <c r="C816" s="16" t="str">
        <f>IFERROR(IF([1]对账明细接口!$C$816=0,"",[1]对账明细接口!$C$816),"")</f>
        <v/>
      </c>
      <c r="D816" s="16" t="str">
        <f>IFERROR(IF([1]对账明细接口!$D$816=0,"",[1]对账明细接口!$D$816),"")</f>
        <v/>
      </c>
      <c r="E816" s="16" t="str">
        <f>IFERROR(IF([1]对账明细接口!$E$816=0,"",[1]对账明细接口!$E$816),"")</f>
        <v/>
      </c>
      <c r="F816" s="16" t="str">
        <f>IFERROR(IF([1]对账明细接口!$F$816=0,"",[1]对账明细接口!$F$816),"")</f>
        <v/>
      </c>
      <c r="G816" s="16" t="str">
        <f>IFERROR(IF([1]对账明细接口!$G$816=0,"",[1]对账明细接口!$G$816),"")</f>
        <v/>
      </c>
      <c r="H816" s="17" t="str">
        <f>IFERROR(IF([1]对账明细接口!$H$816=0,"",[1]对账明细接口!$H$816),"")</f>
        <v/>
      </c>
      <c r="I816" s="16" t="str">
        <f>IFERROR(IF([1]对账明细接口!$I$816=0,"",[1]对账明细接口!$I$816),"")</f>
        <v/>
      </c>
      <c r="J816" s="18" t="str">
        <f>IFERROR(IF([1]对账明细接口!$J$816=0,"",[1]对账明细接口!$J$816),"")</f>
        <v/>
      </c>
      <c r="K816" s="18" t="str">
        <f>IFERROR(IF([1]对账明细接口!$K$816=0,"",[1]对账明细接口!$K$816),"")</f>
        <v/>
      </c>
      <c r="L816" s="16" t="str">
        <f>IFERROR(IF([1]对账明细接口!$L$816=0,"",[1]对账明细接口!$L$816),"")</f>
        <v/>
      </c>
      <c r="M816" s="16" t="str">
        <f>IFERROR(IF([1]对账明细接口!$M$816=0,"",[1]对账明细接口!$M$816),"")</f>
        <v/>
      </c>
      <c r="N816" s="19">
        <f t="shared" si="24"/>
        <v>0</v>
      </c>
      <c r="O816" s="19">
        <f t="shared" si="25"/>
        <v>420</v>
      </c>
      <c r="S816" s="20" t="str">
        <f>IFERROR(IF([1]对账明细接口!$N816=0,"",[1]对账明细接口!$N816),"")</f>
        <v/>
      </c>
      <c r="T816" s="21" t="str">
        <f>IFERROR(IF([1]对账明细接口!$O816=0,"",[1]对账明细接口!$O816),"")</f>
        <v/>
      </c>
      <c r="U816" s="21" t="str">
        <f>IFERROR(IF([1]对账明细接口!$P816=0,"",[1]对账明细接口!$P816),"")</f>
        <v/>
      </c>
      <c r="V816" s="21" t="str">
        <f>IFERROR(IF([1]对账明细接口!$Q816=0,"",[1]对账明细接口!$Q816),"")</f>
        <v/>
      </c>
      <c r="W816" s="20" t="str">
        <f>IFERROR(IF([1]对账明细接口!$R816=0,"",[1]对账明细接口!$R816),"")</f>
        <v/>
      </c>
      <c r="X816" s="20" t="str">
        <f>IFERROR(IF([1]对账明细接口!$S816=0,"",[1]对账明细接口!$S816),"")</f>
        <v/>
      </c>
      <c r="Y816" s="20" t="str">
        <f>IFERROR(IF([1]对账明细接口!$T816=0,"",[1]对账明细接口!$T816),"")</f>
        <v/>
      </c>
      <c r="Z816" s="24" t="str">
        <f>IFERROR(IF([1]对账明细接口!$U816=0,"",[1]对账明细接口!$U816),"")</f>
        <v/>
      </c>
      <c r="AA816" s="24" t="str">
        <f>IFERROR(IF([1]对账明细接口!$V816=0,"",[1]对账明细接口!$V816),"")</f>
        <v/>
      </c>
      <c r="AB816" s="20" t="str">
        <f>IFERROR(IF([1]对账明细接口!$W816=0,"",[1]对账明细接口!$W816),"")</f>
        <v/>
      </c>
      <c r="AC816" s="7" t="str">
        <f>IFERROR(IF([1]对账明细接口!$X816=0,"",[1]对账明细接口!$X816),"")</f>
        <v/>
      </c>
      <c r="AD816" s="7" t="str">
        <f>IFERROR(IF([1]对账明细接口!$Y816=0,"",[1]对账明细接口!$Y816),"")</f>
        <v/>
      </c>
      <c r="AE816" s="7" t="str">
        <f>IFERROR(IF([1]对账明细接口!$AA816=0,"",[1]对账明细接口!$AA816),"")</f>
        <v/>
      </c>
      <c r="AF816" s="7" t="str">
        <f>IFERROR(IF([1]对账明细接口!$AB816=0,"",[1]对账明细接口!$AB816),"")</f>
        <v/>
      </c>
      <c r="AG816" s="7" t="str">
        <f>IFERROR(IF([1]对账明细接口!$AC816=0,"",[1]对账明细接口!$AC816),"")</f>
        <v/>
      </c>
      <c r="AH816" s="7" t="str">
        <f>IFERROR(IF([1]对账明细接口!$AD816=0,"",[1]对账明细接口!$AD816),"")</f>
        <v/>
      </c>
      <c r="AI816" s="7" t="str">
        <f>IFERROR(IF([1]对账明细接口!$AE816=0,"",[1]对账明细接口!$AE816),"")</f>
        <v/>
      </c>
      <c r="AJ816" s="7" t="str">
        <f>IFERROR(IF([1]对账明细接口!$AF816=0,"",[1]对账明细接口!$AF816),"")</f>
        <v/>
      </c>
    </row>
    <row r="817" ht="14.25" customHeight="1" spans="1:36">
      <c r="A817" s="14">
        <v>817</v>
      </c>
      <c r="B817" s="15" t="str">
        <f>IFERROR(IF([1]对账明细接口!$B$817=0,"",[1]对账明细接口!$B$817),"")</f>
        <v/>
      </c>
      <c r="C817" s="16" t="str">
        <f>IFERROR(IF([1]对账明细接口!$C$817=0,"",[1]对账明细接口!$C$817),"")</f>
        <v/>
      </c>
      <c r="D817" s="16" t="str">
        <f>IFERROR(IF([1]对账明细接口!$D$817=0,"",[1]对账明细接口!$D$817),"")</f>
        <v/>
      </c>
      <c r="E817" s="16" t="str">
        <f>IFERROR(IF([1]对账明细接口!$E$817=0,"",[1]对账明细接口!$E$817),"")</f>
        <v/>
      </c>
      <c r="F817" s="16" t="str">
        <f>IFERROR(IF([1]对账明细接口!$F$817=0,"",[1]对账明细接口!$F$817),"")</f>
        <v/>
      </c>
      <c r="G817" s="16" t="str">
        <f>IFERROR(IF([1]对账明细接口!$G$817=0,"",[1]对账明细接口!$G$817),"")</f>
        <v/>
      </c>
      <c r="H817" s="17" t="str">
        <f>IFERROR(IF([1]对账明细接口!$H$817=0,"",[1]对账明细接口!$H$817),"")</f>
        <v/>
      </c>
      <c r="I817" s="16" t="str">
        <f>IFERROR(IF([1]对账明细接口!$I$817=0,"",[1]对账明细接口!$I$817),"")</f>
        <v/>
      </c>
      <c r="J817" s="18" t="str">
        <f>IFERROR(IF([1]对账明细接口!$J$817=0,"",[1]对账明细接口!$J$817),"")</f>
        <v/>
      </c>
      <c r="K817" s="18" t="str">
        <f>IFERROR(IF([1]对账明细接口!$K$817=0,"",[1]对账明细接口!$K$817),"")</f>
        <v/>
      </c>
      <c r="L817" s="16" t="str">
        <f>IFERROR(IF([1]对账明细接口!$L$817=0,"",[1]对账明细接口!$L$817),"")</f>
        <v/>
      </c>
      <c r="M817" s="16" t="str">
        <f>IFERROR(IF([1]对账明细接口!$M$817=0,"",[1]对账明细接口!$M$817),"")</f>
        <v/>
      </c>
      <c r="N817" s="19">
        <f t="shared" si="24"/>
        <v>0</v>
      </c>
      <c r="O817" s="19">
        <f t="shared" si="25"/>
        <v>420</v>
      </c>
      <c r="S817" s="20" t="str">
        <f>IFERROR(IF([1]对账明细接口!$N817=0,"",[1]对账明细接口!$N817),"")</f>
        <v/>
      </c>
      <c r="T817" s="21" t="str">
        <f>IFERROR(IF([1]对账明细接口!$O817=0,"",[1]对账明细接口!$O817),"")</f>
        <v/>
      </c>
      <c r="U817" s="21" t="str">
        <f>IFERROR(IF([1]对账明细接口!$P817=0,"",[1]对账明细接口!$P817),"")</f>
        <v/>
      </c>
      <c r="V817" s="21" t="str">
        <f>IFERROR(IF([1]对账明细接口!$Q817=0,"",[1]对账明细接口!$Q817),"")</f>
        <v/>
      </c>
      <c r="W817" s="20" t="str">
        <f>IFERROR(IF([1]对账明细接口!$R817=0,"",[1]对账明细接口!$R817),"")</f>
        <v/>
      </c>
      <c r="X817" s="20" t="str">
        <f>IFERROR(IF([1]对账明细接口!$S817=0,"",[1]对账明细接口!$S817),"")</f>
        <v/>
      </c>
      <c r="Y817" s="20" t="str">
        <f>IFERROR(IF([1]对账明细接口!$T817=0,"",[1]对账明细接口!$T817),"")</f>
        <v/>
      </c>
      <c r="Z817" s="24" t="str">
        <f>IFERROR(IF([1]对账明细接口!$U817=0,"",[1]对账明细接口!$U817),"")</f>
        <v/>
      </c>
      <c r="AA817" s="24" t="str">
        <f>IFERROR(IF([1]对账明细接口!$V817=0,"",[1]对账明细接口!$V817),"")</f>
        <v/>
      </c>
      <c r="AB817" s="20" t="str">
        <f>IFERROR(IF([1]对账明细接口!$W817=0,"",[1]对账明细接口!$W817),"")</f>
        <v/>
      </c>
      <c r="AC817" s="7" t="str">
        <f>IFERROR(IF([1]对账明细接口!$X817=0,"",[1]对账明细接口!$X817),"")</f>
        <v/>
      </c>
      <c r="AD817" s="7" t="str">
        <f>IFERROR(IF([1]对账明细接口!$Y817=0,"",[1]对账明细接口!$Y817),"")</f>
        <v/>
      </c>
      <c r="AE817" s="7" t="str">
        <f>IFERROR(IF([1]对账明细接口!$AA817=0,"",[1]对账明细接口!$AA817),"")</f>
        <v/>
      </c>
      <c r="AF817" s="7" t="str">
        <f>IFERROR(IF([1]对账明细接口!$AB817=0,"",[1]对账明细接口!$AB817),"")</f>
        <v/>
      </c>
      <c r="AG817" s="7" t="str">
        <f>IFERROR(IF([1]对账明细接口!$AC817=0,"",[1]对账明细接口!$AC817),"")</f>
        <v/>
      </c>
      <c r="AH817" s="7" t="str">
        <f>IFERROR(IF([1]对账明细接口!$AD817=0,"",[1]对账明细接口!$AD817),"")</f>
        <v/>
      </c>
      <c r="AI817" s="7" t="str">
        <f>IFERROR(IF([1]对账明细接口!$AE817=0,"",[1]对账明细接口!$AE817),"")</f>
        <v/>
      </c>
      <c r="AJ817" s="7" t="str">
        <f>IFERROR(IF([1]对账明细接口!$AF817=0,"",[1]对账明细接口!$AF817),"")</f>
        <v/>
      </c>
    </row>
    <row r="818" ht="14.25" customHeight="1" spans="1:36">
      <c r="A818" s="14">
        <v>818</v>
      </c>
      <c r="B818" s="15" t="str">
        <f>IFERROR(IF([1]对账明细接口!$B$818=0,"",[1]对账明细接口!$B$818),"")</f>
        <v/>
      </c>
      <c r="C818" s="16" t="str">
        <f>IFERROR(IF([1]对账明细接口!$C$818=0,"",[1]对账明细接口!$C$818),"")</f>
        <v/>
      </c>
      <c r="D818" s="16" t="str">
        <f>IFERROR(IF([1]对账明细接口!$D$818=0,"",[1]对账明细接口!$D$818),"")</f>
        <v/>
      </c>
      <c r="E818" s="16" t="str">
        <f>IFERROR(IF([1]对账明细接口!$E$818=0,"",[1]对账明细接口!$E$818),"")</f>
        <v/>
      </c>
      <c r="F818" s="16" t="str">
        <f>IFERROR(IF([1]对账明细接口!$F$818=0,"",[1]对账明细接口!$F$818),"")</f>
        <v/>
      </c>
      <c r="G818" s="16" t="str">
        <f>IFERROR(IF([1]对账明细接口!$G$818=0,"",[1]对账明细接口!$G$818),"")</f>
        <v/>
      </c>
      <c r="H818" s="17" t="str">
        <f>IFERROR(IF([1]对账明细接口!$H$818=0,"",[1]对账明细接口!$H$818),"")</f>
        <v/>
      </c>
      <c r="I818" s="16" t="str">
        <f>IFERROR(IF([1]对账明细接口!$I$818=0,"",[1]对账明细接口!$I$818),"")</f>
        <v/>
      </c>
      <c r="J818" s="18" t="str">
        <f>IFERROR(IF([1]对账明细接口!$J$818=0,"",[1]对账明细接口!$J$818),"")</f>
        <v/>
      </c>
      <c r="K818" s="18" t="str">
        <f>IFERROR(IF([1]对账明细接口!$K$818=0,"",[1]对账明细接口!$K$818),"")</f>
        <v/>
      </c>
      <c r="L818" s="16" t="str">
        <f>IFERROR(IF([1]对账明细接口!$L$818=0,"",[1]对账明细接口!$L$818),"")</f>
        <v/>
      </c>
      <c r="M818" s="16" t="str">
        <f>IFERROR(IF([1]对账明细接口!$M$818=0,"",[1]对账明细接口!$M$818),"")</f>
        <v/>
      </c>
      <c r="N818" s="19">
        <f t="shared" si="24"/>
        <v>0</v>
      </c>
      <c r="O818" s="19">
        <f t="shared" si="25"/>
        <v>420</v>
      </c>
      <c r="S818" s="20" t="str">
        <f>IFERROR(IF([1]对账明细接口!$N818=0,"",[1]对账明细接口!$N818),"")</f>
        <v/>
      </c>
      <c r="T818" s="21" t="str">
        <f>IFERROR(IF([1]对账明细接口!$O818=0,"",[1]对账明细接口!$O818),"")</f>
        <v/>
      </c>
      <c r="U818" s="21" t="str">
        <f>IFERROR(IF([1]对账明细接口!$P818=0,"",[1]对账明细接口!$P818),"")</f>
        <v/>
      </c>
      <c r="V818" s="21" t="str">
        <f>IFERROR(IF([1]对账明细接口!$Q818=0,"",[1]对账明细接口!$Q818),"")</f>
        <v/>
      </c>
      <c r="W818" s="20" t="str">
        <f>IFERROR(IF([1]对账明细接口!$R818=0,"",[1]对账明细接口!$R818),"")</f>
        <v/>
      </c>
      <c r="X818" s="20" t="str">
        <f>IFERROR(IF([1]对账明细接口!$S818=0,"",[1]对账明细接口!$S818),"")</f>
        <v/>
      </c>
      <c r="Y818" s="20" t="str">
        <f>IFERROR(IF([1]对账明细接口!$T818=0,"",[1]对账明细接口!$T818),"")</f>
        <v/>
      </c>
      <c r="Z818" s="24" t="str">
        <f>IFERROR(IF([1]对账明细接口!$U818=0,"",[1]对账明细接口!$U818),"")</f>
        <v/>
      </c>
      <c r="AA818" s="24" t="str">
        <f>IFERROR(IF([1]对账明细接口!$V818=0,"",[1]对账明细接口!$V818),"")</f>
        <v/>
      </c>
      <c r="AB818" s="20" t="str">
        <f>IFERROR(IF([1]对账明细接口!$W818=0,"",[1]对账明细接口!$W818),"")</f>
        <v/>
      </c>
      <c r="AC818" s="7" t="str">
        <f>IFERROR(IF([1]对账明细接口!$X818=0,"",[1]对账明细接口!$X818),"")</f>
        <v/>
      </c>
      <c r="AD818" s="7" t="str">
        <f>IFERROR(IF([1]对账明细接口!$Y818=0,"",[1]对账明细接口!$Y818),"")</f>
        <v/>
      </c>
      <c r="AE818" s="7" t="str">
        <f>IFERROR(IF([1]对账明细接口!$AA818=0,"",[1]对账明细接口!$AA818),"")</f>
        <v/>
      </c>
      <c r="AF818" s="7" t="str">
        <f>IFERROR(IF([1]对账明细接口!$AB818=0,"",[1]对账明细接口!$AB818),"")</f>
        <v/>
      </c>
      <c r="AG818" s="7" t="str">
        <f>IFERROR(IF([1]对账明细接口!$AC818=0,"",[1]对账明细接口!$AC818),"")</f>
        <v/>
      </c>
      <c r="AH818" s="7" t="str">
        <f>IFERROR(IF([1]对账明细接口!$AD818=0,"",[1]对账明细接口!$AD818),"")</f>
        <v/>
      </c>
      <c r="AI818" s="7" t="str">
        <f>IFERROR(IF([1]对账明细接口!$AE818=0,"",[1]对账明细接口!$AE818),"")</f>
        <v/>
      </c>
      <c r="AJ818" s="7" t="str">
        <f>IFERROR(IF([1]对账明细接口!$AF818=0,"",[1]对账明细接口!$AF818),"")</f>
        <v/>
      </c>
    </row>
    <row r="819" ht="14.25" customHeight="1" spans="1:36">
      <c r="A819" s="14">
        <v>819</v>
      </c>
      <c r="B819" s="15" t="str">
        <f>IFERROR(IF([1]对账明细接口!$B$819=0,"",[1]对账明细接口!$B$819),"")</f>
        <v/>
      </c>
      <c r="C819" s="16" t="str">
        <f>IFERROR(IF([1]对账明细接口!$C$819=0,"",[1]对账明细接口!$C$819),"")</f>
        <v/>
      </c>
      <c r="D819" s="16" t="str">
        <f>IFERROR(IF([1]对账明细接口!$D$819=0,"",[1]对账明细接口!$D$819),"")</f>
        <v/>
      </c>
      <c r="E819" s="16" t="str">
        <f>IFERROR(IF([1]对账明细接口!$E$819=0,"",[1]对账明细接口!$E$819),"")</f>
        <v/>
      </c>
      <c r="F819" s="16" t="str">
        <f>IFERROR(IF([1]对账明细接口!$F$819=0,"",[1]对账明细接口!$F$819),"")</f>
        <v/>
      </c>
      <c r="G819" s="16" t="str">
        <f>IFERROR(IF([1]对账明细接口!$G$819=0,"",[1]对账明细接口!$G$819),"")</f>
        <v/>
      </c>
      <c r="H819" s="17" t="str">
        <f>IFERROR(IF([1]对账明细接口!$H$819=0,"",[1]对账明细接口!$H$819),"")</f>
        <v/>
      </c>
      <c r="I819" s="16" t="str">
        <f>IFERROR(IF([1]对账明细接口!$I$819=0,"",[1]对账明细接口!$I$819),"")</f>
        <v/>
      </c>
      <c r="J819" s="18" t="str">
        <f>IFERROR(IF([1]对账明细接口!$J$819=0,"",[1]对账明细接口!$J$819),"")</f>
        <v/>
      </c>
      <c r="K819" s="18" t="str">
        <f>IFERROR(IF([1]对账明细接口!$K$819=0,"",[1]对账明细接口!$K$819),"")</f>
        <v/>
      </c>
      <c r="L819" s="16" t="str">
        <f>IFERROR(IF([1]对账明细接口!$L$819=0,"",[1]对账明细接口!$L$819),"")</f>
        <v/>
      </c>
      <c r="M819" s="16" t="str">
        <f>IFERROR(IF([1]对账明细接口!$M$819=0,"",[1]对账明细接口!$M$819),"")</f>
        <v/>
      </c>
      <c r="N819" s="19">
        <f t="shared" si="24"/>
        <v>0</v>
      </c>
      <c r="O819" s="19">
        <f t="shared" si="25"/>
        <v>420</v>
      </c>
      <c r="S819" s="20" t="str">
        <f>IFERROR(IF([1]对账明细接口!$N819=0,"",[1]对账明细接口!$N819),"")</f>
        <v/>
      </c>
      <c r="T819" s="21" t="str">
        <f>IFERROR(IF([1]对账明细接口!$O819=0,"",[1]对账明细接口!$O819),"")</f>
        <v/>
      </c>
      <c r="U819" s="21" t="str">
        <f>IFERROR(IF([1]对账明细接口!$P819=0,"",[1]对账明细接口!$P819),"")</f>
        <v/>
      </c>
      <c r="V819" s="21" t="str">
        <f>IFERROR(IF([1]对账明细接口!$Q819=0,"",[1]对账明细接口!$Q819),"")</f>
        <v/>
      </c>
      <c r="W819" s="20" t="str">
        <f>IFERROR(IF([1]对账明细接口!$R819=0,"",[1]对账明细接口!$R819),"")</f>
        <v/>
      </c>
      <c r="X819" s="20" t="str">
        <f>IFERROR(IF([1]对账明细接口!$S819=0,"",[1]对账明细接口!$S819),"")</f>
        <v/>
      </c>
      <c r="Y819" s="20" t="str">
        <f>IFERROR(IF([1]对账明细接口!$T819=0,"",[1]对账明细接口!$T819),"")</f>
        <v/>
      </c>
      <c r="Z819" s="24" t="str">
        <f>IFERROR(IF([1]对账明细接口!$U819=0,"",[1]对账明细接口!$U819),"")</f>
        <v/>
      </c>
      <c r="AA819" s="24" t="str">
        <f>IFERROR(IF([1]对账明细接口!$V819=0,"",[1]对账明细接口!$V819),"")</f>
        <v/>
      </c>
      <c r="AB819" s="20" t="str">
        <f>IFERROR(IF([1]对账明细接口!$W819=0,"",[1]对账明细接口!$W819),"")</f>
        <v/>
      </c>
      <c r="AC819" s="7" t="str">
        <f>IFERROR(IF([1]对账明细接口!$X819=0,"",[1]对账明细接口!$X819),"")</f>
        <v/>
      </c>
      <c r="AD819" s="7" t="str">
        <f>IFERROR(IF([1]对账明细接口!$Y819=0,"",[1]对账明细接口!$Y819),"")</f>
        <v/>
      </c>
      <c r="AE819" s="7" t="str">
        <f>IFERROR(IF([1]对账明细接口!$AA819=0,"",[1]对账明细接口!$AA819),"")</f>
        <v/>
      </c>
      <c r="AF819" s="7" t="str">
        <f>IFERROR(IF([1]对账明细接口!$AB819=0,"",[1]对账明细接口!$AB819),"")</f>
        <v/>
      </c>
      <c r="AG819" s="7" t="str">
        <f>IFERROR(IF([1]对账明细接口!$AC819=0,"",[1]对账明细接口!$AC819),"")</f>
        <v/>
      </c>
      <c r="AH819" s="7" t="str">
        <f>IFERROR(IF([1]对账明细接口!$AD819=0,"",[1]对账明细接口!$AD819),"")</f>
        <v/>
      </c>
      <c r="AI819" s="7" t="str">
        <f>IFERROR(IF([1]对账明细接口!$AE819=0,"",[1]对账明细接口!$AE819),"")</f>
        <v/>
      </c>
      <c r="AJ819" s="7" t="str">
        <f>IFERROR(IF([1]对账明细接口!$AF819=0,"",[1]对账明细接口!$AF819),"")</f>
        <v/>
      </c>
    </row>
    <row r="820" ht="14.25" customHeight="1" spans="1:36">
      <c r="A820" s="14">
        <v>820</v>
      </c>
      <c r="B820" s="15" t="str">
        <f>IFERROR(IF([1]对账明细接口!$B$820=0,"",[1]对账明细接口!$B$820),"")</f>
        <v/>
      </c>
      <c r="C820" s="16" t="str">
        <f>IFERROR(IF([1]对账明细接口!$C$820=0,"",[1]对账明细接口!$C$820),"")</f>
        <v/>
      </c>
      <c r="D820" s="16" t="str">
        <f>IFERROR(IF([1]对账明细接口!$D$820=0,"",[1]对账明细接口!$D$820),"")</f>
        <v/>
      </c>
      <c r="E820" s="16" t="str">
        <f>IFERROR(IF([1]对账明细接口!$E$820=0,"",[1]对账明细接口!$E$820),"")</f>
        <v/>
      </c>
      <c r="F820" s="16" t="str">
        <f>IFERROR(IF([1]对账明细接口!$F$820=0,"",[1]对账明细接口!$F$820),"")</f>
        <v/>
      </c>
      <c r="G820" s="16" t="str">
        <f>IFERROR(IF([1]对账明细接口!$G$820=0,"",[1]对账明细接口!$G$820),"")</f>
        <v/>
      </c>
      <c r="H820" s="17" t="str">
        <f>IFERROR(IF([1]对账明细接口!$H$820=0,"",[1]对账明细接口!$H$820),"")</f>
        <v/>
      </c>
      <c r="I820" s="16" t="str">
        <f>IFERROR(IF([1]对账明细接口!$I$820=0,"",[1]对账明细接口!$I$820),"")</f>
        <v/>
      </c>
      <c r="J820" s="18" t="str">
        <f>IFERROR(IF([1]对账明细接口!$J$820=0,"",[1]对账明细接口!$J$820),"")</f>
        <v/>
      </c>
      <c r="K820" s="18" t="str">
        <f>IFERROR(IF([1]对账明细接口!$K$820=0,"",[1]对账明细接口!$K$820),"")</f>
        <v/>
      </c>
      <c r="L820" s="16" t="str">
        <f>IFERROR(IF([1]对账明细接口!$L$820=0,"",[1]对账明细接口!$L$820),"")</f>
        <v/>
      </c>
      <c r="M820" s="16" t="str">
        <f>IFERROR(IF([1]对账明细接口!$M$820=0,"",[1]对账明细接口!$M$820),"")</f>
        <v/>
      </c>
      <c r="N820" s="19">
        <f t="shared" si="24"/>
        <v>0</v>
      </c>
      <c r="O820" s="19">
        <f t="shared" si="25"/>
        <v>420</v>
      </c>
      <c r="S820" s="20" t="str">
        <f>IFERROR(IF([1]对账明细接口!$N820=0,"",[1]对账明细接口!$N820),"")</f>
        <v/>
      </c>
      <c r="T820" s="21" t="str">
        <f>IFERROR(IF([1]对账明细接口!$O820=0,"",[1]对账明细接口!$O820),"")</f>
        <v/>
      </c>
      <c r="U820" s="21" t="str">
        <f>IFERROR(IF([1]对账明细接口!$P820=0,"",[1]对账明细接口!$P820),"")</f>
        <v/>
      </c>
      <c r="V820" s="21" t="str">
        <f>IFERROR(IF([1]对账明细接口!$Q820=0,"",[1]对账明细接口!$Q820),"")</f>
        <v/>
      </c>
      <c r="W820" s="20" t="str">
        <f>IFERROR(IF([1]对账明细接口!$R820=0,"",[1]对账明细接口!$R820),"")</f>
        <v/>
      </c>
      <c r="X820" s="20" t="str">
        <f>IFERROR(IF([1]对账明细接口!$S820=0,"",[1]对账明细接口!$S820),"")</f>
        <v/>
      </c>
      <c r="Y820" s="20" t="str">
        <f>IFERROR(IF([1]对账明细接口!$T820=0,"",[1]对账明细接口!$T820),"")</f>
        <v/>
      </c>
      <c r="Z820" s="24" t="str">
        <f>IFERROR(IF([1]对账明细接口!$U820=0,"",[1]对账明细接口!$U820),"")</f>
        <v/>
      </c>
      <c r="AA820" s="24" t="str">
        <f>IFERROR(IF([1]对账明细接口!$V820=0,"",[1]对账明细接口!$V820),"")</f>
        <v/>
      </c>
      <c r="AB820" s="20" t="str">
        <f>IFERROR(IF([1]对账明细接口!$W820=0,"",[1]对账明细接口!$W820),"")</f>
        <v/>
      </c>
      <c r="AC820" s="7" t="str">
        <f>IFERROR(IF([1]对账明细接口!$X820=0,"",[1]对账明细接口!$X820),"")</f>
        <v/>
      </c>
      <c r="AD820" s="7" t="str">
        <f>IFERROR(IF([1]对账明细接口!$Y820=0,"",[1]对账明细接口!$Y820),"")</f>
        <v/>
      </c>
      <c r="AE820" s="7" t="str">
        <f>IFERROR(IF([1]对账明细接口!$AA820=0,"",[1]对账明细接口!$AA820),"")</f>
        <v/>
      </c>
      <c r="AF820" s="7" t="str">
        <f>IFERROR(IF([1]对账明细接口!$AB820=0,"",[1]对账明细接口!$AB820),"")</f>
        <v/>
      </c>
      <c r="AG820" s="7" t="str">
        <f>IFERROR(IF([1]对账明细接口!$AC820=0,"",[1]对账明细接口!$AC820),"")</f>
        <v/>
      </c>
      <c r="AH820" s="7" t="str">
        <f>IFERROR(IF([1]对账明细接口!$AD820=0,"",[1]对账明细接口!$AD820),"")</f>
        <v/>
      </c>
      <c r="AI820" s="7" t="str">
        <f>IFERROR(IF([1]对账明细接口!$AE820=0,"",[1]对账明细接口!$AE820),"")</f>
        <v/>
      </c>
      <c r="AJ820" s="7" t="str">
        <f>IFERROR(IF([1]对账明细接口!$AF820=0,"",[1]对账明细接口!$AF820),"")</f>
        <v/>
      </c>
    </row>
    <row r="821" ht="14.25" customHeight="1" spans="1:36">
      <c r="A821" s="14">
        <v>821</v>
      </c>
      <c r="B821" s="15" t="str">
        <f>IFERROR(IF([1]对账明细接口!$B$821=0,"",[1]对账明细接口!$B$821),"")</f>
        <v/>
      </c>
      <c r="C821" s="16" t="str">
        <f>IFERROR(IF([1]对账明细接口!$C$821=0,"",[1]对账明细接口!$C$821),"")</f>
        <v/>
      </c>
      <c r="D821" s="16" t="str">
        <f>IFERROR(IF([1]对账明细接口!$D$821=0,"",[1]对账明细接口!$D$821),"")</f>
        <v/>
      </c>
      <c r="E821" s="16" t="str">
        <f>IFERROR(IF([1]对账明细接口!$E$821=0,"",[1]对账明细接口!$E$821),"")</f>
        <v/>
      </c>
      <c r="F821" s="16" t="str">
        <f>IFERROR(IF([1]对账明细接口!$F$821=0,"",[1]对账明细接口!$F$821),"")</f>
        <v/>
      </c>
      <c r="G821" s="16" t="str">
        <f>IFERROR(IF([1]对账明细接口!$G$821=0,"",[1]对账明细接口!$G$821),"")</f>
        <v/>
      </c>
      <c r="H821" s="17" t="str">
        <f>IFERROR(IF([1]对账明细接口!$H$821=0,"",[1]对账明细接口!$H$821),"")</f>
        <v/>
      </c>
      <c r="I821" s="16" t="str">
        <f>IFERROR(IF([1]对账明细接口!$I$821=0,"",[1]对账明细接口!$I$821),"")</f>
        <v/>
      </c>
      <c r="J821" s="18" t="str">
        <f>IFERROR(IF([1]对账明细接口!$J$821=0,"",[1]对账明细接口!$J$821),"")</f>
        <v/>
      </c>
      <c r="K821" s="18" t="str">
        <f>IFERROR(IF([1]对账明细接口!$K$821=0,"",[1]对账明细接口!$K$821),"")</f>
        <v/>
      </c>
      <c r="L821" s="16" t="str">
        <f>IFERROR(IF([1]对账明细接口!$L$821=0,"",[1]对账明细接口!$L$821),"")</f>
        <v/>
      </c>
      <c r="M821" s="16" t="str">
        <f>IFERROR(IF([1]对账明细接口!$M$821=0,"",[1]对账明细接口!$M$821),"")</f>
        <v/>
      </c>
      <c r="N821" s="19">
        <f t="shared" si="24"/>
        <v>0</v>
      </c>
      <c r="O821" s="19">
        <f t="shared" si="25"/>
        <v>420</v>
      </c>
      <c r="S821" s="20" t="str">
        <f>IFERROR(IF([1]对账明细接口!$N821=0,"",[1]对账明细接口!$N821),"")</f>
        <v/>
      </c>
      <c r="T821" s="21" t="str">
        <f>IFERROR(IF([1]对账明细接口!$O821=0,"",[1]对账明细接口!$O821),"")</f>
        <v/>
      </c>
      <c r="U821" s="21" t="str">
        <f>IFERROR(IF([1]对账明细接口!$P821=0,"",[1]对账明细接口!$P821),"")</f>
        <v/>
      </c>
      <c r="V821" s="21" t="str">
        <f>IFERROR(IF([1]对账明细接口!$Q821=0,"",[1]对账明细接口!$Q821),"")</f>
        <v/>
      </c>
      <c r="W821" s="20" t="str">
        <f>IFERROR(IF([1]对账明细接口!$R821=0,"",[1]对账明细接口!$R821),"")</f>
        <v/>
      </c>
      <c r="X821" s="20" t="str">
        <f>IFERROR(IF([1]对账明细接口!$S821=0,"",[1]对账明细接口!$S821),"")</f>
        <v/>
      </c>
      <c r="Y821" s="20" t="str">
        <f>IFERROR(IF([1]对账明细接口!$T821=0,"",[1]对账明细接口!$T821),"")</f>
        <v/>
      </c>
      <c r="Z821" s="24" t="str">
        <f>IFERROR(IF([1]对账明细接口!$U821=0,"",[1]对账明细接口!$U821),"")</f>
        <v/>
      </c>
      <c r="AA821" s="24" t="str">
        <f>IFERROR(IF([1]对账明细接口!$V821=0,"",[1]对账明细接口!$V821),"")</f>
        <v/>
      </c>
      <c r="AB821" s="20" t="str">
        <f>IFERROR(IF([1]对账明细接口!$W821=0,"",[1]对账明细接口!$W821),"")</f>
        <v/>
      </c>
      <c r="AC821" s="7" t="str">
        <f>IFERROR(IF([1]对账明细接口!$X821=0,"",[1]对账明细接口!$X821),"")</f>
        <v/>
      </c>
      <c r="AD821" s="7" t="str">
        <f>IFERROR(IF([1]对账明细接口!$Y821=0,"",[1]对账明细接口!$Y821),"")</f>
        <v/>
      </c>
      <c r="AE821" s="7" t="str">
        <f>IFERROR(IF([1]对账明细接口!$AA821=0,"",[1]对账明细接口!$AA821),"")</f>
        <v/>
      </c>
      <c r="AF821" s="7" t="str">
        <f>IFERROR(IF([1]对账明细接口!$AB821=0,"",[1]对账明细接口!$AB821),"")</f>
        <v/>
      </c>
      <c r="AG821" s="7" t="str">
        <f>IFERROR(IF([1]对账明细接口!$AC821=0,"",[1]对账明细接口!$AC821),"")</f>
        <v/>
      </c>
      <c r="AH821" s="7" t="str">
        <f>IFERROR(IF([1]对账明细接口!$AD821=0,"",[1]对账明细接口!$AD821),"")</f>
        <v/>
      </c>
      <c r="AI821" s="7" t="str">
        <f>IFERROR(IF([1]对账明细接口!$AE821=0,"",[1]对账明细接口!$AE821),"")</f>
        <v/>
      </c>
      <c r="AJ821" s="7" t="str">
        <f>IFERROR(IF([1]对账明细接口!$AF821=0,"",[1]对账明细接口!$AF821),"")</f>
        <v/>
      </c>
    </row>
    <row r="822" ht="14.25" customHeight="1" spans="1:36">
      <c r="A822" s="14">
        <v>822</v>
      </c>
      <c r="B822" s="15" t="str">
        <f>IFERROR(IF([1]对账明细接口!$B$822=0,"",[1]对账明细接口!$B$822),"")</f>
        <v/>
      </c>
      <c r="C822" s="16" t="str">
        <f>IFERROR(IF([1]对账明细接口!$C$822=0,"",[1]对账明细接口!$C$822),"")</f>
        <v/>
      </c>
      <c r="D822" s="16" t="str">
        <f>IFERROR(IF([1]对账明细接口!$D$822=0,"",[1]对账明细接口!$D$822),"")</f>
        <v/>
      </c>
      <c r="E822" s="16" t="str">
        <f>IFERROR(IF([1]对账明细接口!$E$822=0,"",[1]对账明细接口!$E$822),"")</f>
        <v/>
      </c>
      <c r="F822" s="16" t="str">
        <f>IFERROR(IF([1]对账明细接口!$F$822=0,"",[1]对账明细接口!$F$822),"")</f>
        <v/>
      </c>
      <c r="G822" s="16" t="str">
        <f>IFERROR(IF([1]对账明细接口!$G$822=0,"",[1]对账明细接口!$G$822),"")</f>
        <v/>
      </c>
      <c r="H822" s="17" t="str">
        <f>IFERROR(IF([1]对账明细接口!$H$822=0,"",[1]对账明细接口!$H$822),"")</f>
        <v/>
      </c>
      <c r="I822" s="16" t="str">
        <f>IFERROR(IF([1]对账明细接口!$I$822=0,"",[1]对账明细接口!$I$822),"")</f>
        <v/>
      </c>
      <c r="J822" s="18" t="str">
        <f>IFERROR(IF([1]对账明细接口!$J$822=0,"",[1]对账明细接口!$J$822),"")</f>
        <v/>
      </c>
      <c r="K822" s="18" t="str">
        <f>IFERROR(IF([1]对账明细接口!$K$822=0,"",[1]对账明细接口!$K$822),"")</f>
        <v/>
      </c>
      <c r="L822" s="16" t="str">
        <f>IFERROR(IF([1]对账明细接口!$L$822=0,"",[1]对账明细接口!$L$822),"")</f>
        <v/>
      </c>
      <c r="M822" s="16" t="str">
        <f>IFERROR(IF([1]对账明细接口!$M$822=0,"",[1]对账明细接口!$M$822),"")</f>
        <v/>
      </c>
      <c r="N822" s="19">
        <f t="shared" si="24"/>
        <v>0</v>
      </c>
      <c r="O822" s="19">
        <f t="shared" si="25"/>
        <v>420</v>
      </c>
      <c r="S822" s="20" t="str">
        <f>IFERROR(IF([1]对账明细接口!$N822=0,"",[1]对账明细接口!$N822),"")</f>
        <v/>
      </c>
      <c r="T822" s="21" t="str">
        <f>IFERROR(IF([1]对账明细接口!$O822=0,"",[1]对账明细接口!$O822),"")</f>
        <v/>
      </c>
      <c r="U822" s="21" t="str">
        <f>IFERROR(IF([1]对账明细接口!$P822=0,"",[1]对账明细接口!$P822),"")</f>
        <v/>
      </c>
      <c r="V822" s="21" t="str">
        <f>IFERROR(IF([1]对账明细接口!$Q822=0,"",[1]对账明细接口!$Q822),"")</f>
        <v/>
      </c>
      <c r="W822" s="20" t="str">
        <f>IFERROR(IF([1]对账明细接口!$R822=0,"",[1]对账明细接口!$R822),"")</f>
        <v/>
      </c>
      <c r="X822" s="20" t="str">
        <f>IFERROR(IF([1]对账明细接口!$S822=0,"",[1]对账明细接口!$S822),"")</f>
        <v/>
      </c>
      <c r="Y822" s="20" t="str">
        <f>IFERROR(IF([1]对账明细接口!$T822=0,"",[1]对账明细接口!$T822),"")</f>
        <v/>
      </c>
      <c r="Z822" s="24" t="str">
        <f>IFERROR(IF([1]对账明细接口!$U822=0,"",[1]对账明细接口!$U822),"")</f>
        <v/>
      </c>
      <c r="AA822" s="24" t="str">
        <f>IFERROR(IF([1]对账明细接口!$V822=0,"",[1]对账明细接口!$V822),"")</f>
        <v/>
      </c>
      <c r="AB822" s="20" t="str">
        <f>IFERROR(IF([1]对账明细接口!$W822=0,"",[1]对账明细接口!$W822),"")</f>
        <v/>
      </c>
      <c r="AC822" s="7" t="str">
        <f>IFERROR(IF([1]对账明细接口!$X822=0,"",[1]对账明细接口!$X822),"")</f>
        <v/>
      </c>
      <c r="AD822" s="7" t="str">
        <f>IFERROR(IF([1]对账明细接口!$Y822=0,"",[1]对账明细接口!$Y822),"")</f>
        <v/>
      </c>
      <c r="AE822" s="7" t="str">
        <f>IFERROR(IF([1]对账明细接口!$AA822=0,"",[1]对账明细接口!$AA822),"")</f>
        <v/>
      </c>
      <c r="AF822" s="7" t="str">
        <f>IFERROR(IF([1]对账明细接口!$AB822=0,"",[1]对账明细接口!$AB822),"")</f>
        <v/>
      </c>
      <c r="AG822" s="7" t="str">
        <f>IFERROR(IF([1]对账明细接口!$AC822=0,"",[1]对账明细接口!$AC822),"")</f>
        <v/>
      </c>
      <c r="AH822" s="7" t="str">
        <f>IFERROR(IF([1]对账明细接口!$AD822=0,"",[1]对账明细接口!$AD822),"")</f>
        <v/>
      </c>
      <c r="AI822" s="7" t="str">
        <f>IFERROR(IF([1]对账明细接口!$AE822=0,"",[1]对账明细接口!$AE822),"")</f>
        <v/>
      </c>
      <c r="AJ822" s="7" t="str">
        <f>IFERROR(IF([1]对账明细接口!$AF822=0,"",[1]对账明细接口!$AF822),"")</f>
        <v/>
      </c>
    </row>
    <row r="823" ht="14.25" customHeight="1" spans="1:36">
      <c r="A823" s="14">
        <v>823</v>
      </c>
      <c r="B823" s="15" t="str">
        <f>IFERROR(IF([1]对账明细接口!$B$823=0,"",[1]对账明细接口!$B$823),"")</f>
        <v/>
      </c>
      <c r="C823" s="16" t="str">
        <f>IFERROR(IF([1]对账明细接口!$C$823=0,"",[1]对账明细接口!$C$823),"")</f>
        <v/>
      </c>
      <c r="D823" s="16" t="str">
        <f>IFERROR(IF([1]对账明细接口!$D$823=0,"",[1]对账明细接口!$D$823),"")</f>
        <v/>
      </c>
      <c r="E823" s="16" t="str">
        <f>IFERROR(IF([1]对账明细接口!$E$823=0,"",[1]对账明细接口!$E$823),"")</f>
        <v/>
      </c>
      <c r="F823" s="16" t="str">
        <f>IFERROR(IF([1]对账明细接口!$F$823=0,"",[1]对账明细接口!$F$823),"")</f>
        <v/>
      </c>
      <c r="G823" s="16" t="str">
        <f>IFERROR(IF([1]对账明细接口!$G$823=0,"",[1]对账明细接口!$G$823),"")</f>
        <v/>
      </c>
      <c r="H823" s="17" t="str">
        <f>IFERROR(IF([1]对账明细接口!$H$823=0,"",[1]对账明细接口!$H$823),"")</f>
        <v/>
      </c>
      <c r="I823" s="16" t="str">
        <f>IFERROR(IF([1]对账明细接口!$I$823=0,"",[1]对账明细接口!$I$823),"")</f>
        <v/>
      </c>
      <c r="J823" s="18" t="str">
        <f>IFERROR(IF([1]对账明细接口!$J$823=0,"",[1]对账明细接口!$J$823),"")</f>
        <v/>
      </c>
      <c r="K823" s="18" t="str">
        <f>IFERROR(IF([1]对账明细接口!$K$823=0,"",[1]对账明细接口!$K$823),"")</f>
        <v/>
      </c>
      <c r="L823" s="16" t="str">
        <f>IFERROR(IF([1]对账明细接口!$L$823=0,"",[1]对账明细接口!$L$823),"")</f>
        <v/>
      </c>
      <c r="M823" s="16" t="str">
        <f>IFERROR(IF([1]对账明细接口!$M$823=0,"",[1]对账明细接口!$M$823),"")</f>
        <v/>
      </c>
      <c r="N823" s="19">
        <f t="shared" si="24"/>
        <v>0</v>
      </c>
      <c r="O823" s="19">
        <f t="shared" si="25"/>
        <v>420</v>
      </c>
      <c r="S823" s="20" t="str">
        <f>IFERROR(IF([1]对账明细接口!$N823=0,"",[1]对账明细接口!$N823),"")</f>
        <v/>
      </c>
      <c r="T823" s="21" t="str">
        <f>IFERROR(IF([1]对账明细接口!$O823=0,"",[1]对账明细接口!$O823),"")</f>
        <v/>
      </c>
      <c r="U823" s="21" t="str">
        <f>IFERROR(IF([1]对账明细接口!$P823=0,"",[1]对账明细接口!$P823),"")</f>
        <v/>
      </c>
      <c r="V823" s="21" t="str">
        <f>IFERROR(IF([1]对账明细接口!$Q823=0,"",[1]对账明细接口!$Q823),"")</f>
        <v/>
      </c>
      <c r="W823" s="20" t="str">
        <f>IFERROR(IF([1]对账明细接口!$R823=0,"",[1]对账明细接口!$R823),"")</f>
        <v/>
      </c>
      <c r="X823" s="20" t="str">
        <f>IFERROR(IF([1]对账明细接口!$S823=0,"",[1]对账明细接口!$S823),"")</f>
        <v/>
      </c>
      <c r="Y823" s="20" t="str">
        <f>IFERROR(IF([1]对账明细接口!$T823=0,"",[1]对账明细接口!$T823),"")</f>
        <v/>
      </c>
      <c r="Z823" s="24" t="str">
        <f>IFERROR(IF([1]对账明细接口!$U823=0,"",[1]对账明细接口!$U823),"")</f>
        <v/>
      </c>
      <c r="AA823" s="24" t="str">
        <f>IFERROR(IF([1]对账明细接口!$V823=0,"",[1]对账明细接口!$V823),"")</f>
        <v/>
      </c>
      <c r="AB823" s="20" t="str">
        <f>IFERROR(IF([1]对账明细接口!$W823=0,"",[1]对账明细接口!$W823),"")</f>
        <v/>
      </c>
      <c r="AC823" s="7" t="str">
        <f>IFERROR(IF([1]对账明细接口!$X823=0,"",[1]对账明细接口!$X823),"")</f>
        <v/>
      </c>
      <c r="AD823" s="7" t="str">
        <f>IFERROR(IF([1]对账明细接口!$Y823=0,"",[1]对账明细接口!$Y823),"")</f>
        <v/>
      </c>
      <c r="AE823" s="7" t="str">
        <f>IFERROR(IF([1]对账明细接口!$AA823=0,"",[1]对账明细接口!$AA823),"")</f>
        <v/>
      </c>
      <c r="AF823" s="7" t="str">
        <f>IFERROR(IF([1]对账明细接口!$AB823=0,"",[1]对账明细接口!$AB823),"")</f>
        <v/>
      </c>
      <c r="AG823" s="7" t="str">
        <f>IFERROR(IF([1]对账明细接口!$AC823=0,"",[1]对账明细接口!$AC823),"")</f>
        <v/>
      </c>
      <c r="AH823" s="7" t="str">
        <f>IFERROR(IF([1]对账明细接口!$AD823=0,"",[1]对账明细接口!$AD823),"")</f>
        <v/>
      </c>
      <c r="AI823" s="7" t="str">
        <f>IFERROR(IF([1]对账明细接口!$AE823=0,"",[1]对账明细接口!$AE823),"")</f>
        <v/>
      </c>
      <c r="AJ823" s="7" t="str">
        <f>IFERROR(IF([1]对账明细接口!$AF823=0,"",[1]对账明细接口!$AF823),"")</f>
        <v/>
      </c>
    </row>
    <row r="824" ht="14.25" customHeight="1" spans="1:36">
      <c r="A824" s="14">
        <v>824</v>
      </c>
      <c r="B824" s="15" t="str">
        <f>IFERROR(IF([1]对账明细接口!$B$824=0,"",[1]对账明细接口!$B$824),"")</f>
        <v/>
      </c>
      <c r="C824" s="16" t="str">
        <f>IFERROR(IF([1]对账明细接口!$C$824=0,"",[1]对账明细接口!$C$824),"")</f>
        <v/>
      </c>
      <c r="D824" s="16" t="str">
        <f>IFERROR(IF([1]对账明细接口!$D$824=0,"",[1]对账明细接口!$D$824),"")</f>
        <v/>
      </c>
      <c r="E824" s="16" t="str">
        <f>IFERROR(IF([1]对账明细接口!$E$824=0,"",[1]对账明细接口!$E$824),"")</f>
        <v/>
      </c>
      <c r="F824" s="16" t="str">
        <f>IFERROR(IF([1]对账明细接口!$F$824=0,"",[1]对账明细接口!$F$824),"")</f>
        <v/>
      </c>
      <c r="G824" s="16" t="str">
        <f>IFERROR(IF([1]对账明细接口!$G$824=0,"",[1]对账明细接口!$G$824),"")</f>
        <v/>
      </c>
      <c r="H824" s="17" t="str">
        <f>IFERROR(IF([1]对账明细接口!$H$824=0,"",[1]对账明细接口!$H$824),"")</f>
        <v/>
      </c>
      <c r="I824" s="16" t="str">
        <f>IFERROR(IF([1]对账明细接口!$I$824=0,"",[1]对账明细接口!$I$824),"")</f>
        <v/>
      </c>
      <c r="J824" s="18" t="str">
        <f>IFERROR(IF([1]对账明细接口!$J$824=0,"",[1]对账明细接口!$J$824),"")</f>
        <v/>
      </c>
      <c r="K824" s="18" t="str">
        <f>IFERROR(IF([1]对账明细接口!$K$824=0,"",[1]对账明细接口!$K$824),"")</f>
        <v/>
      </c>
      <c r="L824" s="16" t="str">
        <f>IFERROR(IF([1]对账明细接口!$L$824=0,"",[1]对账明细接口!$L$824),"")</f>
        <v/>
      </c>
      <c r="M824" s="16" t="str">
        <f>IFERROR(IF([1]对账明细接口!$M$824=0,"",[1]对账明细接口!$M$824),"")</f>
        <v/>
      </c>
      <c r="N824" s="19">
        <f t="shared" si="24"/>
        <v>0</v>
      </c>
      <c r="O824" s="19">
        <f t="shared" si="25"/>
        <v>420</v>
      </c>
      <c r="S824" s="20" t="str">
        <f>IFERROR(IF([1]对账明细接口!$N824=0,"",[1]对账明细接口!$N824),"")</f>
        <v/>
      </c>
      <c r="T824" s="21" t="str">
        <f>IFERROR(IF([1]对账明细接口!$O824=0,"",[1]对账明细接口!$O824),"")</f>
        <v/>
      </c>
      <c r="U824" s="21" t="str">
        <f>IFERROR(IF([1]对账明细接口!$P824=0,"",[1]对账明细接口!$P824),"")</f>
        <v/>
      </c>
      <c r="V824" s="21" t="str">
        <f>IFERROR(IF([1]对账明细接口!$Q824=0,"",[1]对账明细接口!$Q824),"")</f>
        <v/>
      </c>
      <c r="W824" s="20" t="str">
        <f>IFERROR(IF([1]对账明细接口!$R824=0,"",[1]对账明细接口!$R824),"")</f>
        <v/>
      </c>
      <c r="X824" s="20" t="str">
        <f>IFERROR(IF([1]对账明细接口!$S824=0,"",[1]对账明细接口!$S824),"")</f>
        <v/>
      </c>
      <c r="Y824" s="20" t="str">
        <f>IFERROR(IF([1]对账明细接口!$T824=0,"",[1]对账明细接口!$T824),"")</f>
        <v/>
      </c>
      <c r="Z824" s="24" t="str">
        <f>IFERROR(IF([1]对账明细接口!$U824=0,"",[1]对账明细接口!$U824),"")</f>
        <v/>
      </c>
      <c r="AA824" s="24" t="str">
        <f>IFERROR(IF([1]对账明细接口!$V824=0,"",[1]对账明细接口!$V824),"")</f>
        <v/>
      </c>
      <c r="AB824" s="20" t="str">
        <f>IFERROR(IF([1]对账明细接口!$W824=0,"",[1]对账明细接口!$W824),"")</f>
        <v/>
      </c>
      <c r="AC824" s="7" t="str">
        <f>IFERROR(IF([1]对账明细接口!$X824=0,"",[1]对账明细接口!$X824),"")</f>
        <v/>
      </c>
      <c r="AD824" s="7" t="str">
        <f>IFERROR(IF([1]对账明细接口!$Y824=0,"",[1]对账明细接口!$Y824),"")</f>
        <v/>
      </c>
      <c r="AE824" s="7" t="str">
        <f>IFERROR(IF([1]对账明细接口!$AA824=0,"",[1]对账明细接口!$AA824),"")</f>
        <v/>
      </c>
      <c r="AF824" s="7" t="str">
        <f>IFERROR(IF([1]对账明细接口!$AB824=0,"",[1]对账明细接口!$AB824),"")</f>
        <v/>
      </c>
      <c r="AG824" s="7" t="str">
        <f>IFERROR(IF([1]对账明细接口!$AC824=0,"",[1]对账明细接口!$AC824),"")</f>
        <v/>
      </c>
      <c r="AH824" s="7" t="str">
        <f>IFERROR(IF([1]对账明细接口!$AD824=0,"",[1]对账明细接口!$AD824),"")</f>
        <v/>
      </c>
      <c r="AI824" s="7" t="str">
        <f>IFERROR(IF([1]对账明细接口!$AE824=0,"",[1]对账明细接口!$AE824),"")</f>
        <v/>
      </c>
      <c r="AJ824" s="7" t="str">
        <f>IFERROR(IF([1]对账明细接口!$AF824=0,"",[1]对账明细接口!$AF824),"")</f>
        <v/>
      </c>
    </row>
    <row r="825" ht="14.25" customHeight="1" spans="1:36">
      <c r="A825" s="14">
        <v>825</v>
      </c>
      <c r="B825" s="15" t="str">
        <f>IFERROR(IF([1]对账明细接口!$B$825=0,"",[1]对账明细接口!$B$825),"")</f>
        <v/>
      </c>
      <c r="C825" s="16" t="str">
        <f>IFERROR(IF([1]对账明细接口!$C$825=0,"",[1]对账明细接口!$C$825),"")</f>
        <v/>
      </c>
      <c r="D825" s="16" t="str">
        <f>IFERROR(IF([1]对账明细接口!$D$825=0,"",[1]对账明细接口!$D$825),"")</f>
        <v/>
      </c>
      <c r="E825" s="16" t="str">
        <f>IFERROR(IF([1]对账明细接口!$E$825=0,"",[1]对账明细接口!$E$825),"")</f>
        <v/>
      </c>
      <c r="F825" s="16" t="str">
        <f>IFERROR(IF([1]对账明细接口!$F$825=0,"",[1]对账明细接口!$F$825),"")</f>
        <v/>
      </c>
      <c r="G825" s="16" t="str">
        <f>IFERROR(IF([1]对账明细接口!$G$825=0,"",[1]对账明细接口!$G$825),"")</f>
        <v/>
      </c>
      <c r="H825" s="17" t="str">
        <f>IFERROR(IF([1]对账明细接口!$H$825=0,"",[1]对账明细接口!$H$825),"")</f>
        <v/>
      </c>
      <c r="I825" s="16" t="str">
        <f>IFERROR(IF([1]对账明细接口!$I$825=0,"",[1]对账明细接口!$I$825),"")</f>
        <v/>
      </c>
      <c r="J825" s="18" t="str">
        <f>IFERROR(IF([1]对账明细接口!$J$825=0,"",[1]对账明细接口!$J$825),"")</f>
        <v/>
      </c>
      <c r="K825" s="18" t="str">
        <f>IFERROR(IF([1]对账明细接口!$K$825=0,"",[1]对账明细接口!$K$825),"")</f>
        <v/>
      </c>
      <c r="L825" s="16" t="str">
        <f>IFERROR(IF([1]对账明细接口!$L$825=0,"",[1]对账明细接口!$L$825),"")</f>
        <v/>
      </c>
      <c r="M825" s="16" t="str">
        <f>IFERROR(IF([1]对账明细接口!$M$825=0,"",[1]对账明细接口!$M$825),"")</f>
        <v/>
      </c>
      <c r="N825" s="19">
        <f t="shared" si="24"/>
        <v>0</v>
      </c>
      <c r="O825" s="19">
        <f t="shared" si="25"/>
        <v>420</v>
      </c>
      <c r="S825" s="20" t="str">
        <f>IFERROR(IF([1]对账明细接口!$N825=0,"",[1]对账明细接口!$N825),"")</f>
        <v/>
      </c>
      <c r="T825" s="21" t="str">
        <f>IFERROR(IF([1]对账明细接口!$O825=0,"",[1]对账明细接口!$O825),"")</f>
        <v/>
      </c>
      <c r="U825" s="21" t="str">
        <f>IFERROR(IF([1]对账明细接口!$P825=0,"",[1]对账明细接口!$P825),"")</f>
        <v/>
      </c>
      <c r="V825" s="21" t="str">
        <f>IFERROR(IF([1]对账明细接口!$Q825=0,"",[1]对账明细接口!$Q825),"")</f>
        <v/>
      </c>
      <c r="W825" s="20" t="str">
        <f>IFERROR(IF([1]对账明细接口!$R825=0,"",[1]对账明细接口!$R825),"")</f>
        <v/>
      </c>
      <c r="X825" s="20" t="str">
        <f>IFERROR(IF([1]对账明细接口!$S825=0,"",[1]对账明细接口!$S825),"")</f>
        <v/>
      </c>
      <c r="Y825" s="20" t="str">
        <f>IFERROR(IF([1]对账明细接口!$T825=0,"",[1]对账明细接口!$T825),"")</f>
        <v/>
      </c>
      <c r="Z825" s="24" t="str">
        <f>IFERROR(IF([1]对账明细接口!$U825=0,"",[1]对账明细接口!$U825),"")</f>
        <v/>
      </c>
      <c r="AA825" s="24" t="str">
        <f>IFERROR(IF([1]对账明细接口!$V825=0,"",[1]对账明细接口!$V825),"")</f>
        <v/>
      </c>
      <c r="AB825" s="20" t="str">
        <f>IFERROR(IF([1]对账明细接口!$W825=0,"",[1]对账明细接口!$W825),"")</f>
        <v/>
      </c>
      <c r="AC825" s="7" t="str">
        <f>IFERROR(IF([1]对账明细接口!$X825=0,"",[1]对账明细接口!$X825),"")</f>
        <v/>
      </c>
      <c r="AD825" s="7" t="str">
        <f>IFERROR(IF([1]对账明细接口!$Y825=0,"",[1]对账明细接口!$Y825),"")</f>
        <v/>
      </c>
      <c r="AE825" s="7" t="str">
        <f>IFERROR(IF([1]对账明细接口!$AA825=0,"",[1]对账明细接口!$AA825),"")</f>
        <v/>
      </c>
      <c r="AF825" s="7" t="str">
        <f>IFERROR(IF([1]对账明细接口!$AB825=0,"",[1]对账明细接口!$AB825),"")</f>
        <v/>
      </c>
      <c r="AG825" s="7" t="str">
        <f>IFERROR(IF([1]对账明细接口!$AC825=0,"",[1]对账明细接口!$AC825),"")</f>
        <v/>
      </c>
      <c r="AH825" s="7" t="str">
        <f>IFERROR(IF([1]对账明细接口!$AD825=0,"",[1]对账明细接口!$AD825),"")</f>
        <v/>
      </c>
      <c r="AI825" s="7" t="str">
        <f>IFERROR(IF([1]对账明细接口!$AE825=0,"",[1]对账明细接口!$AE825),"")</f>
        <v/>
      </c>
      <c r="AJ825" s="7" t="str">
        <f>IFERROR(IF([1]对账明细接口!$AF825=0,"",[1]对账明细接口!$AF825),"")</f>
        <v/>
      </c>
    </row>
    <row r="826" ht="14.25" customHeight="1" spans="1:36">
      <c r="A826" s="14">
        <v>826</v>
      </c>
      <c r="B826" s="15" t="str">
        <f>IFERROR(IF([1]对账明细接口!$B$826=0,"",[1]对账明细接口!$B$826),"")</f>
        <v/>
      </c>
      <c r="C826" s="16" t="str">
        <f>IFERROR(IF([1]对账明细接口!$C$826=0,"",[1]对账明细接口!$C$826),"")</f>
        <v/>
      </c>
      <c r="D826" s="16" t="str">
        <f>IFERROR(IF([1]对账明细接口!$D$826=0,"",[1]对账明细接口!$D$826),"")</f>
        <v/>
      </c>
      <c r="E826" s="16" t="str">
        <f>IFERROR(IF([1]对账明细接口!$E$826=0,"",[1]对账明细接口!$E$826),"")</f>
        <v/>
      </c>
      <c r="F826" s="16" t="str">
        <f>IFERROR(IF([1]对账明细接口!$F$826=0,"",[1]对账明细接口!$F$826),"")</f>
        <v/>
      </c>
      <c r="G826" s="16" t="str">
        <f>IFERROR(IF([1]对账明细接口!$G$826=0,"",[1]对账明细接口!$G$826),"")</f>
        <v/>
      </c>
      <c r="H826" s="17" t="str">
        <f>IFERROR(IF([1]对账明细接口!$H$826=0,"",[1]对账明细接口!$H$826),"")</f>
        <v/>
      </c>
      <c r="I826" s="16" t="str">
        <f>IFERROR(IF([1]对账明细接口!$I$826=0,"",[1]对账明细接口!$I$826),"")</f>
        <v/>
      </c>
      <c r="J826" s="18" t="str">
        <f>IFERROR(IF([1]对账明细接口!$J$826=0,"",[1]对账明细接口!$J$826),"")</f>
        <v/>
      </c>
      <c r="K826" s="18" t="str">
        <f>IFERROR(IF([1]对账明细接口!$K$826=0,"",[1]对账明细接口!$K$826),"")</f>
        <v/>
      </c>
      <c r="L826" s="16" t="str">
        <f>IFERROR(IF([1]对账明细接口!$L$826=0,"",[1]对账明细接口!$L$826),"")</f>
        <v/>
      </c>
      <c r="M826" s="16" t="str">
        <f>IFERROR(IF([1]对账明细接口!$M$826=0,"",[1]对账明细接口!$M$826),"")</f>
        <v/>
      </c>
      <c r="N826" s="19">
        <f t="shared" si="24"/>
        <v>0</v>
      </c>
      <c r="O826" s="19">
        <f t="shared" si="25"/>
        <v>420</v>
      </c>
      <c r="S826" s="20" t="str">
        <f>IFERROR(IF([1]对账明细接口!$N826=0,"",[1]对账明细接口!$N826),"")</f>
        <v/>
      </c>
      <c r="T826" s="21" t="str">
        <f>IFERROR(IF([1]对账明细接口!$O826=0,"",[1]对账明细接口!$O826),"")</f>
        <v/>
      </c>
      <c r="U826" s="21" t="str">
        <f>IFERROR(IF([1]对账明细接口!$P826=0,"",[1]对账明细接口!$P826),"")</f>
        <v/>
      </c>
      <c r="V826" s="21" t="str">
        <f>IFERROR(IF([1]对账明细接口!$Q826=0,"",[1]对账明细接口!$Q826),"")</f>
        <v/>
      </c>
      <c r="W826" s="20" t="str">
        <f>IFERROR(IF([1]对账明细接口!$R826=0,"",[1]对账明细接口!$R826),"")</f>
        <v/>
      </c>
      <c r="X826" s="20" t="str">
        <f>IFERROR(IF([1]对账明细接口!$S826=0,"",[1]对账明细接口!$S826),"")</f>
        <v/>
      </c>
      <c r="Y826" s="20" t="str">
        <f>IFERROR(IF([1]对账明细接口!$T826=0,"",[1]对账明细接口!$T826),"")</f>
        <v/>
      </c>
      <c r="Z826" s="24" t="str">
        <f>IFERROR(IF([1]对账明细接口!$U826=0,"",[1]对账明细接口!$U826),"")</f>
        <v/>
      </c>
      <c r="AA826" s="24" t="str">
        <f>IFERROR(IF([1]对账明细接口!$V826=0,"",[1]对账明细接口!$V826),"")</f>
        <v/>
      </c>
      <c r="AB826" s="20" t="str">
        <f>IFERROR(IF([1]对账明细接口!$W826=0,"",[1]对账明细接口!$W826),"")</f>
        <v/>
      </c>
      <c r="AC826" s="7" t="str">
        <f>IFERROR(IF([1]对账明细接口!$X826=0,"",[1]对账明细接口!$X826),"")</f>
        <v/>
      </c>
      <c r="AD826" s="7" t="str">
        <f>IFERROR(IF([1]对账明细接口!$Y826=0,"",[1]对账明细接口!$Y826),"")</f>
        <v/>
      </c>
      <c r="AE826" s="7" t="str">
        <f>IFERROR(IF([1]对账明细接口!$AA826=0,"",[1]对账明细接口!$AA826),"")</f>
        <v/>
      </c>
      <c r="AF826" s="7" t="str">
        <f>IFERROR(IF([1]对账明细接口!$AB826=0,"",[1]对账明细接口!$AB826),"")</f>
        <v/>
      </c>
      <c r="AG826" s="7" t="str">
        <f>IFERROR(IF([1]对账明细接口!$AC826=0,"",[1]对账明细接口!$AC826),"")</f>
        <v/>
      </c>
      <c r="AH826" s="7" t="str">
        <f>IFERROR(IF([1]对账明细接口!$AD826=0,"",[1]对账明细接口!$AD826),"")</f>
        <v/>
      </c>
      <c r="AI826" s="7" t="str">
        <f>IFERROR(IF([1]对账明细接口!$AE826=0,"",[1]对账明细接口!$AE826),"")</f>
        <v/>
      </c>
      <c r="AJ826" s="7" t="str">
        <f>IFERROR(IF([1]对账明细接口!$AF826=0,"",[1]对账明细接口!$AF826),"")</f>
        <v/>
      </c>
    </row>
    <row r="827" ht="14.25" customHeight="1" spans="1:36">
      <c r="A827" s="14">
        <v>827</v>
      </c>
      <c r="B827" s="15" t="str">
        <f>IFERROR(IF([1]对账明细接口!$B$827=0,"",[1]对账明细接口!$B$827),"")</f>
        <v/>
      </c>
      <c r="C827" s="16" t="str">
        <f>IFERROR(IF([1]对账明细接口!$C$827=0,"",[1]对账明细接口!$C$827),"")</f>
        <v/>
      </c>
      <c r="D827" s="16" t="str">
        <f>IFERROR(IF([1]对账明细接口!$D$827=0,"",[1]对账明细接口!$D$827),"")</f>
        <v/>
      </c>
      <c r="E827" s="16" t="str">
        <f>IFERROR(IF([1]对账明细接口!$E$827=0,"",[1]对账明细接口!$E$827),"")</f>
        <v/>
      </c>
      <c r="F827" s="16" t="str">
        <f>IFERROR(IF([1]对账明细接口!$F$827=0,"",[1]对账明细接口!$F$827),"")</f>
        <v/>
      </c>
      <c r="G827" s="16" t="str">
        <f>IFERROR(IF([1]对账明细接口!$G$827=0,"",[1]对账明细接口!$G$827),"")</f>
        <v/>
      </c>
      <c r="H827" s="17" t="str">
        <f>IFERROR(IF([1]对账明细接口!$H$827=0,"",[1]对账明细接口!$H$827),"")</f>
        <v/>
      </c>
      <c r="I827" s="16" t="str">
        <f>IFERROR(IF([1]对账明细接口!$I$827=0,"",[1]对账明细接口!$I$827),"")</f>
        <v/>
      </c>
      <c r="J827" s="18" t="str">
        <f>IFERROR(IF([1]对账明细接口!$J$827=0,"",[1]对账明细接口!$J$827),"")</f>
        <v/>
      </c>
      <c r="K827" s="18" t="str">
        <f>IFERROR(IF([1]对账明细接口!$K$827=0,"",[1]对账明细接口!$K$827),"")</f>
        <v/>
      </c>
      <c r="L827" s="16" t="str">
        <f>IFERROR(IF([1]对账明细接口!$L$827=0,"",[1]对账明细接口!$L$827),"")</f>
        <v/>
      </c>
      <c r="M827" s="16" t="str">
        <f>IFERROR(IF([1]对账明细接口!$M$827=0,"",[1]对账明细接口!$M$827),"")</f>
        <v/>
      </c>
      <c r="N827" s="19">
        <f t="shared" si="24"/>
        <v>0</v>
      </c>
      <c r="O827" s="19">
        <f t="shared" si="25"/>
        <v>420</v>
      </c>
      <c r="S827" s="20" t="str">
        <f>IFERROR(IF([1]对账明细接口!$N827=0,"",[1]对账明细接口!$N827),"")</f>
        <v/>
      </c>
      <c r="T827" s="21" t="str">
        <f>IFERROR(IF([1]对账明细接口!$O827=0,"",[1]对账明细接口!$O827),"")</f>
        <v/>
      </c>
      <c r="U827" s="21" t="str">
        <f>IFERROR(IF([1]对账明细接口!$P827=0,"",[1]对账明细接口!$P827),"")</f>
        <v/>
      </c>
      <c r="V827" s="21" t="str">
        <f>IFERROR(IF([1]对账明细接口!$Q827=0,"",[1]对账明细接口!$Q827),"")</f>
        <v/>
      </c>
      <c r="W827" s="20" t="str">
        <f>IFERROR(IF([1]对账明细接口!$R827=0,"",[1]对账明细接口!$R827),"")</f>
        <v/>
      </c>
      <c r="X827" s="20" t="str">
        <f>IFERROR(IF([1]对账明细接口!$S827=0,"",[1]对账明细接口!$S827),"")</f>
        <v/>
      </c>
      <c r="Y827" s="20" t="str">
        <f>IFERROR(IF([1]对账明细接口!$T827=0,"",[1]对账明细接口!$T827),"")</f>
        <v/>
      </c>
      <c r="Z827" s="24" t="str">
        <f>IFERROR(IF([1]对账明细接口!$U827=0,"",[1]对账明细接口!$U827),"")</f>
        <v/>
      </c>
      <c r="AA827" s="24" t="str">
        <f>IFERROR(IF([1]对账明细接口!$V827=0,"",[1]对账明细接口!$V827),"")</f>
        <v/>
      </c>
      <c r="AB827" s="20" t="str">
        <f>IFERROR(IF([1]对账明细接口!$W827=0,"",[1]对账明细接口!$W827),"")</f>
        <v/>
      </c>
      <c r="AC827" s="7" t="str">
        <f>IFERROR(IF([1]对账明细接口!$X827=0,"",[1]对账明细接口!$X827),"")</f>
        <v/>
      </c>
      <c r="AD827" s="7" t="str">
        <f>IFERROR(IF([1]对账明细接口!$Y827=0,"",[1]对账明细接口!$Y827),"")</f>
        <v/>
      </c>
      <c r="AE827" s="7" t="str">
        <f>IFERROR(IF([1]对账明细接口!$AA827=0,"",[1]对账明细接口!$AA827),"")</f>
        <v/>
      </c>
      <c r="AF827" s="7" t="str">
        <f>IFERROR(IF([1]对账明细接口!$AB827=0,"",[1]对账明细接口!$AB827),"")</f>
        <v/>
      </c>
      <c r="AG827" s="7" t="str">
        <f>IFERROR(IF([1]对账明细接口!$AC827=0,"",[1]对账明细接口!$AC827),"")</f>
        <v/>
      </c>
      <c r="AH827" s="7" t="str">
        <f>IFERROR(IF([1]对账明细接口!$AD827=0,"",[1]对账明细接口!$AD827),"")</f>
        <v/>
      </c>
      <c r="AI827" s="7" t="str">
        <f>IFERROR(IF([1]对账明细接口!$AE827=0,"",[1]对账明细接口!$AE827),"")</f>
        <v/>
      </c>
      <c r="AJ827" s="7" t="str">
        <f>IFERROR(IF([1]对账明细接口!$AF827=0,"",[1]对账明细接口!$AF827),"")</f>
        <v/>
      </c>
    </row>
    <row r="828" ht="14.25" customHeight="1" spans="1:36">
      <c r="A828" s="14">
        <v>828</v>
      </c>
      <c r="B828" s="15" t="str">
        <f>IFERROR(IF([1]对账明细接口!$B$828=0,"",[1]对账明细接口!$B$828),"")</f>
        <v/>
      </c>
      <c r="C828" s="16" t="str">
        <f>IFERROR(IF([1]对账明细接口!$C$828=0,"",[1]对账明细接口!$C$828),"")</f>
        <v/>
      </c>
      <c r="D828" s="16" t="str">
        <f>IFERROR(IF([1]对账明细接口!$D$828=0,"",[1]对账明细接口!$D$828),"")</f>
        <v/>
      </c>
      <c r="E828" s="16" t="str">
        <f>IFERROR(IF([1]对账明细接口!$E$828=0,"",[1]对账明细接口!$E$828),"")</f>
        <v/>
      </c>
      <c r="F828" s="16" t="str">
        <f>IFERROR(IF([1]对账明细接口!$F$828=0,"",[1]对账明细接口!$F$828),"")</f>
        <v/>
      </c>
      <c r="G828" s="16" t="str">
        <f>IFERROR(IF([1]对账明细接口!$G$828=0,"",[1]对账明细接口!$G$828),"")</f>
        <v/>
      </c>
      <c r="H828" s="17" t="str">
        <f>IFERROR(IF([1]对账明细接口!$H$828=0,"",[1]对账明细接口!$H$828),"")</f>
        <v/>
      </c>
      <c r="I828" s="16" t="str">
        <f>IFERROR(IF([1]对账明细接口!$I$828=0,"",[1]对账明细接口!$I$828),"")</f>
        <v/>
      </c>
      <c r="J828" s="18" t="str">
        <f>IFERROR(IF([1]对账明细接口!$J$828=0,"",[1]对账明细接口!$J$828),"")</f>
        <v/>
      </c>
      <c r="K828" s="18" t="str">
        <f>IFERROR(IF([1]对账明细接口!$K$828=0,"",[1]对账明细接口!$K$828),"")</f>
        <v/>
      </c>
      <c r="L828" s="16" t="str">
        <f>IFERROR(IF([1]对账明细接口!$L$828=0,"",[1]对账明细接口!$L$828),"")</f>
        <v/>
      </c>
      <c r="M828" s="16" t="str">
        <f>IFERROR(IF([1]对账明细接口!$M$828=0,"",[1]对账明细接口!$M$828),"")</f>
        <v/>
      </c>
      <c r="N828" s="19">
        <f t="shared" si="24"/>
        <v>0</v>
      </c>
      <c r="O828" s="19">
        <f t="shared" si="25"/>
        <v>420</v>
      </c>
      <c r="S828" s="20" t="str">
        <f>IFERROR(IF([1]对账明细接口!$N828=0,"",[1]对账明细接口!$N828),"")</f>
        <v/>
      </c>
      <c r="T828" s="21" t="str">
        <f>IFERROR(IF([1]对账明细接口!$O828=0,"",[1]对账明细接口!$O828),"")</f>
        <v/>
      </c>
      <c r="U828" s="21" t="str">
        <f>IFERROR(IF([1]对账明细接口!$P828=0,"",[1]对账明细接口!$P828),"")</f>
        <v/>
      </c>
      <c r="V828" s="21" t="str">
        <f>IFERROR(IF([1]对账明细接口!$Q828=0,"",[1]对账明细接口!$Q828),"")</f>
        <v/>
      </c>
      <c r="W828" s="20" t="str">
        <f>IFERROR(IF([1]对账明细接口!$R828=0,"",[1]对账明细接口!$R828),"")</f>
        <v/>
      </c>
      <c r="X828" s="20" t="str">
        <f>IFERROR(IF([1]对账明细接口!$S828=0,"",[1]对账明细接口!$S828),"")</f>
        <v/>
      </c>
      <c r="Y828" s="20" t="str">
        <f>IFERROR(IF([1]对账明细接口!$T828=0,"",[1]对账明细接口!$T828),"")</f>
        <v/>
      </c>
      <c r="Z828" s="24" t="str">
        <f>IFERROR(IF([1]对账明细接口!$U828=0,"",[1]对账明细接口!$U828),"")</f>
        <v/>
      </c>
      <c r="AA828" s="24" t="str">
        <f>IFERROR(IF([1]对账明细接口!$V828=0,"",[1]对账明细接口!$V828),"")</f>
        <v/>
      </c>
      <c r="AB828" s="20" t="str">
        <f>IFERROR(IF([1]对账明细接口!$W828=0,"",[1]对账明细接口!$W828),"")</f>
        <v/>
      </c>
      <c r="AC828" s="7" t="str">
        <f>IFERROR(IF([1]对账明细接口!$X828=0,"",[1]对账明细接口!$X828),"")</f>
        <v/>
      </c>
      <c r="AD828" s="7" t="str">
        <f>IFERROR(IF([1]对账明细接口!$Y828=0,"",[1]对账明细接口!$Y828),"")</f>
        <v/>
      </c>
      <c r="AE828" s="7" t="str">
        <f>IFERROR(IF([1]对账明细接口!$AA828=0,"",[1]对账明细接口!$AA828),"")</f>
        <v/>
      </c>
      <c r="AF828" s="7" t="str">
        <f>IFERROR(IF([1]对账明细接口!$AB828=0,"",[1]对账明细接口!$AB828),"")</f>
        <v/>
      </c>
      <c r="AG828" s="7" t="str">
        <f>IFERROR(IF([1]对账明细接口!$AC828=0,"",[1]对账明细接口!$AC828),"")</f>
        <v/>
      </c>
      <c r="AH828" s="7" t="str">
        <f>IFERROR(IF([1]对账明细接口!$AD828=0,"",[1]对账明细接口!$AD828),"")</f>
        <v/>
      </c>
      <c r="AI828" s="7" t="str">
        <f>IFERROR(IF([1]对账明细接口!$AE828=0,"",[1]对账明细接口!$AE828),"")</f>
        <v/>
      </c>
      <c r="AJ828" s="7" t="str">
        <f>IFERROR(IF([1]对账明细接口!$AF828=0,"",[1]对账明细接口!$AF828),"")</f>
        <v/>
      </c>
    </row>
    <row r="829" ht="14.25" customHeight="1" spans="1:36">
      <c r="A829" s="14">
        <v>829</v>
      </c>
      <c r="B829" s="15" t="str">
        <f>IFERROR(IF([1]对账明细接口!$B$829=0,"",[1]对账明细接口!$B$829),"")</f>
        <v/>
      </c>
      <c r="C829" s="16" t="str">
        <f>IFERROR(IF([1]对账明细接口!$C$829=0,"",[1]对账明细接口!$C$829),"")</f>
        <v/>
      </c>
      <c r="D829" s="16" t="str">
        <f>IFERROR(IF([1]对账明细接口!$D$829=0,"",[1]对账明细接口!$D$829),"")</f>
        <v/>
      </c>
      <c r="E829" s="16" t="str">
        <f>IFERROR(IF([1]对账明细接口!$E$829=0,"",[1]对账明细接口!$E$829),"")</f>
        <v/>
      </c>
      <c r="F829" s="16" t="str">
        <f>IFERROR(IF([1]对账明细接口!$F$829=0,"",[1]对账明细接口!$F$829),"")</f>
        <v/>
      </c>
      <c r="G829" s="16" t="str">
        <f>IFERROR(IF([1]对账明细接口!$G$829=0,"",[1]对账明细接口!$G$829),"")</f>
        <v/>
      </c>
      <c r="H829" s="17" t="str">
        <f>IFERROR(IF([1]对账明细接口!$H$829=0,"",[1]对账明细接口!$H$829),"")</f>
        <v/>
      </c>
      <c r="I829" s="16" t="str">
        <f>IFERROR(IF([1]对账明细接口!$I$829=0,"",[1]对账明细接口!$I$829),"")</f>
        <v/>
      </c>
      <c r="J829" s="18" t="str">
        <f>IFERROR(IF([1]对账明细接口!$J$829=0,"",[1]对账明细接口!$J$829),"")</f>
        <v/>
      </c>
      <c r="K829" s="18" t="str">
        <f>IFERROR(IF([1]对账明细接口!$K$829=0,"",[1]对账明细接口!$K$829),"")</f>
        <v/>
      </c>
      <c r="L829" s="16" t="str">
        <f>IFERROR(IF([1]对账明细接口!$L$829=0,"",[1]对账明细接口!$L$829),"")</f>
        <v/>
      </c>
      <c r="M829" s="16" t="str">
        <f>IFERROR(IF([1]对账明细接口!$M$829=0,"",[1]对账明细接口!$M$829),"")</f>
        <v/>
      </c>
      <c r="N829" s="19">
        <f t="shared" si="24"/>
        <v>0</v>
      </c>
      <c r="O829" s="19">
        <f t="shared" si="25"/>
        <v>420</v>
      </c>
      <c r="S829" s="20" t="str">
        <f>IFERROR(IF([1]对账明细接口!$N829=0,"",[1]对账明细接口!$N829),"")</f>
        <v/>
      </c>
      <c r="T829" s="21" t="str">
        <f>IFERROR(IF([1]对账明细接口!$O829=0,"",[1]对账明细接口!$O829),"")</f>
        <v/>
      </c>
      <c r="U829" s="21" t="str">
        <f>IFERROR(IF([1]对账明细接口!$P829=0,"",[1]对账明细接口!$P829),"")</f>
        <v/>
      </c>
      <c r="V829" s="21" t="str">
        <f>IFERROR(IF([1]对账明细接口!$Q829=0,"",[1]对账明细接口!$Q829),"")</f>
        <v/>
      </c>
      <c r="W829" s="20" t="str">
        <f>IFERROR(IF([1]对账明细接口!$R829=0,"",[1]对账明细接口!$R829),"")</f>
        <v/>
      </c>
      <c r="X829" s="20" t="str">
        <f>IFERROR(IF([1]对账明细接口!$S829=0,"",[1]对账明细接口!$S829),"")</f>
        <v/>
      </c>
      <c r="Y829" s="20" t="str">
        <f>IFERROR(IF([1]对账明细接口!$T829=0,"",[1]对账明细接口!$T829),"")</f>
        <v/>
      </c>
      <c r="Z829" s="24" t="str">
        <f>IFERROR(IF([1]对账明细接口!$U829=0,"",[1]对账明细接口!$U829),"")</f>
        <v/>
      </c>
      <c r="AA829" s="24" t="str">
        <f>IFERROR(IF([1]对账明细接口!$V829=0,"",[1]对账明细接口!$V829),"")</f>
        <v/>
      </c>
      <c r="AB829" s="20" t="str">
        <f>IFERROR(IF([1]对账明细接口!$W829=0,"",[1]对账明细接口!$W829),"")</f>
        <v/>
      </c>
      <c r="AC829" s="7" t="str">
        <f>IFERROR(IF([1]对账明细接口!$X829=0,"",[1]对账明细接口!$X829),"")</f>
        <v/>
      </c>
      <c r="AD829" s="7" t="str">
        <f>IFERROR(IF([1]对账明细接口!$Y829=0,"",[1]对账明细接口!$Y829),"")</f>
        <v/>
      </c>
      <c r="AE829" s="7" t="str">
        <f>IFERROR(IF([1]对账明细接口!$AA829=0,"",[1]对账明细接口!$AA829),"")</f>
        <v/>
      </c>
      <c r="AF829" s="7" t="str">
        <f>IFERROR(IF([1]对账明细接口!$AB829=0,"",[1]对账明细接口!$AB829),"")</f>
        <v/>
      </c>
      <c r="AG829" s="7" t="str">
        <f>IFERROR(IF([1]对账明细接口!$AC829=0,"",[1]对账明细接口!$AC829),"")</f>
        <v/>
      </c>
      <c r="AH829" s="7" t="str">
        <f>IFERROR(IF([1]对账明细接口!$AD829=0,"",[1]对账明细接口!$AD829),"")</f>
        <v/>
      </c>
      <c r="AI829" s="7" t="str">
        <f>IFERROR(IF([1]对账明细接口!$AE829=0,"",[1]对账明细接口!$AE829),"")</f>
        <v/>
      </c>
      <c r="AJ829" s="7" t="str">
        <f>IFERROR(IF([1]对账明细接口!$AF829=0,"",[1]对账明细接口!$AF829),"")</f>
        <v/>
      </c>
    </row>
    <row r="830" ht="14.25" customHeight="1" spans="1:36">
      <c r="A830" s="14">
        <v>830</v>
      </c>
      <c r="B830" s="15" t="str">
        <f>IFERROR(IF([1]对账明细接口!$B$830=0,"",[1]对账明细接口!$B$830),"")</f>
        <v/>
      </c>
      <c r="C830" s="16" t="str">
        <f>IFERROR(IF([1]对账明细接口!$C$830=0,"",[1]对账明细接口!$C$830),"")</f>
        <v/>
      </c>
      <c r="D830" s="16" t="str">
        <f>IFERROR(IF([1]对账明细接口!$D$830=0,"",[1]对账明细接口!$D$830),"")</f>
        <v/>
      </c>
      <c r="E830" s="16" t="str">
        <f>IFERROR(IF([1]对账明细接口!$E$830=0,"",[1]对账明细接口!$E$830),"")</f>
        <v/>
      </c>
      <c r="F830" s="16" t="str">
        <f>IFERROR(IF([1]对账明细接口!$F$830=0,"",[1]对账明细接口!$F$830),"")</f>
        <v/>
      </c>
      <c r="G830" s="16" t="str">
        <f>IFERROR(IF([1]对账明细接口!$G$830=0,"",[1]对账明细接口!$G$830),"")</f>
        <v/>
      </c>
      <c r="H830" s="17" t="str">
        <f>IFERROR(IF([1]对账明细接口!$H$830=0,"",[1]对账明细接口!$H$830),"")</f>
        <v/>
      </c>
      <c r="I830" s="16" t="str">
        <f>IFERROR(IF([1]对账明细接口!$I$830=0,"",[1]对账明细接口!$I$830),"")</f>
        <v/>
      </c>
      <c r="J830" s="18" t="str">
        <f>IFERROR(IF([1]对账明细接口!$J$830=0,"",[1]对账明细接口!$J$830),"")</f>
        <v/>
      </c>
      <c r="K830" s="18" t="str">
        <f>IFERROR(IF([1]对账明细接口!$K$830=0,"",[1]对账明细接口!$K$830),"")</f>
        <v/>
      </c>
      <c r="L830" s="16" t="str">
        <f>IFERROR(IF([1]对账明细接口!$L$830=0,"",[1]对账明细接口!$L$830),"")</f>
        <v/>
      </c>
      <c r="M830" s="16" t="str">
        <f>IFERROR(IF([1]对账明细接口!$M$830=0,"",[1]对账明细接口!$M$830),"")</f>
        <v/>
      </c>
      <c r="N830" s="19">
        <f t="shared" si="24"/>
        <v>0</v>
      </c>
      <c r="O830" s="19">
        <f t="shared" si="25"/>
        <v>420</v>
      </c>
      <c r="S830" s="20" t="str">
        <f>IFERROR(IF([1]对账明细接口!$N830=0,"",[1]对账明细接口!$N830),"")</f>
        <v/>
      </c>
      <c r="T830" s="21" t="str">
        <f>IFERROR(IF([1]对账明细接口!$O830=0,"",[1]对账明细接口!$O830),"")</f>
        <v/>
      </c>
      <c r="U830" s="21" t="str">
        <f>IFERROR(IF([1]对账明细接口!$P830=0,"",[1]对账明细接口!$P830),"")</f>
        <v/>
      </c>
      <c r="V830" s="21" t="str">
        <f>IFERROR(IF([1]对账明细接口!$Q830=0,"",[1]对账明细接口!$Q830),"")</f>
        <v/>
      </c>
      <c r="W830" s="20" t="str">
        <f>IFERROR(IF([1]对账明细接口!$R830=0,"",[1]对账明细接口!$R830),"")</f>
        <v/>
      </c>
      <c r="X830" s="20" t="str">
        <f>IFERROR(IF([1]对账明细接口!$S830=0,"",[1]对账明细接口!$S830),"")</f>
        <v/>
      </c>
      <c r="Y830" s="20" t="str">
        <f>IFERROR(IF([1]对账明细接口!$T830=0,"",[1]对账明细接口!$T830),"")</f>
        <v/>
      </c>
      <c r="Z830" s="24" t="str">
        <f>IFERROR(IF([1]对账明细接口!$U830=0,"",[1]对账明细接口!$U830),"")</f>
        <v/>
      </c>
      <c r="AA830" s="24" t="str">
        <f>IFERROR(IF([1]对账明细接口!$V830=0,"",[1]对账明细接口!$V830),"")</f>
        <v/>
      </c>
      <c r="AB830" s="20" t="str">
        <f>IFERROR(IF([1]对账明细接口!$W830=0,"",[1]对账明细接口!$W830),"")</f>
        <v/>
      </c>
      <c r="AC830" s="7" t="str">
        <f>IFERROR(IF([1]对账明细接口!$X830=0,"",[1]对账明细接口!$X830),"")</f>
        <v/>
      </c>
      <c r="AD830" s="7" t="str">
        <f>IFERROR(IF([1]对账明细接口!$Y830=0,"",[1]对账明细接口!$Y830),"")</f>
        <v/>
      </c>
      <c r="AE830" s="7" t="str">
        <f>IFERROR(IF([1]对账明细接口!$AA830=0,"",[1]对账明细接口!$AA830),"")</f>
        <v/>
      </c>
      <c r="AF830" s="7" t="str">
        <f>IFERROR(IF([1]对账明细接口!$AB830=0,"",[1]对账明细接口!$AB830),"")</f>
        <v/>
      </c>
      <c r="AG830" s="7" t="str">
        <f>IFERROR(IF([1]对账明细接口!$AC830=0,"",[1]对账明细接口!$AC830),"")</f>
        <v/>
      </c>
      <c r="AH830" s="7" t="str">
        <f>IFERROR(IF([1]对账明细接口!$AD830=0,"",[1]对账明细接口!$AD830),"")</f>
        <v/>
      </c>
      <c r="AI830" s="7" t="str">
        <f>IFERROR(IF([1]对账明细接口!$AE830=0,"",[1]对账明细接口!$AE830),"")</f>
        <v/>
      </c>
      <c r="AJ830" s="7" t="str">
        <f>IFERROR(IF([1]对账明细接口!$AF830=0,"",[1]对账明细接口!$AF830),"")</f>
        <v/>
      </c>
    </row>
    <row r="831" ht="14.25" customHeight="1" spans="1:36">
      <c r="A831" s="14">
        <v>831</v>
      </c>
      <c r="B831" s="15" t="str">
        <f>IFERROR(IF([1]对账明细接口!$B$831=0,"",[1]对账明细接口!$B$831),"")</f>
        <v/>
      </c>
      <c r="C831" s="16" t="str">
        <f>IFERROR(IF([1]对账明细接口!$C$831=0,"",[1]对账明细接口!$C$831),"")</f>
        <v/>
      </c>
      <c r="D831" s="16" t="str">
        <f>IFERROR(IF([1]对账明细接口!$D$831=0,"",[1]对账明细接口!$D$831),"")</f>
        <v/>
      </c>
      <c r="E831" s="16" t="str">
        <f>IFERROR(IF([1]对账明细接口!$E$831=0,"",[1]对账明细接口!$E$831),"")</f>
        <v/>
      </c>
      <c r="F831" s="16" t="str">
        <f>IFERROR(IF([1]对账明细接口!$F$831=0,"",[1]对账明细接口!$F$831),"")</f>
        <v/>
      </c>
      <c r="G831" s="16" t="str">
        <f>IFERROR(IF([1]对账明细接口!$G$831=0,"",[1]对账明细接口!$G$831),"")</f>
        <v/>
      </c>
      <c r="H831" s="17" t="str">
        <f>IFERROR(IF([1]对账明细接口!$H$831=0,"",[1]对账明细接口!$H$831),"")</f>
        <v/>
      </c>
      <c r="I831" s="16" t="str">
        <f>IFERROR(IF([1]对账明细接口!$I$831=0,"",[1]对账明细接口!$I$831),"")</f>
        <v/>
      </c>
      <c r="J831" s="18" t="str">
        <f>IFERROR(IF([1]对账明细接口!$J$831=0,"",[1]对账明细接口!$J$831),"")</f>
        <v/>
      </c>
      <c r="K831" s="18" t="str">
        <f>IFERROR(IF([1]对账明细接口!$K$831=0,"",[1]对账明细接口!$K$831),"")</f>
        <v/>
      </c>
      <c r="L831" s="16" t="str">
        <f>IFERROR(IF([1]对账明细接口!$L$831=0,"",[1]对账明细接口!$L$831),"")</f>
        <v/>
      </c>
      <c r="M831" s="16" t="str">
        <f>IFERROR(IF([1]对账明细接口!$M$831=0,"",[1]对账明细接口!$M$831),"")</f>
        <v/>
      </c>
      <c r="N831" s="19">
        <f t="shared" si="24"/>
        <v>0</v>
      </c>
      <c r="O831" s="19">
        <f t="shared" si="25"/>
        <v>420</v>
      </c>
      <c r="S831" s="20" t="str">
        <f>IFERROR(IF([1]对账明细接口!$N831=0,"",[1]对账明细接口!$N831),"")</f>
        <v/>
      </c>
      <c r="T831" s="21" t="str">
        <f>IFERROR(IF([1]对账明细接口!$O831=0,"",[1]对账明细接口!$O831),"")</f>
        <v/>
      </c>
      <c r="U831" s="21" t="str">
        <f>IFERROR(IF([1]对账明细接口!$P831=0,"",[1]对账明细接口!$P831),"")</f>
        <v/>
      </c>
      <c r="V831" s="21" t="str">
        <f>IFERROR(IF([1]对账明细接口!$Q831=0,"",[1]对账明细接口!$Q831),"")</f>
        <v/>
      </c>
      <c r="W831" s="20" t="str">
        <f>IFERROR(IF([1]对账明细接口!$R831=0,"",[1]对账明细接口!$R831),"")</f>
        <v/>
      </c>
      <c r="X831" s="20" t="str">
        <f>IFERROR(IF([1]对账明细接口!$S831=0,"",[1]对账明细接口!$S831),"")</f>
        <v/>
      </c>
      <c r="Y831" s="20" t="str">
        <f>IFERROR(IF([1]对账明细接口!$T831=0,"",[1]对账明细接口!$T831),"")</f>
        <v/>
      </c>
      <c r="Z831" s="24" t="str">
        <f>IFERROR(IF([1]对账明细接口!$U831=0,"",[1]对账明细接口!$U831),"")</f>
        <v/>
      </c>
      <c r="AA831" s="24" t="str">
        <f>IFERROR(IF([1]对账明细接口!$V831=0,"",[1]对账明细接口!$V831),"")</f>
        <v/>
      </c>
      <c r="AB831" s="20" t="str">
        <f>IFERROR(IF([1]对账明细接口!$W831=0,"",[1]对账明细接口!$W831),"")</f>
        <v/>
      </c>
      <c r="AC831" s="7" t="str">
        <f>IFERROR(IF([1]对账明细接口!$X831=0,"",[1]对账明细接口!$X831),"")</f>
        <v/>
      </c>
      <c r="AD831" s="7" t="str">
        <f>IFERROR(IF([1]对账明细接口!$Y831=0,"",[1]对账明细接口!$Y831),"")</f>
        <v/>
      </c>
      <c r="AE831" s="7" t="str">
        <f>IFERROR(IF([1]对账明细接口!$AA831=0,"",[1]对账明细接口!$AA831),"")</f>
        <v/>
      </c>
      <c r="AF831" s="7" t="str">
        <f>IFERROR(IF([1]对账明细接口!$AB831=0,"",[1]对账明细接口!$AB831),"")</f>
        <v/>
      </c>
      <c r="AG831" s="7" t="str">
        <f>IFERROR(IF([1]对账明细接口!$AC831=0,"",[1]对账明细接口!$AC831),"")</f>
        <v/>
      </c>
      <c r="AH831" s="7" t="str">
        <f>IFERROR(IF([1]对账明细接口!$AD831=0,"",[1]对账明细接口!$AD831),"")</f>
        <v/>
      </c>
      <c r="AI831" s="7" t="str">
        <f>IFERROR(IF([1]对账明细接口!$AE831=0,"",[1]对账明细接口!$AE831),"")</f>
        <v/>
      </c>
      <c r="AJ831" s="7" t="str">
        <f>IFERROR(IF([1]对账明细接口!$AF831=0,"",[1]对账明细接口!$AF831),"")</f>
        <v/>
      </c>
    </row>
    <row r="832" ht="14.25" customHeight="1" spans="1:36">
      <c r="A832" s="14">
        <v>832</v>
      </c>
      <c r="B832" s="15" t="str">
        <f>IFERROR(IF([1]对账明细接口!$B$832=0,"",[1]对账明细接口!$B$832),"")</f>
        <v/>
      </c>
      <c r="C832" s="16" t="str">
        <f>IFERROR(IF([1]对账明细接口!$C$832=0,"",[1]对账明细接口!$C$832),"")</f>
        <v/>
      </c>
      <c r="D832" s="16" t="str">
        <f>IFERROR(IF([1]对账明细接口!$D$832=0,"",[1]对账明细接口!$D$832),"")</f>
        <v/>
      </c>
      <c r="E832" s="16" t="str">
        <f>IFERROR(IF([1]对账明细接口!$E$832=0,"",[1]对账明细接口!$E$832),"")</f>
        <v/>
      </c>
      <c r="F832" s="16" t="str">
        <f>IFERROR(IF([1]对账明细接口!$F$832=0,"",[1]对账明细接口!$F$832),"")</f>
        <v/>
      </c>
      <c r="G832" s="16" t="str">
        <f>IFERROR(IF([1]对账明细接口!$G$832=0,"",[1]对账明细接口!$G$832),"")</f>
        <v/>
      </c>
      <c r="H832" s="17" t="str">
        <f>IFERROR(IF([1]对账明细接口!$H$832=0,"",[1]对账明细接口!$H$832),"")</f>
        <v/>
      </c>
      <c r="I832" s="16" t="str">
        <f>IFERROR(IF([1]对账明细接口!$I$832=0,"",[1]对账明细接口!$I$832),"")</f>
        <v/>
      </c>
      <c r="J832" s="18" t="str">
        <f>IFERROR(IF([1]对账明细接口!$J$832=0,"",[1]对账明细接口!$J$832),"")</f>
        <v/>
      </c>
      <c r="K832" s="18" t="str">
        <f>IFERROR(IF([1]对账明细接口!$K$832=0,"",[1]对账明细接口!$K$832),"")</f>
        <v/>
      </c>
      <c r="L832" s="16" t="str">
        <f>IFERROR(IF([1]对账明细接口!$L$832=0,"",[1]对账明细接口!$L$832),"")</f>
        <v/>
      </c>
      <c r="M832" s="16" t="str">
        <f>IFERROR(IF([1]对账明细接口!$M$832=0,"",[1]对账明细接口!$M$832),"")</f>
        <v/>
      </c>
      <c r="N832" s="19">
        <f t="shared" si="24"/>
        <v>0</v>
      </c>
      <c r="O832" s="19">
        <f t="shared" si="25"/>
        <v>420</v>
      </c>
      <c r="S832" s="20" t="str">
        <f>IFERROR(IF([1]对账明细接口!$N832=0,"",[1]对账明细接口!$N832),"")</f>
        <v/>
      </c>
      <c r="T832" s="21" t="str">
        <f>IFERROR(IF([1]对账明细接口!$O832=0,"",[1]对账明细接口!$O832),"")</f>
        <v/>
      </c>
      <c r="U832" s="21" t="str">
        <f>IFERROR(IF([1]对账明细接口!$P832=0,"",[1]对账明细接口!$P832),"")</f>
        <v/>
      </c>
      <c r="V832" s="21" t="str">
        <f>IFERROR(IF([1]对账明细接口!$Q832=0,"",[1]对账明细接口!$Q832),"")</f>
        <v/>
      </c>
      <c r="W832" s="20" t="str">
        <f>IFERROR(IF([1]对账明细接口!$R832=0,"",[1]对账明细接口!$R832),"")</f>
        <v/>
      </c>
      <c r="X832" s="20" t="str">
        <f>IFERROR(IF([1]对账明细接口!$S832=0,"",[1]对账明细接口!$S832),"")</f>
        <v/>
      </c>
      <c r="Y832" s="20" t="str">
        <f>IFERROR(IF([1]对账明细接口!$T832=0,"",[1]对账明细接口!$T832),"")</f>
        <v/>
      </c>
      <c r="Z832" s="24" t="str">
        <f>IFERROR(IF([1]对账明细接口!$U832=0,"",[1]对账明细接口!$U832),"")</f>
        <v/>
      </c>
      <c r="AA832" s="24" t="str">
        <f>IFERROR(IF([1]对账明细接口!$V832=0,"",[1]对账明细接口!$V832),"")</f>
        <v/>
      </c>
      <c r="AB832" s="20" t="str">
        <f>IFERROR(IF([1]对账明细接口!$W832=0,"",[1]对账明细接口!$W832),"")</f>
        <v/>
      </c>
      <c r="AC832" s="7" t="str">
        <f>IFERROR(IF([1]对账明细接口!$X832=0,"",[1]对账明细接口!$X832),"")</f>
        <v/>
      </c>
      <c r="AD832" s="7" t="str">
        <f>IFERROR(IF([1]对账明细接口!$Y832=0,"",[1]对账明细接口!$Y832),"")</f>
        <v/>
      </c>
      <c r="AE832" s="7" t="str">
        <f>IFERROR(IF([1]对账明细接口!$AA832=0,"",[1]对账明细接口!$AA832),"")</f>
        <v/>
      </c>
      <c r="AF832" s="7" t="str">
        <f>IFERROR(IF([1]对账明细接口!$AB832=0,"",[1]对账明细接口!$AB832),"")</f>
        <v/>
      </c>
      <c r="AG832" s="7" t="str">
        <f>IFERROR(IF([1]对账明细接口!$AC832=0,"",[1]对账明细接口!$AC832),"")</f>
        <v/>
      </c>
      <c r="AH832" s="7" t="str">
        <f>IFERROR(IF([1]对账明细接口!$AD832=0,"",[1]对账明细接口!$AD832),"")</f>
        <v/>
      </c>
      <c r="AI832" s="7" t="str">
        <f>IFERROR(IF([1]对账明细接口!$AE832=0,"",[1]对账明细接口!$AE832),"")</f>
        <v/>
      </c>
      <c r="AJ832" s="7" t="str">
        <f>IFERROR(IF([1]对账明细接口!$AF832=0,"",[1]对账明细接口!$AF832),"")</f>
        <v/>
      </c>
    </row>
    <row r="833" ht="14.25" customHeight="1" spans="1:36">
      <c r="A833" s="14">
        <v>833</v>
      </c>
      <c r="B833" s="15" t="str">
        <f>IFERROR(IF([1]对账明细接口!$B$833=0,"",[1]对账明细接口!$B$833),"")</f>
        <v/>
      </c>
      <c r="C833" s="16" t="str">
        <f>IFERROR(IF([1]对账明细接口!$C$833=0,"",[1]对账明细接口!$C$833),"")</f>
        <v/>
      </c>
      <c r="D833" s="16" t="str">
        <f>IFERROR(IF([1]对账明细接口!$D$833=0,"",[1]对账明细接口!$D$833),"")</f>
        <v/>
      </c>
      <c r="E833" s="16" t="str">
        <f>IFERROR(IF([1]对账明细接口!$E$833=0,"",[1]对账明细接口!$E$833),"")</f>
        <v/>
      </c>
      <c r="F833" s="16" t="str">
        <f>IFERROR(IF([1]对账明细接口!$F$833=0,"",[1]对账明细接口!$F$833),"")</f>
        <v/>
      </c>
      <c r="G833" s="16" t="str">
        <f>IFERROR(IF([1]对账明细接口!$G$833=0,"",[1]对账明细接口!$G$833),"")</f>
        <v/>
      </c>
      <c r="H833" s="17" t="str">
        <f>IFERROR(IF([1]对账明细接口!$H$833=0,"",[1]对账明细接口!$H$833),"")</f>
        <v/>
      </c>
      <c r="I833" s="16" t="str">
        <f>IFERROR(IF([1]对账明细接口!$I$833=0,"",[1]对账明细接口!$I$833),"")</f>
        <v/>
      </c>
      <c r="J833" s="18" t="str">
        <f>IFERROR(IF([1]对账明细接口!$J$833=0,"",[1]对账明细接口!$J$833),"")</f>
        <v/>
      </c>
      <c r="K833" s="18" t="str">
        <f>IFERROR(IF([1]对账明细接口!$K$833=0,"",[1]对账明细接口!$K$833),"")</f>
        <v/>
      </c>
      <c r="L833" s="16" t="str">
        <f>IFERROR(IF([1]对账明细接口!$L$833=0,"",[1]对账明细接口!$L$833),"")</f>
        <v/>
      </c>
      <c r="M833" s="16" t="str">
        <f>IFERROR(IF([1]对账明细接口!$M$833=0,"",[1]对账明细接口!$M$833),"")</f>
        <v/>
      </c>
      <c r="N833" s="19">
        <f t="shared" si="24"/>
        <v>0</v>
      </c>
      <c r="O833" s="19">
        <f t="shared" si="25"/>
        <v>420</v>
      </c>
      <c r="S833" s="20" t="str">
        <f>IFERROR(IF([1]对账明细接口!$N833=0,"",[1]对账明细接口!$N833),"")</f>
        <v/>
      </c>
      <c r="T833" s="21" t="str">
        <f>IFERROR(IF([1]对账明细接口!$O833=0,"",[1]对账明细接口!$O833),"")</f>
        <v/>
      </c>
      <c r="U833" s="21" t="str">
        <f>IFERROR(IF([1]对账明细接口!$P833=0,"",[1]对账明细接口!$P833),"")</f>
        <v/>
      </c>
      <c r="V833" s="21" t="str">
        <f>IFERROR(IF([1]对账明细接口!$Q833=0,"",[1]对账明细接口!$Q833),"")</f>
        <v/>
      </c>
      <c r="W833" s="20" t="str">
        <f>IFERROR(IF([1]对账明细接口!$R833=0,"",[1]对账明细接口!$R833),"")</f>
        <v/>
      </c>
      <c r="X833" s="20" t="str">
        <f>IFERROR(IF([1]对账明细接口!$S833=0,"",[1]对账明细接口!$S833),"")</f>
        <v/>
      </c>
      <c r="Y833" s="20" t="str">
        <f>IFERROR(IF([1]对账明细接口!$T833=0,"",[1]对账明细接口!$T833),"")</f>
        <v/>
      </c>
      <c r="Z833" s="24" t="str">
        <f>IFERROR(IF([1]对账明细接口!$U833=0,"",[1]对账明细接口!$U833),"")</f>
        <v/>
      </c>
      <c r="AA833" s="24" t="str">
        <f>IFERROR(IF([1]对账明细接口!$V833=0,"",[1]对账明细接口!$V833),"")</f>
        <v/>
      </c>
      <c r="AB833" s="20" t="str">
        <f>IFERROR(IF([1]对账明细接口!$W833=0,"",[1]对账明细接口!$W833),"")</f>
        <v/>
      </c>
      <c r="AC833" s="7" t="str">
        <f>IFERROR(IF([1]对账明细接口!$X833=0,"",[1]对账明细接口!$X833),"")</f>
        <v/>
      </c>
      <c r="AD833" s="7" t="str">
        <f>IFERROR(IF([1]对账明细接口!$Y833=0,"",[1]对账明细接口!$Y833),"")</f>
        <v/>
      </c>
      <c r="AE833" s="7" t="str">
        <f>IFERROR(IF([1]对账明细接口!$AA833=0,"",[1]对账明细接口!$AA833),"")</f>
        <v/>
      </c>
      <c r="AF833" s="7" t="str">
        <f>IFERROR(IF([1]对账明细接口!$AB833=0,"",[1]对账明细接口!$AB833),"")</f>
        <v/>
      </c>
      <c r="AG833" s="7" t="str">
        <f>IFERROR(IF([1]对账明细接口!$AC833=0,"",[1]对账明细接口!$AC833),"")</f>
        <v/>
      </c>
      <c r="AH833" s="7" t="str">
        <f>IFERROR(IF([1]对账明细接口!$AD833=0,"",[1]对账明细接口!$AD833),"")</f>
        <v/>
      </c>
      <c r="AI833" s="7" t="str">
        <f>IFERROR(IF([1]对账明细接口!$AE833=0,"",[1]对账明细接口!$AE833),"")</f>
        <v/>
      </c>
      <c r="AJ833" s="7" t="str">
        <f>IFERROR(IF([1]对账明细接口!$AF833=0,"",[1]对账明细接口!$AF833),"")</f>
        <v/>
      </c>
    </row>
    <row r="834" ht="14.25" customHeight="1" spans="1:36">
      <c r="A834" s="14">
        <v>834</v>
      </c>
      <c r="B834" s="15" t="str">
        <f>IFERROR(IF([1]对账明细接口!$B$834=0,"",[1]对账明细接口!$B$834),"")</f>
        <v/>
      </c>
      <c r="C834" s="16" t="str">
        <f>IFERROR(IF([1]对账明细接口!$C$834=0,"",[1]对账明细接口!$C$834),"")</f>
        <v/>
      </c>
      <c r="D834" s="16" t="str">
        <f>IFERROR(IF([1]对账明细接口!$D$834=0,"",[1]对账明细接口!$D$834),"")</f>
        <v/>
      </c>
      <c r="E834" s="16" t="str">
        <f>IFERROR(IF([1]对账明细接口!$E$834=0,"",[1]对账明细接口!$E$834),"")</f>
        <v/>
      </c>
      <c r="F834" s="16" t="str">
        <f>IFERROR(IF([1]对账明细接口!$F$834=0,"",[1]对账明细接口!$F$834),"")</f>
        <v/>
      </c>
      <c r="G834" s="16" t="str">
        <f>IFERROR(IF([1]对账明细接口!$G$834=0,"",[1]对账明细接口!$G$834),"")</f>
        <v/>
      </c>
      <c r="H834" s="17" t="str">
        <f>IFERROR(IF([1]对账明细接口!$H$834=0,"",[1]对账明细接口!$H$834),"")</f>
        <v/>
      </c>
      <c r="I834" s="16" t="str">
        <f>IFERROR(IF([1]对账明细接口!$I$834=0,"",[1]对账明细接口!$I$834),"")</f>
        <v/>
      </c>
      <c r="J834" s="18" t="str">
        <f>IFERROR(IF([1]对账明细接口!$J$834=0,"",[1]对账明细接口!$J$834),"")</f>
        <v/>
      </c>
      <c r="K834" s="18" t="str">
        <f>IFERROR(IF([1]对账明细接口!$K$834=0,"",[1]对账明细接口!$K$834),"")</f>
        <v/>
      </c>
      <c r="L834" s="16" t="str">
        <f>IFERROR(IF([1]对账明细接口!$L$834=0,"",[1]对账明细接口!$L$834),"")</f>
        <v/>
      </c>
      <c r="M834" s="16" t="str">
        <f>IFERROR(IF([1]对账明细接口!$M$834=0,"",[1]对账明细接口!$M$834),"")</f>
        <v/>
      </c>
      <c r="N834" s="19">
        <f t="shared" si="24"/>
        <v>0</v>
      </c>
      <c r="O834" s="19">
        <f t="shared" si="25"/>
        <v>420</v>
      </c>
      <c r="S834" s="20" t="str">
        <f>IFERROR(IF([1]对账明细接口!$N834=0,"",[1]对账明细接口!$N834),"")</f>
        <v/>
      </c>
      <c r="T834" s="21" t="str">
        <f>IFERROR(IF([1]对账明细接口!$O834=0,"",[1]对账明细接口!$O834),"")</f>
        <v/>
      </c>
      <c r="U834" s="21" t="str">
        <f>IFERROR(IF([1]对账明细接口!$P834=0,"",[1]对账明细接口!$P834),"")</f>
        <v/>
      </c>
      <c r="V834" s="21" t="str">
        <f>IFERROR(IF([1]对账明细接口!$Q834=0,"",[1]对账明细接口!$Q834),"")</f>
        <v/>
      </c>
      <c r="W834" s="20" t="str">
        <f>IFERROR(IF([1]对账明细接口!$R834=0,"",[1]对账明细接口!$R834),"")</f>
        <v/>
      </c>
      <c r="X834" s="20" t="str">
        <f>IFERROR(IF([1]对账明细接口!$S834=0,"",[1]对账明细接口!$S834),"")</f>
        <v/>
      </c>
      <c r="Y834" s="20" t="str">
        <f>IFERROR(IF([1]对账明细接口!$T834=0,"",[1]对账明细接口!$T834),"")</f>
        <v/>
      </c>
      <c r="Z834" s="24" t="str">
        <f>IFERROR(IF([1]对账明细接口!$U834=0,"",[1]对账明细接口!$U834),"")</f>
        <v/>
      </c>
      <c r="AA834" s="24" t="str">
        <f>IFERROR(IF([1]对账明细接口!$V834=0,"",[1]对账明细接口!$V834),"")</f>
        <v/>
      </c>
      <c r="AB834" s="20" t="str">
        <f>IFERROR(IF([1]对账明细接口!$W834=0,"",[1]对账明细接口!$W834),"")</f>
        <v/>
      </c>
      <c r="AC834" s="7" t="str">
        <f>IFERROR(IF([1]对账明细接口!$X834=0,"",[1]对账明细接口!$X834),"")</f>
        <v/>
      </c>
      <c r="AD834" s="7" t="str">
        <f>IFERROR(IF([1]对账明细接口!$Y834=0,"",[1]对账明细接口!$Y834),"")</f>
        <v/>
      </c>
      <c r="AE834" s="7" t="str">
        <f>IFERROR(IF([1]对账明细接口!$AA834=0,"",[1]对账明细接口!$AA834),"")</f>
        <v/>
      </c>
      <c r="AF834" s="7" t="str">
        <f>IFERROR(IF([1]对账明细接口!$AB834=0,"",[1]对账明细接口!$AB834),"")</f>
        <v/>
      </c>
      <c r="AG834" s="7" t="str">
        <f>IFERROR(IF([1]对账明细接口!$AC834=0,"",[1]对账明细接口!$AC834),"")</f>
        <v/>
      </c>
      <c r="AH834" s="7" t="str">
        <f>IFERROR(IF([1]对账明细接口!$AD834=0,"",[1]对账明细接口!$AD834),"")</f>
        <v/>
      </c>
      <c r="AI834" s="7" t="str">
        <f>IFERROR(IF([1]对账明细接口!$AE834=0,"",[1]对账明细接口!$AE834),"")</f>
        <v/>
      </c>
      <c r="AJ834" s="7" t="str">
        <f>IFERROR(IF([1]对账明细接口!$AF834=0,"",[1]对账明细接口!$AF834),"")</f>
        <v/>
      </c>
    </row>
    <row r="835" ht="14.25" customHeight="1" spans="1:36">
      <c r="A835" s="14">
        <v>835</v>
      </c>
      <c r="B835" s="15" t="str">
        <f>IFERROR(IF([1]对账明细接口!$B$835=0,"",[1]对账明细接口!$B$835),"")</f>
        <v/>
      </c>
      <c r="C835" s="16" t="str">
        <f>IFERROR(IF([1]对账明细接口!$C$835=0,"",[1]对账明细接口!$C$835),"")</f>
        <v/>
      </c>
      <c r="D835" s="16" t="str">
        <f>IFERROR(IF([1]对账明细接口!$D$835=0,"",[1]对账明细接口!$D$835),"")</f>
        <v/>
      </c>
      <c r="E835" s="16" t="str">
        <f>IFERROR(IF([1]对账明细接口!$E$835=0,"",[1]对账明细接口!$E$835),"")</f>
        <v/>
      </c>
      <c r="F835" s="16" t="str">
        <f>IFERROR(IF([1]对账明细接口!$F$835=0,"",[1]对账明细接口!$F$835),"")</f>
        <v/>
      </c>
      <c r="G835" s="16" t="str">
        <f>IFERROR(IF([1]对账明细接口!$G$835=0,"",[1]对账明细接口!$G$835),"")</f>
        <v/>
      </c>
      <c r="H835" s="17" t="str">
        <f>IFERROR(IF([1]对账明细接口!$H$835=0,"",[1]对账明细接口!$H$835),"")</f>
        <v/>
      </c>
      <c r="I835" s="16" t="str">
        <f>IFERROR(IF([1]对账明细接口!$I$835=0,"",[1]对账明细接口!$I$835),"")</f>
        <v/>
      </c>
      <c r="J835" s="18" t="str">
        <f>IFERROR(IF([1]对账明细接口!$J$835=0,"",[1]对账明细接口!$J$835),"")</f>
        <v/>
      </c>
      <c r="K835" s="18" t="str">
        <f>IFERROR(IF([1]对账明细接口!$K$835=0,"",[1]对账明细接口!$K$835),"")</f>
        <v/>
      </c>
      <c r="L835" s="16" t="str">
        <f>IFERROR(IF([1]对账明细接口!$L$835=0,"",[1]对账明细接口!$L$835),"")</f>
        <v/>
      </c>
      <c r="M835" s="16" t="str">
        <f>IFERROR(IF([1]对账明细接口!$M$835=0,"",[1]对账明细接口!$M$835),"")</f>
        <v/>
      </c>
      <c r="N835" s="19">
        <f t="shared" si="24"/>
        <v>0</v>
      </c>
      <c r="O835" s="19">
        <f t="shared" si="25"/>
        <v>420</v>
      </c>
      <c r="S835" s="20" t="str">
        <f>IFERROR(IF([1]对账明细接口!$N835=0,"",[1]对账明细接口!$N835),"")</f>
        <v/>
      </c>
      <c r="T835" s="21" t="str">
        <f>IFERROR(IF([1]对账明细接口!$O835=0,"",[1]对账明细接口!$O835),"")</f>
        <v/>
      </c>
      <c r="U835" s="21" t="str">
        <f>IFERROR(IF([1]对账明细接口!$P835=0,"",[1]对账明细接口!$P835),"")</f>
        <v/>
      </c>
      <c r="V835" s="21" t="str">
        <f>IFERROR(IF([1]对账明细接口!$Q835=0,"",[1]对账明细接口!$Q835),"")</f>
        <v/>
      </c>
      <c r="W835" s="20" t="str">
        <f>IFERROR(IF([1]对账明细接口!$R835=0,"",[1]对账明细接口!$R835),"")</f>
        <v/>
      </c>
      <c r="X835" s="20" t="str">
        <f>IFERROR(IF([1]对账明细接口!$S835=0,"",[1]对账明细接口!$S835),"")</f>
        <v/>
      </c>
      <c r="Y835" s="20" t="str">
        <f>IFERROR(IF([1]对账明细接口!$T835=0,"",[1]对账明细接口!$T835),"")</f>
        <v/>
      </c>
      <c r="Z835" s="24" t="str">
        <f>IFERROR(IF([1]对账明细接口!$U835=0,"",[1]对账明细接口!$U835),"")</f>
        <v/>
      </c>
      <c r="AA835" s="24" t="str">
        <f>IFERROR(IF([1]对账明细接口!$V835=0,"",[1]对账明细接口!$V835),"")</f>
        <v/>
      </c>
      <c r="AB835" s="20" t="str">
        <f>IFERROR(IF([1]对账明细接口!$W835=0,"",[1]对账明细接口!$W835),"")</f>
        <v/>
      </c>
      <c r="AC835" s="7" t="str">
        <f>IFERROR(IF([1]对账明细接口!$X835=0,"",[1]对账明细接口!$X835),"")</f>
        <v/>
      </c>
      <c r="AD835" s="7" t="str">
        <f>IFERROR(IF([1]对账明细接口!$Y835=0,"",[1]对账明细接口!$Y835),"")</f>
        <v/>
      </c>
      <c r="AE835" s="7" t="str">
        <f>IFERROR(IF([1]对账明细接口!$AA835=0,"",[1]对账明细接口!$AA835),"")</f>
        <v/>
      </c>
      <c r="AF835" s="7" t="str">
        <f>IFERROR(IF([1]对账明细接口!$AB835=0,"",[1]对账明细接口!$AB835),"")</f>
        <v/>
      </c>
      <c r="AG835" s="7" t="str">
        <f>IFERROR(IF([1]对账明细接口!$AC835=0,"",[1]对账明细接口!$AC835),"")</f>
        <v/>
      </c>
      <c r="AH835" s="7" t="str">
        <f>IFERROR(IF([1]对账明细接口!$AD835=0,"",[1]对账明细接口!$AD835),"")</f>
        <v/>
      </c>
      <c r="AI835" s="7" t="str">
        <f>IFERROR(IF([1]对账明细接口!$AE835=0,"",[1]对账明细接口!$AE835),"")</f>
        <v/>
      </c>
      <c r="AJ835" s="7" t="str">
        <f>IFERROR(IF([1]对账明细接口!$AF835=0,"",[1]对账明细接口!$AF835),"")</f>
        <v/>
      </c>
    </row>
    <row r="836" ht="14.25" customHeight="1" spans="1:36">
      <c r="A836" s="14">
        <v>836</v>
      </c>
      <c r="B836" s="15" t="str">
        <f>IFERROR(IF([1]对账明细接口!$B$836=0,"",[1]对账明细接口!$B$836),"")</f>
        <v/>
      </c>
      <c r="C836" s="16" t="str">
        <f>IFERROR(IF([1]对账明细接口!$C$836=0,"",[1]对账明细接口!$C$836),"")</f>
        <v/>
      </c>
      <c r="D836" s="16" t="str">
        <f>IFERROR(IF([1]对账明细接口!$D$836=0,"",[1]对账明细接口!$D$836),"")</f>
        <v/>
      </c>
      <c r="E836" s="16" t="str">
        <f>IFERROR(IF([1]对账明细接口!$E$836=0,"",[1]对账明细接口!$E$836),"")</f>
        <v/>
      </c>
      <c r="F836" s="16" t="str">
        <f>IFERROR(IF([1]对账明细接口!$F$836=0,"",[1]对账明细接口!$F$836),"")</f>
        <v/>
      </c>
      <c r="G836" s="16" t="str">
        <f>IFERROR(IF([1]对账明细接口!$G$836=0,"",[1]对账明细接口!$G$836),"")</f>
        <v/>
      </c>
      <c r="H836" s="17" t="str">
        <f>IFERROR(IF([1]对账明细接口!$H$836=0,"",[1]对账明细接口!$H$836),"")</f>
        <v/>
      </c>
      <c r="I836" s="16" t="str">
        <f>IFERROR(IF([1]对账明细接口!$I$836=0,"",[1]对账明细接口!$I$836),"")</f>
        <v/>
      </c>
      <c r="J836" s="18" t="str">
        <f>IFERROR(IF([1]对账明细接口!$J$836=0,"",[1]对账明细接口!$J$836),"")</f>
        <v/>
      </c>
      <c r="K836" s="18" t="str">
        <f>IFERROR(IF([1]对账明细接口!$K$836=0,"",[1]对账明细接口!$K$836),"")</f>
        <v/>
      </c>
      <c r="L836" s="16" t="str">
        <f>IFERROR(IF([1]对账明细接口!$L$836=0,"",[1]对账明细接口!$L$836),"")</f>
        <v/>
      </c>
      <c r="M836" s="16" t="str">
        <f>IFERROR(IF([1]对账明细接口!$M$836=0,"",[1]对账明细接口!$M$836),"")</f>
        <v/>
      </c>
      <c r="N836" s="19">
        <f t="shared" ref="N836:N899" si="26">IF($C836="",0,1)</f>
        <v>0</v>
      </c>
      <c r="O836" s="19">
        <f t="shared" ref="O836:O899" si="27">N(O835)+$N836</f>
        <v>420</v>
      </c>
      <c r="S836" s="20" t="str">
        <f>IFERROR(IF([1]对账明细接口!$N836=0,"",[1]对账明细接口!$N836),"")</f>
        <v/>
      </c>
      <c r="T836" s="21" t="str">
        <f>IFERROR(IF([1]对账明细接口!$O836=0,"",[1]对账明细接口!$O836),"")</f>
        <v/>
      </c>
      <c r="U836" s="21" t="str">
        <f>IFERROR(IF([1]对账明细接口!$P836=0,"",[1]对账明细接口!$P836),"")</f>
        <v/>
      </c>
      <c r="V836" s="21" t="str">
        <f>IFERROR(IF([1]对账明细接口!$Q836=0,"",[1]对账明细接口!$Q836),"")</f>
        <v/>
      </c>
      <c r="W836" s="20" t="str">
        <f>IFERROR(IF([1]对账明细接口!$R836=0,"",[1]对账明细接口!$R836),"")</f>
        <v/>
      </c>
      <c r="X836" s="20" t="str">
        <f>IFERROR(IF([1]对账明细接口!$S836=0,"",[1]对账明细接口!$S836),"")</f>
        <v/>
      </c>
      <c r="Y836" s="20" t="str">
        <f>IFERROR(IF([1]对账明细接口!$T836=0,"",[1]对账明细接口!$T836),"")</f>
        <v/>
      </c>
      <c r="Z836" s="24" t="str">
        <f>IFERROR(IF([1]对账明细接口!$U836=0,"",[1]对账明细接口!$U836),"")</f>
        <v/>
      </c>
      <c r="AA836" s="24" t="str">
        <f>IFERROR(IF([1]对账明细接口!$V836=0,"",[1]对账明细接口!$V836),"")</f>
        <v/>
      </c>
      <c r="AB836" s="20" t="str">
        <f>IFERROR(IF([1]对账明细接口!$W836=0,"",[1]对账明细接口!$W836),"")</f>
        <v/>
      </c>
      <c r="AC836" s="7" t="str">
        <f>IFERROR(IF([1]对账明细接口!$X836=0,"",[1]对账明细接口!$X836),"")</f>
        <v/>
      </c>
      <c r="AD836" s="7" t="str">
        <f>IFERROR(IF([1]对账明细接口!$Y836=0,"",[1]对账明细接口!$Y836),"")</f>
        <v/>
      </c>
      <c r="AE836" s="7" t="str">
        <f>IFERROR(IF([1]对账明细接口!$AA836=0,"",[1]对账明细接口!$AA836),"")</f>
        <v/>
      </c>
      <c r="AF836" s="7" t="str">
        <f>IFERROR(IF([1]对账明细接口!$AB836=0,"",[1]对账明细接口!$AB836),"")</f>
        <v/>
      </c>
      <c r="AG836" s="7" t="str">
        <f>IFERROR(IF([1]对账明细接口!$AC836=0,"",[1]对账明细接口!$AC836),"")</f>
        <v/>
      </c>
      <c r="AH836" s="7" t="str">
        <f>IFERROR(IF([1]对账明细接口!$AD836=0,"",[1]对账明细接口!$AD836),"")</f>
        <v/>
      </c>
      <c r="AI836" s="7" t="str">
        <f>IFERROR(IF([1]对账明细接口!$AE836=0,"",[1]对账明细接口!$AE836),"")</f>
        <v/>
      </c>
      <c r="AJ836" s="7" t="str">
        <f>IFERROR(IF([1]对账明细接口!$AF836=0,"",[1]对账明细接口!$AF836),"")</f>
        <v/>
      </c>
    </row>
    <row r="837" ht="14.25" customHeight="1" spans="1:36">
      <c r="A837" s="14">
        <v>837</v>
      </c>
      <c r="B837" s="15" t="str">
        <f>IFERROR(IF([1]对账明细接口!$B$837=0,"",[1]对账明细接口!$B$837),"")</f>
        <v/>
      </c>
      <c r="C837" s="16" t="str">
        <f>IFERROR(IF([1]对账明细接口!$C$837=0,"",[1]对账明细接口!$C$837),"")</f>
        <v/>
      </c>
      <c r="D837" s="16" t="str">
        <f>IFERROR(IF([1]对账明细接口!$D$837=0,"",[1]对账明细接口!$D$837),"")</f>
        <v/>
      </c>
      <c r="E837" s="16" t="str">
        <f>IFERROR(IF([1]对账明细接口!$E$837=0,"",[1]对账明细接口!$E$837),"")</f>
        <v/>
      </c>
      <c r="F837" s="16" t="str">
        <f>IFERROR(IF([1]对账明细接口!$F$837=0,"",[1]对账明细接口!$F$837),"")</f>
        <v/>
      </c>
      <c r="G837" s="16" t="str">
        <f>IFERROR(IF([1]对账明细接口!$G$837=0,"",[1]对账明细接口!$G$837),"")</f>
        <v/>
      </c>
      <c r="H837" s="17" t="str">
        <f>IFERROR(IF([1]对账明细接口!$H$837=0,"",[1]对账明细接口!$H$837),"")</f>
        <v/>
      </c>
      <c r="I837" s="16" t="str">
        <f>IFERROR(IF([1]对账明细接口!$I$837=0,"",[1]对账明细接口!$I$837),"")</f>
        <v/>
      </c>
      <c r="J837" s="18" t="str">
        <f>IFERROR(IF([1]对账明细接口!$J$837=0,"",[1]对账明细接口!$J$837),"")</f>
        <v/>
      </c>
      <c r="K837" s="18" t="str">
        <f>IFERROR(IF([1]对账明细接口!$K$837=0,"",[1]对账明细接口!$K$837),"")</f>
        <v/>
      </c>
      <c r="L837" s="16" t="str">
        <f>IFERROR(IF([1]对账明细接口!$L$837=0,"",[1]对账明细接口!$L$837),"")</f>
        <v/>
      </c>
      <c r="M837" s="16" t="str">
        <f>IFERROR(IF([1]对账明细接口!$M$837=0,"",[1]对账明细接口!$M$837),"")</f>
        <v/>
      </c>
      <c r="N837" s="19">
        <f t="shared" si="26"/>
        <v>0</v>
      </c>
      <c r="O837" s="19">
        <f t="shared" si="27"/>
        <v>420</v>
      </c>
      <c r="S837" s="20" t="str">
        <f>IFERROR(IF([1]对账明细接口!$N837=0,"",[1]对账明细接口!$N837),"")</f>
        <v/>
      </c>
      <c r="T837" s="21" t="str">
        <f>IFERROR(IF([1]对账明细接口!$O837=0,"",[1]对账明细接口!$O837),"")</f>
        <v/>
      </c>
      <c r="U837" s="21" t="str">
        <f>IFERROR(IF([1]对账明细接口!$P837=0,"",[1]对账明细接口!$P837),"")</f>
        <v/>
      </c>
      <c r="V837" s="21" t="str">
        <f>IFERROR(IF([1]对账明细接口!$Q837=0,"",[1]对账明细接口!$Q837),"")</f>
        <v/>
      </c>
      <c r="W837" s="20" t="str">
        <f>IFERROR(IF([1]对账明细接口!$R837=0,"",[1]对账明细接口!$R837),"")</f>
        <v/>
      </c>
      <c r="X837" s="20" t="str">
        <f>IFERROR(IF([1]对账明细接口!$S837=0,"",[1]对账明细接口!$S837),"")</f>
        <v/>
      </c>
      <c r="Y837" s="20" t="str">
        <f>IFERROR(IF([1]对账明细接口!$T837=0,"",[1]对账明细接口!$T837),"")</f>
        <v/>
      </c>
      <c r="Z837" s="24" t="str">
        <f>IFERROR(IF([1]对账明细接口!$U837=0,"",[1]对账明细接口!$U837),"")</f>
        <v/>
      </c>
      <c r="AA837" s="24" t="str">
        <f>IFERROR(IF([1]对账明细接口!$V837=0,"",[1]对账明细接口!$V837),"")</f>
        <v/>
      </c>
      <c r="AB837" s="20" t="str">
        <f>IFERROR(IF([1]对账明细接口!$W837=0,"",[1]对账明细接口!$W837),"")</f>
        <v/>
      </c>
      <c r="AC837" s="7" t="str">
        <f>IFERROR(IF([1]对账明细接口!$X837=0,"",[1]对账明细接口!$X837),"")</f>
        <v/>
      </c>
      <c r="AD837" s="7" t="str">
        <f>IFERROR(IF([1]对账明细接口!$Y837=0,"",[1]对账明细接口!$Y837),"")</f>
        <v/>
      </c>
      <c r="AE837" s="7" t="str">
        <f>IFERROR(IF([1]对账明细接口!$AA837=0,"",[1]对账明细接口!$AA837),"")</f>
        <v/>
      </c>
      <c r="AF837" s="7" t="str">
        <f>IFERROR(IF([1]对账明细接口!$AB837=0,"",[1]对账明细接口!$AB837),"")</f>
        <v/>
      </c>
      <c r="AG837" s="7" t="str">
        <f>IFERROR(IF([1]对账明细接口!$AC837=0,"",[1]对账明细接口!$AC837),"")</f>
        <v/>
      </c>
      <c r="AH837" s="7" t="str">
        <f>IFERROR(IF([1]对账明细接口!$AD837=0,"",[1]对账明细接口!$AD837),"")</f>
        <v/>
      </c>
      <c r="AI837" s="7" t="str">
        <f>IFERROR(IF([1]对账明细接口!$AE837=0,"",[1]对账明细接口!$AE837),"")</f>
        <v/>
      </c>
      <c r="AJ837" s="7" t="str">
        <f>IFERROR(IF([1]对账明细接口!$AF837=0,"",[1]对账明细接口!$AF837),"")</f>
        <v/>
      </c>
    </row>
    <row r="838" ht="14.25" customHeight="1" spans="1:36">
      <c r="A838" s="14">
        <v>838</v>
      </c>
      <c r="B838" s="15" t="str">
        <f>IFERROR(IF([1]对账明细接口!$B$838=0,"",[1]对账明细接口!$B$838),"")</f>
        <v/>
      </c>
      <c r="C838" s="16" t="str">
        <f>IFERROR(IF([1]对账明细接口!$C$838=0,"",[1]对账明细接口!$C$838),"")</f>
        <v/>
      </c>
      <c r="D838" s="16" t="str">
        <f>IFERROR(IF([1]对账明细接口!$D$838=0,"",[1]对账明细接口!$D$838),"")</f>
        <v/>
      </c>
      <c r="E838" s="16" t="str">
        <f>IFERROR(IF([1]对账明细接口!$E$838=0,"",[1]对账明细接口!$E$838),"")</f>
        <v/>
      </c>
      <c r="F838" s="16" t="str">
        <f>IFERROR(IF([1]对账明细接口!$F$838=0,"",[1]对账明细接口!$F$838),"")</f>
        <v/>
      </c>
      <c r="G838" s="16" t="str">
        <f>IFERROR(IF([1]对账明细接口!$G$838=0,"",[1]对账明细接口!$G$838),"")</f>
        <v/>
      </c>
      <c r="H838" s="17" t="str">
        <f>IFERROR(IF([1]对账明细接口!$H$838=0,"",[1]对账明细接口!$H$838),"")</f>
        <v/>
      </c>
      <c r="I838" s="16" t="str">
        <f>IFERROR(IF([1]对账明细接口!$I$838=0,"",[1]对账明细接口!$I$838),"")</f>
        <v/>
      </c>
      <c r="J838" s="18" t="str">
        <f>IFERROR(IF([1]对账明细接口!$J$838=0,"",[1]对账明细接口!$J$838),"")</f>
        <v/>
      </c>
      <c r="K838" s="18" t="str">
        <f>IFERROR(IF([1]对账明细接口!$K$838=0,"",[1]对账明细接口!$K$838),"")</f>
        <v/>
      </c>
      <c r="L838" s="16" t="str">
        <f>IFERROR(IF([1]对账明细接口!$L$838=0,"",[1]对账明细接口!$L$838),"")</f>
        <v/>
      </c>
      <c r="M838" s="16" t="str">
        <f>IFERROR(IF([1]对账明细接口!$M$838=0,"",[1]对账明细接口!$M$838),"")</f>
        <v/>
      </c>
      <c r="N838" s="19">
        <f t="shared" si="26"/>
        <v>0</v>
      </c>
      <c r="O838" s="19">
        <f t="shared" si="27"/>
        <v>420</v>
      </c>
      <c r="S838" s="20" t="str">
        <f>IFERROR(IF([1]对账明细接口!$N838=0,"",[1]对账明细接口!$N838),"")</f>
        <v/>
      </c>
      <c r="T838" s="21" t="str">
        <f>IFERROR(IF([1]对账明细接口!$O838=0,"",[1]对账明细接口!$O838),"")</f>
        <v/>
      </c>
      <c r="U838" s="21" t="str">
        <f>IFERROR(IF([1]对账明细接口!$P838=0,"",[1]对账明细接口!$P838),"")</f>
        <v/>
      </c>
      <c r="V838" s="21" t="str">
        <f>IFERROR(IF([1]对账明细接口!$Q838=0,"",[1]对账明细接口!$Q838),"")</f>
        <v/>
      </c>
      <c r="W838" s="20" t="str">
        <f>IFERROR(IF([1]对账明细接口!$R838=0,"",[1]对账明细接口!$R838),"")</f>
        <v/>
      </c>
      <c r="X838" s="20" t="str">
        <f>IFERROR(IF([1]对账明细接口!$S838=0,"",[1]对账明细接口!$S838),"")</f>
        <v/>
      </c>
      <c r="Y838" s="20" t="str">
        <f>IFERROR(IF([1]对账明细接口!$T838=0,"",[1]对账明细接口!$T838),"")</f>
        <v/>
      </c>
      <c r="Z838" s="24" t="str">
        <f>IFERROR(IF([1]对账明细接口!$U838=0,"",[1]对账明细接口!$U838),"")</f>
        <v/>
      </c>
      <c r="AA838" s="24" t="str">
        <f>IFERROR(IF([1]对账明细接口!$V838=0,"",[1]对账明细接口!$V838),"")</f>
        <v/>
      </c>
      <c r="AB838" s="20" t="str">
        <f>IFERROR(IF([1]对账明细接口!$W838=0,"",[1]对账明细接口!$W838),"")</f>
        <v/>
      </c>
      <c r="AC838" s="7" t="str">
        <f>IFERROR(IF([1]对账明细接口!$X838=0,"",[1]对账明细接口!$X838),"")</f>
        <v/>
      </c>
      <c r="AD838" s="7" t="str">
        <f>IFERROR(IF([1]对账明细接口!$Y838=0,"",[1]对账明细接口!$Y838),"")</f>
        <v/>
      </c>
      <c r="AE838" s="7" t="str">
        <f>IFERROR(IF([1]对账明细接口!$AA838=0,"",[1]对账明细接口!$AA838),"")</f>
        <v/>
      </c>
      <c r="AF838" s="7" t="str">
        <f>IFERROR(IF([1]对账明细接口!$AB838=0,"",[1]对账明细接口!$AB838),"")</f>
        <v/>
      </c>
      <c r="AG838" s="7" t="str">
        <f>IFERROR(IF([1]对账明细接口!$AC838=0,"",[1]对账明细接口!$AC838),"")</f>
        <v/>
      </c>
      <c r="AH838" s="7" t="str">
        <f>IFERROR(IF([1]对账明细接口!$AD838=0,"",[1]对账明细接口!$AD838),"")</f>
        <v/>
      </c>
      <c r="AI838" s="7" t="str">
        <f>IFERROR(IF([1]对账明细接口!$AE838=0,"",[1]对账明细接口!$AE838),"")</f>
        <v/>
      </c>
      <c r="AJ838" s="7" t="str">
        <f>IFERROR(IF([1]对账明细接口!$AF838=0,"",[1]对账明细接口!$AF838),"")</f>
        <v/>
      </c>
    </row>
    <row r="839" ht="14.25" customHeight="1" spans="1:36">
      <c r="A839" s="14">
        <v>839</v>
      </c>
      <c r="B839" s="15" t="str">
        <f>IFERROR(IF([1]对账明细接口!$B$839=0,"",[1]对账明细接口!$B$839),"")</f>
        <v/>
      </c>
      <c r="C839" s="16" t="str">
        <f>IFERROR(IF([1]对账明细接口!$C$839=0,"",[1]对账明细接口!$C$839),"")</f>
        <v/>
      </c>
      <c r="D839" s="16" t="str">
        <f>IFERROR(IF([1]对账明细接口!$D$839=0,"",[1]对账明细接口!$D$839),"")</f>
        <v/>
      </c>
      <c r="E839" s="16" t="str">
        <f>IFERROR(IF([1]对账明细接口!$E$839=0,"",[1]对账明细接口!$E$839),"")</f>
        <v/>
      </c>
      <c r="F839" s="16" t="str">
        <f>IFERROR(IF([1]对账明细接口!$F$839=0,"",[1]对账明细接口!$F$839),"")</f>
        <v/>
      </c>
      <c r="G839" s="16" t="str">
        <f>IFERROR(IF([1]对账明细接口!$G$839=0,"",[1]对账明细接口!$G$839),"")</f>
        <v/>
      </c>
      <c r="H839" s="17" t="str">
        <f>IFERROR(IF([1]对账明细接口!$H$839=0,"",[1]对账明细接口!$H$839),"")</f>
        <v/>
      </c>
      <c r="I839" s="16" t="str">
        <f>IFERROR(IF([1]对账明细接口!$I$839=0,"",[1]对账明细接口!$I$839),"")</f>
        <v/>
      </c>
      <c r="J839" s="18" t="str">
        <f>IFERROR(IF([1]对账明细接口!$J$839=0,"",[1]对账明细接口!$J$839),"")</f>
        <v/>
      </c>
      <c r="K839" s="18" t="str">
        <f>IFERROR(IF([1]对账明细接口!$K$839=0,"",[1]对账明细接口!$K$839),"")</f>
        <v/>
      </c>
      <c r="L839" s="16" t="str">
        <f>IFERROR(IF([1]对账明细接口!$L$839=0,"",[1]对账明细接口!$L$839),"")</f>
        <v/>
      </c>
      <c r="M839" s="16" t="str">
        <f>IFERROR(IF([1]对账明细接口!$M$839=0,"",[1]对账明细接口!$M$839),"")</f>
        <v/>
      </c>
      <c r="N839" s="19">
        <f t="shared" si="26"/>
        <v>0</v>
      </c>
      <c r="O839" s="19">
        <f t="shared" si="27"/>
        <v>420</v>
      </c>
      <c r="S839" s="20" t="str">
        <f>IFERROR(IF([1]对账明细接口!$N839=0,"",[1]对账明细接口!$N839),"")</f>
        <v/>
      </c>
      <c r="T839" s="21" t="str">
        <f>IFERROR(IF([1]对账明细接口!$O839=0,"",[1]对账明细接口!$O839),"")</f>
        <v/>
      </c>
      <c r="U839" s="21" t="str">
        <f>IFERROR(IF([1]对账明细接口!$P839=0,"",[1]对账明细接口!$P839),"")</f>
        <v/>
      </c>
      <c r="V839" s="21" t="str">
        <f>IFERROR(IF([1]对账明细接口!$Q839=0,"",[1]对账明细接口!$Q839),"")</f>
        <v/>
      </c>
      <c r="W839" s="20" t="str">
        <f>IFERROR(IF([1]对账明细接口!$R839=0,"",[1]对账明细接口!$R839),"")</f>
        <v/>
      </c>
      <c r="X839" s="20" t="str">
        <f>IFERROR(IF([1]对账明细接口!$S839=0,"",[1]对账明细接口!$S839),"")</f>
        <v/>
      </c>
      <c r="Y839" s="20" t="str">
        <f>IFERROR(IF([1]对账明细接口!$T839=0,"",[1]对账明细接口!$T839),"")</f>
        <v/>
      </c>
      <c r="Z839" s="24" t="str">
        <f>IFERROR(IF([1]对账明细接口!$U839=0,"",[1]对账明细接口!$U839),"")</f>
        <v/>
      </c>
      <c r="AA839" s="24" t="str">
        <f>IFERROR(IF([1]对账明细接口!$V839=0,"",[1]对账明细接口!$V839),"")</f>
        <v/>
      </c>
      <c r="AB839" s="20" t="str">
        <f>IFERROR(IF([1]对账明细接口!$W839=0,"",[1]对账明细接口!$W839),"")</f>
        <v/>
      </c>
      <c r="AC839" s="7" t="str">
        <f>IFERROR(IF([1]对账明细接口!$X839=0,"",[1]对账明细接口!$X839),"")</f>
        <v/>
      </c>
      <c r="AD839" s="7" t="str">
        <f>IFERROR(IF([1]对账明细接口!$Y839=0,"",[1]对账明细接口!$Y839),"")</f>
        <v/>
      </c>
      <c r="AE839" s="7" t="str">
        <f>IFERROR(IF([1]对账明细接口!$AA839=0,"",[1]对账明细接口!$AA839),"")</f>
        <v/>
      </c>
      <c r="AF839" s="7" t="str">
        <f>IFERROR(IF([1]对账明细接口!$AB839=0,"",[1]对账明细接口!$AB839),"")</f>
        <v/>
      </c>
      <c r="AG839" s="7" t="str">
        <f>IFERROR(IF([1]对账明细接口!$AC839=0,"",[1]对账明细接口!$AC839),"")</f>
        <v/>
      </c>
      <c r="AH839" s="7" t="str">
        <f>IFERROR(IF([1]对账明细接口!$AD839=0,"",[1]对账明细接口!$AD839),"")</f>
        <v/>
      </c>
      <c r="AI839" s="7" t="str">
        <f>IFERROR(IF([1]对账明细接口!$AE839=0,"",[1]对账明细接口!$AE839),"")</f>
        <v/>
      </c>
      <c r="AJ839" s="7" t="str">
        <f>IFERROR(IF([1]对账明细接口!$AF839=0,"",[1]对账明细接口!$AF839),"")</f>
        <v/>
      </c>
    </row>
    <row r="840" ht="14.25" customHeight="1" spans="1:36">
      <c r="A840" s="14">
        <v>840</v>
      </c>
      <c r="B840" s="15" t="str">
        <f>IFERROR(IF([1]对账明细接口!$B$840=0,"",[1]对账明细接口!$B$840),"")</f>
        <v/>
      </c>
      <c r="C840" s="16" t="str">
        <f>IFERROR(IF([1]对账明细接口!$C$840=0,"",[1]对账明细接口!$C$840),"")</f>
        <v/>
      </c>
      <c r="D840" s="16" t="str">
        <f>IFERROR(IF([1]对账明细接口!$D$840=0,"",[1]对账明细接口!$D$840),"")</f>
        <v/>
      </c>
      <c r="E840" s="16" t="str">
        <f>IFERROR(IF([1]对账明细接口!$E$840=0,"",[1]对账明细接口!$E$840),"")</f>
        <v/>
      </c>
      <c r="F840" s="16" t="str">
        <f>IFERROR(IF([1]对账明细接口!$F$840=0,"",[1]对账明细接口!$F$840),"")</f>
        <v/>
      </c>
      <c r="G840" s="16" t="str">
        <f>IFERROR(IF([1]对账明细接口!$G$840=0,"",[1]对账明细接口!$G$840),"")</f>
        <v/>
      </c>
      <c r="H840" s="17" t="str">
        <f>IFERROR(IF([1]对账明细接口!$H$840=0,"",[1]对账明细接口!$H$840),"")</f>
        <v/>
      </c>
      <c r="I840" s="16" t="str">
        <f>IFERROR(IF([1]对账明细接口!$I$840=0,"",[1]对账明细接口!$I$840),"")</f>
        <v/>
      </c>
      <c r="J840" s="18" t="str">
        <f>IFERROR(IF([1]对账明细接口!$J$840=0,"",[1]对账明细接口!$J$840),"")</f>
        <v/>
      </c>
      <c r="K840" s="18" t="str">
        <f>IFERROR(IF([1]对账明细接口!$K$840=0,"",[1]对账明细接口!$K$840),"")</f>
        <v/>
      </c>
      <c r="L840" s="16" t="str">
        <f>IFERROR(IF([1]对账明细接口!$L$840=0,"",[1]对账明细接口!$L$840),"")</f>
        <v/>
      </c>
      <c r="M840" s="16" t="str">
        <f>IFERROR(IF([1]对账明细接口!$M$840=0,"",[1]对账明细接口!$M$840),"")</f>
        <v/>
      </c>
      <c r="N840" s="19">
        <f t="shared" si="26"/>
        <v>0</v>
      </c>
      <c r="O840" s="19">
        <f t="shared" si="27"/>
        <v>420</v>
      </c>
      <c r="S840" s="20" t="str">
        <f>IFERROR(IF([1]对账明细接口!$N840=0,"",[1]对账明细接口!$N840),"")</f>
        <v/>
      </c>
      <c r="T840" s="21" t="str">
        <f>IFERROR(IF([1]对账明细接口!$O840=0,"",[1]对账明细接口!$O840),"")</f>
        <v/>
      </c>
      <c r="U840" s="21" t="str">
        <f>IFERROR(IF([1]对账明细接口!$P840=0,"",[1]对账明细接口!$P840),"")</f>
        <v/>
      </c>
      <c r="V840" s="21" t="str">
        <f>IFERROR(IF([1]对账明细接口!$Q840=0,"",[1]对账明细接口!$Q840),"")</f>
        <v/>
      </c>
      <c r="W840" s="20" t="str">
        <f>IFERROR(IF([1]对账明细接口!$R840=0,"",[1]对账明细接口!$R840),"")</f>
        <v/>
      </c>
      <c r="X840" s="20" t="str">
        <f>IFERROR(IF([1]对账明细接口!$S840=0,"",[1]对账明细接口!$S840),"")</f>
        <v/>
      </c>
      <c r="Y840" s="20" t="str">
        <f>IFERROR(IF([1]对账明细接口!$T840=0,"",[1]对账明细接口!$T840),"")</f>
        <v/>
      </c>
      <c r="Z840" s="24" t="str">
        <f>IFERROR(IF([1]对账明细接口!$U840=0,"",[1]对账明细接口!$U840),"")</f>
        <v/>
      </c>
      <c r="AA840" s="24" t="str">
        <f>IFERROR(IF([1]对账明细接口!$V840=0,"",[1]对账明细接口!$V840),"")</f>
        <v/>
      </c>
      <c r="AB840" s="20" t="str">
        <f>IFERROR(IF([1]对账明细接口!$W840=0,"",[1]对账明细接口!$W840),"")</f>
        <v/>
      </c>
      <c r="AC840" s="7" t="str">
        <f>IFERROR(IF([1]对账明细接口!$X840=0,"",[1]对账明细接口!$X840),"")</f>
        <v/>
      </c>
      <c r="AD840" s="7" t="str">
        <f>IFERROR(IF([1]对账明细接口!$Y840=0,"",[1]对账明细接口!$Y840),"")</f>
        <v/>
      </c>
      <c r="AE840" s="7" t="str">
        <f>IFERROR(IF([1]对账明细接口!$AA840=0,"",[1]对账明细接口!$AA840),"")</f>
        <v/>
      </c>
      <c r="AF840" s="7" t="str">
        <f>IFERROR(IF([1]对账明细接口!$AB840=0,"",[1]对账明细接口!$AB840),"")</f>
        <v/>
      </c>
      <c r="AG840" s="7" t="str">
        <f>IFERROR(IF([1]对账明细接口!$AC840=0,"",[1]对账明细接口!$AC840),"")</f>
        <v/>
      </c>
      <c r="AH840" s="7" t="str">
        <f>IFERROR(IF([1]对账明细接口!$AD840=0,"",[1]对账明细接口!$AD840),"")</f>
        <v/>
      </c>
      <c r="AI840" s="7" t="str">
        <f>IFERROR(IF([1]对账明细接口!$AE840=0,"",[1]对账明细接口!$AE840),"")</f>
        <v/>
      </c>
      <c r="AJ840" s="7" t="str">
        <f>IFERROR(IF([1]对账明细接口!$AF840=0,"",[1]对账明细接口!$AF840),"")</f>
        <v/>
      </c>
    </row>
    <row r="841" ht="14.25" customHeight="1" spans="1:36">
      <c r="A841" s="14">
        <v>841</v>
      </c>
      <c r="B841" s="15" t="str">
        <f>IFERROR(IF([1]对账明细接口!$B$841=0,"",[1]对账明细接口!$B$841),"")</f>
        <v/>
      </c>
      <c r="C841" s="16" t="str">
        <f>IFERROR(IF([1]对账明细接口!$C$841=0,"",[1]对账明细接口!$C$841),"")</f>
        <v/>
      </c>
      <c r="D841" s="16" t="str">
        <f>IFERROR(IF([1]对账明细接口!$D$841=0,"",[1]对账明细接口!$D$841),"")</f>
        <v/>
      </c>
      <c r="E841" s="16" t="str">
        <f>IFERROR(IF([1]对账明细接口!$E$841=0,"",[1]对账明细接口!$E$841),"")</f>
        <v/>
      </c>
      <c r="F841" s="16" t="str">
        <f>IFERROR(IF([1]对账明细接口!$F$841=0,"",[1]对账明细接口!$F$841),"")</f>
        <v/>
      </c>
      <c r="G841" s="16" t="str">
        <f>IFERROR(IF([1]对账明细接口!$G$841=0,"",[1]对账明细接口!$G$841),"")</f>
        <v/>
      </c>
      <c r="H841" s="17" t="str">
        <f>IFERROR(IF([1]对账明细接口!$H$841=0,"",[1]对账明细接口!$H$841),"")</f>
        <v/>
      </c>
      <c r="I841" s="16" t="str">
        <f>IFERROR(IF([1]对账明细接口!$I$841=0,"",[1]对账明细接口!$I$841),"")</f>
        <v/>
      </c>
      <c r="J841" s="18" t="str">
        <f>IFERROR(IF([1]对账明细接口!$J$841=0,"",[1]对账明细接口!$J$841),"")</f>
        <v/>
      </c>
      <c r="K841" s="18" t="str">
        <f>IFERROR(IF([1]对账明细接口!$K$841=0,"",[1]对账明细接口!$K$841),"")</f>
        <v/>
      </c>
      <c r="L841" s="16" t="str">
        <f>IFERROR(IF([1]对账明细接口!$L$841=0,"",[1]对账明细接口!$L$841),"")</f>
        <v/>
      </c>
      <c r="M841" s="16" t="str">
        <f>IFERROR(IF([1]对账明细接口!$M$841=0,"",[1]对账明细接口!$M$841),"")</f>
        <v/>
      </c>
      <c r="N841" s="19">
        <f t="shared" si="26"/>
        <v>0</v>
      </c>
      <c r="O841" s="19">
        <f t="shared" si="27"/>
        <v>420</v>
      </c>
      <c r="S841" s="20" t="str">
        <f>IFERROR(IF([1]对账明细接口!$N841=0,"",[1]对账明细接口!$N841),"")</f>
        <v/>
      </c>
      <c r="T841" s="21" t="str">
        <f>IFERROR(IF([1]对账明细接口!$O841=0,"",[1]对账明细接口!$O841),"")</f>
        <v/>
      </c>
      <c r="U841" s="21" t="str">
        <f>IFERROR(IF([1]对账明细接口!$P841=0,"",[1]对账明细接口!$P841),"")</f>
        <v/>
      </c>
      <c r="V841" s="21" t="str">
        <f>IFERROR(IF([1]对账明细接口!$Q841=0,"",[1]对账明细接口!$Q841),"")</f>
        <v/>
      </c>
      <c r="W841" s="20" t="str">
        <f>IFERROR(IF([1]对账明细接口!$R841=0,"",[1]对账明细接口!$R841),"")</f>
        <v/>
      </c>
      <c r="X841" s="20" t="str">
        <f>IFERROR(IF([1]对账明细接口!$S841=0,"",[1]对账明细接口!$S841),"")</f>
        <v/>
      </c>
      <c r="Y841" s="20" t="str">
        <f>IFERROR(IF([1]对账明细接口!$T841=0,"",[1]对账明细接口!$T841),"")</f>
        <v/>
      </c>
      <c r="Z841" s="24" t="str">
        <f>IFERROR(IF([1]对账明细接口!$U841=0,"",[1]对账明细接口!$U841),"")</f>
        <v/>
      </c>
      <c r="AA841" s="24" t="str">
        <f>IFERROR(IF([1]对账明细接口!$V841=0,"",[1]对账明细接口!$V841),"")</f>
        <v/>
      </c>
      <c r="AB841" s="20" t="str">
        <f>IFERROR(IF([1]对账明细接口!$W841=0,"",[1]对账明细接口!$W841),"")</f>
        <v/>
      </c>
      <c r="AC841" s="7" t="str">
        <f>IFERROR(IF([1]对账明细接口!$X841=0,"",[1]对账明细接口!$X841),"")</f>
        <v/>
      </c>
      <c r="AD841" s="7" t="str">
        <f>IFERROR(IF([1]对账明细接口!$Y841=0,"",[1]对账明细接口!$Y841),"")</f>
        <v/>
      </c>
      <c r="AE841" s="7" t="str">
        <f>IFERROR(IF([1]对账明细接口!$AA841=0,"",[1]对账明细接口!$AA841),"")</f>
        <v/>
      </c>
      <c r="AF841" s="7" t="str">
        <f>IFERROR(IF([1]对账明细接口!$AB841=0,"",[1]对账明细接口!$AB841),"")</f>
        <v/>
      </c>
      <c r="AG841" s="7" t="str">
        <f>IFERROR(IF([1]对账明细接口!$AC841=0,"",[1]对账明细接口!$AC841),"")</f>
        <v/>
      </c>
      <c r="AH841" s="7" t="str">
        <f>IFERROR(IF([1]对账明细接口!$AD841=0,"",[1]对账明细接口!$AD841),"")</f>
        <v/>
      </c>
      <c r="AI841" s="7" t="str">
        <f>IFERROR(IF([1]对账明细接口!$AE841=0,"",[1]对账明细接口!$AE841),"")</f>
        <v/>
      </c>
      <c r="AJ841" s="7" t="str">
        <f>IFERROR(IF([1]对账明细接口!$AF841=0,"",[1]对账明细接口!$AF841),"")</f>
        <v/>
      </c>
    </row>
    <row r="842" ht="14.25" customHeight="1" spans="1:36">
      <c r="A842" s="14">
        <v>842</v>
      </c>
      <c r="B842" s="15" t="str">
        <f>IFERROR(IF([1]对账明细接口!$B$842=0,"",[1]对账明细接口!$B$842),"")</f>
        <v/>
      </c>
      <c r="C842" s="16" t="str">
        <f>IFERROR(IF([1]对账明细接口!$C$842=0,"",[1]对账明细接口!$C$842),"")</f>
        <v/>
      </c>
      <c r="D842" s="16" t="str">
        <f>IFERROR(IF([1]对账明细接口!$D$842=0,"",[1]对账明细接口!$D$842),"")</f>
        <v/>
      </c>
      <c r="E842" s="16" t="str">
        <f>IFERROR(IF([1]对账明细接口!$E$842=0,"",[1]对账明细接口!$E$842),"")</f>
        <v/>
      </c>
      <c r="F842" s="16" t="str">
        <f>IFERROR(IF([1]对账明细接口!$F$842=0,"",[1]对账明细接口!$F$842),"")</f>
        <v/>
      </c>
      <c r="G842" s="16" t="str">
        <f>IFERROR(IF([1]对账明细接口!$G$842=0,"",[1]对账明细接口!$G$842),"")</f>
        <v/>
      </c>
      <c r="H842" s="17" t="str">
        <f>IFERROR(IF([1]对账明细接口!$H$842=0,"",[1]对账明细接口!$H$842),"")</f>
        <v/>
      </c>
      <c r="I842" s="16" t="str">
        <f>IFERROR(IF([1]对账明细接口!$I$842=0,"",[1]对账明细接口!$I$842),"")</f>
        <v/>
      </c>
      <c r="J842" s="18" t="str">
        <f>IFERROR(IF([1]对账明细接口!$J$842=0,"",[1]对账明细接口!$J$842),"")</f>
        <v/>
      </c>
      <c r="K842" s="18" t="str">
        <f>IFERROR(IF([1]对账明细接口!$K$842=0,"",[1]对账明细接口!$K$842),"")</f>
        <v/>
      </c>
      <c r="L842" s="16" t="str">
        <f>IFERROR(IF([1]对账明细接口!$L$842=0,"",[1]对账明细接口!$L$842),"")</f>
        <v/>
      </c>
      <c r="M842" s="16" t="str">
        <f>IFERROR(IF([1]对账明细接口!$M$842=0,"",[1]对账明细接口!$M$842),"")</f>
        <v/>
      </c>
      <c r="N842" s="19">
        <f t="shared" si="26"/>
        <v>0</v>
      </c>
      <c r="O842" s="19">
        <f t="shared" si="27"/>
        <v>420</v>
      </c>
      <c r="S842" s="20" t="str">
        <f>IFERROR(IF([1]对账明细接口!$N842=0,"",[1]对账明细接口!$N842),"")</f>
        <v/>
      </c>
      <c r="T842" s="21" t="str">
        <f>IFERROR(IF([1]对账明细接口!$O842=0,"",[1]对账明细接口!$O842),"")</f>
        <v/>
      </c>
      <c r="U842" s="21" t="str">
        <f>IFERROR(IF([1]对账明细接口!$P842=0,"",[1]对账明细接口!$P842),"")</f>
        <v/>
      </c>
      <c r="V842" s="21" t="str">
        <f>IFERROR(IF([1]对账明细接口!$Q842=0,"",[1]对账明细接口!$Q842),"")</f>
        <v/>
      </c>
      <c r="W842" s="20" t="str">
        <f>IFERROR(IF([1]对账明细接口!$R842=0,"",[1]对账明细接口!$R842),"")</f>
        <v/>
      </c>
      <c r="X842" s="20" t="str">
        <f>IFERROR(IF([1]对账明细接口!$S842=0,"",[1]对账明细接口!$S842),"")</f>
        <v/>
      </c>
      <c r="Y842" s="20" t="str">
        <f>IFERROR(IF([1]对账明细接口!$T842=0,"",[1]对账明细接口!$T842),"")</f>
        <v/>
      </c>
      <c r="Z842" s="24" t="str">
        <f>IFERROR(IF([1]对账明细接口!$U842=0,"",[1]对账明细接口!$U842),"")</f>
        <v/>
      </c>
      <c r="AA842" s="24" t="str">
        <f>IFERROR(IF([1]对账明细接口!$V842=0,"",[1]对账明细接口!$V842),"")</f>
        <v/>
      </c>
      <c r="AB842" s="20" t="str">
        <f>IFERROR(IF([1]对账明细接口!$W842=0,"",[1]对账明细接口!$W842),"")</f>
        <v/>
      </c>
      <c r="AC842" s="7" t="str">
        <f>IFERROR(IF([1]对账明细接口!$X842=0,"",[1]对账明细接口!$X842),"")</f>
        <v/>
      </c>
      <c r="AD842" s="7" t="str">
        <f>IFERROR(IF([1]对账明细接口!$Y842=0,"",[1]对账明细接口!$Y842),"")</f>
        <v/>
      </c>
      <c r="AE842" s="7" t="str">
        <f>IFERROR(IF([1]对账明细接口!$AA842=0,"",[1]对账明细接口!$AA842),"")</f>
        <v/>
      </c>
      <c r="AF842" s="7" t="str">
        <f>IFERROR(IF([1]对账明细接口!$AB842=0,"",[1]对账明细接口!$AB842),"")</f>
        <v/>
      </c>
      <c r="AG842" s="7" t="str">
        <f>IFERROR(IF([1]对账明细接口!$AC842=0,"",[1]对账明细接口!$AC842),"")</f>
        <v/>
      </c>
      <c r="AH842" s="7" t="str">
        <f>IFERROR(IF([1]对账明细接口!$AD842=0,"",[1]对账明细接口!$AD842),"")</f>
        <v/>
      </c>
      <c r="AI842" s="7" t="str">
        <f>IFERROR(IF([1]对账明细接口!$AE842=0,"",[1]对账明细接口!$AE842),"")</f>
        <v/>
      </c>
      <c r="AJ842" s="7" t="str">
        <f>IFERROR(IF([1]对账明细接口!$AF842=0,"",[1]对账明细接口!$AF842),"")</f>
        <v/>
      </c>
    </row>
    <row r="843" ht="14.25" customHeight="1" spans="1:36">
      <c r="A843" s="14">
        <v>843</v>
      </c>
      <c r="B843" s="15" t="str">
        <f>IFERROR(IF([1]对账明细接口!$B$843=0,"",[1]对账明细接口!$B$843),"")</f>
        <v/>
      </c>
      <c r="C843" s="16" t="str">
        <f>IFERROR(IF([1]对账明细接口!$C$843=0,"",[1]对账明细接口!$C$843),"")</f>
        <v/>
      </c>
      <c r="D843" s="16" t="str">
        <f>IFERROR(IF([1]对账明细接口!$D$843=0,"",[1]对账明细接口!$D$843),"")</f>
        <v/>
      </c>
      <c r="E843" s="16" t="str">
        <f>IFERROR(IF([1]对账明细接口!$E$843=0,"",[1]对账明细接口!$E$843),"")</f>
        <v/>
      </c>
      <c r="F843" s="16" t="str">
        <f>IFERROR(IF([1]对账明细接口!$F$843=0,"",[1]对账明细接口!$F$843),"")</f>
        <v/>
      </c>
      <c r="G843" s="16" t="str">
        <f>IFERROR(IF([1]对账明细接口!$G$843=0,"",[1]对账明细接口!$G$843),"")</f>
        <v/>
      </c>
      <c r="H843" s="17" t="str">
        <f>IFERROR(IF([1]对账明细接口!$H$843=0,"",[1]对账明细接口!$H$843),"")</f>
        <v/>
      </c>
      <c r="I843" s="16" t="str">
        <f>IFERROR(IF([1]对账明细接口!$I$843=0,"",[1]对账明细接口!$I$843),"")</f>
        <v/>
      </c>
      <c r="J843" s="18" t="str">
        <f>IFERROR(IF([1]对账明细接口!$J$843=0,"",[1]对账明细接口!$J$843),"")</f>
        <v/>
      </c>
      <c r="K843" s="18" t="str">
        <f>IFERROR(IF([1]对账明细接口!$K$843=0,"",[1]对账明细接口!$K$843),"")</f>
        <v/>
      </c>
      <c r="L843" s="16" t="str">
        <f>IFERROR(IF([1]对账明细接口!$L$843=0,"",[1]对账明细接口!$L$843),"")</f>
        <v/>
      </c>
      <c r="M843" s="16" t="str">
        <f>IFERROR(IF([1]对账明细接口!$M$843=0,"",[1]对账明细接口!$M$843),"")</f>
        <v/>
      </c>
      <c r="N843" s="19">
        <f t="shared" si="26"/>
        <v>0</v>
      </c>
      <c r="O843" s="19">
        <f t="shared" si="27"/>
        <v>420</v>
      </c>
      <c r="S843" s="20" t="str">
        <f>IFERROR(IF([1]对账明细接口!$N843=0,"",[1]对账明细接口!$N843),"")</f>
        <v/>
      </c>
      <c r="T843" s="21" t="str">
        <f>IFERROR(IF([1]对账明细接口!$O843=0,"",[1]对账明细接口!$O843),"")</f>
        <v/>
      </c>
      <c r="U843" s="21" t="str">
        <f>IFERROR(IF([1]对账明细接口!$P843=0,"",[1]对账明细接口!$P843),"")</f>
        <v/>
      </c>
      <c r="V843" s="21" t="str">
        <f>IFERROR(IF([1]对账明细接口!$Q843=0,"",[1]对账明细接口!$Q843),"")</f>
        <v/>
      </c>
      <c r="W843" s="20" t="str">
        <f>IFERROR(IF([1]对账明细接口!$R843=0,"",[1]对账明细接口!$R843),"")</f>
        <v/>
      </c>
      <c r="X843" s="20" t="str">
        <f>IFERROR(IF([1]对账明细接口!$S843=0,"",[1]对账明细接口!$S843),"")</f>
        <v/>
      </c>
      <c r="Y843" s="20" t="str">
        <f>IFERROR(IF([1]对账明细接口!$T843=0,"",[1]对账明细接口!$T843),"")</f>
        <v/>
      </c>
      <c r="Z843" s="24" t="str">
        <f>IFERROR(IF([1]对账明细接口!$U843=0,"",[1]对账明细接口!$U843),"")</f>
        <v/>
      </c>
      <c r="AA843" s="24" t="str">
        <f>IFERROR(IF([1]对账明细接口!$V843=0,"",[1]对账明细接口!$V843),"")</f>
        <v/>
      </c>
      <c r="AB843" s="20" t="str">
        <f>IFERROR(IF([1]对账明细接口!$W843=0,"",[1]对账明细接口!$W843),"")</f>
        <v/>
      </c>
      <c r="AC843" s="7" t="str">
        <f>IFERROR(IF([1]对账明细接口!$X843=0,"",[1]对账明细接口!$X843),"")</f>
        <v/>
      </c>
      <c r="AD843" s="7" t="str">
        <f>IFERROR(IF([1]对账明细接口!$Y843=0,"",[1]对账明细接口!$Y843),"")</f>
        <v/>
      </c>
      <c r="AE843" s="7" t="str">
        <f>IFERROR(IF([1]对账明细接口!$AA843=0,"",[1]对账明细接口!$AA843),"")</f>
        <v/>
      </c>
      <c r="AF843" s="7" t="str">
        <f>IFERROR(IF([1]对账明细接口!$AB843=0,"",[1]对账明细接口!$AB843),"")</f>
        <v/>
      </c>
      <c r="AG843" s="7" t="str">
        <f>IFERROR(IF([1]对账明细接口!$AC843=0,"",[1]对账明细接口!$AC843),"")</f>
        <v/>
      </c>
      <c r="AH843" s="7" t="str">
        <f>IFERROR(IF([1]对账明细接口!$AD843=0,"",[1]对账明细接口!$AD843),"")</f>
        <v/>
      </c>
      <c r="AI843" s="7" t="str">
        <f>IFERROR(IF([1]对账明细接口!$AE843=0,"",[1]对账明细接口!$AE843),"")</f>
        <v/>
      </c>
      <c r="AJ843" s="7" t="str">
        <f>IFERROR(IF([1]对账明细接口!$AF843=0,"",[1]对账明细接口!$AF843),"")</f>
        <v/>
      </c>
    </row>
    <row r="844" ht="14.25" customHeight="1" spans="1:36">
      <c r="A844" s="14">
        <v>844</v>
      </c>
      <c r="B844" s="15" t="str">
        <f>IFERROR(IF([1]对账明细接口!$B$844=0,"",[1]对账明细接口!$B$844),"")</f>
        <v/>
      </c>
      <c r="C844" s="16" t="str">
        <f>IFERROR(IF([1]对账明细接口!$C$844=0,"",[1]对账明细接口!$C$844),"")</f>
        <v/>
      </c>
      <c r="D844" s="16" t="str">
        <f>IFERROR(IF([1]对账明细接口!$D$844=0,"",[1]对账明细接口!$D$844),"")</f>
        <v/>
      </c>
      <c r="E844" s="16" t="str">
        <f>IFERROR(IF([1]对账明细接口!$E$844=0,"",[1]对账明细接口!$E$844),"")</f>
        <v/>
      </c>
      <c r="F844" s="16" t="str">
        <f>IFERROR(IF([1]对账明细接口!$F$844=0,"",[1]对账明细接口!$F$844),"")</f>
        <v/>
      </c>
      <c r="G844" s="16" t="str">
        <f>IFERROR(IF([1]对账明细接口!$G$844=0,"",[1]对账明细接口!$G$844),"")</f>
        <v/>
      </c>
      <c r="H844" s="17" t="str">
        <f>IFERROR(IF([1]对账明细接口!$H$844=0,"",[1]对账明细接口!$H$844),"")</f>
        <v/>
      </c>
      <c r="I844" s="16" t="str">
        <f>IFERROR(IF([1]对账明细接口!$I$844=0,"",[1]对账明细接口!$I$844),"")</f>
        <v/>
      </c>
      <c r="J844" s="18" t="str">
        <f>IFERROR(IF([1]对账明细接口!$J$844=0,"",[1]对账明细接口!$J$844),"")</f>
        <v/>
      </c>
      <c r="K844" s="18" t="str">
        <f>IFERROR(IF([1]对账明细接口!$K$844=0,"",[1]对账明细接口!$K$844),"")</f>
        <v/>
      </c>
      <c r="L844" s="16" t="str">
        <f>IFERROR(IF([1]对账明细接口!$L$844=0,"",[1]对账明细接口!$L$844),"")</f>
        <v/>
      </c>
      <c r="M844" s="16" t="str">
        <f>IFERROR(IF([1]对账明细接口!$M$844=0,"",[1]对账明细接口!$M$844),"")</f>
        <v/>
      </c>
      <c r="N844" s="19">
        <f t="shared" si="26"/>
        <v>0</v>
      </c>
      <c r="O844" s="19">
        <f t="shared" si="27"/>
        <v>420</v>
      </c>
      <c r="S844" s="20" t="str">
        <f>IFERROR(IF([1]对账明细接口!$N844=0,"",[1]对账明细接口!$N844),"")</f>
        <v/>
      </c>
      <c r="T844" s="21" t="str">
        <f>IFERROR(IF([1]对账明细接口!$O844=0,"",[1]对账明细接口!$O844),"")</f>
        <v/>
      </c>
      <c r="U844" s="21" t="str">
        <f>IFERROR(IF([1]对账明细接口!$P844=0,"",[1]对账明细接口!$P844),"")</f>
        <v/>
      </c>
      <c r="V844" s="21" t="str">
        <f>IFERROR(IF([1]对账明细接口!$Q844=0,"",[1]对账明细接口!$Q844),"")</f>
        <v/>
      </c>
      <c r="W844" s="20" t="str">
        <f>IFERROR(IF([1]对账明细接口!$R844=0,"",[1]对账明细接口!$R844),"")</f>
        <v/>
      </c>
      <c r="X844" s="20" t="str">
        <f>IFERROR(IF([1]对账明细接口!$S844=0,"",[1]对账明细接口!$S844),"")</f>
        <v/>
      </c>
      <c r="Y844" s="20" t="str">
        <f>IFERROR(IF([1]对账明细接口!$T844=0,"",[1]对账明细接口!$T844),"")</f>
        <v/>
      </c>
      <c r="Z844" s="24" t="str">
        <f>IFERROR(IF([1]对账明细接口!$U844=0,"",[1]对账明细接口!$U844),"")</f>
        <v/>
      </c>
      <c r="AA844" s="24" t="str">
        <f>IFERROR(IF([1]对账明细接口!$V844=0,"",[1]对账明细接口!$V844),"")</f>
        <v/>
      </c>
      <c r="AB844" s="20" t="str">
        <f>IFERROR(IF([1]对账明细接口!$W844=0,"",[1]对账明细接口!$W844),"")</f>
        <v/>
      </c>
      <c r="AC844" s="7" t="str">
        <f>IFERROR(IF([1]对账明细接口!$X844=0,"",[1]对账明细接口!$X844),"")</f>
        <v/>
      </c>
      <c r="AD844" s="7" t="str">
        <f>IFERROR(IF([1]对账明细接口!$Y844=0,"",[1]对账明细接口!$Y844),"")</f>
        <v/>
      </c>
      <c r="AE844" s="7" t="str">
        <f>IFERROR(IF([1]对账明细接口!$AA844=0,"",[1]对账明细接口!$AA844),"")</f>
        <v/>
      </c>
      <c r="AF844" s="7" t="str">
        <f>IFERROR(IF([1]对账明细接口!$AB844=0,"",[1]对账明细接口!$AB844),"")</f>
        <v/>
      </c>
      <c r="AG844" s="7" t="str">
        <f>IFERROR(IF([1]对账明细接口!$AC844=0,"",[1]对账明细接口!$AC844),"")</f>
        <v/>
      </c>
      <c r="AH844" s="7" t="str">
        <f>IFERROR(IF([1]对账明细接口!$AD844=0,"",[1]对账明细接口!$AD844),"")</f>
        <v/>
      </c>
      <c r="AI844" s="7" t="str">
        <f>IFERROR(IF([1]对账明细接口!$AE844=0,"",[1]对账明细接口!$AE844),"")</f>
        <v/>
      </c>
      <c r="AJ844" s="7" t="str">
        <f>IFERROR(IF([1]对账明细接口!$AF844=0,"",[1]对账明细接口!$AF844),"")</f>
        <v/>
      </c>
    </row>
    <row r="845" ht="14.25" customHeight="1" spans="1:36">
      <c r="A845" s="14">
        <v>845</v>
      </c>
      <c r="B845" s="15" t="str">
        <f>IFERROR(IF([1]对账明细接口!$B$845=0,"",[1]对账明细接口!$B$845),"")</f>
        <v/>
      </c>
      <c r="C845" s="16" t="str">
        <f>IFERROR(IF([1]对账明细接口!$C$845=0,"",[1]对账明细接口!$C$845),"")</f>
        <v/>
      </c>
      <c r="D845" s="16" t="str">
        <f>IFERROR(IF([1]对账明细接口!$D$845=0,"",[1]对账明细接口!$D$845),"")</f>
        <v/>
      </c>
      <c r="E845" s="16" t="str">
        <f>IFERROR(IF([1]对账明细接口!$E$845=0,"",[1]对账明细接口!$E$845),"")</f>
        <v/>
      </c>
      <c r="F845" s="16" t="str">
        <f>IFERROR(IF([1]对账明细接口!$F$845=0,"",[1]对账明细接口!$F$845),"")</f>
        <v/>
      </c>
      <c r="G845" s="16" t="str">
        <f>IFERROR(IF([1]对账明细接口!$G$845=0,"",[1]对账明细接口!$G$845),"")</f>
        <v/>
      </c>
      <c r="H845" s="17" t="str">
        <f>IFERROR(IF([1]对账明细接口!$H$845=0,"",[1]对账明细接口!$H$845),"")</f>
        <v/>
      </c>
      <c r="I845" s="16" t="str">
        <f>IFERROR(IF([1]对账明细接口!$I$845=0,"",[1]对账明细接口!$I$845),"")</f>
        <v/>
      </c>
      <c r="J845" s="18" t="str">
        <f>IFERROR(IF([1]对账明细接口!$J$845=0,"",[1]对账明细接口!$J$845),"")</f>
        <v/>
      </c>
      <c r="K845" s="18" t="str">
        <f>IFERROR(IF([1]对账明细接口!$K$845=0,"",[1]对账明细接口!$K$845),"")</f>
        <v/>
      </c>
      <c r="L845" s="16" t="str">
        <f>IFERROR(IF([1]对账明细接口!$L$845=0,"",[1]对账明细接口!$L$845),"")</f>
        <v/>
      </c>
      <c r="M845" s="16" t="str">
        <f>IFERROR(IF([1]对账明细接口!$M$845=0,"",[1]对账明细接口!$M$845),"")</f>
        <v/>
      </c>
      <c r="N845" s="19">
        <f t="shared" si="26"/>
        <v>0</v>
      </c>
      <c r="O845" s="19">
        <f t="shared" si="27"/>
        <v>420</v>
      </c>
      <c r="S845" s="20" t="str">
        <f>IFERROR(IF([1]对账明细接口!$N845=0,"",[1]对账明细接口!$N845),"")</f>
        <v/>
      </c>
      <c r="T845" s="21" t="str">
        <f>IFERROR(IF([1]对账明细接口!$O845=0,"",[1]对账明细接口!$O845),"")</f>
        <v/>
      </c>
      <c r="U845" s="21" t="str">
        <f>IFERROR(IF([1]对账明细接口!$P845=0,"",[1]对账明细接口!$P845),"")</f>
        <v/>
      </c>
      <c r="V845" s="21" t="str">
        <f>IFERROR(IF([1]对账明细接口!$Q845=0,"",[1]对账明细接口!$Q845),"")</f>
        <v/>
      </c>
      <c r="W845" s="20" t="str">
        <f>IFERROR(IF([1]对账明细接口!$R845=0,"",[1]对账明细接口!$R845),"")</f>
        <v/>
      </c>
      <c r="X845" s="20" t="str">
        <f>IFERROR(IF([1]对账明细接口!$S845=0,"",[1]对账明细接口!$S845),"")</f>
        <v/>
      </c>
      <c r="Y845" s="20" t="str">
        <f>IFERROR(IF([1]对账明细接口!$T845=0,"",[1]对账明细接口!$T845),"")</f>
        <v/>
      </c>
      <c r="Z845" s="24" t="str">
        <f>IFERROR(IF([1]对账明细接口!$U845=0,"",[1]对账明细接口!$U845),"")</f>
        <v/>
      </c>
      <c r="AA845" s="24" t="str">
        <f>IFERROR(IF([1]对账明细接口!$V845=0,"",[1]对账明细接口!$V845),"")</f>
        <v/>
      </c>
      <c r="AB845" s="20" t="str">
        <f>IFERROR(IF([1]对账明细接口!$W845=0,"",[1]对账明细接口!$W845),"")</f>
        <v/>
      </c>
      <c r="AC845" s="7" t="str">
        <f>IFERROR(IF([1]对账明细接口!$X845=0,"",[1]对账明细接口!$X845),"")</f>
        <v/>
      </c>
      <c r="AD845" s="7" t="str">
        <f>IFERROR(IF([1]对账明细接口!$Y845=0,"",[1]对账明细接口!$Y845),"")</f>
        <v/>
      </c>
      <c r="AE845" s="7" t="str">
        <f>IFERROR(IF([1]对账明细接口!$AA845=0,"",[1]对账明细接口!$AA845),"")</f>
        <v/>
      </c>
      <c r="AF845" s="7" t="str">
        <f>IFERROR(IF([1]对账明细接口!$AB845=0,"",[1]对账明细接口!$AB845),"")</f>
        <v/>
      </c>
      <c r="AG845" s="7" t="str">
        <f>IFERROR(IF([1]对账明细接口!$AC845=0,"",[1]对账明细接口!$AC845),"")</f>
        <v/>
      </c>
      <c r="AH845" s="7" t="str">
        <f>IFERROR(IF([1]对账明细接口!$AD845=0,"",[1]对账明细接口!$AD845),"")</f>
        <v/>
      </c>
      <c r="AI845" s="7" t="str">
        <f>IFERROR(IF([1]对账明细接口!$AE845=0,"",[1]对账明细接口!$AE845),"")</f>
        <v/>
      </c>
      <c r="AJ845" s="7" t="str">
        <f>IFERROR(IF([1]对账明细接口!$AF845=0,"",[1]对账明细接口!$AF845),"")</f>
        <v/>
      </c>
    </row>
    <row r="846" ht="14.25" customHeight="1" spans="1:36">
      <c r="A846" s="14">
        <v>846</v>
      </c>
      <c r="B846" s="15" t="str">
        <f>IFERROR(IF([1]对账明细接口!$B$846=0,"",[1]对账明细接口!$B$846),"")</f>
        <v/>
      </c>
      <c r="C846" s="16" t="str">
        <f>IFERROR(IF([1]对账明细接口!$C$846=0,"",[1]对账明细接口!$C$846),"")</f>
        <v/>
      </c>
      <c r="D846" s="16" t="str">
        <f>IFERROR(IF([1]对账明细接口!$D$846=0,"",[1]对账明细接口!$D$846),"")</f>
        <v/>
      </c>
      <c r="E846" s="16" t="str">
        <f>IFERROR(IF([1]对账明细接口!$E$846=0,"",[1]对账明细接口!$E$846),"")</f>
        <v/>
      </c>
      <c r="F846" s="16" t="str">
        <f>IFERROR(IF([1]对账明细接口!$F$846=0,"",[1]对账明细接口!$F$846),"")</f>
        <v/>
      </c>
      <c r="G846" s="16" t="str">
        <f>IFERROR(IF([1]对账明细接口!$G$846=0,"",[1]对账明细接口!$G$846),"")</f>
        <v/>
      </c>
      <c r="H846" s="17" t="str">
        <f>IFERROR(IF([1]对账明细接口!$H$846=0,"",[1]对账明细接口!$H$846),"")</f>
        <v/>
      </c>
      <c r="I846" s="16" t="str">
        <f>IFERROR(IF([1]对账明细接口!$I$846=0,"",[1]对账明细接口!$I$846),"")</f>
        <v/>
      </c>
      <c r="J846" s="18" t="str">
        <f>IFERROR(IF([1]对账明细接口!$J$846=0,"",[1]对账明细接口!$J$846),"")</f>
        <v/>
      </c>
      <c r="K846" s="18" t="str">
        <f>IFERROR(IF([1]对账明细接口!$K$846=0,"",[1]对账明细接口!$K$846),"")</f>
        <v/>
      </c>
      <c r="L846" s="16" t="str">
        <f>IFERROR(IF([1]对账明细接口!$L$846=0,"",[1]对账明细接口!$L$846),"")</f>
        <v/>
      </c>
      <c r="M846" s="16" t="str">
        <f>IFERROR(IF([1]对账明细接口!$M$846=0,"",[1]对账明细接口!$M$846),"")</f>
        <v/>
      </c>
      <c r="N846" s="19">
        <f t="shared" si="26"/>
        <v>0</v>
      </c>
      <c r="O846" s="19">
        <f t="shared" si="27"/>
        <v>420</v>
      </c>
      <c r="S846" s="20" t="str">
        <f>IFERROR(IF([1]对账明细接口!$N846=0,"",[1]对账明细接口!$N846),"")</f>
        <v/>
      </c>
      <c r="T846" s="21" t="str">
        <f>IFERROR(IF([1]对账明细接口!$O846=0,"",[1]对账明细接口!$O846),"")</f>
        <v/>
      </c>
      <c r="U846" s="21" t="str">
        <f>IFERROR(IF([1]对账明细接口!$P846=0,"",[1]对账明细接口!$P846),"")</f>
        <v/>
      </c>
      <c r="V846" s="21" t="str">
        <f>IFERROR(IF([1]对账明细接口!$Q846=0,"",[1]对账明细接口!$Q846),"")</f>
        <v/>
      </c>
      <c r="W846" s="20" t="str">
        <f>IFERROR(IF([1]对账明细接口!$R846=0,"",[1]对账明细接口!$R846),"")</f>
        <v/>
      </c>
      <c r="X846" s="20" t="str">
        <f>IFERROR(IF([1]对账明细接口!$S846=0,"",[1]对账明细接口!$S846),"")</f>
        <v/>
      </c>
      <c r="Y846" s="20" t="str">
        <f>IFERROR(IF([1]对账明细接口!$T846=0,"",[1]对账明细接口!$T846),"")</f>
        <v/>
      </c>
      <c r="Z846" s="24" t="str">
        <f>IFERROR(IF([1]对账明细接口!$U846=0,"",[1]对账明细接口!$U846),"")</f>
        <v/>
      </c>
      <c r="AA846" s="24" t="str">
        <f>IFERROR(IF([1]对账明细接口!$V846=0,"",[1]对账明细接口!$V846),"")</f>
        <v/>
      </c>
      <c r="AB846" s="20" t="str">
        <f>IFERROR(IF([1]对账明细接口!$W846=0,"",[1]对账明细接口!$W846),"")</f>
        <v/>
      </c>
      <c r="AC846" s="7" t="str">
        <f>IFERROR(IF([1]对账明细接口!$X846=0,"",[1]对账明细接口!$X846),"")</f>
        <v/>
      </c>
      <c r="AD846" s="7" t="str">
        <f>IFERROR(IF([1]对账明细接口!$Y846=0,"",[1]对账明细接口!$Y846),"")</f>
        <v/>
      </c>
      <c r="AE846" s="7" t="str">
        <f>IFERROR(IF([1]对账明细接口!$AA846=0,"",[1]对账明细接口!$AA846),"")</f>
        <v/>
      </c>
      <c r="AF846" s="7" t="str">
        <f>IFERROR(IF([1]对账明细接口!$AB846=0,"",[1]对账明细接口!$AB846),"")</f>
        <v/>
      </c>
      <c r="AG846" s="7" t="str">
        <f>IFERROR(IF([1]对账明细接口!$AC846=0,"",[1]对账明细接口!$AC846),"")</f>
        <v/>
      </c>
      <c r="AH846" s="7" t="str">
        <f>IFERROR(IF([1]对账明细接口!$AD846=0,"",[1]对账明细接口!$AD846),"")</f>
        <v/>
      </c>
      <c r="AI846" s="7" t="str">
        <f>IFERROR(IF([1]对账明细接口!$AE846=0,"",[1]对账明细接口!$AE846),"")</f>
        <v/>
      </c>
      <c r="AJ846" s="7" t="str">
        <f>IFERROR(IF([1]对账明细接口!$AF846=0,"",[1]对账明细接口!$AF846),"")</f>
        <v/>
      </c>
    </row>
    <row r="847" ht="14.25" customHeight="1" spans="1:36">
      <c r="A847" s="14">
        <v>847</v>
      </c>
      <c r="B847" s="15" t="str">
        <f>IFERROR(IF([1]对账明细接口!$B$847=0,"",[1]对账明细接口!$B$847),"")</f>
        <v/>
      </c>
      <c r="C847" s="16" t="str">
        <f>IFERROR(IF([1]对账明细接口!$C$847=0,"",[1]对账明细接口!$C$847),"")</f>
        <v/>
      </c>
      <c r="D847" s="16" t="str">
        <f>IFERROR(IF([1]对账明细接口!$D$847=0,"",[1]对账明细接口!$D$847),"")</f>
        <v/>
      </c>
      <c r="E847" s="16" t="str">
        <f>IFERROR(IF([1]对账明细接口!$E$847=0,"",[1]对账明细接口!$E$847),"")</f>
        <v/>
      </c>
      <c r="F847" s="16" t="str">
        <f>IFERROR(IF([1]对账明细接口!$F$847=0,"",[1]对账明细接口!$F$847),"")</f>
        <v/>
      </c>
      <c r="G847" s="16" t="str">
        <f>IFERROR(IF([1]对账明细接口!$G$847=0,"",[1]对账明细接口!$G$847),"")</f>
        <v/>
      </c>
      <c r="H847" s="17" t="str">
        <f>IFERROR(IF([1]对账明细接口!$H$847=0,"",[1]对账明细接口!$H$847),"")</f>
        <v/>
      </c>
      <c r="I847" s="16" t="str">
        <f>IFERROR(IF([1]对账明细接口!$I$847=0,"",[1]对账明细接口!$I$847),"")</f>
        <v/>
      </c>
      <c r="J847" s="18" t="str">
        <f>IFERROR(IF([1]对账明细接口!$J$847=0,"",[1]对账明细接口!$J$847),"")</f>
        <v/>
      </c>
      <c r="K847" s="18" t="str">
        <f>IFERROR(IF([1]对账明细接口!$K$847=0,"",[1]对账明细接口!$K$847),"")</f>
        <v/>
      </c>
      <c r="L847" s="16" t="str">
        <f>IFERROR(IF([1]对账明细接口!$L$847=0,"",[1]对账明细接口!$L$847),"")</f>
        <v/>
      </c>
      <c r="M847" s="16" t="str">
        <f>IFERROR(IF([1]对账明细接口!$M$847=0,"",[1]对账明细接口!$M$847),"")</f>
        <v/>
      </c>
      <c r="N847" s="19">
        <f t="shared" si="26"/>
        <v>0</v>
      </c>
      <c r="O847" s="19">
        <f t="shared" si="27"/>
        <v>420</v>
      </c>
      <c r="S847" s="20" t="str">
        <f>IFERROR(IF([1]对账明细接口!$N847=0,"",[1]对账明细接口!$N847),"")</f>
        <v/>
      </c>
      <c r="T847" s="21" t="str">
        <f>IFERROR(IF([1]对账明细接口!$O847=0,"",[1]对账明细接口!$O847),"")</f>
        <v/>
      </c>
      <c r="U847" s="21" t="str">
        <f>IFERROR(IF([1]对账明细接口!$P847=0,"",[1]对账明细接口!$P847),"")</f>
        <v/>
      </c>
      <c r="V847" s="21" t="str">
        <f>IFERROR(IF([1]对账明细接口!$Q847=0,"",[1]对账明细接口!$Q847),"")</f>
        <v/>
      </c>
      <c r="W847" s="20" t="str">
        <f>IFERROR(IF([1]对账明细接口!$R847=0,"",[1]对账明细接口!$R847),"")</f>
        <v/>
      </c>
      <c r="X847" s="20" t="str">
        <f>IFERROR(IF([1]对账明细接口!$S847=0,"",[1]对账明细接口!$S847),"")</f>
        <v/>
      </c>
      <c r="Y847" s="20" t="str">
        <f>IFERROR(IF([1]对账明细接口!$T847=0,"",[1]对账明细接口!$T847),"")</f>
        <v/>
      </c>
      <c r="Z847" s="24" t="str">
        <f>IFERROR(IF([1]对账明细接口!$U847=0,"",[1]对账明细接口!$U847),"")</f>
        <v/>
      </c>
      <c r="AA847" s="24" t="str">
        <f>IFERROR(IF([1]对账明细接口!$V847=0,"",[1]对账明细接口!$V847),"")</f>
        <v/>
      </c>
      <c r="AB847" s="20" t="str">
        <f>IFERROR(IF([1]对账明细接口!$W847=0,"",[1]对账明细接口!$W847),"")</f>
        <v/>
      </c>
      <c r="AC847" s="7" t="str">
        <f>IFERROR(IF([1]对账明细接口!$X847=0,"",[1]对账明细接口!$X847),"")</f>
        <v/>
      </c>
      <c r="AD847" s="7" t="str">
        <f>IFERROR(IF([1]对账明细接口!$Y847=0,"",[1]对账明细接口!$Y847),"")</f>
        <v/>
      </c>
      <c r="AE847" s="7" t="str">
        <f>IFERROR(IF([1]对账明细接口!$AA847=0,"",[1]对账明细接口!$AA847),"")</f>
        <v/>
      </c>
      <c r="AF847" s="7" t="str">
        <f>IFERROR(IF([1]对账明细接口!$AB847=0,"",[1]对账明细接口!$AB847),"")</f>
        <v/>
      </c>
      <c r="AG847" s="7" t="str">
        <f>IFERROR(IF([1]对账明细接口!$AC847=0,"",[1]对账明细接口!$AC847),"")</f>
        <v/>
      </c>
      <c r="AH847" s="7" t="str">
        <f>IFERROR(IF([1]对账明细接口!$AD847=0,"",[1]对账明细接口!$AD847),"")</f>
        <v/>
      </c>
      <c r="AI847" s="7" t="str">
        <f>IFERROR(IF([1]对账明细接口!$AE847=0,"",[1]对账明细接口!$AE847),"")</f>
        <v/>
      </c>
      <c r="AJ847" s="7" t="str">
        <f>IFERROR(IF([1]对账明细接口!$AF847=0,"",[1]对账明细接口!$AF847),"")</f>
        <v/>
      </c>
    </row>
    <row r="848" ht="14.25" customHeight="1" spans="1:36">
      <c r="A848" s="14">
        <v>848</v>
      </c>
      <c r="B848" s="15" t="str">
        <f>IFERROR(IF([1]对账明细接口!$B$848=0,"",[1]对账明细接口!$B$848),"")</f>
        <v/>
      </c>
      <c r="C848" s="16" t="str">
        <f>IFERROR(IF([1]对账明细接口!$C$848=0,"",[1]对账明细接口!$C$848),"")</f>
        <v/>
      </c>
      <c r="D848" s="16" t="str">
        <f>IFERROR(IF([1]对账明细接口!$D$848=0,"",[1]对账明细接口!$D$848),"")</f>
        <v/>
      </c>
      <c r="E848" s="16" t="str">
        <f>IFERROR(IF([1]对账明细接口!$E$848=0,"",[1]对账明细接口!$E$848),"")</f>
        <v/>
      </c>
      <c r="F848" s="16" t="str">
        <f>IFERROR(IF([1]对账明细接口!$F$848=0,"",[1]对账明细接口!$F$848),"")</f>
        <v/>
      </c>
      <c r="G848" s="16" t="str">
        <f>IFERROR(IF([1]对账明细接口!$G$848=0,"",[1]对账明细接口!$G$848),"")</f>
        <v/>
      </c>
      <c r="H848" s="17" t="str">
        <f>IFERROR(IF([1]对账明细接口!$H$848=0,"",[1]对账明细接口!$H$848),"")</f>
        <v/>
      </c>
      <c r="I848" s="16" t="str">
        <f>IFERROR(IF([1]对账明细接口!$I$848=0,"",[1]对账明细接口!$I$848),"")</f>
        <v/>
      </c>
      <c r="J848" s="18" t="str">
        <f>IFERROR(IF([1]对账明细接口!$J$848=0,"",[1]对账明细接口!$J$848),"")</f>
        <v/>
      </c>
      <c r="K848" s="18" t="str">
        <f>IFERROR(IF([1]对账明细接口!$K$848=0,"",[1]对账明细接口!$K$848),"")</f>
        <v/>
      </c>
      <c r="L848" s="16" t="str">
        <f>IFERROR(IF([1]对账明细接口!$L$848=0,"",[1]对账明细接口!$L$848),"")</f>
        <v/>
      </c>
      <c r="M848" s="16" t="str">
        <f>IFERROR(IF([1]对账明细接口!$M$848=0,"",[1]对账明细接口!$M$848),"")</f>
        <v/>
      </c>
      <c r="N848" s="19">
        <f t="shared" si="26"/>
        <v>0</v>
      </c>
      <c r="O848" s="19">
        <f t="shared" si="27"/>
        <v>420</v>
      </c>
      <c r="S848" s="20" t="str">
        <f>IFERROR(IF([1]对账明细接口!$N848=0,"",[1]对账明细接口!$N848),"")</f>
        <v/>
      </c>
      <c r="T848" s="21" t="str">
        <f>IFERROR(IF([1]对账明细接口!$O848=0,"",[1]对账明细接口!$O848),"")</f>
        <v/>
      </c>
      <c r="U848" s="21" t="str">
        <f>IFERROR(IF([1]对账明细接口!$P848=0,"",[1]对账明细接口!$P848),"")</f>
        <v/>
      </c>
      <c r="V848" s="21" t="str">
        <f>IFERROR(IF([1]对账明细接口!$Q848=0,"",[1]对账明细接口!$Q848),"")</f>
        <v/>
      </c>
      <c r="W848" s="20" t="str">
        <f>IFERROR(IF([1]对账明细接口!$R848=0,"",[1]对账明细接口!$R848),"")</f>
        <v/>
      </c>
      <c r="X848" s="20" t="str">
        <f>IFERROR(IF([1]对账明细接口!$S848=0,"",[1]对账明细接口!$S848),"")</f>
        <v/>
      </c>
      <c r="Y848" s="20" t="str">
        <f>IFERROR(IF([1]对账明细接口!$T848=0,"",[1]对账明细接口!$T848),"")</f>
        <v/>
      </c>
      <c r="Z848" s="24" t="str">
        <f>IFERROR(IF([1]对账明细接口!$U848=0,"",[1]对账明细接口!$U848),"")</f>
        <v/>
      </c>
      <c r="AA848" s="24" t="str">
        <f>IFERROR(IF([1]对账明细接口!$V848=0,"",[1]对账明细接口!$V848),"")</f>
        <v/>
      </c>
      <c r="AB848" s="20" t="str">
        <f>IFERROR(IF([1]对账明细接口!$W848=0,"",[1]对账明细接口!$W848),"")</f>
        <v/>
      </c>
      <c r="AC848" s="7" t="str">
        <f>IFERROR(IF([1]对账明细接口!$X848=0,"",[1]对账明细接口!$X848),"")</f>
        <v/>
      </c>
      <c r="AD848" s="7" t="str">
        <f>IFERROR(IF([1]对账明细接口!$Y848=0,"",[1]对账明细接口!$Y848),"")</f>
        <v/>
      </c>
      <c r="AE848" s="7" t="str">
        <f>IFERROR(IF([1]对账明细接口!$AA848=0,"",[1]对账明细接口!$AA848),"")</f>
        <v/>
      </c>
      <c r="AF848" s="7" t="str">
        <f>IFERROR(IF([1]对账明细接口!$AB848=0,"",[1]对账明细接口!$AB848),"")</f>
        <v/>
      </c>
      <c r="AG848" s="7" t="str">
        <f>IFERROR(IF([1]对账明细接口!$AC848=0,"",[1]对账明细接口!$AC848),"")</f>
        <v/>
      </c>
      <c r="AH848" s="7" t="str">
        <f>IFERROR(IF([1]对账明细接口!$AD848=0,"",[1]对账明细接口!$AD848),"")</f>
        <v/>
      </c>
      <c r="AI848" s="7" t="str">
        <f>IFERROR(IF([1]对账明细接口!$AE848=0,"",[1]对账明细接口!$AE848),"")</f>
        <v/>
      </c>
      <c r="AJ848" s="7" t="str">
        <f>IFERROR(IF([1]对账明细接口!$AF848=0,"",[1]对账明细接口!$AF848),"")</f>
        <v/>
      </c>
    </row>
    <row r="849" ht="14.25" customHeight="1" spans="1:36">
      <c r="A849" s="14">
        <v>849</v>
      </c>
      <c r="B849" s="15" t="str">
        <f>IFERROR(IF([1]对账明细接口!$B$849=0,"",[1]对账明细接口!$B$849),"")</f>
        <v/>
      </c>
      <c r="C849" s="16" t="str">
        <f>IFERROR(IF([1]对账明细接口!$C$849=0,"",[1]对账明细接口!$C$849),"")</f>
        <v/>
      </c>
      <c r="D849" s="16" t="str">
        <f>IFERROR(IF([1]对账明细接口!$D$849=0,"",[1]对账明细接口!$D$849),"")</f>
        <v/>
      </c>
      <c r="E849" s="16" t="str">
        <f>IFERROR(IF([1]对账明细接口!$E$849=0,"",[1]对账明细接口!$E$849),"")</f>
        <v/>
      </c>
      <c r="F849" s="16" t="str">
        <f>IFERROR(IF([1]对账明细接口!$F$849=0,"",[1]对账明细接口!$F$849),"")</f>
        <v/>
      </c>
      <c r="G849" s="16" t="str">
        <f>IFERROR(IF([1]对账明细接口!$G$849=0,"",[1]对账明细接口!$G$849),"")</f>
        <v/>
      </c>
      <c r="H849" s="17" t="str">
        <f>IFERROR(IF([1]对账明细接口!$H$849=0,"",[1]对账明细接口!$H$849),"")</f>
        <v/>
      </c>
      <c r="I849" s="16" t="str">
        <f>IFERROR(IF([1]对账明细接口!$I$849=0,"",[1]对账明细接口!$I$849),"")</f>
        <v/>
      </c>
      <c r="J849" s="18" t="str">
        <f>IFERROR(IF([1]对账明细接口!$J$849=0,"",[1]对账明细接口!$J$849),"")</f>
        <v/>
      </c>
      <c r="K849" s="18" t="str">
        <f>IFERROR(IF([1]对账明细接口!$K$849=0,"",[1]对账明细接口!$K$849),"")</f>
        <v/>
      </c>
      <c r="L849" s="16" t="str">
        <f>IFERROR(IF([1]对账明细接口!$L$849=0,"",[1]对账明细接口!$L$849),"")</f>
        <v/>
      </c>
      <c r="M849" s="16" t="str">
        <f>IFERROR(IF([1]对账明细接口!$M$849=0,"",[1]对账明细接口!$M$849),"")</f>
        <v/>
      </c>
      <c r="N849" s="19">
        <f t="shared" si="26"/>
        <v>0</v>
      </c>
      <c r="O849" s="19">
        <f t="shared" si="27"/>
        <v>420</v>
      </c>
      <c r="S849" s="20" t="str">
        <f>IFERROR(IF([1]对账明细接口!$N849=0,"",[1]对账明细接口!$N849),"")</f>
        <v/>
      </c>
      <c r="T849" s="21" t="str">
        <f>IFERROR(IF([1]对账明细接口!$O849=0,"",[1]对账明细接口!$O849),"")</f>
        <v/>
      </c>
      <c r="U849" s="21" t="str">
        <f>IFERROR(IF([1]对账明细接口!$P849=0,"",[1]对账明细接口!$P849),"")</f>
        <v/>
      </c>
      <c r="V849" s="21" t="str">
        <f>IFERROR(IF([1]对账明细接口!$Q849=0,"",[1]对账明细接口!$Q849),"")</f>
        <v/>
      </c>
      <c r="W849" s="20" t="str">
        <f>IFERROR(IF([1]对账明细接口!$R849=0,"",[1]对账明细接口!$R849),"")</f>
        <v/>
      </c>
      <c r="X849" s="20" t="str">
        <f>IFERROR(IF([1]对账明细接口!$S849=0,"",[1]对账明细接口!$S849),"")</f>
        <v/>
      </c>
      <c r="Y849" s="20" t="str">
        <f>IFERROR(IF([1]对账明细接口!$T849=0,"",[1]对账明细接口!$T849),"")</f>
        <v/>
      </c>
      <c r="Z849" s="24" t="str">
        <f>IFERROR(IF([1]对账明细接口!$U849=0,"",[1]对账明细接口!$U849),"")</f>
        <v/>
      </c>
      <c r="AA849" s="24" t="str">
        <f>IFERROR(IF([1]对账明细接口!$V849=0,"",[1]对账明细接口!$V849),"")</f>
        <v/>
      </c>
      <c r="AB849" s="20" t="str">
        <f>IFERROR(IF([1]对账明细接口!$W849=0,"",[1]对账明细接口!$W849),"")</f>
        <v/>
      </c>
      <c r="AC849" s="7" t="str">
        <f>IFERROR(IF([1]对账明细接口!$X849=0,"",[1]对账明细接口!$X849),"")</f>
        <v/>
      </c>
      <c r="AD849" s="7" t="str">
        <f>IFERROR(IF([1]对账明细接口!$Y849=0,"",[1]对账明细接口!$Y849),"")</f>
        <v/>
      </c>
      <c r="AE849" s="7" t="str">
        <f>IFERROR(IF([1]对账明细接口!$AA849=0,"",[1]对账明细接口!$AA849),"")</f>
        <v/>
      </c>
      <c r="AF849" s="7" t="str">
        <f>IFERROR(IF([1]对账明细接口!$AB849=0,"",[1]对账明细接口!$AB849),"")</f>
        <v/>
      </c>
      <c r="AG849" s="7" t="str">
        <f>IFERROR(IF([1]对账明细接口!$AC849=0,"",[1]对账明细接口!$AC849),"")</f>
        <v/>
      </c>
      <c r="AH849" s="7" t="str">
        <f>IFERROR(IF([1]对账明细接口!$AD849=0,"",[1]对账明细接口!$AD849),"")</f>
        <v/>
      </c>
      <c r="AI849" s="7" t="str">
        <f>IFERROR(IF([1]对账明细接口!$AE849=0,"",[1]对账明细接口!$AE849),"")</f>
        <v/>
      </c>
      <c r="AJ849" s="7" t="str">
        <f>IFERROR(IF([1]对账明细接口!$AF849=0,"",[1]对账明细接口!$AF849),"")</f>
        <v/>
      </c>
    </row>
    <row r="850" ht="14.25" customHeight="1" spans="1:36">
      <c r="A850" s="14">
        <v>850</v>
      </c>
      <c r="B850" s="15" t="str">
        <f>IFERROR(IF([1]对账明细接口!$B$850=0,"",[1]对账明细接口!$B$850),"")</f>
        <v/>
      </c>
      <c r="C850" s="16" t="str">
        <f>IFERROR(IF([1]对账明细接口!$C$850=0,"",[1]对账明细接口!$C$850),"")</f>
        <v/>
      </c>
      <c r="D850" s="16" t="str">
        <f>IFERROR(IF([1]对账明细接口!$D$850=0,"",[1]对账明细接口!$D$850),"")</f>
        <v/>
      </c>
      <c r="E850" s="16" t="str">
        <f>IFERROR(IF([1]对账明细接口!$E$850=0,"",[1]对账明细接口!$E$850),"")</f>
        <v/>
      </c>
      <c r="F850" s="16" t="str">
        <f>IFERROR(IF([1]对账明细接口!$F$850=0,"",[1]对账明细接口!$F$850),"")</f>
        <v/>
      </c>
      <c r="G850" s="16" t="str">
        <f>IFERROR(IF([1]对账明细接口!$G$850=0,"",[1]对账明细接口!$G$850),"")</f>
        <v/>
      </c>
      <c r="H850" s="17" t="str">
        <f>IFERROR(IF([1]对账明细接口!$H$850=0,"",[1]对账明细接口!$H$850),"")</f>
        <v/>
      </c>
      <c r="I850" s="16" t="str">
        <f>IFERROR(IF([1]对账明细接口!$I$850=0,"",[1]对账明细接口!$I$850),"")</f>
        <v/>
      </c>
      <c r="J850" s="18" t="str">
        <f>IFERROR(IF([1]对账明细接口!$J$850=0,"",[1]对账明细接口!$J$850),"")</f>
        <v/>
      </c>
      <c r="K850" s="18" t="str">
        <f>IFERROR(IF([1]对账明细接口!$K$850=0,"",[1]对账明细接口!$K$850),"")</f>
        <v/>
      </c>
      <c r="L850" s="16" t="str">
        <f>IFERROR(IF([1]对账明细接口!$L$850=0,"",[1]对账明细接口!$L$850),"")</f>
        <v/>
      </c>
      <c r="M850" s="16" t="str">
        <f>IFERROR(IF([1]对账明细接口!$M$850=0,"",[1]对账明细接口!$M$850),"")</f>
        <v/>
      </c>
      <c r="N850" s="19">
        <f t="shared" si="26"/>
        <v>0</v>
      </c>
      <c r="O850" s="19">
        <f t="shared" si="27"/>
        <v>420</v>
      </c>
      <c r="S850" s="20" t="str">
        <f>IFERROR(IF([1]对账明细接口!$N850=0,"",[1]对账明细接口!$N850),"")</f>
        <v/>
      </c>
      <c r="T850" s="21" t="str">
        <f>IFERROR(IF([1]对账明细接口!$O850=0,"",[1]对账明细接口!$O850),"")</f>
        <v/>
      </c>
      <c r="U850" s="21" t="str">
        <f>IFERROR(IF([1]对账明细接口!$P850=0,"",[1]对账明细接口!$P850),"")</f>
        <v/>
      </c>
      <c r="V850" s="21" t="str">
        <f>IFERROR(IF([1]对账明细接口!$Q850=0,"",[1]对账明细接口!$Q850),"")</f>
        <v/>
      </c>
      <c r="W850" s="20" t="str">
        <f>IFERROR(IF([1]对账明细接口!$R850=0,"",[1]对账明细接口!$R850),"")</f>
        <v/>
      </c>
      <c r="X850" s="20" t="str">
        <f>IFERROR(IF([1]对账明细接口!$S850=0,"",[1]对账明细接口!$S850),"")</f>
        <v/>
      </c>
      <c r="Y850" s="20" t="str">
        <f>IFERROR(IF([1]对账明细接口!$T850=0,"",[1]对账明细接口!$T850),"")</f>
        <v/>
      </c>
      <c r="Z850" s="24" t="str">
        <f>IFERROR(IF([1]对账明细接口!$U850=0,"",[1]对账明细接口!$U850),"")</f>
        <v/>
      </c>
      <c r="AA850" s="24" t="str">
        <f>IFERROR(IF([1]对账明细接口!$V850=0,"",[1]对账明细接口!$V850),"")</f>
        <v/>
      </c>
      <c r="AB850" s="20" t="str">
        <f>IFERROR(IF([1]对账明细接口!$W850=0,"",[1]对账明细接口!$W850),"")</f>
        <v/>
      </c>
      <c r="AC850" s="7" t="str">
        <f>IFERROR(IF([1]对账明细接口!$X850=0,"",[1]对账明细接口!$X850),"")</f>
        <v/>
      </c>
      <c r="AD850" s="7" t="str">
        <f>IFERROR(IF([1]对账明细接口!$Y850=0,"",[1]对账明细接口!$Y850),"")</f>
        <v/>
      </c>
      <c r="AE850" s="7" t="str">
        <f>IFERROR(IF([1]对账明细接口!$AA850=0,"",[1]对账明细接口!$AA850),"")</f>
        <v/>
      </c>
      <c r="AF850" s="7" t="str">
        <f>IFERROR(IF([1]对账明细接口!$AB850=0,"",[1]对账明细接口!$AB850),"")</f>
        <v/>
      </c>
      <c r="AG850" s="7" t="str">
        <f>IFERROR(IF([1]对账明细接口!$AC850=0,"",[1]对账明细接口!$AC850),"")</f>
        <v/>
      </c>
      <c r="AH850" s="7" t="str">
        <f>IFERROR(IF([1]对账明细接口!$AD850=0,"",[1]对账明细接口!$AD850),"")</f>
        <v/>
      </c>
      <c r="AI850" s="7" t="str">
        <f>IFERROR(IF([1]对账明细接口!$AE850=0,"",[1]对账明细接口!$AE850),"")</f>
        <v/>
      </c>
      <c r="AJ850" s="7" t="str">
        <f>IFERROR(IF([1]对账明细接口!$AF850=0,"",[1]对账明细接口!$AF850),"")</f>
        <v/>
      </c>
    </row>
    <row r="851" ht="14.25" customHeight="1" spans="1:36">
      <c r="A851" s="14">
        <v>851</v>
      </c>
      <c r="B851" s="15" t="str">
        <f>IFERROR(IF([1]对账明细接口!$B$851=0,"",[1]对账明细接口!$B$851),"")</f>
        <v/>
      </c>
      <c r="C851" s="16" t="str">
        <f>IFERROR(IF([1]对账明细接口!$C$851=0,"",[1]对账明细接口!$C$851),"")</f>
        <v/>
      </c>
      <c r="D851" s="16" t="str">
        <f>IFERROR(IF([1]对账明细接口!$D$851=0,"",[1]对账明细接口!$D$851),"")</f>
        <v/>
      </c>
      <c r="E851" s="16" t="str">
        <f>IFERROR(IF([1]对账明细接口!$E$851=0,"",[1]对账明细接口!$E$851),"")</f>
        <v/>
      </c>
      <c r="F851" s="16" t="str">
        <f>IFERROR(IF([1]对账明细接口!$F$851=0,"",[1]对账明细接口!$F$851),"")</f>
        <v/>
      </c>
      <c r="G851" s="16" t="str">
        <f>IFERROR(IF([1]对账明细接口!$G$851=0,"",[1]对账明细接口!$G$851),"")</f>
        <v/>
      </c>
      <c r="H851" s="17" t="str">
        <f>IFERROR(IF([1]对账明细接口!$H$851=0,"",[1]对账明细接口!$H$851),"")</f>
        <v/>
      </c>
      <c r="I851" s="16" t="str">
        <f>IFERROR(IF([1]对账明细接口!$I$851=0,"",[1]对账明细接口!$I$851),"")</f>
        <v/>
      </c>
      <c r="J851" s="18" t="str">
        <f>IFERROR(IF([1]对账明细接口!$J$851=0,"",[1]对账明细接口!$J$851),"")</f>
        <v/>
      </c>
      <c r="K851" s="18" t="str">
        <f>IFERROR(IF([1]对账明细接口!$K$851=0,"",[1]对账明细接口!$K$851),"")</f>
        <v/>
      </c>
      <c r="L851" s="16" t="str">
        <f>IFERROR(IF([1]对账明细接口!$L$851=0,"",[1]对账明细接口!$L$851),"")</f>
        <v/>
      </c>
      <c r="M851" s="16" t="str">
        <f>IFERROR(IF([1]对账明细接口!$M$851=0,"",[1]对账明细接口!$M$851),"")</f>
        <v/>
      </c>
      <c r="N851" s="19">
        <f t="shared" si="26"/>
        <v>0</v>
      </c>
      <c r="O851" s="19">
        <f t="shared" si="27"/>
        <v>420</v>
      </c>
      <c r="S851" s="20" t="str">
        <f>IFERROR(IF([1]对账明细接口!$N851=0,"",[1]对账明细接口!$N851),"")</f>
        <v/>
      </c>
      <c r="T851" s="21" t="str">
        <f>IFERROR(IF([1]对账明细接口!$O851=0,"",[1]对账明细接口!$O851),"")</f>
        <v/>
      </c>
      <c r="U851" s="21" t="str">
        <f>IFERROR(IF([1]对账明细接口!$P851=0,"",[1]对账明细接口!$P851),"")</f>
        <v/>
      </c>
      <c r="V851" s="21" t="str">
        <f>IFERROR(IF([1]对账明细接口!$Q851=0,"",[1]对账明细接口!$Q851),"")</f>
        <v/>
      </c>
      <c r="W851" s="20" t="str">
        <f>IFERROR(IF([1]对账明细接口!$R851=0,"",[1]对账明细接口!$R851),"")</f>
        <v/>
      </c>
      <c r="X851" s="20" t="str">
        <f>IFERROR(IF([1]对账明细接口!$S851=0,"",[1]对账明细接口!$S851),"")</f>
        <v/>
      </c>
      <c r="Y851" s="20" t="str">
        <f>IFERROR(IF([1]对账明细接口!$T851=0,"",[1]对账明细接口!$T851),"")</f>
        <v/>
      </c>
      <c r="Z851" s="24" t="str">
        <f>IFERROR(IF([1]对账明细接口!$U851=0,"",[1]对账明细接口!$U851),"")</f>
        <v/>
      </c>
      <c r="AA851" s="24" t="str">
        <f>IFERROR(IF([1]对账明细接口!$V851=0,"",[1]对账明细接口!$V851),"")</f>
        <v/>
      </c>
      <c r="AB851" s="20" t="str">
        <f>IFERROR(IF([1]对账明细接口!$W851=0,"",[1]对账明细接口!$W851),"")</f>
        <v/>
      </c>
      <c r="AC851" s="7" t="str">
        <f>IFERROR(IF([1]对账明细接口!$X851=0,"",[1]对账明细接口!$X851),"")</f>
        <v/>
      </c>
      <c r="AD851" s="7" t="str">
        <f>IFERROR(IF([1]对账明细接口!$Y851=0,"",[1]对账明细接口!$Y851),"")</f>
        <v/>
      </c>
      <c r="AE851" s="7" t="str">
        <f>IFERROR(IF([1]对账明细接口!$AA851=0,"",[1]对账明细接口!$AA851),"")</f>
        <v/>
      </c>
      <c r="AF851" s="7" t="str">
        <f>IFERROR(IF([1]对账明细接口!$AB851=0,"",[1]对账明细接口!$AB851),"")</f>
        <v/>
      </c>
      <c r="AG851" s="7" t="str">
        <f>IFERROR(IF([1]对账明细接口!$AC851=0,"",[1]对账明细接口!$AC851),"")</f>
        <v/>
      </c>
      <c r="AH851" s="7" t="str">
        <f>IFERROR(IF([1]对账明细接口!$AD851=0,"",[1]对账明细接口!$AD851),"")</f>
        <v/>
      </c>
      <c r="AI851" s="7" t="str">
        <f>IFERROR(IF([1]对账明细接口!$AE851=0,"",[1]对账明细接口!$AE851),"")</f>
        <v/>
      </c>
      <c r="AJ851" s="7" t="str">
        <f>IFERROR(IF([1]对账明细接口!$AF851=0,"",[1]对账明细接口!$AF851),"")</f>
        <v/>
      </c>
    </row>
    <row r="852" ht="14.25" customHeight="1" spans="1:36">
      <c r="A852" s="14">
        <v>852</v>
      </c>
      <c r="B852" s="15" t="str">
        <f>IFERROR(IF([1]对账明细接口!$B$852=0,"",[1]对账明细接口!$B$852),"")</f>
        <v/>
      </c>
      <c r="C852" s="16" t="str">
        <f>IFERROR(IF([1]对账明细接口!$C$852=0,"",[1]对账明细接口!$C$852),"")</f>
        <v/>
      </c>
      <c r="D852" s="16" t="str">
        <f>IFERROR(IF([1]对账明细接口!$D$852=0,"",[1]对账明细接口!$D$852),"")</f>
        <v/>
      </c>
      <c r="E852" s="16" t="str">
        <f>IFERROR(IF([1]对账明细接口!$E$852=0,"",[1]对账明细接口!$E$852),"")</f>
        <v/>
      </c>
      <c r="F852" s="16" t="str">
        <f>IFERROR(IF([1]对账明细接口!$F$852=0,"",[1]对账明细接口!$F$852),"")</f>
        <v/>
      </c>
      <c r="G852" s="16" t="str">
        <f>IFERROR(IF([1]对账明细接口!$G$852=0,"",[1]对账明细接口!$G$852),"")</f>
        <v/>
      </c>
      <c r="H852" s="17" t="str">
        <f>IFERROR(IF([1]对账明细接口!$H$852=0,"",[1]对账明细接口!$H$852),"")</f>
        <v/>
      </c>
      <c r="I852" s="16" t="str">
        <f>IFERROR(IF([1]对账明细接口!$I$852=0,"",[1]对账明细接口!$I$852),"")</f>
        <v/>
      </c>
      <c r="J852" s="18" t="str">
        <f>IFERROR(IF([1]对账明细接口!$J$852=0,"",[1]对账明细接口!$J$852),"")</f>
        <v/>
      </c>
      <c r="K852" s="18" t="str">
        <f>IFERROR(IF([1]对账明细接口!$K$852=0,"",[1]对账明细接口!$K$852),"")</f>
        <v/>
      </c>
      <c r="L852" s="16" t="str">
        <f>IFERROR(IF([1]对账明细接口!$L$852=0,"",[1]对账明细接口!$L$852),"")</f>
        <v/>
      </c>
      <c r="M852" s="16" t="str">
        <f>IFERROR(IF([1]对账明细接口!$M$852=0,"",[1]对账明细接口!$M$852),"")</f>
        <v/>
      </c>
      <c r="N852" s="19">
        <f t="shared" si="26"/>
        <v>0</v>
      </c>
      <c r="O852" s="19">
        <f t="shared" si="27"/>
        <v>420</v>
      </c>
      <c r="S852" s="20" t="str">
        <f>IFERROR(IF([1]对账明细接口!$N852=0,"",[1]对账明细接口!$N852),"")</f>
        <v/>
      </c>
      <c r="T852" s="21" t="str">
        <f>IFERROR(IF([1]对账明细接口!$O852=0,"",[1]对账明细接口!$O852),"")</f>
        <v/>
      </c>
      <c r="U852" s="21" t="str">
        <f>IFERROR(IF([1]对账明细接口!$P852=0,"",[1]对账明细接口!$P852),"")</f>
        <v/>
      </c>
      <c r="V852" s="21" t="str">
        <f>IFERROR(IF([1]对账明细接口!$Q852=0,"",[1]对账明细接口!$Q852),"")</f>
        <v/>
      </c>
      <c r="W852" s="20" t="str">
        <f>IFERROR(IF([1]对账明细接口!$R852=0,"",[1]对账明细接口!$R852),"")</f>
        <v/>
      </c>
      <c r="X852" s="20" t="str">
        <f>IFERROR(IF([1]对账明细接口!$S852=0,"",[1]对账明细接口!$S852),"")</f>
        <v/>
      </c>
      <c r="Y852" s="20" t="str">
        <f>IFERROR(IF([1]对账明细接口!$T852=0,"",[1]对账明细接口!$T852),"")</f>
        <v/>
      </c>
      <c r="Z852" s="24" t="str">
        <f>IFERROR(IF([1]对账明细接口!$U852=0,"",[1]对账明细接口!$U852),"")</f>
        <v/>
      </c>
      <c r="AA852" s="24" t="str">
        <f>IFERROR(IF([1]对账明细接口!$V852=0,"",[1]对账明细接口!$V852),"")</f>
        <v/>
      </c>
      <c r="AB852" s="20" t="str">
        <f>IFERROR(IF([1]对账明细接口!$W852=0,"",[1]对账明细接口!$W852),"")</f>
        <v/>
      </c>
      <c r="AC852" s="7" t="str">
        <f>IFERROR(IF([1]对账明细接口!$X852=0,"",[1]对账明细接口!$X852),"")</f>
        <v/>
      </c>
      <c r="AD852" s="7" t="str">
        <f>IFERROR(IF([1]对账明细接口!$Y852=0,"",[1]对账明细接口!$Y852),"")</f>
        <v/>
      </c>
      <c r="AE852" s="7" t="str">
        <f>IFERROR(IF([1]对账明细接口!$AA852=0,"",[1]对账明细接口!$AA852),"")</f>
        <v/>
      </c>
      <c r="AF852" s="7" t="str">
        <f>IFERROR(IF([1]对账明细接口!$AB852=0,"",[1]对账明细接口!$AB852),"")</f>
        <v/>
      </c>
      <c r="AG852" s="7" t="str">
        <f>IFERROR(IF([1]对账明细接口!$AC852=0,"",[1]对账明细接口!$AC852),"")</f>
        <v/>
      </c>
      <c r="AH852" s="7" t="str">
        <f>IFERROR(IF([1]对账明细接口!$AD852=0,"",[1]对账明细接口!$AD852),"")</f>
        <v/>
      </c>
      <c r="AI852" s="7" t="str">
        <f>IFERROR(IF([1]对账明细接口!$AE852=0,"",[1]对账明细接口!$AE852),"")</f>
        <v/>
      </c>
      <c r="AJ852" s="7" t="str">
        <f>IFERROR(IF([1]对账明细接口!$AF852=0,"",[1]对账明细接口!$AF852),"")</f>
        <v/>
      </c>
    </row>
    <row r="853" ht="14.25" customHeight="1" spans="1:36">
      <c r="A853" s="14">
        <v>853</v>
      </c>
      <c r="B853" s="15" t="str">
        <f>IFERROR(IF([1]对账明细接口!$B$853=0,"",[1]对账明细接口!$B$853),"")</f>
        <v/>
      </c>
      <c r="C853" s="16" t="str">
        <f>IFERROR(IF([1]对账明细接口!$C$853=0,"",[1]对账明细接口!$C$853),"")</f>
        <v/>
      </c>
      <c r="D853" s="16" t="str">
        <f>IFERROR(IF([1]对账明细接口!$D$853=0,"",[1]对账明细接口!$D$853),"")</f>
        <v/>
      </c>
      <c r="E853" s="16" t="str">
        <f>IFERROR(IF([1]对账明细接口!$E$853=0,"",[1]对账明细接口!$E$853),"")</f>
        <v/>
      </c>
      <c r="F853" s="16" t="str">
        <f>IFERROR(IF([1]对账明细接口!$F$853=0,"",[1]对账明细接口!$F$853),"")</f>
        <v/>
      </c>
      <c r="G853" s="16" t="str">
        <f>IFERROR(IF([1]对账明细接口!$G$853=0,"",[1]对账明细接口!$G$853),"")</f>
        <v/>
      </c>
      <c r="H853" s="17" t="str">
        <f>IFERROR(IF([1]对账明细接口!$H$853=0,"",[1]对账明细接口!$H$853),"")</f>
        <v/>
      </c>
      <c r="I853" s="16" t="str">
        <f>IFERROR(IF([1]对账明细接口!$I$853=0,"",[1]对账明细接口!$I$853),"")</f>
        <v/>
      </c>
      <c r="J853" s="18" t="str">
        <f>IFERROR(IF([1]对账明细接口!$J$853=0,"",[1]对账明细接口!$J$853),"")</f>
        <v/>
      </c>
      <c r="K853" s="18" t="str">
        <f>IFERROR(IF([1]对账明细接口!$K$853=0,"",[1]对账明细接口!$K$853),"")</f>
        <v/>
      </c>
      <c r="L853" s="16" t="str">
        <f>IFERROR(IF([1]对账明细接口!$L$853=0,"",[1]对账明细接口!$L$853),"")</f>
        <v/>
      </c>
      <c r="M853" s="16" t="str">
        <f>IFERROR(IF([1]对账明细接口!$M$853=0,"",[1]对账明细接口!$M$853),"")</f>
        <v/>
      </c>
      <c r="N853" s="19">
        <f t="shared" si="26"/>
        <v>0</v>
      </c>
      <c r="O853" s="19">
        <f t="shared" si="27"/>
        <v>420</v>
      </c>
      <c r="S853" s="20" t="str">
        <f>IFERROR(IF([1]对账明细接口!$N853=0,"",[1]对账明细接口!$N853),"")</f>
        <v/>
      </c>
      <c r="T853" s="21" t="str">
        <f>IFERROR(IF([1]对账明细接口!$O853=0,"",[1]对账明细接口!$O853),"")</f>
        <v/>
      </c>
      <c r="U853" s="21" t="str">
        <f>IFERROR(IF([1]对账明细接口!$P853=0,"",[1]对账明细接口!$P853),"")</f>
        <v/>
      </c>
      <c r="V853" s="21" t="str">
        <f>IFERROR(IF([1]对账明细接口!$Q853=0,"",[1]对账明细接口!$Q853),"")</f>
        <v/>
      </c>
      <c r="W853" s="20" t="str">
        <f>IFERROR(IF([1]对账明细接口!$R853=0,"",[1]对账明细接口!$R853),"")</f>
        <v/>
      </c>
      <c r="X853" s="20" t="str">
        <f>IFERROR(IF([1]对账明细接口!$S853=0,"",[1]对账明细接口!$S853),"")</f>
        <v/>
      </c>
      <c r="Y853" s="20" t="str">
        <f>IFERROR(IF([1]对账明细接口!$T853=0,"",[1]对账明细接口!$T853),"")</f>
        <v/>
      </c>
      <c r="Z853" s="24" t="str">
        <f>IFERROR(IF([1]对账明细接口!$U853=0,"",[1]对账明细接口!$U853),"")</f>
        <v/>
      </c>
      <c r="AA853" s="24" t="str">
        <f>IFERROR(IF([1]对账明细接口!$V853=0,"",[1]对账明细接口!$V853),"")</f>
        <v/>
      </c>
      <c r="AB853" s="20" t="str">
        <f>IFERROR(IF([1]对账明细接口!$W853=0,"",[1]对账明细接口!$W853),"")</f>
        <v/>
      </c>
      <c r="AC853" s="7" t="str">
        <f>IFERROR(IF([1]对账明细接口!$X853=0,"",[1]对账明细接口!$X853),"")</f>
        <v/>
      </c>
      <c r="AD853" s="7" t="str">
        <f>IFERROR(IF([1]对账明细接口!$Y853=0,"",[1]对账明细接口!$Y853),"")</f>
        <v/>
      </c>
      <c r="AE853" s="7" t="str">
        <f>IFERROR(IF([1]对账明细接口!$AA853=0,"",[1]对账明细接口!$AA853),"")</f>
        <v/>
      </c>
      <c r="AF853" s="7" t="str">
        <f>IFERROR(IF([1]对账明细接口!$AB853=0,"",[1]对账明细接口!$AB853),"")</f>
        <v/>
      </c>
      <c r="AG853" s="7" t="str">
        <f>IFERROR(IF([1]对账明细接口!$AC853=0,"",[1]对账明细接口!$AC853),"")</f>
        <v/>
      </c>
      <c r="AH853" s="7" t="str">
        <f>IFERROR(IF([1]对账明细接口!$AD853=0,"",[1]对账明细接口!$AD853),"")</f>
        <v/>
      </c>
      <c r="AI853" s="7" t="str">
        <f>IFERROR(IF([1]对账明细接口!$AE853=0,"",[1]对账明细接口!$AE853),"")</f>
        <v/>
      </c>
      <c r="AJ853" s="7" t="str">
        <f>IFERROR(IF([1]对账明细接口!$AF853=0,"",[1]对账明细接口!$AF853),"")</f>
        <v/>
      </c>
    </row>
    <row r="854" ht="14.25" customHeight="1" spans="1:36">
      <c r="A854" s="14">
        <v>854</v>
      </c>
      <c r="B854" s="15" t="str">
        <f>IFERROR(IF([1]对账明细接口!$B$854=0,"",[1]对账明细接口!$B$854),"")</f>
        <v/>
      </c>
      <c r="C854" s="16" t="str">
        <f>IFERROR(IF([1]对账明细接口!$C$854=0,"",[1]对账明细接口!$C$854),"")</f>
        <v/>
      </c>
      <c r="D854" s="16" t="str">
        <f>IFERROR(IF([1]对账明细接口!$D$854=0,"",[1]对账明细接口!$D$854),"")</f>
        <v/>
      </c>
      <c r="E854" s="16" t="str">
        <f>IFERROR(IF([1]对账明细接口!$E$854=0,"",[1]对账明细接口!$E$854),"")</f>
        <v/>
      </c>
      <c r="F854" s="16" t="str">
        <f>IFERROR(IF([1]对账明细接口!$F$854=0,"",[1]对账明细接口!$F$854),"")</f>
        <v/>
      </c>
      <c r="G854" s="16" t="str">
        <f>IFERROR(IF([1]对账明细接口!$G$854=0,"",[1]对账明细接口!$G$854),"")</f>
        <v/>
      </c>
      <c r="H854" s="17" t="str">
        <f>IFERROR(IF([1]对账明细接口!$H$854=0,"",[1]对账明细接口!$H$854),"")</f>
        <v/>
      </c>
      <c r="I854" s="16" t="str">
        <f>IFERROR(IF([1]对账明细接口!$I$854=0,"",[1]对账明细接口!$I$854),"")</f>
        <v/>
      </c>
      <c r="J854" s="18" t="str">
        <f>IFERROR(IF([1]对账明细接口!$J$854=0,"",[1]对账明细接口!$J$854),"")</f>
        <v/>
      </c>
      <c r="K854" s="18" t="str">
        <f>IFERROR(IF([1]对账明细接口!$K$854=0,"",[1]对账明细接口!$K$854),"")</f>
        <v/>
      </c>
      <c r="L854" s="16" t="str">
        <f>IFERROR(IF([1]对账明细接口!$L$854=0,"",[1]对账明细接口!$L$854),"")</f>
        <v/>
      </c>
      <c r="M854" s="16" t="str">
        <f>IFERROR(IF([1]对账明细接口!$M$854=0,"",[1]对账明细接口!$M$854),"")</f>
        <v/>
      </c>
      <c r="N854" s="19">
        <f t="shared" si="26"/>
        <v>0</v>
      </c>
      <c r="O854" s="19">
        <f t="shared" si="27"/>
        <v>420</v>
      </c>
      <c r="S854" s="20" t="str">
        <f>IFERROR(IF([1]对账明细接口!$N854=0,"",[1]对账明细接口!$N854),"")</f>
        <v/>
      </c>
      <c r="T854" s="21" t="str">
        <f>IFERROR(IF([1]对账明细接口!$O854=0,"",[1]对账明细接口!$O854),"")</f>
        <v/>
      </c>
      <c r="U854" s="21" t="str">
        <f>IFERROR(IF([1]对账明细接口!$P854=0,"",[1]对账明细接口!$P854),"")</f>
        <v/>
      </c>
      <c r="V854" s="21" t="str">
        <f>IFERROR(IF([1]对账明细接口!$Q854=0,"",[1]对账明细接口!$Q854),"")</f>
        <v/>
      </c>
      <c r="W854" s="20" t="str">
        <f>IFERROR(IF([1]对账明细接口!$R854=0,"",[1]对账明细接口!$R854),"")</f>
        <v/>
      </c>
      <c r="X854" s="20" t="str">
        <f>IFERROR(IF([1]对账明细接口!$S854=0,"",[1]对账明细接口!$S854),"")</f>
        <v/>
      </c>
      <c r="Y854" s="20" t="str">
        <f>IFERROR(IF([1]对账明细接口!$T854=0,"",[1]对账明细接口!$T854),"")</f>
        <v/>
      </c>
      <c r="Z854" s="24" t="str">
        <f>IFERROR(IF([1]对账明细接口!$U854=0,"",[1]对账明细接口!$U854),"")</f>
        <v/>
      </c>
      <c r="AA854" s="24" t="str">
        <f>IFERROR(IF([1]对账明细接口!$V854=0,"",[1]对账明细接口!$V854),"")</f>
        <v/>
      </c>
      <c r="AB854" s="20" t="str">
        <f>IFERROR(IF([1]对账明细接口!$W854=0,"",[1]对账明细接口!$W854),"")</f>
        <v/>
      </c>
      <c r="AC854" s="7" t="str">
        <f>IFERROR(IF([1]对账明细接口!$X854=0,"",[1]对账明细接口!$X854),"")</f>
        <v/>
      </c>
      <c r="AD854" s="7" t="str">
        <f>IFERROR(IF([1]对账明细接口!$Y854=0,"",[1]对账明细接口!$Y854),"")</f>
        <v/>
      </c>
      <c r="AE854" s="7" t="str">
        <f>IFERROR(IF([1]对账明细接口!$AA854=0,"",[1]对账明细接口!$AA854),"")</f>
        <v/>
      </c>
      <c r="AF854" s="7" t="str">
        <f>IFERROR(IF([1]对账明细接口!$AB854=0,"",[1]对账明细接口!$AB854),"")</f>
        <v/>
      </c>
      <c r="AG854" s="7" t="str">
        <f>IFERROR(IF([1]对账明细接口!$AC854=0,"",[1]对账明细接口!$AC854),"")</f>
        <v/>
      </c>
      <c r="AH854" s="7" t="str">
        <f>IFERROR(IF([1]对账明细接口!$AD854=0,"",[1]对账明细接口!$AD854),"")</f>
        <v/>
      </c>
      <c r="AI854" s="7" t="str">
        <f>IFERROR(IF([1]对账明细接口!$AE854=0,"",[1]对账明细接口!$AE854),"")</f>
        <v/>
      </c>
      <c r="AJ854" s="7" t="str">
        <f>IFERROR(IF([1]对账明细接口!$AF854=0,"",[1]对账明细接口!$AF854),"")</f>
        <v/>
      </c>
    </row>
    <row r="855" ht="14.25" customHeight="1" spans="1:36">
      <c r="A855" s="14">
        <v>855</v>
      </c>
      <c r="B855" s="15" t="str">
        <f>IFERROR(IF([1]对账明细接口!$B$855=0,"",[1]对账明细接口!$B$855),"")</f>
        <v/>
      </c>
      <c r="C855" s="16" t="str">
        <f>IFERROR(IF([1]对账明细接口!$C$855=0,"",[1]对账明细接口!$C$855),"")</f>
        <v/>
      </c>
      <c r="D855" s="16" t="str">
        <f>IFERROR(IF([1]对账明细接口!$D$855=0,"",[1]对账明细接口!$D$855),"")</f>
        <v/>
      </c>
      <c r="E855" s="16" t="str">
        <f>IFERROR(IF([1]对账明细接口!$E$855=0,"",[1]对账明细接口!$E$855),"")</f>
        <v/>
      </c>
      <c r="F855" s="16" t="str">
        <f>IFERROR(IF([1]对账明细接口!$F$855=0,"",[1]对账明细接口!$F$855),"")</f>
        <v/>
      </c>
      <c r="G855" s="16" t="str">
        <f>IFERROR(IF([1]对账明细接口!$G$855=0,"",[1]对账明细接口!$G$855),"")</f>
        <v/>
      </c>
      <c r="H855" s="17" t="str">
        <f>IFERROR(IF([1]对账明细接口!$H$855=0,"",[1]对账明细接口!$H$855),"")</f>
        <v/>
      </c>
      <c r="I855" s="16" t="str">
        <f>IFERROR(IF([1]对账明细接口!$I$855=0,"",[1]对账明细接口!$I$855),"")</f>
        <v/>
      </c>
      <c r="J855" s="18" t="str">
        <f>IFERROR(IF([1]对账明细接口!$J$855=0,"",[1]对账明细接口!$J$855),"")</f>
        <v/>
      </c>
      <c r="K855" s="18" t="str">
        <f>IFERROR(IF([1]对账明细接口!$K$855=0,"",[1]对账明细接口!$K$855),"")</f>
        <v/>
      </c>
      <c r="L855" s="16" t="str">
        <f>IFERROR(IF([1]对账明细接口!$L$855=0,"",[1]对账明细接口!$L$855),"")</f>
        <v/>
      </c>
      <c r="M855" s="16" t="str">
        <f>IFERROR(IF([1]对账明细接口!$M$855=0,"",[1]对账明细接口!$M$855),"")</f>
        <v/>
      </c>
      <c r="N855" s="19">
        <f t="shared" si="26"/>
        <v>0</v>
      </c>
      <c r="O855" s="19">
        <f t="shared" si="27"/>
        <v>420</v>
      </c>
      <c r="S855" s="20" t="str">
        <f>IFERROR(IF([1]对账明细接口!$N855=0,"",[1]对账明细接口!$N855),"")</f>
        <v/>
      </c>
      <c r="T855" s="21" t="str">
        <f>IFERROR(IF([1]对账明细接口!$O855=0,"",[1]对账明细接口!$O855),"")</f>
        <v/>
      </c>
      <c r="U855" s="21" t="str">
        <f>IFERROR(IF([1]对账明细接口!$P855=0,"",[1]对账明细接口!$P855),"")</f>
        <v/>
      </c>
      <c r="V855" s="21" t="str">
        <f>IFERROR(IF([1]对账明细接口!$Q855=0,"",[1]对账明细接口!$Q855),"")</f>
        <v/>
      </c>
      <c r="W855" s="20" t="str">
        <f>IFERROR(IF([1]对账明细接口!$R855=0,"",[1]对账明细接口!$R855),"")</f>
        <v/>
      </c>
      <c r="X855" s="20" t="str">
        <f>IFERROR(IF([1]对账明细接口!$S855=0,"",[1]对账明细接口!$S855),"")</f>
        <v/>
      </c>
      <c r="Y855" s="20" t="str">
        <f>IFERROR(IF([1]对账明细接口!$T855=0,"",[1]对账明细接口!$T855),"")</f>
        <v/>
      </c>
      <c r="Z855" s="24" t="str">
        <f>IFERROR(IF([1]对账明细接口!$U855=0,"",[1]对账明细接口!$U855),"")</f>
        <v/>
      </c>
      <c r="AA855" s="24" t="str">
        <f>IFERROR(IF([1]对账明细接口!$V855=0,"",[1]对账明细接口!$V855),"")</f>
        <v/>
      </c>
      <c r="AB855" s="20" t="str">
        <f>IFERROR(IF([1]对账明细接口!$W855=0,"",[1]对账明细接口!$W855),"")</f>
        <v/>
      </c>
      <c r="AC855" s="7" t="str">
        <f>IFERROR(IF([1]对账明细接口!$X855=0,"",[1]对账明细接口!$X855),"")</f>
        <v/>
      </c>
      <c r="AD855" s="7" t="str">
        <f>IFERROR(IF([1]对账明细接口!$Y855=0,"",[1]对账明细接口!$Y855),"")</f>
        <v/>
      </c>
      <c r="AE855" s="7" t="str">
        <f>IFERROR(IF([1]对账明细接口!$AA855=0,"",[1]对账明细接口!$AA855),"")</f>
        <v/>
      </c>
      <c r="AF855" s="7" t="str">
        <f>IFERROR(IF([1]对账明细接口!$AB855=0,"",[1]对账明细接口!$AB855),"")</f>
        <v/>
      </c>
      <c r="AG855" s="7" t="str">
        <f>IFERROR(IF([1]对账明细接口!$AC855=0,"",[1]对账明细接口!$AC855),"")</f>
        <v/>
      </c>
      <c r="AH855" s="7" t="str">
        <f>IFERROR(IF([1]对账明细接口!$AD855=0,"",[1]对账明细接口!$AD855),"")</f>
        <v/>
      </c>
      <c r="AI855" s="7" t="str">
        <f>IFERROR(IF([1]对账明细接口!$AE855=0,"",[1]对账明细接口!$AE855),"")</f>
        <v/>
      </c>
      <c r="AJ855" s="7" t="str">
        <f>IFERROR(IF([1]对账明细接口!$AF855=0,"",[1]对账明细接口!$AF855),"")</f>
        <v/>
      </c>
    </row>
    <row r="856" ht="14.25" customHeight="1" spans="1:36">
      <c r="A856" s="14">
        <v>856</v>
      </c>
      <c r="B856" s="15" t="str">
        <f>IFERROR(IF([1]对账明细接口!$B$856=0,"",[1]对账明细接口!$B$856),"")</f>
        <v/>
      </c>
      <c r="C856" s="16" t="str">
        <f>IFERROR(IF([1]对账明细接口!$C$856=0,"",[1]对账明细接口!$C$856),"")</f>
        <v/>
      </c>
      <c r="D856" s="16" t="str">
        <f>IFERROR(IF([1]对账明细接口!$D$856=0,"",[1]对账明细接口!$D$856),"")</f>
        <v/>
      </c>
      <c r="E856" s="16" t="str">
        <f>IFERROR(IF([1]对账明细接口!$E$856=0,"",[1]对账明细接口!$E$856),"")</f>
        <v/>
      </c>
      <c r="F856" s="16" t="str">
        <f>IFERROR(IF([1]对账明细接口!$F$856=0,"",[1]对账明细接口!$F$856),"")</f>
        <v/>
      </c>
      <c r="G856" s="16" t="str">
        <f>IFERROR(IF([1]对账明细接口!$G$856=0,"",[1]对账明细接口!$G$856),"")</f>
        <v/>
      </c>
      <c r="H856" s="17" t="str">
        <f>IFERROR(IF([1]对账明细接口!$H$856=0,"",[1]对账明细接口!$H$856),"")</f>
        <v/>
      </c>
      <c r="I856" s="16" t="str">
        <f>IFERROR(IF([1]对账明细接口!$I$856=0,"",[1]对账明细接口!$I$856),"")</f>
        <v/>
      </c>
      <c r="J856" s="18" t="str">
        <f>IFERROR(IF([1]对账明细接口!$J$856=0,"",[1]对账明细接口!$J$856),"")</f>
        <v/>
      </c>
      <c r="K856" s="18" t="str">
        <f>IFERROR(IF([1]对账明细接口!$K$856=0,"",[1]对账明细接口!$K$856),"")</f>
        <v/>
      </c>
      <c r="L856" s="16" t="str">
        <f>IFERROR(IF([1]对账明细接口!$L$856=0,"",[1]对账明细接口!$L$856),"")</f>
        <v/>
      </c>
      <c r="M856" s="16" t="str">
        <f>IFERROR(IF([1]对账明细接口!$M$856=0,"",[1]对账明细接口!$M$856),"")</f>
        <v/>
      </c>
      <c r="N856" s="19">
        <f t="shared" si="26"/>
        <v>0</v>
      </c>
      <c r="O856" s="19">
        <f t="shared" si="27"/>
        <v>420</v>
      </c>
      <c r="S856" s="20" t="str">
        <f>IFERROR(IF([1]对账明细接口!$N856=0,"",[1]对账明细接口!$N856),"")</f>
        <v/>
      </c>
      <c r="T856" s="21" t="str">
        <f>IFERROR(IF([1]对账明细接口!$O856=0,"",[1]对账明细接口!$O856),"")</f>
        <v/>
      </c>
      <c r="U856" s="21" t="str">
        <f>IFERROR(IF([1]对账明细接口!$P856=0,"",[1]对账明细接口!$P856),"")</f>
        <v/>
      </c>
      <c r="V856" s="21" t="str">
        <f>IFERROR(IF([1]对账明细接口!$Q856=0,"",[1]对账明细接口!$Q856),"")</f>
        <v/>
      </c>
      <c r="W856" s="20" t="str">
        <f>IFERROR(IF([1]对账明细接口!$R856=0,"",[1]对账明细接口!$R856),"")</f>
        <v/>
      </c>
      <c r="X856" s="20" t="str">
        <f>IFERROR(IF([1]对账明细接口!$S856=0,"",[1]对账明细接口!$S856),"")</f>
        <v/>
      </c>
      <c r="Y856" s="20" t="str">
        <f>IFERROR(IF([1]对账明细接口!$T856=0,"",[1]对账明细接口!$T856),"")</f>
        <v/>
      </c>
      <c r="Z856" s="24" t="str">
        <f>IFERROR(IF([1]对账明细接口!$U856=0,"",[1]对账明细接口!$U856),"")</f>
        <v/>
      </c>
      <c r="AA856" s="24" t="str">
        <f>IFERROR(IF([1]对账明细接口!$V856=0,"",[1]对账明细接口!$V856),"")</f>
        <v/>
      </c>
      <c r="AB856" s="20" t="str">
        <f>IFERROR(IF([1]对账明细接口!$W856=0,"",[1]对账明细接口!$W856),"")</f>
        <v/>
      </c>
      <c r="AC856" s="7" t="str">
        <f>IFERROR(IF([1]对账明细接口!$X856=0,"",[1]对账明细接口!$X856),"")</f>
        <v/>
      </c>
      <c r="AD856" s="7" t="str">
        <f>IFERROR(IF([1]对账明细接口!$Y856=0,"",[1]对账明细接口!$Y856),"")</f>
        <v/>
      </c>
      <c r="AE856" s="7" t="str">
        <f>IFERROR(IF([1]对账明细接口!$AA856=0,"",[1]对账明细接口!$AA856),"")</f>
        <v/>
      </c>
      <c r="AF856" s="7" t="str">
        <f>IFERROR(IF([1]对账明细接口!$AB856=0,"",[1]对账明细接口!$AB856),"")</f>
        <v/>
      </c>
      <c r="AG856" s="7" t="str">
        <f>IFERROR(IF([1]对账明细接口!$AC856=0,"",[1]对账明细接口!$AC856),"")</f>
        <v/>
      </c>
      <c r="AH856" s="7" t="str">
        <f>IFERROR(IF([1]对账明细接口!$AD856=0,"",[1]对账明细接口!$AD856),"")</f>
        <v/>
      </c>
      <c r="AI856" s="7" t="str">
        <f>IFERROR(IF([1]对账明细接口!$AE856=0,"",[1]对账明细接口!$AE856),"")</f>
        <v/>
      </c>
      <c r="AJ856" s="7" t="str">
        <f>IFERROR(IF([1]对账明细接口!$AF856=0,"",[1]对账明细接口!$AF856),"")</f>
        <v/>
      </c>
    </row>
    <row r="857" ht="14.25" customHeight="1" spans="1:36">
      <c r="A857" s="14">
        <v>857</v>
      </c>
      <c r="B857" s="15" t="str">
        <f>IFERROR(IF([1]对账明细接口!$B$857=0,"",[1]对账明细接口!$B$857),"")</f>
        <v/>
      </c>
      <c r="C857" s="16" t="str">
        <f>IFERROR(IF([1]对账明细接口!$C$857=0,"",[1]对账明细接口!$C$857),"")</f>
        <v/>
      </c>
      <c r="D857" s="16" t="str">
        <f>IFERROR(IF([1]对账明细接口!$D$857=0,"",[1]对账明细接口!$D$857),"")</f>
        <v/>
      </c>
      <c r="E857" s="16" t="str">
        <f>IFERROR(IF([1]对账明细接口!$E$857=0,"",[1]对账明细接口!$E$857),"")</f>
        <v/>
      </c>
      <c r="F857" s="16" t="str">
        <f>IFERROR(IF([1]对账明细接口!$F$857=0,"",[1]对账明细接口!$F$857),"")</f>
        <v/>
      </c>
      <c r="G857" s="16" t="str">
        <f>IFERROR(IF([1]对账明细接口!$G$857=0,"",[1]对账明细接口!$G$857),"")</f>
        <v/>
      </c>
      <c r="H857" s="17" t="str">
        <f>IFERROR(IF([1]对账明细接口!$H$857=0,"",[1]对账明细接口!$H$857),"")</f>
        <v/>
      </c>
      <c r="I857" s="16" t="str">
        <f>IFERROR(IF([1]对账明细接口!$I$857=0,"",[1]对账明细接口!$I$857),"")</f>
        <v/>
      </c>
      <c r="J857" s="18" t="str">
        <f>IFERROR(IF([1]对账明细接口!$J$857=0,"",[1]对账明细接口!$J$857),"")</f>
        <v/>
      </c>
      <c r="K857" s="18" t="str">
        <f>IFERROR(IF([1]对账明细接口!$K$857=0,"",[1]对账明细接口!$K$857),"")</f>
        <v/>
      </c>
      <c r="L857" s="16" t="str">
        <f>IFERROR(IF([1]对账明细接口!$L$857=0,"",[1]对账明细接口!$L$857),"")</f>
        <v/>
      </c>
      <c r="M857" s="16" t="str">
        <f>IFERROR(IF([1]对账明细接口!$M$857=0,"",[1]对账明细接口!$M$857),"")</f>
        <v/>
      </c>
      <c r="N857" s="19">
        <f t="shared" si="26"/>
        <v>0</v>
      </c>
      <c r="O857" s="19">
        <f t="shared" si="27"/>
        <v>420</v>
      </c>
      <c r="S857" s="20" t="str">
        <f>IFERROR(IF([1]对账明细接口!$N857=0,"",[1]对账明细接口!$N857),"")</f>
        <v/>
      </c>
      <c r="T857" s="21" t="str">
        <f>IFERROR(IF([1]对账明细接口!$O857=0,"",[1]对账明细接口!$O857),"")</f>
        <v/>
      </c>
      <c r="U857" s="21" t="str">
        <f>IFERROR(IF([1]对账明细接口!$P857=0,"",[1]对账明细接口!$P857),"")</f>
        <v/>
      </c>
      <c r="V857" s="21" t="str">
        <f>IFERROR(IF([1]对账明细接口!$Q857=0,"",[1]对账明细接口!$Q857),"")</f>
        <v/>
      </c>
      <c r="W857" s="20" t="str">
        <f>IFERROR(IF([1]对账明细接口!$R857=0,"",[1]对账明细接口!$R857),"")</f>
        <v/>
      </c>
      <c r="X857" s="20" t="str">
        <f>IFERROR(IF([1]对账明细接口!$S857=0,"",[1]对账明细接口!$S857),"")</f>
        <v/>
      </c>
      <c r="Y857" s="20" t="str">
        <f>IFERROR(IF([1]对账明细接口!$T857=0,"",[1]对账明细接口!$T857),"")</f>
        <v/>
      </c>
      <c r="Z857" s="24" t="str">
        <f>IFERROR(IF([1]对账明细接口!$U857=0,"",[1]对账明细接口!$U857),"")</f>
        <v/>
      </c>
      <c r="AA857" s="24" t="str">
        <f>IFERROR(IF([1]对账明细接口!$V857=0,"",[1]对账明细接口!$V857),"")</f>
        <v/>
      </c>
      <c r="AB857" s="20" t="str">
        <f>IFERROR(IF([1]对账明细接口!$W857=0,"",[1]对账明细接口!$W857),"")</f>
        <v/>
      </c>
      <c r="AC857" s="7" t="str">
        <f>IFERROR(IF([1]对账明细接口!$X857=0,"",[1]对账明细接口!$X857),"")</f>
        <v/>
      </c>
      <c r="AD857" s="7" t="str">
        <f>IFERROR(IF([1]对账明细接口!$Y857=0,"",[1]对账明细接口!$Y857),"")</f>
        <v/>
      </c>
      <c r="AE857" s="7" t="str">
        <f>IFERROR(IF([1]对账明细接口!$AA857=0,"",[1]对账明细接口!$AA857),"")</f>
        <v/>
      </c>
      <c r="AF857" s="7" t="str">
        <f>IFERROR(IF([1]对账明细接口!$AB857=0,"",[1]对账明细接口!$AB857),"")</f>
        <v/>
      </c>
      <c r="AG857" s="7" t="str">
        <f>IFERROR(IF([1]对账明细接口!$AC857=0,"",[1]对账明细接口!$AC857),"")</f>
        <v/>
      </c>
      <c r="AH857" s="7" t="str">
        <f>IFERROR(IF([1]对账明细接口!$AD857=0,"",[1]对账明细接口!$AD857),"")</f>
        <v/>
      </c>
      <c r="AI857" s="7" t="str">
        <f>IFERROR(IF([1]对账明细接口!$AE857=0,"",[1]对账明细接口!$AE857),"")</f>
        <v/>
      </c>
      <c r="AJ857" s="7" t="str">
        <f>IFERROR(IF([1]对账明细接口!$AF857=0,"",[1]对账明细接口!$AF857),"")</f>
        <v/>
      </c>
    </row>
    <row r="858" ht="14.25" customHeight="1" spans="1:36">
      <c r="A858" s="14">
        <v>858</v>
      </c>
      <c r="B858" s="15" t="str">
        <f>IFERROR(IF([1]对账明细接口!$B$858=0,"",[1]对账明细接口!$B$858),"")</f>
        <v/>
      </c>
      <c r="C858" s="16" t="str">
        <f>IFERROR(IF([1]对账明细接口!$C$858=0,"",[1]对账明细接口!$C$858),"")</f>
        <v/>
      </c>
      <c r="D858" s="16" t="str">
        <f>IFERROR(IF([1]对账明细接口!$D$858=0,"",[1]对账明细接口!$D$858),"")</f>
        <v/>
      </c>
      <c r="E858" s="16" t="str">
        <f>IFERROR(IF([1]对账明细接口!$E$858=0,"",[1]对账明细接口!$E$858),"")</f>
        <v/>
      </c>
      <c r="F858" s="16" t="str">
        <f>IFERROR(IF([1]对账明细接口!$F$858=0,"",[1]对账明细接口!$F$858),"")</f>
        <v/>
      </c>
      <c r="G858" s="16" t="str">
        <f>IFERROR(IF([1]对账明细接口!$G$858=0,"",[1]对账明细接口!$G$858),"")</f>
        <v/>
      </c>
      <c r="H858" s="17" t="str">
        <f>IFERROR(IF([1]对账明细接口!$H$858=0,"",[1]对账明细接口!$H$858),"")</f>
        <v/>
      </c>
      <c r="I858" s="16" t="str">
        <f>IFERROR(IF([1]对账明细接口!$I$858=0,"",[1]对账明细接口!$I$858),"")</f>
        <v/>
      </c>
      <c r="J858" s="18" t="str">
        <f>IFERROR(IF([1]对账明细接口!$J$858=0,"",[1]对账明细接口!$J$858),"")</f>
        <v/>
      </c>
      <c r="K858" s="18" t="str">
        <f>IFERROR(IF([1]对账明细接口!$K$858=0,"",[1]对账明细接口!$K$858),"")</f>
        <v/>
      </c>
      <c r="L858" s="16" t="str">
        <f>IFERROR(IF([1]对账明细接口!$L$858=0,"",[1]对账明细接口!$L$858),"")</f>
        <v/>
      </c>
      <c r="M858" s="16" t="str">
        <f>IFERROR(IF([1]对账明细接口!$M$858=0,"",[1]对账明细接口!$M$858),"")</f>
        <v/>
      </c>
      <c r="N858" s="19">
        <f t="shared" si="26"/>
        <v>0</v>
      </c>
      <c r="O858" s="19">
        <f t="shared" si="27"/>
        <v>420</v>
      </c>
      <c r="S858" s="20" t="str">
        <f>IFERROR(IF([1]对账明细接口!$N858=0,"",[1]对账明细接口!$N858),"")</f>
        <v/>
      </c>
      <c r="T858" s="21" t="str">
        <f>IFERROR(IF([1]对账明细接口!$O858=0,"",[1]对账明细接口!$O858),"")</f>
        <v/>
      </c>
      <c r="U858" s="21" t="str">
        <f>IFERROR(IF([1]对账明细接口!$P858=0,"",[1]对账明细接口!$P858),"")</f>
        <v/>
      </c>
      <c r="V858" s="21" t="str">
        <f>IFERROR(IF([1]对账明细接口!$Q858=0,"",[1]对账明细接口!$Q858),"")</f>
        <v/>
      </c>
      <c r="W858" s="20" t="str">
        <f>IFERROR(IF([1]对账明细接口!$R858=0,"",[1]对账明细接口!$R858),"")</f>
        <v/>
      </c>
      <c r="X858" s="20" t="str">
        <f>IFERROR(IF([1]对账明细接口!$S858=0,"",[1]对账明细接口!$S858),"")</f>
        <v/>
      </c>
      <c r="Y858" s="20" t="str">
        <f>IFERROR(IF([1]对账明细接口!$T858=0,"",[1]对账明细接口!$T858),"")</f>
        <v/>
      </c>
      <c r="Z858" s="24" t="str">
        <f>IFERROR(IF([1]对账明细接口!$U858=0,"",[1]对账明细接口!$U858),"")</f>
        <v/>
      </c>
      <c r="AA858" s="24" t="str">
        <f>IFERROR(IF([1]对账明细接口!$V858=0,"",[1]对账明细接口!$V858),"")</f>
        <v/>
      </c>
      <c r="AB858" s="20" t="str">
        <f>IFERROR(IF([1]对账明细接口!$W858=0,"",[1]对账明细接口!$W858),"")</f>
        <v/>
      </c>
      <c r="AC858" s="7" t="str">
        <f>IFERROR(IF([1]对账明细接口!$X858=0,"",[1]对账明细接口!$X858),"")</f>
        <v/>
      </c>
      <c r="AD858" s="7" t="str">
        <f>IFERROR(IF([1]对账明细接口!$Y858=0,"",[1]对账明细接口!$Y858),"")</f>
        <v/>
      </c>
      <c r="AE858" s="7" t="str">
        <f>IFERROR(IF([1]对账明细接口!$AA858=0,"",[1]对账明细接口!$AA858),"")</f>
        <v/>
      </c>
      <c r="AF858" s="7" t="str">
        <f>IFERROR(IF([1]对账明细接口!$AB858=0,"",[1]对账明细接口!$AB858),"")</f>
        <v/>
      </c>
      <c r="AG858" s="7" t="str">
        <f>IFERROR(IF([1]对账明细接口!$AC858=0,"",[1]对账明细接口!$AC858),"")</f>
        <v/>
      </c>
      <c r="AH858" s="7" t="str">
        <f>IFERROR(IF([1]对账明细接口!$AD858=0,"",[1]对账明细接口!$AD858),"")</f>
        <v/>
      </c>
      <c r="AI858" s="7" t="str">
        <f>IFERROR(IF([1]对账明细接口!$AE858=0,"",[1]对账明细接口!$AE858),"")</f>
        <v/>
      </c>
      <c r="AJ858" s="7" t="str">
        <f>IFERROR(IF([1]对账明细接口!$AF858=0,"",[1]对账明细接口!$AF858),"")</f>
        <v/>
      </c>
    </row>
    <row r="859" ht="14.25" customHeight="1" spans="1:36">
      <c r="A859" s="14">
        <v>859</v>
      </c>
      <c r="B859" s="15" t="str">
        <f>IFERROR(IF([1]对账明细接口!$B$859=0,"",[1]对账明细接口!$B$859),"")</f>
        <v/>
      </c>
      <c r="C859" s="16" t="str">
        <f>IFERROR(IF([1]对账明细接口!$C$859=0,"",[1]对账明细接口!$C$859),"")</f>
        <v/>
      </c>
      <c r="D859" s="16" t="str">
        <f>IFERROR(IF([1]对账明细接口!$D$859=0,"",[1]对账明细接口!$D$859),"")</f>
        <v/>
      </c>
      <c r="E859" s="16" t="str">
        <f>IFERROR(IF([1]对账明细接口!$E$859=0,"",[1]对账明细接口!$E$859),"")</f>
        <v/>
      </c>
      <c r="F859" s="16" t="str">
        <f>IFERROR(IF([1]对账明细接口!$F$859=0,"",[1]对账明细接口!$F$859),"")</f>
        <v/>
      </c>
      <c r="G859" s="16" t="str">
        <f>IFERROR(IF([1]对账明细接口!$G$859=0,"",[1]对账明细接口!$G$859),"")</f>
        <v/>
      </c>
      <c r="H859" s="17" t="str">
        <f>IFERROR(IF([1]对账明细接口!$H$859=0,"",[1]对账明细接口!$H$859),"")</f>
        <v/>
      </c>
      <c r="I859" s="16" t="str">
        <f>IFERROR(IF([1]对账明细接口!$I$859=0,"",[1]对账明细接口!$I$859),"")</f>
        <v/>
      </c>
      <c r="J859" s="18" t="str">
        <f>IFERROR(IF([1]对账明细接口!$J$859=0,"",[1]对账明细接口!$J$859),"")</f>
        <v/>
      </c>
      <c r="K859" s="18" t="str">
        <f>IFERROR(IF([1]对账明细接口!$K$859=0,"",[1]对账明细接口!$K$859),"")</f>
        <v/>
      </c>
      <c r="L859" s="16" t="str">
        <f>IFERROR(IF([1]对账明细接口!$L$859=0,"",[1]对账明细接口!$L$859),"")</f>
        <v/>
      </c>
      <c r="M859" s="16" t="str">
        <f>IFERROR(IF([1]对账明细接口!$M$859=0,"",[1]对账明细接口!$M$859),"")</f>
        <v/>
      </c>
      <c r="N859" s="19">
        <f t="shared" si="26"/>
        <v>0</v>
      </c>
      <c r="O859" s="19">
        <f t="shared" si="27"/>
        <v>420</v>
      </c>
      <c r="S859" s="20" t="str">
        <f>IFERROR(IF([1]对账明细接口!$N859=0,"",[1]对账明细接口!$N859),"")</f>
        <v/>
      </c>
      <c r="T859" s="21" t="str">
        <f>IFERROR(IF([1]对账明细接口!$O859=0,"",[1]对账明细接口!$O859),"")</f>
        <v/>
      </c>
      <c r="U859" s="21" t="str">
        <f>IFERROR(IF([1]对账明细接口!$P859=0,"",[1]对账明细接口!$P859),"")</f>
        <v/>
      </c>
      <c r="V859" s="21" t="str">
        <f>IFERROR(IF([1]对账明细接口!$Q859=0,"",[1]对账明细接口!$Q859),"")</f>
        <v/>
      </c>
      <c r="W859" s="20" t="str">
        <f>IFERROR(IF([1]对账明细接口!$R859=0,"",[1]对账明细接口!$R859),"")</f>
        <v/>
      </c>
      <c r="X859" s="20" t="str">
        <f>IFERROR(IF([1]对账明细接口!$S859=0,"",[1]对账明细接口!$S859),"")</f>
        <v/>
      </c>
      <c r="Y859" s="20" t="str">
        <f>IFERROR(IF([1]对账明细接口!$T859=0,"",[1]对账明细接口!$T859),"")</f>
        <v/>
      </c>
      <c r="Z859" s="24" t="str">
        <f>IFERROR(IF([1]对账明细接口!$U859=0,"",[1]对账明细接口!$U859),"")</f>
        <v/>
      </c>
      <c r="AA859" s="24" t="str">
        <f>IFERROR(IF([1]对账明细接口!$V859=0,"",[1]对账明细接口!$V859),"")</f>
        <v/>
      </c>
      <c r="AB859" s="20" t="str">
        <f>IFERROR(IF([1]对账明细接口!$W859=0,"",[1]对账明细接口!$W859),"")</f>
        <v/>
      </c>
      <c r="AC859" s="7" t="str">
        <f>IFERROR(IF([1]对账明细接口!$X859=0,"",[1]对账明细接口!$X859),"")</f>
        <v/>
      </c>
      <c r="AD859" s="7" t="str">
        <f>IFERROR(IF([1]对账明细接口!$Y859=0,"",[1]对账明细接口!$Y859),"")</f>
        <v/>
      </c>
      <c r="AE859" s="7" t="str">
        <f>IFERROR(IF([1]对账明细接口!$AA859=0,"",[1]对账明细接口!$AA859),"")</f>
        <v/>
      </c>
      <c r="AF859" s="7" t="str">
        <f>IFERROR(IF([1]对账明细接口!$AB859=0,"",[1]对账明细接口!$AB859),"")</f>
        <v/>
      </c>
      <c r="AG859" s="7" t="str">
        <f>IFERROR(IF([1]对账明细接口!$AC859=0,"",[1]对账明细接口!$AC859),"")</f>
        <v/>
      </c>
      <c r="AH859" s="7" t="str">
        <f>IFERROR(IF([1]对账明细接口!$AD859=0,"",[1]对账明细接口!$AD859),"")</f>
        <v/>
      </c>
      <c r="AI859" s="7" t="str">
        <f>IFERROR(IF([1]对账明细接口!$AE859=0,"",[1]对账明细接口!$AE859),"")</f>
        <v/>
      </c>
      <c r="AJ859" s="7" t="str">
        <f>IFERROR(IF([1]对账明细接口!$AF859=0,"",[1]对账明细接口!$AF859),"")</f>
        <v/>
      </c>
    </row>
    <row r="860" ht="14.25" customHeight="1" spans="1:36">
      <c r="A860" s="14">
        <v>860</v>
      </c>
      <c r="B860" s="15" t="str">
        <f>IFERROR(IF([1]对账明细接口!$B$860=0,"",[1]对账明细接口!$B$860),"")</f>
        <v/>
      </c>
      <c r="C860" s="16" t="str">
        <f>IFERROR(IF([1]对账明细接口!$C$860=0,"",[1]对账明细接口!$C$860),"")</f>
        <v/>
      </c>
      <c r="D860" s="16" t="str">
        <f>IFERROR(IF([1]对账明细接口!$D$860=0,"",[1]对账明细接口!$D$860),"")</f>
        <v/>
      </c>
      <c r="E860" s="16" t="str">
        <f>IFERROR(IF([1]对账明细接口!$E$860=0,"",[1]对账明细接口!$E$860),"")</f>
        <v/>
      </c>
      <c r="F860" s="16" t="str">
        <f>IFERROR(IF([1]对账明细接口!$F$860=0,"",[1]对账明细接口!$F$860),"")</f>
        <v/>
      </c>
      <c r="G860" s="16" t="str">
        <f>IFERROR(IF([1]对账明细接口!$G$860=0,"",[1]对账明细接口!$G$860),"")</f>
        <v/>
      </c>
      <c r="H860" s="17" t="str">
        <f>IFERROR(IF([1]对账明细接口!$H$860=0,"",[1]对账明细接口!$H$860),"")</f>
        <v/>
      </c>
      <c r="I860" s="16" t="str">
        <f>IFERROR(IF([1]对账明细接口!$I$860=0,"",[1]对账明细接口!$I$860),"")</f>
        <v/>
      </c>
      <c r="J860" s="18" t="str">
        <f>IFERROR(IF([1]对账明细接口!$J$860=0,"",[1]对账明细接口!$J$860),"")</f>
        <v/>
      </c>
      <c r="K860" s="18" t="str">
        <f>IFERROR(IF([1]对账明细接口!$K$860=0,"",[1]对账明细接口!$K$860),"")</f>
        <v/>
      </c>
      <c r="L860" s="16" t="str">
        <f>IFERROR(IF([1]对账明细接口!$L$860=0,"",[1]对账明细接口!$L$860),"")</f>
        <v/>
      </c>
      <c r="M860" s="16" t="str">
        <f>IFERROR(IF([1]对账明细接口!$M$860=0,"",[1]对账明细接口!$M$860),"")</f>
        <v/>
      </c>
      <c r="N860" s="19">
        <f t="shared" si="26"/>
        <v>0</v>
      </c>
      <c r="O860" s="19">
        <f t="shared" si="27"/>
        <v>420</v>
      </c>
      <c r="S860" s="20" t="str">
        <f>IFERROR(IF([1]对账明细接口!$N860=0,"",[1]对账明细接口!$N860),"")</f>
        <v/>
      </c>
      <c r="T860" s="21" t="str">
        <f>IFERROR(IF([1]对账明细接口!$O860=0,"",[1]对账明细接口!$O860),"")</f>
        <v/>
      </c>
      <c r="U860" s="21" t="str">
        <f>IFERROR(IF([1]对账明细接口!$P860=0,"",[1]对账明细接口!$P860),"")</f>
        <v/>
      </c>
      <c r="V860" s="21" t="str">
        <f>IFERROR(IF([1]对账明细接口!$Q860=0,"",[1]对账明细接口!$Q860),"")</f>
        <v/>
      </c>
      <c r="W860" s="20" t="str">
        <f>IFERROR(IF([1]对账明细接口!$R860=0,"",[1]对账明细接口!$R860),"")</f>
        <v/>
      </c>
      <c r="X860" s="20" t="str">
        <f>IFERROR(IF([1]对账明细接口!$S860=0,"",[1]对账明细接口!$S860),"")</f>
        <v/>
      </c>
      <c r="Y860" s="20" t="str">
        <f>IFERROR(IF([1]对账明细接口!$T860=0,"",[1]对账明细接口!$T860),"")</f>
        <v/>
      </c>
      <c r="Z860" s="24" t="str">
        <f>IFERROR(IF([1]对账明细接口!$U860=0,"",[1]对账明细接口!$U860),"")</f>
        <v/>
      </c>
      <c r="AA860" s="24" t="str">
        <f>IFERROR(IF([1]对账明细接口!$V860=0,"",[1]对账明细接口!$V860),"")</f>
        <v/>
      </c>
      <c r="AB860" s="20" t="str">
        <f>IFERROR(IF([1]对账明细接口!$W860=0,"",[1]对账明细接口!$W860),"")</f>
        <v/>
      </c>
      <c r="AC860" s="7" t="str">
        <f>IFERROR(IF([1]对账明细接口!$X860=0,"",[1]对账明细接口!$X860),"")</f>
        <v/>
      </c>
      <c r="AD860" s="7" t="str">
        <f>IFERROR(IF([1]对账明细接口!$Y860=0,"",[1]对账明细接口!$Y860),"")</f>
        <v/>
      </c>
      <c r="AE860" s="7" t="str">
        <f>IFERROR(IF([1]对账明细接口!$AA860=0,"",[1]对账明细接口!$AA860),"")</f>
        <v/>
      </c>
      <c r="AF860" s="7" t="str">
        <f>IFERROR(IF([1]对账明细接口!$AB860=0,"",[1]对账明细接口!$AB860),"")</f>
        <v/>
      </c>
      <c r="AG860" s="7" t="str">
        <f>IFERROR(IF([1]对账明细接口!$AC860=0,"",[1]对账明细接口!$AC860),"")</f>
        <v/>
      </c>
      <c r="AH860" s="7" t="str">
        <f>IFERROR(IF([1]对账明细接口!$AD860=0,"",[1]对账明细接口!$AD860),"")</f>
        <v/>
      </c>
      <c r="AI860" s="7" t="str">
        <f>IFERROR(IF([1]对账明细接口!$AE860=0,"",[1]对账明细接口!$AE860),"")</f>
        <v/>
      </c>
      <c r="AJ860" s="7" t="str">
        <f>IFERROR(IF([1]对账明细接口!$AF860=0,"",[1]对账明细接口!$AF860),"")</f>
        <v/>
      </c>
    </row>
    <row r="861" ht="14.25" customHeight="1" spans="1:36">
      <c r="A861" s="14">
        <v>861</v>
      </c>
      <c r="B861" s="15" t="str">
        <f>IFERROR(IF([1]对账明细接口!$B$861=0,"",[1]对账明细接口!$B$861),"")</f>
        <v/>
      </c>
      <c r="C861" s="16" t="str">
        <f>IFERROR(IF([1]对账明细接口!$C$861=0,"",[1]对账明细接口!$C$861),"")</f>
        <v/>
      </c>
      <c r="D861" s="16" t="str">
        <f>IFERROR(IF([1]对账明细接口!$D$861=0,"",[1]对账明细接口!$D$861),"")</f>
        <v/>
      </c>
      <c r="E861" s="16" t="str">
        <f>IFERROR(IF([1]对账明细接口!$E$861=0,"",[1]对账明细接口!$E$861),"")</f>
        <v/>
      </c>
      <c r="F861" s="16" t="str">
        <f>IFERROR(IF([1]对账明细接口!$F$861=0,"",[1]对账明细接口!$F$861),"")</f>
        <v/>
      </c>
      <c r="G861" s="16" t="str">
        <f>IFERROR(IF([1]对账明细接口!$G$861=0,"",[1]对账明细接口!$G$861),"")</f>
        <v/>
      </c>
      <c r="H861" s="17" t="str">
        <f>IFERROR(IF([1]对账明细接口!$H$861=0,"",[1]对账明细接口!$H$861),"")</f>
        <v/>
      </c>
      <c r="I861" s="16" t="str">
        <f>IFERROR(IF([1]对账明细接口!$I$861=0,"",[1]对账明细接口!$I$861),"")</f>
        <v/>
      </c>
      <c r="J861" s="18" t="str">
        <f>IFERROR(IF([1]对账明细接口!$J$861=0,"",[1]对账明细接口!$J$861),"")</f>
        <v/>
      </c>
      <c r="K861" s="18" t="str">
        <f>IFERROR(IF([1]对账明细接口!$K$861=0,"",[1]对账明细接口!$K$861),"")</f>
        <v/>
      </c>
      <c r="L861" s="16" t="str">
        <f>IFERROR(IF([1]对账明细接口!$L$861=0,"",[1]对账明细接口!$L$861),"")</f>
        <v/>
      </c>
      <c r="M861" s="16" t="str">
        <f>IFERROR(IF([1]对账明细接口!$M$861=0,"",[1]对账明细接口!$M$861),"")</f>
        <v/>
      </c>
      <c r="N861" s="19">
        <f t="shared" si="26"/>
        <v>0</v>
      </c>
      <c r="O861" s="19">
        <f t="shared" si="27"/>
        <v>420</v>
      </c>
      <c r="S861" s="20" t="str">
        <f>IFERROR(IF([1]对账明细接口!$N861=0,"",[1]对账明细接口!$N861),"")</f>
        <v/>
      </c>
      <c r="T861" s="21" t="str">
        <f>IFERROR(IF([1]对账明细接口!$O861=0,"",[1]对账明细接口!$O861),"")</f>
        <v/>
      </c>
      <c r="U861" s="21" t="str">
        <f>IFERROR(IF([1]对账明细接口!$P861=0,"",[1]对账明细接口!$P861),"")</f>
        <v/>
      </c>
      <c r="V861" s="21" t="str">
        <f>IFERROR(IF([1]对账明细接口!$Q861=0,"",[1]对账明细接口!$Q861),"")</f>
        <v/>
      </c>
      <c r="W861" s="20" t="str">
        <f>IFERROR(IF([1]对账明细接口!$R861=0,"",[1]对账明细接口!$R861),"")</f>
        <v/>
      </c>
      <c r="X861" s="20" t="str">
        <f>IFERROR(IF([1]对账明细接口!$S861=0,"",[1]对账明细接口!$S861),"")</f>
        <v/>
      </c>
      <c r="Y861" s="20" t="str">
        <f>IFERROR(IF([1]对账明细接口!$T861=0,"",[1]对账明细接口!$T861),"")</f>
        <v/>
      </c>
      <c r="Z861" s="24" t="str">
        <f>IFERROR(IF([1]对账明细接口!$U861=0,"",[1]对账明细接口!$U861),"")</f>
        <v/>
      </c>
      <c r="AA861" s="24" t="str">
        <f>IFERROR(IF([1]对账明细接口!$V861=0,"",[1]对账明细接口!$V861),"")</f>
        <v/>
      </c>
      <c r="AB861" s="20" t="str">
        <f>IFERROR(IF([1]对账明细接口!$W861=0,"",[1]对账明细接口!$W861),"")</f>
        <v/>
      </c>
      <c r="AC861" s="7" t="str">
        <f>IFERROR(IF([1]对账明细接口!$X861=0,"",[1]对账明细接口!$X861),"")</f>
        <v/>
      </c>
      <c r="AD861" s="7" t="str">
        <f>IFERROR(IF([1]对账明细接口!$Y861=0,"",[1]对账明细接口!$Y861),"")</f>
        <v/>
      </c>
      <c r="AE861" s="7" t="str">
        <f>IFERROR(IF([1]对账明细接口!$AA861=0,"",[1]对账明细接口!$AA861),"")</f>
        <v/>
      </c>
      <c r="AF861" s="7" t="str">
        <f>IFERROR(IF([1]对账明细接口!$AB861=0,"",[1]对账明细接口!$AB861),"")</f>
        <v/>
      </c>
      <c r="AG861" s="7" t="str">
        <f>IFERROR(IF([1]对账明细接口!$AC861=0,"",[1]对账明细接口!$AC861),"")</f>
        <v/>
      </c>
      <c r="AH861" s="7" t="str">
        <f>IFERROR(IF([1]对账明细接口!$AD861=0,"",[1]对账明细接口!$AD861),"")</f>
        <v/>
      </c>
      <c r="AI861" s="7" t="str">
        <f>IFERROR(IF([1]对账明细接口!$AE861=0,"",[1]对账明细接口!$AE861),"")</f>
        <v/>
      </c>
      <c r="AJ861" s="7" t="str">
        <f>IFERROR(IF([1]对账明细接口!$AF861=0,"",[1]对账明细接口!$AF861),"")</f>
        <v/>
      </c>
    </row>
    <row r="862" ht="14.25" customHeight="1" spans="1:36">
      <c r="A862" s="14">
        <v>862</v>
      </c>
      <c r="B862" s="15" t="str">
        <f>IFERROR(IF([1]对账明细接口!$B$862=0,"",[1]对账明细接口!$B$862),"")</f>
        <v/>
      </c>
      <c r="C862" s="16" t="str">
        <f>IFERROR(IF([1]对账明细接口!$C$862=0,"",[1]对账明细接口!$C$862),"")</f>
        <v/>
      </c>
      <c r="D862" s="16" t="str">
        <f>IFERROR(IF([1]对账明细接口!$D$862=0,"",[1]对账明细接口!$D$862),"")</f>
        <v/>
      </c>
      <c r="E862" s="16" t="str">
        <f>IFERROR(IF([1]对账明细接口!$E$862=0,"",[1]对账明细接口!$E$862),"")</f>
        <v/>
      </c>
      <c r="F862" s="16" t="str">
        <f>IFERROR(IF([1]对账明细接口!$F$862=0,"",[1]对账明细接口!$F$862),"")</f>
        <v/>
      </c>
      <c r="G862" s="16" t="str">
        <f>IFERROR(IF([1]对账明细接口!$G$862=0,"",[1]对账明细接口!$G$862),"")</f>
        <v/>
      </c>
      <c r="H862" s="17" t="str">
        <f>IFERROR(IF([1]对账明细接口!$H$862=0,"",[1]对账明细接口!$H$862),"")</f>
        <v/>
      </c>
      <c r="I862" s="16" t="str">
        <f>IFERROR(IF([1]对账明细接口!$I$862=0,"",[1]对账明细接口!$I$862),"")</f>
        <v/>
      </c>
      <c r="J862" s="18" t="str">
        <f>IFERROR(IF([1]对账明细接口!$J$862=0,"",[1]对账明细接口!$J$862),"")</f>
        <v/>
      </c>
      <c r="K862" s="18" t="str">
        <f>IFERROR(IF([1]对账明细接口!$K$862=0,"",[1]对账明细接口!$K$862),"")</f>
        <v/>
      </c>
      <c r="L862" s="16" t="str">
        <f>IFERROR(IF([1]对账明细接口!$L$862=0,"",[1]对账明细接口!$L$862),"")</f>
        <v/>
      </c>
      <c r="M862" s="16" t="str">
        <f>IFERROR(IF([1]对账明细接口!$M$862=0,"",[1]对账明细接口!$M$862),"")</f>
        <v/>
      </c>
      <c r="N862" s="19">
        <f t="shared" si="26"/>
        <v>0</v>
      </c>
      <c r="O862" s="19">
        <f t="shared" si="27"/>
        <v>420</v>
      </c>
      <c r="S862" s="20" t="str">
        <f>IFERROR(IF([1]对账明细接口!$N862=0,"",[1]对账明细接口!$N862),"")</f>
        <v/>
      </c>
      <c r="T862" s="21" t="str">
        <f>IFERROR(IF([1]对账明细接口!$O862=0,"",[1]对账明细接口!$O862),"")</f>
        <v/>
      </c>
      <c r="U862" s="21" t="str">
        <f>IFERROR(IF([1]对账明细接口!$P862=0,"",[1]对账明细接口!$P862),"")</f>
        <v/>
      </c>
      <c r="V862" s="21" t="str">
        <f>IFERROR(IF([1]对账明细接口!$Q862=0,"",[1]对账明细接口!$Q862),"")</f>
        <v/>
      </c>
      <c r="W862" s="20" t="str">
        <f>IFERROR(IF([1]对账明细接口!$R862=0,"",[1]对账明细接口!$R862),"")</f>
        <v/>
      </c>
      <c r="X862" s="20" t="str">
        <f>IFERROR(IF([1]对账明细接口!$S862=0,"",[1]对账明细接口!$S862),"")</f>
        <v/>
      </c>
      <c r="Y862" s="20" t="str">
        <f>IFERROR(IF([1]对账明细接口!$T862=0,"",[1]对账明细接口!$T862),"")</f>
        <v/>
      </c>
      <c r="Z862" s="24" t="str">
        <f>IFERROR(IF([1]对账明细接口!$U862=0,"",[1]对账明细接口!$U862),"")</f>
        <v/>
      </c>
      <c r="AA862" s="24" t="str">
        <f>IFERROR(IF([1]对账明细接口!$V862=0,"",[1]对账明细接口!$V862),"")</f>
        <v/>
      </c>
      <c r="AB862" s="20" t="str">
        <f>IFERROR(IF([1]对账明细接口!$W862=0,"",[1]对账明细接口!$W862),"")</f>
        <v/>
      </c>
      <c r="AC862" s="7" t="str">
        <f>IFERROR(IF([1]对账明细接口!$X862=0,"",[1]对账明细接口!$X862),"")</f>
        <v/>
      </c>
      <c r="AD862" s="7" t="str">
        <f>IFERROR(IF([1]对账明细接口!$Y862=0,"",[1]对账明细接口!$Y862),"")</f>
        <v/>
      </c>
      <c r="AE862" s="7" t="str">
        <f>IFERROR(IF([1]对账明细接口!$AA862=0,"",[1]对账明细接口!$AA862),"")</f>
        <v/>
      </c>
      <c r="AF862" s="7" t="str">
        <f>IFERROR(IF([1]对账明细接口!$AB862=0,"",[1]对账明细接口!$AB862),"")</f>
        <v/>
      </c>
      <c r="AG862" s="7" t="str">
        <f>IFERROR(IF([1]对账明细接口!$AC862=0,"",[1]对账明细接口!$AC862),"")</f>
        <v/>
      </c>
      <c r="AH862" s="7" t="str">
        <f>IFERROR(IF([1]对账明细接口!$AD862=0,"",[1]对账明细接口!$AD862),"")</f>
        <v/>
      </c>
      <c r="AI862" s="7" t="str">
        <f>IFERROR(IF([1]对账明细接口!$AE862=0,"",[1]对账明细接口!$AE862),"")</f>
        <v/>
      </c>
      <c r="AJ862" s="7" t="str">
        <f>IFERROR(IF([1]对账明细接口!$AF862=0,"",[1]对账明细接口!$AF862),"")</f>
        <v/>
      </c>
    </row>
    <row r="863" ht="14.25" customHeight="1" spans="1:36">
      <c r="A863" s="14">
        <v>863</v>
      </c>
      <c r="B863" s="15" t="str">
        <f>IFERROR(IF([1]对账明细接口!$B$863=0,"",[1]对账明细接口!$B$863),"")</f>
        <v/>
      </c>
      <c r="C863" s="16" t="str">
        <f>IFERROR(IF([1]对账明细接口!$C$863=0,"",[1]对账明细接口!$C$863),"")</f>
        <v/>
      </c>
      <c r="D863" s="16" t="str">
        <f>IFERROR(IF([1]对账明细接口!$D$863=0,"",[1]对账明细接口!$D$863),"")</f>
        <v/>
      </c>
      <c r="E863" s="16" t="str">
        <f>IFERROR(IF([1]对账明细接口!$E$863=0,"",[1]对账明细接口!$E$863),"")</f>
        <v/>
      </c>
      <c r="F863" s="16" t="str">
        <f>IFERROR(IF([1]对账明细接口!$F$863=0,"",[1]对账明细接口!$F$863),"")</f>
        <v/>
      </c>
      <c r="G863" s="16" t="str">
        <f>IFERROR(IF([1]对账明细接口!$G$863=0,"",[1]对账明细接口!$G$863),"")</f>
        <v/>
      </c>
      <c r="H863" s="17" t="str">
        <f>IFERROR(IF([1]对账明细接口!$H$863=0,"",[1]对账明细接口!$H$863),"")</f>
        <v/>
      </c>
      <c r="I863" s="16" t="str">
        <f>IFERROR(IF([1]对账明细接口!$I$863=0,"",[1]对账明细接口!$I$863),"")</f>
        <v/>
      </c>
      <c r="J863" s="18" t="str">
        <f>IFERROR(IF([1]对账明细接口!$J$863=0,"",[1]对账明细接口!$J$863),"")</f>
        <v/>
      </c>
      <c r="K863" s="18" t="str">
        <f>IFERROR(IF([1]对账明细接口!$K$863=0,"",[1]对账明细接口!$K$863),"")</f>
        <v/>
      </c>
      <c r="L863" s="16" t="str">
        <f>IFERROR(IF([1]对账明细接口!$L$863=0,"",[1]对账明细接口!$L$863),"")</f>
        <v/>
      </c>
      <c r="M863" s="16" t="str">
        <f>IFERROR(IF([1]对账明细接口!$M$863=0,"",[1]对账明细接口!$M$863),"")</f>
        <v/>
      </c>
      <c r="N863" s="19">
        <f t="shared" si="26"/>
        <v>0</v>
      </c>
      <c r="O863" s="19">
        <f t="shared" si="27"/>
        <v>420</v>
      </c>
      <c r="S863" s="20" t="str">
        <f>IFERROR(IF([1]对账明细接口!$N863=0,"",[1]对账明细接口!$N863),"")</f>
        <v/>
      </c>
      <c r="T863" s="21" t="str">
        <f>IFERROR(IF([1]对账明细接口!$O863=0,"",[1]对账明细接口!$O863),"")</f>
        <v/>
      </c>
      <c r="U863" s="21" t="str">
        <f>IFERROR(IF([1]对账明细接口!$P863=0,"",[1]对账明细接口!$P863),"")</f>
        <v/>
      </c>
      <c r="V863" s="21" t="str">
        <f>IFERROR(IF([1]对账明细接口!$Q863=0,"",[1]对账明细接口!$Q863),"")</f>
        <v/>
      </c>
      <c r="W863" s="20" t="str">
        <f>IFERROR(IF([1]对账明细接口!$R863=0,"",[1]对账明细接口!$R863),"")</f>
        <v/>
      </c>
      <c r="X863" s="20" t="str">
        <f>IFERROR(IF([1]对账明细接口!$S863=0,"",[1]对账明细接口!$S863),"")</f>
        <v/>
      </c>
      <c r="Y863" s="20" t="str">
        <f>IFERROR(IF([1]对账明细接口!$T863=0,"",[1]对账明细接口!$T863),"")</f>
        <v/>
      </c>
      <c r="Z863" s="24" t="str">
        <f>IFERROR(IF([1]对账明细接口!$U863=0,"",[1]对账明细接口!$U863),"")</f>
        <v/>
      </c>
      <c r="AA863" s="24" t="str">
        <f>IFERROR(IF([1]对账明细接口!$V863=0,"",[1]对账明细接口!$V863),"")</f>
        <v/>
      </c>
      <c r="AB863" s="20" t="str">
        <f>IFERROR(IF([1]对账明细接口!$W863=0,"",[1]对账明细接口!$W863),"")</f>
        <v/>
      </c>
      <c r="AC863" s="7" t="str">
        <f>IFERROR(IF([1]对账明细接口!$X863=0,"",[1]对账明细接口!$X863),"")</f>
        <v/>
      </c>
      <c r="AD863" s="7" t="str">
        <f>IFERROR(IF([1]对账明细接口!$Y863=0,"",[1]对账明细接口!$Y863),"")</f>
        <v/>
      </c>
      <c r="AE863" s="7" t="str">
        <f>IFERROR(IF([1]对账明细接口!$AA863=0,"",[1]对账明细接口!$AA863),"")</f>
        <v/>
      </c>
      <c r="AF863" s="7" t="str">
        <f>IFERROR(IF([1]对账明细接口!$AB863=0,"",[1]对账明细接口!$AB863),"")</f>
        <v/>
      </c>
      <c r="AG863" s="7" t="str">
        <f>IFERROR(IF([1]对账明细接口!$AC863=0,"",[1]对账明细接口!$AC863),"")</f>
        <v/>
      </c>
      <c r="AH863" s="7" t="str">
        <f>IFERROR(IF([1]对账明细接口!$AD863=0,"",[1]对账明细接口!$AD863),"")</f>
        <v/>
      </c>
      <c r="AI863" s="7" t="str">
        <f>IFERROR(IF([1]对账明细接口!$AE863=0,"",[1]对账明细接口!$AE863),"")</f>
        <v/>
      </c>
      <c r="AJ863" s="7" t="str">
        <f>IFERROR(IF([1]对账明细接口!$AF863=0,"",[1]对账明细接口!$AF863),"")</f>
        <v/>
      </c>
    </row>
    <row r="864" ht="14.25" customHeight="1" spans="1:36">
      <c r="A864" s="14">
        <v>864</v>
      </c>
      <c r="B864" s="15" t="str">
        <f>IFERROR(IF([1]对账明细接口!$B$864=0,"",[1]对账明细接口!$B$864),"")</f>
        <v/>
      </c>
      <c r="C864" s="16" t="str">
        <f>IFERROR(IF([1]对账明细接口!$C$864=0,"",[1]对账明细接口!$C$864),"")</f>
        <v/>
      </c>
      <c r="D864" s="16" t="str">
        <f>IFERROR(IF([1]对账明细接口!$D$864=0,"",[1]对账明细接口!$D$864),"")</f>
        <v/>
      </c>
      <c r="E864" s="16" t="str">
        <f>IFERROR(IF([1]对账明细接口!$E$864=0,"",[1]对账明细接口!$E$864),"")</f>
        <v/>
      </c>
      <c r="F864" s="16" t="str">
        <f>IFERROR(IF([1]对账明细接口!$F$864=0,"",[1]对账明细接口!$F$864),"")</f>
        <v/>
      </c>
      <c r="G864" s="16" t="str">
        <f>IFERROR(IF([1]对账明细接口!$G$864=0,"",[1]对账明细接口!$G$864),"")</f>
        <v/>
      </c>
      <c r="H864" s="17" t="str">
        <f>IFERROR(IF([1]对账明细接口!$H$864=0,"",[1]对账明细接口!$H$864),"")</f>
        <v/>
      </c>
      <c r="I864" s="16" t="str">
        <f>IFERROR(IF([1]对账明细接口!$I$864=0,"",[1]对账明细接口!$I$864),"")</f>
        <v/>
      </c>
      <c r="J864" s="18" t="str">
        <f>IFERROR(IF([1]对账明细接口!$J$864=0,"",[1]对账明细接口!$J$864),"")</f>
        <v/>
      </c>
      <c r="K864" s="18" t="str">
        <f>IFERROR(IF([1]对账明细接口!$K$864=0,"",[1]对账明细接口!$K$864),"")</f>
        <v/>
      </c>
      <c r="L864" s="16" t="str">
        <f>IFERROR(IF([1]对账明细接口!$L$864=0,"",[1]对账明细接口!$L$864),"")</f>
        <v/>
      </c>
      <c r="M864" s="16" t="str">
        <f>IFERROR(IF([1]对账明细接口!$M$864=0,"",[1]对账明细接口!$M$864),"")</f>
        <v/>
      </c>
      <c r="N864" s="19">
        <f t="shared" si="26"/>
        <v>0</v>
      </c>
      <c r="O864" s="19">
        <f t="shared" si="27"/>
        <v>420</v>
      </c>
      <c r="S864" s="20" t="str">
        <f>IFERROR(IF([1]对账明细接口!$N864=0,"",[1]对账明细接口!$N864),"")</f>
        <v/>
      </c>
      <c r="T864" s="21" t="str">
        <f>IFERROR(IF([1]对账明细接口!$O864=0,"",[1]对账明细接口!$O864),"")</f>
        <v/>
      </c>
      <c r="U864" s="21" t="str">
        <f>IFERROR(IF([1]对账明细接口!$P864=0,"",[1]对账明细接口!$P864),"")</f>
        <v/>
      </c>
      <c r="V864" s="21" t="str">
        <f>IFERROR(IF([1]对账明细接口!$Q864=0,"",[1]对账明细接口!$Q864),"")</f>
        <v/>
      </c>
      <c r="W864" s="20" t="str">
        <f>IFERROR(IF([1]对账明细接口!$R864=0,"",[1]对账明细接口!$R864),"")</f>
        <v/>
      </c>
      <c r="X864" s="20" t="str">
        <f>IFERROR(IF([1]对账明细接口!$S864=0,"",[1]对账明细接口!$S864),"")</f>
        <v/>
      </c>
      <c r="Y864" s="20" t="str">
        <f>IFERROR(IF([1]对账明细接口!$T864=0,"",[1]对账明细接口!$T864),"")</f>
        <v/>
      </c>
      <c r="Z864" s="24" t="str">
        <f>IFERROR(IF([1]对账明细接口!$U864=0,"",[1]对账明细接口!$U864),"")</f>
        <v/>
      </c>
      <c r="AA864" s="24" t="str">
        <f>IFERROR(IF([1]对账明细接口!$V864=0,"",[1]对账明细接口!$V864),"")</f>
        <v/>
      </c>
      <c r="AB864" s="20" t="str">
        <f>IFERROR(IF([1]对账明细接口!$W864=0,"",[1]对账明细接口!$W864),"")</f>
        <v/>
      </c>
      <c r="AC864" s="7" t="str">
        <f>IFERROR(IF([1]对账明细接口!$X864=0,"",[1]对账明细接口!$X864),"")</f>
        <v/>
      </c>
      <c r="AD864" s="7" t="str">
        <f>IFERROR(IF([1]对账明细接口!$Y864=0,"",[1]对账明细接口!$Y864),"")</f>
        <v/>
      </c>
      <c r="AE864" s="7" t="str">
        <f>IFERROR(IF([1]对账明细接口!$AA864=0,"",[1]对账明细接口!$AA864),"")</f>
        <v/>
      </c>
      <c r="AF864" s="7" t="str">
        <f>IFERROR(IF([1]对账明细接口!$AB864=0,"",[1]对账明细接口!$AB864),"")</f>
        <v/>
      </c>
      <c r="AG864" s="7" t="str">
        <f>IFERROR(IF([1]对账明细接口!$AC864=0,"",[1]对账明细接口!$AC864),"")</f>
        <v/>
      </c>
      <c r="AH864" s="7" t="str">
        <f>IFERROR(IF([1]对账明细接口!$AD864=0,"",[1]对账明细接口!$AD864),"")</f>
        <v/>
      </c>
      <c r="AI864" s="7" t="str">
        <f>IFERROR(IF([1]对账明细接口!$AE864=0,"",[1]对账明细接口!$AE864),"")</f>
        <v/>
      </c>
      <c r="AJ864" s="7" t="str">
        <f>IFERROR(IF([1]对账明细接口!$AF864=0,"",[1]对账明细接口!$AF864),"")</f>
        <v/>
      </c>
    </row>
    <row r="865" ht="14.25" customHeight="1" spans="1:36">
      <c r="A865" s="14">
        <v>865</v>
      </c>
      <c r="B865" s="15" t="str">
        <f>IFERROR(IF([1]对账明细接口!$B$865=0,"",[1]对账明细接口!$B$865),"")</f>
        <v/>
      </c>
      <c r="C865" s="16" t="str">
        <f>IFERROR(IF([1]对账明细接口!$C$865=0,"",[1]对账明细接口!$C$865),"")</f>
        <v/>
      </c>
      <c r="D865" s="16" t="str">
        <f>IFERROR(IF([1]对账明细接口!$D$865=0,"",[1]对账明细接口!$D$865),"")</f>
        <v/>
      </c>
      <c r="E865" s="16" t="str">
        <f>IFERROR(IF([1]对账明细接口!$E$865=0,"",[1]对账明细接口!$E$865),"")</f>
        <v/>
      </c>
      <c r="F865" s="16" t="str">
        <f>IFERROR(IF([1]对账明细接口!$F$865=0,"",[1]对账明细接口!$F$865),"")</f>
        <v/>
      </c>
      <c r="G865" s="16" t="str">
        <f>IFERROR(IF([1]对账明细接口!$G$865=0,"",[1]对账明细接口!$G$865),"")</f>
        <v/>
      </c>
      <c r="H865" s="17" t="str">
        <f>IFERROR(IF([1]对账明细接口!$H$865=0,"",[1]对账明细接口!$H$865),"")</f>
        <v/>
      </c>
      <c r="I865" s="16" t="str">
        <f>IFERROR(IF([1]对账明细接口!$I$865=0,"",[1]对账明细接口!$I$865),"")</f>
        <v/>
      </c>
      <c r="J865" s="18" t="str">
        <f>IFERROR(IF([1]对账明细接口!$J$865=0,"",[1]对账明细接口!$J$865),"")</f>
        <v/>
      </c>
      <c r="K865" s="18" t="str">
        <f>IFERROR(IF([1]对账明细接口!$K$865=0,"",[1]对账明细接口!$K$865),"")</f>
        <v/>
      </c>
      <c r="L865" s="16" t="str">
        <f>IFERROR(IF([1]对账明细接口!$L$865=0,"",[1]对账明细接口!$L$865),"")</f>
        <v/>
      </c>
      <c r="M865" s="16" t="str">
        <f>IFERROR(IF([1]对账明细接口!$M$865=0,"",[1]对账明细接口!$M$865),"")</f>
        <v/>
      </c>
      <c r="N865" s="19">
        <f t="shared" si="26"/>
        <v>0</v>
      </c>
      <c r="O865" s="19">
        <f t="shared" si="27"/>
        <v>420</v>
      </c>
      <c r="S865" s="20" t="str">
        <f>IFERROR(IF([1]对账明细接口!$N865=0,"",[1]对账明细接口!$N865),"")</f>
        <v/>
      </c>
      <c r="T865" s="21" t="str">
        <f>IFERROR(IF([1]对账明细接口!$O865=0,"",[1]对账明细接口!$O865),"")</f>
        <v/>
      </c>
      <c r="U865" s="21" t="str">
        <f>IFERROR(IF([1]对账明细接口!$P865=0,"",[1]对账明细接口!$P865),"")</f>
        <v/>
      </c>
      <c r="V865" s="21" t="str">
        <f>IFERROR(IF([1]对账明细接口!$Q865=0,"",[1]对账明细接口!$Q865),"")</f>
        <v/>
      </c>
      <c r="W865" s="20" t="str">
        <f>IFERROR(IF([1]对账明细接口!$R865=0,"",[1]对账明细接口!$R865),"")</f>
        <v/>
      </c>
      <c r="X865" s="20" t="str">
        <f>IFERROR(IF([1]对账明细接口!$S865=0,"",[1]对账明细接口!$S865),"")</f>
        <v/>
      </c>
      <c r="Y865" s="20" t="str">
        <f>IFERROR(IF([1]对账明细接口!$T865=0,"",[1]对账明细接口!$T865),"")</f>
        <v/>
      </c>
      <c r="Z865" s="24" t="str">
        <f>IFERROR(IF([1]对账明细接口!$U865=0,"",[1]对账明细接口!$U865),"")</f>
        <v/>
      </c>
      <c r="AA865" s="24" t="str">
        <f>IFERROR(IF([1]对账明细接口!$V865=0,"",[1]对账明细接口!$V865),"")</f>
        <v/>
      </c>
      <c r="AB865" s="20" t="str">
        <f>IFERROR(IF([1]对账明细接口!$W865=0,"",[1]对账明细接口!$W865),"")</f>
        <v/>
      </c>
      <c r="AC865" s="7" t="str">
        <f>IFERROR(IF([1]对账明细接口!$X865=0,"",[1]对账明细接口!$X865),"")</f>
        <v/>
      </c>
      <c r="AD865" s="7" t="str">
        <f>IFERROR(IF([1]对账明细接口!$Y865=0,"",[1]对账明细接口!$Y865),"")</f>
        <v/>
      </c>
      <c r="AE865" s="7" t="str">
        <f>IFERROR(IF([1]对账明细接口!$AA865=0,"",[1]对账明细接口!$AA865),"")</f>
        <v/>
      </c>
      <c r="AF865" s="7" t="str">
        <f>IFERROR(IF([1]对账明细接口!$AB865=0,"",[1]对账明细接口!$AB865),"")</f>
        <v/>
      </c>
      <c r="AG865" s="7" t="str">
        <f>IFERROR(IF([1]对账明细接口!$AC865=0,"",[1]对账明细接口!$AC865),"")</f>
        <v/>
      </c>
      <c r="AH865" s="7" t="str">
        <f>IFERROR(IF([1]对账明细接口!$AD865=0,"",[1]对账明细接口!$AD865),"")</f>
        <v/>
      </c>
      <c r="AI865" s="7" t="str">
        <f>IFERROR(IF([1]对账明细接口!$AE865=0,"",[1]对账明细接口!$AE865),"")</f>
        <v/>
      </c>
      <c r="AJ865" s="7" t="str">
        <f>IFERROR(IF([1]对账明细接口!$AF865=0,"",[1]对账明细接口!$AF865),"")</f>
        <v/>
      </c>
    </row>
    <row r="866" ht="14.25" customHeight="1" spans="1:36">
      <c r="A866" s="14">
        <v>866</v>
      </c>
      <c r="B866" s="15" t="str">
        <f>IFERROR(IF([1]对账明细接口!$B$866=0,"",[1]对账明细接口!$B$866),"")</f>
        <v/>
      </c>
      <c r="C866" s="16" t="str">
        <f>IFERROR(IF([1]对账明细接口!$C$866=0,"",[1]对账明细接口!$C$866),"")</f>
        <v/>
      </c>
      <c r="D866" s="16" t="str">
        <f>IFERROR(IF([1]对账明细接口!$D$866=0,"",[1]对账明细接口!$D$866),"")</f>
        <v/>
      </c>
      <c r="E866" s="16" t="str">
        <f>IFERROR(IF([1]对账明细接口!$E$866=0,"",[1]对账明细接口!$E$866),"")</f>
        <v/>
      </c>
      <c r="F866" s="16" t="str">
        <f>IFERROR(IF([1]对账明细接口!$F$866=0,"",[1]对账明细接口!$F$866),"")</f>
        <v/>
      </c>
      <c r="G866" s="16" t="str">
        <f>IFERROR(IF([1]对账明细接口!$G$866=0,"",[1]对账明细接口!$G$866),"")</f>
        <v/>
      </c>
      <c r="H866" s="17" t="str">
        <f>IFERROR(IF([1]对账明细接口!$H$866=0,"",[1]对账明细接口!$H$866),"")</f>
        <v/>
      </c>
      <c r="I866" s="16" t="str">
        <f>IFERROR(IF([1]对账明细接口!$I$866=0,"",[1]对账明细接口!$I$866),"")</f>
        <v/>
      </c>
      <c r="J866" s="18" t="str">
        <f>IFERROR(IF([1]对账明细接口!$J$866=0,"",[1]对账明细接口!$J$866),"")</f>
        <v/>
      </c>
      <c r="K866" s="18" t="str">
        <f>IFERROR(IF([1]对账明细接口!$K$866=0,"",[1]对账明细接口!$K$866),"")</f>
        <v/>
      </c>
      <c r="L866" s="16" t="str">
        <f>IFERROR(IF([1]对账明细接口!$L$866=0,"",[1]对账明细接口!$L$866),"")</f>
        <v/>
      </c>
      <c r="M866" s="16" t="str">
        <f>IFERROR(IF([1]对账明细接口!$M$866=0,"",[1]对账明细接口!$M$866),"")</f>
        <v/>
      </c>
      <c r="N866" s="19">
        <f t="shared" si="26"/>
        <v>0</v>
      </c>
      <c r="O866" s="19">
        <f t="shared" si="27"/>
        <v>420</v>
      </c>
      <c r="S866" s="20" t="str">
        <f>IFERROR(IF([1]对账明细接口!$N866=0,"",[1]对账明细接口!$N866),"")</f>
        <v/>
      </c>
      <c r="T866" s="21" t="str">
        <f>IFERROR(IF([1]对账明细接口!$O866=0,"",[1]对账明细接口!$O866),"")</f>
        <v/>
      </c>
      <c r="U866" s="21" t="str">
        <f>IFERROR(IF([1]对账明细接口!$P866=0,"",[1]对账明细接口!$P866),"")</f>
        <v/>
      </c>
      <c r="V866" s="21" t="str">
        <f>IFERROR(IF([1]对账明细接口!$Q866=0,"",[1]对账明细接口!$Q866),"")</f>
        <v/>
      </c>
      <c r="W866" s="20" t="str">
        <f>IFERROR(IF([1]对账明细接口!$R866=0,"",[1]对账明细接口!$R866),"")</f>
        <v/>
      </c>
      <c r="X866" s="20" t="str">
        <f>IFERROR(IF([1]对账明细接口!$S866=0,"",[1]对账明细接口!$S866),"")</f>
        <v/>
      </c>
      <c r="Y866" s="20" t="str">
        <f>IFERROR(IF([1]对账明细接口!$T866=0,"",[1]对账明细接口!$T866),"")</f>
        <v/>
      </c>
      <c r="Z866" s="24" t="str">
        <f>IFERROR(IF([1]对账明细接口!$U866=0,"",[1]对账明细接口!$U866),"")</f>
        <v/>
      </c>
      <c r="AA866" s="24" t="str">
        <f>IFERROR(IF([1]对账明细接口!$V866=0,"",[1]对账明细接口!$V866),"")</f>
        <v/>
      </c>
      <c r="AB866" s="20" t="str">
        <f>IFERROR(IF([1]对账明细接口!$W866=0,"",[1]对账明细接口!$W866),"")</f>
        <v/>
      </c>
      <c r="AC866" s="7" t="str">
        <f>IFERROR(IF([1]对账明细接口!$X866=0,"",[1]对账明细接口!$X866),"")</f>
        <v/>
      </c>
      <c r="AD866" s="7" t="str">
        <f>IFERROR(IF([1]对账明细接口!$Y866=0,"",[1]对账明细接口!$Y866),"")</f>
        <v/>
      </c>
      <c r="AE866" s="7" t="str">
        <f>IFERROR(IF([1]对账明细接口!$AA866=0,"",[1]对账明细接口!$AA866),"")</f>
        <v/>
      </c>
      <c r="AF866" s="7" t="str">
        <f>IFERROR(IF([1]对账明细接口!$AB866=0,"",[1]对账明细接口!$AB866),"")</f>
        <v/>
      </c>
      <c r="AG866" s="7" t="str">
        <f>IFERROR(IF([1]对账明细接口!$AC866=0,"",[1]对账明细接口!$AC866),"")</f>
        <v/>
      </c>
      <c r="AH866" s="7" t="str">
        <f>IFERROR(IF([1]对账明细接口!$AD866=0,"",[1]对账明细接口!$AD866),"")</f>
        <v/>
      </c>
      <c r="AI866" s="7" t="str">
        <f>IFERROR(IF([1]对账明细接口!$AE866=0,"",[1]对账明细接口!$AE866),"")</f>
        <v/>
      </c>
      <c r="AJ866" s="7" t="str">
        <f>IFERROR(IF([1]对账明细接口!$AF866=0,"",[1]对账明细接口!$AF866),"")</f>
        <v/>
      </c>
    </row>
    <row r="867" ht="14.25" customHeight="1" spans="1:36">
      <c r="A867" s="14">
        <v>867</v>
      </c>
      <c r="B867" s="15" t="str">
        <f>IFERROR(IF([1]对账明细接口!$B$867=0,"",[1]对账明细接口!$B$867),"")</f>
        <v/>
      </c>
      <c r="C867" s="16" t="str">
        <f>IFERROR(IF([1]对账明细接口!$C$867=0,"",[1]对账明细接口!$C$867),"")</f>
        <v/>
      </c>
      <c r="D867" s="16" t="str">
        <f>IFERROR(IF([1]对账明细接口!$D$867=0,"",[1]对账明细接口!$D$867),"")</f>
        <v/>
      </c>
      <c r="E867" s="16" t="str">
        <f>IFERROR(IF([1]对账明细接口!$E$867=0,"",[1]对账明细接口!$E$867),"")</f>
        <v/>
      </c>
      <c r="F867" s="16" t="str">
        <f>IFERROR(IF([1]对账明细接口!$F$867=0,"",[1]对账明细接口!$F$867),"")</f>
        <v/>
      </c>
      <c r="G867" s="16" t="str">
        <f>IFERROR(IF([1]对账明细接口!$G$867=0,"",[1]对账明细接口!$G$867),"")</f>
        <v/>
      </c>
      <c r="H867" s="17" t="str">
        <f>IFERROR(IF([1]对账明细接口!$H$867=0,"",[1]对账明细接口!$H$867),"")</f>
        <v/>
      </c>
      <c r="I867" s="16" t="str">
        <f>IFERROR(IF([1]对账明细接口!$I$867=0,"",[1]对账明细接口!$I$867),"")</f>
        <v/>
      </c>
      <c r="J867" s="18" t="str">
        <f>IFERROR(IF([1]对账明细接口!$J$867=0,"",[1]对账明细接口!$J$867),"")</f>
        <v/>
      </c>
      <c r="K867" s="18" t="str">
        <f>IFERROR(IF([1]对账明细接口!$K$867=0,"",[1]对账明细接口!$K$867),"")</f>
        <v/>
      </c>
      <c r="L867" s="16" t="str">
        <f>IFERROR(IF([1]对账明细接口!$L$867=0,"",[1]对账明细接口!$L$867),"")</f>
        <v/>
      </c>
      <c r="M867" s="16" t="str">
        <f>IFERROR(IF([1]对账明细接口!$M$867=0,"",[1]对账明细接口!$M$867),"")</f>
        <v/>
      </c>
      <c r="N867" s="19">
        <f t="shared" si="26"/>
        <v>0</v>
      </c>
      <c r="O867" s="19">
        <f t="shared" si="27"/>
        <v>420</v>
      </c>
      <c r="S867" s="20" t="str">
        <f>IFERROR(IF([1]对账明细接口!$N867=0,"",[1]对账明细接口!$N867),"")</f>
        <v/>
      </c>
      <c r="T867" s="21" t="str">
        <f>IFERROR(IF([1]对账明细接口!$O867=0,"",[1]对账明细接口!$O867),"")</f>
        <v/>
      </c>
      <c r="U867" s="21" t="str">
        <f>IFERROR(IF([1]对账明细接口!$P867=0,"",[1]对账明细接口!$P867),"")</f>
        <v/>
      </c>
      <c r="V867" s="21" t="str">
        <f>IFERROR(IF([1]对账明细接口!$Q867=0,"",[1]对账明细接口!$Q867),"")</f>
        <v/>
      </c>
      <c r="W867" s="20" t="str">
        <f>IFERROR(IF([1]对账明细接口!$R867=0,"",[1]对账明细接口!$R867),"")</f>
        <v/>
      </c>
      <c r="X867" s="20" t="str">
        <f>IFERROR(IF([1]对账明细接口!$S867=0,"",[1]对账明细接口!$S867),"")</f>
        <v/>
      </c>
      <c r="Y867" s="20" t="str">
        <f>IFERROR(IF([1]对账明细接口!$T867=0,"",[1]对账明细接口!$T867),"")</f>
        <v/>
      </c>
      <c r="Z867" s="24" t="str">
        <f>IFERROR(IF([1]对账明细接口!$U867=0,"",[1]对账明细接口!$U867),"")</f>
        <v/>
      </c>
      <c r="AA867" s="24" t="str">
        <f>IFERROR(IF([1]对账明细接口!$V867=0,"",[1]对账明细接口!$V867),"")</f>
        <v/>
      </c>
      <c r="AB867" s="20" t="str">
        <f>IFERROR(IF([1]对账明细接口!$W867=0,"",[1]对账明细接口!$W867),"")</f>
        <v/>
      </c>
      <c r="AC867" s="7" t="str">
        <f>IFERROR(IF([1]对账明细接口!$X867=0,"",[1]对账明细接口!$X867),"")</f>
        <v/>
      </c>
      <c r="AD867" s="7" t="str">
        <f>IFERROR(IF([1]对账明细接口!$Y867=0,"",[1]对账明细接口!$Y867),"")</f>
        <v/>
      </c>
      <c r="AE867" s="7" t="str">
        <f>IFERROR(IF([1]对账明细接口!$AA867=0,"",[1]对账明细接口!$AA867),"")</f>
        <v/>
      </c>
      <c r="AF867" s="7" t="str">
        <f>IFERROR(IF([1]对账明细接口!$AB867=0,"",[1]对账明细接口!$AB867),"")</f>
        <v/>
      </c>
      <c r="AG867" s="7" t="str">
        <f>IFERROR(IF([1]对账明细接口!$AC867=0,"",[1]对账明细接口!$AC867),"")</f>
        <v/>
      </c>
      <c r="AH867" s="7" t="str">
        <f>IFERROR(IF([1]对账明细接口!$AD867=0,"",[1]对账明细接口!$AD867),"")</f>
        <v/>
      </c>
      <c r="AI867" s="7" t="str">
        <f>IFERROR(IF([1]对账明细接口!$AE867=0,"",[1]对账明细接口!$AE867),"")</f>
        <v/>
      </c>
      <c r="AJ867" s="7" t="str">
        <f>IFERROR(IF([1]对账明细接口!$AF867=0,"",[1]对账明细接口!$AF867),"")</f>
        <v/>
      </c>
    </row>
    <row r="868" ht="14.25" customHeight="1" spans="1:36">
      <c r="A868" s="14">
        <v>868</v>
      </c>
      <c r="B868" s="15" t="str">
        <f>IFERROR(IF([1]对账明细接口!$B$868=0,"",[1]对账明细接口!$B$868),"")</f>
        <v/>
      </c>
      <c r="C868" s="16" t="str">
        <f>IFERROR(IF([1]对账明细接口!$C$868=0,"",[1]对账明细接口!$C$868),"")</f>
        <v/>
      </c>
      <c r="D868" s="16" t="str">
        <f>IFERROR(IF([1]对账明细接口!$D$868=0,"",[1]对账明细接口!$D$868),"")</f>
        <v/>
      </c>
      <c r="E868" s="16" t="str">
        <f>IFERROR(IF([1]对账明细接口!$E$868=0,"",[1]对账明细接口!$E$868),"")</f>
        <v/>
      </c>
      <c r="F868" s="16" t="str">
        <f>IFERROR(IF([1]对账明细接口!$F$868=0,"",[1]对账明细接口!$F$868),"")</f>
        <v/>
      </c>
      <c r="G868" s="16" t="str">
        <f>IFERROR(IF([1]对账明细接口!$G$868=0,"",[1]对账明细接口!$G$868),"")</f>
        <v/>
      </c>
      <c r="H868" s="17" t="str">
        <f>IFERROR(IF([1]对账明细接口!$H$868=0,"",[1]对账明细接口!$H$868),"")</f>
        <v/>
      </c>
      <c r="I868" s="16" t="str">
        <f>IFERROR(IF([1]对账明细接口!$I$868=0,"",[1]对账明细接口!$I$868),"")</f>
        <v/>
      </c>
      <c r="J868" s="18" t="str">
        <f>IFERROR(IF([1]对账明细接口!$J$868=0,"",[1]对账明细接口!$J$868),"")</f>
        <v/>
      </c>
      <c r="K868" s="18" t="str">
        <f>IFERROR(IF([1]对账明细接口!$K$868=0,"",[1]对账明细接口!$K$868),"")</f>
        <v/>
      </c>
      <c r="L868" s="16" t="str">
        <f>IFERROR(IF([1]对账明细接口!$L$868=0,"",[1]对账明细接口!$L$868),"")</f>
        <v/>
      </c>
      <c r="M868" s="16" t="str">
        <f>IFERROR(IF([1]对账明细接口!$M$868=0,"",[1]对账明细接口!$M$868),"")</f>
        <v/>
      </c>
      <c r="N868" s="19">
        <f t="shared" si="26"/>
        <v>0</v>
      </c>
      <c r="O868" s="19">
        <f t="shared" si="27"/>
        <v>420</v>
      </c>
      <c r="S868" s="20" t="str">
        <f>IFERROR(IF([1]对账明细接口!$N868=0,"",[1]对账明细接口!$N868),"")</f>
        <v/>
      </c>
      <c r="T868" s="21" t="str">
        <f>IFERROR(IF([1]对账明细接口!$O868=0,"",[1]对账明细接口!$O868),"")</f>
        <v/>
      </c>
      <c r="U868" s="21" t="str">
        <f>IFERROR(IF([1]对账明细接口!$P868=0,"",[1]对账明细接口!$P868),"")</f>
        <v/>
      </c>
      <c r="V868" s="21" t="str">
        <f>IFERROR(IF([1]对账明细接口!$Q868=0,"",[1]对账明细接口!$Q868),"")</f>
        <v/>
      </c>
      <c r="W868" s="20" t="str">
        <f>IFERROR(IF([1]对账明细接口!$R868=0,"",[1]对账明细接口!$R868),"")</f>
        <v/>
      </c>
      <c r="X868" s="20" t="str">
        <f>IFERROR(IF([1]对账明细接口!$S868=0,"",[1]对账明细接口!$S868),"")</f>
        <v/>
      </c>
      <c r="Y868" s="20" t="str">
        <f>IFERROR(IF([1]对账明细接口!$T868=0,"",[1]对账明细接口!$T868),"")</f>
        <v/>
      </c>
      <c r="Z868" s="24" t="str">
        <f>IFERROR(IF([1]对账明细接口!$U868=0,"",[1]对账明细接口!$U868),"")</f>
        <v/>
      </c>
      <c r="AA868" s="24" t="str">
        <f>IFERROR(IF([1]对账明细接口!$V868=0,"",[1]对账明细接口!$V868),"")</f>
        <v/>
      </c>
      <c r="AB868" s="20" t="str">
        <f>IFERROR(IF([1]对账明细接口!$W868=0,"",[1]对账明细接口!$W868),"")</f>
        <v/>
      </c>
      <c r="AC868" s="7" t="str">
        <f>IFERROR(IF([1]对账明细接口!$X868=0,"",[1]对账明细接口!$X868),"")</f>
        <v/>
      </c>
      <c r="AD868" s="7" t="str">
        <f>IFERROR(IF([1]对账明细接口!$Y868=0,"",[1]对账明细接口!$Y868),"")</f>
        <v/>
      </c>
      <c r="AE868" s="7" t="str">
        <f>IFERROR(IF([1]对账明细接口!$AA868=0,"",[1]对账明细接口!$AA868),"")</f>
        <v/>
      </c>
      <c r="AF868" s="7" t="str">
        <f>IFERROR(IF([1]对账明细接口!$AB868=0,"",[1]对账明细接口!$AB868),"")</f>
        <v/>
      </c>
      <c r="AG868" s="7" t="str">
        <f>IFERROR(IF([1]对账明细接口!$AC868=0,"",[1]对账明细接口!$AC868),"")</f>
        <v/>
      </c>
      <c r="AH868" s="7" t="str">
        <f>IFERROR(IF([1]对账明细接口!$AD868=0,"",[1]对账明细接口!$AD868),"")</f>
        <v/>
      </c>
      <c r="AI868" s="7" t="str">
        <f>IFERROR(IF([1]对账明细接口!$AE868=0,"",[1]对账明细接口!$AE868),"")</f>
        <v/>
      </c>
      <c r="AJ868" s="7" t="str">
        <f>IFERROR(IF([1]对账明细接口!$AF868=0,"",[1]对账明细接口!$AF868),"")</f>
        <v/>
      </c>
    </row>
    <row r="869" ht="14.25" customHeight="1" spans="1:36">
      <c r="A869" s="14">
        <v>869</v>
      </c>
      <c r="B869" s="15" t="str">
        <f>IFERROR(IF([1]对账明细接口!$B$869=0,"",[1]对账明细接口!$B$869),"")</f>
        <v/>
      </c>
      <c r="C869" s="16" t="str">
        <f>IFERROR(IF([1]对账明细接口!$C$869=0,"",[1]对账明细接口!$C$869),"")</f>
        <v/>
      </c>
      <c r="D869" s="16" t="str">
        <f>IFERROR(IF([1]对账明细接口!$D$869=0,"",[1]对账明细接口!$D$869),"")</f>
        <v/>
      </c>
      <c r="E869" s="16" t="str">
        <f>IFERROR(IF([1]对账明细接口!$E$869=0,"",[1]对账明细接口!$E$869),"")</f>
        <v/>
      </c>
      <c r="F869" s="16" t="str">
        <f>IFERROR(IF([1]对账明细接口!$F$869=0,"",[1]对账明细接口!$F$869),"")</f>
        <v/>
      </c>
      <c r="G869" s="16" t="str">
        <f>IFERROR(IF([1]对账明细接口!$G$869=0,"",[1]对账明细接口!$G$869),"")</f>
        <v/>
      </c>
      <c r="H869" s="17" t="str">
        <f>IFERROR(IF([1]对账明细接口!$H$869=0,"",[1]对账明细接口!$H$869),"")</f>
        <v/>
      </c>
      <c r="I869" s="16" t="str">
        <f>IFERROR(IF([1]对账明细接口!$I$869=0,"",[1]对账明细接口!$I$869),"")</f>
        <v/>
      </c>
      <c r="J869" s="18" t="str">
        <f>IFERROR(IF([1]对账明细接口!$J$869=0,"",[1]对账明细接口!$J$869),"")</f>
        <v/>
      </c>
      <c r="K869" s="18" t="str">
        <f>IFERROR(IF([1]对账明细接口!$K$869=0,"",[1]对账明细接口!$K$869),"")</f>
        <v/>
      </c>
      <c r="L869" s="16" t="str">
        <f>IFERROR(IF([1]对账明细接口!$L$869=0,"",[1]对账明细接口!$L$869),"")</f>
        <v/>
      </c>
      <c r="M869" s="16" t="str">
        <f>IFERROR(IF([1]对账明细接口!$M$869=0,"",[1]对账明细接口!$M$869),"")</f>
        <v/>
      </c>
      <c r="N869" s="19">
        <f t="shared" si="26"/>
        <v>0</v>
      </c>
      <c r="O869" s="19">
        <f t="shared" si="27"/>
        <v>420</v>
      </c>
      <c r="S869" s="20" t="str">
        <f>IFERROR(IF([1]对账明细接口!$N869=0,"",[1]对账明细接口!$N869),"")</f>
        <v/>
      </c>
      <c r="T869" s="21" t="str">
        <f>IFERROR(IF([1]对账明细接口!$O869=0,"",[1]对账明细接口!$O869),"")</f>
        <v/>
      </c>
      <c r="U869" s="21" t="str">
        <f>IFERROR(IF([1]对账明细接口!$P869=0,"",[1]对账明细接口!$P869),"")</f>
        <v/>
      </c>
      <c r="V869" s="21" t="str">
        <f>IFERROR(IF([1]对账明细接口!$Q869=0,"",[1]对账明细接口!$Q869),"")</f>
        <v/>
      </c>
      <c r="W869" s="20" t="str">
        <f>IFERROR(IF([1]对账明细接口!$R869=0,"",[1]对账明细接口!$R869),"")</f>
        <v/>
      </c>
      <c r="X869" s="20" t="str">
        <f>IFERROR(IF([1]对账明细接口!$S869=0,"",[1]对账明细接口!$S869),"")</f>
        <v/>
      </c>
      <c r="Y869" s="20" t="str">
        <f>IFERROR(IF([1]对账明细接口!$T869=0,"",[1]对账明细接口!$T869),"")</f>
        <v/>
      </c>
      <c r="Z869" s="24" t="str">
        <f>IFERROR(IF([1]对账明细接口!$U869=0,"",[1]对账明细接口!$U869),"")</f>
        <v/>
      </c>
      <c r="AA869" s="24" t="str">
        <f>IFERROR(IF([1]对账明细接口!$V869=0,"",[1]对账明细接口!$V869),"")</f>
        <v/>
      </c>
      <c r="AB869" s="20" t="str">
        <f>IFERROR(IF([1]对账明细接口!$W869=0,"",[1]对账明细接口!$W869),"")</f>
        <v/>
      </c>
      <c r="AC869" s="7" t="str">
        <f>IFERROR(IF([1]对账明细接口!$X869=0,"",[1]对账明细接口!$X869),"")</f>
        <v/>
      </c>
      <c r="AD869" s="7" t="str">
        <f>IFERROR(IF([1]对账明细接口!$Y869=0,"",[1]对账明细接口!$Y869),"")</f>
        <v/>
      </c>
      <c r="AE869" s="7" t="str">
        <f>IFERROR(IF([1]对账明细接口!$AA869=0,"",[1]对账明细接口!$AA869),"")</f>
        <v/>
      </c>
      <c r="AF869" s="7" t="str">
        <f>IFERROR(IF([1]对账明细接口!$AB869=0,"",[1]对账明细接口!$AB869),"")</f>
        <v/>
      </c>
      <c r="AG869" s="7" t="str">
        <f>IFERROR(IF([1]对账明细接口!$AC869=0,"",[1]对账明细接口!$AC869),"")</f>
        <v/>
      </c>
      <c r="AH869" s="7" t="str">
        <f>IFERROR(IF([1]对账明细接口!$AD869=0,"",[1]对账明细接口!$AD869),"")</f>
        <v/>
      </c>
      <c r="AI869" s="7" t="str">
        <f>IFERROR(IF([1]对账明细接口!$AE869=0,"",[1]对账明细接口!$AE869),"")</f>
        <v/>
      </c>
      <c r="AJ869" s="7" t="str">
        <f>IFERROR(IF([1]对账明细接口!$AF869=0,"",[1]对账明细接口!$AF869),"")</f>
        <v/>
      </c>
    </row>
    <row r="870" ht="14.25" customHeight="1" spans="1:36">
      <c r="A870" s="14">
        <v>870</v>
      </c>
      <c r="B870" s="15" t="str">
        <f>IFERROR(IF([1]对账明细接口!$B$870=0,"",[1]对账明细接口!$B$870),"")</f>
        <v/>
      </c>
      <c r="C870" s="16" t="str">
        <f>IFERROR(IF([1]对账明细接口!$C$870=0,"",[1]对账明细接口!$C$870),"")</f>
        <v/>
      </c>
      <c r="D870" s="16" t="str">
        <f>IFERROR(IF([1]对账明细接口!$D$870=0,"",[1]对账明细接口!$D$870),"")</f>
        <v/>
      </c>
      <c r="E870" s="16" t="str">
        <f>IFERROR(IF([1]对账明细接口!$E$870=0,"",[1]对账明细接口!$E$870),"")</f>
        <v/>
      </c>
      <c r="F870" s="16" t="str">
        <f>IFERROR(IF([1]对账明细接口!$F$870=0,"",[1]对账明细接口!$F$870),"")</f>
        <v/>
      </c>
      <c r="G870" s="16" t="str">
        <f>IFERROR(IF([1]对账明细接口!$G$870=0,"",[1]对账明细接口!$G$870),"")</f>
        <v/>
      </c>
      <c r="H870" s="17" t="str">
        <f>IFERROR(IF([1]对账明细接口!$H$870=0,"",[1]对账明细接口!$H$870),"")</f>
        <v/>
      </c>
      <c r="I870" s="16" t="str">
        <f>IFERROR(IF([1]对账明细接口!$I$870=0,"",[1]对账明细接口!$I$870),"")</f>
        <v/>
      </c>
      <c r="J870" s="18" t="str">
        <f>IFERROR(IF([1]对账明细接口!$J$870=0,"",[1]对账明细接口!$J$870),"")</f>
        <v/>
      </c>
      <c r="K870" s="18" t="str">
        <f>IFERROR(IF([1]对账明细接口!$K$870=0,"",[1]对账明细接口!$K$870),"")</f>
        <v/>
      </c>
      <c r="L870" s="16" t="str">
        <f>IFERROR(IF([1]对账明细接口!$L$870=0,"",[1]对账明细接口!$L$870),"")</f>
        <v/>
      </c>
      <c r="M870" s="16" t="str">
        <f>IFERROR(IF([1]对账明细接口!$M$870=0,"",[1]对账明细接口!$M$870),"")</f>
        <v/>
      </c>
      <c r="N870" s="19">
        <f t="shared" si="26"/>
        <v>0</v>
      </c>
      <c r="O870" s="19">
        <f t="shared" si="27"/>
        <v>420</v>
      </c>
      <c r="S870" s="20" t="str">
        <f>IFERROR(IF([1]对账明细接口!$N870=0,"",[1]对账明细接口!$N870),"")</f>
        <v/>
      </c>
      <c r="T870" s="21" t="str">
        <f>IFERROR(IF([1]对账明细接口!$O870=0,"",[1]对账明细接口!$O870),"")</f>
        <v/>
      </c>
      <c r="U870" s="21" t="str">
        <f>IFERROR(IF([1]对账明细接口!$P870=0,"",[1]对账明细接口!$P870),"")</f>
        <v/>
      </c>
      <c r="V870" s="21" t="str">
        <f>IFERROR(IF([1]对账明细接口!$Q870=0,"",[1]对账明细接口!$Q870),"")</f>
        <v/>
      </c>
      <c r="W870" s="20" t="str">
        <f>IFERROR(IF([1]对账明细接口!$R870=0,"",[1]对账明细接口!$R870),"")</f>
        <v/>
      </c>
      <c r="X870" s="20" t="str">
        <f>IFERROR(IF([1]对账明细接口!$S870=0,"",[1]对账明细接口!$S870),"")</f>
        <v/>
      </c>
      <c r="Y870" s="20" t="str">
        <f>IFERROR(IF([1]对账明细接口!$T870=0,"",[1]对账明细接口!$T870),"")</f>
        <v/>
      </c>
      <c r="Z870" s="24" t="str">
        <f>IFERROR(IF([1]对账明细接口!$U870=0,"",[1]对账明细接口!$U870),"")</f>
        <v/>
      </c>
      <c r="AA870" s="24" t="str">
        <f>IFERROR(IF([1]对账明细接口!$V870=0,"",[1]对账明细接口!$V870),"")</f>
        <v/>
      </c>
      <c r="AB870" s="20" t="str">
        <f>IFERROR(IF([1]对账明细接口!$W870=0,"",[1]对账明细接口!$W870),"")</f>
        <v/>
      </c>
      <c r="AC870" s="7" t="str">
        <f>IFERROR(IF([1]对账明细接口!$X870=0,"",[1]对账明细接口!$X870),"")</f>
        <v/>
      </c>
      <c r="AD870" s="7" t="str">
        <f>IFERROR(IF([1]对账明细接口!$Y870=0,"",[1]对账明细接口!$Y870),"")</f>
        <v/>
      </c>
      <c r="AE870" s="7" t="str">
        <f>IFERROR(IF([1]对账明细接口!$AA870=0,"",[1]对账明细接口!$AA870),"")</f>
        <v/>
      </c>
      <c r="AF870" s="7" t="str">
        <f>IFERROR(IF([1]对账明细接口!$AB870=0,"",[1]对账明细接口!$AB870),"")</f>
        <v/>
      </c>
      <c r="AG870" s="7" t="str">
        <f>IFERROR(IF([1]对账明细接口!$AC870=0,"",[1]对账明细接口!$AC870),"")</f>
        <v/>
      </c>
      <c r="AH870" s="7" t="str">
        <f>IFERROR(IF([1]对账明细接口!$AD870=0,"",[1]对账明细接口!$AD870),"")</f>
        <v/>
      </c>
      <c r="AI870" s="7" t="str">
        <f>IFERROR(IF([1]对账明细接口!$AE870=0,"",[1]对账明细接口!$AE870),"")</f>
        <v/>
      </c>
      <c r="AJ870" s="7" t="str">
        <f>IFERROR(IF([1]对账明细接口!$AF870=0,"",[1]对账明细接口!$AF870),"")</f>
        <v/>
      </c>
    </row>
    <row r="871" ht="14.25" customHeight="1" spans="1:36">
      <c r="A871" s="14">
        <v>871</v>
      </c>
      <c r="B871" s="15" t="str">
        <f>IFERROR(IF([1]对账明细接口!$B$871=0,"",[1]对账明细接口!$B$871),"")</f>
        <v/>
      </c>
      <c r="C871" s="16" t="str">
        <f>IFERROR(IF([1]对账明细接口!$C$871=0,"",[1]对账明细接口!$C$871),"")</f>
        <v/>
      </c>
      <c r="D871" s="16" t="str">
        <f>IFERROR(IF([1]对账明细接口!$D$871=0,"",[1]对账明细接口!$D$871),"")</f>
        <v/>
      </c>
      <c r="E871" s="16" t="str">
        <f>IFERROR(IF([1]对账明细接口!$E$871=0,"",[1]对账明细接口!$E$871),"")</f>
        <v/>
      </c>
      <c r="F871" s="16" t="str">
        <f>IFERROR(IF([1]对账明细接口!$F$871=0,"",[1]对账明细接口!$F$871),"")</f>
        <v/>
      </c>
      <c r="G871" s="16" t="str">
        <f>IFERROR(IF([1]对账明细接口!$G$871=0,"",[1]对账明细接口!$G$871),"")</f>
        <v/>
      </c>
      <c r="H871" s="17" t="str">
        <f>IFERROR(IF([1]对账明细接口!$H$871=0,"",[1]对账明细接口!$H$871),"")</f>
        <v/>
      </c>
      <c r="I871" s="16" t="str">
        <f>IFERROR(IF([1]对账明细接口!$I$871=0,"",[1]对账明细接口!$I$871),"")</f>
        <v/>
      </c>
      <c r="J871" s="18" t="str">
        <f>IFERROR(IF([1]对账明细接口!$J$871=0,"",[1]对账明细接口!$J$871),"")</f>
        <v/>
      </c>
      <c r="K871" s="18" t="str">
        <f>IFERROR(IF([1]对账明细接口!$K$871=0,"",[1]对账明细接口!$K$871),"")</f>
        <v/>
      </c>
      <c r="L871" s="16" t="str">
        <f>IFERROR(IF([1]对账明细接口!$L$871=0,"",[1]对账明细接口!$L$871),"")</f>
        <v/>
      </c>
      <c r="M871" s="16" t="str">
        <f>IFERROR(IF([1]对账明细接口!$M$871=0,"",[1]对账明细接口!$M$871),"")</f>
        <v/>
      </c>
      <c r="N871" s="19">
        <f t="shared" si="26"/>
        <v>0</v>
      </c>
      <c r="O871" s="19">
        <f t="shared" si="27"/>
        <v>420</v>
      </c>
      <c r="S871" s="20" t="str">
        <f>IFERROR(IF([1]对账明细接口!$N871=0,"",[1]对账明细接口!$N871),"")</f>
        <v/>
      </c>
      <c r="T871" s="21" t="str">
        <f>IFERROR(IF([1]对账明细接口!$O871=0,"",[1]对账明细接口!$O871),"")</f>
        <v/>
      </c>
      <c r="U871" s="21" t="str">
        <f>IFERROR(IF([1]对账明细接口!$P871=0,"",[1]对账明细接口!$P871),"")</f>
        <v/>
      </c>
      <c r="V871" s="21" t="str">
        <f>IFERROR(IF([1]对账明细接口!$Q871=0,"",[1]对账明细接口!$Q871),"")</f>
        <v/>
      </c>
      <c r="W871" s="20" t="str">
        <f>IFERROR(IF([1]对账明细接口!$R871=0,"",[1]对账明细接口!$R871),"")</f>
        <v/>
      </c>
      <c r="X871" s="20" t="str">
        <f>IFERROR(IF([1]对账明细接口!$S871=0,"",[1]对账明细接口!$S871),"")</f>
        <v/>
      </c>
      <c r="Y871" s="20" t="str">
        <f>IFERROR(IF([1]对账明细接口!$T871=0,"",[1]对账明细接口!$T871),"")</f>
        <v/>
      </c>
      <c r="Z871" s="24" t="str">
        <f>IFERROR(IF([1]对账明细接口!$U871=0,"",[1]对账明细接口!$U871),"")</f>
        <v/>
      </c>
      <c r="AA871" s="24" t="str">
        <f>IFERROR(IF([1]对账明细接口!$V871=0,"",[1]对账明细接口!$V871),"")</f>
        <v/>
      </c>
      <c r="AB871" s="20" t="str">
        <f>IFERROR(IF([1]对账明细接口!$W871=0,"",[1]对账明细接口!$W871),"")</f>
        <v/>
      </c>
      <c r="AC871" s="7" t="str">
        <f>IFERROR(IF([1]对账明细接口!$X871=0,"",[1]对账明细接口!$X871),"")</f>
        <v/>
      </c>
      <c r="AD871" s="7" t="str">
        <f>IFERROR(IF([1]对账明细接口!$Y871=0,"",[1]对账明细接口!$Y871),"")</f>
        <v/>
      </c>
      <c r="AE871" s="7" t="str">
        <f>IFERROR(IF([1]对账明细接口!$AA871=0,"",[1]对账明细接口!$AA871),"")</f>
        <v/>
      </c>
      <c r="AF871" s="7" t="str">
        <f>IFERROR(IF([1]对账明细接口!$AB871=0,"",[1]对账明细接口!$AB871),"")</f>
        <v/>
      </c>
      <c r="AG871" s="7" t="str">
        <f>IFERROR(IF([1]对账明细接口!$AC871=0,"",[1]对账明细接口!$AC871),"")</f>
        <v/>
      </c>
      <c r="AH871" s="7" t="str">
        <f>IFERROR(IF([1]对账明细接口!$AD871=0,"",[1]对账明细接口!$AD871),"")</f>
        <v/>
      </c>
      <c r="AI871" s="7" t="str">
        <f>IFERROR(IF([1]对账明细接口!$AE871=0,"",[1]对账明细接口!$AE871),"")</f>
        <v/>
      </c>
      <c r="AJ871" s="7" t="str">
        <f>IFERROR(IF([1]对账明细接口!$AF871=0,"",[1]对账明细接口!$AF871),"")</f>
        <v/>
      </c>
    </row>
    <row r="872" ht="14.25" customHeight="1" spans="1:36">
      <c r="A872" s="14">
        <v>872</v>
      </c>
      <c r="B872" s="15" t="str">
        <f>IFERROR(IF([1]对账明细接口!$B$872=0,"",[1]对账明细接口!$B$872),"")</f>
        <v/>
      </c>
      <c r="C872" s="16" t="str">
        <f>IFERROR(IF([1]对账明细接口!$C$872=0,"",[1]对账明细接口!$C$872),"")</f>
        <v/>
      </c>
      <c r="D872" s="16" t="str">
        <f>IFERROR(IF([1]对账明细接口!$D$872=0,"",[1]对账明细接口!$D$872),"")</f>
        <v/>
      </c>
      <c r="E872" s="16" t="str">
        <f>IFERROR(IF([1]对账明细接口!$E$872=0,"",[1]对账明细接口!$E$872),"")</f>
        <v/>
      </c>
      <c r="F872" s="16" t="str">
        <f>IFERROR(IF([1]对账明细接口!$F$872=0,"",[1]对账明细接口!$F$872),"")</f>
        <v/>
      </c>
      <c r="G872" s="16" t="str">
        <f>IFERROR(IF([1]对账明细接口!$G$872=0,"",[1]对账明细接口!$G$872),"")</f>
        <v/>
      </c>
      <c r="H872" s="17" t="str">
        <f>IFERROR(IF([1]对账明细接口!$H$872=0,"",[1]对账明细接口!$H$872),"")</f>
        <v/>
      </c>
      <c r="I872" s="16" t="str">
        <f>IFERROR(IF([1]对账明细接口!$I$872=0,"",[1]对账明细接口!$I$872),"")</f>
        <v/>
      </c>
      <c r="J872" s="18" t="str">
        <f>IFERROR(IF([1]对账明细接口!$J$872=0,"",[1]对账明细接口!$J$872),"")</f>
        <v/>
      </c>
      <c r="K872" s="18" t="str">
        <f>IFERROR(IF([1]对账明细接口!$K$872=0,"",[1]对账明细接口!$K$872),"")</f>
        <v/>
      </c>
      <c r="L872" s="16" t="str">
        <f>IFERROR(IF([1]对账明细接口!$L$872=0,"",[1]对账明细接口!$L$872),"")</f>
        <v/>
      </c>
      <c r="M872" s="16" t="str">
        <f>IFERROR(IF([1]对账明细接口!$M$872=0,"",[1]对账明细接口!$M$872),"")</f>
        <v/>
      </c>
      <c r="N872" s="19">
        <f t="shared" si="26"/>
        <v>0</v>
      </c>
      <c r="O872" s="19">
        <f t="shared" si="27"/>
        <v>420</v>
      </c>
      <c r="S872" s="20" t="str">
        <f>IFERROR(IF([1]对账明细接口!$N872=0,"",[1]对账明细接口!$N872),"")</f>
        <v/>
      </c>
      <c r="T872" s="21" t="str">
        <f>IFERROR(IF([1]对账明细接口!$O872=0,"",[1]对账明细接口!$O872),"")</f>
        <v/>
      </c>
      <c r="U872" s="21" t="str">
        <f>IFERROR(IF([1]对账明细接口!$P872=0,"",[1]对账明细接口!$P872),"")</f>
        <v/>
      </c>
      <c r="V872" s="21" t="str">
        <f>IFERROR(IF([1]对账明细接口!$Q872=0,"",[1]对账明细接口!$Q872),"")</f>
        <v/>
      </c>
      <c r="W872" s="20" t="str">
        <f>IFERROR(IF([1]对账明细接口!$R872=0,"",[1]对账明细接口!$R872),"")</f>
        <v/>
      </c>
      <c r="X872" s="20" t="str">
        <f>IFERROR(IF([1]对账明细接口!$S872=0,"",[1]对账明细接口!$S872),"")</f>
        <v/>
      </c>
      <c r="Y872" s="20" t="str">
        <f>IFERROR(IF([1]对账明细接口!$T872=0,"",[1]对账明细接口!$T872),"")</f>
        <v/>
      </c>
      <c r="Z872" s="24" t="str">
        <f>IFERROR(IF([1]对账明细接口!$U872=0,"",[1]对账明细接口!$U872),"")</f>
        <v/>
      </c>
      <c r="AA872" s="24" t="str">
        <f>IFERROR(IF([1]对账明细接口!$V872=0,"",[1]对账明细接口!$V872),"")</f>
        <v/>
      </c>
      <c r="AB872" s="20" t="str">
        <f>IFERROR(IF([1]对账明细接口!$W872=0,"",[1]对账明细接口!$W872),"")</f>
        <v/>
      </c>
      <c r="AC872" s="7" t="str">
        <f>IFERROR(IF([1]对账明细接口!$X872=0,"",[1]对账明细接口!$X872),"")</f>
        <v/>
      </c>
      <c r="AD872" s="7" t="str">
        <f>IFERROR(IF([1]对账明细接口!$Y872=0,"",[1]对账明细接口!$Y872),"")</f>
        <v/>
      </c>
      <c r="AE872" s="7" t="str">
        <f>IFERROR(IF([1]对账明细接口!$AA872=0,"",[1]对账明细接口!$AA872),"")</f>
        <v/>
      </c>
      <c r="AF872" s="7" t="str">
        <f>IFERROR(IF([1]对账明细接口!$AB872=0,"",[1]对账明细接口!$AB872),"")</f>
        <v/>
      </c>
      <c r="AG872" s="7" t="str">
        <f>IFERROR(IF([1]对账明细接口!$AC872=0,"",[1]对账明细接口!$AC872),"")</f>
        <v/>
      </c>
      <c r="AH872" s="7" t="str">
        <f>IFERROR(IF([1]对账明细接口!$AD872=0,"",[1]对账明细接口!$AD872),"")</f>
        <v/>
      </c>
      <c r="AI872" s="7" t="str">
        <f>IFERROR(IF([1]对账明细接口!$AE872=0,"",[1]对账明细接口!$AE872),"")</f>
        <v/>
      </c>
      <c r="AJ872" s="7" t="str">
        <f>IFERROR(IF([1]对账明细接口!$AF872=0,"",[1]对账明细接口!$AF872),"")</f>
        <v/>
      </c>
    </row>
    <row r="873" ht="14.25" customHeight="1" spans="1:36">
      <c r="A873" s="14">
        <v>873</v>
      </c>
      <c r="B873" s="15" t="str">
        <f>IFERROR(IF([1]对账明细接口!$B$873=0,"",[1]对账明细接口!$B$873),"")</f>
        <v/>
      </c>
      <c r="C873" s="16" t="str">
        <f>IFERROR(IF([1]对账明细接口!$C$873=0,"",[1]对账明细接口!$C$873),"")</f>
        <v/>
      </c>
      <c r="D873" s="16" t="str">
        <f>IFERROR(IF([1]对账明细接口!$D$873=0,"",[1]对账明细接口!$D$873),"")</f>
        <v/>
      </c>
      <c r="E873" s="16" t="str">
        <f>IFERROR(IF([1]对账明细接口!$E$873=0,"",[1]对账明细接口!$E$873),"")</f>
        <v/>
      </c>
      <c r="F873" s="16" t="str">
        <f>IFERROR(IF([1]对账明细接口!$F$873=0,"",[1]对账明细接口!$F$873),"")</f>
        <v/>
      </c>
      <c r="G873" s="16" t="str">
        <f>IFERROR(IF([1]对账明细接口!$G$873=0,"",[1]对账明细接口!$G$873),"")</f>
        <v/>
      </c>
      <c r="H873" s="17" t="str">
        <f>IFERROR(IF([1]对账明细接口!$H$873=0,"",[1]对账明细接口!$H$873),"")</f>
        <v/>
      </c>
      <c r="I873" s="16" t="str">
        <f>IFERROR(IF([1]对账明细接口!$I$873=0,"",[1]对账明细接口!$I$873),"")</f>
        <v/>
      </c>
      <c r="J873" s="18" t="str">
        <f>IFERROR(IF([1]对账明细接口!$J$873=0,"",[1]对账明细接口!$J$873),"")</f>
        <v/>
      </c>
      <c r="K873" s="18" t="str">
        <f>IFERROR(IF([1]对账明细接口!$K$873=0,"",[1]对账明细接口!$K$873),"")</f>
        <v/>
      </c>
      <c r="L873" s="16" t="str">
        <f>IFERROR(IF([1]对账明细接口!$L$873=0,"",[1]对账明细接口!$L$873),"")</f>
        <v/>
      </c>
      <c r="M873" s="16" t="str">
        <f>IFERROR(IF([1]对账明细接口!$M$873=0,"",[1]对账明细接口!$M$873),"")</f>
        <v/>
      </c>
      <c r="N873" s="19">
        <f t="shared" si="26"/>
        <v>0</v>
      </c>
      <c r="O873" s="19">
        <f t="shared" si="27"/>
        <v>420</v>
      </c>
      <c r="S873" s="20" t="str">
        <f>IFERROR(IF([1]对账明细接口!$N873=0,"",[1]对账明细接口!$N873),"")</f>
        <v/>
      </c>
      <c r="T873" s="21" t="str">
        <f>IFERROR(IF([1]对账明细接口!$O873=0,"",[1]对账明细接口!$O873),"")</f>
        <v/>
      </c>
      <c r="U873" s="21" t="str">
        <f>IFERROR(IF([1]对账明细接口!$P873=0,"",[1]对账明细接口!$P873),"")</f>
        <v/>
      </c>
      <c r="V873" s="21" t="str">
        <f>IFERROR(IF([1]对账明细接口!$Q873=0,"",[1]对账明细接口!$Q873),"")</f>
        <v/>
      </c>
      <c r="W873" s="20" t="str">
        <f>IFERROR(IF([1]对账明细接口!$R873=0,"",[1]对账明细接口!$R873),"")</f>
        <v/>
      </c>
      <c r="X873" s="20" t="str">
        <f>IFERROR(IF([1]对账明细接口!$S873=0,"",[1]对账明细接口!$S873),"")</f>
        <v/>
      </c>
      <c r="Y873" s="20" t="str">
        <f>IFERROR(IF([1]对账明细接口!$T873=0,"",[1]对账明细接口!$T873),"")</f>
        <v/>
      </c>
      <c r="Z873" s="24" t="str">
        <f>IFERROR(IF([1]对账明细接口!$U873=0,"",[1]对账明细接口!$U873),"")</f>
        <v/>
      </c>
      <c r="AA873" s="24" t="str">
        <f>IFERROR(IF([1]对账明细接口!$V873=0,"",[1]对账明细接口!$V873),"")</f>
        <v/>
      </c>
      <c r="AB873" s="20" t="str">
        <f>IFERROR(IF([1]对账明细接口!$W873=0,"",[1]对账明细接口!$W873),"")</f>
        <v/>
      </c>
      <c r="AC873" s="7" t="str">
        <f>IFERROR(IF([1]对账明细接口!$X873=0,"",[1]对账明细接口!$X873),"")</f>
        <v/>
      </c>
      <c r="AD873" s="7" t="str">
        <f>IFERROR(IF([1]对账明细接口!$Y873=0,"",[1]对账明细接口!$Y873),"")</f>
        <v/>
      </c>
      <c r="AE873" s="7" t="str">
        <f>IFERROR(IF([1]对账明细接口!$AA873=0,"",[1]对账明细接口!$AA873),"")</f>
        <v/>
      </c>
      <c r="AF873" s="7" t="str">
        <f>IFERROR(IF([1]对账明细接口!$AB873=0,"",[1]对账明细接口!$AB873),"")</f>
        <v/>
      </c>
      <c r="AG873" s="7" t="str">
        <f>IFERROR(IF([1]对账明细接口!$AC873=0,"",[1]对账明细接口!$AC873),"")</f>
        <v/>
      </c>
      <c r="AH873" s="7" t="str">
        <f>IFERROR(IF([1]对账明细接口!$AD873=0,"",[1]对账明细接口!$AD873),"")</f>
        <v/>
      </c>
      <c r="AI873" s="7" t="str">
        <f>IFERROR(IF([1]对账明细接口!$AE873=0,"",[1]对账明细接口!$AE873),"")</f>
        <v/>
      </c>
      <c r="AJ873" s="7" t="str">
        <f>IFERROR(IF([1]对账明细接口!$AF873=0,"",[1]对账明细接口!$AF873),"")</f>
        <v/>
      </c>
    </row>
    <row r="874" ht="14.25" customHeight="1" spans="1:36">
      <c r="A874" s="14">
        <v>874</v>
      </c>
      <c r="B874" s="15" t="str">
        <f>IFERROR(IF([1]对账明细接口!$B$874=0,"",[1]对账明细接口!$B$874),"")</f>
        <v/>
      </c>
      <c r="C874" s="16" t="str">
        <f>IFERROR(IF([1]对账明细接口!$C$874=0,"",[1]对账明细接口!$C$874),"")</f>
        <v/>
      </c>
      <c r="D874" s="16" t="str">
        <f>IFERROR(IF([1]对账明细接口!$D$874=0,"",[1]对账明细接口!$D$874),"")</f>
        <v/>
      </c>
      <c r="E874" s="16" t="str">
        <f>IFERROR(IF([1]对账明细接口!$E$874=0,"",[1]对账明细接口!$E$874),"")</f>
        <v/>
      </c>
      <c r="F874" s="16" t="str">
        <f>IFERROR(IF([1]对账明细接口!$F$874=0,"",[1]对账明细接口!$F$874),"")</f>
        <v/>
      </c>
      <c r="G874" s="16" t="str">
        <f>IFERROR(IF([1]对账明细接口!$G$874=0,"",[1]对账明细接口!$G$874),"")</f>
        <v/>
      </c>
      <c r="H874" s="17" t="str">
        <f>IFERROR(IF([1]对账明细接口!$H$874=0,"",[1]对账明细接口!$H$874),"")</f>
        <v/>
      </c>
      <c r="I874" s="16" t="str">
        <f>IFERROR(IF([1]对账明细接口!$I$874=0,"",[1]对账明细接口!$I$874),"")</f>
        <v/>
      </c>
      <c r="J874" s="18" t="str">
        <f>IFERROR(IF([1]对账明细接口!$J$874=0,"",[1]对账明细接口!$J$874),"")</f>
        <v/>
      </c>
      <c r="K874" s="18" t="str">
        <f>IFERROR(IF([1]对账明细接口!$K$874=0,"",[1]对账明细接口!$K$874),"")</f>
        <v/>
      </c>
      <c r="L874" s="16" t="str">
        <f>IFERROR(IF([1]对账明细接口!$L$874=0,"",[1]对账明细接口!$L$874),"")</f>
        <v/>
      </c>
      <c r="M874" s="16" t="str">
        <f>IFERROR(IF([1]对账明细接口!$M$874=0,"",[1]对账明细接口!$M$874),"")</f>
        <v/>
      </c>
      <c r="N874" s="19">
        <f t="shared" si="26"/>
        <v>0</v>
      </c>
      <c r="O874" s="19">
        <f t="shared" si="27"/>
        <v>420</v>
      </c>
      <c r="S874" s="20" t="str">
        <f>IFERROR(IF([1]对账明细接口!$N874=0,"",[1]对账明细接口!$N874),"")</f>
        <v/>
      </c>
      <c r="T874" s="21" t="str">
        <f>IFERROR(IF([1]对账明细接口!$O874=0,"",[1]对账明细接口!$O874),"")</f>
        <v/>
      </c>
      <c r="U874" s="21" t="str">
        <f>IFERROR(IF([1]对账明细接口!$P874=0,"",[1]对账明细接口!$P874),"")</f>
        <v/>
      </c>
      <c r="V874" s="21" t="str">
        <f>IFERROR(IF([1]对账明细接口!$Q874=0,"",[1]对账明细接口!$Q874),"")</f>
        <v/>
      </c>
      <c r="W874" s="20" t="str">
        <f>IFERROR(IF([1]对账明细接口!$R874=0,"",[1]对账明细接口!$R874),"")</f>
        <v/>
      </c>
      <c r="X874" s="20" t="str">
        <f>IFERROR(IF([1]对账明细接口!$S874=0,"",[1]对账明细接口!$S874),"")</f>
        <v/>
      </c>
      <c r="Y874" s="20" t="str">
        <f>IFERROR(IF([1]对账明细接口!$T874=0,"",[1]对账明细接口!$T874),"")</f>
        <v/>
      </c>
      <c r="Z874" s="24" t="str">
        <f>IFERROR(IF([1]对账明细接口!$U874=0,"",[1]对账明细接口!$U874),"")</f>
        <v/>
      </c>
      <c r="AA874" s="24" t="str">
        <f>IFERROR(IF([1]对账明细接口!$V874=0,"",[1]对账明细接口!$V874),"")</f>
        <v/>
      </c>
      <c r="AB874" s="20" t="str">
        <f>IFERROR(IF([1]对账明细接口!$W874=0,"",[1]对账明细接口!$W874),"")</f>
        <v/>
      </c>
      <c r="AC874" s="7" t="str">
        <f>IFERROR(IF([1]对账明细接口!$X874=0,"",[1]对账明细接口!$X874),"")</f>
        <v/>
      </c>
      <c r="AD874" s="7" t="str">
        <f>IFERROR(IF([1]对账明细接口!$Y874=0,"",[1]对账明细接口!$Y874),"")</f>
        <v/>
      </c>
      <c r="AE874" s="7" t="str">
        <f>IFERROR(IF([1]对账明细接口!$AA874=0,"",[1]对账明细接口!$AA874),"")</f>
        <v/>
      </c>
      <c r="AF874" s="7" t="str">
        <f>IFERROR(IF([1]对账明细接口!$AB874=0,"",[1]对账明细接口!$AB874),"")</f>
        <v/>
      </c>
      <c r="AG874" s="7" t="str">
        <f>IFERROR(IF([1]对账明细接口!$AC874=0,"",[1]对账明细接口!$AC874),"")</f>
        <v/>
      </c>
      <c r="AH874" s="7" t="str">
        <f>IFERROR(IF([1]对账明细接口!$AD874=0,"",[1]对账明细接口!$AD874),"")</f>
        <v/>
      </c>
      <c r="AI874" s="7" t="str">
        <f>IFERROR(IF([1]对账明细接口!$AE874=0,"",[1]对账明细接口!$AE874),"")</f>
        <v/>
      </c>
      <c r="AJ874" s="7" t="str">
        <f>IFERROR(IF([1]对账明细接口!$AF874=0,"",[1]对账明细接口!$AF874),"")</f>
        <v/>
      </c>
    </row>
    <row r="875" ht="14.25" customHeight="1" spans="1:36">
      <c r="A875" s="14">
        <v>875</v>
      </c>
      <c r="B875" s="15" t="str">
        <f>IFERROR(IF([1]对账明细接口!$B$875=0,"",[1]对账明细接口!$B$875),"")</f>
        <v/>
      </c>
      <c r="C875" s="16" t="str">
        <f>IFERROR(IF([1]对账明细接口!$C$875=0,"",[1]对账明细接口!$C$875),"")</f>
        <v/>
      </c>
      <c r="D875" s="16" t="str">
        <f>IFERROR(IF([1]对账明细接口!$D$875=0,"",[1]对账明细接口!$D$875),"")</f>
        <v/>
      </c>
      <c r="E875" s="16" t="str">
        <f>IFERROR(IF([1]对账明细接口!$E$875=0,"",[1]对账明细接口!$E$875),"")</f>
        <v/>
      </c>
      <c r="F875" s="16" t="str">
        <f>IFERROR(IF([1]对账明细接口!$F$875=0,"",[1]对账明细接口!$F$875),"")</f>
        <v/>
      </c>
      <c r="G875" s="16" t="str">
        <f>IFERROR(IF([1]对账明细接口!$G$875=0,"",[1]对账明细接口!$G$875),"")</f>
        <v/>
      </c>
      <c r="H875" s="17" t="str">
        <f>IFERROR(IF([1]对账明细接口!$H$875=0,"",[1]对账明细接口!$H$875),"")</f>
        <v/>
      </c>
      <c r="I875" s="16" t="str">
        <f>IFERROR(IF([1]对账明细接口!$I$875=0,"",[1]对账明细接口!$I$875),"")</f>
        <v/>
      </c>
      <c r="J875" s="18" t="str">
        <f>IFERROR(IF([1]对账明细接口!$J$875=0,"",[1]对账明细接口!$J$875),"")</f>
        <v/>
      </c>
      <c r="K875" s="18" t="str">
        <f>IFERROR(IF([1]对账明细接口!$K$875=0,"",[1]对账明细接口!$K$875),"")</f>
        <v/>
      </c>
      <c r="L875" s="16" t="str">
        <f>IFERROR(IF([1]对账明细接口!$L$875=0,"",[1]对账明细接口!$L$875),"")</f>
        <v/>
      </c>
      <c r="M875" s="16" t="str">
        <f>IFERROR(IF([1]对账明细接口!$M$875=0,"",[1]对账明细接口!$M$875),"")</f>
        <v/>
      </c>
      <c r="N875" s="19">
        <f t="shared" si="26"/>
        <v>0</v>
      </c>
      <c r="O875" s="19">
        <f t="shared" si="27"/>
        <v>420</v>
      </c>
      <c r="S875" s="20" t="str">
        <f>IFERROR(IF([1]对账明细接口!$N875=0,"",[1]对账明细接口!$N875),"")</f>
        <v/>
      </c>
      <c r="T875" s="21" t="str">
        <f>IFERROR(IF([1]对账明细接口!$O875=0,"",[1]对账明细接口!$O875),"")</f>
        <v/>
      </c>
      <c r="U875" s="21" t="str">
        <f>IFERROR(IF([1]对账明细接口!$P875=0,"",[1]对账明细接口!$P875),"")</f>
        <v/>
      </c>
      <c r="V875" s="21" t="str">
        <f>IFERROR(IF([1]对账明细接口!$Q875=0,"",[1]对账明细接口!$Q875),"")</f>
        <v/>
      </c>
      <c r="W875" s="20" t="str">
        <f>IFERROR(IF([1]对账明细接口!$R875=0,"",[1]对账明细接口!$R875),"")</f>
        <v/>
      </c>
      <c r="X875" s="20" t="str">
        <f>IFERROR(IF([1]对账明细接口!$S875=0,"",[1]对账明细接口!$S875),"")</f>
        <v/>
      </c>
      <c r="Y875" s="20" t="str">
        <f>IFERROR(IF([1]对账明细接口!$T875=0,"",[1]对账明细接口!$T875),"")</f>
        <v/>
      </c>
      <c r="Z875" s="24" t="str">
        <f>IFERROR(IF([1]对账明细接口!$U875=0,"",[1]对账明细接口!$U875),"")</f>
        <v/>
      </c>
      <c r="AA875" s="24" t="str">
        <f>IFERROR(IF([1]对账明细接口!$V875=0,"",[1]对账明细接口!$V875),"")</f>
        <v/>
      </c>
      <c r="AB875" s="20" t="str">
        <f>IFERROR(IF([1]对账明细接口!$W875=0,"",[1]对账明细接口!$W875),"")</f>
        <v/>
      </c>
      <c r="AC875" s="7" t="str">
        <f>IFERROR(IF([1]对账明细接口!$X875=0,"",[1]对账明细接口!$X875),"")</f>
        <v/>
      </c>
      <c r="AD875" s="7" t="str">
        <f>IFERROR(IF([1]对账明细接口!$Y875=0,"",[1]对账明细接口!$Y875),"")</f>
        <v/>
      </c>
      <c r="AE875" s="7" t="str">
        <f>IFERROR(IF([1]对账明细接口!$AA875=0,"",[1]对账明细接口!$AA875),"")</f>
        <v/>
      </c>
      <c r="AF875" s="7" t="str">
        <f>IFERROR(IF([1]对账明细接口!$AB875=0,"",[1]对账明细接口!$AB875),"")</f>
        <v/>
      </c>
      <c r="AG875" s="7" t="str">
        <f>IFERROR(IF([1]对账明细接口!$AC875=0,"",[1]对账明细接口!$AC875),"")</f>
        <v/>
      </c>
      <c r="AH875" s="7" t="str">
        <f>IFERROR(IF([1]对账明细接口!$AD875=0,"",[1]对账明细接口!$AD875),"")</f>
        <v/>
      </c>
      <c r="AI875" s="7" t="str">
        <f>IFERROR(IF([1]对账明细接口!$AE875=0,"",[1]对账明细接口!$AE875),"")</f>
        <v/>
      </c>
      <c r="AJ875" s="7" t="str">
        <f>IFERROR(IF([1]对账明细接口!$AF875=0,"",[1]对账明细接口!$AF875),"")</f>
        <v/>
      </c>
    </row>
    <row r="876" ht="14.25" customHeight="1" spans="1:36">
      <c r="A876" s="14">
        <v>876</v>
      </c>
      <c r="B876" s="15" t="str">
        <f>IFERROR(IF([1]对账明细接口!$B$876=0,"",[1]对账明细接口!$B$876),"")</f>
        <v/>
      </c>
      <c r="C876" s="16" t="str">
        <f>IFERROR(IF([1]对账明细接口!$C$876=0,"",[1]对账明细接口!$C$876),"")</f>
        <v/>
      </c>
      <c r="D876" s="16" t="str">
        <f>IFERROR(IF([1]对账明细接口!$D$876=0,"",[1]对账明细接口!$D$876),"")</f>
        <v/>
      </c>
      <c r="E876" s="16" t="str">
        <f>IFERROR(IF([1]对账明细接口!$E$876=0,"",[1]对账明细接口!$E$876),"")</f>
        <v/>
      </c>
      <c r="F876" s="16" t="str">
        <f>IFERROR(IF([1]对账明细接口!$F$876=0,"",[1]对账明细接口!$F$876),"")</f>
        <v/>
      </c>
      <c r="G876" s="16" t="str">
        <f>IFERROR(IF([1]对账明细接口!$G$876=0,"",[1]对账明细接口!$G$876),"")</f>
        <v/>
      </c>
      <c r="H876" s="17" t="str">
        <f>IFERROR(IF([1]对账明细接口!$H$876=0,"",[1]对账明细接口!$H$876),"")</f>
        <v/>
      </c>
      <c r="I876" s="16" t="str">
        <f>IFERROR(IF([1]对账明细接口!$I$876=0,"",[1]对账明细接口!$I$876),"")</f>
        <v/>
      </c>
      <c r="J876" s="18" t="str">
        <f>IFERROR(IF([1]对账明细接口!$J$876=0,"",[1]对账明细接口!$J$876),"")</f>
        <v/>
      </c>
      <c r="K876" s="18" t="str">
        <f>IFERROR(IF([1]对账明细接口!$K$876=0,"",[1]对账明细接口!$K$876),"")</f>
        <v/>
      </c>
      <c r="L876" s="16" t="str">
        <f>IFERROR(IF([1]对账明细接口!$L$876=0,"",[1]对账明细接口!$L$876),"")</f>
        <v/>
      </c>
      <c r="M876" s="16" t="str">
        <f>IFERROR(IF([1]对账明细接口!$M$876=0,"",[1]对账明细接口!$M$876),"")</f>
        <v/>
      </c>
      <c r="N876" s="19">
        <f t="shared" si="26"/>
        <v>0</v>
      </c>
      <c r="O876" s="19">
        <f t="shared" si="27"/>
        <v>420</v>
      </c>
      <c r="S876" s="20" t="str">
        <f>IFERROR(IF([1]对账明细接口!$N876=0,"",[1]对账明细接口!$N876),"")</f>
        <v/>
      </c>
      <c r="T876" s="21" t="str">
        <f>IFERROR(IF([1]对账明细接口!$O876=0,"",[1]对账明细接口!$O876),"")</f>
        <v/>
      </c>
      <c r="U876" s="21" t="str">
        <f>IFERROR(IF([1]对账明细接口!$P876=0,"",[1]对账明细接口!$P876),"")</f>
        <v/>
      </c>
      <c r="V876" s="21" t="str">
        <f>IFERROR(IF([1]对账明细接口!$Q876=0,"",[1]对账明细接口!$Q876),"")</f>
        <v/>
      </c>
      <c r="W876" s="20" t="str">
        <f>IFERROR(IF([1]对账明细接口!$R876=0,"",[1]对账明细接口!$R876),"")</f>
        <v/>
      </c>
      <c r="X876" s="20" t="str">
        <f>IFERROR(IF([1]对账明细接口!$S876=0,"",[1]对账明细接口!$S876),"")</f>
        <v/>
      </c>
      <c r="Y876" s="20" t="str">
        <f>IFERROR(IF([1]对账明细接口!$T876=0,"",[1]对账明细接口!$T876),"")</f>
        <v/>
      </c>
      <c r="Z876" s="24" t="str">
        <f>IFERROR(IF([1]对账明细接口!$U876=0,"",[1]对账明细接口!$U876),"")</f>
        <v/>
      </c>
      <c r="AA876" s="24" t="str">
        <f>IFERROR(IF([1]对账明细接口!$V876=0,"",[1]对账明细接口!$V876),"")</f>
        <v/>
      </c>
      <c r="AB876" s="20" t="str">
        <f>IFERROR(IF([1]对账明细接口!$W876=0,"",[1]对账明细接口!$W876),"")</f>
        <v/>
      </c>
      <c r="AC876" s="7" t="str">
        <f>IFERROR(IF([1]对账明细接口!$X876=0,"",[1]对账明细接口!$X876),"")</f>
        <v/>
      </c>
      <c r="AD876" s="7" t="str">
        <f>IFERROR(IF([1]对账明细接口!$Y876=0,"",[1]对账明细接口!$Y876),"")</f>
        <v/>
      </c>
      <c r="AE876" s="7" t="str">
        <f>IFERROR(IF([1]对账明细接口!$AA876=0,"",[1]对账明细接口!$AA876),"")</f>
        <v/>
      </c>
      <c r="AF876" s="7" t="str">
        <f>IFERROR(IF([1]对账明细接口!$AB876=0,"",[1]对账明细接口!$AB876),"")</f>
        <v/>
      </c>
      <c r="AG876" s="7" t="str">
        <f>IFERROR(IF([1]对账明细接口!$AC876=0,"",[1]对账明细接口!$AC876),"")</f>
        <v/>
      </c>
      <c r="AH876" s="7" t="str">
        <f>IFERROR(IF([1]对账明细接口!$AD876=0,"",[1]对账明细接口!$AD876),"")</f>
        <v/>
      </c>
      <c r="AI876" s="7" t="str">
        <f>IFERROR(IF([1]对账明细接口!$AE876=0,"",[1]对账明细接口!$AE876),"")</f>
        <v/>
      </c>
      <c r="AJ876" s="7" t="str">
        <f>IFERROR(IF([1]对账明细接口!$AF876=0,"",[1]对账明细接口!$AF876),"")</f>
        <v/>
      </c>
    </row>
    <row r="877" ht="14.25" customHeight="1" spans="1:36">
      <c r="A877" s="14">
        <v>877</v>
      </c>
      <c r="B877" s="15" t="str">
        <f>IFERROR(IF([1]对账明细接口!$B$877=0,"",[1]对账明细接口!$B$877),"")</f>
        <v/>
      </c>
      <c r="C877" s="16" t="str">
        <f>IFERROR(IF([1]对账明细接口!$C$877=0,"",[1]对账明细接口!$C$877),"")</f>
        <v/>
      </c>
      <c r="D877" s="16" t="str">
        <f>IFERROR(IF([1]对账明细接口!$D$877=0,"",[1]对账明细接口!$D$877),"")</f>
        <v/>
      </c>
      <c r="E877" s="16" t="str">
        <f>IFERROR(IF([1]对账明细接口!$E$877=0,"",[1]对账明细接口!$E$877),"")</f>
        <v/>
      </c>
      <c r="F877" s="16" t="str">
        <f>IFERROR(IF([1]对账明细接口!$F$877=0,"",[1]对账明细接口!$F$877),"")</f>
        <v/>
      </c>
      <c r="G877" s="16" t="str">
        <f>IFERROR(IF([1]对账明细接口!$G$877=0,"",[1]对账明细接口!$G$877),"")</f>
        <v/>
      </c>
      <c r="H877" s="17" t="str">
        <f>IFERROR(IF([1]对账明细接口!$H$877=0,"",[1]对账明细接口!$H$877),"")</f>
        <v/>
      </c>
      <c r="I877" s="16" t="str">
        <f>IFERROR(IF([1]对账明细接口!$I$877=0,"",[1]对账明细接口!$I$877),"")</f>
        <v/>
      </c>
      <c r="J877" s="18" t="str">
        <f>IFERROR(IF([1]对账明细接口!$J$877=0,"",[1]对账明细接口!$J$877),"")</f>
        <v/>
      </c>
      <c r="K877" s="18" t="str">
        <f>IFERROR(IF([1]对账明细接口!$K$877=0,"",[1]对账明细接口!$K$877),"")</f>
        <v/>
      </c>
      <c r="L877" s="16" t="str">
        <f>IFERROR(IF([1]对账明细接口!$L$877=0,"",[1]对账明细接口!$L$877),"")</f>
        <v/>
      </c>
      <c r="M877" s="16" t="str">
        <f>IFERROR(IF([1]对账明细接口!$M$877=0,"",[1]对账明细接口!$M$877),"")</f>
        <v/>
      </c>
      <c r="N877" s="19">
        <f t="shared" si="26"/>
        <v>0</v>
      </c>
      <c r="O877" s="19">
        <f t="shared" si="27"/>
        <v>420</v>
      </c>
      <c r="S877" s="20" t="str">
        <f>IFERROR(IF([1]对账明细接口!$N877=0,"",[1]对账明细接口!$N877),"")</f>
        <v/>
      </c>
      <c r="T877" s="21" t="str">
        <f>IFERROR(IF([1]对账明细接口!$O877=0,"",[1]对账明细接口!$O877),"")</f>
        <v/>
      </c>
      <c r="U877" s="21" t="str">
        <f>IFERROR(IF([1]对账明细接口!$P877=0,"",[1]对账明细接口!$P877),"")</f>
        <v/>
      </c>
      <c r="V877" s="21" t="str">
        <f>IFERROR(IF([1]对账明细接口!$Q877=0,"",[1]对账明细接口!$Q877),"")</f>
        <v/>
      </c>
      <c r="W877" s="20" t="str">
        <f>IFERROR(IF([1]对账明细接口!$R877=0,"",[1]对账明细接口!$R877),"")</f>
        <v/>
      </c>
      <c r="X877" s="20" t="str">
        <f>IFERROR(IF([1]对账明细接口!$S877=0,"",[1]对账明细接口!$S877),"")</f>
        <v/>
      </c>
      <c r="Y877" s="20" t="str">
        <f>IFERROR(IF([1]对账明细接口!$T877=0,"",[1]对账明细接口!$T877),"")</f>
        <v/>
      </c>
      <c r="Z877" s="24" t="str">
        <f>IFERROR(IF([1]对账明细接口!$U877=0,"",[1]对账明细接口!$U877),"")</f>
        <v/>
      </c>
      <c r="AA877" s="24" t="str">
        <f>IFERROR(IF([1]对账明细接口!$V877=0,"",[1]对账明细接口!$V877),"")</f>
        <v/>
      </c>
      <c r="AB877" s="20" t="str">
        <f>IFERROR(IF([1]对账明细接口!$W877=0,"",[1]对账明细接口!$W877),"")</f>
        <v/>
      </c>
      <c r="AC877" s="7" t="str">
        <f>IFERROR(IF([1]对账明细接口!$X877=0,"",[1]对账明细接口!$X877),"")</f>
        <v/>
      </c>
      <c r="AD877" s="7" t="str">
        <f>IFERROR(IF([1]对账明细接口!$Y877=0,"",[1]对账明细接口!$Y877),"")</f>
        <v/>
      </c>
      <c r="AE877" s="7" t="str">
        <f>IFERROR(IF([1]对账明细接口!$AA877=0,"",[1]对账明细接口!$AA877),"")</f>
        <v/>
      </c>
      <c r="AF877" s="7" t="str">
        <f>IFERROR(IF([1]对账明细接口!$AB877=0,"",[1]对账明细接口!$AB877),"")</f>
        <v/>
      </c>
      <c r="AG877" s="7" t="str">
        <f>IFERROR(IF([1]对账明细接口!$AC877=0,"",[1]对账明细接口!$AC877),"")</f>
        <v/>
      </c>
      <c r="AH877" s="7" t="str">
        <f>IFERROR(IF([1]对账明细接口!$AD877=0,"",[1]对账明细接口!$AD877),"")</f>
        <v/>
      </c>
      <c r="AI877" s="7" t="str">
        <f>IFERROR(IF([1]对账明细接口!$AE877=0,"",[1]对账明细接口!$AE877),"")</f>
        <v/>
      </c>
      <c r="AJ877" s="7" t="str">
        <f>IFERROR(IF([1]对账明细接口!$AF877=0,"",[1]对账明细接口!$AF877),"")</f>
        <v/>
      </c>
    </row>
    <row r="878" ht="14.25" customHeight="1" spans="1:36">
      <c r="A878" s="14">
        <v>878</v>
      </c>
      <c r="B878" s="15" t="str">
        <f>IFERROR(IF([1]对账明细接口!$B$878=0,"",[1]对账明细接口!$B$878),"")</f>
        <v/>
      </c>
      <c r="C878" s="16" t="str">
        <f>IFERROR(IF([1]对账明细接口!$C$878=0,"",[1]对账明细接口!$C$878),"")</f>
        <v/>
      </c>
      <c r="D878" s="16" t="str">
        <f>IFERROR(IF([1]对账明细接口!$D$878=0,"",[1]对账明细接口!$D$878),"")</f>
        <v/>
      </c>
      <c r="E878" s="16" t="str">
        <f>IFERROR(IF([1]对账明细接口!$E$878=0,"",[1]对账明细接口!$E$878),"")</f>
        <v/>
      </c>
      <c r="F878" s="16" t="str">
        <f>IFERROR(IF([1]对账明细接口!$F$878=0,"",[1]对账明细接口!$F$878),"")</f>
        <v/>
      </c>
      <c r="G878" s="16" t="str">
        <f>IFERROR(IF([1]对账明细接口!$G$878=0,"",[1]对账明细接口!$G$878),"")</f>
        <v/>
      </c>
      <c r="H878" s="17" t="str">
        <f>IFERROR(IF([1]对账明细接口!$H$878=0,"",[1]对账明细接口!$H$878),"")</f>
        <v/>
      </c>
      <c r="I878" s="16" t="str">
        <f>IFERROR(IF([1]对账明细接口!$I$878=0,"",[1]对账明细接口!$I$878),"")</f>
        <v/>
      </c>
      <c r="J878" s="18" t="str">
        <f>IFERROR(IF([1]对账明细接口!$J$878=0,"",[1]对账明细接口!$J$878),"")</f>
        <v/>
      </c>
      <c r="K878" s="18" t="str">
        <f>IFERROR(IF([1]对账明细接口!$K$878=0,"",[1]对账明细接口!$K$878),"")</f>
        <v/>
      </c>
      <c r="L878" s="16" t="str">
        <f>IFERROR(IF([1]对账明细接口!$L$878=0,"",[1]对账明细接口!$L$878),"")</f>
        <v/>
      </c>
      <c r="M878" s="16" t="str">
        <f>IFERROR(IF([1]对账明细接口!$M$878=0,"",[1]对账明细接口!$M$878),"")</f>
        <v/>
      </c>
      <c r="N878" s="19">
        <f t="shared" si="26"/>
        <v>0</v>
      </c>
      <c r="O878" s="19">
        <f t="shared" si="27"/>
        <v>420</v>
      </c>
      <c r="S878" s="20" t="str">
        <f>IFERROR(IF([1]对账明细接口!$N878=0,"",[1]对账明细接口!$N878),"")</f>
        <v/>
      </c>
      <c r="T878" s="21" t="str">
        <f>IFERROR(IF([1]对账明细接口!$O878=0,"",[1]对账明细接口!$O878),"")</f>
        <v/>
      </c>
      <c r="U878" s="21" t="str">
        <f>IFERROR(IF([1]对账明细接口!$P878=0,"",[1]对账明细接口!$P878),"")</f>
        <v/>
      </c>
      <c r="V878" s="21" t="str">
        <f>IFERROR(IF([1]对账明细接口!$Q878=0,"",[1]对账明细接口!$Q878),"")</f>
        <v/>
      </c>
      <c r="W878" s="20" t="str">
        <f>IFERROR(IF([1]对账明细接口!$R878=0,"",[1]对账明细接口!$R878),"")</f>
        <v/>
      </c>
      <c r="X878" s="20" t="str">
        <f>IFERROR(IF([1]对账明细接口!$S878=0,"",[1]对账明细接口!$S878),"")</f>
        <v/>
      </c>
      <c r="Y878" s="20" t="str">
        <f>IFERROR(IF([1]对账明细接口!$T878=0,"",[1]对账明细接口!$T878),"")</f>
        <v/>
      </c>
      <c r="Z878" s="24" t="str">
        <f>IFERROR(IF([1]对账明细接口!$U878=0,"",[1]对账明细接口!$U878),"")</f>
        <v/>
      </c>
      <c r="AA878" s="24" t="str">
        <f>IFERROR(IF([1]对账明细接口!$V878=0,"",[1]对账明细接口!$V878),"")</f>
        <v/>
      </c>
      <c r="AB878" s="20" t="str">
        <f>IFERROR(IF([1]对账明细接口!$W878=0,"",[1]对账明细接口!$W878),"")</f>
        <v/>
      </c>
      <c r="AC878" s="7" t="str">
        <f>IFERROR(IF([1]对账明细接口!$X878=0,"",[1]对账明细接口!$X878),"")</f>
        <v/>
      </c>
      <c r="AD878" s="7" t="str">
        <f>IFERROR(IF([1]对账明细接口!$Y878=0,"",[1]对账明细接口!$Y878),"")</f>
        <v/>
      </c>
      <c r="AE878" s="7" t="str">
        <f>IFERROR(IF([1]对账明细接口!$AA878=0,"",[1]对账明细接口!$AA878),"")</f>
        <v/>
      </c>
      <c r="AF878" s="7" t="str">
        <f>IFERROR(IF([1]对账明细接口!$AB878=0,"",[1]对账明细接口!$AB878),"")</f>
        <v/>
      </c>
      <c r="AG878" s="7" t="str">
        <f>IFERROR(IF([1]对账明细接口!$AC878=0,"",[1]对账明细接口!$AC878),"")</f>
        <v/>
      </c>
      <c r="AH878" s="7" t="str">
        <f>IFERROR(IF([1]对账明细接口!$AD878=0,"",[1]对账明细接口!$AD878),"")</f>
        <v/>
      </c>
      <c r="AI878" s="7" t="str">
        <f>IFERROR(IF([1]对账明细接口!$AE878=0,"",[1]对账明细接口!$AE878),"")</f>
        <v/>
      </c>
      <c r="AJ878" s="7" t="str">
        <f>IFERROR(IF([1]对账明细接口!$AF878=0,"",[1]对账明细接口!$AF878),"")</f>
        <v/>
      </c>
    </row>
    <row r="879" ht="14.25" customHeight="1" spans="1:36">
      <c r="A879" s="14">
        <v>879</v>
      </c>
      <c r="B879" s="15" t="str">
        <f>IFERROR(IF([1]对账明细接口!$B$879=0,"",[1]对账明细接口!$B$879),"")</f>
        <v/>
      </c>
      <c r="C879" s="16" t="str">
        <f>IFERROR(IF([1]对账明细接口!$C$879=0,"",[1]对账明细接口!$C$879),"")</f>
        <v/>
      </c>
      <c r="D879" s="16" t="str">
        <f>IFERROR(IF([1]对账明细接口!$D$879=0,"",[1]对账明细接口!$D$879),"")</f>
        <v/>
      </c>
      <c r="E879" s="16" t="str">
        <f>IFERROR(IF([1]对账明细接口!$E$879=0,"",[1]对账明细接口!$E$879),"")</f>
        <v/>
      </c>
      <c r="F879" s="16" t="str">
        <f>IFERROR(IF([1]对账明细接口!$F$879=0,"",[1]对账明细接口!$F$879),"")</f>
        <v/>
      </c>
      <c r="G879" s="16" t="str">
        <f>IFERROR(IF([1]对账明细接口!$G$879=0,"",[1]对账明细接口!$G$879),"")</f>
        <v/>
      </c>
      <c r="H879" s="17" t="str">
        <f>IFERROR(IF([1]对账明细接口!$H$879=0,"",[1]对账明细接口!$H$879),"")</f>
        <v/>
      </c>
      <c r="I879" s="16" t="str">
        <f>IFERROR(IF([1]对账明细接口!$I$879=0,"",[1]对账明细接口!$I$879),"")</f>
        <v/>
      </c>
      <c r="J879" s="18" t="str">
        <f>IFERROR(IF([1]对账明细接口!$J$879=0,"",[1]对账明细接口!$J$879),"")</f>
        <v/>
      </c>
      <c r="K879" s="18" t="str">
        <f>IFERROR(IF([1]对账明细接口!$K$879=0,"",[1]对账明细接口!$K$879),"")</f>
        <v/>
      </c>
      <c r="L879" s="16" t="str">
        <f>IFERROR(IF([1]对账明细接口!$L$879=0,"",[1]对账明细接口!$L$879),"")</f>
        <v/>
      </c>
      <c r="M879" s="16" t="str">
        <f>IFERROR(IF([1]对账明细接口!$M$879=0,"",[1]对账明细接口!$M$879),"")</f>
        <v/>
      </c>
      <c r="N879" s="19">
        <f t="shared" si="26"/>
        <v>0</v>
      </c>
      <c r="O879" s="19">
        <f t="shared" si="27"/>
        <v>420</v>
      </c>
      <c r="S879" s="20" t="str">
        <f>IFERROR(IF([1]对账明细接口!$N879=0,"",[1]对账明细接口!$N879),"")</f>
        <v/>
      </c>
      <c r="T879" s="21" t="str">
        <f>IFERROR(IF([1]对账明细接口!$O879=0,"",[1]对账明细接口!$O879),"")</f>
        <v/>
      </c>
      <c r="U879" s="21" t="str">
        <f>IFERROR(IF([1]对账明细接口!$P879=0,"",[1]对账明细接口!$P879),"")</f>
        <v/>
      </c>
      <c r="V879" s="21" t="str">
        <f>IFERROR(IF([1]对账明细接口!$Q879=0,"",[1]对账明细接口!$Q879),"")</f>
        <v/>
      </c>
      <c r="W879" s="20" t="str">
        <f>IFERROR(IF([1]对账明细接口!$R879=0,"",[1]对账明细接口!$R879),"")</f>
        <v/>
      </c>
      <c r="X879" s="20" t="str">
        <f>IFERROR(IF([1]对账明细接口!$S879=0,"",[1]对账明细接口!$S879),"")</f>
        <v/>
      </c>
      <c r="Y879" s="20" t="str">
        <f>IFERROR(IF([1]对账明细接口!$T879=0,"",[1]对账明细接口!$T879),"")</f>
        <v/>
      </c>
      <c r="Z879" s="24" t="str">
        <f>IFERROR(IF([1]对账明细接口!$U879=0,"",[1]对账明细接口!$U879),"")</f>
        <v/>
      </c>
      <c r="AA879" s="24" t="str">
        <f>IFERROR(IF([1]对账明细接口!$V879=0,"",[1]对账明细接口!$V879),"")</f>
        <v/>
      </c>
      <c r="AB879" s="20" t="str">
        <f>IFERROR(IF([1]对账明细接口!$W879=0,"",[1]对账明细接口!$W879),"")</f>
        <v/>
      </c>
      <c r="AC879" s="7" t="str">
        <f>IFERROR(IF([1]对账明细接口!$X879=0,"",[1]对账明细接口!$X879),"")</f>
        <v/>
      </c>
      <c r="AD879" s="7" t="str">
        <f>IFERROR(IF([1]对账明细接口!$Y879=0,"",[1]对账明细接口!$Y879),"")</f>
        <v/>
      </c>
      <c r="AE879" s="7" t="str">
        <f>IFERROR(IF([1]对账明细接口!$AA879=0,"",[1]对账明细接口!$AA879),"")</f>
        <v/>
      </c>
      <c r="AF879" s="7" t="str">
        <f>IFERROR(IF([1]对账明细接口!$AB879=0,"",[1]对账明细接口!$AB879),"")</f>
        <v/>
      </c>
      <c r="AG879" s="7" t="str">
        <f>IFERROR(IF([1]对账明细接口!$AC879=0,"",[1]对账明细接口!$AC879),"")</f>
        <v/>
      </c>
      <c r="AH879" s="7" t="str">
        <f>IFERROR(IF([1]对账明细接口!$AD879=0,"",[1]对账明细接口!$AD879),"")</f>
        <v/>
      </c>
      <c r="AI879" s="7" t="str">
        <f>IFERROR(IF([1]对账明细接口!$AE879=0,"",[1]对账明细接口!$AE879),"")</f>
        <v/>
      </c>
      <c r="AJ879" s="7" t="str">
        <f>IFERROR(IF([1]对账明细接口!$AF879=0,"",[1]对账明细接口!$AF879),"")</f>
        <v/>
      </c>
    </row>
    <row r="880" ht="14.25" customHeight="1" spans="1:36">
      <c r="A880" s="14">
        <v>880</v>
      </c>
      <c r="B880" s="15" t="str">
        <f>IFERROR(IF([1]对账明细接口!$B$880=0,"",[1]对账明细接口!$B$880),"")</f>
        <v/>
      </c>
      <c r="C880" s="16" t="str">
        <f>IFERROR(IF([1]对账明细接口!$C$880=0,"",[1]对账明细接口!$C$880),"")</f>
        <v/>
      </c>
      <c r="D880" s="16" t="str">
        <f>IFERROR(IF([1]对账明细接口!$D$880=0,"",[1]对账明细接口!$D$880),"")</f>
        <v/>
      </c>
      <c r="E880" s="16" t="str">
        <f>IFERROR(IF([1]对账明细接口!$E$880=0,"",[1]对账明细接口!$E$880),"")</f>
        <v/>
      </c>
      <c r="F880" s="16" t="str">
        <f>IFERROR(IF([1]对账明细接口!$F$880=0,"",[1]对账明细接口!$F$880),"")</f>
        <v/>
      </c>
      <c r="G880" s="16" t="str">
        <f>IFERROR(IF([1]对账明细接口!$G$880=0,"",[1]对账明细接口!$G$880),"")</f>
        <v/>
      </c>
      <c r="H880" s="17" t="str">
        <f>IFERROR(IF([1]对账明细接口!$H$880=0,"",[1]对账明细接口!$H$880),"")</f>
        <v/>
      </c>
      <c r="I880" s="16" t="str">
        <f>IFERROR(IF([1]对账明细接口!$I$880=0,"",[1]对账明细接口!$I$880),"")</f>
        <v/>
      </c>
      <c r="J880" s="18" t="str">
        <f>IFERROR(IF([1]对账明细接口!$J$880=0,"",[1]对账明细接口!$J$880),"")</f>
        <v/>
      </c>
      <c r="K880" s="18" t="str">
        <f>IFERROR(IF([1]对账明细接口!$K$880=0,"",[1]对账明细接口!$K$880),"")</f>
        <v/>
      </c>
      <c r="L880" s="16" t="str">
        <f>IFERROR(IF([1]对账明细接口!$L$880=0,"",[1]对账明细接口!$L$880),"")</f>
        <v/>
      </c>
      <c r="M880" s="16" t="str">
        <f>IFERROR(IF([1]对账明细接口!$M$880=0,"",[1]对账明细接口!$M$880),"")</f>
        <v/>
      </c>
      <c r="N880" s="19">
        <f t="shared" si="26"/>
        <v>0</v>
      </c>
      <c r="O880" s="19">
        <f t="shared" si="27"/>
        <v>420</v>
      </c>
      <c r="S880" s="20" t="str">
        <f>IFERROR(IF([1]对账明细接口!$N880=0,"",[1]对账明细接口!$N880),"")</f>
        <v/>
      </c>
      <c r="T880" s="21" t="str">
        <f>IFERROR(IF([1]对账明细接口!$O880=0,"",[1]对账明细接口!$O880),"")</f>
        <v/>
      </c>
      <c r="U880" s="21" t="str">
        <f>IFERROR(IF([1]对账明细接口!$P880=0,"",[1]对账明细接口!$P880),"")</f>
        <v/>
      </c>
      <c r="V880" s="21" t="str">
        <f>IFERROR(IF([1]对账明细接口!$Q880=0,"",[1]对账明细接口!$Q880),"")</f>
        <v/>
      </c>
      <c r="W880" s="20" t="str">
        <f>IFERROR(IF([1]对账明细接口!$R880=0,"",[1]对账明细接口!$R880),"")</f>
        <v/>
      </c>
      <c r="X880" s="20" t="str">
        <f>IFERROR(IF([1]对账明细接口!$S880=0,"",[1]对账明细接口!$S880),"")</f>
        <v/>
      </c>
      <c r="Y880" s="20" t="str">
        <f>IFERROR(IF([1]对账明细接口!$T880=0,"",[1]对账明细接口!$T880),"")</f>
        <v/>
      </c>
      <c r="Z880" s="24" t="str">
        <f>IFERROR(IF([1]对账明细接口!$U880=0,"",[1]对账明细接口!$U880),"")</f>
        <v/>
      </c>
      <c r="AA880" s="24" t="str">
        <f>IFERROR(IF([1]对账明细接口!$V880=0,"",[1]对账明细接口!$V880),"")</f>
        <v/>
      </c>
      <c r="AB880" s="20" t="str">
        <f>IFERROR(IF([1]对账明细接口!$W880=0,"",[1]对账明细接口!$W880),"")</f>
        <v/>
      </c>
      <c r="AC880" s="7" t="str">
        <f>IFERROR(IF([1]对账明细接口!$X880=0,"",[1]对账明细接口!$X880),"")</f>
        <v/>
      </c>
      <c r="AD880" s="7" t="str">
        <f>IFERROR(IF([1]对账明细接口!$Y880=0,"",[1]对账明细接口!$Y880),"")</f>
        <v/>
      </c>
      <c r="AE880" s="7" t="str">
        <f>IFERROR(IF([1]对账明细接口!$AA880=0,"",[1]对账明细接口!$AA880),"")</f>
        <v/>
      </c>
      <c r="AF880" s="7" t="str">
        <f>IFERROR(IF([1]对账明细接口!$AB880=0,"",[1]对账明细接口!$AB880),"")</f>
        <v/>
      </c>
      <c r="AG880" s="7" t="str">
        <f>IFERROR(IF([1]对账明细接口!$AC880=0,"",[1]对账明细接口!$AC880),"")</f>
        <v/>
      </c>
      <c r="AH880" s="7" t="str">
        <f>IFERROR(IF([1]对账明细接口!$AD880=0,"",[1]对账明细接口!$AD880),"")</f>
        <v/>
      </c>
      <c r="AI880" s="7" t="str">
        <f>IFERROR(IF([1]对账明细接口!$AE880=0,"",[1]对账明细接口!$AE880),"")</f>
        <v/>
      </c>
      <c r="AJ880" s="7" t="str">
        <f>IFERROR(IF([1]对账明细接口!$AF880=0,"",[1]对账明细接口!$AF880),"")</f>
        <v/>
      </c>
    </row>
    <row r="881" ht="14.25" customHeight="1" spans="1:36">
      <c r="A881" s="14">
        <v>881</v>
      </c>
      <c r="B881" s="15" t="str">
        <f>IFERROR(IF([1]对账明细接口!$B$881=0,"",[1]对账明细接口!$B$881),"")</f>
        <v/>
      </c>
      <c r="C881" s="16" t="str">
        <f>IFERROR(IF([1]对账明细接口!$C$881=0,"",[1]对账明细接口!$C$881),"")</f>
        <v/>
      </c>
      <c r="D881" s="16" t="str">
        <f>IFERROR(IF([1]对账明细接口!$D$881=0,"",[1]对账明细接口!$D$881),"")</f>
        <v/>
      </c>
      <c r="E881" s="16" t="str">
        <f>IFERROR(IF([1]对账明细接口!$E$881=0,"",[1]对账明细接口!$E$881),"")</f>
        <v/>
      </c>
      <c r="F881" s="16" t="str">
        <f>IFERROR(IF([1]对账明细接口!$F$881=0,"",[1]对账明细接口!$F$881),"")</f>
        <v/>
      </c>
      <c r="G881" s="16" t="str">
        <f>IFERROR(IF([1]对账明细接口!$G$881=0,"",[1]对账明细接口!$G$881),"")</f>
        <v/>
      </c>
      <c r="H881" s="17" t="str">
        <f>IFERROR(IF([1]对账明细接口!$H$881=0,"",[1]对账明细接口!$H$881),"")</f>
        <v/>
      </c>
      <c r="I881" s="16" t="str">
        <f>IFERROR(IF([1]对账明细接口!$I$881=0,"",[1]对账明细接口!$I$881),"")</f>
        <v/>
      </c>
      <c r="J881" s="18" t="str">
        <f>IFERROR(IF([1]对账明细接口!$J$881=0,"",[1]对账明细接口!$J$881),"")</f>
        <v/>
      </c>
      <c r="K881" s="18" t="str">
        <f>IFERROR(IF([1]对账明细接口!$K$881=0,"",[1]对账明细接口!$K$881),"")</f>
        <v/>
      </c>
      <c r="L881" s="16" t="str">
        <f>IFERROR(IF([1]对账明细接口!$L$881=0,"",[1]对账明细接口!$L$881),"")</f>
        <v/>
      </c>
      <c r="M881" s="16" t="str">
        <f>IFERROR(IF([1]对账明细接口!$M$881=0,"",[1]对账明细接口!$M$881),"")</f>
        <v/>
      </c>
      <c r="N881" s="19">
        <f t="shared" si="26"/>
        <v>0</v>
      </c>
      <c r="O881" s="19">
        <f t="shared" si="27"/>
        <v>420</v>
      </c>
      <c r="S881" s="20" t="str">
        <f>IFERROR(IF([1]对账明细接口!$N881=0,"",[1]对账明细接口!$N881),"")</f>
        <v/>
      </c>
      <c r="T881" s="21" t="str">
        <f>IFERROR(IF([1]对账明细接口!$O881=0,"",[1]对账明细接口!$O881),"")</f>
        <v/>
      </c>
      <c r="U881" s="21" t="str">
        <f>IFERROR(IF([1]对账明细接口!$P881=0,"",[1]对账明细接口!$P881),"")</f>
        <v/>
      </c>
      <c r="V881" s="21" t="str">
        <f>IFERROR(IF([1]对账明细接口!$Q881=0,"",[1]对账明细接口!$Q881),"")</f>
        <v/>
      </c>
      <c r="W881" s="20" t="str">
        <f>IFERROR(IF([1]对账明细接口!$R881=0,"",[1]对账明细接口!$R881),"")</f>
        <v/>
      </c>
      <c r="X881" s="20" t="str">
        <f>IFERROR(IF([1]对账明细接口!$S881=0,"",[1]对账明细接口!$S881),"")</f>
        <v/>
      </c>
      <c r="Y881" s="20" t="str">
        <f>IFERROR(IF([1]对账明细接口!$T881=0,"",[1]对账明细接口!$T881),"")</f>
        <v/>
      </c>
      <c r="Z881" s="24" t="str">
        <f>IFERROR(IF([1]对账明细接口!$U881=0,"",[1]对账明细接口!$U881),"")</f>
        <v/>
      </c>
      <c r="AA881" s="24" t="str">
        <f>IFERROR(IF([1]对账明细接口!$V881=0,"",[1]对账明细接口!$V881),"")</f>
        <v/>
      </c>
      <c r="AB881" s="20" t="str">
        <f>IFERROR(IF([1]对账明细接口!$W881=0,"",[1]对账明细接口!$W881),"")</f>
        <v/>
      </c>
      <c r="AC881" s="7" t="str">
        <f>IFERROR(IF([1]对账明细接口!$X881=0,"",[1]对账明细接口!$X881),"")</f>
        <v/>
      </c>
      <c r="AD881" s="7" t="str">
        <f>IFERROR(IF([1]对账明细接口!$Y881=0,"",[1]对账明细接口!$Y881),"")</f>
        <v/>
      </c>
      <c r="AE881" s="7" t="str">
        <f>IFERROR(IF([1]对账明细接口!$AA881=0,"",[1]对账明细接口!$AA881),"")</f>
        <v/>
      </c>
      <c r="AF881" s="7" t="str">
        <f>IFERROR(IF([1]对账明细接口!$AB881=0,"",[1]对账明细接口!$AB881),"")</f>
        <v/>
      </c>
      <c r="AG881" s="7" t="str">
        <f>IFERROR(IF([1]对账明细接口!$AC881=0,"",[1]对账明细接口!$AC881),"")</f>
        <v/>
      </c>
      <c r="AH881" s="7" t="str">
        <f>IFERROR(IF([1]对账明细接口!$AD881=0,"",[1]对账明细接口!$AD881),"")</f>
        <v/>
      </c>
      <c r="AI881" s="7" t="str">
        <f>IFERROR(IF([1]对账明细接口!$AE881=0,"",[1]对账明细接口!$AE881),"")</f>
        <v/>
      </c>
      <c r="AJ881" s="7" t="str">
        <f>IFERROR(IF([1]对账明细接口!$AF881=0,"",[1]对账明细接口!$AF881),"")</f>
        <v/>
      </c>
    </row>
    <row r="882" ht="14.25" customHeight="1" spans="1:36">
      <c r="A882" s="14">
        <v>882</v>
      </c>
      <c r="B882" s="15" t="str">
        <f>IFERROR(IF([1]对账明细接口!$B$882=0,"",[1]对账明细接口!$B$882),"")</f>
        <v/>
      </c>
      <c r="C882" s="16" t="str">
        <f>IFERROR(IF([1]对账明细接口!$C$882=0,"",[1]对账明细接口!$C$882),"")</f>
        <v/>
      </c>
      <c r="D882" s="16" t="str">
        <f>IFERROR(IF([1]对账明细接口!$D$882=0,"",[1]对账明细接口!$D$882),"")</f>
        <v/>
      </c>
      <c r="E882" s="16" t="str">
        <f>IFERROR(IF([1]对账明细接口!$E$882=0,"",[1]对账明细接口!$E$882),"")</f>
        <v/>
      </c>
      <c r="F882" s="16" t="str">
        <f>IFERROR(IF([1]对账明细接口!$F$882=0,"",[1]对账明细接口!$F$882),"")</f>
        <v/>
      </c>
      <c r="G882" s="16" t="str">
        <f>IFERROR(IF([1]对账明细接口!$G$882=0,"",[1]对账明细接口!$G$882),"")</f>
        <v/>
      </c>
      <c r="H882" s="17" t="str">
        <f>IFERROR(IF([1]对账明细接口!$H$882=0,"",[1]对账明细接口!$H$882),"")</f>
        <v/>
      </c>
      <c r="I882" s="16" t="str">
        <f>IFERROR(IF([1]对账明细接口!$I$882=0,"",[1]对账明细接口!$I$882),"")</f>
        <v/>
      </c>
      <c r="J882" s="18" t="str">
        <f>IFERROR(IF([1]对账明细接口!$J$882=0,"",[1]对账明细接口!$J$882),"")</f>
        <v/>
      </c>
      <c r="K882" s="18" t="str">
        <f>IFERROR(IF([1]对账明细接口!$K$882=0,"",[1]对账明细接口!$K$882),"")</f>
        <v/>
      </c>
      <c r="L882" s="16" t="str">
        <f>IFERROR(IF([1]对账明细接口!$L$882=0,"",[1]对账明细接口!$L$882),"")</f>
        <v/>
      </c>
      <c r="M882" s="16" t="str">
        <f>IFERROR(IF([1]对账明细接口!$M$882=0,"",[1]对账明细接口!$M$882),"")</f>
        <v/>
      </c>
      <c r="N882" s="19">
        <f t="shared" si="26"/>
        <v>0</v>
      </c>
      <c r="O882" s="19">
        <f t="shared" si="27"/>
        <v>420</v>
      </c>
      <c r="S882" s="20" t="str">
        <f>IFERROR(IF([1]对账明细接口!$N882=0,"",[1]对账明细接口!$N882),"")</f>
        <v/>
      </c>
      <c r="T882" s="21" t="str">
        <f>IFERROR(IF([1]对账明细接口!$O882=0,"",[1]对账明细接口!$O882),"")</f>
        <v/>
      </c>
      <c r="U882" s="21" t="str">
        <f>IFERROR(IF([1]对账明细接口!$P882=0,"",[1]对账明细接口!$P882),"")</f>
        <v/>
      </c>
      <c r="V882" s="21" t="str">
        <f>IFERROR(IF([1]对账明细接口!$Q882=0,"",[1]对账明细接口!$Q882),"")</f>
        <v/>
      </c>
      <c r="W882" s="20" t="str">
        <f>IFERROR(IF([1]对账明细接口!$R882=0,"",[1]对账明细接口!$R882),"")</f>
        <v/>
      </c>
      <c r="X882" s="20" t="str">
        <f>IFERROR(IF([1]对账明细接口!$S882=0,"",[1]对账明细接口!$S882),"")</f>
        <v/>
      </c>
      <c r="Y882" s="20" t="str">
        <f>IFERROR(IF([1]对账明细接口!$T882=0,"",[1]对账明细接口!$T882),"")</f>
        <v/>
      </c>
      <c r="Z882" s="24" t="str">
        <f>IFERROR(IF([1]对账明细接口!$U882=0,"",[1]对账明细接口!$U882),"")</f>
        <v/>
      </c>
      <c r="AA882" s="24" t="str">
        <f>IFERROR(IF([1]对账明细接口!$V882=0,"",[1]对账明细接口!$V882),"")</f>
        <v/>
      </c>
      <c r="AB882" s="20" t="str">
        <f>IFERROR(IF([1]对账明细接口!$W882=0,"",[1]对账明细接口!$W882),"")</f>
        <v/>
      </c>
      <c r="AC882" s="7" t="str">
        <f>IFERROR(IF([1]对账明细接口!$X882=0,"",[1]对账明细接口!$X882),"")</f>
        <v/>
      </c>
      <c r="AD882" s="7" t="str">
        <f>IFERROR(IF([1]对账明细接口!$Y882=0,"",[1]对账明细接口!$Y882),"")</f>
        <v/>
      </c>
      <c r="AE882" s="7" t="str">
        <f>IFERROR(IF([1]对账明细接口!$AA882=0,"",[1]对账明细接口!$AA882),"")</f>
        <v/>
      </c>
      <c r="AF882" s="7" t="str">
        <f>IFERROR(IF([1]对账明细接口!$AB882=0,"",[1]对账明细接口!$AB882),"")</f>
        <v/>
      </c>
      <c r="AG882" s="7" t="str">
        <f>IFERROR(IF([1]对账明细接口!$AC882=0,"",[1]对账明细接口!$AC882),"")</f>
        <v/>
      </c>
      <c r="AH882" s="7" t="str">
        <f>IFERROR(IF([1]对账明细接口!$AD882=0,"",[1]对账明细接口!$AD882),"")</f>
        <v/>
      </c>
      <c r="AI882" s="7" t="str">
        <f>IFERROR(IF([1]对账明细接口!$AE882=0,"",[1]对账明细接口!$AE882),"")</f>
        <v/>
      </c>
      <c r="AJ882" s="7" t="str">
        <f>IFERROR(IF([1]对账明细接口!$AF882=0,"",[1]对账明细接口!$AF882),"")</f>
        <v/>
      </c>
    </row>
    <row r="883" ht="14.25" customHeight="1" spans="1:36">
      <c r="A883" s="14">
        <v>883</v>
      </c>
      <c r="B883" s="15" t="str">
        <f>IFERROR(IF([1]对账明细接口!$B$883=0,"",[1]对账明细接口!$B$883),"")</f>
        <v/>
      </c>
      <c r="C883" s="16" t="str">
        <f>IFERROR(IF([1]对账明细接口!$C$883=0,"",[1]对账明细接口!$C$883),"")</f>
        <v/>
      </c>
      <c r="D883" s="16" t="str">
        <f>IFERROR(IF([1]对账明细接口!$D$883=0,"",[1]对账明细接口!$D$883),"")</f>
        <v/>
      </c>
      <c r="E883" s="16" t="str">
        <f>IFERROR(IF([1]对账明细接口!$E$883=0,"",[1]对账明细接口!$E$883),"")</f>
        <v/>
      </c>
      <c r="F883" s="16" t="str">
        <f>IFERROR(IF([1]对账明细接口!$F$883=0,"",[1]对账明细接口!$F$883),"")</f>
        <v/>
      </c>
      <c r="G883" s="16" t="str">
        <f>IFERROR(IF([1]对账明细接口!$G$883=0,"",[1]对账明细接口!$G$883),"")</f>
        <v/>
      </c>
      <c r="H883" s="17" t="str">
        <f>IFERROR(IF([1]对账明细接口!$H$883=0,"",[1]对账明细接口!$H$883),"")</f>
        <v/>
      </c>
      <c r="I883" s="16" t="str">
        <f>IFERROR(IF([1]对账明细接口!$I$883=0,"",[1]对账明细接口!$I$883),"")</f>
        <v/>
      </c>
      <c r="J883" s="18" t="str">
        <f>IFERROR(IF([1]对账明细接口!$J$883=0,"",[1]对账明细接口!$J$883),"")</f>
        <v/>
      </c>
      <c r="K883" s="18" t="str">
        <f>IFERROR(IF([1]对账明细接口!$K$883=0,"",[1]对账明细接口!$K$883),"")</f>
        <v/>
      </c>
      <c r="L883" s="16" t="str">
        <f>IFERROR(IF([1]对账明细接口!$L$883=0,"",[1]对账明细接口!$L$883),"")</f>
        <v/>
      </c>
      <c r="M883" s="16" t="str">
        <f>IFERROR(IF([1]对账明细接口!$M$883=0,"",[1]对账明细接口!$M$883),"")</f>
        <v/>
      </c>
      <c r="N883" s="19">
        <f t="shared" si="26"/>
        <v>0</v>
      </c>
      <c r="O883" s="19">
        <f t="shared" si="27"/>
        <v>420</v>
      </c>
      <c r="S883" s="20" t="str">
        <f>IFERROR(IF([1]对账明细接口!$N883=0,"",[1]对账明细接口!$N883),"")</f>
        <v/>
      </c>
      <c r="T883" s="21" t="str">
        <f>IFERROR(IF([1]对账明细接口!$O883=0,"",[1]对账明细接口!$O883),"")</f>
        <v/>
      </c>
      <c r="U883" s="21" t="str">
        <f>IFERROR(IF([1]对账明细接口!$P883=0,"",[1]对账明细接口!$P883),"")</f>
        <v/>
      </c>
      <c r="V883" s="21" t="str">
        <f>IFERROR(IF([1]对账明细接口!$Q883=0,"",[1]对账明细接口!$Q883),"")</f>
        <v/>
      </c>
      <c r="W883" s="20" t="str">
        <f>IFERROR(IF([1]对账明细接口!$R883=0,"",[1]对账明细接口!$R883),"")</f>
        <v/>
      </c>
      <c r="X883" s="20" t="str">
        <f>IFERROR(IF([1]对账明细接口!$S883=0,"",[1]对账明细接口!$S883),"")</f>
        <v/>
      </c>
      <c r="Y883" s="20" t="str">
        <f>IFERROR(IF([1]对账明细接口!$T883=0,"",[1]对账明细接口!$T883),"")</f>
        <v/>
      </c>
      <c r="Z883" s="24" t="str">
        <f>IFERROR(IF([1]对账明细接口!$U883=0,"",[1]对账明细接口!$U883),"")</f>
        <v/>
      </c>
      <c r="AA883" s="24" t="str">
        <f>IFERROR(IF([1]对账明细接口!$V883=0,"",[1]对账明细接口!$V883),"")</f>
        <v/>
      </c>
      <c r="AB883" s="20" t="str">
        <f>IFERROR(IF([1]对账明细接口!$W883=0,"",[1]对账明细接口!$W883),"")</f>
        <v/>
      </c>
      <c r="AC883" s="7" t="str">
        <f>IFERROR(IF([1]对账明细接口!$X883=0,"",[1]对账明细接口!$X883),"")</f>
        <v/>
      </c>
      <c r="AD883" s="7" t="str">
        <f>IFERROR(IF([1]对账明细接口!$Y883=0,"",[1]对账明细接口!$Y883),"")</f>
        <v/>
      </c>
      <c r="AE883" s="7" t="str">
        <f>IFERROR(IF([1]对账明细接口!$AA883=0,"",[1]对账明细接口!$AA883),"")</f>
        <v/>
      </c>
      <c r="AF883" s="7" t="str">
        <f>IFERROR(IF([1]对账明细接口!$AB883=0,"",[1]对账明细接口!$AB883),"")</f>
        <v/>
      </c>
      <c r="AG883" s="7" t="str">
        <f>IFERROR(IF([1]对账明细接口!$AC883=0,"",[1]对账明细接口!$AC883),"")</f>
        <v/>
      </c>
      <c r="AH883" s="7" t="str">
        <f>IFERROR(IF([1]对账明细接口!$AD883=0,"",[1]对账明细接口!$AD883),"")</f>
        <v/>
      </c>
      <c r="AI883" s="7" t="str">
        <f>IFERROR(IF([1]对账明细接口!$AE883=0,"",[1]对账明细接口!$AE883),"")</f>
        <v/>
      </c>
      <c r="AJ883" s="7" t="str">
        <f>IFERROR(IF([1]对账明细接口!$AF883=0,"",[1]对账明细接口!$AF883),"")</f>
        <v/>
      </c>
    </row>
    <row r="884" ht="14.25" customHeight="1" spans="1:36">
      <c r="A884" s="14">
        <v>884</v>
      </c>
      <c r="B884" s="15" t="str">
        <f>IFERROR(IF([1]对账明细接口!$B$884=0,"",[1]对账明细接口!$B$884),"")</f>
        <v/>
      </c>
      <c r="C884" s="16" t="str">
        <f>IFERROR(IF([1]对账明细接口!$C$884=0,"",[1]对账明细接口!$C$884),"")</f>
        <v/>
      </c>
      <c r="D884" s="16" t="str">
        <f>IFERROR(IF([1]对账明细接口!$D$884=0,"",[1]对账明细接口!$D$884),"")</f>
        <v/>
      </c>
      <c r="E884" s="16" t="str">
        <f>IFERROR(IF([1]对账明细接口!$E$884=0,"",[1]对账明细接口!$E$884),"")</f>
        <v/>
      </c>
      <c r="F884" s="16" t="str">
        <f>IFERROR(IF([1]对账明细接口!$F$884=0,"",[1]对账明细接口!$F$884),"")</f>
        <v/>
      </c>
      <c r="G884" s="16" t="str">
        <f>IFERROR(IF([1]对账明细接口!$G$884=0,"",[1]对账明细接口!$G$884),"")</f>
        <v/>
      </c>
      <c r="H884" s="17" t="str">
        <f>IFERROR(IF([1]对账明细接口!$H$884=0,"",[1]对账明细接口!$H$884),"")</f>
        <v/>
      </c>
      <c r="I884" s="16" t="str">
        <f>IFERROR(IF([1]对账明细接口!$I$884=0,"",[1]对账明细接口!$I$884),"")</f>
        <v/>
      </c>
      <c r="J884" s="18" t="str">
        <f>IFERROR(IF([1]对账明细接口!$J$884=0,"",[1]对账明细接口!$J$884),"")</f>
        <v/>
      </c>
      <c r="K884" s="18" t="str">
        <f>IFERROR(IF([1]对账明细接口!$K$884=0,"",[1]对账明细接口!$K$884),"")</f>
        <v/>
      </c>
      <c r="L884" s="16" t="str">
        <f>IFERROR(IF([1]对账明细接口!$L$884=0,"",[1]对账明细接口!$L$884),"")</f>
        <v/>
      </c>
      <c r="M884" s="16" t="str">
        <f>IFERROR(IF([1]对账明细接口!$M$884=0,"",[1]对账明细接口!$M$884),"")</f>
        <v/>
      </c>
      <c r="N884" s="19">
        <f t="shared" si="26"/>
        <v>0</v>
      </c>
      <c r="O884" s="19">
        <f t="shared" si="27"/>
        <v>420</v>
      </c>
      <c r="S884" s="20" t="str">
        <f>IFERROR(IF([1]对账明细接口!$N884=0,"",[1]对账明细接口!$N884),"")</f>
        <v/>
      </c>
      <c r="T884" s="21" t="str">
        <f>IFERROR(IF([1]对账明细接口!$O884=0,"",[1]对账明细接口!$O884),"")</f>
        <v/>
      </c>
      <c r="U884" s="21" t="str">
        <f>IFERROR(IF([1]对账明细接口!$P884=0,"",[1]对账明细接口!$P884),"")</f>
        <v/>
      </c>
      <c r="V884" s="21" t="str">
        <f>IFERROR(IF([1]对账明细接口!$Q884=0,"",[1]对账明细接口!$Q884),"")</f>
        <v/>
      </c>
      <c r="W884" s="20" t="str">
        <f>IFERROR(IF([1]对账明细接口!$R884=0,"",[1]对账明细接口!$R884),"")</f>
        <v/>
      </c>
      <c r="X884" s="20" t="str">
        <f>IFERROR(IF([1]对账明细接口!$S884=0,"",[1]对账明细接口!$S884),"")</f>
        <v/>
      </c>
      <c r="Y884" s="20" t="str">
        <f>IFERROR(IF([1]对账明细接口!$T884=0,"",[1]对账明细接口!$T884),"")</f>
        <v/>
      </c>
      <c r="Z884" s="24" t="str">
        <f>IFERROR(IF([1]对账明细接口!$U884=0,"",[1]对账明细接口!$U884),"")</f>
        <v/>
      </c>
      <c r="AA884" s="24" t="str">
        <f>IFERROR(IF([1]对账明细接口!$V884=0,"",[1]对账明细接口!$V884),"")</f>
        <v/>
      </c>
      <c r="AB884" s="20" t="str">
        <f>IFERROR(IF([1]对账明细接口!$W884=0,"",[1]对账明细接口!$W884),"")</f>
        <v/>
      </c>
      <c r="AC884" s="7" t="str">
        <f>IFERROR(IF([1]对账明细接口!$X884=0,"",[1]对账明细接口!$X884),"")</f>
        <v/>
      </c>
      <c r="AD884" s="7" t="str">
        <f>IFERROR(IF([1]对账明细接口!$Y884=0,"",[1]对账明细接口!$Y884),"")</f>
        <v/>
      </c>
      <c r="AE884" s="7" t="str">
        <f>IFERROR(IF([1]对账明细接口!$AA884=0,"",[1]对账明细接口!$AA884),"")</f>
        <v/>
      </c>
      <c r="AF884" s="7" t="str">
        <f>IFERROR(IF([1]对账明细接口!$AB884=0,"",[1]对账明细接口!$AB884),"")</f>
        <v/>
      </c>
      <c r="AG884" s="7" t="str">
        <f>IFERROR(IF([1]对账明细接口!$AC884=0,"",[1]对账明细接口!$AC884),"")</f>
        <v/>
      </c>
      <c r="AH884" s="7" t="str">
        <f>IFERROR(IF([1]对账明细接口!$AD884=0,"",[1]对账明细接口!$AD884),"")</f>
        <v/>
      </c>
      <c r="AI884" s="7" t="str">
        <f>IFERROR(IF([1]对账明细接口!$AE884=0,"",[1]对账明细接口!$AE884),"")</f>
        <v/>
      </c>
      <c r="AJ884" s="7" t="str">
        <f>IFERROR(IF([1]对账明细接口!$AF884=0,"",[1]对账明细接口!$AF884),"")</f>
        <v/>
      </c>
    </row>
    <row r="885" ht="14.25" customHeight="1" spans="1:36">
      <c r="A885" s="14">
        <v>885</v>
      </c>
      <c r="B885" s="15" t="str">
        <f>IFERROR(IF([1]对账明细接口!$B$885=0,"",[1]对账明细接口!$B$885),"")</f>
        <v/>
      </c>
      <c r="C885" s="16" t="str">
        <f>IFERROR(IF([1]对账明细接口!$C$885=0,"",[1]对账明细接口!$C$885),"")</f>
        <v/>
      </c>
      <c r="D885" s="16" t="str">
        <f>IFERROR(IF([1]对账明细接口!$D$885=0,"",[1]对账明细接口!$D$885),"")</f>
        <v/>
      </c>
      <c r="E885" s="16" t="str">
        <f>IFERROR(IF([1]对账明细接口!$E$885=0,"",[1]对账明细接口!$E$885),"")</f>
        <v/>
      </c>
      <c r="F885" s="16" t="str">
        <f>IFERROR(IF([1]对账明细接口!$F$885=0,"",[1]对账明细接口!$F$885),"")</f>
        <v/>
      </c>
      <c r="G885" s="16" t="str">
        <f>IFERROR(IF([1]对账明细接口!$G$885=0,"",[1]对账明细接口!$G$885),"")</f>
        <v/>
      </c>
      <c r="H885" s="17" t="str">
        <f>IFERROR(IF([1]对账明细接口!$H$885=0,"",[1]对账明细接口!$H$885),"")</f>
        <v/>
      </c>
      <c r="I885" s="16" t="str">
        <f>IFERROR(IF([1]对账明细接口!$I$885=0,"",[1]对账明细接口!$I$885),"")</f>
        <v/>
      </c>
      <c r="J885" s="18" t="str">
        <f>IFERROR(IF([1]对账明细接口!$J$885=0,"",[1]对账明细接口!$J$885),"")</f>
        <v/>
      </c>
      <c r="K885" s="18" t="str">
        <f>IFERROR(IF([1]对账明细接口!$K$885=0,"",[1]对账明细接口!$K$885),"")</f>
        <v/>
      </c>
      <c r="L885" s="16" t="str">
        <f>IFERROR(IF([1]对账明细接口!$L$885=0,"",[1]对账明细接口!$L$885),"")</f>
        <v/>
      </c>
      <c r="M885" s="16" t="str">
        <f>IFERROR(IF([1]对账明细接口!$M$885=0,"",[1]对账明细接口!$M$885),"")</f>
        <v/>
      </c>
      <c r="N885" s="19">
        <f t="shared" si="26"/>
        <v>0</v>
      </c>
      <c r="O885" s="19">
        <f t="shared" si="27"/>
        <v>420</v>
      </c>
      <c r="S885" s="20" t="str">
        <f>IFERROR(IF([1]对账明细接口!$N885=0,"",[1]对账明细接口!$N885),"")</f>
        <v/>
      </c>
      <c r="T885" s="21" t="str">
        <f>IFERROR(IF([1]对账明细接口!$O885=0,"",[1]对账明细接口!$O885),"")</f>
        <v/>
      </c>
      <c r="U885" s="21" t="str">
        <f>IFERROR(IF([1]对账明细接口!$P885=0,"",[1]对账明细接口!$P885),"")</f>
        <v/>
      </c>
      <c r="V885" s="21" t="str">
        <f>IFERROR(IF([1]对账明细接口!$Q885=0,"",[1]对账明细接口!$Q885),"")</f>
        <v/>
      </c>
      <c r="W885" s="20" t="str">
        <f>IFERROR(IF([1]对账明细接口!$R885=0,"",[1]对账明细接口!$R885),"")</f>
        <v/>
      </c>
      <c r="X885" s="20" t="str">
        <f>IFERROR(IF([1]对账明细接口!$S885=0,"",[1]对账明细接口!$S885),"")</f>
        <v/>
      </c>
      <c r="Y885" s="20" t="str">
        <f>IFERROR(IF([1]对账明细接口!$T885=0,"",[1]对账明细接口!$T885),"")</f>
        <v/>
      </c>
      <c r="Z885" s="24" t="str">
        <f>IFERROR(IF([1]对账明细接口!$U885=0,"",[1]对账明细接口!$U885),"")</f>
        <v/>
      </c>
      <c r="AA885" s="24" t="str">
        <f>IFERROR(IF([1]对账明细接口!$V885=0,"",[1]对账明细接口!$V885),"")</f>
        <v/>
      </c>
      <c r="AB885" s="20" t="str">
        <f>IFERROR(IF([1]对账明细接口!$W885=0,"",[1]对账明细接口!$W885),"")</f>
        <v/>
      </c>
      <c r="AC885" s="7" t="str">
        <f>IFERROR(IF([1]对账明细接口!$X885=0,"",[1]对账明细接口!$X885),"")</f>
        <v/>
      </c>
      <c r="AD885" s="7" t="str">
        <f>IFERROR(IF([1]对账明细接口!$Y885=0,"",[1]对账明细接口!$Y885),"")</f>
        <v/>
      </c>
      <c r="AE885" s="7" t="str">
        <f>IFERROR(IF([1]对账明细接口!$AA885=0,"",[1]对账明细接口!$AA885),"")</f>
        <v/>
      </c>
      <c r="AF885" s="7" t="str">
        <f>IFERROR(IF([1]对账明细接口!$AB885=0,"",[1]对账明细接口!$AB885),"")</f>
        <v/>
      </c>
      <c r="AG885" s="7" t="str">
        <f>IFERROR(IF([1]对账明细接口!$AC885=0,"",[1]对账明细接口!$AC885),"")</f>
        <v/>
      </c>
      <c r="AH885" s="7" t="str">
        <f>IFERROR(IF([1]对账明细接口!$AD885=0,"",[1]对账明细接口!$AD885),"")</f>
        <v/>
      </c>
      <c r="AI885" s="7" t="str">
        <f>IFERROR(IF([1]对账明细接口!$AE885=0,"",[1]对账明细接口!$AE885),"")</f>
        <v/>
      </c>
      <c r="AJ885" s="7" t="str">
        <f>IFERROR(IF([1]对账明细接口!$AF885=0,"",[1]对账明细接口!$AF885),"")</f>
        <v/>
      </c>
    </row>
    <row r="886" ht="14.25" customHeight="1" spans="1:36">
      <c r="A886" s="14">
        <v>886</v>
      </c>
      <c r="B886" s="15" t="str">
        <f>IFERROR(IF([1]对账明细接口!$B$886=0,"",[1]对账明细接口!$B$886),"")</f>
        <v/>
      </c>
      <c r="C886" s="16" t="str">
        <f>IFERROR(IF([1]对账明细接口!$C$886=0,"",[1]对账明细接口!$C$886),"")</f>
        <v/>
      </c>
      <c r="D886" s="16" t="str">
        <f>IFERROR(IF([1]对账明细接口!$D$886=0,"",[1]对账明细接口!$D$886),"")</f>
        <v/>
      </c>
      <c r="E886" s="16" t="str">
        <f>IFERROR(IF([1]对账明细接口!$E$886=0,"",[1]对账明细接口!$E$886),"")</f>
        <v/>
      </c>
      <c r="F886" s="16" t="str">
        <f>IFERROR(IF([1]对账明细接口!$F$886=0,"",[1]对账明细接口!$F$886),"")</f>
        <v/>
      </c>
      <c r="G886" s="16" t="str">
        <f>IFERROR(IF([1]对账明细接口!$G$886=0,"",[1]对账明细接口!$G$886),"")</f>
        <v/>
      </c>
      <c r="H886" s="17" t="str">
        <f>IFERROR(IF([1]对账明细接口!$H$886=0,"",[1]对账明细接口!$H$886),"")</f>
        <v/>
      </c>
      <c r="I886" s="16" t="str">
        <f>IFERROR(IF([1]对账明细接口!$I$886=0,"",[1]对账明细接口!$I$886),"")</f>
        <v/>
      </c>
      <c r="J886" s="18" t="str">
        <f>IFERROR(IF([1]对账明细接口!$J$886=0,"",[1]对账明细接口!$J$886),"")</f>
        <v/>
      </c>
      <c r="K886" s="18" t="str">
        <f>IFERROR(IF([1]对账明细接口!$K$886=0,"",[1]对账明细接口!$K$886),"")</f>
        <v/>
      </c>
      <c r="L886" s="16" t="str">
        <f>IFERROR(IF([1]对账明细接口!$L$886=0,"",[1]对账明细接口!$L$886),"")</f>
        <v/>
      </c>
      <c r="M886" s="16" t="str">
        <f>IFERROR(IF([1]对账明细接口!$M$886=0,"",[1]对账明细接口!$M$886),"")</f>
        <v/>
      </c>
      <c r="N886" s="19">
        <f t="shared" si="26"/>
        <v>0</v>
      </c>
      <c r="O886" s="19">
        <f t="shared" si="27"/>
        <v>420</v>
      </c>
      <c r="S886" s="20" t="str">
        <f>IFERROR(IF([1]对账明细接口!$N886=0,"",[1]对账明细接口!$N886),"")</f>
        <v/>
      </c>
      <c r="T886" s="21" t="str">
        <f>IFERROR(IF([1]对账明细接口!$O886=0,"",[1]对账明细接口!$O886),"")</f>
        <v/>
      </c>
      <c r="U886" s="21" t="str">
        <f>IFERROR(IF([1]对账明细接口!$P886=0,"",[1]对账明细接口!$P886),"")</f>
        <v/>
      </c>
      <c r="V886" s="21" t="str">
        <f>IFERROR(IF([1]对账明细接口!$Q886=0,"",[1]对账明细接口!$Q886),"")</f>
        <v/>
      </c>
      <c r="W886" s="20" t="str">
        <f>IFERROR(IF([1]对账明细接口!$R886=0,"",[1]对账明细接口!$R886),"")</f>
        <v/>
      </c>
      <c r="X886" s="20" t="str">
        <f>IFERROR(IF([1]对账明细接口!$S886=0,"",[1]对账明细接口!$S886),"")</f>
        <v/>
      </c>
      <c r="Y886" s="20" t="str">
        <f>IFERROR(IF([1]对账明细接口!$T886=0,"",[1]对账明细接口!$T886),"")</f>
        <v/>
      </c>
      <c r="Z886" s="24" t="str">
        <f>IFERROR(IF([1]对账明细接口!$U886=0,"",[1]对账明细接口!$U886),"")</f>
        <v/>
      </c>
      <c r="AA886" s="24" t="str">
        <f>IFERROR(IF([1]对账明细接口!$V886=0,"",[1]对账明细接口!$V886),"")</f>
        <v/>
      </c>
      <c r="AB886" s="20" t="str">
        <f>IFERROR(IF([1]对账明细接口!$W886=0,"",[1]对账明细接口!$W886),"")</f>
        <v/>
      </c>
      <c r="AC886" s="7" t="str">
        <f>IFERROR(IF([1]对账明细接口!$X886=0,"",[1]对账明细接口!$X886),"")</f>
        <v/>
      </c>
      <c r="AD886" s="7" t="str">
        <f>IFERROR(IF([1]对账明细接口!$Y886=0,"",[1]对账明细接口!$Y886),"")</f>
        <v/>
      </c>
      <c r="AE886" s="7" t="str">
        <f>IFERROR(IF([1]对账明细接口!$AA886=0,"",[1]对账明细接口!$AA886),"")</f>
        <v/>
      </c>
      <c r="AF886" s="7" t="str">
        <f>IFERROR(IF([1]对账明细接口!$AB886=0,"",[1]对账明细接口!$AB886),"")</f>
        <v/>
      </c>
      <c r="AG886" s="7" t="str">
        <f>IFERROR(IF([1]对账明细接口!$AC886=0,"",[1]对账明细接口!$AC886),"")</f>
        <v/>
      </c>
      <c r="AH886" s="7" t="str">
        <f>IFERROR(IF([1]对账明细接口!$AD886=0,"",[1]对账明细接口!$AD886),"")</f>
        <v/>
      </c>
      <c r="AI886" s="7" t="str">
        <f>IFERROR(IF([1]对账明细接口!$AE886=0,"",[1]对账明细接口!$AE886),"")</f>
        <v/>
      </c>
      <c r="AJ886" s="7" t="str">
        <f>IFERROR(IF([1]对账明细接口!$AF886=0,"",[1]对账明细接口!$AF886),"")</f>
        <v/>
      </c>
    </row>
    <row r="887" ht="14.25" customHeight="1" spans="1:36">
      <c r="A887" s="14">
        <v>887</v>
      </c>
      <c r="B887" s="15" t="str">
        <f>IFERROR(IF([1]对账明细接口!$B$887=0,"",[1]对账明细接口!$B$887),"")</f>
        <v/>
      </c>
      <c r="C887" s="16" t="str">
        <f>IFERROR(IF([1]对账明细接口!$C$887=0,"",[1]对账明细接口!$C$887),"")</f>
        <v/>
      </c>
      <c r="D887" s="16" t="str">
        <f>IFERROR(IF([1]对账明细接口!$D$887=0,"",[1]对账明细接口!$D$887),"")</f>
        <v/>
      </c>
      <c r="E887" s="16" t="str">
        <f>IFERROR(IF([1]对账明细接口!$E$887=0,"",[1]对账明细接口!$E$887),"")</f>
        <v/>
      </c>
      <c r="F887" s="16" t="str">
        <f>IFERROR(IF([1]对账明细接口!$F$887=0,"",[1]对账明细接口!$F$887),"")</f>
        <v/>
      </c>
      <c r="G887" s="16" t="str">
        <f>IFERROR(IF([1]对账明细接口!$G$887=0,"",[1]对账明细接口!$G$887),"")</f>
        <v/>
      </c>
      <c r="H887" s="17" t="str">
        <f>IFERROR(IF([1]对账明细接口!$H$887=0,"",[1]对账明细接口!$H$887),"")</f>
        <v/>
      </c>
      <c r="I887" s="16" t="str">
        <f>IFERROR(IF([1]对账明细接口!$I$887=0,"",[1]对账明细接口!$I$887),"")</f>
        <v/>
      </c>
      <c r="J887" s="18" t="str">
        <f>IFERROR(IF([1]对账明细接口!$J$887=0,"",[1]对账明细接口!$J$887),"")</f>
        <v/>
      </c>
      <c r="K887" s="18" t="str">
        <f>IFERROR(IF([1]对账明细接口!$K$887=0,"",[1]对账明细接口!$K$887),"")</f>
        <v/>
      </c>
      <c r="L887" s="16" t="str">
        <f>IFERROR(IF([1]对账明细接口!$L$887=0,"",[1]对账明细接口!$L$887),"")</f>
        <v/>
      </c>
      <c r="M887" s="16" t="str">
        <f>IFERROR(IF([1]对账明细接口!$M$887=0,"",[1]对账明细接口!$M$887),"")</f>
        <v/>
      </c>
      <c r="N887" s="19">
        <f t="shared" si="26"/>
        <v>0</v>
      </c>
      <c r="O887" s="19">
        <f t="shared" si="27"/>
        <v>420</v>
      </c>
      <c r="S887" s="20" t="str">
        <f>IFERROR(IF([1]对账明细接口!$N887=0,"",[1]对账明细接口!$N887),"")</f>
        <v/>
      </c>
      <c r="T887" s="21" t="str">
        <f>IFERROR(IF([1]对账明细接口!$O887=0,"",[1]对账明细接口!$O887),"")</f>
        <v/>
      </c>
      <c r="U887" s="21" t="str">
        <f>IFERROR(IF([1]对账明细接口!$P887=0,"",[1]对账明细接口!$P887),"")</f>
        <v/>
      </c>
      <c r="V887" s="21" t="str">
        <f>IFERROR(IF([1]对账明细接口!$Q887=0,"",[1]对账明细接口!$Q887),"")</f>
        <v/>
      </c>
      <c r="W887" s="20" t="str">
        <f>IFERROR(IF([1]对账明细接口!$R887=0,"",[1]对账明细接口!$R887),"")</f>
        <v/>
      </c>
      <c r="X887" s="20" t="str">
        <f>IFERROR(IF([1]对账明细接口!$S887=0,"",[1]对账明细接口!$S887),"")</f>
        <v/>
      </c>
      <c r="Y887" s="20" t="str">
        <f>IFERROR(IF([1]对账明细接口!$T887=0,"",[1]对账明细接口!$T887),"")</f>
        <v/>
      </c>
      <c r="Z887" s="24" t="str">
        <f>IFERROR(IF([1]对账明细接口!$U887=0,"",[1]对账明细接口!$U887),"")</f>
        <v/>
      </c>
      <c r="AA887" s="24" t="str">
        <f>IFERROR(IF([1]对账明细接口!$V887=0,"",[1]对账明细接口!$V887),"")</f>
        <v/>
      </c>
      <c r="AB887" s="20" t="str">
        <f>IFERROR(IF([1]对账明细接口!$W887=0,"",[1]对账明细接口!$W887),"")</f>
        <v/>
      </c>
      <c r="AC887" s="7" t="str">
        <f>IFERROR(IF([1]对账明细接口!$X887=0,"",[1]对账明细接口!$X887),"")</f>
        <v/>
      </c>
      <c r="AD887" s="7" t="str">
        <f>IFERROR(IF([1]对账明细接口!$Y887=0,"",[1]对账明细接口!$Y887),"")</f>
        <v/>
      </c>
      <c r="AE887" s="7" t="str">
        <f>IFERROR(IF([1]对账明细接口!$AA887=0,"",[1]对账明细接口!$AA887),"")</f>
        <v/>
      </c>
      <c r="AF887" s="7" t="str">
        <f>IFERROR(IF([1]对账明细接口!$AB887=0,"",[1]对账明细接口!$AB887),"")</f>
        <v/>
      </c>
      <c r="AG887" s="7" t="str">
        <f>IFERROR(IF([1]对账明细接口!$AC887=0,"",[1]对账明细接口!$AC887),"")</f>
        <v/>
      </c>
      <c r="AH887" s="7" t="str">
        <f>IFERROR(IF([1]对账明细接口!$AD887=0,"",[1]对账明细接口!$AD887),"")</f>
        <v/>
      </c>
      <c r="AI887" s="7" t="str">
        <f>IFERROR(IF([1]对账明细接口!$AE887=0,"",[1]对账明细接口!$AE887),"")</f>
        <v/>
      </c>
      <c r="AJ887" s="7" t="str">
        <f>IFERROR(IF([1]对账明细接口!$AF887=0,"",[1]对账明细接口!$AF887),"")</f>
        <v/>
      </c>
    </row>
    <row r="888" ht="14.25" customHeight="1" spans="1:36">
      <c r="A888" s="14">
        <v>888</v>
      </c>
      <c r="B888" s="15" t="str">
        <f>IFERROR(IF([1]对账明细接口!$B$888=0,"",[1]对账明细接口!$B$888),"")</f>
        <v/>
      </c>
      <c r="C888" s="16" t="str">
        <f>IFERROR(IF([1]对账明细接口!$C$888=0,"",[1]对账明细接口!$C$888),"")</f>
        <v/>
      </c>
      <c r="D888" s="16" t="str">
        <f>IFERROR(IF([1]对账明细接口!$D$888=0,"",[1]对账明细接口!$D$888),"")</f>
        <v/>
      </c>
      <c r="E888" s="16" t="str">
        <f>IFERROR(IF([1]对账明细接口!$E$888=0,"",[1]对账明细接口!$E$888),"")</f>
        <v/>
      </c>
      <c r="F888" s="16" t="str">
        <f>IFERROR(IF([1]对账明细接口!$F$888=0,"",[1]对账明细接口!$F$888),"")</f>
        <v/>
      </c>
      <c r="G888" s="16" t="str">
        <f>IFERROR(IF([1]对账明细接口!$G$888=0,"",[1]对账明细接口!$G$888),"")</f>
        <v/>
      </c>
      <c r="H888" s="17" t="str">
        <f>IFERROR(IF([1]对账明细接口!$H$888=0,"",[1]对账明细接口!$H$888),"")</f>
        <v/>
      </c>
      <c r="I888" s="16" t="str">
        <f>IFERROR(IF([1]对账明细接口!$I$888=0,"",[1]对账明细接口!$I$888),"")</f>
        <v/>
      </c>
      <c r="J888" s="18" t="str">
        <f>IFERROR(IF([1]对账明细接口!$J$888=0,"",[1]对账明细接口!$J$888),"")</f>
        <v/>
      </c>
      <c r="K888" s="18" t="str">
        <f>IFERROR(IF([1]对账明细接口!$K$888=0,"",[1]对账明细接口!$K$888),"")</f>
        <v/>
      </c>
      <c r="L888" s="16" t="str">
        <f>IFERROR(IF([1]对账明细接口!$L$888=0,"",[1]对账明细接口!$L$888),"")</f>
        <v/>
      </c>
      <c r="M888" s="16" t="str">
        <f>IFERROR(IF([1]对账明细接口!$M$888=0,"",[1]对账明细接口!$M$888),"")</f>
        <v/>
      </c>
      <c r="N888" s="19">
        <f t="shared" si="26"/>
        <v>0</v>
      </c>
      <c r="O888" s="19">
        <f t="shared" si="27"/>
        <v>420</v>
      </c>
      <c r="S888" s="20" t="str">
        <f>IFERROR(IF([1]对账明细接口!$N888=0,"",[1]对账明细接口!$N888),"")</f>
        <v/>
      </c>
      <c r="T888" s="21" t="str">
        <f>IFERROR(IF([1]对账明细接口!$O888=0,"",[1]对账明细接口!$O888),"")</f>
        <v/>
      </c>
      <c r="U888" s="21" t="str">
        <f>IFERROR(IF([1]对账明细接口!$P888=0,"",[1]对账明细接口!$P888),"")</f>
        <v/>
      </c>
      <c r="V888" s="21" t="str">
        <f>IFERROR(IF([1]对账明细接口!$Q888=0,"",[1]对账明细接口!$Q888),"")</f>
        <v/>
      </c>
      <c r="W888" s="20" t="str">
        <f>IFERROR(IF([1]对账明细接口!$R888=0,"",[1]对账明细接口!$R888),"")</f>
        <v/>
      </c>
      <c r="X888" s="20" t="str">
        <f>IFERROR(IF([1]对账明细接口!$S888=0,"",[1]对账明细接口!$S888),"")</f>
        <v/>
      </c>
      <c r="Y888" s="20" t="str">
        <f>IFERROR(IF([1]对账明细接口!$T888=0,"",[1]对账明细接口!$T888),"")</f>
        <v/>
      </c>
      <c r="Z888" s="24" t="str">
        <f>IFERROR(IF([1]对账明细接口!$U888=0,"",[1]对账明细接口!$U888),"")</f>
        <v/>
      </c>
      <c r="AA888" s="24" t="str">
        <f>IFERROR(IF([1]对账明细接口!$V888=0,"",[1]对账明细接口!$V888),"")</f>
        <v/>
      </c>
      <c r="AB888" s="20" t="str">
        <f>IFERROR(IF([1]对账明细接口!$W888=0,"",[1]对账明细接口!$W888),"")</f>
        <v/>
      </c>
      <c r="AC888" s="7" t="str">
        <f>IFERROR(IF([1]对账明细接口!$X888=0,"",[1]对账明细接口!$X888),"")</f>
        <v/>
      </c>
      <c r="AD888" s="7" t="str">
        <f>IFERROR(IF([1]对账明细接口!$Y888=0,"",[1]对账明细接口!$Y888),"")</f>
        <v/>
      </c>
      <c r="AE888" s="7" t="str">
        <f>IFERROR(IF([1]对账明细接口!$AA888=0,"",[1]对账明细接口!$AA888),"")</f>
        <v/>
      </c>
      <c r="AF888" s="7" t="str">
        <f>IFERROR(IF([1]对账明细接口!$AB888=0,"",[1]对账明细接口!$AB888),"")</f>
        <v/>
      </c>
      <c r="AG888" s="7" t="str">
        <f>IFERROR(IF([1]对账明细接口!$AC888=0,"",[1]对账明细接口!$AC888),"")</f>
        <v/>
      </c>
      <c r="AH888" s="7" t="str">
        <f>IFERROR(IF([1]对账明细接口!$AD888=0,"",[1]对账明细接口!$AD888),"")</f>
        <v/>
      </c>
      <c r="AI888" s="7" t="str">
        <f>IFERROR(IF([1]对账明细接口!$AE888=0,"",[1]对账明细接口!$AE888),"")</f>
        <v/>
      </c>
      <c r="AJ888" s="7" t="str">
        <f>IFERROR(IF([1]对账明细接口!$AF888=0,"",[1]对账明细接口!$AF888),"")</f>
        <v/>
      </c>
    </row>
    <row r="889" ht="14.25" customHeight="1" spans="1:36">
      <c r="A889" s="14">
        <v>889</v>
      </c>
      <c r="B889" s="15" t="str">
        <f>IFERROR(IF([1]对账明细接口!$B$889=0,"",[1]对账明细接口!$B$889),"")</f>
        <v/>
      </c>
      <c r="C889" s="16" t="str">
        <f>IFERROR(IF([1]对账明细接口!$C$889=0,"",[1]对账明细接口!$C$889),"")</f>
        <v/>
      </c>
      <c r="D889" s="16" t="str">
        <f>IFERROR(IF([1]对账明细接口!$D$889=0,"",[1]对账明细接口!$D$889),"")</f>
        <v/>
      </c>
      <c r="E889" s="16" t="str">
        <f>IFERROR(IF([1]对账明细接口!$E$889=0,"",[1]对账明细接口!$E$889),"")</f>
        <v/>
      </c>
      <c r="F889" s="16" t="str">
        <f>IFERROR(IF([1]对账明细接口!$F$889=0,"",[1]对账明细接口!$F$889),"")</f>
        <v/>
      </c>
      <c r="G889" s="16" t="str">
        <f>IFERROR(IF([1]对账明细接口!$G$889=0,"",[1]对账明细接口!$G$889),"")</f>
        <v/>
      </c>
      <c r="H889" s="17" t="str">
        <f>IFERROR(IF([1]对账明细接口!$H$889=0,"",[1]对账明细接口!$H$889),"")</f>
        <v/>
      </c>
      <c r="I889" s="16" t="str">
        <f>IFERROR(IF([1]对账明细接口!$I$889=0,"",[1]对账明细接口!$I$889),"")</f>
        <v/>
      </c>
      <c r="J889" s="18" t="str">
        <f>IFERROR(IF([1]对账明细接口!$J$889=0,"",[1]对账明细接口!$J$889),"")</f>
        <v/>
      </c>
      <c r="K889" s="18" t="str">
        <f>IFERROR(IF([1]对账明细接口!$K$889=0,"",[1]对账明细接口!$K$889),"")</f>
        <v/>
      </c>
      <c r="L889" s="16" t="str">
        <f>IFERROR(IF([1]对账明细接口!$L$889=0,"",[1]对账明细接口!$L$889),"")</f>
        <v/>
      </c>
      <c r="M889" s="16" t="str">
        <f>IFERROR(IF([1]对账明细接口!$M$889=0,"",[1]对账明细接口!$M$889),"")</f>
        <v/>
      </c>
      <c r="N889" s="19">
        <f t="shared" si="26"/>
        <v>0</v>
      </c>
      <c r="O889" s="19">
        <f t="shared" si="27"/>
        <v>420</v>
      </c>
      <c r="S889" s="20" t="str">
        <f>IFERROR(IF([1]对账明细接口!$N889=0,"",[1]对账明细接口!$N889),"")</f>
        <v/>
      </c>
      <c r="T889" s="21" t="str">
        <f>IFERROR(IF([1]对账明细接口!$O889=0,"",[1]对账明细接口!$O889),"")</f>
        <v/>
      </c>
      <c r="U889" s="21" t="str">
        <f>IFERROR(IF([1]对账明细接口!$P889=0,"",[1]对账明细接口!$P889),"")</f>
        <v/>
      </c>
      <c r="V889" s="21" t="str">
        <f>IFERROR(IF([1]对账明细接口!$Q889=0,"",[1]对账明细接口!$Q889),"")</f>
        <v/>
      </c>
      <c r="W889" s="20" t="str">
        <f>IFERROR(IF([1]对账明细接口!$R889=0,"",[1]对账明细接口!$R889),"")</f>
        <v/>
      </c>
      <c r="X889" s="20" t="str">
        <f>IFERROR(IF([1]对账明细接口!$S889=0,"",[1]对账明细接口!$S889),"")</f>
        <v/>
      </c>
      <c r="Y889" s="20" t="str">
        <f>IFERROR(IF([1]对账明细接口!$T889=0,"",[1]对账明细接口!$T889),"")</f>
        <v/>
      </c>
      <c r="Z889" s="24" t="str">
        <f>IFERROR(IF([1]对账明细接口!$U889=0,"",[1]对账明细接口!$U889),"")</f>
        <v/>
      </c>
      <c r="AA889" s="24" t="str">
        <f>IFERROR(IF([1]对账明细接口!$V889=0,"",[1]对账明细接口!$V889),"")</f>
        <v/>
      </c>
      <c r="AB889" s="20" t="str">
        <f>IFERROR(IF([1]对账明细接口!$W889=0,"",[1]对账明细接口!$W889),"")</f>
        <v/>
      </c>
      <c r="AC889" s="7" t="str">
        <f>IFERROR(IF([1]对账明细接口!$X889=0,"",[1]对账明细接口!$X889),"")</f>
        <v/>
      </c>
      <c r="AD889" s="7" t="str">
        <f>IFERROR(IF([1]对账明细接口!$Y889=0,"",[1]对账明细接口!$Y889),"")</f>
        <v/>
      </c>
      <c r="AE889" s="7" t="str">
        <f>IFERROR(IF([1]对账明细接口!$AA889=0,"",[1]对账明细接口!$AA889),"")</f>
        <v/>
      </c>
      <c r="AF889" s="7" t="str">
        <f>IFERROR(IF([1]对账明细接口!$AB889=0,"",[1]对账明细接口!$AB889),"")</f>
        <v/>
      </c>
      <c r="AG889" s="7" t="str">
        <f>IFERROR(IF([1]对账明细接口!$AC889=0,"",[1]对账明细接口!$AC889),"")</f>
        <v/>
      </c>
      <c r="AH889" s="7" t="str">
        <f>IFERROR(IF([1]对账明细接口!$AD889=0,"",[1]对账明细接口!$AD889),"")</f>
        <v/>
      </c>
      <c r="AI889" s="7" t="str">
        <f>IFERROR(IF([1]对账明细接口!$AE889=0,"",[1]对账明细接口!$AE889),"")</f>
        <v/>
      </c>
      <c r="AJ889" s="7" t="str">
        <f>IFERROR(IF([1]对账明细接口!$AF889=0,"",[1]对账明细接口!$AF889),"")</f>
        <v/>
      </c>
    </row>
    <row r="890" ht="14.25" customHeight="1" spans="1:36">
      <c r="A890" s="14">
        <v>890</v>
      </c>
      <c r="B890" s="15" t="str">
        <f>IFERROR(IF([1]对账明细接口!$B$890=0,"",[1]对账明细接口!$B$890),"")</f>
        <v/>
      </c>
      <c r="C890" s="16" t="str">
        <f>IFERROR(IF([1]对账明细接口!$C$890=0,"",[1]对账明细接口!$C$890),"")</f>
        <v/>
      </c>
      <c r="D890" s="16" t="str">
        <f>IFERROR(IF([1]对账明细接口!$D$890=0,"",[1]对账明细接口!$D$890),"")</f>
        <v/>
      </c>
      <c r="E890" s="16" t="str">
        <f>IFERROR(IF([1]对账明细接口!$E$890=0,"",[1]对账明细接口!$E$890),"")</f>
        <v/>
      </c>
      <c r="F890" s="16" t="str">
        <f>IFERROR(IF([1]对账明细接口!$F$890=0,"",[1]对账明细接口!$F$890),"")</f>
        <v/>
      </c>
      <c r="G890" s="16" t="str">
        <f>IFERROR(IF([1]对账明细接口!$G$890=0,"",[1]对账明细接口!$G$890),"")</f>
        <v/>
      </c>
      <c r="H890" s="17" t="str">
        <f>IFERROR(IF([1]对账明细接口!$H$890=0,"",[1]对账明细接口!$H$890),"")</f>
        <v/>
      </c>
      <c r="I890" s="16" t="str">
        <f>IFERROR(IF([1]对账明细接口!$I$890=0,"",[1]对账明细接口!$I$890),"")</f>
        <v/>
      </c>
      <c r="J890" s="18" t="str">
        <f>IFERROR(IF([1]对账明细接口!$J$890=0,"",[1]对账明细接口!$J$890),"")</f>
        <v/>
      </c>
      <c r="K890" s="18" t="str">
        <f>IFERROR(IF([1]对账明细接口!$K$890=0,"",[1]对账明细接口!$K$890),"")</f>
        <v/>
      </c>
      <c r="L890" s="16" t="str">
        <f>IFERROR(IF([1]对账明细接口!$L$890=0,"",[1]对账明细接口!$L$890),"")</f>
        <v/>
      </c>
      <c r="M890" s="16" t="str">
        <f>IFERROR(IF([1]对账明细接口!$M$890=0,"",[1]对账明细接口!$M$890),"")</f>
        <v/>
      </c>
      <c r="N890" s="19">
        <f t="shared" si="26"/>
        <v>0</v>
      </c>
      <c r="O890" s="19">
        <f t="shared" si="27"/>
        <v>420</v>
      </c>
      <c r="S890" s="20" t="str">
        <f>IFERROR(IF([1]对账明细接口!$N890=0,"",[1]对账明细接口!$N890),"")</f>
        <v/>
      </c>
      <c r="T890" s="21" t="str">
        <f>IFERROR(IF([1]对账明细接口!$O890=0,"",[1]对账明细接口!$O890),"")</f>
        <v/>
      </c>
      <c r="U890" s="21" t="str">
        <f>IFERROR(IF([1]对账明细接口!$P890=0,"",[1]对账明细接口!$P890),"")</f>
        <v/>
      </c>
      <c r="V890" s="21" t="str">
        <f>IFERROR(IF([1]对账明细接口!$Q890=0,"",[1]对账明细接口!$Q890),"")</f>
        <v/>
      </c>
      <c r="W890" s="20" t="str">
        <f>IFERROR(IF([1]对账明细接口!$R890=0,"",[1]对账明细接口!$R890),"")</f>
        <v/>
      </c>
      <c r="X890" s="20" t="str">
        <f>IFERROR(IF([1]对账明细接口!$S890=0,"",[1]对账明细接口!$S890),"")</f>
        <v/>
      </c>
      <c r="Y890" s="20" t="str">
        <f>IFERROR(IF([1]对账明细接口!$T890=0,"",[1]对账明细接口!$T890),"")</f>
        <v/>
      </c>
      <c r="Z890" s="24" t="str">
        <f>IFERROR(IF([1]对账明细接口!$U890=0,"",[1]对账明细接口!$U890),"")</f>
        <v/>
      </c>
      <c r="AA890" s="24" t="str">
        <f>IFERROR(IF([1]对账明细接口!$V890=0,"",[1]对账明细接口!$V890),"")</f>
        <v/>
      </c>
      <c r="AB890" s="20" t="str">
        <f>IFERROR(IF([1]对账明细接口!$W890=0,"",[1]对账明细接口!$W890),"")</f>
        <v/>
      </c>
      <c r="AC890" s="7" t="str">
        <f>IFERROR(IF([1]对账明细接口!$X890=0,"",[1]对账明细接口!$X890),"")</f>
        <v/>
      </c>
      <c r="AD890" s="7" t="str">
        <f>IFERROR(IF([1]对账明细接口!$Y890=0,"",[1]对账明细接口!$Y890),"")</f>
        <v/>
      </c>
      <c r="AE890" s="7" t="str">
        <f>IFERROR(IF([1]对账明细接口!$AA890=0,"",[1]对账明细接口!$AA890),"")</f>
        <v/>
      </c>
      <c r="AF890" s="7" t="str">
        <f>IFERROR(IF([1]对账明细接口!$AB890=0,"",[1]对账明细接口!$AB890),"")</f>
        <v/>
      </c>
      <c r="AG890" s="7" t="str">
        <f>IFERROR(IF([1]对账明细接口!$AC890=0,"",[1]对账明细接口!$AC890),"")</f>
        <v/>
      </c>
      <c r="AH890" s="7" t="str">
        <f>IFERROR(IF([1]对账明细接口!$AD890=0,"",[1]对账明细接口!$AD890),"")</f>
        <v/>
      </c>
      <c r="AI890" s="7" t="str">
        <f>IFERROR(IF([1]对账明细接口!$AE890=0,"",[1]对账明细接口!$AE890),"")</f>
        <v/>
      </c>
      <c r="AJ890" s="7" t="str">
        <f>IFERROR(IF([1]对账明细接口!$AF890=0,"",[1]对账明细接口!$AF890),"")</f>
        <v/>
      </c>
    </row>
    <row r="891" ht="14.25" customHeight="1" spans="1:36">
      <c r="A891" s="14">
        <v>891</v>
      </c>
      <c r="B891" s="15" t="str">
        <f>IFERROR(IF([1]对账明细接口!$B$891=0,"",[1]对账明细接口!$B$891),"")</f>
        <v/>
      </c>
      <c r="C891" s="16" t="str">
        <f>IFERROR(IF([1]对账明细接口!$C$891=0,"",[1]对账明细接口!$C$891),"")</f>
        <v/>
      </c>
      <c r="D891" s="16" t="str">
        <f>IFERROR(IF([1]对账明细接口!$D$891=0,"",[1]对账明细接口!$D$891),"")</f>
        <v/>
      </c>
      <c r="E891" s="16" t="str">
        <f>IFERROR(IF([1]对账明细接口!$E$891=0,"",[1]对账明细接口!$E$891),"")</f>
        <v/>
      </c>
      <c r="F891" s="16" t="str">
        <f>IFERROR(IF([1]对账明细接口!$F$891=0,"",[1]对账明细接口!$F$891),"")</f>
        <v/>
      </c>
      <c r="G891" s="16" t="str">
        <f>IFERROR(IF([1]对账明细接口!$G$891=0,"",[1]对账明细接口!$G$891),"")</f>
        <v/>
      </c>
      <c r="H891" s="17" t="str">
        <f>IFERROR(IF([1]对账明细接口!$H$891=0,"",[1]对账明细接口!$H$891),"")</f>
        <v/>
      </c>
      <c r="I891" s="16" t="str">
        <f>IFERROR(IF([1]对账明细接口!$I$891=0,"",[1]对账明细接口!$I$891),"")</f>
        <v/>
      </c>
      <c r="J891" s="18" t="str">
        <f>IFERROR(IF([1]对账明细接口!$J$891=0,"",[1]对账明细接口!$J$891),"")</f>
        <v/>
      </c>
      <c r="K891" s="18" t="str">
        <f>IFERROR(IF([1]对账明细接口!$K$891=0,"",[1]对账明细接口!$K$891),"")</f>
        <v/>
      </c>
      <c r="L891" s="16" t="str">
        <f>IFERROR(IF([1]对账明细接口!$L$891=0,"",[1]对账明细接口!$L$891),"")</f>
        <v/>
      </c>
      <c r="M891" s="16" t="str">
        <f>IFERROR(IF([1]对账明细接口!$M$891=0,"",[1]对账明细接口!$M$891),"")</f>
        <v/>
      </c>
      <c r="N891" s="19">
        <f t="shared" si="26"/>
        <v>0</v>
      </c>
      <c r="O891" s="19">
        <f t="shared" si="27"/>
        <v>420</v>
      </c>
      <c r="S891" s="20" t="str">
        <f>IFERROR(IF([1]对账明细接口!$N891=0,"",[1]对账明细接口!$N891),"")</f>
        <v/>
      </c>
      <c r="T891" s="21" t="str">
        <f>IFERROR(IF([1]对账明细接口!$O891=0,"",[1]对账明细接口!$O891),"")</f>
        <v/>
      </c>
      <c r="U891" s="21" t="str">
        <f>IFERROR(IF([1]对账明细接口!$P891=0,"",[1]对账明细接口!$P891),"")</f>
        <v/>
      </c>
      <c r="V891" s="21" t="str">
        <f>IFERROR(IF([1]对账明细接口!$Q891=0,"",[1]对账明细接口!$Q891),"")</f>
        <v/>
      </c>
      <c r="W891" s="20" t="str">
        <f>IFERROR(IF([1]对账明细接口!$R891=0,"",[1]对账明细接口!$R891),"")</f>
        <v/>
      </c>
      <c r="X891" s="20" t="str">
        <f>IFERROR(IF([1]对账明细接口!$S891=0,"",[1]对账明细接口!$S891),"")</f>
        <v/>
      </c>
      <c r="Y891" s="20" t="str">
        <f>IFERROR(IF([1]对账明细接口!$T891=0,"",[1]对账明细接口!$T891),"")</f>
        <v/>
      </c>
      <c r="Z891" s="24" t="str">
        <f>IFERROR(IF([1]对账明细接口!$U891=0,"",[1]对账明细接口!$U891),"")</f>
        <v/>
      </c>
      <c r="AA891" s="24" t="str">
        <f>IFERROR(IF([1]对账明细接口!$V891=0,"",[1]对账明细接口!$V891),"")</f>
        <v/>
      </c>
      <c r="AB891" s="20" t="str">
        <f>IFERROR(IF([1]对账明细接口!$W891=0,"",[1]对账明细接口!$W891),"")</f>
        <v/>
      </c>
      <c r="AC891" s="7" t="str">
        <f>IFERROR(IF([1]对账明细接口!$X891=0,"",[1]对账明细接口!$X891),"")</f>
        <v/>
      </c>
      <c r="AD891" s="7" t="str">
        <f>IFERROR(IF([1]对账明细接口!$Y891=0,"",[1]对账明细接口!$Y891),"")</f>
        <v/>
      </c>
      <c r="AE891" s="7" t="str">
        <f>IFERROR(IF([1]对账明细接口!$AA891=0,"",[1]对账明细接口!$AA891),"")</f>
        <v/>
      </c>
      <c r="AF891" s="7" t="str">
        <f>IFERROR(IF([1]对账明细接口!$AB891=0,"",[1]对账明细接口!$AB891),"")</f>
        <v/>
      </c>
      <c r="AG891" s="7" t="str">
        <f>IFERROR(IF([1]对账明细接口!$AC891=0,"",[1]对账明细接口!$AC891),"")</f>
        <v/>
      </c>
      <c r="AH891" s="7" t="str">
        <f>IFERROR(IF([1]对账明细接口!$AD891=0,"",[1]对账明细接口!$AD891),"")</f>
        <v/>
      </c>
      <c r="AI891" s="7" t="str">
        <f>IFERROR(IF([1]对账明细接口!$AE891=0,"",[1]对账明细接口!$AE891),"")</f>
        <v/>
      </c>
      <c r="AJ891" s="7" t="str">
        <f>IFERROR(IF([1]对账明细接口!$AF891=0,"",[1]对账明细接口!$AF891),"")</f>
        <v/>
      </c>
    </row>
    <row r="892" ht="14.25" customHeight="1" spans="1:36">
      <c r="A892" s="14">
        <v>892</v>
      </c>
      <c r="B892" s="15" t="str">
        <f>IFERROR(IF([1]对账明细接口!$B$892=0,"",[1]对账明细接口!$B$892),"")</f>
        <v/>
      </c>
      <c r="C892" s="16" t="str">
        <f>IFERROR(IF([1]对账明细接口!$C$892=0,"",[1]对账明细接口!$C$892),"")</f>
        <v/>
      </c>
      <c r="D892" s="16" t="str">
        <f>IFERROR(IF([1]对账明细接口!$D$892=0,"",[1]对账明细接口!$D$892),"")</f>
        <v/>
      </c>
      <c r="E892" s="16" t="str">
        <f>IFERROR(IF([1]对账明细接口!$E$892=0,"",[1]对账明细接口!$E$892),"")</f>
        <v/>
      </c>
      <c r="F892" s="16" t="str">
        <f>IFERROR(IF([1]对账明细接口!$F$892=0,"",[1]对账明细接口!$F$892),"")</f>
        <v/>
      </c>
      <c r="G892" s="16" t="str">
        <f>IFERROR(IF([1]对账明细接口!$G$892=0,"",[1]对账明细接口!$G$892),"")</f>
        <v/>
      </c>
      <c r="H892" s="17" t="str">
        <f>IFERROR(IF([1]对账明细接口!$H$892=0,"",[1]对账明细接口!$H$892),"")</f>
        <v/>
      </c>
      <c r="I892" s="16" t="str">
        <f>IFERROR(IF([1]对账明细接口!$I$892=0,"",[1]对账明细接口!$I$892),"")</f>
        <v/>
      </c>
      <c r="J892" s="18" t="str">
        <f>IFERROR(IF([1]对账明细接口!$J$892=0,"",[1]对账明细接口!$J$892),"")</f>
        <v/>
      </c>
      <c r="K892" s="18" t="str">
        <f>IFERROR(IF([1]对账明细接口!$K$892=0,"",[1]对账明细接口!$K$892),"")</f>
        <v/>
      </c>
      <c r="L892" s="16" t="str">
        <f>IFERROR(IF([1]对账明细接口!$L$892=0,"",[1]对账明细接口!$L$892),"")</f>
        <v/>
      </c>
      <c r="M892" s="16" t="str">
        <f>IFERROR(IF([1]对账明细接口!$M$892=0,"",[1]对账明细接口!$M$892),"")</f>
        <v/>
      </c>
      <c r="N892" s="19">
        <f t="shared" si="26"/>
        <v>0</v>
      </c>
      <c r="O892" s="19">
        <f t="shared" si="27"/>
        <v>420</v>
      </c>
      <c r="S892" s="20" t="str">
        <f>IFERROR(IF([1]对账明细接口!$N892=0,"",[1]对账明细接口!$N892),"")</f>
        <v/>
      </c>
      <c r="T892" s="21" t="str">
        <f>IFERROR(IF([1]对账明细接口!$O892=0,"",[1]对账明细接口!$O892),"")</f>
        <v/>
      </c>
      <c r="U892" s="21" t="str">
        <f>IFERROR(IF([1]对账明细接口!$P892=0,"",[1]对账明细接口!$P892),"")</f>
        <v/>
      </c>
      <c r="V892" s="21" t="str">
        <f>IFERROR(IF([1]对账明细接口!$Q892=0,"",[1]对账明细接口!$Q892),"")</f>
        <v/>
      </c>
      <c r="W892" s="20" t="str">
        <f>IFERROR(IF([1]对账明细接口!$R892=0,"",[1]对账明细接口!$R892),"")</f>
        <v/>
      </c>
      <c r="X892" s="20" t="str">
        <f>IFERROR(IF([1]对账明细接口!$S892=0,"",[1]对账明细接口!$S892),"")</f>
        <v/>
      </c>
      <c r="Y892" s="20" t="str">
        <f>IFERROR(IF([1]对账明细接口!$T892=0,"",[1]对账明细接口!$T892),"")</f>
        <v/>
      </c>
      <c r="Z892" s="24" t="str">
        <f>IFERROR(IF([1]对账明细接口!$U892=0,"",[1]对账明细接口!$U892),"")</f>
        <v/>
      </c>
      <c r="AA892" s="24" t="str">
        <f>IFERROR(IF([1]对账明细接口!$V892=0,"",[1]对账明细接口!$V892),"")</f>
        <v/>
      </c>
      <c r="AB892" s="20" t="str">
        <f>IFERROR(IF([1]对账明细接口!$W892=0,"",[1]对账明细接口!$W892),"")</f>
        <v/>
      </c>
      <c r="AC892" s="7" t="str">
        <f>IFERROR(IF([1]对账明细接口!$X892=0,"",[1]对账明细接口!$X892),"")</f>
        <v/>
      </c>
      <c r="AD892" s="7" t="str">
        <f>IFERROR(IF([1]对账明细接口!$Y892=0,"",[1]对账明细接口!$Y892),"")</f>
        <v/>
      </c>
      <c r="AE892" s="7" t="str">
        <f>IFERROR(IF([1]对账明细接口!$AA892=0,"",[1]对账明细接口!$AA892),"")</f>
        <v/>
      </c>
      <c r="AF892" s="7" t="str">
        <f>IFERROR(IF([1]对账明细接口!$AB892=0,"",[1]对账明细接口!$AB892),"")</f>
        <v/>
      </c>
      <c r="AG892" s="7" t="str">
        <f>IFERROR(IF([1]对账明细接口!$AC892=0,"",[1]对账明细接口!$AC892),"")</f>
        <v/>
      </c>
      <c r="AH892" s="7" t="str">
        <f>IFERROR(IF([1]对账明细接口!$AD892=0,"",[1]对账明细接口!$AD892),"")</f>
        <v/>
      </c>
      <c r="AI892" s="7" t="str">
        <f>IFERROR(IF([1]对账明细接口!$AE892=0,"",[1]对账明细接口!$AE892),"")</f>
        <v/>
      </c>
      <c r="AJ892" s="7" t="str">
        <f>IFERROR(IF([1]对账明细接口!$AF892=0,"",[1]对账明细接口!$AF892),"")</f>
        <v/>
      </c>
    </row>
    <row r="893" ht="14.25" customHeight="1" spans="1:36">
      <c r="A893" s="14">
        <v>893</v>
      </c>
      <c r="B893" s="15" t="str">
        <f>IFERROR(IF([1]对账明细接口!$B$893=0,"",[1]对账明细接口!$B$893),"")</f>
        <v/>
      </c>
      <c r="C893" s="16" t="str">
        <f>IFERROR(IF([1]对账明细接口!$C$893=0,"",[1]对账明细接口!$C$893),"")</f>
        <v/>
      </c>
      <c r="D893" s="16" t="str">
        <f>IFERROR(IF([1]对账明细接口!$D$893=0,"",[1]对账明细接口!$D$893),"")</f>
        <v/>
      </c>
      <c r="E893" s="16" t="str">
        <f>IFERROR(IF([1]对账明细接口!$E$893=0,"",[1]对账明细接口!$E$893),"")</f>
        <v/>
      </c>
      <c r="F893" s="16" t="str">
        <f>IFERROR(IF([1]对账明细接口!$F$893=0,"",[1]对账明细接口!$F$893),"")</f>
        <v/>
      </c>
      <c r="G893" s="16" t="str">
        <f>IFERROR(IF([1]对账明细接口!$G$893=0,"",[1]对账明细接口!$G$893),"")</f>
        <v/>
      </c>
      <c r="H893" s="17" t="str">
        <f>IFERROR(IF([1]对账明细接口!$H$893=0,"",[1]对账明细接口!$H$893),"")</f>
        <v/>
      </c>
      <c r="I893" s="16" t="str">
        <f>IFERROR(IF([1]对账明细接口!$I$893=0,"",[1]对账明细接口!$I$893),"")</f>
        <v/>
      </c>
      <c r="J893" s="18" t="str">
        <f>IFERROR(IF([1]对账明细接口!$J$893=0,"",[1]对账明细接口!$J$893),"")</f>
        <v/>
      </c>
      <c r="K893" s="18" t="str">
        <f>IFERROR(IF([1]对账明细接口!$K$893=0,"",[1]对账明细接口!$K$893),"")</f>
        <v/>
      </c>
      <c r="L893" s="16" t="str">
        <f>IFERROR(IF([1]对账明细接口!$L$893=0,"",[1]对账明细接口!$L$893),"")</f>
        <v/>
      </c>
      <c r="M893" s="16" t="str">
        <f>IFERROR(IF([1]对账明细接口!$M$893=0,"",[1]对账明细接口!$M$893),"")</f>
        <v/>
      </c>
      <c r="N893" s="19">
        <f t="shared" si="26"/>
        <v>0</v>
      </c>
      <c r="O893" s="19">
        <f t="shared" si="27"/>
        <v>420</v>
      </c>
      <c r="S893" s="20" t="str">
        <f>IFERROR(IF([1]对账明细接口!$N893=0,"",[1]对账明细接口!$N893),"")</f>
        <v/>
      </c>
      <c r="T893" s="21" t="str">
        <f>IFERROR(IF([1]对账明细接口!$O893=0,"",[1]对账明细接口!$O893),"")</f>
        <v/>
      </c>
      <c r="U893" s="21" t="str">
        <f>IFERROR(IF([1]对账明细接口!$P893=0,"",[1]对账明细接口!$P893),"")</f>
        <v/>
      </c>
      <c r="V893" s="21" t="str">
        <f>IFERROR(IF([1]对账明细接口!$Q893=0,"",[1]对账明细接口!$Q893),"")</f>
        <v/>
      </c>
      <c r="W893" s="20" t="str">
        <f>IFERROR(IF([1]对账明细接口!$R893=0,"",[1]对账明细接口!$R893),"")</f>
        <v/>
      </c>
      <c r="X893" s="20" t="str">
        <f>IFERROR(IF([1]对账明细接口!$S893=0,"",[1]对账明细接口!$S893),"")</f>
        <v/>
      </c>
      <c r="Y893" s="20" t="str">
        <f>IFERROR(IF([1]对账明细接口!$T893=0,"",[1]对账明细接口!$T893),"")</f>
        <v/>
      </c>
      <c r="Z893" s="24" t="str">
        <f>IFERROR(IF([1]对账明细接口!$U893=0,"",[1]对账明细接口!$U893),"")</f>
        <v/>
      </c>
      <c r="AA893" s="24" t="str">
        <f>IFERROR(IF([1]对账明细接口!$V893=0,"",[1]对账明细接口!$V893),"")</f>
        <v/>
      </c>
      <c r="AB893" s="20" t="str">
        <f>IFERROR(IF([1]对账明细接口!$W893=0,"",[1]对账明细接口!$W893),"")</f>
        <v/>
      </c>
      <c r="AC893" s="7" t="str">
        <f>IFERROR(IF([1]对账明细接口!$X893=0,"",[1]对账明细接口!$X893),"")</f>
        <v/>
      </c>
      <c r="AD893" s="7" t="str">
        <f>IFERROR(IF([1]对账明细接口!$Y893=0,"",[1]对账明细接口!$Y893),"")</f>
        <v/>
      </c>
      <c r="AE893" s="7" t="str">
        <f>IFERROR(IF([1]对账明细接口!$AA893=0,"",[1]对账明细接口!$AA893),"")</f>
        <v/>
      </c>
      <c r="AF893" s="7" t="str">
        <f>IFERROR(IF([1]对账明细接口!$AB893=0,"",[1]对账明细接口!$AB893),"")</f>
        <v/>
      </c>
      <c r="AG893" s="7" t="str">
        <f>IFERROR(IF([1]对账明细接口!$AC893=0,"",[1]对账明细接口!$AC893),"")</f>
        <v/>
      </c>
      <c r="AH893" s="7" t="str">
        <f>IFERROR(IF([1]对账明细接口!$AD893=0,"",[1]对账明细接口!$AD893),"")</f>
        <v/>
      </c>
      <c r="AI893" s="7" t="str">
        <f>IFERROR(IF([1]对账明细接口!$AE893=0,"",[1]对账明细接口!$AE893),"")</f>
        <v/>
      </c>
      <c r="AJ893" s="7" t="str">
        <f>IFERROR(IF([1]对账明细接口!$AF893=0,"",[1]对账明细接口!$AF893),"")</f>
        <v/>
      </c>
    </row>
    <row r="894" ht="14.25" customHeight="1" spans="1:36">
      <c r="A894" s="14">
        <v>894</v>
      </c>
      <c r="B894" s="15" t="str">
        <f>IFERROR(IF([1]对账明细接口!$B$894=0,"",[1]对账明细接口!$B$894),"")</f>
        <v/>
      </c>
      <c r="C894" s="16" t="str">
        <f>IFERROR(IF([1]对账明细接口!$C$894=0,"",[1]对账明细接口!$C$894),"")</f>
        <v/>
      </c>
      <c r="D894" s="16" t="str">
        <f>IFERROR(IF([1]对账明细接口!$D$894=0,"",[1]对账明细接口!$D$894),"")</f>
        <v/>
      </c>
      <c r="E894" s="16" t="str">
        <f>IFERROR(IF([1]对账明细接口!$E$894=0,"",[1]对账明细接口!$E$894),"")</f>
        <v/>
      </c>
      <c r="F894" s="16" t="str">
        <f>IFERROR(IF([1]对账明细接口!$F$894=0,"",[1]对账明细接口!$F$894),"")</f>
        <v/>
      </c>
      <c r="G894" s="16" t="str">
        <f>IFERROR(IF([1]对账明细接口!$G$894=0,"",[1]对账明细接口!$G$894),"")</f>
        <v/>
      </c>
      <c r="H894" s="17" t="str">
        <f>IFERROR(IF([1]对账明细接口!$H$894=0,"",[1]对账明细接口!$H$894),"")</f>
        <v/>
      </c>
      <c r="I894" s="16" t="str">
        <f>IFERROR(IF([1]对账明细接口!$I$894=0,"",[1]对账明细接口!$I$894),"")</f>
        <v/>
      </c>
      <c r="J894" s="18" t="str">
        <f>IFERROR(IF([1]对账明细接口!$J$894=0,"",[1]对账明细接口!$J$894),"")</f>
        <v/>
      </c>
      <c r="K894" s="18" t="str">
        <f>IFERROR(IF([1]对账明细接口!$K$894=0,"",[1]对账明细接口!$K$894),"")</f>
        <v/>
      </c>
      <c r="L894" s="16" t="str">
        <f>IFERROR(IF([1]对账明细接口!$L$894=0,"",[1]对账明细接口!$L$894),"")</f>
        <v/>
      </c>
      <c r="M894" s="16" t="str">
        <f>IFERROR(IF([1]对账明细接口!$M$894=0,"",[1]对账明细接口!$M$894),"")</f>
        <v/>
      </c>
      <c r="N894" s="19">
        <f t="shared" si="26"/>
        <v>0</v>
      </c>
      <c r="O894" s="19">
        <f t="shared" si="27"/>
        <v>420</v>
      </c>
      <c r="S894" s="20" t="str">
        <f>IFERROR(IF([1]对账明细接口!$N894=0,"",[1]对账明细接口!$N894),"")</f>
        <v/>
      </c>
      <c r="T894" s="21" t="str">
        <f>IFERROR(IF([1]对账明细接口!$O894=0,"",[1]对账明细接口!$O894),"")</f>
        <v/>
      </c>
      <c r="U894" s="21" t="str">
        <f>IFERROR(IF([1]对账明细接口!$P894=0,"",[1]对账明细接口!$P894),"")</f>
        <v/>
      </c>
      <c r="V894" s="21" t="str">
        <f>IFERROR(IF([1]对账明细接口!$Q894=0,"",[1]对账明细接口!$Q894),"")</f>
        <v/>
      </c>
      <c r="W894" s="20" t="str">
        <f>IFERROR(IF([1]对账明细接口!$R894=0,"",[1]对账明细接口!$R894),"")</f>
        <v/>
      </c>
      <c r="X894" s="20" t="str">
        <f>IFERROR(IF([1]对账明细接口!$S894=0,"",[1]对账明细接口!$S894),"")</f>
        <v/>
      </c>
      <c r="Y894" s="20" t="str">
        <f>IFERROR(IF([1]对账明细接口!$T894=0,"",[1]对账明细接口!$T894),"")</f>
        <v/>
      </c>
      <c r="Z894" s="24" t="str">
        <f>IFERROR(IF([1]对账明细接口!$U894=0,"",[1]对账明细接口!$U894),"")</f>
        <v/>
      </c>
      <c r="AA894" s="24" t="str">
        <f>IFERROR(IF([1]对账明细接口!$V894=0,"",[1]对账明细接口!$V894),"")</f>
        <v/>
      </c>
      <c r="AB894" s="20" t="str">
        <f>IFERROR(IF([1]对账明细接口!$W894=0,"",[1]对账明细接口!$W894),"")</f>
        <v/>
      </c>
      <c r="AC894" s="7" t="str">
        <f>IFERROR(IF([1]对账明细接口!$X894=0,"",[1]对账明细接口!$X894),"")</f>
        <v/>
      </c>
      <c r="AD894" s="7" t="str">
        <f>IFERROR(IF([1]对账明细接口!$Y894=0,"",[1]对账明细接口!$Y894),"")</f>
        <v/>
      </c>
      <c r="AE894" s="7" t="str">
        <f>IFERROR(IF([1]对账明细接口!$AA894=0,"",[1]对账明细接口!$AA894),"")</f>
        <v/>
      </c>
      <c r="AF894" s="7" t="str">
        <f>IFERROR(IF([1]对账明细接口!$AB894=0,"",[1]对账明细接口!$AB894),"")</f>
        <v/>
      </c>
      <c r="AG894" s="7" t="str">
        <f>IFERROR(IF([1]对账明细接口!$AC894=0,"",[1]对账明细接口!$AC894),"")</f>
        <v/>
      </c>
      <c r="AH894" s="7" t="str">
        <f>IFERROR(IF([1]对账明细接口!$AD894=0,"",[1]对账明细接口!$AD894),"")</f>
        <v/>
      </c>
      <c r="AI894" s="7" t="str">
        <f>IFERROR(IF([1]对账明细接口!$AE894=0,"",[1]对账明细接口!$AE894),"")</f>
        <v/>
      </c>
      <c r="AJ894" s="7" t="str">
        <f>IFERROR(IF([1]对账明细接口!$AF894=0,"",[1]对账明细接口!$AF894),"")</f>
        <v/>
      </c>
    </row>
    <row r="895" ht="14.25" customHeight="1" spans="1:36">
      <c r="A895" s="14">
        <v>895</v>
      </c>
      <c r="B895" s="15" t="str">
        <f>IFERROR(IF([1]对账明细接口!$B$895=0,"",[1]对账明细接口!$B$895),"")</f>
        <v/>
      </c>
      <c r="C895" s="16" t="str">
        <f>IFERROR(IF([1]对账明细接口!$C$895=0,"",[1]对账明细接口!$C$895),"")</f>
        <v/>
      </c>
      <c r="D895" s="16" t="str">
        <f>IFERROR(IF([1]对账明细接口!$D$895=0,"",[1]对账明细接口!$D$895),"")</f>
        <v/>
      </c>
      <c r="E895" s="16" t="str">
        <f>IFERROR(IF([1]对账明细接口!$E$895=0,"",[1]对账明细接口!$E$895),"")</f>
        <v/>
      </c>
      <c r="F895" s="16" t="str">
        <f>IFERROR(IF([1]对账明细接口!$F$895=0,"",[1]对账明细接口!$F$895),"")</f>
        <v/>
      </c>
      <c r="G895" s="16" t="str">
        <f>IFERROR(IF([1]对账明细接口!$G$895=0,"",[1]对账明细接口!$G$895),"")</f>
        <v/>
      </c>
      <c r="H895" s="17" t="str">
        <f>IFERROR(IF([1]对账明细接口!$H$895=0,"",[1]对账明细接口!$H$895),"")</f>
        <v/>
      </c>
      <c r="I895" s="16" t="str">
        <f>IFERROR(IF([1]对账明细接口!$I$895=0,"",[1]对账明细接口!$I$895),"")</f>
        <v/>
      </c>
      <c r="J895" s="18" t="str">
        <f>IFERROR(IF([1]对账明细接口!$J$895=0,"",[1]对账明细接口!$J$895),"")</f>
        <v/>
      </c>
      <c r="K895" s="18" t="str">
        <f>IFERROR(IF([1]对账明细接口!$K$895=0,"",[1]对账明细接口!$K$895),"")</f>
        <v/>
      </c>
      <c r="L895" s="16" t="str">
        <f>IFERROR(IF([1]对账明细接口!$L$895=0,"",[1]对账明细接口!$L$895),"")</f>
        <v/>
      </c>
      <c r="M895" s="16" t="str">
        <f>IFERROR(IF([1]对账明细接口!$M$895=0,"",[1]对账明细接口!$M$895),"")</f>
        <v/>
      </c>
      <c r="N895" s="19">
        <f t="shared" si="26"/>
        <v>0</v>
      </c>
      <c r="O895" s="19">
        <f t="shared" si="27"/>
        <v>420</v>
      </c>
      <c r="S895" s="20" t="str">
        <f>IFERROR(IF([1]对账明细接口!$N895=0,"",[1]对账明细接口!$N895),"")</f>
        <v/>
      </c>
      <c r="T895" s="21" t="str">
        <f>IFERROR(IF([1]对账明细接口!$O895=0,"",[1]对账明细接口!$O895),"")</f>
        <v/>
      </c>
      <c r="U895" s="21" t="str">
        <f>IFERROR(IF([1]对账明细接口!$P895=0,"",[1]对账明细接口!$P895),"")</f>
        <v/>
      </c>
      <c r="V895" s="21" t="str">
        <f>IFERROR(IF([1]对账明细接口!$Q895=0,"",[1]对账明细接口!$Q895),"")</f>
        <v/>
      </c>
      <c r="W895" s="20" t="str">
        <f>IFERROR(IF([1]对账明细接口!$R895=0,"",[1]对账明细接口!$R895),"")</f>
        <v/>
      </c>
      <c r="X895" s="20" t="str">
        <f>IFERROR(IF([1]对账明细接口!$S895=0,"",[1]对账明细接口!$S895),"")</f>
        <v/>
      </c>
      <c r="Y895" s="20" t="str">
        <f>IFERROR(IF([1]对账明细接口!$T895=0,"",[1]对账明细接口!$T895),"")</f>
        <v/>
      </c>
      <c r="Z895" s="24" t="str">
        <f>IFERROR(IF([1]对账明细接口!$U895=0,"",[1]对账明细接口!$U895),"")</f>
        <v/>
      </c>
      <c r="AA895" s="24" t="str">
        <f>IFERROR(IF([1]对账明细接口!$V895=0,"",[1]对账明细接口!$V895),"")</f>
        <v/>
      </c>
      <c r="AB895" s="20" t="str">
        <f>IFERROR(IF([1]对账明细接口!$W895=0,"",[1]对账明细接口!$W895),"")</f>
        <v/>
      </c>
      <c r="AC895" s="7" t="str">
        <f>IFERROR(IF([1]对账明细接口!$X895=0,"",[1]对账明细接口!$X895),"")</f>
        <v/>
      </c>
      <c r="AD895" s="7" t="str">
        <f>IFERROR(IF([1]对账明细接口!$Y895=0,"",[1]对账明细接口!$Y895),"")</f>
        <v/>
      </c>
      <c r="AE895" s="7" t="str">
        <f>IFERROR(IF([1]对账明细接口!$AA895=0,"",[1]对账明细接口!$AA895),"")</f>
        <v/>
      </c>
      <c r="AF895" s="7" t="str">
        <f>IFERROR(IF([1]对账明细接口!$AB895=0,"",[1]对账明细接口!$AB895),"")</f>
        <v/>
      </c>
      <c r="AG895" s="7" t="str">
        <f>IFERROR(IF([1]对账明细接口!$AC895=0,"",[1]对账明细接口!$AC895),"")</f>
        <v/>
      </c>
      <c r="AH895" s="7" t="str">
        <f>IFERROR(IF([1]对账明细接口!$AD895=0,"",[1]对账明细接口!$AD895),"")</f>
        <v/>
      </c>
      <c r="AI895" s="7" t="str">
        <f>IFERROR(IF([1]对账明细接口!$AE895=0,"",[1]对账明细接口!$AE895),"")</f>
        <v/>
      </c>
      <c r="AJ895" s="7" t="str">
        <f>IFERROR(IF([1]对账明细接口!$AF895=0,"",[1]对账明细接口!$AF895),"")</f>
        <v/>
      </c>
    </row>
    <row r="896" ht="14.25" customHeight="1" spans="1:36">
      <c r="A896" s="14">
        <v>896</v>
      </c>
      <c r="B896" s="15" t="str">
        <f>IFERROR(IF([1]对账明细接口!$B$896=0,"",[1]对账明细接口!$B$896),"")</f>
        <v/>
      </c>
      <c r="C896" s="16" t="str">
        <f>IFERROR(IF([1]对账明细接口!$C$896=0,"",[1]对账明细接口!$C$896),"")</f>
        <v/>
      </c>
      <c r="D896" s="16" t="str">
        <f>IFERROR(IF([1]对账明细接口!$D$896=0,"",[1]对账明细接口!$D$896),"")</f>
        <v/>
      </c>
      <c r="E896" s="16" t="str">
        <f>IFERROR(IF([1]对账明细接口!$E$896=0,"",[1]对账明细接口!$E$896),"")</f>
        <v/>
      </c>
      <c r="F896" s="16" t="str">
        <f>IFERROR(IF([1]对账明细接口!$F$896=0,"",[1]对账明细接口!$F$896),"")</f>
        <v/>
      </c>
      <c r="G896" s="16" t="str">
        <f>IFERROR(IF([1]对账明细接口!$G$896=0,"",[1]对账明细接口!$G$896),"")</f>
        <v/>
      </c>
      <c r="H896" s="17" t="str">
        <f>IFERROR(IF([1]对账明细接口!$H$896=0,"",[1]对账明细接口!$H$896),"")</f>
        <v/>
      </c>
      <c r="I896" s="16" t="str">
        <f>IFERROR(IF([1]对账明细接口!$I$896=0,"",[1]对账明细接口!$I$896),"")</f>
        <v/>
      </c>
      <c r="J896" s="18" t="str">
        <f>IFERROR(IF([1]对账明细接口!$J$896=0,"",[1]对账明细接口!$J$896),"")</f>
        <v/>
      </c>
      <c r="K896" s="18" t="str">
        <f>IFERROR(IF([1]对账明细接口!$K$896=0,"",[1]对账明细接口!$K$896),"")</f>
        <v/>
      </c>
      <c r="L896" s="16" t="str">
        <f>IFERROR(IF([1]对账明细接口!$L$896=0,"",[1]对账明细接口!$L$896),"")</f>
        <v/>
      </c>
      <c r="M896" s="16" t="str">
        <f>IFERROR(IF([1]对账明细接口!$M$896=0,"",[1]对账明细接口!$M$896),"")</f>
        <v/>
      </c>
      <c r="N896" s="19">
        <f t="shared" si="26"/>
        <v>0</v>
      </c>
      <c r="O896" s="19">
        <f t="shared" si="27"/>
        <v>420</v>
      </c>
      <c r="S896" s="20" t="str">
        <f>IFERROR(IF([1]对账明细接口!$N896=0,"",[1]对账明细接口!$N896),"")</f>
        <v/>
      </c>
      <c r="T896" s="21" t="str">
        <f>IFERROR(IF([1]对账明细接口!$O896=0,"",[1]对账明细接口!$O896),"")</f>
        <v/>
      </c>
      <c r="U896" s="21" t="str">
        <f>IFERROR(IF([1]对账明细接口!$P896=0,"",[1]对账明细接口!$P896),"")</f>
        <v/>
      </c>
      <c r="V896" s="21" t="str">
        <f>IFERROR(IF([1]对账明细接口!$Q896=0,"",[1]对账明细接口!$Q896),"")</f>
        <v/>
      </c>
      <c r="W896" s="20" t="str">
        <f>IFERROR(IF([1]对账明细接口!$R896=0,"",[1]对账明细接口!$R896),"")</f>
        <v/>
      </c>
      <c r="X896" s="20" t="str">
        <f>IFERROR(IF([1]对账明细接口!$S896=0,"",[1]对账明细接口!$S896),"")</f>
        <v/>
      </c>
      <c r="Y896" s="20" t="str">
        <f>IFERROR(IF([1]对账明细接口!$T896=0,"",[1]对账明细接口!$T896),"")</f>
        <v/>
      </c>
      <c r="Z896" s="24" t="str">
        <f>IFERROR(IF([1]对账明细接口!$U896=0,"",[1]对账明细接口!$U896),"")</f>
        <v/>
      </c>
      <c r="AA896" s="24" t="str">
        <f>IFERROR(IF([1]对账明细接口!$V896=0,"",[1]对账明细接口!$V896),"")</f>
        <v/>
      </c>
      <c r="AB896" s="20" t="str">
        <f>IFERROR(IF([1]对账明细接口!$W896=0,"",[1]对账明细接口!$W896),"")</f>
        <v/>
      </c>
      <c r="AC896" s="7" t="str">
        <f>IFERROR(IF([1]对账明细接口!$X896=0,"",[1]对账明细接口!$X896),"")</f>
        <v/>
      </c>
      <c r="AD896" s="7" t="str">
        <f>IFERROR(IF([1]对账明细接口!$Y896=0,"",[1]对账明细接口!$Y896),"")</f>
        <v/>
      </c>
      <c r="AE896" s="7" t="str">
        <f>IFERROR(IF([1]对账明细接口!$AA896=0,"",[1]对账明细接口!$AA896),"")</f>
        <v/>
      </c>
      <c r="AF896" s="7" t="str">
        <f>IFERROR(IF([1]对账明细接口!$AB896=0,"",[1]对账明细接口!$AB896),"")</f>
        <v/>
      </c>
      <c r="AG896" s="7" t="str">
        <f>IFERROR(IF([1]对账明细接口!$AC896=0,"",[1]对账明细接口!$AC896),"")</f>
        <v/>
      </c>
      <c r="AH896" s="7" t="str">
        <f>IFERROR(IF([1]对账明细接口!$AD896=0,"",[1]对账明细接口!$AD896),"")</f>
        <v/>
      </c>
      <c r="AI896" s="7" t="str">
        <f>IFERROR(IF([1]对账明细接口!$AE896=0,"",[1]对账明细接口!$AE896),"")</f>
        <v/>
      </c>
      <c r="AJ896" s="7" t="str">
        <f>IFERROR(IF([1]对账明细接口!$AF896=0,"",[1]对账明细接口!$AF896),"")</f>
        <v/>
      </c>
    </row>
    <row r="897" ht="14.25" customHeight="1" spans="1:36">
      <c r="A897" s="14">
        <v>897</v>
      </c>
      <c r="B897" s="15" t="str">
        <f>IFERROR(IF([1]对账明细接口!$B$897=0,"",[1]对账明细接口!$B$897),"")</f>
        <v/>
      </c>
      <c r="C897" s="16" t="str">
        <f>IFERROR(IF([1]对账明细接口!$C$897=0,"",[1]对账明细接口!$C$897),"")</f>
        <v/>
      </c>
      <c r="D897" s="16" t="str">
        <f>IFERROR(IF([1]对账明细接口!$D$897=0,"",[1]对账明细接口!$D$897),"")</f>
        <v/>
      </c>
      <c r="E897" s="16" t="str">
        <f>IFERROR(IF([1]对账明细接口!$E$897=0,"",[1]对账明细接口!$E$897),"")</f>
        <v/>
      </c>
      <c r="F897" s="16" t="str">
        <f>IFERROR(IF([1]对账明细接口!$F$897=0,"",[1]对账明细接口!$F$897),"")</f>
        <v/>
      </c>
      <c r="G897" s="16" t="str">
        <f>IFERROR(IF([1]对账明细接口!$G$897=0,"",[1]对账明细接口!$G$897),"")</f>
        <v/>
      </c>
      <c r="H897" s="17" t="str">
        <f>IFERROR(IF([1]对账明细接口!$H$897=0,"",[1]对账明细接口!$H$897),"")</f>
        <v/>
      </c>
      <c r="I897" s="16" t="str">
        <f>IFERROR(IF([1]对账明细接口!$I$897=0,"",[1]对账明细接口!$I$897),"")</f>
        <v/>
      </c>
      <c r="J897" s="18" t="str">
        <f>IFERROR(IF([1]对账明细接口!$J$897=0,"",[1]对账明细接口!$J$897),"")</f>
        <v/>
      </c>
      <c r="K897" s="18" t="str">
        <f>IFERROR(IF([1]对账明细接口!$K$897=0,"",[1]对账明细接口!$K$897),"")</f>
        <v/>
      </c>
      <c r="L897" s="16" t="str">
        <f>IFERROR(IF([1]对账明细接口!$L$897=0,"",[1]对账明细接口!$L$897),"")</f>
        <v/>
      </c>
      <c r="M897" s="16" t="str">
        <f>IFERROR(IF([1]对账明细接口!$M$897=0,"",[1]对账明细接口!$M$897),"")</f>
        <v/>
      </c>
      <c r="N897" s="19">
        <f t="shared" si="26"/>
        <v>0</v>
      </c>
      <c r="O897" s="19">
        <f t="shared" si="27"/>
        <v>420</v>
      </c>
      <c r="S897" s="20" t="str">
        <f>IFERROR(IF([1]对账明细接口!$N897=0,"",[1]对账明细接口!$N897),"")</f>
        <v/>
      </c>
      <c r="T897" s="21" t="str">
        <f>IFERROR(IF([1]对账明细接口!$O897=0,"",[1]对账明细接口!$O897),"")</f>
        <v/>
      </c>
      <c r="U897" s="21" t="str">
        <f>IFERROR(IF([1]对账明细接口!$P897=0,"",[1]对账明细接口!$P897),"")</f>
        <v/>
      </c>
      <c r="V897" s="21" t="str">
        <f>IFERROR(IF([1]对账明细接口!$Q897=0,"",[1]对账明细接口!$Q897),"")</f>
        <v/>
      </c>
      <c r="W897" s="20" t="str">
        <f>IFERROR(IF([1]对账明细接口!$R897=0,"",[1]对账明细接口!$R897),"")</f>
        <v/>
      </c>
      <c r="X897" s="20" t="str">
        <f>IFERROR(IF([1]对账明细接口!$S897=0,"",[1]对账明细接口!$S897),"")</f>
        <v/>
      </c>
      <c r="Y897" s="20" t="str">
        <f>IFERROR(IF([1]对账明细接口!$T897=0,"",[1]对账明细接口!$T897),"")</f>
        <v/>
      </c>
      <c r="Z897" s="24" t="str">
        <f>IFERROR(IF([1]对账明细接口!$U897=0,"",[1]对账明细接口!$U897),"")</f>
        <v/>
      </c>
      <c r="AA897" s="24" t="str">
        <f>IFERROR(IF([1]对账明细接口!$V897=0,"",[1]对账明细接口!$V897),"")</f>
        <v/>
      </c>
      <c r="AB897" s="20" t="str">
        <f>IFERROR(IF([1]对账明细接口!$W897=0,"",[1]对账明细接口!$W897),"")</f>
        <v/>
      </c>
      <c r="AC897" s="7" t="str">
        <f>IFERROR(IF([1]对账明细接口!$X897=0,"",[1]对账明细接口!$X897),"")</f>
        <v/>
      </c>
      <c r="AD897" s="7" t="str">
        <f>IFERROR(IF([1]对账明细接口!$Y897=0,"",[1]对账明细接口!$Y897),"")</f>
        <v/>
      </c>
      <c r="AE897" s="7" t="str">
        <f>IFERROR(IF([1]对账明细接口!$AA897=0,"",[1]对账明细接口!$AA897),"")</f>
        <v/>
      </c>
      <c r="AF897" s="7" t="str">
        <f>IFERROR(IF([1]对账明细接口!$AB897=0,"",[1]对账明细接口!$AB897),"")</f>
        <v/>
      </c>
      <c r="AG897" s="7" t="str">
        <f>IFERROR(IF([1]对账明细接口!$AC897=0,"",[1]对账明细接口!$AC897),"")</f>
        <v/>
      </c>
      <c r="AH897" s="7" t="str">
        <f>IFERROR(IF([1]对账明细接口!$AD897=0,"",[1]对账明细接口!$AD897),"")</f>
        <v/>
      </c>
      <c r="AI897" s="7" t="str">
        <f>IFERROR(IF([1]对账明细接口!$AE897=0,"",[1]对账明细接口!$AE897),"")</f>
        <v/>
      </c>
      <c r="AJ897" s="7" t="str">
        <f>IFERROR(IF([1]对账明细接口!$AF897=0,"",[1]对账明细接口!$AF897),"")</f>
        <v/>
      </c>
    </row>
    <row r="898" ht="14.25" customHeight="1" spans="1:36">
      <c r="A898" s="14">
        <v>898</v>
      </c>
      <c r="B898" s="15" t="str">
        <f>IFERROR(IF([1]对账明细接口!$B$898=0,"",[1]对账明细接口!$B$898),"")</f>
        <v/>
      </c>
      <c r="C898" s="16" t="str">
        <f>IFERROR(IF([1]对账明细接口!$C$898=0,"",[1]对账明细接口!$C$898),"")</f>
        <v/>
      </c>
      <c r="D898" s="16" t="str">
        <f>IFERROR(IF([1]对账明细接口!$D$898=0,"",[1]对账明细接口!$D$898),"")</f>
        <v/>
      </c>
      <c r="E898" s="16" t="str">
        <f>IFERROR(IF([1]对账明细接口!$E$898=0,"",[1]对账明细接口!$E$898),"")</f>
        <v/>
      </c>
      <c r="F898" s="16" t="str">
        <f>IFERROR(IF([1]对账明细接口!$F$898=0,"",[1]对账明细接口!$F$898),"")</f>
        <v/>
      </c>
      <c r="G898" s="16" t="str">
        <f>IFERROR(IF([1]对账明细接口!$G$898=0,"",[1]对账明细接口!$G$898),"")</f>
        <v/>
      </c>
      <c r="H898" s="17" t="str">
        <f>IFERROR(IF([1]对账明细接口!$H$898=0,"",[1]对账明细接口!$H$898),"")</f>
        <v/>
      </c>
      <c r="I898" s="16" t="str">
        <f>IFERROR(IF([1]对账明细接口!$I$898=0,"",[1]对账明细接口!$I$898),"")</f>
        <v/>
      </c>
      <c r="J898" s="18" t="str">
        <f>IFERROR(IF([1]对账明细接口!$J$898=0,"",[1]对账明细接口!$J$898),"")</f>
        <v/>
      </c>
      <c r="K898" s="18" t="str">
        <f>IFERROR(IF([1]对账明细接口!$K$898=0,"",[1]对账明细接口!$K$898),"")</f>
        <v/>
      </c>
      <c r="L898" s="16" t="str">
        <f>IFERROR(IF([1]对账明细接口!$L$898=0,"",[1]对账明细接口!$L$898),"")</f>
        <v/>
      </c>
      <c r="M898" s="16" t="str">
        <f>IFERROR(IF([1]对账明细接口!$M$898=0,"",[1]对账明细接口!$M$898),"")</f>
        <v/>
      </c>
      <c r="N898" s="19">
        <f t="shared" si="26"/>
        <v>0</v>
      </c>
      <c r="O898" s="19">
        <f t="shared" si="27"/>
        <v>420</v>
      </c>
      <c r="S898" s="20" t="str">
        <f>IFERROR(IF([1]对账明细接口!$N898=0,"",[1]对账明细接口!$N898),"")</f>
        <v/>
      </c>
      <c r="T898" s="21" t="str">
        <f>IFERROR(IF([1]对账明细接口!$O898=0,"",[1]对账明细接口!$O898),"")</f>
        <v/>
      </c>
      <c r="U898" s="21" t="str">
        <f>IFERROR(IF([1]对账明细接口!$P898=0,"",[1]对账明细接口!$P898),"")</f>
        <v/>
      </c>
      <c r="V898" s="21" t="str">
        <f>IFERROR(IF([1]对账明细接口!$Q898=0,"",[1]对账明细接口!$Q898),"")</f>
        <v/>
      </c>
      <c r="W898" s="20" t="str">
        <f>IFERROR(IF([1]对账明细接口!$R898=0,"",[1]对账明细接口!$R898),"")</f>
        <v/>
      </c>
      <c r="X898" s="20" t="str">
        <f>IFERROR(IF([1]对账明细接口!$S898=0,"",[1]对账明细接口!$S898),"")</f>
        <v/>
      </c>
      <c r="Y898" s="20" t="str">
        <f>IFERROR(IF([1]对账明细接口!$T898=0,"",[1]对账明细接口!$T898),"")</f>
        <v/>
      </c>
      <c r="Z898" s="24" t="str">
        <f>IFERROR(IF([1]对账明细接口!$U898=0,"",[1]对账明细接口!$U898),"")</f>
        <v/>
      </c>
      <c r="AA898" s="24" t="str">
        <f>IFERROR(IF([1]对账明细接口!$V898=0,"",[1]对账明细接口!$V898),"")</f>
        <v/>
      </c>
      <c r="AB898" s="20" t="str">
        <f>IFERROR(IF([1]对账明细接口!$W898=0,"",[1]对账明细接口!$W898),"")</f>
        <v/>
      </c>
      <c r="AC898" s="7" t="str">
        <f>IFERROR(IF([1]对账明细接口!$X898=0,"",[1]对账明细接口!$X898),"")</f>
        <v/>
      </c>
      <c r="AD898" s="7" t="str">
        <f>IFERROR(IF([1]对账明细接口!$Y898=0,"",[1]对账明细接口!$Y898),"")</f>
        <v/>
      </c>
      <c r="AE898" s="7" t="str">
        <f>IFERROR(IF([1]对账明细接口!$AA898=0,"",[1]对账明细接口!$AA898),"")</f>
        <v/>
      </c>
      <c r="AF898" s="7" t="str">
        <f>IFERROR(IF([1]对账明细接口!$AB898=0,"",[1]对账明细接口!$AB898),"")</f>
        <v/>
      </c>
      <c r="AG898" s="7" t="str">
        <f>IFERROR(IF([1]对账明细接口!$AC898=0,"",[1]对账明细接口!$AC898),"")</f>
        <v/>
      </c>
      <c r="AH898" s="7" t="str">
        <f>IFERROR(IF([1]对账明细接口!$AD898=0,"",[1]对账明细接口!$AD898),"")</f>
        <v/>
      </c>
      <c r="AI898" s="7" t="str">
        <f>IFERROR(IF([1]对账明细接口!$AE898=0,"",[1]对账明细接口!$AE898),"")</f>
        <v/>
      </c>
      <c r="AJ898" s="7" t="str">
        <f>IFERROR(IF([1]对账明细接口!$AF898=0,"",[1]对账明细接口!$AF898),"")</f>
        <v/>
      </c>
    </row>
    <row r="899" ht="14.25" customHeight="1" spans="1:36">
      <c r="A899" s="14">
        <v>899</v>
      </c>
      <c r="B899" s="15" t="str">
        <f>IFERROR(IF([1]对账明细接口!$B$899=0,"",[1]对账明细接口!$B$899),"")</f>
        <v/>
      </c>
      <c r="C899" s="16" t="str">
        <f>IFERROR(IF([1]对账明细接口!$C$899=0,"",[1]对账明细接口!$C$899),"")</f>
        <v/>
      </c>
      <c r="D899" s="16" t="str">
        <f>IFERROR(IF([1]对账明细接口!$D$899=0,"",[1]对账明细接口!$D$899),"")</f>
        <v/>
      </c>
      <c r="E899" s="16" t="str">
        <f>IFERROR(IF([1]对账明细接口!$E$899=0,"",[1]对账明细接口!$E$899),"")</f>
        <v/>
      </c>
      <c r="F899" s="16" t="str">
        <f>IFERROR(IF([1]对账明细接口!$F$899=0,"",[1]对账明细接口!$F$899),"")</f>
        <v/>
      </c>
      <c r="G899" s="16" t="str">
        <f>IFERROR(IF([1]对账明细接口!$G$899=0,"",[1]对账明细接口!$G$899),"")</f>
        <v/>
      </c>
      <c r="H899" s="17" t="str">
        <f>IFERROR(IF([1]对账明细接口!$H$899=0,"",[1]对账明细接口!$H$899),"")</f>
        <v/>
      </c>
      <c r="I899" s="16" t="str">
        <f>IFERROR(IF([1]对账明细接口!$I$899=0,"",[1]对账明细接口!$I$899),"")</f>
        <v/>
      </c>
      <c r="J899" s="18" t="str">
        <f>IFERROR(IF([1]对账明细接口!$J$899=0,"",[1]对账明细接口!$J$899),"")</f>
        <v/>
      </c>
      <c r="K899" s="18" t="str">
        <f>IFERROR(IF([1]对账明细接口!$K$899=0,"",[1]对账明细接口!$K$899),"")</f>
        <v/>
      </c>
      <c r="L899" s="16" t="str">
        <f>IFERROR(IF([1]对账明细接口!$L$899=0,"",[1]对账明细接口!$L$899),"")</f>
        <v/>
      </c>
      <c r="M899" s="16" t="str">
        <f>IFERROR(IF([1]对账明细接口!$M$899=0,"",[1]对账明细接口!$M$899),"")</f>
        <v/>
      </c>
      <c r="N899" s="19">
        <f t="shared" si="26"/>
        <v>0</v>
      </c>
      <c r="O899" s="19">
        <f t="shared" si="27"/>
        <v>420</v>
      </c>
      <c r="S899" s="20" t="str">
        <f>IFERROR(IF([1]对账明细接口!$N899=0,"",[1]对账明细接口!$N899),"")</f>
        <v/>
      </c>
      <c r="T899" s="21" t="str">
        <f>IFERROR(IF([1]对账明细接口!$O899=0,"",[1]对账明细接口!$O899),"")</f>
        <v/>
      </c>
      <c r="U899" s="21" t="str">
        <f>IFERROR(IF([1]对账明细接口!$P899=0,"",[1]对账明细接口!$P899),"")</f>
        <v/>
      </c>
      <c r="V899" s="21" t="str">
        <f>IFERROR(IF([1]对账明细接口!$Q899=0,"",[1]对账明细接口!$Q899),"")</f>
        <v/>
      </c>
      <c r="W899" s="20" t="str">
        <f>IFERROR(IF([1]对账明细接口!$R899=0,"",[1]对账明细接口!$R899),"")</f>
        <v/>
      </c>
      <c r="X899" s="20" t="str">
        <f>IFERROR(IF([1]对账明细接口!$S899=0,"",[1]对账明细接口!$S899),"")</f>
        <v/>
      </c>
      <c r="Y899" s="20" t="str">
        <f>IFERROR(IF([1]对账明细接口!$T899=0,"",[1]对账明细接口!$T899),"")</f>
        <v/>
      </c>
      <c r="Z899" s="24" t="str">
        <f>IFERROR(IF([1]对账明细接口!$U899=0,"",[1]对账明细接口!$U899),"")</f>
        <v/>
      </c>
      <c r="AA899" s="24" t="str">
        <f>IFERROR(IF([1]对账明细接口!$V899=0,"",[1]对账明细接口!$V899),"")</f>
        <v/>
      </c>
      <c r="AB899" s="20" t="str">
        <f>IFERROR(IF([1]对账明细接口!$W899=0,"",[1]对账明细接口!$W899),"")</f>
        <v/>
      </c>
      <c r="AC899" s="7" t="str">
        <f>IFERROR(IF([1]对账明细接口!$X899=0,"",[1]对账明细接口!$X899),"")</f>
        <v/>
      </c>
      <c r="AD899" s="7" t="str">
        <f>IFERROR(IF([1]对账明细接口!$Y899=0,"",[1]对账明细接口!$Y899),"")</f>
        <v/>
      </c>
      <c r="AE899" s="7" t="str">
        <f>IFERROR(IF([1]对账明细接口!$AA899=0,"",[1]对账明细接口!$AA899),"")</f>
        <v/>
      </c>
      <c r="AF899" s="7" t="str">
        <f>IFERROR(IF([1]对账明细接口!$AB899=0,"",[1]对账明细接口!$AB899),"")</f>
        <v/>
      </c>
      <c r="AG899" s="7" t="str">
        <f>IFERROR(IF([1]对账明细接口!$AC899=0,"",[1]对账明细接口!$AC899),"")</f>
        <v/>
      </c>
      <c r="AH899" s="7" t="str">
        <f>IFERROR(IF([1]对账明细接口!$AD899=0,"",[1]对账明细接口!$AD899),"")</f>
        <v/>
      </c>
      <c r="AI899" s="7" t="str">
        <f>IFERROR(IF([1]对账明细接口!$AE899=0,"",[1]对账明细接口!$AE899),"")</f>
        <v/>
      </c>
      <c r="AJ899" s="7" t="str">
        <f>IFERROR(IF([1]对账明细接口!$AF899=0,"",[1]对账明细接口!$AF899),"")</f>
        <v/>
      </c>
    </row>
    <row r="900" ht="14.25" customHeight="1" spans="1:36">
      <c r="A900" s="14">
        <v>900</v>
      </c>
      <c r="B900" s="15" t="str">
        <f>IFERROR(IF([1]对账明细接口!$B$900=0,"",[1]对账明细接口!$B$900),"")</f>
        <v/>
      </c>
      <c r="C900" s="16" t="str">
        <f>IFERROR(IF([1]对账明细接口!$C$900=0,"",[1]对账明细接口!$C$900),"")</f>
        <v/>
      </c>
      <c r="D900" s="16" t="str">
        <f>IFERROR(IF([1]对账明细接口!$D$900=0,"",[1]对账明细接口!$D$900),"")</f>
        <v/>
      </c>
      <c r="E900" s="16" t="str">
        <f>IFERROR(IF([1]对账明细接口!$E$900=0,"",[1]对账明细接口!$E$900),"")</f>
        <v/>
      </c>
      <c r="F900" s="16" t="str">
        <f>IFERROR(IF([1]对账明细接口!$F$900=0,"",[1]对账明细接口!$F$900),"")</f>
        <v/>
      </c>
      <c r="G900" s="16" t="str">
        <f>IFERROR(IF([1]对账明细接口!$G$900=0,"",[1]对账明细接口!$G$900),"")</f>
        <v/>
      </c>
      <c r="H900" s="17" t="str">
        <f>IFERROR(IF([1]对账明细接口!$H$900=0,"",[1]对账明细接口!$H$900),"")</f>
        <v/>
      </c>
      <c r="I900" s="16" t="str">
        <f>IFERROR(IF([1]对账明细接口!$I$900=0,"",[1]对账明细接口!$I$900),"")</f>
        <v/>
      </c>
      <c r="J900" s="18" t="str">
        <f>IFERROR(IF([1]对账明细接口!$J$900=0,"",[1]对账明细接口!$J$900),"")</f>
        <v/>
      </c>
      <c r="K900" s="18" t="str">
        <f>IFERROR(IF([1]对账明细接口!$K$900=0,"",[1]对账明细接口!$K$900),"")</f>
        <v/>
      </c>
      <c r="L900" s="16" t="str">
        <f>IFERROR(IF([1]对账明细接口!$L$900=0,"",[1]对账明细接口!$L$900),"")</f>
        <v/>
      </c>
      <c r="M900" s="16" t="str">
        <f>IFERROR(IF([1]对账明细接口!$M$900=0,"",[1]对账明细接口!$M$900),"")</f>
        <v/>
      </c>
      <c r="N900" s="19">
        <f t="shared" ref="N900:N963" si="28">IF($C900="",0,1)</f>
        <v>0</v>
      </c>
      <c r="O900" s="19">
        <f t="shared" ref="O900:O963" si="29">N(O899)+$N900</f>
        <v>420</v>
      </c>
      <c r="S900" s="20" t="str">
        <f>IFERROR(IF([1]对账明细接口!$N900=0,"",[1]对账明细接口!$N900),"")</f>
        <v/>
      </c>
      <c r="T900" s="21" t="str">
        <f>IFERROR(IF([1]对账明细接口!$O900=0,"",[1]对账明细接口!$O900),"")</f>
        <v/>
      </c>
      <c r="U900" s="21" t="str">
        <f>IFERROR(IF([1]对账明细接口!$P900=0,"",[1]对账明细接口!$P900),"")</f>
        <v/>
      </c>
      <c r="V900" s="21" t="str">
        <f>IFERROR(IF([1]对账明细接口!$Q900=0,"",[1]对账明细接口!$Q900),"")</f>
        <v/>
      </c>
      <c r="W900" s="20" t="str">
        <f>IFERROR(IF([1]对账明细接口!$R900=0,"",[1]对账明细接口!$R900),"")</f>
        <v/>
      </c>
      <c r="X900" s="20" t="str">
        <f>IFERROR(IF([1]对账明细接口!$S900=0,"",[1]对账明细接口!$S900),"")</f>
        <v/>
      </c>
      <c r="Y900" s="20" t="str">
        <f>IFERROR(IF([1]对账明细接口!$T900=0,"",[1]对账明细接口!$T900),"")</f>
        <v/>
      </c>
      <c r="Z900" s="24" t="str">
        <f>IFERROR(IF([1]对账明细接口!$U900=0,"",[1]对账明细接口!$U900),"")</f>
        <v/>
      </c>
      <c r="AA900" s="24" t="str">
        <f>IFERROR(IF([1]对账明细接口!$V900=0,"",[1]对账明细接口!$V900),"")</f>
        <v/>
      </c>
      <c r="AB900" s="20" t="str">
        <f>IFERROR(IF([1]对账明细接口!$W900=0,"",[1]对账明细接口!$W900),"")</f>
        <v/>
      </c>
      <c r="AC900" s="7" t="str">
        <f>IFERROR(IF([1]对账明细接口!$X900=0,"",[1]对账明细接口!$X900),"")</f>
        <v/>
      </c>
      <c r="AD900" s="7" t="str">
        <f>IFERROR(IF([1]对账明细接口!$Y900=0,"",[1]对账明细接口!$Y900),"")</f>
        <v/>
      </c>
      <c r="AE900" s="7" t="str">
        <f>IFERROR(IF([1]对账明细接口!$AA900=0,"",[1]对账明细接口!$AA900),"")</f>
        <v/>
      </c>
      <c r="AF900" s="7" t="str">
        <f>IFERROR(IF([1]对账明细接口!$AB900=0,"",[1]对账明细接口!$AB900),"")</f>
        <v/>
      </c>
      <c r="AG900" s="7" t="str">
        <f>IFERROR(IF([1]对账明细接口!$AC900=0,"",[1]对账明细接口!$AC900),"")</f>
        <v/>
      </c>
      <c r="AH900" s="7" t="str">
        <f>IFERROR(IF([1]对账明细接口!$AD900=0,"",[1]对账明细接口!$AD900),"")</f>
        <v/>
      </c>
      <c r="AI900" s="7" t="str">
        <f>IFERROR(IF([1]对账明细接口!$AE900=0,"",[1]对账明细接口!$AE900),"")</f>
        <v/>
      </c>
      <c r="AJ900" s="7" t="str">
        <f>IFERROR(IF([1]对账明细接口!$AF900=0,"",[1]对账明细接口!$AF900),"")</f>
        <v/>
      </c>
    </row>
    <row r="901" ht="14.25" customHeight="1" spans="1:36">
      <c r="A901" s="14">
        <v>901</v>
      </c>
      <c r="B901" s="15" t="str">
        <f>IFERROR(IF([1]对账明细接口!$B$901=0,"",[1]对账明细接口!$B$901),"")</f>
        <v/>
      </c>
      <c r="C901" s="16" t="str">
        <f>IFERROR(IF([1]对账明细接口!$C$901=0,"",[1]对账明细接口!$C$901),"")</f>
        <v/>
      </c>
      <c r="D901" s="16" t="str">
        <f>IFERROR(IF([1]对账明细接口!$D$901=0,"",[1]对账明细接口!$D$901),"")</f>
        <v/>
      </c>
      <c r="E901" s="16" t="str">
        <f>IFERROR(IF([1]对账明细接口!$E$901=0,"",[1]对账明细接口!$E$901),"")</f>
        <v/>
      </c>
      <c r="F901" s="16" t="str">
        <f>IFERROR(IF([1]对账明细接口!$F$901=0,"",[1]对账明细接口!$F$901),"")</f>
        <v/>
      </c>
      <c r="G901" s="16" t="str">
        <f>IFERROR(IF([1]对账明细接口!$G$901=0,"",[1]对账明细接口!$G$901),"")</f>
        <v/>
      </c>
      <c r="H901" s="17" t="str">
        <f>IFERROR(IF([1]对账明细接口!$H$901=0,"",[1]对账明细接口!$H$901),"")</f>
        <v/>
      </c>
      <c r="I901" s="16" t="str">
        <f>IFERROR(IF([1]对账明细接口!$I$901=0,"",[1]对账明细接口!$I$901),"")</f>
        <v/>
      </c>
      <c r="J901" s="18" t="str">
        <f>IFERROR(IF([1]对账明细接口!$J$901=0,"",[1]对账明细接口!$J$901),"")</f>
        <v/>
      </c>
      <c r="K901" s="18" t="str">
        <f>IFERROR(IF([1]对账明细接口!$K$901=0,"",[1]对账明细接口!$K$901),"")</f>
        <v/>
      </c>
      <c r="L901" s="16" t="str">
        <f>IFERROR(IF([1]对账明细接口!$L$901=0,"",[1]对账明细接口!$L$901),"")</f>
        <v/>
      </c>
      <c r="M901" s="16" t="str">
        <f>IFERROR(IF([1]对账明细接口!$M$901=0,"",[1]对账明细接口!$M$901),"")</f>
        <v/>
      </c>
      <c r="N901" s="19">
        <f t="shared" si="28"/>
        <v>0</v>
      </c>
      <c r="O901" s="19">
        <f t="shared" si="29"/>
        <v>420</v>
      </c>
      <c r="S901" s="20" t="str">
        <f>IFERROR(IF([1]对账明细接口!$N901=0,"",[1]对账明细接口!$N901),"")</f>
        <v/>
      </c>
      <c r="T901" s="21" t="str">
        <f>IFERROR(IF([1]对账明细接口!$O901=0,"",[1]对账明细接口!$O901),"")</f>
        <v/>
      </c>
      <c r="U901" s="21" t="str">
        <f>IFERROR(IF([1]对账明细接口!$P901=0,"",[1]对账明细接口!$P901),"")</f>
        <v/>
      </c>
      <c r="V901" s="21" t="str">
        <f>IFERROR(IF([1]对账明细接口!$Q901=0,"",[1]对账明细接口!$Q901),"")</f>
        <v/>
      </c>
      <c r="W901" s="20" t="str">
        <f>IFERROR(IF([1]对账明细接口!$R901=0,"",[1]对账明细接口!$R901),"")</f>
        <v/>
      </c>
      <c r="X901" s="20" t="str">
        <f>IFERROR(IF([1]对账明细接口!$S901=0,"",[1]对账明细接口!$S901),"")</f>
        <v/>
      </c>
      <c r="Y901" s="20" t="str">
        <f>IFERROR(IF([1]对账明细接口!$T901=0,"",[1]对账明细接口!$T901),"")</f>
        <v/>
      </c>
      <c r="Z901" s="24" t="str">
        <f>IFERROR(IF([1]对账明细接口!$U901=0,"",[1]对账明细接口!$U901),"")</f>
        <v/>
      </c>
      <c r="AA901" s="24" t="str">
        <f>IFERROR(IF([1]对账明细接口!$V901=0,"",[1]对账明细接口!$V901),"")</f>
        <v/>
      </c>
      <c r="AB901" s="20" t="str">
        <f>IFERROR(IF([1]对账明细接口!$W901=0,"",[1]对账明细接口!$W901),"")</f>
        <v/>
      </c>
      <c r="AC901" s="7" t="str">
        <f>IFERROR(IF([1]对账明细接口!$X901=0,"",[1]对账明细接口!$X901),"")</f>
        <v/>
      </c>
      <c r="AD901" s="7" t="str">
        <f>IFERROR(IF([1]对账明细接口!$Y901=0,"",[1]对账明细接口!$Y901),"")</f>
        <v/>
      </c>
      <c r="AE901" s="7" t="str">
        <f>IFERROR(IF([1]对账明细接口!$AA901=0,"",[1]对账明细接口!$AA901),"")</f>
        <v/>
      </c>
      <c r="AF901" s="7" t="str">
        <f>IFERROR(IF([1]对账明细接口!$AB901=0,"",[1]对账明细接口!$AB901),"")</f>
        <v/>
      </c>
      <c r="AG901" s="7" t="str">
        <f>IFERROR(IF([1]对账明细接口!$AC901=0,"",[1]对账明细接口!$AC901),"")</f>
        <v/>
      </c>
      <c r="AH901" s="7" t="str">
        <f>IFERROR(IF([1]对账明细接口!$AD901=0,"",[1]对账明细接口!$AD901),"")</f>
        <v/>
      </c>
      <c r="AI901" s="7" t="str">
        <f>IFERROR(IF([1]对账明细接口!$AE901=0,"",[1]对账明细接口!$AE901),"")</f>
        <v/>
      </c>
      <c r="AJ901" s="7" t="str">
        <f>IFERROR(IF([1]对账明细接口!$AF901=0,"",[1]对账明细接口!$AF901),"")</f>
        <v/>
      </c>
    </row>
    <row r="902" ht="14.25" customHeight="1" spans="1:36">
      <c r="A902" s="14">
        <v>902</v>
      </c>
      <c r="B902" s="15" t="str">
        <f>IFERROR(IF([1]对账明细接口!$B$902=0,"",[1]对账明细接口!$B$902),"")</f>
        <v/>
      </c>
      <c r="C902" s="16" t="str">
        <f>IFERROR(IF([1]对账明细接口!$C$902=0,"",[1]对账明细接口!$C$902),"")</f>
        <v/>
      </c>
      <c r="D902" s="16" t="str">
        <f>IFERROR(IF([1]对账明细接口!$D$902=0,"",[1]对账明细接口!$D$902),"")</f>
        <v/>
      </c>
      <c r="E902" s="16" t="str">
        <f>IFERROR(IF([1]对账明细接口!$E$902=0,"",[1]对账明细接口!$E$902),"")</f>
        <v/>
      </c>
      <c r="F902" s="16" t="str">
        <f>IFERROR(IF([1]对账明细接口!$F$902=0,"",[1]对账明细接口!$F$902),"")</f>
        <v/>
      </c>
      <c r="G902" s="16" t="str">
        <f>IFERROR(IF([1]对账明细接口!$G$902=0,"",[1]对账明细接口!$G$902),"")</f>
        <v/>
      </c>
      <c r="H902" s="17" t="str">
        <f>IFERROR(IF([1]对账明细接口!$H$902=0,"",[1]对账明细接口!$H$902),"")</f>
        <v/>
      </c>
      <c r="I902" s="16" t="str">
        <f>IFERROR(IF([1]对账明细接口!$I$902=0,"",[1]对账明细接口!$I$902),"")</f>
        <v/>
      </c>
      <c r="J902" s="18" t="str">
        <f>IFERROR(IF([1]对账明细接口!$J$902=0,"",[1]对账明细接口!$J$902),"")</f>
        <v/>
      </c>
      <c r="K902" s="18" t="str">
        <f>IFERROR(IF([1]对账明细接口!$K$902=0,"",[1]对账明细接口!$K$902),"")</f>
        <v/>
      </c>
      <c r="L902" s="16" t="str">
        <f>IFERROR(IF([1]对账明细接口!$L$902=0,"",[1]对账明细接口!$L$902),"")</f>
        <v/>
      </c>
      <c r="M902" s="16" t="str">
        <f>IFERROR(IF([1]对账明细接口!$M$902=0,"",[1]对账明细接口!$M$902),"")</f>
        <v/>
      </c>
      <c r="N902" s="19">
        <f t="shared" si="28"/>
        <v>0</v>
      </c>
      <c r="O902" s="19">
        <f t="shared" si="29"/>
        <v>420</v>
      </c>
      <c r="S902" s="20" t="str">
        <f>IFERROR(IF([1]对账明细接口!$N902=0,"",[1]对账明细接口!$N902),"")</f>
        <v/>
      </c>
      <c r="T902" s="21" t="str">
        <f>IFERROR(IF([1]对账明细接口!$O902=0,"",[1]对账明细接口!$O902),"")</f>
        <v/>
      </c>
      <c r="U902" s="21" t="str">
        <f>IFERROR(IF([1]对账明细接口!$P902=0,"",[1]对账明细接口!$P902),"")</f>
        <v/>
      </c>
      <c r="V902" s="21" t="str">
        <f>IFERROR(IF([1]对账明细接口!$Q902=0,"",[1]对账明细接口!$Q902),"")</f>
        <v/>
      </c>
      <c r="W902" s="20" t="str">
        <f>IFERROR(IF([1]对账明细接口!$R902=0,"",[1]对账明细接口!$R902),"")</f>
        <v/>
      </c>
      <c r="X902" s="20" t="str">
        <f>IFERROR(IF([1]对账明细接口!$S902=0,"",[1]对账明细接口!$S902),"")</f>
        <v/>
      </c>
      <c r="Y902" s="20" t="str">
        <f>IFERROR(IF([1]对账明细接口!$T902=0,"",[1]对账明细接口!$T902),"")</f>
        <v/>
      </c>
      <c r="Z902" s="24" t="str">
        <f>IFERROR(IF([1]对账明细接口!$U902=0,"",[1]对账明细接口!$U902),"")</f>
        <v/>
      </c>
      <c r="AA902" s="24" t="str">
        <f>IFERROR(IF([1]对账明细接口!$V902=0,"",[1]对账明细接口!$V902),"")</f>
        <v/>
      </c>
      <c r="AB902" s="20" t="str">
        <f>IFERROR(IF([1]对账明细接口!$W902=0,"",[1]对账明细接口!$W902),"")</f>
        <v/>
      </c>
      <c r="AC902" s="7" t="str">
        <f>IFERROR(IF([1]对账明细接口!$X902=0,"",[1]对账明细接口!$X902),"")</f>
        <v/>
      </c>
      <c r="AD902" s="7" t="str">
        <f>IFERROR(IF([1]对账明细接口!$Y902=0,"",[1]对账明细接口!$Y902),"")</f>
        <v/>
      </c>
      <c r="AE902" s="7" t="str">
        <f>IFERROR(IF([1]对账明细接口!$AA902=0,"",[1]对账明细接口!$AA902),"")</f>
        <v/>
      </c>
      <c r="AF902" s="7" t="str">
        <f>IFERROR(IF([1]对账明细接口!$AB902=0,"",[1]对账明细接口!$AB902),"")</f>
        <v/>
      </c>
      <c r="AG902" s="7" t="str">
        <f>IFERROR(IF([1]对账明细接口!$AC902=0,"",[1]对账明细接口!$AC902),"")</f>
        <v/>
      </c>
      <c r="AH902" s="7" t="str">
        <f>IFERROR(IF([1]对账明细接口!$AD902=0,"",[1]对账明细接口!$AD902),"")</f>
        <v/>
      </c>
      <c r="AI902" s="7" t="str">
        <f>IFERROR(IF([1]对账明细接口!$AE902=0,"",[1]对账明细接口!$AE902),"")</f>
        <v/>
      </c>
      <c r="AJ902" s="7" t="str">
        <f>IFERROR(IF([1]对账明细接口!$AF902=0,"",[1]对账明细接口!$AF902),"")</f>
        <v/>
      </c>
    </row>
    <row r="903" ht="14.25" customHeight="1" spans="1:36">
      <c r="A903" s="14">
        <v>903</v>
      </c>
      <c r="B903" s="15" t="str">
        <f>IFERROR(IF([1]对账明细接口!$B$903=0,"",[1]对账明细接口!$B$903),"")</f>
        <v/>
      </c>
      <c r="C903" s="16" t="str">
        <f>IFERROR(IF([1]对账明细接口!$C$903=0,"",[1]对账明细接口!$C$903),"")</f>
        <v/>
      </c>
      <c r="D903" s="16" t="str">
        <f>IFERROR(IF([1]对账明细接口!$D$903=0,"",[1]对账明细接口!$D$903),"")</f>
        <v/>
      </c>
      <c r="E903" s="16" t="str">
        <f>IFERROR(IF([1]对账明细接口!$E$903=0,"",[1]对账明细接口!$E$903),"")</f>
        <v/>
      </c>
      <c r="F903" s="16" t="str">
        <f>IFERROR(IF([1]对账明细接口!$F$903=0,"",[1]对账明细接口!$F$903),"")</f>
        <v/>
      </c>
      <c r="G903" s="16" t="str">
        <f>IFERROR(IF([1]对账明细接口!$G$903=0,"",[1]对账明细接口!$G$903),"")</f>
        <v/>
      </c>
      <c r="H903" s="17" t="str">
        <f>IFERROR(IF([1]对账明细接口!$H$903=0,"",[1]对账明细接口!$H$903),"")</f>
        <v/>
      </c>
      <c r="I903" s="16" t="str">
        <f>IFERROR(IF([1]对账明细接口!$I$903=0,"",[1]对账明细接口!$I$903),"")</f>
        <v/>
      </c>
      <c r="J903" s="18" t="str">
        <f>IFERROR(IF([1]对账明细接口!$J$903=0,"",[1]对账明细接口!$J$903),"")</f>
        <v/>
      </c>
      <c r="K903" s="18" t="str">
        <f>IFERROR(IF([1]对账明细接口!$K$903=0,"",[1]对账明细接口!$K$903),"")</f>
        <v/>
      </c>
      <c r="L903" s="16" t="str">
        <f>IFERROR(IF([1]对账明细接口!$L$903=0,"",[1]对账明细接口!$L$903),"")</f>
        <v/>
      </c>
      <c r="M903" s="16" t="str">
        <f>IFERROR(IF([1]对账明细接口!$M$903=0,"",[1]对账明细接口!$M$903),"")</f>
        <v/>
      </c>
      <c r="N903" s="19">
        <f t="shared" si="28"/>
        <v>0</v>
      </c>
      <c r="O903" s="19">
        <f t="shared" si="29"/>
        <v>420</v>
      </c>
      <c r="S903" s="20" t="str">
        <f>IFERROR(IF([1]对账明细接口!$N903=0,"",[1]对账明细接口!$N903),"")</f>
        <v/>
      </c>
      <c r="T903" s="21" t="str">
        <f>IFERROR(IF([1]对账明细接口!$O903=0,"",[1]对账明细接口!$O903),"")</f>
        <v/>
      </c>
      <c r="U903" s="21" t="str">
        <f>IFERROR(IF([1]对账明细接口!$P903=0,"",[1]对账明细接口!$P903),"")</f>
        <v/>
      </c>
      <c r="V903" s="21" t="str">
        <f>IFERROR(IF([1]对账明细接口!$Q903=0,"",[1]对账明细接口!$Q903),"")</f>
        <v/>
      </c>
      <c r="W903" s="20" t="str">
        <f>IFERROR(IF([1]对账明细接口!$R903=0,"",[1]对账明细接口!$R903),"")</f>
        <v/>
      </c>
      <c r="X903" s="20" t="str">
        <f>IFERROR(IF([1]对账明细接口!$S903=0,"",[1]对账明细接口!$S903),"")</f>
        <v/>
      </c>
      <c r="Y903" s="20" t="str">
        <f>IFERROR(IF([1]对账明细接口!$T903=0,"",[1]对账明细接口!$T903),"")</f>
        <v/>
      </c>
      <c r="Z903" s="24" t="str">
        <f>IFERROR(IF([1]对账明细接口!$U903=0,"",[1]对账明细接口!$U903),"")</f>
        <v/>
      </c>
      <c r="AA903" s="24" t="str">
        <f>IFERROR(IF([1]对账明细接口!$V903=0,"",[1]对账明细接口!$V903),"")</f>
        <v/>
      </c>
      <c r="AB903" s="20" t="str">
        <f>IFERROR(IF([1]对账明细接口!$W903=0,"",[1]对账明细接口!$W903),"")</f>
        <v/>
      </c>
      <c r="AC903" s="7" t="str">
        <f>IFERROR(IF([1]对账明细接口!$X903=0,"",[1]对账明细接口!$X903),"")</f>
        <v/>
      </c>
      <c r="AD903" s="7" t="str">
        <f>IFERROR(IF([1]对账明细接口!$Y903=0,"",[1]对账明细接口!$Y903),"")</f>
        <v/>
      </c>
      <c r="AE903" s="7" t="str">
        <f>IFERROR(IF([1]对账明细接口!$AA903=0,"",[1]对账明细接口!$AA903),"")</f>
        <v/>
      </c>
      <c r="AF903" s="7" t="str">
        <f>IFERROR(IF([1]对账明细接口!$AB903=0,"",[1]对账明细接口!$AB903),"")</f>
        <v/>
      </c>
      <c r="AG903" s="7" t="str">
        <f>IFERROR(IF([1]对账明细接口!$AC903=0,"",[1]对账明细接口!$AC903),"")</f>
        <v/>
      </c>
      <c r="AH903" s="7" t="str">
        <f>IFERROR(IF([1]对账明细接口!$AD903=0,"",[1]对账明细接口!$AD903),"")</f>
        <v/>
      </c>
      <c r="AI903" s="7" t="str">
        <f>IFERROR(IF([1]对账明细接口!$AE903=0,"",[1]对账明细接口!$AE903),"")</f>
        <v/>
      </c>
      <c r="AJ903" s="7" t="str">
        <f>IFERROR(IF([1]对账明细接口!$AF903=0,"",[1]对账明细接口!$AF903),"")</f>
        <v/>
      </c>
    </row>
    <row r="904" ht="14.25" customHeight="1" spans="1:36">
      <c r="A904" s="14">
        <v>904</v>
      </c>
      <c r="B904" s="15" t="str">
        <f>IFERROR(IF([1]对账明细接口!$B$904=0,"",[1]对账明细接口!$B$904),"")</f>
        <v/>
      </c>
      <c r="C904" s="16" t="str">
        <f>IFERROR(IF([1]对账明细接口!$C$904=0,"",[1]对账明细接口!$C$904),"")</f>
        <v/>
      </c>
      <c r="D904" s="16" t="str">
        <f>IFERROR(IF([1]对账明细接口!$D$904=0,"",[1]对账明细接口!$D$904),"")</f>
        <v/>
      </c>
      <c r="E904" s="16" t="str">
        <f>IFERROR(IF([1]对账明细接口!$E$904=0,"",[1]对账明细接口!$E$904),"")</f>
        <v/>
      </c>
      <c r="F904" s="16" t="str">
        <f>IFERROR(IF([1]对账明细接口!$F$904=0,"",[1]对账明细接口!$F$904),"")</f>
        <v/>
      </c>
      <c r="G904" s="16" t="str">
        <f>IFERROR(IF([1]对账明细接口!$G$904=0,"",[1]对账明细接口!$G$904),"")</f>
        <v/>
      </c>
      <c r="H904" s="17" t="str">
        <f>IFERROR(IF([1]对账明细接口!$H$904=0,"",[1]对账明细接口!$H$904),"")</f>
        <v/>
      </c>
      <c r="I904" s="16" t="str">
        <f>IFERROR(IF([1]对账明细接口!$I$904=0,"",[1]对账明细接口!$I$904),"")</f>
        <v/>
      </c>
      <c r="J904" s="18" t="str">
        <f>IFERROR(IF([1]对账明细接口!$J$904=0,"",[1]对账明细接口!$J$904),"")</f>
        <v/>
      </c>
      <c r="K904" s="18" t="str">
        <f>IFERROR(IF([1]对账明细接口!$K$904=0,"",[1]对账明细接口!$K$904),"")</f>
        <v/>
      </c>
      <c r="L904" s="16" t="str">
        <f>IFERROR(IF([1]对账明细接口!$L$904=0,"",[1]对账明细接口!$L$904),"")</f>
        <v/>
      </c>
      <c r="M904" s="16" t="str">
        <f>IFERROR(IF([1]对账明细接口!$M$904=0,"",[1]对账明细接口!$M$904),"")</f>
        <v/>
      </c>
      <c r="N904" s="19">
        <f t="shared" si="28"/>
        <v>0</v>
      </c>
      <c r="O904" s="19">
        <f t="shared" si="29"/>
        <v>420</v>
      </c>
      <c r="S904" s="20" t="str">
        <f>IFERROR(IF([1]对账明细接口!$N904=0,"",[1]对账明细接口!$N904),"")</f>
        <v/>
      </c>
      <c r="T904" s="21" t="str">
        <f>IFERROR(IF([1]对账明细接口!$O904=0,"",[1]对账明细接口!$O904),"")</f>
        <v/>
      </c>
      <c r="U904" s="21" t="str">
        <f>IFERROR(IF([1]对账明细接口!$P904=0,"",[1]对账明细接口!$P904),"")</f>
        <v/>
      </c>
      <c r="V904" s="21" t="str">
        <f>IFERROR(IF([1]对账明细接口!$Q904=0,"",[1]对账明细接口!$Q904),"")</f>
        <v/>
      </c>
      <c r="W904" s="20" t="str">
        <f>IFERROR(IF([1]对账明细接口!$R904=0,"",[1]对账明细接口!$R904),"")</f>
        <v/>
      </c>
      <c r="X904" s="20" t="str">
        <f>IFERROR(IF([1]对账明细接口!$S904=0,"",[1]对账明细接口!$S904),"")</f>
        <v/>
      </c>
      <c r="Y904" s="20" t="str">
        <f>IFERROR(IF([1]对账明细接口!$T904=0,"",[1]对账明细接口!$T904),"")</f>
        <v/>
      </c>
      <c r="Z904" s="24" t="str">
        <f>IFERROR(IF([1]对账明细接口!$U904=0,"",[1]对账明细接口!$U904),"")</f>
        <v/>
      </c>
      <c r="AA904" s="24" t="str">
        <f>IFERROR(IF([1]对账明细接口!$V904=0,"",[1]对账明细接口!$V904),"")</f>
        <v/>
      </c>
      <c r="AB904" s="20" t="str">
        <f>IFERROR(IF([1]对账明细接口!$W904=0,"",[1]对账明细接口!$W904),"")</f>
        <v/>
      </c>
      <c r="AC904" s="7" t="str">
        <f>IFERROR(IF([1]对账明细接口!$X904=0,"",[1]对账明细接口!$X904),"")</f>
        <v/>
      </c>
      <c r="AD904" s="7" t="str">
        <f>IFERROR(IF([1]对账明细接口!$Y904=0,"",[1]对账明细接口!$Y904),"")</f>
        <v/>
      </c>
      <c r="AE904" s="7" t="str">
        <f>IFERROR(IF([1]对账明细接口!$AA904=0,"",[1]对账明细接口!$AA904),"")</f>
        <v/>
      </c>
      <c r="AF904" s="7" t="str">
        <f>IFERROR(IF([1]对账明细接口!$AB904=0,"",[1]对账明细接口!$AB904),"")</f>
        <v/>
      </c>
      <c r="AG904" s="7" t="str">
        <f>IFERROR(IF([1]对账明细接口!$AC904=0,"",[1]对账明细接口!$AC904),"")</f>
        <v/>
      </c>
      <c r="AH904" s="7" t="str">
        <f>IFERROR(IF([1]对账明细接口!$AD904=0,"",[1]对账明细接口!$AD904),"")</f>
        <v/>
      </c>
      <c r="AI904" s="7" t="str">
        <f>IFERROR(IF([1]对账明细接口!$AE904=0,"",[1]对账明细接口!$AE904),"")</f>
        <v/>
      </c>
      <c r="AJ904" s="7" t="str">
        <f>IFERROR(IF([1]对账明细接口!$AF904=0,"",[1]对账明细接口!$AF904),"")</f>
        <v/>
      </c>
    </row>
    <row r="905" ht="14.25" customHeight="1" spans="1:36">
      <c r="A905" s="14">
        <v>905</v>
      </c>
      <c r="B905" s="15" t="str">
        <f>IFERROR(IF([1]对账明细接口!$B$905=0,"",[1]对账明细接口!$B$905),"")</f>
        <v/>
      </c>
      <c r="C905" s="16" t="str">
        <f>IFERROR(IF([1]对账明细接口!$C$905=0,"",[1]对账明细接口!$C$905),"")</f>
        <v/>
      </c>
      <c r="D905" s="16" t="str">
        <f>IFERROR(IF([1]对账明细接口!$D$905=0,"",[1]对账明细接口!$D$905),"")</f>
        <v/>
      </c>
      <c r="E905" s="16" t="str">
        <f>IFERROR(IF([1]对账明细接口!$E$905=0,"",[1]对账明细接口!$E$905),"")</f>
        <v/>
      </c>
      <c r="F905" s="16" t="str">
        <f>IFERROR(IF([1]对账明细接口!$F$905=0,"",[1]对账明细接口!$F$905),"")</f>
        <v/>
      </c>
      <c r="G905" s="16" t="str">
        <f>IFERROR(IF([1]对账明细接口!$G$905=0,"",[1]对账明细接口!$G$905),"")</f>
        <v/>
      </c>
      <c r="H905" s="17" t="str">
        <f>IFERROR(IF([1]对账明细接口!$H$905=0,"",[1]对账明细接口!$H$905),"")</f>
        <v/>
      </c>
      <c r="I905" s="16" t="str">
        <f>IFERROR(IF([1]对账明细接口!$I$905=0,"",[1]对账明细接口!$I$905),"")</f>
        <v/>
      </c>
      <c r="J905" s="18" t="str">
        <f>IFERROR(IF([1]对账明细接口!$J$905=0,"",[1]对账明细接口!$J$905),"")</f>
        <v/>
      </c>
      <c r="K905" s="18" t="str">
        <f>IFERROR(IF([1]对账明细接口!$K$905=0,"",[1]对账明细接口!$K$905),"")</f>
        <v/>
      </c>
      <c r="L905" s="16" t="str">
        <f>IFERROR(IF([1]对账明细接口!$L$905=0,"",[1]对账明细接口!$L$905),"")</f>
        <v/>
      </c>
      <c r="M905" s="16" t="str">
        <f>IFERROR(IF([1]对账明细接口!$M$905=0,"",[1]对账明细接口!$M$905),"")</f>
        <v/>
      </c>
      <c r="N905" s="19">
        <f t="shared" si="28"/>
        <v>0</v>
      </c>
      <c r="O905" s="19">
        <f t="shared" si="29"/>
        <v>420</v>
      </c>
      <c r="S905" s="20" t="str">
        <f>IFERROR(IF([1]对账明细接口!$N905=0,"",[1]对账明细接口!$N905),"")</f>
        <v/>
      </c>
      <c r="T905" s="21" t="str">
        <f>IFERROR(IF([1]对账明细接口!$O905=0,"",[1]对账明细接口!$O905),"")</f>
        <v/>
      </c>
      <c r="U905" s="21" t="str">
        <f>IFERROR(IF([1]对账明细接口!$P905=0,"",[1]对账明细接口!$P905),"")</f>
        <v/>
      </c>
      <c r="V905" s="21" t="str">
        <f>IFERROR(IF([1]对账明细接口!$Q905=0,"",[1]对账明细接口!$Q905),"")</f>
        <v/>
      </c>
      <c r="W905" s="20" t="str">
        <f>IFERROR(IF([1]对账明细接口!$R905=0,"",[1]对账明细接口!$R905),"")</f>
        <v/>
      </c>
      <c r="X905" s="20" t="str">
        <f>IFERROR(IF([1]对账明细接口!$S905=0,"",[1]对账明细接口!$S905),"")</f>
        <v/>
      </c>
      <c r="Y905" s="20" t="str">
        <f>IFERROR(IF([1]对账明细接口!$T905=0,"",[1]对账明细接口!$T905),"")</f>
        <v/>
      </c>
      <c r="Z905" s="24" t="str">
        <f>IFERROR(IF([1]对账明细接口!$U905=0,"",[1]对账明细接口!$U905),"")</f>
        <v/>
      </c>
      <c r="AA905" s="24" t="str">
        <f>IFERROR(IF([1]对账明细接口!$V905=0,"",[1]对账明细接口!$V905),"")</f>
        <v/>
      </c>
      <c r="AB905" s="20" t="str">
        <f>IFERROR(IF([1]对账明细接口!$W905=0,"",[1]对账明细接口!$W905),"")</f>
        <v/>
      </c>
      <c r="AC905" s="7" t="str">
        <f>IFERROR(IF([1]对账明细接口!$X905=0,"",[1]对账明细接口!$X905),"")</f>
        <v/>
      </c>
      <c r="AD905" s="7" t="str">
        <f>IFERROR(IF([1]对账明细接口!$Y905=0,"",[1]对账明细接口!$Y905),"")</f>
        <v/>
      </c>
      <c r="AE905" s="7" t="str">
        <f>IFERROR(IF([1]对账明细接口!$AA905=0,"",[1]对账明细接口!$AA905),"")</f>
        <v/>
      </c>
      <c r="AF905" s="7" t="str">
        <f>IFERROR(IF([1]对账明细接口!$AB905=0,"",[1]对账明细接口!$AB905),"")</f>
        <v/>
      </c>
      <c r="AG905" s="7" t="str">
        <f>IFERROR(IF([1]对账明细接口!$AC905=0,"",[1]对账明细接口!$AC905),"")</f>
        <v/>
      </c>
      <c r="AH905" s="7" t="str">
        <f>IFERROR(IF([1]对账明细接口!$AD905=0,"",[1]对账明细接口!$AD905),"")</f>
        <v/>
      </c>
      <c r="AI905" s="7" t="str">
        <f>IFERROR(IF([1]对账明细接口!$AE905=0,"",[1]对账明细接口!$AE905),"")</f>
        <v/>
      </c>
      <c r="AJ905" s="7" t="str">
        <f>IFERROR(IF([1]对账明细接口!$AF905=0,"",[1]对账明细接口!$AF905),"")</f>
        <v/>
      </c>
    </row>
    <row r="906" ht="14.25" customHeight="1" spans="1:36">
      <c r="A906" s="14">
        <v>906</v>
      </c>
      <c r="B906" s="15" t="str">
        <f>IFERROR(IF([1]对账明细接口!$B$906=0,"",[1]对账明细接口!$B$906),"")</f>
        <v/>
      </c>
      <c r="C906" s="16" t="str">
        <f>IFERROR(IF([1]对账明细接口!$C$906=0,"",[1]对账明细接口!$C$906),"")</f>
        <v/>
      </c>
      <c r="D906" s="16" t="str">
        <f>IFERROR(IF([1]对账明细接口!$D$906=0,"",[1]对账明细接口!$D$906),"")</f>
        <v/>
      </c>
      <c r="E906" s="16" t="str">
        <f>IFERROR(IF([1]对账明细接口!$E$906=0,"",[1]对账明细接口!$E$906),"")</f>
        <v/>
      </c>
      <c r="F906" s="16" t="str">
        <f>IFERROR(IF([1]对账明细接口!$F$906=0,"",[1]对账明细接口!$F$906),"")</f>
        <v/>
      </c>
      <c r="G906" s="16" t="str">
        <f>IFERROR(IF([1]对账明细接口!$G$906=0,"",[1]对账明细接口!$G$906),"")</f>
        <v/>
      </c>
      <c r="H906" s="17" t="str">
        <f>IFERROR(IF([1]对账明细接口!$H$906=0,"",[1]对账明细接口!$H$906),"")</f>
        <v/>
      </c>
      <c r="I906" s="16" t="str">
        <f>IFERROR(IF([1]对账明细接口!$I$906=0,"",[1]对账明细接口!$I$906),"")</f>
        <v/>
      </c>
      <c r="J906" s="18" t="str">
        <f>IFERROR(IF([1]对账明细接口!$J$906=0,"",[1]对账明细接口!$J$906),"")</f>
        <v/>
      </c>
      <c r="K906" s="18" t="str">
        <f>IFERROR(IF([1]对账明细接口!$K$906=0,"",[1]对账明细接口!$K$906),"")</f>
        <v/>
      </c>
      <c r="L906" s="16" t="str">
        <f>IFERROR(IF([1]对账明细接口!$L$906=0,"",[1]对账明细接口!$L$906),"")</f>
        <v/>
      </c>
      <c r="M906" s="16" t="str">
        <f>IFERROR(IF([1]对账明细接口!$M$906=0,"",[1]对账明细接口!$M$906),"")</f>
        <v/>
      </c>
      <c r="N906" s="19">
        <f t="shared" si="28"/>
        <v>0</v>
      </c>
      <c r="O906" s="19">
        <f t="shared" si="29"/>
        <v>420</v>
      </c>
      <c r="S906" s="20" t="str">
        <f>IFERROR(IF([1]对账明细接口!$N906=0,"",[1]对账明细接口!$N906),"")</f>
        <v/>
      </c>
      <c r="T906" s="21" t="str">
        <f>IFERROR(IF([1]对账明细接口!$O906=0,"",[1]对账明细接口!$O906),"")</f>
        <v/>
      </c>
      <c r="U906" s="21" t="str">
        <f>IFERROR(IF([1]对账明细接口!$P906=0,"",[1]对账明细接口!$P906),"")</f>
        <v/>
      </c>
      <c r="V906" s="21" t="str">
        <f>IFERROR(IF([1]对账明细接口!$Q906=0,"",[1]对账明细接口!$Q906),"")</f>
        <v/>
      </c>
      <c r="W906" s="20" t="str">
        <f>IFERROR(IF([1]对账明细接口!$R906=0,"",[1]对账明细接口!$R906),"")</f>
        <v/>
      </c>
      <c r="X906" s="20" t="str">
        <f>IFERROR(IF([1]对账明细接口!$S906=0,"",[1]对账明细接口!$S906),"")</f>
        <v/>
      </c>
      <c r="Y906" s="20" t="str">
        <f>IFERROR(IF([1]对账明细接口!$T906=0,"",[1]对账明细接口!$T906),"")</f>
        <v/>
      </c>
      <c r="Z906" s="24" t="str">
        <f>IFERROR(IF([1]对账明细接口!$U906=0,"",[1]对账明细接口!$U906),"")</f>
        <v/>
      </c>
      <c r="AA906" s="24" t="str">
        <f>IFERROR(IF([1]对账明细接口!$V906=0,"",[1]对账明细接口!$V906),"")</f>
        <v/>
      </c>
      <c r="AB906" s="20" t="str">
        <f>IFERROR(IF([1]对账明细接口!$W906=0,"",[1]对账明细接口!$W906),"")</f>
        <v/>
      </c>
      <c r="AC906" s="7" t="str">
        <f>IFERROR(IF([1]对账明细接口!$X906=0,"",[1]对账明细接口!$X906),"")</f>
        <v/>
      </c>
      <c r="AD906" s="7" t="str">
        <f>IFERROR(IF([1]对账明细接口!$Y906=0,"",[1]对账明细接口!$Y906),"")</f>
        <v/>
      </c>
      <c r="AE906" s="7" t="str">
        <f>IFERROR(IF([1]对账明细接口!$AA906=0,"",[1]对账明细接口!$AA906),"")</f>
        <v/>
      </c>
      <c r="AF906" s="7" t="str">
        <f>IFERROR(IF([1]对账明细接口!$AB906=0,"",[1]对账明细接口!$AB906),"")</f>
        <v/>
      </c>
      <c r="AG906" s="7" t="str">
        <f>IFERROR(IF([1]对账明细接口!$AC906=0,"",[1]对账明细接口!$AC906),"")</f>
        <v/>
      </c>
      <c r="AH906" s="7" t="str">
        <f>IFERROR(IF([1]对账明细接口!$AD906=0,"",[1]对账明细接口!$AD906),"")</f>
        <v/>
      </c>
      <c r="AI906" s="7" t="str">
        <f>IFERROR(IF([1]对账明细接口!$AE906=0,"",[1]对账明细接口!$AE906),"")</f>
        <v/>
      </c>
      <c r="AJ906" s="7" t="str">
        <f>IFERROR(IF([1]对账明细接口!$AF906=0,"",[1]对账明细接口!$AF906),"")</f>
        <v/>
      </c>
    </row>
    <row r="907" ht="14.25" customHeight="1" spans="1:36">
      <c r="A907" s="14">
        <v>907</v>
      </c>
      <c r="B907" s="15" t="str">
        <f>IFERROR(IF([1]对账明细接口!$B$907=0,"",[1]对账明细接口!$B$907),"")</f>
        <v/>
      </c>
      <c r="C907" s="16" t="str">
        <f>IFERROR(IF([1]对账明细接口!$C$907=0,"",[1]对账明细接口!$C$907),"")</f>
        <v/>
      </c>
      <c r="D907" s="16" t="str">
        <f>IFERROR(IF([1]对账明细接口!$D$907=0,"",[1]对账明细接口!$D$907),"")</f>
        <v/>
      </c>
      <c r="E907" s="16" t="str">
        <f>IFERROR(IF([1]对账明细接口!$E$907=0,"",[1]对账明细接口!$E$907),"")</f>
        <v/>
      </c>
      <c r="F907" s="16" t="str">
        <f>IFERROR(IF([1]对账明细接口!$F$907=0,"",[1]对账明细接口!$F$907),"")</f>
        <v/>
      </c>
      <c r="G907" s="16" t="str">
        <f>IFERROR(IF([1]对账明细接口!$G$907=0,"",[1]对账明细接口!$G$907),"")</f>
        <v/>
      </c>
      <c r="H907" s="17" t="str">
        <f>IFERROR(IF([1]对账明细接口!$H$907=0,"",[1]对账明细接口!$H$907),"")</f>
        <v/>
      </c>
      <c r="I907" s="16" t="str">
        <f>IFERROR(IF([1]对账明细接口!$I$907=0,"",[1]对账明细接口!$I$907),"")</f>
        <v/>
      </c>
      <c r="J907" s="18" t="str">
        <f>IFERROR(IF([1]对账明细接口!$J$907=0,"",[1]对账明细接口!$J$907),"")</f>
        <v/>
      </c>
      <c r="K907" s="18" t="str">
        <f>IFERROR(IF([1]对账明细接口!$K$907=0,"",[1]对账明细接口!$K$907),"")</f>
        <v/>
      </c>
      <c r="L907" s="16" t="str">
        <f>IFERROR(IF([1]对账明细接口!$L$907=0,"",[1]对账明细接口!$L$907),"")</f>
        <v/>
      </c>
      <c r="M907" s="16" t="str">
        <f>IFERROR(IF([1]对账明细接口!$M$907=0,"",[1]对账明细接口!$M$907),"")</f>
        <v/>
      </c>
      <c r="N907" s="19">
        <f t="shared" si="28"/>
        <v>0</v>
      </c>
      <c r="O907" s="19">
        <f t="shared" si="29"/>
        <v>420</v>
      </c>
      <c r="S907" s="20" t="str">
        <f>IFERROR(IF([1]对账明细接口!$N907=0,"",[1]对账明细接口!$N907),"")</f>
        <v/>
      </c>
      <c r="T907" s="21" t="str">
        <f>IFERROR(IF([1]对账明细接口!$O907=0,"",[1]对账明细接口!$O907),"")</f>
        <v/>
      </c>
      <c r="U907" s="21" t="str">
        <f>IFERROR(IF([1]对账明细接口!$P907=0,"",[1]对账明细接口!$P907),"")</f>
        <v/>
      </c>
      <c r="V907" s="21" t="str">
        <f>IFERROR(IF([1]对账明细接口!$Q907=0,"",[1]对账明细接口!$Q907),"")</f>
        <v/>
      </c>
      <c r="W907" s="20" t="str">
        <f>IFERROR(IF([1]对账明细接口!$R907=0,"",[1]对账明细接口!$R907),"")</f>
        <v/>
      </c>
      <c r="X907" s="20" t="str">
        <f>IFERROR(IF([1]对账明细接口!$S907=0,"",[1]对账明细接口!$S907),"")</f>
        <v/>
      </c>
      <c r="Y907" s="20" t="str">
        <f>IFERROR(IF([1]对账明细接口!$T907=0,"",[1]对账明细接口!$T907),"")</f>
        <v/>
      </c>
      <c r="Z907" s="24" t="str">
        <f>IFERROR(IF([1]对账明细接口!$U907=0,"",[1]对账明细接口!$U907),"")</f>
        <v/>
      </c>
      <c r="AA907" s="24" t="str">
        <f>IFERROR(IF([1]对账明细接口!$V907=0,"",[1]对账明细接口!$V907),"")</f>
        <v/>
      </c>
      <c r="AB907" s="20" t="str">
        <f>IFERROR(IF([1]对账明细接口!$W907=0,"",[1]对账明细接口!$W907),"")</f>
        <v/>
      </c>
      <c r="AC907" s="7" t="str">
        <f>IFERROR(IF([1]对账明细接口!$X907=0,"",[1]对账明细接口!$X907),"")</f>
        <v/>
      </c>
      <c r="AD907" s="7" t="str">
        <f>IFERROR(IF([1]对账明细接口!$Y907=0,"",[1]对账明细接口!$Y907),"")</f>
        <v/>
      </c>
      <c r="AE907" s="7" t="str">
        <f>IFERROR(IF([1]对账明细接口!$AA907=0,"",[1]对账明细接口!$AA907),"")</f>
        <v/>
      </c>
      <c r="AF907" s="7" t="str">
        <f>IFERROR(IF([1]对账明细接口!$AB907=0,"",[1]对账明细接口!$AB907),"")</f>
        <v/>
      </c>
      <c r="AG907" s="7" t="str">
        <f>IFERROR(IF([1]对账明细接口!$AC907=0,"",[1]对账明细接口!$AC907),"")</f>
        <v/>
      </c>
      <c r="AH907" s="7" t="str">
        <f>IFERROR(IF([1]对账明细接口!$AD907=0,"",[1]对账明细接口!$AD907),"")</f>
        <v/>
      </c>
      <c r="AI907" s="7" t="str">
        <f>IFERROR(IF([1]对账明细接口!$AE907=0,"",[1]对账明细接口!$AE907),"")</f>
        <v/>
      </c>
      <c r="AJ907" s="7" t="str">
        <f>IFERROR(IF([1]对账明细接口!$AF907=0,"",[1]对账明细接口!$AF907),"")</f>
        <v/>
      </c>
    </row>
    <row r="908" ht="14.25" customHeight="1" spans="1:36">
      <c r="A908" s="14">
        <v>908</v>
      </c>
      <c r="B908" s="15" t="str">
        <f>IFERROR(IF([1]对账明细接口!$B$908=0,"",[1]对账明细接口!$B$908),"")</f>
        <v/>
      </c>
      <c r="C908" s="16" t="str">
        <f>IFERROR(IF([1]对账明细接口!$C$908=0,"",[1]对账明细接口!$C$908),"")</f>
        <v/>
      </c>
      <c r="D908" s="16" t="str">
        <f>IFERROR(IF([1]对账明细接口!$D$908=0,"",[1]对账明细接口!$D$908),"")</f>
        <v/>
      </c>
      <c r="E908" s="16" t="str">
        <f>IFERROR(IF([1]对账明细接口!$E$908=0,"",[1]对账明细接口!$E$908),"")</f>
        <v/>
      </c>
      <c r="F908" s="16" t="str">
        <f>IFERROR(IF([1]对账明细接口!$F$908=0,"",[1]对账明细接口!$F$908),"")</f>
        <v/>
      </c>
      <c r="G908" s="16" t="str">
        <f>IFERROR(IF([1]对账明细接口!$G$908=0,"",[1]对账明细接口!$G$908),"")</f>
        <v/>
      </c>
      <c r="H908" s="17" t="str">
        <f>IFERROR(IF([1]对账明细接口!$H$908=0,"",[1]对账明细接口!$H$908),"")</f>
        <v/>
      </c>
      <c r="I908" s="16" t="str">
        <f>IFERROR(IF([1]对账明细接口!$I$908=0,"",[1]对账明细接口!$I$908),"")</f>
        <v/>
      </c>
      <c r="J908" s="18" t="str">
        <f>IFERROR(IF([1]对账明细接口!$J$908=0,"",[1]对账明细接口!$J$908),"")</f>
        <v/>
      </c>
      <c r="K908" s="18" t="str">
        <f>IFERROR(IF([1]对账明细接口!$K$908=0,"",[1]对账明细接口!$K$908),"")</f>
        <v/>
      </c>
      <c r="L908" s="16" t="str">
        <f>IFERROR(IF([1]对账明细接口!$L$908=0,"",[1]对账明细接口!$L$908),"")</f>
        <v/>
      </c>
      <c r="M908" s="16" t="str">
        <f>IFERROR(IF([1]对账明细接口!$M$908=0,"",[1]对账明细接口!$M$908),"")</f>
        <v/>
      </c>
      <c r="N908" s="19">
        <f t="shared" si="28"/>
        <v>0</v>
      </c>
      <c r="O908" s="19">
        <f t="shared" si="29"/>
        <v>420</v>
      </c>
      <c r="S908" s="20" t="str">
        <f>IFERROR(IF([1]对账明细接口!$N908=0,"",[1]对账明细接口!$N908),"")</f>
        <v/>
      </c>
      <c r="T908" s="21" t="str">
        <f>IFERROR(IF([1]对账明细接口!$O908=0,"",[1]对账明细接口!$O908),"")</f>
        <v/>
      </c>
      <c r="U908" s="21" t="str">
        <f>IFERROR(IF([1]对账明细接口!$P908=0,"",[1]对账明细接口!$P908),"")</f>
        <v/>
      </c>
      <c r="V908" s="21" t="str">
        <f>IFERROR(IF([1]对账明细接口!$Q908=0,"",[1]对账明细接口!$Q908),"")</f>
        <v/>
      </c>
      <c r="W908" s="20" t="str">
        <f>IFERROR(IF([1]对账明细接口!$R908=0,"",[1]对账明细接口!$R908),"")</f>
        <v/>
      </c>
      <c r="X908" s="20" t="str">
        <f>IFERROR(IF([1]对账明细接口!$S908=0,"",[1]对账明细接口!$S908),"")</f>
        <v/>
      </c>
      <c r="Y908" s="20" t="str">
        <f>IFERROR(IF([1]对账明细接口!$T908=0,"",[1]对账明细接口!$T908),"")</f>
        <v/>
      </c>
      <c r="Z908" s="24" t="str">
        <f>IFERROR(IF([1]对账明细接口!$U908=0,"",[1]对账明细接口!$U908),"")</f>
        <v/>
      </c>
      <c r="AA908" s="24" t="str">
        <f>IFERROR(IF([1]对账明细接口!$V908=0,"",[1]对账明细接口!$V908),"")</f>
        <v/>
      </c>
      <c r="AB908" s="20" t="str">
        <f>IFERROR(IF([1]对账明细接口!$W908=0,"",[1]对账明细接口!$W908),"")</f>
        <v/>
      </c>
      <c r="AC908" s="7" t="str">
        <f>IFERROR(IF([1]对账明细接口!$X908=0,"",[1]对账明细接口!$X908),"")</f>
        <v/>
      </c>
      <c r="AD908" s="7" t="str">
        <f>IFERROR(IF([1]对账明细接口!$Y908=0,"",[1]对账明细接口!$Y908),"")</f>
        <v/>
      </c>
      <c r="AE908" s="7" t="str">
        <f>IFERROR(IF([1]对账明细接口!$AA908=0,"",[1]对账明细接口!$AA908),"")</f>
        <v/>
      </c>
      <c r="AF908" s="7" t="str">
        <f>IFERROR(IF([1]对账明细接口!$AB908=0,"",[1]对账明细接口!$AB908),"")</f>
        <v/>
      </c>
      <c r="AG908" s="7" t="str">
        <f>IFERROR(IF([1]对账明细接口!$AC908=0,"",[1]对账明细接口!$AC908),"")</f>
        <v/>
      </c>
      <c r="AH908" s="7" t="str">
        <f>IFERROR(IF([1]对账明细接口!$AD908=0,"",[1]对账明细接口!$AD908),"")</f>
        <v/>
      </c>
      <c r="AI908" s="7" t="str">
        <f>IFERROR(IF([1]对账明细接口!$AE908=0,"",[1]对账明细接口!$AE908),"")</f>
        <v/>
      </c>
      <c r="AJ908" s="7" t="str">
        <f>IFERROR(IF([1]对账明细接口!$AF908=0,"",[1]对账明细接口!$AF908),"")</f>
        <v/>
      </c>
    </row>
    <row r="909" ht="14.25" customHeight="1" spans="1:36">
      <c r="A909" s="14">
        <v>909</v>
      </c>
      <c r="B909" s="15" t="str">
        <f>IFERROR(IF([1]对账明细接口!$B$909=0,"",[1]对账明细接口!$B$909),"")</f>
        <v/>
      </c>
      <c r="C909" s="16" t="str">
        <f>IFERROR(IF([1]对账明细接口!$C$909=0,"",[1]对账明细接口!$C$909),"")</f>
        <v/>
      </c>
      <c r="D909" s="16" t="str">
        <f>IFERROR(IF([1]对账明细接口!$D$909=0,"",[1]对账明细接口!$D$909),"")</f>
        <v/>
      </c>
      <c r="E909" s="16" t="str">
        <f>IFERROR(IF([1]对账明细接口!$E$909=0,"",[1]对账明细接口!$E$909),"")</f>
        <v/>
      </c>
      <c r="F909" s="16" t="str">
        <f>IFERROR(IF([1]对账明细接口!$F$909=0,"",[1]对账明细接口!$F$909),"")</f>
        <v/>
      </c>
      <c r="G909" s="16" t="str">
        <f>IFERROR(IF([1]对账明细接口!$G$909=0,"",[1]对账明细接口!$G$909),"")</f>
        <v/>
      </c>
      <c r="H909" s="17" t="str">
        <f>IFERROR(IF([1]对账明细接口!$H$909=0,"",[1]对账明细接口!$H$909),"")</f>
        <v/>
      </c>
      <c r="I909" s="16" t="str">
        <f>IFERROR(IF([1]对账明细接口!$I$909=0,"",[1]对账明细接口!$I$909),"")</f>
        <v/>
      </c>
      <c r="J909" s="18" t="str">
        <f>IFERROR(IF([1]对账明细接口!$J$909=0,"",[1]对账明细接口!$J$909),"")</f>
        <v/>
      </c>
      <c r="K909" s="18" t="str">
        <f>IFERROR(IF([1]对账明细接口!$K$909=0,"",[1]对账明细接口!$K$909),"")</f>
        <v/>
      </c>
      <c r="L909" s="16" t="str">
        <f>IFERROR(IF([1]对账明细接口!$L$909=0,"",[1]对账明细接口!$L$909),"")</f>
        <v/>
      </c>
      <c r="M909" s="16" t="str">
        <f>IFERROR(IF([1]对账明细接口!$M$909=0,"",[1]对账明细接口!$M$909),"")</f>
        <v/>
      </c>
      <c r="N909" s="19">
        <f t="shared" si="28"/>
        <v>0</v>
      </c>
      <c r="O909" s="19">
        <f t="shared" si="29"/>
        <v>420</v>
      </c>
      <c r="S909" s="20" t="str">
        <f>IFERROR(IF([1]对账明细接口!$N909=0,"",[1]对账明细接口!$N909),"")</f>
        <v/>
      </c>
      <c r="T909" s="21" t="str">
        <f>IFERROR(IF([1]对账明细接口!$O909=0,"",[1]对账明细接口!$O909),"")</f>
        <v/>
      </c>
      <c r="U909" s="21" t="str">
        <f>IFERROR(IF([1]对账明细接口!$P909=0,"",[1]对账明细接口!$P909),"")</f>
        <v/>
      </c>
      <c r="V909" s="21" t="str">
        <f>IFERROR(IF([1]对账明细接口!$Q909=0,"",[1]对账明细接口!$Q909),"")</f>
        <v/>
      </c>
      <c r="W909" s="20" t="str">
        <f>IFERROR(IF([1]对账明细接口!$R909=0,"",[1]对账明细接口!$R909),"")</f>
        <v/>
      </c>
      <c r="X909" s="20" t="str">
        <f>IFERROR(IF([1]对账明细接口!$S909=0,"",[1]对账明细接口!$S909),"")</f>
        <v/>
      </c>
      <c r="Y909" s="20" t="str">
        <f>IFERROR(IF([1]对账明细接口!$T909=0,"",[1]对账明细接口!$T909),"")</f>
        <v/>
      </c>
      <c r="Z909" s="24" t="str">
        <f>IFERROR(IF([1]对账明细接口!$U909=0,"",[1]对账明细接口!$U909),"")</f>
        <v/>
      </c>
      <c r="AA909" s="24" t="str">
        <f>IFERROR(IF([1]对账明细接口!$V909=0,"",[1]对账明细接口!$V909),"")</f>
        <v/>
      </c>
      <c r="AB909" s="20" t="str">
        <f>IFERROR(IF([1]对账明细接口!$W909=0,"",[1]对账明细接口!$W909),"")</f>
        <v/>
      </c>
      <c r="AC909" s="7" t="str">
        <f>IFERROR(IF([1]对账明细接口!$X909=0,"",[1]对账明细接口!$X909),"")</f>
        <v/>
      </c>
      <c r="AD909" s="7" t="str">
        <f>IFERROR(IF([1]对账明细接口!$Y909=0,"",[1]对账明细接口!$Y909),"")</f>
        <v/>
      </c>
      <c r="AE909" s="7" t="str">
        <f>IFERROR(IF([1]对账明细接口!$AA909=0,"",[1]对账明细接口!$AA909),"")</f>
        <v/>
      </c>
      <c r="AF909" s="7" t="str">
        <f>IFERROR(IF([1]对账明细接口!$AB909=0,"",[1]对账明细接口!$AB909),"")</f>
        <v/>
      </c>
      <c r="AG909" s="7" t="str">
        <f>IFERROR(IF([1]对账明细接口!$AC909=0,"",[1]对账明细接口!$AC909),"")</f>
        <v/>
      </c>
      <c r="AH909" s="7" t="str">
        <f>IFERROR(IF([1]对账明细接口!$AD909=0,"",[1]对账明细接口!$AD909),"")</f>
        <v/>
      </c>
      <c r="AI909" s="7" t="str">
        <f>IFERROR(IF([1]对账明细接口!$AE909=0,"",[1]对账明细接口!$AE909),"")</f>
        <v/>
      </c>
      <c r="AJ909" s="7" t="str">
        <f>IFERROR(IF([1]对账明细接口!$AF909=0,"",[1]对账明细接口!$AF909),"")</f>
        <v/>
      </c>
    </row>
    <row r="910" ht="14.25" customHeight="1" spans="1:36">
      <c r="A910" s="14">
        <v>910</v>
      </c>
      <c r="B910" s="15" t="str">
        <f>IFERROR(IF([1]对账明细接口!$B$910=0,"",[1]对账明细接口!$B$910),"")</f>
        <v/>
      </c>
      <c r="C910" s="16" t="str">
        <f>IFERROR(IF([1]对账明细接口!$C$910=0,"",[1]对账明细接口!$C$910),"")</f>
        <v/>
      </c>
      <c r="D910" s="16" t="str">
        <f>IFERROR(IF([1]对账明细接口!$D$910=0,"",[1]对账明细接口!$D$910),"")</f>
        <v/>
      </c>
      <c r="E910" s="16" t="str">
        <f>IFERROR(IF([1]对账明细接口!$E$910=0,"",[1]对账明细接口!$E$910),"")</f>
        <v/>
      </c>
      <c r="F910" s="16" t="str">
        <f>IFERROR(IF([1]对账明细接口!$F$910=0,"",[1]对账明细接口!$F$910),"")</f>
        <v/>
      </c>
      <c r="G910" s="16" t="str">
        <f>IFERROR(IF([1]对账明细接口!$G$910=0,"",[1]对账明细接口!$G$910),"")</f>
        <v/>
      </c>
      <c r="H910" s="17" t="str">
        <f>IFERROR(IF([1]对账明细接口!$H$910=0,"",[1]对账明细接口!$H$910),"")</f>
        <v/>
      </c>
      <c r="I910" s="16" t="str">
        <f>IFERROR(IF([1]对账明细接口!$I$910=0,"",[1]对账明细接口!$I$910),"")</f>
        <v/>
      </c>
      <c r="J910" s="18" t="str">
        <f>IFERROR(IF([1]对账明细接口!$J$910=0,"",[1]对账明细接口!$J$910),"")</f>
        <v/>
      </c>
      <c r="K910" s="18" t="str">
        <f>IFERROR(IF([1]对账明细接口!$K$910=0,"",[1]对账明细接口!$K$910),"")</f>
        <v/>
      </c>
      <c r="L910" s="16" t="str">
        <f>IFERROR(IF([1]对账明细接口!$L$910=0,"",[1]对账明细接口!$L$910),"")</f>
        <v/>
      </c>
      <c r="M910" s="16" t="str">
        <f>IFERROR(IF([1]对账明细接口!$M$910=0,"",[1]对账明细接口!$M$910),"")</f>
        <v/>
      </c>
      <c r="N910" s="19">
        <f t="shared" si="28"/>
        <v>0</v>
      </c>
      <c r="O910" s="19">
        <f t="shared" si="29"/>
        <v>420</v>
      </c>
      <c r="S910" s="20" t="str">
        <f>IFERROR(IF([1]对账明细接口!$N910=0,"",[1]对账明细接口!$N910),"")</f>
        <v/>
      </c>
      <c r="T910" s="21" t="str">
        <f>IFERROR(IF([1]对账明细接口!$O910=0,"",[1]对账明细接口!$O910),"")</f>
        <v/>
      </c>
      <c r="U910" s="21" t="str">
        <f>IFERROR(IF([1]对账明细接口!$P910=0,"",[1]对账明细接口!$P910),"")</f>
        <v/>
      </c>
      <c r="V910" s="21" t="str">
        <f>IFERROR(IF([1]对账明细接口!$Q910=0,"",[1]对账明细接口!$Q910),"")</f>
        <v/>
      </c>
      <c r="W910" s="20" t="str">
        <f>IFERROR(IF([1]对账明细接口!$R910=0,"",[1]对账明细接口!$R910),"")</f>
        <v/>
      </c>
      <c r="X910" s="20" t="str">
        <f>IFERROR(IF([1]对账明细接口!$S910=0,"",[1]对账明细接口!$S910),"")</f>
        <v/>
      </c>
      <c r="Y910" s="20" t="str">
        <f>IFERROR(IF([1]对账明细接口!$T910=0,"",[1]对账明细接口!$T910),"")</f>
        <v/>
      </c>
      <c r="Z910" s="24" t="str">
        <f>IFERROR(IF([1]对账明细接口!$U910=0,"",[1]对账明细接口!$U910),"")</f>
        <v/>
      </c>
      <c r="AA910" s="24" t="str">
        <f>IFERROR(IF([1]对账明细接口!$V910=0,"",[1]对账明细接口!$V910),"")</f>
        <v/>
      </c>
      <c r="AB910" s="20" t="str">
        <f>IFERROR(IF([1]对账明细接口!$W910=0,"",[1]对账明细接口!$W910),"")</f>
        <v/>
      </c>
      <c r="AC910" s="7" t="str">
        <f>IFERROR(IF([1]对账明细接口!$X910=0,"",[1]对账明细接口!$X910),"")</f>
        <v/>
      </c>
      <c r="AD910" s="7" t="str">
        <f>IFERROR(IF([1]对账明细接口!$Y910=0,"",[1]对账明细接口!$Y910),"")</f>
        <v/>
      </c>
      <c r="AE910" s="7" t="str">
        <f>IFERROR(IF([1]对账明细接口!$AA910=0,"",[1]对账明细接口!$AA910),"")</f>
        <v/>
      </c>
      <c r="AF910" s="7" t="str">
        <f>IFERROR(IF([1]对账明细接口!$AB910=0,"",[1]对账明细接口!$AB910),"")</f>
        <v/>
      </c>
      <c r="AG910" s="7" t="str">
        <f>IFERROR(IF([1]对账明细接口!$AC910=0,"",[1]对账明细接口!$AC910),"")</f>
        <v/>
      </c>
      <c r="AH910" s="7" t="str">
        <f>IFERROR(IF([1]对账明细接口!$AD910=0,"",[1]对账明细接口!$AD910),"")</f>
        <v/>
      </c>
      <c r="AI910" s="7" t="str">
        <f>IFERROR(IF([1]对账明细接口!$AE910=0,"",[1]对账明细接口!$AE910),"")</f>
        <v/>
      </c>
      <c r="AJ910" s="7" t="str">
        <f>IFERROR(IF([1]对账明细接口!$AF910=0,"",[1]对账明细接口!$AF910),"")</f>
        <v/>
      </c>
    </row>
    <row r="911" ht="14.25" customHeight="1" spans="1:36">
      <c r="A911" s="14">
        <v>911</v>
      </c>
      <c r="B911" s="15" t="str">
        <f>IFERROR(IF([1]对账明细接口!$B$911=0,"",[1]对账明细接口!$B$911),"")</f>
        <v/>
      </c>
      <c r="C911" s="16" t="str">
        <f>IFERROR(IF([1]对账明细接口!$C$911=0,"",[1]对账明细接口!$C$911),"")</f>
        <v/>
      </c>
      <c r="D911" s="16" t="str">
        <f>IFERROR(IF([1]对账明细接口!$D$911=0,"",[1]对账明细接口!$D$911),"")</f>
        <v/>
      </c>
      <c r="E911" s="16" t="str">
        <f>IFERROR(IF([1]对账明细接口!$E$911=0,"",[1]对账明细接口!$E$911),"")</f>
        <v/>
      </c>
      <c r="F911" s="16" t="str">
        <f>IFERROR(IF([1]对账明细接口!$F$911=0,"",[1]对账明细接口!$F$911),"")</f>
        <v/>
      </c>
      <c r="G911" s="16" t="str">
        <f>IFERROR(IF([1]对账明细接口!$G$911=0,"",[1]对账明细接口!$G$911),"")</f>
        <v/>
      </c>
      <c r="H911" s="17" t="str">
        <f>IFERROR(IF([1]对账明细接口!$H$911=0,"",[1]对账明细接口!$H$911),"")</f>
        <v/>
      </c>
      <c r="I911" s="16" t="str">
        <f>IFERROR(IF([1]对账明细接口!$I$911=0,"",[1]对账明细接口!$I$911),"")</f>
        <v/>
      </c>
      <c r="J911" s="18" t="str">
        <f>IFERROR(IF([1]对账明细接口!$J$911=0,"",[1]对账明细接口!$J$911),"")</f>
        <v/>
      </c>
      <c r="K911" s="18" t="str">
        <f>IFERROR(IF([1]对账明细接口!$K$911=0,"",[1]对账明细接口!$K$911),"")</f>
        <v/>
      </c>
      <c r="L911" s="16" t="str">
        <f>IFERROR(IF([1]对账明细接口!$L$911=0,"",[1]对账明细接口!$L$911),"")</f>
        <v/>
      </c>
      <c r="M911" s="16" t="str">
        <f>IFERROR(IF([1]对账明细接口!$M$911=0,"",[1]对账明细接口!$M$911),"")</f>
        <v/>
      </c>
      <c r="N911" s="19">
        <f t="shared" si="28"/>
        <v>0</v>
      </c>
      <c r="O911" s="19">
        <f t="shared" si="29"/>
        <v>420</v>
      </c>
      <c r="S911" s="20" t="str">
        <f>IFERROR(IF([1]对账明细接口!$N911=0,"",[1]对账明细接口!$N911),"")</f>
        <v/>
      </c>
      <c r="T911" s="21" t="str">
        <f>IFERROR(IF([1]对账明细接口!$O911=0,"",[1]对账明细接口!$O911),"")</f>
        <v/>
      </c>
      <c r="U911" s="21" t="str">
        <f>IFERROR(IF([1]对账明细接口!$P911=0,"",[1]对账明细接口!$P911),"")</f>
        <v/>
      </c>
      <c r="V911" s="21" t="str">
        <f>IFERROR(IF([1]对账明细接口!$Q911=0,"",[1]对账明细接口!$Q911),"")</f>
        <v/>
      </c>
      <c r="W911" s="20" t="str">
        <f>IFERROR(IF([1]对账明细接口!$R911=0,"",[1]对账明细接口!$R911),"")</f>
        <v/>
      </c>
      <c r="X911" s="20" t="str">
        <f>IFERROR(IF([1]对账明细接口!$S911=0,"",[1]对账明细接口!$S911),"")</f>
        <v/>
      </c>
      <c r="Y911" s="20" t="str">
        <f>IFERROR(IF([1]对账明细接口!$T911=0,"",[1]对账明细接口!$T911),"")</f>
        <v/>
      </c>
      <c r="Z911" s="24" t="str">
        <f>IFERROR(IF([1]对账明细接口!$U911=0,"",[1]对账明细接口!$U911),"")</f>
        <v/>
      </c>
      <c r="AA911" s="24" t="str">
        <f>IFERROR(IF([1]对账明细接口!$V911=0,"",[1]对账明细接口!$V911),"")</f>
        <v/>
      </c>
      <c r="AB911" s="20" t="str">
        <f>IFERROR(IF([1]对账明细接口!$W911=0,"",[1]对账明细接口!$W911),"")</f>
        <v/>
      </c>
      <c r="AC911" s="7" t="str">
        <f>IFERROR(IF([1]对账明细接口!$X911=0,"",[1]对账明细接口!$X911),"")</f>
        <v/>
      </c>
      <c r="AD911" s="7" t="str">
        <f>IFERROR(IF([1]对账明细接口!$Y911=0,"",[1]对账明细接口!$Y911),"")</f>
        <v/>
      </c>
      <c r="AE911" s="7" t="str">
        <f>IFERROR(IF([1]对账明细接口!$AA911=0,"",[1]对账明细接口!$AA911),"")</f>
        <v/>
      </c>
      <c r="AF911" s="7" t="str">
        <f>IFERROR(IF([1]对账明细接口!$AB911=0,"",[1]对账明细接口!$AB911),"")</f>
        <v/>
      </c>
      <c r="AG911" s="7" t="str">
        <f>IFERROR(IF([1]对账明细接口!$AC911=0,"",[1]对账明细接口!$AC911),"")</f>
        <v/>
      </c>
      <c r="AH911" s="7" t="str">
        <f>IFERROR(IF([1]对账明细接口!$AD911=0,"",[1]对账明细接口!$AD911),"")</f>
        <v/>
      </c>
      <c r="AI911" s="7" t="str">
        <f>IFERROR(IF([1]对账明细接口!$AE911=0,"",[1]对账明细接口!$AE911),"")</f>
        <v/>
      </c>
      <c r="AJ911" s="7" t="str">
        <f>IFERROR(IF([1]对账明细接口!$AF911=0,"",[1]对账明细接口!$AF911),"")</f>
        <v/>
      </c>
    </row>
    <row r="912" ht="14.25" customHeight="1" spans="1:36">
      <c r="A912" s="14">
        <v>912</v>
      </c>
      <c r="B912" s="15" t="str">
        <f>IFERROR(IF([1]对账明细接口!$B$912=0,"",[1]对账明细接口!$B$912),"")</f>
        <v/>
      </c>
      <c r="C912" s="16" t="str">
        <f>IFERROR(IF([1]对账明细接口!$C$912=0,"",[1]对账明细接口!$C$912),"")</f>
        <v/>
      </c>
      <c r="D912" s="16" t="str">
        <f>IFERROR(IF([1]对账明细接口!$D$912=0,"",[1]对账明细接口!$D$912),"")</f>
        <v/>
      </c>
      <c r="E912" s="16" t="str">
        <f>IFERROR(IF([1]对账明细接口!$E$912=0,"",[1]对账明细接口!$E$912),"")</f>
        <v/>
      </c>
      <c r="F912" s="16" t="str">
        <f>IFERROR(IF([1]对账明细接口!$F$912=0,"",[1]对账明细接口!$F$912),"")</f>
        <v/>
      </c>
      <c r="G912" s="16" t="str">
        <f>IFERROR(IF([1]对账明细接口!$G$912=0,"",[1]对账明细接口!$G$912),"")</f>
        <v/>
      </c>
      <c r="H912" s="17" t="str">
        <f>IFERROR(IF([1]对账明细接口!$H$912=0,"",[1]对账明细接口!$H$912),"")</f>
        <v/>
      </c>
      <c r="I912" s="16" t="str">
        <f>IFERROR(IF([1]对账明细接口!$I$912=0,"",[1]对账明细接口!$I$912),"")</f>
        <v/>
      </c>
      <c r="J912" s="18" t="str">
        <f>IFERROR(IF([1]对账明细接口!$J$912=0,"",[1]对账明细接口!$J$912),"")</f>
        <v/>
      </c>
      <c r="K912" s="18" t="str">
        <f>IFERROR(IF([1]对账明细接口!$K$912=0,"",[1]对账明细接口!$K$912),"")</f>
        <v/>
      </c>
      <c r="L912" s="16" t="str">
        <f>IFERROR(IF([1]对账明细接口!$L$912=0,"",[1]对账明细接口!$L$912),"")</f>
        <v/>
      </c>
      <c r="M912" s="16" t="str">
        <f>IFERROR(IF([1]对账明细接口!$M$912=0,"",[1]对账明细接口!$M$912),"")</f>
        <v/>
      </c>
      <c r="N912" s="19">
        <f t="shared" si="28"/>
        <v>0</v>
      </c>
      <c r="O912" s="19">
        <f t="shared" si="29"/>
        <v>420</v>
      </c>
      <c r="S912" s="20" t="str">
        <f>IFERROR(IF([1]对账明细接口!$N912=0,"",[1]对账明细接口!$N912),"")</f>
        <v/>
      </c>
      <c r="T912" s="21" t="str">
        <f>IFERROR(IF([1]对账明细接口!$O912=0,"",[1]对账明细接口!$O912),"")</f>
        <v/>
      </c>
      <c r="U912" s="21" t="str">
        <f>IFERROR(IF([1]对账明细接口!$P912=0,"",[1]对账明细接口!$P912),"")</f>
        <v/>
      </c>
      <c r="V912" s="21" t="str">
        <f>IFERROR(IF([1]对账明细接口!$Q912=0,"",[1]对账明细接口!$Q912),"")</f>
        <v/>
      </c>
      <c r="W912" s="20" t="str">
        <f>IFERROR(IF([1]对账明细接口!$R912=0,"",[1]对账明细接口!$R912),"")</f>
        <v/>
      </c>
      <c r="X912" s="20" t="str">
        <f>IFERROR(IF([1]对账明细接口!$S912=0,"",[1]对账明细接口!$S912),"")</f>
        <v/>
      </c>
      <c r="Y912" s="20" t="str">
        <f>IFERROR(IF([1]对账明细接口!$T912=0,"",[1]对账明细接口!$T912),"")</f>
        <v/>
      </c>
      <c r="Z912" s="24" t="str">
        <f>IFERROR(IF([1]对账明细接口!$U912=0,"",[1]对账明细接口!$U912),"")</f>
        <v/>
      </c>
      <c r="AA912" s="24" t="str">
        <f>IFERROR(IF([1]对账明细接口!$V912=0,"",[1]对账明细接口!$V912),"")</f>
        <v/>
      </c>
      <c r="AB912" s="20" t="str">
        <f>IFERROR(IF([1]对账明细接口!$W912=0,"",[1]对账明细接口!$W912),"")</f>
        <v/>
      </c>
      <c r="AC912" s="7" t="str">
        <f>IFERROR(IF([1]对账明细接口!$X912=0,"",[1]对账明细接口!$X912),"")</f>
        <v/>
      </c>
      <c r="AD912" s="7" t="str">
        <f>IFERROR(IF([1]对账明细接口!$Y912=0,"",[1]对账明细接口!$Y912),"")</f>
        <v/>
      </c>
      <c r="AE912" s="7" t="str">
        <f>IFERROR(IF([1]对账明细接口!$AA912=0,"",[1]对账明细接口!$AA912),"")</f>
        <v/>
      </c>
      <c r="AF912" s="7" t="str">
        <f>IFERROR(IF([1]对账明细接口!$AB912=0,"",[1]对账明细接口!$AB912),"")</f>
        <v/>
      </c>
      <c r="AG912" s="7" t="str">
        <f>IFERROR(IF([1]对账明细接口!$AC912=0,"",[1]对账明细接口!$AC912),"")</f>
        <v/>
      </c>
      <c r="AH912" s="7" t="str">
        <f>IFERROR(IF([1]对账明细接口!$AD912=0,"",[1]对账明细接口!$AD912),"")</f>
        <v/>
      </c>
      <c r="AI912" s="7" t="str">
        <f>IFERROR(IF([1]对账明细接口!$AE912=0,"",[1]对账明细接口!$AE912),"")</f>
        <v/>
      </c>
      <c r="AJ912" s="7" t="str">
        <f>IFERROR(IF([1]对账明细接口!$AF912=0,"",[1]对账明细接口!$AF912),"")</f>
        <v/>
      </c>
    </row>
    <row r="913" ht="14.25" customHeight="1" spans="1:36">
      <c r="A913" s="14">
        <v>913</v>
      </c>
      <c r="B913" s="15" t="str">
        <f>IFERROR(IF([1]对账明细接口!$B$913=0,"",[1]对账明细接口!$B$913),"")</f>
        <v/>
      </c>
      <c r="C913" s="16" t="str">
        <f>IFERROR(IF([1]对账明细接口!$C$913=0,"",[1]对账明细接口!$C$913),"")</f>
        <v/>
      </c>
      <c r="D913" s="16" t="str">
        <f>IFERROR(IF([1]对账明细接口!$D$913=0,"",[1]对账明细接口!$D$913),"")</f>
        <v/>
      </c>
      <c r="E913" s="16" t="str">
        <f>IFERROR(IF([1]对账明细接口!$E$913=0,"",[1]对账明细接口!$E$913),"")</f>
        <v/>
      </c>
      <c r="F913" s="16" t="str">
        <f>IFERROR(IF([1]对账明细接口!$F$913=0,"",[1]对账明细接口!$F$913),"")</f>
        <v/>
      </c>
      <c r="G913" s="16" t="str">
        <f>IFERROR(IF([1]对账明细接口!$G$913=0,"",[1]对账明细接口!$G$913),"")</f>
        <v/>
      </c>
      <c r="H913" s="17" t="str">
        <f>IFERROR(IF([1]对账明细接口!$H$913=0,"",[1]对账明细接口!$H$913),"")</f>
        <v/>
      </c>
      <c r="I913" s="16" t="str">
        <f>IFERROR(IF([1]对账明细接口!$I$913=0,"",[1]对账明细接口!$I$913),"")</f>
        <v/>
      </c>
      <c r="J913" s="18" t="str">
        <f>IFERROR(IF([1]对账明细接口!$J$913=0,"",[1]对账明细接口!$J$913),"")</f>
        <v/>
      </c>
      <c r="K913" s="18" t="str">
        <f>IFERROR(IF([1]对账明细接口!$K$913=0,"",[1]对账明细接口!$K$913),"")</f>
        <v/>
      </c>
      <c r="L913" s="16" t="str">
        <f>IFERROR(IF([1]对账明细接口!$L$913=0,"",[1]对账明细接口!$L$913),"")</f>
        <v/>
      </c>
      <c r="M913" s="16" t="str">
        <f>IFERROR(IF([1]对账明细接口!$M$913=0,"",[1]对账明细接口!$M$913),"")</f>
        <v/>
      </c>
      <c r="N913" s="19">
        <f t="shared" si="28"/>
        <v>0</v>
      </c>
      <c r="O913" s="19">
        <f t="shared" si="29"/>
        <v>420</v>
      </c>
      <c r="S913" s="20" t="str">
        <f>IFERROR(IF([1]对账明细接口!$N913=0,"",[1]对账明细接口!$N913),"")</f>
        <v/>
      </c>
      <c r="T913" s="21" t="str">
        <f>IFERROR(IF([1]对账明细接口!$O913=0,"",[1]对账明细接口!$O913),"")</f>
        <v/>
      </c>
      <c r="U913" s="21" t="str">
        <f>IFERROR(IF([1]对账明细接口!$P913=0,"",[1]对账明细接口!$P913),"")</f>
        <v/>
      </c>
      <c r="V913" s="21" t="str">
        <f>IFERROR(IF([1]对账明细接口!$Q913=0,"",[1]对账明细接口!$Q913),"")</f>
        <v/>
      </c>
      <c r="W913" s="20" t="str">
        <f>IFERROR(IF([1]对账明细接口!$R913=0,"",[1]对账明细接口!$R913),"")</f>
        <v/>
      </c>
      <c r="X913" s="20" t="str">
        <f>IFERROR(IF([1]对账明细接口!$S913=0,"",[1]对账明细接口!$S913),"")</f>
        <v/>
      </c>
      <c r="Y913" s="20" t="str">
        <f>IFERROR(IF([1]对账明细接口!$T913=0,"",[1]对账明细接口!$T913),"")</f>
        <v/>
      </c>
      <c r="Z913" s="24" t="str">
        <f>IFERROR(IF([1]对账明细接口!$U913=0,"",[1]对账明细接口!$U913),"")</f>
        <v/>
      </c>
      <c r="AA913" s="24" t="str">
        <f>IFERROR(IF([1]对账明细接口!$V913=0,"",[1]对账明细接口!$V913),"")</f>
        <v/>
      </c>
      <c r="AB913" s="20" t="str">
        <f>IFERROR(IF([1]对账明细接口!$W913=0,"",[1]对账明细接口!$W913),"")</f>
        <v/>
      </c>
      <c r="AC913" s="7" t="str">
        <f>IFERROR(IF([1]对账明细接口!$X913=0,"",[1]对账明细接口!$X913),"")</f>
        <v/>
      </c>
      <c r="AD913" s="7" t="str">
        <f>IFERROR(IF([1]对账明细接口!$Y913=0,"",[1]对账明细接口!$Y913),"")</f>
        <v/>
      </c>
      <c r="AE913" s="7" t="str">
        <f>IFERROR(IF([1]对账明细接口!$AA913=0,"",[1]对账明细接口!$AA913),"")</f>
        <v/>
      </c>
      <c r="AF913" s="7" t="str">
        <f>IFERROR(IF([1]对账明细接口!$AB913=0,"",[1]对账明细接口!$AB913),"")</f>
        <v/>
      </c>
      <c r="AG913" s="7" t="str">
        <f>IFERROR(IF([1]对账明细接口!$AC913=0,"",[1]对账明细接口!$AC913),"")</f>
        <v/>
      </c>
      <c r="AH913" s="7" t="str">
        <f>IFERROR(IF([1]对账明细接口!$AD913=0,"",[1]对账明细接口!$AD913),"")</f>
        <v/>
      </c>
      <c r="AI913" s="7" t="str">
        <f>IFERROR(IF([1]对账明细接口!$AE913=0,"",[1]对账明细接口!$AE913),"")</f>
        <v/>
      </c>
      <c r="AJ913" s="7" t="str">
        <f>IFERROR(IF([1]对账明细接口!$AF913=0,"",[1]对账明细接口!$AF913),"")</f>
        <v/>
      </c>
    </row>
    <row r="914" ht="14.25" customHeight="1" spans="1:36">
      <c r="A914" s="14">
        <v>914</v>
      </c>
      <c r="B914" s="15" t="str">
        <f>IFERROR(IF([1]对账明细接口!$B$914=0,"",[1]对账明细接口!$B$914),"")</f>
        <v/>
      </c>
      <c r="C914" s="16" t="str">
        <f>IFERROR(IF([1]对账明细接口!$C$914=0,"",[1]对账明细接口!$C$914),"")</f>
        <v/>
      </c>
      <c r="D914" s="16" t="str">
        <f>IFERROR(IF([1]对账明细接口!$D$914=0,"",[1]对账明细接口!$D$914),"")</f>
        <v/>
      </c>
      <c r="E914" s="16" t="str">
        <f>IFERROR(IF([1]对账明细接口!$E$914=0,"",[1]对账明细接口!$E$914),"")</f>
        <v/>
      </c>
      <c r="F914" s="16" t="str">
        <f>IFERROR(IF([1]对账明细接口!$F$914=0,"",[1]对账明细接口!$F$914),"")</f>
        <v/>
      </c>
      <c r="G914" s="16" t="str">
        <f>IFERROR(IF([1]对账明细接口!$G$914=0,"",[1]对账明细接口!$G$914),"")</f>
        <v/>
      </c>
      <c r="H914" s="17" t="str">
        <f>IFERROR(IF([1]对账明细接口!$H$914=0,"",[1]对账明细接口!$H$914),"")</f>
        <v/>
      </c>
      <c r="I914" s="16" t="str">
        <f>IFERROR(IF([1]对账明细接口!$I$914=0,"",[1]对账明细接口!$I$914),"")</f>
        <v/>
      </c>
      <c r="J914" s="18" t="str">
        <f>IFERROR(IF([1]对账明细接口!$J$914=0,"",[1]对账明细接口!$J$914),"")</f>
        <v/>
      </c>
      <c r="K914" s="18" t="str">
        <f>IFERROR(IF([1]对账明细接口!$K$914=0,"",[1]对账明细接口!$K$914),"")</f>
        <v/>
      </c>
      <c r="L914" s="16" t="str">
        <f>IFERROR(IF([1]对账明细接口!$L$914=0,"",[1]对账明细接口!$L$914),"")</f>
        <v/>
      </c>
      <c r="M914" s="16" t="str">
        <f>IFERROR(IF([1]对账明细接口!$M$914=0,"",[1]对账明细接口!$M$914),"")</f>
        <v/>
      </c>
      <c r="N914" s="19">
        <f t="shared" si="28"/>
        <v>0</v>
      </c>
      <c r="O914" s="19">
        <f t="shared" si="29"/>
        <v>420</v>
      </c>
      <c r="S914" s="20" t="str">
        <f>IFERROR(IF([1]对账明细接口!$N914=0,"",[1]对账明细接口!$N914),"")</f>
        <v/>
      </c>
      <c r="T914" s="21" t="str">
        <f>IFERROR(IF([1]对账明细接口!$O914=0,"",[1]对账明细接口!$O914),"")</f>
        <v/>
      </c>
      <c r="U914" s="21" t="str">
        <f>IFERROR(IF([1]对账明细接口!$P914=0,"",[1]对账明细接口!$P914),"")</f>
        <v/>
      </c>
      <c r="V914" s="21" t="str">
        <f>IFERROR(IF([1]对账明细接口!$Q914=0,"",[1]对账明细接口!$Q914),"")</f>
        <v/>
      </c>
      <c r="W914" s="20" t="str">
        <f>IFERROR(IF([1]对账明细接口!$R914=0,"",[1]对账明细接口!$R914),"")</f>
        <v/>
      </c>
      <c r="X914" s="20" t="str">
        <f>IFERROR(IF([1]对账明细接口!$S914=0,"",[1]对账明细接口!$S914),"")</f>
        <v/>
      </c>
      <c r="Y914" s="20" t="str">
        <f>IFERROR(IF([1]对账明细接口!$T914=0,"",[1]对账明细接口!$T914),"")</f>
        <v/>
      </c>
      <c r="Z914" s="24" t="str">
        <f>IFERROR(IF([1]对账明细接口!$U914=0,"",[1]对账明细接口!$U914),"")</f>
        <v/>
      </c>
      <c r="AA914" s="24" t="str">
        <f>IFERROR(IF([1]对账明细接口!$V914=0,"",[1]对账明细接口!$V914),"")</f>
        <v/>
      </c>
      <c r="AB914" s="20" t="str">
        <f>IFERROR(IF([1]对账明细接口!$W914=0,"",[1]对账明细接口!$W914),"")</f>
        <v/>
      </c>
      <c r="AC914" s="7" t="str">
        <f>IFERROR(IF([1]对账明细接口!$X914=0,"",[1]对账明细接口!$X914),"")</f>
        <v/>
      </c>
      <c r="AD914" s="7" t="str">
        <f>IFERROR(IF([1]对账明细接口!$Y914=0,"",[1]对账明细接口!$Y914),"")</f>
        <v/>
      </c>
      <c r="AE914" s="7" t="str">
        <f>IFERROR(IF([1]对账明细接口!$AA914=0,"",[1]对账明细接口!$AA914),"")</f>
        <v/>
      </c>
      <c r="AF914" s="7" t="str">
        <f>IFERROR(IF([1]对账明细接口!$AB914=0,"",[1]对账明细接口!$AB914),"")</f>
        <v/>
      </c>
      <c r="AG914" s="7" t="str">
        <f>IFERROR(IF([1]对账明细接口!$AC914=0,"",[1]对账明细接口!$AC914),"")</f>
        <v/>
      </c>
      <c r="AH914" s="7" t="str">
        <f>IFERROR(IF([1]对账明细接口!$AD914=0,"",[1]对账明细接口!$AD914),"")</f>
        <v/>
      </c>
      <c r="AI914" s="7" t="str">
        <f>IFERROR(IF([1]对账明细接口!$AE914=0,"",[1]对账明细接口!$AE914),"")</f>
        <v/>
      </c>
      <c r="AJ914" s="7" t="str">
        <f>IFERROR(IF([1]对账明细接口!$AF914=0,"",[1]对账明细接口!$AF914),"")</f>
        <v/>
      </c>
    </row>
    <row r="915" ht="14.25" customHeight="1" spans="1:36">
      <c r="A915" s="14">
        <v>915</v>
      </c>
      <c r="B915" s="15" t="str">
        <f>IFERROR(IF([1]对账明细接口!$B$915=0,"",[1]对账明细接口!$B$915),"")</f>
        <v/>
      </c>
      <c r="C915" s="16" t="str">
        <f>IFERROR(IF([1]对账明细接口!$C$915=0,"",[1]对账明细接口!$C$915),"")</f>
        <v/>
      </c>
      <c r="D915" s="16" t="str">
        <f>IFERROR(IF([1]对账明细接口!$D$915=0,"",[1]对账明细接口!$D$915),"")</f>
        <v/>
      </c>
      <c r="E915" s="16" t="str">
        <f>IFERROR(IF([1]对账明细接口!$E$915=0,"",[1]对账明细接口!$E$915),"")</f>
        <v/>
      </c>
      <c r="F915" s="16" t="str">
        <f>IFERROR(IF([1]对账明细接口!$F$915=0,"",[1]对账明细接口!$F$915),"")</f>
        <v/>
      </c>
      <c r="G915" s="16" t="str">
        <f>IFERROR(IF([1]对账明细接口!$G$915=0,"",[1]对账明细接口!$G$915),"")</f>
        <v/>
      </c>
      <c r="H915" s="17" t="str">
        <f>IFERROR(IF([1]对账明细接口!$H$915=0,"",[1]对账明细接口!$H$915),"")</f>
        <v/>
      </c>
      <c r="I915" s="16" t="str">
        <f>IFERROR(IF([1]对账明细接口!$I$915=0,"",[1]对账明细接口!$I$915),"")</f>
        <v/>
      </c>
      <c r="J915" s="18" t="str">
        <f>IFERROR(IF([1]对账明细接口!$J$915=0,"",[1]对账明细接口!$J$915),"")</f>
        <v/>
      </c>
      <c r="K915" s="18" t="str">
        <f>IFERROR(IF([1]对账明细接口!$K$915=0,"",[1]对账明细接口!$K$915),"")</f>
        <v/>
      </c>
      <c r="L915" s="16" t="str">
        <f>IFERROR(IF([1]对账明细接口!$L$915=0,"",[1]对账明细接口!$L$915),"")</f>
        <v/>
      </c>
      <c r="M915" s="16" t="str">
        <f>IFERROR(IF([1]对账明细接口!$M$915=0,"",[1]对账明细接口!$M$915),"")</f>
        <v/>
      </c>
      <c r="N915" s="19">
        <f t="shared" si="28"/>
        <v>0</v>
      </c>
      <c r="O915" s="19">
        <f t="shared" si="29"/>
        <v>420</v>
      </c>
      <c r="S915" s="20" t="str">
        <f>IFERROR(IF([1]对账明细接口!$N915=0,"",[1]对账明细接口!$N915),"")</f>
        <v/>
      </c>
      <c r="T915" s="21" t="str">
        <f>IFERROR(IF([1]对账明细接口!$O915=0,"",[1]对账明细接口!$O915),"")</f>
        <v/>
      </c>
      <c r="U915" s="21" t="str">
        <f>IFERROR(IF([1]对账明细接口!$P915=0,"",[1]对账明细接口!$P915),"")</f>
        <v/>
      </c>
      <c r="V915" s="21" t="str">
        <f>IFERROR(IF([1]对账明细接口!$Q915=0,"",[1]对账明细接口!$Q915),"")</f>
        <v/>
      </c>
      <c r="W915" s="20" t="str">
        <f>IFERROR(IF([1]对账明细接口!$R915=0,"",[1]对账明细接口!$R915),"")</f>
        <v/>
      </c>
      <c r="X915" s="20" t="str">
        <f>IFERROR(IF([1]对账明细接口!$S915=0,"",[1]对账明细接口!$S915),"")</f>
        <v/>
      </c>
      <c r="Y915" s="20" t="str">
        <f>IFERROR(IF([1]对账明细接口!$T915=0,"",[1]对账明细接口!$T915),"")</f>
        <v/>
      </c>
      <c r="Z915" s="24" t="str">
        <f>IFERROR(IF([1]对账明细接口!$U915=0,"",[1]对账明细接口!$U915),"")</f>
        <v/>
      </c>
      <c r="AA915" s="24" t="str">
        <f>IFERROR(IF([1]对账明细接口!$V915=0,"",[1]对账明细接口!$V915),"")</f>
        <v/>
      </c>
      <c r="AB915" s="20" t="str">
        <f>IFERROR(IF([1]对账明细接口!$W915=0,"",[1]对账明细接口!$W915),"")</f>
        <v/>
      </c>
      <c r="AC915" s="7" t="str">
        <f>IFERROR(IF([1]对账明细接口!$X915=0,"",[1]对账明细接口!$X915),"")</f>
        <v/>
      </c>
      <c r="AD915" s="7" t="str">
        <f>IFERROR(IF([1]对账明细接口!$Y915=0,"",[1]对账明细接口!$Y915),"")</f>
        <v/>
      </c>
      <c r="AE915" s="7" t="str">
        <f>IFERROR(IF([1]对账明细接口!$AA915=0,"",[1]对账明细接口!$AA915),"")</f>
        <v/>
      </c>
      <c r="AF915" s="7" t="str">
        <f>IFERROR(IF([1]对账明细接口!$AB915=0,"",[1]对账明细接口!$AB915),"")</f>
        <v/>
      </c>
      <c r="AG915" s="7" t="str">
        <f>IFERROR(IF([1]对账明细接口!$AC915=0,"",[1]对账明细接口!$AC915),"")</f>
        <v/>
      </c>
      <c r="AH915" s="7" t="str">
        <f>IFERROR(IF([1]对账明细接口!$AD915=0,"",[1]对账明细接口!$AD915),"")</f>
        <v/>
      </c>
      <c r="AI915" s="7" t="str">
        <f>IFERROR(IF([1]对账明细接口!$AE915=0,"",[1]对账明细接口!$AE915),"")</f>
        <v/>
      </c>
      <c r="AJ915" s="7" t="str">
        <f>IFERROR(IF([1]对账明细接口!$AF915=0,"",[1]对账明细接口!$AF915),"")</f>
        <v/>
      </c>
    </row>
    <row r="916" ht="14.25" customHeight="1" spans="1:36">
      <c r="A916" s="14">
        <v>916</v>
      </c>
      <c r="B916" s="15" t="str">
        <f>IFERROR(IF([1]对账明细接口!$B$916=0,"",[1]对账明细接口!$B$916),"")</f>
        <v/>
      </c>
      <c r="C916" s="16" t="str">
        <f>IFERROR(IF([1]对账明细接口!$C$916=0,"",[1]对账明细接口!$C$916),"")</f>
        <v/>
      </c>
      <c r="D916" s="16" t="str">
        <f>IFERROR(IF([1]对账明细接口!$D$916=0,"",[1]对账明细接口!$D$916),"")</f>
        <v/>
      </c>
      <c r="E916" s="16" t="str">
        <f>IFERROR(IF([1]对账明细接口!$E$916=0,"",[1]对账明细接口!$E$916),"")</f>
        <v/>
      </c>
      <c r="F916" s="16" t="str">
        <f>IFERROR(IF([1]对账明细接口!$F$916=0,"",[1]对账明细接口!$F$916),"")</f>
        <v/>
      </c>
      <c r="G916" s="16" t="str">
        <f>IFERROR(IF([1]对账明细接口!$G$916=0,"",[1]对账明细接口!$G$916),"")</f>
        <v/>
      </c>
      <c r="H916" s="17" t="str">
        <f>IFERROR(IF([1]对账明细接口!$H$916=0,"",[1]对账明细接口!$H$916),"")</f>
        <v/>
      </c>
      <c r="I916" s="16" t="str">
        <f>IFERROR(IF([1]对账明细接口!$I$916=0,"",[1]对账明细接口!$I$916),"")</f>
        <v/>
      </c>
      <c r="J916" s="18" t="str">
        <f>IFERROR(IF([1]对账明细接口!$J$916=0,"",[1]对账明细接口!$J$916),"")</f>
        <v/>
      </c>
      <c r="K916" s="18" t="str">
        <f>IFERROR(IF([1]对账明细接口!$K$916=0,"",[1]对账明细接口!$K$916),"")</f>
        <v/>
      </c>
      <c r="L916" s="16" t="str">
        <f>IFERROR(IF([1]对账明细接口!$L$916=0,"",[1]对账明细接口!$L$916),"")</f>
        <v/>
      </c>
      <c r="M916" s="16" t="str">
        <f>IFERROR(IF([1]对账明细接口!$M$916=0,"",[1]对账明细接口!$M$916),"")</f>
        <v/>
      </c>
      <c r="N916" s="19">
        <f t="shared" si="28"/>
        <v>0</v>
      </c>
      <c r="O916" s="19">
        <f t="shared" si="29"/>
        <v>420</v>
      </c>
      <c r="S916" s="20" t="str">
        <f>IFERROR(IF([1]对账明细接口!$N916=0,"",[1]对账明细接口!$N916),"")</f>
        <v/>
      </c>
      <c r="T916" s="21" t="str">
        <f>IFERROR(IF([1]对账明细接口!$O916=0,"",[1]对账明细接口!$O916),"")</f>
        <v/>
      </c>
      <c r="U916" s="21" t="str">
        <f>IFERROR(IF([1]对账明细接口!$P916=0,"",[1]对账明细接口!$P916),"")</f>
        <v/>
      </c>
      <c r="V916" s="21" t="str">
        <f>IFERROR(IF([1]对账明细接口!$Q916=0,"",[1]对账明细接口!$Q916),"")</f>
        <v/>
      </c>
      <c r="W916" s="20" t="str">
        <f>IFERROR(IF([1]对账明细接口!$R916=0,"",[1]对账明细接口!$R916),"")</f>
        <v/>
      </c>
      <c r="X916" s="20" t="str">
        <f>IFERROR(IF([1]对账明细接口!$S916=0,"",[1]对账明细接口!$S916),"")</f>
        <v/>
      </c>
      <c r="Y916" s="20" t="str">
        <f>IFERROR(IF([1]对账明细接口!$T916=0,"",[1]对账明细接口!$T916),"")</f>
        <v/>
      </c>
      <c r="Z916" s="24" t="str">
        <f>IFERROR(IF([1]对账明细接口!$U916=0,"",[1]对账明细接口!$U916),"")</f>
        <v/>
      </c>
      <c r="AA916" s="24" t="str">
        <f>IFERROR(IF([1]对账明细接口!$V916=0,"",[1]对账明细接口!$V916),"")</f>
        <v/>
      </c>
      <c r="AB916" s="20" t="str">
        <f>IFERROR(IF([1]对账明细接口!$W916=0,"",[1]对账明细接口!$W916),"")</f>
        <v/>
      </c>
      <c r="AC916" s="7" t="str">
        <f>IFERROR(IF([1]对账明细接口!$X916=0,"",[1]对账明细接口!$X916),"")</f>
        <v/>
      </c>
      <c r="AD916" s="7" t="str">
        <f>IFERROR(IF([1]对账明细接口!$Y916=0,"",[1]对账明细接口!$Y916),"")</f>
        <v/>
      </c>
      <c r="AE916" s="7" t="str">
        <f>IFERROR(IF([1]对账明细接口!$AA916=0,"",[1]对账明细接口!$AA916),"")</f>
        <v/>
      </c>
      <c r="AF916" s="7" t="str">
        <f>IFERROR(IF([1]对账明细接口!$AB916=0,"",[1]对账明细接口!$AB916),"")</f>
        <v/>
      </c>
      <c r="AG916" s="7" t="str">
        <f>IFERROR(IF([1]对账明细接口!$AC916=0,"",[1]对账明细接口!$AC916),"")</f>
        <v/>
      </c>
      <c r="AH916" s="7" t="str">
        <f>IFERROR(IF([1]对账明细接口!$AD916=0,"",[1]对账明细接口!$AD916),"")</f>
        <v/>
      </c>
      <c r="AI916" s="7" t="str">
        <f>IFERROR(IF([1]对账明细接口!$AE916=0,"",[1]对账明细接口!$AE916),"")</f>
        <v/>
      </c>
      <c r="AJ916" s="7" t="str">
        <f>IFERROR(IF([1]对账明细接口!$AF916=0,"",[1]对账明细接口!$AF916),"")</f>
        <v/>
      </c>
    </row>
    <row r="917" ht="14.25" customHeight="1" spans="1:36">
      <c r="A917" s="14">
        <v>917</v>
      </c>
      <c r="B917" s="15" t="str">
        <f>IFERROR(IF([1]对账明细接口!$B$917=0,"",[1]对账明细接口!$B$917),"")</f>
        <v/>
      </c>
      <c r="C917" s="16" t="str">
        <f>IFERROR(IF([1]对账明细接口!$C$917=0,"",[1]对账明细接口!$C$917),"")</f>
        <v/>
      </c>
      <c r="D917" s="16" t="str">
        <f>IFERROR(IF([1]对账明细接口!$D$917=0,"",[1]对账明细接口!$D$917),"")</f>
        <v/>
      </c>
      <c r="E917" s="16" t="str">
        <f>IFERROR(IF([1]对账明细接口!$E$917=0,"",[1]对账明细接口!$E$917),"")</f>
        <v/>
      </c>
      <c r="F917" s="16" t="str">
        <f>IFERROR(IF([1]对账明细接口!$F$917=0,"",[1]对账明细接口!$F$917),"")</f>
        <v/>
      </c>
      <c r="G917" s="16" t="str">
        <f>IFERROR(IF([1]对账明细接口!$G$917=0,"",[1]对账明细接口!$G$917),"")</f>
        <v/>
      </c>
      <c r="H917" s="17" t="str">
        <f>IFERROR(IF([1]对账明细接口!$H$917=0,"",[1]对账明细接口!$H$917),"")</f>
        <v/>
      </c>
      <c r="I917" s="16" t="str">
        <f>IFERROR(IF([1]对账明细接口!$I$917=0,"",[1]对账明细接口!$I$917),"")</f>
        <v/>
      </c>
      <c r="J917" s="18" t="str">
        <f>IFERROR(IF([1]对账明细接口!$J$917=0,"",[1]对账明细接口!$J$917),"")</f>
        <v/>
      </c>
      <c r="K917" s="18" t="str">
        <f>IFERROR(IF([1]对账明细接口!$K$917=0,"",[1]对账明细接口!$K$917),"")</f>
        <v/>
      </c>
      <c r="L917" s="16" t="str">
        <f>IFERROR(IF([1]对账明细接口!$L$917=0,"",[1]对账明细接口!$L$917),"")</f>
        <v/>
      </c>
      <c r="M917" s="16" t="str">
        <f>IFERROR(IF([1]对账明细接口!$M$917=0,"",[1]对账明细接口!$M$917),"")</f>
        <v/>
      </c>
      <c r="N917" s="19">
        <f t="shared" si="28"/>
        <v>0</v>
      </c>
      <c r="O917" s="19">
        <f t="shared" si="29"/>
        <v>420</v>
      </c>
      <c r="S917" s="20" t="str">
        <f>IFERROR(IF([1]对账明细接口!$N917=0,"",[1]对账明细接口!$N917),"")</f>
        <v/>
      </c>
      <c r="T917" s="21" t="str">
        <f>IFERROR(IF([1]对账明细接口!$O917=0,"",[1]对账明细接口!$O917),"")</f>
        <v/>
      </c>
      <c r="U917" s="21" t="str">
        <f>IFERROR(IF([1]对账明细接口!$P917=0,"",[1]对账明细接口!$P917),"")</f>
        <v/>
      </c>
      <c r="V917" s="21" t="str">
        <f>IFERROR(IF([1]对账明细接口!$Q917=0,"",[1]对账明细接口!$Q917),"")</f>
        <v/>
      </c>
      <c r="W917" s="20" t="str">
        <f>IFERROR(IF([1]对账明细接口!$R917=0,"",[1]对账明细接口!$R917),"")</f>
        <v/>
      </c>
      <c r="X917" s="20" t="str">
        <f>IFERROR(IF([1]对账明细接口!$S917=0,"",[1]对账明细接口!$S917),"")</f>
        <v/>
      </c>
      <c r="Y917" s="20" t="str">
        <f>IFERROR(IF([1]对账明细接口!$T917=0,"",[1]对账明细接口!$T917),"")</f>
        <v/>
      </c>
      <c r="Z917" s="24" t="str">
        <f>IFERROR(IF([1]对账明细接口!$U917=0,"",[1]对账明细接口!$U917),"")</f>
        <v/>
      </c>
      <c r="AA917" s="24" t="str">
        <f>IFERROR(IF([1]对账明细接口!$V917=0,"",[1]对账明细接口!$V917),"")</f>
        <v/>
      </c>
      <c r="AB917" s="20" t="str">
        <f>IFERROR(IF([1]对账明细接口!$W917=0,"",[1]对账明细接口!$W917),"")</f>
        <v/>
      </c>
      <c r="AC917" s="7" t="str">
        <f>IFERROR(IF([1]对账明细接口!$X917=0,"",[1]对账明细接口!$X917),"")</f>
        <v/>
      </c>
      <c r="AD917" s="7" t="str">
        <f>IFERROR(IF([1]对账明细接口!$Y917=0,"",[1]对账明细接口!$Y917),"")</f>
        <v/>
      </c>
      <c r="AE917" s="7" t="str">
        <f>IFERROR(IF([1]对账明细接口!$AA917=0,"",[1]对账明细接口!$AA917),"")</f>
        <v/>
      </c>
      <c r="AF917" s="7" t="str">
        <f>IFERROR(IF([1]对账明细接口!$AB917=0,"",[1]对账明细接口!$AB917),"")</f>
        <v/>
      </c>
      <c r="AG917" s="7" t="str">
        <f>IFERROR(IF([1]对账明细接口!$AC917=0,"",[1]对账明细接口!$AC917),"")</f>
        <v/>
      </c>
      <c r="AH917" s="7" t="str">
        <f>IFERROR(IF([1]对账明细接口!$AD917=0,"",[1]对账明细接口!$AD917),"")</f>
        <v/>
      </c>
      <c r="AI917" s="7" t="str">
        <f>IFERROR(IF([1]对账明细接口!$AE917=0,"",[1]对账明细接口!$AE917),"")</f>
        <v/>
      </c>
      <c r="AJ917" s="7" t="str">
        <f>IFERROR(IF([1]对账明细接口!$AF917=0,"",[1]对账明细接口!$AF917),"")</f>
        <v/>
      </c>
    </row>
    <row r="918" ht="14.25" customHeight="1" spans="1:36">
      <c r="A918" s="14">
        <v>918</v>
      </c>
      <c r="B918" s="15" t="str">
        <f>IFERROR(IF([1]对账明细接口!$B$918=0,"",[1]对账明细接口!$B$918),"")</f>
        <v/>
      </c>
      <c r="C918" s="16" t="str">
        <f>IFERROR(IF([1]对账明细接口!$C$918=0,"",[1]对账明细接口!$C$918),"")</f>
        <v/>
      </c>
      <c r="D918" s="16" t="str">
        <f>IFERROR(IF([1]对账明细接口!$D$918=0,"",[1]对账明细接口!$D$918),"")</f>
        <v/>
      </c>
      <c r="E918" s="16" t="str">
        <f>IFERROR(IF([1]对账明细接口!$E$918=0,"",[1]对账明细接口!$E$918),"")</f>
        <v/>
      </c>
      <c r="F918" s="16" t="str">
        <f>IFERROR(IF([1]对账明细接口!$F$918=0,"",[1]对账明细接口!$F$918),"")</f>
        <v/>
      </c>
      <c r="G918" s="16" t="str">
        <f>IFERROR(IF([1]对账明细接口!$G$918=0,"",[1]对账明细接口!$G$918),"")</f>
        <v/>
      </c>
      <c r="H918" s="17" t="str">
        <f>IFERROR(IF([1]对账明细接口!$H$918=0,"",[1]对账明细接口!$H$918),"")</f>
        <v/>
      </c>
      <c r="I918" s="16" t="str">
        <f>IFERROR(IF([1]对账明细接口!$I$918=0,"",[1]对账明细接口!$I$918),"")</f>
        <v/>
      </c>
      <c r="J918" s="18" t="str">
        <f>IFERROR(IF([1]对账明细接口!$J$918=0,"",[1]对账明细接口!$J$918),"")</f>
        <v/>
      </c>
      <c r="K918" s="18" t="str">
        <f>IFERROR(IF([1]对账明细接口!$K$918=0,"",[1]对账明细接口!$K$918),"")</f>
        <v/>
      </c>
      <c r="L918" s="16" t="str">
        <f>IFERROR(IF([1]对账明细接口!$L$918=0,"",[1]对账明细接口!$L$918),"")</f>
        <v/>
      </c>
      <c r="M918" s="16" t="str">
        <f>IFERROR(IF([1]对账明细接口!$M$918=0,"",[1]对账明细接口!$M$918),"")</f>
        <v/>
      </c>
      <c r="N918" s="19">
        <f t="shared" si="28"/>
        <v>0</v>
      </c>
      <c r="O918" s="19">
        <f t="shared" si="29"/>
        <v>420</v>
      </c>
      <c r="S918" s="20" t="str">
        <f>IFERROR(IF([1]对账明细接口!$N918=0,"",[1]对账明细接口!$N918),"")</f>
        <v/>
      </c>
      <c r="T918" s="21" t="str">
        <f>IFERROR(IF([1]对账明细接口!$O918=0,"",[1]对账明细接口!$O918),"")</f>
        <v/>
      </c>
      <c r="U918" s="21" t="str">
        <f>IFERROR(IF([1]对账明细接口!$P918=0,"",[1]对账明细接口!$P918),"")</f>
        <v/>
      </c>
      <c r="V918" s="21" t="str">
        <f>IFERROR(IF([1]对账明细接口!$Q918=0,"",[1]对账明细接口!$Q918),"")</f>
        <v/>
      </c>
      <c r="W918" s="20" t="str">
        <f>IFERROR(IF([1]对账明细接口!$R918=0,"",[1]对账明细接口!$R918),"")</f>
        <v/>
      </c>
      <c r="X918" s="20" t="str">
        <f>IFERROR(IF([1]对账明细接口!$S918=0,"",[1]对账明细接口!$S918),"")</f>
        <v/>
      </c>
      <c r="Y918" s="20" t="str">
        <f>IFERROR(IF([1]对账明细接口!$T918=0,"",[1]对账明细接口!$T918),"")</f>
        <v/>
      </c>
      <c r="Z918" s="24" t="str">
        <f>IFERROR(IF([1]对账明细接口!$U918=0,"",[1]对账明细接口!$U918),"")</f>
        <v/>
      </c>
      <c r="AA918" s="24" t="str">
        <f>IFERROR(IF([1]对账明细接口!$V918=0,"",[1]对账明细接口!$V918),"")</f>
        <v/>
      </c>
      <c r="AB918" s="20" t="str">
        <f>IFERROR(IF([1]对账明细接口!$W918=0,"",[1]对账明细接口!$W918),"")</f>
        <v/>
      </c>
      <c r="AC918" s="7" t="str">
        <f>IFERROR(IF([1]对账明细接口!$X918=0,"",[1]对账明细接口!$X918),"")</f>
        <v/>
      </c>
      <c r="AD918" s="7" t="str">
        <f>IFERROR(IF([1]对账明细接口!$Y918=0,"",[1]对账明细接口!$Y918),"")</f>
        <v/>
      </c>
      <c r="AE918" s="7" t="str">
        <f>IFERROR(IF([1]对账明细接口!$AA918=0,"",[1]对账明细接口!$AA918),"")</f>
        <v/>
      </c>
      <c r="AF918" s="7" t="str">
        <f>IFERROR(IF([1]对账明细接口!$AB918=0,"",[1]对账明细接口!$AB918),"")</f>
        <v/>
      </c>
      <c r="AG918" s="7" t="str">
        <f>IFERROR(IF([1]对账明细接口!$AC918=0,"",[1]对账明细接口!$AC918),"")</f>
        <v/>
      </c>
      <c r="AH918" s="7" t="str">
        <f>IFERROR(IF([1]对账明细接口!$AD918=0,"",[1]对账明细接口!$AD918),"")</f>
        <v/>
      </c>
      <c r="AI918" s="7" t="str">
        <f>IFERROR(IF([1]对账明细接口!$AE918=0,"",[1]对账明细接口!$AE918),"")</f>
        <v/>
      </c>
      <c r="AJ918" s="7" t="str">
        <f>IFERROR(IF([1]对账明细接口!$AF918=0,"",[1]对账明细接口!$AF918),"")</f>
        <v/>
      </c>
    </row>
    <row r="919" ht="14.25" customHeight="1" spans="1:36">
      <c r="A919" s="14">
        <v>919</v>
      </c>
      <c r="B919" s="15" t="str">
        <f>IFERROR(IF([1]对账明细接口!$B$919=0,"",[1]对账明细接口!$B$919),"")</f>
        <v/>
      </c>
      <c r="C919" s="16" t="str">
        <f>IFERROR(IF([1]对账明细接口!$C$919=0,"",[1]对账明细接口!$C$919),"")</f>
        <v/>
      </c>
      <c r="D919" s="16" t="str">
        <f>IFERROR(IF([1]对账明细接口!$D$919=0,"",[1]对账明细接口!$D$919),"")</f>
        <v/>
      </c>
      <c r="E919" s="16" t="str">
        <f>IFERROR(IF([1]对账明细接口!$E$919=0,"",[1]对账明细接口!$E$919),"")</f>
        <v/>
      </c>
      <c r="F919" s="16" t="str">
        <f>IFERROR(IF([1]对账明细接口!$F$919=0,"",[1]对账明细接口!$F$919),"")</f>
        <v/>
      </c>
      <c r="G919" s="16" t="str">
        <f>IFERROR(IF([1]对账明细接口!$G$919=0,"",[1]对账明细接口!$G$919),"")</f>
        <v/>
      </c>
      <c r="H919" s="17" t="str">
        <f>IFERROR(IF([1]对账明细接口!$H$919=0,"",[1]对账明细接口!$H$919),"")</f>
        <v/>
      </c>
      <c r="I919" s="16" t="str">
        <f>IFERROR(IF([1]对账明细接口!$I$919=0,"",[1]对账明细接口!$I$919),"")</f>
        <v/>
      </c>
      <c r="J919" s="18" t="str">
        <f>IFERROR(IF([1]对账明细接口!$J$919=0,"",[1]对账明细接口!$J$919),"")</f>
        <v/>
      </c>
      <c r="K919" s="18" t="str">
        <f>IFERROR(IF([1]对账明细接口!$K$919=0,"",[1]对账明细接口!$K$919),"")</f>
        <v/>
      </c>
      <c r="L919" s="16" t="str">
        <f>IFERROR(IF([1]对账明细接口!$L$919=0,"",[1]对账明细接口!$L$919),"")</f>
        <v/>
      </c>
      <c r="M919" s="16" t="str">
        <f>IFERROR(IF([1]对账明细接口!$M$919=0,"",[1]对账明细接口!$M$919),"")</f>
        <v/>
      </c>
      <c r="N919" s="19">
        <f t="shared" si="28"/>
        <v>0</v>
      </c>
      <c r="O919" s="19">
        <f t="shared" si="29"/>
        <v>420</v>
      </c>
      <c r="S919" s="20" t="str">
        <f>IFERROR(IF([1]对账明细接口!$N919=0,"",[1]对账明细接口!$N919),"")</f>
        <v/>
      </c>
      <c r="T919" s="21" t="str">
        <f>IFERROR(IF([1]对账明细接口!$O919=0,"",[1]对账明细接口!$O919),"")</f>
        <v/>
      </c>
      <c r="U919" s="21" t="str">
        <f>IFERROR(IF([1]对账明细接口!$P919=0,"",[1]对账明细接口!$P919),"")</f>
        <v/>
      </c>
      <c r="V919" s="21" t="str">
        <f>IFERROR(IF([1]对账明细接口!$Q919=0,"",[1]对账明细接口!$Q919),"")</f>
        <v/>
      </c>
      <c r="W919" s="20" t="str">
        <f>IFERROR(IF([1]对账明细接口!$R919=0,"",[1]对账明细接口!$R919),"")</f>
        <v/>
      </c>
      <c r="X919" s="20" t="str">
        <f>IFERROR(IF([1]对账明细接口!$S919=0,"",[1]对账明细接口!$S919),"")</f>
        <v/>
      </c>
      <c r="Y919" s="20" t="str">
        <f>IFERROR(IF([1]对账明细接口!$T919=0,"",[1]对账明细接口!$T919),"")</f>
        <v/>
      </c>
      <c r="Z919" s="24" t="str">
        <f>IFERROR(IF([1]对账明细接口!$U919=0,"",[1]对账明细接口!$U919),"")</f>
        <v/>
      </c>
      <c r="AA919" s="24" t="str">
        <f>IFERROR(IF([1]对账明细接口!$V919=0,"",[1]对账明细接口!$V919),"")</f>
        <v/>
      </c>
      <c r="AB919" s="20" t="str">
        <f>IFERROR(IF([1]对账明细接口!$W919=0,"",[1]对账明细接口!$W919),"")</f>
        <v/>
      </c>
      <c r="AC919" s="7" t="str">
        <f>IFERROR(IF([1]对账明细接口!$X919=0,"",[1]对账明细接口!$X919),"")</f>
        <v/>
      </c>
      <c r="AD919" s="7" t="str">
        <f>IFERROR(IF([1]对账明细接口!$Y919=0,"",[1]对账明细接口!$Y919),"")</f>
        <v/>
      </c>
      <c r="AE919" s="7" t="str">
        <f>IFERROR(IF([1]对账明细接口!$AA919=0,"",[1]对账明细接口!$AA919),"")</f>
        <v/>
      </c>
      <c r="AF919" s="7" t="str">
        <f>IFERROR(IF([1]对账明细接口!$AB919=0,"",[1]对账明细接口!$AB919),"")</f>
        <v/>
      </c>
      <c r="AG919" s="7" t="str">
        <f>IFERROR(IF([1]对账明细接口!$AC919=0,"",[1]对账明细接口!$AC919),"")</f>
        <v/>
      </c>
      <c r="AH919" s="7" t="str">
        <f>IFERROR(IF([1]对账明细接口!$AD919=0,"",[1]对账明细接口!$AD919),"")</f>
        <v/>
      </c>
      <c r="AI919" s="7" t="str">
        <f>IFERROR(IF([1]对账明细接口!$AE919=0,"",[1]对账明细接口!$AE919),"")</f>
        <v/>
      </c>
      <c r="AJ919" s="7" t="str">
        <f>IFERROR(IF([1]对账明细接口!$AF919=0,"",[1]对账明细接口!$AF919),"")</f>
        <v/>
      </c>
    </row>
    <row r="920" ht="14.25" customHeight="1" spans="1:36">
      <c r="A920" s="14">
        <v>920</v>
      </c>
      <c r="B920" s="15" t="str">
        <f>IFERROR(IF([1]对账明细接口!$B$920=0,"",[1]对账明细接口!$B$920),"")</f>
        <v/>
      </c>
      <c r="C920" s="16" t="str">
        <f>IFERROR(IF([1]对账明细接口!$C$920=0,"",[1]对账明细接口!$C$920),"")</f>
        <v/>
      </c>
      <c r="D920" s="16" t="str">
        <f>IFERROR(IF([1]对账明细接口!$D$920=0,"",[1]对账明细接口!$D$920),"")</f>
        <v/>
      </c>
      <c r="E920" s="16" t="str">
        <f>IFERROR(IF([1]对账明细接口!$E$920=0,"",[1]对账明细接口!$E$920),"")</f>
        <v/>
      </c>
      <c r="F920" s="16" t="str">
        <f>IFERROR(IF([1]对账明细接口!$F$920=0,"",[1]对账明细接口!$F$920),"")</f>
        <v/>
      </c>
      <c r="G920" s="16" t="str">
        <f>IFERROR(IF([1]对账明细接口!$G$920=0,"",[1]对账明细接口!$G$920),"")</f>
        <v/>
      </c>
      <c r="H920" s="17" t="str">
        <f>IFERROR(IF([1]对账明细接口!$H$920=0,"",[1]对账明细接口!$H$920),"")</f>
        <v/>
      </c>
      <c r="I920" s="16" t="str">
        <f>IFERROR(IF([1]对账明细接口!$I$920=0,"",[1]对账明细接口!$I$920),"")</f>
        <v/>
      </c>
      <c r="J920" s="18" t="str">
        <f>IFERROR(IF([1]对账明细接口!$J$920=0,"",[1]对账明细接口!$J$920),"")</f>
        <v/>
      </c>
      <c r="K920" s="18" t="str">
        <f>IFERROR(IF([1]对账明细接口!$K$920=0,"",[1]对账明细接口!$K$920),"")</f>
        <v/>
      </c>
      <c r="L920" s="16" t="str">
        <f>IFERROR(IF([1]对账明细接口!$L$920=0,"",[1]对账明细接口!$L$920),"")</f>
        <v/>
      </c>
      <c r="M920" s="16" t="str">
        <f>IFERROR(IF([1]对账明细接口!$M$920=0,"",[1]对账明细接口!$M$920),"")</f>
        <v/>
      </c>
      <c r="N920" s="19">
        <f t="shared" si="28"/>
        <v>0</v>
      </c>
      <c r="O920" s="19">
        <f t="shared" si="29"/>
        <v>420</v>
      </c>
      <c r="S920" s="20" t="str">
        <f>IFERROR(IF([1]对账明细接口!$N920=0,"",[1]对账明细接口!$N920),"")</f>
        <v/>
      </c>
      <c r="T920" s="21" t="str">
        <f>IFERROR(IF([1]对账明细接口!$O920=0,"",[1]对账明细接口!$O920),"")</f>
        <v/>
      </c>
      <c r="U920" s="21" t="str">
        <f>IFERROR(IF([1]对账明细接口!$P920=0,"",[1]对账明细接口!$P920),"")</f>
        <v/>
      </c>
      <c r="V920" s="21" t="str">
        <f>IFERROR(IF([1]对账明细接口!$Q920=0,"",[1]对账明细接口!$Q920),"")</f>
        <v/>
      </c>
      <c r="W920" s="20" t="str">
        <f>IFERROR(IF([1]对账明细接口!$R920=0,"",[1]对账明细接口!$R920),"")</f>
        <v/>
      </c>
      <c r="X920" s="20" t="str">
        <f>IFERROR(IF([1]对账明细接口!$S920=0,"",[1]对账明细接口!$S920),"")</f>
        <v/>
      </c>
      <c r="Y920" s="20" t="str">
        <f>IFERROR(IF([1]对账明细接口!$T920=0,"",[1]对账明细接口!$T920),"")</f>
        <v/>
      </c>
      <c r="Z920" s="24" t="str">
        <f>IFERROR(IF([1]对账明细接口!$U920=0,"",[1]对账明细接口!$U920),"")</f>
        <v/>
      </c>
      <c r="AA920" s="24" t="str">
        <f>IFERROR(IF([1]对账明细接口!$V920=0,"",[1]对账明细接口!$V920),"")</f>
        <v/>
      </c>
      <c r="AB920" s="20" t="str">
        <f>IFERROR(IF([1]对账明细接口!$W920=0,"",[1]对账明细接口!$W920),"")</f>
        <v/>
      </c>
      <c r="AC920" s="7" t="str">
        <f>IFERROR(IF([1]对账明细接口!$X920=0,"",[1]对账明细接口!$X920),"")</f>
        <v/>
      </c>
      <c r="AD920" s="7" t="str">
        <f>IFERROR(IF([1]对账明细接口!$Y920=0,"",[1]对账明细接口!$Y920),"")</f>
        <v/>
      </c>
      <c r="AE920" s="7" t="str">
        <f>IFERROR(IF([1]对账明细接口!$AA920=0,"",[1]对账明细接口!$AA920),"")</f>
        <v/>
      </c>
      <c r="AF920" s="7" t="str">
        <f>IFERROR(IF([1]对账明细接口!$AB920=0,"",[1]对账明细接口!$AB920),"")</f>
        <v/>
      </c>
      <c r="AG920" s="7" t="str">
        <f>IFERROR(IF([1]对账明细接口!$AC920=0,"",[1]对账明细接口!$AC920),"")</f>
        <v/>
      </c>
      <c r="AH920" s="7" t="str">
        <f>IFERROR(IF([1]对账明细接口!$AD920=0,"",[1]对账明细接口!$AD920),"")</f>
        <v/>
      </c>
      <c r="AI920" s="7" t="str">
        <f>IFERROR(IF([1]对账明细接口!$AE920=0,"",[1]对账明细接口!$AE920),"")</f>
        <v/>
      </c>
      <c r="AJ920" s="7" t="str">
        <f>IFERROR(IF([1]对账明细接口!$AF920=0,"",[1]对账明细接口!$AF920),"")</f>
        <v/>
      </c>
    </row>
    <row r="921" ht="14.25" customHeight="1" spans="1:36">
      <c r="A921" s="14">
        <v>921</v>
      </c>
      <c r="B921" s="15" t="str">
        <f>IFERROR(IF([1]对账明细接口!$B$921=0,"",[1]对账明细接口!$B$921),"")</f>
        <v/>
      </c>
      <c r="C921" s="16" t="str">
        <f>IFERROR(IF([1]对账明细接口!$C$921=0,"",[1]对账明细接口!$C$921),"")</f>
        <v/>
      </c>
      <c r="D921" s="16" t="str">
        <f>IFERROR(IF([1]对账明细接口!$D$921=0,"",[1]对账明细接口!$D$921),"")</f>
        <v/>
      </c>
      <c r="E921" s="16" t="str">
        <f>IFERROR(IF([1]对账明细接口!$E$921=0,"",[1]对账明细接口!$E$921),"")</f>
        <v/>
      </c>
      <c r="F921" s="16" t="str">
        <f>IFERROR(IF([1]对账明细接口!$F$921=0,"",[1]对账明细接口!$F$921),"")</f>
        <v/>
      </c>
      <c r="G921" s="16" t="str">
        <f>IFERROR(IF([1]对账明细接口!$G$921=0,"",[1]对账明细接口!$G$921),"")</f>
        <v/>
      </c>
      <c r="H921" s="17" t="str">
        <f>IFERROR(IF([1]对账明细接口!$H$921=0,"",[1]对账明细接口!$H$921),"")</f>
        <v/>
      </c>
      <c r="I921" s="16" t="str">
        <f>IFERROR(IF([1]对账明细接口!$I$921=0,"",[1]对账明细接口!$I$921),"")</f>
        <v/>
      </c>
      <c r="J921" s="18" t="str">
        <f>IFERROR(IF([1]对账明细接口!$J$921=0,"",[1]对账明细接口!$J$921),"")</f>
        <v/>
      </c>
      <c r="K921" s="18" t="str">
        <f>IFERROR(IF([1]对账明细接口!$K$921=0,"",[1]对账明细接口!$K$921),"")</f>
        <v/>
      </c>
      <c r="L921" s="16" t="str">
        <f>IFERROR(IF([1]对账明细接口!$L$921=0,"",[1]对账明细接口!$L$921),"")</f>
        <v/>
      </c>
      <c r="M921" s="16" t="str">
        <f>IFERROR(IF([1]对账明细接口!$M$921=0,"",[1]对账明细接口!$M$921),"")</f>
        <v/>
      </c>
      <c r="N921" s="19">
        <f t="shared" si="28"/>
        <v>0</v>
      </c>
      <c r="O921" s="19">
        <f t="shared" si="29"/>
        <v>420</v>
      </c>
      <c r="S921" s="20" t="str">
        <f>IFERROR(IF([1]对账明细接口!$N921=0,"",[1]对账明细接口!$N921),"")</f>
        <v/>
      </c>
      <c r="T921" s="21" t="str">
        <f>IFERROR(IF([1]对账明细接口!$O921=0,"",[1]对账明细接口!$O921),"")</f>
        <v/>
      </c>
      <c r="U921" s="21" t="str">
        <f>IFERROR(IF([1]对账明细接口!$P921=0,"",[1]对账明细接口!$P921),"")</f>
        <v/>
      </c>
      <c r="V921" s="21" t="str">
        <f>IFERROR(IF([1]对账明细接口!$Q921=0,"",[1]对账明细接口!$Q921),"")</f>
        <v/>
      </c>
      <c r="W921" s="20" t="str">
        <f>IFERROR(IF([1]对账明细接口!$R921=0,"",[1]对账明细接口!$R921),"")</f>
        <v/>
      </c>
      <c r="X921" s="20" t="str">
        <f>IFERROR(IF([1]对账明细接口!$S921=0,"",[1]对账明细接口!$S921),"")</f>
        <v/>
      </c>
      <c r="Y921" s="20" t="str">
        <f>IFERROR(IF([1]对账明细接口!$T921=0,"",[1]对账明细接口!$T921),"")</f>
        <v/>
      </c>
      <c r="Z921" s="24" t="str">
        <f>IFERROR(IF([1]对账明细接口!$U921=0,"",[1]对账明细接口!$U921),"")</f>
        <v/>
      </c>
      <c r="AA921" s="24" t="str">
        <f>IFERROR(IF([1]对账明细接口!$V921=0,"",[1]对账明细接口!$V921),"")</f>
        <v/>
      </c>
      <c r="AB921" s="20" t="str">
        <f>IFERROR(IF([1]对账明细接口!$W921=0,"",[1]对账明细接口!$W921),"")</f>
        <v/>
      </c>
      <c r="AC921" s="7" t="str">
        <f>IFERROR(IF([1]对账明细接口!$X921=0,"",[1]对账明细接口!$X921),"")</f>
        <v/>
      </c>
      <c r="AD921" s="7" t="str">
        <f>IFERROR(IF([1]对账明细接口!$Y921=0,"",[1]对账明细接口!$Y921),"")</f>
        <v/>
      </c>
      <c r="AE921" s="7" t="str">
        <f>IFERROR(IF([1]对账明细接口!$AA921=0,"",[1]对账明细接口!$AA921),"")</f>
        <v/>
      </c>
      <c r="AF921" s="7" t="str">
        <f>IFERROR(IF([1]对账明细接口!$AB921=0,"",[1]对账明细接口!$AB921),"")</f>
        <v/>
      </c>
      <c r="AG921" s="7" t="str">
        <f>IFERROR(IF([1]对账明细接口!$AC921=0,"",[1]对账明细接口!$AC921),"")</f>
        <v/>
      </c>
      <c r="AH921" s="7" t="str">
        <f>IFERROR(IF([1]对账明细接口!$AD921=0,"",[1]对账明细接口!$AD921),"")</f>
        <v/>
      </c>
      <c r="AI921" s="7" t="str">
        <f>IFERROR(IF([1]对账明细接口!$AE921=0,"",[1]对账明细接口!$AE921),"")</f>
        <v/>
      </c>
      <c r="AJ921" s="7" t="str">
        <f>IFERROR(IF([1]对账明细接口!$AF921=0,"",[1]对账明细接口!$AF921),"")</f>
        <v/>
      </c>
    </row>
    <row r="922" ht="14.25" customHeight="1" spans="1:36">
      <c r="A922" s="14">
        <v>922</v>
      </c>
      <c r="B922" s="15" t="str">
        <f>IFERROR(IF([1]对账明细接口!$B$922=0,"",[1]对账明细接口!$B$922),"")</f>
        <v/>
      </c>
      <c r="C922" s="16" t="str">
        <f>IFERROR(IF([1]对账明细接口!$C$922=0,"",[1]对账明细接口!$C$922),"")</f>
        <v/>
      </c>
      <c r="D922" s="16" t="str">
        <f>IFERROR(IF([1]对账明细接口!$D$922=0,"",[1]对账明细接口!$D$922),"")</f>
        <v/>
      </c>
      <c r="E922" s="16" t="str">
        <f>IFERROR(IF([1]对账明细接口!$E$922=0,"",[1]对账明细接口!$E$922),"")</f>
        <v/>
      </c>
      <c r="F922" s="16" t="str">
        <f>IFERROR(IF([1]对账明细接口!$F$922=0,"",[1]对账明细接口!$F$922),"")</f>
        <v/>
      </c>
      <c r="G922" s="16" t="str">
        <f>IFERROR(IF([1]对账明细接口!$G$922=0,"",[1]对账明细接口!$G$922),"")</f>
        <v/>
      </c>
      <c r="H922" s="17" t="str">
        <f>IFERROR(IF([1]对账明细接口!$H$922=0,"",[1]对账明细接口!$H$922),"")</f>
        <v/>
      </c>
      <c r="I922" s="16" t="str">
        <f>IFERROR(IF([1]对账明细接口!$I$922=0,"",[1]对账明细接口!$I$922),"")</f>
        <v/>
      </c>
      <c r="J922" s="18" t="str">
        <f>IFERROR(IF([1]对账明细接口!$J$922=0,"",[1]对账明细接口!$J$922),"")</f>
        <v/>
      </c>
      <c r="K922" s="18" t="str">
        <f>IFERROR(IF([1]对账明细接口!$K$922=0,"",[1]对账明细接口!$K$922),"")</f>
        <v/>
      </c>
      <c r="L922" s="16" t="str">
        <f>IFERROR(IF([1]对账明细接口!$L$922=0,"",[1]对账明细接口!$L$922),"")</f>
        <v/>
      </c>
      <c r="M922" s="16" t="str">
        <f>IFERROR(IF([1]对账明细接口!$M$922=0,"",[1]对账明细接口!$M$922),"")</f>
        <v/>
      </c>
      <c r="N922" s="19">
        <f t="shared" si="28"/>
        <v>0</v>
      </c>
      <c r="O922" s="19">
        <f t="shared" si="29"/>
        <v>420</v>
      </c>
      <c r="S922" s="20" t="str">
        <f>IFERROR(IF([1]对账明细接口!$N922=0,"",[1]对账明细接口!$N922),"")</f>
        <v/>
      </c>
      <c r="T922" s="21" t="str">
        <f>IFERROR(IF([1]对账明细接口!$O922=0,"",[1]对账明细接口!$O922),"")</f>
        <v/>
      </c>
      <c r="U922" s="21" t="str">
        <f>IFERROR(IF([1]对账明细接口!$P922=0,"",[1]对账明细接口!$P922),"")</f>
        <v/>
      </c>
      <c r="V922" s="21" t="str">
        <f>IFERROR(IF([1]对账明细接口!$Q922=0,"",[1]对账明细接口!$Q922),"")</f>
        <v/>
      </c>
      <c r="W922" s="20" t="str">
        <f>IFERROR(IF([1]对账明细接口!$R922=0,"",[1]对账明细接口!$R922),"")</f>
        <v/>
      </c>
      <c r="X922" s="20" t="str">
        <f>IFERROR(IF([1]对账明细接口!$S922=0,"",[1]对账明细接口!$S922),"")</f>
        <v/>
      </c>
      <c r="Y922" s="20" t="str">
        <f>IFERROR(IF([1]对账明细接口!$T922=0,"",[1]对账明细接口!$T922),"")</f>
        <v/>
      </c>
      <c r="Z922" s="24" t="str">
        <f>IFERROR(IF([1]对账明细接口!$U922=0,"",[1]对账明细接口!$U922),"")</f>
        <v/>
      </c>
      <c r="AA922" s="24" t="str">
        <f>IFERROR(IF([1]对账明细接口!$V922=0,"",[1]对账明细接口!$V922),"")</f>
        <v/>
      </c>
      <c r="AB922" s="20" t="str">
        <f>IFERROR(IF([1]对账明细接口!$W922=0,"",[1]对账明细接口!$W922),"")</f>
        <v/>
      </c>
      <c r="AC922" s="7" t="str">
        <f>IFERROR(IF([1]对账明细接口!$X922=0,"",[1]对账明细接口!$X922),"")</f>
        <v/>
      </c>
      <c r="AD922" s="7" t="str">
        <f>IFERROR(IF([1]对账明细接口!$Y922=0,"",[1]对账明细接口!$Y922),"")</f>
        <v/>
      </c>
      <c r="AE922" s="7" t="str">
        <f>IFERROR(IF([1]对账明细接口!$AA922=0,"",[1]对账明细接口!$AA922),"")</f>
        <v/>
      </c>
      <c r="AF922" s="7" t="str">
        <f>IFERROR(IF([1]对账明细接口!$AB922=0,"",[1]对账明细接口!$AB922),"")</f>
        <v/>
      </c>
      <c r="AG922" s="7" t="str">
        <f>IFERROR(IF([1]对账明细接口!$AC922=0,"",[1]对账明细接口!$AC922),"")</f>
        <v/>
      </c>
      <c r="AH922" s="7" t="str">
        <f>IFERROR(IF([1]对账明细接口!$AD922=0,"",[1]对账明细接口!$AD922),"")</f>
        <v/>
      </c>
      <c r="AI922" s="7" t="str">
        <f>IFERROR(IF([1]对账明细接口!$AE922=0,"",[1]对账明细接口!$AE922),"")</f>
        <v/>
      </c>
      <c r="AJ922" s="7" t="str">
        <f>IFERROR(IF([1]对账明细接口!$AF922=0,"",[1]对账明细接口!$AF922),"")</f>
        <v/>
      </c>
    </row>
    <row r="923" ht="14.25" customHeight="1" spans="1:36">
      <c r="A923" s="14">
        <v>923</v>
      </c>
      <c r="B923" s="15" t="str">
        <f>IFERROR(IF([1]对账明细接口!$B$923=0,"",[1]对账明细接口!$B$923),"")</f>
        <v/>
      </c>
      <c r="C923" s="16" t="str">
        <f>IFERROR(IF([1]对账明细接口!$C$923=0,"",[1]对账明细接口!$C$923),"")</f>
        <v/>
      </c>
      <c r="D923" s="16" t="str">
        <f>IFERROR(IF([1]对账明细接口!$D$923=0,"",[1]对账明细接口!$D$923),"")</f>
        <v/>
      </c>
      <c r="E923" s="16" t="str">
        <f>IFERROR(IF([1]对账明细接口!$E$923=0,"",[1]对账明细接口!$E$923),"")</f>
        <v/>
      </c>
      <c r="F923" s="16" t="str">
        <f>IFERROR(IF([1]对账明细接口!$F$923=0,"",[1]对账明细接口!$F$923),"")</f>
        <v/>
      </c>
      <c r="G923" s="16" t="str">
        <f>IFERROR(IF([1]对账明细接口!$G$923=0,"",[1]对账明细接口!$G$923),"")</f>
        <v/>
      </c>
      <c r="H923" s="17" t="str">
        <f>IFERROR(IF([1]对账明细接口!$H$923=0,"",[1]对账明细接口!$H$923),"")</f>
        <v/>
      </c>
      <c r="I923" s="16" t="str">
        <f>IFERROR(IF([1]对账明细接口!$I$923=0,"",[1]对账明细接口!$I$923),"")</f>
        <v/>
      </c>
      <c r="J923" s="18" t="str">
        <f>IFERROR(IF([1]对账明细接口!$J$923=0,"",[1]对账明细接口!$J$923),"")</f>
        <v/>
      </c>
      <c r="K923" s="18" t="str">
        <f>IFERROR(IF([1]对账明细接口!$K$923=0,"",[1]对账明细接口!$K$923),"")</f>
        <v/>
      </c>
      <c r="L923" s="16" t="str">
        <f>IFERROR(IF([1]对账明细接口!$L$923=0,"",[1]对账明细接口!$L$923),"")</f>
        <v/>
      </c>
      <c r="M923" s="16" t="str">
        <f>IFERROR(IF([1]对账明细接口!$M$923=0,"",[1]对账明细接口!$M$923),"")</f>
        <v/>
      </c>
      <c r="N923" s="19">
        <f t="shared" si="28"/>
        <v>0</v>
      </c>
      <c r="O923" s="19">
        <f t="shared" si="29"/>
        <v>420</v>
      </c>
      <c r="S923" s="20" t="str">
        <f>IFERROR(IF([1]对账明细接口!$N923=0,"",[1]对账明细接口!$N923),"")</f>
        <v/>
      </c>
      <c r="T923" s="21" t="str">
        <f>IFERROR(IF([1]对账明细接口!$O923=0,"",[1]对账明细接口!$O923),"")</f>
        <v/>
      </c>
      <c r="U923" s="21" t="str">
        <f>IFERROR(IF([1]对账明细接口!$P923=0,"",[1]对账明细接口!$P923),"")</f>
        <v/>
      </c>
      <c r="V923" s="21" t="str">
        <f>IFERROR(IF([1]对账明细接口!$Q923=0,"",[1]对账明细接口!$Q923),"")</f>
        <v/>
      </c>
      <c r="W923" s="20" t="str">
        <f>IFERROR(IF([1]对账明细接口!$R923=0,"",[1]对账明细接口!$R923),"")</f>
        <v/>
      </c>
      <c r="X923" s="20" t="str">
        <f>IFERROR(IF([1]对账明细接口!$S923=0,"",[1]对账明细接口!$S923),"")</f>
        <v/>
      </c>
      <c r="Y923" s="20" t="str">
        <f>IFERROR(IF([1]对账明细接口!$T923=0,"",[1]对账明细接口!$T923),"")</f>
        <v/>
      </c>
      <c r="Z923" s="24" t="str">
        <f>IFERROR(IF([1]对账明细接口!$U923=0,"",[1]对账明细接口!$U923),"")</f>
        <v/>
      </c>
      <c r="AA923" s="24" t="str">
        <f>IFERROR(IF([1]对账明细接口!$V923=0,"",[1]对账明细接口!$V923),"")</f>
        <v/>
      </c>
      <c r="AB923" s="20" t="str">
        <f>IFERROR(IF([1]对账明细接口!$W923=0,"",[1]对账明细接口!$W923),"")</f>
        <v/>
      </c>
      <c r="AC923" s="7" t="str">
        <f>IFERROR(IF([1]对账明细接口!$X923=0,"",[1]对账明细接口!$X923),"")</f>
        <v/>
      </c>
      <c r="AD923" s="7" t="str">
        <f>IFERROR(IF([1]对账明细接口!$Y923=0,"",[1]对账明细接口!$Y923),"")</f>
        <v/>
      </c>
      <c r="AE923" s="7" t="str">
        <f>IFERROR(IF([1]对账明细接口!$AA923=0,"",[1]对账明细接口!$AA923),"")</f>
        <v/>
      </c>
      <c r="AF923" s="7" t="str">
        <f>IFERROR(IF([1]对账明细接口!$AB923=0,"",[1]对账明细接口!$AB923),"")</f>
        <v/>
      </c>
      <c r="AG923" s="7" t="str">
        <f>IFERROR(IF([1]对账明细接口!$AC923=0,"",[1]对账明细接口!$AC923),"")</f>
        <v/>
      </c>
      <c r="AH923" s="7" t="str">
        <f>IFERROR(IF([1]对账明细接口!$AD923=0,"",[1]对账明细接口!$AD923),"")</f>
        <v/>
      </c>
      <c r="AI923" s="7" t="str">
        <f>IFERROR(IF([1]对账明细接口!$AE923=0,"",[1]对账明细接口!$AE923),"")</f>
        <v/>
      </c>
      <c r="AJ923" s="7" t="str">
        <f>IFERROR(IF([1]对账明细接口!$AF923=0,"",[1]对账明细接口!$AF923),"")</f>
        <v/>
      </c>
    </row>
    <row r="924" ht="14.25" customHeight="1" spans="1:36">
      <c r="A924" s="14">
        <v>924</v>
      </c>
      <c r="B924" s="15" t="str">
        <f>IFERROR(IF([1]对账明细接口!$B$924=0,"",[1]对账明细接口!$B$924),"")</f>
        <v/>
      </c>
      <c r="C924" s="16" t="str">
        <f>IFERROR(IF([1]对账明细接口!$C$924=0,"",[1]对账明细接口!$C$924),"")</f>
        <v/>
      </c>
      <c r="D924" s="16" t="str">
        <f>IFERROR(IF([1]对账明细接口!$D$924=0,"",[1]对账明细接口!$D$924),"")</f>
        <v/>
      </c>
      <c r="E924" s="16" t="str">
        <f>IFERROR(IF([1]对账明细接口!$E$924=0,"",[1]对账明细接口!$E$924),"")</f>
        <v/>
      </c>
      <c r="F924" s="16" t="str">
        <f>IFERROR(IF([1]对账明细接口!$F$924=0,"",[1]对账明细接口!$F$924),"")</f>
        <v/>
      </c>
      <c r="G924" s="16" t="str">
        <f>IFERROR(IF([1]对账明细接口!$G$924=0,"",[1]对账明细接口!$G$924),"")</f>
        <v/>
      </c>
      <c r="H924" s="17" t="str">
        <f>IFERROR(IF([1]对账明细接口!$H$924=0,"",[1]对账明细接口!$H$924),"")</f>
        <v/>
      </c>
      <c r="I924" s="16" t="str">
        <f>IFERROR(IF([1]对账明细接口!$I$924=0,"",[1]对账明细接口!$I$924),"")</f>
        <v/>
      </c>
      <c r="J924" s="18" t="str">
        <f>IFERROR(IF([1]对账明细接口!$J$924=0,"",[1]对账明细接口!$J$924),"")</f>
        <v/>
      </c>
      <c r="K924" s="18" t="str">
        <f>IFERROR(IF([1]对账明细接口!$K$924=0,"",[1]对账明细接口!$K$924),"")</f>
        <v/>
      </c>
      <c r="L924" s="16" t="str">
        <f>IFERROR(IF([1]对账明细接口!$L$924=0,"",[1]对账明细接口!$L$924),"")</f>
        <v/>
      </c>
      <c r="M924" s="16" t="str">
        <f>IFERROR(IF([1]对账明细接口!$M$924=0,"",[1]对账明细接口!$M$924),"")</f>
        <v/>
      </c>
      <c r="N924" s="19">
        <f t="shared" si="28"/>
        <v>0</v>
      </c>
      <c r="O924" s="19">
        <f t="shared" si="29"/>
        <v>420</v>
      </c>
      <c r="S924" s="20" t="str">
        <f>IFERROR(IF([1]对账明细接口!$N924=0,"",[1]对账明细接口!$N924),"")</f>
        <v/>
      </c>
      <c r="T924" s="21" t="str">
        <f>IFERROR(IF([1]对账明细接口!$O924=0,"",[1]对账明细接口!$O924),"")</f>
        <v/>
      </c>
      <c r="U924" s="21" t="str">
        <f>IFERROR(IF([1]对账明细接口!$P924=0,"",[1]对账明细接口!$P924),"")</f>
        <v/>
      </c>
      <c r="V924" s="21" t="str">
        <f>IFERROR(IF([1]对账明细接口!$Q924=0,"",[1]对账明细接口!$Q924),"")</f>
        <v/>
      </c>
      <c r="W924" s="20" t="str">
        <f>IFERROR(IF([1]对账明细接口!$R924=0,"",[1]对账明细接口!$R924),"")</f>
        <v/>
      </c>
      <c r="X924" s="20" t="str">
        <f>IFERROR(IF([1]对账明细接口!$S924=0,"",[1]对账明细接口!$S924),"")</f>
        <v/>
      </c>
      <c r="Y924" s="20" t="str">
        <f>IFERROR(IF([1]对账明细接口!$T924=0,"",[1]对账明细接口!$T924),"")</f>
        <v/>
      </c>
      <c r="Z924" s="24" t="str">
        <f>IFERROR(IF([1]对账明细接口!$U924=0,"",[1]对账明细接口!$U924),"")</f>
        <v/>
      </c>
      <c r="AA924" s="24" t="str">
        <f>IFERROR(IF([1]对账明细接口!$V924=0,"",[1]对账明细接口!$V924),"")</f>
        <v/>
      </c>
      <c r="AB924" s="20" t="str">
        <f>IFERROR(IF([1]对账明细接口!$W924=0,"",[1]对账明细接口!$W924),"")</f>
        <v/>
      </c>
      <c r="AC924" s="7" t="str">
        <f>IFERROR(IF([1]对账明细接口!$X924=0,"",[1]对账明细接口!$X924),"")</f>
        <v/>
      </c>
      <c r="AD924" s="7" t="str">
        <f>IFERROR(IF([1]对账明细接口!$Y924=0,"",[1]对账明细接口!$Y924),"")</f>
        <v/>
      </c>
      <c r="AE924" s="7" t="str">
        <f>IFERROR(IF([1]对账明细接口!$AA924=0,"",[1]对账明细接口!$AA924),"")</f>
        <v/>
      </c>
      <c r="AF924" s="7" t="str">
        <f>IFERROR(IF([1]对账明细接口!$AB924=0,"",[1]对账明细接口!$AB924),"")</f>
        <v/>
      </c>
      <c r="AG924" s="7" t="str">
        <f>IFERROR(IF([1]对账明细接口!$AC924=0,"",[1]对账明细接口!$AC924),"")</f>
        <v/>
      </c>
      <c r="AH924" s="7" t="str">
        <f>IFERROR(IF([1]对账明细接口!$AD924=0,"",[1]对账明细接口!$AD924),"")</f>
        <v/>
      </c>
      <c r="AI924" s="7" t="str">
        <f>IFERROR(IF([1]对账明细接口!$AE924=0,"",[1]对账明细接口!$AE924),"")</f>
        <v/>
      </c>
      <c r="AJ924" s="7" t="str">
        <f>IFERROR(IF([1]对账明细接口!$AF924=0,"",[1]对账明细接口!$AF924),"")</f>
        <v/>
      </c>
    </row>
    <row r="925" ht="14.25" customHeight="1" spans="1:36">
      <c r="A925" s="14">
        <v>925</v>
      </c>
      <c r="B925" s="15" t="str">
        <f>IFERROR(IF([1]对账明细接口!$B$925=0,"",[1]对账明细接口!$B$925),"")</f>
        <v/>
      </c>
      <c r="C925" s="16" t="str">
        <f>IFERROR(IF([1]对账明细接口!$C$925=0,"",[1]对账明细接口!$C$925),"")</f>
        <v/>
      </c>
      <c r="D925" s="16" t="str">
        <f>IFERROR(IF([1]对账明细接口!$D$925=0,"",[1]对账明细接口!$D$925),"")</f>
        <v/>
      </c>
      <c r="E925" s="16" t="str">
        <f>IFERROR(IF([1]对账明细接口!$E$925=0,"",[1]对账明细接口!$E$925),"")</f>
        <v/>
      </c>
      <c r="F925" s="16" t="str">
        <f>IFERROR(IF([1]对账明细接口!$F$925=0,"",[1]对账明细接口!$F$925),"")</f>
        <v/>
      </c>
      <c r="G925" s="16" t="str">
        <f>IFERROR(IF([1]对账明细接口!$G$925=0,"",[1]对账明细接口!$G$925),"")</f>
        <v/>
      </c>
      <c r="H925" s="17" t="str">
        <f>IFERROR(IF([1]对账明细接口!$H$925=0,"",[1]对账明细接口!$H$925),"")</f>
        <v/>
      </c>
      <c r="I925" s="16" t="str">
        <f>IFERROR(IF([1]对账明细接口!$I$925=0,"",[1]对账明细接口!$I$925),"")</f>
        <v/>
      </c>
      <c r="J925" s="18" t="str">
        <f>IFERROR(IF([1]对账明细接口!$J$925=0,"",[1]对账明细接口!$J$925),"")</f>
        <v/>
      </c>
      <c r="K925" s="18" t="str">
        <f>IFERROR(IF([1]对账明细接口!$K$925=0,"",[1]对账明细接口!$K$925),"")</f>
        <v/>
      </c>
      <c r="L925" s="16" t="str">
        <f>IFERROR(IF([1]对账明细接口!$L$925=0,"",[1]对账明细接口!$L$925),"")</f>
        <v/>
      </c>
      <c r="M925" s="16" t="str">
        <f>IFERROR(IF([1]对账明细接口!$M$925=0,"",[1]对账明细接口!$M$925),"")</f>
        <v/>
      </c>
      <c r="N925" s="19">
        <f t="shared" si="28"/>
        <v>0</v>
      </c>
      <c r="O925" s="19">
        <f t="shared" si="29"/>
        <v>420</v>
      </c>
      <c r="S925" s="20" t="str">
        <f>IFERROR(IF([1]对账明细接口!$N925=0,"",[1]对账明细接口!$N925),"")</f>
        <v/>
      </c>
      <c r="T925" s="21" t="str">
        <f>IFERROR(IF([1]对账明细接口!$O925=0,"",[1]对账明细接口!$O925),"")</f>
        <v/>
      </c>
      <c r="U925" s="21" t="str">
        <f>IFERROR(IF([1]对账明细接口!$P925=0,"",[1]对账明细接口!$P925),"")</f>
        <v/>
      </c>
      <c r="V925" s="21" t="str">
        <f>IFERROR(IF([1]对账明细接口!$Q925=0,"",[1]对账明细接口!$Q925),"")</f>
        <v/>
      </c>
      <c r="W925" s="20" t="str">
        <f>IFERROR(IF([1]对账明细接口!$R925=0,"",[1]对账明细接口!$R925),"")</f>
        <v/>
      </c>
      <c r="X925" s="20" t="str">
        <f>IFERROR(IF([1]对账明细接口!$S925=0,"",[1]对账明细接口!$S925),"")</f>
        <v/>
      </c>
      <c r="Y925" s="20" t="str">
        <f>IFERROR(IF([1]对账明细接口!$T925=0,"",[1]对账明细接口!$T925),"")</f>
        <v/>
      </c>
      <c r="Z925" s="24" t="str">
        <f>IFERROR(IF([1]对账明细接口!$U925=0,"",[1]对账明细接口!$U925),"")</f>
        <v/>
      </c>
      <c r="AA925" s="24" t="str">
        <f>IFERROR(IF([1]对账明细接口!$V925=0,"",[1]对账明细接口!$V925),"")</f>
        <v/>
      </c>
      <c r="AB925" s="20" t="str">
        <f>IFERROR(IF([1]对账明细接口!$W925=0,"",[1]对账明细接口!$W925),"")</f>
        <v/>
      </c>
      <c r="AC925" s="7" t="str">
        <f>IFERROR(IF([1]对账明细接口!$X925=0,"",[1]对账明细接口!$X925),"")</f>
        <v/>
      </c>
      <c r="AD925" s="7" t="str">
        <f>IFERROR(IF([1]对账明细接口!$Y925=0,"",[1]对账明细接口!$Y925),"")</f>
        <v/>
      </c>
      <c r="AE925" s="7" t="str">
        <f>IFERROR(IF([1]对账明细接口!$AA925=0,"",[1]对账明细接口!$AA925),"")</f>
        <v/>
      </c>
      <c r="AF925" s="7" t="str">
        <f>IFERROR(IF([1]对账明细接口!$AB925=0,"",[1]对账明细接口!$AB925),"")</f>
        <v/>
      </c>
      <c r="AG925" s="7" t="str">
        <f>IFERROR(IF([1]对账明细接口!$AC925=0,"",[1]对账明细接口!$AC925),"")</f>
        <v/>
      </c>
      <c r="AH925" s="7" t="str">
        <f>IFERROR(IF([1]对账明细接口!$AD925=0,"",[1]对账明细接口!$AD925),"")</f>
        <v/>
      </c>
      <c r="AI925" s="7" t="str">
        <f>IFERROR(IF([1]对账明细接口!$AE925=0,"",[1]对账明细接口!$AE925),"")</f>
        <v/>
      </c>
      <c r="AJ925" s="7" t="str">
        <f>IFERROR(IF([1]对账明细接口!$AF925=0,"",[1]对账明细接口!$AF925),"")</f>
        <v/>
      </c>
    </row>
    <row r="926" ht="14.25" customHeight="1" spans="1:36">
      <c r="A926" s="14">
        <v>926</v>
      </c>
      <c r="B926" s="15" t="str">
        <f>IFERROR(IF([1]对账明细接口!$B$926=0,"",[1]对账明细接口!$B$926),"")</f>
        <v/>
      </c>
      <c r="C926" s="16" t="str">
        <f>IFERROR(IF([1]对账明细接口!$C$926=0,"",[1]对账明细接口!$C$926),"")</f>
        <v/>
      </c>
      <c r="D926" s="16" t="str">
        <f>IFERROR(IF([1]对账明细接口!$D$926=0,"",[1]对账明细接口!$D$926),"")</f>
        <v/>
      </c>
      <c r="E926" s="16" t="str">
        <f>IFERROR(IF([1]对账明细接口!$E$926=0,"",[1]对账明细接口!$E$926),"")</f>
        <v/>
      </c>
      <c r="F926" s="16" t="str">
        <f>IFERROR(IF([1]对账明细接口!$F$926=0,"",[1]对账明细接口!$F$926),"")</f>
        <v/>
      </c>
      <c r="G926" s="16" t="str">
        <f>IFERROR(IF([1]对账明细接口!$G$926=0,"",[1]对账明细接口!$G$926),"")</f>
        <v/>
      </c>
      <c r="H926" s="17" t="str">
        <f>IFERROR(IF([1]对账明细接口!$H$926=0,"",[1]对账明细接口!$H$926),"")</f>
        <v/>
      </c>
      <c r="I926" s="16" t="str">
        <f>IFERROR(IF([1]对账明细接口!$I$926=0,"",[1]对账明细接口!$I$926),"")</f>
        <v/>
      </c>
      <c r="J926" s="18" t="str">
        <f>IFERROR(IF([1]对账明细接口!$J$926=0,"",[1]对账明细接口!$J$926),"")</f>
        <v/>
      </c>
      <c r="K926" s="18" t="str">
        <f>IFERROR(IF([1]对账明细接口!$K$926=0,"",[1]对账明细接口!$K$926),"")</f>
        <v/>
      </c>
      <c r="L926" s="16" t="str">
        <f>IFERROR(IF([1]对账明细接口!$L$926=0,"",[1]对账明细接口!$L$926),"")</f>
        <v/>
      </c>
      <c r="M926" s="16" t="str">
        <f>IFERROR(IF([1]对账明细接口!$M$926=0,"",[1]对账明细接口!$M$926),"")</f>
        <v/>
      </c>
      <c r="N926" s="19">
        <f t="shared" si="28"/>
        <v>0</v>
      </c>
      <c r="O926" s="19">
        <f t="shared" si="29"/>
        <v>420</v>
      </c>
      <c r="S926" s="20" t="str">
        <f>IFERROR(IF([1]对账明细接口!$N926=0,"",[1]对账明细接口!$N926),"")</f>
        <v/>
      </c>
      <c r="T926" s="21" t="str">
        <f>IFERROR(IF([1]对账明细接口!$O926=0,"",[1]对账明细接口!$O926),"")</f>
        <v/>
      </c>
      <c r="U926" s="21" t="str">
        <f>IFERROR(IF([1]对账明细接口!$P926=0,"",[1]对账明细接口!$P926),"")</f>
        <v/>
      </c>
      <c r="V926" s="21" t="str">
        <f>IFERROR(IF([1]对账明细接口!$Q926=0,"",[1]对账明细接口!$Q926),"")</f>
        <v/>
      </c>
      <c r="W926" s="20" t="str">
        <f>IFERROR(IF([1]对账明细接口!$R926=0,"",[1]对账明细接口!$R926),"")</f>
        <v/>
      </c>
      <c r="X926" s="20" t="str">
        <f>IFERROR(IF([1]对账明细接口!$S926=0,"",[1]对账明细接口!$S926),"")</f>
        <v/>
      </c>
      <c r="Y926" s="20" t="str">
        <f>IFERROR(IF([1]对账明细接口!$T926=0,"",[1]对账明细接口!$T926),"")</f>
        <v/>
      </c>
      <c r="Z926" s="24" t="str">
        <f>IFERROR(IF([1]对账明细接口!$U926=0,"",[1]对账明细接口!$U926),"")</f>
        <v/>
      </c>
      <c r="AA926" s="24" t="str">
        <f>IFERROR(IF([1]对账明细接口!$V926=0,"",[1]对账明细接口!$V926),"")</f>
        <v/>
      </c>
      <c r="AB926" s="20" t="str">
        <f>IFERROR(IF([1]对账明细接口!$W926=0,"",[1]对账明细接口!$W926),"")</f>
        <v/>
      </c>
      <c r="AC926" s="7" t="str">
        <f>IFERROR(IF([1]对账明细接口!$X926=0,"",[1]对账明细接口!$X926),"")</f>
        <v/>
      </c>
      <c r="AD926" s="7" t="str">
        <f>IFERROR(IF([1]对账明细接口!$Y926=0,"",[1]对账明细接口!$Y926),"")</f>
        <v/>
      </c>
      <c r="AE926" s="7" t="str">
        <f>IFERROR(IF([1]对账明细接口!$AA926=0,"",[1]对账明细接口!$AA926),"")</f>
        <v/>
      </c>
      <c r="AF926" s="7" t="str">
        <f>IFERROR(IF([1]对账明细接口!$AB926=0,"",[1]对账明细接口!$AB926),"")</f>
        <v/>
      </c>
      <c r="AG926" s="7" t="str">
        <f>IFERROR(IF([1]对账明细接口!$AC926=0,"",[1]对账明细接口!$AC926),"")</f>
        <v/>
      </c>
      <c r="AH926" s="7" t="str">
        <f>IFERROR(IF([1]对账明细接口!$AD926=0,"",[1]对账明细接口!$AD926),"")</f>
        <v/>
      </c>
      <c r="AI926" s="7" t="str">
        <f>IFERROR(IF([1]对账明细接口!$AE926=0,"",[1]对账明细接口!$AE926),"")</f>
        <v/>
      </c>
      <c r="AJ926" s="7" t="str">
        <f>IFERROR(IF([1]对账明细接口!$AF926=0,"",[1]对账明细接口!$AF926),"")</f>
        <v/>
      </c>
    </row>
    <row r="927" ht="14.25" customHeight="1" spans="1:36">
      <c r="A927" s="14">
        <v>927</v>
      </c>
      <c r="B927" s="15" t="str">
        <f>IFERROR(IF([1]对账明细接口!$B$927=0,"",[1]对账明细接口!$B$927),"")</f>
        <v/>
      </c>
      <c r="C927" s="16" t="str">
        <f>IFERROR(IF([1]对账明细接口!$C$927=0,"",[1]对账明细接口!$C$927),"")</f>
        <v/>
      </c>
      <c r="D927" s="16" t="str">
        <f>IFERROR(IF([1]对账明细接口!$D$927=0,"",[1]对账明细接口!$D$927),"")</f>
        <v/>
      </c>
      <c r="E927" s="16" t="str">
        <f>IFERROR(IF([1]对账明细接口!$E$927=0,"",[1]对账明细接口!$E$927),"")</f>
        <v/>
      </c>
      <c r="F927" s="16" t="str">
        <f>IFERROR(IF([1]对账明细接口!$F$927=0,"",[1]对账明细接口!$F$927),"")</f>
        <v/>
      </c>
      <c r="G927" s="16" t="str">
        <f>IFERROR(IF([1]对账明细接口!$G$927=0,"",[1]对账明细接口!$G$927),"")</f>
        <v/>
      </c>
      <c r="H927" s="17" t="str">
        <f>IFERROR(IF([1]对账明细接口!$H$927=0,"",[1]对账明细接口!$H$927),"")</f>
        <v/>
      </c>
      <c r="I927" s="16" t="str">
        <f>IFERROR(IF([1]对账明细接口!$I$927=0,"",[1]对账明细接口!$I$927),"")</f>
        <v/>
      </c>
      <c r="J927" s="18" t="str">
        <f>IFERROR(IF([1]对账明细接口!$J$927=0,"",[1]对账明细接口!$J$927),"")</f>
        <v/>
      </c>
      <c r="K927" s="18" t="str">
        <f>IFERROR(IF([1]对账明细接口!$K$927=0,"",[1]对账明细接口!$K$927),"")</f>
        <v/>
      </c>
      <c r="L927" s="16" t="str">
        <f>IFERROR(IF([1]对账明细接口!$L$927=0,"",[1]对账明细接口!$L$927),"")</f>
        <v/>
      </c>
      <c r="M927" s="16" t="str">
        <f>IFERROR(IF([1]对账明细接口!$M$927=0,"",[1]对账明细接口!$M$927),"")</f>
        <v/>
      </c>
      <c r="N927" s="19">
        <f t="shared" si="28"/>
        <v>0</v>
      </c>
      <c r="O927" s="19">
        <f t="shared" si="29"/>
        <v>420</v>
      </c>
      <c r="S927" s="20" t="str">
        <f>IFERROR(IF([1]对账明细接口!$N927=0,"",[1]对账明细接口!$N927),"")</f>
        <v/>
      </c>
      <c r="T927" s="21" t="str">
        <f>IFERROR(IF([1]对账明细接口!$O927=0,"",[1]对账明细接口!$O927),"")</f>
        <v/>
      </c>
      <c r="U927" s="21" t="str">
        <f>IFERROR(IF([1]对账明细接口!$P927=0,"",[1]对账明细接口!$P927),"")</f>
        <v/>
      </c>
      <c r="V927" s="21" t="str">
        <f>IFERROR(IF([1]对账明细接口!$Q927=0,"",[1]对账明细接口!$Q927),"")</f>
        <v/>
      </c>
      <c r="W927" s="20" t="str">
        <f>IFERROR(IF([1]对账明细接口!$R927=0,"",[1]对账明细接口!$R927),"")</f>
        <v/>
      </c>
      <c r="X927" s="20" t="str">
        <f>IFERROR(IF([1]对账明细接口!$S927=0,"",[1]对账明细接口!$S927),"")</f>
        <v/>
      </c>
      <c r="Y927" s="20" t="str">
        <f>IFERROR(IF([1]对账明细接口!$T927=0,"",[1]对账明细接口!$T927),"")</f>
        <v/>
      </c>
      <c r="Z927" s="24" t="str">
        <f>IFERROR(IF([1]对账明细接口!$U927=0,"",[1]对账明细接口!$U927),"")</f>
        <v/>
      </c>
      <c r="AA927" s="24" t="str">
        <f>IFERROR(IF([1]对账明细接口!$V927=0,"",[1]对账明细接口!$V927),"")</f>
        <v/>
      </c>
      <c r="AB927" s="20" t="str">
        <f>IFERROR(IF([1]对账明细接口!$W927=0,"",[1]对账明细接口!$W927),"")</f>
        <v/>
      </c>
      <c r="AC927" s="7" t="str">
        <f>IFERROR(IF([1]对账明细接口!$X927=0,"",[1]对账明细接口!$X927),"")</f>
        <v/>
      </c>
      <c r="AD927" s="7" t="str">
        <f>IFERROR(IF([1]对账明细接口!$Y927=0,"",[1]对账明细接口!$Y927),"")</f>
        <v/>
      </c>
      <c r="AE927" s="7" t="str">
        <f>IFERROR(IF([1]对账明细接口!$AA927=0,"",[1]对账明细接口!$AA927),"")</f>
        <v/>
      </c>
      <c r="AF927" s="7" t="str">
        <f>IFERROR(IF([1]对账明细接口!$AB927=0,"",[1]对账明细接口!$AB927),"")</f>
        <v/>
      </c>
      <c r="AG927" s="7" t="str">
        <f>IFERROR(IF([1]对账明细接口!$AC927=0,"",[1]对账明细接口!$AC927),"")</f>
        <v/>
      </c>
      <c r="AH927" s="7" t="str">
        <f>IFERROR(IF([1]对账明细接口!$AD927=0,"",[1]对账明细接口!$AD927),"")</f>
        <v/>
      </c>
      <c r="AI927" s="7" t="str">
        <f>IFERROR(IF([1]对账明细接口!$AE927=0,"",[1]对账明细接口!$AE927),"")</f>
        <v/>
      </c>
      <c r="AJ927" s="7" t="str">
        <f>IFERROR(IF([1]对账明细接口!$AF927=0,"",[1]对账明细接口!$AF927),"")</f>
        <v/>
      </c>
    </row>
    <row r="928" ht="14.25" customHeight="1" spans="1:36">
      <c r="A928" s="14">
        <v>928</v>
      </c>
      <c r="B928" s="15" t="str">
        <f>IFERROR(IF([1]对账明细接口!$B$928=0,"",[1]对账明细接口!$B$928),"")</f>
        <v/>
      </c>
      <c r="C928" s="16" t="str">
        <f>IFERROR(IF([1]对账明细接口!$C$928=0,"",[1]对账明细接口!$C$928),"")</f>
        <v/>
      </c>
      <c r="D928" s="16" t="str">
        <f>IFERROR(IF([1]对账明细接口!$D$928=0,"",[1]对账明细接口!$D$928),"")</f>
        <v/>
      </c>
      <c r="E928" s="16" t="str">
        <f>IFERROR(IF([1]对账明细接口!$E$928=0,"",[1]对账明细接口!$E$928),"")</f>
        <v/>
      </c>
      <c r="F928" s="16" t="str">
        <f>IFERROR(IF([1]对账明细接口!$F$928=0,"",[1]对账明细接口!$F$928),"")</f>
        <v/>
      </c>
      <c r="G928" s="16" t="str">
        <f>IFERROR(IF([1]对账明细接口!$G$928=0,"",[1]对账明细接口!$G$928),"")</f>
        <v/>
      </c>
      <c r="H928" s="17" t="str">
        <f>IFERROR(IF([1]对账明细接口!$H$928=0,"",[1]对账明细接口!$H$928),"")</f>
        <v/>
      </c>
      <c r="I928" s="16" t="str">
        <f>IFERROR(IF([1]对账明细接口!$I$928=0,"",[1]对账明细接口!$I$928),"")</f>
        <v/>
      </c>
      <c r="J928" s="18" t="str">
        <f>IFERROR(IF([1]对账明细接口!$J$928=0,"",[1]对账明细接口!$J$928),"")</f>
        <v/>
      </c>
      <c r="K928" s="18" t="str">
        <f>IFERROR(IF([1]对账明细接口!$K$928=0,"",[1]对账明细接口!$K$928),"")</f>
        <v/>
      </c>
      <c r="L928" s="16" t="str">
        <f>IFERROR(IF([1]对账明细接口!$L$928=0,"",[1]对账明细接口!$L$928),"")</f>
        <v/>
      </c>
      <c r="M928" s="16" t="str">
        <f>IFERROR(IF([1]对账明细接口!$M$928=0,"",[1]对账明细接口!$M$928),"")</f>
        <v/>
      </c>
      <c r="N928" s="19">
        <f t="shared" si="28"/>
        <v>0</v>
      </c>
      <c r="O928" s="19">
        <f t="shared" si="29"/>
        <v>420</v>
      </c>
      <c r="S928" s="20" t="str">
        <f>IFERROR(IF([1]对账明细接口!$N928=0,"",[1]对账明细接口!$N928),"")</f>
        <v/>
      </c>
      <c r="T928" s="21" t="str">
        <f>IFERROR(IF([1]对账明细接口!$O928=0,"",[1]对账明细接口!$O928),"")</f>
        <v/>
      </c>
      <c r="U928" s="21" t="str">
        <f>IFERROR(IF([1]对账明细接口!$P928=0,"",[1]对账明细接口!$P928),"")</f>
        <v/>
      </c>
      <c r="V928" s="21" t="str">
        <f>IFERROR(IF([1]对账明细接口!$Q928=0,"",[1]对账明细接口!$Q928),"")</f>
        <v/>
      </c>
      <c r="W928" s="20" t="str">
        <f>IFERROR(IF([1]对账明细接口!$R928=0,"",[1]对账明细接口!$R928),"")</f>
        <v/>
      </c>
      <c r="X928" s="20" t="str">
        <f>IFERROR(IF([1]对账明细接口!$S928=0,"",[1]对账明细接口!$S928),"")</f>
        <v/>
      </c>
      <c r="Y928" s="20" t="str">
        <f>IFERROR(IF([1]对账明细接口!$T928=0,"",[1]对账明细接口!$T928),"")</f>
        <v/>
      </c>
      <c r="Z928" s="24" t="str">
        <f>IFERROR(IF([1]对账明细接口!$U928=0,"",[1]对账明细接口!$U928),"")</f>
        <v/>
      </c>
      <c r="AA928" s="24" t="str">
        <f>IFERROR(IF([1]对账明细接口!$V928=0,"",[1]对账明细接口!$V928),"")</f>
        <v/>
      </c>
      <c r="AB928" s="20" t="str">
        <f>IFERROR(IF([1]对账明细接口!$W928=0,"",[1]对账明细接口!$W928),"")</f>
        <v/>
      </c>
      <c r="AC928" s="7" t="str">
        <f>IFERROR(IF([1]对账明细接口!$X928=0,"",[1]对账明细接口!$X928),"")</f>
        <v/>
      </c>
      <c r="AD928" s="7" t="str">
        <f>IFERROR(IF([1]对账明细接口!$Y928=0,"",[1]对账明细接口!$Y928),"")</f>
        <v/>
      </c>
      <c r="AE928" s="7" t="str">
        <f>IFERROR(IF([1]对账明细接口!$AA928=0,"",[1]对账明细接口!$AA928),"")</f>
        <v/>
      </c>
      <c r="AF928" s="7" t="str">
        <f>IFERROR(IF([1]对账明细接口!$AB928=0,"",[1]对账明细接口!$AB928),"")</f>
        <v/>
      </c>
      <c r="AG928" s="7" t="str">
        <f>IFERROR(IF([1]对账明细接口!$AC928=0,"",[1]对账明细接口!$AC928),"")</f>
        <v/>
      </c>
      <c r="AH928" s="7" t="str">
        <f>IFERROR(IF([1]对账明细接口!$AD928=0,"",[1]对账明细接口!$AD928),"")</f>
        <v/>
      </c>
      <c r="AI928" s="7" t="str">
        <f>IFERROR(IF([1]对账明细接口!$AE928=0,"",[1]对账明细接口!$AE928),"")</f>
        <v/>
      </c>
      <c r="AJ928" s="7" t="str">
        <f>IFERROR(IF([1]对账明细接口!$AF928=0,"",[1]对账明细接口!$AF928),"")</f>
        <v/>
      </c>
    </row>
    <row r="929" ht="14.25" customHeight="1" spans="1:36">
      <c r="A929" s="14">
        <v>929</v>
      </c>
      <c r="B929" s="15" t="str">
        <f>IFERROR(IF([1]对账明细接口!$B$929=0,"",[1]对账明细接口!$B$929),"")</f>
        <v/>
      </c>
      <c r="C929" s="16" t="str">
        <f>IFERROR(IF([1]对账明细接口!$C$929=0,"",[1]对账明细接口!$C$929),"")</f>
        <v/>
      </c>
      <c r="D929" s="16" t="str">
        <f>IFERROR(IF([1]对账明细接口!$D$929=0,"",[1]对账明细接口!$D$929),"")</f>
        <v/>
      </c>
      <c r="E929" s="16" t="str">
        <f>IFERROR(IF([1]对账明细接口!$E$929=0,"",[1]对账明细接口!$E$929),"")</f>
        <v/>
      </c>
      <c r="F929" s="16" t="str">
        <f>IFERROR(IF([1]对账明细接口!$F$929=0,"",[1]对账明细接口!$F$929),"")</f>
        <v/>
      </c>
      <c r="G929" s="16" t="str">
        <f>IFERROR(IF([1]对账明细接口!$G$929=0,"",[1]对账明细接口!$G$929),"")</f>
        <v/>
      </c>
      <c r="H929" s="17" t="str">
        <f>IFERROR(IF([1]对账明细接口!$H$929=0,"",[1]对账明细接口!$H$929),"")</f>
        <v/>
      </c>
      <c r="I929" s="16" t="str">
        <f>IFERROR(IF([1]对账明细接口!$I$929=0,"",[1]对账明细接口!$I$929),"")</f>
        <v/>
      </c>
      <c r="J929" s="18" t="str">
        <f>IFERROR(IF([1]对账明细接口!$J$929=0,"",[1]对账明细接口!$J$929),"")</f>
        <v/>
      </c>
      <c r="K929" s="18" t="str">
        <f>IFERROR(IF([1]对账明细接口!$K$929=0,"",[1]对账明细接口!$K$929),"")</f>
        <v/>
      </c>
      <c r="L929" s="16" t="str">
        <f>IFERROR(IF([1]对账明细接口!$L$929=0,"",[1]对账明细接口!$L$929),"")</f>
        <v/>
      </c>
      <c r="M929" s="16" t="str">
        <f>IFERROR(IF([1]对账明细接口!$M$929=0,"",[1]对账明细接口!$M$929),"")</f>
        <v/>
      </c>
      <c r="N929" s="19">
        <f t="shared" si="28"/>
        <v>0</v>
      </c>
      <c r="O929" s="19">
        <f t="shared" si="29"/>
        <v>420</v>
      </c>
      <c r="S929" s="20" t="str">
        <f>IFERROR(IF([1]对账明细接口!$N929=0,"",[1]对账明细接口!$N929),"")</f>
        <v/>
      </c>
      <c r="T929" s="21" t="str">
        <f>IFERROR(IF([1]对账明细接口!$O929=0,"",[1]对账明细接口!$O929),"")</f>
        <v/>
      </c>
      <c r="U929" s="21" t="str">
        <f>IFERROR(IF([1]对账明细接口!$P929=0,"",[1]对账明细接口!$P929),"")</f>
        <v/>
      </c>
      <c r="V929" s="21" t="str">
        <f>IFERROR(IF([1]对账明细接口!$Q929=0,"",[1]对账明细接口!$Q929),"")</f>
        <v/>
      </c>
      <c r="W929" s="20" t="str">
        <f>IFERROR(IF([1]对账明细接口!$R929=0,"",[1]对账明细接口!$R929),"")</f>
        <v/>
      </c>
      <c r="X929" s="20" t="str">
        <f>IFERROR(IF([1]对账明细接口!$S929=0,"",[1]对账明细接口!$S929),"")</f>
        <v/>
      </c>
      <c r="Y929" s="20" t="str">
        <f>IFERROR(IF([1]对账明细接口!$T929=0,"",[1]对账明细接口!$T929),"")</f>
        <v/>
      </c>
      <c r="Z929" s="24" t="str">
        <f>IFERROR(IF([1]对账明细接口!$U929=0,"",[1]对账明细接口!$U929),"")</f>
        <v/>
      </c>
      <c r="AA929" s="24" t="str">
        <f>IFERROR(IF([1]对账明细接口!$V929=0,"",[1]对账明细接口!$V929),"")</f>
        <v/>
      </c>
      <c r="AB929" s="20" t="str">
        <f>IFERROR(IF([1]对账明细接口!$W929=0,"",[1]对账明细接口!$W929),"")</f>
        <v/>
      </c>
      <c r="AC929" s="7" t="str">
        <f>IFERROR(IF([1]对账明细接口!$X929=0,"",[1]对账明细接口!$X929),"")</f>
        <v/>
      </c>
      <c r="AD929" s="7" t="str">
        <f>IFERROR(IF([1]对账明细接口!$Y929=0,"",[1]对账明细接口!$Y929),"")</f>
        <v/>
      </c>
      <c r="AE929" s="7" t="str">
        <f>IFERROR(IF([1]对账明细接口!$AA929=0,"",[1]对账明细接口!$AA929),"")</f>
        <v/>
      </c>
      <c r="AF929" s="7" t="str">
        <f>IFERROR(IF([1]对账明细接口!$AB929=0,"",[1]对账明细接口!$AB929),"")</f>
        <v/>
      </c>
      <c r="AG929" s="7" t="str">
        <f>IFERROR(IF([1]对账明细接口!$AC929=0,"",[1]对账明细接口!$AC929),"")</f>
        <v/>
      </c>
      <c r="AH929" s="7" t="str">
        <f>IFERROR(IF([1]对账明细接口!$AD929=0,"",[1]对账明细接口!$AD929),"")</f>
        <v/>
      </c>
      <c r="AI929" s="7" t="str">
        <f>IFERROR(IF([1]对账明细接口!$AE929=0,"",[1]对账明细接口!$AE929),"")</f>
        <v/>
      </c>
      <c r="AJ929" s="7" t="str">
        <f>IFERROR(IF([1]对账明细接口!$AF929=0,"",[1]对账明细接口!$AF929),"")</f>
        <v/>
      </c>
    </row>
    <row r="930" ht="14.25" customHeight="1" spans="1:36">
      <c r="A930" s="14">
        <v>930</v>
      </c>
      <c r="B930" s="15" t="str">
        <f>IFERROR(IF([1]对账明细接口!$B$930=0,"",[1]对账明细接口!$B$930),"")</f>
        <v/>
      </c>
      <c r="C930" s="16" t="str">
        <f>IFERROR(IF([1]对账明细接口!$C$930=0,"",[1]对账明细接口!$C$930),"")</f>
        <v/>
      </c>
      <c r="D930" s="16" t="str">
        <f>IFERROR(IF([1]对账明细接口!$D$930=0,"",[1]对账明细接口!$D$930),"")</f>
        <v/>
      </c>
      <c r="E930" s="16" t="str">
        <f>IFERROR(IF([1]对账明细接口!$E$930=0,"",[1]对账明细接口!$E$930),"")</f>
        <v/>
      </c>
      <c r="F930" s="16" t="str">
        <f>IFERROR(IF([1]对账明细接口!$F$930=0,"",[1]对账明细接口!$F$930),"")</f>
        <v/>
      </c>
      <c r="G930" s="16" t="str">
        <f>IFERROR(IF([1]对账明细接口!$G$930=0,"",[1]对账明细接口!$G$930),"")</f>
        <v/>
      </c>
      <c r="H930" s="17" t="str">
        <f>IFERROR(IF([1]对账明细接口!$H$930=0,"",[1]对账明细接口!$H$930),"")</f>
        <v/>
      </c>
      <c r="I930" s="16" t="str">
        <f>IFERROR(IF([1]对账明细接口!$I$930=0,"",[1]对账明细接口!$I$930),"")</f>
        <v/>
      </c>
      <c r="J930" s="18" t="str">
        <f>IFERROR(IF([1]对账明细接口!$J$930=0,"",[1]对账明细接口!$J$930),"")</f>
        <v/>
      </c>
      <c r="K930" s="18" t="str">
        <f>IFERROR(IF([1]对账明细接口!$K$930=0,"",[1]对账明细接口!$K$930),"")</f>
        <v/>
      </c>
      <c r="L930" s="16" t="str">
        <f>IFERROR(IF([1]对账明细接口!$L$930=0,"",[1]对账明细接口!$L$930),"")</f>
        <v/>
      </c>
      <c r="M930" s="16" t="str">
        <f>IFERROR(IF([1]对账明细接口!$M$930=0,"",[1]对账明细接口!$M$930),"")</f>
        <v/>
      </c>
      <c r="N930" s="19">
        <f t="shared" si="28"/>
        <v>0</v>
      </c>
      <c r="O930" s="19">
        <f t="shared" si="29"/>
        <v>420</v>
      </c>
      <c r="S930" s="20" t="str">
        <f>IFERROR(IF([1]对账明细接口!$N930=0,"",[1]对账明细接口!$N930),"")</f>
        <v/>
      </c>
      <c r="T930" s="21" t="str">
        <f>IFERROR(IF([1]对账明细接口!$O930=0,"",[1]对账明细接口!$O930),"")</f>
        <v/>
      </c>
      <c r="U930" s="21" t="str">
        <f>IFERROR(IF([1]对账明细接口!$P930=0,"",[1]对账明细接口!$P930),"")</f>
        <v/>
      </c>
      <c r="V930" s="21" t="str">
        <f>IFERROR(IF([1]对账明细接口!$Q930=0,"",[1]对账明细接口!$Q930),"")</f>
        <v/>
      </c>
      <c r="W930" s="20" t="str">
        <f>IFERROR(IF([1]对账明细接口!$R930=0,"",[1]对账明细接口!$R930),"")</f>
        <v/>
      </c>
      <c r="X930" s="20" t="str">
        <f>IFERROR(IF([1]对账明细接口!$S930=0,"",[1]对账明细接口!$S930),"")</f>
        <v/>
      </c>
      <c r="Y930" s="20" t="str">
        <f>IFERROR(IF([1]对账明细接口!$T930=0,"",[1]对账明细接口!$T930),"")</f>
        <v/>
      </c>
      <c r="Z930" s="24" t="str">
        <f>IFERROR(IF([1]对账明细接口!$U930=0,"",[1]对账明细接口!$U930),"")</f>
        <v/>
      </c>
      <c r="AA930" s="24" t="str">
        <f>IFERROR(IF([1]对账明细接口!$V930=0,"",[1]对账明细接口!$V930),"")</f>
        <v/>
      </c>
      <c r="AB930" s="20" t="str">
        <f>IFERROR(IF([1]对账明细接口!$W930=0,"",[1]对账明细接口!$W930),"")</f>
        <v/>
      </c>
      <c r="AC930" s="7" t="str">
        <f>IFERROR(IF([1]对账明细接口!$X930=0,"",[1]对账明细接口!$X930),"")</f>
        <v/>
      </c>
      <c r="AD930" s="7" t="str">
        <f>IFERROR(IF([1]对账明细接口!$Y930=0,"",[1]对账明细接口!$Y930),"")</f>
        <v/>
      </c>
      <c r="AE930" s="7" t="str">
        <f>IFERROR(IF([1]对账明细接口!$AA930=0,"",[1]对账明细接口!$AA930),"")</f>
        <v/>
      </c>
      <c r="AF930" s="7" t="str">
        <f>IFERROR(IF([1]对账明细接口!$AB930=0,"",[1]对账明细接口!$AB930),"")</f>
        <v/>
      </c>
      <c r="AG930" s="7" t="str">
        <f>IFERROR(IF([1]对账明细接口!$AC930=0,"",[1]对账明细接口!$AC930),"")</f>
        <v/>
      </c>
      <c r="AH930" s="7" t="str">
        <f>IFERROR(IF([1]对账明细接口!$AD930=0,"",[1]对账明细接口!$AD930),"")</f>
        <v/>
      </c>
      <c r="AI930" s="7" t="str">
        <f>IFERROR(IF([1]对账明细接口!$AE930=0,"",[1]对账明细接口!$AE930),"")</f>
        <v/>
      </c>
      <c r="AJ930" s="7" t="str">
        <f>IFERROR(IF([1]对账明细接口!$AF930=0,"",[1]对账明细接口!$AF930),"")</f>
        <v/>
      </c>
    </row>
    <row r="931" ht="14.25" customHeight="1" spans="1:36">
      <c r="A931" s="14">
        <v>931</v>
      </c>
      <c r="B931" s="15" t="str">
        <f>IFERROR(IF([1]对账明细接口!$B$931=0,"",[1]对账明细接口!$B$931),"")</f>
        <v/>
      </c>
      <c r="C931" s="16" t="str">
        <f>IFERROR(IF([1]对账明细接口!$C$931=0,"",[1]对账明细接口!$C$931),"")</f>
        <v/>
      </c>
      <c r="D931" s="16" t="str">
        <f>IFERROR(IF([1]对账明细接口!$D$931=0,"",[1]对账明细接口!$D$931),"")</f>
        <v/>
      </c>
      <c r="E931" s="16" t="str">
        <f>IFERROR(IF([1]对账明细接口!$E$931=0,"",[1]对账明细接口!$E$931),"")</f>
        <v/>
      </c>
      <c r="F931" s="16" t="str">
        <f>IFERROR(IF([1]对账明细接口!$F$931=0,"",[1]对账明细接口!$F$931),"")</f>
        <v/>
      </c>
      <c r="G931" s="16" t="str">
        <f>IFERROR(IF([1]对账明细接口!$G$931=0,"",[1]对账明细接口!$G$931),"")</f>
        <v/>
      </c>
      <c r="H931" s="17" t="str">
        <f>IFERROR(IF([1]对账明细接口!$H$931=0,"",[1]对账明细接口!$H$931),"")</f>
        <v/>
      </c>
      <c r="I931" s="16" t="str">
        <f>IFERROR(IF([1]对账明细接口!$I$931=0,"",[1]对账明细接口!$I$931),"")</f>
        <v/>
      </c>
      <c r="J931" s="18" t="str">
        <f>IFERROR(IF([1]对账明细接口!$J$931=0,"",[1]对账明细接口!$J$931),"")</f>
        <v/>
      </c>
      <c r="K931" s="18" t="str">
        <f>IFERROR(IF([1]对账明细接口!$K$931=0,"",[1]对账明细接口!$K$931),"")</f>
        <v/>
      </c>
      <c r="L931" s="16" t="str">
        <f>IFERROR(IF([1]对账明细接口!$L$931=0,"",[1]对账明细接口!$L$931),"")</f>
        <v/>
      </c>
      <c r="M931" s="16" t="str">
        <f>IFERROR(IF([1]对账明细接口!$M$931=0,"",[1]对账明细接口!$M$931),"")</f>
        <v/>
      </c>
      <c r="N931" s="19">
        <f t="shared" si="28"/>
        <v>0</v>
      </c>
      <c r="O931" s="19">
        <f t="shared" si="29"/>
        <v>420</v>
      </c>
      <c r="S931" s="20" t="str">
        <f>IFERROR(IF([1]对账明细接口!$N931=0,"",[1]对账明细接口!$N931),"")</f>
        <v/>
      </c>
      <c r="T931" s="21" t="str">
        <f>IFERROR(IF([1]对账明细接口!$O931=0,"",[1]对账明细接口!$O931),"")</f>
        <v/>
      </c>
      <c r="U931" s="21" t="str">
        <f>IFERROR(IF([1]对账明细接口!$P931=0,"",[1]对账明细接口!$P931),"")</f>
        <v/>
      </c>
      <c r="V931" s="21" t="str">
        <f>IFERROR(IF([1]对账明细接口!$Q931=0,"",[1]对账明细接口!$Q931),"")</f>
        <v/>
      </c>
      <c r="W931" s="20" t="str">
        <f>IFERROR(IF([1]对账明细接口!$R931=0,"",[1]对账明细接口!$R931),"")</f>
        <v/>
      </c>
      <c r="X931" s="20" t="str">
        <f>IFERROR(IF([1]对账明细接口!$S931=0,"",[1]对账明细接口!$S931),"")</f>
        <v/>
      </c>
      <c r="Y931" s="20" t="str">
        <f>IFERROR(IF([1]对账明细接口!$T931=0,"",[1]对账明细接口!$T931),"")</f>
        <v/>
      </c>
      <c r="Z931" s="24" t="str">
        <f>IFERROR(IF([1]对账明细接口!$U931=0,"",[1]对账明细接口!$U931),"")</f>
        <v/>
      </c>
      <c r="AA931" s="24" t="str">
        <f>IFERROR(IF([1]对账明细接口!$V931=0,"",[1]对账明细接口!$V931),"")</f>
        <v/>
      </c>
      <c r="AB931" s="20" t="str">
        <f>IFERROR(IF([1]对账明细接口!$W931=0,"",[1]对账明细接口!$W931),"")</f>
        <v/>
      </c>
      <c r="AC931" s="7" t="str">
        <f>IFERROR(IF([1]对账明细接口!$X931=0,"",[1]对账明细接口!$X931),"")</f>
        <v/>
      </c>
      <c r="AD931" s="7" t="str">
        <f>IFERROR(IF([1]对账明细接口!$Y931=0,"",[1]对账明细接口!$Y931),"")</f>
        <v/>
      </c>
      <c r="AE931" s="7" t="str">
        <f>IFERROR(IF([1]对账明细接口!$AA931=0,"",[1]对账明细接口!$AA931),"")</f>
        <v/>
      </c>
      <c r="AF931" s="7" t="str">
        <f>IFERROR(IF([1]对账明细接口!$AB931=0,"",[1]对账明细接口!$AB931),"")</f>
        <v/>
      </c>
      <c r="AG931" s="7" t="str">
        <f>IFERROR(IF([1]对账明细接口!$AC931=0,"",[1]对账明细接口!$AC931),"")</f>
        <v/>
      </c>
      <c r="AH931" s="7" t="str">
        <f>IFERROR(IF([1]对账明细接口!$AD931=0,"",[1]对账明细接口!$AD931),"")</f>
        <v/>
      </c>
      <c r="AI931" s="7" t="str">
        <f>IFERROR(IF([1]对账明细接口!$AE931=0,"",[1]对账明细接口!$AE931),"")</f>
        <v/>
      </c>
      <c r="AJ931" s="7" t="str">
        <f>IFERROR(IF([1]对账明细接口!$AF931=0,"",[1]对账明细接口!$AF931),"")</f>
        <v/>
      </c>
    </row>
    <row r="932" ht="14.25" customHeight="1" spans="1:36">
      <c r="A932" s="14">
        <v>932</v>
      </c>
      <c r="B932" s="15" t="str">
        <f>IFERROR(IF([1]对账明细接口!$B$932=0,"",[1]对账明细接口!$B$932),"")</f>
        <v/>
      </c>
      <c r="C932" s="16" t="str">
        <f>IFERROR(IF([1]对账明细接口!$C$932=0,"",[1]对账明细接口!$C$932),"")</f>
        <v/>
      </c>
      <c r="D932" s="16" t="str">
        <f>IFERROR(IF([1]对账明细接口!$D$932=0,"",[1]对账明细接口!$D$932),"")</f>
        <v/>
      </c>
      <c r="E932" s="16" t="str">
        <f>IFERROR(IF([1]对账明细接口!$E$932=0,"",[1]对账明细接口!$E$932),"")</f>
        <v/>
      </c>
      <c r="F932" s="16" t="str">
        <f>IFERROR(IF([1]对账明细接口!$F$932=0,"",[1]对账明细接口!$F$932),"")</f>
        <v/>
      </c>
      <c r="G932" s="16" t="str">
        <f>IFERROR(IF([1]对账明细接口!$G$932=0,"",[1]对账明细接口!$G$932),"")</f>
        <v/>
      </c>
      <c r="H932" s="17" t="str">
        <f>IFERROR(IF([1]对账明细接口!$H$932=0,"",[1]对账明细接口!$H$932),"")</f>
        <v/>
      </c>
      <c r="I932" s="16" t="str">
        <f>IFERROR(IF([1]对账明细接口!$I$932=0,"",[1]对账明细接口!$I$932),"")</f>
        <v/>
      </c>
      <c r="J932" s="18" t="str">
        <f>IFERROR(IF([1]对账明细接口!$J$932=0,"",[1]对账明细接口!$J$932),"")</f>
        <v/>
      </c>
      <c r="K932" s="18" t="str">
        <f>IFERROR(IF([1]对账明细接口!$K$932=0,"",[1]对账明细接口!$K$932),"")</f>
        <v/>
      </c>
      <c r="L932" s="16" t="str">
        <f>IFERROR(IF([1]对账明细接口!$L$932=0,"",[1]对账明细接口!$L$932),"")</f>
        <v/>
      </c>
      <c r="M932" s="16" t="str">
        <f>IFERROR(IF([1]对账明细接口!$M$932=0,"",[1]对账明细接口!$M$932),"")</f>
        <v/>
      </c>
      <c r="N932" s="19">
        <f t="shared" si="28"/>
        <v>0</v>
      </c>
      <c r="O932" s="19">
        <f t="shared" si="29"/>
        <v>420</v>
      </c>
      <c r="S932" s="20" t="str">
        <f>IFERROR(IF([1]对账明细接口!$N932=0,"",[1]对账明细接口!$N932),"")</f>
        <v/>
      </c>
      <c r="T932" s="21" t="str">
        <f>IFERROR(IF([1]对账明细接口!$O932=0,"",[1]对账明细接口!$O932),"")</f>
        <v/>
      </c>
      <c r="U932" s="21" t="str">
        <f>IFERROR(IF([1]对账明细接口!$P932=0,"",[1]对账明细接口!$P932),"")</f>
        <v/>
      </c>
      <c r="V932" s="21" t="str">
        <f>IFERROR(IF([1]对账明细接口!$Q932=0,"",[1]对账明细接口!$Q932),"")</f>
        <v/>
      </c>
      <c r="W932" s="20" t="str">
        <f>IFERROR(IF([1]对账明细接口!$R932=0,"",[1]对账明细接口!$R932),"")</f>
        <v/>
      </c>
      <c r="X932" s="20" t="str">
        <f>IFERROR(IF([1]对账明细接口!$S932=0,"",[1]对账明细接口!$S932),"")</f>
        <v/>
      </c>
      <c r="Y932" s="20" t="str">
        <f>IFERROR(IF([1]对账明细接口!$T932=0,"",[1]对账明细接口!$T932),"")</f>
        <v/>
      </c>
      <c r="Z932" s="24" t="str">
        <f>IFERROR(IF([1]对账明细接口!$U932=0,"",[1]对账明细接口!$U932),"")</f>
        <v/>
      </c>
      <c r="AA932" s="24" t="str">
        <f>IFERROR(IF([1]对账明细接口!$V932=0,"",[1]对账明细接口!$V932),"")</f>
        <v/>
      </c>
      <c r="AB932" s="20" t="str">
        <f>IFERROR(IF([1]对账明细接口!$W932=0,"",[1]对账明细接口!$W932),"")</f>
        <v/>
      </c>
      <c r="AC932" s="7" t="str">
        <f>IFERROR(IF([1]对账明细接口!$X932=0,"",[1]对账明细接口!$X932),"")</f>
        <v/>
      </c>
      <c r="AD932" s="7" t="str">
        <f>IFERROR(IF([1]对账明细接口!$Y932=0,"",[1]对账明细接口!$Y932),"")</f>
        <v/>
      </c>
      <c r="AE932" s="7" t="str">
        <f>IFERROR(IF([1]对账明细接口!$AA932=0,"",[1]对账明细接口!$AA932),"")</f>
        <v/>
      </c>
      <c r="AF932" s="7" t="str">
        <f>IFERROR(IF([1]对账明细接口!$AB932=0,"",[1]对账明细接口!$AB932),"")</f>
        <v/>
      </c>
      <c r="AG932" s="7" t="str">
        <f>IFERROR(IF([1]对账明细接口!$AC932=0,"",[1]对账明细接口!$AC932),"")</f>
        <v/>
      </c>
      <c r="AH932" s="7" t="str">
        <f>IFERROR(IF([1]对账明细接口!$AD932=0,"",[1]对账明细接口!$AD932),"")</f>
        <v/>
      </c>
      <c r="AI932" s="7" t="str">
        <f>IFERROR(IF([1]对账明细接口!$AE932=0,"",[1]对账明细接口!$AE932),"")</f>
        <v/>
      </c>
      <c r="AJ932" s="7" t="str">
        <f>IFERROR(IF([1]对账明细接口!$AF932=0,"",[1]对账明细接口!$AF932),"")</f>
        <v/>
      </c>
    </row>
    <row r="933" ht="14.25" customHeight="1" spans="1:36">
      <c r="A933" s="14">
        <v>933</v>
      </c>
      <c r="B933" s="15" t="str">
        <f>IFERROR(IF([1]对账明细接口!$B$933=0,"",[1]对账明细接口!$B$933),"")</f>
        <v/>
      </c>
      <c r="C933" s="16" t="str">
        <f>IFERROR(IF([1]对账明细接口!$C$933=0,"",[1]对账明细接口!$C$933),"")</f>
        <v/>
      </c>
      <c r="D933" s="16" t="str">
        <f>IFERROR(IF([1]对账明细接口!$D$933=0,"",[1]对账明细接口!$D$933),"")</f>
        <v/>
      </c>
      <c r="E933" s="16" t="str">
        <f>IFERROR(IF([1]对账明细接口!$E$933=0,"",[1]对账明细接口!$E$933),"")</f>
        <v/>
      </c>
      <c r="F933" s="16" t="str">
        <f>IFERROR(IF([1]对账明细接口!$F$933=0,"",[1]对账明细接口!$F$933),"")</f>
        <v/>
      </c>
      <c r="G933" s="16" t="str">
        <f>IFERROR(IF([1]对账明细接口!$G$933=0,"",[1]对账明细接口!$G$933),"")</f>
        <v/>
      </c>
      <c r="H933" s="17" t="str">
        <f>IFERROR(IF([1]对账明细接口!$H$933=0,"",[1]对账明细接口!$H$933),"")</f>
        <v/>
      </c>
      <c r="I933" s="16" t="str">
        <f>IFERROR(IF([1]对账明细接口!$I$933=0,"",[1]对账明细接口!$I$933),"")</f>
        <v/>
      </c>
      <c r="J933" s="18" t="str">
        <f>IFERROR(IF([1]对账明细接口!$J$933=0,"",[1]对账明细接口!$J$933),"")</f>
        <v/>
      </c>
      <c r="K933" s="18" t="str">
        <f>IFERROR(IF([1]对账明细接口!$K$933=0,"",[1]对账明细接口!$K$933),"")</f>
        <v/>
      </c>
      <c r="L933" s="16" t="str">
        <f>IFERROR(IF([1]对账明细接口!$L$933=0,"",[1]对账明细接口!$L$933),"")</f>
        <v/>
      </c>
      <c r="M933" s="16" t="str">
        <f>IFERROR(IF([1]对账明细接口!$M$933=0,"",[1]对账明细接口!$M$933),"")</f>
        <v/>
      </c>
      <c r="N933" s="19">
        <f t="shared" si="28"/>
        <v>0</v>
      </c>
      <c r="O933" s="19">
        <f t="shared" si="29"/>
        <v>420</v>
      </c>
      <c r="S933" s="20" t="str">
        <f>IFERROR(IF([1]对账明细接口!$N933=0,"",[1]对账明细接口!$N933),"")</f>
        <v/>
      </c>
      <c r="T933" s="21" t="str">
        <f>IFERROR(IF([1]对账明细接口!$O933=0,"",[1]对账明细接口!$O933),"")</f>
        <v/>
      </c>
      <c r="U933" s="21" t="str">
        <f>IFERROR(IF([1]对账明细接口!$P933=0,"",[1]对账明细接口!$P933),"")</f>
        <v/>
      </c>
      <c r="V933" s="21" t="str">
        <f>IFERROR(IF([1]对账明细接口!$Q933=0,"",[1]对账明细接口!$Q933),"")</f>
        <v/>
      </c>
      <c r="W933" s="20" t="str">
        <f>IFERROR(IF([1]对账明细接口!$R933=0,"",[1]对账明细接口!$R933),"")</f>
        <v/>
      </c>
      <c r="X933" s="20" t="str">
        <f>IFERROR(IF([1]对账明细接口!$S933=0,"",[1]对账明细接口!$S933),"")</f>
        <v/>
      </c>
      <c r="Y933" s="20" t="str">
        <f>IFERROR(IF([1]对账明细接口!$T933=0,"",[1]对账明细接口!$T933),"")</f>
        <v/>
      </c>
      <c r="Z933" s="24" t="str">
        <f>IFERROR(IF([1]对账明细接口!$U933=0,"",[1]对账明细接口!$U933),"")</f>
        <v/>
      </c>
      <c r="AA933" s="24" t="str">
        <f>IFERROR(IF([1]对账明细接口!$V933=0,"",[1]对账明细接口!$V933),"")</f>
        <v/>
      </c>
      <c r="AB933" s="20" t="str">
        <f>IFERROR(IF([1]对账明细接口!$W933=0,"",[1]对账明细接口!$W933),"")</f>
        <v/>
      </c>
      <c r="AC933" s="7" t="str">
        <f>IFERROR(IF([1]对账明细接口!$X933=0,"",[1]对账明细接口!$X933),"")</f>
        <v/>
      </c>
      <c r="AD933" s="7" t="str">
        <f>IFERROR(IF([1]对账明细接口!$Y933=0,"",[1]对账明细接口!$Y933),"")</f>
        <v/>
      </c>
      <c r="AE933" s="7" t="str">
        <f>IFERROR(IF([1]对账明细接口!$AA933=0,"",[1]对账明细接口!$AA933),"")</f>
        <v/>
      </c>
      <c r="AF933" s="7" t="str">
        <f>IFERROR(IF([1]对账明细接口!$AB933=0,"",[1]对账明细接口!$AB933),"")</f>
        <v/>
      </c>
      <c r="AG933" s="7" t="str">
        <f>IFERROR(IF([1]对账明细接口!$AC933=0,"",[1]对账明细接口!$AC933),"")</f>
        <v/>
      </c>
      <c r="AH933" s="7" t="str">
        <f>IFERROR(IF([1]对账明细接口!$AD933=0,"",[1]对账明细接口!$AD933),"")</f>
        <v/>
      </c>
      <c r="AI933" s="7" t="str">
        <f>IFERROR(IF([1]对账明细接口!$AE933=0,"",[1]对账明细接口!$AE933),"")</f>
        <v/>
      </c>
      <c r="AJ933" s="7" t="str">
        <f>IFERROR(IF([1]对账明细接口!$AF933=0,"",[1]对账明细接口!$AF933),"")</f>
        <v/>
      </c>
    </row>
    <row r="934" ht="14.25" customHeight="1" spans="1:36">
      <c r="A934" s="14">
        <v>934</v>
      </c>
      <c r="B934" s="15" t="str">
        <f>IFERROR(IF([1]对账明细接口!$B$934=0,"",[1]对账明细接口!$B$934),"")</f>
        <v/>
      </c>
      <c r="C934" s="16" t="str">
        <f>IFERROR(IF([1]对账明细接口!$C$934=0,"",[1]对账明细接口!$C$934),"")</f>
        <v/>
      </c>
      <c r="D934" s="16" t="str">
        <f>IFERROR(IF([1]对账明细接口!$D$934=0,"",[1]对账明细接口!$D$934),"")</f>
        <v/>
      </c>
      <c r="E934" s="16" t="str">
        <f>IFERROR(IF([1]对账明细接口!$E$934=0,"",[1]对账明细接口!$E$934),"")</f>
        <v/>
      </c>
      <c r="F934" s="16" t="str">
        <f>IFERROR(IF([1]对账明细接口!$F$934=0,"",[1]对账明细接口!$F$934),"")</f>
        <v/>
      </c>
      <c r="G934" s="16" t="str">
        <f>IFERROR(IF([1]对账明细接口!$G$934=0,"",[1]对账明细接口!$G$934),"")</f>
        <v/>
      </c>
      <c r="H934" s="17" t="str">
        <f>IFERROR(IF([1]对账明细接口!$H$934=0,"",[1]对账明细接口!$H$934),"")</f>
        <v/>
      </c>
      <c r="I934" s="16" t="str">
        <f>IFERROR(IF([1]对账明细接口!$I$934=0,"",[1]对账明细接口!$I$934),"")</f>
        <v/>
      </c>
      <c r="J934" s="18" t="str">
        <f>IFERROR(IF([1]对账明细接口!$J$934=0,"",[1]对账明细接口!$J$934),"")</f>
        <v/>
      </c>
      <c r="K934" s="18" t="str">
        <f>IFERROR(IF([1]对账明细接口!$K$934=0,"",[1]对账明细接口!$K$934),"")</f>
        <v/>
      </c>
      <c r="L934" s="16" t="str">
        <f>IFERROR(IF([1]对账明细接口!$L$934=0,"",[1]对账明细接口!$L$934),"")</f>
        <v/>
      </c>
      <c r="M934" s="16" t="str">
        <f>IFERROR(IF([1]对账明细接口!$M$934=0,"",[1]对账明细接口!$M$934),"")</f>
        <v/>
      </c>
      <c r="N934" s="19">
        <f t="shared" si="28"/>
        <v>0</v>
      </c>
      <c r="O934" s="19">
        <f t="shared" si="29"/>
        <v>420</v>
      </c>
      <c r="S934" s="20" t="str">
        <f>IFERROR(IF([1]对账明细接口!$N934=0,"",[1]对账明细接口!$N934),"")</f>
        <v/>
      </c>
      <c r="T934" s="21" t="str">
        <f>IFERROR(IF([1]对账明细接口!$O934=0,"",[1]对账明细接口!$O934),"")</f>
        <v/>
      </c>
      <c r="U934" s="21" t="str">
        <f>IFERROR(IF([1]对账明细接口!$P934=0,"",[1]对账明细接口!$P934),"")</f>
        <v/>
      </c>
      <c r="V934" s="21" t="str">
        <f>IFERROR(IF([1]对账明细接口!$Q934=0,"",[1]对账明细接口!$Q934),"")</f>
        <v/>
      </c>
      <c r="W934" s="20" t="str">
        <f>IFERROR(IF([1]对账明细接口!$R934=0,"",[1]对账明细接口!$R934),"")</f>
        <v/>
      </c>
      <c r="X934" s="20" t="str">
        <f>IFERROR(IF([1]对账明细接口!$S934=0,"",[1]对账明细接口!$S934),"")</f>
        <v/>
      </c>
      <c r="Y934" s="20" t="str">
        <f>IFERROR(IF([1]对账明细接口!$T934=0,"",[1]对账明细接口!$T934),"")</f>
        <v/>
      </c>
      <c r="Z934" s="24" t="str">
        <f>IFERROR(IF([1]对账明细接口!$U934=0,"",[1]对账明细接口!$U934),"")</f>
        <v/>
      </c>
      <c r="AA934" s="24" t="str">
        <f>IFERROR(IF([1]对账明细接口!$V934=0,"",[1]对账明细接口!$V934),"")</f>
        <v/>
      </c>
      <c r="AB934" s="20" t="str">
        <f>IFERROR(IF([1]对账明细接口!$W934=0,"",[1]对账明细接口!$W934),"")</f>
        <v/>
      </c>
      <c r="AC934" s="7" t="str">
        <f>IFERROR(IF([1]对账明细接口!$X934=0,"",[1]对账明细接口!$X934),"")</f>
        <v/>
      </c>
      <c r="AD934" s="7" t="str">
        <f>IFERROR(IF([1]对账明细接口!$Y934=0,"",[1]对账明细接口!$Y934),"")</f>
        <v/>
      </c>
      <c r="AE934" s="7" t="str">
        <f>IFERROR(IF([1]对账明细接口!$AA934=0,"",[1]对账明细接口!$AA934),"")</f>
        <v/>
      </c>
      <c r="AF934" s="7" t="str">
        <f>IFERROR(IF([1]对账明细接口!$AB934=0,"",[1]对账明细接口!$AB934),"")</f>
        <v/>
      </c>
      <c r="AG934" s="7" t="str">
        <f>IFERROR(IF([1]对账明细接口!$AC934=0,"",[1]对账明细接口!$AC934),"")</f>
        <v/>
      </c>
      <c r="AH934" s="7" t="str">
        <f>IFERROR(IF([1]对账明细接口!$AD934=0,"",[1]对账明细接口!$AD934),"")</f>
        <v/>
      </c>
      <c r="AI934" s="7" t="str">
        <f>IFERROR(IF([1]对账明细接口!$AE934=0,"",[1]对账明细接口!$AE934),"")</f>
        <v/>
      </c>
      <c r="AJ934" s="7" t="str">
        <f>IFERROR(IF([1]对账明细接口!$AF934=0,"",[1]对账明细接口!$AF934),"")</f>
        <v/>
      </c>
    </row>
    <row r="935" ht="14.25" customHeight="1" spans="1:36">
      <c r="A935" s="14">
        <v>935</v>
      </c>
      <c r="B935" s="15" t="str">
        <f>IFERROR(IF([1]对账明细接口!$B$935=0,"",[1]对账明细接口!$B$935),"")</f>
        <v/>
      </c>
      <c r="C935" s="16" t="str">
        <f>IFERROR(IF([1]对账明细接口!$C$935=0,"",[1]对账明细接口!$C$935),"")</f>
        <v/>
      </c>
      <c r="D935" s="16" t="str">
        <f>IFERROR(IF([1]对账明细接口!$D$935=0,"",[1]对账明细接口!$D$935),"")</f>
        <v/>
      </c>
      <c r="E935" s="16" t="str">
        <f>IFERROR(IF([1]对账明细接口!$E$935=0,"",[1]对账明细接口!$E$935),"")</f>
        <v/>
      </c>
      <c r="F935" s="16" t="str">
        <f>IFERROR(IF([1]对账明细接口!$F$935=0,"",[1]对账明细接口!$F$935),"")</f>
        <v/>
      </c>
      <c r="G935" s="16" t="str">
        <f>IFERROR(IF([1]对账明细接口!$G$935=0,"",[1]对账明细接口!$G$935),"")</f>
        <v/>
      </c>
      <c r="H935" s="17" t="str">
        <f>IFERROR(IF([1]对账明细接口!$H$935=0,"",[1]对账明细接口!$H$935),"")</f>
        <v/>
      </c>
      <c r="I935" s="16" t="str">
        <f>IFERROR(IF([1]对账明细接口!$I$935=0,"",[1]对账明细接口!$I$935),"")</f>
        <v/>
      </c>
      <c r="J935" s="18" t="str">
        <f>IFERROR(IF([1]对账明细接口!$J$935=0,"",[1]对账明细接口!$J$935),"")</f>
        <v/>
      </c>
      <c r="K935" s="18" t="str">
        <f>IFERROR(IF([1]对账明细接口!$K$935=0,"",[1]对账明细接口!$K$935),"")</f>
        <v/>
      </c>
      <c r="L935" s="16" t="str">
        <f>IFERROR(IF([1]对账明细接口!$L$935=0,"",[1]对账明细接口!$L$935),"")</f>
        <v/>
      </c>
      <c r="M935" s="16" t="str">
        <f>IFERROR(IF([1]对账明细接口!$M$935=0,"",[1]对账明细接口!$M$935),"")</f>
        <v/>
      </c>
      <c r="N935" s="19">
        <f t="shared" si="28"/>
        <v>0</v>
      </c>
      <c r="O935" s="19">
        <f t="shared" si="29"/>
        <v>420</v>
      </c>
      <c r="S935" s="20" t="str">
        <f>IFERROR(IF([1]对账明细接口!$N935=0,"",[1]对账明细接口!$N935),"")</f>
        <v/>
      </c>
      <c r="T935" s="21" t="str">
        <f>IFERROR(IF([1]对账明细接口!$O935=0,"",[1]对账明细接口!$O935),"")</f>
        <v/>
      </c>
      <c r="U935" s="21" t="str">
        <f>IFERROR(IF([1]对账明细接口!$P935=0,"",[1]对账明细接口!$P935),"")</f>
        <v/>
      </c>
      <c r="V935" s="21" t="str">
        <f>IFERROR(IF([1]对账明细接口!$Q935=0,"",[1]对账明细接口!$Q935),"")</f>
        <v/>
      </c>
      <c r="W935" s="20" t="str">
        <f>IFERROR(IF([1]对账明细接口!$R935=0,"",[1]对账明细接口!$R935),"")</f>
        <v/>
      </c>
      <c r="X935" s="20" t="str">
        <f>IFERROR(IF([1]对账明细接口!$S935=0,"",[1]对账明细接口!$S935),"")</f>
        <v/>
      </c>
      <c r="Y935" s="20" t="str">
        <f>IFERROR(IF([1]对账明细接口!$T935=0,"",[1]对账明细接口!$T935),"")</f>
        <v/>
      </c>
      <c r="Z935" s="24" t="str">
        <f>IFERROR(IF([1]对账明细接口!$U935=0,"",[1]对账明细接口!$U935),"")</f>
        <v/>
      </c>
      <c r="AA935" s="24" t="str">
        <f>IFERROR(IF([1]对账明细接口!$V935=0,"",[1]对账明细接口!$V935),"")</f>
        <v/>
      </c>
      <c r="AB935" s="20" t="str">
        <f>IFERROR(IF([1]对账明细接口!$W935=0,"",[1]对账明细接口!$W935),"")</f>
        <v/>
      </c>
      <c r="AC935" s="7" t="str">
        <f>IFERROR(IF([1]对账明细接口!$X935=0,"",[1]对账明细接口!$X935),"")</f>
        <v/>
      </c>
      <c r="AD935" s="7" t="str">
        <f>IFERROR(IF([1]对账明细接口!$Y935=0,"",[1]对账明细接口!$Y935),"")</f>
        <v/>
      </c>
      <c r="AE935" s="7" t="str">
        <f>IFERROR(IF([1]对账明细接口!$AA935=0,"",[1]对账明细接口!$AA935),"")</f>
        <v/>
      </c>
      <c r="AF935" s="7" t="str">
        <f>IFERROR(IF([1]对账明细接口!$AB935=0,"",[1]对账明细接口!$AB935),"")</f>
        <v/>
      </c>
      <c r="AG935" s="7" t="str">
        <f>IFERROR(IF([1]对账明细接口!$AC935=0,"",[1]对账明细接口!$AC935),"")</f>
        <v/>
      </c>
      <c r="AH935" s="7" t="str">
        <f>IFERROR(IF([1]对账明细接口!$AD935=0,"",[1]对账明细接口!$AD935),"")</f>
        <v/>
      </c>
      <c r="AI935" s="7" t="str">
        <f>IFERROR(IF([1]对账明细接口!$AE935=0,"",[1]对账明细接口!$AE935),"")</f>
        <v/>
      </c>
      <c r="AJ935" s="7" t="str">
        <f>IFERROR(IF([1]对账明细接口!$AF935=0,"",[1]对账明细接口!$AF935),"")</f>
        <v/>
      </c>
    </row>
    <row r="936" ht="14.25" customHeight="1" spans="1:36">
      <c r="A936" s="14">
        <v>936</v>
      </c>
      <c r="B936" s="15" t="str">
        <f>IFERROR(IF([1]对账明细接口!$B$936=0,"",[1]对账明细接口!$B$936),"")</f>
        <v/>
      </c>
      <c r="C936" s="16" t="str">
        <f>IFERROR(IF([1]对账明细接口!$C$936=0,"",[1]对账明细接口!$C$936),"")</f>
        <v/>
      </c>
      <c r="D936" s="16" t="str">
        <f>IFERROR(IF([1]对账明细接口!$D$936=0,"",[1]对账明细接口!$D$936),"")</f>
        <v/>
      </c>
      <c r="E936" s="16" t="str">
        <f>IFERROR(IF([1]对账明细接口!$E$936=0,"",[1]对账明细接口!$E$936),"")</f>
        <v/>
      </c>
      <c r="F936" s="16" t="str">
        <f>IFERROR(IF([1]对账明细接口!$F$936=0,"",[1]对账明细接口!$F$936),"")</f>
        <v/>
      </c>
      <c r="G936" s="16" t="str">
        <f>IFERROR(IF([1]对账明细接口!$G$936=0,"",[1]对账明细接口!$G$936),"")</f>
        <v/>
      </c>
      <c r="H936" s="17" t="str">
        <f>IFERROR(IF([1]对账明细接口!$H$936=0,"",[1]对账明细接口!$H$936),"")</f>
        <v/>
      </c>
      <c r="I936" s="16" t="str">
        <f>IFERROR(IF([1]对账明细接口!$I$936=0,"",[1]对账明细接口!$I$936),"")</f>
        <v/>
      </c>
      <c r="J936" s="18" t="str">
        <f>IFERROR(IF([1]对账明细接口!$J$936=0,"",[1]对账明细接口!$J$936),"")</f>
        <v/>
      </c>
      <c r="K936" s="18" t="str">
        <f>IFERROR(IF([1]对账明细接口!$K$936=0,"",[1]对账明细接口!$K$936),"")</f>
        <v/>
      </c>
      <c r="L936" s="16" t="str">
        <f>IFERROR(IF([1]对账明细接口!$L$936=0,"",[1]对账明细接口!$L$936),"")</f>
        <v/>
      </c>
      <c r="M936" s="16" t="str">
        <f>IFERROR(IF([1]对账明细接口!$M$936=0,"",[1]对账明细接口!$M$936),"")</f>
        <v/>
      </c>
      <c r="N936" s="19">
        <f t="shared" si="28"/>
        <v>0</v>
      </c>
      <c r="O936" s="19">
        <f t="shared" si="29"/>
        <v>420</v>
      </c>
      <c r="S936" s="20" t="str">
        <f>IFERROR(IF([1]对账明细接口!$N936=0,"",[1]对账明细接口!$N936),"")</f>
        <v/>
      </c>
      <c r="T936" s="21" t="str">
        <f>IFERROR(IF([1]对账明细接口!$O936=0,"",[1]对账明细接口!$O936),"")</f>
        <v/>
      </c>
      <c r="U936" s="21" t="str">
        <f>IFERROR(IF([1]对账明细接口!$P936=0,"",[1]对账明细接口!$P936),"")</f>
        <v/>
      </c>
      <c r="V936" s="21" t="str">
        <f>IFERROR(IF([1]对账明细接口!$Q936=0,"",[1]对账明细接口!$Q936),"")</f>
        <v/>
      </c>
      <c r="W936" s="20" t="str">
        <f>IFERROR(IF([1]对账明细接口!$R936=0,"",[1]对账明细接口!$R936),"")</f>
        <v/>
      </c>
      <c r="X936" s="20" t="str">
        <f>IFERROR(IF([1]对账明细接口!$S936=0,"",[1]对账明细接口!$S936),"")</f>
        <v/>
      </c>
      <c r="Y936" s="20" t="str">
        <f>IFERROR(IF([1]对账明细接口!$T936=0,"",[1]对账明细接口!$T936),"")</f>
        <v/>
      </c>
      <c r="Z936" s="24" t="str">
        <f>IFERROR(IF([1]对账明细接口!$U936=0,"",[1]对账明细接口!$U936),"")</f>
        <v/>
      </c>
      <c r="AA936" s="24" t="str">
        <f>IFERROR(IF([1]对账明细接口!$V936=0,"",[1]对账明细接口!$V936),"")</f>
        <v/>
      </c>
      <c r="AB936" s="20" t="str">
        <f>IFERROR(IF([1]对账明细接口!$W936=0,"",[1]对账明细接口!$W936),"")</f>
        <v/>
      </c>
      <c r="AC936" s="7" t="str">
        <f>IFERROR(IF([1]对账明细接口!$X936=0,"",[1]对账明细接口!$X936),"")</f>
        <v/>
      </c>
      <c r="AD936" s="7" t="str">
        <f>IFERROR(IF([1]对账明细接口!$Y936=0,"",[1]对账明细接口!$Y936),"")</f>
        <v/>
      </c>
      <c r="AE936" s="7" t="str">
        <f>IFERROR(IF([1]对账明细接口!$AA936=0,"",[1]对账明细接口!$AA936),"")</f>
        <v/>
      </c>
      <c r="AF936" s="7" t="str">
        <f>IFERROR(IF([1]对账明细接口!$AB936=0,"",[1]对账明细接口!$AB936),"")</f>
        <v/>
      </c>
      <c r="AG936" s="7" t="str">
        <f>IFERROR(IF([1]对账明细接口!$AC936=0,"",[1]对账明细接口!$AC936),"")</f>
        <v/>
      </c>
      <c r="AH936" s="7" t="str">
        <f>IFERROR(IF([1]对账明细接口!$AD936=0,"",[1]对账明细接口!$AD936),"")</f>
        <v/>
      </c>
      <c r="AI936" s="7" t="str">
        <f>IFERROR(IF([1]对账明细接口!$AE936=0,"",[1]对账明细接口!$AE936),"")</f>
        <v/>
      </c>
      <c r="AJ936" s="7" t="str">
        <f>IFERROR(IF([1]对账明细接口!$AF936=0,"",[1]对账明细接口!$AF936),"")</f>
        <v/>
      </c>
    </row>
    <row r="937" ht="14.25" customHeight="1" spans="1:36">
      <c r="A937" s="14">
        <v>937</v>
      </c>
      <c r="B937" s="15" t="str">
        <f>IFERROR(IF([1]对账明细接口!$B$937=0,"",[1]对账明细接口!$B$937),"")</f>
        <v/>
      </c>
      <c r="C937" s="16" t="str">
        <f>IFERROR(IF([1]对账明细接口!$C$937=0,"",[1]对账明细接口!$C$937),"")</f>
        <v/>
      </c>
      <c r="D937" s="16" t="str">
        <f>IFERROR(IF([1]对账明细接口!$D$937=0,"",[1]对账明细接口!$D$937),"")</f>
        <v/>
      </c>
      <c r="E937" s="16" t="str">
        <f>IFERROR(IF([1]对账明细接口!$E$937=0,"",[1]对账明细接口!$E$937),"")</f>
        <v/>
      </c>
      <c r="F937" s="16" t="str">
        <f>IFERROR(IF([1]对账明细接口!$F$937=0,"",[1]对账明细接口!$F$937),"")</f>
        <v/>
      </c>
      <c r="G937" s="16" t="str">
        <f>IFERROR(IF([1]对账明细接口!$G$937=0,"",[1]对账明细接口!$G$937),"")</f>
        <v/>
      </c>
      <c r="H937" s="17" t="str">
        <f>IFERROR(IF([1]对账明细接口!$H$937=0,"",[1]对账明细接口!$H$937),"")</f>
        <v/>
      </c>
      <c r="I937" s="16" t="str">
        <f>IFERROR(IF([1]对账明细接口!$I$937=0,"",[1]对账明细接口!$I$937),"")</f>
        <v/>
      </c>
      <c r="J937" s="18" t="str">
        <f>IFERROR(IF([1]对账明细接口!$J$937=0,"",[1]对账明细接口!$J$937),"")</f>
        <v/>
      </c>
      <c r="K937" s="18" t="str">
        <f>IFERROR(IF([1]对账明细接口!$K$937=0,"",[1]对账明细接口!$K$937),"")</f>
        <v/>
      </c>
      <c r="L937" s="16" t="str">
        <f>IFERROR(IF([1]对账明细接口!$L$937=0,"",[1]对账明细接口!$L$937),"")</f>
        <v/>
      </c>
      <c r="M937" s="16" t="str">
        <f>IFERROR(IF([1]对账明细接口!$M$937=0,"",[1]对账明细接口!$M$937),"")</f>
        <v/>
      </c>
      <c r="N937" s="19">
        <f t="shared" si="28"/>
        <v>0</v>
      </c>
      <c r="O937" s="19">
        <f t="shared" si="29"/>
        <v>420</v>
      </c>
      <c r="S937" s="20" t="str">
        <f>IFERROR(IF([1]对账明细接口!$N937=0,"",[1]对账明细接口!$N937),"")</f>
        <v/>
      </c>
      <c r="T937" s="21" t="str">
        <f>IFERROR(IF([1]对账明细接口!$O937=0,"",[1]对账明细接口!$O937),"")</f>
        <v/>
      </c>
      <c r="U937" s="21" t="str">
        <f>IFERROR(IF([1]对账明细接口!$P937=0,"",[1]对账明细接口!$P937),"")</f>
        <v/>
      </c>
      <c r="V937" s="21" t="str">
        <f>IFERROR(IF([1]对账明细接口!$Q937=0,"",[1]对账明细接口!$Q937),"")</f>
        <v/>
      </c>
      <c r="W937" s="20" t="str">
        <f>IFERROR(IF([1]对账明细接口!$R937=0,"",[1]对账明细接口!$R937),"")</f>
        <v/>
      </c>
      <c r="X937" s="20" t="str">
        <f>IFERROR(IF([1]对账明细接口!$S937=0,"",[1]对账明细接口!$S937),"")</f>
        <v/>
      </c>
      <c r="Y937" s="20" t="str">
        <f>IFERROR(IF([1]对账明细接口!$T937=0,"",[1]对账明细接口!$T937),"")</f>
        <v/>
      </c>
      <c r="Z937" s="24" t="str">
        <f>IFERROR(IF([1]对账明细接口!$U937=0,"",[1]对账明细接口!$U937),"")</f>
        <v/>
      </c>
      <c r="AA937" s="24" t="str">
        <f>IFERROR(IF([1]对账明细接口!$V937=0,"",[1]对账明细接口!$V937),"")</f>
        <v/>
      </c>
      <c r="AB937" s="20" t="str">
        <f>IFERROR(IF([1]对账明细接口!$W937=0,"",[1]对账明细接口!$W937),"")</f>
        <v/>
      </c>
      <c r="AC937" s="7" t="str">
        <f>IFERROR(IF([1]对账明细接口!$X937=0,"",[1]对账明细接口!$X937),"")</f>
        <v/>
      </c>
      <c r="AD937" s="7" t="str">
        <f>IFERROR(IF([1]对账明细接口!$Y937=0,"",[1]对账明细接口!$Y937),"")</f>
        <v/>
      </c>
      <c r="AE937" s="7" t="str">
        <f>IFERROR(IF([1]对账明细接口!$AA937=0,"",[1]对账明细接口!$AA937),"")</f>
        <v/>
      </c>
      <c r="AF937" s="7" t="str">
        <f>IFERROR(IF([1]对账明细接口!$AB937=0,"",[1]对账明细接口!$AB937),"")</f>
        <v/>
      </c>
      <c r="AG937" s="7" t="str">
        <f>IFERROR(IF([1]对账明细接口!$AC937=0,"",[1]对账明细接口!$AC937),"")</f>
        <v/>
      </c>
      <c r="AH937" s="7" t="str">
        <f>IFERROR(IF([1]对账明细接口!$AD937=0,"",[1]对账明细接口!$AD937),"")</f>
        <v/>
      </c>
      <c r="AI937" s="7" t="str">
        <f>IFERROR(IF([1]对账明细接口!$AE937=0,"",[1]对账明细接口!$AE937),"")</f>
        <v/>
      </c>
      <c r="AJ937" s="7" t="str">
        <f>IFERROR(IF([1]对账明细接口!$AF937=0,"",[1]对账明细接口!$AF937),"")</f>
        <v/>
      </c>
    </row>
    <row r="938" ht="14.25" customHeight="1" spans="1:36">
      <c r="A938" s="14">
        <v>938</v>
      </c>
      <c r="B938" s="15" t="str">
        <f>IFERROR(IF([1]对账明细接口!$B$938=0,"",[1]对账明细接口!$B$938),"")</f>
        <v/>
      </c>
      <c r="C938" s="16" t="str">
        <f>IFERROR(IF([1]对账明细接口!$C$938=0,"",[1]对账明细接口!$C$938),"")</f>
        <v/>
      </c>
      <c r="D938" s="16" t="str">
        <f>IFERROR(IF([1]对账明细接口!$D$938=0,"",[1]对账明细接口!$D$938),"")</f>
        <v/>
      </c>
      <c r="E938" s="16" t="str">
        <f>IFERROR(IF([1]对账明细接口!$E$938=0,"",[1]对账明细接口!$E$938),"")</f>
        <v/>
      </c>
      <c r="F938" s="16" t="str">
        <f>IFERROR(IF([1]对账明细接口!$F$938=0,"",[1]对账明细接口!$F$938),"")</f>
        <v/>
      </c>
      <c r="G938" s="16" t="str">
        <f>IFERROR(IF([1]对账明细接口!$G$938=0,"",[1]对账明细接口!$G$938),"")</f>
        <v/>
      </c>
      <c r="H938" s="17" t="str">
        <f>IFERROR(IF([1]对账明细接口!$H$938=0,"",[1]对账明细接口!$H$938),"")</f>
        <v/>
      </c>
      <c r="I938" s="16" t="str">
        <f>IFERROR(IF([1]对账明细接口!$I$938=0,"",[1]对账明细接口!$I$938),"")</f>
        <v/>
      </c>
      <c r="J938" s="18" t="str">
        <f>IFERROR(IF([1]对账明细接口!$J$938=0,"",[1]对账明细接口!$J$938),"")</f>
        <v/>
      </c>
      <c r="K938" s="18" t="str">
        <f>IFERROR(IF([1]对账明细接口!$K$938=0,"",[1]对账明细接口!$K$938),"")</f>
        <v/>
      </c>
      <c r="L938" s="16" t="str">
        <f>IFERROR(IF([1]对账明细接口!$L$938=0,"",[1]对账明细接口!$L$938),"")</f>
        <v/>
      </c>
      <c r="M938" s="16" t="str">
        <f>IFERROR(IF([1]对账明细接口!$M$938=0,"",[1]对账明细接口!$M$938),"")</f>
        <v/>
      </c>
      <c r="N938" s="19">
        <f t="shared" si="28"/>
        <v>0</v>
      </c>
      <c r="O938" s="19">
        <f t="shared" si="29"/>
        <v>420</v>
      </c>
      <c r="S938" s="20" t="str">
        <f>IFERROR(IF([1]对账明细接口!$N938=0,"",[1]对账明细接口!$N938),"")</f>
        <v/>
      </c>
      <c r="T938" s="21" t="str">
        <f>IFERROR(IF([1]对账明细接口!$O938=0,"",[1]对账明细接口!$O938),"")</f>
        <v/>
      </c>
      <c r="U938" s="21" t="str">
        <f>IFERROR(IF([1]对账明细接口!$P938=0,"",[1]对账明细接口!$P938),"")</f>
        <v/>
      </c>
      <c r="V938" s="21" t="str">
        <f>IFERROR(IF([1]对账明细接口!$Q938=0,"",[1]对账明细接口!$Q938),"")</f>
        <v/>
      </c>
      <c r="W938" s="20" t="str">
        <f>IFERROR(IF([1]对账明细接口!$R938=0,"",[1]对账明细接口!$R938),"")</f>
        <v/>
      </c>
      <c r="X938" s="20" t="str">
        <f>IFERROR(IF([1]对账明细接口!$S938=0,"",[1]对账明细接口!$S938),"")</f>
        <v/>
      </c>
      <c r="Y938" s="20" t="str">
        <f>IFERROR(IF([1]对账明细接口!$T938=0,"",[1]对账明细接口!$T938),"")</f>
        <v/>
      </c>
      <c r="Z938" s="24" t="str">
        <f>IFERROR(IF([1]对账明细接口!$U938=0,"",[1]对账明细接口!$U938),"")</f>
        <v/>
      </c>
      <c r="AA938" s="24" t="str">
        <f>IFERROR(IF([1]对账明细接口!$V938=0,"",[1]对账明细接口!$V938),"")</f>
        <v/>
      </c>
      <c r="AB938" s="20" t="str">
        <f>IFERROR(IF([1]对账明细接口!$W938=0,"",[1]对账明细接口!$W938),"")</f>
        <v/>
      </c>
      <c r="AC938" s="7" t="str">
        <f>IFERROR(IF([1]对账明细接口!$X938=0,"",[1]对账明细接口!$X938),"")</f>
        <v/>
      </c>
      <c r="AD938" s="7" t="str">
        <f>IFERROR(IF([1]对账明细接口!$Y938=0,"",[1]对账明细接口!$Y938),"")</f>
        <v/>
      </c>
      <c r="AE938" s="7" t="str">
        <f>IFERROR(IF([1]对账明细接口!$AA938=0,"",[1]对账明细接口!$AA938),"")</f>
        <v/>
      </c>
      <c r="AF938" s="7" t="str">
        <f>IFERROR(IF([1]对账明细接口!$AB938=0,"",[1]对账明细接口!$AB938),"")</f>
        <v/>
      </c>
      <c r="AG938" s="7" t="str">
        <f>IFERROR(IF([1]对账明细接口!$AC938=0,"",[1]对账明细接口!$AC938),"")</f>
        <v/>
      </c>
      <c r="AH938" s="7" t="str">
        <f>IFERROR(IF([1]对账明细接口!$AD938=0,"",[1]对账明细接口!$AD938),"")</f>
        <v/>
      </c>
      <c r="AI938" s="7" t="str">
        <f>IFERROR(IF([1]对账明细接口!$AE938=0,"",[1]对账明细接口!$AE938),"")</f>
        <v/>
      </c>
      <c r="AJ938" s="7" t="str">
        <f>IFERROR(IF([1]对账明细接口!$AF938=0,"",[1]对账明细接口!$AF938),"")</f>
        <v/>
      </c>
    </row>
    <row r="939" ht="14.25" customHeight="1" spans="1:36">
      <c r="A939" s="14">
        <v>939</v>
      </c>
      <c r="B939" s="15" t="str">
        <f>IFERROR(IF([1]对账明细接口!$B$939=0,"",[1]对账明细接口!$B$939),"")</f>
        <v/>
      </c>
      <c r="C939" s="16" t="str">
        <f>IFERROR(IF([1]对账明细接口!$C$939=0,"",[1]对账明细接口!$C$939),"")</f>
        <v/>
      </c>
      <c r="D939" s="16" t="str">
        <f>IFERROR(IF([1]对账明细接口!$D$939=0,"",[1]对账明细接口!$D$939),"")</f>
        <v/>
      </c>
      <c r="E939" s="16" t="str">
        <f>IFERROR(IF([1]对账明细接口!$E$939=0,"",[1]对账明细接口!$E$939),"")</f>
        <v/>
      </c>
      <c r="F939" s="16" t="str">
        <f>IFERROR(IF([1]对账明细接口!$F$939=0,"",[1]对账明细接口!$F$939),"")</f>
        <v/>
      </c>
      <c r="G939" s="16" t="str">
        <f>IFERROR(IF([1]对账明细接口!$G$939=0,"",[1]对账明细接口!$G$939),"")</f>
        <v/>
      </c>
      <c r="H939" s="17" t="str">
        <f>IFERROR(IF([1]对账明细接口!$H$939=0,"",[1]对账明细接口!$H$939),"")</f>
        <v/>
      </c>
      <c r="I939" s="16" t="str">
        <f>IFERROR(IF([1]对账明细接口!$I$939=0,"",[1]对账明细接口!$I$939),"")</f>
        <v/>
      </c>
      <c r="J939" s="18" t="str">
        <f>IFERROR(IF([1]对账明细接口!$J$939=0,"",[1]对账明细接口!$J$939),"")</f>
        <v/>
      </c>
      <c r="K939" s="18" t="str">
        <f>IFERROR(IF([1]对账明细接口!$K$939=0,"",[1]对账明细接口!$K$939),"")</f>
        <v/>
      </c>
      <c r="L939" s="16" t="str">
        <f>IFERROR(IF([1]对账明细接口!$L$939=0,"",[1]对账明细接口!$L$939),"")</f>
        <v/>
      </c>
      <c r="M939" s="16" t="str">
        <f>IFERROR(IF([1]对账明细接口!$M$939=0,"",[1]对账明细接口!$M$939),"")</f>
        <v/>
      </c>
      <c r="N939" s="19">
        <f t="shared" si="28"/>
        <v>0</v>
      </c>
      <c r="O939" s="19">
        <f t="shared" si="29"/>
        <v>420</v>
      </c>
      <c r="S939" s="20" t="str">
        <f>IFERROR(IF([1]对账明细接口!$N939=0,"",[1]对账明细接口!$N939),"")</f>
        <v/>
      </c>
      <c r="T939" s="21" t="str">
        <f>IFERROR(IF([1]对账明细接口!$O939=0,"",[1]对账明细接口!$O939),"")</f>
        <v/>
      </c>
      <c r="U939" s="21" t="str">
        <f>IFERROR(IF([1]对账明细接口!$P939=0,"",[1]对账明细接口!$P939),"")</f>
        <v/>
      </c>
      <c r="V939" s="21" t="str">
        <f>IFERROR(IF([1]对账明细接口!$Q939=0,"",[1]对账明细接口!$Q939),"")</f>
        <v/>
      </c>
      <c r="W939" s="20" t="str">
        <f>IFERROR(IF([1]对账明细接口!$R939=0,"",[1]对账明细接口!$R939),"")</f>
        <v/>
      </c>
      <c r="X939" s="20" t="str">
        <f>IFERROR(IF([1]对账明细接口!$S939=0,"",[1]对账明细接口!$S939),"")</f>
        <v/>
      </c>
      <c r="Y939" s="20" t="str">
        <f>IFERROR(IF([1]对账明细接口!$T939=0,"",[1]对账明细接口!$T939),"")</f>
        <v/>
      </c>
      <c r="Z939" s="24" t="str">
        <f>IFERROR(IF([1]对账明细接口!$U939=0,"",[1]对账明细接口!$U939),"")</f>
        <v/>
      </c>
      <c r="AA939" s="24" t="str">
        <f>IFERROR(IF([1]对账明细接口!$V939=0,"",[1]对账明细接口!$V939),"")</f>
        <v/>
      </c>
      <c r="AB939" s="20" t="str">
        <f>IFERROR(IF([1]对账明细接口!$W939=0,"",[1]对账明细接口!$W939),"")</f>
        <v/>
      </c>
      <c r="AC939" s="7" t="str">
        <f>IFERROR(IF([1]对账明细接口!$X939=0,"",[1]对账明细接口!$X939),"")</f>
        <v/>
      </c>
      <c r="AD939" s="7" t="str">
        <f>IFERROR(IF([1]对账明细接口!$Y939=0,"",[1]对账明细接口!$Y939),"")</f>
        <v/>
      </c>
      <c r="AE939" s="7" t="str">
        <f>IFERROR(IF([1]对账明细接口!$AA939=0,"",[1]对账明细接口!$AA939),"")</f>
        <v/>
      </c>
      <c r="AF939" s="7" t="str">
        <f>IFERROR(IF([1]对账明细接口!$AB939=0,"",[1]对账明细接口!$AB939),"")</f>
        <v/>
      </c>
      <c r="AG939" s="7" t="str">
        <f>IFERROR(IF([1]对账明细接口!$AC939=0,"",[1]对账明细接口!$AC939),"")</f>
        <v/>
      </c>
      <c r="AH939" s="7" t="str">
        <f>IFERROR(IF([1]对账明细接口!$AD939=0,"",[1]对账明细接口!$AD939),"")</f>
        <v/>
      </c>
      <c r="AI939" s="7" t="str">
        <f>IFERROR(IF([1]对账明细接口!$AE939=0,"",[1]对账明细接口!$AE939),"")</f>
        <v/>
      </c>
      <c r="AJ939" s="7" t="str">
        <f>IFERROR(IF([1]对账明细接口!$AF939=0,"",[1]对账明细接口!$AF939),"")</f>
        <v/>
      </c>
    </row>
    <row r="940" ht="14.25" customHeight="1" spans="1:36">
      <c r="A940" s="14">
        <v>940</v>
      </c>
      <c r="B940" s="15" t="str">
        <f>IFERROR(IF([1]对账明细接口!$B$940=0,"",[1]对账明细接口!$B$940),"")</f>
        <v/>
      </c>
      <c r="C940" s="16" t="str">
        <f>IFERROR(IF([1]对账明细接口!$C$940=0,"",[1]对账明细接口!$C$940),"")</f>
        <v/>
      </c>
      <c r="D940" s="16" t="str">
        <f>IFERROR(IF([1]对账明细接口!$D$940=0,"",[1]对账明细接口!$D$940),"")</f>
        <v/>
      </c>
      <c r="E940" s="16" t="str">
        <f>IFERROR(IF([1]对账明细接口!$E$940=0,"",[1]对账明细接口!$E$940),"")</f>
        <v/>
      </c>
      <c r="F940" s="16" t="str">
        <f>IFERROR(IF([1]对账明细接口!$F$940=0,"",[1]对账明细接口!$F$940),"")</f>
        <v/>
      </c>
      <c r="G940" s="16" t="str">
        <f>IFERROR(IF([1]对账明细接口!$G$940=0,"",[1]对账明细接口!$G$940),"")</f>
        <v/>
      </c>
      <c r="H940" s="17" t="str">
        <f>IFERROR(IF([1]对账明细接口!$H$940=0,"",[1]对账明细接口!$H$940),"")</f>
        <v/>
      </c>
      <c r="I940" s="16" t="str">
        <f>IFERROR(IF([1]对账明细接口!$I$940=0,"",[1]对账明细接口!$I$940),"")</f>
        <v/>
      </c>
      <c r="J940" s="18" t="str">
        <f>IFERROR(IF([1]对账明细接口!$J$940=0,"",[1]对账明细接口!$J$940),"")</f>
        <v/>
      </c>
      <c r="K940" s="18" t="str">
        <f>IFERROR(IF([1]对账明细接口!$K$940=0,"",[1]对账明细接口!$K$940),"")</f>
        <v/>
      </c>
      <c r="L940" s="16" t="str">
        <f>IFERROR(IF([1]对账明细接口!$L$940=0,"",[1]对账明细接口!$L$940),"")</f>
        <v/>
      </c>
      <c r="M940" s="16" t="str">
        <f>IFERROR(IF([1]对账明细接口!$M$940=0,"",[1]对账明细接口!$M$940),"")</f>
        <v/>
      </c>
      <c r="N940" s="19">
        <f t="shared" si="28"/>
        <v>0</v>
      </c>
      <c r="O940" s="19">
        <f t="shared" si="29"/>
        <v>420</v>
      </c>
      <c r="S940" s="20" t="str">
        <f>IFERROR(IF([1]对账明细接口!$N940=0,"",[1]对账明细接口!$N940),"")</f>
        <v/>
      </c>
      <c r="T940" s="21" t="str">
        <f>IFERROR(IF([1]对账明细接口!$O940=0,"",[1]对账明细接口!$O940),"")</f>
        <v/>
      </c>
      <c r="U940" s="21" t="str">
        <f>IFERROR(IF([1]对账明细接口!$P940=0,"",[1]对账明细接口!$P940),"")</f>
        <v/>
      </c>
      <c r="V940" s="21" t="str">
        <f>IFERROR(IF([1]对账明细接口!$Q940=0,"",[1]对账明细接口!$Q940),"")</f>
        <v/>
      </c>
      <c r="W940" s="20" t="str">
        <f>IFERROR(IF([1]对账明细接口!$R940=0,"",[1]对账明细接口!$R940),"")</f>
        <v/>
      </c>
      <c r="X940" s="20" t="str">
        <f>IFERROR(IF([1]对账明细接口!$S940=0,"",[1]对账明细接口!$S940),"")</f>
        <v/>
      </c>
      <c r="Y940" s="20" t="str">
        <f>IFERROR(IF([1]对账明细接口!$T940=0,"",[1]对账明细接口!$T940),"")</f>
        <v/>
      </c>
      <c r="Z940" s="24" t="str">
        <f>IFERROR(IF([1]对账明细接口!$U940=0,"",[1]对账明细接口!$U940),"")</f>
        <v/>
      </c>
      <c r="AA940" s="24" t="str">
        <f>IFERROR(IF([1]对账明细接口!$V940=0,"",[1]对账明细接口!$V940),"")</f>
        <v/>
      </c>
      <c r="AB940" s="20" t="str">
        <f>IFERROR(IF([1]对账明细接口!$W940=0,"",[1]对账明细接口!$W940),"")</f>
        <v/>
      </c>
      <c r="AC940" s="7" t="str">
        <f>IFERROR(IF([1]对账明细接口!$X940=0,"",[1]对账明细接口!$X940),"")</f>
        <v/>
      </c>
      <c r="AD940" s="7" t="str">
        <f>IFERROR(IF([1]对账明细接口!$Y940=0,"",[1]对账明细接口!$Y940),"")</f>
        <v/>
      </c>
      <c r="AE940" s="7" t="str">
        <f>IFERROR(IF([1]对账明细接口!$AA940=0,"",[1]对账明细接口!$AA940),"")</f>
        <v/>
      </c>
      <c r="AF940" s="7" t="str">
        <f>IFERROR(IF([1]对账明细接口!$AB940=0,"",[1]对账明细接口!$AB940),"")</f>
        <v/>
      </c>
      <c r="AG940" s="7" t="str">
        <f>IFERROR(IF([1]对账明细接口!$AC940=0,"",[1]对账明细接口!$AC940),"")</f>
        <v/>
      </c>
      <c r="AH940" s="7" t="str">
        <f>IFERROR(IF([1]对账明细接口!$AD940=0,"",[1]对账明细接口!$AD940),"")</f>
        <v/>
      </c>
      <c r="AI940" s="7" t="str">
        <f>IFERROR(IF([1]对账明细接口!$AE940=0,"",[1]对账明细接口!$AE940),"")</f>
        <v/>
      </c>
      <c r="AJ940" s="7" t="str">
        <f>IFERROR(IF([1]对账明细接口!$AF940=0,"",[1]对账明细接口!$AF940),"")</f>
        <v/>
      </c>
    </row>
    <row r="941" ht="14.25" customHeight="1" spans="1:36">
      <c r="A941" s="14">
        <v>941</v>
      </c>
      <c r="B941" s="15" t="str">
        <f>IFERROR(IF([1]对账明细接口!$B$941=0,"",[1]对账明细接口!$B$941),"")</f>
        <v/>
      </c>
      <c r="C941" s="16" t="str">
        <f>IFERROR(IF([1]对账明细接口!$C$941=0,"",[1]对账明细接口!$C$941),"")</f>
        <v/>
      </c>
      <c r="D941" s="16" t="str">
        <f>IFERROR(IF([1]对账明细接口!$D$941=0,"",[1]对账明细接口!$D$941),"")</f>
        <v/>
      </c>
      <c r="E941" s="16" t="str">
        <f>IFERROR(IF([1]对账明细接口!$E$941=0,"",[1]对账明细接口!$E$941),"")</f>
        <v/>
      </c>
      <c r="F941" s="16" t="str">
        <f>IFERROR(IF([1]对账明细接口!$F$941=0,"",[1]对账明细接口!$F$941),"")</f>
        <v/>
      </c>
      <c r="G941" s="16" t="str">
        <f>IFERROR(IF([1]对账明细接口!$G$941=0,"",[1]对账明细接口!$G$941),"")</f>
        <v/>
      </c>
      <c r="H941" s="17" t="str">
        <f>IFERROR(IF([1]对账明细接口!$H$941=0,"",[1]对账明细接口!$H$941),"")</f>
        <v/>
      </c>
      <c r="I941" s="16" t="str">
        <f>IFERROR(IF([1]对账明细接口!$I$941=0,"",[1]对账明细接口!$I$941),"")</f>
        <v/>
      </c>
      <c r="J941" s="18" t="str">
        <f>IFERROR(IF([1]对账明细接口!$J$941=0,"",[1]对账明细接口!$J$941),"")</f>
        <v/>
      </c>
      <c r="K941" s="18" t="str">
        <f>IFERROR(IF([1]对账明细接口!$K$941=0,"",[1]对账明细接口!$K$941),"")</f>
        <v/>
      </c>
      <c r="L941" s="16" t="str">
        <f>IFERROR(IF([1]对账明细接口!$L$941=0,"",[1]对账明细接口!$L$941),"")</f>
        <v/>
      </c>
      <c r="M941" s="16" t="str">
        <f>IFERROR(IF([1]对账明细接口!$M$941=0,"",[1]对账明细接口!$M$941),"")</f>
        <v/>
      </c>
      <c r="N941" s="19">
        <f t="shared" si="28"/>
        <v>0</v>
      </c>
      <c r="O941" s="19">
        <f t="shared" si="29"/>
        <v>420</v>
      </c>
      <c r="S941" s="20" t="str">
        <f>IFERROR(IF([1]对账明细接口!$N941=0,"",[1]对账明细接口!$N941),"")</f>
        <v/>
      </c>
      <c r="T941" s="21" t="str">
        <f>IFERROR(IF([1]对账明细接口!$O941=0,"",[1]对账明细接口!$O941),"")</f>
        <v/>
      </c>
      <c r="U941" s="21" t="str">
        <f>IFERROR(IF([1]对账明细接口!$P941=0,"",[1]对账明细接口!$P941),"")</f>
        <v/>
      </c>
      <c r="V941" s="21" t="str">
        <f>IFERROR(IF([1]对账明细接口!$Q941=0,"",[1]对账明细接口!$Q941),"")</f>
        <v/>
      </c>
      <c r="W941" s="20" t="str">
        <f>IFERROR(IF([1]对账明细接口!$R941=0,"",[1]对账明细接口!$R941),"")</f>
        <v/>
      </c>
      <c r="X941" s="20" t="str">
        <f>IFERROR(IF([1]对账明细接口!$S941=0,"",[1]对账明细接口!$S941),"")</f>
        <v/>
      </c>
      <c r="Y941" s="20" t="str">
        <f>IFERROR(IF([1]对账明细接口!$T941=0,"",[1]对账明细接口!$T941),"")</f>
        <v/>
      </c>
      <c r="Z941" s="24" t="str">
        <f>IFERROR(IF([1]对账明细接口!$U941=0,"",[1]对账明细接口!$U941),"")</f>
        <v/>
      </c>
      <c r="AA941" s="24" t="str">
        <f>IFERROR(IF([1]对账明细接口!$V941=0,"",[1]对账明细接口!$V941),"")</f>
        <v/>
      </c>
      <c r="AB941" s="20" t="str">
        <f>IFERROR(IF([1]对账明细接口!$W941=0,"",[1]对账明细接口!$W941),"")</f>
        <v/>
      </c>
      <c r="AC941" s="7" t="str">
        <f>IFERROR(IF([1]对账明细接口!$X941=0,"",[1]对账明细接口!$X941),"")</f>
        <v/>
      </c>
      <c r="AD941" s="7" t="str">
        <f>IFERROR(IF([1]对账明细接口!$Y941=0,"",[1]对账明细接口!$Y941),"")</f>
        <v/>
      </c>
      <c r="AE941" s="7" t="str">
        <f>IFERROR(IF([1]对账明细接口!$AA941=0,"",[1]对账明细接口!$AA941),"")</f>
        <v/>
      </c>
      <c r="AF941" s="7" t="str">
        <f>IFERROR(IF([1]对账明细接口!$AB941=0,"",[1]对账明细接口!$AB941),"")</f>
        <v/>
      </c>
      <c r="AG941" s="7" t="str">
        <f>IFERROR(IF([1]对账明细接口!$AC941=0,"",[1]对账明细接口!$AC941),"")</f>
        <v/>
      </c>
      <c r="AH941" s="7" t="str">
        <f>IFERROR(IF([1]对账明细接口!$AD941=0,"",[1]对账明细接口!$AD941),"")</f>
        <v/>
      </c>
      <c r="AI941" s="7" t="str">
        <f>IFERROR(IF([1]对账明细接口!$AE941=0,"",[1]对账明细接口!$AE941),"")</f>
        <v/>
      </c>
      <c r="AJ941" s="7" t="str">
        <f>IFERROR(IF([1]对账明细接口!$AF941=0,"",[1]对账明细接口!$AF941),"")</f>
        <v/>
      </c>
    </row>
    <row r="942" ht="14.25" customHeight="1" spans="1:36">
      <c r="A942" s="14">
        <v>942</v>
      </c>
      <c r="B942" s="15" t="str">
        <f>IFERROR(IF([1]对账明细接口!$B$942=0,"",[1]对账明细接口!$B$942),"")</f>
        <v/>
      </c>
      <c r="C942" s="16" t="str">
        <f>IFERROR(IF([1]对账明细接口!$C$942=0,"",[1]对账明细接口!$C$942),"")</f>
        <v/>
      </c>
      <c r="D942" s="16" t="str">
        <f>IFERROR(IF([1]对账明细接口!$D$942=0,"",[1]对账明细接口!$D$942),"")</f>
        <v/>
      </c>
      <c r="E942" s="16" t="str">
        <f>IFERROR(IF([1]对账明细接口!$E$942=0,"",[1]对账明细接口!$E$942),"")</f>
        <v/>
      </c>
      <c r="F942" s="16" t="str">
        <f>IFERROR(IF([1]对账明细接口!$F$942=0,"",[1]对账明细接口!$F$942),"")</f>
        <v/>
      </c>
      <c r="G942" s="16" t="str">
        <f>IFERROR(IF([1]对账明细接口!$G$942=0,"",[1]对账明细接口!$G$942),"")</f>
        <v/>
      </c>
      <c r="H942" s="17" t="str">
        <f>IFERROR(IF([1]对账明细接口!$H$942=0,"",[1]对账明细接口!$H$942),"")</f>
        <v/>
      </c>
      <c r="I942" s="16" t="str">
        <f>IFERROR(IF([1]对账明细接口!$I$942=0,"",[1]对账明细接口!$I$942),"")</f>
        <v/>
      </c>
      <c r="J942" s="18" t="str">
        <f>IFERROR(IF([1]对账明细接口!$J$942=0,"",[1]对账明细接口!$J$942),"")</f>
        <v/>
      </c>
      <c r="K942" s="18" t="str">
        <f>IFERROR(IF([1]对账明细接口!$K$942=0,"",[1]对账明细接口!$K$942),"")</f>
        <v/>
      </c>
      <c r="L942" s="16" t="str">
        <f>IFERROR(IF([1]对账明细接口!$L$942=0,"",[1]对账明细接口!$L$942),"")</f>
        <v/>
      </c>
      <c r="M942" s="16" t="str">
        <f>IFERROR(IF([1]对账明细接口!$M$942=0,"",[1]对账明细接口!$M$942),"")</f>
        <v/>
      </c>
      <c r="N942" s="19">
        <f t="shared" si="28"/>
        <v>0</v>
      </c>
      <c r="O942" s="19">
        <f t="shared" si="29"/>
        <v>420</v>
      </c>
      <c r="S942" s="20" t="str">
        <f>IFERROR(IF([1]对账明细接口!$N942=0,"",[1]对账明细接口!$N942),"")</f>
        <v/>
      </c>
      <c r="T942" s="21" t="str">
        <f>IFERROR(IF([1]对账明细接口!$O942=0,"",[1]对账明细接口!$O942),"")</f>
        <v/>
      </c>
      <c r="U942" s="21" t="str">
        <f>IFERROR(IF([1]对账明细接口!$P942=0,"",[1]对账明细接口!$P942),"")</f>
        <v/>
      </c>
      <c r="V942" s="21" t="str">
        <f>IFERROR(IF([1]对账明细接口!$Q942=0,"",[1]对账明细接口!$Q942),"")</f>
        <v/>
      </c>
      <c r="W942" s="20" t="str">
        <f>IFERROR(IF([1]对账明细接口!$R942=0,"",[1]对账明细接口!$R942),"")</f>
        <v/>
      </c>
      <c r="X942" s="20" t="str">
        <f>IFERROR(IF([1]对账明细接口!$S942=0,"",[1]对账明细接口!$S942),"")</f>
        <v/>
      </c>
      <c r="Y942" s="20" t="str">
        <f>IFERROR(IF([1]对账明细接口!$T942=0,"",[1]对账明细接口!$T942),"")</f>
        <v/>
      </c>
      <c r="Z942" s="24" t="str">
        <f>IFERROR(IF([1]对账明细接口!$U942=0,"",[1]对账明细接口!$U942),"")</f>
        <v/>
      </c>
      <c r="AA942" s="24" t="str">
        <f>IFERROR(IF([1]对账明细接口!$V942=0,"",[1]对账明细接口!$V942),"")</f>
        <v/>
      </c>
      <c r="AB942" s="20" t="str">
        <f>IFERROR(IF([1]对账明细接口!$W942=0,"",[1]对账明细接口!$W942),"")</f>
        <v/>
      </c>
      <c r="AC942" s="7" t="str">
        <f>IFERROR(IF([1]对账明细接口!$X942=0,"",[1]对账明细接口!$X942),"")</f>
        <v/>
      </c>
      <c r="AD942" s="7" t="str">
        <f>IFERROR(IF([1]对账明细接口!$Y942=0,"",[1]对账明细接口!$Y942),"")</f>
        <v/>
      </c>
      <c r="AE942" s="7" t="str">
        <f>IFERROR(IF([1]对账明细接口!$AA942=0,"",[1]对账明细接口!$AA942),"")</f>
        <v/>
      </c>
      <c r="AF942" s="7" t="str">
        <f>IFERROR(IF([1]对账明细接口!$AB942=0,"",[1]对账明细接口!$AB942),"")</f>
        <v/>
      </c>
      <c r="AG942" s="7" t="str">
        <f>IFERROR(IF([1]对账明细接口!$AC942=0,"",[1]对账明细接口!$AC942),"")</f>
        <v/>
      </c>
      <c r="AH942" s="7" t="str">
        <f>IFERROR(IF([1]对账明细接口!$AD942=0,"",[1]对账明细接口!$AD942),"")</f>
        <v/>
      </c>
      <c r="AI942" s="7" t="str">
        <f>IFERROR(IF([1]对账明细接口!$AE942=0,"",[1]对账明细接口!$AE942),"")</f>
        <v/>
      </c>
      <c r="AJ942" s="7" t="str">
        <f>IFERROR(IF([1]对账明细接口!$AF942=0,"",[1]对账明细接口!$AF942),"")</f>
        <v/>
      </c>
    </row>
    <row r="943" ht="14.25" customHeight="1" spans="1:36">
      <c r="A943" s="14">
        <v>943</v>
      </c>
      <c r="B943" s="15" t="str">
        <f>IFERROR(IF([1]对账明细接口!$B$943=0,"",[1]对账明细接口!$B$943),"")</f>
        <v/>
      </c>
      <c r="C943" s="16" t="str">
        <f>IFERROR(IF([1]对账明细接口!$C$943=0,"",[1]对账明细接口!$C$943),"")</f>
        <v/>
      </c>
      <c r="D943" s="16" t="str">
        <f>IFERROR(IF([1]对账明细接口!$D$943=0,"",[1]对账明细接口!$D$943),"")</f>
        <v/>
      </c>
      <c r="E943" s="16" t="str">
        <f>IFERROR(IF([1]对账明细接口!$E$943=0,"",[1]对账明细接口!$E$943),"")</f>
        <v/>
      </c>
      <c r="F943" s="16" t="str">
        <f>IFERROR(IF([1]对账明细接口!$F$943=0,"",[1]对账明细接口!$F$943),"")</f>
        <v/>
      </c>
      <c r="G943" s="16" t="str">
        <f>IFERROR(IF([1]对账明细接口!$G$943=0,"",[1]对账明细接口!$G$943),"")</f>
        <v/>
      </c>
      <c r="H943" s="17" t="str">
        <f>IFERROR(IF([1]对账明细接口!$H$943=0,"",[1]对账明细接口!$H$943),"")</f>
        <v/>
      </c>
      <c r="I943" s="16" t="str">
        <f>IFERROR(IF([1]对账明细接口!$I$943=0,"",[1]对账明细接口!$I$943),"")</f>
        <v/>
      </c>
      <c r="J943" s="18" t="str">
        <f>IFERROR(IF([1]对账明细接口!$J$943=0,"",[1]对账明细接口!$J$943),"")</f>
        <v/>
      </c>
      <c r="K943" s="18" t="str">
        <f>IFERROR(IF([1]对账明细接口!$K$943=0,"",[1]对账明细接口!$K$943),"")</f>
        <v/>
      </c>
      <c r="L943" s="16" t="str">
        <f>IFERROR(IF([1]对账明细接口!$L$943=0,"",[1]对账明细接口!$L$943),"")</f>
        <v/>
      </c>
      <c r="M943" s="16" t="str">
        <f>IFERROR(IF([1]对账明细接口!$M$943=0,"",[1]对账明细接口!$M$943),"")</f>
        <v/>
      </c>
      <c r="N943" s="19">
        <f t="shared" si="28"/>
        <v>0</v>
      </c>
      <c r="O943" s="19">
        <f t="shared" si="29"/>
        <v>420</v>
      </c>
      <c r="S943" s="20" t="str">
        <f>IFERROR(IF([1]对账明细接口!$N943=0,"",[1]对账明细接口!$N943),"")</f>
        <v/>
      </c>
      <c r="T943" s="21" t="str">
        <f>IFERROR(IF([1]对账明细接口!$O943=0,"",[1]对账明细接口!$O943),"")</f>
        <v/>
      </c>
      <c r="U943" s="21" t="str">
        <f>IFERROR(IF([1]对账明细接口!$P943=0,"",[1]对账明细接口!$P943),"")</f>
        <v/>
      </c>
      <c r="V943" s="21" t="str">
        <f>IFERROR(IF([1]对账明细接口!$Q943=0,"",[1]对账明细接口!$Q943),"")</f>
        <v/>
      </c>
      <c r="W943" s="20" t="str">
        <f>IFERROR(IF([1]对账明细接口!$R943=0,"",[1]对账明细接口!$R943),"")</f>
        <v/>
      </c>
      <c r="X943" s="20" t="str">
        <f>IFERROR(IF([1]对账明细接口!$S943=0,"",[1]对账明细接口!$S943),"")</f>
        <v/>
      </c>
      <c r="Y943" s="20" t="str">
        <f>IFERROR(IF([1]对账明细接口!$T943=0,"",[1]对账明细接口!$T943),"")</f>
        <v/>
      </c>
      <c r="Z943" s="24" t="str">
        <f>IFERROR(IF([1]对账明细接口!$U943=0,"",[1]对账明细接口!$U943),"")</f>
        <v/>
      </c>
      <c r="AA943" s="24" t="str">
        <f>IFERROR(IF([1]对账明细接口!$V943=0,"",[1]对账明细接口!$V943),"")</f>
        <v/>
      </c>
      <c r="AB943" s="20" t="str">
        <f>IFERROR(IF([1]对账明细接口!$W943=0,"",[1]对账明细接口!$W943),"")</f>
        <v/>
      </c>
      <c r="AC943" s="7" t="str">
        <f>IFERROR(IF([1]对账明细接口!$X943=0,"",[1]对账明细接口!$X943),"")</f>
        <v/>
      </c>
      <c r="AD943" s="7" t="str">
        <f>IFERROR(IF([1]对账明细接口!$Y943=0,"",[1]对账明细接口!$Y943),"")</f>
        <v/>
      </c>
      <c r="AE943" s="7" t="str">
        <f>IFERROR(IF([1]对账明细接口!$AA943=0,"",[1]对账明细接口!$AA943),"")</f>
        <v/>
      </c>
      <c r="AF943" s="7" t="str">
        <f>IFERROR(IF([1]对账明细接口!$AB943=0,"",[1]对账明细接口!$AB943),"")</f>
        <v/>
      </c>
      <c r="AG943" s="7" t="str">
        <f>IFERROR(IF([1]对账明细接口!$AC943=0,"",[1]对账明细接口!$AC943),"")</f>
        <v/>
      </c>
      <c r="AH943" s="7" t="str">
        <f>IFERROR(IF([1]对账明细接口!$AD943=0,"",[1]对账明细接口!$AD943),"")</f>
        <v/>
      </c>
      <c r="AI943" s="7" t="str">
        <f>IFERROR(IF([1]对账明细接口!$AE943=0,"",[1]对账明细接口!$AE943),"")</f>
        <v/>
      </c>
      <c r="AJ943" s="7" t="str">
        <f>IFERROR(IF([1]对账明细接口!$AF943=0,"",[1]对账明细接口!$AF943),"")</f>
        <v/>
      </c>
    </row>
    <row r="944" ht="14.25" customHeight="1" spans="1:36">
      <c r="A944" s="14">
        <v>944</v>
      </c>
      <c r="B944" s="15" t="str">
        <f>IFERROR(IF([1]对账明细接口!$B$944=0,"",[1]对账明细接口!$B$944),"")</f>
        <v/>
      </c>
      <c r="C944" s="16" t="str">
        <f>IFERROR(IF([1]对账明细接口!$C$944=0,"",[1]对账明细接口!$C$944),"")</f>
        <v/>
      </c>
      <c r="D944" s="16" t="str">
        <f>IFERROR(IF([1]对账明细接口!$D$944=0,"",[1]对账明细接口!$D$944),"")</f>
        <v/>
      </c>
      <c r="E944" s="16" t="str">
        <f>IFERROR(IF([1]对账明细接口!$E$944=0,"",[1]对账明细接口!$E$944),"")</f>
        <v/>
      </c>
      <c r="F944" s="16" t="str">
        <f>IFERROR(IF([1]对账明细接口!$F$944=0,"",[1]对账明细接口!$F$944),"")</f>
        <v/>
      </c>
      <c r="G944" s="16" t="str">
        <f>IFERROR(IF([1]对账明细接口!$G$944=0,"",[1]对账明细接口!$G$944),"")</f>
        <v/>
      </c>
      <c r="H944" s="17" t="str">
        <f>IFERROR(IF([1]对账明细接口!$H$944=0,"",[1]对账明细接口!$H$944),"")</f>
        <v/>
      </c>
      <c r="I944" s="16" t="str">
        <f>IFERROR(IF([1]对账明细接口!$I$944=0,"",[1]对账明细接口!$I$944),"")</f>
        <v/>
      </c>
      <c r="J944" s="18" t="str">
        <f>IFERROR(IF([1]对账明细接口!$J$944=0,"",[1]对账明细接口!$J$944),"")</f>
        <v/>
      </c>
      <c r="K944" s="18" t="str">
        <f>IFERROR(IF([1]对账明细接口!$K$944=0,"",[1]对账明细接口!$K$944),"")</f>
        <v/>
      </c>
      <c r="L944" s="16" t="str">
        <f>IFERROR(IF([1]对账明细接口!$L$944=0,"",[1]对账明细接口!$L$944),"")</f>
        <v/>
      </c>
      <c r="M944" s="16" t="str">
        <f>IFERROR(IF([1]对账明细接口!$M$944=0,"",[1]对账明细接口!$M$944),"")</f>
        <v/>
      </c>
      <c r="N944" s="19">
        <f t="shared" si="28"/>
        <v>0</v>
      </c>
      <c r="O944" s="19">
        <f t="shared" si="29"/>
        <v>420</v>
      </c>
      <c r="S944" s="20" t="str">
        <f>IFERROR(IF([1]对账明细接口!$N944=0,"",[1]对账明细接口!$N944),"")</f>
        <v/>
      </c>
      <c r="T944" s="21" t="str">
        <f>IFERROR(IF([1]对账明细接口!$O944=0,"",[1]对账明细接口!$O944),"")</f>
        <v/>
      </c>
      <c r="U944" s="21" t="str">
        <f>IFERROR(IF([1]对账明细接口!$P944=0,"",[1]对账明细接口!$P944),"")</f>
        <v/>
      </c>
      <c r="V944" s="21" t="str">
        <f>IFERROR(IF([1]对账明细接口!$Q944=0,"",[1]对账明细接口!$Q944),"")</f>
        <v/>
      </c>
      <c r="W944" s="20" t="str">
        <f>IFERROR(IF([1]对账明细接口!$R944=0,"",[1]对账明细接口!$R944),"")</f>
        <v/>
      </c>
      <c r="X944" s="20" t="str">
        <f>IFERROR(IF([1]对账明细接口!$S944=0,"",[1]对账明细接口!$S944),"")</f>
        <v/>
      </c>
      <c r="Y944" s="20" t="str">
        <f>IFERROR(IF([1]对账明细接口!$T944=0,"",[1]对账明细接口!$T944),"")</f>
        <v/>
      </c>
      <c r="Z944" s="24" t="str">
        <f>IFERROR(IF([1]对账明细接口!$U944=0,"",[1]对账明细接口!$U944),"")</f>
        <v/>
      </c>
      <c r="AA944" s="24" t="str">
        <f>IFERROR(IF([1]对账明细接口!$V944=0,"",[1]对账明细接口!$V944),"")</f>
        <v/>
      </c>
      <c r="AB944" s="20" t="str">
        <f>IFERROR(IF([1]对账明细接口!$W944=0,"",[1]对账明细接口!$W944),"")</f>
        <v/>
      </c>
      <c r="AC944" s="7" t="str">
        <f>IFERROR(IF([1]对账明细接口!$X944=0,"",[1]对账明细接口!$X944),"")</f>
        <v/>
      </c>
      <c r="AD944" s="7" t="str">
        <f>IFERROR(IF([1]对账明细接口!$Y944=0,"",[1]对账明细接口!$Y944),"")</f>
        <v/>
      </c>
      <c r="AE944" s="7" t="str">
        <f>IFERROR(IF([1]对账明细接口!$AA944=0,"",[1]对账明细接口!$AA944),"")</f>
        <v/>
      </c>
      <c r="AF944" s="7" t="str">
        <f>IFERROR(IF([1]对账明细接口!$AB944=0,"",[1]对账明细接口!$AB944),"")</f>
        <v/>
      </c>
      <c r="AG944" s="7" t="str">
        <f>IFERROR(IF([1]对账明细接口!$AC944=0,"",[1]对账明细接口!$AC944),"")</f>
        <v/>
      </c>
      <c r="AH944" s="7" t="str">
        <f>IFERROR(IF([1]对账明细接口!$AD944=0,"",[1]对账明细接口!$AD944),"")</f>
        <v/>
      </c>
      <c r="AI944" s="7" t="str">
        <f>IFERROR(IF([1]对账明细接口!$AE944=0,"",[1]对账明细接口!$AE944),"")</f>
        <v/>
      </c>
      <c r="AJ944" s="7" t="str">
        <f>IFERROR(IF([1]对账明细接口!$AF944=0,"",[1]对账明细接口!$AF944),"")</f>
        <v/>
      </c>
    </row>
    <row r="945" ht="14.25" customHeight="1" spans="1:36">
      <c r="A945" s="14">
        <v>945</v>
      </c>
      <c r="B945" s="15" t="str">
        <f>IFERROR(IF([1]对账明细接口!$B$945=0,"",[1]对账明细接口!$B$945),"")</f>
        <v/>
      </c>
      <c r="C945" s="16" t="str">
        <f>IFERROR(IF([1]对账明细接口!$C$945=0,"",[1]对账明细接口!$C$945),"")</f>
        <v/>
      </c>
      <c r="D945" s="16" t="str">
        <f>IFERROR(IF([1]对账明细接口!$D$945=0,"",[1]对账明细接口!$D$945),"")</f>
        <v/>
      </c>
      <c r="E945" s="16" t="str">
        <f>IFERROR(IF([1]对账明细接口!$E$945=0,"",[1]对账明细接口!$E$945),"")</f>
        <v/>
      </c>
      <c r="F945" s="16" t="str">
        <f>IFERROR(IF([1]对账明细接口!$F$945=0,"",[1]对账明细接口!$F$945),"")</f>
        <v/>
      </c>
      <c r="G945" s="16" t="str">
        <f>IFERROR(IF([1]对账明细接口!$G$945=0,"",[1]对账明细接口!$G$945),"")</f>
        <v/>
      </c>
      <c r="H945" s="17" t="str">
        <f>IFERROR(IF([1]对账明细接口!$H$945=0,"",[1]对账明细接口!$H$945),"")</f>
        <v/>
      </c>
      <c r="I945" s="16" t="str">
        <f>IFERROR(IF([1]对账明细接口!$I$945=0,"",[1]对账明细接口!$I$945),"")</f>
        <v/>
      </c>
      <c r="J945" s="18" t="str">
        <f>IFERROR(IF([1]对账明细接口!$J$945=0,"",[1]对账明细接口!$J$945),"")</f>
        <v/>
      </c>
      <c r="K945" s="18" t="str">
        <f>IFERROR(IF([1]对账明细接口!$K$945=0,"",[1]对账明细接口!$K$945),"")</f>
        <v/>
      </c>
      <c r="L945" s="16" t="str">
        <f>IFERROR(IF([1]对账明细接口!$L$945=0,"",[1]对账明细接口!$L$945),"")</f>
        <v/>
      </c>
      <c r="M945" s="16" t="str">
        <f>IFERROR(IF([1]对账明细接口!$M$945=0,"",[1]对账明细接口!$M$945),"")</f>
        <v/>
      </c>
      <c r="N945" s="19">
        <f t="shared" si="28"/>
        <v>0</v>
      </c>
      <c r="O945" s="19">
        <f t="shared" si="29"/>
        <v>420</v>
      </c>
      <c r="S945" s="20" t="str">
        <f>IFERROR(IF([1]对账明细接口!$N945=0,"",[1]对账明细接口!$N945),"")</f>
        <v/>
      </c>
      <c r="T945" s="21" t="str">
        <f>IFERROR(IF([1]对账明细接口!$O945=0,"",[1]对账明细接口!$O945),"")</f>
        <v/>
      </c>
      <c r="U945" s="21" t="str">
        <f>IFERROR(IF([1]对账明细接口!$P945=0,"",[1]对账明细接口!$P945),"")</f>
        <v/>
      </c>
      <c r="V945" s="21" t="str">
        <f>IFERROR(IF([1]对账明细接口!$Q945=0,"",[1]对账明细接口!$Q945),"")</f>
        <v/>
      </c>
      <c r="W945" s="20" t="str">
        <f>IFERROR(IF([1]对账明细接口!$R945=0,"",[1]对账明细接口!$R945),"")</f>
        <v/>
      </c>
      <c r="X945" s="20" t="str">
        <f>IFERROR(IF([1]对账明细接口!$S945=0,"",[1]对账明细接口!$S945),"")</f>
        <v/>
      </c>
      <c r="Y945" s="20" t="str">
        <f>IFERROR(IF([1]对账明细接口!$T945=0,"",[1]对账明细接口!$T945),"")</f>
        <v/>
      </c>
      <c r="Z945" s="24" t="str">
        <f>IFERROR(IF([1]对账明细接口!$U945=0,"",[1]对账明细接口!$U945),"")</f>
        <v/>
      </c>
      <c r="AA945" s="24" t="str">
        <f>IFERROR(IF([1]对账明细接口!$V945=0,"",[1]对账明细接口!$V945),"")</f>
        <v/>
      </c>
      <c r="AB945" s="20" t="str">
        <f>IFERROR(IF([1]对账明细接口!$W945=0,"",[1]对账明细接口!$W945),"")</f>
        <v/>
      </c>
      <c r="AC945" s="7" t="str">
        <f>IFERROR(IF([1]对账明细接口!$X945=0,"",[1]对账明细接口!$X945),"")</f>
        <v/>
      </c>
      <c r="AD945" s="7" t="str">
        <f>IFERROR(IF([1]对账明细接口!$Y945=0,"",[1]对账明细接口!$Y945),"")</f>
        <v/>
      </c>
      <c r="AE945" s="7" t="str">
        <f>IFERROR(IF([1]对账明细接口!$AA945=0,"",[1]对账明细接口!$AA945),"")</f>
        <v/>
      </c>
      <c r="AF945" s="7" t="str">
        <f>IFERROR(IF([1]对账明细接口!$AB945=0,"",[1]对账明细接口!$AB945),"")</f>
        <v/>
      </c>
      <c r="AG945" s="7" t="str">
        <f>IFERROR(IF([1]对账明细接口!$AC945=0,"",[1]对账明细接口!$AC945),"")</f>
        <v/>
      </c>
      <c r="AH945" s="7" t="str">
        <f>IFERROR(IF([1]对账明细接口!$AD945=0,"",[1]对账明细接口!$AD945),"")</f>
        <v/>
      </c>
      <c r="AI945" s="7" t="str">
        <f>IFERROR(IF([1]对账明细接口!$AE945=0,"",[1]对账明细接口!$AE945),"")</f>
        <v/>
      </c>
      <c r="AJ945" s="7" t="str">
        <f>IFERROR(IF([1]对账明细接口!$AF945=0,"",[1]对账明细接口!$AF945),"")</f>
        <v/>
      </c>
    </row>
    <row r="946" ht="14.25" customHeight="1" spans="1:36">
      <c r="A946" s="14">
        <v>946</v>
      </c>
      <c r="B946" s="15" t="str">
        <f>IFERROR(IF([1]对账明细接口!$B$946=0,"",[1]对账明细接口!$B$946),"")</f>
        <v/>
      </c>
      <c r="C946" s="16" t="str">
        <f>IFERROR(IF([1]对账明细接口!$C$946=0,"",[1]对账明细接口!$C$946),"")</f>
        <v/>
      </c>
      <c r="D946" s="16" t="str">
        <f>IFERROR(IF([1]对账明细接口!$D$946=0,"",[1]对账明细接口!$D$946),"")</f>
        <v/>
      </c>
      <c r="E946" s="16" t="str">
        <f>IFERROR(IF([1]对账明细接口!$E$946=0,"",[1]对账明细接口!$E$946),"")</f>
        <v/>
      </c>
      <c r="F946" s="16" t="str">
        <f>IFERROR(IF([1]对账明细接口!$F$946=0,"",[1]对账明细接口!$F$946),"")</f>
        <v/>
      </c>
      <c r="G946" s="16" t="str">
        <f>IFERROR(IF([1]对账明细接口!$G$946=0,"",[1]对账明细接口!$G$946),"")</f>
        <v/>
      </c>
      <c r="H946" s="17" t="str">
        <f>IFERROR(IF([1]对账明细接口!$H$946=0,"",[1]对账明细接口!$H$946),"")</f>
        <v/>
      </c>
      <c r="I946" s="16" t="str">
        <f>IFERROR(IF([1]对账明细接口!$I$946=0,"",[1]对账明细接口!$I$946),"")</f>
        <v/>
      </c>
      <c r="J946" s="18" t="str">
        <f>IFERROR(IF([1]对账明细接口!$J$946=0,"",[1]对账明细接口!$J$946),"")</f>
        <v/>
      </c>
      <c r="K946" s="18" t="str">
        <f>IFERROR(IF([1]对账明细接口!$K$946=0,"",[1]对账明细接口!$K$946),"")</f>
        <v/>
      </c>
      <c r="L946" s="16" t="str">
        <f>IFERROR(IF([1]对账明细接口!$L$946=0,"",[1]对账明细接口!$L$946),"")</f>
        <v/>
      </c>
      <c r="M946" s="16" t="str">
        <f>IFERROR(IF([1]对账明细接口!$M$946=0,"",[1]对账明细接口!$M$946),"")</f>
        <v/>
      </c>
      <c r="N946" s="19">
        <f t="shared" si="28"/>
        <v>0</v>
      </c>
      <c r="O946" s="19">
        <f t="shared" si="29"/>
        <v>420</v>
      </c>
      <c r="S946" s="20" t="str">
        <f>IFERROR(IF([1]对账明细接口!$N946=0,"",[1]对账明细接口!$N946),"")</f>
        <v/>
      </c>
      <c r="T946" s="21" t="str">
        <f>IFERROR(IF([1]对账明细接口!$O946=0,"",[1]对账明细接口!$O946),"")</f>
        <v/>
      </c>
      <c r="U946" s="21" t="str">
        <f>IFERROR(IF([1]对账明细接口!$P946=0,"",[1]对账明细接口!$P946),"")</f>
        <v/>
      </c>
      <c r="V946" s="21" t="str">
        <f>IFERROR(IF([1]对账明细接口!$Q946=0,"",[1]对账明细接口!$Q946),"")</f>
        <v/>
      </c>
      <c r="W946" s="20" t="str">
        <f>IFERROR(IF([1]对账明细接口!$R946=0,"",[1]对账明细接口!$R946),"")</f>
        <v/>
      </c>
      <c r="X946" s="20" t="str">
        <f>IFERROR(IF([1]对账明细接口!$S946=0,"",[1]对账明细接口!$S946),"")</f>
        <v/>
      </c>
      <c r="Y946" s="20" t="str">
        <f>IFERROR(IF([1]对账明细接口!$T946=0,"",[1]对账明细接口!$T946),"")</f>
        <v/>
      </c>
      <c r="Z946" s="24" t="str">
        <f>IFERROR(IF([1]对账明细接口!$U946=0,"",[1]对账明细接口!$U946),"")</f>
        <v/>
      </c>
      <c r="AA946" s="24" t="str">
        <f>IFERROR(IF([1]对账明细接口!$V946=0,"",[1]对账明细接口!$V946),"")</f>
        <v/>
      </c>
      <c r="AB946" s="20" t="str">
        <f>IFERROR(IF([1]对账明细接口!$W946=0,"",[1]对账明细接口!$W946),"")</f>
        <v/>
      </c>
      <c r="AC946" s="7" t="str">
        <f>IFERROR(IF([1]对账明细接口!$X946=0,"",[1]对账明细接口!$X946),"")</f>
        <v/>
      </c>
      <c r="AD946" s="7" t="str">
        <f>IFERROR(IF([1]对账明细接口!$Y946=0,"",[1]对账明细接口!$Y946),"")</f>
        <v/>
      </c>
      <c r="AE946" s="7" t="str">
        <f>IFERROR(IF([1]对账明细接口!$AA946=0,"",[1]对账明细接口!$AA946),"")</f>
        <v/>
      </c>
      <c r="AF946" s="7" t="str">
        <f>IFERROR(IF([1]对账明细接口!$AB946=0,"",[1]对账明细接口!$AB946),"")</f>
        <v/>
      </c>
      <c r="AG946" s="7" t="str">
        <f>IFERROR(IF([1]对账明细接口!$AC946=0,"",[1]对账明细接口!$AC946),"")</f>
        <v/>
      </c>
      <c r="AH946" s="7" t="str">
        <f>IFERROR(IF([1]对账明细接口!$AD946=0,"",[1]对账明细接口!$AD946),"")</f>
        <v/>
      </c>
      <c r="AI946" s="7" t="str">
        <f>IFERROR(IF([1]对账明细接口!$AE946=0,"",[1]对账明细接口!$AE946),"")</f>
        <v/>
      </c>
      <c r="AJ946" s="7" t="str">
        <f>IFERROR(IF([1]对账明细接口!$AF946=0,"",[1]对账明细接口!$AF946),"")</f>
        <v/>
      </c>
    </row>
    <row r="947" ht="14.25" customHeight="1" spans="1:36">
      <c r="A947" s="14">
        <v>947</v>
      </c>
      <c r="B947" s="15" t="str">
        <f>IFERROR(IF([1]对账明细接口!$B$947=0,"",[1]对账明细接口!$B$947),"")</f>
        <v/>
      </c>
      <c r="C947" s="16" t="str">
        <f>IFERROR(IF([1]对账明细接口!$C$947=0,"",[1]对账明细接口!$C$947),"")</f>
        <v/>
      </c>
      <c r="D947" s="16" t="str">
        <f>IFERROR(IF([1]对账明细接口!$D$947=0,"",[1]对账明细接口!$D$947),"")</f>
        <v/>
      </c>
      <c r="E947" s="16" t="str">
        <f>IFERROR(IF([1]对账明细接口!$E$947=0,"",[1]对账明细接口!$E$947),"")</f>
        <v/>
      </c>
      <c r="F947" s="16" t="str">
        <f>IFERROR(IF([1]对账明细接口!$F$947=0,"",[1]对账明细接口!$F$947),"")</f>
        <v/>
      </c>
      <c r="G947" s="16" t="str">
        <f>IFERROR(IF([1]对账明细接口!$G$947=0,"",[1]对账明细接口!$G$947),"")</f>
        <v/>
      </c>
      <c r="H947" s="17" t="str">
        <f>IFERROR(IF([1]对账明细接口!$H$947=0,"",[1]对账明细接口!$H$947),"")</f>
        <v/>
      </c>
      <c r="I947" s="16" t="str">
        <f>IFERROR(IF([1]对账明细接口!$I$947=0,"",[1]对账明细接口!$I$947),"")</f>
        <v/>
      </c>
      <c r="J947" s="18" t="str">
        <f>IFERROR(IF([1]对账明细接口!$J$947=0,"",[1]对账明细接口!$J$947),"")</f>
        <v/>
      </c>
      <c r="K947" s="18" t="str">
        <f>IFERROR(IF([1]对账明细接口!$K$947=0,"",[1]对账明细接口!$K$947),"")</f>
        <v/>
      </c>
      <c r="L947" s="16" t="str">
        <f>IFERROR(IF([1]对账明细接口!$L$947=0,"",[1]对账明细接口!$L$947),"")</f>
        <v/>
      </c>
      <c r="M947" s="16" t="str">
        <f>IFERROR(IF([1]对账明细接口!$M$947=0,"",[1]对账明细接口!$M$947),"")</f>
        <v/>
      </c>
      <c r="N947" s="19">
        <f t="shared" si="28"/>
        <v>0</v>
      </c>
      <c r="O947" s="19">
        <f t="shared" si="29"/>
        <v>420</v>
      </c>
      <c r="S947" s="20" t="str">
        <f>IFERROR(IF([1]对账明细接口!$N947=0,"",[1]对账明细接口!$N947),"")</f>
        <v/>
      </c>
      <c r="T947" s="21" t="str">
        <f>IFERROR(IF([1]对账明细接口!$O947=0,"",[1]对账明细接口!$O947),"")</f>
        <v/>
      </c>
      <c r="U947" s="21" t="str">
        <f>IFERROR(IF([1]对账明细接口!$P947=0,"",[1]对账明细接口!$P947),"")</f>
        <v/>
      </c>
      <c r="V947" s="21" t="str">
        <f>IFERROR(IF([1]对账明细接口!$Q947=0,"",[1]对账明细接口!$Q947),"")</f>
        <v/>
      </c>
      <c r="W947" s="20" t="str">
        <f>IFERROR(IF([1]对账明细接口!$R947=0,"",[1]对账明细接口!$R947),"")</f>
        <v/>
      </c>
      <c r="X947" s="20" t="str">
        <f>IFERROR(IF([1]对账明细接口!$S947=0,"",[1]对账明细接口!$S947),"")</f>
        <v/>
      </c>
      <c r="Y947" s="20" t="str">
        <f>IFERROR(IF([1]对账明细接口!$T947=0,"",[1]对账明细接口!$T947),"")</f>
        <v/>
      </c>
      <c r="Z947" s="24" t="str">
        <f>IFERROR(IF([1]对账明细接口!$U947=0,"",[1]对账明细接口!$U947),"")</f>
        <v/>
      </c>
      <c r="AA947" s="24" t="str">
        <f>IFERROR(IF([1]对账明细接口!$V947=0,"",[1]对账明细接口!$V947),"")</f>
        <v/>
      </c>
      <c r="AB947" s="20" t="str">
        <f>IFERROR(IF([1]对账明细接口!$W947=0,"",[1]对账明细接口!$W947),"")</f>
        <v/>
      </c>
      <c r="AC947" s="7" t="str">
        <f>IFERROR(IF([1]对账明细接口!$X947=0,"",[1]对账明细接口!$X947),"")</f>
        <v/>
      </c>
      <c r="AD947" s="7" t="str">
        <f>IFERROR(IF([1]对账明细接口!$Y947=0,"",[1]对账明细接口!$Y947),"")</f>
        <v/>
      </c>
      <c r="AE947" s="7" t="str">
        <f>IFERROR(IF([1]对账明细接口!$AA947=0,"",[1]对账明细接口!$AA947),"")</f>
        <v/>
      </c>
      <c r="AF947" s="7" t="str">
        <f>IFERROR(IF([1]对账明细接口!$AB947=0,"",[1]对账明细接口!$AB947),"")</f>
        <v/>
      </c>
      <c r="AG947" s="7" t="str">
        <f>IFERROR(IF([1]对账明细接口!$AC947=0,"",[1]对账明细接口!$AC947),"")</f>
        <v/>
      </c>
      <c r="AH947" s="7" t="str">
        <f>IFERROR(IF([1]对账明细接口!$AD947=0,"",[1]对账明细接口!$AD947),"")</f>
        <v/>
      </c>
      <c r="AI947" s="7" t="str">
        <f>IFERROR(IF([1]对账明细接口!$AE947=0,"",[1]对账明细接口!$AE947),"")</f>
        <v/>
      </c>
      <c r="AJ947" s="7" t="str">
        <f>IFERROR(IF([1]对账明细接口!$AF947=0,"",[1]对账明细接口!$AF947),"")</f>
        <v/>
      </c>
    </row>
    <row r="948" ht="14.25" customHeight="1" spans="1:36">
      <c r="A948" s="14">
        <v>948</v>
      </c>
      <c r="B948" s="15" t="str">
        <f>IFERROR(IF([1]对账明细接口!$B$948=0,"",[1]对账明细接口!$B$948),"")</f>
        <v/>
      </c>
      <c r="C948" s="16" t="str">
        <f>IFERROR(IF([1]对账明细接口!$C$948=0,"",[1]对账明细接口!$C$948),"")</f>
        <v/>
      </c>
      <c r="D948" s="16" t="str">
        <f>IFERROR(IF([1]对账明细接口!$D$948=0,"",[1]对账明细接口!$D$948),"")</f>
        <v/>
      </c>
      <c r="E948" s="16" t="str">
        <f>IFERROR(IF([1]对账明细接口!$E$948=0,"",[1]对账明细接口!$E$948),"")</f>
        <v/>
      </c>
      <c r="F948" s="16" t="str">
        <f>IFERROR(IF([1]对账明细接口!$F$948=0,"",[1]对账明细接口!$F$948),"")</f>
        <v/>
      </c>
      <c r="G948" s="16" t="str">
        <f>IFERROR(IF([1]对账明细接口!$G$948=0,"",[1]对账明细接口!$G$948),"")</f>
        <v/>
      </c>
      <c r="H948" s="17" t="str">
        <f>IFERROR(IF([1]对账明细接口!$H$948=0,"",[1]对账明细接口!$H$948),"")</f>
        <v/>
      </c>
      <c r="I948" s="16" t="str">
        <f>IFERROR(IF([1]对账明细接口!$I$948=0,"",[1]对账明细接口!$I$948),"")</f>
        <v/>
      </c>
      <c r="J948" s="18" t="str">
        <f>IFERROR(IF([1]对账明细接口!$J$948=0,"",[1]对账明细接口!$J$948),"")</f>
        <v/>
      </c>
      <c r="K948" s="18" t="str">
        <f>IFERROR(IF([1]对账明细接口!$K$948=0,"",[1]对账明细接口!$K$948),"")</f>
        <v/>
      </c>
      <c r="L948" s="16" t="str">
        <f>IFERROR(IF([1]对账明细接口!$L$948=0,"",[1]对账明细接口!$L$948),"")</f>
        <v/>
      </c>
      <c r="M948" s="16" t="str">
        <f>IFERROR(IF([1]对账明细接口!$M$948=0,"",[1]对账明细接口!$M$948),"")</f>
        <v/>
      </c>
      <c r="N948" s="19">
        <f t="shared" si="28"/>
        <v>0</v>
      </c>
      <c r="O948" s="19">
        <f t="shared" si="29"/>
        <v>420</v>
      </c>
      <c r="S948" s="20" t="str">
        <f>IFERROR(IF([1]对账明细接口!$N948=0,"",[1]对账明细接口!$N948),"")</f>
        <v/>
      </c>
      <c r="T948" s="21" t="str">
        <f>IFERROR(IF([1]对账明细接口!$O948=0,"",[1]对账明细接口!$O948),"")</f>
        <v/>
      </c>
      <c r="U948" s="21" t="str">
        <f>IFERROR(IF([1]对账明细接口!$P948=0,"",[1]对账明细接口!$P948),"")</f>
        <v/>
      </c>
      <c r="V948" s="21" t="str">
        <f>IFERROR(IF([1]对账明细接口!$Q948=0,"",[1]对账明细接口!$Q948),"")</f>
        <v/>
      </c>
      <c r="W948" s="20" t="str">
        <f>IFERROR(IF([1]对账明细接口!$R948=0,"",[1]对账明细接口!$R948),"")</f>
        <v/>
      </c>
      <c r="X948" s="20" t="str">
        <f>IFERROR(IF([1]对账明细接口!$S948=0,"",[1]对账明细接口!$S948),"")</f>
        <v/>
      </c>
      <c r="Y948" s="20" t="str">
        <f>IFERROR(IF([1]对账明细接口!$T948=0,"",[1]对账明细接口!$T948),"")</f>
        <v/>
      </c>
      <c r="Z948" s="24" t="str">
        <f>IFERROR(IF([1]对账明细接口!$U948=0,"",[1]对账明细接口!$U948),"")</f>
        <v/>
      </c>
      <c r="AA948" s="24" t="str">
        <f>IFERROR(IF([1]对账明细接口!$V948=0,"",[1]对账明细接口!$V948),"")</f>
        <v/>
      </c>
      <c r="AB948" s="20" t="str">
        <f>IFERROR(IF([1]对账明细接口!$W948=0,"",[1]对账明细接口!$W948),"")</f>
        <v/>
      </c>
      <c r="AC948" s="7" t="str">
        <f>IFERROR(IF([1]对账明细接口!$X948=0,"",[1]对账明细接口!$X948),"")</f>
        <v/>
      </c>
      <c r="AD948" s="7" t="str">
        <f>IFERROR(IF([1]对账明细接口!$Y948=0,"",[1]对账明细接口!$Y948),"")</f>
        <v/>
      </c>
      <c r="AE948" s="7" t="str">
        <f>IFERROR(IF([1]对账明细接口!$AA948=0,"",[1]对账明细接口!$AA948),"")</f>
        <v/>
      </c>
      <c r="AF948" s="7" t="str">
        <f>IFERROR(IF([1]对账明细接口!$AB948=0,"",[1]对账明细接口!$AB948),"")</f>
        <v/>
      </c>
      <c r="AG948" s="7" t="str">
        <f>IFERROR(IF([1]对账明细接口!$AC948=0,"",[1]对账明细接口!$AC948),"")</f>
        <v/>
      </c>
      <c r="AH948" s="7" t="str">
        <f>IFERROR(IF([1]对账明细接口!$AD948=0,"",[1]对账明细接口!$AD948),"")</f>
        <v/>
      </c>
      <c r="AI948" s="7" t="str">
        <f>IFERROR(IF([1]对账明细接口!$AE948=0,"",[1]对账明细接口!$AE948),"")</f>
        <v/>
      </c>
      <c r="AJ948" s="7" t="str">
        <f>IFERROR(IF([1]对账明细接口!$AF948=0,"",[1]对账明细接口!$AF948),"")</f>
        <v/>
      </c>
    </row>
    <row r="949" ht="14.25" customHeight="1" spans="1:36">
      <c r="A949" s="14">
        <v>949</v>
      </c>
      <c r="B949" s="15" t="str">
        <f>IFERROR(IF([1]对账明细接口!$B$949=0,"",[1]对账明细接口!$B$949),"")</f>
        <v/>
      </c>
      <c r="C949" s="16" t="str">
        <f>IFERROR(IF([1]对账明细接口!$C$949=0,"",[1]对账明细接口!$C$949),"")</f>
        <v/>
      </c>
      <c r="D949" s="16" t="str">
        <f>IFERROR(IF([1]对账明细接口!$D$949=0,"",[1]对账明细接口!$D$949),"")</f>
        <v/>
      </c>
      <c r="E949" s="16" t="str">
        <f>IFERROR(IF([1]对账明细接口!$E$949=0,"",[1]对账明细接口!$E$949),"")</f>
        <v/>
      </c>
      <c r="F949" s="16" t="str">
        <f>IFERROR(IF([1]对账明细接口!$F$949=0,"",[1]对账明细接口!$F$949),"")</f>
        <v/>
      </c>
      <c r="G949" s="16" t="str">
        <f>IFERROR(IF([1]对账明细接口!$G$949=0,"",[1]对账明细接口!$G$949),"")</f>
        <v/>
      </c>
      <c r="H949" s="17" t="str">
        <f>IFERROR(IF([1]对账明细接口!$H$949=0,"",[1]对账明细接口!$H$949),"")</f>
        <v/>
      </c>
      <c r="I949" s="16" t="str">
        <f>IFERROR(IF([1]对账明细接口!$I$949=0,"",[1]对账明细接口!$I$949),"")</f>
        <v/>
      </c>
      <c r="J949" s="18" t="str">
        <f>IFERROR(IF([1]对账明细接口!$J$949=0,"",[1]对账明细接口!$J$949),"")</f>
        <v/>
      </c>
      <c r="K949" s="18" t="str">
        <f>IFERROR(IF([1]对账明细接口!$K$949=0,"",[1]对账明细接口!$K$949),"")</f>
        <v/>
      </c>
      <c r="L949" s="16" t="str">
        <f>IFERROR(IF([1]对账明细接口!$L$949=0,"",[1]对账明细接口!$L$949),"")</f>
        <v/>
      </c>
      <c r="M949" s="16" t="str">
        <f>IFERROR(IF([1]对账明细接口!$M$949=0,"",[1]对账明细接口!$M$949),"")</f>
        <v/>
      </c>
      <c r="N949" s="19">
        <f t="shared" si="28"/>
        <v>0</v>
      </c>
      <c r="O949" s="19">
        <f t="shared" si="29"/>
        <v>420</v>
      </c>
      <c r="S949" s="20" t="str">
        <f>IFERROR(IF([1]对账明细接口!$N949=0,"",[1]对账明细接口!$N949),"")</f>
        <v/>
      </c>
      <c r="T949" s="21" t="str">
        <f>IFERROR(IF([1]对账明细接口!$O949=0,"",[1]对账明细接口!$O949),"")</f>
        <v/>
      </c>
      <c r="U949" s="21" t="str">
        <f>IFERROR(IF([1]对账明细接口!$P949=0,"",[1]对账明细接口!$P949),"")</f>
        <v/>
      </c>
      <c r="V949" s="21" t="str">
        <f>IFERROR(IF([1]对账明细接口!$Q949=0,"",[1]对账明细接口!$Q949),"")</f>
        <v/>
      </c>
      <c r="W949" s="20" t="str">
        <f>IFERROR(IF([1]对账明细接口!$R949=0,"",[1]对账明细接口!$R949),"")</f>
        <v/>
      </c>
      <c r="X949" s="20" t="str">
        <f>IFERROR(IF([1]对账明细接口!$S949=0,"",[1]对账明细接口!$S949),"")</f>
        <v/>
      </c>
      <c r="Y949" s="20" t="str">
        <f>IFERROR(IF([1]对账明细接口!$T949=0,"",[1]对账明细接口!$T949),"")</f>
        <v/>
      </c>
      <c r="Z949" s="24" t="str">
        <f>IFERROR(IF([1]对账明细接口!$U949=0,"",[1]对账明细接口!$U949),"")</f>
        <v/>
      </c>
      <c r="AA949" s="24" t="str">
        <f>IFERROR(IF([1]对账明细接口!$V949=0,"",[1]对账明细接口!$V949),"")</f>
        <v/>
      </c>
      <c r="AB949" s="20" t="str">
        <f>IFERROR(IF([1]对账明细接口!$W949=0,"",[1]对账明细接口!$W949),"")</f>
        <v/>
      </c>
      <c r="AC949" s="7" t="str">
        <f>IFERROR(IF([1]对账明细接口!$X949=0,"",[1]对账明细接口!$X949),"")</f>
        <v/>
      </c>
      <c r="AD949" s="7" t="str">
        <f>IFERROR(IF([1]对账明细接口!$Y949=0,"",[1]对账明细接口!$Y949),"")</f>
        <v/>
      </c>
      <c r="AE949" s="7" t="str">
        <f>IFERROR(IF([1]对账明细接口!$AA949=0,"",[1]对账明细接口!$AA949),"")</f>
        <v/>
      </c>
      <c r="AF949" s="7" t="str">
        <f>IFERROR(IF([1]对账明细接口!$AB949=0,"",[1]对账明细接口!$AB949),"")</f>
        <v/>
      </c>
      <c r="AG949" s="7" t="str">
        <f>IFERROR(IF([1]对账明细接口!$AC949=0,"",[1]对账明细接口!$AC949),"")</f>
        <v/>
      </c>
      <c r="AH949" s="7" t="str">
        <f>IFERROR(IF([1]对账明细接口!$AD949=0,"",[1]对账明细接口!$AD949),"")</f>
        <v/>
      </c>
      <c r="AI949" s="7" t="str">
        <f>IFERROR(IF([1]对账明细接口!$AE949=0,"",[1]对账明细接口!$AE949),"")</f>
        <v/>
      </c>
      <c r="AJ949" s="7" t="str">
        <f>IFERROR(IF([1]对账明细接口!$AF949=0,"",[1]对账明细接口!$AF949),"")</f>
        <v/>
      </c>
    </row>
    <row r="950" ht="14.25" customHeight="1" spans="1:36">
      <c r="A950" s="14">
        <v>950</v>
      </c>
      <c r="B950" s="15" t="str">
        <f>IFERROR(IF([1]对账明细接口!$B$950=0,"",[1]对账明细接口!$B$950),"")</f>
        <v/>
      </c>
      <c r="C950" s="16" t="str">
        <f>IFERROR(IF([1]对账明细接口!$C$950=0,"",[1]对账明细接口!$C$950),"")</f>
        <v/>
      </c>
      <c r="D950" s="16" t="str">
        <f>IFERROR(IF([1]对账明细接口!$D$950=0,"",[1]对账明细接口!$D$950),"")</f>
        <v/>
      </c>
      <c r="E950" s="16" t="str">
        <f>IFERROR(IF([1]对账明细接口!$E$950=0,"",[1]对账明细接口!$E$950),"")</f>
        <v/>
      </c>
      <c r="F950" s="16" t="str">
        <f>IFERROR(IF([1]对账明细接口!$F$950=0,"",[1]对账明细接口!$F$950),"")</f>
        <v/>
      </c>
      <c r="G950" s="16" t="str">
        <f>IFERROR(IF([1]对账明细接口!$G$950=0,"",[1]对账明细接口!$G$950),"")</f>
        <v/>
      </c>
      <c r="H950" s="17" t="str">
        <f>IFERROR(IF([1]对账明细接口!$H$950=0,"",[1]对账明细接口!$H$950),"")</f>
        <v/>
      </c>
      <c r="I950" s="16" t="str">
        <f>IFERROR(IF([1]对账明细接口!$I$950=0,"",[1]对账明细接口!$I$950),"")</f>
        <v/>
      </c>
      <c r="J950" s="18" t="str">
        <f>IFERROR(IF([1]对账明细接口!$J$950=0,"",[1]对账明细接口!$J$950),"")</f>
        <v/>
      </c>
      <c r="K950" s="18" t="str">
        <f>IFERROR(IF([1]对账明细接口!$K$950=0,"",[1]对账明细接口!$K$950),"")</f>
        <v/>
      </c>
      <c r="L950" s="16" t="str">
        <f>IFERROR(IF([1]对账明细接口!$L$950=0,"",[1]对账明细接口!$L$950),"")</f>
        <v/>
      </c>
      <c r="M950" s="16" t="str">
        <f>IFERROR(IF([1]对账明细接口!$M$950=0,"",[1]对账明细接口!$M$950),"")</f>
        <v/>
      </c>
      <c r="N950" s="19">
        <f t="shared" si="28"/>
        <v>0</v>
      </c>
      <c r="O950" s="19">
        <f t="shared" si="29"/>
        <v>420</v>
      </c>
      <c r="S950" s="20" t="str">
        <f>IFERROR(IF([1]对账明细接口!$N950=0,"",[1]对账明细接口!$N950),"")</f>
        <v/>
      </c>
      <c r="T950" s="21" t="str">
        <f>IFERROR(IF([1]对账明细接口!$O950=0,"",[1]对账明细接口!$O950),"")</f>
        <v/>
      </c>
      <c r="U950" s="21" t="str">
        <f>IFERROR(IF([1]对账明细接口!$P950=0,"",[1]对账明细接口!$P950),"")</f>
        <v/>
      </c>
      <c r="V950" s="21" t="str">
        <f>IFERROR(IF([1]对账明细接口!$Q950=0,"",[1]对账明细接口!$Q950),"")</f>
        <v/>
      </c>
      <c r="W950" s="20" t="str">
        <f>IFERROR(IF([1]对账明细接口!$R950=0,"",[1]对账明细接口!$R950),"")</f>
        <v/>
      </c>
      <c r="X950" s="20" t="str">
        <f>IFERROR(IF([1]对账明细接口!$S950=0,"",[1]对账明细接口!$S950),"")</f>
        <v/>
      </c>
      <c r="Y950" s="20" t="str">
        <f>IFERROR(IF([1]对账明细接口!$T950=0,"",[1]对账明细接口!$T950),"")</f>
        <v/>
      </c>
      <c r="Z950" s="24" t="str">
        <f>IFERROR(IF([1]对账明细接口!$U950=0,"",[1]对账明细接口!$U950),"")</f>
        <v/>
      </c>
      <c r="AA950" s="24" t="str">
        <f>IFERROR(IF([1]对账明细接口!$V950=0,"",[1]对账明细接口!$V950),"")</f>
        <v/>
      </c>
      <c r="AB950" s="20" t="str">
        <f>IFERROR(IF([1]对账明细接口!$W950=0,"",[1]对账明细接口!$W950),"")</f>
        <v/>
      </c>
      <c r="AC950" s="7" t="str">
        <f>IFERROR(IF([1]对账明细接口!$X950=0,"",[1]对账明细接口!$X950),"")</f>
        <v/>
      </c>
      <c r="AD950" s="7" t="str">
        <f>IFERROR(IF([1]对账明细接口!$Y950=0,"",[1]对账明细接口!$Y950),"")</f>
        <v/>
      </c>
      <c r="AE950" s="7" t="str">
        <f>IFERROR(IF([1]对账明细接口!$AA950=0,"",[1]对账明细接口!$AA950),"")</f>
        <v/>
      </c>
      <c r="AF950" s="7" t="str">
        <f>IFERROR(IF([1]对账明细接口!$AB950=0,"",[1]对账明细接口!$AB950),"")</f>
        <v/>
      </c>
      <c r="AG950" s="7" t="str">
        <f>IFERROR(IF([1]对账明细接口!$AC950=0,"",[1]对账明细接口!$AC950),"")</f>
        <v/>
      </c>
      <c r="AH950" s="7" t="str">
        <f>IFERROR(IF([1]对账明细接口!$AD950=0,"",[1]对账明细接口!$AD950),"")</f>
        <v/>
      </c>
      <c r="AI950" s="7" t="str">
        <f>IFERROR(IF([1]对账明细接口!$AE950=0,"",[1]对账明细接口!$AE950),"")</f>
        <v/>
      </c>
      <c r="AJ950" s="7" t="str">
        <f>IFERROR(IF([1]对账明细接口!$AF950=0,"",[1]对账明细接口!$AF950),"")</f>
        <v/>
      </c>
    </row>
    <row r="951" ht="14.25" customHeight="1" spans="1:36">
      <c r="A951" s="14">
        <v>951</v>
      </c>
      <c r="B951" s="15" t="str">
        <f>IFERROR(IF([1]对账明细接口!$B$951=0,"",[1]对账明细接口!$B$951),"")</f>
        <v/>
      </c>
      <c r="C951" s="16" t="str">
        <f>IFERROR(IF([1]对账明细接口!$C$951=0,"",[1]对账明细接口!$C$951),"")</f>
        <v/>
      </c>
      <c r="D951" s="16" t="str">
        <f>IFERROR(IF([1]对账明细接口!$D$951=0,"",[1]对账明细接口!$D$951),"")</f>
        <v/>
      </c>
      <c r="E951" s="16" t="str">
        <f>IFERROR(IF([1]对账明细接口!$E$951=0,"",[1]对账明细接口!$E$951),"")</f>
        <v/>
      </c>
      <c r="F951" s="16" t="str">
        <f>IFERROR(IF([1]对账明细接口!$F$951=0,"",[1]对账明细接口!$F$951),"")</f>
        <v/>
      </c>
      <c r="G951" s="16" t="str">
        <f>IFERROR(IF([1]对账明细接口!$G$951=0,"",[1]对账明细接口!$G$951),"")</f>
        <v/>
      </c>
      <c r="H951" s="17" t="str">
        <f>IFERROR(IF([1]对账明细接口!$H$951=0,"",[1]对账明细接口!$H$951),"")</f>
        <v/>
      </c>
      <c r="I951" s="16" t="str">
        <f>IFERROR(IF([1]对账明细接口!$I$951=0,"",[1]对账明细接口!$I$951),"")</f>
        <v/>
      </c>
      <c r="J951" s="18" t="str">
        <f>IFERROR(IF([1]对账明细接口!$J$951=0,"",[1]对账明细接口!$J$951),"")</f>
        <v/>
      </c>
      <c r="K951" s="18" t="str">
        <f>IFERROR(IF([1]对账明细接口!$K$951=0,"",[1]对账明细接口!$K$951),"")</f>
        <v/>
      </c>
      <c r="L951" s="16" t="str">
        <f>IFERROR(IF([1]对账明细接口!$L$951=0,"",[1]对账明细接口!$L$951),"")</f>
        <v/>
      </c>
      <c r="M951" s="16" t="str">
        <f>IFERROR(IF([1]对账明细接口!$M$951=0,"",[1]对账明细接口!$M$951),"")</f>
        <v/>
      </c>
      <c r="N951" s="19">
        <f t="shared" si="28"/>
        <v>0</v>
      </c>
      <c r="O951" s="19">
        <f t="shared" si="29"/>
        <v>420</v>
      </c>
      <c r="S951" s="20" t="str">
        <f>IFERROR(IF([1]对账明细接口!$N951=0,"",[1]对账明细接口!$N951),"")</f>
        <v/>
      </c>
      <c r="T951" s="21" t="str">
        <f>IFERROR(IF([1]对账明细接口!$O951=0,"",[1]对账明细接口!$O951),"")</f>
        <v/>
      </c>
      <c r="U951" s="21" t="str">
        <f>IFERROR(IF([1]对账明细接口!$P951=0,"",[1]对账明细接口!$P951),"")</f>
        <v/>
      </c>
      <c r="V951" s="21" t="str">
        <f>IFERROR(IF([1]对账明细接口!$Q951=0,"",[1]对账明细接口!$Q951),"")</f>
        <v/>
      </c>
      <c r="W951" s="20" t="str">
        <f>IFERROR(IF([1]对账明细接口!$R951=0,"",[1]对账明细接口!$R951),"")</f>
        <v/>
      </c>
      <c r="X951" s="20" t="str">
        <f>IFERROR(IF([1]对账明细接口!$S951=0,"",[1]对账明细接口!$S951),"")</f>
        <v/>
      </c>
      <c r="Y951" s="20" t="str">
        <f>IFERROR(IF([1]对账明细接口!$T951=0,"",[1]对账明细接口!$T951),"")</f>
        <v/>
      </c>
      <c r="Z951" s="24" t="str">
        <f>IFERROR(IF([1]对账明细接口!$U951=0,"",[1]对账明细接口!$U951),"")</f>
        <v/>
      </c>
      <c r="AA951" s="24" t="str">
        <f>IFERROR(IF([1]对账明细接口!$V951=0,"",[1]对账明细接口!$V951),"")</f>
        <v/>
      </c>
      <c r="AB951" s="20" t="str">
        <f>IFERROR(IF([1]对账明细接口!$W951=0,"",[1]对账明细接口!$W951),"")</f>
        <v/>
      </c>
      <c r="AC951" s="7" t="str">
        <f>IFERROR(IF([1]对账明细接口!$X951=0,"",[1]对账明细接口!$X951),"")</f>
        <v/>
      </c>
      <c r="AD951" s="7" t="str">
        <f>IFERROR(IF([1]对账明细接口!$Y951=0,"",[1]对账明细接口!$Y951),"")</f>
        <v/>
      </c>
      <c r="AE951" s="7" t="str">
        <f>IFERROR(IF([1]对账明细接口!$AA951=0,"",[1]对账明细接口!$AA951),"")</f>
        <v/>
      </c>
      <c r="AF951" s="7" t="str">
        <f>IFERROR(IF([1]对账明细接口!$AB951=0,"",[1]对账明细接口!$AB951),"")</f>
        <v/>
      </c>
      <c r="AG951" s="7" t="str">
        <f>IFERROR(IF([1]对账明细接口!$AC951=0,"",[1]对账明细接口!$AC951),"")</f>
        <v/>
      </c>
      <c r="AH951" s="7" t="str">
        <f>IFERROR(IF([1]对账明细接口!$AD951=0,"",[1]对账明细接口!$AD951),"")</f>
        <v/>
      </c>
      <c r="AI951" s="7" t="str">
        <f>IFERROR(IF([1]对账明细接口!$AE951=0,"",[1]对账明细接口!$AE951),"")</f>
        <v/>
      </c>
      <c r="AJ951" s="7" t="str">
        <f>IFERROR(IF([1]对账明细接口!$AF951=0,"",[1]对账明细接口!$AF951),"")</f>
        <v/>
      </c>
    </row>
    <row r="952" ht="14.25" customHeight="1" spans="1:36">
      <c r="A952" s="14">
        <v>952</v>
      </c>
      <c r="B952" s="15" t="str">
        <f>IFERROR(IF([1]对账明细接口!$B$952=0,"",[1]对账明细接口!$B$952),"")</f>
        <v/>
      </c>
      <c r="C952" s="16" t="str">
        <f>IFERROR(IF([1]对账明细接口!$C$952=0,"",[1]对账明细接口!$C$952),"")</f>
        <v/>
      </c>
      <c r="D952" s="16" t="str">
        <f>IFERROR(IF([1]对账明细接口!$D$952=0,"",[1]对账明细接口!$D$952),"")</f>
        <v/>
      </c>
      <c r="E952" s="16" t="str">
        <f>IFERROR(IF([1]对账明细接口!$E$952=0,"",[1]对账明细接口!$E$952),"")</f>
        <v/>
      </c>
      <c r="F952" s="16" t="str">
        <f>IFERROR(IF([1]对账明细接口!$F$952=0,"",[1]对账明细接口!$F$952),"")</f>
        <v/>
      </c>
      <c r="G952" s="16" t="str">
        <f>IFERROR(IF([1]对账明细接口!$G$952=0,"",[1]对账明细接口!$G$952),"")</f>
        <v/>
      </c>
      <c r="H952" s="17" t="str">
        <f>IFERROR(IF([1]对账明细接口!$H$952=0,"",[1]对账明细接口!$H$952),"")</f>
        <v/>
      </c>
      <c r="I952" s="16" t="str">
        <f>IFERROR(IF([1]对账明细接口!$I$952=0,"",[1]对账明细接口!$I$952),"")</f>
        <v/>
      </c>
      <c r="J952" s="18" t="str">
        <f>IFERROR(IF([1]对账明细接口!$J$952=0,"",[1]对账明细接口!$J$952),"")</f>
        <v/>
      </c>
      <c r="K952" s="18" t="str">
        <f>IFERROR(IF([1]对账明细接口!$K$952=0,"",[1]对账明细接口!$K$952),"")</f>
        <v/>
      </c>
      <c r="L952" s="16" t="str">
        <f>IFERROR(IF([1]对账明细接口!$L$952=0,"",[1]对账明细接口!$L$952),"")</f>
        <v/>
      </c>
      <c r="M952" s="16" t="str">
        <f>IFERROR(IF([1]对账明细接口!$M$952=0,"",[1]对账明细接口!$M$952),"")</f>
        <v/>
      </c>
      <c r="N952" s="19">
        <f t="shared" si="28"/>
        <v>0</v>
      </c>
      <c r="O952" s="19">
        <f t="shared" si="29"/>
        <v>420</v>
      </c>
      <c r="S952" s="20" t="str">
        <f>IFERROR(IF([1]对账明细接口!$N952=0,"",[1]对账明细接口!$N952),"")</f>
        <v/>
      </c>
      <c r="T952" s="21" t="str">
        <f>IFERROR(IF([1]对账明细接口!$O952=0,"",[1]对账明细接口!$O952),"")</f>
        <v/>
      </c>
      <c r="U952" s="21" t="str">
        <f>IFERROR(IF([1]对账明细接口!$P952=0,"",[1]对账明细接口!$P952),"")</f>
        <v/>
      </c>
      <c r="V952" s="21" t="str">
        <f>IFERROR(IF([1]对账明细接口!$Q952=0,"",[1]对账明细接口!$Q952),"")</f>
        <v/>
      </c>
      <c r="W952" s="20" t="str">
        <f>IFERROR(IF([1]对账明细接口!$R952=0,"",[1]对账明细接口!$R952),"")</f>
        <v/>
      </c>
      <c r="X952" s="20" t="str">
        <f>IFERROR(IF([1]对账明细接口!$S952=0,"",[1]对账明细接口!$S952),"")</f>
        <v/>
      </c>
      <c r="Y952" s="20" t="str">
        <f>IFERROR(IF([1]对账明细接口!$T952=0,"",[1]对账明细接口!$T952),"")</f>
        <v/>
      </c>
      <c r="Z952" s="24" t="str">
        <f>IFERROR(IF([1]对账明细接口!$U952=0,"",[1]对账明细接口!$U952),"")</f>
        <v/>
      </c>
      <c r="AA952" s="24" t="str">
        <f>IFERROR(IF([1]对账明细接口!$V952=0,"",[1]对账明细接口!$V952),"")</f>
        <v/>
      </c>
      <c r="AB952" s="20" t="str">
        <f>IFERROR(IF([1]对账明细接口!$W952=0,"",[1]对账明细接口!$W952),"")</f>
        <v/>
      </c>
      <c r="AC952" s="7" t="str">
        <f>IFERROR(IF([1]对账明细接口!$X952=0,"",[1]对账明细接口!$X952),"")</f>
        <v/>
      </c>
      <c r="AD952" s="7" t="str">
        <f>IFERROR(IF([1]对账明细接口!$Y952=0,"",[1]对账明细接口!$Y952),"")</f>
        <v/>
      </c>
      <c r="AE952" s="7" t="str">
        <f>IFERROR(IF([1]对账明细接口!$AA952=0,"",[1]对账明细接口!$AA952),"")</f>
        <v/>
      </c>
      <c r="AF952" s="7" t="str">
        <f>IFERROR(IF([1]对账明细接口!$AB952=0,"",[1]对账明细接口!$AB952),"")</f>
        <v/>
      </c>
      <c r="AG952" s="7" t="str">
        <f>IFERROR(IF([1]对账明细接口!$AC952=0,"",[1]对账明细接口!$AC952),"")</f>
        <v/>
      </c>
      <c r="AH952" s="7" t="str">
        <f>IFERROR(IF([1]对账明细接口!$AD952=0,"",[1]对账明细接口!$AD952),"")</f>
        <v/>
      </c>
      <c r="AI952" s="7" t="str">
        <f>IFERROR(IF([1]对账明细接口!$AE952=0,"",[1]对账明细接口!$AE952),"")</f>
        <v/>
      </c>
      <c r="AJ952" s="7" t="str">
        <f>IFERROR(IF([1]对账明细接口!$AF952=0,"",[1]对账明细接口!$AF952),"")</f>
        <v/>
      </c>
    </row>
    <row r="953" ht="14.25" customHeight="1" spans="1:36">
      <c r="A953" s="14">
        <v>953</v>
      </c>
      <c r="B953" s="15" t="str">
        <f>IFERROR(IF([1]对账明细接口!$B$953=0,"",[1]对账明细接口!$B$953),"")</f>
        <v/>
      </c>
      <c r="C953" s="16" t="str">
        <f>IFERROR(IF([1]对账明细接口!$C$953=0,"",[1]对账明细接口!$C$953),"")</f>
        <v/>
      </c>
      <c r="D953" s="16" t="str">
        <f>IFERROR(IF([1]对账明细接口!$D$953=0,"",[1]对账明细接口!$D$953),"")</f>
        <v/>
      </c>
      <c r="E953" s="16" t="str">
        <f>IFERROR(IF([1]对账明细接口!$E$953=0,"",[1]对账明细接口!$E$953),"")</f>
        <v/>
      </c>
      <c r="F953" s="16" t="str">
        <f>IFERROR(IF([1]对账明细接口!$F$953=0,"",[1]对账明细接口!$F$953),"")</f>
        <v/>
      </c>
      <c r="G953" s="16" t="str">
        <f>IFERROR(IF([1]对账明细接口!$G$953=0,"",[1]对账明细接口!$G$953),"")</f>
        <v/>
      </c>
      <c r="H953" s="17" t="str">
        <f>IFERROR(IF([1]对账明细接口!$H$953=0,"",[1]对账明细接口!$H$953),"")</f>
        <v/>
      </c>
      <c r="I953" s="16" t="str">
        <f>IFERROR(IF([1]对账明细接口!$I$953=0,"",[1]对账明细接口!$I$953),"")</f>
        <v/>
      </c>
      <c r="J953" s="18" t="str">
        <f>IFERROR(IF([1]对账明细接口!$J$953=0,"",[1]对账明细接口!$J$953),"")</f>
        <v/>
      </c>
      <c r="K953" s="18" t="str">
        <f>IFERROR(IF([1]对账明细接口!$K$953=0,"",[1]对账明细接口!$K$953),"")</f>
        <v/>
      </c>
      <c r="L953" s="16" t="str">
        <f>IFERROR(IF([1]对账明细接口!$L$953=0,"",[1]对账明细接口!$L$953),"")</f>
        <v/>
      </c>
      <c r="M953" s="16" t="str">
        <f>IFERROR(IF([1]对账明细接口!$M$953=0,"",[1]对账明细接口!$M$953),"")</f>
        <v/>
      </c>
      <c r="N953" s="19">
        <f t="shared" si="28"/>
        <v>0</v>
      </c>
      <c r="O953" s="19">
        <f t="shared" si="29"/>
        <v>420</v>
      </c>
      <c r="S953" s="20" t="str">
        <f>IFERROR(IF([1]对账明细接口!$N953=0,"",[1]对账明细接口!$N953),"")</f>
        <v/>
      </c>
      <c r="T953" s="21" t="str">
        <f>IFERROR(IF([1]对账明细接口!$O953=0,"",[1]对账明细接口!$O953),"")</f>
        <v/>
      </c>
      <c r="U953" s="21" t="str">
        <f>IFERROR(IF([1]对账明细接口!$P953=0,"",[1]对账明细接口!$P953),"")</f>
        <v/>
      </c>
      <c r="V953" s="21" t="str">
        <f>IFERROR(IF([1]对账明细接口!$Q953=0,"",[1]对账明细接口!$Q953),"")</f>
        <v/>
      </c>
      <c r="W953" s="20" t="str">
        <f>IFERROR(IF([1]对账明细接口!$R953=0,"",[1]对账明细接口!$R953),"")</f>
        <v/>
      </c>
      <c r="X953" s="20" t="str">
        <f>IFERROR(IF([1]对账明细接口!$S953=0,"",[1]对账明细接口!$S953),"")</f>
        <v/>
      </c>
      <c r="Y953" s="20" t="str">
        <f>IFERROR(IF([1]对账明细接口!$T953=0,"",[1]对账明细接口!$T953),"")</f>
        <v/>
      </c>
      <c r="Z953" s="24" t="str">
        <f>IFERROR(IF([1]对账明细接口!$U953=0,"",[1]对账明细接口!$U953),"")</f>
        <v/>
      </c>
      <c r="AA953" s="24" t="str">
        <f>IFERROR(IF([1]对账明细接口!$V953=0,"",[1]对账明细接口!$V953),"")</f>
        <v/>
      </c>
      <c r="AB953" s="20" t="str">
        <f>IFERROR(IF([1]对账明细接口!$W953=0,"",[1]对账明细接口!$W953),"")</f>
        <v/>
      </c>
      <c r="AC953" s="7" t="str">
        <f>IFERROR(IF([1]对账明细接口!$X953=0,"",[1]对账明细接口!$X953),"")</f>
        <v/>
      </c>
      <c r="AD953" s="7" t="str">
        <f>IFERROR(IF([1]对账明细接口!$Y953=0,"",[1]对账明细接口!$Y953),"")</f>
        <v/>
      </c>
      <c r="AE953" s="7" t="str">
        <f>IFERROR(IF([1]对账明细接口!$AA953=0,"",[1]对账明细接口!$AA953),"")</f>
        <v/>
      </c>
      <c r="AF953" s="7" t="str">
        <f>IFERROR(IF([1]对账明细接口!$AB953=0,"",[1]对账明细接口!$AB953),"")</f>
        <v/>
      </c>
      <c r="AG953" s="7" t="str">
        <f>IFERROR(IF([1]对账明细接口!$AC953=0,"",[1]对账明细接口!$AC953),"")</f>
        <v/>
      </c>
      <c r="AH953" s="7" t="str">
        <f>IFERROR(IF([1]对账明细接口!$AD953=0,"",[1]对账明细接口!$AD953),"")</f>
        <v/>
      </c>
      <c r="AI953" s="7" t="str">
        <f>IFERROR(IF([1]对账明细接口!$AE953=0,"",[1]对账明细接口!$AE953),"")</f>
        <v/>
      </c>
      <c r="AJ953" s="7" t="str">
        <f>IFERROR(IF([1]对账明细接口!$AF953=0,"",[1]对账明细接口!$AF953),"")</f>
        <v/>
      </c>
    </row>
    <row r="954" ht="14.25" customHeight="1" spans="1:36">
      <c r="A954" s="14">
        <v>954</v>
      </c>
      <c r="B954" s="15" t="str">
        <f>IFERROR(IF([1]对账明细接口!$B$954=0,"",[1]对账明细接口!$B$954),"")</f>
        <v/>
      </c>
      <c r="C954" s="16" t="str">
        <f>IFERROR(IF([1]对账明细接口!$C$954=0,"",[1]对账明细接口!$C$954),"")</f>
        <v/>
      </c>
      <c r="D954" s="16" t="str">
        <f>IFERROR(IF([1]对账明细接口!$D$954=0,"",[1]对账明细接口!$D$954),"")</f>
        <v/>
      </c>
      <c r="E954" s="16" t="str">
        <f>IFERROR(IF([1]对账明细接口!$E$954=0,"",[1]对账明细接口!$E$954),"")</f>
        <v/>
      </c>
      <c r="F954" s="16" t="str">
        <f>IFERROR(IF([1]对账明细接口!$F$954=0,"",[1]对账明细接口!$F$954),"")</f>
        <v/>
      </c>
      <c r="G954" s="16" t="str">
        <f>IFERROR(IF([1]对账明细接口!$G$954=0,"",[1]对账明细接口!$G$954),"")</f>
        <v/>
      </c>
      <c r="H954" s="17" t="str">
        <f>IFERROR(IF([1]对账明细接口!$H$954=0,"",[1]对账明细接口!$H$954),"")</f>
        <v/>
      </c>
      <c r="I954" s="16" t="str">
        <f>IFERROR(IF([1]对账明细接口!$I$954=0,"",[1]对账明细接口!$I$954),"")</f>
        <v/>
      </c>
      <c r="J954" s="18" t="str">
        <f>IFERROR(IF([1]对账明细接口!$J$954=0,"",[1]对账明细接口!$J$954),"")</f>
        <v/>
      </c>
      <c r="K954" s="18" t="str">
        <f>IFERROR(IF([1]对账明细接口!$K$954=0,"",[1]对账明细接口!$K$954),"")</f>
        <v/>
      </c>
      <c r="L954" s="16" t="str">
        <f>IFERROR(IF([1]对账明细接口!$L$954=0,"",[1]对账明细接口!$L$954),"")</f>
        <v/>
      </c>
      <c r="M954" s="16" t="str">
        <f>IFERROR(IF([1]对账明细接口!$M$954=0,"",[1]对账明细接口!$M$954),"")</f>
        <v/>
      </c>
      <c r="N954" s="19">
        <f t="shared" si="28"/>
        <v>0</v>
      </c>
      <c r="O954" s="19">
        <f t="shared" si="29"/>
        <v>420</v>
      </c>
      <c r="S954" s="20" t="str">
        <f>IFERROR(IF([1]对账明细接口!$N954=0,"",[1]对账明细接口!$N954),"")</f>
        <v/>
      </c>
      <c r="T954" s="21" t="str">
        <f>IFERROR(IF([1]对账明细接口!$O954=0,"",[1]对账明细接口!$O954),"")</f>
        <v/>
      </c>
      <c r="U954" s="21" t="str">
        <f>IFERROR(IF([1]对账明细接口!$P954=0,"",[1]对账明细接口!$P954),"")</f>
        <v/>
      </c>
      <c r="V954" s="21" t="str">
        <f>IFERROR(IF([1]对账明细接口!$Q954=0,"",[1]对账明细接口!$Q954),"")</f>
        <v/>
      </c>
      <c r="W954" s="20" t="str">
        <f>IFERROR(IF([1]对账明细接口!$R954=0,"",[1]对账明细接口!$R954),"")</f>
        <v/>
      </c>
      <c r="X954" s="20" t="str">
        <f>IFERROR(IF([1]对账明细接口!$S954=0,"",[1]对账明细接口!$S954),"")</f>
        <v/>
      </c>
      <c r="Y954" s="20" t="str">
        <f>IFERROR(IF([1]对账明细接口!$T954=0,"",[1]对账明细接口!$T954),"")</f>
        <v/>
      </c>
      <c r="Z954" s="24" t="str">
        <f>IFERROR(IF([1]对账明细接口!$U954=0,"",[1]对账明细接口!$U954),"")</f>
        <v/>
      </c>
      <c r="AA954" s="24" t="str">
        <f>IFERROR(IF([1]对账明细接口!$V954=0,"",[1]对账明细接口!$V954),"")</f>
        <v/>
      </c>
      <c r="AB954" s="20" t="str">
        <f>IFERROR(IF([1]对账明细接口!$W954=0,"",[1]对账明细接口!$W954),"")</f>
        <v/>
      </c>
      <c r="AC954" s="7" t="str">
        <f>IFERROR(IF([1]对账明细接口!$X954=0,"",[1]对账明细接口!$X954),"")</f>
        <v/>
      </c>
      <c r="AD954" s="7" t="str">
        <f>IFERROR(IF([1]对账明细接口!$Y954=0,"",[1]对账明细接口!$Y954),"")</f>
        <v/>
      </c>
      <c r="AE954" s="7" t="str">
        <f>IFERROR(IF([1]对账明细接口!$AA954=0,"",[1]对账明细接口!$AA954),"")</f>
        <v/>
      </c>
      <c r="AF954" s="7" t="str">
        <f>IFERROR(IF([1]对账明细接口!$AB954=0,"",[1]对账明细接口!$AB954),"")</f>
        <v/>
      </c>
      <c r="AG954" s="7" t="str">
        <f>IFERROR(IF([1]对账明细接口!$AC954=0,"",[1]对账明细接口!$AC954),"")</f>
        <v/>
      </c>
      <c r="AH954" s="7" t="str">
        <f>IFERROR(IF([1]对账明细接口!$AD954=0,"",[1]对账明细接口!$AD954),"")</f>
        <v/>
      </c>
      <c r="AI954" s="7" t="str">
        <f>IFERROR(IF([1]对账明细接口!$AE954=0,"",[1]对账明细接口!$AE954),"")</f>
        <v/>
      </c>
      <c r="AJ954" s="7" t="str">
        <f>IFERROR(IF([1]对账明细接口!$AF954=0,"",[1]对账明细接口!$AF954),"")</f>
        <v/>
      </c>
    </row>
    <row r="955" ht="14.25" customHeight="1" spans="1:36">
      <c r="A955" s="14">
        <v>955</v>
      </c>
      <c r="B955" s="15" t="str">
        <f>IFERROR(IF([1]对账明细接口!$B$955=0,"",[1]对账明细接口!$B$955),"")</f>
        <v/>
      </c>
      <c r="C955" s="16" t="str">
        <f>IFERROR(IF([1]对账明细接口!$C$955=0,"",[1]对账明细接口!$C$955),"")</f>
        <v/>
      </c>
      <c r="D955" s="16" t="str">
        <f>IFERROR(IF([1]对账明细接口!$D$955=0,"",[1]对账明细接口!$D$955),"")</f>
        <v/>
      </c>
      <c r="E955" s="16" t="str">
        <f>IFERROR(IF([1]对账明细接口!$E$955=0,"",[1]对账明细接口!$E$955),"")</f>
        <v/>
      </c>
      <c r="F955" s="16" t="str">
        <f>IFERROR(IF([1]对账明细接口!$F$955=0,"",[1]对账明细接口!$F$955),"")</f>
        <v/>
      </c>
      <c r="G955" s="16" t="str">
        <f>IFERROR(IF([1]对账明细接口!$G$955=0,"",[1]对账明细接口!$G$955),"")</f>
        <v/>
      </c>
      <c r="H955" s="17" t="str">
        <f>IFERROR(IF([1]对账明细接口!$H$955=0,"",[1]对账明细接口!$H$955),"")</f>
        <v/>
      </c>
      <c r="I955" s="16" t="str">
        <f>IFERROR(IF([1]对账明细接口!$I$955=0,"",[1]对账明细接口!$I$955),"")</f>
        <v/>
      </c>
      <c r="J955" s="18" t="str">
        <f>IFERROR(IF([1]对账明细接口!$J$955=0,"",[1]对账明细接口!$J$955),"")</f>
        <v/>
      </c>
      <c r="K955" s="18" t="str">
        <f>IFERROR(IF([1]对账明细接口!$K$955=0,"",[1]对账明细接口!$K$955),"")</f>
        <v/>
      </c>
      <c r="L955" s="16" t="str">
        <f>IFERROR(IF([1]对账明细接口!$L$955=0,"",[1]对账明细接口!$L$955),"")</f>
        <v/>
      </c>
      <c r="M955" s="16" t="str">
        <f>IFERROR(IF([1]对账明细接口!$M$955=0,"",[1]对账明细接口!$M$955),"")</f>
        <v/>
      </c>
      <c r="N955" s="19">
        <f t="shared" si="28"/>
        <v>0</v>
      </c>
      <c r="O955" s="19">
        <f t="shared" si="29"/>
        <v>420</v>
      </c>
      <c r="S955" s="20" t="str">
        <f>IFERROR(IF([1]对账明细接口!$N955=0,"",[1]对账明细接口!$N955),"")</f>
        <v/>
      </c>
      <c r="T955" s="21" t="str">
        <f>IFERROR(IF([1]对账明细接口!$O955=0,"",[1]对账明细接口!$O955),"")</f>
        <v/>
      </c>
      <c r="U955" s="21" t="str">
        <f>IFERROR(IF([1]对账明细接口!$P955=0,"",[1]对账明细接口!$P955),"")</f>
        <v/>
      </c>
      <c r="V955" s="21" t="str">
        <f>IFERROR(IF([1]对账明细接口!$Q955=0,"",[1]对账明细接口!$Q955),"")</f>
        <v/>
      </c>
      <c r="W955" s="20" t="str">
        <f>IFERROR(IF([1]对账明细接口!$R955=0,"",[1]对账明细接口!$R955),"")</f>
        <v/>
      </c>
      <c r="X955" s="20" t="str">
        <f>IFERROR(IF([1]对账明细接口!$S955=0,"",[1]对账明细接口!$S955),"")</f>
        <v/>
      </c>
      <c r="Y955" s="20" t="str">
        <f>IFERROR(IF([1]对账明细接口!$T955=0,"",[1]对账明细接口!$T955),"")</f>
        <v/>
      </c>
      <c r="Z955" s="24" t="str">
        <f>IFERROR(IF([1]对账明细接口!$U955=0,"",[1]对账明细接口!$U955),"")</f>
        <v/>
      </c>
      <c r="AA955" s="24" t="str">
        <f>IFERROR(IF([1]对账明细接口!$V955=0,"",[1]对账明细接口!$V955),"")</f>
        <v/>
      </c>
      <c r="AB955" s="20" t="str">
        <f>IFERROR(IF([1]对账明细接口!$W955=0,"",[1]对账明细接口!$W955),"")</f>
        <v/>
      </c>
      <c r="AC955" s="7" t="str">
        <f>IFERROR(IF([1]对账明细接口!$X955=0,"",[1]对账明细接口!$X955),"")</f>
        <v/>
      </c>
      <c r="AD955" s="7" t="str">
        <f>IFERROR(IF([1]对账明细接口!$Y955=0,"",[1]对账明细接口!$Y955),"")</f>
        <v/>
      </c>
      <c r="AE955" s="7" t="str">
        <f>IFERROR(IF([1]对账明细接口!$AA955=0,"",[1]对账明细接口!$AA955),"")</f>
        <v/>
      </c>
      <c r="AF955" s="7" t="str">
        <f>IFERROR(IF([1]对账明细接口!$AB955=0,"",[1]对账明细接口!$AB955),"")</f>
        <v/>
      </c>
      <c r="AG955" s="7" t="str">
        <f>IFERROR(IF([1]对账明细接口!$AC955=0,"",[1]对账明细接口!$AC955),"")</f>
        <v/>
      </c>
      <c r="AH955" s="7" t="str">
        <f>IFERROR(IF([1]对账明细接口!$AD955=0,"",[1]对账明细接口!$AD955),"")</f>
        <v/>
      </c>
      <c r="AI955" s="7" t="str">
        <f>IFERROR(IF([1]对账明细接口!$AE955=0,"",[1]对账明细接口!$AE955),"")</f>
        <v/>
      </c>
      <c r="AJ955" s="7" t="str">
        <f>IFERROR(IF([1]对账明细接口!$AF955=0,"",[1]对账明细接口!$AF955),"")</f>
        <v/>
      </c>
    </row>
    <row r="956" ht="14.25" customHeight="1" spans="1:36">
      <c r="A956" s="14">
        <v>956</v>
      </c>
      <c r="B956" s="15" t="str">
        <f>IFERROR(IF([1]对账明细接口!$B$956=0,"",[1]对账明细接口!$B$956),"")</f>
        <v/>
      </c>
      <c r="C956" s="16" t="str">
        <f>IFERROR(IF([1]对账明细接口!$C$956=0,"",[1]对账明细接口!$C$956),"")</f>
        <v/>
      </c>
      <c r="D956" s="16" t="str">
        <f>IFERROR(IF([1]对账明细接口!$D$956=0,"",[1]对账明细接口!$D$956),"")</f>
        <v/>
      </c>
      <c r="E956" s="16" t="str">
        <f>IFERROR(IF([1]对账明细接口!$E$956=0,"",[1]对账明细接口!$E$956),"")</f>
        <v/>
      </c>
      <c r="F956" s="16" t="str">
        <f>IFERROR(IF([1]对账明细接口!$F$956=0,"",[1]对账明细接口!$F$956),"")</f>
        <v/>
      </c>
      <c r="G956" s="16" t="str">
        <f>IFERROR(IF([1]对账明细接口!$G$956=0,"",[1]对账明细接口!$G$956),"")</f>
        <v/>
      </c>
      <c r="H956" s="17" t="str">
        <f>IFERROR(IF([1]对账明细接口!$H$956=0,"",[1]对账明细接口!$H$956),"")</f>
        <v/>
      </c>
      <c r="I956" s="16" t="str">
        <f>IFERROR(IF([1]对账明细接口!$I$956=0,"",[1]对账明细接口!$I$956),"")</f>
        <v/>
      </c>
      <c r="J956" s="18" t="str">
        <f>IFERROR(IF([1]对账明细接口!$J$956=0,"",[1]对账明细接口!$J$956),"")</f>
        <v/>
      </c>
      <c r="K956" s="18" t="str">
        <f>IFERROR(IF([1]对账明细接口!$K$956=0,"",[1]对账明细接口!$K$956),"")</f>
        <v/>
      </c>
      <c r="L956" s="16" t="str">
        <f>IFERROR(IF([1]对账明细接口!$L$956=0,"",[1]对账明细接口!$L$956),"")</f>
        <v/>
      </c>
      <c r="M956" s="16" t="str">
        <f>IFERROR(IF([1]对账明细接口!$M$956=0,"",[1]对账明细接口!$M$956),"")</f>
        <v/>
      </c>
      <c r="N956" s="19">
        <f t="shared" si="28"/>
        <v>0</v>
      </c>
      <c r="O956" s="19">
        <f t="shared" si="29"/>
        <v>420</v>
      </c>
      <c r="S956" s="20" t="str">
        <f>IFERROR(IF([1]对账明细接口!$N956=0,"",[1]对账明细接口!$N956),"")</f>
        <v/>
      </c>
      <c r="T956" s="21" t="str">
        <f>IFERROR(IF([1]对账明细接口!$O956=0,"",[1]对账明细接口!$O956),"")</f>
        <v/>
      </c>
      <c r="U956" s="21" t="str">
        <f>IFERROR(IF([1]对账明细接口!$P956=0,"",[1]对账明细接口!$P956),"")</f>
        <v/>
      </c>
      <c r="V956" s="21" t="str">
        <f>IFERROR(IF([1]对账明细接口!$Q956=0,"",[1]对账明细接口!$Q956),"")</f>
        <v/>
      </c>
      <c r="W956" s="20" t="str">
        <f>IFERROR(IF([1]对账明细接口!$R956=0,"",[1]对账明细接口!$R956),"")</f>
        <v/>
      </c>
      <c r="X956" s="20" t="str">
        <f>IFERROR(IF([1]对账明细接口!$S956=0,"",[1]对账明细接口!$S956),"")</f>
        <v/>
      </c>
      <c r="Y956" s="20" t="str">
        <f>IFERROR(IF([1]对账明细接口!$T956=0,"",[1]对账明细接口!$T956),"")</f>
        <v/>
      </c>
      <c r="Z956" s="24" t="str">
        <f>IFERROR(IF([1]对账明细接口!$U956=0,"",[1]对账明细接口!$U956),"")</f>
        <v/>
      </c>
      <c r="AA956" s="24" t="str">
        <f>IFERROR(IF([1]对账明细接口!$V956=0,"",[1]对账明细接口!$V956),"")</f>
        <v/>
      </c>
      <c r="AB956" s="20" t="str">
        <f>IFERROR(IF([1]对账明细接口!$W956=0,"",[1]对账明细接口!$W956),"")</f>
        <v/>
      </c>
      <c r="AC956" s="7" t="str">
        <f>IFERROR(IF([1]对账明细接口!$X956=0,"",[1]对账明细接口!$X956),"")</f>
        <v/>
      </c>
      <c r="AD956" s="7" t="str">
        <f>IFERROR(IF([1]对账明细接口!$Y956=0,"",[1]对账明细接口!$Y956),"")</f>
        <v/>
      </c>
      <c r="AE956" s="7" t="str">
        <f>IFERROR(IF([1]对账明细接口!$AA956=0,"",[1]对账明细接口!$AA956),"")</f>
        <v/>
      </c>
      <c r="AF956" s="7" t="str">
        <f>IFERROR(IF([1]对账明细接口!$AB956=0,"",[1]对账明细接口!$AB956),"")</f>
        <v/>
      </c>
      <c r="AG956" s="7" t="str">
        <f>IFERROR(IF([1]对账明细接口!$AC956=0,"",[1]对账明细接口!$AC956),"")</f>
        <v/>
      </c>
      <c r="AH956" s="7" t="str">
        <f>IFERROR(IF([1]对账明细接口!$AD956=0,"",[1]对账明细接口!$AD956),"")</f>
        <v/>
      </c>
      <c r="AI956" s="7" t="str">
        <f>IFERROR(IF([1]对账明细接口!$AE956=0,"",[1]对账明细接口!$AE956),"")</f>
        <v/>
      </c>
      <c r="AJ956" s="7" t="str">
        <f>IFERROR(IF([1]对账明细接口!$AF956=0,"",[1]对账明细接口!$AF956),"")</f>
        <v/>
      </c>
    </row>
    <row r="957" ht="14.25" customHeight="1" spans="1:36">
      <c r="A957" s="14">
        <v>957</v>
      </c>
      <c r="B957" s="15" t="str">
        <f>IFERROR(IF([1]对账明细接口!$B$957=0,"",[1]对账明细接口!$B$957),"")</f>
        <v/>
      </c>
      <c r="C957" s="16" t="str">
        <f>IFERROR(IF([1]对账明细接口!$C$957=0,"",[1]对账明细接口!$C$957),"")</f>
        <v/>
      </c>
      <c r="D957" s="16" t="str">
        <f>IFERROR(IF([1]对账明细接口!$D$957=0,"",[1]对账明细接口!$D$957),"")</f>
        <v/>
      </c>
      <c r="E957" s="16" t="str">
        <f>IFERROR(IF([1]对账明细接口!$E$957=0,"",[1]对账明细接口!$E$957),"")</f>
        <v/>
      </c>
      <c r="F957" s="16" t="str">
        <f>IFERROR(IF([1]对账明细接口!$F$957=0,"",[1]对账明细接口!$F$957),"")</f>
        <v/>
      </c>
      <c r="G957" s="16" t="str">
        <f>IFERROR(IF([1]对账明细接口!$G$957=0,"",[1]对账明细接口!$G$957),"")</f>
        <v/>
      </c>
      <c r="H957" s="17" t="str">
        <f>IFERROR(IF([1]对账明细接口!$H$957=0,"",[1]对账明细接口!$H$957),"")</f>
        <v/>
      </c>
      <c r="I957" s="16" t="str">
        <f>IFERROR(IF([1]对账明细接口!$I$957=0,"",[1]对账明细接口!$I$957),"")</f>
        <v/>
      </c>
      <c r="J957" s="18" t="str">
        <f>IFERROR(IF([1]对账明细接口!$J$957=0,"",[1]对账明细接口!$J$957),"")</f>
        <v/>
      </c>
      <c r="K957" s="18" t="str">
        <f>IFERROR(IF([1]对账明细接口!$K$957=0,"",[1]对账明细接口!$K$957),"")</f>
        <v/>
      </c>
      <c r="L957" s="16" t="str">
        <f>IFERROR(IF([1]对账明细接口!$L$957=0,"",[1]对账明细接口!$L$957),"")</f>
        <v/>
      </c>
      <c r="M957" s="16" t="str">
        <f>IFERROR(IF([1]对账明细接口!$M$957=0,"",[1]对账明细接口!$M$957),"")</f>
        <v/>
      </c>
      <c r="N957" s="19">
        <f t="shared" si="28"/>
        <v>0</v>
      </c>
      <c r="O957" s="19">
        <f t="shared" si="29"/>
        <v>420</v>
      </c>
      <c r="S957" s="20" t="str">
        <f>IFERROR(IF([1]对账明细接口!$N957=0,"",[1]对账明细接口!$N957),"")</f>
        <v/>
      </c>
      <c r="T957" s="21" t="str">
        <f>IFERROR(IF([1]对账明细接口!$O957=0,"",[1]对账明细接口!$O957),"")</f>
        <v/>
      </c>
      <c r="U957" s="21" t="str">
        <f>IFERROR(IF([1]对账明细接口!$P957=0,"",[1]对账明细接口!$P957),"")</f>
        <v/>
      </c>
      <c r="V957" s="21" t="str">
        <f>IFERROR(IF([1]对账明细接口!$Q957=0,"",[1]对账明细接口!$Q957),"")</f>
        <v/>
      </c>
      <c r="W957" s="20" t="str">
        <f>IFERROR(IF([1]对账明细接口!$R957=0,"",[1]对账明细接口!$R957),"")</f>
        <v/>
      </c>
      <c r="X957" s="20" t="str">
        <f>IFERROR(IF([1]对账明细接口!$S957=0,"",[1]对账明细接口!$S957),"")</f>
        <v/>
      </c>
      <c r="Y957" s="20" t="str">
        <f>IFERROR(IF([1]对账明细接口!$T957=0,"",[1]对账明细接口!$T957),"")</f>
        <v/>
      </c>
      <c r="Z957" s="24" t="str">
        <f>IFERROR(IF([1]对账明细接口!$U957=0,"",[1]对账明细接口!$U957),"")</f>
        <v/>
      </c>
      <c r="AA957" s="24" t="str">
        <f>IFERROR(IF([1]对账明细接口!$V957=0,"",[1]对账明细接口!$V957),"")</f>
        <v/>
      </c>
      <c r="AB957" s="20" t="str">
        <f>IFERROR(IF([1]对账明细接口!$W957=0,"",[1]对账明细接口!$W957),"")</f>
        <v/>
      </c>
      <c r="AC957" s="7" t="str">
        <f>IFERROR(IF([1]对账明细接口!$X957=0,"",[1]对账明细接口!$X957),"")</f>
        <v/>
      </c>
      <c r="AD957" s="7" t="str">
        <f>IFERROR(IF([1]对账明细接口!$Y957=0,"",[1]对账明细接口!$Y957),"")</f>
        <v/>
      </c>
      <c r="AE957" s="7" t="str">
        <f>IFERROR(IF([1]对账明细接口!$AA957=0,"",[1]对账明细接口!$AA957),"")</f>
        <v/>
      </c>
      <c r="AF957" s="7" t="str">
        <f>IFERROR(IF([1]对账明细接口!$AB957=0,"",[1]对账明细接口!$AB957),"")</f>
        <v/>
      </c>
      <c r="AG957" s="7" t="str">
        <f>IFERROR(IF([1]对账明细接口!$AC957=0,"",[1]对账明细接口!$AC957),"")</f>
        <v/>
      </c>
      <c r="AH957" s="7" t="str">
        <f>IFERROR(IF([1]对账明细接口!$AD957=0,"",[1]对账明细接口!$AD957),"")</f>
        <v/>
      </c>
      <c r="AI957" s="7" t="str">
        <f>IFERROR(IF([1]对账明细接口!$AE957=0,"",[1]对账明细接口!$AE957),"")</f>
        <v/>
      </c>
      <c r="AJ957" s="7" t="str">
        <f>IFERROR(IF([1]对账明细接口!$AF957=0,"",[1]对账明细接口!$AF957),"")</f>
        <v/>
      </c>
    </row>
    <row r="958" ht="14.25" customHeight="1" spans="1:36">
      <c r="A958" s="14">
        <v>958</v>
      </c>
      <c r="B958" s="15" t="str">
        <f>IFERROR(IF([1]对账明细接口!$B$958=0,"",[1]对账明细接口!$B$958),"")</f>
        <v/>
      </c>
      <c r="C958" s="16" t="str">
        <f>IFERROR(IF([1]对账明细接口!$C$958=0,"",[1]对账明细接口!$C$958),"")</f>
        <v/>
      </c>
      <c r="D958" s="16" t="str">
        <f>IFERROR(IF([1]对账明细接口!$D$958=0,"",[1]对账明细接口!$D$958),"")</f>
        <v/>
      </c>
      <c r="E958" s="16" t="str">
        <f>IFERROR(IF([1]对账明细接口!$E$958=0,"",[1]对账明细接口!$E$958),"")</f>
        <v/>
      </c>
      <c r="F958" s="16" t="str">
        <f>IFERROR(IF([1]对账明细接口!$F$958=0,"",[1]对账明细接口!$F$958),"")</f>
        <v/>
      </c>
      <c r="G958" s="16" t="str">
        <f>IFERROR(IF([1]对账明细接口!$G$958=0,"",[1]对账明细接口!$G$958),"")</f>
        <v/>
      </c>
      <c r="H958" s="17" t="str">
        <f>IFERROR(IF([1]对账明细接口!$H$958=0,"",[1]对账明细接口!$H$958),"")</f>
        <v/>
      </c>
      <c r="I958" s="16" t="str">
        <f>IFERROR(IF([1]对账明细接口!$I$958=0,"",[1]对账明细接口!$I$958),"")</f>
        <v/>
      </c>
      <c r="J958" s="18" t="str">
        <f>IFERROR(IF([1]对账明细接口!$J$958=0,"",[1]对账明细接口!$J$958),"")</f>
        <v/>
      </c>
      <c r="K958" s="18" t="str">
        <f>IFERROR(IF([1]对账明细接口!$K$958=0,"",[1]对账明细接口!$K$958),"")</f>
        <v/>
      </c>
      <c r="L958" s="16" t="str">
        <f>IFERROR(IF([1]对账明细接口!$L$958=0,"",[1]对账明细接口!$L$958),"")</f>
        <v/>
      </c>
      <c r="M958" s="16" t="str">
        <f>IFERROR(IF([1]对账明细接口!$M$958=0,"",[1]对账明细接口!$M$958),"")</f>
        <v/>
      </c>
      <c r="N958" s="19">
        <f t="shared" si="28"/>
        <v>0</v>
      </c>
      <c r="O958" s="19">
        <f t="shared" si="29"/>
        <v>420</v>
      </c>
      <c r="S958" s="20" t="str">
        <f>IFERROR(IF([1]对账明细接口!$N958=0,"",[1]对账明细接口!$N958),"")</f>
        <v/>
      </c>
      <c r="T958" s="21" t="str">
        <f>IFERROR(IF([1]对账明细接口!$O958=0,"",[1]对账明细接口!$O958),"")</f>
        <v/>
      </c>
      <c r="U958" s="21" t="str">
        <f>IFERROR(IF([1]对账明细接口!$P958=0,"",[1]对账明细接口!$P958),"")</f>
        <v/>
      </c>
      <c r="V958" s="21" t="str">
        <f>IFERROR(IF([1]对账明细接口!$Q958=0,"",[1]对账明细接口!$Q958),"")</f>
        <v/>
      </c>
      <c r="W958" s="20" t="str">
        <f>IFERROR(IF([1]对账明细接口!$R958=0,"",[1]对账明细接口!$R958),"")</f>
        <v/>
      </c>
      <c r="X958" s="20" t="str">
        <f>IFERROR(IF([1]对账明细接口!$S958=0,"",[1]对账明细接口!$S958),"")</f>
        <v/>
      </c>
      <c r="Y958" s="20" t="str">
        <f>IFERROR(IF([1]对账明细接口!$T958=0,"",[1]对账明细接口!$T958),"")</f>
        <v/>
      </c>
      <c r="Z958" s="24" t="str">
        <f>IFERROR(IF([1]对账明细接口!$U958=0,"",[1]对账明细接口!$U958),"")</f>
        <v/>
      </c>
      <c r="AA958" s="24" t="str">
        <f>IFERROR(IF([1]对账明细接口!$V958=0,"",[1]对账明细接口!$V958),"")</f>
        <v/>
      </c>
      <c r="AB958" s="20" t="str">
        <f>IFERROR(IF([1]对账明细接口!$W958=0,"",[1]对账明细接口!$W958),"")</f>
        <v/>
      </c>
      <c r="AC958" s="7" t="str">
        <f>IFERROR(IF([1]对账明细接口!$X958=0,"",[1]对账明细接口!$X958),"")</f>
        <v/>
      </c>
      <c r="AD958" s="7" t="str">
        <f>IFERROR(IF([1]对账明细接口!$Y958=0,"",[1]对账明细接口!$Y958),"")</f>
        <v/>
      </c>
      <c r="AE958" s="7" t="str">
        <f>IFERROR(IF([1]对账明细接口!$AA958=0,"",[1]对账明细接口!$AA958),"")</f>
        <v/>
      </c>
      <c r="AF958" s="7" t="str">
        <f>IFERROR(IF([1]对账明细接口!$AB958=0,"",[1]对账明细接口!$AB958),"")</f>
        <v/>
      </c>
      <c r="AG958" s="7" t="str">
        <f>IFERROR(IF([1]对账明细接口!$AC958=0,"",[1]对账明细接口!$AC958),"")</f>
        <v/>
      </c>
      <c r="AH958" s="7" t="str">
        <f>IFERROR(IF([1]对账明细接口!$AD958=0,"",[1]对账明细接口!$AD958),"")</f>
        <v/>
      </c>
      <c r="AI958" s="7" t="str">
        <f>IFERROR(IF([1]对账明细接口!$AE958=0,"",[1]对账明细接口!$AE958),"")</f>
        <v/>
      </c>
      <c r="AJ958" s="7" t="str">
        <f>IFERROR(IF([1]对账明细接口!$AF958=0,"",[1]对账明细接口!$AF958),"")</f>
        <v/>
      </c>
    </row>
    <row r="959" ht="14.25" customHeight="1" spans="1:36">
      <c r="A959" s="14">
        <v>959</v>
      </c>
      <c r="B959" s="15" t="str">
        <f>IFERROR(IF([1]对账明细接口!$B$959=0,"",[1]对账明细接口!$B$959),"")</f>
        <v/>
      </c>
      <c r="C959" s="16" t="str">
        <f>IFERROR(IF([1]对账明细接口!$C$959=0,"",[1]对账明细接口!$C$959),"")</f>
        <v/>
      </c>
      <c r="D959" s="16" t="str">
        <f>IFERROR(IF([1]对账明细接口!$D$959=0,"",[1]对账明细接口!$D$959),"")</f>
        <v/>
      </c>
      <c r="E959" s="16" t="str">
        <f>IFERROR(IF([1]对账明细接口!$E$959=0,"",[1]对账明细接口!$E$959),"")</f>
        <v/>
      </c>
      <c r="F959" s="16" t="str">
        <f>IFERROR(IF([1]对账明细接口!$F$959=0,"",[1]对账明细接口!$F$959),"")</f>
        <v/>
      </c>
      <c r="G959" s="16" t="str">
        <f>IFERROR(IF([1]对账明细接口!$G$959=0,"",[1]对账明细接口!$G$959),"")</f>
        <v/>
      </c>
      <c r="H959" s="17" t="str">
        <f>IFERROR(IF([1]对账明细接口!$H$959=0,"",[1]对账明细接口!$H$959),"")</f>
        <v/>
      </c>
      <c r="I959" s="16" t="str">
        <f>IFERROR(IF([1]对账明细接口!$I$959=0,"",[1]对账明细接口!$I$959),"")</f>
        <v/>
      </c>
      <c r="J959" s="18" t="str">
        <f>IFERROR(IF([1]对账明细接口!$J$959=0,"",[1]对账明细接口!$J$959),"")</f>
        <v/>
      </c>
      <c r="K959" s="18" t="str">
        <f>IFERROR(IF([1]对账明细接口!$K$959=0,"",[1]对账明细接口!$K$959),"")</f>
        <v/>
      </c>
      <c r="L959" s="16" t="str">
        <f>IFERROR(IF([1]对账明细接口!$L$959=0,"",[1]对账明细接口!$L$959),"")</f>
        <v/>
      </c>
      <c r="M959" s="16" t="str">
        <f>IFERROR(IF([1]对账明细接口!$M$959=0,"",[1]对账明细接口!$M$959),"")</f>
        <v/>
      </c>
      <c r="N959" s="19">
        <f t="shared" si="28"/>
        <v>0</v>
      </c>
      <c r="O959" s="19">
        <f t="shared" si="29"/>
        <v>420</v>
      </c>
      <c r="S959" s="20" t="str">
        <f>IFERROR(IF([1]对账明细接口!$N959=0,"",[1]对账明细接口!$N959),"")</f>
        <v/>
      </c>
      <c r="T959" s="21" t="str">
        <f>IFERROR(IF([1]对账明细接口!$O959=0,"",[1]对账明细接口!$O959),"")</f>
        <v/>
      </c>
      <c r="U959" s="21" t="str">
        <f>IFERROR(IF([1]对账明细接口!$P959=0,"",[1]对账明细接口!$P959),"")</f>
        <v/>
      </c>
      <c r="V959" s="21" t="str">
        <f>IFERROR(IF([1]对账明细接口!$Q959=0,"",[1]对账明细接口!$Q959),"")</f>
        <v/>
      </c>
      <c r="W959" s="20" t="str">
        <f>IFERROR(IF([1]对账明细接口!$R959=0,"",[1]对账明细接口!$R959),"")</f>
        <v/>
      </c>
      <c r="X959" s="20" t="str">
        <f>IFERROR(IF([1]对账明细接口!$S959=0,"",[1]对账明细接口!$S959),"")</f>
        <v/>
      </c>
      <c r="Y959" s="20" t="str">
        <f>IFERROR(IF([1]对账明细接口!$T959=0,"",[1]对账明细接口!$T959),"")</f>
        <v/>
      </c>
      <c r="Z959" s="24" t="str">
        <f>IFERROR(IF([1]对账明细接口!$U959=0,"",[1]对账明细接口!$U959),"")</f>
        <v/>
      </c>
      <c r="AA959" s="24" t="str">
        <f>IFERROR(IF([1]对账明细接口!$V959=0,"",[1]对账明细接口!$V959),"")</f>
        <v/>
      </c>
      <c r="AB959" s="20" t="str">
        <f>IFERROR(IF([1]对账明细接口!$W959=0,"",[1]对账明细接口!$W959),"")</f>
        <v/>
      </c>
      <c r="AC959" s="7" t="str">
        <f>IFERROR(IF([1]对账明细接口!$X959=0,"",[1]对账明细接口!$X959),"")</f>
        <v/>
      </c>
      <c r="AD959" s="7" t="str">
        <f>IFERROR(IF([1]对账明细接口!$Y959=0,"",[1]对账明细接口!$Y959),"")</f>
        <v/>
      </c>
      <c r="AE959" s="7" t="str">
        <f>IFERROR(IF([1]对账明细接口!$AA959=0,"",[1]对账明细接口!$AA959),"")</f>
        <v/>
      </c>
      <c r="AF959" s="7" t="str">
        <f>IFERROR(IF([1]对账明细接口!$AB959=0,"",[1]对账明细接口!$AB959),"")</f>
        <v/>
      </c>
      <c r="AG959" s="7" t="str">
        <f>IFERROR(IF([1]对账明细接口!$AC959=0,"",[1]对账明细接口!$AC959),"")</f>
        <v/>
      </c>
      <c r="AH959" s="7" t="str">
        <f>IFERROR(IF([1]对账明细接口!$AD959=0,"",[1]对账明细接口!$AD959),"")</f>
        <v/>
      </c>
      <c r="AI959" s="7" t="str">
        <f>IFERROR(IF([1]对账明细接口!$AE959=0,"",[1]对账明细接口!$AE959),"")</f>
        <v/>
      </c>
      <c r="AJ959" s="7" t="str">
        <f>IFERROR(IF([1]对账明细接口!$AF959=0,"",[1]对账明细接口!$AF959),"")</f>
        <v/>
      </c>
    </row>
    <row r="960" ht="14.25" customHeight="1" spans="1:36">
      <c r="A960" s="14">
        <v>960</v>
      </c>
      <c r="B960" s="15" t="str">
        <f>IFERROR(IF([1]对账明细接口!$B$960=0,"",[1]对账明细接口!$B$960),"")</f>
        <v/>
      </c>
      <c r="C960" s="16" t="str">
        <f>IFERROR(IF([1]对账明细接口!$C$960=0,"",[1]对账明细接口!$C$960),"")</f>
        <v/>
      </c>
      <c r="D960" s="16" t="str">
        <f>IFERROR(IF([1]对账明细接口!$D$960=0,"",[1]对账明细接口!$D$960),"")</f>
        <v/>
      </c>
      <c r="E960" s="16" t="str">
        <f>IFERROR(IF([1]对账明细接口!$E$960=0,"",[1]对账明细接口!$E$960),"")</f>
        <v/>
      </c>
      <c r="F960" s="16" t="str">
        <f>IFERROR(IF([1]对账明细接口!$F$960=0,"",[1]对账明细接口!$F$960),"")</f>
        <v/>
      </c>
      <c r="G960" s="16" t="str">
        <f>IFERROR(IF([1]对账明细接口!$G$960=0,"",[1]对账明细接口!$G$960),"")</f>
        <v/>
      </c>
      <c r="H960" s="17" t="str">
        <f>IFERROR(IF([1]对账明细接口!$H$960=0,"",[1]对账明细接口!$H$960),"")</f>
        <v/>
      </c>
      <c r="I960" s="16" t="str">
        <f>IFERROR(IF([1]对账明细接口!$I$960=0,"",[1]对账明细接口!$I$960),"")</f>
        <v/>
      </c>
      <c r="J960" s="18" t="str">
        <f>IFERROR(IF([1]对账明细接口!$J$960=0,"",[1]对账明细接口!$J$960),"")</f>
        <v/>
      </c>
      <c r="K960" s="18" t="str">
        <f>IFERROR(IF([1]对账明细接口!$K$960=0,"",[1]对账明细接口!$K$960),"")</f>
        <v/>
      </c>
      <c r="L960" s="16" t="str">
        <f>IFERROR(IF([1]对账明细接口!$L$960=0,"",[1]对账明细接口!$L$960),"")</f>
        <v/>
      </c>
      <c r="M960" s="16" t="str">
        <f>IFERROR(IF([1]对账明细接口!$M$960=0,"",[1]对账明细接口!$M$960),"")</f>
        <v/>
      </c>
      <c r="N960" s="19">
        <f t="shared" si="28"/>
        <v>0</v>
      </c>
      <c r="O960" s="19">
        <f t="shared" si="29"/>
        <v>420</v>
      </c>
      <c r="S960" s="20" t="str">
        <f>IFERROR(IF([1]对账明细接口!$N960=0,"",[1]对账明细接口!$N960),"")</f>
        <v/>
      </c>
      <c r="T960" s="21" t="str">
        <f>IFERROR(IF([1]对账明细接口!$O960=0,"",[1]对账明细接口!$O960),"")</f>
        <v/>
      </c>
      <c r="U960" s="21" t="str">
        <f>IFERROR(IF([1]对账明细接口!$P960=0,"",[1]对账明细接口!$P960),"")</f>
        <v/>
      </c>
      <c r="V960" s="21" t="str">
        <f>IFERROR(IF([1]对账明细接口!$Q960=0,"",[1]对账明细接口!$Q960),"")</f>
        <v/>
      </c>
      <c r="W960" s="20" t="str">
        <f>IFERROR(IF([1]对账明细接口!$R960=0,"",[1]对账明细接口!$R960),"")</f>
        <v/>
      </c>
      <c r="X960" s="20" t="str">
        <f>IFERROR(IF([1]对账明细接口!$S960=0,"",[1]对账明细接口!$S960),"")</f>
        <v/>
      </c>
      <c r="Y960" s="20" t="str">
        <f>IFERROR(IF([1]对账明细接口!$T960=0,"",[1]对账明细接口!$T960),"")</f>
        <v/>
      </c>
      <c r="Z960" s="24" t="str">
        <f>IFERROR(IF([1]对账明细接口!$U960=0,"",[1]对账明细接口!$U960),"")</f>
        <v/>
      </c>
      <c r="AA960" s="24" t="str">
        <f>IFERROR(IF([1]对账明细接口!$V960=0,"",[1]对账明细接口!$V960),"")</f>
        <v/>
      </c>
      <c r="AB960" s="20" t="str">
        <f>IFERROR(IF([1]对账明细接口!$W960=0,"",[1]对账明细接口!$W960),"")</f>
        <v/>
      </c>
      <c r="AC960" s="7" t="str">
        <f>IFERROR(IF([1]对账明细接口!$X960=0,"",[1]对账明细接口!$X960),"")</f>
        <v/>
      </c>
      <c r="AD960" s="7" t="str">
        <f>IFERROR(IF([1]对账明细接口!$Y960=0,"",[1]对账明细接口!$Y960),"")</f>
        <v/>
      </c>
      <c r="AE960" s="7" t="str">
        <f>IFERROR(IF([1]对账明细接口!$AA960=0,"",[1]对账明细接口!$AA960),"")</f>
        <v/>
      </c>
      <c r="AF960" s="7" t="str">
        <f>IFERROR(IF([1]对账明细接口!$AB960=0,"",[1]对账明细接口!$AB960),"")</f>
        <v/>
      </c>
      <c r="AG960" s="7" t="str">
        <f>IFERROR(IF([1]对账明细接口!$AC960=0,"",[1]对账明细接口!$AC960),"")</f>
        <v/>
      </c>
      <c r="AH960" s="7" t="str">
        <f>IFERROR(IF([1]对账明细接口!$AD960=0,"",[1]对账明细接口!$AD960),"")</f>
        <v/>
      </c>
      <c r="AI960" s="7" t="str">
        <f>IFERROR(IF([1]对账明细接口!$AE960=0,"",[1]对账明细接口!$AE960),"")</f>
        <v/>
      </c>
      <c r="AJ960" s="7" t="str">
        <f>IFERROR(IF([1]对账明细接口!$AF960=0,"",[1]对账明细接口!$AF960),"")</f>
        <v/>
      </c>
    </row>
    <row r="961" ht="14.25" customHeight="1" spans="1:36">
      <c r="A961" s="14">
        <v>961</v>
      </c>
      <c r="B961" s="15" t="str">
        <f>IFERROR(IF([1]对账明细接口!$B$961=0,"",[1]对账明细接口!$B$961),"")</f>
        <v/>
      </c>
      <c r="C961" s="16" t="str">
        <f>IFERROR(IF([1]对账明细接口!$C$961=0,"",[1]对账明细接口!$C$961),"")</f>
        <v/>
      </c>
      <c r="D961" s="16" t="str">
        <f>IFERROR(IF([1]对账明细接口!$D$961=0,"",[1]对账明细接口!$D$961),"")</f>
        <v/>
      </c>
      <c r="E961" s="16" t="str">
        <f>IFERROR(IF([1]对账明细接口!$E$961=0,"",[1]对账明细接口!$E$961),"")</f>
        <v/>
      </c>
      <c r="F961" s="16" t="str">
        <f>IFERROR(IF([1]对账明细接口!$F$961=0,"",[1]对账明细接口!$F$961),"")</f>
        <v/>
      </c>
      <c r="G961" s="16" t="str">
        <f>IFERROR(IF([1]对账明细接口!$G$961=0,"",[1]对账明细接口!$G$961),"")</f>
        <v/>
      </c>
      <c r="H961" s="17" t="str">
        <f>IFERROR(IF([1]对账明细接口!$H$961=0,"",[1]对账明细接口!$H$961),"")</f>
        <v/>
      </c>
      <c r="I961" s="16" t="str">
        <f>IFERROR(IF([1]对账明细接口!$I$961=0,"",[1]对账明细接口!$I$961),"")</f>
        <v/>
      </c>
      <c r="J961" s="18" t="str">
        <f>IFERROR(IF([1]对账明细接口!$J$961=0,"",[1]对账明细接口!$J$961),"")</f>
        <v/>
      </c>
      <c r="K961" s="18" t="str">
        <f>IFERROR(IF([1]对账明细接口!$K$961=0,"",[1]对账明细接口!$K$961),"")</f>
        <v/>
      </c>
      <c r="L961" s="16" t="str">
        <f>IFERROR(IF([1]对账明细接口!$L$961=0,"",[1]对账明细接口!$L$961),"")</f>
        <v/>
      </c>
      <c r="M961" s="16" t="str">
        <f>IFERROR(IF([1]对账明细接口!$M$961=0,"",[1]对账明细接口!$M$961),"")</f>
        <v/>
      </c>
      <c r="N961" s="19">
        <f t="shared" si="28"/>
        <v>0</v>
      </c>
      <c r="O961" s="19">
        <f t="shared" si="29"/>
        <v>420</v>
      </c>
      <c r="S961" s="20" t="str">
        <f>IFERROR(IF([1]对账明细接口!$N961=0,"",[1]对账明细接口!$N961),"")</f>
        <v/>
      </c>
      <c r="T961" s="21" t="str">
        <f>IFERROR(IF([1]对账明细接口!$O961=0,"",[1]对账明细接口!$O961),"")</f>
        <v/>
      </c>
      <c r="U961" s="21" t="str">
        <f>IFERROR(IF([1]对账明细接口!$P961=0,"",[1]对账明细接口!$P961),"")</f>
        <v/>
      </c>
      <c r="V961" s="21" t="str">
        <f>IFERROR(IF([1]对账明细接口!$Q961=0,"",[1]对账明细接口!$Q961),"")</f>
        <v/>
      </c>
      <c r="W961" s="20" t="str">
        <f>IFERROR(IF([1]对账明细接口!$R961=0,"",[1]对账明细接口!$R961),"")</f>
        <v/>
      </c>
      <c r="X961" s="20" t="str">
        <f>IFERROR(IF([1]对账明细接口!$S961=0,"",[1]对账明细接口!$S961),"")</f>
        <v/>
      </c>
      <c r="Y961" s="20" t="str">
        <f>IFERROR(IF([1]对账明细接口!$T961=0,"",[1]对账明细接口!$T961),"")</f>
        <v/>
      </c>
      <c r="Z961" s="24" t="str">
        <f>IFERROR(IF([1]对账明细接口!$U961=0,"",[1]对账明细接口!$U961),"")</f>
        <v/>
      </c>
      <c r="AA961" s="24" t="str">
        <f>IFERROR(IF([1]对账明细接口!$V961=0,"",[1]对账明细接口!$V961),"")</f>
        <v/>
      </c>
      <c r="AB961" s="20" t="str">
        <f>IFERROR(IF([1]对账明细接口!$W961=0,"",[1]对账明细接口!$W961),"")</f>
        <v/>
      </c>
      <c r="AC961" s="7" t="str">
        <f>IFERROR(IF([1]对账明细接口!$X961=0,"",[1]对账明细接口!$X961),"")</f>
        <v/>
      </c>
      <c r="AD961" s="7" t="str">
        <f>IFERROR(IF([1]对账明细接口!$Y961=0,"",[1]对账明细接口!$Y961),"")</f>
        <v/>
      </c>
      <c r="AE961" s="7" t="str">
        <f>IFERROR(IF([1]对账明细接口!$AA961=0,"",[1]对账明细接口!$AA961),"")</f>
        <v/>
      </c>
      <c r="AF961" s="7" t="str">
        <f>IFERROR(IF([1]对账明细接口!$AB961=0,"",[1]对账明细接口!$AB961),"")</f>
        <v/>
      </c>
      <c r="AG961" s="7" t="str">
        <f>IFERROR(IF([1]对账明细接口!$AC961=0,"",[1]对账明细接口!$AC961),"")</f>
        <v/>
      </c>
      <c r="AH961" s="7" t="str">
        <f>IFERROR(IF([1]对账明细接口!$AD961=0,"",[1]对账明细接口!$AD961),"")</f>
        <v/>
      </c>
      <c r="AI961" s="7" t="str">
        <f>IFERROR(IF([1]对账明细接口!$AE961=0,"",[1]对账明细接口!$AE961),"")</f>
        <v/>
      </c>
      <c r="AJ961" s="7" t="str">
        <f>IFERROR(IF([1]对账明细接口!$AF961=0,"",[1]对账明细接口!$AF961),"")</f>
        <v/>
      </c>
    </row>
    <row r="962" ht="14.25" customHeight="1" spans="1:36">
      <c r="A962" s="14">
        <v>962</v>
      </c>
      <c r="B962" s="15" t="str">
        <f>IFERROR(IF([1]对账明细接口!$B$962=0,"",[1]对账明细接口!$B$962),"")</f>
        <v/>
      </c>
      <c r="C962" s="16" t="str">
        <f>IFERROR(IF([1]对账明细接口!$C$962=0,"",[1]对账明细接口!$C$962),"")</f>
        <v/>
      </c>
      <c r="D962" s="16" t="str">
        <f>IFERROR(IF([1]对账明细接口!$D$962=0,"",[1]对账明细接口!$D$962),"")</f>
        <v/>
      </c>
      <c r="E962" s="16" t="str">
        <f>IFERROR(IF([1]对账明细接口!$E$962=0,"",[1]对账明细接口!$E$962),"")</f>
        <v/>
      </c>
      <c r="F962" s="16" t="str">
        <f>IFERROR(IF([1]对账明细接口!$F$962=0,"",[1]对账明细接口!$F$962),"")</f>
        <v/>
      </c>
      <c r="G962" s="16" t="str">
        <f>IFERROR(IF([1]对账明细接口!$G$962=0,"",[1]对账明细接口!$G$962),"")</f>
        <v/>
      </c>
      <c r="H962" s="17" t="str">
        <f>IFERROR(IF([1]对账明细接口!$H$962=0,"",[1]对账明细接口!$H$962),"")</f>
        <v/>
      </c>
      <c r="I962" s="16" t="str">
        <f>IFERROR(IF([1]对账明细接口!$I$962=0,"",[1]对账明细接口!$I$962),"")</f>
        <v/>
      </c>
      <c r="J962" s="18" t="str">
        <f>IFERROR(IF([1]对账明细接口!$J$962=0,"",[1]对账明细接口!$J$962),"")</f>
        <v/>
      </c>
      <c r="K962" s="18" t="str">
        <f>IFERROR(IF([1]对账明细接口!$K$962=0,"",[1]对账明细接口!$K$962),"")</f>
        <v/>
      </c>
      <c r="L962" s="16" t="str">
        <f>IFERROR(IF([1]对账明细接口!$L$962=0,"",[1]对账明细接口!$L$962),"")</f>
        <v/>
      </c>
      <c r="M962" s="16" t="str">
        <f>IFERROR(IF([1]对账明细接口!$M$962=0,"",[1]对账明细接口!$M$962),"")</f>
        <v/>
      </c>
      <c r="N962" s="19">
        <f t="shared" si="28"/>
        <v>0</v>
      </c>
      <c r="O962" s="19">
        <f t="shared" si="29"/>
        <v>420</v>
      </c>
      <c r="S962" s="20" t="str">
        <f>IFERROR(IF([1]对账明细接口!$N962=0,"",[1]对账明细接口!$N962),"")</f>
        <v/>
      </c>
      <c r="T962" s="21" t="str">
        <f>IFERROR(IF([1]对账明细接口!$O962=0,"",[1]对账明细接口!$O962),"")</f>
        <v/>
      </c>
      <c r="U962" s="21" t="str">
        <f>IFERROR(IF([1]对账明细接口!$P962=0,"",[1]对账明细接口!$P962),"")</f>
        <v/>
      </c>
      <c r="V962" s="21" t="str">
        <f>IFERROR(IF([1]对账明细接口!$Q962=0,"",[1]对账明细接口!$Q962),"")</f>
        <v/>
      </c>
      <c r="W962" s="20" t="str">
        <f>IFERROR(IF([1]对账明细接口!$R962=0,"",[1]对账明细接口!$R962),"")</f>
        <v/>
      </c>
      <c r="X962" s="20" t="str">
        <f>IFERROR(IF([1]对账明细接口!$S962=0,"",[1]对账明细接口!$S962),"")</f>
        <v/>
      </c>
      <c r="Y962" s="20" t="str">
        <f>IFERROR(IF([1]对账明细接口!$T962=0,"",[1]对账明细接口!$T962),"")</f>
        <v/>
      </c>
      <c r="Z962" s="24" t="str">
        <f>IFERROR(IF([1]对账明细接口!$U962=0,"",[1]对账明细接口!$U962),"")</f>
        <v/>
      </c>
      <c r="AA962" s="24" t="str">
        <f>IFERROR(IF([1]对账明细接口!$V962=0,"",[1]对账明细接口!$V962),"")</f>
        <v/>
      </c>
      <c r="AB962" s="20" t="str">
        <f>IFERROR(IF([1]对账明细接口!$W962=0,"",[1]对账明细接口!$W962),"")</f>
        <v/>
      </c>
      <c r="AC962" s="7" t="str">
        <f>IFERROR(IF([1]对账明细接口!$X962=0,"",[1]对账明细接口!$X962),"")</f>
        <v/>
      </c>
      <c r="AD962" s="7" t="str">
        <f>IFERROR(IF([1]对账明细接口!$Y962=0,"",[1]对账明细接口!$Y962),"")</f>
        <v/>
      </c>
      <c r="AE962" s="7" t="str">
        <f>IFERROR(IF([1]对账明细接口!$AA962=0,"",[1]对账明细接口!$AA962),"")</f>
        <v/>
      </c>
      <c r="AF962" s="7" t="str">
        <f>IFERROR(IF([1]对账明细接口!$AB962=0,"",[1]对账明细接口!$AB962),"")</f>
        <v/>
      </c>
      <c r="AG962" s="7" t="str">
        <f>IFERROR(IF([1]对账明细接口!$AC962=0,"",[1]对账明细接口!$AC962),"")</f>
        <v/>
      </c>
      <c r="AH962" s="7" t="str">
        <f>IFERROR(IF([1]对账明细接口!$AD962=0,"",[1]对账明细接口!$AD962),"")</f>
        <v/>
      </c>
      <c r="AI962" s="7" t="str">
        <f>IFERROR(IF([1]对账明细接口!$AE962=0,"",[1]对账明细接口!$AE962),"")</f>
        <v/>
      </c>
      <c r="AJ962" s="7" t="str">
        <f>IFERROR(IF([1]对账明细接口!$AF962=0,"",[1]对账明细接口!$AF962),"")</f>
        <v/>
      </c>
    </row>
    <row r="963" ht="14.25" customHeight="1" spans="1:36">
      <c r="A963" s="14">
        <v>963</v>
      </c>
      <c r="B963" s="15" t="str">
        <f>IFERROR(IF([1]对账明细接口!$B$963=0,"",[1]对账明细接口!$B$963),"")</f>
        <v/>
      </c>
      <c r="C963" s="16" t="str">
        <f>IFERROR(IF([1]对账明细接口!$C$963=0,"",[1]对账明细接口!$C$963),"")</f>
        <v/>
      </c>
      <c r="D963" s="16" t="str">
        <f>IFERROR(IF([1]对账明细接口!$D$963=0,"",[1]对账明细接口!$D$963),"")</f>
        <v/>
      </c>
      <c r="E963" s="16" t="str">
        <f>IFERROR(IF([1]对账明细接口!$E$963=0,"",[1]对账明细接口!$E$963),"")</f>
        <v/>
      </c>
      <c r="F963" s="16" t="str">
        <f>IFERROR(IF([1]对账明细接口!$F$963=0,"",[1]对账明细接口!$F$963),"")</f>
        <v/>
      </c>
      <c r="G963" s="16" t="str">
        <f>IFERROR(IF([1]对账明细接口!$G$963=0,"",[1]对账明细接口!$G$963),"")</f>
        <v/>
      </c>
      <c r="H963" s="17" t="str">
        <f>IFERROR(IF([1]对账明细接口!$H$963=0,"",[1]对账明细接口!$H$963),"")</f>
        <v/>
      </c>
      <c r="I963" s="16" t="str">
        <f>IFERROR(IF([1]对账明细接口!$I$963=0,"",[1]对账明细接口!$I$963),"")</f>
        <v/>
      </c>
      <c r="J963" s="18" t="str">
        <f>IFERROR(IF([1]对账明细接口!$J$963=0,"",[1]对账明细接口!$J$963),"")</f>
        <v/>
      </c>
      <c r="K963" s="18" t="str">
        <f>IFERROR(IF([1]对账明细接口!$K$963=0,"",[1]对账明细接口!$K$963),"")</f>
        <v/>
      </c>
      <c r="L963" s="16" t="str">
        <f>IFERROR(IF([1]对账明细接口!$L$963=0,"",[1]对账明细接口!$L$963),"")</f>
        <v/>
      </c>
      <c r="M963" s="16" t="str">
        <f>IFERROR(IF([1]对账明细接口!$M$963=0,"",[1]对账明细接口!$M$963),"")</f>
        <v/>
      </c>
      <c r="N963" s="19">
        <f t="shared" si="28"/>
        <v>0</v>
      </c>
      <c r="O963" s="19">
        <f t="shared" si="29"/>
        <v>420</v>
      </c>
      <c r="S963" s="20" t="str">
        <f>IFERROR(IF([1]对账明细接口!$N963=0,"",[1]对账明细接口!$N963),"")</f>
        <v/>
      </c>
      <c r="T963" s="21" t="str">
        <f>IFERROR(IF([1]对账明细接口!$O963=0,"",[1]对账明细接口!$O963),"")</f>
        <v/>
      </c>
      <c r="U963" s="21" t="str">
        <f>IFERROR(IF([1]对账明细接口!$P963=0,"",[1]对账明细接口!$P963),"")</f>
        <v/>
      </c>
      <c r="V963" s="21" t="str">
        <f>IFERROR(IF([1]对账明细接口!$Q963=0,"",[1]对账明细接口!$Q963),"")</f>
        <v/>
      </c>
      <c r="W963" s="20" t="str">
        <f>IFERROR(IF([1]对账明细接口!$R963=0,"",[1]对账明细接口!$R963),"")</f>
        <v/>
      </c>
      <c r="X963" s="20" t="str">
        <f>IFERROR(IF([1]对账明细接口!$S963=0,"",[1]对账明细接口!$S963),"")</f>
        <v/>
      </c>
      <c r="Y963" s="20" t="str">
        <f>IFERROR(IF([1]对账明细接口!$T963=0,"",[1]对账明细接口!$T963),"")</f>
        <v/>
      </c>
      <c r="Z963" s="24" t="str">
        <f>IFERROR(IF([1]对账明细接口!$U963=0,"",[1]对账明细接口!$U963),"")</f>
        <v/>
      </c>
      <c r="AA963" s="24" t="str">
        <f>IFERROR(IF([1]对账明细接口!$V963=0,"",[1]对账明细接口!$V963),"")</f>
        <v/>
      </c>
      <c r="AB963" s="20" t="str">
        <f>IFERROR(IF([1]对账明细接口!$W963=0,"",[1]对账明细接口!$W963),"")</f>
        <v/>
      </c>
      <c r="AC963" s="7" t="str">
        <f>IFERROR(IF([1]对账明细接口!$X963=0,"",[1]对账明细接口!$X963),"")</f>
        <v/>
      </c>
      <c r="AD963" s="7" t="str">
        <f>IFERROR(IF([1]对账明细接口!$Y963=0,"",[1]对账明细接口!$Y963),"")</f>
        <v/>
      </c>
      <c r="AE963" s="7" t="str">
        <f>IFERROR(IF([1]对账明细接口!$AA963=0,"",[1]对账明细接口!$AA963),"")</f>
        <v/>
      </c>
      <c r="AF963" s="7" t="str">
        <f>IFERROR(IF([1]对账明细接口!$AB963=0,"",[1]对账明细接口!$AB963),"")</f>
        <v/>
      </c>
      <c r="AG963" s="7" t="str">
        <f>IFERROR(IF([1]对账明细接口!$AC963=0,"",[1]对账明细接口!$AC963),"")</f>
        <v/>
      </c>
      <c r="AH963" s="7" t="str">
        <f>IFERROR(IF([1]对账明细接口!$AD963=0,"",[1]对账明细接口!$AD963),"")</f>
        <v/>
      </c>
      <c r="AI963" s="7" t="str">
        <f>IFERROR(IF([1]对账明细接口!$AE963=0,"",[1]对账明细接口!$AE963),"")</f>
        <v/>
      </c>
      <c r="AJ963" s="7" t="str">
        <f>IFERROR(IF([1]对账明细接口!$AF963=0,"",[1]对账明细接口!$AF963),"")</f>
        <v/>
      </c>
    </row>
    <row r="964" ht="14.25" customHeight="1" spans="1:36">
      <c r="A964" s="14">
        <v>964</v>
      </c>
      <c r="B964" s="15" t="str">
        <f>IFERROR(IF([1]对账明细接口!$B$964=0,"",[1]对账明细接口!$B$964),"")</f>
        <v/>
      </c>
      <c r="C964" s="16" t="str">
        <f>IFERROR(IF([1]对账明细接口!$C$964=0,"",[1]对账明细接口!$C$964),"")</f>
        <v/>
      </c>
      <c r="D964" s="16" t="str">
        <f>IFERROR(IF([1]对账明细接口!$D$964=0,"",[1]对账明细接口!$D$964),"")</f>
        <v/>
      </c>
      <c r="E964" s="16" t="str">
        <f>IFERROR(IF([1]对账明细接口!$E$964=0,"",[1]对账明细接口!$E$964),"")</f>
        <v/>
      </c>
      <c r="F964" s="16" t="str">
        <f>IFERROR(IF([1]对账明细接口!$F$964=0,"",[1]对账明细接口!$F$964),"")</f>
        <v/>
      </c>
      <c r="G964" s="16" t="str">
        <f>IFERROR(IF([1]对账明细接口!$G$964=0,"",[1]对账明细接口!$G$964),"")</f>
        <v/>
      </c>
      <c r="H964" s="17" t="str">
        <f>IFERROR(IF([1]对账明细接口!$H$964=0,"",[1]对账明细接口!$H$964),"")</f>
        <v/>
      </c>
      <c r="I964" s="16" t="str">
        <f>IFERROR(IF([1]对账明细接口!$I$964=0,"",[1]对账明细接口!$I$964),"")</f>
        <v/>
      </c>
      <c r="J964" s="18" t="str">
        <f>IFERROR(IF([1]对账明细接口!$J$964=0,"",[1]对账明细接口!$J$964),"")</f>
        <v/>
      </c>
      <c r="K964" s="18" t="str">
        <f>IFERROR(IF([1]对账明细接口!$K$964=0,"",[1]对账明细接口!$K$964),"")</f>
        <v/>
      </c>
      <c r="L964" s="16" t="str">
        <f>IFERROR(IF([1]对账明细接口!$L$964=0,"",[1]对账明细接口!$L$964),"")</f>
        <v/>
      </c>
      <c r="M964" s="16" t="str">
        <f>IFERROR(IF([1]对账明细接口!$M$964=0,"",[1]对账明细接口!$M$964),"")</f>
        <v/>
      </c>
      <c r="N964" s="19">
        <f t="shared" ref="N964:N1027" si="30">IF($C964="",0,1)</f>
        <v>0</v>
      </c>
      <c r="O964" s="19">
        <f t="shared" ref="O964:O1027" si="31">N(O963)+$N964</f>
        <v>420</v>
      </c>
      <c r="S964" s="20" t="str">
        <f>IFERROR(IF([1]对账明细接口!$N964=0,"",[1]对账明细接口!$N964),"")</f>
        <v/>
      </c>
      <c r="T964" s="21" t="str">
        <f>IFERROR(IF([1]对账明细接口!$O964=0,"",[1]对账明细接口!$O964),"")</f>
        <v/>
      </c>
      <c r="U964" s="21" t="str">
        <f>IFERROR(IF([1]对账明细接口!$P964=0,"",[1]对账明细接口!$P964),"")</f>
        <v/>
      </c>
      <c r="V964" s="21" t="str">
        <f>IFERROR(IF([1]对账明细接口!$Q964=0,"",[1]对账明细接口!$Q964),"")</f>
        <v/>
      </c>
      <c r="W964" s="20" t="str">
        <f>IFERROR(IF([1]对账明细接口!$R964=0,"",[1]对账明细接口!$R964),"")</f>
        <v/>
      </c>
      <c r="X964" s="20" t="str">
        <f>IFERROR(IF([1]对账明细接口!$S964=0,"",[1]对账明细接口!$S964),"")</f>
        <v/>
      </c>
      <c r="Y964" s="20" t="str">
        <f>IFERROR(IF([1]对账明细接口!$T964=0,"",[1]对账明细接口!$T964),"")</f>
        <v/>
      </c>
      <c r="Z964" s="24" t="str">
        <f>IFERROR(IF([1]对账明细接口!$U964=0,"",[1]对账明细接口!$U964),"")</f>
        <v/>
      </c>
      <c r="AA964" s="24" t="str">
        <f>IFERROR(IF([1]对账明细接口!$V964=0,"",[1]对账明细接口!$V964),"")</f>
        <v/>
      </c>
      <c r="AB964" s="20" t="str">
        <f>IFERROR(IF([1]对账明细接口!$W964=0,"",[1]对账明细接口!$W964),"")</f>
        <v/>
      </c>
      <c r="AC964" s="7" t="str">
        <f>IFERROR(IF([1]对账明细接口!$X964=0,"",[1]对账明细接口!$X964),"")</f>
        <v/>
      </c>
      <c r="AD964" s="7" t="str">
        <f>IFERROR(IF([1]对账明细接口!$Y964=0,"",[1]对账明细接口!$Y964),"")</f>
        <v/>
      </c>
      <c r="AE964" s="7" t="str">
        <f>IFERROR(IF([1]对账明细接口!$AA964=0,"",[1]对账明细接口!$AA964),"")</f>
        <v/>
      </c>
      <c r="AF964" s="7" t="str">
        <f>IFERROR(IF([1]对账明细接口!$AB964=0,"",[1]对账明细接口!$AB964),"")</f>
        <v/>
      </c>
      <c r="AG964" s="7" t="str">
        <f>IFERROR(IF([1]对账明细接口!$AC964=0,"",[1]对账明细接口!$AC964),"")</f>
        <v/>
      </c>
      <c r="AH964" s="7" t="str">
        <f>IFERROR(IF([1]对账明细接口!$AD964=0,"",[1]对账明细接口!$AD964),"")</f>
        <v/>
      </c>
      <c r="AI964" s="7" t="str">
        <f>IFERROR(IF([1]对账明细接口!$AE964=0,"",[1]对账明细接口!$AE964),"")</f>
        <v/>
      </c>
      <c r="AJ964" s="7" t="str">
        <f>IFERROR(IF([1]对账明细接口!$AF964=0,"",[1]对账明细接口!$AF964),"")</f>
        <v/>
      </c>
    </row>
    <row r="965" ht="14.25" customHeight="1" spans="1:36">
      <c r="A965" s="14">
        <v>965</v>
      </c>
      <c r="B965" s="15" t="str">
        <f>IFERROR(IF([1]对账明细接口!$B$965=0,"",[1]对账明细接口!$B$965),"")</f>
        <v/>
      </c>
      <c r="C965" s="16" t="str">
        <f>IFERROR(IF([1]对账明细接口!$C$965=0,"",[1]对账明细接口!$C$965),"")</f>
        <v/>
      </c>
      <c r="D965" s="16" t="str">
        <f>IFERROR(IF([1]对账明细接口!$D$965=0,"",[1]对账明细接口!$D$965),"")</f>
        <v/>
      </c>
      <c r="E965" s="16" t="str">
        <f>IFERROR(IF([1]对账明细接口!$E$965=0,"",[1]对账明细接口!$E$965),"")</f>
        <v/>
      </c>
      <c r="F965" s="16" t="str">
        <f>IFERROR(IF([1]对账明细接口!$F$965=0,"",[1]对账明细接口!$F$965),"")</f>
        <v/>
      </c>
      <c r="G965" s="16" t="str">
        <f>IFERROR(IF([1]对账明细接口!$G$965=0,"",[1]对账明细接口!$G$965),"")</f>
        <v/>
      </c>
      <c r="H965" s="17" t="str">
        <f>IFERROR(IF([1]对账明细接口!$H$965=0,"",[1]对账明细接口!$H$965),"")</f>
        <v/>
      </c>
      <c r="I965" s="16" t="str">
        <f>IFERROR(IF([1]对账明细接口!$I$965=0,"",[1]对账明细接口!$I$965),"")</f>
        <v/>
      </c>
      <c r="J965" s="18" t="str">
        <f>IFERROR(IF([1]对账明细接口!$J$965=0,"",[1]对账明细接口!$J$965),"")</f>
        <v/>
      </c>
      <c r="K965" s="18" t="str">
        <f>IFERROR(IF([1]对账明细接口!$K$965=0,"",[1]对账明细接口!$K$965),"")</f>
        <v/>
      </c>
      <c r="L965" s="16" t="str">
        <f>IFERROR(IF([1]对账明细接口!$L$965=0,"",[1]对账明细接口!$L$965),"")</f>
        <v/>
      </c>
      <c r="M965" s="16" t="str">
        <f>IFERROR(IF([1]对账明细接口!$M$965=0,"",[1]对账明细接口!$M$965),"")</f>
        <v/>
      </c>
      <c r="N965" s="19">
        <f t="shared" si="30"/>
        <v>0</v>
      </c>
      <c r="O965" s="19">
        <f t="shared" si="31"/>
        <v>420</v>
      </c>
      <c r="S965" s="20" t="str">
        <f>IFERROR(IF([1]对账明细接口!$N965=0,"",[1]对账明细接口!$N965),"")</f>
        <v/>
      </c>
      <c r="T965" s="21" t="str">
        <f>IFERROR(IF([1]对账明细接口!$O965=0,"",[1]对账明细接口!$O965),"")</f>
        <v/>
      </c>
      <c r="U965" s="21" t="str">
        <f>IFERROR(IF([1]对账明细接口!$P965=0,"",[1]对账明细接口!$P965),"")</f>
        <v/>
      </c>
      <c r="V965" s="21" t="str">
        <f>IFERROR(IF([1]对账明细接口!$Q965=0,"",[1]对账明细接口!$Q965),"")</f>
        <v/>
      </c>
      <c r="W965" s="20" t="str">
        <f>IFERROR(IF([1]对账明细接口!$R965=0,"",[1]对账明细接口!$R965),"")</f>
        <v/>
      </c>
      <c r="X965" s="20" t="str">
        <f>IFERROR(IF([1]对账明细接口!$S965=0,"",[1]对账明细接口!$S965),"")</f>
        <v/>
      </c>
      <c r="Y965" s="20" t="str">
        <f>IFERROR(IF([1]对账明细接口!$T965=0,"",[1]对账明细接口!$T965),"")</f>
        <v/>
      </c>
      <c r="Z965" s="24" t="str">
        <f>IFERROR(IF([1]对账明细接口!$U965=0,"",[1]对账明细接口!$U965),"")</f>
        <v/>
      </c>
      <c r="AA965" s="24" t="str">
        <f>IFERROR(IF([1]对账明细接口!$V965=0,"",[1]对账明细接口!$V965),"")</f>
        <v/>
      </c>
      <c r="AB965" s="20" t="str">
        <f>IFERROR(IF([1]对账明细接口!$W965=0,"",[1]对账明细接口!$W965),"")</f>
        <v/>
      </c>
      <c r="AC965" s="7" t="str">
        <f>IFERROR(IF([1]对账明细接口!$X965=0,"",[1]对账明细接口!$X965),"")</f>
        <v/>
      </c>
      <c r="AD965" s="7" t="str">
        <f>IFERROR(IF([1]对账明细接口!$Y965=0,"",[1]对账明细接口!$Y965),"")</f>
        <v/>
      </c>
      <c r="AE965" s="7" t="str">
        <f>IFERROR(IF([1]对账明细接口!$AA965=0,"",[1]对账明细接口!$AA965),"")</f>
        <v/>
      </c>
      <c r="AF965" s="7" t="str">
        <f>IFERROR(IF([1]对账明细接口!$AB965=0,"",[1]对账明细接口!$AB965),"")</f>
        <v/>
      </c>
      <c r="AG965" s="7" t="str">
        <f>IFERROR(IF([1]对账明细接口!$AC965=0,"",[1]对账明细接口!$AC965),"")</f>
        <v/>
      </c>
      <c r="AH965" s="7" t="str">
        <f>IFERROR(IF([1]对账明细接口!$AD965=0,"",[1]对账明细接口!$AD965),"")</f>
        <v/>
      </c>
      <c r="AI965" s="7" t="str">
        <f>IFERROR(IF([1]对账明细接口!$AE965=0,"",[1]对账明细接口!$AE965),"")</f>
        <v/>
      </c>
      <c r="AJ965" s="7" t="str">
        <f>IFERROR(IF([1]对账明细接口!$AF965=0,"",[1]对账明细接口!$AF965),"")</f>
        <v/>
      </c>
    </row>
    <row r="966" ht="14.25" customHeight="1" spans="1:36">
      <c r="A966" s="14">
        <v>966</v>
      </c>
      <c r="B966" s="15" t="str">
        <f>IFERROR(IF([1]对账明细接口!$B$966=0,"",[1]对账明细接口!$B$966),"")</f>
        <v/>
      </c>
      <c r="C966" s="16" t="str">
        <f>IFERROR(IF([1]对账明细接口!$C$966=0,"",[1]对账明细接口!$C$966),"")</f>
        <v/>
      </c>
      <c r="D966" s="16" t="str">
        <f>IFERROR(IF([1]对账明细接口!$D$966=0,"",[1]对账明细接口!$D$966),"")</f>
        <v/>
      </c>
      <c r="E966" s="16" t="str">
        <f>IFERROR(IF([1]对账明细接口!$E$966=0,"",[1]对账明细接口!$E$966),"")</f>
        <v/>
      </c>
      <c r="F966" s="16" t="str">
        <f>IFERROR(IF([1]对账明细接口!$F$966=0,"",[1]对账明细接口!$F$966),"")</f>
        <v/>
      </c>
      <c r="G966" s="16" t="str">
        <f>IFERROR(IF([1]对账明细接口!$G$966=0,"",[1]对账明细接口!$G$966),"")</f>
        <v/>
      </c>
      <c r="H966" s="17" t="str">
        <f>IFERROR(IF([1]对账明细接口!$H$966=0,"",[1]对账明细接口!$H$966),"")</f>
        <v/>
      </c>
      <c r="I966" s="16" t="str">
        <f>IFERROR(IF([1]对账明细接口!$I$966=0,"",[1]对账明细接口!$I$966),"")</f>
        <v/>
      </c>
      <c r="J966" s="18" t="str">
        <f>IFERROR(IF([1]对账明细接口!$J$966=0,"",[1]对账明细接口!$J$966),"")</f>
        <v/>
      </c>
      <c r="K966" s="18" t="str">
        <f>IFERROR(IF([1]对账明细接口!$K$966=0,"",[1]对账明细接口!$K$966),"")</f>
        <v/>
      </c>
      <c r="L966" s="16" t="str">
        <f>IFERROR(IF([1]对账明细接口!$L$966=0,"",[1]对账明细接口!$L$966),"")</f>
        <v/>
      </c>
      <c r="M966" s="16" t="str">
        <f>IFERROR(IF([1]对账明细接口!$M$966=0,"",[1]对账明细接口!$M$966),"")</f>
        <v/>
      </c>
      <c r="N966" s="19">
        <f t="shared" si="30"/>
        <v>0</v>
      </c>
      <c r="O966" s="19">
        <f t="shared" si="31"/>
        <v>420</v>
      </c>
      <c r="S966" s="20" t="str">
        <f>IFERROR(IF([1]对账明细接口!$N966=0,"",[1]对账明细接口!$N966),"")</f>
        <v/>
      </c>
      <c r="T966" s="21" t="str">
        <f>IFERROR(IF([1]对账明细接口!$O966=0,"",[1]对账明细接口!$O966),"")</f>
        <v/>
      </c>
      <c r="U966" s="21" t="str">
        <f>IFERROR(IF([1]对账明细接口!$P966=0,"",[1]对账明细接口!$P966),"")</f>
        <v/>
      </c>
      <c r="V966" s="21" t="str">
        <f>IFERROR(IF([1]对账明细接口!$Q966=0,"",[1]对账明细接口!$Q966),"")</f>
        <v/>
      </c>
      <c r="W966" s="20" t="str">
        <f>IFERROR(IF([1]对账明细接口!$R966=0,"",[1]对账明细接口!$R966),"")</f>
        <v/>
      </c>
      <c r="X966" s="20" t="str">
        <f>IFERROR(IF([1]对账明细接口!$S966=0,"",[1]对账明细接口!$S966),"")</f>
        <v/>
      </c>
      <c r="Y966" s="20" t="str">
        <f>IFERROR(IF([1]对账明细接口!$T966=0,"",[1]对账明细接口!$T966),"")</f>
        <v/>
      </c>
      <c r="Z966" s="24" t="str">
        <f>IFERROR(IF([1]对账明细接口!$U966=0,"",[1]对账明细接口!$U966),"")</f>
        <v/>
      </c>
      <c r="AA966" s="24" t="str">
        <f>IFERROR(IF([1]对账明细接口!$V966=0,"",[1]对账明细接口!$V966),"")</f>
        <v/>
      </c>
      <c r="AB966" s="20" t="str">
        <f>IFERROR(IF([1]对账明细接口!$W966=0,"",[1]对账明细接口!$W966),"")</f>
        <v/>
      </c>
      <c r="AC966" s="7" t="str">
        <f>IFERROR(IF([1]对账明细接口!$X966=0,"",[1]对账明细接口!$X966),"")</f>
        <v/>
      </c>
      <c r="AD966" s="7" t="str">
        <f>IFERROR(IF([1]对账明细接口!$Y966=0,"",[1]对账明细接口!$Y966),"")</f>
        <v/>
      </c>
      <c r="AE966" s="7" t="str">
        <f>IFERROR(IF([1]对账明细接口!$AA966=0,"",[1]对账明细接口!$AA966),"")</f>
        <v/>
      </c>
      <c r="AF966" s="7" t="str">
        <f>IFERROR(IF([1]对账明细接口!$AB966=0,"",[1]对账明细接口!$AB966),"")</f>
        <v/>
      </c>
      <c r="AG966" s="7" t="str">
        <f>IFERROR(IF([1]对账明细接口!$AC966=0,"",[1]对账明细接口!$AC966),"")</f>
        <v/>
      </c>
      <c r="AH966" s="7" t="str">
        <f>IFERROR(IF([1]对账明细接口!$AD966=0,"",[1]对账明细接口!$AD966),"")</f>
        <v/>
      </c>
      <c r="AI966" s="7" t="str">
        <f>IFERROR(IF([1]对账明细接口!$AE966=0,"",[1]对账明细接口!$AE966),"")</f>
        <v/>
      </c>
      <c r="AJ966" s="7" t="str">
        <f>IFERROR(IF([1]对账明细接口!$AF966=0,"",[1]对账明细接口!$AF966),"")</f>
        <v/>
      </c>
    </row>
    <row r="967" ht="14.25" customHeight="1" spans="1:36">
      <c r="A967" s="14">
        <v>967</v>
      </c>
      <c r="B967" s="15" t="str">
        <f>IFERROR(IF([1]对账明细接口!$B$967=0,"",[1]对账明细接口!$B$967),"")</f>
        <v/>
      </c>
      <c r="C967" s="16" t="str">
        <f>IFERROR(IF([1]对账明细接口!$C$967=0,"",[1]对账明细接口!$C$967),"")</f>
        <v/>
      </c>
      <c r="D967" s="16" t="str">
        <f>IFERROR(IF([1]对账明细接口!$D$967=0,"",[1]对账明细接口!$D$967),"")</f>
        <v/>
      </c>
      <c r="E967" s="16" t="str">
        <f>IFERROR(IF([1]对账明细接口!$E$967=0,"",[1]对账明细接口!$E$967),"")</f>
        <v/>
      </c>
      <c r="F967" s="16" t="str">
        <f>IFERROR(IF([1]对账明细接口!$F$967=0,"",[1]对账明细接口!$F$967),"")</f>
        <v/>
      </c>
      <c r="G967" s="16" t="str">
        <f>IFERROR(IF([1]对账明细接口!$G$967=0,"",[1]对账明细接口!$G$967),"")</f>
        <v/>
      </c>
      <c r="H967" s="17" t="str">
        <f>IFERROR(IF([1]对账明细接口!$H$967=0,"",[1]对账明细接口!$H$967),"")</f>
        <v/>
      </c>
      <c r="I967" s="16" t="str">
        <f>IFERROR(IF([1]对账明细接口!$I$967=0,"",[1]对账明细接口!$I$967),"")</f>
        <v/>
      </c>
      <c r="J967" s="18" t="str">
        <f>IFERROR(IF([1]对账明细接口!$J$967=0,"",[1]对账明细接口!$J$967),"")</f>
        <v/>
      </c>
      <c r="K967" s="18" t="str">
        <f>IFERROR(IF([1]对账明细接口!$K$967=0,"",[1]对账明细接口!$K$967),"")</f>
        <v/>
      </c>
      <c r="L967" s="16" t="str">
        <f>IFERROR(IF([1]对账明细接口!$L$967=0,"",[1]对账明细接口!$L$967),"")</f>
        <v/>
      </c>
      <c r="M967" s="16" t="str">
        <f>IFERROR(IF([1]对账明细接口!$M$967=0,"",[1]对账明细接口!$M$967),"")</f>
        <v/>
      </c>
      <c r="N967" s="19">
        <f t="shared" si="30"/>
        <v>0</v>
      </c>
      <c r="O967" s="19">
        <f t="shared" si="31"/>
        <v>420</v>
      </c>
      <c r="S967" s="20" t="str">
        <f>IFERROR(IF([1]对账明细接口!$N967=0,"",[1]对账明细接口!$N967),"")</f>
        <v/>
      </c>
      <c r="T967" s="21" t="str">
        <f>IFERROR(IF([1]对账明细接口!$O967=0,"",[1]对账明细接口!$O967),"")</f>
        <v/>
      </c>
      <c r="U967" s="21" t="str">
        <f>IFERROR(IF([1]对账明细接口!$P967=0,"",[1]对账明细接口!$P967),"")</f>
        <v/>
      </c>
      <c r="V967" s="21" t="str">
        <f>IFERROR(IF([1]对账明细接口!$Q967=0,"",[1]对账明细接口!$Q967),"")</f>
        <v/>
      </c>
      <c r="W967" s="20" t="str">
        <f>IFERROR(IF([1]对账明细接口!$R967=0,"",[1]对账明细接口!$R967),"")</f>
        <v/>
      </c>
      <c r="X967" s="20" t="str">
        <f>IFERROR(IF([1]对账明细接口!$S967=0,"",[1]对账明细接口!$S967),"")</f>
        <v/>
      </c>
      <c r="Y967" s="20" t="str">
        <f>IFERROR(IF([1]对账明细接口!$T967=0,"",[1]对账明细接口!$T967),"")</f>
        <v/>
      </c>
      <c r="Z967" s="24" t="str">
        <f>IFERROR(IF([1]对账明细接口!$U967=0,"",[1]对账明细接口!$U967),"")</f>
        <v/>
      </c>
      <c r="AA967" s="24" t="str">
        <f>IFERROR(IF([1]对账明细接口!$V967=0,"",[1]对账明细接口!$V967),"")</f>
        <v/>
      </c>
      <c r="AB967" s="20" t="str">
        <f>IFERROR(IF([1]对账明细接口!$W967=0,"",[1]对账明细接口!$W967),"")</f>
        <v/>
      </c>
      <c r="AC967" s="7" t="str">
        <f>IFERROR(IF([1]对账明细接口!$X967=0,"",[1]对账明细接口!$X967),"")</f>
        <v/>
      </c>
      <c r="AD967" s="7" t="str">
        <f>IFERROR(IF([1]对账明细接口!$Y967=0,"",[1]对账明细接口!$Y967),"")</f>
        <v/>
      </c>
      <c r="AE967" s="7" t="str">
        <f>IFERROR(IF([1]对账明细接口!$AA967=0,"",[1]对账明细接口!$AA967),"")</f>
        <v/>
      </c>
      <c r="AF967" s="7" t="str">
        <f>IFERROR(IF([1]对账明细接口!$AB967=0,"",[1]对账明细接口!$AB967),"")</f>
        <v/>
      </c>
      <c r="AG967" s="7" t="str">
        <f>IFERROR(IF([1]对账明细接口!$AC967=0,"",[1]对账明细接口!$AC967),"")</f>
        <v/>
      </c>
      <c r="AH967" s="7" t="str">
        <f>IFERROR(IF([1]对账明细接口!$AD967=0,"",[1]对账明细接口!$AD967),"")</f>
        <v/>
      </c>
      <c r="AI967" s="7" t="str">
        <f>IFERROR(IF([1]对账明细接口!$AE967=0,"",[1]对账明细接口!$AE967),"")</f>
        <v/>
      </c>
      <c r="AJ967" s="7" t="str">
        <f>IFERROR(IF([1]对账明细接口!$AF967=0,"",[1]对账明细接口!$AF967),"")</f>
        <v/>
      </c>
    </row>
    <row r="968" ht="14.25" customHeight="1" spans="1:36">
      <c r="A968" s="14">
        <v>968</v>
      </c>
      <c r="B968" s="15" t="str">
        <f>IFERROR(IF([1]对账明细接口!$B$968=0,"",[1]对账明细接口!$B$968),"")</f>
        <v/>
      </c>
      <c r="C968" s="16" t="str">
        <f>IFERROR(IF([1]对账明细接口!$C$968=0,"",[1]对账明细接口!$C$968),"")</f>
        <v/>
      </c>
      <c r="D968" s="16" t="str">
        <f>IFERROR(IF([1]对账明细接口!$D$968=0,"",[1]对账明细接口!$D$968),"")</f>
        <v/>
      </c>
      <c r="E968" s="16" t="str">
        <f>IFERROR(IF([1]对账明细接口!$E$968=0,"",[1]对账明细接口!$E$968),"")</f>
        <v/>
      </c>
      <c r="F968" s="16" t="str">
        <f>IFERROR(IF([1]对账明细接口!$F$968=0,"",[1]对账明细接口!$F$968),"")</f>
        <v/>
      </c>
      <c r="G968" s="16" t="str">
        <f>IFERROR(IF([1]对账明细接口!$G$968=0,"",[1]对账明细接口!$G$968),"")</f>
        <v/>
      </c>
      <c r="H968" s="17" t="str">
        <f>IFERROR(IF([1]对账明细接口!$H$968=0,"",[1]对账明细接口!$H$968),"")</f>
        <v/>
      </c>
      <c r="I968" s="16" t="str">
        <f>IFERROR(IF([1]对账明细接口!$I$968=0,"",[1]对账明细接口!$I$968),"")</f>
        <v/>
      </c>
      <c r="J968" s="18" t="str">
        <f>IFERROR(IF([1]对账明细接口!$J$968=0,"",[1]对账明细接口!$J$968),"")</f>
        <v/>
      </c>
      <c r="K968" s="18" t="str">
        <f>IFERROR(IF([1]对账明细接口!$K$968=0,"",[1]对账明细接口!$K$968),"")</f>
        <v/>
      </c>
      <c r="L968" s="16" t="str">
        <f>IFERROR(IF([1]对账明细接口!$L$968=0,"",[1]对账明细接口!$L$968),"")</f>
        <v/>
      </c>
      <c r="M968" s="16" t="str">
        <f>IFERROR(IF([1]对账明细接口!$M$968=0,"",[1]对账明细接口!$M$968),"")</f>
        <v/>
      </c>
      <c r="N968" s="19">
        <f t="shared" si="30"/>
        <v>0</v>
      </c>
      <c r="O968" s="19">
        <f t="shared" si="31"/>
        <v>420</v>
      </c>
      <c r="S968" s="20" t="str">
        <f>IFERROR(IF([1]对账明细接口!$N968=0,"",[1]对账明细接口!$N968),"")</f>
        <v/>
      </c>
      <c r="T968" s="21" t="str">
        <f>IFERROR(IF([1]对账明细接口!$O968=0,"",[1]对账明细接口!$O968),"")</f>
        <v/>
      </c>
      <c r="U968" s="21" t="str">
        <f>IFERROR(IF([1]对账明细接口!$P968=0,"",[1]对账明细接口!$P968),"")</f>
        <v/>
      </c>
      <c r="V968" s="21" t="str">
        <f>IFERROR(IF([1]对账明细接口!$Q968=0,"",[1]对账明细接口!$Q968),"")</f>
        <v/>
      </c>
      <c r="W968" s="20" t="str">
        <f>IFERROR(IF([1]对账明细接口!$R968=0,"",[1]对账明细接口!$R968),"")</f>
        <v/>
      </c>
      <c r="X968" s="20" t="str">
        <f>IFERROR(IF([1]对账明细接口!$S968=0,"",[1]对账明细接口!$S968),"")</f>
        <v/>
      </c>
      <c r="Y968" s="20" t="str">
        <f>IFERROR(IF([1]对账明细接口!$T968=0,"",[1]对账明细接口!$T968),"")</f>
        <v/>
      </c>
      <c r="Z968" s="24" t="str">
        <f>IFERROR(IF([1]对账明细接口!$U968=0,"",[1]对账明细接口!$U968),"")</f>
        <v/>
      </c>
      <c r="AA968" s="24" t="str">
        <f>IFERROR(IF([1]对账明细接口!$V968=0,"",[1]对账明细接口!$V968),"")</f>
        <v/>
      </c>
      <c r="AB968" s="20" t="str">
        <f>IFERROR(IF([1]对账明细接口!$W968=0,"",[1]对账明细接口!$W968),"")</f>
        <v/>
      </c>
      <c r="AC968" s="7" t="str">
        <f>IFERROR(IF([1]对账明细接口!$X968=0,"",[1]对账明细接口!$X968),"")</f>
        <v/>
      </c>
      <c r="AD968" s="7" t="str">
        <f>IFERROR(IF([1]对账明细接口!$Y968=0,"",[1]对账明细接口!$Y968),"")</f>
        <v/>
      </c>
      <c r="AE968" s="7" t="str">
        <f>IFERROR(IF([1]对账明细接口!$AA968=0,"",[1]对账明细接口!$AA968),"")</f>
        <v/>
      </c>
      <c r="AF968" s="7" t="str">
        <f>IFERROR(IF([1]对账明细接口!$AB968=0,"",[1]对账明细接口!$AB968),"")</f>
        <v/>
      </c>
      <c r="AG968" s="7" t="str">
        <f>IFERROR(IF([1]对账明细接口!$AC968=0,"",[1]对账明细接口!$AC968),"")</f>
        <v/>
      </c>
      <c r="AH968" s="7" t="str">
        <f>IFERROR(IF([1]对账明细接口!$AD968=0,"",[1]对账明细接口!$AD968),"")</f>
        <v/>
      </c>
      <c r="AI968" s="7" t="str">
        <f>IFERROR(IF([1]对账明细接口!$AE968=0,"",[1]对账明细接口!$AE968),"")</f>
        <v/>
      </c>
      <c r="AJ968" s="7" t="str">
        <f>IFERROR(IF([1]对账明细接口!$AF968=0,"",[1]对账明细接口!$AF968),"")</f>
        <v/>
      </c>
    </row>
    <row r="969" ht="14.25" customHeight="1" spans="1:36">
      <c r="A969" s="14">
        <v>969</v>
      </c>
      <c r="B969" s="15" t="str">
        <f>IFERROR(IF([1]对账明细接口!$B$969=0,"",[1]对账明细接口!$B$969),"")</f>
        <v/>
      </c>
      <c r="C969" s="16" t="str">
        <f>IFERROR(IF([1]对账明细接口!$C$969=0,"",[1]对账明细接口!$C$969),"")</f>
        <v/>
      </c>
      <c r="D969" s="16" t="str">
        <f>IFERROR(IF([1]对账明细接口!$D$969=0,"",[1]对账明细接口!$D$969),"")</f>
        <v/>
      </c>
      <c r="E969" s="16" t="str">
        <f>IFERROR(IF([1]对账明细接口!$E$969=0,"",[1]对账明细接口!$E$969),"")</f>
        <v/>
      </c>
      <c r="F969" s="16" t="str">
        <f>IFERROR(IF([1]对账明细接口!$F$969=0,"",[1]对账明细接口!$F$969),"")</f>
        <v/>
      </c>
      <c r="G969" s="16" t="str">
        <f>IFERROR(IF([1]对账明细接口!$G$969=0,"",[1]对账明细接口!$G$969),"")</f>
        <v/>
      </c>
      <c r="H969" s="17" t="str">
        <f>IFERROR(IF([1]对账明细接口!$H$969=0,"",[1]对账明细接口!$H$969),"")</f>
        <v/>
      </c>
      <c r="I969" s="16" t="str">
        <f>IFERROR(IF([1]对账明细接口!$I$969=0,"",[1]对账明细接口!$I$969),"")</f>
        <v/>
      </c>
      <c r="J969" s="18" t="str">
        <f>IFERROR(IF([1]对账明细接口!$J$969=0,"",[1]对账明细接口!$J$969),"")</f>
        <v/>
      </c>
      <c r="K969" s="18" t="str">
        <f>IFERROR(IF([1]对账明细接口!$K$969=0,"",[1]对账明细接口!$K$969),"")</f>
        <v/>
      </c>
      <c r="L969" s="16" t="str">
        <f>IFERROR(IF([1]对账明细接口!$L$969=0,"",[1]对账明细接口!$L$969),"")</f>
        <v/>
      </c>
      <c r="M969" s="16" t="str">
        <f>IFERROR(IF([1]对账明细接口!$M$969=0,"",[1]对账明细接口!$M$969),"")</f>
        <v/>
      </c>
      <c r="N969" s="19">
        <f t="shared" si="30"/>
        <v>0</v>
      </c>
      <c r="O969" s="19">
        <f t="shared" si="31"/>
        <v>420</v>
      </c>
      <c r="S969" s="20" t="str">
        <f>IFERROR(IF([1]对账明细接口!$N969=0,"",[1]对账明细接口!$N969),"")</f>
        <v/>
      </c>
      <c r="T969" s="21" t="str">
        <f>IFERROR(IF([1]对账明细接口!$O969=0,"",[1]对账明细接口!$O969),"")</f>
        <v/>
      </c>
      <c r="U969" s="21" t="str">
        <f>IFERROR(IF([1]对账明细接口!$P969=0,"",[1]对账明细接口!$P969),"")</f>
        <v/>
      </c>
      <c r="V969" s="21" t="str">
        <f>IFERROR(IF([1]对账明细接口!$Q969=0,"",[1]对账明细接口!$Q969),"")</f>
        <v/>
      </c>
      <c r="W969" s="20" t="str">
        <f>IFERROR(IF([1]对账明细接口!$R969=0,"",[1]对账明细接口!$R969),"")</f>
        <v/>
      </c>
      <c r="X969" s="20" t="str">
        <f>IFERROR(IF([1]对账明细接口!$S969=0,"",[1]对账明细接口!$S969),"")</f>
        <v/>
      </c>
      <c r="Y969" s="20" t="str">
        <f>IFERROR(IF([1]对账明细接口!$T969=0,"",[1]对账明细接口!$T969),"")</f>
        <v/>
      </c>
      <c r="Z969" s="24" t="str">
        <f>IFERROR(IF([1]对账明细接口!$U969=0,"",[1]对账明细接口!$U969),"")</f>
        <v/>
      </c>
      <c r="AA969" s="24" t="str">
        <f>IFERROR(IF([1]对账明细接口!$V969=0,"",[1]对账明细接口!$V969),"")</f>
        <v/>
      </c>
      <c r="AB969" s="20" t="str">
        <f>IFERROR(IF([1]对账明细接口!$W969=0,"",[1]对账明细接口!$W969),"")</f>
        <v/>
      </c>
      <c r="AC969" s="7" t="str">
        <f>IFERROR(IF([1]对账明细接口!$X969=0,"",[1]对账明细接口!$X969),"")</f>
        <v/>
      </c>
      <c r="AD969" s="7" t="str">
        <f>IFERROR(IF([1]对账明细接口!$Y969=0,"",[1]对账明细接口!$Y969),"")</f>
        <v/>
      </c>
      <c r="AE969" s="7" t="str">
        <f>IFERROR(IF([1]对账明细接口!$AA969=0,"",[1]对账明细接口!$AA969),"")</f>
        <v/>
      </c>
      <c r="AF969" s="7" t="str">
        <f>IFERROR(IF([1]对账明细接口!$AB969=0,"",[1]对账明细接口!$AB969),"")</f>
        <v/>
      </c>
      <c r="AG969" s="7" t="str">
        <f>IFERROR(IF([1]对账明细接口!$AC969=0,"",[1]对账明细接口!$AC969),"")</f>
        <v/>
      </c>
      <c r="AH969" s="7" t="str">
        <f>IFERROR(IF([1]对账明细接口!$AD969=0,"",[1]对账明细接口!$AD969),"")</f>
        <v/>
      </c>
      <c r="AI969" s="7" t="str">
        <f>IFERROR(IF([1]对账明细接口!$AE969=0,"",[1]对账明细接口!$AE969),"")</f>
        <v/>
      </c>
      <c r="AJ969" s="7" t="str">
        <f>IFERROR(IF([1]对账明细接口!$AF969=0,"",[1]对账明细接口!$AF969),"")</f>
        <v/>
      </c>
    </row>
    <row r="970" ht="14.25" customHeight="1" spans="1:36">
      <c r="A970" s="14">
        <v>970</v>
      </c>
      <c r="B970" s="15" t="str">
        <f>IFERROR(IF([1]对账明细接口!$B$970=0,"",[1]对账明细接口!$B$970),"")</f>
        <v/>
      </c>
      <c r="C970" s="16" t="str">
        <f>IFERROR(IF([1]对账明细接口!$C$970=0,"",[1]对账明细接口!$C$970),"")</f>
        <v/>
      </c>
      <c r="D970" s="16" t="str">
        <f>IFERROR(IF([1]对账明细接口!$D$970=0,"",[1]对账明细接口!$D$970),"")</f>
        <v/>
      </c>
      <c r="E970" s="16" t="str">
        <f>IFERROR(IF([1]对账明细接口!$E$970=0,"",[1]对账明细接口!$E$970),"")</f>
        <v/>
      </c>
      <c r="F970" s="16" t="str">
        <f>IFERROR(IF([1]对账明细接口!$F$970=0,"",[1]对账明细接口!$F$970),"")</f>
        <v/>
      </c>
      <c r="G970" s="16" t="str">
        <f>IFERROR(IF([1]对账明细接口!$G$970=0,"",[1]对账明细接口!$G$970),"")</f>
        <v/>
      </c>
      <c r="H970" s="17" t="str">
        <f>IFERROR(IF([1]对账明细接口!$H$970=0,"",[1]对账明细接口!$H$970),"")</f>
        <v/>
      </c>
      <c r="I970" s="16" t="str">
        <f>IFERROR(IF([1]对账明细接口!$I$970=0,"",[1]对账明细接口!$I$970),"")</f>
        <v/>
      </c>
      <c r="J970" s="18" t="str">
        <f>IFERROR(IF([1]对账明细接口!$J$970=0,"",[1]对账明细接口!$J$970),"")</f>
        <v/>
      </c>
      <c r="K970" s="18" t="str">
        <f>IFERROR(IF([1]对账明细接口!$K$970=0,"",[1]对账明细接口!$K$970),"")</f>
        <v/>
      </c>
      <c r="L970" s="16" t="str">
        <f>IFERROR(IF([1]对账明细接口!$L$970=0,"",[1]对账明细接口!$L$970),"")</f>
        <v/>
      </c>
      <c r="M970" s="16" t="str">
        <f>IFERROR(IF([1]对账明细接口!$M$970=0,"",[1]对账明细接口!$M$970),"")</f>
        <v/>
      </c>
      <c r="N970" s="19">
        <f t="shared" si="30"/>
        <v>0</v>
      </c>
      <c r="O970" s="19">
        <f t="shared" si="31"/>
        <v>420</v>
      </c>
      <c r="S970" s="20" t="str">
        <f>IFERROR(IF([1]对账明细接口!$N970=0,"",[1]对账明细接口!$N970),"")</f>
        <v/>
      </c>
      <c r="T970" s="21" t="str">
        <f>IFERROR(IF([1]对账明细接口!$O970=0,"",[1]对账明细接口!$O970),"")</f>
        <v/>
      </c>
      <c r="U970" s="21" t="str">
        <f>IFERROR(IF([1]对账明细接口!$P970=0,"",[1]对账明细接口!$P970),"")</f>
        <v/>
      </c>
      <c r="V970" s="21" t="str">
        <f>IFERROR(IF([1]对账明细接口!$Q970=0,"",[1]对账明细接口!$Q970),"")</f>
        <v/>
      </c>
      <c r="W970" s="20" t="str">
        <f>IFERROR(IF([1]对账明细接口!$R970=0,"",[1]对账明细接口!$R970),"")</f>
        <v/>
      </c>
      <c r="X970" s="20" t="str">
        <f>IFERROR(IF([1]对账明细接口!$S970=0,"",[1]对账明细接口!$S970),"")</f>
        <v/>
      </c>
      <c r="Y970" s="20" t="str">
        <f>IFERROR(IF([1]对账明细接口!$T970=0,"",[1]对账明细接口!$T970),"")</f>
        <v/>
      </c>
      <c r="Z970" s="24" t="str">
        <f>IFERROR(IF([1]对账明细接口!$U970=0,"",[1]对账明细接口!$U970),"")</f>
        <v/>
      </c>
      <c r="AA970" s="24" t="str">
        <f>IFERROR(IF([1]对账明细接口!$V970=0,"",[1]对账明细接口!$V970),"")</f>
        <v/>
      </c>
      <c r="AB970" s="20" t="str">
        <f>IFERROR(IF([1]对账明细接口!$W970=0,"",[1]对账明细接口!$W970),"")</f>
        <v/>
      </c>
      <c r="AC970" s="7" t="str">
        <f>IFERROR(IF([1]对账明细接口!$X970=0,"",[1]对账明细接口!$X970),"")</f>
        <v/>
      </c>
      <c r="AD970" s="7" t="str">
        <f>IFERROR(IF([1]对账明细接口!$Y970=0,"",[1]对账明细接口!$Y970),"")</f>
        <v/>
      </c>
      <c r="AE970" s="7" t="str">
        <f>IFERROR(IF([1]对账明细接口!$AA970=0,"",[1]对账明细接口!$AA970),"")</f>
        <v/>
      </c>
      <c r="AF970" s="7" t="str">
        <f>IFERROR(IF([1]对账明细接口!$AB970=0,"",[1]对账明细接口!$AB970),"")</f>
        <v/>
      </c>
      <c r="AG970" s="7" t="str">
        <f>IFERROR(IF([1]对账明细接口!$AC970=0,"",[1]对账明细接口!$AC970),"")</f>
        <v/>
      </c>
      <c r="AH970" s="7" t="str">
        <f>IFERROR(IF([1]对账明细接口!$AD970=0,"",[1]对账明细接口!$AD970),"")</f>
        <v/>
      </c>
      <c r="AI970" s="7" t="str">
        <f>IFERROR(IF([1]对账明细接口!$AE970=0,"",[1]对账明细接口!$AE970),"")</f>
        <v/>
      </c>
      <c r="AJ970" s="7" t="str">
        <f>IFERROR(IF([1]对账明细接口!$AF970=0,"",[1]对账明细接口!$AF970),"")</f>
        <v/>
      </c>
    </row>
    <row r="971" ht="14.25" customHeight="1" spans="1:36">
      <c r="A971" s="14">
        <v>971</v>
      </c>
      <c r="B971" s="15" t="str">
        <f>IFERROR(IF([1]对账明细接口!$B$971=0,"",[1]对账明细接口!$B$971),"")</f>
        <v/>
      </c>
      <c r="C971" s="16" t="str">
        <f>IFERROR(IF([1]对账明细接口!$C$971=0,"",[1]对账明细接口!$C$971),"")</f>
        <v/>
      </c>
      <c r="D971" s="16" t="str">
        <f>IFERROR(IF([1]对账明细接口!$D$971=0,"",[1]对账明细接口!$D$971),"")</f>
        <v/>
      </c>
      <c r="E971" s="16" t="str">
        <f>IFERROR(IF([1]对账明细接口!$E$971=0,"",[1]对账明细接口!$E$971),"")</f>
        <v/>
      </c>
      <c r="F971" s="16" t="str">
        <f>IFERROR(IF([1]对账明细接口!$F$971=0,"",[1]对账明细接口!$F$971),"")</f>
        <v/>
      </c>
      <c r="G971" s="16" t="str">
        <f>IFERROR(IF([1]对账明细接口!$G$971=0,"",[1]对账明细接口!$G$971),"")</f>
        <v/>
      </c>
      <c r="H971" s="17" t="str">
        <f>IFERROR(IF([1]对账明细接口!$H$971=0,"",[1]对账明细接口!$H$971),"")</f>
        <v/>
      </c>
      <c r="I971" s="16" t="str">
        <f>IFERROR(IF([1]对账明细接口!$I$971=0,"",[1]对账明细接口!$I$971),"")</f>
        <v/>
      </c>
      <c r="J971" s="18" t="str">
        <f>IFERROR(IF([1]对账明细接口!$J$971=0,"",[1]对账明细接口!$J$971),"")</f>
        <v/>
      </c>
      <c r="K971" s="18" t="str">
        <f>IFERROR(IF([1]对账明细接口!$K$971=0,"",[1]对账明细接口!$K$971),"")</f>
        <v/>
      </c>
      <c r="L971" s="16" t="str">
        <f>IFERROR(IF([1]对账明细接口!$L$971=0,"",[1]对账明细接口!$L$971),"")</f>
        <v/>
      </c>
      <c r="M971" s="16" t="str">
        <f>IFERROR(IF([1]对账明细接口!$M$971=0,"",[1]对账明细接口!$M$971),"")</f>
        <v/>
      </c>
      <c r="N971" s="19">
        <f t="shared" si="30"/>
        <v>0</v>
      </c>
      <c r="O971" s="19">
        <f t="shared" si="31"/>
        <v>420</v>
      </c>
      <c r="S971" s="20" t="str">
        <f>IFERROR(IF([1]对账明细接口!$N971=0,"",[1]对账明细接口!$N971),"")</f>
        <v/>
      </c>
      <c r="T971" s="21" t="str">
        <f>IFERROR(IF([1]对账明细接口!$O971=0,"",[1]对账明细接口!$O971),"")</f>
        <v/>
      </c>
      <c r="U971" s="21" t="str">
        <f>IFERROR(IF([1]对账明细接口!$P971=0,"",[1]对账明细接口!$P971),"")</f>
        <v/>
      </c>
      <c r="V971" s="21" t="str">
        <f>IFERROR(IF([1]对账明细接口!$Q971=0,"",[1]对账明细接口!$Q971),"")</f>
        <v/>
      </c>
      <c r="W971" s="20" t="str">
        <f>IFERROR(IF([1]对账明细接口!$R971=0,"",[1]对账明细接口!$R971),"")</f>
        <v/>
      </c>
      <c r="X971" s="20" t="str">
        <f>IFERROR(IF([1]对账明细接口!$S971=0,"",[1]对账明细接口!$S971),"")</f>
        <v/>
      </c>
      <c r="Y971" s="20" t="str">
        <f>IFERROR(IF([1]对账明细接口!$T971=0,"",[1]对账明细接口!$T971),"")</f>
        <v/>
      </c>
      <c r="Z971" s="24" t="str">
        <f>IFERROR(IF([1]对账明细接口!$U971=0,"",[1]对账明细接口!$U971),"")</f>
        <v/>
      </c>
      <c r="AA971" s="24" t="str">
        <f>IFERROR(IF([1]对账明细接口!$V971=0,"",[1]对账明细接口!$V971),"")</f>
        <v/>
      </c>
      <c r="AB971" s="20" t="str">
        <f>IFERROR(IF([1]对账明细接口!$W971=0,"",[1]对账明细接口!$W971),"")</f>
        <v/>
      </c>
      <c r="AC971" s="7" t="str">
        <f>IFERROR(IF([1]对账明细接口!$X971=0,"",[1]对账明细接口!$X971),"")</f>
        <v/>
      </c>
      <c r="AD971" s="7" t="str">
        <f>IFERROR(IF([1]对账明细接口!$Y971=0,"",[1]对账明细接口!$Y971),"")</f>
        <v/>
      </c>
      <c r="AE971" s="7" t="str">
        <f>IFERROR(IF([1]对账明细接口!$AA971=0,"",[1]对账明细接口!$AA971),"")</f>
        <v/>
      </c>
      <c r="AF971" s="7" t="str">
        <f>IFERROR(IF([1]对账明细接口!$AB971=0,"",[1]对账明细接口!$AB971),"")</f>
        <v/>
      </c>
      <c r="AG971" s="7" t="str">
        <f>IFERROR(IF([1]对账明细接口!$AC971=0,"",[1]对账明细接口!$AC971),"")</f>
        <v/>
      </c>
      <c r="AH971" s="7" t="str">
        <f>IFERROR(IF([1]对账明细接口!$AD971=0,"",[1]对账明细接口!$AD971),"")</f>
        <v/>
      </c>
      <c r="AI971" s="7" t="str">
        <f>IFERROR(IF([1]对账明细接口!$AE971=0,"",[1]对账明细接口!$AE971),"")</f>
        <v/>
      </c>
      <c r="AJ971" s="7" t="str">
        <f>IFERROR(IF([1]对账明细接口!$AF971=0,"",[1]对账明细接口!$AF971),"")</f>
        <v/>
      </c>
    </row>
    <row r="972" ht="14.25" customHeight="1" spans="1:36">
      <c r="A972" s="14">
        <v>972</v>
      </c>
      <c r="B972" s="15" t="str">
        <f>IFERROR(IF([1]对账明细接口!$B$972=0,"",[1]对账明细接口!$B$972),"")</f>
        <v/>
      </c>
      <c r="C972" s="16" t="str">
        <f>IFERROR(IF([1]对账明细接口!$C$972=0,"",[1]对账明细接口!$C$972),"")</f>
        <v/>
      </c>
      <c r="D972" s="16" t="str">
        <f>IFERROR(IF([1]对账明细接口!$D$972=0,"",[1]对账明细接口!$D$972),"")</f>
        <v/>
      </c>
      <c r="E972" s="16" t="str">
        <f>IFERROR(IF([1]对账明细接口!$E$972=0,"",[1]对账明细接口!$E$972),"")</f>
        <v/>
      </c>
      <c r="F972" s="16" t="str">
        <f>IFERROR(IF([1]对账明细接口!$F$972=0,"",[1]对账明细接口!$F$972),"")</f>
        <v/>
      </c>
      <c r="G972" s="16" t="str">
        <f>IFERROR(IF([1]对账明细接口!$G$972=0,"",[1]对账明细接口!$G$972),"")</f>
        <v/>
      </c>
      <c r="H972" s="17" t="str">
        <f>IFERROR(IF([1]对账明细接口!$H$972=0,"",[1]对账明细接口!$H$972),"")</f>
        <v/>
      </c>
      <c r="I972" s="16" t="str">
        <f>IFERROR(IF([1]对账明细接口!$I$972=0,"",[1]对账明细接口!$I$972),"")</f>
        <v/>
      </c>
      <c r="J972" s="18" t="str">
        <f>IFERROR(IF([1]对账明细接口!$J$972=0,"",[1]对账明细接口!$J$972),"")</f>
        <v/>
      </c>
      <c r="K972" s="18" t="str">
        <f>IFERROR(IF([1]对账明细接口!$K$972=0,"",[1]对账明细接口!$K$972),"")</f>
        <v/>
      </c>
      <c r="L972" s="16" t="str">
        <f>IFERROR(IF([1]对账明细接口!$L$972=0,"",[1]对账明细接口!$L$972),"")</f>
        <v/>
      </c>
      <c r="M972" s="16" t="str">
        <f>IFERROR(IF([1]对账明细接口!$M$972=0,"",[1]对账明细接口!$M$972),"")</f>
        <v/>
      </c>
      <c r="N972" s="19">
        <f t="shared" si="30"/>
        <v>0</v>
      </c>
      <c r="O972" s="19">
        <f t="shared" si="31"/>
        <v>420</v>
      </c>
      <c r="S972" s="20" t="str">
        <f>IFERROR(IF([1]对账明细接口!$N972=0,"",[1]对账明细接口!$N972),"")</f>
        <v/>
      </c>
      <c r="T972" s="21" t="str">
        <f>IFERROR(IF([1]对账明细接口!$O972=0,"",[1]对账明细接口!$O972),"")</f>
        <v/>
      </c>
      <c r="U972" s="21" t="str">
        <f>IFERROR(IF([1]对账明细接口!$P972=0,"",[1]对账明细接口!$P972),"")</f>
        <v/>
      </c>
      <c r="V972" s="21" t="str">
        <f>IFERROR(IF([1]对账明细接口!$Q972=0,"",[1]对账明细接口!$Q972),"")</f>
        <v/>
      </c>
      <c r="W972" s="20" t="str">
        <f>IFERROR(IF([1]对账明细接口!$R972=0,"",[1]对账明细接口!$R972),"")</f>
        <v/>
      </c>
      <c r="X972" s="20" t="str">
        <f>IFERROR(IF([1]对账明细接口!$S972=0,"",[1]对账明细接口!$S972),"")</f>
        <v/>
      </c>
      <c r="Y972" s="20" t="str">
        <f>IFERROR(IF([1]对账明细接口!$T972=0,"",[1]对账明细接口!$T972),"")</f>
        <v/>
      </c>
      <c r="Z972" s="24" t="str">
        <f>IFERROR(IF([1]对账明细接口!$U972=0,"",[1]对账明细接口!$U972),"")</f>
        <v/>
      </c>
      <c r="AA972" s="24" t="str">
        <f>IFERROR(IF([1]对账明细接口!$V972=0,"",[1]对账明细接口!$V972),"")</f>
        <v/>
      </c>
      <c r="AB972" s="20" t="str">
        <f>IFERROR(IF([1]对账明细接口!$W972=0,"",[1]对账明细接口!$W972),"")</f>
        <v/>
      </c>
      <c r="AC972" s="7" t="str">
        <f>IFERROR(IF([1]对账明细接口!$X972=0,"",[1]对账明细接口!$X972),"")</f>
        <v/>
      </c>
      <c r="AD972" s="7" t="str">
        <f>IFERROR(IF([1]对账明细接口!$Y972=0,"",[1]对账明细接口!$Y972),"")</f>
        <v/>
      </c>
      <c r="AE972" s="7" t="str">
        <f>IFERROR(IF([1]对账明细接口!$AA972=0,"",[1]对账明细接口!$AA972),"")</f>
        <v/>
      </c>
      <c r="AF972" s="7" t="str">
        <f>IFERROR(IF([1]对账明细接口!$AB972=0,"",[1]对账明细接口!$AB972),"")</f>
        <v/>
      </c>
      <c r="AG972" s="7" t="str">
        <f>IFERROR(IF([1]对账明细接口!$AC972=0,"",[1]对账明细接口!$AC972),"")</f>
        <v/>
      </c>
      <c r="AH972" s="7" t="str">
        <f>IFERROR(IF([1]对账明细接口!$AD972=0,"",[1]对账明细接口!$AD972),"")</f>
        <v/>
      </c>
      <c r="AI972" s="7" t="str">
        <f>IFERROR(IF([1]对账明细接口!$AE972=0,"",[1]对账明细接口!$AE972),"")</f>
        <v/>
      </c>
      <c r="AJ972" s="7" t="str">
        <f>IFERROR(IF([1]对账明细接口!$AF972=0,"",[1]对账明细接口!$AF972),"")</f>
        <v/>
      </c>
    </row>
    <row r="973" ht="14.25" customHeight="1" spans="1:36">
      <c r="A973" s="14">
        <v>973</v>
      </c>
      <c r="B973" s="15" t="str">
        <f>IFERROR(IF([1]对账明细接口!$B$973=0,"",[1]对账明细接口!$B$973),"")</f>
        <v/>
      </c>
      <c r="C973" s="16" t="str">
        <f>IFERROR(IF([1]对账明细接口!$C$973=0,"",[1]对账明细接口!$C$973),"")</f>
        <v/>
      </c>
      <c r="D973" s="16" t="str">
        <f>IFERROR(IF([1]对账明细接口!$D$973=0,"",[1]对账明细接口!$D$973),"")</f>
        <v/>
      </c>
      <c r="E973" s="16" t="str">
        <f>IFERROR(IF([1]对账明细接口!$E$973=0,"",[1]对账明细接口!$E$973),"")</f>
        <v/>
      </c>
      <c r="F973" s="16" t="str">
        <f>IFERROR(IF([1]对账明细接口!$F$973=0,"",[1]对账明细接口!$F$973),"")</f>
        <v/>
      </c>
      <c r="G973" s="16" t="str">
        <f>IFERROR(IF([1]对账明细接口!$G$973=0,"",[1]对账明细接口!$G$973),"")</f>
        <v/>
      </c>
      <c r="H973" s="17" t="str">
        <f>IFERROR(IF([1]对账明细接口!$H$973=0,"",[1]对账明细接口!$H$973),"")</f>
        <v/>
      </c>
      <c r="I973" s="16" t="str">
        <f>IFERROR(IF([1]对账明细接口!$I$973=0,"",[1]对账明细接口!$I$973),"")</f>
        <v/>
      </c>
      <c r="J973" s="18" t="str">
        <f>IFERROR(IF([1]对账明细接口!$J$973=0,"",[1]对账明细接口!$J$973),"")</f>
        <v/>
      </c>
      <c r="K973" s="18" t="str">
        <f>IFERROR(IF([1]对账明细接口!$K$973=0,"",[1]对账明细接口!$K$973),"")</f>
        <v/>
      </c>
      <c r="L973" s="16" t="str">
        <f>IFERROR(IF([1]对账明细接口!$L$973=0,"",[1]对账明细接口!$L$973),"")</f>
        <v/>
      </c>
      <c r="M973" s="16" t="str">
        <f>IFERROR(IF([1]对账明细接口!$M$973=0,"",[1]对账明细接口!$M$973),"")</f>
        <v/>
      </c>
      <c r="N973" s="19">
        <f t="shared" si="30"/>
        <v>0</v>
      </c>
      <c r="O973" s="19">
        <f t="shared" si="31"/>
        <v>420</v>
      </c>
      <c r="S973" s="20" t="str">
        <f>IFERROR(IF([1]对账明细接口!$N973=0,"",[1]对账明细接口!$N973),"")</f>
        <v/>
      </c>
      <c r="T973" s="21" t="str">
        <f>IFERROR(IF([1]对账明细接口!$O973=0,"",[1]对账明细接口!$O973),"")</f>
        <v/>
      </c>
      <c r="U973" s="21" t="str">
        <f>IFERROR(IF([1]对账明细接口!$P973=0,"",[1]对账明细接口!$P973),"")</f>
        <v/>
      </c>
      <c r="V973" s="21" t="str">
        <f>IFERROR(IF([1]对账明细接口!$Q973=0,"",[1]对账明细接口!$Q973),"")</f>
        <v/>
      </c>
      <c r="W973" s="20" t="str">
        <f>IFERROR(IF([1]对账明细接口!$R973=0,"",[1]对账明细接口!$R973),"")</f>
        <v/>
      </c>
      <c r="X973" s="20" t="str">
        <f>IFERROR(IF([1]对账明细接口!$S973=0,"",[1]对账明细接口!$S973),"")</f>
        <v/>
      </c>
      <c r="Y973" s="20" t="str">
        <f>IFERROR(IF([1]对账明细接口!$T973=0,"",[1]对账明细接口!$T973),"")</f>
        <v/>
      </c>
      <c r="Z973" s="24" t="str">
        <f>IFERROR(IF([1]对账明细接口!$U973=0,"",[1]对账明细接口!$U973),"")</f>
        <v/>
      </c>
      <c r="AA973" s="24" t="str">
        <f>IFERROR(IF([1]对账明细接口!$V973=0,"",[1]对账明细接口!$V973),"")</f>
        <v/>
      </c>
      <c r="AB973" s="20" t="str">
        <f>IFERROR(IF([1]对账明细接口!$W973=0,"",[1]对账明细接口!$W973),"")</f>
        <v/>
      </c>
      <c r="AC973" s="7" t="str">
        <f>IFERROR(IF([1]对账明细接口!$X973=0,"",[1]对账明细接口!$X973),"")</f>
        <v/>
      </c>
      <c r="AD973" s="7" t="str">
        <f>IFERROR(IF([1]对账明细接口!$Y973=0,"",[1]对账明细接口!$Y973),"")</f>
        <v/>
      </c>
      <c r="AE973" s="7" t="str">
        <f>IFERROR(IF([1]对账明细接口!$AA973=0,"",[1]对账明细接口!$AA973),"")</f>
        <v/>
      </c>
      <c r="AF973" s="7" t="str">
        <f>IFERROR(IF([1]对账明细接口!$AB973=0,"",[1]对账明细接口!$AB973),"")</f>
        <v/>
      </c>
      <c r="AG973" s="7" t="str">
        <f>IFERROR(IF([1]对账明细接口!$AC973=0,"",[1]对账明细接口!$AC973),"")</f>
        <v/>
      </c>
      <c r="AH973" s="7" t="str">
        <f>IFERROR(IF([1]对账明细接口!$AD973=0,"",[1]对账明细接口!$AD973),"")</f>
        <v/>
      </c>
      <c r="AI973" s="7" t="str">
        <f>IFERROR(IF([1]对账明细接口!$AE973=0,"",[1]对账明细接口!$AE973),"")</f>
        <v/>
      </c>
      <c r="AJ973" s="7" t="str">
        <f>IFERROR(IF([1]对账明细接口!$AF973=0,"",[1]对账明细接口!$AF973),"")</f>
        <v/>
      </c>
    </row>
    <row r="974" ht="14.25" customHeight="1" spans="1:36">
      <c r="A974" s="14">
        <v>974</v>
      </c>
      <c r="B974" s="15" t="str">
        <f>IFERROR(IF([1]对账明细接口!$B$974=0,"",[1]对账明细接口!$B$974),"")</f>
        <v/>
      </c>
      <c r="C974" s="16" t="str">
        <f>IFERROR(IF([1]对账明细接口!$C$974=0,"",[1]对账明细接口!$C$974),"")</f>
        <v/>
      </c>
      <c r="D974" s="16" t="str">
        <f>IFERROR(IF([1]对账明细接口!$D$974=0,"",[1]对账明细接口!$D$974),"")</f>
        <v/>
      </c>
      <c r="E974" s="16" t="str">
        <f>IFERROR(IF([1]对账明细接口!$E$974=0,"",[1]对账明细接口!$E$974),"")</f>
        <v/>
      </c>
      <c r="F974" s="16" t="str">
        <f>IFERROR(IF([1]对账明细接口!$F$974=0,"",[1]对账明细接口!$F$974),"")</f>
        <v/>
      </c>
      <c r="G974" s="16" t="str">
        <f>IFERROR(IF([1]对账明细接口!$G$974=0,"",[1]对账明细接口!$G$974),"")</f>
        <v/>
      </c>
      <c r="H974" s="17" t="str">
        <f>IFERROR(IF([1]对账明细接口!$H$974=0,"",[1]对账明细接口!$H$974),"")</f>
        <v/>
      </c>
      <c r="I974" s="16" t="str">
        <f>IFERROR(IF([1]对账明细接口!$I$974=0,"",[1]对账明细接口!$I$974),"")</f>
        <v/>
      </c>
      <c r="J974" s="18" t="str">
        <f>IFERROR(IF([1]对账明细接口!$J$974=0,"",[1]对账明细接口!$J$974),"")</f>
        <v/>
      </c>
      <c r="K974" s="18" t="str">
        <f>IFERROR(IF([1]对账明细接口!$K$974=0,"",[1]对账明细接口!$K$974),"")</f>
        <v/>
      </c>
      <c r="L974" s="16" t="str">
        <f>IFERROR(IF([1]对账明细接口!$L$974=0,"",[1]对账明细接口!$L$974),"")</f>
        <v/>
      </c>
      <c r="M974" s="16" t="str">
        <f>IFERROR(IF([1]对账明细接口!$M$974=0,"",[1]对账明细接口!$M$974),"")</f>
        <v/>
      </c>
      <c r="N974" s="19">
        <f t="shared" si="30"/>
        <v>0</v>
      </c>
      <c r="O974" s="19">
        <f t="shared" si="31"/>
        <v>420</v>
      </c>
      <c r="S974" s="20" t="str">
        <f>IFERROR(IF([1]对账明细接口!$N974=0,"",[1]对账明细接口!$N974),"")</f>
        <v/>
      </c>
      <c r="T974" s="21" t="str">
        <f>IFERROR(IF([1]对账明细接口!$O974=0,"",[1]对账明细接口!$O974),"")</f>
        <v/>
      </c>
      <c r="U974" s="21" t="str">
        <f>IFERROR(IF([1]对账明细接口!$P974=0,"",[1]对账明细接口!$P974),"")</f>
        <v/>
      </c>
      <c r="V974" s="21" t="str">
        <f>IFERROR(IF([1]对账明细接口!$Q974=0,"",[1]对账明细接口!$Q974),"")</f>
        <v/>
      </c>
      <c r="W974" s="20" t="str">
        <f>IFERROR(IF([1]对账明细接口!$R974=0,"",[1]对账明细接口!$R974),"")</f>
        <v/>
      </c>
      <c r="X974" s="20" t="str">
        <f>IFERROR(IF([1]对账明细接口!$S974=0,"",[1]对账明细接口!$S974),"")</f>
        <v/>
      </c>
      <c r="Y974" s="20" t="str">
        <f>IFERROR(IF([1]对账明细接口!$T974=0,"",[1]对账明细接口!$T974),"")</f>
        <v/>
      </c>
      <c r="Z974" s="24" t="str">
        <f>IFERROR(IF([1]对账明细接口!$U974=0,"",[1]对账明细接口!$U974),"")</f>
        <v/>
      </c>
      <c r="AA974" s="24" t="str">
        <f>IFERROR(IF([1]对账明细接口!$V974=0,"",[1]对账明细接口!$V974),"")</f>
        <v/>
      </c>
      <c r="AB974" s="20" t="str">
        <f>IFERROR(IF([1]对账明细接口!$W974=0,"",[1]对账明细接口!$W974),"")</f>
        <v/>
      </c>
      <c r="AC974" s="7" t="str">
        <f>IFERROR(IF([1]对账明细接口!$X974=0,"",[1]对账明细接口!$X974),"")</f>
        <v/>
      </c>
      <c r="AD974" s="7" t="str">
        <f>IFERROR(IF([1]对账明细接口!$Y974=0,"",[1]对账明细接口!$Y974),"")</f>
        <v/>
      </c>
      <c r="AE974" s="7" t="str">
        <f>IFERROR(IF([1]对账明细接口!$AA974=0,"",[1]对账明细接口!$AA974),"")</f>
        <v/>
      </c>
      <c r="AF974" s="7" t="str">
        <f>IFERROR(IF([1]对账明细接口!$AB974=0,"",[1]对账明细接口!$AB974),"")</f>
        <v/>
      </c>
      <c r="AG974" s="7" t="str">
        <f>IFERROR(IF([1]对账明细接口!$AC974=0,"",[1]对账明细接口!$AC974),"")</f>
        <v/>
      </c>
      <c r="AH974" s="7" t="str">
        <f>IFERROR(IF([1]对账明细接口!$AD974=0,"",[1]对账明细接口!$AD974),"")</f>
        <v/>
      </c>
      <c r="AI974" s="7" t="str">
        <f>IFERROR(IF([1]对账明细接口!$AE974=0,"",[1]对账明细接口!$AE974),"")</f>
        <v/>
      </c>
      <c r="AJ974" s="7" t="str">
        <f>IFERROR(IF([1]对账明细接口!$AF974=0,"",[1]对账明细接口!$AF974),"")</f>
        <v/>
      </c>
    </row>
    <row r="975" ht="14.25" customHeight="1" spans="1:36">
      <c r="A975" s="14">
        <v>975</v>
      </c>
      <c r="B975" s="15" t="str">
        <f>IFERROR(IF([1]对账明细接口!$B$975=0,"",[1]对账明细接口!$B$975),"")</f>
        <v/>
      </c>
      <c r="C975" s="16" t="str">
        <f>IFERROR(IF([1]对账明细接口!$C$975=0,"",[1]对账明细接口!$C$975),"")</f>
        <v/>
      </c>
      <c r="D975" s="16" t="str">
        <f>IFERROR(IF([1]对账明细接口!$D$975=0,"",[1]对账明细接口!$D$975),"")</f>
        <v/>
      </c>
      <c r="E975" s="16" t="str">
        <f>IFERROR(IF([1]对账明细接口!$E$975=0,"",[1]对账明细接口!$E$975),"")</f>
        <v/>
      </c>
      <c r="F975" s="16" t="str">
        <f>IFERROR(IF([1]对账明细接口!$F$975=0,"",[1]对账明细接口!$F$975),"")</f>
        <v/>
      </c>
      <c r="G975" s="16" t="str">
        <f>IFERROR(IF([1]对账明细接口!$G$975=0,"",[1]对账明细接口!$G$975),"")</f>
        <v/>
      </c>
      <c r="H975" s="17" t="str">
        <f>IFERROR(IF([1]对账明细接口!$H$975=0,"",[1]对账明细接口!$H$975),"")</f>
        <v/>
      </c>
      <c r="I975" s="16" t="str">
        <f>IFERROR(IF([1]对账明细接口!$I$975=0,"",[1]对账明细接口!$I$975),"")</f>
        <v/>
      </c>
      <c r="J975" s="18" t="str">
        <f>IFERROR(IF([1]对账明细接口!$J$975=0,"",[1]对账明细接口!$J$975),"")</f>
        <v/>
      </c>
      <c r="K975" s="18" t="str">
        <f>IFERROR(IF([1]对账明细接口!$K$975=0,"",[1]对账明细接口!$K$975),"")</f>
        <v/>
      </c>
      <c r="L975" s="16" t="str">
        <f>IFERROR(IF([1]对账明细接口!$L$975=0,"",[1]对账明细接口!$L$975),"")</f>
        <v/>
      </c>
      <c r="M975" s="16" t="str">
        <f>IFERROR(IF([1]对账明细接口!$M$975=0,"",[1]对账明细接口!$M$975),"")</f>
        <v/>
      </c>
      <c r="N975" s="19">
        <f t="shared" si="30"/>
        <v>0</v>
      </c>
      <c r="O975" s="19">
        <f t="shared" si="31"/>
        <v>420</v>
      </c>
      <c r="S975" s="20" t="str">
        <f>IFERROR(IF([1]对账明细接口!$N975=0,"",[1]对账明细接口!$N975),"")</f>
        <v/>
      </c>
      <c r="T975" s="21" t="str">
        <f>IFERROR(IF([1]对账明细接口!$O975=0,"",[1]对账明细接口!$O975),"")</f>
        <v/>
      </c>
      <c r="U975" s="21" t="str">
        <f>IFERROR(IF([1]对账明细接口!$P975=0,"",[1]对账明细接口!$P975),"")</f>
        <v/>
      </c>
      <c r="V975" s="21" t="str">
        <f>IFERROR(IF([1]对账明细接口!$Q975=0,"",[1]对账明细接口!$Q975),"")</f>
        <v/>
      </c>
      <c r="W975" s="20" t="str">
        <f>IFERROR(IF([1]对账明细接口!$R975=0,"",[1]对账明细接口!$R975),"")</f>
        <v/>
      </c>
      <c r="X975" s="20" t="str">
        <f>IFERROR(IF([1]对账明细接口!$S975=0,"",[1]对账明细接口!$S975),"")</f>
        <v/>
      </c>
      <c r="Y975" s="20" t="str">
        <f>IFERROR(IF([1]对账明细接口!$T975=0,"",[1]对账明细接口!$T975),"")</f>
        <v/>
      </c>
      <c r="Z975" s="24" t="str">
        <f>IFERROR(IF([1]对账明细接口!$U975=0,"",[1]对账明细接口!$U975),"")</f>
        <v/>
      </c>
      <c r="AA975" s="24" t="str">
        <f>IFERROR(IF([1]对账明细接口!$V975=0,"",[1]对账明细接口!$V975),"")</f>
        <v/>
      </c>
      <c r="AB975" s="20" t="str">
        <f>IFERROR(IF([1]对账明细接口!$W975=0,"",[1]对账明细接口!$W975),"")</f>
        <v/>
      </c>
      <c r="AC975" s="7" t="str">
        <f>IFERROR(IF([1]对账明细接口!$X975=0,"",[1]对账明细接口!$X975),"")</f>
        <v/>
      </c>
      <c r="AD975" s="7" t="str">
        <f>IFERROR(IF([1]对账明细接口!$Y975=0,"",[1]对账明细接口!$Y975),"")</f>
        <v/>
      </c>
      <c r="AE975" s="7" t="str">
        <f>IFERROR(IF([1]对账明细接口!$AA975=0,"",[1]对账明细接口!$AA975),"")</f>
        <v/>
      </c>
      <c r="AF975" s="7" t="str">
        <f>IFERROR(IF([1]对账明细接口!$AB975=0,"",[1]对账明细接口!$AB975),"")</f>
        <v/>
      </c>
      <c r="AG975" s="7" t="str">
        <f>IFERROR(IF([1]对账明细接口!$AC975=0,"",[1]对账明细接口!$AC975),"")</f>
        <v/>
      </c>
      <c r="AH975" s="7" t="str">
        <f>IFERROR(IF([1]对账明细接口!$AD975=0,"",[1]对账明细接口!$AD975),"")</f>
        <v/>
      </c>
      <c r="AI975" s="7" t="str">
        <f>IFERROR(IF([1]对账明细接口!$AE975=0,"",[1]对账明细接口!$AE975),"")</f>
        <v/>
      </c>
      <c r="AJ975" s="7" t="str">
        <f>IFERROR(IF([1]对账明细接口!$AF975=0,"",[1]对账明细接口!$AF975),"")</f>
        <v/>
      </c>
    </row>
    <row r="976" ht="14.25" customHeight="1" spans="1:36">
      <c r="A976" s="14">
        <v>976</v>
      </c>
      <c r="B976" s="15" t="str">
        <f>IFERROR(IF([1]对账明细接口!$B$976=0,"",[1]对账明细接口!$B$976),"")</f>
        <v/>
      </c>
      <c r="C976" s="16" t="str">
        <f>IFERROR(IF([1]对账明细接口!$C$976=0,"",[1]对账明细接口!$C$976),"")</f>
        <v/>
      </c>
      <c r="D976" s="16" t="str">
        <f>IFERROR(IF([1]对账明细接口!$D$976=0,"",[1]对账明细接口!$D$976),"")</f>
        <v/>
      </c>
      <c r="E976" s="16" t="str">
        <f>IFERROR(IF([1]对账明细接口!$E$976=0,"",[1]对账明细接口!$E$976),"")</f>
        <v/>
      </c>
      <c r="F976" s="16" t="str">
        <f>IFERROR(IF([1]对账明细接口!$F$976=0,"",[1]对账明细接口!$F$976),"")</f>
        <v/>
      </c>
      <c r="G976" s="16" t="str">
        <f>IFERROR(IF([1]对账明细接口!$G$976=0,"",[1]对账明细接口!$G$976),"")</f>
        <v/>
      </c>
      <c r="H976" s="17" t="str">
        <f>IFERROR(IF([1]对账明细接口!$H$976=0,"",[1]对账明细接口!$H$976),"")</f>
        <v/>
      </c>
      <c r="I976" s="16" t="str">
        <f>IFERROR(IF([1]对账明细接口!$I$976=0,"",[1]对账明细接口!$I$976),"")</f>
        <v/>
      </c>
      <c r="J976" s="18" t="str">
        <f>IFERROR(IF([1]对账明细接口!$J$976=0,"",[1]对账明细接口!$J$976),"")</f>
        <v/>
      </c>
      <c r="K976" s="18" t="str">
        <f>IFERROR(IF([1]对账明细接口!$K$976=0,"",[1]对账明细接口!$K$976),"")</f>
        <v/>
      </c>
      <c r="L976" s="16" t="str">
        <f>IFERROR(IF([1]对账明细接口!$L$976=0,"",[1]对账明细接口!$L$976),"")</f>
        <v/>
      </c>
      <c r="M976" s="16" t="str">
        <f>IFERROR(IF([1]对账明细接口!$M$976=0,"",[1]对账明细接口!$M$976),"")</f>
        <v/>
      </c>
      <c r="N976" s="19">
        <f t="shared" si="30"/>
        <v>0</v>
      </c>
      <c r="O976" s="19">
        <f t="shared" si="31"/>
        <v>420</v>
      </c>
      <c r="S976" s="20" t="str">
        <f>IFERROR(IF([1]对账明细接口!$N976=0,"",[1]对账明细接口!$N976),"")</f>
        <v/>
      </c>
      <c r="T976" s="21" t="str">
        <f>IFERROR(IF([1]对账明细接口!$O976=0,"",[1]对账明细接口!$O976),"")</f>
        <v/>
      </c>
      <c r="U976" s="21" t="str">
        <f>IFERROR(IF([1]对账明细接口!$P976=0,"",[1]对账明细接口!$P976),"")</f>
        <v/>
      </c>
      <c r="V976" s="21" t="str">
        <f>IFERROR(IF([1]对账明细接口!$Q976=0,"",[1]对账明细接口!$Q976),"")</f>
        <v/>
      </c>
      <c r="W976" s="20" t="str">
        <f>IFERROR(IF([1]对账明细接口!$R976=0,"",[1]对账明细接口!$R976),"")</f>
        <v/>
      </c>
      <c r="X976" s="20" t="str">
        <f>IFERROR(IF([1]对账明细接口!$S976=0,"",[1]对账明细接口!$S976),"")</f>
        <v/>
      </c>
      <c r="Y976" s="20" t="str">
        <f>IFERROR(IF([1]对账明细接口!$T976=0,"",[1]对账明细接口!$T976),"")</f>
        <v/>
      </c>
      <c r="Z976" s="24" t="str">
        <f>IFERROR(IF([1]对账明细接口!$U976=0,"",[1]对账明细接口!$U976),"")</f>
        <v/>
      </c>
      <c r="AA976" s="24" t="str">
        <f>IFERROR(IF([1]对账明细接口!$V976=0,"",[1]对账明细接口!$V976),"")</f>
        <v/>
      </c>
      <c r="AB976" s="20" t="str">
        <f>IFERROR(IF([1]对账明细接口!$W976=0,"",[1]对账明细接口!$W976),"")</f>
        <v/>
      </c>
      <c r="AC976" s="7" t="str">
        <f>IFERROR(IF([1]对账明细接口!$X976=0,"",[1]对账明细接口!$X976),"")</f>
        <v/>
      </c>
      <c r="AD976" s="7" t="str">
        <f>IFERROR(IF([1]对账明细接口!$Y976=0,"",[1]对账明细接口!$Y976),"")</f>
        <v/>
      </c>
      <c r="AE976" s="7" t="str">
        <f>IFERROR(IF([1]对账明细接口!$AA976=0,"",[1]对账明细接口!$AA976),"")</f>
        <v/>
      </c>
      <c r="AF976" s="7" t="str">
        <f>IFERROR(IF([1]对账明细接口!$AB976=0,"",[1]对账明细接口!$AB976),"")</f>
        <v/>
      </c>
      <c r="AG976" s="7" t="str">
        <f>IFERROR(IF([1]对账明细接口!$AC976=0,"",[1]对账明细接口!$AC976),"")</f>
        <v/>
      </c>
      <c r="AH976" s="7" t="str">
        <f>IFERROR(IF([1]对账明细接口!$AD976=0,"",[1]对账明细接口!$AD976),"")</f>
        <v/>
      </c>
      <c r="AI976" s="7" t="str">
        <f>IFERROR(IF([1]对账明细接口!$AE976=0,"",[1]对账明细接口!$AE976),"")</f>
        <v/>
      </c>
      <c r="AJ976" s="7" t="str">
        <f>IFERROR(IF([1]对账明细接口!$AF976=0,"",[1]对账明细接口!$AF976),"")</f>
        <v/>
      </c>
    </row>
    <row r="977" ht="14.25" customHeight="1" spans="1:36">
      <c r="A977" s="14">
        <v>977</v>
      </c>
      <c r="B977" s="15" t="str">
        <f>IFERROR(IF([1]对账明细接口!$B$977=0,"",[1]对账明细接口!$B$977),"")</f>
        <v/>
      </c>
      <c r="C977" s="16" t="str">
        <f>IFERROR(IF([1]对账明细接口!$C$977=0,"",[1]对账明细接口!$C$977),"")</f>
        <v/>
      </c>
      <c r="D977" s="16" t="str">
        <f>IFERROR(IF([1]对账明细接口!$D$977=0,"",[1]对账明细接口!$D$977),"")</f>
        <v/>
      </c>
      <c r="E977" s="16" t="str">
        <f>IFERROR(IF([1]对账明细接口!$E$977=0,"",[1]对账明细接口!$E$977),"")</f>
        <v/>
      </c>
      <c r="F977" s="16" t="str">
        <f>IFERROR(IF([1]对账明细接口!$F$977=0,"",[1]对账明细接口!$F$977),"")</f>
        <v/>
      </c>
      <c r="G977" s="16" t="str">
        <f>IFERROR(IF([1]对账明细接口!$G$977=0,"",[1]对账明细接口!$G$977),"")</f>
        <v/>
      </c>
      <c r="H977" s="17" t="str">
        <f>IFERROR(IF([1]对账明细接口!$H$977=0,"",[1]对账明细接口!$H$977),"")</f>
        <v/>
      </c>
      <c r="I977" s="16" t="str">
        <f>IFERROR(IF([1]对账明细接口!$I$977=0,"",[1]对账明细接口!$I$977),"")</f>
        <v/>
      </c>
      <c r="J977" s="18" t="str">
        <f>IFERROR(IF([1]对账明细接口!$J$977=0,"",[1]对账明细接口!$J$977),"")</f>
        <v/>
      </c>
      <c r="K977" s="18" t="str">
        <f>IFERROR(IF([1]对账明细接口!$K$977=0,"",[1]对账明细接口!$K$977),"")</f>
        <v/>
      </c>
      <c r="L977" s="16" t="str">
        <f>IFERROR(IF([1]对账明细接口!$L$977=0,"",[1]对账明细接口!$L$977),"")</f>
        <v/>
      </c>
      <c r="M977" s="16" t="str">
        <f>IFERROR(IF([1]对账明细接口!$M$977=0,"",[1]对账明细接口!$M$977),"")</f>
        <v/>
      </c>
      <c r="N977" s="19">
        <f t="shared" si="30"/>
        <v>0</v>
      </c>
      <c r="O977" s="19">
        <f t="shared" si="31"/>
        <v>420</v>
      </c>
      <c r="S977" s="20" t="str">
        <f>IFERROR(IF([1]对账明细接口!$N977=0,"",[1]对账明细接口!$N977),"")</f>
        <v/>
      </c>
      <c r="T977" s="21" t="str">
        <f>IFERROR(IF([1]对账明细接口!$O977=0,"",[1]对账明细接口!$O977),"")</f>
        <v/>
      </c>
      <c r="U977" s="21" t="str">
        <f>IFERROR(IF([1]对账明细接口!$P977=0,"",[1]对账明细接口!$P977),"")</f>
        <v/>
      </c>
      <c r="V977" s="21" t="str">
        <f>IFERROR(IF([1]对账明细接口!$Q977=0,"",[1]对账明细接口!$Q977),"")</f>
        <v/>
      </c>
      <c r="W977" s="20" t="str">
        <f>IFERROR(IF([1]对账明细接口!$R977=0,"",[1]对账明细接口!$R977),"")</f>
        <v/>
      </c>
      <c r="X977" s="20" t="str">
        <f>IFERROR(IF([1]对账明细接口!$S977=0,"",[1]对账明细接口!$S977),"")</f>
        <v/>
      </c>
      <c r="Y977" s="20" t="str">
        <f>IFERROR(IF([1]对账明细接口!$T977=0,"",[1]对账明细接口!$T977),"")</f>
        <v/>
      </c>
      <c r="Z977" s="24" t="str">
        <f>IFERROR(IF([1]对账明细接口!$U977=0,"",[1]对账明细接口!$U977),"")</f>
        <v/>
      </c>
      <c r="AA977" s="24" t="str">
        <f>IFERROR(IF([1]对账明细接口!$V977=0,"",[1]对账明细接口!$V977),"")</f>
        <v/>
      </c>
      <c r="AB977" s="20" t="str">
        <f>IFERROR(IF([1]对账明细接口!$W977=0,"",[1]对账明细接口!$W977),"")</f>
        <v/>
      </c>
      <c r="AC977" s="7" t="str">
        <f>IFERROR(IF([1]对账明细接口!$X977=0,"",[1]对账明细接口!$X977),"")</f>
        <v/>
      </c>
      <c r="AD977" s="7" t="str">
        <f>IFERROR(IF([1]对账明细接口!$Y977=0,"",[1]对账明细接口!$Y977),"")</f>
        <v/>
      </c>
      <c r="AE977" s="7" t="str">
        <f>IFERROR(IF([1]对账明细接口!$AA977=0,"",[1]对账明细接口!$AA977),"")</f>
        <v/>
      </c>
      <c r="AF977" s="7" t="str">
        <f>IFERROR(IF([1]对账明细接口!$AB977=0,"",[1]对账明细接口!$AB977),"")</f>
        <v/>
      </c>
      <c r="AG977" s="7" t="str">
        <f>IFERROR(IF([1]对账明细接口!$AC977=0,"",[1]对账明细接口!$AC977),"")</f>
        <v/>
      </c>
      <c r="AH977" s="7" t="str">
        <f>IFERROR(IF([1]对账明细接口!$AD977=0,"",[1]对账明细接口!$AD977),"")</f>
        <v/>
      </c>
      <c r="AI977" s="7" t="str">
        <f>IFERROR(IF([1]对账明细接口!$AE977=0,"",[1]对账明细接口!$AE977),"")</f>
        <v/>
      </c>
      <c r="AJ977" s="7" t="str">
        <f>IFERROR(IF([1]对账明细接口!$AF977=0,"",[1]对账明细接口!$AF977),"")</f>
        <v/>
      </c>
    </row>
    <row r="978" ht="14.25" customHeight="1" spans="1:36">
      <c r="A978" s="14">
        <v>978</v>
      </c>
      <c r="B978" s="15" t="str">
        <f>IFERROR(IF([1]对账明细接口!$B$978=0,"",[1]对账明细接口!$B$978),"")</f>
        <v/>
      </c>
      <c r="C978" s="16" t="str">
        <f>IFERROR(IF([1]对账明细接口!$C$978=0,"",[1]对账明细接口!$C$978),"")</f>
        <v/>
      </c>
      <c r="D978" s="16" t="str">
        <f>IFERROR(IF([1]对账明细接口!$D$978=0,"",[1]对账明细接口!$D$978),"")</f>
        <v/>
      </c>
      <c r="E978" s="16" t="str">
        <f>IFERROR(IF([1]对账明细接口!$E$978=0,"",[1]对账明细接口!$E$978),"")</f>
        <v/>
      </c>
      <c r="F978" s="16" t="str">
        <f>IFERROR(IF([1]对账明细接口!$F$978=0,"",[1]对账明细接口!$F$978),"")</f>
        <v/>
      </c>
      <c r="G978" s="16" t="str">
        <f>IFERROR(IF([1]对账明细接口!$G$978=0,"",[1]对账明细接口!$G$978),"")</f>
        <v/>
      </c>
      <c r="H978" s="17" t="str">
        <f>IFERROR(IF([1]对账明细接口!$H$978=0,"",[1]对账明细接口!$H$978),"")</f>
        <v/>
      </c>
      <c r="I978" s="16" t="str">
        <f>IFERROR(IF([1]对账明细接口!$I$978=0,"",[1]对账明细接口!$I$978),"")</f>
        <v/>
      </c>
      <c r="J978" s="18" t="str">
        <f>IFERROR(IF([1]对账明细接口!$J$978=0,"",[1]对账明细接口!$J$978),"")</f>
        <v/>
      </c>
      <c r="K978" s="18" t="str">
        <f>IFERROR(IF([1]对账明细接口!$K$978=0,"",[1]对账明细接口!$K$978),"")</f>
        <v/>
      </c>
      <c r="L978" s="16" t="str">
        <f>IFERROR(IF([1]对账明细接口!$L$978=0,"",[1]对账明细接口!$L$978),"")</f>
        <v/>
      </c>
      <c r="M978" s="16" t="str">
        <f>IFERROR(IF([1]对账明细接口!$M$978=0,"",[1]对账明细接口!$M$978),"")</f>
        <v/>
      </c>
      <c r="N978" s="19">
        <f t="shared" si="30"/>
        <v>0</v>
      </c>
      <c r="O978" s="19">
        <f t="shared" si="31"/>
        <v>420</v>
      </c>
      <c r="S978" s="20" t="str">
        <f>IFERROR(IF([1]对账明细接口!$N978=0,"",[1]对账明细接口!$N978),"")</f>
        <v/>
      </c>
      <c r="T978" s="21" t="str">
        <f>IFERROR(IF([1]对账明细接口!$O978=0,"",[1]对账明细接口!$O978),"")</f>
        <v/>
      </c>
      <c r="U978" s="21" t="str">
        <f>IFERROR(IF([1]对账明细接口!$P978=0,"",[1]对账明细接口!$P978),"")</f>
        <v/>
      </c>
      <c r="V978" s="21" t="str">
        <f>IFERROR(IF([1]对账明细接口!$Q978=0,"",[1]对账明细接口!$Q978),"")</f>
        <v/>
      </c>
      <c r="W978" s="20" t="str">
        <f>IFERROR(IF([1]对账明细接口!$R978=0,"",[1]对账明细接口!$R978),"")</f>
        <v/>
      </c>
      <c r="X978" s="20" t="str">
        <f>IFERROR(IF([1]对账明细接口!$S978=0,"",[1]对账明细接口!$S978),"")</f>
        <v/>
      </c>
      <c r="Y978" s="20" t="str">
        <f>IFERROR(IF([1]对账明细接口!$T978=0,"",[1]对账明细接口!$T978),"")</f>
        <v/>
      </c>
      <c r="Z978" s="24" t="str">
        <f>IFERROR(IF([1]对账明细接口!$U978=0,"",[1]对账明细接口!$U978),"")</f>
        <v/>
      </c>
      <c r="AA978" s="24" t="str">
        <f>IFERROR(IF([1]对账明细接口!$V978=0,"",[1]对账明细接口!$V978),"")</f>
        <v/>
      </c>
      <c r="AB978" s="20" t="str">
        <f>IFERROR(IF([1]对账明细接口!$W978=0,"",[1]对账明细接口!$W978),"")</f>
        <v/>
      </c>
      <c r="AC978" s="7" t="str">
        <f>IFERROR(IF([1]对账明细接口!$X978=0,"",[1]对账明细接口!$X978),"")</f>
        <v/>
      </c>
      <c r="AD978" s="7" t="str">
        <f>IFERROR(IF([1]对账明细接口!$Y978=0,"",[1]对账明细接口!$Y978),"")</f>
        <v/>
      </c>
      <c r="AE978" s="7" t="str">
        <f>IFERROR(IF([1]对账明细接口!$AA978=0,"",[1]对账明细接口!$AA978),"")</f>
        <v/>
      </c>
      <c r="AF978" s="7" t="str">
        <f>IFERROR(IF([1]对账明细接口!$AB978=0,"",[1]对账明细接口!$AB978),"")</f>
        <v/>
      </c>
      <c r="AG978" s="7" t="str">
        <f>IFERROR(IF([1]对账明细接口!$AC978=0,"",[1]对账明细接口!$AC978),"")</f>
        <v/>
      </c>
      <c r="AH978" s="7" t="str">
        <f>IFERROR(IF([1]对账明细接口!$AD978=0,"",[1]对账明细接口!$AD978),"")</f>
        <v/>
      </c>
      <c r="AI978" s="7" t="str">
        <f>IFERROR(IF([1]对账明细接口!$AE978=0,"",[1]对账明细接口!$AE978),"")</f>
        <v/>
      </c>
      <c r="AJ978" s="7" t="str">
        <f>IFERROR(IF([1]对账明细接口!$AF978=0,"",[1]对账明细接口!$AF978),"")</f>
        <v/>
      </c>
    </row>
    <row r="979" ht="14.25" customHeight="1" spans="1:36">
      <c r="A979" s="14">
        <v>979</v>
      </c>
      <c r="B979" s="15" t="str">
        <f>IFERROR(IF([1]对账明细接口!$B$979=0,"",[1]对账明细接口!$B$979),"")</f>
        <v/>
      </c>
      <c r="C979" s="16" t="str">
        <f>IFERROR(IF([1]对账明细接口!$C$979=0,"",[1]对账明细接口!$C$979),"")</f>
        <v/>
      </c>
      <c r="D979" s="16" t="str">
        <f>IFERROR(IF([1]对账明细接口!$D$979=0,"",[1]对账明细接口!$D$979),"")</f>
        <v/>
      </c>
      <c r="E979" s="16" t="str">
        <f>IFERROR(IF([1]对账明细接口!$E$979=0,"",[1]对账明细接口!$E$979),"")</f>
        <v/>
      </c>
      <c r="F979" s="16" t="str">
        <f>IFERROR(IF([1]对账明细接口!$F$979=0,"",[1]对账明细接口!$F$979),"")</f>
        <v/>
      </c>
      <c r="G979" s="16" t="str">
        <f>IFERROR(IF([1]对账明细接口!$G$979=0,"",[1]对账明细接口!$G$979),"")</f>
        <v/>
      </c>
      <c r="H979" s="17" t="str">
        <f>IFERROR(IF([1]对账明细接口!$H$979=0,"",[1]对账明细接口!$H$979),"")</f>
        <v/>
      </c>
      <c r="I979" s="16" t="str">
        <f>IFERROR(IF([1]对账明细接口!$I$979=0,"",[1]对账明细接口!$I$979),"")</f>
        <v/>
      </c>
      <c r="J979" s="18" t="str">
        <f>IFERROR(IF([1]对账明细接口!$J$979=0,"",[1]对账明细接口!$J$979),"")</f>
        <v/>
      </c>
      <c r="K979" s="18" t="str">
        <f>IFERROR(IF([1]对账明细接口!$K$979=0,"",[1]对账明细接口!$K$979),"")</f>
        <v/>
      </c>
      <c r="L979" s="16" t="str">
        <f>IFERROR(IF([1]对账明细接口!$L$979=0,"",[1]对账明细接口!$L$979),"")</f>
        <v/>
      </c>
      <c r="M979" s="16" t="str">
        <f>IFERROR(IF([1]对账明细接口!$M$979=0,"",[1]对账明细接口!$M$979),"")</f>
        <v/>
      </c>
      <c r="N979" s="19">
        <f t="shared" si="30"/>
        <v>0</v>
      </c>
      <c r="O979" s="19">
        <f t="shared" si="31"/>
        <v>420</v>
      </c>
      <c r="S979" s="20" t="str">
        <f>IFERROR(IF([1]对账明细接口!$N979=0,"",[1]对账明细接口!$N979),"")</f>
        <v/>
      </c>
      <c r="T979" s="21" t="str">
        <f>IFERROR(IF([1]对账明细接口!$O979=0,"",[1]对账明细接口!$O979),"")</f>
        <v/>
      </c>
      <c r="U979" s="21" t="str">
        <f>IFERROR(IF([1]对账明细接口!$P979=0,"",[1]对账明细接口!$P979),"")</f>
        <v/>
      </c>
      <c r="V979" s="21" t="str">
        <f>IFERROR(IF([1]对账明细接口!$Q979=0,"",[1]对账明细接口!$Q979),"")</f>
        <v/>
      </c>
      <c r="W979" s="20" t="str">
        <f>IFERROR(IF([1]对账明细接口!$R979=0,"",[1]对账明细接口!$R979),"")</f>
        <v/>
      </c>
      <c r="X979" s="20" t="str">
        <f>IFERROR(IF([1]对账明细接口!$S979=0,"",[1]对账明细接口!$S979),"")</f>
        <v/>
      </c>
      <c r="Y979" s="20" t="str">
        <f>IFERROR(IF([1]对账明细接口!$T979=0,"",[1]对账明细接口!$T979),"")</f>
        <v/>
      </c>
      <c r="Z979" s="24" t="str">
        <f>IFERROR(IF([1]对账明细接口!$U979=0,"",[1]对账明细接口!$U979),"")</f>
        <v/>
      </c>
      <c r="AA979" s="24" t="str">
        <f>IFERROR(IF([1]对账明细接口!$V979=0,"",[1]对账明细接口!$V979),"")</f>
        <v/>
      </c>
      <c r="AB979" s="20" t="str">
        <f>IFERROR(IF([1]对账明细接口!$W979=0,"",[1]对账明细接口!$W979),"")</f>
        <v/>
      </c>
      <c r="AC979" s="7" t="str">
        <f>IFERROR(IF([1]对账明细接口!$X979=0,"",[1]对账明细接口!$X979),"")</f>
        <v/>
      </c>
      <c r="AD979" s="7" t="str">
        <f>IFERROR(IF([1]对账明细接口!$Y979=0,"",[1]对账明细接口!$Y979),"")</f>
        <v/>
      </c>
      <c r="AE979" s="7" t="str">
        <f>IFERROR(IF([1]对账明细接口!$AA979=0,"",[1]对账明细接口!$AA979),"")</f>
        <v/>
      </c>
      <c r="AF979" s="7" t="str">
        <f>IFERROR(IF([1]对账明细接口!$AB979=0,"",[1]对账明细接口!$AB979),"")</f>
        <v/>
      </c>
      <c r="AG979" s="7" t="str">
        <f>IFERROR(IF([1]对账明细接口!$AC979=0,"",[1]对账明细接口!$AC979),"")</f>
        <v/>
      </c>
      <c r="AH979" s="7" t="str">
        <f>IFERROR(IF([1]对账明细接口!$AD979=0,"",[1]对账明细接口!$AD979),"")</f>
        <v/>
      </c>
      <c r="AI979" s="7" t="str">
        <f>IFERROR(IF([1]对账明细接口!$AE979=0,"",[1]对账明细接口!$AE979),"")</f>
        <v/>
      </c>
      <c r="AJ979" s="7" t="str">
        <f>IFERROR(IF([1]对账明细接口!$AF979=0,"",[1]对账明细接口!$AF979),"")</f>
        <v/>
      </c>
    </row>
    <row r="980" ht="14.25" customHeight="1" spans="1:36">
      <c r="A980" s="14">
        <v>980</v>
      </c>
      <c r="B980" s="15" t="str">
        <f>IFERROR(IF([1]对账明细接口!$B$980=0,"",[1]对账明细接口!$B$980),"")</f>
        <v/>
      </c>
      <c r="C980" s="16" t="str">
        <f>IFERROR(IF([1]对账明细接口!$C$980=0,"",[1]对账明细接口!$C$980),"")</f>
        <v/>
      </c>
      <c r="D980" s="16" t="str">
        <f>IFERROR(IF([1]对账明细接口!$D$980=0,"",[1]对账明细接口!$D$980),"")</f>
        <v/>
      </c>
      <c r="E980" s="16" t="str">
        <f>IFERROR(IF([1]对账明细接口!$E$980=0,"",[1]对账明细接口!$E$980),"")</f>
        <v/>
      </c>
      <c r="F980" s="16" t="str">
        <f>IFERROR(IF([1]对账明细接口!$F$980=0,"",[1]对账明细接口!$F$980),"")</f>
        <v/>
      </c>
      <c r="G980" s="16" t="str">
        <f>IFERROR(IF([1]对账明细接口!$G$980=0,"",[1]对账明细接口!$G$980),"")</f>
        <v/>
      </c>
      <c r="H980" s="17" t="str">
        <f>IFERROR(IF([1]对账明细接口!$H$980=0,"",[1]对账明细接口!$H$980),"")</f>
        <v/>
      </c>
      <c r="I980" s="16" t="str">
        <f>IFERROR(IF([1]对账明细接口!$I$980=0,"",[1]对账明细接口!$I$980),"")</f>
        <v/>
      </c>
      <c r="J980" s="18" t="str">
        <f>IFERROR(IF([1]对账明细接口!$J$980=0,"",[1]对账明细接口!$J$980),"")</f>
        <v/>
      </c>
      <c r="K980" s="18" t="str">
        <f>IFERROR(IF([1]对账明细接口!$K$980=0,"",[1]对账明细接口!$K$980),"")</f>
        <v/>
      </c>
      <c r="L980" s="16" t="str">
        <f>IFERROR(IF([1]对账明细接口!$L$980=0,"",[1]对账明细接口!$L$980),"")</f>
        <v/>
      </c>
      <c r="M980" s="16" t="str">
        <f>IFERROR(IF([1]对账明细接口!$M$980=0,"",[1]对账明细接口!$M$980),"")</f>
        <v/>
      </c>
      <c r="N980" s="19">
        <f t="shared" si="30"/>
        <v>0</v>
      </c>
      <c r="O980" s="19">
        <f t="shared" si="31"/>
        <v>420</v>
      </c>
      <c r="S980" s="20" t="str">
        <f>IFERROR(IF([1]对账明细接口!$N980=0,"",[1]对账明细接口!$N980),"")</f>
        <v/>
      </c>
      <c r="T980" s="21" t="str">
        <f>IFERROR(IF([1]对账明细接口!$O980=0,"",[1]对账明细接口!$O980),"")</f>
        <v/>
      </c>
      <c r="U980" s="21" t="str">
        <f>IFERROR(IF([1]对账明细接口!$P980=0,"",[1]对账明细接口!$P980),"")</f>
        <v/>
      </c>
      <c r="V980" s="21" t="str">
        <f>IFERROR(IF([1]对账明细接口!$Q980=0,"",[1]对账明细接口!$Q980),"")</f>
        <v/>
      </c>
      <c r="W980" s="20" t="str">
        <f>IFERROR(IF([1]对账明细接口!$R980=0,"",[1]对账明细接口!$R980),"")</f>
        <v/>
      </c>
      <c r="X980" s="20" t="str">
        <f>IFERROR(IF([1]对账明细接口!$S980=0,"",[1]对账明细接口!$S980),"")</f>
        <v/>
      </c>
      <c r="Y980" s="20" t="str">
        <f>IFERROR(IF([1]对账明细接口!$T980=0,"",[1]对账明细接口!$T980),"")</f>
        <v/>
      </c>
      <c r="Z980" s="24" t="str">
        <f>IFERROR(IF([1]对账明细接口!$U980=0,"",[1]对账明细接口!$U980),"")</f>
        <v/>
      </c>
      <c r="AA980" s="24" t="str">
        <f>IFERROR(IF([1]对账明细接口!$V980=0,"",[1]对账明细接口!$V980),"")</f>
        <v/>
      </c>
      <c r="AB980" s="20" t="str">
        <f>IFERROR(IF([1]对账明细接口!$W980=0,"",[1]对账明细接口!$W980),"")</f>
        <v/>
      </c>
      <c r="AC980" s="7" t="str">
        <f>IFERROR(IF([1]对账明细接口!$X980=0,"",[1]对账明细接口!$X980),"")</f>
        <v/>
      </c>
      <c r="AD980" s="7" t="str">
        <f>IFERROR(IF([1]对账明细接口!$Y980=0,"",[1]对账明细接口!$Y980),"")</f>
        <v/>
      </c>
      <c r="AE980" s="7" t="str">
        <f>IFERROR(IF([1]对账明细接口!$AA980=0,"",[1]对账明细接口!$AA980),"")</f>
        <v/>
      </c>
      <c r="AF980" s="7" t="str">
        <f>IFERROR(IF([1]对账明细接口!$AB980=0,"",[1]对账明细接口!$AB980),"")</f>
        <v/>
      </c>
      <c r="AG980" s="7" t="str">
        <f>IFERROR(IF([1]对账明细接口!$AC980=0,"",[1]对账明细接口!$AC980),"")</f>
        <v/>
      </c>
      <c r="AH980" s="7" t="str">
        <f>IFERROR(IF([1]对账明细接口!$AD980=0,"",[1]对账明细接口!$AD980),"")</f>
        <v/>
      </c>
      <c r="AI980" s="7" t="str">
        <f>IFERROR(IF([1]对账明细接口!$AE980=0,"",[1]对账明细接口!$AE980),"")</f>
        <v/>
      </c>
      <c r="AJ980" s="7" t="str">
        <f>IFERROR(IF([1]对账明细接口!$AF980=0,"",[1]对账明细接口!$AF980),"")</f>
        <v/>
      </c>
    </row>
    <row r="981" ht="14.25" customHeight="1" spans="1:36">
      <c r="A981" s="14">
        <v>981</v>
      </c>
      <c r="B981" s="15" t="str">
        <f>IFERROR(IF([1]对账明细接口!$B$981=0,"",[1]对账明细接口!$B$981),"")</f>
        <v/>
      </c>
      <c r="C981" s="16" t="str">
        <f>IFERROR(IF([1]对账明细接口!$C$981=0,"",[1]对账明细接口!$C$981),"")</f>
        <v/>
      </c>
      <c r="D981" s="16" t="str">
        <f>IFERROR(IF([1]对账明细接口!$D$981=0,"",[1]对账明细接口!$D$981),"")</f>
        <v/>
      </c>
      <c r="E981" s="16" t="str">
        <f>IFERROR(IF([1]对账明细接口!$E$981=0,"",[1]对账明细接口!$E$981),"")</f>
        <v/>
      </c>
      <c r="F981" s="16" t="str">
        <f>IFERROR(IF([1]对账明细接口!$F$981=0,"",[1]对账明细接口!$F$981),"")</f>
        <v/>
      </c>
      <c r="G981" s="16" t="str">
        <f>IFERROR(IF([1]对账明细接口!$G$981=0,"",[1]对账明细接口!$G$981),"")</f>
        <v/>
      </c>
      <c r="H981" s="17" t="str">
        <f>IFERROR(IF([1]对账明细接口!$H$981=0,"",[1]对账明细接口!$H$981),"")</f>
        <v/>
      </c>
      <c r="I981" s="16" t="str">
        <f>IFERROR(IF([1]对账明细接口!$I$981=0,"",[1]对账明细接口!$I$981),"")</f>
        <v/>
      </c>
      <c r="J981" s="18" t="str">
        <f>IFERROR(IF([1]对账明细接口!$J$981=0,"",[1]对账明细接口!$J$981),"")</f>
        <v/>
      </c>
      <c r="K981" s="18" t="str">
        <f>IFERROR(IF([1]对账明细接口!$K$981=0,"",[1]对账明细接口!$K$981),"")</f>
        <v/>
      </c>
      <c r="L981" s="16" t="str">
        <f>IFERROR(IF([1]对账明细接口!$L$981=0,"",[1]对账明细接口!$L$981),"")</f>
        <v/>
      </c>
      <c r="M981" s="16" t="str">
        <f>IFERROR(IF([1]对账明细接口!$M$981=0,"",[1]对账明细接口!$M$981),"")</f>
        <v/>
      </c>
      <c r="N981" s="19">
        <f t="shared" si="30"/>
        <v>0</v>
      </c>
      <c r="O981" s="19">
        <f t="shared" si="31"/>
        <v>420</v>
      </c>
      <c r="S981" s="20" t="str">
        <f>IFERROR(IF([1]对账明细接口!$N981=0,"",[1]对账明细接口!$N981),"")</f>
        <v/>
      </c>
      <c r="T981" s="21" t="str">
        <f>IFERROR(IF([1]对账明细接口!$O981=0,"",[1]对账明细接口!$O981),"")</f>
        <v/>
      </c>
      <c r="U981" s="21" t="str">
        <f>IFERROR(IF([1]对账明细接口!$P981=0,"",[1]对账明细接口!$P981),"")</f>
        <v/>
      </c>
      <c r="V981" s="21" t="str">
        <f>IFERROR(IF([1]对账明细接口!$Q981=0,"",[1]对账明细接口!$Q981),"")</f>
        <v/>
      </c>
      <c r="W981" s="20" t="str">
        <f>IFERROR(IF([1]对账明细接口!$R981=0,"",[1]对账明细接口!$R981),"")</f>
        <v/>
      </c>
      <c r="X981" s="20" t="str">
        <f>IFERROR(IF([1]对账明细接口!$S981=0,"",[1]对账明细接口!$S981),"")</f>
        <v/>
      </c>
      <c r="Y981" s="20" t="str">
        <f>IFERROR(IF([1]对账明细接口!$T981=0,"",[1]对账明细接口!$T981),"")</f>
        <v/>
      </c>
      <c r="Z981" s="24" t="str">
        <f>IFERROR(IF([1]对账明细接口!$U981=0,"",[1]对账明细接口!$U981),"")</f>
        <v/>
      </c>
      <c r="AA981" s="24" t="str">
        <f>IFERROR(IF([1]对账明细接口!$V981=0,"",[1]对账明细接口!$V981),"")</f>
        <v/>
      </c>
      <c r="AB981" s="20" t="str">
        <f>IFERROR(IF([1]对账明细接口!$W981=0,"",[1]对账明细接口!$W981),"")</f>
        <v/>
      </c>
      <c r="AC981" s="7" t="str">
        <f>IFERROR(IF([1]对账明细接口!$X981=0,"",[1]对账明细接口!$X981),"")</f>
        <v/>
      </c>
      <c r="AD981" s="7" t="str">
        <f>IFERROR(IF([1]对账明细接口!$Y981=0,"",[1]对账明细接口!$Y981),"")</f>
        <v/>
      </c>
      <c r="AE981" s="7" t="str">
        <f>IFERROR(IF([1]对账明细接口!$AA981=0,"",[1]对账明细接口!$AA981),"")</f>
        <v/>
      </c>
      <c r="AF981" s="7" t="str">
        <f>IFERROR(IF([1]对账明细接口!$AB981=0,"",[1]对账明细接口!$AB981),"")</f>
        <v/>
      </c>
      <c r="AG981" s="7" t="str">
        <f>IFERROR(IF([1]对账明细接口!$AC981=0,"",[1]对账明细接口!$AC981),"")</f>
        <v/>
      </c>
      <c r="AH981" s="7" t="str">
        <f>IFERROR(IF([1]对账明细接口!$AD981=0,"",[1]对账明细接口!$AD981),"")</f>
        <v/>
      </c>
      <c r="AI981" s="7" t="str">
        <f>IFERROR(IF([1]对账明细接口!$AE981=0,"",[1]对账明细接口!$AE981),"")</f>
        <v/>
      </c>
      <c r="AJ981" s="7" t="str">
        <f>IFERROR(IF([1]对账明细接口!$AF981=0,"",[1]对账明细接口!$AF981),"")</f>
        <v/>
      </c>
    </row>
    <row r="982" ht="14.25" customHeight="1" spans="1:36">
      <c r="A982" s="14">
        <v>982</v>
      </c>
      <c r="B982" s="15" t="str">
        <f>IFERROR(IF([1]对账明细接口!$B$982=0,"",[1]对账明细接口!$B$982),"")</f>
        <v/>
      </c>
      <c r="C982" s="16" t="str">
        <f>IFERROR(IF([1]对账明细接口!$C$982=0,"",[1]对账明细接口!$C$982),"")</f>
        <v/>
      </c>
      <c r="D982" s="16" t="str">
        <f>IFERROR(IF([1]对账明细接口!$D$982=0,"",[1]对账明细接口!$D$982),"")</f>
        <v/>
      </c>
      <c r="E982" s="16" t="str">
        <f>IFERROR(IF([1]对账明细接口!$E$982=0,"",[1]对账明细接口!$E$982),"")</f>
        <v/>
      </c>
      <c r="F982" s="16" t="str">
        <f>IFERROR(IF([1]对账明细接口!$F$982=0,"",[1]对账明细接口!$F$982),"")</f>
        <v/>
      </c>
      <c r="G982" s="16" t="str">
        <f>IFERROR(IF([1]对账明细接口!$G$982=0,"",[1]对账明细接口!$G$982),"")</f>
        <v/>
      </c>
      <c r="H982" s="17" t="str">
        <f>IFERROR(IF([1]对账明细接口!$H$982=0,"",[1]对账明细接口!$H$982),"")</f>
        <v/>
      </c>
      <c r="I982" s="16" t="str">
        <f>IFERROR(IF([1]对账明细接口!$I$982=0,"",[1]对账明细接口!$I$982),"")</f>
        <v/>
      </c>
      <c r="J982" s="18" t="str">
        <f>IFERROR(IF([1]对账明细接口!$J$982=0,"",[1]对账明细接口!$J$982),"")</f>
        <v/>
      </c>
      <c r="K982" s="18" t="str">
        <f>IFERROR(IF([1]对账明细接口!$K$982=0,"",[1]对账明细接口!$K$982),"")</f>
        <v/>
      </c>
      <c r="L982" s="16" t="str">
        <f>IFERROR(IF([1]对账明细接口!$L$982=0,"",[1]对账明细接口!$L$982),"")</f>
        <v/>
      </c>
      <c r="M982" s="16" t="str">
        <f>IFERROR(IF([1]对账明细接口!$M$982=0,"",[1]对账明细接口!$M$982),"")</f>
        <v/>
      </c>
      <c r="N982" s="19">
        <f t="shared" si="30"/>
        <v>0</v>
      </c>
      <c r="O982" s="19">
        <f t="shared" si="31"/>
        <v>420</v>
      </c>
      <c r="S982" s="20" t="str">
        <f>IFERROR(IF([1]对账明细接口!$N982=0,"",[1]对账明细接口!$N982),"")</f>
        <v/>
      </c>
      <c r="T982" s="21" t="str">
        <f>IFERROR(IF([1]对账明细接口!$O982=0,"",[1]对账明细接口!$O982),"")</f>
        <v/>
      </c>
      <c r="U982" s="21" t="str">
        <f>IFERROR(IF([1]对账明细接口!$P982=0,"",[1]对账明细接口!$P982),"")</f>
        <v/>
      </c>
      <c r="V982" s="21" t="str">
        <f>IFERROR(IF([1]对账明细接口!$Q982=0,"",[1]对账明细接口!$Q982),"")</f>
        <v/>
      </c>
      <c r="W982" s="20" t="str">
        <f>IFERROR(IF([1]对账明细接口!$R982=0,"",[1]对账明细接口!$R982),"")</f>
        <v/>
      </c>
      <c r="X982" s="20" t="str">
        <f>IFERROR(IF([1]对账明细接口!$S982=0,"",[1]对账明细接口!$S982),"")</f>
        <v/>
      </c>
      <c r="Y982" s="20" t="str">
        <f>IFERROR(IF([1]对账明细接口!$T982=0,"",[1]对账明细接口!$T982),"")</f>
        <v/>
      </c>
      <c r="Z982" s="24" t="str">
        <f>IFERROR(IF([1]对账明细接口!$U982=0,"",[1]对账明细接口!$U982),"")</f>
        <v/>
      </c>
      <c r="AA982" s="24" t="str">
        <f>IFERROR(IF([1]对账明细接口!$V982=0,"",[1]对账明细接口!$V982),"")</f>
        <v/>
      </c>
      <c r="AB982" s="20" t="str">
        <f>IFERROR(IF([1]对账明细接口!$W982=0,"",[1]对账明细接口!$W982),"")</f>
        <v/>
      </c>
      <c r="AC982" s="7" t="str">
        <f>IFERROR(IF([1]对账明细接口!$X982=0,"",[1]对账明细接口!$X982),"")</f>
        <v/>
      </c>
      <c r="AD982" s="7" t="str">
        <f>IFERROR(IF([1]对账明细接口!$Y982=0,"",[1]对账明细接口!$Y982),"")</f>
        <v/>
      </c>
      <c r="AE982" s="7" t="str">
        <f>IFERROR(IF([1]对账明细接口!$AA982=0,"",[1]对账明细接口!$AA982),"")</f>
        <v/>
      </c>
      <c r="AF982" s="7" t="str">
        <f>IFERROR(IF([1]对账明细接口!$AB982=0,"",[1]对账明细接口!$AB982),"")</f>
        <v/>
      </c>
      <c r="AG982" s="7" t="str">
        <f>IFERROR(IF([1]对账明细接口!$AC982=0,"",[1]对账明细接口!$AC982),"")</f>
        <v/>
      </c>
      <c r="AH982" s="7" t="str">
        <f>IFERROR(IF([1]对账明细接口!$AD982=0,"",[1]对账明细接口!$AD982),"")</f>
        <v/>
      </c>
      <c r="AI982" s="7" t="str">
        <f>IFERROR(IF([1]对账明细接口!$AE982=0,"",[1]对账明细接口!$AE982),"")</f>
        <v/>
      </c>
      <c r="AJ982" s="7" t="str">
        <f>IFERROR(IF([1]对账明细接口!$AF982=0,"",[1]对账明细接口!$AF982),"")</f>
        <v/>
      </c>
    </row>
    <row r="983" ht="14.25" customHeight="1" spans="1:36">
      <c r="A983" s="14">
        <v>983</v>
      </c>
      <c r="B983" s="15" t="str">
        <f>IFERROR(IF([1]对账明细接口!$B$983=0,"",[1]对账明细接口!$B$983),"")</f>
        <v/>
      </c>
      <c r="C983" s="16" t="str">
        <f>IFERROR(IF([1]对账明细接口!$C$983=0,"",[1]对账明细接口!$C$983),"")</f>
        <v/>
      </c>
      <c r="D983" s="16" t="str">
        <f>IFERROR(IF([1]对账明细接口!$D$983=0,"",[1]对账明细接口!$D$983),"")</f>
        <v/>
      </c>
      <c r="E983" s="16" t="str">
        <f>IFERROR(IF([1]对账明细接口!$E$983=0,"",[1]对账明细接口!$E$983),"")</f>
        <v/>
      </c>
      <c r="F983" s="16" t="str">
        <f>IFERROR(IF([1]对账明细接口!$F$983=0,"",[1]对账明细接口!$F$983),"")</f>
        <v/>
      </c>
      <c r="G983" s="16" t="str">
        <f>IFERROR(IF([1]对账明细接口!$G$983=0,"",[1]对账明细接口!$G$983),"")</f>
        <v/>
      </c>
      <c r="H983" s="17" t="str">
        <f>IFERROR(IF([1]对账明细接口!$H$983=0,"",[1]对账明细接口!$H$983),"")</f>
        <v/>
      </c>
      <c r="I983" s="16" t="str">
        <f>IFERROR(IF([1]对账明细接口!$I$983=0,"",[1]对账明细接口!$I$983),"")</f>
        <v/>
      </c>
      <c r="J983" s="18" t="str">
        <f>IFERROR(IF([1]对账明细接口!$J$983=0,"",[1]对账明细接口!$J$983),"")</f>
        <v/>
      </c>
      <c r="K983" s="18" t="str">
        <f>IFERROR(IF([1]对账明细接口!$K$983=0,"",[1]对账明细接口!$K$983),"")</f>
        <v/>
      </c>
      <c r="L983" s="16" t="str">
        <f>IFERROR(IF([1]对账明细接口!$L$983=0,"",[1]对账明细接口!$L$983),"")</f>
        <v/>
      </c>
      <c r="M983" s="16" t="str">
        <f>IFERROR(IF([1]对账明细接口!$M$983=0,"",[1]对账明细接口!$M$983),"")</f>
        <v/>
      </c>
      <c r="N983" s="19">
        <f t="shared" si="30"/>
        <v>0</v>
      </c>
      <c r="O983" s="19">
        <f t="shared" si="31"/>
        <v>420</v>
      </c>
      <c r="S983" s="20" t="str">
        <f>IFERROR(IF([1]对账明细接口!$N983=0,"",[1]对账明细接口!$N983),"")</f>
        <v/>
      </c>
      <c r="T983" s="21" t="str">
        <f>IFERROR(IF([1]对账明细接口!$O983=0,"",[1]对账明细接口!$O983),"")</f>
        <v/>
      </c>
      <c r="U983" s="21" t="str">
        <f>IFERROR(IF([1]对账明细接口!$P983=0,"",[1]对账明细接口!$P983),"")</f>
        <v/>
      </c>
      <c r="V983" s="21" t="str">
        <f>IFERROR(IF([1]对账明细接口!$Q983=0,"",[1]对账明细接口!$Q983),"")</f>
        <v/>
      </c>
      <c r="W983" s="20" t="str">
        <f>IFERROR(IF([1]对账明细接口!$R983=0,"",[1]对账明细接口!$R983),"")</f>
        <v/>
      </c>
      <c r="X983" s="20" t="str">
        <f>IFERROR(IF([1]对账明细接口!$S983=0,"",[1]对账明细接口!$S983),"")</f>
        <v/>
      </c>
      <c r="Y983" s="20" t="str">
        <f>IFERROR(IF([1]对账明细接口!$T983=0,"",[1]对账明细接口!$T983),"")</f>
        <v/>
      </c>
      <c r="Z983" s="24" t="str">
        <f>IFERROR(IF([1]对账明细接口!$U983=0,"",[1]对账明细接口!$U983),"")</f>
        <v/>
      </c>
      <c r="AA983" s="24" t="str">
        <f>IFERROR(IF([1]对账明细接口!$V983=0,"",[1]对账明细接口!$V983),"")</f>
        <v/>
      </c>
      <c r="AB983" s="20" t="str">
        <f>IFERROR(IF([1]对账明细接口!$W983=0,"",[1]对账明细接口!$W983),"")</f>
        <v/>
      </c>
      <c r="AC983" s="7" t="str">
        <f>IFERROR(IF([1]对账明细接口!$X983=0,"",[1]对账明细接口!$X983),"")</f>
        <v/>
      </c>
      <c r="AD983" s="7" t="str">
        <f>IFERROR(IF([1]对账明细接口!$Y983=0,"",[1]对账明细接口!$Y983),"")</f>
        <v/>
      </c>
      <c r="AE983" s="7" t="str">
        <f>IFERROR(IF([1]对账明细接口!$AA983=0,"",[1]对账明细接口!$AA983),"")</f>
        <v/>
      </c>
      <c r="AF983" s="7" t="str">
        <f>IFERROR(IF([1]对账明细接口!$AB983=0,"",[1]对账明细接口!$AB983),"")</f>
        <v/>
      </c>
      <c r="AG983" s="7" t="str">
        <f>IFERROR(IF([1]对账明细接口!$AC983=0,"",[1]对账明细接口!$AC983),"")</f>
        <v/>
      </c>
      <c r="AH983" s="7" t="str">
        <f>IFERROR(IF([1]对账明细接口!$AD983=0,"",[1]对账明细接口!$AD983),"")</f>
        <v/>
      </c>
      <c r="AI983" s="7" t="str">
        <f>IFERROR(IF([1]对账明细接口!$AE983=0,"",[1]对账明细接口!$AE983),"")</f>
        <v/>
      </c>
      <c r="AJ983" s="7" t="str">
        <f>IFERROR(IF([1]对账明细接口!$AF983=0,"",[1]对账明细接口!$AF983),"")</f>
        <v/>
      </c>
    </row>
    <row r="984" ht="14.25" customHeight="1" spans="1:36">
      <c r="A984" s="14">
        <v>984</v>
      </c>
      <c r="B984" s="15" t="str">
        <f>IFERROR(IF([1]对账明细接口!$B$984=0,"",[1]对账明细接口!$B$984),"")</f>
        <v/>
      </c>
      <c r="C984" s="16" t="str">
        <f>IFERROR(IF([1]对账明细接口!$C$984=0,"",[1]对账明细接口!$C$984),"")</f>
        <v/>
      </c>
      <c r="D984" s="16" t="str">
        <f>IFERROR(IF([1]对账明细接口!$D$984=0,"",[1]对账明细接口!$D$984),"")</f>
        <v/>
      </c>
      <c r="E984" s="16" t="str">
        <f>IFERROR(IF([1]对账明细接口!$E$984=0,"",[1]对账明细接口!$E$984),"")</f>
        <v/>
      </c>
      <c r="F984" s="16" t="str">
        <f>IFERROR(IF([1]对账明细接口!$F$984=0,"",[1]对账明细接口!$F$984),"")</f>
        <v/>
      </c>
      <c r="G984" s="16" t="str">
        <f>IFERROR(IF([1]对账明细接口!$G$984=0,"",[1]对账明细接口!$G$984),"")</f>
        <v/>
      </c>
      <c r="H984" s="17" t="str">
        <f>IFERROR(IF([1]对账明细接口!$H$984=0,"",[1]对账明细接口!$H$984),"")</f>
        <v/>
      </c>
      <c r="I984" s="16" t="str">
        <f>IFERROR(IF([1]对账明细接口!$I$984=0,"",[1]对账明细接口!$I$984),"")</f>
        <v/>
      </c>
      <c r="J984" s="18" t="str">
        <f>IFERROR(IF([1]对账明细接口!$J$984=0,"",[1]对账明细接口!$J$984),"")</f>
        <v/>
      </c>
      <c r="K984" s="18" t="str">
        <f>IFERROR(IF([1]对账明细接口!$K$984=0,"",[1]对账明细接口!$K$984),"")</f>
        <v/>
      </c>
      <c r="L984" s="16" t="str">
        <f>IFERROR(IF([1]对账明细接口!$L$984=0,"",[1]对账明细接口!$L$984),"")</f>
        <v/>
      </c>
      <c r="M984" s="16" t="str">
        <f>IFERROR(IF([1]对账明细接口!$M$984=0,"",[1]对账明细接口!$M$984),"")</f>
        <v/>
      </c>
      <c r="N984" s="19">
        <f t="shared" si="30"/>
        <v>0</v>
      </c>
      <c r="O984" s="19">
        <f t="shared" si="31"/>
        <v>420</v>
      </c>
      <c r="S984" s="20" t="str">
        <f>IFERROR(IF([1]对账明细接口!$N984=0,"",[1]对账明细接口!$N984),"")</f>
        <v/>
      </c>
      <c r="T984" s="21" t="str">
        <f>IFERROR(IF([1]对账明细接口!$O984=0,"",[1]对账明细接口!$O984),"")</f>
        <v/>
      </c>
      <c r="U984" s="21" t="str">
        <f>IFERROR(IF([1]对账明细接口!$P984=0,"",[1]对账明细接口!$P984),"")</f>
        <v/>
      </c>
      <c r="V984" s="21" t="str">
        <f>IFERROR(IF([1]对账明细接口!$Q984=0,"",[1]对账明细接口!$Q984),"")</f>
        <v/>
      </c>
      <c r="W984" s="20" t="str">
        <f>IFERROR(IF([1]对账明细接口!$R984=0,"",[1]对账明细接口!$R984),"")</f>
        <v/>
      </c>
      <c r="X984" s="20" t="str">
        <f>IFERROR(IF([1]对账明细接口!$S984=0,"",[1]对账明细接口!$S984),"")</f>
        <v/>
      </c>
      <c r="Y984" s="20" t="str">
        <f>IFERROR(IF([1]对账明细接口!$T984=0,"",[1]对账明细接口!$T984),"")</f>
        <v/>
      </c>
      <c r="Z984" s="24" t="str">
        <f>IFERROR(IF([1]对账明细接口!$U984=0,"",[1]对账明细接口!$U984),"")</f>
        <v/>
      </c>
      <c r="AA984" s="24" t="str">
        <f>IFERROR(IF([1]对账明细接口!$V984=0,"",[1]对账明细接口!$V984),"")</f>
        <v/>
      </c>
      <c r="AB984" s="20" t="str">
        <f>IFERROR(IF([1]对账明细接口!$W984=0,"",[1]对账明细接口!$W984),"")</f>
        <v/>
      </c>
      <c r="AC984" s="7" t="str">
        <f>IFERROR(IF([1]对账明细接口!$X984=0,"",[1]对账明细接口!$X984),"")</f>
        <v/>
      </c>
      <c r="AD984" s="7" t="str">
        <f>IFERROR(IF([1]对账明细接口!$Y984=0,"",[1]对账明细接口!$Y984),"")</f>
        <v/>
      </c>
      <c r="AE984" s="7" t="str">
        <f>IFERROR(IF([1]对账明细接口!$AA984=0,"",[1]对账明细接口!$AA984),"")</f>
        <v/>
      </c>
      <c r="AF984" s="7" t="str">
        <f>IFERROR(IF([1]对账明细接口!$AB984=0,"",[1]对账明细接口!$AB984),"")</f>
        <v/>
      </c>
      <c r="AG984" s="7" t="str">
        <f>IFERROR(IF([1]对账明细接口!$AC984=0,"",[1]对账明细接口!$AC984),"")</f>
        <v/>
      </c>
      <c r="AH984" s="7" t="str">
        <f>IFERROR(IF([1]对账明细接口!$AD984=0,"",[1]对账明细接口!$AD984),"")</f>
        <v/>
      </c>
      <c r="AI984" s="7" t="str">
        <f>IFERROR(IF([1]对账明细接口!$AE984=0,"",[1]对账明细接口!$AE984),"")</f>
        <v/>
      </c>
      <c r="AJ984" s="7" t="str">
        <f>IFERROR(IF([1]对账明细接口!$AF984=0,"",[1]对账明细接口!$AF984),"")</f>
        <v/>
      </c>
    </row>
    <row r="985" ht="14.25" customHeight="1" spans="1:36">
      <c r="A985" s="14">
        <v>985</v>
      </c>
      <c r="B985" s="15" t="str">
        <f>IFERROR(IF([1]对账明细接口!$B$985=0,"",[1]对账明细接口!$B$985),"")</f>
        <v/>
      </c>
      <c r="C985" s="16" t="str">
        <f>IFERROR(IF([1]对账明细接口!$C$985=0,"",[1]对账明细接口!$C$985),"")</f>
        <v/>
      </c>
      <c r="D985" s="16" t="str">
        <f>IFERROR(IF([1]对账明细接口!$D$985=0,"",[1]对账明细接口!$D$985),"")</f>
        <v/>
      </c>
      <c r="E985" s="16" t="str">
        <f>IFERROR(IF([1]对账明细接口!$E$985=0,"",[1]对账明细接口!$E$985),"")</f>
        <v/>
      </c>
      <c r="F985" s="16" t="str">
        <f>IFERROR(IF([1]对账明细接口!$F$985=0,"",[1]对账明细接口!$F$985),"")</f>
        <v/>
      </c>
      <c r="G985" s="16" t="str">
        <f>IFERROR(IF([1]对账明细接口!$G$985=0,"",[1]对账明细接口!$G$985),"")</f>
        <v/>
      </c>
      <c r="H985" s="17" t="str">
        <f>IFERROR(IF([1]对账明细接口!$H$985=0,"",[1]对账明细接口!$H$985),"")</f>
        <v/>
      </c>
      <c r="I985" s="16" t="str">
        <f>IFERROR(IF([1]对账明细接口!$I$985=0,"",[1]对账明细接口!$I$985),"")</f>
        <v/>
      </c>
      <c r="J985" s="18" t="str">
        <f>IFERROR(IF([1]对账明细接口!$J$985=0,"",[1]对账明细接口!$J$985),"")</f>
        <v/>
      </c>
      <c r="K985" s="18" t="str">
        <f>IFERROR(IF([1]对账明细接口!$K$985=0,"",[1]对账明细接口!$K$985),"")</f>
        <v/>
      </c>
      <c r="L985" s="16" t="str">
        <f>IFERROR(IF([1]对账明细接口!$L$985=0,"",[1]对账明细接口!$L$985),"")</f>
        <v/>
      </c>
      <c r="M985" s="16" t="str">
        <f>IFERROR(IF([1]对账明细接口!$M$985=0,"",[1]对账明细接口!$M$985),"")</f>
        <v/>
      </c>
      <c r="N985" s="19">
        <f t="shared" si="30"/>
        <v>0</v>
      </c>
      <c r="O985" s="19">
        <f t="shared" si="31"/>
        <v>420</v>
      </c>
      <c r="S985" s="20" t="str">
        <f>IFERROR(IF([1]对账明细接口!$N985=0,"",[1]对账明细接口!$N985),"")</f>
        <v/>
      </c>
      <c r="T985" s="21" t="str">
        <f>IFERROR(IF([1]对账明细接口!$O985=0,"",[1]对账明细接口!$O985),"")</f>
        <v/>
      </c>
      <c r="U985" s="21" t="str">
        <f>IFERROR(IF([1]对账明细接口!$P985=0,"",[1]对账明细接口!$P985),"")</f>
        <v/>
      </c>
      <c r="V985" s="21" t="str">
        <f>IFERROR(IF([1]对账明细接口!$Q985=0,"",[1]对账明细接口!$Q985),"")</f>
        <v/>
      </c>
      <c r="W985" s="20" t="str">
        <f>IFERROR(IF([1]对账明细接口!$R985=0,"",[1]对账明细接口!$R985),"")</f>
        <v/>
      </c>
      <c r="X985" s="20" t="str">
        <f>IFERROR(IF([1]对账明细接口!$S985=0,"",[1]对账明细接口!$S985),"")</f>
        <v/>
      </c>
      <c r="Y985" s="20" t="str">
        <f>IFERROR(IF([1]对账明细接口!$T985=0,"",[1]对账明细接口!$T985),"")</f>
        <v/>
      </c>
      <c r="Z985" s="24" t="str">
        <f>IFERROR(IF([1]对账明细接口!$U985=0,"",[1]对账明细接口!$U985),"")</f>
        <v/>
      </c>
      <c r="AA985" s="24" t="str">
        <f>IFERROR(IF([1]对账明细接口!$V985=0,"",[1]对账明细接口!$V985),"")</f>
        <v/>
      </c>
      <c r="AB985" s="20" t="str">
        <f>IFERROR(IF([1]对账明细接口!$W985=0,"",[1]对账明细接口!$W985),"")</f>
        <v/>
      </c>
      <c r="AC985" s="7" t="str">
        <f>IFERROR(IF([1]对账明细接口!$X985=0,"",[1]对账明细接口!$X985),"")</f>
        <v/>
      </c>
      <c r="AD985" s="7" t="str">
        <f>IFERROR(IF([1]对账明细接口!$Y985=0,"",[1]对账明细接口!$Y985),"")</f>
        <v/>
      </c>
      <c r="AE985" s="7" t="str">
        <f>IFERROR(IF([1]对账明细接口!$AA985=0,"",[1]对账明细接口!$AA985),"")</f>
        <v/>
      </c>
      <c r="AF985" s="7" t="str">
        <f>IFERROR(IF([1]对账明细接口!$AB985=0,"",[1]对账明细接口!$AB985),"")</f>
        <v/>
      </c>
      <c r="AG985" s="7" t="str">
        <f>IFERROR(IF([1]对账明细接口!$AC985=0,"",[1]对账明细接口!$AC985),"")</f>
        <v/>
      </c>
      <c r="AH985" s="7" t="str">
        <f>IFERROR(IF([1]对账明细接口!$AD985=0,"",[1]对账明细接口!$AD985),"")</f>
        <v/>
      </c>
      <c r="AI985" s="7" t="str">
        <f>IFERROR(IF([1]对账明细接口!$AE985=0,"",[1]对账明细接口!$AE985),"")</f>
        <v/>
      </c>
      <c r="AJ985" s="7" t="str">
        <f>IFERROR(IF([1]对账明细接口!$AF985=0,"",[1]对账明细接口!$AF985),"")</f>
        <v/>
      </c>
    </row>
    <row r="986" ht="14.25" customHeight="1" spans="1:36">
      <c r="A986" s="14">
        <v>986</v>
      </c>
      <c r="B986" s="15" t="str">
        <f>IFERROR(IF([1]对账明细接口!$B$986=0,"",[1]对账明细接口!$B$986),"")</f>
        <v/>
      </c>
      <c r="C986" s="16" t="str">
        <f>IFERROR(IF([1]对账明细接口!$C$986=0,"",[1]对账明细接口!$C$986),"")</f>
        <v/>
      </c>
      <c r="D986" s="16" t="str">
        <f>IFERROR(IF([1]对账明细接口!$D$986=0,"",[1]对账明细接口!$D$986),"")</f>
        <v/>
      </c>
      <c r="E986" s="16" t="str">
        <f>IFERROR(IF([1]对账明细接口!$E$986=0,"",[1]对账明细接口!$E$986),"")</f>
        <v/>
      </c>
      <c r="F986" s="16" t="str">
        <f>IFERROR(IF([1]对账明细接口!$F$986=0,"",[1]对账明细接口!$F$986),"")</f>
        <v/>
      </c>
      <c r="G986" s="16" t="str">
        <f>IFERROR(IF([1]对账明细接口!$G$986=0,"",[1]对账明细接口!$G$986),"")</f>
        <v/>
      </c>
      <c r="H986" s="17" t="str">
        <f>IFERROR(IF([1]对账明细接口!$H$986=0,"",[1]对账明细接口!$H$986),"")</f>
        <v/>
      </c>
      <c r="I986" s="16" t="str">
        <f>IFERROR(IF([1]对账明细接口!$I$986=0,"",[1]对账明细接口!$I$986),"")</f>
        <v/>
      </c>
      <c r="J986" s="18" t="str">
        <f>IFERROR(IF([1]对账明细接口!$J$986=0,"",[1]对账明细接口!$J$986),"")</f>
        <v/>
      </c>
      <c r="K986" s="18" t="str">
        <f>IFERROR(IF([1]对账明细接口!$K$986=0,"",[1]对账明细接口!$K$986),"")</f>
        <v/>
      </c>
      <c r="L986" s="16" t="str">
        <f>IFERROR(IF([1]对账明细接口!$L$986=0,"",[1]对账明细接口!$L$986),"")</f>
        <v/>
      </c>
      <c r="M986" s="16" t="str">
        <f>IFERROR(IF([1]对账明细接口!$M$986=0,"",[1]对账明细接口!$M$986),"")</f>
        <v/>
      </c>
      <c r="N986" s="19">
        <f t="shared" si="30"/>
        <v>0</v>
      </c>
      <c r="O986" s="19">
        <f t="shared" si="31"/>
        <v>420</v>
      </c>
      <c r="S986" s="20" t="str">
        <f>IFERROR(IF([1]对账明细接口!$N986=0,"",[1]对账明细接口!$N986),"")</f>
        <v/>
      </c>
      <c r="T986" s="21" t="str">
        <f>IFERROR(IF([1]对账明细接口!$O986=0,"",[1]对账明细接口!$O986),"")</f>
        <v/>
      </c>
      <c r="U986" s="21" t="str">
        <f>IFERROR(IF([1]对账明细接口!$P986=0,"",[1]对账明细接口!$P986),"")</f>
        <v/>
      </c>
      <c r="V986" s="21" t="str">
        <f>IFERROR(IF([1]对账明细接口!$Q986=0,"",[1]对账明细接口!$Q986),"")</f>
        <v/>
      </c>
      <c r="W986" s="20" t="str">
        <f>IFERROR(IF([1]对账明细接口!$R986=0,"",[1]对账明细接口!$R986),"")</f>
        <v/>
      </c>
      <c r="X986" s="20" t="str">
        <f>IFERROR(IF([1]对账明细接口!$S986=0,"",[1]对账明细接口!$S986),"")</f>
        <v/>
      </c>
      <c r="Y986" s="20" t="str">
        <f>IFERROR(IF([1]对账明细接口!$T986=0,"",[1]对账明细接口!$T986),"")</f>
        <v/>
      </c>
      <c r="Z986" s="24" t="str">
        <f>IFERROR(IF([1]对账明细接口!$U986=0,"",[1]对账明细接口!$U986),"")</f>
        <v/>
      </c>
      <c r="AA986" s="24" t="str">
        <f>IFERROR(IF([1]对账明细接口!$V986=0,"",[1]对账明细接口!$V986),"")</f>
        <v/>
      </c>
      <c r="AB986" s="20" t="str">
        <f>IFERROR(IF([1]对账明细接口!$W986=0,"",[1]对账明细接口!$W986),"")</f>
        <v/>
      </c>
      <c r="AC986" s="7" t="str">
        <f>IFERROR(IF([1]对账明细接口!$X986=0,"",[1]对账明细接口!$X986),"")</f>
        <v/>
      </c>
      <c r="AD986" s="7" t="str">
        <f>IFERROR(IF([1]对账明细接口!$Y986=0,"",[1]对账明细接口!$Y986),"")</f>
        <v/>
      </c>
      <c r="AE986" s="7" t="str">
        <f>IFERROR(IF([1]对账明细接口!$AA986=0,"",[1]对账明细接口!$AA986),"")</f>
        <v/>
      </c>
      <c r="AF986" s="7" t="str">
        <f>IFERROR(IF([1]对账明细接口!$AB986=0,"",[1]对账明细接口!$AB986),"")</f>
        <v/>
      </c>
      <c r="AG986" s="7" t="str">
        <f>IFERROR(IF([1]对账明细接口!$AC986=0,"",[1]对账明细接口!$AC986),"")</f>
        <v/>
      </c>
      <c r="AH986" s="7" t="str">
        <f>IFERROR(IF([1]对账明细接口!$AD986=0,"",[1]对账明细接口!$AD986),"")</f>
        <v/>
      </c>
      <c r="AI986" s="7" t="str">
        <f>IFERROR(IF([1]对账明细接口!$AE986=0,"",[1]对账明细接口!$AE986),"")</f>
        <v/>
      </c>
      <c r="AJ986" s="7" t="str">
        <f>IFERROR(IF([1]对账明细接口!$AF986=0,"",[1]对账明细接口!$AF986),"")</f>
        <v/>
      </c>
    </row>
    <row r="987" ht="14.25" customHeight="1" spans="1:36">
      <c r="A987" s="14">
        <v>987</v>
      </c>
      <c r="B987" s="15" t="str">
        <f>IFERROR(IF([1]对账明细接口!$B$987=0,"",[1]对账明细接口!$B$987),"")</f>
        <v/>
      </c>
      <c r="C987" s="16" t="str">
        <f>IFERROR(IF([1]对账明细接口!$C$987=0,"",[1]对账明细接口!$C$987),"")</f>
        <v/>
      </c>
      <c r="D987" s="16" t="str">
        <f>IFERROR(IF([1]对账明细接口!$D$987=0,"",[1]对账明细接口!$D$987),"")</f>
        <v/>
      </c>
      <c r="E987" s="16" t="str">
        <f>IFERROR(IF([1]对账明细接口!$E$987=0,"",[1]对账明细接口!$E$987),"")</f>
        <v/>
      </c>
      <c r="F987" s="16" t="str">
        <f>IFERROR(IF([1]对账明细接口!$F$987=0,"",[1]对账明细接口!$F$987),"")</f>
        <v/>
      </c>
      <c r="G987" s="16" t="str">
        <f>IFERROR(IF([1]对账明细接口!$G$987=0,"",[1]对账明细接口!$G$987),"")</f>
        <v/>
      </c>
      <c r="H987" s="17" t="str">
        <f>IFERROR(IF([1]对账明细接口!$H$987=0,"",[1]对账明细接口!$H$987),"")</f>
        <v/>
      </c>
      <c r="I987" s="16" t="str">
        <f>IFERROR(IF([1]对账明细接口!$I$987=0,"",[1]对账明细接口!$I$987),"")</f>
        <v/>
      </c>
      <c r="J987" s="18" t="str">
        <f>IFERROR(IF([1]对账明细接口!$J$987=0,"",[1]对账明细接口!$J$987),"")</f>
        <v/>
      </c>
      <c r="K987" s="18" t="str">
        <f>IFERROR(IF([1]对账明细接口!$K$987=0,"",[1]对账明细接口!$K$987),"")</f>
        <v/>
      </c>
      <c r="L987" s="16" t="str">
        <f>IFERROR(IF([1]对账明细接口!$L$987=0,"",[1]对账明细接口!$L$987),"")</f>
        <v/>
      </c>
      <c r="M987" s="16" t="str">
        <f>IFERROR(IF([1]对账明细接口!$M$987=0,"",[1]对账明细接口!$M$987),"")</f>
        <v/>
      </c>
      <c r="N987" s="19">
        <f t="shared" si="30"/>
        <v>0</v>
      </c>
      <c r="O987" s="19">
        <f t="shared" si="31"/>
        <v>420</v>
      </c>
      <c r="S987" s="20" t="str">
        <f>IFERROR(IF([1]对账明细接口!$N987=0,"",[1]对账明细接口!$N987),"")</f>
        <v/>
      </c>
      <c r="T987" s="21" t="str">
        <f>IFERROR(IF([1]对账明细接口!$O987=0,"",[1]对账明细接口!$O987),"")</f>
        <v/>
      </c>
      <c r="U987" s="21" t="str">
        <f>IFERROR(IF([1]对账明细接口!$P987=0,"",[1]对账明细接口!$P987),"")</f>
        <v/>
      </c>
      <c r="V987" s="21" t="str">
        <f>IFERROR(IF([1]对账明细接口!$Q987=0,"",[1]对账明细接口!$Q987),"")</f>
        <v/>
      </c>
      <c r="W987" s="20" t="str">
        <f>IFERROR(IF([1]对账明细接口!$R987=0,"",[1]对账明细接口!$R987),"")</f>
        <v/>
      </c>
      <c r="X987" s="20" t="str">
        <f>IFERROR(IF([1]对账明细接口!$S987=0,"",[1]对账明细接口!$S987),"")</f>
        <v/>
      </c>
      <c r="Y987" s="20" t="str">
        <f>IFERROR(IF([1]对账明细接口!$T987=0,"",[1]对账明细接口!$T987),"")</f>
        <v/>
      </c>
      <c r="Z987" s="24" t="str">
        <f>IFERROR(IF([1]对账明细接口!$U987=0,"",[1]对账明细接口!$U987),"")</f>
        <v/>
      </c>
      <c r="AA987" s="24" t="str">
        <f>IFERROR(IF([1]对账明细接口!$V987=0,"",[1]对账明细接口!$V987),"")</f>
        <v/>
      </c>
      <c r="AB987" s="20" t="str">
        <f>IFERROR(IF([1]对账明细接口!$W987=0,"",[1]对账明细接口!$W987),"")</f>
        <v/>
      </c>
      <c r="AC987" s="7" t="str">
        <f>IFERROR(IF([1]对账明细接口!$X987=0,"",[1]对账明细接口!$X987),"")</f>
        <v/>
      </c>
      <c r="AD987" s="7" t="str">
        <f>IFERROR(IF([1]对账明细接口!$Y987=0,"",[1]对账明细接口!$Y987),"")</f>
        <v/>
      </c>
      <c r="AE987" s="7" t="str">
        <f>IFERROR(IF([1]对账明细接口!$AA987=0,"",[1]对账明细接口!$AA987),"")</f>
        <v/>
      </c>
      <c r="AF987" s="7" t="str">
        <f>IFERROR(IF([1]对账明细接口!$AB987=0,"",[1]对账明细接口!$AB987),"")</f>
        <v/>
      </c>
      <c r="AG987" s="7" t="str">
        <f>IFERROR(IF([1]对账明细接口!$AC987=0,"",[1]对账明细接口!$AC987),"")</f>
        <v/>
      </c>
      <c r="AH987" s="7" t="str">
        <f>IFERROR(IF([1]对账明细接口!$AD987=0,"",[1]对账明细接口!$AD987),"")</f>
        <v/>
      </c>
      <c r="AI987" s="7" t="str">
        <f>IFERROR(IF([1]对账明细接口!$AE987=0,"",[1]对账明细接口!$AE987),"")</f>
        <v/>
      </c>
      <c r="AJ987" s="7" t="str">
        <f>IFERROR(IF([1]对账明细接口!$AF987=0,"",[1]对账明细接口!$AF987),"")</f>
        <v/>
      </c>
    </row>
    <row r="988" ht="14.25" customHeight="1" spans="1:36">
      <c r="A988" s="14">
        <v>988</v>
      </c>
      <c r="B988" s="15" t="str">
        <f>IFERROR(IF([1]对账明细接口!$B$988=0,"",[1]对账明细接口!$B$988),"")</f>
        <v/>
      </c>
      <c r="C988" s="16" t="str">
        <f>IFERROR(IF([1]对账明细接口!$C$988=0,"",[1]对账明细接口!$C$988),"")</f>
        <v/>
      </c>
      <c r="D988" s="16" t="str">
        <f>IFERROR(IF([1]对账明细接口!$D$988=0,"",[1]对账明细接口!$D$988),"")</f>
        <v/>
      </c>
      <c r="E988" s="16" t="str">
        <f>IFERROR(IF([1]对账明细接口!$E$988=0,"",[1]对账明细接口!$E$988),"")</f>
        <v/>
      </c>
      <c r="F988" s="16" t="str">
        <f>IFERROR(IF([1]对账明细接口!$F$988=0,"",[1]对账明细接口!$F$988),"")</f>
        <v/>
      </c>
      <c r="G988" s="16" t="str">
        <f>IFERROR(IF([1]对账明细接口!$G$988=0,"",[1]对账明细接口!$G$988),"")</f>
        <v/>
      </c>
      <c r="H988" s="17" t="str">
        <f>IFERROR(IF([1]对账明细接口!$H$988=0,"",[1]对账明细接口!$H$988),"")</f>
        <v/>
      </c>
      <c r="I988" s="16" t="str">
        <f>IFERROR(IF([1]对账明细接口!$I$988=0,"",[1]对账明细接口!$I$988),"")</f>
        <v/>
      </c>
      <c r="J988" s="18" t="str">
        <f>IFERROR(IF([1]对账明细接口!$J$988=0,"",[1]对账明细接口!$J$988),"")</f>
        <v/>
      </c>
      <c r="K988" s="18" t="str">
        <f>IFERROR(IF([1]对账明细接口!$K$988=0,"",[1]对账明细接口!$K$988),"")</f>
        <v/>
      </c>
      <c r="L988" s="16" t="str">
        <f>IFERROR(IF([1]对账明细接口!$L$988=0,"",[1]对账明细接口!$L$988),"")</f>
        <v/>
      </c>
      <c r="M988" s="16" t="str">
        <f>IFERROR(IF([1]对账明细接口!$M$988=0,"",[1]对账明细接口!$M$988),"")</f>
        <v/>
      </c>
      <c r="N988" s="19">
        <f t="shared" si="30"/>
        <v>0</v>
      </c>
      <c r="O988" s="19">
        <f t="shared" si="31"/>
        <v>420</v>
      </c>
      <c r="S988" s="20" t="str">
        <f>IFERROR(IF([1]对账明细接口!$N988=0,"",[1]对账明细接口!$N988),"")</f>
        <v/>
      </c>
      <c r="T988" s="21" t="str">
        <f>IFERROR(IF([1]对账明细接口!$O988=0,"",[1]对账明细接口!$O988),"")</f>
        <v/>
      </c>
      <c r="U988" s="21" t="str">
        <f>IFERROR(IF([1]对账明细接口!$P988=0,"",[1]对账明细接口!$P988),"")</f>
        <v/>
      </c>
      <c r="V988" s="21" t="str">
        <f>IFERROR(IF([1]对账明细接口!$Q988=0,"",[1]对账明细接口!$Q988),"")</f>
        <v/>
      </c>
      <c r="W988" s="20" t="str">
        <f>IFERROR(IF([1]对账明细接口!$R988=0,"",[1]对账明细接口!$R988),"")</f>
        <v/>
      </c>
      <c r="X988" s="20" t="str">
        <f>IFERROR(IF([1]对账明细接口!$S988=0,"",[1]对账明细接口!$S988),"")</f>
        <v/>
      </c>
      <c r="Y988" s="20" t="str">
        <f>IFERROR(IF([1]对账明细接口!$T988=0,"",[1]对账明细接口!$T988),"")</f>
        <v/>
      </c>
      <c r="Z988" s="24" t="str">
        <f>IFERROR(IF([1]对账明细接口!$U988=0,"",[1]对账明细接口!$U988),"")</f>
        <v/>
      </c>
      <c r="AA988" s="24" t="str">
        <f>IFERROR(IF([1]对账明细接口!$V988=0,"",[1]对账明细接口!$V988),"")</f>
        <v/>
      </c>
      <c r="AB988" s="20" t="str">
        <f>IFERROR(IF([1]对账明细接口!$W988=0,"",[1]对账明细接口!$W988),"")</f>
        <v/>
      </c>
      <c r="AC988" s="7" t="str">
        <f>IFERROR(IF([1]对账明细接口!$X988=0,"",[1]对账明细接口!$X988),"")</f>
        <v/>
      </c>
      <c r="AD988" s="7" t="str">
        <f>IFERROR(IF([1]对账明细接口!$Y988=0,"",[1]对账明细接口!$Y988),"")</f>
        <v/>
      </c>
      <c r="AE988" s="7" t="str">
        <f>IFERROR(IF([1]对账明细接口!$AA988=0,"",[1]对账明细接口!$AA988),"")</f>
        <v/>
      </c>
      <c r="AF988" s="7" t="str">
        <f>IFERROR(IF([1]对账明细接口!$AB988=0,"",[1]对账明细接口!$AB988),"")</f>
        <v/>
      </c>
      <c r="AG988" s="7" t="str">
        <f>IFERROR(IF([1]对账明细接口!$AC988=0,"",[1]对账明细接口!$AC988),"")</f>
        <v/>
      </c>
      <c r="AH988" s="7" t="str">
        <f>IFERROR(IF([1]对账明细接口!$AD988=0,"",[1]对账明细接口!$AD988),"")</f>
        <v/>
      </c>
      <c r="AI988" s="7" t="str">
        <f>IFERROR(IF([1]对账明细接口!$AE988=0,"",[1]对账明细接口!$AE988),"")</f>
        <v/>
      </c>
      <c r="AJ988" s="7" t="str">
        <f>IFERROR(IF([1]对账明细接口!$AF988=0,"",[1]对账明细接口!$AF988),"")</f>
        <v/>
      </c>
    </row>
    <row r="989" ht="14.25" customHeight="1" spans="1:36">
      <c r="A989" s="14">
        <v>989</v>
      </c>
      <c r="B989" s="15" t="str">
        <f>IFERROR(IF([1]对账明细接口!$B$989=0,"",[1]对账明细接口!$B$989),"")</f>
        <v/>
      </c>
      <c r="C989" s="16" t="str">
        <f>IFERROR(IF([1]对账明细接口!$C$989=0,"",[1]对账明细接口!$C$989),"")</f>
        <v/>
      </c>
      <c r="D989" s="16" t="str">
        <f>IFERROR(IF([1]对账明细接口!$D$989=0,"",[1]对账明细接口!$D$989),"")</f>
        <v/>
      </c>
      <c r="E989" s="16" t="str">
        <f>IFERROR(IF([1]对账明细接口!$E$989=0,"",[1]对账明细接口!$E$989),"")</f>
        <v/>
      </c>
      <c r="F989" s="16" t="str">
        <f>IFERROR(IF([1]对账明细接口!$F$989=0,"",[1]对账明细接口!$F$989),"")</f>
        <v/>
      </c>
      <c r="G989" s="16" t="str">
        <f>IFERROR(IF([1]对账明细接口!$G$989=0,"",[1]对账明细接口!$G$989),"")</f>
        <v/>
      </c>
      <c r="H989" s="17" t="str">
        <f>IFERROR(IF([1]对账明细接口!$H$989=0,"",[1]对账明细接口!$H$989),"")</f>
        <v/>
      </c>
      <c r="I989" s="16" t="str">
        <f>IFERROR(IF([1]对账明细接口!$I$989=0,"",[1]对账明细接口!$I$989),"")</f>
        <v/>
      </c>
      <c r="J989" s="18" t="str">
        <f>IFERROR(IF([1]对账明细接口!$J$989=0,"",[1]对账明细接口!$J$989),"")</f>
        <v/>
      </c>
      <c r="K989" s="18" t="str">
        <f>IFERROR(IF([1]对账明细接口!$K$989=0,"",[1]对账明细接口!$K$989),"")</f>
        <v/>
      </c>
      <c r="L989" s="16" t="str">
        <f>IFERROR(IF([1]对账明细接口!$L$989=0,"",[1]对账明细接口!$L$989),"")</f>
        <v/>
      </c>
      <c r="M989" s="16" t="str">
        <f>IFERROR(IF([1]对账明细接口!$M$989=0,"",[1]对账明细接口!$M$989),"")</f>
        <v/>
      </c>
      <c r="N989" s="19">
        <f t="shared" si="30"/>
        <v>0</v>
      </c>
      <c r="O989" s="19">
        <f t="shared" si="31"/>
        <v>420</v>
      </c>
      <c r="S989" s="20" t="str">
        <f>IFERROR(IF([1]对账明细接口!$N989=0,"",[1]对账明细接口!$N989),"")</f>
        <v/>
      </c>
      <c r="T989" s="21" t="str">
        <f>IFERROR(IF([1]对账明细接口!$O989=0,"",[1]对账明细接口!$O989),"")</f>
        <v/>
      </c>
      <c r="U989" s="21" t="str">
        <f>IFERROR(IF([1]对账明细接口!$P989=0,"",[1]对账明细接口!$P989),"")</f>
        <v/>
      </c>
      <c r="V989" s="21" t="str">
        <f>IFERROR(IF([1]对账明细接口!$Q989=0,"",[1]对账明细接口!$Q989),"")</f>
        <v/>
      </c>
      <c r="W989" s="20" t="str">
        <f>IFERROR(IF([1]对账明细接口!$R989=0,"",[1]对账明细接口!$R989),"")</f>
        <v/>
      </c>
      <c r="X989" s="20" t="str">
        <f>IFERROR(IF([1]对账明细接口!$S989=0,"",[1]对账明细接口!$S989),"")</f>
        <v/>
      </c>
      <c r="Y989" s="20" t="str">
        <f>IFERROR(IF([1]对账明细接口!$T989=0,"",[1]对账明细接口!$T989),"")</f>
        <v/>
      </c>
      <c r="Z989" s="24" t="str">
        <f>IFERROR(IF([1]对账明细接口!$U989=0,"",[1]对账明细接口!$U989),"")</f>
        <v/>
      </c>
      <c r="AA989" s="24" t="str">
        <f>IFERROR(IF([1]对账明细接口!$V989=0,"",[1]对账明细接口!$V989),"")</f>
        <v/>
      </c>
      <c r="AB989" s="20" t="str">
        <f>IFERROR(IF([1]对账明细接口!$W989=0,"",[1]对账明细接口!$W989),"")</f>
        <v/>
      </c>
      <c r="AC989" s="7" t="str">
        <f>IFERROR(IF([1]对账明细接口!$X989=0,"",[1]对账明细接口!$X989),"")</f>
        <v/>
      </c>
      <c r="AD989" s="7" t="str">
        <f>IFERROR(IF([1]对账明细接口!$Y989=0,"",[1]对账明细接口!$Y989),"")</f>
        <v/>
      </c>
      <c r="AE989" s="7" t="str">
        <f>IFERROR(IF([1]对账明细接口!$AA989=0,"",[1]对账明细接口!$AA989),"")</f>
        <v/>
      </c>
      <c r="AF989" s="7" t="str">
        <f>IFERROR(IF([1]对账明细接口!$AB989=0,"",[1]对账明细接口!$AB989),"")</f>
        <v/>
      </c>
      <c r="AG989" s="7" t="str">
        <f>IFERROR(IF([1]对账明细接口!$AC989=0,"",[1]对账明细接口!$AC989),"")</f>
        <v/>
      </c>
      <c r="AH989" s="7" t="str">
        <f>IFERROR(IF([1]对账明细接口!$AD989=0,"",[1]对账明细接口!$AD989),"")</f>
        <v/>
      </c>
      <c r="AI989" s="7" t="str">
        <f>IFERROR(IF([1]对账明细接口!$AE989=0,"",[1]对账明细接口!$AE989),"")</f>
        <v/>
      </c>
      <c r="AJ989" s="7" t="str">
        <f>IFERROR(IF([1]对账明细接口!$AF989=0,"",[1]对账明细接口!$AF989),"")</f>
        <v/>
      </c>
    </row>
    <row r="990" ht="14.25" customHeight="1" spans="1:36">
      <c r="A990" s="14">
        <v>990</v>
      </c>
      <c r="B990" s="15" t="str">
        <f>IFERROR(IF([1]对账明细接口!$B$990=0,"",[1]对账明细接口!$B$990),"")</f>
        <v/>
      </c>
      <c r="C990" s="16" t="str">
        <f>IFERROR(IF([1]对账明细接口!$C$990=0,"",[1]对账明细接口!$C$990),"")</f>
        <v/>
      </c>
      <c r="D990" s="16" t="str">
        <f>IFERROR(IF([1]对账明细接口!$D$990=0,"",[1]对账明细接口!$D$990),"")</f>
        <v/>
      </c>
      <c r="E990" s="16" t="str">
        <f>IFERROR(IF([1]对账明细接口!$E$990=0,"",[1]对账明细接口!$E$990),"")</f>
        <v/>
      </c>
      <c r="F990" s="16" t="str">
        <f>IFERROR(IF([1]对账明细接口!$F$990=0,"",[1]对账明细接口!$F$990),"")</f>
        <v/>
      </c>
      <c r="G990" s="16" t="str">
        <f>IFERROR(IF([1]对账明细接口!$G$990=0,"",[1]对账明细接口!$G$990),"")</f>
        <v/>
      </c>
      <c r="H990" s="17" t="str">
        <f>IFERROR(IF([1]对账明细接口!$H$990=0,"",[1]对账明细接口!$H$990),"")</f>
        <v/>
      </c>
      <c r="I990" s="16" t="str">
        <f>IFERROR(IF([1]对账明细接口!$I$990=0,"",[1]对账明细接口!$I$990),"")</f>
        <v/>
      </c>
      <c r="J990" s="18" t="str">
        <f>IFERROR(IF([1]对账明细接口!$J$990=0,"",[1]对账明细接口!$J$990),"")</f>
        <v/>
      </c>
      <c r="K990" s="18" t="str">
        <f>IFERROR(IF([1]对账明细接口!$K$990=0,"",[1]对账明细接口!$K$990),"")</f>
        <v/>
      </c>
      <c r="L990" s="16" t="str">
        <f>IFERROR(IF([1]对账明细接口!$L$990=0,"",[1]对账明细接口!$L$990),"")</f>
        <v/>
      </c>
      <c r="M990" s="16" t="str">
        <f>IFERROR(IF([1]对账明细接口!$M$990=0,"",[1]对账明细接口!$M$990),"")</f>
        <v/>
      </c>
      <c r="N990" s="19">
        <f t="shared" si="30"/>
        <v>0</v>
      </c>
      <c r="O990" s="19">
        <f t="shared" si="31"/>
        <v>420</v>
      </c>
      <c r="S990" s="20" t="str">
        <f>IFERROR(IF([1]对账明细接口!$N990=0,"",[1]对账明细接口!$N990),"")</f>
        <v/>
      </c>
      <c r="T990" s="21" t="str">
        <f>IFERROR(IF([1]对账明细接口!$O990=0,"",[1]对账明细接口!$O990),"")</f>
        <v/>
      </c>
      <c r="U990" s="21" t="str">
        <f>IFERROR(IF([1]对账明细接口!$P990=0,"",[1]对账明细接口!$P990),"")</f>
        <v/>
      </c>
      <c r="V990" s="21" t="str">
        <f>IFERROR(IF([1]对账明细接口!$Q990=0,"",[1]对账明细接口!$Q990),"")</f>
        <v/>
      </c>
      <c r="W990" s="20" t="str">
        <f>IFERROR(IF([1]对账明细接口!$R990=0,"",[1]对账明细接口!$R990),"")</f>
        <v/>
      </c>
      <c r="X990" s="20" t="str">
        <f>IFERROR(IF([1]对账明细接口!$S990=0,"",[1]对账明细接口!$S990),"")</f>
        <v/>
      </c>
      <c r="Y990" s="20" t="str">
        <f>IFERROR(IF([1]对账明细接口!$T990=0,"",[1]对账明细接口!$T990),"")</f>
        <v/>
      </c>
      <c r="Z990" s="24" t="str">
        <f>IFERROR(IF([1]对账明细接口!$U990=0,"",[1]对账明细接口!$U990),"")</f>
        <v/>
      </c>
      <c r="AA990" s="24" t="str">
        <f>IFERROR(IF([1]对账明细接口!$V990=0,"",[1]对账明细接口!$V990),"")</f>
        <v/>
      </c>
      <c r="AB990" s="20" t="str">
        <f>IFERROR(IF([1]对账明细接口!$W990=0,"",[1]对账明细接口!$W990),"")</f>
        <v/>
      </c>
      <c r="AC990" s="7" t="str">
        <f>IFERROR(IF([1]对账明细接口!$X990=0,"",[1]对账明细接口!$X990),"")</f>
        <v/>
      </c>
      <c r="AD990" s="7" t="str">
        <f>IFERROR(IF([1]对账明细接口!$Y990=0,"",[1]对账明细接口!$Y990),"")</f>
        <v/>
      </c>
      <c r="AE990" s="7" t="str">
        <f>IFERROR(IF([1]对账明细接口!$AA990=0,"",[1]对账明细接口!$AA990),"")</f>
        <v/>
      </c>
      <c r="AF990" s="7" t="str">
        <f>IFERROR(IF([1]对账明细接口!$AB990=0,"",[1]对账明细接口!$AB990),"")</f>
        <v/>
      </c>
      <c r="AG990" s="7" t="str">
        <f>IFERROR(IF([1]对账明细接口!$AC990=0,"",[1]对账明细接口!$AC990),"")</f>
        <v/>
      </c>
      <c r="AH990" s="7" t="str">
        <f>IFERROR(IF([1]对账明细接口!$AD990=0,"",[1]对账明细接口!$AD990),"")</f>
        <v/>
      </c>
      <c r="AI990" s="7" t="str">
        <f>IFERROR(IF([1]对账明细接口!$AE990=0,"",[1]对账明细接口!$AE990),"")</f>
        <v/>
      </c>
      <c r="AJ990" s="7" t="str">
        <f>IFERROR(IF([1]对账明细接口!$AF990=0,"",[1]对账明细接口!$AF990),"")</f>
        <v/>
      </c>
    </row>
    <row r="991" ht="14.25" customHeight="1" spans="1:36">
      <c r="A991" s="14">
        <v>991</v>
      </c>
      <c r="B991" s="15" t="str">
        <f>IFERROR(IF([1]对账明细接口!$B$991=0,"",[1]对账明细接口!$B$991),"")</f>
        <v/>
      </c>
      <c r="C991" s="16" t="str">
        <f>IFERROR(IF([1]对账明细接口!$C$991=0,"",[1]对账明细接口!$C$991),"")</f>
        <v/>
      </c>
      <c r="D991" s="16" t="str">
        <f>IFERROR(IF([1]对账明细接口!$D$991=0,"",[1]对账明细接口!$D$991),"")</f>
        <v/>
      </c>
      <c r="E991" s="16" t="str">
        <f>IFERROR(IF([1]对账明细接口!$E$991=0,"",[1]对账明细接口!$E$991),"")</f>
        <v/>
      </c>
      <c r="F991" s="16" t="str">
        <f>IFERROR(IF([1]对账明细接口!$F$991=0,"",[1]对账明细接口!$F$991),"")</f>
        <v/>
      </c>
      <c r="G991" s="16" t="str">
        <f>IFERROR(IF([1]对账明细接口!$G$991=0,"",[1]对账明细接口!$G$991),"")</f>
        <v/>
      </c>
      <c r="H991" s="17" t="str">
        <f>IFERROR(IF([1]对账明细接口!$H$991=0,"",[1]对账明细接口!$H$991),"")</f>
        <v/>
      </c>
      <c r="I991" s="16" t="str">
        <f>IFERROR(IF([1]对账明细接口!$I$991=0,"",[1]对账明细接口!$I$991),"")</f>
        <v/>
      </c>
      <c r="J991" s="18" t="str">
        <f>IFERROR(IF([1]对账明细接口!$J$991=0,"",[1]对账明细接口!$J$991),"")</f>
        <v/>
      </c>
      <c r="K991" s="18" t="str">
        <f>IFERROR(IF([1]对账明细接口!$K$991=0,"",[1]对账明细接口!$K$991),"")</f>
        <v/>
      </c>
      <c r="L991" s="16" t="str">
        <f>IFERROR(IF([1]对账明细接口!$L$991=0,"",[1]对账明细接口!$L$991),"")</f>
        <v/>
      </c>
      <c r="M991" s="16" t="str">
        <f>IFERROR(IF([1]对账明细接口!$M$991=0,"",[1]对账明细接口!$M$991),"")</f>
        <v/>
      </c>
      <c r="N991" s="19">
        <f t="shared" si="30"/>
        <v>0</v>
      </c>
      <c r="O991" s="19">
        <f t="shared" si="31"/>
        <v>420</v>
      </c>
      <c r="S991" s="20" t="str">
        <f>IFERROR(IF([1]对账明细接口!$N991=0,"",[1]对账明细接口!$N991),"")</f>
        <v/>
      </c>
      <c r="T991" s="21" t="str">
        <f>IFERROR(IF([1]对账明细接口!$O991=0,"",[1]对账明细接口!$O991),"")</f>
        <v/>
      </c>
      <c r="U991" s="21" t="str">
        <f>IFERROR(IF([1]对账明细接口!$P991=0,"",[1]对账明细接口!$P991),"")</f>
        <v/>
      </c>
      <c r="V991" s="21" t="str">
        <f>IFERROR(IF([1]对账明细接口!$Q991=0,"",[1]对账明细接口!$Q991),"")</f>
        <v/>
      </c>
      <c r="W991" s="20" t="str">
        <f>IFERROR(IF([1]对账明细接口!$R991=0,"",[1]对账明细接口!$R991),"")</f>
        <v/>
      </c>
      <c r="X991" s="20" t="str">
        <f>IFERROR(IF([1]对账明细接口!$S991=0,"",[1]对账明细接口!$S991),"")</f>
        <v/>
      </c>
      <c r="Y991" s="20" t="str">
        <f>IFERROR(IF([1]对账明细接口!$T991=0,"",[1]对账明细接口!$T991),"")</f>
        <v/>
      </c>
      <c r="Z991" s="24" t="str">
        <f>IFERROR(IF([1]对账明细接口!$U991=0,"",[1]对账明细接口!$U991),"")</f>
        <v/>
      </c>
      <c r="AA991" s="24" t="str">
        <f>IFERROR(IF([1]对账明细接口!$V991=0,"",[1]对账明细接口!$V991),"")</f>
        <v/>
      </c>
      <c r="AB991" s="20" t="str">
        <f>IFERROR(IF([1]对账明细接口!$W991=0,"",[1]对账明细接口!$W991),"")</f>
        <v/>
      </c>
      <c r="AC991" s="7" t="str">
        <f>IFERROR(IF([1]对账明细接口!$X991=0,"",[1]对账明细接口!$X991),"")</f>
        <v/>
      </c>
      <c r="AD991" s="7" t="str">
        <f>IFERROR(IF([1]对账明细接口!$Y991=0,"",[1]对账明细接口!$Y991),"")</f>
        <v/>
      </c>
      <c r="AE991" s="7" t="str">
        <f>IFERROR(IF([1]对账明细接口!$AA991=0,"",[1]对账明细接口!$AA991),"")</f>
        <v/>
      </c>
      <c r="AF991" s="7" t="str">
        <f>IFERROR(IF([1]对账明细接口!$AB991=0,"",[1]对账明细接口!$AB991),"")</f>
        <v/>
      </c>
      <c r="AG991" s="7" t="str">
        <f>IFERROR(IF([1]对账明细接口!$AC991=0,"",[1]对账明细接口!$AC991),"")</f>
        <v/>
      </c>
      <c r="AH991" s="7" t="str">
        <f>IFERROR(IF([1]对账明细接口!$AD991=0,"",[1]对账明细接口!$AD991),"")</f>
        <v/>
      </c>
      <c r="AI991" s="7" t="str">
        <f>IFERROR(IF([1]对账明细接口!$AE991=0,"",[1]对账明细接口!$AE991),"")</f>
        <v/>
      </c>
      <c r="AJ991" s="7" t="str">
        <f>IFERROR(IF([1]对账明细接口!$AF991=0,"",[1]对账明细接口!$AF991),"")</f>
        <v/>
      </c>
    </row>
    <row r="992" ht="14.25" customHeight="1" spans="1:36">
      <c r="A992" s="14">
        <v>992</v>
      </c>
      <c r="B992" s="15" t="str">
        <f>IFERROR(IF([1]对账明细接口!$B$992=0,"",[1]对账明细接口!$B$992),"")</f>
        <v/>
      </c>
      <c r="C992" s="16" t="str">
        <f>IFERROR(IF([1]对账明细接口!$C$992=0,"",[1]对账明细接口!$C$992),"")</f>
        <v/>
      </c>
      <c r="D992" s="16" t="str">
        <f>IFERROR(IF([1]对账明细接口!$D$992=0,"",[1]对账明细接口!$D$992),"")</f>
        <v/>
      </c>
      <c r="E992" s="16" t="str">
        <f>IFERROR(IF([1]对账明细接口!$E$992=0,"",[1]对账明细接口!$E$992),"")</f>
        <v/>
      </c>
      <c r="F992" s="16" t="str">
        <f>IFERROR(IF([1]对账明细接口!$F$992=0,"",[1]对账明细接口!$F$992),"")</f>
        <v/>
      </c>
      <c r="G992" s="16" t="str">
        <f>IFERROR(IF([1]对账明细接口!$G$992=0,"",[1]对账明细接口!$G$992),"")</f>
        <v/>
      </c>
      <c r="H992" s="17" t="str">
        <f>IFERROR(IF([1]对账明细接口!$H$992=0,"",[1]对账明细接口!$H$992),"")</f>
        <v/>
      </c>
      <c r="I992" s="16" t="str">
        <f>IFERROR(IF([1]对账明细接口!$I$992=0,"",[1]对账明细接口!$I$992),"")</f>
        <v/>
      </c>
      <c r="J992" s="18" t="str">
        <f>IFERROR(IF([1]对账明细接口!$J$992=0,"",[1]对账明细接口!$J$992),"")</f>
        <v/>
      </c>
      <c r="K992" s="18" t="str">
        <f>IFERROR(IF([1]对账明细接口!$K$992=0,"",[1]对账明细接口!$K$992),"")</f>
        <v/>
      </c>
      <c r="L992" s="16" t="str">
        <f>IFERROR(IF([1]对账明细接口!$L$992=0,"",[1]对账明细接口!$L$992),"")</f>
        <v/>
      </c>
      <c r="M992" s="16" t="str">
        <f>IFERROR(IF([1]对账明细接口!$M$992=0,"",[1]对账明细接口!$M$992),"")</f>
        <v/>
      </c>
      <c r="N992" s="19">
        <f t="shared" si="30"/>
        <v>0</v>
      </c>
      <c r="O992" s="19">
        <f t="shared" si="31"/>
        <v>420</v>
      </c>
      <c r="S992" s="20" t="str">
        <f>IFERROR(IF([1]对账明细接口!$N992=0,"",[1]对账明细接口!$N992),"")</f>
        <v/>
      </c>
      <c r="T992" s="21" t="str">
        <f>IFERROR(IF([1]对账明细接口!$O992=0,"",[1]对账明细接口!$O992),"")</f>
        <v/>
      </c>
      <c r="U992" s="21" t="str">
        <f>IFERROR(IF([1]对账明细接口!$P992=0,"",[1]对账明细接口!$P992),"")</f>
        <v/>
      </c>
      <c r="V992" s="21" t="str">
        <f>IFERROR(IF([1]对账明细接口!$Q992=0,"",[1]对账明细接口!$Q992),"")</f>
        <v/>
      </c>
      <c r="W992" s="20" t="str">
        <f>IFERROR(IF([1]对账明细接口!$R992=0,"",[1]对账明细接口!$R992),"")</f>
        <v/>
      </c>
      <c r="X992" s="20" t="str">
        <f>IFERROR(IF([1]对账明细接口!$S992=0,"",[1]对账明细接口!$S992),"")</f>
        <v/>
      </c>
      <c r="Y992" s="20" t="str">
        <f>IFERROR(IF([1]对账明细接口!$T992=0,"",[1]对账明细接口!$T992),"")</f>
        <v/>
      </c>
      <c r="Z992" s="24" t="str">
        <f>IFERROR(IF([1]对账明细接口!$U992=0,"",[1]对账明细接口!$U992),"")</f>
        <v/>
      </c>
      <c r="AA992" s="24" t="str">
        <f>IFERROR(IF([1]对账明细接口!$V992=0,"",[1]对账明细接口!$V992),"")</f>
        <v/>
      </c>
      <c r="AB992" s="20" t="str">
        <f>IFERROR(IF([1]对账明细接口!$W992=0,"",[1]对账明细接口!$W992),"")</f>
        <v/>
      </c>
      <c r="AC992" s="7" t="str">
        <f>IFERROR(IF([1]对账明细接口!$X992=0,"",[1]对账明细接口!$X992),"")</f>
        <v/>
      </c>
      <c r="AD992" s="7" t="str">
        <f>IFERROR(IF([1]对账明细接口!$Y992=0,"",[1]对账明细接口!$Y992),"")</f>
        <v/>
      </c>
      <c r="AE992" s="7" t="str">
        <f>IFERROR(IF([1]对账明细接口!$AA992=0,"",[1]对账明细接口!$AA992),"")</f>
        <v/>
      </c>
      <c r="AF992" s="7" t="str">
        <f>IFERROR(IF([1]对账明细接口!$AB992=0,"",[1]对账明细接口!$AB992),"")</f>
        <v/>
      </c>
      <c r="AG992" s="7" t="str">
        <f>IFERROR(IF([1]对账明细接口!$AC992=0,"",[1]对账明细接口!$AC992),"")</f>
        <v/>
      </c>
      <c r="AH992" s="7" t="str">
        <f>IFERROR(IF([1]对账明细接口!$AD992=0,"",[1]对账明细接口!$AD992),"")</f>
        <v/>
      </c>
      <c r="AI992" s="7" t="str">
        <f>IFERROR(IF([1]对账明细接口!$AE992=0,"",[1]对账明细接口!$AE992),"")</f>
        <v/>
      </c>
      <c r="AJ992" s="7" t="str">
        <f>IFERROR(IF([1]对账明细接口!$AF992=0,"",[1]对账明细接口!$AF992),"")</f>
        <v/>
      </c>
    </row>
    <row r="993" ht="14.25" customHeight="1" spans="1:36">
      <c r="A993" s="14">
        <v>993</v>
      </c>
      <c r="B993" s="15" t="str">
        <f>IFERROR(IF([1]对账明细接口!$B$993=0,"",[1]对账明细接口!$B$993),"")</f>
        <v/>
      </c>
      <c r="C993" s="16" t="str">
        <f>IFERROR(IF([1]对账明细接口!$C$993=0,"",[1]对账明细接口!$C$993),"")</f>
        <v/>
      </c>
      <c r="D993" s="16" t="str">
        <f>IFERROR(IF([1]对账明细接口!$D$993=0,"",[1]对账明细接口!$D$993),"")</f>
        <v/>
      </c>
      <c r="E993" s="16" t="str">
        <f>IFERROR(IF([1]对账明细接口!$E$993=0,"",[1]对账明细接口!$E$993),"")</f>
        <v/>
      </c>
      <c r="F993" s="16" t="str">
        <f>IFERROR(IF([1]对账明细接口!$F$993=0,"",[1]对账明细接口!$F$993),"")</f>
        <v/>
      </c>
      <c r="G993" s="16" t="str">
        <f>IFERROR(IF([1]对账明细接口!$G$993=0,"",[1]对账明细接口!$G$993),"")</f>
        <v/>
      </c>
      <c r="H993" s="17" t="str">
        <f>IFERROR(IF([1]对账明细接口!$H$993=0,"",[1]对账明细接口!$H$993),"")</f>
        <v/>
      </c>
      <c r="I993" s="16" t="str">
        <f>IFERROR(IF([1]对账明细接口!$I$993=0,"",[1]对账明细接口!$I$993),"")</f>
        <v/>
      </c>
      <c r="J993" s="18" t="str">
        <f>IFERROR(IF([1]对账明细接口!$J$993=0,"",[1]对账明细接口!$J$993),"")</f>
        <v/>
      </c>
      <c r="K993" s="18" t="str">
        <f>IFERROR(IF([1]对账明细接口!$K$993=0,"",[1]对账明细接口!$K$993),"")</f>
        <v/>
      </c>
      <c r="L993" s="16" t="str">
        <f>IFERROR(IF([1]对账明细接口!$L$993=0,"",[1]对账明细接口!$L$993),"")</f>
        <v/>
      </c>
      <c r="M993" s="16" t="str">
        <f>IFERROR(IF([1]对账明细接口!$M$993=0,"",[1]对账明细接口!$M$993),"")</f>
        <v/>
      </c>
      <c r="N993" s="19">
        <f t="shared" si="30"/>
        <v>0</v>
      </c>
      <c r="O993" s="19">
        <f t="shared" si="31"/>
        <v>420</v>
      </c>
      <c r="S993" s="20" t="str">
        <f>IFERROR(IF([1]对账明细接口!$N993=0,"",[1]对账明细接口!$N993),"")</f>
        <v/>
      </c>
      <c r="T993" s="21" t="str">
        <f>IFERROR(IF([1]对账明细接口!$O993=0,"",[1]对账明细接口!$O993),"")</f>
        <v/>
      </c>
      <c r="U993" s="21" t="str">
        <f>IFERROR(IF([1]对账明细接口!$P993=0,"",[1]对账明细接口!$P993),"")</f>
        <v/>
      </c>
      <c r="V993" s="21" t="str">
        <f>IFERROR(IF([1]对账明细接口!$Q993=0,"",[1]对账明细接口!$Q993),"")</f>
        <v/>
      </c>
      <c r="W993" s="20" t="str">
        <f>IFERROR(IF([1]对账明细接口!$R993=0,"",[1]对账明细接口!$R993),"")</f>
        <v/>
      </c>
      <c r="X993" s="20" t="str">
        <f>IFERROR(IF([1]对账明细接口!$S993=0,"",[1]对账明细接口!$S993),"")</f>
        <v/>
      </c>
      <c r="Y993" s="20" t="str">
        <f>IFERROR(IF([1]对账明细接口!$T993=0,"",[1]对账明细接口!$T993),"")</f>
        <v/>
      </c>
      <c r="Z993" s="24" t="str">
        <f>IFERROR(IF([1]对账明细接口!$U993=0,"",[1]对账明细接口!$U993),"")</f>
        <v/>
      </c>
      <c r="AA993" s="24" t="str">
        <f>IFERROR(IF([1]对账明细接口!$V993=0,"",[1]对账明细接口!$V993),"")</f>
        <v/>
      </c>
      <c r="AB993" s="20" t="str">
        <f>IFERROR(IF([1]对账明细接口!$W993=0,"",[1]对账明细接口!$W993),"")</f>
        <v/>
      </c>
      <c r="AC993" s="7" t="str">
        <f>IFERROR(IF([1]对账明细接口!$X993=0,"",[1]对账明细接口!$X993),"")</f>
        <v/>
      </c>
      <c r="AD993" s="7" t="str">
        <f>IFERROR(IF([1]对账明细接口!$Y993=0,"",[1]对账明细接口!$Y993),"")</f>
        <v/>
      </c>
      <c r="AE993" s="7" t="str">
        <f>IFERROR(IF([1]对账明细接口!$AA993=0,"",[1]对账明细接口!$AA993),"")</f>
        <v/>
      </c>
      <c r="AF993" s="7" t="str">
        <f>IFERROR(IF([1]对账明细接口!$AB993=0,"",[1]对账明细接口!$AB993),"")</f>
        <v/>
      </c>
      <c r="AG993" s="7" t="str">
        <f>IFERROR(IF([1]对账明细接口!$AC993=0,"",[1]对账明细接口!$AC993),"")</f>
        <v/>
      </c>
      <c r="AH993" s="7" t="str">
        <f>IFERROR(IF([1]对账明细接口!$AD993=0,"",[1]对账明细接口!$AD993),"")</f>
        <v/>
      </c>
      <c r="AI993" s="7" t="str">
        <f>IFERROR(IF([1]对账明细接口!$AE993=0,"",[1]对账明细接口!$AE993),"")</f>
        <v/>
      </c>
      <c r="AJ993" s="7" t="str">
        <f>IFERROR(IF([1]对账明细接口!$AF993=0,"",[1]对账明细接口!$AF993),"")</f>
        <v/>
      </c>
    </row>
    <row r="994" ht="14.25" customHeight="1" spans="1:36">
      <c r="A994" s="14">
        <v>994</v>
      </c>
      <c r="B994" s="15" t="str">
        <f>IFERROR(IF([1]对账明细接口!$B$994=0,"",[1]对账明细接口!$B$994),"")</f>
        <v/>
      </c>
      <c r="C994" s="16" t="str">
        <f>IFERROR(IF([1]对账明细接口!$C$994=0,"",[1]对账明细接口!$C$994),"")</f>
        <v/>
      </c>
      <c r="D994" s="16" t="str">
        <f>IFERROR(IF([1]对账明细接口!$D$994=0,"",[1]对账明细接口!$D$994),"")</f>
        <v/>
      </c>
      <c r="E994" s="16" t="str">
        <f>IFERROR(IF([1]对账明细接口!$E$994=0,"",[1]对账明细接口!$E$994),"")</f>
        <v/>
      </c>
      <c r="F994" s="16" t="str">
        <f>IFERROR(IF([1]对账明细接口!$F$994=0,"",[1]对账明细接口!$F$994),"")</f>
        <v/>
      </c>
      <c r="G994" s="16" t="str">
        <f>IFERROR(IF([1]对账明细接口!$G$994=0,"",[1]对账明细接口!$G$994),"")</f>
        <v/>
      </c>
      <c r="H994" s="17" t="str">
        <f>IFERROR(IF([1]对账明细接口!$H$994=0,"",[1]对账明细接口!$H$994),"")</f>
        <v/>
      </c>
      <c r="I994" s="16" t="str">
        <f>IFERROR(IF([1]对账明细接口!$I$994=0,"",[1]对账明细接口!$I$994),"")</f>
        <v/>
      </c>
      <c r="J994" s="18" t="str">
        <f>IFERROR(IF([1]对账明细接口!$J$994=0,"",[1]对账明细接口!$J$994),"")</f>
        <v/>
      </c>
      <c r="K994" s="18" t="str">
        <f>IFERROR(IF([1]对账明细接口!$K$994=0,"",[1]对账明细接口!$K$994),"")</f>
        <v/>
      </c>
      <c r="L994" s="16" t="str">
        <f>IFERROR(IF([1]对账明细接口!$L$994=0,"",[1]对账明细接口!$L$994),"")</f>
        <v/>
      </c>
      <c r="M994" s="16" t="str">
        <f>IFERROR(IF([1]对账明细接口!$M$994=0,"",[1]对账明细接口!$M$994),"")</f>
        <v/>
      </c>
      <c r="N994" s="19">
        <f t="shared" si="30"/>
        <v>0</v>
      </c>
      <c r="O994" s="19">
        <f t="shared" si="31"/>
        <v>420</v>
      </c>
      <c r="S994" s="20" t="str">
        <f>IFERROR(IF([1]对账明细接口!$N994=0,"",[1]对账明细接口!$N994),"")</f>
        <v/>
      </c>
      <c r="T994" s="21" t="str">
        <f>IFERROR(IF([1]对账明细接口!$O994=0,"",[1]对账明细接口!$O994),"")</f>
        <v/>
      </c>
      <c r="U994" s="21" t="str">
        <f>IFERROR(IF([1]对账明细接口!$P994=0,"",[1]对账明细接口!$P994),"")</f>
        <v/>
      </c>
      <c r="V994" s="21" t="str">
        <f>IFERROR(IF([1]对账明细接口!$Q994=0,"",[1]对账明细接口!$Q994),"")</f>
        <v/>
      </c>
      <c r="W994" s="20" t="str">
        <f>IFERROR(IF([1]对账明细接口!$R994=0,"",[1]对账明细接口!$R994),"")</f>
        <v/>
      </c>
      <c r="X994" s="20" t="str">
        <f>IFERROR(IF([1]对账明细接口!$S994=0,"",[1]对账明细接口!$S994),"")</f>
        <v/>
      </c>
      <c r="Y994" s="20" t="str">
        <f>IFERROR(IF([1]对账明细接口!$T994=0,"",[1]对账明细接口!$T994),"")</f>
        <v/>
      </c>
      <c r="Z994" s="24" t="str">
        <f>IFERROR(IF([1]对账明细接口!$U994=0,"",[1]对账明细接口!$U994),"")</f>
        <v/>
      </c>
      <c r="AA994" s="24" t="str">
        <f>IFERROR(IF([1]对账明细接口!$V994=0,"",[1]对账明细接口!$V994),"")</f>
        <v/>
      </c>
      <c r="AB994" s="20" t="str">
        <f>IFERROR(IF([1]对账明细接口!$W994=0,"",[1]对账明细接口!$W994),"")</f>
        <v/>
      </c>
      <c r="AC994" s="7" t="str">
        <f>IFERROR(IF([1]对账明细接口!$X994=0,"",[1]对账明细接口!$X994),"")</f>
        <v/>
      </c>
      <c r="AD994" s="7" t="str">
        <f>IFERROR(IF([1]对账明细接口!$Y994=0,"",[1]对账明细接口!$Y994),"")</f>
        <v/>
      </c>
      <c r="AE994" s="7" t="str">
        <f>IFERROR(IF([1]对账明细接口!$AA994=0,"",[1]对账明细接口!$AA994),"")</f>
        <v/>
      </c>
      <c r="AF994" s="7" t="str">
        <f>IFERROR(IF([1]对账明细接口!$AB994=0,"",[1]对账明细接口!$AB994),"")</f>
        <v/>
      </c>
      <c r="AG994" s="7" t="str">
        <f>IFERROR(IF([1]对账明细接口!$AC994=0,"",[1]对账明细接口!$AC994),"")</f>
        <v/>
      </c>
      <c r="AH994" s="7" t="str">
        <f>IFERROR(IF([1]对账明细接口!$AD994=0,"",[1]对账明细接口!$AD994),"")</f>
        <v/>
      </c>
      <c r="AI994" s="7" t="str">
        <f>IFERROR(IF([1]对账明细接口!$AE994=0,"",[1]对账明细接口!$AE994),"")</f>
        <v/>
      </c>
      <c r="AJ994" s="7" t="str">
        <f>IFERROR(IF([1]对账明细接口!$AF994=0,"",[1]对账明细接口!$AF994),"")</f>
        <v/>
      </c>
    </row>
    <row r="995" ht="14.25" customHeight="1" spans="1:36">
      <c r="A995" s="14">
        <v>995</v>
      </c>
      <c r="B995" s="15" t="str">
        <f>IFERROR(IF([1]对账明细接口!$B$995=0,"",[1]对账明细接口!$B$995),"")</f>
        <v/>
      </c>
      <c r="C995" s="16" t="str">
        <f>IFERROR(IF([1]对账明细接口!$C$995=0,"",[1]对账明细接口!$C$995),"")</f>
        <v/>
      </c>
      <c r="D995" s="16" t="str">
        <f>IFERROR(IF([1]对账明细接口!$D$995=0,"",[1]对账明细接口!$D$995),"")</f>
        <v/>
      </c>
      <c r="E995" s="16" t="str">
        <f>IFERROR(IF([1]对账明细接口!$E$995=0,"",[1]对账明细接口!$E$995),"")</f>
        <v/>
      </c>
      <c r="F995" s="16" t="str">
        <f>IFERROR(IF([1]对账明细接口!$F$995=0,"",[1]对账明细接口!$F$995),"")</f>
        <v/>
      </c>
      <c r="G995" s="16" t="str">
        <f>IFERROR(IF([1]对账明细接口!$G$995=0,"",[1]对账明细接口!$G$995),"")</f>
        <v/>
      </c>
      <c r="H995" s="17" t="str">
        <f>IFERROR(IF([1]对账明细接口!$H$995=0,"",[1]对账明细接口!$H$995),"")</f>
        <v/>
      </c>
      <c r="I995" s="16" t="str">
        <f>IFERROR(IF([1]对账明细接口!$I$995=0,"",[1]对账明细接口!$I$995),"")</f>
        <v/>
      </c>
      <c r="J995" s="18" t="str">
        <f>IFERROR(IF([1]对账明细接口!$J$995=0,"",[1]对账明细接口!$J$995),"")</f>
        <v/>
      </c>
      <c r="K995" s="18" t="str">
        <f>IFERROR(IF([1]对账明细接口!$K$995=0,"",[1]对账明细接口!$K$995),"")</f>
        <v/>
      </c>
      <c r="L995" s="16" t="str">
        <f>IFERROR(IF([1]对账明细接口!$L$995=0,"",[1]对账明细接口!$L$995),"")</f>
        <v/>
      </c>
      <c r="M995" s="16" t="str">
        <f>IFERROR(IF([1]对账明细接口!$M$995=0,"",[1]对账明细接口!$M$995),"")</f>
        <v/>
      </c>
      <c r="N995" s="19">
        <f t="shared" si="30"/>
        <v>0</v>
      </c>
      <c r="O995" s="19">
        <f t="shared" si="31"/>
        <v>420</v>
      </c>
      <c r="S995" s="20" t="str">
        <f>IFERROR(IF([1]对账明细接口!$N995=0,"",[1]对账明细接口!$N995),"")</f>
        <v/>
      </c>
      <c r="T995" s="21" t="str">
        <f>IFERROR(IF([1]对账明细接口!$O995=0,"",[1]对账明细接口!$O995),"")</f>
        <v/>
      </c>
      <c r="U995" s="21" t="str">
        <f>IFERROR(IF([1]对账明细接口!$P995=0,"",[1]对账明细接口!$P995),"")</f>
        <v/>
      </c>
      <c r="V995" s="21" t="str">
        <f>IFERROR(IF([1]对账明细接口!$Q995=0,"",[1]对账明细接口!$Q995),"")</f>
        <v/>
      </c>
      <c r="W995" s="20" t="str">
        <f>IFERROR(IF([1]对账明细接口!$R995=0,"",[1]对账明细接口!$R995),"")</f>
        <v/>
      </c>
      <c r="X995" s="20" t="str">
        <f>IFERROR(IF([1]对账明细接口!$S995=0,"",[1]对账明细接口!$S995),"")</f>
        <v/>
      </c>
      <c r="Y995" s="20" t="str">
        <f>IFERROR(IF([1]对账明细接口!$T995=0,"",[1]对账明细接口!$T995),"")</f>
        <v/>
      </c>
      <c r="Z995" s="24" t="str">
        <f>IFERROR(IF([1]对账明细接口!$U995=0,"",[1]对账明细接口!$U995),"")</f>
        <v/>
      </c>
      <c r="AA995" s="24" t="str">
        <f>IFERROR(IF([1]对账明细接口!$V995=0,"",[1]对账明细接口!$V995),"")</f>
        <v/>
      </c>
      <c r="AB995" s="20" t="str">
        <f>IFERROR(IF([1]对账明细接口!$W995=0,"",[1]对账明细接口!$W995),"")</f>
        <v/>
      </c>
      <c r="AC995" s="7" t="str">
        <f>IFERROR(IF([1]对账明细接口!$X995=0,"",[1]对账明细接口!$X995),"")</f>
        <v/>
      </c>
      <c r="AD995" s="7" t="str">
        <f>IFERROR(IF([1]对账明细接口!$Y995=0,"",[1]对账明细接口!$Y995),"")</f>
        <v/>
      </c>
      <c r="AE995" s="7" t="str">
        <f>IFERROR(IF([1]对账明细接口!$AA995=0,"",[1]对账明细接口!$AA995),"")</f>
        <v/>
      </c>
      <c r="AF995" s="7" t="str">
        <f>IFERROR(IF([1]对账明细接口!$AB995=0,"",[1]对账明细接口!$AB995),"")</f>
        <v/>
      </c>
      <c r="AG995" s="7" t="str">
        <f>IFERROR(IF([1]对账明细接口!$AC995=0,"",[1]对账明细接口!$AC995),"")</f>
        <v/>
      </c>
      <c r="AH995" s="7" t="str">
        <f>IFERROR(IF([1]对账明细接口!$AD995=0,"",[1]对账明细接口!$AD995),"")</f>
        <v/>
      </c>
      <c r="AI995" s="7" t="str">
        <f>IFERROR(IF([1]对账明细接口!$AE995=0,"",[1]对账明细接口!$AE995),"")</f>
        <v/>
      </c>
      <c r="AJ995" s="7" t="str">
        <f>IFERROR(IF([1]对账明细接口!$AF995=0,"",[1]对账明细接口!$AF995),"")</f>
        <v/>
      </c>
    </row>
    <row r="996" ht="14.25" customHeight="1" spans="1:36">
      <c r="A996" s="14">
        <v>996</v>
      </c>
      <c r="B996" s="15" t="str">
        <f>IFERROR(IF([1]对账明细接口!$B$996=0,"",[1]对账明细接口!$B$996),"")</f>
        <v/>
      </c>
      <c r="C996" s="16" t="str">
        <f>IFERROR(IF([1]对账明细接口!$C$996=0,"",[1]对账明细接口!$C$996),"")</f>
        <v/>
      </c>
      <c r="D996" s="16" t="str">
        <f>IFERROR(IF([1]对账明细接口!$D$996=0,"",[1]对账明细接口!$D$996),"")</f>
        <v/>
      </c>
      <c r="E996" s="16" t="str">
        <f>IFERROR(IF([1]对账明细接口!$E$996=0,"",[1]对账明细接口!$E$996),"")</f>
        <v/>
      </c>
      <c r="F996" s="16" t="str">
        <f>IFERROR(IF([1]对账明细接口!$F$996=0,"",[1]对账明细接口!$F$996),"")</f>
        <v/>
      </c>
      <c r="G996" s="16" t="str">
        <f>IFERROR(IF([1]对账明细接口!$G$996=0,"",[1]对账明细接口!$G$996),"")</f>
        <v/>
      </c>
      <c r="H996" s="17" t="str">
        <f>IFERROR(IF([1]对账明细接口!$H$996=0,"",[1]对账明细接口!$H$996),"")</f>
        <v/>
      </c>
      <c r="I996" s="16" t="str">
        <f>IFERROR(IF([1]对账明细接口!$I$996=0,"",[1]对账明细接口!$I$996),"")</f>
        <v/>
      </c>
      <c r="J996" s="18" t="str">
        <f>IFERROR(IF([1]对账明细接口!$J$996=0,"",[1]对账明细接口!$J$996),"")</f>
        <v/>
      </c>
      <c r="K996" s="18" t="str">
        <f>IFERROR(IF([1]对账明细接口!$K$996=0,"",[1]对账明细接口!$K$996),"")</f>
        <v/>
      </c>
      <c r="L996" s="16" t="str">
        <f>IFERROR(IF([1]对账明细接口!$L$996=0,"",[1]对账明细接口!$L$996),"")</f>
        <v/>
      </c>
      <c r="M996" s="16" t="str">
        <f>IFERROR(IF([1]对账明细接口!$M$996=0,"",[1]对账明细接口!$M$996),"")</f>
        <v/>
      </c>
      <c r="N996" s="19">
        <f t="shared" si="30"/>
        <v>0</v>
      </c>
      <c r="O996" s="19">
        <f t="shared" si="31"/>
        <v>420</v>
      </c>
      <c r="S996" s="20" t="str">
        <f>IFERROR(IF([1]对账明细接口!$N996=0,"",[1]对账明细接口!$N996),"")</f>
        <v/>
      </c>
      <c r="T996" s="21" t="str">
        <f>IFERROR(IF([1]对账明细接口!$O996=0,"",[1]对账明细接口!$O996),"")</f>
        <v/>
      </c>
      <c r="U996" s="21" t="str">
        <f>IFERROR(IF([1]对账明细接口!$P996=0,"",[1]对账明细接口!$P996),"")</f>
        <v/>
      </c>
      <c r="V996" s="21" t="str">
        <f>IFERROR(IF([1]对账明细接口!$Q996=0,"",[1]对账明细接口!$Q996),"")</f>
        <v/>
      </c>
      <c r="W996" s="20" t="str">
        <f>IFERROR(IF([1]对账明细接口!$R996=0,"",[1]对账明细接口!$R996),"")</f>
        <v/>
      </c>
      <c r="X996" s="20" t="str">
        <f>IFERROR(IF([1]对账明细接口!$S996=0,"",[1]对账明细接口!$S996),"")</f>
        <v/>
      </c>
      <c r="Y996" s="20" t="str">
        <f>IFERROR(IF([1]对账明细接口!$T996=0,"",[1]对账明细接口!$T996),"")</f>
        <v/>
      </c>
      <c r="Z996" s="24" t="str">
        <f>IFERROR(IF([1]对账明细接口!$U996=0,"",[1]对账明细接口!$U996),"")</f>
        <v/>
      </c>
      <c r="AA996" s="24" t="str">
        <f>IFERROR(IF([1]对账明细接口!$V996=0,"",[1]对账明细接口!$V996),"")</f>
        <v/>
      </c>
      <c r="AB996" s="20" t="str">
        <f>IFERROR(IF([1]对账明细接口!$W996=0,"",[1]对账明细接口!$W996),"")</f>
        <v/>
      </c>
      <c r="AC996" s="7" t="str">
        <f>IFERROR(IF([1]对账明细接口!$X996=0,"",[1]对账明细接口!$X996),"")</f>
        <v/>
      </c>
      <c r="AD996" s="7" t="str">
        <f>IFERROR(IF([1]对账明细接口!$Y996=0,"",[1]对账明细接口!$Y996),"")</f>
        <v/>
      </c>
      <c r="AE996" s="7" t="str">
        <f>IFERROR(IF([1]对账明细接口!$AA996=0,"",[1]对账明细接口!$AA996),"")</f>
        <v/>
      </c>
      <c r="AF996" s="7" t="str">
        <f>IFERROR(IF([1]对账明细接口!$AB996=0,"",[1]对账明细接口!$AB996),"")</f>
        <v/>
      </c>
      <c r="AG996" s="7" t="str">
        <f>IFERROR(IF([1]对账明细接口!$AC996=0,"",[1]对账明细接口!$AC996),"")</f>
        <v/>
      </c>
      <c r="AH996" s="7" t="str">
        <f>IFERROR(IF([1]对账明细接口!$AD996=0,"",[1]对账明细接口!$AD996),"")</f>
        <v/>
      </c>
      <c r="AI996" s="7" t="str">
        <f>IFERROR(IF([1]对账明细接口!$AE996=0,"",[1]对账明细接口!$AE996),"")</f>
        <v/>
      </c>
      <c r="AJ996" s="7" t="str">
        <f>IFERROR(IF([1]对账明细接口!$AF996=0,"",[1]对账明细接口!$AF996),"")</f>
        <v/>
      </c>
    </row>
    <row r="997" ht="14.25" customHeight="1" spans="1:36">
      <c r="A997" s="14">
        <v>997</v>
      </c>
      <c r="B997" s="15" t="str">
        <f>IFERROR(IF([1]对账明细接口!$B$997=0,"",[1]对账明细接口!$B$997),"")</f>
        <v/>
      </c>
      <c r="C997" s="16" t="str">
        <f>IFERROR(IF([1]对账明细接口!$C$997=0,"",[1]对账明细接口!$C$997),"")</f>
        <v/>
      </c>
      <c r="D997" s="16" t="str">
        <f>IFERROR(IF([1]对账明细接口!$D$997=0,"",[1]对账明细接口!$D$997),"")</f>
        <v/>
      </c>
      <c r="E997" s="16" t="str">
        <f>IFERROR(IF([1]对账明细接口!$E$997=0,"",[1]对账明细接口!$E$997),"")</f>
        <v/>
      </c>
      <c r="F997" s="16" t="str">
        <f>IFERROR(IF([1]对账明细接口!$F$997=0,"",[1]对账明细接口!$F$997),"")</f>
        <v/>
      </c>
      <c r="G997" s="16" t="str">
        <f>IFERROR(IF([1]对账明细接口!$G$997=0,"",[1]对账明细接口!$G$997),"")</f>
        <v/>
      </c>
      <c r="H997" s="17" t="str">
        <f>IFERROR(IF([1]对账明细接口!$H$997=0,"",[1]对账明细接口!$H$997),"")</f>
        <v/>
      </c>
      <c r="I997" s="16" t="str">
        <f>IFERROR(IF([1]对账明细接口!$I$997=0,"",[1]对账明细接口!$I$997),"")</f>
        <v/>
      </c>
      <c r="J997" s="18" t="str">
        <f>IFERROR(IF([1]对账明细接口!$J$997=0,"",[1]对账明细接口!$J$997),"")</f>
        <v/>
      </c>
      <c r="K997" s="18" t="str">
        <f>IFERROR(IF([1]对账明细接口!$K$997=0,"",[1]对账明细接口!$K$997),"")</f>
        <v/>
      </c>
      <c r="L997" s="16" t="str">
        <f>IFERROR(IF([1]对账明细接口!$L$997=0,"",[1]对账明细接口!$L$997),"")</f>
        <v/>
      </c>
      <c r="M997" s="16" t="str">
        <f>IFERROR(IF([1]对账明细接口!$M$997=0,"",[1]对账明细接口!$M$997),"")</f>
        <v/>
      </c>
      <c r="N997" s="19">
        <f t="shared" si="30"/>
        <v>0</v>
      </c>
      <c r="O997" s="19">
        <f t="shared" si="31"/>
        <v>420</v>
      </c>
      <c r="S997" s="20" t="str">
        <f>IFERROR(IF([1]对账明细接口!$N997=0,"",[1]对账明细接口!$N997),"")</f>
        <v/>
      </c>
      <c r="T997" s="21" t="str">
        <f>IFERROR(IF([1]对账明细接口!$O997=0,"",[1]对账明细接口!$O997),"")</f>
        <v/>
      </c>
      <c r="U997" s="21" t="str">
        <f>IFERROR(IF([1]对账明细接口!$P997=0,"",[1]对账明细接口!$P997),"")</f>
        <v/>
      </c>
      <c r="V997" s="21" t="str">
        <f>IFERROR(IF([1]对账明细接口!$Q997=0,"",[1]对账明细接口!$Q997),"")</f>
        <v/>
      </c>
      <c r="W997" s="20" t="str">
        <f>IFERROR(IF([1]对账明细接口!$R997=0,"",[1]对账明细接口!$R997),"")</f>
        <v/>
      </c>
      <c r="X997" s="20" t="str">
        <f>IFERROR(IF([1]对账明细接口!$S997=0,"",[1]对账明细接口!$S997),"")</f>
        <v/>
      </c>
      <c r="Y997" s="20" t="str">
        <f>IFERROR(IF([1]对账明细接口!$T997=0,"",[1]对账明细接口!$T997),"")</f>
        <v/>
      </c>
      <c r="Z997" s="24" t="str">
        <f>IFERROR(IF([1]对账明细接口!$U997=0,"",[1]对账明细接口!$U997),"")</f>
        <v/>
      </c>
      <c r="AA997" s="24" t="str">
        <f>IFERROR(IF([1]对账明细接口!$V997=0,"",[1]对账明细接口!$V997),"")</f>
        <v/>
      </c>
      <c r="AB997" s="20" t="str">
        <f>IFERROR(IF([1]对账明细接口!$W997=0,"",[1]对账明细接口!$W997),"")</f>
        <v/>
      </c>
      <c r="AC997" s="7" t="str">
        <f>IFERROR(IF([1]对账明细接口!$X997=0,"",[1]对账明细接口!$X997),"")</f>
        <v/>
      </c>
      <c r="AD997" s="7" t="str">
        <f>IFERROR(IF([1]对账明细接口!$Y997=0,"",[1]对账明细接口!$Y997),"")</f>
        <v/>
      </c>
      <c r="AE997" s="7" t="str">
        <f>IFERROR(IF([1]对账明细接口!$AA997=0,"",[1]对账明细接口!$AA997),"")</f>
        <v/>
      </c>
      <c r="AF997" s="7" t="str">
        <f>IFERROR(IF([1]对账明细接口!$AB997=0,"",[1]对账明细接口!$AB997),"")</f>
        <v/>
      </c>
      <c r="AG997" s="7" t="str">
        <f>IFERROR(IF([1]对账明细接口!$AC997=0,"",[1]对账明细接口!$AC997),"")</f>
        <v/>
      </c>
      <c r="AH997" s="7" t="str">
        <f>IFERROR(IF([1]对账明细接口!$AD997=0,"",[1]对账明细接口!$AD997),"")</f>
        <v/>
      </c>
      <c r="AI997" s="7" t="str">
        <f>IFERROR(IF([1]对账明细接口!$AE997=0,"",[1]对账明细接口!$AE997),"")</f>
        <v/>
      </c>
      <c r="AJ997" s="7" t="str">
        <f>IFERROR(IF([1]对账明细接口!$AF997=0,"",[1]对账明细接口!$AF997),"")</f>
        <v/>
      </c>
    </row>
    <row r="998" ht="14.25" customHeight="1" spans="1:36">
      <c r="A998" s="14">
        <v>998</v>
      </c>
      <c r="B998" s="15" t="str">
        <f>IFERROR(IF([1]对账明细接口!$B$998=0,"",[1]对账明细接口!$B$998),"")</f>
        <v/>
      </c>
      <c r="C998" s="16" t="str">
        <f>IFERROR(IF([1]对账明细接口!$C$998=0,"",[1]对账明细接口!$C$998),"")</f>
        <v/>
      </c>
      <c r="D998" s="16" t="str">
        <f>IFERROR(IF([1]对账明细接口!$D$998=0,"",[1]对账明细接口!$D$998),"")</f>
        <v/>
      </c>
      <c r="E998" s="16" t="str">
        <f>IFERROR(IF([1]对账明细接口!$E$998=0,"",[1]对账明细接口!$E$998),"")</f>
        <v/>
      </c>
      <c r="F998" s="16" t="str">
        <f>IFERROR(IF([1]对账明细接口!$F$998=0,"",[1]对账明细接口!$F$998),"")</f>
        <v/>
      </c>
      <c r="G998" s="16" t="str">
        <f>IFERROR(IF([1]对账明细接口!$G$998=0,"",[1]对账明细接口!$G$998),"")</f>
        <v/>
      </c>
      <c r="H998" s="17" t="str">
        <f>IFERROR(IF([1]对账明细接口!$H$998=0,"",[1]对账明细接口!$H$998),"")</f>
        <v/>
      </c>
      <c r="I998" s="16" t="str">
        <f>IFERROR(IF([1]对账明细接口!$I$998=0,"",[1]对账明细接口!$I$998),"")</f>
        <v/>
      </c>
      <c r="J998" s="18" t="str">
        <f>IFERROR(IF([1]对账明细接口!$J$998=0,"",[1]对账明细接口!$J$998),"")</f>
        <v/>
      </c>
      <c r="K998" s="18" t="str">
        <f>IFERROR(IF([1]对账明细接口!$K$998=0,"",[1]对账明细接口!$K$998),"")</f>
        <v/>
      </c>
      <c r="L998" s="16" t="str">
        <f>IFERROR(IF([1]对账明细接口!$L$998=0,"",[1]对账明细接口!$L$998),"")</f>
        <v/>
      </c>
      <c r="M998" s="16" t="str">
        <f>IFERROR(IF([1]对账明细接口!$M$998=0,"",[1]对账明细接口!$M$998),"")</f>
        <v/>
      </c>
      <c r="N998" s="19">
        <f t="shared" si="30"/>
        <v>0</v>
      </c>
      <c r="O998" s="19">
        <f t="shared" si="31"/>
        <v>420</v>
      </c>
      <c r="S998" s="20" t="str">
        <f>IFERROR(IF([1]对账明细接口!$N998=0,"",[1]对账明细接口!$N998),"")</f>
        <v/>
      </c>
      <c r="T998" s="21" t="str">
        <f>IFERROR(IF([1]对账明细接口!$O998=0,"",[1]对账明细接口!$O998),"")</f>
        <v/>
      </c>
      <c r="U998" s="21" t="str">
        <f>IFERROR(IF([1]对账明细接口!$P998=0,"",[1]对账明细接口!$P998),"")</f>
        <v/>
      </c>
      <c r="V998" s="21" t="str">
        <f>IFERROR(IF([1]对账明细接口!$Q998=0,"",[1]对账明细接口!$Q998),"")</f>
        <v/>
      </c>
      <c r="W998" s="20" t="str">
        <f>IFERROR(IF([1]对账明细接口!$R998=0,"",[1]对账明细接口!$R998),"")</f>
        <v/>
      </c>
      <c r="X998" s="20" t="str">
        <f>IFERROR(IF([1]对账明细接口!$S998=0,"",[1]对账明细接口!$S998),"")</f>
        <v/>
      </c>
      <c r="Y998" s="20" t="str">
        <f>IFERROR(IF([1]对账明细接口!$T998=0,"",[1]对账明细接口!$T998),"")</f>
        <v/>
      </c>
      <c r="Z998" s="24" t="str">
        <f>IFERROR(IF([1]对账明细接口!$U998=0,"",[1]对账明细接口!$U998),"")</f>
        <v/>
      </c>
      <c r="AA998" s="24" t="str">
        <f>IFERROR(IF([1]对账明细接口!$V998=0,"",[1]对账明细接口!$V998),"")</f>
        <v/>
      </c>
      <c r="AB998" s="20" t="str">
        <f>IFERROR(IF([1]对账明细接口!$W998=0,"",[1]对账明细接口!$W998),"")</f>
        <v/>
      </c>
      <c r="AC998" s="7" t="str">
        <f>IFERROR(IF([1]对账明细接口!$X998=0,"",[1]对账明细接口!$X998),"")</f>
        <v/>
      </c>
      <c r="AD998" s="7" t="str">
        <f>IFERROR(IF([1]对账明细接口!$Y998=0,"",[1]对账明细接口!$Y998),"")</f>
        <v/>
      </c>
      <c r="AE998" s="7" t="str">
        <f>IFERROR(IF([1]对账明细接口!$AA998=0,"",[1]对账明细接口!$AA998),"")</f>
        <v/>
      </c>
      <c r="AF998" s="7" t="str">
        <f>IFERROR(IF([1]对账明细接口!$AB998=0,"",[1]对账明细接口!$AB998),"")</f>
        <v/>
      </c>
      <c r="AG998" s="7" t="str">
        <f>IFERROR(IF([1]对账明细接口!$AC998=0,"",[1]对账明细接口!$AC998),"")</f>
        <v/>
      </c>
      <c r="AH998" s="7" t="str">
        <f>IFERROR(IF([1]对账明细接口!$AD998=0,"",[1]对账明细接口!$AD998),"")</f>
        <v/>
      </c>
      <c r="AI998" s="7" t="str">
        <f>IFERROR(IF([1]对账明细接口!$AE998=0,"",[1]对账明细接口!$AE998),"")</f>
        <v/>
      </c>
      <c r="AJ998" s="7" t="str">
        <f>IFERROR(IF([1]对账明细接口!$AF998=0,"",[1]对账明细接口!$AF998),"")</f>
        <v/>
      </c>
    </row>
    <row r="999" ht="14.25" customHeight="1" spans="1:36">
      <c r="A999" s="14">
        <v>999</v>
      </c>
      <c r="B999" s="15" t="str">
        <f>IFERROR(IF([1]对账明细接口!$B$999=0,"",[1]对账明细接口!$B$999),"")</f>
        <v/>
      </c>
      <c r="C999" s="16" t="str">
        <f>IFERROR(IF([1]对账明细接口!$C$999=0,"",[1]对账明细接口!$C$999),"")</f>
        <v/>
      </c>
      <c r="D999" s="16" t="str">
        <f>IFERROR(IF([1]对账明细接口!$D$999=0,"",[1]对账明细接口!$D$999),"")</f>
        <v/>
      </c>
      <c r="E999" s="16" t="str">
        <f>IFERROR(IF([1]对账明细接口!$E$999=0,"",[1]对账明细接口!$E$999),"")</f>
        <v/>
      </c>
      <c r="F999" s="16" t="str">
        <f>IFERROR(IF([1]对账明细接口!$F$999=0,"",[1]对账明细接口!$F$999),"")</f>
        <v/>
      </c>
      <c r="G999" s="16" t="str">
        <f>IFERROR(IF([1]对账明细接口!$G$999=0,"",[1]对账明细接口!$G$999),"")</f>
        <v/>
      </c>
      <c r="H999" s="17" t="str">
        <f>IFERROR(IF([1]对账明细接口!$H$999=0,"",[1]对账明细接口!$H$999),"")</f>
        <v/>
      </c>
      <c r="I999" s="16" t="str">
        <f>IFERROR(IF([1]对账明细接口!$I$999=0,"",[1]对账明细接口!$I$999),"")</f>
        <v/>
      </c>
      <c r="J999" s="18" t="str">
        <f>IFERROR(IF([1]对账明细接口!$J$999=0,"",[1]对账明细接口!$J$999),"")</f>
        <v/>
      </c>
      <c r="K999" s="18" t="str">
        <f>IFERROR(IF([1]对账明细接口!$K$999=0,"",[1]对账明细接口!$K$999),"")</f>
        <v/>
      </c>
      <c r="L999" s="16" t="str">
        <f>IFERROR(IF([1]对账明细接口!$L$999=0,"",[1]对账明细接口!$L$999),"")</f>
        <v/>
      </c>
      <c r="M999" s="16" t="str">
        <f>IFERROR(IF([1]对账明细接口!$M$999=0,"",[1]对账明细接口!$M$999),"")</f>
        <v/>
      </c>
      <c r="N999" s="19">
        <f t="shared" si="30"/>
        <v>0</v>
      </c>
      <c r="O999" s="19">
        <f t="shared" si="31"/>
        <v>420</v>
      </c>
      <c r="S999" s="20" t="str">
        <f>IFERROR(IF([1]对账明细接口!$N999=0,"",[1]对账明细接口!$N999),"")</f>
        <v/>
      </c>
      <c r="T999" s="21" t="str">
        <f>IFERROR(IF([1]对账明细接口!$O999=0,"",[1]对账明细接口!$O999),"")</f>
        <v/>
      </c>
      <c r="U999" s="21" t="str">
        <f>IFERROR(IF([1]对账明细接口!$P999=0,"",[1]对账明细接口!$P999),"")</f>
        <v/>
      </c>
      <c r="V999" s="21" t="str">
        <f>IFERROR(IF([1]对账明细接口!$Q999=0,"",[1]对账明细接口!$Q999),"")</f>
        <v/>
      </c>
      <c r="W999" s="20" t="str">
        <f>IFERROR(IF([1]对账明细接口!$R999=0,"",[1]对账明细接口!$R999),"")</f>
        <v/>
      </c>
      <c r="X999" s="20" t="str">
        <f>IFERROR(IF([1]对账明细接口!$S999=0,"",[1]对账明细接口!$S999),"")</f>
        <v/>
      </c>
      <c r="Y999" s="20" t="str">
        <f>IFERROR(IF([1]对账明细接口!$T999=0,"",[1]对账明细接口!$T999),"")</f>
        <v/>
      </c>
      <c r="Z999" s="24" t="str">
        <f>IFERROR(IF([1]对账明细接口!$U999=0,"",[1]对账明细接口!$U999),"")</f>
        <v/>
      </c>
      <c r="AA999" s="24" t="str">
        <f>IFERROR(IF([1]对账明细接口!$V999=0,"",[1]对账明细接口!$V999),"")</f>
        <v/>
      </c>
      <c r="AB999" s="20" t="str">
        <f>IFERROR(IF([1]对账明细接口!$W999=0,"",[1]对账明细接口!$W999),"")</f>
        <v/>
      </c>
      <c r="AC999" s="7" t="str">
        <f>IFERROR(IF([1]对账明细接口!$X999=0,"",[1]对账明细接口!$X999),"")</f>
        <v/>
      </c>
      <c r="AD999" s="7" t="str">
        <f>IFERROR(IF([1]对账明细接口!$Y999=0,"",[1]对账明细接口!$Y999),"")</f>
        <v/>
      </c>
      <c r="AE999" s="7" t="str">
        <f>IFERROR(IF([1]对账明细接口!$AA999=0,"",[1]对账明细接口!$AA999),"")</f>
        <v/>
      </c>
      <c r="AF999" s="7" t="str">
        <f>IFERROR(IF([1]对账明细接口!$AB999=0,"",[1]对账明细接口!$AB999),"")</f>
        <v/>
      </c>
      <c r="AG999" s="7" t="str">
        <f>IFERROR(IF([1]对账明细接口!$AC999=0,"",[1]对账明细接口!$AC999),"")</f>
        <v/>
      </c>
      <c r="AH999" s="7" t="str">
        <f>IFERROR(IF([1]对账明细接口!$AD999=0,"",[1]对账明细接口!$AD999),"")</f>
        <v/>
      </c>
      <c r="AI999" s="7" t="str">
        <f>IFERROR(IF([1]对账明细接口!$AE999=0,"",[1]对账明细接口!$AE999),"")</f>
        <v/>
      </c>
      <c r="AJ999" s="7" t="str">
        <f>IFERROR(IF([1]对账明细接口!$AF999=0,"",[1]对账明细接口!$AF999),"")</f>
        <v/>
      </c>
    </row>
    <row r="1000" ht="14.25" customHeight="1" spans="1:36">
      <c r="A1000" s="14">
        <v>1000</v>
      </c>
      <c r="B1000" s="15" t="str">
        <f>IFERROR(IF([1]对账明细接口!$B$1000=0,"",[1]对账明细接口!$B$1000),"")</f>
        <v/>
      </c>
      <c r="C1000" s="16" t="str">
        <f>IFERROR(IF([1]对账明细接口!$C$1000=0,"",[1]对账明细接口!$C$1000),"")</f>
        <v/>
      </c>
      <c r="D1000" s="16" t="str">
        <f>IFERROR(IF([1]对账明细接口!$D$1000=0,"",[1]对账明细接口!$D$1000),"")</f>
        <v/>
      </c>
      <c r="E1000" s="16" t="str">
        <f>IFERROR(IF([1]对账明细接口!$E$1000=0,"",[1]对账明细接口!$E$1000),"")</f>
        <v/>
      </c>
      <c r="F1000" s="16" t="str">
        <f>IFERROR(IF([1]对账明细接口!$F$1000=0,"",[1]对账明细接口!$F$1000),"")</f>
        <v/>
      </c>
      <c r="G1000" s="16" t="str">
        <f>IFERROR(IF([1]对账明细接口!$G$1000=0,"",[1]对账明细接口!$G$1000),"")</f>
        <v/>
      </c>
      <c r="H1000" s="17" t="str">
        <f>IFERROR(IF([1]对账明细接口!$H$1000=0,"",[1]对账明细接口!$H$1000),"")</f>
        <v/>
      </c>
      <c r="I1000" s="16" t="str">
        <f>IFERROR(IF([1]对账明细接口!$I$1000=0,"",[1]对账明细接口!$I$1000),"")</f>
        <v/>
      </c>
      <c r="J1000" s="18" t="str">
        <f>IFERROR(IF([1]对账明细接口!$J$1000=0,"",[1]对账明细接口!$J$1000),"")</f>
        <v/>
      </c>
      <c r="K1000" s="18" t="str">
        <f>IFERROR(IF([1]对账明细接口!$K$1000=0,"",[1]对账明细接口!$K$1000),"")</f>
        <v/>
      </c>
      <c r="L1000" s="16" t="str">
        <f>IFERROR(IF([1]对账明细接口!$L$1000=0,"",[1]对账明细接口!$L$1000),"")</f>
        <v/>
      </c>
      <c r="M1000" s="16" t="str">
        <f>IFERROR(IF([1]对账明细接口!$M$1000=0,"",[1]对账明细接口!$M$1000),"")</f>
        <v/>
      </c>
      <c r="N1000" s="19">
        <f t="shared" si="30"/>
        <v>0</v>
      </c>
      <c r="O1000" s="19">
        <f t="shared" si="31"/>
        <v>420</v>
      </c>
      <c r="S1000" s="20" t="str">
        <f>IFERROR(IF([1]对账明细接口!$N1000=0,"",[1]对账明细接口!$N1000),"")</f>
        <v/>
      </c>
      <c r="T1000" s="21" t="str">
        <f>IFERROR(IF([1]对账明细接口!$O1000=0,"",[1]对账明细接口!$O1000),"")</f>
        <v/>
      </c>
      <c r="U1000" s="21" t="str">
        <f>IFERROR(IF([1]对账明细接口!$P1000=0,"",[1]对账明细接口!$P1000),"")</f>
        <v/>
      </c>
      <c r="V1000" s="21" t="str">
        <f>IFERROR(IF([1]对账明细接口!$Q1000=0,"",[1]对账明细接口!$Q1000),"")</f>
        <v/>
      </c>
      <c r="W1000" s="20" t="str">
        <f>IFERROR(IF([1]对账明细接口!$R1000=0,"",[1]对账明细接口!$R1000),"")</f>
        <v/>
      </c>
      <c r="X1000" s="20" t="str">
        <f>IFERROR(IF([1]对账明细接口!$S1000=0,"",[1]对账明细接口!$S1000),"")</f>
        <v/>
      </c>
      <c r="Y1000" s="20" t="str">
        <f>IFERROR(IF([1]对账明细接口!$T1000=0,"",[1]对账明细接口!$T1000),"")</f>
        <v/>
      </c>
      <c r="Z1000" s="24" t="str">
        <f>IFERROR(IF([1]对账明细接口!$U1000=0,"",[1]对账明细接口!$U1000),"")</f>
        <v/>
      </c>
      <c r="AA1000" s="24" t="str">
        <f>IFERROR(IF([1]对账明细接口!$V1000=0,"",[1]对账明细接口!$V1000),"")</f>
        <v/>
      </c>
      <c r="AB1000" s="20" t="str">
        <f>IFERROR(IF([1]对账明细接口!$W1000=0,"",[1]对账明细接口!$W1000),"")</f>
        <v/>
      </c>
      <c r="AC1000" s="7" t="str">
        <f>IFERROR(IF([1]对账明细接口!$X1000=0,"",[1]对账明细接口!$X1000),"")</f>
        <v/>
      </c>
      <c r="AD1000" s="7" t="str">
        <f>IFERROR(IF([1]对账明细接口!$Y1000=0,"",[1]对账明细接口!$Y1000),"")</f>
        <v/>
      </c>
      <c r="AE1000" s="7" t="str">
        <f>IFERROR(IF([1]对账明细接口!$AA1000=0,"",[1]对账明细接口!$AA1000),"")</f>
        <v/>
      </c>
      <c r="AF1000" s="7" t="str">
        <f>IFERROR(IF([1]对账明细接口!$AB1000=0,"",[1]对账明细接口!$AB1000),"")</f>
        <v/>
      </c>
      <c r="AG1000" s="7" t="str">
        <f>IFERROR(IF([1]对账明细接口!$AC1000=0,"",[1]对账明细接口!$AC1000),"")</f>
        <v/>
      </c>
      <c r="AH1000" s="7" t="str">
        <f>IFERROR(IF([1]对账明细接口!$AD1000=0,"",[1]对账明细接口!$AD1000),"")</f>
        <v/>
      </c>
      <c r="AI1000" s="7" t="str">
        <f>IFERROR(IF([1]对账明细接口!$AE1000=0,"",[1]对账明细接口!$AE1000),"")</f>
        <v/>
      </c>
      <c r="AJ1000" s="7" t="str">
        <f>IFERROR(IF([1]对账明细接口!$AF1000=0,"",[1]对账明细接口!$AF1000),"")</f>
        <v/>
      </c>
    </row>
    <row r="1001" ht="14.25" customHeight="1" spans="1:36">
      <c r="A1001" s="14">
        <v>1001</v>
      </c>
      <c r="B1001" s="15" t="str">
        <f>IFERROR(IF([1]对账明细接口!$B$1001=0,"",[1]对账明细接口!$B$1001),"")</f>
        <v/>
      </c>
      <c r="C1001" s="16" t="str">
        <f>IFERROR(IF([1]对账明细接口!$C$1001=0,"",[1]对账明细接口!$C$1001),"")</f>
        <v/>
      </c>
      <c r="D1001" s="16" t="str">
        <f>IFERROR(IF([1]对账明细接口!$D$1001=0,"",[1]对账明细接口!$D$1001),"")</f>
        <v/>
      </c>
      <c r="E1001" s="16" t="str">
        <f>IFERROR(IF([1]对账明细接口!$E$1001=0,"",[1]对账明细接口!$E$1001),"")</f>
        <v/>
      </c>
      <c r="F1001" s="16" t="str">
        <f>IFERROR(IF([1]对账明细接口!$F$1001=0,"",[1]对账明细接口!$F$1001),"")</f>
        <v/>
      </c>
      <c r="G1001" s="16" t="str">
        <f>IFERROR(IF([1]对账明细接口!$G$1001=0,"",[1]对账明细接口!$G$1001),"")</f>
        <v/>
      </c>
      <c r="H1001" s="17" t="str">
        <f>IFERROR(IF([1]对账明细接口!$H$1001=0,"",[1]对账明细接口!$H$1001),"")</f>
        <v/>
      </c>
      <c r="I1001" s="16" t="str">
        <f>IFERROR(IF([1]对账明细接口!$I$1001=0,"",[1]对账明细接口!$I$1001),"")</f>
        <v/>
      </c>
      <c r="J1001" s="18" t="str">
        <f>IFERROR(IF([1]对账明细接口!$J$1001=0,"",[1]对账明细接口!$J$1001),"")</f>
        <v/>
      </c>
      <c r="K1001" s="18" t="str">
        <f>IFERROR(IF([1]对账明细接口!$K$1001=0,"",[1]对账明细接口!$K$1001),"")</f>
        <v/>
      </c>
      <c r="L1001" s="16" t="str">
        <f>IFERROR(IF([1]对账明细接口!$L$1001=0,"",[1]对账明细接口!$L$1001),"")</f>
        <v/>
      </c>
      <c r="M1001" s="16" t="str">
        <f>IFERROR(IF([1]对账明细接口!$M$1001=0,"",[1]对账明细接口!$M$1001),"")</f>
        <v/>
      </c>
      <c r="N1001" s="19">
        <f t="shared" si="30"/>
        <v>0</v>
      </c>
      <c r="O1001" s="19">
        <f t="shared" si="31"/>
        <v>420</v>
      </c>
      <c r="S1001" s="20" t="str">
        <f>IFERROR(IF([1]对账明细接口!$N1001=0,"",[1]对账明细接口!$N1001),"")</f>
        <v/>
      </c>
      <c r="T1001" s="21" t="str">
        <f>IFERROR(IF([1]对账明细接口!$O1001=0,"",[1]对账明细接口!$O1001),"")</f>
        <v/>
      </c>
      <c r="U1001" s="21" t="str">
        <f>IFERROR(IF([1]对账明细接口!$P1001=0,"",[1]对账明细接口!$P1001),"")</f>
        <v/>
      </c>
      <c r="V1001" s="21" t="str">
        <f>IFERROR(IF([1]对账明细接口!$Q1001=0,"",[1]对账明细接口!$Q1001),"")</f>
        <v/>
      </c>
      <c r="W1001" s="20" t="str">
        <f>IFERROR(IF([1]对账明细接口!$R1001=0,"",[1]对账明细接口!$R1001),"")</f>
        <v/>
      </c>
      <c r="X1001" s="20" t="str">
        <f>IFERROR(IF([1]对账明细接口!$S1001=0,"",[1]对账明细接口!$S1001),"")</f>
        <v/>
      </c>
      <c r="Y1001" s="20" t="str">
        <f>IFERROR(IF([1]对账明细接口!$T1001=0,"",[1]对账明细接口!$T1001),"")</f>
        <v/>
      </c>
      <c r="Z1001" s="24" t="str">
        <f>IFERROR(IF([1]对账明细接口!$U1001=0,"",[1]对账明细接口!$U1001),"")</f>
        <v/>
      </c>
      <c r="AA1001" s="24" t="str">
        <f>IFERROR(IF([1]对账明细接口!$V1001=0,"",[1]对账明细接口!$V1001),"")</f>
        <v/>
      </c>
      <c r="AB1001" s="20" t="str">
        <f>IFERROR(IF([1]对账明细接口!$W1001=0,"",[1]对账明细接口!$W1001),"")</f>
        <v/>
      </c>
      <c r="AC1001" s="7" t="str">
        <f>IFERROR(IF([1]对账明细接口!$X1001=0,"",[1]对账明细接口!$X1001),"")</f>
        <v/>
      </c>
      <c r="AD1001" s="7" t="str">
        <f>IFERROR(IF([1]对账明细接口!$Y1001=0,"",[1]对账明细接口!$Y1001),"")</f>
        <v/>
      </c>
      <c r="AE1001" s="7" t="str">
        <f>IFERROR(IF([1]对账明细接口!$AA1001=0,"",[1]对账明细接口!$AA1001),"")</f>
        <v/>
      </c>
      <c r="AF1001" s="7" t="str">
        <f>IFERROR(IF([1]对账明细接口!$AB1001=0,"",[1]对账明细接口!$AB1001),"")</f>
        <v/>
      </c>
      <c r="AG1001" s="7" t="str">
        <f>IFERROR(IF([1]对账明细接口!$AC1001=0,"",[1]对账明细接口!$AC1001),"")</f>
        <v/>
      </c>
      <c r="AH1001" s="7" t="str">
        <f>IFERROR(IF([1]对账明细接口!$AD1001=0,"",[1]对账明细接口!$AD1001),"")</f>
        <v/>
      </c>
      <c r="AI1001" s="7" t="str">
        <f>IFERROR(IF([1]对账明细接口!$AE1001=0,"",[1]对账明细接口!$AE1001),"")</f>
        <v/>
      </c>
      <c r="AJ1001" s="7" t="str">
        <f>IFERROR(IF([1]对账明细接口!$AF1001=0,"",[1]对账明细接口!$AF1001),"")</f>
        <v/>
      </c>
    </row>
    <row r="1002" ht="14.25" customHeight="1" spans="1:36">
      <c r="A1002" s="14">
        <v>1002</v>
      </c>
      <c r="B1002" s="15" t="str">
        <f>IFERROR(IF([1]对账明细接口!$B$1002=0,"",[1]对账明细接口!$B$1002),"")</f>
        <v/>
      </c>
      <c r="C1002" s="16" t="str">
        <f>IFERROR(IF([1]对账明细接口!$C$1002=0,"",[1]对账明细接口!$C$1002),"")</f>
        <v/>
      </c>
      <c r="D1002" s="16" t="str">
        <f>IFERROR(IF([1]对账明细接口!$D$1002=0,"",[1]对账明细接口!$D$1002),"")</f>
        <v/>
      </c>
      <c r="E1002" s="16" t="str">
        <f>IFERROR(IF([1]对账明细接口!$E$1002=0,"",[1]对账明细接口!$E$1002),"")</f>
        <v/>
      </c>
      <c r="F1002" s="16" t="str">
        <f>IFERROR(IF([1]对账明细接口!$F$1002=0,"",[1]对账明细接口!$F$1002),"")</f>
        <v/>
      </c>
      <c r="G1002" s="16" t="str">
        <f>IFERROR(IF([1]对账明细接口!$G$1002=0,"",[1]对账明细接口!$G$1002),"")</f>
        <v/>
      </c>
      <c r="H1002" s="17" t="str">
        <f>IFERROR(IF([1]对账明细接口!$H$1002=0,"",[1]对账明细接口!$H$1002),"")</f>
        <v/>
      </c>
      <c r="I1002" s="16" t="str">
        <f>IFERROR(IF([1]对账明细接口!$I$1002=0,"",[1]对账明细接口!$I$1002),"")</f>
        <v/>
      </c>
      <c r="J1002" s="18" t="str">
        <f>IFERROR(IF([1]对账明细接口!$J$1002=0,"",[1]对账明细接口!$J$1002),"")</f>
        <v/>
      </c>
      <c r="K1002" s="18" t="str">
        <f>IFERROR(IF([1]对账明细接口!$K$1002=0,"",[1]对账明细接口!$K$1002),"")</f>
        <v/>
      </c>
      <c r="L1002" s="16" t="str">
        <f>IFERROR(IF([1]对账明细接口!$L$1002=0,"",[1]对账明细接口!$L$1002),"")</f>
        <v/>
      </c>
      <c r="M1002" s="16" t="str">
        <f>IFERROR(IF([1]对账明细接口!$M$1002=0,"",[1]对账明细接口!$M$1002),"")</f>
        <v/>
      </c>
      <c r="N1002" s="19">
        <f t="shared" si="30"/>
        <v>0</v>
      </c>
      <c r="O1002" s="19">
        <f t="shared" si="31"/>
        <v>420</v>
      </c>
      <c r="S1002" s="20" t="str">
        <f>IFERROR(IF([1]对账明细接口!$N1002=0,"",[1]对账明细接口!$N1002),"")</f>
        <v/>
      </c>
      <c r="T1002" s="21" t="str">
        <f>IFERROR(IF([1]对账明细接口!$O1002=0,"",[1]对账明细接口!$O1002),"")</f>
        <v/>
      </c>
      <c r="U1002" s="21" t="str">
        <f>IFERROR(IF([1]对账明细接口!$P1002=0,"",[1]对账明细接口!$P1002),"")</f>
        <v/>
      </c>
      <c r="V1002" s="21" t="str">
        <f>IFERROR(IF([1]对账明细接口!$Q1002=0,"",[1]对账明细接口!$Q1002),"")</f>
        <v/>
      </c>
      <c r="W1002" s="20" t="str">
        <f>IFERROR(IF([1]对账明细接口!$R1002=0,"",[1]对账明细接口!$R1002),"")</f>
        <v/>
      </c>
      <c r="X1002" s="20" t="str">
        <f>IFERROR(IF([1]对账明细接口!$S1002=0,"",[1]对账明细接口!$S1002),"")</f>
        <v/>
      </c>
      <c r="Y1002" s="20" t="str">
        <f>IFERROR(IF([1]对账明细接口!$T1002=0,"",[1]对账明细接口!$T1002),"")</f>
        <v/>
      </c>
      <c r="Z1002" s="24" t="str">
        <f>IFERROR(IF([1]对账明细接口!$U1002=0,"",[1]对账明细接口!$U1002),"")</f>
        <v/>
      </c>
      <c r="AA1002" s="24" t="str">
        <f>IFERROR(IF([1]对账明细接口!$V1002=0,"",[1]对账明细接口!$V1002),"")</f>
        <v/>
      </c>
      <c r="AB1002" s="20" t="str">
        <f>IFERROR(IF([1]对账明细接口!$W1002=0,"",[1]对账明细接口!$W1002),"")</f>
        <v/>
      </c>
      <c r="AC1002" s="7" t="str">
        <f>IFERROR(IF([1]对账明细接口!$X1002=0,"",[1]对账明细接口!$X1002),"")</f>
        <v/>
      </c>
      <c r="AD1002" s="7" t="str">
        <f>IFERROR(IF([1]对账明细接口!$Y1002=0,"",[1]对账明细接口!$Y1002),"")</f>
        <v/>
      </c>
      <c r="AE1002" s="7" t="str">
        <f>IFERROR(IF([1]对账明细接口!$AA1002=0,"",[1]对账明细接口!$AA1002),"")</f>
        <v/>
      </c>
      <c r="AF1002" s="7" t="str">
        <f>IFERROR(IF([1]对账明细接口!$AB1002=0,"",[1]对账明细接口!$AB1002),"")</f>
        <v/>
      </c>
      <c r="AG1002" s="7" t="str">
        <f>IFERROR(IF([1]对账明细接口!$AC1002=0,"",[1]对账明细接口!$AC1002),"")</f>
        <v/>
      </c>
      <c r="AH1002" s="7" t="str">
        <f>IFERROR(IF([1]对账明细接口!$AD1002=0,"",[1]对账明细接口!$AD1002),"")</f>
        <v/>
      </c>
      <c r="AI1002" s="7" t="str">
        <f>IFERROR(IF([1]对账明细接口!$AE1002=0,"",[1]对账明细接口!$AE1002),"")</f>
        <v/>
      </c>
      <c r="AJ1002" s="7" t="str">
        <f>IFERROR(IF([1]对账明细接口!$AF1002=0,"",[1]对账明细接口!$AF1002),"")</f>
        <v/>
      </c>
    </row>
    <row r="1003" ht="14.25" customHeight="1" spans="1:36">
      <c r="A1003" s="14">
        <v>1003</v>
      </c>
      <c r="B1003" s="15" t="str">
        <f>IFERROR(IF([1]对账明细接口!$B$1003=0,"",[1]对账明细接口!$B$1003),"")</f>
        <v/>
      </c>
      <c r="C1003" s="16" t="str">
        <f>IFERROR(IF([1]对账明细接口!$C$1003=0,"",[1]对账明细接口!$C$1003),"")</f>
        <v/>
      </c>
      <c r="D1003" s="16" t="str">
        <f>IFERROR(IF([1]对账明细接口!$D$1003=0,"",[1]对账明细接口!$D$1003),"")</f>
        <v/>
      </c>
      <c r="E1003" s="16" t="str">
        <f>IFERROR(IF([1]对账明细接口!$E$1003=0,"",[1]对账明细接口!$E$1003),"")</f>
        <v/>
      </c>
      <c r="F1003" s="16" t="str">
        <f>IFERROR(IF([1]对账明细接口!$F$1003=0,"",[1]对账明细接口!$F$1003),"")</f>
        <v/>
      </c>
      <c r="G1003" s="16" t="str">
        <f>IFERROR(IF([1]对账明细接口!$G$1003=0,"",[1]对账明细接口!$G$1003),"")</f>
        <v/>
      </c>
      <c r="H1003" s="17" t="str">
        <f>IFERROR(IF([1]对账明细接口!$H$1003=0,"",[1]对账明细接口!$H$1003),"")</f>
        <v/>
      </c>
      <c r="I1003" s="16" t="str">
        <f>IFERROR(IF([1]对账明细接口!$I$1003=0,"",[1]对账明细接口!$I$1003),"")</f>
        <v/>
      </c>
      <c r="J1003" s="18" t="str">
        <f>IFERROR(IF([1]对账明细接口!$J$1003=0,"",[1]对账明细接口!$J$1003),"")</f>
        <v/>
      </c>
      <c r="K1003" s="18" t="str">
        <f>IFERROR(IF([1]对账明细接口!$K$1003=0,"",[1]对账明细接口!$K$1003),"")</f>
        <v/>
      </c>
      <c r="L1003" s="16" t="str">
        <f>IFERROR(IF([1]对账明细接口!$L$1003=0,"",[1]对账明细接口!$L$1003),"")</f>
        <v/>
      </c>
      <c r="M1003" s="16" t="str">
        <f>IFERROR(IF([1]对账明细接口!$M$1003=0,"",[1]对账明细接口!$M$1003),"")</f>
        <v/>
      </c>
      <c r="N1003" s="19">
        <f t="shared" si="30"/>
        <v>0</v>
      </c>
      <c r="O1003" s="19">
        <f t="shared" si="31"/>
        <v>420</v>
      </c>
      <c r="S1003" s="20" t="str">
        <f>IFERROR(IF([1]对账明细接口!$N1003=0,"",[1]对账明细接口!$N1003),"")</f>
        <v/>
      </c>
      <c r="T1003" s="21" t="str">
        <f>IFERROR(IF([1]对账明细接口!$O1003=0,"",[1]对账明细接口!$O1003),"")</f>
        <v/>
      </c>
      <c r="U1003" s="21" t="str">
        <f>IFERROR(IF([1]对账明细接口!$P1003=0,"",[1]对账明细接口!$P1003),"")</f>
        <v/>
      </c>
      <c r="V1003" s="21" t="str">
        <f>IFERROR(IF([1]对账明细接口!$Q1003=0,"",[1]对账明细接口!$Q1003),"")</f>
        <v/>
      </c>
      <c r="W1003" s="20" t="str">
        <f>IFERROR(IF([1]对账明细接口!$R1003=0,"",[1]对账明细接口!$R1003),"")</f>
        <v/>
      </c>
      <c r="X1003" s="20" t="str">
        <f>IFERROR(IF([1]对账明细接口!$S1003=0,"",[1]对账明细接口!$S1003),"")</f>
        <v/>
      </c>
      <c r="Y1003" s="20" t="str">
        <f>IFERROR(IF([1]对账明细接口!$T1003=0,"",[1]对账明细接口!$T1003),"")</f>
        <v/>
      </c>
      <c r="Z1003" s="24" t="str">
        <f>IFERROR(IF([1]对账明细接口!$U1003=0,"",[1]对账明细接口!$U1003),"")</f>
        <v/>
      </c>
      <c r="AA1003" s="24" t="str">
        <f>IFERROR(IF([1]对账明细接口!$V1003=0,"",[1]对账明细接口!$V1003),"")</f>
        <v/>
      </c>
      <c r="AB1003" s="20" t="str">
        <f>IFERROR(IF([1]对账明细接口!$W1003=0,"",[1]对账明细接口!$W1003),"")</f>
        <v/>
      </c>
      <c r="AC1003" s="7" t="str">
        <f>IFERROR(IF([1]对账明细接口!$X1003=0,"",[1]对账明细接口!$X1003),"")</f>
        <v/>
      </c>
      <c r="AD1003" s="7" t="str">
        <f>IFERROR(IF([1]对账明细接口!$Y1003=0,"",[1]对账明细接口!$Y1003),"")</f>
        <v/>
      </c>
      <c r="AE1003" s="7" t="str">
        <f>IFERROR(IF([1]对账明细接口!$AA1003=0,"",[1]对账明细接口!$AA1003),"")</f>
        <v/>
      </c>
      <c r="AF1003" s="7" t="str">
        <f>IFERROR(IF([1]对账明细接口!$AB1003=0,"",[1]对账明细接口!$AB1003),"")</f>
        <v/>
      </c>
      <c r="AG1003" s="7" t="str">
        <f>IFERROR(IF([1]对账明细接口!$AC1003=0,"",[1]对账明细接口!$AC1003),"")</f>
        <v/>
      </c>
      <c r="AH1003" s="7" t="str">
        <f>IFERROR(IF([1]对账明细接口!$AD1003=0,"",[1]对账明细接口!$AD1003),"")</f>
        <v/>
      </c>
      <c r="AI1003" s="7" t="str">
        <f>IFERROR(IF([1]对账明细接口!$AE1003=0,"",[1]对账明细接口!$AE1003),"")</f>
        <v/>
      </c>
      <c r="AJ1003" s="7" t="str">
        <f>IFERROR(IF([1]对账明细接口!$AF1003=0,"",[1]对账明细接口!$AF1003),"")</f>
        <v/>
      </c>
    </row>
    <row r="1004" ht="14.25" customHeight="1" spans="1:36">
      <c r="A1004" s="14">
        <v>1004</v>
      </c>
      <c r="B1004" s="15" t="str">
        <f>IFERROR(IF([1]对账明细接口!$B$1004=0,"",[1]对账明细接口!$B$1004),"")</f>
        <v/>
      </c>
      <c r="C1004" s="16" t="str">
        <f>IFERROR(IF([1]对账明细接口!$C$1004=0,"",[1]对账明细接口!$C$1004),"")</f>
        <v/>
      </c>
      <c r="D1004" s="16" t="str">
        <f>IFERROR(IF([1]对账明细接口!$D$1004=0,"",[1]对账明细接口!$D$1004),"")</f>
        <v/>
      </c>
      <c r="E1004" s="16" t="str">
        <f>IFERROR(IF([1]对账明细接口!$E$1004=0,"",[1]对账明细接口!$E$1004),"")</f>
        <v/>
      </c>
      <c r="F1004" s="16" t="str">
        <f>IFERROR(IF([1]对账明细接口!$F$1004=0,"",[1]对账明细接口!$F$1004),"")</f>
        <v/>
      </c>
      <c r="G1004" s="16" t="str">
        <f>IFERROR(IF([1]对账明细接口!$G$1004=0,"",[1]对账明细接口!$G$1004),"")</f>
        <v/>
      </c>
      <c r="H1004" s="17" t="str">
        <f>IFERROR(IF([1]对账明细接口!$H$1004=0,"",[1]对账明细接口!$H$1004),"")</f>
        <v/>
      </c>
      <c r="I1004" s="16" t="str">
        <f>IFERROR(IF([1]对账明细接口!$I$1004=0,"",[1]对账明细接口!$I$1004),"")</f>
        <v/>
      </c>
      <c r="J1004" s="18" t="str">
        <f>IFERROR(IF([1]对账明细接口!$J$1004=0,"",[1]对账明细接口!$J$1004),"")</f>
        <v/>
      </c>
      <c r="K1004" s="18" t="str">
        <f>IFERROR(IF([1]对账明细接口!$K$1004=0,"",[1]对账明细接口!$K$1004),"")</f>
        <v/>
      </c>
      <c r="L1004" s="16" t="str">
        <f>IFERROR(IF([1]对账明细接口!$L$1004=0,"",[1]对账明细接口!$L$1004),"")</f>
        <v/>
      </c>
      <c r="M1004" s="16" t="str">
        <f>IFERROR(IF([1]对账明细接口!$M$1004=0,"",[1]对账明细接口!$M$1004),"")</f>
        <v/>
      </c>
      <c r="N1004" s="19">
        <f t="shared" si="30"/>
        <v>0</v>
      </c>
      <c r="O1004" s="19">
        <f t="shared" si="31"/>
        <v>420</v>
      </c>
      <c r="S1004" s="20" t="str">
        <f>IFERROR(IF([1]对账明细接口!$N1004=0,"",[1]对账明细接口!$N1004),"")</f>
        <v/>
      </c>
      <c r="T1004" s="21" t="str">
        <f>IFERROR(IF([1]对账明细接口!$O1004=0,"",[1]对账明细接口!$O1004),"")</f>
        <v/>
      </c>
      <c r="U1004" s="21" t="str">
        <f>IFERROR(IF([1]对账明细接口!$P1004=0,"",[1]对账明细接口!$P1004),"")</f>
        <v/>
      </c>
      <c r="V1004" s="21" t="str">
        <f>IFERROR(IF([1]对账明细接口!$Q1004=0,"",[1]对账明细接口!$Q1004),"")</f>
        <v/>
      </c>
      <c r="W1004" s="20" t="str">
        <f>IFERROR(IF([1]对账明细接口!$R1004=0,"",[1]对账明细接口!$R1004),"")</f>
        <v/>
      </c>
      <c r="X1004" s="20" t="str">
        <f>IFERROR(IF([1]对账明细接口!$S1004=0,"",[1]对账明细接口!$S1004),"")</f>
        <v/>
      </c>
      <c r="Y1004" s="20" t="str">
        <f>IFERROR(IF([1]对账明细接口!$T1004=0,"",[1]对账明细接口!$T1004),"")</f>
        <v/>
      </c>
      <c r="Z1004" s="24" t="str">
        <f>IFERROR(IF([1]对账明细接口!$U1004=0,"",[1]对账明细接口!$U1004),"")</f>
        <v/>
      </c>
      <c r="AA1004" s="24" t="str">
        <f>IFERROR(IF([1]对账明细接口!$V1004=0,"",[1]对账明细接口!$V1004),"")</f>
        <v/>
      </c>
      <c r="AB1004" s="20" t="str">
        <f>IFERROR(IF([1]对账明细接口!$W1004=0,"",[1]对账明细接口!$W1004),"")</f>
        <v/>
      </c>
      <c r="AC1004" s="7" t="str">
        <f>IFERROR(IF([1]对账明细接口!$X1004=0,"",[1]对账明细接口!$X1004),"")</f>
        <v/>
      </c>
      <c r="AD1004" s="7" t="str">
        <f>IFERROR(IF([1]对账明细接口!$Y1004=0,"",[1]对账明细接口!$Y1004),"")</f>
        <v/>
      </c>
      <c r="AE1004" s="7" t="str">
        <f>IFERROR(IF([1]对账明细接口!$AA1004=0,"",[1]对账明细接口!$AA1004),"")</f>
        <v/>
      </c>
      <c r="AF1004" s="7" t="str">
        <f>IFERROR(IF([1]对账明细接口!$AB1004=0,"",[1]对账明细接口!$AB1004),"")</f>
        <v/>
      </c>
      <c r="AG1004" s="7" t="str">
        <f>IFERROR(IF([1]对账明细接口!$AC1004=0,"",[1]对账明细接口!$AC1004),"")</f>
        <v/>
      </c>
      <c r="AH1004" s="7" t="str">
        <f>IFERROR(IF([1]对账明细接口!$AD1004=0,"",[1]对账明细接口!$AD1004),"")</f>
        <v/>
      </c>
      <c r="AI1004" s="7" t="str">
        <f>IFERROR(IF([1]对账明细接口!$AE1004=0,"",[1]对账明细接口!$AE1004),"")</f>
        <v/>
      </c>
      <c r="AJ1004" s="7" t="str">
        <f>IFERROR(IF([1]对账明细接口!$AF1004=0,"",[1]对账明细接口!$AF1004),"")</f>
        <v/>
      </c>
    </row>
    <row r="1005" ht="14.25" customHeight="1" spans="1:36">
      <c r="A1005" s="14">
        <v>1005</v>
      </c>
      <c r="B1005" s="15" t="str">
        <f>IFERROR(IF([1]对账明细接口!$B$1005=0,"",[1]对账明细接口!$B$1005),"")</f>
        <v/>
      </c>
      <c r="C1005" s="16" t="str">
        <f>IFERROR(IF([1]对账明细接口!$C$1005=0,"",[1]对账明细接口!$C$1005),"")</f>
        <v/>
      </c>
      <c r="D1005" s="16" t="str">
        <f>IFERROR(IF([1]对账明细接口!$D$1005=0,"",[1]对账明细接口!$D$1005),"")</f>
        <v/>
      </c>
      <c r="E1005" s="16" t="str">
        <f>IFERROR(IF([1]对账明细接口!$E$1005=0,"",[1]对账明细接口!$E$1005),"")</f>
        <v/>
      </c>
      <c r="F1005" s="16" t="str">
        <f>IFERROR(IF([1]对账明细接口!$F$1005=0,"",[1]对账明细接口!$F$1005),"")</f>
        <v/>
      </c>
      <c r="G1005" s="16" t="str">
        <f>IFERROR(IF([1]对账明细接口!$G$1005=0,"",[1]对账明细接口!$G$1005),"")</f>
        <v/>
      </c>
      <c r="H1005" s="17" t="str">
        <f>IFERROR(IF([1]对账明细接口!$H$1005=0,"",[1]对账明细接口!$H$1005),"")</f>
        <v/>
      </c>
      <c r="I1005" s="16" t="str">
        <f>IFERROR(IF([1]对账明细接口!$I$1005=0,"",[1]对账明细接口!$I$1005),"")</f>
        <v/>
      </c>
      <c r="J1005" s="18" t="str">
        <f>IFERROR(IF([1]对账明细接口!$J$1005=0,"",[1]对账明细接口!$J$1005),"")</f>
        <v/>
      </c>
      <c r="K1005" s="18" t="str">
        <f>IFERROR(IF([1]对账明细接口!$K$1005=0,"",[1]对账明细接口!$K$1005),"")</f>
        <v/>
      </c>
      <c r="L1005" s="16" t="str">
        <f>IFERROR(IF([1]对账明细接口!$L$1005=0,"",[1]对账明细接口!$L$1005),"")</f>
        <v/>
      </c>
      <c r="M1005" s="16" t="str">
        <f>IFERROR(IF([1]对账明细接口!$M$1005=0,"",[1]对账明细接口!$M$1005),"")</f>
        <v/>
      </c>
      <c r="N1005" s="19">
        <f t="shared" si="30"/>
        <v>0</v>
      </c>
      <c r="O1005" s="19">
        <f t="shared" si="31"/>
        <v>420</v>
      </c>
      <c r="S1005" s="20" t="str">
        <f>IFERROR(IF([1]对账明细接口!$N1005=0,"",[1]对账明细接口!$N1005),"")</f>
        <v/>
      </c>
      <c r="T1005" s="21" t="str">
        <f>IFERROR(IF([1]对账明细接口!$O1005=0,"",[1]对账明细接口!$O1005),"")</f>
        <v/>
      </c>
      <c r="U1005" s="21" t="str">
        <f>IFERROR(IF([1]对账明细接口!$P1005=0,"",[1]对账明细接口!$P1005),"")</f>
        <v/>
      </c>
      <c r="V1005" s="21" t="str">
        <f>IFERROR(IF([1]对账明细接口!$Q1005=0,"",[1]对账明细接口!$Q1005),"")</f>
        <v/>
      </c>
      <c r="W1005" s="20" t="str">
        <f>IFERROR(IF([1]对账明细接口!$R1005=0,"",[1]对账明细接口!$R1005),"")</f>
        <v/>
      </c>
      <c r="X1005" s="20" t="str">
        <f>IFERROR(IF([1]对账明细接口!$S1005=0,"",[1]对账明细接口!$S1005),"")</f>
        <v/>
      </c>
      <c r="Y1005" s="20" t="str">
        <f>IFERROR(IF([1]对账明细接口!$T1005=0,"",[1]对账明细接口!$T1005),"")</f>
        <v/>
      </c>
      <c r="Z1005" s="24" t="str">
        <f>IFERROR(IF([1]对账明细接口!$U1005=0,"",[1]对账明细接口!$U1005),"")</f>
        <v/>
      </c>
      <c r="AA1005" s="24" t="str">
        <f>IFERROR(IF([1]对账明细接口!$V1005=0,"",[1]对账明细接口!$V1005),"")</f>
        <v/>
      </c>
      <c r="AB1005" s="20" t="str">
        <f>IFERROR(IF([1]对账明细接口!$W1005=0,"",[1]对账明细接口!$W1005),"")</f>
        <v/>
      </c>
      <c r="AC1005" s="7" t="str">
        <f>IFERROR(IF([1]对账明细接口!$X1005=0,"",[1]对账明细接口!$X1005),"")</f>
        <v/>
      </c>
      <c r="AD1005" s="7" t="str">
        <f>IFERROR(IF([1]对账明细接口!$Y1005=0,"",[1]对账明细接口!$Y1005),"")</f>
        <v/>
      </c>
      <c r="AE1005" s="7" t="str">
        <f>IFERROR(IF([1]对账明细接口!$AA1005=0,"",[1]对账明细接口!$AA1005),"")</f>
        <v/>
      </c>
      <c r="AF1005" s="7" t="str">
        <f>IFERROR(IF([1]对账明细接口!$AB1005=0,"",[1]对账明细接口!$AB1005),"")</f>
        <v/>
      </c>
      <c r="AG1005" s="7" t="str">
        <f>IFERROR(IF([1]对账明细接口!$AC1005=0,"",[1]对账明细接口!$AC1005),"")</f>
        <v/>
      </c>
      <c r="AH1005" s="7" t="str">
        <f>IFERROR(IF([1]对账明细接口!$AD1005=0,"",[1]对账明细接口!$AD1005),"")</f>
        <v/>
      </c>
      <c r="AI1005" s="7" t="str">
        <f>IFERROR(IF([1]对账明细接口!$AE1005=0,"",[1]对账明细接口!$AE1005),"")</f>
        <v/>
      </c>
      <c r="AJ1005" s="7" t="str">
        <f>IFERROR(IF([1]对账明细接口!$AF1005=0,"",[1]对账明细接口!$AF1005),"")</f>
        <v/>
      </c>
    </row>
    <row r="1006" ht="14.25" customHeight="1" spans="1:36">
      <c r="A1006" s="14">
        <v>1006</v>
      </c>
      <c r="B1006" s="15" t="str">
        <f>IFERROR(IF([1]对账明细接口!$B$1006=0,"",[1]对账明细接口!$B$1006),"")</f>
        <v/>
      </c>
      <c r="C1006" s="16" t="str">
        <f>IFERROR(IF([1]对账明细接口!$C$1006=0,"",[1]对账明细接口!$C$1006),"")</f>
        <v/>
      </c>
      <c r="D1006" s="16" t="str">
        <f>IFERROR(IF([1]对账明细接口!$D$1006=0,"",[1]对账明细接口!$D$1006),"")</f>
        <v/>
      </c>
      <c r="E1006" s="16" t="str">
        <f>IFERROR(IF([1]对账明细接口!$E$1006=0,"",[1]对账明细接口!$E$1006),"")</f>
        <v/>
      </c>
      <c r="F1006" s="16" t="str">
        <f>IFERROR(IF([1]对账明细接口!$F$1006=0,"",[1]对账明细接口!$F$1006),"")</f>
        <v/>
      </c>
      <c r="G1006" s="16" t="str">
        <f>IFERROR(IF([1]对账明细接口!$G$1006=0,"",[1]对账明细接口!$G$1006),"")</f>
        <v/>
      </c>
      <c r="H1006" s="17" t="str">
        <f>IFERROR(IF([1]对账明细接口!$H$1006=0,"",[1]对账明细接口!$H$1006),"")</f>
        <v/>
      </c>
      <c r="I1006" s="16" t="str">
        <f>IFERROR(IF([1]对账明细接口!$I$1006=0,"",[1]对账明细接口!$I$1006),"")</f>
        <v/>
      </c>
      <c r="J1006" s="18" t="str">
        <f>IFERROR(IF([1]对账明细接口!$J$1006=0,"",[1]对账明细接口!$J$1006),"")</f>
        <v/>
      </c>
      <c r="K1006" s="18" t="str">
        <f>IFERROR(IF([1]对账明细接口!$K$1006=0,"",[1]对账明细接口!$K$1006),"")</f>
        <v/>
      </c>
      <c r="L1006" s="16" t="str">
        <f>IFERROR(IF([1]对账明细接口!$L$1006=0,"",[1]对账明细接口!$L$1006),"")</f>
        <v/>
      </c>
      <c r="M1006" s="16" t="str">
        <f>IFERROR(IF([1]对账明细接口!$M$1006=0,"",[1]对账明细接口!$M$1006),"")</f>
        <v/>
      </c>
      <c r="N1006" s="19">
        <f t="shared" si="30"/>
        <v>0</v>
      </c>
      <c r="O1006" s="19">
        <f t="shared" si="31"/>
        <v>420</v>
      </c>
      <c r="S1006" s="20" t="str">
        <f>IFERROR(IF([1]对账明细接口!$N1006=0,"",[1]对账明细接口!$N1006),"")</f>
        <v/>
      </c>
      <c r="T1006" s="21" t="str">
        <f>IFERROR(IF([1]对账明细接口!$O1006=0,"",[1]对账明细接口!$O1006),"")</f>
        <v/>
      </c>
      <c r="U1006" s="21" t="str">
        <f>IFERROR(IF([1]对账明细接口!$P1006=0,"",[1]对账明细接口!$P1006),"")</f>
        <v/>
      </c>
      <c r="V1006" s="21" t="str">
        <f>IFERROR(IF([1]对账明细接口!$Q1006=0,"",[1]对账明细接口!$Q1006),"")</f>
        <v/>
      </c>
      <c r="W1006" s="20" t="str">
        <f>IFERROR(IF([1]对账明细接口!$R1006=0,"",[1]对账明细接口!$R1006),"")</f>
        <v/>
      </c>
      <c r="X1006" s="20" t="str">
        <f>IFERROR(IF([1]对账明细接口!$S1006=0,"",[1]对账明细接口!$S1006),"")</f>
        <v/>
      </c>
      <c r="Y1006" s="20" t="str">
        <f>IFERROR(IF([1]对账明细接口!$T1006=0,"",[1]对账明细接口!$T1006),"")</f>
        <v/>
      </c>
      <c r="Z1006" s="24" t="str">
        <f>IFERROR(IF([1]对账明细接口!$U1006=0,"",[1]对账明细接口!$U1006),"")</f>
        <v/>
      </c>
      <c r="AA1006" s="24" t="str">
        <f>IFERROR(IF([1]对账明细接口!$V1006=0,"",[1]对账明细接口!$V1006),"")</f>
        <v/>
      </c>
      <c r="AB1006" s="20" t="str">
        <f>IFERROR(IF([1]对账明细接口!$W1006=0,"",[1]对账明细接口!$W1006),"")</f>
        <v/>
      </c>
      <c r="AC1006" s="7" t="str">
        <f>IFERROR(IF([1]对账明细接口!$X1006=0,"",[1]对账明细接口!$X1006),"")</f>
        <v/>
      </c>
      <c r="AD1006" s="7" t="str">
        <f>IFERROR(IF([1]对账明细接口!$Y1006=0,"",[1]对账明细接口!$Y1006),"")</f>
        <v/>
      </c>
      <c r="AE1006" s="7" t="str">
        <f>IFERROR(IF([1]对账明细接口!$AA1006=0,"",[1]对账明细接口!$AA1006),"")</f>
        <v/>
      </c>
      <c r="AF1006" s="7" t="str">
        <f>IFERROR(IF([1]对账明细接口!$AB1006=0,"",[1]对账明细接口!$AB1006),"")</f>
        <v/>
      </c>
      <c r="AG1006" s="7" t="str">
        <f>IFERROR(IF([1]对账明细接口!$AC1006=0,"",[1]对账明细接口!$AC1006),"")</f>
        <v/>
      </c>
      <c r="AH1006" s="7" t="str">
        <f>IFERROR(IF([1]对账明细接口!$AD1006=0,"",[1]对账明细接口!$AD1006),"")</f>
        <v/>
      </c>
      <c r="AI1006" s="7" t="str">
        <f>IFERROR(IF([1]对账明细接口!$AE1006=0,"",[1]对账明细接口!$AE1006),"")</f>
        <v/>
      </c>
      <c r="AJ1006" s="7" t="str">
        <f>IFERROR(IF([1]对账明细接口!$AF1006=0,"",[1]对账明细接口!$AF1006),"")</f>
        <v/>
      </c>
    </row>
    <row r="1007" ht="14.25" customHeight="1" spans="1:36">
      <c r="A1007" s="14">
        <v>1007</v>
      </c>
      <c r="B1007" s="15" t="str">
        <f>IFERROR(IF([1]对账明细接口!$B$1007=0,"",[1]对账明细接口!$B$1007),"")</f>
        <v/>
      </c>
      <c r="C1007" s="16" t="str">
        <f>IFERROR(IF([1]对账明细接口!$C$1007=0,"",[1]对账明细接口!$C$1007),"")</f>
        <v/>
      </c>
      <c r="D1007" s="16" t="str">
        <f>IFERROR(IF([1]对账明细接口!$D$1007=0,"",[1]对账明细接口!$D$1007),"")</f>
        <v/>
      </c>
      <c r="E1007" s="16" t="str">
        <f>IFERROR(IF([1]对账明细接口!$E$1007=0,"",[1]对账明细接口!$E$1007),"")</f>
        <v/>
      </c>
      <c r="F1007" s="16" t="str">
        <f>IFERROR(IF([1]对账明细接口!$F$1007=0,"",[1]对账明细接口!$F$1007),"")</f>
        <v/>
      </c>
      <c r="G1007" s="16" t="str">
        <f>IFERROR(IF([1]对账明细接口!$G$1007=0,"",[1]对账明细接口!$G$1007),"")</f>
        <v/>
      </c>
      <c r="H1007" s="17" t="str">
        <f>IFERROR(IF([1]对账明细接口!$H$1007=0,"",[1]对账明细接口!$H$1007),"")</f>
        <v/>
      </c>
      <c r="I1007" s="16" t="str">
        <f>IFERROR(IF([1]对账明细接口!$I$1007=0,"",[1]对账明细接口!$I$1007),"")</f>
        <v/>
      </c>
      <c r="J1007" s="18" t="str">
        <f>IFERROR(IF([1]对账明细接口!$J$1007=0,"",[1]对账明细接口!$J$1007),"")</f>
        <v/>
      </c>
      <c r="K1007" s="18" t="str">
        <f>IFERROR(IF([1]对账明细接口!$K$1007=0,"",[1]对账明细接口!$K$1007),"")</f>
        <v/>
      </c>
      <c r="L1007" s="16" t="str">
        <f>IFERROR(IF([1]对账明细接口!$L$1007=0,"",[1]对账明细接口!$L$1007),"")</f>
        <v/>
      </c>
      <c r="M1007" s="16" t="str">
        <f>IFERROR(IF([1]对账明细接口!$M$1007=0,"",[1]对账明细接口!$M$1007),"")</f>
        <v/>
      </c>
      <c r="N1007" s="19">
        <f t="shared" si="30"/>
        <v>0</v>
      </c>
      <c r="O1007" s="19">
        <f t="shared" si="31"/>
        <v>420</v>
      </c>
      <c r="S1007" s="20" t="str">
        <f>IFERROR(IF([1]对账明细接口!$N1007=0,"",[1]对账明细接口!$N1007),"")</f>
        <v/>
      </c>
      <c r="T1007" s="21" t="str">
        <f>IFERROR(IF([1]对账明细接口!$O1007=0,"",[1]对账明细接口!$O1007),"")</f>
        <v/>
      </c>
      <c r="U1007" s="21" t="str">
        <f>IFERROR(IF([1]对账明细接口!$P1007=0,"",[1]对账明细接口!$P1007),"")</f>
        <v/>
      </c>
      <c r="V1007" s="21" t="str">
        <f>IFERROR(IF([1]对账明细接口!$Q1007=0,"",[1]对账明细接口!$Q1007),"")</f>
        <v/>
      </c>
      <c r="W1007" s="20" t="str">
        <f>IFERROR(IF([1]对账明细接口!$R1007=0,"",[1]对账明细接口!$R1007),"")</f>
        <v/>
      </c>
      <c r="X1007" s="20" t="str">
        <f>IFERROR(IF([1]对账明细接口!$S1007=0,"",[1]对账明细接口!$S1007),"")</f>
        <v/>
      </c>
      <c r="Y1007" s="20" t="str">
        <f>IFERROR(IF([1]对账明细接口!$T1007=0,"",[1]对账明细接口!$T1007),"")</f>
        <v/>
      </c>
      <c r="Z1007" s="24" t="str">
        <f>IFERROR(IF([1]对账明细接口!$U1007=0,"",[1]对账明细接口!$U1007),"")</f>
        <v/>
      </c>
      <c r="AA1007" s="24" t="str">
        <f>IFERROR(IF([1]对账明细接口!$V1007=0,"",[1]对账明细接口!$V1007),"")</f>
        <v/>
      </c>
      <c r="AB1007" s="20" t="str">
        <f>IFERROR(IF([1]对账明细接口!$W1007=0,"",[1]对账明细接口!$W1007),"")</f>
        <v/>
      </c>
      <c r="AC1007" s="7" t="str">
        <f>IFERROR(IF([1]对账明细接口!$X1007=0,"",[1]对账明细接口!$X1007),"")</f>
        <v/>
      </c>
      <c r="AD1007" s="7" t="str">
        <f>IFERROR(IF([1]对账明细接口!$Y1007=0,"",[1]对账明细接口!$Y1007),"")</f>
        <v/>
      </c>
      <c r="AE1007" s="7" t="str">
        <f>IFERROR(IF([1]对账明细接口!$AA1007=0,"",[1]对账明细接口!$AA1007),"")</f>
        <v/>
      </c>
      <c r="AF1007" s="7" t="str">
        <f>IFERROR(IF([1]对账明细接口!$AB1007=0,"",[1]对账明细接口!$AB1007),"")</f>
        <v/>
      </c>
      <c r="AG1007" s="7" t="str">
        <f>IFERROR(IF([1]对账明细接口!$AC1007=0,"",[1]对账明细接口!$AC1007),"")</f>
        <v/>
      </c>
      <c r="AH1007" s="7" t="str">
        <f>IFERROR(IF([1]对账明细接口!$AD1007=0,"",[1]对账明细接口!$AD1007),"")</f>
        <v/>
      </c>
      <c r="AI1007" s="7" t="str">
        <f>IFERROR(IF([1]对账明细接口!$AE1007=0,"",[1]对账明细接口!$AE1007),"")</f>
        <v/>
      </c>
      <c r="AJ1007" s="7" t="str">
        <f>IFERROR(IF([1]对账明细接口!$AF1007=0,"",[1]对账明细接口!$AF1007),"")</f>
        <v/>
      </c>
    </row>
    <row r="1008" ht="14.25" customHeight="1" spans="1:36">
      <c r="A1008" s="14">
        <v>1008</v>
      </c>
      <c r="B1008" s="15" t="str">
        <f>IFERROR(IF([1]对账明细接口!$B$1008=0,"",[1]对账明细接口!$B$1008),"")</f>
        <v/>
      </c>
      <c r="C1008" s="16" t="str">
        <f>IFERROR(IF([1]对账明细接口!$C$1008=0,"",[1]对账明细接口!$C$1008),"")</f>
        <v/>
      </c>
      <c r="D1008" s="16" t="str">
        <f>IFERROR(IF([1]对账明细接口!$D$1008=0,"",[1]对账明细接口!$D$1008),"")</f>
        <v/>
      </c>
      <c r="E1008" s="16" t="str">
        <f>IFERROR(IF([1]对账明细接口!$E$1008=0,"",[1]对账明细接口!$E$1008),"")</f>
        <v/>
      </c>
      <c r="F1008" s="16" t="str">
        <f>IFERROR(IF([1]对账明细接口!$F$1008=0,"",[1]对账明细接口!$F$1008),"")</f>
        <v/>
      </c>
      <c r="G1008" s="16" t="str">
        <f>IFERROR(IF([1]对账明细接口!$G$1008=0,"",[1]对账明细接口!$G$1008),"")</f>
        <v/>
      </c>
      <c r="H1008" s="17" t="str">
        <f>IFERROR(IF([1]对账明细接口!$H$1008=0,"",[1]对账明细接口!$H$1008),"")</f>
        <v/>
      </c>
      <c r="I1008" s="16" t="str">
        <f>IFERROR(IF([1]对账明细接口!$I$1008=0,"",[1]对账明细接口!$I$1008),"")</f>
        <v/>
      </c>
      <c r="J1008" s="18" t="str">
        <f>IFERROR(IF([1]对账明细接口!$J$1008=0,"",[1]对账明细接口!$J$1008),"")</f>
        <v/>
      </c>
      <c r="K1008" s="18" t="str">
        <f>IFERROR(IF([1]对账明细接口!$K$1008=0,"",[1]对账明细接口!$K$1008),"")</f>
        <v/>
      </c>
      <c r="L1008" s="16" t="str">
        <f>IFERROR(IF([1]对账明细接口!$L$1008=0,"",[1]对账明细接口!$L$1008),"")</f>
        <v/>
      </c>
      <c r="M1008" s="16" t="str">
        <f>IFERROR(IF([1]对账明细接口!$M$1008=0,"",[1]对账明细接口!$M$1008),"")</f>
        <v/>
      </c>
      <c r="N1008" s="19">
        <f t="shared" si="30"/>
        <v>0</v>
      </c>
      <c r="O1008" s="19">
        <f t="shared" si="31"/>
        <v>420</v>
      </c>
      <c r="S1008" s="20" t="str">
        <f>IFERROR(IF([1]对账明细接口!$N1008=0,"",[1]对账明细接口!$N1008),"")</f>
        <v/>
      </c>
      <c r="T1008" s="21" t="str">
        <f>IFERROR(IF([1]对账明细接口!$O1008=0,"",[1]对账明细接口!$O1008),"")</f>
        <v/>
      </c>
      <c r="U1008" s="21" t="str">
        <f>IFERROR(IF([1]对账明细接口!$P1008=0,"",[1]对账明细接口!$P1008),"")</f>
        <v/>
      </c>
      <c r="V1008" s="21" t="str">
        <f>IFERROR(IF([1]对账明细接口!$Q1008=0,"",[1]对账明细接口!$Q1008),"")</f>
        <v/>
      </c>
      <c r="W1008" s="20" t="str">
        <f>IFERROR(IF([1]对账明细接口!$R1008=0,"",[1]对账明细接口!$R1008),"")</f>
        <v/>
      </c>
      <c r="X1008" s="20" t="str">
        <f>IFERROR(IF([1]对账明细接口!$S1008=0,"",[1]对账明细接口!$S1008),"")</f>
        <v/>
      </c>
      <c r="Y1008" s="20" t="str">
        <f>IFERROR(IF([1]对账明细接口!$T1008=0,"",[1]对账明细接口!$T1008),"")</f>
        <v/>
      </c>
      <c r="Z1008" s="24" t="str">
        <f>IFERROR(IF([1]对账明细接口!$U1008=0,"",[1]对账明细接口!$U1008),"")</f>
        <v/>
      </c>
      <c r="AA1008" s="24" t="str">
        <f>IFERROR(IF([1]对账明细接口!$V1008=0,"",[1]对账明细接口!$V1008),"")</f>
        <v/>
      </c>
      <c r="AB1008" s="20" t="str">
        <f>IFERROR(IF([1]对账明细接口!$W1008=0,"",[1]对账明细接口!$W1008),"")</f>
        <v/>
      </c>
      <c r="AC1008" s="7" t="str">
        <f>IFERROR(IF([1]对账明细接口!$X1008=0,"",[1]对账明细接口!$X1008),"")</f>
        <v/>
      </c>
      <c r="AD1008" s="7" t="str">
        <f>IFERROR(IF([1]对账明细接口!$Y1008=0,"",[1]对账明细接口!$Y1008),"")</f>
        <v/>
      </c>
      <c r="AE1008" s="7" t="str">
        <f>IFERROR(IF([1]对账明细接口!$AA1008=0,"",[1]对账明细接口!$AA1008),"")</f>
        <v/>
      </c>
      <c r="AF1008" s="7" t="str">
        <f>IFERROR(IF([1]对账明细接口!$AB1008=0,"",[1]对账明细接口!$AB1008),"")</f>
        <v/>
      </c>
      <c r="AG1008" s="7" t="str">
        <f>IFERROR(IF([1]对账明细接口!$AC1008=0,"",[1]对账明细接口!$AC1008),"")</f>
        <v/>
      </c>
      <c r="AH1008" s="7" t="str">
        <f>IFERROR(IF([1]对账明细接口!$AD1008=0,"",[1]对账明细接口!$AD1008),"")</f>
        <v/>
      </c>
      <c r="AI1008" s="7" t="str">
        <f>IFERROR(IF([1]对账明细接口!$AE1008=0,"",[1]对账明细接口!$AE1008),"")</f>
        <v/>
      </c>
      <c r="AJ1008" s="7" t="str">
        <f>IFERROR(IF([1]对账明细接口!$AF1008=0,"",[1]对账明细接口!$AF1008),"")</f>
        <v/>
      </c>
    </row>
    <row r="1009" ht="14.25" customHeight="1" spans="1:36">
      <c r="A1009" s="14">
        <v>1009</v>
      </c>
      <c r="B1009" s="15" t="str">
        <f>IFERROR(IF([1]对账明细接口!$B$1009=0,"",[1]对账明细接口!$B$1009),"")</f>
        <v/>
      </c>
      <c r="C1009" s="16" t="str">
        <f>IFERROR(IF([1]对账明细接口!$C$1009=0,"",[1]对账明细接口!$C$1009),"")</f>
        <v/>
      </c>
      <c r="D1009" s="16" t="str">
        <f>IFERROR(IF([1]对账明细接口!$D$1009=0,"",[1]对账明细接口!$D$1009),"")</f>
        <v/>
      </c>
      <c r="E1009" s="16" t="str">
        <f>IFERROR(IF([1]对账明细接口!$E$1009=0,"",[1]对账明细接口!$E$1009),"")</f>
        <v/>
      </c>
      <c r="F1009" s="16" t="str">
        <f>IFERROR(IF([1]对账明细接口!$F$1009=0,"",[1]对账明细接口!$F$1009),"")</f>
        <v/>
      </c>
      <c r="G1009" s="16" t="str">
        <f>IFERROR(IF([1]对账明细接口!$G$1009=0,"",[1]对账明细接口!$G$1009),"")</f>
        <v/>
      </c>
      <c r="H1009" s="17" t="str">
        <f>IFERROR(IF([1]对账明细接口!$H$1009=0,"",[1]对账明细接口!$H$1009),"")</f>
        <v/>
      </c>
      <c r="I1009" s="16" t="str">
        <f>IFERROR(IF([1]对账明细接口!$I$1009=0,"",[1]对账明细接口!$I$1009),"")</f>
        <v/>
      </c>
      <c r="J1009" s="18" t="str">
        <f>IFERROR(IF([1]对账明细接口!$J$1009=0,"",[1]对账明细接口!$J$1009),"")</f>
        <v/>
      </c>
      <c r="K1009" s="18" t="str">
        <f>IFERROR(IF([1]对账明细接口!$K$1009=0,"",[1]对账明细接口!$K$1009),"")</f>
        <v/>
      </c>
      <c r="L1009" s="16" t="str">
        <f>IFERROR(IF([1]对账明细接口!$L$1009=0,"",[1]对账明细接口!$L$1009),"")</f>
        <v/>
      </c>
      <c r="M1009" s="16" t="str">
        <f>IFERROR(IF([1]对账明细接口!$M$1009=0,"",[1]对账明细接口!$M$1009),"")</f>
        <v/>
      </c>
      <c r="N1009" s="19">
        <f t="shared" si="30"/>
        <v>0</v>
      </c>
      <c r="O1009" s="19">
        <f t="shared" si="31"/>
        <v>420</v>
      </c>
      <c r="S1009" s="20" t="str">
        <f>IFERROR(IF([1]对账明细接口!$N1009=0,"",[1]对账明细接口!$N1009),"")</f>
        <v/>
      </c>
      <c r="T1009" s="21" t="str">
        <f>IFERROR(IF([1]对账明细接口!$O1009=0,"",[1]对账明细接口!$O1009),"")</f>
        <v/>
      </c>
      <c r="U1009" s="21" t="str">
        <f>IFERROR(IF([1]对账明细接口!$P1009=0,"",[1]对账明细接口!$P1009),"")</f>
        <v/>
      </c>
      <c r="V1009" s="21" t="str">
        <f>IFERROR(IF([1]对账明细接口!$Q1009=0,"",[1]对账明细接口!$Q1009),"")</f>
        <v/>
      </c>
      <c r="W1009" s="20" t="str">
        <f>IFERROR(IF([1]对账明细接口!$R1009=0,"",[1]对账明细接口!$R1009),"")</f>
        <v/>
      </c>
      <c r="X1009" s="20" t="str">
        <f>IFERROR(IF([1]对账明细接口!$S1009=0,"",[1]对账明细接口!$S1009),"")</f>
        <v/>
      </c>
      <c r="Y1009" s="20" t="str">
        <f>IFERROR(IF([1]对账明细接口!$T1009=0,"",[1]对账明细接口!$T1009),"")</f>
        <v/>
      </c>
      <c r="Z1009" s="24" t="str">
        <f>IFERROR(IF([1]对账明细接口!$U1009=0,"",[1]对账明细接口!$U1009),"")</f>
        <v/>
      </c>
      <c r="AA1009" s="24" t="str">
        <f>IFERROR(IF([1]对账明细接口!$V1009=0,"",[1]对账明细接口!$V1009),"")</f>
        <v/>
      </c>
      <c r="AB1009" s="20" t="str">
        <f>IFERROR(IF([1]对账明细接口!$W1009=0,"",[1]对账明细接口!$W1009),"")</f>
        <v/>
      </c>
      <c r="AC1009" s="7" t="str">
        <f>IFERROR(IF([1]对账明细接口!$X1009=0,"",[1]对账明细接口!$X1009),"")</f>
        <v/>
      </c>
      <c r="AD1009" s="7" t="str">
        <f>IFERROR(IF([1]对账明细接口!$Y1009=0,"",[1]对账明细接口!$Y1009),"")</f>
        <v/>
      </c>
      <c r="AE1009" s="7" t="str">
        <f>IFERROR(IF([1]对账明细接口!$AA1009=0,"",[1]对账明细接口!$AA1009),"")</f>
        <v/>
      </c>
      <c r="AF1009" s="7" t="str">
        <f>IFERROR(IF([1]对账明细接口!$AB1009=0,"",[1]对账明细接口!$AB1009),"")</f>
        <v/>
      </c>
      <c r="AG1009" s="7" t="str">
        <f>IFERROR(IF([1]对账明细接口!$AC1009=0,"",[1]对账明细接口!$AC1009),"")</f>
        <v/>
      </c>
      <c r="AH1009" s="7" t="str">
        <f>IFERROR(IF([1]对账明细接口!$AD1009=0,"",[1]对账明细接口!$AD1009),"")</f>
        <v/>
      </c>
      <c r="AI1009" s="7" t="str">
        <f>IFERROR(IF([1]对账明细接口!$AE1009=0,"",[1]对账明细接口!$AE1009),"")</f>
        <v/>
      </c>
      <c r="AJ1009" s="7" t="str">
        <f>IFERROR(IF([1]对账明细接口!$AF1009=0,"",[1]对账明细接口!$AF1009),"")</f>
        <v/>
      </c>
    </row>
    <row r="1010" ht="14.25" customHeight="1" spans="1:36">
      <c r="A1010" s="14">
        <v>1010</v>
      </c>
      <c r="B1010" s="15" t="str">
        <f>IFERROR(IF([1]对账明细接口!$B$1010=0,"",[1]对账明细接口!$B$1010),"")</f>
        <v/>
      </c>
      <c r="C1010" s="16" t="str">
        <f>IFERROR(IF([1]对账明细接口!$C$1010=0,"",[1]对账明细接口!$C$1010),"")</f>
        <v/>
      </c>
      <c r="D1010" s="16" t="str">
        <f>IFERROR(IF([1]对账明细接口!$D$1010=0,"",[1]对账明细接口!$D$1010),"")</f>
        <v/>
      </c>
      <c r="E1010" s="16" t="str">
        <f>IFERROR(IF([1]对账明细接口!$E$1010=0,"",[1]对账明细接口!$E$1010),"")</f>
        <v/>
      </c>
      <c r="F1010" s="16" t="str">
        <f>IFERROR(IF([1]对账明细接口!$F$1010=0,"",[1]对账明细接口!$F$1010),"")</f>
        <v/>
      </c>
      <c r="G1010" s="16" t="str">
        <f>IFERROR(IF([1]对账明细接口!$G$1010=0,"",[1]对账明细接口!$G$1010),"")</f>
        <v/>
      </c>
      <c r="H1010" s="17" t="str">
        <f>IFERROR(IF([1]对账明细接口!$H$1010=0,"",[1]对账明细接口!$H$1010),"")</f>
        <v/>
      </c>
      <c r="I1010" s="16" t="str">
        <f>IFERROR(IF([1]对账明细接口!$I$1010=0,"",[1]对账明细接口!$I$1010),"")</f>
        <v/>
      </c>
      <c r="J1010" s="18" t="str">
        <f>IFERROR(IF([1]对账明细接口!$J$1010=0,"",[1]对账明细接口!$J$1010),"")</f>
        <v/>
      </c>
      <c r="K1010" s="18" t="str">
        <f>IFERROR(IF([1]对账明细接口!$K$1010=0,"",[1]对账明细接口!$K$1010),"")</f>
        <v/>
      </c>
      <c r="L1010" s="16" t="str">
        <f>IFERROR(IF([1]对账明细接口!$L$1010=0,"",[1]对账明细接口!$L$1010),"")</f>
        <v/>
      </c>
      <c r="M1010" s="16" t="str">
        <f>IFERROR(IF([1]对账明细接口!$M$1010=0,"",[1]对账明细接口!$M$1010),"")</f>
        <v/>
      </c>
      <c r="N1010" s="19">
        <f t="shared" si="30"/>
        <v>0</v>
      </c>
      <c r="O1010" s="19">
        <f t="shared" si="31"/>
        <v>420</v>
      </c>
      <c r="S1010" s="20" t="str">
        <f>IFERROR(IF([1]对账明细接口!$N1010=0,"",[1]对账明细接口!$N1010),"")</f>
        <v/>
      </c>
      <c r="T1010" s="21" t="str">
        <f>IFERROR(IF([1]对账明细接口!$O1010=0,"",[1]对账明细接口!$O1010),"")</f>
        <v/>
      </c>
      <c r="U1010" s="21" t="str">
        <f>IFERROR(IF([1]对账明细接口!$P1010=0,"",[1]对账明细接口!$P1010),"")</f>
        <v/>
      </c>
      <c r="V1010" s="21" t="str">
        <f>IFERROR(IF([1]对账明细接口!$Q1010=0,"",[1]对账明细接口!$Q1010),"")</f>
        <v/>
      </c>
      <c r="W1010" s="20" t="str">
        <f>IFERROR(IF([1]对账明细接口!$R1010=0,"",[1]对账明细接口!$R1010),"")</f>
        <v/>
      </c>
      <c r="X1010" s="20" t="str">
        <f>IFERROR(IF([1]对账明细接口!$S1010=0,"",[1]对账明细接口!$S1010),"")</f>
        <v/>
      </c>
      <c r="Y1010" s="20" t="str">
        <f>IFERROR(IF([1]对账明细接口!$T1010=0,"",[1]对账明细接口!$T1010),"")</f>
        <v/>
      </c>
      <c r="Z1010" s="24" t="str">
        <f>IFERROR(IF([1]对账明细接口!$U1010=0,"",[1]对账明细接口!$U1010),"")</f>
        <v/>
      </c>
      <c r="AA1010" s="24" t="str">
        <f>IFERROR(IF([1]对账明细接口!$V1010=0,"",[1]对账明细接口!$V1010),"")</f>
        <v/>
      </c>
      <c r="AB1010" s="20" t="str">
        <f>IFERROR(IF([1]对账明细接口!$W1010=0,"",[1]对账明细接口!$W1010),"")</f>
        <v/>
      </c>
      <c r="AC1010" s="7" t="str">
        <f>IFERROR(IF([1]对账明细接口!$X1010=0,"",[1]对账明细接口!$X1010),"")</f>
        <v/>
      </c>
      <c r="AD1010" s="7" t="str">
        <f>IFERROR(IF([1]对账明细接口!$Y1010=0,"",[1]对账明细接口!$Y1010),"")</f>
        <v/>
      </c>
      <c r="AE1010" s="7" t="str">
        <f>IFERROR(IF([1]对账明细接口!$AA1010=0,"",[1]对账明细接口!$AA1010),"")</f>
        <v/>
      </c>
      <c r="AF1010" s="7" t="str">
        <f>IFERROR(IF([1]对账明细接口!$AB1010=0,"",[1]对账明细接口!$AB1010),"")</f>
        <v/>
      </c>
      <c r="AG1010" s="7" t="str">
        <f>IFERROR(IF([1]对账明细接口!$AC1010=0,"",[1]对账明细接口!$AC1010),"")</f>
        <v/>
      </c>
      <c r="AH1010" s="7" t="str">
        <f>IFERROR(IF([1]对账明细接口!$AD1010=0,"",[1]对账明细接口!$AD1010),"")</f>
        <v/>
      </c>
      <c r="AI1010" s="7" t="str">
        <f>IFERROR(IF([1]对账明细接口!$AE1010=0,"",[1]对账明细接口!$AE1010),"")</f>
        <v/>
      </c>
      <c r="AJ1010" s="7" t="str">
        <f>IFERROR(IF([1]对账明细接口!$AF1010=0,"",[1]对账明细接口!$AF1010),"")</f>
        <v/>
      </c>
    </row>
    <row r="1011" ht="14.25" customHeight="1" spans="1:36">
      <c r="A1011" s="14">
        <v>1011</v>
      </c>
      <c r="B1011" s="15" t="str">
        <f>IFERROR(IF([1]对账明细接口!$B$1011=0,"",[1]对账明细接口!$B$1011),"")</f>
        <v/>
      </c>
      <c r="C1011" s="16" t="str">
        <f>IFERROR(IF([1]对账明细接口!$C$1011=0,"",[1]对账明细接口!$C$1011),"")</f>
        <v/>
      </c>
      <c r="D1011" s="16" t="str">
        <f>IFERROR(IF([1]对账明细接口!$D$1011=0,"",[1]对账明细接口!$D$1011),"")</f>
        <v/>
      </c>
      <c r="E1011" s="16" t="str">
        <f>IFERROR(IF([1]对账明细接口!$E$1011=0,"",[1]对账明细接口!$E$1011),"")</f>
        <v/>
      </c>
      <c r="F1011" s="16" t="str">
        <f>IFERROR(IF([1]对账明细接口!$F$1011=0,"",[1]对账明细接口!$F$1011),"")</f>
        <v/>
      </c>
      <c r="G1011" s="16" t="str">
        <f>IFERROR(IF([1]对账明细接口!$G$1011=0,"",[1]对账明细接口!$G$1011),"")</f>
        <v/>
      </c>
      <c r="H1011" s="17" t="str">
        <f>IFERROR(IF([1]对账明细接口!$H$1011=0,"",[1]对账明细接口!$H$1011),"")</f>
        <v/>
      </c>
      <c r="I1011" s="16" t="str">
        <f>IFERROR(IF([1]对账明细接口!$I$1011=0,"",[1]对账明细接口!$I$1011),"")</f>
        <v/>
      </c>
      <c r="J1011" s="18" t="str">
        <f>IFERROR(IF([1]对账明细接口!$J$1011=0,"",[1]对账明细接口!$J$1011),"")</f>
        <v/>
      </c>
      <c r="K1011" s="18" t="str">
        <f>IFERROR(IF([1]对账明细接口!$K$1011=0,"",[1]对账明细接口!$K$1011),"")</f>
        <v/>
      </c>
      <c r="L1011" s="16" t="str">
        <f>IFERROR(IF([1]对账明细接口!$L$1011=0,"",[1]对账明细接口!$L$1011),"")</f>
        <v/>
      </c>
      <c r="M1011" s="16" t="str">
        <f>IFERROR(IF([1]对账明细接口!$M$1011=0,"",[1]对账明细接口!$M$1011),"")</f>
        <v/>
      </c>
      <c r="N1011" s="19">
        <f t="shared" si="30"/>
        <v>0</v>
      </c>
      <c r="O1011" s="19">
        <f t="shared" si="31"/>
        <v>420</v>
      </c>
      <c r="S1011" s="20" t="str">
        <f>IFERROR(IF([1]对账明细接口!$N1011=0,"",[1]对账明细接口!$N1011),"")</f>
        <v/>
      </c>
      <c r="T1011" s="21" t="str">
        <f>IFERROR(IF([1]对账明细接口!$O1011=0,"",[1]对账明细接口!$O1011),"")</f>
        <v/>
      </c>
      <c r="U1011" s="21" t="str">
        <f>IFERROR(IF([1]对账明细接口!$P1011=0,"",[1]对账明细接口!$P1011),"")</f>
        <v/>
      </c>
      <c r="V1011" s="21" t="str">
        <f>IFERROR(IF([1]对账明细接口!$Q1011=0,"",[1]对账明细接口!$Q1011),"")</f>
        <v/>
      </c>
      <c r="W1011" s="20" t="str">
        <f>IFERROR(IF([1]对账明细接口!$R1011=0,"",[1]对账明细接口!$R1011),"")</f>
        <v/>
      </c>
      <c r="X1011" s="20" t="str">
        <f>IFERROR(IF([1]对账明细接口!$S1011=0,"",[1]对账明细接口!$S1011),"")</f>
        <v/>
      </c>
      <c r="Y1011" s="20" t="str">
        <f>IFERROR(IF([1]对账明细接口!$T1011=0,"",[1]对账明细接口!$T1011),"")</f>
        <v/>
      </c>
      <c r="Z1011" s="24" t="str">
        <f>IFERROR(IF([1]对账明细接口!$U1011=0,"",[1]对账明细接口!$U1011),"")</f>
        <v/>
      </c>
      <c r="AA1011" s="24" t="str">
        <f>IFERROR(IF([1]对账明细接口!$V1011=0,"",[1]对账明细接口!$V1011),"")</f>
        <v/>
      </c>
      <c r="AB1011" s="20" t="str">
        <f>IFERROR(IF([1]对账明细接口!$W1011=0,"",[1]对账明细接口!$W1011),"")</f>
        <v/>
      </c>
      <c r="AC1011" s="7" t="str">
        <f>IFERROR(IF([1]对账明细接口!$X1011=0,"",[1]对账明细接口!$X1011),"")</f>
        <v/>
      </c>
      <c r="AD1011" s="7" t="str">
        <f>IFERROR(IF([1]对账明细接口!$Y1011=0,"",[1]对账明细接口!$Y1011),"")</f>
        <v/>
      </c>
      <c r="AE1011" s="7" t="str">
        <f>IFERROR(IF([1]对账明细接口!$AA1011=0,"",[1]对账明细接口!$AA1011),"")</f>
        <v/>
      </c>
      <c r="AF1011" s="7" t="str">
        <f>IFERROR(IF([1]对账明细接口!$AB1011=0,"",[1]对账明细接口!$AB1011),"")</f>
        <v/>
      </c>
      <c r="AG1011" s="7" t="str">
        <f>IFERROR(IF([1]对账明细接口!$AC1011=0,"",[1]对账明细接口!$AC1011),"")</f>
        <v/>
      </c>
      <c r="AH1011" s="7" t="str">
        <f>IFERROR(IF([1]对账明细接口!$AD1011=0,"",[1]对账明细接口!$AD1011),"")</f>
        <v/>
      </c>
      <c r="AI1011" s="7" t="str">
        <f>IFERROR(IF([1]对账明细接口!$AE1011=0,"",[1]对账明细接口!$AE1011),"")</f>
        <v/>
      </c>
      <c r="AJ1011" s="7" t="str">
        <f>IFERROR(IF([1]对账明细接口!$AF1011=0,"",[1]对账明细接口!$AF1011),"")</f>
        <v/>
      </c>
    </row>
    <row r="1012" ht="14.25" customHeight="1" spans="1:36">
      <c r="A1012" s="14">
        <v>1012</v>
      </c>
      <c r="B1012" s="15" t="str">
        <f>IFERROR(IF([1]对账明细接口!$B$1012=0,"",[1]对账明细接口!$B$1012),"")</f>
        <v/>
      </c>
      <c r="C1012" s="16" t="str">
        <f>IFERROR(IF([1]对账明细接口!$C$1012=0,"",[1]对账明细接口!$C$1012),"")</f>
        <v/>
      </c>
      <c r="D1012" s="16" t="str">
        <f>IFERROR(IF([1]对账明细接口!$D$1012=0,"",[1]对账明细接口!$D$1012),"")</f>
        <v/>
      </c>
      <c r="E1012" s="16" t="str">
        <f>IFERROR(IF([1]对账明细接口!$E$1012=0,"",[1]对账明细接口!$E$1012),"")</f>
        <v/>
      </c>
      <c r="F1012" s="16" t="str">
        <f>IFERROR(IF([1]对账明细接口!$F$1012=0,"",[1]对账明细接口!$F$1012),"")</f>
        <v/>
      </c>
      <c r="G1012" s="16" t="str">
        <f>IFERROR(IF([1]对账明细接口!$G$1012=0,"",[1]对账明细接口!$G$1012),"")</f>
        <v/>
      </c>
      <c r="H1012" s="17" t="str">
        <f>IFERROR(IF([1]对账明细接口!$H$1012=0,"",[1]对账明细接口!$H$1012),"")</f>
        <v/>
      </c>
      <c r="I1012" s="16" t="str">
        <f>IFERROR(IF([1]对账明细接口!$I$1012=0,"",[1]对账明细接口!$I$1012),"")</f>
        <v/>
      </c>
      <c r="J1012" s="18" t="str">
        <f>IFERROR(IF([1]对账明细接口!$J$1012=0,"",[1]对账明细接口!$J$1012),"")</f>
        <v/>
      </c>
      <c r="K1012" s="18" t="str">
        <f>IFERROR(IF([1]对账明细接口!$K$1012=0,"",[1]对账明细接口!$K$1012),"")</f>
        <v/>
      </c>
      <c r="L1012" s="16" t="str">
        <f>IFERROR(IF([1]对账明细接口!$L$1012=0,"",[1]对账明细接口!$L$1012),"")</f>
        <v/>
      </c>
      <c r="M1012" s="16" t="str">
        <f>IFERROR(IF([1]对账明细接口!$M$1012=0,"",[1]对账明细接口!$M$1012),"")</f>
        <v/>
      </c>
      <c r="N1012" s="19">
        <f t="shared" si="30"/>
        <v>0</v>
      </c>
      <c r="O1012" s="19">
        <f t="shared" si="31"/>
        <v>420</v>
      </c>
      <c r="S1012" s="20" t="str">
        <f>IFERROR(IF([1]对账明细接口!$N1012=0,"",[1]对账明细接口!$N1012),"")</f>
        <v/>
      </c>
      <c r="T1012" s="21" t="str">
        <f>IFERROR(IF([1]对账明细接口!$O1012=0,"",[1]对账明细接口!$O1012),"")</f>
        <v/>
      </c>
      <c r="U1012" s="21" t="str">
        <f>IFERROR(IF([1]对账明细接口!$P1012=0,"",[1]对账明细接口!$P1012),"")</f>
        <v/>
      </c>
      <c r="V1012" s="21" t="str">
        <f>IFERROR(IF([1]对账明细接口!$Q1012=0,"",[1]对账明细接口!$Q1012),"")</f>
        <v/>
      </c>
      <c r="W1012" s="20" t="str">
        <f>IFERROR(IF([1]对账明细接口!$R1012=0,"",[1]对账明细接口!$R1012),"")</f>
        <v/>
      </c>
      <c r="X1012" s="20" t="str">
        <f>IFERROR(IF([1]对账明细接口!$S1012=0,"",[1]对账明细接口!$S1012),"")</f>
        <v/>
      </c>
      <c r="Y1012" s="20" t="str">
        <f>IFERROR(IF([1]对账明细接口!$T1012=0,"",[1]对账明细接口!$T1012),"")</f>
        <v/>
      </c>
      <c r="Z1012" s="24" t="str">
        <f>IFERROR(IF([1]对账明细接口!$U1012=0,"",[1]对账明细接口!$U1012),"")</f>
        <v/>
      </c>
      <c r="AA1012" s="24" t="str">
        <f>IFERROR(IF([1]对账明细接口!$V1012=0,"",[1]对账明细接口!$V1012),"")</f>
        <v/>
      </c>
      <c r="AB1012" s="20" t="str">
        <f>IFERROR(IF([1]对账明细接口!$W1012=0,"",[1]对账明细接口!$W1012),"")</f>
        <v/>
      </c>
      <c r="AC1012" s="7" t="str">
        <f>IFERROR(IF([1]对账明细接口!$X1012=0,"",[1]对账明细接口!$X1012),"")</f>
        <v/>
      </c>
      <c r="AD1012" s="7" t="str">
        <f>IFERROR(IF([1]对账明细接口!$Y1012=0,"",[1]对账明细接口!$Y1012),"")</f>
        <v/>
      </c>
      <c r="AE1012" s="7" t="str">
        <f>IFERROR(IF([1]对账明细接口!$AA1012=0,"",[1]对账明细接口!$AA1012),"")</f>
        <v/>
      </c>
      <c r="AF1012" s="7" t="str">
        <f>IFERROR(IF([1]对账明细接口!$AB1012=0,"",[1]对账明细接口!$AB1012),"")</f>
        <v/>
      </c>
      <c r="AG1012" s="7" t="str">
        <f>IFERROR(IF([1]对账明细接口!$AC1012=0,"",[1]对账明细接口!$AC1012),"")</f>
        <v/>
      </c>
      <c r="AH1012" s="7" t="str">
        <f>IFERROR(IF([1]对账明细接口!$AD1012=0,"",[1]对账明细接口!$AD1012),"")</f>
        <v/>
      </c>
      <c r="AI1012" s="7" t="str">
        <f>IFERROR(IF([1]对账明细接口!$AE1012=0,"",[1]对账明细接口!$AE1012),"")</f>
        <v/>
      </c>
      <c r="AJ1012" s="7" t="str">
        <f>IFERROR(IF([1]对账明细接口!$AF1012=0,"",[1]对账明细接口!$AF1012),"")</f>
        <v/>
      </c>
    </row>
    <row r="1013" ht="14.25" customHeight="1" spans="1:36">
      <c r="A1013" s="14">
        <v>1013</v>
      </c>
      <c r="B1013" s="15" t="str">
        <f>IFERROR(IF([1]对账明细接口!$B$1013=0,"",[1]对账明细接口!$B$1013),"")</f>
        <v/>
      </c>
      <c r="C1013" s="16" t="str">
        <f>IFERROR(IF([1]对账明细接口!$C$1013=0,"",[1]对账明细接口!$C$1013),"")</f>
        <v/>
      </c>
      <c r="D1013" s="16" t="str">
        <f>IFERROR(IF([1]对账明细接口!$D$1013=0,"",[1]对账明细接口!$D$1013),"")</f>
        <v/>
      </c>
      <c r="E1013" s="16" t="str">
        <f>IFERROR(IF([1]对账明细接口!$E$1013=0,"",[1]对账明细接口!$E$1013),"")</f>
        <v/>
      </c>
      <c r="F1013" s="16" t="str">
        <f>IFERROR(IF([1]对账明细接口!$F$1013=0,"",[1]对账明细接口!$F$1013),"")</f>
        <v/>
      </c>
      <c r="G1013" s="16" t="str">
        <f>IFERROR(IF([1]对账明细接口!$G$1013=0,"",[1]对账明细接口!$G$1013),"")</f>
        <v/>
      </c>
      <c r="H1013" s="17" t="str">
        <f>IFERROR(IF([1]对账明细接口!$H$1013=0,"",[1]对账明细接口!$H$1013),"")</f>
        <v/>
      </c>
      <c r="I1013" s="16" t="str">
        <f>IFERROR(IF([1]对账明细接口!$I$1013=0,"",[1]对账明细接口!$I$1013),"")</f>
        <v/>
      </c>
      <c r="J1013" s="18" t="str">
        <f>IFERROR(IF([1]对账明细接口!$J$1013=0,"",[1]对账明细接口!$J$1013),"")</f>
        <v/>
      </c>
      <c r="K1013" s="18" t="str">
        <f>IFERROR(IF([1]对账明细接口!$K$1013=0,"",[1]对账明细接口!$K$1013),"")</f>
        <v/>
      </c>
      <c r="L1013" s="16" t="str">
        <f>IFERROR(IF([1]对账明细接口!$L$1013=0,"",[1]对账明细接口!$L$1013),"")</f>
        <v/>
      </c>
      <c r="M1013" s="16" t="str">
        <f>IFERROR(IF([1]对账明细接口!$M$1013=0,"",[1]对账明细接口!$M$1013),"")</f>
        <v/>
      </c>
      <c r="N1013" s="19">
        <f t="shared" si="30"/>
        <v>0</v>
      </c>
      <c r="O1013" s="19">
        <f t="shared" si="31"/>
        <v>420</v>
      </c>
      <c r="S1013" s="20" t="str">
        <f>IFERROR(IF([1]对账明细接口!$N1013=0,"",[1]对账明细接口!$N1013),"")</f>
        <v/>
      </c>
      <c r="T1013" s="21" t="str">
        <f>IFERROR(IF([1]对账明细接口!$O1013=0,"",[1]对账明细接口!$O1013),"")</f>
        <v/>
      </c>
      <c r="U1013" s="21" t="str">
        <f>IFERROR(IF([1]对账明细接口!$P1013=0,"",[1]对账明细接口!$P1013),"")</f>
        <v/>
      </c>
      <c r="V1013" s="21" t="str">
        <f>IFERROR(IF([1]对账明细接口!$Q1013=0,"",[1]对账明细接口!$Q1013),"")</f>
        <v/>
      </c>
      <c r="W1013" s="20" t="str">
        <f>IFERROR(IF([1]对账明细接口!$R1013=0,"",[1]对账明细接口!$R1013),"")</f>
        <v/>
      </c>
      <c r="X1013" s="20" t="str">
        <f>IFERROR(IF([1]对账明细接口!$S1013=0,"",[1]对账明细接口!$S1013),"")</f>
        <v/>
      </c>
      <c r="Y1013" s="20" t="str">
        <f>IFERROR(IF([1]对账明细接口!$T1013=0,"",[1]对账明细接口!$T1013),"")</f>
        <v/>
      </c>
      <c r="Z1013" s="24" t="str">
        <f>IFERROR(IF([1]对账明细接口!$U1013=0,"",[1]对账明细接口!$U1013),"")</f>
        <v/>
      </c>
      <c r="AA1013" s="24" t="str">
        <f>IFERROR(IF([1]对账明细接口!$V1013=0,"",[1]对账明细接口!$V1013),"")</f>
        <v/>
      </c>
      <c r="AB1013" s="20" t="str">
        <f>IFERROR(IF([1]对账明细接口!$W1013=0,"",[1]对账明细接口!$W1013),"")</f>
        <v/>
      </c>
      <c r="AC1013" s="7" t="str">
        <f>IFERROR(IF([1]对账明细接口!$X1013=0,"",[1]对账明细接口!$X1013),"")</f>
        <v/>
      </c>
      <c r="AD1013" s="7" t="str">
        <f>IFERROR(IF([1]对账明细接口!$Y1013=0,"",[1]对账明细接口!$Y1013),"")</f>
        <v/>
      </c>
      <c r="AE1013" s="7" t="str">
        <f>IFERROR(IF([1]对账明细接口!$AA1013=0,"",[1]对账明细接口!$AA1013),"")</f>
        <v/>
      </c>
      <c r="AF1013" s="7" t="str">
        <f>IFERROR(IF([1]对账明细接口!$AB1013=0,"",[1]对账明细接口!$AB1013),"")</f>
        <v/>
      </c>
      <c r="AG1013" s="7" t="str">
        <f>IFERROR(IF([1]对账明细接口!$AC1013=0,"",[1]对账明细接口!$AC1013),"")</f>
        <v/>
      </c>
      <c r="AH1013" s="7" t="str">
        <f>IFERROR(IF([1]对账明细接口!$AD1013=0,"",[1]对账明细接口!$AD1013),"")</f>
        <v/>
      </c>
      <c r="AI1013" s="7" t="str">
        <f>IFERROR(IF([1]对账明细接口!$AE1013=0,"",[1]对账明细接口!$AE1013),"")</f>
        <v/>
      </c>
      <c r="AJ1013" s="7" t="str">
        <f>IFERROR(IF([1]对账明细接口!$AF1013=0,"",[1]对账明细接口!$AF1013),"")</f>
        <v/>
      </c>
    </row>
    <row r="1014" ht="14.25" customHeight="1" spans="1:36">
      <c r="A1014" s="14">
        <v>1014</v>
      </c>
      <c r="B1014" s="15" t="str">
        <f>IFERROR(IF([1]对账明细接口!$B$1014=0,"",[1]对账明细接口!$B$1014),"")</f>
        <v/>
      </c>
      <c r="C1014" s="16" t="str">
        <f>IFERROR(IF([1]对账明细接口!$C$1014=0,"",[1]对账明细接口!$C$1014),"")</f>
        <v/>
      </c>
      <c r="D1014" s="16" t="str">
        <f>IFERROR(IF([1]对账明细接口!$D$1014=0,"",[1]对账明细接口!$D$1014),"")</f>
        <v/>
      </c>
      <c r="E1014" s="16" t="str">
        <f>IFERROR(IF([1]对账明细接口!$E$1014=0,"",[1]对账明细接口!$E$1014),"")</f>
        <v/>
      </c>
      <c r="F1014" s="16" t="str">
        <f>IFERROR(IF([1]对账明细接口!$F$1014=0,"",[1]对账明细接口!$F$1014),"")</f>
        <v/>
      </c>
      <c r="G1014" s="16" t="str">
        <f>IFERROR(IF([1]对账明细接口!$G$1014=0,"",[1]对账明细接口!$G$1014),"")</f>
        <v/>
      </c>
      <c r="H1014" s="17" t="str">
        <f>IFERROR(IF([1]对账明细接口!$H$1014=0,"",[1]对账明细接口!$H$1014),"")</f>
        <v/>
      </c>
      <c r="I1014" s="16" t="str">
        <f>IFERROR(IF([1]对账明细接口!$I$1014=0,"",[1]对账明细接口!$I$1014),"")</f>
        <v/>
      </c>
      <c r="J1014" s="18" t="str">
        <f>IFERROR(IF([1]对账明细接口!$J$1014=0,"",[1]对账明细接口!$J$1014),"")</f>
        <v/>
      </c>
      <c r="K1014" s="18" t="str">
        <f>IFERROR(IF([1]对账明细接口!$K$1014=0,"",[1]对账明细接口!$K$1014),"")</f>
        <v/>
      </c>
      <c r="L1014" s="16" t="str">
        <f>IFERROR(IF([1]对账明细接口!$L$1014=0,"",[1]对账明细接口!$L$1014),"")</f>
        <v/>
      </c>
      <c r="M1014" s="16" t="str">
        <f>IFERROR(IF([1]对账明细接口!$M$1014=0,"",[1]对账明细接口!$M$1014),"")</f>
        <v/>
      </c>
      <c r="N1014" s="19">
        <f t="shared" si="30"/>
        <v>0</v>
      </c>
      <c r="O1014" s="19">
        <f t="shared" si="31"/>
        <v>420</v>
      </c>
      <c r="S1014" s="20" t="str">
        <f>IFERROR(IF([1]对账明细接口!$N1014=0,"",[1]对账明细接口!$N1014),"")</f>
        <v/>
      </c>
      <c r="T1014" s="21" t="str">
        <f>IFERROR(IF([1]对账明细接口!$O1014=0,"",[1]对账明细接口!$O1014),"")</f>
        <v/>
      </c>
      <c r="U1014" s="21" t="str">
        <f>IFERROR(IF([1]对账明细接口!$P1014=0,"",[1]对账明细接口!$P1014),"")</f>
        <v/>
      </c>
      <c r="V1014" s="21" t="str">
        <f>IFERROR(IF([1]对账明细接口!$Q1014=0,"",[1]对账明细接口!$Q1014),"")</f>
        <v/>
      </c>
      <c r="W1014" s="20" t="str">
        <f>IFERROR(IF([1]对账明细接口!$R1014=0,"",[1]对账明细接口!$R1014),"")</f>
        <v/>
      </c>
      <c r="X1014" s="20" t="str">
        <f>IFERROR(IF([1]对账明细接口!$S1014=0,"",[1]对账明细接口!$S1014),"")</f>
        <v/>
      </c>
      <c r="Y1014" s="20" t="str">
        <f>IFERROR(IF([1]对账明细接口!$T1014=0,"",[1]对账明细接口!$T1014),"")</f>
        <v/>
      </c>
      <c r="Z1014" s="24" t="str">
        <f>IFERROR(IF([1]对账明细接口!$U1014=0,"",[1]对账明细接口!$U1014),"")</f>
        <v/>
      </c>
      <c r="AA1014" s="24" t="str">
        <f>IFERROR(IF([1]对账明细接口!$V1014=0,"",[1]对账明细接口!$V1014),"")</f>
        <v/>
      </c>
      <c r="AB1014" s="20" t="str">
        <f>IFERROR(IF([1]对账明细接口!$W1014=0,"",[1]对账明细接口!$W1014),"")</f>
        <v/>
      </c>
      <c r="AC1014" s="7" t="str">
        <f>IFERROR(IF([1]对账明细接口!$X1014=0,"",[1]对账明细接口!$X1014),"")</f>
        <v/>
      </c>
      <c r="AD1014" s="7" t="str">
        <f>IFERROR(IF([1]对账明细接口!$Y1014=0,"",[1]对账明细接口!$Y1014),"")</f>
        <v/>
      </c>
      <c r="AE1014" s="7" t="str">
        <f>IFERROR(IF([1]对账明细接口!$AA1014=0,"",[1]对账明细接口!$AA1014),"")</f>
        <v/>
      </c>
      <c r="AF1014" s="7" t="str">
        <f>IFERROR(IF([1]对账明细接口!$AB1014=0,"",[1]对账明细接口!$AB1014),"")</f>
        <v/>
      </c>
      <c r="AG1014" s="7" t="str">
        <f>IFERROR(IF([1]对账明细接口!$AC1014=0,"",[1]对账明细接口!$AC1014),"")</f>
        <v/>
      </c>
      <c r="AH1014" s="7" t="str">
        <f>IFERROR(IF([1]对账明细接口!$AD1014=0,"",[1]对账明细接口!$AD1014),"")</f>
        <v/>
      </c>
      <c r="AI1014" s="7" t="str">
        <f>IFERROR(IF([1]对账明细接口!$AE1014=0,"",[1]对账明细接口!$AE1014),"")</f>
        <v/>
      </c>
      <c r="AJ1014" s="7" t="str">
        <f>IFERROR(IF([1]对账明细接口!$AF1014=0,"",[1]对账明细接口!$AF1014),"")</f>
        <v/>
      </c>
    </row>
    <row r="1015" ht="14.25" customHeight="1" spans="1:36">
      <c r="A1015" s="14">
        <v>1015</v>
      </c>
      <c r="B1015" s="15" t="str">
        <f>IFERROR(IF([1]对账明细接口!$B$1015=0,"",[1]对账明细接口!$B$1015),"")</f>
        <v/>
      </c>
      <c r="C1015" s="16" t="str">
        <f>IFERROR(IF([1]对账明细接口!$C$1015=0,"",[1]对账明细接口!$C$1015),"")</f>
        <v/>
      </c>
      <c r="D1015" s="16" t="str">
        <f>IFERROR(IF([1]对账明细接口!$D$1015=0,"",[1]对账明细接口!$D$1015),"")</f>
        <v/>
      </c>
      <c r="E1015" s="16" t="str">
        <f>IFERROR(IF([1]对账明细接口!$E$1015=0,"",[1]对账明细接口!$E$1015),"")</f>
        <v/>
      </c>
      <c r="F1015" s="16" t="str">
        <f>IFERROR(IF([1]对账明细接口!$F$1015=0,"",[1]对账明细接口!$F$1015),"")</f>
        <v/>
      </c>
      <c r="G1015" s="16" t="str">
        <f>IFERROR(IF([1]对账明细接口!$G$1015=0,"",[1]对账明细接口!$G$1015),"")</f>
        <v/>
      </c>
      <c r="H1015" s="17" t="str">
        <f>IFERROR(IF([1]对账明细接口!$H$1015=0,"",[1]对账明细接口!$H$1015),"")</f>
        <v/>
      </c>
      <c r="I1015" s="16" t="str">
        <f>IFERROR(IF([1]对账明细接口!$I$1015=0,"",[1]对账明细接口!$I$1015),"")</f>
        <v/>
      </c>
      <c r="J1015" s="18" t="str">
        <f>IFERROR(IF([1]对账明细接口!$J$1015=0,"",[1]对账明细接口!$J$1015),"")</f>
        <v/>
      </c>
      <c r="K1015" s="18" t="str">
        <f>IFERROR(IF([1]对账明细接口!$K$1015=0,"",[1]对账明细接口!$K$1015),"")</f>
        <v/>
      </c>
      <c r="L1015" s="16" t="str">
        <f>IFERROR(IF([1]对账明细接口!$L$1015=0,"",[1]对账明细接口!$L$1015),"")</f>
        <v/>
      </c>
      <c r="M1015" s="16" t="str">
        <f>IFERROR(IF([1]对账明细接口!$M$1015=0,"",[1]对账明细接口!$M$1015),"")</f>
        <v/>
      </c>
      <c r="N1015" s="19">
        <f t="shared" si="30"/>
        <v>0</v>
      </c>
      <c r="O1015" s="19">
        <f t="shared" si="31"/>
        <v>420</v>
      </c>
      <c r="S1015" s="20" t="str">
        <f>IFERROR(IF([1]对账明细接口!$N1015=0,"",[1]对账明细接口!$N1015),"")</f>
        <v/>
      </c>
      <c r="T1015" s="21" t="str">
        <f>IFERROR(IF([1]对账明细接口!$O1015=0,"",[1]对账明细接口!$O1015),"")</f>
        <v/>
      </c>
      <c r="U1015" s="21" t="str">
        <f>IFERROR(IF([1]对账明细接口!$P1015=0,"",[1]对账明细接口!$P1015),"")</f>
        <v/>
      </c>
      <c r="V1015" s="21" t="str">
        <f>IFERROR(IF([1]对账明细接口!$Q1015=0,"",[1]对账明细接口!$Q1015),"")</f>
        <v/>
      </c>
      <c r="W1015" s="20" t="str">
        <f>IFERROR(IF([1]对账明细接口!$R1015=0,"",[1]对账明细接口!$R1015),"")</f>
        <v/>
      </c>
      <c r="X1015" s="20" t="str">
        <f>IFERROR(IF([1]对账明细接口!$S1015=0,"",[1]对账明细接口!$S1015),"")</f>
        <v/>
      </c>
      <c r="Y1015" s="20" t="str">
        <f>IFERROR(IF([1]对账明细接口!$T1015=0,"",[1]对账明细接口!$T1015),"")</f>
        <v/>
      </c>
      <c r="Z1015" s="24" t="str">
        <f>IFERROR(IF([1]对账明细接口!$U1015=0,"",[1]对账明细接口!$U1015),"")</f>
        <v/>
      </c>
      <c r="AA1015" s="24" t="str">
        <f>IFERROR(IF([1]对账明细接口!$V1015=0,"",[1]对账明细接口!$V1015),"")</f>
        <v/>
      </c>
      <c r="AB1015" s="20" t="str">
        <f>IFERROR(IF([1]对账明细接口!$W1015=0,"",[1]对账明细接口!$W1015),"")</f>
        <v/>
      </c>
      <c r="AC1015" s="7" t="str">
        <f>IFERROR(IF([1]对账明细接口!$X1015=0,"",[1]对账明细接口!$X1015),"")</f>
        <v/>
      </c>
      <c r="AD1015" s="7" t="str">
        <f>IFERROR(IF([1]对账明细接口!$Y1015=0,"",[1]对账明细接口!$Y1015),"")</f>
        <v/>
      </c>
      <c r="AE1015" s="7" t="str">
        <f>IFERROR(IF([1]对账明细接口!$AA1015=0,"",[1]对账明细接口!$AA1015),"")</f>
        <v/>
      </c>
      <c r="AF1015" s="7" t="str">
        <f>IFERROR(IF([1]对账明细接口!$AB1015=0,"",[1]对账明细接口!$AB1015),"")</f>
        <v/>
      </c>
      <c r="AG1015" s="7" t="str">
        <f>IFERROR(IF([1]对账明细接口!$AC1015=0,"",[1]对账明细接口!$AC1015),"")</f>
        <v/>
      </c>
      <c r="AH1015" s="7" t="str">
        <f>IFERROR(IF([1]对账明细接口!$AD1015=0,"",[1]对账明细接口!$AD1015),"")</f>
        <v/>
      </c>
      <c r="AI1015" s="7" t="str">
        <f>IFERROR(IF([1]对账明细接口!$AE1015=0,"",[1]对账明细接口!$AE1015),"")</f>
        <v/>
      </c>
      <c r="AJ1015" s="7" t="str">
        <f>IFERROR(IF([1]对账明细接口!$AF1015=0,"",[1]对账明细接口!$AF1015),"")</f>
        <v/>
      </c>
    </row>
    <row r="1016" ht="14.25" customHeight="1" spans="1:36">
      <c r="A1016" s="14">
        <v>1016</v>
      </c>
      <c r="B1016" s="15" t="str">
        <f>IFERROR(IF([1]对账明细接口!$B$1016=0,"",[1]对账明细接口!$B$1016),"")</f>
        <v/>
      </c>
      <c r="C1016" s="16" t="str">
        <f>IFERROR(IF([1]对账明细接口!$C$1016=0,"",[1]对账明细接口!$C$1016),"")</f>
        <v/>
      </c>
      <c r="D1016" s="16" t="str">
        <f>IFERROR(IF([1]对账明细接口!$D$1016=0,"",[1]对账明细接口!$D$1016),"")</f>
        <v/>
      </c>
      <c r="E1016" s="16" t="str">
        <f>IFERROR(IF([1]对账明细接口!$E$1016=0,"",[1]对账明细接口!$E$1016),"")</f>
        <v/>
      </c>
      <c r="F1016" s="16" t="str">
        <f>IFERROR(IF([1]对账明细接口!$F$1016=0,"",[1]对账明细接口!$F$1016),"")</f>
        <v/>
      </c>
      <c r="G1016" s="16" t="str">
        <f>IFERROR(IF([1]对账明细接口!$G$1016=0,"",[1]对账明细接口!$G$1016),"")</f>
        <v/>
      </c>
      <c r="H1016" s="17" t="str">
        <f>IFERROR(IF([1]对账明细接口!$H$1016=0,"",[1]对账明细接口!$H$1016),"")</f>
        <v/>
      </c>
      <c r="I1016" s="16" t="str">
        <f>IFERROR(IF([1]对账明细接口!$I$1016=0,"",[1]对账明细接口!$I$1016),"")</f>
        <v/>
      </c>
      <c r="J1016" s="18" t="str">
        <f>IFERROR(IF([1]对账明细接口!$J$1016=0,"",[1]对账明细接口!$J$1016),"")</f>
        <v/>
      </c>
      <c r="K1016" s="18" t="str">
        <f>IFERROR(IF([1]对账明细接口!$K$1016=0,"",[1]对账明细接口!$K$1016),"")</f>
        <v/>
      </c>
      <c r="L1016" s="16" t="str">
        <f>IFERROR(IF([1]对账明细接口!$L$1016=0,"",[1]对账明细接口!$L$1016),"")</f>
        <v/>
      </c>
      <c r="M1016" s="16" t="str">
        <f>IFERROR(IF([1]对账明细接口!$M$1016=0,"",[1]对账明细接口!$M$1016),"")</f>
        <v/>
      </c>
      <c r="N1016" s="19">
        <f t="shared" si="30"/>
        <v>0</v>
      </c>
      <c r="O1016" s="19">
        <f t="shared" si="31"/>
        <v>420</v>
      </c>
      <c r="S1016" s="20" t="str">
        <f>IFERROR(IF([1]对账明细接口!$N1016=0,"",[1]对账明细接口!$N1016),"")</f>
        <v/>
      </c>
      <c r="T1016" s="21" t="str">
        <f>IFERROR(IF([1]对账明细接口!$O1016=0,"",[1]对账明细接口!$O1016),"")</f>
        <v/>
      </c>
      <c r="U1016" s="21" t="str">
        <f>IFERROR(IF([1]对账明细接口!$P1016=0,"",[1]对账明细接口!$P1016),"")</f>
        <v/>
      </c>
      <c r="V1016" s="21" t="str">
        <f>IFERROR(IF([1]对账明细接口!$Q1016=0,"",[1]对账明细接口!$Q1016),"")</f>
        <v/>
      </c>
      <c r="W1016" s="20" t="str">
        <f>IFERROR(IF([1]对账明细接口!$R1016=0,"",[1]对账明细接口!$R1016),"")</f>
        <v/>
      </c>
      <c r="X1016" s="20" t="str">
        <f>IFERROR(IF([1]对账明细接口!$S1016=0,"",[1]对账明细接口!$S1016),"")</f>
        <v/>
      </c>
      <c r="Y1016" s="20" t="str">
        <f>IFERROR(IF([1]对账明细接口!$T1016=0,"",[1]对账明细接口!$T1016),"")</f>
        <v/>
      </c>
      <c r="Z1016" s="24" t="str">
        <f>IFERROR(IF([1]对账明细接口!$U1016=0,"",[1]对账明细接口!$U1016),"")</f>
        <v/>
      </c>
      <c r="AA1016" s="24" t="str">
        <f>IFERROR(IF([1]对账明细接口!$V1016=0,"",[1]对账明细接口!$V1016),"")</f>
        <v/>
      </c>
      <c r="AB1016" s="20" t="str">
        <f>IFERROR(IF([1]对账明细接口!$W1016=0,"",[1]对账明细接口!$W1016),"")</f>
        <v/>
      </c>
      <c r="AC1016" s="7" t="str">
        <f>IFERROR(IF([1]对账明细接口!$X1016=0,"",[1]对账明细接口!$X1016),"")</f>
        <v/>
      </c>
      <c r="AD1016" s="7" t="str">
        <f>IFERROR(IF([1]对账明细接口!$Y1016=0,"",[1]对账明细接口!$Y1016),"")</f>
        <v/>
      </c>
      <c r="AE1016" s="7" t="str">
        <f>IFERROR(IF([1]对账明细接口!$AA1016=0,"",[1]对账明细接口!$AA1016),"")</f>
        <v/>
      </c>
      <c r="AF1016" s="7" t="str">
        <f>IFERROR(IF([1]对账明细接口!$AB1016=0,"",[1]对账明细接口!$AB1016),"")</f>
        <v/>
      </c>
      <c r="AG1016" s="7" t="str">
        <f>IFERROR(IF([1]对账明细接口!$AC1016=0,"",[1]对账明细接口!$AC1016),"")</f>
        <v/>
      </c>
      <c r="AH1016" s="7" t="str">
        <f>IFERROR(IF([1]对账明细接口!$AD1016=0,"",[1]对账明细接口!$AD1016),"")</f>
        <v/>
      </c>
      <c r="AI1016" s="7" t="str">
        <f>IFERROR(IF([1]对账明细接口!$AE1016=0,"",[1]对账明细接口!$AE1016),"")</f>
        <v/>
      </c>
      <c r="AJ1016" s="7" t="str">
        <f>IFERROR(IF([1]对账明细接口!$AF1016=0,"",[1]对账明细接口!$AF1016),"")</f>
        <v/>
      </c>
    </row>
    <row r="1017" ht="14.25" customHeight="1" spans="1:36">
      <c r="A1017" s="14">
        <v>1017</v>
      </c>
      <c r="B1017" s="15" t="str">
        <f>IFERROR(IF([1]对账明细接口!$B$1017=0,"",[1]对账明细接口!$B$1017),"")</f>
        <v/>
      </c>
      <c r="C1017" s="16" t="str">
        <f>IFERROR(IF([1]对账明细接口!$C$1017=0,"",[1]对账明细接口!$C$1017),"")</f>
        <v/>
      </c>
      <c r="D1017" s="16" t="str">
        <f>IFERROR(IF([1]对账明细接口!$D$1017=0,"",[1]对账明细接口!$D$1017),"")</f>
        <v/>
      </c>
      <c r="E1017" s="16" t="str">
        <f>IFERROR(IF([1]对账明细接口!$E$1017=0,"",[1]对账明细接口!$E$1017),"")</f>
        <v/>
      </c>
      <c r="F1017" s="16" t="str">
        <f>IFERROR(IF([1]对账明细接口!$F$1017=0,"",[1]对账明细接口!$F$1017),"")</f>
        <v/>
      </c>
      <c r="G1017" s="16" t="str">
        <f>IFERROR(IF([1]对账明细接口!$G$1017=0,"",[1]对账明细接口!$G$1017),"")</f>
        <v/>
      </c>
      <c r="H1017" s="17" t="str">
        <f>IFERROR(IF([1]对账明细接口!$H$1017=0,"",[1]对账明细接口!$H$1017),"")</f>
        <v/>
      </c>
      <c r="I1017" s="16" t="str">
        <f>IFERROR(IF([1]对账明细接口!$I$1017=0,"",[1]对账明细接口!$I$1017),"")</f>
        <v/>
      </c>
      <c r="J1017" s="18" t="str">
        <f>IFERROR(IF([1]对账明细接口!$J$1017=0,"",[1]对账明细接口!$J$1017),"")</f>
        <v/>
      </c>
      <c r="K1017" s="18" t="str">
        <f>IFERROR(IF([1]对账明细接口!$K$1017=0,"",[1]对账明细接口!$K$1017),"")</f>
        <v/>
      </c>
      <c r="L1017" s="16" t="str">
        <f>IFERROR(IF([1]对账明细接口!$L$1017=0,"",[1]对账明细接口!$L$1017),"")</f>
        <v/>
      </c>
      <c r="M1017" s="16" t="str">
        <f>IFERROR(IF([1]对账明细接口!$M$1017=0,"",[1]对账明细接口!$M$1017),"")</f>
        <v/>
      </c>
      <c r="N1017" s="19">
        <f t="shared" si="30"/>
        <v>0</v>
      </c>
      <c r="O1017" s="19">
        <f t="shared" si="31"/>
        <v>420</v>
      </c>
      <c r="S1017" s="20" t="str">
        <f>IFERROR(IF([1]对账明细接口!$N1017=0,"",[1]对账明细接口!$N1017),"")</f>
        <v/>
      </c>
      <c r="T1017" s="21" t="str">
        <f>IFERROR(IF([1]对账明细接口!$O1017=0,"",[1]对账明细接口!$O1017),"")</f>
        <v/>
      </c>
      <c r="U1017" s="21" t="str">
        <f>IFERROR(IF([1]对账明细接口!$P1017=0,"",[1]对账明细接口!$P1017),"")</f>
        <v/>
      </c>
      <c r="V1017" s="21" t="str">
        <f>IFERROR(IF([1]对账明细接口!$Q1017=0,"",[1]对账明细接口!$Q1017),"")</f>
        <v/>
      </c>
      <c r="W1017" s="20" t="str">
        <f>IFERROR(IF([1]对账明细接口!$R1017=0,"",[1]对账明细接口!$R1017),"")</f>
        <v/>
      </c>
      <c r="X1017" s="20" t="str">
        <f>IFERROR(IF([1]对账明细接口!$S1017=0,"",[1]对账明细接口!$S1017),"")</f>
        <v/>
      </c>
      <c r="Y1017" s="20" t="str">
        <f>IFERROR(IF([1]对账明细接口!$T1017=0,"",[1]对账明细接口!$T1017),"")</f>
        <v/>
      </c>
      <c r="Z1017" s="24" t="str">
        <f>IFERROR(IF([1]对账明细接口!$U1017=0,"",[1]对账明细接口!$U1017),"")</f>
        <v/>
      </c>
      <c r="AA1017" s="24" t="str">
        <f>IFERROR(IF([1]对账明细接口!$V1017=0,"",[1]对账明细接口!$V1017),"")</f>
        <v/>
      </c>
      <c r="AB1017" s="20" t="str">
        <f>IFERROR(IF([1]对账明细接口!$W1017=0,"",[1]对账明细接口!$W1017),"")</f>
        <v/>
      </c>
      <c r="AC1017" s="7" t="str">
        <f>IFERROR(IF([1]对账明细接口!$X1017=0,"",[1]对账明细接口!$X1017),"")</f>
        <v/>
      </c>
      <c r="AD1017" s="7" t="str">
        <f>IFERROR(IF([1]对账明细接口!$Y1017=0,"",[1]对账明细接口!$Y1017),"")</f>
        <v/>
      </c>
      <c r="AE1017" s="7" t="str">
        <f>IFERROR(IF([1]对账明细接口!$AA1017=0,"",[1]对账明细接口!$AA1017),"")</f>
        <v/>
      </c>
      <c r="AF1017" s="7" t="str">
        <f>IFERROR(IF([1]对账明细接口!$AB1017=0,"",[1]对账明细接口!$AB1017),"")</f>
        <v/>
      </c>
      <c r="AG1017" s="7" t="str">
        <f>IFERROR(IF([1]对账明细接口!$AC1017=0,"",[1]对账明细接口!$AC1017),"")</f>
        <v/>
      </c>
      <c r="AH1017" s="7" t="str">
        <f>IFERROR(IF([1]对账明细接口!$AD1017=0,"",[1]对账明细接口!$AD1017),"")</f>
        <v/>
      </c>
      <c r="AI1017" s="7" t="str">
        <f>IFERROR(IF([1]对账明细接口!$AE1017=0,"",[1]对账明细接口!$AE1017),"")</f>
        <v/>
      </c>
      <c r="AJ1017" s="7" t="str">
        <f>IFERROR(IF([1]对账明细接口!$AF1017=0,"",[1]对账明细接口!$AF1017),"")</f>
        <v/>
      </c>
    </row>
    <row r="1018" ht="14.25" customHeight="1" spans="1:36">
      <c r="A1018" s="14">
        <v>1018</v>
      </c>
      <c r="B1018" s="15" t="str">
        <f>IFERROR(IF([1]对账明细接口!$B$1018=0,"",[1]对账明细接口!$B$1018),"")</f>
        <v/>
      </c>
      <c r="C1018" s="16" t="str">
        <f>IFERROR(IF([1]对账明细接口!$C$1018=0,"",[1]对账明细接口!$C$1018),"")</f>
        <v/>
      </c>
      <c r="D1018" s="16" t="str">
        <f>IFERROR(IF([1]对账明细接口!$D$1018=0,"",[1]对账明细接口!$D$1018),"")</f>
        <v/>
      </c>
      <c r="E1018" s="16" t="str">
        <f>IFERROR(IF([1]对账明细接口!$E$1018=0,"",[1]对账明细接口!$E$1018),"")</f>
        <v/>
      </c>
      <c r="F1018" s="16" t="str">
        <f>IFERROR(IF([1]对账明细接口!$F$1018=0,"",[1]对账明细接口!$F$1018),"")</f>
        <v/>
      </c>
      <c r="G1018" s="16" t="str">
        <f>IFERROR(IF([1]对账明细接口!$G$1018=0,"",[1]对账明细接口!$G$1018),"")</f>
        <v/>
      </c>
      <c r="H1018" s="17" t="str">
        <f>IFERROR(IF([1]对账明细接口!$H$1018=0,"",[1]对账明细接口!$H$1018),"")</f>
        <v/>
      </c>
      <c r="I1018" s="16" t="str">
        <f>IFERROR(IF([1]对账明细接口!$I$1018=0,"",[1]对账明细接口!$I$1018),"")</f>
        <v/>
      </c>
      <c r="J1018" s="18" t="str">
        <f>IFERROR(IF([1]对账明细接口!$J$1018=0,"",[1]对账明细接口!$J$1018),"")</f>
        <v/>
      </c>
      <c r="K1018" s="18" t="str">
        <f>IFERROR(IF([1]对账明细接口!$K$1018=0,"",[1]对账明细接口!$K$1018),"")</f>
        <v/>
      </c>
      <c r="L1018" s="16" t="str">
        <f>IFERROR(IF([1]对账明细接口!$L$1018=0,"",[1]对账明细接口!$L$1018),"")</f>
        <v/>
      </c>
      <c r="M1018" s="16" t="str">
        <f>IFERROR(IF([1]对账明细接口!$M$1018=0,"",[1]对账明细接口!$M$1018),"")</f>
        <v/>
      </c>
      <c r="N1018" s="19">
        <f t="shared" si="30"/>
        <v>0</v>
      </c>
      <c r="O1018" s="19">
        <f t="shared" si="31"/>
        <v>420</v>
      </c>
      <c r="S1018" s="20" t="str">
        <f>IFERROR(IF([1]对账明细接口!$N1018=0,"",[1]对账明细接口!$N1018),"")</f>
        <v/>
      </c>
      <c r="T1018" s="21" t="str">
        <f>IFERROR(IF([1]对账明细接口!$O1018=0,"",[1]对账明细接口!$O1018),"")</f>
        <v/>
      </c>
      <c r="U1018" s="21" t="str">
        <f>IFERROR(IF([1]对账明细接口!$P1018=0,"",[1]对账明细接口!$P1018),"")</f>
        <v/>
      </c>
      <c r="V1018" s="21" t="str">
        <f>IFERROR(IF([1]对账明细接口!$Q1018=0,"",[1]对账明细接口!$Q1018),"")</f>
        <v/>
      </c>
      <c r="W1018" s="20" t="str">
        <f>IFERROR(IF([1]对账明细接口!$R1018=0,"",[1]对账明细接口!$R1018),"")</f>
        <v/>
      </c>
      <c r="X1018" s="20" t="str">
        <f>IFERROR(IF([1]对账明细接口!$S1018=0,"",[1]对账明细接口!$S1018),"")</f>
        <v/>
      </c>
      <c r="Y1018" s="20" t="str">
        <f>IFERROR(IF([1]对账明细接口!$T1018=0,"",[1]对账明细接口!$T1018),"")</f>
        <v/>
      </c>
      <c r="Z1018" s="24" t="str">
        <f>IFERROR(IF([1]对账明细接口!$U1018=0,"",[1]对账明细接口!$U1018),"")</f>
        <v/>
      </c>
      <c r="AA1018" s="24" t="str">
        <f>IFERROR(IF([1]对账明细接口!$V1018=0,"",[1]对账明细接口!$V1018),"")</f>
        <v/>
      </c>
      <c r="AB1018" s="20" t="str">
        <f>IFERROR(IF([1]对账明细接口!$W1018=0,"",[1]对账明细接口!$W1018),"")</f>
        <v/>
      </c>
      <c r="AC1018" s="7" t="str">
        <f>IFERROR(IF([1]对账明细接口!$X1018=0,"",[1]对账明细接口!$X1018),"")</f>
        <v/>
      </c>
      <c r="AD1018" s="7" t="str">
        <f>IFERROR(IF([1]对账明细接口!$Y1018=0,"",[1]对账明细接口!$Y1018),"")</f>
        <v/>
      </c>
      <c r="AE1018" s="7" t="str">
        <f>IFERROR(IF([1]对账明细接口!$AA1018=0,"",[1]对账明细接口!$AA1018),"")</f>
        <v/>
      </c>
      <c r="AF1018" s="7" t="str">
        <f>IFERROR(IF([1]对账明细接口!$AB1018=0,"",[1]对账明细接口!$AB1018),"")</f>
        <v/>
      </c>
      <c r="AG1018" s="7" t="str">
        <f>IFERROR(IF([1]对账明细接口!$AC1018=0,"",[1]对账明细接口!$AC1018),"")</f>
        <v/>
      </c>
      <c r="AH1018" s="7" t="str">
        <f>IFERROR(IF([1]对账明细接口!$AD1018=0,"",[1]对账明细接口!$AD1018),"")</f>
        <v/>
      </c>
      <c r="AI1018" s="7" t="str">
        <f>IFERROR(IF([1]对账明细接口!$AE1018=0,"",[1]对账明细接口!$AE1018),"")</f>
        <v/>
      </c>
      <c r="AJ1018" s="7" t="str">
        <f>IFERROR(IF([1]对账明细接口!$AF1018=0,"",[1]对账明细接口!$AF1018),"")</f>
        <v/>
      </c>
    </row>
    <row r="1019" ht="14.25" customHeight="1" spans="1:36">
      <c r="A1019" s="14">
        <v>1019</v>
      </c>
      <c r="B1019" s="15" t="str">
        <f>IFERROR(IF([1]对账明细接口!$B$1019=0,"",[1]对账明细接口!$B$1019),"")</f>
        <v/>
      </c>
      <c r="C1019" s="16" t="str">
        <f>IFERROR(IF([1]对账明细接口!$C$1019=0,"",[1]对账明细接口!$C$1019),"")</f>
        <v/>
      </c>
      <c r="D1019" s="16" t="str">
        <f>IFERROR(IF([1]对账明细接口!$D$1019=0,"",[1]对账明细接口!$D$1019),"")</f>
        <v/>
      </c>
      <c r="E1019" s="16" t="str">
        <f>IFERROR(IF([1]对账明细接口!$E$1019=0,"",[1]对账明细接口!$E$1019),"")</f>
        <v/>
      </c>
      <c r="F1019" s="16" t="str">
        <f>IFERROR(IF([1]对账明细接口!$F$1019=0,"",[1]对账明细接口!$F$1019),"")</f>
        <v/>
      </c>
      <c r="G1019" s="16" t="str">
        <f>IFERROR(IF([1]对账明细接口!$G$1019=0,"",[1]对账明细接口!$G$1019),"")</f>
        <v/>
      </c>
      <c r="H1019" s="17" t="str">
        <f>IFERROR(IF([1]对账明细接口!$H$1019=0,"",[1]对账明细接口!$H$1019),"")</f>
        <v/>
      </c>
      <c r="I1019" s="16" t="str">
        <f>IFERROR(IF([1]对账明细接口!$I$1019=0,"",[1]对账明细接口!$I$1019),"")</f>
        <v/>
      </c>
      <c r="J1019" s="18" t="str">
        <f>IFERROR(IF([1]对账明细接口!$J$1019=0,"",[1]对账明细接口!$J$1019),"")</f>
        <v/>
      </c>
      <c r="K1019" s="18" t="str">
        <f>IFERROR(IF([1]对账明细接口!$K$1019=0,"",[1]对账明细接口!$K$1019),"")</f>
        <v/>
      </c>
      <c r="L1019" s="16" t="str">
        <f>IFERROR(IF([1]对账明细接口!$L$1019=0,"",[1]对账明细接口!$L$1019),"")</f>
        <v/>
      </c>
      <c r="M1019" s="16" t="str">
        <f>IFERROR(IF([1]对账明细接口!$M$1019=0,"",[1]对账明细接口!$M$1019),"")</f>
        <v/>
      </c>
      <c r="N1019" s="19">
        <f t="shared" si="30"/>
        <v>0</v>
      </c>
      <c r="O1019" s="19">
        <f t="shared" si="31"/>
        <v>420</v>
      </c>
      <c r="S1019" s="20" t="str">
        <f>IFERROR(IF([1]对账明细接口!$N1019=0,"",[1]对账明细接口!$N1019),"")</f>
        <v/>
      </c>
      <c r="T1019" s="21" t="str">
        <f>IFERROR(IF([1]对账明细接口!$O1019=0,"",[1]对账明细接口!$O1019),"")</f>
        <v/>
      </c>
      <c r="U1019" s="21" t="str">
        <f>IFERROR(IF([1]对账明细接口!$P1019=0,"",[1]对账明细接口!$P1019),"")</f>
        <v/>
      </c>
      <c r="V1019" s="21" t="str">
        <f>IFERROR(IF([1]对账明细接口!$Q1019=0,"",[1]对账明细接口!$Q1019),"")</f>
        <v/>
      </c>
      <c r="W1019" s="20" t="str">
        <f>IFERROR(IF([1]对账明细接口!$R1019=0,"",[1]对账明细接口!$R1019),"")</f>
        <v/>
      </c>
      <c r="X1019" s="20" t="str">
        <f>IFERROR(IF([1]对账明细接口!$S1019=0,"",[1]对账明细接口!$S1019),"")</f>
        <v/>
      </c>
      <c r="Y1019" s="20" t="str">
        <f>IFERROR(IF([1]对账明细接口!$T1019=0,"",[1]对账明细接口!$T1019),"")</f>
        <v/>
      </c>
      <c r="Z1019" s="24" t="str">
        <f>IFERROR(IF([1]对账明细接口!$U1019=0,"",[1]对账明细接口!$U1019),"")</f>
        <v/>
      </c>
      <c r="AA1019" s="24" t="str">
        <f>IFERROR(IF([1]对账明细接口!$V1019=0,"",[1]对账明细接口!$V1019),"")</f>
        <v/>
      </c>
      <c r="AB1019" s="20" t="str">
        <f>IFERROR(IF([1]对账明细接口!$W1019=0,"",[1]对账明细接口!$W1019),"")</f>
        <v/>
      </c>
      <c r="AC1019" s="7" t="str">
        <f>IFERROR(IF([1]对账明细接口!$X1019=0,"",[1]对账明细接口!$X1019),"")</f>
        <v/>
      </c>
      <c r="AD1019" s="7" t="str">
        <f>IFERROR(IF([1]对账明细接口!$Y1019=0,"",[1]对账明细接口!$Y1019),"")</f>
        <v/>
      </c>
      <c r="AE1019" s="7" t="str">
        <f>IFERROR(IF([1]对账明细接口!$AA1019=0,"",[1]对账明细接口!$AA1019),"")</f>
        <v/>
      </c>
      <c r="AF1019" s="7" t="str">
        <f>IFERROR(IF([1]对账明细接口!$AB1019=0,"",[1]对账明细接口!$AB1019),"")</f>
        <v/>
      </c>
      <c r="AG1019" s="7" t="str">
        <f>IFERROR(IF([1]对账明细接口!$AC1019=0,"",[1]对账明细接口!$AC1019),"")</f>
        <v/>
      </c>
      <c r="AH1019" s="7" t="str">
        <f>IFERROR(IF([1]对账明细接口!$AD1019=0,"",[1]对账明细接口!$AD1019),"")</f>
        <v/>
      </c>
      <c r="AI1019" s="7" t="str">
        <f>IFERROR(IF([1]对账明细接口!$AE1019=0,"",[1]对账明细接口!$AE1019),"")</f>
        <v/>
      </c>
      <c r="AJ1019" s="7" t="str">
        <f>IFERROR(IF([1]对账明细接口!$AF1019=0,"",[1]对账明细接口!$AF1019),"")</f>
        <v/>
      </c>
    </row>
    <row r="1020" ht="14.25" customHeight="1" spans="1:36">
      <c r="A1020" s="14">
        <v>1020</v>
      </c>
      <c r="B1020" s="15" t="str">
        <f>IFERROR(IF([1]对账明细接口!$B$1020=0,"",[1]对账明细接口!$B$1020),"")</f>
        <v/>
      </c>
      <c r="C1020" s="16" t="str">
        <f>IFERROR(IF([1]对账明细接口!$C$1020=0,"",[1]对账明细接口!$C$1020),"")</f>
        <v/>
      </c>
      <c r="D1020" s="16" t="str">
        <f>IFERROR(IF([1]对账明细接口!$D$1020=0,"",[1]对账明细接口!$D$1020),"")</f>
        <v/>
      </c>
      <c r="E1020" s="16" t="str">
        <f>IFERROR(IF([1]对账明细接口!$E$1020=0,"",[1]对账明细接口!$E$1020),"")</f>
        <v/>
      </c>
      <c r="F1020" s="16" t="str">
        <f>IFERROR(IF([1]对账明细接口!$F$1020=0,"",[1]对账明细接口!$F$1020),"")</f>
        <v/>
      </c>
      <c r="G1020" s="16" t="str">
        <f>IFERROR(IF([1]对账明细接口!$G$1020=0,"",[1]对账明细接口!$G$1020),"")</f>
        <v/>
      </c>
      <c r="H1020" s="17" t="str">
        <f>IFERROR(IF([1]对账明细接口!$H$1020=0,"",[1]对账明细接口!$H$1020),"")</f>
        <v/>
      </c>
      <c r="I1020" s="16" t="str">
        <f>IFERROR(IF([1]对账明细接口!$I$1020=0,"",[1]对账明细接口!$I$1020),"")</f>
        <v/>
      </c>
      <c r="J1020" s="18" t="str">
        <f>IFERROR(IF([1]对账明细接口!$J$1020=0,"",[1]对账明细接口!$J$1020),"")</f>
        <v/>
      </c>
      <c r="K1020" s="18" t="str">
        <f>IFERROR(IF([1]对账明细接口!$K$1020=0,"",[1]对账明细接口!$K$1020),"")</f>
        <v/>
      </c>
      <c r="L1020" s="16" t="str">
        <f>IFERROR(IF([1]对账明细接口!$L$1020=0,"",[1]对账明细接口!$L$1020),"")</f>
        <v/>
      </c>
      <c r="M1020" s="16" t="str">
        <f>IFERROR(IF([1]对账明细接口!$M$1020=0,"",[1]对账明细接口!$M$1020),"")</f>
        <v/>
      </c>
      <c r="N1020" s="19">
        <f t="shared" si="30"/>
        <v>0</v>
      </c>
      <c r="O1020" s="19">
        <f t="shared" si="31"/>
        <v>420</v>
      </c>
      <c r="S1020" s="20" t="str">
        <f>IFERROR(IF([1]对账明细接口!$N1020=0,"",[1]对账明细接口!$N1020),"")</f>
        <v/>
      </c>
      <c r="T1020" s="21" t="str">
        <f>IFERROR(IF([1]对账明细接口!$O1020=0,"",[1]对账明细接口!$O1020),"")</f>
        <v/>
      </c>
      <c r="U1020" s="21" t="str">
        <f>IFERROR(IF([1]对账明细接口!$P1020=0,"",[1]对账明细接口!$P1020),"")</f>
        <v/>
      </c>
      <c r="V1020" s="21" t="str">
        <f>IFERROR(IF([1]对账明细接口!$Q1020=0,"",[1]对账明细接口!$Q1020),"")</f>
        <v/>
      </c>
      <c r="W1020" s="20" t="str">
        <f>IFERROR(IF([1]对账明细接口!$R1020=0,"",[1]对账明细接口!$R1020),"")</f>
        <v/>
      </c>
      <c r="X1020" s="20" t="str">
        <f>IFERROR(IF([1]对账明细接口!$S1020=0,"",[1]对账明细接口!$S1020),"")</f>
        <v/>
      </c>
      <c r="Y1020" s="20" t="str">
        <f>IFERROR(IF([1]对账明细接口!$T1020=0,"",[1]对账明细接口!$T1020),"")</f>
        <v/>
      </c>
      <c r="Z1020" s="24" t="str">
        <f>IFERROR(IF([1]对账明细接口!$U1020=0,"",[1]对账明细接口!$U1020),"")</f>
        <v/>
      </c>
      <c r="AA1020" s="24" t="str">
        <f>IFERROR(IF([1]对账明细接口!$V1020=0,"",[1]对账明细接口!$V1020),"")</f>
        <v/>
      </c>
      <c r="AB1020" s="20" t="str">
        <f>IFERROR(IF([1]对账明细接口!$W1020=0,"",[1]对账明细接口!$W1020),"")</f>
        <v/>
      </c>
      <c r="AC1020" s="7" t="str">
        <f>IFERROR(IF([1]对账明细接口!$X1020=0,"",[1]对账明细接口!$X1020),"")</f>
        <v/>
      </c>
      <c r="AD1020" s="7" t="str">
        <f>IFERROR(IF([1]对账明细接口!$Y1020=0,"",[1]对账明细接口!$Y1020),"")</f>
        <v/>
      </c>
      <c r="AE1020" s="7" t="str">
        <f>IFERROR(IF([1]对账明细接口!$AA1020=0,"",[1]对账明细接口!$AA1020),"")</f>
        <v/>
      </c>
      <c r="AF1020" s="7" t="str">
        <f>IFERROR(IF([1]对账明细接口!$AB1020=0,"",[1]对账明细接口!$AB1020),"")</f>
        <v/>
      </c>
      <c r="AG1020" s="7" t="str">
        <f>IFERROR(IF([1]对账明细接口!$AC1020=0,"",[1]对账明细接口!$AC1020),"")</f>
        <v/>
      </c>
      <c r="AH1020" s="7" t="str">
        <f>IFERROR(IF([1]对账明细接口!$AD1020=0,"",[1]对账明细接口!$AD1020),"")</f>
        <v/>
      </c>
      <c r="AI1020" s="7" t="str">
        <f>IFERROR(IF([1]对账明细接口!$AE1020=0,"",[1]对账明细接口!$AE1020),"")</f>
        <v/>
      </c>
      <c r="AJ1020" s="7" t="str">
        <f>IFERROR(IF([1]对账明细接口!$AF1020=0,"",[1]对账明细接口!$AF1020),"")</f>
        <v/>
      </c>
    </row>
    <row r="1021" ht="14.25" customHeight="1" spans="1:36">
      <c r="A1021" s="14">
        <v>1021</v>
      </c>
      <c r="B1021" s="15" t="str">
        <f>IFERROR(IF([1]对账明细接口!$B$1021=0,"",[1]对账明细接口!$B$1021),"")</f>
        <v/>
      </c>
      <c r="C1021" s="16" t="str">
        <f>IFERROR(IF([1]对账明细接口!$C$1021=0,"",[1]对账明细接口!$C$1021),"")</f>
        <v/>
      </c>
      <c r="D1021" s="16" t="str">
        <f>IFERROR(IF([1]对账明细接口!$D$1021=0,"",[1]对账明细接口!$D$1021),"")</f>
        <v/>
      </c>
      <c r="E1021" s="16" t="str">
        <f>IFERROR(IF([1]对账明细接口!$E$1021=0,"",[1]对账明细接口!$E$1021),"")</f>
        <v/>
      </c>
      <c r="F1021" s="16" t="str">
        <f>IFERROR(IF([1]对账明细接口!$F$1021=0,"",[1]对账明细接口!$F$1021),"")</f>
        <v/>
      </c>
      <c r="G1021" s="16" t="str">
        <f>IFERROR(IF([1]对账明细接口!$G$1021=0,"",[1]对账明细接口!$G$1021),"")</f>
        <v/>
      </c>
      <c r="H1021" s="17" t="str">
        <f>IFERROR(IF([1]对账明细接口!$H$1021=0,"",[1]对账明细接口!$H$1021),"")</f>
        <v/>
      </c>
      <c r="I1021" s="16" t="str">
        <f>IFERROR(IF([1]对账明细接口!$I$1021=0,"",[1]对账明细接口!$I$1021),"")</f>
        <v/>
      </c>
      <c r="J1021" s="18" t="str">
        <f>IFERROR(IF([1]对账明细接口!$J$1021=0,"",[1]对账明细接口!$J$1021),"")</f>
        <v/>
      </c>
      <c r="K1021" s="18" t="str">
        <f>IFERROR(IF([1]对账明细接口!$K$1021=0,"",[1]对账明细接口!$K$1021),"")</f>
        <v/>
      </c>
      <c r="L1021" s="16" t="str">
        <f>IFERROR(IF([1]对账明细接口!$L$1021=0,"",[1]对账明细接口!$L$1021),"")</f>
        <v/>
      </c>
      <c r="M1021" s="16" t="str">
        <f>IFERROR(IF([1]对账明细接口!$M$1021=0,"",[1]对账明细接口!$M$1021),"")</f>
        <v/>
      </c>
      <c r="N1021" s="19">
        <f t="shared" si="30"/>
        <v>0</v>
      </c>
      <c r="O1021" s="19">
        <f t="shared" si="31"/>
        <v>420</v>
      </c>
      <c r="S1021" s="20" t="str">
        <f>IFERROR(IF([1]对账明细接口!$N1021=0,"",[1]对账明细接口!$N1021),"")</f>
        <v/>
      </c>
      <c r="T1021" s="21" t="str">
        <f>IFERROR(IF([1]对账明细接口!$O1021=0,"",[1]对账明细接口!$O1021),"")</f>
        <v/>
      </c>
      <c r="U1021" s="21" t="str">
        <f>IFERROR(IF([1]对账明细接口!$P1021=0,"",[1]对账明细接口!$P1021),"")</f>
        <v/>
      </c>
      <c r="V1021" s="21" t="str">
        <f>IFERROR(IF([1]对账明细接口!$Q1021=0,"",[1]对账明细接口!$Q1021),"")</f>
        <v/>
      </c>
      <c r="W1021" s="20" t="str">
        <f>IFERROR(IF([1]对账明细接口!$R1021=0,"",[1]对账明细接口!$R1021),"")</f>
        <v/>
      </c>
      <c r="X1021" s="20" t="str">
        <f>IFERROR(IF([1]对账明细接口!$S1021=0,"",[1]对账明细接口!$S1021),"")</f>
        <v/>
      </c>
      <c r="Y1021" s="20" t="str">
        <f>IFERROR(IF([1]对账明细接口!$T1021=0,"",[1]对账明细接口!$T1021),"")</f>
        <v/>
      </c>
      <c r="Z1021" s="24" t="str">
        <f>IFERROR(IF([1]对账明细接口!$U1021=0,"",[1]对账明细接口!$U1021),"")</f>
        <v/>
      </c>
      <c r="AA1021" s="24" t="str">
        <f>IFERROR(IF([1]对账明细接口!$V1021=0,"",[1]对账明细接口!$V1021),"")</f>
        <v/>
      </c>
      <c r="AB1021" s="20" t="str">
        <f>IFERROR(IF([1]对账明细接口!$W1021=0,"",[1]对账明细接口!$W1021),"")</f>
        <v/>
      </c>
      <c r="AC1021" s="7" t="str">
        <f>IFERROR(IF([1]对账明细接口!$X1021=0,"",[1]对账明细接口!$X1021),"")</f>
        <v/>
      </c>
      <c r="AD1021" s="7" t="str">
        <f>IFERROR(IF([1]对账明细接口!$Y1021=0,"",[1]对账明细接口!$Y1021),"")</f>
        <v/>
      </c>
      <c r="AE1021" s="7" t="str">
        <f>IFERROR(IF([1]对账明细接口!$AA1021=0,"",[1]对账明细接口!$AA1021),"")</f>
        <v/>
      </c>
      <c r="AF1021" s="7" t="str">
        <f>IFERROR(IF([1]对账明细接口!$AB1021=0,"",[1]对账明细接口!$AB1021),"")</f>
        <v/>
      </c>
      <c r="AG1021" s="7" t="str">
        <f>IFERROR(IF([1]对账明细接口!$AC1021=0,"",[1]对账明细接口!$AC1021),"")</f>
        <v/>
      </c>
      <c r="AH1021" s="7" t="str">
        <f>IFERROR(IF([1]对账明细接口!$AD1021=0,"",[1]对账明细接口!$AD1021),"")</f>
        <v/>
      </c>
      <c r="AI1021" s="7" t="str">
        <f>IFERROR(IF([1]对账明细接口!$AE1021=0,"",[1]对账明细接口!$AE1021),"")</f>
        <v/>
      </c>
      <c r="AJ1021" s="7" t="str">
        <f>IFERROR(IF([1]对账明细接口!$AF1021=0,"",[1]对账明细接口!$AF1021),"")</f>
        <v/>
      </c>
    </row>
    <row r="1022" ht="14.25" customHeight="1" spans="1:36">
      <c r="A1022" s="14">
        <v>1022</v>
      </c>
      <c r="B1022" s="15" t="str">
        <f>IFERROR(IF([1]对账明细接口!$B$1022=0,"",[1]对账明细接口!$B$1022),"")</f>
        <v/>
      </c>
      <c r="C1022" s="16" t="str">
        <f>IFERROR(IF([1]对账明细接口!$C$1022=0,"",[1]对账明细接口!$C$1022),"")</f>
        <v/>
      </c>
      <c r="D1022" s="16" t="str">
        <f>IFERROR(IF([1]对账明细接口!$D$1022=0,"",[1]对账明细接口!$D$1022),"")</f>
        <v/>
      </c>
      <c r="E1022" s="16" t="str">
        <f>IFERROR(IF([1]对账明细接口!$E$1022=0,"",[1]对账明细接口!$E$1022),"")</f>
        <v/>
      </c>
      <c r="F1022" s="16" t="str">
        <f>IFERROR(IF([1]对账明细接口!$F$1022=0,"",[1]对账明细接口!$F$1022),"")</f>
        <v/>
      </c>
      <c r="G1022" s="16" t="str">
        <f>IFERROR(IF([1]对账明细接口!$G$1022=0,"",[1]对账明细接口!$G$1022),"")</f>
        <v/>
      </c>
      <c r="H1022" s="17" t="str">
        <f>IFERROR(IF([1]对账明细接口!$H$1022=0,"",[1]对账明细接口!$H$1022),"")</f>
        <v/>
      </c>
      <c r="I1022" s="16" t="str">
        <f>IFERROR(IF([1]对账明细接口!$I$1022=0,"",[1]对账明细接口!$I$1022),"")</f>
        <v/>
      </c>
      <c r="J1022" s="18" t="str">
        <f>IFERROR(IF([1]对账明细接口!$J$1022=0,"",[1]对账明细接口!$J$1022),"")</f>
        <v/>
      </c>
      <c r="K1022" s="18" t="str">
        <f>IFERROR(IF([1]对账明细接口!$K$1022=0,"",[1]对账明细接口!$K$1022),"")</f>
        <v/>
      </c>
      <c r="L1022" s="16" t="str">
        <f>IFERROR(IF([1]对账明细接口!$L$1022=0,"",[1]对账明细接口!$L$1022),"")</f>
        <v/>
      </c>
      <c r="M1022" s="16" t="str">
        <f>IFERROR(IF([1]对账明细接口!$M$1022=0,"",[1]对账明细接口!$M$1022),"")</f>
        <v/>
      </c>
      <c r="N1022" s="19">
        <f t="shared" si="30"/>
        <v>0</v>
      </c>
      <c r="O1022" s="19">
        <f t="shared" si="31"/>
        <v>420</v>
      </c>
      <c r="S1022" s="20" t="str">
        <f>IFERROR(IF([1]对账明细接口!$N1022=0,"",[1]对账明细接口!$N1022),"")</f>
        <v/>
      </c>
      <c r="T1022" s="21" t="str">
        <f>IFERROR(IF([1]对账明细接口!$O1022=0,"",[1]对账明细接口!$O1022),"")</f>
        <v/>
      </c>
      <c r="U1022" s="21" t="str">
        <f>IFERROR(IF([1]对账明细接口!$P1022=0,"",[1]对账明细接口!$P1022),"")</f>
        <v/>
      </c>
      <c r="V1022" s="21" t="str">
        <f>IFERROR(IF([1]对账明细接口!$Q1022=0,"",[1]对账明细接口!$Q1022),"")</f>
        <v/>
      </c>
      <c r="W1022" s="20" t="str">
        <f>IFERROR(IF([1]对账明细接口!$R1022=0,"",[1]对账明细接口!$R1022),"")</f>
        <v/>
      </c>
      <c r="X1022" s="20" t="str">
        <f>IFERROR(IF([1]对账明细接口!$S1022=0,"",[1]对账明细接口!$S1022),"")</f>
        <v/>
      </c>
      <c r="Y1022" s="20" t="str">
        <f>IFERROR(IF([1]对账明细接口!$T1022=0,"",[1]对账明细接口!$T1022),"")</f>
        <v/>
      </c>
      <c r="Z1022" s="24" t="str">
        <f>IFERROR(IF([1]对账明细接口!$U1022=0,"",[1]对账明细接口!$U1022),"")</f>
        <v/>
      </c>
      <c r="AA1022" s="24" t="str">
        <f>IFERROR(IF([1]对账明细接口!$V1022=0,"",[1]对账明细接口!$V1022),"")</f>
        <v/>
      </c>
      <c r="AB1022" s="20" t="str">
        <f>IFERROR(IF([1]对账明细接口!$W1022=0,"",[1]对账明细接口!$W1022),"")</f>
        <v/>
      </c>
      <c r="AC1022" s="7" t="str">
        <f>IFERROR(IF([1]对账明细接口!$X1022=0,"",[1]对账明细接口!$X1022),"")</f>
        <v/>
      </c>
      <c r="AD1022" s="7" t="str">
        <f>IFERROR(IF([1]对账明细接口!$Y1022=0,"",[1]对账明细接口!$Y1022),"")</f>
        <v/>
      </c>
      <c r="AE1022" s="7" t="str">
        <f>IFERROR(IF([1]对账明细接口!$AA1022=0,"",[1]对账明细接口!$AA1022),"")</f>
        <v/>
      </c>
      <c r="AF1022" s="7" t="str">
        <f>IFERROR(IF([1]对账明细接口!$AB1022=0,"",[1]对账明细接口!$AB1022),"")</f>
        <v/>
      </c>
      <c r="AG1022" s="7" t="str">
        <f>IFERROR(IF([1]对账明细接口!$AC1022=0,"",[1]对账明细接口!$AC1022),"")</f>
        <v/>
      </c>
      <c r="AH1022" s="7" t="str">
        <f>IFERROR(IF([1]对账明细接口!$AD1022=0,"",[1]对账明细接口!$AD1022),"")</f>
        <v/>
      </c>
      <c r="AI1022" s="7" t="str">
        <f>IFERROR(IF([1]对账明细接口!$AE1022=0,"",[1]对账明细接口!$AE1022),"")</f>
        <v/>
      </c>
      <c r="AJ1022" s="7" t="str">
        <f>IFERROR(IF([1]对账明细接口!$AF1022=0,"",[1]对账明细接口!$AF1022),"")</f>
        <v/>
      </c>
    </row>
    <row r="1023" ht="14.25" customHeight="1" spans="1:36">
      <c r="A1023" s="14">
        <v>1023</v>
      </c>
      <c r="B1023" s="15" t="str">
        <f>IFERROR(IF([1]对账明细接口!$B$1023=0,"",[1]对账明细接口!$B$1023),"")</f>
        <v/>
      </c>
      <c r="C1023" s="16" t="str">
        <f>IFERROR(IF([1]对账明细接口!$C$1023=0,"",[1]对账明细接口!$C$1023),"")</f>
        <v/>
      </c>
      <c r="D1023" s="16" t="str">
        <f>IFERROR(IF([1]对账明细接口!$D$1023=0,"",[1]对账明细接口!$D$1023),"")</f>
        <v/>
      </c>
      <c r="E1023" s="16" t="str">
        <f>IFERROR(IF([1]对账明细接口!$E$1023=0,"",[1]对账明细接口!$E$1023),"")</f>
        <v/>
      </c>
      <c r="F1023" s="16" t="str">
        <f>IFERROR(IF([1]对账明细接口!$F$1023=0,"",[1]对账明细接口!$F$1023),"")</f>
        <v/>
      </c>
      <c r="G1023" s="16" t="str">
        <f>IFERROR(IF([1]对账明细接口!$G$1023=0,"",[1]对账明细接口!$G$1023),"")</f>
        <v/>
      </c>
      <c r="H1023" s="17" t="str">
        <f>IFERROR(IF([1]对账明细接口!$H$1023=0,"",[1]对账明细接口!$H$1023),"")</f>
        <v/>
      </c>
      <c r="I1023" s="16" t="str">
        <f>IFERROR(IF([1]对账明细接口!$I$1023=0,"",[1]对账明细接口!$I$1023),"")</f>
        <v/>
      </c>
      <c r="J1023" s="18" t="str">
        <f>IFERROR(IF([1]对账明细接口!$J$1023=0,"",[1]对账明细接口!$J$1023),"")</f>
        <v/>
      </c>
      <c r="K1023" s="18" t="str">
        <f>IFERROR(IF([1]对账明细接口!$K$1023=0,"",[1]对账明细接口!$K$1023),"")</f>
        <v/>
      </c>
      <c r="L1023" s="16" t="str">
        <f>IFERROR(IF([1]对账明细接口!$L$1023=0,"",[1]对账明细接口!$L$1023),"")</f>
        <v/>
      </c>
      <c r="M1023" s="16" t="str">
        <f>IFERROR(IF([1]对账明细接口!$M$1023=0,"",[1]对账明细接口!$M$1023),"")</f>
        <v/>
      </c>
      <c r="N1023" s="19">
        <f t="shared" si="30"/>
        <v>0</v>
      </c>
      <c r="O1023" s="19">
        <f t="shared" si="31"/>
        <v>420</v>
      </c>
      <c r="S1023" s="20" t="str">
        <f>IFERROR(IF([1]对账明细接口!$N1023=0,"",[1]对账明细接口!$N1023),"")</f>
        <v/>
      </c>
      <c r="T1023" s="21" t="str">
        <f>IFERROR(IF([1]对账明细接口!$O1023=0,"",[1]对账明细接口!$O1023),"")</f>
        <v/>
      </c>
      <c r="U1023" s="21" t="str">
        <f>IFERROR(IF([1]对账明细接口!$P1023=0,"",[1]对账明细接口!$P1023),"")</f>
        <v/>
      </c>
      <c r="V1023" s="21" t="str">
        <f>IFERROR(IF([1]对账明细接口!$Q1023=0,"",[1]对账明细接口!$Q1023),"")</f>
        <v/>
      </c>
      <c r="W1023" s="20" t="str">
        <f>IFERROR(IF([1]对账明细接口!$R1023=0,"",[1]对账明细接口!$R1023),"")</f>
        <v/>
      </c>
      <c r="X1023" s="20" t="str">
        <f>IFERROR(IF([1]对账明细接口!$S1023=0,"",[1]对账明细接口!$S1023),"")</f>
        <v/>
      </c>
      <c r="Y1023" s="20" t="str">
        <f>IFERROR(IF([1]对账明细接口!$T1023=0,"",[1]对账明细接口!$T1023),"")</f>
        <v/>
      </c>
      <c r="Z1023" s="24" t="str">
        <f>IFERROR(IF([1]对账明细接口!$U1023=0,"",[1]对账明细接口!$U1023),"")</f>
        <v/>
      </c>
      <c r="AA1023" s="24" t="str">
        <f>IFERROR(IF([1]对账明细接口!$V1023=0,"",[1]对账明细接口!$V1023),"")</f>
        <v/>
      </c>
      <c r="AB1023" s="20" t="str">
        <f>IFERROR(IF([1]对账明细接口!$W1023=0,"",[1]对账明细接口!$W1023),"")</f>
        <v/>
      </c>
      <c r="AC1023" s="7" t="str">
        <f>IFERROR(IF([1]对账明细接口!$X1023=0,"",[1]对账明细接口!$X1023),"")</f>
        <v/>
      </c>
      <c r="AD1023" s="7" t="str">
        <f>IFERROR(IF([1]对账明细接口!$Y1023=0,"",[1]对账明细接口!$Y1023),"")</f>
        <v/>
      </c>
      <c r="AE1023" s="7" t="str">
        <f>IFERROR(IF([1]对账明细接口!$AA1023=0,"",[1]对账明细接口!$AA1023),"")</f>
        <v/>
      </c>
      <c r="AF1023" s="7" t="str">
        <f>IFERROR(IF([1]对账明细接口!$AB1023=0,"",[1]对账明细接口!$AB1023),"")</f>
        <v/>
      </c>
      <c r="AG1023" s="7" t="str">
        <f>IFERROR(IF([1]对账明细接口!$AC1023=0,"",[1]对账明细接口!$AC1023),"")</f>
        <v/>
      </c>
      <c r="AH1023" s="7" t="str">
        <f>IFERROR(IF([1]对账明细接口!$AD1023=0,"",[1]对账明细接口!$AD1023),"")</f>
        <v/>
      </c>
      <c r="AI1023" s="7" t="str">
        <f>IFERROR(IF([1]对账明细接口!$AE1023=0,"",[1]对账明细接口!$AE1023),"")</f>
        <v/>
      </c>
      <c r="AJ1023" s="7" t="str">
        <f>IFERROR(IF([1]对账明细接口!$AF1023=0,"",[1]对账明细接口!$AF1023),"")</f>
        <v/>
      </c>
    </row>
    <row r="1024" ht="14.25" customHeight="1" spans="1:36">
      <c r="A1024" s="14">
        <v>1024</v>
      </c>
      <c r="B1024" s="15" t="str">
        <f>IFERROR(IF([1]对账明细接口!$B$1024=0,"",[1]对账明细接口!$B$1024),"")</f>
        <v/>
      </c>
      <c r="C1024" s="16" t="str">
        <f>IFERROR(IF([1]对账明细接口!$C$1024=0,"",[1]对账明细接口!$C$1024),"")</f>
        <v/>
      </c>
      <c r="D1024" s="16" t="str">
        <f>IFERROR(IF([1]对账明细接口!$D$1024=0,"",[1]对账明细接口!$D$1024),"")</f>
        <v/>
      </c>
      <c r="E1024" s="16" t="str">
        <f>IFERROR(IF([1]对账明细接口!$E$1024=0,"",[1]对账明细接口!$E$1024),"")</f>
        <v/>
      </c>
      <c r="F1024" s="16" t="str">
        <f>IFERROR(IF([1]对账明细接口!$F$1024=0,"",[1]对账明细接口!$F$1024),"")</f>
        <v/>
      </c>
      <c r="G1024" s="16" t="str">
        <f>IFERROR(IF([1]对账明细接口!$G$1024=0,"",[1]对账明细接口!$G$1024),"")</f>
        <v/>
      </c>
      <c r="H1024" s="17" t="str">
        <f>IFERROR(IF([1]对账明细接口!$H$1024=0,"",[1]对账明细接口!$H$1024),"")</f>
        <v/>
      </c>
      <c r="I1024" s="16" t="str">
        <f>IFERROR(IF([1]对账明细接口!$I$1024=0,"",[1]对账明细接口!$I$1024),"")</f>
        <v/>
      </c>
      <c r="J1024" s="18" t="str">
        <f>IFERROR(IF([1]对账明细接口!$J$1024=0,"",[1]对账明细接口!$J$1024),"")</f>
        <v/>
      </c>
      <c r="K1024" s="18" t="str">
        <f>IFERROR(IF([1]对账明细接口!$K$1024=0,"",[1]对账明细接口!$K$1024),"")</f>
        <v/>
      </c>
      <c r="L1024" s="16" t="str">
        <f>IFERROR(IF([1]对账明细接口!$L$1024=0,"",[1]对账明细接口!$L$1024),"")</f>
        <v/>
      </c>
      <c r="M1024" s="16" t="str">
        <f>IFERROR(IF([1]对账明细接口!$M$1024=0,"",[1]对账明细接口!$M$1024),"")</f>
        <v/>
      </c>
      <c r="N1024" s="19">
        <f t="shared" si="30"/>
        <v>0</v>
      </c>
      <c r="O1024" s="19">
        <f t="shared" si="31"/>
        <v>420</v>
      </c>
      <c r="S1024" s="20" t="str">
        <f>IFERROR(IF([1]对账明细接口!$N1024=0,"",[1]对账明细接口!$N1024),"")</f>
        <v/>
      </c>
      <c r="T1024" s="21" t="str">
        <f>IFERROR(IF([1]对账明细接口!$O1024=0,"",[1]对账明细接口!$O1024),"")</f>
        <v/>
      </c>
      <c r="U1024" s="21" t="str">
        <f>IFERROR(IF([1]对账明细接口!$P1024=0,"",[1]对账明细接口!$P1024),"")</f>
        <v/>
      </c>
      <c r="V1024" s="21" t="str">
        <f>IFERROR(IF([1]对账明细接口!$Q1024=0,"",[1]对账明细接口!$Q1024),"")</f>
        <v/>
      </c>
      <c r="W1024" s="20" t="str">
        <f>IFERROR(IF([1]对账明细接口!$R1024=0,"",[1]对账明细接口!$R1024),"")</f>
        <v/>
      </c>
      <c r="X1024" s="20" t="str">
        <f>IFERROR(IF([1]对账明细接口!$S1024=0,"",[1]对账明细接口!$S1024),"")</f>
        <v/>
      </c>
      <c r="Y1024" s="20" t="str">
        <f>IFERROR(IF([1]对账明细接口!$T1024=0,"",[1]对账明细接口!$T1024),"")</f>
        <v/>
      </c>
      <c r="Z1024" s="24" t="str">
        <f>IFERROR(IF([1]对账明细接口!$U1024=0,"",[1]对账明细接口!$U1024),"")</f>
        <v/>
      </c>
      <c r="AA1024" s="24" t="str">
        <f>IFERROR(IF([1]对账明细接口!$V1024=0,"",[1]对账明细接口!$V1024),"")</f>
        <v/>
      </c>
      <c r="AB1024" s="20" t="str">
        <f>IFERROR(IF([1]对账明细接口!$W1024=0,"",[1]对账明细接口!$W1024),"")</f>
        <v/>
      </c>
      <c r="AC1024" s="7" t="str">
        <f>IFERROR(IF([1]对账明细接口!$X1024=0,"",[1]对账明细接口!$X1024),"")</f>
        <v/>
      </c>
      <c r="AD1024" s="7" t="str">
        <f>IFERROR(IF([1]对账明细接口!$Y1024=0,"",[1]对账明细接口!$Y1024),"")</f>
        <v/>
      </c>
      <c r="AE1024" s="7" t="str">
        <f>IFERROR(IF([1]对账明细接口!$AA1024=0,"",[1]对账明细接口!$AA1024),"")</f>
        <v/>
      </c>
      <c r="AF1024" s="7" t="str">
        <f>IFERROR(IF([1]对账明细接口!$AB1024=0,"",[1]对账明细接口!$AB1024),"")</f>
        <v/>
      </c>
      <c r="AG1024" s="7" t="str">
        <f>IFERROR(IF([1]对账明细接口!$AC1024=0,"",[1]对账明细接口!$AC1024),"")</f>
        <v/>
      </c>
      <c r="AH1024" s="7" t="str">
        <f>IFERROR(IF([1]对账明细接口!$AD1024=0,"",[1]对账明细接口!$AD1024),"")</f>
        <v/>
      </c>
      <c r="AI1024" s="7" t="str">
        <f>IFERROR(IF([1]对账明细接口!$AE1024=0,"",[1]对账明细接口!$AE1024),"")</f>
        <v/>
      </c>
      <c r="AJ1024" s="7" t="str">
        <f>IFERROR(IF([1]对账明细接口!$AF1024=0,"",[1]对账明细接口!$AF1024),"")</f>
        <v/>
      </c>
    </row>
    <row r="1025" ht="14.25" customHeight="1" spans="1:36">
      <c r="A1025" s="14">
        <v>1025</v>
      </c>
      <c r="B1025" s="15" t="str">
        <f>IFERROR(IF([1]对账明细接口!$B$1025=0,"",[1]对账明细接口!$B$1025),"")</f>
        <v/>
      </c>
      <c r="C1025" s="16" t="str">
        <f>IFERROR(IF([1]对账明细接口!$C$1025=0,"",[1]对账明细接口!$C$1025),"")</f>
        <v/>
      </c>
      <c r="D1025" s="16" t="str">
        <f>IFERROR(IF([1]对账明细接口!$D$1025=0,"",[1]对账明细接口!$D$1025),"")</f>
        <v/>
      </c>
      <c r="E1025" s="16" t="str">
        <f>IFERROR(IF([1]对账明细接口!$E$1025=0,"",[1]对账明细接口!$E$1025),"")</f>
        <v/>
      </c>
      <c r="F1025" s="16" t="str">
        <f>IFERROR(IF([1]对账明细接口!$F$1025=0,"",[1]对账明细接口!$F$1025),"")</f>
        <v/>
      </c>
      <c r="G1025" s="16" t="str">
        <f>IFERROR(IF([1]对账明细接口!$G$1025=0,"",[1]对账明细接口!$G$1025),"")</f>
        <v/>
      </c>
      <c r="H1025" s="17" t="str">
        <f>IFERROR(IF([1]对账明细接口!$H$1025=0,"",[1]对账明细接口!$H$1025),"")</f>
        <v/>
      </c>
      <c r="I1025" s="16" t="str">
        <f>IFERROR(IF([1]对账明细接口!$I$1025=0,"",[1]对账明细接口!$I$1025),"")</f>
        <v/>
      </c>
      <c r="J1025" s="18" t="str">
        <f>IFERROR(IF([1]对账明细接口!$J$1025=0,"",[1]对账明细接口!$J$1025),"")</f>
        <v/>
      </c>
      <c r="K1025" s="18" t="str">
        <f>IFERROR(IF([1]对账明细接口!$K$1025=0,"",[1]对账明细接口!$K$1025),"")</f>
        <v/>
      </c>
      <c r="L1025" s="16" t="str">
        <f>IFERROR(IF([1]对账明细接口!$L$1025=0,"",[1]对账明细接口!$L$1025),"")</f>
        <v/>
      </c>
      <c r="M1025" s="16" t="str">
        <f>IFERROR(IF([1]对账明细接口!$M$1025=0,"",[1]对账明细接口!$M$1025),"")</f>
        <v/>
      </c>
      <c r="N1025" s="19">
        <f t="shared" si="30"/>
        <v>0</v>
      </c>
      <c r="O1025" s="19">
        <f t="shared" si="31"/>
        <v>420</v>
      </c>
      <c r="S1025" s="20" t="str">
        <f>IFERROR(IF([1]对账明细接口!$N1025=0,"",[1]对账明细接口!$N1025),"")</f>
        <v/>
      </c>
      <c r="T1025" s="21" t="str">
        <f>IFERROR(IF([1]对账明细接口!$O1025=0,"",[1]对账明细接口!$O1025),"")</f>
        <v/>
      </c>
      <c r="U1025" s="21" t="str">
        <f>IFERROR(IF([1]对账明细接口!$P1025=0,"",[1]对账明细接口!$P1025),"")</f>
        <v/>
      </c>
      <c r="V1025" s="21" t="str">
        <f>IFERROR(IF([1]对账明细接口!$Q1025=0,"",[1]对账明细接口!$Q1025),"")</f>
        <v/>
      </c>
      <c r="W1025" s="20" t="str">
        <f>IFERROR(IF([1]对账明细接口!$R1025=0,"",[1]对账明细接口!$R1025),"")</f>
        <v/>
      </c>
      <c r="X1025" s="20" t="str">
        <f>IFERROR(IF([1]对账明细接口!$S1025=0,"",[1]对账明细接口!$S1025),"")</f>
        <v/>
      </c>
      <c r="Y1025" s="20" t="str">
        <f>IFERROR(IF([1]对账明细接口!$T1025=0,"",[1]对账明细接口!$T1025),"")</f>
        <v/>
      </c>
      <c r="Z1025" s="24" t="str">
        <f>IFERROR(IF([1]对账明细接口!$U1025=0,"",[1]对账明细接口!$U1025),"")</f>
        <v/>
      </c>
      <c r="AA1025" s="24" t="str">
        <f>IFERROR(IF([1]对账明细接口!$V1025=0,"",[1]对账明细接口!$V1025),"")</f>
        <v/>
      </c>
      <c r="AB1025" s="20" t="str">
        <f>IFERROR(IF([1]对账明细接口!$W1025=0,"",[1]对账明细接口!$W1025),"")</f>
        <v/>
      </c>
      <c r="AC1025" s="7" t="str">
        <f>IFERROR(IF([1]对账明细接口!$X1025=0,"",[1]对账明细接口!$X1025),"")</f>
        <v/>
      </c>
      <c r="AD1025" s="7" t="str">
        <f>IFERROR(IF([1]对账明细接口!$Y1025=0,"",[1]对账明细接口!$Y1025),"")</f>
        <v/>
      </c>
      <c r="AE1025" s="7" t="str">
        <f>IFERROR(IF([1]对账明细接口!$AA1025=0,"",[1]对账明细接口!$AA1025),"")</f>
        <v/>
      </c>
      <c r="AF1025" s="7" t="str">
        <f>IFERROR(IF([1]对账明细接口!$AB1025=0,"",[1]对账明细接口!$AB1025),"")</f>
        <v/>
      </c>
      <c r="AG1025" s="7" t="str">
        <f>IFERROR(IF([1]对账明细接口!$AC1025=0,"",[1]对账明细接口!$AC1025),"")</f>
        <v/>
      </c>
      <c r="AH1025" s="7" t="str">
        <f>IFERROR(IF([1]对账明细接口!$AD1025=0,"",[1]对账明细接口!$AD1025),"")</f>
        <v/>
      </c>
      <c r="AI1025" s="7" t="str">
        <f>IFERROR(IF([1]对账明细接口!$AE1025=0,"",[1]对账明细接口!$AE1025),"")</f>
        <v/>
      </c>
      <c r="AJ1025" s="7" t="str">
        <f>IFERROR(IF([1]对账明细接口!$AF1025=0,"",[1]对账明细接口!$AF1025),"")</f>
        <v/>
      </c>
    </row>
    <row r="1026" ht="14.25" customHeight="1" spans="1:36">
      <c r="A1026" s="14">
        <v>1026</v>
      </c>
      <c r="B1026" s="15" t="str">
        <f>IFERROR(IF([1]对账明细接口!$B$1026=0,"",[1]对账明细接口!$B$1026),"")</f>
        <v/>
      </c>
      <c r="C1026" s="16" t="str">
        <f>IFERROR(IF([1]对账明细接口!$C$1026=0,"",[1]对账明细接口!$C$1026),"")</f>
        <v/>
      </c>
      <c r="D1026" s="16" t="str">
        <f>IFERROR(IF([1]对账明细接口!$D$1026=0,"",[1]对账明细接口!$D$1026),"")</f>
        <v/>
      </c>
      <c r="E1026" s="16" t="str">
        <f>IFERROR(IF([1]对账明细接口!$E$1026=0,"",[1]对账明细接口!$E$1026),"")</f>
        <v/>
      </c>
      <c r="F1026" s="16" t="str">
        <f>IFERROR(IF([1]对账明细接口!$F$1026=0,"",[1]对账明细接口!$F$1026),"")</f>
        <v/>
      </c>
      <c r="G1026" s="16" t="str">
        <f>IFERROR(IF([1]对账明细接口!$G$1026=0,"",[1]对账明细接口!$G$1026),"")</f>
        <v/>
      </c>
      <c r="H1026" s="17" t="str">
        <f>IFERROR(IF([1]对账明细接口!$H$1026=0,"",[1]对账明细接口!$H$1026),"")</f>
        <v/>
      </c>
      <c r="I1026" s="16" t="str">
        <f>IFERROR(IF([1]对账明细接口!$I$1026=0,"",[1]对账明细接口!$I$1026),"")</f>
        <v/>
      </c>
      <c r="J1026" s="18" t="str">
        <f>IFERROR(IF([1]对账明细接口!$J$1026=0,"",[1]对账明细接口!$J$1026),"")</f>
        <v/>
      </c>
      <c r="K1026" s="18" t="str">
        <f>IFERROR(IF([1]对账明细接口!$K$1026=0,"",[1]对账明细接口!$K$1026),"")</f>
        <v/>
      </c>
      <c r="L1026" s="16" t="str">
        <f>IFERROR(IF([1]对账明细接口!$L$1026=0,"",[1]对账明细接口!$L$1026),"")</f>
        <v/>
      </c>
      <c r="M1026" s="16" t="str">
        <f>IFERROR(IF([1]对账明细接口!$M$1026=0,"",[1]对账明细接口!$M$1026),"")</f>
        <v/>
      </c>
      <c r="N1026" s="19">
        <f t="shared" si="30"/>
        <v>0</v>
      </c>
      <c r="O1026" s="19">
        <f t="shared" si="31"/>
        <v>420</v>
      </c>
      <c r="S1026" s="20" t="str">
        <f>IFERROR(IF([1]对账明细接口!$N1026=0,"",[1]对账明细接口!$N1026),"")</f>
        <v/>
      </c>
      <c r="T1026" s="21" t="str">
        <f>IFERROR(IF([1]对账明细接口!$O1026=0,"",[1]对账明细接口!$O1026),"")</f>
        <v/>
      </c>
      <c r="U1026" s="21" t="str">
        <f>IFERROR(IF([1]对账明细接口!$P1026=0,"",[1]对账明细接口!$P1026),"")</f>
        <v/>
      </c>
      <c r="V1026" s="21" t="str">
        <f>IFERROR(IF([1]对账明细接口!$Q1026=0,"",[1]对账明细接口!$Q1026),"")</f>
        <v/>
      </c>
      <c r="W1026" s="20" t="str">
        <f>IFERROR(IF([1]对账明细接口!$R1026=0,"",[1]对账明细接口!$R1026),"")</f>
        <v/>
      </c>
      <c r="X1026" s="20" t="str">
        <f>IFERROR(IF([1]对账明细接口!$S1026=0,"",[1]对账明细接口!$S1026),"")</f>
        <v/>
      </c>
      <c r="Y1026" s="20" t="str">
        <f>IFERROR(IF([1]对账明细接口!$T1026=0,"",[1]对账明细接口!$T1026),"")</f>
        <v/>
      </c>
      <c r="Z1026" s="24" t="str">
        <f>IFERROR(IF([1]对账明细接口!$U1026=0,"",[1]对账明细接口!$U1026),"")</f>
        <v/>
      </c>
      <c r="AA1026" s="24" t="str">
        <f>IFERROR(IF([1]对账明细接口!$V1026=0,"",[1]对账明细接口!$V1026),"")</f>
        <v/>
      </c>
      <c r="AB1026" s="20" t="str">
        <f>IFERROR(IF([1]对账明细接口!$W1026=0,"",[1]对账明细接口!$W1026),"")</f>
        <v/>
      </c>
      <c r="AC1026" s="7" t="str">
        <f>IFERROR(IF([1]对账明细接口!$X1026=0,"",[1]对账明细接口!$X1026),"")</f>
        <v/>
      </c>
      <c r="AD1026" s="7" t="str">
        <f>IFERROR(IF([1]对账明细接口!$Y1026=0,"",[1]对账明细接口!$Y1026),"")</f>
        <v/>
      </c>
      <c r="AE1026" s="7" t="str">
        <f>IFERROR(IF([1]对账明细接口!$AA1026=0,"",[1]对账明细接口!$AA1026),"")</f>
        <v/>
      </c>
      <c r="AF1026" s="7" t="str">
        <f>IFERROR(IF([1]对账明细接口!$AB1026=0,"",[1]对账明细接口!$AB1026),"")</f>
        <v/>
      </c>
      <c r="AG1026" s="7" t="str">
        <f>IFERROR(IF([1]对账明细接口!$AC1026=0,"",[1]对账明细接口!$AC1026),"")</f>
        <v/>
      </c>
      <c r="AH1026" s="7" t="str">
        <f>IFERROR(IF([1]对账明细接口!$AD1026=0,"",[1]对账明细接口!$AD1026),"")</f>
        <v/>
      </c>
      <c r="AI1026" s="7" t="str">
        <f>IFERROR(IF([1]对账明细接口!$AE1026=0,"",[1]对账明细接口!$AE1026),"")</f>
        <v/>
      </c>
      <c r="AJ1026" s="7" t="str">
        <f>IFERROR(IF([1]对账明细接口!$AF1026=0,"",[1]对账明细接口!$AF1026),"")</f>
        <v/>
      </c>
    </row>
    <row r="1027" ht="14.25" customHeight="1" spans="1:36">
      <c r="A1027" s="14">
        <v>1027</v>
      </c>
      <c r="B1027" s="15" t="str">
        <f>IFERROR(IF([1]对账明细接口!$B$1027=0,"",[1]对账明细接口!$B$1027),"")</f>
        <v/>
      </c>
      <c r="C1027" s="16" t="str">
        <f>IFERROR(IF([1]对账明细接口!$C$1027=0,"",[1]对账明细接口!$C$1027),"")</f>
        <v/>
      </c>
      <c r="D1027" s="16" t="str">
        <f>IFERROR(IF([1]对账明细接口!$D$1027=0,"",[1]对账明细接口!$D$1027),"")</f>
        <v/>
      </c>
      <c r="E1027" s="16" t="str">
        <f>IFERROR(IF([1]对账明细接口!$E$1027=0,"",[1]对账明细接口!$E$1027),"")</f>
        <v/>
      </c>
      <c r="F1027" s="16" t="str">
        <f>IFERROR(IF([1]对账明细接口!$F$1027=0,"",[1]对账明细接口!$F$1027),"")</f>
        <v/>
      </c>
      <c r="G1027" s="16" t="str">
        <f>IFERROR(IF([1]对账明细接口!$G$1027=0,"",[1]对账明细接口!$G$1027),"")</f>
        <v/>
      </c>
      <c r="H1027" s="17" t="str">
        <f>IFERROR(IF([1]对账明细接口!$H$1027=0,"",[1]对账明细接口!$H$1027),"")</f>
        <v/>
      </c>
      <c r="I1027" s="16" t="str">
        <f>IFERROR(IF([1]对账明细接口!$I$1027=0,"",[1]对账明细接口!$I$1027),"")</f>
        <v/>
      </c>
      <c r="J1027" s="18" t="str">
        <f>IFERROR(IF([1]对账明细接口!$J$1027=0,"",[1]对账明细接口!$J$1027),"")</f>
        <v/>
      </c>
      <c r="K1027" s="18" t="str">
        <f>IFERROR(IF([1]对账明细接口!$K$1027=0,"",[1]对账明细接口!$K$1027),"")</f>
        <v/>
      </c>
      <c r="L1027" s="16" t="str">
        <f>IFERROR(IF([1]对账明细接口!$L$1027=0,"",[1]对账明细接口!$L$1027),"")</f>
        <v/>
      </c>
      <c r="M1027" s="16" t="str">
        <f>IFERROR(IF([1]对账明细接口!$M$1027=0,"",[1]对账明细接口!$M$1027),"")</f>
        <v/>
      </c>
      <c r="N1027" s="19">
        <f t="shared" si="30"/>
        <v>0</v>
      </c>
      <c r="O1027" s="19">
        <f t="shared" si="31"/>
        <v>420</v>
      </c>
      <c r="S1027" s="20" t="str">
        <f>IFERROR(IF([1]对账明细接口!$N1027=0,"",[1]对账明细接口!$N1027),"")</f>
        <v/>
      </c>
      <c r="T1027" s="21" t="str">
        <f>IFERROR(IF([1]对账明细接口!$O1027=0,"",[1]对账明细接口!$O1027),"")</f>
        <v/>
      </c>
      <c r="U1027" s="21" t="str">
        <f>IFERROR(IF([1]对账明细接口!$P1027=0,"",[1]对账明细接口!$P1027),"")</f>
        <v/>
      </c>
      <c r="V1027" s="21" t="str">
        <f>IFERROR(IF([1]对账明细接口!$Q1027=0,"",[1]对账明细接口!$Q1027),"")</f>
        <v/>
      </c>
      <c r="W1027" s="20" t="str">
        <f>IFERROR(IF([1]对账明细接口!$R1027=0,"",[1]对账明细接口!$R1027),"")</f>
        <v/>
      </c>
      <c r="X1027" s="20" t="str">
        <f>IFERROR(IF([1]对账明细接口!$S1027=0,"",[1]对账明细接口!$S1027),"")</f>
        <v/>
      </c>
      <c r="Y1027" s="20" t="str">
        <f>IFERROR(IF([1]对账明细接口!$T1027=0,"",[1]对账明细接口!$T1027),"")</f>
        <v/>
      </c>
      <c r="Z1027" s="24" t="str">
        <f>IFERROR(IF([1]对账明细接口!$U1027=0,"",[1]对账明细接口!$U1027),"")</f>
        <v/>
      </c>
      <c r="AA1027" s="24" t="str">
        <f>IFERROR(IF([1]对账明细接口!$V1027=0,"",[1]对账明细接口!$V1027),"")</f>
        <v/>
      </c>
      <c r="AB1027" s="20" t="str">
        <f>IFERROR(IF([1]对账明细接口!$W1027=0,"",[1]对账明细接口!$W1027),"")</f>
        <v/>
      </c>
      <c r="AC1027" s="7" t="str">
        <f>IFERROR(IF([1]对账明细接口!$X1027=0,"",[1]对账明细接口!$X1027),"")</f>
        <v/>
      </c>
      <c r="AD1027" s="7" t="str">
        <f>IFERROR(IF([1]对账明细接口!$Y1027=0,"",[1]对账明细接口!$Y1027),"")</f>
        <v/>
      </c>
      <c r="AE1027" s="7" t="str">
        <f>IFERROR(IF([1]对账明细接口!$AA1027=0,"",[1]对账明细接口!$AA1027),"")</f>
        <v/>
      </c>
      <c r="AF1027" s="7" t="str">
        <f>IFERROR(IF([1]对账明细接口!$AB1027=0,"",[1]对账明细接口!$AB1027),"")</f>
        <v/>
      </c>
      <c r="AG1027" s="7" t="str">
        <f>IFERROR(IF([1]对账明细接口!$AC1027=0,"",[1]对账明细接口!$AC1027),"")</f>
        <v/>
      </c>
      <c r="AH1027" s="7" t="str">
        <f>IFERROR(IF([1]对账明细接口!$AD1027=0,"",[1]对账明细接口!$AD1027),"")</f>
        <v/>
      </c>
      <c r="AI1027" s="7" t="str">
        <f>IFERROR(IF([1]对账明细接口!$AE1027=0,"",[1]对账明细接口!$AE1027),"")</f>
        <v/>
      </c>
      <c r="AJ1027" s="7" t="str">
        <f>IFERROR(IF([1]对账明细接口!$AF1027=0,"",[1]对账明细接口!$AF1027),"")</f>
        <v/>
      </c>
    </row>
    <row r="1028" ht="14.25" customHeight="1" spans="1:36">
      <c r="A1028" s="14">
        <v>1028</v>
      </c>
      <c r="B1028" s="15" t="str">
        <f>IFERROR(IF([1]对账明细接口!$B$1028=0,"",[1]对账明细接口!$B$1028),"")</f>
        <v/>
      </c>
      <c r="C1028" s="16" t="str">
        <f>IFERROR(IF([1]对账明细接口!$C$1028=0,"",[1]对账明细接口!$C$1028),"")</f>
        <v/>
      </c>
      <c r="D1028" s="16" t="str">
        <f>IFERROR(IF([1]对账明细接口!$D$1028=0,"",[1]对账明细接口!$D$1028),"")</f>
        <v/>
      </c>
      <c r="E1028" s="16" t="str">
        <f>IFERROR(IF([1]对账明细接口!$E$1028=0,"",[1]对账明细接口!$E$1028),"")</f>
        <v/>
      </c>
      <c r="F1028" s="16" t="str">
        <f>IFERROR(IF([1]对账明细接口!$F$1028=0,"",[1]对账明细接口!$F$1028),"")</f>
        <v/>
      </c>
      <c r="G1028" s="16" t="str">
        <f>IFERROR(IF([1]对账明细接口!$G$1028=0,"",[1]对账明细接口!$G$1028),"")</f>
        <v/>
      </c>
      <c r="H1028" s="17" t="str">
        <f>IFERROR(IF([1]对账明细接口!$H$1028=0,"",[1]对账明细接口!$H$1028),"")</f>
        <v/>
      </c>
      <c r="I1028" s="16" t="str">
        <f>IFERROR(IF([1]对账明细接口!$I$1028=0,"",[1]对账明细接口!$I$1028),"")</f>
        <v/>
      </c>
      <c r="J1028" s="18" t="str">
        <f>IFERROR(IF([1]对账明细接口!$J$1028=0,"",[1]对账明细接口!$J$1028),"")</f>
        <v/>
      </c>
      <c r="K1028" s="18" t="str">
        <f>IFERROR(IF([1]对账明细接口!$K$1028=0,"",[1]对账明细接口!$K$1028),"")</f>
        <v/>
      </c>
      <c r="L1028" s="16" t="str">
        <f>IFERROR(IF([1]对账明细接口!$L$1028=0,"",[1]对账明细接口!$L$1028),"")</f>
        <v/>
      </c>
      <c r="M1028" s="16" t="str">
        <f>IFERROR(IF([1]对账明细接口!$M$1028=0,"",[1]对账明细接口!$M$1028),"")</f>
        <v/>
      </c>
      <c r="N1028" s="19">
        <f t="shared" ref="N1028:N1091" si="32">IF($C1028="",0,1)</f>
        <v>0</v>
      </c>
      <c r="O1028" s="19">
        <f t="shared" ref="O1028:O1091" si="33">N(O1027)+$N1028</f>
        <v>420</v>
      </c>
      <c r="S1028" s="20" t="str">
        <f>IFERROR(IF([1]对账明细接口!$N1028=0,"",[1]对账明细接口!$N1028),"")</f>
        <v/>
      </c>
      <c r="T1028" s="21" t="str">
        <f>IFERROR(IF([1]对账明细接口!$O1028=0,"",[1]对账明细接口!$O1028),"")</f>
        <v/>
      </c>
      <c r="U1028" s="21" t="str">
        <f>IFERROR(IF([1]对账明细接口!$P1028=0,"",[1]对账明细接口!$P1028),"")</f>
        <v/>
      </c>
      <c r="V1028" s="21" t="str">
        <f>IFERROR(IF([1]对账明细接口!$Q1028=0,"",[1]对账明细接口!$Q1028),"")</f>
        <v/>
      </c>
      <c r="W1028" s="20" t="str">
        <f>IFERROR(IF([1]对账明细接口!$R1028=0,"",[1]对账明细接口!$R1028),"")</f>
        <v/>
      </c>
      <c r="X1028" s="20" t="str">
        <f>IFERROR(IF([1]对账明细接口!$S1028=0,"",[1]对账明细接口!$S1028),"")</f>
        <v/>
      </c>
      <c r="Y1028" s="20" t="str">
        <f>IFERROR(IF([1]对账明细接口!$T1028=0,"",[1]对账明细接口!$T1028),"")</f>
        <v/>
      </c>
      <c r="Z1028" s="24" t="str">
        <f>IFERROR(IF([1]对账明细接口!$U1028=0,"",[1]对账明细接口!$U1028),"")</f>
        <v/>
      </c>
      <c r="AA1028" s="24" t="str">
        <f>IFERROR(IF([1]对账明细接口!$V1028=0,"",[1]对账明细接口!$V1028),"")</f>
        <v/>
      </c>
      <c r="AB1028" s="20" t="str">
        <f>IFERROR(IF([1]对账明细接口!$W1028=0,"",[1]对账明细接口!$W1028),"")</f>
        <v/>
      </c>
      <c r="AC1028" s="7" t="str">
        <f>IFERROR(IF([1]对账明细接口!$X1028=0,"",[1]对账明细接口!$X1028),"")</f>
        <v/>
      </c>
      <c r="AD1028" s="7" t="str">
        <f>IFERROR(IF([1]对账明细接口!$Y1028=0,"",[1]对账明细接口!$Y1028),"")</f>
        <v/>
      </c>
      <c r="AE1028" s="7" t="str">
        <f>IFERROR(IF([1]对账明细接口!$AA1028=0,"",[1]对账明细接口!$AA1028),"")</f>
        <v/>
      </c>
      <c r="AF1028" s="7" t="str">
        <f>IFERROR(IF([1]对账明细接口!$AB1028=0,"",[1]对账明细接口!$AB1028),"")</f>
        <v/>
      </c>
      <c r="AG1028" s="7" t="str">
        <f>IFERROR(IF([1]对账明细接口!$AC1028=0,"",[1]对账明细接口!$AC1028),"")</f>
        <v/>
      </c>
      <c r="AH1028" s="7" t="str">
        <f>IFERROR(IF([1]对账明细接口!$AD1028=0,"",[1]对账明细接口!$AD1028),"")</f>
        <v/>
      </c>
      <c r="AI1028" s="7" t="str">
        <f>IFERROR(IF([1]对账明细接口!$AE1028=0,"",[1]对账明细接口!$AE1028),"")</f>
        <v/>
      </c>
      <c r="AJ1028" s="7" t="str">
        <f>IFERROR(IF([1]对账明细接口!$AF1028=0,"",[1]对账明细接口!$AF1028),"")</f>
        <v/>
      </c>
    </row>
    <row r="1029" ht="14.25" customHeight="1" spans="1:36">
      <c r="A1029" s="14">
        <v>1029</v>
      </c>
      <c r="B1029" s="15" t="str">
        <f>IFERROR(IF([1]对账明细接口!$B$1029=0,"",[1]对账明细接口!$B$1029),"")</f>
        <v/>
      </c>
      <c r="C1029" s="16" t="str">
        <f>IFERROR(IF([1]对账明细接口!$C$1029=0,"",[1]对账明细接口!$C$1029),"")</f>
        <v/>
      </c>
      <c r="D1029" s="16" t="str">
        <f>IFERROR(IF([1]对账明细接口!$D$1029=0,"",[1]对账明细接口!$D$1029),"")</f>
        <v/>
      </c>
      <c r="E1029" s="16" t="str">
        <f>IFERROR(IF([1]对账明细接口!$E$1029=0,"",[1]对账明细接口!$E$1029),"")</f>
        <v/>
      </c>
      <c r="F1029" s="16" t="str">
        <f>IFERROR(IF([1]对账明细接口!$F$1029=0,"",[1]对账明细接口!$F$1029),"")</f>
        <v/>
      </c>
      <c r="G1029" s="16" t="str">
        <f>IFERROR(IF([1]对账明细接口!$G$1029=0,"",[1]对账明细接口!$G$1029),"")</f>
        <v/>
      </c>
      <c r="H1029" s="17" t="str">
        <f>IFERROR(IF([1]对账明细接口!$H$1029=0,"",[1]对账明细接口!$H$1029),"")</f>
        <v/>
      </c>
      <c r="I1029" s="16" t="str">
        <f>IFERROR(IF([1]对账明细接口!$I$1029=0,"",[1]对账明细接口!$I$1029),"")</f>
        <v/>
      </c>
      <c r="J1029" s="18" t="str">
        <f>IFERROR(IF([1]对账明细接口!$J$1029=0,"",[1]对账明细接口!$J$1029),"")</f>
        <v/>
      </c>
      <c r="K1029" s="18" t="str">
        <f>IFERROR(IF([1]对账明细接口!$K$1029=0,"",[1]对账明细接口!$K$1029),"")</f>
        <v/>
      </c>
      <c r="L1029" s="16" t="str">
        <f>IFERROR(IF([1]对账明细接口!$L$1029=0,"",[1]对账明细接口!$L$1029),"")</f>
        <v/>
      </c>
      <c r="M1029" s="16" t="str">
        <f>IFERROR(IF([1]对账明细接口!$M$1029=0,"",[1]对账明细接口!$M$1029),"")</f>
        <v/>
      </c>
      <c r="N1029" s="19">
        <f t="shared" si="32"/>
        <v>0</v>
      </c>
      <c r="O1029" s="19">
        <f t="shared" si="33"/>
        <v>420</v>
      </c>
      <c r="S1029" s="20" t="str">
        <f>IFERROR(IF([1]对账明细接口!$N1029=0,"",[1]对账明细接口!$N1029),"")</f>
        <v/>
      </c>
      <c r="T1029" s="21" t="str">
        <f>IFERROR(IF([1]对账明细接口!$O1029=0,"",[1]对账明细接口!$O1029),"")</f>
        <v/>
      </c>
      <c r="U1029" s="21" t="str">
        <f>IFERROR(IF([1]对账明细接口!$P1029=0,"",[1]对账明细接口!$P1029),"")</f>
        <v/>
      </c>
      <c r="V1029" s="21" t="str">
        <f>IFERROR(IF([1]对账明细接口!$Q1029=0,"",[1]对账明细接口!$Q1029),"")</f>
        <v/>
      </c>
      <c r="W1029" s="20" t="str">
        <f>IFERROR(IF([1]对账明细接口!$R1029=0,"",[1]对账明细接口!$R1029),"")</f>
        <v/>
      </c>
      <c r="X1029" s="20" t="str">
        <f>IFERROR(IF([1]对账明细接口!$S1029=0,"",[1]对账明细接口!$S1029),"")</f>
        <v/>
      </c>
      <c r="Y1029" s="20" t="str">
        <f>IFERROR(IF([1]对账明细接口!$T1029=0,"",[1]对账明细接口!$T1029),"")</f>
        <v/>
      </c>
      <c r="Z1029" s="24" t="str">
        <f>IFERROR(IF([1]对账明细接口!$U1029=0,"",[1]对账明细接口!$U1029),"")</f>
        <v/>
      </c>
      <c r="AA1029" s="24" t="str">
        <f>IFERROR(IF([1]对账明细接口!$V1029=0,"",[1]对账明细接口!$V1029),"")</f>
        <v/>
      </c>
      <c r="AB1029" s="20" t="str">
        <f>IFERROR(IF([1]对账明细接口!$W1029=0,"",[1]对账明细接口!$W1029),"")</f>
        <v/>
      </c>
      <c r="AC1029" s="7" t="str">
        <f>IFERROR(IF([1]对账明细接口!$X1029=0,"",[1]对账明细接口!$X1029),"")</f>
        <v/>
      </c>
      <c r="AD1029" s="7" t="str">
        <f>IFERROR(IF([1]对账明细接口!$Y1029=0,"",[1]对账明细接口!$Y1029),"")</f>
        <v/>
      </c>
      <c r="AE1029" s="7" t="str">
        <f>IFERROR(IF([1]对账明细接口!$AA1029=0,"",[1]对账明细接口!$AA1029),"")</f>
        <v/>
      </c>
      <c r="AF1029" s="7" t="str">
        <f>IFERROR(IF([1]对账明细接口!$AB1029=0,"",[1]对账明细接口!$AB1029),"")</f>
        <v/>
      </c>
      <c r="AG1029" s="7" t="str">
        <f>IFERROR(IF([1]对账明细接口!$AC1029=0,"",[1]对账明细接口!$AC1029),"")</f>
        <v/>
      </c>
      <c r="AH1029" s="7" t="str">
        <f>IFERROR(IF([1]对账明细接口!$AD1029=0,"",[1]对账明细接口!$AD1029),"")</f>
        <v/>
      </c>
      <c r="AI1029" s="7" t="str">
        <f>IFERROR(IF([1]对账明细接口!$AE1029=0,"",[1]对账明细接口!$AE1029),"")</f>
        <v/>
      </c>
      <c r="AJ1029" s="7" t="str">
        <f>IFERROR(IF([1]对账明细接口!$AF1029=0,"",[1]对账明细接口!$AF1029),"")</f>
        <v/>
      </c>
    </row>
    <row r="1030" ht="14.25" customHeight="1" spans="1:36">
      <c r="A1030" s="14">
        <v>1030</v>
      </c>
      <c r="B1030" s="15" t="str">
        <f>IFERROR(IF([1]对账明细接口!$B$1030=0,"",[1]对账明细接口!$B$1030),"")</f>
        <v/>
      </c>
      <c r="C1030" s="16" t="str">
        <f>IFERROR(IF([1]对账明细接口!$C$1030=0,"",[1]对账明细接口!$C$1030),"")</f>
        <v/>
      </c>
      <c r="D1030" s="16" t="str">
        <f>IFERROR(IF([1]对账明细接口!$D$1030=0,"",[1]对账明细接口!$D$1030),"")</f>
        <v/>
      </c>
      <c r="E1030" s="16" t="str">
        <f>IFERROR(IF([1]对账明细接口!$E$1030=0,"",[1]对账明细接口!$E$1030),"")</f>
        <v/>
      </c>
      <c r="F1030" s="16" t="str">
        <f>IFERROR(IF([1]对账明细接口!$F$1030=0,"",[1]对账明细接口!$F$1030),"")</f>
        <v/>
      </c>
      <c r="G1030" s="16" t="str">
        <f>IFERROR(IF([1]对账明细接口!$G$1030=0,"",[1]对账明细接口!$G$1030),"")</f>
        <v/>
      </c>
      <c r="H1030" s="17" t="str">
        <f>IFERROR(IF([1]对账明细接口!$H$1030=0,"",[1]对账明细接口!$H$1030),"")</f>
        <v/>
      </c>
      <c r="I1030" s="16" t="str">
        <f>IFERROR(IF([1]对账明细接口!$I$1030=0,"",[1]对账明细接口!$I$1030),"")</f>
        <v/>
      </c>
      <c r="J1030" s="18" t="str">
        <f>IFERROR(IF([1]对账明细接口!$J$1030=0,"",[1]对账明细接口!$J$1030),"")</f>
        <v/>
      </c>
      <c r="K1030" s="18" t="str">
        <f>IFERROR(IF([1]对账明细接口!$K$1030=0,"",[1]对账明细接口!$K$1030),"")</f>
        <v/>
      </c>
      <c r="L1030" s="16" t="str">
        <f>IFERROR(IF([1]对账明细接口!$L$1030=0,"",[1]对账明细接口!$L$1030),"")</f>
        <v/>
      </c>
      <c r="M1030" s="16" t="str">
        <f>IFERROR(IF([1]对账明细接口!$M$1030=0,"",[1]对账明细接口!$M$1030),"")</f>
        <v/>
      </c>
      <c r="N1030" s="19">
        <f t="shared" si="32"/>
        <v>0</v>
      </c>
      <c r="O1030" s="19">
        <f t="shared" si="33"/>
        <v>420</v>
      </c>
      <c r="S1030" s="20" t="str">
        <f>IFERROR(IF([1]对账明细接口!$N1030=0,"",[1]对账明细接口!$N1030),"")</f>
        <v/>
      </c>
      <c r="T1030" s="21" t="str">
        <f>IFERROR(IF([1]对账明细接口!$O1030=0,"",[1]对账明细接口!$O1030),"")</f>
        <v/>
      </c>
      <c r="U1030" s="21" t="str">
        <f>IFERROR(IF([1]对账明细接口!$P1030=0,"",[1]对账明细接口!$P1030),"")</f>
        <v/>
      </c>
      <c r="V1030" s="21" t="str">
        <f>IFERROR(IF([1]对账明细接口!$Q1030=0,"",[1]对账明细接口!$Q1030),"")</f>
        <v/>
      </c>
      <c r="W1030" s="20" t="str">
        <f>IFERROR(IF([1]对账明细接口!$R1030=0,"",[1]对账明细接口!$R1030),"")</f>
        <v/>
      </c>
      <c r="X1030" s="20" t="str">
        <f>IFERROR(IF([1]对账明细接口!$S1030=0,"",[1]对账明细接口!$S1030),"")</f>
        <v/>
      </c>
      <c r="Y1030" s="20" t="str">
        <f>IFERROR(IF([1]对账明细接口!$T1030=0,"",[1]对账明细接口!$T1030),"")</f>
        <v/>
      </c>
      <c r="Z1030" s="24" t="str">
        <f>IFERROR(IF([1]对账明细接口!$U1030=0,"",[1]对账明细接口!$U1030),"")</f>
        <v/>
      </c>
      <c r="AA1030" s="24" t="str">
        <f>IFERROR(IF([1]对账明细接口!$V1030=0,"",[1]对账明细接口!$V1030),"")</f>
        <v/>
      </c>
      <c r="AB1030" s="20" t="str">
        <f>IFERROR(IF([1]对账明细接口!$W1030=0,"",[1]对账明细接口!$W1030),"")</f>
        <v/>
      </c>
      <c r="AC1030" s="7" t="str">
        <f>IFERROR(IF([1]对账明细接口!$X1030=0,"",[1]对账明细接口!$X1030),"")</f>
        <v/>
      </c>
      <c r="AD1030" s="7" t="str">
        <f>IFERROR(IF([1]对账明细接口!$Y1030=0,"",[1]对账明细接口!$Y1030),"")</f>
        <v/>
      </c>
      <c r="AE1030" s="7" t="str">
        <f>IFERROR(IF([1]对账明细接口!$AA1030=0,"",[1]对账明细接口!$AA1030),"")</f>
        <v/>
      </c>
      <c r="AF1030" s="7" t="str">
        <f>IFERROR(IF([1]对账明细接口!$AB1030=0,"",[1]对账明细接口!$AB1030),"")</f>
        <v/>
      </c>
      <c r="AG1030" s="7" t="str">
        <f>IFERROR(IF([1]对账明细接口!$AC1030=0,"",[1]对账明细接口!$AC1030),"")</f>
        <v/>
      </c>
      <c r="AH1030" s="7" t="str">
        <f>IFERROR(IF([1]对账明细接口!$AD1030=0,"",[1]对账明细接口!$AD1030),"")</f>
        <v/>
      </c>
      <c r="AI1030" s="7" t="str">
        <f>IFERROR(IF([1]对账明细接口!$AE1030=0,"",[1]对账明细接口!$AE1030),"")</f>
        <v/>
      </c>
      <c r="AJ1030" s="7" t="str">
        <f>IFERROR(IF([1]对账明细接口!$AF1030=0,"",[1]对账明细接口!$AF1030),"")</f>
        <v/>
      </c>
    </row>
    <row r="1031" ht="14.25" customHeight="1" spans="1:36">
      <c r="A1031" s="14">
        <v>1031</v>
      </c>
      <c r="B1031" s="15" t="str">
        <f>IFERROR(IF([1]对账明细接口!$B$1031=0,"",[1]对账明细接口!$B$1031),"")</f>
        <v/>
      </c>
      <c r="C1031" s="16" t="str">
        <f>IFERROR(IF([1]对账明细接口!$C$1031=0,"",[1]对账明细接口!$C$1031),"")</f>
        <v/>
      </c>
      <c r="D1031" s="16" t="str">
        <f>IFERROR(IF([1]对账明细接口!$D$1031=0,"",[1]对账明细接口!$D$1031),"")</f>
        <v/>
      </c>
      <c r="E1031" s="16" t="str">
        <f>IFERROR(IF([1]对账明细接口!$E$1031=0,"",[1]对账明细接口!$E$1031),"")</f>
        <v/>
      </c>
      <c r="F1031" s="16" t="str">
        <f>IFERROR(IF([1]对账明细接口!$F$1031=0,"",[1]对账明细接口!$F$1031),"")</f>
        <v/>
      </c>
      <c r="G1031" s="16" t="str">
        <f>IFERROR(IF([1]对账明细接口!$G$1031=0,"",[1]对账明细接口!$G$1031),"")</f>
        <v/>
      </c>
      <c r="H1031" s="17" t="str">
        <f>IFERROR(IF([1]对账明细接口!$H$1031=0,"",[1]对账明细接口!$H$1031),"")</f>
        <v/>
      </c>
      <c r="I1031" s="16" t="str">
        <f>IFERROR(IF([1]对账明细接口!$I$1031=0,"",[1]对账明细接口!$I$1031),"")</f>
        <v/>
      </c>
      <c r="J1031" s="18" t="str">
        <f>IFERROR(IF([1]对账明细接口!$J$1031=0,"",[1]对账明细接口!$J$1031),"")</f>
        <v/>
      </c>
      <c r="K1031" s="18" t="str">
        <f>IFERROR(IF([1]对账明细接口!$K$1031=0,"",[1]对账明细接口!$K$1031),"")</f>
        <v/>
      </c>
      <c r="L1031" s="16" t="str">
        <f>IFERROR(IF([1]对账明细接口!$L$1031=0,"",[1]对账明细接口!$L$1031),"")</f>
        <v/>
      </c>
      <c r="M1031" s="16" t="str">
        <f>IFERROR(IF([1]对账明细接口!$M$1031=0,"",[1]对账明细接口!$M$1031),"")</f>
        <v/>
      </c>
      <c r="N1031" s="19">
        <f t="shared" si="32"/>
        <v>0</v>
      </c>
      <c r="O1031" s="19">
        <f t="shared" si="33"/>
        <v>420</v>
      </c>
      <c r="S1031" s="20" t="str">
        <f>IFERROR(IF([1]对账明细接口!$N1031=0,"",[1]对账明细接口!$N1031),"")</f>
        <v/>
      </c>
      <c r="T1031" s="21" t="str">
        <f>IFERROR(IF([1]对账明细接口!$O1031=0,"",[1]对账明细接口!$O1031),"")</f>
        <v/>
      </c>
      <c r="U1031" s="21" t="str">
        <f>IFERROR(IF([1]对账明细接口!$P1031=0,"",[1]对账明细接口!$P1031),"")</f>
        <v/>
      </c>
      <c r="V1031" s="21" t="str">
        <f>IFERROR(IF([1]对账明细接口!$Q1031=0,"",[1]对账明细接口!$Q1031),"")</f>
        <v/>
      </c>
      <c r="W1031" s="20" t="str">
        <f>IFERROR(IF([1]对账明细接口!$R1031=0,"",[1]对账明细接口!$R1031),"")</f>
        <v/>
      </c>
      <c r="X1031" s="20" t="str">
        <f>IFERROR(IF([1]对账明细接口!$S1031=0,"",[1]对账明细接口!$S1031),"")</f>
        <v/>
      </c>
      <c r="Y1031" s="20" t="str">
        <f>IFERROR(IF([1]对账明细接口!$T1031=0,"",[1]对账明细接口!$T1031),"")</f>
        <v/>
      </c>
      <c r="Z1031" s="24" t="str">
        <f>IFERROR(IF([1]对账明细接口!$U1031=0,"",[1]对账明细接口!$U1031),"")</f>
        <v/>
      </c>
      <c r="AA1031" s="24" t="str">
        <f>IFERROR(IF([1]对账明细接口!$V1031=0,"",[1]对账明细接口!$V1031),"")</f>
        <v/>
      </c>
      <c r="AB1031" s="20" t="str">
        <f>IFERROR(IF([1]对账明细接口!$W1031=0,"",[1]对账明细接口!$W1031),"")</f>
        <v/>
      </c>
      <c r="AC1031" s="7" t="str">
        <f>IFERROR(IF([1]对账明细接口!$X1031=0,"",[1]对账明细接口!$X1031),"")</f>
        <v/>
      </c>
      <c r="AD1031" s="7" t="str">
        <f>IFERROR(IF([1]对账明细接口!$Y1031=0,"",[1]对账明细接口!$Y1031),"")</f>
        <v/>
      </c>
      <c r="AE1031" s="7" t="str">
        <f>IFERROR(IF([1]对账明细接口!$AA1031=0,"",[1]对账明细接口!$AA1031),"")</f>
        <v/>
      </c>
      <c r="AF1031" s="7" t="str">
        <f>IFERROR(IF([1]对账明细接口!$AB1031=0,"",[1]对账明细接口!$AB1031),"")</f>
        <v/>
      </c>
      <c r="AG1031" s="7" t="str">
        <f>IFERROR(IF([1]对账明细接口!$AC1031=0,"",[1]对账明细接口!$AC1031),"")</f>
        <v/>
      </c>
      <c r="AH1031" s="7" t="str">
        <f>IFERROR(IF([1]对账明细接口!$AD1031=0,"",[1]对账明细接口!$AD1031),"")</f>
        <v/>
      </c>
      <c r="AI1031" s="7" t="str">
        <f>IFERROR(IF([1]对账明细接口!$AE1031=0,"",[1]对账明细接口!$AE1031),"")</f>
        <v/>
      </c>
      <c r="AJ1031" s="7" t="str">
        <f>IFERROR(IF([1]对账明细接口!$AF1031=0,"",[1]对账明细接口!$AF1031),"")</f>
        <v/>
      </c>
    </row>
    <row r="1032" ht="14.25" customHeight="1" spans="1:36">
      <c r="A1032" s="14">
        <v>1032</v>
      </c>
      <c r="B1032" s="15" t="str">
        <f>IFERROR(IF([1]对账明细接口!$B$1032=0,"",[1]对账明细接口!$B$1032),"")</f>
        <v/>
      </c>
      <c r="C1032" s="16" t="str">
        <f>IFERROR(IF([1]对账明细接口!$C$1032=0,"",[1]对账明细接口!$C$1032),"")</f>
        <v/>
      </c>
      <c r="D1032" s="16" t="str">
        <f>IFERROR(IF([1]对账明细接口!$D$1032=0,"",[1]对账明细接口!$D$1032),"")</f>
        <v/>
      </c>
      <c r="E1032" s="16" t="str">
        <f>IFERROR(IF([1]对账明细接口!$E$1032=0,"",[1]对账明细接口!$E$1032),"")</f>
        <v/>
      </c>
      <c r="F1032" s="16" t="str">
        <f>IFERROR(IF([1]对账明细接口!$F$1032=0,"",[1]对账明细接口!$F$1032),"")</f>
        <v/>
      </c>
      <c r="G1032" s="16" t="str">
        <f>IFERROR(IF([1]对账明细接口!$G$1032=0,"",[1]对账明细接口!$G$1032),"")</f>
        <v/>
      </c>
      <c r="H1032" s="17" t="str">
        <f>IFERROR(IF([1]对账明细接口!$H$1032=0,"",[1]对账明细接口!$H$1032),"")</f>
        <v/>
      </c>
      <c r="I1032" s="16" t="str">
        <f>IFERROR(IF([1]对账明细接口!$I$1032=0,"",[1]对账明细接口!$I$1032),"")</f>
        <v/>
      </c>
      <c r="J1032" s="18" t="str">
        <f>IFERROR(IF([1]对账明细接口!$J$1032=0,"",[1]对账明细接口!$J$1032),"")</f>
        <v/>
      </c>
      <c r="K1032" s="18" t="str">
        <f>IFERROR(IF([1]对账明细接口!$K$1032=0,"",[1]对账明细接口!$K$1032),"")</f>
        <v/>
      </c>
      <c r="L1032" s="16" t="str">
        <f>IFERROR(IF([1]对账明细接口!$L$1032=0,"",[1]对账明细接口!$L$1032),"")</f>
        <v/>
      </c>
      <c r="M1032" s="16" t="str">
        <f>IFERROR(IF([1]对账明细接口!$M$1032=0,"",[1]对账明细接口!$M$1032),"")</f>
        <v/>
      </c>
      <c r="N1032" s="19">
        <f t="shared" si="32"/>
        <v>0</v>
      </c>
      <c r="O1032" s="19">
        <f t="shared" si="33"/>
        <v>420</v>
      </c>
      <c r="S1032" s="20" t="str">
        <f>IFERROR(IF([1]对账明细接口!$N1032=0,"",[1]对账明细接口!$N1032),"")</f>
        <v/>
      </c>
      <c r="T1032" s="21" t="str">
        <f>IFERROR(IF([1]对账明细接口!$O1032=0,"",[1]对账明细接口!$O1032),"")</f>
        <v/>
      </c>
      <c r="U1032" s="21" t="str">
        <f>IFERROR(IF([1]对账明细接口!$P1032=0,"",[1]对账明细接口!$P1032),"")</f>
        <v/>
      </c>
      <c r="V1032" s="21" t="str">
        <f>IFERROR(IF([1]对账明细接口!$Q1032=0,"",[1]对账明细接口!$Q1032),"")</f>
        <v/>
      </c>
      <c r="W1032" s="20" t="str">
        <f>IFERROR(IF([1]对账明细接口!$R1032=0,"",[1]对账明细接口!$R1032),"")</f>
        <v/>
      </c>
      <c r="X1032" s="20" t="str">
        <f>IFERROR(IF([1]对账明细接口!$S1032=0,"",[1]对账明细接口!$S1032),"")</f>
        <v/>
      </c>
      <c r="Y1032" s="20" t="str">
        <f>IFERROR(IF([1]对账明细接口!$T1032=0,"",[1]对账明细接口!$T1032),"")</f>
        <v/>
      </c>
      <c r="Z1032" s="24" t="str">
        <f>IFERROR(IF([1]对账明细接口!$U1032=0,"",[1]对账明细接口!$U1032),"")</f>
        <v/>
      </c>
      <c r="AA1032" s="24" t="str">
        <f>IFERROR(IF([1]对账明细接口!$V1032=0,"",[1]对账明细接口!$V1032),"")</f>
        <v/>
      </c>
      <c r="AB1032" s="20" t="str">
        <f>IFERROR(IF([1]对账明细接口!$W1032=0,"",[1]对账明细接口!$W1032),"")</f>
        <v/>
      </c>
      <c r="AC1032" s="7" t="str">
        <f>IFERROR(IF([1]对账明细接口!$X1032=0,"",[1]对账明细接口!$X1032),"")</f>
        <v/>
      </c>
      <c r="AD1032" s="7" t="str">
        <f>IFERROR(IF([1]对账明细接口!$Y1032=0,"",[1]对账明细接口!$Y1032),"")</f>
        <v/>
      </c>
      <c r="AE1032" s="7" t="str">
        <f>IFERROR(IF([1]对账明细接口!$AA1032=0,"",[1]对账明细接口!$AA1032),"")</f>
        <v/>
      </c>
      <c r="AF1032" s="7" t="str">
        <f>IFERROR(IF([1]对账明细接口!$AB1032=0,"",[1]对账明细接口!$AB1032),"")</f>
        <v/>
      </c>
      <c r="AG1032" s="7" t="str">
        <f>IFERROR(IF([1]对账明细接口!$AC1032=0,"",[1]对账明细接口!$AC1032),"")</f>
        <v/>
      </c>
      <c r="AH1032" s="7" t="str">
        <f>IFERROR(IF([1]对账明细接口!$AD1032=0,"",[1]对账明细接口!$AD1032),"")</f>
        <v/>
      </c>
      <c r="AI1032" s="7" t="str">
        <f>IFERROR(IF([1]对账明细接口!$AE1032=0,"",[1]对账明细接口!$AE1032),"")</f>
        <v/>
      </c>
      <c r="AJ1032" s="7" t="str">
        <f>IFERROR(IF([1]对账明细接口!$AF1032=0,"",[1]对账明细接口!$AF1032),"")</f>
        <v/>
      </c>
    </row>
    <row r="1033" ht="14.25" customHeight="1" spans="1:36">
      <c r="A1033" s="14">
        <v>1033</v>
      </c>
      <c r="B1033" s="15" t="str">
        <f>IFERROR(IF([1]对账明细接口!$B$1033=0,"",[1]对账明细接口!$B$1033),"")</f>
        <v/>
      </c>
      <c r="C1033" s="16" t="str">
        <f>IFERROR(IF([1]对账明细接口!$C$1033=0,"",[1]对账明细接口!$C$1033),"")</f>
        <v/>
      </c>
      <c r="D1033" s="16" t="str">
        <f>IFERROR(IF([1]对账明细接口!$D$1033=0,"",[1]对账明细接口!$D$1033),"")</f>
        <v/>
      </c>
      <c r="E1033" s="16" t="str">
        <f>IFERROR(IF([1]对账明细接口!$E$1033=0,"",[1]对账明细接口!$E$1033),"")</f>
        <v/>
      </c>
      <c r="F1033" s="16" t="str">
        <f>IFERROR(IF([1]对账明细接口!$F$1033=0,"",[1]对账明细接口!$F$1033),"")</f>
        <v/>
      </c>
      <c r="G1033" s="16" t="str">
        <f>IFERROR(IF([1]对账明细接口!$G$1033=0,"",[1]对账明细接口!$G$1033),"")</f>
        <v/>
      </c>
      <c r="H1033" s="17" t="str">
        <f>IFERROR(IF([1]对账明细接口!$H$1033=0,"",[1]对账明细接口!$H$1033),"")</f>
        <v/>
      </c>
      <c r="I1033" s="16" t="str">
        <f>IFERROR(IF([1]对账明细接口!$I$1033=0,"",[1]对账明细接口!$I$1033),"")</f>
        <v/>
      </c>
      <c r="J1033" s="18" t="str">
        <f>IFERROR(IF([1]对账明细接口!$J$1033=0,"",[1]对账明细接口!$J$1033),"")</f>
        <v/>
      </c>
      <c r="K1033" s="18" t="str">
        <f>IFERROR(IF([1]对账明细接口!$K$1033=0,"",[1]对账明细接口!$K$1033),"")</f>
        <v/>
      </c>
      <c r="L1033" s="16" t="str">
        <f>IFERROR(IF([1]对账明细接口!$L$1033=0,"",[1]对账明细接口!$L$1033),"")</f>
        <v/>
      </c>
      <c r="M1033" s="16" t="str">
        <f>IFERROR(IF([1]对账明细接口!$M$1033=0,"",[1]对账明细接口!$M$1033),"")</f>
        <v/>
      </c>
      <c r="N1033" s="19">
        <f t="shared" si="32"/>
        <v>0</v>
      </c>
      <c r="O1033" s="19">
        <f t="shared" si="33"/>
        <v>420</v>
      </c>
      <c r="S1033" s="20" t="str">
        <f>IFERROR(IF([1]对账明细接口!$N1033=0,"",[1]对账明细接口!$N1033),"")</f>
        <v/>
      </c>
      <c r="T1033" s="21" t="str">
        <f>IFERROR(IF([1]对账明细接口!$O1033=0,"",[1]对账明细接口!$O1033),"")</f>
        <v/>
      </c>
      <c r="U1033" s="21" t="str">
        <f>IFERROR(IF([1]对账明细接口!$P1033=0,"",[1]对账明细接口!$P1033),"")</f>
        <v/>
      </c>
      <c r="V1033" s="21" t="str">
        <f>IFERROR(IF([1]对账明细接口!$Q1033=0,"",[1]对账明细接口!$Q1033),"")</f>
        <v/>
      </c>
      <c r="W1033" s="20" t="str">
        <f>IFERROR(IF([1]对账明细接口!$R1033=0,"",[1]对账明细接口!$R1033),"")</f>
        <v/>
      </c>
      <c r="X1033" s="20" t="str">
        <f>IFERROR(IF([1]对账明细接口!$S1033=0,"",[1]对账明细接口!$S1033),"")</f>
        <v/>
      </c>
      <c r="Y1033" s="20" t="str">
        <f>IFERROR(IF([1]对账明细接口!$T1033=0,"",[1]对账明细接口!$T1033),"")</f>
        <v/>
      </c>
      <c r="Z1033" s="24" t="str">
        <f>IFERROR(IF([1]对账明细接口!$U1033=0,"",[1]对账明细接口!$U1033),"")</f>
        <v/>
      </c>
      <c r="AA1033" s="24" t="str">
        <f>IFERROR(IF([1]对账明细接口!$V1033=0,"",[1]对账明细接口!$V1033),"")</f>
        <v/>
      </c>
      <c r="AB1033" s="20" t="str">
        <f>IFERROR(IF([1]对账明细接口!$W1033=0,"",[1]对账明细接口!$W1033),"")</f>
        <v/>
      </c>
      <c r="AC1033" s="7" t="str">
        <f>IFERROR(IF([1]对账明细接口!$X1033=0,"",[1]对账明细接口!$X1033),"")</f>
        <v/>
      </c>
      <c r="AD1033" s="7" t="str">
        <f>IFERROR(IF([1]对账明细接口!$Y1033=0,"",[1]对账明细接口!$Y1033),"")</f>
        <v/>
      </c>
      <c r="AE1033" s="7" t="str">
        <f>IFERROR(IF([1]对账明细接口!$AA1033=0,"",[1]对账明细接口!$AA1033),"")</f>
        <v/>
      </c>
      <c r="AF1033" s="7" t="str">
        <f>IFERROR(IF([1]对账明细接口!$AB1033=0,"",[1]对账明细接口!$AB1033),"")</f>
        <v/>
      </c>
      <c r="AG1033" s="7" t="str">
        <f>IFERROR(IF([1]对账明细接口!$AC1033=0,"",[1]对账明细接口!$AC1033),"")</f>
        <v/>
      </c>
      <c r="AH1033" s="7" t="str">
        <f>IFERROR(IF([1]对账明细接口!$AD1033=0,"",[1]对账明细接口!$AD1033),"")</f>
        <v/>
      </c>
      <c r="AI1033" s="7" t="str">
        <f>IFERROR(IF([1]对账明细接口!$AE1033=0,"",[1]对账明细接口!$AE1033),"")</f>
        <v/>
      </c>
      <c r="AJ1033" s="7" t="str">
        <f>IFERROR(IF([1]对账明细接口!$AF1033=0,"",[1]对账明细接口!$AF1033),"")</f>
        <v/>
      </c>
    </row>
    <row r="1034" ht="14.25" customHeight="1" spans="1:36">
      <c r="A1034" s="14">
        <v>1034</v>
      </c>
      <c r="B1034" s="15" t="str">
        <f>IFERROR(IF([1]对账明细接口!$B$1034=0,"",[1]对账明细接口!$B$1034),"")</f>
        <v/>
      </c>
      <c r="C1034" s="16" t="str">
        <f>IFERROR(IF([1]对账明细接口!$C$1034=0,"",[1]对账明细接口!$C$1034),"")</f>
        <v/>
      </c>
      <c r="D1034" s="16" t="str">
        <f>IFERROR(IF([1]对账明细接口!$D$1034=0,"",[1]对账明细接口!$D$1034),"")</f>
        <v/>
      </c>
      <c r="E1034" s="16" t="str">
        <f>IFERROR(IF([1]对账明细接口!$E$1034=0,"",[1]对账明细接口!$E$1034),"")</f>
        <v/>
      </c>
      <c r="F1034" s="16" t="str">
        <f>IFERROR(IF([1]对账明细接口!$F$1034=0,"",[1]对账明细接口!$F$1034),"")</f>
        <v/>
      </c>
      <c r="G1034" s="16" t="str">
        <f>IFERROR(IF([1]对账明细接口!$G$1034=0,"",[1]对账明细接口!$G$1034),"")</f>
        <v/>
      </c>
      <c r="H1034" s="17" t="str">
        <f>IFERROR(IF([1]对账明细接口!$H$1034=0,"",[1]对账明细接口!$H$1034),"")</f>
        <v/>
      </c>
      <c r="I1034" s="16" t="str">
        <f>IFERROR(IF([1]对账明细接口!$I$1034=0,"",[1]对账明细接口!$I$1034),"")</f>
        <v/>
      </c>
      <c r="J1034" s="18" t="str">
        <f>IFERROR(IF([1]对账明细接口!$J$1034=0,"",[1]对账明细接口!$J$1034),"")</f>
        <v/>
      </c>
      <c r="K1034" s="18" t="str">
        <f>IFERROR(IF([1]对账明细接口!$K$1034=0,"",[1]对账明细接口!$K$1034),"")</f>
        <v/>
      </c>
      <c r="L1034" s="16" t="str">
        <f>IFERROR(IF([1]对账明细接口!$L$1034=0,"",[1]对账明细接口!$L$1034),"")</f>
        <v/>
      </c>
      <c r="M1034" s="16" t="str">
        <f>IFERROR(IF([1]对账明细接口!$M$1034=0,"",[1]对账明细接口!$M$1034),"")</f>
        <v/>
      </c>
      <c r="N1034" s="19">
        <f t="shared" si="32"/>
        <v>0</v>
      </c>
      <c r="O1034" s="19">
        <f t="shared" si="33"/>
        <v>420</v>
      </c>
      <c r="S1034" s="20" t="str">
        <f>IFERROR(IF([1]对账明细接口!$N1034=0,"",[1]对账明细接口!$N1034),"")</f>
        <v/>
      </c>
      <c r="T1034" s="21" t="str">
        <f>IFERROR(IF([1]对账明细接口!$O1034=0,"",[1]对账明细接口!$O1034),"")</f>
        <v/>
      </c>
      <c r="U1034" s="21" t="str">
        <f>IFERROR(IF([1]对账明细接口!$P1034=0,"",[1]对账明细接口!$P1034),"")</f>
        <v/>
      </c>
      <c r="V1034" s="21" t="str">
        <f>IFERROR(IF([1]对账明细接口!$Q1034=0,"",[1]对账明细接口!$Q1034),"")</f>
        <v/>
      </c>
      <c r="W1034" s="20" t="str">
        <f>IFERROR(IF([1]对账明细接口!$R1034=0,"",[1]对账明细接口!$R1034),"")</f>
        <v/>
      </c>
      <c r="X1034" s="20" t="str">
        <f>IFERROR(IF([1]对账明细接口!$S1034=0,"",[1]对账明细接口!$S1034),"")</f>
        <v/>
      </c>
      <c r="Y1034" s="20" t="str">
        <f>IFERROR(IF([1]对账明细接口!$T1034=0,"",[1]对账明细接口!$T1034),"")</f>
        <v/>
      </c>
      <c r="Z1034" s="24" t="str">
        <f>IFERROR(IF([1]对账明细接口!$U1034=0,"",[1]对账明细接口!$U1034),"")</f>
        <v/>
      </c>
      <c r="AA1034" s="24" t="str">
        <f>IFERROR(IF([1]对账明细接口!$V1034=0,"",[1]对账明细接口!$V1034),"")</f>
        <v/>
      </c>
      <c r="AB1034" s="20" t="str">
        <f>IFERROR(IF([1]对账明细接口!$W1034=0,"",[1]对账明细接口!$W1034),"")</f>
        <v/>
      </c>
      <c r="AC1034" s="7" t="str">
        <f>IFERROR(IF([1]对账明细接口!$X1034=0,"",[1]对账明细接口!$X1034),"")</f>
        <v/>
      </c>
      <c r="AD1034" s="7" t="str">
        <f>IFERROR(IF([1]对账明细接口!$Y1034=0,"",[1]对账明细接口!$Y1034),"")</f>
        <v/>
      </c>
      <c r="AE1034" s="7" t="str">
        <f>IFERROR(IF([1]对账明细接口!$AA1034=0,"",[1]对账明细接口!$AA1034),"")</f>
        <v/>
      </c>
      <c r="AF1034" s="7" t="str">
        <f>IFERROR(IF([1]对账明细接口!$AB1034=0,"",[1]对账明细接口!$AB1034),"")</f>
        <v/>
      </c>
      <c r="AG1034" s="7" t="str">
        <f>IFERROR(IF([1]对账明细接口!$AC1034=0,"",[1]对账明细接口!$AC1034),"")</f>
        <v/>
      </c>
      <c r="AH1034" s="7" t="str">
        <f>IFERROR(IF([1]对账明细接口!$AD1034=0,"",[1]对账明细接口!$AD1034),"")</f>
        <v/>
      </c>
      <c r="AI1034" s="7" t="str">
        <f>IFERROR(IF([1]对账明细接口!$AE1034=0,"",[1]对账明细接口!$AE1034),"")</f>
        <v/>
      </c>
      <c r="AJ1034" s="7" t="str">
        <f>IFERROR(IF([1]对账明细接口!$AF1034=0,"",[1]对账明细接口!$AF1034),"")</f>
        <v/>
      </c>
    </row>
    <row r="1035" ht="14.25" customHeight="1" spans="1:36">
      <c r="A1035" s="14">
        <v>1035</v>
      </c>
      <c r="B1035" s="15" t="str">
        <f>IFERROR(IF([1]对账明细接口!$B$1035=0,"",[1]对账明细接口!$B$1035),"")</f>
        <v/>
      </c>
      <c r="C1035" s="16" t="str">
        <f>IFERROR(IF([1]对账明细接口!$C$1035=0,"",[1]对账明细接口!$C$1035),"")</f>
        <v/>
      </c>
      <c r="D1035" s="16" t="str">
        <f>IFERROR(IF([1]对账明细接口!$D$1035=0,"",[1]对账明细接口!$D$1035),"")</f>
        <v/>
      </c>
      <c r="E1035" s="16" t="str">
        <f>IFERROR(IF([1]对账明细接口!$E$1035=0,"",[1]对账明细接口!$E$1035),"")</f>
        <v/>
      </c>
      <c r="F1035" s="16" t="str">
        <f>IFERROR(IF([1]对账明细接口!$F$1035=0,"",[1]对账明细接口!$F$1035),"")</f>
        <v/>
      </c>
      <c r="G1035" s="16" t="str">
        <f>IFERROR(IF([1]对账明细接口!$G$1035=0,"",[1]对账明细接口!$G$1035),"")</f>
        <v/>
      </c>
      <c r="H1035" s="17" t="str">
        <f>IFERROR(IF([1]对账明细接口!$H$1035=0,"",[1]对账明细接口!$H$1035),"")</f>
        <v/>
      </c>
      <c r="I1035" s="16" t="str">
        <f>IFERROR(IF([1]对账明细接口!$I$1035=0,"",[1]对账明细接口!$I$1035),"")</f>
        <v/>
      </c>
      <c r="J1035" s="18" t="str">
        <f>IFERROR(IF([1]对账明细接口!$J$1035=0,"",[1]对账明细接口!$J$1035),"")</f>
        <v/>
      </c>
      <c r="K1035" s="18" t="str">
        <f>IFERROR(IF([1]对账明细接口!$K$1035=0,"",[1]对账明细接口!$K$1035),"")</f>
        <v/>
      </c>
      <c r="L1035" s="16" t="str">
        <f>IFERROR(IF([1]对账明细接口!$L$1035=0,"",[1]对账明细接口!$L$1035),"")</f>
        <v/>
      </c>
      <c r="M1035" s="16" t="str">
        <f>IFERROR(IF([1]对账明细接口!$M$1035=0,"",[1]对账明细接口!$M$1035),"")</f>
        <v/>
      </c>
      <c r="N1035" s="19">
        <f t="shared" si="32"/>
        <v>0</v>
      </c>
      <c r="O1035" s="19">
        <f t="shared" si="33"/>
        <v>420</v>
      </c>
      <c r="S1035" s="20" t="str">
        <f>IFERROR(IF([1]对账明细接口!$N1035=0,"",[1]对账明细接口!$N1035),"")</f>
        <v/>
      </c>
      <c r="T1035" s="21" t="str">
        <f>IFERROR(IF([1]对账明细接口!$O1035=0,"",[1]对账明细接口!$O1035),"")</f>
        <v/>
      </c>
      <c r="U1035" s="21" t="str">
        <f>IFERROR(IF([1]对账明细接口!$P1035=0,"",[1]对账明细接口!$P1035),"")</f>
        <v/>
      </c>
      <c r="V1035" s="21" t="str">
        <f>IFERROR(IF([1]对账明细接口!$Q1035=0,"",[1]对账明细接口!$Q1035),"")</f>
        <v/>
      </c>
      <c r="W1035" s="20" t="str">
        <f>IFERROR(IF([1]对账明细接口!$R1035=0,"",[1]对账明细接口!$R1035),"")</f>
        <v/>
      </c>
      <c r="X1035" s="20" t="str">
        <f>IFERROR(IF([1]对账明细接口!$S1035=0,"",[1]对账明细接口!$S1035),"")</f>
        <v/>
      </c>
      <c r="Y1035" s="20" t="str">
        <f>IFERROR(IF([1]对账明细接口!$T1035=0,"",[1]对账明细接口!$T1035),"")</f>
        <v/>
      </c>
      <c r="Z1035" s="24" t="str">
        <f>IFERROR(IF([1]对账明细接口!$U1035=0,"",[1]对账明细接口!$U1035),"")</f>
        <v/>
      </c>
      <c r="AA1035" s="24" t="str">
        <f>IFERROR(IF([1]对账明细接口!$V1035=0,"",[1]对账明细接口!$V1035),"")</f>
        <v/>
      </c>
      <c r="AB1035" s="20" t="str">
        <f>IFERROR(IF([1]对账明细接口!$W1035=0,"",[1]对账明细接口!$W1035),"")</f>
        <v/>
      </c>
      <c r="AC1035" s="7" t="str">
        <f>IFERROR(IF([1]对账明细接口!$X1035=0,"",[1]对账明细接口!$X1035),"")</f>
        <v/>
      </c>
      <c r="AD1035" s="7" t="str">
        <f>IFERROR(IF([1]对账明细接口!$Y1035=0,"",[1]对账明细接口!$Y1035),"")</f>
        <v/>
      </c>
      <c r="AE1035" s="7" t="str">
        <f>IFERROR(IF([1]对账明细接口!$AA1035=0,"",[1]对账明细接口!$AA1035),"")</f>
        <v/>
      </c>
      <c r="AF1035" s="7" t="str">
        <f>IFERROR(IF([1]对账明细接口!$AB1035=0,"",[1]对账明细接口!$AB1035),"")</f>
        <v/>
      </c>
      <c r="AG1035" s="7" t="str">
        <f>IFERROR(IF([1]对账明细接口!$AC1035=0,"",[1]对账明细接口!$AC1035),"")</f>
        <v/>
      </c>
      <c r="AH1035" s="7" t="str">
        <f>IFERROR(IF([1]对账明细接口!$AD1035=0,"",[1]对账明细接口!$AD1035),"")</f>
        <v/>
      </c>
      <c r="AI1035" s="7" t="str">
        <f>IFERROR(IF([1]对账明细接口!$AE1035=0,"",[1]对账明细接口!$AE1035),"")</f>
        <v/>
      </c>
      <c r="AJ1035" s="7" t="str">
        <f>IFERROR(IF([1]对账明细接口!$AF1035=0,"",[1]对账明细接口!$AF1035),"")</f>
        <v/>
      </c>
    </row>
    <row r="1036" ht="14.25" customHeight="1" spans="1:36">
      <c r="A1036" s="14">
        <v>1036</v>
      </c>
      <c r="B1036" s="15" t="str">
        <f>IFERROR(IF([1]对账明细接口!$B$1036=0,"",[1]对账明细接口!$B$1036),"")</f>
        <v/>
      </c>
      <c r="C1036" s="16" t="str">
        <f>IFERROR(IF([1]对账明细接口!$C$1036=0,"",[1]对账明细接口!$C$1036),"")</f>
        <v/>
      </c>
      <c r="D1036" s="16" t="str">
        <f>IFERROR(IF([1]对账明细接口!$D$1036=0,"",[1]对账明细接口!$D$1036),"")</f>
        <v/>
      </c>
      <c r="E1036" s="16" t="str">
        <f>IFERROR(IF([1]对账明细接口!$E$1036=0,"",[1]对账明细接口!$E$1036),"")</f>
        <v/>
      </c>
      <c r="F1036" s="16" t="str">
        <f>IFERROR(IF([1]对账明细接口!$F$1036=0,"",[1]对账明细接口!$F$1036),"")</f>
        <v/>
      </c>
      <c r="G1036" s="16" t="str">
        <f>IFERROR(IF([1]对账明细接口!$G$1036=0,"",[1]对账明细接口!$G$1036),"")</f>
        <v/>
      </c>
      <c r="H1036" s="17" t="str">
        <f>IFERROR(IF([1]对账明细接口!$H$1036=0,"",[1]对账明细接口!$H$1036),"")</f>
        <v/>
      </c>
      <c r="I1036" s="16" t="str">
        <f>IFERROR(IF([1]对账明细接口!$I$1036=0,"",[1]对账明细接口!$I$1036),"")</f>
        <v/>
      </c>
      <c r="J1036" s="18" t="str">
        <f>IFERROR(IF([1]对账明细接口!$J$1036=0,"",[1]对账明细接口!$J$1036),"")</f>
        <v/>
      </c>
      <c r="K1036" s="18" t="str">
        <f>IFERROR(IF([1]对账明细接口!$K$1036=0,"",[1]对账明细接口!$K$1036),"")</f>
        <v/>
      </c>
      <c r="L1036" s="16" t="str">
        <f>IFERROR(IF([1]对账明细接口!$L$1036=0,"",[1]对账明细接口!$L$1036),"")</f>
        <v/>
      </c>
      <c r="M1036" s="16" t="str">
        <f>IFERROR(IF([1]对账明细接口!$M$1036=0,"",[1]对账明细接口!$M$1036),"")</f>
        <v/>
      </c>
      <c r="N1036" s="19">
        <f t="shared" si="32"/>
        <v>0</v>
      </c>
      <c r="O1036" s="19">
        <f t="shared" si="33"/>
        <v>420</v>
      </c>
      <c r="S1036" s="20" t="str">
        <f>IFERROR(IF([1]对账明细接口!$N1036=0,"",[1]对账明细接口!$N1036),"")</f>
        <v/>
      </c>
      <c r="T1036" s="21" t="str">
        <f>IFERROR(IF([1]对账明细接口!$O1036=0,"",[1]对账明细接口!$O1036),"")</f>
        <v/>
      </c>
      <c r="U1036" s="21" t="str">
        <f>IFERROR(IF([1]对账明细接口!$P1036=0,"",[1]对账明细接口!$P1036),"")</f>
        <v/>
      </c>
      <c r="V1036" s="21" t="str">
        <f>IFERROR(IF([1]对账明细接口!$Q1036=0,"",[1]对账明细接口!$Q1036),"")</f>
        <v/>
      </c>
      <c r="W1036" s="20" t="str">
        <f>IFERROR(IF([1]对账明细接口!$R1036=0,"",[1]对账明细接口!$R1036),"")</f>
        <v/>
      </c>
      <c r="X1036" s="20" t="str">
        <f>IFERROR(IF([1]对账明细接口!$S1036=0,"",[1]对账明细接口!$S1036),"")</f>
        <v/>
      </c>
      <c r="Y1036" s="20" t="str">
        <f>IFERROR(IF([1]对账明细接口!$T1036=0,"",[1]对账明细接口!$T1036),"")</f>
        <v/>
      </c>
      <c r="Z1036" s="24" t="str">
        <f>IFERROR(IF([1]对账明细接口!$U1036=0,"",[1]对账明细接口!$U1036),"")</f>
        <v/>
      </c>
      <c r="AA1036" s="24" t="str">
        <f>IFERROR(IF([1]对账明细接口!$V1036=0,"",[1]对账明细接口!$V1036),"")</f>
        <v/>
      </c>
      <c r="AB1036" s="20" t="str">
        <f>IFERROR(IF([1]对账明细接口!$W1036=0,"",[1]对账明细接口!$W1036),"")</f>
        <v/>
      </c>
      <c r="AC1036" s="7" t="str">
        <f>IFERROR(IF([1]对账明细接口!$X1036=0,"",[1]对账明细接口!$X1036),"")</f>
        <v/>
      </c>
      <c r="AD1036" s="7" t="str">
        <f>IFERROR(IF([1]对账明细接口!$Y1036=0,"",[1]对账明细接口!$Y1036),"")</f>
        <v/>
      </c>
      <c r="AE1036" s="7" t="str">
        <f>IFERROR(IF([1]对账明细接口!$AA1036=0,"",[1]对账明细接口!$AA1036),"")</f>
        <v/>
      </c>
      <c r="AF1036" s="7" t="str">
        <f>IFERROR(IF([1]对账明细接口!$AB1036=0,"",[1]对账明细接口!$AB1036),"")</f>
        <v/>
      </c>
      <c r="AG1036" s="7" t="str">
        <f>IFERROR(IF([1]对账明细接口!$AC1036=0,"",[1]对账明细接口!$AC1036),"")</f>
        <v/>
      </c>
      <c r="AH1036" s="7" t="str">
        <f>IFERROR(IF([1]对账明细接口!$AD1036=0,"",[1]对账明细接口!$AD1036),"")</f>
        <v/>
      </c>
      <c r="AI1036" s="7" t="str">
        <f>IFERROR(IF([1]对账明细接口!$AE1036=0,"",[1]对账明细接口!$AE1036),"")</f>
        <v/>
      </c>
      <c r="AJ1036" s="7" t="str">
        <f>IFERROR(IF([1]对账明细接口!$AF1036=0,"",[1]对账明细接口!$AF1036),"")</f>
        <v/>
      </c>
    </row>
    <row r="1037" ht="14.25" customHeight="1" spans="1:36">
      <c r="A1037" s="14">
        <v>1037</v>
      </c>
      <c r="B1037" s="15" t="str">
        <f>IFERROR(IF([1]对账明细接口!$B$1037=0,"",[1]对账明细接口!$B$1037),"")</f>
        <v/>
      </c>
      <c r="C1037" s="16" t="str">
        <f>IFERROR(IF([1]对账明细接口!$C$1037=0,"",[1]对账明细接口!$C$1037),"")</f>
        <v/>
      </c>
      <c r="D1037" s="16" t="str">
        <f>IFERROR(IF([1]对账明细接口!$D$1037=0,"",[1]对账明细接口!$D$1037),"")</f>
        <v/>
      </c>
      <c r="E1037" s="16" t="str">
        <f>IFERROR(IF([1]对账明细接口!$E$1037=0,"",[1]对账明细接口!$E$1037),"")</f>
        <v/>
      </c>
      <c r="F1037" s="16" t="str">
        <f>IFERROR(IF([1]对账明细接口!$F$1037=0,"",[1]对账明细接口!$F$1037),"")</f>
        <v/>
      </c>
      <c r="G1037" s="16" t="str">
        <f>IFERROR(IF([1]对账明细接口!$G$1037=0,"",[1]对账明细接口!$G$1037),"")</f>
        <v/>
      </c>
      <c r="H1037" s="17" t="str">
        <f>IFERROR(IF([1]对账明细接口!$H$1037=0,"",[1]对账明细接口!$H$1037),"")</f>
        <v/>
      </c>
      <c r="I1037" s="16" t="str">
        <f>IFERROR(IF([1]对账明细接口!$I$1037=0,"",[1]对账明细接口!$I$1037),"")</f>
        <v/>
      </c>
      <c r="J1037" s="18" t="str">
        <f>IFERROR(IF([1]对账明细接口!$J$1037=0,"",[1]对账明细接口!$J$1037),"")</f>
        <v/>
      </c>
      <c r="K1037" s="18" t="str">
        <f>IFERROR(IF([1]对账明细接口!$K$1037=0,"",[1]对账明细接口!$K$1037),"")</f>
        <v/>
      </c>
      <c r="L1037" s="16" t="str">
        <f>IFERROR(IF([1]对账明细接口!$L$1037=0,"",[1]对账明细接口!$L$1037),"")</f>
        <v/>
      </c>
      <c r="M1037" s="16" t="str">
        <f>IFERROR(IF([1]对账明细接口!$M$1037=0,"",[1]对账明细接口!$M$1037),"")</f>
        <v/>
      </c>
      <c r="N1037" s="19">
        <f t="shared" si="32"/>
        <v>0</v>
      </c>
      <c r="O1037" s="19">
        <f t="shared" si="33"/>
        <v>420</v>
      </c>
      <c r="S1037" s="20" t="str">
        <f>IFERROR(IF([1]对账明细接口!$N1037=0,"",[1]对账明细接口!$N1037),"")</f>
        <v/>
      </c>
      <c r="T1037" s="21" t="str">
        <f>IFERROR(IF([1]对账明细接口!$O1037=0,"",[1]对账明细接口!$O1037),"")</f>
        <v/>
      </c>
      <c r="U1037" s="21" t="str">
        <f>IFERROR(IF([1]对账明细接口!$P1037=0,"",[1]对账明细接口!$P1037),"")</f>
        <v/>
      </c>
      <c r="V1037" s="21" t="str">
        <f>IFERROR(IF([1]对账明细接口!$Q1037=0,"",[1]对账明细接口!$Q1037),"")</f>
        <v/>
      </c>
      <c r="W1037" s="20" t="str">
        <f>IFERROR(IF([1]对账明细接口!$R1037=0,"",[1]对账明细接口!$R1037),"")</f>
        <v/>
      </c>
      <c r="X1037" s="20" t="str">
        <f>IFERROR(IF([1]对账明细接口!$S1037=0,"",[1]对账明细接口!$S1037),"")</f>
        <v/>
      </c>
      <c r="Y1037" s="20" t="str">
        <f>IFERROR(IF([1]对账明细接口!$T1037=0,"",[1]对账明细接口!$T1037),"")</f>
        <v/>
      </c>
      <c r="Z1037" s="24" t="str">
        <f>IFERROR(IF([1]对账明细接口!$U1037=0,"",[1]对账明细接口!$U1037),"")</f>
        <v/>
      </c>
      <c r="AA1037" s="24" t="str">
        <f>IFERROR(IF([1]对账明细接口!$V1037=0,"",[1]对账明细接口!$V1037),"")</f>
        <v/>
      </c>
      <c r="AB1037" s="20" t="str">
        <f>IFERROR(IF([1]对账明细接口!$W1037=0,"",[1]对账明细接口!$W1037),"")</f>
        <v/>
      </c>
      <c r="AC1037" s="7" t="str">
        <f>IFERROR(IF([1]对账明细接口!$X1037=0,"",[1]对账明细接口!$X1037),"")</f>
        <v/>
      </c>
      <c r="AD1037" s="7" t="str">
        <f>IFERROR(IF([1]对账明细接口!$Y1037=0,"",[1]对账明细接口!$Y1037),"")</f>
        <v/>
      </c>
      <c r="AE1037" s="7" t="str">
        <f>IFERROR(IF([1]对账明细接口!$AA1037=0,"",[1]对账明细接口!$AA1037),"")</f>
        <v/>
      </c>
      <c r="AF1037" s="7" t="str">
        <f>IFERROR(IF([1]对账明细接口!$AB1037=0,"",[1]对账明细接口!$AB1037),"")</f>
        <v/>
      </c>
      <c r="AG1037" s="7" t="str">
        <f>IFERROR(IF([1]对账明细接口!$AC1037=0,"",[1]对账明细接口!$AC1037),"")</f>
        <v/>
      </c>
      <c r="AH1037" s="7" t="str">
        <f>IFERROR(IF([1]对账明细接口!$AD1037=0,"",[1]对账明细接口!$AD1037),"")</f>
        <v/>
      </c>
      <c r="AI1037" s="7" t="str">
        <f>IFERROR(IF([1]对账明细接口!$AE1037=0,"",[1]对账明细接口!$AE1037),"")</f>
        <v/>
      </c>
      <c r="AJ1037" s="7" t="str">
        <f>IFERROR(IF([1]对账明细接口!$AF1037=0,"",[1]对账明细接口!$AF1037),"")</f>
        <v/>
      </c>
    </row>
    <row r="1038" ht="14.25" customHeight="1" spans="1:36">
      <c r="A1038" s="14">
        <v>1038</v>
      </c>
      <c r="B1038" s="15" t="str">
        <f>IFERROR(IF([1]对账明细接口!$B$1038=0,"",[1]对账明细接口!$B$1038),"")</f>
        <v/>
      </c>
      <c r="C1038" s="16" t="str">
        <f>IFERROR(IF([1]对账明细接口!$C$1038=0,"",[1]对账明细接口!$C$1038),"")</f>
        <v/>
      </c>
      <c r="D1038" s="16" t="str">
        <f>IFERROR(IF([1]对账明细接口!$D$1038=0,"",[1]对账明细接口!$D$1038),"")</f>
        <v/>
      </c>
      <c r="E1038" s="16" t="str">
        <f>IFERROR(IF([1]对账明细接口!$E$1038=0,"",[1]对账明细接口!$E$1038),"")</f>
        <v/>
      </c>
      <c r="F1038" s="16" t="str">
        <f>IFERROR(IF([1]对账明细接口!$F$1038=0,"",[1]对账明细接口!$F$1038),"")</f>
        <v/>
      </c>
      <c r="G1038" s="16" t="str">
        <f>IFERROR(IF([1]对账明细接口!$G$1038=0,"",[1]对账明细接口!$G$1038),"")</f>
        <v/>
      </c>
      <c r="H1038" s="17" t="str">
        <f>IFERROR(IF([1]对账明细接口!$H$1038=0,"",[1]对账明细接口!$H$1038),"")</f>
        <v/>
      </c>
      <c r="I1038" s="16" t="str">
        <f>IFERROR(IF([1]对账明细接口!$I$1038=0,"",[1]对账明细接口!$I$1038),"")</f>
        <v/>
      </c>
      <c r="J1038" s="18" t="str">
        <f>IFERROR(IF([1]对账明细接口!$J$1038=0,"",[1]对账明细接口!$J$1038),"")</f>
        <v/>
      </c>
      <c r="K1038" s="18" t="str">
        <f>IFERROR(IF([1]对账明细接口!$K$1038=0,"",[1]对账明细接口!$K$1038),"")</f>
        <v/>
      </c>
      <c r="L1038" s="16" t="str">
        <f>IFERROR(IF([1]对账明细接口!$L$1038=0,"",[1]对账明细接口!$L$1038),"")</f>
        <v/>
      </c>
      <c r="M1038" s="16" t="str">
        <f>IFERROR(IF([1]对账明细接口!$M$1038=0,"",[1]对账明细接口!$M$1038),"")</f>
        <v/>
      </c>
      <c r="N1038" s="19">
        <f t="shared" si="32"/>
        <v>0</v>
      </c>
      <c r="O1038" s="19">
        <f t="shared" si="33"/>
        <v>420</v>
      </c>
      <c r="S1038" s="20" t="str">
        <f>IFERROR(IF([1]对账明细接口!$N1038=0,"",[1]对账明细接口!$N1038),"")</f>
        <v/>
      </c>
      <c r="T1038" s="21" t="str">
        <f>IFERROR(IF([1]对账明细接口!$O1038=0,"",[1]对账明细接口!$O1038),"")</f>
        <v/>
      </c>
      <c r="U1038" s="21" t="str">
        <f>IFERROR(IF([1]对账明细接口!$P1038=0,"",[1]对账明细接口!$P1038),"")</f>
        <v/>
      </c>
      <c r="V1038" s="21" t="str">
        <f>IFERROR(IF([1]对账明细接口!$Q1038=0,"",[1]对账明细接口!$Q1038),"")</f>
        <v/>
      </c>
      <c r="W1038" s="20" t="str">
        <f>IFERROR(IF([1]对账明细接口!$R1038=0,"",[1]对账明细接口!$R1038),"")</f>
        <v/>
      </c>
      <c r="X1038" s="20" t="str">
        <f>IFERROR(IF([1]对账明细接口!$S1038=0,"",[1]对账明细接口!$S1038),"")</f>
        <v/>
      </c>
      <c r="Y1038" s="20" t="str">
        <f>IFERROR(IF([1]对账明细接口!$T1038=0,"",[1]对账明细接口!$T1038),"")</f>
        <v/>
      </c>
      <c r="Z1038" s="24" t="str">
        <f>IFERROR(IF([1]对账明细接口!$U1038=0,"",[1]对账明细接口!$U1038),"")</f>
        <v/>
      </c>
      <c r="AA1038" s="24" t="str">
        <f>IFERROR(IF([1]对账明细接口!$V1038=0,"",[1]对账明细接口!$V1038),"")</f>
        <v/>
      </c>
      <c r="AB1038" s="20" t="str">
        <f>IFERROR(IF([1]对账明细接口!$W1038=0,"",[1]对账明细接口!$W1038),"")</f>
        <v/>
      </c>
      <c r="AC1038" s="7" t="str">
        <f>IFERROR(IF([1]对账明细接口!$X1038=0,"",[1]对账明细接口!$X1038),"")</f>
        <v/>
      </c>
      <c r="AD1038" s="7" t="str">
        <f>IFERROR(IF([1]对账明细接口!$Y1038=0,"",[1]对账明细接口!$Y1038),"")</f>
        <v/>
      </c>
      <c r="AE1038" s="7" t="str">
        <f>IFERROR(IF([1]对账明细接口!$AA1038=0,"",[1]对账明细接口!$AA1038),"")</f>
        <v/>
      </c>
      <c r="AF1038" s="7" t="str">
        <f>IFERROR(IF([1]对账明细接口!$AB1038=0,"",[1]对账明细接口!$AB1038),"")</f>
        <v/>
      </c>
      <c r="AG1038" s="7" t="str">
        <f>IFERROR(IF([1]对账明细接口!$AC1038=0,"",[1]对账明细接口!$AC1038),"")</f>
        <v/>
      </c>
      <c r="AH1038" s="7" t="str">
        <f>IFERROR(IF([1]对账明细接口!$AD1038=0,"",[1]对账明细接口!$AD1038),"")</f>
        <v/>
      </c>
      <c r="AI1038" s="7" t="str">
        <f>IFERROR(IF([1]对账明细接口!$AE1038=0,"",[1]对账明细接口!$AE1038),"")</f>
        <v/>
      </c>
      <c r="AJ1038" s="7" t="str">
        <f>IFERROR(IF([1]对账明细接口!$AF1038=0,"",[1]对账明细接口!$AF1038),"")</f>
        <v/>
      </c>
    </row>
    <row r="1039" ht="14.25" customHeight="1" spans="1:36">
      <c r="A1039" s="14">
        <v>1039</v>
      </c>
      <c r="B1039" s="15" t="str">
        <f>IFERROR(IF([1]对账明细接口!$B$1039=0,"",[1]对账明细接口!$B$1039),"")</f>
        <v/>
      </c>
      <c r="C1039" s="16" t="str">
        <f>IFERROR(IF([1]对账明细接口!$C$1039=0,"",[1]对账明细接口!$C$1039),"")</f>
        <v/>
      </c>
      <c r="D1039" s="16" t="str">
        <f>IFERROR(IF([1]对账明细接口!$D$1039=0,"",[1]对账明细接口!$D$1039),"")</f>
        <v/>
      </c>
      <c r="E1039" s="16" t="str">
        <f>IFERROR(IF([1]对账明细接口!$E$1039=0,"",[1]对账明细接口!$E$1039),"")</f>
        <v/>
      </c>
      <c r="F1039" s="16" t="str">
        <f>IFERROR(IF([1]对账明细接口!$F$1039=0,"",[1]对账明细接口!$F$1039),"")</f>
        <v/>
      </c>
      <c r="G1039" s="16" t="str">
        <f>IFERROR(IF([1]对账明细接口!$G$1039=0,"",[1]对账明细接口!$G$1039),"")</f>
        <v/>
      </c>
      <c r="H1039" s="17" t="str">
        <f>IFERROR(IF([1]对账明细接口!$H$1039=0,"",[1]对账明细接口!$H$1039),"")</f>
        <v/>
      </c>
      <c r="I1039" s="16" t="str">
        <f>IFERROR(IF([1]对账明细接口!$I$1039=0,"",[1]对账明细接口!$I$1039),"")</f>
        <v/>
      </c>
      <c r="J1039" s="18" t="str">
        <f>IFERROR(IF([1]对账明细接口!$J$1039=0,"",[1]对账明细接口!$J$1039),"")</f>
        <v/>
      </c>
      <c r="K1039" s="18" t="str">
        <f>IFERROR(IF([1]对账明细接口!$K$1039=0,"",[1]对账明细接口!$K$1039),"")</f>
        <v/>
      </c>
      <c r="L1039" s="16" t="str">
        <f>IFERROR(IF([1]对账明细接口!$L$1039=0,"",[1]对账明细接口!$L$1039),"")</f>
        <v/>
      </c>
      <c r="M1039" s="16" t="str">
        <f>IFERROR(IF([1]对账明细接口!$M$1039=0,"",[1]对账明细接口!$M$1039),"")</f>
        <v/>
      </c>
      <c r="N1039" s="19">
        <f t="shared" si="32"/>
        <v>0</v>
      </c>
      <c r="O1039" s="19">
        <f t="shared" si="33"/>
        <v>420</v>
      </c>
      <c r="S1039" s="20" t="str">
        <f>IFERROR(IF([1]对账明细接口!$N1039=0,"",[1]对账明细接口!$N1039),"")</f>
        <v/>
      </c>
      <c r="T1039" s="21" t="str">
        <f>IFERROR(IF([1]对账明细接口!$O1039=0,"",[1]对账明细接口!$O1039),"")</f>
        <v/>
      </c>
      <c r="U1039" s="21" t="str">
        <f>IFERROR(IF([1]对账明细接口!$P1039=0,"",[1]对账明细接口!$P1039),"")</f>
        <v/>
      </c>
      <c r="V1039" s="21" t="str">
        <f>IFERROR(IF([1]对账明细接口!$Q1039=0,"",[1]对账明细接口!$Q1039),"")</f>
        <v/>
      </c>
      <c r="W1039" s="20" t="str">
        <f>IFERROR(IF([1]对账明细接口!$R1039=0,"",[1]对账明细接口!$R1039),"")</f>
        <v/>
      </c>
      <c r="X1039" s="20" t="str">
        <f>IFERROR(IF([1]对账明细接口!$S1039=0,"",[1]对账明细接口!$S1039),"")</f>
        <v/>
      </c>
      <c r="Y1039" s="20" t="str">
        <f>IFERROR(IF([1]对账明细接口!$T1039=0,"",[1]对账明细接口!$T1039),"")</f>
        <v/>
      </c>
      <c r="Z1039" s="24" t="str">
        <f>IFERROR(IF([1]对账明细接口!$U1039=0,"",[1]对账明细接口!$U1039),"")</f>
        <v/>
      </c>
      <c r="AA1039" s="24" t="str">
        <f>IFERROR(IF([1]对账明细接口!$V1039=0,"",[1]对账明细接口!$V1039),"")</f>
        <v/>
      </c>
      <c r="AB1039" s="20" t="str">
        <f>IFERROR(IF([1]对账明细接口!$W1039=0,"",[1]对账明细接口!$W1039),"")</f>
        <v/>
      </c>
      <c r="AC1039" s="7" t="str">
        <f>IFERROR(IF([1]对账明细接口!$X1039=0,"",[1]对账明细接口!$X1039),"")</f>
        <v/>
      </c>
      <c r="AD1039" s="7" t="str">
        <f>IFERROR(IF([1]对账明细接口!$Y1039=0,"",[1]对账明细接口!$Y1039),"")</f>
        <v/>
      </c>
      <c r="AE1039" s="7" t="str">
        <f>IFERROR(IF([1]对账明细接口!$AA1039=0,"",[1]对账明细接口!$AA1039),"")</f>
        <v/>
      </c>
      <c r="AF1039" s="7" t="str">
        <f>IFERROR(IF([1]对账明细接口!$AB1039=0,"",[1]对账明细接口!$AB1039),"")</f>
        <v/>
      </c>
      <c r="AG1039" s="7" t="str">
        <f>IFERROR(IF([1]对账明细接口!$AC1039=0,"",[1]对账明细接口!$AC1039),"")</f>
        <v/>
      </c>
      <c r="AH1039" s="7" t="str">
        <f>IFERROR(IF([1]对账明细接口!$AD1039=0,"",[1]对账明细接口!$AD1039),"")</f>
        <v/>
      </c>
      <c r="AI1039" s="7" t="str">
        <f>IFERROR(IF([1]对账明细接口!$AE1039=0,"",[1]对账明细接口!$AE1039),"")</f>
        <v/>
      </c>
      <c r="AJ1039" s="7" t="str">
        <f>IFERROR(IF([1]对账明细接口!$AF1039=0,"",[1]对账明细接口!$AF1039),"")</f>
        <v/>
      </c>
    </row>
    <row r="1040" ht="14.25" customHeight="1" spans="1:36">
      <c r="A1040" s="14">
        <v>1040</v>
      </c>
      <c r="B1040" s="15" t="str">
        <f>IFERROR(IF([1]对账明细接口!$B$1040=0,"",[1]对账明细接口!$B$1040),"")</f>
        <v/>
      </c>
      <c r="C1040" s="16" t="str">
        <f>IFERROR(IF([1]对账明细接口!$C$1040=0,"",[1]对账明细接口!$C$1040),"")</f>
        <v/>
      </c>
      <c r="D1040" s="16" t="str">
        <f>IFERROR(IF([1]对账明细接口!$D$1040=0,"",[1]对账明细接口!$D$1040),"")</f>
        <v/>
      </c>
      <c r="E1040" s="16" t="str">
        <f>IFERROR(IF([1]对账明细接口!$E$1040=0,"",[1]对账明细接口!$E$1040),"")</f>
        <v/>
      </c>
      <c r="F1040" s="16" t="str">
        <f>IFERROR(IF([1]对账明细接口!$F$1040=0,"",[1]对账明细接口!$F$1040),"")</f>
        <v/>
      </c>
      <c r="G1040" s="16" t="str">
        <f>IFERROR(IF([1]对账明细接口!$G$1040=0,"",[1]对账明细接口!$G$1040),"")</f>
        <v/>
      </c>
      <c r="H1040" s="17" t="str">
        <f>IFERROR(IF([1]对账明细接口!$H$1040=0,"",[1]对账明细接口!$H$1040),"")</f>
        <v/>
      </c>
      <c r="I1040" s="16" t="str">
        <f>IFERROR(IF([1]对账明细接口!$I$1040=0,"",[1]对账明细接口!$I$1040),"")</f>
        <v/>
      </c>
      <c r="J1040" s="18" t="str">
        <f>IFERROR(IF([1]对账明细接口!$J$1040=0,"",[1]对账明细接口!$J$1040),"")</f>
        <v/>
      </c>
      <c r="K1040" s="18" t="str">
        <f>IFERROR(IF([1]对账明细接口!$K$1040=0,"",[1]对账明细接口!$K$1040),"")</f>
        <v/>
      </c>
      <c r="L1040" s="16" t="str">
        <f>IFERROR(IF([1]对账明细接口!$L$1040=0,"",[1]对账明细接口!$L$1040),"")</f>
        <v/>
      </c>
      <c r="M1040" s="16" t="str">
        <f>IFERROR(IF([1]对账明细接口!$M$1040=0,"",[1]对账明细接口!$M$1040),"")</f>
        <v/>
      </c>
      <c r="N1040" s="19">
        <f t="shared" si="32"/>
        <v>0</v>
      </c>
      <c r="O1040" s="19">
        <f t="shared" si="33"/>
        <v>420</v>
      </c>
      <c r="S1040" s="20" t="str">
        <f>IFERROR(IF([1]对账明细接口!$N1040=0,"",[1]对账明细接口!$N1040),"")</f>
        <v/>
      </c>
      <c r="T1040" s="21" t="str">
        <f>IFERROR(IF([1]对账明细接口!$O1040=0,"",[1]对账明细接口!$O1040),"")</f>
        <v/>
      </c>
      <c r="U1040" s="21" t="str">
        <f>IFERROR(IF([1]对账明细接口!$P1040=0,"",[1]对账明细接口!$P1040),"")</f>
        <v/>
      </c>
      <c r="V1040" s="21" t="str">
        <f>IFERROR(IF([1]对账明细接口!$Q1040=0,"",[1]对账明细接口!$Q1040),"")</f>
        <v/>
      </c>
      <c r="W1040" s="20" t="str">
        <f>IFERROR(IF([1]对账明细接口!$R1040=0,"",[1]对账明细接口!$R1040),"")</f>
        <v/>
      </c>
      <c r="X1040" s="20" t="str">
        <f>IFERROR(IF([1]对账明细接口!$S1040=0,"",[1]对账明细接口!$S1040),"")</f>
        <v/>
      </c>
      <c r="Y1040" s="20" t="str">
        <f>IFERROR(IF([1]对账明细接口!$T1040=0,"",[1]对账明细接口!$T1040),"")</f>
        <v/>
      </c>
      <c r="Z1040" s="24" t="str">
        <f>IFERROR(IF([1]对账明细接口!$U1040=0,"",[1]对账明细接口!$U1040),"")</f>
        <v/>
      </c>
      <c r="AA1040" s="24" t="str">
        <f>IFERROR(IF([1]对账明细接口!$V1040=0,"",[1]对账明细接口!$V1040),"")</f>
        <v/>
      </c>
      <c r="AB1040" s="20" t="str">
        <f>IFERROR(IF([1]对账明细接口!$W1040=0,"",[1]对账明细接口!$W1040),"")</f>
        <v/>
      </c>
      <c r="AC1040" s="7" t="str">
        <f>IFERROR(IF([1]对账明细接口!$X1040=0,"",[1]对账明细接口!$X1040),"")</f>
        <v/>
      </c>
      <c r="AD1040" s="7" t="str">
        <f>IFERROR(IF([1]对账明细接口!$Y1040=0,"",[1]对账明细接口!$Y1040),"")</f>
        <v/>
      </c>
      <c r="AE1040" s="7" t="str">
        <f>IFERROR(IF([1]对账明细接口!$AA1040=0,"",[1]对账明细接口!$AA1040),"")</f>
        <v/>
      </c>
      <c r="AF1040" s="7" t="str">
        <f>IFERROR(IF([1]对账明细接口!$AB1040=0,"",[1]对账明细接口!$AB1040),"")</f>
        <v/>
      </c>
      <c r="AG1040" s="7" t="str">
        <f>IFERROR(IF([1]对账明细接口!$AC1040=0,"",[1]对账明细接口!$AC1040),"")</f>
        <v/>
      </c>
      <c r="AH1040" s="7" t="str">
        <f>IFERROR(IF([1]对账明细接口!$AD1040=0,"",[1]对账明细接口!$AD1040),"")</f>
        <v/>
      </c>
      <c r="AI1040" s="7" t="str">
        <f>IFERROR(IF([1]对账明细接口!$AE1040=0,"",[1]对账明细接口!$AE1040),"")</f>
        <v/>
      </c>
      <c r="AJ1040" s="7" t="str">
        <f>IFERROR(IF([1]对账明细接口!$AF1040=0,"",[1]对账明细接口!$AF1040),"")</f>
        <v/>
      </c>
    </row>
    <row r="1041" ht="14.25" customHeight="1" spans="1:36">
      <c r="A1041" s="14">
        <v>1041</v>
      </c>
      <c r="B1041" s="15" t="str">
        <f>IFERROR(IF([1]对账明细接口!$B$1041=0,"",[1]对账明细接口!$B$1041),"")</f>
        <v/>
      </c>
      <c r="C1041" s="16" t="str">
        <f>IFERROR(IF([1]对账明细接口!$C$1041=0,"",[1]对账明细接口!$C$1041),"")</f>
        <v/>
      </c>
      <c r="D1041" s="16" t="str">
        <f>IFERROR(IF([1]对账明细接口!$D$1041=0,"",[1]对账明细接口!$D$1041),"")</f>
        <v/>
      </c>
      <c r="E1041" s="16" t="str">
        <f>IFERROR(IF([1]对账明细接口!$E$1041=0,"",[1]对账明细接口!$E$1041),"")</f>
        <v/>
      </c>
      <c r="F1041" s="16" t="str">
        <f>IFERROR(IF([1]对账明细接口!$F$1041=0,"",[1]对账明细接口!$F$1041),"")</f>
        <v/>
      </c>
      <c r="G1041" s="16" t="str">
        <f>IFERROR(IF([1]对账明细接口!$G$1041=0,"",[1]对账明细接口!$G$1041),"")</f>
        <v/>
      </c>
      <c r="H1041" s="17" t="str">
        <f>IFERROR(IF([1]对账明细接口!$H$1041=0,"",[1]对账明细接口!$H$1041),"")</f>
        <v/>
      </c>
      <c r="I1041" s="16" t="str">
        <f>IFERROR(IF([1]对账明细接口!$I$1041=0,"",[1]对账明细接口!$I$1041),"")</f>
        <v/>
      </c>
      <c r="J1041" s="18" t="str">
        <f>IFERROR(IF([1]对账明细接口!$J$1041=0,"",[1]对账明细接口!$J$1041),"")</f>
        <v/>
      </c>
      <c r="K1041" s="18" t="str">
        <f>IFERROR(IF([1]对账明细接口!$K$1041=0,"",[1]对账明细接口!$K$1041),"")</f>
        <v/>
      </c>
      <c r="L1041" s="16" t="str">
        <f>IFERROR(IF([1]对账明细接口!$L$1041=0,"",[1]对账明细接口!$L$1041),"")</f>
        <v/>
      </c>
      <c r="M1041" s="16" t="str">
        <f>IFERROR(IF([1]对账明细接口!$M$1041=0,"",[1]对账明细接口!$M$1041),"")</f>
        <v/>
      </c>
      <c r="N1041" s="19">
        <f t="shared" si="32"/>
        <v>0</v>
      </c>
      <c r="O1041" s="19">
        <f t="shared" si="33"/>
        <v>420</v>
      </c>
      <c r="S1041" s="20" t="str">
        <f>IFERROR(IF([1]对账明细接口!$N1041=0,"",[1]对账明细接口!$N1041),"")</f>
        <v/>
      </c>
      <c r="T1041" s="21" t="str">
        <f>IFERROR(IF([1]对账明细接口!$O1041=0,"",[1]对账明细接口!$O1041),"")</f>
        <v/>
      </c>
      <c r="U1041" s="21" t="str">
        <f>IFERROR(IF([1]对账明细接口!$P1041=0,"",[1]对账明细接口!$P1041),"")</f>
        <v/>
      </c>
      <c r="V1041" s="21" t="str">
        <f>IFERROR(IF([1]对账明细接口!$Q1041=0,"",[1]对账明细接口!$Q1041),"")</f>
        <v/>
      </c>
      <c r="W1041" s="20" t="str">
        <f>IFERROR(IF([1]对账明细接口!$R1041=0,"",[1]对账明细接口!$R1041),"")</f>
        <v/>
      </c>
      <c r="X1041" s="20" t="str">
        <f>IFERROR(IF([1]对账明细接口!$S1041=0,"",[1]对账明细接口!$S1041),"")</f>
        <v/>
      </c>
      <c r="Y1041" s="20" t="str">
        <f>IFERROR(IF([1]对账明细接口!$T1041=0,"",[1]对账明细接口!$T1041),"")</f>
        <v/>
      </c>
      <c r="Z1041" s="24" t="str">
        <f>IFERROR(IF([1]对账明细接口!$U1041=0,"",[1]对账明细接口!$U1041),"")</f>
        <v/>
      </c>
      <c r="AA1041" s="24" t="str">
        <f>IFERROR(IF([1]对账明细接口!$V1041=0,"",[1]对账明细接口!$V1041),"")</f>
        <v/>
      </c>
      <c r="AB1041" s="20" t="str">
        <f>IFERROR(IF([1]对账明细接口!$W1041=0,"",[1]对账明细接口!$W1041),"")</f>
        <v/>
      </c>
      <c r="AC1041" s="7" t="str">
        <f>IFERROR(IF([1]对账明细接口!$X1041=0,"",[1]对账明细接口!$X1041),"")</f>
        <v/>
      </c>
      <c r="AD1041" s="7" t="str">
        <f>IFERROR(IF([1]对账明细接口!$Y1041=0,"",[1]对账明细接口!$Y1041),"")</f>
        <v/>
      </c>
      <c r="AE1041" s="7" t="str">
        <f>IFERROR(IF([1]对账明细接口!$AA1041=0,"",[1]对账明细接口!$AA1041),"")</f>
        <v/>
      </c>
      <c r="AF1041" s="7" t="str">
        <f>IFERROR(IF([1]对账明细接口!$AB1041=0,"",[1]对账明细接口!$AB1041),"")</f>
        <v/>
      </c>
      <c r="AG1041" s="7" t="str">
        <f>IFERROR(IF([1]对账明细接口!$AC1041=0,"",[1]对账明细接口!$AC1041),"")</f>
        <v/>
      </c>
      <c r="AH1041" s="7" t="str">
        <f>IFERROR(IF([1]对账明细接口!$AD1041=0,"",[1]对账明细接口!$AD1041),"")</f>
        <v/>
      </c>
      <c r="AI1041" s="7" t="str">
        <f>IFERROR(IF([1]对账明细接口!$AE1041=0,"",[1]对账明细接口!$AE1041),"")</f>
        <v/>
      </c>
      <c r="AJ1041" s="7" t="str">
        <f>IFERROR(IF([1]对账明细接口!$AF1041=0,"",[1]对账明细接口!$AF1041),"")</f>
        <v/>
      </c>
    </row>
    <row r="1042" ht="14.25" customHeight="1" spans="1:36">
      <c r="A1042" s="14">
        <v>1042</v>
      </c>
      <c r="B1042" s="15" t="str">
        <f>IFERROR(IF([1]对账明细接口!$B$1042=0,"",[1]对账明细接口!$B$1042),"")</f>
        <v/>
      </c>
      <c r="C1042" s="16" t="str">
        <f>IFERROR(IF([1]对账明细接口!$C$1042=0,"",[1]对账明细接口!$C$1042),"")</f>
        <v/>
      </c>
      <c r="D1042" s="16" t="str">
        <f>IFERROR(IF([1]对账明细接口!$D$1042=0,"",[1]对账明细接口!$D$1042),"")</f>
        <v/>
      </c>
      <c r="E1042" s="16" t="str">
        <f>IFERROR(IF([1]对账明细接口!$E$1042=0,"",[1]对账明细接口!$E$1042),"")</f>
        <v/>
      </c>
      <c r="F1042" s="16" t="str">
        <f>IFERROR(IF([1]对账明细接口!$F$1042=0,"",[1]对账明细接口!$F$1042),"")</f>
        <v/>
      </c>
      <c r="G1042" s="16" t="str">
        <f>IFERROR(IF([1]对账明细接口!$G$1042=0,"",[1]对账明细接口!$G$1042),"")</f>
        <v/>
      </c>
      <c r="H1042" s="17" t="str">
        <f>IFERROR(IF([1]对账明细接口!$H$1042=0,"",[1]对账明细接口!$H$1042),"")</f>
        <v/>
      </c>
      <c r="I1042" s="16" t="str">
        <f>IFERROR(IF([1]对账明细接口!$I$1042=0,"",[1]对账明细接口!$I$1042),"")</f>
        <v/>
      </c>
      <c r="J1042" s="18" t="str">
        <f>IFERROR(IF([1]对账明细接口!$J$1042=0,"",[1]对账明细接口!$J$1042),"")</f>
        <v/>
      </c>
      <c r="K1042" s="18" t="str">
        <f>IFERROR(IF([1]对账明细接口!$K$1042=0,"",[1]对账明细接口!$K$1042),"")</f>
        <v/>
      </c>
      <c r="L1042" s="16" t="str">
        <f>IFERROR(IF([1]对账明细接口!$L$1042=0,"",[1]对账明细接口!$L$1042),"")</f>
        <v/>
      </c>
      <c r="M1042" s="16" t="str">
        <f>IFERROR(IF([1]对账明细接口!$M$1042=0,"",[1]对账明细接口!$M$1042),"")</f>
        <v/>
      </c>
      <c r="N1042" s="19">
        <f t="shared" si="32"/>
        <v>0</v>
      </c>
      <c r="O1042" s="19">
        <f t="shared" si="33"/>
        <v>420</v>
      </c>
      <c r="S1042" s="20" t="str">
        <f>IFERROR(IF([1]对账明细接口!$N1042=0,"",[1]对账明细接口!$N1042),"")</f>
        <v/>
      </c>
      <c r="T1042" s="21" t="str">
        <f>IFERROR(IF([1]对账明细接口!$O1042=0,"",[1]对账明细接口!$O1042),"")</f>
        <v/>
      </c>
      <c r="U1042" s="21" t="str">
        <f>IFERROR(IF([1]对账明细接口!$P1042=0,"",[1]对账明细接口!$P1042),"")</f>
        <v/>
      </c>
      <c r="V1042" s="21" t="str">
        <f>IFERROR(IF([1]对账明细接口!$Q1042=0,"",[1]对账明细接口!$Q1042),"")</f>
        <v/>
      </c>
      <c r="W1042" s="20" t="str">
        <f>IFERROR(IF([1]对账明细接口!$R1042=0,"",[1]对账明细接口!$R1042),"")</f>
        <v/>
      </c>
      <c r="X1042" s="20" t="str">
        <f>IFERROR(IF([1]对账明细接口!$S1042=0,"",[1]对账明细接口!$S1042),"")</f>
        <v/>
      </c>
      <c r="Y1042" s="20" t="str">
        <f>IFERROR(IF([1]对账明细接口!$T1042=0,"",[1]对账明细接口!$T1042),"")</f>
        <v/>
      </c>
      <c r="Z1042" s="24" t="str">
        <f>IFERROR(IF([1]对账明细接口!$U1042=0,"",[1]对账明细接口!$U1042),"")</f>
        <v/>
      </c>
      <c r="AA1042" s="24" t="str">
        <f>IFERROR(IF([1]对账明细接口!$V1042=0,"",[1]对账明细接口!$V1042),"")</f>
        <v/>
      </c>
      <c r="AB1042" s="20" t="str">
        <f>IFERROR(IF([1]对账明细接口!$W1042=0,"",[1]对账明细接口!$W1042),"")</f>
        <v/>
      </c>
      <c r="AC1042" s="7" t="str">
        <f>IFERROR(IF([1]对账明细接口!$X1042=0,"",[1]对账明细接口!$X1042),"")</f>
        <v/>
      </c>
      <c r="AD1042" s="7" t="str">
        <f>IFERROR(IF([1]对账明细接口!$Y1042=0,"",[1]对账明细接口!$Y1042),"")</f>
        <v/>
      </c>
      <c r="AE1042" s="7" t="str">
        <f>IFERROR(IF([1]对账明细接口!$AA1042=0,"",[1]对账明细接口!$AA1042),"")</f>
        <v/>
      </c>
      <c r="AF1042" s="7" t="str">
        <f>IFERROR(IF([1]对账明细接口!$AB1042=0,"",[1]对账明细接口!$AB1042),"")</f>
        <v/>
      </c>
      <c r="AG1042" s="7" t="str">
        <f>IFERROR(IF([1]对账明细接口!$AC1042=0,"",[1]对账明细接口!$AC1042),"")</f>
        <v/>
      </c>
      <c r="AH1042" s="7" t="str">
        <f>IFERROR(IF([1]对账明细接口!$AD1042=0,"",[1]对账明细接口!$AD1042),"")</f>
        <v/>
      </c>
      <c r="AI1042" s="7" t="str">
        <f>IFERROR(IF([1]对账明细接口!$AE1042=0,"",[1]对账明细接口!$AE1042),"")</f>
        <v/>
      </c>
      <c r="AJ1042" s="7" t="str">
        <f>IFERROR(IF([1]对账明细接口!$AF1042=0,"",[1]对账明细接口!$AF1042),"")</f>
        <v/>
      </c>
    </row>
    <row r="1043" ht="14.25" customHeight="1" spans="1:36">
      <c r="A1043" s="14">
        <v>1043</v>
      </c>
      <c r="B1043" s="15" t="str">
        <f>IFERROR(IF([1]对账明细接口!$B$1043=0,"",[1]对账明细接口!$B$1043),"")</f>
        <v/>
      </c>
      <c r="C1043" s="16" t="str">
        <f>IFERROR(IF([1]对账明细接口!$C$1043=0,"",[1]对账明细接口!$C$1043),"")</f>
        <v/>
      </c>
      <c r="D1043" s="16" t="str">
        <f>IFERROR(IF([1]对账明细接口!$D$1043=0,"",[1]对账明细接口!$D$1043),"")</f>
        <v/>
      </c>
      <c r="E1043" s="16" t="str">
        <f>IFERROR(IF([1]对账明细接口!$E$1043=0,"",[1]对账明细接口!$E$1043),"")</f>
        <v/>
      </c>
      <c r="F1043" s="16" t="str">
        <f>IFERROR(IF([1]对账明细接口!$F$1043=0,"",[1]对账明细接口!$F$1043),"")</f>
        <v/>
      </c>
      <c r="G1043" s="16" t="str">
        <f>IFERROR(IF([1]对账明细接口!$G$1043=0,"",[1]对账明细接口!$G$1043),"")</f>
        <v/>
      </c>
      <c r="H1043" s="17" t="str">
        <f>IFERROR(IF([1]对账明细接口!$H$1043=0,"",[1]对账明细接口!$H$1043),"")</f>
        <v/>
      </c>
      <c r="I1043" s="16" t="str">
        <f>IFERROR(IF([1]对账明细接口!$I$1043=0,"",[1]对账明细接口!$I$1043),"")</f>
        <v/>
      </c>
      <c r="J1043" s="18" t="str">
        <f>IFERROR(IF([1]对账明细接口!$J$1043=0,"",[1]对账明细接口!$J$1043),"")</f>
        <v/>
      </c>
      <c r="K1043" s="18" t="str">
        <f>IFERROR(IF([1]对账明细接口!$K$1043=0,"",[1]对账明细接口!$K$1043),"")</f>
        <v/>
      </c>
      <c r="L1043" s="16" t="str">
        <f>IFERROR(IF([1]对账明细接口!$L$1043=0,"",[1]对账明细接口!$L$1043),"")</f>
        <v/>
      </c>
      <c r="M1043" s="16" t="str">
        <f>IFERROR(IF([1]对账明细接口!$M$1043=0,"",[1]对账明细接口!$M$1043),"")</f>
        <v/>
      </c>
      <c r="N1043" s="19">
        <f t="shared" si="32"/>
        <v>0</v>
      </c>
      <c r="O1043" s="19">
        <f t="shared" si="33"/>
        <v>420</v>
      </c>
      <c r="S1043" s="20" t="str">
        <f>IFERROR(IF([1]对账明细接口!$N1043=0,"",[1]对账明细接口!$N1043),"")</f>
        <v/>
      </c>
      <c r="T1043" s="21" t="str">
        <f>IFERROR(IF([1]对账明细接口!$O1043=0,"",[1]对账明细接口!$O1043),"")</f>
        <v/>
      </c>
      <c r="U1043" s="21" t="str">
        <f>IFERROR(IF([1]对账明细接口!$P1043=0,"",[1]对账明细接口!$P1043),"")</f>
        <v/>
      </c>
      <c r="V1043" s="21" t="str">
        <f>IFERROR(IF([1]对账明细接口!$Q1043=0,"",[1]对账明细接口!$Q1043),"")</f>
        <v/>
      </c>
      <c r="W1043" s="20" t="str">
        <f>IFERROR(IF([1]对账明细接口!$R1043=0,"",[1]对账明细接口!$R1043),"")</f>
        <v/>
      </c>
      <c r="X1043" s="20" t="str">
        <f>IFERROR(IF([1]对账明细接口!$S1043=0,"",[1]对账明细接口!$S1043),"")</f>
        <v/>
      </c>
      <c r="Y1043" s="20" t="str">
        <f>IFERROR(IF([1]对账明细接口!$T1043=0,"",[1]对账明细接口!$T1043),"")</f>
        <v/>
      </c>
      <c r="Z1043" s="24" t="str">
        <f>IFERROR(IF([1]对账明细接口!$U1043=0,"",[1]对账明细接口!$U1043),"")</f>
        <v/>
      </c>
      <c r="AA1043" s="24" t="str">
        <f>IFERROR(IF([1]对账明细接口!$V1043=0,"",[1]对账明细接口!$V1043),"")</f>
        <v/>
      </c>
      <c r="AB1043" s="20" t="str">
        <f>IFERROR(IF([1]对账明细接口!$W1043=0,"",[1]对账明细接口!$W1043),"")</f>
        <v/>
      </c>
      <c r="AC1043" s="7" t="str">
        <f>IFERROR(IF([1]对账明细接口!$X1043=0,"",[1]对账明细接口!$X1043),"")</f>
        <v/>
      </c>
      <c r="AD1043" s="7" t="str">
        <f>IFERROR(IF([1]对账明细接口!$Y1043=0,"",[1]对账明细接口!$Y1043),"")</f>
        <v/>
      </c>
      <c r="AE1043" s="7" t="str">
        <f>IFERROR(IF([1]对账明细接口!$AA1043=0,"",[1]对账明细接口!$AA1043),"")</f>
        <v/>
      </c>
      <c r="AF1043" s="7" t="str">
        <f>IFERROR(IF([1]对账明细接口!$AB1043=0,"",[1]对账明细接口!$AB1043),"")</f>
        <v/>
      </c>
      <c r="AG1043" s="7" t="str">
        <f>IFERROR(IF([1]对账明细接口!$AC1043=0,"",[1]对账明细接口!$AC1043),"")</f>
        <v/>
      </c>
      <c r="AH1043" s="7" t="str">
        <f>IFERROR(IF([1]对账明细接口!$AD1043=0,"",[1]对账明细接口!$AD1043),"")</f>
        <v/>
      </c>
      <c r="AI1043" s="7" t="str">
        <f>IFERROR(IF([1]对账明细接口!$AE1043=0,"",[1]对账明细接口!$AE1043),"")</f>
        <v/>
      </c>
      <c r="AJ1043" s="7" t="str">
        <f>IFERROR(IF([1]对账明细接口!$AF1043=0,"",[1]对账明细接口!$AF1043),"")</f>
        <v/>
      </c>
    </row>
    <row r="1044" ht="14.25" customHeight="1" spans="1:36">
      <c r="A1044" s="14">
        <v>1044</v>
      </c>
      <c r="B1044" s="15" t="str">
        <f>IFERROR(IF([1]对账明细接口!$B$1044=0,"",[1]对账明细接口!$B$1044),"")</f>
        <v/>
      </c>
      <c r="C1044" s="16" t="str">
        <f>IFERROR(IF([1]对账明细接口!$C$1044=0,"",[1]对账明细接口!$C$1044),"")</f>
        <v/>
      </c>
      <c r="D1044" s="16" t="str">
        <f>IFERROR(IF([1]对账明细接口!$D$1044=0,"",[1]对账明细接口!$D$1044),"")</f>
        <v/>
      </c>
      <c r="E1044" s="16" t="str">
        <f>IFERROR(IF([1]对账明细接口!$E$1044=0,"",[1]对账明细接口!$E$1044),"")</f>
        <v/>
      </c>
      <c r="F1044" s="16" t="str">
        <f>IFERROR(IF([1]对账明细接口!$F$1044=0,"",[1]对账明细接口!$F$1044),"")</f>
        <v/>
      </c>
      <c r="G1044" s="16" t="str">
        <f>IFERROR(IF([1]对账明细接口!$G$1044=0,"",[1]对账明细接口!$G$1044),"")</f>
        <v/>
      </c>
      <c r="H1044" s="17" t="str">
        <f>IFERROR(IF([1]对账明细接口!$H$1044=0,"",[1]对账明细接口!$H$1044),"")</f>
        <v/>
      </c>
      <c r="I1044" s="16" t="str">
        <f>IFERROR(IF([1]对账明细接口!$I$1044=0,"",[1]对账明细接口!$I$1044),"")</f>
        <v/>
      </c>
      <c r="J1044" s="18" t="str">
        <f>IFERROR(IF([1]对账明细接口!$J$1044=0,"",[1]对账明细接口!$J$1044),"")</f>
        <v/>
      </c>
      <c r="K1044" s="18" t="str">
        <f>IFERROR(IF([1]对账明细接口!$K$1044=0,"",[1]对账明细接口!$K$1044),"")</f>
        <v/>
      </c>
      <c r="L1044" s="16" t="str">
        <f>IFERROR(IF([1]对账明细接口!$L$1044=0,"",[1]对账明细接口!$L$1044),"")</f>
        <v/>
      </c>
      <c r="M1044" s="16" t="str">
        <f>IFERROR(IF([1]对账明细接口!$M$1044=0,"",[1]对账明细接口!$M$1044),"")</f>
        <v/>
      </c>
      <c r="N1044" s="19">
        <f t="shared" si="32"/>
        <v>0</v>
      </c>
      <c r="O1044" s="19">
        <f t="shared" si="33"/>
        <v>420</v>
      </c>
      <c r="S1044" s="20" t="str">
        <f>IFERROR(IF([1]对账明细接口!$N1044=0,"",[1]对账明细接口!$N1044),"")</f>
        <v/>
      </c>
      <c r="T1044" s="21" t="str">
        <f>IFERROR(IF([1]对账明细接口!$O1044=0,"",[1]对账明细接口!$O1044),"")</f>
        <v/>
      </c>
      <c r="U1044" s="21" t="str">
        <f>IFERROR(IF([1]对账明细接口!$P1044=0,"",[1]对账明细接口!$P1044),"")</f>
        <v/>
      </c>
      <c r="V1044" s="21" t="str">
        <f>IFERROR(IF([1]对账明细接口!$Q1044=0,"",[1]对账明细接口!$Q1044),"")</f>
        <v/>
      </c>
      <c r="W1044" s="20" t="str">
        <f>IFERROR(IF([1]对账明细接口!$R1044=0,"",[1]对账明细接口!$R1044),"")</f>
        <v/>
      </c>
      <c r="X1044" s="20" t="str">
        <f>IFERROR(IF([1]对账明细接口!$S1044=0,"",[1]对账明细接口!$S1044),"")</f>
        <v/>
      </c>
      <c r="Y1044" s="20" t="str">
        <f>IFERROR(IF([1]对账明细接口!$T1044=0,"",[1]对账明细接口!$T1044),"")</f>
        <v/>
      </c>
      <c r="Z1044" s="24" t="str">
        <f>IFERROR(IF([1]对账明细接口!$U1044=0,"",[1]对账明细接口!$U1044),"")</f>
        <v/>
      </c>
      <c r="AA1044" s="24" t="str">
        <f>IFERROR(IF([1]对账明细接口!$V1044=0,"",[1]对账明细接口!$V1044),"")</f>
        <v/>
      </c>
      <c r="AB1044" s="20" t="str">
        <f>IFERROR(IF([1]对账明细接口!$W1044=0,"",[1]对账明细接口!$W1044),"")</f>
        <v/>
      </c>
      <c r="AC1044" s="7" t="str">
        <f>IFERROR(IF([1]对账明细接口!$X1044=0,"",[1]对账明细接口!$X1044),"")</f>
        <v/>
      </c>
      <c r="AD1044" s="7" t="str">
        <f>IFERROR(IF([1]对账明细接口!$Y1044=0,"",[1]对账明细接口!$Y1044),"")</f>
        <v/>
      </c>
      <c r="AE1044" s="7" t="str">
        <f>IFERROR(IF([1]对账明细接口!$AA1044=0,"",[1]对账明细接口!$AA1044),"")</f>
        <v/>
      </c>
      <c r="AF1044" s="7" t="str">
        <f>IFERROR(IF([1]对账明细接口!$AB1044=0,"",[1]对账明细接口!$AB1044),"")</f>
        <v/>
      </c>
      <c r="AG1044" s="7" t="str">
        <f>IFERROR(IF([1]对账明细接口!$AC1044=0,"",[1]对账明细接口!$AC1044),"")</f>
        <v/>
      </c>
      <c r="AH1044" s="7" t="str">
        <f>IFERROR(IF([1]对账明细接口!$AD1044=0,"",[1]对账明细接口!$AD1044),"")</f>
        <v/>
      </c>
      <c r="AI1044" s="7" t="str">
        <f>IFERROR(IF([1]对账明细接口!$AE1044=0,"",[1]对账明细接口!$AE1044),"")</f>
        <v/>
      </c>
      <c r="AJ1044" s="7" t="str">
        <f>IFERROR(IF([1]对账明细接口!$AF1044=0,"",[1]对账明细接口!$AF1044),"")</f>
        <v/>
      </c>
    </row>
    <row r="1045" ht="14.25" customHeight="1" spans="1:36">
      <c r="A1045" s="14">
        <v>1045</v>
      </c>
      <c r="B1045" s="15" t="str">
        <f>IFERROR(IF([1]对账明细接口!$B$1045=0,"",[1]对账明细接口!$B$1045),"")</f>
        <v/>
      </c>
      <c r="C1045" s="16" t="str">
        <f>IFERROR(IF([1]对账明细接口!$C$1045=0,"",[1]对账明细接口!$C$1045),"")</f>
        <v/>
      </c>
      <c r="D1045" s="16" t="str">
        <f>IFERROR(IF([1]对账明细接口!$D$1045=0,"",[1]对账明细接口!$D$1045),"")</f>
        <v/>
      </c>
      <c r="E1045" s="16" t="str">
        <f>IFERROR(IF([1]对账明细接口!$E$1045=0,"",[1]对账明细接口!$E$1045),"")</f>
        <v/>
      </c>
      <c r="F1045" s="16" t="str">
        <f>IFERROR(IF([1]对账明细接口!$F$1045=0,"",[1]对账明细接口!$F$1045),"")</f>
        <v/>
      </c>
      <c r="G1045" s="16" t="str">
        <f>IFERROR(IF([1]对账明细接口!$G$1045=0,"",[1]对账明细接口!$G$1045),"")</f>
        <v/>
      </c>
      <c r="H1045" s="17" t="str">
        <f>IFERROR(IF([1]对账明细接口!$H$1045=0,"",[1]对账明细接口!$H$1045),"")</f>
        <v/>
      </c>
      <c r="I1045" s="16" t="str">
        <f>IFERROR(IF([1]对账明细接口!$I$1045=0,"",[1]对账明细接口!$I$1045),"")</f>
        <v/>
      </c>
      <c r="J1045" s="18" t="str">
        <f>IFERROR(IF([1]对账明细接口!$J$1045=0,"",[1]对账明细接口!$J$1045),"")</f>
        <v/>
      </c>
      <c r="K1045" s="18" t="str">
        <f>IFERROR(IF([1]对账明细接口!$K$1045=0,"",[1]对账明细接口!$K$1045),"")</f>
        <v/>
      </c>
      <c r="L1045" s="16" t="str">
        <f>IFERROR(IF([1]对账明细接口!$L$1045=0,"",[1]对账明细接口!$L$1045),"")</f>
        <v/>
      </c>
      <c r="M1045" s="16" t="str">
        <f>IFERROR(IF([1]对账明细接口!$M$1045=0,"",[1]对账明细接口!$M$1045),"")</f>
        <v/>
      </c>
      <c r="N1045" s="19">
        <f t="shared" si="32"/>
        <v>0</v>
      </c>
      <c r="O1045" s="19">
        <f t="shared" si="33"/>
        <v>420</v>
      </c>
      <c r="S1045" s="20" t="str">
        <f>IFERROR(IF([1]对账明细接口!$N1045=0,"",[1]对账明细接口!$N1045),"")</f>
        <v/>
      </c>
      <c r="T1045" s="21" t="str">
        <f>IFERROR(IF([1]对账明细接口!$O1045=0,"",[1]对账明细接口!$O1045),"")</f>
        <v/>
      </c>
      <c r="U1045" s="21" t="str">
        <f>IFERROR(IF([1]对账明细接口!$P1045=0,"",[1]对账明细接口!$P1045),"")</f>
        <v/>
      </c>
      <c r="V1045" s="21" t="str">
        <f>IFERROR(IF([1]对账明细接口!$Q1045=0,"",[1]对账明细接口!$Q1045),"")</f>
        <v/>
      </c>
      <c r="W1045" s="20" t="str">
        <f>IFERROR(IF([1]对账明细接口!$R1045=0,"",[1]对账明细接口!$R1045),"")</f>
        <v/>
      </c>
      <c r="X1045" s="20" t="str">
        <f>IFERROR(IF([1]对账明细接口!$S1045=0,"",[1]对账明细接口!$S1045),"")</f>
        <v/>
      </c>
      <c r="Y1045" s="20" t="str">
        <f>IFERROR(IF([1]对账明细接口!$T1045=0,"",[1]对账明细接口!$T1045),"")</f>
        <v/>
      </c>
      <c r="Z1045" s="24" t="str">
        <f>IFERROR(IF([1]对账明细接口!$U1045=0,"",[1]对账明细接口!$U1045),"")</f>
        <v/>
      </c>
      <c r="AA1045" s="24" t="str">
        <f>IFERROR(IF([1]对账明细接口!$V1045=0,"",[1]对账明细接口!$V1045),"")</f>
        <v/>
      </c>
      <c r="AB1045" s="20" t="str">
        <f>IFERROR(IF([1]对账明细接口!$W1045=0,"",[1]对账明细接口!$W1045),"")</f>
        <v/>
      </c>
      <c r="AC1045" s="7" t="str">
        <f>IFERROR(IF([1]对账明细接口!$X1045=0,"",[1]对账明细接口!$X1045),"")</f>
        <v/>
      </c>
      <c r="AD1045" s="7" t="str">
        <f>IFERROR(IF([1]对账明细接口!$Y1045=0,"",[1]对账明细接口!$Y1045),"")</f>
        <v/>
      </c>
      <c r="AE1045" s="7" t="str">
        <f>IFERROR(IF([1]对账明细接口!$AA1045=0,"",[1]对账明细接口!$AA1045),"")</f>
        <v/>
      </c>
      <c r="AF1045" s="7" t="str">
        <f>IFERROR(IF([1]对账明细接口!$AB1045=0,"",[1]对账明细接口!$AB1045),"")</f>
        <v/>
      </c>
      <c r="AG1045" s="7" t="str">
        <f>IFERROR(IF([1]对账明细接口!$AC1045=0,"",[1]对账明细接口!$AC1045),"")</f>
        <v/>
      </c>
      <c r="AH1045" s="7" t="str">
        <f>IFERROR(IF([1]对账明细接口!$AD1045=0,"",[1]对账明细接口!$AD1045),"")</f>
        <v/>
      </c>
      <c r="AI1045" s="7" t="str">
        <f>IFERROR(IF([1]对账明细接口!$AE1045=0,"",[1]对账明细接口!$AE1045),"")</f>
        <v/>
      </c>
      <c r="AJ1045" s="7" t="str">
        <f>IFERROR(IF([1]对账明细接口!$AF1045=0,"",[1]对账明细接口!$AF1045),"")</f>
        <v/>
      </c>
    </row>
    <row r="1046" ht="14.25" customHeight="1" spans="1:36">
      <c r="A1046" s="14">
        <v>1046</v>
      </c>
      <c r="B1046" s="15" t="str">
        <f>IFERROR(IF([1]对账明细接口!$B$1046=0,"",[1]对账明细接口!$B$1046),"")</f>
        <v/>
      </c>
      <c r="C1046" s="16" t="str">
        <f>IFERROR(IF([1]对账明细接口!$C$1046=0,"",[1]对账明细接口!$C$1046),"")</f>
        <v/>
      </c>
      <c r="D1046" s="16" t="str">
        <f>IFERROR(IF([1]对账明细接口!$D$1046=0,"",[1]对账明细接口!$D$1046),"")</f>
        <v/>
      </c>
      <c r="E1046" s="16" t="str">
        <f>IFERROR(IF([1]对账明细接口!$E$1046=0,"",[1]对账明细接口!$E$1046),"")</f>
        <v/>
      </c>
      <c r="F1046" s="16" t="str">
        <f>IFERROR(IF([1]对账明细接口!$F$1046=0,"",[1]对账明细接口!$F$1046),"")</f>
        <v/>
      </c>
      <c r="G1046" s="16" t="str">
        <f>IFERROR(IF([1]对账明细接口!$G$1046=0,"",[1]对账明细接口!$G$1046),"")</f>
        <v/>
      </c>
      <c r="H1046" s="17" t="str">
        <f>IFERROR(IF([1]对账明细接口!$H$1046=0,"",[1]对账明细接口!$H$1046),"")</f>
        <v/>
      </c>
      <c r="I1046" s="16" t="str">
        <f>IFERROR(IF([1]对账明细接口!$I$1046=0,"",[1]对账明细接口!$I$1046),"")</f>
        <v/>
      </c>
      <c r="J1046" s="18" t="str">
        <f>IFERROR(IF([1]对账明细接口!$J$1046=0,"",[1]对账明细接口!$J$1046),"")</f>
        <v/>
      </c>
      <c r="K1046" s="18" t="str">
        <f>IFERROR(IF([1]对账明细接口!$K$1046=0,"",[1]对账明细接口!$K$1046),"")</f>
        <v/>
      </c>
      <c r="L1046" s="16" t="str">
        <f>IFERROR(IF([1]对账明细接口!$L$1046=0,"",[1]对账明细接口!$L$1046),"")</f>
        <v/>
      </c>
      <c r="M1046" s="16" t="str">
        <f>IFERROR(IF([1]对账明细接口!$M$1046=0,"",[1]对账明细接口!$M$1046),"")</f>
        <v/>
      </c>
      <c r="N1046" s="19">
        <f t="shared" si="32"/>
        <v>0</v>
      </c>
      <c r="O1046" s="19">
        <f t="shared" si="33"/>
        <v>420</v>
      </c>
      <c r="S1046" s="20" t="str">
        <f>IFERROR(IF([1]对账明细接口!$N1046=0,"",[1]对账明细接口!$N1046),"")</f>
        <v/>
      </c>
      <c r="T1046" s="21" t="str">
        <f>IFERROR(IF([1]对账明细接口!$O1046=0,"",[1]对账明细接口!$O1046),"")</f>
        <v/>
      </c>
      <c r="U1046" s="21" t="str">
        <f>IFERROR(IF([1]对账明细接口!$P1046=0,"",[1]对账明细接口!$P1046),"")</f>
        <v/>
      </c>
      <c r="V1046" s="21" t="str">
        <f>IFERROR(IF([1]对账明细接口!$Q1046=0,"",[1]对账明细接口!$Q1046),"")</f>
        <v/>
      </c>
      <c r="W1046" s="20" t="str">
        <f>IFERROR(IF([1]对账明细接口!$R1046=0,"",[1]对账明细接口!$R1046),"")</f>
        <v/>
      </c>
      <c r="X1046" s="20" t="str">
        <f>IFERROR(IF([1]对账明细接口!$S1046=0,"",[1]对账明细接口!$S1046),"")</f>
        <v/>
      </c>
      <c r="Y1046" s="20" t="str">
        <f>IFERROR(IF([1]对账明细接口!$T1046=0,"",[1]对账明细接口!$T1046),"")</f>
        <v/>
      </c>
      <c r="Z1046" s="24" t="str">
        <f>IFERROR(IF([1]对账明细接口!$U1046=0,"",[1]对账明细接口!$U1046),"")</f>
        <v/>
      </c>
      <c r="AA1046" s="24" t="str">
        <f>IFERROR(IF([1]对账明细接口!$V1046=0,"",[1]对账明细接口!$V1046),"")</f>
        <v/>
      </c>
      <c r="AB1046" s="20" t="str">
        <f>IFERROR(IF([1]对账明细接口!$W1046=0,"",[1]对账明细接口!$W1046),"")</f>
        <v/>
      </c>
      <c r="AC1046" s="7" t="str">
        <f>IFERROR(IF([1]对账明细接口!$X1046=0,"",[1]对账明细接口!$X1046),"")</f>
        <v/>
      </c>
      <c r="AD1046" s="7" t="str">
        <f>IFERROR(IF([1]对账明细接口!$Y1046=0,"",[1]对账明细接口!$Y1046),"")</f>
        <v/>
      </c>
      <c r="AE1046" s="7" t="str">
        <f>IFERROR(IF([1]对账明细接口!$AA1046=0,"",[1]对账明细接口!$AA1046),"")</f>
        <v/>
      </c>
      <c r="AF1046" s="7" t="str">
        <f>IFERROR(IF([1]对账明细接口!$AB1046=0,"",[1]对账明细接口!$AB1046),"")</f>
        <v/>
      </c>
      <c r="AG1046" s="7" t="str">
        <f>IFERROR(IF([1]对账明细接口!$AC1046=0,"",[1]对账明细接口!$AC1046),"")</f>
        <v/>
      </c>
      <c r="AH1046" s="7" t="str">
        <f>IFERROR(IF([1]对账明细接口!$AD1046=0,"",[1]对账明细接口!$AD1046),"")</f>
        <v/>
      </c>
      <c r="AI1046" s="7" t="str">
        <f>IFERROR(IF([1]对账明细接口!$AE1046=0,"",[1]对账明细接口!$AE1046),"")</f>
        <v/>
      </c>
      <c r="AJ1046" s="7" t="str">
        <f>IFERROR(IF([1]对账明细接口!$AF1046=0,"",[1]对账明细接口!$AF1046),"")</f>
        <v/>
      </c>
    </row>
    <row r="1047" ht="14.25" customHeight="1" spans="1:36">
      <c r="A1047" s="14">
        <v>1047</v>
      </c>
      <c r="B1047" s="15" t="str">
        <f>IFERROR(IF([1]对账明细接口!$B$1047=0,"",[1]对账明细接口!$B$1047),"")</f>
        <v/>
      </c>
      <c r="C1047" s="16" t="str">
        <f>IFERROR(IF([1]对账明细接口!$C$1047=0,"",[1]对账明细接口!$C$1047),"")</f>
        <v/>
      </c>
      <c r="D1047" s="16" t="str">
        <f>IFERROR(IF([1]对账明细接口!$D$1047=0,"",[1]对账明细接口!$D$1047),"")</f>
        <v/>
      </c>
      <c r="E1047" s="16" t="str">
        <f>IFERROR(IF([1]对账明细接口!$E$1047=0,"",[1]对账明细接口!$E$1047),"")</f>
        <v/>
      </c>
      <c r="F1047" s="16" t="str">
        <f>IFERROR(IF([1]对账明细接口!$F$1047=0,"",[1]对账明细接口!$F$1047),"")</f>
        <v/>
      </c>
      <c r="G1047" s="16" t="str">
        <f>IFERROR(IF([1]对账明细接口!$G$1047=0,"",[1]对账明细接口!$G$1047),"")</f>
        <v/>
      </c>
      <c r="H1047" s="17" t="str">
        <f>IFERROR(IF([1]对账明细接口!$H$1047=0,"",[1]对账明细接口!$H$1047),"")</f>
        <v/>
      </c>
      <c r="I1047" s="16" t="str">
        <f>IFERROR(IF([1]对账明细接口!$I$1047=0,"",[1]对账明细接口!$I$1047),"")</f>
        <v/>
      </c>
      <c r="J1047" s="18" t="str">
        <f>IFERROR(IF([1]对账明细接口!$J$1047=0,"",[1]对账明细接口!$J$1047),"")</f>
        <v/>
      </c>
      <c r="K1047" s="18" t="str">
        <f>IFERROR(IF([1]对账明细接口!$K$1047=0,"",[1]对账明细接口!$K$1047),"")</f>
        <v/>
      </c>
      <c r="L1047" s="16" t="str">
        <f>IFERROR(IF([1]对账明细接口!$L$1047=0,"",[1]对账明细接口!$L$1047),"")</f>
        <v/>
      </c>
      <c r="M1047" s="16" t="str">
        <f>IFERROR(IF([1]对账明细接口!$M$1047=0,"",[1]对账明细接口!$M$1047),"")</f>
        <v/>
      </c>
      <c r="N1047" s="19">
        <f t="shared" si="32"/>
        <v>0</v>
      </c>
      <c r="O1047" s="19">
        <f t="shared" si="33"/>
        <v>420</v>
      </c>
      <c r="S1047" s="20" t="str">
        <f>IFERROR(IF([1]对账明细接口!$N1047=0,"",[1]对账明细接口!$N1047),"")</f>
        <v/>
      </c>
      <c r="T1047" s="21" t="str">
        <f>IFERROR(IF([1]对账明细接口!$O1047=0,"",[1]对账明细接口!$O1047),"")</f>
        <v/>
      </c>
      <c r="U1047" s="21" t="str">
        <f>IFERROR(IF([1]对账明细接口!$P1047=0,"",[1]对账明细接口!$P1047),"")</f>
        <v/>
      </c>
      <c r="V1047" s="21" t="str">
        <f>IFERROR(IF([1]对账明细接口!$Q1047=0,"",[1]对账明细接口!$Q1047),"")</f>
        <v/>
      </c>
      <c r="W1047" s="20" t="str">
        <f>IFERROR(IF([1]对账明细接口!$R1047=0,"",[1]对账明细接口!$R1047),"")</f>
        <v/>
      </c>
      <c r="X1047" s="20" t="str">
        <f>IFERROR(IF([1]对账明细接口!$S1047=0,"",[1]对账明细接口!$S1047),"")</f>
        <v/>
      </c>
      <c r="Y1047" s="20" t="str">
        <f>IFERROR(IF([1]对账明细接口!$T1047=0,"",[1]对账明细接口!$T1047),"")</f>
        <v/>
      </c>
      <c r="Z1047" s="24" t="str">
        <f>IFERROR(IF([1]对账明细接口!$U1047=0,"",[1]对账明细接口!$U1047),"")</f>
        <v/>
      </c>
      <c r="AA1047" s="24" t="str">
        <f>IFERROR(IF([1]对账明细接口!$V1047=0,"",[1]对账明细接口!$V1047),"")</f>
        <v/>
      </c>
      <c r="AB1047" s="20" t="str">
        <f>IFERROR(IF([1]对账明细接口!$W1047=0,"",[1]对账明细接口!$W1047),"")</f>
        <v/>
      </c>
      <c r="AC1047" s="7" t="str">
        <f>IFERROR(IF([1]对账明细接口!$X1047=0,"",[1]对账明细接口!$X1047),"")</f>
        <v/>
      </c>
      <c r="AD1047" s="7" t="str">
        <f>IFERROR(IF([1]对账明细接口!$Y1047=0,"",[1]对账明细接口!$Y1047),"")</f>
        <v/>
      </c>
      <c r="AE1047" s="7" t="str">
        <f>IFERROR(IF([1]对账明细接口!$AA1047=0,"",[1]对账明细接口!$AA1047),"")</f>
        <v/>
      </c>
      <c r="AF1047" s="7" t="str">
        <f>IFERROR(IF([1]对账明细接口!$AB1047=0,"",[1]对账明细接口!$AB1047),"")</f>
        <v/>
      </c>
      <c r="AG1047" s="7" t="str">
        <f>IFERROR(IF([1]对账明细接口!$AC1047=0,"",[1]对账明细接口!$AC1047),"")</f>
        <v/>
      </c>
      <c r="AH1047" s="7" t="str">
        <f>IFERROR(IF([1]对账明细接口!$AD1047=0,"",[1]对账明细接口!$AD1047),"")</f>
        <v/>
      </c>
      <c r="AI1047" s="7" t="str">
        <f>IFERROR(IF([1]对账明细接口!$AE1047=0,"",[1]对账明细接口!$AE1047),"")</f>
        <v/>
      </c>
      <c r="AJ1047" s="7" t="str">
        <f>IFERROR(IF([1]对账明细接口!$AF1047=0,"",[1]对账明细接口!$AF1047),"")</f>
        <v/>
      </c>
    </row>
    <row r="1048" ht="14.25" customHeight="1" spans="1:36">
      <c r="A1048" s="14">
        <v>1048</v>
      </c>
      <c r="B1048" s="15" t="str">
        <f>IFERROR(IF([1]对账明细接口!$B$1048=0,"",[1]对账明细接口!$B$1048),"")</f>
        <v/>
      </c>
      <c r="C1048" s="16" t="str">
        <f>IFERROR(IF([1]对账明细接口!$C$1048=0,"",[1]对账明细接口!$C$1048),"")</f>
        <v/>
      </c>
      <c r="D1048" s="16" t="str">
        <f>IFERROR(IF([1]对账明细接口!$D$1048=0,"",[1]对账明细接口!$D$1048),"")</f>
        <v/>
      </c>
      <c r="E1048" s="16" t="str">
        <f>IFERROR(IF([1]对账明细接口!$E$1048=0,"",[1]对账明细接口!$E$1048),"")</f>
        <v/>
      </c>
      <c r="F1048" s="16" t="str">
        <f>IFERROR(IF([1]对账明细接口!$F$1048=0,"",[1]对账明细接口!$F$1048),"")</f>
        <v/>
      </c>
      <c r="G1048" s="16" t="str">
        <f>IFERROR(IF([1]对账明细接口!$G$1048=0,"",[1]对账明细接口!$G$1048),"")</f>
        <v/>
      </c>
      <c r="H1048" s="17" t="str">
        <f>IFERROR(IF([1]对账明细接口!$H$1048=0,"",[1]对账明细接口!$H$1048),"")</f>
        <v/>
      </c>
      <c r="I1048" s="16" t="str">
        <f>IFERROR(IF([1]对账明细接口!$I$1048=0,"",[1]对账明细接口!$I$1048),"")</f>
        <v/>
      </c>
      <c r="J1048" s="18" t="str">
        <f>IFERROR(IF([1]对账明细接口!$J$1048=0,"",[1]对账明细接口!$J$1048),"")</f>
        <v/>
      </c>
      <c r="K1048" s="18" t="str">
        <f>IFERROR(IF([1]对账明细接口!$K$1048=0,"",[1]对账明细接口!$K$1048),"")</f>
        <v/>
      </c>
      <c r="L1048" s="16" t="str">
        <f>IFERROR(IF([1]对账明细接口!$L$1048=0,"",[1]对账明细接口!$L$1048),"")</f>
        <v/>
      </c>
      <c r="M1048" s="16" t="str">
        <f>IFERROR(IF([1]对账明细接口!$M$1048=0,"",[1]对账明细接口!$M$1048),"")</f>
        <v/>
      </c>
      <c r="N1048" s="19">
        <f t="shared" si="32"/>
        <v>0</v>
      </c>
      <c r="O1048" s="19">
        <f t="shared" si="33"/>
        <v>420</v>
      </c>
      <c r="S1048" s="20" t="str">
        <f>IFERROR(IF([1]对账明细接口!$N1048=0,"",[1]对账明细接口!$N1048),"")</f>
        <v/>
      </c>
      <c r="T1048" s="21" t="str">
        <f>IFERROR(IF([1]对账明细接口!$O1048=0,"",[1]对账明细接口!$O1048),"")</f>
        <v/>
      </c>
      <c r="U1048" s="21" t="str">
        <f>IFERROR(IF([1]对账明细接口!$P1048=0,"",[1]对账明细接口!$P1048),"")</f>
        <v/>
      </c>
      <c r="V1048" s="21" t="str">
        <f>IFERROR(IF([1]对账明细接口!$Q1048=0,"",[1]对账明细接口!$Q1048),"")</f>
        <v/>
      </c>
      <c r="W1048" s="20" t="str">
        <f>IFERROR(IF([1]对账明细接口!$R1048=0,"",[1]对账明细接口!$R1048),"")</f>
        <v/>
      </c>
      <c r="X1048" s="20" t="str">
        <f>IFERROR(IF([1]对账明细接口!$S1048=0,"",[1]对账明细接口!$S1048),"")</f>
        <v/>
      </c>
      <c r="Y1048" s="20" t="str">
        <f>IFERROR(IF([1]对账明细接口!$T1048=0,"",[1]对账明细接口!$T1048),"")</f>
        <v/>
      </c>
      <c r="Z1048" s="24" t="str">
        <f>IFERROR(IF([1]对账明细接口!$U1048=0,"",[1]对账明细接口!$U1048),"")</f>
        <v/>
      </c>
      <c r="AA1048" s="24" t="str">
        <f>IFERROR(IF([1]对账明细接口!$V1048=0,"",[1]对账明细接口!$V1048),"")</f>
        <v/>
      </c>
      <c r="AB1048" s="20" t="str">
        <f>IFERROR(IF([1]对账明细接口!$W1048=0,"",[1]对账明细接口!$W1048),"")</f>
        <v/>
      </c>
      <c r="AC1048" s="7" t="str">
        <f>IFERROR(IF([1]对账明细接口!$X1048=0,"",[1]对账明细接口!$X1048),"")</f>
        <v/>
      </c>
      <c r="AD1048" s="7" t="str">
        <f>IFERROR(IF([1]对账明细接口!$Y1048=0,"",[1]对账明细接口!$Y1048),"")</f>
        <v/>
      </c>
      <c r="AE1048" s="7" t="str">
        <f>IFERROR(IF([1]对账明细接口!$AA1048=0,"",[1]对账明细接口!$AA1048),"")</f>
        <v/>
      </c>
      <c r="AF1048" s="7" t="str">
        <f>IFERROR(IF([1]对账明细接口!$AB1048=0,"",[1]对账明细接口!$AB1048),"")</f>
        <v/>
      </c>
      <c r="AG1048" s="7" t="str">
        <f>IFERROR(IF([1]对账明细接口!$AC1048=0,"",[1]对账明细接口!$AC1048),"")</f>
        <v/>
      </c>
      <c r="AH1048" s="7" t="str">
        <f>IFERROR(IF([1]对账明细接口!$AD1048=0,"",[1]对账明细接口!$AD1048),"")</f>
        <v/>
      </c>
      <c r="AI1048" s="7" t="str">
        <f>IFERROR(IF([1]对账明细接口!$AE1048=0,"",[1]对账明细接口!$AE1048),"")</f>
        <v/>
      </c>
      <c r="AJ1048" s="7" t="str">
        <f>IFERROR(IF([1]对账明细接口!$AF1048=0,"",[1]对账明细接口!$AF1048),"")</f>
        <v/>
      </c>
    </row>
    <row r="1049" ht="14.25" customHeight="1" spans="1:36">
      <c r="A1049" s="14">
        <v>1049</v>
      </c>
      <c r="B1049" s="15" t="str">
        <f>IFERROR(IF([1]对账明细接口!$B$1049=0,"",[1]对账明细接口!$B$1049),"")</f>
        <v/>
      </c>
      <c r="C1049" s="16" t="str">
        <f>IFERROR(IF([1]对账明细接口!$C$1049=0,"",[1]对账明细接口!$C$1049),"")</f>
        <v/>
      </c>
      <c r="D1049" s="16" t="str">
        <f>IFERROR(IF([1]对账明细接口!$D$1049=0,"",[1]对账明细接口!$D$1049),"")</f>
        <v/>
      </c>
      <c r="E1049" s="16" t="str">
        <f>IFERROR(IF([1]对账明细接口!$E$1049=0,"",[1]对账明细接口!$E$1049),"")</f>
        <v/>
      </c>
      <c r="F1049" s="16" t="str">
        <f>IFERROR(IF([1]对账明细接口!$F$1049=0,"",[1]对账明细接口!$F$1049),"")</f>
        <v/>
      </c>
      <c r="G1049" s="16" t="str">
        <f>IFERROR(IF([1]对账明细接口!$G$1049=0,"",[1]对账明细接口!$G$1049),"")</f>
        <v/>
      </c>
      <c r="H1049" s="17" t="str">
        <f>IFERROR(IF([1]对账明细接口!$H$1049=0,"",[1]对账明细接口!$H$1049),"")</f>
        <v/>
      </c>
      <c r="I1049" s="16" t="str">
        <f>IFERROR(IF([1]对账明细接口!$I$1049=0,"",[1]对账明细接口!$I$1049),"")</f>
        <v/>
      </c>
      <c r="J1049" s="18" t="str">
        <f>IFERROR(IF([1]对账明细接口!$J$1049=0,"",[1]对账明细接口!$J$1049),"")</f>
        <v/>
      </c>
      <c r="K1049" s="18" t="str">
        <f>IFERROR(IF([1]对账明细接口!$K$1049=0,"",[1]对账明细接口!$K$1049),"")</f>
        <v/>
      </c>
      <c r="L1049" s="16" t="str">
        <f>IFERROR(IF([1]对账明细接口!$L$1049=0,"",[1]对账明细接口!$L$1049),"")</f>
        <v/>
      </c>
      <c r="M1049" s="16" t="str">
        <f>IFERROR(IF([1]对账明细接口!$M$1049=0,"",[1]对账明细接口!$M$1049),"")</f>
        <v/>
      </c>
      <c r="N1049" s="19">
        <f t="shared" si="32"/>
        <v>0</v>
      </c>
      <c r="O1049" s="19">
        <f t="shared" si="33"/>
        <v>420</v>
      </c>
      <c r="S1049" s="20" t="str">
        <f>IFERROR(IF([1]对账明细接口!$N1049=0,"",[1]对账明细接口!$N1049),"")</f>
        <v/>
      </c>
      <c r="T1049" s="21" t="str">
        <f>IFERROR(IF([1]对账明细接口!$O1049=0,"",[1]对账明细接口!$O1049),"")</f>
        <v/>
      </c>
      <c r="U1049" s="21" t="str">
        <f>IFERROR(IF([1]对账明细接口!$P1049=0,"",[1]对账明细接口!$P1049),"")</f>
        <v/>
      </c>
      <c r="V1049" s="21" t="str">
        <f>IFERROR(IF([1]对账明细接口!$Q1049=0,"",[1]对账明细接口!$Q1049),"")</f>
        <v/>
      </c>
      <c r="W1049" s="20" t="str">
        <f>IFERROR(IF([1]对账明细接口!$R1049=0,"",[1]对账明细接口!$R1049),"")</f>
        <v/>
      </c>
      <c r="X1049" s="20" t="str">
        <f>IFERROR(IF([1]对账明细接口!$S1049=0,"",[1]对账明细接口!$S1049),"")</f>
        <v/>
      </c>
      <c r="Y1049" s="20" t="str">
        <f>IFERROR(IF([1]对账明细接口!$T1049=0,"",[1]对账明细接口!$T1049),"")</f>
        <v/>
      </c>
      <c r="Z1049" s="24" t="str">
        <f>IFERROR(IF([1]对账明细接口!$U1049=0,"",[1]对账明细接口!$U1049),"")</f>
        <v/>
      </c>
      <c r="AA1049" s="24" t="str">
        <f>IFERROR(IF([1]对账明细接口!$V1049=0,"",[1]对账明细接口!$V1049),"")</f>
        <v/>
      </c>
      <c r="AB1049" s="20" t="str">
        <f>IFERROR(IF([1]对账明细接口!$W1049=0,"",[1]对账明细接口!$W1049),"")</f>
        <v/>
      </c>
      <c r="AC1049" s="7" t="str">
        <f>IFERROR(IF([1]对账明细接口!$X1049=0,"",[1]对账明细接口!$X1049),"")</f>
        <v/>
      </c>
      <c r="AD1049" s="7" t="str">
        <f>IFERROR(IF([1]对账明细接口!$Y1049=0,"",[1]对账明细接口!$Y1049),"")</f>
        <v/>
      </c>
      <c r="AE1049" s="7" t="str">
        <f>IFERROR(IF([1]对账明细接口!$AA1049=0,"",[1]对账明细接口!$AA1049),"")</f>
        <v/>
      </c>
      <c r="AF1049" s="7" t="str">
        <f>IFERROR(IF([1]对账明细接口!$AB1049=0,"",[1]对账明细接口!$AB1049),"")</f>
        <v/>
      </c>
      <c r="AG1049" s="7" t="str">
        <f>IFERROR(IF([1]对账明细接口!$AC1049=0,"",[1]对账明细接口!$AC1049),"")</f>
        <v/>
      </c>
      <c r="AH1049" s="7" t="str">
        <f>IFERROR(IF([1]对账明细接口!$AD1049=0,"",[1]对账明细接口!$AD1049),"")</f>
        <v/>
      </c>
      <c r="AI1049" s="7" t="str">
        <f>IFERROR(IF([1]对账明细接口!$AE1049=0,"",[1]对账明细接口!$AE1049),"")</f>
        <v/>
      </c>
      <c r="AJ1049" s="7" t="str">
        <f>IFERROR(IF([1]对账明细接口!$AF1049=0,"",[1]对账明细接口!$AF1049),"")</f>
        <v/>
      </c>
    </row>
    <row r="1050" ht="14.25" customHeight="1" spans="1:36">
      <c r="A1050" s="14">
        <v>1050</v>
      </c>
      <c r="B1050" s="15" t="str">
        <f>IFERROR(IF([1]对账明细接口!$B$1050=0,"",[1]对账明细接口!$B$1050),"")</f>
        <v/>
      </c>
      <c r="C1050" s="16" t="str">
        <f>IFERROR(IF([1]对账明细接口!$C$1050=0,"",[1]对账明细接口!$C$1050),"")</f>
        <v/>
      </c>
      <c r="D1050" s="16" t="str">
        <f>IFERROR(IF([1]对账明细接口!$D$1050=0,"",[1]对账明细接口!$D$1050),"")</f>
        <v/>
      </c>
      <c r="E1050" s="16" t="str">
        <f>IFERROR(IF([1]对账明细接口!$E$1050=0,"",[1]对账明细接口!$E$1050),"")</f>
        <v/>
      </c>
      <c r="F1050" s="16" t="str">
        <f>IFERROR(IF([1]对账明细接口!$F$1050=0,"",[1]对账明细接口!$F$1050),"")</f>
        <v/>
      </c>
      <c r="G1050" s="16" t="str">
        <f>IFERROR(IF([1]对账明细接口!$G$1050=0,"",[1]对账明细接口!$G$1050),"")</f>
        <v/>
      </c>
      <c r="H1050" s="17" t="str">
        <f>IFERROR(IF([1]对账明细接口!$H$1050=0,"",[1]对账明细接口!$H$1050),"")</f>
        <v/>
      </c>
      <c r="I1050" s="16" t="str">
        <f>IFERROR(IF([1]对账明细接口!$I$1050=0,"",[1]对账明细接口!$I$1050),"")</f>
        <v/>
      </c>
      <c r="J1050" s="18" t="str">
        <f>IFERROR(IF([1]对账明细接口!$J$1050=0,"",[1]对账明细接口!$J$1050),"")</f>
        <v/>
      </c>
      <c r="K1050" s="18" t="str">
        <f>IFERROR(IF([1]对账明细接口!$K$1050=0,"",[1]对账明细接口!$K$1050),"")</f>
        <v/>
      </c>
      <c r="L1050" s="16" t="str">
        <f>IFERROR(IF([1]对账明细接口!$L$1050=0,"",[1]对账明细接口!$L$1050),"")</f>
        <v/>
      </c>
      <c r="M1050" s="16" t="str">
        <f>IFERROR(IF([1]对账明细接口!$M$1050=0,"",[1]对账明细接口!$M$1050),"")</f>
        <v/>
      </c>
      <c r="N1050" s="19">
        <f t="shared" si="32"/>
        <v>0</v>
      </c>
      <c r="O1050" s="19">
        <f t="shared" si="33"/>
        <v>420</v>
      </c>
      <c r="S1050" s="20" t="str">
        <f>IFERROR(IF([1]对账明细接口!$N1050=0,"",[1]对账明细接口!$N1050),"")</f>
        <v/>
      </c>
      <c r="T1050" s="21" t="str">
        <f>IFERROR(IF([1]对账明细接口!$O1050=0,"",[1]对账明细接口!$O1050),"")</f>
        <v/>
      </c>
      <c r="U1050" s="21" t="str">
        <f>IFERROR(IF([1]对账明细接口!$P1050=0,"",[1]对账明细接口!$P1050),"")</f>
        <v/>
      </c>
      <c r="V1050" s="21" t="str">
        <f>IFERROR(IF([1]对账明细接口!$Q1050=0,"",[1]对账明细接口!$Q1050),"")</f>
        <v/>
      </c>
      <c r="W1050" s="20" t="str">
        <f>IFERROR(IF([1]对账明细接口!$R1050=0,"",[1]对账明细接口!$R1050),"")</f>
        <v/>
      </c>
      <c r="X1050" s="20" t="str">
        <f>IFERROR(IF([1]对账明细接口!$S1050=0,"",[1]对账明细接口!$S1050),"")</f>
        <v/>
      </c>
      <c r="Y1050" s="20" t="str">
        <f>IFERROR(IF([1]对账明细接口!$T1050=0,"",[1]对账明细接口!$T1050),"")</f>
        <v/>
      </c>
      <c r="Z1050" s="24" t="str">
        <f>IFERROR(IF([1]对账明细接口!$U1050=0,"",[1]对账明细接口!$U1050),"")</f>
        <v/>
      </c>
      <c r="AA1050" s="24" t="str">
        <f>IFERROR(IF([1]对账明细接口!$V1050=0,"",[1]对账明细接口!$V1050),"")</f>
        <v/>
      </c>
      <c r="AB1050" s="20" t="str">
        <f>IFERROR(IF([1]对账明细接口!$W1050=0,"",[1]对账明细接口!$W1050),"")</f>
        <v/>
      </c>
      <c r="AC1050" s="7" t="str">
        <f>IFERROR(IF([1]对账明细接口!$X1050=0,"",[1]对账明细接口!$X1050),"")</f>
        <v/>
      </c>
      <c r="AD1050" s="7" t="str">
        <f>IFERROR(IF([1]对账明细接口!$Y1050=0,"",[1]对账明细接口!$Y1050),"")</f>
        <v/>
      </c>
      <c r="AE1050" s="7" t="str">
        <f>IFERROR(IF([1]对账明细接口!$AA1050=0,"",[1]对账明细接口!$AA1050),"")</f>
        <v/>
      </c>
      <c r="AF1050" s="7" t="str">
        <f>IFERROR(IF([1]对账明细接口!$AB1050=0,"",[1]对账明细接口!$AB1050),"")</f>
        <v/>
      </c>
      <c r="AG1050" s="7" t="str">
        <f>IFERROR(IF([1]对账明细接口!$AC1050=0,"",[1]对账明细接口!$AC1050),"")</f>
        <v/>
      </c>
      <c r="AH1050" s="7" t="str">
        <f>IFERROR(IF([1]对账明细接口!$AD1050=0,"",[1]对账明细接口!$AD1050),"")</f>
        <v/>
      </c>
      <c r="AI1050" s="7" t="str">
        <f>IFERROR(IF([1]对账明细接口!$AE1050=0,"",[1]对账明细接口!$AE1050),"")</f>
        <v/>
      </c>
      <c r="AJ1050" s="7" t="str">
        <f>IFERROR(IF([1]对账明细接口!$AF1050=0,"",[1]对账明细接口!$AF1050),"")</f>
        <v/>
      </c>
    </row>
    <row r="1051" ht="14.25" customHeight="1" spans="1:36">
      <c r="A1051" s="14">
        <v>1051</v>
      </c>
      <c r="B1051" s="15" t="str">
        <f>IFERROR(IF([1]对账明细接口!$B$1051=0,"",[1]对账明细接口!$B$1051),"")</f>
        <v/>
      </c>
      <c r="C1051" s="16" t="str">
        <f>IFERROR(IF([1]对账明细接口!$C$1051=0,"",[1]对账明细接口!$C$1051),"")</f>
        <v/>
      </c>
      <c r="D1051" s="16" t="str">
        <f>IFERROR(IF([1]对账明细接口!$D$1051=0,"",[1]对账明细接口!$D$1051),"")</f>
        <v/>
      </c>
      <c r="E1051" s="16" t="str">
        <f>IFERROR(IF([1]对账明细接口!$E$1051=0,"",[1]对账明细接口!$E$1051),"")</f>
        <v/>
      </c>
      <c r="F1051" s="16" t="str">
        <f>IFERROR(IF([1]对账明细接口!$F$1051=0,"",[1]对账明细接口!$F$1051),"")</f>
        <v/>
      </c>
      <c r="G1051" s="16" t="str">
        <f>IFERROR(IF([1]对账明细接口!$G$1051=0,"",[1]对账明细接口!$G$1051),"")</f>
        <v/>
      </c>
      <c r="H1051" s="17" t="str">
        <f>IFERROR(IF([1]对账明细接口!$H$1051=0,"",[1]对账明细接口!$H$1051),"")</f>
        <v/>
      </c>
      <c r="I1051" s="16" t="str">
        <f>IFERROR(IF([1]对账明细接口!$I$1051=0,"",[1]对账明细接口!$I$1051),"")</f>
        <v/>
      </c>
      <c r="J1051" s="18" t="str">
        <f>IFERROR(IF([1]对账明细接口!$J$1051=0,"",[1]对账明细接口!$J$1051),"")</f>
        <v/>
      </c>
      <c r="K1051" s="18" t="str">
        <f>IFERROR(IF([1]对账明细接口!$K$1051=0,"",[1]对账明细接口!$K$1051),"")</f>
        <v/>
      </c>
      <c r="L1051" s="16" t="str">
        <f>IFERROR(IF([1]对账明细接口!$L$1051=0,"",[1]对账明细接口!$L$1051),"")</f>
        <v/>
      </c>
      <c r="M1051" s="16" t="str">
        <f>IFERROR(IF([1]对账明细接口!$M$1051=0,"",[1]对账明细接口!$M$1051),"")</f>
        <v/>
      </c>
      <c r="N1051" s="19">
        <f t="shared" si="32"/>
        <v>0</v>
      </c>
      <c r="O1051" s="19">
        <f t="shared" si="33"/>
        <v>420</v>
      </c>
      <c r="S1051" s="20" t="str">
        <f>IFERROR(IF([1]对账明细接口!$N1051=0,"",[1]对账明细接口!$N1051),"")</f>
        <v/>
      </c>
      <c r="T1051" s="21" t="str">
        <f>IFERROR(IF([1]对账明细接口!$O1051=0,"",[1]对账明细接口!$O1051),"")</f>
        <v/>
      </c>
      <c r="U1051" s="21" t="str">
        <f>IFERROR(IF([1]对账明细接口!$P1051=0,"",[1]对账明细接口!$P1051),"")</f>
        <v/>
      </c>
      <c r="V1051" s="21" t="str">
        <f>IFERROR(IF([1]对账明细接口!$Q1051=0,"",[1]对账明细接口!$Q1051),"")</f>
        <v/>
      </c>
      <c r="W1051" s="20" t="str">
        <f>IFERROR(IF([1]对账明细接口!$R1051=0,"",[1]对账明细接口!$R1051),"")</f>
        <v/>
      </c>
      <c r="X1051" s="20" t="str">
        <f>IFERROR(IF([1]对账明细接口!$S1051=0,"",[1]对账明细接口!$S1051),"")</f>
        <v/>
      </c>
      <c r="Y1051" s="20" t="str">
        <f>IFERROR(IF([1]对账明细接口!$T1051=0,"",[1]对账明细接口!$T1051),"")</f>
        <v/>
      </c>
      <c r="Z1051" s="24" t="str">
        <f>IFERROR(IF([1]对账明细接口!$U1051=0,"",[1]对账明细接口!$U1051),"")</f>
        <v/>
      </c>
      <c r="AA1051" s="24" t="str">
        <f>IFERROR(IF([1]对账明细接口!$V1051=0,"",[1]对账明细接口!$V1051),"")</f>
        <v/>
      </c>
      <c r="AB1051" s="20" t="str">
        <f>IFERROR(IF([1]对账明细接口!$W1051=0,"",[1]对账明细接口!$W1051),"")</f>
        <v/>
      </c>
      <c r="AC1051" s="7" t="str">
        <f>IFERROR(IF([1]对账明细接口!$X1051=0,"",[1]对账明细接口!$X1051),"")</f>
        <v/>
      </c>
      <c r="AD1051" s="7" t="str">
        <f>IFERROR(IF([1]对账明细接口!$Y1051=0,"",[1]对账明细接口!$Y1051),"")</f>
        <v/>
      </c>
      <c r="AE1051" s="7" t="str">
        <f>IFERROR(IF([1]对账明细接口!$AA1051=0,"",[1]对账明细接口!$AA1051),"")</f>
        <v/>
      </c>
      <c r="AF1051" s="7" t="str">
        <f>IFERROR(IF([1]对账明细接口!$AB1051=0,"",[1]对账明细接口!$AB1051),"")</f>
        <v/>
      </c>
      <c r="AG1051" s="7" t="str">
        <f>IFERROR(IF([1]对账明细接口!$AC1051=0,"",[1]对账明细接口!$AC1051),"")</f>
        <v/>
      </c>
      <c r="AH1051" s="7" t="str">
        <f>IFERROR(IF([1]对账明细接口!$AD1051=0,"",[1]对账明细接口!$AD1051),"")</f>
        <v/>
      </c>
      <c r="AI1051" s="7" t="str">
        <f>IFERROR(IF([1]对账明细接口!$AE1051=0,"",[1]对账明细接口!$AE1051),"")</f>
        <v/>
      </c>
      <c r="AJ1051" s="7" t="str">
        <f>IFERROR(IF([1]对账明细接口!$AF1051=0,"",[1]对账明细接口!$AF1051),"")</f>
        <v/>
      </c>
    </row>
    <row r="1052" ht="14.25" customHeight="1" spans="1:36">
      <c r="A1052" s="14">
        <v>1052</v>
      </c>
      <c r="B1052" s="15" t="str">
        <f>IFERROR(IF([1]对账明细接口!$B$1052=0,"",[1]对账明细接口!$B$1052),"")</f>
        <v/>
      </c>
      <c r="C1052" s="16" t="str">
        <f>IFERROR(IF([1]对账明细接口!$C$1052=0,"",[1]对账明细接口!$C$1052),"")</f>
        <v/>
      </c>
      <c r="D1052" s="16" t="str">
        <f>IFERROR(IF([1]对账明细接口!$D$1052=0,"",[1]对账明细接口!$D$1052),"")</f>
        <v/>
      </c>
      <c r="E1052" s="16" t="str">
        <f>IFERROR(IF([1]对账明细接口!$E$1052=0,"",[1]对账明细接口!$E$1052),"")</f>
        <v/>
      </c>
      <c r="F1052" s="16" t="str">
        <f>IFERROR(IF([1]对账明细接口!$F$1052=0,"",[1]对账明细接口!$F$1052),"")</f>
        <v/>
      </c>
      <c r="G1052" s="16" t="str">
        <f>IFERROR(IF([1]对账明细接口!$G$1052=0,"",[1]对账明细接口!$G$1052),"")</f>
        <v/>
      </c>
      <c r="H1052" s="17" t="str">
        <f>IFERROR(IF([1]对账明细接口!$H$1052=0,"",[1]对账明细接口!$H$1052),"")</f>
        <v/>
      </c>
      <c r="I1052" s="16" t="str">
        <f>IFERROR(IF([1]对账明细接口!$I$1052=0,"",[1]对账明细接口!$I$1052),"")</f>
        <v/>
      </c>
      <c r="J1052" s="18" t="str">
        <f>IFERROR(IF([1]对账明细接口!$J$1052=0,"",[1]对账明细接口!$J$1052),"")</f>
        <v/>
      </c>
      <c r="K1052" s="18" t="str">
        <f>IFERROR(IF([1]对账明细接口!$K$1052=0,"",[1]对账明细接口!$K$1052),"")</f>
        <v/>
      </c>
      <c r="L1052" s="16" t="str">
        <f>IFERROR(IF([1]对账明细接口!$L$1052=0,"",[1]对账明细接口!$L$1052),"")</f>
        <v/>
      </c>
      <c r="M1052" s="16" t="str">
        <f>IFERROR(IF([1]对账明细接口!$M$1052=0,"",[1]对账明细接口!$M$1052),"")</f>
        <v/>
      </c>
      <c r="N1052" s="19">
        <f t="shared" si="32"/>
        <v>0</v>
      </c>
      <c r="O1052" s="19">
        <f t="shared" si="33"/>
        <v>420</v>
      </c>
      <c r="S1052" s="20" t="str">
        <f>IFERROR(IF([1]对账明细接口!$N1052=0,"",[1]对账明细接口!$N1052),"")</f>
        <v/>
      </c>
      <c r="T1052" s="21" t="str">
        <f>IFERROR(IF([1]对账明细接口!$O1052=0,"",[1]对账明细接口!$O1052),"")</f>
        <v/>
      </c>
      <c r="U1052" s="21" t="str">
        <f>IFERROR(IF([1]对账明细接口!$P1052=0,"",[1]对账明细接口!$P1052),"")</f>
        <v/>
      </c>
      <c r="V1052" s="21" t="str">
        <f>IFERROR(IF([1]对账明细接口!$Q1052=0,"",[1]对账明细接口!$Q1052),"")</f>
        <v/>
      </c>
      <c r="W1052" s="20" t="str">
        <f>IFERROR(IF([1]对账明细接口!$R1052=0,"",[1]对账明细接口!$R1052),"")</f>
        <v/>
      </c>
      <c r="X1052" s="20" t="str">
        <f>IFERROR(IF([1]对账明细接口!$S1052=0,"",[1]对账明细接口!$S1052),"")</f>
        <v/>
      </c>
      <c r="Y1052" s="20" t="str">
        <f>IFERROR(IF([1]对账明细接口!$T1052=0,"",[1]对账明细接口!$T1052),"")</f>
        <v/>
      </c>
      <c r="Z1052" s="24" t="str">
        <f>IFERROR(IF([1]对账明细接口!$U1052=0,"",[1]对账明细接口!$U1052),"")</f>
        <v/>
      </c>
      <c r="AA1052" s="24" t="str">
        <f>IFERROR(IF([1]对账明细接口!$V1052=0,"",[1]对账明细接口!$V1052),"")</f>
        <v/>
      </c>
      <c r="AB1052" s="20" t="str">
        <f>IFERROR(IF([1]对账明细接口!$W1052=0,"",[1]对账明细接口!$W1052),"")</f>
        <v/>
      </c>
      <c r="AC1052" s="7" t="str">
        <f>IFERROR(IF([1]对账明细接口!$X1052=0,"",[1]对账明细接口!$X1052),"")</f>
        <v/>
      </c>
      <c r="AD1052" s="7" t="str">
        <f>IFERROR(IF([1]对账明细接口!$Y1052=0,"",[1]对账明细接口!$Y1052),"")</f>
        <v/>
      </c>
      <c r="AE1052" s="7" t="str">
        <f>IFERROR(IF([1]对账明细接口!$AA1052=0,"",[1]对账明细接口!$AA1052),"")</f>
        <v/>
      </c>
      <c r="AF1052" s="7" t="str">
        <f>IFERROR(IF([1]对账明细接口!$AB1052=0,"",[1]对账明细接口!$AB1052),"")</f>
        <v/>
      </c>
      <c r="AG1052" s="7" t="str">
        <f>IFERROR(IF([1]对账明细接口!$AC1052=0,"",[1]对账明细接口!$AC1052),"")</f>
        <v/>
      </c>
      <c r="AH1052" s="7" t="str">
        <f>IFERROR(IF([1]对账明细接口!$AD1052=0,"",[1]对账明细接口!$AD1052),"")</f>
        <v/>
      </c>
      <c r="AI1052" s="7" t="str">
        <f>IFERROR(IF([1]对账明细接口!$AE1052=0,"",[1]对账明细接口!$AE1052),"")</f>
        <v/>
      </c>
      <c r="AJ1052" s="7" t="str">
        <f>IFERROR(IF([1]对账明细接口!$AF1052=0,"",[1]对账明细接口!$AF1052),"")</f>
        <v/>
      </c>
    </row>
    <row r="1053" ht="14.25" customHeight="1" spans="1:36">
      <c r="A1053" s="14">
        <v>1053</v>
      </c>
      <c r="B1053" s="15" t="str">
        <f>IFERROR(IF([1]对账明细接口!$B$1053=0,"",[1]对账明细接口!$B$1053),"")</f>
        <v/>
      </c>
      <c r="C1053" s="16" t="str">
        <f>IFERROR(IF([1]对账明细接口!$C$1053=0,"",[1]对账明细接口!$C$1053),"")</f>
        <v/>
      </c>
      <c r="D1053" s="16" t="str">
        <f>IFERROR(IF([1]对账明细接口!$D$1053=0,"",[1]对账明细接口!$D$1053),"")</f>
        <v/>
      </c>
      <c r="E1053" s="16" t="str">
        <f>IFERROR(IF([1]对账明细接口!$E$1053=0,"",[1]对账明细接口!$E$1053),"")</f>
        <v/>
      </c>
      <c r="F1053" s="16" t="str">
        <f>IFERROR(IF([1]对账明细接口!$F$1053=0,"",[1]对账明细接口!$F$1053),"")</f>
        <v/>
      </c>
      <c r="G1053" s="16" t="str">
        <f>IFERROR(IF([1]对账明细接口!$G$1053=0,"",[1]对账明细接口!$G$1053),"")</f>
        <v/>
      </c>
      <c r="H1053" s="17" t="str">
        <f>IFERROR(IF([1]对账明细接口!$H$1053=0,"",[1]对账明细接口!$H$1053),"")</f>
        <v/>
      </c>
      <c r="I1053" s="16" t="str">
        <f>IFERROR(IF([1]对账明细接口!$I$1053=0,"",[1]对账明细接口!$I$1053),"")</f>
        <v/>
      </c>
      <c r="J1053" s="18" t="str">
        <f>IFERROR(IF([1]对账明细接口!$J$1053=0,"",[1]对账明细接口!$J$1053),"")</f>
        <v/>
      </c>
      <c r="K1053" s="18" t="str">
        <f>IFERROR(IF([1]对账明细接口!$K$1053=0,"",[1]对账明细接口!$K$1053),"")</f>
        <v/>
      </c>
      <c r="L1053" s="16" t="str">
        <f>IFERROR(IF([1]对账明细接口!$L$1053=0,"",[1]对账明细接口!$L$1053),"")</f>
        <v/>
      </c>
      <c r="M1053" s="16" t="str">
        <f>IFERROR(IF([1]对账明细接口!$M$1053=0,"",[1]对账明细接口!$M$1053),"")</f>
        <v/>
      </c>
      <c r="N1053" s="19">
        <f t="shared" si="32"/>
        <v>0</v>
      </c>
      <c r="O1053" s="19">
        <f t="shared" si="33"/>
        <v>420</v>
      </c>
      <c r="S1053" s="20" t="str">
        <f>IFERROR(IF([1]对账明细接口!$N1053=0,"",[1]对账明细接口!$N1053),"")</f>
        <v/>
      </c>
      <c r="T1053" s="21" t="str">
        <f>IFERROR(IF([1]对账明细接口!$O1053=0,"",[1]对账明细接口!$O1053),"")</f>
        <v/>
      </c>
      <c r="U1053" s="21" t="str">
        <f>IFERROR(IF([1]对账明细接口!$P1053=0,"",[1]对账明细接口!$P1053),"")</f>
        <v/>
      </c>
      <c r="V1053" s="21" t="str">
        <f>IFERROR(IF([1]对账明细接口!$Q1053=0,"",[1]对账明细接口!$Q1053),"")</f>
        <v/>
      </c>
      <c r="W1053" s="20" t="str">
        <f>IFERROR(IF([1]对账明细接口!$R1053=0,"",[1]对账明细接口!$R1053),"")</f>
        <v/>
      </c>
      <c r="X1053" s="20" t="str">
        <f>IFERROR(IF([1]对账明细接口!$S1053=0,"",[1]对账明细接口!$S1053),"")</f>
        <v/>
      </c>
      <c r="Y1053" s="20" t="str">
        <f>IFERROR(IF([1]对账明细接口!$T1053=0,"",[1]对账明细接口!$T1053),"")</f>
        <v/>
      </c>
      <c r="Z1053" s="24" t="str">
        <f>IFERROR(IF([1]对账明细接口!$U1053=0,"",[1]对账明细接口!$U1053),"")</f>
        <v/>
      </c>
      <c r="AA1053" s="24" t="str">
        <f>IFERROR(IF([1]对账明细接口!$V1053=0,"",[1]对账明细接口!$V1053),"")</f>
        <v/>
      </c>
      <c r="AB1053" s="20" t="str">
        <f>IFERROR(IF([1]对账明细接口!$W1053=0,"",[1]对账明细接口!$W1053),"")</f>
        <v/>
      </c>
      <c r="AC1053" s="7" t="str">
        <f>IFERROR(IF([1]对账明细接口!$X1053=0,"",[1]对账明细接口!$X1053),"")</f>
        <v/>
      </c>
      <c r="AD1053" s="7" t="str">
        <f>IFERROR(IF([1]对账明细接口!$Y1053=0,"",[1]对账明细接口!$Y1053),"")</f>
        <v/>
      </c>
      <c r="AE1053" s="7" t="str">
        <f>IFERROR(IF([1]对账明细接口!$AA1053=0,"",[1]对账明细接口!$AA1053),"")</f>
        <v/>
      </c>
      <c r="AF1053" s="7" t="str">
        <f>IFERROR(IF([1]对账明细接口!$AB1053=0,"",[1]对账明细接口!$AB1053),"")</f>
        <v/>
      </c>
      <c r="AG1053" s="7" t="str">
        <f>IFERROR(IF([1]对账明细接口!$AC1053=0,"",[1]对账明细接口!$AC1053),"")</f>
        <v/>
      </c>
      <c r="AH1053" s="7" t="str">
        <f>IFERROR(IF([1]对账明细接口!$AD1053=0,"",[1]对账明细接口!$AD1053),"")</f>
        <v/>
      </c>
      <c r="AI1053" s="7" t="str">
        <f>IFERROR(IF([1]对账明细接口!$AE1053=0,"",[1]对账明细接口!$AE1053),"")</f>
        <v/>
      </c>
      <c r="AJ1053" s="7" t="str">
        <f>IFERROR(IF([1]对账明细接口!$AF1053=0,"",[1]对账明细接口!$AF1053),"")</f>
        <v/>
      </c>
    </row>
    <row r="1054" ht="14.25" customHeight="1" spans="1:36">
      <c r="A1054" s="14">
        <v>1054</v>
      </c>
      <c r="B1054" s="15" t="str">
        <f>IFERROR(IF([1]对账明细接口!$B$1054=0,"",[1]对账明细接口!$B$1054),"")</f>
        <v/>
      </c>
      <c r="C1054" s="16" t="str">
        <f>IFERROR(IF([1]对账明细接口!$C$1054=0,"",[1]对账明细接口!$C$1054),"")</f>
        <v/>
      </c>
      <c r="D1054" s="16" t="str">
        <f>IFERROR(IF([1]对账明细接口!$D$1054=0,"",[1]对账明细接口!$D$1054),"")</f>
        <v/>
      </c>
      <c r="E1054" s="16" t="str">
        <f>IFERROR(IF([1]对账明细接口!$E$1054=0,"",[1]对账明细接口!$E$1054),"")</f>
        <v/>
      </c>
      <c r="F1054" s="16" t="str">
        <f>IFERROR(IF([1]对账明细接口!$F$1054=0,"",[1]对账明细接口!$F$1054),"")</f>
        <v/>
      </c>
      <c r="G1054" s="16" t="str">
        <f>IFERROR(IF([1]对账明细接口!$G$1054=0,"",[1]对账明细接口!$G$1054),"")</f>
        <v/>
      </c>
      <c r="H1054" s="17" t="str">
        <f>IFERROR(IF([1]对账明细接口!$H$1054=0,"",[1]对账明细接口!$H$1054),"")</f>
        <v/>
      </c>
      <c r="I1054" s="16" t="str">
        <f>IFERROR(IF([1]对账明细接口!$I$1054=0,"",[1]对账明细接口!$I$1054),"")</f>
        <v/>
      </c>
      <c r="J1054" s="18" t="str">
        <f>IFERROR(IF([1]对账明细接口!$J$1054=0,"",[1]对账明细接口!$J$1054),"")</f>
        <v/>
      </c>
      <c r="K1054" s="18" t="str">
        <f>IFERROR(IF([1]对账明细接口!$K$1054=0,"",[1]对账明细接口!$K$1054),"")</f>
        <v/>
      </c>
      <c r="L1054" s="16" t="str">
        <f>IFERROR(IF([1]对账明细接口!$L$1054=0,"",[1]对账明细接口!$L$1054),"")</f>
        <v/>
      </c>
      <c r="M1054" s="16" t="str">
        <f>IFERROR(IF([1]对账明细接口!$M$1054=0,"",[1]对账明细接口!$M$1054),"")</f>
        <v/>
      </c>
      <c r="N1054" s="19">
        <f t="shared" si="32"/>
        <v>0</v>
      </c>
      <c r="O1054" s="19">
        <f t="shared" si="33"/>
        <v>420</v>
      </c>
      <c r="S1054" s="20" t="str">
        <f>IFERROR(IF([1]对账明细接口!$N1054=0,"",[1]对账明细接口!$N1054),"")</f>
        <v/>
      </c>
      <c r="T1054" s="21" t="str">
        <f>IFERROR(IF([1]对账明细接口!$O1054=0,"",[1]对账明细接口!$O1054),"")</f>
        <v/>
      </c>
      <c r="U1054" s="21" t="str">
        <f>IFERROR(IF([1]对账明细接口!$P1054=0,"",[1]对账明细接口!$P1054),"")</f>
        <v/>
      </c>
      <c r="V1054" s="21" t="str">
        <f>IFERROR(IF([1]对账明细接口!$Q1054=0,"",[1]对账明细接口!$Q1054),"")</f>
        <v/>
      </c>
      <c r="W1054" s="20" t="str">
        <f>IFERROR(IF([1]对账明细接口!$R1054=0,"",[1]对账明细接口!$R1054),"")</f>
        <v/>
      </c>
      <c r="X1054" s="20" t="str">
        <f>IFERROR(IF([1]对账明细接口!$S1054=0,"",[1]对账明细接口!$S1054),"")</f>
        <v/>
      </c>
      <c r="Y1054" s="20" t="str">
        <f>IFERROR(IF([1]对账明细接口!$T1054=0,"",[1]对账明细接口!$T1054),"")</f>
        <v/>
      </c>
      <c r="Z1054" s="24" t="str">
        <f>IFERROR(IF([1]对账明细接口!$U1054=0,"",[1]对账明细接口!$U1054),"")</f>
        <v/>
      </c>
      <c r="AA1054" s="24" t="str">
        <f>IFERROR(IF([1]对账明细接口!$V1054=0,"",[1]对账明细接口!$V1054),"")</f>
        <v/>
      </c>
      <c r="AB1054" s="20" t="str">
        <f>IFERROR(IF([1]对账明细接口!$W1054=0,"",[1]对账明细接口!$W1054),"")</f>
        <v/>
      </c>
      <c r="AC1054" s="7" t="str">
        <f>IFERROR(IF([1]对账明细接口!$X1054=0,"",[1]对账明细接口!$X1054),"")</f>
        <v/>
      </c>
      <c r="AD1054" s="7" t="str">
        <f>IFERROR(IF([1]对账明细接口!$Y1054=0,"",[1]对账明细接口!$Y1054),"")</f>
        <v/>
      </c>
      <c r="AE1054" s="7" t="str">
        <f>IFERROR(IF([1]对账明细接口!$AA1054=0,"",[1]对账明细接口!$AA1054),"")</f>
        <v/>
      </c>
      <c r="AF1054" s="7" t="str">
        <f>IFERROR(IF([1]对账明细接口!$AB1054=0,"",[1]对账明细接口!$AB1054),"")</f>
        <v/>
      </c>
      <c r="AG1054" s="7" t="str">
        <f>IFERROR(IF([1]对账明细接口!$AC1054=0,"",[1]对账明细接口!$AC1054),"")</f>
        <v/>
      </c>
      <c r="AH1054" s="7" t="str">
        <f>IFERROR(IF([1]对账明细接口!$AD1054=0,"",[1]对账明细接口!$AD1054),"")</f>
        <v/>
      </c>
      <c r="AI1054" s="7" t="str">
        <f>IFERROR(IF([1]对账明细接口!$AE1054=0,"",[1]对账明细接口!$AE1054),"")</f>
        <v/>
      </c>
      <c r="AJ1054" s="7" t="str">
        <f>IFERROR(IF([1]对账明细接口!$AF1054=0,"",[1]对账明细接口!$AF1054),"")</f>
        <v/>
      </c>
    </row>
    <row r="1055" ht="14.25" customHeight="1" spans="1:36">
      <c r="A1055" s="14">
        <v>1055</v>
      </c>
      <c r="B1055" s="15" t="str">
        <f>IFERROR(IF([1]对账明细接口!$B$1055=0,"",[1]对账明细接口!$B$1055),"")</f>
        <v/>
      </c>
      <c r="C1055" s="16" t="str">
        <f>IFERROR(IF([1]对账明细接口!$C$1055=0,"",[1]对账明细接口!$C$1055),"")</f>
        <v/>
      </c>
      <c r="D1055" s="16" t="str">
        <f>IFERROR(IF([1]对账明细接口!$D$1055=0,"",[1]对账明细接口!$D$1055),"")</f>
        <v/>
      </c>
      <c r="E1055" s="16" t="str">
        <f>IFERROR(IF([1]对账明细接口!$E$1055=0,"",[1]对账明细接口!$E$1055),"")</f>
        <v/>
      </c>
      <c r="F1055" s="16" t="str">
        <f>IFERROR(IF([1]对账明细接口!$F$1055=0,"",[1]对账明细接口!$F$1055),"")</f>
        <v/>
      </c>
      <c r="G1055" s="16" t="str">
        <f>IFERROR(IF([1]对账明细接口!$G$1055=0,"",[1]对账明细接口!$G$1055),"")</f>
        <v/>
      </c>
      <c r="H1055" s="17" t="str">
        <f>IFERROR(IF([1]对账明细接口!$H$1055=0,"",[1]对账明细接口!$H$1055),"")</f>
        <v/>
      </c>
      <c r="I1055" s="16" t="str">
        <f>IFERROR(IF([1]对账明细接口!$I$1055=0,"",[1]对账明细接口!$I$1055),"")</f>
        <v/>
      </c>
      <c r="J1055" s="18" t="str">
        <f>IFERROR(IF([1]对账明细接口!$J$1055=0,"",[1]对账明细接口!$J$1055),"")</f>
        <v/>
      </c>
      <c r="K1055" s="18" t="str">
        <f>IFERROR(IF([1]对账明细接口!$K$1055=0,"",[1]对账明细接口!$K$1055),"")</f>
        <v/>
      </c>
      <c r="L1055" s="16" t="str">
        <f>IFERROR(IF([1]对账明细接口!$L$1055=0,"",[1]对账明细接口!$L$1055),"")</f>
        <v/>
      </c>
      <c r="M1055" s="16" t="str">
        <f>IFERROR(IF([1]对账明细接口!$M$1055=0,"",[1]对账明细接口!$M$1055),"")</f>
        <v/>
      </c>
      <c r="N1055" s="19">
        <f t="shared" si="32"/>
        <v>0</v>
      </c>
      <c r="O1055" s="19">
        <f t="shared" si="33"/>
        <v>420</v>
      </c>
      <c r="S1055" s="20" t="str">
        <f>IFERROR(IF([1]对账明细接口!$N1055=0,"",[1]对账明细接口!$N1055),"")</f>
        <v/>
      </c>
      <c r="T1055" s="21" t="str">
        <f>IFERROR(IF([1]对账明细接口!$O1055=0,"",[1]对账明细接口!$O1055),"")</f>
        <v/>
      </c>
      <c r="U1055" s="21" t="str">
        <f>IFERROR(IF([1]对账明细接口!$P1055=0,"",[1]对账明细接口!$P1055),"")</f>
        <v/>
      </c>
      <c r="V1055" s="21" t="str">
        <f>IFERROR(IF([1]对账明细接口!$Q1055=0,"",[1]对账明细接口!$Q1055),"")</f>
        <v/>
      </c>
      <c r="W1055" s="20" t="str">
        <f>IFERROR(IF([1]对账明细接口!$R1055=0,"",[1]对账明细接口!$R1055),"")</f>
        <v/>
      </c>
      <c r="X1055" s="20" t="str">
        <f>IFERROR(IF([1]对账明细接口!$S1055=0,"",[1]对账明细接口!$S1055),"")</f>
        <v/>
      </c>
      <c r="Y1055" s="20" t="str">
        <f>IFERROR(IF([1]对账明细接口!$T1055=0,"",[1]对账明细接口!$T1055),"")</f>
        <v/>
      </c>
      <c r="Z1055" s="24" t="str">
        <f>IFERROR(IF([1]对账明细接口!$U1055=0,"",[1]对账明细接口!$U1055),"")</f>
        <v/>
      </c>
      <c r="AA1055" s="24" t="str">
        <f>IFERROR(IF([1]对账明细接口!$V1055=0,"",[1]对账明细接口!$V1055),"")</f>
        <v/>
      </c>
      <c r="AB1055" s="20" t="str">
        <f>IFERROR(IF([1]对账明细接口!$W1055=0,"",[1]对账明细接口!$W1055),"")</f>
        <v/>
      </c>
      <c r="AC1055" s="7" t="str">
        <f>IFERROR(IF([1]对账明细接口!$X1055=0,"",[1]对账明细接口!$X1055),"")</f>
        <v/>
      </c>
      <c r="AD1055" s="7" t="str">
        <f>IFERROR(IF([1]对账明细接口!$Y1055=0,"",[1]对账明细接口!$Y1055),"")</f>
        <v/>
      </c>
      <c r="AE1055" s="7" t="str">
        <f>IFERROR(IF([1]对账明细接口!$AA1055=0,"",[1]对账明细接口!$AA1055),"")</f>
        <v/>
      </c>
      <c r="AF1055" s="7" t="str">
        <f>IFERROR(IF([1]对账明细接口!$AB1055=0,"",[1]对账明细接口!$AB1055),"")</f>
        <v/>
      </c>
      <c r="AG1055" s="7" t="str">
        <f>IFERROR(IF([1]对账明细接口!$AC1055=0,"",[1]对账明细接口!$AC1055),"")</f>
        <v/>
      </c>
      <c r="AH1055" s="7" t="str">
        <f>IFERROR(IF([1]对账明细接口!$AD1055=0,"",[1]对账明细接口!$AD1055),"")</f>
        <v/>
      </c>
      <c r="AI1055" s="7" t="str">
        <f>IFERROR(IF([1]对账明细接口!$AE1055=0,"",[1]对账明细接口!$AE1055),"")</f>
        <v/>
      </c>
      <c r="AJ1055" s="7" t="str">
        <f>IFERROR(IF([1]对账明细接口!$AF1055=0,"",[1]对账明细接口!$AF1055),"")</f>
        <v/>
      </c>
    </row>
    <row r="1056" ht="14.25" customHeight="1" spans="1:36">
      <c r="A1056" s="14">
        <v>1056</v>
      </c>
      <c r="B1056" s="15" t="str">
        <f>IFERROR(IF([1]对账明细接口!$B$1056=0,"",[1]对账明细接口!$B$1056),"")</f>
        <v/>
      </c>
      <c r="C1056" s="16" t="str">
        <f>IFERROR(IF([1]对账明细接口!$C$1056=0,"",[1]对账明细接口!$C$1056),"")</f>
        <v/>
      </c>
      <c r="D1056" s="16" t="str">
        <f>IFERROR(IF([1]对账明细接口!$D$1056=0,"",[1]对账明细接口!$D$1056),"")</f>
        <v/>
      </c>
      <c r="E1056" s="16" t="str">
        <f>IFERROR(IF([1]对账明细接口!$E$1056=0,"",[1]对账明细接口!$E$1056),"")</f>
        <v/>
      </c>
      <c r="F1056" s="16" t="str">
        <f>IFERROR(IF([1]对账明细接口!$F$1056=0,"",[1]对账明细接口!$F$1056),"")</f>
        <v/>
      </c>
      <c r="G1056" s="16" t="str">
        <f>IFERROR(IF([1]对账明细接口!$G$1056=0,"",[1]对账明细接口!$G$1056),"")</f>
        <v/>
      </c>
      <c r="H1056" s="17" t="str">
        <f>IFERROR(IF([1]对账明细接口!$H$1056=0,"",[1]对账明细接口!$H$1056),"")</f>
        <v/>
      </c>
      <c r="I1056" s="16" t="str">
        <f>IFERROR(IF([1]对账明细接口!$I$1056=0,"",[1]对账明细接口!$I$1056),"")</f>
        <v/>
      </c>
      <c r="J1056" s="18" t="str">
        <f>IFERROR(IF([1]对账明细接口!$J$1056=0,"",[1]对账明细接口!$J$1056),"")</f>
        <v/>
      </c>
      <c r="K1056" s="18" t="str">
        <f>IFERROR(IF([1]对账明细接口!$K$1056=0,"",[1]对账明细接口!$K$1056),"")</f>
        <v/>
      </c>
      <c r="L1056" s="16" t="str">
        <f>IFERROR(IF([1]对账明细接口!$L$1056=0,"",[1]对账明细接口!$L$1056),"")</f>
        <v/>
      </c>
      <c r="M1056" s="16" t="str">
        <f>IFERROR(IF([1]对账明细接口!$M$1056=0,"",[1]对账明细接口!$M$1056),"")</f>
        <v/>
      </c>
      <c r="N1056" s="19">
        <f t="shared" si="32"/>
        <v>0</v>
      </c>
      <c r="O1056" s="19">
        <f t="shared" si="33"/>
        <v>420</v>
      </c>
      <c r="S1056" s="20" t="str">
        <f>IFERROR(IF([1]对账明细接口!$N1056=0,"",[1]对账明细接口!$N1056),"")</f>
        <v/>
      </c>
      <c r="T1056" s="21" t="str">
        <f>IFERROR(IF([1]对账明细接口!$O1056=0,"",[1]对账明细接口!$O1056),"")</f>
        <v/>
      </c>
      <c r="U1056" s="21" t="str">
        <f>IFERROR(IF([1]对账明细接口!$P1056=0,"",[1]对账明细接口!$P1056),"")</f>
        <v/>
      </c>
      <c r="V1056" s="21" t="str">
        <f>IFERROR(IF([1]对账明细接口!$Q1056=0,"",[1]对账明细接口!$Q1056),"")</f>
        <v/>
      </c>
      <c r="W1056" s="20" t="str">
        <f>IFERROR(IF([1]对账明细接口!$R1056=0,"",[1]对账明细接口!$R1056),"")</f>
        <v/>
      </c>
      <c r="X1056" s="20" t="str">
        <f>IFERROR(IF([1]对账明细接口!$S1056=0,"",[1]对账明细接口!$S1056),"")</f>
        <v/>
      </c>
      <c r="Y1056" s="20" t="str">
        <f>IFERROR(IF([1]对账明细接口!$T1056=0,"",[1]对账明细接口!$T1056),"")</f>
        <v/>
      </c>
      <c r="Z1056" s="24" t="str">
        <f>IFERROR(IF([1]对账明细接口!$U1056=0,"",[1]对账明细接口!$U1056),"")</f>
        <v/>
      </c>
      <c r="AA1056" s="24" t="str">
        <f>IFERROR(IF([1]对账明细接口!$V1056=0,"",[1]对账明细接口!$V1056),"")</f>
        <v/>
      </c>
      <c r="AB1056" s="20" t="str">
        <f>IFERROR(IF([1]对账明细接口!$W1056=0,"",[1]对账明细接口!$W1056),"")</f>
        <v/>
      </c>
      <c r="AC1056" s="7" t="str">
        <f>IFERROR(IF([1]对账明细接口!$X1056=0,"",[1]对账明细接口!$X1056),"")</f>
        <v/>
      </c>
      <c r="AD1056" s="7" t="str">
        <f>IFERROR(IF([1]对账明细接口!$Y1056=0,"",[1]对账明细接口!$Y1056),"")</f>
        <v/>
      </c>
      <c r="AE1056" s="7" t="str">
        <f>IFERROR(IF([1]对账明细接口!$AA1056=0,"",[1]对账明细接口!$AA1056),"")</f>
        <v/>
      </c>
      <c r="AF1056" s="7" t="str">
        <f>IFERROR(IF([1]对账明细接口!$AB1056=0,"",[1]对账明细接口!$AB1056),"")</f>
        <v/>
      </c>
      <c r="AG1056" s="7" t="str">
        <f>IFERROR(IF([1]对账明细接口!$AC1056=0,"",[1]对账明细接口!$AC1056),"")</f>
        <v/>
      </c>
      <c r="AH1056" s="7" t="str">
        <f>IFERROR(IF([1]对账明细接口!$AD1056=0,"",[1]对账明细接口!$AD1056),"")</f>
        <v/>
      </c>
      <c r="AI1056" s="7" t="str">
        <f>IFERROR(IF([1]对账明细接口!$AE1056=0,"",[1]对账明细接口!$AE1056),"")</f>
        <v/>
      </c>
      <c r="AJ1056" s="7" t="str">
        <f>IFERROR(IF([1]对账明细接口!$AF1056=0,"",[1]对账明细接口!$AF1056),"")</f>
        <v/>
      </c>
    </row>
    <row r="1057" ht="14.25" customHeight="1" spans="1:36">
      <c r="A1057" s="14">
        <v>1057</v>
      </c>
      <c r="B1057" s="15" t="str">
        <f>IFERROR(IF([1]对账明细接口!$B$1057=0,"",[1]对账明细接口!$B$1057),"")</f>
        <v/>
      </c>
      <c r="C1057" s="16" t="str">
        <f>IFERROR(IF([1]对账明细接口!$C$1057=0,"",[1]对账明细接口!$C$1057),"")</f>
        <v/>
      </c>
      <c r="D1057" s="16" t="str">
        <f>IFERROR(IF([1]对账明细接口!$D$1057=0,"",[1]对账明细接口!$D$1057),"")</f>
        <v/>
      </c>
      <c r="E1057" s="16" t="str">
        <f>IFERROR(IF([1]对账明细接口!$E$1057=0,"",[1]对账明细接口!$E$1057),"")</f>
        <v/>
      </c>
      <c r="F1057" s="16" t="str">
        <f>IFERROR(IF([1]对账明细接口!$F$1057=0,"",[1]对账明细接口!$F$1057),"")</f>
        <v/>
      </c>
      <c r="G1057" s="16" t="str">
        <f>IFERROR(IF([1]对账明细接口!$G$1057=0,"",[1]对账明细接口!$G$1057),"")</f>
        <v/>
      </c>
      <c r="H1057" s="17" t="str">
        <f>IFERROR(IF([1]对账明细接口!$H$1057=0,"",[1]对账明细接口!$H$1057),"")</f>
        <v/>
      </c>
      <c r="I1057" s="16" t="str">
        <f>IFERROR(IF([1]对账明细接口!$I$1057=0,"",[1]对账明细接口!$I$1057),"")</f>
        <v/>
      </c>
      <c r="J1057" s="18" t="str">
        <f>IFERROR(IF([1]对账明细接口!$J$1057=0,"",[1]对账明细接口!$J$1057),"")</f>
        <v/>
      </c>
      <c r="K1057" s="18" t="str">
        <f>IFERROR(IF([1]对账明细接口!$K$1057=0,"",[1]对账明细接口!$K$1057),"")</f>
        <v/>
      </c>
      <c r="L1057" s="16" t="str">
        <f>IFERROR(IF([1]对账明细接口!$L$1057=0,"",[1]对账明细接口!$L$1057),"")</f>
        <v/>
      </c>
      <c r="M1057" s="16" t="str">
        <f>IFERROR(IF([1]对账明细接口!$M$1057=0,"",[1]对账明细接口!$M$1057),"")</f>
        <v/>
      </c>
      <c r="N1057" s="19">
        <f t="shared" si="32"/>
        <v>0</v>
      </c>
      <c r="O1057" s="19">
        <f t="shared" si="33"/>
        <v>420</v>
      </c>
      <c r="S1057" s="20" t="str">
        <f>IFERROR(IF([1]对账明细接口!$N1057=0,"",[1]对账明细接口!$N1057),"")</f>
        <v/>
      </c>
      <c r="T1057" s="21" t="str">
        <f>IFERROR(IF([1]对账明细接口!$O1057=0,"",[1]对账明细接口!$O1057),"")</f>
        <v/>
      </c>
      <c r="U1057" s="21" t="str">
        <f>IFERROR(IF([1]对账明细接口!$P1057=0,"",[1]对账明细接口!$P1057),"")</f>
        <v/>
      </c>
      <c r="V1057" s="21" t="str">
        <f>IFERROR(IF([1]对账明细接口!$Q1057=0,"",[1]对账明细接口!$Q1057),"")</f>
        <v/>
      </c>
      <c r="W1057" s="20" t="str">
        <f>IFERROR(IF([1]对账明细接口!$R1057=0,"",[1]对账明细接口!$R1057),"")</f>
        <v/>
      </c>
      <c r="X1057" s="20" t="str">
        <f>IFERROR(IF([1]对账明细接口!$S1057=0,"",[1]对账明细接口!$S1057),"")</f>
        <v/>
      </c>
      <c r="Y1057" s="20" t="str">
        <f>IFERROR(IF([1]对账明细接口!$T1057=0,"",[1]对账明细接口!$T1057),"")</f>
        <v/>
      </c>
      <c r="Z1057" s="24" t="str">
        <f>IFERROR(IF([1]对账明细接口!$U1057=0,"",[1]对账明细接口!$U1057),"")</f>
        <v/>
      </c>
      <c r="AA1057" s="24" t="str">
        <f>IFERROR(IF([1]对账明细接口!$V1057=0,"",[1]对账明细接口!$V1057),"")</f>
        <v/>
      </c>
      <c r="AB1057" s="20" t="str">
        <f>IFERROR(IF([1]对账明细接口!$W1057=0,"",[1]对账明细接口!$W1057),"")</f>
        <v/>
      </c>
      <c r="AC1057" s="7" t="str">
        <f>IFERROR(IF([1]对账明细接口!$X1057=0,"",[1]对账明细接口!$X1057),"")</f>
        <v/>
      </c>
      <c r="AD1057" s="7" t="str">
        <f>IFERROR(IF([1]对账明细接口!$Y1057=0,"",[1]对账明细接口!$Y1057),"")</f>
        <v/>
      </c>
      <c r="AE1057" s="7" t="str">
        <f>IFERROR(IF([1]对账明细接口!$AA1057=0,"",[1]对账明细接口!$AA1057),"")</f>
        <v/>
      </c>
      <c r="AF1057" s="7" t="str">
        <f>IFERROR(IF([1]对账明细接口!$AB1057=0,"",[1]对账明细接口!$AB1057),"")</f>
        <v/>
      </c>
      <c r="AG1057" s="7" t="str">
        <f>IFERROR(IF([1]对账明细接口!$AC1057=0,"",[1]对账明细接口!$AC1057),"")</f>
        <v/>
      </c>
      <c r="AH1057" s="7" t="str">
        <f>IFERROR(IF([1]对账明细接口!$AD1057=0,"",[1]对账明细接口!$AD1057),"")</f>
        <v/>
      </c>
      <c r="AI1057" s="7" t="str">
        <f>IFERROR(IF([1]对账明细接口!$AE1057=0,"",[1]对账明细接口!$AE1057),"")</f>
        <v/>
      </c>
      <c r="AJ1057" s="7" t="str">
        <f>IFERROR(IF([1]对账明细接口!$AF1057=0,"",[1]对账明细接口!$AF1057),"")</f>
        <v/>
      </c>
    </row>
    <row r="1058" ht="14.25" customHeight="1" spans="1:36">
      <c r="A1058" s="14">
        <v>1058</v>
      </c>
      <c r="B1058" s="15" t="str">
        <f>IFERROR(IF([1]对账明细接口!$B$1058=0,"",[1]对账明细接口!$B$1058),"")</f>
        <v/>
      </c>
      <c r="C1058" s="16" t="str">
        <f>IFERROR(IF([1]对账明细接口!$C$1058=0,"",[1]对账明细接口!$C$1058),"")</f>
        <v/>
      </c>
      <c r="D1058" s="16" t="str">
        <f>IFERROR(IF([1]对账明细接口!$D$1058=0,"",[1]对账明细接口!$D$1058),"")</f>
        <v/>
      </c>
      <c r="E1058" s="16" t="str">
        <f>IFERROR(IF([1]对账明细接口!$E$1058=0,"",[1]对账明细接口!$E$1058),"")</f>
        <v/>
      </c>
      <c r="F1058" s="16" t="str">
        <f>IFERROR(IF([1]对账明细接口!$F$1058=0,"",[1]对账明细接口!$F$1058),"")</f>
        <v/>
      </c>
      <c r="G1058" s="16" t="str">
        <f>IFERROR(IF([1]对账明细接口!$G$1058=0,"",[1]对账明细接口!$G$1058),"")</f>
        <v/>
      </c>
      <c r="H1058" s="17" t="str">
        <f>IFERROR(IF([1]对账明细接口!$H$1058=0,"",[1]对账明细接口!$H$1058),"")</f>
        <v/>
      </c>
      <c r="I1058" s="16" t="str">
        <f>IFERROR(IF([1]对账明细接口!$I$1058=0,"",[1]对账明细接口!$I$1058),"")</f>
        <v/>
      </c>
      <c r="J1058" s="18" t="str">
        <f>IFERROR(IF([1]对账明细接口!$J$1058=0,"",[1]对账明细接口!$J$1058),"")</f>
        <v/>
      </c>
      <c r="K1058" s="18" t="str">
        <f>IFERROR(IF([1]对账明细接口!$K$1058=0,"",[1]对账明细接口!$K$1058),"")</f>
        <v/>
      </c>
      <c r="L1058" s="16" t="str">
        <f>IFERROR(IF([1]对账明细接口!$L$1058=0,"",[1]对账明细接口!$L$1058),"")</f>
        <v/>
      </c>
      <c r="M1058" s="16" t="str">
        <f>IFERROR(IF([1]对账明细接口!$M$1058=0,"",[1]对账明细接口!$M$1058),"")</f>
        <v/>
      </c>
      <c r="N1058" s="19">
        <f t="shared" si="32"/>
        <v>0</v>
      </c>
      <c r="O1058" s="19">
        <f t="shared" si="33"/>
        <v>420</v>
      </c>
      <c r="S1058" s="20" t="str">
        <f>IFERROR(IF([1]对账明细接口!$N1058=0,"",[1]对账明细接口!$N1058),"")</f>
        <v/>
      </c>
      <c r="T1058" s="21" t="str">
        <f>IFERROR(IF([1]对账明细接口!$O1058=0,"",[1]对账明细接口!$O1058),"")</f>
        <v/>
      </c>
      <c r="U1058" s="21" t="str">
        <f>IFERROR(IF([1]对账明细接口!$P1058=0,"",[1]对账明细接口!$P1058),"")</f>
        <v/>
      </c>
      <c r="V1058" s="21" t="str">
        <f>IFERROR(IF([1]对账明细接口!$Q1058=0,"",[1]对账明细接口!$Q1058),"")</f>
        <v/>
      </c>
      <c r="W1058" s="20" t="str">
        <f>IFERROR(IF([1]对账明细接口!$R1058=0,"",[1]对账明细接口!$R1058),"")</f>
        <v/>
      </c>
      <c r="X1058" s="20" t="str">
        <f>IFERROR(IF([1]对账明细接口!$S1058=0,"",[1]对账明细接口!$S1058),"")</f>
        <v/>
      </c>
      <c r="Y1058" s="20" t="str">
        <f>IFERROR(IF([1]对账明细接口!$T1058=0,"",[1]对账明细接口!$T1058),"")</f>
        <v/>
      </c>
      <c r="Z1058" s="24" t="str">
        <f>IFERROR(IF([1]对账明细接口!$U1058=0,"",[1]对账明细接口!$U1058),"")</f>
        <v/>
      </c>
      <c r="AA1058" s="24" t="str">
        <f>IFERROR(IF([1]对账明细接口!$V1058=0,"",[1]对账明细接口!$V1058),"")</f>
        <v/>
      </c>
      <c r="AB1058" s="20" t="str">
        <f>IFERROR(IF([1]对账明细接口!$W1058=0,"",[1]对账明细接口!$W1058),"")</f>
        <v/>
      </c>
      <c r="AC1058" s="7" t="str">
        <f>IFERROR(IF([1]对账明细接口!$X1058=0,"",[1]对账明细接口!$X1058),"")</f>
        <v/>
      </c>
      <c r="AD1058" s="7" t="str">
        <f>IFERROR(IF([1]对账明细接口!$Y1058=0,"",[1]对账明细接口!$Y1058),"")</f>
        <v/>
      </c>
      <c r="AE1058" s="7" t="str">
        <f>IFERROR(IF([1]对账明细接口!$AA1058=0,"",[1]对账明细接口!$AA1058),"")</f>
        <v/>
      </c>
      <c r="AF1058" s="7" t="str">
        <f>IFERROR(IF([1]对账明细接口!$AB1058=0,"",[1]对账明细接口!$AB1058),"")</f>
        <v/>
      </c>
      <c r="AG1058" s="7" t="str">
        <f>IFERROR(IF([1]对账明细接口!$AC1058=0,"",[1]对账明细接口!$AC1058),"")</f>
        <v/>
      </c>
      <c r="AH1058" s="7" t="str">
        <f>IFERROR(IF([1]对账明细接口!$AD1058=0,"",[1]对账明细接口!$AD1058),"")</f>
        <v/>
      </c>
      <c r="AI1058" s="7" t="str">
        <f>IFERROR(IF([1]对账明细接口!$AE1058=0,"",[1]对账明细接口!$AE1058),"")</f>
        <v/>
      </c>
      <c r="AJ1058" s="7" t="str">
        <f>IFERROR(IF([1]对账明细接口!$AF1058=0,"",[1]对账明细接口!$AF1058),"")</f>
        <v/>
      </c>
    </row>
    <row r="1059" ht="14.25" customHeight="1" spans="1:36">
      <c r="A1059" s="14">
        <v>1059</v>
      </c>
      <c r="B1059" s="15" t="str">
        <f>IFERROR(IF([1]对账明细接口!$B$1059=0,"",[1]对账明细接口!$B$1059),"")</f>
        <v/>
      </c>
      <c r="C1059" s="16" t="str">
        <f>IFERROR(IF([1]对账明细接口!$C$1059=0,"",[1]对账明细接口!$C$1059),"")</f>
        <v/>
      </c>
      <c r="D1059" s="16" t="str">
        <f>IFERROR(IF([1]对账明细接口!$D$1059=0,"",[1]对账明细接口!$D$1059),"")</f>
        <v/>
      </c>
      <c r="E1059" s="16" t="str">
        <f>IFERROR(IF([1]对账明细接口!$E$1059=0,"",[1]对账明细接口!$E$1059),"")</f>
        <v/>
      </c>
      <c r="F1059" s="16" t="str">
        <f>IFERROR(IF([1]对账明细接口!$F$1059=0,"",[1]对账明细接口!$F$1059),"")</f>
        <v/>
      </c>
      <c r="G1059" s="16" t="str">
        <f>IFERROR(IF([1]对账明细接口!$G$1059=0,"",[1]对账明细接口!$G$1059),"")</f>
        <v/>
      </c>
      <c r="H1059" s="17" t="str">
        <f>IFERROR(IF([1]对账明细接口!$H$1059=0,"",[1]对账明细接口!$H$1059),"")</f>
        <v/>
      </c>
      <c r="I1059" s="16" t="str">
        <f>IFERROR(IF([1]对账明细接口!$I$1059=0,"",[1]对账明细接口!$I$1059),"")</f>
        <v/>
      </c>
      <c r="J1059" s="18" t="str">
        <f>IFERROR(IF([1]对账明细接口!$J$1059=0,"",[1]对账明细接口!$J$1059),"")</f>
        <v/>
      </c>
      <c r="K1059" s="18" t="str">
        <f>IFERROR(IF([1]对账明细接口!$K$1059=0,"",[1]对账明细接口!$K$1059),"")</f>
        <v/>
      </c>
      <c r="L1059" s="16" t="str">
        <f>IFERROR(IF([1]对账明细接口!$L$1059=0,"",[1]对账明细接口!$L$1059),"")</f>
        <v/>
      </c>
      <c r="M1059" s="16" t="str">
        <f>IFERROR(IF([1]对账明细接口!$M$1059=0,"",[1]对账明细接口!$M$1059),"")</f>
        <v/>
      </c>
      <c r="N1059" s="19">
        <f t="shared" si="32"/>
        <v>0</v>
      </c>
      <c r="O1059" s="19">
        <f t="shared" si="33"/>
        <v>420</v>
      </c>
      <c r="S1059" s="20" t="str">
        <f>IFERROR(IF([1]对账明细接口!$N1059=0,"",[1]对账明细接口!$N1059),"")</f>
        <v/>
      </c>
      <c r="T1059" s="21" t="str">
        <f>IFERROR(IF([1]对账明细接口!$O1059=0,"",[1]对账明细接口!$O1059),"")</f>
        <v/>
      </c>
      <c r="U1059" s="21" t="str">
        <f>IFERROR(IF([1]对账明细接口!$P1059=0,"",[1]对账明细接口!$P1059),"")</f>
        <v/>
      </c>
      <c r="V1059" s="21" t="str">
        <f>IFERROR(IF([1]对账明细接口!$Q1059=0,"",[1]对账明细接口!$Q1059),"")</f>
        <v/>
      </c>
      <c r="W1059" s="20" t="str">
        <f>IFERROR(IF([1]对账明细接口!$R1059=0,"",[1]对账明细接口!$R1059),"")</f>
        <v/>
      </c>
      <c r="X1059" s="20" t="str">
        <f>IFERROR(IF([1]对账明细接口!$S1059=0,"",[1]对账明细接口!$S1059),"")</f>
        <v/>
      </c>
      <c r="Y1059" s="20" t="str">
        <f>IFERROR(IF([1]对账明细接口!$T1059=0,"",[1]对账明细接口!$T1059),"")</f>
        <v/>
      </c>
      <c r="Z1059" s="24" t="str">
        <f>IFERROR(IF([1]对账明细接口!$U1059=0,"",[1]对账明细接口!$U1059),"")</f>
        <v/>
      </c>
      <c r="AA1059" s="24" t="str">
        <f>IFERROR(IF([1]对账明细接口!$V1059=0,"",[1]对账明细接口!$V1059),"")</f>
        <v/>
      </c>
      <c r="AB1059" s="20" t="str">
        <f>IFERROR(IF([1]对账明细接口!$W1059=0,"",[1]对账明细接口!$W1059),"")</f>
        <v/>
      </c>
      <c r="AC1059" s="7" t="str">
        <f>IFERROR(IF([1]对账明细接口!$X1059=0,"",[1]对账明细接口!$X1059),"")</f>
        <v/>
      </c>
      <c r="AD1059" s="7" t="str">
        <f>IFERROR(IF([1]对账明细接口!$Y1059=0,"",[1]对账明细接口!$Y1059),"")</f>
        <v/>
      </c>
      <c r="AE1059" s="7" t="str">
        <f>IFERROR(IF([1]对账明细接口!$AA1059=0,"",[1]对账明细接口!$AA1059),"")</f>
        <v/>
      </c>
      <c r="AF1059" s="7" t="str">
        <f>IFERROR(IF([1]对账明细接口!$AB1059=0,"",[1]对账明细接口!$AB1059),"")</f>
        <v/>
      </c>
      <c r="AG1059" s="7" t="str">
        <f>IFERROR(IF([1]对账明细接口!$AC1059=0,"",[1]对账明细接口!$AC1059),"")</f>
        <v/>
      </c>
      <c r="AH1059" s="7" t="str">
        <f>IFERROR(IF([1]对账明细接口!$AD1059=0,"",[1]对账明细接口!$AD1059),"")</f>
        <v/>
      </c>
      <c r="AI1059" s="7" t="str">
        <f>IFERROR(IF([1]对账明细接口!$AE1059=0,"",[1]对账明细接口!$AE1059),"")</f>
        <v/>
      </c>
      <c r="AJ1059" s="7" t="str">
        <f>IFERROR(IF([1]对账明细接口!$AF1059=0,"",[1]对账明细接口!$AF1059),"")</f>
        <v/>
      </c>
    </row>
    <row r="1060" ht="14.25" customHeight="1" spans="1:36">
      <c r="A1060" s="14">
        <v>1060</v>
      </c>
      <c r="B1060" s="15" t="str">
        <f>IFERROR(IF([1]对账明细接口!$B$1060=0,"",[1]对账明细接口!$B$1060),"")</f>
        <v/>
      </c>
      <c r="C1060" s="16" t="str">
        <f>IFERROR(IF([1]对账明细接口!$C$1060=0,"",[1]对账明细接口!$C$1060),"")</f>
        <v/>
      </c>
      <c r="D1060" s="16" t="str">
        <f>IFERROR(IF([1]对账明细接口!$D$1060=0,"",[1]对账明细接口!$D$1060),"")</f>
        <v/>
      </c>
      <c r="E1060" s="16" t="str">
        <f>IFERROR(IF([1]对账明细接口!$E$1060=0,"",[1]对账明细接口!$E$1060),"")</f>
        <v/>
      </c>
      <c r="F1060" s="16" t="str">
        <f>IFERROR(IF([1]对账明细接口!$F$1060=0,"",[1]对账明细接口!$F$1060),"")</f>
        <v/>
      </c>
      <c r="G1060" s="16" t="str">
        <f>IFERROR(IF([1]对账明细接口!$G$1060=0,"",[1]对账明细接口!$G$1060),"")</f>
        <v/>
      </c>
      <c r="H1060" s="17" t="str">
        <f>IFERROR(IF([1]对账明细接口!$H$1060=0,"",[1]对账明细接口!$H$1060),"")</f>
        <v/>
      </c>
      <c r="I1060" s="16" t="str">
        <f>IFERROR(IF([1]对账明细接口!$I$1060=0,"",[1]对账明细接口!$I$1060),"")</f>
        <v/>
      </c>
      <c r="J1060" s="18" t="str">
        <f>IFERROR(IF([1]对账明细接口!$J$1060=0,"",[1]对账明细接口!$J$1060),"")</f>
        <v/>
      </c>
      <c r="K1060" s="18" t="str">
        <f>IFERROR(IF([1]对账明细接口!$K$1060=0,"",[1]对账明细接口!$K$1060),"")</f>
        <v/>
      </c>
      <c r="L1060" s="16" t="str">
        <f>IFERROR(IF([1]对账明细接口!$L$1060=0,"",[1]对账明细接口!$L$1060),"")</f>
        <v/>
      </c>
      <c r="M1060" s="16" t="str">
        <f>IFERROR(IF([1]对账明细接口!$M$1060=0,"",[1]对账明细接口!$M$1060),"")</f>
        <v/>
      </c>
      <c r="N1060" s="19">
        <f t="shared" si="32"/>
        <v>0</v>
      </c>
      <c r="O1060" s="19">
        <f t="shared" si="33"/>
        <v>420</v>
      </c>
      <c r="S1060" s="20" t="str">
        <f>IFERROR(IF([1]对账明细接口!$N1060=0,"",[1]对账明细接口!$N1060),"")</f>
        <v/>
      </c>
      <c r="T1060" s="21" t="str">
        <f>IFERROR(IF([1]对账明细接口!$O1060=0,"",[1]对账明细接口!$O1060),"")</f>
        <v/>
      </c>
      <c r="U1060" s="21" t="str">
        <f>IFERROR(IF([1]对账明细接口!$P1060=0,"",[1]对账明细接口!$P1060),"")</f>
        <v/>
      </c>
      <c r="V1060" s="21" t="str">
        <f>IFERROR(IF([1]对账明细接口!$Q1060=0,"",[1]对账明细接口!$Q1060),"")</f>
        <v/>
      </c>
      <c r="W1060" s="20" t="str">
        <f>IFERROR(IF([1]对账明细接口!$R1060=0,"",[1]对账明细接口!$R1060),"")</f>
        <v/>
      </c>
      <c r="X1060" s="20" t="str">
        <f>IFERROR(IF([1]对账明细接口!$S1060=0,"",[1]对账明细接口!$S1060),"")</f>
        <v/>
      </c>
      <c r="Y1060" s="20" t="str">
        <f>IFERROR(IF([1]对账明细接口!$T1060=0,"",[1]对账明细接口!$T1060),"")</f>
        <v/>
      </c>
      <c r="Z1060" s="24" t="str">
        <f>IFERROR(IF([1]对账明细接口!$U1060=0,"",[1]对账明细接口!$U1060),"")</f>
        <v/>
      </c>
      <c r="AA1060" s="24" t="str">
        <f>IFERROR(IF([1]对账明细接口!$V1060=0,"",[1]对账明细接口!$V1060),"")</f>
        <v/>
      </c>
      <c r="AB1060" s="20" t="str">
        <f>IFERROR(IF([1]对账明细接口!$W1060=0,"",[1]对账明细接口!$W1060),"")</f>
        <v/>
      </c>
      <c r="AC1060" s="7" t="str">
        <f>IFERROR(IF([1]对账明细接口!$X1060=0,"",[1]对账明细接口!$X1060),"")</f>
        <v/>
      </c>
      <c r="AD1060" s="7" t="str">
        <f>IFERROR(IF([1]对账明细接口!$Y1060=0,"",[1]对账明细接口!$Y1060),"")</f>
        <v/>
      </c>
      <c r="AE1060" s="7" t="str">
        <f>IFERROR(IF([1]对账明细接口!$AA1060=0,"",[1]对账明细接口!$AA1060),"")</f>
        <v/>
      </c>
      <c r="AF1060" s="7" t="str">
        <f>IFERROR(IF([1]对账明细接口!$AB1060=0,"",[1]对账明细接口!$AB1060),"")</f>
        <v/>
      </c>
      <c r="AG1060" s="7" t="str">
        <f>IFERROR(IF([1]对账明细接口!$AC1060=0,"",[1]对账明细接口!$AC1060),"")</f>
        <v/>
      </c>
      <c r="AH1060" s="7" t="str">
        <f>IFERROR(IF([1]对账明细接口!$AD1060=0,"",[1]对账明细接口!$AD1060),"")</f>
        <v/>
      </c>
      <c r="AI1060" s="7" t="str">
        <f>IFERROR(IF([1]对账明细接口!$AE1060=0,"",[1]对账明细接口!$AE1060),"")</f>
        <v/>
      </c>
      <c r="AJ1060" s="7" t="str">
        <f>IFERROR(IF([1]对账明细接口!$AF1060=0,"",[1]对账明细接口!$AF1060),"")</f>
        <v/>
      </c>
    </row>
    <row r="1061" ht="14.25" customHeight="1" spans="1:36">
      <c r="A1061" s="14">
        <v>1061</v>
      </c>
      <c r="B1061" s="15" t="str">
        <f>IFERROR(IF([1]对账明细接口!$B$1061=0,"",[1]对账明细接口!$B$1061),"")</f>
        <v/>
      </c>
      <c r="C1061" s="16" t="str">
        <f>IFERROR(IF([1]对账明细接口!$C$1061=0,"",[1]对账明细接口!$C$1061),"")</f>
        <v/>
      </c>
      <c r="D1061" s="16" t="str">
        <f>IFERROR(IF([1]对账明细接口!$D$1061=0,"",[1]对账明细接口!$D$1061),"")</f>
        <v/>
      </c>
      <c r="E1061" s="16" t="str">
        <f>IFERROR(IF([1]对账明细接口!$E$1061=0,"",[1]对账明细接口!$E$1061),"")</f>
        <v/>
      </c>
      <c r="F1061" s="16" t="str">
        <f>IFERROR(IF([1]对账明细接口!$F$1061=0,"",[1]对账明细接口!$F$1061),"")</f>
        <v/>
      </c>
      <c r="G1061" s="16" t="str">
        <f>IFERROR(IF([1]对账明细接口!$G$1061=0,"",[1]对账明细接口!$G$1061),"")</f>
        <v/>
      </c>
      <c r="H1061" s="17" t="str">
        <f>IFERROR(IF([1]对账明细接口!$H$1061=0,"",[1]对账明细接口!$H$1061),"")</f>
        <v/>
      </c>
      <c r="I1061" s="16" t="str">
        <f>IFERROR(IF([1]对账明细接口!$I$1061=0,"",[1]对账明细接口!$I$1061),"")</f>
        <v/>
      </c>
      <c r="J1061" s="18" t="str">
        <f>IFERROR(IF([1]对账明细接口!$J$1061=0,"",[1]对账明细接口!$J$1061),"")</f>
        <v/>
      </c>
      <c r="K1061" s="18" t="str">
        <f>IFERROR(IF([1]对账明细接口!$K$1061=0,"",[1]对账明细接口!$K$1061),"")</f>
        <v/>
      </c>
      <c r="L1061" s="16" t="str">
        <f>IFERROR(IF([1]对账明细接口!$L$1061=0,"",[1]对账明细接口!$L$1061),"")</f>
        <v/>
      </c>
      <c r="M1061" s="16" t="str">
        <f>IFERROR(IF([1]对账明细接口!$M$1061=0,"",[1]对账明细接口!$M$1061),"")</f>
        <v/>
      </c>
      <c r="N1061" s="19">
        <f t="shared" si="32"/>
        <v>0</v>
      </c>
      <c r="O1061" s="19">
        <f t="shared" si="33"/>
        <v>420</v>
      </c>
      <c r="S1061" s="20" t="str">
        <f>IFERROR(IF([1]对账明细接口!$N1061=0,"",[1]对账明细接口!$N1061),"")</f>
        <v/>
      </c>
      <c r="T1061" s="21" t="str">
        <f>IFERROR(IF([1]对账明细接口!$O1061=0,"",[1]对账明细接口!$O1061),"")</f>
        <v/>
      </c>
      <c r="U1061" s="21" t="str">
        <f>IFERROR(IF([1]对账明细接口!$P1061=0,"",[1]对账明细接口!$P1061),"")</f>
        <v/>
      </c>
      <c r="V1061" s="21" t="str">
        <f>IFERROR(IF([1]对账明细接口!$Q1061=0,"",[1]对账明细接口!$Q1061),"")</f>
        <v/>
      </c>
      <c r="W1061" s="20" t="str">
        <f>IFERROR(IF([1]对账明细接口!$R1061=0,"",[1]对账明细接口!$R1061),"")</f>
        <v/>
      </c>
      <c r="X1061" s="20" t="str">
        <f>IFERROR(IF([1]对账明细接口!$S1061=0,"",[1]对账明细接口!$S1061),"")</f>
        <v/>
      </c>
      <c r="Y1061" s="20" t="str">
        <f>IFERROR(IF([1]对账明细接口!$T1061=0,"",[1]对账明细接口!$T1061),"")</f>
        <v/>
      </c>
      <c r="Z1061" s="24" t="str">
        <f>IFERROR(IF([1]对账明细接口!$U1061=0,"",[1]对账明细接口!$U1061),"")</f>
        <v/>
      </c>
      <c r="AA1061" s="24" t="str">
        <f>IFERROR(IF([1]对账明细接口!$V1061=0,"",[1]对账明细接口!$V1061),"")</f>
        <v/>
      </c>
      <c r="AB1061" s="20" t="str">
        <f>IFERROR(IF([1]对账明细接口!$W1061=0,"",[1]对账明细接口!$W1061),"")</f>
        <v/>
      </c>
      <c r="AC1061" s="7" t="str">
        <f>IFERROR(IF([1]对账明细接口!$X1061=0,"",[1]对账明细接口!$X1061),"")</f>
        <v/>
      </c>
      <c r="AD1061" s="7" t="str">
        <f>IFERROR(IF([1]对账明细接口!$Y1061=0,"",[1]对账明细接口!$Y1061),"")</f>
        <v/>
      </c>
      <c r="AE1061" s="7" t="str">
        <f>IFERROR(IF([1]对账明细接口!$AA1061=0,"",[1]对账明细接口!$AA1061),"")</f>
        <v/>
      </c>
      <c r="AF1061" s="7" t="str">
        <f>IFERROR(IF([1]对账明细接口!$AB1061=0,"",[1]对账明细接口!$AB1061),"")</f>
        <v/>
      </c>
      <c r="AG1061" s="7" t="str">
        <f>IFERROR(IF([1]对账明细接口!$AC1061=0,"",[1]对账明细接口!$AC1061),"")</f>
        <v/>
      </c>
      <c r="AH1061" s="7" t="str">
        <f>IFERROR(IF([1]对账明细接口!$AD1061=0,"",[1]对账明细接口!$AD1061),"")</f>
        <v/>
      </c>
      <c r="AI1061" s="7" t="str">
        <f>IFERROR(IF([1]对账明细接口!$AE1061=0,"",[1]对账明细接口!$AE1061),"")</f>
        <v/>
      </c>
      <c r="AJ1061" s="7" t="str">
        <f>IFERROR(IF([1]对账明细接口!$AF1061=0,"",[1]对账明细接口!$AF1061),"")</f>
        <v/>
      </c>
    </row>
    <row r="1062" ht="14.25" customHeight="1" spans="1:36">
      <c r="A1062" s="14">
        <v>1062</v>
      </c>
      <c r="B1062" s="15" t="str">
        <f>IFERROR(IF([1]对账明细接口!$B$1062=0,"",[1]对账明细接口!$B$1062),"")</f>
        <v/>
      </c>
      <c r="C1062" s="16" t="str">
        <f>IFERROR(IF([1]对账明细接口!$C$1062=0,"",[1]对账明细接口!$C$1062),"")</f>
        <v/>
      </c>
      <c r="D1062" s="16" t="str">
        <f>IFERROR(IF([1]对账明细接口!$D$1062=0,"",[1]对账明细接口!$D$1062),"")</f>
        <v/>
      </c>
      <c r="E1062" s="16" t="str">
        <f>IFERROR(IF([1]对账明细接口!$E$1062=0,"",[1]对账明细接口!$E$1062),"")</f>
        <v/>
      </c>
      <c r="F1062" s="16" t="str">
        <f>IFERROR(IF([1]对账明细接口!$F$1062=0,"",[1]对账明细接口!$F$1062),"")</f>
        <v/>
      </c>
      <c r="G1062" s="16" t="str">
        <f>IFERROR(IF([1]对账明细接口!$G$1062=0,"",[1]对账明细接口!$G$1062),"")</f>
        <v/>
      </c>
      <c r="H1062" s="17" t="str">
        <f>IFERROR(IF([1]对账明细接口!$H$1062=0,"",[1]对账明细接口!$H$1062),"")</f>
        <v/>
      </c>
      <c r="I1062" s="16" t="str">
        <f>IFERROR(IF([1]对账明细接口!$I$1062=0,"",[1]对账明细接口!$I$1062),"")</f>
        <v/>
      </c>
      <c r="J1062" s="18" t="str">
        <f>IFERROR(IF([1]对账明细接口!$J$1062=0,"",[1]对账明细接口!$J$1062),"")</f>
        <v/>
      </c>
      <c r="K1062" s="18" t="str">
        <f>IFERROR(IF([1]对账明细接口!$K$1062=0,"",[1]对账明细接口!$K$1062),"")</f>
        <v/>
      </c>
      <c r="L1062" s="16" t="str">
        <f>IFERROR(IF([1]对账明细接口!$L$1062=0,"",[1]对账明细接口!$L$1062),"")</f>
        <v/>
      </c>
      <c r="M1062" s="16" t="str">
        <f>IFERROR(IF([1]对账明细接口!$M$1062=0,"",[1]对账明细接口!$M$1062),"")</f>
        <v/>
      </c>
      <c r="N1062" s="19">
        <f t="shared" si="32"/>
        <v>0</v>
      </c>
      <c r="O1062" s="19">
        <f t="shared" si="33"/>
        <v>420</v>
      </c>
      <c r="S1062" s="20" t="str">
        <f>IFERROR(IF([1]对账明细接口!$N1062=0,"",[1]对账明细接口!$N1062),"")</f>
        <v/>
      </c>
      <c r="T1062" s="21" t="str">
        <f>IFERROR(IF([1]对账明细接口!$O1062=0,"",[1]对账明细接口!$O1062),"")</f>
        <v/>
      </c>
      <c r="U1062" s="21" t="str">
        <f>IFERROR(IF([1]对账明细接口!$P1062=0,"",[1]对账明细接口!$P1062),"")</f>
        <v/>
      </c>
      <c r="V1062" s="21" t="str">
        <f>IFERROR(IF([1]对账明细接口!$Q1062=0,"",[1]对账明细接口!$Q1062),"")</f>
        <v/>
      </c>
      <c r="W1062" s="20" t="str">
        <f>IFERROR(IF([1]对账明细接口!$R1062=0,"",[1]对账明细接口!$R1062),"")</f>
        <v/>
      </c>
      <c r="X1062" s="20" t="str">
        <f>IFERROR(IF([1]对账明细接口!$S1062=0,"",[1]对账明细接口!$S1062),"")</f>
        <v/>
      </c>
      <c r="Y1062" s="20" t="str">
        <f>IFERROR(IF([1]对账明细接口!$T1062=0,"",[1]对账明细接口!$T1062),"")</f>
        <v/>
      </c>
      <c r="Z1062" s="24" t="str">
        <f>IFERROR(IF([1]对账明细接口!$U1062=0,"",[1]对账明细接口!$U1062),"")</f>
        <v/>
      </c>
      <c r="AA1062" s="24" t="str">
        <f>IFERROR(IF([1]对账明细接口!$V1062=0,"",[1]对账明细接口!$V1062),"")</f>
        <v/>
      </c>
      <c r="AB1062" s="20" t="str">
        <f>IFERROR(IF([1]对账明细接口!$W1062=0,"",[1]对账明细接口!$W1062),"")</f>
        <v/>
      </c>
      <c r="AC1062" s="7" t="str">
        <f>IFERROR(IF([1]对账明细接口!$X1062=0,"",[1]对账明细接口!$X1062),"")</f>
        <v/>
      </c>
      <c r="AD1062" s="7" t="str">
        <f>IFERROR(IF([1]对账明细接口!$Y1062=0,"",[1]对账明细接口!$Y1062),"")</f>
        <v/>
      </c>
      <c r="AE1062" s="7" t="str">
        <f>IFERROR(IF([1]对账明细接口!$AA1062=0,"",[1]对账明细接口!$AA1062),"")</f>
        <v/>
      </c>
      <c r="AF1062" s="7" t="str">
        <f>IFERROR(IF([1]对账明细接口!$AB1062=0,"",[1]对账明细接口!$AB1062),"")</f>
        <v/>
      </c>
      <c r="AG1062" s="7" t="str">
        <f>IFERROR(IF([1]对账明细接口!$AC1062=0,"",[1]对账明细接口!$AC1062),"")</f>
        <v/>
      </c>
      <c r="AH1062" s="7" t="str">
        <f>IFERROR(IF([1]对账明细接口!$AD1062=0,"",[1]对账明细接口!$AD1062),"")</f>
        <v/>
      </c>
      <c r="AI1062" s="7" t="str">
        <f>IFERROR(IF([1]对账明细接口!$AE1062=0,"",[1]对账明细接口!$AE1062),"")</f>
        <v/>
      </c>
      <c r="AJ1062" s="7" t="str">
        <f>IFERROR(IF([1]对账明细接口!$AF1062=0,"",[1]对账明细接口!$AF1062),"")</f>
        <v/>
      </c>
    </row>
    <row r="1063" ht="14.25" customHeight="1" spans="1:36">
      <c r="A1063" s="14">
        <v>1063</v>
      </c>
      <c r="B1063" s="15" t="str">
        <f>IFERROR(IF([1]对账明细接口!$B$1063=0,"",[1]对账明细接口!$B$1063),"")</f>
        <v/>
      </c>
      <c r="C1063" s="16" t="str">
        <f>IFERROR(IF([1]对账明细接口!$C$1063=0,"",[1]对账明细接口!$C$1063),"")</f>
        <v/>
      </c>
      <c r="D1063" s="16" t="str">
        <f>IFERROR(IF([1]对账明细接口!$D$1063=0,"",[1]对账明细接口!$D$1063),"")</f>
        <v/>
      </c>
      <c r="E1063" s="16" t="str">
        <f>IFERROR(IF([1]对账明细接口!$E$1063=0,"",[1]对账明细接口!$E$1063),"")</f>
        <v/>
      </c>
      <c r="F1063" s="16" t="str">
        <f>IFERROR(IF([1]对账明细接口!$F$1063=0,"",[1]对账明细接口!$F$1063),"")</f>
        <v/>
      </c>
      <c r="G1063" s="16" t="str">
        <f>IFERROR(IF([1]对账明细接口!$G$1063=0,"",[1]对账明细接口!$G$1063),"")</f>
        <v/>
      </c>
      <c r="H1063" s="17" t="str">
        <f>IFERROR(IF([1]对账明细接口!$H$1063=0,"",[1]对账明细接口!$H$1063),"")</f>
        <v/>
      </c>
      <c r="I1063" s="16" t="str">
        <f>IFERROR(IF([1]对账明细接口!$I$1063=0,"",[1]对账明细接口!$I$1063),"")</f>
        <v/>
      </c>
      <c r="J1063" s="18" t="str">
        <f>IFERROR(IF([1]对账明细接口!$J$1063=0,"",[1]对账明细接口!$J$1063),"")</f>
        <v/>
      </c>
      <c r="K1063" s="18" t="str">
        <f>IFERROR(IF([1]对账明细接口!$K$1063=0,"",[1]对账明细接口!$K$1063),"")</f>
        <v/>
      </c>
      <c r="L1063" s="16" t="str">
        <f>IFERROR(IF([1]对账明细接口!$L$1063=0,"",[1]对账明细接口!$L$1063),"")</f>
        <v/>
      </c>
      <c r="M1063" s="16" t="str">
        <f>IFERROR(IF([1]对账明细接口!$M$1063=0,"",[1]对账明细接口!$M$1063),"")</f>
        <v/>
      </c>
      <c r="N1063" s="19">
        <f t="shared" si="32"/>
        <v>0</v>
      </c>
      <c r="O1063" s="19">
        <f t="shared" si="33"/>
        <v>420</v>
      </c>
      <c r="S1063" s="20" t="str">
        <f>IFERROR(IF([1]对账明细接口!$N1063=0,"",[1]对账明细接口!$N1063),"")</f>
        <v/>
      </c>
      <c r="T1063" s="21" t="str">
        <f>IFERROR(IF([1]对账明细接口!$O1063=0,"",[1]对账明细接口!$O1063),"")</f>
        <v/>
      </c>
      <c r="U1063" s="21" t="str">
        <f>IFERROR(IF([1]对账明细接口!$P1063=0,"",[1]对账明细接口!$P1063),"")</f>
        <v/>
      </c>
      <c r="V1063" s="21" t="str">
        <f>IFERROR(IF([1]对账明细接口!$Q1063=0,"",[1]对账明细接口!$Q1063),"")</f>
        <v/>
      </c>
      <c r="W1063" s="20" t="str">
        <f>IFERROR(IF([1]对账明细接口!$R1063=0,"",[1]对账明细接口!$R1063),"")</f>
        <v/>
      </c>
      <c r="X1063" s="20" t="str">
        <f>IFERROR(IF([1]对账明细接口!$S1063=0,"",[1]对账明细接口!$S1063),"")</f>
        <v/>
      </c>
      <c r="Y1063" s="20" t="str">
        <f>IFERROR(IF([1]对账明细接口!$T1063=0,"",[1]对账明细接口!$T1063),"")</f>
        <v/>
      </c>
      <c r="Z1063" s="24" t="str">
        <f>IFERROR(IF([1]对账明细接口!$U1063=0,"",[1]对账明细接口!$U1063),"")</f>
        <v/>
      </c>
      <c r="AA1063" s="24" t="str">
        <f>IFERROR(IF([1]对账明细接口!$V1063=0,"",[1]对账明细接口!$V1063),"")</f>
        <v/>
      </c>
      <c r="AB1063" s="20" t="str">
        <f>IFERROR(IF([1]对账明细接口!$W1063=0,"",[1]对账明细接口!$W1063),"")</f>
        <v/>
      </c>
      <c r="AC1063" s="7" t="str">
        <f>IFERROR(IF([1]对账明细接口!$X1063=0,"",[1]对账明细接口!$X1063),"")</f>
        <v/>
      </c>
      <c r="AD1063" s="7" t="str">
        <f>IFERROR(IF([1]对账明细接口!$Y1063=0,"",[1]对账明细接口!$Y1063),"")</f>
        <v/>
      </c>
      <c r="AE1063" s="7" t="str">
        <f>IFERROR(IF([1]对账明细接口!$AA1063=0,"",[1]对账明细接口!$AA1063),"")</f>
        <v/>
      </c>
      <c r="AF1063" s="7" t="str">
        <f>IFERROR(IF([1]对账明细接口!$AB1063=0,"",[1]对账明细接口!$AB1063),"")</f>
        <v/>
      </c>
      <c r="AG1063" s="7" t="str">
        <f>IFERROR(IF([1]对账明细接口!$AC1063=0,"",[1]对账明细接口!$AC1063),"")</f>
        <v/>
      </c>
      <c r="AH1063" s="7" t="str">
        <f>IFERROR(IF([1]对账明细接口!$AD1063=0,"",[1]对账明细接口!$AD1063),"")</f>
        <v/>
      </c>
      <c r="AI1063" s="7" t="str">
        <f>IFERROR(IF([1]对账明细接口!$AE1063=0,"",[1]对账明细接口!$AE1063),"")</f>
        <v/>
      </c>
      <c r="AJ1063" s="7" t="str">
        <f>IFERROR(IF([1]对账明细接口!$AF1063=0,"",[1]对账明细接口!$AF1063),"")</f>
        <v/>
      </c>
    </row>
    <row r="1064" ht="14.25" customHeight="1" spans="1:36">
      <c r="A1064" s="14">
        <v>1064</v>
      </c>
      <c r="B1064" s="15" t="str">
        <f>IFERROR(IF([1]对账明细接口!$B$1064=0,"",[1]对账明细接口!$B$1064),"")</f>
        <v/>
      </c>
      <c r="C1064" s="16" t="str">
        <f>IFERROR(IF([1]对账明细接口!$C$1064=0,"",[1]对账明细接口!$C$1064),"")</f>
        <v/>
      </c>
      <c r="D1064" s="16" t="str">
        <f>IFERROR(IF([1]对账明细接口!$D$1064=0,"",[1]对账明细接口!$D$1064),"")</f>
        <v/>
      </c>
      <c r="E1064" s="16" t="str">
        <f>IFERROR(IF([1]对账明细接口!$E$1064=0,"",[1]对账明细接口!$E$1064),"")</f>
        <v/>
      </c>
      <c r="F1064" s="16" t="str">
        <f>IFERROR(IF([1]对账明细接口!$F$1064=0,"",[1]对账明细接口!$F$1064),"")</f>
        <v/>
      </c>
      <c r="G1064" s="16" t="str">
        <f>IFERROR(IF([1]对账明细接口!$G$1064=0,"",[1]对账明细接口!$G$1064),"")</f>
        <v/>
      </c>
      <c r="H1064" s="17" t="str">
        <f>IFERROR(IF([1]对账明细接口!$H$1064=0,"",[1]对账明细接口!$H$1064),"")</f>
        <v/>
      </c>
      <c r="I1064" s="16" t="str">
        <f>IFERROR(IF([1]对账明细接口!$I$1064=0,"",[1]对账明细接口!$I$1064),"")</f>
        <v/>
      </c>
      <c r="J1064" s="18" t="str">
        <f>IFERROR(IF([1]对账明细接口!$J$1064=0,"",[1]对账明细接口!$J$1064),"")</f>
        <v/>
      </c>
      <c r="K1064" s="18" t="str">
        <f>IFERROR(IF([1]对账明细接口!$K$1064=0,"",[1]对账明细接口!$K$1064),"")</f>
        <v/>
      </c>
      <c r="L1064" s="16" t="str">
        <f>IFERROR(IF([1]对账明细接口!$L$1064=0,"",[1]对账明细接口!$L$1064),"")</f>
        <v/>
      </c>
      <c r="M1064" s="16" t="str">
        <f>IFERROR(IF([1]对账明细接口!$M$1064=0,"",[1]对账明细接口!$M$1064),"")</f>
        <v/>
      </c>
      <c r="N1064" s="19">
        <f t="shared" si="32"/>
        <v>0</v>
      </c>
      <c r="O1064" s="19">
        <f t="shared" si="33"/>
        <v>420</v>
      </c>
      <c r="S1064" s="20" t="str">
        <f>IFERROR(IF([1]对账明细接口!$N1064=0,"",[1]对账明细接口!$N1064),"")</f>
        <v/>
      </c>
      <c r="T1064" s="21" t="str">
        <f>IFERROR(IF([1]对账明细接口!$O1064=0,"",[1]对账明细接口!$O1064),"")</f>
        <v/>
      </c>
      <c r="U1064" s="21" t="str">
        <f>IFERROR(IF([1]对账明细接口!$P1064=0,"",[1]对账明细接口!$P1064),"")</f>
        <v/>
      </c>
      <c r="V1064" s="21" t="str">
        <f>IFERROR(IF([1]对账明细接口!$Q1064=0,"",[1]对账明细接口!$Q1064),"")</f>
        <v/>
      </c>
      <c r="W1064" s="20" t="str">
        <f>IFERROR(IF([1]对账明细接口!$R1064=0,"",[1]对账明细接口!$R1064),"")</f>
        <v/>
      </c>
      <c r="X1064" s="20" t="str">
        <f>IFERROR(IF([1]对账明细接口!$S1064=0,"",[1]对账明细接口!$S1064),"")</f>
        <v/>
      </c>
      <c r="Y1064" s="20" t="str">
        <f>IFERROR(IF([1]对账明细接口!$T1064=0,"",[1]对账明细接口!$T1064),"")</f>
        <v/>
      </c>
      <c r="Z1064" s="24" t="str">
        <f>IFERROR(IF([1]对账明细接口!$U1064=0,"",[1]对账明细接口!$U1064),"")</f>
        <v/>
      </c>
      <c r="AA1064" s="24" t="str">
        <f>IFERROR(IF([1]对账明细接口!$V1064=0,"",[1]对账明细接口!$V1064),"")</f>
        <v/>
      </c>
      <c r="AB1064" s="20" t="str">
        <f>IFERROR(IF([1]对账明细接口!$W1064=0,"",[1]对账明细接口!$W1064),"")</f>
        <v/>
      </c>
      <c r="AC1064" s="7" t="str">
        <f>IFERROR(IF([1]对账明细接口!$X1064=0,"",[1]对账明细接口!$X1064),"")</f>
        <v/>
      </c>
      <c r="AD1064" s="7" t="str">
        <f>IFERROR(IF([1]对账明细接口!$Y1064=0,"",[1]对账明细接口!$Y1064),"")</f>
        <v/>
      </c>
      <c r="AE1064" s="7" t="str">
        <f>IFERROR(IF([1]对账明细接口!$AA1064=0,"",[1]对账明细接口!$AA1064),"")</f>
        <v/>
      </c>
      <c r="AF1064" s="7" t="str">
        <f>IFERROR(IF([1]对账明细接口!$AB1064=0,"",[1]对账明细接口!$AB1064),"")</f>
        <v/>
      </c>
      <c r="AG1064" s="7" t="str">
        <f>IFERROR(IF([1]对账明细接口!$AC1064=0,"",[1]对账明细接口!$AC1064),"")</f>
        <v/>
      </c>
      <c r="AH1064" s="7" t="str">
        <f>IFERROR(IF([1]对账明细接口!$AD1064=0,"",[1]对账明细接口!$AD1064),"")</f>
        <v/>
      </c>
      <c r="AI1064" s="7" t="str">
        <f>IFERROR(IF([1]对账明细接口!$AE1064=0,"",[1]对账明细接口!$AE1064),"")</f>
        <v/>
      </c>
      <c r="AJ1064" s="7" t="str">
        <f>IFERROR(IF([1]对账明细接口!$AF1064=0,"",[1]对账明细接口!$AF1064),"")</f>
        <v/>
      </c>
    </row>
    <row r="1065" ht="14.25" customHeight="1" spans="1:36">
      <c r="A1065" s="14">
        <v>1065</v>
      </c>
      <c r="B1065" s="15" t="str">
        <f>IFERROR(IF([1]对账明细接口!$B$1065=0,"",[1]对账明细接口!$B$1065),"")</f>
        <v/>
      </c>
      <c r="C1065" s="16" t="str">
        <f>IFERROR(IF([1]对账明细接口!$C$1065=0,"",[1]对账明细接口!$C$1065),"")</f>
        <v/>
      </c>
      <c r="D1065" s="16" t="str">
        <f>IFERROR(IF([1]对账明细接口!$D$1065=0,"",[1]对账明细接口!$D$1065),"")</f>
        <v/>
      </c>
      <c r="E1065" s="16" t="str">
        <f>IFERROR(IF([1]对账明细接口!$E$1065=0,"",[1]对账明细接口!$E$1065),"")</f>
        <v/>
      </c>
      <c r="F1065" s="16" t="str">
        <f>IFERROR(IF([1]对账明细接口!$F$1065=0,"",[1]对账明细接口!$F$1065),"")</f>
        <v/>
      </c>
      <c r="G1065" s="16" t="str">
        <f>IFERROR(IF([1]对账明细接口!$G$1065=0,"",[1]对账明细接口!$G$1065),"")</f>
        <v/>
      </c>
      <c r="H1065" s="17" t="str">
        <f>IFERROR(IF([1]对账明细接口!$H$1065=0,"",[1]对账明细接口!$H$1065),"")</f>
        <v/>
      </c>
      <c r="I1065" s="16" t="str">
        <f>IFERROR(IF([1]对账明细接口!$I$1065=0,"",[1]对账明细接口!$I$1065),"")</f>
        <v/>
      </c>
      <c r="J1065" s="18" t="str">
        <f>IFERROR(IF([1]对账明细接口!$J$1065=0,"",[1]对账明细接口!$J$1065),"")</f>
        <v/>
      </c>
      <c r="K1065" s="18" t="str">
        <f>IFERROR(IF([1]对账明细接口!$K$1065=0,"",[1]对账明细接口!$K$1065),"")</f>
        <v/>
      </c>
      <c r="L1065" s="16" t="str">
        <f>IFERROR(IF([1]对账明细接口!$L$1065=0,"",[1]对账明细接口!$L$1065),"")</f>
        <v/>
      </c>
      <c r="M1065" s="16" t="str">
        <f>IFERROR(IF([1]对账明细接口!$M$1065=0,"",[1]对账明细接口!$M$1065),"")</f>
        <v/>
      </c>
      <c r="N1065" s="19">
        <f t="shared" si="32"/>
        <v>0</v>
      </c>
      <c r="O1065" s="19">
        <f t="shared" si="33"/>
        <v>420</v>
      </c>
      <c r="S1065" s="20" t="str">
        <f>IFERROR(IF([1]对账明细接口!$N1065=0,"",[1]对账明细接口!$N1065),"")</f>
        <v/>
      </c>
      <c r="T1065" s="21" t="str">
        <f>IFERROR(IF([1]对账明细接口!$O1065=0,"",[1]对账明细接口!$O1065),"")</f>
        <v/>
      </c>
      <c r="U1065" s="21" t="str">
        <f>IFERROR(IF([1]对账明细接口!$P1065=0,"",[1]对账明细接口!$P1065),"")</f>
        <v/>
      </c>
      <c r="V1065" s="21" t="str">
        <f>IFERROR(IF([1]对账明细接口!$Q1065=0,"",[1]对账明细接口!$Q1065),"")</f>
        <v/>
      </c>
      <c r="W1065" s="20" t="str">
        <f>IFERROR(IF([1]对账明细接口!$R1065=0,"",[1]对账明细接口!$R1065),"")</f>
        <v/>
      </c>
      <c r="X1065" s="20" t="str">
        <f>IFERROR(IF([1]对账明细接口!$S1065=0,"",[1]对账明细接口!$S1065),"")</f>
        <v/>
      </c>
      <c r="Y1065" s="20" t="str">
        <f>IFERROR(IF([1]对账明细接口!$T1065=0,"",[1]对账明细接口!$T1065),"")</f>
        <v/>
      </c>
      <c r="Z1065" s="24" t="str">
        <f>IFERROR(IF([1]对账明细接口!$U1065=0,"",[1]对账明细接口!$U1065),"")</f>
        <v/>
      </c>
      <c r="AA1065" s="24" t="str">
        <f>IFERROR(IF([1]对账明细接口!$V1065=0,"",[1]对账明细接口!$V1065),"")</f>
        <v/>
      </c>
      <c r="AB1065" s="20" t="str">
        <f>IFERROR(IF([1]对账明细接口!$W1065=0,"",[1]对账明细接口!$W1065),"")</f>
        <v/>
      </c>
      <c r="AC1065" s="7" t="str">
        <f>IFERROR(IF([1]对账明细接口!$X1065=0,"",[1]对账明细接口!$X1065),"")</f>
        <v/>
      </c>
      <c r="AD1065" s="7" t="str">
        <f>IFERROR(IF([1]对账明细接口!$Y1065=0,"",[1]对账明细接口!$Y1065),"")</f>
        <v/>
      </c>
      <c r="AE1065" s="7" t="str">
        <f>IFERROR(IF([1]对账明细接口!$AA1065=0,"",[1]对账明细接口!$AA1065),"")</f>
        <v/>
      </c>
      <c r="AF1065" s="7" t="str">
        <f>IFERROR(IF([1]对账明细接口!$AB1065=0,"",[1]对账明细接口!$AB1065),"")</f>
        <v/>
      </c>
      <c r="AG1065" s="7" t="str">
        <f>IFERROR(IF([1]对账明细接口!$AC1065=0,"",[1]对账明细接口!$AC1065),"")</f>
        <v/>
      </c>
      <c r="AH1065" s="7" t="str">
        <f>IFERROR(IF([1]对账明细接口!$AD1065=0,"",[1]对账明细接口!$AD1065),"")</f>
        <v/>
      </c>
      <c r="AI1065" s="7" t="str">
        <f>IFERROR(IF([1]对账明细接口!$AE1065=0,"",[1]对账明细接口!$AE1065),"")</f>
        <v/>
      </c>
      <c r="AJ1065" s="7" t="str">
        <f>IFERROR(IF([1]对账明细接口!$AF1065=0,"",[1]对账明细接口!$AF1065),"")</f>
        <v/>
      </c>
    </row>
    <row r="1066" ht="14.25" customHeight="1" spans="1:36">
      <c r="A1066" s="14">
        <v>1066</v>
      </c>
      <c r="B1066" s="15" t="str">
        <f>IFERROR(IF([1]对账明细接口!$B$1066=0,"",[1]对账明细接口!$B$1066),"")</f>
        <v/>
      </c>
      <c r="C1066" s="16" t="str">
        <f>IFERROR(IF([1]对账明细接口!$C$1066=0,"",[1]对账明细接口!$C$1066),"")</f>
        <v/>
      </c>
      <c r="D1066" s="16" t="str">
        <f>IFERROR(IF([1]对账明细接口!$D$1066=0,"",[1]对账明细接口!$D$1066),"")</f>
        <v/>
      </c>
      <c r="E1066" s="16" t="str">
        <f>IFERROR(IF([1]对账明细接口!$E$1066=0,"",[1]对账明细接口!$E$1066),"")</f>
        <v/>
      </c>
      <c r="F1066" s="16" t="str">
        <f>IFERROR(IF([1]对账明细接口!$F$1066=0,"",[1]对账明细接口!$F$1066),"")</f>
        <v/>
      </c>
      <c r="G1066" s="16" t="str">
        <f>IFERROR(IF([1]对账明细接口!$G$1066=0,"",[1]对账明细接口!$G$1066),"")</f>
        <v/>
      </c>
      <c r="H1066" s="17" t="str">
        <f>IFERROR(IF([1]对账明细接口!$H$1066=0,"",[1]对账明细接口!$H$1066),"")</f>
        <v/>
      </c>
      <c r="I1066" s="16" t="str">
        <f>IFERROR(IF([1]对账明细接口!$I$1066=0,"",[1]对账明细接口!$I$1066),"")</f>
        <v/>
      </c>
      <c r="J1066" s="18" t="str">
        <f>IFERROR(IF([1]对账明细接口!$J$1066=0,"",[1]对账明细接口!$J$1066),"")</f>
        <v/>
      </c>
      <c r="K1066" s="18" t="str">
        <f>IFERROR(IF([1]对账明细接口!$K$1066=0,"",[1]对账明细接口!$K$1066),"")</f>
        <v/>
      </c>
      <c r="L1066" s="16" t="str">
        <f>IFERROR(IF([1]对账明细接口!$L$1066=0,"",[1]对账明细接口!$L$1066),"")</f>
        <v/>
      </c>
      <c r="M1066" s="16" t="str">
        <f>IFERROR(IF([1]对账明细接口!$M$1066=0,"",[1]对账明细接口!$M$1066),"")</f>
        <v/>
      </c>
      <c r="N1066" s="19">
        <f t="shared" si="32"/>
        <v>0</v>
      </c>
      <c r="O1066" s="19">
        <f t="shared" si="33"/>
        <v>420</v>
      </c>
      <c r="S1066" s="20" t="str">
        <f>IFERROR(IF([1]对账明细接口!$N1066=0,"",[1]对账明细接口!$N1066),"")</f>
        <v/>
      </c>
      <c r="T1066" s="21" t="str">
        <f>IFERROR(IF([1]对账明细接口!$O1066=0,"",[1]对账明细接口!$O1066),"")</f>
        <v/>
      </c>
      <c r="U1066" s="21" t="str">
        <f>IFERROR(IF([1]对账明细接口!$P1066=0,"",[1]对账明细接口!$P1066),"")</f>
        <v/>
      </c>
      <c r="V1066" s="21" t="str">
        <f>IFERROR(IF([1]对账明细接口!$Q1066=0,"",[1]对账明细接口!$Q1066),"")</f>
        <v/>
      </c>
      <c r="W1066" s="20" t="str">
        <f>IFERROR(IF([1]对账明细接口!$R1066=0,"",[1]对账明细接口!$R1066),"")</f>
        <v/>
      </c>
      <c r="X1066" s="20" t="str">
        <f>IFERROR(IF([1]对账明细接口!$S1066=0,"",[1]对账明细接口!$S1066),"")</f>
        <v/>
      </c>
      <c r="Y1066" s="20" t="str">
        <f>IFERROR(IF([1]对账明细接口!$T1066=0,"",[1]对账明细接口!$T1066),"")</f>
        <v/>
      </c>
      <c r="Z1066" s="24" t="str">
        <f>IFERROR(IF([1]对账明细接口!$U1066=0,"",[1]对账明细接口!$U1066),"")</f>
        <v/>
      </c>
      <c r="AA1066" s="24" t="str">
        <f>IFERROR(IF([1]对账明细接口!$V1066=0,"",[1]对账明细接口!$V1066),"")</f>
        <v/>
      </c>
      <c r="AB1066" s="20" t="str">
        <f>IFERROR(IF([1]对账明细接口!$W1066=0,"",[1]对账明细接口!$W1066),"")</f>
        <v/>
      </c>
      <c r="AC1066" s="7" t="str">
        <f>IFERROR(IF([1]对账明细接口!$X1066=0,"",[1]对账明细接口!$X1066),"")</f>
        <v/>
      </c>
      <c r="AD1066" s="7" t="str">
        <f>IFERROR(IF([1]对账明细接口!$Y1066=0,"",[1]对账明细接口!$Y1066),"")</f>
        <v/>
      </c>
      <c r="AE1066" s="7" t="str">
        <f>IFERROR(IF([1]对账明细接口!$AA1066=0,"",[1]对账明细接口!$AA1066),"")</f>
        <v/>
      </c>
      <c r="AF1066" s="7" t="str">
        <f>IFERROR(IF([1]对账明细接口!$AB1066=0,"",[1]对账明细接口!$AB1066),"")</f>
        <v/>
      </c>
      <c r="AG1066" s="7" t="str">
        <f>IFERROR(IF([1]对账明细接口!$AC1066=0,"",[1]对账明细接口!$AC1066),"")</f>
        <v/>
      </c>
      <c r="AH1066" s="7" t="str">
        <f>IFERROR(IF([1]对账明细接口!$AD1066=0,"",[1]对账明细接口!$AD1066),"")</f>
        <v/>
      </c>
      <c r="AI1066" s="7" t="str">
        <f>IFERROR(IF([1]对账明细接口!$AE1066=0,"",[1]对账明细接口!$AE1066),"")</f>
        <v/>
      </c>
      <c r="AJ1066" s="7" t="str">
        <f>IFERROR(IF([1]对账明细接口!$AF1066=0,"",[1]对账明细接口!$AF1066),"")</f>
        <v/>
      </c>
    </row>
    <row r="1067" ht="14.25" customHeight="1" spans="1:36">
      <c r="A1067" s="14">
        <v>1067</v>
      </c>
      <c r="B1067" s="15" t="str">
        <f>IFERROR(IF([1]对账明细接口!$B$1067=0,"",[1]对账明细接口!$B$1067),"")</f>
        <v/>
      </c>
      <c r="C1067" s="16" t="str">
        <f>IFERROR(IF([1]对账明细接口!$C$1067=0,"",[1]对账明细接口!$C$1067),"")</f>
        <v/>
      </c>
      <c r="D1067" s="16" t="str">
        <f>IFERROR(IF([1]对账明细接口!$D$1067=0,"",[1]对账明细接口!$D$1067),"")</f>
        <v/>
      </c>
      <c r="E1067" s="16" t="str">
        <f>IFERROR(IF([1]对账明细接口!$E$1067=0,"",[1]对账明细接口!$E$1067),"")</f>
        <v/>
      </c>
      <c r="F1067" s="16" t="str">
        <f>IFERROR(IF([1]对账明细接口!$F$1067=0,"",[1]对账明细接口!$F$1067),"")</f>
        <v/>
      </c>
      <c r="G1067" s="16" t="str">
        <f>IFERROR(IF([1]对账明细接口!$G$1067=0,"",[1]对账明细接口!$G$1067),"")</f>
        <v/>
      </c>
      <c r="H1067" s="17" t="str">
        <f>IFERROR(IF([1]对账明细接口!$H$1067=0,"",[1]对账明细接口!$H$1067),"")</f>
        <v/>
      </c>
      <c r="I1067" s="16" t="str">
        <f>IFERROR(IF([1]对账明细接口!$I$1067=0,"",[1]对账明细接口!$I$1067),"")</f>
        <v/>
      </c>
      <c r="J1067" s="18" t="str">
        <f>IFERROR(IF([1]对账明细接口!$J$1067=0,"",[1]对账明细接口!$J$1067),"")</f>
        <v/>
      </c>
      <c r="K1067" s="18" t="str">
        <f>IFERROR(IF([1]对账明细接口!$K$1067=0,"",[1]对账明细接口!$K$1067),"")</f>
        <v/>
      </c>
      <c r="L1067" s="16" t="str">
        <f>IFERROR(IF([1]对账明细接口!$L$1067=0,"",[1]对账明细接口!$L$1067),"")</f>
        <v/>
      </c>
      <c r="M1067" s="16" t="str">
        <f>IFERROR(IF([1]对账明细接口!$M$1067=0,"",[1]对账明细接口!$M$1067),"")</f>
        <v/>
      </c>
      <c r="N1067" s="19">
        <f t="shared" si="32"/>
        <v>0</v>
      </c>
      <c r="O1067" s="19">
        <f t="shared" si="33"/>
        <v>420</v>
      </c>
      <c r="S1067" s="20" t="str">
        <f>IFERROR(IF([1]对账明细接口!$N1067=0,"",[1]对账明细接口!$N1067),"")</f>
        <v/>
      </c>
      <c r="T1067" s="21" t="str">
        <f>IFERROR(IF([1]对账明细接口!$O1067=0,"",[1]对账明细接口!$O1067),"")</f>
        <v/>
      </c>
      <c r="U1067" s="21" t="str">
        <f>IFERROR(IF([1]对账明细接口!$P1067=0,"",[1]对账明细接口!$P1067),"")</f>
        <v/>
      </c>
      <c r="V1067" s="21" t="str">
        <f>IFERROR(IF([1]对账明细接口!$Q1067=0,"",[1]对账明细接口!$Q1067),"")</f>
        <v/>
      </c>
      <c r="W1067" s="20" t="str">
        <f>IFERROR(IF([1]对账明细接口!$R1067=0,"",[1]对账明细接口!$R1067),"")</f>
        <v/>
      </c>
      <c r="X1067" s="20" t="str">
        <f>IFERROR(IF([1]对账明细接口!$S1067=0,"",[1]对账明细接口!$S1067),"")</f>
        <v/>
      </c>
      <c r="Y1067" s="20" t="str">
        <f>IFERROR(IF([1]对账明细接口!$T1067=0,"",[1]对账明细接口!$T1067),"")</f>
        <v/>
      </c>
      <c r="Z1067" s="24" t="str">
        <f>IFERROR(IF([1]对账明细接口!$U1067=0,"",[1]对账明细接口!$U1067),"")</f>
        <v/>
      </c>
      <c r="AA1067" s="24" t="str">
        <f>IFERROR(IF([1]对账明细接口!$V1067=0,"",[1]对账明细接口!$V1067),"")</f>
        <v/>
      </c>
      <c r="AB1067" s="20" t="str">
        <f>IFERROR(IF([1]对账明细接口!$W1067=0,"",[1]对账明细接口!$W1067),"")</f>
        <v/>
      </c>
      <c r="AC1067" s="7" t="str">
        <f>IFERROR(IF([1]对账明细接口!$X1067=0,"",[1]对账明细接口!$X1067),"")</f>
        <v/>
      </c>
      <c r="AD1067" s="7" t="str">
        <f>IFERROR(IF([1]对账明细接口!$Y1067=0,"",[1]对账明细接口!$Y1067),"")</f>
        <v/>
      </c>
      <c r="AE1067" s="7" t="str">
        <f>IFERROR(IF([1]对账明细接口!$AA1067=0,"",[1]对账明细接口!$AA1067),"")</f>
        <v/>
      </c>
      <c r="AF1067" s="7" t="str">
        <f>IFERROR(IF([1]对账明细接口!$AB1067=0,"",[1]对账明细接口!$AB1067),"")</f>
        <v/>
      </c>
      <c r="AG1067" s="7" t="str">
        <f>IFERROR(IF([1]对账明细接口!$AC1067=0,"",[1]对账明细接口!$AC1067),"")</f>
        <v/>
      </c>
      <c r="AH1067" s="7" t="str">
        <f>IFERROR(IF([1]对账明细接口!$AD1067=0,"",[1]对账明细接口!$AD1067),"")</f>
        <v/>
      </c>
      <c r="AI1067" s="7" t="str">
        <f>IFERROR(IF([1]对账明细接口!$AE1067=0,"",[1]对账明细接口!$AE1067),"")</f>
        <v/>
      </c>
      <c r="AJ1067" s="7" t="str">
        <f>IFERROR(IF([1]对账明细接口!$AF1067=0,"",[1]对账明细接口!$AF1067),"")</f>
        <v/>
      </c>
    </row>
    <row r="1068" ht="14.25" customHeight="1" spans="1:36">
      <c r="A1068" s="14">
        <v>1068</v>
      </c>
      <c r="B1068" s="15" t="str">
        <f>IFERROR(IF([1]对账明细接口!$B$1068=0,"",[1]对账明细接口!$B$1068),"")</f>
        <v/>
      </c>
      <c r="C1068" s="16" t="str">
        <f>IFERROR(IF([1]对账明细接口!$C$1068=0,"",[1]对账明细接口!$C$1068),"")</f>
        <v/>
      </c>
      <c r="D1068" s="16" t="str">
        <f>IFERROR(IF([1]对账明细接口!$D$1068=0,"",[1]对账明细接口!$D$1068),"")</f>
        <v/>
      </c>
      <c r="E1068" s="16" t="str">
        <f>IFERROR(IF([1]对账明细接口!$E$1068=0,"",[1]对账明细接口!$E$1068),"")</f>
        <v/>
      </c>
      <c r="F1068" s="16" t="str">
        <f>IFERROR(IF([1]对账明细接口!$F$1068=0,"",[1]对账明细接口!$F$1068),"")</f>
        <v/>
      </c>
      <c r="G1068" s="16" t="str">
        <f>IFERROR(IF([1]对账明细接口!$G$1068=0,"",[1]对账明细接口!$G$1068),"")</f>
        <v/>
      </c>
      <c r="H1068" s="17" t="str">
        <f>IFERROR(IF([1]对账明细接口!$H$1068=0,"",[1]对账明细接口!$H$1068),"")</f>
        <v/>
      </c>
      <c r="I1068" s="16" t="str">
        <f>IFERROR(IF([1]对账明细接口!$I$1068=0,"",[1]对账明细接口!$I$1068),"")</f>
        <v/>
      </c>
      <c r="J1068" s="18" t="str">
        <f>IFERROR(IF([1]对账明细接口!$J$1068=0,"",[1]对账明细接口!$J$1068),"")</f>
        <v/>
      </c>
      <c r="K1068" s="18" t="str">
        <f>IFERROR(IF([1]对账明细接口!$K$1068=0,"",[1]对账明细接口!$K$1068),"")</f>
        <v/>
      </c>
      <c r="L1068" s="16" t="str">
        <f>IFERROR(IF([1]对账明细接口!$L$1068=0,"",[1]对账明细接口!$L$1068),"")</f>
        <v/>
      </c>
      <c r="M1068" s="16" t="str">
        <f>IFERROR(IF([1]对账明细接口!$M$1068=0,"",[1]对账明细接口!$M$1068),"")</f>
        <v/>
      </c>
      <c r="N1068" s="19">
        <f t="shared" si="32"/>
        <v>0</v>
      </c>
      <c r="O1068" s="19">
        <f t="shared" si="33"/>
        <v>420</v>
      </c>
      <c r="S1068" s="20" t="str">
        <f>IFERROR(IF([1]对账明细接口!$N1068=0,"",[1]对账明细接口!$N1068),"")</f>
        <v/>
      </c>
      <c r="T1068" s="21" t="str">
        <f>IFERROR(IF([1]对账明细接口!$O1068=0,"",[1]对账明细接口!$O1068),"")</f>
        <v/>
      </c>
      <c r="U1068" s="21" t="str">
        <f>IFERROR(IF([1]对账明细接口!$P1068=0,"",[1]对账明细接口!$P1068),"")</f>
        <v/>
      </c>
      <c r="V1068" s="21" t="str">
        <f>IFERROR(IF([1]对账明细接口!$Q1068=0,"",[1]对账明细接口!$Q1068),"")</f>
        <v/>
      </c>
      <c r="W1068" s="20" t="str">
        <f>IFERROR(IF([1]对账明细接口!$R1068=0,"",[1]对账明细接口!$R1068),"")</f>
        <v/>
      </c>
      <c r="X1068" s="20" t="str">
        <f>IFERROR(IF([1]对账明细接口!$S1068=0,"",[1]对账明细接口!$S1068),"")</f>
        <v/>
      </c>
      <c r="Y1068" s="20" t="str">
        <f>IFERROR(IF([1]对账明细接口!$T1068=0,"",[1]对账明细接口!$T1068),"")</f>
        <v/>
      </c>
      <c r="Z1068" s="24" t="str">
        <f>IFERROR(IF([1]对账明细接口!$U1068=0,"",[1]对账明细接口!$U1068),"")</f>
        <v/>
      </c>
      <c r="AA1068" s="24" t="str">
        <f>IFERROR(IF([1]对账明细接口!$V1068=0,"",[1]对账明细接口!$V1068),"")</f>
        <v/>
      </c>
      <c r="AB1068" s="20" t="str">
        <f>IFERROR(IF([1]对账明细接口!$W1068=0,"",[1]对账明细接口!$W1068),"")</f>
        <v/>
      </c>
      <c r="AC1068" s="7" t="str">
        <f>IFERROR(IF([1]对账明细接口!$X1068=0,"",[1]对账明细接口!$X1068),"")</f>
        <v/>
      </c>
      <c r="AD1068" s="7" t="str">
        <f>IFERROR(IF([1]对账明细接口!$Y1068=0,"",[1]对账明细接口!$Y1068),"")</f>
        <v/>
      </c>
      <c r="AE1068" s="7" t="str">
        <f>IFERROR(IF([1]对账明细接口!$AA1068=0,"",[1]对账明细接口!$AA1068),"")</f>
        <v/>
      </c>
      <c r="AF1068" s="7" t="str">
        <f>IFERROR(IF([1]对账明细接口!$AB1068=0,"",[1]对账明细接口!$AB1068),"")</f>
        <v/>
      </c>
      <c r="AG1068" s="7" t="str">
        <f>IFERROR(IF([1]对账明细接口!$AC1068=0,"",[1]对账明细接口!$AC1068),"")</f>
        <v/>
      </c>
      <c r="AH1068" s="7" t="str">
        <f>IFERROR(IF([1]对账明细接口!$AD1068=0,"",[1]对账明细接口!$AD1068),"")</f>
        <v/>
      </c>
      <c r="AI1068" s="7" t="str">
        <f>IFERROR(IF([1]对账明细接口!$AE1068=0,"",[1]对账明细接口!$AE1068),"")</f>
        <v/>
      </c>
      <c r="AJ1068" s="7" t="str">
        <f>IFERROR(IF([1]对账明细接口!$AF1068=0,"",[1]对账明细接口!$AF1068),"")</f>
        <v/>
      </c>
    </row>
    <row r="1069" ht="14.25" customHeight="1" spans="1:36">
      <c r="A1069" s="14">
        <v>1069</v>
      </c>
      <c r="B1069" s="15" t="str">
        <f>IFERROR(IF([1]对账明细接口!$B$1069=0,"",[1]对账明细接口!$B$1069),"")</f>
        <v/>
      </c>
      <c r="C1069" s="16" t="str">
        <f>IFERROR(IF([1]对账明细接口!$C$1069=0,"",[1]对账明细接口!$C$1069),"")</f>
        <v/>
      </c>
      <c r="D1069" s="16" t="str">
        <f>IFERROR(IF([1]对账明细接口!$D$1069=0,"",[1]对账明细接口!$D$1069),"")</f>
        <v/>
      </c>
      <c r="E1069" s="16" t="str">
        <f>IFERROR(IF([1]对账明细接口!$E$1069=0,"",[1]对账明细接口!$E$1069),"")</f>
        <v/>
      </c>
      <c r="F1069" s="16" t="str">
        <f>IFERROR(IF([1]对账明细接口!$F$1069=0,"",[1]对账明细接口!$F$1069),"")</f>
        <v/>
      </c>
      <c r="G1069" s="16" t="str">
        <f>IFERROR(IF([1]对账明细接口!$G$1069=0,"",[1]对账明细接口!$G$1069),"")</f>
        <v/>
      </c>
      <c r="H1069" s="17" t="str">
        <f>IFERROR(IF([1]对账明细接口!$H$1069=0,"",[1]对账明细接口!$H$1069),"")</f>
        <v/>
      </c>
      <c r="I1069" s="16" t="str">
        <f>IFERROR(IF([1]对账明细接口!$I$1069=0,"",[1]对账明细接口!$I$1069),"")</f>
        <v/>
      </c>
      <c r="J1069" s="18" t="str">
        <f>IFERROR(IF([1]对账明细接口!$J$1069=0,"",[1]对账明细接口!$J$1069),"")</f>
        <v/>
      </c>
      <c r="K1069" s="18" t="str">
        <f>IFERROR(IF([1]对账明细接口!$K$1069=0,"",[1]对账明细接口!$K$1069),"")</f>
        <v/>
      </c>
      <c r="L1069" s="16" t="str">
        <f>IFERROR(IF([1]对账明细接口!$L$1069=0,"",[1]对账明细接口!$L$1069),"")</f>
        <v/>
      </c>
      <c r="M1069" s="16" t="str">
        <f>IFERROR(IF([1]对账明细接口!$M$1069=0,"",[1]对账明细接口!$M$1069),"")</f>
        <v/>
      </c>
      <c r="N1069" s="19">
        <f t="shared" si="32"/>
        <v>0</v>
      </c>
      <c r="O1069" s="19">
        <f t="shared" si="33"/>
        <v>420</v>
      </c>
      <c r="S1069" s="20" t="str">
        <f>IFERROR(IF([1]对账明细接口!$N1069=0,"",[1]对账明细接口!$N1069),"")</f>
        <v/>
      </c>
      <c r="T1069" s="21" t="str">
        <f>IFERROR(IF([1]对账明细接口!$O1069=0,"",[1]对账明细接口!$O1069),"")</f>
        <v/>
      </c>
      <c r="U1069" s="21" t="str">
        <f>IFERROR(IF([1]对账明细接口!$P1069=0,"",[1]对账明细接口!$P1069),"")</f>
        <v/>
      </c>
      <c r="V1069" s="21" t="str">
        <f>IFERROR(IF([1]对账明细接口!$Q1069=0,"",[1]对账明细接口!$Q1069),"")</f>
        <v/>
      </c>
      <c r="W1069" s="20" t="str">
        <f>IFERROR(IF([1]对账明细接口!$R1069=0,"",[1]对账明细接口!$R1069),"")</f>
        <v/>
      </c>
      <c r="X1069" s="20" t="str">
        <f>IFERROR(IF([1]对账明细接口!$S1069=0,"",[1]对账明细接口!$S1069),"")</f>
        <v/>
      </c>
      <c r="Y1069" s="20" t="str">
        <f>IFERROR(IF([1]对账明细接口!$T1069=0,"",[1]对账明细接口!$T1069),"")</f>
        <v/>
      </c>
      <c r="Z1069" s="24" t="str">
        <f>IFERROR(IF([1]对账明细接口!$U1069=0,"",[1]对账明细接口!$U1069),"")</f>
        <v/>
      </c>
      <c r="AA1069" s="24" t="str">
        <f>IFERROR(IF([1]对账明细接口!$V1069=0,"",[1]对账明细接口!$V1069),"")</f>
        <v/>
      </c>
      <c r="AB1069" s="20" t="str">
        <f>IFERROR(IF([1]对账明细接口!$W1069=0,"",[1]对账明细接口!$W1069),"")</f>
        <v/>
      </c>
      <c r="AC1069" s="7" t="str">
        <f>IFERROR(IF([1]对账明细接口!$X1069=0,"",[1]对账明细接口!$X1069),"")</f>
        <v/>
      </c>
      <c r="AD1069" s="7" t="str">
        <f>IFERROR(IF([1]对账明细接口!$Y1069=0,"",[1]对账明细接口!$Y1069),"")</f>
        <v/>
      </c>
      <c r="AE1069" s="7" t="str">
        <f>IFERROR(IF([1]对账明细接口!$AA1069=0,"",[1]对账明细接口!$AA1069),"")</f>
        <v/>
      </c>
      <c r="AF1069" s="7" t="str">
        <f>IFERROR(IF([1]对账明细接口!$AB1069=0,"",[1]对账明细接口!$AB1069),"")</f>
        <v/>
      </c>
      <c r="AG1069" s="7" t="str">
        <f>IFERROR(IF([1]对账明细接口!$AC1069=0,"",[1]对账明细接口!$AC1069),"")</f>
        <v/>
      </c>
      <c r="AH1069" s="7" t="str">
        <f>IFERROR(IF([1]对账明细接口!$AD1069=0,"",[1]对账明细接口!$AD1069),"")</f>
        <v/>
      </c>
      <c r="AI1069" s="7" t="str">
        <f>IFERROR(IF([1]对账明细接口!$AE1069=0,"",[1]对账明细接口!$AE1069),"")</f>
        <v/>
      </c>
      <c r="AJ1069" s="7" t="str">
        <f>IFERROR(IF([1]对账明细接口!$AF1069=0,"",[1]对账明细接口!$AF1069),"")</f>
        <v/>
      </c>
    </row>
    <row r="1070" ht="14.25" customHeight="1" spans="1:36">
      <c r="A1070" s="14">
        <v>1070</v>
      </c>
      <c r="B1070" s="15" t="str">
        <f>IFERROR(IF([1]对账明细接口!$B$1070=0,"",[1]对账明细接口!$B$1070),"")</f>
        <v/>
      </c>
      <c r="C1070" s="16" t="str">
        <f>IFERROR(IF([1]对账明细接口!$C$1070=0,"",[1]对账明细接口!$C$1070),"")</f>
        <v/>
      </c>
      <c r="D1070" s="16" t="str">
        <f>IFERROR(IF([1]对账明细接口!$D$1070=0,"",[1]对账明细接口!$D$1070),"")</f>
        <v/>
      </c>
      <c r="E1070" s="16" t="str">
        <f>IFERROR(IF([1]对账明细接口!$E$1070=0,"",[1]对账明细接口!$E$1070),"")</f>
        <v/>
      </c>
      <c r="F1070" s="16" t="str">
        <f>IFERROR(IF([1]对账明细接口!$F$1070=0,"",[1]对账明细接口!$F$1070),"")</f>
        <v/>
      </c>
      <c r="G1070" s="16" t="str">
        <f>IFERROR(IF([1]对账明细接口!$G$1070=0,"",[1]对账明细接口!$G$1070),"")</f>
        <v/>
      </c>
      <c r="H1070" s="17" t="str">
        <f>IFERROR(IF([1]对账明细接口!$H$1070=0,"",[1]对账明细接口!$H$1070),"")</f>
        <v/>
      </c>
      <c r="I1070" s="16" t="str">
        <f>IFERROR(IF([1]对账明细接口!$I$1070=0,"",[1]对账明细接口!$I$1070),"")</f>
        <v/>
      </c>
      <c r="J1070" s="18" t="str">
        <f>IFERROR(IF([1]对账明细接口!$J$1070=0,"",[1]对账明细接口!$J$1070),"")</f>
        <v/>
      </c>
      <c r="K1070" s="18" t="str">
        <f>IFERROR(IF([1]对账明细接口!$K$1070=0,"",[1]对账明细接口!$K$1070),"")</f>
        <v/>
      </c>
      <c r="L1070" s="16" t="str">
        <f>IFERROR(IF([1]对账明细接口!$L$1070=0,"",[1]对账明细接口!$L$1070),"")</f>
        <v/>
      </c>
      <c r="M1070" s="16" t="str">
        <f>IFERROR(IF([1]对账明细接口!$M$1070=0,"",[1]对账明细接口!$M$1070),"")</f>
        <v/>
      </c>
      <c r="N1070" s="19">
        <f t="shared" si="32"/>
        <v>0</v>
      </c>
      <c r="O1070" s="19">
        <f t="shared" si="33"/>
        <v>420</v>
      </c>
      <c r="S1070" s="20" t="str">
        <f>IFERROR(IF([1]对账明细接口!$N1070=0,"",[1]对账明细接口!$N1070),"")</f>
        <v/>
      </c>
      <c r="T1070" s="21" t="str">
        <f>IFERROR(IF([1]对账明细接口!$O1070=0,"",[1]对账明细接口!$O1070),"")</f>
        <v/>
      </c>
      <c r="U1070" s="21" t="str">
        <f>IFERROR(IF([1]对账明细接口!$P1070=0,"",[1]对账明细接口!$P1070),"")</f>
        <v/>
      </c>
      <c r="V1070" s="21" t="str">
        <f>IFERROR(IF([1]对账明细接口!$Q1070=0,"",[1]对账明细接口!$Q1070),"")</f>
        <v/>
      </c>
      <c r="W1070" s="20" t="str">
        <f>IFERROR(IF([1]对账明细接口!$R1070=0,"",[1]对账明细接口!$R1070),"")</f>
        <v/>
      </c>
      <c r="X1070" s="20" t="str">
        <f>IFERROR(IF([1]对账明细接口!$S1070=0,"",[1]对账明细接口!$S1070),"")</f>
        <v/>
      </c>
      <c r="Y1070" s="20" t="str">
        <f>IFERROR(IF([1]对账明细接口!$T1070=0,"",[1]对账明细接口!$T1070),"")</f>
        <v/>
      </c>
      <c r="Z1070" s="24" t="str">
        <f>IFERROR(IF([1]对账明细接口!$U1070=0,"",[1]对账明细接口!$U1070),"")</f>
        <v/>
      </c>
      <c r="AA1070" s="24" t="str">
        <f>IFERROR(IF([1]对账明细接口!$V1070=0,"",[1]对账明细接口!$V1070),"")</f>
        <v/>
      </c>
      <c r="AB1070" s="20" t="str">
        <f>IFERROR(IF([1]对账明细接口!$W1070=0,"",[1]对账明细接口!$W1070),"")</f>
        <v/>
      </c>
      <c r="AC1070" s="7" t="str">
        <f>IFERROR(IF([1]对账明细接口!$X1070=0,"",[1]对账明细接口!$X1070),"")</f>
        <v/>
      </c>
      <c r="AD1070" s="7" t="str">
        <f>IFERROR(IF([1]对账明细接口!$Y1070=0,"",[1]对账明细接口!$Y1070),"")</f>
        <v/>
      </c>
      <c r="AE1070" s="7" t="str">
        <f>IFERROR(IF([1]对账明细接口!$AA1070=0,"",[1]对账明细接口!$AA1070),"")</f>
        <v/>
      </c>
      <c r="AF1070" s="7" t="str">
        <f>IFERROR(IF([1]对账明细接口!$AB1070=0,"",[1]对账明细接口!$AB1070),"")</f>
        <v/>
      </c>
      <c r="AG1070" s="7" t="str">
        <f>IFERROR(IF([1]对账明细接口!$AC1070=0,"",[1]对账明细接口!$AC1070),"")</f>
        <v/>
      </c>
      <c r="AH1070" s="7" t="str">
        <f>IFERROR(IF([1]对账明细接口!$AD1070=0,"",[1]对账明细接口!$AD1070),"")</f>
        <v/>
      </c>
      <c r="AI1070" s="7" t="str">
        <f>IFERROR(IF([1]对账明细接口!$AE1070=0,"",[1]对账明细接口!$AE1070),"")</f>
        <v/>
      </c>
      <c r="AJ1070" s="7" t="str">
        <f>IFERROR(IF([1]对账明细接口!$AF1070=0,"",[1]对账明细接口!$AF1070),"")</f>
        <v/>
      </c>
    </row>
    <row r="1071" ht="14.25" customHeight="1" spans="1:36">
      <c r="A1071" s="14">
        <v>1071</v>
      </c>
      <c r="B1071" s="15" t="str">
        <f>IFERROR(IF([1]对账明细接口!$B$1071=0,"",[1]对账明细接口!$B$1071),"")</f>
        <v/>
      </c>
      <c r="C1071" s="16" t="str">
        <f>IFERROR(IF([1]对账明细接口!$C$1071=0,"",[1]对账明细接口!$C$1071),"")</f>
        <v/>
      </c>
      <c r="D1071" s="16" t="str">
        <f>IFERROR(IF([1]对账明细接口!$D$1071=0,"",[1]对账明细接口!$D$1071),"")</f>
        <v/>
      </c>
      <c r="E1071" s="16" t="str">
        <f>IFERROR(IF([1]对账明细接口!$E$1071=0,"",[1]对账明细接口!$E$1071),"")</f>
        <v/>
      </c>
      <c r="F1071" s="16" t="str">
        <f>IFERROR(IF([1]对账明细接口!$F$1071=0,"",[1]对账明细接口!$F$1071),"")</f>
        <v/>
      </c>
      <c r="G1071" s="16" t="str">
        <f>IFERROR(IF([1]对账明细接口!$G$1071=0,"",[1]对账明细接口!$G$1071),"")</f>
        <v/>
      </c>
      <c r="H1071" s="17" t="str">
        <f>IFERROR(IF([1]对账明细接口!$H$1071=0,"",[1]对账明细接口!$H$1071),"")</f>
        <v/>
      </c>
      <c r="I1071" s="16" t="str">
        <f>IFERROR(IF([1]对账明细接口!$I$1071=0,"",[1]对账明细接口!$I$1071),"")</f>
        <v/>
      </c>
      <c r="J1071" s="18" t="str">
        <f>IFERROR(IF([1]对账明细接口!$J$1071=0,"",[1]对账明细接口!$J$1071),"")</f>
        <v/>
      </c>
      <c r="K1071" s="18" t="str">
        <f>IFERROR(IF([1]对账明细接口!$K$1071=0,"",[1]对账明细接口!$K$1071),"")</f>
        <v/>
      </c>
      <c r="L1071" s="16" t="str">
        <f>IFERROR(IF([1]对账明细接口!$L$1071=0,"",[1]对账明细接口!$L$1071),"")</f>
        <v/>
      </c>
      <c r="M1071" s="16" t="str">
        <f>IFERROR(IF([1]对账明细接口!$M$1071=0,"",[1]对账明细接口!$M$1071),"")</f>
        <v/>
      </c>
      <c r="N1071" s="19">
        <f t="shared" si="32"/>
        <v>0</v>
      </c>
      <c r="O1071" s="19">
        <f t="shared" si="33"/>
        <v>420</v>
      </c>
      <c r="S1071" s="20" t="str">
        <f>IFERROR(IF([1]对账明细接口!$N1071=0,"",[1]对账明细接口!$N1071),"")</f>
        <v/>
      </c>
      <c r="T1071" s="21" t="str">
        <f>IFERROR(IF([1]对账明细接口!$O1071=0,"",[1]对账明细接口!$O1071),"")</f>
        <v/>
      </c>
      <c r="U1071" s="21" t="str">
        <f>IFERROR(IF([1]对账明细接口!$P1071=0,"",[1]对账明细接口!$P1071),"")</f>
        <v/>
      </c>
      <c r="V1071" s="21" t="str">
        <f>IFERROR(IF([1]对账明细接口!$Q1071=0,"",[1]对账明细接口!$Q1071),"")</f>
        <v/>
      </c>
      <c r="W1071" s="20" t="str">
        <f>IFERROR(IF([1]对账明细接口!$R1071=0,"",[1]对账明细接口!$R1071),"")</f>
        <v/>
      </c>
      <c r="X1071" s="20" t="str">
        <f>IFERROR(IF([1]对账明细接口!$S1071=0,"",[1]对账明细接口!$S1071),"")</f>
        <v/>
      </c>
      <c r="Y1071" s="20" t="str">
        <f>IFERROR(IF([1]对账明细接口!$T1071=0,"",[1]对账明细接口!$T1071),"")</f>
        <v/>
      </c>
      <c r="Z1071" s="24" t="str">
        <f>IFERROR(IF([1]对账明细接口!$U1071=0,"",[1]对账明细接口!$U1071),"")</f>
        <v/>
      </c>
      <c r="AA1071" s="24" t="str">
        <f>IFERROR(IF([1]对账明细接口!$V1071=0,"",[1]对账明细接口!$V1071),"")</f>
        <v/>
      </c>
      <c r="AB1071" s="20" t="str">
        <f>IFERROR(IF([1]对账明细接口!$W1071=0,"",[1]对账明细接口!$W1071),"")</f>
        <v/>
      </c>
      <c r="AC1071" s="7" t="str">
        <f>IFERROR(IF([1]对账明细接口!$X1071=0,"",[1]对账明细接口!$X1071),"")</f>
        <v/>
      </c>
      <c r="AD1071" s="7" t="str">
        <f>IFERROR(IF([1]对账明细接口!$Y1071=0,"",[1]对账明细接口!$Y1071),"")</f>
        <v/>
      </c>
      <c r="AE1071" s="7" t="str">
        <f>IFERROR(IF([1]对账明细接口!$AA1071=0,"",[1]对账明细接口!$AA1071),"")</f>
        <v/>
      </c>
      <c r="AF1071" s="7" t="str">
        <f>IFERROR(IF([1]对账明细接口!$AB1071=0,"",[1]对账明细接口!$AB1071),"")</f>
        <v/>
      </c>
      <c r="AG1071" s="7" t="str">
        <f>IFERROR(IF([1]对账明细接口!$AC1071=0,"",[1]对账明细接口!$AC1071),"")</f>
        <v/>
      </c>
      <c r="AH1071" s="7" t="str">
        <f>IFERROR(IF([1]对账明细接口!$AD1071=0,"",[1]对账明细接口!$AD1071),"")</f>
        <v/>
      </c>
      <c r="AI1071" s="7" t="str">
        <f>IFERROR(IF([1]对账明细接口!$AE1071=0,"",[1]对账明细接口!$AE1071),"")</f>
        <v/>
      </c>
      <c r="AJ1071" s="7" t="str">
        <f>IFERROR(IF([1]对账明细接口!$AF1071=0,"",[1]对账明细接口!$AF1071),"")</f>
        <v/>
      </c>
    </row>
    <row r="1072" ht="14.25" customHeight="1" spans="1:36">
      <c r="A1072" s="14">
        <v>1072</v>
      </c>
      <c r="B1072" s="15" t="str">
        <f>IFERROR(IF([1]对账明细接口!$B$1072=0,"",[1]对账明细接口!$B$1072),"")</f>
        <v/>
      </c>
      <c r="C1072" s="16" t="str">
        <f>IFERROR(IF([1]对账明细接口!$C$1072=0,"",[1]对账明细接口!$C$1072),"")</f>
        <v/>
      </c>
      <c r="D1072" s="16" t="str">
        <f>IFERROR(IF([1]对账明细接口!$D$1072=0,"",[1]对账明细接口!$D$1072),"")</f>
        <v/>
      </c>
      <c r="E1072" s="16" t="str">
        <f>IFERROR(IF([1]对账明细接口!$E$1072=0,"",[1]对账明细接口!$E$1072),"")</f>
        <v/>
      </c>
      <c r="F1072" s="16" t="str">
        <f>IFERROR(IF([1]对账明细接口!$F$1072=0,"",[1]对账明细接口!$F$1072),"")</f>
        <v/>
      </c>
      <c r="G1072" s="16" t="str">
        <f>IFERROR(IF([1]对账明细接口!$G$1072=0,"",[1]对账明细接口!$G$1072),"")</f>
        <v/>
      </c>
      <c r="H1072" s="17" t="str">
        <f>IFERROR(IF([1]对账明细接口!$H$1072=0,"",[1]对账明细接口!$H$1072),"")</f>
        <v/>
      </c>
      <c r="I1072" s="16" t="str">
        <f>IFERROR(IF([1]对账明细接口!$I$1072=0,"",[1]对账明细接口!$I$1072),"")</f>
        <v/>
      </c>
      <c r="J1072" s="18" t="str">
        <f>IFERROR(IF([1]对账明细接口!$J$1072=0,"",[1]对账明细接口!$J$1072),"")</f>
        <v/>
      </c>
      <c r="K1072" s="18" t="str">
        <f>IFERROR(IF([1]对账明细接口!$K$1072=0,"",[1]对账明细接口!$K$1072),"")</f>
        <v/>
      </c>
      <c r="L1072" s="16" t="str">
        <f>IFERROR(IF([1]对账明细接口!$L$1072=0,"",[1]对账明细接口!$L$1072),"")</f>
        <v/>
      </c>
      <c r="M1072" s="16" t="str">
        <f>IFERROR(IF([1]对账明细接口!$M$1072=0,"",[1]对账明细接口!$M$1072),"")</f>
        <v/>
      </c>
      <c r="N1072" s="19">
        <f t="shared" si="32"/>
        <v>0</v>
      </c>
      <c r="O1072" s="19">
        <f t="shared" si="33"/>
        <v>420</v>
      </c>
      <c r="S1072" s="20" t="str">
        <f>IFERROR(IF([1]对账明细接口!$N1072=0,"",[1]对账明细接口!$N1072),"")</f>
        <v/>
      </c>
      <c r="T1072" s="21" t="str">
        <f>IFERROR(IF([1]对账明细接口!$O1072=0,"",[1]对账明细接口!$O1072),"")</f>
        <v/>
      </c>
      <c r="U1072" s="21" t="str">
        <f>IFERROR(IF([1]对账明细接口!$P1072=0,"",[1]对账明细接口!$P1072),"")</f>
        <v/>
      </c>
      <c r="V1072" s="21" t="str">
        <f>IFERROR(IF([1]对账明细接口!$Q1072=0,"",[1]对账明细接口!$Q1072),"")</f>
        <v/>
      </c>
      <c r="W1072" s="20" t="str">
        <f>IFERROR(IF([1]对账明细接口!$R1072=0,"",[1]对账明细接口!$R1072),"")</f>
        <v/>
      </c>
      <c r="X1072" s="20" t="str">
        <f>IFERROR(IF([1]对账明细接口!$S1072=0,"",[1]对账明细接口!$S1072),"")</f>
        <v/>
      </c>
      <c r="Y1072" s="20" t="str">
        <f>IFERROR(IF([1]对账明细接口!$T1072=0,"",[1]对账明细接口!$T1072),"")</f>
        <v/>
      </c>
      <c r="Z1072" s="24" t="str">
        <f>IFERROR(IF([1]对账明细接口!$U1072=0,"",[1]对账明细接口!$U1072),"")</f>
        <v/>
      </c>
      <c r="AA1072" s="24" t="str">
        <f>IFERROR(IF([1]对账明细接口!$V1072=0,"",[1]对账明细接口!$V1072),"")</f>
        <v/>
      </c>
      <c r="AB1072" s="20" t="str">
        <f>IFERROR(IF([1]对账明细接口!$W1072=0,"",[1]对账明细接口!$W1072),"")</f>
        <v/>
      </c>
      <c r="AC1072" s="7" t="str">
        <f>IFERROR(IF([1]对账明细接口!$X1072=0,"",[1]对账明细接口!$X1072),"")</f>
        <v/>
      </c>
      <c r="AD1072" s="7" t="str">
        <f>IFERROR(IF([1]对账明细接口!$Y1072=0,"",[1]对账明细接口!$Y1072),"")</f>
        <v/>
      </c>
      <c r="AE1072" s="7" t="str">
        <f>IFERROR(IF([1]对账明细接口!$AA1072=0,"",[1]对账明细接口!$AA1072),"")</f>
        <v/>
      </c>
      <c r="AF1072" s="7" t="str">
        <f>IFERROR(IF([1]对账明细接口!$AB1072=0,"",[1]对账明细接口!$AB1072),"")</f>
        <v/>
      </c>
      <c r="AG1072" s="7" t="str">
        <f>IFERROR(IF([1]对账明细接口!$AC1072=0,"",[1]对账明细接口!$AC1072),"")</f>
        <v/>
      </c>
      <c r="AH1072" s="7" t="str">
        <f>IFERROR(IF([1]对账明细接口!$AD1072=0,"",[1]对账明细接口!$AD1072),"")</f>
        <v/>
      </c>
      <c r="AI1072" s="7" t="str">
        <f>IFERROR(IF([1]对账明细接口!$AE1072=0,"",[1]对账明细接口!$AE1072),"")</f>
        <v/>
      </c>
      <c r="AJ1072" s="7" t="str">
        <f>IFERROR(IF([1]对账明细接口!$AF1072=0,"",[1]对账明细接口!$AF1072),"")</f>
        <v/>
      </c>
    </row>
    <row r="1073" ht="14.25" customHeight="1" spans="1:36">
      <c r="A1073" s="14">
        <v>1073</v>
      </c>
      <c r="B1073" s="15" t="str">
        <f>IFERROR(IF([1]对账明细接口!$B$1073=0,"",[1]对账明细接口!$B$1073),"")</f>
        <v/>
      </c>
      <c r="C1073" s="16" t="str">
        <f>IFERROR(IF([1]对账明细接口!$C$1073=0,"",[1]对账明细接口!$C$1073),"")</f>
        <v/>
      </c>
      <c r="D1073" s="16" t="str">
        <f>IFERROR(IF([1]对账明细接口!$D$1073=0,"",[1]对账明细接口!$D$1073),"")</f>
        <v/>
      </c>
      <c r="E1073" s="16" t="str">
        <f>IFERROR(IF([1]对账明细接口!$E$1073=0,"",[1]对账明细接口!$E$1073),"")</f>
        <v/>
      </c>
      <c r="F1073" s="16" t="str">
        <f>IFERROR(IF([1]对账明细接口!$F$1073=0,"",[1]对账明细接口!$F$1073),"")</f>
        <v/>
      </c>
      <c r="G1073" s="16" t="str">
        <f>IFERROR(IF([1]对账明细接口!$G$1073=0,"",[1]对账明细接口!$G$1073),"")</f>
        <v/>
      </c>
      <c r="H1073" s="17" t="str">
        <f>IFERROR(IF([1]对账明细接口!$H$1073=0,"",[1]对账明细接口!$H$1073),"")</f>
        <v/>
      </c>
      <c r="I1073" s="16" t="str">
        <f>IFERROR(IF([1]对账明细接口!$I$1073=0,"",[1]对账明细接口!$I$1073),"")</f>
        <v/>
      </c>
      <c r="J1073" s="18" t="str">
        <f>IFERROR(IF([1]对账明细接口!$J$1073=0,"",[1]对账明细接口!$J$1073),"")</f>
        <v/>
      </c>
      <c r="K1073" s="18" t="str">
        <f>IFERROR(IF([1]对账明细接口!$K$1073=0,"",[1]对账明细接口!$K$1073),"")</f>
        <v/>
      </c>
      <c r="L1073" s="16" t="str">
        <f>IFERROR(IF([1]对账明细接口!$L$1073=0,"",[1]对账明细接口!$L$1073),"")</f>
        <v/>
      </c>
      <c r="M1073" s="16" t="str">
        <f>IFERROR(IF([1]对账明细接口!$M$1073=0,"",[1]对账明细接口!$M$1073),"")</f>
        <v/>
      </c>
      <c r="N1073" s="19">
        <f t="shared" si="32"/>
        <v>0</v>
      </c>
      <c r="O1073" s="19">
        <f t="shared" si="33"/>
        <v>420</v>
      </c>
      <c r="S1073" s="20" t="str">
        <f>IFERROR(IF([1]对账明细接口!$N1073=0,"",[1]对账明细接口!$N1073),"")</f>
        <v/>
      </c>
      <c r="T1073" s="21" t="str">
        <f>IFERROR(IF([1]对账明细接口!$O1073=0,"",[1]对账明细接口!$O1073),"")</f>
        <v/>
      </c>
      <c r="U1073" s="21" t="str">
        <f>IFERROR(IF([1]对账明细接口!$P1073=0,"",[1]对账明细接口!$P1073),"")</f>
        <v/>
      </c>
      <c r="V1073" s="21" t="str">
        <f>IFERROR(IF([1]对账明细接口!$Q1073=0,"",[1]对账明细接口!$Q1073),"")</f>
        <v/>
      </c>
      <c r="W1073" s="20" t="str">
        <f>IFERROR(IF([1]对账明细接口!$R1073=0,"",[1]对账明细接口!$R1073),"")</f>
        <v/>
      </c>
      <c r="X1073" s="20" t="str">
        <f>IFERROR(IF([1]对账明细接口!$S1073=0,"",[1]对账明细接口!$S1073),"")</f>
        <v/>
      </c>
      <c r="Y1073" s="20" t="str">
        <f>IFERROR(IF([1]对账明细接口!$T1073=0,"",[1]对账明细接口!$T1073),"")</f>
        <v/>
      </c>
      <c r="Z1073" s="24" t="str">
        <f>IFERROR(IF([1]对账明细接口!$U1073=0,"",[1]对账明细接口!$U1073),"")</f>
        <v/>
      </c>
      <c r="AA1073" s="24" t="str">
        <f>IFERROR(IF([1]对账明细接口!$V1073=0,"",[1]对账明细接口!$V1073),"")</f>
        <v/>
      </c>
      <c r="AB1073" s="20" t="str">
        <f>IFERROR(IF([1]对账明细接口!$W1073=0,"",[1]对账明细接口!$W1073),"")</f>
        <v/>
      </c>
      <c r="AC1073" s="7" t="str">
        <f>IFERROR(IF([1]对账明细接口!$X1073=0,"",[1]对账明细接口!$X1073),"")</f>
        <v/>
      </c>
      <c r="AD1073" s="7" t="str">
        <f>IFERROR(IF([1]对账明细接口!$Y1073=0,"",[1]对账明细接口!$Y1073),"")</f>
        <v/>
      </c>
      <c r="AE1073" s="7" t="str">
        <f>IFERROR(IF([1]对账明细接口!$AA1073=0,"",[1]对账明细接口!$AA1073),"")</f>
        <v/>
      </c>
      <c r="AF1073" s="7" t="str">
        <f>IFERROR(IF([1]对账明细接口!$AB1073=0,"",[1]对账明细接口!$AB1073),"")</f>
        <v/>
      </c>
      <c r="AG1073" s="7" t="str">
        <f>IFERROR(IF([1]对账明细接口!$AC1073=0,"",[1]对账明细接口!$AC1073),"")</f>
        <v/>
      </c>
      <c r="AH1073" s="7" t="str">
        <f>IFERROR(IF([1]对账明细接口!$AD1073=0,"",[1]对账明细接口!$AD1073),"")</f>
        <v/>
      </c>
      <c r="AI1073" s="7" t="str">
        <f>IFERROR(IF([1]对账明细接口!$AE1073=0,"",[1]对账明细接口!$AE1073),"")</f>
        <v/>
      </c>
      <c r="AJ1073" s="7" t="str">
        <f>IFERROR(IF([1]对账明细接口!$AF1073=0,"",[1]对账明细接口!$AF1073),"")</f>
        <v/>
      </c>
    </row>
    <row r="1074" ht="14.25" customHeight="1" spans="1:36">
      <c r="A1074" s="14">
        <v>1074</v>
      </c>
      <c r="B1074" s="15" t="str">
        <f>IFERROR(IF([1]对账明细接口!$B$1074=0,"",[1]对账明细接口!$B$1074),"")</f>
        <v/>
      </c>
      <c r="C1074" s="16" t="str">
        <f>IFERROR(IF([1]对账明细接口!$C$1074=0,"",[1]对账明细接口!$C$1074),"")</f>
        <v/>
      </c>
      <c r="D1074" s="16" t="str">
        <f>IFERROR(IF([1]对账明细接口!$D$1074=0,"",[1]对账明细接口!$D$1074),"")</f>
        <v/>
      </c>
      <c r="E1074" s="16" t="str">
        <f>IFERROR(IF([1]对账明细接口!$E$1074=0,"",[1]对账明细接口!$E$1074),"")</f>
        <v/>
      </c>
      <c r="F1074" s="16" t="str">
        <f>IFERROR(IF([1]对账明细接口!$F$1074=0,"",[1]对账明细接口!$F$1074),"")</f>
        <v/>
      </c>
      <c r="G1074" s="16" t="str">
        <f>IFERROR(IF([1]对账明细接口!$G$1074=0,"",[1]对账明细接口!$G$1074),"")</f>
        <v/>
      </c>
      <c r="H1074" s="17" t="str">
        <f>IFERROR(IF([1]对账明细接口!$H$1074=0,"",[1]对账明细接口!$H$1074),"")</f>
        <v/>
      </c>
      <c r="I1074" s="16" t="str">
        <f>IFERROR(IF([1]对账明细接口!$I$1074=0,"",[1]对账明细接口!$I$1074),"")</f>
        <v/>
      </c>
      <c r="J1074" s="18" t="str">
        <f>IFERROR(IF([1]对账明细接口!$J$1074=0,"",[1]对账明细接口!$J$1074),"")</f>
        <v/>
      </c>
      <c r="K1074" s="18" t="str">
        <f>IFERROR(IF([1]对账明细接口!$K$1074=0,"",[1]对账明细接口!$K$1074),"")</f>
        <v/>
      </c>
      <c r="L1074" s="16" t="str">
        <f>IFERROR(IF([1]对账明细接口!$L$1074=0,"",[1]对账明细接口!$L$1074),"")</f>
        <v/>
      </c>
      <c r="M1074" s="16" t="str">
        <f>IFERROR(IF([1]对账明细接口!$M$1074=0,"",[1]对账明细接口!$M$1074),"")</f>
        <v/>
      </c>
      <c r="N1074" s="19">
        <f t="shared" si="32"/>
        <v>0</v>
      </c>
      <c r="O1074" s="19">
        <f t="shared" si="33"/>
        <v>420</v>
      </c>
      <c r="S1074" s="20" t="str">
        <f>IFERROR(IF([1]对账明细接口!$N1074=0,"",[1]对账明细接口!$N1074),"")</f>
        <v/>
      </c>
      <c r="T1074" s="21" t="str">
        <f>IFERROR(IF([1]对账明细接口!$O1074=0,"",[1]对账明细接口!$O1074),"")</f>
        <v/>
      </c>
      <c r="U1074" s="21" t="str">
        <f>IFERROR(IF([1]对账明细接口!$P1074=0,"",[1]对账明细接口!$P1074),"")</f>
        <v/>
      </c>
      <c r="V1074" s="21" t="str">
        <f>IFERROR(IF([1]对账明细接口!$Q1074=0,"",[1]对账明细接口!$Q1074),"")</f>
        <v/>
      </c>
      <c r="W1074" s="20" t="str">
        <f>IFERROR(IF([1]对账明细接口!$R1074=0,"",[1]对账明细接口!$R1074),"")</f>
        <v/>
      </c>
      <c r="X1074" s="20" t="str">
        <f>IFERROR(IF([1]对账明细接口!$S1074=0,"",[1]对账明细接口!$S1074),"")</f>
        <v/>
      </c>
      <c r="Y1074" s="20" t="str">
        <f>IFERROR(IF([1]对账明细接口!$T1074=0,"",[1]对账明细接口!$T1074),"")</f>
        <v/>
      </c>
      <c r="Z1074" s="24" t="str">
        <f>IFERROR(IF([1]对账明细接口!$U1074=0,"",[1]对账明细接口!$U1074),"")</f>
        <v/>
      </c>
      <c r="AA1074" s="24" t="str">
        <f>IFERROR(IF([1]对账明细接口!$V1074=0,"",[1]对账明细接口!$V1074),"")</f>
        <v/>
      </c>
      <c r="AB1074" s="20" t="str">
        <f>IFERROR(IF([1]对账明细接口!$W1074=0,"",[1]对账明细接口!$W1074),"")</f>
        <v/>
      </c>
      <c r="AC1074" s="7" t="str">
        <f>IFERROR(IF([1]对账明细接口!$X1074=0,"",[1]对账明细接口!$X1074),"")</f>
        <v/>
      </c>
      <c r="AD1074" s="7" t="str">
        <f>IFERROR(IF([1]对账明细接口!$Y1074=0,"",[1]对账明细接口!$Y1074),"")</f>
        <v/>
      </c>
      <c r="AE1074" s="7" t="str">
        <f>IFERROR(IF([1]对账明细接口!$AA1074=0,"",[1]对账明细接口!$AA1074),"")</f>
        <v/>
      </c>
      <c r="AF1074" s="7" t="str">
        <f>IFERROR(IF([1]对账明细接口!$AB1074=0,"",[1]对账明细接口!$AB1074),"")</f>
        <v/>
      </c>
      <c r="AG1074" s="7" t="str">
        <f>IFERROR(IF([1]对账明细接口!$AC1074=0,"",[1]对账明细接口!$AC1074),"")</f>
        <v/>
      </c>
      <c r="AH1074" s="7" t="str">
        <f>IFERROR(IF([1]对账明细接口!$AD1074=0,"",[1]对账明细接口!$AD1074),"")</f>
        <v/>
      </c>
      <c r="AI1074" s="7" t="str">
        <f>IFERROR(IF([1]对账明细接口!$AE1074=0,"",[1]对账明细接口!$AE1074),"")</f>
        <v/>
      </c>
      <c r="AJ1074" s="7" t="str">
        <f>IFERROR(IF([1]对账明细接口!$AF1074=0,"",[1]对账明细接口!$AF1074),"")</f>
        <v/>
      </c>
    </row>
    <row r="1075" ht="14.25" customHeight="1" spans="1:36">
      <c r="A1075" s="14">
        <v>1075</v>
      </c>
      <c r="B1075" s="15" t="str">
        <f>IFERROR(IF([1]对账明细接口!$B$1075=0,"",[1]对账明细接口!$B$1075),"")</f>
        <v/>
      </c>
      <c r="C1075" s="16" t="str">
        <f>IFERROR(IF([1]对账明细接口!$C$1075=0,"",[1]对账明细接口!$C$1075),"")</f>
        <v/>
      </c>
      <c r="D1075" s="16" t="str">
        <f>IFERROR(IF([1]对账明细接口!$D$1075=0,"",[1]对账明细接口!$D$1075),"")</f>
        <v/>
      </c>
      <c r="E1075" s="16" t="str">
        <f>IFERROR(IF([1]对账明细接口!$E$1075=0,"",[1]对账明细接口!$E$1075),"")</f>
        <v/>
      </c>
      <c r="F1075" s="16" t="str">
        <f>IFERROR(IF([1]对账明细接口!$F$1075=0,"",[1]对账明细接口!$F$1075),"")</f>
        <v/>
      </c>
      <c r="G1075" s="16" t="str">
        <f>IFERROR(IF([1]对账明细接口!$G$1075=0,"",[1]对账明细接口!$G$1075),"")</f>
        <v/>
      </c>
      <c r="H1075" s="17" t="str">
        <f>IFERROR(IF([1]对账明细接口!$H$1075=0,"",[1]对账明细接口!$H$1075),"")</f>
        <v/>
      </c>
      <c r="I1075" s="16" t="str">
        <f>IFERROR(IF([1]对账明细接口!$I$1075=0,"",[1]对账明细接口!$I$1075),"")</f>
        <v/>
      </c>
      <c r="J1075" s="18" t="str">
        <f>IFERROR(IF([1]对账明细接口!$J$1075=0,"",[1]对账明细接口!$J$1075),"")</f>
        <v/>
      </c>
      <c r="K1075" s="18" t="str">
        <f>IFERROR(IF([1]对账明细接口!$K$1075=0,"",[1]对账明细接口!$K$1075),"")</f>
        <v/>
      </c>
      <c r="L1075" s="16" t="str">
        <f>IFERROR(IF([1]对账明细接口!$L$1075=0,"",[1]对账明细接口!$L$1075),"")</f>
        <v/>
      </c>
      <c r="M1075" s="16" t="str">
        <f>IFERROR(IF([1]对账明细接口!$M$1075=0,"",[1]对账明细接口!$M$1075),"")</f>
        <v/>
      </c>
      <c r="N1075" s="19">
        <f t="shared" si="32"/>
        <v>0</v>
      </c>
      <c r="O1075" s="19">
        <f t="shared" si="33"/>
        <v>420</v>
      </c>
      <c r="S1075" s="20" t="str">
        <f>IFERROR(IF([1]对账明细接口!$N1075=0,"",[1]对账明细接口!$N1075),"")</f>
        <v/>
      </c>
      <c r="T1075" s="21" t="str">
        <f>IFERROR(IF([1]对账明细接口!$O1075=0,"",[1]对账明细接口!$O1075),"")</f>
        <v/>
      </c>
      <c r="U1075" s="21" t="str">
        <f>IFERROR(IF([1]对账明细接口!$P1075=0,"",[1]对账明细接口!$P1075),"")</f>
        <v/>
      </c>
      <c r="V1075" s="21" t="str">
        <f>IFERROR(IF([1]对账明细接口!$Q1075=0,"",[1]对账明细接口!$Q1075),"")</f>
        <v/>
      </c>
      <c r="W1075" s="20" t="str">
        <f>IFERROR(IF([1]对账明细接口!$R1075=0,"",[1]对账明细接口!$R1075),"")</f>
        <v/>
      </c>
      <c r="X1075" s="20" t="str">
        <f>IFERROR(IF([1]对账明细接口!$S1075=0,"",[1]对账明细接口!$S1075),"")</f>
        <v/>
      </c>
      <c r="Y1075" s="20" t="str">
        <f>IFERROR(IF([1]对账明细接口!$T1075=0,"",[1]对账明细接口!$T1075),"")</f>
        <v/>
      </c>
      <c r="Z1075" s="24" t="str">
        <f>IFERROR(IF([1]对账明细接口!$U1075=0,"",[1]对账明细接口!$U1075),"")</f>
        <v/>
      </c>
      <c r="AA1075" s="24" t="str">
        <f>IFERROR(IF([1]对账明细接口!$V1075=0,"",[1]对账明细接口!$V1075),"")</f>
        <v/>
      </c>
      <c r="AB1075" s="20" t="str">
        <f>IFERROR(IF([1]对账明细接口!$W1075=0,"",[1]对账明细接口!$W1075),"")</f>
        <v/>
      </c>
      <c r="AC1075" s="7" t="str">
        <f>IFERROR(IF([1]对账明细接口!$X1075=0,"",[1]对账明细接口!$X1075),"")</f>
        <v/>
      </c>
      <c r="AD1075" s="7" t="str">
        <f>IFERROR(IF([1]对账明细接口!$Y1075=0,"",[1]对账明细接口!$Y1075),"")</f>
        <v/>
      </c>
      <c r="AE1075" s="7" t="str">
        <f>IFERROR(IF([1]对账明细接口!$AA1075=0,"",[1]对账明细接口!$AA1075),"")</f>
        <v/>
      </c>
      <c r="AF1075" s="7" t="str">
        <f>IFERROR(IF([1]对账明细接口!$AB1075=0,"",[1]对账明细接口!$AB1075),"")</f>
        <v/>
      </c>
      <c r="AG1075" s="7" t="str">
        <f>IFERROR(IF([1]对账明细接口!$AC1075=0,"",[1]对账明细接口!$AC1075),"")</f>
        <v/>
      </c>
      <c r="AH1075" s="7" t="str">
        <f>IFERROR(IF([1]对账明细接口!$AD1075=0,"",[1]对账明细接口!$AD1075),"")</f>
        <v/>
      </c>
      <c r="AI1075" s="7" t="str">
        <f>IFERROR(IF([1]对账明细接口!$AE1075=0,"",[1]对账明细接口!$AE1075),"")</f>
        <v/>
      </c>
      <c r="AJ1075" s="7" t="str">
        <f>IFERROR(IF([1]对账明细接口!$AF1075=0,"",[1]对账明细接口!$AF1075),"")</f>
        <v/>
      </c>
    </row>
    <row r="1076" ht="14.25" customHeight="1" spans="1:36">
      <c r="A1076" s="14">
        <v>1076</v>
      </c>
      <c r="B1076" s="15" t="str">
        <f>IFERROR(IF([1]对账明细接口!$B$1076=0,"",[1]对账明细接口!$B$1076),"")</f>
        <v/>
      </c>
      <c r="C1076" s="16" t="str">
        <f>IFERROR(IF([1]对账明细接口!$C$1076=0,"",[1]对账明细接口!$C$1076),"")</f>
        <v/>
      </c>
      <c r="D1076" s="16" t="str">
        <f>IFERROR(IF([1]对账明细接口!$D$1076=0,"",[1]对账明细接口!$D$1076),"")</f>
        <v/>
      </c>
      <c r="E1076" s="16" t="str">
        <f>IFERROR(IF([1]对账明细接口!$E$1076=0,"",[1]对账明细接口!$E$1076),"")</f>
        <v/>
      </c>
      <c r="F1076" s="16" t="str">
        <f>IFERROR(IF([1]对账明细接口!$F$1076=0,"",[1]对账明细接口!$F$1076),"")</f>
        <v/>
      </c>
      <c r="G1076" s="16" t="str">
        <f>IFERROR(IF([1]对账明细接口!$G$1076=0,"",[1]对账明细接口!$G$1076),"")</f>
        <v/>
      </c>
      <c r="H1076" s="17" t="str">
        <f>IFERROR(IF([1]对账明细接口!$H$1076=0,"",[1]对账明细接口!$H$1076),"")</f>
        <v/>
      </c>
      <c r="I1076" s="16" t="str">
        <f>IFERROR(IF([1]对账明细接口!$I$1076=0,"",[1]对账明细接口!$I$1076),"")</f>
        <v/>
      </c>
      <c r="J1076" s="18" t="str">
        <f>IFERROR(IF([1]对账明细接口!$J$1076=0,"",[1]对账明细接口!$J$1076),"")</f>
        <v/>
      </c>
      <c r="K1076" s="18" t="str">
        <f>IFERROR(IF([1]对账明细接口!$K$1076=0,"",[1]对账明细接口!$K$1076),"")</f>
        <v/>
      </c>
      <c r="L1076" s="16" t="str">
        <f>IFERROR(IF([1]对账明细接口!$L$1076=0,"",[1]对账明细接口!$L$1076),"")</f>
        <v/>
      </c>
      <c r="M1076" s="16" t="str">
        <f>IFERROR(IF([1]对账明细接口!$M$1076=0,"",[1]对账明细接口!$M$1076),"")</f>
        <v/>
      </c>
      <c r="N1076" s="19">
        <f t="shared" si="32"/>
        <v>0</v>
      </c>
      <c r="O1076" s="19">
        <f t="shared" si="33"/>
        <v>420</v>
      </c>
      <c r="S1076" s="20" t="str">
        <f>IFERROR(IF([1]对账明细接口!$N1076=0,"",[1]对账明细接口!$N1076),"")</f>
        <v/>
      </c>
      <c r="T1076" s="21" t="str">
        <f>IFERROR(IF([1]对账明细接口!$O1076=0,"",[1]对账明细接口!$O1076),"")</f>
        <v/>
      </c>
      <c r="U1076" s="21" t="str">
        <f>IFERROR(IF([1]对账明细接口!$P1076=0,"",[1]对账明细接口!$P1076),"")</f>
        <v/>
      </c>
      <c r="V1076" s="21" t="str">
        <f>IFERROR(IF([1]对账明细接口!$Q1076=0,"",[1]对账明细接口!$Q1076),"")</f>
        <v/>
      </c>
      <c r="W1076" s="20" t="str">
        <f>IFERROR(IF([1]对账明细接口!$R1076=0,"",[1]对账明细接口!$R1076),"")</f>
        <v/>
      </c>
      <c r="X1076" s="20" t="str">
        <f>IFERROR(IF([1]对账明细接口!$S1076=0,"",[1]对账明细接口!$S1076),"")</f>
        <v/>
      </c>
      <c r="Y1076" s="20" t="str">
        <f>IFERROR(IF([1]对账明细接口!$T1076=0,"",[1]对账明细接口!$T1076),"")</f>
        <v/>
      </c>
      <c r="Z1076" s="24" t="str">
        <f>IFERROR(IF([1]对账明细接口!$U1076=0,"",[1]对账明细接口!$U1076),"")</f>
        <v/>
      </c>
      <c r="AA1076" s="24" t="str">
        <f>IFERROR(IF([1]对账明细接口!$V1076=0,"",[1]对账明细接口!$V1076),"")</f>
        <v/>
      </c>
      <c r="AB1076" s="20" t="str">
        <f>IFERROR(IF([1]对账明细接口!$W1076=0,"",[1]对账明细接口!$W1076),"")</f>
        <v/>
      </c>
      <c r="AC1076" s="7" t="str">
        <f>IFERROR(IF([1]对账明细接口!$X1076=0,"",[1]对账明细接口!$X1076),"")</f>
        <v/>
      </c>
      <c r="AD1076" s="7" t="str">
        <f>IFERROR(IF([1]对账明细接口!$Y1076=0,"",[1]对账明细接口!$Y1076),"")</f>
        <v/>
      </c>
      <c r="AE1076" s="7" t="str">
        <f>IFERROR(IF([1]对账明细接口!$AA1076=0,"",[1]对账明细接口!$AA1076),"")</f>
        <v/>
      </c>
      <c r="AF1076" s="7" t="str">
        <f>IFERROR(IF([1]对账明细接口!$AB1076=0,"",[1]对账明细接口!$AB1076),"")</f>
        <v/>
      </c>
      <c r="AG1076" s="7" t="str">
        <f>IFERROR(IF([1]对账明细接口!$AC1076=0,"",[1]对账明细接口!$AC1076),"")</f>
        <v/>
      </c>
      <c r="AH1076" s="7" t="str">
        <f>IFERROR(IF([1]对账明细接口!$AD1076=0,"",[1]对账明细接口!$AD1076),"")</f>
        <v/>
      </c>
      <c r="AI1076" s="7" t="str">
        <f>IFERROR(IF([1]对账明细接口!$AE1076=0,"",[1]对账明细接口!$AE1076),"")</f>
        <v/>
      </c>
      <c r="AJ1076" s="7" t="str">
        <f>IFERROR(IF([1]对账明细接口!$AF1076=0,"",[1]对账明细接口!$AF1076),"")</f>
        <v/>
      </c>
    </row>
    <row r="1077" ht="14.25" customHeight="1" spans="1:36">
      <c r="A1077" s="14">
        <v>1077</v>
      </c>
      <c r="B1077" s="15" t="str">
        <f>IFERROR(IF([1]对账明细接口!$B$1077=0,"",[1]对账明细接口!$B$1077),"")</f>
        <v/>
      </c>
      <c r="C1077" s="16" t="str">
        <f>IFERROR(IF([1]对账明细接口!$C$1077=0,"",[1]对账明细接口!$C$1077),"")</f>
        <v/>
      </c>
      <c r="D1077" s="16" t="str">
        <f>IFERROR(IF([1]对账明细接口!$D$1077=0,"",[1]对账明细接口!$D$1077),"")</f>
        <v/>
      </c>
      <c r="E1077" s="16" t="str">
        <f>IFERROR(IF([1]对账明细接口!$E$1077=0,"",[1]对账明细接口!$E$1077),"")</f>
        <v/>
      </c>
      <c r="F1077" s="16" t="str">
        <f>IFERROR(IF([1]对账明细接口!$F$1077=0,"",[1]对账明细接口!$F$1077),"")</f>
        <v/>
      </c>
      <c r="G1077" s="16" t="str">
        <f>IFERROR(IF([1]对账明细接口!$G$1077=0,"",[1]对账明细接口!$G$1077),"")</f>
        <v/>
      </c>
      <c r="H1077" s="17" t="str">
        <f>IFERROR(IF([1]对账明细接口!$H$1077=0,"",[1]对账明细接口!$H$1077),"")</f>
        <v/>
      </c>
      <c r="I1077" s="16" t="str">
        <f>IFERROR(IF([1]对账明细接口!$I$1077=0,"",[1]对账明细接口!$I$1077),"")</f>
        <v/>
      </c>
      <c r="J1077" s="18" t="str">
        <f>IFERROR(IF([1]对账明细接口!$J$1077=0,"",[1]对账明细接口!$J$1077),"")</f>
        <v/>
      </c>
      <c r="K1077" s="18" t="str">
        <f>IFERROR(IF([1]对账明细接口!$K$1077=0,"",[1]对账明细接口!$K$1077),"")</f>
        <v/>
      </c>
      <c r="L1077" s="16" t="str">
        <f>IFERROR(IF([1]对账明细接口!$L$1077=0,"",[1]对账明细接口!$L$1077),"")</f>
        <v/>
      </c>
      <c r="M1077" s="16" t="str">
        <f>IFERROR(IF([1]对账明细接口!$M$1077=0,"",[1]对账明细接口!$M$1077),"")</f>
        <v/>
      </c>
      <c r="N1077" s="19">
        <f t="shared" si="32"/>
        <v>0</v>
      </c>
      <c r="O1077" s="19">
        <f t="shared" si="33"/>
        <v>420</v>
      </c>
      <c r="S1077" s="20" t="str">
        <f>IFERROR(IF([1]对账明细接口!$N1077=0,"",[1]对账明细接口!$N1077),"")</f>
        <v/>
      </c>
      <c r="T1077" s="21" t="str">
        <f>IFERROR(IF([1]对账明细接口!$O1077=0,"",[1]对账明细接口!$O1077),"")</f>
        <v/>
      </c>
      <c r="U1077" s="21" t="str">
        <f>IFERROR(IF([1]对账明细接口!$P1077=0,"",[1]对账明细接口!$P1077),"")</f>
        <v/>
      </c>
      <c r="V1077" s="21" t="str">
        <f>IFERROR(IF([1]对账明细接口!$Q1077=0,"",[1]对账明细接口!$Q1077),"")</f>
        <v/>
      </c>
      <c r="W1077" s="20" t="str">
        <f>IFERROR(IF([1]对账明细接口!$R1077=0,"",[1]对账明细接口!$R1077),"")</f>
        <v/>
      </c>
      <c r="X1077" s="20" t="str">
        <f>IFERROR(IF([1]对账明细接口!$S1077=0,"",[1]对账明细接口!$S1077),"")</f>
        <v/>
      </c>
      <c r="Y1077" s="20" t="str">
        <f>IFERROR(IF([1]对账明细接口!$T1077=0,"",[1]对账明细接口!$T1077),"")</f>
        <v/>
      </c>
      <c r="Z1077" s="24" t="str">
        <f>IFERROR(IF([1]对账明细接口!$U1077=0,"",[1]对账明细接口!$U1077),"")</f>
        <v/>
      </c>
      <c r="AA1077" s="24" t="str">
        <f>IFERROR(IF([1]对账明细接口!$V1077=0,"",[1]对账明细接口!$V1077),"")</f>
        <v/>
      </c>
      <c r="AB1077" s="20" t="str">
        <f>IFERROR(IF([1]对账明细接口!$W1077=0,"",[1]对账明细接口!$W1077),"")</f>
        <v/>
      </c>
      <c r="AC1077" s="7" t="str">
        <f>IFERROR(IF([1]对账明细接口!$X1077=0,"",[1]对账明细接口!$X1077),"")</f>
        <v/>
      </c>
      <c r="AD1077" s="7" t="str">
        <f>IFERROR(IF([1]对账明细接口!$Y1077=0,"",[1]对账明细接口!$Y1077),"")</f>
        <v/>
      </c>
      <c r="AE1077" s="7" t="str">
        <f>IFERROR(IF([1]对账明细接口!$AA1077=0,"",[1]对账明细接口!$AA1077),"")</f>
        <v/>
      </c>
      <c r="AF1077" s="7" t="str">
        <f>IFERROR(IF([1]对账明细接口!$AB1077=0,"",[1]对账明细接口!$AB1077),"")</f>
        <v/>
      </c>
      <c r="AG1077" s="7" t="str">
        <f>IFERROR(IF([1]对账明细接口!$AC1077=0,"",[1]对账明细接口!$AC1077),"")</f>
        <v/>
      </c>
      <c r="AH1077" s="7" t="str">
        <f>IFERROR(IF([1]对账明细接口!$AD1077=0,"",[1]对账明细接口!$AD1077),"")</f>
        <v/>
      </c>
      <c r="AI1077" s="7" t="str">
        <f>IFERROR(IF([1]对账明细接口!$AE1077=0,"",[1]对账明细接口!$AE1077),"")</f>
        <v/>
      </c>
      <c r="AJ1077" s="7" t="str">
        <f>IFERROR(IF([1]对账明细接口!$AF1077=0,"",[1]对账明细接口!$AF1077),"")</f>
        <v/>
      </c>
    </row>
    <row r="1078" ht="14.25" customHeight="1" spans="1:36">
      <c r="A1078" s="14">
        <v>1078</v>
      </c>
      <c r="B1078" s="15" t="str">
        <f>IFERROR(IF([1]对账明细接口!$B$1078=0,"",[1]对账明细接口!$B$1078),"")</f>
        <v/>
      </c>
      <c r="C1078" s="16" t="str">
        <f>IFERROR(IF([1]对账明细接口!$C$1078=0,"",[1]对账明细接口!$C$1078),"")</f>
        <v/>
      </c>
      <c r="D1078" s="16" t="str">
        <f>IFERROR(IF([1]对账明细接口!$D$1078=0,"",[1]对账明细接口!$D$1078),"")</f>
        <v/>
      </c>
      <c r="E1078" s="16" t="str">
        <f>IFERROR(IF([1]对账明细接口!$E$1078=0,"",[1]对账明细接口!$E$1078),"")</f>
        <v/>
      </c>
      <c r="F1078" s="16" t="str">
        <f>IFERROR(IF([1]对账明细接口!$F$1078=0,"",[1]对账明细接口!$F$1078),"")</f>
        <v/>
      </c>
      <c r="G1078" s="16" t="str">
        <f>IFERROR(IF([1]对账明细接口!$G$1078=0,"",[1]对账明细接口!$G$1078),"")</f>
        <v/>
      </c>
      <c r="H1078" s="17" t="str">
        <f>IFERROR(IF([1]对账明细接口!$H$1078=0,"",[1]对账明细接口!$H$1078),"")</f>
        <v/>
      </c>
      <c r="I1078" s="16" t="str">
        <f>IFERROR(IF([1]对账明细接口!$I$1078=0,"",[1]对账明细接口!$I$1078),"")</f>
        <v/>
      </c>
      <c r="J1078" s="18" t="str">
        <f>IFERROR(IF([1]对账明细接口!$J$1078=0,"",[1]对账明细接口!$J$1078),"")</f>
        <v/>
      </c>
      <c r="K1078" s="18" t="str">
        <f>IFERROR(IF([1]对账明细接口!$K$1078=0,"",[1]对账明细接口!$K$1078),"")</f>
        <v/>
      </c>
      <c r="L1078" s="16" t="str">
        <f>IFERROR(IF([1]对账明细接口!$L$1078=0,"",[1]对账明细接口!$L$1078),"")</f>
        <v/>
      </c>
      <c r="M1078" s="16" t="str">
        <f>IFERROR(IF([1]对账明细接口!$M$1078=0,"",[1]对账明细接口!$M$1078),"")</f>
        <v/>
      </c>
      <c r="N1078" s="19">
        <f t="shared" si="32"/>
        <v>0</v>
      </c>
      <c r="O1078" s="19">
        <f t="shared" si="33"/>
        <v>420</v>
      </c>
      <c r="S1078" s="20" t="str">
        <f>IFERROR(IF([1]对账明细接口!$N1078=0,"",[1]对账明细接口!$N1078),"")</f>
        <v/>
      </c>
      <c r="T1078" s="21" t="str">
        <f>IFERROR(IF([1]对账明细接口!$O1078=0,"",[1]对账明细接口!$O1078),"")</f>
        <v/>
      </c>
      <c r="U1078" s="21" t="str">
        <f>IFERROR(IF([1]对账明细接口!$P1078=0,"",[1]对账明细接口!$P1078),"")</f>
        <v/>
      </c>
      <c r="V1078" s="21" t="str">
        <f>IFERROR(IF([1]对账明细接口!$Q1078=0,"",[1]对账明细接口!$Q1078),"")</f>
        <v/>
      </c>
      <c r="W1078" s="20" t="str">
        <f>IFERROR(IF([1]对账明细接口!$R1078=0,"",[1]对账明细接口!$R1078),"")</f>
        <v/>
      </c>
      <c r="X1078" s="20" t="str">
        <f>IFERROR(IF([1]对账明细接口!$S1078=0,"",[1]对账明细接口!$S1078),"")</f>
        <v/>
      </c>
      <c r="Y1078" s="20" t="str">
        <f>IFERROR(IF([1]对账明细接口!$T1078=0,"",[1]对账明细接口!$T1078),"")</f>
        <v/>
      </c>
      <c r="Z1078" s="24" t="str">
        <f>IFERROR(IF([1]对账明细接口!$U1078=0,"",[1]对账明细接口!$U1078),"")</f>
        <v/>
      </c>
      <c r="AA1078" s="24" t="str">
        <f>IFERROR(IF([1]对账明细接口!$V1078=0,"",[1]对账明细接口!$V1078),"")</f>
        <v/>
      </c>
      <c r="AB1078" s="20" t="str">
        <f>IFERROR(IF([1]对账明细接口!$W1078=0,"",[1]对账明细接口!$W1078),"")</f>
        <v/>
      </c>
      <c r="AC1078" s="7" t="str">
        <f>IFERROR(IF([1]对账明细接口!$X1078=0,"",[1]对账明细接口!$X1078),"")</f>
        <v/>
      </c>
      <c r="AD1078" s="7" t="str">
        <f>IFERROR(IF([1]对账明细接口!$Y1078=0,"",[1]对账明细接口!$Y1078),"")</f>
        <v/>
      </c>
      <c r="AE1078" s="7" t="str">
        <f>IFERROR(IF([1]对账明细接口!$AA1078=0,"",[1]对账明细接口!$AA1078),"")</f>
        <v/>
      </c>
      <c r="AF1078" s="7" t="str">
        <f>IFERROR(IF([1]对账明细接口!$AB1078=0,"",[1]对账明细接口!$AB1078),"")</f>
        <v/>
      </c>
      <c r="AG1078" s="7" t="str">
        <f>IFERROR(IF([1]对账明细接口!$AC1078=0,"",[1]对账明细接口!$AC1078),"")</f>
        <v/>
      </c>
      <c r="AH1078" s="7" t="str">
        <f>IFERROR(IF([1]对账明细接口!$AD1078=0,"",[1]对账明细接口!$AD1078),"")</f>
        <v/>
      </c>
      <c r="AI1078" s="7" t="str">
        <f>IFERROR(IF([1]对账明细接口!$AE1078=0,"",[1]对账明细接口!$AE1078),"")</f>
        <v/>
      </c>
      <c r="AJ1078" s="7" t="str">
        <f>IFERROR(IF([1]对账明细接口!$AF1078=0,"",[1]对账明细接口!$AF1078),"")</f>
        <v/>
      </c>
    </row>
    <row r="1079" ht="14.25" customHeight="1" spans="1:36">
      <c r="A1079" s="14">
        <v>1079</v>
      </c>
      <c r="B1079" s="15" t="str">
        <f>IFERROR(IF([1]对账明细接口!$B$1079=0,"",[1]对账明细接口!$B$1079),"")</f>
        <v/>
      </c>
      <c r="C1079" s="16" t="str">
        <f>IFERROR(IF([1]对账明细接口!$C$1079=0,"",[1]对账明细接口!$C$1079),"")</f>
        <v/>
      </c>
      <c r="D1079" s="16" t="str">
        <f>IFERROR(IF([1]对账明细接口!$D$1079=0,"",[1]对账明细接口!$D$1079),"")</f>
        <v/>
      </c>
      <c r="E1079" s="16" t="str">
        <f>IFERROR(IF([1]对账明细接口!$E$1079=0,"",[1]对账明细接口!$E$1079),"")</f>
        <v/>
      </c>
      <c r="F1079" s="16" t="str">
        <f>IFERROR(IF([1]对账明细接口!$F$1079=0,"",[1]对账明细接口!$F$1079),"")</f>
        <v/>
      </c>
      <c r="G1079" s="16" t="str">
        <f>IFERROR(IF([1]对账明细接口!$G$1079=0,"",[1]对账明细接口!$G$1079),"")</f>
        <v/>
      </c>
      <c r="H1079" s="17" t="str">
        <f>IFERROR(IF([1]对账明细接口!$H$1079=0,"",[1]对账明细接口!$H$1079),"")</f>
        <v/>
      </c>
      <c r="I1079" s="16" t="str">
        <f>IFERROR(IF([1]对账明细接口!$I$1079=0,"",[1]对账明细接口!$I$1079),"")</f>
        <v/>
      </c>
      <c r="J1079" s="18" t="str">
        <f>IFERROR(IF([1]对账明细接口!$J$1079=0,"",[1]对账明细接口!$J$1079),"")</f>
        <v/>
      </c>
      <c r="K1079" s="18" t="str">
        <f>IFERROR(IF([1]对账明细接口!$K$1079=0,"",[1]对账明细接口!$K$1079),"")</f>
        <v/>
      </c>
      <c r="L1079" s="16" t="str">
        <f>IFERROR(IF([1]对账明细接口!$L$1079=0,"",[1]对账明细接口!$L$1079),"")</f>
        <v/>
      </c>
      <c r="M1079" s="16" t="str">
        <f>IFERROR(IF([1]对账明细接口!$M$1079=0,"",[1]对账明细接口!$M$1079),"")</f>
        <v/>
      </c>
      <c r="N1079" s="19">
        <f t="shared" si="32"/>
        <v>0</v>
      </c>
      <c r="O1079" s="19">
        <f t="shared" si="33"/>
        <v>420</v>
      </c>
      <c r="S1079" s="20" t="str">
        <f>IFERROR(IF([1]对账明细接口!$N1079=0,"",[1]对账明细接口!$N1079),"")</f>
        <v/>
      </c>
      <c r="T1079" s="21" t="str">
        <f>IFERROR(IF([1]对账明细接口!$O1079=0,"",[1]对账明细接口!$O1079),"")</f>
        <v/>
      </c>
      <c r="U1079" s="21" t="str">
        <f>IFERROR(IF([1]对账明细接口!$P1079=0,"",[1]对账明细接口!$P1079),"")</f>
        <v/>
      </c>
      <c r="V1079" s="21" t="str">
        <f>IFERROR(IF([1]对账明细接口!$Q1079=0,"",[1]对账明细接口!$Q1079),"")</f>
        <v/>
      </c>
      <c r="W1079" s="20" t="str">
        <f>IFERROR(IF([1]对账明细接口!$R1079=0,"",[1]对账明细接口!$R1079),"")</f>
        <v/>
      </c>
      <c r="X1079" s="20" t="str">
        <f>IFERROR(IF([1]对账明细接口!$S1079=0,"",[1]对账明细接口!$S1079),"")</f>
        <v/>
      </c>
      <c r="Y1079" s="20" t="str">
        <f>IFERROR(IF([1]对账明细接口!$T1079=0,"",[1]对账明细接口!$T1079),"")</f>
        <v/>
      </c>
      <c r="Z1079" s="24" t="str">
        <f>IFERROR(IF([1]对账明细接口!$U1079=0,"",[1]对账明细接口!$U1079),"")</f>
        <v/>
      </c>
      <c r="AA1079" s="24" t="str">
        <f>IFERROR(IF([1]对账明细接口!$V1079=0,"",[1]对账明细接口!$V1079),"")</f>
        <v/>
      </c>
      <c r="AB1079" s="20" t="str">
        <f>IFERROR(IF([1]对账明细接口!$W1079=0,"",[1]对账明细接口!$W1079),"")</f>
        <v/>
      </c>
      <c r="AC1079" s="7" t="str">
        <f>IFERROR(IF([1]对账明细接口!$X1079=0,"",[1]对账明细接口!$X1079),"")</f>
        <v/>
      </c>
      <c r="AD1079" s="7" t="str">
        <f>IFERROR(IF([1]对账明细接口!$Y1079=0,"",[1]对账明细接口!$Y1079),"")</f>
        <v/>
      </c>
      <c r="AE1079" s="7" t="str">
        <f>IFERROR(IF([1]对账明细接口!$AA1079=0,"",[1]对账明细接口!$AA1079),"")</f>
        <v/>
      </c>
      <c r="AF1079" s="7" t="str">
        <f>IFERROR(IF([1]对账明细接口!$AB1079=0,"",[1]对账明细接口!$AB1079),"")</f>
        <v/>
      </c>
      <c r="AG1079" s="7" t="str">
        <f>IFERROR(IF([1]对账明细接口!$AC1079=0,"",[1]对账明细接口!$AC1079),"")</f>
        <v/>
      </c>
      <c r="AH1079" s="7" t="str">
        <f>IFERROR(IF([1]对账明细接口!$AD1079=0,"",[1]对账明细接口!$AD1079),"")</f>
        <v/>
      </c>
      <c r="AI1079" s="7" t="str">
        <f>IFERROR(IF([1]对账明细接口!$AE1079=0,"",[1]对账明细接口!$AE1079),"")</f>
        <v/>
      </c>
      <c r="AJ1079" s="7" t="str">
        <f>IFERROR(IF([1]对账明细接口!$AF1079=0,"",[1]对账明细接口!$AF1079),"")</f>
        <v/>
      </c>
    </row>
    <row r="1080" ht="14.25" customHeight="1" spans="1:36">
      <c r="A1080" s="14">
        <v>1080</v>
      </c>
      <c r="B1080" s="15" t="str">
        <f>IFERROR(IF([1]对账明细接口!$B$1080=0,"",[1]对账明细接口!$B$1080),"")</f>
        <v/>
      </c>
      <c r="C1080" s="16" t="str">
        <f>IFERROR(IF([1]对账明细接口!$C$1080=0,"",[1]对账明细接口!$C$1080),"")</f>
        <v/>
      </c>
      <c r="D1080" s="16" t="str">
        <f>IFERROR(IF([1]对账明细接口!$D$1080=0,"",[1]对账明细接口!$D$1080),"")</f>
        <v/>
      </c>
      <c r="E1080" s="16" t="str">
        <f>IFERROR(IF([1]对账明细接口!$E$1080=0,"",[1]对账明细接口!$E$1080),"")</f>
        <v/>
      </c>
      <c r="F1080" s="16" t="str">
        <f>IFERROR(IF([1]对账明细接口!$F$1080=0,"",[1]对账明细接口!$F$1080),"")</f>
        <v/>
      </c>
      <c r="G1080" s="16" t="str">
        <f>IFERROR(IF([1]对账明细接口!$G$1080=0,"",[1]对账明细接口!$G$1080),"")</f>
        <v/>
      </c>
      <c r="H1080" s="17" t="str">
        <f>IFERROR(IF([1]对账明细接口!$H$1080=0,"",[1]对账明细接口!$H$1080),"")</f>
        <v/>
      </c>
      <c r="I1080" s="16" t="str">
        <f>IFERROR(IF([1]对账明细接口!$I$1080=0,"",[1]对账明细接口!$I$1080),"")</f>
        <v/>
      </c>
      <c r="J1080" s="18" t="str">
        <f>IFERROR(IF([1]对账明细接口!$J$1080=0,"",[1]对账明细接口!$J$1080),"")</f>
        <v/>
      </c>
      <c r="K1080" s="18" t="str">
        <f>IFERROR(IF([1]对账明细接口!$K$1080=0,"",[1]对账明细接口!$K$1080),"")</f>
        <v/>
      </c>
      <c r="L1080" s="16" t="str">
        <f>IFERROR(IF([1]对账明细接口!$L$1080=0,"",[1]对账明细接口!$L$1080),"")</f>
        <v/>
      </c>
      <c r="M1080" s="16" t="str">
        <f>IFERROR(IF([1]对账明细接口!$M$1080=0,"",[1]对账明细接口!$M$1080),"")</f>
        <v/>
      </c>
      <c r="N1080" s="19">
        <f t="shared" si="32"/>
        <v>0</v>
      </c>
      <c r="O1080" s="19">
        <f t="shared" si="33"/>
        <v>420</v>
      </c>
      <c r="S1080" s="20" t="str">
        <f>IFERROR(IF([1]对账明细接口!$N1080=0,"",[1]对账明细接口!$N1080),"")</f>
        <v/>
      </c>
      <c r="T1080" s="21" t="str">
        <f>IFERROR(IF([1]对账明细接口!$O1080=0,"",[1]对账明细接口!$O1080),"")</f>
        <v/>
      </c>
      <c r="U1080" s="21" t="str">
        <f>IFERROR(IF([1]对账明细接口!$P1080=0,"",[1]对账明细接口!$P1080),"")</f>
        <v/>
      </c>
      <c r="V1080" s="21" t="str">
        <f>IFERROR(IF([1]对账明细接口!$Q1080=0,"",[1]对账明细接口!$Q1080),"")</f>
        <v/>
      </c>
      <c r="W1080" s="20" t="str">
        <f>IFERROR(IF([1]对账明细接口!$R1080=0,"",[1]对账明细接口!$R1080),"")</f>
        <v/>
      </c>
      <c r="X1080" s="20" t="str">
        <f>IFERROR(IF([1]对账明细接口!$S1080=0,"",[1]对账明细接口!$S1080),"")</f>
        <v/>
      </c>
      <c r="Y1080" s="20" t="str">
        <f>IFERROR(IF([1]对账明细接口!$T1080=0,"",[1]对账明细接口!$T1080),"")</f>
        <v/>
      </c>
      <c r="Z1080" s="24" t="str">
        <f>IFERROR(IF([1]对账明细接口!$U1080=0,"",[1]对账明细接口!$U1080),"")</f>
        <v/>
      </c>
      <c r="AA1080" s="24" t="str">
        <f>IFERROR(IF([1]对账明细接口!$V1080=0,"",[1]对账明细接口!$V1080),"")</f>
        <v/>
      </c>
      <c r="AB1080" s="20" t="str">
        <f>IFERROR(IF([1]对账明细接口!$W1080=0,"",[1]对账明细接口!$W1080),"")</f>
        <v/>
      </c>
      <c r="AC1080" s="7" t="str">
        <f>IFERROR(IF([1]对账明细接口!$X1080=0,"",[1]对账明细接口!$X1080),"")</f>
        <v/>
      </c>
      <c r="AD1080" s="7" t="str">
        <f>IFERROR(IF([1]对账明细接口!$Y1080=0,"",[1]对账明细接口!$Y1080),"")</f>
        <v/>
      </c>
      <c r="AE1080" s="7" t="str">
        <f>IFERROR(IF([1]对账明细接口!$AA1080=0,"",[1]对账明细接口!$AA1080),"")</f>
        <v/>
      </c>
      <c r="AF1080" s="7" t="str">
        <f>IFERROR(IF([1]对账明细接口!$AB1080=0,"",[1]对账明细接口!$AB1080),"")</f>
        <v/>
      </c>
      <c r="AG1080" s="7" t="str">
        <f>IFERROR(IF([1]对账明细接口!$AC1080=0,"",[1]对账明细接口!$AC1080),"")</f>
        <v/>
      </c>
      <c r="AH1080" s="7" t="str">
        <f>IFERROR(IF([1]对账明细接口!$AD1080=0,"",[1]对账明细接口!$AD1080),"")</f>
        <v/>
      </c>
      <c r="AI1080" s="7" t="str">
        <f>IFERROR(IF([1]对账明细接口!$AE1080=0,"",[1]对账明细接口!$AE1080),"")</f>
        <v/>
      </c>
      <c r="AJ1080" s="7" t="str">
        <f>IFERROR(IF([1]对账明细接口!$AF1080=0,"",[1]对账明细接口!$AF1080),"")</f>
        <v/>
      </c>
    </row>
    <row r="1081" ht="14.25" customHeight="1" spans="1:36">
      <c r="A1081" s="14">
        <v>1081</v>
      </c>
      <c r="B1081" s="15" t="str">
        <f>IFERROR(IF([1]对账明细接口!$B$1081=0,"",[1]对账明细接口!$B$1081),"")</f>
        <v/>
      </c>
      <c r="C1081" s="16" t="str">
        <f>IFERROR(IF([1]对账明细接口!$C$1081=0,"",[1]对账明细接口!$C$1081),"")</f>
        <v/>
      </c>
      <c r="D1081" s="16" t="str">
        <f>IFERROR(IF([1]对账明细接口!$D$1081=0,"",[1]对账明细接口!$D$1081),"")</f>
        <v/>
      </c>
      <c r="E1081" s="16" t="str">
        <f>IFERROR(IF([1]对账明细接口!$E$1081=0,"",[1]对账明细接口!$E$1081),"")</f>
        <v/>
      </c>
      <c r="F1081" s="16" t="str">
        <f>IFERROR(IF([1]对账明细接口!$F$1081=0,"",[1]对账明细接口!$F$1081),"")</f>
        <v/>
      </c>
      <c r="G1081" s="16" t="str">
        <f>IFERROR(IF([1]对账明细接口!$G$1081=0,"",[1]对账明细接口!$G$1081),"")</f>
        <v/>
      </c>
      <c r="H1081" s="17" t="str">
        <f>IFERROR(IF([1]对账明细接口!$H$1081=0,"",[1]对账明细接口!$H$1081),"")</f>
        <v/>
      </c>
      <c r="I1081" s="16" t="str">
        <f>IFERROR(IF([1]对账明细接口!$I$1081=0,"",[1]对账明细接口!$I$1081),"")</f>
        <v/>
      </c>
      <c r="J1081" s="18" t="str">
        <f>IFERROR(IF([1]对账明细接口!$J$1081=0,"",[1]对账明细接口!$J$1081),"")</f>
        <v/>
      </c>
      <c r="K1081" s="18" t="str">
        <f>IFERROR(IF([1]对账明细接口!$K$1081=0,"",[1]对账明细接口!$K$1081),"")</f>
        <v/>
      </c>
      <c r="L1081" s="16" t="str">
        <f>IFERROR(IF([1]对账明细接口!$L$1081=0,"",[1]对账明细接口!$L$1081),"")</f>
        <v/>
      </c>
      <c r="M1081" s="16" t="str">
        <f>IFERROR(IF([1]对账明细接口!$M$1081=0,"",[1]对账明细接口!$M$1081),"")</f>
        <v/>
      </c>
      <c r="N1081" s="19">
        <f t="shared" si="32"/>
        <v>0</v>
      </c>
      <c r="O1081" s="19">
        <f t="shared" si="33"/>
        <v>420</v>
      </c>
      <c r="S1081" s="20" t="str">
        <f>IFERROR(IF([1]对账明细接口!$N1081=0,"",[1]对账明细接口!$N1081),"")</f>
        <v/>
      </c>
      <c r="T1081" s="21" t="str">
        <f>IFERROR(IF([1]对账明细接口!$O1081=0,"",[1]对账明细接口!$O1081),"")</f>
        <v/>
      </c>
      <c r="U1081" s="21" t="str">
        <f>IFERROR(IF([1]对账明细接口!$P1081=0,"",[1]对账明细接口!$P1081),"")</f>
        <v/>
      </c>
      <c r="V1081" s="21" t="str">
        <f>IFERROR(IF([1]对账明细接口!$Q1081=0,"",[1]对账明细接口!$Q1081),"")</f>
        <v/>
      </c>
      <c r="W1081" s="20" t="str">
        <f>IFERROR(IF([1]对账明细接口!$R1081=0,"",[1]对账明细接口!$R1081),"")</f>
        <v/>
      </c>
      <c r="X1081" s="20" t="str">
        <f>IFERROR(IF([1]对账明细接口!$S1081=0,"",[1]对账明细接口!$S1081),"")</f>
        <v/>
      </c>
      <c r="Y1081" s="20" t="str">
        <f>IFERROR(IF([1]对账明细接口!$T1081=0,"",[1]对账明细接口!$T1081),"")</f>
        <v/>
      </c>
      <c r="Z1081" s="24" t="str">
        <f>IFERROR(IF([1]对账明细接口!$U1081=0,"",[1]对账明细接口!$U1081),"")</f>
        <v/>
      </c>
      <c r="AA1081" s="24" t="str">
        <f>IFERROR(IF([1]对账明细接口!$V1081=0,"",[1]对账明细接口!$V1081),"")</f>
        <v/>
      </c>
      <c r="AB1081" s="20" t="str">
        <f>IFERROR(IF([1]对账明细接口!$W1081=0,"",[1]对账明细接口!$W1081),"")</f>
        <v/>
      </c>
      <c r="AC1081" s="7" t="str">
        <f>IFERROR(IF([1]对账明细接口!$X1081=0,"",[1]对账明细接口!$X1081),"")</f>
        <v/>
      </c>
      <c r="AD1081" s="7" t="str">
        <f>IFERROR(IF([1]对账明细接口!$Y1081=0,"",[1]对账明细接口!$Y1081),"")</f>
        <v/>
      </c>
      <c r="AE1081" s="7" t="str">
        <f>IFERROR(IF([1]对账明细接口!$AA1081=0,"",[1]对账明细接口!$AA1081),"")</f>
        <v/>
      </c>
      <c r="AF1081" s="7" t="str">
        <f>IFERROR(IF([1]对账明细接口!$AB1081=0,"",[1]对账明细接口!$AB1081),"")</f>
        <v/>
      </c>
      <c r="AG1081" s="7" t="str">
        <f>IFERROR(IF([1]对账明细接口!$AC1081=0,"",[1]对账明细接口!$AC1081),"")</f>
        <v/>
      </c>
      <c r="AH1081" s="7" t="str">
        <f>IFERROR(IF([1]对账明细接口!$AD1081=0,"",[1]对账明细接口!$AD1081),"")</f>
        <v/>
      </c>
      <c r="AI1081" s="7" t="str">
        <f>IFERROR(IF([1]对账明细接口!$AE1081=0,"",[1]对账明细接口!$AE1081),"")</f>
        <v/>
      </c>
      <c r="AJ1081" s="7" t="str">
        <f>IFERROR(IF([1]对账明细接口!$AF1081=0,"",[1]对账明细接口!$AF1081),"")</f>
        <v/>
      </c>
    </row>
    <row r="1082" ht="14.25" customHeight="1" spans="1:36">
      <c r="A1082" s="14">
        <v>1082</v>
      </c>
      <c r="B1082" s="15" t="str">
        <f>IFERROR(IF([1]对账明细接口!$B$1082=0,"",[1]对账明细接口!$B$1082),"")</f>
        <v/>
      </c>
      <c r="C1082" s="16" t="str">
        <f>IFERROR(IF([1]对账明细接口!$C$1082=0,"",[1]对账明细接口!$C$1082),"")</f>
        <v/>
      </c>
      <c r="D1082" s="16" t="str">
        <f>IFERROR(IF([1]对账明细接口!$D$1082=0,"",[1]对账明细接口!$D$1082),"")</f>
        <v/>
      </c>
      <c r="E1082" s="16" t="str">
        <f>IFERROR(IF([1]对账明细接口!$E$1082=0,"",[1]对账明细接口!$E$1082),"")</f>
        <v/>
      </c>
      <c r="F1082" s="16" t="str">
        <f>IFERROR(IF([1]对账明细接口!$F$1082=0,"",[1]对账明细接口!$F$1082),"")</f>
        <v/>
      </c>
      <c r="G1082" s="16" t="str">
        <f>IFERROR(IF([1]对账明细接口!$G$1082=0,"",[1]对账明细接口!$G$1082),"")</f>
        <v/>
      </c>
      <c r="H1082" s="17" t="str">
        <f>IFERROR(IF([1]对账明细接口!$H$1082=0,"",[1]对账明细接口!$H$1082),"")</f>
        <v/>
      </c>
      <c r="I1082" s="16" t="str">
        <f>IFERROR(IF([1]对账明细接口!$I$1082=0,"",[1]对账明细接口!$I$1082),"")</f>
        <v/>
      </c>
      <c r="J1082" s="18" t="str">
        <f>IFERROR(IF([1]对账明细接口!$J$1082=0,"",[1]对账明细接口!$J$1082),"")</f>
        <v/>
      </c>
      <c r="K1082" s="18" t="str">
        <f>IFERROR(IF([1]对账明细接口!$K$1082=0,"",[1]对账明细接口!$K$1082),"")</f>
        <v/>
      </c>
      <c r="L1082" s="16" t="str">
        <f>IFERROR(IF([1]对账明细接口!$L$1082=0,"",[1]对账明细接口!$L$1082),"")</f>
        <v/>
      </c>
      <c r="M1082" s="16" t="str">
        <f>IFERROR(IF([1]对账明细接口!$M$1082=0,"",[1]对账明细接口!$M$1082),"")</f>
        <v/>
      </c>
      <c r="N1082" s="19">
        <f t="shared" si="32"/>
        <v>0</v>
      </c>
      <c r="O1082" s="19">
        <f t="shared" si="33"/>
        <v>420</v>
      </c>
      <c r="S1082" s="20" t="str">
        <f>IFERROR(IF([1]对账明细接口!$N1082=0,"",[1]对账明细接口!$N1082),"")</f>
        <v/>
      </c>
      <c r="T1082" s="21" t="str">
        <f>IFERROR(IF([1]对账明细接口!$O1082=0,"",[1]对账明细接口!$O1082),"")</f>
        <v/>
      </c>
      <c r="U1082" s="21" t="str">
        <f>IFERROR(IF([1]对账明细接口!$P1082=0,"",[1]对账明细接口!$P1082),"")</f>
        <v/>
      </c>
      <c r="V1082" s="21" t="str">
        <f>IFERROR(IF([1]对账明细接口!$Q1082=0,"",[1]对账明细接口!$Q1082),"")</f>
        <v/>
      </c>
      <c r="W1082" s="20" t="str">
        <f>IFERROR(IF([1]对账明细接口!$R1082=0,"",[1]对账明细接口!$R1082),"")</f>
        <v/>
      </c>
      <c r="X1082" s="20" t="str">
        <f>IFERROR(IF([1]对账明细接口!$S1082=0,"",[1]对账明细接口!$S1082),"")</f>
        <v/>
      </c>
      <c r="Y1082" s="20" t="str">
        <f>IFERROR(IF([1]对账明细接口!$T1082=0,"",[1]对账明细接口!$T1082),"")</f>
        <v/>
      </c>
      <c r="Z1082" s="24" t="str">
        <f>IFERROR(IF([1]对账明细接口!$U1082=0,"",[1]对账明细接口!$U1082),"")</f>
        <v/>
      </c>
      <c r="AA1082" s="24" t="str">
        <f>IFERROR(IF([1]对账明细接口!$V1082=0,"",[1]对账明细接口!$V1082),"")</f>
        <v/>
      </c>
      <c r="AB1082" s="20" t="str">
        <f>IFERROR(IF([1]对账明细接口!$W1082=0,"",[1]对账明细接口!$W1082),"")</f>
        <v/>
      </c>
      <c r="AC1082" s="7" t="str">
        <f>IFERROR(IF([1]对账明细接口!$X1082=0,"",[1]对账明细接口!$X1082),"")</f>
        <v/>
      </c>
      <c r="AD1082" s="7" t="str">
        <f>IFERROR(IF([1]对账明细接口!$Y1082=0,"",[1]对账明细接口!$Y1082),"")</f>
        <v/>
      </c>
      <c r="AE1082" s="7" t="str">
        <f>IFERROR(IF([1]对账明细接口!$AA1082=0,"",[1]对账明细接口!$AA1082),"")</f>
        <v/>
      </c>
      <c r="AF1082" s="7" t="str">
        <f>IFERROR(IF([1]对账明细接口!$AB1082=0,"",[1]对账明细接口!$AB1082),"")</f>
        <v/>
      </c>
      <c r="AG1082" s="7" t="str">
        <f>IFERROR(IF([1]对账明细接口!$AC1082=0,"",[1]对账明细接口!$AC1082),"")</f>
        <v/>
      </c>
      <c r="AH1082" s="7" t="str">
        <f>IFERROR(IF([1]对账明细接口!$AD1082=0,"",[1]对账明细接口!$AD1082),"")</f>
        <v/>
      </c>
      <c r="AI1082" s="7" t="str">
        <f>IFERROR(IF([1]对账明细接口!$AE1082=0,"",[1]对账明细接口!$AE1082),"")</f>
        <v/>
      </c>
      <c r="AJ1082" s="7" t="str">
        <f>IFERROR(IF([1]对账明细接口!$AF1082=0,"",[1]对账明细接口!$AF1082),"")</f>
        <v/>
      </c>
    </row>
    <row r="1083" ht="14.25" customHeight="1" spans="1:36">
      <c r="A1083" s="14">
        <v>1083</v>
      </c>
      <c r="B1083" s="15" t="str">
        <f>IFERROR(IF([1]对账明细接口!$B$1083=0,"",[1]对账明细接口!$B$1083),"")</f>
        <v/>
      </c>
      <c r="C1083" s="16" t="str">
        <f>IFERROR(IF([1]对账明细接口!$C$1083=0,"",[1]对账明细接口!$C$1083),"")</f>
        <v/>
      </c>
      <c r="D1083" s="16" t="str">
        <f>IFERROR(IF([1]对账明细接口!$D$1083=0,"",[1]对账明细接口!$D$1083),"")</f>
        <v/>
      </c>
      <c r="E1083" s="16" t="str">
        <f>IFERROR(IF([1]对账明细接口!$E$1083=0,"",[1]对账明细接口!$E$1083),"")</f>
        <v/>
      </c>
      <c r="F1083" s="16" t="str">
        <f>IFERROR(IF([1]对账明细接口!$F$1083=0,"",[1]对账明细接口!$F$1083),"")</f>
        <v/>
      </c>
      <c r="G1083" s="16" t="str">
        <f>IFERROR(IF([1]对账明细接口!$G$1083=0,"",[1]对账明细接口!$G$1083),"")</f>
        <v/>
      </c>
      <c r="H1083" s="17" t="str">
        <f>IFERROR(IF([1]对账明细接口!$H$1083=0,"",[1]对账明细接口!$H$1083),"")</f>
        <v/>
      </c>
      <c r="I1083" s="16" t="str">
        <f>IFERROR(IF([1]对账明细接口!$I$1083=0,"",[1]对账明细接口!$I$1083),"")</f>
        <v/>
      </c>
      <c r="J1083" s="18" t="str">
        <f>IFERROR(IF([1]对账明细接口!$J$1083=0,"",[1]对账明细接口!$J$1083),"")</f>
        <v/>
      </c>
      <c r="K1083" s="18" t="str">
        <f>IFERROR(IF([1]对账明细接口!$K$1083=0,"",[1]对账明细接口!$K$1083),"")</f>
        <v/>
      </c>
      <c r="L1083" s="16" t="str">
        <f>IFERROR(IF([1]对账明细接口!$L$1083=0,"",[1]对账明细接口!$L$1083),"")</f>
        <v/>
      </c>
      <c r="M1083" s="16" t="str">
        <f>IFERROR(IF([1]对账明细接口!$M$1083=0,"",[1]对账明细接口!$M$1083),"")</f>
        <v/>
      </c>
      <c r="N1083" s="19">
        <f t="shared" si="32"/>
        <v>0</v>
      </c>
      <c r="O1083" s="19">
        <f t="shared" si="33"/>
        <v>420</v>
      </c>
      <c r="S1083" s="20" t="str">
        <f>IFERROR(IF([1]对账明细接口!$N1083=0,"",[1]对账明细接口!$N1083),"")</f>
        <v/>
      </c>
      <c r="T1083" s="21" t="str">
        <f>IFERROR(IF([1]对账明细接口!$O1083=0,"",[1]对账明细接口!$O1083),"")</f>
        <v/>
      </c>
      <c r="U1083" s="21" t="str">
        <f>IFERROR(IF([1]对账明细接口!$P1083=0,"",[1]对账明细接口!$P1083),"")</f>
        <v/>
      </c>
      <c r="V1083" s="21" t="str">
        <f>IFERROR(IF([1]对账明细接口!$Q1083=0,"",[1]对账明细接口!$Q1083),"")</f>
        <v/>
      </c>
      <c r="W1083" s="20" t="str">
        <f>IFERROR(IF([1]对账明细接口!$R1083=0,"",[1]对账明细接口!$R1083),"")</f>
        <v/>
      </c>
      <c r="X1083" s="20" t="str">
        <f>IFERROR(IF([1]对账明细接口!$S1083=0,"",[1]对账明细接口!$S1083),"")</f>
        <v/>
      </c>
      <c r="Y1083" s="20" t="str">
        <f>IFERROR(IF([1]对账明细接口!$T1083=0,"",[1]对账明细接口!$T1083),"")</f>
        <v/>
      </c>
      <c r="Z1083" s="24" t="str">
        <f>IFERROR(IF([1]对账明细接口!$U1083=0,"",[1]对账明细接口!$U1083),"")</f>
        <v/>
      </c>
      <c r="AA1083" s="24" t="str">
        <f>IFERROR(IF([1]对账明细接口!$V1083=0,"",[1]对账明细接口!$V1083),"")</f>
        <v/>
      </c>
      <c r="AB1083" s="20" t="str">
        <f>IFERROR(IF([1]对账明细接口!$W1083=0,"",[1]对账明细接口!$W1083),"")</f>
        <v/>
      </c>
      <c r="AC1083" s="7" t="str">
        <f>IFERROR(IF([1]对账明细接口!$X1083=0,"",[1]对账明细接口!$X1083),"")</f>
        <v/>
      </c>
      <c r="AD1083" s="7" t="str">
        <f>IFERROR(IF([1]对账明细接口!$Y1083=0,"",[1]对账明细接口!$Y1083),"")</f>
        <v/>
      </c>
      <c r="AE1083" s="7" t="str">
        <f>IFERROR(IF([1]对账明细接口!$AA1083=0,"",[1]对账明细接口!$AA1083),"")</f>
        <v/>
      </c>
      <c r="AF1083" s="7" t="str">
        <f>IFERROR(IF([1]对账明细接口!$AB1083=0,"",[1]对账明细接口!$AB1083),"")</f>
        <v/>
      </c>
      <c r="AG1083" s="7" t="str">
        <f>IFERROR(IF([1]对账明细接口!$AC1083=0,"",[1]对账明细接口!$AC1083),"")</f>
        <v/>
      </c>
      <c r="AH1083" s="7" t="str">
        <f>IFERROR(IF([1]对账明细接口!$AD1083=0,"",[1]对账明细接口!$AD1083),"")</f>
        <v/>
      </c>
      <c r="AI1083" s="7" t="str">
        <f>IFERROR(IF([1]对账明细接口!$AE1083=0,"",[1]对账明细接口!$AE1083),"")</f>
        <v/>
      </c>
      <c r="AJ1083" s="7" t="str">
        <f>IFERROR(IF([1]对账明细接口!$AF1083=0,"",[1]对账明细接口!$AF1083),"")</f>
        <v/>
      </c>
    </row>
    <row r="1084" ht="14.25" customHeight="1" spans="1:36">
      <c r="A1084" s="14">
        <v>1084</v>
      </c>
      <c r="B1084" s="15" t="str">
        <f>IFERROR(IF([1]对账明细接口!$B$1084=0,"",[1]对账明细接口!$B$1084),"")</f>
        <v/>
      </c>
      <c r="C1084" s="16" t="str">
        <f>IFERROR(IF([1]对账明细接口!$C$1084=0,"",[1]对账明细接口!$C$1084),"")</f>
        <v/>
      </c>
      <c r="D1084" s="16" t="str">
        <f>IFERROR(IF([1]对账明细接口!$D$1084=0,"",[1]对账明细接口!$D$1084),"")</f>
        <v/>
      </c>
      <c r="E1084" s="16" t="str">
        <f>IFERROR(IF([1]对账明细接口!$E$1084=0,"",[1]对账明细接口!$E$1084),"")</f>
        <v/>
      </c>
      <c r="F1084" s="16" t="str">
        <f>IFERROR(IF([1]对账明细接口!$F$1084=0,"",[1]对账明细接口!$F$1084),"")</f>
        <v/>
      </c>
      <c r="G1084" s="16" t="str">
        <f>IFERROR(IF([1]对账明细接口!$G$1084=0,"",[1]对账明细接口!$G$1084),"")</f>
        <v/>
      </c>
      <c r="H1084" s="17" t="str">
        <f>IFERROR(IF([1]对账明细接口!$H$1084=0,"",[1]对账明细接口!$H$1084),"")</f>
        <v/>
      </c>
      <c r="I1084" s="16" t="str">
        <f>IFERROR(IF([1]对账明细接口!$I$1084=0,"",[1]对账明细接口!$I$1084),"")</f>
        <v/>
      </c>
      <c r="J1084" s="18" t="str">
        <f>IFERROR(IF([1]对账明细接口!$J$1084=0,"",[1]对账明细接口!$J$1084),"")</f>
        <v/>
      </c>
      <c r="K1084" s="18" t="str">
        <f>IFERROR(IF([1]对账明细接口!$K$1084=0,"",[1]对账明细接口!$K$1084),"")</f>
        <v/>
      </c>
      <c r="L1084" s="16" t="str">
        <f>IFERROR(IF([1]对账明细接口!$L$1084=0,"",[1]对账明细接口!$L$1084),"")</f>
        <v/>
      </c>
      <c r="M1084" s="16" t="str">
        <f>IFERROR(IF([1]对账明细接口!$M$1084=0,"",[1]对账明细接口!$M$1084),"")</f>
        <v/>
      </c>
      <c r="N1084" s="19">
        <f t="shared" si="32"/>
        <v>0</v>
      </c>
      <c r="O1084" s="19">
        <f t="shared" si="33"/>
        <v>420</v>
      </c>
      <c r="S1084" s="20" t="str">
        <f>IFERROR(IF([1]对账明细接口!$N1084=0,"",[1]对账明细接口!$N1084),"")</f>
        <v/>
      </c>
      <c r="T1084" s="21" t="str">
        <f>IFERROR(IF([1]对账明细接口!$O1084=0,"",[1]对账明细接口!$O1084),"")</f>
        <v/>
      </c>
      <c r="U1084" s="21" t="str">
        <f>IFERROR(IF([1]对账明细接口!$P1084=0,"",[1]对账明细接口!$P1084),"")</f>
        <v/>
      </c>
      <c r="V1084" s="21" t="str">
        <f>IFERROR(IF([1]对账明细接口!$Q1084=0,"",[1]对账明细接口!$Q1084),"")</f>
        <v/>
      </c>
      <c r="W1084" s="20" t="str">
        <f>IFERROR(IF([1]对账明细接口!$R1084=0,"",[1]对账明细接口!$R1084),"")</f>
        <v/>
      </c>
      <c r="X1084" s="20" t="str">
        <f>IFERROR(IF([1]对账明细接口!$S1084=0,"",[1]对账明细接口!$S1084),"")</f>
        <v/>
      </c>
      <c r="Y1084" s="20" t="str">
        <f>IFERROR(IF([1]对账明细接口!$T1084=0,"",[1]对账明细接口!$T1084),"")</f>
        <v/>
      </c>
      <c r="Z1084" s="24" t="str">
        <f>IFERROR(IF([1]对账明细接口!$U1084=0,"",[1]对账明细接口!$U1084),"")</f>
        <v/>
      </c>
      <c r="AA1084" s="24" t="str">
        <f>IFERROR(IF([1]对账明细接口!$V1084=0,"",[1]对账明细接口!$V1084),"")</f>
        <v/>
      </c>
      <c r="AB1084" s="20" t="str">
        <f>IFERROR(IF([1]对账明细接口!$W1084=0,"",[1]对账明细接口!$W1084),"")</f>
        <v/>
      </c>
      <c r="AC1084" s="7" t="str">
        <f>IFERROR(IF([1]对账明细接口!$X1084=0,"",[1]对账明细接口!$X1084),"")</f>
        <v/>
      </c>
      <c r="AD1084" s="7" t="str">
        <f>IFERROR(IF([1]对账明细接口!$Y1084=0,"",[1]对账明细接口!$Y1084),"")</f>
        <v/>
      </c>
      <c r="AE1084" s="7" t="str">
        <f>IFERROR(IF([1]对账明细接口!$AA1084=0,"",[1]对账明细接口!$AA1084),"")</f>
        <v/>
      </c>
      <c r="AF1084" s="7" t="str">
        <f>IFERROR(IF([1]对账明细接口!$AB1084=0,"",[1]对账明细接口!$AB1084),"")</f>
        <v/>
      </c>
      <c r="AG1084" s="7" t="str">
        <f>IFERROR(IF([1]对账明细接口!$AC1084=0,"",[1]对账明细接口!$AC1084),"")</f>
        <v/>
      </c>
      <c r="AH1084" s="7" t="str">
        <f>IFERROR(IF([1]对账明细接口!$AD1084=0,"",[1]对账明细接口!$AD1084),"")</f>
        <v/>
      </c>
      <c r="AI1084" s="7" t="str">
        <f>IFERROR(IF([1]对账明细接口!$AE1084=0,"",[1]对账明细接口!$AE1084),"")</f>
        <v/>
      </c>
      <c r="AJ1084" s="7" t="str">
        <f>IFERROR(IF([1]对账明细接口!$AF1084=0,"",[1]对账明细接口!$AF1084),"")</f>
        <v/>
      </c>
    </row>
    <row r="1085" ht="14.25" customHeight="1" spans="1:36">
      <c r="A1085" s="14">
        <v>1085</v>
      </c>
      <c r="B1085" s="15" t="str">
        <f>IFERROR(IF([1]对账明细接口!$B$1085=0,"",[1]对账明细接口!$B$1085),"")</f>
        <v/>
      </c>
      <c r="C1085" s="16" t="str">
        <f>IFERROR(IF([1]对账明细接口!$C$1085=0,"",[1]对账明细接口!$C$1085),"")</f>
        <v/>
      </c>
      <c r="D1085" s="16" t="str">
        <f>IFERROR(IF([1]对账明细接口!$D$1085=0,"",[1]对账明细接口!$D$1085),"")</f>
        <v/>
      </c>
      <c r="E1085" s="16" t="str">
        <f>IFERROR(IF([1]对账明细接口!$E$1085=0,"",[1]对账明细接口!$E$1085),"")</f>
        <v/>
      </c>
      <c r="F1085" s="16" t="str">
        <f>IFERROR(IF([1]对账明细接口!$F$1085=0,"",[1]对账明细接口!$F$1085),"")</f>
        <v/>
      </c>
      <c r="G1085" s="16" t="str">
        <f>IFERROR(IF([1]对账明细接口!$G$1085=0,"",[1]对账明细接口!$G$1085),"")</f>
        <v/>
      </c>
      <c r="H1085" s="17" t="str">
        <f>IFERROR(IF([1]对账明细接口!$H$1085=0,"",[1]对账明细接口!$H$1085),"")</f>
        <v/>
      </c>
      <c r="I1085" s="16" t="str">
        <f>IFERROR(IF([1]对账明细接口!$I$1085=0,"",[1]对账明细接口!$I$1085),"")</f>
        <v/>
      </c>
      <c r="J1085" s="18" t="str">
        <f>IFERROR(IF([1]对账明细接口!$J$1085=0,"",[1]对账明细接口!$J$1085),"")</f>
        <v/>
      </c>
      <c r="K1085" s="18" t="str">
        <f>IFERROR(IF([1]对账明细接口!$K$1085=0,"",[1]对账明细接口!$K$1085),"")</f>
        <v/>
      </c>
      <c r="L1085" s="16" t="str">
        <f>IFERROR(IF([1]对账明细接口!$L$1085=0,"",[1]对账明细接口!$L$1085),"")</f>
        <v/>
      </c>
      <c r="M1085" s="16" t="str">
        <f>IFERROR(IF([1]对账明细接口!$M$1085=0,"",[1]对账明细接口!$M$1085),"")</f>
        <v/>
      </c>
      <c r="N1085" s="19">
        <f t="shared" si="32"/>
        <v>0</v>
      </c>
      <c r="O1085" s="19">
        <f t="shared" si="33"/>
        <v>420</v>
      </c>
      <c r="S1085" s="20" t="str">
        <f>IFERROR(IF([1]对账明细接口!$N1085=0,"",[1]对账明细接口!$N1085),"")</f>
        <v/>
      </c>
      <c r="T1085" s="21" t="str">
        <f>IFERROR(IF([1]对账明细接口!$O1085=0,"",[1]对账明细接口!$O1085),"")</f>
        <v/>
      </c>
      <c r="U1085" s="21" t="str">
        <f>IFERROR(IF([1]对账明细接口!$P1085=0,"",[1]对账明细接口!$P1085),"")</f>
        <v/>
      </c>
      <c r="V1085" s="21" t="str">
        <f>IFERROR(IF([1]对账明细接口!$Q1085=0,"",[1]对账明细接口!$Q1085),"")</f>
        <v/>
      </c>
      <c r="W1085" s="20" t="str">
        <f>IFERROR(IF([1]对账明细接口!$R1085=0,"",[1]对账明细接口!$R1085),"")</f>
        <v/>
      </c>
      <c r="X1085" s="20" t="str">
        <f>IFERROR(IF([1]对账明细接口!$S1085=0,"",[1]对账明细接口!$S1085),"")</f>
        <v/>
      </c>
      <c r="Y1085" s="20" t="str">
        <f>IFERROR(IF([1]对账明细接口!$T1085=0,"",[1]对账明细接口!$T1085),"")</f>
        <v/>
      </c>
      <c r="Z1085" s="24" t="str">
        <f>IFERROR(IF([1]对账明细接口!$U1085=0,"",[1]对账明细接口!$U1085),"")</f>
        <v/>
      </c>
      <c r="AA1085" s="24" t="str">
        <f>IFERROR(IF([1]对账明细接口!$V1085=0,"",[1]对账明细接口!$V1085),"")</f>
        <v/>
      </c>
      <c r="AB1085" s="20" t="str">
        <f>IFERROR(IF([1]对账明细接口!$W1085=0,"",[1]对账明细接口!$W1085),"")</f>
        <v/>
      </c>
      <c r="AC1085" s="7" t="str">
        <f>IFERROR(IF([1]对账明细接口!$X1085=0,"",[1]对账明细接口!$X1085),"")</f>
        <v/>
      </c>
      <c r="AD1085" s="7" t="str">
        <f>IFERROR(IF([1]对账明细接口!$Y1085=0,"",[1]对账明细接口!$Y1085),"")</f>
        <v/>
      </c>
      <c r="AE1085" s="7" t="str">
        <f>IFERROR(IF([1]对账明细接口!$AA1085=0,"",[1]对账明细接口!$AA1085),"")</f>
        <v/>
      </c>
      <c r="AF1085" s="7" t="str">
        <f>IFERROR(IF([1]对账明细接口!$AB1085=0,"",[1]对账明细接口!$AB1085),"")</f>
        <v/>
      </c>
      <c r="AG1085" s="7" t="str">
        <f>IFERROR(IF([1]对账明细接口!$AC1085=0,"",[1]对账明细接口!$AC1085),"")</f>
        <v/>
      </c>
      <c r="AH1085" s="7" t="str">
        <f>IFERROR(IF([1]对账明细接口!$AD1085=0,"",[1]对账明细接口!$AD1085),"")</f>
        <v/>
      </c>
      <c r="AI1085" s="7" t="str">
        <f>IFERROR(IF([1]对账明细接口!$AE1085=0,"",[1]对账明细接口!$AE1085),"")</f>
        <v/>
      </c>
      <c r="AJ1085" s="7" t="str">
        <f>IFERROR(IF([1]对账明细接口!$AF1085=0,"",[1]对账明细接口!$AF1085),"")</f>
        <v/>
      </c>
    </row>
    <row r="1086" ht="14.25" customHeight="1" spans="1:36">
      <c r="A1086" s="14">
        <v>1086</v>
      </c>
      <c r="B1086" s="15" t="str">
        <f>IFERROR(IF([1]对账明细接口!$B$1086=0,"",[1]对账明细接口!$B$1086),"")</f>
        <v/>
      </c>
      <c r="C1086" s="16" t="str">
        <f>IFERROR(IF([1]对账明细接口!$C$1086=0,"",[1]对账明细接口!$C$1086),"")</f>
        <v/>
      </c>
      <c r="D1086" s="16" t="str">
        <f>IFERROR(IF([1]对账明细接口!$D$1086=0,"",[1]对账明细接口!$D$1086),"")</f>
        <v/>
      </c>
      <c r="E1086" s="16" t="str">
        <f>IFERROR(IF([1]对账明细接口!$E$1086=0,"",[1]对账明细接口!$E$1086),"")</f>
        <v/>
      </c>
      <c r="F1086" s="16" t="str">
        <f>IFERROR(IF([1]对账明细接口!$F$1086=0,"",[1]对账明细接口!$F$1086),"")</f>
        <v/>
      </c>
      <c r="G1086" s="16" t="str">
        <f>IFERROR(IF([1]对账明细接口!$G$1086=0,"",[1]对账明细接口!$G$1086),"")</f>
        <v/>
      </c>
      <c r="H1086" s="17" t="str">
        <f>IFERROR(IF([1]对账明细接口!$H$1086=0,"",[1]对账明细接口!$H$1086),"")</f>
        <v/>
      </c>
      <c r="I1086" s="16" t="str">
        <f>IFERROR(IF([1]对账明细接口!$I$1086=0,"",[1]对账明细接口!$I$1086),"")</f>
        <v/>
      </c>
      <c r="J1086" s="18" t="str">
        <f>IFERROR(IF([1]对账明细接口!$J$1086=0,"",[1]对账明细接口!$J$1086),"")</f>
        <v/>
      </c>
      <c r="K1086" s="18" t="str">
        <f>IFERROR(IF([1]对账明细接口!$K$1086=0,"",[1]对账明细接口!$K$1086),"")</f>
        <v/>
      </c>
      <c r="L1086" s="16" t="str">
        <f>IFERROR(IF([1]对账明细接口!$L$1086=0,"",[1]对账明细接口!$L$1086),"")</f>
        <v/>
      </c>
      <c r="M1086" s="16" t="str">
        <f>IFERROR(IF([1]对账明细接口!$M$1086=0,"",[1]对账明细接口!$M$1086),"")</f>
        <v/>
      </c>
      <c r="N1086" s="19">
        <f t="shared" si="32"/>
        <v>0</v>
      </c>
      <c r="O1086" s="19">
        <f t="shared" si="33"/>
        <v>420</v>
      </c>
      <c r="S1086" s="20" t="str">
        <f>IFERROR(IF([1]对账明细接口!$N1086=0,"",[1]对账明细接口!$N1086),"")</f>
        <v/>
      </c>
      <c r="T1086" s="21" t="str">
        <f>IFERROR(IF([1]对账明细接口!$O1086=0,"",[1]对账明细接口!$O1086),"")</f>
        <v/>
      </c>
      <c r="U1086" s="21" t="str">
        <f>IFERROR(IF([1]对账明细接口!$P1086=0,"",[1]对账明细接口!$P1086),"")</f>
        <v/>
      </c>
      <c r="V1086" s="21" t="str">
        <f>IFERROR(IF([1]对账明细接口!$Q1086=0,"",[1]对账明细接口!$Q1086),"")</f>
        <v/>
      </c>
      <c r="W1086" s="20" t="str">
        <f>IFERROR(IF([1]对账明细接口!$R1086=0,"",[1]对账明细接口!$R1086),"")</f>
        <v/>
      </c>
      <c r="X1086" s="20" t="str">
        <f>IFERROR(IF([1]对账明细接口!$S1086=0,"",[1]对账明细接口!$S1086),"")</f>
        <v/>
      </c>
      <c r="Y1086" s="20" t="str">
        <f>IFERROR(IF([1]对账明细接口!$T1086=0,"",[1]对账明细接口!$T1086),"")</f>
        <v/>
      </c>
      <c r="Z1086" s="24" t="str">
        <f>IFERROR(IF([1]对账明细接口!$U1086=0,"",[1]对账明细接口!$U1086),"")</f>
        <v/>
      </c>
      <c r="AA1086" s="24" t="str">
        <f>IFERROR(IF([1]对账明细接口!$V1086=0,"",[1]对账明细接口!$V1086),"")</f>
        <v/>
      </c>
      <c r="AB1086" s="20" t="str">
        <f>IFERROR(IF([1]对账明细接口!$W1086=0,"",[1]对账明细接口!$W1086),"")</f>
        <v/>
      </c>
      <c r="AC1086" s="7" t="str">
        <f>IFERROR(IF([1]对账明细接口!$X1086=0,"",[1]对账明细接口!$X1086),"")</f>
        <v/>
      </c>
      <c r="AD1086" s="7" t="str">
        <f>IFERROR(IF([1]对账明细接口!$Y1086=0,"",[1]对账明细接口!$Y1086),"")</f>
        <v/>
      </c>
      <c r="AE1086" s="7" t="str">
        <f>IFERROR(IF([1]对账明细接口!$AA1086=0,"",[1]对账明细接口!$AA1086),"")</f>
        <v/>
      </c>
      <c r="AF1086" s="7" t="str">
        <f>IFERROR(IF([1]对账明细接口!$AB1086=0,"",[1]对账明细接口!$AB1086),"")</f>
        <v/>
      </c>
      <c r="AG1086" s="7" t="str">
        <f>IFERROR(IF([1]对账明细接口!$AC1086=0,"",[1]对账明细接口!$AC1086),"")</f>
        <v/>
      </c>
      <c r="AH1086" s="7" t="str">
        <f>IFERROR(IF([1]对账明细接口!$AD1086=0,"",[1]对账明细接口!$AD1086),"")</f>
        <v/>
      </c>
      <c r="AI1086" s="7" t="str">
        <f>IFERROR(IF([1]对账明细接口!$AE1086=0,"",[1]对账明细接口!$AE1086),"")</f>
        <v/>
      </c>
      <c r="AJ1086" s="7" t="str">
        <f>IFERROR(IF([1]对账明细接口!$AF1086=0,"",[1]对账明细接口!$AF1086),"")</f>
        <v/>
      </c>
    </row>
    <row r="1087" ht="14.25" customHeight="1" spans="1:36">
      <c r="A1087" s="14">
        <v>1087</v>
      </c>
      <c r="B1087" s="15" t="str">
        <f>IFERROR(IF([1]对账明细接口!$B$1087=0,"",[1]对账明细接口!$B$1087),"")</f>
        <v/>
      </c>
      <c r="C1087" s="16" t="str">
        <f>IFERROR(IF([1]对账明细接口!$C$1087=0,"",[1]对账明细接口!$C$1087),"")</f>
        <v/>
      </c>
      <c r="D1087" s="16" t="str">
        <f>IFERROR(IF([1]对账明细接口!$D$1087=0,"",[1]对账明细接口!$D$1087),"")</f>
        <v/>
      </c>
      <c r="E1087" s="16" t="str">
        <f>IFERROR(IF([1]对账明细接口!$E$1087=0,"",[1]对账明细接口!$E$1087),"")</f>
        <v/>
      </c>
      <c r="F1087" s="16" t="str">
        <f>IFERROR(IF([1]对账明细接口!$F$1087=0,"",[1]对账明细接口!$F$1087),"")</f>
        <v/>
      </c>
      <c r="G1087" s="16" t="str">
        <f>IFERROR(IF([1]对账明细接口!$G$1087=0,"",[1]对账明细接口!$G$1087),"")</f>
        <v/>
      </c>
      <c r="H1087" s="17" t="str">
        <f>IFERROR(IF([1]对账明细接口!$H$1087=0,"",[1]对账明细接口!$H$1087),"")</f>
        <v/>
      </c>
      <c r="I1087" s="16" t="str">
        <f>IFERROR(IF([1]对账明细接口!$I$1087=0,"",[1]对账明细接口!$I$1087),"")</f>
        <v/>
      </c>
      <c r="J1087" s="18" t="str">
        <f>IFERROR(IF([1]对账明细接口!$J$1087=0,"",[1]对账明细接口!$J$1087),"")</f>
        <v/>
      </c>
      <c r="K1087" s="18" t="str">
        <f>IFERROR(IF([1]对账明细接口!$K$1087=0,"",[1]对账明细接口!$K$1087),"")</f>
        <v/>
      </c>
      <c r="L1087" s="16" t="str">
        <f>IFERROR(IF([1]对账明细接口!$L$1087=0,"",[1]对账明细接口!$L$1087),"")</f>
        <v/>
      </c>
      <c r="M1087" s="16" t="str">
        <f>IFERROR(IF([1]对账明细接口!$M$1087=0,"",[1]对账明细接口!$M$1087),"")</f>
        <v/>
      </c>
      <c r="N1087" s="19">
        <f t="shared" si="32"/>
        <v>0</v>
      </c>
      <c r="O1087" s="19">
        <f t="shared" si="33"/>
        <v>420</v>
      </c>
      <c r="S1087" s="20" t="str">
        <f>IFERROR(IF([1]对账明细接口!$N1087=0,"",[1]对账明细接口!$N1087),"")</f>
        <v/>
      </c>
      <c r="T1087" s="21" t="str">
        <f>IFERROR(IF([1]对账明细接口!$O1087=0,"",[1]对账明细接口!$O1087),"")</f>
        <v/>
      </c>
      <c r="U1087" s="21" t="str">
        <f>IFERROR(IF([1]对账明细接口!$P1087=0,"",[1]对账明细接口!$P1087),"")</f>
        <v/>
      </c>
      <c r="V1087" s="21" t="str">
        <f>IFERROR(IF([1]对账明细接口!$Q1087=0,"",[1]对账明细接口!$Q1087),"")</f>
        <v/>
      </c>
      <c r="W1087" s="20" t="str">
        <f>IFERROR(IF([1]对账明细接口!$R1087=0,"",[1]对账明细接口!$R1087),"")</f>
        <v/>
      </c>
      <c r="X1087" s="20" t="str">
        <f>IFERROR(IF([1]对账明细接口!$S1087=0,"",[1]对账明细接口!$S1087),"")</f>
        <v/>
      </c>
      <c r="Y1087" s="20" t="str">
        <f>IFERROR(IF([1]对账明细接口!$T1087=0,"",[1]对账明细接口!$T1087),"")</f>
        <v/>
      </c>
      <c r="Z1087" s="24" t="str">
        <f>IFERROR(IF([1]对账明细接口!$U1087=0,"",[1]对账明细接口!$U1087),"")</f>
        <v/>
      </c>
      <c r="AA1087" s="24" t="str">
        <f>IFERROR(IF([1]对账明细接口!$V1087=0,"",[1]对账明细接口!$V1087),"")</f>
        <v/>
      </c>
      <c r="AB1087" s="20" t="str">
        <f>IFERROR(IF([1]对账明细接口!$W1087=0,"",[1]对账明细接口!$W1087),"")</f>
        <v/>
      </c>
      <c r="AC1087" s="7" t="str">
        <f>IFERROR(IF([1]对账明细接口!$X1087=0,"",[1]对账明细接口!$X1087),"")</f>
        <v/>
      </c>
      <c r="AD1087" s="7" t="str">
        <f>IFERROR(IF([1]对账明细接口!$Y1087=0,"",[1]对账明细接口!$Y1087),"")</f>
        <v/>
      </c>
      <c r="AE1087" s="7" t="str">
        <f>IFERROR(IF([1]对账明细接口!$AA1087=0,"",[1]对账明细接口!$AA1087),"")</f>
        <v/>
      </c>
      <c r="AF1087" s="7" t="str">
        <f>IFERROR(IF([1]对账明细接口!$AB1087=0,"",[1]对账明细接口!$AB1087),"")</f>
        <v/>
      </c>
      <c r="AG1087" s="7" t="str">
        <f>IFERROR(IF([1]对账明细接口!$AC1087=0,"",[1]对账明细接口!$AC1087),"")</f>
        <v/>
      </c>
      <c r="AH1087" s="7" t="str">
        <f>IFERROR(IF([1]对账明细接口!$AD1087=0,"",[1]对账明细接口!$AD1087),"")</f>
        <v/>
      </c>
      <c r="AI1087" s="7" t="str">
        <f>IFERROR(IF([1]对账明细接口!$AE1087=0,"",[1]对账明细接口!$AE1087),"")</f>
        <v/>
      </c>
      <c r="AJ1087" s="7" t="str">
        <f>IFERROR(IF([1]对账明细接口!$AF1087=0,"",[1]对账明细接口!$AF1087),"")</f>
        <v/>
      </c>
    </row>
    <row r="1088" ht="14.25" customHeight="1" spans="1:36">
      <c r="A1088" s="14">
        <v>1088</v>
      </c>
      <c r="B1088" s="15" t="str">
        <f>IFERROR(IF([1]对账明细接口!$B$1088=0,"",[1]对账明细接口!$B$1088),"")</f>
        <v/>
      </c>
      <c r="C1088" s="16" t="str">
        <f>IFERROR(IF([1]对账明细接口!$C$1088=0,"",[1]对账明细接口!$C$1088),"")</f>
        <v/>
      </c>
      <c r="D1088" s="16" t="str">
        <f>IFERROR(IF([1]对账明细接口!$D$1088=0,"",[1]对账明细接口!$D$1088),"")</f>
        <v/>
      </c>
      <c r="E1088" s="16" t="str">
        <f>IFERROR(IF([1]对账明细接口!$E$1088=0,"",[1]对账明细接口!$E$1088),"")</f>
        <v/>
      </c>
      <c r="F1088" s="16" t="str">
        <f>IFERROR(IF([1]对账明细接口!$F$1088=0,"",[1]对账明细接口!$F$1088),"")</f>
        <v/>
      </c>
      <c r="G1088" s="16" t="str">
        <f>IFERROR(IF([1]对账明细接口!$G$1088=0,"",[1]对账明细接口!$G$1088),"")</f>
        <v/>
      </c>
      <c r="H1088" s="17" t="str">
        <f>IFERROR(IF([1]对账明细接口!$H$1088=0,"",[1]对账明细接口!$H$1088),"")</f>
        <v/>
      </c>
      <c r="I1088" s="16" t="str">
        <f>IFERROR(IF([1]对账明细接口!$I$1088=0,"",[1]对账明细接口!$I$1088),"")</f>
        <v/>
      </c>
      <c r="J1088" s="18" t="str">
        <f>IFERROR(IF([1]对账明细接口!$J$1088=0,"",[1]对账明细接口!$J$1088),"")</f>
        <v/>
      </c>
      <c r="K1088" s="18" t="str">
        <f>IFERROR(IF([1]对账明细接口!$K$1088=0,"",[1]对账明细接口!$K$1088),"")</f>
        <v/>
      </c>
      <c r="L1088" s="16" t="str">
        <f>IFERROR(IF([1]对账明细接口!$L$1088=0,"",[1]对账明细接口!$L$1088),"")</f>
        <v/>
      </c>
      <c r="M1088" s="16" t="str">
        <f>IFERROR(IF([1]对账明细接口!$M$1088=0,"",[1]对账明细接口!$M$1088),"")</f>
        <v/>
      </c>
      <c r="N1088" s="19">
        <f t="shared" si="32"/>
        <v>0</v>
      </c>
      <c r="O1088" s="19">
        <f t="shared" si="33"/>
        <v>420</v>
      </c>
      <c r="S1088" s="20" t="str">
        <f>IFERROR(IF([1]对账明细接口!$N1088=0,"",[1]对账明细接口!$N1088),"")</f>
        <v/>
      </c>
      <c r="T1088" s="21" t="str">
        <f>IFERROR(IF([1]对账明细接口!$O1088=0,"",[1]对账明细接口!$O1088),"")</f>
        <v/>
      </c>
      <c r="U1088" s="21" t="str">
        <f>IFERROR(IF([1]对账明细接口!$P1088=0,"",[1]对账明细接口!$P1088),"")</f>
        <v/>
      </c>
      <c r="V1088" s="21" t="str">
        <f>IFERROR(IF([1]对账明细接口!$Q1088=0,"",[1]对账明细接口!$Q1088),"")</f>
        <v/>
      </c>
      <c r="W1088" s="20" t="str">
        <f>IFERROR(IF([1]对账明细接口!$R1088=0,"",[1]对账明细接口!$R1088),"")</f>
        <v/>
      </c>
      <c r="X1088" s="20" t="str">
        <f>IFERROR(IF([1]对账明细接口!$S1088=0,"",[1]对账明细接口!$S1088),"")</f>
        <v/>
      </c>
      <c r="Y1088" s="20" t="str">
        <f>IFERROR(IF([1]对账明细接口!$T1088=0,"",[1]对账明细接口!$T1088),"")</f>
        <v/>
      </c>
      <c r="Z1088" s="24" t="str">
        <f>IFERROR(IF([1]对账明细接口!$U1088=0,"",[1]对账明细接口!$U1088),"")</f>
        <v/>
      </c>
      <c r="AA1088" s="24" t="str">
        <f>IFERROR(IF([1]对账明细接口!$V1088=0,"",[1]对账明细接口!$V1088),"")</f>
        <v/>
      </c>
      <c r="AB1088" s="20" t="str">
        <f>IFERROR(IF([1]对账明细接口!$W1088=0,"",[1]对账明细接口!$W1088),"")</f>
        <v/>
      </c>
      <c r="AC1088" s="7" t="str">
        <f>IFERROR(IF([1]对账明细接口!$X1088=0,"",[1]对账明细接口!$X1088),"")</f>
        <v/>
      </c>
      <c r="AD1088" s="7" t="str">
        <f>IFERROR(IF([1]对账明细接口!$Y1088=0,"",[1]对账明细接口!$Y1088),"")</f>
        <v/>
      </c>
      <c r="AE1088" s="7" t="str">
        <f>IFERROR(IF([1]对账明细接口!$AA1088=0,"",[1]对账明细接口!$AA1088),"")</f>
        <v/>
      </c>
      <c r="AF1088" s="7" t="str">
        <f>IFERROR(IF([1]对账明细接口!$AB1088=0,"",[1]对账明细接口!$AB1088),"")</f>
        <v/>
      </c>
      <c r="AG1088" s="7" t="str">
        <f>IFERROR(IF([1]对账明细接口!$AC1088=0,"",[1]对账明细接口!$AC1088),"")</f>
        <v/>
      </c>
      <c r="AH1088" s="7" t="str">
        <f>IFERROR(IF([1]对账明细接口!$AD1088=0,"",[1]对账明细接口!$AD1088),"")</f>
        <v/>
      </c>
      <c r="AI1088" s="7" t="str">
        <f>IFERROR(IF([1]对账明细接口!$AE1088=0,"",[1]对账明细接口!$AE1088),"")</f>
        <v/>
      </c>
      <c r="AJ1088" s="7" t="str">
        <f>IFERROR(IF([1]对账明细接口!$AF1088=0,"",[1]对账明细接口!$AF1088),"")</f>
        <v/>
      </c>
    </row>
    <row r="1089" ht="14.25" customHeight="1" spans="1:36">
      <c r="A1089" s="14">
        <v>1089</v>
      </c>
      <c r="B1089" s="15" t="str">
        <f>IFERROR(IF([1]对账明细接口!$B$1089=0,"",[1]对账明细接口!$B$1089),"")</f>
        <v/>
      </c>
      <c r="C1089" s="16" t="str">
        <f>IFERROR(IF([1]对账明细接口!$C$1089=0,"",[1]对账明细接口!$C$1089),"")</f>
        <v/>
      </c>
      <c r="D1089" s="16" t="str">
        <f>IFERROR(IF([1]对账明细接口!$D$1089=0,"",[1]对账明细接口!$D$1089),"")</f>
        <v/>
      </c>
      <c r="E1089" s="16" t="str">
        <f>IFERROR(IF([1]对账明细接口!$E$1089=0,"",[1]对账明细接口!$E$1089),"")</f>
        <v/>
      </c>
      <c r="F1089" s="16" t="str">
        <f>IFERROR(IF([1]对账明细接口!$F$1089=0,"",[1]对账明细接口!$F$1089),"")</f>
        <v/>
      </c>
      <c r="G1089" s="16" t="str">
        <f>IFERROR(IF([1]对账明细接口!$G$1089=0,"",[1]对账明细接口!$G$1089),"")</f>
        <v/>
      </c>
      <c r="H1089" s="17" t="str">
        <f>IFERROR(IF([1]对账明细接口!$H$1089=0,"",[1]对账明细接口!$H$1089),"")</f>
        <v/>
      </c>
      <c r="I1089" s="16" t="str">
        <f>IFERROR(IF([1]对账明细接口!$I$1089=0,"",[1]对账明细接口!$I$1089),"")</f>
        <v/>
      </c>
      <c r="J1089" s="18" t="str">
        <f>IFERROR(IF([1]对账明细接口!$J$1089=0,"",[1]对账明细接口!$J$1089),"")</f>
        <v/>
      </c>
      <c r="K1089" s="18" t="str">
        <f>IFERROR(IF([1]对账明细接口!$K$1089=0,"",[1]对账明细接口!$K$1089),"")</f>
        <v/>
      </c>
      <c r="L1089" s="16" t="str">
        <f>IFERROR(IF([1]对账明细接口!$L$1089=0,"",[1]对账明细接口!$L$1089),"")</f>
        <v/>
      </c>
      <c r="M1089" s="16" t="str">
        <f>IFERROR(IF([1]对账明细接口!$M$1089=0,"",[1]对账明细接口!$M$1089),"")</f>
        <v/>
      </c>
      <c r="N1089" s="19">
        <f t="shared" si="32"/>
        <v>0</v>
      </c>
      <c r="O1089" s="19">
        <f t="shared" si="33"/>
        <v>420</v>
      </c>
      <c r="S1089" s="20" t="str">
        <f>IFERROR(IF([1]对账明细接口!$N1089=0,"",[1]对账明细接口!$N1089),"")</f>
        <v/>
      </c>
      <c r="T1089" s="21" t="str">
        <f>IFERROR(IF([1]对账明细接口!$O1089=0,"",[1]对账明细接口!$O1089),"")</f>
        <v/>
      </c>
      <c r="U1089" s="21" t="str">
        <f>IFERROR(IF([1]对账明细接口!$P1089=0,"",[1]对账明细接口!$P1089),"")</f>
        <v/>
      </c>
      <c r="V1089" s="21" t="str">
        <f>IFERROR(IF([1]对账明细接口!$Q1089=0,"",[1]对账明细接口!$Q1089),"")</f>
        <v/>
      </c>
      <c r="W1089" s="20" t="str">
        <f>IFERROR(IF([1]对账明细接口!$R1089=0,"",[1]对账明细接口!$R1089),"")</f>
        <v/>
      </c>
      <c r="X1089" s="20" t="str">
        <f>IFERROR(IF([1]对账明细接口!$S1089=0,"",[1]对账明细接口!$S1089),"")</f>
        <v/>
      </c>
      <c r="Y1089" s="20" t="str">
        <f>IFERROR(IF([1]对账明细接口!$T1089=0,"",[1]对账明细接口!$T1089),"")</f>
        <v/>
      </c>
      <c r="Z1089" s="24" t="str">
        <f>IFERROR(IF([1]对账明细接口!$U1089=0,"",[1]对账明细接口!$U1089),"")</f>
        <v/>
      </c>
      <c r="AA1089" s="24" t="str">
        <f>IFERROR(IF([1]对账明细接口!$V1089=0,"",[1]对账明细接口!$V1089),"")</f>
        <v/>
      </c>
      <c r="AB1089" s="20" t="str">
        <f>IFERROR(IF([1]对账明细接口!$W1089=0,"",[1]对账明细接口!$W1089),"")</f>
        <v/>
      </c>
      <c r="AC1089" s="7" t="str">
        <f>IFERROR(IF([1]对账明细接口!$X1089=0,"",[1]对账明细接口!$X1089),"")</f>
        <v/>
      </c>
      <c r="AD1089" s="7" t="str">
        <f>IFERROR(IF([1]对账明细接口!$Y1089=0,"",[1]对账明细接口!$Y1089),"")</f>
        <v/>
      </c>
      <c r="AE1089" s="7" t="str">
        <f>IFERROR(IF([1]对账明细接口!$AA1089=0,"",[1]对账明细接口!$AA1089),"")</f>
        <v/>
      </c>
      <c r="AF1089" s="7" t="str">
        <f>IFERROR(IF([1]对账明细接口!$AB1089=0,"",[1]对账明细接口!$AB1089),"")</f>
        <v/>
      </c>
      <c r="AG1089" s="7" t="str">
        <f>IFERROR(IF([1]对账明细接口!$AC1089=0,"",[1]对账明细接口!$AC1089),"")</f>
        <v/>
      </c>
      <c r="AH1089" s="7" t="str">
        <f>IFERROR(IF([1]对账明细接口!$AD1089=0,"",[1]对账明细接口!$AD1089),"")</f>
        <v/>
      </c>
      <c r="AI1089" s="7" t="str">
        <f>IFERROR(IF([1]对账明细接口!$AE1089=0,"",[1]对账明细接口!$AE1089),"")</f>
        <v/>
      </c>
      <c r="AJ1089" s="7" t="str">
        <f>IFERROR(IF([1]对账明细接口!$AF1089=0,"",[1]对账明细接口!$AF1089),"")</f>
        <v/>
      </c>
    </row>
    <row r="1090" ht="14.25" customHeight="1" spans="1:36">
      <c r="A1090" s="14">
        <v>1090</v>
      </c>
      <c r="B1090" s="15" t="str">
        <f>IFERROR(IF([1]对账明细接口!$B$1090=0,"",[1]对账明细接口!$B$1090),"")</f>
        <v/>
      </c>
      <c r="C1090" s="16" t="str">
        <f>IFERROR(IF([1]对账明细接口!$C$1090=0,"",[1]对账明细接口!$C$1090),"")</f>
        <v/>
      </c>
      <c r="D1090" s="16" t="str">
        <f>IFERROR(IF([1]对账明细接口!$D$1090=0,"",[1]对账明细接口!$D$1090),"")</f>
        <v/>
      </c>
      <c r="E1090" s="16" t="str">
        <f>IFERROR(IF([1]对账明细接口!$E$1090=0,"",[1]对账明细接口!$E$1090),"")</f>
        <v/>
      </c>
      <c r="F1090" s="16" t="str">
        <f>IFERROR(IF([1]对账明细接口!$F$1090=0,"",[1]对账明细接口!$F$1090),"")</f>
        <v/>
      </c>
      <c r="G1090" s="16" t="str">
        <f>IFERROR(IF([1]对账明细接口!$G$1090=0,"",[1]对账明细接口!$G$1090),"")</f>
        <v/>
      </c>
      <c r="H1090" s="17" t="str">
        <f>IFERROR(IF([1]对账明细接口!$H$1090=0,"",[1]对账明细接口!$H$1090),"")</f>
        <v/>
      </c>
      <c r="I1090" s="16" t="str">
        <f>IFERROR(IF([1]对账明细接口!$I$1090=0,"",[1]对账明细接口!$I$1090),"")</f>
        <v/>
      </c>
      <c r="J1090" s="18" t="str">
        <f>IFERROR(IF([1]对账明细接口!$J$1090=0,"",[1]对账明细接口!$J$1090),"")</f>
        <v/>
      </c>
      <c r="K1090" s="18" t="str">
        <f>IFERROR(IF([1]对账明细接口!$K$1090=0,"",[1]对账明细接口!$K$1090),"")</f>
        <v/>
      </c>
      <c r="L1090" s="16" t="str">
        <f>IFERROR(IF([1]对账明细接口!$L$1090=0,"",[1]对账明细接口!$L$1090),"")</f>
        <v/>
      </c>
      <c r="M1090" s="16" t="str">
        <f>IFERROR(IF([1]对账明细接口!$M$1090=0,"",[1]对账明细接口!$M$1090),"")</f>
        <v/>
      </c>
      <c r="N1090" s="19">
        <f t="shared" si="32"/>
        <v>0</v>
      </c>
      <c r="O1090" s="19">
        <f t="shared" si="33"/>
        <v>420</v>
      </c>
      <c r="S1090" s="20" t="str">
        <f>IFERROR(IF([1]对账明细接口!$N1090=0,"",[1]对账明细接口!$N1090),"")</f>
        <v/>
      </c>
      <c r="T1090" s="21" t="str">
        <f>IFERROR(IF([1]对账明细接口!$O1090=0,"",[1]对账明细接口!$O1090),"")</f>
        <v/>
      </c>
      <c r="U1090" s="21" t="str">
        <f>IFERROR(IF([1]对账明细接口!$P1090=0,"",[1]对账明细接口!$P1090),"")</f>
        <v/>
      </c>
      <c r="V1090" s="21" t="str">
        <f>IFERROR(IF([1]对账明细接口!$Q1090=0,"",[1]对账明细接口!$Q1090),"")</f>
        <v/>
      </c>
      <c r="W1090" s="20" t="str">
        <f>IFERROR(IF([1]对账明细接口!$R1090=0,"",[1]对账明细接口!$R1090),"")</f>
        <v/>
      </c>
      <c r="X1090" s="20" t="str">
        <f>IFERROR(IF([1]对账明细接口!$S1090=0,"",[1]对账明细接口!$S1090),"")</f>
        <v/>
      </c>
      <c r="Y1090" s="20" t="str">
        <f>IFERROR(IF([1]对账明细接口!$T1090=0,"",[1]对账明细接口!$T1090),"")</f>
        <v/>
      </c>
      <c r="Z1090" s="24" t="str">
        <f>IFERROR(IF([1]对账明细接口!$U1090=0,"",[1]对账明细接口!$U1090),"")</f>
        <v/>
      </c>
      <c r="AA1090" s="24" t="str">
        <f>IFERROR(IF([1]对账明细接口!$V1090=0,"",[1]对账明细接口!$V1090),"")</f>
        <v/>
      </c>
      <c r="AB1090" s="20" t="str">
        <f>IFERROR(IF([1]对账明细接口!$W1090=0,"",[1]对账明细接口!$W1090),"")</f>
        <v/>
      </c>
      <c r="AC1090" s="7" t="str">
        <f>IFERROR(IF([1]对账明细接口!$X1090=0,"",[1]对账明细接口!$X1090),"")</f>
        <v/>
      </c>
      <c r="AD1090" s="7" t="str">
        <f>IFERROR(IF([1]对账明细接口!$Y1090=0,"",[1]对账明细接口!$Y1090),"")</f>
        <v/>
      </c>
      <c r="AE1090" s="7" t="str">
        <f>IFERROR(IF([1]对账明细接口!$AA1090=0,"",[1]对账明细接口!$AA1090),"")</f>
        <v/>
      </c>
      <c r="AF1090" s="7" t="str">
        <f>IFERROR(IF([1]对账明细接口!$AB1090=0,"",[1]对账明细接口!$AB1090),"")</f>
        <v/>
      </c>
      <c r="AG1090" s="7" t="str">
        <f>IFERROR(IF([1]对账明细接口!$AC1090=0,"",[1]对账明细接口!$AC1090),"")</f>
        <v/>
      </c>
      <c r="AH1090" s="7" t="str">
        <f>IFERROR(IF([1]对账明细接口!$AD1090=0,"",[1]对账明细接口!$AD1090),"")</f>
        <v/>
      </c>
      <c r="AI1090" s="7" t="str">
        <f>IFERROR(IF([1]对账明细接口!$AE1090=0,"",[1]对账明细接口!$AE1090),"")</f>
        <v/>
      </c>
      <c r="AJ1090" s="7" t="str">
        <f>IFERROR(IF([1]对账明细接口!$AF1090=0,"",[1]对账明细接口!$AF1090),"")</f>
        <v/>
      </c>
    </row>
    <row r="1091" ht="14.25" customHeight="1" spans="1:36">
      <c r="A1091" s="14">
        <v>1091</v>
      </c>
      <c r="B1091" s="15" t="str">
        <f>IFERROR(IF([1]对账明细接口!$B$1091=0,"",[1]对账明细接口!$B$1091),"")</f>
        <v/>
      </c>
      <c r="C1091" s="16" t="str">
        <f>IFERROR(IF([1]对账明细接口!$C$1091=0,"",[1]对账明细接口!$C$1091),"")</f>
        <v/>
      </c>
      <c r="D1091" s="16" t="str">
        <f>IFERROR(IF([1]对账明细接口!$D$1091=0,"",[1]对账明细接口!$D$1091),"")</f>
        <v/>
      </c>
      <c r="E1091" s="16" t="str">
        <f>IFERROR(IF([1]对账明细接口!$E$1091=0,"",[1]对账明细接口!$E$1091),"")</f>
        <v/>
      </c>
      <c r="F1091" s="16" t="str">
        <f>IFERROR(IF([1]对账明细接口!$F$1091=0,"",[1]对账明细接口!$F$1091),"")</f>
        <v/>
      </c>
      <c r="G1091" s="16" t="str">
        <f>IFERROR(IF([1]对账明细接口!$G$1091=0,"",[1]对账明细接口!$G$1091),"")</f>
        <v/>
      </c>
      <c r="H1091" s="17" t="str">
        <f>IFERROR(IF([1]对账明细接口!$H$1091=0,"",[1]对账明细接口!$H$1091),"")</f>
        <v/>
      </c>
      <c r="I1091" s="16" t="str">
        <f>IFERROR(IF([1]对账明细接口!$I$1091=0,"",[1]对账明细接口!$I$1091),"")</f>
        <v/>
      </c>
      <c r="J1091" s="18" t="str">
        <f>IFERROR(IF([1]对账明细接口!$J$1091=0,"",[1]对账明细接口!$J$1091),"")</f>
        <v/>
      </c>
      <c r="K1091" s="18" t="str">
        <f>IFERROR(IF([1]对账明细接口!$K$1091=0,"",[1]对账明细接口!$K$1091),"")</f>
        <v/>
      </c>
      <c r="L1091" s="16" t="str">
        <f>IFERROR(IF([1]对账明细接口!$L$1091=0,"",[1]对账明细接口!$L$1091),"")</f>
        <v/>
      </c>
      <c r="M1091" s="16" t="str">
        <f>IFERROR(IF([1]对账明细接口!$M$1091=0,"",[1]对账明细接口!$M$1091),"")</f>
        <v/>
      </c>
      <c r="N1091" s="19">
        <f t="shared" si="32"/>
        <v>0</v>
      </c>
      <c r="O1091" s="19">
        <f t="shared" si="33"/>
        <v>420</v>
      </c>
      <c r="S1091" s="20" t="str">
        <f>IFERROR(IF([1]对账明细接口!$N1091=0,"",[1]对账明细接口!$N1091),"")</f>
        <v/>
      </c>
      <c r="T1091" s="21" t="str">
        <f>IFERROR(IF([1]对账明细接口!$O1091=0,"",[1]对账明细接口!$O1091),"")</f>
        <v/>
      </c>
      <c r="U1091" s="21" t="str">
        <f>IFERROR(IF([1]对账明细接口!$P1091=0,"",[1]对账明细接口!$P1091),"")</f>
        <v/>
      </c>
      <c r="V1091" s="21" t="str">
        <f>IFERROR(IF([1]对账明细接口!$Q1091=0,"",[1]对账明细接口!$Q1091),"")</f>
        <v/>
      </c>
      <c r="W1091" s="20" t="str">
        <f>IFERROR(IF([1]对账明细接口!$R1091=0,"",[1]对账明细接口!$R1091),"")</f>
        <v/>
      </c>
      <c r="X1091" s="20" t="str">
        <f>IFERROR(IF([1]对账明细接口!$S1091=0,"",[1]对账明细接口!$S1091),"")</f>
        <v/>
      </c>
      <c r="Y1091" s="20" t="str">
        <f>IFERROR(IF([1]对账明细接口!$T1091=0,"",[1]对账明细接口!$T1091),"")</f>
        <v/>
      </c>
      <c r="Z1091" s="24" t="str">
        <f>IFERROR(IF([1]对账明细接口!$U1091=0,"",[1]对账明细接口!$U1091),"")</f>
        <v/>
      </c>
      <c r="AA1091" s="24" t="str">
        <f>IFERROR(IF([1]对账明细接口!$V1091=0,"",[1]对账明细接口!$V1091),"")</f>
        <v/>
      </c>
      <c r="AB1091" s="20" t="str">
        <f>IFERROR(IF([1]对账明细接口!$W1091=0,"",[1]对账明细接口!$W1091),"")</f>
        <v/>
      </c>
      <c r="AC1091" s="7" t="str">
        <f>IFERROR(IF([1]对账明细接口!$X1091=0,"",[1]对账明细接口!$X1091),"")</f>
        <v/>
      </c>
      <c r="AD1091" s="7" t="str">
        <f>IFERROR(IF([1]对账明细接口!$Y1091=0,"",[1]对账明细接口!$Y1091),"")</f>
        <v/>
      </c>
      <c r="AE1091" s="7" t="str">
        <f>IFERROR(IF([1]对账明细接口!$AA1091=0,"",[1]对账明细接口!$AA1091),"")</f>
        <v/>
      </c>
      <c r="AF1091" s="7" t="str">
        <f>IFERROR(IF([1]对账明细接口!$AB1091=0,"",[1]对账明细接口!$AB1091),"")</f>
        <v/>
      </c>
      <c r="AG1091" s="7" t="str">
        <f>IFERROR(IF([1]对账明细接口!$AC1091=0,"",[1]对账明细接口!$AC1091),"")</f>
        <v/>
      </c>
      <c r="AH1091" s="7" t="str">
        <f>IFERROR(IF([1]对账明细接口!$AD1091=0,"",[1]对账明细接口!$AD1091),"")</f>
        <v/>
      </c>
      <c r="AI1091" s="7" t="str">
        <f>IFERROR(IF([1]对账明细接口!$AE1091=0,"",[1]对账明细接口!$AE1091),"")</f>
        <v/>
      </c>
      <c r="AJ1091" s="7" t="str">
        <f>IFERROR(IF([1]对账明细接口!$AF1091=0,"",[1]对账明细接口!$AF1091),"")</f>
        <v/>
      </c>
    </row>
    <row r="1092" ht="14.25" customHeight="1" spans="1:36">
      <c r="A1092" s="14">
        <v>1092</v>
      </c>
      <c r="B1092" s="15" t="str">
        <f>IFERROR(IF([1]对账明细接口!$B$1092=0,"",[1]对账明细接口!$B$1092),"")</f>
        <v/>
      </c>
      <c r="C1092" s="16" t="str">
        <f>IFERROR(IF([1]对账明细接口!$C$1092=0,"",[1]对账明细接口!$C$1092),"")</f>
        <v/>
      </c>
      <c r="D1092" s="16" t="str">
        <f>IFERROR(IF([1]对账明细接口!$D$1092=0,"",[1]对账明细接口!$D$1092),"")</f>
        <v/>
      </c>
      <c r="E1092" s="16" t="str">
        <f>IFERROR(IF([1]对账明细接口!$E$1092=0,"",[1]对账明细接口!$E$1092),"")</f>
        <v/>
      </c>
      <c r="F1092" s="16" t="str">
        <f>IFERROR(IF([1]对账明细接口!$F$1092=0,"",[1]对账明细接口!$F$1092),"")</f>
        <v/>
      </c>
      <c r="G1092" s="16" t="str">
        <f>IFERROR(IF([1]对账明细接口!$G$1092=0,"",[1]对账明细接口!$G$1092),"")</f>
        <v/>
      </c>
      <c r="H1092" s="17" t="str">
        <f>IFERROR(IF([1]对账明细接口!$H$1092=0,"",[1]对账明细接口!$H$1092),"")</f>
        <v/>
      </c>
      <c r="I1092" s="16" t="str">
        <f>IFERROR(IF([1]对账明细接口!$I$1092=0,"",[1]对账明细接口!$I$1092),"")</f>
        <v/>
      </c>
      <c r="J1092" s="18" t="str">
        <f>IFERROR(IF([1]对账明细接口!$J$1092=0,"",[1]对账明细接口!$J$1092),"")</f>
        <v/>
      </c>
      <c r="K1092" s="18" t="str">
        <f>IFERROR(IF([1]对账明细接口!$K$1092=0,"",[1]对账明细接口!$K$1092),"")</f>
        <v/>
      </c>
      <c r="L1092" s="16" t="str">
        <f>IFERROR(IF([1]对账明细接口!$L$1092=0,"",[1]对账明细接口!$L$1092),"")</f>
        <v/>
      </c>
      <c r="M1092" s="16" t="str">
        <f>IFERROR(IF([1]对账明细接口!$M$1092=0,"",[1]对账明细接口!$M$1092),"")</f>
        <v/>
      </c>
      <c r="N1092" s="19">
        <f t="shared" ref="N1092:N1155" si="34">IF($C1092="",0,1)</f>
        <v>0</v>
      </c>
      <c r="O1092" s="19">
        <f t="shared" ref="O1092:O1155" si="35">N(O1091)+$N1092</f>
        <v>420</v>
      </c>
      <c r="S1092" s="20" t="str">
        <f>IFERROR(IF([1]对账明细接口!$N1092=0,"",[1]对账明细接口!$N1092),"")</f>
        <v/>
      </c>
      <c r="T1092" s="21" t="str">
        <f>IFERROR(IF([1]对账明细接口!$O1092=0,"",[1]对账明细接口!$O1092),"")</f>
        <v/>
      </c>
      <c r="U1092" s="21" t="str">
        <f>IFERROR(IF([1]对账明细接口!$P1092=0,"",[1]对账明细接口!$P1092),"")</f>
        <v/>
      </c>
      <c r="V1092" s="21" t="str">
        <f>IFERROR(IF([1]对账明细接口!$Q1092=0,"",[1]对账明细接口!$Q1092),"")</f>
        <v/>
      </c>
      <c r="W1092" s="20" t="str">
        <f>IFERROR(IF([1]对账明细接口!$R1092=0,"",[1]对账明细接口!$R1092),"")</f>
        <v/>
      </c>
      <c r="X1092" s="20" t="str">
        <f>IFERROR(IF([1]对账明细接口!$S1092=0,"",[1]对账明细接口!$S1092),"")</f>
        <v/>
      </c>
      <c r="Y1092" s="20" t="str">
        <f>IFERROR(IF([1]对账明细接口!$T1092=0,"",[1]对账明细接口!$T1092),"")</f>
        <v/>
      </c>
      <c r="Z1092" s="24" t="str">
        <f>IFERROR(IF([1]对账明细接口!$U1092=0,"",[1]对账明细接口!$U1092),"")</f>
        <v/>
      </c>
      <c r="AA1092" s="24" t="str">
        <f>IFERROR(IF([1]对账明细接口!$V1092=0,"",[1]对账明细接口!$V1092),"")</f>
        <v/>
      </c>
      <c r="AB1092" s="20" t="str">
        <f>IFERROR(IF([1]对账明细接口!$W1092=0,"",[1]对账明细接口!$W1092),"")</f>
        <v/>
      </c>
      <c r="AC1092" s="7" t="str">
        <f>IFERROR(IF([1]对账明细接口!$X1092=0,"",[1]对账明细接口!$X1092),"")</f>
        <v/>
      </c>
      <c r="AD1092" s="7" t="str">
        <f>IFERROR(IF([1]对账明细接口!$Y1092=0,"",[1]对账明细接口!$Y1092),"")</f>
        <v/>
      </c>
      <c r="AE1092" s="7" t="str">
        <f>IFERROR(IF([1]对账明细接口!$AA1092=0,"",[1]对账明细接口!$AA1092),"")</f>
        <v/>
      </c>
      <c r="AF1092" s="7" t="str">
        <f>IFERROR(IF([1]对账明细接口!$AB1092=0,"",[1]对账明细接口!$AB1092),"")</f>
        <v/>
      </c>
      <c r="AG1092" s="7" t="str">
        <f>IFERROR(IF([1]对账明细接口!$AC1092=0,"",[1]对账明细接口!$AC1092),"")</f>
        <v/>
      </c>
      <c r="AH1092" s="7" t="str">
        <f>IFERROR(IF([1]对账明细接口!$AD1092=0,"",[1]对账明细接口!$AD1092),"")</f>
        <v/>
      </c>
      <c r="AI1092" s="7" t="str">
        <f>IFERROR(IF([1]对账明细接口!$AE1092=0,"",[1]对账明细接口!$AE1092),"")</f>
        <v/>
      </c>
      <c r="AJ1092" s="7" t="str">
        <f>IFERROR(IF([1]对账明细接口!$AF1092=0,"",[1]对账明细接口!$AF1092),"")</f>
        <v/>
      </c>
    </row>
    <row r="1093" ht="14.25" customHeight="1" spans="1:36">
      <c r="A1093" s="14">
        <v>1093</v>
      </c>
      <c r="B1093" s="15" t="str">
        <f>IFERROR(IF([1]对账明细接口!$B$1093=0,"",[1]对账明细接口!$B$1093),"")</f>
        <v/>
      </c>
      <c r="C1093" s="16" t="str">
        <f>IFERROR(IF([1]对账明细接口!$C$1093=0,"",[1]对账明细接口!$C$1093),"")</f>
        <v/>
      </c>
      <c r="D1093" s="16" t="str">
        <f>IFERROR(IF([1]对账明细接口!$D$1093=0,"",[1]对账明细接口!$D$1093),"")</f>
        <v/>
      </c>
      <c r="E1093" s="16" t="str">
        <f>IFERROR(IF([1]对账明细接口!$E$1093=0,"",[1]对账明细接口!$E$1093),"")</f>
        <v/>
      </c>
      <c r="F1093" s="16" t="str">
        <f>IFERROR(IF([1]对账明细接口!$F$1093=0,"",[1]对账明细接口!$F$1093),"")</f>
        <v/>
      </c>
      <c r="G1093" s="16" t="str">
        <f>IFERROR(IF([1]对账明细接口!$G$1093=0,"",[1]对账明细接口!$G$1093),"")</f>
        <v/>
      </c>
      <c r="H1093" s="17" t="str">
        <f>IFERROR(IF([1]对账明细接口!$H$1093=0,"",[1]对账明细接口!$H$1093),"")</f>
        <v/>
      </c>
      <c r="I1093" s="16" t="str">
        <f>IFERROR(IF([1]对账明细接口!$I$1093=0,"",[1]对账明细接口!$I$1093),"")</f>
        <v/>
      </c>
      <c r="J1093" s="18" t="str">
        <f>IFERROR(IF([1]对账明细接口!$J$1093=0,"",[1]对账明细接口!$J$1093),"")</f>
        <v/>
      </c>
      <c r="K1093" s="18" t="str">
        <f>IFERROR(IF([1]对账明细接口!$K$1093=0,"",[1]对账明细接口!$K$1093),"")</f>
        <v/>
      </c>
      <c r="L1093" s="16" t="str">
        <f>IFERROR(IF([1]对账明细接口!$L$1093=0,"",[1]对账明细接口!$L$1093),"")</f>
        <v/>
      </c>
      <c r="M1093" s="16" t="str">
        <f>IFERROR(IF([1]对账明细接口!$M$1093=0,"",[1]对账明细接口!$M$1093),"")</f>
        <v/>
      </c>
      <c r="N1093" s="19">
        <f t="shared" si="34"/>
        <v>0</v>
      </c>
      <c r="O1093" s="19">
        <f t="shared" si="35"/>
        <v>420</v>
      </c>
      <c r="S1093" s="20" t="str">
        <f>IFERROR(IF([1]对账明细接口!$N1093=0,"",[1]对账明细接口!$N1093),"")</f>
        <v/>
      </c>
      <c r="T1093" s="21" t="str">
        <f>IFERROR(IF([1]对账明细接口!$O1093=0,"",[1]对账明细接口!$O1093),"")</f>
        <v/>
      </c>
      <c r="U1093" s="21" t="str">
        <f>IFERROR(IF([1]对账明细接口!$P1093=0,"",[1]对账明细接口!$P1093),"")</f>
        <v/>
      </c>
      <c r="V1093" s="21" t="str">
        <f>IFERROR(IF([1]对账明细接口!$Q1093=0,"",[1]对账明细接口!$Q1093),"")</f>
        <v/>
      </c>
      <c r="W1093" s="20" t="str">
        <f>IFERROR(IF([1]对账明细接口!$R1093=0,"",[1]对账明细接口!$R1093),"")</f>
        <v/>
      </c>
      <c r="X1093" s="20" t="str">
        <f>IFERROR(IF([1]对账明细接口!$S1093=0,"",[1]对账明细接口!$S1093),"")</f>
        <v/>
      </c>
      <c r="Y1093" s="20" t="str">
        <f>IFERROR(IF([1]对账明细接口!$T1093=0,"",[1]对账明细接口!$T1093),"")</f>
        <v/>
      </c>
      <c r="Z1093" s="24" t="str">
        <f>IFERROR(IF([1]对账明细接口!$U1093=0,"",[1]对账明细接口!$U1093),"")</f>
        <v/>
      </c>
      <c r="AA1093" s="24" t="str">
        <f>IFERROR(IF([1]对账明细接口!$V1093=0,"",[1]对账明细接口!$V1093),"")</f>
        <v/>
      </c>
      <c r="AB1093" s="20" t="str">
        <f>IFERROR(IF([1]对账明细接口!$W1093=0,"",[1]对账明细接口!$W1093),"")</f>
        <v/>
      </c>
      <c r="AC1093" s="7" t="str">
        <f>IFERROR(IF([1]对账明细接口!$X1093=0,"",[1]对账明细接口!$X1093),"")</f>
        <v/>
      </c>
      <c r="AD1093" s="7" t="str">
        <f>IFERROR(IF([1]对账明细接口!$Y1093=0,"",[1]对账明细接口!$Y1093),"")</f>
        <v/>
      </c>
      <c r="AE1093" s="7" t="str">
        <f>IFERROR(IF([1]对账明细接口!$AA1093=0,"",[1]对账明细接口!$AA1093),"")</f>
        <v/>
      </c>
      <c r="AF1093" s="7" t="str">
        <f>IFERROR(IF([1]对账明细接口!$AB1093=0,"",[1]对账明细接口!$AB1093),"")</f>
        <v/>
      </c>
      <c r="AG1093" s="7" t="str">
        <f>IFERROR(IF([1]对账明细接口!$AC1093=0,"",[1]对账明细接口!$AC1093),"")</f>
        <v/>
      </c>
      <c r="AH1093" s="7" t="str">
        <f>IFERROR(IF([1]对账明细接口!$AD1093=0,"",[1]对账明细接口!$AD1093),"")</f>
        <v/>
      </c>
      <c r="AI1093" s="7" t="str">
        <f>IFERROR(IF([1]对账明细接口!$AE1093=0,"",[1]对账明细接口!$AE1093),"")</f>
        <v/>
      </c>
      <c r="AJ1093" s="7" t="str">
        <f>IFERROR(IF([1]对账明细接口!$AF1093=0,"",[1]对账明细接口!$AF1093),"")</f>
        <v/>
      </c>
    </row>
    <row r="1094" ht="14.25" customHeight="1" spans="1:36">
      <c r="A1094" s="14">
        <v>1094</v>
      </c>
      <c r="B1094" s="15" t="str">
        <f>IFERROR(IF([1]对账明细接口!$B$1094=0,"",[1]对账明细接口!$B$1094),"")</f>
        <v/>
      </c>
      <c r="C1094" s="16" t="str">
        <f>IFERROR(IF([1]对账明细接口!$C$1094=0,"",[1]对账明细接口!$C$1094),"")</f>
        <v/>
      </c>
      <c r="D1094" s="16" t="str">
        <f>IFERROR(IF([1]对账明细接口!$D$1094=0,"",[1]对账明细接口!$D$1094),"")</f>
        <v/>
      </c>
      <c r="E1094" s="16" t="str">
        <f>IFERROR(IF([1]对账明细接口!$E$1094=0,"",[1]对账明细接口!$E$1094),"")</f>
        <v/>
      </c>
      <c r="F1094" s="16" t="str">
        <f>IFERROR(IF([1]对账明细接口!$F$1094=0,"",[1]对账明细接口!$F$1094),"")</f>
        <v/>
      </c>
      <c r="G1094" s="16" t="str">
        <f>IFERROR(IF([1]对账明细接口!$G$1094=0,"",[1]对账明细接口!$G$1094),"")</f>
        <v/>
      </c>
      <c r="H1094" s="17" t="str">
        <f>IFERROR(IF([1]对账明细接口!$H$1094=0,"",[1]对账明细接口!$H$1094),"")</f>
        <v/>
      </c>
      <c r="I1094" s="16" t="str">
        <f>IFERROR(IF([1]对账明细接口!$I$1094=0,"",[1]对账明细接口!$I$1094),"")</f>
        <v/>
      </c>
      <c r="J1094" s="18" t="str">
        <f>IFERROR(IF([1]对账明细接口!$J$1094=0,"",[1]对账明细接口!$J$1094),"")</f>
        <v/>
      </c>
      <c r="K1094" s="18" t="str">
        <f>IFERROR(IF([1]对账明细接口!$K$1094=0,"",[1]对账明细接口!$K$1094),"")</f>
        <v/>
      </c>
      <c r="L1094" s="16" t="str">
        <f>IFERROR(IF([1]对账明细接口!$L$1094=0,"",[1]对账明细接口!$L$1094),"")</f>
        <v/>
      </c>
      <c r="M1094" s="16" t="str">
        <f>IFERROR(IF([1]对账明细接口!$M$1094=0,"",[1]对账明细接口!$M$1094),"")</f>
        <v/>
      </c>
      <c r="N1094" s="19">
        <f t="shared" si="34"/>
        <v>0</v>
      </c>
      <c r="O1094" s="19">
        <f t="shared" si="35"/>
        <v>420</v>
      </c>
      <c r="S1094" s="20" t="str">
        <f>IFERROR(IF([1]对账明细接口!$N1094=0,"",[1]对账明细接口!$N1094),"")</f>
        <v/>
      </c>
      <c r="T1094" s="21" t="str">
        <f>IFERROR(IF([1]对账明细接口!$O1094=0,"",[1]对账明细接口!$O1094),"")</f>
        <v/>
      </c>
      <c r="U1094" s="21" t="str">
        <f>IFERROR(IF([1]对账明细接口!$P1094=0,"",[1]对账明细接口!$P1094),"")</f>
        <v/>
      </c>
      <c r="V1094" s="21" t="str">
        <f>IFERROR(IF([1]对账明细接口!$Q1094=0,"",[1]对账明细接口!$Q1094),"")</f>
        <v/>
      </c>
      <c r="W1094" s="20" t="str">
        <f>IFERROR(IF([1]对账明细接口!$R1094=0,"",[1]对账明细接口!$R1094),"")</f>
        <v/>
      </c>
      <c r="X1094" s="20" t="str">
        <f>IFERROR(IF([1]对账明细接口!$S1094=0,"",[1]对账明细接口!$S1094),"")</f>
        <v/>
      </c>
      <c r="Y1094" s="20" t="str">
        <f>IFERROR(IF([1]对账明细接口!$T1094=0,"",[1]对账明细接口!$T1094),"")</f>
        <v/>
      </c>
      <c r="Z1094" s="24" t="str">
        <f>IFERROR(IF([1]对账明细接口!$U1094=0,"",[1]对账明细接口!$U1094),"")</f>
        <v/>
      </c>
      <c r="AA1094" s="24" t="str">
        <f>IFERROR(IF([1]对账明细接口!$V1094=0,"",[1]对账明细接口!$V1094),"")</f>
        <v/>
      </c>
      <c r="AB1094" s="20" t="str">
        <f>IFERROR(IF([1]对账明细接口!$W1094=0,"",[1]对账明细接口!$W1094),"")</f>
        <v/>
      </c>
      <c r="AC1094" s="7" t="str">
        <f>IFERROR(IF([1]对账明细接口!$X1094=0,"",[1]对账明细接口!$X1094),"")</f>
        <v/>
      </c>
      <c r="AD1094" s="7" t="str">
        <f>IFERROR(IF([1]对账明细接口!$Y1094=0,"",[1]对账明细接口!$Y1094),"")</f>
        <v/>
      </c>
      <c r="AE1094" s="7" t="str">
        <f>IFERROR(IF([1]对账明细接口!$AA1094=0,"",[1]对账明细接口!$AA1094),"")</f>
        <v/>
      </c>
      <c r="AF1094" s="7" t="str">
        <f>IFERROR(IF([1]对账明细接口!$AB1094=0,"",[1]对账明细接口!$AB1094),"")</f>
        <v/>
      </c>
      <c r="AG1094" s="7" t="str">
        <f>IFERROR(IF([1]对账明细接口!$AC1094=0,"",[1]对账明细接口!$AC1094),"")</f>
        <v/>
      </c>
      <c r="AH1094" s="7" t="str">
        <f>IFERROR(IF([1]对账明细接口!$AD1094=0,"",[1]对账明细接口!$AD1094),"")</f>
        <v/>
      </c>
      <c r="AI1094" s="7" t="str">
        <f>IFERROR(IF([1]对账明细接口!$AE1094=0,"",[1]对账明细接口!$AE1094),"")</f>
        <v/>
      </c>
      <c r="AJ1094" s="7" t="str">
        <f>IFERROR(IF([1]对账明细接口!$AF1094=0,"",[1]对账明细接口!$AF1094),"")</f>
        <v/>
      </c>
    </row>
    <row r="1095" ht="14.25" customHeight="1" spans="1:36">
      <c r="A1095" s="14">
        <v>1095</v>
      </c>
      <c r="B1095" s="15" t="str">
        <f>IFERROR(IF([1]对账明细接口!$B$1095=0,"",[1]对账明细接口!$B$1095),"")</f>
        <v/>
      </c>
      <c r="C1095" s="16" t="str">
        <f>IFERROR(IF([1]对账明细接口!$C$1095=0,"",[1]对账明细接口!$C$1095),"")</f>
        <v/>
      </c>
      <c r="D1095" s="16" t="str">
        <f>IFERROR(IF([1]对账明细接口!$D$1095=0,"",[1]对账明细接口!$D$1095),"")</f>
        <v/>
      </c>
      <c r="E1095" s="16" t="str">
        <f>IFERROR(IF([1]对账明细接口!$E$1095=0,"",[1]对账明细接口!$E$1095),"")</f>
        <v/>
      </c>
      <c r="F1095" s="16" t="str">
        <f>IFERROR(IF([1]对账明细接口!$F$1095=0,"",[1]对账明细接口!$F$1095),"")</f>
        <v/>
      </c>
      <c r="G1095" s="16" t="str">
        <f>IFERROR(IF([1]对账明细接口!$G$1095=0,"",[1]对账明细接口!$G$1095),"")</f>
        <v/>
      </c>
      <c r="H1095" s="17" t="str">
        <f>IFERROR(IF([1]对账明细接口!$H$1095=0,"",[1]对账明细接口!$H$1095),"")</f>
        <v/>
      </c>
      <c r="I1095" s="16" t="str">
        <f>IFERROR(IF([1]对账明细接口!$I$1095=0,"",[1]对账明细接口!$I$1095),"")</f>
        <v/>
      </c>
      <c r="J1095" s="18" t="str">
        <f>IFERROR(IF([1]对账明细接口!$J$1095=0,"",[1]对账明细接口!$J$1095),"")</f>
        <v/>
      </c>
      <c r="K1095" s="18" t="str">
        <f>IFERROR(IF([1]对账明细接口!$K$1095=0,"",[1]对账明细接口!$K$1095),"")</f>
        <v/>
      </c>
      <c r="L1095" s="16" t="str">
        <f>IFERROR(IF([1]对账明细接口!$L$1095=0,"",[1]对账明细接口!$L$1095),"")</f>
        <v/>
      </c>
      <c r="M1095" s="16" t="str">
        <f>IFERROR(IF([1]对账明细接口!$M$1095=0,"",[1]对账明细接口!$M$1095),"")</f>
        <v/>
      </c>
      <c r="N1095" s="19">
        <f t="shared" si="34"/>
        <v>0</v>
      </c>
      <c r="O1095" s="19">
        <f t="shared" si="35"/>
        <v>420</v>
      </c>
      <c r="S1095" s="20" t="str">
        <f>IFERROR(IF([1]对账明细接口!$N1095=0,"",[1]对账明细接口!$N1095),"")</f>
        <v/>
      </c>
      <c r="T1095" s="21" t="str">
        <f>IFERROR(IF([1]对账明细接口!$O1095=0,"",[1]对账明细接口!$O1095),"")</f>
        <v/>
      </c>
      <c r="U1095" s="21" t="str">
        <f>IFERROR(IF([1]对账明细接口!$P1095=0,"",[1]对账明细接口!$P1095),"")</f>
        <v/>
      </c>
      <c r="V1095" s="21" t="str">
        <f>IFERROR(IF([1]对账明细接口!$Q1095=0,"",[1]对账明细接口!$Q1095),"")</f>
        <v/>
      </c>
      <c r="W1095" s="20" t="str">
        <f>IFERROR(IF([1]对账明细接口!$R1095=0,"",[1]对账明细接口!$R1095),"")</f>
        <v/>
      </c>
      <c r="X1095" s="20" t="str">
        <f>IFERROR(IF([1]对账明细接口!$S1095=0,"",[1]对账明细接口!$S1095),"")</f>
        <v/>
      </c>
      <c r="Y1095" s="20" t="str">
        <f>IFERROR(IF([1]对账明细接口!$T1095=0,"",[1]对账明细接口!$T1095),"")</f>
        <v/>
      </c>
      <c r="Z1095" s="24" t="str">
        <f>IFERROR(IF([1]对账明细接口!$U1095=0,"",[1]对账明细接口!$U1095),"")</f>
        <v/>
      </c>
      <c r="AA1095" s="24" t="str">
        <f>IFERROR(IF([1]对账明细接口!$V1095=0,"",[1]对账明细接口!$V1095),"")</f>
        <v/>
      </c>
      <c r="AB1095" s="20" t="str">
        <f>IFERROR(IF([1]对账明细接口!$W1095=0,"",[1]对账明细接口!$W1095),"")</f>
        <v/>
      </c>
      <c r="AC1095" s="7" t="str">
        <f>IFERROR(IF([1]对账明细接口!$X1095=0,"",[1]对账明细接口!$X1095),"")</f>
        <v/>
      </c>
      <c r="AD1095" s="7" t="str">
        <f>IFERROR(IF([1]对账明细接口!$Y1095=0,"",[1]对账明细接口!$Y1095),"")</f>
        <v/>
      </c>
      <c r="AE1095" s="7" t="str">
        <f>IFERROR(IF([1]对账明细接口!$AA1095=0,"",[1]对账明细接口!$AA1095),"")</f>
        <v/>
      </c>
      <c r="AF1095" s="7" t="str">
        <f>IFERROR(IF([1]对账明细接口!$AB1095=0,"",[1]对账明细接口!$AB1095),"")</f>
        <v/>
      </c>
      <c r="AG1095" s="7" t="str">
        <f>IFERROR(IF([1]对账明细接口!$AC1095=0,"",[1]对账明细接口!$AC1095),"")</f>
        <v/>
      </c>
      <c r="AH1095" s="7" t="str">
        <f>IFERROR(IF([1]对账明细接口!$AD1095=0,"",[1]对账明细接口!$AD1095),"")</f>
        <v/>
      </c>
      <c r="AI1095" s="7" t="str">
        <f>IFERROR(IF([1]对账明细接口!$AE1095=0,"",[1]对账明细接口!$AE1095),"")</f>
        <v/>
      </c>
      <c r="AJ1095" s="7" t="str">
        <f>IFERROR(IF([1]对账明细接口!$AF1095=0,"",[1]对账明细接口!$AF1095),"")</f>
        <v/>
      </c>
    </row>
    <row r="1096" ht="14.25" customHeight="1" spans="1:36">
      <c r="A1096" s="14">
        <v>1096</v>
      </c>
      <c r="B1096" s="15" t="str">
        <f>IFERROR(IF([1]对账明细接口!$B$1096=0,"",[1]对账明细接口!$B$1096),"")</f>
        <v/>
      </c>
      <c r="C1096" s="16" t="str">
        <f>IFERROR(IF([1]对账明细接口!$C$1096=0,"",[1]对账明细接口!$C$1096),"")</f>
        <v/>
      </c>
      <c r="D1096" s="16" t="str">
        <f>IFERROR(IF([1]对账明细接口!$D$1096=0,"",[1]对账明细接口!$D$1096),"")</f>
        <v/>
      </c>
      <c r="E1096" s="16" t="str">
        <f>IFERROR(IF([1]对账明细接口!$E$1096=0,"",[1]对账明细接口!$E$1096),"")</f>
        <v/>
      </c>
      <c r="F1096" s="16" t="str">
        <f>IFERROR(IF([1]对账明细接口!$F$1096=0,"",[1]对账明细接口!$F$1096),"")</f>
        <v/>
      </c>
      <c r="G1096" s="16" t="str">
        <f>IFERROR(IF([1]对账明细接口!$G$1096=0,"",[1]对账明细接口!$G$1096),"")</f>
        <v/>
      </c>
      <c r="H1096" s="17" t="str">
        <f>IFERROR(IF([1]对账明细接口!$H$1096=0,"",[1]对账明细接口!$H$1096),"")</f>
        <v/>
      </c>
      <c r="I1096" s="16" t="str">
        <f>IFERROR(IF([1]对账明细接口!$I$1096=0,"",[1]对账明细接口!$I$1096),"")</f>
        <v/>
      </c>
      <c r="J1096" s="18" t="str">
        <f>IFERROR(IF([1]对账明细接口!$J$1096=0,"",[1]对账明细接口!$J$1096),"")</f>
        <v/>
      </c>
      <c r="K1096" s="18" t="str">
        <f>IFERROR(IF([1]对账明细接口!$K$1096=0,"",[1]对账明细接口!$K$1096),"")</f>
        <v/>
      </c>
      <c r="L1096" s="16" t="str">
        <f>IFERROR(IF([1]对账明细接口!$L$1096=0,"",[1]对账明细接口!$L$1096),"")</f>
        <v/>
      </c>
      <c r="M1096" s="16" t="str">
        <f>IFERROR(IF([1]对账明细接口!$M$1096=0,"",[1]对账明细接口!$M$1096),"")</f>
        <v/>
      </c>
      <c r="N1096" s="19">
        <f t="shared" si="34"/>
        <v>0</v>
      </c>
      <c r="O1096" s="19">
        <f t="shared" si="35"/>
        <v>420</v>
      </c>
      <c r="S1096" s="20" t="str">
        <f>IFERROR(IF([1]对账明细接口!$N1096=0,"",[1]对账明细接口!$N1096),"")</f>
        <v/>
      </c>
      <c r="T1096" s="21" t="str">
        <f>IFERROR(IF([1]对账明细接口!$O1096=0,"",[1]对账明细接口!$O1096),"")</f>
        <v/>
      </c>
      <c r="U1096" s="21" t="str">
        <f>IFERROR(IF([1]对账明细接口!$P1096=0,"",[1]对账明细接口!$P1096),"")</f>
        <v/>
      </c>
      <c r="V1096" s="21" t="str">
        <f>IFERROR(IF([1]对账明细接口!$Q1096=0,"",[1]对账明细接口!$Q1096),"")</f>
        <v/>
      </c>
      <c r="W1096" s="20" t="str">
        <f>IFERROR(IF([1]对账明细接口!$R1096=0,"",[1]对账明细接口!$R1096),"")</f>
        <v/>
      </c>
      <c r="X1096" s="20" t="str">
        <f>IFERROR(IF([1]对账明细接口!$S1096=0,"",[1]对账明细接口!$S1096),"")</f>
        <v/>
      </c>
      <c r="Y1096" s="20" t="str">
        <f>IFERROR(IF([1]对账明细接口!$T1096=0,"",[1]对账明细接口!$T1096),"")</f>
        <v/>
      </c>
      <c r="Z1096" s="24" t="str">
        <f>IFERROR(IF([1]对账明细接口!$U1096=0,"",[1]对账明细接口!$U1096),"")</f>
        <v/>
      </c>
      <c r="AA1096" s="24" t="str">
        <f>IFERROR(IF([1]对账明细接口!$V1096=0,"",[1]对账明细接口!$V1096),"")</f>
        <v/>
      </c>
      <c r="AB1096" s="20" t="str">
        <f>IFERROR(IF([1]对账明细接口!$W1096=0,"",[1]对账明细接口!$W1096),"")</f>
        <v/>
      </c>
      <c r="AC1096" s="7" t="str">
        <f>IFERROR(IF([1]对账明细接口!$X1096=0,"",[1]对账明细接口!$X1096),"")</f>
        <v/>
      </c>
      <c r="AD1096" s="7" t="str">
        <f>IFERROR(IF([1]对账明细接口!$Y1096=0,"",[1]对账明细接口!$Y1096),"")</f>
        <v/>
      </c>
      <c r="AE1096" s="7" t="str">
        <f>IFERROR(IF([1]对账明细接口!$AA1096=0,"",[1]对账明细接口!$AA1096),"")</f>
        <v/>
      </c>
      <c r="AF1096" s="7" t="str">
        <f>IFERROR(IF([1]对账明细接口!$AB1096=0,"",[1]对账明细接口!$AB1096),"")</f>
        <v/>
      </c>
      <c r="AG1096" s="7" t="str">
        <f>IFERROR(IF([1]对账明细接口!$AC1096=0,"",[1]对账明细接口!$AC1096),"")</f>
        <v/>
      </c>
      <c r="AH1096" s="7" t="str">
        <f>IFERROR(IF([1]对账明细接口!$AD1096=0,"",[1]对账明细接口!$AD1096),"")</f>
        <v/>
      </c>
      <c r="AI1096" s="7" t="str">
        <f>IFERROR(IF([1]对账明细接口!$AE1096=0,"",[1]对账明细接口!$AE1096),"")</f>
        <v/>
      </c>
      <c r="AJ1096" s="7" t="str">
        <f>IFERROR(IF([1]对账明细接口!$AF1096=0,"",[1]对账明细接口!$AF1096),"")</f>
        <v/>
      </c>
    </row>
    <row r="1097" ht="14.25" customHeight="1" spans="1:36">
      <c r="A1097" s="14">
        <v>1097</v>
      </c>
      <c r="B1097" s="15" t="str">
        <f>IFERROR(IF([1]对账明细接口!$B$1097=0,"",[1]对账明细接口!$B$1097),"")</f>
        <v/>
      </c>
      <c r="C1097" s="16" t="str">
        <f>IFERROR(IF([1]对账明细接口!$C$1097=0,"",[1]对账明细接口!$C$1097),"")</f>
        <v/>
      </c>
      <c r="D1097" s="16" t="str">
        <f>IFERROR(IF([1]对账明细接口!$D$1097=0,"",[1]对账明细接口!$D$1097),"")</f>
        <v/>
      </c>
      <c r="E1097" s="16" t="str">
        <f>IFERROR(IF([1]对账明细接口!$E$1097=0,"",[1]对账明细接口!$E$1097),"")</f>
        <v/>
      </c>
      <c r="F1097" s="16" t="str">
        <f>IFERROR(IF([1]对账明细接口!$F$1097=0,"",[1]对账明细接口!$F$1097),"")</f>
        <v/>
      </c>
      <c r="G1097" s="16" t="str">
        <f>IFERROR(IF([1]对账明细接口!$G$1097=0,"",[1]对账明细接口!$G$1097),"")</f>
        <v/>
      </c>
      <c r="H1097" s="17" t="str">
        <f>IFERROR(IF([1]对账明细接口!$H$1097=0,"",[1]对账明细接口!$H$1097),"")</f>
        <v/>
      </c>
      <c r="I1097" s="16" t="str">
        <f>IFERROR(IF([1]对账明细接口!$I$1097=0,"",[1]对账明细接口!$I$1097),"")</f>
        <v/>
      </c>
      <c r="J1097" s="18" t="str">
        <f>IFERROR(IF([1]对账明细接口!$J$1097=0,"",[1]对账明细接口!$J$1097),"")</f>
        <v/>
      </c>
      <c r="K1097" s="18" t="str">
        <f>IFERROR(IF([1]对账明细接口!$K$1097=0,"",[1]对账明细接口!$K$1097),"")</f>
        <v/>
      </c>
      <c r="L1097" s="16" t="str">
        <f>IFERROR(IF([1]对账明细接口!$L$1097=0,"",[1]对账明细接口!$L$1097),"")</f>
        <v/>
      </c>
      <c r="M1097" s="16" t="str">
        <f>IFERROR(IF([1]对账明细接口!$M$1097=0,"",[1]对账明细接口!$M$1097),"")</f>
        <v/>
      </c>
      <c r="N1097" s="19">
        <f t="shared" si="34"/>
        <v>0</v>
      </c>
      <c r="O1097" s="19">
        <f t="shared" si="35"/>
        <v>420</v>
      </c>
      <c r="S1097" s="20" t="str">
        <f>IFERROR(IF([1]对账明细接口!$N1097=0,"",[1]对账明细接口!$N1097),"")</f>
        <v/>
      </c>
      <c r="T1097" s="21" t="str">
        <f>IFERROR(IF([1]对账明细接口!$O1097=0,"",[1]对账明细接口!$O1097),"")</f>
        <v/>
      </c>
      <c r="U1097" s="21" t="str">
        <f>IFERROR(IF([1]对账明细接口!$P1097=0,"",[1]对账明细接口!$P1097),"")</f>
        <v/>
      </c>
      <c r="V1097" s="21" t="str">
        <f>IFERROR(IF([1]对账明细接口!$Q1097=0,"",[1]对账明细接口!$Q1097),"")</f>
        <v/>
      </c>
      <c r="W1097" s="20" t="str">
        <f>IFERROR(IF([1]对账明细接口!$R1097=0,"",[1]对账明细接口!$R1097),"")</f>
        <v/>
      </c>
      <c r="X1097" s="20" t="str">
        <f>IFERROR(IF([1]对账明细接口!$S1097=0,"",[1]对账明细接口!$S1097),"")</f>
        <v/>
      </c>
      <c r="Y1097" s="20" t="str">
        <f>IFERROR(IF([1]对账明细接口!$T1097=0,"",[1]对账明细接口!$T1097),"")</f>
        <v/>
      </c>
      <c r="Z1097" s="24" t="str">
        <f>IFERROR(IF([1]对账明细接口!$U1097=0,"",[1]对账明细接口!$U1097),"")</f>
        <v/>
      </c>
      <c r="AA1097" s="24" t="str">
        <f>IFERROR(IF([1]对账明细接口!$V1097=0,"",[1]对账明细接口!$V1097),"")</f>
        <v/>
      </c>
      <c r="AB1097" s="20" t="str">
        <f>IFERROR(IF([1]对账明细接口!$W1097=0,"",[1]对账明细接口!$W1097),"")</f>
        <v/>
      </c>
      <c r="AC1097" s="7" t="str">
        <f>IFERROR(IF([1]对账明细接口!$X1097=0,"",[1]对账明细接口!$X1097),"")</f>
        <v/>
      </c>
      <c r="AD1097" s="7" t="str">
        <f>IFERROR(IF([1]对账明细接口!$Y1097=0,"",[1]对账明细接口!$Y1097),"")</f>
        <v/>
      </c>
      <c r="AE1097" s="7" t="str">
        <f>IFERROR(IF([1]对账明细接口!$AA1097=0,"",[1]对账明细接口!$AA1097),"")</f>
        <v/>
      </c>
      <c r="AF1097" s="7" t="str">
        <f>IFERROR(IF([1]对账明细接口!$AB1097=0,"",[1]对账明细接口!$AB1097),"")</f>
        <v/>
      </c>
      <c r="AG1097" s="7" t="str">
        <f>IFERROR(IF([1]对账明细接口!$AC1097=0,"",[1]对账明细接口!$AC1097),"")</f>
        <v/>
      </c>
      <c r="AH1097" s="7" t="str">
        <f>IFERROR(IF([1]对账明细接口!$AD1097=0,"",[1]对账明细接口!$AD1097),"")</f>
        <v/>
      </c>
      <c r="AI1097" s="7" t="str">
        <f>IFERROR(IF([1]对账明细接口!$AE1097=0,"",[1]对账明细接口!$AE1097),"")</f>
        <v/>
      </c>
      <c r="AJ1097" s="7" t="str">
        <f>IFERROR(IF([1]对账明细接口!$AF1097=0,"",[1]对账明细接口!$AF1097),"")</f>
        <v/>
      </c>
    </row>
    <row r="1098" ht="14.25" customHeight="1" spans="1:36">
      <c r="A1098" s="14">
        <v>1098</v>
      </c>
      <c r="B1098" s="15" t="str">
        <f>IFERROR(IF([1]对账明细接口!$B$1098=0,"",[1]对账明细接口!$B$1098),"")</f>
        <v/>
      </c>
      <c r="C1098" s="16" t="str">
        <f>IFERROR(IF([1]对账明细接口!$C$1098=0,"",[1]对账明细接口!$C$1098),"")</f>
        <v/>
      </c>
      <c r="D1098" s="16" t="str">
        <f>IFERROR(IF([1]对账明细接口!$D$1098=0,"",[1]对账明细接口!$D$1098),"")</f>
        <v/>
      </c>
      <c r="E1098" s="16" t="str">
        <f>IFERROR(IF([1]对账明细接口!$E$1098=0,"",[1]对账明细接口!$E$1098),"")</f>
        <v/>
      </c>
      <c r="F1098" s="16" t="str">
        <f>IFERROR(IF([1]对账明细接口!$F$1098=0,"",[1]对账明细接口!$F$1098),"")</f>
        <v/>
      </c>
      <c r="G1098" s="16" t="str">
        <f>IFERROR(IF([1]对账明细接口!$G$1098=0,"",[1]对账明细接口!$G$1098),"")</f>
        <v/>
      </c>
      <c r="H1098" s="17" t="str">
        <f>IFERROR(IF([1]对账明细接口!$H$1098=0,"",[1]对账明细接口!$H$1098),"")</f>
        <v/>
      </c>
      <c r="I1098" s="16" t="str">
        <f>IFERROR(IF([1]对账明细接口!$I$1098=0,"",[1]对账明细接口!$I$1098),"")</f>
        <v/>
      </c>
      <c r="J1098" s="18" t="str">
        <f>IFERROR(IF([1]对账明细接口!$J$1098=0,"",[1]对账明细接口!$J$1098),"")</f>
        <v/>
      </c>
      <c r="K1098" s="18" t="str">
        <f>IFERROR(IF([1]对账明细接口!$K$1098=0,"",[1]对账明细接口!$K$1098),"")</f>
        <v/>
      </c>
      <c r="L1098" s="16" t="str">
        <f>IFERROR(IF([1]对账明细接口!$L$1098=0,"",[1]对账明细接口!$L$1098),"")</f>
        <v/>
      </c>
      <c r="M1098" s="16" t="str">
        <f>IFERROR(IF([1]对账明细接口!$M$1098=0,"",[1]对账明细接口!$M$1098),"")</f>
        <v/>
      </c>
      <c r="N1098" s="19">
        <f t="shared" si="34"/>
        <v>0</v>
      </c>
      <c r="O1098" s="19">
        <f t="shared" si="35"/>
        <v>420</v>
      </c>
      <c r="S1098" s="20" t="str">
        <f>IFERROR(IF([1]对账明细接口!$N1098=0,"",[1]对账明细接口!$N1098),"")</f>
        <v/>
      </c>
      <c r="T1098" s="21" t="str">
        <f>IFERROR(IF([1]对账明细接口!$O1098=0,"",[1]对账明细接口!$O1098),"")</f>
        <v/>
      </c>
      <c r="U1098" s="21" t="str">
        <f>IFERROR(IF([1]对账明细接口!$P1098=0,"",[1]对账明细接口!$P1098),"")</f>
        <v/>
      </c>
      <c r="V1098" s="21" t="str">
        <f>IFERROR(IF([1]对账明细接口!$Q1098=0,"",[1]对账明细接口!$Q1098),"")</f>
        <v/>
      </c>
      <c r="W1098" s="20" t="str">
        <f>IFERROR(IF([1]对账明细接口!$R1098=0,"",[1]对账明细接口!$R1098),"")</f>
        <v/>
      </c>
      <c r="X1098" s="20" t="str">
        <f>IFERROR(IF([1]对账明细接口!$S1098=0,"",[1]对账明细接口!$S1098),"")</f>
        <v/>
      </c>
      <c r="Y1098" s="20" t="str">
        <f>IFERROR(IF([1]对账明细接口!$T1098=0,"",[1]对账明细接口!$T1098),"")</f>
        <v/>
      </c>
      <c r="Z1098" s="24" t="str">
        <f>IFERROR(IF([1]对账明细接口!$U1098=0,"",[1]对账明细接口!$U1098),"")</f>
        <v/>
      </c>
      <c r="AA1098" s="24" t="str">
        <f>IFERROR(IF([1]对账明细接口!$V1098=0,"",[1]对账明细接口!$V1098),"")</f>
        <v/>
      </c>
      <c r="AB1098" s="20" t="str">
        <f>IFERROR(IF([1]对账明细接口!$W1098=0,"",[1]对账明细接口!$W1098),"")</f>
        <v/>
      </c>
      <c r="AC1098" s="7" t="str">
        <f>IFERROR(IF([1]对账明细接口!$X1098=0,"",[1]对账明细接口!$X1098),"")</f>
        <v/>
      </c>
      <c r="AD1098" s="7" t="str">
        <f>IFERROR(IF([1]对账明细接口!$Y1098=0,"",[1]对账明细接口!$Y1098),"")</f>
        <v/>
      </c>
      <c r="AE1098" s="7" t="str">
        <f>IFERROR(IF([1]对账明细接口!$AA1098=0,"",[1]对账明细接口!$AA1098),"")</f>
        <v/>
      </c>
      <c r="AF1098" s="7" t="str">
        <f>IFERROR(IF([1]对账明细接口!$AB1098=0,"",[1]对账明细接口!$AB1098),"")</f>
        <v/>
      </c>
      <c r="AG1098" s="7" t="str">
        <f>IFERROR(IF([1]对账明细接口!$AC1098=0,"",[1]对账明细接口!$AC1098),"")</f>
        <v/>
      </c>
      <c r="AH1098" s="7" t="str">
        <f>IFERROR(IF([1]对账明细接口!$AD1098=0,"",[1]对账明细接口!$AD1098),"")</f>
        <v/>
      </c>
      <c r="AI1098" s="7" t="str">
        <f>IFERROR(IF([1]对账明细接口!$AE1098=0,"",[1]对账明细接口!$AE1098),"")</f>
        <v/>
      </c>
      <c r="AJ1098" s="7" t="str">
        <f>IFERROR(IF([1]对账明细接口!$AF1098=0,"",[1]对账明细接口!$AF1098),"")</f>
        <v/>
      </c>
    </row>
    <row r="1099" ht="14.25" customHeight="1" spans="1:36">
      <c r="A1099" s="14">
        <v>1099</v>
      </c>
      <c r="B1099" s="15" t="str">
        <f>IFERROR(IF([1]对账明细接口!$B$1099=0,"",[1]对账明细接口!$B$1099),"")</f>
        <v/>
      </c>
      <c r="C1099" s="16" t="str">
        <f>IFERROR(IF([1]对账明细接口!$C$1099=0,"",[1]对账明细接口!$C$1099),"")</f>
        <v/>
      </c>
      <c r="D1099" s="16" t="str">
        <f>IFERROR(IF([1]对账明细接口!$D$1099=0,"",[1]对账明细接口!$D$1099),"")</f>
        <v/>
      </c>
      <c r="E1099" s="16" t="str">
        <f>IFERROR(IF([1]对账明细接口!$E$1099=0,"",[1]对账明细接口!$E$1099),"")</f>
        <v/>
      </c>
      <c r="F1099" s="16" t="str">
        <f>IFERROR(IF([1]对账明细接口!$F$1099=0,"",[1]对账明细接口!$F$1099),"")</f>
        <v/>
      </c>
      <c r="G1099" s="16" t="str">
        <f>IFERROR(IF([1]对账明细接口!$G$1099=0,"",[1]对账明细接口!$G$1099),"")</f>
        <v/>
      </c>
      <c r="H1099" s="17" t="str">
        <f>IFERROR(IF([1]对账明细接口!$H$1099=0,"",[1]对账明细接口!$H$1099),"")</f>
        <v/>
      </c>
      <c r="I1099" s="16" t="str">
        <f>IFERROR(IF([1]对账明细接口!$I$1099=0,"",[1]对账明细接口!$I$1099),"")</f>
        <v/>
      </c>
      <c r="J1099" s="18" t="str">
        <f>IFERROR(IF([1]对账明细接口!$J$1099=0,"",[1]对账明细接口!$J$1099),"")</f>
        <v/>
      </c>
      <c r="K1099" s="18" t="str">
        <f>IFERROR(IF([1]对账明细接口!$K$1099=0,"",[1]对账明细接口!$K$1099),"")</f>
        <v/>
      </c>
      <c r="L1099" s="16" t="str">
        <f>IFERROR(IF([1]对账明细接口!$L$1099=0,"",[1]对账明细接口!$L$1099),"")</f>
        <v/>
      </c>
      <c r="M1099" s="16" t="str">
        <f>IFERROR(IF([1]对账明细接口!$M$1099=0,"",[1]对账明细接口!$M$1099),"")</f>
        <v/>
      </c>
      <c r="N1099" s="19">
        <f t="shared" si="34"/>
        <v>0</v>
      </c>
      <c r="O1099" s="19">
        <f t="shared" si="35"/>
        <v>420</v>
      </c>
      <c r="S1099" s="20" t="str">
        <f>IFERROR(IF([1]对账明细接口!$N1099=0,"",[1]对账明细接口!$N1099),"")</f>
        <v/>
      </c>
      <c r="T1099" s="21" t="str">
        <f>IFERROR(IF([1]对账明细接口!$O1099=0,"",[1]对账明细接口!$O1099),"")</f>
        <v/>
      </c>
      <c r="U1099" s="21" t="str">
        <f>IFERROR(IF([1]对账明细接口!$P1099=0,"",[1]对账明细接口!$P1099),"")</f>
        <v/>
      </c>
      <c r="V1099" s="21" t="str">
        <f>IFERROR(IF([1]对账明细接口!$Q1099=0,"",[1]对账明细接口!$Q1099),"")</f>
        <v/>
      </c>
      <c r="W1099" s="20" t="str">
        <f>IFERROR(IF([1]对账明细接口!$R1099=0,"",[1]对账明细接口!$R1099),"")</f>
        <v/>
      </c>
      <c r="X1099" s="20" t="str">
        <f>IFERROR(IF([1]对账明细接口!$S1099=0,"",[1]对账明细接口!$S1099),"")</f>
        <v/>
      </c>
      <c r="Y1099" s="20" t="str">
        <f>IFERROR(IF([1]对账明细接口!$T1099=0,"",[1]对账明细接口!$T1099),"")</f>
        <v/>
      </c>
      <c r="Z1099" s="24" t="str">
        <f>IFERROR(IF([1]对账明细接口!$U1099=0,"",[1]对账明细接口!$U1099),"")</f>
        <v/>
      </c>
      <c r="AA1099" s="24" t="str">
        <f>IFERROR(IF([1]对账明细接口!$V1099=0,"",[1]对账明细接口!$V1099),"")</f>
        <v/>
      </c>
      <c r="AB1099" s="20" t="str">
        <f>IFERROR(IF([1]对账明细接口!$W1099=0,"",[1]对账明细接口!$W1099),"")</f>
        <v/>
      </c>
      <c r="AC1099" s="7" t="str">
        <f>IFERROR(IF([1]对账明细接口!$X1099=0,"",[1]对账明细接口!$X1099),"")</f>
        <v/>
      </c>
      <c r="AD1099" s="7" t="str">
        <f>IFERROR(IF([1]对账明细接口!$Y1099=0,"",[1]对账明细接口!$Y1099),"")</f>
        <v/>
      </c>
      <c r="AE1099" s="7" t="str">
        <f>IFERROR(IF([1]对账明细接口!$AA1099=0,"",[1]对账明细接口!$AA1099),"")</f>
        <v/>
      </c>
      <c r="AF1099" s="7" t="str">
        <f>IFERROR(IF([1]对账明细接口!$AB1099=0,"",[1]对账明细接口!$AB1099),"")</f>
        <v/>
      </c>
      <c r="AG1099" s="7" t="str">
        <f>IFERROR(IF([1]对账明细接口!$AC1099=0,"",[1]对账明细接口!$AC1099),"")</f>
        <v/>
      </c>
      <c r="AH1099" s="7" t="str">
        <f>IFERROR(IF([1]对账明细接口!$AD1099=0,"",[1]对账明细接口!$AD1099),"")</f>
        <v/>
      </c>
      <c r="AI1099" s="7" t="str">
        <f>IFERROR(IF([1]对账明细接口!$AE1099=0,"",[1]对账明细接口!$AE1099),"")</f>
        <v/>
      </c>
      <c r="AJ1099" s="7" t="str">
        <f>IFERROR(IF([1]对账明细接口!$AF1099=0,"",[1]对账明细接口!$AF1099),"")</f>
        <v/>
      </c>
    </row>
    <row r="1100" ht="14.25" customHeight="1" spans="1:36">
      <c r="A1100" s="14">
        <v>1100</v>
      </c>
      <c r="B1100" s="15" t="str">
        <f>IFERROR(IF([1]对账明细接口!$B$1100=0,"",[1]对账明细接口!$B$1100),"")</f>
        <v/>
      </c>
      <c r="C1100" s="16" t="str">
        <f>IFERROR(IF([1]对账明细接口!$C$1100=0,"",[1]对账明细接口!$C$1100),"")</f>
        <v/>
      </c>
      <c r="D1100" s="16" t="str">
        <f>IFERROR(IF([1]对账明细接口!$D$1100=0,"",[1]对账明细接口!$D$1100),"")</f>
        <v/>
      </c>
      <c r="E1100" s="16" t="str">
        <f>IFERROR(IF([1]对账明细接口!$E$1100=0,"",[1]对账明细接口!$E$1100),"")</f>
        <v/>
      </c>
      <c r="F1100" s="16" t="str">
        <f>IFERROR(IF([1]对账明细接口!$F$1100=0,"",[1]对账明细接口!$F$1100),"")</f>
        <v/>
      </c>
      <c r="G1100" s="16" t="str">
        <f>IFERROR(IF([1]对账明细接口!$G$1100=0,"",[1]对账明细接口!$G$1100),"")</f>
        <v/>
      </c>
      <c r="H1100" s="17" t="str">
        <f>IFERROR(IF([1]对账明细接口!$H$1100=0,"",[1]对账明细接口!$H$1100),"")</f>
        <v/>
      </c>
      <c r="I1100" s="16" t="str">
        <f>IFERROR(IF([1]对账明细接口!$I$1100=0,"",[1]对账明细接口!$I$1100),"")</f>
        <v/>
      </c>
      <c r="J1100" s="18" t="str">
        <f>IFERROR(IF([1]对账明细接口!$J$1100=0,"",[1]对账明细接口!$J$1100),"")</f>
        <v/>
      </c>
      <c r="K1100" s="18" t="str">
        <f>IFERROR(IF([1]对账明细接口!$K$1100=0,"",[1]对账明细接口!$K$1100),"")</f>
        <v/>
      </c>
      <c r="L1100" s="16" t="str">
        <f>IFERROR(IF([1]对账明细接口!$L$1100=0,"",[1]对账明细接口!$L$1100),"")</f>
        <v/>
      </c>
      <c r="M1100" s="16" t="str">
        <f>IFERROR(IF([1]对账明细接口!$M$1100=0,"",[1]对账明细接口!$M$1100),"")</f>
        <v/>
      </c>
      <c r="N1100" s="19">
        <f t="shared" si="34"/>
        <v>0</v>
      </c>
      <c r="O1100" s="19">
        <f t="shared" si="35"/>
        <v>420</v>
      </c>
      <c r="S1100" s="20" t="str">
        <f>IFERROR(IF([1]对账明细接口!$N1100=0,"",[1]对账明细接口!$N1100),"")</f>
        <v/>
      </c>
      <c r="T1100" s="21" t="str">
        <f>IFERROR(IF([1]对账明细接口!$O1100=0,"",[1]对账明细接口!$O1100),"")</f>
        <v/>
      </c>
      <c r="U1100" s="21" t="str">
        <f>IFERROR(IF([1]对账明细接口!$P1100=0,"",[1]对账明细接口!$P1100),"")</f>
        <v/>
      </c>
      <c r="V1100" s="21" t="str">
        <f>IFERROR(IF([1]对账明细接口!$Q1100=0,"",[1]对账明细接口!$Q1100),"")</f>
        <v/>
      </c>
      <c r="W1100" s="20" t="str">
        <f>IFERROR(IF([1]对账明细接口!$R1100=0,"",[1]对账明细接口!$R1100),"")</f>
        <v/>
      </c>
      <c r="X1100" s="20" t="str">
        <f>IFERROR(IF([1]对账明细接口!$S1100=0,"",[1]对账明细接口!$S1100),"")</f>
        <v/>
      </c>
      <c r="Y1100" s="20" t="str">
        <f>IFERROR(IF([1]对账明细接口!$T1100=0,"",[1]对账明细接口!$T1100),"")</f>
        <v/>
      </c>
      <c r="Z1100" s="24" t="str">
        <f>IFERROR(IF([1]对账明细接口!$U1100=0,"",[1]对账明细接口!$U1100),"")</f>
        <v/>
      </c>
      <c r="AA1100" s="24" t="str">
        <f>IFERROR(IF([1]对账明细接口!$V1100=0,"",[1]对账明细接口!$V1100),"")</f>
        <v/>
      </c>
      <c r="AB1100" s="20" t="str">
        <f>IFERROR(IF([1]对账明细接口!$W1100=0,"",[1]对账明细接口!$W1100),"")</f>
        <v/>
      </c>
      <c r="AC1100" s="7" t="str">
        <f>IFERROR(IF([1]对账明细接口!$X1100=0,"",[1]对账明细接口!$X1100),"")</f>
        <v/>
      </c>
      <c r="AD1100" s="7" t="str">
        <f>IFERROR(IF([1]对账明细接口!$Y1100=0,"",[1]对账明细接口!$Y1100),"")</f>
        <v/>
      </c>
      <c r="AE1100" s="7" t="str">
        <f>IFERROR(IF([1]对账明细接口!$AA1100=0,"",[1]对账明细接口!$AA1100),"")</f>
        <v/>
      </c>
      <c r="AF1100" s="7" t="str">
        <f>IFERROR(IF([1]对账明细接口!$AB1100=0,"",[1]对账明细接口!$AB1100),"")</f>
        <v/>
      </c>
      <c r="AG1100" s="7" t="str">
        <f>IFERROR(IF([1]对账明细接口!$AC1100=0,"",[1]对账明细接口!$AC1100),"")</f>
        <v/>
      </c>
      <c r="AH1100" s="7" t="str">
        <f>IFERROR(IF([1]对账明细接口!$AD1100=0,"",[1]对账明细接口!$AD1100),"")</f>
        <v/>
      </c>
      <c r="AI1100" s="7" t="str">
        <f>IFERROR(IF([1]对账明细接口!$AE1100=0,"",[1]对账明细接口!$AE1100),"")</f>
        <v/>
      </c>
      <c r="AJ1100" s="7" t="str">
        <f>IFERROR(IF([1]对账明细接口!$AF1100=0,"",[1]对账明细接口!$AF1100),"")</f>
        <v/>
      </c>
    </row>
    <row r="1101" ht="14.25" customHeight="1" spans="1:36">
      <c r="A1101" s="14">
        <v>1101</v>
      </c>
      <c r="B1101" s="15" t="str">
        <f>IFERROR(IF([1]对账明细接口!$B$1101=0,"",[1]对账明细接口!$B$1101),"")</f>
        <v/>
      </c>
      <c r="C1101" s="16" t="str">
        <f>IFERROR(IF([1]对账明细接口!$C$1101=0,"",[1]对账明细接口!$C$1101),"")</f>
        <v/>
      </c>
      <c r="D1101" s="16" t="str">
        <f>IFERROR(IF([1]对账明细接口!$D$1101=0,"",[1]对账明细接口!$D$1101),"")</f>
        <v/>
      </c>
      <c r="E1101" s="16" t="str">
        <f>IFERROR(IF([1]对账明细接口!$E$1101=0,"",[1]对账明细接口!$E$1101),"")</f>
        <v/>
      </c>
      <c r="F1101" s="16" t="str">
        <f>IFERROR(IF([1]对账明细接口!$F$1101=0,"",[1]对账明细接口!$F$1101),"")</f>
        <v/>
      </c>
      <c r="G1101" s="16" t="str">
        <f>IFERROR(IF([1]对账明细接口!$G$1101=0,"",[1]对账明细接口!$G$1101),"")</f>
        <v/>
      </c>
      <c r="H1101" s="17" t="str">
        <f>IFERROR(IF([1]对账明细接口!$H$1101=0,"",[1]对账明细接口!$H$1101),"")</f>
        <v/>
      </c>
      <c r="I1101" s="16" t="str">
        <f>IFERROR(IF([1]对账明细接口!$I$1101=0,"",[1]对账明细接口!$I$1101),"")</f>
        <v/>
      </c>
      <c r="J1101" s="18" t="str">
        <f>IFERROR(IF([1]对账明细接口!$J$1101=0,"",[1]对账明细接口!$J$1101),"")</f>
        <v/>
      </c>
      <c r="K1101" s="18" t="str">
        <f>IFERROR(IF([1]对账明细接口!$K$1101=0,"",[1]对账明细接口!$K$1101),"")</f>
        <v/>
      </c>
      <c r="L1101" s="16" t="str">
        <f>IFERROR(IF([1]对账明细接口!$L$1101=0,"",[1]对账明细接口!$L$1101),"")</f>
        <v/>
      </c>
      <c r="M1101" s="16" t="str">
        <f>IFERROR(IF([1]对账明细接口!$M$1101=0,"",[1]对账明细接口!$M$1101),"")</f>
        <v/>
      </c>
      <c r="N1101" s="19">
        <f t="shared" si="34"/>
        <v>0</v>
      </c>
      <c r="O1101" s="19">
        <f t="shared" si="35"/>
        <v>420</v>
      </c>
      <c r="S1101" s="20" t="str">
        <f>IFERROR(IF([1]对账明细接口!$N1101=0,"",[1]对账明细接口!$N1101),"")</f>
        <v/>
      </c>
      <c r="T1101" s="21" t="str">
        <f>IFERROR(IF([1]对账明细接口!$O1101=0,"",[1]对账明细接口!$O1101),"")</f>
        <v/>
      </c>
      <c r="U1101" s="21" t="str">
        <f>IFERROR(IF([1]对账明细接口!$P1101=0,"",[1]对账明细接口!$P1101),"")</f>
        <v/>
      </c>
      <c r="V1101" s="21" t="str">
        <f>IFERROR(IF([1]对账明细接口!$Q1101=0,"",[1]对账明细接口!$Q1101),"")</f>
        <v/>
      </c>
      <c r="W1101" s="20" t="str">
        <f>IFERROR(IF([1]对账明细接口!$R1101=0,"",[1]对账明细接口!$R1101),"")</f>
        <v/>
      </c>
      <c r="X1101" s="20" t="str">
        <f>IFERROR(IF([1]对账明细接口!$S1101=0,"",[1]对账明细接口!$S1101),"")</f>
        <v/>
      </c>
      <c r="Y1101" s="20" t="str">
        <f>IFERROR(IF([1]对账明细接口!$T1101=0,"",[1]对账明细接口!$T1101),"")</f>
        <v/>
      </c>
      <c r="Z1101" s="24" t="str">
        <f>IFERROR(IF([1]对账明细接口!$U1101=0,"",[1]对账明细接口!$U1101),"")</f>
        <v/>
      </c>
      <c r="AA1101" s="24" t="str">
        <f>IFERROR(IF([1]对账明细接口!$V1101=0,"",[1]对账明细接口!$V1101),"")</f>
        <v/>
      </c>
      <c r="AB1101" s="20" t="str">
        <f>IFERROR(IF([1]对账明细接口!$W1101=0,"",[1]对账明细接口!$W1101),"")</f>
        <v/>
      </c>
      <c r="AC1101" s="7" t="str">
        <f>IFERROR(IF([1]对账明细接口!$X1101=0,"",[1]对账明细接口!$X1101),"")</f>
        <v/>
      </c>
      <c r="AD1101" s="7" t="str">
        <f>IFERROR(IF([1]对账明细接口!$Y1101=0,"",[1]对账明细接口!$Y1101),"")</f>
        <v/>
      </c>
      <c r="AE1101" s="7" t="str">
        <f>IFERROR(IF([1]对账明细接口!$AA1101=0,"",[1]对账明细接口!$AA1101),"")</f>
        <v/>
      </c>
      <c r="AF1101" s="7" t="str">
        <f>IFERROR(IF([1]对账明细接口!$AB1101=0,"",[1]对账明细接口!$AB1101),"")</f>
        <v/>
      </c>
      <c r="AG1101" s="7" t="str">
        <f>IFERROR(IF([1]对账明细接口!$AC1101=0,"",[1]对账明细接口!$AC1101),"")</f>
        <v/>
      </c>
      <c r="AH1101" s="7" t="str">
        <f>IFERROR(IF([1]对账明细接口!$AD1101=0,"",[1]对账明细接口!$AD1101),"")</f>
        <v/>
      </c>
      <c r="AI1101" s="7" t="str">
        <f>IFERROR(IF([1]对账明细接口!$AE1101=0,"",[1]对账明细接口!$AE1101),"")</f>
        <v/>
      </c>
      <c r="AJ1101" s="7" t="str">
        <f>IFERROR(IF([1]对账明细接口!$AF1101=0,"",[1]对账明细接口!$AF1101),"")</f>
        <v/>
      </c>
    </row>
    <row r="1102" ht="14.25" customHeight="1" spans="1:36">
      <c r="A1102" s="14">
        <v>1102</v>
      </c>
      <c r="B1102" s="15" t="str">
        <f>IFERROR(IF([1]对账明细接口!$B$1102=0,"",[1]对账明细接口!$B$1102),"")</f>
        <v/>
      </c>
      <c r="C1102" s="16" t="str">
        <f>IFERROR(IF([1]对账明细接口!$C$1102=0,"",[1]对账明细接口!$C$1102),"")</f>
        <v/>
      </c>
      <c r="D1102" s="16" t="str">
        <f>IFERROR(IF([1]对账明细接口!$D$1102=0,"",[1]对账明细接口!$D$1102),"")</f>
        <v/>
      </c>
      <c r="E1102" s="16" t="str">
        <f>IFERROR(IF([1]对账明细接口!$E$1102=0,"",[1]对账明细接口!$E$1102),"")</f>
        <v/>
      </c>
      <c r="F1102" s="16" t="str">
        <f>IFERROR(IF([1]对账明细接口!$F$1102=0,"",[1]对账明细接口!$F$1102),"")</f>
        <v/>
      </c>
      <c r="G1102" s="16" t="str">
        <f>IFERROR(IF([1]对账明细接口!$G$1102=0,"",[1]对账明细接口!$G$1102),"")</f>
        <v/>
      </c>
      <c r="H1102" s="17" t="str">
        <f>IFERROR(IF([1]对账明细接口!$H$1102=0,"",[1]对账明细接口!$H$1102),"")</f>
        <v/>
      </c>
      <c r="I1102" s="16" t="str">
        <f>IFERROR(IF([1]对账明细接口!$I$1102=0,"",[1]对账明细接口!$I$1102),"")</f>
        <v/>
      </c>
      <c r="J1102" s="18" t="str">
        <f>IFERROR(IF([1]对账明细接口!$J$1102=0,"",[1]对账明细接口!$J$1102),"")</f>
        <v/>
      </c>
      <c r="K1102" s="18" t="str">
        <f>IFERROR(IF([1]对账明细接口!$K$1102=0,"",[1]对账明细接口!$K$1102),"")</f>
        <v/>
      </c>
      <c r="L1102" s="16" t="str">
        <f>IFERROR(IF([1]对账明细接口!$L$1102=0,"",[1]对账明细接口!$L$1102),"")</f>
        <v/>
      </c>
      <c r="M1102" s="16" t="str">
        <f>IFERROR(IF([1]对账明细接口!$M$1102=0,"",[1]对账明细接口!$M$1102),"")</f>
        <v/>
      </c>
      <c r="N1102" s="19">
        <f t="shared" si="34"/>
        <v>0</v>
      </c>
      <c r="O1102" s="19">
        <f t="shared" si="35"/>
        <v>420</v>
      </c>
      <c r="S1102" s="20" t="str">
        <f>IFERROR(IF([1]对账明细接口!$N1102=0,"",[1]对账明细接口!$N1102),"")</f>
        <v/>
      </c>
      <c r="T1102" s="21" t="str">
        <f>IFERROR(IF([1]对账明细接口!$O1102=0,"",[1]对账明细接口!$O1102),"")</f>
        <v/>
      </c>
      <c r="U1102" s="21" t="str">
        <f>IFERROR(IF([1]对账明细接口!$P1102=0,"",[1]对账明细接口!$P1102),"")</f>
        <v/>
      </c>
      <c r="V1102" s="21" t="str">
        <f>IFERROR(IF([1]对账明细接口!$Q1102=0,"",[1]对账明细接口!$Q1102),"")</f>
        <v/>
      </c>
      <c r="W1102" s="20" t="str">
        <f>IFERROR(IF([1]对账明细接口!$R1102=0,"",[1]对账明细接口!$R1102),"")</f>
        <v/>
      </c>
      <c r="X1102" s="20" t="str">
        <f>IFERROR(IF([1]对账明细接口!$S1102=0,"",[1]对账明细接口!$S1102),"")</f>
        <v/>
      </c>
      <c r="Y1102" s="20" t="str">
        <f>IFERROR(IF([1]对账明细接口!$T1102=0,"",[1]对账明细接口!$T1102),"")</f>
        <v/>
      </c>
      <c r="Z1102" s="24" t="str">
        <f>IFERROR(IF([1]对账明细接口!$U1102=0,"",[1]对账明细接口!$U1102),"")</f>
        <v/>
      </c>
      <c r="AA1102" s="24" t="str">
        <f>IFERROR(IF([1]对账明细接口!$V1102=0,"",[1]对账明细接口!$V1102),"")</f>
        <v/>
      </c>
      <c r="AB1102" s="20" t="str">
        <f>IFERROR(IF([1]对账明细接口!$W1102=0,"",[1]对账明细接口!$W1102),"")</f>
        <v/>
      </c>
      <c r="AC1102" s="7" t="str">
        <f>IFERROR(IF([1]对账明细接口!$X1102=0,"",[1]对账明细接口!$X1102),"")</f>
        <v/>
      </c>
      <c r="AD1102" s="7" t="str">
        <f>IFERROR(IF([1]对账明细接口!$Y1102=0,"",[1]对账明细接口!$Y1102),"")</f>
        <v/>
      </c>
      <c r="AE1102" s="7" t="str">
        <f>IFERROR(IF([1]对账明细接口!$AA1102=0,"",[1]对账明细接口!$AA1102),"")</f>
        <v/>
      </c>
      <c r="AF1102" s="7" t="str">
        <f>IFERROR(IF([1]对账明细接口!$AB1102=0,"",[1]对账明细接口!$AB1102),"")</f>
        <v/>
      </c>
      <c r="AG1102" s="7" t="str">
        <f>IFERROR(IF([1]对账明细接口!$AC1102=0,"",[1]对账明细接口!$AC1102),"")</f>
        <v/>
      </c>
      <c r="AH1102" s="7" t="str">
        <f>IFERROR(IF([1]对账明细接口!$AD1102=0,"",[1]对账明细接口!$AD1102),"")</f>
        <v/>
      </c>
      <c r="AI1102" s="7" t="str">
        <f>IFERROR(IF([1]对账明细接口!$AE1102=0,"",[1]对账明细接口!$AE1102),"")</f>
        <v/>
      </c>
      <c r="AJ1102" s="7" t="str">
        <f>IFERROR(IF([1]对账明细接口!$AF1102=0,"",[1]对账明细接口!$AF1102),"")</f>
        <v/>
      </c>
    </row>
    <row r="1103" ht="14.25" customHeight="1" spans="1:36">
      <c r="A1103" s="14">
        <v>1103</v>
      </c>
      <c r="B1103" s="15" t="str">
        <f>IFERROR(IF([1]对账明细接口!$B$1103=0,"",[1]对账明细接口!$B$1103),"")</f>
        <v/>
      </c>
      <c r="C1103" s="16" t="str">
        <f>IFERROR(IF([1]对账明细接口!$C$1103=0,"",[1]对账明细接口!$C$1103),"")</f>
        <v/>
      </c>
      <c r="D1103" s="16" t="str">
        <f>IFERROR(IF([1]对账明细接口!$D$1103=0,"",[1]对账明细接口!$D$1103),"")</f>
        <v/>
      </c>
      <c r="E1103" s="16" t="str">
        <f>IFERROR(IF([1]对账明细接口!$E$1103=0,"",[1]对账明细接口!$E$1103),"")</f>
        <v/>
      </c>
      <c r="F1103" s="16" t="str">
        <f>IFERROR(IF([1]对账明细接口!$F$1103=0,"",[1]对账明细接口!$F$1103),"")</f>
        <v/>
      </c>
      <c r="G1103" s="16" t="str">
        <f>IFERROR(IF([1]对账明细接口!$G$1103=0,"",[1]对账明细接口!$G$1103),"")</f>
        <v/>
      </c>
      <c r="H1103" s="17" t="str">
        <f>IFERROR(IF([1]对账明细接口!$H$1103=0,"",[1]对账明细接口!$H$1103),"")</f>
        <v/>
      </c>
      <c r="I1103" s="16" t="str">
        <f>IFERROR(IF([1]对账明细接口!$I$1103=0,"",[1]对账明细接口!$I$1103),"")</f>
        <v/>
      </c>
      <c r="J1103" s="18" t="str">
        <f>IFERROR(IF([1]对账明细接口!$J$1103=0,"",[1]对账明细接口!$J$1103),"")</f>
        <v/>
      </c>
      <c r="K1103" s="18" t="str">
        <f>IFERROR(IF([1]对账明细接口!$K$1103=0,"",[1]对账明细接口!$K$1103),"")</f>
        <v/>
      </c>
      <c r="L1103" s="16" t="str">
        <f>IFERROR(IF([1]对账明细接口!$L$1103=0,"",[1]对账明细接口!$L$1103),"")</f>
        <v/>
      </c>
      <c r="M1103" s="16" t="str">
        <f>IFERROR(IF([1]对账明细接口!$M$1103=0,"",[1]对账明细接口!$M$1103),"")</f>
        <v/>
      </c>
      <c r="N1103" s="19">
        <f t="shared" si="34"/>
        <v>0</v>
      </c>
      <c r="O1103" s="19">
        <f t="shared" si="35"/>
        <v>420</v>
      </c>
      <c r="S1103" s="20" t="str">
        <f>IFERROR(IF([1]对账明细接口!$N1103=0,"",[1]对账明细接口!$N1103),"")</f>
        <v/>
      </c>
      <c r="T1103" s="21" t="str">
        <f>IFERROR(IF([1]对账明细接口!$O1103=0,"",[1]对账明细接口!$O1103),"")</f>
        <v/>
      </c>
      <c r="U1103" s="21" t="str">
        <f>IFERROR(IF([1]对账明细接口!$P1103=0,"",[1]对账明细接口!$P1103),"")</f>
        <v/>
      </c>
      <c r="V1103" s="21" t="str">
        <f>IFERROR(IF([1]对账明细接口!$Q1103=0,"",[1]对账明细接口!$Q1103),"")</f>
        <v/>
      </c>
      <c r="W1103" s="20" t="str">
        <f>IFERROR(IF([1]对账明细接口!$R1103=0,"",[1]对账明细接口!$R1103),"")</f>
        <v/>
      </c>
      <c r="X1103" s="20" t="str">
        <f>IFERROR(IF([1]对账明细接口!$S1103=0,"",[1]对账明细接口!$S1103),"")</f>
        <v/>
      </c>
      <c r="Y1103" s="20" t="str">
        <f>IFERROR(IF([1]对账明细接口!$T1103=0,"",[1]对账明细接口!$T1103),"")</f>
        <v/>
      </c>
      <c r="Z1103" s="24" t="str">
        <f>IFERROR(IF([1]对账明细接口!$U1103=0,"",[1]对账明细接口!$U1103),"")</f>
        <v/>
      </c>
      <c r="AA1103" s="24" t="str">
        <f>IFERROR(IF([1]对账明细接口!$V1103=0,"",[1]对账明细接口!$V1103),"")</f>
        <v/>
      </c>
      <c r="AB1103" s="20" t="str">
        <f>IFERROR(IF([1]对账明细接口!$W1103=0,"",[1]对账明细接口!$W1103),"")</f>
        <v/>
      </c>
      <c r="AC1103" s="7" t="str">
        <f>IFERROR(IF([1]对账明细接口!$X1103=0,"",[1]对账明细接口!$X1103),"")</f>
        <v/>
      </c>
      <c r="AD1103" s="7" t="str">
        <f>IFERROR(IF([1]对账明细接口!$Y1103=0,"",[1]对账明细接口!$Y1103),"")</f>
        <v/>
      </c>
      <c r="AE1103" s="7" t="str">
        <f>IFERROR(IF([1]对账明细接口!$AA1103=0,"",[1]对账明细接口!$AA1103),"")</f>
        <v/>
      </c>
      <c r="AF1103" s="7" t="str">
        <f>IFERROR(IF([1]对账明细接口!$AB1103=0,"",[1]对账明细接口!$AB1103),"")</f>
        <v/>
      </c>
      <c r="AG1103" s="7" t="str">
        <f>IFERROR(IF([1]对账明细接口!$AC1103=0,"",[1]对账明细接口!$AC1103),"")</f>
        <v/>
      </c>
      <c r="AH1103" s="7" t="str">
        <f>IFERROR(IF([1]对账明细接口!$AD1103=0,"",[1]对账明细接口!$AD1103),"")</f>
        <v/>
      </c>
      <c r="AI1103" s="7" t="str">
        <f>IFERROR(IF([1]对账明细接口!$AE1103=0,"",[1]对账明细接口!$AE1103),"")</f>
        <v/>
      </c>
      <c r="AJ1103" s="7" t="str">
        <f>IFERROR(IF([1]对账明细接口!$AF1103=0,"",[1]对账明细接口!$AF1103),"")</f>
        <v/>
      </c>
    </row>
    <row r="1104" ht="14.25" customHeight="1" spans="1:36">
      <c r="A1104" s="14">
        <v>1104</v>
      </c>
      <c r="B1104" s="15" t="str">
        <f>IFERROR(IF([1]对账明细接口!$B$1104=0,"",[1]对账明细接口!$B$1104),"")</f>
        <v/>
      </c>
      <c r="C1104" s="16" t="str">
        <f>IFERROR(IF([1]对账明细接口!$C$1104=0,"",[1]对账明细接口!$C$1104),"")</f>
        <v/>
      </c>
      <c r="D1104" s="16" t="str">
        <f>IFERROR(IF([1]对账明细接口!$D$1104=0,"",[1]对账明细接口!$D$1104),"")</f>
        <v/>
      </c>
      <c r="E1104" s="16" t="str">
        <f>IFERROR(IF([1]对账明细接口!$E$1104=0,"",[1]对账明细接口!$E$1104),"")</f>
        <v/>
      </c>
      <c r="F1104" s="16" t="str">
        <f>IFERROR(IF([1]对账明细接口!$F$1104=0,"",[1]对账明细接口!$F$1104),"")</f>
        <v/>
      </c>
      <c r="G1104" s="16" t="str">
        <f>IFERROR(IF([1]对账明细接口!$G$1104=0,"",[1]对账明细接口!$G$1104),"")</f>
        <v/>
      </c>
      <c r="H1104" s="17" t="str">
        <f>IFERROR(IF([1]对账明细接口!$H$1104=0,"",[1]对账明细接口!$H$1104),"")</f>
        <v/>
      </c>
      <c r="I1104" s="16" t="str">
        <f>IFERROR(IF([1]对账明细接口!$I$1104=0,"",[1]对账明细接口!$I$1104),"")</f>
        <v/>
      </c>
      <c r="J1104" s="18" t="str">
        <f>IFERROR(IF([1]对账明细接口!$J$1104=0,"",[1]对账明细接口!$J$1104),"")</f>
        <v/>
      </c>
      <c r="K1104" s="18" t="str">
        <f>IFERROR(IF([1]对账明细接口!$K$1104=0,"",[1]对账明细接口!$K$1104),"")</f>
        <v/>
      </c>
      <c r="L1104" s="16" t="str">
        <f>IFERROR(IF([1]对账明细接口!$L$1104=0,"",[1]对账明细接口!$L$1104),"")</f>
        <v/>
      </c>
      <c r="M1104" s="16" t="str">
        <f>IFERROR(IF([1]对账明细接口!$M$1104=0,"",[1]对账明细接口!$M$1104),"")</f>
        <v/>
      </c>
      <c r="N1104" s="19">
        <f t="shared" si="34"/>
        <v>0</v>
      </c>
      <c r="O1104" s="19">
        <f t="shared" si="35"/>
        <v>420</v>
      </c>
      <c r="S1104" s="20" t="str">
        <f>IFERROR(IF([1]对账明细接口!$N1104=0,"",[1]对账明细接口!$N1104),"")</f>
        <v/>
      </c>
      <c r="T1104" s="21" t="str">
        <f>IFERROR(IF([1]对账明细接口!$O1104=0,"",[1]对账明细接口!$O1104),"")</f>
        <v/>
      </c>
      <c r="U1104" s="21" t="str">
        <f>IFERROR(IF([1]对账明细接口!$P1104=0,"",[1]对账明细接口!$P1104),"")</f>
        <v/>
      </c>
      <c r="V1104" s="21" t="str">
        <f>IFERROR(IF([1]对账明细接口!$Q1104=0,"",[1]对账明细接口!$Q1104),"")</f>
        <v/>
      </c>
      <c r="W1104" s="20" t="str">
        <f>IFERROR(IF([1]对账明细接口!$R1104=0,"",[1]对账明细接口!$R1104),"")</f>
        <v/>
      </c>
      <c r="X1104" s="20" t="str">
        <f>IFERROR(IF([1]对账明细接口!$S1104=0,"",[1]对账明细接口!$S1104),"")</f>
        <v/>
      </c>
      <c r="Y1104" s="20" t="str">
        <f>IFERROR(IF([1]对账明细接口!$T1104=0,"",[1]对账明细接口!$T1104),"")</f>
        <v/>
      </c>
      <c r="Z1104" s="24" t="str">
        <f>IFERROR(IF([1]对账明细接口!$U1104=0,"",[1]对账明细接口!$U1104),"")</f>
        <v/>
      </c>
      <c r="AA1104" s="24" t="str">
        <f>IFERROR(IF([1]对账明细接口!$V1104=0,"",[1]对账明细接口!$V1104),"")</f>
        <v/>
      </c>
      <c r="AB1104" s="20" t="str">
        <f>IFERROR(IF([1]对账明细接口!$W1104=0,"",[1]对账明细接口!$W1104),"")</f>
        <v/>
      </c>
      <c r="AC1104" s="7" t="str">
        <f>IFERROR(IF([1]对账明细接口!$X1104=0,"",[1]对账明细接口!$X1104),"")</f>
        <v/>
      </c>
      <c r="AD1104" s="7" t="str">
        <f>IFERROR(IF([1]对账明细接口!$Y1104=0,"",[1]对账明细接口!$Y1104),"")</f>
        <v/>
      </c>
      <c r="AE1104" s="7" t="str">
        <f>IFERROR(IF([1]对账明细接口!$AA1104=0,"",[1]对账明细接口!$AA1104),"")</f>
        <v/>
      </c>
      <c r="AF1104" s="7" t="str">
        <f>IFERROR(IF([1]对账明细接口!$AB1104=0,"",[1]对账明细接口!$AB1104),"")</f>
        <v/>
      </c>
      <c r="AG1104" s="7" t="str">
        <f>IFERROR(IF([1]对账明细接口!$AC1104=0,"",[1]对账明细接口!$AC1104),"")</f>
        <v/>
      </c>
      <c r="AH1104" s="7" t="str">
        <f>IFERROR(IF([1]对账明细接口!$AD1104=0,"",[1]对账明细接口!$AD1104),"")</f>
        <v/>
      </c>
      <c r="AI1104" s="7" t="str">
        <f>IFERROR(IF([1]对账明细接口!$AE1104=0,"",[1]对账明细接口!$AE1104),"")</f>
        <v/>
      </c>
      <c r="AJ1104" s="7" t="str">
        <f>IFERROR(IF([1]对账明细接口!$AF1104=0,"",[1]对账明细接口!$AF1104),"")</f>
        <v/>
      </c>
    </row>
    <row r="1105" ht="14.25" customHeight="1" spans="1:36">
      <c r="A1105" s="14">
        <v>1105</v>
      </c>
      <c r="B1105" s="15" t="str">
        <f>IFERROR(IF([1]对账明细接口!$B$1105=0,"",[1]对账明细接口!$B$1105),"")</f>
        <v/>
      </c>
      <c r="C1105" s="16" t="str">
        <f>IFERROR(IF([1]对账明细接口!$C$1105=0,"",[1]对账明细接口!$C$1105),"")</f>
        <v/>
      </c>
      <c r="D1105" s="16" t="str">
        <f>IFERROR(IF([1]对账明细接口!$D$1105=0,"",[1]对账明细接口!$D$1105),"")</f>
        <v/>
      </c>
      <c r="E1105" s="16" t="str">
        <f>IFERROR(IF([1]对账明细接口!$E$1105=0,"",[1]对账明细接口!$E$1105),"")</f>
        <v/>
      </c>
      <c r="F1105" s="16" t="str">
        <f>IFERROR(IF([1]对账明细接口!$F$1105=0,"",[1]对账明细接口!$F$1105),"")</f>
        <v/>
      </c>
      <c r="G1105" s="16" t="str">
        <f>IFERROR(IF([1]对账明细接口!$G$1105=0,"",[1]对账明细接口!$G$1105),"")</f>
        <v/>
      </c>
      <c r="H1105" s="17" t="str">
        <f>IFERROR(IF([1]对账明细接口!$H$1105=0,"",[1]对账明细接口!$H$1105),"")</f>
        <v/>
      </c>
      <c r="I1105" s="16" t="str">
        <f>IFERROR(IF([1]对账明细接口!$I$1105=0,"",[1]对账明细接口!$I$1105),"")</f>
        <v/>
      </c>
      <c r="J1105" s="18" t="str">
        <f>IFERROR(IF([1]对账明细接口!$J$1105=0,"",[1]对账明细接口!$J$1105),"")</f>
        <v/>
      </c>
      <c r="K1105" s="18" t="str">
        <f>IFERROR(IF([1]对账明细接口!$K$1105=0,"",[1]对账明细接口!$K$1105),"")</f>
        <v/>
      </c>
      <c r="L1105" s="16" t="str">
        <f>IFERROR(IF([1]对账明细接口!$L$1105=0,"",[1]对账明细接口!$L$1105),"")</f>
        <v/>
      </c>
      <c r="M1105" s="16" t="str">
        <f>IFERROR(IF([1]对账明细接口!$M$1105=0,"",[1]对账明细接口!$M$1105),"")</f>
        <v/>
      </c>
      <c r="N1105" s="19">
        <f t="shared" si="34"/>
        <v>0</v>
      </c>
      <c r="O1105" s="19">
        <f t="shared" si="35"/>
        <v>420</v>
      </c>
      <c r="S1105" s="20" t="str">
        <f>IFERROR(IF([1]对账明细接口!$N1105=0,"",[1]对账明细接口!$N1105),"")</f>
        <v/>
      </c>
      <c r="T1105" s="21" t="str">
        <f>IFERROR(IF([1]对账明细接口!$O1105=0,"",[1]对账明细接口!$O1105),"")</f>
        <v/>
      </c>
      <c r="U1105" s="21" t="str">
        <f>IFERROR(IF([1]对账明细接口!$P1105=0,"",[1]对账明细接口!$P1105),"")</f>
        <v/>
      </c>
      <c r="V1105" s="21" t="str">
        <f>IFERROR(IF([1]对账明细接口!$Q1105=0,"",[1]对账明细接口!$Q1105),"")</f>
        <v/>
      </c>
      <c r="W1105" s="20" t="str">
        <f>IFERROR(IF([1]对账明细接口!$R1105=0,"",[1]对账明细接口!$R1105),"")</f>
        <v/>
      </c>
      <c r="X1105" s="20" t="str">
        <f>IFERROR(IF([1]对账明细接口!$S1105=0,"",[1]对账明细接口!$S1105),"")</f>
        <v/>
      </c>
      <c r="Y1105" s="20" t="str">
        <f>IFERROR(IF([1]对账明细接口!$T1105=0,"",[1]对账明细接口!$T1105),"")</f>
        <v/>
      </c>
      <c r="Z1105" s="24" t="str">
        <f>IFERROR(IF([1]对账明细接口!$U1105=0,"",[1]对账明细接口!$U1105),"")</f>
        <v/>
      </c>
      <c r="AA1105" s="24" t="str">
        <f>IFERROR(IF([1]对账明细接口!$V1105=0,"",[1]对账明细接口!$V1105),"")</f>
        <v/>
      </c>
      <c r="AB1105" s="20" t="str">
        <f>IFERROR(IF([1]对账明细接口!$W1105=0,"",[1]对账明细接口!$W1105),"")</f>
        <v/>
      </c>
      <c r="AC1105" s="7" t="str">
        <f>IFERROR(IF([1]对账明细接口!$X1105=0,"",[1]对账明细接口!$X1105),"")</f>
        <v/>
      </c>
      <c r="AD1105" s="7" t="str">
        <f>IFERROR(IF([1]对账明细接口!$Y1105=0,"",[1]对账明细接口!$Y1105),"")</f>
        <v/>
      </c>
      <c r="AE1105" s="7" t="str">
        <f>IFERROR(IF([1]对账明细接口!$AA1105=0,"",[1]对账明细接口!$AA1105),"")</f>
        <v/>
      </c>
      <c r="AF1105" s="7" t="str">
        <f>IFERROR(IF([1]对账明细接口!$AB1105=0,"",[1]对账明细接口!$AB1105),"")</f>
        <v/>
      </c>
      <c r="AG1105" s="7" t="str">
        <f>IFERROR(IF([1]对账明细接口!$AC1105=0,"",[1]对账明细接口!$AC1105),"")</f>
        <v/>
      </c>
      <c r="AH1105" s="7" t="str">
        <f>IFERROR(IF([1]对账明细接口!$AD1105=0,"",[1]对账明细接口!$AD1105),"")</f>
        <v/>
      </c>
      <c r="AI1105" s="7" t="str">
        <f>IFERROR(IF([1]对账明细接口!$AE1105=0,"",[1]对账明细接口!$AE1105),"")</f>
        <v/>
      </c>
      <c r="AJ1105" s="7" t="str">
        <f>IFERROR(IF([1]对账明细接口!$AF1105=0,"",[1]对账明细接口!$AF1105),"")</f>
        <v/>
      </c>
    </row>
    <row r="1106" ht="14.25" customHeight="1" spans="1:36">
      <c r="A1106" s="14">
        <v>1106</v>
      </c>
      <c r="B1106" s="15" t="str">
        <f>IFERROR(IF([1]对账明细接口!$B$1106=0,"",[1]对账明细接口!$B$1106),"")</f>
        <v/>
      </c>
      <c r="C1106" s="16" t="str">
        <f>IFERROR(IF([1]对账明细接口!$C$1106=0,"",[1]对账明细接口!$C$1106),"")</f>
        <v/>
      </c>
      <c r="D1106" s="16" t="str">
        <f>IFERROR(IF([1]对账明细接口!$D$1106=0,"",[1]对账明细接口!$D$1106),"")</f>
        <v/>
      </c>
      <c r="E1106" s="16" t="str">
        <f>IFERROR(IF([1]对账明细接口!$E$1106=0,"",[1]对账明细接口!$E$1106),"")</f>
        <v/>
      </c>
      <c r="F1106" s="16" t="str">
        <f>IFERROR(IF([1]对账明细接口!$F$1106=0,"",[1]对账明细接口!$F$1106),"")</f>
        <v/>
      </c>
      <c r="G1106" s="16" t="str">
        <f>IFERROR(IF([1]对账明细接口!$G$1106=0,"",[1]对账明细接口!$G$1106),"")</f>
        <v/>
      </c>
      <c r="H1106" s="17" t="str">
        <f>IFERROR(IF([1]对账明细接口!$H$1106=0,"",[1]对账明细接口!$H$1106),"")</f>
        <v/>
      </c>
      <c r="I1106" s="16" t="str">
        <f>IFERROR(IF([1]对账明细接口!$I$1106=0,"",[1]对账明细接口!$I$1106),"")</f>
        <v/>
      </c>
      <c r="J1106" s="18" t="str">
        <f>IFERROR(IF([1]对账明细接口!$J$1106=0,"",[1]对账明细接口!$J$1106),"")</f>
        <v/>
      </c>
      <c r="K1106" s="18" t="str">
        <f>IFERROR(IF([1]对账明细接口!$K$1106=0,"",[1]对账明细接口!$K$1106),"")</f>
        <v/>
      </c>
      <c r="L1106" s="16" t="str">
        <f>IFERROR(IF([1]对账明细接口!$L$1106=0,"",[1]对账明细接口!$L$1106),"")</f>
        <v/>
      </c>
      <c r="M1106" s="16" t="str">
        <f>IFERROR(IF([1]对账明细接口!$M$1106=0,"",[1]对账明细接口!$M$1106),"")</f>
        <v/>
      </c>
      <c r="N1106" s="19">
        <f t="shared" si="34"/>
        <v>0</v>
      </c>
      <c r="O1106" s="19">
        <f t="shared" si="35"/>
        <v>420</v>
      </c>
      <c r="S1106" s="20" t="str">
        <f>IFERROR(IF([1]对账明细接口!$N1106=0,"",[1]对账明细接口!$N1106),"")</f>
        <v/>
      </c>
      <c r="T1106" s="21" t="str">
        <f>IFERROR(IF([1]对账明细接口!$O1106=0,"",[1]对账明细接口!$O1106),"")</f>
        <v/>
      </c>
      <c r="U1106" s="21" t="str">
        <f>IFERROR(IF([1]对账明细接口!$P1106=0,"",[1]对账明细接口!$P1106),"")</f>
        <v/>
      </c>
      <c r="V1106" s="21" t="str">
        <f>IFERROR(IF([1]对账明细接口!$Q1106=0,"",[1]对账明细接口!$Q1106),"")</f>
        <v/>
      </c>
      <c r="W1106" s="20" t="str">
        <f>IFERROR(IF([1]对账明细接口!$R1106=0,"",[1]对账明细接口!$R1106),"")</f>
        <v/>
      </c>
      <c r="X1106" s="20" t="str">
        <f>IFERROR(IF([1]对账明细接口!$S1106=0,"",[1]对账明细接口!$S1106),"")</f>
        <v/>
      </c>
      <c r="Y1106" s="20" t="str">
        <f>IFERROR(IF([1]对账明细接口!$T1106=0,"",[1]对账明细接口!$T1106),"")</f>
        <v/>
      </c>
      <c r="Z1106" s="24" t="str">
        <f>IFERROR(IF([1]对账明细接口!$U1106=0,"",[1]对账明细接口!$U1106),"")</f>
        <v/>
      </c>
      <c r="AA1106" s="24" t="str">
        <f>IFERROR(IF([1]对账明细接口!$V1106=0,"",[1]对账明细接口!$V1106),"")</f>
        <v/>
      </c>
      <c r="AB1106" s="20" t="str">
        <f>IFERROR(IF([1]对账明细接口!$W1106=0,"",[1]对账明细接口!$W1106),"")</f>
        <v/>
      </c>
      <c r="AC1106" s="7" t="str">
        <f>IFERROR(IF([1]对账明细接口!$X1106=0,"",[1]对账明细接口!$X1106),"")</f>
        <v/>
      </c>
      <c r="AD1106" s="7" t="str">
        <f>IFERROR(IF([1]对账明细接口!$Y1106=0,"",[1]对账明细接口!$Y1106),"")</f>
        <v/>
      </c>
      <c r="AE1106" s="7" t="str">
        <f>IFERROR(IF([1]对账明细接口!$AA1106=0,"",[1]对账明细接口!$AA1106),"")</f>
        <v/>
      </c>
      <c r="AF1106" s="7" t="str">
        <f>IFERROR(IF([1]对账明细接口!$AB1106=0,"",[1]对账明细接口!$AB1106),"")</f>
        <v/>
      </c>
      <c r="AG1106" s="7" t="str">
        <f>IFERROR(IF([1]对账明细接口!$AC1106=0,"",[1]对账明细接口!$AC1106),"")</f>
        <v/>
      </c>
      <c r="AH1106" s="7" t="str">
        <f>IFERROR(IF([1]对账明细接口!$AD1106=0,"",[1]对账明细接口!$AD1106),"")</f>
        <v/>
      </c>
      <c r="AI1106" s="7" t="str">
        <f>IFERROR(IF([1]对账明细接口!$AE1106=0,"",[1]对账明细接口!$AE1106),"")</f>
        <v/>
      </c>
      <c r="AJ1106" s="7" t="str">
        <f>IFERROR(IF([1]对账明细接口!$AF1106=0,"",[1]对账明细接口!$AF1106),"")</f>
        <v/>
      </c>
    </row>
    <row r="1107" ht="14.25" customHeight="1" spans="1:36">
      <c r="A1107" s="14">
        <v>1107</v>
      </c>
      <c r="B1107" s="15" t="str">
        <f>IFERROR(IF([1]对账明细接口!$B$1107=0,"",[1]对账明细接口!$B$1107),"")</f>
        <v/>
      </c>
      <c r="C1107" s="16" t="str">
        <f>IFERROR(IF([1]对账明细接口!$C$1107=0,"",[1]对账明细接口!$C$1107),"")</f>
        <v/>
      </c>
      <c r="D1107" s="16" t="str">
        <f>IFERROR(IF([1]对账明细接口!$D$1107=0,"",[1]对账明细接口!$D$1107),"")</f>
        <v/>
      </c>
      <c r="E1107" s="16" t="str">
        <f>IFERROR(IF([1]对账明细接口!$E$1107=0,"",[1]对账明细接口!$E$1107),"")</f>
        <v/>
      </c>
      <c r="F1107" s="16" t="str">
        <f>IFERROR(IF([1]对账明细接口!$F$1107=0,"",[1]对账明细接口!$F$1107),"")</f>
        <v/>
      </c>
      <c r="G1107" s="16" t="str">
        <f>IFERROR(IF([1]对账明细接口!$G$1107=0,"",[1]对账明细接口!$G$1107),"")</f>
        <v/>
      </c>
      <c r="H1107" s="17" t="str">
        <f>IFERROR(IF([1]对账明细接口!$H$1107=0,"",[1]对账明细接口!$H$1107),"")</f>
        <v/>
      </c>
      <c r="I1107" s="16" t="str">
        <f>IFERROR(IF([1]对账明细接口!$I$1107=0,"",[1]对账明细接口!$I$1107),"")</f>
        <v/>
      </c>
      <c r="J1107" s="18" t="str">
        <f>IFERROR(IF([1]对账明细接口!$J$1107=0,"",[1]对账明细接口!$J$1107),"")</f>
        <v/>
      </c>
      <c r="K1107" s="18" t="str">
        <f>IFERROR(IF([1]对账明细接口!$K$1107=0,"",[1]对账明细接口!$K$1107),"")</f>
        <v/>
      </c>
      <c r="L1107" s="16" t="str">
        <f>IFERROR(IF([1]对账明细接口!$L$1107=0,"",[1]对账明细接口!$L$1107),"")</f>
        <v/>
      </c>
      <c r="M1107" s="16" t="str">
        <f>IFERROR(IF([1]对账明细接口!$M$1107=0,"",[1]对账明细接口!$M$1107),"")</f>
        <v/>
      </c>
      <c r="N1107" s="19">
        <f t="shared" si="34"/>
        <v>0</v>
      </c>
      <c r="O1107" s="19">
        <f t="shared" si="35"/>
        <v>420</v>
      </c>
      <c r="S1107" s="20" t="str">
        <f>IFERROR(IF([1]对账明细接口!$N1107=0,"",[1]对账明细接口!$N1107),"")</f>
        <v/>
      </c>
      <c r="T1107" s="21" t="str">
        <f>IFERROR(IF([1]对账明细接口!$O1107=0,"",[1]对账明细接口!$O1107),"")</f>
        <v/>
      </c>
      <c r="U1107" s="21" t="str">
        <f>IFERROR(IF([1]对账明细接口!$P1107=0,"",[1]对账明细接口!$P1107),"")</f>
        <v/>
      </c>
      <c r="V1107" s="21" t="str">
        <f>IFERROR(IF([1]对账明细接口!$Q1107=0,"",[1]对账明细接口!$Q1107),"")</f>
        <v/>
      </c>
      <c r="W1107" s="20" t="str">
        <f>IFERROR(IF([1]对账明细接口!$R1107=0,"",[1]对账明细接口!$R1107),"")</f>
        <v/>
      </c>
      <c r="X1107" s="20" t="str">
        <f>IFERROR(IF([1]对账明细接口!$S1107=0,"",[1]对账明细接口!$S1107),"")</f>
        <v/>
      </c>
      <c r="Y1107" s="20" t="str">
        <f>IFERROR(IF([1]对账明细接口!$T1107=0,"",[1]对账明细接口!$T1107),"")</f>
        <v/>
      </c>
      <c r="Z1107" s="24" t="str">
        <f>IFERROR(IF([1]对账明细接口!$U1107=0,"",[1]对账明细接口!$U1107),"")</f>
        <v/>
      </c>
      <c r="AA1107" s="24" t="str">
        <f>IFERROR(IF([1]对账明细接口!$V1107=0,"",[1]对账明细接口!$V1107),"")</f>
        <v/>
      </c>
      <c r="AB1107" s="20" t="str">
        <f>IFERROR(IF([1]对账明细接口!$W1107=0,"",[1]对账明细接口!$W1107),"")</f>
        <v/>
      </c>
      <c r="AC1107" s="7" t="str">
        <f>IFERROR(IF([1]对账明细接口!$X1107=0,"",[1]对账明细接口!$X1107),"")</f>
        <v/>
      </c>
      <c r="AD1107" s="7" t="str">
        <f>IFERROR(IF([1]对账明细接口!$Y1107=0,"",[1]对账明细接口!$Y1107),"")</f>
        <v/>
      </c>
      <c r="AE1107" s="7" t="str">
        <f>IFERROR(IF([1]对账明细接口!$AA1107=0,"",[1]对账明细接口!$AA1107),"")</f>
        <v/>
      </c>
      <c r="AF1107" s="7" t="str">
        <f>IFERROR(IF([1]对账明细接口!$AB1107=0,"",[1]对账明细接口!$AB1107),"")</f>
        <v/>
      </c>
      <c r="AG1107" s="7" t="str">
        <f>IFERROR(IF([1]对账明细接口!$AC1107=0,"",[1]对账明细接口!$AC1107),"")</f>
        <v/>
      </c>
      <c r="AH1107" s="7" t="str">
        <f>IFERROR(IF([1]对账明细接口!$AD1107=0,"",[1]对账明细接口!$AD1107),"")</f>
        <v/>
      </c>
      <c r="AI1107" s="7" t="str">
        <f>IFERROR(IF([1]对账明细接口!$AE1107=0,"",[1]对账明细接口!$AE1107),"")</f>
        <v/>
      </c>
      <c r="AJ1107" s="7" t="str">
        <f>IFERROR(IF([1]对账明细接口!$AF1107=0,"",[1]对账明细接口!$AF1107),"")</f>
        <v/>
      </c>
    </row>
    <row r="1108" ht="14.25" customHeight="1" spans="1:36">
      <c r="A1108" s="14">
        <v>1108</v>
      </c>
      <c r="B1108" s="15" t="str">
        <f>IFERROR(IF([1]对账明细接口!$B$1108=0,"",[1]对账明细接口!$B$1108),"")</f>
        <v/>
      </c>
      <c r="C1108" s="16" t="str">
        <f>IFERROR(IF([1]对账明细接口!$C$1108=0,"",[1]对账明细接口!$C$1108),"")</f>
        <v/>
      </c>
      <c r="D1108" s="16" t="str">
        <f>IFERROR(IF([1]对账明细接口!$D$1108=0,"",[1]对账明细接口!$D$1108),"")</f>
        <v/>
      </c>
      <c r="E1108" s="16" t="str">
        <f>IFERROR(IF([1]对账明细接口!$E$1108=0,"",[1]对账明细接口!$E$1108),"")</f>
        <v/>
      </c>
      <c r="F1108" s="16" t="str">
        <f>IFERROR(IF([1]对账明细接口!$F$1108=0,"",[1]对账明细接口!$F$1108),"")</f>
        <v/>
      </c>
      <c r="G1108" s="16" t="str">
        <f>IFERROR(IF([1]对账明细接口!$G$1108=0,"",[1]对账明细接口!$G$1108),"")</f>
        <v/>
      </c>
      <c r="H1108" s="17" t="str">
        <f>IFERROR(IF([1]对账明细接口!$H$1108=0,"",[1]对账明细接口!$H$1108),"")</f>
        <v/>
      </c>
      <c r="I1108" s="16" t="str">
        <f>IFERROR(IF([1]对账明细接口!$I$1108=0,"",[1]对账明细接口!$I$1108),"")</f>
        <v/>
      </c>
      <c r="J1108" s="18" t="str">
        <f>IFERROR(IF([1]对账明细接口!$J$1108=0,"",[1]对账明细接口!$J$1108),"")</f>
        <v/>
      </c>
      <c r="K1108" s="18" t="str">
        <f>IFERROR(IF([1]对账明细接口!$K$1108=0,"",[1]对账明细接口!$K$1108),"")</f>
        <v/>
      </c>
      <c r="L1108" s="16" t="str">
        <f>IFERROR(IF([1]对账明细接口!$L$1108=0,"",[1]对账明细接口!$L$1108),"")</f>
        <v/>
      </c>
      <c r="M1108" s="16" t="str">
        <f>IFERROR(IF([1]对账明细接口!$M$1108=0,"",[1]对账明细接口!$M$1108),"")</f>
        <v/>
      </c>
      <c r="N1108" s="19">
        <f t="shared" si="34"/>
        <v>0</v>
      </c>
      <c r="O1108" s="19">
        <f t="shared" si="35"/>
        <v>420</v>
      </c>
      <c r="S1108" s="20" t="str">
        <f>IFERROR(IF([1]对账明细接口!$N1108=0,"",[1]对账明细接口!$N1108),"")</f>
        <v/>
      </c>
      <c r="T1108" s="21" t="str">
        <f>IFERROR(IF([1]对账明细接口!$O1108=0,"",[1]对账明细接口!$O1108),"")</f>
        <v/>
      </c>
      <c r="U1108" s="21" t="str">
        <f>IFERROR(IF([1]对账明细接口!$P1108=0,"",[1]对账明细接口!$P1108),"")</f>
        <v/>
      </c>
      <c r="V1108" s="21" t="str">
        <f>IFERROR(IF([1]对账明细接口!$Q1108=0,"",[1]对账明细接口!$Q1108),"")</f>
        <v/>
      </c>
      <c r="W1108" s="20" t="str">
        <f>IFERROR(IF([1]对账明细接口!$R1108=0,"",[1]对账明细接口!$R1108),"")</f>
        <v/>
      </c>
      <c r="X1108" s="20" t="str">
        <f>IFERROR(IF([1]对账明细接口!$S1108=0,"",[1]对账明细接口!$S1108),"")</f>
        <v/>
      </c>
      <c r="Y1108" s="20" t="str">
        <f>IFERROR(IF([1]对账明细接口!$T1108=0,"",[1]对账明细接口!$T1108),"")</f>
        <v/>
      </c>
      <c r="Z1108" s="24" t="str">
        <f>IFERROR(IF([1]对账明细接口!$U1108=0,"",[1]对账明细接口!$U1108),"")</f>
        <v/>
      </c>
      <c r="AA1108" s="24" t="str">
        <f>IFERROR(IF([1]对账明细接口!$V1108=0,"",[1]对账明细接口!$V1108),"")</f>
        <v/>
      </c>
      <c r="AB1108" s="20" t="str">
        <f>IFERROR(IF([1]对账明细接口!$W1108=0,"",[1]对账明细接口!$W1108),"")</f>
        <v/>
      </c>
      <c r="AC1108" s="7" t="str">
        <f>IFERROR(IF([1]对账明细接口!$X1108=0,"",[1]对账明细接口!$X1108),"")</f>
        <v/>
      </c>
      <c r="AD1108" s="7" t="str">
        <f>IFERROR(IF([1]对账明细接口!$Y1108=0,"",[1]对账明细接口!$Y1108),"")</f>
        <v/>
      </c>
      <c r="AE1108" s="7" t="str">
        <f>IFERROR(IF([1]对账明细接口!$AA1108=0,"",[1]对账明细接口!$AA1108),"")</f>
        <v/>
      </c>
      <c r="AF1108" s="7" t="str">
        <f>IFERROR(IF([1]对账明细接口!$AB1108=0,"",[1]对账明细接口!$AB1108),"")</f>
        <v/>
      </c>
      <c r="AG1108" s="7" t="str">
        <f>IFERROR(IF([1]对账明细接口!$AC1108=0,"",[1]对账明细接口!$AC1108),"")</f>
        <v/>
      </c>
      <c r="AH1108" s="7" t="str">
        <f>IFERROR(IF([1]对账明细接口!$AD1108=0,"",[1]对账明细接口!$AD1108),"")</f>
        <v/>
      </c>
      <c r="AI1108" s="7" t="str">
        <f>IFERROR(IF([1]对账明细接口!$AE1108=0,"",[1]对账明细接口!$AE1108),"")</f>
        <v/>
      </c>
      <c r="AJ1108" s="7" t="str">
        <f>IFERROR(IF([1]对账明细接口!$AF1108=0,"",[1]对账明细接口!$AF1108),"")</f>
        <v/>
      </c>
    </row>
    <row r="1109" ht="14.25" customHeight="1" spans="1:36">
      <c r="A1109" s="14">
        <v>1109</v>
      </c>
      <c r="B1109" s="15" t="str">
        <f>IFERROR(IF([1]对账明细接口!$B$1109=0,"",[1]对账明细接口!$B$1109),"")</f>
        <v/>
      </c>
      <c r="C1109" s="16" t="str">
        <f>IFERROR(IF([1]对账明细接口!$C$1109=0,"",[1]对账明细接口!$C$1109),"")</f>
        <v/>
      </c>
      <c r="D1109" s="16" t="str">
        <f>IFERROR(IF([1]对账明细接口!$D$1109=0,"",[1]对账明细接口!$D$1109),"")</f>
        <v/>
      </c>
      <c r="E1109" s="16" t="str">
        <f>IFERROR(IF([1]对账明细接口!$E$1109=0,"",[1]对账明细接口!$E$1109),"")</f>
        <v/>
      </c>
      <c r="F1109" s="16" t="str">
        <f>IFERROR(IF([1]对账明细接口!$F$1109=0,"",[1]对账明细接口!$F$1109),"")</f>
        <v/>
      </c>
      <c r="G1109" s="16" t="str">
        <f>IFERROR(IF([1]对账明细接口!$G$1109=0,"",[1]对账明细接口!$G$1109),"")</f>
        <v/>
      </c>
      <c r="H1109" s="17" t="str">
        <f>IFERROR(IF([1]对账明细接口!$H$1109=0,"",[1]对账明细接口!$H$1109),"")</f>
        <v/>
      </c>
      <c r="I1109" s="16" t="str">
        <f>IFERROR(IF([1]对账明细接口!$I$1109=0,"",[1]对账明细接口!$I$1109),"")</f>
        <v/>
      </c>
      <c r="J1109" s="18" t="str">
        <f>IFERROR(IF([1]对账明细接口!$J$1109=0,"",[1]对账明细接口!$J$1109),"")</f>
        <v/>
      </c>
      <c r="K1109" s="18" t="str">
        <f>IFERROR(IF([1]对账明细接口!$K$1109=0,"",[1]对账明细接口!$K$1109),"")</f>
        <v/>
      </c>
      <c r="L1109" s="16" t="str">
        <f>IFERROR(IF([1]对账明细接口!$L$1109=0,"",[1]对账明细接口!$L$1109),"")</f>
        <v/>
      </c>
      <c r="M1109" s="16" t="str">
        <f>IFERROR(IF([1]对账明细接口!$M$1109=0,"",[1]对账明细接口!$M$1109),"")</f>
        <v/>
      </c>
      <c r="N1109" s="19">
        <f t="shared" si="34"/>
        <v>0</v>
      </c>
      <c r="O1109" s="19">
        <f t="shared" si="35"/>
        <v>420</v>
      </c>
      <c r="S1109" s="20" t="str">
        <f>IFERROR(IF([1]对账明细接口!$N1109=0,"",[1]对账明细接口!$N1109),"")</f>
        <v/>
      </c>
      <c r="T1109" s="21" t="str">
        <f>IFERROR(IF([1]对账明细接口!$O1109=0,"",[1]对账明细接口!$O1109),"")</f>
        <v/>
      </c>
      <c r="U1109" s="21" t="str">
        <f>IFERROR(IF([1]对账明细接口!$P1109=0,"",[1]对账明细接口!$P1109),"")</f>
        <v/>
      </c>
      <c r="V1109" s="21" t="str">
        <f>IFERROR(IF([1]对账明细接口!$Q1109=0,"",[1]对账明细接口!$Q1109),"")</f>
        <v/>
      </c>
      <c r="W1109" s="20" t="str">
        <f>IFERROR(IF([1]对账明细接口!$R1109=0,"",[1]对账明细接口!$R1109),"")</f>
        <v/>
      </c>
      <c r="X1109" s="20" t="str">
        <f>IFERROR(IF([1]对账明细接口!$S1109=0,"",[1]对账明细接口!$S1109),"")</f>
        <v/>
      </c>
      <c r="Y1109" s="20" t="str">
        <f>IFERROR(IF([1]对账明细接口!$T1109=0,"",[1]对账明细接口!$T1109),"")</f>
        <v/>
      </c>
      <c r="Z1109" s="24" t="str">
        <f>IFERROR(IF([1]对账明细接口!$U1109=0,"",[1]对账明细接口!$U1109),"")</f>
        <v/>
      </c>
      <c r="AA1109" s="24" t="str">
        <f>IFERROR(IF([1]对账明细接口!$V1109=0,"",[1]对账明细接口!$V1109),"")</f>
        <v/>
      </c>
      <c r="AB1109" s="20" t="str">
        <f>IFERROR(IF([1]对账明细接口!$W1109=0,"",[1]对账明细接口!$W1109),"")</f>
        <v/>
      </c>
      <c r="AC1109" s="7" t="str">
        <f>IFERROR(IF([1]对账明细接口!$X1109=0,"",[1]对账明细接口!$X1109),"")</f>
        <v/>
      </c>
      <c r="AD1109" s="7" t="str">
        <f>IFERROR(IF([1]对账明细接口!$Y1109=0,"",[1]对账明细接口!$Y1109),"")</f>
        <v/>
      </c>
      <c r="AE1109" s="7" t="str">
        <f>IFERROR(IF([1]对账明细接口!$AA1109=0,"",[1]对账明细接口!$AA1109),"")</f>
        <v/>
      </c>
      <c r="AF1109" s="7" t="str">
        <f>IFERROR(IF([1]对账明细接口!$AB1109=0,"",[1]对账明细接口!$AB1109),"")</f>
        <v/>
      </c>
      <c r="AG1109" s="7" t="str">
        <f>IFERROR(IF([1]对账明细接口!$AC1109=0,"",[1]对账明细接口!$AC1109),"")</f>
        <v/>
      </c>
      <c r="AH1109" s="7" t="str">
        <f>IFERROR(IF([1]对账明细接口!$AD1109=0,"",[1]对账明细接口!$AD1109),"")</f>
        <v/>
      </c>
      <c r="AI1109" s="7" t="str">
        <f>IFERROR(IF([1]对账明细接口!$AE1109=0,"",[1]对账明细接口!$AE1109),"")</f>
        <v/>
      </c>
      <c r="AJ1109" s="7" t="str">
        <f>IFERROR(IF([1]对账明细接口!$AF1109=0,"",[1]对账明细接口!$AF1109),"")</f>
        <v/>
      </c>
    </row>
    <row r="1110" ht="14.25" customHeight="1" spans="1:36">
      <c r="A1110" s="14">
        <v>1110</v>
      </c>
      <c r="B1110" s="15" t="str">
        <f>IFERROR(IF([1]对账明细接口!$B$1110=0,"",[1]对账明细接口!$B$1110),"")</f>
        <v/>
      </c>
      <c r="C1110" s="16" t="str">
        <f>IFERROR(IF([1]对账明细接口!$C$1110=0,"",[1]对账明细接口!$C$1110),"")</f>
        <v/>
      </c>
      <c r="D1110" s="16" t="str">
        <f>IFERROR(IF([1]对账明细接口!$D$1110=0,"",[1]对账明细接口!$D$1110),"")</f>
        <v/>
      </c>
      <c r="E1110" s="16" t="str">
        <f>IFERROR(IF([1]对账明细接口!$E$1110=0,"",[1]对账明细接口!$E$1110),"")</f>
        <v/>
      </c>
      <c r="F1110" s="16" t="str">
        <f>IFERROR(IF([1]对账明细接口!$F$1110=0,"",[1]对账明细接口!$F$1110),"")</f>
        <v/>
      </c>
      <c r="G1110" s="16" t="str">
        <f>IFERROR(IF([1]对账明细接口!$G$1110=0,"",[1]对账明细接口!$G$1110),"")</f>
        <v/>
      </c>
      <c r="H1110" s="17" t="str">
        <f>IFERROR(IF([1]对账明细接口!$H$1110=0,"",[1]对账明细接口!$H$1110),"")</f>
        <v/>
      </c>
      <c r="I1110" s="16" t="str">
        <f>IFERROR(IF([1]对账明细接口!$I$1110=0,"",[1]对账明细接口!$I$1110),"")</f>
        <v/>
      </c>
      <c r="J1110" s="18" t="str">
        <f>IFERROR(IF([1]对账明细接口!$J$1110=0,"",[1]对账明细接口!$J$1110),"")</f>
        <v/>
      </c>
      <c r="K1110" s="18" t="str">
        <f>IFERROR(IF([1]对账明细接口!$K$1110=0,"",[1]对账明细接口!$K$1110),"")</f>
        <v/>
      </c>
      <c r="L1110" s="16" t="str">
        <f>IFERROR(IF([1]对账明细接口!$L$1110=0,"",[1]对账明细接口!$L$1110),"")</f>
        <v/>
      </c>
      <c r="M1110" s="16" t="str">
        <f>IFERROR(IF([1]对账明细接口!$M$1110=0,"",[1]对账明细接口!$M$1110),"")</f>
        <v/>
      </c>
      <c r="N1110" s="19">
        <f t="shared" si="34"/>
        <v>0</v>
      </c>
      <c r="O1110" s="19">
        <f t="shared" si="35"/>
        <v>420</v>
      </c>
      <c r="S1110" s="20" t="str">
        <f>IFERROR(IF([1]对账明细接口!$N1110=0,"",[1]对账明细接口!$N1110),"")</f>
        <v/>
      </c>
      <c r="T1110" s="21" t="str">
        <f>IFERROR(IF([1]对账明细接口!$O1110=0,"",[1]对账明细接口!$O1110),"")</f>
        <v/>
      </c>
      <c r="U1110" s="21" t="str">
        <f>IFERROR(IF([1]对账明细接口!$P1110=0,"",[1]对账明细接口!$P1110),"")</f>
        <v/>
      </c>
      <c r="V1110" s="21" t="str">
        <f>IFERROR(IF([1]对账明细接口!$Q1110=0,"",[1]对账明细接口!$Q1110),"")</f>
        <v/>
      </c>
      <c r="W1110" s="20" t="str">
        <f>IFERROR(IF([1]对账明细接口!$R1110=0,"",[1]对账明细接口!$R1110),"")</f>
        <v/>
      </c>
      <c r="X1110" s="20" t="str">
        <f>IFERROR(IF([1]对账明细接口!$S1110=0,"",[1]对账明细接口!$S1110),"")</f>
        <v/>
      </c>
      <c r="Y1110" s="20" t="str">
        <f>IFERROR(IF([1]对账明细接口!$T1110=0,"",[1]对账明细接口!$T1110),"")</f>
        <v/>
      </c>
      <c r="Z1110" s="24" t="str">
        <f>IFERROR(IF([1]对账明细接口!$U1110=0,"",[1]对账明细接口!$U1110),"")</f>
        <v/>
      </c>
      <c r="AA1110" s="24" t="str">
        <f>IFERROR(IF([1]对账明细接口!$V1110=0,"",[1]对账明细接口!$V1110),"")</f>
        <v/>
      </c>
      <c r="AB1110" s="20" t="str">
        <f>IFERROR(IF([1]对账明细接口!$W1110=0,"",[1]对账明细接口!$W1110),"")</f>
        <v/>
      </c>
      <c r="AC1110" s="7" t="str">
        <f>IFERROR(IF([1]对账明细接口!$X1110=0,"",[1]对账明细接口!$X1110),"")</f>
        <v/>
      </c>
      <c r="AD1110" s="7" t="str">
        <f>IFERROR(IF([1]对账明细接口!$Y1110=0,"",[1]对账明细接口!$Y1110),"")</f>
        <v/>
      </c>
      <c r="AE1110" s="7" t="str">
        <f>IFERROR(IF([1]对账明细接口!$AA1110=0,"",[1]对账明细接口!$AA1110),"")</f>
        <v/>
      </c>
      <c r="AF1110" s="7" t="str">
        <f>IFERROR(IF([1]对账明细接口!$AB1110=0,"",[1]对账明细接口!$AB1110),"")</f>
        <v/>
      </c>
      <c r="AG1110" s="7" t="str">
        <f>IFERROR(IF([1]对账明细接口!$AC1110=0,"",[1]对账明细接口!$AC1110),"")</f>
        <v/>
      </c>
      <c r="AH1110" s="7" t="str">
        <f>IFERROR(IF([1]对账明细接口!$AD1110=0,"",[1]对账明细接口!$AD1110),"")</f>
        <v/>
      </c>
      <c r="AI1110" s="7" t="str">
        <f>IFERROR(IF([1]对账明细接口!$AE1110=0,"",[1]对账明细接口!$AE1110),"")</f>
        <v/>
      </c>
      <c r="AJ1110" s="7" t="str">
        <f>IFERROR(IF([1]对账明细接口!$AF1110=0,"",[1]对账明细接口!$AF1110),"")</f>
        <v/>
      </c>
    </row>
    <row r="1111" ht="14.25" customHeight="1" spans="1:36">
      <c r="A1111" s="14">
        <v>1111</v>
      </c>
      <c r="B1111" s="15" t="str">
        <f>IFERROR(IF([1]对账明细接口!$B$1111=0,"",[1]对账明细接口!$B$1111),"")</f>
        <v/>
      </c>
      <c r="C1111" s="16" t="str">
        <f>IFERROR(IF([1]对账明细接口!$C$1111=0,"",[1]对账明细接口!$C$1111),"")</f>
        <v/>
      </c>
      <c r="D1111" s="16" t="str">
        <f>IFERROR(IF([1]对账明细接口!$D$1111=0,"",[1]对账明细接口!$D$1111),"")</f>
        <v/>
      </c>
      <c r="E1111" s="16" t="str">
        <f>IFERROR(IF([1]对账明细接口!$E$1111=0,"",[1]对账明细接口!$E$1111),"")</f>
        <v/>
      </c>
      <c r="F1111" s="16" t="str">
        <f>IFERROR(IF([1]对账明细接口!$F$1111=0,"",[1]对账明细接口!$F$1111),"")</f>
        <v/>
      </c>
      <c r="G1111" s="16" t="str">
        <f>IFERROR(IF([1]对账明细接口!$G$1111=0,"",[1]对账明细接口!$G$1111),"")</f>
        <v/>
      </c>
      <c r="H1111" s="17" t="str">
        <f>IFERROR(IF([1]对账明细接口!$H$1111=0,"",[1]对账明细接口!$H$1111),"")</f>
        <v/>
      </c>
      <c r="I1111" s="16" t="str">
        <f>IFERROR(IF([1]对账明细接口!$I$1111=0,"",[1]对账明细接口!$I$1111),"")</f>
        <v/>
      </c>
      <c r="J1111" s="18" t="str">
        <f>IFERROR(IF([1]对账明细接口!$J$1111=0,"",[1]对账明细接口!$J$1111),"")</f>
        <v/>
      </c>
      <c r="K1111" s="18" t="str">
        <f>IFERROR(IF([1]对账明细接口!$K$1111=0,"",[1]对账明细接口!$K$1111),"")</f>
        <v/>
      </c>
      <c r="L1111" s="16" t="str">
        <f>IFERROR(IF([1]对账明细接口!$L$1111=0,"",[1]对账明细接口!$L$1111),"")</f>
        <v/>
      </c>
      <c r="M1111" s="16" t="str">
        <f>IFERROR(IF([1]对账明细接口!$M$1111=0,"",[1]对账明细接口!$M$1111),"")</f>
        <v/>
      </c>
      <c r="N1111" s="19">
        <f t="shared" si="34"/>
        <v>0</v>
      </c>
      <c r="O1111" s="19">
        <f t="shared" si="35"/>
        <v>420</v>
      </c>
      <c r="S1111" s="20" t="str">
        <f>IFERROR(IF([1]对账明细接口!$N1111=0,"",[1]对账明细接口!$N1111),"")</f>
        <v/>
      </c>
      <c r="T1111" s="21" t="str">
        <f>IFERROR(IF([1]对账明细接口!$O1111=0,"",[1]对账明细接口!$O1111),"")</f>
        <v/>
      </c>
      <c r="U1111" s="21" t="str">
        <f>IFERROR(IF([1]对账明细接口!$P1111=0,"",[1]对账明细接口!$P1111),"")</f>
        <v/>
      </c>
      <c r="V1111" s="21" t="str">
        <f>IFERROR(IF([1]对账明细接口!$Q1111=0,"",[1]对账明细接口!$Q1111),"")</f>
        <v/>
      </c>
      <c r="W1111" s="20" t="str">
        <f>IFERROR(IF([1]对账明细接口!$R1111=0,"",[1]对账明细接口!$R1111),"")</f>
        <v/>
      </c>
      <c r="X1111" s="20" t="str">
        <f>IFERROR(IF([1]对账明细接口!$S1111=0,"",[1]对账明细接口!$S1111),"")</f>
        <v/>
      </c>
      <c r="Y1111" s="20" t="str">
        <f>IFERROR(IF([1]对账明细接口!$T1111=0,"",[1]对账明细接口!$T1111),"")</f>
        <v/>
      </c>
      <c r="Z1111" s="24" t="str">
        <f>IFERROR(IF([1]对账明细接口!$U1111=0,"",[1]对账明细接口!$U1111),"")</f>
        <v/>
      </c>
      <c r="AA1111" s="24" t="str">
        <f>IFERROR(IF([1]对账明细接口!$V1111=0,"",[1]对账明细接口!$V1111),"")</f>
        <v/>
      </c>
      <c r="AB1111" s="20" t="str">
        <f>IFERROR(IF([1]对账明细接口!$W1111=0,"",[1]对账明细接口!$W1111),"")</f>
        <v/>
      </c>
      <c r="AC1111" s="7" t="str">
        <f>IFERROR(IF([1]对账明细接口!$X1111=0,"",[1]对账明细接口!$X1111),"")</f>
        <v/>
      </c>
      <c r="AD1111" s="7" t="str">
        <f>IFERROR(IF([1]对账明细接口!$Y1111=0,"",[1]对账明细接口!$Y1111),"")</f>
        <v/>
      </c>
      <c r="AE1111" s="7" t="str">
        <f>IFERROR(IF([1]对账明细接口!$AA1111=0,"",[1]对账明细接口!$AA1111),"")</f>
        <v/>
      </c>
      <c r="AF1111" s="7" t="str">
        <f>IFERROR(IF([1]对账明细接口!$AB1111=0,"",[1]对账明细接口!$AB1111),"")</f>
        <v/>
      </c>
      <c r="AG1111" s="7" t="str">
        <f>IFERROR(IF([1]对账明细接口!$AC1111=0,"",[1]对账明细接口!$AC1111),"")</f>
        <v/>
      </c>
      <c r="AH1111" s="7" t="str">
        <f>IFERROR(IF([1]对账明细接口!$AD1111=0,"",[1]对账明细接口!$AD1111),"")</f>
        <v/>
      </c>
      <c r="AI1111" s="7" t="str">
        <f>IFERROR(IF([1]对账明细接口!$AE1111=0,"",[1]对账明细接口!$AE1111),"")</f>
        <v/>
      </c>
      <c r="AJ1111" s="7" t="str">
        <f>IFERROR(IF([1]对账明细接口!$AF1111=0,"",[1]对账明细接口!$AF1111),"")</f>
        <v/>
      </c>
    </row>
    <row r="1112" ht="14.25" customHeight="1" spans="1:36">
      <c r="A1112" s="14">
        <v>1112</v>
      </c>
      <c r="B1112" s="15" t="str">
        <f>IFERROR(IF([1]对账明细接口!$B$1112=0,"",[1]对账明细接口!$B$1112),"")</f>
        <v/>
      </c>
      <c r="C1112" s="16" t="str">
        <f>IFERROR(IF([1]对账明细接口!$C$1112=0,"",[1]对账明细接口!$C$1112),"")</f>
        <v/>
      </c>
      <c r="D1112" s="16" t="str">
        <f>IFERROR(IF([1]对账明细接口!$D$1112=0,"",[1]对账明细接口!$D$1112),"")</f>
        <v/>
      </c>
      <c r="E1112" s="16" t="str">
        <f>IFERROR(IF([1]对账明细接口!$E$1112=0,"",[1]对账明细接口!$E$1112),"")</f>
        <v/>
      </c>
      <c r="F1112" s="16" t="str">
        <f>IFERROR(IF([1]对账明细接口!$F$1112=0,"",[1]对账明细接口!$F$1112),"")</f>
        <v/>
      </c>
      <c r="G1112" s="16" t="str">
        <f>IFERROR(IF([1]对账明细接口!$G$1112=0,"",[1]对账明细接口!$G$1112),"")</f>
        <v/>
      </c>
      <c r="H1112" s="17" t="str">
        <f>IFERROR(IF([1]对账明细接口!$H$1112=0,"",[1]对账明细接口!$H$1112),"")</f>
        <v/>
      </c>
      <c r="I1112" s="16" t="str">
        <f>IFERROR(IF([1]对账明细接口!$I$1112=0,"",[1]对账明细接口!$I$1112),"")</f>
        <v/>
      </c>
      <c r="J1112" s="18" t="str">
        <f>IFERROR(IF([1]对账明细接口!$J$1112=0,"",[1]对账明细接口!$J$1112),"")</f>
        <v/>
      </c>
      <c r="K1112" s="18" t="str">
        <f>IFERROR(IF([1]对账明细接口!$K$1112=0,"",[1]对账明细接口!$K$1112),"")</f>
        <v/>
      </c>
      <c r="L1112" s="16" t="str">
        <f>IFERROR(IF([1]对账明细接口!$L$1112=0,"",[1]对账明细接口!$L$1112),"")</f>
        <v/>
      </c>
      <c r="M1112" s="16" t="str">
        <f>IFERROR(IF([1]对账明细接口!$M$1112=0,"",[1]对账明细接口!$M$1112),"")</f>
        <v/>
      </c>
      <c r="N1112" s="19">
        <f t="shared" si="34"/>
        <v>0</v>
      </c>
      <c r="O1112" s="19">
        <f t="shared" si="35"/>
        <v>420</v>
      </c>
      <c r="S1112" s="20" t="str">
        <f>IFERROR(IF([1]对账明细接口!$N1112=0,"",[1]对账明细接口!$N1112),"")</f>
        <v/>
      </c>
      <c r="T1112" s="21" t="str">
        <f>IFERROR(IF([1]对账明细接口!$O1112=0,"",[1]对账明细接口!$O1112),"")</f>
        <v/>
      </c>
      <c r="U1112" s="21" t="str">
        <f>IFERROR(IF([1]对账明细接口!$P1112=0,"",[1]对账明细接口!$P1112),"")</f>
        <v/>
      </c>
      <c r="V1112" s="21" t="str">
        <f>IFERROR(IF([1]对账明细接口!$Q1112=0,"",[1]对账明细接口!$Q1112),"")</f>
        <v/>
      </c>
      <c r="W1112" s="20" t="str">
        <f>IFERROR(IF([1]对账明细接口!$R1112=0,"",[1]对账明细接口!$R1112),"")</f>
        <v/>
      </c>
      <c r="X1112" s="20" t="str">
        <f>IFERROR(IF([1]对账明细接口!$S1112=0,"",[1]对账明细接口!$S1112),"")</f>
        <v/>
      </c>
      <c r="Y1112" s="20" t="str">
        <f>IFERROR(IF([1]对账明细接口!$T1112=0,"",[1]对账明细接口!$T1112),"")</f>
        <v/>
      </c>
      <c r="Z1112" s="24" t="str">
        <f>IFERROR(IF([1]对账明细接口!$U1112=0,"",[1]对账明细接口!$U1112),"")</f>
        <v/>
      </c>
      <c r="AA1112" s="24" t="str">
        <f>IFERROR(IF([1]对账明细接口!$V1112=0,"",[1]对账明细接口!$V1112),"")</f>
        <v/>
      </c>
      <c r="AB1112" s="20" t="str">
        <f>IFERROR(IF([1]对账明细接口!$W1112=0,"",[1]对账明细接口!$W1112),"")</f>
        <v/>
      </c>
      <c r="AC1112" s="7" t="str">
        <f>IFERROR(IF([1]对账明细接口!$X1112=0,"",[1]对账明细接口!$X1112),"")</f>
        <v/>
      </c>
      <c r="AD1112" s="7" t="str">
        <f>IFERROR(IF([1]对账明细接口!$Y1112=0,"",[1]对账明细接口!$Y1112),"")</f>
        <v/>
      </c>
      <c r="AE1112" s="7" t="str">
        <f>IFERROR(IF([1]对账明细接口!$AA1112=0,"",[1]对账明细接口!$AA1112),"")</f>
        <v/>
      </c>
      <c r="AF1112" s="7" t="str">
        <f>IFERROR(IF([1]对账明细接口!$AB1112=0,"",[1]对账明细接口!$AB1112),"")</f>
        <v/>
      </c>
      <c r="AG1112" s="7" t="str">
        <f>IFERROR(IF([1]对账明细接口!$AC1112=0,"",[1]对账明细接口!$AC1112),"")</f>
        <v/>
      </c>
      <c r="AH1112" s="7" t="str">
        <f>IFERROR(IF([1]对账明细接口!$AD1112=0,"",[1]对账明细接口!$AD1112),"")</f>
        <v/>
      </c>
      <c r="AI1112" s="7" t="str">
        <f>IFERROR(IF([1]对账明细接口!$AE1112=0,"",[1]对账明细接口!$AE1112),"")</f>
        <v/>
      </c>
      <c r="AJ1112" s="7" t="str">
        <f>IFERROR(IF([1]对账明细接口!$AF1112=0,"",[1]对账明细接口!$AF1112),"")</f>
        <v/>
      </c>
    </row>
    <row r="1113" ht="14.25" customHeight="1" spans="1:36">
      <c r="A1113" s="14">
        <v>1113</v>
      </c>
      <c r="B1113" s="15" t="str">
        <f>IFERROR(IF([1]对账明细接口!$B$1113=0,"",[1]对账明细接口!$B$1113),"")</f>
        <v/>
      </c>
      <c r="C1113" s="16" t="str">
        <f>IFERROR(IF([1]对账明细接口!$C$1113=0,"",[1]对账明细接口!$C$1113),"")</f>
        <v/>
      </c>
      <c r="D1113" s="16" t="str">
        <f>IFERROR(IF([1]对账明细接口!$D$1113=0,"",[1]对账明细接口!$D$1113),"")</f>
        <v/>
      </c>
      <c r="E1113" s="16" t="str">
        <f>IFERROR(IF([1]对账明细接口!$E$1113=0,"",[1]对账明细接口!$E$1113),"")</f>
        <v/>
      </c>
      <c r="F1113" s="16" t="str">
        <f>IFERROR(IF([1]对账明细接口!$F$1113=0,"",[1]对账明细接口!$F$1113),"")</f>
        <v/>
      </c>
      <c r="G1113" s="16" t="str">
        <f>IFERROR(IF([1]对账明细接口!$G$1113=0,"",[1]对账明细接口!$G$1113),"")</f>
        <v/>
      </c>
      <c r="H1113" s="17" t="str">
        <f>IFERROR(IF([1]对账明细接口!$H$1113=0,"",[1]对账明细接口!$H$1113),"")</f>
        <v/>
      </c>
      <c r="I1113" s="16" t="str">
        <f>IFERROR(IF([1]对账明细接口!$I$1113=0,"",[1]对账明细接口!$I$1113),"")</f>
        <v/>
      </c>
      <c r="J1113" s="18" t="str">
        <f>IFERROR(IF([1]对账明细接口!$J$1113=0,"",[1]对账明细接口!$J$1113),"")</f>
        <v/>
      </c>
      <c r="K1113" s="18" t="str">
        <f>IFERROR(IF([1]对账明细接口!$K$1113=0,"",[1]对账明细接口!$K$1113),"")</f>
        <v/>
      </c>
      <c r="L1113" s="16" t="str">
        <f>IFERROR(IF([1]对账明细接口!$L$1113=0,"",[1]对账明细接口!$L$1113),"")</f>
        <v/>
      </c>
      <c r="M1113" s="16" t="str">
        <f>IFERROR(IF([1]对账明细接口!$M$1113=0,"",[1]对账明细接口!$M$1113),"")</f>
        <v/>
      </c>
      <c r="N1113" s="19">
        <f t="shared" si="34"/>
        <v>0</v>
      </c>
      <c r="O1113" s="19">
        <f t="shared" si="35"/>
        <v>420</v>
      </c>
      <c r="S1113" s="20" t="str">
        <f>IFERROR(IF([1]对账明细接口!$N1113=0,"",[1]对账明细接口!$N1113),"")</f>
        <v/>
      </c>
      <c r="T1113" s="21" t="str">
        <f>IFERROR(IF([1]对账明细接口!$O1113=0,"",[1]对账明细接口!$O1113),"")</f>
        <v/>
      </c>
      <c r="U1113" s="21" t="str">
        <f>IFERROR(IF([1]对账明细接口!$P1113=0,"",[1]对账明细接口!$P1113),"")</f>
        <v/>
      </c>
      <c r="V1113" s="21" t="str">
        <f>IFERROR(IF([1]对账明细接口!$Q1113=0,"",[1]对账明细接口!$Q1113),"")</f>
        <v/>
      </c>
      <c r="W1113" s="20" t="str">
        <f>IFERROR(IF([1]对账明细接口!$R1113=0,"",[1]对账明细接口!$R1113),"")</f>
        <v/>
      </c>
      <c r="X1113" s="20" t="str">
        <f>IFERROR(IF([1]对账明细接口!$S1113=0,"",[1]对账明细接口!$S1113),"")</f>
        <v/>
      </c>
      <c r="Y1113" s="20" t="str">
        <f>IFERROR(IF([1]对账明细接口!$T1113=0,"",[1]对账明细接口!$T1113),"")</f>
        <v/>
      </c>
      <c r="Z1113" s="24" t="str">
        <f>IFERROR(IF([1]对账明细接口!$U1113=0,"",[1]对账明细接口!$U1113),"")</f>
        <v/>
      </c>
      <c r="AA1113" s="24" t="str">
        <f>IFERROR(IF([1]对账明细接口!$V1113=0,"",[1]对账明细接口!$V1113),"")</f>
        <v/>
      </c>
      <c r="AB1113" s="20" t="str">
        <f>IFERROR(IF([1]对账明细接口!$W1113=0,"",[1]对账明细接口!$W1113),"")</f>
        <v/>
      </c>
      <c r="AC1113" s="7" t="str">
        <f>IFERROR(IF([1]对账明细接口!$X1113=0,"",[1]对账明细接口!$X1113),"")</f>
        <v/>
      </c>
      <c r="AD1113" s="7" t="str">
        <f>IFERROR(IF([1]对账明细接口!$Y1113=0,"",[1]对账明细接口!$Y1113),"")</f>
        <v/>
      </c>
      <c r="AE1113" s="7" t="str">
        <f>IFERROR(IF([1]对账明细接口!$AA1113=0,"",[1]对账明细接口!$AA1113),"")</f>
        <v/>
      </c>
      <c r="AF1113" s="7" t="str">
        <f>IFERROR(IF([1]对账明细接口!$AB1113=0,"",[1]对账明细接口!$AB1113),"")</f>
        <v/>
      </c>
      <c r="AG1113" s="7" t="str">
        <f>IFERROR(IF([1]对账明细接口!$AC1113=0,"",[1]对账明细接口!$AC1113),"")</f>
        <v/>
      </c>
      <c r="AH1113" s="7" t="str">
        <f>IFERROR(IF([1]对账明细接口!$AD1113=0,"",[1]对账明细接口!$AD1113),"")</f>
        <v/>
      </c>
      <c r="AI1113" s="7" t="str">
        <f>IFERROR(IF([1]对账明细接口!$AE1113=0,"",[1]对账明细接口!$AE1113),"")</f>
        <v/>
      </c>
      <c r="AJ1113" s="7" t="str">
        <f>IFERROR(IF([1]对账明细接口!$AF1113=0,"",[1]对账明细接口!$AF1113),"")</f>
        <v/>
      </c>
    </row>
    <row r="1114" ht="14.25" customHeight="1" spans="1:36">
      <c r="A1114" s="14">
        <v>1114</v>
      </c>
      <c r="B1114" s="15" t="str">
        <f>IFERROR(IF([1]对账明细接口!$B$1114=0,"",[1]对账明细接口!$B$1114),"")</f>
        <v/>
      </c>
      <c r="C1114" s="16" t="str">
        <f>IFERROR(IF([1]对账明细接口!$C$1114=0,"",[1]对账明细接口!$C$1114),"")</f>
        <v/>
      </c>
      <c r="D1114" s="16" t="str">
        <f>IFERROR(IF([1]对账明细接口!$D$1114=0,"",[1]对账明细接口!$D$1114),"")</f>
        <v/>
      </c>
      <c r="E1114" s="16" t="str">
        <f>IFERROR(IF([1]对账明细接口!$E$1114=0,"",[1]对账明细接口!$E$1114),"")</f>
        <v/>
      </c>
      <c r="F1114" s="16" t="str">
        <f>IFERROR(IF([1]对账明细接口!$F$1114=0,"",[1]对账明细接口!$F$1114),"")</f>
        <v/>
      </c>
      <c r="G1114" s="16" t="str">
        <f>IFERROR(IF([1]对账明细接口!$G$1114=0,"",[1]对账明细接口!$G$1114),"")</f>
        <v/>
      </c>
      <c r="H1114" s="17" t="str">
        <f>IFERROR(IF([1]对账明细接口!$H$1114=0,"",[1]对账明细接口!$H$1114),"")</f>
        <v/>
      </c>
      <c r="I1114" s="16" t="str">
        <f>IFERROR(IF([1]对账明细接口!$I$1114=0,"",[1]对账明细接口!$I$1114),"")</f>
        <v/>
      </c>
      <c r="J1114" s="18" t="str">
        <f>IFERROR(IF([1]对账明细接口!$J$1114=0,"",[1]对账明细接口!$J$1114),"")</f>
        <v/>
      </c>
      <c r="K1114" s="18" t="str">
        <f>IFERROR(IF([1]对账明细接口!$K$1114=0,"",[1]对账明细接口!$K$1114),"")</f>
        <v/>
      </c>
      <c r="L1114" s="16" t="str">
        <f>IFERROR(IF([1]对账明细接口!$L$1114=0,"",[1]对账明细接口!$L$1114),"")</f>
        <v/>
      </c>
      <c r="M1114" s="16" t="str">
        <f>IFERROR(IF([1]对账明细接口!$M$1114=0,"",[1]对账明细接口!$M$1114),"")</f>
        <v/>
      </c>
      <c r="N1114" s="19">
        <f t="shared" si="34"/>
        <v>0</v>
      </c>
      <c r="O1114" s="19">
        <f t="shared" si="35"/>
        <v>420</v>
      </c>
      <c r="S1114" s="20" t="str">
        <f>IFERROR(IF([1]对账明细接口!$N1114=0,"",[1]对账明细接口!$N1114),"")</f>
        <v/>
      </c>
      <c r="T1114" s="21" t="str">
        <f>IFERROR(IF([1]对账明细接口!$O1114=0,"",[1]对账明细接口!$O1114),"")</f>
        <v/>
      </c>
      <c r="U1114" s="21" t="str">
        <f>IFERROR(IF([1]对账明细接口!$P1114=0,"",[1]对账明细接口!$P1114),"")</f>
        <v/>
      </c>
      <c r="V1114" s="21" t="str">
        <f>IFERROR(IF([1]对账明细接口!$Q1114=0,"",[1]对账明细接口!$Q1114),"")</f>
        <v/>
      </c>
      <c r="W1114" s="20" t="str">
        <f>IFERROR(IF([1]对账明细接口!$R1114=0,"",[1]对账明细接口!$R1114),"")</f>
        <v/>
      </c>
      <c r="X1114" s="20" t="str">
        <f>IFERROR(IF([1]对账明细接口!$S1114=0,"",[1]对账明细接口!$S1114),"")</f>
        <v/>
      </c>
      <c r="Y1114" s="20" t="str">
        <f>IFERROR(IF([1]对账明细接口!$T1114=0,"",[1]对账明细接口!$T1114),"")</f>
        <v/>
      </c>
      <c r="Z1114" s="24" t="str">
        <f>IFERROR(IF([1]对账明细接口!$U1114=0,"",[1]对账明细接口!$U1114),"")</f>
        <v/>
      </c>
      <c r="AA1114" s="24" t="str">
        <f>IFERROR(IF([1]对账明细接口!$V1114=0,"",[1]对账明细接口!$V1114),"")</f>
        <v/>
      </c>
      <c r="AB1114" s="20" t="str">
        <f>IFERROR(IF([1]对账明细接口!$W1114=0,"",[1]对账明细接口!$W1114),"")</f>
        <v/>
      </c>
      <c r="AC1114" s="7" t="str">
        <f>IFERROR(IF([1]对账明细接口!$X1114=0,"",[1]对账明细接口!$X1114),"")</f>
        <v/>
      </c>
      <c r="AD1114" s="7" t="str">
        <f>IFERROR(IF([1]对账明细接口!$Y1114=0,"",[1]对账明细接口!$Y1114),"")</f>
        <v/>
      </c>
      <c r="AE1114" s="7" t="str">
        <f>IFERROR(IF([1]对账明细接口!$AA1114=0,"",[1]对账明细接口!$AA1114),"")</f>
        <v/>
      </c>
      <c r="AF1114" s="7" t="str">
        <f>IFERROR(IF([1]对账明细接口!$AB1114=0,"",[1]对账明细接口!$AB1114),"")</f>
        <v/>
      </c>
      <c r="AG1114" s="7" t="str">
        <f>IFERROR(IF([1]对账明细接口!$AC1114=0,"",[1]对账明细接口!$AC1114),"")</f>
        <v/>
      </c>
      <c r="AH1114" s="7" t="str">
        <f>IFERROR(IF([1]对账明细接口!$AD1114=0,"",[1]对账明细接口!$AD1114),"")</f>
        <v/>
      </c>
      <c r="AI1114" s="7" t="str">
        <f>IFERROR(IF([1]对账明细接口!$AE1114=0,"",[1]对账明细接口!$AE1114),"")</f>
        <v/>
      </c>
      <c r="AJ1114" s="7" t="str">
        <f>IFERROR(IF([1]对账明细接口!$AF1114=0,"",[1]对账明细接口!$AF1114),"")</f>
        <v/>
      </c>
    </row>
    <row r="1115" ht="14.25" customHeight="1" spans="1:36">
      <c r="A1115" s="14">
        <v>1115</v>
      </c>
      <c r="B1115" s="15" t="str">
        <f>IFERROR(IF([1]对账明细接口!$B$1115=0,"",[1]对账明细接口!$B$1115),"")</f>
        <v/>
      </c>
      <c r="C1115" s="16" t="str">
        <f>IFERROR(IF([1]对账明细接口!$C$1115=0,"",[1]对账明细接口!$C$1115),"")</f>
        <v/>
      </c>
      <c r="D1115" s="16" t="str">
        <f>IFERROR(IF([1]对账明细接口!$D$1115=0,"",[1]对账明细接口!$D$1115),"")</f>
        <v/>
      </c>
      <c r="E1115" s="16" t="str">
        <f>IFERROR(IF([1]对账明细接口!$E$1115=0,"",[1]对账明细接口!$E$1115),"")</f>
        <v/>
      </c>
      <c r="F1115" s="16" t="str">
        <f>IFERROR(IF([1]对账明细接口!$F$1115=0,"",[1]对账明细接口!$F$1115),"")</f>
        <v/>
      </c>
      <c r="G1115" s="16" t="str">
        <f>IFERROR(IF([1]对账明细接口!$G$1115=0,"",[1]对账明细接口!$G$1115),"")</f>
        <v/>
      </c>
      <c r="H1115" s="17" t="str">
        <f>IFERROR(IF([1]对账明细接口!$H$1115=0,"",[1]对账明细接口!$H$1115),"")</f>
        <v/>
      </c>
      <c r="I1115" s="16" t="str">
        <f>IFERROR(IF([1]对账明细接口!$I$1115=0,"",[1]对账明细接口!$I$1115),"")</f>
        <v/>
      </c>
      <c r="J1115" s="18" t="str">
        <f>IFERROR(IF([1]对账明细接口!$J$1115=0,"",[1]对账明细接口!$J$1115),"")</f>
        <v/>
      </c>
      <c r="K1115" s="18" t="str">
        <f>IFERROR(IF([1]对账明细接口!$K$1115=0,"",[1]对账明细接口!$K$1115),"")</f>
        <v/>
      </c>
      <c r="L1115" s="16" t="str">
        <f>IFERROR(IF([1]对账明细接口!$L$1115=0,"",[1]对账明细接口!$L$1115),"")</f>
        <v/>
      </c>
      <c r="M1115" s="16" t="str">
        <f>IFERROR(IF([1]对账明细接口!$M$1115=0,"",[1]对账明细接口!$M$1115),"")</f>
        <v/>
      </c>
      <c r="N1115" s="19">
        <f t="shared" si="34"/>
        <v>0</v>
      </c>
      <c r="O1115" s="19">
        <f t="shared" si="35"/>
        <v>420</v>
      </c>
      <c r="S1115" s="20" t="str">
        <f>IFERROR(IF([1]对账明细接口!$N1115=0,"",[1]对账明细接口!$N1115),"")</f>
        <v/>
      </c>
      <c r="T1115" s="21" t="str">
        <f>IFERROR(IF([1]对账明细接口!$O1115=0,"",[1]对账明细接口!$O1115),"")</f>
        <v/>
      </c>
      <c r="U1115" s="21" t="str">
        <f>IFERROR(IF([1]对账明细接口!$P1115=0,"",[1]对账明细接口!$P1115),"")</f>
        <v/>
      </c>
      <c r="V1115" s="21" t="str">
        <f>IFERROR(IF([1]对账明细接口!$Q1115=0,"",[1]对账明细接口!$Q1115),"")</f>
        <v/>
      </c>
      <c r="W1115" s="20" t="str">
        <f>IFERROR(IF([1]对账明细接口!$R1115=0,"",[1]对账明细接口!$R1115),"")</f>
        <v/>
      </c>
      <c r="X1115" s="20" t="str">
        <f>IFERROR(IF([1]对账明细接口!$S1115=0,"",[1]对账明细接口!$S1115),"")</f>
        <v/>
      </c>
      <c r="Y1115" s="20" t="str">
        <f>IFERROR(IF([1]对账明细接口!$T1115=0,"",[1]对账明细接口!$T1115),"")</f>
        <v/>
      </c>
      <c r="Z1115" s="24" t="str">
        <f>IFERROR(IF([1]对账明细接口!$U1115=0,"",[1]对账明细接口!$U1115),"")</f>
        <v/>
      </c>
      <c r="AA1115" s="24" t="str">
        <f>IFERROR(IF([1]对账明细接口!$V1115=0,"",[1]对账明细接口!$V1115),"")</f>
        <v/>
      </c>
      <c r="AB1115" s="20" t="str">
        <f>IFERROR(IF([1]对账明细接口!$W1115=0,"",[1]对账明细接口!$W1115),"")</f>
        <v/>
      </c>
      <c r="AC1115" s="7" t="str">
        <f>IFERROR(IF([1]对账明细接口!$X1115=0,"",[1]对账明细接口!$X1115),"")</f>
        <v/>
      </c>
      <c r="AD1115" s="7" t="str">
        <f>IFERROR(IF([1]对账明细接口!$Y1115=0,"",[1]对账明细接口!$Y1115),"")</f>
        <v/>
      </c>
      <c r="AE1115" s="7" t="str">
        <f>IFERROR(IF([1]对账明细接口!$AA1115=0,"",[1]对账明细接口!$AA1115),"")</f>
        <v/>
      </c>
      <c r="AF1115" s="7" t="str">
        <f>IFERROR(IF([1]对账明细接口!$AB1115=0,"",[1]对账明细接口!$AB1115),"")</f>
        <v/>
      </c>
      <c r="AG1115" s="7" t="str">
        <f>IFERROR(IF([1]对账明细接口!$AC1115=0,"",[1]对账明细接口!$AC1115),"")</f>
        <v/>
      </c>
      <c r="AH1115" s="7" t="str">
        <f>IFERROR(IF([1]对账明细接口!$AD1115=0,"",[1]对账明细接口!$AD1115),"")</f>
        <v/>
      </c>
      <c r="AI1115" s="7" t="str">
        <f>IFERROR(IF([1]对账明细接口!$AE1115=0,"",[1]对账明细接口!$AE1115),"")</f>
        <v/>
      </c>
      <c r="AJ1115" s="7" t="str">
        <f>IFERROR(IF([1]对账明细接口!$AF1115=0,"",[1]对账明细接口!$AF1115),"")</f>
        <v/>
      </c>
    </row>
    <row r="1116" ht="14.25" customHeight="1" spans="1:36">
      <c r="A1116" s="14">
        <v>1116</v>
      </c>
      <c r="B1116" s="15" t="str">
        <f>IFERROR(IF([1]对账明细接口!$B$1116=0,"",[1]对账明细接口!$B$1116),"")</f>
        <v/>
      </c>
      <c r="C1116" s="16" t="str">
        <f>IFERROR(IF([1]对账明细接口!$C$1116=0,"",[1]对账明细接口!$C$1116),"")</f>
        <v/>
      </c>
      <c r="D1116" s="16" t="str">
        <f>IFERROR(IF([1]对账明细接口!$D$1116=0,"",[1]对账明细接口!$D$1116),"")</f>
        <v/>
      </c>
      <c r="E1116" s="16" t="str">
        <f>IFERROR(IF([1]对账明细接口!$E$1116=0,"",[1]对账明细接口!$E$1116),"")</f>
        <v/>
      </c>
      <c r="F1116" s="16" t="str">
        <f>IFERROR(IF([1]对账明细接口!$F$1116=0,"",[1]对账明细接口!$F$1116),"")</f>
        <v/>
      </c>
      <c r="G1116" s="16" t="str">
        <f>IFERROR(IF([1]对账明细接口!$G$1116=0,"",[1]对账明细接口!$G$1116),"")</f>
        <v/>
      </c>
      <c r="H1116" s="17" t="str">
        <f>IFERROR(IF([1]对账明细接口!$H$1116=0,"",[1]对账明细接口!$H$1116),"")</f>
        <v/>
      </c>
      <c r="I1116" s="16" t="str">
        <f>IFERROR(IF([1]对账明细接口!$I$1116=0,"",[1]对账明细接口!$I$1116),"")</f>
        <v/>
      </c>
      <c r="J1116" s="18" t="str">
        <f>IFERROR(IF([1]对账明细接口!$J$1116=0,"",[1]对账明细接口!$J$1116),"")</f>
        <v/>
      </c>
      <c r="K1116" s="18" t="str">
        <f>IFERROR(IF([1]对账明细接口!$K$1116=0,"",[1]对账明细接口!$K$1116),"")</f>
        <v/>
      </c>
      <c r="L1116" s="16" t="str">
        <f>IFERROR(IF([1]对账明细接口!$L$1116=0,"",[1]对账明细接口!$L$1116),"")</f>
        <v/>
      </c>
      <c r="M1116" s="16" t="str">
        <f>IFERROR(IF([1]对账明细接口!$M$1116=0,"",[1]对账明细接口!$M$1116),"")</f>
        <v/>
      </c>
      <c r="N1116" s="19">
        <f t="shared" si="34"/>
        <v>0</v>
      </c>
      <c r="O1116" s="19">
        <f t="shared" si="35"/>
        <v>420</v>
      </c>
      <c r="S1116" s="20" t="str">
        <f>IFERROR(IF([1]对账明细接口!$N1116=0,"",[1]对账明细接口!$N1116),"")</f>
        <v/>
      </c>
      <c r="T1116" s="21" t="str">
        <f>IFERROR(IF([1]对账明细接口!$O1116=0,"",[1]对账明细接口!$O1116),"")</f>
        <v/>
      </c>
      <c r="U1116" s="21" t="str">
        <f>IFERROR(IF([1]对账明细接口!$P1116=0,"",[1]对账明细接口!$P1116),"")</f>
        <v/>
      </c>
      <c r="V1116" s="21" t="str">
        <f>IFERROR(IF([1]对账明细接口!$Q1116=0,"",[1]对账明细接口!$Q1116),"")</f>
        <v/>
      </c>
      <c r="W1116" s="20" t="str">
        <f>IFERROR(IF([1]对账明细接口!$R1116=0,"",[1]对账明细接口!$R1116),"")</f>
        <v/>
      </c>
      <c r="X1116" s="20" t="str">
        <f>IFERROR(IF([1]对账明细接口!$S1116=0,"",[1]对账明细接口!$S1116),"")</f>
        <v/>
      </c>
      <c r="Y1116" s="20" t="str">
        <f>IFERROR(IF([1]对账明细接口!$T1116=0,"",[1]对账明细接口!$T1116),"")</f>
        <v/>
      </c>
      <c r="Z1116" s="24" t="str">
        <f>IFERROR(IF([1]对账明细接口!$U1116=0,"",[1]对账明细接口!$U1116),"")</f>
        <v/>
      </c>
      <c r="AA1116" s="24" t="str">
        <f>IFERROR(IF([1]对账明细接口!$V1116=0,"",[1]对账明细接口!$V1116),"")</f>
        <v/>
      </c>
      <c r="AB1116" s="20" t="str">
        <f>IFERROR(IF([1]对账明细接口!$W1116=0,"",[1]对账明细接口!$W1116),"")</f>
        <v/>
      </c>
      <c r="AC1116" s="7" t="str">
        <f>IFERROR(IF([1]对账明细接口!$X1116=0,"",[1]对账明细接口!$X1116),"")</f>
        <v/>
      </c>
      <c r="AD1116" s="7" t="str">
        <f>IFERROR(IF([1]对账明细接口!$Y1116=0,"",[1]对账明细接口!$Y1116),"")</f>
        <v/>
      </c>
      <c r="AE1116" s="7" t="str">
        <f>IFERROR(IF([1]对账明细接口!$AA1116=0,"",[1]对账明细接口!$AA1116),"")</f>
        <v/>
      </c>
      <c r="AF1116" s="7" t="str">
        <f>IFERROR(IF([1]对账明细接口!$AB1116=0,"",[1]对账明细接口!$AB1116),"")</f>
        <v/>
      </c>
      <c r="AG1116" s="7" t="str">
        <f>IFERROR(IF([1]对账明细接口!$AC1116=0,"",[1]对账明细接口!$AC1116),"")</f>
        <v/>
      </c>
      <c r="AH1116" s="7" t="str">
        <f>IFERROR(IF([1]对账明细接口!$AD1116=0,"",[1]对账明细接口!$AD1116),"")</f>
        <v/>
      </c>
      <c r="AI1116" s="7" t="str">
        <f>IFERROR(IF([1]对账明细接口!$AE1116=0,"",[1]对账明细接口!$AE1116),"")</f>
        <v/>
      </c>
      <c r="AJ1116" s="7" t="str">
        <f>IFERROR(IF([1]对账明细接口!$AF1116=0,"",[1]对账明细接口!$AF1116),"")</f>
        <v/>
      </c>
    </row>
    <row r="1117" ht="14.25" customHeight="1" spans="1:36">
      <c r="A1117" s="14">
        <v>1117</v>
      </c>
      <c r="B1117" s="15" t="str">
        <f>IFERROR(IF([1]对账明细接口!$B$1117=0,"",[1]对账明细接口!$B$1117),"")</f>
        <v/>
      </c>
      <c r="C1117" s="16" t="str">
        <f>IFERROR(IF([1]对账明细接口!$C$1117=0,"",[1]对账明细接口!$C$1117),"")</f>
        <v/>
      </c>
      <c r="D1117" s="16" t="str">
        <f>IFERROR(IF([1]对账明细接口!$D$1117=0,"",[1]对账明细接口!$D$1117),"")</f>
        <v/>
      </c>
      <c r="E1117" s="16" t="str">
        <f>IFERROR(IF([1]对账明细接口!$E$1117=0,"",[1]对账明细接口!$E$1117),"")</f>
        <v/>
      </c>
      <c r="F1117" s="16" t="str">
        <f>IFERROR(IF([1]对账明细接口!$F$1117=0,"",[1]对账明细接口!$F$1117),"")</f>
        <v/>
      </c>
      <c r="G1117" s="16" t="str">
        <f>IFERROR(IF([1]对账明细接口!$G$1117=0,"",[1]对账明细接口!$G$1117),"")</f>
        <v/>
      </c>
      <c r="H1117" s="17" t="str">
        <f>IFERROR(IF([1]对账明细接口!$H$1117=0,"",[1]对账明细接口!$H$1117),"")</f>
        <v/>
      </c>
      <c r="I1117" s="16" t="str">
        <f>IFERROR(IF([1]对账明细接口!$I$1117=0,"",[1]对账明细接口!$I$1117),"")</f>
        <v/>
      </c>
      <c r="J1117" s="18" t="str">
        <f>IFERROR(IF([1]对账明细接口!$J$1117=0,"",[1]对账明细接口!$J$1117),"")</f>
        <v/>
      </c>
      <c r="K1117" s="18" t="str">
        <f>IFERROR(IF([1]对账明细接口!$K$1117=0,"",[1]对账明细接口!$K$1117),"")</f>
        <v/>
      </c>
      <c r="L1117" s="16" t="str">
        <f>IFERROR(IF([1]对账明细接口!$L$1117=0,"",[1]对账明细接口!$L$1117),"")</f>
        <v/>
      </c>
      <c r="M1117" s="16" t="str">
        <f>IFERROR(IF([1]对账明细接口!$M$1117=0,"",[1]对账明细接口!$M$1117),"")</f>
        <v/>
      </c>
      <c r="N1117" s="19">
        <f t="shared" si="34"/>
        <v>0</v>
      </c>
      <c r="O1117" s="19">
        <f t="shared" si="35"/>
        <v>420</v>
      </c>
      <c r="S1117" s="20" t="str">
        <f>IFERROR(IF([1]对账明细接口!$N1117=0,"",[1]对账明细接口!$N1117),"")</f>
        <v/>
      </c>
      <c r="T1117" s="21" t="str">
        <f>IFERROR(IF([1]对账明细接口!$O1117=0,"",[1]对账明细接口!$O1117),"")</f>
        <v/>
      </c>
      <c r="U1117" s="21" t="str">
        <f>IFERROR(IF([1]对账明细接口!$P1117=0,"",[1]对账明细接口!$P1117),"")</f>
        <v/>
      </c>
      <c r="V1117" s="21" t="str">
        <f>IFERROR(IF([1]对账明细接口!$Q1117=0,"",[1]对账明细接口!$Q1117),"")</f>
        <v/>
      </c>
      <c r="W1117" s="20" t="str">
        <f>IFERROR(IF([1]对账明细接口!$R1117=0,"",[1]对账明细接口!$R1117),"")</f>
        <v/>
      </c>
      <c r="X1117" s="20" t="str">
        <f>IFERROR(IF([1]对账明细接口!$S1117=0,"",[1]对账明细接口!$S1117),"")</f>
        <v/>
      </c>
      <c r="Y1117" s="20" t="str">
        <f>IFERROR(IF([1]对账明细接口!$T1117=0,"",[1]对账明细接口!$T1117),"")</f>
        <v/>
      </c>
      <c r="Z1117" s="24" t="str">
        <f>IFERROR(IF([1]对账明细接口!$U1117=0,"",[1]对账明细接口!$U1117),"")</f>
        <v/>
      </c>
      <c r="AA1117" s="24" t="str">
        <f>IFERROR(IF([1]对账明细接口!$V1117=0,"",[1]对账明细接口!$V1117),"")</f>
        <v/>
      </c>
      <c r="AB1117" s="20" t="str">
        <f>IFERROR(IF([1]对账明细接口!$W1117=0,"",[1]对账明细接口!$W1117),"")</f>
        <v/>
      </c>
      <c r="AC1117" s="7" t="str">
        <f>IFERROR(IF([1]对账明细接口!$X1117=0,"",[1]对账明细接口!$X1117),"")</f>
        <v/>
      </c>
      <c r="AD1117" s="7" t="str">
        <f>IFERROR(IF([1]对账明细接口!$Y1117=0,"",[1]对账明细接口!$Y1117),"")</f>
        <v/>
      </c>
      <c r="AE1117" s="7" t="str">
        <f>IFERROR(IF([1]对账明细接口!$AA1117=0,"",[1]对账明细接口!$AA1117),"")</f>
        <v/>
      </c>
      <c r="AF1117" s="7" t="str">
        <f>IFERROR(IF([1]对账明细接口!$AB1117=0,"",[1]对账明细接口!$AB1117),"")</f>
        <v/>
      </c>
      <c r="AG1117" s="7" t="str">
        <f>IFERROR(IF([1]对账明细接口!$AC1117=0,"",[1]对账明细接口!$AC1117),"")</f>
        <v/>
      </c>
      <c r="AH1117" s="7" t="str">
        <f>IFERROR(IF([1]对账明细接口!$AD1117=0,"",[1]对账明细接口!$AD1117),"")</f>
        <v/>
      </c>
      <c r="AI1117" s="7" t="str">
        <f>IFERROR(IF([1]对账明细接口!$AE1117=0,"",[1]对账明细接口!$AE1117),"")</f>
        <v/>
      </c>
      <c r="AJ1117" s="7" t="str">
        <f>IFERROR(IF([1]对账明细接口!$AF1117=0,"",[1]对账明细接口!$AF1117),"")</f>
        <v/>
      </c>
    </row>
    <row r="1118" ht="14.25" customHeight="1" spans="1:36">
      <c r="A1118" s="14">
        <v>1118</v>
      </c>
      <c r="B1118" s="15" t="str">
        <f>IFERROR(IF([1]对账明细接口!$B$1118=0,"",[1]对账明细接口!$B$1118),"")</f>
        <v/>
      </c>
      <c r="C1118" s="16" t="str">
        <f>IFERROR(IF([1]对账明细接口!$C$1118=0,"",[1]对账明细接口!$C$1118),"")</f>
        <v/>
      </c>
      <c r="D1118" s="16" t="str">
        <f>IFERROR(IF([1]对账明细接口!$D$1118=0,"",[1]对账明细接口!$D$1118),"")</f>
        <v/>
      </c>
      <c r="E1118" s="16" t="str">
        <f>IFERROR(IF([1]对账明细接口!$E$1118=0,"",[1]对账明细接口!$E$1118),"")</f>
        <v/>
      </c>
      <c r="F1118" s="16" t="str">
        <f>IFERROR(IF([1]对账明细接口!$F$1118=0,"",[1]对账明细接口!$F$1118),"")</f>
        <v/>
      </c>
      <c r="G1118" s="16" t="str">
        <f>IFERROR(IF([1]对账明细接口!$G$1118=0,"",[1]对账明细接口!$G$1118),"")</f>
        <v/>
      </c>
      <c r="H1118" s="17" t="str">
        <f>IFERROR(IF([1]对账明细接口!$H$1118=0,"",[1]对账明细接口!$H$1118),"")</f>
        <v/>
      </c>
      <c r="I1118" s="16" t="str">
        <f>IFERROR(IF([1]对账明细接口!$I$1118=0,"",[1]对账明细接口!$I$1118),"")</f>
        <v/>
      </c>
      <c r="J1118" s="18" t="str">
        <f>IFERROR(IF([1]对账明细接口!$J$1118=0,"",[1]对账明细接口!$J$1118),"")</f>
        <v/>
      </c>
      <c r="K1118" s="18" t="str">
        <f>IFERROR(IF([1]对账明细接口!$K$1118=0,"",[1]对账明细接口!$K$1118),"")</f>
        <v/>
      </c>
      <c r="L1118" s="16" t="str">
        <f>IFERROR(IF([1]对账明细接口!$L$1118=0,"",[1]对账明细接口!$L$1118),"")</f>
        <v/>
      </c>
      <c r="M1118" s="16" t="str">
        <f>IFERROR(IF([1]对账明细接口!$M$1118=0,"",[1]对账明细接口!$M$1118),"")</f>
        <v/>
      </c>
      <c r="N1118" s="19">
        <f t="shared" si="34"/>
        <v>0</v>
      </c>
      <c r="O1118" s="19">
        <f t="shared" si="35"/>
        <v>420</v>
      </c>
      <c r="S1118" s="20" t="str">
        <f>IFERROR(IF([1]对账明细接口!$N1118=0,"",[1]对账明细接口!$N1118),"")</f>
        <v/>
      </c>
      <c r="T1118" s="21" t="str">
        <f>IFERROR(IF([1]对账明细接口!$O1118=0,"",[1]对账明细接口!$O1118),"")</f>
        <v/>
      </c>
      <c r="U1118" s="21" t="str">
        <f>IFERROR(IF([1]对账明细接口!$P1118=0,"",[1]对账明细接口!$P1118),"")</f>
        <v/>
      </c>
      <c r="V1118" s="21" t="str">
        <f>IFERROR(IF([1]对账明细接口!$Q1118=0,"",[1]对账明细接口!$Q1118),"")</f>
        <v/>
      </c>
      <c r="W1118" s="20" t="str">
        <f>IFERROR(IF([1]对账明细接口!$R1118=0,"",[1]对账明细接口!$R1118),"")</f>
        <v/>
      </c>
      <c r="X1118" s="20" t="str">
        <f>IFERROR(IF([1]对账明细接口!$S1118=0,"",[1]对账明细接口!$S1118),"")</f>
        <v/>
      </c>
      <c r="Y1118" s="20" t="str">
        <f>IFERROR(IF([1]对账明细接口!$T1118=0,"",[1]对账明细接口!$T1118),"")</f>
        <v/>
      </c>
      <c r="Z1118" s="24" t="str">
        <f>IFERROR(IF([1]对账明细接口!$U1118=0,"",[1]对账明细接口!$U1118),"")</f>
        <v/>
      </c>
      <c r="AA1118" s="24" t="str">
        <f>IFERROR(IF([1]对账明细接口!$V1118=0,"",[1]对账明细接口!$V1118),"")</f>
        <v/>
      </c>
      <c r="AB1118" s="20" t="str">
        <f>IFERROR(IF([1]对账明细接口!$W1118=0,"",[1]对账明细接口!$W1118),"")</f>
        <v/>
      </c>
      <c r="AC1118" s="7" t="str">
        <f>IFERROR(IF([1]对账明细接口!$X1118=0,"",[1]对账明细接口!$X1118),"")</f>
        <v/>
      </c>
      <c r="AD1118" s="7" t="str">
        <f>IFERROR(IF([1]对账明细接口!$Y1118=0,"",[1]对账明细接口!$Y1118),"")</f>
        <v/>
      </c>
      <c r="AE1118" s="7" t="str">
        <f>IFERROR(IF([1]对账明细接口!$AA1118=0,"",[1]对账明细接口!$AA1118),"")</f>
        <v/>
      </c>
      <c r="AF1118" s="7" t="str">
        <f>IFERROR(IF([1]对账明细接口!$AB1118=0,"",[1]对账明细接口!$AB1118),"")</f>
        <v/>
      </c>
      <c r="AG1118" s="7" t="str">
        <f>IFERROR(IF([1]对账明细接口!$AC1118=0,"",[1]对账明细接口!$AC1118),"")</f>
        <v/>
      </c>
      <c r="AH1118" s="7" t="str">
        <f>IFERROR(IF([1]对账明细接口!$AD1118=0,"",[1]对账明细接口!$AD1118),"")</f>
        <v/>
      </c>
      <c r="AI1118" s="7" t="str">
        <f>IFERROR(IF([1]对账明细接口!$AE1118=0,"",[1]对账明细接口!$AE1118),"")</f>
        <v/>
      </c>
      <c r="AJ1118" s="7" t="str">
        <f>IFERROR(IF([1]对账明细接口!$AF1118=0,"",[1]对账明细接口!$AF1118),"")</f>
        <v/>
      </c>
    </row>
    <row r="1119" ht="14.25" customHeight="1" spans="1:36">
      <c r="A1119" s="14">
        <v>1119</v>
      </c>
      <c r="B1119" s="15" t="str">
        <f>IFERROR(IF([1]对账明细接口!$B$1119=0,"",[1]对账明细接口!$B$1119),"")</f>
        <v/>
      </c>
      <c r="C1119" s="16" t="str">
        <f>IFERROR(IF([1]对账明细接口!$C$1119=0,"",[1]对账明细接口!$C$1119),"")</f>
        <v/>
      </c>
      <c r="D1119" s="16" t="str">
        <f>IFERROR(IF([1]对账明细接口!$D$1119=0,"",[1]对账明细接口!$D$1119),"")</f>
        <v/>
      </c>
      <c r="E1119" s="16" t="str">
        <f>IFERROR(IF([1]对账明细接口!$E$1119=0,"",[1]对账明细接口!$E$1119),"")</f>
        <v/>
      </c>
      <c r="F1119" s="16" t="str">
        <f>IFERROR(IF([1]对账明细接口!$F$1119=0,"",[1]对账明细接口!$F$1119),"")</f>
        <v/>
      </c>
      <c r="G1119" s="16" t="str">
        <f>IFERROR(IF([1]对账明细接口!$G$1119=0,"",[1]对账明细接口!$G$1119),"")</f>
        <v/>
      </c>
      <c r="H1119" s="17" t="str">
        <f>IFERROR(IF([1]对账明细接口!$H$1119=0,"",[1]对账明细接口!$H$1119),"")</f>
        <v/>
      </c>
      <c r="I1119" s="16" t="str">
        <f>IFERROR(IF([1]对账明细接口!$I$1119=0,"",[1]对账明细接口!$I$1119),"")</f>
        <v/>
      </c>
      <c r="J1119" s="18" t="str">
        <f>IFERROR(IF([1]对账明细接口!$J$1119=0,"",[1]对账明细接口!$J$1119),"")</f>
        <v/>
      </c>
      <c r="K1119" s="18" t="str">
        <f>IFERROR(IF([1]对账明细接口!$K$1119=0,"",[1]对账明细接口!$K$1119),"")</f>
        <v/>
      </c>
      <c r="L1119" s="16" t="str">
        <f>IFERROR(IF([1]对账明细接口!$L$1119=0,"",[1]对账明细接口!$L$1119),"")</f>
        <v/>
      </c>
      <c r="M1119" s="16" t="str">
        <f>IFERROR(IF([1]对账明细接口!$M$1119=0,"",[1]对账明细接口!$M$1119),"")</f>
        <v/>
      </c>
      <c r="N1119" s="19">
        <f t="shared" si="34"/>
        <v>0</v>
      </c>
      <c r="O1119" s="19">
        <f t="shared" si="35"/>
        <v>420</v>
      </c>
      <c r="S1119" s="20" t="str">
        <f>IFERROR(IF([1]对账明细接口!$N1119=0,"",[1]对账明细接口!$N1119),"")</f>
        <v/>
      </c>
      <c r="T1119" s="21" t="str">
        <f>IFERROR(IF([1]对账明细接口!$O1119=0,"",[1]对账明细接口!$O1119),"")</f>
        <v/>
      </c>
      <c r="U1119" s="21" t="str">
        <f>IFERROR(IF([1]对账明细接口!$P1119=0,"",[1]对账明细接口!$P1119),"")</f>
        <v/>
      </c>
      <c r="V1119" s="21" t="str">
        <f>IFERROR(IF([1]对账明细接口!$Q1119=0,"",[1]对账明细接口!$Q1119),"")</f>
        <v/>
      </c>
      <c r="W1119" s="20" t="str">
        <f>IFERROR(IF([1]对账明细接口!$R1119=0,"",[1]对账明细接口!$R1119),"")</f>
        <v/>
      </c>
      <c r="X1119" s="20" t="str">
        <f>IFERROR(IF([1]对账明细接口!$S1119=0,"",[1]对账明细接口!$S1119),"")</f>
        <v/>
      </c>
      <c r="Y1119" s="20" t="str">
        <f>IFERROR(IF([1]对账明细接口!$T1119=0,"",[1]对账明细接口!$T1119),"")</f>
        <v/>
      </c>
      <c r="Z1119" s="24" t="str">
        <f>IFERROR(IF([1]对账明细接口!$U1119=0,"",[1]对账明细接口!$U1119),"")</f>
        <v/>
      </c>
      <c r="AA1119" s="24" t="str">
        <f>IFERROR(IF([1]对账明细接口!$V1119=0,"",[1]对账明细接口!$V1119),"")</f>
        <v/>
      </c>
      <c r="AB1119" s="20" t="str">
        <f>IFERROR(IF([1]对账明细接口!$W1119=0,"",[1]对账明细接口!$W1119),"")</f>
        <v/>
      </c>
      <c r="AC1119" s="7" t="str">
        <f>IFERROR(IF([1]对账明细接口!$X1119=0,"",[1]对账明细接口!$X1119),"")</f>
        <v/>
      </c>
      <c r="AD1119" s="7" t="str">
        <f>IFERROR(IF([1]对账明细接口!$Y1119=0,"",[1]对账明细接口!$Y1119),"")</f>
        <v/>
      </c>
      <c r="AE1119" s="7" t="str">
        <f>IFERROR(IF([1]对账明细接口!$AA1119=0,"",[1]对账明细接口!$AA1119),"")</f>
        <v/>
      </c>
      <c r="AF1119" s="7" t="str">
        <f>IFERROR(IF([1]对账明细接口!$AB1119=0,"",[1]对账明细接口!$AB1119),"")</f>
        <v/>
      </c>
      <c r="AG1119" s="7" t="str">
        <f>IFERROR(IF([1]对账明细接口!$AC1119=0,"",[1]对账明细接口!$AC1119),"")</f>
        <v/>
      </c>
      <c r="AH1119" s="7" t="str">
        <f>IFERROR(IF([1]对账明细接口!$AD1119=0,"",[1]对账明细接口!$AD1119),"")</f>
        <v/>
      </c>
      <c r="AI1119" s="7" t="str">
        <f>IFERROR(IF([1]对账明细接口!$AE1119=0,"",[1]对账明细接口!$AE1119),"")</f>
        <v/>
      </c>
      <c r="AJ1119" s="7" t="str">
        <f>IFERROR(IF([1]对账明细接口!$AF1119=0,"",[1]对账明细接口!$AF1119),"")</f>
        <v/>
      </c>
    </row>
    <row r="1120" ht="14.25" customHeight="1" spans="1:36">
      <c r="A1120" s="14">
        <v>1120</v>
      </c>
      <c r="B1120" s="15" t="str">
        <f>IFERROR(IF([1]对账明细接口!$B$1120=0,"",[1]对账明细接口!$B$1120),"")</f>
        <v/>
      </c>
      <c r="C1120" s="16" t="str">
        <f>IFERROR(IF([1]对账明细接口!$C$1120=0,"",[1]对账明细接口!$C$1120),"")</f>
        <v/>
      </c>
      <c r="D1120" s="16" t="str">
        <f>IFERROR(IF([1]对账明细接口!$D$1120=0,"",[1]对账明细接口!$D$1120),"")</f>
        <v/>
      </c>
      <c r="E1120" s="16" t="str">
        <f>IFERROR(IF([1]对账明细接口!$E$1120=0,"",[1]对账明细接口!$E$1120),"")</f>
        <v/>
      </c>
      <c r="F1120" s="16" t="str">
        <f>IFERROR(IF([1]对账明细接口!$F$1120=0,"",[1]对账明细接口!$F$1120),"")</f>
        <v/>
      </c>
      <c r="G1120" s="16" t="str">
        <f>IFERROR(IF([1]对账明细接口!$G$1120=0,"",[1]对账明细接口!$G$1120),"")</f>
        <v/>
      </c>
      <c r="H1120" s="17" t="str">
        <f>IFERROR(IF([1]对账明细接口!$H$1120=0,"",[1]对账明细接口!$H$1120),"")</f>
        <v/>
      </c>
      <c r="I1120" s="16" t="str">
        <f>IFERROR(IF([1]对账明细接口!$I$1120=0,"",[1]对账明细接口!$I$1120),"")</f>
        <v/>
      </c>
      <c r="J1120" s="18" t="str">
        <f>IFERROR(IF([1]对账明细接口!$J$1120=0,"",[1]对账明细接口!$J$1120),"")</f>
        <v/>
      </c>
      <c r="K1120" s="18" t="str">
        <f>IFERROR(IF([1]对账明细接口!$K$1120=0,"",[1]对账明细接口!$K$1120),"")</f>
        <v/>
      </c>
      <c r="L1120" s="16" t="str">
        <f>IFERROR(IF([1]对账明细接口!$L$1120=0,"",[1]对账明细接口!$L$1120),"")</f>
        <v/>
      </c>
      <c r="M1120" s="16" t="str">
        <f>IFERROR(IF([1]对账明细接口!$M$1120=0,"",[1]对账明细接口!$M$1120),"")</f>
        <v/>
      </c>
      <c r="N1120" s="19">
        <f t="shared" si="34"/>
        <v>0</v>
      </c>
      <c r="O1120" s="19">
        <f t="shared" si="35"/>
        <v>420</v>
      </c>
      <c r="S1120" s="20" t="str">
        <f>IFERROR(IF([1]对账明细接口!$N1120=0,"",[1]对账明细接口!$N1120),"")</f>
        <v/>
      </c>
      <c r="T1120" s="21" t="str">
        <f>IFERROR(IF([1]对账明细接口!$O1120=0,"",[1]对账明细接口!$O1120),"")</f>
        <v/>
      </c>
      <c r="U1120" s="21" t="str">
        <f>IFERROR(IF([1]对账明细接口!$P1120=0,"",[1]对账明细接口!$P1120),"")</f>
        <v/>
      </c>
      <c r="V1120" s="21" t="str">
        <f>IFERROR(IF([1]对账明细接口!$Q1120=0,"",[1]对账明细接口!$Q1120),"")</f>
        <v/>
      </c>
      <c r="W1120" s="20" t="str">
        <f>IFERROR(IF([1]对账明细接口!$R1120=0,"",[1]对账明细接口!$R1120),"")</f>
        <v/>
      </c>
      <c r="X1120" s="20" t="str">
        <f>IFERROR(IF([1]对账明细接口!$S1120=0,"",[1]对账明细接口!$S1120),"")</f>
        <v/>
      </c>
      <c r="Y1120" s="20" t="str">
        <f>IFERROR(IF([1]对账明细接口!$T1120=0,"",[1]对账明细接口!$T1120),"")</f>
        <v/>
      </c>
      <c r="Z1120" s="24" t="str">
        <f>IFERROR(IF([1]对账明细接口!$U1120=0,"",[1]对账明细接口!$U1120),"")</f>
        <v/>
      </c>
      <c r="AA1120" s="24" t="str">
        <f>IFERROR(IF([1]对账明细接口!$V1120=0,"",[1]对账明细接口!$V1120),"")</f>
        <v/>
      </c>
      <c r="AB1120" s="20" t="str">
        <f>IFERROR(IF([1]对账明细接口!$W1120=0,"",[1]对账明细接口!$W1120),"")</f>
        <v/>
      </c>
      <c r="AC1120" s="7" t="str">
        <f>IFERROR(IF([1]对账明细接口!$X1120=0,"",[1]对账明细接口!$X1120),"")</f>
        <v/>
      </c>
      <c r="AD1120" s="7" t="str">
        <f>IFERROR(IF([1]对账明细接口!$Y1120=0,"",[1]对账明细接口!$Y1120),"")</f>
        <v/>
      </c>
      <c r="AE1120" s="7" t="str">
        <f>IFERROR(IF([1]对账明细接口!$AA1120=0,"",[1]对账明细接口!$AA1120),"")</f>
        <v/>
      </c>
      <c r="AF1120" s="7" t="str">
        <f>IFERROR(IF([1]对账明细接口!$AB1120=0,"",[1]对账明细接口!$AB1120),"")</f>
        <v/>
      </c>
      <c r="AG1120" s="7" t="str">
        <f>IFERROR(IF([1]对账明细接口!$AC1120=0,"",[1]对账明细接口!$AC1120),"")</f>
        <v/>
      </c>
      <c r="AH1120" s="7" t="str">
        <f>IFERROR(IF([1]对账明细接口!$AD1120=0,"",[1]对账明细接口!$AD1120),"")</f>
        <v/>
      </c>
      <c r="AI1120" s="7" t="str">
        <f>IFERROR(IF([1]对账明细接口!$AE1120=0,"",[1]对账明细接口!$AE1120),"")</f>
        <v/>
      </c>
      <c r="AJ1120" s="7" t="str">
        <f>IFERROR(IF([1]对账明细接口!$AF1120=0,"",[1]对账明细接口!$AF1120),"")</f>
        <v/>
      </c>
    </row>
    <row r="1121" ht="14.25" customHeight="1" spans="1:36">
      <c r="A1121" s="14">
        <v>1121</v>
      </c>
      <c r="B1121" s="15" t="str">
        <f>IFERROR(IF([1]对账明细接口!$B$1121=0,"",[1]对账明细接口!$B$1121),"")</f>
        <v/>
      </c>
      <c r="C1121" s="16" t="str">
        <f>IFERROR(IF([1]对账明细接口!$C$1121=0,"",[1]对账明细接口!$C$1121),"")</f>
        <v/>
      </c>
      <c r="D1121" s="16" t="str">
        <f>IFERROR(IF([1]对账明细接口!$D$1121=0,"",[1]对账明细接口!$D$1121),"")</f>
        <v/>
      </c>
      <c r="E1121" s="16" t="str">
        <f>IFERROR(IF([1]对账明细接口!$E$1121=0,"",[1]对账明细接口!$E$1121),"")</f>
        <v/>
      </c>
      <c r="F1121" s="16" t="str">
        <f>IFERROR(IF([1]对账明细接口!$F$1121=0,"",[1]对账明细接口!$F$1121),"")</f>
        <v/>
      </c>
      <c r="G1121" s="16" t="str">
        <f>IFERROR(IF([1]对账明细接口!$G$1121=0,"",[1]对账明细接口!$G$1121),"")</f>
        <v/>
      </c>
      <c r="H1121" s="17" t="str">
        <f>IFERROR(IF([1]对账明细接口!$H$1121=0,"",[1]对账明细接口!$H$1121),"")</f>
        <v/>
      </c>
      <c r="I1121" s="16" t="str">
        <f>IFERROR(IF([1]对账明细接口!$I$1121=0,"",[1]对账明细接口!$I$1121),"")</f>
        <v/>
      </c>
      <c r="J1121" s="18" t="str">
        <f>IFERROR(IF([1]对账明细接口!$J$1121=0,"",[1]对账明细接口!$J$1121),"")</f>
        <v/>
      </c>
      <c r="K1121" s="18" t="str">
        <f>IFERROR(IF([1]对账明细接口!$K$1121=0,"",[1]对账明细接口!$K$1121),"")</f>
        <v/>
      </c>
      <c r="L1121" s="16" t="str">
        <f>IFERROR(IF([1]对账明细接口!$L$1121=0,"",[1]对账明细接口!$L$1121),"")</f>
        <v/>
      </c>
      <c r="M1121" s="16" t="str">
        <f>IFERROR(IF([1]对账明细接口!$M$1121=0,"",[1]对账明细接口!$M$1121),"")</f>
        <v/>
      </c>
      <c r="N1121" s="19">
        <f t="shared" si="34"/>
        <v>0</v>
      </c>
      <c r="O1121" s="19">
        <f t="shared" si="35"/>
        <v>420</v>
      </c>
      <c r="S1121" s="20" t="str">
        <f>IFERROR(IF([1]对账明细接口!$N1121=0,"",[1]对账明细接口!$N1121),"")</f>
        <v/>
      </c>
      <c r="T1121" s="21" t="str">
        <f>IFERROR(IF([1]对账明细接口!$O1121=0,"",[1]对账明细接口!$O1121),"")</f>
        <v/>
      </c>
      <c r="U1121" s="21" t="str">
        <f>IFERROR(IF([1]对账明细接口!$P1121=0,"",[1]对账明细接口!$P1121),"")</f>
        <v/>
      </c>
      <c r="V1121" s="21" t="str">
        <f>IFERROR(IF([1]对账明细接口!$Q1121=0,"",[1]对账明细接口!$Q1121),"")</f>
        <v/>
      </c>
      <c r="W1121" s="20" t="str">
        <f>IFERROR(IF([1]对账明细接口!$R1121=0,"",[1]对账明细接口!$R1121),"")</f>
        <v/>
      </c>
      <c r="X1121" s="20" t="str">
        <f>IFERROR(IF([1]对账明细接口!$S1121=0,"",[1]对账明细接口!$S1121),"")</f>
        <v/>
      </c>
      <c r="Y1121" s="20" t="str">
        <f>IFERROR(IF([1]对账明细接口!$T1121=0,"",[1]对账明细接口!$T1121),"")</f>
        <v/>
      </c>
      <c r="Z1121" s="24" t="str">
        <f>IFERROR(IF([1]对账明细接口!$U1121=0,"",[1]对账明细接口!$U1121),"")</f>
        <v/>
      </c>
      <c r="AA1121" s="24" t="str">
        <f>IFERROR(IF([1]对账明细接口!$V1121=0,"",[1]对账明细接口!$V1121),"")</f>
        <v/>
      </c>
      <c r="AB1121" s="20" t="str">
        <f>IFERROR(IF([1]对账明细接口!$W1121=0,"",[1]对账明细接口!$W1121),"")</f>
        <v/>
      </c>
      <c r="AC1121" s="7" t="str">
        <f>IFERROR(IF([1]对账明细接口!$X1121=0,"",[1]对账明细接口!$X1121),"")</f>
        <v/>
      </c>
      <c r="AD1121" s="7" t="str">
        <f>IFERROR(IF([1]对账明细接口!$Y1121=0,"",[1]对账明细接口!$Y1121),"")</f>
        <v/>
      </c>
      <c r="AE1121" s="7" t="str">
        <f>IFERROR(IF([1]对账明细接口!$AA1121=0,"",[1]对账明细接口!$AA1121),"")</f>
        <v/>
      </c>
      <c r="AF1121" s="7" t="str">
        <f>IFERROR(IF([1]对账明细接口!$AB1121=0,"",[1]对账明细接口!$AB1121),"")</f>
        <v/>
      </c>
      <c r="AG1121" s="7" t="str">
        <f>IFERROR(IF([1]对账明细接口!$AC1121=0,"",[1]对账明细接口!$AC1121),"")</f>
        <v/>
      </c>
      <c r="AH1121" s="7" t="str">
        <f>IFERROR(IF([1]对账明细接口!$AD1121=0,"",[1]对账明细接口!$AD1121),"")</f>
        <v/>
      </c>
      <c r="AI1121" s="7" t="str">
        <f>IFERROR(IF([1]对账明细接口!$AE1121=0,"",[1]对账明细接口!$AE1121),"")</f>
        <v/>
      </c>
      <c r="AJ1121" s="7" t="str">
        <f>IFERROR(IF([1]对账明细接口!$AF1121=0,"",[1]对账明细接口!$AF1121),"")</f>
        <v/>
      </c>
    </row>
    <row r="1122" ht="14.25" customHeight="1" spans="1:36">
      <c r="A1122" s="14">
        <v>1122</v>
      </c>
      <c r="B1122" s="15" t="str">
        <f>IFERROR(IF([1]对账明细接口!$B$1122=0,"",[1]对账明细接口!$B$1122),"")</f>
        <v/>
      </c>
      <c r="C1122" s="16" t="str">
        <f>IFERROR(IF([1]对账明细接口!$C$1122=0,"",[1]对账明细接口!$C$1122),"")</f>
        <v/>
      </c>
      <c r="D1122" s="16" t="str">
        <f>IFERROR(IF([1]对账明细接口!$D$1122=0,"",[1]对账明细接口!$D$1122),"")</f>
        <v/>
      </c>
      <c r="E1122" s="16" t="str">
        <f>IFERROR(IF([1]对账明细接口!$E$1122=0,"",[1]对账明细接口!$E$1122),"")</f>
        <v/>
      </c>
      <c r="F1122" s="16" t="str">
        <f>IFERROR(IF([1]对账明细接口!$F$1122=0,"",[1]对账明细接口!$F$1122),"")</f>
        <v/>
      </c>
      <c r="G1122" s="16" t="str">
        <f>IFERROR(IF([1]对账明细接口!$G$1122=0,"",[1]对账明细接口!$G$1122),"")</f>
        <v/>
      </c>
      <c r="H1122" s="17" t="str">
        <f>IFERROR(IF([1]对账明细接口!$H$1122=0,"",[1]对账明细接口!$H$1122),"")</f>
        <v/>
      </c>
      <c r="I1122" s="16" t="str">
        <f>IFERROR(IF([1]对账明细接口!$I$1122=0,"",[1]对账明细接口!$I$1122),"")</f>
        <v/>
      </c>
      <c r="J1122" s="18" t="str">
        <f>IFERROR(IF([1]对账明细接口!$J$1122=0,"",[1]对账明细接口!$J$1122),"")</f>
        <v/>
      </c>
      <c r="K1122" s="18" t="str">
        <f>IFERROR(IF([1]对账明细接口!$K$1122=0,"",[1]对账明细接口!$K$1122),"")</f>
        <v/>
      </c>
      <c r="L1122" s="16" t="str">
        <f>IFERROR(IF([1]对账明细接口!$L$1122=0,"",[1]对账明细接口!$L$1122),"")</f>
        <v/>
      </c>
      <c r="M1122" s="16" t="str">
        <f>IFERROR(IF([1]对账明细接口!$M$1122=0,"",[1]对账明细接口!$M$1122),"")</f>
        <v/>
      </c>
      <c r="N1122" s="19">
        <f t="shared" si="34"/>
        <v>0</v>
      </c>
      <c r="O1122" s="19">
        <f t="shared" si="35"/>
        <v>420</v>
      </c>
      <c r="S1122" s="20" t="str">
        <f>IFERROR(IF([1]对账明细接口!$N1122=0,"",[1]对账明细接口!$N1122),"")</f>
        <v/>
      </c>
      <c r="T1122" s="21" t="str">
        <f>IFERROR(IF([1]对账明细接口!$O1122=0,"",[1]对账明细接口!$O1122),"")</f>
        <v/>
      </c>
      <c r="U1122" s="21" t="str">
        <f>IFERROR(IF([1]对账明细接口!$P1122=0,"",[1]对账明细接口!$P1122),"")</f>
        <v/>
      </c>
      <c r="V1122" s="21" t="str">
        <f>IFERROR(IF([1]对账明细接口!$Q1122=0,"",[1]对账明细接口!$Q1122),"")</f>
        <v/>
      </c>
      <c r="W1122" s="20" t="str">
        <f>IFERROR(IF([1]对账明细接口!$R1122=0,"",[1]对账明细接口!$R1122),"")</f>
        <v/>
      </c>
      <c r="X1122" s="20" t="str">
        <f>IFERROR(IF([1]对账明细接口!$S1122=0,"",[1]对账明细接口!$S1122),"")</f>
        <v/>
      </c>
      <c r="Y1122" s="20" t="str">
        <f>IFERROR(IF([1]对账明细接口!$T1122=0,"",[1]对账明细接口!$T1122),"")</f>
        <v/>
      </c>
      <c r="Z1122" s="24" t="str">
        <f>IFERROR(IF([1]对账明细接口!$U1122=0,"",[1]对账明细接口!$U1122),"")</f>
        <v/>
      </c>
      <c r="AA1122" s="24" t="str">
        <f>IFERROR(IF([1]对账明细接口!$V1122=0,"",[1]对账明细接口!$V1122),"")</f>
        <v/>
      </c>
      <c r="AB1122" s="20" t="str">
        <f>IFERROR(IF([1]对账明细接口!$W1122=0,"",[1]对账明细接口!$W1122),"")</f>
        <v/>
      </c>
      <c r="AC1122" s="7" t="str">
        <f>IFERROR(IF([1]对账明细接口!$X1122=0,"",[1]对账明细接口!$X1122),"")</f>
        <v/>
      </c>
      <c r="AD1122" s="7" t="str">
        <f>IFERROR(IF([1]对账明细接口!$Y1122=0,"",[1]对账明细接口!$Y1122),"")</f>
        <v/>
      </c>
      <c r="AE1122" s="7" t="str">
        <f>IFERROR(IF([1]对账明细接口!$AA1122=0,"",[1]对账明细接口!$AA1122),"")</f>
        <v/>
      </c>
      <c r="AF1122" s="7" t="str">
        <f>IFERROR(IF([1]对账明细接口!$AB1122=0,"",[1]对账明细接口!$AB1122),"")</f>
        <v/>
      </c>
      <c r="AG1122" s="7" t="str">
        <f>IFERROR(IF([1]对账明细接口!$AC1122=0,"",[1]对账明细接口!$AC1122),"")</f>
        <v/>
      </c>
      <c r="AH1122" s="7" t="str">
        <f>IFERROR(IF([1]对账明细接口!$AD1122=0,"",[1]对账明细接口!$AD1122),"")</f>
        <v/>
      </c>
      <c r="AI1122" s="7" t="str">
        <f>IFERROR(IF([1]对账明细接口!$AE1122=0,"",[1]对账明细接口!$AE1122),"")</f>
        <v/>
      </c>
      <c r="AJ1122" s="7" t="str">
        <f>IFERROR(IF([1]对账明细接口!$AF1122=0,"",[1]对账明细接口!$AF1122),"")</f>
        <v/>
      </c>
    </row>
    <row r="1123" ht="14.25" customHeight="1" spans="1:36">
      <c r="A1123" s="14">
        <v>1123</v>
      </c>
      <c r="B1123" s="15" t="str">
        <f>IFERROR(IF([1]对账明细接口!$B$1123=0,"",[1]对账明细接口!$B$1123),"")</f>
        <v/>
      </c>
      <c r="C1123" s="16" t="str">
        <f>IFERROR(IF([1]对账明细接口!$C$1123=0,"",[1]对账明细接口!$C$1123),"")</f>
        <v/>
      </c>
      <c r="D1123" s="16" t="str">
        <f>IFERROR(IF([1]对账明细接口!$D$1123=0,"",[1]对账明细接口!$D$1123),"")</f>
        <v/>
      </c>
      <c r="E1123" s="16" t="str">
        <f>IFERROR(IF([1]对账明细接口!$E$1123=0,"",[1]对账明细接口!$E$1123),"")</f>
        <v/>
      </c>
      <c r="F1123" s="16" t="str">
        <f>IFERROR(IF([1]对账明细接口!$F$1123=0,"",[1]对账明细接口!$F$1123),"")</f>
        <v/>
      </c>
      <c r="G1123" s="16" t="str">
        <f>IFERROR(IF([1]对账明细接口!$G$1123=0,"",[1]对账明细接口!$G$1123),"")</f>
        <v/>
      </c>
      <c r="H1123" s="17" t="str">
        <f>IFERROR(IF([1]对账明细接口!$H$1123=0,"",[1]对账明细接口!$H$1123),"")</f>
        <v/>
      </c>
      <c r="I1123" s="16" t="str">
        <f>IFERROR(IF([1]对账明细接口!$I$1123=0,"",[1]对账明细接口!$I$1123),"")</f>
        <v/>
      </c>
      <c r="J1123" s="18" t="str">
        <f>IFERROR(IF([1]对账明细接口!$J$1123=0,"",[1]对账明细接口!$J$1123),"")</f>
        <v/>
      </c>
      <c r="K1123" s="18" t="str">
        <f>IFERROR(IF([1]对账明细接口!$K$1123=0,"",[1]对账明细接口!$K$1123),"")</f>
        <v/>
      </c>
      <c r="L1123" s="16" t="str">
        <f>IFERROR(IF([1]对账明细接口!$L$1123=0,"",[1]对账明细接口!$L$1123),"")</f>
        <v/>
      </c>
      <c r="M1123" s="16" t="str">
        <f>IFERROR(IF([1]对账明细接口!$M$1123=0,"",[1]对账明细接口!$M$1123),"")</f>
        <v/>
      </c>
      <c r="N1123" s="19">
        <f t="shared" si="34"/>
        <v>0</v>
      </c>
      <c r="O1123" s="19">
        <f t="shared" si="35"/>
        <v>420</v>
      </c>
      <c r="S1123" s="20" t="str">
        <f>IFERROR(IF([1]对账明细接口!$N1123=0,"",[1]对账明细接口!$N1123),"")</f>
        <v/>
      </c>
      <c r="T1123" s="21" t="str">
        <f>IFERROR(IF([1]对账明细接口!$O1123=0,"",[1]对账明细接口!$O1123),"")</f>
        <v/>
      </c>
      <c r="U1123" s="21" t="str">
        <f>IFERROR(IF([1]对账明细接口!$P1123=0,"",[1]对账明细接口!$P1123),"")</f>
        <v/>
      </c>
      <c r="V1123" s="21" t="str">
        <f>IFERROR(IF([1]对账明细接口!$Q1123=0,"",[1]对账明细接口!$Q1123),"")</f>
        <v/>
      </c>
      <c r="W1123" s="20" t="str">
        <f>IFERROR(IF([1]对账明细接口!$R1123=0,"",[1]对账明细接口!$R1123),"")</f>
        <v/>
      </c>
      <c r="X1123" s="20" t="str">
        <f>IFERROR(IF([1]对账明细接口!$S1123=0,"",[1]对账明细接口!$S1123),"")</f>
        <v/>
      </c>
      <c r="Y1123" s="20" t="str">
        <f>IFERROR(IF([1]对账明细接口!$T1123=0,"",[1]对账明细接口!$T1123),"")</f>
        <v/>
      </c>
      <c r="Z1123" s="24" t="str">
        <f>IFERROR(IF([1]对账明细接口!$U1123=0,"",[1]对账明细接口!$U1123),"")</f>
        <v/>
      </c>
      <c r="AA1123" s="24" t="str">
        <f>IFERROR(IF([1]对账明细接口!$V1123=0,"",[1]对账明细接口!$V1123),"")</f>
        <v/>
      </c>
      <c r="AB1123" s="20" t="str">
        <f>IFERROR(IF([1]对账明细接口!$W1123=0,"",[1]对账明细接口!$W1123),"")</f>
        <v/>
      </c>
      <c r="AC1123" s="7" t="str">
        <f>IFERROR(IF([1]对账明细接口!$X1123=0,"",[1]对账明细接口!$X1123),"")</f>
        <v/>
      </c>
      <c r="AD1123" s="7" t="str">
        <f>IFERROR(IF([1]对账明细接口!$Y1123=0,"",[1]对账明细接口!$Y1123),"")</f>
        <v/>
      </c>
      <c r="AE1123" s="7" t="str">
        <f>IFERROR(IF([1]对账明细接口!$AA1123=0,"",[1]对账明细接口!$AA1123),"")</f>
        <v/>
      </c>
      <c r="AF1123" s="7" t="str">
        <f>IFERROR(IF([1]对账明细接口!$AB1123=0,"",[1]对账明细接口!$AB1123),"")</f>
        <v/>
      </c>
      <c r="AG1123" s="7" t="str">
        <f>IFERROR(IF([1]对账明细接口!$AC1123=0,"",[1]对账明细接口!$AC1123),"")</f>
        <v/>
      </c>
      <c r="AH1123" s="7" t="str">
        <f>IFERROR(IF([1]对账明细接口!$AD1123=0,"",[1]对账明细接口!$AD1123),"")</f>
        <v/>
      </c>
      <c r="AI1123" s="7" t="str">
        <f>IFERROR(IF([1]对账明细接口!$AE1123=0,"",[1]对账明细接口!$AE1123),"")</f>
        <v/>
      </c>
      <c r="AJ1123" s="7" t="str">
        <f>IFERROR(IF([1]对账明细接口!$AF1123=0,"",[1]对账明细接口!$AF1123),"")</f>
        <v/>
      </c>
    </row>
    <row r="1124" ht="14.25" customHeight="1" spans="1:36">
      <c r="A1124" s="14">
        <v>1124</v>
      </c>
      <c r="B1124" s="15" t="str">
        <f>IFERROR(IF([1]对账明细接口!$B$1124=0,"",[1]对账明细接口!$B$1124),"")</f>
        <v/>
      </c>
      <c r="C1124" s="16" t="str">
        <f>IFERROR(IF([1]对账明细接口!$C$1124=0,"",[1]对账明细接口!$C$1124),"")</f>
        <v/>
      </c>
      <c r="D1124" s="16" t="str">
        <f>IFERROR(IF([1]对账明细接口!$D$1124=0,"",[1]对账明细接口!$D$1124),"")</f>
        <v/>
      </c>
      <c r="E1124" s="16" t="str">
        <f>IFERROR(IF([1]对账明细接口!$E$1124=0,"",[1]对账明细接口!$E$1124),"")</f>
        <v/>
      </c>
      <c r="F1124" s="16" t="str">
        <f>IFERROR(IF([1]对账明细接口!$F$1124=0,"",[1]对账明细接口!$F$1124),"")</f>
        <v/>
      </c>
      <c r="G1124" s="16" t="str">
        <f>IFERROR(IF([1]对账明细接口!$G$1124=0,"",[1]对账明细接口!$G$1124),"")</f>
        <v/>
      </c>
      <c r="H1124" s="17" t="str">
        <f>IFERROR(IF([1]对账明细接口!$H$1124=0,"",[1]对账明细接口!$H$1124),"")</f>
        <v/>
      </c>
      <c r="I1124" s="16" t="str">
        <f>IFERROR(IF([1]对账明细接口!$I$1124=0,"",[1]对账明细接口!$I$1124),"")</f>
        <v/>
      </c>
      <c r="J1124" s="18" t="str">
        <f>IFERROR(IF([1]对账明细接口!$J$1124=0,"",[1]对账明细接口!$J$1124),"")</f>
        <v/>
      </c>
      <c r="K1124" s="18" t="str">
        <f>IFERROR(IF([1]对账明细接口!$K$1124=0,"",[1]对账明细接口!$K$1124),"")</f>
        <v/>
      </c>
      <c r="L1124" s="16" t="str">
        <f>IFERROR(IF([1]对账明细接口!$L$1124=0,"",[1]对账明细接口!$L$1124),"")</f>
        <v/>
      </c>
      <c r="M1124" s="16" t="str">
        <f>IFERROR(IF([1]对账明细接口!$M$1124=0,"",[1]对账明细接口!$M$1124),"")</f>
        <v/>
      </c>
      <c r="N1124" s="19">
        <f t="shared" si="34"/>
        <v>0</v>
      </c>
      <c r="O1124" s="19">
        <f t="shared" si="35"/>
        <v>420</v>
      </c>
      <c r="S1124" s="20" t="str">
        <f>IFERROR(IF([1]对账明细接口!$N1124=0,"",[1]对账明细接口!$N1124),"")</f>
        <v/>
      </c>
      <c r="T1124" s="21" t="str">
        <f>IFERROR(IF([1]对账明细接口!$O1124=0,"",[1]对账明细接口!$O1124),"")</f>
        <v/>
      </c>
      <c r="U1124" s="21" t="str">
        <f>IFERROR(IF([1]对账明细接口!$P1124=0,"",[1]对账明细接口!$P1124),"")</f>
        <v/>
      </c>
      <c r="V1124" s="21" t="str">
        <f>IFERROR(IF([1]对账明细接口!$Q1124=0,"",[1]对账明细接口!$Q1124),"")</f>
        <v/>
      </c>
      <c r="W1124" s="20" t="str">
        <f>IFERROR(IF([1]对账明细接口!$R1124=0,"",[1]对账明细接口!$R1124),"")</f>
        <v/>
      </c>
      <c r="X1124" s="20" t="str">
        <f>IFERROR(IF([1]对账明细接口!$S1124=0,"",[1]对账明细接口!$S1124),"")</f>
        <v/>
      </c>
      <c r="Y1124" s="20" t="str">
        <f>IFERROR(IF([1]对账明细接口!$T1124=0,"",[1]对账明细接口!$T1124),"")</f>
        <v/>
      </c>
      <c r="Z1124" s="24" t="str">
        <f>IFERROR(IF([1]对账明细接口!$U1124=0,"",[1]对账明细接口!$U1124),"")</f>
        <v/>
      </c>
      <c r="AA1124" s="24" t="str">
        <f>IFERROR(IF([1]对账明细接口!$V1124=0,"",[1]对账明细接口!$V1124),"")</f>
        <v/>
      </c>
      <c r="AB1124" s="20" t="str">
        <f>IFERROR(IF([1]对账明细接口!$W1124=0,"",[1]对账明细接口!$W1124),"")</f>
        <v/>
      </c>
      <c r="AC1124" s="7" t="str">
        <f>IFERROR(IF([1]对账明细接口!$X1124=0,"",[1]对账明细接口!$X1124),"")</f>
        <v/>
      </c>
      <c r="AD1124" s="7" t="str">
        <f>IFERROR(IF([1]对账明细接口!$Y1124=0,"",[1]对账明细接口!$Y1124),"")</f>
        <v/>
      </c>
      <c r="AE1124" s="7" t="str">
        <f>IFERROR(IF([1]对账明细接口!$AA1124=0,"",[1]对账明细接口!$AA1124),"")</f>
        <v/>
      </c>
      <c r="AF1124" s="7" t="str">
        <f>IFERROR(IF([1]对账明细接口!$AB1124=0,"",[1]对账明细接口!$AB1124),"")</f>
        <v/>
      </c>
      <c r="AG1124" s="7" t="str">
        <f>IFERROR(IF([1]对账明细接口!$AC1124=0,"",[1]对账明细接口!$AC1124),"")</f>
        <v/>
      </c>
      <c r="AH1124" s="7" t="str">
        <f>IFERROR(IF([1]对账明细接口!$AD1124=0,"",[1]对账明细接口!$AD1124),"")</f>
        <v/>
      </c>
      <c r="AI1124" s="7" t="str">
        <f>IFERROR(IF([1]对账明细接口!$AE1124=0,"",[1]对账明细接口!$AE1124),"")</f>
        <v/>
      </c>
      <c r="AJ1124" s="7" t="str">
        <f>IFERROR(IF([1]对账明细接口!$AF1124=0,"",[1]对账明细接口!$AF1124),"")</f>
        <v/>
      </c>
    </row>
    <row r="1125" ht="14.25" customHeight="1" spans="1:36">
      <c r="A1125" s="14">
        <v>1125</v>
      </c>
      <c r="B1125" s="15" t="str">
        <f>IFERROR(IF([1]对账明细接口!$B$1125=0,"",[1]对账明细接口!$B$1125),"")</f>
        <v/>
      </c>
      <c r="C1125" s="16" t="str">
        <f>IFERROR(IF([1]对账明细接口!$C$1125=0,"",[1]对账明细接口!$C$1125),"")</f>
        <v/>
      </c>
      <c r="D1125" s="16" t="str">
        <f>IFERROR(IF([1]对账明细接口!$D$1125=0,"",[1]对账明细接口!$D$1125),"")</f>
        <v/>
      </c>
      <c r="E1125" s="16" t="str">
        <f>IFERROR(IF([1]对账明细接口!$E$1125=0,"",[1]对账明细接口!$E$1125),"")</f>
        <v/>
      </c>
      <c r="F1125" s="16" t="str">
        <f>IFERROR(IF([1]对账明细接口!$F$1125=0,"",[1]对账明细接口!$F$1125),"")</f>
        <v/>
      </c>
      <c r="G1125" s="16" t="str">
        <f>IFERROR(IF([1]对账明细接口!$G$1125=0,"",[1]对账明细接口!$G$1125),"")</f>
        <v/>
      </c>
      <c r="H1125" s="17" t="str">
        <f>IFERROR(IF([1]对账明细接口!$H$1125=0,"",[1]对账明细接口!$H$1125),"")</f>
        <v/>
      </c>
      <c r="I1125" s="16" t="str">
        <f>IFERROR(IF([1]对账明细接口!$I$1125=0,"",[1]对账明细接口!$I$1125),"")</f>
        <v/>
      </c>
      <c r="J1125" s="18" t="str">
        <f>IFERROR(IF([1]对账明细接口!$J$1125=0,"",[1]对账明细接口!$J$1125),"")</f>
        <v/>
      </c>
      <c r="K1125" s="18" t="str">
        <f>IFERROR(IF([1]对账明细接口!$K$1125=0,"",[1]对账明细接口!$K$1125),"")</f>
        <v/>
      </c>
      <c r="L1125" s="16" t="str">
        <f>IFERROR(IF([1]对账明细接口!$L$1125=0,"",[1]对账明细接口!$L$1125),"")</f>
        <v/>
      </c>
      <c r="M1125" s="16" t="str">
        <f>IFERROR(IF([1]对账明细接口!$M$1125=0,"",[1]对账明细接口!$M$1125),"")</f>
        <v/>
      </c>
      <c r="N1125" s="19">
        <f t="shared" si="34"/>
        <v>0</v>
      </c>
      <c r="O1125" s="19">
        <f t="shared" si="35"/>
        <v>420</v>
      </c>
      <c r="S1125" s="20" t="str">
        <f>IFERROR(IF([1]对账明细接口!$N1125=0,"",[1]对账明细接口!$N1125),"")</f>
        <v/>
      </c>
      <c r="T1125" s="21" t="str">
        <f>IFERROR(IF([1]对账明细接口!$O1125=0,"",[1]对账明细接口!$O1125),"")</f>
        <v/>
      </c>
      <c r="U1125" s="21" t="str">
        <f>IFERROR(IF([1]对账明细接口!$P1125=0,"",[1]对账明细接口!$P1125),"")</f>
        <v/>
      </c>
      <c r="V1125" s="21" t="str">
        <f>IFERROR(IF([1]对账明细接口!$Q1125=0,"",[1]对账明细接口!$Q1125),"")</f>
        <v/>
      </c>
      <c r="W1125" s="20" t="str">
        <f>IFERROR(IF([1]对账明细接口!$R1125=0,"",[1]对账明细接口!$R1125),"")</f>
        <v/>
      </c>
      <c r="X1125" s="20" t="str">
        <f>IFERROR(IF([1]对账明细接口!$S1125=0,"",[1]对账明细接口!$S1125),"")</f>
        <v/>
      </c>
      <c r="Y1125" s="20" t="str">
        <f>IFERROR(IF([1]对账明细接口!$T1125=0,"",[1]对账明细接口!$T1125),"")</f>
        <v/>
      </c>
      <c r="Z1125" s="24" t="str">
        <f>IFERROR(IF([1]对账明细接口!$U1125=0,"",[1]对账明细接口!$U1125),"")</f>
        <v/>
      </c>
      <c r="AA1125" s="24" t="str">
        <f>IFERROR(IF([1]对账明细接口!$V1125=0,"",[1]对账明细接口!$V1125),"")</f>
        <v/>
      </c>
      <c r="AB1125" s="20" t="str">
        <f>IFERROR(IF([1]对账明细接口!$W1125=0,"",[1]对账明细接口!$W1125),"")</f>
        <v/>
      </c>
      <c r="AC1125" s="7" t="str">
        <f>IFERROR(IF([1]对账明细接口!$X1125=0,"",[1]对账明细接口!$X1125),"")</f>
        <v/>
      </c>
      <c r="AD1125" s="7" t="str">
        <f>IFERROR(IF([1]对账明细接口!$Y1125=0,"",[1]对账明细接口!$Y1125),"")</f>
        <v/>
      </c>
      <c r="AE1125" s="7" t="str">
        <f>IFERROR(IF([1]对账明细接口!$AA1125=0,"",[1]对账明细接口!$AA1125),"")</f>
        <v/>
      </c>
      <c r="AF1125" s="7" t="str">
        <f>IFERROR(IF([1]对账明细接口!$AB1125=0,"",[1]对账明细接口!$AB1125),"")</f>
        <v/>
      </c>
      <c r="AG1125" s="7" t="str">
        <f>IFERROR(IF([1]对账明细接口!$AC1125=0,"",[1]对账明细接口!$AC1125),"")</f>
        <v/>
      </c>
      <c r="AH1125" s="7" t="str">
        <f>IFERROR(IF([1]对账明细接口!$AD1125=0,"",[1]对账明细接口!$AD1125),"")</f>
        <v/>
      </c>
      <c r="AI1125" s="7" t="str">
        <f>IFERROR(IF([1]对账明细接口!$AE1125=0,"",[1]对账明细接口!$AE1125),"")</f>
        <v/>
      </c>
      <c r="AJ1125" s="7" t="str">
        <f>IFERROR(IF([1]对账明细接口!$AF1125=0,"",[1]对账明细接口!$AF1125),"")</f>
        <v/>
      </c>
    </row>
    <row r="1126" ht="14.25" customHeight="1" spans="1:36">
      <c r="A1126" s="14">
        <v>1126</v>
      </c>
      <c r="B1126" s="15" t="str">
        <f>IFERROR(IF([1]对账明细接口!$B$1126=0,"",[1]对账明细接口!$B$1126),"")</f>
        <v/>
      </c>
      <c r="C1126" s="16" t="str">
        <f>IFERROR(IF([1]对账明细接口!$C$1126=0,"",[1]对账明细接口!$C$1126),"")</f>
        <v/>
      </c>
      <c r="D1126" s="16" t="str">
        <f>IFERROR(IF([1]对账明细接口!$D$1126=0,"",[1]对账明细接口!$D$1126),"")</f>
        <v/>
      </c>
      <c r="E1126" s="16" t="str">
        <f>IFERROR(IF([1]对账明细接口!$E$1126=0,"",[1]对账明细接口!$E$1126),"")</f>
        <v/>
      </c>
      <c r="F1126" s="16" t="str">
        <f>IFERROR(IF([1]对账明细接口!$F$1126=0,"",[1]对账明细接口!$F$1126),"")</f>
        <v/>
      </c>
      <c r="G1126" s="16" t="str">
        <f>IFERROR(IF([1]对账明细接口!$G$1126=0,"",[1]对账明细接口!$G$1126),"")</f>
        <v/>
      </c>
      <c r="H1126" s="17" t="str">
        <f>IFERROR(IF([1]对账明细接口!$H$1126=0,"",[1]对账明细接口!$H$1126),"")</f>
        <v/>
      </c>
      <c r="I1126" s="16" t="str">
        <f>IFERROR(IF([1]对账明细接口!$I$1126=0,"",[1]对账明细接口!$I$1126),"")</f>
        <v/>
      </c>
      <c r="J1126" s="18" t="str">
        <f>IFERROR(IF([1]对账明细接口!$J$1126=0,"",[1]对账明细接口!$J$1126),"")</f>
        <v/>
      </c>
      <c r="K1126" s="18" t="str">
        <f>IFERROR(IF([1]对账明细接口!$K$1126=0,"",[1]对账明细接口!$K$1126),"")</f>
        <v/>
      </c>
      <c r="L1126" s="16" t="str">
        <f>IFERROR(IF([1]对账明细接口!$L$1126=0,"",[1]对账明细接口!$L$1126),"")</f>
        <v/>
      </c>
      <c r="M1126" s="16" t="str">
        <f>IFERROR(IF([1]对账明细接口!$M$1126=0,"",[1]对账明细接口!$M$1126),"")</f>
        <v/>
      </c>
      <c r="N1126" s="19">
        <f t="shared" si="34"/>
        <v>0</v>
      </c>
      <c r="O1126" s="19">
        <f t="shared" si="35"/>
        <v>420</v>
      </c>
      <c r="S1126" s="20" t="str">
        <f>IFERROR(IF([1]对账明细接口!$N1126=0,"",[1]对账明细接口!$N1126),"")</f>
        <v/>
      </c>
      <c r="T1126" s="21" t="str">
        <f>IFERROR(IF([1]对账明细接口!$O1126=0,"",[1]对账明细接口!$O1126),"")</f>
        <v/>
      </c>
      <c r="U1126" s="21" t="str">
        <f>IFERROR(IF([1]对账明细接口!$P1126=0,"",[1]对账明细接口!$P1126),"")</f>
        <v/>
      </c>
      <c r="V1126" s="21" t="str">
        <f>IFERROR(IF([1]对账明细接口!$Q1126=0,"",[1]对账明细接口!$Q1126),"")</f>
        <v/>
      </c>
      <c r="W1126" s="20" t="str">
        <f>IFERROR(IF([1]对账明细接口!$R1126=0,"",[1]对账明细接口!$R1126),"")</f>
        <v/>
      </c>
      <c r="X1126" s="20" t="str">
        <f>IFERROR(IF([1]对账明细接口!$S1126=0,"",[1]对账明细接口!$S1126),"")</f>
        <v/>
      </c>
      <c r="Y1126" s="20" t="str">
        <f>IFERROR(IF([1]对账明细接口!$T1126=0,"",[1]对账明细接口!$T1126),"")</f>
        <v/>
      </c>
      <c r="Z1126" s="24" t="str">
        <f>IFERROR(IF([1]对账明细接口!$U1126=0,"",[1]对账明细接口!$U1126),"")</f>
        <v/>
      </c>
      <c r="AA1126" s="24" t="str">
        <f>IFERROR(IF([1]对账明细接口!$V1126=0,"",[1]对账明细接口!$V1126),"")</f>
        <v/>
      </c>
      <c r="AB1126" s="20" t="str">
        <f>IFERROR(IF([1]对账明细接口!$W1126=0,"",[1]对账明细接口!$W1126),"")</f>
        <v/>
      </c>
      <c r="AC1126" s="7" t="str">
        <f>IFERROR(IF([1]对账明细接口!$X1126=0,"",[1]对账明细接口!$X1126),"")</f>
        <v/>
      </c>
      <c r="AD1126" s="7" t="str">
        <f>IFERROR(IF([1]对账明细接口!$Y1126=0,"",[1]对账明细接口!$Y1126),"")</f>
        <v/>
      </c>
      <c r="AE1126" s="7" t="str">
        <f>IFERROR(IF([1]对账明细接口!$AA1126=0,"",[1]对账明细接口!$AA1126),"")</f>
        <v/>
      </c>
      <c r="AF1126" s="7" t="str">
        <f>IFERROR(IF([1]对账明细接口!$AB1126=0,"",[1]对账明细接口!$AB1126),"")</f>
        <v/>
      </c>
      <c r="AG1126" s="7" t="str">
        <f>IFERROR(IF([1]对账明细接口!$AC1126=0,"",[1]对账明细接口!$AC1126),"")</f>
        <v/>
      </c>
      <c r="AH1126" s="7" t="str">
        <f>IFERROR(IF([1]对账明细接口!$AD1126=0,"",[1]对账明细接口!$AD1126),"")</f>
        <v/>
      </c>
      <c r="AI1126" s="7" t="str">
        <f>IFERROR(IF([1]对账明细接口!$AE1126=0,"",[1]对账明细接口!$AE1126),"")</f>
        <v/>
      </c>
      <c r="AJ1126" s="7" t="str">
        <f>IFERROR(IF([1]对账明细接口!$AF1126=0,"",[1]对账明细接口!$AF1126),"")</f>
        <v/>
      </c>
    </row>
    <row r="1127" ht="14.25" customHeight="1" spans="1:36">
      <c r="A1127" s="14">
        <v>1127</v>
      </c>
      <c r="B1127" s="15" t="str">
        <f>IFERROR(IF([1]对账明细接口!$B$1127=0,"",[1]对账明细接口!$B$1127),"")</f>
        <v/>
      </c>
      <c r="C1127" s="16" t="str">
        <f>IFERROR(IF([1]对账明细接口!$C$1127=0,"",[1]对账明细接口!$C$1127),"")</f>
        <v/>
      </c>
      <c r="D1127" s="16" t="str">
        <f>IFERROR(IF([1]对账明细接口!$D$1127=0,"",[1]对账明细接口!$D$1127),"")</f>
        <v/>
      </c>
      <c r="E1127" s="16" t="str">
        <f>IFERROR(IF([1]对账明细接口!$E$1127=0,"",[1]对账明细接口!$E$1127),"")</f>
        <v/>
      </c>
      <c r="F1127" s="16" t="str">
        <f>IFERROR(IF([1]对账明细接口!$F$1127=0,"",[1]对账明细接口!$F$1127),"")</f>
        <v/>
      </c>
      <c r="G1127" s="16" t="str">
        <f>IFERROR(IF([1]对账明细接口!$G$1127=0,"",[1]对账明细接口!$G$1127),"")</f>
        <v/>
      </c>
      <c r="H1127" s="17" t="str">
        <f>IFERROR(IF([1]对账明细接口!$H$1127=0,"",[1]对账明细接口!$H$1127),"")</f>
        <v/>
      </c>
      <c r="I1127" s="16" t="str">
        <f>IFERROR(IF([1]对账明细接口!$I$1127=0,"",[1]对账明细接口!$I$1127),"")</f>
        <v/>
      </c>
      <c r="J1127" s="18" t="str">
        <f>IFERROR(IF([1]对账明细接口!$J$1127=0,"",[1]对账明细接口!$J$1127),"")</f>
        <v/>
      </c>
      <c r="K1127" s="18" t="str">
        <f>IFERROR(IF([1]对账明细接口!$K$1127=0,"",[1]对账明细接口!$K$1127),"")</f>
        <v/>
      </c>
      <c r="L1127" s="16" t="str">
        <f>IFERROR(IF([1]对账明细接口!$L$1127=0,"",[1]对账明细接口!$L$1127),"")</f>
        <v/>
      </c>
      <c r="M1127" s="16" t="str">
        <f>IFERROR(IF([1]对账明细接口!$M$1127=0,"",[1]对账明细接口!$M$1127),"")</f>
        <v/>
      </c>
      <c r="N1127" s="19">
        <f t="shared" si="34"/>
        <v>0</v>
      </c>
      <c r="O1127" s="19">
        <f t="shared" si="35"/>
        <v>420</v>
      </c>
      <c r="S1127" s="20" t="str">
        <f>IFERROR(IF([1]对账明细接口!$N1127=0,"",[1]对账明细接口!$N1127),"")</f>
        <v/>
      </c>
      <c r="T1127" s="21" t="str">
        <f>IFERROR(IF([1]对账明细接口!$O1127=0,"",[1]对账明细接口!$O1127),"")</f>
        <v/>
      </c>
      <c r="U1127" s="21" t="str">
        <f>IFERROR(IF([1]对账明细接口!$P1127=0,"",[1]对账明细接口!$P1127),"")</f>
        <v/>
      </c>
      <c r="V1127" s="21" t="str">
        <f>IFERROR(IF([1]对账明细接口!$Q1127=0,"",[1]对账明细接口!$Q1127),"")</f>
        <v/>
      </c>
      <c r="W1127" s="20" t="str">
        <f>IFERROR(IF([1]对账明细接口!$R1127=0,"",[1]对账明细接口!$R1127),"")</f>
        <v/>
      </c>
      <c r="X1127" s="20" t="str">
        <f>IFERROR(IF([1]对账明细接口!$S1127=0,"",[1]对账明细接口!$S1127),"")</f>
        <v/>
      </c>
      <c r="Y1127" s="20" t="str">
        <f>IFERROR(IF([1]对账明细接口!$T1127=0,"",[1]对账明细接口!$T1127),"")</f>
        <v/>
      </c>
      <c r="Z1127" s="24" t="str">
        <f>IFERROR(IF([1]对账明细接口!$U1127=0,"",[1]对账明细接口!$U1127),"")</f>
        <v/>
      </c>
      <c r="AA1127" s="24" t="str">
        <f>IFERROR(IF([1]对账明细接口!$V1127=0,"",[1]对账明细接口!$V1127),"")</f>
        <v/>
      </c>
      <c r="AB1127" s="20" t="str">
        <f>IFERROR(IF([1]对账明细接口!$W1127=0,"",[1]对账明细接口!$W1127),"")</f>
        <v/>
      </c>
      <c r="AC1127" s="7" t="str">
        <f>IFERROR(IF([1]对账明细接口!$X1127=0,"",[1]对账明细接口!$X1127),"")</f>
        <v/>
      </c>
      <c r="AD1127" s="7" t="str">
        <f>IFERROR(IF([1]对账明细接口!$Y1127=0,"",[1]对账明细接口!$Y1127),"")</f>
        <v/>
      </c>
      <c r="AE1127" s="7" t="str">
        <f>IFERROR(IF([1]对账明细接口!$AA1127=0,"",[1]对账明细接口!$AA1127),"")</f>
        <v/>
      </c>
      <c r="AF1127" s="7" t="str">
        <f>IFERROR(IF([1]对账明细接口!$AB1127=0,"",[1]对账明细接口!$AB1127),"")</f>
        <v/>
      </c>
      <c r="AG1127" s="7" t="str">
        <f>IFERROR(IF([1]对账明细接口!$AC1127=0,"",[1]对账明细接口!$AC1127),"")</f>
        <v/>
      </c>
      <c r="AH1127" s="7" t="str">
        <f>IFERROR(IF([1]对账明细接口!$AD1127=0,"",[1]对账明细接口!$AD1127),"")</f>
        <v/>
      </c>
      <c r="AI1127" s="7" t="str">
        <f>IFERROR(IF([1]对账明细接口!$AE1127=0,"",[1]对账明细接口!$AE1127),"")</f>
        <v/>
      </c>
      <c r="AJ1127" s="7" t="str">
        <f>IFERROR(IF([1]对账明细接口!$AF1127=0,"",[1]对账明细接口!$AF1127),"")</f>
        <v/>
      </c>
    </row>
    <row r="1128" ht="14.25" customHeight="1" spans="1:36">
      <c r="A1128" s="14">
        <v>1128</v>
      </c>
      <c r="B1128" s="15" t="str">
        <f>IFERROR(IF([1]对账明细接口!$B$1128=0,"",[1]对账明细接口!$B$1128),"")</f>
        <v/>
      </c>
      <c r="C1128" s="16" t="str">
        <f>IFERROR(IF([1]对账明细接口!$C$1128=0,"",[1]对账明细接口!$C$1128),"")</f>
        <v/>
      </c>
      <c r="D1128" s="16" t="str">
        <f>IFERROR(IF([1]对账明细接口!$D$1128=0,"",[1]对账明细接口!$D$1128),"")</f>
        <v/>
      </c>
      <c r="E1128" s="16" t="str">
        <f>IFERROR(IF([1]对账明细接口!$E$1128=0,"",[1]对账明细接口!$E$1128),"")</f>
        <v/>
      </c>
      <c r="F1128" s="16" t="str">
        <f>IFERROR(IF([1]对账明细接口!$F$1128=0,"",[1]对账明细接口!$F$1128),"")</f>
        <v/>
      </c>
      <c r="G1128" s="16" t="str">
        <f>IFERROR(IF([1]对账明细接口!$G$1128=0,"",[1]对账明细接口!$G$1128),"")</f>
        <v/>
      </c>
      <c r="H1128" s="17" t="str">
        <f>IFERROR(IF([1]对账明细接口!$H$1128=0,"",[1]对账明细接口!$H$1128),"")</f>
        <v/>
      </c>
      <c r="I1128" s="16" t="str">
        <f>IFERROR(IF([1]对账明细接口!$I$1128=0,"",[1]对账明细接口!$I$1128),"")</f>
        <v/>
      </c>
      <c r="J1128" s="18" t="str">
        <f>IFERROR(IF([1]对账明细接口!$J$1128=0,"",[1]对账明细接口!$J$1128),"")</f>
        <v/>
      </c>
      <c r="K1128" s="18" t="str">
        <f>IFERROR(IF([1]对账明细接口!$K$1128=0,"",[1]对账明细接口!$K$1128),"")</f>
        <v/>
      </c>
      <c r="L1128" s="16" t="str">
        <f>IFERROR(IF([1]对账明细接口!$L$1128=0,"",[1]对账明细接口!$L$1128),"")</f>
        <v/>
      </c>
      <c r="M1128" s="16" t="str">
        <f>IFERROR(IF([1]对账明细接口!$M$1128=0,"",[1]对账明细接口!$M$1128),"")</f>
        <v/>
      </c>
      <c r="N1128" s="19">
        <f t="shared" si="34"/>
        <v>0</v>
      </c>
      <c r="O1128" s="19">
        <f t="shared" si="35"/>
        <v>420</v>
      </c>
      <c r="S1128" s="20" t="str">
        <f>IFERROR(IF([1]对账明细接口!$N1128=0,"",[1]对账明细接口!$N1128),"")</f>
        <v/>
      </c>
      <c r="T1128" s="21" t="str">
        <f>IFERROR(IF([1]对账明细接口!$O1128=0,"",[1]对账明细接口!$O1128),"")</f>
        <v/>
      </c>
      <c r="U1128" s="21" t="str">
        <f>IFERROR(IF([1]对账明细接口!$P1128=0,"",[1]对账明细接口!$P1128),"")</f>
        <v/>
      </c>
      <c r="V1128" s="21" t="str">
        <f>IFERROR(IF([1]对账明细接口!$Q1128=0,"",[1]对账明细接口!$Q1128),"")</f>
        <v/>
      </c>
      <c r="W1128" s="20" t="str">
        <f>IFERROR(IF([1]对账明细接口!$R1128=0,"",[1]对账明细接口!$R1128),"")</f>
        <v/>
      </c>
      <c r="X1128" s="20" t="str">
        <f>IFERROR(IF([1]对账明细接口!$S1128=0,"",[1]对账明细接口!$S1128),"")</f>
        <v/>
      </c>
      <c r="Y1128" s="20" t="str">
        <f>IFERROR(IF([1]对账明细接口!$T1128=0,"",[1]对账明细接口!$T1128),"")</f>
        <v/>
      </c>
      <c r="Z1128" s="24" t="str">
        <f>IFERROR(IF([1]对账明细接口!$U1128=0,"",[1]对账明细接口!$U1128),"")</f>
        <v/>
      </c>
      <c r="AA1128" s="24" t="str">
        <f>IFERROR(IF([1]对账明细接口!$V1128=0,"",[1]对账明细接口!$V1128),"")</f>
        <v/>
      </c>
      <c r="AB1128" s="20" t="str">
        <f>IFERROR(IF([1]对账明细接口!$W1128=0,"",[1]对账明细接口!$W1128),"")</f>
        <v/>
      </c>
      <c r="AC1128" s="7" t="str">
        <f>IFERROR(IF([1]对账明细接口!$X1128=0,"",[1]对账明细接口!$X1128),"")</f>
        <v/>
      </c>
      <c r="AD1128" s="7" t="str">
        <f>IFERROR(IF([1]对账明细接口!$Y1128=0,"",[1]对账明细接口!$Y1128),"")</f>
        <v/>
      </c>
      <c r="AE1128" s="7" t="str">
        <f>IFERROR(IF([1]对账明细接口!$AA1128=0,"",[1]对账明细接口!$AA1128),"")</f>
        <v/>
      </c>
      <c r="AF1128" s="7" t="str">
        <f>IFERROR(IF([1]对账明细接口!$AB1128=0,"",[1]对账明细接口!$AB1128),"")</f>
        <v/>
      </c>
      <c r="AG1128" s="7" t="str">
        <f>IFERROR(IF([1]对账明细接口!$AC1128=0,"",[1]对账明细接口!$AC1128),"")</f>
        <v/>
      </c>
      <c r="AH1128" s="7" t="str">
        <f>IFERROR(IF([1]对账明细接口!$AD1128=0,"",[1]对账明细接口!$AD1128),"")</f>
        <v/>
      </c>
      <c r="AI1128" s="7" t="str">
        <f>IFERROR(IF([1]对账明细接口!$AE1128=0,"",[1]对账明细接口!$AE1128),"")</f>
        <v/>
      </c>
      <c r="AJ1128" s="7" t="str">
        <f>IFERROR(IF([1]对账明细接口!$AF1128=0,"",[1]对账明细接口!$AF1128),"")</f>
        <v/>
      </c>
    </row>
    <row r="1129" ht="14.25" customHeight="1" spans="1:36">
      <c r="A1129" s="14">
        <v>1129</v>
      </c>
      <c r="B1129" s="15" t="str">
        <f>IFERROR(IF([1]对账明细接口!$B$1129=0,"",[1]对账明细接口!$B$1129),"")</f>
        <v/>
      </c>
      <c r="C1129" s="16" t="str">
        <f>IFERROR(IF([1]对账明细接口!$C$1129=0,"",[1]对账明细接口!$C$1129),"")</f>
        <v/>
      </c>
      <c r="D1129" s="16" t="str">
        <f>IFERROR(IF([1]对账明细接口!$D$1129=0,"",[1]对账明细接口!$D$1129),"")</f>
        <v/>
      </c>
      <c r="E1129" s="16" t="str">
        <f>IFERROR(IF([1]对账明细接口!$E$1129=0,"",[1]对账明细接口!$E$1129),"")</f>
        <v/>
      </c>
      <c r="F1129" s="16" t="str">
        <f>IFERROR(IF([1]对账明细接口!$F$1129=0,"",[1]对账明细接口!$F$1129),"")</f>
        <v/>
      </c>
      <c r="G1129" s="16" t="str">
        <f>IFERROR(IF([1]对账明细接口!$G$1129=0,"",[1]对账明细接口!$G$1129),"")</f>
        <v/>
      </c>
      <c r="H1129" s="17" t="str">
        <f>IFERROR(IF([1]对账明细接口!$H$1129=0,"",[1]对账明细接口!$H$1129),"")</f>
        <v/>
      </c>
      <c r="I1129" s="16" t="str">
        <f>IFERROR(IF([1]对账明细接口!$I$1129=0,"",[1]对账明细接口!$I$1129),"")</f>
        <v/>
      </c>
      <c r="J1129" s="18" t="str">
        <f>IFERROR(IF([1]对账明细接口!$J$1129=0,"",[1]对账明细接口!$J$1129),"")</f>
        <v/>
      </c>
      <c r="K1129" s="18" t="str">
        <f>IFERROR(IF([1]对账明细接口!$K$1129=0,"",[1]对账明细接口!$K$1129),"")</f>
        <v/>
      </c>
      <c r="L1129" s="16" t="str">
        <f>IFERROR(IF([1]对账明细接口!$L$1129=0,"",[1]对账明细接口!$L$1129),"")</f>
        <v/>
      </c>
      <c r="M1129" s="16" t="str">
        <f>IFERROR(IF([1]对账明细接口!$M$1129=0,"",[1]对账明细接口!$M$1129),"")</f>
        <v/>
      </c>
      <c r="N1129" s="19">
        <f t="shared" si="34"/>
        <v>0</v>
      </c>
      <c r="O1129" s="19">
        <f t="shared" si="35"/>
        <v>420</v>
      </c>
      <c r="S1129" s="20" t="str">
        <f>IFERROR(IF([1]对账明细接口!$N1129=0,"",[1]对账明细接口!$N1129),"")</f>
        <v/>
      </c>
      <c r="T1129" s="21" t="str">
        <f>IFERROR(IF([1]对账明细接口!$O1129=0,"",[1]对账明细接口!$O1129),"")</f>
        <v/>
      </c>
      <c r="U1129" s="21" t="str">
        <f>IFERROR(IF([1]对账明细接口!$P1129=0,"",[1]对账明细接口!$P1129),"")</f>
        <v/>
      </c>
      <c r="V1129" s="21" t="str">
        <f>IFERROR(IF([1]对账明细接口!$Q1129=0,"",[1]对账明细接口!$Q1129),"")</f>
        <v/>
      </c>
      <c r="W1129" s="20" t="str">
        <f>IFERROR(IF([1]对账明细接口!$R1129=0,"",[1]对账明细接口!$R1129),"")</f>
        <v/>
      </c>
      <c r="X1129" s="20" t="str">
        <f>IFERROR(IF([1]对账明细接口!$S1129=0,"",[1]对账明细接口!$S1129),"")</f>
        <v/>
      </c>
      <c r="Y1129" s="20" t="str">
        <f>IFERROR(IF([1]对账明细接口!$T1129=0,"",[1]对账明细接口!$T1129),"")</f>
        <v/>
      </c>
      <c r="Z1129" s="24" t="str">
        <f>IFERROR(IF([1]对账明细接口!$U1129=0,"",[1]对账明细接口!$U1129),"")</f>
        <v/>
      </c>
      <c r="AA1129" s="24" t="str">
        <f>IFERROR(IF([1]对账明细接口!$V1129=0,"",[1]对账明细接口!$V1129),"")</f>
        <v/>
      </c>
      <c r="AB1129" s="20" t="str">
        <f>IFERROR(IF([1]对账明细接口!$W1129=0,"",[1]对账明细接口!$W1129),"")</f>
        <v/>
      </c>
      <c r="AC1129" s="7" t="str">
        <f>IFERROR(IF([1]对账明细接口!$X1129=0,"",[1]对账明细接口!$X1129),"")</f>
        <v/>
      </c>
      <c r="AD1129" s="7" t="str">
        <f>IFERROR(IF([1]对账明细接口!$Y1129=0,"",[1]对账明细接口!$Y1129),"")</f>
        <v/>
      </c>
      <c r="AE1129" s="7" t="str">
        <f>IFERROR(IF([1]对账明细接口!$AA1129=0,"",[1]对账明细接口!$AA1129),"")</f>
        <v/>
      </c>
      <c r="AF1129" s="7" t="str">
        <f>IFERROR(IF([1]对账明细接口!$AB1129=0,"",[1]对账明细接口!$AB1129),"")</f>
        <v/>
      </c>
      <c r="AG1129" s="7" t="str">
        <f>IFERROR(IF([1]对账明细接口!$AC1129=0,"",[1]对账明细接口!$AC1129),"")</f>
        <v/>
      </c>
      <c r="AH1129" s="7" t="str">
        <f>IFERROR(IF([1]对账明细接口!$AD1129=0,"",[1]对账明细接口!$AD1129),"")</f>
        <v/>
      </c>
      <c r="AI1129" s="7" t="str">
        <f>IFERROR(IF([1]对账明细接口!$AE1129=0,"",[1]对账明细接口!$AE1129),"")</f>
        <v/>
      </c>
      <c r="AJ1129" s="7" t="str">
        <f>IFERROR(IF([1]对账明细接口!$AF1129=0,"",[1]对账明细接口!$AF1129),"")</f>
        <v/>
      </c>
    </row>
    <row r="1130" ht="14.25" customHeight="1" spans="1:36">
      <c r="A1130" s="14">
        <v>1130</v>
      </c>
      <c r="B1130" s="15" t="str">
        <f>IFERROR(IF([1]对账明细接口!$B$1130=0,"",[1]对账明细接口!$B$1130),"")</f>
        <v/>
      </c>
      <c r="C1130" s="16" t="str">
        <f>IFERROR(IF([1]对账明细接口!$C$1130=0,"",[1]对账明细接口!$C$1130),"")</f>
        <v/>
      </c>
      <c r="D1130" s="16" t="str">
        <f>IFERROR(IF([1]对账明细接口!$D$1130=0,"",[1]对账明细接口!$D$1130),"")</f>
        <v/>
      </c>
      <c r="E1130" s="16" t="str">
        <f>IFERROR(IF([1]对账明细接口!$E$1130=0,"",[1]对账明细接口!$E$1130),"")</f>
        <v/>
      </c>
      <c r="F1130" s="16" t="str">
        <f>IFERROR(IF([1]对账明细接口!$F$1130=0,"",[1]对账明细接口!$F$1130),"")</f>
        <v/>
      </c>
      <c r="G1130" s="16" t="str">
        <f>IFERROR(IF([1]对账明细接口!$G$1130=0,"",[1]对账明细接口!$G$1130),"")</f>
        <v/>
      </c>
      <c r="H1130" s="17" t="str">
        <f>IFERROR(IF([1]对账明细接口!$H$1130=0,"",[1]对账明细接口!$H$1130),"")</f>
        <v/>
      </c>
      <c r="I1130" s="16" t="str">
        <f>IFERROR(IF([1]对账明细接口!$I$1130=0,"",[1]对账明细接口!$I$1130),"")</f>
        <v/>
      </c>
      <c r="J1130" s="18" t="str">
        <f>IFERROR(IF([1]对账明细接口!$J$1130=0,"",[1]对账明细接口!$J$1130),"")</f>
        <v/>
      </c>
      <c r="K1130" s="18" t="str">
        <f>IFERROR(IF([1]对账明细接口!$K$1130=0,"",[1]对账明细接口!$K$1130),"")</f>
        <v/>
      </c>
      <c r="L1130" s="16" t="str">
        <f>IFERROR(IF([1]对账明细接口!$L$1130=0,"",[1]对账明细接口!$L$1130),"")</f>
        <v/>
      </c>
      <c r="M1130" s="16" t="str">
        <f>IFERROR(IF([1]对账明细接口!$M$1130=0,"",[1]对账明细接口!$M$1130),"")</f>
        <v/>
      </c>
      <c r="N1130" s="19">
        <f t="shared" si="34"/>
        <v>0</v>
      </c>
      <c r="O1130" s="19">
        <f t="shared" si="35"/>
        <v>420</v>
      </c>
      <c r="S1130" s="20" t="str">
        <f>IFERROR(IF([1]对账明细接口!$N1130=0,"",[1]对账明细接口!$N1130),"")</f>
        <v/>
      </c>
      <c r="T1130" s="21" t="str">
        <f>IFERROR(IF([1]对账明细接口!$O1130=0,"",[1]对账明细接口!$O1130),"")</f>
        <v/>
      </c>
      <c r="U1130" s="21" t="str">
        <f>IFERROR(IF([1]对账明细接口!$P1130=0,"",[1]对账明细接口!$P1130),"")</f>
        <v/>
      </c>
      <c r="V1130" s="21" t="str">
        <f>IFERROR(IF([1]对账明细接口!$Q1130=0,"",[1]对账明细接口!$Q1130),"")</f>
        <v/>
      </c>
      <c r="W1130" s="20" t="str">
        <f>IFERROR(IF([1]对账明细接口!$R1130=0,"",[1]对账明细接口!$R1130),"")</f>
        <v/>
      </c>
      <c r="X1130" s="20" t="str">
        <f>IFERROR(IF([1]对账明细接口!$S1130=0,"",[1]对账明细接口!$S1130),"")</f>
        <v/>
      </c>
      <c r="Y1130" s="20" t="str">
        <f>IFERROR(IF([1]对账明细接口!$T1130=0,"",[1]对账明细接口!$T1130),"")</f>
        <v/>
      </c>
      <c r="Z1130" s="24" t="str">
        <f>IFERROR(IF([1]对账明细接口!$U1130=0,"",[1]对账明细接口!$U1130),"")</f>
        <v/>
      </c>
      <c r="AA1130" s="24" t="str">
        <f>IFERROR(IF([1]对账明细接口!$V1130=0,"",[1]对账明细接口!$V1130),"")</f>
        <v/>
      </c>
      <c r="AB1130" s="20" t="str">
        <f>IFERROR(IF([1]对账明细接口!$W1130=0,"",[1]对账明细接口!$W1130),"")</f>
        <v/>
      </c>
      <c r="AC1130" s="7" t="str">
        <f>IFERROR(IF([1]对账明细接口!$X1130=0,"",[1]对账明细接口!$X1130),"")</f>
        <v/>
      </c>
      <c r="AD1130" s="7" t="str">
        <f>IFERROR(IF([1]对账明细接口!$Y1130=0,"",[1]对账明细接口!$Y1130),"")</f>
        <v/>
      </c>
      <c r="AE1130" s="7" t="str">
        <f>IFERROR(IF([1]对账明细接口!$AA1130=0,"",[1]对账明细接口!$AA1130),"")</f>
        <v/>
      </c>
      <c r="AF1130" s="7" t="str">
        <f>IFERROR(IF([1]对账明细接口!$AB1130=0,"",[1]对账明细接口!$AB1130),"")</f>
        <v/>
      </c>
      <c r="AG1130" s="7" t="str">
        <f>IFERROR(IF([1]对账明细接口!$AC1130=0,"",[1]对账明细接口!$AC1130),"")</f>
        <v/>
      </c>
      <c r="AH1130" s="7" t="str">
        <f>IFERROR(IF([1]对账明细接口!$AD1130=0,"",[1]对账明细接口!$AD1130),"")</f>
        <v/>
      </c>
      <c r="AI1130" s="7" t="str">
        <f>IFERROR(IF([1]对账明细接口!$AE1130=0,"",[1]对账明细接口!$AE1130),"")</f>
        <v/>
      </c>
      <c r="AJ1130" s="7" t="str">
        <f>IFERROR(IF([1]对账明细接口!$AF1130=0,"",[1]对账明细接口!$AF1130),"")</f>
        <v/>
      </c>
    </row>
    <row r="1131" ht="14.25" customHeight="1" spans="1:36">
      <c r="A1131" s="14">
        <v>1131</v>
      </c>
      <c r="B1131" s="15" t="str">
        <f>IFERROR(IF([1]对账明细接口!$B$1131=0,"",[1]对账明细接口!$B$1131),"")</f>
        <v/>
      </c>
      <c r="C1131" s="16" t="str">
        <f>IFERROR(IF([1]对账明细接口!$C$1131=0,"",[1]对账明细接口!$C$1131),"")</f>
        <v/>
      </c>
      <c r="D1131" s="16" t="str">
        <f>IFERROR(IF([1]对账明细接口!$D$1131=0,"",[1]对账明细接口!$D$1131),"")</f>
        <v/>
      </c>
      <c r="E1131" s="16" t="str">
        <f>IFERROR(IF([1]对账明细接口!$E$1131=0,"",[1]对账明细接口!$E$1131),"")</f>
        <v/>
      </c>
      <c r="F1131" s="16" t="str">
        <f>IFERROR(IF([1]对账明细接口!$F$1131=0,"",[1]对账明细接口!$F$1131),"")</f>
        <v/>
      </c>
      <c r="G1131" s="16" t="str">
        <f>IFERROR(IF([1]对账明细接口!$G$1131=0,"",[1]对账明细接口!$G$1131),"")</f>
        <v/>
      </c>
      <c r="H1131" s="17" t="str">
        <f>IFERROR(IF([1]对账明细接口!$H$1131=0,"",[1]对账明细接口!$H$1131),"")</f>
        <v/>
      </c>
      <c r="I1131" s="16" t="str">
        <f>IFERROR(IF([1]对账明细接口!$I$1131=0,"",[1]对账明细接口!$I$1131),"")</f>
        <v/>
      </c>
      <c r="J1131" s="18" t="str">
        <f>IFERROR(IF([1]对账明细接口!$J$1131=0,"",[1]对账明细接口!$J$1131),"")</f>
        <v/>
      </c>
      <c r="K1131" s="18" t="str">
        <f>IFERROR(IF([1]对账明细接口!$K$1131=0,"",[1]对账明细接口!$K$1131),"")</f>
        <v/>
      </c>
      <c r="L1131" s="16" t="str">
        <f>IFERROR(IF([1]对账明细接口!$L$1131=0,"",[1]对账明细接口!$L$1131),"")</f>
        <v/>
      </c>
      <c r="M1131" s="16" t="str">
        <f>IFERROR(IF([1]对账明细接口!$M$1131=0,"",[1]对账明细接口!$M$1131),"")</f>
        <v/>
      </c>
      <c r="N1131" s="19">
        <f t="shared" si="34"/>
        <v>0</v>
      </c>
      <c r="O1131" s="19">
        <f t="shared" si="35"/>
        <v>420</v>
      </c>
      <c r="S1131" s="20" t="str">
        <f>IFERROR(IF([1]对账明细接口!$N1131=0,"",[1]对账明细接口!$N1131),"")</f>
        <v/>
      </c>
      <c r="T1131" s="21" t="str">
        <f>IFERROR(IF([1]对账明细接口!$O1131=0,"",[1]对账明细接口!$O1131),"")</f>
        <v/>
      </c>
      <c r="U1131" s="21" t="str">
        <f>IFERROR(IF([1]对账明细接口!$P1131=0,"",[1]对账明细接口!$P1131),"")</f>
        <v/>
      </c>
      <c r="V1131" s="21" t="str">
        <f>IFERROR(IF([1]对账明细接口!$Q1131=0,"",[1]对账明细接口!$Q1131),"")</f>
        <v/>
      </c>
      <c r="W1131" s="20" t="str">
        <f>IFERROR(IF([1]对账明细接口!$R1131=0,"",[1]对账明细接口!$R1131),"")</f>
        <v/>
      </c>
      <c r="X1131" s="20" t="str">
        <f>IFERROR(IF([1]对账明细接口!$S1131=0,"",[1]对账明细接口!$S1131),"")</f>
        <v/>
      </c>
      <c r="Y1131" s="20" t="str">
        <f>IFERROR(IF([1]对账明细接口!$T1131=0,"",[1]对账明细接口!$T1131),"")</f>
        <v/>
      </c>
      <c r="Z1131" s="24" t="str">
        <f>IFERROR(IF([1]对账明细接口!$U1131=0,"",[1]对账明细接口!$U1131),"")</f>
        <v/>
      </c>
      <c r="AA1131" s="24" t="str">
        <f>IFERROR(IF([1]对账明细接口!$V1131=0,"",[1]对账明细接口!$V1131),"")</f>
        <v/>
      </c>
      <c r="AB1131" s="20" t="str">
        <f>IFERROR(IF([1]对账明细接口!$W1131=0,"",[1]对账明细接口!$W1131),"")</f>
        <v/>
      </c>
      <c r="AC1131" s="7" t="str">
        <f>IFERROR(IF([1]对账明细接口!$X1131=0,"",[1]对账明细接口!$X1131),"")</f>
        <v/>
      </c>
      <c r="AD1131" s="7" t="str">
        <f>IFERROR(IF([1]对账明细接口!$Y1131=0,"",[1]对账明细接口!$Y1131),"")</f>
        <v/>
      </c>
      <c r="AE1131" s="7" t="str">
        <f>IFERROR(IF([1]对账明细接口!$AA1131=0,"",[1]对账明细接口!$AA1131),"")</f>
        <v/>
      </c>
      <c r="AF1131" s="7" t="str">
        <f>IFERROR(IF([1]对账明细接口!$AB1131=0,"",[1]对账明细接口!$AB1131),"")</f>
        <v/>
      </c>
      <c r="AG1131" s="7" t="str">
        <f>IFERROR(IF([1]对账明细接口!$AC1131=0,"",[1]对账明细接口!$AC1131),"")</f>
        <v/>
      </c>
      <c r="AH1131" s="7" t="str">
        <f>IFERROR(IF([1]对账明细接口!$AD1131=0,"",[1]对账明细接口!$AD1131),"")</f>
        <v/>
      </c>
      <c r="AI1131" s="7" t="str">
        <f>IFERROR(IF([1]对账明细接口!$AE1131=0,"",[1]对账明细接口!$AE1131),"")</f>
        <v/>
      </c>
      <c r="AJ1131" s="7" t="str">
        <f>IFERROR(IF([1]对账明细接口!$AF1131=0,"",[1]对账明细接口!$AF1131),"")</f>
        <v/>
      </c>
    </row>
    <row r="1132" ht="14.25" customHeight="1" spans="1:36">
      <c r="A1132" s="14">
        <v>1132</v>
      </c>
      <c r="B1132" s="15" t="str">
        <f>IFERROR(IF([1]对账明细接口!$B$1132=0,"",[1]对账明细接口!$B$1132),"")</f>
        <v/>
      </c>
      <c r="C1132" s="16" t="str">
        <f>IFERROR(IF([1]对账明细接口!$C$1132=0,"",[1]对账明细接口!$C$1132),"")</f>
        <v/>
      </c>
      <c r="D1132" s="16" t="str">
        <f>IFERROR(IF([1]对账明细接口!$D$1132=0,"",[1]对账明细接口!$D$1132),"")</f>
        <v/>
      </c>
      <c r="E1132" s="16" t="str">
        <f>IFERROR(IF([1]对账明细接口!$E$1132=0,"",[1]对账明细接口!$E$1132),"")</f>
        <v/>
      </c>
      <c r="F1132" s="16" t="str">
        <f>IFERROR(IF([1]对账明细接口!$F$1132=0,"",[1]对账明细接口!$F$1132),"")</f>
        <v/>
      </c>
      <c r="G1132" s="16" t="str">
        <f>IFERROR(IF([1]对账明细接口!$G$1132=0,"",[1]对账明细接口!$G$1132),"")</f>
        <v/>
      </c>
      <c r="H1132" s="17" t="str">
        <f>IFERROR(IF([1]对账明细接口!$H$1132=0,"",[1]对账明细接口!$H$1132),"")</f>
        <v/>
      </c>
      <c r="I1132" s="16" t="str">
        <f>IFERROR(IF([1]对账明细接口!$I$1132=0,"",[1]对账明细接口!$I$1132),"")</f>
        <v/>
      </c>
      <c r="J1132" s="18" t="str">
        <f>IFERROR(IF([1]对账明细接口!$J$1132=0,"",[1]对账明细接口!$J$1132),"")</f>
        <v/>
      </c>
      <c r="K1132" s="18" t="str">
        <f>IFERROR(IF([1]对账明细接口!$K$1132=0,"",[1]对账明细接口!$K$1132),"")</f>
        <v/>
      </c>
      <c r="L1132" s="16" t="str">
        <f>IFERROR(IF([1]对账明细接口!$L$1132=0,"",[1]对账明细接口!$L$1132),"")</f>
        <v/>
      </c>
      <c r="M1132" s="16" t="str">
        <f>IFERROR(IF([1]对账明细接口!$M$1132=0,"",[1]对账明细接口!$M$1132),"")</f>
        <v/>
      </c>
      <c r="N1132" s="19">
        <f t="shared" si="34"/>
        <v>0</v>
      </c>
      <c r="O1132" s="19">
        <f t="shared" si="35"/>
        <v>420</v>
      </c>
      <c r="S1132" s="20" t="str">
        <f>IFERROR(IF([1]对账明细接口!$N1132=0,"",[1]对账明细接口!$N1132),"")</f>
        <v/>
      </c>
      <c r="T1132" s="21" t="str">
        <f>IFERROR(IF([1]对账明细接口!$O1132=0,"",[1]对账明细接口!$O1132),"")</f>
        <v/>
      </c>
      <c r="U1132" s="21" t="str">
        <f>IFERROR(IF([1]对账明细接口!$P1132=0,"",[1]对账明细接口!$P1132),"")</f>
        <v/>
      </c>
      <c r="V1132" s="21" t="str">
        <f>IFERROR(IF([1]对账明细接口!$Q1132=0,"",[1]对账明细接口!$Q1132),"")</f>
        <v/>
      </c>
      <c r="W1132" s="20" t="str">
        <f>IFERROR(IF([1]对账明细接口!$R1132=0,"",[1]对账明细接口!$R1132),"")</f>
        <v/>
      </c>
      <c r="X1132" s="20" t="str">
        <f>IFERROR(IF([1]对账明细接口!$S1132=0,"",[1]对账明细接口!$S1132),"")</f>
        <v/>
      </c>
      <c r="Y1132" s="20" t="str">
        <f>IFERROR(IF([1]对账明细接口!$T1132=0,"",[1]对账明细接口!$T1132),"")</f>
        <v/>
      </c>
      <c r="Z1132" s="24" t="str">
        <f>IFERROR(IF([1]对账明细接口!$U1132=0,"",[1]对账明细接口!$U1132),"")</f>
        <v/>
      </c>
      <c r="AA1132" s="24" t="str">
        <f>IFERROR(IF([1]对账明细接口!$V1132=0,"",[1]对账明细接口!$V1132),"")</f>
        <v/>
      </c>
      <c r="AB1132" s="20" t="str">
        <f>IFERROR(IF([1]对账明细接口!$W1132=0,"",[1]对账明细接口!$W1132),"")</f>
        <v/>
      </c>
      <c r="AC1132" s="7" t="str">
        <f>IFERROR(IF([1]对账明细接口!$X1132=0,"",[1]对账明细接口!$X1132),"")</f>
        <v/>
      </c>
      <c r="AD1132" s="7" t="str">
        <f>IFERROR(IF([1]对账明细接口!$Y1132=0,"",[1]对账明细接口!$Y1132),"")</f>
        <v/>
      </c>
      <c r="AE1132" s="7" t="str">
        <f>IFERROR(IF([1]对账明细接口!$AA1132=0,"",[1]对账明细接口!$AA1132),"")</f>
        <v/>
      </c>
      <c r="AF1132" s="7" t="str">
        <f>IFERROR(IF([1]对账明细接口!$AB1132=0,"",[1]对账明细接口!$AB1132),"")</f>
        <v/>
      </c>
      <c r="AG1132" s="7" t="str">
        <f>IFERROR(IF([1]对账明细接口!$AC1132=0,"",[1]对账明细接口!$AC1132),"")</f>
        <v/>
      </c>
      <c r="AH1132" s="7" t="str">
        <f>IFERROR(IF([1]对账明细接口!$AD1132=0,"",[1]对账明细接口!$AD1132),"")</f>
        <v/>
      </c>
      <c r="AI1132" s="7" t="str">
        <f>IFERROR(IF([1]对账明细接口!$AE1132=0,"",[1]对账明细接口!$AE1132),"")</f>
        <v/>
      </c>
      <c r="AJ1132" s="7" t="str">
        <f>IFERROR(IF([1]对账明细接口!$AF1132=0,"",[1]对账明细接口!$AF1132),"")</f>
        <v/>
      </c>
    </row>
    <row r="1133" ht="14.25" customHeight="1" spans="1:36">
      <c r="A1133" s="14">
        <v>1133</v>
      </c>
      <c r="B1133" s="15" t="str">
        <f>IFERROR(IF([1]对账明细接口!$B$1133=0,"",[1]对账明细接口!$B$1133),"")</f>
        <v/>
      </c>
      <c r="C1133" s="16" t="str">
        <f>IFERROR(IF([1]对账明细接口!$C$1133=0,"",[1]对账明细接口!$C$1133),"")</f>
        <v/>
      </c>
      <c r="D1133" s="16" t="str">
        <f>IFERROR(IF([1]对账明细接口!$D$1133=0,"",[1]对账明细接口!$D$1133),"")</f>
        <v/>
      </c>
      <c r="E1133" s="16" t="str">
        <f>IFERROR(IF([1]对账明细接口!$E$1133=0,"",[1]对账明细接口!$E$1133),"")</f>
        <v/>
      </c>
      <c r="F1133" s="16" t="str">
        <f>IFERROR(IF([1]对账明细接口!$F$1133=0,"",[1]对账明细接口!$F$1133),"")</f>
        <v/>
      </c>
      <c r="G1133" s="16" t="str">
        <f>IFERROR(IF([1]对账明细接口!$G$1133=0,"",[1]对账明细接口!$G$1133),"")</f>
        <v/>
      </c>
      <c r="H1133" s="17" t="str">
        <f>IFERROR(IF([1]对账明细接口!$H$1133=0,"",[1]对账明细接口!$H$1133),"")</f>
        <v/>
      </c>
      <c r="I1133" s="16" t="str">
        <f>IFERROR(IF([1]对账明细接口!$I$1133=0,"",[1]对账明细接口!$I$1133),"")</f>
        <v/>
      </c>
      <c r="J1133" s="18" t="str">
        <f>IFERROR(IF([1]对账明细接口!$J$1133=0,"",[1]对账明细接口!$J$1133),"")</f>
        <v/>
      </c>
      <c r="K1133" s="18" t="str">
        <f>IFERROR(IF([1]对账明细接口!$K$1133=0,"",[1]对账明细接口!$K$1133),"")</f>
        <v/>
      </c>
      <c r="L1133" s="16" t="str">
        <f>IFERROR(IF([1]对账明细接口!$L$1133=0,"",[1]对账明细接口!$L$1133),"")</f>
        <v/>
      </c>
      <c r="M1133" s="16" t="str">
        <f>IFERROR(IF([1]对账明细接口!$M$1133=0,"",[1]对账明细接口!$M$1133),"")</f>
        <v/>
      </c>
      <c r="N1133" s="19">
        <f t="shared" si="34"/>
        <v>0</v>
      </c>
      <c r="O1133" s="19">
        <f t="shared" si="35"/>
        <v>420</v>
      </c>
      <c r="S1133" s="20" t="str">
        <f>IFERROR(IF([1]对账明细接口!$N1133=0,"",[1]对账明细接口!$N1133),"")</f>
        <v/>
      </c>
      <c r="T1133" s="21" t="str">
        <f>IFERROR(IF([1]对账明细接口!$O1133=0,"",[1]对账明细接口!$O1133),"")</f>
        <v/>
      </c>
      <c r="U1133" s="21" t="str">
        <f>IFERROR(IF([1]对账明细接口!$P1133=0,"",[1]对账明细接口!$P1133),"")</f>
        <v/>
      </c>
      <c r="V1133" s="21" t="str">
        <f>IFERROR(IF([1]对账明细接口!$Q1133=0,"",[1]对账明细接口!$Q1133),"")</f>
        <v/>
      </c>
      <c r="W1133" s="20" t="str">
        <f>IFERROR(IF([1]对账明细接口!$R1133=0,"",[1]对账明细接口!$R1133),"")</f>
        <v/>
      </c>
      <c r="X1133" s="20" t="str">
        <f>IFERROR(IF([1]对账明细接口!$S1133=0,"",[1]对账明细接口!$S1133),"")</f>
        <v/>
      </c>
      <c r="Y1133" s="20" t="str">
        <f>IFERROR(IF([1]对账明细接口!$T1133=0,"",[1]对账明细接口!$T1133),"")</f>
        <v/>
      </c>
      <c r="Z1133" s="24" t="str">
        <f>IFERROR(IF([1]对账明细接口!$U1133=0,"",[1]对账明细接口!$U1133),"")</f>
        <v/>
      </c>
      <c r="AA1133" s="24" t="str">
        <f>IFERROR(IF([1]对账明细接口!$V1133=0,"",[1]对账明细接口!$V1133),"")</f>
        <v/>
      </c>
      <c r="AB1133" s="20" t="str">
        <f>IFERROR(IF([1]对账明细接口!$W1133=0,"",[1]对账明细接口!$W1133),"")</f>
        <v/>
      </c>
      <c r="AC1133" s="7" t="str">
        <f>IFERROR(IF([1]对账明细接口!$X1133=0,"",[1]对账明细接口!$X1133),"")</f>
        <v/>
      </c>
      <c r="AD1133" s="7" t="str">
        <f>IFERROR(IF([1]对账明细接口!$Y1133=0,"",[1]对账明细接口!$Y1133),"")</f>
        <v/>
      </c>
      <c r="AE1133" s="7" t="str">
        <f>IFERROR(IF([1]对账明细接口!$AA1133=0,"",[1]对账明细接口!$AA1133),"")</f>
        <v/>
      </c>
      <c r="AF1133" s="7" t="str">
        <f>IFERROR(IF([1]对账明细接口!$AB1133=0,"",[1]对账明细接口!$AB1133),"")</f>
        <v/>
      </c>
      <c r="AG1133" s="7" t="str">
        <f>IFERROR(IF([1]对账明细接口!$AC1133=0,"",[1]对账明细接口!$AC1133),"")</f>
        <v/>
      </c>
      <c r="AH1133" s="7" t="str">
        <f>IFERROR(IF([1]对账明细接口!$AD1133=0,"",[1]对账明细接口!$AD1133),"")</f>
        <v/>
      </c>
      <c r="AI1133" s="7" t="str">
        <f>IFERROR(IF([1]对账明细接口!$AE1133=0,"",[1]对账明细接口!$AE1133),"")</f>
        <v/>
      </c>
      <c r="AJ1133" s="7" t="str">
        <f>IFERROR(IF([1]对账明细接口!$AF1133=0,"",[1]对账明细接口!$AF1133),"")</f>
        <v/>
      </c>
    </row>
    <row r="1134" ht="14.25" customHeight="1" spans="1:36">
      <c r="A1134" s="14">
        <v>1134</v>
      </c>
      <c r="B1134" s="15" t="str">
        <f>IFERROR(IF([1]对账明细接口!$B$1134=0,"",[1]对账明细接口!$B$1134),"")</f>
        <v/>
      </c>
      <c r="C1134" s="16" t="str">
        <f>IFERROR(IF([1]对账明细接口!$C$1134=0,"",[1]对账明细接口!$C$1134),"")</f>
        <v/>
      </c>
      <c r="D1134" s="16" t="str">
        <f>IFERROR(IF([1]对账明细接口!$D$1134=0,"",[1]对账明细接口!$D$1134),"")</f>
        <v/>
      </c>
      <c r="E1134" s="16" t="str">
        <f>IFERROR(IF([1]对账明细接口!$E$1134=0,"",[1]对账明细接口!$E$1134),"")</f>
        <v/>
      </c>
      <c r="F1134" s="16" t="str">
        <f>IFERROR(IF([1]对账明细接口!$F$1134=0,"",[1]对账明细接口!$F$1134),"")</f>
        <v/>
      </c>
      <c r="G1134" s="16" t="str">
        <f>IFERROR(IF([1]对账明细接口!$G$1134=0,"",[1]对账明细接口!$G$1134),"")</f>
        <v/>
      </c>
      <c r="H1134" s="17" t="str">
        <f>IFERROR(IF([1]对账明细接口!$H$1134=0,"",[1]对账明细接口!$H$1134),"")</f>
        <v/>
      </c>
      <c r="I1134" s="16" t="str">
        <f>IFERROR(IF([1]对账明细接口!$I$1134=0,"",[1]对账明细接口!$I$1134),"")</f>
        <v/>
      </c>
      <c r="J1134" s="18" t="str">
        <f>IFERROR(IF([1]对账明细接口!$J$1134=0,"",[1]对账明细接口!$J$1134),"")</f>
        <v/>
      </c>
      <c r="K1134" s="18" t="str">
        <f>IFERROR(IF([1]对账明细接口!$K$1134=0,"",[1]对账明细接口!$K$1134),"")</f>
        <v/>
      </c>
      <c r="L1134" s="16" t="str">
        <f>IFERROR(IF([1]对账明细接口!$L$1134=0,"",[1]对账明细接口!$L$1134),"")</f>
        <v/>
      </c>
      <c r="M1134" s="16" t="str">
        <f>IFERROR(IF([1]对账明细接口!$M$1134=0,"",[1]对账明细接口!$M$1134),"")</f>
        <v/>
      </c>
      <c r="N1134" s="19">
        <f t="shared" si="34"/>
        <v>0</v>
      </c>
      <c r="O1134" s="19">
        <f t="shared" si="35"/>
        <v>420</v>
      </c>
      <c r="S1134" s="20" t="str">
        <f>IFERROR(IF([1]对账明细接口!$N1134=0,"",[1]对账明细接口!$N1134),"")</f>
        <v/>
      </c>
      <c r="T1134" s="21" t="str">
        <f>IFERROR(IF([1]对账明细接口!$O1134=0,"",[1]对账明细接口!$O1134),"")</f>
        <v/>
      </c>
      <c r="U1134" s="21" t="str">
        <f>IFERROR(IF([1]对账明细接口!$P1134=0,"",[1]对账明细接口!$P1134),"")</f>
        <v/>
      </c>
      <c r="V1134" s="21" t="str">
        <f>IFERROR(IF([1]对账明细接口!$Q1134=0,"",[1]对账明细接口!$Q1134),"")</f>
        <v/>
      </c>
      <c r="W1134" s="20" t="str">
        <f>IFERROR(IF([1]对账明细接口!$R1134=0,"",[1]对账明细接口!$R1134),"")</f>
        <v/>
      </c>
      <c r="X1134" s="20" t="str">
        <f>IFERROR(IF([1]对账明细接口!$S1134=0,"",[1]对账明细接口!$S1134),"")</f>
        <v/>
      </c>
      <c r="Y1134" s="20" t="str">
        <f>IFERROR(IF([1]对账明细接口!$T1134=0,"",[1]对账明细接口!$T1134),"")</f>
        <v/>
      </c>
      <c r="Z1134" s="24" t="str">
        <f>IFERROR(IF([1]对账明细接口!$U1134=0,"",[1]对账明细接口!$U1134),"")</f>
        <v/>
      </c>
      <c r="AA1134" s="24" t="str">
        <f>IFERROR(IF([1]对账明细接口!$V1134=0,"",[1]对账明细接口!$V1134),"")</f>
        <v/>
      </c>
      <c r="AB1134" s="20" t="str">
        <f>IFERROR(IF([1]对账明细接口!$W1134=0,"",[1]对账明细接口!$W1134),"")</f>
        <v/>
      </c>
      <c r="AC1134" s="7" t="str">
        <f>IFERROR(IF([1]对账明细接口!$X1134=0,"",[1]对账明细接口!$X1134),"")</f>
        <v/>
      </c>
      <c r="AD1134" s="7" t="str">
        <f>IFERROR(IF([1]对账明细接口!$Y1134=0,"",[1]对账明细接口!$Y1134),"")</f>
        <v/>
      </c>
      <c r="AE1134" s="7" t="str">
        <f>IFERROR(IF([1]对账明细接口!$AA1134=0,"",[1]对账明细接口!$AA1134),"")</f>
        <v/>
      </c>
      <c r="AF1134" s="7" t="str">
        <f>IFERROR(IF([1]对账明细接口!$AB1134=0,"",[1]对账明细接口!$AB1134),"")</f>
        <v/>
      </c>
      <c r="AG1134" s="7" t="str">
        <f>IFERROR(IF([1]对账明细接口!$AC1134=0,"",[1]对账明细接口!$AC1134),"")</f>
        <v/>
      </c>
      <c r="AH1134" s="7" t="str">
        <f>IFERROR(IF([1]对账明细接口!$AD1134=0,"",[1]对账明细接口!$AD1134),"")</f>
        <v/>
      </c>
      <c r="AI1134" s="7" t="str">
        <f>IFERROR(IF([1]对账明细接口!$AE1134=0,"",[1]对账明细接口!$AE1134),"")</f>
        <v/>
      </c>
      <c r="AJ1134" s="7" t="str">
        <f>IFERROR(IF([1]对账明细接口!$AF1134=0,"",[1]对账明细接口!$AF1134),"")</f>
        <v/>
      </c>
    </row>
    <row r="1135" ht="14.25" customHeight="1" spans="1:36">
      <c r="A1135" s="14">
        <v>1135</v>
      </c>
      <c r="B1135" s="15" t="str">
        <f>IFERROR(IF([1]对账明细接口!$B$1135=0,"",[1]对账明细接口!$B$1135),"")</f>
        <v/>
      </c>
      <c r="C1135" s="16" t="str">
        <f>IFERROR(IF([1]对账明细接口!$C$1135=0,"",[1]对账明细接口!$C$1135),"")</f>
        <v/>
      </c>
      <c r="D1135" s="16" t="str">
        <f>IFERROR(IF([1]对账明细接口!$D$1135=0,"",[1]对账明细接口!$D$1135),"")</f>
        <v/>
      </c>
      <c r="E1135" s="16" t="str">
        <f>IFERROR(IF([1]对账明细接口!$E$1135=0,"",[1]对账明细接口!$E$1135),"")</f>
        <v/>
      </c>
      <c r="F1135" s="16" t="str">
        <f>IFERROR(IF([1]对账明细接口!$F$1135=0,"",[1]对账明细接口!$F$1135),"")</f>
        <v/>
      </c>
      <c r="G1135" s="16" t="str">
        <f>IFERROR(IF([1]对账明细接口!$G$1135=0,"",[1]对账明细接口!$G$1135),"")</f>
        <v/>
      </c>
      <c r="H1135" s="17" t="str">
        <f>IFERROR(IF([1]对账明细接口!$H$1135=0,"",[1]对账明细接口!$H$1135),"")</f>
        <v/>
      </c>
      <c r="I1135" s="16" t="str">
        <f>IFERROR(IF([1]对账明细接口!$I$1135=0,"",[1]对账明细接口!$I$1135),"")</f>
        <v/>
      </c>
      <c r="J1135" s="18" t="str">
        <f>IFERROR(IF([1]对账明细接口!$J$1135=0,"",[1]对账明细接口!$J$1135),"")</f>
        <v/>
      </c>
      <c r="K1135" s="18" t="str">
        <f>IFERROR(IF([1]对账明细接口!$K$1135=0,"",[1]对账明细接口!$K$1135),"")</f>
        <v/>
      </c>
      <c r="L1135" s="16" t="str">
        <f>IFERROR(IF([1]对账明细接口!$L$1135=0,"",[1]对账明细接口!$L$1135),"")</f>
        <v/>
      </c>
      <c r="M1135" s="16" t="str">
        <f>IFERROR(IF([1]对账明细接口!$M$1135=0,"",[1]对账明细接口!$M$1135),"")</f>
        <v/>
      </c>
      <c r="N1135" s="19">
        <f t="shared" si="34"/>
        <v>0</v>
      </c>
      <c r="O1135" s="19">
        <f t="shared" si="35"/>
        <v>420</v>
      </c>
      <c r="S1135" s="20" t="str">
        <f>IFERROR(IF([1]对账明细接口!$N1135=0,"",[1]对账明细接口!$N1135),"")</f>
        <v/>
      </c>
      <c r="T1135" s="21" t="str">
        <f>IFERROR(IF([1]对账明细接口!$O1135=0,"",[1]对账明细接口!$O1135),"")</f>
        <v/>
      </c>
      <c r="U1135" s="21" t="str">
        <f>IFERROR(IF([1]对账明细接口!$P1135=0,"",[1]对账明细接口!$P1135),"")</f>
        <v/>
      </c>
      <c r="V1135" s="21" t="str">
        <f>IFERROR(IF([1]对账明细接口!$Q1135=0,"",[1]对账明细接口!$Q1135),"")</f>
        <v/>
      </c>
      <c r="W1135" s="20" t="str">
        <f>IFERROR(IF([1]对账明细接口!$R1135=0,"",[1]对账明细接口!$R1135),"")</f>
        <v/>
      </c>
      <c r="X1135" s="20" t="str">
        <f>IFERROR(IF([1]对账明细接口!$S1135=0,"",[1]对账明细接口!$S1135),"")</f>
        <v/>
      </c>
      <c r="Y1135" s="20" t="str">
        <f>IFERROR(IF([1]对账明细接口!$T1135=0,"",[1]对账明细接口!$T1135),"")</f>
        <v/>
      </c>
      <c r="Z1135" s="24" t="str">
        <f>IFERROR(IF([1]对账明细接口!$U1135=0,"",[1]对账明细接口!$U1135),"")</f>
        <v/>
      </c>
      <c r="AA1135" s="24" t="str">
        <f>IFERROR(IF([1]对账明细接口!$V1135=0,"",[1]对账明细接口!$V1135),"")</f>
        <v/>
      </c>
      <c r="AB1135" s="20" t="str">
        <f>IFERROR(IF([1]对账明细接口!$W1135=0,"",[1]对账明细接口!$W1135),"")</f>
        <v/>
      </c>
      <c r="AC1135" s="7" t="str">
        <f>IFERROR(IF([1]对账明细接口!$X1135=0,"",[1]对账明细接口!$X1135),"")</f>
        <v/>
      </c>
      <c r="AD1135" s="7" t="str">
        <f>IFERROR(IF([1]对账明细接口!$Y1135=0,"",[1]对账明细接口!$Y1135),"")</f>
        <v/>
      </c>
      <c r="AE1135" s="7" t="str">
        <f>IFERROR(IF([1]对账明细接口!$AA1135=0,"",[1]对账明细接口!$AA1135),"")</f>
        <v/>
      </c>
      <c r="AF1135" s="7" t="str">
        <f>IFERROR(IF([1]对账明细接口!$AB1135=0,"",[1]对账明细接口!$AB1135),"")</f>
        <v/>
      </c>
      <c r="AG1135" s="7" t="str">
        <f>IFERROR(IF([1]对账明细接口!$AC1135=0,"",[1]对账明细接口!$AC1135),"")</f>
        <v/>
      </c>
      <c r="AH1135" s="7" t="str">
        <f>IFERROR(IF([1]对账明细接口!$AD1135=0,"",[1]对账明细接口!$AD1135),"")</f>
        <v/>
      </c>
      <c r="AI1135" s="7" t="str">
        <f>IFERROR(IF([1]对账明细接口!$AE1135=0,"",[1]对账明细接口!$AE1135),"")</f>
        <v/>
      </c>
      <c r="AJ1135" s="7" t="str">
        <f>IFERROR(IF([1]对账明细接口!$AF1135=0,"",[1]对账明细接口!$AF1135),"")</f>
        <v/>
      </c>
    </row>
    <row r="1136" ht="14.25" customHeight="1" spans="1:36">
      <c r="A1136" s="14">
        <v>1136</v>
      </c>
      <c r="B1136" s="15" t="str">
        <f>IFERROR(IF([1]对账明细接口!$B$1136=0,"",[1]对账明细接口!$B$1136),"")</f>
        <v/>
      </c>
      <c r="C1136" s="16" t="str">
        <f>IFERROR(IF([1]对账明细接口!$C$1136=0,"",[1]对账明细接口!$C$1136),"")</f>
        <v/>
      </c>
      <c r="D1136" s="16" t="str">
        <f>IFERROR(IF([1]对账明细接口!$D$1136=0,"",[1]对账明细接口!$D$1136),"")</f>
        <v/>
      </c>
      <c r="E1136" s="16" t="str">
        <f>IFERROR(IF([1]对账明细接口!$E$1136=0,"",[1]对账明细接口!$E$1136),"")</f>
        <v/>
      </c>
      <c r="F1136" s="16" t="str">
        <f>IFERROR(IF([1]对账明细接口!$F$1136=0,"",[1]对账明细接口!$F$1136),"")</f>
        <v/>
      </c>
      <c r="G1136" s="16" t="str">
        <f>IFERROR(IF([1]对账明细接口!$G$1136=0,"",[1]对账明细接口!$G$1136),"")</f>
        <v/>
      </c>
      <c r="H1136" s="17" t="str">
        <f>IFERROR(IF([1]对账明细接口!$H$1136=0,"",[1]对账明细接口!$H$1136),"")</f>
        <v/>
      </c>
      <c r="I1136" s="16" t="str">
        <f>IFERROR(IF([1]对账明细接口!$I$1136=0,"",[1]对账明细接口!$I$1136),"")</f>
        <v/>
      </c>
      <c r="J1136" s="18" t="str">
        <f>IFERROR(IF([1]对账明细接口!$J$1136=0,"",[1]对账明细接口!$J$1136),"")</f>
        <v/>
      </c>
      <c r="K1136" s="18" t="str">
        <f>IFERROR(IF([1]对账明细接口!$K$1136=0,"",[1]对账明细接口!$K$1136),"")</f>
        <v/>
      </c>
      <c r="L1136" s="16" t="str">
        <f>IFERROR(IF([1]对账明细接口!$L$1136=0,"",[1]对账明细接口!$L$1136),"")</f>
        <v/>
      </c>
      <c r="M1136" s="16" t="str">
        <f>IFERROR(IF([1]对账明细接口!$M$1136=0,"",[1]对账明细接口!$M$1136),"")</f>
        <v/>
      </c>
      <c r="N1136" s="19">
        <f t="shared" si="34"/>
        <v>0</v>
      </c>
      <c r="O1136" s="19">
        <f t="shared" si="35"/>
        <v>420</v>
      </c>
      <c r="S1136" s="20" t="str">
        <f>IFERROR(IF([1]对账明细接口!$N1136=0,"",[1]对账明细接口!$N1136),"")</f>
        <v/>
      </c>
      <c r="T1136" s="21" t="str">
        <f>IFERROR(IF([1]对账明细接口!$O1136=0,"",[1]对账明细接口!$O1136),"")</f>
        <v/>
      </c>
      <c r="U1136" s="21" t="str">
        <f>IFERROR(IF([1]对账明细接口!$P1136=0,"",[1]对账明细接口!$P1136),"")</f>
        <v/>
      </c>
      <c r="V1136" s="21" t="str">
        <f>IFERROR(IF([1]对账明细接口!$Q1136=0,"",[1]对账明细接口!$Q1136),"")</f>
        <v/>
      </c>
      <c r="W1136" s="20" t="str">
        <f>IFERROR(IF([1]对账明细接口!$R1136=0,"",[1]对账明细接口!$R1136),"")</f>
        <v/>
      </c>
      <c r="X1136" s="20" t="str">
        <f>IFERROR(IF([1]对账明细接口!$S1136=0,"",[1]对账明细接口!$S1136),"")</f>
        <v/>
      </c>
      <c r="Y1136" s="20" t="str">
        <f>IFERROR(IF([1]对账明细接口!$T1136=0,"",[1]对账明细接口!$T1136),"")</f>
        <v/>
      </c>
      <c r="Z1136" s="24" t="str">
        <f>IFERROR(IF([1]对账明细接口!$U1136=0,"",[1]对账明细接口!$U1136),"")</f>
        <v/>
      </c>
      <c r="AA1136" s="24" t="str">
        <f>IFERROR(IF([1]对账明细接口!$V1136=0,"",[1]对账明细接口!$V1136),"")</f>
        <v/>
      </c>
      <c r="AB1136" s="20" t="str">
        <f>IFERROR(IF([1]对账明细接口!$W1136=0,"",[1]对账明细接口!$W1136),"")</f>
        <v/>
      </c>
      <c r="AC1136" s="7" t="str">
        <f>IFERROR(IF([1]对账明细接口!$X1136=0,"",[1]对账明细接口!$X1136),"")</f>
        <v/>
      </c>
      <c r="AD1136" s="7" t="str">
        <f>IFERROR(IF([1]对账明细接口!$Y1136=0,"",[1]对账明细接口!$Y1136),"")</f>
        <v/>
      </c>
      <c r="AE1136" s="7" t="str">
        <f>IFERROR(IF([1]对账明细接口!$AA1136=0,"",[1]对账明细接口!$AA1136),"")</f>
        <v/>
      </c>
      <c r="AF1136" s="7" t="str">
        <f>IFERROR(IF([1]对账明细接口!$AB1136=0,"",[1]对账明细接口!$AB1136),"")</f>
        <v/>
      </c>
      <c r="AG1136" s="7" t="str">
        <f>IFERROR(IF([1]对账明细接口!$AC1136=0,"",[1]对账明细接口!$AC1136),"")</f>
        <v/>
      </c>
      <c r="AH1136" s="7" t="str">
        <f>IFERROR(IF([1]对账明细接口!$AD1136=0,"",[1]对账明细接口!$AD1136),"")</f>
        <v/>
      </c>
      <c r="AI1136" s="7" t="str">
        <f>IFERROR(IF([1]对账明细接口!$AE1136=0,"",[1]对账明细接口!$AE1136),"")</f>
        <v/>
      </c>
      <c r="AJ1136" s="7" t="str">
        <f>IFERROR(IF([1]对账明细接口!$AF1136=0,"",[1]对账明细接口!$AF1136),"")</f>
        <v/>
      </c>
    </row>
    <row r="1137" ht="14.25" customHeight="1" spans="1:36">
      <c r="A1137" s="14">
        <v>1137</v>
      </c>
      <c r="B1137" s="15" t="str">
        <f>IFERROR(IF([1]对账明细接口!$B$1137=0,"",[1]对账明细接口!$B$1137),"")</f>
        <v/>
      </c>
      <c r="C1137" s="16" t="str">
        <f>IFERROR(IF([1]对账明细接口!$C$1137=0,"",[1]对账明细接口!$C$1137),"")</f>
        <v/>
      </c>
      <c r="D1137" s="16" t="str">
        <f>IFERROR(IF([1]对账明细接口!$D$1137=0,"",[1]对账明细接口!$D$1137),"")</f>
        <v/>
      </c>
      <c r="E1137" s="16" t="str">
        <f>IFERROR(IF([1]对账明细接口!$E$1137=0,"",[1]对账明细接口!$E$1137),"")</f>
        <v/>
      </c>
      <c r="F1137" s="16" t="str">
        <f>IFERROR(IF([1]对账明细接口!$F$1137=0,"",[1]对账明细接口!$F$1137),"")</f>
        <v/>
      </c>
      <c r="G1137" s="16" t="str">
        <f>IFERROR(IF([1]对账明细接口!$G$1137=0,"",[1]对账明细接口!$G$1137),"")</f>
        <v/>
      </c>
      <c r="H1137" s="17" t="str">
        <f>IFERROR(IF([1]对账明细接口!$H$1137=0,"",[1]对账明细接口!$H$1137),"")</f>
        <v/>
      </c>
      <c r="I1137" s="16" t="str">
        <f>IFERROR(IF([1]对账明细接口!$I$1137=0,"",[1]对账明细接口!$I$1137),"")</f>
        <v/>
      </c>
      <c r="J1137" s="18" t="str">
        <f>IFERROR(IF([1]对账明细接口!$J$1137=0,"",[1]对账明细接口!$J$1137),"")</f>
        <v/>
      </c>
      <c r="K1137" s="18" t="str">
        <f>IFERROR(IF([1]对账明细接口!$K$1137=0,"",[1]对账明细接口!$K$1137),"")</f>
        <v/>
      </c>
      <c r="L1137" s="16" t="str">
        <f>IFERROR(IF([1]对账明细接口!$L$1137=0,"",[1]对账明细接口!$L$1137),"")</f>
        <v/>
      </c>
      <c r="M1137" s="16" t="str">
        <f>IFERROR(IF([1]对账明细接口!$M$1137=0,"",[1]对账明细接口!$M$1137),"")</f>
        <v/>
      </c>
      <c r="N1137" s="19">
        <f t="shared" si="34"/>
        <v>0</v>
      </c>
      <c r="O1137" s="19">
        <f t="shared" si="35"/>
        <v>420</v>
      </c>
      <c r="S1137" s="20" t="str">
        <f>IFERROR(IF([1]对账明细接口!$N1137=0,"",[1]对账明细接口!$N1137),"")</f>
        <v/>
      </c>
      <c r="T1137" s="21" t="str">
        <f>IFERROR(IF([1]对账明细接口!$O1137=0,"",[1]对账明细接口!$O1137),"")</f>
        <v/>
      </c>
      <c r="U1137" s="21" t="str">
        <f>IFERROR(IF([1]对账明细接口!$P1137=0,"",[1]对账明细接口!$P1137),"")</f>
        <v/>
      </c>
      <c r="V1137" s="21" t="str">
        <f>IFERROR(IF([1]对账明细接口!$Q1137=0,"",[1]对账明细接口!$Q1137),"")</f>
        <v/>
      </c>
      <c r="W1137" s="20" t="str">
        <f>IFERROR(IF([1]对账明细接口!$R1137=0,"",[1]对账明细接口!$R1137),"")</f>
        <v/>
      </c>
      <c r="X1137" s="20" t="str">
        <f>IFERROR(IF([1]对账明细接口!$S1137=0,"",[1]对账明细接口!$S1137),"")</f>
        <v/>
      </c>
      <c r="Y1137" s="20" t="str">
        <f>IFERROR(IF([1]对账明细接口!$T1137=0,"",[1]对账明细接口!$T1137),"")</f>
        <v/>
      </c>
      <c r="Z1137" s="24" t="str">
        <f>IFERROR(IF([1]对账明细接口!$U1137=0,"",[1]对账明细接口!$U1137),"")</f>
        <v/>
      </c>
      <c r="AA1137" s="24" t="str">
        <f>IFERROR(IF([1]对账明细接口!$V1137=0,"",[1]对账明细接口!$V1137),"")</f>
        <v/>
      </c>
      <c r="AB1137" s="20" t="str">
        <f>IFERROR(IF([1]对账明细接口!$W1137=0,"",[1]对账明细接口!$W1137),"")</f>
        <v/>
      </c>
      <c r="AC1137" s="7" t="str">
        <f>IFERROR(IF([1]对账明细接口!$X1137=0,"",[1]对账明细接口!$X1137),"")</f>
        <v/>
      </c>
      <c r="AD1137" s="7" t="str">
        <f>IFERROR(IF([1]对账明细接口!$Y1137=0,"",[1]对账明细接口!$Y1137),"")</f>
        <v/>
      </c>
      <c r="AE1137" s="7" t="str">
        <f>IFERROR(IF([1]对账明细接口!$AA1137=0,"",[1]对账明细接口!$AA1137),"")</f>
        <v/>
      </c>
      <c r="AF1137" s="7" t="str">
        <f>IFERROR(IF([1]对账明细接口!$AB1137=0,"",[1]对账明细接口!$AB1137),"")</f>
        <v/>
      </c>
      <c r="AG1137" s="7" t="str">
        <f>IFERROR(IF([1]对账明细接口!$AC1137=0,"",[1]对账明细接口!$AC1137),"")</f>
        <v/>
      </c>
      <c r="AH1137" s="7" t="str">
        <f>IFERROR(IF([1]对账明细接口!$AD1137=0,"",[1]对账明细接口!$AD1137),"")</f>
        <v/>
      </c>
      <c r="AI1137" s="7" t="str">
        <f>IFERROR(IF([1]对账明细接口!$AE1137=0,"",[1]对账明细接口!$AE1137),"")</f>
        <v/>
      </c>
      <c r="AJ1137" s="7" t="str">
        <f>IFERROR(IF([1]对账明细接口!$AF1137=0,"",[1]对账明细接口!$AF1137),"")</f>
        <v/>
      </c>
    </row>
    <row r="1138" ht="14.25" customHeight="1" spans="1:36">
      <c r="A1138" s="14">
        <v>1138</v>
      </c>
      <c r="B1138" s="15" t="str">
        <f>IFERROR(IF([1]对账明细接口!$B$1138=0,"",[1]对账明细接口!$B$1138),"")</f>
        <v/>
      </c>
      <c r="C1138" s="16" t="str">
        <f>IFERROR(IF([1]对账明细接口!$C$1138=0,"",[1]对账明细接口!$C$1138),"")</f>
        <v/>
      </c>
      <c r="D1138" s="16" t="str">
        <f>IFERROR(IF([1]对账明细接口!$D$1138=0,"",[1]对账明细接口!$D$1138),"")</f>
        <v/>
      </c>
      <c r="E1138" s="16" t="str">
        <f>IFERROR(IF([1]对账明细接口!$E$1138=0,"",[1]对账明细接口!$E$1138),"")</f>
        <v/>
      </c>
      <c r="F1138" s="16" t="str">
        <f>IFERROR(IF([1]对账明细接口!$F$1138=0,"",[1]对账明细接口!$F$1138),"")</f>
        <v/>
      </c>
      <c r="G1138" s="16" t="str">
        <f>IFERROR(IF([1]对账明细接口!$G$1138=0,"",[1]对账明细接口!$G$1138),"")</f>
        <v/>
      </c>
      <c r="H1138" s="17" t="str">
        <f>IFERROR(IF([1]对账明细接口!$H$1138=0,"",[1]对账明细接口!$H$1138),"")</f>
        <v/>
      </c>
      <c r="I1138" s="16" t="str">
        <f>IFERROR(IF([1]对账明细接口!$I$1138=0,"",[1]对账明细接口!$I$1138),"")</f>
        <v/>
      </c>
      <c r="J1138" s="18" t="str">
        <f>IFERROR(IF([1]对账明细接口!$J$1138=0,"",[1]对账明细接口!$J$1138),"")</f>
        <v/>
      </c>
      <c r="K1138" s="18" t="str">
        <f>IFERROR(IF([1]对账明细接口!$K$1138=0,"",[1]对账明细接口!$K$1138),"")</f>
        <v/>
      </c>
      <c r="L1138" s="16" t="str">
        <f>IFERROR(IF([1]对账明细接口!$L$1138=0,"",[1]对账明细接口!$L$1138),"")</f>
        <v/>
      </c>
      <c r="M1138" s="16" t="str">
        <f>IFERROR(IF([1]对账明细接口!$M$1138=0,"",[1]对账明细接口!$M$1138),"")</f>
        <v/>
      </c>
      <c r="N1138" s="19">
        <f t="shared" si="34"/>
        <v>0</v>
      </c>
      <c r="O1138" s="19">
        <f t="shared" si="35"/>
        <v>420</v>
      </c>
      <c r="S1138" s="20" t="str">
        <f>IFERROR(IF([1]对账明细接口!$N1138=0,"",[1]对账明细接口!$N1138),"")</f>
        <v/>
      </c>
      <c r="T1138" s="21" t="str">
        <f>IFERROR(IF([1]对账明细接口!$O1138=0,"",[1]对账明细接口!$O1138),"")</f>
        <v/>
      </c>
      <c r="U1138" s="21" t="str">
        <f>IFERROR(IF([1]对账明细接口!$P1138=0,"",[1]对账明细接口!$P1138),"")</f>
        <v/>
      </c>
      <c r="V1138" s="21" t="str">
        <f>IFERROR(IF([1]对账明细接口!$Q1138=0,"",[1]对账明细接口!$Q1138),"")</f>
        <v/>
      </c>
      <c r="W1138" s="20" t="str">
        <f>IFERROR(IF([1]对账明细接口!$R1138=0,"",[1]对账明细接口!$R1138),"")</f>
        <v/>
      </c>
      <c r="X1138" s="20" t="str">
        <f>IFERROR(IF([1]对账明细接口!$S1138=0,"",[1]对账明细接口!$S1138),"")</f>
        <v/>
      </c>
      <c r="Y1138" s="20" t="str">
        <f>IFERROR(IF([1]对账明细接口!$T1138=0,"",[1]对账明细接口!$T1138),"")</f>
        <v/>
      </c>
      <c r="Z1138" s="24" t="str">
        <f>IFERROR(IF([1]对账明细接口!$U1138=0,"",[1]对账明细接口!$U1138),"")</f>
        <v/>
      </c>
      <c r="AA1138" s="24" t="str">
        <f>IFERROR(IF([1]对账明细接口!$V1138=0,"",[1]对账明细接口!$V1138),"")</f>
        <v/>
      </c>
      <c r="AB1138" s="20" t="str">
        <f>IFERROR(IF([1]对账明细接口!$W1138=0,"",[1]对账明细接口!$W1138),"")</f>
        <v/>
      </c>
      <c r="AC1138" s="7" t="str">
        <f>IFERROR(IF([1]对账明细接口!$X1138=0,"",[1]对账明细接口!$X1138),"")</f>
        <v/>
      </c>
      <c r="AD1138" s="7" t="str">
        <f>IFERROR(IF([1]对账明细接口!$Y1138=0,"",[1]对账明细接口!$Y1138),"")</f>
        <v/>
      </c>
      <c r="AE1138" s="7" t="str">
        <f>IFERROR(IF([1]对账明细接口!$AA1138=0,"",[1]对账明细接口!$AA1138),"")</f>
        <v/>
      </c>
      <c r="AF1138" s="7" t="str">
        <f>IFERROR(IF([1]对账明细接口!$AB1138=0,"",[1]对账明细接口!$AB1138),"")</f>
        <v/>
      </c>
      <c r="AG1138" s="7" t="str">
        <f>IFERROR(IF([1]对账明细接口!$AC1138=0,"",[1]对账明细接口!$AC1138),"")</f>
        <v/>
      </c>
      <c r="AH1138" s="7" t="str">
        <f>IFERROR(IF([1]对账明细接口!$AD1138=0,"",[1]对账明细接口!$AD1138),"")</f>
        <v/>
      </c>
      <c r="AI1138" s="7" t="str">
        <f>IFERROR(IF([1]对账明细接口!$AE1138=0,"",[1]对账明细接口!$AE1138),"")</f>
        <v/>
      </c>
      <c r="AJ1138" s="7" t="str">
        <f>IFERROR(IF([1]对账明细接口!$AF1138=0,"",[1]对账明细接口!$AF1138),"")</f>
        <v/>
      </c>
    </row>
    <row r="1139" ht="14.25" customHeight="1" spans="1:36">
      <c r="A1139" s="14">
        <v>1139</v>
      </c>
      <c r="B1139" s="15" t="str">
        <f>IFERROR(IF([1]对账明细接口!$B$1139=0,"",[1]对账明细接口!$B$1139),"")</f>
        <v/>
      </c>
      <c r="C1139" s="16" t="str">
        <f>IFERROR(IF([1]对账明细接口!$C$1139=0,"",[1]对账明细接口!$C$1139),"")</f>
        <v/>
      </c>
      <c r="D1139" s="16" t="str">
        <f>IFERROR(IF([1]对账明细接口!$D$1139=0,"",[1]对账明细接口!$D$1139),"")</f>
        <v/>
      </c>
      <c r="E1139" s="16" t="str">
        <f>IFERROR(IF([1]对账明细接口!$E$1139=0,"",[1]对账明细接口!$E$1139),"")</f>
        <v/>
      </c>
      <c r="F1139" s="16" t="str">
        <f>IFERROR(IF([1]对账明细接口!$F$1139=0,"",[1]对账明细接口!$F$1139),"")</f>
        <v/>
      </c>
      <c r="G1139" s="16" t="str">
        <f>IFERROR(IF([1]对账明细接口!$G$1139=0,"",[1]对账明细接口!$G$1139),"")</f>
        <v/>
      </c>
      <c r="H1139" s="17" t="str">
        <f>IFERROR(IF([1]对账明细接口!$H$1139=0,"",[1]对账明细接口!$H$1139),"")</f>
        <v/>
      </c>
      <c r="I1139" s="16" t="str">
        <f>IFERROR(IF([1]对账明细接口!$I$1139=0,"",[1]对账明细接口!$I$1139),"")</f>
        <v/>
      </c>
      <c r="J1139" s="18" t="str">
        <f>IFERROR(IF([1]对账明细接口!$J$1139=0,"",[1]对账明细接口!$J$1139),"")</f>
        <v/>
      </c>
      <c r="K1139" s="18" t="str">
        <f>IFERROR(IF([1]对账明细接口!$K$1139=0,"",[1]对账明细接口!$K$1139),"")</f>
        <v/>
      </c>
      <c r="L1139" s="16" t="str">
        <f>IFERROR(IF([1]对账明细接口!$L$1139=0,"",[1]对账明细接口!$L$1139),"")</f>
        <v/>
      </c>
      <c r="M1139" s="16" t="str">
        <f>IFERROR(IF([1]对账明细接口!$M$1139=0,"",[1]对账明细接口!$M$1139),"")</f>
        <v/>
      </c>
      <c r="N1139" s="19">
        <f t="shared" si="34"/>
        <v>0</v>
      </c>
      <c r="O1139" s="19">
        <f t="shared" si="35"/>
        <v>420</v>
      </c>
      <c r="S1139" s="20" t="str">
        <f>IFERROR(IF([1]对账明细接口!$N1139=0,"",[1]对账明细接口!$N1139),"")</f>
        <v/>
      </c>
      <c r="T1139" s="21" t="str">
        <f>IFERROR(IF([1]对账明细接口!$O1139=0,"",[1]对账明细接口!$O1139),"")</f>
        <v/>
      </c>
      <c r="U1139" s="21" t="str">
        <f>IFERROR(IF([1]对账明细接口!$P1139=0,"",[1]对账明细接口!$P1139),"")</f>
        <v/>
      </c>
      <c r="V1139" s="21" t="str">
        <f>IFERROR(IF([1]对账明细接口!$Q1139=0,"",[1]对账明细接口!$Q1139),"")</f>
        <v/>
      </c>
      <c r="W1139" s="20" t="str">
        <f>IFERROR(IF([1]对账明细接口!$R1139=0,"",[1]对账明细接口!$R1139),"")</f>
        <v/>
      </c>
      <c r="X1139" s="20" t="str">
        <f>IFERROR(IF([1]对账明细接口!$S1139=0,"",[1]对账明细接口!$S1139),"")</f>
        <v/>
      </c>
      <c r="Y1139" s="20" t="str">
        <f>IFERROR(IF([1]对账明细接口!$T1139=0,"",[1]对账明细接口!$T1139),"")</f>
        <v/>
      </c>
      <c r="Z1139" s="24" t="str">
        <f>IFERROR(IF([1]对账明细接口!$U1139=0,"",[1]对账明细接口!$U1139),"")</f>
        <v/>
      </c>
      <c r="AA1139" s="24" t="str">
        <f>IFERROR(IF([1]对账明细接口!$V1139=0,"",[1]对账明细接口!$V1139),"")</f>
        <v/>
      </c>
      <c r="AB1139" s="20" t="str">
        <f>IFERROR(IF([1]对账明细接口!$W1139=0,"",[1]对账明细接口!$W1139),"")</f>
        <v/>
      </c>
      <c r="AC1139" s="7" t="str">
        <f>IFERROR(IF([1]对账明细接口!$X1139=0,"",[1]对账明细接口!$X1139),"")</f>
        <v/>
      </c>
      <c r="AD1139" s="7" t="str">
        <f>IFERROR(IF([1]对账明细接口!$Y1139=0,"",[1]对账明细接口!$Y1139),"")</f>
        <v/>
      </c>
      <c r="AE1139" s="7" t="str">
        <f>IFERROR(IF([1]对账明细接口!$AA1139=0,"",[1]对账明细接口!$AA1139),"")</f>
        <v/>
      </c>
      <c r="AF1139" s="7" t="str">
        <f>IFERROR(IF([1]对账明细接口!$AB1139=0,"",[1]对账明细接口!$AB1139),"")</f>
        <v/>
      </c>
      <c r="AG1139" s="7" t="str">
        <f>IFERROR(IF([1]对账明细接口!$AC1139=0,"",[1]对账明细接口!$AC1139),"")</f>
        <v/>
      </c>
      <c r="AH1139" s="7" t="str">
        <f>IFERROR(IF([1]对账明细接口!$AD1139=0,"",[1]对账明细接口!$AD1139),"")</f>
        <v/>
      </c>
      <c r="AI1139" s="7" t="str">
        <f>IFERROR(IF([1]对账明细接口!$AE1139=0,"",[1]对账明细接口!$AE1139),"")</f>
        <v/>
      </c>
      <c r="AJ1139" s="7" t="str">
        <f>IFERROR(IF([1]对账明细接口!$AF1139=0,"",[1]对账明细接口!$AF1139),"")</f>
        <v/>
      </c>
    </row>
    <row r="1140" ht="14.25" customHeight="1" spans="1:36">
      <c r="A1140" s="14">
        <v>1140</v>
      </c>
      <c r="B1140" s="15" t="str">
        <f>IFERROR(IF([1]对账明细接口!$B$1140=0,"",[1]对账明细接口!$B$1140),"")</f>
        <v/>
      </c>
      <c r="C1140" s="16" t="str">
        <f>IFERROR(IF([1]对账明细接口!$C$1140=0,"",[1]对账明细接口!$C$1140),"")</f>
        <v/>
      </c>
      <c r="D1140" s="16" t="str">
        <f>IFERROR(IF([1]对账明细接口!$D$1140=0,"",[1]对账明细接口!$D$1140),"")</f>
        <v/>
      </c>
      <c r="E1140" s="16" t="str">
        <f>IFERROR(IF([1]对账明细接口!$E$1140=0,"",[1]对账明细接口!$E$1140),"")</f>
        <v/>
      </c>
      <c r="F1140" s="16" t="str">
        <f>IFERROR(IF([1]对账明细接口!$F$1140=0,"",[1]对账明细接口!$F$1140),"")</f>
        <v/>
      </c>
      <c r="G1140" s="16" t="str">
        <f>IFERROR(IF([1]对账明细接口!$G$1140=0,"",[1]对账明细接口!$G$1140),"")</f>
        <v/>
      </c>
      <c r="H1140" s="17" t="str">
        <f>IFERROR(IF([1]对账明细接口!$H$1140=0,"",[1]对账明细接口!$H$1140),"")</f>
        <v/>
      </c>
      <c r="I1140" s="16" t="str">
        <f>IFERROR(IF([1]对账明细接口!$I$1140=0,"",[1]对账明细接口!$I$1140),"")</f>
        <v/>
      </c>
      <c r="J1140" s="18" t="str">
        <f>IFERROR(IF([1]对账明细接口!$J$1140=0,"",[1]对账明细接口!$J$1140),"")</f>
        <v/>
      </c>
      <c r="K1140" s="18" t="str">
        <f>IFERROR(IF([1]对账明细接口!$K$1140=0,"",[1]对账明细接口!$K$1140),"")</f>
        <v/>
      </c>
      <c r="L1140" s="16" t="str">
        <f>IFERROR(IF([1]对账明细接口!$L$1140=0,"",[1]对账明细接口!$L$1140),"")</f>
        <v/>
      </c>
      <c r="M1140" s="16" t="str">
        <f>IFERROR(IF([1]对账明细接口!$M$1140=0,"",[1]对账明细接口!$M$1140),"")</f>
        <v/>
      </c>
      <c r="N1140" s="19">
        <f t="shared" si="34"/>
        <v>0</v>
      </c>
      <c r="O1140" s="19">
        <f t="shared" si="35"/>
        <v>420</v>
      </c>
      <c r="S1140" s="20" t="str">
        <f>IFERROR(IF([1]对账明细接口!$N1140=0,"",[1]对账明细接口!$N1140),"")</f>
        <v/>
      </c>
      <c r="T1140" s="21" t="str">
        <f>IFERROR(IF([1]对账明细接口!$O1140=0,"",[1]对账明细接口!$O1140),"")</f>
        <v/>
      </c>
      <c r="U1140" s="21" t="str">
        <f>IFERROR(IF([1]对账明细接口!$P1140=0,"",[1]对账明细接口!$P1140),"")</f>
        <v/>
      </c>
      <c r="V1140" s="21" t="str">
        <f>IFERROR(IF([1]对账明细接口!$Q1140=0,"",[1]对账明细接口!$Q1140),"")</f>
        <v/>
      </c>
      <c r="W1140" s="20" t="str">
        <f>IFERROR(IF([1]对账明细接口!$R1140=0,"",[1]对账明细接口!$R1140),"")</f>
        <v/>
      </c>
      <c r="X1140" s="20" t="str">
        <f>IFERROR(IF([1]对账明细接口!$S1140=0,"",[1]对账明细接口!$S1140),"")</f>
        <v/>
      </c>
      <c r="Y1140" s="20" t="str">
        <f>IFERROR(IF([1]对账明细接口!$T1140=0,"",[1]对账明细接口!$T1140),"")</f>
        <v/>
      </c>
      <c r="Z1140" s="24" t="str">
        <f>IFERROR(IF([1]对账明细接口!$U1140=0,"",[1]对账明细接口!$U1140),"")</f>
        <v/>
      </c>
      <c r="AA1140" s="24" t="str">
        <f>IFERROR(IF([1]对账明细接口!$V1140=0,"",[1]对账明细接口!$V1140),"")</f>
        <v/>
      </c>
      <c r="AB1140" s="20" t="str">
        <f>IFERROR(IF([1]对账明细接口!$W1140=0,"",[1]对账明细接口!$W1140),"")</f>
        <v/>
      </c>
      <c r="AC1140" s="7" t="str">
        <f>IFERROR(IF([1]对账明细接口!$X1140=0,"",[1]对账明细接口!$X1140),"")</f>
        <v/>
      </c>
      <c r="AD1140" s="7" t="str">
        <f>IFERROR(IF([1]对账明细接口!$Y1140=0,"",[1]对账明细接口!$Y1140),"")</f>
        <v/>
      </c>
      <c r="AE1140" s="7" t="str">
        <f>IFERROR(IF([1]对账明细接口!$AA1140=0,"",[1]对账明细接口!$AA1140),"")</f>
        <v/>
      </c>
      <c r="AF1140" s="7" t="str">
        <f>IFERROR(IF([1]对账明细接口!$AB1140=0,"",[1]对账明细接口!$AB1140),"")</f>
        <v/>
      </c>
      <c r="AG1140" s="7" t="str">
        <f>IFERROR(IF([1]对账明细接口!$AC1140=0,"",[1]对账明细接口!$AC1140),"")</f>
        <v/>
      </c>
      <c r="AH1140" s="7" t="str">
        <f>IFERROR(IF([1]对账明细接口!$AD1140=0,"",[1]对账明细接口!$AD1140),"")</f>
        <v/>
      </c>
      <c r="AI1140" s="7" t="str">
        <f>IFERROR(IF([1]对账明细接口!$AE1140=0,"",[1]对账明细接口!$AE1140),"")</f>
        <v/>
      </c>
      <c r="AJ1140" s="7" t="str">
        <f>IFERROR(IF([1]对账明细接口!$AF1140=0,"",[1]对账明细接口!$AF1140),"")</f>
        <v/>
      </c>
    </row>
    <row r="1141" ht="14.25" customHeight="1" spans="1:36">
      <c r="A1141" s="14">
        <v>1141</v>
      </c>
      <c r="B1141" s="15" t="str">
        <f>IFERROR(IF([1]对账明细接口!$B$1141=0,"",[1]对账明细接口!$B$1141),"")</f>
        <v/>
      </c>
      <c r="C1141" s="16" t="str">
        <f>IFERROR(IF([1]对账明细接口!$C$1141=0,"",[1]对账明细接口!$C$1141),"")</f>
        <v/>
      </c>
      <c r="D1141" s="16" t="str">
        <f>IFERROR(IF([1]对账明细接口!$D$1141=0,"",[1]对账明细接口!$D$1141),"")</f>
        <v/>
      </c>
      <c r="E1141" s="16" t="str">
        <f>IFERROR(IF([1]对账明细接口!$E$1141=0,"",[1]对账明细接口!$E$1141),"")</f>
        <v/>
      </c>
      <c r="F1141" s="16" t="str">
        <f>IFERROR(IF([1]对账明细接口!$F$1141=0,"",[1]对账明细接口!$F$1141),"")</f>
        <v/>
      </c>
      <c r="G1141" s="16" t="str">
        <f>IFERROR(IF([1]对账明细接口!$G$1141=0,"",[1]对账明细接口!$G$1141),"")</f>
        <v/>
      </c>
      <c r="H1141" s="17" t="str">
        <f>IFERROR(IF([1]对账明细接口!$H$1141=0,"",[1]对账明细接口!$H$1141),"")</f>
        <v/>
      </c>
      <c r="I1141" s="16" t="str">
        <f>IFERROR(IF([1]对账明细接口!$I$1141=0,"",[1]对账明细接口!$I$1141),"")</f>
        <v/>
      </c>
      <c r="J1141" s="18" t="str">
        <f>IFERROR(IF([1]对账明细接口!$J$1141=0,"",[1]对账明细接口!$J$1141),"")</f>
        <v/>
      </c>
      <c r="K1141" s="18" t="str">
        <f>IFERROR(IF([1]对账明细接口!$K$1141=0,"",[1]对账明细接口!$K$1141),"")</f>
        <v/>
      </c>
      <c r="L1141" s="16" t="str">
        <f>IFERROR(IF([1]对账明细接口!$L$1141=0,"",[1]对账明细接口!$L$1141),"")</f>
        <v/>
      </c>
      <c r="M1141" s="16" t="str">
        <f>IFERROR(IF([1]对账明细接口!$M$1141=0,"",[1]对账明细接口!$M$1141),"")</f>
        <v/>
      </c>
      <c r="N1141" s="19">
        <f t="shared" si="34"/>
        <v>0</v>
      </c>
      <c r="O1141" s="19">
        <f t="shared" si="35"/>
        <v>420</v>
      </c>
      <c r="S1141" s="20" t="str">
        <f>IFERROR(IF([1]对账明细接口!$N1141=0,"",[1]对账明细接口!$N1141),"")</f>
        <v/>
      </c>
      <c r="T1141" s="21" t="str">
        <f>IFERROR(IF([1]对账明细接口!$O1141=0,"",[1]对账明细接口!$O1141),"")</f>
        <v/>
      </c>
      <c r="U1141" s="21" t="str">
        <f>IFERROR(IF([1]对账明细接口!$P1141=0,"",[1]对账明细接口!$P1141),"")</f>
        <v/>
      </c>
      <c r="V1141" s="21" t="str">
        <f>IFERROR(IF([1]对账明细接口!$Q1141=0,"",[1]对账明细接口!$Q1141),"")</f>
        <v/>
      </c>
      <c r="W1141" s="20" t="str">
        <f>IFERROR(IF([1]对账明细接口!$R1141=0,"",[1]对账明细接口!$R1141),"")</f>
        <v/>
      </c>
      <c r="X1141" s="20" t="str">
        <f>IFERROR(IF([1]对账明细接口!$S1141=0,"",[1]对账明细接口!$S1141),"")</f>
        <v/>
      </c>
      <c r="Y1141" s="20" t="str">
        <f>IFERROR(IF([1]对账明细接口!$T1141=0,"",[1]对账明细接口!$T1141),"")</f>
        <v/>
      </c>
      <c r="Z1141" s="24" t="str">
        <f>IFERROR(IF([1]对账明细接口!$U1141=0,"",[1]对账明细接口!$U1141),"")</f>
        <v/>
      </c>
      <c r="AA1141" s="24" t="str">
        <f>IFERROR(IF([1]对账明细接口!$V1141=0,"",[1]对账明细接口!$V1141),"")</f>
        <v/>
      </c>
      <c r="AB1141" s="20" t="str">
        <f>IFERROR(IF([1]对账明细接口!$W1141=0,"",[1]对账明细接口!$W1141),"")</f>
        <v/>
      </c>
      <c r="AC1141" s="7" t="str">
        <f>IFERROR(IF([1]对账明细接口!$X1141=0,"",[1]对账明细接口!$X1141),"")</f>
        <v/>
      </c>
      <c r="AD1141" s="7" t="str">
        <f>IFERROR(IF([1]对账明细接口!$Y1141=0,"",[1]对账明细接口!$Y1141),"")</f>
        <v/>
      </c>
      <c r="AE1141" s="7" t="str">
        <f>IFERROR(IF([1]对账明细接口!$AA1141=0,"",[1]对账明细接口!$AA1141),"")</f>
        <v/>
      </c>
      <c r="AF1141" s="7" t="str">
        <f>IFERROR(IF([1]对账明细接口!$AB1141=0,"",[1]对账明细接口!$AB1141),"")</f>
        <v/>
      </c>
      <c r="AG1141" s="7" t="str">
        <f>IFERROR(IF([1]对账明细接口!$AC1141=0,"",[1]对账明细接口!$AC1141),"")</f>
        <v/>
      </c>
      <c r="AH1141" s="7" t="str">
        <f>IFERROR(IF([1]对账明细接口!$AD1141=0,"",[1]对账明细接口!$AD1141),"")</f>
        <v/>
      </c>
      <c r="AI1141" s="7" t="str">
        <f>IFERROR(IF([1]对账明细接口!$AE1141=0,"",[1]对账明细接口!$AE1141),"")</f>
        <v/>
      </c>
      <c r="AJ1141" s="7" t="str">
        <f>IFERROR(IF([1]对账明细接口!$AF1141=0,"",[1]对账明细接口!$AF1141),"")</f>
        <v/>
      </c>
    </row>
    <row r="1142" ht="14.25" customHeight="1" spans="1:36">
      <c r="A1142" s="14">
        <v>1142</v>
      </c>
      <c r="B1142" s="15" t="str">
        <f>IFERROR(IF([1]对账明细接口!$B$1142=0,"",[1]对账明细接口!$B$1142),"")</f>
        <v/>
      </c>
      <c r="C1142" s="16" t="str">
        <f>IFERROR(IF([1]对账明细接口!$C$1142=0,"",[1]对账明细接口!$C$1142),"")</f>
        <v/>
      </c>
      <c r="D1142" s="16" t="str">
        <f>IFERROR(IF([1]对账明细接口!$D$1142=0,"",[1]对账明细接口!$D$1142),"")</f>
        <v/>
      </c>
      <c r="E1142" s="16" t="str">
        <f>IFERROR(IF([1]对账明细接口!$E$1142=0,"",[1]对账明细接口!$E$1142),"")</f>
        <v/>
      </c>
      <c r="F1142" s="16" t="str">
        <f>IFERROR(IF([1]对账明细接口!$F$1142=0,"",[1]对账明细接口!$F$1142),"")</f>
        <v/>
      </c>
      <c r="G1142" s="16" t="str">
        <f>IFERROR(IF([1]对账明细接口!$G$1142=0,"",[1]对账明细接口!$G$1142),"")</f>
        <v/>
      </c>
      <c r="H1142" s="17" t="str">
        <f>IFERROR(IF([1]对账明细接口!$H$1142=0,"",[1]对账明细接口!$H$1142),"")</f>
        <v/>
      </c>
      <c r="I1142" s="16" t="str">
        <f>IFERROR(IF([1]对账明细接口!$I$1142=0,"",[1]对账明细接口!$I$1142),"")</f>
        <v/>
      </c>
      <c r="J1142" s="18" t="str">
        <f>IFERROR(IF([1]对账明细接口!$J$1142=0,"",[1]对账明细接口!$J$1142),"")</f>
        <v/>
      </c>
      <c r="K1142" s="18" t="str">
        <f>IFERROR(IF([1]对账明细接口!$K$1142=0,"",[1]对账明细接口!$K$1142),"")</f>
        <v/>
      </c>
      <c r="L1142" s="16" t="str">
        <f>IFERROR(IF([1]对账明细接口!$L$1142=0,"",[1]对账明细接口!$L$1142),"")</f>
        <v/>
      </c>
      <c r="M1142" s="16" t="str">
        <f>IFERROR(IF([1]对账明细接口!$M$1142=0,"",[1]对账明细接口!$M$1142),"")</f>
        <v/>
      </c>
      <c r="N1142" s="19">
        <f t="shared" si="34"/>
        <v>0</v>
      </c>
      <c r="O1142" s="19">
        <f t="shared" si="35"/>
        <v>420</v>
      </c>
      <c r="S1142" s="20" t="str">
        <f>IFERROR(IF([1]对账明细接口!$N1142=0,"",[1]对账明细接口!$N1142),"")</f>
        <v/>
      </c>
      <c r="T1142" s="21" t="str">
        <f>IFERROR(IF([1]对账明细接口!$O1142=0,"",[1]对账明细接口!$O1142),"")</f>
        <v/>
      </c>
      <c r="U1142" s="21" t="str">
        <f>IFERROR(IF([1]对账明细接口!$P1142=0,"",[1]对账明细接口!$P1142),"")</f>
        <v/>
      </c>
      <c r="V1142" s="21" t="str">
        <f>IFERROR(IF([1]对账明细接口!$Q1142=0,"",[1]对账明细接口!$Q1142),"")</f>
        <v/>
      </c>
      <c r="W1142" s="20" t="str">
        <f>IFERROR(IF([1]对账明细接口!$R1142=0,"",[1]对账明细接口!$R1142),"")</f>
        <v/>
      </c>
      <c r="X1142" s="20" t="str">
        <f>IFERROR(IF([1]对账明细接口!$S1142=0,"",[1]对账明细接口!$S1142),"")</f>
        <v/>
      </c>
      <c r="Y1142" s="20" t="str">
        <f>IFERROR(IF([1]对账明细接口!$T1142=0,"",[1]对账明细接口!$T1142),"")</f>
        <v/>
      </c>
      <c r="Z1142" s="24" t="str">
        <f>IFERROR(IF([1]对账明细接口!$U1142=0,"",[1]对账明细接口!$U1142),"")</f>
        <v/>
      </c>
      <c r="AA1142" s="24" t="str">
        <f>IFERROR(IF([1]对账明细接口!$V1142=0,"",[1]对账明细接口!$V1142),"")</f>
        <v/>
      </c>
      <c r="AB1142" s="20" t="str">
        <f>IFERROR(IF([1]对账明细接口!$W1142=0,"",[1]对账明细接口!$W1142),"")</f>
        <v/>
      </c>
      <c r="AC1142" s="7" t="str">
        <f>IFERROR(IF([1]对账明细接口!$X1142=0,"",[1]对账明细接口!$X1142),"")</f>
        <v/>
      </c>
      <c r="AD1142" s="7" t="str">
        <f>IFERROR(IF([1]对账明细接口!$Y1142=0,"",[1]对账明细接口!$Y1142),"")</f>
        <v/>
      </c>
      <c r="AE1142" s="7" t="str">
        <f>IFERROR(IF([1]对账明细接口!$AA1142=0,"",[1]对账明细接口!$AA1142),"")</f>
        <v/>
      </c>
      <c r="AF1142" s="7" t="str">
        <f>IFERROR(IF([1]对账明细接口!$AB1142=0,"",[1]对账明细接口!$AB1142),"")</f>
        <v/>
      </c>
      <c r="AG1142" s="7" t="str">
        <f>IFERROR(IF([1]对账明细接口!$AC1142=0,"",[1]对账明细接口!$AC1142),"")</f>
        <v/>
      </c>
      <c r="AH1142" s="7" t="str">
        <f>IFERROR(IF([1]对账明细接口!$AD1142=0,"",[1]对账明细接口!$AD1142),"")</f>
        <v/>
      </c>
      <c r="AI1142" s="7" t="str">
        <f>IFERROR(IF([1]对账明细接口!$AE1142=0,"",[1]对账明细接口!$AE1142),"")</f>
        <v/>
      </c>
      <c r="AJ1142" s="7" t="str">
        <f>IFERROR(IF([1]对账明细接口!$AF1142=0,"",[1]对账明细接口!$AF1142),"")</f>
        <v/>
      </c>
    </row>
    <row r="1143" ht="14.25" customHeight="1" spans="1:36">
      <c r="A1143" s="14">
        <v>1143</v>
      </c>
      <c r="B1143" s="15" t="str">
        <f>IFERROR(IF([1]对账明细接口!$B$1143=0,"",[1]对账明细接口!$B$1143),"")</f>
        <v/>
      </c>
      <c r="C1143" s="16" t="str">
        <f>IFERROR(IF([1]对账明细接口!$C$1143=0,"",[1]对账明细接口!$C$1143),"")</f>
        <v/>
      </c>
      <c r="D1143" s="16" t="str">
        <f>IFERROR(IF([1]对账明细接口!$D$1143=0,"",[1]对账明细接口!$D$1143),"")</f>
        <v/>
      </c>
      <c r="E1143" s="16" t="str">
        <f>IFERROR(IF([1]对账明细接口!$E$1143=0,"",[1]对账明细接口!$E$1143),"")</f>
        <v/>
      </c>
      <c r="F1143" s="16" t="str">
        <f>IFERROR(IF([1]对账明细接口!$F$1143=0,"",[1]对账明细接口!$F$1143),"")</f>
        <v/>
      </c>
      <c r="G1143" s="16" t="str">
        <f>IFERROR(IF([1]对账明细接口!$G$1143=0,"",[1]对账明细接口!$G$1143),"")</f>
        <v/>
      </c>
      <c r="H1143" s="17" t="str">
        <f>IFERROR(IF([1]对账明细接口!$H$1143=0,"",[1]对账明细接口!$H$1143),"")</f>
        <v/>
      </c>
      <c r="I1143" s="16" t="str">
        <f>IFERROR(IF([1]对账明细接口!$I$1143=0,"",[1]对账明细接口!$I$1143),"")</f>
        <v/>
      </c>
      <c r="J1143" s="18" t="str">
        <f>IFERROR(IF([1]对账明细接口!$J$1143=0,"",[1]对账明细接口!$J$1143),"")</f>
        <v/>
      </c>
      <c r="K1143" s="18" t="str">
        <f>IFERROR(IF([1]对账明细接口!$K$1143=0,"",[1]对账明细接口!$K$1143),"")</f>
        <v/>
      </c>
      <c r="L1143" s="16" t="str">
        <f>IFERROR(IF([1]对账明细接口!$L$1143=0,"",[1]对账明细接口!$L$1143),"")</f>
        <v/>
      </c>
      <c r="M1143" s="16" t="str">
        <f>IFERROR(IF([1]对账明细接口!$M$1143=0,"",[1]对账明细接口!$M$1143),"")</f>
        <v/>
      </c>
      <c r="N1143" s="19">
        <f t="shared" si="34"/>
        <v>0</v>
      </c>
      <c r="O1143" s="19">
        <f t="shared" si="35"/>
        <v>420</v>
      </c>
      <c r="S1143" s="20" t="str">
        <f>IFERROR(IF([1]对账明细接口!$N1143=0,"",[1]对账明细接口!$N1143),"")</f>
        <v/>
      </c>
      <c r="T1143" s="21" t="str">
        <f>IFERROR(IF([1]对账明细接口!$O1143=0,"",[1]对账明细接口!$O1143),"")</f>
        <v/>
      </c>
      <c r="U1143" s="21" t="str">
        <f>IFERROR(IF([1]对账明细接口!$P1143=0,"",[1]对账明细接口!$P1143),"")</f>
        <v/>
      </c>
      <c r="V1143" s="21" t="str">
        <f>IFERROR(IF([1]对账明细接口!$Q1143=0,"",[1]对账明细接口!$Q1143),"")</f>
        <v/>
      </c>
      <c r="W1143" s="20" t="str">
        <f>IFERROR(IF([1]对账明细接口!$R1143=0,"",[1]对账明细接口!$R1143),"")</f>
        <v/>
      </c>
      <c r="X1143" s="20" t="str">
        <f>IFERROR(IF([1]对账明细接口!$S1143=0,"",[1]对账明细接口!$S1143),"")</f>
        <v/>
      </c>
      <c r="Y1143" s="20" t="str">
        <f>IFERROR(IF([1]对账明细接口!$T1143=0,"",[1]对账明细接口!$T1143),"")</f>
        <v/>
      </c>
      <c r="Z1143" s="24" t="str">
        <f>IFERROR(IF([1]对账明细接口!$U1143=0,"",[1]对账明细接口!$U1143),"")</f>
        <v/>
      </c>
      <c r="AA1143" s="24" t="str">
        <f>IFERROR(IF([1]对账明细接口!$V1143=0,"",[1]对账明细接口!$V1143),"")</f>
        <v/>
      </c>
      <c r="AB1143" s="20" t="str">
        <f>IFERROR(IF([1]对账明细接口!$W1143=0,"",[1]对账明细接口!$W1143),"")</f>
        <v/>
      </c>
      <c r="AC1143" s="7" t="str">
        <f>IFERROR(IF([1]对账明细接口!$X1143=0,"",[1]对账明细接口!$X1143),"")</f>
        <v/>
      </c>
      <c r="AD1143" s="7" t="str">
        <f>IFERROR(IF([1]对账明细接口!$Y1143=0,"",[1]对账明细接口!$Y1143),"")</f>
        <v/>
      </c>
      <c r="AE1143" s="7" t="str">
        <f>IFERROR(IF([1]对账明细接口!$AA1143=0,"",[1]对账明细接口!$AA1143),"")</f>
        <v/>
      </c>
      <c r="AF1143" s="7" t="str">
        <f>IFERROR(IF([1]对账明细接口!$AB1143=0,"",[1]对账明细接口!$AB1143),"")</f>
        <v/>
      </c>
      <c r="AG1143" s="7" t="str">
        <f>IFERROR(IF([1]对账明细接口!$AC1143=0,"",[1]对账明细接口!$AC1143),"")</f>
        <v/>
      </c>
      <c r="AH1143" s="7" t="str">
        <f>IFERROR(IF([1]对账明细接口!$AD1143=0,"",[1]对账明细接口!$AD1143),"")</f>
        <v/>
      </c>
      <c r="AI1143" s="7" t="str">
        <f>IFERROR(IF([1]对账明细接口!$AE1143=0,"",[1]对账明细接口!$AE1143),"")</f>
        <v/>
      </c>
      <c r="AJ1143" s="7" t="str">
        <f>IFERROR(IF([1]对账明细接口!$AF1143=0,"",[1]对账明细接口!$AF1143),"")</f>
        <v/>
      </c>
    </row>
    <row r="1144" ht="14.25" customHeight="1" spans="1:36">
      <c r="A1144" s="14">
        <v>1144</v>
      </c>
      <c r="B1144" s="15" t="str">
        <f>IFERROR(IF([1]对账明细接口!$B$1144=0,"",[1]对账明细接口!$B$1144),"")</f>
        <v/>
      </c>
      <c r="C1144" s="16" t="str">
        <f>IFERROR(IF([1]对账明细接口!$C$1144=0,"",[1]对账明细接口!$C$1144),"")</f>
        <v/>
      </c>
      <c r="D1144" s="16" t="str">
        <f>IFERROR(IF([1]对账明细接口!$D$1144=0,"",[1]对账明细接口!$D$1144),"")</f>
        <v/>
      </c>
      <c r="E1144" s="16" t="str">
        <f>IFERROR(IF([1]对账明细接口!$E$1144=0,"",[1]对账明细接口!$E$1144),"")</f>
        <v/>
      </c>
      <c r="F1144" s="16" t="str">
        <f>IFERROR(IF([1]对账明细接口!$F$1144=0,"",[1]对账明细接口!$F$1144),"")</f>
        <v/>
      </c>
      <c r="G1144" s="16" t="str">
        <f>IFERROR(IF([1]对账明细接口!$G$1144=0,"",[1]对账明细接口!$G$1144),"")</f>
        <v/>
      </c>
      <c r="H1144" s="17" t="str">
        <f>IFERROR(IF([1]对账明细接口!$H$1144=0,"",[1]对账明细接口!$H$1144),"")</f>
        <v/>
      </c>
      <c r="I1144" s="16" t="str">
        <f>IFERROR(IF([1]对账明细接口!$I$1144=0,"",[1]对账明细接口!$I$1144),"")</f>
        <v/>
      </c>
      <c r="J1144" s="18" t="str">
        <f>IFERROR(IF([1]对账明细接口!$J$1144=0,"",[1]对账明细接口!$J$1144),"")</f>
        <v/>
      </c>
      <c r="K1144" s="18" t="str">
        <f>IFERROR(IF([1]对账明细接口!$K$1144=0,"",[1]对账明细接口!$K$1144),"")</f>
        <v/>
      </c>
      <c r="L1144" s="16" t="str">
        <f>IFERROR(IF([1]对账明细接口!$L$1144=0,"",[1]对账明细接口!$L$1144),"")</f>
        <v/>
      </c>
      <c r="M1144" s="16" t="str">
        <f>IFERROR(IF([1]对账明细接口!$M$1144=0,"",[1]对账明细接口!$M$1144),"")</f>
        <v/>
      </c>
      <c r="N1144" s="19">
        <f t="shared" si="34"/>
        <v>0</v>
      </c>
      <c r="O1144" s="19">
        <f t="shared" si="35"/>
        <v>420</v>
      </c>
      <c r="S1144" s="20" t="str">
        <f>IFERROR(IF([1]对账明细接口!$N1144=0,"",[1]对账明细接口!$N1144),"")</f>
        <v/>
      </c>
      <c r="T1144" s="21" t="str">
        <f>IFERROR(IF([1]对账明细接口!$O1144=0,"",[1]对账明细接口!$O1144),"")</f>
        <v/>
      </c>
      <c r="U1144" s="21" t="str">
        <f>IFERROR(IF([1]对账明细接口!$P1144=0,"",[1]对账明细接口!$P1144),"")</f>
        <v/>
      </c>
      <c r="V1144" s="21" t="str">
        <f>IFERROR(IF([1]对账明细接口!$Q1144=0,"",[1]对账明细接口!$Q1144),"")</f>
        <v/>
      </c>
      <c r="W1144" s="20" t="str">
        <f>IFERROR(IF([1]对账明细接口!$R1144=0,"",[1]对账明细接口!$R1144),"")</f>
        <v/>
      </c>
      <c r="X1144" s="20" t="str">
        <f>IFERROR(IF([1]对账明细接口!$S1144=0,"",[1]对账明细接口!$S1144),"")</f>
        <v/>
      </c>
      <c r="Y1144" s="20" t="str">
        <f>IFERROR(IF([1]对账明细接口!$T1144=0,"",[1]对账明细接口!$T1144),"")</f>
        <v/>
      </c>
      <c r="Z1144" s="24" t="str">
        <f>IFERROR(IF([1]对账明细接口!$U1144=0,"",[1]对账明细接口!$U1144),"")</f>
        <v/>
      </c>
      <c r="AA1144" s="24" t="str">
        <f>IFERROR(IF([1]对账明细接口!$V1144=0,"",[1]对账明细接口!$V1144),"")</f>
        <v/>
      </c>
      <c r="AB1144" s="20" t="str">
        <f>IFERROR(IF([1]对账明细接口!$W1144=0,"",[1]对账明细接口!$W1144),"")</f>
        <v/>
      </c>
      <c r="AC1144" s="7" t="str">
        <f>IFERROR(IF([1]对账明细接口!$X1144=0,"",[1]对账明细接口!$X1144),"")</f>
        <v/>
      </c>
      <c r="AD1144" s="7" t="str">
        <f>IFERROR(IF([1]对账明细接口!$Y1144=0,"",[1]对账明细接口!$Y1144),"")</f>
        <v/>
      </c>
      <c r="AE1144" s="7" t="str">
        <f>IFERROR(IF([1]对账明细接口!$AA1144=0,"",[1]对账明细接口!$AA1144),"")</f>
        <v/>
      </c>
      <c r="AF1144" s="7" t="str">
        <f>IFERROR(IF([1]对账明细接口!$AB1144=0,"",[1]对账明细接口!$AB1144),"")</f>
        <v/>
      </c>
      <c r="AG1144" s="7" t="str">
        <f>IFERROR(IF([1]对账明细接口!$AC1144=0,"",[1]对账明细接口!$AC1144),"")</f>
        <v/>
      </c>
      <c r="AH1144" s="7" t="str">
        <f>IFERROR(IF([1]对账明细接口!$AD1144=0,"",[1]对账明细接口!$AD1144),"")</f>
        <v/>
      </c>
      <c r="AI1144" s="7" t="str">
        <f>IFERROR(IF([1]对账明细接口!$AE1144=0,"",[1]对账明细接口!$AE1144),"")</f>
        <v/>
      </c>
      <c r="AJ1144" s="7" t="str">
        <f>IFERROR(IF([1]对账明细接口!$AF1144=0,"",[1]对账明细接口!$AF1144),"")</f>
        <v/>
      </c>
    </row>
    <row r="1145" ht="14.25" customHeight="1" spans="1:36">
      <c r="A1145" s="14">
        <v>1145</v>
      </c>
      <c r="B1145" s="15" t="str">
        <f>IFERROR(IF([1]对账明细接口!$B$1145=0,"",[1]对账明细接口!$B$1145),"")</f>
        <v/>
      </c>
      <c r="C1145" s="16" t="str">
        <f>IFERROR(IF([1]对账明细接口!$C$1145=0,"",[1]对账明细接口!$C$1145),"")</f>
        <v/>
      </c>
      <c r="D1145" s="16" t="str">
        <f>IFERROR(IF([1]对账明细接口!$D$1145=0,"",[1]对账明细接口!$D$1145),"")</f>
        <v/>
      </c>
      <c r="E1145" s="16" t="str">
        <f>IFERROR(IF([1]对账明细接口!$E$1145=0,"",[1]对账明细接口!$E$1145),"")</f>
        <v/>
      </c>
      <c r="F1145" s="16" t="str">
        <f>IFERROR(IF([1]对账明细接口!$F$1145=0,"",[1]对账明细接口!$F$1145),"")</f>
        <v/>
      </c>
      <c r="G1145" s="16" t="str">
        <f>IFERROR(IF([1]对账明细接口!$G$1145=0,"",[1]对账明细接口!$G$1145),"")</f>
        <v/>
      </c>
      <c r="H1145" s="17" t="str">
        <f>IFERROR(IF([1]对账明细接口!$H$1145=0,"",[1]对账明细接口!$H$1145),"")</f>
        <v/>
      </c>
      <c r="I1145" s="16" t="str">
        <f>IFERROR(IF([1]对账明细接口!$I$1145=0,"",[1]对账明细接口!$I$1145),"")</f>
        <v/>
      </c>
      <c r="J1145" s="18" t="str">
        <f>IFERROR(IF([1]对账明细接口!$J$1145=0,"",[1]对账明细接口!$J$1145),"")</f>
        <v/>
      </c>
      <c r="K1145" s="18" t="str">
        <f>IFERROR(IF([1]对账明细接口!$K$1145=0,"",[1]对账明细接口!$K$1145),"")</f>
        <v/>
      </c>
      <c r="L1145" s="16" t="str">
        <f>IFERROR(IF([1]对账明细接口!$L$1145=0,"",[1]对账明细接口!$L$1145),"")</f>
        <v/>
      </c>
      <c r="M1145" s="16" t="str">
        <f>IFERROR(IF([1]对账明细接口!$M$1145=0,"",[1]对账明细接口!$M$1145),"")</f>
        <v/>
      </c>
      <c r="N1145" s="19">
        <f t="shared" si="34"/>
        <v>0</v>
      </c>
      <c r="O1145" s="19">
        <f t="shared" si="35"/>
        <v>420</v>
      </c>
      <c r="S1145" s="20" t="str">
        <f>IFERROR(IF([1]对账明细接口!$N1145=0,"",[1]对账明细接口!$N1145),"")</f>
        <v/>
      </c>
      <c r="T1145" s="21" t="str">
        <f>IFERROR(IF([1]对账明细接口!$O1145=0,"",[1]对账明细接口!$O1145),"")</f>
        <v/>
      </c>
      <c r="U1145" s="21" t="str">
        <f>IFERROR(IF([1]对账明细接口!$P1145=0,"",[1]对账明细接口!$P1145),"")</f>
        <v/>
      </c>
      <c r="V1145" s="21" t="str">
        <f>IFERROR(IF([1]对账明细接口!$Q1145=0,"",[1]对账明细接口!$Q1145),"")</f>
        <v/>
      </c>
      <c r="W1145" s="20" t="str">
        <f>IFERROR(IF([1]对账明细接口!$R1145=0,"",[1]对账明细接口!$R1145),"")</f>
        <v/>
      </c>
      <c r="X1145" s="20" t="str">
        <f>IFERROR(IF([1]对账明细接口!$S1145=0,"",[1]对账明细接口!$S1145),"")</f>
        <v/>
      </c>
      <c r="Y1145" s="20" t="str">
        <f>IFERROR(IF([1]对账明细接口!$T1145=0,"",[1]对账明细接口!$T1145),"")</f>
        <v/>
      </c>
      <c r="Z1145" s="24" t="str">
        <f>IFERROR(IF([1]对账明细接口!$U1145=0,"",[1]对账明细接口!$U1145),"")</f>
        <v/>
      </c>
      <c r="AA1145" s="24" t="str">
        <f>IFERROR(IF([1]对账明细接口!$V1145=0,"",[1]对账明细接口!$V1145),"")</f>
        <v/>
      </c>
      <c r="AB1145" s="20" t="str">
        <f>IFERROR(IF([1]对账明细接口!$W1145=0,"",[1]对账明细接口!$W1145),"")</f>
        <v/>
      </c>
      <c r="AC1145" s="7" t="str">
        <f>IFERROR(IF([1]对账明细接口!$X1145=0,"",[1]对账明细接口!$X1145),"")</f>
        <v/>
      </c>
      <c r="AD1145" s="7" t="str">
        <f>IFERROR(IF([1]对账明细接口!$Y1145=0,"",[1]对账明细接口!$Y1145),"")</f>
        <v/>
      </c>
      <c r="AE1145" s="7" t="str">
        <f>IFERROR(IF([1]对账明细接口!$AA1145=0,"",[1]对账明细接口!$AA1145),"")</f>
        <v/>
      </c>
      <c r="AF1145" s="7" t="str">
        <f>IFERROR(IF([1]对账明细接口!$AB1145=0,"",[1]对账明细接口!$AB1145),"")</f>
        <v/>
      </c>
      <c r="AG1145" s="7" t="str">
        <f>IFERROR(IF([1]对账明细接口!$AC1145=0,"",[1]对账明细接口!$AC1145),"")</f>
        <v/>
      </c>
      <c r="AH1145" s="7" t="str">
        <f>IFERROR(IF([1]对账明细接口!$AD1145=0,"",[1]对账明细接口!$AD1145),"")</f>
        <v/>
      </c>
      <c r="AI1145" s="7" t="str">
        <f>IFERROR(IF([1]对账明细接口!$AE1145=0,"",[1]对账明细接口!$AE1145),"")</f>
        <v/>
      </c>
      <c r="AJ1145" s="7" t="str">
        <f>IFERROR(IF([1]对账明细接口!$AF1145=0,"",[1]对账明细接口!$AF1145),"")</f>
        <v/>
      </c>
    </row>
    <row r="1146" ht="14.25" customHeight="1" spans="1:36">
      <c r="A1146" s="14">
        <v>1146</v>
      </c>
      <c r="B1146" s="15" t="str">
        <f>IFERROR(IF([1]对账明细接口!$B$1146=0,"",[1]对账明细接口!$B$1146),"")</f>
        <v/>
      </c>
      <c r="C1146" s="16" t="str">
        <f>IFERROR(IF([1]对账明细接口!$C$1146=0,"",[1]对账明细接口!$C$1146),"")</f>
        <v/>
      </c>
      <c r="D1146" s="16" t="str">
        <f>IFERROR(IF([1]对账明细接口!$D$1146=0,"",[1]对账明细接口!$D$1146),"")</f>
        <v/>
      </c>
      <c r="E1146" s="16" t="str">
        <f>IFERROR(IF([1]对账明细接口!$E$1146=0,"",[1]对账明细接口!$E$1146),"")</f>
        <v/>
      </c>
      <c r="F1146" s="16" t="str">
        <f>IFERROR(IF([1]对账明细接口!$F$1146=0,"",[1]对账明细接口!$F$1146),"")</f>
        <v/>
      </c>
      <c r="G1146" s="16" t="str">
        <f>IFERROR(IF([1]对账明细接口!$G$1146=0,"",[1]对账明细接口!$G$1146),"")</f>
        <v/>
      </c>
      <c r="H1146" s="17" t="str">
        <f>IFERROR(IF([1]对账明细接口!$H$1146=0,"",[1]对账明细接口!$H$1146),"")</f>
        <v/>
      </c>
      <c r="I1146" s="16" t="str">
        <f>IFERROR(IF([1]对账明细接口!$I$1146=0,"",[1]对账明细接口!$I$1146),"")</f>
        <v/>
      </c>
      <c r="J1146" s="18" t="str">
        <f>IFERROR(IF([1]对账明细接口!$J$1146=0,"",[1]对账明细接口!$J$1146),"")</f>
        <v/>
      </c>
      <c r="K1146" s="18" t="str">
        <f>IFERROR(IF([1]对账明细接口!$K$1146=0,"",[1]对账明细接口!$K$1146),"")</f>
        <v/>
      </c>
      <c r="L1146" s="16" t="str">
        <f>IFERROR(IF([1]对账明细接口!$L$1146=0,"",[1]对账明细接口!$L$1146),"")</f>
        <v/>
      </c>
      <c r="M1146" s="16" t="str">
        <f>IFERROR(IF([1]对账明细接口!$M$1146=0,"",[1]对账明细接口!$M$1146),"")</f>
        <v/>
      </c>
      <c r="N1146" s="19">
        <f t="shared" si="34"/>
        <v>0</v>
      </c>
      <c r="O1146" s="19">
        <f t="shared" si="35"/>
        <v>420</v>
      </c>
      <c r="S1146" s="20" t="str">
        <f>IFERROR(IF([1]对账明细接口!$N1146=0,"",[1]对账明细接口!$N1146),"")</f>
        <v/>
      </c>
      <c r="T1146" s="21" t="str">
        <f>IFERROR(IF([1]对账明细接口!$O1146=0,"",[1]对账明细接口!$O1146),"")</f>
        <v/>
      </c>
      <c r="U1146" s="21" t="str">
        <f>IFERROR(IF([1]对账明细接口!$P1146=0,"",[1]对账明细接口!$P1146),"")</f>
        <v/>
      </c>
      <c r="V1146" s="21" t="str">
        <f>IFERROR(IF([1]对账明细接口!$Q1146=0,"",[1]对账明细接口!$Q1146),"")</f>
        <v/>
      </c>
      <c r="W1146" s="20" t="str">
        <f>IFERROR(IF([1]对账明细接口!$R1146=0,"",[1]对账明细接口!$R1146),"")</f>
        <v/>
      </c>
      <c r="X1146" s="20" t="str">
        <f>IFERROR(IF([1]对账明细接口!$S1146=0,"",[1]对账明细接口!$S1146),"")</f>
        <v/>
      </c>
      <c r="Y1146" s="20" t="str">
        <f>IFERROR(IF([1]对账明细接口!$T1146=0,"",[1]对账明细接口!$T1146),"")</f>
        <v/>
      </c>
      <c r="Z1146" s="24" t="str">
        <f>IFERROR(IF([1]对账明细接口!$U1146=0,"",[1]对账明细接口!$U1146),"")</f>
        <v/>
      </c>
      <c r="AA1146" s="24" t="str">
        <f>IFERROR(IF([1]对账明细接口!$V1146=0,"",[1]对账明细接口!$V1146),"")</f>
        <v/>
      </c>
      <c r="AB1146" s="20" t="str">
        <f>IFERROR(IF([1]对账明细接口!$W1146=0,"",[1]对账明细接口!$W1146),"")</f>
        <v/>
      </c>
      <c r="AC1146" s="7" t="str">
        <f>IFERROR(IF([1]对账明细接口!$X1146=0,"",[1]对账明细接口!$X1146),"")</f>
        <v/>
      </c>
      <c r="AD1146" s="7" t="str">
        <f>IFERROR(IF([1]对账明细接口!$Y1146=0,"",[1]对账明细接口!$Y1146),"")</f>
        <v/>
      </c>
      <c r="AE1146" s="7" t="str">
        <f>IFERROR(IF([1]对账明细接口!$AA1146=0,"",[1]对账明细接口!$AA1146),"")</f>
        <v/>
      </c>
      <c r="AF1146" s="7" t="str">
        <f>IFERROR(IF([1]对账明细接口!$AB1146=0,"",[1]对账明细接口!$AB1146),"")</f>
        <v/>
      </c>
      <c r="AG1146" s="7" t="str">
        <f>IFERROR(IF([1]对账明细接口!$AC1146=0,"",[1]对账明细接口!$AC1146),"")</f>
        <v/>
      </c>
      <c r="AH1146" s="7" t="str">
        <f>IFERROR(IF([1]对账明细接口!$AD1146=0,"",[1]对账明细接口!$AD1146),"")</f>
        <v/>
      </c>
      <c r="AI1146" s="7" t="str">
        <f>IFERROR(IF([1]对账明细接口!$AE1146=0,"",[1]对账明细接口!$AE1146),"")</f>
        <v/>
      </c>
      <c r="AJ1146" s="7" t="str">
        <f>IFERROR(IF([1]对账明细接口!$AF1146=0,"",[1]对账明细接口!$AF1146),"")</f>
        <v/>
      </c>
    </row>
    <row r="1147" ht="14.25" customHeight="1" spans="1:36">
      <c r="A1147" s="14">
        <v>1147</v>
      </c>
      <c r="B1147" s="15" t="str">
        <f>IFERROR(IF([1]对账明细接口!$B$1147=0,"",[1]对账明细接口!$B$1147),"")</f>
        <v/>
      </c>
      <c r="C1147" s="16" t="str">
        <f>IFERROR(IF([1]对账明细接口!$C$1147=0,"",[1]对账明细接口!$C$1147),"")</f>
        <v/>
      </c>
      <c r="D1147" s="16" t="str">
        <f>IFERROR(IF([1]对账明细接口!$D$1147=0,"",[1]对账明细接口!$D$1147),"")</f>
        <v/>
      </c>
      <c r="E1147" s="16" t="str">
        <f>IFERROR(IF([1]对账明细接口!$E$1147=0,"",[1]对账明细接口!$E$1147),"")</f>
        <v/>
      </c>
      <c r="F1147" s="16" t="str">
        <f>IFERROR(IF([1]对账明细接口!$F$1147=0,"",[1]对账明细接口!$F$1147),"")</f>
        <v/>
      </c>
      <c r="G1147" s="16" t="str">
        <f>IFERROR(IF([1]对账明细接口!$G$1147=0,"",[1]对账明细接口!$G$1147),"")</f>
        <v/>
      </c>
      <c r="H1147" s="17" t="str">
        <f>IFERROR(IF([1]对账明细接口!$H$1147=0,"",[1]对账明细接口!$H$1147),"")</f>
        <v/>
      </c>
      <c r="I1147" s="16" t="str">
        <f>IFERROR(IF([1]对账明细接口!$I$1147=0,"",[1]对账明细接口!$I$1147),"")</f>
        <v/>
      </c>
      <c r="J1147" s="18" t="str">
        <f>IFERROR(IF([1]对账明细接口!$J$1147=0,"",[1]对账明细接口!$J$1147),"")</f>
        <v/>
      </c>
      <c r="K1147" s="18" t="str">
        <f>IFERROR(IF([1]对账明细接口!$K$1147=0,"",[1]对账明细接口!$K$1147),"")</f>
        <v/>
      </c>
      <c r="L1147" s="16" t="str">
        <f>IFERROR(IF([1]对账明细接口!$L$1147=0,"",[1]对账明细接口!$L$1147),"")</f>
        <v/>
      </c>
      <c r="M1147" s="16" t="str">
        <f>IFERROR(IF([1]对账明细接口!$M$1147=0,"",[1]对账明细接口!$M$1147),"")</f>
        <v/>
      </c>
      <c r="N1147" s="19">
        <f t="shared" si="34"/>
        <v>0</v>
      </c>
      <c r="O1147" s="19">
        <f t="shared" si="35"/>
        <v>420</v>
      </c>
      <c r="S1147" s="20" t="str">
        <f>IFERROR(IF([1]对账明细接口!$N1147=0,"",[1]对账明细接口!$N1147),"")</f>
        <v/>
      </c>
      <c r="T1147" s="21" t="str">
        <f>IFERROR(IF([1]对账明细接口!$O1147=0,"",[1]对账明细接口!$O1147),"")</f>
        <v/>
      </c>
      <c r="U1147" s="21" t="str">
        <f>IFERROR(IF([1]对账明细接口!$P1147=0,"",[1]对账明细接口!$P1147),"")</f>
        <v/>
      </c>
      <c r="V1147" s="21" t="str">
        <f>IFERROR(IF([1]对账明细接口!$Q1147=0,"",[1]对账明细接口!$Q1147),"")</f>
        <v/>
      </c>
      <c r="W1147" s="20" t="str">
        <f>IFERROR(IF([1]对账明细接口!$R1147=0,"",[1]对账明细接口!$R1147),"")</f>
        <v/>
      </c>
      <c r="X1147" s="20" t="str">
        <f>IFERROR(IF([1]对账明细接口!$S1147=0,"",[1]对账明细接口!$S1147),"")</f>
        <v/>
      </c>
      <c r="Y1147" s="20" t="str">
        <f>IFERROR(IF([1]对账明细接口!$T1147=0,"",[1]对账明细接口!$T1147),"")</f>
        <v/>
      </c>
      <c r="Z1147" s="24" t="str">
        <f>IFERROR(IF([1]对账明细接口!$U1147=0,"",[1]对账明细接口!$U1147),"")</f>
        <v/>
      </c>
      <c r="AA1147" s="24" t="str">
        <f>IFERROR(IF([1]对账明细接口!$V1147=0,"",[1]对账明细接口!$V1147),"")</f>
        <v/>
      </c>
      <c r="AB1147" s="20" t="str">
        <f>IFERROR(IF([1]对账明细接口!$W1147=0,"",[1]对账明细接口!$W1147),"")</f>
        <v/>
      </c>
      <c r="AC1147" s="7" t="str">
        <f>IFERROR(IF([1]对账明细接口!$X1147=0,"",[1]对账明细接口!$X1147),"")</f>
        <v/>
      </c>
      <c r="AD1147" s="7" t="str">
        <f>IFERROR(IF([1]对账明细接口!$Y1147=0,"",[1]对账明细接口!$Y1147),"")</f>
        <v/>
      </c>
      <c r="AE1147" s="7" t="str">
        <f>IFERROR(IF([1]对账明细接口!$AA1147=0,"",[1]对账明细接口!$AA1147),"")</f>
        <v/>
      </c>
      <c r="AF1147" s="7" t="str">
        <f>IFERROR(IF([1]对账明细接口!$AB1147=0,"",[1]对账明细接口!$AB1147),"")</f>
        <v/>
      </c>
      <c r="AG1147" s="7" t="str">
        <f>IFERROR(IF([1]对账明细接口!$AC1147=0,"",[1]对账明细接口!$AC1147),"")</f>
        <v/>
      </c>
      <c r="AH1147" s="7" t="str">
        <f>IFERROR(IF([1]对账明细接口!$AD1147=0,"",[1]对账明细接口!$AD1147),"")</f>
        <v/>
      </c>
      <c r="AI1147" s="7" t="str">
        <f>IFERROR(IF([1]对账明细接口!$AE1147=0,"",[1]对账明细接口!$AE1147),"")</f>
        <v/>
      </c>
      <c r="AJ1147" s="7" t="str">
        <f>IFERROR(IF([1]对账明细接口!$AF1147=0,"",[1]对账明细接口!$AF1147),"")</f>
        <v/>
      </c>
    </row>
    <row r="1148" ht="14.25" customHeight="1" spans="1:36">
      <c r="A1148" s="14">
        <v>1148</v>
      </c>
      <c r="B1148" s="15" t="str">
        <f>IFERROR(IF([1]对账明细接口!$B$1148=0,"",[1]对账明细接口!$B$1148),"")</f>
        <v/>
      </c>
      <c r="C1148" s="16" t="str">
        <f>IFERROR(IF([1]对账明细接口!$C$1148=0,"",[1]对账明细接口!$C$1148),"")</f>
        <v/>
      </c>
      <c r="D1148" s="16" t="str">
        <f>IFERROR(IF([1]对账明细接口!$D$1148=0,"",[1]对账明细接口!$D$1148),"")</f>
        <v/>
      </c>
      <c r="E1148" s="16" t="str">
        <f>IFERROR(IF([1]对账明细接口!$E$1148=0,"",[1]对账明细接口!$E$1148),"")</f>
        <v/>
      </c>
      <c r="F1148" s="16" t="str">
        <f>IFERROR(IF([1]对账明细接口!$F$1148=0,"",[1]对账明细接口!$F$1148),"")</f>
        <v/>
      </c>
      <c r="G1148" s="16" t="str">
        <f>IFERROR(IF([1]对账明细接口!$G$1148=0,"",[1]对账明细接口!$G$1148),"")</f>
        <v/>
      </c>
      <c r="H1148" s="17" t="str">
        <f>IFERROR(IF([1]对账明细接口!$H$1148=0,"",[1]对账明细接口!$H$1148),"")</f>
        <v/>
      </c>
      <c r="I1148" s="16" t="str">
        <f>IFERROR(IF([1]对账明细接口!$I$1148=0,"",[1]对账明细接口!$I$1148),"")</f>
        <v/>
      </c>
      <c r="J1148" s="18" t="str">
        <f>IFERROR(IF([1]对账明细接口!$J$1148=0,"",[1]对账明细接口!$J$1148),"")</f>
        <v/>
      </c>
      <c r="K1148" s="18" t="str">
        <f>IFERROR(IF([1]对账明细接口!$K$1148=0,"",[1]对账明细接口!$K$1148),"")</f>
        <v/>
      </c>
      <c r="L1148" s="16" t="str">
        <f>IFERROR(IF([1]对账明细接口!$L$1148=0,"",[1]对账明细接口!$L$1148),"")</f>
        <v/>
      </c>
      <c r="M1148" s="16" t="str">
        <f>IFERROR(IF([1]对账明细接口!$M$1148=0,"",[1]对账明细接口!$M$1148),"")</f>
        <v/>
      </c>
      <c r="N1148" s="19">
        <f t="shared" si="34"/>
        <v>0</v>
      </c>
      <c r="O1148" s="19">
        <f t="shared" si="35"/>
        <v>420</v>
      </c>
      <c r="S1148" s="20" t="str">
        <f>IFERROR(IF([1]对账明细接口!$N1148=0,"",[1]对账明细接口!$N1148),"")</f>
        <v/>
      </c>
      <c r="T1148" s="21" t="str">
        <f>IFERROR(IF([1]对账明细接口!$O1148=0,"",[1]对账明细接口!$O1148),"")</f>
        <v/>
      </c>
      <c r="U1148" s="21" t="str">
        <f>IFERROR(IF([1]对账明细接口!$P1148=0,"",[1]对账明细接口!$P1148),"")</f>
        <v/>
      </c>
      <c r="V1148" s="21" t="str">
        <f>IFERROR(IF([1]对账明细接口!$Q1148=0,"",[1]对账明细接口!$Q1148),"")</f>
        <v/>
      </c>
      <c r="W1148" s="20" t="str">
        <f>IFERROR(IF([1]对账明细接口!$R1148=0,"",[1]对账明细接口!$R1148),"")</f>
        <v/>
      </c>
      <c r="X1148" s="20" t="str">
        <f>IFERROR(IF([1]对账明细接口!$S1148=0,"",[1]对账明细接口!$S1148),"")</f>
        <v/>
      </c>
      <c r="Y1148" s="20" t="str">
        <f>IFERROR(IF([1]对账明细接口!$T1148=0,"",[1]对账明细接口!$T1148),"")</f>
        <v/>
      </c>
      <c r="Z1148" s="24" t="str">
        <f>IFERROR(IF([1]对账明细接口!$U1148=0,"",[1]对账明细接口!$U1148),"")</f>
        <v/>
      </c>
      <c r="AA1148" s="24" t="str">
        <f>IFERROR(IF([1]对账明细接口!$V1148=0,"",[1]对账明细接口!$V1148),"")</f>
        <v/>
      </c>
      <c r="AB1148" s="20" t="str">
        <f>IFERROR(IF([1]对账明细接口!$W1148=0,"",[1]对账明细接口!$W1148),"")</f>
        <v/>
      </c>
      <c r="AC1148" s="7" t="str">
        <f>IFERROR(IF([1]对账明细接口!$X1148=0,"",[1]对账明细接口!$X1148),"")</f>
        <v/>
      </c>
      <c r="AD1148" s="7" t="str">
        <f>IFERROR(IF([1]对账明细接口!$Y1148=0,"",[1]对账明细接口!$Y1148),"")</f>
        <v/>
      </c>
      <c r="AE1148" s="7" t="str">
        <f>IFERROR(IF([1]对账明细接口!$AA1148=0,"",[1]对账明细接口!$AA1148),"")</f>
        <v/>
      </c>
      <c r="AF1148" s="7" t="str">
        <f>IFERROR(IF([1]对账明细接口!$AB1148=0,"",[1]对账明细接口!$AB1148),"")</f>
        <v/>
      </c>
      <c r="AG1148" s="7" t="str">
        <f>IFERROR(IF([1]对账明细接口!$AC1148=0,"",[1]对账明细接口!$AC1148),"")</f>
        <v/>
      </c>
      <c r="AH1148" s="7" t="str">
        <f>IFERROR(IF([1]对账明细接口!$AD1148=0,"",[1]对账明细接口!$AD1148),"")</f>
        <v/>
      </c>
      <c r="AI1148" s="7" t="str">
        <f>IFERROR(IF([1]对账明细接口!$AE1148=0,"",[1]对账明细接口!$AE1148),"")</f>
        <v/>
      </c>
      <c r="AJ1148" s="7" t="str">
        <f>IFERROR(IF([1]对账明细接口!$AF1148=0,"",[1]对账明细接口!$AF1148),"")</f>
        <v/>
      </c>
    </row>
    <row r="1149" ht="14.25" customHeight="1" spans="1:36">
      <c r="A1149" s="14">
        <v>1149</v>
      </c>
      <c r="B1149" s="15" t="str">
        <f>IFERROR(IF([1]对账明细接口!$B$1149=0,"",[1]对账明细接口!$B$1149),"")</f>
        <v/>
      </c>
      <c r="C1149" s="16" t="str">
        <f>IFERROR(IF([1]对账明细接口!$C$1149=0,"",[1]对账明细接口!$C$1149),"")</f>
        <v/>
      </c>
      <c r="D1149" s="16" t="str">
        <f>IFERROR(IF([1]对账明细接口!$D$1149=0,"",[1]对账明细接口!$D$1149),"")</f>
        <v/>
      </c>
      <c r="E1149" s="16" t="str">
        <f>IFERROR(IF([1]对账明细接口!$E$1149=0,"",[1]对账明细接口!$E$1149),"")</f>
        <v/>
      </c>
      <c r="F1149" s="16" t="str">
        <f>IFERROR(IF([1]对账明细接口!$F$1149=0,"",[1]对账明细接口!$F$1149),"")</f>
        <v/>
      </c>
      <c r="G1149" s="16" t="str">
        <f>IFERROR(IF([1]对账明细接口!$G$1149=0,"",[1]对账明细接口!$G$1149),"")</f>
        <v/>
      </c>
      <c r="H1149" s="17" t="str">
        <f>IFERROR(IF([1]对账明细接口!$H$1149=0,"",[1]对账明细接口!$H$1149),"")</f>
        <v/>
      </c>
      <c r="I1149" s="16" t="str">
        <f>IFERROR(IF([1]对账明细接口!$I$1149=0,"",[1]对账明细接口!$I$1149),"")</f>
        <v/>
      </c>
      <c r="J1149" s="18" t="str">
        <f>IFERROR(IF([1]对账明细接口!$J$1149=0,"",[1]对账明细接口!$J$1149),"")</f>
        <v/>
      </c>
      <c r="K1149" s="18" t="str">
        <f>IFERROR(IF([1]对账明细接口!$K$1149=0,"",[1]对账明细接口!$K$1149),"")</f>
        <v/>
      </c>
      <c r="L1149" s="16" t="str">
        <f>IFERROR(IF([1]对账明细接口!$L$1149=0,"",[1]对账明细接口!$L$1149),"")</f>
        <v/>
      </c>
      <c r="M1149" s="16" t="str">
        <f>IFERROR(IF([1]对账明细接口!$M$1149=0,"",[1]对账明细接口!$M$1149),"")</f>
        <v/>
      </c>
      <c r="N1149" s="19">
        <f t="shared" si="34"/>
        <v>0</v>
      </c>
      <c r="O1149" s="19">
        <f t="shared" si="35"/>
        <v>420</v>
      </c>
      <c r="S1149" s="20" t="str">
        <f>IFERROR(IF([1]对账明细接口!$N1149=0,"",[1]对账明细接口!$N1149),"")</f>
        <v/>
      </c>
      <c r="T1149" s="21" t="str">
        <f>IFERROR(IF([1]对账明细接口!$O1149=0,"",[1]对账明细接口!$O1149),"")</f>
        <v/>
      </c>
      <c r="U1149" s="21" t="str">
        <f>IFERROR(IF([1]对账明细接口!$P1149=0,"",[1]对账明细接口!$P1149),"")</f>
        <v/>
      </c>
      <c r="V1149" s="21" t="str">
        <f>IFERROR(IF([1]对账明细接口!$Q1149=0,"",[1]对账明细接口!$Q1149),"")</f>
        <v/>
      </c>
      <c r="W1149" s="20" t="str">
        <f>IFERROR(IF([1]对账明细接口!$R1149=0,"",[1]对账明细接口!$R1149),"")</f>
        <v/>
      </c>
      <c r="X1149" s="20" t="str">
        <f>IFERROR(IF([1]对账明细接口!$S1149=0,"",[1]对账明细接口!$S1149),"")</f>
        <v/>
      </c>
      <c r="Y1149" s="20" t="str">
        <f>IFERROR(IF([1]对账明细接口!$T1149=0,"",[1]对账明细接口!$T1149),"")</f>
        <v/>
      </c>
      <c r="Z1149" s="24" t="str">
        <f>IFERROR(IF([1]对账明细接口!$U1149=0,"",[1]对账明细接口!$U1149),"")</f>
        <v/>
      </c>
      <c r="AA1149" s="24" t="str">
        <f>IFERROR(IF([1]对账明细接口!$V1149=0,"",[1]对账明细接口!$V1149),"")</f>
        <v/>
      </c>
      <c r="AB1149" s="20" t="str">
        <f>IFERROR(IF([1]对账明细接口!$W1149=0,"",[1]对账明细接口!$W1149),"")</f>
        <v/>
      </c>
      <c r="AC1149" s="7" t="str">
        <f>IFERROR(IF([1]对账明细接口!$X1149=0,"",[1]对账明细接口!$X1149),"")</f>
        <v/>
      </c>
      <c r="AD1149" s="7" t="str">
        <f>IFERROR(IF([1]对账明细接口!$Y1149=0,"",[1]对账明细接口!$Y1149),"")</f>
        <v/>
      </c>
      <c r="AE1149" s="7" t="str">
        <f>IFERROR(IF([1]对账明细接口!$AA1149=0,"",[1]对账明细接口!$AA1149),"")</f>
        <v/>
      </c>
      <c r="AF1149" s="7" t="str">
        <f>IFERROR(IF([1]对账明细接口!$AB1149=0,"",[1]对账明细接口!$AB1149),"")</f>
        <v/>
      </c>
      <c r="AG1149" s="7" t="str">
        <f>IFERROR(IF([1]对账明细接口!$AC1149=0,"",[1]对账明细接口!$AC1149),"")</f>
        <v/>
      </c>
      <c r="AH1149" s="7" t="str">
        <f>IFERROR(IF([1]对账明细接口!$AD1149=0,"",[1]对账明细接口!$AD1149),"")</f>
        <v/>
      </c>
      <c r="AI1149" s="7" t="str">
        <f>IFERROR(IF([1]对账明细接口!$AE1149=0,"",[1]对账明细接口!$AE1149),"")</f>
        <v/>
      </c>
      <c r="AJ1149" s="7" t="str">
        <f>IFERROR(IF([1]对账明细接口!$AF1149=0,"",[1]对账明细接口!$AF1149),"")</f>
        <v/>
      </c>
    </row>
    <row r="1150" ht="14.25" customHeight="1" spans="1:36">
      <c r="A1150" s="14">
        <v>1150</v>
      </c>
      <c r="B1150" s="15" t="str">
        <f>IFERROR(IF([1]对账明细接口!$B$1150=0,"",[1]对账明细接口!$B$1150),"")</f>
        <v/>
      </c>
      <c r="C1150" s="16" t="str">
        <f>IFERROR(IF([1]对账明细接口!$C$1150=0,"",[1]对账明细接口!$C$1150),"")</f>
        <v/>
      </c>
      <c r="D1150" s="16" t="str">
        <f>IFERROR(IF([1]对账明细接口!$D$1150=0,"",[1]对账明细接口!$D$1150),"")</f>
        <v/>
      </c>
      <c r="E1150" s="16" t="str">
        <f>IFERROR(IF([1]对账明细接口!$E$1150=0,"",[1]对账明细接口!$E$1150),"")</f>
        <v/>
      </c>
      <c r="F1150" s="16" t="str">
        <f>IFERROR(IF([1]对账明细接口!$F$1150=0,"",[1]对账明细接口!$F$1150),"")</f>
        <v/>
      </c>
      <c r="G1150" s="16" t="str">
        <f>IFERROR(IF([1]对账明细接口!$G$1150=0,"",[1]对账明细接口!$G$1150),"")</f>
        <v/>
      </c>
      <c r="H1150" s="17" t="str">
        <f>IFERROR(IF([1]对账明细接口!$H$1150=0,"",[1]对账明细接口!$H$1150),"")</f>
        <v/>
      </c>
      <c r="I1150" s="16" t="str">
        <f>IFERROR(IF([1]对账明细接口!$I$1150=0,"",[1]对账明细接口!$I$1150),"")</f>
        <v/>
      </c>
      <c r="J1150" s="18" t="str">
        <f>IFERROR(IF([1]对账明细接口!$J$1150=0,"",[1]对账明细接口!$J$1150),"")</f>
        <v/>
      </c>
      <c r="K1150" s="18" t="str">
        <f>IFERROR(IF([1]对账明细接口!$K$1150=0,"",[1]对账明细接口!$K$1150),"")</f>
        <v/>
      </c>
      <c r="L1150" s="16" t="str">
        <f>IFERROR(IF([1]对账明细接口!$L$1150=0,"",[1]对账明细接口!$L$1150),"")</f>
        <v/>
      </c>
      <c r="M1150" s="16" t="str">
        <f>IFERROR(IF([1]对账明细接口!$M$1150=0,"",[1]对账明细接口!$M$1150),"")</f>
        <v/>
      </c>
      <c r="N1150" s="19">
        <f t="shared" si="34"/>
        <v>0</v>
      </c>
      <c r="O1150" s="19">
        <f t="shared" si="35"/>
        <v>420</v>
      </c>
      <c r="S1150" s="20" t="str">
        <f>IFERROR(IF([1]对账明细接口!$N1150=0,"",[1]对账明细接口!$N1150),"")</f>
        <v/>
      </c>
      <c r="T1150" s="21" t="str">
        <f>IFERROR(IF([1]对账明细接口!$O1150=0,"",[1]对账明细接口!$O1150),"")</f>
        <v/>
      </c>
      <c r="U1150" s="21" t="str">
        <f>IFERROR(IF([1]对账明细接口!$P1150=0,"",[1]对账明细接口!$P1150),"")</f>
        <v/>
      </c>
      <c r="V1150" s="21" t="str">
        <f>IFERROR(IF([1]对账明细接口!$Q1150=0,"",[1]对账明细接口!$Q1150),"")</f>
        <v/>
      </c>
      <c r="W1150" s="20" t="str">
        <f>IFERROR(IF([1]对账明细接口!$R1150=0,"",[1]对账明细接口!$R1150),"")</f>
        <v/>
      </c>
      <c r="X1150" s="20" t="str">
        <f>IFERROR(IF([1]对账明细接口!$S1150=0,"",[1]对账明细接口!$S1150),"")</f>
        <v/>
      </c>
      <c r="Y1150" s="20" t="str">
        <f>IFERROR(IF([1]对账明细接口!$T1150=0,"",[1]对账明细接口!$T1150),"")</f>
        <v/>
      </c>
      <c r="Z1150" s="24" t="str">
        <f>IFERROR(IF([1]对账明细接口!$U1150=0,"",[1]对账明细接口!$U1150),"")</f>
        <v/>
      </c>
      <c r="AA1150" s="24" t="str">
        <f>IFERROR(IF([1]对账明细接口!$V1150=0,"",[1]对账明细接口!$V1150),"")</f>
        <v/>
      </c>
      <c r="AB1150" s="20" t="str">
        <f>IFERROR(IF([1]对账明细接口!$W1150=0,"",[1]对账明细接口!$W1150),"")</f>
        <v/>
      </c>
      <c r="AC1150" s="7" t="str">
        <f>IFERROR(IF([1]对账明细接口!$X1150=0,"",[1]对账明细接口!$X1150),"")</f>
        <v/>
      </c>
      <c r="AD1150" s="7" t="str">
        <f>IFERROR(IF([1]对账明细接口!$Y1150=0,"",[1]对账明细接口!$Y1150),"")</f>
        <v/>
      </c>
      <c r="AE1150" s="7" t="str">
        <f>IFERROR(IF([1]对账明细接口!$AA1150=0,"",[1]对账明细接口!$AA1150),"")</f>
        <v/>
      </c>
      <c r="AF1150" s="7" t="str">
        <f>IFERROR(IF([1]对账明细接口!$AB1150=0,"",[1]对账明细接口!$AB1150),"")</f>
        <v/>
      </c>
      <c r="AG1150" s="7" t="str">
        <f>IFERROR(IF([1]对账明细接口!$AC1150=0,"",[1]对账明细接口!$AC1150),"")</f>
        <v/>
      </c>
      <c r="AH1150" s="7" t="str">
        <f>IFERROR(IF([1]对账明细接口!$AD1150=0,"",[1]对账明细接口!$AD1150),"")</f>
        <v/>
      </c>
      <c r="AI1150" s="7" t="str">
        <f>IFERROR(IF([1]对账明细接口!$AE1150=0,"",[1]对账明细接口!$AE1150),"")</f>
        <v/>
      </c>
      <c r="AJ1150" s="7" t="str">
        <f>IFERROR(IF([1]对账明细接口!$AF1150=0,"",[1]对账明细接口!$AF1150),"")</f>
        <v/>
      </c>
    </row>
    <row r="1151" ht="14.25" customHeight="1" spans="1:36">
      <c r="A1151" s="14">
        <v>1151</v>
      </c>
      <c r="B1151" s="15" t="str">
        <f>IFERROR(IF([1]对账明细接口!$B$1151=0,"",[1]对账明细接口!$B$1151),"")</f>
        <v/>
      </c>
      <c r="C1151" s="16" t="str">
        <f>IFERROR(IF([1]对账明细接口!$C$1151=0,"",[1]对账明细接口!$C$1151),"")</f>
        <v/>
      </c>
      <c r="D1151" s="16" t="str">
        <f>IFERROR(IF([1]对账明细接口!$D$1151=0,"",[1]对账明细接口!$D$1151),"")</f>
        <v/>
      </c>
      <c r="E1151" s="16" t="str">
        <f>IFERROR(IF([1]对账明细接口!$E$1151=0,"",[1]对账明细接口!$E$1151),"")</f>
        <v/>
      </c>
      <c r="F1151" s="16" t="str">
        <f>IFERROR(IF([1]对账明细接口!$F$1151=0,"",[1]对账明细接口!$F$1151),"")</f>
        <v/>
      </c>
      <c r="G1151" s="16" t="str">
        <f>IFERROR(IF([1]对账明细接口!$G$1151=0,"",[1]对账明细接口!$G$1151),"")</f>
        <v/>
      </c>
      <c r="H1151" s="17" t="str">
        <f>IFERROR(IF([1]对账明细接口!$H$1151=0,"",[1]对账明细接口!$H$1151),"")</f>
        <v/>
      </c>
      <c r="I1151" s="16" t="str">
        <f>IFERROR(IF([1]对账明细接口!$I$1151=0,"",[1]对账明细接口!$I$1151),"")</f>
        <v/>
      </c>
      <c r="J1151" s="18" t="str">
        <f>IFERROR(IF([1]对账明细接口!$J$1151=0,"",[1]对账明细接口!$J$1151),"")</f>
        <v/>
      </c>
      <c r="K1151" s="18" t="str">
        <f>IFERROR(IF([1]对账明细接口!$K$1151=0,"",[1]对账明细接口!$K$1151),"")</f>
        <v/>
      </c>
      <c r="L1151" s="16" t="str">
        <f>IFERROR(IF([1]对账明细接口!$L$1151=0,"",[1]对账明细接口!$L$1151),"")</f>
        <v/>
      </c>
      <c r="M1151" s="16" t="str">
        <f>IFERROR(IF([1]对账明细接口!$M$1151=0,"",[1]对账明细接口!$M$1151),"")</f>
        <v/>
      </c>
      <c r="N1151" s="19">
        <f t="shared" si="34"/>
        <v>0</v>
      </c>
      <c r="O1151" s="19">
        <f t="shared" si="35"/>
        <v>420</v>
      </c>
      <c r="S1151" s="20" t="str">
        <f>IFERROR(IF([1]对账明细接口!$N1151=0,"",[1]对账明细接口!$N1151),"")</f>
        <v/>
      </c>
      <c r="T1151" s="21" t="str">
        <f>IFERROR(IF([1]对账明细接口!$O1151=0,"",[1]对账明细接口!$O1151),"")</f>
        <v/>
      </c>
      <c r="U1151" s="21" t="str">
        <f>IFERROR(IF([1]对账明细接口!$P1151=0,"",[1]对账明细接口!$P1151),"")</f>
        <v/>
      </c>
      <c r="V1151" s="21" t="str">
        <f>IFERROR(IF([1]对账明细接口!$Q1151=0,"",[1]对账明细接口!$Q1151),"")</f>
        <v/>
      </c>
      <c r="W1151" s="20" t="str">
        <f>IFERROR(IF([1]对账明细接口!$R1151=0,"",[1]对账明细接口!$R1151),"")</f>
        <v/>
      </c>
      <c r="X1151" s="20" t="str">
        <f>IFERROR(IF([1]对账明细接口!$S1151=0,"",[1]对账明细接口!$S1151),"")</f>
        <v/>
      </c>
      <c r="Y1151" s="20" t="str">
        <f>IFERROR(IF([1]对账明细接口!$T1151=0,"",[1]对账明细接口!$T1151),"")</f>
        <v/>
      </c>
      <c r="Z1151" s="24" t="str">
        <f>IFERROR(IF([1]对账明细接口!$U1151=0,"",[1]对账明细接口!$U1151),"")</f>
        <v/>
      </c>
      <c r="AA1151" s="24" t="str">
        <f>IFERROR(IF([1]对账明细接口!$V1151=0,"",[1]对账明细接口!$V1151),"")</f>
        <v/>
      </c>
      <c r="AB1151" s="20" t="str">
        <f>IFERROR(IF([1]对账明细接口!$W1151=0,"",[1]对账明细接口!$W1151),"")</f>
        <v/>
      </c>
      <c r="AC1151" s="7" t="str">
        <f>IFERROR(IF([1]对账明细接口!$X1151=0,"",[1]对账明细接口!$X1151),"")</f>
        <v/>
      </c>
      <c r="AD1151" s="7" t="str">
        <f>IFERROR(IF([1]对账明细接口!$Y1151=0,"",[1]对账明细接口!$Y1151),"")</f>
        <v/>
      </c>
      <c r="AE1151" s="7" t="str">
        <f>IFERROR(IF([1]对账明细接口!$AA1151=0,"",[1]对账明细接口!$AA1151),"")</f>
        <v/>
      </c>
      <c r="AF1151" s="7" t="str">
        <f>IFERROR(IF([1]对账明细接口!$AB1151=0,"",[1]对账明细接口!$AB1151),"")</f>
        <v/>
      </c>
      <c r="AG1151" s="7" t="str">
        <f>IFERROR(IF([1]对账明细接口!$AC1151=0,"",[1]对账明细接口!$AC1151),"")</f>
        <v/>
      </c>
      <c r="AH1151" s="7" t="str">
        <f>IFERROR(IF([1]对账明细接口!$AD1151=0,"",[1]对账明细接口!$AD1151),"")</f>
        <v/>
      </c>
      <c r="AI1151" s="7" t="str">
        <f>IFERROR(IF([1]对账明细接口!$AE1151=0,"",[1]对账明细接口!$AE1151),"")</f>
        <v/>
      </c>
      <c r="AJ1151" s="7" t="str">
        <f>IFERROR(IF([1]对账明细接口!$AF1151=0,"",[1]对账明细接口!$AF1151),"")</f>
        <v/>
      </c>
    </row>
    <row r="1152" ht="14.25" customHeight="1" spans="1:36">
      <c r="A1152" s="14">
        <v>1152</v>
      </c>
      <c r="B1152" s="15" t="str">
        <f>IFERROR(IF([1]对账明细接口!$B$1152=0,"",[1]对账明细接口!$B$1152),"")</f>
        <v/>
      </c>
      <c r="C1152" s="16" t="str">
        <f>IFERROR(IF([1]对账明细接口!$C$1152=0,"",[1]对账明细接口!$C$1152),"")</f>
        <v/>
      </c>
      <c r="D1152" s="16" t="str">
        <f>IFERROR(IF([1]对账明细接口!$D$1152=0,"",[1]对账明细接口!$D$1152),"")</f>
        <v/>
      </c>
      <c r="E1152" s="16" t="str">
        <f>IFERROR(IF([1]对账明细接口!$E$1152=0,"",[1]对账明细接口!$E$1152),"")</f>
        <v/>
      </c>
      <c r="F1152" s="16" t="str">
        <f>IFERROR(IF([1]对账明细接口!$F$1152=0,"",[1]对账明细接口!$F$1152),"")</f>
        <v/>
      </c>
      <c r="G1152" s="16" t="str">
        <f>IFERROR(IF([1]对账明细接口!$G$1152=0,"",[1]对账明细接口!$G$1152),"")</f>
        <v/>
      </c>
      <c r="H1152" s="17" t="str">
        <f>IFERROR(IF([1]对账明细接口!$H$1152=0,"",[1]对账明细接口!$H$1152),"")</f>
        <v/>
      </c>
      <c r="I1152" s="16" t="str">
        <f>IFERROR(IF([1]对账明细接口!$I$1152=0,"",[1]对账明细接口!$I$1152),"")</f>
        <v/>
      </c>
      <c r="J1152" s="18" t="str">
        <f>IFERROR(IF([1]对账明细接口!$J$1152=0,"",[1]对账明细接口!$J$1152),"")</f>
        <v/>
      </c>
      <c r="K1152" s="18" t="str">
        <f>IFERROR(IF([1]对账明细接口!$K$1152=0,"",[1]对账明细接口!$K$1152),"")</f>
        <v/>
      </c>
      <c r="L1152" s="16" t="str">
        <f>IFERROR(IF([1]对账明细接口!$L$1152=0,"",[1]对账明细接口!$L$1152),"")</f>
        <v/>
      </c>
      <c r="M1152" s="16" t="str">
        <f>IFERROR(IF([1]对账明细接口!$M$1152=0,"",[1]对账明细接口!$M$1152),"")</f>
        <v/>
      </c>
      <c r="N1152" s="19">
        <f t="shared" si="34"/>
        <v>0</v>
      </c>
      <c r="O1152" s="19">
        <f t="shared" si="35"/>
        <v>420</v>
      </c>
      <c r="S1152" s="20" t="str">
        <f>IFERROR(IF([1]对账明细接口!$N1152=0,"",[1]对账明细接口!$N1152),"")</f>
        <v/>
      </c>
      <c r="T1152" s="21" t="str">
        <f>IFERROR(IF([1]对账明细接口!$O1152=0,"",[1]对账明细接口!$O1152),"")</f>
        <v/>
      </c>
      <c r="U1152" s="21" t="str">
        <f>IFERROR(IF([1]对账明细接口!$P1152=0,"",[1]对账明细接口!$P1152),"")</f>
        <v/>
      </c>
      <c r="V1152" s="21" t="str">
        <f>IFERROR(IF([1]对账明细接口!$Q1152=0,"",[1]对账明细接口!$Q1152),"")</f>
        <v/>
      </c>
      <c r="W1152" s="20" t="str">
        <f>IFERROR(IF([1]对账明细接口!$R1152=0,"",[1]对账明细接口!$R1152),"")</f>
        <v/>
      </c>
      <c r="X1152" s="20" t="str">
        <f>IFERROR(IF([1]对账明细接口!$S1152=0,"",[1]对账明细接口!$S1152),"")</f>
        <v/>
      </c>
      <c r="Y1152" s="20" t="str">
        <f>IFERROR(IF([1]对账明细接口!$T1152=0,"",[1]对账明细接口!$T1152),"")</f>
        <v/>
      </c>
      <c r="Z1152" s="24" t="str">
        <f>IFERROR(IF([1]对账明细接口!$U1152=0,"",[1]对账明细接口!$U1152),"")</f>
        <v/>
      </c>
      <c r="AA1152" s="24" t="str">
        <f>IFERROR(IF([1]对账明细接口!$V1152=0,"",[1]对账明细接口!$V1152),"")</f>
        <v/>
      </c>
      <c r="AB1152" s="20" t="str">
        <f>IFERROR(IF([1]对账明细接口!$W1152=0,"",[1]对账明细接口!$W1152),"")</f>
        <v/>
      </c>
      <c r="AC1152" s="7" t="str">
        <f>IFERROR(IF([1]对账明细接口!$X1152=0,"",[1]对账明细接口!$X1152),"")</f>
        <v/>
      </c>
      <c r="AD1152" s="7" t="str">
        <f>IFERROR(IF([1]对账明细接口!$Y1152=0,"",[1]对账明细接口!$Y1152),"")</f>
        <v/>
      </c>
      <c r="AE1152" s="7" t="str">
        <f>IFERROR(IF([1]对账明细接口!$AA1152=0,"",[1]对账明细接口!$AA1152),"")</f>
        <v/>
      </c>
      <c r="AF1152" s="7" t="str">
        <f>IFERROR(IF([1]对账明细接口!$AB1152=0,"",[1]对账明细接口!$AB1152),"")</f>
        <v/>
      </c>
      <c r="AG1152" s="7" t="str">
        <f>IFERROR(IF([1]对账明细接口!$AC1152=0,"",[1]对账明细接口!$AC1152),"")</f>
        <v/>
      </c>
      <c r="AH1152" s="7" t="str">
        <f>IFERROR(IF([1]对账明细接口!$AD1152=0,"",[1]对账明细接口!$AD1152),"")</f>
        <v/>
      </c>
      <c r="AI1152" s="7" t="str">
        <f>IFERROR(IF([1]对账明细接口!$AE1152=0,"",[1]对账明细接口!$AE1152),"")</f>
        <v/>
      </c>
      <c r="AJ1152" s="7" t="str">
        <f>IFERROR(IF([1]对账明细接口!$AF1152=0,"",[1]对账明细接口!$AF1152),"")</f>
        <v/>
      </c>
    </row>
    <row r="1153" ht="14.25" customHeight="1" spans="1:36">
      <c r="A1153" s="14">
        <v>1153</v>
      </c>
      <c r="B1153" s="15" t="str">
        <f>IFERROR(IF([1]对账明细接口!$B$1153=0,"",[1]对账明细接口!$B$1153),"")</f>
        <v/>
      </c>
      <c r="C1153" s="16" t="str">
        <f>IFERROR(IF([1]对账明细接口!$C$1153=0,"",[1]对账明细接口!$C$1153),"")</f>
        <v/>
      </c>
      <c r="D1153" s="16" t="str">
        <f>IFERROR(IF([1]对账明细接口!$D$1153=0,"",[1]对账明细接口!$D$1153),"")</f>
        <v/>
      </c>
      <c r="E1153" s="16" t="str">
        <f>IFERROR(IF([1]对账明细接口!$E$1153=0,"",[1]对账明细接口!$E$1153),"")</f>
        <v/>
      </c>
      <c r="F1153" s="16" t="str">
        <f>IFERROR(IF([1]对账明细接口!$F$1153=0,"",[1]对账明细接口!$F$1153),"")</f>
        <v/>
      </c>
      <c r="G1153" s="16" t="str">
        <f>IFERROR(IF([1]对账明细接口!$G$1153=0,"",[1]对账明细接口!$G$1153),"")</f>
        <v/>
      </c>
      <c r="H1153" s="17" t="str">
        <f>IFERROR(IF([1]对账明细接口!$H$1153=0,"",[1]对账明细接口!$H$1153),"")</f>
        <v/>
      </c>
      <c r="I1153" s="16" t="str">
        <f>IFERROR(IF([1]对账明细接口!$I$1153=0,"",[1]对账明细接口!$I$1153),"")</f>
        <v/>
      </c>
      <c r="J1153" s="18" t="str">
        <f>IFERROR(IF([1]对账明细接口!$J$1153=0,"",[1]对账明细接口!$J$1153),"")</f>
        <v/>
      </c>
      <c r="K1153" s="18" t="str">
        <f>IFERROR(IF([1]对账明细接口!$K$1153=0,"",[1]对账明细接口!$K$1153),"")</f>
        <v/>
      </c>
      <c r="L1153" s="16" t="str">
        <f>IFERROR(IF([1]对账明细接口!$L$1153=0,"",[1]对账明细接口!$L$1153),"")</f>
        <v/>
      </c>
      <c r="M1153" s="16" t="str">
        <f>IFERROR(IF([1]对账明细接口!$M$1153=0,"",[1]对账明细接口!$M$1153),"")</f>
        <v/>
      </c>
      <c r="N1153" s="19">
        <f t="shared" si="34"/>
        <v>0</v>
      </c>
      <c r="O1153" s="19">
        <f t="shared" si="35"/>
        <v>420</v>
      </c>
      <c r="S1153" s="20" t="str">
        <f>IFERROR(IF([1]对账明细接口!$N1153=0,"",[1]对账明细接口!$N1153),"")</f>
        <v/>
      </c>
      <c r="T1153" s="21" t="str">
        <f>IFERROR(IF([1]对账明细接口!$O1153=0,"",[1]对账明细接口!$O1153),"")</f>
        <v/>
      </c>
      <c r="U1153" s="21" t="str">
        <f>IFERROR(IF([1]对账明细接口!$P1153=0,"",[1]对账明细接口!$P1153),"")</f>
        <v/>
      </c>
      <c r="V1153" s="21" t="str">
        <f>IFERROR(IF([1]对账明细接口!$Q1153=0,"",[1]对账明细接口!$Q1153),"")</f>
        <v/>
      </c>
      <c r="W1153" s="20" t="str">
        <f>IFERROR(IF([1]对账明细接口!$R1153=0,"",[1]对账明细接口!$R1153),"")</f>
        <v/>
      </c>
      <c r="X1153" s="20" t="str">
        <f>IFERROR(IF([1]对账明细接口!$S1153=0,"",[1]对账明细接口!$S1153),"")</f>
        <v/>
      </c>
      <c r="Y1153" s="20" t="str">
        <f>IFERROR(IF([1]对账明细接口!$T1153=0,"",[1]对账明细接口!$T1153),"")</f>
        <v/>
      </c>
      <c r="Z1153" s="24" t="str">
        <f>IFERROR(IF([1]对账明细接口!$U1153=0,"",[1]对账明细接口!$U1153),"")</f>
        <v/>
      </c>
      <c r="AA1153" s="24" t="str">
        <f>IFERROR(IF([1]对账明细接口!$V1153=0,"",[1]对账明细接口!$V1153),"")</f>
        <v/>
      </c>
      <c r="AB1153" s="20" t="str">
        <f>IFERROR(IF([1]对账明细接口!$W1153=0,"",[1]对账明细接口!$W1153),"")</f>
        <v/>
      </c>
      <c r="AC1153" s="7" t="str">
        <f>IFERROR(IF([1]对账明细接口!$X1153=0,"",[1]对账明细接口!$X1153),"")</f>
        <v/>
      </c>
      <c r="AD1153" s="7" t="str">
        <f>IFERROR(IF([1]对账明细接口!$Y1153=0,"",[1]对账明细接口!$Y1153),"")</f>
        <v/>
      </c>
      <c r="AE1153" s="7" t="str">
        <f>IFERROR(IF([1]对账明细接口!$AA1153=0,"",[1]对账明细接口!$AA1153),"")</f>
        <v/>
      </c>
      <c r="AF1153" s="7" t="str">
        <f>IFERROR(IF([1]对账明细接口!$AB1153=0,"",[1]对账明细接口!$AB1153),"")</f>
        <v/>
      </c>
      <c r="AG1153" s="7" t="str">
        <f>IFERROR(IF([1]对账明细接口!$AC1153=0,"",[1]对账明细接口!$AC1153),"")</f>
        <v/>
      </c>
      <c r="AH1153" s="7" t="str">
        <f>IFERROR(IF([1]对账明细接口!$AD1153=0,"",[1]对账明细接口!$AD1153),"")</f>
        <v/>
      </c>
      <c r="AI1153" s="7" t="str">
        <f>IFERROR(IF([1]对账明细接口!$AE1153=0,"",[1]对账明细接口!$AE1153),"")</f>
        <v/>
      </c>
      <c r="AJ1153" s="7" t="str">
        <f>IFERROR(IF([1]对账明细接口!$AF1153=0,"",[1]对账明细接口!$AF1153),"")</f>
        <v/>
      </c>
    </row>
    <row r="1154" ht="14.25" customHeight="1" spans="1:36">
      <c r="A1154" s="14">
        <v>1154</v>
      </c>
      <c r="B1154" s="15" t="str">
        <f>IFERROR(IF([1]对账明细接口!$B$1154=0,"",[1]对账明细接口!$B$1154),"")</f>
        <v/>
      </c>
      <c r="C1154" s="16" t="str">
        <f>IFERROR(IF([1]对账明细接口!$C$1154=0,"",[1]对账明细接口!$C$1154),"")</f>
        <v/>
      </c>
      <c r="D1154" s="16" t="str">
        <f>IFERROR(IF([1]对账明细接口!$D$1154=0,"",[1]对账明细接口!$D$1154),"")</f>
        <v/>
      </c>
      <c r="E1154" s="16" t="str">
        <f>IFERROR(IF([1]对账明细接口!$E$1154=0,"",[1]对账明细接口!$E$1154),"")</f>
        <v/>
      </c>
      <c r="F1154" s="16" t="str">
        <f>IFERROR(IF([1]对账明细接口!$F$1154=0,"",[1]对账明细接口!$F$1154),"")</f>
        <v/>
      </c>
      <c r="G1154" s="16" t="str">
        <f>IFERROR(IF([1]对账明细接口!$G$1154=0,"",[1]对账明细接口!$G$1154),"")</f>
        <v/>
      </c>
      <c r="H1154" s="17" t="str">
        <f>IFERROR(IF([1]对账明细接口!$H$1154=0,"",[1]对账明细接口!$H$1154),"")</f>
        <v/>
      </c>
      <c r="I1154" s="16" t="str">
        <f>IFERROR(IF([1]对账明细接口!$I$1154=0,"",[1]对账明细接口!$I$1154),"")</f>
        <v/>
      </c>
      <c r="J1154" s="18" t="str">
        <f>IFERROR(IF([1]对账明细接口!$J$1154=0,"",[1]对账明细接口!$J$1154),"")</f>
        <v/>
      </c>
      <c r="K1154" s="18" t="str">
        <f>IFERROR(IF([1]对账明细接口!$K$1154=0,"",[1]对账明细接口!$K$1154),"")</f>
        <v/>
      </c>
      <c r="L1154" s="16" t="str">
        <f>IFERROR(IF([1]对账明细接口!$L$1154=0,"",[1]对账明细接口!$L$1154),"")</f>
        <v/>
      </c>
      <c r="M1154" s="16" t="str">
        <f>IFERROR(IF([1]对账明细接口!$M$1154=0,"",[1]对账明细接口!$M$1154),"")</f>
        <v/>
      </c>
      <c r="N1154" s="19">
        <f t="shared" si="34"/>
        <v>0</v>
      </c>
      <c r="O1154" s="19">
        <f t="shared" si="35"/>
        <v>420</v>
      </c>
      <c r="S1154" s="20" t="str">
        <f>IFERROR(IF([1]对账明细接口!$N1154=0,"",[1]对账明细接口!$N1154),"")</f>
        <v/>
      </c>
      <c r="T1154" s="21" t="str">
        <f>IFERROR(IF([1]对账明细接口!$O1154=0,"",[1]对账明细接口!$O1154),"")</f>
        <v/>
      </c>
      <c r="U1154" s="21" t="str">
        <f>IFERROR(IF([1]对账明细接口!$P1154=0,"",[1]对账明细接口!$P1154),"")</f>
        <v/>
      </c>
      <c r="V1154" s="21" t="str">
        <f>IFERROR(IF([1]对账明细接口!$Q1154=0,"",[1]对账明细接口!$Q1154),"")</f>
        <v/>
      </c>
      <c r="W1154" s="20" t="str">
        <f>IFERROR(IF([1]对账明细接口!$R1154=0,"",[1]对账明细接口!$R1154),"")</f>
        <v/>
      </c>
      <c r="X1154" s="20" t="str">
        <f>IFERROR(IF([1]对账明细接口!$S1154=0,"",[1]对账明细接口!$S1154),"")</f>
        <v/>
      </c>
      <c r="Y1154" s="20" t="str">
        <f>IFERROR(IF([1]对账明细接口!$T1154=0,"",[1]对账明细接口!$T1154),"")</f>
        <v/>
      </c>
      <c r="Z1154" s="24" t="str">
        <f>IFERROR(IF([1]对账明细接口!$U1154=0,"",[1]对账明细接口!$U1154),"")</f>
        <v/>
      </c>
      <c r="AA1154" s="24" t="str">
        <f>IFERROR(IF([1]对账明细接口!$V1154=0,"",[1]对账明细接口!$V1154),"")</f>
        <v/>
      </c>
      <c r="AB1154" s="20" t="str">
        <f>IFERROR(IF([1]对账明细接口!$W1154=0,"",[1]对账明细接口!$W1154),"")</f>
        <v/>
      </c>
      <c r="AC1154" s="7" t="str">
        <f>IFERROR(IF([1]对账明细接口!$X1154=0,"",[1]对账明细接口!$X1154),"")</f>
        <v/>
      </c>
      <c r="AD1154" s="7" t="str">
        <f>IFERROR(IF([1]对账明细接口!$Y1154=0,"",[1]对账明细接口!$Y1154),"")</f>
        <v/>
      </c>
      <c r="AE1154" s="7" t="str">
        <f>IFERROR(IF([1]对账明细接口!$AA1154=0,"",[1]对账明细接口!$AA1154),"")</f>
        <v/>
      </c>
      <c r="AF1154" s="7" t="str">
        <f>IFERROR(IF([1]对账明细接口!$AB1154=0,"",[1]对账明细接口!$AB1154),"")</f>
        <v/>
      </c>
      <c r="AG1154" s="7" t="str">
        <f>IFERROR(IF([1]对账明细接口!$AC1154=0,"",[1]对账明细接口!$AC1154),"")</f>
        <v/>
      </c>
      <c r="AH1154" s="7" t="str">
        <f>IFERROR(IF([1]对账明细接口!$AD1154=0,"",[1]对账明细接口!$AD1154),"")</f>
        <v/>
      </c>
      <c r="AI1154" s="7" t="str">
        <f>IFERROR(IF([1]对账明细接口!$AE1154=0,"",[1]对账明细接口!$AE1154),"")</f>
        <v/>
      </c>
      <c r="AJ1154" s="7" t="str">
        <f>IFERROR(IF([1]对账明细接口!$AF1154=0,"",[1]对账明细接口!$AF1154),"")</f>
        <v/>
      </c>
    </row>
    <row r="1155" ht="14.25" customHeight="1" spans="1:36">
      <c r="A1155" s="14">
        <v>1155</v>
      </c>
      <c r="B1155" s="15" t="str">
        <f>IFERROR(IF([1]对账明细接口!$B$1155=0,"",[1]对账明细接口!$B$1155),"")</f>
        <v/>
      </c>
      <c r="C1155" s="16" t="str">
        <f>IFERROR(IF([1]对账明细接口!$C$1155=0,"",[1]对账明细接口!$C$1155),"")</f>
        <v/>
      </c>
      <c r="D1155" s="16" t="str">
        <f>IFERROR(IF([1]对账明细接口!$D$1155=0,"",[1]对账明细接口!$D$1155),"")</f>
        <v/>
      </c>
      <c r="E1155" s="16" t="str">
        <f>IFERROR(IF([1]对账明细接口!$E$1155=0,"",[1]对账明细接口!$E$1155),"")</f>
        <v/>
      </c>
      <c r="F1155" s="16" t="str">
        <f>IFERROR(IF([1]对账明细接口!$F$1155=0,"",[1]对账明细接口!$F$1155),"")</f>
        <v/>
      </c>
      <c r="G1155" s="16" t="str">
        <f>IFERROR(IF([1]对账明细接口!$G$1155=0,"",[1]对账明细接口!$G$1155),"")</f>
        <v/>
      </c>
      <c r="H1155" s="17" t="str">
        <f>IFERROR(IF([1]对账明细接口!$H$1155=0,"",[1]对账明细接口!$H$1155),"")</f>
        <v/>
      </c>
      <c r="I1155" s="16" t="str">
        <f>IFERROR(IF([1]对账明细接口!$I$1155=0,"",[1]对账明细接口!$I$1155),"")</f>
        <v/>
      </c>
      <c r="J1155" s="18" t="str">
        <f>IFERROR(IF([1]对账明细接口!$J$1155=0,"",[1]对账明细接口!$J$1155),"")</f>
        <v/>
      </c>
      <c r="K1155" s="18" t="str">
        <f>IFERROR(IF([1]对账明细接口!$K$1155=0,"",[1]对账明细接口!$K$1155),"")</f>
        <v/>
      </c>
      <c r="L1155" s="16" t="str">
        <f>IFERROR(IF([1]对账明细接口!$L$1155=0,"",[1]对账明细接口!$L$1155),"")</f>
        <v/>
      </c>
      <c r="M1155" s="16" t="str">
        <f>IFERROR(IF([1]对账明细接口!$M$1155=0,"",[1]对账明细接口!$M$1155),"")</f>
        <v/>
      </c>
      <c r="N1155" s="19">
        <f t="shared" si="34"/>
        <v>0</v>
      </c>
      <c r="O1155" s="19">
        <f t="shared" si="35"/>
        <v>420</v>
      </c>
      <c r="S1155" s="20" t="str">
        <f>IFERROR(IF([1]对账明细接口!$N1155=0,"",[1]对账明细接口!$N1155),"")</f>
        <v/>
      </c>
      <c r="T1155" s="21" t="str">
        <f>IFERROR(IF([1]对账明细接口!$O1155=0,"",[1]对账明细接口!$O1155),"")</f>
        <v/>
      </c>
      <c r="U1155" s="21" t="str">
        <f>IFERROR(IF([1]对账明细接口!$P1155=0,"",[1]对账明细接口!$P1155),"")</f>
        <v/>
      </c>
      <c r="V1155" s="21" t="str">
        <f>IFERROR(IF([1]对账明细接口!$Q1155=0,"",[1]对账明细接口!$Q1155),"")</f>
        <v/>
      </c>
      <c r="W1155" s="20" t="str">
        <f>IFERROR(IF([1]对账明细接口!$R1155=0,"",[1]对账明细接口!$R1155),"")</f>
        <v/>
      </c>
      <c r="X1155" s="20" t="str">
        <f>IFERROR(IF([1]对账明细接口!$S1155=0,"",[1]对账明细接口!$S1155),"")</f>
        <v/>
      </c>
      <c r="Y1155" s="20" t="str">
        <f>IFERROR(IF([1]对账明细接口!$T1155=0,"",[1]对账明细接口!$T1155),"")</f>
        <v/>
      </c>
      <c r="Z1155" s="24" t="str">
        <f>IFERROR(IF([1]对账明细接口!$U1155=0,"",[1]对账明细接口!$U1155),"")</f>
        <v/>
      </c>
      <c r="AA1155" s="24" t="str">
        <f>IFERROR(IF([1]对账明细接口!$V1155=0,"",[1]对账明细接口!$V1155),"")</f>
        <v/>
      </c>
      <c r="AB1155" s="20" t="str">
        <f>IFERROR(IF([1]对账明细接口!$W1155=0,"",[1]对账明细接口!$W1155),"")</f>
        <v/>
      </c>
      <c r="AC1155" s="7" t="str">
        <f>IFERROR(IF([1]对账明细接口!$X1155=0,"",[1]对账明细接口!$X1155),"")</f>
        <v/>
      </c>
      <c r="AD1155" s="7" t="str">
        <f>IFERROR(IF([1]对账明细接口!$Y1155=0,"",[1]对账明细接口!$Y1155),"")</f>
        <v/>
      </c>
      <c r="AE1155" s="7" t="str">
        <f>IFERROR(IF([1]对账明细接口!$AA1155=0,"",[1]对账明细接口!$AA1155),"")</f>
        <v/>
      </c>
      <c r="AF1155" s="7" t="str">
        <f>IFERROR(IF([1]对账明细接口!$AB1155=0,"",[1]对账明细接口!$AB1155),"")</f>
        <v/>
      </c>
      <c r="AG1155" s="7" t="str">
        <f>IFERROR(IF([1]对账明细接口!$AC1155=0,"",[1]对账明细接口!$AC1155),"")</f>
        <v/>
      </c>
      <c r="AH1155" s="7" t="str">
        <f>IFERROR(IF([1]对账明细接口!$AD1155=0,"",[1]对账明细接口!$AD1155),"")</f>
        <v/>
      </c>
      <c r="AI1155" s="7" t="str">
        <f>IFERROR(IF([1]对账明细接口!$AE1155=0,"",[1]对账明细接口!$AE1155),"")</f>
        <v/>
      </c>
      <c r="AJ1155" s="7" t="str">
        <f>IFERROR(IF([1]对账明细接口!$AF1155=0,"",[1]对账明细接口!$AF1155),"")</f>
        <v/>
      </c>
    </row>
    <row r="1156" ht="14.25" customHeight="1" spans="1:36">
      <c r="A1156" s="14">
        <v>1156</v>
      </c>
      <c r="B1156" s="15" t="str">
        <f>IFERROR(IF([1]对账明细接口!$B$1156=0,"",[1]对账明细接口!$B$1156),"")</f>
        <v/>
      </c>
      <c r="C1156" s="16" t="str">
        <f>IFERROR(IF([1]对账明细接口!$C$1156=0,"",[1]对账明细接口!$C$1156),"")</f>
        <v/>
      </c>
      <c r="D1156" s="16" t="str">
        <f>IFERROR(IF([1]对账明细接口!$D$1156=0,"",[1]对账明细接口!$D$1156),"")</f>
        <v/>
      </c>
      <c r="E1156" s="16" t="str">
        <f>IFERROR(IF([1]对账明细接口!$E$1156=0,"",[1]对账明细接口!$E$1156),"")</f>
        <v/>
      </c>
      <c r="F1156" s="16" t="str">
        <f>IFERROR(IF([1]对账明细接口!$F$1156=0,"",[1]对账明细接口!$F$1156),"")</f>
        <v/>
      </c>
      <c r="G1156" s="16" t="str">
        <f>IFERROR(IF([1]对账明细接口!$G$1156=0,"",[1]对账明细接口!$G$1156),"")</f>
        <v/>
      </c>
      <c r="H1156" s="17" t="str">
        <f>IFERROR(IF([1]对账明细接口!$H$1156=0,"",[1]对账明细接口!$H$1156),"")</f>
        <v/>
      </c>
      <c r="I1156" s="16" t="str">
        <f>IFERROR(IF([1]对账明细接口!$I$1156=0,"",[1]对账明细接口!$I$1156),"")</f>
        <v/>
      </c>
      <c r="J1156" s="18" t="str">
        <f>IFERROR(IF([1]对账明细接口!$J$1156=0,"",[1]对账明细接口!$J$1156),"")</f>
        <v/>
      </c>
      <c r="K1156" s="18" t="str">
        <f>IFERROR(IF([1]对账明细接口!$K$1156=0,"",[1]对账明细接口!$K$1156),"")</f>
        <v/>
      </c>
      <c r="L1156" s="16" t="str">
        <f>IFERROR(IF([1]对账明细接口!$L$1156=0,"",[1]对账明细接口!$L$1156),"")</f>
        <v/>
      </c>
      <c r="M1156" s="16" t="str">
        <f>IFERROR(IF([1]对账明细接口!$M$1156=0,"",[1]对账明细接口!$M$1156),"")</f>
        <v/>
      </c>
      <c r="N1156" s="19">
        <f t="shared" ref="N1156:N1203" si="36">IF($C1156="",0,1)</f>
        <v>0</v>
      </c>
      <c r="O1156" s="19">
        <f t="shared" ref="O1156:O1203" si="37">N(O1155)+$N1156</f>
        <v>420</v>
      </c>
      <c r="S1156" s="20" t="str">
        <f>IFERROR(IF([1]对账明细接口!$N1156=0,"",[1]对账明细接口!$N1156),"")</f>
        <v/>
      </c>
      <c r="T1156" s="21" t="str">
        <f>IFERROR(IF([1]对账明细接口!$O1156=0,"",[1]对账明细接口!$O1156),"")</f>
        <v/>
      </c>
      <c r="U1156" s="21" t="str">
        <f>IFERROR(IF([1]对账明细接口!$P1156=0,"",[1]对账明细接口!$P1156),"")</f>
        <v/>
      </c>
      <c r="V1156" s="21" t="str">
        <f>IFERROR(IF([1]对账明细接口!$Q1156=0,"",[1]对账明细接口!$Q1156),"")</f>
        <v/>
      </c>
      <c r="W1156" s="20" t="str">
        <f>IFERROR(IF([1]对账明细接口!$R1156=0,"",[1]对账明细接口!$R1156),"")</f>
        <v/>
      </c>
      <c r="X1156" s="20" t="str">
        <f>IFERROR(IF([1]对账明细接口!$S1156=0,"",[1]对账明细接口!$S1156),"")</f>
        <v/>
      </c>
      <c r="Y1156" s="20" t="str">
        <f>IFERROR(IF([1]对账明细接口!$T1156=0,"",[1]对账明细接口!$T1156),"")</f>
        <v/>
      </c>
      <c r="Z1156" s="24" t="str">
        <f>IFERROR(IF([1]对账明细接口!$U1156=0,"",[1]对账明细接口!$U1156),"")</f>
        <v/>
      </c>
      <c r="AA1156" s="24" t="str">
        <f>IFERROR(IF([1]对账明细接口!$V1156=0,"",[1]对账明细接口!$V1156),"")</f>
        <v/>
      </c>
      <c r="AB1156" s="20" t="str">
        <f>IFERROR(IF([1]对账明细接口!$W1156=0,"",[1]对账明细接口!$W1156),"")</f>
        <v/>
      </c>
      <c r="AC1156" s="7" t="str">
        <f>IFERROR(IF([1]对账明细接口!$X1156=0,"",[1]对账明细接口!$X1156),"")</f>
        <v/>
      </c>
      <c r="AD1156" s="7" t="str">
        <f>IFERROR(IF([1]对账明细接口!$Y1156=0,"",[1]对账明细接口!$Y1156),"")</f>
        <v/>
      </c>
      <c r="AE1156" s="7" t="str">
        <f>IFERROR(IF([1]对账明细接口!$AA1156=0,"",[1]对账明细接口!$AA1156),"")</f>
        <v/>
      </c>
      <c r="AF1156" s="7" t="str">
        <f>IFERROR(IF([1]对账明细接口!$AB1156=0,"",[1]对账明细接口!$AB1156),"")</f>
        <v/>
      </c>
      <c r="AG1156" s="7" t="str">
        <f>IFERROR(IF([1]对账明细接口!$AC1156=0,"",[1]对账明细接口!$AC1156),"")</f>
        <v/>
      </c>
      <c r="AH1156" s="7" t="str">
        <f>IFERROR(IF([1]对账明细接口!$AD1156=0,"",[1]对账明细接口!$AD1156),"")</f>
        <v/>
      </c>
      <c r="AI1156" s="7" t="str">
        <f>IFERROR(IF([1]对账明细接口!$AE1156=0,"",[1]对账明细接口!$AE1156),"")</f>
        <v/>
      </c>
      <c r="AJ1156" s="7" t="str">
        <f>IFERROR(IF([1]对账明细接口!$AF1156=0,"",[1]对账明细接口!$AF1156),"")</f>
        <v/>
      </c>
    </row>
    <row r="1157" ht="14.25" customHeight="1" spans="1:36">
      <c r="A1157" s="14">
        <v>1157</v>
      </c>
      <c r="B1157" s="15" t="str">
        <f>IFERROR(IF([1]对账明细接口!$B$1157=0,"",[1]对账明细接口!$B$1157),"")</f>
        <v/>
      </c>
      <c r="C1157" s="16" t="str">
        <f>IFERROR(IF([1]对账明细接口!$C$1157=0,"",[1]对账明细接口!$C$1157),"")</f>
        <v/>
      </c>
      <c r="D1157" s="16" t="str">
        <f>IFERROR(IF([1]对账明细接口!$D$1157=0,"",[1]对账明细接口!$D$1157),"")</f>
        <v/>
      </c>
      <c r="E1157" s="16" t="str">
        <f>IFERROR(IF([1]对账明细接口!$E$1157=0,"",[1]对账明细接口!$E$1157),"")</f>
        <v/>
      </c>
      <c r="F1157" s="16" t="str">
        <f>IFERROR(IF([1]对账明细接口!$F$1157=0,"",[1]对账明细接口!$F$1157),"")</f>
        <v/>
      </c>
      <c r="G1157" s="16" t="str">
        <f>IFERROR(IF([1]对账明细接口!$G$1157=0,"",[1]对账明细接口!$G$1157),"")</f>
        <v/>
      </c>
      <c r="H1157" s="17" t="str">
        <f>IFERROR(IF([1]对账明细接口!$H$1157=0,"",[1]对账明细接口!$H$1157),"")</f>
        <v/>
      </c>
      <c r="I1157" s="16" t="str">
        <f>IFERROR(IF([1]对账明细接口!$I$1157=0,"",[1]对账明细接口!$I$1157),"")</f>
        <v/>
      </c>
      <c r="J1157" s="18" t="str">
        <f>IFERROR(IF([1]对账明细接口!$J$1157=0,"",[1]对账明细接口!$J$1157),"")</f>
        <v/>
      </c>
      <c r="K1157" s="18" t="str">
        <f>IFERROR(IF([1]对账明细接口!$K$1157=0,"",[1]对账明细接口!$K$1157),"")</f>
        <v/>
      </c>
      <c r="L1157" s="16" t="str">
        <f>IFERROR(IF([1]对账明细接口!$L$1157=0,"",[1]对账明细接口!$L$1157),"")</f>
        <v/>
      </c>
      <c r="M1157" s="16" t="str">
        <f>IFERROR(IF([1]对账明细接口!$M$1157=0,"",[1]对账明细接口!$M$1157),"")</f>
        <v/>
      </c>
      <c r="N1157" s="19">
        <f t="shared" si="36"/>
        <v>0</v>
      </c>
      <c r="O1157" s="19">
        <f t="shared" si="37"/>
        <v>420</v>
      </c>
      <c r="S1157" s="20" t="str">
        <f>IFERROR(IF([1]对账明细接口!$N1157=0,"",[1]对账明细接口!$N1157),"")</f>
        <v/>
      </c>
      <c r="T1157" s="21" t="str">
        <f>IFERROR(IF([1]对账明细接口!$O1157=0,"",[1]对账明细接口!$O1157),"")</f>
        <v/>
      </c>
      <c r="U1157" s="21" t="str">
        <f>IFERROR(IF([1]对账明细接口!$P1157=0,"",[1]对账明细接口!$P1157),"")</f>
        <v/>
      </c>
      <c r="V1157" s="21" t="str">
        <f>IFERROR(IF([1]对账明细接口!$Q1157=0,"",[1]对账明细接口!$Q1157),"")</f>
        <v/>
      </c>
      <c r="W1157" s="20" t="str">
        <f>IFERROR(IF([1]对账明细接口!$R1157=0,"",[1]对账明细接口!$R1157),"")</f>
        <v/>
      </c>
      <c r="X1157" s="20" t="str">
        <f>IFERROR(IF([1]对账明细接口!$S1157=0,"",[1]对账明细接口!$S1157),"")</f>
        <v/>
      </c>
      <c r="Y1157" s="20" t="str">
        <f>IFERROR(IF([1]对账明细接口!$T1157=0,"",[1]对账明细接口!$T1157),"")</f>
        <v/>
      </c>
      <c r="Z1157" s="24" t="str">
        <f>IFERROR(IF([1]对账明细接口!$U1157=0,"",[1]对账明细接口!$U1157),"")</f>
        <v/>
      </c>
      <c r="AA1157" s="24" t="str">
        <f>IFERROR(IF([1]对账明细接口!$V1157=0,"",[1]对账明细接口!$V1157),"")</f>
        <v/>
      </c>
      <c r="AB1157" s="20" t="str">
        <f>IFERROR(IF([1]对账明细接口!$W1157=0,"",[1]对账明细接口!$W1157),"")</f>
        <v/>
      </c>
      <c r="AC1157" s="7" t="str">
        <f>IFERROR(IF([1]对账明细接口!$X1157=0,"",[1]对账明细接口!$X1157),"")</f>
        <v/>
      </c>
      <c r="AD1157" s="7" t="str">
        <f>IFERROR(IF([1]对账明细接口!$Y1157=0,"",[1]对账明细接口!$Y1157),"")</f>
        <v/>
      </c>
      <c r="AE1157" s="7" t="str">
        <f>IFERROR(IF([1]对账明细接口!$AA1157=0,"",[1]对账明细接口!$AA1157),"")</f>
        <v/>
      </c>
      <c r="AF1157" s="7" t="str">
        <f>IFERROR(IF([1]对账明细接口!$AB1157=0,"",[1]对账明细接口!$AB1157),"")</f>
        <v/>
      </c>
      <c r="AG1157" s="7" t="str">
        <f>IFERROR(IF([1]对账明细接口!$AC1157=0,"",[1]对账明细接口!$AC1157),"")</f>
        <v/>
      </c>
      <c r="AH1157" s="7" t="str">
        <f>IFERROR(IF([1]对账明细接口!$AD1157=0,"",[1]对账明细接口!$AD1157),"")</f>
        <v/>
      </c>
      <c r="AI1157" s="7" t="str">
        <f>IFERROR(IF([1]对账明细接口!$AE1157=0,"",[1]对账明细接口!$AE1157),"")</f>
        <v/>
      </c>
      <c r="AJ1157" s="7" t="str">
        <f>IFERROR(IF([1]对账明细接口!$AF1157=0,"",[1]对账明细接口!$AF1157),"")</f>
        <v/>
      </c>
    </row>
    <row r="1158" ht="14.25" customHeight="1" spans="1:36">
      <c r="A1158" s="14">
        <v>1158</v>
      </c>
      <c r="B1158" s="15" t="str">
        <f>IFERROR(IF([1]对账明细接口!$B$1158=0,"",[1]对账明细接口!$B$1158),"")</f>
        <v/>
      </c>
      <c r="C1158" s="16" t="str">
        <f>IFERROR(IF([1]对账明细接口!$C$1158=0,"",[1]对账明细接口!$C$1158),"")</f>
        <v/>
      </c>
      <c r="D1158" s="16" t="str">
        <f>IFERROR(IF([1]对账明细接口!$D$1158=0,"",[1]对账明细接口!$D$1158),"")</f>
        <v/>
      </c>
      <c r="E1158" s="16" t="str">
        <f>IFERROR(IF([1]对账明细接口!$E$1158=0,"",[1]对账明细接口!$E$1158),"")</f>
        <v/>
      </c>
      <c r="F1158" s="16" t="str">
        <f>IFERROR(IF([1]对账明细接口!$F$1158=0,"",[1]对账明细接口!$F$1158),"")</f>
        <v/>
      </c>
      <c r="G1158" s="16" t="str">
        <f>IFERROR(IF([1]对账明细接口!$G$1158=0,"",[1]对账明细接口!$G$1158),"")</f>
        <v/>
      </c>
      <c r="H1158" s="17" t="str">
        <f>IFERROR(IF([1]对账明细接口!$H$1158=0,"",[1]对账明细接口!$H$1158),"")</f>
        <v/>
      </c>
      <c r="I1158" s="16" t="str">
        <f>IFERROR(IF([1]对账明细接口!$I$1158=0,"",[1]对账明细接口!$I$1158),"")</f>
        <v/>
      </c>
      <c r="J1158" s="18" t="str">
        <f>IFERROR(IF([1]对账明细接口!$J$1158=0,"",[1]对账明细接口!$J$1158),"")</f>
        <v/>
      </c>
      <c r="K1158" s="18" t="str">
        <f>IFERROR(IF([1]对账明细接口!$K$1158=0,"",[1]对账明细接口!$K$1158),"")</f>
        <v/>
      </c>
      <c r="L1158" s="16" t="str">
        <f>IFERROR(IF([1]对账明细接口!$L$1158=0,"",[1]对账明细接口!$L$1158),"")</f>
        <v/>
      </c>
      <c r="M1158" s="16" t="str">
        <f>IFERROR(IF([1]对账明细接口!$M$1158=0,"",[1]对账明细接口!$M$1158),"")</f>
        <v/>
      </c>
      <c r="N1158" s="19">
        <f t="shared" si="36"/>
        <v>0</v>
      </c>
      <c r="O1158" s="19">
        <f t="shared" si="37"/>
        <v>420</v>
      </c>
      <c r="S1158" s="20" t="str">
        <f>IFERROR(IF([1]对账明细接口!$N1158=0,"",[1]对账明细接口!$N1158),"")</f>
        <v/>
      </c>
      <c r="T1158" s="21" t="str">
        <f>IFERROR(IF([1]对账明细接口!$O1158=0,"",[1]对账明细接口!$O1158),"")</f>
        <v/>
      </c>
      <c r="U1158" s="21" t="str">
        <f>IFERROR(IF([1]对账明细接口!$P1158=0,"",[1]对账明细接口!$P1158),"")</f>
        <v/>
      </c>
      <c r="V1158" s="21" t="str">
        <f>IFERROR(IF([1]对账明细接口!$Q1158=0,"",[1]对账明细接口!$Q1158),"")</f>
        <v/>
      </c>
      <c r="W1158" s="20" t="str">
        <f>IFERROR(IF([1]对账明细接口!$R1158=0,"",[1]对账明细接口!$R1158),"")</f>
        <v/>
      </c>
      <c r="X1158" s="20" t="str">
        <f>IFERROR(IF([1]对账明细接口!$S1158=0,"",[1]对账明细接口!$S1158),"")</f>
        <v/>
      </c>
      <c r="Y1158" s="20" t="str">
        <f>IFERROR(IF([1]对账明细接口!$T1158=0,"",[1]对账明细接口!$T1158),"")</f>
        <v/>
      </c>
      <c r="Z1158" s="24" t="str">
        <f>IFERROR(IF([1]对账明细接口!$U1158=0,"",[1]对账明细接口!$U1158),"")</f>
        <v/>
      </c>
      <c r="AA1158" s="24" t="str">
        <f>IFERROR(IF([1]对账明细接口!$V1158=0,"",[1]对账明细接口!$V1158),"")</f>
        <v/>
      </c>
      <c r="AB1158" s="20" t="str">
        <f>IFERROR(IF([1]对账明细接口!$W1158=0,"",[1]对账明细接口!$W1158),"")</f>
        <v/>
      </c>
      <c r="AC1158" s="7" t="str">
        <f>IFERROR(IF([1]对账明细接口!$X1158=0,"",[1]对账明细接口!$X1158),"")</f>
        <v/>
      </c>
      <c r="AD1158" s="7" t="str">
        <f>IFERROR(IF([1]对账明细接口!$Y1158=0,"",[1]对账明细接口!$Y1158),"")</f>
        <v/>
      </c>
      <c r="AE1158" s="7" t="str">
        <f>IFERROR(IF([1]对账明细接口!$AA1158=0,"",[1]对账明细接口!$AA1158),"")</f>
        <v/>
      </c>
      <c r="AF1158" s="7" t="str">
        <f>IFERROR(IF([1]对账明细接口!$AB1158=0,"",[1]对账明细接口!$AB1158),"")</f>
        <v/>
      </c>
      <c r="AG1158" s="7" t="str">
        <f>IFERROR(IF([1]对账明细接口!$AC1158=0,"",[1]对账明细接口!$AC1158),"")</f>
        <v/>
      </c>
      <c r="AH1158" s="7" t="str">
        <f>IFERROR(IF([1]对账明细接口!$AD1158=0,"",[1]对账明细接口!$AD1158),"")</f>
        <v/>
      </c>
      <c r="AI1158" s="7" t="str">
        <f>IFERROR(IF([1]对账明细接口!$AE1158=0,"",[1]对账明细接口!$AE1158),"")</f>
        <v/>
      </c>
      <c r="AJ1158" s="7" t="str">
        <f>IFERROR(IF([1]对账明细接口!$AF1158=0,"",[1]对账明细接口!$AF1158),"")</f>
        <v/>
      </c>
    </row>
    <row r="1159" ht="14.25" customHeight="1" spans="1:36">
      <c r="A1159" s="14">
        <v>1159</v>
      </c>
      <c r="B1159" s="15" t="str">
        <f>IFERROR(IF([1]对账明细接口!$B$1159=0,"",[1]对账明细接口!$B$1159),"")</f>
        <v/>
      </c>
      <c r="C1159" s="16" t="str">
        <f>IFERROR(IF([1]对账明细接口!$C$1159=0,"",[1]对账明细接口!$C$1159),"")</f>
        <v/>
      </c>
      <c r="D1159" s="16" t="str">
        <f>IFERROR(IF([1]对账明细接口!$D$1159=0,"",[1]对账明细接口!$D$1159),"")</f>
        <v/>
      </c>
      <c r="E1159" s="16" t="str">
        <f>IFERROR(IF([1]对账明细接口!$E$1159=0,"",[1]对账明细接口!$E$1159),"")</f>
        <v/>
      </c>
      <c r="F1159" s="16" t="str">
        <f>IFERROR(IF([1]对账明细接口!$F$1159=0,"",[1]对账明细接口!$F$1159),"")</f>
        <v/>
      </c>
      <c r="G1159" s="16" t="str">
        <f>IFERROR(IF([1]对账明细接口!$G$1159=0,"",[1]对账明细接口!$G$1159),"")</f>
        <v/>
      </c>
      <c r="H1159" s="17" t="str">
        <f>IFERROR(IF([1]对账明细接口!$H$1159=0,"",[1]对账明细接口!$H$1159),"")</f>
        <v/>
      </c>
      <c r="I1159" s="16" t="str">
        <f>IFERROR(IF([1]对账明细接口!$I$1159=0,"",[1]对账明细接口!$I$1159),"")</f>
        <v/>
      </c>
      <c r="J1159" s="18" t="str">
        <f>IFERROR(IF([1]对账明细接口!$J$1159=0,"",[1]对账明细接口!$J$1159),"")</f>
        <v/>
      </c>
      <c r="K1159" s="18" t="str">
        <f>IFERROR(IF([1]对账明细接口!$K$1159=0,"",[1]对账明细接口!$K$1159),"")</f>
        <v/>
      </c>
      <c r="L1159" s="16" t="str">
        <f>IFERROR(IF([1]对账明细接口!$L$1159=0,"",[1]对账明细接口!$L$1159),"")</f>
        <v/>
      </c>
      <c r="M1159" s="16" t="str">
        <f>IFERROR(IF([1]对账明细接口!$M$1159=0,"",[1]对账明细接口!$M$1159),"")</f>
        <v/>
      </c>
      <c r="N1159" s="19">
        <f t="shared" si="36"/>
        <v>0</v>
      </c>
      <c r="O1159" s="19">
        <f t="shared" si="37"/>
        <v>420</v>
      </c>
      <c r="S1159" s="20" t="str">
        <f>IFERROR(IF([1]对账明细接口!$N1159=0,"",[1]对账明细接口!$N1159),"")</f>
        <v/>
      </c>
      <c r="T1159" s="21" t="str">
        <f>IFERROR(IF([1]对账明细接口!$O1159=0,"",[1]对账明细接口!$O1159),"")</f>
        <v/>
      </c>
      <c r="U1159" s="21" t="str">
        <f>IFERROR(IF([1]对账明细接口!$P1159=0,"",[1]对账明细接口!$P1159),"")</f>
        <v/>
      </c>
      <c r="V1159" s="21" t="str">
        <f>IFERROR(IF([1]对账明细接口!$Q1159=0,"",[1]对账明细接口!$Q1159),"")</f>
        <v/>
      </c>
      <c r="W1159" s="20" t="str">
        <f>IFERROR(IF([1]对账明细接口!$R1159=0,"",[1]对账明细接口!$R1159),"")</f>
        <v/>
      </c>
      <c r="X1159" s="20" t="str">
        <f>IFERROR(IF([1]对账明细接口!$S1159=0,"",[1]对账明细接口!$S1159),"")</f>
        <v/>
      </c>
      <c r="Y1159" s="20" t="str">
        <f>IFERROR(IF([1]对账明细接口!$T1159=0,"",[1]对账明细接口!$T1159),"")</f>
        <v/>
      </c>
      <c r="Z1159" s="24" t="str">
        <f>IFERROR(IF([1]对账明细接口!$U1159=0,"",[1]对账明细接口!$U1159),"")</f>
        <v/>
      </c>
      <c r="AA1159" s="24" t="str">
        <f>IFERROR(IF([1]对账明细接口!$V1159=0,"",[1]对账明细接口!$V1159),"")</f>
        <v/>
      </c>
      <c r="AB1159" s="20" t="str">
        <f>IFERROR(IF([1]对账明细接口!$W1159=0,"",[1]对账明细接口!$W1159),"")</f>
        <v/>
      </c>
      <c r="AC1159" s="7" t="str">
        <f>IFERROR(IF([1]对账明细接口!$X1159=0,"",[1]对账明细接口!$X1159),"")</f>
        <v/>
      </c>
      <c r="AD1159" s="7" t="str">
        <f>IFERROR(IF([1]对账明细接口!$Y1159=0,"",[1]对账明细接口!$Y1159),"")</f>
        <v/>
      </c>
      <c r="AE1159" s="7" t="str">
        <f>IFERROR(IF([1]对账明细接口!$AA1159=0,"",[1]对账明细接口!$AA1159),"")</f>
        <v/>
      </c>
      <c r="AF1159" s="7" t="str">
        <f>IFERROR(IF([1]对账明细接口!$AB1159=0,"",[1]对账明细接口!$AB1159),"")</f>
        <v/>
      </c>
      <c r="AG1159" s="7" t="str">
        <f>IFERROR(IF([1]对账明细接口!$AC1159=0,"",[1]对账明细接口!$AC1159),"")</f>
        <v/>
      </c>
      <c r="AH1159" s="7" t="str">
        <f>IFERROR(IF([1]对账明细接口!$AD1159=0,"",[1]对账明细接口!$AD1159),"")</f>
        <v/>
      </c>
      <c r="AI1159" s="7" t="str">
        <f>IFERROR(IF([1]对账明细接口!$AE1159=0,"",[1]对账明细接口!$AE1159),"")</f>
        <v/>
      </c>
      <c r="AJ1159" s="7" t="str">
        <f>IFERROR(IF([1]对账明细接口!$AF1159=0,"",[1]对账明细接口!$AF1159),"")</f>
        <v/>
      </c>
    </row>
    <row r="1160" ht="14.25" customHeight="1" spans="1:36">
      <c r="A1160" s="14">
        <v>1160</v>
      </c>
      <c r="B1160" s="15" t="str">
        <f>IFERROR(IF([1]对账明细接口!$B$1160=0,"",[1]对账明细接口!$B$1160),"")</f>
        <v/>
      </c>
      <c r="C1160" s="16" t="str">
        <f>IFERROR(IF([1]对账明细接口!$C$1160=0,"",[1]对账明细接口!$C$1160),"")</f>
        <v/>
      </c>
      <c r="D1160" s="16" t="str">
        <f>IFERROR(IF([1]对账明细接口!$D$1160=0,"",[1]对账明细接口!$D$1160),"")</f>
        <v/>
      </c>
      <c r="E1160" s="16" t="str">
        <f>IFERROR(IF([1]对账明细接口!$E$1160=0,"",[1]对账明细接口!$E$1160),"")</f>
        <v/>
      </c>
      <c r="F1160" s="16" t="str">
        <f>IFERROR(IF([1]对账明细接口!$F$1160=0,"",[1]对账明细接口!$F$1160),"")</f>
        <v/>
      </c>
      <c r="G1160" s="16" t="str">
        <f>IFERROR(IF([1]对账明细接口!$G$1160=0,"",[1]对账明细接口!$G$1160),"")</f>
        <v/>
      </c>
      <c r="H1160" s="17" t="str">
        <f>IFERROR(IF([1]对账明细接口!$H$1160=0,"",[1]对账明细接口!$H$1160),"")</f>
        <v/>
      </c>
      <c r="I1160" s="16" t="str">
        <f>IFERROR(IF([1]对账明细接口!$I$1160=0,"",[1]对账明细接口!$I$1160),"")</f>
        <v/>
      </c>
      <c r="J1160" s="18" t="str">
        <f>IFERROR(IF([1]对账明细接口!$J$1160=0,"",[1]对账明细接口!$J$1160),"")</f>
        <v/>
      </c>
      <c r="K1160" s="18" t="str">
        <f>IFERROR(IF([1]对账明细接口!$K$1160=0,"",[1]对账明细接口!$K$1160),"")</f>
        <v/>
      </c>
      <c r="L1160" s="16" t="str">
        <f>IFERROR(IF([1]对账明细接口!$L$1160=0,"",[1]对账明细接口!$L$1160),"")</f>
        <v/>
      </c>
      <c r="M1160" s="16" t="str">
        <f>IFERROR(IF([1]对账明细接口!$M$1160=0,"",[1]对账明细接口!$M$1160),"")</f>
        <v/>
      </c>
      <c r="N1160" s="19">
        <f t="shared" si="36"/>
        <v>0</v>
      </c>
      <c r="O1160" s="19">
        <f t="shared" si="37"/>
        <v>420</v>
      </c>
      <c r="S1160" s="20" t="str">
        <f>IFERROR(IF([1]对账明细接口!$N1160=0,"",[1]对账明细接口!$N1160),"")</f>
        <v/>
      </c>
      <c r="T1160" s="21" t="str">
        <f>IFERROR(IF([1]对账明细接口!$O1160=0,"",[1]对账明细接口!$O1160),"")</f>
        <v/>
      </c>
      <c r="U1160" s="21" t="str">
        <f>IFERROR(IF([1]对账明细接口!$P1160=0,"",[1]对账明细接口!$P1160),"")</f>
        <v/>
      </c>
      <c r="V1160" s="21" t="str">
        <f>IFERROR(IF([1]对账明细接口!$Q1160=0,"",[1]对账明细接口!$Q1160),"")</f>
        <v/>
      </c>
      <c r="W1160" s="20" t="str">
        <f>IFERROR(IF([1]对账明细接口!$R1160=0,"",[1]对账明细接口!$R1160),"")</f>
        <v/>
      </c>
      <c r="X1160" s="20" t="str">
        <f>IFERROR(IF([1]对账明细接口!$S1160=0,"",[1]对账明细接口!$S1160),"")</f>
        <v/>
      </c>
      <c r="Y1160" s="20" t="str">
        <f>IFERROR(IF([1]对账明细接口!$T1160=0,"",[1]对账明细接口!$T1160),"")</f>
        <v/>
      </c>
      <c r="Z1160" s="24" t="str">
        <f>IFERROR(IF([1]对账明细接口!$U1160=0,"",[1]对账明细接口!$U1160),"")</f>
        <v/>
      </c>
      <c r="AA1160" s="24" t="str">
        <f>IFERROR(IF([1]对账明细接口!$V1160=0,"",[1]对账明细接口!$V1160),"")</f>
        <v/>
      </c>
      <c r="AB1160" s="20" t="str">
        <f>IFERROR(IF([1]对账明细接口!$W1160=0,"",[1]对账明细接口!$W1160),"")</f>
        <v/>
      </c>
      <c r="AC1160" s="7" t="str">
        <f>IFERROR(IF([1]对账明细接口!$X1160=0,"",[1]对账明细接口!$X1160),"")</f>
        <v/>
      </c>
      <c r="AD1160" s="7" t="str">
        <f>IFERROR(IF([1]对账明细接口!$Y1160=0,"",[1]对账明细接口!$Y1160),"")</f>
        <v/>
      </c>
      <c r="AE1160" s="7" t="str">
        <f>IFERROR(IF([1]对账明细接口!$AA1160=0,"",[1]对账明细接口!$AA1160),"")</f>
        <v/>
      </c>
      <c r="AF1160" s="7" t="str">
        <f>IFERROR(IF([1]对账明细接口!$AB1160=0,"",[1]对账明细接口!$AB1160),"")</f>
        <v/>
      </c>
      <c r="AG1160" s="7" t="str">
        <f>IFERROR(IF([1]对账明细接口!$AC1160=0,"",[1]对账明细接口!$AC1160),"")</f>
        <v/>
      </c>
      <c r="AH1160" s="7" t="str">
        <f>IFERROR(IF([1]对账明细接口!$AD1160=0,"",[1]对账明细接口!$AD1160),"")</f>
        <v/>
      </c>
      <c r="AI1160" s="7" t="str">
        <f>IFERROR(IF([1]对账明细接口!$AE1160=0,"",[1]对账明细接口!$AE1160),"")</f>
        <v/>
      </c>
      <c r="AJ1160" s="7" t="str">
        <f>IFERROR(IF([1]对账明细接口!$AF1160=0,"",[1]对账明细接口!$AF1160),"")</f>
        <v/>
      </c>
    </row>
    <row r="1161" ht="14.25" customHeight="1" spans="1:36">
      <c r="A1161" s="14">
        <v>1161</v>
      </c>
      <c r="B1161" s="15" t="str">
        <f>IFERROR(IF([1]对账明细接口!$B$1161=0,"",[1]对账明细接口!$B$1161),"")</f>
        <v/>
      </c>
      <c r="C1161" s="16" t="str">
        <f>IFERROR(IF([1]对账明细接口!$C$1161=0,"",[1]对账明细接口!$C$1161),"")</f>
        <v/>
      </c>
      <c r="D1161" s="16" t="str">
        <f>IFERROR(IF([1]对账明细接口!$D$1161=0,"",[1]对账明细接口!$D$1161),"")</f>
        <v/>
      </c>
      <c r="E1161" s="16" t="str">
        <f>IFERROR(IF([1]对账明细接口!$E$1161=0,"",[1]对账明细接口!$E$1161),"")</f>
        <v/>
      </c>
      <c r="F1161" s="16" t="str">
        <f>IFERROR(IF([1]对账明细接口!$F$1161=0,"",[1]对账明细接口!$F$1161),"")</f>
        <v/>
      </c>
      <c r="G1161" s="16" t="str">
        <f>IFERROR(IF([1]对账明细接口!$G$1161=0,"",[1]对账明细接口!$G$1161),"")</f>
        <v/>
      </c>
      <c r="H1161" s="17" t="str">
        <f>IFERROR(IF([1]对账明细接口!$H$1161=0,"",[1]对账明细接口!$H$1161),"")</f>
        <v/>
      </c>
      <c r="I1161" s="16" t="str">
        <f>IFERROR(IF([1]对账明细接口!$I$1161=0,"",[1]对账明细接口!$I$1161),"")</f>
        <v/>
      </c>
      <c r="J1161" s="18" t="str">
        <f>IFERROR(IF([1]对账明细接口!$J$1161=0,"",[1]对账明细接口!$J$1161),"")</f>
        <v/>
      </c>
      <c r="K1161" s="18" t="str">
        <f>IFERROR(IF([1]对账明细接口!$K$1161=0,"",[1]对账明细接口!$K$1161),"")</f>
        <v/>
      </c>
      <c r="L1161" s="16" t="str">
        <f>IFERROR(IF([1]对账明细接口!$L$1161=0,"",[1]对账明细接口!$L$1161),"")</f>
        <v/>
      </c>
      <c r="M1161" s="16" t="str">
        <f>IFERROR(IF([1]对账明细接口!$M$1161=0,"",[1]对账明细接口!$M$1161),"")</f>
        <v/>
      </c>
      <c r="N1161" s="19">
        <f t="shared" si="36"/>
        <v>0</v>
      </c>
      <c r="O1161" s="19">
        <f t="shared" si="37"/>
        <v>420</v>
      </c>
      <c r="S1161" s="20" t="str">
        <f>IFERROR(IF([1]对账明细接口!$N1161=0,"",[1]对账明细接口!$N1161),"")</f>
        <v/>
      </c>
      <c r="T1161" s="21" t="str">
        <f>IFERROR(IF([1]对账明细接口!$O1161=0,"",[1]对账明细接口!$O1161),"")</f>
        <v/>
      </c>
      <c r="U1161" s="21" t="str">
        <f>IFERROR(IF([1]对账明细接口!$P1161=0,"",[1]对账明细接口!$P1161),"")</f>
        <v/>
      </c>
      <c r="V1161" s="21" t="str">
        <f>IFERROR(IF([1]对账明细接口!$Q1161=0,"",[1]对账明细接口!$Q1161),"")</f>
        <v/>
      </c>
      <c r="W1161" s="20" t="str">
        <f>IFERROR(IF([1]对账明细接口!$R1161=0,"",[1]对账明细接口!$R1161),"")</f>
        <v/>
      </c>
      <c r="X1161" s="20" t="str">
        <f>IFERROR(IF([1]对账明细接口!$S1161=0,"",[1]对账明细接口!$S1161),"")</f>
        <v/>
      </c>
      <c r="Y1161" s="20" t="str">
        <f>IFERROR(IF([1]对账明细接口!$T1161=0,"",[1]对账明细接口!$T1161),"")</f>
        <v/>
      </c>
      <c r="Z1161" s="24" t="str">
        <f>IFERROR(IF([1]对账明细接口!$U1161=0,"",[1]对账明细接口!$U1161),"")</f>
        <v/>
      </c>
      <c r="AA1161" s="24" t="str">
        <f>IFERROR(IF([1]对账明细接口!$V1161=0,"",[1]对账明细接口!$V1161),"")</f>
        <v/>
      </c>
      <c r="AB1161" s="20" t="str">
        <f>IFERROR(IF([1]对账明细接口!$W1161=0,"",[1]对账明细接口!$W1161),"")</f>
        <v/>
      </c>
      <c r="AC1161" s="7" t="str">
        <f>IFERROR(IF([1]对账明细接口!$X1161=0,"",[1]对账明细接口!$X1161),"")</f>
        <v/>
      </c>
      <c r="AD1161" s="7" t="str">
        <f>IFERROR(IF([1]对账明细接口!$Y1161=0,"",[1]对账明细接口!$Y1161),"")</f>
        <v/>
      </c>
      <c r="AE1161" s="7" t="str">
        <f>IFERROR(IF([1]对账明细接口!$AA1161=0,"",[1]对账明细接口!$AA1161),"")</f>
        <v/>
      </c>
      <c r="AF1161" s="7" t="str">
        <f>IFERROR(IF([1]对账明细接口!$AB1161=0,"",[1]对账明细接口!$AB1161),"")</f>
        <v/>
      </c>
      <c r="AG1161" s="7" t="str">
        <f>IFERROR(IF([1]对账明细接口!$AC1161=0,"",[1]对账明细接口!$AC1161),"")</f>
        <v/>
      </c>
      <c r="AH1161" s="7" t="str">
        <f>IFERROR(IF([1]对账明细接口!$AD1161=0,"",[1]对账明细接口!$AD1161),"")</f>
        <v/>
      </c>
      <c r="AI1161" s="7" t="str">
        <f>IFERROR(IF([1]对账明细接口!$AE1161=0,"",[1]对账明细接口!$AE1161),"")</f>
        <v/>
      </c>
      <c r="AJ1161" s="7" t="str">
        <f>IFERROR(IF([1]对账明细接口!$AF1161=0,"",[1]对账明细接口!$AF1161),"")</f>
        <v/>
      </c>
    </row>
    <row r="1162" ht="14.25" customHeight="1" spans="1:36">
      <c r="A1162" s="14">
        <v>1162</v>
      </c>
      <c r="B1162" s="15" t="str">
        <f>IFERROR(IF([1]对账明细接口!$B$1162=0,"",[1]对账明细接口!$B$1162),"")</f>
        <v/>
      </c>
      <c r="C1162" s="16" t="str">
        <f>IFERROR(IF([1]对账明细接口!$C$1162=0,"",[1]对账明细接口!$C$1162),"")</f>
        <v/>
      </c>
      <c r="D1162" s="16" t="str">
        <f>IFERROR(IF([1]对账明细接口!$D$1162=0,"",[1]对账明细接口!$D$1162),"")</f>
        <v/>
      </c>
      <c r="E1162" s="16" t="str">
        <f>IFERROR(IF([1]对账明细接口!$E$1162=0,"",[1]对账明细接口!$E$1162),"")</f>
        <v/>
      </c>
      <c r="F1162" s="16" t="str">
        <f>IFERROR(IF([1]对账明细接口!$F$1162=0,"",[1]对账明细接口!$F$1162),"")</f>
        <v/>
      </c>
      <c r="G1162" s="16" t="str">
        <f>IFERROR(IF([1]对账明细接口!$G$1162=0,"",[1]对账明细接口!$G$1162),"")</f>
        <v/>
      </c>
      <c r="H1162" s="17" t="str">
        <f>IFERROR(IF([1]对账明细接口!$H$1162=0,"",[1]对账明细接口!$H$1162),"")</f>
        <v/>
      </c>
      <c r="I1162" s="16" t="str">
        <f>IFERROR(IF([1]对账明细接口!$I$1162=0,"",[1]对账明细接口!$I$1162),"")</f>
        <v/>
      </c>
      <c r="J1162" s="18" t="str">
        <f>IFERROR(IF([1]对账明细接口!$J$1162=0,"",[1]对账明细接口!$J$1162),"")</f>
        <v/>
      </c>
      <c r="K1162" s="18" t="str">
        <f>IFERROR(IF([1]对账明细接口!$K$1162=0,"",[1]对账明细接口!$K$1162),"")</f>
        <v/>
      </c>
      <c r="L1162" s="16" t="str">
        <f>IFERROR(IF([1]对账明细接口!$L$1162=0,"",[1]对账明细接口!$L$1162),"")</f>
        <v/>
      </c>
      <c r="M1162" s="16" t="str">
        <f>IFERROR(IF([1]对账明细接口!$M$1162=0,"",[1]对账明细接口!$M$1162),"")</f>
        <v/>
      </c>
      <c r="N1162" s="19">
        <f t="shared" si="36"/>
        <v>0</v>
      </c>
      <c r="O1162" s="19">
        <f t="shared" si="37"/>
        <v>420</v>
      </c>
      <c r="S1162" s="20" t="str">
        <f>IFERROR(IF([1]对账明细接口!$N1162=0,"",[1]对账明细接口!$N1162),"")</f>
        <v/>
      </c>
      <c r="T1162" s="21" t="str">
        <f>IFERROR(IF([1]对账明细接口!$O1162=0,"",[1]对账明细接口!$O1162),"")</f>
        <v/>
      </c>
      <c r="U1162" s="21" t="str">
        <f>IFERROR(IF([1]对账明细接口!$P1162=0,"",[1]对账明细接口!$P1162),"")</f>
        <v/>
      </c>
      <c r="V1162" s="21" t="str">
        <f>IFERROR(IF([1]对账明细接口!$Q1162=0,"",[1]对账明细接口!$Q1162),"")</f>
        <v/>
      </c>
      <c r="W1162" s="20" t="str">
        <f>IFERROR(IF([1]对账明细接口!$R1162=0,"",[1]对账明细接口!$R1162),"")</f>
        <v/>
      </c>
      <c r="X1162" s="20" t="str">
        <f>IFERROR(IF([1]对账明细接口!$S1162=0,"",[1]对账明细接口!$S1162),"")</f>
        <v/>
      </c>
      <c r="Y1162" s="20" t="str">
        <f>IFERROR(IF([1]对账明细接口!$T1162=0,"",[1]对账明细接口!$T1162),"")</f>
        <v/>
      </c>
      <c r="Z1162" s="24" t="str">
        <f>IFERROR(IF([1]对账明细接口!$U1162=0,"",[1]对账明细接口!$U1162),"")</f>
        <v/>
      </c>
      <c r="AA1162" s="24" t="str">
        <f>IFERROR(IF([1]对账明细接口!$V1162=0,"",[1]对账明细接口!$V1162),"")</f>
        <v/>
      </c>
      <c r="AB1162" s="20" t="str">
        <f>IFERROR(IF([1]对账明细接口!$W1162=0,"",[1]对账明细接口!$W1162),"")</f>
        <v/>
      </c>
      <c r="AC1162" s="7" t="str">
        <f>IFERROR(IF([1]对账明细接口!$X1162=0,"",[1]对账明细接口!$X1162),"")</f>
        <v/>
      </c>
      <c r="AD1162" s="7" t="str">
        <f>IFERROR(IF([1]对账明细接口!$Y1162=0,"",[1]对账明细接口!$Y1162),"")</f>
        <v/>
      </c>
      <c r="AE1162" s="7" t="str">
        <f>IFERROR(IF([1]对账明细接口!$AA1162=0,"",[1]对账明细接口!$AA1162),"")</f>
        <v/>
      </c>
      <c r="AF1162" s="7" t="str">
        <f>IFERROR(IF([1]对账明细接口!$AB1162=0,"",[1]对账明细接口!$AB1162),"")</f>
        <v/>
      </c>
      <c r="AG1162" s="7" t="str">
        <f>IFERROR(IF([1]对账明细接口!$AC1162=0,"",[1]对账明细接口!$AC1162),"")</f>
        <v/>
      </c>
      <c r="AH1162" s="7" t="str">
        <f>IFERROR(IF([1]对账明细接口!$AD1162=0,"",[1]对账明细接口!$AD1162),"")</f>
        <v/>
      </c>
      <c r="AI1162" s="7" t="str">
        <f>IFERROR(IF([1]对账明细接口!$AE1162=0,"",[1]对账明细接口!$AE1162),"")</f>
        <v/>
      </c>
      <c r="AJ1162" s="7" t="str">
        <f>IFERROR(IF([1]对账明细接口!$AF1162=0,"",[1]对账明细接口!$AF1162),"")</f>
        <v/>
      </c>
    </row>
    <row r="1163" ht="14.25" customHeight="1" spans="1:36">
      <c r="A1163" s="14">
        <v>1163</v>
      </c>
      <c r="B1163" s="15" t="str">
        <f>IFERROR(IF([1]对账明细接口!$B$1163=0,"",[1]对账明细接口!$B$1163),"")</f>
        <v/>
      </c>
      <c r="C1163" s="16" t="str">
        <f>IFERROR(IF([1]对账明细接口!$C$1163=0,"",[1]对账明细接口!$C$1163),"")</f>
        <v/>
      </c>
      <c r="D1163" s="16" t="str">
        <f>IFERROR(IF([1]对账明细接口!$D$1163=0,"",[1]对账明细接口!$D$1163),"")</f>
        <v/>
      </c>
      <c r="E1163" s="16" t="str">
        <f>IFERROR(IF([1]对账明细接口!$E$1163=0,"",[1]对账明细接口!$E$1163),"")</f>
        <v/>
      </c>
      <c r="F1163" s="16" t="str">
        <f>IFERROR(IF([1]对账明细接口!$F$1163=0,"",[1]对账明细接口!$F$1163),"")</f>
        <v/>
      </c>
      <c r="G1163" s="16" t="str">
        <f>IFERROR(IF([1]对账明细接口!$G$1163=0,"",[1]对账明细接口!$G$1163),"")</f>
        <v/>
      </c>
      <c r="H1163" s="17" t="str">
        <f>IFERROR(IF([1]对账明细接口!$H$1163=0,"",[1]对账明细接口!$H$1163),"")</f>
        <v/>
      </c>
      <c r="I1163" s="16" t="str">
        <f>IFERROR(IF([1]对账明细接口!$I$1163=0,"",[1]对账明细接口!$I$1163),"")</f>
        <v/>
      </c>
      <c r="J1163" s="18" t="str">
        <f>IFERROR(IF([1]对账明细接口!$J$1163=0,"",[1]对账明细接口!$J$1163),"")</f>
        <v/>
      </c>
      <c r="K1163" s="18" t="str">
        <f>IFERROR(IF([1]对账明细接口!$K$1163=0,"",[1]对账明细接口!$K$1163),"")</f>
        <v/>
      </c>
      <c r="L1163" s="16" t="str">
        <f>IFERROR(IF([1]对账明细接口!$L$1163=0,"",[1]对账明细接口!$L$1163),"")</f>
        <v/>
      </c>
      <c r="M1163" s="16" t="str">
        <f>IFERROR(IF([1]对账明细接口!$M$1163=0,"",[1]对账明细接口!$M$1163),"")</f>
        <v/>
      </c>
      <c r="N1163" s="19">
        <f t="shared" si="36"/>
        <v>0</v>
      </c>
      <c r="O1163" s="19">
        <f t="shared" si="37"/>
        <v>420</v>
      </c>
      <c r="S1163" s="20" t="str">
        <f>IFERROR(IF([1]对账明细接口!$N1163=0,"",[1]对账明细接口!$N1163),"")</f>
        <v/>
      </c>
      <c r="T1163" s="21" t="str">
        <f>IFERROR(IF([1]对账明细接口!$O1163=0,"",[1]对账明细接口!$O1163),"")</f>
        <v/>
      </c>
      <c r="U1163" s="21" t="str">
        <f>IFERROR(IF([1]对账明细接口!$P1163=0,"",[1]对账明细接口!$P1163),"")</f>
        <v/>
      </c>
      <c r="V1163" s="21" t="str">
        <f>IFERROR(IF([1]对账明细接口!$Q1163=0,"",[1]对账明细接口!$Q1163),"")</f>
        <v/>
      </c>
      <c r="W1163" s="20" t="str">
        <f>IFERROR(IF([1]对账明细接口!$R1163=0,"",[1]对账明细接口!$R1163),"")</f>
        <v/>
      </c>
      <c r="X1163" s="20" t="str">
        <f>IFERROR(IF([1]对账明细接口!$S1163=0,"",[1]对账明细接口!$S1163),"")</f>
        <v/>
      </c>
      <c r="Y1163" s="20" t="str">
        <f>IFERROR(IF([1]对账明细接口!$T1163=0,"",[1]对账明细接口!$T1163),"")</f>
        <v/>
      </c>
      <c r="Z1163" s="24" t="str">
        <f>IFERROR(IF([1]对账明细接口!$U1163=0,"",[1]对账明细接口!$U1163),"")</f>
        <v/>
      </c>
      <c r="AA1163" s="24" t="str">
        <f>IFERROR(IF([1]对账明细接口!$V1163=0,"",[1]对账明细接口!$V1163),"")</f>
        <v/>
      </c>
      <c r="AB1163" s="20" t="str">
        <f>IFERROR(IF([1]对账明细接口!$W1163=0,"",[1]对账明细接口!$W1163),"")</f>
        <v/>
      </c>
      <c r="AC1163" s="7" t="str">
        <f>IFERROR(IF([1]对账明细接口!$X1163=0,"",[1]对账明细接口!$X1163),"")</f>
        <v/>
      </c>
      <c r="AD1163" s="7" t="str">
        <f>IFERROR(IF([1]对账明细接口!$Y1163=0,"",[1]对账明细接口!$Y1163),"")</f>
        <v/>
      </c>
      <c r="AE1163" s="7" t="str">
        <f>IFERROR(IF([1]对账明细接口!$AA1163=0,"",[1]对账明细接口!$AA1163),"")</f>
        <v/>
      </c>
      <c r="AF1163" s="7" t="str">
        <f>IFERROR(IF([1]对账明细接口!$AB1163=0,"",[1]对账明细接口!$AB1163),"")</f>
        <v/>
      </c>
      <c r="AG1163" s="7" t="str">
        <f>IFERROR(IF([1]对账明细接口!$AC1163=0,"",[1]对账明细接口!$AC1163),"")</f>
        <v/>
      </c>
      <c r="AH1163" s="7" t="str">
        <f>IFERROR(IF([1]对账明细接口!$AD1163=0,"",[1]对账明细接口!$AD1163),"")</f>
        <v/>
      </c>
      <c r="AI1163" s="7" t="str">
        <f>IFERROR(IF([1]对账明细接口!$AE1163=0,"",[1]对账明细接口!$AE1163),"")</f>
        <v/>
      </c>
      <c r="AJ1163" s="7" t="str">
        <f>IFERROR(IF([1]对账明细接口!$AF1163=0,"",[1]对账明细接口!$AF1163),"")</f>
        <v/>
      </c>
    </row>
    <row r="1164" ht="14.25" customHeight="1" spans="1:36">
      <c r="A1164" s="14">
        <v>1164</v>
      </c>
      <c r="B1164" s="15" t="str">
        <f>IFERROR(IF([1]对账明细接口!$B$1164=0,"",[1]对账明细接口!$B$1164),"")</f>
        <v/>
      </c>
      <c r="C1164" s="16" t="str">
        <f>IFERROR(IF([1]对账明细接口!$C$1164=0,"",[1]对账明细接口!$C$1164),"")</f>
        <v/>
      </c>
      <c r="D1164" s="16" t="str">
        <f>IFERROR(IF([1]对账明细接口!$D$1164=0,"",[1]对账明细接口!$D$1164),"")</f>
        <v/>
      </c>
      <c r="E1164" s="16" t="str">
        <f>IFERROR(IF([1]对账明细接口!$E$1164=0,"",[1]对账明细接口!$E$1164),"")</f>
        <v/>
      </c>
      <c r="F1164" s="16" t="str">
        <f>IFERROR(IF([1]对账明细接口!$F$1164=0,"",[1]对账明细接口!$F$1164),"")</f>
        <v/>
      </c>
      <c r="G1164" s="16" t="str">
        <f>IFERROR(IF([1]对账明细接口!$G$1164=0,"",[1]对账明细接口!$G$1164),"")</f>
        <v/>
      </c>
      <c r="H1164" s="17" t="str">
        <f>IFERROR(IF([1]对账明细接口!$H$1164=0,"",[1]对账明细接口!$H$1164),"")</f>
        <v/>
      </c>
      <c r="I1164" s="16" t="str">
        <f>IFERROR(IF([1]对账明细接口!$I$1164=0,"",[1]对账明细接口!$I$1164),"")</f>
        <v/>
      </c>
      <c r="J1164" s="18" t="str">
        <f>IFERROR(IF([1]对账明细接口!$J$1164=0,"",[1]对账明细接口!$J$1164),"")</f>
        <v/>
      </c>
      <c r="K1164" s="18" t="str">
        <f>IFERROR(IF([1]对账明细接口!$K$1164=0,"",[1]对账明细接口!$K$1164),"")</f>
        <v/>
      </c>
      <c r="L1164" s="16" t="str">
        <f>IFERROR(IF([1]对账明细接口!$L$1164=0,"",[1]对账明细接口!$L$1164),"")</f>
        <v/>
      </c>
      <c r="M1164" s="16" t="str">
        <f>IFERROR(IF([1]对账明细接口!$M$1164=0,"",[1]对账明细接口!$M$1164),"")</f>
        <v/>
      </c>
      <c r="N1164" s="19">
        <f t="shared" si="36"/>
        <v>0</v>
      </c>
      <c r="O1164" s="19">
        <f t="shared" si="37"/>
        <v>420</v>
      </c>
      <c r="S1164" s="20" t="str">
        <f>IFERROR(IF([1]对账明细接口!$N1164=0,"",[1]对账明细接口!$N1164),"")</f>
        <v/>
      </c>
      <c r="T1164" s="21" t="str">
        <f>IFERROR(IF([1]对账明细接口!$O1164=0,"",[1]对账明细接口!$O1164),"")</f>
        <v/>
      </c>
      <c r="U1164" s="21" t="str">
        <f>IFERROR(IF([1]对账明细接口!$P1164=0,"",[1]对账明细接口!$P1164),"")</f>
        <v/>
      </c>
      <c r="V1164" s="21" t="str">
        <f>IFERROR(IF([1]对账明细接口!$Q1164=0,"",[1]对账明细接口!$Q1164),"")</f>
        <v/>
      </c>
      <c r="W1164" s="20" t="str">
        <f>IFERROR(IF([1]对账明细接口!$R1164=0,"",[1]对账明细接口!$R1164),"")</f>
        <v/>
      </c>
      <c r="X1164" s="20" t="str">
        <f>IFERROR(IF([1]对账明细接口!$S1164=0,"",[1]对账明细接口!$S1164),"")</f>
        <v/>
      </c>
      <c r="Y1164" s="20" t="str">
        <f>IFERROR(IF([1]对账明细接口!$T1164=0,"",[1]对账明细接口!$T1164),"")</f>
        <v/>
      </c>
      <c r="Z1164" s="24" t="str">
        <f>IFERROR(IF([1]对账明细接口!$U1164=0,"",[1]对账明细接口!$U1164),"")</f>
        <v/>
      </c>
      <c r="AA1164" s="24" t="str">
        <f>IFERROR(IF([1]对账明细接口!$V1164=0,"",[1]对账明细接口!$V1164),"")</f>
        <v/>
      </c>
      <c r="AB1164" s="20" t="str">
        <f>IFERROR(IF([1]对账明细接口!$W1164=0,"",[1]对账明细接口!$W1164),"")</f>
        <v/>
      </c>
      <c r="AC1164" s="7" t="str">
        <f>IFERROR(IF([1]对账明细接口!$X1164=0,"",[1]对账明细接口!$X1164),"")</f>
        <v/>
      </c>
      <c r="AD1164" s="7" t="str">
        <f>IFERROR(IF([1]对账明细接口!$Y1164=0,"",[1]对账明细接口!$Y1164),"")</f>
        <v/>
      </c>
      <c r="AE1164" s="7" t="str">
        <f>IFERROR(IF([1]对账明细接口!$AA1164=0,"",[1]对账明细接口!$AA1164),"")</f>
        <v/>
      </c>
      <c r="AF1164" s="7" t="str">
        <f>IFERROR(IF([1]对账明细接口!$AB1164=0,"",[1]对账明细接口!$AB1164),"")</f>
        <v/>
      </c>
      <c r="AG1164" s="7" t="str">
        <f>IFERROR(IF([1]对账明细接口!$AC1164=0,"",[1]对账明细接口!$AC1164),"")</f>
        <v/>
      </c>
      <c r="AH1164" s="7" t="str">
        <f>IFERROR(IF([1]对账明细接口!$AD1164=0,"",[1]对账明细接口!$AD1164),"")</f>
        <v/>
      </c>
      <c r="AI1164" s="7" t="str">
        <f>IFERROR(IF([1]对账明细接口!$AE1164=0,"",[1]对账明细接口!$AE1164),"")</f>
        <v/>
      </c>
      <c r="AJ1164" s="7" t="str">
        <f>IFERROR(IF([1]对账明细接口!$AF1164=0,"",[1]对账明细接口!$AF1164),"")</f>
        <v/>
      </c>
    </row>
    <row r="1165" ht="14.25" customHeight="1" spans="1:36">
      <c r="A1165" s="14">
        <v>1165</v>
      </c>
      <c r="B1165" s="15" t="str">
        <f>IFERROR(IF([1]对账明细接口!$B$1165=0,"",[1]对账明细接口!$B$1165),"")</f>
        <v/>
      </c>
      <c r="C1165" s="16" t="str">
        <f>IFERROR(IF([1]对账明细接口!$C$1165=0,"",[1]对账明细接口!$C$1165),"")</f>
        <v/>
      </c>
      <c r="D1165" s="16" t="str">
        <f>IFERROR(IF([1]对账明细接口!$D$1165=0,"",[1]对账明细接口!$D$1165),"")</f>
        <v/>
      </c>
      <c r="E1165" s="16" t="str">
        <f>IFERROR(IF([1]对账明细接口!$E$1165=0,"",[1]对账明细接口!$E$1165),"")</f>
        <v/>
      </c>
      <c r="F1165" s="16" t="str">
        <f>IFERROR(IF([1]对账明细接口!$F$1165=0,"",[1]对账明细接口!$F$1165),"")</f>
        <v/>
      </c>
      <c r="G1165" s="16" t="str">
        <f>IFERROR(IF([1]对账明细接口!$G$1165=0,"",[1]对账明细接口!$G$1165),"")</f>
        <v/>
      </c>
      <c r="H1165" s="17" t="str">
        <f>IFERROR(IF([1]对账明细接口!$H$1165=0,"",[1]对账明细接口!$H$1165),"")</f>
        <v/>
      </c>
      <c r="I1165" s="16" t="str">
        <f>IFERROR(IF([1]对账明细接口!$I$1165=0,"",[1]对账明细接口!$I$1165),"")</f>
        <v/>
      </c>
      <c r="J1165" s="18" t="str">
        <f>IFERROR(IF([1]对账明细接口!$J$1165=0,"",[1]对账明细接口!$J$1165),"")</f>
        <v/>
      </c>
      <c r="K1165" s="18" t="str">
        <f>IFERROR(IF([1]对账明细接口!$K$1165=0,"",[1]对账明细接口!$K$1165),"")</f>
        <v/>
      </c>
      <c r="L1165" s="16" t="str">
        <f>IFERROR(IF([1]对账明细接口!$L$1165=0,"",[1]对账明细接口!$L$1165),"")</f>
        <v/>
      </c>
      <c r="M1165" s="16" t="str">
        <f>IFERROR(IF([1]对账明细接口!$M$1165=0,"",[1]对账明细接口!$M$1165),"")</f>
        <v/>
      </c>
      <c r="N1165" s="19">
        <f t="shared" si="36"/>
        <v>0</v>
      </c>
      <c r="O1165" s="19">
        <f t="shared" si="37"/>
        <v>420</v>
      </c>
      <c r="S1165" s="20" t="str">
        <f>IFERROR(IF([1]对账明细接口!$N1165=0,"",[1]对账明细接口!$N1165),"")</f>
        <v/>
      </c>
      <c r="T1165" s="21" t="str">
        <f>IFERROR(IF([1]对账明细接口!$O1165=0,"",[1]对账明细接口!$O1165),"")</f>
        <v/>
      </c>
      <c r="U1165" s="21" t="str">
        <f>IFERROR(IF([1]对账明细接口!$P1165=0,"",[1]对账明细接口!$P1165),"")</f>
        <v/>
      </c>
      <c r="V1165" s="21" t="str">
        <f>IFERROR(IF([1]对账明细接口!$Q1165=0,"",[1]对账明细接口!$Q1165),"")</f>
        <v/>
      </c>
      <c r="W1165" s="20" t="str">
        <f>IFERROR(IF([1]对账明细接口!$R1165=0,"",[1]对账明细接口!$R1165),"")</f>
        <v/>
      </c>
      <c r="X1165" s="20" t="str">
        <f>IFERROR(IF([1]对账明细接口!$S1165=0,"",[1]对账明细接口!$S1165),"")</f>
        <v/>
      </c>
      <c r="Y1165" s="20" t="str">
        <f>IFERROR(IF([1]对账明细接口!$T1165=0,"",[1]对账明细接口!$T1165),"")</f>
        <v/>
      </c>
      <c r="Z1165" s="24" t="str">
        <f>IFERROR(IF([1]对账明细接口!$U1165=0,"",[1]对账明细接口!$U1165),"")</f>
        <v/>
      </c>
      <c r="AA1165" s="24" t="str">
        <f>IFERROR(IF([1]对账明细接口!$V1165=0,"",[1]对账明细接口!$V1165),"")</f>
        <v/>
      </c>
      <c r="AB1165" s="20" t="str">
        <f>IFERROR(IF([1]对账明细接口!$W1165=0,"",[1]对账明细接口!$W1165),"")</f>
        <v/>
      </c>
      <c r="AC1165" s="7" t="str">
        <f>IFERROR(IF([1]对账明细接口!$X1165=0,"",[1]对账明细接口!$X1165),"")</f>
        <v/>
      </c>
      <c r="AD1165" s="7" t="str">
        <f>IFERROR(IF([1]对账明细接口!$Y1165=0,"",[1]对账明细接口!$Y1165),"")</f>
        <v/>
      </c>
      <c r="AE1165" s="7" t="str">
        <f>IFERROR(IF([1]对账明细接口!$AA1165=0,"",[1]对账明细接口!$AA1165),"")</f>
        <v/>
      </c>
      <c r="AF1165" s="7" t="str">
        <f>IFERROR(IF([1]对账明细接口!$AB1165=0,"",[1]对账明细接口!$AB1165),"")</f>
        <v/>
      </c>
      <c r="AG1165" s="7" t="str">
        <f>IFERROR(IF([1]对账明细接口!$AC1165=0,"",[1]对账明细接口!$AC1165),"")</f>
        <v/>
      </c>
      <c r="AH1165" s="7" t="str">
        <f>IFERROR(IF([1]对账明细接口!$AD1165=0,"",[1]对账明细接口!$AD1165),"")</f>
        <v/>
      </c>
      <c r="AI1165" s="7" t="str">
        <f>IFERROR(IF([1]对账明细接口!$AE1165=0,"",[1]对账明细接口!$AE1165),"")</f>
        <v/>
      </c>
      <c r="AJ1165" s="7" t="str">
        <f>IFERROR(IF([1]对账明细接口!$AF1165=0,"",[1]对账明细接口!$AF1165),"")</f>
        <v/>
      </c>
    </row>
    <row r="1166" ht="14.25" customHeight="1" spans="1:36">
      <c r="A1166" s="14">
        <v>1166</v>
      </c>
      <c r="B1166" s="15" t="str">
        <f>IFERROR(IF([1]对账明细接口!$B$1166=0,"",[1]对账明细接口!$B$1166),"")</f>
        <v/>
      </c>
      <c r="C1166" s="16" t="str">
        <f>IFERROR(IF([1]对账明细接口!$C$1166=0,"",[1]对账明细接口!$C$1166),"")</f>
        <v/>
      </c>
      <c r="D1166" s="16" t="str">
        <f>IFERROR(IF([1]对账明细接口!$D$1166=0,"",[1]对账明细接口!$D$1166),"")</f>
        <v/>
      </c>
      <c r="E1166" s="16" t="str">
        <f>IFERROR(IF([1]对账明细接口!$E$1166=0,"",[1]对账明细接口!$E$1166),"")</f>
        <v/>
      </c>
      <c r="F1166" s="16" t="str">
        <f>IFERROR(IF([1]对账明细接口!$F$1166=0,"",[1]对账明细接口!$F$1166),"")</f>
        <v/>
      </c>
      <c r="G1166" s="16" t="str">
        <f>IFERROR(IF([1]对账明细接口!$G$1166=0,"",[1]对账明细接口!$G$1166),"")</f>
        <v/>
      </c>
      <c r="H1166" s="17" t="str">
        <f>IFERROR(IF([1]对账明细接口!$H$1166=0,"",[1]对账明细接口!$H$1166),"")</f>
        <v/>
      </c>
      <c r="I1166" s="16" t="str">
        <f>IFERROR(IF([1]对账明细接口!$I$1166=0,"",[1]对账明细接口!$I$1166),"")</f>
        <v/>
      </c>
      <c r="J1166" s="18" t="str">
        <f>IFERROR(IF([1]对账明细接口!$J$1166=0,"",[1]对账明细接口!$J$1166),"")</f>
        <v/>
      </c>
      <c r="K1166" s="18" t="str">
        <f>IFERROR(IF([1]对账明细接口!$K$1166=0,"",[1]对账明细接口!$K$1166),"")</f>
        <v/>
      </c>
      <c r="L1166" s="16" t="str">
        <f>IFERROR(IF([1]对账明细接口!$L$1166=0,"",[1]对账明细接口!$L$1166),"")</f>
        <v/>
      </c>
      <c r="M1166" s="16" t="str">
        <f>IFERROR(IF([1]对账明细接口!$M$1166=0,"",[1]对账明细接口!$M$1166),"")</f>
        <v/>
      </c>
      <c r="N1166" s="19">
        <f t="shared" si="36"/>
        <v>0</v>
      </c>
      <c r="O1166" s="19">
        <f t="shared" si="37"/>
        <v>420</v>
      </c>
      <c r="S1166" s="20" t="str">
        <f>IFERROR(IF([1]对账明细接口!$N1166=0,"",[1]对账明细接口!$N1166),"")</f>
        <v/>
      </c>
      <c r="T1166" s="21" t="str">
        <f>IFERROR(IF([1]对账明细接口!$O1166=0,"",[1]对账明细接口!$O1166),"")</f>
        <v/>
      </c>
      <c r="U1166" s="21" t="str">
        <f>IFERROR(IF([1]对账明细接口!$P1166=0,"",[1]对账明细接口!$P1166),"")</f>
        <v/>
      </c>
      <c r="V1166" s="21" t="str">
        <f>IFERROR(IF([1]对账明细接口!$Q1166=0,"",[1]对账明细接口!$Q1166),"")</f>
        <v/>
      </c>
      <c r="W1166" s="20" t="str">
        <f>IFERROR(IF([1]对账明细接口!$R1166=0,"",[1]对账明细接口!$R1166),"")</f>
        <v/>
      </c>
      <c r="X1166" s="20" t="str">
        <f>IFERROR(IF([1]对账明细接口!$S1166=0,"",[1]对账明细接口!$S1166),"")</f>
        <v/>
      </c>
      <c r="Y1166" s="20" t="str">
        <f>IFERROR(IF([1]对账明细接口!$T1166=0,"",[1]对账明细接口!$T1166),"")</f>
        <v/>
      </c>
      <c r="Z1166" s="24" t="str">
        <f>IFERROR(IF([1]对账明细接口!$U1166=0,"",[1]对账明细接口!$U1166),"")</f>
        <v/>
      </c>
      <c r="AA1166" s="24" t="str">
        <f>IFERROR(IF([1]对账明细接口!$V1166=0,"",[1]对账明细接口!$V1166),"")</f>
        <v/>
      </c>
      <c r="AB1166" s="20" t="str">
        <f>IFERROR(IF([1]对账明细接口!$W1166=0,"",[1]对账明细接口!$W1166),"")</f>
        <v/>
      </c>
      <c r="AC1166" s="7" t="str">
        <f>IFERROR(IF([1]对账明细接口!$X1166=0,"",[1]对账明细接口!$X1166),"")</f>
        <v/>
      </c>
      <c r="AD1166" s="7" t="str">
        <f>IFERROR(IF([1]对账明细接口!$Y1166=0,"",[1]对账明细接口!$Y1166),"")</f>
        <v/>
      </c>
      <c r="AE1166" s="7" t="str">
        <f>IFERROR(IF([1]对账明细接口!$AA1166=0,"",[1]对账明细接口!$AA1166),"")</f>
        <v/>
      </c>
      <c r="AF1166" s="7" t="str">
        <f>IFERROR(IF([1]对账明细接口!$AB1166=0,"",[1]对账明细接口!$AB1166),"")</f>
        <v/>
      </c>
      <c r="AG1166" s="7" t="str">
        <f>IFERROR(IF([1]对账明细接口!$AC1166=0,"",[1]对账明细接口!$AC1166),"")</f>
        <v/>
      </c>
      <c r="AH1166" s="7" t="str">
        <f>IFERROR(IF([1]对账明细接口!$AD1166=0,"",[1]对账明细接口!$AD1166),"")</f>
        <v/>
      </c>
      <c r="AI1166" s="7" t="str">
        <f>IFERROR(IF([1]对账明细接口!$AE1166=0,"",[1]对账明细接口!$AE1166),"")</f>
        <v/>
      </c>
      <c r="AJ1166" s="7" t="str">
        <f>IFERROR(IF([1]对账明细接口!$AF1166=0,"",[1]对账明细接口!$AF1166),"")</f>
        <v/>
      </c>
    </row>
    <row r="1167" ht="14.25" customHeight="1" spans="1:36">
      <c r="A1167" s="14">
        <v>1167</v>
      </c>
      <c r="B1167" s="15" t="str">
        <f>IFERROR(IF([1]对账明细接口!$B$1167=0,"",[1]对账明细接口!$B$1167),"")</f>
        <v/>
      </c>
      <c r="C1167" s="16" t="str">
        <f>IFERROR(IF([1]对账明细接口!$C$1167=0,"",[1]对账明细接口!$C$1167),"")</f>
        <v/>
      </c>
      <c r="D1167" s="16" t="str">
        <f>IFERROR(IF([1]对账明细接口!$D$1167=0,"",[1]对账明细接口!$D$1167),"")</f>
        <v/>
      </c>
      <c r="E1167" s="16" t="str">
        <f>IFERROR(IF([1]对账明细接口!$E$1167=0,"",[1]对账明细接口!$E$1167),"")</f>
        <v/>
      </c>
      <c r="F1167" s="16" t="str">
        <f>IFERROR(IF([1]对账明细接口!$F$1167=0,"",[1]对账明细接口!$F$1167),"")</f>
        <v/>
      </c>
      <c r="G1167" s="16" t="str">
        <f>IFERROR(IF([1]对账明细接口!$G$1167=0,"",[1]对账明细接口!$G$1167),"")</f>
        <v/>
      </c>
      <c r="H1167" s="17" t="str">
        <f>IFERROR(IF([1]对账明细接口!$H$1167=0,"",[1]对账明细接口!$H$1167),"")</f>
        <v/>
      </c>
      <c r="I1167" s="16" t="str">
        <f>IFERROR(IF([1]对账明细接口!$I$1167=0,"",[1]对账明细接口!$I$1167),"")</f>
        <v/>
      </c>
      <c r="J1167" s="18" t="str">
        <f>IFERROR(IF([1]对账明细接口!$J$1167=0,"",[1]对账明细接口!$J$1167),"")</f>
        <v/>
      </c>
      <c r="K1167" s="18" t="str">
        <f>IFERROR(IF([1]对账明细接口!$K$1167=0,"",[1]对账明细接口!$K$1167),"")</f>
        <v/>
      </c>
      <c r="L1167" s="16" t="str">
        <f>IFERROR(IF([1]对账明细接口!$L$1167=0,"",[1]对账明细接口!$L$1167),"")</f>
        <v/>
      </c>
      <c r="M1167" s="16" t="str">
        <f>IFERROR(IF([1]对账明细接口!$M$1167=0,"",[1]对账明细接口!$M$1167),"")</f>
        <v/>
      </c>
      <c r="N1167" s="19">
        <f t="shared" si="36"/>
        <v>0</v>
      </c>
      <c r="O1167" s="19">
        <f t="shared" si="37"/>
        <v>420</v>
      </c>
      <c r="S1167" s="20" t="str">
        <f>IFERROR(IF([1]对账明细接口!$N1167=0,"",[1]对账明细接口!$N1167),"")</f>
        <v/>
      </c>
      <c r="T1167" s="21" t="str">
        <f>IFERROR(IF([1]对账明细接口!$O1167=0,"",[1]对账明细接口!$O1167),"")</f>
        <v/>
      </c>
      <c r="U1167" s="21" t="str">
        <f>IFERROR(IF([1]对账明细接口!$P1167=0,"",[1]对账明细接口!$P1167),"")</f>
        <v/>
      </c>
      <c r="V1167" s="21" t="str">
        <f>IFERROR(IF([1]对账明细接口!$Q1167=0,"",[1]对账明细接口!$Q1167),"")</f>
        <v/>
      </c>
      <c r="W1167" s="20" t="str">
        <f>IFERROR(IF([1]对账明细接口!$R1167=0,"",[1]对账明细接口!$R1167),"")</f>
        <v/>
      </c>
      <c r="X1167" s="20" t="str">
        <f>IFERROR(IF([1]对账明细接口!$S1167=0,"",[1]对账明细接口!$S1167),"")</f>
        <v/>
      </c>
      <c r="Y1167" s="20" t="str">
        <f>IFERROR(IF([1]对账明细接口!$T1167=0,"",[1]对账明细接口!$T1167),"")</f>
        <v/>
      </c>
      <c r="Z1167" s="24" t="str">
        <f>IFERROR(IF([1]对账明细接口!$U1167=0,"",[1]对账明细接口!$U1167),"")</f>
        <v/>
      </c>
      <c r="AA1167" s="24" t="str">
        <f>IFERROR(IF([1]对账明细接口!$V1167=0,"",[1]对账明细接口!$V1167),"")</f>
        <v/>
      </c>
      <c r="AB1167" s="20" t="str">
        <f>IFERROR(IF([1]对账明细接口!$W1167=0,"",[1]对账明细接口!$W1167),"")</f>
        <v/>
      </c>
      <c r="AC1167" s="7" t="str">
        <f>IFERROR(IF([1]对账明细接口!$X1167=0,"",[1]对账明细接口!$X1167),"")</f>
        <v/>
      </c>
      <c r="AD1167" s="7" t="str">
        <f>IFERROR(IF([1]对账明细接口!$Y1167=0,"",[1]对账明细接口!$Y1167),"")</f>
        <v/>
      </c>
      <c r="AE1167" s="7" t="str">
        <f>IFERROR(IF([1]对账明细接口!$AA1167=0,"",[1]对账明细接口!$AA1167),"")</f>
        <v/>
      </c>
      <c r="AF1167" s="7" t="str">
        <f>IFERROR(IF([1]对账明细接口!$AB1167=0,"",[1]对账明细接口!$AB1167),"")</f>
        <v/>
      </c>
      <c r="AG1167" s="7" t="str">
        <f>IFERROR(IF([1]对账明细接口!$AC1167=0,"",[1]对账明细接口!$AC1167),"")</f>
        <v/>
      </c>
      <c r="AH1167" s="7" t="str">
        <f>IFERROR(IF([1]对账明细接口!$AD1167=0,"",[1]对账明细接口!$AD1167),"")</f>
        <v/>
      </c>
      <c r="AI1167" s="7" t="str">
        <f>IFERROR(IF([1]对账明细接口!$AE1167=0,"",[1]对账明细接口!$AE1167),"")</f>
        <v/>
      </c>
      <c r="AJ1167" s="7" t="str">
        <f>IFERROR(IF([1]对账明细接口!$AF1167=0,"",[1]对账明细接口!$AF1167),"")</f>
        <v/>
      </c>
    </row>
    <row r="1168" ht="14.25" customHeight="1" spans="1:36">
      <c r="A1168" s="14">
        <v>1168</v>
      </c>
      <c r="B1168" s="15" t="str">
        <f>IFERROR(IF([1]对账明细接口!$B$1168=0,"",[1]对账明细接口!$B$1168),"")</f>
        <v/>
      </c>
      <c r="C1168" s="16" t="str">
        <f>IFERROR(IF([1]对账明细接口!$C$1168=0,"",[1]对账明细接口!$C$1168),"")</f>
        <v/>
      </c>
      <c r="D1168" s="16" t="str">
        <f>IFERROR(IF([1]对账明细接口!$D$1168=0,"",[1]对账明细接口!$D$1168),"")</f>
        <v/>
      </c>
      <c r="E1168" s="16" t="str">
        <f>IFERROR(IF([1]对账明细接口!$E$1168=0,"",[1]对账明细接口!$E$1168),"")</f>
        <v/>
      </c>
      <c r="F1168" s="16" t="str">
        <f>IFERROR(IF([1]对账明细接口!$F$1168=0,"",[1]对账明细接口!$F$1168),"")</f>
        <v/>
      </c>
      <c r="G1168" s="16" t="str">
        <f>IFERROR(IF([1]对账明细接口!$G$1168=0,"",[1]对账明细接口!$G$1168),"")</f>
        <v/>
      </c>
      <c r="H1168" s="17" t="str">
        <f>IFERROR(IF([1]对账明细接口!$H$1168=0,"",[1]对账明细接口!$H$1168),"")</f>
        <v/>
      </c>
      <c r="I1168" s="16" t="str">
        <f>IFERROR(IF([1]对账明细接口!$I$1168=0,"",[1]对账明细接口!$I$1168),"")</f>
        <v/>
      </c>
      <c r="J1168" s="18" t="str">
        <f>IFERROR(IF([1]对账明细接口!$J$1168=0,"",[1]对账明细接口!$J$1168),"")</f>
        <v/>
      </c>
      <c r="K1168" s="18" t="str">
        <f>IFERROR(IF([1]对账明细接口!$K$1168=0,"",[1]对账明细接口!$K$1168),"")</f>
        <v/>
      </c>
      <c r="L1168" s="16" t="str">
        <f>IFERROR(IF([1]对账明细接口!$L$1168=0,"",[1]对账明细接口!$L$1168),"")</f>
        <v/>
      </c>
      <c r="M1168" s="16" t="str">
        <f>IFERROR(IF([1]对账明细接口!$M$1168=0,"",[1]对账明细接口!$M$1168),"")</f>
        <v/>
      </c>
      <c r="N1168" s="19">
        <f t="shared" si="36"/>
        <v>0</v>
      </c>
      <c r="O1168" s="19">
        <f t="shared" si="37"/>
        <v>420</v>
      </c>
      <c r="S1168" s="20" t="str">
        <f>IFERROR(IF([1]对账明细接口!$N1168=0,"",[1]对账明细接口!$N1168),"")</f>
        <v/>
      </c>
      <c r="T1168" s="21" t="str">
        <f>IFERROR(IF([1]对账明细接口!$O1168=0,"",[1]对账明细接口!$O1168),"")</f>
        <v/>
      </c>
      <c r="U1168" s="21" t="str">
        <f>IFERROR(IF([1]对账明细接口!$P1168=0,"",[1]对账明细接口!$P1168),"")</f>
        <v/>
      </c>
      <c r="V1168" s="21" t="str">
        <f>IFERROR(IF([1]对账明细接口!$Q1168=0,"",[1]对账明细接口!$Q1168),"")</f>
        <v/>
      </c>
      <c r="W1168" s="20" t="str">
        <f>IFERROR(IF([1]对账明细接口!$R1168=0,"",[1]对账明细接口!$R1168),"")</f>
        <v/>
      </c>
      <c r="X1168" s="20" t="str">
        <f>IFERROR(IF([1]对账明细接口!$S1168=0,"",[1]对账明细接口!$S1168),"")</f>
        <v/>
      </c>
      <c r="Y1168" s="20" t="str">
        <f>IFERROR(IF([1]对账明细接口!$T1168=0,"",[1]对账明细接口!$T1168),"")</f>
        <v/>
      </c>
      <c r="Z1168" s="24" t="str">
        <f>IFERROR(IF([1]对账明细接口!$U1168=0,"",[1]对账明细接口!$U1168),"")</f>
        <v/>
      </c>
      <c r="AA1168" s="24" t="str">
        <f>IFERROR(IF([1]对账明细接口!$V1168=0,"",[1]对账明细接口!$V1168),"")</f>
        <v/>
      </c>
      <c r="AB1168" s="20" t="str">
        <f>IFERROR(IF([1]对账明细接口!$W1168=0,"",[1]对账明细接口!$W1168),"")</f>
        <v/>
      </c>
      <c r="AC1168" s="7" t="str">
        <f>IFERROR(IF([1]对账明细接口!$X1168=0,"",[1]对账明细接口!$X1168),"")</f>
        <v/>
      </c>
      <c r="AD1168" s="7" t="str">
        <f>IFERROR(IF([1]对账明细接口!$Y1168=0,"",[1]对账明细接口!$Y1168),"")</f>
        <v/>
      </c>
      <c r="AE1168" s="7" t="str">
        <f>IFERROR(IF([1]对账明细接口!$AA1168=0,"",[1]对账明细接口!$AA1168),"")</f>
        <v/>
      </c>
      <c r="AF1168" s="7" t="str">
        <f>IFERROR(IF([1]对账明细接口!$AB1168=0,"",[1]对账明细接口!$AB1168),"")</f>
        <v/>
      </c>
      <c r="AG1168" s="7" t="str">
        <f>IFERROR(IF([1]对账明细接口!$AC1168=0,"",[1]对账明细接口!$AC1168),"")</f>
        <v/>
      </c>
      <c r="AH1168" s="7" t="str">
        <f>IFERROR(IF([1]对账明细接口!$AD1168=0,"",[1]对账明细接口!$AD1168),"")</f>
        <v/>
      </c>
      <c r="AI1168" s="7" t="str">
        <f>IFERROR(IF([1]对账明细接口!$AE1168=0,"",[1]对账明细接口!$AE1168),"")</f>
        <v/>
      </c>
      <c r="AJ1168" s="7" t="str">
        <f>IFERROR(IF([1]对账明细接口!$AF1168=0,"",[1]对账明细接口!$AF1168),"")</f>
        <v/>
      </c>
    </row>
    <row r="1169" ht="14.25" customHeight="1" spans="1:36">
      <c r="A1169" s="14">
        <v>1169</v>
      </c>
      <c r="B1169" s="15" t="str">
        <f>IFERROR(IF([1]对账明细接口!$B$1169=0,"",[1]对账明细接口!$B$1169),"")</f>
        <v/>
      </c>
      <c r="C1169" s="16" t="str">
        <f>IFERROR(IF([1]对账明细接口!$C$1169=0,"",[1]对账明细接口!$C$1169),"")</f>
        <v/>
      </c>
      <c r="D1169" s="16" t="str">
        <f>IFERROR(IF([1]对账明细接口!$D$1169=0,"",[1]对账明细接口!$D$1169),"")</f>
        <v/>
      </c>
      <c r="E1169" s="16" t="str">
        <f>IFERROR(IF([1]对账明细接口!$E$1169=0,"",[1]对账明细接口!$E$1169),"")</f>
        <v/>
      </c>
      <c r="F1169" s="16" t="str">
        <f>IFERROR(IF([1]对账明细接口!$F$1169=0,"",[1]对账明细接口!$F$1169),"")</f>
        <v/>
      </c>
      <c r="G1169" s="16" t="str">
        <f>IFERROR(IF([1]对账明细接口!$G$1169=0,"",[1]对账明细接口!$G$1169),"")</f>
        <v/>
      </c>
      <c r="H1169" s="17" t="str">
        <f>IFERROR(IF([1]对账明细接口!$H$1169=0,"",[1]对账明细接口!$H$1169),"")</f>
        <v/>
      </c>
      <c r="I1169" s="16" t="str">
        <f>IFERROR(IF([1]对账明细接口!$I$1169=0,"",[1]对账明细接口!$I$1169),"")</f>
        <v/>
      </c>
      <c r="J1169" s="18" t="str">
        <f>IFERROR(IF([1]对账明细接口!$J$1169=0,"",[1]对账明细接口!$J$1169),"")</f>
        <v/>
      </c>
      <c r="K1169" s="18" t="str">
        <f>IFERROR(IF([1]对账明细接口!$K$1169=0,"",[1]对账明细接口!$K$1169),"")</f>
        <v/>
      </c>
      <c r="L1169" s="16" t="str">
        <f>IFERROR(IF([1]对账明细接口!$L$1169=0,"",[1]对账明细接口!$L$1169),"")</f>
        <v/>
      </c>
      <c r="M1169" s="16" t="str">
        <f>IFERROR(IF([1]对账明细接口!$M$1169=0,"",[1]对账明细接口!$M$1169),"")</f>
        <v/>
      </c>
      <c r="N1169" s="19">
        <f t="shared" si="36"/>
        <v>0</v>
      </c>
      <c r="O1169" s="19">
        <f t="shared" si="37"/>
        <v>420</v>
      </c>
      <c r="S1169" s="20" t="str">
        <f>IFERROR(IF([1]对账明细接口!$N1169=0,"",[1]对账明细接口!$N1169),"")</f>
        <v/>
      </c>
      <c r="T1169" s="21" t="str">
        <f>IFERROR(IF([1]对账明细接口!$O1169=0,"",[1]对账明细接口!$O1169),"")</f>
        <v/>
      </c>
      <c r="U1169" s="21" t="str">
        <f>IFERROR(IF([1]对账明细接口!$P1169=0,"",[1]对账明细接口!$P1169),"")</f>
        <v/>
      </c>
      <c r="V1169" s="21" t="str">
        <f>IFERROR(IF([1]对账明细接口!$Q1169=0,"",[1]对账明细接口!$Q1169),"")</f>
        <v/>
      </c>
      <c r="W1169" s="20" t="str">
        <f>IFERROR(IF([1]对账明细接口!$R1169=0,"",[1]对账明细接口!$R1169),"")</f>
        <v/>
      </c>
      <c r="X1169" s="20" t="str">
        <f>IFERROR(IF([1]对账明细接口!$S1169=0,"",[1]对账明细接口!$S1169),"")</f>
        <v/>
      </c>
      <c r="Y1169" s="20" t="str">
        <f>IFERROR(IF([1]对账明细接口!$T1169=0,"",[1]对账明细接口!$T1169),"")</f>
        <v/>
      </c>
      <c r="Z1169" s="24" t="str">
        <f>IFERROR(IF([1]对账明细接口!$U1169=0,"",[1]对账明细接口!$U1169),"")</f>
        <v/>
      </c>
      <c r="AA1169" s="24" t="str">
        <f>IFERROR(IF([1]对账明细接口!$V1169=0,"",[1]对账明细接口!$V1169),"")</f>
        <v/>
      </c>
      <c r="AB1169" s="20" t="str">
        <f>IFERROR(IF([1]对账明细接口!$W1169=0,"",[1]对账明细接口!$W1169),"")</f>
        <v/>
      </c>
      <c r="AC1169" s="7" t="str">
        <f>IFERROR(IF([1]对账明细接口!$X1169=0,"",[1]对账明细接口!$X1169),"")</f>
        <v/>
      </c>
      <c r="AD1169" s="7" t="str">
        <f>IFERROR(IF([1]对账明细接口!$Y1169=0,"",[1]对账明细接口!$Y1169),"")</f>
        <v/>
      </c>
      <c r="AE1169" s="7" t="str">
        <f>IFERROR(IF([1]对账明细接口!$AA1169=0,"",[1]对账明细接口!$AA1169),"")</f>
        <v/>
      </c>
      <c r="AF1169" s="7" t="str">
        <f>IFERROR(IF([1]对账明细接口!$AB1169=0,"",[1]对账明细接口!$AB1169),"")</f>
        <v/>
      </c>
      <c r="AG1169" s="7" t="str">
        <f>IFERROR(IF([1]对账明细接口!$AC1169=0,"",[1]对账明细接口!$AC1169),"")</f>
        <v/>
      </c>
      <c r="AH1169" s="7" t="str">
        <f>IFERROR(IF([1]对账明细接口!$AD1169=0,"",[1]对账明细接口!$AD1169),"")</f>
        <v/>
      </c>
      <c r="AI1169" s="7" t="str">
        <f>IFERROR(IF([1]对账明细接口!$AE1169=0,"",[1]对账明细接口!$AE1169),"")</f>
        <v/>
      </c>
      <c r="AJ1169" s="7" t="str">
        <f>IFERROR(IF([1]对账明细接口!$AF1169=0,"",[1]对账明细接口!$AF1169),"")</f>
        <v/>
      </c>
    </row>
    <row r="1170" ht="14.25" customHeight="1" spans="1:36">
      <c r="A1170" s="14">
        <v>1170</v>
      </c>
      <c r="B1170" s="15" t="str">
        <f>IFERROR(IF([1]对账明细接口!$B$1170=0,"",[1]对账明细接口!$B$1170),"")</f>
        <v/>
      </c>
      <c r="C1170" s="16" t="str">
        <f>IFERROR(IF([1]对账明细接口!$C$1170=0,"",[1]对账明细接口!$C$1170),"")</f>
        <v/>
      </c>
      <c r="D1170" s="16" t="str">
        <f>IFERROR(IF([1]对账明细接口!$D$1170=0,"",[1]对账明细接口!$D$1170),"")</f>
        <v/>
      </c>
      <c r="E1170" s="16" t="str">
        <f>IFERROR(IF([1]对账明细接口!$E$1170=0,"",[1]对账明细接口!$E$1170),"")</f>
        <v/>
      </c>
      <c r="F1170" s="16" t="str">
        <f>IFERROR(IF([1]对账明细接口!$F$1170=0,"",[1]对账明细接口!$F$1170),"")</f>
        <v/>
      </c>
      <c r="G1170" s="16" t="str">
        <f>IFERROR(IF([1]对账明细接口!$G$1170=0,"",[1]对账明细接口!$G$1170),"")</f>
        <v/>
      </c>
      <c r="H1170" s="17" t="str">
        <f>IFERROR(IF([1]对账明细接口!$H$1170=0,"",[1]对账明细接口!$H$1170),"")</f>
        <v/>
      </c>
      <c r="I1170" s="16" t="str">
        <f>IFERROR(IF([1]对账明细接口!$I$1170=0,"",[1]对账明细接口!$I$1170),"")</f>
        <v/>
      </c>
      <c r="J1170" s="18" t="str">
        <f>IFERROR(IF([1]对账明细接口!$J$1170=0,"",[1]对账明细接口!$J$1170),"")</f>
        <v/>
      </c>
      <c r="K1170" s="18" t="str">
        <f>IFERROR(IF([1]对账明细接口!$K$1170=0,"",[1]对账明细接口!$K$1170),"")</f>
        <v/>
      </c>
      <c r="L1170" s="16" t="str">
        <f>IFERROR(IF([1]对账明细接口!$L$1170=0,"",[1]对账明细接口!$L$1170),"")</f>
        <v/>
      </c>
      <c r="M1170" s="16" t="str">
        <f>IFERROR(IF([1]对账明细接口!$M$1170=0,"",[1]对账明细接口!$M$1170),"")</f>
        <v/>
      </c>
      <c r="N1170" s="19">
        <f t="shared" si="36"/>
        <v>0</v>
      </c>
      <c r="O1170" s="19">
        <f t="shared" si="37"/>
        <v>420</v>
      </c>
      <c r="S1170" s="20" t="str">
        <f>IFERROR(IF([1]对账明细接口!$N1170=0,"",[1]对账明细接口!$N1170),"")</f>
        <v/>
      </c>
      <c r="T1170" s="21" t="str">
        <f>IFERROR(IF([1]对账明细接口!$O1170=0,"",[1]对账明细接口!$O1170),"")</f>
        <v/>
      </c>
      <c r="U1170" s="21" t="str">
        <f>IFERROR(IF([1]对账明细接口!$P1170=0,"",[1]对账明细接口!$P1170),"")</f>
        <v/>
      </c>
      <c r="V1170" s="21" t="str">
        <f>IFERROR(IF([1]对账明细接口!$Q1170=0,"",[1]对账明细接口!$Q1170),"")</f>
        <v/>
      </c>
      <c r="W1170" s="20" t="str">
        <f>IFERROR(IF([1]对账明细接口!$R1170=0,"",[1]对账明细接口!$R1170),"")</f>
        <v/>
      </c>
      <c r="X1170" s="20" t="str">
        <f>IFERROR(IF([1]对账明细接口!$S1170=0,"",[1]对账明细接口!$S1170),"")</f>
        <v/>
      </c>
      <c r="Y1170" s="20" t="str">
        <f>IFERROR(IF([1]对账明细接口!$T1170=0,"",[1]对账明细接口!$T1170),"")</f>
        <v/>
      </c>
      <c r="Z1170" s="24" t="str">
        <f>IFERROR(IF([1]对账明细接口!$U1170=0,"",[1]对账明细接口!$U1170),"")</f>
        <v/>
      </c>
      <c r="AA1170" s="24" t="str">
        <f>IFERROR(IF([1]对账明细接口!$V1170=0,"",[1]对账明细接口!$V1170),"")</f>
        <v/>
      </c>
      <c r="AB1170" s="20" t="str">
        <f>IFERROR(IF([1]对账明细接口!$W1170=0,"",[1]对账明细接口!$W1170),"")</f>
        <v/>
      </c>
      <c r="AC1170" s="7" t="str">
        <f>IFERROR(IF([1]对账明细接口!$X1170=0,"",[1]对账明细接口!$X1170),"")</f>
        <v/>
      </c>
      <c r="AD1170" s="7" t="str">
        <f>IFERROR(IF([1]对账明细接口!$Y1170=0,"",[1]对账明细接口!$Y1170),"")</f>
        <v/>
      </c>
      <c r="AE1170" s="7" t="str">
        <f>IFERROR(IF([1]对账明细接口!$AA1170=0,"",[1]对账明细接口!$AA1170),"")</f>
        <v/>
      </c>
      <c r="AF1170" s="7" t="str">
        <f>IFERROR(IF([1]对账明细接口!$AB1170=0,"",[1]对账明细接口!$AB1170),"")</f>
        <v/>
      </c>
      <c r="AG1170" s="7" t="str">
        <f>IFERROR(IF([1]对账明细接口!$AC1170=0,"",[1]对账明细接口!$AC1170),"")</f>
        <v/>
      </c>
      <c r="AH1170" s="7" t="str">
        <f>IFERROR(IF([1]对账明细接口!$AD1170=0,"",[1]对账明细接口!$AD1170),"")</f>
        <v/>
      </c>
      <c r="AI1170" s="7" t="str">
        <f>IFERROR(IF([1]对账明细接口!$AE1170=0,"",[1]对账明细接口!$AE1170),"")</f>
        <v/>
      </c>
      <c r="AJ1170" s="7" t="str">
        <f>IFERROR(IF([1]对账明细接口!$AF1170=0,"",[1]对账明细接口!$AF1170),"")</f>
        <v/>
      </c>
    </row>
    <row r="1171" ht="14.25" customHeight="1" spans="1:36">
      <c r="A1171" s="14">
        <v>1171</v>
      </c>
      <c r="B1171" s="15" t="str">
        <f>IFERROR(IF([1]对账明细接口!$B$1171=0,"",[1]对账明细接口!$B$1171),"")</f>
        <v/>
      </c>
      <c r="C1171" s="16" t="str">
        <f>IFERROR(IF([1]对账明细接口!$C$1171=0,"",[1]对账明细接口!$C$1171),"")</f>
        <v/>
      </c>
      <c r="D1171" s="16" t="str">
        <f>IFERROR(IF([1]对账明细接口!$D$1171=0,"",[1]对账明细接口!$D$1171),"")</f>
        <v/>
      </c>
      <c r="E1171" s="16" t="str">
        <f>IFERROR(IF([1]对账明细接口!$E$1171=0,"",[1]对账明细接口!$E$1171),"")</f>
        <v/>
      </c>
      <c r="F1171" s="16" t="str">
        <f>IFERROR(IF([1]对账明细接口!$F$1171=0,"",[1]对账明细接口!$F$1171),"")</f>
        <v/>
      </c>
      <c r="G1171" s="16" t="str">
        <f>IFERROR(IF([1]对账明细接口!$G$1171=0,"",[1]对账明细接口!$G$1171),"")</f>
        <v/>
      </c>
      <c r="H1171" s="17" t="str">
        <f>IFERROR(IF([1]对账明细接口!$H$1171=0,"",[1]对账明细接口!$H$1171),"")</f>
        <v/>
      </c>
      <c r="I1171" s="16" t="str">
        <f>IFERROR(IF([1]对账明细接口!$I$1171=0,"",[1]对账明细接口!$I$1171),"")</f>
        <v/>
      </c>
      <c r="J1171" s="18" t="str">
        <f>IFERROR(IF([1]对账明细接口!$J$1171=0,"",[1]对账明细接口!$J$1171),"")</f>
        <v/>
      </c>
      <c r="K1171" s="18" t="str">
        <f>IFERROR(IF([1]对账明细接口!$K$1171=0,"",[1]对账明细接口!$K$1171),"")</f>
        <v/>
      </c>
      <c r="L1171" s="16" t="str">
        <f>IFERROR(IF([1]对账明细接口!$L$1171=0,"",[1]对账明细接口!$L$1171),"")</f>
        <v/>
      </c>
      <c r="M1171" s="16" t="str">
        <f>IFERROR(IF([1]对账明细接口!$M$1171=0,"",[1]对账明细接口!$M$1171),"")</f>
        <v/>
      </c>
      <c r="N1171" s="19">
        <f t="shared" si="36"/>
        <v>0</v>
      </c>
      <c r="O1171" s="19">
        <f t="shared" si="37"/>
        <v>420</v>
      </c>
      <c r="S1171" s="20" t="str">
        <f>IFERROR(IF([1]对账明细接口!$N1171=0,"",[1]对账明细接口!$N1171),"")</f>
        <v/>
      </c>
      <c r="T1171" s="21" t="str">
        <f>IFERROR(IF([1]对账明细接口!$O1171=0,"",[1]对账明细接口!$O1171),"")</f>
        <v/>
      </c>
      <c r="U1171" s="21" t="str">
        <f>IFERROR(IF([1]对账明细接口!$P1171=0,"",[1]对账明细接口!$P1171),"")</f>
        <v/>
      </c>
      <c r="V1171" s="21" t="str">
        <f>IFERROR(IF([1]对账明细接口!$Q1171=0,"",[1]对账明细接口!$Q1171),"")</f>
        <v/>
      </c>
      <c r="W1171" s="20" t="str">
        <f>IFERROR(IF([1]对账明细接口!$R1171=0,"",[1]对账明细接口!$R1171),"")</f>
        <v/>
      </c>
      <c r="X1171" s="20" t="str">
        <f>IFERROR(IF([1]对账明细接口!$S1171=0,"",[1]对账明细接口!$S1171),"")</f>
        <v/>
      </c>
      <c r="Y1171" s="20" t="str">
        <f>IFERROR(IF([1]对账明细接口!$T1171=0,"",[1]对账明细接口!$T1171),"")</f>
        <v/>
      </c>
      <c r="Z1171" s="24" t="str">
        <f>IFERROR(IF([1]对账明细接口!$U1171=0,"",[1]对账明细接口!$U1171),"")</f>
        <v/>
      </c>
      <c r="AA1171" s="24" t="str">
        <f>IFERROR(IF([1]对账明细接口!$V1171=0,"",[1]对账明细接口!$V1171),"")</f>
        <v/>
      </c>
      <c r="AB1171" s="20" t="str">
        <f>IFERROR(IF([1]对账明细接口!$W1171=0,"",[1]对账明细接口!$W1171),"")</f>
        <v/>
      </c>
      <c r="AC1171" s="7" t="str">
        <f>IFERROR(IF([1]对账明细接口!$X1171=0,"",[1]对账明细接口!$X1171),"")</f>
        <v/>
      </c>
      <c r="AD1171" s="7" t="str">
        <f>IFERROR(IF([1]对账明细接口!$Y1171=0,"",[1]对账明细接口!$Y1171),"")</f>
        <v/>
      </c>
      <c r="AE1171" s="7" t="str">
        <f>IFERROR(IF([1]对账明细接口!$AA1171=0,"",[1]对账明细接口!$AA1171),"")</f>
        <v/>
      </c>
      <c r="AF1171" s="7" t="str">
        <f>IFERROR(IF([1]对账明细接口!$AB1171=0,"",[1]对账明细接口!$AB1171),"")</f>
        <v/>
      </c>
      <c r="AG1171" s="7" t="str">
        <f>IFERROR(IF([1]对账明细接口!$AC1171=0,"",[1]对账明细接口!$AC1171),"")</f>
        <v/>
      </c>
      <c r="AH1171" s="7" t="str">
        <f>IFERROR(IF([1]对账明细接口!$AD1171=0,"",[1]对账明细接口!$AD1171),"")</f>
        <v/>
      </c>
      <c r="AI1171" s="7" t="str">
        <f>IFERROR(IF([1]对账明细接口!$AE1171=0,"",[1]对账明细接口!$AE1171),"")</f>
        <v/>
      </c>
      <c r="AJ1171" s="7" t="str">
        <f>IFERROR(IF([1]对账明细接口!$AF1171=0,"",[1]对账明细接口!$AF1171),"")</f>
        <v/>
      </c>
    </row>
    <row r="1172" ht="14.25" customHeight="1" spans="1:36">
      <c r="A1172" s="14">
        <v>1172</v>
      </c>
      <c r="B1172" s="15" t="str">
        <f>IFERROR(IF([1]对账明细接口!$B$1172=0,"",[1]对账明细接口!$B$1172),"")</f>
        <v/>
      </c>
      <c r="C1172" s="16" t="str">
        <f>IFERROR(IF([1]对账明细接口!$C$1172=0,"",[1]对账明细接口!$C$1172),"")</f>
        <v/>
      </c>
      <c r="D1172" s="16" t="str">
        <f>IFERROR(IF([1]对账明细接口!$D$1172=0,"",[1]对账明细接口!$D$1172),"")</f>
        <v/>
      </c>
      <c r="E1172" s="16" t="str">
        <f>IFERROR(IF([1]对账明细接口!$E$1172=0,"",[1]对账明细接口!$E$1172),"")</f>
        <v/>
      </c>
      <c r="F1172" s="16" t="str">
        <f>IFERROR(IF([1]对账明细接口!$F$1172=0,"",[1]对账明细接口!$F$1172),"")</f>
        <v/>
      </c>
      <c r="G1172" s="16" t="str">
        <f>IFERROR(IF([1]对账明细接口!$G$1172=0,"",[1]对账明细接口!$G$1172),"")</f>
        <v/>
      </c>
      <c r="H1172" s="17" t="str">
        <f>IFERROR(IF([1]对账明细接口!$H$1172=0,"",[1]对账明细接口!$H$1172),"")</f>
        <v/>
      </c>
      <c r="I1172" s="16" t="str">
        <f>IFERROR(IF([1]对账明细接口!$I$1172=0,"",[1]对账明细接口!$I$1172),"")</f>
        <v/>
      </c>
      <c r="J1172" s="18" t="str">
        <f>IFERROR(IF([1]对账明细接口!$J$1172=0,"",[1]对账明细接口!$J$1172),"")</f>
        <v/>
      </c>
      <c r="K1172" s="18" t="str">
        <f>IFERROR(IF([1]对账明细接口!$K$1172=0,"",[1]对账明细接口!$K$1172),"")</f>
        <v/>
      </c>
      <c r="L1172" s="16" t="str">
        <f>IFERROR(IF([1]对账明细接口!$L$1172=0,"",[1]对账明细接口!$L$1172),"")</f>
        <v/>
      </c>
      <c r="M1172" s="16" t="str">
        <f>IFERROR(IF([1]对账明细接口!$M$1172=0,"",[1]对账明细接口!$M$1172),"")</f>
        <v/>
      </c>
      <c r="N1172" s="19">
        <f t="shared" si="36"/>
        <v>0</v>
      </c>
      <c r="O1172" s="19">
        <f t="shared" si="37"/>
        <v>420</v>
      </c>
      <c r="S1172" s="20" t="str">
        <f>IFERROR(IF([1]对账明细接口!$N1172=0,"",[1]对账明细接口!$N1172),"")</f>
        <v/>
      </c>
      <c r="T1172" s="21" t="str">
        <f>IFERROR(IF([1]对账明细接口!$O1172=0,"",[1]对账明细接口!$O1172),"")</f>
        <v/>
      </c>
      <c r="U1172" s="21" t="str">
        <f>IFERROR(IF([1]对账明细接口!$P1172=0,"",[1]对账明细接口!$P1172),"")</f>
        <v/>
      </c>
      <c r="V1172" s="21" t="str">
        <f>IFERROR(IF([1]对账明细接口!$Q1172=0,"",[1]对账明细接口!$Q1172),"")</f>
        <v/>
      </c>
      <c r="W1172" s="20" t="str">
        <f>IFERROR(IF([1]对账明细接口!$R1172=0,"",[1]对账明细接口!$R1172),"")</f>
        <v/>
      </c>
      <c r="X1172" s="20" t="str">
        <f>IFERROR(IF([1]对账明细接口!$S1172=0,"",[1]对账明细接口!$S1172),"")</f>
        <v/>
      </c>
      <c r="Y1172" s="20" t="str">
        <f>IFERROR(IF([1]对账明细接口!$T1172=0,"",[1]对账明细接口!$T1172),"")</f>
        <v/>
      </c>
      <c r="Z1172" s="24" t="str">
        <f>IFERROR(IF([1]对账明细接口!$U1172=0,"",[1]对账明细接口!$U1172),"")</f>
        <v/>
      </c>
      <c r="AA1172" s="24" t="str">
        <f>IFERROR(IF([1]对账明细接口!$V1172=0,"",[1]对账明细接口!$V1172),"")</f>
        <v/>
      </c>
      <c r="AB1172" s="20" t="str">
        <f>IFERROR(IF([1]对账明细接口!$W1172=0,"",[1]对账明细接口!$W1172),"")</f>
        <v/>
      </c>
      <c r="AC1172" s="7" t="str">
        <f>IFERROR(IF([1]对账明细接口!$X1172=0,"",[1]对账明细接口!$X1172),"")</f>
        <v/>
      </c>
      <c r="AD1172" s="7" t="str">
        <f>IFERROR(IF([1]对账明细接口!$Y1172=0,"",[1]对账明细接口!$Y1172),"")</f>
        <v/>
      </c>
      <c r="AE1172" s="7" t="str">
        <f>IFERROR(IF([1]对账明细接口!$AA1172=0,"",[1]对账明细接口!$AA1172),"")</f>
        <v/>
      </c>
      <c r="AF1172" s="7" t="str">
        <f>IFERROR(IF([1]对账明细接口!$AB1172=0,"",[1]对账明细接口!$AB1172),"")</f>
        <v/>
      </c>
      <c r="AG1172" s="7" t="str">
        <f>IFERROR(IF([1]对账明细接口!$AC1172=0,"",[1]对账明细接口!$AC1172),"")</f>
        <v/>
      </c>
      <c r="AH1172" s="7" t="str">
        <f>IFERROR(IF([1]对账明细接口!$AD1172=0,"",[1]对账明细接口!$AD1172),"")</f>
        <v/>
      </c>
      <c r="AI1172" s="7" t="str">
        <f>IFERROR(IF([1]对账明细接口!$AE1172=0,"",[1]对账明细接口!$AE1172),"")</f>
        <v/>
      </c>
      <c r="AJ1172" s="7" t="str">
        <f>IFERROR(IF([1]对账明细接口!$AF1172=0,"",[1]对账明细接口!$AF1172),"")</f>
        <v/>
      </c>
    </row>
    <row r="1173" ht="14.25" customHeight="1" spans="1:36">
      <c r="A1173" s="14">
        <v>1173</v>
      </c>
      <c r="B1173" s="15" t="str">
        <f>IFERROR(IF([1]对账明细接口!$B$1173=0,"",[1]对账明细接口!$B$1173),"")</f>
        <v/>
      </c>
      <c r="C1173" s="16" t="str">
        <f>IFERROR(IF([1]对账明细接口!$C$1173=0,"",[1]对账明细接口!$C$1173),"")</f>
        <v/>
      </c>
      <c r="D1173" s="16" t="str">
        <f>IFERROR(IF([1]对账明细接口!$D$1173=0,"",[1]对账明细接口!$D$1173),"")</f>
        <v/>
      </c>
      <c r="E1173" s="16" t="str">
        <f>IFERROR(IF([1]对账明细接口!$E$1173=0,"",[1]对账明细接口!$E$1173),"")</f>
        <v/>
      </c>
      <c r="F1173" s="16" t="str">
        <f>IFERROR(IF([1]对账明细接口!$F$1173=0,"",[1]对账明细接口!$F$1173),"")</f>
        <v/>
      </c>
      <c r="G1173" s="16" t="str">
        <f>IFERROR(IF([1]对账明细接口!$G$1173=0,"",[1]对账明细接口!$G$1173),"")</f>
        <v/>
      </c>
      <c r="H1173" s="17" t="str">
        <f>IFERROR(IF([1]对账明细接口!$H$1173=0,"",[1]对账明细接口!$H$1173),"")</f>
        <v/>
      </c>
      <c r="I1173" s="16" t="str">
        <f>IFERROR(IF([1]对账明细接口!$I$1173=0,"",[1]对账明细接口!$I$1173),"")</f>
        <v/>
      </c>
      <c r="J1173" s="18" t="str">
        <f>IFERROR(IF([1]对账明细接口!$J$1173=0,"",[1]对账明细接口!$J$1173),"")</f>
        <v/>
      </c>
      <c r="K1173" s="18" t="str">
        <f>IFERROR(IF([1]对账明细接口!$K$1173=0,"",[1]对账明细接口!$K$1173),"")</f>
        <v/>
      </c>
      <c r="L1173" s="16" t="str">
        <f>IFERROR(IF([1]对账明细接口!$L$1173=0,"",[1]对账明细接口!$L$1173),"")</f>
        <v/>
      </c>
      <c r="M1173" s="16" t="str">
        <f>IFERROR(IF([1]对账明细接口!$M$1173=0,"",[1]对账明细接口!$M$1173),"")</f>
        <v/>
      </c>
      <c r="N1173" s="19">
        <f t="shared" si="36"/>
        <v>0</v>
      </c>
      <c r="O1173" s="19">
        <f t="shared" si="37"/>
        <v>420</v>
      </c>
      <c r="S1173" s="20" t="str">
        <f>IFERROR(IF([1]对账明细接口!$N1173=0,"",[1]对账明细接口!$N1173),"")</f>
        <v/>
      </c>
      <c r="T1173" s="21" t="str">
        <f>IFERROR(IF([1]对账明细接口!$O1173=0,"",[1]对账明细接口!$O1173),"")</f>
        <v/>
      </c>
      <c r="U1173" s="21" t="str">
        <f>IFERROR(IF([1]对账明细接口!$P1173=0,"",[1]对账明细接口!$P1173),"")</f>
        <v/>
      </c>
      <c r="V1173" s="21" t="str">
        <f>IFERROR(IF([1]对账明细接口!$Q1173=0,"",[1]对账明细接口!$Q1173),"")</f>
        <v/>
      </c>
      <c r="W1173" s="20" t="str">
        <f>IFERROR(IF([1]对账明细接口!$R1173=0,"",[1]对账明细接口!$R1173),"")</f>
        <v/>
      </c>
      <c r="X1173" s="20" t="str">
        <f>IFERROR(IF([1]对账明细接口!$S1173=0,"",[1]对账明细接口!$S1173),"")</f>
        <v/>
      </c>
      <c r="Y1173" s="20" t="str">
        <f>IFERROR(IF([1]对账明细接口!$T1173=0,"",[1]对账明细接口!$T1173),"")</f>
        <v/>
      </c>
      <c r="Z1173" s="24" t="str">
        <f>IFERROR(IF([1]对账明细接口!$U1173=0,"",[1]对账明细接口!$U1173),"")</f>
        <v/>
      </c>
      <c r="AA1173" s="24" t="str">
        <f>IFERROR(IF([1]对账明细接口!$V1173=0,"",[1]对账明细接口!$V1173),"")</f>
        <v/>
      </c>
      <c r="AB1173" s="20" t="str">
        <f>IFERROR(IF([1]对账明细接口!$W1173=0,"",[1]对账明细接口!$W1173),"")</f>
        <v/>
      </c>
      <c r="AC1173" s="7" t="str">
        <f>IFERROR(IF([1]对账明细接口!$X1173=0,"",[1]对账明细接口!$X1173),"")</f>
        <v/>
      </c>
      <c r="AD1173" s="7" t="str">
        <f>IFERROR(IF([1]对账明细接口!$Y1173=0,"",[1]对账明细接口!$Y1173),"")</f>
        <v/>
      </c>
      <c r="AE1173" s="7" t="str">
        <f>IFERROR(IF([1]对账明细接口!$AA1173=0,"",[1]对账明细接口!$AA1173),"")</f>
        <v/>
      </c>
      <c r="AF1173" s="7" t="str">
        <f>IFERROR(IF([1]对账明细接口!$AB1173=0,"",[1]对账明细接口!$AB1173),"")</f>
        <v/>
      </c>
      <c r="AG1173" s="7" t="str">
        <f>IFERROR(IF([1]对账明细接口!$AC1173=0,"",[1]对账明细接口!$AC1173),"")</f>
        <v/>
      </c>
      <c r="AH1173" s="7" t="str">
        <f>IFERROR(IF([1]对账明细接口!$AD1173=0,"",[1]对账明细接口!$AD1173),"")</f>
        <v/>
      </c>
      <c r="AI1173" s="7" t="str">
        <f>IFERROR(IF([1]对账明细接口!$AE1173=0,"",[1]对账明细接口!$AE1173),"")</f>
        <v/>
      </c>
      <c r="AJ1173" s="7" t="str">
        <f>IFERROR(IF([1]对账明细接口!$AF1173=0,"",[1]对账明细接口!$AF1173),"")</f>
        <v/>
      </c>
    </row>
    <row r="1174" ht="14.25" customHeight="1" spans="1:36">
      <c r="A1174" s="14">
        <v>1174</v>
      </c>
      <c r="B1174" s="15" t="str">
        <f>IFERROR(IF([1]对账明细接口!$B$1174=0,"",[1]对账明细接口!$B$1174),"")</f>
        <v/>
      </c>
      <c r="C1174" s="16" t="str">
        <f>IFERROR(IF([1]对账明细接口!$C$1174=0,"",[1]对账明细接口!$C$1174),"")</f>
        <v/>
      </c>
      <c r="D1174" s="16" t="str">
        <f>IFERROR(IF([1]对账明细接口!$D$1174=0,"",[1]对账明细接口!$D$1174),"")</f>
        <v/>
      </c>
      <c r="E1174" s="16" t="str">
        <f>IFERROR(IF([1]对账明细接口!$E$1174=0,"",[1]对账明细接口!$E$1174),"")</f>
        <v/>
      </c>
      <c r="F1174" s="16" t="str">
        <f>IFERROR(IF([1]对账明细接口!$F$1174=0,"",[1]对账明细接口!$F$1174),"")</f>
        <v/>
      </c>
      <c r="G1174" s="16" t="str">
        <f>IFERROR(IF([1]对账明细接口!$G$1174=0,"",[1]对账明细接口!$G$1174),"")</f>
        <v/>
      </c>
      <c r="H1174" s="17" t="str">
        <f>IFERROR(IF([1]对账明细接口!$H$1174=0,"",[1]对账明细接口!$H$1174),"")</f>
        <v/>
      </c>
      <c r="I1174" s="16" t="str">
        <f>IFERROR(IF([1]对账明细接口!$I$1174=0,"",[1]对账明细接口!$I$1174),"")</f>
        <v/>
      </c>
      <c r="J1174" s="18" t="str">
        <f>IFERROR(IF([1]对账明细接口!$J$1174=0,"",[1]对账明细接口!$J$1174),"")</f>
        <v/>
      </c>
      <c r="K1174" s="18" t="str">
        <f>IFERROR(IF([1]对账明细接口!$K$1174=0,"",[1]对账明细接口!$K$1174),"")</f>
        <v/>
      </c>
      <c r="L1174" s="16" t="str">
        <f>IFERROR(IF([1]对账明细接口!$L$1174=0,"",[1]对账明细接口!$L$1174),"")</f>
        <v/>
      </c>
      <c r="M1174" s="16" t="str">
        <f>IFERROR(IF([1]对账明细接口!$M$1174=0,"",[1]对账明细接口!$M$1174),"")</f>
        <v/>
      </c>
      <c r="N1174" s="19">
        <f t="shared" si="36"/>
        <v>0</v>
      </c>
      <c r="O1174" s="19">
        <f t="shared" si="37"/>
        <v>420</v>
      </c>
      <c r="S1174" s="20" t="str">
        <f>IFERROR(IF([1]对账明细接口!$N1174=0,"",[1]对账明细接口!$N1174),"")</f>
        <v/>
      </c>
      <c r="T1174" s="21" t="str">
        <f>IFERROR(IF([1]对账明细接口!$O1174=0,"",[1]对账明细接口!$O1174),"")</f>
        <v/>
      </c>
      <c r="U1174" s="21" t="str">
        <f>IFERROR(IF([1]对账明细接口!$P1174=0,"",[1]对账明细接口!$P1174),"")</f>
        <v/>
      </c>
      <c r="V1174" s="21" t="str">
        <f>IFERROR(IF([1]对账明细接口!$Q1174=0,"",[1]对账明细接口!$Q1174),"")</f>
        <v/>
      </c>
      <c r="W1174" s="20" t="str">
        <f>IFERROR(IF([1]对账明细接口!$R1174=0,"",[1]对账明细接口!$R1174),"")</f>
        <v/>
      </c>
      <c r="X1174" s="20" t="str">
        <f>IFERROR(IF([1]对账明细接口!$S1174=0,"",[1]对账明细接口!$S1174),"")</f>
        <v/>
      </c>
      <c r="Y1174" s="20" t="str">
        <f>IFERROR(IF([1]对账明细接口!$T1174=0,"",[1]对账明细接口!$T1174),"")</f>
        <v/>
      </c>
      <c r="Z1174" s="24" t="str">
        <f>IFERROR(IF([1]对账明细接口!$U1174=0,"",[1]对账明细接口!$U1174),"")</f>
        <v/>
      </c>
      <c r="AA1174" s="24" t="str">
        <f>IFERROR(IF([1]对账明细接口!$V1174=0,"",[1]对账明细接口!$V1174),"")</f>
        <v/>
      </c>
      <c r="AB1174" s="20" t="str">
        <f>IFERROR(IF([1]对账明细接口!$W1174=0,"",[1]对账明细接口!$W1174),"")</f>
        <v/>
      </c>
      <c r="AC1174" s="7" t="str">
        <f>IFERROR(IF([1]对账明细接口!$X1174=0,"",[1]对账明细接口!$X1174),"")</f>
        <v/>
      </c>
      <c r="AD1174" s="7" t="str">
        <f>IFERROR(IF([1]对账明细接口!$Y1174=0,"",[1]对账明细接口!$Y1174),"")</f>
        <v/>
      </c>
      <c r="AE1174" s="7" t="str">
        <f>IFERROR(IF([1]对账明细接口!$AA1174=0,"",[1]对账明细接口!$AA1174),"")</f>
        <v/>
      </c>
      <c r="AF1174" s="7" t="str">
        <f>IFERROR(IF([1]对账明细接口!$AB1174=0,"",[1]对账明细接口!$AB1174),"")</f>
        <v/>
      </c>
      <c r="AG1174" s="7" t="str">
        <f>IFERROR(IF([1]对账明细接口!$AC1174=0,"",[1]对账明细接口!$AC1174),"")</f>
        <v/>
      </c>
      <c r="AH1174" s="7" t="str">
        <f>IFERROR(IF([1]对账明细接口!$AD1174=0,"",[1]对账明细接口!$AD1174),"")</f>
        <v/>
      </c>
      <c r="AI1174" s="7" t="str">
        <f>IFERROR(IF([1]对账明细接口!$AE1174=0,"",[1]对账明细接口!$AE1174),"")</f>
        <v/>
      </c>
      <c r="AJ1174" s="7" t="str">
        <f>IFERROR(IF([1]对账明细接口!$AF1174=0,"",[1]对账明细接口!$AF1174),"")</f>
        <v/>
      </c>
    </row>
    <row r="1175" ht="14.25" customHeight="1" spans="1:36">
      <c r="A1175" s="14">
        <v>1175</v>
      </c>
      <c r="B1175" s="15" t="str">
        <f>IFERROR(IF([1]对账明细接口!$B$1175=0,"",[1]对账明细接口!$B$1175),"")</f>
        <v/>
      </c>
      <c r="C1175" s="16" t="str">
        <f>IFERROR(IF([1]对账明细接口!$C$1175=0,"",[1]对账明细接口!$C$1175),"")</f>
        <v/>
      </c>
      <c r="D1175" s="16" t="str">
        <f>IFERROR(IF([1]对账明细接口!$D$1175=0,"",[1]对账明细接口!$D$1175),"")</f>
        <v/>
      </c>
      <c r="E1175" s="16" t="str">
        <f>IFERROR(IF([1]对账明细接口!$E$1175=0,"",[1]对账明细接口!$E$1175),"")</f>
        <v/>
      </c>
      <c r="F1175" s="16" t="str">
        <f>IFERROR(IF([1]对账明细接口!$F$1175=0,"",[1]对账明细接口!$F$1175),"")</f>
        <v/>
      </c>
      <c r="G1175" s="16" t="str">
        <f>IFERROR(IF([1]对账明细接口!$G$1175=0,"",[1]对账明细接口!$G$1175),"")</f>
        <v/>
      </c>
      <c r="H1175" s="17" t="str">
        <f>IFERROR(IF([1]对账明细接口!$H$1175=0,"",[1]对账明细接口!$H$1175),"")</f>
        <v/>
      </c>
      <c r="I1175" s="16" t="str">
        <f>IFERROR(IF([1]对账明细接口!$I$1175=0,"",[1]对账明细接口!$I$1175),"")</f>
        <v/>
      </c>
      <c r="J1175" s="18" t="str">
        <f>IFERROR(IF([1]对账明细接口!$J$1175=0,"",[1]对账明细接口!$J$1175),"")</f>
        <v/>
      </c>
      <c r="K1175" s="18" t="str">
        <f>IFERROR(IF([1]对账明细接口!$K$1175=0,"",[1]对账明细接口!$K$1175),"")</f>
        <v/>
      </c>
      <c r="L1175" s="16" t="str">
        <f>IFERROR(IF([1]对账明细接口!$L$1175=0,"",[1]对账明细接口!$L$1175),"")</f>
        <v/>
      </c>
      <c r="M1175" s="16" t="str">
        <f>IFERROR(IF([1]对账明细接口!$M$1175=0,"",[1]对账明细接口!$M$1175),"")</f>
        <v/>
      </c>
      <c r="N1175" s="19">
        <f t="shared" si="36"/>
        <v>0</v>
      </c>
      <c r="O1175" s="19">
        <f t="shared" si="37"/>
        <v>420</v>
      </c>
      <c r="S1175" s="20" t="str">
        <f>IFERROR(IF([1]对账明细接口!$N1175=0,"",[1]对账明细接口!$N1175),"")</f>
        <v/>
      </c>
      <c r="T1175" s="21" t="str">
        <f>IFERROR(IF([1]对账明细接口!$O1175=0,"",[1]对账明细接口!$O1175),"")</f>
        <v/>
      </c>
      <c r="U1175" s="21" t="str">
        <f>IFERROR(IF([1]对账明细接口!$P1175=0,"",[1]对账明细接口!$P1175),"")</f>
        <v/>
      </c>
      <c r="V1175" s="21" t="str">
        <f>IFERROR(IF([1]对账明细接口!$Q1175=0,"",[1]对账明细接口!$Q1175),"")</f>
        <v/>
      </c>
      <c r="W1175" s="20" t="str">
        <f>IFERROR(IF([1]对账明细接口!$R1175=0,"",[1]对账明细接口!$R1175),"")</f>
        <v/>
      </c>
      <c r="X1175" s="20" t="str">
        <f>IFERROR(IF([1]对账明细接口!$S1175=0,"",[1]对账明细接口!$S1175),"")</f>
        <v/>
      </c>
      <c r="Y1175" s="20" t="str">
        <f>IFERROR(IF([1]对账明细接口!$T1175=0,"",[1]对账明细接口!$T1175),"")</f>
        <v/>
      </c>
      <c r="Z1175" s="24" t="str">
        <f>IFERROR(IF([1]对账明细接口!$U1175=0,"",[1]对账明细接口!$U1175),"")</f>
        <v/>
      </c>
      <c r="AA1175" s="24" t="str">
        <f>IFERROR(IF([1]对账明细接口!$V1175=0,"",[1]对账明细接口!$V1175),"")</f>
        <v/>
      </c>
      <c r="AB1175" s="20" t="str">
        <f>IFERROR(IF([1]对账明细接口!$W1175=0,"",[1]对账明细接口!$W1175),"")</f>
        <v/>
      </c>
      <c r="AC1175" s="7" t="str">
        <f>IFERROR(IF([1]对账明细接口!$X1175=0,"",[1]对账明细接口!$X1175),"")</f>
        <v/>
      </c>
      <c r="AD1175" s="7" t="str">
        <f>IFERROR(IF([1]对账明细接口!$Y1175=0,"",[1]对账明细接口!$Y1175),"")</f>
        <v/>
      </c>
      <c r="AE1175" s="7" t="str">
        <f>IFERROR(IF([1]对账明细接口!$AA1175=0,"",[1]对账明细接口!$AA1175),"")</f>
        <v/>
      </c>
      <c r="AF1175" s="7" t="str">
        <f>IFERROR(IF([1]对账明细接口!$AB1175=0,"",[1]对账明细接口!$AB1175),"")</f>
        <v/>
      </c>
      <c r="AG1175" s="7" t="str">
        <f>IFERROR(IF([1]对账明细接口!$AC1175=0,"",[1]对账明细接口!$AC1175),"")</f>
        <v/>
      </c>
      <c r="AH1175" s="7" t="str">
        <f>IFERROR(IF([1]对账明细接口!$AD1175=0,"",[1]对账明细接口!$AD1175),"")</f>
        <v/>
      </c>
      <c r="AI1175" s="7" t="str">
        <f>IFERROR(IF([1]对账明细接口!$AE1175=0,"",[1]对账明细接口!$AE1175),"")</f>
        <v/>
      </c>
      <c r="AJ1175" s="7" t="str">
        <f>IFERROR(IF([1]对账明细接口!$AF1175=0,"",[1]对账明细接口!$AF1175),"")</f>
        <v/>
      </c>
    </row>
    <row r="1176" ht="14.25" customHeight="1" spans="1:36">
      <c r="A1176" s="14">
        <v>1176</v>
      </c>
      <c r="B1176" s="15" t="str">
        <f>IFERROR(IF([1]对账明细接口!$B$1176=0,"",[1]对账明细接口!$B$1176),"")</f>
        <v/>
      </c>
      <c r="C1176" s="16" t="str">
        <f>IFERROR(IF([1]对账明细接口!$C$1176=0,"",[1]对账明细接口!$C$1176),"")</f>
        <v/>
      </c>
      <c r="D1176" s="16" t="str">
        <f>IFERROR(IF([1]对账明细接口!$D$1176=0,"",[1]对账明细接口!$D$1176),"")</f>
        <v/>
      </c>
      <c r="E1176" s="16" t="str">
        <f>IFERROR(IF([1]对账明细接口!$E$1176=0,"",[1]对账明细接口!$E$1176),"")</f>
        <v/>
      </c>
      <c r="F1176" s="16" t="str">
        <f>IFERROR(IF([1]对账明细接口!$F$1176=0,"",[1]对账明细接口!$F$1176),"")</f>
        <v/>
      </c>
      <c r="G1176" s="16" t="str">
        <f>IFERROR(IF([1]对账明细接口!$G$1176=0,"",[1]对账明细接口!$G$1176),"")</f>
        <v/>
      </c>
      <c r="H1176" s="17" t="str">
        <f>IFERROR(IF([1]对账明细接口!$H$1176=0,"",[1]对账明细接口!$H$1176),"")</f>
        <v/>
      </c>
      <c r="I1176" s="16" t="str">
        <f>IFERROR(IF([1]对账明细接口!$I$1176=0,"",[1]对账明细接口!$I$1176),"")</f>
        <v/>
      </c>
      <c r="J1176" s="18" t="str">
        <f>IFERROR(IF([1]对账明细接口!$J$1176=0,"",[1]对账明细接口!$J$1176),"")</f>
        <v/>
      </c>
      <c r="K1176" s="18" t="str">
        <f>IFERROR(IF([1]对账明细接口!$K$1176=0,"",[1]对账明细接口!$K$1176),"")</f>
        <v/>
      </c>
      <c r="L1176" s="16" t="str">
        <f>IFERROR(IF([1]对账明细接口!$L$1176=0,"",[1]对账明细接口!$L$1176),"")</f>
        <v/>
      </c>
      <c r="M1176" s="16" t="str">
        <f>IFERROR(IF([1]对账明细接口!$M$1176=0,"",[1]对账明细接口!$M$1176),"")</f>
        <v/>
      </c>
      <c r="N1176" s="19">
        <f t="shared" si="36"/>
        <v>0</v>
      </c>
      <c r="O1176" s="19">
        <f t="shared" si="37"/>
        <v>420</v>
      </c>
      <c r="S1176" s="20" t="str">
        <f>IFERROR(IF([1]对账明细接口!$N1176=0,"",[1]对账明细接口!$N1176),"")</f>
        <v/>
      </c>
      <c r="T1176" s="21" t="str">
        <f>IFERROR(IF([1]对账明细接口!$O1176=0,"",[1]对账明细接口!$O1176),"")</f>
        <v/>
      </c>
      <c r="U1176" s="21" t="str">
        <f>IFERROR(IF([1]对账明细接口!$P1176=0,"",[1]对账明细接口!$P1176),"")</f>
        <v/>
      </c>
      <c r="V1176" s="21" t="str">
        <f>IFERROR(IF([1]对账明细接口!$Q1176=0,"",[1]对账明细接口!$Q1176),"")</f>
        <v/>
      </c>
      <c r="W1176" s="20" t="str">
        <f>IFERROR(IF([1]对账明细接口!$R1176=0,"",[1]对账明细接口!$R1176),"")</f>
        <v/>
      </c>
      <c r="X1176" s="20" t="str">
        <f>IFERROR(IF([1]对账明细接口!$S1176=0,"",[1]对账明细接口!$S1176),"")</f>
        <v/>
      </c>
      <c r="Y1176" s="20" t="str">
        <f>IFERROR(IF([1]对账明细接口!$T1176=0,"",[1]对账明细接口!$T1176),"")</f>
        <v/>
      </c>
      <c r="Z1176" s="24" t="str">
        <f>IFERROR(IF([1]对账明细接口!$U1176=0,"",[1]对账明细接口!$U1176),"")</f>
        <v/>
      </c>
      <c r="AA1176" s="24" t="str">
        <f>IFERROR(IF([1]对账明细接口!$V1176=0,"",[1]对账明细接口!$V1176),"")</f>
        <v/>
      </c>
      <c r="AB1176" s="20" t="str">
        <f>IFERROR(IF([1]对账明细接口!$W1176=0,"",[1]对账明细接口!$W1176),"")</f>
        <v/>
      </c>
      <c r="AC1176" s="7" t="str">
        <f>IFERROR(IF([1]对账明细接口!$X1176=0,"",[1]对账明细接口!$X1176),"")</f>
        <v/>
      </c>
      <c r="AD1176" s="7" t="str">
        <f>IFERROR(IF([1]对账明细接口!$Y1176=0,"",[1]对账明细接口!$Y1176),"")</f>
        <v/>
      </c>
      <c r="AE1176" s="7" t="str">
        <f>IFERROR(IF([1]对账明细接口!$AA1176=0,"",[1]对账明细接口!$AA1176),"")</f>
        <v/>
      </c>
      <c r="AF1176" s="7" t="str">
        <f>IFERROR(IF([1]对账明细接口!$AB1176=0,"",[1]对账明细接口!$AB1176),"")</f>
        <v/>
      </c>
      <c r="AG1176" s="7" t="str">
        <f>IFERROR(IF([1]对账明细接口!$AC1176=0,"",[1]对账明细接口!$AC1176),"")</f>
        <v/>
      </c>
      <c r="AH1176" s="7" t="str">
        <f>IFERROR(IF([1]对账明细接口!$AD1176=0,"",[1]对账明细接口!$AD1176),"")</f>
        <v/>
      </c>
      <c r="AI1176" s="7" t="str">
        <f>IFERROR(IF([1]对账明细接口!$AE1176=0,"",[1]对账明细接口!$AE1176),"")</f>
        <v/>
      </c>
      <c r="AJ1176" s="7" t="str">
        <f>IFERROR(IF([1]对账明细接口!$AF1176=0,"",[1]对账明细接口!$AF1176),"")</f>
        <v/>
      </c>
    </row>
    <row r="1177" ht="14.25" customHeight="1" spans="1:36">
      <c r="A1177" s="14">
        <v>1177</v>
      </c>
      <c r="B1177" s="15" t="str">
        <f>IFERROR(IF([1]对账明细接口!$B$1177=0,"",[1]对账明细接口!$B$1177),"")</f>
        <v/>
      </c>
      <c r="C1177" s="16" t="str">
        <f>IFERROR(IF([1]对账明细接口!$C$1177=0,"",[1]对账明细接口!$C$1177),"")</f>
        <v/>
      </c>
      <c r="D1177" s="16" t="str">
        <f>IFERROR(IF([1]对账明细接口!$D$1177=0,"",[1]对账明细接口!$D$1177),"")</f>
        <v/>
      </c>
      <c r="E1177" s="16" t="str">
        <f>IFERROR(IF([1]对账明细接口!$E$1177=0,"",[1]对账明细接口!$E$1177),"")</f>
        <v/>
      </c>
      <c r="F1177" s="16" t="str">
        <f>IFERROR(IF([1]对账明细接口!$F$1177=0,"",[1]对账明细接口!$F$1177),"")</f>
        <v/>
      </c>
      <c r="G1177" s="16" t="str">
        <f>IFERROR(IF([1]对账明细接口!$G$1177=0,"",[1]对账明细接口!$G$1177),"")</f>
        <v/>
      </c>
      <c r="H1177" s="17" t="str">
        <f>IFERROR(IF([1]对账明细接口!$H$1177=0,"",[1]对账明细接口!$H$1177),"")</f>
        <v/>
      </c>
      <c r="I1177" s="16" t="str">
        <f>IFERROR(IF([1]对账明细接口!$I$1177=0,"",[1]对账明细接口!$I$1177),"")</f>
        <v/>
      </c>
      <c r="J1177" s="18" t="str">
        <f>IFERROR(IF([1]对账明细接口!$J$1177=0,"",[1]对账明细接口!$J$1177),"")</f>
        <v/>
      </c>
      <c r="K1177" s="18" t="str">
        <f>IFERROR(IF([1]对账明细接口!$K$1177=0,"",[1]对账明细接口!$K$1177),"")</f>
        <v/>
      </c>
      <c r="L1177" s="16" t="str">
        <f>IFERROR(IF([1]对账明细接口!$L$1177=0,"",[1]对账明细接口!$L$1177),"")</f>
        <v/>
      </c>
      <c r="M1177" s="16" t="str">
        <f>IFERROR(IF([1]对账明细接口!$M$1177=0,"",[1]对账明细接口!$M$1177),"")</f>
        <v/>
      </c>
      <c r="N1177" s="19">
        <f t="shared" si="36"/>
        <v>0</v>
      </c>
      <c r="O1177" s="19">
        <f t="shared" si="37"/>
        <v>420</v>
      </c>
      <c r="S1177" s="20" t="str">
        <f>IFERROR(IF([1]对账明细接口!$N1177=0,"",[1]对账明细接口!$N1177),"")</f>
        <v/>
      </c>
      <c r="T1177" s="21" t="str">
        <f>IFERROR(IF([1]对账明细接口!$O1177=0,"",[1]对账明细接口!$O1177),"")</f>
        <v/>
      </c>
      <c r="U1177" s="21" t="str">
        <f>IFERROR(IF([1]对账明细接口!$P1177=0,"",[1]对账明细接口!$P1177),"")</f>
        <v/>
      </c>
      <c r="V1177" s="21" t="str">
        <f>IFERROR(IF([1]对账明细接口!$Q1177=0,"",[1]对账明细接口!$Q1177),"")</f>
        <v/>
      </c>
      <c r="W1177" s="20" t="str">
        <f>IFERROR(IF([1]对账明细接口!$R1177=0,"",[1]对账明细接口!$R1177),"")</f>
        <v/>
      </c>
      <c r="X1177" s="20" t="str">
        <f>IFERROR(IF([1]对账明细接口!$S1177=0,"",[1]对账明细接口!$S1177),"")</f>
        <v/>
      </c>
      <c r="Y1177" s="20" t="str">
        <f>IFERROR(IF([1]对账明细接口!$T1177=0,"",[1]对账明细接口!$T1177),"")</f>
        <v/>
      </c>
      <c r="Z1177" s="24" t="str">
        <f>IFERROR(IF([1]对账明细接口!$U1177=0,"",[1]对账明细接口!$U1177),"")</f>
        <v/>
      </c>
      <c r="AA1177" s="24" t="str">
        <f>IFERROR(IF([1]对账明细接口!$V1177=0,"",[1]对账明细接口!$V1177),"")</f>
        <v/>
      </c>
      <c r="AB1177" s="20" t="str">
        <f>IFERROR(IF([1]对账明细接口!$W1177=0,"",[1]对账明细接口!$W1177),"")</f>
        <v/>
      </c>
      <c r="AC1177" s="7" t="str">
        <f>IFERROR(IF([1]对账明细接口!$X1177=0,"",[1]对账明细接口!$X1177),"")</f>
        <v/>
      </c>
      <c r="AD1177" s="7" t="str">
        <f>IFERROR(IF([1]对账明细接口!$Y1177=0,"",[1]对账明细接口!$Y1177),"")</f>
        <v/>
      </c>
      <c r="AE1177" s="7" t="str">
        <f>IFERROR(IF([1]对账明细接口!$AA1177=0,"",[1]对账明细接口!$AA1177),"")</f>
        <v/>
      </c>
      <c r="AF1177" s="7" t="str">
        <f>IFERROR(IF([1]对账明细接口!$AB1177=0,"",[1]对账明细接口!$AB1177),"")</f>
        <v/>
      </c>
      <c r="AG1177" s="7" t="str">
        <f>IFERROR(IF([1]对账明细接口!$AC1177=0,"",[1]对账明细接口!$AC1177),"")</f>
        <v/>
      </c>
      <c r="AH1177" s="7" t="str">
        <f>IFERROR(IF([1]对账明细接口!$AD1177=0,"",[1]对账明细接口!$AD1177),"")</f>
        <v/>
      </c>
      <c r="AI1177" s="7" t="str">
        <f>IFERROR(IF([1]对账明细接口!$AE1177=0,"",[1]对账明细接口!$AE1177),"")</f>
        <v/>
      </c>
      <c r="AJ1177" s="7" t="str">
        <f>IFERROR(IF([1]对账明细接口!$AF1177=0,"",[1]对账明细接口!$AF1177),"")</f>
        <v/>
      </c>
    </row>
    <row r="1178" ht="14.25" customHeight="1" spans="1:36">
      <c r="A1178" s="14">
        <v>1178</v>
      </c>
      <c r="B1178" s="15" t="str">
        <f>IFERROR(IF([1]对账明细接口!$B$1178=0,"",[1]对账明细接口!$B$1178),"")</f>
        <v/>
      </c>
      <c r="C1178" s="16" t="str">
        <f>IFERROR(IF([1]对账明细接口!$C$1178=0,"",[1]对账明细接口!$C$1178),"")</f>
        <v/>
      </c>
      <c r="D1178" s="16" t="str">
        <f>IFERROR(IF([1]对账明细接口!$D$1178=0,"",[1]对账明细接口!$D$1178),"")</f>
        <v/>
      </c>
      <c r="E1178" s="16" t="str">
        <f>IFERROR(IF([1]对账明细接口!$E$1178=0,"",[1]对账明细接口!$E$1178),"")</f>
        <v/>
      </c>
      <c r="F1178" s="16" t="str">
        <f>IFERROR(IF([1]对账明细接口!$F$1178=0,"",[1]对账明细接口!$F$1178),"")</f>
        <v/>
      </c>
      <c r="G1178" s="16" t="str">
        <f>IFERROR(IF([1]对账明细接口!$G$1178=0,"",[1]对账明细接口!$G$1178),"")</f>
        <v/>
      </c>
      <c r="H1178" s="17" t="str">
        <f>IFERROR(IF([1]对账明细接口!$H$1178=0,"",[1]对账明细接口!$H$1178),"")</f>
        <v/>
      </c>
      <c r="I1178" s="16" t="str">
        <f>IFERROR(IF([1]对账明细接口!$I$1178=0,"",[1]对账明细接口!$I$1178),"")</f>
        <v/>
      </c>
      <c r="J1178" s="18" t="str">
        <f>IFERROR(IF([1]对账明细接口!$J$1178=0,"",[1]对账明细接口!$J$1178),"")</f>
        <v/>
      </c>
      <c r="K1178" s="18" t="str">
        <f>IFERROR(IF([1]对账明细接口!$K$1178=0,"",[1]对账明细接口!$K$1178),"")</f>
        <v/>
      </c>
      <c r="L1178" s="16" t="str">
        <f>IFERROR(IF([1]对账明细接口!$L$1178=0,"",[1]对账明细接口!$L$1178),"")</f>
        <v/>
      </c>
      <c r="M1178" s="16" t="str">
        <f>IFERROR(IF([1]对账明细接口!$M$1178=0,"",[1]对账明细接口!$M$1178),"")</f>
        <v/>
      </c>
      <c r="N1178" s="19">
        <f t="shared" si="36"/>
        <v>0</v>
      </c>
      <c r="O1178" s="19">
        <f t="shared" si="37"/>
        <v>420</v>
      </c>
      <c r="S1178" s="20" t="str">
        <f>IFERROR(IF([1]对账明细接口!$N1178=0,"",[1]对账明细接口!$N1178),"")</f>
        <v/>
      </c>
      <c r="T1178" s="21" t="str">
        <f>IFERROR(IF([1]对账明细接口!$O1178=0,"",[1]对账明细接口!$O1178),"")</f>
        <v/>
      </c>
      <c r="U1178" s="21" t="str">
        <f>IFERROR(IF([1]对账明细接口!$P1178=0,"",[1]对账明细接口!$P1178),"")</f>
        <v/>
      </c>
      <c r="V1178" s="21" t="str">
        <f>IFERROR(IF([1]对账明细接口!$Q1178=0,"",[1]对账明细接口!$Q1178),"")</f>
        <v/>
      </c>
      <c r="W1178" s="20" t="str">
        <f>IFERROR(IF([1]对账明细接口!$R1178=0,"",[1]对账明细接口!$R1178),"")</f>
        <v/>
      </c>
      <c r="X1178" s="20" t="str">
        <f>IFERROR(IF([1]对账明细接口!$S1178=0,"",[1]对账明细接口!$S1178),"")</f>
        <v/>
      </c>
      <c r="Y1178" s="20" t="str">
        <f>IFERROR(IF([1]对账明细接口!$T1178=0,"",[1]对账明细接口!$T1178),"")</f>
        <v/>
      </c>
      <c r="Z1178" s="24" t="str">
        <f>IFERROR(IF([1]对账明细接口!$U1178=0,"",[1]对账明细接口!$U1178),"")</f>
        <v/>
      </c>
      <c r="AA1178" s="24" t="str">
        <f>IFERROR(IF([1]对账明细接口!$V1178=0,"",[1]对账明细接口!$V1178),"")</f>
        <v/>
      </c>
      <c r="AB1178" s="20" t="str">
        <f>IFERROR(IF([1]对账明细接口!$W1178=0,"",[1]对账明细接口!$W1178),"")</f>
        <v/>
      </c>
      <c r="AC1178" s="7" t="str">
        <f>IFERROR(IF([1]对账明细接口!$X1178=0,"",[1]对账明细接口!$X1178),"")</f>
        <v/>
      </c>
      <c r="AD1178" s="7" t="str">
        <f>IFERROR(IF([1]对账明细接口!$Y1178=0,"",[1]对账明细接口!$Y1178),"")</f>
        <v/>
      </c>
      <c r="AE1178" s="7" t="str">
        <f>IFERROR(IF([1]对账明细接口!$AA1178=0,"",[1]对账明细接口!$AA1178),"")</f>
        <v/>
      </c>
      <c r="AF1178" s="7" t="str">
        <f>IFERROR(IF([1]对账明细接口!$AB1178=0,"",[1]对账明细接口!$AB1178),"")</f>
        <v/>
      </c>
      <c r="AG1178" s="7" t="str">
        <f>IFERROR(IF([1]对账明细接口!$AC1178=0,"",[1]对账明细接口!$AC1178),"")</f>
        <v/>
      </c>
      <c r="AH1178" s="7" t="str">
        <f>IFERROR(IF([1]对账明细接口!$AD1178=0,"",[1]对账明细接口!$AD1178),"")</f>
        <v/>
      </c>
      <c r="AI1178" s="7" t="str">
        <f>IFERROR(IF([1]对账明细接口!$AE1178=0,"",[1]对账明细接口!$AE1178),"")</f>
        <v/>
      </c>
      <c r="AJ1178" s="7" t="str">
        <f>IFERROR(IF([1]对账明细接口!$AF1178=0,"",[1]对账明细接口!$AF1178),"")</f>
        <v/>
      </c>
    </row>
    <row r="1179" ht="14.25" customHeight="1" spans="1:36">
      <c r="A1179" s="14">
        <v>1179</v>
      </c>
      <c r="B1179" s="15" t="str">
        <f>IFERROR(IF([1]对账明细接口!$B$1179=0,"",[1]对账明细接口!$B$1179),"")</f>
        <v/>
      </c>
      <c r="C1179" s="16" t="str">
        <f>IFERROR(IF([1]对账明细接口!$C$1179=0,"",[1]对账明细接口!$C$1179),"")</f>
        <v/>
      </c>
      <c r="D1179" s="16" t="str">
        <f>IFERROR(IF([1]对账明细接口!$D$1179=0,"",[1]对账明细接口!$D$1179),"")</f>
        <v/>
      </c>
      <c r="E1179" s="16" t="str">
        <f>IFERROR(IF([1]对账明细接口!$E$1179=0,"",[1]对账明细接口!$E$1179),"")</f>
        <v/>
      </c>
      <c r="F1179" s="16" t="str">
        <f>IFERROR(IF([1]对账明细接口!$F$1179=0,"",[1]对账明细接口!$F$1179),"")</f>
        <v/>
      </c>
      <c r="G1179" s="16" t="str">
        <f>IFERROR(IF([1]对账明细接口!$G$1179=0,"",[1]对账明细接口!$G$1179),"")</f>
        <v/>
      </c>
      <c r="H1179" s="17" t="str">
        <f>IFERROR(IF([1]对账明细接口!$H$1179=0,"",[1]对账明细接口!$H$1179),"")</f>
        <v/>
      </c>
      <c r="I1179" s="16" t="str">
        <f>IFERROR(IF([1]对账明细接口!$I$1179=0,"",[1]对账明细接口!$I$1179),"")</f>
        <v/>
      </c>
      <c r="J1179" s="18" t="str">
        <f>IFERROR(IF([1]对账明细接口!$J$1179=0,"",[1]对账明细接口!$J$1179),"")</f>
        <v/>
      </c>
      <c r="K1179" s="18" t="str">
        <f>IFERROR(IF([1]对账明细接口!$K$1179=0,"",[1]对账明细接口!$K$1179),"")</f>
        <v/>
      </c>
      <c r="L1179" s="16" t="str">
        <f>IFERROR(IF([1]对账明细接口!$L$1179=0,"",[1]对账明细接口!$L$1179),"")</f>
        <v/>
      </c>
      <c r="M1179" s="16" t="str">
        <f>IFERROR(IF([1]对账明细接口!$M$1179=0,"",[1]对账明细接口!$M$1179),"")</f>
        <v/>
      </c>
      <c r="N1179" s="19">
        <f t="shared" si="36"/>
        <v>0</v>
      </c>
      <c r="O1179" s="19">
        <f t="shared" si="37"/>
        <v>420</v>
      </c>
      <c r="S1179" s="20" t="str">
        <f>IFERROR(IF([1]对账明细接口!$N1179=0,"",[1]对账明细接口!$N1179),"")</f>
        <v/>
      </c>
      <c r="T1179" s="21" t="str">
        <f>IFERROR(IF([1]对账明细接口!$O1179=0,"",[1]对账明细接口!$O1179),"")</f>
        <v/>
      </c>
      <c r="U1179" s="21" t="str">
        <f>IFERROR(IF([1]对账明细接口!$P1179=0,"",[1]对账明细接口!$P1179),"")</f>
        <v/>
      </c>
      <c r="V1179" s="21" t="str">
        <f>IFERROR(IF([1]对账明细接口!$Q1179=0,"",[1]对账明细接口!$Q1179),"")</f>
        <v/>
      </c>
      <c r="W1179" s="20" t="str">
        <f>IFERROR(IF([1]对账明细接口!$R1179=0,"",[1]对账明细接口!$R1179),"")</f>
        <v/>
      </c>
      <c r="X1179" s="20" t="str">
        <f>IFERROR(IF([1]对账明细接口!$S1179=0,"",[1]对账明细接口!$S1179),"")</f>
        <v/>
      </c>
      <c r="Y1179" s="20" t="str">
        <f>IFERROR(IF([1]对账明细接口!$T1179=0,"",[1]对账明细接口!$T1179),"")</f>
        <v/>
      </c>
      <c r="Z1179" s="24" t="str">
        <f>IFERROR(IF([1]对账明细接口!$U1179=0,"",[1]对账明细接口!$U1179),"")</f>
        <v/>
      </c>
      <c r="AA1179" s="24" t="str">
        <f>IFERROR(IF([1]对账明细接口!$V1179=0,"",[1]对账明细接口!$V1179),"")</f>
        <v/>
      </c>
      <c r="AB1179" s="20" t="str">
        <f>IFERROR(IF([1]对账明细接口!$W1179=0,"",[1]对账明细接口!$W1179),"")</f>
        <v/>
      </c>
      <c r="AC1179" s="7" t="str">
        <f>IFERROR(IF([1]对账明细接口!$X1179=0,"",[1]对账明细接口!$X1179),"")</f>
        <v/>
      </c>
      <c r="AD1179" s="7" t="str">
        <f>IFERROR(IF([1]对账明细接口!$Y1179=0,"",[1]对账明细接口!$Y1179),"")</f>
        <v/>
      </c>
      <c r="AE1179" s="7" t="str">
        <f>IFERROR(IF([1]对账明细接口!$AA1179=0,"",[1]对账明细接口!$AA1179),"")</f>
        <v/>
      </c>
      <c r="AF1179" s="7" t="str">
        <f>IFERROR(IF([1]对账明细接口!$AB1179=0,"",[1]对账明细接口!$AB1179),"")</f>
        <v/>
      </c>
      <c r="AG1179" s="7" t="str">
        <f>IFERROR(IF([1]对账明细接口!$AC1179=0,"",[1]对账明细接口!$AC1179),"")</f>
        <v/>
      </c>
      <c r="AH1179" s="7" t="str">
        <f>IFERROR(IF([1]对账明细接口!$AD1179=0,"",[1]对账明细接口!$AD1179),"")</f>
        <v/>
      </c>
      <c r="AI1179" s="7" t="str">
        <f>IFERROR(IF([1]对账明细接口!$AE1179=0,"",[1]对账明细接口!$AE1179),"")</f>
        <v/>
      </c>
      <c r="AJ1179" s="7" t="str">
        <f>IFERROR(IF([1]对账明细接口!$AF1179=0,"",[1]对账明细接口!$AF1179),"")</f>
        <v/>
      </c>
    </row>
    <row r="1180" ht="14.25" customHeight="1" spans="1:36">
      <c r="A1180" s="14">
        <v>1180</v>
      </c>
      <c r="B1180" s="15" t="str">
        <f>IFERROR(IF([1]对账明细接口!$B$1180=0,"",[1]对账明细接口!$B$1180),"")</f>
        <v/>
      </c>
      <c r="C1180" s="16" t="str">
        <f>IFERROR(IF([1]对账明细接口!$C$1180=0,"",[1]对账明细接口!$C$1180),"")</f>
        <v/>
      </c>
      <c r="D1180" s="16" t="str">
        <f>IFERROR(IF([1]对账明细接口!$D$1180=0,"",[1]对账明细接口!$D$1180),"")</f>
        <v/>
      </c>
      <c r="E1180" s="16" t="str">
        <f>IFERROR(IF([1]对账明细接口!$E$1180=0,"",[1]对账明细接口!$E$1180),"")</f>
        <v/>
      </c>
      <c r="F1180" s="16" t="str">
        <f>IFERROR(IF([1]对账明细接口!$F$1180=0,"",[1]对账明细接口!$F$1180),"")</f>
        <v/>
      </c>
      <c r="G1180" s="16" t="str">
        <f>IFERROR(IF([1]对账明细接口!$G$1180=0,"",[1]对账明细接口!$G$1180),"")</f>
        <v/>
      </c>
      <c r="H1180" s="17" t="str">
        <f>IFERROR(IF([1]对账明细接口!$H$1180=0,"",[1]对账明细接口!$H$1180),"")</f>
        <v/>
      </c>
      <c r="I1180" s="16" t="str">
        <f>IFERROR(IF([1]对账明细接口!$I$1180=0,"",[1]对账明细接口!$I$1180),"")</f>
        <v/>
      </c>
      <c r="J1180" s="18" t="str">
        <f>IFERROR(IF([1]对账明细接口!$J$1180=0,"",[1]对账明细接口!$J$1180),"")</f>
        <v/>
      </c>
      <c r="K1180" s="18" t="str">
        <f>IFERROR(IF([1]对账明细接口!$K$1180=0,"",[1]对账明细接口!$K$1180),"")</f>
        <v/>
      </c>
      <c r="L1180" s="16" t="str">
        <f>IFERROR(IF([1]对账明细接口!$L$1180=0,"",[1]对账明细接口!$L$1180),"")</f>
        <v/>
      </c>
      <c r="M1180" s="16" t="str">
        <f>IFERROR(IF([1]对账明细接口!$M$1180=0,"",[1]对账明细接口!$M$1180),"")</f>
        <v/>
      </c>
      <c r="N1180" s="19">
        <f t="shared" si="36"/>
        <v>0</v>
      </c>
      <c r="O1180" s="19">
        <f t="shared" si="37"/>
        <v>420</v>
      </c>
      <c r="S1180" s="20" t="str">
        <f>IFERROR(IF([1]对账明细接口!$N1180=0,"",[1]对账明细接口!$N1180),"")</f>
        <v/>
      </c>
      <c r="T1180" s="21" t="str">
        <f>IFERROR(IF([1]对账明细接口!$O1180=0,"",[1]对账明细接口!$O1180),"")</f>
        <v/>
      </c>
      <c r="U1180" s="21" t="str">
        <f>IFERROR(IF([1]对账明细接口!$P1180=0,"",[1]对账明细接口!$P1180),"")</f>
        <v/>
      </c>
      <c r="V1180" s="21" t="str">
        <f>IFERROR(IF([1]对账明细接口!$Q1180=0,"",[1]对账明细接口!$Q1180),"")</f>
        <v/>
      </c>
      <c r="W1180" s="20" t="str">
        <f>IFERROR(IF([1]对账明细接口!$R1180=0,"",[1]对账明细接口!$R1180),"")</f>
        <v/>
      </c>
      <c r="X1180" s="20" t="str">
        <f>IFERROR(IF([1]对账明细接口!$S1180=0,"",[1]对账明细接口!$S1180),"")</f>
        <v/>
      </c>
      <c r="Y1180" s="20" t="str">
        <f>IFERROR(IF([1]对账明细接口!$T1180=0,"",[1]对账明细接口!$T1180),"")</f>
        <v/>
      </c>
      <c r="Z1180" s="24" t="str">
        <f>IFERROR(IF([1]对账明细接口!$U1180=0,"",[1]对账明细接口!$U1180),"")</f>
        <v/>
      </c>
      <c r="AA1180" s="24" t="str">
        <f>IFERROR(IF([1]对账明细接口!$V1180=0,"",[1]对账明细接口!$V1180),"")</f>
        <v/>
      </c>
      <c r="AB1180" s="20" t="str">
        <f>IFERROR(IF([1]对账明细接口!$W1180=0,"",[1]对账明细接口!$W1180),"")</f>
        <v/>
      </c>
      <c r="AC1180" s="7" t="str">
        <f>IFERROR(IF([1]对账明细接口!$X1180=0,"",[1]对账明细接口!$X1180),"")</f>
        <v/>
      </c>
      <c r="AD1180" s="7" t="str">
        <f>IFERROR(IF([1]对账明细接口!$Y1180=0,"",[1]对账明细接口!$Y1180),"")</f>
        <v/>
      </c>
      <c r="AE1180" s="7" t="str">
        <f>IFERROR(IF([1]对账明细接口!$AA1180=0,"",[1]对账明细接口!$AA1180),"")</f>
        <v/>
      </c>
      <c r="AF1180" s="7" t="str">
        <f>IFERROR(IF([1]对账明细接口!$AB1180=0,"",[1]对账明细接口!$AB1180),"")</f>
        <v/>
      </c>
      <c r="AG1180" s="7" t="str">
        <f>IFERROR(IF([1]对账明细接口!$AC1180=0,"",[1]对账明细接口!$AC1180),"")</f>
        <v/>
      </c>
      <c r="AH1180" s="7" t="str">
        <f>IFERROR(IF([1]对账明细接口!$AD1180=0,"",[1]对账明细接口!$AD1180),"")</f>
        <v/>
      </c>
      <c r="AI1180" s="7" t="str">
        <f>IFERROR(IF([1]对账明细接口!$AE1180=0,"",[1]对账明细接口!$AE1180),"")</f>
        <v/>
      </c>
      <c r="AJ1180" s="7" t="str">
        <f>IFERROR(IF([1]对账明细接口!$AF1180=0,"",[1]对账明细接口!$AF1180),"")</f>
        <v/>
      </c>
    </row>
    <row r="1181" ht="14.25" customHeight="1" spans="1:36">
      <c r="A1181" s="14">
        <v>1181</v>
      </c>
      <c r="B1181" s="15" t="str">
        <f>IFERROR(IF([1]对账明细接口!$B$1181=0,"",[1]对账明细接口!$B$1181),"")</f>
        <v/>
      </c>
      <c r="C1181" s="16" t="str">
        <f>IFERROR(IF([1]对账明细接口!$C$1181=0,"",[1]对账明细接口!$C$1181),"")</f>
        <v/>
      </c>
      <c r="D1181" s="16" t="str">
        <f>IFERROR(IF([1]对账明细接口!$D$1181=0,"",[1]对账明细接口!$D$1181),"")</f>
        <v/>
      </c>
      <c r="E1181" s="16" t="str">
        <f>IFERROR(IF([1]对账明细接口!$E$1181=0,"",[1]对账明细接口!$E$1181),"")</f>
        <v/>
      </c>
      <c r="F1181" s="16" t="str">
        <f>IFERROR(IF([1]对账明细接口!$F$1181=0,"",[1]对账明细接口!$F$1181),"")</f>
        <v/>
      </c>
      <c r="G1181" s="16" t="str">
        <f>IFERROR(IF([1]对账明细接口!$G$1181=0,"",[1]对账明细接口!$G$1181),"")</f>
        <v/>
      </c>
      <c r="H1181" s="17" t="str">
        <f>IFERROR(IF([1]对账明细接口!$H$1181=0,"",[1]对账明细接口!$H$1181),"")</f>
        <v/>
      </c>
      <c r="I1181" s="16" t="str">
        <f>IFERROR(IF([1]对账明细接口!$I$1181=0,"",[1]对账明细接口!$I$1181),"")</f>
        <v/>
      </c>
      <c r="J1181" s="18" t="str">
        <f>IFERROR(IF([1]对账明细接口!$J$1181=0,"",[1]对账明细接口!$J$1181),"")</f>
        <v/>
      </c>
      <c r="K1181" s="18" t="str">
        <f>IFERROR(IF([1]对账明细接口!$K$1181=0,"",[1]对账明细接口!$K$1181),"")</f>
        <v/>
      </c>
      <c r="L1181" s="16" t="str">
        <f>IFERROR(IF([1]对账明细接口!$L$1181=0,"",[1]对账明细接口!$L$1181),"")</f>
        <v/>
      </c>
      <c r="M1181" s="16" t="str">
        <f>IFERROR(IF([1]对账明细接口!$M$1181=0,"",[1]对账明细接口!$M$1181),"")</f>
        <v/>
      </c>
      <c r="N1181" s="19">
        <f t="shared" si="36"/>
        <v>0</v>
      </c>
      <c r="O1181" s="19">
        <f t="shared" si="37"/>
        <v>420</v>
      </c>
      <c r="S1181" s="20" t="str">
        <f>IFERROR(IF([1]对账明细接口!$N1181=0,"",[1]对账明细接口!$N1181),"")</f>
        <v/>
      </c>
      <c r="T1181" s="21" t="str">
        <f>IFERROR(IF([1]对账明细接口!$O1181=0,"",[1]对账明细接口!$O1181),"")</f>
        <v/>
      </c>
      <c r="U1181" s="21" t="str">
        <f>IFERROR(IF([1]对账明细接口!$P1181=0,"",[1]对账明细接口!$P1181),"")</f>
        <v/>
      </c>
      <c r="V1181" s="21" t="str">
        <f>IFERROR(IF([1]对账明细接口!$Q1181=0,"",[1]对账明细接口!$Q1181),"")</f>
        <v/>
      </c>
      <c r="W1181" s="20" t="str">
        <f>IFERROR(IF([1]对账明细接口!$R1181=0,"",[1]对账明细接口!$R1181),"")</f>
        <v/>
      </c>
      <c r="X1181" s="20" t="str">
        <f>IFERROR(IF([1]对账明细接口!$S1181=0,"",[1]对账明细接口!$S1181),"")</f>
        <v/>
      </c>
      <c r="Y1181" s="20" t="str">
        <f>IFERROR(IF([1]对账明细接口!$T1181=0,"",[1]对账明细接口!$T1181),"")</f>
        <v/>
      </c>
      <c r="Z1181" s="24" t="str">
        <f>IFERROR(IF([1]对账明细接口!$U1181=0,"",[1]对账明细接口!$U1181),"")</f>
        <v/>
      </c>
      <c r="AA1181" s="24" t="str">
        <f>IFERROR(IF([1]对账明细接口!$V1181=0,"",[1]对账明细接口!$V1181),"")</f>
        <v/>
      </c>
      <c r="AB1181" s="20" t="str">
        <f>IFERROR(IF([1]对账明细接口!$W1181=0,"",[1]对账明细接口!$W1181),"")</f>
        <v/>
      </c>
      <c r="AC1181" s="7" t="str">
        <f>IFERROR(IF([1]对账明细接口!$X1181=0,"",[1]对账明细接口!$X1181),"")</f>
        <v/>
      </c>
      <c r="AD1181" s="7" t="str">
        <f>IFERROR(IF([1]对账明细接口!$Y1181=0,"",[1]对账明细接口!$Y1181),"")</f>
        <v/>
      </c>
      <c r="AE1181" s="7" t="str">
        <f>IFERROR(IF([1]对账明细接口!$AA1181=0,"",[1]对账明细接口!$AA1181),"")</f>
        <v/>
      </c>
      <c r="AF1181" s="7" t="str">
        <f>IFERROR(IF([1]对账明细接口!$AB1181=0,"",[1]对账明细接口!$AB1181),"")</f>
        <v/>
      </c>
      <c r="AG1181" s="7" t="str">
        <f>IFERROR(IF([1]对账明细接口!$AC1181=0,"",[1]对账明细接口!$AC1181),"")</f>
        <v/>
      </c>
      <c r="AH1181" s="7" t="str">
        <f>IFERROR(IF([1]对账明细接口!$AD1181=0,"",[1]对账明细接口!$AD1181),"")</f>
        <v/>
      </c>
      <c r="AI1181" s="7" t="str">
        <f>IFERROR(IF([1]对账明细接口!$AE1181=0,"",[1]对账明细接口!$AE1181),"")</f>
        <v/>
      </c>
      <c r="AJ1181" s="7" t="str">
        <f>IFERROR(IF([1]对账明细接口!$AF1181=0,"",[1]对账明细接口!$AF1181),"")</f>
        <v/>
      </c>
    </row>
    <row r="1182" ht="14.25" customHeight="1" spans="1:36">
      <c r="A1182" s="14">
        <v>1182</v>
      </c>
      <c r="B1182" s="15" t="str">
        <f>IFERROR(IF([1]对账明细接口!$B$1182=0,"",[1]对账明细接口!$B$1182),"")</f>
        <v/>
      </c>
      <c r="C1182" s="16" t="str">
        <f>IFERROR(IF([1]对账明细接口!$C$1182=0,"",[1]对账明细接口!$C$1182),"")</f>
        <v/>
      </c>
      <c r="D1182" s="16" t="str">
        <f>IFERROR(IF([1]对账明细接口!$D$1182=0,"",[1]对账明细接口!$D$1182),"")</f>
        <v/>
      </c>
      <c r="E1182" s="16" t="str">
        <f>IFERROR(IF([1]对账明细接口!$E$1182=0,"",[1]对账明细接口!$E$1182),"")</f>
        <v/>
      </c>
      <c r="F1182" s="16" t="str">
        <f>IFERROR(IF([1]对账明细接口!$F$1182=0,"",[1]对账明细接口!$F$1182),"")</f>
        <v/>
      </c>
      <c r="G1182" s="16" t="str">
        <f>IFERROR(IF([1]对账明细接口!$G$1182=0,"",[1]对账明细接口!$G$1182),"")</f>
        <v/>
      </c>
      <c r="H1182" s="17" t="str">
        <f>IFERROR(IF([1]对账明细接口!$H$1182=0,"",[1]对账明细接口!$H$1182),"")</f>
        <v/>
      </c>
      <c r="I1182" s="16" t="str">
        <f>IFERROR(IF([1]对账明细接口!$I$1182=0,"",[1]对账明细接口!$I$1182),"")</f>
        <v/>
      </c>
      <c r="J1182" s="18" t="str">
        <f>IFERROR(IF([1]对账明细接口!$J$1182=0,"",[1]对账明细接口!$J$1182),"")</f>
        <v/>
      </c>
      <c r="K1182" s="18" t="str">
        <f>IFERROR(IF([1]对账明细接口!$K$1182=0,"",[1]对账明细接口!$K$1182),"")</f>
        <v/>
      </c>
      <c r="L1182" s="16" t="str">
        <f>IFERROR(IF([1]对账明细接口!$L$1182=0,"",[1]对账明细接口!$L$1182),"")</f>
        <v/>
      </c>
      <c r="M1182" s="16" t="str">
        <f>IFERROR(IF([1]对账明细接口!$M$1182=0,"",[1]对账明细接口!$M$1182),"")</f>
        <v/>
      </c>
      <c r="N1182" s="19">
        <f t="shared" si="36"/>
        <v>0</v>
      </c>
      <c r="O1182" s="19">
        <f t="shared" si="37"/>
        <v>420</v>
      </c>
      <c r="S1182" s="20" t="str">
        <f>IFERROR(IF([1]对账明细接口!$N1182=0,"",[1]对账明细接口!$N1182),"")</f>
        <v/>
      </c>
      <c r="T1182" s="21" t="str">
        <f>IFERROR(IF([1]对账明细接口!$O1182=0,"",[1]对账明细接口!$O1182),"")</f>
        <v/>
      </c>
      <c r="U1182" s="21" t="str">
        <f>IFERROR(IF([1]对账明细接口!$P1182=0,"",[1]对账明细接口!$P1182),"")</f>
        <v/>
      </c>
      <c r="V1182" s="21" t="str">
        <f>IFERROR(IF([1]对账明细接口!$Q1182=0,"",[1]对账明细接口!$Q1182),"")</f>
        <v/>
      </c>
      <c r="W1182" s="20" t="str">
        <f>IFERROR(IF([1]对账明细接口!$R1182=0,"",[1]对账明细接口!$R1182),"")</f>
        <v/>
      </c>
      <c r="X1182" s="20" t="str">
        <f>IFERROR(IF([1]对账明细接口!$S1182=0,"",[1]对账明细接口!$S1182),"")</f>
        <v/>
      </c>
      <c r="Y1182" s="20" t="str">
        <f>IFERROR(IF([1]对账明细接口!$T1182=0,"",[1]对账明细接口!$T1182),"")</f>
        <v/>
      </c>
      <c r="Z1182" s="24" t="str">
        <f>IFERROR(IF([1]对账明细接口!$U1182=0,"",[1]对账明细接口!$U1182),"")</f>
        <v/>
      </c>
      <c r="AA1182" s="24" t="str">
        <f>IFERROR(IF([1]对账明细接口!$V1182=0,"",[1]对账明细接口!$V1182),"")</f>
        <v/>
      </c>
      <c r="AB1182" s="20" t="str">
        <f>IFERROR(IF([1]对账明细接口!$W1182=0,"",[1]对账明细接口!$W1182),"")</f>
        <v/>
      </c>
      <c r="AC1182" s="7" t="str">
        <f>IFERROR(IF([1]对账明细接口!$X1182=0,"",[1]对账明细接口!$X1182),"")</f>
        <v/>
      </c>
      <c r="AD1182" s="7" t="str">
        <f>IFERROR(IF([1]对账明细接口!$Y1182=0,"",[1]对账明细接口!$Y1182),"")</f>
        <v/>
      </c>
      <c r="AE1182" s="7" t="str">
        <f>IFERROR(IF([1]对账明细接口!$AA1182=0,"",[1]对账明细接口!$AA1182),"")</f>
        <v/>
      </c>
      <c r="AF1182" s="7" t="str">
        <f>IFERROR(IF([1]对账明细接口!$AB1182=0,"",[1]对账明细接口!$AB1182),"")</f>
        <v/>
      </c>
      <c r="AG1182" s="7" t="str">
        <f>IFERROR(IF([1]对账明细接口!$AC1182=0,"",[1]对账明细接口!$AC1182),"")</f>
        <v/>
      </c>
      <c r="AH1182" s="7" t="str">
        <f>IFERROR(IF([1]对账明细接口!$AD1182=0,"",[1]对账明细接口!$AD1182),"")</f>
        <v/>
      </c>
      <c r="AI1182" s="7" t="str">
        <f>IFERROR(IF([1]对账明细接口!$AE1182=0,"",[1]对账明细接口!$AE1182),"")</f>
        <v/>
      </c>
      <c r="AJ1182" s="7" t="str">
        <f>IFERROR(IF([1]对账明细接口!$AF1182=0,"",[1]对账明细接口!$AF1182),"")</f>
        <v/>
      </c>
    </row>
    <row r="1183" ht="14.25" customHeight="1" spans="1:36">
      <c r="A1183" s="14">
        <v>1183</v>
      </c>
      <c r="B1183" s="15" t="str">
        <f>IFERROR(IF([1]对账明细接口!$B$1183=0,"",[1]对账明细接口!$B$1183),"")</f>
        <v/>
      </c>
      <c r="C1183" s="16" t="str">
        <f>IFERROR(IF([1]对账明细接口!$C$1183=0,"",[1]对账明细接口!$C$1183),"")</f>
        <v/>
      </c>
      <c r="D1183" s="16" t="str">
        <f>IFERROR(IF([1]对账明细接口!$D$1183=0,"",[1]对账明细接口!$D$1183),"")</f>
        <v/>
      </c>
      <c r="E1183" s="16" t="str">
        <f>IFERROR(IF([1]对账明细接口!$E$1183=0,"",[1]对账明细接口!$E$1183),"")</f>
        <v/>
      </c>
      <c r="F1183" s="16" t="str">
        <f>IFERROR(IF([1]对账明细接口!$F$1183=0,"",[1]对账明细接口!$F$1183),"")</f>
        <v/>
      </c>
      <c r="G1183" s="16" t="str">
        <f>IFERROR(IF([1]对账明细接口!$G$1183=0,"",[1]对账明细接口!$G$1183),"")</f>
        <v/>
      </c>
      <c r="H1183" s="17" t="str">
        <f>IFERROR(IF([1]对账明细接口!$H$1183=0,"",[1]对账明细接口!$H$1183),"")</f>
        <v/>
      </c>
      <c r="I1183" s="16" t="str">
        <f>IFERROR(IF([1]对账明细接口!$I$1183=0,"",[1]对账明细接口!$I$1183),"")</f>
        <v/>
      </c>
      <c r="J1183" s="18" t="str">
        <f>IFERROR(IF([1]对账明细接口!$J$1183=0,"",[1]对账明细接口!$J$1183),"")</f>
        <v/>
      </c>
      <c r="K1183" s="18" t="str">
        <f>IFERROR(IF([1]对账明细接口!$K$1183=0,"",[1]对账明细接口!$K$1183),"")</f>
        <v/>
      </c>
      <c r="L1183" s="16" t="str">
        <f>IFERROR(IF([1]对账明细接口!$L$1183=0,"",[1]对账明细接口!$L$1183),"")</f>
        <v/>
      </c>
      <c r="M1183" s="16" t="str">
        <f>IFERROR(IF([1]对账明细接口!$M$1183=0,"",[1]对账明细接口!$M$1183),"")</f>
        <v/>
      </c>
      <c r="N1183" s="19">
        <f t="shared" si="36"/>
        <v>0</v>
      </c>
      <c r="O1183" s="19">
        <f t="shared" si="37"/>
        <v>420</v>
      </c>
      <c r="S1183" s="20" t="str">
        <f>IFERROR(IF([1]对账明细接口!$N1183=0,"",[1]对账明细接口!$N1183),"")</f>
        <v/>
      </c>
      <c r="T1183" s="21" t="str">
        <f>IFERROR(IF([1]对账明细接口!$O1183=0,"",[1]对账明细接口!$O1183),"")</f>
        <v/>
      </c>
      <c r="U1183" s="21" t="str">
        <f>IFERROR(IF([1]对账明细接口!$P1183=0,"",[1]对账明细接口!$P1183),"")</f>
        <v/>
      </c>
      <c r="V1183" s="21" t="str">
        <f>IFERROR(IF([1]对账明细接口!$Q1183=0,"",[1]对账明细接口!$Q1183),"")</f>
        <v/>
      </c>
      <c r="W1183" s="20" t="str">
        <f>IFERROR(IF([1]对账明细接口!$R1183=0,"",[1]对账明细接口!$R1183),"")</f>
        <v/>
      </c>
      <c r="X1183" s="20" t="str">
        <f>IFERROR(IF([1]对账明细接口!$S1183=0,"",[1]对账明细接口!$S1183),"")</f>
        <v/>
      </c>
      <c r="Y1183" s="20" t="str">
        <f>IFERROR(IF([1]对账明细接口!$T1183=0,"",[1]对账明细接口!$T1183),"")</f>
        <v/>
      </c>
      <c r="Z1183" s="24" t="str">
        <f>IFERROR(IF([1]对账明细接口!$U1183=0,"",[1]对账明细接口!$U1183),"")</f>
        <v/>
      </c>
      <c r="AA1183" s="24" t="str">
        <f>IFERROR(IF([1]对账明细接口!$V1183=0,"",[1]对账明细接口!$V1183),"")</f>
        <v/>
      </c>
      <c r="AB1183" s="20" t="str">
        <f>IFERROR(IF([1]对账明细接口!$W1183=0,"",[1]对账明细接口!$W1183),"")</f>
        <v/>
      </c>
      <c r="AC1183" s="7" t="str">
        <f>IFERROR(IF([1]对账明细接口!$X1183=0,"",[1]对账明细接口!$X1183),"")</f>
        <v/>
      </c>
      <c r="AD1183" s="7" t="str">
        <f>IFERROR(IF([1]对账明细接口!$Y1183=0,"",[1]对账明细接口!$Y1183),"")</f>
        <v/>
      </c>
      <c r="AE1183" s="7" t="str">
        <f>IFERROR(IF([1]对账明细接口!$AA1183=0,"",[1]对账明细接口!$AA1183),"")</f>
        <v/>
      </c>
      <c r="AF1183" s="7" t="str">
        <f>IFERROR(IF([1]对账明细接口!$AB1183=0,"",[1]对账明细接口!$AB1183),"")</f>
        <v/>
      </c>
      <c r="AG1183" s="7" t="str">
        <f>IFERROR(IF([1]对账明细接口!$AC1183=0,"",[1]对账明细接口!$AC1183),"")</f>
        <v/>
      </c>
      <c r="AH1183" s="7" t="str">
        <f>IFERROR(IF([1]对账明细接口!$AD1183=0,"",[1]对账明细接口!$AD1183),"")</f>
        <v/>
      </c>
      <c r="AI1183" s="7" t="str">
        <f>IFERROR(IF([1]对账明细接口!$AE1183=0,"",[1]对账明细接口!$AE1183),"")</f>
        <v/>
      </c>
      <c r="AJ1183" s="7" t="str">
        <f>IFERROR(IF([1]对账明细接口!$AF1183=0,"",[1]对账明细接口!$AF1183),"")</f>
        <v/>
      </c>
    </row>
    <row r="1184" ht="14.25" customHeight="1" spans="1:36">
      <c r="A1184" s="14">
        <v>1184</v>
      </c>
      <c r="B1184" s="15" t="str">
        <f>IFERROR(IF([1]对账明细接口!$B$1184=0,"",[1]对账明细接口!$B$1184),"")</f>
        <v/>
      </c>
      <c r="C1184" s="16" t="str">
        <f>IFERROR(IF([1]对账明细接口!$C$1184=0,"",[1]对账明细接口!$C$1184),"")</f>
        <v/>
      </c>
      <c r="D1184" s="16" t="str">
        <f>IFERROR(IF([1]对账明细接口!$D$1184=0,"",[1]对账明细接口!$D$1184),"")</f>
        <v/>
      </c>
      <c r="E1184" s="16" t="str">
        <f>IFERROR(IF([1]对账明细接口!$E$1184=0,"",[1]对账明细接口!$E$1184),"")</f>
        <v/>
      </c>
      <c r="F1184" s="16" t="str">
        <f>IFERROR(IF([1]对账明细接口!$F$1184=0,"",[1]对账明细接口!$F$1184),"")</f>
        <v/>
      </c>
      <c r="G1184" s="16" t="str">
        <f>IFERROR(IF([1]对账明细接口!$G$1184=0,"",[1]对账明细接口!$G$1184),"")</f>
        <v/>
      </c>
      <c r="H1184" s="17" t="str">
        <f>IFERROR(IF([1]对账明细接口!$H$1184=0,"",[1]对账明细接口!$H$1184),"")</f>
        <v/>
      </c>
      <c r="I1184" s="16" t="str">
        <f>IFERROR(IF([1]对账明细接口!$I$1184=0,"",[1]对账明细接口!$I$1184),"")</f>
        <v/>
      </c>
      <c r="J1184" s="18" t="str">
        <f>IFERROR(IF([1]对账明细接口!$J$1184=0,"",[1]对账明细接口!$J$1184),"")</f>
        <v/>
      </c>
      <c r="K1184" s="18" t="str">
        <f>IFERROR(IF([1]对账明细接口!$K$1184=0,"",[1]对账明细接口!$K$1184),"")</f>
        <v/>
      </c>
      <c r="L1184" s="16" t="str">
        <f>IFERROR(IF([1]对账明细接口!$L$1184=0,"",[1]对账明细接口!$L$1184),"")</f>
        <v/>
      </c>
      <c r="M1184" s="16" t="str">
        <f>IFERROR(IF([1]对账明细接口!$M$1184=0,"",[1]对账明细接口!$M$1184),"")</f>
        <v/>
      </c>
      <c r="N1184" s="19">
        <f t="shared" si="36"/>
        <v>0</v>
      </c>
      <c r="O1184" s="19">
        <f t="shared" si="37"/>
        <v>420</v>
      </c>
      <c r="S1184" s="20" t="str">
        <f>IFERROR(IF([1]对账明细接口!$N1184=0,"",[1]对账明细接口!$N1184),"")</f>
        <v/>
      </c>
      <c r="T1184" s="21" t="str">
        <f>IFERROR(IF([1]对账明细接口!$O1184=0,"",[1]对账明细接口!$O1184),"")</f>
        <v/>
      </c>
      <c r="U1184" s="21" t="str">
        <f>IFERROR(IF([1]对账明细接口!$P1184=0,"",[1]对账明细接口!$P1184),"")</f>
        <v/>
      </c>
      <c r="V1184" s="21" t="str">
        <f>IFERROR(IF([1]对账明细接口!$Q1184=0,"",[1]对账明细接口!$Q1184),"")</f>
        <v/>
      </c>
      <c r="W1184" s="20" t="str">
        <f>IFERROR(IF([1]对账明细接口!$R1184=0,"",[1]对账明细接口!$R1184),"")</f>
        <v/>
      </c>
      <c r="X1184" s="20" t="str">
        <f>IFERROR(IF([1]对账明细接口!$S1184=0,"",[1]对账明细接口!$S1184),"")</f>
        <v/>
      </c>
      <c r="Y1184" s="20" t="str">
        <f>IFERROR(IF([1]对账明细接口!$T1184=0,"",[1]对账明细接口!$T1184),"")</f>
        <v/>
      </c>
      <c r="Z1184" s="24" t="str">
        <f>IFERROR(IF([1]对账明细接口!$U1184=0,"",[1]对账明细接口!$U1184),"")</f>
        <v/>
      </c>
      <c r="AA1184" s="24" t="str">
        <f>IFERROR(IF([1]对账明细接口!$V1184=0,"",[1]对账明细接口!$V1184),"")</f>
        <v/>
      </c>
      <c r="AB1184" s="20" t="str">
        <f>IFERROR(IF([1]对账明细接口!$W1184=0,"",[1]对账明细接口!$W1184),"")</f>
        <v/>
      </c>
      <c r="AC1184" s="7" t="str">
        <f>IFERROR(IF([1]对账明细接口!$X1184=0,"",[1]对账明细接口!$X1184),"")</f>
        <v/>
      </c>
      <c r="AD1184" s="7" t="str">
        <f>IFERROR(IF([1]对账明细接口!$Y1184=0,"",[1]对账明细接口!$Y1184),"")</f>
        <v/>
      </c>
      <c r="AE1184" s="7" t="str">
        <f>IFERROR(IF([1]对账明细接口!$AA1184=0,"",[1]对账明细接口!$AA1184),"")</f>
        <v/>
      </c>
      <c r="AF1184" s="7" t="str">
        <f>IFERROR(IF([1]对账明细接口!$AB1184=0,"",[1]对账明细接口!$AB1184),"")</f>
        <v/>
      </c>
      <c r="AG1184" s="7" t="str">
        <f>IFERROR(IF([1]对账明细接口!$AC1184=0,"",[1]对账明细接口!$AC1184),"")</f>
        <v/>
      </c>
      <c r="AH1184" s="7" t="str">
        <f>IFERROR(IF([1]对账明细接口!$AD1184=0,"",[1]对账明细接口!$AD1184),"")</f>
        <v/>
      </c>
      <c r="AI1184" s="7" t="str">
        <f>IFERROR(IF([1]对账明细接口!$AE1184=0,"",[1]对账明细接口!$AE1184),"")</f>
        <v/>
      </c>
      <c r="AJ1184" s="7" t="str">
        <f>IFERROR(IF([1]对账明细接口!$AF1184=0,"",[1]对账明细接口!$AF1184),"")</f>
        <v/>
      </c>
    </row>
    <row r="1185" ht="14.25" customHeight="1" spans="1:36">
      <c r="A1185" s="14">
        <v>1185</v>
      </c>
      <c r="B1185" s="15" t="str">
        <f>IFERROR(IF([1]对账明细接口!$B$1185=0,"",[1]对账明细接口!$B$1185),"")</f>
        <v/>
      </c>
      <c r="C1185" s="16" t="str">
        <f>IFERROR(IF([1]对账明细接口!$C$1185=0,"",[1]对账明细接口!$C$1185),"")</f>
        <v/>
      </c>
      <c r="D1185" s="16" t="str">
        <f>IFERROR(IF([1]对账明细接口!$D$1185=0,"",[1]对账明细接口!$D$1185),"")</f>
        <v/>
      </c>
      <c r="E1185" s="16" t="str">
        <f>IFERROR(IF([1]对账明细接口!$E$1185=0,"",[1]对账明细接口!$E$1185),"")</f>
        <v/>
      </c>
      <c r="F1185" s="16" t="str">
        <f>IFERROR(IF([1]对账明细接口!$F$1185=0,"",[1]对账明细接口!$F$1185),"")</f>
        <v/>
      </c>
      <c r="G1185" s="16" t="str">
        <f>IFERROR(IF([1]对账明细接口!$G$1185=0,"",[1]对账明细接口!$G$1185),"")</f>
        <v/>
      </c>
      <c r="H1185" s="17" t="str">
        <f>IFERROR(IF([1]对账明细接口!$H$1185=0,"",[1]对账明细接口!$H$1185),"")</f>
        <v/>
      </c>
      <c r="I1185" s="16" t="str">
        <f>IFERROR(IF([1]对账明细接口!$I$1185=0,"",[1]对账明细接口!$I$1185),"")</f>
        <v/>
      </c>
      <c r="J1185" s="18" t="str">
        <f>IFERROR(IF([1]对账明细接口!$J$1185=0,"",[1]对账明细接口!$J$1185),"")</f>
        <v/>
      </c>
      <c r="K1185" s="18" t="str">
        <f>IFERROR(IF([1]对账明细接口!$K$1185=0,"",[1]对账明细接口!$K$1185),"")</f>
        <v/>
      </c>
      <c r="L1185" s="16" t="str">
        <f>IFERROR(IF([1]对账明细接口!$L$1185=0,"",[1]对账明细接口!$L$1185),"")</f>
        <v/>
      </c>
      <c r="M1185" s="16" t="str">
        <f>IFERROR(IF([1]对账明细接口!$M$1185=0,"",[1]对账明细接口!$M$1185),"")</f>
        <v/>
      </c>
      <c r="N1185" s="19">
        <f t="shared" si="36"/>
        <v>0</v>
      </c>
      <c r="O1185" s="19">
        <f t="shared" si="37"/>
        <v>420</v>
      </c>
      <c r="S1185" s="20" t="str">
        <f>IFERROR(IF([1]对账明细接口!$N1185=0,"",[1]对账明细接口!$N1185),"")</f>
        <v/>
      </c>
      <c r="T1185" s="21" t="str">
        <f>IFERROR(IF([1]对账明细接口!$O1185=0,"",[1]对账明细接口!$O1185),"")</f>
        <v/>
      </c>
      <c r="U1185" s="21" t="str">
        <f>IFERROR(IF([1]对账明细接口!$P1185=0,"",[1]对账明细接口!$P1185),"")</f>
        <v/>
      </c>
      <c r="V1185" s="21" t="str">
        <f>IFERROR(IF([1]对账明细接口!$Q1185=0,"",[1]对账明细接口!$Q1185),"")</f>
        <v/>
      </c>
      <c r="W1185" s="20" t="str">
        <f>IFERROR(IF([1]对账明细接口!$R1185=0,"",[1]对账明细接口!$R1185),"")</f>
        <v/>
      </c>
      <c r="X1185" s="20" t="str">
        <f>IFERROR(IF([1]对账明细接口!$S1185=0,"",[1]对账明细接口!$S1185),"")</f>
        <v/>
      </c>
      <c r="Y1185" s="20" t="str">
        <f>IFERROR(IF([1]对账明细接口!$T1185=0,"",[1]对账明细接口!$T1185),"")</f>
        <v/>
      </c>
      <c r="Z1185" s="24" t="str">
        <f>IFERROR(IF([1]对账明细接口!$U1185=0,"",[1]对账明细接口!$U1185),"")</f>
        <v/>
      </c>
      <c r="AA1185" s="24" t="str">
        <f>IFERROR(IF([1]对账明细接口!$V1185=0,"",[1]对账明细接口!$V1185),"")</f>
        <v/>
      </c>
      <c r="AB1185" s="20" t="str">
        <f>IFERROR(IF([1]对账明细接口!$W1185=0,"",[1]对账明细接口!$W1185),"")</f>
        <v/>
      </c>
      <c r="AC1185" s="7" t="str">
        <f>IFERROR(IF([1]对账明细接口!$X1185=0,"",[1]对账明细接口!$X1185),"")</f>
        <v/>
      </c>
      <c r="AD1185" s="7" t="str">
        <f>IFERROR(IF([1]对账明细接口!$Y1185=0,"",[1]对账明细接口!$Y1185),"")</f>
        <v/>
      </c>
      <c r="AE1185" s="7" t="str">
        <f>IFERROR(IF([1]对账明细接口!$AA1185=0,"",[1]对账明细接口!$AA1185),"")</f>
        <v/>
      </c>
      <c r="AF1185" s="7" t="str">
        <f>IFERROR(IF([1]对账明细接口!$AB1185=0,"",[1]对账明细接口!$AB1185),"")</f>
        <v/>
      </c>
      <c r="AG1185" s="7" t="str">
        <f>IFERROR(IF([1]对账明细接口!$AC1185=0,"",[1]对账明细接口!$AC1185),"")</f>
        <v/>
      </c>
      <c r="AH1185" s="7" t="str">
        <f>IFERROR(IF([1]对账明细接口!$AD1185=0,"",[1]对账明细接口!$AD1185),"")</f>
        <v/>
      </c>
      <c r="AI1185" s="7" t="str">
        <f>IFERROR(IF([1]对账明细接口!$AE1185=0,"",[1]对账明细接口!$AE1185),"")</f>
        <v/>
      </c>
      <c r="AJ1185" s="7" t="str">
        <f>IFERROR(IF([1]对账明细接口!$AF1185=0,"",[1]对账明细接口!$AF1185),"")</f>
        <v/>
      </c>
    </row>
    <row r="1186" ht="14.25" customHeight="1" spans="1:36">
      <c r="A1186" s="14">
        <v>1186</v>
      </c>
      <c r="B1186" s="15" t="str">
        <f>IFERROR(IF([1]对账明细接口!$B$1186=0,"",[1]对账明细接口!$B$1186),"")</f>
        <v/>
      </c>
      <c r="C1186" s="16" t="str">
        <f>IFERROR(IF([1]对账明细接口!$C$1186=0,"",[1]对账明细接口!$C$1186),"")</f>
        <v/>
      </c>
      <c r="D1186" s="16" t="str">
        <f>IFERROR(IF([1]对账明细接口!$D$1186=0,"",[1]对账明细接口!$D$1186),"")</f>
        <v/>
      </c>
      <c r="E1186" s="16" t="str">
        <f>IFERROR(IF([1]对账明细接口!$E$1186=0,"",[1]对账明细接口!$E$1186),"")</f>
        <v/>
      </c>
      <c r="F1186" s="16" t="str">
        <f>IFERROR(IF([1]对账明细接口!$F$1186=0,"",[1]对账明细接口!$F$1186),"")</f>
        <v/>
      </c>
      <c r="G1186" s="16" t="str">
        <f>IFERROR(IF([1]对账明细接口!$G$1186=0,"",[1]对账明细接口!$G$1186),"")</f>
        <v/>
      </c>
      <c r="H1186" s="17" t="str">
        <f>IFERROR(IF([1]对账明细接口!$H$1186=0,"",[1]对账明细接口!$H$1186),"")</f>
        <v/>
      </c>
      <c r="I1186" s="16" t="str">
        <f>IFERROR(IF([1]对账明细接口!$I$1186=0,"",[1]对账明细接口!$I$1186),"")</f>
        <v/>
      </c>
      <c r="J1186" s="18" t="str">
        <f>IFERROR(IF([1]对账明细接口!$J$1186=0,"",[1]对账明细接口!$J$1186),"")</f>
        <v/>
      </c>
      <c r="K1186" s="18" t="str">
        <f>IFERROR(IF([1]对账明细接口!$K$1186=0,"",[1]对账明细接口!$K$1186),"")</f>
        <v/>
      </c>
      <c r="L1186" s="16" t="str">
        <f>IFERROR(IF([1]对账明细接口!$L$1186=0,"",[1]对账明细接口!$L$1186),"")</f>
        <v/>
      </c>
      <c r="M1186" s="16" t="str">
        <f>IFERROR(IF([1]对账明细接口!$M$1186=0,"",[1]对账明细接口!$M$1186),"")</f>
        <v/>
      </c>
      <c r="N1186" s="19">
        <f t="shared" si="36"/>
        <v>0</v>
      </c>
      <c r="O1186" s="19">
        <f t="shared" si="37"/>
        <v>420</v>
      </c>
      <c r="S1186" s="20" t="str">
        <f>IFERROR(IF([1]对账明细接口!$N1186=0,"",[1]对账明细接口!$N1186),"")</f>
        <v/>
      </c>
      <c r="T1186" s="21" t="str">
        <f>IFERROR(IF([1]对账明细接口!$O1186=0,"",[1]对账明细接口!$O1186),"")</f>
        <v/>
      </c>
      <c r="U1186" s="21" t="str">
        <f>IFERROR(IF([1]对账明细接口!$P1186=0,"",[1]对账明细接口!$P1186),"")</f>
        <v/>
      </c>
      <c r="V1186" s="21" t="str">
        <f>IFERROR(IF([1]对账明细接口!$Q1186=0,"",[1]对账明细接口!$Q1186),"")</f>
        <v/>
      </c>
      <c r="W1186" s="20" t="str">
        <f>IFERROR(IF([1]对账明细接口!$R1186=0,"",[1]对账明细接口!$R1186),"")</f>
        <v/>
      </c>
      <c r="X1186" s="20" t="str">
        <f>IFERROR(IF([1]对账明细接口!$S1186=0,"",[1]对账明细接口!$S1186),"")</f>
        <v/>
      </c>
      <c r="Y1186" s="20" t="str">
        <f>IFERROR(IF([1]对账明细接口!$T1186=0,"",[1]对账明细接口!$T1186),"")</f>
        <v/>
      </c>
      <c r="Z1186" s="24" t="str">
        <f>IFERROR(IF([1]对账明细接口!$U1186=0,"",[1]对账明细接口!$U1186),"")</f>
        <v/>
      </c>
      <c r="AA1186" s="24" t="str">
        <f>IFERROR(IF([1]对账明细接口!$V1186=0,"",[1]对账明细接口!$V1186),"")</f>
        <v/>
      </c>
      <c r="AB1186" s="20" t="str">
        <f>IFERROR(IF([1]对账明细接口!$W1186=0,"",[1]对账明细接口!$W1186),"")</f>
        <v/>
      </c>
      <c r="AC1186" s="7" t="str">
        <f>IFERROR(IF([1]对账明细接口!$X1186=0,"",[1]对账明细接口!$X1186),"")</f>
        <v/>
      </c>
      <c r="AD1186" s="7" t="str">
        <f>IFERROR(IF([1]对账明细接口!$Y1186=0,"",[1]对账明细接口!$Y1186),"")</f>
        <v/>
      </c>
      <c r="AE1186" s="7" t="str">
        <f>IFERROR(IF([1]对账明细接口!$AA1186=0,"",[1]对账明细接口!$AA1186),"")</f>
        <v/>
      </c>
      <c r="AF1186" s="7" t="str">
        <f>IFERROR(IF([1]对账明细接口!$AB1186=0,"",[1]对账明细接口!$AB1186),"")</f>
        <v/>
      </c>
      <c r="AG1186" s="7" t="str">
        <f>IFERROR(IF([1]对账明细接口!$AC1186=0,"",[1]对账明细接口!$AC1186),"")</f>
        <v/>
      </c>
      <c r="AH1186" s="7" t="str">
        <f>IFERROR(IF([1]对账明细接口!$AD1186=0,"",[1]对账明细接口!$AD1186),"")</f>
        <v/>
      </c>
      <c r="AI1186" s="7" t="str">
        <f>IFERROR(IF([1]对账明细接口!$AE1186=0,"",[1]对账明细接口!$AE1186),"")</f>
        <v/>
      </c>
      <c r="AJ1186" s="7" t="str">
        <f>IFERROR(IF([1]对账明细接口!$AF1186=0,"",[1]对账明细接口!$AF1186),"")</f>
        <v/>
      </c>
    </row>
    <row r="1187" ht="14.25" customHeight="1" spans="1:36">
      <c r="A1187" s="14">
        <v>1187</v>
      </c>
      <c r="B1187" s="15" t="str">
        <f>IFERROR(IF([1]对账明细接口!$B$1187=0,"",[1]对账明细接口!$B$1187),"")</f>
        <v/>
      </c>
      <c r="C1187" s="16" t="str">
        <f>IFERROR(IF([1]对账明细接口!$C$1187=0,"",[1]对账明细接口!$C$1187),"")</f>
        <v/>
      </c>
      <c r="D1187" s="16" t="str">
        <f>IFERROR(IF([1]对账明细接口!$D$1187=0,"",[1]对账明细接口!$D$1187),"")</f>
        <v/>
      </c>
      <c r="E1187" s="16" t="str">
        <f>IFERROR(IF([1]对账明细接口!$E$1187=0,"",[1]对账明细接口!$E$1187),"")</f>
        <v/>
      </c>
      <c r="F1187" s="16" t="str">
        <f>IFERROR(IF([1]对账明细接口!$F$1187=0,"",[1]对账明细接口!$F$1187),"")</f>
        <v/>
      </c>
      <c r="G1187" s="16" t="str">
        <f>IFERROR(IF([1]对账明细接口!$G$1187=0,"",[1]对账明细接口!$G$1187),"")</f>
        <v/>
      </c>
      <c r="H1187" s="17" t="str">
        <f>IFERROR(IF([1]对账明细接口!$H$1187=0,"",[1]对账明细接口!$H$1187),"")</f>
        <v/>
      </c>
      <c r="I1187" s="16" t="str">
        <f>IFERROR(IF([1]对账明细接口!$I$1187=0,"",[1]对账明细接口!$I$1187),"")</f>
        <v/>
      </c>
      <c r="J1187" s="18" t="str">
        <f>IFERROR(IF([1]对账明细接口!$J$1187=0,"",[1]对账明细接口!$J$1187),"")</f>
        <v/>
      </c>
      <c r="K1187" s="18" t="str">
        <f>IFERROR(IF([1]对账明细接口!$K$1187=0,"",[1]对账明细接口!$K$1187),"")</f>
        <v/>
      </c>
      <c r="L1187" s="16" t="str">
        <f>IFERROR(IF([1]对账明细接口!$L$1187=0,"",[1]对账明细接口!$L$1187),"")</f>
        <v/>
      </c>
      <c r="M1187" s="16" t="str">
        <f>IFERROR(IF([1]对账明细接口!$M$1187=0,"",[1]对账明细接口!$M$1187),"")</f>
        <v/>
      </c>
      <c r="N1187" s="19">
        <f t="shared" si="36"/>
        <v>0</v>
      </c>
      <c r="O1187" s="19">
        <f t="shared" si="37"/>
        <v>420</v>
      </c>
      <c r="S1187" s="20" t="str">
        <f>IFERROR(IF([1]对账明细接口!$N1187=0,"",[1]对账明细接口!$N1187),"")</f>
        <v/>
      </c>
      <c r="T1187" s="21" t="str">
        <f>IFERROR(IF([1]对账明细接口!$O1187=0,"",[1]对账明细接口!$O1187),"")</f>
        <v/>
      </c>
      <c r="U1187" s="21" t="str">
        <f>IFERROR(IF([1]对账明细接口!$P1187=0,"",[1]对账明细接口!$P1187),"")</f>
        <v/>
      </c>
      <c r="V1187" s="21" t="str">
        <f>IFERROR(IF([1]对账明细接口!$Q1187=0,"",[1]对账明细接口!$Q1187),"")</f>
        <v/>
      </c>
      <c r="W1187" s="20" t="str">
        <f>IFERROR(IF([1]对账明细接口!$R1187=0,"",[1]对账明细接口!$R1187),"")</f>
        <v/>
      </c>
      <c r="X1187" s="20" t="str">
        <f>IFERROR(IF([1]对账明细接口!$S1187=0,"",[1]对账明细接口!$S1187),"")</f>
        <v/>
      </c>
      <c r="Y1187" s="20" t="str">
        <f>IFERROR(IF([1]对账明细接口!$T1187=0,"",[1]对账明细接口!$T1187),"")</f>
        <v/>
      </c>
      <c r="Z1187" s="24" t="str">
        <f>IFERROR(IF([1]对账明细接口!$U1187=0,"",[1]对账明细接口!$U1187),"")</f>
        <v/>
      </c>
      <c r="AA1187" s="24" t="str">
        <f>IFERROR(IF([1]对账明细接口!$V1187=0,"",[1]对账明细接口!$V1187),"")</f>
        <v/>
      </c>
      <c r="AB1187" s="20" t="str">
        <f>IFERROR(IF([1]对账明细接口!$W1187=0,"",[1]对账明细接口!$W1187),"")</f>
        <v/>
      </c>
      <c r="AC1187" s="7" t="str">
        <f>IFERROR(IF([1]对账明细接口!$X1187=0,"",[1]对账明细接口!$X1187),"")</f>
        <v/>
      </c>
      <c r="AD1187" s="7" t="str">
        <f>IFERROR(IF([1]对账明细接口!$Y1187=0,"",[1]对账明细接口!$Y1187),"")</f>
        <v/>
      </c>
      <c r="AE1187" s="7" t="str">
        <f>IFERROR(IF([1]对账明细接口!$AA1187=0,"",[1]对账明细接口!$AA1187),"")</f>
        <v/>
      </c>
      <c r="AF1187" s="7" t="str">
        <f>IFERROR(IF([1]对账明细接口!$AB1187=0,"",[1]对账明细接口!$AB1187),"")</f>
        <v/>
      </c>
      <c r="AG1187" s="7" t="str">
        <f>IFERROR(IF([1]对账明细接口!$AC1187=0,"",[1]对账明细接口!$AC1187),"")</f>
        <v/>
      </c>
      <c r="AH1187" s="7" t="str">
        <f>IFERROR(IF([1]对账明细接口!$AD1187=0,"",[1]对账明细接口!$AD1187),"")</f>
        <v/>
      </c>
      <c r="AI1187" s="7" t="str">
        <f>IFERROR(IF([1]对账明细接口!$AE1187=0,"",[1]对账明细接口!$AE1187),"")</f>
        <v/>
      </c>
      <c r="AJ1187" s="7" t="str">
        <f>IFERROR(IF([1]对账明细接口!$AF1187=0,"",[1]对账明细接口!$AF1187),"")</f>
        <v/>
      </c>
    </row>
    <row r="1188" ht="14.25" customHeight="1" spans="1:36">
      <c r="A1188" s="14">
        <v>1188</v>
      </c>
      <c r="B1188" s="15" t="str">
        <f>IFERROR(IF([1]对账明细接口!$B$1188=0,"",[1]对账明细接口!$B$1188),"")</f>
        <v/>
      </c>
      <c r="C1188" s="16" t="str">
        <f>IFERROR(IF([1]对账明细接口!$C$1188=0,"",[1]对账明细接口!$C$1188),"")</f>
        <v/>
      </c>
      <c r="D1188" s="16" t="str">
        <f>IFERROR(IF([1]对账明细接口!$D$1188=0,"",[1]对账明细接口!$D$1188),"")</f>
        <v/>
      </c>
      <c r="E1188" s="16" t="str">
        <f>IFERROR(IF([1]对账明细接口!$E$1188=0,"",[1]对账明细接口!$E$1188),"")</f>
        <v/>
      </c>
      <c r="F1188" s="16" t="str">
        <f>IFERROR(IF([1]对账明细接口!$F$1188=0,"",[1]对账明细接口!$F$1188),"")</f>
        <v/>
      </c>
      <c r="G1188" s="16" t="str">
        <f>IFERROR(IF([1]对账明细接口!$G$1188=0,"",[1]对账明细接口!$G$1188),"")</f>
        <v/>
      </c>
      <c r="H1188" s="17" t="str">
        <f>IFERROR(IF([1]对账明细接口!$H$1188=0,"",[1]对账明细接口!$H$1188),"")</f>
        <v/>
      </c>
      <c r="I1188" s="16" t="str">
        <f>IFERROR(IF([1]对账明细接口!$I$1188=0,"",[1]对账明细接口!$I$1188),"")</f>
        <v/>
      </c>
      <c r="J1188" s="18" t="str">
        <f>IFERROR(IF([1]对账明细接口!$J$1188=0,"",[1]对账明细接口!$J$1188),"")</f>
        <v/>
      </c>
      <c r="K1188" s="18" t="str">
        <f>IFERROR(IF([1]对账明细接口!$K$1188=0,"",[1]对账明细接口!$K$1188),"")</f>
        <v/>
      </c>
      <c r="L1188" s="16" t="str">
        <f>IFERROR(IF([1]对账明细接口!$L$1188=0,"",[1]对账明细接口!$L$1188),"")</f>
        <v/>
      </c>
      <c r="M1188" s="16" t="str">
        <f>IFERROR(IF([1]对账明细接口!$M$1188=0,"",[1]对账明细接口!$M$1188),"")</f>
        <v/>
      </c>
      <c r="N1188" s="19">
        <f t="shared" si="36"/>
        <v>0</v>
      </c>
      <c r="O1188" s="19">
        <f t="shared" si="37"/>
        <v>420</v>
      </c>
      <c r="S1188" s="20" t="str">
        <f>IFERROR(IF([1]对账明细接口!$N1188=0,"",[1]对账明细接口!$N1188),"")</f>
        <v/>
      </c>
      <c r="T1188" s="21" t="str">
        <f>IFERROR(IF([1]对账明细接口!$O1188=0,"",[1]对账明细接口!$O1188),"")</f>
        <v/>
      </c>
      <c r="U1188" s="21" t="str">
        <f>IFERROR(IF([1]对账明细接口!$P1188=0,"",[1]对账明细接口!$P1188),"")</f>
        <v/>
      </c>
      <c r="V1188" s="21" t="str">
        <f>IFERROR(IF([1]对账明细接口!$Q1188=0,"",[1]对账明细接口!$Q1188),"")</f>
        <v/>
      </c>
      <c r="W1188" s="20" t="str">
        <f>IFERROR(IF([1]对账明细接口!$R1188=0,"",[1]对账明细接口!$R1188),"")</f>
        <v/>
      </c>
      <c r="X1188" s="20" t="str">
        <f>IFERROR(IF([1]对账明细接口!$S1188=0,"",[1]对账明细接口!$S1188),"")</f>
        <v/>
      </c>
      <c r="Y1188" s="20" t="str">
        <f>IFERROR(IF([1]对账明细接口!$T1188=0,"",[1]对账明细接口!$T1188),"")</f>
        <v/>
      </c>
      <c r="Z1188" s="24" t="str">
        <f>IFERROR(IF([1]对账明细接口!$U1188=0,"",[1]对账明细接口!$U1188),"")</f>
        <v/>
      </c>
      <c r="AA1188" s="24" t="str">
        <f>IFERROR(IF([1]对账明细接口!$V1188=0,"",[1]对账明细接口!$V1188),"")</f>
        <v/>
      </c>
      <c r="AB1188" s="20" t="str">
        <f>IFERROR(IF([1]对账明细接口!$W1188=0,"",[1]对账明细接口!$W1188),"")</f>
        <v/>
      </c>
      <c r="AC1188" s="7" t="str">
        <f>IFERROR(IF([1]对账明细接口!$X1188=0,"",[1]对账明细接口!$X1188),"")</f>
        <v/>
      </c>
      <c r="AD1188" s="7" t="str">
        <f>IFERROR(IF([1]对账明细接口!$Y1188=0,"",[1]对账明细接口!$Y1188),"")</f>
        <v/>
      </c>
      <c r="AE1188" s="7" t="str">
        <f>IFERROR(IF([1]对账明细接口!$AA1188=0,"",[1]对账明细接口!$AA1188),"")</f>
        <v/>
      </c>
      <c r="AF1188" s="7" t="str">
        <f>IFERROR(IF([1]对账明细接口!$AB1188=0,"",[1]对账明细接口!$AB1188),"")</f>
        <v/>
      </c>
      <c r="AG1188" s="7" t="str">
        <f>IFERROR(IF([1]对账明细接口!$AC1188=0,"",[1]对账明细接口!$AC1188),"")</f>
        <v/>
      </c>
      <c r="AH1188" s="7" t="str">
        <f>IFERROR(IF([1]对账明细接口!$AD1188=0,"",[1]对账明细接口!$AD1188),"")</f>
        <v/>
      </c>
      <c r="AI1188" s="7" t="str">
        <f>IFERROR(IF([1]对账明细接口!$AE1188=0,"",[1]对账明细接口!$AE1188),"")</f>
        <v/>
      </c>
      <c r="AJ1188" s="7" t="str">
        <f>IFERROR(IF([1]对账明细接口!$AF1188=0,"",[1]对账明细接口!$AF1188),"")</f>
        <v/>
      </c>
    </row>
    <row r="1189" ht="14.25" customHeight="1" spans="1:36">
      <c r="A1189" s="14">
        <v>1189</v>
      </c>
      <c r="B1189" s="15" t="str">
        <f>IFERROR(IF([1]对账明细接口!$B$1189=0,"",[1]对账明细接口!$B$1189),"")</f>
        <v/>
      </c>
      <c r="C1189" s="16" t="str">
        <f>IFERROR(IF([1]对账明细接口!$C$1189=0,"",[1]对账明细接口!$C$1189),"")</f>
        <v/>
      </c>
      <c r="D1189" s="16" t="str">
        <f>IFERROR(IF([1]对账明细接口!$D$1189=0,"",[1]对账明细接口!$D$1189),"")</f>
        <v/>
      </c>
      <c r="E1189" s="16" t="str">
        <f>IFERROR(IF([1]对账明细接口!$E$1189=0,"",[1]对账明细接口!$E$1189),"")</f>
        <v/>
      </c>
      <c r="F1189" s="16" t="str">
        <f>IFERROR(IF([1]对账明细接口!$F$1189=0,"",[1]对账明细接口!$F$1189),"")</f>
        <v/>
      </c>
      <c r="G1189" s="16" t="str">
        <f>IFERROR(IF([1]对账明细接口!$G$1189=0,"",[1]对账明细接口!$G$1189),"")</f>
        <v/>
      </c>
      <c r="H1189" s="17" t="str">
        <f>IFERROR(IF([1]对账明细接口!$H$1189=0,"",[1]对账明细接口!$H$1189),"")</f>
        <v/>
      </c>
      <c r="I1189" s="16" t="str">
        <f>IFERROR(IF([1]对账明细接口!$I$1189=0,"",[1]对账明细接口!$I$1189),"")</f>
        <v/>
      </c>
      <c r="J1189" s="18" t="str">
        <f>IFERROR(IF([1]对账明细接口!$J$1189=0,"",[1]对账明细接口!$J$1189),"")</f>
        <v/>
      </c>
      <c r="K1189" s="18" t="str">
        <f>IFERROR(IF([1]对账明细接口!$K$1189=0,"",[1]对账明细接口!$K$1189),"")</f>
        <v/>
      </c>
      <c r="L1189" s="16" t="str">
        <f>IFERROR(IF([1]对账明细接口!$L$1189=0,"",[1]对账明细接口!$L$1189),"")</f>
        <v/>
      </c>
      <c r="M1189" s="16" t="str">
        <f>IFERROR(IF([1]对账明细接口!$M$1189=0,"",[1]对账明细接口!$M$1189),"")</f>
        <v/>
      </c>
      <c r="N1189" s="19">
        <f t="shared" si="36"/>
        <v>0</v>
      </c>
      <c r="O1189" s="19">
        <f t="shared" si="37"/>
        <v>420</v>
      </c>
      <c r="S1189" s="20" t="str">
        <f>IFERROR(IF([1]对账明细接口!$N1189=0,"",[1]对账明细接口!$N1189),"")</f>
        <v/>
      </c>
      <c r="T1189" s="21" t="str">
        <f>IFERROR(IF([1]对账明细接口!$O1189=0,"",[1]对账明细接口!$O1189),"")</f>
        <v/>
      </c>
      <c r="U1189" s="21" t="str">
        <f>IFERROR(IF([1]对账明细接口!$P1189=0,"",[1]对账明细接口!$P1189),"")</f>
        <v/>
      </c>
      <c r="V1189" s="21" t="str">
        <f>IFERROR(IF([1]对账明细接口!$Q1189=0,"",[1]对账明细接口!$Q1189),"")</f>
        <v/>
      </c>
      <c r="W1189" s="20" t="str">
        <f>IFERROR(IF([1]对账明细接口!$R1189=0,"",[1]对账明细接口!$R1189),"")</f>
        <v/>
      </c>
      <c r="X1189" s="20" t="str">
        <f>IFERROR(IF([1]对账明细接口!$S1189=0,"",[1]对账明细接口!$S1189),"")</f>
        <v/>
      </c>
      <c r="Y1189" s="20" t="str">
        <f>IFERROR(IF([1]对账明细接口!$T1189=0,"",[1]对账明细接口!$T1189),"")</f>
        <v/>
      </c>
      <c r="Z1189" s="24" t="str">
        <f>IFERROR(IF([1]对账明细接口!$U1189=0,"",[1]对账明细接口!$U1189),"")</f>
        <v/>
      </c>
      <c r="AA1189" s="24" t="str">
        <f>IFERROR(IF([1]对账明细接口!$V1189=0,"",[1]对账明细接口!$V1189),"")</f>
        <v/>
      </c>
      <c r="AB1189" s="20" t="str">
        <f>IFERROR(IF([1]对账明细接口!$W1189=0,"",[1]对账明细接口!$W1189),"")</f>
        <v/>
      </c>
      <c r="AC1189" s="7" t="str">
        <f>IFERROR(IF([1]对账明细接口!$X1189=0,"",[1]对账明细接口!$X1189),"")</f>
        <v/>
      </c>
      <c r="AD1189" s="7" t="str">
        <f>IFERROR(IF([1]对账明细接口!$Y1189=0,"",[1]对账明细接口!$Y1189),"")</f>
        <v/>
      </c>
      <c r="AE1189" s="7" t="str">
        <f>IFERROR(IF([1]对账明细接口!$AA1189=0,"",[1]对账明细接口!$AA1189),"")</f>
        <v/>
      </c>
      <c r="AF1189" s="7" t="str">
        <f>IFERROR(IF([1]对账明细接口!$AB1189=0,"",[1]对账明细接口!$AB1189),"")</f>
        <v/>
      </c>
      <c r="AG1189" s="7" t="str">
        <f>IFERROR(IF([1]对账明细接口!$AC1189=0,"",[1]对账明细接口!$AC1189),"")</f>
        <v/>
      </c>
      <c r="AH1189" s="7" t="str">
        <f>IFERROR(IF([1]对账明细接口!$AD1189=0,"",[1]对账明细接口!$AD1189),"")</f>
        <v/>
      </c>
      <c r="AI1189" s="7" t="str">
        <f>IFERROR(IF([1]对账明细接口!$AE1189=0,"",[1]对账明细接口!$AE1189),"")</f>
        <v/>
      </c>
      <c r="AJ1189" s="7" t="str">
        <f>IFERROR(IF([1]对账明细接口!$AF1189=0,"",[1]对账明细接口!$AF1189),"")</f>
        <v/>
      </c>
    </row>
    <row r="1190" ht="14.25" customHeight="1" spans="1:36">
      <c r="A1190" s="14">
        <v>1190</v>
      </c>
      <c r="B1190" s="15" t="str">
        <f>IFERROR(IF([1]对账明细接口!$B$1190=0,"",[1]对账明细接口!$B$1190),"")</f>
        <v/>
      </c>
      <c r="C1190" s="16" t="str">
        <f>IFERROR(IF([1]对账明细接口!$C$1190=0,"",[1]对账明细接口!$C$1190),"")</f>
        <v/>
      </c>
      <c r="D1190" s="16" t="str">
        <f>IFERROR(IF([1]对账明细接口!$D$1190=0,"",[1]对账明细接口!$D$1190),"")</f>
        <v/>
      </c>
      <c r="E1190" s="16" t="str">
        <f>IFERROR(IF([1]对账明细接口!$E$1190=0,"",[1]对账明细接口!$E$1190),"")</f>
        <v/>
      </c>
      <c r="F1190" s="16" t="str">
        <f>IFERROR(IF([1]对账明细接口!$F$1190=0,"",[1]对账明细接口!$F$1190),"")</f>
        <v/>
      </c>
      <c r="G1190" s="16" t="str">
        <f>IFERROR(IF([1]对账明细接口!$G$1190=0,"",[1]对账明细接口!$G$1190),"")</f>
        <v/>
      </c>
      <c r="H1190" s="17" t="str">
        <f>IFERROR(IF([1]对账明细接口!$H$1190=0,"",[1]对账明细接口!$H$1190),"")</f>
        <v/>
      </c>
      <c r="I1190" s="16" t="str">
        <f>IFERROR(IF([1]对账明细接口!$I$1190=0,"",[1]对账明细接口!$I$1190),"")</f>
        <v/>
      </c>
      <c r="J1190" s="18" t="str">
        <f>IFERROR(IF([1]对账明细接口!$J$1190=0,"",[1]对账明细接口!$J$1190),"")</f>
        <v/>
      </c>
      <c r="K1190" s="18" t="str">
        <f>IFERROR(IF([1]对账明细接口!$K$1190=0,"",[1]对账明细接口!$K$1190),"")</f>
        <v/>
      </c>
      <c r="L1190" s="16" t="str">
        <f>IFERROR(IF([1]对账明细接口!$L$1190=0,"",[1]对账明细接口!$L$1190),"")</f>
        <v/>
      </c>
      <c r="M1190" s="16" t="str">
        <f>IFERROR(IF([1]对账明细接口!$M$1190=0,"",[1]对账明细接口!$M$1190),"")</f>
        <v/>
      </c>
      <c r="N1190" s="19">
        <f t="shared" si="36"/>
        <v>0</v>
      </c>
      <c r="O1190" s="19">
        <f t="shared" si="37"/>
        <v>420</v>
      </c>
      <c r="S1190" s="20" t="str">
        <f>IFERROR(IF([1]对账明细接口!$N1190=0,"",[1]对账明细接口!$N1190),"")</f>
        <v/>
      </c>
      <c r="T1190" s="21" t="str">
        <f>IFERROR(IF([1]对账明细接口!$O1190=0,"",[1]对账明细接口!$O1190),"")</f>
        <v/>
      </c>
      <c r="U1190" s="21" t="str">
        <f>IFERROR(IF([1]对账明细接口!$P1190=0,"",[1]对账明细接口!$P1190),"")</f>
        <v/>
      </c>
      <c r="V1190" s="21" t="str">
        <f>IFERROR(IF([1]对账明细接口!$Q1190=0,"",[1]对账明细接口!$Q1190),"")</f>
        <v/>
      </c>
      <c r="W1190" s="20" t="str">
        <f>IFERROR(IF([1]对账明细接口!$R1190=0,"",[1]对账明细接口!$R1190),"")</f>
        <v/>
      </c>
      <c r="X1190" s="20" t="str">
        <f>IFERROR(IF([1]对账明细接口!$S1190=0,"",[1]对账明细接口!$S1190),"")</f>
        <v/>
      </c>
      <c r="Y1190" s="20" t="str">
        <f>IFERROR(IF([1]对账明细接口!$T1190=0,"",[1]对账明细接口!$T1190),"")</f>
        <v/>
      </c>
      <c r="Z1190" s="24" t="str">
        <f>IFERROR(IF([1]对账明细接口!$U1190=0,"",[1]对账明细接口!$U1190),"")</f>
        <v/>
      </c>
      <c r="AA1190" s="24" t="str">
        <f>IFERROR(IF([1]对账明细接口!$V1190=0,"",[1]对账明细接口!$V1190),"")</f>
        <v/>
      </c>
      <c r="AB1190" s="20" t="str">
        <f>IFERROR(IF([1]对账明细接口!$W1190=0,"",[1]对账明细接口!$W1190),"")</f>
        <v/>
      </c>
      <c r="AC1190" s="7" t="str">
        <f>IFERROR(IF([1]对账明细接口!$X1190=0,"",[1]对账明细接口!$X1190),"")</f>
        <v/>
      </c>
      <c r="AD1190" s="7" t="str">
        <f>IFERROR(IF([1]对账明细接口!$Y1190=0,"",[1]对账明细接口!$Y1190),"")</f>
        <v/>
      </c>
      <c r="AE1190" s="7" t="str">
        <f>IFERROR(IF([1]对账明细接口!$AA1190=0,"",[1]对账明细接口!$AA1190),"")</f>
        <v/>
      </c>
      <c r="AF1190" s="7" t="str">
        <f>IFERROR(IF([1]对账明细接口!$AB1190=0,"",[1]对账明细接口!$AB1190),"")</f>
        <v/>
      </c>
      <c r="AG1190" s="7" t="str">
        <f>IFERROR(IF([1]对账明细接口!$AC1190=0,"",[1]对账明细接口!$AC1190),"")</f>
        <v/>
      </c>
      <c r="AH1190" s="7" t="str">
        <f>IFERROR(IF([1]对账明细接口!$AD1190=0,"",[1]对账明细接口!$AD1190),"")</f>
        <v/>
      </c>
      <c r="AI1190" s="7" t="str">
        <f>IFERROR(IF([1]对账明细接口!$AE1190=0,"",[1]对账明细接口!$AE1190),"")</f>
        <v/>
      </c>
      <c r="AJ1190" s="7" t="str">
        <f>IFERROR(IF([1]对账明细接口!$AF1190=0,"",[1]对账明细接口!$AF1190),"")</f>
        <v/>
      </c>
    </row>
    <row r="1191" ht="14.25" customHeight="1" spans="1:36">
      <c r="A1191" s="14">
        <v>1191</v>
      </c>
      <c r="B1191" s="15" t="str">
        <f>IFERROR(IF([1]对账明细接口!$B$1191=0,"",[1]对账明细接口!$B$1191),"")</f>
        <v/>
      </c>
      <c r="C1191" s="16" t="str">
        <f>IFERROR(IF([1]对账明细接口!$C$1191=0,"",[1]对账明细接口!$C$1191),"")</f>
        <v/>
      </c>
      <c r="D1191" s="16" t="str">
        <f>IFERROR(IF([1]对账明细接口!$D$1191=0,"",[1]对账明细接口!$D$1191),"")</f>
        <v/>
      </c>
      <c r="E1191" s="16" t="str">
        <f>IFERROR(IF([1]对账明细接口!$E$1191=0,"",[1]对账明细接口!$E$1191),"")</f>
        <v/>
      </c>
      <c r="F1191" s="16" t="str">
        <f>IFERROR(IF([1]对账明细接口!$F$1191=0,"",[1]对账明细接口!$F$1191),"")</f>
        <v/>
      </c>
      <c r="G1191" s="16" t="str">
        <f>IFERROR(IF([1]对账明细接口!$G$1191=0,"",[1]对账明细接口!$G$1191),"")</f>
        <v/>
      </c>
      <c r="H1191" s="17" t="str">
        <f>IFERROR(IF([1]对账明细接口!$H$1191=0,"",[1]对账明细接口!$H$1191),"")</f>
        <v/>
      </c>
      <c r="I1191" s="16" t="str">
        <f>IFERROR(IF([1]对账明细接口!$I$1191=0,"",[1]对账明细接口!$I$1191),"")</f>
        <v/>
      </c>
      <c r="J1191" s="18" t="str">
        <f>IFERROR(IF([1]对账明细接口!$J$1191=0,"",[1]对账明细接口!$J$1191),"")</f>
        <v/>
      </c>
      <c r="K1191" s="18" t="str">
        <f>IFERROR(IF([1]对账明细接口!$K$1191=0,"",[1]对账明细接口!$K$1191),"")</f>
        <v/>
      </c>
      <c r="L1191" s="16" t="str">
        <f>IFERROR(IF([1]对账明细接口!$L$1191=0,"",[1]对账明细接口!$L$1191),"")</f>
        <v/>
      </c>
      <c r="M1191" s="16" t="str">
        <f>IFERROR(IF([1]对账明细接口!$M$1191=0,"",[1]对账明细接口!$M$1191),"")</f>
        <v/>
      </c>
      <c r="N1191" s="19">
        <f t="shared" si="36"/>
        <v>0</v>
      </c>
      <c r="O1191" s="19">
        <f t="shared" si="37"/>
        <v>420</v>
      </c>
      <c r="S1191" s="20" t="str">
        <f>IFERROR(IF([1]对账明细接口!$N1191=0,"",[1]对账明细接口!$N1191),"")</f>
        <v/>
      </c>
      <c r="T1191" s="21" t="str">
        <f>IFERROR(IF([1]对账明细接口!$O1191=0,"",[1]对账明细接口!$O1191),"")</f>
        <v/>
      </c>
      <c r="U1191" s="21" t="str">
        <f>IFERROR(IF([1]对账明细接口!$P1191=0,"",[1]对账明细接口!$P1191),"")</f>
        <v/>
      </c>
      <c r="V1191" s="21" t="str">
        <f>IFERROR(IF([1]对账明细接口!$Q1191=0,"",[1]对账明细接口!$Q1191),"")</f>
        <v/>
      </c>
      <c r="W1191" s="20" t="str">
        <f>IFERROR(IF([1]对账明细接口!$R1191=0,"",[1]对账明细接口!$R1191),"")</f>
        <v/>
      </c>
      <c r="X1191" s="20" t="str">
        <f>IFERROR(IF([1]对账明细接口!$S1191=0,"",[1]对账明细接口!$S1191),"")</f>
        <v/>
      </c>
      <c r="Y1191" s="20" t="str">
        <f>IFERROR(IF([1]对账明细接口!$T1191=0,"",[1]对账明细接口!$T1191),"")</f>
        <v/>
      </c>
      <c r="Z1191" s="24" t="str">
        <f>IFERROR(IF([1]对账明细接口!$U1191=0,"",[1]对账明细接口!$U1191),"")</f>
        <v/>
      </c>
      <c r="AA1191" s="24" t="str">
        <f>IFERROR(IF([1]对账明细接口!$V1191=0,"",[1]对账明细接口!$V1191),"")</f>
        <v/>
      </c>
      <c r="AB1191" s="20" t="str">
        <f>IFERROR(IF([1]对账明细接口!$W1191=0,"",[1]对账明细接口!$W1191),"")</f>
        <v/>
      </c>
      <c r="AC1191" s="7" t="str">
        <f>IFERROR(IF([1]对账明细接口!$X1191=0,"",[1]对账明细接口!$X1191),"")</f>
        <v/>
      </c>
      <c r="AD1191" s="7" t="str">
        <f>IFERROR(IF([1]对账明细接口!$Y1191=0,"",[1]对账明细接口!$Y1191),"")</f>
        <v/>
      </c>
      <c r="AE1191" s="7" t="str">
        <f>IFERROR(IF([1]对账明细接口!$AA1191=0,"",[1]对账明细接口!$AA1191),"")</f>
        <v/>
      </c>
      <c r="AF1191" s="7" t="str">
        <f>IFERROR(IF([1]对账明细接口!$AB1191=0,"",[1]对账明细接口!$AB1191),"")</f>
        <v/>
      </c>
      <c r="AG1191" s="7" t="str">
        <f>IFERROR(IF([1]对账明细接口!$AC1191=0,"",[1]对账明细接口!$AC1191),"")</f>
        <v/>
      </c>
      <c r="AH1191" s="7" t="str">
        <f>IFERROR(IF([1]对账明细接口!$AD1191=0,"",[1]对账明细接口!$AD1191),"")</f>
        <v/>
      </c>
      <c r="AI1191" s="7" t="str">
        <f>IFERROR(IF([1]对账明细接口!$AE1191=0,"",[1]对账明细接口!$AE1191),"")</f>
        <v/>
      </c>
      <c r="AJ1191" s="7" t="str">
        <f>IFERROR(IF([1]对账明细接口!$AF1191=0,"",[1]对账明细接口!$AF1191),"")</f>
        <v/>
      </c>
    </row>
    <row r="1192" ht="14.25" customHeight="1" spans="1:36">
      <c r="A1192" s="14">
        <v>1192</v>
      </c>
      <c r="B1192" s="15" t="str">
        <f>IFERROR(IF([1]对账明细接口!$B$1192=0,"",[1]对账明细接口!$B$1192),"")</f>
        <v/>
      </c>
      <c r="C1192" s="16" t="str">
        <f>IFERROR(IF([1]对账明细接口!$C$1192=0,"",[1]对账明细接口!$C$1192),"")</f>
        <v/>
      </c>
      <c r="D1192" s="16" t="str">
        <f>IFERROR(IF([1]对账明细接口!$D$1192=0,"",[1]对账明细接口!$D$1192),"")</f>
        <v/>
      </c>
      <c r="E1192" s="16" t="str">
        <f>IFERROR(IF([1]对账明细接口!$E$1192=0,"",[1]对账明细接口!$E$1192),"")</f>
        <v/>
      </c>
      <c r="F1192" s="16" t="str">
        <f>IFERROR(IF([1]对账明细接口!$F$1192=0,"",[1]对账明细接口!$F$1192),"")</f>
        <v/>
      </c>
      <c r="G1192" s="16" t="str">
        <f>IFERROR(IF([1]对账明细接口!$G$1192=0,"",[1]对账明细接口!$G$1192),"")</f>
        <v/>
      </c>
      <c r="H1192" s="17" t="str">
        <f>IFERROR(IF([1]对账明细接口!$H$1192=0,"",[1]对账明细接口!$H$1192),"")</f>
        <v/>
      </c>
      <c r="I1192" s="16" t="str">
        <f>IFERROR(IF([1]对账明细接口!$I$1192=0,"",[1]对账明细接口!$I$1192),"")</f>
        <v/>
      </c>
      <c r="J1192" s="18" t="str">
        <f>IFERROR(IF([1]对账明细接口!$J$1192=0,"",[1]对账明细接口!$J$1192),"")</f>
        <v/>
      </c>
      <c r="K1192" s="18" t="str">
        <f>IFERROR(IF([1]对账明细接口!$K$1192=0,"",[1]对账明细接口!$K$1192),"")</f>
        <v/>
      </c>
      <c r="L1192" s="16" t="str">
        <f>IFERROR(IF([1]对账明细接口!$L$1192=0,"",[1]对账明细接口!$L$1192),"")</f>
        <v/>
      </c>
      <c r="M1192" s="16" t="str">
        <f>IFERROR(IF([1]对账明细接口!$M$1192=0,"",[1]对账明细接口!$M$1192),"")</f>
        <v/>
      </c>
      <c r="N1192" s="19">
        <f t="shared" si="36"/>
        <v>0</v>
      </c>
      <c r="O1192" s="19">
        <f t="shared" si="37"/>
        <v>420</v>
      </c>
      <c r="S1192" s="20" t="str">
        <f>IFERROR(IF([1]对账明细接口!$N1192=0,"",[1]对账明细接口!$N1192),"")</f>
        <v/>
      </c>
      <c r="T1192" s="21" t="str">
        <f>IFERROR(IF([1]对账明细接口!$O1192=0,"",[1]对账明细接口!$O1192),"")</f>
        <v/>
      </c>
      <c r="U1192" s="21" t="str">
        <f>IFERROR(IF([1]对账明细接口!$P1192=0,"",[1]对账明细接口!$P1192),"")</f>
        <v/>
      </c>
      <c r="V1192" s="21" t="str">
        <f>IFERROR(IF([1]对账明细接口!$Q1192=0,"",[1]对账明细接口!$Q1192),"")</f>
        <v/>
      </c>
      <c r="W1192" s="20" t="str">
        <f>IFERROR(IF([1]对账明细接口!$R1192=0,"",[1]对账明细接口!$R1192),"")</f>
        <v/>
      </c>
      <c r="X1192" s="20" t="str">
        <f>IFERROR(IF([1]对账明细接口!$S1192=0,"",[1]对账明细接口!$S1192),"")</f>
        <v/>
      </c>
      <c r="Y1192" s="20" t="str">
        <f>IFERROR(IF([1]对账明细接口!$T1192=0,"",[1]对账明细接口!$T1192),"")</f>
        <v/>
      </c>
      <c r="Z1192" s="24" t="str">
        <f>IFERROR(IF([1]对账明细接口!$U1192=0,"",[1]对账明细接口!$U1192),"")</f>
        <v/>
      </c>
      <c r="AA1192" s="24" t="str">
        <f>IFERROR(IF([1]对账明细接口!$V1192=0,"",[1]对账明细接口!$V1192),"")</f>
        <v/>
      </c>
      <c r="AB1192" s="20" t="str">
        <f>IFERROR(IF([1]对账明细接口!$W1192=0,"",[1]对账明细接口!$W1192),"")</f>
        <v/>
      </c>
      <c r="AC1192" s="7" t="str">
        <f>IFERROR(IF([1]对账明细接口!$X1192=0,"",[1]对账明细接口!$X1192),"")</f>
        <v/>
      </c>
      <c r="AD1192" s="7" t="str">
        <f>IFERROR(IF([1]对账明细接口!$Y1192=0,"",[1]对账明细接口!$Y1192),"")</f>
        <v/>
      </c>
      <c r="AE1192" s="7" t="str">
        <f>IFERROR(IF([1]对账明细接口!$AA1192=0,"",[1]对账明细接口!$AA1192),"")</f>
        <v/>
      </c>
      <c r="AF1192" s="7" t="str">
        <f>IFERROR(IF([1]对账明细接口!$AB1192=0,"",[1]对账明细接口!$AB1192),"")</f>
        <v/>
      </c>
      <c r="AG1192" s="7" t="str">
        <f>IFERROR(IF([1]对账明细接口!$AC1192=0,"",[1]对账明细接口!$AC1192),"")</f>
        <v/>
      </c>
      <c r="AH1192" s="7" t="str">
        <f>IFERROR(IF([1]对账明细接口!$AD1192=0,"",[1]对账明细接口!$AD1192),"")</f>
        <v/>
      </c>
      <c r="AI1192" s="7" t="str">
        <f>IFERROR(IF([1]对账明细接口!$AE1192=0,"",[1]对账明细接口!$AE1192),"")</f>
        <v/>
      </c>
      <c r="AJ1192" s="7" t="str">
        <f>IFERROR(IF([1]对账明细接口!$AF1192=0,"",[1]对账明细接口!$AF1192),"")</f>
        <v/>
      </c>
    </row>
    <row r="1193" ht="14.25" customHeight="1" spans="1:36">
      <c r="A1193" s="14">
        <v>1193</v>
      </c>
      <c r="B1193" s="15" t="str">
        <f>IFERROR(IF([1]对账明细接口!$B$1193=0,"",[1]对账明细接口!$B$1193),"")</f>
        <v/>
      </c>
      <c r="C1193" s="16" t="str">
        <f>IFERROR(IF([1]对账明细接口!$C$1193=0,"",[1]对账明细接口!$C$1193),"")</f>
        <v/>
      </c>
      <c r="D1193" s="16" t="str">
        <f>IFERROR(IF([1]对账明细接口!$D$1193=0,"",[1]对账明细接口!$D$1193),"")</f>
        <v/>
      </c>
      <c r="E1193" s="16" t="str">
        <f>IFERROR(IF([1]对账明细接口!$E$1193=0,"",[1]对账明细接口!$E$1193),"")</f>
        <v/>
      </c>
      <c r="F1193" s="16" t="str">
        <f>IFERROR(IF([1]对账明细接口!$F$1193=0,"",[1]对账明细接口!$F$1193),"")</f>
        <v/>
      </c>
      <c r="G1193" s="16" t="str">
        <f>IFERROR(IF([1]对账明细接口!$G$1193=0,"",[1]对账明细接口!$G$1193),"")</f>
        <v/>
      </c>
      <c r="H1193" s="17" t="str">
        <f>IFERROR(IF([1]对账明细接口!$H$1193=0,"",[1]对账明细接口!$H$1193),"")</f>
        <v/>
      </c>
      <c r="I1193" s="16" t="str">
        <f>IFERROR(IF([1]对账明细接口!$I$1193=0,"",[1]对账明细接口!$I$1193),"")</f>
        <v/>
      </c>
      <c r="J1193" s="18" t="str">
        <f>IFERROR(IF([1]对账明细接口!$J$1193=0,"",[1]对账明细接口!$J$1193),"")</f>
        <v/>
      </c>
      <c r="K1193" s="18" t="str">
        <f>IFERROR(IF([1]对账明细接口!$K$1193=0,"",[1]对账明细接口!$K$1193),"")</f>
        <v/>
      </c>
      <c r="L1193" s="16" t="str">
        <f>IFERROR(IF([1]对账明细接口!$L$1193=0,"",[1]对账明细接口!$L$1193),"")</f>
        <v/>
      </c>
      <c r="M1193" s="16" t="str">
        <f>IFERROR(IF([1]对账明细接口!$M$1193=0,"",[1]对账明细接口!$M$1193),"")</f>
        <v/>
      </c>
      <c r="N1193" s="19">
        <f t="shared" si="36"/>
        <v>0</v>
      </c>
      <c r="O1193" s="19">
        <f t="shared" si="37"/>
        <v>420</v>
      </c>
      <c r="S1193" s="20" t="str">
        <f>IFERROR(IF([1]对账明细接口!$N1193=0,"",[1]对账明细接口!$N1193),"")</f>
        <v/>
      </c>
      <c r="T1193" s="21" t="str">
        <f>IFERROR(IF([1]对账明细接口!$O1193=0,"",[1]对账明细接口!$O1193),"")</f>
        <v/>
      </c>
      <c r="U1193" s="21" t="str">
        <f>IFERROR(IF([1]对账明细接口!$P1193=0,"",[1]对账明细接口!$P1193),"")</f>
        <v/>
      </c>
      <c r="V1193" s="21" t="str">
        <f>IFERROR(IF([1]对账明细接口!$Q1193=0,"",[1]对账明细接口!$Q1193),"")</f>
        <v/>
      </c>
      <c r="W1193" s="20" t="str">
        <f>IFERROR(IF([1]对账明细接口!$R1193=0,"",[1]对账明细接口!$R1193),"")</f>
        <v/>
      </c>
      <c r="X1193" s="20" t="str">
        <f>IFERROR(IF([1]对账明细接口!$S1193=0,"",[1]对账明细接口!$S1193),"")</f>
        <v/>
      </c>
      <c r="Y1193" s="20" t="str">
        <f>IFERROR(IF([1]对账明细接口!$T1193=0,"",[1]对账明细接口!$T1193),"")</f>
        <v/>
      </c>
      <c r="Z1193" s="24" t="str">
        <f>IFERROR(IF([1]对账明细接口!$U1193=0,"",[1]对账明细接口!$U1193),"")</f>
        <v/>
      </c>
      <c r="AA1193" s="24" t="str">
        <f>IFERROR(IF([1]对账明细接口!$V1193=0,"",[1]对账明细接口!$V1193),"")</f>
        <v/>
      </c>
      <c r="AB1193" s="20" t="str">
        <f>IFERROR(IF([1]对账明细接口!$W1193=0,"",[1]对账明细接口!$W1193),"")</f>
        <v/>
      </c>
      <c r="AC1193" s="7" t="str">
        <f>IFERROR(IF([1]对账明细接口!$X1193=0,"",[1]对账明细接口!$X1193),"")</f>
        <v/>
      </c>
      <c r="AD1193" s="7" t="str">
        <f>IFERROR(IF([1]对账明细接口!$Y1193=0,"",[1]对账明细接口!$Y1193),"")</f>
        <v/>
      </c>
      <c r="AE1193" s="7" t="str">
        <f>IFERROR(IF([1]对账明细接口!$AA1193=0,"",[1]对账明细接口!$AA1193),"")</f>
        <v/>
      </c>
      <c r="AF1193" s="7" t="str">
        <f>IFERROR(IF([1]对账明细接口!$AB1193=0,"",[1]对账明细接口!$AB1193),"")</f>
        <v/>
      </c>
      <c r="AG1193" s="7" t="str">
        <f>IFERROR(IF([1]对账明细接口!$AC1193=0,"",[1]对账明细接口!$AC1193),"")</f>
        <v/>
      </c>
      <c r="AH1193" s="7" t="str">
        <f>IFERROR(IF([1]对账明细接口!$AD1193=0,"",[1]对账明细接口!$AD1193),"")</f>
        <v/>
      </c>
      <c r="AI1193" s="7" t="str">
        <f>IFERROR(IF([1]对账明细接口!$AE1193=0,"",[1]对账明细接口!$AE1193),"")</f>
        <v/>
      </c>
      <c r="AJ1193" s="7" t="str">
        <f>IFERROR(IF([1]对账明细接口!$AF1193=0,"",[1]对账明细接口!$AF1193),"")</f>
        <v/>
      </c>
    </row>
    <row r="1194" ht="14.25" customHeight="1" spans="1:36">
      <c r="A1194" s="14">
        <v>1194</v>
      </c>
      <c r="B1194" s="15" t="str">
        <f>IFERROR(IF([1]对账明细接口!$B$1194=0,"",[1]对账明细接口!$B$1194),"")</f>
        <v/>
      </c>
      <c r="C1194" s="16" t="str">
        <f>IFERROR(IF([1]对账明细接口!$C$1194=0,"",[1]对账明细接口!$C$1194),"")</f>
        <v/>
      </c>
      <c r="D1194" s="16" t="str">
        <f>IFERROR(IF([1]对账明细接口!$D$1194=0,"",[1]对账明细接口!$D$1194),"")</f>
        <v/>
      </c>
      <c r="E1194" s="16" t="str">
        <f>IFERROR(IF([1]对账明细接口!$E$1194=0,"",[1]对账明细接口!$E$1194),"")</f>
        <v/>
      </c>
      <c r="F1194" s="16" t="str">
        <f>IFERROR(IF([1]对账明细接口!$F$1194=0,"",[1]对账明细接口!$F$1194),"")</f>
        <v/>
      </c>
      <c r="G1194" s="16" t="str">
        <f>IFERROR(IF([1]对账明细接口!$G$1194=0,"",[1]对账明细接口!$G$1194),"")</f>
        <v/>
      </c>
      <c r="H1194" s="17" t="str">
        <f>IFERROR(IF([1]对账明细接口!$H$1194=0,"",[1]对账明细接口!$H$1194),"")</f>
        <v/>
      </c>
      <c r="I1194" s="16" t="str">
        <f>IFERROR(IF([1]对账明细接口!$I$1194=0,"",[1]对账明细接口!$I$1194),"")</f>
        <v/>
      </c>
      <c r="J1194" s="18" t="str">
        <f>IFERROR(IF([1]对账明细接口!$J$1194=0,"",[1]对账明细接口!$J$1194),"")</f>
        <v/>
      </c>
      <c r="K1194" s="18" t="str">
        <f>IFERROR(IF([1]对账明细接口!$K$1194=0,"",[1]对账明细接口!$K$1194),"")</f>
        <v/>
      </c>
      <c r="L1194" s="16" t="str">
        <f>IFERROR(IF([1]对账明细接口!$L$1194=0,"",[1]对账明细接口!$L$1194),"")</f>
        <v/>
      </c>
      <c r="M1194" s="16" t="str">
        <f>IFERROR(IF([1]对账明细接口!$M$1194=0,"",[1]对账明细接口!$M$1194),"")</f>
        <v/>
      </c>
      <c r="N1194" s="19">
        <f t="shared" si="36"/>
        <v>0</v>
      </c>
      <c r="O1194" s="19">
        <f t="shared" si="37"/>
        <v>420</v>
      </c>
      <c r="S1194" s="20" t="str">
        <f>IFERROR(IF([1]对账明细接口!$N1194=0,"",[1]对账明细接口!$N1194),"")</f>
        <v/>
      </c>
      <c r="T1194" s="21" t="str">
        <f>IFERROR(IF([1]对账明细接口!$O1194=0,"",[1]对账明细接口!$O1194),"")</f>
        <v/>
      </c>
      <c r="U1194" s="21" t="str">
        <f>IFERROR(IF([1]对账明细接口!$P1194=0,"",[1]对账明细接口!$P1194),"")</f>
        <v/>
      </c>
      <c r="V1194" s="21" t="str">
        <f>IFERROR(IF([1]对账明细接口!$Q1194=0,"",[1]对账明细接口!$Q1194),"")</f>
        <v/>
      </c>
      <c r="W1194" s="20" t="str">
        <f>IFERROR(IF([1]对账明细接口!$R1194=0,"",[1]对账明细接口!$R1194),"")</f>
        <v/>
      </c>
      <c r="X1194" s="20" t="str">
        <f>IFERROR(IF([1]对账明细接口!$S1194=0,"",[1]对账明细接口!$S1194),"")</f>
        <v/>
      </c>
      <c r="Y1194" s="20" t="str">
        <f>IFERROR(IF([1]对账明细接口!$T1194=0,"",[1]对账明细接口!$T1194),"")</f>
        <v/>
      </c>
      <c r="Z1194" s="24" t="str">
        <f>IFERROR(IF([1]对账明细接口!$U1194=0,"",[1]对账明细接口!$U1194),"")</f>
        <v/>
      </c>
      <c r="AA1194" s="24" t="str">
        <f>IFERROR(IF([1]对账明细接口!$V1194=0,"",[1]对账明细接口!$V1194),"")</f>
        <v/>
      </c>
      <c r="AB1194" s="20" t="str">
        <f>IFERROR(IF([1]对账明细接口!$W1194=0,"",[1]对账明细接口!$W1194),"")</f>
        <v/>
      </c>
      <c r="AC1194" s="7" t="str">
        <f>IFERROR(IF([1]对账明细接口!$X1194=0,"",[1]对账明细接口!$X1194),"")</f>
        <v/>
      </c>
      <c r="AD1194" s="7" t="str">
        <f>IFERROR(IF([1]对账明细接口!$Y1194=0,"",[1]对账明细接口!$Y1194),"")</f>
        <v/>
      </c>
      <c r="AE1194" s="7" t="str">
        <f>IFERROR(IF([1]对账明细接口!$AA1194=0,"",[1]对账明细接口!$AA1194),"")</f>
        <v/>
      </c>
      <c r="AF1194" s="7" t="str">
        <f>IFERROR(IF([1]对账明细接口!$AB1194=0,"",[1]对账明细接口!$AB1194),"")</f>
        <v/>
      </c>
      <c r="AG1194" s="7" t="str">
        <f>IFERROR(IF([1]对账明细接口!$AC1194=0,"",[1]对账明细接口!$AC1194),"")</f>
        <v/>
      </c>
      <c r="AH1194" s="7" t="str">
        <f>IFERROR(IF([1]对账明细接口!$AD1194=0,"",[1]对账明细接口!$AD1194),"")</f>
        <v/>
      </c>
      <c r="AI1194" s="7" t="str">
        <f>IFERROR(IF([1]对账明细接口!$AE1194=0,"",[1]对账明细接口!$AE1194),"")</f>
        <v/>
      </c>
      <c r="AJ1194" s="7" t="str">
        <f>IFERROR(IF([1]对账明细接口!$AF1194=0,"",[1]对账明细接口!$AF1194),"")</f>
        <v/>
      </c>
    </row>
    <row r="1195" ht="14.25" customHeight="1" spans="1:36">
      <c r="A1195" s="14">
        <v>1195</v>
      </c>
      <c r="B1195" s="15" t="str">
        <f>IFERROR(IF([1]对账明细接口!$B$1195=0,"",[1]对账明细接口!$B$1195),"")</f>
        <v/>
      </c>
      <c r="C1195" s="16" t="str">
        <f>IFERROR(IF([1]对账明细接口!$C$1195=0,"",[1]对账明细接口!$C$1195),"")</f>
        <v/>
      </c>
      <c r="D1195" s="16" t="str">
        <f>IFERROR(IF([1]对账明细接口!$D$1195=0,"",[1]对账明细接口!$D$1195),"")</f>
        <v/>
      </c>
      <c r="E1195" s="16" t="str">
        <f>IFERROR(IF([1]对账明细接口!$E$1195=0,"",[1]对账明细接口!$E$1195),"")</f>
        <v/>
      </c>
      <c r="F1195" s="16" t="str">
        <f>IFERROR(IF([1]对账明细接口!$F$1195=0,"",[1]对账明细接口!$F$1195),"")</f>
        <v/>
      </c>
      <c r="G1195" s="16" t="str">
        <f>IFERROR(IF([1]对账明细接口!$G$1195=0,"",[1]对账明细接口!$G$1195),"")</f>
        <v/>
      </c>
      <c r="H1195" s="17" t="str">
        <f>IFERROR(IF([1]对账明细接口!$H$1195=0,"",[1]对账明细接口!$H$1195),"")</f>
        <v/>
      </c>
      <c r="I1195" s="16" t="str">
        <f>IFERROR(IF([1]对账明细接口!$I$1195=0,"",[1]对账明细接口!$I$1195),"")</f>
        <v/>
      </c>
      <c r="J1195" s="18" t="str">
        <f>IFERROR(IF([1]对账明细接口!$J$1195=0,"",[1]对账明细接口!$J$1195),"")</f>
        <v/>
      </c>
      <c r="K1195" s="18" t="str">
        <f>IFERROR(IF([1]对账明细接口!$K$1195=0,"",[1]对账明细接口!$K$1195),"")</f>
        <v/>
      </c>
      <c r="L1195" s="16" t="str">
        <f>IFERROR(IF([1]对账明细接口!$L$1195=0,"",[1]对账明细接口!$L$1195),"")</f>
        <v/>
      </c>
      <c r="M1195" s="16" t="str">
        <f>IFERROR(IF([1]对账明细接口!$M$1195=0,"",[1]对账明细接口!$M$1195),"")</f>
        <v/>
      </c>
      <c r="N1195" s="19">
        <f t="shared" si="36"/>
        <v>0</v>
      </c>
      <c r="O1195" s="19">
        <f t="shared" si="37"/>
        <v>420</v>
      </c>
      <c r="S1195" s="20" t="str">
        <f>IFERROR(IF([1]对账明细接口!$N1195=0,"",[1]对账明细接口!$N1195),"")</f>
        <v/>
      </c>
      <c r="T1195" s="21" t="str">
        <f>IFERROR(IF([1]对账明细接口!$O1195=0,"",[1]对账明细接口!$O1195),"")</f>
        <v/>
      </c>
      <c r="U1195" s="21" t="str">
        <f>IFERROR(IF([1]对账明细接口!$P1195=0,"",[1]对账明细接口!$P1195),"")</f>
        <v/>
      </c>
      <c r="V1195" s="21" t="str">
        <f>IFERROR(IF([1]对账明细接口!$Q1195=0,"",[1]对账明细接口!$Q1195),"")</f>
        <v/>
      </c>
      <c r="W1195" s="20" t="str">
        <f>IFERROR(IF([1]对账明细接口!$R1195=0,"",[1]对账明细接口!$R1195),"")</f>
        <v/>
      </c>
      <c r="X1195" s="20" t="str">
        <f>IFERROR(IF([1]对账明细接口!$S1195=0,"",[1]对账明细接口!$S1195),"")</f>
        <v/>
      </c>
      <c r="Y1195" s="20" t="str">
        <f>IFERROR(IF([1]对账明细接口!$T1195=0,"",[1]对账明细接口!$T1195),"")</f>
        <v/>
      </c>
      <c r="Z1195" s="24" t="str">
        <f>IFERROR(IF([1]对账明细接口!$U1195=0,"",[1]对账明细接口!$U1195),"")</f>
        <v/>
      </c>
      <c r="AA1195" s="24" t="str">
        <f>IFERROR(IF([1]对账明细接口!$V1195=0,"",[1]对账明细接口!$V1195),"")</f>
        <v/>
      </c>
      <c r="AB1195" s="20" t="str">
        <f>IFERROR(IF([1]对账明细接口!$W1195=0,"",[1]对账明细接口!$W1195),"")</f>
        <v/>
      </c>
      <c r="AC1195" s="7" t="str">
        <f>IFERROR(IF([1]对账明细接口!$X1195=0,"",[1]对账明细接口!$X1195),"")</f>
        <v/>
      </c>
      <c r="AD1195" s="7" t="str">
        <f>IFERROR(IF([1]对账明细接口!$Y1195=0,"",[1]对账明细接口!$Y1195),"")</f>
        <v/>
      </c>
      <c r="AE1195" s="7" t="str">
        <f>IFERROR(IF([1]对账明细接口!$AA1195=0,"",[1]对账明细接口!$AA1195),"")</f>
        <v/>
      </c>
      <c r="AF1195" s="7" t="str">
        <f>IFERROR(IF([1]对账明细接口!$AB1195=0,"",[1]对账明细接口!$AB1195),"")</f>
        <v/>
      </c>
      <c r="AG1195" s="7" t="str">
        <f>IFERROR(IF([1]对账明细接口!$AC1195=0,"",[1]对账明细接口!$AC1195),"")</f>
        <v/>
      </c>
      <c r="AH1195" s="7" t="str">
        <f>IFERROR(IF([1]对账明细接口!$AD1195=0,"",[1]对账明细接口!$AD1195),"")</f>
        <v/>
      </c>
      <c r="AI1195" s="7" t="str">
        <f>IFERROR(IF([1]对账明细接口!$AE1195=0,"",[1]对账明细接口!$AE1195),"")</f>
        <v/>
      </c>
      <c r="AJ1195" s="7" t="str">
        <f>IFERROR(IF([1]对账明细接口!$AF1195=0,"",[1]对账明细接口!$AF1195),"")</f>
        <v/>
      </c>
    </row>
    <row r="1196" ht="14.25" customHeight="1" spans="1:36">
      <c r="A1196" s="14">
        <v>1196</v>
      </c>
      <c r="B1196" s="15" t="str">
        <f>IFERROR(IF([1]对账明细接口!$B$1196=0,"",[1]对账明细接口!$B$1196),"")</f>
        <v/>
      </c>
      <c r="C1196" s="16" t="str">
        <f>IFERROR(IF([1]对账明细接口!$C$1196=0,"",[1]对账明细接口!$C$1196),"")</f>
        <v/>
      </c>
      <c r="D1196" s="16" t="str">
        <f>IFERROR(IF([1]对账明细接口!$D$1196=0,"",[1]对账明细接口!$D$1196),"")</f>
        <v/>
      </c>
      <c r="E1196" s="16" t="str">
        <f>IFERROR(IF([1]对账明细接口!$E$1196=0,"",[1]对账明细接口!$E$1196),"")</f>
        <v/>
      </c>
      <c r="F1196" s="16" t="str">
        <f>IFERROR(IF([1]对账明细接口!$F$1196=0,"",[1]对账明细接口!$F$1196),"")</f>
        <v/>
      </c>
      <c r="G1196" s="16" t="str">
        <f>IFERROR(IF([1]对账明细接口!$G$1196=0,"",[1]对账明细接口!$G$1196),"")</f>
        <v/>
      </c>
      <c r="H1196" s="17" t="str">
        <f>IFERROR(IF([1]对账明细接口!$H$1196=0,"",[1]对账明细接口!$H$1196),"")</f>
        <v/>
      </c>
      <c r="I1196" s="16" t="str">
        <f>IFERROR(IF([1]对账明细接口!$I$1196=0,"",[1]对账明细接口!$I$1196),"")</f>
        <v/>
      </c>
      <c r="J1196" s="18" t="str">
        <f>IFERROR(IF([1]对账明细接口!$J$1196=0,"",[1]对账明细接口!$J$1196),"")</f>
        <v/>
      </c>
      <c r="K1196" s="18" t="str">
        <f>IFERROR(IF([1]对账明细接口!$K$1196=0,"",[1]对账明细接口!$K$1196),"")</f>
        <v/>
      </c>
      <c r="L1196" s="16" t="str">
        <f>IFERROR(IF([1]对账明细接口!$L$1196=0,"",[1]对账明细接口!$L$1196),"")</f>
        <v/>
      </c>
      <c r="M1196" s="16" t="str">
        <f>IFERROR(IF([1]对账明细接口!$M$1196=0,"",[1]对账明细接口!$M$1196),"")</f>
        <v/>
      </c>
      <c r="N1196" s="19">
        <f t="shared" si="36"/>
        <v>0</v>
      </c>
      <c r="O1196" s="19">
        <f t="shared" si="37"/>
        <v>420</v>
      </c>
      <c r="S1196" s="20" t="str">
        <f>IFERROR(IF([1]对账明细接口!$N1196=0,"",[1]对账明细接口!$N1196),"")</f>
        <v/>
      </c>
      <c r="T1196" s="21" t="str">
        <f>IFERROR(IF([1]对账明细接口!$O1196=0,"",[1]对账明细接口!$O1196),"")</f>
        <v/>
      </c>
      <c r="U1196" s="21" t="str">
        <f>IFERROR(IF([1]对账明细接口!$P1196=0,"",[1]对账明细接口!$P1196),"")</f>
        <v/>
      </c>
      <c r="V1196" s="21" t="str">
        <f>IFERROR(IF([1]对账明细接口!$Q1196=0,"",[1]对账明细接口!$Q1196),"")</f>
        <v/>
      </c>
      <c r="W1196" s="20" t="str">
        <f>IFERROR(IF([1]对账明细接口!$R1196=0,"",[1]对账明细接口!$R1196),"")</f>
        <v/>
      </c>
      <c r="X1196" s="20" t="str">
        <f>IFERROR(IF([1]对账明细接口!$S1196=0,"",[1]对账明细接口!$S1196),"")</f>
        <v/>
      </c>
      <c r="Y1196" s="20" t="str">
        <f>IFERROR(IF([1]对账明细接口!$T1196=0,"",[1]对账明细接口!$T1196),"")</f>
        <v/>
      </c>
      <c r="Z1196" s="24" t="str">
        <f>IFERROR(IF([1]对账明细接口!$U1196=0,"",[1]对账明细接口!$U1196),"")</f>
        <v/>
      </c>
      <c r="AA1196" s="24" t="str">
        <f>IFERROR(IF([1]对账明细接口!$V1196=0,"",[1]对账明细接口!$V1196),"")</f>
        <v/>
      </c>
      <c r="AB1196" s="20" t="str">
        <f>IFERROR(IF([1]对账明细接口!$W1196=0,"",[1]对账明细接口!$W1196),"")</f>
        <v/>
      </c>
      <c r="AC1196" s="7" t="str">
        <f>IFERROR(IF([1]对账明细接口!$X1196=0,"",[1]对账明细接口!$X1196),"")</f>
        <v/>
      </c>
      <c r="AD1196" s="7" t="str">
        <f>IFERROR(IF([1]对账明细接口!$Y1196=0,"",[1]对账明细接口!$Y1196),"")</f>
        <v/>
      </c>
      <c r="AE1196" s="7" t="str">
        <f>IFERROR(IF([1]对账明细接口!$AA1196=0,"",[1]对账明细接口!$AA1196),"")</f>
        <v/>
      </c>
      <c r="AF1196" s="7" t="str">
        <f>IFERROR(IF([1]对账明细接口!$AB1196=0,"",[1]对账明细接口!$AB1196),"")</f>
        <v/>
      </c>
      <c r="AG1196" s="7" t="str">
        <f>IFERROR(IF([1]对账明细接口!$AC1196=0,"",[1]对账明细接口!$AC1196),"")</f>
        <v/>
      </c>
      <c r="AH1196" s="7" t="str">
        <f>IFERROR(IF([1]对账明细接口!$AD1196=0,"",[1]对账明细接口!$AD1196),"")</f>
        <v/>
      </c>
      <c r="AI1196" s="7" t="str">
        <f>IFERROR(IF([1]对账明细接口!$AE1196=0,"",[1]对账明细接口!$AE1196),"")</f>
        <v/>
      </c>
      <c r="AJ1196" s="7" t="str">
        <f>IFERROR(IF([1]对账明细接口!$AF1196=0,"",[1]对账明细接口!$AF1196),"")</f>
        <v/>
      </c>
    </row>
    <row r="1197" ht="14.25" customHeight="1" spans="1:36">
      <c r="A1197" s="14">
        <v>1197</v>
      </c>
      <c r="B1197" s="15" t="str">
        <f>IFERROR(IF([1]对账明细接口!$B$1197=0,"",[1]对账明细接口!$B$1197),"")</f>
        <v/>
      </c>
      <c r="C1197" s="16" t="str">
        <f>IFERROR(IF([1]对账明细接口!$C$1197=0,"",[1]对账明细接口!$C$1197),"")</f>
        <v/>
      </c>
      <c r="D1197" s="16" t="str">
        <f>IFERROR(IF([1]对账明细接口!$D$1197=0,"",[1]对账明细接口!$D$1197),"")</f>
        <v/>
      </c>
      <c r="E1197" s="16" t="str">
        <f>IFERROR(IF([1]对账明细接口!$E$1197=0,"",[1]对账明细接口!$E$1197),"")</f>
        <v/>
      </c>
      <c r="F1197" s="16" t="str">
        <f>IFERROR(IF([1]对账明细接口!$F$1197=0,"",[1]对账明细接口!$F$1197),"")</f>
        <v/>
      </c>
      <c r="G1197" s="16" t="str">
        <f>IFERROR(IF([1]对账明细接口!$G$1197=0,"",[1]对账明细接口!$G$1197),"")</f>
        <v/>
      </c>
      <c r="H1197" s="17" t="str">
        <f>IFERROR(IF([1]对账明细接口!$H$1197=0,"",[1]对账明细接口!$H$1197),"")</f>
        <v/>
      </c>
      <c r="I1197" s="16" t="str">
        <f>IFERROR(IF([1]对账明细接口!$I$1197=0,"",[1]对账明细接口!$I$1197),"")</f>
        <v/>
      </c>
      <c r="J1197" s="18" t="str">
        <f>IFERROR(IF([1]对账明细接口!$J$1197=0,"",[1]对账明细接口!$J$1197),"")</f>
        <v/>
      </c>
      <c r="K1197" s="18" t="str">
        <f>IFERROR(IF([1]对账明细接口!$K$1197=0,"",[1]对账明细接口!$K$1197),"")</f>
        <v/>
      </c>
      <c r="L1197" s="16" t="str">
        <f>IFERROR(IF([1]对账明细接口!$L$1197=0,"",[1]对账明细接口!$L$1197),"")</f>
        <v/>
      </c>
      <c r="M1197" s="16" t="str">
        <f>IFERROR(IF([1]对账明细接口!$M$1197=0,"",[1]对账明细接口!$M$1197),"")</f>
        <v/>
      </c>
      <c r="N1197" s="19">
        <f t="shared" si="36"/>
        <v>0</v>
      </c>
      <c r="O1197" s="19">
        <f t="shared" si="37"/>
        <v>420</v>
      </c>
      <c r="S1197" s="20" t="str">
        <f>IFERROR(IF([1]对账明细接口!$N1197=0,"",[1]对账明细接口!$N1197),"")</f>
        <v/>
      </c>
      <c r="T1197" s="21" t="str">
        <f>IFERROR(IF([1]对账明细接口!$O1197=0,"",[1]对账明细接口!$O1197),"")</f>
        <v/>
      </c>
      <c r="U1197" s="21" t="str">
        <f>IFERROR(IF([1]对账明细接口!$P1197=0,"",[1]对账明细接口!$P1197),"")</f>
        <v/>
      </c>
      <c r="V1197" s="21" t="str">
        <f>IFERROR(IF([1]对账明细接口!$Q1197=0,"",[1]对账明细接口!$Q1197),"")</f>
        <v/>
      </c>
      <c r="W1197" s="20" t="str">
        <f>IFERROR(IF([1]对账明细接口!$R1197=0,"",[1]对账明细接口!$R1197),"")</f>
        <v/>
      </c>
      <c r="X1197" s="20" t="str">
        <f>IFERROR(IF([1]对账明细接口!$S1197=0,"",[1]对账明细接口!$S1197),"")</f>
        <v/>
      </c>
      <c r="Y1197" s="20" t="str">
        <f>IFERROR(IF([1]对账明细接口!$T1197=0,"",[1]对账明细接口!$T1197),"")</f>
        <v/>
      </c>
      <c r="Z1197" s="24" t="str">
        <f>IFERROR(IF([1]对账明细接口!$U1197=0,"",[1]对账明细接口!$U1197),"")</f>
        <v/>
      </c>
      <c r="AA1197" s="24" t="str">
        <f>IFERROR(IF([1]对账明细接口!$V1197=0,"",[1]对账明细接口!$V1197),"")</f>
        <v/>
      </c>
      <c r="AB1197" s="20" t="str">
        <f>IFERROR(IF([1]对账明细接口!$W1197=0,"",[1]对账明细接口!$W1197),"")</f>
        <v/>
      </c>
      <c r="AC1197" s="7" t="str">
        <f>IFERROR(IF([1]对账明细接口!$X1197=0,"",[1]对账明细接口!$X1197),"")</f>
        <v/>
      </c>
      <c r="AD1197" s="7" t="str">
        <f>IFERROR(IF([1]对账明细接口!$Y1197=0,"",[1]对账明细接口!$Y1197),"")</f>
        <v/>
      </c>
      <c r="AE1197" s="7" t="str">
        <f>IFERROR(IF([1]对账明细接口!$AA1197=0,"",[1]对账明细接口!$AA1197),"")</f>
        <v/>
      </c>
      <c r="AF1197" s="7" t="str">
        <f>IFERROR(IF([1]对账明细接口!$AB1197=0,"",[1]对账明细接口!$AB1197),"")</f>
        <v/>
      </c>
      <c r="AG1197" s="7" t="str">
        <f>IFERROR(IF([1]对账明细接口!$AC1197=0,"",[1]对账明细接口!$AC1197),"")</f>
        <v/>
      </c>
      <c r="AH1197" s="7" t="str">
        <f>IFERROR(IF([1]对账明细接口!$AD1197=0,"",[1]对账明细接口!$AD1197),"")</f>
        <v/>
      </c>
      <c r="AI1197" s="7" t="str">
        <f>IFERROR(IF([1]对账明细接口!$AE1197=0,"",[1]对账明细接口!$AE1197),"")</f>
        <v/>
      </c>
      <c r="AJ1197" s="7" t="str">
        <f>IFERROR(IF([1]对账明细接口!$AF1197=0,"",[1]对账明细接口!$AF1197),"")</f>
        <v/>
      </c>
    </row>
    <row r="1198" ht="14.25" customHeight="1" spans="1:36">
      <c r="A1198" s="14">
        <v>1198</v>
      </c>
      <c r="B1198" s="15" t="str">
        <f>IFERROR(IF([1]对账明细接口!$B$1198=0,"",[1]对账明细接口!$B$1198),"")</f>
        <v/>
      </c>
      <c r="C1198" s="16" t="str">
        <f>IFERROR(IF([1]对账明细接口!$C$1198=0,"",[1]对账明细接口!$C$1198),"")</f>
        <v/>
      </c>
      <c r="D1198" s="16" t="str">
        <f>IFERROR(IF([1]对账明细接口!$D$1198=0,"",[1]对账明细接口!$D$1198),"")</f>
        <v/>
      </c>
      <c r="E1198" s="16" t="str">
        <f>IFERROR(IF([1]对账明细接口!$E$1198=0,"",[1]对账明细接口!$E$1198),"")</f>
        <v/>
      </c>
      <c r="F1198" s="16" t="str">
        <f>IFERROR(IF([1]对账明细接口!$F$1198=0,"",[1]对账明细接口!$F$1198),"")</f>
        <v/>
      </c>
      <c r="G1198" s="16" t="str">
        <f>IFERROR(IF([1]对账明细接口!$G$1198=0,"",[1]对账明细接口!$G$1198),"")</f>
        <v/>
      </c>
      <c r="H1198" s="17" t="str">
        <f>IFERROR(IF([1]对账明细接口!$H$1198=0,"",[1]对账明细接口!$H$1198),"")</f>
        <v/>
      </c>
      <c r="I1198" s="16" t="str">
        <f>IFERROR(IF([1]对账明细接口!$I$1198=0,"",[1]对账明细接口!$I$1198),"")</f>
        <v/>
      </c>
      <c r="J1198" s="18" t="str">
        <f>IFERROR(IF([1]对账明细接口!$J$1198=0,"",[1]对账明细接口!$J$1198),"")</f>
        <v/>
      </c>
      <c r="K1198" s="18" t="str">
        <f>IFERROR(IF([1]对账明细接口!$K$1198=0,"",[1]对账明细接口!$K$1198),"")</f>
        <v/>
      </c>
      <c r="L1198" s="16" t="str">
        <f>IFERROR(IF([1]对账明细接口!$L$1198=0,"",[1]对账明细接口!$L$1198),"")</f>
        <v/>
      </c>
      <c r="M1198" s="16" t="str">
        <f>IFERROR(IF([1]对账明细接口!$M$1198=0,"",[1]对账明细接口!$M$1198),"")</f>
        <v/>
      </c>
      <c r="N1198" s="19">
        <f t="shared" si="36"/>
        <v>0</v>
      </c>
      <c r="O1198" s="19">
        <f t="shared" si="37"/>
        <v>420</v>
      </c>
      <c r="S1198" s="20" t="str">
        <f>IFERROR(IF([1]对账明细接口!$N1198=0,"",[1]对账明细接口!$N1198),"")</f>
        <v/>
      </c>
      <c r="T1198" s="21" t="str">
        <f>IFERROR(IF([1]对账明细接口!$O1198=0,"",[1]对账明细接口!$O1198),"")</f>
        <v/>
      </c>
      <c r="U1198" s="21" t="str">
        <f>IFERROR(IF([1]对账明细接口!$P1198=0,"",[1]对账明细接口!$P1198),"")</f>
        <v/>
      </c>
      <c r="V1198" s="21" t="str">
        <f>IFERROR(IF([1]对账明细接口!$Q1198=0,"",[1]对账明细接口!$Q1198),"")</f>
        <v/>
      </c>
      <c r="W1198" s="20" t="str">
        <f>IFERROR(IF([1]对账明细接口!$R1198=0,"",[1]对账明细接口!$R1198),"")</f>
        <v/>
      </c>
      <c r="X1198" s="20" t="str">
        <f>IFERROR(IF([1]对账明细接口!$S1198=0,"",[1]对账明细接口!$S1198),"")</f>
        <v/>
      </c>
      <c r="Y1198" s="20" t="str">
        <f>IFERROR(IF([1]对账明细接口!$T1198=0,"",[1]对账明细接口!$T1198),"")</f>
        <v/>
      </c>
      <c r="Z1198" s="24" t="str">
        <f>IFERROR(IF([1]对账明细接口!$U1198=0,"",[1]对账明细接口!$U1198),"")</f>
        <v/>
      </c>
      <c r="AA1198" s="24" t="str">
        <f>IFERROR(IF([1]对账明细接口!$V1198=0,"",[1]对账明细接口!$V1198),"")</f>
        <v/>
      </c>
      <c r="AB1198" s="20" t="str">
        <f>IFERROR(IF([1]对账明细接口!$W1198=0,"",[1]对账明细接口!$W1198),"")</f>
        <v/>
      </c>
      <c r="AC1198" s="7" t="str">
        <f>IFERROR(IF([1]对账明细接口!$X1198=0,"",[1]对账明细接口!$X1198),"")</f>
        <v/>
      </c>
      <c r="AD1198" s="7" t="str">
        <f>IFERROR(IF([1]对账明细接口!$Y1198=0,"",[1]对账明细接口!$Y1198),"")</f>
        <v/>
      </c>
      <c r="AE1198" s="7" t="str">
        <f>IFERROR(IF([1]对账明细接口!$AA1198=0,"",[1]对账明细接口!$AA1198),"")</f>
        <v/>
      </c>
      <c r="AF1198" s="7" t="str">
        <f>IFERROR(IF([1]对账明细接口!$AB1198=0,"",[1]对账明细接口!$AB1198),"")</f>
        <v/>
      </c>
      <c r="AG1198" s="7" t="str">
        <f>IFERROR(IF([1]对账明细接口!$AC1198=0,"",[1]对账明细接口!$AC1198),"")</f>
        <v/>
      </c>
      <c r="AH1198" s="7" t="str">
        <f>IFERROR(IF([1]对账明细接口!$AD1198=0,"",[1]对账明细接口!$AD1198),"")</f>
        <v/>
      </c>
      <c r="AI1198" s="7" t="str">
        <f>IFERROR(IF([1]对账明细接口!$AE1198=0,"",[1]对账明细接口!$AE1198),"")</f>
        <v/>
      </c>
      <c r="AJ1198" s="7" t="str">
        <f>IFERROR(IF([1]对账明细接口!$AF1198=0,"",[1]对账明细接口!$AF1198),"")</f>
        <v/>
      </c>
    </row>
    <row r="1199" ht="14.25" customHeight="1" spans="1:36">
      <c r="A1199" s="14">
        <v>1199</v>
      </c>
      <c r="B1199" s="15" t="str">
        <f>IFERROR(IF([1]对账明细接口!$B$1199=0,"",[1]对账明细接口!$B$1199),"")</f>
        <v/>
      </c>
      <c r="C1199" s="16" t="str">
        <f>IFERROR(IF([1]对账明细接口!$C$1199=0,"",[1]对账明细接口!$C$1199),"")</f>
        <v/>
      </c>
      <c r="D1199" s="16" t="str">
        <f>IFERROR(IF([1]对账明细接口!$D$1199=0,"",[1]对账明细接口!$D$1199),"")</f>
        <v/>
      </c>
      <c r="E1199" s="16" t="str">
        <f>IFERROR(IF([1]对账明细接口!$E$1199=0,"",[1]对账明细接口!$E$1199),"")</f>
        <v/>
      </c>
      <c r="F1199" s="16" t="str">
        <f>IFERROR(IF([1]对账明细接口!$F$1199=0,"",[1]对账明细接口!$F$1199),"")</f>
        <v/>
      </c>
      <c r="G1199" s="16" t="str">
        <f>IFERROR(IF([1]对账明细接口!$G$1199=0,"",[1]对账明细接口!$G$1199),"")</f>
        <v/>
      </c>
      <c r="H1199" s="17" t="str">
        <f>IFERROR(IF([1]对账明细接口!$H$1199=0,"",[1]对账明细接口!$H$1199),"")</f>
        <v/>
      </c>
      <c r="I1199" s="16" t="str">
        <f>IFERROR(IF([1]对账明细接口!$I$1199=0,"",[1]对账明细接口!$I$1199),"")</f>
        <v/>
      </c>
      <c r="J1199" s="18" t="str">
        <f>IFERROR(IF([1]对账明细接口!$J$1199=0,"",[1]对账明细接口!$J$1199),"")</f>
        <v/>
      </c>
      <c r="K1199" s="18" t="str">
        <f>IFERROR(IF([1]对账明细接口!$K$1199=0,"",[1]对账明细接口!$K$1199),"")</f>
        <v/>
      </c>
      <c r="L1199" s="16" t="str">
        <f>IFERROR(IF([1]对账明细接口!$L$1199=0,"",[1]对账明细接口!$L$1199),"")</f>
        <v/>
      </c>
      <c r="M1199" s="16" t="str">
        <f>IFERROR(IF([1]对账明细接口!$M$1199=0,"",[1]对账明细接口!$M$1199),"")</f>
        <v/>
      </c>
      <c r="N1199" s="19">
        <f t="shared" si="36"/>
        <v>0</v>
      </c>
      <c r="O1199" s="19">
        <f t="shared" si="37"/>
        <v>420</v>
      </c>
      <c r="S1199" s="20" t="str">
        <f>IFERROR(IF([1]对账明细接口!$N1199=0,"",[1]对账明细接口!$N1199),"")</f>
        <v/>
      </c>
      <c r="T1199" s="21" t="str">
        <f>IFERROR(IF([1]对账明细接口!$O1199=0,"",[1]对账明细接口!$O1199),"")</f>
        <v/>
      </c>
      <c r="U1199" s="21" t="str">
        <f>IFERROR(IF([1]对账明细接口!$P1199=0,"",[1]对账明细接口!$P1199),"")</f>
        <v/>
      </c>
      <c r="V1199" s="21" t="str">
        <f>IFERROR(IF([1]对账明细接口!$Q1199=0,"",[1]对账明细接口!$Q1199),"")</f>
        <v/>
      </c>
      <c r="W1199" s="20" t="str">
        <f>IFERROR(IF([1]对账明细接口!$R1199=0,"",[1]对账明细接口!$R1199),"")</f>
        <v/>
      </c>
      <c r="X1199" s="20" t="str">
        <f>IFERROR(IF([1]对账明细接口!$S1199=0,"",[1]对账明细接口!$S1199),"")</f>
        <v/>
      </c>
      <c r="Y1199" s="20" t="str">
        <f>IFERROR(IF([1]对账明细接口!$T1199=0,"",[1]对账明细接口!$T1199),"")</f>
        <v/>
      </c>
      <c r="Z1199" s="24" t="str">
        <f>IFERROR(IF([1]对账明细接口!$U1199=0,"",[1]对账明细接口!$U1199),"")</f>
        <v/>
      </c>
      <c r="AA1199" s="24" t="str">
        <f>IFERROR(IF([1]对账明细接口!$V1199=0,"",[1]对账明细接口!$V1199),"")</f>
        <v/>
      </c>
      <c r="AB1199" s="20" t="str">
        <f>IFERROR(IF([1]对账明细接口!$W1199=0,"",[1]对账明细接口!$W1199),"")</f>
        <v/>
      </c>
      <c r="AC1199" s="7" t="str">
        <f>IFERROR(IF([1]对账明细接口!$X1199=0,"",[1]对账明细接口!$X1199),"")</f>
        <v/>
      </c>
      <c r="AD1199" s="7" t="str">
        <f>IFERROR(IF([1]对账明细接口!$Y1199=0,"",[1]对账明细接口!$Y1199),"")</f>
        <v/>
      </c>
      <c r="AE1199" s="7" t="str">
        <f>IFERROR(IF([1]对账明细接口!$AA1199=0,"",[1]对账明细接口!$AA1199),"")</f>
        <v/>
      </c>
      <c r="AF1199" s="7" t="str">
        <f>IFERROR(IF([1]对账明细接口!$AB1199=0,"",[1]对账明细接口!$AB1199),"")</f>
        <v/>
      </c>
      <c r="AG1199" s="7" t="str">
        <f>IFERROR(IF([1]对账明细接口!$AC1199=0,"",[1]对账明细接口!$AC1199),"")</f>
        <v/>
      </c>
      <c r="AH1199" s="7" t="str">
        <f>IFERROR(IF([1]对账明细接口!$AD1199=0,"",[1]对账明细接口!$AD1199),"")</f>
        <v/>
      </c>
      <c r="AI1199" s="7" t="str">
        <f>IFERROR(IF([1]对账明细接口!$AE1199=0,"",[1]对账明细接口!$AE1199),"")</f>
        <v/>
      </c>
      <c r="AJ1199" s="7" t="str">
        <f>IFERROR(IF([1]对账明细接口!$AF1199=0,"",[1]对账明细接口!$AF1199),"")</f>
        <v/>
      </c>
    </row>
    <row r="1200" ht="14.25" customHeight="1" spans="1:36">
      <c r="A1200" s="14">
        <v>1200</v>
      </c>
      <c r="B1200" s="15" t="str">
        <f>IFERROR(IF([1]对账明细接口!$B$1200=0,"",[1]对账明细接口!$B$1200),"")</f>
        <v/>
      </c>
      <c r="C1200" s="16" t="str">
        <f>IFERROR(IF([1]对账明细接口!$C$1200=0,"",[1]对账明细接口!$C$1200),"")</f>
        <v/>
      </c>
      <c r="D1200" s="16" t="str">
        <f>IFERROR(IF([1]对账明细接口!$D$1200=0,"",[1]对账明细接口!$D$1200),"")</f>
        <v/>
      </c>
      <c r="E1200" s="16" t="str">
        <f>IFERROR(IF([1]对账明细接口!$E$1200=0,"",[1]对账明细接口!$E$1200),"")</f>
        <v/>
      </c>
      <c r="F1200" s="16" t="str">
        <f>IFERROR(IF([1]对账明细接口!$F$1200=0,"",[1]对账明细接口!$F$1200),"")</f>
        <v/>
      </c>
      <c r="G1200" s="16" t="str">
        <f>IFERROR(IF([1]对账明细接口!$G$1200=0,"",[1]对账明细接口!$G$1200),"")</f>
        <v/>
      </c>
      <c r="H1200" s="17" t="str">
        <f>IFERROR(IF([1]对账明细接口!$H$1200=0,"",[1]对账明细接口!$H$1200),"")</f>
        <v/>
      </c>
      <c r="I1200" s="16" t="str">
        <f>IFERROR(IF([1]对账明细接口!$I$1200=0,"",[1]对账明细接口!$I$1200),"")</f>
        <v/>
      </c>
      <c r="J1200" s="18" t="str">
        <f>IFERROR(IF([1]对账明细接口!$J$1200=0,"",[1]对账明细接口!$J$1200),"")</f>
        <v/>
      </c>
      <c r="K1200" s="18" t="str">
        <f>IFERROR(IF([1]对账明细接口!$K$1200=0,"",[1]对账明细接口!$K$1200),"")</f>
        <v/>
      </c>
      <c r="L1200" s="16" t="str">
        <f>IFERROR(IF([1]对账明细接口!$L$1200=0,"",[1]对账明细接口!$L$1200),"")</f>
        <v/>
      </c>
      <c r="M1200" s="16" t="str">
        <f>IFERROR(IF([1]对账明细接口!$M$1200=0,"",[1]对账明细接口!$M$1200),"")</f>
        <v/>
      </c>
      <c r="N1200" s="19">
        <f t="shared" si="36"/>
        <v>0</v>
      </c>
      <c r="O1200" s="19">
        <f t="shared" si="37"/>
        <v>420</v>
      </c>
      <c r="S1200" s="20" t="str">
        <f>IFERROR(IF([1]对账明细接口!$N1200=0,"",[1]对账明细接口!$N1200),"")</f>
        <v/>
      </c>
      <c r="T1200" s="21" t="str">
        <f>IFERROR(IF([1]对账明细接口!$O1200=0,"",[1]对账明细接口!$O1200),"")</f>
        <v/>
      </c>
      <c r="U1200" s="21" t="str">
        <f>IFERROR(IF([1]对账明细接口!$P1200=0,"",[1]对账明细接口!$P1200),"")</f>
        <v/>
      </c>
      <c r="V1200" s="21" t="str">
        <f>IFERROR(IF([1]对账明细接口!$Q1200=0,"",[1]对账明细接口!$Q1200),"")</f>
        <v/>
      </c>
      <c r="W1200" s="20" t="str">
        <f>IFERROR(IF([1]对账明细接口!$R1200=0,"",[1]对账明细接口!$R1200),"")</f>
        <v/>
      </c>
      <c r="X1200" s="20" t="str">
        <f>IFERROR(IF([1]对账明细接口!$S1200=0,"",[1]对账明细接口!$S1200),"")</f>
        <v/>
      </c>
      <c r="Y1200" s="20" t="str">
        <f>IFERROR(IF([1]对账明细接口!$T1200=0,"",[1]对账明细接口!$T1200),"")</f>
        <v/>
      </c>
      <c r="Z1200" s="24" t="str">
        <f>IFERROR(IF([1]对账明细接口!$U1200=0,"",[1]对账明细接口!$U1200),"")</f>
        <v/>
      </c>
      <c r="AA1200" s="24" t="str">
        <f>IFERROR(IF([1]对账明细接口!$V1200=0,"",[1]对账明细接口!$V1200),"")</f>
        <v/>
      </c>
      <c r="AB1200" s="20" t="str">
        <f>IFERROR(IF([1]对账明细接口!$W1200=0,"",[1]对账明细接口!$W1200),"")</f>
        <v/>
      </c>
      <c r="AC1200" s="7" t="str">
        <f>IFERROR(IF([1]对账明细接口!$X1200=0,"",[1]对账明细接口!$X1200),"")</f>
        <v/>
      </c>
      <c r="AD1200" s="7" t="str">
        <f>IFERROR(IF([1]对账明细接口!$Y1200=0,"",[1]对账明细接口!$Y1200),"")</f>
        <v/>
      </c>
      <c r="AE1200" s="7" t="str">
        <f>IFERROR(IF([1]对账明细接口!$AA1200=0,"",[1]对账明细接口!$AA1200),"")</f>
        <v/>
      </c>
      <c r="AF1200" s="7" t="str">
        <f>IFERROR(IF([1]对账明细接口!$AB1200=0,"",[1]对账明细接口!$AB1200),"")</f>
        <v/>
      </c>
      <c r="AG1200" s="7" t="str">
        <f>IFERROR(IF([1]对账明细接口!$AC1200=0,"",[1]对账明细接口!$AC1200),"")</f>
        <v/>
      </c>
      <c r="AH1200" s="7" t="str">
        <f>IFERROR(IF([1]对账明细接口!$AD1200=0,"",[1]对账明细接口!$AD1200),"")</f>
        <v/>
      </c>
      <c r="AI1200" s="7" t="str">
        <f>IFERROR(IF([1]对账明细接口!$AE1200=0,"",[1]对账明细接口!$AE1200),"")</f>
        <v/>
      </c>
      <c r="AJ1200" s="7" t="str">
        <f>IFERROR(IF([1]对账明细接口!$AF1200=0,"",[1]对账明细接口!$AF1200),"")</f>
        <v/>
      </c>
    </row>
    <row r="1201" ht="14.25" customHeight="1" spans="1:36">
      <c r="A1201" s="14">
        <v>1201</v>
      </c>
      <c r="B1201" s="15" t="str">
        <f>IFERROR(IF([1]对账明细接口!$B$1201=0,"",[1]对账明细接口!$B$1201),"")</f>
        <v/>
      </c>
      <c r="C1201" s="16" t="str">
        <f>IFERROR(IF([1]对账明细接口!$C$1201=0,"",[1]对账明细接口!$C$1201),"")</f>
        <v/>
      </c>
      <c r="D1201" s="16" t="str">
        <f>IFERROR(IF([1]对账明细接口!$D$1201=0,"",[1]对账明细接口!$D$1201),"")</f>
        <v/>
      </c>
      <c r="E1201" s="16" t="str">
        <f>IFERROR(IF([1]对账明细接口!$E$1201=0,"",[1]对账明细接口!$E$1201),"")</f>
        <v/>
      </c>
      <c r="F1201" s="16" t="str">
        <f>IFERROR(IF([1]对账明细接口!$F$1201=0,"",[1]对账明细接口!$F$1201),"")</f>
        <v/>
      </c>
      <c r="G1201" s="16" t="str">
        <f>IFERROR(IF([1]对账明细接口!$G$1201=0,"",[1]对账明细接口!$G$1201),"")</f>
        <v/>
      </c>
      <c r="H1201" s="17" t="str">
        <f>IFERROR(IF([1]对账明细接口!$H$1201=0,"",[1]对账明细接口!$H$1201),"")</f>
        <v/>
      </c>
      <c r="I1201" s="16" t="str">
        <f>IFERROR(IF([1]对账明细接口!$I$1201=0,"",[1]对账明细接口!$I$1201),"")</f>
        <v/>
      </c>
      <c r="J1201" s="18" t="str">
        <f>IFERROR(IF([1]对账明细接口!$J$1201=0,"",[1]对账明细接口!$J$1201),"")</f>
        <v/>
      </c>
      <c r="K1201" s="18" t="str">
        <f>IFERROR(IF([1]对账明细接口!$K$1201=0,"",[1]对账明细接口!$K$1201),"")</f>
        <v/>
      </c>
      <c r="L1201" s="16" t="str">
        <f>IFERROR(IF([1]对账明细接口!$L$1201=0,"",[1]对账明细接口!$L$1201),"")</f>
        <v/>
      </c>
      <c r="M1201" s="16" t="str">
        <f>IFERROR(IF([1]对账明细接口!$M$1201=0,"",[1]对账明细接口!$M$1201),"")</f>
        <v/>
      </c>
      <c r="N1201" s="19">
        <f t="shared" si="36"/>
        <v>0</v>
      </c>
      <c r="O1201" s="19">
        <f t="shared" si="37"/>
        <v>420</v>
      </c>
      <c r="S1201" s="20" t="str">
        <f>IFERROR(IF([1]对账明细接口!$N1201=0,"",[1]对账明细接口!$N1201),"")</f>
        <v/>
      </c>
      <c r="T1201" s="21" t="str">
        <f>IFERROR(IF([1]对账明细接口!$O1201=0,"",[1]对账明细接口!$O1201),"")</f>
        <v/>
      </c>
      <c r="U1201" s="21" t="str">
        <f>IFERROR(IF([1]对账明细接口!$P1201=0,"",[1]对账明细接口!$P1201),"")</f>
        <v/>
      </c>
      <c r="V1201" s="21" t="str">
        <f>IFERROR(IF([1]对账明细接口!$Q1201=0,"",[1]对账明细接口!$Q1201),"")</f>
        <v/>
      </c>
      <c r="W1201" s="20" t="str">
        <f>IFERROR(IF([1]对账明细接口!$R1201=0,"",[1]对账明细接口!$R1201),"")</f>
        <v/>
      </c>
      <c r="X1201" s="20" t="str">
        <f>IFERROR(IF([1]对账明细接口!$S1201=0,"",[1]对账明细接口!$S1201),"")</f>
        <v/>
      </c>
      <c r="Y1201" s="20" t="str">
        <f>IFERROR(IF([1]对账明细接口!$T1201=0,"",[1]对账明细接口!$T1201),"")</f>
        <v/>
      </c>
      <c r="Z1201" s="24" t="str">
        <f>IFERROR(IF([1]对账明细接口!$U1201=0,"",[1]对账明细接口!$U1201),"")</f>
        <v/>
      </c>
      <c r="AA1201" s="24" t="str">
        <f>IFERROR(IF([1]对账明细接口!$V1201=0,"",[1]对账明细接口!$V1201),"")</f>
        <v/>
      </c>
      <c r="AB1201" s="20" t="str">
        <f>IFERROR(IF([1]对账明细接口!$W1201=0,"",[1]对账明细接口!$W1201),"")</f>
        <v/>
      </c>
      <c r="AC1201" s="7" t="str">
        <f>IFERROR(IF([1]对账明细接口!$X1201=0,"",[1]对账明细接口!$X1201),"")</f>
        <v/>
      </c>
      <c r="AD1201" s="7" t="str">
        <f>IFERROR(IF([1]对账明细接口!$Y1201=0,"",[1]对账明细接口!$Y1201),"")</f>
        <v/>
      </c>
      <c r="AE1201" s="7" t="str">
        <f>IFERROR(IF([1]对账明细接口!$AA1201=0,"",[1]对账明细接口!$AA1201),"")</f>
        <v/>
      </c>
      <c r="AF1201" s="7" t="str">
        <f>IFERROR(IF([1]对账明细接口!$AB1201=0,"",[1]对账明细接口!$AB1201),"")</f>
        <v/>
      </c>
      <c r="AG1201" s="7" t="str">
        <f>IFERROR(IF([1]对账明细接口!$AC1201=0,"",[1]对账明细接口!$AC1201),"")</f>
        <v/>
      </c>
      <c r="AH1201" s="7" t="str">
        <f>IFERROR(IF([1]对账明细接口!$AD1201=0,"",[1]对账明细接口!$AD1201),"")</f>
        <v/>
      </c>
      <c r="AI1201" s="7" t="str">
        <f>IFERROR(IF([1]对账明细接口!$AE1201=0,"",[1]对账明细接口!$AE1201),"")</f>
        <v/>
      </c>
      <c r="AJ1201" s="7" t="str">
        <f>IFERROR(IF([1]对账明细接口!$AF1201=0,"",[1]对账明细接口!$AF1201),"")</f>
        <v/>
      </c>
    </row>
    <row r="1202" ht="14.25" customHeight="1" spans="1:36">
      <c r="A1202" s="14">
        <v>1202</v>
      </c>
      <c r="B1202" s="15" t="str">
        <f>IFERROR(IF([1]对账明细接口!$B$1202=0,"",[1]对账明细接口!$B$1202),"")</f>
        <v/>
      </c>
      <c r="C1202" s="16" t="str">
        <f>IFERROR(IF([1]对账明细接口!$C$1202=0,"",[1]对账明细接口!$C$1202),"")</f>
        <v/>
      </c>
      <c r="D1202" s="16" t="str">
        <f>IFERROR(IF([1]对账明细接口!$D$1202=0,"",[1]对账明细接口!$D$1202),"")</f>
        <v/>
      </c>
      <c r="E1202" s="16" t="str">
        <f>IFERROR(IF([1]对账明细接口!$E$1202=0,"",[1]对账明细接口!$E$1202),"")</f>
        <v/>
      </c>
      <c r="F1202" s="16" t="str">
        <f>IFERROR(IF([1]对账明细接口!$F$1202=0,"",[1]对账明细接口!$F$1202),"")</f>
        <v/>
      </c>
      <c r="G1202" s="16" t="str">
        <f>IFERROR(IF([1]对账明细接口!$G$1202=0,"",[1]对账明细接口!$G$1202),"")</f>
        <v/>
      </c>
      <c r="H1202" s="17" t="str">
        <f>IFERROR(IF([1]对账明细接口!$H$1202=0,"",[1]对账明细接口!$H$1202),"")</f>
        <v/>
      </c>
      <c r="I1202" s="16" t="str">
        <f>IFERROR(IF([1]对账明细接口!$I$1202=0,"",[1]对账明细接口!$I$1202),"")</f>
        <v/>
      </c>
      <c r="J1202" s="18" t="str">
        <f>IFERROR(IF([1]对账明细接口!$J$1202=0,"",[1]对账明细接口!$J$1202),"")</f>
        <v/>
      </c>
      <c r="K1202" s="18" t="str">
        <f>IFERROR(IF([1]对账明细接口!$K$1202=0,"",[1]对账明细接口!$K$1202),"")</f>
        <v/>
      </c>
      <c r="L1202" s="16" t="str">
        <f>IFERROR(IF([1]对账明细接口!$L$1202=0,"",[1]对账明细接口!$L$1202),"")</f>
        <v/>
      </c>
      <c r="M1202" s="16" t="str">
        <f>IFERROR(IF([1]对账明细接口!$M$1202=0,"",[1]对账明细接口!$M$1202),"")</f>
        <v/>
      </c>
      <c r="N1202" s="19">
        <f t="shared" si="36"/>
        <v>0</v>
      </c>
      <c r="O1202" s="19">
        <f t="shared" si="37"/>
        <v>420</v>
      </c>
      <c r="S1202" s="20" t="str">
        <f>IFERROR(IF([1]对账明细接口!$N1202=0,"",[1]对账明细接口!$N1202),"")</f>
        <v/>
      </c>
      <c r="T1202" s="21" t="str">
        <f>IFERROR(IF([1]对账明细接口!$O1202=0,"",[1]对账明细接口!$O1202),"")</f>
        <v/>
      </c>
      <c r="U1202" s="21" t="str">
        <f>IFERROR(IF([1]对账明细接口!$P1202=0,"",[1]对账明细接口!$P1202),"")</f>
        <v/>
      </c>
      <c r="V1202" s="21" t="str">
        <f>IFERROR(IF([1]对账明细接口!$Q1202=0,"",[1]对账明细接口!$Q1202),"")</f>
        <v/>
      </c>
      <c r="W1202" s="20" t="str">
        <f>IFERROR(IF([1]对账明细接口!$R1202=0,"",[1]对账明细接口!$R1202),"")</f>
        <v/>
      </c>
      <c r="X1202" s="20" t="str">
        <f>IFERROR(IF([1]对账明细接口!$S1202=0,"",[1]对账明细接口!$S1202),"")</f>
        <v/>
      </c>
      <c r="Y1202" s="20" t="str">
        <f>IFERROR(IF([1]对账明细接口!$T1202=0,"",[1]对账明细接口!$T1202),"")</f>
        <v/>
      </c>
      <c r="Z1202" s="24" t="str">
        <f>IFERROR(IF([1]对账明细接口!$U1202=0,"",[1]对账明细接口!$U1202),"")</f>
        <v/>
      </c>
      <c r="AA1202" s="24" t="str">
        <f>IFERROR(IF([1]对账明细接口!$V1202=0,"",[1]对账明细接口!$V1202),"")</f>
        <v/>
      </c>
      <c r="AB1202" s="20" t="str">
        <f>IFERROR(IF([1]对账明细接口!$W1202=0,"",[1]对账明细接口!$W1202),"")</f>
        <v/>
      </c>
      <c r="AC1202" s="7" t="str">
        <f>IFERROR(IF([1]对账明细接口!$X1202=0,"",[1]对账明细接口!$X1202),"")</f>
        <v/>
      </c>
      <c r="AD1202" s="7" t="str">
        <f>IFERROR(IF([1]对账明细接口!$Y1202=0,"",[1]对账明细接口!$Y1202),"")</f>
        <v/>
      </c>
      <c r="AE1202" s="7" t="str">
        <f>IFERROR(IF([1]对账明细接口!$AA1202=0,"",[1]对账明细接口!$AA1202),"")</f>
        <v/>
      </c>
      <c r="AF1202" s="7" t="str">
        <f>IFERROR(IF([1]对账明细接口!$AB1202=0,"",[1]对账明细接口!$AB1202),"")</f>
        <v/>
      </c>
      <c r="AG1202" s="7" t="str">
        <f>IFERROR(IF([1]对账明细接口!$AC1202=0,"",[1]对账明细接口!$AC1202),"")</f>
        <v/>
      </c>
      <c r="AH1202" s="7" t="str">
        <f>IFERROR(IF([1]对账明细接口!$AD1202=0,"",[1]对账明细接口!$AD1202),"")</f>
        <v/>
      </c>
      <c r="AI1202" s="7" t="str">
        <f>IFERROR(IF([1]对账明细接口!$AE1202=0,"",[1]对账明细接口!$AE1202),"")</f>
        <v/>
      </c>
      <c r="AJ1202" s="7" t="str">
        <f>IFERROR(IF([1]对账明细接口!$AF1202=0,"",[1]对账明细接口!$AF1202),"")</f>
        <v/>
      </c>
    </row>
    <row r="1203" ht="14.25" customHeight="1" spans="1:36">
      <c r="A1203" s="14">
        <v>1203</v>
      </c>
      <c r="B1203" s="15" t="str">
        <f>IFERROR(IF([1]对账明细接口!$B$1203=0,"",[1]对账明细接口!$B$1203),"")</f>
        <v/>
      </c>
      <c r="C1203" s="16" t="str">
        <f>IFERROR(IF([1]对账明细接口!$C$1203=0,"",[1]对账明细接口!$C$1203),"")</f>
        <v/>
      </c>
      <c r="D1203" s="16" t="str">
        <f>IFERROR(IF([1]对账明细接口!$D$1203=0,"",[1]对账明细接口!$D$1203),"")</f>
        <v/>
      </c>
      <c r="E1203" s="16" t="str">
        <f>IFERROR(IF([1]对账明细接口!$E$1203=0,"",[1]对账明细接口!$E$1203),"")</f>
        <v/>
      </c>
      <c r="F1203" s="16" t="str">
        <f>IFERROR(IF([1]对账明细接口!$F$1203=0,"",[1]对账明细接口!$F$1203),"")</f>
        <v/>
      </c>
      <c r="G1203" s="16" t="str">
        <f>IFERROR(IF([1]对账明细接口!$G$1203=0,"",[1]对账明细接口!$G$1203),"")</f>
        <v/>
      </c>
      <c r="H1203" s="17" t="str">
        <f>IFERROR(IF([1]对账明细接口!$H$1203=0,"",[1]对账明细接口!$H$1203),"")</f>
        <v/>
      </c>
      <c r="I1203" s="16" t="str">
        <f>IFERROR(IF([1]对账明细接口!$I$1203=0,"",[1]对账明细接口!$I$1203),"")</f>
        <v/>
      </c>
      <c r="J1203" s="18" t="str">
        <f>IFERROR(IF([1]对账明细接口!$J$1203=0,"",[1]对账明细接口!$J$1203),"")</f>
        <v/>
      </c>
      <c r="K1203" s="18" t="str">
        <f>IFERROR(IF([1]对账明细接口!$K$1203=0,"",[1]对账明细接口!$K$1203),"")</f>
        <v/>
      </c>
      <c r="L1203" s="16" t="str">
        <f>IFERROR(IF([1]对账明细接口!$L$1203=0,"",[1]对账明细接口!$L$1203),"")</f>
        <v/>
      </c>
      <c r="M1203" s="16" t="str">
        <f>IFERROR(IF([1]对账明细接口!$M$1203=0,"",[1]对账明细接口!$M$1203),"")</f>
        <v/>
      </c>
      <c r="N1203" s="19">
        <f t="shared" si="36"/>
        <v>0</v>
      </c>
      <c r="O1203" s="19">
        <f t="shared" si="37"/>
        <v>420</v>
      </c>
      <c r="S1203" s="20" t="str">
        <f>IFERROR(IF([1]对账明细接口!$N1203=0,"",[1]对账明细接口!$N1203),"")</f>
        <v/>
      </c>
      <c r="T1203" s="21" t="str">
        <f>IFERROR(IF([1]对账明细接口!$O1203=0,"",[1]对账明细接口!$O1203),"")</f>
        <v/>
      </c>
      <c r="U1203" s="21" t="str">
        <f>IFERROR(IF([1]对账明细接口!$P1203=0,"",[1]对账明细接口!$P1203),"")</f>
        <v/>
      </c>
      <c r="V1203" s="21" t="str">
        <f>IFERROR(IF([1]对账明细接口!$Q1203=0,"",[1]对账明细接口!$Q1203),"")</f>
        <v/>
      </c>
      <c r="W1203" s="20" t="str">
        <f>IFERROR(IF([1]对账明细接口!$R1203=0,"",[1]对账明细接口!$R1203),"")</f>
        <v/>
      </c>
      <c r="X1203" s="20" t="str">
        <f>IFERROR(IF([1]对账明细接口!$S1203=0,"",[1]对账明细接口!$S1203),"")</f>
        <v/>
      </c>
      <c r="Y1203" s="20" t="str">
        <f>IFERROR(IF([1]对账明细接口!$T1203=0,"",[1]对账明细接口!$T1203),"")</f>
        <v/>
      </c>
      <c r="Z1203" s="24" t="str">
        <f>IFERROR(IF([1]对账明细接口!$U1203=0,"",[1]对账明细接口!$U1203),"")</f>
        <v/>
      </c>
      <c r="AA1203" s="24" t="str">
        <f>IFERROR(IF([1]对账明细接口!$V1203=0,"",[1]对账明细接口!$V1203),"")</f>
        <v/>
      </c>
      <c r="AB1203" s="20" t="str">
        <f>IFERROR(IF([1]对账明细接口!$W1203=0,"",[1]对账明细接口!$W1203),"")</f>
        <v/>
      </c>
      <c r="AC1203" s="7" t="str">
        <f>IFERROR(IF([1]对账明细接口!$X1203=0,"",[1]对账明细接口!$X1203),"")</f>
        <v/>
      </c>
      <c r="AD1203" s="7" t="str">
        <f>IFERROR(IF([1]对账明细接口!$Y1203=0,"",[1]对账明细接口!$Y1203),"")</f>
        <v/>
      </c>
      <c r="AE1203" s="7" t="str">
        <f>IFERROR(IF([1]对账明细接口!$AA1203=0,"",[1]对账明细接口!$AA1203),"")</f>
        <v/>
      </c>
      <c r="AF1203" s="7" t="str">
        <f>IFERROR(IF([1]对账明细接口!$AB1203=0,"",[1]对账明细接口!$AB1203),"")</f>
        <v/>
      </c>
      <c r="AG1203" s="7" t="str">
        <f>IFERROR(IF([1]对账明细接口!$AC1203=0,"",[1]对账明细接口!$AC1203),"")</f>
        <v/>
      </c>
      <c r="AH1203" s="7" t="str">
        <f>IFERROR(IF([1]对账明细接口!$AD1203=0,"",[1]对账明细接口!$AD1203),"")</f>
        <v/>
      </c>
      <c r="AI1203" s="7" t="str">
        <f>IFERROR(IF([1]对账明细接口!$AE1203=0,"",[1]对账明细接口!$AE1203),"")</f>
        <v/>
      </c>
      <c r="AJ1203" s="7" t="str">
        <f>IFERROR(IF([1]对账明细接口!$AF1203=0,"",[1]对账明细接口!$AF1203),"")</f>
        <v/>
      </c>
    </row>
  </sheetData>
  <mergeCells count="3">
    <mergeCell ref="A1:O1"/>
    <mergeCell ref="A2:O2"/>
    <mergeCell ref="Q6:R9"/>
  </mergeCells>
  <conditionalFormatting sqref="A2">
    <cfRule type="expression" dxfId="0" priority="2">
      <formula>$R$4=0</formula>
    </cfRule>
  </conditionalFormatting>
  <conditionalFormatting sqref="Q6">
    <cfRule type="expression" dxfId="0" priority="3">
      <formula>$R$4=0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AB1203"/>
  <sheetViews>
    <sheetView showGridLines="0" tabSelected="1" workbookViewId="0">
      <pane xSplit="1" ySplit="3" topLeftCell="B4" activePane="bottomRight" state="frozen"/>
      <selection/>
      <selection pane="topRight"/>
      <selection pane="bottomLeft"/>
      <selection pane="bottomRight" activeCell="D30" sqref="D30"/>
    </sheetView>
  </sheetViews>
  <sheetFormatPr defaultColWidth="9" defaultRowHeight="13.5"/>
  <cols>
    <col min="1" max="1" width="6" style="8" customWidth="1"/>
    <col min="2" max="2" width="12" style="8" customWidth="1"/>
    <col min="3" max="3" width="15" style="8" customWidth="1"/>
    <col min="4" max="4" width="22" style="8" customWidth="1"/>
    <col min="5" max="5" width="14" style="8" customWidth="1"/>
    <col min="6" max="6" width="11" style="8" customWidth="1"/>
    <col min="7" max="7" width="12" style="8" customWidth="1"/>
    <col min="8" max="8" width="11" style="8" customWidth="1"/>
    <col min="9" max="9" width="7" style="8" customWidth="1"/>
    <col min="10" max="10" width="12" style="8" customWidth="1"/>
    <col min="11" max="11" width="13" style="8" customWidth="1"/>
    <col min="12" max="12" width="11" style="8" customWidth="1"/>
    <col min="13" max="13" width="16" style="8" customWidth="1"/>
    <col min="14" max="15" width="6" style="8" customWidth="1"/>
    <col min="16" max="16" width="2" style="8" customWidth="1"/>
    <col min="17" max="17" width="13" style="8" customWidth="1"/>
    <col min="18" max="18" width="60" style="8" customWidth="1"/>
    <col min="19" max="19" width="13" style="8" customWidth="1"/>
    <col min="20" max="22" width="10" style="8" customWidth="1"/>
    <col min="23" max="23" width="12" style="8" customWidth="1"/>
    <col min="24" max="24" width="10" style="8" customWidth="1"/>
    <col min="25" max="16384" width="9" style="8"/>
  </cols>
  <sheetData>
    <row r="1" ht="30" customHeight="1" spans="1:28">
      <c r="A1" s="9" t="s">
        <v>220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Q1" s="10" t="s">
        <v>200</v>
      </c>
      <c r="R1" s="11">
        <f>MAX($O$4:$O$1203)</f>
        <v>165</v>
      </c>
    </row>
    <row r="2" ht="18" customHeight="1" spans="1:28">
      <c r="A2" s="12" t="str">
        <f>IF($R$4=1,"✔ 链接正常，已取到 "&amp;$R$1&amp;" 笔业务　｜　本表 1:1 对应《02 物料与周转物台账》的【对账明细接口】，三个文件必须放在同一个文件夹，文件名也不要改","★★ 链接没接上！→ 请看本表右边 Q6 格的修复说明（往右拉一屏）")</f>
        <v>✔ 链接正常，已取到 165 笔业务　｜　本表 1:1 对应《02 物料与周转物台账》的【对账明细接口】，三个文件必须放在同一个文件夹，文件名也不要改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Q2" s="10" t="s">
        <v>201</v>
      </c>
      <c r="R2" s="11" t="str">
        <f>IFERROR(IF([2]对账明细接口!$C$4=0,"未更新",[2]对账明细接口!$C$4),"断开")</f>
        <v>果然鲜</v>
      </c>
    </row>
    <row r="3" ht="30" customHeight="1" spans="1:28">
      <c r="A3" s="13" t="s">
        <v>202</v>
      </c>
      <c r="B3" s="13" t="s">
        <v>203</v>
      </c>
      <c r="C3" s="13" t="s">
        <v>189</v>
      </c>
      <c r="D3" s="13" t="s">
        <v>86</v>
      </c>
      <c r="E3" s="13" t="s">
        <v>82</v>
      </c>
      <c r="F3" s="13" t="s">
        <v>204</v>
      </c>
      <c r="G3" s="13" t="s">
        <v>205</v>
      </c>
      <c r="H3" s="13" t="s">
        <v>135</v>
      </c>
      <c r="I3" s="13" t="s">
        <v>113</v>
      </c>
      <c r="J3" s="13" t="s">
        <v>206</v>
      </c>
      <c r="K3" s="13" t="s">
        <v>221</v>
      </c>
      <c r="L3" s="13" t="s">
        <v>116</v>
      </c>
      <c r="M3" s="13" t="s">
        <v>186</v>
      </c>
      <c r="N3" s="13" t="s">
        <v>208</v>
      </c>
      <c r="O3" s="13" t="s">
        <v>209</v>
      </c>
      <c r="Q3" s="10" t="s">
        <v>210</v>
      </c>
      <c r="R3" s="11">
        <f>COUNTA($C$4:$C$1203)</f>
        <v>1200</v>
      </c>
      <c r="S3" s="13" t="s">
        <v>81</v>
      </c>
      <c r="T3" s="13" t="s">
        <v>211</v>
      </c>
      <c r="U3" s="13" t="s">
        <v>212</v>
      </c>
      <c r="V3" s="13" t="s">
        <v>213</v>
      </c>
      <c r="W3" s="13" t="s">
        <v>99</v>
      </c>
      <c r="X3" s="13" t="s">
        <v>214</v>
      </c>
      <c r="Y3" s="13" t="s">
        <v>215</v>
      </c>
      <c r="Z3" s="13" t="s">
        <v>167</v>
      </c>
      <c r="AA3" s="13" t="s">
        <v>166</v>
      </c>
      <c r="AB3" s="13" t="s">
        <v>170</v>
      </c>
    </row>
    <row r="4" customHeight="1" spans="1:28">
      <c r="A4" s="14">
        <v>4</v>
      </c>
      <c r="B4" s="15">
        <f>IFERROR(IF([2]对账明细接口!$B$4=0,"",[2]对账明细接口!$B$4),"")</f>
        <v>46266</v>
      </c>
      <c r="C4" s="16" t="str">
        <f>IFERROR(IF([2]对账明细接口!$C$4=0,"",[2]对账明细接口!$C$4),"")</f>
        <v>果然鲜</v>
      </c>
      <c r="D4" s="16" t="str">
        <f>IFERROR(IF([2]对账明细接口!$D$4=0,"",[2]对账明细接口!$D$4),"")</f>
        <v>包装物料－期初库存</v>
      </c>
      <c r="E4" s="16" t="str">
        <f>IFERROR(IF([2]对账明细接口!$E$4=0,"",[2]对账明细接口!$E$4),"")</f>
        <v/>
      </c>
      <c r="F4" s="16" t="str">
        <f>IFERROR(IF([2]对账明细接口!$F$4=0,"",[2]对账明细接口!$F$4),"")</f>
        <v>气泡垫</v>
      </c>
      <c r="G4" s="16" t="str">
        <f>IFERROR(IF([2]对账明细接口!$G$4=0,"",[2]对账明细接口!$G$4),"")</f>
        <v>*1000</v>
      </c>
      <c r="H4" s="17">
        <f>IFERROR(IF([2]对账明细接口!$H$4=0,"",[2]对账明细接口!$H$4),"")</f>
        <v>13800</v>
      </c>
      <c r="I4" s="16" t="str">
        <f>IFERROR(IF([2]对账明细接口!$I$4=0,"",[2]对账明细接口!$I$4),"")</f>
        <v>片</v>
      </c>
      <c r="J4" s="18" t="str">
        <f>IFERROR(IF([2]对账明细接口!$J$4=0,"",[2]对账明细接口!$J$4),"")</f>
        <v/>
      </c>
      <c r="K4" s="18" t="str">
        <f>IFERROR(IF([2]对账明细接口!$K$4=0,"",[2]对账明细接口!$K$4),"")</f>
        <v/>
      </c>
      <c r="L4" s="16" t="str">
        <f>IFERROR(IF([2]对账明细接口!$L$4=0,"",[2]对账明细接口!$L$4),"")</f>
        <v/>
      </c>
      <c r="M4" s="16" t="str">
        <f>IFERROR(IF([2]对账明细接口!$M$4=0,"",[2]对账明细接口!$M$4),"")</f>
        <v/>
      </c>
      <c r="N4" s="19">
        <f t="shared" ref="N4:N67" si="0">IF($C4="",0,1)</f>
        <v>1</v>
      </c>
      <c r="O4" s="19">
        <f t="shared" ref="O4:O67" si="1">N(O3)+$N4</f>
        <v>1</v>
      </c>
      <c r="Q4" s="10" t="s">
        <v>219</v>
      </c>
      <c r="R4" s="11">
        <f>IF(OR($R$2="断开",$R$2="未更新"),0,1)</f>
        <v>1</v>
      </c>
      <c r="S4" s="20" t="str">
        <f>IFERROR(IF([2]对账明细接口!$N4=0,"",[2]对账明细接口!$N4),"")</f>
        <v/>
      </c>
      <c r="T4" s="21" t="str">
        <f>IFERROR(IF([2]对账明细接口!$O4=0,"",[2]对账明细接口!$O4),"")</f>
        <v/>
      </c>
      <c r="U4" s="21" t="str">
        <f>IFERROR(IF([2]对账明细接口!$P4=0,"",[2]对账明细接口!$P4),"")</f>
        <v/>
      </c>
      <c r="V4" s="21" t="str">
        <f>IFERROR(IF([2]对账明细接口!$Q4=0,"",[2]对账明细接口!$Q4),"")</f>
        <v/>
      </c>
      <c r="W4" s="20" t="str">
        <f>IFERROR(IF([2]对账明细接口!$R4=0,"",[2]对账明细接口!$R4),"")</f>
        <v/>
      </c>
      <c r="X4" s="20" t="str">
        <f>IFERROR(IF([2]对账明细接口!$S4=0,"",[2]对账明细接口!$S4),"")</f>
        <v/>
      </c>
      <c r="Y4" s="20" t="str">
        <f t="shared" ref="Y4:Y67" si="2">""</f>
        <v/>
      </c>
      <c r="Z4" s="20" t="str">
        <f t="shared" ref="Z4:Z67" si="3">""</f>
        <v/>
      </c>
      <c r="AA4" s="20" t="str">
        <f t="shared" ref="AA4:AA67" si="4">""</f>
        <v/>
      </c>
      <c r="AB4" s="20" t="str">
        <f t="shared" ref="AB4:AB67" si="5">""</f>
        <v/>
      </c>
    </row>
    <row r="5" customHeight="1" spans="1:28">
      <c r="A5" s="14">
        <v>5</v>
      </c>
      <c r="B5" s="15">
        <f>IFERROR(IF([2]对账明细接口!$B$5=0,"",[2]对账明细接口!$B$5),"")</f>
        <v>46266</v>
      </c>
      <c r="C5" s="16" t="str">
        <f>IFERROR(IF([2]对账明细接口!$C$5=0,"",[2]对账明细接口!$C$5),"")</f>
        <v>果然鲜</v>
      </c>
      <c r="D5" s="16" t="str">
        <f>IFERROR(IF([2]对账明细接口!$D$5=0,"",[2]对账明细接口!$D$5),"")</f>
        <v>包装物料－期初库存</v>
      </c>
      <c r="E5" s="16" t="str">
        <f>IFERROR(IF([2]对账明细接口!$E$5=0,"",[2]对账明细接口!$E$5),"")</f>
        <v/>
      </c>
      <c r="F5" s="16" t="str">
        <f>IFERROR(IF([2]对账明细接口!$F$5=0,"",[2]对账明细接口!$F$5),"")</f>
        <v>无纺布</v>
      </c>
      <c r="G5" s="16" t="str">
        <f>IFERROR(IF([2]对账明细接口!$G$5=0,"",[2]对账明细接口!$G$5),"")</f>
        <v>*400</v>
      </c>
      <c r="H5" s="17">
        <f>IFERROR(IF([2]对账明细接口!$H$5=0,"",[2]对账明细接口!$H$5),"")</f>
        <v>2400</v>
      </c>
      <c r="I5" s="16" t="str">
        <f>IFERROR(IF([2]对账明细接口!$I$5=0,"",[2]对账明细接口!$I$5),"")</f>
        <v>个</v>
      </c>
      <c r="J5" s="18" t="str">
        <f>IFERROR(IF([2]对账明细接口!$J$5=0,"",[2]对账明细接口!$J$5),"")</f>
        <v/>
      </c>
      <c r="K5" s="18" t="str">
        <f>IFERROR(IF([2]对账明细接口!$K$5=0,"",[2]对账明细接口!$K$5),"")</f>
        <v/>
      </c>
      <c r="L5" s="16" t="str">
        <f>IFERROR(IF([2]对账明细接口!$L$5=0,"",[2]对账明细接口!$L$5),"")</f>
        <v/>
      </c>
      <c r="M5" s="16" t="str">
        <f>IFERROR(IF([2]对账明细接口!$M$5=0,"",[2]对账明细接口!$M$5),"")</f>
        <v/>
      </c>
      <c r="N5" s="19">
        <f t="shared" si="0"/>
        <v>1</v>
      </c>
      <c r="O5" s="19">
        <f t="shared" si="1"/>
        <v>2</v>
      </c>
      <c r="S5" s="20" t="str">
        <f>IFERROR(IF([2]对账明细接口!$N5=0,"",[2]对账明细接口!$N5),"")</f>
        <v/>
      </c>
      <c r="T5" s="21" t="str">
        <f>IFERROR(IF([2]对账明细接口!$O5=0,"",[2]对账明细接口!$O5),"")</f>
        <v/>
      </c>
      <c r="U5" s="21" t="str">
        <f>IFERROR(IF([2]对账明细接口!$P5=0,"",[2]对账明细接口!$P5),"")</f>
        <v/>
      </c>
      <c r="V5" s="21" t="str">
        <f>IFERROR(IF([2]对账明细接口!$Q5=0,"",[2]对账明细接口!$Q5),"")</f>
        <v/>
      </c>
      <c r="W5" s="20" t="str">
        <f>IFERROR(IF([2]对账明细接口!$R5=0,"",[2]对账明细接口!$R5),"")</f>
        <v/>
      </c>
      <c r="X5" s="20" t="str">
        <f>IFERROR(IF([2]对账明细接口!$S5=0,"",[2]对账明细接口!$S5),"")</f>
        <v/>
      </c>
      <c r="Y5" s="20" t="str">
        <f t="shared" si="2"/>
        <v/>
      </c>
      <c r="Z5" s="20" t="str">
        <f t="shared" si="3"/>
        <v/>
      </c>
      <c r="AA5" s="20" t="str">
        <f t="shared" si="4"/>
        <v/>
      </c>
      <c r="AB5" s="20" t="str">
        <f t="shared" si="5"/>
        <v/>
      </c>
    </row>
    <row r="6" customHeight="1" spans="1:28">
      <c r="A6" s="14">
        <v>6</v>
      </c>
      <c r="B6" s="15">
        <f>IFERROR(IF([2]对账明细接口!$B$6=0,"",[2]对账明细接口!$B$6),"")</f>
        <v>46266</v>
      </c>
      <c r="C6" s="16" t="str">
        <f>IFERROR(IF([2]对账明细接口!$C$6=0,"",[2]对账明细接口!$C$6),"")</f>
        <v>果然鲜</v>
      </c>
      <c r="D6" s="16" t="str">
        <f>IFERROR(IF([2]对账明细接口!$D$6=0,"",[2]对账明细接口!$D$6),"")</f>
        <v>包装物料－期初库存</v>
      </c>
      <c r="E6" s="16" t="str">
        <f>IFERROR(IF([2]对账明细接口!$E$6=0,"",[2]对账明细接口!$E$6),"")</f>
        <v/>
      </c>
      <c r="F6" s="16" t="str">
        <f>IFERROR(IF([2]对账明细接口!$F$6=0,"",[2]对账明细接口!$F$6),"")</f>
        <v>纸垫板</v>
      </c>
      <c r="G6" s="16" t="str">
        <f>IFERROR(IF([2]对账明细接口!$G$6=0,"",[2]对账明细接口!$G$6),"")</f>
        <v>*100张</v>
      </c>
      <c r="H6" s="17">
        <f>IFERROR(IF([2]对账明细接口!$H$6=0,"",[2]对账明细接口!$H$6),"")</f>
        <v>8700</v>
      </c>
      <c r="I6" s="16" t="str">
        <f>IFERROR(IF([2]对账明细接口!$I$6=0,"",[2]对账明细接口!$I$6),"")</f>
        <v>张</v>
      </c>
      <c r="J6" s="18" t="str">
        <f>IFERROR(IF([2]对账明细接口!$J$6=0,"",[2]对账明细接口!$J$6),"")</f>
        <v/>
      </c>
      <c r="K6" s="18" t="str">
        <f>IFERROR(IF([2]对账明细接口!$K$6=0,"",[2]对账明细接口!$K$6),"")</f>
        <v/>
      </c>
      <c r="L6" s="16" t="str">
        <f>IFERROR(IF([2]对账明细接口!$L$6=0,"",[2]对账明细接口!$L$6),"")</f>
        <v/>
      </c>
      <c r="M6" s="16" t="str">
        <f>IFERROR(IF([2]对账明细接口!$M$6=0,"",[2]对账明细接口!$M$6),"")</f>
        <v/>
      </c>
      <c r="N6" s="19">
        <f t="shared" si="0"/>
        <v>1</v>
      </c>
      <c r="O6" s="19">
        <f t="shared" si="1"/>
        <v>3</v>
      </c>
      <c r="Q6" s="22" t="str">
        <f>IF($R$4=1,"✔ 链接正常，已自动取到 "&amp;$R$1&amp;" 笔业务。","★★ 取不到《02_物料与周转物台账模板.xlsx》的数据。可能是：① 打开本文件时没点【更新】；② 那个文件被改名或挪走了。修复：菜单【数据】→【编辑链接】→先点【立即更新值】；还取不到数就点【更改源】重新指向《02_物料与周转物台账模板.xlsx》。注意：本册只是查询工具，取不到数就是空的，不会算错账，放心。")</f>
        <v>✔ 链接正常，已自动取到 165 笔业务。</v>
      </c>
      <c r="R6" s="22"/>
      <c r="S6" s="20" t="str">
        <f>IFERROR(IF([2]对账明细接口!$N6=0,"",[2]对账明细接口!$N6),"")</f>
        <v/>
      </c>
      <c r="T6" s="21" t="str">
        <f>IFERROR(IF([2]对账明细接口!$O6=0,"",[2]对账明细接口!$O6),"")</f>
        <v/>
      </c>
      <c r="U6" s="21" t="str">
        <f>IFERROR(IF([2]对账明细接口!$P6=0,"",[2]对账明细接口!$P6),"")</f>
        <v/>
      </c>
      <c r="V6" s="21" t="str">
        <f>IFERROR(IF([2]对账明细接口!$Q6=0,"",[2]对账明细接口!$Q6),"")</f>
        <v/>
      </c>
      <c r="W6" s="20" t="str">
        <f>IFERROR(IF([2]对账明细接口!$R6=0,"",[2]对账明细接口!$R6),"")</f>
        <v/>
      </c>
      <c r="X6" s="20" t="str">
        <f>IFERROR(IF([2]对账明细接口!$S6=0,"",[2]对账明细接口!$S6),"")</f>
        <v/>
      </c>
      <c r="Y6" s="20" t="str">
        <f t="shared" si="2"/>
        <v/>
      </c>
      <c r="Z6" s="20" t="str">
        <f t="shared" si="3"/>
        <v/>
      </c>
      <c r="AA6" s="20" t="str">
        <f t="shared" si="4"/>
        <v/>
      </c>
      <c r="AB6" s="20" t="str">
        <f t="shared" si="5"/>
        <v/>
      </c>
    </row>
    <row r="7" customHeight="1" spans="1:28">
      <c r="A7" s="14">
        <v>7</v>
      </c>
      <c r="B7" s="15">
        <f>IFERROR(IF([2]对账明细接口!$B$7=0,"",[2]对账明细接口!$B$7),"")</f>
        <v>46266</v>
      </c>
      <c r="C7" s="16" t="str">
        <f>IFERROR(IF([2]对账明细接口!$C$7=0,"",[2]对账明细接口!$C$7),"")</f>
        <v>果然鲜</v>
      </c>
      <c r="D7" s="16" t="str">
        <f>IFERROR(IF([2]对账明细接口!$D$7=0,"",[2]对账明细接口!$D$7),"")</f>
        <v>包装物料－期初库存</v>
      </c>
      <c r="E7" s="16" t="str">
        <f>IFERROR(IF([2]对账明细接口!$E$7=0,"",[2]对账明细接口!$E$7),"")</f>
        <v/>
      </c>
      <c r="F7" s="16" t="str">
        <f>IFERROR(IF([2]对账明细接口!$F$7=0,"",[2]对账明细接口!$F$7),"")</f>
        <v>香梨纸</v>
      </c>
      <c r="G7" s="16" t="str">
        <f>IFERROR(IF([2]对账明细接口!$G$7=0,"",[2]对账明细接口!$G$7),"")</f>
        <v>*捆</v>
      </c>
      <c r="H7" s="17">
        <f>IFERROR(IF([2]对账明细接口!$H$7=0,"",[2]对账明细接口!$H$7),"")</f>
        <v>48</v>
      </c>
      <c r="I7" s="16" t="str">
        <f>IFERROR(IF([2]对账明细接口!$I$7=0,"",[2]对账明细接口!$I$7),"")</f>
        <v>捆</v>
      </c>
      <c r="J7" s="18" t="str">
        <f>IFERROR(IF([2]对账明细接口!$J$7=0,"",[2]对账明细接口!$J$7),"")</f>
        <v/>
      </c>
      <c r="K7" s="18" t="str">
        <f>IFERROR(IF([2]对账明细接口!$K$7=0,"",[2]对账明细接口!$K$7),"")</f>
        <v/>
      </c>
      <c r="L7" s="16" t="str">
        <f>IFERROR(IF([2]对账明细接口!$L$7=0,"",[2]对账明细接口!$L$7),"")</f>
        <v/>
      </c>
      <c r="M7" s="16" t="str">
        <f>IFERROR(IF([2]对账明细接口!$M$7=0,"",[2]对账明细接口!$M$7),"")</f>
        <v/>
      </c>
      <c r="N7" s="19">
        <f t="shared" si="0"/>
        <v>1</v>
      </c>
      <c r="O7" s="19">
        <f t="shared" si="1"/>
        <v>4</v>
      </c>
      <c r="Q7" s="22"/>
      <c r="R7" s="22"/>
      <c r="S7" s="20" t="str">
        <f>IFERROR(IF([2]对账明细接口!$N7=0,"",[2]对账明细接口!$N7),"")</f>
        <v/>
      </c>
      <c r="T7" s="21" t="str">
        <f>IFERROR(IF([2]对账明细接口!$O7=0,"",[2]对账明细接口!$O7),"")</f>
        <v/>
      </c>
      <c r="U7" s="21" t="str">
        <f>IFERROR(IF([2]对账明细接口!$P7=0,"",[2]对账明细接口!$P7),"")</f>
        <v/>
      </c>
      <c r="V7" s="21" t="str">
        <f>IFERROR(IF([2]对账明细接口!$Q7=0,"",[2]对账明细接口!$Q7),"")</f>
        <v/>
      </c>
      <c r="W7" s="20" t="str">
        <f>IFERROR(IF([2]对账明细接口!$R7=0,"",[2]对账明细接口!$R7),"")</f>
        <v/>
      </c>
      <c r="X7" s="20" t="str">
        <f>IFERROR(IF([2]对账明细接口!$S7=0,"",[2]对账明细接口!$S7),"")</f>
        <v/>
      </c>
      <c r="Y7" s="20" t="str">
        <f t="shared" si="2"/>
        <v/>
      </c>
      <c r="Z7" s="20" t="str">
        <f t="shared" si="3"/>
        <v/>
      </c>
      <c r="AA7" s="20" t="str">
        <f t="shared" si="4"/>
        <v/>
      </c>
      <c r="AB7" s="20" t="str">
        <f t="shared" si="5"/>
        <v/>
      </c>
    </row>
    <row r="8" customHeight="1" spans="1:28">
      <c r="A8" s="14">
        <v>8</v>
      </c>
      <c r="B8" s="15">
        <f>IFERROR(IF([2]对账明细接口!$B$8=0,"",[2]对账明细接口!$B$8),"")</f>
        <v>46266</v>
      </c>
      <c r="C8" s="16" t="str">
        <f>IFERROR(IF([2]对账明细接口!$C$8=0,"",[2]对账明细接口!$C$8),"")</f>
        <v>果然鲜</v>
      </c>
      <c r="D8" s="16" t="str">
        <f>IFERROR(IF([2]对账明细接口!$D$8=0,"",[2]对账明细接口!$D$8),"")</f>
        <v>包装物料－期初库存</v>
      </c>
      <c r="E8" s="16" t="str">
        <f>IFERROR(IF([2]对账明细接口!$E$8=0,"",[2]对账明细接口!$E$8),"")</f>
        <v/>
      </c>
      <c r="F8" s="16" t="str">
        <f>IFERROR(IF([2]对账明细接口!$F$8=0,"",[2]对账明细接口!$F$8),"")</f>
        <v>冷煤/氟利昂</v>
      </c>
      <c r="G8" s="16" t="str">
        <f>IFERROR(IF([2]对账明细接口!$G$8=0,"",[2]对账明细接口!$G$8),"")</f>
        <v>*瓶</v>
      </c>
      <c r="H8" s="17">
        <f>IFERROR(IF([2]对账明细接口!$H$8=0,"",[2]对账明细接口!$H$8),"")</f>
        <v>23</v>
      </c>
      <c r="I8" s="16" t="str">
        <f>IFERROR(IF([2]对账明细接口!$I$8=0,"",[2]对账明细接口!$I$8),"")</f>
        <v>瓶</v>
      </c>
      <c r="J8" s="18" t="str">
        <f>IFERROR(IF([2]对账明细接口!$J$8=0,"",[2]对账明细接口!$J$8),"")</f>
        <v/>
      </c>
      <c r="K8" s="18" t="str">
        <f>IFERROR(IF([2]对账明细接口!$K$8=0,"",[2]对账明细接口!$K$8),"")</f>
        <v/>
      </c>
      <c r="L8" s="16" t="str">
        <f>IFERROR(IF([2]对账明细接口!$L$8=0,"",[2]对账明细接口!$L$8),"")</f>
        <v/>
      </c>
      <c r="M8" s="16" t="str">
        <f>IFERROR(IF([2]对账明细接口!$M$8=0,"",[2]对账明细接口!$M$8),"")</f>
        <v/>
      </c>
      <c r="N8" s="19">
        <f t="shared" si="0"/>
        <v>1</v>
      </c>
      <c r="O8" s="19">
        <f t="shared" si="1"/>
        <v>5</v>
      </c>
      <c r="Q8" s="22"/>
      <c r="R8" s="22"/>
      <c r="S8" s="20" t="str">
        <f>IFERROR(IF([2]对账明细接口!$N8=0,"",[2]对账明细接口!$N8),"")</f>
        <v/>
      </c>
      <c r="T8" s="21" t="str">
        <f>IFERROR(IF([2]对账明细接口!$O8=0,"",[2]对账明细接口!$O8),"")</f>
        <v/>
      </c>
      <c r="U8" s="21" t="str">
        <f>IFERROR(IF([2]对账明细接口!$P8=0,"",[2]对账明细接口!$P8),"")</f>
        <v/>
      </c>
      <c r="V8" s="21" t="str">
        <f>IFERROR(IF([2]对账明细接口!$Q8=0,"",[2]对账明细接口!$Q8),"")</f>
        <v/>
      </c>
      <c r="W8" s="20" t="str">
        <f>IFERROR(IF([2]对账明细接口!$R8=0,"",[2]对账明细接口!$R8),"")</f>
        <v/>
      </c>
      <c r="X8" s="20" t="str">
        <f>IFERROR(IF([2]对账明细接口!$S8=0,"",[2]对账明细接口!$S8),"")</f>
        <v/>
      </c>
      <c r="Y8" s="20" t="str">
        <f t="shared" si="2"/>
        <v/>
      </c>
      <c r="Z8" s="20" t="str">
        <f t="shared" si="3"/>
        <v/>
      </c>
      <c r="AA8" s="20" t="str">
        <f t="shared" si="4"/>
        <v/>
      </c>
      <c r="AB8" s="20" t="str">
        <f t="shared" si="5"/>
        <v/>
      </c>
    </row>
    <row r="9" customHeight="1" spans="1:28">
      <c r="A9" s="14">
        <v>9</v>
      </c>
      <c r="B9" s="15">
        <f>IFERROR(IF([2]对账明细接口!$B$9=0,"",[2]对账明细接口!$B$9),"")</f>
        <v>46266</v>
      </c>
      <c r="C9" s="16" t="str">
        <f>IFERROR(IF([2]对账明细接口!$C$9=0,"",[2]对账明细接口!$C$9),"")</f>
        <v>果然鲜</v>
      </c>
      <c r="D9" s="16" t="str">
        <f>IFERROR(IF([2]对账明细接口!$D$9=0,"",[2]对账明细接口!$D$9),"")</f>
        <v>包装物料－期初库存</v>
      </c>
      <c r="E9" s="16" t="str">
        <f>IFERROR(IF([2]对账明细接口!$E$9=0,"",[2]对账明细接口!$E$9),"")</f>
        <v/>
      </c>
      <c r="F9" s="16" t="str">
        <f>IFERROR(IF([2]对账明细接口!$F$9=0,"",[2]对账明细接口!$F$9),"")</f>
        <v>胶带</v>
      </c>
      <c r="G9" s="16" t="str">
        <f>IFERROR(IF([2]对账明细接口!$G$9=0,"",[2]对账明细接口!$G$9),"")</f>
        <v>*30卷</v>
      </c>
      <c r="H9" s="17">
        <f>IFERROR(IF([2]对账明细接口!$H$9=0,"",[2]对账明细接口!$H$9),"")</f>
        <v>2</v>
      </c>
      <c r="I9" s="16" t="str">
        <f>IFERROR(IF([2]对账明细接口!$I$9=0,"",[2]对账明细接口!$I$9),"")</f>
        <v>卷</v>
      </c>
      <c r="J9" s="18" t="str">
        <f>IFERROR(IF([2]对账明细接口!$J$9=0,"",[2]对账明细接口!$J$9),"")</f>
        <v/>
      </c>
      <c r="K9" s="18" t="str">
        <f>IFERROR(IF([2]对账明细接口!$K$9=0,"",[2]对账明细接口!$K$9),"")</f>
        <v/>
      </c>
      <c r="L9" s="16" t="str">
        <f>IFERROR(IF([2]对账明细接口!$L$9=0,"",[2]对账明细接口!$L$9),"")</f>
        <v/>
      </c>
      <c r="M9" s="16" t="str">
        <f>IFERROR(IF([2]对账明细接口!$M$9=0,"",[2]对账明细接口!$M$9),"")</f>
        <v/>
      </c>
      <c r="N9" s="19">
        <f t="shared" si="0"/>
        <v>1</v>
      </c>
      <c r="O9" s="19">
        <f t="shared" si="1"/>
        <v>6</v>
      </c>
      <c r="Q9" s="22"/>
      <c r="R9" s="22"/>
      <c r="S9" s="20" t="str">
        <f>IFERROR(IF([2]对账明细接口!$N9=0,"",[2]对账明细接口!$N9),"")</f>
        <v/>
      </c>
      <c r="T9" s="21" t="str">
        <f>IFERROR(IF([2]对账明细接口!$O9=0,"",[2]对账明细接口!$O9),"")</f>
        <v/>
      </c>
      <c r="U9" s="21" t="str">
        <f>IFERROR(IF([2]对账明细接口!$P9=0,"",[2]对账明细接口!$P9),"")</f>
        <v/>
      </c>
      <c r="V9" s="21" t="str">
        <f>IFERROR(IF([2]对账明细接口!$Q9=0,"",[2]对账明细接口!$Q9),"")</f>
        <v/>
      </c>
      <c r="W9" s="20" t="str">
        <f>IFERROR(IF([2]对账明细接口!$R9=0,"",[2]对账明细接口!$R9),"")</f>
        <v/>
      </c>
      <c r="X9" s="20" t="str">
        <f>IFERROR(IF([2]对账明细接口!$S9=0,"",[2]对账明细接口!$S9),"")</f>
        <v/>
      </c>
      <c r="Y9" s="20" t="str">
        <f t="shared" si="2"/>
        <v/>
      </c>
      <c r="Z9" s="20" t="str">
        <f t="shared" si="3"/>
        <v/>
      </c>
      <c r="AA9" s="20" t="str">
        <f t="shared" si="4"/>
        <v/>
      </c>
      <c r="AB9" s="20" t="str">
        <f t="shared" si="5"/>
        <v/>
      </c>
    </row>
    <row r="10" customHeight="1" spans="1:28">
      <c r="A10" s="14">
        <v>10</v>
      </c>
      <c r="B10" s="15">
        <f>IFERROR(IF([2]对账明细接口!$B$10=0,"",[2]对账明细接口!$B$10),"")</f>
        <v>46266</v>
      </c>
      <c r="C10" s="16" t="str">
        <f>IFERROR(IF([2]对账明细接口!$C$10=0,"",[2]对账明细接口!$C$10),"")</f>
        <v>新顺发泡网</v>
      </c>
      <c r="D10" s="16" t="str">
        <f>IFERROR(IF([2]对账明细接口!$D$10=0,"",[2]对账明细接口!$D$10),"")</f>
        <v>包装物料－采购入库</v>
      </c>
      <c r="E10" s="16" t="str">
        <f>IFERROR(IF([2]对账明细接口!$E$10=0,"",[2]对账明细接口!$E$10),"")</f>
        <v>NO:0000743</v>
      </c>
      <c r="F10" s="16" t="str">
        <f>IFERROR(IF([2]对账明细接口!$F$10=0,"",[2]对账明细接口!$F$10),"")</f>
        <v>香梨网</v>
      </c>
      <c r="G10" s="16" t="str">
        <f>IFERROR(IF([2]对账明细接口!$G$10=0,"",[2]对账明细接口!$G$10),"")</f>
        <v>*包</v>
      </c>
      <c r="H10" s="17">
        <f>IFERROR(IF([2]对账明细接口!$H$10=0,"",[2]对账明细接口!$H$10),"")</f>
        <v>644</v>
      </c>
      <c r="I10" s="16" t="str">
        <f>IFERROR(IF([2]对账明细接口!$I$10=0,"",[2]对账明细接口!$I$10),"")</f>
        <v>包</v>
      </c>
      <c r="J10" s="18" t="str">
        <f>IFERROR(IF([2]对账明细接口!$J$10=0,"",[2]对账明细接口!$J$10),"")</f>
        <v/>
      </c>
      <c r="K10" s="18">
        <f>IFERROR(IF([2]对账明细接口!$K$10=0,"",[2]对账明细接口!$K$10),"")</f>
        <v>23828</v>
      </c>
      <c r="L10" s="16" t="str">
        <f>IFERROR(IF([2]对账明细接口!$L$10=0,"",[2]对账明细接口!$L$10),"")</f>
        <v>已付款</v>
      </c>
      <c r="M10" s="16" t="str">
        <f>IFERROR(IF([2]对账明细接口!$M$10=0,"",[2]对账明细接口!$M$10),"")</f>
        <v>12#</v>
      </c>
      <c r="N10" s="19">
        <f t="shared" si="0"/>
        <v>1</v>
      </c>
      <c r="O10" s="19">
        <f t="shared" si="1"/>
        <v>7</v>
      </c>
      <c r="S10" s="20" t="str">
        <f>IFERROR(IF([2]对账明细接口!$N10=0,"",[2]对账明细接口!$N10),"")</f>
        <v/>
      </c>
      <c r="T10" s="21" t="str">
        <f>IFERROR(IF([2]对账明细接口!$O10=0,"",[2]对账明细接口!$O10),"")</f>
        <v/>
      </c>
      <c r="U10" s="21" t="str">
        <f>IFERROR(IF([2]对账明细接口!$P10=0,"",[2]对账明细接口!$P10),"")</f>
        <v/>
      </c>
      <c r="V10" s="21" t="str">
        <f>IFERROR(IF([2]对账明细接口!$Q10=0,"",[2]对账明细接口!$Q10),"")</f>
        <v/>
      </c>
      <c r="W10" s="20" t="str">
        <f>IFERROR(IF([2]对账明细接口!$R10=0,"",[2]对账明细接口!$R10),"")</f>
        <v>新Q*48887</v>
      </c>
      <c r="X10" s="20" t="str">
        <f>IFERROR(IF([2]对账明细接口!$S10=0,"",[2]对账明细接口!$S10),"")</f>
        <v/>
      </c>
      <c r="Y10" s="20" t="str">
        <f t="shared" si="2"/>
        <v/>
      </c>
      <c r="Z10" s="20" t="str">
        <f t="shared" si="3"/>
        <v/>
      </c>
      <c r="AA10" s="20" t="str">
        <f t="shared" si="4"/>
        <v/>
      </c>
      <c r="AB10" s="20" t="str">
        <f t="shared" si="5"/>
        <v/>
      </c>
    </row>
    <row r="11" customHeight="1" spans="1:28">
      <c r="A11" s="14">
        <v>11</v>
      </c>
      <c r="B11" s="15">
        <f>IFERROR(IF([2]对账明细接口!$B$11=0,"",[2]对账明细接口!$B$11),"")</f>
        <v>46267</v>
      </c>
      <c r="C11" s="16" t="str">
        <f>IFERROR(IF([2]对账明细接口!$C$11=0,"",[2]对账明细接口!$C$11),"")</f>
        <v>吐尔洪</v>
      </c>
      <c r="D11" s="16" t="str">
        <f>IFERROR(IF([2]对账明细接口!$D$11=0,"",[2]对账明细接口!$D$11),"")</f>
        <v>包装物料－领用出库</v>
      </c>
      <c r="E11" s="16" t="str">
        <f>IFERROR(IF([2]对账明细接口!$E$11=0,"",[2]对账明细接口!$E$11),"")</f>
        <v>NO:0001067</v>
      </c>
      <c r="F11" s="16" t="str">
        <f>IFERROR(IF([2]对账明细接口!$F$11=0,"",[2]对账明细接口!$F$11),"")</f>
        <v>香梨网</v>
      </c>
      <c r="G11" s="16" t="str">
        <f>IFERROR(IF([2]对账明细接口!$G$11=0,"",[2]对账明细接口!$G$11),"")</f>
        <v>*包</v>
      </c>
      <c r="H11" s="17">
        <f>IFERROR(IF([2]对账明细接口!$H$11=0,"",[2]对账明细接口!$H$11),"")</f>
        <v>24</v>
      </c>
      <c r="I11" s="16" t="str">
        <f>IFERROR(IF([2]对账明细接口!$I$11=0,"",[2]对账明细接口!$I$11),"")</f>
        <v>包</v>
      </c>
      <c r="J11" s="18" t="str">
        <f>IFERROR(IF([2]对账明细接口!$J$11=0,"",[2]对账明细接口!$J$11),"")</f>
        <v/>
      </c>
      <c r="K11" s="18">
        <f>IFERROR(IF([2]对账明细接口!$K$11=0,"",[2]对账明细接口!$K$11),"")</f>
        <v>1080</v>
      </c>
      <c r="L11" s="16" t="str">
        <f>IFERROR(IF([2]对账明细接口!$L$11=0,"",[2]对账明细接口!$L$11),"")</f>
        <v>未付款</v>
      </c>
      <c r="M11" s="16" t="str">
        <f>IFERROR(IF([2]对账明细接口!$M$11=0,"",[2]对账明细接口!$M$11),"")</f>
        <v/>
      </c>
      <c r="N11" s="19">
        <f t="shared" si="0"/>
        <v>1</v>
      </c>
      <c r="O11" s="19">
        <f t="shared" si="1"/>
        <v>8</v>
      </c>
      <c r="S11" s="20" t="str">
        <f>IFERROR(IF([2]对账明细接口!$N11=0,"",[2]对账明细接口!$N11),"")</f>
        <v/>
      </c>
      <c r="T11" s="21" t="str">
        <f>IFERROR(IF([2]对账明细接口!$O11=0,"",[2]对账明细接口!$O11),"")</f>
        <v/>
      </c>
      <c r="U11" s="21" t="str">
        <f>IFERROR(IF([2]对账明细接口!$P11=0,"",[2]对账明细接口!$P11),"")</f>
        <v/>
      </c>
      <c r="V11" s="21" t="str">
        <f>IFERROR(IF([2]对账明细接口!$Q11=0,"",[2]对账明细接口!$Q11),"")</f>
        <v/>
      </c>
      <c r="W11" s="20" t="str">
        <f>IFERROR(IF([2]对账明细接口!$R11=0,"",[2]对账明细接口!$R11),"")</f>
        <v>新N*X8S48</v>
      </c>
      <c r="X11" s="20" t="str">
        <f>IFERROR(IF([2]对账明细接口!$S11=0,"",[2]对账明细接口!$S11),"")</f>
        <v/>
      </c>
      <c r="Y11" s="20" t="str">
        <f t="shared" si="2"/>
        <v/>
      </c>
      <c r="Z11" s="20" t="str">
        <f t="shared" si="3"/>
        <v/>
      </c>
      <c r="AA11" s="20" t="str">
        <f t="shared" si="4"/>
        <v/>
      </c>
      <c r="AB11" s="20" t="str">
        <f t="shared" si="5"/>
        <v/>
      </c>
    </row>
    <row r="12" customHeight="1" spans="1:28">
      <c r="A12" s="14">
        <v>12</v>
      </c>
      <c r="B12" s="15">
        <f>IFERROR(IF([2]对账明细接口!$B$12=0,"",[2]对账明细接口!$B$12),"")</f>
        <v>46268</v>
      </c>
      <c r="C12" s="16" t="str">
        <f>IFERROR(IF([2]对账明细接口!$C$12=0,"",[2]对账明细接口!$C$12),"")</f>
        <v>热合曼</v>
      </c>
      <c r="D12" s="16" t="str">
        <f>IFERROR(IF([2]对账明细接口!$D$12=0,"",[2]对账明细接口!$D$12),"")</f>
        <v>包装物料－领用出库</v>
      </c>
      <c r="E12" s="16" t="str">
        <f>IFERROR(IF([2]对账明细接口!$E$12=0,"",[2]对账明细接口!$E$12),"")</f>
        <v>NO:0001069</v>
      </c>
      <c r="F12" s="16" t="str">
        <f>IFERROR(IF([2]对账明细接口!$F$12=0,"",[2]对账明细接口!$F$12),"")</f>
        <v>香梨网</v>
      </c>
      <c r="G12" s="16" t="str">
        <f>IFERROR(IF([2]对账明细接口!$G$12=0,"",[2]对账明细接口!$G$12),"")</f>
        <v>*包</v>
      </c>
      <c r="H12" s="17">
        <f>IFERROR(IF([2]对账明细接口!$H$12=0,"",[2]对账明细接口!$H$12),"")</f>
        <v>44</v>
      </c>
      <c r="I12" s="16" t="str">
        <f>IFERROR(IF([2]对账明细接口!$I$12=0,"",[2]对账明细接口!$I$12),"")</f>
        <v>包</v>
      </c>
      <c r="J12" s="18" t="str">
        <f>IFERROR(IF([2]对账明细接口!$J$12=0,"",[2]对账明细接口!$J$12),"")</f>
        <v/>
      </c>
      <c r="K12" s="18">
        <f>IFERROR(IF([2]对账明细接口!$K$12=0,"",[2]对账明细接口!$K$12),"")</f>
        <v>1980</v>
      </c>
      <c r="L12" s="16" t="str">
        <f>IFERROR(IF([2]对账明细接口!$L$12=0,"",[2]对账明细接口!$L$12),"")</f>
        <v>未付款</v>
      </c>
      <c r="M12" s="16" t="str">
        <f>IFERROR(IF([2]对账明细接口!$M$12=0,"",[2]对账明细接口!$M$12),"")</f>
        <v/>
      </c>
      <c r="N12" s="19">
        <f t="shared" si="0"/>
        <v>1</v>
      </c>
      <c r="O12" s="19">
        <f t="shared" si="1"/>
        <v>9</v>
      </c>
      <c r="S12" s="20" t="str">
        <f>IFERROR(IF([2]对账明细接口!$N12=0,"",[2]对账明细接口!$N12),"")</f>
        <v/>
      </c>
      <c r="T12" s="21" t="str">
        <f>IFERROR(IF([2]对账明细接口!$O12=0,"",[2]对账明细接口!$O12),"")</f>
        <v/>
      </c>
      <c r="U12" s="21" t="str">
        <f>IFERROR(IF([2]对账明细接口!$P12=0,"",[2]对账明细接口!$P12),"")</f>
        <v/>
      </c>
      <c r="V12" s="21" t="str">
        <f>IFERROR(IF([2]对账明细接口!$Q12=0,"",[2]对账明细接口!$Q12),"")</f>
        <v/>
      </c>
      <c r="W12" s="20" t="str">
        <f>IFERROR(IF([2]对账明细接口!$R12=0,"",[2]对账明细接口!$R12),"")</f>
        <v>新A*G0544</v>
      </c>
      <c r="X12" s="20" t="str">
        <f>IFERROR(IF([2]对账明细接口!$S12=0,"",[2]对账明细接口!$S12),"")</f>
        <v/>
      </c>
      <c r="Y12" s="20" t="str">
        <f t="shared" si="2"/>
        <v/>
      </c>
      <c r="Z12" s="20" t="str">
        <f t="shared" si="3"/>
        <v/>
      </c>
      <c r="AA12" s="20" t="str">
        <f t="shared" si="4"/>
        <v/>
      </c>
      <c r="AB12" s="20" t="str">
        <f t="shared" si="5"/>
        <v/>
      </c>
    </row>
    <row r="13" customHeight="1" spans="1:28">
      <c r="A13" s="14">
        <v>13</v>
      </c>
      <c r="B13" s="15">
        <f>IFERROR(IF([2]对账明细接口!$B$13=0,"",[2]对账明细接口!$B$13),"")</f>
        <v>46268</v>
      </c>
      <c r="C13" s="16" t="str">
        <f>IFERROR(IF([2]对账明细接口!$C$13=0,"",[2]对账明细接口!$C$13),"")</f>
        <v>麦麦提</v>
      </c>
      <c r="D13" s="16" t="str">
        <f>IFERROR(IF([2]对账明细接口!$D$13=0,"",[2]对账明细接口!$D$13),"")</f>
        <v>包装物料－领用出库</v>
      </c>
      <c r="E13" s="16" t="str">
        <f>IFERROR(IF([2]对账明细接口!$E$13=0,"",[2]对账明细接口!$E$13),"")</f>
        <v>NO:0001070</v>
      </c>
      <c r="F13" s="16" t="str">
        <f>IFERROR(IF([2]对账明细接口!$F$13=0,"",[2]对账明细接口!$F$13),"")</f>
        <v>香梨纸</v>
      </c>
      <c r="G13" s="16" t="str">
        <f>IFERROR(IF([2]对账明细接口!$G$13=0,"",[2]对账明细接口!$G$13),"")</f>
        <v>*捆</v>
      </c>
      <c r="H13" s="17">
        <f>IFERROR(IF([2]对账明细接口!$H$13=0,"",[2]对账明细接口!$H$13),"")</f>
        <v>2</v>
      </c>
      <c r="I13" s="16" t="str">
        <f>IFERROR(IF([2]对账明细接口!$I$13=0,"",[2]对账明细接口!$I$13),"")</f>
        <v>捆</v>
      </c>
      <c r="J13" s="18" t="str">
        <f>IFERROR(IF([2]对账明细接口!$J$13=0,"",[2]对账明细接口!$J$13),"")</f>
        <v/>
      </c>
      <c r="K13" s="18">
        <f>IFERROR(IF([2]对账明细接口!$K$13=0,"",[2]对账明细接口!$K$13),"")</f>
        <v>96</v>
      </c>
      <c r="L13" s="16" t="str">
        <f>IFERROR(IF([2]对账明细接口!$L$13=0,"",[2]对账明细接口!$L$13),"")</f>
        <v>已收讫</v>
      </c>
      <c r="M13" s="16" t="str">
        <f>IFERROR(IF([2]对账明细接口!$M$13=0,"",[2]对账明细接口!$M$13),"")</f>
        <v/>
      </c>
      <c r="N13" s="19">
        <f t="shared" si="0"/>
        <v>1</v>
      </c>
      <c r="O13" s="19">
        <f t="shared" si="1"/>
        <v>10</v>
      </c>
      <c r="S13" s="20" t="str">
        <f>IFERROR(IF([2]对账明细接口!$N13=0,"",[2]对账明细接口!$N13),"")</f>
        <v/>
      </c>
      <c r="T13" s="21" t="str">
        <f>IFERROR(IF([2]对账明细接口!$O13=0,"",[2]对账明细接口!$O13),"")</f>
        <v/>
      </c>
      <c r="U13" s="21" t="str">
        <f>IFERROR(IF([2]对账明细接口!$P13=0,"",[2]对账明细接口!$P13),"")</f>
        <v/>
      </c>
      <c r="V13" s="21" t="str">
        <f>IFERROR(IF([2]对账明细接口!$Q13=0,"",[2]对账明细接口!$Q13),"")</f>
        <v/>
      </c>
      <c r="W13" s="20" t="str">
        <f>IFERROR(IF([2]对账明细接口!$R13=0,"",[2]对账明细接口!$R13),"")</f>
        <v>自提</v>
      </c>
      <c r="X13" s="20" t="str">
        <f>IFERROR(IF([2]对账明细接口!$S13=0,"",[2]对账明细接口!$S13),"")</f>
        <v/>
      </c>
      <c r="Y13" s="20" t="str">
        <f t="shared" si="2"/>
        <v/>
      </c>
      <c r="Z13" s="20" t="str">
        <f t="shared" si="3"/>
        <v/>
      </c>
      <c r="AA13" s="20" t="str">
        <f t="shared" si="4"/>
        <v/>
      </c>
      <c r="AB13" s="20" t="str">
        <f t="shared" si="5"/>
        <v/>
      </c>
    </row>
    <row r="14" customHeight="1" spans="1:28">
      <c r="A14" s="14">
        <v>14</v>
      </c>
      <c r="B14" s="15">
        <f>IFERROR(IF([2]对账明细接口!$B$14=0,"",[2]对账明细接口!$B$14),"")</f>
        <v>46268</v>
      </c>
      <c r="C14" s="16" t="str">
        <f>IFERROR(IF([2]对账明细接口!$C$14=0,"",[2]对账明细接口!$C$14),"")</f>
        <v>热合曼</v>
      </c>
      <c r="D14" s="16" t="str">
        <f>IFERROR(IF([2]对账明细接口!$D$14=0,"",[2]对账明细接口!$D$14),"")</f>
        <v>包装物料－领用出库</v>
      </c>
      <c r="E14" s="16" t="str">
        <f>IFERROR(IF([2]对账明细接口!$E$14=0,"",[2]对账明细接口!$E$14),"")</f>
        <v>NO:0001071</v>
      </c>
      <c r="F14" s="16" t="str">
        <f>IFERROR(IF([2]对账明细接口!$F$14=0,"",[2]对账明细接口!$F$14),"")</f>
        <v>香梨纸</v>
      </c>
      <c r="G14" s="16" t="str">
        <f>IFERROR(IF([2]对账明细接口!$G$14=0,"",[2]对账明细接口!$G$14),"")</f>
        <v>*捆</v>
      </c>
      <c r="H14" s="17">
        <f>IFERROR(IF([2]对账明细接口!$H$14=0,"",[2]对账明细接口!$H$14),"")</f>
        <v>2</v>
      </c>
      <c r="I14" s="16" t="str">
        <f>IFERROR(IF([2]对账明细接口!$I$14=0,"",[2]对账明细接口!$I$14),"")</f>
        <v>捆</v>
      </c>
      <c r="J14" s="18" t="str">
        <f>IFERROR(IF([2]对账明细接口!$J$14=0,"",[2]对账明细接口!$J$14),"")</f>
        <v/>
      </c>
      <c r="K14" s="18">
        <f>IFERROR(IF([2]对账明细接口!$K$14=0,"",[2]对账明细接口!$K$14),"")</f>
        <v>96</v>
      </c>
      <c r="L14" s="16" t="str">
        <f>IFERROR(IF([2]对账明细接口!$L$14=0,"",[2]对账明细接口!$L$14),"")</f>
        <v>已收讫</v>
      </c>
      <c r="M14" s="16" t="str">
        <f>IFERROR(IF([2]对账明细接口!$M$14=0,"",[2]对账明细接口!$M$14),"")</f>
        <v/>
      </c>
      <c r="N14" s="19">
        <f t="shared" si="0"/>
        <v>1</v>
      </c>
      <c r="O14" s="19">
        <f t="shared" si="1"/>
        <v>11</v>
      </c>
      <c r="S14" s="20" t="str">
        <f>IFERROR(IF([2]对账明细接口!$N14=0,"",[2]对账明细接口!$N14),"")</f>
        <v/>
      </c>
      <c r="T14" s="21" t="str">
        <f>IFERROR(IF([2]对账明细接口!$O14=0,"",[2]对账明细接口!$O14),"")</f>
        <v/>
      </c>
      <c r="U14" s="21" t="str">
        <f>IFERROR(IF([2]对账明细接口!$P14=0,"",[2]对账明细接口!$P14),"")</f>
        <v/>
      </c>
      <c r="V14" s="21" t="str">
        <f>IFERROR(IF([2]对账明细接口!$Q14=0,"",[2]对账明细接口!$Q14),"")</f>
        <v/>
      </c>
      <c r="W14" s="20" t="str">
        <f>IFERROR(IF([2]对账明细接口!$R14=0,"",[2]对账明细接口!$R14),"")</f>
        <v>自提</v>
      </c>
      <c r="X14" s="20" t="str">
        <f>IFERROR(IF([2]对账明细接口!$S14=0,"",[2]对账明细接口!$S14),"")</f>
        <v/>
      </c>
      <c r="Y14" s="20" t="str">
        <f t="shared" si="2"/>
        <v/>
      </c>
      <c r="Z14" s="20" t="str">
        <f t="shared" si="3"/>
        <v/>
      </c>
      <c r="AA14" s="20" t="str">
        <f t="shared" si="4"/>
        <v/>
      </c>
      <c r="AB14" s="20" t="str">
        <f t="shared" si="5"/>
        <v/>
      </c>
    </row>
    <row r="15" customHeight="1" spans="1:28">
      <c r="A15" s="14">
        <v>15</v>
      </c>
      <c r="B15" s="15">
        <f>IFERROR(IF([2]对账明细接口!$B$15=0,"",[2]对账明细接口!$B$15),"")</f>
        <v>46268</v>
      </c>
      <c r="C15" s="16" t="str">
        <f>IFERROR(IF([2]对账明细接口!$C$15=0,"",[2]对账明细接口!$C$15),"")</f>
        <v>麦麦提</v>
      </c>
      <c r="D15" s="16" t="str">
        <f>IFERROR(IF([2]对账明细接口!$D$15=0,"",[2]对账明细接口!$D$15),"")</f>
        <v>包装物料－领用出库</v>
      </c>
      <c r="E15" s="16" t="str">
        <f>IFERROR(IF([2]对账明细接口!$E$15=0,"",[2]对账明细接口!$E$15),"")</f>
        <v>NO:0001074</v>
      </c>
      <c r="F15" s="16" t="str">
        <f>IFERROR(IF([2]对账明细接口!$F$15=0,"",[2]对账明细接口!$F$15),"")</f>
        <v>香梨网</v>
      </c>
      <c r="G15" s="16" t="str">
        <f>IFERROR(IF([2]对账明细接口!$G$15=0,"",[2]对账明细接口!$G$15),"")</f>
        <v>*包</v>
      </c>
      <c r="H15" s="17">
        <f>IFERROR(IF([2]对账明细接口!$H$15=0,"",[2]对账明细接口!$H$15),"")</f>
        <v>44</v>
      </c>
      <c r="I15" s="16" t="str">
        <f>IFERROR(IF([2]对账明细接口!$I$15=0,"",[2]对账明细接口!$I$15),"")</f>
        <v>包</v>
      </c>
      <c r="J15" s="18" t="str">
        <f>IFERROR(IF([2]对账明细接口!$J$15=0,"",[2]对账明细接口!$J$15),"")</f>
        <v/>
      </c>
      <c r="K15" s="18">
        <f>IFERROR(IF([2]对账明细接口!$K$15=0,"",[2]对账明细接口!$K$15),"")</f>
        <v>1980</v>
      </c>
      <c r="L15" s="16" t="str">
        <f>IFERROR(IF([2]对账明细接口!$L$15=0,"",[2]对账明细接口!$L$15),"")</f>
        <v>未付款</v>
      </c>
      <c r="M15" s="16" t="str">
        <f>IFERROR(IF([2]对账明细接口!$M$15=0,"",[2]对账明细接口!$M$15),"")</f>
        <v/>
      </c>
      <c r="N15" s="19">
        <f t="shared" si="0"/>
        <v>1</v>
      </c>
      <c r="O15" s="19">
        <f t="shared" si="1"/>
        <v>12</v>
      </c>
      <c r="S15" s="20" t="str">
        <f>IFERROR(IF([2]对账明细接口!$N15=0,"",[2]对账明细接口!$N15),"")</f>
        <v/>
      </c>
      <c r="T15" s="21" t="str">
        <f>IFERROR(IF([2]对账明细接口!$O15=0,"",[2]对账明细接口!$O15),"")</f>
        <v/>
      </c>
      <c r="U15" s="21" t="str">
        <f>IFERROR(IF([2]对账明细接口!$P15=0,"",[2]对账明细接口!$P15),"")</f>
        <v/>
      </c>
      <c r="V15" s="21" t="str">
        <f>IFERROR(IF([2]对账明细接口!$Q15=0,"",[2]对账明细接口!$Q15),"")</f>
        <v/>
      </c>
      <c r="W15" s="20" t="str">
        <f>IFERROR(IF([2]对账明细接口!$R15=0,"",[2]对账明细接口!$R15),"")</f>
        <v>新A*G0544</v>
      </c>
      <c r="X15" s="20" t="str">
        <f>IFERROR(IF([2]对账明细接口!$S15=0,"",[2]对账明细接口!$S15),"")</f>
        <v/>
      </c>
      <c r="Y15" s="20" t="str">
        <f t="shared" si="2"/>
        <v/>
      </c>
      <c r="Z15" s="20" t="str">
        <f t="shared" si="3"/>
        <v/>
      </c>
      <c r="AA15" s="20" t="str">
        <f t="shared" si="4"/>
        <v/>
      </c>
      <c r="AB15" s="20" t="str">
        <f t="shared" si="5"/>
        <v/>
      </c>
    </row>
    <row r="16" customHeight="1" spans="1:28">
      <c r="A16" s="14">
        <v>16</v>
      </c>
      <c r="B16" s="15">
        <f>IFERROR(IF([2]对账明细接口!$B$16=0,"",[2]对账明细接口!$B$16),"")</f>
        <v>46269</v>
      </c>
      <c r="C16" s="16" t="str">
        <f>IFERROR(IF([2]对账明细接口!$C$16=0,"",[2]对账明细接口!$C$16),"")</f>
        <v>荆建君</v>
      </c>
      <c r="D16" s="16" t="str">
        <f>IFERROR(IF([2]对账明细接口!$D$16=0,"",[2]对账明细接口!$D$16),"")</f>
        <v>包装物料－领用出库</v>
      </c>
      <c r="E16" s="16" t="str">
        <f>IFERROR(IF([2]对账明细接口!$E$16=0,"",[2]对账明细接口!$E$16),"")</f>
        <v>NO:0001079</v>
      </c>
      <c r="F16" s="16" t="str">
        <f>IFERROR(IF([2]对账明细接口!$F$16=0,"",[2]对账明细接口!$F$16),"")</f>
        <v>香梨网</v>
      </c>
      <c r="G16" s="16" t="str">
        <f>IFERROR(IF([2]对账明细接口!$G$16=0,"",[2]对账明细接口!$G$16),"")</f>
        <v>*包</v>
      </c>
      <c r="H16" s="17">
        <f>IFERROR(IF([2]对账明细接口!$H$16=0,"",[2]对账明细接口!$H$16),"")</f>
        <v>64</v>
      </c>
      <c r="I16" s="16" t="str">
        <f>IFERROR(IF([2]对账明细接口!$I$16=0,"",[2]对账明细接口!$I$16),"")</f>
        <v>包</v>
      </c>
      <c r="J16" s="18" t="str">
        <f>IFERROR(IF([2]对账明细接口!$J$16=0,"",[2]对账明细接口!$J$16),"")</f>
        <v/>
      </c>
      <c r="K16" s="18">
        <f>IFERROR(IF([2]对账明细接口!$K$16=0,"",[2]对账明细接口!$K$16),"")</f>
        <v>2880</v>
      </c>
      <c r="L16" s="16" t="str">
        <f>IFERROR(IF([2]对账明细接口!$L$16=0,"",[2]对账明细接口!$L$16),"")</f>
        <v>未付款</v>
      </c>
      <c r="M16" s="16" t="str">
        <f>IFERROR(IF([2]对账明细接口!$M$16=0,"",[2]对账明细接口!$M$16),"")</f>
        <v/>
      </c>
      <c r="N16" s="19">
        <f t="shared" si="0"/>
        <v>1</v>
      </c>
      <c r="O16" s="19">
        <f t="shared" si="1"/>
        <v>13</v>
      </c>
      <c r="S16" s="20" t="str">
        <f>IFERROR(IF([2]对账明细接口!$N16=0,"",[2]对账明细接口!$N16),"")</f>
        <v/>
      </c>
      <c r="T16" s="21" t="str">
        <f>IFERROR(IF([2]对账明细接口!$O16=0,"",[2]对账明细接口!$O16),"")</f>
        <v/>
      </c>
      <c r="U16" s="21" t="str">
        <f>IFERROR(IF([2]对账明细接口!$P16=0,"",[2]对账明细接口!$P16),"")</f>
        <v/>
      </c>
      <c r="V16" s="21" t="str">
        <f>IFERROR(IF([2]对账明细接口!$Q16=0,"",[2]对账明细接口!$Q16),"")</f>
        <v/>
      </c>
      <c r="W16" s="20" t="str">
        <f>IFERROR(IF([2]对账明细接口!$R16=0,"",[2]对账明细接口!$R16),"")</f>
        <v>豫A*2737K</v>
      </c>
      <c r="X16" s="20" t="str">
        <f>IFERROR(IF([2]对账明细接口!$S16=0,"",[2]对账明细接口!$S16),"")</f>
        <v/>
      </c>
      <c r="Y16" s="20" t="str">
        <f t="shared" si="2"/>
        <v/>
      </c>
      <c r="Z16" s="20" t="str">
        <f t="shared" si="3"/>
        <v/>
      </c>
      <c r="AA16" s="20" t="str">
        <f t="shared" si="4"/>
        <v/>
      </c>
      <c r="AB16" s="20" t="str">
        <f t="shared" si="5"/>
        <v/>
      </c>
    </row>
    <row r="17" customHeight="1" spans="1:28">
      <c r="A17" s="14">
        <v>17</v>
      </c>
      <c r="B17" s="15">
        <f>IFERROR(IF([2]对账明细接口!$B$17=0,"",[2]对账明细接口!$B$17),"")</f>
        <v>46269</v>
      </c>
      <c r="C17" s="16" t="str">
        <f>IFERROR(IF([2]对账明细接口!$C$17=0,"",[2]对账明细接口!$C$17),"")</f>
        <v>努尔敦</v>
      </c>
      <c r="D17" s="16" t="str">
        <f>IFERROR(IF([2]对账明细接口!$D$17=0,"",[2]对账明细接口!$D$17),"")</f>
        <v>包装物料－领用出库</v>
      </c>
      <c r="E17" s="16" t="str">
        <f>IFERROR(IF([2]对账明细接口!$E$17=0,"",[2]对账明细接口!$E$17),"")</f>
        <v>NO:0001080</v>
      </c>
      <c r="F17" s="16" t="str">
        <f>IFERROR(IF([2]对账明细接口!$F$17=0,"",[2]对账明细接口!$F$17),"")</f>
        <v>香梨网</v>
      </c>
      <c r="G17" s="16" t="str">
        <f>IFERROR(IF([2]对账明细接口!$G$17=0,"",[2]对账明细接口!$G$17),"")</f>
        <v>*包</v>
      </c>
      <c r="H17" s="17">
        <f>IFERROR(IF([2]对账明细接口!$H$17=0,"",[2]对账明细接口!$H$17),"")</f>
        <v>120</v>
      </c>
      <c r="I17" s="16" t="str">
        <f>IFERROR(IF([2]对账明细接口!$I$17=0,"",[2]对账明细接口!$I$17),"")</f>
        <v>包</v>
      </c>
      <c r="J17" s="18" t="str">
        <f>IFERROR(IF([2]对账明细接口!$J$17=0,"",[2]对账明细接口!$J$17),"")</f>
        <v/>
      </c>
      <c r="K17" s="18">
        <f>IFERROR(IF([2]对账明细接口!$K$17=0,"",[2]对账明细接口!$K$17),"")</f>
        <v>5400</v>
      </c>
      <c r="L17" s="16" t="str">
        <f>IFERROR(IF([2]对账明细接口!$L$17=0,"",[2]对账明细接口!$L$17),"")</f>
        <v>未付款</v>
      </c>
      <c r="M17" s="16" t="str">
        <f>IFERROR(IF([2]对账明细接口!$M$17=0,"",[2]对账明细接口!$M$17),"")</f>
        <v/>
      </c>
      <c r="N17" s="19">
        <f t="shared" si="0"/>
        <v>1</v>
      </c>
      <c r="O17" s="19">
        <f t="shared" si="1"/>
        <v>14</v>
      </c>
      <c r="S17" s="20" t="str">
        <f>IFERROR(IF([2]对账明细接口!$N17=0,"",[2]对账明细接口!$N17),"")</f>
        <v/>
      </c>
      <c r="T17" s="21" t="str">
        <f>IFERROR(IF([2]对账明细接口!$O17=0,"",[2]对账明细接口!$O17),"")</f>
        <v/>
      </c>
      <c r="U17" s="21" t="str">
        <f>IFERROR(IF([2]对账明细接口!$P17=0,"",[2]对账明细接口!$P17),"")</f>
        <v/>
      </c>
      <c r="V17" s="21" t="str">
        <f>IFERROR(IF([2]对账明细接口!$Q17=0,"",[2]对账明细接口!$Q17),"")</f>
        <v/>
      </c>
      <c r="W17" s="20" t="str">
        <f>IFERROR(IF([2]对账明细接口!$R17=0,"",[2]对账明细接口!$R17),"")</f>
        <v>新F*75240</v>
      </c>
      <c r="X17" s="20" t="str">
        <f>IFERROR(IF([2]对账明细接口!$S17=0,"",[2]对账明细接口!$S17),"")</f>
        <v/>
      </c>
      <c r="Y17" s="20" t="str">
        <f t="shared" si="2"/>
        <v/>
      </c>
      <c r="Z17" s="20" t="str">
        <f t="shared" si="3"/>
        <v/>
      </c>
      <c r="AA17" s="20" t="str">
        <f t="shared" si="4"/>
        <v/>
      </c>
      <c r="AB17" s="20" t="str">
        <f t="shared" si="5"/>
        <v/>
      </c>
    </row>
    <row r="18" customHeight="1" spans="1:28">
      <c r="A18" s="14">
        <v>18</v>
      </c>
      <c r="B18" s="15">
        <f>IFERROR(IF([2]对账明细接口!$B$18=0,"",[2]对账明细接口!$B$18),"")</f>
        <v>46270</v>
      </c>
      <c r="C18" s="16" t="str">
        <f>IFERROR(IF([2]对账明细接口!$C$18=0,"",[2]对账明细接口!$C$18),"")</f>
        <v>热合曼</v>
      </c>
      <c r="D18" s="16" t="str">
        <f>IFERROR(IF([2]对账明细接口!$D$18=0,"",[2]对账明细接口!$D$18),"")</f>
        <v>包装物料－领用出库</v>
      </c>
      <c r="E18" s="16" t="str">
        <f>IFERROR(IF([2]对账明细接口!$E$18=0,"",[2]对账明细接口!$E$18),"")</f>
        <v>NO:0001084</v>
      </c>
      <c r="F18" s="16" t="str">
        <f>IFERROR(IF([2]对账明细接口!$F$18=0,"",[2]对账明细接口!$F$18),"")</f>
        <v>香梨纸</v>
      </c>
      <c r="G18" s="16" t="str">
        <f>IFERROR(IF([2]对账明细接口!$G$18=0,"",[2]对账明细接口!$G$18),"")</f>
        <v>*捆</v>
      </c>
      <c r="H18" s="17">
        <f>IFERROR(IF([2]对账明细接口!$H$18=0,"",[2]对账明细接口!$H$18),"")</f>
        <v>10</v>
      </c>
      <c r="I18" s="16" t="str">
        <f>IFERROR(IF([2]对账明细接口!$I$18=0,"",[2]对账明细接口!$I$18),"")</f>
        <v>捆</v>
      </c>
      <c r="J18" s="18" t="str">
        <f>IFERROR(IF([2]对账明细接口!$J$18=0,"",[2]对账明细接口!$J$18),"")</f>
        <v/>
      </c>
      <c r="K18" s="18">
        <f>IFERROR(IF([2]对账明细接口!$K$18=0,"",[2]对账明细接口!$K$18),"")</f>
        <v>560</v>
      </c>
      <c r="L18" s="16" t="str">
        <f>IFERROR(IF([2]对账明细接口!$L$18=0,"",[2]对账明细接口!$L$18),"")</f>
        <v>未付款</v>
      </c>
      <c r="M18" s="16" t="str">
        <f>IFERROR(IF([2]对账明细接口!$M$18=0,"",[2]对账明细接口!$M$18),"")</f>
        <v/>
      </c>
      <c r="N18" s="19">
        <f t="shared" si="0"/>
        <v>1</v>
      </c>
      <c r="O18" s="19">
        <f t="shared" si="1"/>
        <v>15</v>
      </c>
      <c r="S18" s="20" t="str">
        <f>IFERROR(IF([2]对账明细接口!$N18=0,"",[2]对账明细接口!$N18),"")</f>
        <v/>
      </c>
      <c r="T18" s="21" t="str">
        <f>IFERROR(IF([2]对账明细接口!$O18=0,"",[2]对账明细接口!$O18),"")</f>
        <v/>
      </c>
      <c r="U18" s="21" t="str">
        <f>IFERROR(IF([2]对账明细接口!$P18=0,"",[2]对账明细接口!$P18),"")</f>
        <v/>
      </c>
      <c r="V18" s="21" t="str">
        <f>IFERROR(IF([2]对账明细接口!$Q18=0,"",[2]对账明细接口!$Q18),"")</f>
        <v/>
      </c>
      <c r="W18" s="20" t="str">
        <f>IFERROR(IF([2]对账明细接口!$R18=0,"",[2]对账明细接口!$R18),"")</f>
        <v>新N*FJ0676</v>
      </c>
      <c r="X18" s="20" t="str">
        <f>IFERROR(IF([2]对账明细接口!$S18=0,"",[2]对账明细接口!$S18),"")</f>
        <v/>
      </c>
      <c r="Y18" s="20" t="str">
        <f t="shared" si="2"/>
        <v/>
      </c>
      <c r="Z18" s="20" t="str">
        <f t="shared" si="3"/>
        <v/>
      </c>
      <c r="AA18" s="20" t="str">
        <f t="shared" si="4"/>
        <v/>
      </c>
      <c r="AB18" s="20" t="str">
        <f t="shared" si="5"/>
        <v/>
      </c>
    </row>
    <row r="19" customHeight="1" spans="1:28">
      <c r="A19" s="14">
        <v>19</v>
      </c>
      <c r="B19" s="15">
        <f>IFERROR(IF([2]对账明细接口!$B$19=0,"",[2]对账明细接口!$B$19),"")</f>
        <v>46272</v>
      </c>
      <c r="C19" s="16" t="str">
        <f>IFERROR(IF([2]对账明细接口!$C$19=0,"",[2]对账明细接口!$C$19),"")</f>
        <v>麦麦提</v>
      </c>
      <c r="D19" s="16" t="str">
        <f>IFERROR(IF([2]对账明细接口!$D$19=0,"",[2]对账明细接口!$D$19),"")</f>
        <v>包装物料－领用出库</v>
      </c>
      <c r="E19" s="16" t="str">
        <f>IFERROR(IF([2]对账明细接口!$E$19=0,"",[2]对账明细接口!$E$19),"")</f>
        <v>NO:0001089</v>
      </c>
      <c r="F19" s="16" t="str">
        <f>IFERROR(IF([2]对账明细接口!$F$19=0,"",[2]对账明细接口!$F$19),"")</f>
        <v>香梨网</v>
      </c>
      <c r="G19" s="16" t="str">
        <f>IFERROR(IF([2]对账明细接口!$G$19=0,"",[2]对账明细接口!$G$19),"")</f>
        <v>*包</v>
      </c>
      <c r="H19" s="17">
        <f>IFERROR(IF([2]对账明细接口!$H$19=0,"",[2]对账明细接口!$H$19),"")</f>
        <v>48</v>
      </c>
      <c r="I19" s="16" t="str">
        <f>IFERROR(IF([2]对账明细接口!$I$19=0,"",[2]对账明细接口!$I$19),"")</f>
        <v>包</v>
      </c>
      <c r="J19" s="18" t="str">
        <f>IFERROR(IF([2]对账明细接口!$J$19=0,"",[2]对账明细接口!$J$19),"")</f>
        <v/>
      </c>
      <c r="K19" s="18">
        <f>IFERROR(IF([2]对账明细接口!$K$19=0,"",[2]对账明细接口!$K$19),"")</f>
        <v>2160</v>
      </c>
      <c r="L19" s="16" t="str">
        <f>IFERROR(IF([2]对账明细接口!$L$19=0,"",[2]对账明细接口!$L$19),"")</f>
        <v>未付款</v>
      </c>
      <c r="M19" s="16" t="str">
        <f>IFERROR(IF([2]对账明细接口!$M$19=0,"",[2]对账明细接口!$M$19),"")</f>
        <v/>
      </c>
      <c r="N19" s="19">
        <f t="shared" si="0"/>
        <v>1</v>
      </c>
      <c r="O19" s="19">
        <f t="shared" si="1"/>
        <v>16</v>
      </c>
      <c r="S19" s="20" t="str">
        <f>IFERROR(IF([2]对账明细接口!$N19=0,"",[2]对账明细接口!$N19),"")</f>
        <v/>
      </c>
      <c r="T19" s="21" t="str">
        <f>IFERROR(IF([2]对账明细接口!$O19=0,"",[2]对账明细接口!$O19),"")</f>
        <v/>
      </c>
      <c r="U19" s="21" t="str">
        <f>IFERROR(IF([2]对账明细接口!$P19=0,"",[2]对账明细接口!$P19),"")</f>
        <v/>
      </c>
      <c r="V19" s="21" t="str">
        <f>IFERROR(IF([2]对账明细接口!$Q19=0,"",[2]对账明细接口!$Q19),"")</f>
        <v/>
      </c>
      <c r="W19" s="20" t="str">
        <f>IFERROR(IF([2]对账明细接口!$R19=0,"",[2]对账明细接口!$R19),"")</f>
        <v>新A*G0544</v>
      </c>
      <c r="X19" s="20" t="str">
        <f>IFERROR(IF([2]对账明细接口!$S19=0,"",[2]对账明细接口!$S19),"")</f>
        <v/>
      </c>
      <c r="Y19" s="20" t="str">
        <f t="shared" si="2"/>
        <v/>
      </c>
      <c r="Z19" s="20" t="str">
        <f t="shared" si="3"/>
        <v/>
      </c>
      <c r="AA19" s="20" t="str">
        <f t="shared" si="4"/>
        <v/>
      </c>
      <c r="AB19" s="20" t="str">
        <f t="shared" si="5"/>
        <v/>
      </c>
    </row>
    <row r="20" customHeight="1" spans="1:28">
      <c r="A20" s="14">
        <v>20</v>
      </c>
      <c r="B20" s="15">
        <f>IFERROR(IF([2]对账明细接口!$B$20=0,"",[2]对账明细接口!$B$20),"")</f>
        <v>46272</v>
      </c>
      <c r="C20" s="16" t="str">
        <f>IFERROR(IF([2]对账明细接口!$C$20=0,"",[2]对账明细接口!$C$20),"")</f>
        <v>贾建国</v>
      </c>
      <c r="D20" s="16" t="str">
        <f>IFERROR(IF([2]对账明细接口!$D$20=0,"",[2]对账明细接口!$D$20),"")</f>
        <v>包装物料－领用出库</v>
      </c>
      <c r="E20" s="16" t="str">
        <f>IFERROR(IF([2]对账明细接口!$E$20=0,"",[2]对账明细接口!$E$20),"")</f>
        <v>NO:0001092</v>
      </c>
      <c r="F20" s="16" t="str">
        <f>IFERROR(IF([2]对账明细接口!$F$20=0,"",[2]对账明细接口!$F$20),"")</f>
        <v>香梨网</v>
      </c>
      <c r="G20" s="16" t="str">
        <f>IFERROR(IF([2]对账明细接口!$G$20=0,"",[2]对账明细接口!$G$20),"")</f>
        <v>*包</v>
      </c>
      <c r="H20" s="17">
        <f>IFERROR(IF([2]对账明细接口!$H$20=0,"",[2]对账明细接口!$H$20),"")</f>
        <v>32</v>
      </c>
      <c r="I20" s="16" t="str">
        <f>IFERROR(IF([2]对账明细接口!$I$20=0,"",[2]对账明细接口!$I$20),"")</f>
        <v>包</v>
      </c>
      <c r="J20" s="18" t="str">
        <f>IFERROR(IF([2]对账明细接口!$J$20=0,"",[2]对账明细接口!$J$20),"")</f>
        <v/>
      </c>
      <c r="K20" s="18">
        <f>IFERROR(IF([2]对账明细接口!$K$20=0,"",[2]对账明细接口!$K$20),"")</f>
        <v>1440</v>
      </c>
      <c r="L20" s="16" t="str">
        <f>IFERROR(IF([2]对账明细接口!$L$20=0,"",[2]对账明细接口!$L$20),"")</f>
        <v>未付款</v>
      </c>
      <c r="M20" s="16" t="str">
        <f>IFERROR(IF([2]对账明细接口!$M$20=0,"",[2]对账明细接口!$M$20),"")</f>
        <v/>
      </c>
      <c r="N20" s="19">
        <f t="shared" si="0"/>
        <v>1</v>
      </c>
      <c r="O20" s="19">
        <f t="shared" si="1"/>
        <v>17</v>
      </c>
      <c r="S20" s="20" t="str">
        <f>IFERROR(IF([2]对账明细接口!$N20=0,"",[2]对账明细接口!$N20),"")</f>
        <v/>
      </c>
      <c r="T20" s="21" t="str">
        <f>IFERROR(IF([2]对账明细接口!$O20=0,"",[2]对账明细接口!$O20),"")</f>
        <v/>
      </c>
      <c r="U20" s="21" t="str">
        <f>IFERROR(IF([2]对账明细接口!$P20=0,"",[2]对账明细接口!$P20),"")</f>
        <v/>
      </c>
      <c r="V20" s="21" t="str">
        <f>IFERROR(IF([2]对账明细接口!$Q20=0,"",[2]对账明细接口!$Q20),"")</f>
        <v/>
      </c>
      <c r="W20" s="20" t="str">
        <f>IFERROR(IF([2]对账明细接口!$R20=0,"",[2]对账明细接口!$R20),"")</f>
        <v>豫Q*H5591</v>
      </c>
      <c r="X20" s="20" t="str">
        <f>IFERROR(IF([2]对账明细接口!$S20=0,"",[2]对账明细接口!$S20),"")</f>
        <v/>
      </c>
      <c r="Y20" s="20" t="str">
        <f t="shared" si="2"/>
        <v/>
      </c>
      <c r="Z20" s="20" t="str">
        <f t="shared" si="3"/>
        <v/>
      </c>
      <c r="AA20" s="20" t="str">
        <f t="shared" si="4"/>
        <v/>
      </c>
      <c r="AB20" s="20" t="str">
        <f t="shared" si="5"/>
        <v/>
      </c>
    </row>
    <row r="21" customHeight="1" spans="1:28">
      <c r="A21" s="14">
        <v>21</v>
      </c>
      <c r="B21" s="15">
        <f>IFERROR(IF([2]对账明细接口!$B$21=0,"",[2]对账明细接口!$B$21),"")</f>
        <v>46272</v>
      </c>
      <c r="C21" s="16" t="str">
        <f>IFERROR(IF([2]对账明细接口!$C$21=0,"",[2]对账明细接口!$C$21),"")</f>
        <v>贾建国</v>
      </c>
      <c r="D21" s="16" t="str">
        <f>IFERROR(IF([2]对账明细接口!$D$21=0,"",[2]对账明细接口!$D$21),"")</f>
        <v>包装物料－领用出库</v>
      </c>
      <c r="E21" s="16" t="str">
        <f>IFERROR(IF([2]对账明细接口!$E$21=0,"",[2]对账明细接口!$E$21),"")</f>
        <v>NO:0001092</v>
      </c>
      <c r="F21" s="16" t="str">
        <f>IFERROR(IF([2]对账明细接口!$F$21=0,"",[2]对账明细接口!$F$21),"")</f>
        <v>无纺布</v>
      </c>
      <c r="G21" s="16" t="str">
        <f>IFERROR(IF([2]对账明细接口!$G$21=0,"",[2]对账明细接口!$G$21),"")</f>
        <v>*400</v>
      </c>
      <c r="H21" s="17">
        <f>IFERROR(IF([2]对账明细接口!$H$21=0,"",[2]对账明细接口!$H$21),"")</f>
        <v>800</v>
      </c>
      <c r="I21" s="16" t="str">
        <f>IFERROR(IF([2]对账明细接口!$I$21=0,"",[2]对账明细接口!$I$21),"")</f>
        <v>个</v>
      </c>
      <c r="J21" s="18" t="str">
        <f>IFERROR(IF([2]对账明细接口!$J$21=0,"",[2]对账明细接口!$J$21),"")</f>
        <v/>
      </c>
      <c r="K21" s="18">
        <f>IFERROR(IF([2]对账明细接口!$K$21=0,"",[2]对账明细接口!$K$21),"")</f>
        <v>400</v>
      </c>
      <c r="L21" s="16" t="str">
        <f>IFERROR(IF([2]对账明细接口!$L$21=0,"",[2]对账明细接口!$L$21),"")</f>
        <v>未付款</v>
      </c>
      <c r="M21" s="16" t="str">
        <f>IFERROR(IF([2]对账明细接口!$M$21=0,"",[2]对账明细接口!$M$21),"")</f>
        <v/>
      </c>
      <c r="N21" s="19">
        <f t="shared" si="0"/>
        <v>1</v>
      </c>
      <c r="O21" s="19">
        <f t="shared" si="1"/>
        <v>18</v>
      </c>
      <c r="S21" s="20" t="str">
        <f>IFERROR(IF([2]对账明细接口!$N21=0,"",[2]对账明细接口!$N21),"")</f>
        <v/>
      </c>
      <c r="T21" s="21" t="str">
        <f>IFERROR(IF([2]对账明细接口!$O21=0,"",[2]对账明细接口!$O21),"")</f>
        <v/>
      </c>
      <c r="U21" s="21" t="str">
        <f>IFERROR(IF([2]对账明细接口!$P21=0,"",[2]对账明细接口!$P21),"")</f>
        <v/>
      </c>
      <c r="V21" s="21" t="str">
        <f>IFERROR(IF([2]对账明细接口!$Q21=0,"",[2]对账明细接口!$Q21),"")</f>
        <v/>
      </c>
      <c r="W21" s="20" t="str">
        <f>IFERROR(IF([2]对账明细接口!$R21=0,"",[2]对账明细接口!$R21),"")</f>
        <v>豫Q*H5591</v>
      </c>
      <c r="X21" s="20" t="str">
        <f>IFERROR(IF([2]对账明细接口!$S21=0,"",[2]对账明细接口!$S21),"")</f>
        <v/>
      </c>
      <c r="Y21" s="20" t="str">
        <f t="shared" si="2"/>
        <v/>
      </c>
      <c r="Z21" s="20" t="str">
        <f t="shared" si="3"/>
        <v/>
      </c>
      <c r="AA21" s="20" t="str">
        <f t="shared" si="4"/>
        <v/>
      </c>
      <c r="AB21" s="20" t="str">
        <f t="shared" si="5"/>
        <v/>
      </c>
    </row>
    <row r="22" customHeight="1" spans="1:28">
      <c r="A22" s="14">
        <v>22</v>
      </c>
      <c r="B22" s="15">
        <f>IFERROR(IF([2]对账明细接口!$B$22=0,"",[2]对账明细接口!$B$22),"")</f>
        <v>46272</v>
      </c>
      <c r="C22" s="16" t="str">
        <f>IFERROR(IF([2]对账明细接口!$C$22=0,"",[2]对账明细接口!$C$22),"")</f>
        <v>热合曼</v>
      </c>
      <c r="D22" s="16" t="str">
        <f>IFERROR(IF([2]对账明细接口!$D$22=0,"",[2]对账明细接口!$D$22),"")</f>
        <v>包装物料－领用出库</v>
      </c>
      <c r="E22" s="16" t="str">
        <f>IFERROR(IF([2]对账明细接口!$E$22=0,"",[2]对账明细接口!$E$22),"")</f>
        <v>NO:0001094</v>
      </c>
      <c r="F22" s="16" t="str">
        <f>IFERROR(IF([2]对账明细接口!$F$22=0,"",[2]对账明细接口!$F$22),"")</f>
        <v>香梨网</v>
      </c>
      <c r="G22" s="16" t="str">
        <f>IFERROR(IF([2]对账明细接口!$G$22=0,"",[2]对账明细接口!$G$22),"")</f>
        <v>*包</v>
      </c>
      <c r="H22" s="17">
        <f>IFERROR(IF([2]对账明细接口!$H$22=0,"",[2]对账明细接口!$H$22),"")</f>
        <v>48</v>
      </c>
      <c r="I22" s="16" t="str">
        <f>IFERROR(IF([2]对账明细接口!$I$22=0,"",[2]对账明细接口!$I$22),"")</f>
        <v>包</v>
      </c>
      <c r="J22" s="18" t="str">
        <f>IFERROR(IF([2]对账明细接口!$J$22=0,"",[2]对账明细接口!$J$22),"")</f>
        <v/>
      </c>
      <c r="K22" s="18">
        <f>IFERROR(IF([2]对账明细接口!$K$22=0,"",[2]对账明细接口!$K$22),"")</f>
        <v>2160</v>
      </c>
      <c r="L22" s="16" t="str">
        <f>IFERROR(IF([2]对账明细接口!$L$22=0,"",[2]对账明细接口!$L$22),"")</f>
        <v>未付款</v>
      </c>
      <c r="M22" s="16" t="str">
        <f>IFERROR(IF([2]对账明细接口!$M$22=0,"",[2]对账明细接口!$M$22),"")</f>
        <v/>
      </c>
      <c r="N22" s="19">
        <f t="shared" si="0"/>
        <v>1</v>
      </c>
      <c r="O22" s="19">
        <f t="shared" si="1"/>
        <v>19</v>
      </c>
      <c r="S22" s="20" t="str">
        <f>IFERROR(IF([2]对账明细接口!$N22=0,"",[2]对账明细接口!$N22),"")</f>
        <v/>
      </c>
      <c r="T22" s="21" t="str">
        <f>IFERROR(IF([2]对账明细接口!$O22=0,"",[2]对账明细接口!$O22),"")</f>
        <v/>
      </c>
      <c r="U22" s="21" t="str">
        <f>IFERROR(IF([2]对账明细接口!$P22=0,"",[2]对账明细接口!$P22),"")</f>
        <v/>
      </c>
      <c r="V22" s="21" t="str">
        <f>IFERROR(IF([2]对账明细接口!$Q22=0,"",[2]对账明细接口!$Q22),"")</f>
        <v/>
      </c>
      <c r="W22" s="20" t="str">
        <f>IFERROR(IF([2]对账明细接口!$R22=0,"",[2]对账明细接口!$R22),"")</f>
        <v>新A*G0544</v>
      </c>
      <c r="X22" s="20" t="str">
        <f>IFERROR(IF([2]对账明细接口!$S22=0,"",[2]对账明细接口!$S22),"")</f>
        <v/>
      </c>
      <c r="Y22" s="20" t="str">
        <f t="shared" si="2"/>
        <v/>
      </c>
      <c r="Z22" s="20" t="str">
        <f t="shared" si="3"/>
        <v/>
      </c>
      <c r="AA22" s="20" t="str">
        <f t="shared" si="4"/>
        <v/>
      </c>
      <c r="AB22" s="20" t="str">
        <f t="shared" si="5"/>
        <v/>
      </c>
    </row>
    <row r="23" customHeight="1" spans="1:28">
      <c r="A23" s="14">
        <v>23</v>
      </c>
      <c r="B23" s="15">
        <f>IFERROR(IF([2]对账明细接口!$B$23=0,"",[2]对账明细接口!$B$23),"")</f>
        <v>46273</v>
      </c>
      <c r="C23" s="16" t="str">
        <f>IFERROR(IF([2]对账明细接口!$C$23=0,"",[2]对账明细接口!$C$23),"")</f>
        <v>贾建国</v>
      </c>
      <c r="D23" s="16" t="str">
        <f>IFERROR(IF([2]对账明细接口!$D$23=0,"",[2]对账明细接口!$D$23),"")</f>
        <v>包装物料－退回入库</v>
      </c>
      <c r="E23" s="16" t="str">
        <f>IFERROR(IF([2]对账明细接口!$E$23=0,"",[2]对账明细接口!$E$23),"")</f>
        <v>NO:0000760</v>
      </c>
      <c r="F23" s="16" t="str">
        <f>IFERROR(IF([2]对账明细接口!$F$23=0,"",[2]对账明细接口!$F$23),"")</f>
        <v>无纺布</v>
      </c>
      <c r="G23" s="16" t="str">
        <f>IFERROR(IF([2]对账明细接口!$G$23=0,"",[2]对账明细接口!$G$23),"")</f>
        <v>*400</v>
      </c>
      <c r="H23" s="17">
        <f>IFERROR(IF([2]对账明细接口!$H$23=0,"",[2]对账明细接口!$H$23),"")</f>
        <v>800</v>
      </c>
      <c r="I23" s="16" t="str">
        <f>IFERROR(IF([2]对账明细接口!$I$23=0,"",[2]对账明细接口!$I$23),"")</f>
        <v>个</v>
      </c>
      <c r="J23" s="18" t="str">
        <f>IFERROR(IF([2]对账明细接口!$J$23=0,"",[2]对账明细接口!$J$23),"")</f>
        <v/>
      </c>
      <c r="K23" s="18">
        <f>IFERROR(IF([2]对账明细接口!$K$23=0,"",[2]对账明细接口!$K$23),"")</f>
        <v>-400</v>
      </c>
      <c r="L23" s="16" t="str">
        <f>IFERROR(IF([2]对账明细接口!$L$23=0,"",[2]对账明细接口!$L$23),"")</f>
        <v>无需付款</v>
      </c>
      <c r="M23" s="16" t="str">
        <f>IFERROR(IF([2]对账明细接口!$M$23=0,"",[2]对账明细接口!$M$23),"")</f>
        <v/>
      </c>
      <c r="N23" s="19">
        <f t="shared" si="0"/>
        <v>1</v>
      </c>
      <c r="O23" s="19">
        <f t="shared" si="1"/>
        <v>20</v>
      </c>
      <c r="S23" s="20" t="str">
        <f>IFERROR(IF([2]对账明细接口!$N23=0,"",[2]对账明细接口!$N23),"")</f>
        <v/>
      </c>
      <c r="T23" s="21" t="str">
        <f>IFERROR(IF([2]对账明细接口!$O23=0,"",[2]对账明细接口!$O23),"")</f>
        <v/>
      </c>
      <c r="U23" s="21" t="str">
        <f>IFERROR(IF([2]对账明细接口!$P23=0,"",[2]对账明细接口!$P23),"")</f>
        <v/>
      </c>
      <c r="V23" s="21" t="str">
        <f>IFERROR(IF([2]对账明细接口!$Q23=0,"",[2]对账明细接口!$Q23),"")</f>
        <v/>
      </c>
      <c r="W23" s="20" t="str">
        <f>IFERROR(IF([2]对账明细接口!$R23=0,"",[2]对账明细接口!$R23),"")</f>
        <v>豫Q*H5591</v>
      </c>
      <c r="X23" s="20" t="str">
        <f>IFERROR(IF([2]对账明细接口!$S23=0,"",[2]对账明细接口!$S23),"")</f>
        <v/>
      </c>
      <c r="Y23" s="20" t="str">
        <f t="shared" si="2"/>
        <v/>
      </c>
      <c r="Z23" s="20" t="str">
        <f t="shared" si="3"/>
        <v/>
      </c>
      <c r="AA23" s="20" t="str">
        <f t="shared" si="4"/>
        <v/>
      </c>
      <c r="AB23" s="20" t="str">
        <f t="shared" si="5"/>
        <v/>
      </c>
    </row>
    <row r="24" customHeight="1" spans="1:28">
      <c r="A24" s="14">
        <v>24</v>
      </c>
      <c r="B24" s="15">
        <f>IFERROR(IF([2]对账明细接口!$B$24=0,"",[2]对账明细接口!$B$24),"")</f>
        <v>46274</v>
      </c>
      <c r="C24" s="16" t="str">
        <f>IFERROR(IF([2]对账明细接口!$C$24=0,"",[2]对账明细接口!$C$24),"")</f>
        <v>吐尔逊</v>
      </c>
      <c r="D24" s="16" t="str">
        <f>IFERROR(IF([2]对账明细接口!$D$24=0,"",[2]对账明细接口!$D$24),"")</f>
        <v>包装物料－领用出库</v>
      </c>
      <c r="E24" s="16" t="str">
        <f>IFERROR(IF([2]对账明细接口!$E$24=0,"",[2]对账明细接口!$E$24),"")</f>
        <v>NO:0001099</v>
      </c>
      <c r="F24" s="16" t="str">
        <f>IFERROR(IF([2]对账明细接口!$F$24=0,"",[2]对账明细接口!$F$24),"")</f>
        <v>香梨网</v>
      </c>
      <c r="G24" s="16" t="str">
        <f>IFERROR(IF([2]对账明细接口!$G$24=0,"",[2]对账明细接口!$G$24),"")</f>
        <v>*包</v>
      </c>
      <c r="H24" s="17">
        <f>IFERROR(IF([2]对账明细接口!$H$24=0,"",[2]对账明细接口!$H$24),"")</f>
        <v>16</v>
      </c>
      <c r="I24" s="16" t="str">
        <f>IFERROR(IF([2]对账明细接口!$I$24=0,"",[2]对账明细接口!$I$24),"")</f>
        <v>包</v>
      </c>
      <c r="J24" s="18" t="str">
        <f>IFERROR(IF([2]对账明细接口!$J$24=0,"",[2]对账明细接口!$J$24),"")</f>
        <v/>
      </c>
      <c r="K24" s="18">
        <f>IFERROR(IF([2]对账明细接口!$K$24=0,"",[2]对账明细接口!$K$24),"")</f>
        <v>720</v>
      </c>
      <c r="L24" s="16" t="str">
        <f>IFERROR(IF([2]对账明细接口!$L$24=0,"",[2]对账明细接口!$L$24),"")</f>
        <v>未付款</v>
      </c>
      <c r="M24" s="16" t="str">
        <f>IFERROR(IF([2]对账明细接口!$M$24=0,"",[2]对账明细接口!$M$24),"")</f>
        <v/>
      </c>
      <c r="N24" s="19">
        <f t="shared" si="0"/>
        <v>1</v>
      </c>
      <c r="O24" s="19">
        <f t="shared" si="1"/>
        <v>21</v>
      </c>
      <c r="S24" s="20" t="str">
        <f>IFERROR(IF([2]对账明细接口!$N24=0,"",[2]对账明细接口!$N24),"")</f>
        <v/>
      </c>
      <c r="T24" s="21" t="str">
        <f>IFERROR(IF([2]对账明细接口!$O24=0,"",[2]对账明细接口!$O24),"")</f>
        <v/>
      </c>
      <c r="U24" s="21" t="str">
        <f>IFERROR(IF([2]对账明细接口!$P24=0,"",[2]对账明细接口!$P24),"")</f>
        <v/>
      </c>
      <c r="V24" s="21" t="str">
        <f>IFERROR(IF([2]对账明细接口!$Q24=0,"",[2]对账明细接口!$Q24),"")</f>
        <v/>
      </c>
      <c r="W24" s="20" t="str">
        <f>IFERROR(IF([2]对账明细接口!$R24=0,"",[2]对账明细接口!$R24),"")</f>
        <v>新M*87613</v>
      </c>
      <c r="X24" s="20" t="str">
        <f>IFERROR(IF([2]对账明细接口!$S24=0,"",[2]对账明细接口!$S24),"")</f>
        <v/>
      </c>
      <c r="Y24" s="20" t="str">
        <f t="shared" si="2"/>
        <v/>
      </c>
      <c r="Z24" s="20" t="str">
        <f t="shared" si="3"/>
        <v/>
      </c>
      <c r="AA24" s="20" t="str">
        <f t="shared" si="4"/>
        <v/>
      </c>
      <c r="AB24" s="20" t="str">
        <f t="shared" si="5"/>
        <v/>
      </c>
    </row>
    <row r="25" customHeight="1" spans="1:28">
      <c r="A25" s="14">
        <v>25</v>
      </c>
      <c r="B25" s="15">
        <f>IFERROR(IF([2]对账明细接口!$B$25=0,"",[2]对账明细接口!$B$25),"")</f>
        <v>46274</v>
      </c>
      <c r="C25" s="16" t="str">
        <f>IFERROR(IF([2]对账明细接口!$C$25=0,"",[2]对账明细接口!$C$25),"")</f>
        <v>吐尔逊</v>
      </c>
      <c r="D25" s="16" t="str">
        <f>IFERROR(IF([2]对账明细接口!$D$25=0,"",[2]对账明细接口!$D$25),"")</f>
        <v>包装物料－领用出库</v>
      </c>
      <c r="E25" s="16" t="str">
        <f>IFERROR(IF([2]对账明细接口!$E$25=0,"",[2]对账明细接口!$E$25),"")</f>
        <v>NO:0001099</v>
      </c>
      <c r="F25" s="16" t="str">
        <f>IFERROR(IF([2]对账明细接口!$F$25=0,"",[2]对账明细接口!$F$25),"")</f>
        <v>香梨纸</v>
      </c>
      <c r="G25" s="16" t="str">
        <f>IFERROR(IF([2]对账明细接口!$G$25=0,"",[2]对账明细接口!$G$25),"")</f>
        <v>*捆</v>
      </c>
      <c r="H25" s="17">
        <f>IFERROR(IF([2]对账明细接口!$H$25=0,"",[2]对账明细接口!$H$25),"")</f>
        <v>2</v>
      </c>
      <c r="I25" s="16" t="str">
        <f>IFERROR(IF([2]对账明细接口!$I$25=0,"",[2]对账明细接口!$I$25),"")</f>
        <v>捆</v>
      </c>
      <c r="J25" s="18" t="str">
        <f>IFERROR(IF([2]对账明细接口!$J$25=0,"",[2]对账明细接口!$J$25),"")</f>
        <v/>
      </c>
      <c r="K25" s="18">
        <f>IFERROR(IF([2]对账明细接口!$K$25=0,"",[2]对账明细接口!$K$25),"")</f>
        <v>120</v>
      </c>
      <c r="L25" s="16" t="str">
        <f>IFERROR(IF([2]对账明细接口!$L$25=0,"",[2]对账明细接口!$L$25),"")</f>
        <v>未付款</v>
      </c>
      <c r="M25" s="16" t="str">
        <f>IFERROR(IF([2]对账明细接口!$M$25=0,"",[2]对账明细接口!$M$25),"")</f>
        <v/>
      </c>
      <c r="N25" s="19">
        <f t="shared" si="0"/>
        <v>1</v>
      </c>
      <c r="O25" s="19">
        <f t="shared" si="1"/>
        <v>22</v>
      </c>
      <c r="S25" s="20" t="str">
        <f>IFERROR(IF([2]对账明细接口!$N25=0,"",[2]对账明细接口!$N25),"")</f>
        <v/>
      </c>
      <c r="T25" s="21" t="str">
        <f>IFERROR(IF([2]对账明细接口!$O25=0,"",[2]对账明细接口!$O25),"")</f>
        <v/>
      </c>
      <c r="U25" s="21" t="str">
        <f>IFERROR(IF([2]对账明细接口!$P25=0,"",[2]对账明细接口!$P25),"")</f>
        <v/>
      </c>
      <c r="V25" s="21" t="str">
        <f>IFERROR(IF([2]对账明细接口!$Q25=0,"",[2]对账明细接口!$Q25),"")</f>
        <v/>
      </c>
      <c r="W25" s="20" t="str">
        <f>IFERROR(IF([2]对账明细接口!$R25=0,"",[2]对账明细接口!$R25),"")</f>
        <v>新M*87613</v>
      </c>
      <c r="X25" s="20" t="str">
        <f>IFERROR(IF([2]对账明细接口!$S25=0,"",[2]对账明细接口!$S25),"")</f>
        <v/>
      </c>
      <c r="Y25" s="20" t="str">
        <f t="shared" si="2"/>
        <v/>
      </c>
      <c r="Z25" s="20" t="str">
        <f t="shared" si="3"/>
        <v/>
      </c>
      <c r="AA25" s="20" t="str">
        <f t="shared" si="4"/>
        <v/>
      </c>
      <c r="AB25" s="20" t="str">
        <f t="shared" si="5"/>
        <v/>
      </c>
    </row>
    <row r="26" customHeight="1" spans="1:28">
      <c r="A26" s="14">
        <v>26</v>
      </c>
      <c r="B26" s="15">
        <f>IFERROR(IF([2]对账明细接口!$B$26=0,"",[2]对账明细接口!$B$26),"")</f>
        <v>46274</v>
      </c>
      <c r="C26" s="16" t="str">
        <f>IFERROR(IF([2]对账明细接口!$C$26=0,"",[2]对账明细接口!$C$26),"")</f>
        <v>吐尔洪</v>
      </c>
      <c r="D26" s="16" t="str">
        <f>IFERROR(IF([2]对账明细接口!$D$26=0,"",[2]对账明细接口!$D$26),"")</f>
        <v>包装物料－领用出库</v>
      </c>
      <c r="E26" s="16" t="str">
        <f>IFERROR(IF([2]对账明细接口!$E$26=0,"",[2]对账明细接口!$E$26),"")</f>
        <v>NO:0001100</v>
      </c>
      <c r="F26" s="16" t="str">
        <f>IFERROR(IF([2]对账明细接口!$F$26=0,"",[2]对账明细接口!$F$26),"")</f>
        <v>香梨网</v>
      </c>
      <c r="G26" s="16" t="str">
        <f>IFERROR(IF([2]对账明细接口!$G$26=0,"",[2]对账明细接口!$G$26),"")</f>
        <v>*包</v>
      </c>
      <c r="H26" s="17">
        <f>IFERROR(IF([2]对账明细接口!$H$26=0,"",[2]对账明细接口!$H$26),"")</f>
        <v>12</v>
      </c>
      <c r="I26" s="16" t="str">
        <f>IFERROR(IF([2]对账明细接口!$I$26=0,"",[2]对账明细接口!$I$26),"")</f>
        <v>包</v>
      </c>
      <c r="J26" s="18" t="str">
        <f>IFERROR(IF([2]对账明细接口!$J$26=0,"",[2]对账明细接口!$J$26),"")</f>
        <v/>
      </c>
      <c r="K26" s="18">
        <f>IFERROR(IF([2]对账明细接口!$K$26=0,"",[2]对账明细接口!$K$26),"")</f>
        <v>540</v>
      </c>
      <c r="L26" s="16" t="str">
        <f>IFERROR(IF([2]对账明细接口!$L$26=0,"",[2]对账明细接口!$L$26),"")</f>
        <v>未付款</v>
      </c>
      <c r="M26" s="16" t="str">
        <f>IFERROR(IF([2]对账明细接口!$M$26=0,"",[2]对账明细接口!$M$26),"")</f>
        <v/>
      </c>
      <c r="N26" s="19">
        <f t="shared" si="0"/>
        <v>1</v>
      </c>
      <c r="O26" s="19">
        <f t="shared" si="1"/>
        <v>23</v>
      </c>
      <c r="S26" s="20" t="str">
        <f>IFERROR(IF([2]对账明细接口!$N26=0,"",[2]对账明细接口!$N26),"")</f>
        <v/>
      </c>
      <c r="T26" s="21" t="str">
        <f>IFERROR(IF([2]对账明细接口!$O26=0,"",[2]对账明细接口!$O26),"")</f>
        <v/>
      </c>
      <c r="U26" s="21" t="str">
        <f>IFERROR(IF([2]对账明细接口!$P26=0,"",[2]对账明细接口!$P26),"")</f>
        <v/>
      </c>
      <c r="V26" s="21" t="str">
        <f>IFERROR(IF([2]对账明细接口!$Q26=0,"",[2]对账明细接口!$Q26),"")</f>
        <v/>
      </c>
      <c r="W26" s="20" t="str">
        <f>IFERROR(IF([2]对账明细接口!$R26=0,"",[2]对账明细接口!$R26),"")</f>
        <v>新N*X8S48</v>
      </c>
      <c r="X26" s="20" t="str">
        <f>IFERROR(IF([2]对账明细接口!$S26=0,"",[2]对账明细接口!$S26),"")</f>
        <v/>
      </c>
      <c r="Y26" s="20" t="str">
        <f t="shared" si="2"/>
        <v/>
      </c>
      <c r="Z26" s="20" t="str">
        <f t="shared" si="3"/>
        <v/>
      </c>
      <c r="AA26" s="20" t="str">
        <f t="shared" si="4"/>
        <v/>
      </c>
      <c r="AB26" s="20" t="str">
        <f t="shared" si="5"/>
        <v/>
      </c>
    </row>
    <row r="27" customHeight="1" spans="1:28">
      <c r="A27" s="14">
        <v>27</v>
      </c>
      <c r="B27" s="15">
        <f>IFERROR(IF([2]对账明细接口!$B$27=0,"",[2]对账明细接口!$B$27),"")</f>
        <v>46274</v>
      </c>
      <c r="C27" s="16" t="str">
        <f>IFERROR(IF([2]对账明细接口!$C$27=0,"",[2]对账明细接口!$C$27),"")</f>
        <v>荆建君</v>
      </c>
      <c r="D27" s="16" t="str">
        <f>IFERROR(IF([2]对账明细接口!$D$27=0,"",[2]对账明细接口!$D$27),"")</f>
        <v>包装物料－领用出库</v>
      </c>
      <c r="E27" s="16" t="str">
        <f>IFERROR(IF([2]对账明细接口!$E$27=0,"",[2]对账明细接口!$E$27),"")</f>
        <v>NO:0001105</v>
      </c>
      <c r="F27" s="16" t="str">
        <f>IFERROR(IF([2]对账明细接口!$F$27=0,"",[2]对账明细接口!$F$27),"")</f>
        <v>香梨网</v>
      </c>
      <c r="G27" s="16" t="str">
        <f>IFERROR(IF([2]对账明细接口!$G$27=0,"",[2]对账明细接口!$G$27),"")</f>
        <v>*包</v>
      </c>
      <c r="H27" s="17">
        <f>IFERROR(IF([2]对账明细接口!$H$27=0,"",[2]对账明细接口!$H$27),"")</f>
        <v>48</v>
      </c>
      <c r="I27" s="16" t="str">
        <f>IFERROR(IF([2]对账明细接口!$I$27=0,"",[2]对账明细接口!$I$27),"")</f>
        <v>包</v>
      </c>
      <c r="J27" s="18" t="str">
        <f>IFERROR(IF([2]对账明细接口!$J$27=0,"",[2]对账明细接口!$J$27),"")</f>
        <v/>
      </c>
      <c r="K27" s="18">
        <f>IFERROR(IF([2]对账明细接口!$K$27=0,"",[2]对账明细接口!$K$27),"")</f>
        <v>2160</v>
      </c>
      <c r="L27" s="16" t="str">
        <f>IFERROR(IF([2]对账明细接口!$L$27=0,"",[2]对账明细接口!$L$27),"")</f>
        <v>未付款</v>
      </c>
      <c r="M27" s="16" t="str">
        <f>IFERROR(IF([2]对账明细接口!$M$27=0,"",[2]对账明细接口!$M$27),"")</f>
        <v/>
      </c>
      <c r="N27" s="19">
        <f t="shared" si="0"/>
        <v>1</v>
      </c>
      <c r="O27" s="19">
        <f t="shared" si="1"/>
        <v>24</v>
      </c>
      <c r="S27" s="20" t="str">
        <f>IFERROR(IF([2]对账明细接口!$N27=0,"",[2]对账明细接口!$N27),"")</f>
        <v/>
      </c>
      <c r="T27" s="21" t="str">
        <f>IFERROR(IF([2]对账明细接口!$O27=0,"",[2]对账明细接口!$O27),"")</f>
        <v/>
      </c>
      <c r="U27" s="21" t="str">
        <f>IFERROR(IF([2]对账明细接口!$P27=0,"",[2]对账明细接口!$P27),"")</f>
        <v/>
      </c>
      <c r="V27" s="21" t="str">
        <f>IFERROR(IF([2]对账明细接口!$Q27=0,"",[2]对账明细接口!$Q27),"")</f>
        <v/>
      </c>
      <c r="W27" s="20" t="str">
        <f>IFERROR(IF([2]对账明细接口!$R27=0,"",[2]对账明细接口!$R27),"")</f>
        <v>豫A*2737K</v>
      </c>
      <c r="X27" s="20" t="str">
        <f>IFERROR(IF([2]对账明细接口!$S27=0,"",[2]对账明细接口!$S27),"")</f>
        <v/>
      </c>
      <c r="Y27" s="20" t="str">
        <f t="shared" si="2"/>
        <v/>
      </c>
      <c r="Z27" s="20" t="str">
        <f t="shared" si="3"/>
        <v/>
      </c>
      <c r="AA27" s="20" t="str">
        <f t="shared" si="4"/>
        <v/>
      </c>
      <c r="AB27" s="20" t="str">
        <f t="shared" si="5"/>
        <v/>
      </c>
    </row>
    <row r="28" customHeight="1" spans="1:28">
      <c r="A28" s="14">
        <v>28</v>
      </c>
      <c r="B28" s="15">
        <f>IFERROR(IF([2]对账明细接口!$B$28=0,"",[2]对账明细接口!$B$28),"")</f>
        <v>46274</v>
      </c>
      <c r="C28" s="16" t="str">
        <f>IFERROR(IF([2]对账明细接口!$C$28=0,"",[2]对账明细接口!$C$28),"")</f>
        <v>麦麦提</v>
      </c>
      <c r="D28" s="16" t="str">
        <f>IFERROR(IF([2]对账明细接口!$D$28=0,"",[2]对账明细接口!$D$28),"")</f>
        <v>包装物料－领用出库</v>
      </c>
      <c r="E28" s="16" t="str">
        <f>IFERROR(IF([2]对账明细接口!$E$28=0,"",[2]对账明细接口!$E$28),"")</f>
        <v>NO:0001106</v>
      </c>
      <c r="F28" s="16" t="str">
        <f>IFERROR(IF([2]对账明细接口!$F$28=0,"",[2]对账明细接口!$F$28),"")</f>
        <v>香梨网</v>
      </c>
      <c r="G28" s="16" t="str">
        <f>IFERROR(IF([2]对账明细接口!$G$28=0,"",[2]对账明细接口!$G$28),"")</f>
        <v>*包</v>
      </c>
      <c r="H28" s="17">
        <f>IFERROR(IF([2]对账明细接口!$H$28=0,"",[2]对账明细接口!$H$28),"")</f>
        <v>48</v>
      </c>
      <c r="I28" s="16" t="str">
        <f>IFERROR(IF([2]对账明细接口!$I$28=0,"",[2]对账明细接口!$I$28),"")</f>
        <v>包</v>
      </c>
      <c r="J28" s="18" t="str">
        <f>IFERROR(IF([2]对账明细接口!$J$28=0,"",[2]对账明细接口!$J$28),"")</f>
        <v/>
      </c>
      <c r="K28" s="18">
        <f>IFERROR(IF([2]对账明细接口!$K$28=0,"",[2]对账明细接口!$K$28),"")</f>
        <v>2160</v>
      </c>
      <c r="L28" s="16" t="str">
        <f>IFERROR(IF([2]对账明细接口!$L$28=0,"",[2]对账明细接口!$L$28),"")</f>
        <v>未付款</v>
      </c>
      <c r="M28" s="16" t="str">
        <f>IFERROR(IF([2]对账明细接口!$M$28=0,"",[2]对账明细接口!$M$28),"")</f>
        <v/>
      </c>
      <c r="N28" s="19">
        <f t="shared" si="0"/>
        <v>1</v>
      </c>
      <c r="O28" s="19">
        <f t="shared" si="1"/>
        <v>25</v>
      </c>
      <c r="S28" s="20" t="str">
        <f>IFERROR(IF([2]对账明细接口!$N28=0,"",[2]对账明细接口!$N28),"")</f>
        <v/>
      </c>
      <c r="T28" s="21" t="str">
        <f>IFERROR(IF([2]对账明细接口!$O28=0,"",[2]对账明细接口!$O28),"")</f>
        <v/>
      </c>
      <c r="U28" s="21" t="str">
        <f>IFERROR(IF([2]对账明细接口!$P28=0,"",[2]对账明细接口!$P28),"")</f>
        <v/>
      </c>
      <c r="V28" s="21" t="str">
        <f>IFERROR(IF([2]对账明细接口!$Q28=0,"",[2]对账明细接口!$Q28),"")</f>
        <v/>
      </c>
      <c r="W28" s="20" t="str">
        <f>IFERROR(IF([2]对账明细接口!$R28=0,"",[2]对账明细接口!$R28),"")</f>
        <v>新A*G0544</v>
      </c>
      <c r="X28" s="20" t="str">
        <f>IFERROR(IF([2]对账明细接口!$S28=0,"",[2]对账明细接口!$S28),"")</f>
        <v/>
      </c>
      <c r="Y28" s="20" t="str">
        <f t="shared" si="2"/>
        <v/>
      </c>
      <c r="Z28" s="20" t="str">
        <f t="shared" si="3"/>
        <v/>
      </c>
      <c r="AA28" s="20" t="str">
        <f t="shared" si="4"/>
        <v/>
      </c>
      <c r="AB28" s="20" t="str">
        <f t="shared" si="5"/>
        <v/>
      </c>
    </row>
    <row r="29" customHeight="1" spans="1:28">
      <c r="A29" s="14">
        <v>29</v>
      </c>
      <c r="B29" s="15">
        <f>IFERROR(IF([2]对账明细接口!$B$29=0,"",[2]对账明细接口!$B$29),"")</f>
        <v>46276</v>
      </c>
      <c r="C29" s="16" t="str">
        <f>IFERROR(IF([2]对账明细接口!$C$29=0,"",[2]对账明细接口!$C$29),"")</f>
        <v>新顺发泡网</v>
      </c>
      <c r="D29" s="16" t="str">
        <f>IFERROR(IF([2]对账明细接口!$D$29=0,"",[2]对账明细接口!$D$29),"")</f>
        <v>包装物料－采购入库</v>
      </c>
      <c r="E29" s="16" t="str">
        <f>IFERROR(IF([2]对账明细接口!$E$29=0,"",[2]对账明细接口!$E$29),"")</f>
        <v>NO:0000777</v>
      </c>
      <c r="F29" s="16" t="str">
        <f>IFERROR(IF([2]对账明细接口!$F$29=0,"",[2]对账明细接口!$F$29),"")</f>
        <v>香梨网</v>
      </c>
      <c r="G29" s="16" t="str">
        <f>IFERROR(IF([2]对账明细接口!$G$29=0,"",[2]对账明细接口!$G$29),"")</f>
        <v>*包</v>
      </c>
      <c r="H29" s="17">
        <f>IFERROR(IF([2]对账明细接口!$H$29=0,"",[2]对账明细接口!$H$29),"")</f>
        <v>120</v>
      </c>
      <c r="I29" s="16" t="str">
        <f>IFERROR(IF([2]对账明细接口!$I$29=0,"",[2]对账明细接口!$I$29),"")</f>
        <v>包</v>
      </c>
      <c r="J29" s="18" t="str">
        <f>IFERROR(IF([2]对账明细接口!$J$29=0,"",[2]对账明细接口!$J$29),"")</f>
        <v/>
      </c>
      <c r="K29" s="18">
        <f>IFERROR(IF([2]对账明细接口!$K$29=0,"",[2]对账明细接口!$K$29),"")</f>
        <v>4440</v>
      </c>
      <c r="L29" s="16" t="str">
        <f>IFERROR(IF([2]对账明细接口!$L$29=0,"",[2]对账明细接口!$L$29),"")</f>
        <v>未付款</v>
      </c>
      <c r="M29" s="16" t="str">
        <f>IFERROR(IF([2]对账明细接口!$M$29=0,"",[2]对账明细接口!$M$29),"")</f>
        <v>12#</v>
      </c>
      <c r="N29" s="19">
        <f t="shared" si="0"/>
        <v>1</v>
      </c>
      <c r="O29" s="19">
        <f t="shared" si="1"/>
        <v>26</v>
      </c>
      <c r="S29" s="20" t="str">
        <f>IFERROR(IF([2]对账明细接口!$N29=0,"",[2]对账明细接口!$N29),"")</f>
        <v/>
      </c>
      <c r="T29" s="21" t="str">
        <f>IFERROR(IF([2]对账明细接口!$O29=0,"",[2]对账明细接口!$O29),"")</f>
        <v/>
      </c>
      <c r="U29" s="21" t="str">
        <f>IFERROR(IF([2]对账明细接口!$P29=0,"",[2]对账明细接口!$P29),"")</f>
        <v/>
      </c>
      <c r="V29" s="21" t="str">
        <f>IFERROR(IF([2]对账明细接口!$Q29=0,"",[2]对账明细接口!$Q29),"")</f>
        <v/>
      </c>
      <c r="W29" s="20" t="str">
        <f>IFERROR(IF([2]对账明细接口!$R29=0,"",[2]对账明细接口!$R29),"")</f>
        <v>皖L*SD929</v>
      </c>
      <c r="X29" s="20" t="str">
        <f>IFERROR(IF([2]对账明细接口!$S29=0,"",[2]对账明细接口!$S29),"")</f>
        <v/>
      </c>
      <c r="Y29" s="20" t="str">
        <f t="shared" si="2"/>
        <v/>
      </c>
      <c r="Z29" s="20" t="str">
        <f t="shared" si="3"/>
        <v/>
      </c>
      <c r="AA29" s="20" t="str">
        <f t="shared" si="4"/>
        <v/>
      </c>
      <c r="AB29" s="20" t="str">
        <f t="shared" si="5"/>
        <v/>
      </c>
    </row>
    <row r="30" customHeight="1" spans="1:28">
      <c r="A30" s="14">
        <v>30</v>
      </c>
      <c r="B30" s="15">
        <f>IFERROR(IF([2]对账明细接口!$B$30=0,"",[2]对账明细接口!$B$30),"")</f>
        <v>46276</v>
      </c>
      <c r="C30" s="16" t="str">
        <f>IFERROR(IF([2]对账明细接口!$C$30=0,"",[2]对账明细接口!$C$30),"")</f>
        <v>麦麦提</v>
      </c>
      <c r="D30" s="16" t="str">
        <f>IFERROR(IF([2]对账明细接口!$D$30=0,"",[2]对账明细接口!$D$30),"")</f>
        <v>包装物料－领用出库</v>
      </c>
      <c r="E30" s="16" t="str">
        <f>IFERROR(IF([2]对账明细接口!$E$30=0,"",[2]对账明细接口!$E$30),"")</f>
        <v>NO:0001113</v>
      </c>
      <c r="F30" s="16" t="str">
        <f>IFERROR(IF([2]对账明细接口!$F$30=0,"",[2]对账明细接口!$F$30),"")</f>
        <v>香梨网</v>
      </c>
      <c r="G30" s="16" t="str">
        <f>IFERROR(IF([2]对账明细接口!$G$30=0,"",[2]对账明细接口!$G$30),"")</f>
        <v>*包</v>
      </c>
      <c r="H30" s="17">
        <f>IFERROR(IF([2]对账明细接口!$H$30=0,"",[2]对账明细接口!$H$30),"")</f>
        <v>48</v>
      </c>
      <c r="I30" s="16" t="str">
        <f>IFERROR(IF([2]对账明细接口!$I$30=0,"",[2]对账明细接口!$I$30),"")</f>
        <v>包</v>
      </c>
      <c r="J30" s="18" t="str">
        <f>IFERROR(IF([2]对账明细接口!$J$30=0,"",[2]对账明细接口!$J$30),"")</f>
        <v/>
      </c>
      <c r="K30" s="18">
        <f>IFERROR(IF([2]对账明细接口!$K$30=0,"",[2]对账明细接口!$K$30),"")</f>
        <v>2160</v>
      </c>
      <c r="L30" s="16" t="str">
        <f>IFERROR(IF([2]对账明细接口!$L$30=0,"",[2]对账明细接口!$L$30),"")</f>
        <v>未付款</v>
      </c>
      <c r="M30" s="16" t="str">
        <f>IFERROR(IF([2]对账明细接口!$M$30=0,"",[2]对账明细接口!$M$30),"")</f>
        <v/>
      </c>
      <c r="N30" s="19">
        <f t="shared" si="0"/>
        <v>1</v>
      </c>
      <c r="O30" s="19">
        <f t="shared" si="1"/>
        <v>27</v>
      </c>
      <c r="S30" s="20" t="str">
        <f>IFERROR(IF([2]对账明细接口!$N30=0,"",[2]对账明细接口!$N30),"")</f>
        <v/>
      </c>
      <c r="T30" s="21" t="str">
        <f>IFERROR(IF([2]对账明细接口!$O30=0,"",[2]对账明细接口!$O30),"")</f>
        <v/>
      </c>
      <c r="U30" s="21" t="str">
        <f>IFERROR(IF([2]对账明细接口!$P30=0,"",[2]对账明细接口!$P30),"")</f>
        <v/>
      </c>
      <c r="V30" s="21" t="str">
        <f>IFERROR(IF([2]对账明细接口!$Q30=0,"",[2]对账明细接口!$Q30),"")</f>
        <v/>
      </c>
      <c r="W30" s="20" t="str">
        <f>IFERROR(IF([2]对账明细接口!$R30=0,"",[2]对账明细接口!$R30),"")</f>
        <v>新A*G0544</v>
      </c>
      <c r="X30" s="20" t="str">
        <f>IFERROR(IF([2]对账明细接口!$S30=0,"",[2]对账明细接口!$S30),"")</f>
        <v/>
      </c>
      <c r="Y30" s="20" t="str">
        <f t="shared" si="2"/>
        <v/>
      </c>
      <c r="Z30" s="20" t="str">
        <f t="shared" si="3"/>
        <v/>
      </c>
      <c r="AA30" s="20" t="str">
        <f t="shared" si="4"/>
        <v/>
      </c>
      <c r="AB30" s="20" t="str">
        <f t="shared" si="5"/>
        <v/>
      </c>
    </row>
    <row r="31" customHeight="1" spans="1:28">
      <c r="A31" s="14">
        <v>31</v>
      </c>
      <c r="B31" s="15">
        <f>IFERROR(IF([2]对账明细接口!$B$31=0,"",[2]对账明细接口!$B$31),"")</f>
        <v>46276</v>
      </c>
      <c r="C31" s="16" t="str">
        <f>IFERROR(IF([2]对账明细接口!$C$31=0,"",[2]对账明细接口!$C$31),"")</f>
        <v>新顺发泡网</v>
      </c>
      <c r="D31" s="16" t="str">
        <f>IFERROR(IF([2]对账明细接口!$D$31=0,"",[2]对账明细接口!$D$31),"")</f>
        <v>包装物料－采购入库</v>
      </c>
      <c r="E31" s="16" t="str">
        <f>IFERROR(IF([2]对账明细接口!$E$31=0,"",[2]对账明细接口!$E$31),"")</f>
        <v>NO:0000779</v>
      </c>
      <c r="F31" s="16" t="str">
        <f>IFERROR(IF([2]对账明细接口!$F$31=0,"",[2]对账明细接口!$F$31),"")</f>
        <v>香梨网</v>
      </c>
      <c r="G31" s="16" t="str">
        <f>IFERROR(IF([2]对账明细接口!$G$31=0,"",[2]对账明细接口!$G$31),"")</f>
        <v>*包</v>
      </c>
      <c r="H31" s="17">
        <f>IFERROR(IF([2]对账明细接口!$H$31=0,"",[2]对账明细接口!$H$31),"")</f>
        <v>120</v>
      </c>
      <c r="I31" s="16" t="str">
        <f>IFERROR(IF([2]对账明细接口!$I$31=0,"",[2]对账明细接口!$I$31),"")</f>
        <v>包</v>
      </c>
      <c r="J31" s="18" t="str">
        <f>IFERROR(IF([2]对账明细接口!$J$31=0,"",[2]对账明细接口!$J$31),"")</f>
        <v/>
      </c>
      <c r="K31" s="18">
        <f>IFERROR(IF([2]对账明细接口!$K$31=0,"",[2]对账明细接口!$K$31),"")</f>
        <v>4440</v>
      </c>
      <c r="L31" s="16" t="str">
        <f>IFERROR(IF([2]对账明细接口!$L$31=0,"",[2]对账明细接口!$L$31),"")</f>
        <v>未付款</v>
      </c>
      <c r="M31" s="16" t="str">
        <f>IFERROR(IF([2]对账明细接口!$M$31=0,"",[2]对账明细接口!$M$31),"")</f>
        <v>12#</v>
      </c>
      <c r="N31" s="19">
        <f t="shared" si="0"/>
        <v>1</v>
      </c>
      <c r="O31" s="19">
        <f t="shared" si="1"/>
        <v>28</v>
      </c>
      <c r="S31" s="20" t="str">
        <f>IFERROR(IF([2]对账明细接口!$N31=0,"",[2]对账明细接口!$N31),"")</f>
        <v/>
      </c>
      <c r="T31" s="21" t="str">
        <f>IFERROR(IF([2]对账明细接口!$O31=0,"",[2]对账明细接口!$O31),"")</f>
        <v/>
      </c>
      <c r="U31" s="21" t="str">
        <f>IFERROR(IF([2]对账明细接口!$P31=0,"",[2]对账明细接口!$P31),"")</f>
        <v/>
      </c>
      <c r="V31" s="21" t="str">
        <f>IFERROR(IF([2]对账明细接口!$Q31=0,"",[2]对账明细接口!$Q31),"")</f>
        <v/>
      </c>
      <c r="W31" s="20" t="str">
        <f>IFERROR(IF([2]对账明细接口!$R31=0,"",[2]对账明细接口!$R31),"")</f>
        <v>皖L*KW876</v>
      </c>
      <c r="X31" s="20" t="str">
        <f>IFERROR(IF([2]对账明细接口!$S31=0,"",[2]对账明细接口!$S31),"")</f>
        <v/>
      </c>
      <c r="Y31" s="20" t="str">
        <f t="shared" si="2"/>
        <v/>
      </c>
      <c r="Z31" s="20" t="str">
        <f t="shared" si="3"/>
        <v/>
      </c>
      <c r="AA31" s="20" t="str">
        <f t="shared" si="4"/>
        <v/>
      </c>
      <c r="AB31" s="20" t="str">
        <f t="shared" si="5"/>
        <v/>
      </c>
    </row>
    <row r="32" customHeight="1" spans="1:28">
      <c r="A32" s="14">
        <v>32</v>
      </c>
      <c r="B32" s="15">
        <f>IFERROR(IF([2]对账明细接口!$B$32=0,"",[2]对账明细接口!$B$32),"")</f>
        <v>46276</v>
      </c>
      <c r="C32" s="16" t="str">
        <f>IFERROR(IF([2]对账明细接口!$C$32=0,"",[2]对账明细接口!$C$32),"")</f>
        <v>吐尔洪</v>
      </c>
      <c r="D32" s="16" t="str">
        <f>IFERROR(IF([2]对账明细接口!$D$32=0,"",[2]对账明细接口!$D$32),"")</f>
        <v>包装物料－领用出库</v>
      </c>
      <c r="E32" s="16" t="str">
        <f>IFERROR(IF([2]对账明细接口!$E$32=0,"",[2]对账明细接口!$E$32),"")</f>
        <v>NO:0001117</v>
      </c>
      <c r="F32" s="16" t="str">
        <f>IFERROR(IF([2]对账明细接口!$F$32=0,"",[2]对账明细接口!$F$32),"")</f>
        <v>香梨网</v>
      </c>
      <c r="G32" s="16" t="str">
        <f>IFERROR(IF([2]对账明细接口!$G$32=0,"",[2]对账明细接口!$G$32),"")</f>
        <v>*包</v>
      </c>
      <c r="H32" s="17">
        <f>IFERROR(IF([2]对账明细接口!$H$32=0,"",[2]对账明细接口!$H$32),"")</f>
        <v>3</v>
      </c>
      <c r="I32" s="16" t="str">
        <f>IFERROR(IF([2]对账明细接口!$I$32=0,"",[2]对账明细接口!$I$32),"")</f>
        <v>包</v>
      </c>
      <c r="J32" s="18" t="str">
        <f>IFERROR(IF([2]对账明细接口!$J$32=0,"",[2]对账明细接口!$J$32),"")</f>
        <v/>
      </c>
      <c r="K32" s="18">
        <f>IFERROR(IF([2]对账明细接口!$K$32=0,"",[2]对账明细接口!$K$32),"")</f>
        <v>135</v>
      </c>
      <c r="L32" s="16" t="str">
        <f>IFERROR(IF([2]对账明细接口!$L$32=0,"",[2]对账明细接口!$L$32),"")</f>
        <v>未付款</v>
      </c>
      <c r="M32" s="16" t="str">
        <f>IFERROR(IF([2]对账明细接口!$M$32=0,"",[2]对账明细接口!$M$32),"")</f>
        <v/>
      </c>
      <c r="N32" s="19">
        <f t="shared" si="0"/>
        <v>1</v>
      </c>
      <c r="O32" s="19">
        <f t="shared" si="1"/>
        <v>29</v>
      </c>
      <c r="S32" s="20" t="str">
        <f>IFERROR(IF([2]对账明细接口!$N32=0,"",[2]对账明细接口!$N32),"")</f>
        <v/>
      </c>
      <c r="T32" s="21" t="str">
        <f>IFERROR(IF([2]对账明细接口!$O32=0,"",[2]对账明细接口!$O32),"")</f>
        <v/>
      </c>
      <c r="U32" s="21" t="str">
        <f>IFERROR(IF([2]对账明细接口!$P32=0,"",[2]对账明细接口!$P32),"")</f>
        <v/>
      </c>
      <c r="V32" s="21" t="str">
        <f>IFERROR(IF([2]对账明细接口!$Q32=0,"",[2]对账明细接口!$Q32),"")</f>
        <v/>
      </c>
      <c r="W32" s="20" t="str">
        <f>IFERROR(IF([2]对账明细接口!$R32=0,"",[2]对账明细接口!$R32),"")</f>
        <v>新N*Z0305</v>
      </c>
      <c r="X32" s="20" t="str">
        <f>IFERROR(IF([2]对账明细接口!$S32=0,"",[2]对账明细接口!$S32),"")</f>
        <v/>
      </c>
      <c r="Y32" s="20" t="str">
        <f t="shared" si="2"/>
        <v/>
      </c>
      <c r="Z32" s="20" t="str">
        <f t="shared" si="3"/>
        <v/>
      </c>
      <c r="AA32" s="20" t="str">
        <f t="shared" si="4"/>
        <v/>
      </c>
      <c r="AB32" s="20" t="str">
        <f t="shared" si="5"/>
        <v/>
      </c>
    </row>
    <row r="33" customHeight="1" spans="1:28">
      <c r="A33" s="14">
        <v>33</v>
      </c>
      <c r="B33" s="15">
        <f>IFERROR(IF([2]对账明细接口!$B$33=0,"",[2]对账明细接口!$B$33),"")</f>
        <v>46276</v>
      </c>
      <c r="C33" s="16" t="str">
        <f>IFERROR(IF([2]对账明细接口!$C$33=0,"",[2]对账明细接口!$C$33),"")</f>
        <v>热合曼</v>
      </c>
      <c r="D33" s="16" t="str">
        <f>IFERROR(IF([2]对账明细接口!$D$33=0,"",[2]对账明细接口!$D$33),"")</f>
        <v>包装物料－领用出库</v>
      </c>
      <c r="E33" s="16" t="str">
        <f>IFERROR(IF([2]对账明细接口!$E$33=0,"",[2]对账明细接口!$E$33),"")</f>
        <v>NO:0001120</v>
      </c>
      <c r="F33" s="16" t="str">
        <f>IFERROR(IF([2]对账明细接口!$F$33=0,"",[2]对账明细接口!$F$33),"")</f>
        <v>香梨网</v>
      </c>
      <c r="G33" s="16" t="str">
        <f>IFERROR(IF([2]对账明细接口!$G$33=0,"",[2]对账明细接口!$G$33),"")</f>
        <v>*包</v>
      </c>
      <c r="H33" s="17">
        <f>IFERROR(IF([2]对账明细接口!$H$33=0,"",[2]对账明细接口!$H$33),"")</f>
        <v>48</v>
      </c>
      <c r="I33" s="16" t="str">
        <f>IFERROR(IF([2]对账明细接口!$I$33=0,"",[2]对账明细接口!$I$33),"")</f>
        <v>包</v>
      </c>
      <c r="J33" s="18" t="str">
        <f>IFERROR(IF([2]对账明细接口!$J$33=0,"",[2]对账明细接口!$J$33),"")</f>
        <v/>
      </c>
      <c r="K33" s="18">
        <f>IFERROR(IF([2]对账明细接口!$K$33=0,"",[2]对账明细接口!$K$33),"")</f>
        <v>2160</v>
      </c>
      <c r="L33" s="16" t="str">
        <f>IFERROR(IF([2]对账明细接口!$L$33=0,"",[2]对账明细接口!$L$33),"")</f>
        <v>未付款</v>
      </c>
      <c r="M33" s="16" t="str">
        <f>IFERROR(IF([2]对账明细接口!$M$33=0,"",[2]对账明细接口!$M$33),"")</f>
        <v/>
      </c>
      <c r="N33" s="19">
        <f t="shared" si="0"/>
        <v>1</v>
      </c>
      <c r="O33" s="19">
        <f t="shared" si="1"/>
        <v>30</v>
      </c>
      <c r="S33" s="20" t="str">
        <f>IFERROR(IF([2]对账明细接口!$N33=0,"",[2]对账明细接口!$N33),"")</f>
        <v/>
      </c>
      <c r="T33" s="21" t="str">
        <f>IFERROR(IF([2]对账明细接口!$O33=0,"",[2]对账明细接口!$O33),"")</f>
        <v/>
      </c>
      <c r="U33" s="21" t="str">
        <f>IFERROR(IF([2]对账明细接口!$P33=0,"",[2]对账明细接口!$P33),"")</f>
        <v/>
      </c>
      <c r="V33" s="21" t="str">
        <f>IFERROR(IF([2]对账明细接口!$Q33=0,"",[2]对账明细接口!$Q33),"")</f>
        <v/>
      </c>
      <c r="W33" s="20" t="str">
        <f>IFERROR(IF([2]对账明细接口!$R33=0,"",[2]对账明细接口!$R33),"")</f>
        <v>新A*G0544</v>
      </c>
      <c r="X33" s="20" t="str">
        <f>IFERROR(IF([2]对账明细接口!$S33=0,"",[2]对账明细接口!$S33),"")</f>
        <v/>
      </c>
      <c r="Y33" s="20" t="str">
        <f t="shared" si="2"/>
        <v/>
      </c>
      <c r="Z33" s="20" t="str">
        <f t="shared" si="3"/>
        <v/>
      </c>
      <c r="AA33" s="20" t="str">
        <f t="shared" si="4"/>
        <v/>
      </c>
      <c r="AB33" s="20" t="str">
        <f t="shared" si="5"/>
        <v/>
      </c>
    </row>
    <row r="34" customHeight="1" spans="1:28">
      <c r="A34" s="14">
        <v>34</v>
      </c>
      <c r="B34" s="15">
        <f>IFERROR(IF([2]对账明细接口!$B$34=0,"",[2]对账明细接口!$B$34),"")</f>
        <v>46276</v>
      </c>
      <c r="C34" s="16" t="str">
        <f>IFERROR(IF([2]对账明细接口!$C$34=0,"",[2]对账明细接口!$C$34),"")</f>
        <v>吐尔洪</v>
      </c>
      <c r="D34" s="16" t="str">
        <f>IFERROR(IF([2]对账明细接口!$D$34=0,"",[2]对账明细接口!$D$34),"")</f>
        <v>包装物料－领用出库</v>
      </c>
      <c r="E34" s="16" t="str">
        <f>IFERROR(IF([2]对账明细接口!$E$34=0,"",[2]对账明细接口!$E$34),"")</f>
        <v>NO:0001121</v>
      </c>
      <c r="F34" s="16" t="str">
        <f>IFERROR(IF([2]对账明细接口!$F$34=0,"",[2]对账明细接口!$F$34),"")</f>
        <v>香梨网</v>
      </c>
      <c r="G34" s="16" t="str">
        <f>IFERROR(IF([2]对账明细接口!$G$34=0,"",[2]对账明细接口!$G$34),"")</f>
        <v>*包</v>
      </c>
      <c r="H34" s="17">
        <f>IFERROR(IF([2]对账明细接口!$H$34=0,"",[2]对账明细接口!$H$34),"")</f>
        <v>12</v>
      </c>
      <c r="I34" s="16" t="str">
        <f>IFERROR(IF([2]对账明细接口!$I$34=0,"",[2]对账明细接口!$I$34),"")</f>
        <v>包</v>
      </c>
      <c r="J34" s="18" t="str">
        <f>IFERROR(IF([2]对账明细接口!$J$34=0,"",[2]对账明细接口!$J$34),"")</f>
        <v/>
      </c>
      <c r="K34" s="18">
        <f>IFERROR(IF([2]对账明细接口!$K$34=0,"",[2]对账明细接口!$K$34),"")</f>
        <v>540</v>
      </c>
      <c r="L34" s="16" t="str">
        <f>IFERROR(IF([2]对账明细接口!$L$34=0,"",[2]对账明细接口!$L$34),"")</f>
        <v>未付款</v>
      </c>
      <c r="M34" s="16" t="str">
        <f>IFERROR(IF([2]对账明细接口!$M$34=0,"",[2]对账明细接口!$M$34),"")</f>
        <v/>
      </c>
      <c r="N34" s="19">
        <f t="shared" si="0"/>
        <v>1</v>
      </c>
      <c r="O34" s="19">
        <f t="shared" si="1"/>
        <v>31</v>
      </c>
      <c r="S34" s="20" t="str">
        <f>IFERROR(IF([2]对账明细接口!$N34=0,"",[2]对账明细接口!$N34),"")</f>
        <v/>
      </c>
      <c r="T34" s="21" t="str">
        <f>IFERROR(IF([2]对账明细接口!$O34=0,"",[2]对账明细接口!$O34),"")</f>
        <v/>
      </c>
      <c r="U34" s="21" t="str">
        <f>IFERROR(IF([2]对账明细接口!$P34=0,"",[2]对账明细接口!$P34),"")</f>
        <v/>
      </c>
      <c r="V34" s="21" t="str">
        <f>IFERROR(IF([2]对账明细接口!$Q34=0,"",[2]对账明细接口!$Q34),"")</f>
        <v/>
      </c>
      <c r="W34" s="20" t="str">
        <f>IFERROR(IF([2]对账明细接口!$R34=0,"",[2]对账明细接口!$R34),"")</f>
        <v>新N*X8S48</v>
      </c>
      <c r="X34" s="20" t="str">
        <f>IFERROR(IF([2]对账明细接口!$S34=0,"",[2]对账明细接口!$S34),"")</f>
        <v/>
      </c>
      <c r="Y34" s="20" t="str">
        <f t="shared" si="2"/>
        <v/>
      </c>
      <c r="Z34" s="20" t="str">
        <f t="shared" si="3"/>
        <v/>
      </c>
      <c r="AA34" s="20" t="str">
        <f t="shared" si="4"/>
        <v/>
      </c>
      <c r="AB34" s="20" t="str">
        <f t="shared" si="5"/>
        <v/>
      </c>
    </row>
    <row r="35" customHeight="1" spans="1:28">
      <c r="A35" s="14">
        <v>35</v>
      </c>
      <c r="B35" s="15">
        <f>IFERROR(IF([2]对账明细接口!$B$35=0,"",[2]对账明细接口!$B$35),"")</f>
        <v>46277</v>
      </c>
      <c r="C35" s="16" t="str">
        <f>IFERROR(IF([2]对账明细接口!$C$35=0,"",[2]对账明细接口!$C$35),"")</f>
        <v>新顺发泡网</v>
      </c>
      <c r="D35" s="16" t="str">
        <f>IFERROR(IF([2]对账明细接口!$D$35=0,"",[2]对账明细接口!$D$35),"")</f>
        <v>包装物料－采购入库</v>
      </c>
      <c r="E35" s="16" t="str">
        <f>IFERROR(IF([2]对账明细接口!$E$35=0,"",[2]对账明细接口!$E$35),"")</f>
        <v>NO:0000791</v>
      </c>
      <c r="F35" s="16" t="str">
        <f>IFERROR(IF([2]对账明细接口!$F$35=0,"",[2]对账明细接口!$F$35),"")</f>
        <v>香梨网</v>
      </c>
      <c r="G35" s="16" t="str">
        <f>IFERROR(IF([2]对账明细接口!$G$35=0,"",[2]对账明细接口!$G$35),"")</f>
        <v>*包</v>
      </c>
      <c r="H35" s="17">
        <f>IFERROR(IF([2]对账明细接口!$H$35=0,"",[2]对账明细接口!$H$35),"")</f>
        <v>120</v>
      </c>
      <c r="I35" s="16" t="str">
        <f>IFERROR(IF([2]对账明细接口!$I$35=0,"",[2]对账明细接口!$I$35),"")</f>
        <v>包</v>
      </c>
      <c r="J35" s="18" t="str">
        <f>IFERROR(IF([2]对账明细接口!$J$35=0,"",[2]对账明细接口!$J$35),"")</f>
        <v/>
      </c>
      <c r="K35" s="18">
        <f>IFERROR(IF([2]对账明细接口!$K$35=0,"",[2]对账明细接口!$K$35),"")</f>
        <v>4440</v>
      </c>
      <c r="L35" s="16" t="str">
        <f>IFERROR(IF([2]对账明细接口!$L$35=0,"",[2]对账明细接口!$L$35),"")</f>
        <v>未付款</v>
      </c>
      <c r="M35" s="16" t="str">
        <f>IFERROR(IF([2]对账明细接口!$M$35=0,"",[2]对账明细接口!$M$35),"")</f>
        <v>12#</v>
      </c>
      <c r="N35" s="19">
        <f t="shared" si="0"/>
        <v>1</v>
      </c>
      <c r="O35" s="19">
        <f t="shared" si="1"/>
        <v>32</v>
      </c>
      <c r="S35" s="20" t="str">
        <f>IFERROR(IF([2]对账明细接口!$N35=0,"",[2]对账明细接口!$N35),"")</f>
        <v/>
      </c>
      <c r="T35" s="21" t="str">
        <f>IFERROR(IF([2]对账明细接口!$O35=0,"",[2]对账明细接口!$O35),"")</f>
        <v/>
      </c>
      <c r="U35" s="21" t="str">
        <f>IFERROR(IF([2]对账明细接口!$P35=0,"",[2]对账明细接口!$P35),"")</f>
        <v/>
      </c>
      <c r="V35" s="21" t="str">
        <f>IFERROR(IF([2]对账明细接口!$Q35=0,"",[2]对账明细接口!$Q35),"")</f>
        <v/>
      </c>
      <c r="W35" s="20" t="str">
        <f>IFERROR(IF([2]对账明细接口!$R35=0,"",[2]对账明细接口!$R35),"")</f>
        <v>皖L*SD929</v>
      </c>
      <c r="X35" s="20" t="str">
        <f>IFERROR(IF([2]对账明细接口!$S35=0,"",[2]对账明细接口!$S35),"")</f>
        <v/>
      </c>
      <c r="Y35" s="20" t="str">
        <f t="shared" si="2"/>
        <v/>
      </c>
      <c r="Z35" s="20" t="str">
        <f t="shared" si="3"/>
        <v/>
      </c>
      <c r="AA35" s="20" t="str">
        <f t="shared" si="4"/>
        <v/>
      </c>
      <c r="AB35" s="20" t="str">
        <f t="shared" si="5"/>
        <v/>
      </c>
    </row>
    <row r="36" customHeight="1" spans="1:28">
      <c r="A36" s="14">
        <v>36</v>
      </c>
      <c r="B36" s="15">
        <f>IFERROR(IF([2]对账明细接口!$B$36=0,"",[2]对账明细接口!$B$36),"")</f>
        <v>46277</v>
      </c>
      <c r="C36" s="16" t="str">
        <f>IFERROR(IF([2]对账明细接口!$C$36=0,"",[2]对账明细接口!$C$36),"")</f>
        <v>麦麦提</v>
      </c>
      <c r="D36" s="16" t="str">
        <f>IFERROR(IF([2]对账明细接口!$D$36=0,"",[2]对账明细接口!$D$36),"")</f>
        <v>包装物料－领用出库</v>
      </c>
      <c r="E36" s="16" t="str">
        <f>IFERROR(IF([2]对账明细接口!$E$36=0,"",[2]对账明细接口!$E$36),"")</f>
        <v>NO:0001125</v>
      </c>
      <c r="F36" s="16" t="str">
        <f>IFERROR(IF([2]对账明细接口!$F$36=0,"",[2]对账明细接口!$F$36),"")</f>
        <v>香梨网</v>
      </c>
      <c r="G36" s="16" t="str">
        <f>IFERROR(IF([2]对账明细接口!$G$36=0,"",[2]对账明细接口!$G$36),"")</f>
        <v>*包</v>
      </c>
      <c r="H36" s="17">
        <f>IFERROR(IF([2]对账明细接口!$H$36=0,"",[2]对账明细接口!$H$36),"")</f>
        <v>48</v>
      </c>
      <c r="I36" s="16" t="str">
        <f>IFERROR(IF([2]对账明细接口!$I$36=0,"",[2]对账明细接口!$I$36),"")</f>
        <v>包</v>
      </c>
      <c r="J36" s="18" t="str">
        <f>IFERROR(IF([2]对账明细接口!$J$36=0,"",[2]对账明细接口!$J$36),"")</f>
        <v/>
      </c>
      <c r="K36" s="18">
        <f>IFERROR(IF([2]对账明细接口!$K$36=0,"",[2]对账明细接口!$K$36),"")</f>
        <v>2160</v>
      </c>
      <c r="L36" s="16" t="str">
        <f>IFERROR(IF([2]对账明细接口!$L$36=0,"",[2]对账明细接口!$L$36),"")</f>
        <v>未付款</v>
      </c>
      <c r="M36" s="16" t="str">
        <f>IFERROR(IF([2]对账明细接口!$M$36=0,"",[2]对账明细接口!$M$36),"")</f>
        <v/>
      </c>
      <c r="N36" s="19">
        <f t="shared" si="0"/>
        <v>1</v>
      </c>
      <c r="O36" s="19">
        <f t="shared" si="1"/>
        <v>33</v>
      </c>
      <c r="S36" s="20" t="str">
        <f>IFERROR(IF([2]对账明细接口!$N36=0,"",[2]对账明细接口!$N36),"")</f>
        <v/>
      </c>
      <c r="T36" s="21" t="str">
        <f>IFERROR(IF([2]对账明细接口!$O36=0,"",[2]对账明细接口!$O36),"")</f>
        <v/>
      </c>
      <c r="U36" s="21" t="str">
        <f>IFERROR(IF([2]对账明细接口!$P36=0,"",[2]对账明细接口!$P36),"")</f>
        <v/>
      </c>
      <c r="V36" s="21" t="str">
        <f>IFERROR(IF([2]对账明细接口!$Q36=0,"",[2]对账明细接口!$Q36),"")</f>
        <v/>
      </c>
      <c r="W36" s="20" t="str">
        <f>IFERROR(IF([2]对账明细接口!$R36=0,"",[2]对账明细接口!$R36),"")</f>
        <v>新A*G0544</v>
      </c>
      <c r="X36" s="20" t="str">
        <f>IFERROR(IF([2]对账明细接口!$S36=0,"",[2]对账明细接口!$S36),"")</f>
        <v/>
      </c>
      <c r="Y36" s="20" t="str">
        <f t="shared" si="2"/>
        <v/>
      </c>
      <c r="Z36" s="20" t="str">
        <f t="shared" si="3"/>
        <v/>
      </c>
      <c r="AA36" s="20" t="str">
        <f t="shared" si="4"/>
        <v/>
      </c>
      <c r="AB36" s="20" t="str">
        <f t="shared" si="5"/>
        <v/>
      </c>
    </row>
    <row r="37" customHeight="1" spans="1:28">
      <c r="A37" s="14">
        <v>37</v>
      </c>
      <c r="B37" s="15">
        <f>IFERROR(IF([2]对账明细接口!$B$37=0,"",[2]对账明细接口!$B$37),"")</f>
        <v>46278</v>
      </c>
      <c r="C37" s="16" t="str">
        <f>IFERROR(IF([2]对账明细接口!$C$37=0,"",[2]对账明细接口!$C$37),"")</f>
        <v>荆建君</v>
      </c>
      <c r="D37" s="16" t="str">
        <f>IFERROR(IF([2]对账明细接口!$D$37=0,"",[2]对账明细接口!$D$37),"")</f>
        <v>包装物料－领用出库</v>
      </c>
      <c r="E37" s="16" t="str">
        <f>IFERROR(IF([2]对账明细接口!$E$37=0,"",[2]对账明细接口!$E$37),"")</f>
        <v>NO:0001126</v>
      </c>
      <c r="F37" s="16" t="str">
        <f>IFERROR(IF([2]对账明细接口!$F$37=0,"",[2]对账明细接口!$F$37),"")</f>
        <v>香梨网</v>
      </c>
      <c r="G37" s="16" t="str">
        <f>IFERROR(IF([2]对账明细接口!$G$37=0,"",[2]对账明细接口!$G$37),"")</f>
        <v>*包</v>
      </c>
      <c r="H37" s="17">
        <f>IFERROR(IF([2]对账明细接口!$H$37=0,"",[2]对账明细接口!$H$37),"")</f>
        <v>120</v>
      </c>
      <c r="I37" s="16" t="str">
        <f>IFERROR(IF([2]对账明细接口!$I$37=0,"",[2]对账明细接口!$I$37),"")</f>
        <v>包</v>
      </c>
      <c r="J37" s="18" t="str">
        <f>IFERROR(IF([2]对账明细接口!$J$37=0,"",[2]对账明细接口!$J$37),"")</f>
        <v/>
      </c>
      <c r="K37" s="18">
        <f>IFERROR(IF([2]对账明细接口!$K$37=0,"",[2]对账明细接口!$K$37),"")</f>
        <v>5400</v>
      </c>
      <c r="L37" s="16" t="str">
        <f>IFERROR(IF([2]对账明细接口!$L$37=0,"",[2]对账明细接口!$L$37),"")</f>
        <v>未付款</v>
      </c>
      <c r="M37" s="16" t="str">
        <f>IFERROR(IF([2]对账明细接口!$M$37=0,"",[2]对账明细接口!$M$37),"")</f>
        <v/>
      </c>
      <c r="N37" s="19">
        <f t="shared" si="0"/>
        <v>1</v>
      </c>
      <c r="O37" s="19">
        <f t="shared" si="1"/>
        <v>34</v>
      </c>
      <c r="S37" s="20" t="str">
        <f>IFERROR(IF([2]对账明细接口!$N37=0,"",[2]对账明细接口!$N37),"")</f>
        <v/>
      </c>
      <c r="T37" s="21" t="str">
        <f>IFERROR(IF([2]对账明细接口!$O37=0,"",[2]对账明细接口!$O37),"")</f>
        <v/>
      </c>
      <c r="U37" s="21" t="str">
        <f>IFERROR(IF([2]对账明细接口!$P37=0,"",[2]对账明细接口!$P37),"")</f>
        <v/>
      </c>
      <c r="V37" s="21" t="str">
        <f>IFERROR(IF([2]对账明细接口!$Q37=0,"",[2]对账明细接口!$Q37),"")</f>
        <v/>
      </c>
      <c r="W37" s="20" t="str">
        <f>IFERROR(IF([2]对账明细接口!$R37=0,"",[2]对账明细接口!$R37),"")</f>
        <v>豫A*2737K</v>
      </c>
      <c r="X37" s="20" t="str">
        <f>IFERROR(IF([2]对账明细接口!$S37=0,"",[2]对账明细接口!$S37),"")</f>
        <v/>
      </c>
      <c r="Y37" s="20" t="str">
        <f t="shared" si="2"/>
        <v/>
      </c>
      <c r="Z37" s="20" t="str">
        <f t="shared" si="3"/>
        <v/>
      </c>
      <c r="AA37" s="20" t="str">
        <f t="shared" si="4"/>
        <v/>
      </c>
      <c r="AB37" s="20" t="str">
        <f t="shared" si="5"/>
        <v/>
      </c>
    </row>
    <row r="38" customHeight="1" spans="1:28">
      <c r="A38" s="14">
        <v>38</v>
      </c>
      <c r="B38" s="15">
        <f>IFERROR(IF([2]对账明细接口!$B$38=0,"",[2]对账明细接口!$B$38),"")</f>
        <v>46278</v>
      </c>
      <c r="C38" s="16" t="str">
        <f>IFERROR(IF([2]对账明细接口!$C$38=0,"",[2]对账明细接口!$C$38),"")</f>
        <v>吐尔洪</v>
      </c>
      <c r="D38" s="16" t="str">
        <f>IFERROR(IF([2]对账明细接口!$D$38=0,"",[2]对账明细接口!$D$38),"")</f>
        <v>包装物料－领用出库</v>
      </c>
      <c r="E38" s="16" t="str">
        <f>IFERROR(IF([2]对账明细接口!$E$38=0,"",[2]对账明细接口!$E$38),"")</f>
        <v>NO:0001132</v>
      </c>
      <c r="F38" s="16" t="str">
        <f>IFERROR(IF([2]对账明细接口!$F$38=0,"",[2]对账明细接口!$F$38),"")</f>
        <v>香梨网</v>
      </c>
      <c r="G38" s="16" t="str">
        <f>IFERROR(IF([2]对账明细接口!$G$38=0,"",[2]对账明细接口!$G$38),"")</f>
        <v>*包</v>
      </c>
      <c r="H38" s="17">
        <f>IFERROR(IF([2]对账明细接口!$H$38=0,"",[2]对账明细接口!$H$38),"")</f>
        <v>24</v>
      </c>
      <c r="I38" s="16" t="str">
        <f>IFERROR(IF([2]对账明细接口!$I$38=0,"",[2]对账明细接口!$I$38),"")</f>
        <v>包</v>
      </c>
      <c r="J38" s="18" t="str">
        <f>IFERROR(IF([2]对账明细接口!$J$38=0,"",[2]对账明细接口!$J$38),"")</f>
        <v/>
      </c>
      <c r="K38" s="18">
        <f>IFERROR(IF([2]对账明细接口!$K$38=0,"",[2]对账明细接口!$K$38),"")</f>
        <v>1080</v>
      </c>
      <c r="L38" s="16" t="str">
        <f>IFERROR(IF([2]对账明细接口!$L$38=0,"",[2]对账明细接口!$L$38),"")</f>
        <v>未付款</v>
      </c>
      <c r="M38" s="16" t="str">
        <f>IFERROR(IF([2]对账明细接口!$M$38=0,"",[2]对账明细接口!$M$38),"")</f>
        <v/>
      </c>
      <c r="N38" s="19">
        <f t="shared" si="0"/>
        <v>1</v>
      </c>
      <c r="O38" s="19">
        <f t="shared" si="1"/>
        <v>35</v>
      </c>
      <c r="S38" s="20" t="str">
        <f>IFERROR(IF([2]对账明细接口!$N38=0,"",[2]对账明细接口!$N38),"")</f>
        <v/>
      </c>
      <c r="T38" s="21" t="str">
        <f>IFERROR(IF([2]对账明细接口!$O38=0,"",[2]对账明细接口!$O38),"")</f>
        <v/>
      </c>
      <c r="U38" s="21" t="str">
        <f>IFERROR(IF([2]对账明细接口!$P38=0,"",[2]对账明细接口!$P38),"")</f>
        <v/>
      </c>
      <c r="V38" s="21" t="str">
        <f>IFERROR(IF([2]对账明细接口!$Q38=0,"",[2]对账明细接口!$Q38),"")</f>
        <v/>
      </c>
      <c r="W38" s="20" t="str">
        <f>IFERROR(IF([2]对账明细接口!$R38=0,"",[2]对账明细接口!$R38),"")</f>
        <v>新N*X8S48</v>
      </c>
      <c r="X38" s="20" t="str">
        <f>IFERROR(IF([2]对账明细接口!$S38=0,"",[2]对账明细接口!$S38),"")</f>
        <v/>
      </c>
      <c r="Y38" s="20" t="str">
        <f t="shared" si="2"/>
        <v/>
      </c>
      <c r="Z38" s="20" t="str">
        <f t="shared" si="3"/>
        <v/>
      </c>
      <c r="AA38" s="20" t="str">
        <f t="shared" si="4"/>
        <v/>
      </c>
      <c r="AB38" s="20" t="str">
        <f t="shared" si="5"/>
        <v/>
      </c>
    </row>
    <row r="39" customHeight="1" spans="1:28">
      <c r="A39" s="14">
        <v>39</v>
      </c>
      <c r="B39" s="15">
        <f>IFERROR(IF([2]对账明细接口!$B$39=0,"",[2]对账明细接口!$B$39),"")</f>
        <v>46278</v>
      </c>
      <c r="C39" s="16" t="str">
        <f>IFERROR(IF([2]对账明细接口!$C$39=0,"",[2]对账明细接口!$C$39),"")</f>
        <v>努尔敦</v>
      </c>
      <c r="D39" s="16" t="str">
        <f>IFERROR(IF([2]对账明细接口!$D$39=0,"",[2]对账明细接口!$D$39),"")</f>
        <v>包装物料－领用出库</v>
      </c>
      <c r="E39" s="16" t="str">
        <f>IFERROR(IF([2]对账明细接口!$E$39=0,"",[2]对账明细接口!$E$39),"")</f>
        <v>NO:0001133</v>
      </c>
      <c r="F39" s="16" t="str">
        <f>IFERROR(IF([2]对账明细接口!$F$39=0,"",[2]对账明细接口!$F$39),"")</f>
        <v>香梨网</v>
      </c>
      <c r="G39" s="16" t="str">
        <f>IFERROR(IF([2]对账明细接口!$G$39=0,"",[2]对账明细接口!$G$39),"")</f>
        <v>*包</v>
      </c>
      <c r="H39" s="17">
        <f>IFERROR(IF([2]对账明细接口!$H$39=0,"",[2]对账明细接口!$H$39),"")</f>
        <v>120</v>
      </c>
      <c r="I39" s="16" t="str">
        <f>IFERROR(IF([2]对账明细接口!$I$39=0,"",[2]对账明细接口!$I$39),"")</f>
        <v>包</v>
      </c>
      <c r="J39" s="18" t="str">
        <f>IFERROR(IF([2]对账明细接口!$J$39=0,"",[2]对账明细接口!$J$39),"")</f>
        <v/>
      </c>
      <c r="K39" s="18">
        <f>IFERROR(IF([2]对账明细接口!$K$39=0,"",[2]对账明细接口!$K$39),"")</f>
        <v>5400</v>
      </c>
      <c r="L39" s="16" t="str">
        <f>IFERROR(IF([2]对账明细接口!$L$39=0,"",[2]对账明细接口!$L$39),"")</f>
        <v>未付款</v>
      </c>
      <c r="M39" s="16" t="str">
        <f>IFERROR(IF([2]对账明细接口!$M$39=0,"",[2]对账明细接口!$M$39),"")</f>
        <v/>
      </c>
      <c r="N39" s="19">
        <f t="shared" si="0"/>
        <v>1</v>
      </c>
      <c r="O39" s="19">
        <f t="shared" si="1"/>
        <v>36</v>
      </c>
      <c r="S39" s="20" t="str">
        <f>IFERROR(IF([2]对账明细接口!$N39=0,"",[2]对账明细接口!$N39),"")</f>
        <v/>
      </c>
      <c r="T39" s="21" t="str">
        <f>IFERROR(IF([2]对账明细接口!$O39=0,"",[2]对账明细接口!$O39),"")</f>
        <v/>
      </c>
      <c r="U39" s="21" t="str">
        <f>IFERROR(IF([2]对账明细接口!$P39=0,"",[2]对账明细接口!$P39),"")</f>
        <v/>
      </c>
      <c r="V39" s="21" t="str">
        <f>IFERROR(IF([2]对账明细接口!$Q39=0,"",[2]对账明细接口!$Q39),"")</f>
        <v/>
      </c>
      <c r="W39" s="20" t="str">
        <f>IFERROR(IF([2]对账明细接口!$R39=0,"",[2]对账明细接口!$R39),"")</f>
        <v>新F*75240</v>
      </c>
      <c r="X39" s="20" t="str">
        <f>IFERROR(IF([2]对账明细接口!$S39=0,"",[2]对账明细接口!$S39),"")</f>
        <v/>
      </c>
      <c r="Y39" s="20" t="str">
        <f t="shared" si="2"/>
        <v/>
      </c>
      <c r="Z39" s="20" t="str">
        <f t="shared" si="3"/>
        <v/>
      </c>
      <c r="AA39" s="20" t="str">
        <f t="shared" si="4"/>
        <v/>
      </c>
      <c r="AB39" s="20" t="str">
        <f t="shared" si="5"/>
        <v/>
      </c>
    </row>
    <row r="40" customHeight="1" spans="1:28">
      <c r="A40" s="14">
        <v>40</v>
      </c>
      <c r="B40" s="15">
        <f>IFERROR(IF([2]对账明细接口!$B$40=0,"",[2]对账明细接口!$B$40),"")</f>
        <v>46279</v>
      </c>
      <c r="C40" s="16" t="str">
        <f>IFERROR(IF([2]对账明细接口!$C$40=0,"",[2]对账明细接口!$C$40),"")</f>
        <v>新顺发泡网</v>
      </c>
      <c r="D40" s="16" t="str">
        <f>IFERROR(IF([2]对账明细接口!$D$40=0,"",[2]对账明细接口!$D$40),"")</f>
        <v>包装物料－采购入库</v>
      </c>
      <c r="E40" s="16" t="str">
        <f>IFERROR(IF([2]对账明细接口!$E$40=0,"",[2]对账明细接口!$E$40),"")</f>
        <v>NO:0000856</v>
      </c>
      <c r="F40" s="16" t="str">
        <f>IFERROR(IF([2]对账明细接口!$F$40=0,"",[2]对账明细接口!$F$40),"")</f>
        <v>香梨网</v>
      </c>
      <c r="G40" s="16" t="str">
        <f>IFERROR(IF([2]对账明细接口!$G$40=0,"",[2]对账明细接口!$G$40),"")</f>
        <v>*包</v>
      </c>
      <c r="H40" s="17">
        <f>IFERROR(IF([2]对账明细接口!$H$40=0,"",[2]对账明细接口!$H$40),"")</f>
        <v>100</v>
      </c>
      <c r="I40" s="16" t="str">
        <f>IFERROR(IF([2]对账明细接口!$I$40=0,"",[2]对账明细接口!$I$40),"")</f>
        <v>包</v>
      </c>
      <c r="J40" s="18" t="str">
        <f>IFERROR(IF([2]对账明细接口!$J$40=0,"",[2]对账明细接口!$J$40),"")</f>
        <v/>
      </c>
      <c r="K40" s="18">
        <f>IFERROR(IF([2]对账明细接口!$K$40=0,"",[2]对账明细接口!$K$40),"")</f>
        <v>3700</v>
      </c>
      <c r="L40" s="16" t="str">
        <f>IFERROR(IF([2]对账明细接口!$L$40=0,"",[2]对账明细接口!$L$40),"")</f>
        <v>未付款</v>
      </c>
      <c r="M40" s="16" t="str">
        <f>IFERROR(IF([2]对账明细接口!$M$40=0,"",[2]对账明细接口!$M$40),"")</f>
        <v>12#</v>
      </c>
      <c r="N40" s="19">
        <f t="shared" si="0"/>
        <v>1</v>
      </c>
      <c r="O40" s="19">
        <f t="shared" si="1"/>
        <v>37</v>
      </c>
      <c r="S40" s="20" t="str">
        <f>IFERROR(IF([2]对账明细接口!$N40=0,"",[2]对账明细接口!$N40),"")</f>
        <v/>
      </c>
      <c r="T40" s="21" t="str">
        <f>IFERROR(IF([2]对账明细接口!$O40=0,"",[2]对账明细接口!$O40),"")</f>
        <v/>
      </c>
      <c r="U40" s="21" t="str">
        <f>IFERROR(IF([2]对账明细接口!$P40=0,"",[2]对账明细接口!$P40),"")</f>
        <v/>
      </c>
      <c r="V40" s="21" t="str">
        <f>IFERROR(IF([2]对账明细接口!$Q40=0,"",[2]对账明细接口!$Q40),"")</f>
        <v/>
      </c>
      <c r="W40" s="20" t="str">
        <f>IFERROR(IF([2]对账明细接口!$R40=0,"",[2]对账明细接口!$R40),"")</f>
        <v>新N*2698H</v>
      </c>
      <c r="X40" s="20" t="str">
        <f>IFERROR(IF([2]对账明细接口!$S40=0,"",[2]对账明细接口!$S40),"")</f>
        <v/>
      </c>
      <c r="Y40" s="20" t="str">
        <f t="shared" si="2"/>
        <v/>
      </c>
      <c r="Z40" s="20" t="str">
        <f t="shared" si="3"/>
        <v/>
      </c>
      <c r="AA40" s="20" t="str">
        <f t="shared" si="4"/>
        <v/>
      </c>
      <c r="AB40" s="20" t="str">
        <f t="shared" si="5"/>
        <v/>
      </c>
    </row>
    <row r="41" customHeight="1" spans="1:28">
      <c r="A41" s="14">
        <v>41</v>
      </c>
      <c r="B41" s="15">
        <f>IFERROR(IF([2]对账明细接口!$B$41=0,"",[2]对账明细接口!$B$41),"")</f>
        <v>46280</v>
      </c>
      <c r="C41" s="16" t="str">
        <f>IFERROR(IF([2]对账明细接口!$C$41=0,"",[2]对账明细接口!$C$41),"")</f>
        <v>新顺发泡网</v>
      </c>
      <c r="D41" s="16" t="str">
        <f>IFERROR(IF([2]对账明细接口!$D$41=0,"",[2]对账明细接口!$D$41),"")</f>
        <v>包装物料－采购入库</v>
      </c>
      <c r="E41" s="16" t="str">
        <f>IFERROR(IF([2]对账明细接口!$E$41=0,"",[2]对账明细接口!$E$41),"")</f>
        <v>NO:0000862</v>
      </c>
      <c r="F41" s="16" t="str">
        <f>IFERROR(IF([2]对账明细接口!$F$41=0,"",[2]对账明细接口!$F$41),"")</f>
        <v>香梨网</v>
      </c>
      <c r="G41" s="16" t="str">
        <f>IFERROR(IF([2]对账明细接口!$G$41=0,"",[2]对账明细接口!$G$41),"")</f>
        <v>*包</v>
      </c>
      <c r="H41" s="17">
        <f>IFERROR(IF([2]对账明细接口!$H$41=0,"",[2]对账明细接口!$H$41),"")</f>
        <v>120</v>
      </c>
      <c r="I41" s="16" t="str">
        <f>IFERROR(IF([2]对账明细接口!$I$41=0,"",[2]对账明细接口!$I$41),"")</f>
        <v>包</v>
      </c>
      <c r="J41" s="18" t="str">
        <f>IFERROR(IF([2]对账明细接口!$J$41=0,"",[2]对账明细接口!$J$41),"")</f>
        <v/>
      </c>
      <c r="K41" s="18">
        <f>IFERROR(IF([2]对账明细接口!$K$41=0,"",[2]对账明细接口!$K$41),"")</f>
        <v>4440</v>
      </c>
      <c r="L41" s="16" t="str">
        <f>IFERROR(IF([2]对账明细接口!$L$41=0,"",[2]对账明细接口!$L$41),"")</f>
        <v>未付款</v>
      </c>
      <c r="M41" s="16" t="str">
        <f>IFERROR(IF([2]对账明细接口!$M$41=0,"",[2]对账明细接口!$M$41),"")</f>
        <v>12#</v>
      </c>
      <c r="N41" s="19">
        <f t="shared" si="0"/>
        <v>1</v>
      </c>
      <c r="O41" s="19">
        <f t="shared" si="1"/>
        <v>38</v>
      </c>
      <c r="S41" s="20" t="str">
        <f>IFERROR(IF([2]对账明细接口!$N41=0,"",[2]对账明细接口!$N41),"")</f>
        <v/>
      </c>
      <c r="T41" s="21" t="str">
        <f>IFERROR(IF([2]对账明细接口!$O41=0,"",[2]对账明细接口!$O41),"")</f>
        <v/>
      </c>
      <c r="U41" s="21" t="str">
        <f>IFERROR(IF([2]对账明细接口!$P41=0,"",[2]对账明细接口!$P41),"")</f>
        <v/>
      </c>
      <c r="V41" s="21" t="str">
        <f>IFERROR(IF([2]对账明细接口!$Q41=0,"",[2]对账明细接口!$Q41),"")</f>
        <v/>
      </c>
      <c r="W41" s="20" t="str">
        <f>IFERROR(IF([2]对账明细接口!$R41=0,"",[2]对账明细接口!$R41),"")</f>
        <v>皖L*SD929</v>
      </c>
      <c r="X41" s="20" t="str">
        <f>IFERROR(IF([2]对账明细接口!$S41=0,"",[2]对账明细接口!$S41),"")</f>
        <v/>
      </c>
      <c r="Y41" s="20" t="str">
        <f t="shared" si="2"/>
        <v/>
      </c>
      <c r="Z41" s="20" t="str">
        <f t="shared" si="3"/>
        <v/>
      </c>
      <c r="AA41" s="20" t="str">
        <f t="shared" si="4"/>
        <v/>
      </c>
      <c r="AB41" s="20" t="str">
        <f t="shared" si="5"/>
        <v/>
      </c>
    </row>
    <row r="42" customHeight="1" spans="1:28">
      <c r="A42" s="14">
        <v>42</v>
      </c>
      <c r="B42" s="15">
        <f>IFERROR(IF([2]对账明细接口!$B$42=0,"",[2]对账明细接口!$B$42),"")</f>
        <v>46280</v>
      </c>
      <c r="C42" s="16" t="str">
        <f>IFERROR(IF([2]对账明细接口!$C$42=0,"",[2]对账明细接口!$C$42),"")</f>
        <v>新顺发泡网</v>
      </c>
      <c r="D42" s="16" t="str">
        <f>IFERROR(IF([2]对账明细接口!$D$42=0,"",[2]对账明细接口!$D$42),"")</f>
        <v>包装物料－采购入库</v>
      </c>
      <c r="E42" s="16" t="str">
        <f>IFERROR(IF([2]对账明细接口!$E$42=0,"",[2]对账明细接口!$E$42),"")</f>
        <v>NO:0000865</v>
      </c>
      <c r="F42" s="16" t="str">
        <f>IFERROR(IF([2]对账明细接口!$F$42=0,"",[2]对账明细接口!$F$42),"")</f>
        <v>香梨网</v>
      </c>
      <c r="G42" s="16" t="str">
        <f>IFERROR(IF([2]对账明细接口!$G$42=0,"",[2]对账明细接口!$G$42),"")</f>
        <v>*包</v>
      </c>
      <c r="H42" s="17">
        <f>IFERROR(IF([2]对账明细接口!$H$42=0,"",[2]对账明细接口!$H$42),"")</f>
        <v>120</v>
      </c>
      <c r="I42" s="16" t="str">
        <f>IFERROR(IF([2]对账明细接口!$I$42=0,"",[2]对账明细接口!$I$42),"")</f>
        <v>包</v>
      </c>
      <c r="J42" s="18" t="str">
        <f>IFERROR(IF([2]对账明细接口!$J$42=0,"",[2]对账明细接口!$J$42),"")</f>
        <v/>
      </c>
      <c r="K42" s="18">
        <f>IFERROR(IF([2]对账明细接口!$K$42=0,"",[2]对账明细接口!$K$42),"")</f>
        <v>4440</v>
      </c>
      <c r="L42" s="16" t="str">
        <f>IFERROR(IF([2]对账明细接口!$L$42=0,"",[2]对账明细接口!$L$42),"")</f>
        <v>未付款</v>
      </c>
      <c r="M42" s="16" t="str">
        <f>IFERROR(IF([2]对账明细接口!$M$42=0,"",[2]对账明细接口!$M$42),"")</f>
        <v>12#</v>
      </c>
      <c r="N42" s="19">
        <f t="shared" si="0"/>
        <v>1</v>
      </c>
      <c r="O42" s="19">
        <f t="shared" si="1"/>
        <v>39</v>
      </c>
      <c r="S42" s="20" t="str">
        <f>IFERROR(IF([2]对账明细接口!$N42=0,"",[2]对账明细接口!$N42),"")</f>
        <v/>
      </c>
      <c r="T42" s="21" t="str">
        <f>IFERROR(IF([2]对账明细接口!$O42=0,"",[2]对账明细接口!$O42),"")</f>
        <v/>
      </c>
      <c r="U42" s="21" t="str">
        <f>IFERROR(IF([2]对账明细接口!$P42=0,"",[2]对账明细接口!$P42),"")</f>
        <v/>
      </c>
      <c r="V42" s="21" t="str">
        <f>IFERROR(IF([2]对账明细接口!$Q42=0,"",[2]对账明细接口!$Q42),"")</f>
        <v/>
      </c>
      <c r="W42" s="20" t="str">
        <f>IFERROR(IF([2]对账明细接口!$R42=0,"",[2]对账明细接口!$R42),"")</f>
        <v>皖L*KW876</v>
      </c>
      <c r="X42" s="20" t="str">
        <f>IFERROR(IF([2]对账明细接口!$S42=0,"",[2]对账明细接口!$S42),"")</f>
        <v/>
      </c>
      <c r="Y42" s="20" t="str">
        <f t="shared" si="2"/>
        <v/>
      </c>
      <c r="Z42" s="20" t="str">
        <f t="shared" si="3"/>
        <v/>
      </c>
      <c r="AA42" s="20" t="str">
        <f t="shared" si="4"/>
        <v/>
      </c>
      <c r="AB42" s="20" t="str">
        <f t="shared" si="5"/>
        <v/>
      </c>
    </row>
    <row r="43" customHeight="1" spans="1:28">
      <c r="A43" s="14">
        <v>43</v>
      </c>
      <c r="B43" s="15">
        <f>IFERROR(IF([2]对账明细接口!$B$43=0,"",[2]对账明细接口!$B$43),"")</f>
        <v>46281</v>
      </c>
      <c r="C43" s="16" t="str">
        <f>IFERROR(IF([2]对账明细接口!$C$43=0,"",[2]对账明细接口!$C$43),"")</f>
        <v>热合曼</v>
      </c>
      <c r="D43" s="16" t="str">
        <f>IFERROR(IF([2]对账明细接口!$D$43=0,"",[2]对账明细接口!$D$43),"")</f>
        <v>包装物料－领用出库</v>
      </c>
      <c r="E43" s="16" t="str">
        <f>IFERROR(IF([2]对账明细接口!$E$43=0,"",[2]对账明细接口!$E$43),"")</f>
        <v>NO:0001149</v>
      </c>
      <c r="F43" s="16" t="str">
        <f>IFERROR(IF([2]对账明细接口!$F$43=0,"",[2]对账明细接口!$F$43),"")</f>
        <v>香梨网</v>
      </c>
      <c r="G43" s="16" t="str">
        <f>IFERROR(IF([2]对账明细接口!$G$43=0,"",[2]对账明细接口!$G$43),"")</f>
        <v>*包</v>
      </c>
      <c r="H43" s="17">
        <f>IFERROR(IF([2]对账明细接口!$H$43=0,"",[2]对账明细接口!$H$43),"")</f>
        <v>48</v>
      </c>
      <c r="I43" s="16" t="str">
        <f>IFERROR(IF([2]对账明细接口!$I$43=0,"",[2]对账明细接口!$I$43),"")</f>
        <v>包</v>
      </c>
      <c r="J43" s="18" t="str">
        <f>IFERROR(IF([2]对账明细接口!$J$43=0,"",[2]对账明细接口!$J$43),"")</f>
        <v/>
      </c>
      <c r="K43" s="18">
        <f>IFERROR(IF([2]对账明细接口!$K$43=0,"",[2]对账明细接口!$K$43),"")</f>
        <v>2160</v>
      </c>
      <c r="L43" s="16" t="str">
        <f>IFERROR(IF([2]对账明细接口!$L$43=0,"",[2]对账明细接口!$L$43),"")</f>
        <v>未付款</v>
      </c>
      <c r="M43" s="16" t="str">
        <f>IFERROR(IF([2]对账明细接口!$M$43=0,"",[2]对账明细接口!$M$43),"")</f>
        <v/>
      </c>
      <c r="N43" s="19">
        <f t="shared" si="0"/>
        <v>1</v>
      </c>
      <c r="O43" s="19">
        <f t="shared" si="1"/>
        <v>40</v>
      </c>
      <c r="S43" s="20" t="str">
        <f>IFERROR(IF([2]对账明细接口!$N43=0,"",[2]对账明细接口!$N43),"")</f>
        <v/>
      </c>
      <c r="T43" s="21" t="str">
        <f>IFERROR(IF([2]对账明细接口!$O43=0,"",[2]对账明细接口!$O43),"")</f>
        <v/>
      </c>
      <c r="U43" s="21" t="str">
        <f>IFERROR(IF([2]对账明细接口!$P43=0,"",[2]对账明细接口!$P43),"")</f>
        <v/>
      </c>
      <c r="V43" s="21" t="str">
        <f>IFERROR(IF([2]对账明细接口!$Q43=0,"",[2]对账明细接口!$Q43),"")</f>
        <v/>
      </c>
      <c r="W43" s="20" t="str">
        <f>IFERROR(IF([2]对账明细接口!$R43=0,"",[2]对账明细接口!$R43),"")</f>
        <v>新A*G0544</v>
      </c>
      <c r="X43" s="20" t="str">
        <f>IFERROR(IF([2]对账明细接口!$S43=0,"",[2]对账明细接口!$S43),"")</f>
        <v/>
      </c>
      <c r="Y43" s="20" t="str">
        <f t="shared" si="2"/>
        <v/>
      </c>
      <c r="Z43" s="20" t="str">
        <f t="shared" si="3"/>
        <v/>
      </c>
      <c r="AA43" s="20" t="str">
        <f t="shared" si="4"/>
        <v/>
      </c>
      <c r="AB43" s="20" t="str">
        <f t="shared" si="5"/>
        <v/>
      </c>
    </row>
    <row r="44" customHeight="1" spans="1:28">
      <c r="A44" s="14">
        <v>44</v>
      </c>
      <c r="B44" s="15">
        <f>IFERROR(IF([2]对账明细接口!$B$44=0,"",[2]对账明细接口!$B$44),"")</f>
        <v>46282</v>
      </c>
      <c r="C44" s="16" t="str">
        <f>IFERROR(IF([2]对账明细接口!$C$44=0,"",[2]对账明细接口!$C$44),"")</f>
        <v>努尔敦</v>
      </c>
      <c r="D44" s="16" t="str">
        <f>IFERROR(IF([2]对账明细接口!$D$44=0,"",[2]对账明细接口!$D$44),"")</f>
        <v>包装物料－领用出库</v>
      </c>
      <c r="E44" s="16" t="str">
        <f>IFERROR(IF([2]对账明细接口!$E$44=0,"",[2]对账明细接口!$E$44),"")</f>
        <v>NO:0001163</v>
      </c>
      <c r="F44" s="16" t="str">
        <f>IFERROR(IF([2]对账明细接口!$F$44=0,"",[2]对账明细接口!$F$44),"")</f>
        <v>香梨网</v>
      </c>
      <c r="G44" s="16" t="str">
        <f>IFERROR(IF([2]对账明细接口!$G$44=0,"",[2]对账明细接口!$G$44),"")</f>
        <v>*包</v>
      </c>
      <c r="H44" s="17">
        <f>IFERROR(IF([2]对账明细接口!$H$44=0,"",[2]对账明细接口!$H$44),"")</f>
        <v>60</v>
      </c>
      <c r="I44" s="16" t="str">
        <f>IFERROR(IF([2]对账明细接口!$I$44=0,"",[2]对账明细接口!$I$44),"")</f>
        <v>包</v>
      </c>
      <c r="J44" s="18" t="str">
        <f>IFERROR(IF([2]对账明细接口!$J$44=0,"",[2]对账明细接口!$J$44),"")</f>
        <v/>
      </c>
      <c r="K44" s="18">
        <f>IFERROR(IF([2]对账明细接口!$K$44=0,"",[2]对账明细接口!$K$44),"")</f>
        <v>2700</v>
      </c>
      <c r="L44" s="16" t="str">
        <f>IFERROR(IF([2]对账明细接口!$L$44=0,"",[2]对账明细接口!$L$44),"")</f>
        <v>未付款</v>
      </c>
      <c r="M44" s="16" t="str">
        <f>IFERROR(IF([2]对账明细接口!$M$44=0,"",[2]对账明细接口!$M$44),"")</f>
        <v/>
      </c>
      <c r="N44" s="19">
        <f t="shared" si="0"/>
        <v>1</v>
      </c>
      <c r="O44" s="19">
        <f t="shared" si="1"/>
        <v>41</v>
      </c>
      <c r="S44" s="20" t="str">
        <f>IFERROR(IF([2]对账明细接口!$N44=0,"",[2]对账明细接口!$N44),"")</f>
        <v/>
      </c>
      <c r="T44" s="21" t="str">
        <f>IFERROR(IF([2]对账明细接口!$O44=0,"",[2]对账明细接口!$O44),"")</f>
        <v/>
      </c>
      <c r="U44" s="21" t="str">
        <f>IFERROR(IF([2]对账明细接口!$P44=0,"",[2]对账明细接口!$P44),"")</f>
        <v/>
      </c>
      <c r="V44" s="21" t="str">
        <f>IFERROR(IF([2]对账明细接口!$Q44=0,"",[2]对账明细接口!$Q44),"")</f>
        <v/>
      </c>
      <c r="W44" s="20" t="str">
        <f>IFERROR(IF([2]对账明细接口!$R44=0,"",[2]对账明细接口!$R44),"")</f>
        <v>新N*F0M01</v>
      </c>
      <c r="X44" s="20" t="str">
        <f>IFERROR(IF([2]对账明细接口!$S44=0,"",[2]对账明细接口!$S44),"")</f>
        <v/>
      </c>
      <c r="Y44" s="20" t="str">
        <f t="shared" si="2"/>
        <v/>
      </c>
      <c r="Z44" s="20" t="str">
        <f t="shared" si="3"/>
        <v/>
      </c>
      <c r="AA44" s="20" t="str">
        <f t="shared" si="4"/>
        <v/>
      </c>
      <c r="AB44" s="20" t="str">
        <f t="shared" si="5"/>
        <v/>
      </c>
    </row>
    <row r="45" customHeight="1" spans="1:28">
      <c r="A45" s="14">
        <v>45</v>
      </c>
      <c r="B45" s="15">
        <f>IFERROR(IF([2]对账明细接口!$B$45=0,"",[2]对账明细接口!$B$45),"")</f>
        <v>46282</v>
      </c>
      <c r="C45" s="16" t="str">
        <f>IFERROR(IF([2]对账明细接口!$C$45=0,"",[2]对账明细接口!$C$45),"")</f>
        <v>热合曼</v>
      </c>
      <c r="D45" s="16" t="str">
        <f>IFERROR(IF([2]对账明细接口!$D$45=0,"",[2]对账明细接口!$D$45),"")</f>
        <v>包装物料－领用出库</v>
      </c>
      <c r="E45" s="16" t="str">
        <f>IFERROR(IF([2]对账明细接口!$E$45=0,"",[2]对账明细接口!$E$45),"")</f>
        <v>NO:0001169</v>
      </c>
      <c r="F45" s="16" t="str">
        <f>IFERROR(IF([2]对账明细接口!$F$45=0,"",[2]对账明细接口!$F$45),"")</f>
        <v>香梨网</v>
      </c>
      <c r="G45" s="16" t="str">
        <f>IFERROR(IF([2]对账明细接口!$G$45=0,"",[2]对账明细接口!$G$45),"")</f>
        <v>*包</v>
      </c>
      <c r="H45" s="17">
        <f>IFERROR(IF([2]对账明细接口!$H$45=0,"",[2]对账明细接口!$H$45),"")</f>
        <v>48</v>
      </c>
      <c r="I45" s="16" t="str">
        <f>IFERROR(IF([2]对账明细接口!$I$45=0,"",[2]对账明细接口!$I$45),"")</f>
        <v>包</v>
      </c>
      <c r="J45" s="18" t="str">
        <f>IFERROR(IF([2]对账明细接口!$J$45=0,"",[2]对账明细接口!$J$45),"")</f>
        <v/>
      </c>
      <c r="K45" s="18">
        <f>IFERROR(IF([2]对账明细接口!$K$45=0,"",[2]对账明细接口!$K$45),"")</f>
        <v>2160</v>
      </c>
      <c r="L45" s="16" t="str">
        <f>IFERROR(IF([2]对账明细接口!$L$45=0,"",[2]对账明细接口!$L$45),"")</f>
        <v>未付款</v>
      </c>
      <c r="M45" s="16" t="str">
        <f>IFERROR(IF([2]对账明细接口!$M$45=0,"",[2]对账明细接口!$M$45),"")</f>
        <v/>
      </c>
      <c r="N45" s="19">
        <f t="shared" si="0"/>
        <v>1</v>
      </c>
      <c r="O45" s="19">
        <f t="shared" si="1"/>
        <v>42</v>
      </c>
      <c r="S45" s="20" t="str">
        <f>IFERROR(IF([2]对账明细接口!$N45=0,"",[2]对账明细接口!$N45),"")</f>
        <v/>
      </c>
      <c r="T45" s="21" t="str">
        <f>IFERROR(IF([2]对账明细接口!$O45=0,"",[2]对账明细接口!$O45),"")</f>
        <v/>
      </c>
      <c r="U45" s="21" t="str">
        <f>IFERROR(IF([2]对账明细接口!$P45=0,"",[2]对账明细接口!$P45),"")</f>
        <v/>
      </c>
      <c r="V45" s="21" t="str">
        <f>IFERROR(IF([2]对账明细接口!$Q45=0,"",[2]对账明细接口!$Q45),"")</f>
        <v/>
      </c>
      <c r="W45" s="20" t="str">
        <f>IFERROR(IF([2]对账明细接口!$R45=0,"",[2]对账明细接口!$R45),"")</f>
        <v>新A*G0544</v>
      </c>
      <c r="X45" s="20" t="str">
        <f>IFERROR(IF([2]对账明细接口!$S45=0,"",[2]对账明细接口!$S45),"")</f>
        <v/>
      </c>
      <c r="Y45" s="20" t="str">
        <f t="shared" si="2"/>
        <v/>
      </c>
      <c r="Z45" s="20" t="str">
        <f t="shared" si="3"/>
        <v/>
      </c>
      <c r="AA45" s="20" t="str">
        <f t="shared" si="4"/>
        <v/>
      </c>
      <c r="AB45" s="20" t="str">
        <f t="shared" si="5"/>
        <v/>
      </c>
    </row>
    <row r="46" customHeight="1" spans="1:28">
      <c r="A46" s="14">
        <v>46</v>
      </c>
      <c r="B46" s="15">
        <f>IFERROR(IF([2]对账明细接口!$B$46=0,"",[2]对账明细接口!$B$46),"")</f>
        <v>46282</v>
      </c>
      <c r="C46" s="16" t="str">
        <f>IFERROR(IF([2]对账明细接口!$C$46=0,"",[2]对账明细接口!$C$46),"")</f>
        <v>努尔敦</v>
      </c>
      <c r="D46" s="16" t="str">
        <f>IFERROR(IF([2]对账明细接口!$D$46=0,"",[2]对账明细接口!$D$46),"")</f>
        <v>包装物料－领用出库</v>
      </c>
      <c r="E46" s="16" t="str">
        <f>IFERROR(IF([2]对账明细接口!$E$46=0,"",[2]对账明细接口!$E$46),"")</f>
        <v>NO:0001171</v>
      </c>
      <c r="F46" s="16" t="str">
        <f>IFERROR(IF([2]对账明细接口!$F$46=0,"",[2]对账明细接口!$F$46),"")</f>
        <v>香梨网</v>
      </c>
      <c r="G46" s="16" t="str">
        <f>IFERROR(IF([2]对账明细接口!$G$46=0,"",[2]对账明细接口!$G$46),"")</f>
        <v>*包</v>
      </c>
      <c r="H46" s="17">
        <f>IFERROR(IF([2]对账明细接口!$H$46=0,"",[2]对账明细接口!$H$46),"")</f>
        <v>77</v>
      </c>
      <c r="I46" s="16" t="str">
        <f>IFERROR(IF([2]对账明细接口!$I$46=0,"",[2]对账明细接口!$I$46),"")</f>
        <v>包</v>
      </c>
      <c r="J46" s="18" t="str">
        <f>IFERROR(IF([2]对账明细接口!$J$46=0,"",[2]对账明细接口!$J$46),"")</f>
        <v/>
      </c>
      <c r="K46" s="18">
        <f>IFERROR(IF([2]对账明细接口!$K$46=0,"",[2]对账明细接口!$K$46),"")</f>
        <v>3465</v>
      </c>
      <c r="L46" s="16" t="str">
        <f>IFERROR(IF([2]对账明细接口!$L$46=0,"",[2]对账明细接口!$L$46),"")</f>
        <v>未付款</v>
      </c>
      <c r="M46" s="16" t="str">
        <f>IFERROR(IF([2]对账明细接口!$M$46=0,"",[2]对账明细接口!$M$46),"")</f>
        <v/>
      </c>
      <c r="N46" s="19">
        <f t="shared" si="0"/>
        <v>1</v>
      </c>
      <c r="O46" s="19">
        <f t="shared" si="1"/>
        <v>43</v>
      </c>
      <c r="S46" s="20" t="str">
        <f>IFERROR(IF([2]对账明细接口!$N46=0,"",[2]对账明细接口!$N46),"")</f>
        <v/>
      </c>
      <c r="T46" s="21" t="str">
        <f>IFERROR(IF([2]对账明细接口!$O46=0,"",[2]对账明细接口!$O46),"")</f>
        <v/>
      </c>
      <c r="U46" s="21" t="str">
        <f>IFERROR(IF([2]对账明细接口!$P46=0,"",[2]对账明细接口!$P46),"")</f>
        <v/>
      </c>
      <c r="V46" s="21" t="str">
        <f>IFERROR(IF([2]对账明细接口!$Q46=0,"",[2]对账明细接口!$Q46),"")</f>
        <v/>
      </c>
      <c r="W46" s="20" t="str">
        <f>IFERROR(IF([2]对账明细接口!$R46=0,"",[2]对账明细接口!$R46),"")</f>
        <v>新F*75240</v>
      </c>
      <c r="X46" s="20" t="str">
        <f>IFERROR(IF([2]对账明细接口!$S46=0,"",[2]对账明细接口!$S46),"")</f>
        <v/>
      </c>
      <c r="Y46" s="20" t="str">
        <f t="shared" si="2"/>
        <v/>
      </c>
      <c r="Z46" s="20" t="str">
        <f t="shared" si="3"/>
        <v/>
      </c>
      <c r="AA46" s="20" t="str">
        <f t="shared" si="4"/>
        <v/>
      </c>
      <c r="AB46" s="20" t="str">
        <f t="shared" si="5"/>
        <v/>
      </c>
    </row>
    <row r="47" customHeight="1" spans="1:28">
      <c r="A47" s="14">
        <v>47</v>
      </c>
      <c r="B47" s="15">
        <f>IFERROR(IF([2]对账明细接口!$B$47=0,"",[2]对账明细接口!$B$47),"")</f>
        <v>46245</v>
      </c>
      <c r="C47" s="16" t="str">
        <f>IFERROR(IF([2]对账明细接口!$C$47=0,"",[2]对账明细接口!$C$47),"")</f>
        <v>王照雪</v>
      </c>
      <c r="D47" s="16" t="str">
        <f>IFERROR(IF([2]对账明细接口!$D$47=0,"",[2]对账明细接口!$D$47),"")</f>
        <v>周转筐－领用出库</v>
      </c>
      <c r="E47" s="16" t="str">
        <f>IFERROR(IF([2]对账明细接口!$E$47=0,"",[2]对账明细接口!$E$47),"")</f>
        <v>NO:0001015</v>
      </c>
      <c r="F47" s="16" t="str">
        <f>IFERROR(IF([2]对账明细接口!$F$47=0,"",[2]对账明细接口!$F$47),"")</f>
        <v>公司杂周转筐</v>
      </c>
      <c r="G47" s="16" t="str">
        <f>IFERROR(IF([2]对账明细接口!$G$47=0,"",[2]对账明细接口!$G$47),"")</f>
        <v/>
      </c>
      <c r="H47" s="17">
        <f>IFERROR(IF([2]对账明细接口!$H$47=0,"",[2]对账明细接口!$H$47),"")</f>
        <v>351</v>
      </c>
      <c r="I47" s="16" t="str">
        <f>IFERROR(IF([2]对账明细接口!$I$47=0,"",[2]对账明细接口!$I$47),"")</f>
        <v>个</v>
      </c>
      <c r="J47" s="18" t="str">
        <f>IFERROR(IF([2]对账明细接口!$J$47=0,"",[2]对账明细接口!$J$47),"")</f>
        <v/>
      </c>
      <c r="K47" s="18" t="str">
        <f>IFERROR(IF([2]对账明细接口!$K$47=0,"",[2]对账明细接口!$K$47),"")</f>
        <v/>
      </c>
      <c r="L47" s="16" t="str">
        <f>IFERROR(IF([2]对账明细接口!$L$47=0,"",[2]对账明细接口!$L$47),"")</f>
        <v/>
      </c>
      <c r="M47" s="16" t="str">
        <f>IFERROR(IF([2]对账明细接口!$M$47=0,"",[2]对账明细接口!$M$47),"")</f>
        <v/>
      </c>
      <c r="N47" s="19">
        <f t="shared" si="0"/>
        <v>1</v>
      </c>
      <c r="O47" s="19">
        <f t="shared" si="1"/>
        <v>44</v>
      </c>
      <c r="S47" s="20" t="str">
        <f>IFERROR(IF([2]对账明细接口!$N47=0,"",[2]对账明细接口!$N47),"")</f>
        <v>公司杂周转筐</v>
      </c>
      <c r="T47" s="21">
        <f>IFERROR(IF([2]对账明细接口!$O47=0,"",[2]对账明细接口!$O47),"")</f>
        <v>351</v>
      </c>
      <c r="U47" s="21" t="str">
        <f>IFERROR(IF([2]对账明细接口!$P47=0,"",[2]对账明细接口!$P47),"")</f>
        <v/>
      </c>
      <c r="V47" s="21" t="str">
        <f>IFERROR(IF([2]对账明细接口!$Q47=0,"",[2]对账明细接口!$Q47),"")</f>
        <v/>
      </c>
      <c r="W47" s="20" t="str">
        <f>IFERROR(IF([2]对账明细接口!$R47=0,"",[2]对账明细接口!$R47),"")</f>
        <v>豫L*88X19</v>
      </c>
      <c r="X47" s="20" t="str">
        <f>IFERROR(IF([2]对账明细接口!$S47=0,"",[2]对账明细接口!$S47),"")</f>
        <v>公司筐</v>
      </c>
      <c r="Y47" s="20" t="str">
        <f t="shared" si="2"/>
        <v/>
      </c>
      <c r="Z47" s="20" t="str">
        <f t="shared" si="3"/>
        <v/>
      </c>
      <c r="AA47" s="20" t="str">
        <f t="shared" si="4"/>
        <v/>
      </c>
      <c r="AB47" s="20" t="str">
        <f t="shared" si="5"/>
        <v/>
      </c>
    </row>
    <row r="48" customHeight="1" spans="1:28">
      <c r="A48" s="14">
        <v>48</v>
      </c>
      <c r="B48" s="15">
        <f>IFERROR(IF([2]对账明细接口!$B$48=0,"",[2]对账明细接口!$B$48),"")</f>
        <v>46255</v>
      </c>
      <c r="C48" s="16" t="str">
        <f>IFERROR(IF([2]对账明细接口!$C$48=0,"",[2]对账明细接口!$C$48),"")</f>
        <v>王照雪</v>
      </c>
      <c r="D48" s="16" t="str">
        <f>IFERROR(IF([2]对账明细接口!$D$48=0,"",[2]对账明细接口!$D$48),"")</f>
        <v>周转筐－领用出库</v>
      </c>
      <c r="E48" s="16" t="str">
        <f>IFERROR(IF([2]对账明细接口!$E$48=0,"",[2]对账明细接口!$E$48),"")</f>
        <v>NO:0001022</v>
      </c>
      <c r="F48" s="16" t="str">
        <f>IFERROR(IF([2]对账明细接口!$F$48=0,"",[2]对账明细接口!$F$48),"")</f>
        <v>公司杂周转筐</v>
      </c>
      <c r="G48" s="16" t="str">
        <f>IFERROR(IF([2]对账明细接口!$G$48=0,"",[2]对账明细接口!$G$48),"")</f>
        <v/>
      </c>
      <c r="H48" s="17">
        <f>IFERROR(IF([2]对账明细接口!$H$48=0,"",[2]对账明细接口!$H$48),"")</f>
        <v>432</v>
      </c>
      <c r="I48" s="16" t="str">
        <f>IFERROR(IF([2]对账明细接口!$I$48=0,"",[2]对账明细接口!$I$48),"")</f>
        <v>个</v>
      </c>
      <c r="J48" s="18" t="str">
        <f>IFERROR(IF([2]对账明细接口!$J$48=0,"",[2]对账明细接口!$J$48),"")</f>
        <v/>
      </c>
      <c r="K48" s="18" t="str">
        <f>IFERROR(IF([2]对账明细接口!$K$48=0,"",[2]对账明细接口!$K$48),"")</f>
        <v/>
      </c>
      <c r="L48" s="16" t="str">
        <f>IFERROR(IF([2]对账明细接口!$L$48=0,"",[2]对账明细接口!$L$48),"")</f>
        <v/>
      </c>
      <c r="M48" s="16" t="str">
        <f>IFERROR(IF([2]对账明细接口!$M$48=0,"",[2]对账明细接口!$M$48),"")</f>
        <v/>
      </c>
      <c r="N48" s="19">
        <f t="shared" si="0"/>
        <v>1</v>
      </c>
      <c r="O48" s="19">
        <f t="shared" si="1"/>
        <v>45</v>
      </c>
      <c r="S48" s="20" t="str">
        <f>IFERROR(IF([2]对账明细接口!$N48=0,"",[2]对账明细接口!$N48),"")</f>
        <v>公司杂周转筐</v>
      </c>
      <c r="T48" s="21">
        <f>IFERROR(IF([2]对账明细接口!$O48=0,"",[2]对账明细接口!$O48),"")</f>
        <v>432</v>
      </c>
      <c r="U48" s="21" t="str">
        <f>IFERROR(IF([2]对账明细接口!$P48=0,"",[2]对账明细接口!$P48),"")</f>
        <v/>
      </c>
      <c r="V48" s="21" t="str">
        <f>IFERROR(IF([2]对账明细接口!$Q48=0,"",[2]对账明细接口!$Q48),"")</f>
        <v/>
      </c>
      <c r="W48" s="20" t="str">
        <f>IFERROR(IF([2]对账明细接口!$R48=0,"",[2]对账明细接口!$R48),"")</f>
        <v>豫L*88X19</v>
      </c>
      <c r="X48" s="20" t="str">
        <f>IFERROR(IF([2]对账明细接口!$S48=0,"",[2]对账明细接口!$S48),"")</f>
        <v>公司筐</v>
      </c>
      <c r="Y48" s="20" t="str">
        <f t="shared" si="2"/>
        <v/>
      </c>
      <c r="Z48" s="20" t="str">
        <f t="shared" si="3"/>
        <v/>
      </c>
      <c r="AA48" s="20" t="str">
        <f t="shared" si="4"/>
        <v/>
      </c>
      <c r="AB48" s="20" t="str">
        <f t="shared" si="5"/>
        <v/>
      </c>
    </row>
    <row r="49" customHeight="1" spans="1:28">
      <c r="A49" s="14">
        <v>49</v>
      </c>
      <c r="B49" s="15">
        <f>IFERROR(IF([2]对账明细接口!$B$49=0,"",[2]对账明细接口!$B$49),"")</f>
        <v>46258</v>
      </c>
      <c r="C49" s="16" t="str">
        <f>IFERROR(IF([2]对账明细接口!$C$49=0,"",[2]对账明细接口!$C$49),"")</f>
        <v>王照雪</v>
      </c>
      <c r="D49" s="16" t="str">
        <f>IFERROR(IF([2]对账明细接口!$D$49=0,"",[2]对账明细接口!$D$49),"")</f>
        <v>周转筐－领用出库</v>
      </c>
      <c r="E49" s="16" t="str">
        <f>IFERROR(IF([2]对账明细接口!$E$49=0,"",[2]对账明细接口!$E$49),"")</f>
        <v>NO:0001031</v>
      </c>
      <c r="F49" s="16" t="str">
        <f>IFERROR(IF([2]对账明细接口!$F$49=0,"",[2]对账明细接口!$F$49),"")</f>
        <v>公司杂周转筐</v>
      </c>
      <c r="G49" s="16" t="str">
        <f>IFERROR(IF([2]对账明细接口!$G$49=0,"",[2]对账明细接口!$G$49),"")</f>
        <v/>
      </c>
      <c r="H49" s="17">
        <f>IFERROR(IF([2]对账明细接口!$H$49=0,"",[2]对账明细接口!$H$49),"")</f>
        <v>282</v>
      </c>
      <c r="I49" s="16" t="str">
        <f>IFERROR(IF([2]对账明细接口!$I$49=0,"",[2]对账明细接口!$I$49),"")</f>
        <v>个</v>
      </c>
      <c r="J49" s="18" t="str">
        <f>IFERROR(IF([2]对账明细接口!$J$49=0,"",[2]对账明细接口!$J$49),"")</f>
        <v/>
      </c>
      <c r="K49" s="18" t="str">
        <f>IFERROR(IF([2]对账明细接口!$K$49=0,"",[2]对账明细接口!$K$49),"")</f>
        <v/>
      </c>
      <c r="L49" s="16" t="str">
        <f>IFERROR(IF([2]对账明细接口!$L$49=0,"",[2]对账明细接口!$L$49),"")</f>
        <v/>
      </c>
      <c r="M49" s="16" t="str">
        <f>IFERROR(IF([2]对账明细接口!$M$49=0,"",[2]对账明细接口!$M$49),"")</f>
        <v/>
      </c>
      <c r="N49" s="19">
        <f t="shared" si="0"/>
        <v>1</v>
      </c>
      <c r="O49" s="19">
        <f t="shared" si="1"/>
        <v>46</v>
      </c>
      <c r="S49" s="20" t="str">
        <f>IFERROR(IF([2]对账明细接口!$N49=0,"",[2]对账明细接口!$N49),"")</f>
        <v>公司杂周转筐</v>
      </c>
      <c r="T49" s="21">
        <f>IFERROR(IF([2]对账明细接口!$O49=0,"",[2]对账明细接口!$O49),"")</f>
        <v>282</v>
      </c>
      <c r="U49" s="21" t="str">
        <f>IFERROR(IF([2]对账明细接口!$P49=0,"",[2]对账明细接口!$P49),"")</f>
        <v/>
      </c>
      <c r="V49" s="21" t="str">
        <f>IFERROR(IF([2]对账明细接口!$Q49=0,"",[2]对账明细接口!$Q49),"")</f>
        <v/>
      </c>
      <c r="W49" s="20" t="str">
        <f>IFERROR(IF([2]对账明细接口!$R49=0,"",[2]对账明细接口!$R49),"")</f>
        <v>豫L*88X19</v>
      </c>
      <c r="X49" s="20" t="str">
        <f>IFERROR(IF([2]对账明细接口!$S49=0,"",[2]对账明细接口!$S49),"")</f>
        <v>公司筐</v>
      </c>
      <c r="Y49" s="20" t="str">
        <f t="shared" si="2"/>
        <v/>
      </c>
      <c r="Z49" s="20" t="str">
        <f t="shared" si="3"/>
        <v/>
      </c>
      <c r="AA49" s="20" t="str">
        <f t="shared" si="4"/>
        <v/>
      </c>
      <c r="AB49" s="20" t="str">
        <f t="shared" si="5"/>
        <v/>
      </c>
    </row>
    <row r="50" customHeight="1" spans="1:28">
      <c r="A50" s="14">
        <v>50</v>
      </c>
      <c r="B50" s="15">
        <f>IFERROR(IF([2]对账明细接口!$B$50=0,"",[2]对账明细接口!$B$50),"")</f>
        <v>46260</v>
      </c>
      <c r="C50" s="16" t="str">
        <f>IFERROR(IF([2]对账明细接口!$C$50=0,"",[2]对账明细接口!$C$50),"")</f>
        <v>王照雪</v>
      </c>
      <c r="D50" s="16" t="str">
        <f>IFERROR(IF([2]对账明细接口!$D$50=0,"",[2]对账明细接口!$D$50),"")</f>
        <v>周转筐－领用出库</v>
      </c>
      <c r="E50" s="16" t="str">
        <f>IFERROR(IF([2]对账明细接口!$E$50=0,"",[2]对账明细接口!$E$50),"")</f>
        <v>NO:0001037</v>
      </c>
      <c r="F50" s="16" t="str">
        <f>IFERROR(IF([2]对账明细接口!$F$50=0,"",[2]对账明细接口!$F$50),"")</f>
        <v>公司杂周转筐</v>
      </c>
      <c r="G50" s="16" t="str">
        <f>IFERROR(IF([2]对账明细接口!$G$50=0,"",[2]对账明细接口!$G$50),"")</f>
        <v/>
      </c>
      <c r="H50" s="17">
        <f>IFERROR(IF([2]对账明细接口!$H$50=0,"",[2]对账明细接口!$H$50),"")</f>
        <v>144</v>
      </c>
      <c r="I50" s="16" t="str">
        <f>IFERROR(IF([2]对账明细接口!$I$50=0,"",[2]对账明细接口!$I$50),"")</f>
        <v>个</v>
      </c>
      <c r="J50" s="18" t="str">
        <f>IFERROR(IF([2]对账明细接口!$J$50=0,"",[2]对账明细接口!$J$50),"")</f>
        <v/>
      </c>
      <c r="K50" s="18" t="str">
        <f>IFERROR(IF([2]对账明细接口!$K$50=0,"",[2]对账明细接口!$K$50),"")</f>
        <v/>
      </c>
      <c r="L50" s="16" t="str">
        <f>IFERROR(IF([2]对账明细接口!$L$50=0,"",[2]对账明细接口!$L$50),"")</f>
        <v/>
      </c>
      <c r="M50" s="16" t="str">
        <f>IFERROR(IF([2]对账明细接口!$M$50=0,"",[2]对账明细接口!$M$50),"")</f>
        <v/>
      </c>
      <c r="N50" s="19">
        <f t="shared" si="0"/>
        <v>1</v>
      </c>
      <c r="O50" s="19">
        <f t="shared" si="1"/>
        <v>47</v>
      </c>
      <c r="S50" s="20" t="str">
        <f>IFERROR(IF([2]对账明细接口!$N50=0,"",[2]对账明细接口!$N50),"")</f>
        <v>公司杂周转筐</v>
      </c>
      <c r="T50" s="21">
        <f>IFERROR(IF([2]对账明细接口!$O50=0,"",[2]对账明细接口!$O50),"")</f>
        <v>144</v>
      </c>
      <c r="U50" s="21" t="str">
        <f>IFERROR(IF([2]对账明细接口!$P50=0,"",[2]对账明细接口!$P50),"")</f>
        <v/>
      </c>
      <c r="V50" s="21" t="str">
        <f>IFERROR(IF([2]对账明细接口!$Q50=0,"",[2]对账明细接口!$Q50),"")</f>
        <v/>
      </c>
      <c r="W50" s="20" t="str">
        <f>IFERROR(IF([2]对账明细接口!$R50=0,"",[2]对账明细接口!$R50),"")</f>
        <v>豫L*88X19</v>
      </c>
      <c r="X50" s="20" t="str">
        <f>IFERROR(IF([2]对账明细接口!$S50=0,"",[2]对账明细接口!$S50),"")</f>
        <v>公司筐</v>
      </c>
      <c r="Y50" s="20" t="str">
        <f t="shared" si="2"/>
        <v/>
      </c>
      <c r="Z50" s="20" t="str">
        <f t="shared" si="3"/>
        <v/>
      </c>
      <c r="AA50" s="20" t="str">
        <f t="shared" si="4"/>
        <v/>
      </c>
      <c r="AB50" s="20" t="str">
        <f t="shared" si="5"/>
        <v/>
      </c>
    </row>
    <row r="51" customHeight="1" spans="1:28">
      <c r="A51" s="14">
        <v>51</v>
      </c>
      <c r="B51" s="15">
        <f>IFERROR(IF([2]对账明细接口!$B$51=0,"",[2]对账明细接口!$B$51),"")</f>
        <v>46258</v>
      </c>
      <c r="C51" s="16" t="str">
        <f>IFERROR(IF([2]对账明细接口!$C$51=0,"",[2]对账明细接口!$C$51),"")</f>
        <v>王照雪</v>
      </c>
      <c r="D51" s="16" t="str">
        <f>IFERROR(IF([2]对账明细接口!$D$51=0,"",[2]对账明细接口!$D$51),"")</f>
        <v>周转筐－退回入库</v>
      </c>
      <c r="E51" s="16" t="str">
        <f>IFERROR(IF([2]对账明细接口!$E$51=0,"",[2]对账明细接口!$E$51),"")</f>
        <v>NO:0000721</v>
      </c>
      <c r="F51" s="16" t="str">
        <f>IFERROR(IF([2]对账明细接口!$F$51=0,"",[2]对账明细接口!$F$51),"")</f>
        <v>公司杂周转筐</v>
      </c>
      <c r="G51" s="16" t="str">
        <f>IFERROR(IF([2]对账明细接口!$G$51=0,"",[2]对账明细接口!$G$51),"")</f>
        <v/>
      </c>
      <c r="H51" s="17">
        <f>IFERROR(IF([2]对账明细接口!$H$51=0,"",[2]对账明细接口!$H$51),"")</f>
        <v>4</v>
      </c>
      <c r="I51" s="16" t="str">
        <f>IFERROR(IF([2]对账明细接口!$I$51=0,"",[2]对账明细接口!$I$51),"")</f>
        <v>个</v>
      </c>
      <c r="J51" s="18" t="str">
        <f>IFERROR(IF([2]对账明细接口!$J$51=0,"",[2]对账明细接口!$J$51),"")</f>
        <v/>
      </c>
      <c r="K51" s="18" t="str">
        <f>IFERROR(IF([2]对账明细接口!$K$51=0,"",[2]对账明细接口!$K$51),"")</f>
        <v/>
      </c>
      <c r="L51" s="16" t="str">
        <f>IFERROR(IF([2]对账明细接口!$L$51=0,"",[2]对账明细接口!$L$51),"")</f>
        <v/>
      </c>
      <c r="M51" s="16" t="str">
        <f>IFERROR(IF([2]对账明细接口!$M$51=0,"",[2]对账明细接口!$M$51),"")</f>
        <v/>
      </c>
      <c r="N51" s="19">
        <f t="shared" si="0"/>
        <v>1</v>
      </c>
      <c r="O51" s="19">
        <f t="shared" si="1"/>
        <v>48</v>
      </c>
      <c r="S51" s="20" t="str">
        <f>IFERROR(IF([2]对账明细接口!$N51=0,"",[2]对账明细接口!$N51),"")</f>
        <v>公司杂周转筐</v>
      </c>
      <c r="T51" s="21" t="str">
        <f>IFERROR(IF([2]对账明细接口!$O51=0,"",[2]对账明细接口!$O51),"")</f>
        <v/>
      </c>
      <c r="U51" s="21">
        <f>IFERROR(IF([2]对账明细接口!$P51=0,"",[2]对账明细接口!$P51),"")</f>
        <v>4</v>
      </c>
      <c r="V51" s="21" t="str">
        <f>IFERROR(IF([2]对账明细接口!$Q51=0,"",[2]对账明细接口!$Q51),"")</f>
        <v/>
      </c>
      <c r="W51" s="20" t="str">
        <f>IFERROR(IF([2]对账明细接口!$R51=0,"",[2]对账明细接口!$R51),"")</f>
        <v>豫L*88X19</v>
      </c>
      <c r="X51" s="20" t="str">
        <f>IFERROR(IF([2]对账明细接口!$S51=0,"",[2]对账明细接口!$S51),"")</f>
        <v>公司筐</v>
      </c>
      <c r="Y51" s="20" t="str">
        <f t="shared" si="2"/>
        <v/>
      </c>
      <c r="Z51" s="20" t="str">
        <f t="shared" si="3"/>
        <v/>
      </c>
      <c r="AA51" s="20" t="str">
        <f t="shared" si="4"/>
        <v/>
      </c>
      <c r="AB51" s="20" t="str">
        <f t="shared" si="5"/>
        <v/>
      </c>
    </row>
    <row r="52" customHeight="1" spans="1:28">
      <c r="A52" s="14">
        <v>52</v>
      </c>
      <c r="B52" s="15">
        <f>IFERROR(IF([2]对账明细接口!$B$52=0,"",[2]对账明细接口!$B$52),"")</f>
        <v>46265</v>
      </c>
      <c r="C52" s="16" t="str">
        <f>IFERROR(IF([2]对账明细接口!$C$52=0,"",[2]对账明细接口!$C$52),"")</f>
        <v>王浩</v>
      </c>
      <c r="D52" s="16" t="str">
        <f>IFERROR(IF([2]对账明细接口!$D$52=0,"",[2]对账明细接口!$D$52),"")</f>
        <v>周转筐－领用出库</v>
      </c>
      <c r="E52" s="16" t="str">
        <f>IFERROR(IF([2]对账明细接口!$E$52=0,"",[2]对账明细接口!$E$52),"")</f>
        <v>NO:0001057</v>
      </c>
      <c r="F52" s="16" t="str">
        <f>IFERROR(IF([2]对账明细接口!$F$52=0,"",[2]对账明细接口!$F$52),"")</f>
        <v>公司一次性筐</v>
      </c>
      <c r="G52" s="16" t="str">
        <f>IFERROR(IF([2]对账明细接口!$G$52=0,"",[2]对账明细接口!$G$52),"")</f>
        <v/>
      </c>
      <c r="H52" s="17">
        <f>IFERROR(IF([2]对账明细接口!$H$52=0,"",[2]对账明细接口!$H$52),"")</f>
        <v>2040</v>
      </c>
      <c r="I52" s="16" t="str">
        <f>IFERROR(IF([2]对账明细接口!$I$52=0,"",[2]对账明细接口!$I$52),"")</f>
        <v>个</v>
      </c>
      <c r="J52" s="18" t="str">
        <f>IFERROR(IF([2]对账明细接口!$J$52=0,"",[2]对账明细接口!$J$52),"")</f>
        <v/>
      </c>
      <c r="K52" s="18" t="str">
        <f>IFERROR(IF([2]对账明细接口!$K$52=0,"",[2]对账明细接口!$K$52),"")</f>
        <v/>
      </c>
      <c r="L52" s="16" t="str">
        <f>IFERROR(IF([2]对账明细接口!$L$52=0,"",[2]对账明细接口!$L$52),"")</f>
        <v/>
      </c>
      <c r="M52" s="16" t="str">
        <f>IFERROR(IF([2]对账明细接口!$M$52=0,"",[2]对账明细接口!$M$52),"")</f>
        <v/>
      </c>
      <c r="N52" s="19">
        <f t="shared" si="0"/>
        <v>1</v>
      </c>
      <c r="O52" s="19">
        <f t="shared" si="1"/>
        <v>49</v>
      </c>
      <c r="S52" s="20" t="str">
        <f>IFERROR(IF([2]对账明细接口!$N52=0,"",[2]对账明细接口!$N52),"")</f>
        <v>公司一次性筐</v>
      </c>
      <c r="T52" s="21">
        <f>IFERROR(IF([2]对账明细接口!$O52=0,"",[2]对账明细接口!$O52),"")</f>
        <v>2040</v>
      </c>
      <c r="U52" s="21" t="str">
        <f>IFERROR(IF([2]对账明细接口!$P52=0,"",[2]对账明细接口!$P52),"")</f>
        <v/>
      </c>
      <c r="V52" s="21" t="str">
        <f>IFERROR(IF([2]对账明细接口!$Q52=0,"",[2]对账明细接口!$Q52),"")</f>
        <v/>
      </c>
      <c r="W52" s="20" t="str">
        <f>IFERROR(IF([2]对账明细接口!$R52=0,"",[2]对账明细接口!$R52),"")</f>
        <v>新Q*67674</v>
      </c>
      <c r="X52" s="20" t="str">
        <f>IFERROR(IF([2]对账明细接口!$S52=0,"",[2]对账明细接口!$S52),"")</f>
        <v>公司筐</v>
      </c>
      <c r="Y52" s="20" t="str">
        <f t="shared" si="2"/>
        <v/>
      </c>
      <c r="Z52" s="20" t="str">
        <f t="shared" si="3"/>
        <v/>
      </c>
      <c r="AA52" s="20" t="str">
        <f t="shared" si="4"/>
        <v/>
      </c>
      <c r="AB52" s="20" t="str">
        <f t="shared" si="5"/>
        <v/>
      </c>
    </row>
    <row r="53" customHeight="1" spans="1:28">
      <c r="A53" s="14">
        <v>53</v>
      </c>
      <c r="B53" s="15">
        <f>IFERROR(IF([2]对账明细接口!$B$53=0,"",[2]对账明细接口!$B$53),"")</f>
        <v>46266</v>
      </c>
      <c r="C53" s="16" t="str">
        <f>IFERROR(IF([2]对账明细接口!$C$53=0,"",[2]对账明细接口!$C$53),"")</f>
        <v>马锦祥</v>
      </c>
      <c r="D53" s="16" t="str">
        <f>IFERROR(IF([2]对账明细接口!$D$53=0,"",[2]对账明细接口!$D$53),"")</f>
        <v>周转筐－领用出库</v>
      </c>
      <c r="E53" s="16" t="str">
        <f>IFERROR(IF([2]对账明细接口!$E$53=0,"",[2]对账明细接口!$E$53),"")</f>
        <v>NO:0001061</v>
      </c>
      <c r="F53" s="16" t="str">
        <f>IFERROR(IF([2]对账明细接口!$F$53=0,"",[2]对账明细接口!$F$53),"")</f>
        <v>公司杂周转筐</v>
      </c>
      <c r="G53" s="16" t="str">
        <f>IFERROR(IF([2]对账明细接口!$G$53=0,"",[2]对账明细接口!$G$53),"")</f>
        <v/>
      </c>
      <c r="H53" s="17">
        <f>IFERROR(IF([2]对账明细接口!$H$53=0,"",[2]对账明细接口!$H$53),"")</f>
        <v>588</v>
      </c>
      <c r="I53" s="16" t="str">
        <f>IFERROR(IF([2]对账明细接口!$I$53=0,"",[2]对账明细接口!$I$53),"")</f>
        <v>个</v>
      </c>
      <c r="J53" s="18" t="str">
        <f>IFERROR(IF([2]对账明细接口!$J$53=0,"",[2]对账明细接口!$J$53),"")</f>
        <v/>
      </c>
      <c r="K53" s="18" t="str">
        <f>IFERROR(IF([2]对账明细接口!$K$53=0,"",[2]对账明细接口!$K$53),"")</f>
        <v/>
      </c>
      <c r="L53" s="16" t="str">
        <f>IFERROR(IF([2]对账明细接口!$L$53=0,"",[2]对账明细接口!$L$53),"")</f>
        <v/>
      </c>
      <c r="M53" s="16" t="str">
        <f>IFERROR(IF([2]对账明细接口!$M$53=0,"",[2]对账明细接口!$M$53),"")</f>
        <v/>
      </c>
      <c r="N53" s="19">
        <f t="shared" si="0"/>
        <v>1</v>
      </c>
      <c r="O53" s="19">
        <f t="shared" si="1"/>
        <v>50</v>
      </c>
      <c r="S53" s="20" t="str">
        <f>IFERROR(IF([2]对账明细接口!$N53=0,"",[2]对账明细接口!$N53),"")</f>
        <v>公司杂周转筐</v>
      </c>
      <c r="T53" s="21">
        <f>IFERROR(IF([2]对账明细接口!$O53=0,"",[2]对账明细接口!$O53),"")</f>
        <v>588</v>
      </c>
      <c r="U53" s="21" t="str">
        <f>IFERROR(IF([2]对账明细接口!$P53=0,"",[2]对账明细接口!$P53),"")</f>
        <v/>
      </c>
      <c r="V53" s="21" t="str">
        <f>IFERROR(IF([2]对账明细接口!$Q53=0,"",[2]对账明细接口!$Q53),"")</f>
        <v/>
      </c>
      <c r="W53" s="20" t="str">
        <f>IFERROR(IF([2]对账明细接口!$R53=0,"",[2]对账明细接口!$R53),"")</f>
        <v>新N*K7V85</v>
      </c>
      <c r="X53" s="20" t="str">
        <f>IFERROR(IF([2]对账明细接口!$S53=0,"",[2]对账明细接口!$S53),"")</f>
        <v>公司筐</v>
      </c>
      <c r="Y53" s="20" t="str">
        <f t="shared" si="2"/>
        <v/>
      </c>
      <c r="Z53" s="20" t="str">
        <f t="shared" si="3"/>
        <v/>
      </c>
      <c r="AA53" s="20" t="str">
        <f t="shared" si="4"/>
        <v/>
      </c>
      <c r="AB53" s="20" t="str">
        <f t="shared" si="5"/>
        <v/>
      </c>
    </row>
    <row r="54" customHeight="1" spans="1:28">
      <c r="A54" s="14">
        <v>54</v>
      </c>
      <c r="B54" s="15">
        <f>IFERROR(IF([2]对账明细接口!$B$54=0,"",[2]对账明细接口!$B$54),"")</f>
        <v>46266</v>
      </c>
      <c r="C54" s="16" t="str">
        <f>IFERROR(IF([2]对账明细接口!$C$54=0,"",[2]对账明细接口!$C$54),"")</f>
        <v>王照雪</v>
      </c>
      <c r="D54" s="16" t="str">
        <f>IFERROR(IF([2]对账明细接口!$D$54=0,"",[2]对账明细接口!$D$54),"")</f>
        <v>周转筐－退回入库</v>
      </c>
      <c r="E54" s="16" t="str">
        <f>IFERROR(IF([2]对账明细接口!$E$54=0,"",[2]对账明细接口!$E$54),"")</f>
        <v>NO:0000742</v>
      </c>
      <c r="F54" s="16" t="str">
        <f>IFERROR(IF([2]对账明细接口!$F$54=0,"",[2]对账明细接口!$F$54),"")</f>
        <v>公司杂周转筐</v>
      </c>
      <c r="G54" s="16" t="str">
        <f>IFERROR(IF([2]对账明细接口!$G$54=0,"",[2]对账明细接口!$G$54),"")</f>
        <v/>
      </c>
      <c r="H54" s="17">
        <f>IFERROR(IF([2]对账明细接口!$H$54=0,"",[2]对账明细接口!$H$54),"")</f>
        <v>30</v>
      </c>
      <c r="I54" s="16" t="str">
        <f>IFERROR(IF([2]对账明细接口!$I$54=0,"",[2]对账明细接口!$I$54),"")</f>
        <v>个</v>
      </c>
      <c r="J54" s="18" t="str">
        <f>IFERROR(IF([2]对账明细接口!$J$54=0,"",[2]对账明细接口!$J$54),"")</f>
        <v/>
      </c>
      <c r="K54" s="18" t="str">
        <f>IFERROR(IF([2]对账明细接口!$K$54=0,"",[2]对账明细接口!$K$54),"")</f>
        <v/>
      </c>
      <c r="L54" s="16" t="str">
        <f>IFERROR(IF([2]对账明细接口!$L$54=0,"",[2]对账明细接口!$L$54),"")</f>
        <v/>
      </c>
      <c r="M54" s="16" t="str">
        <f>IFERROR(IF([2]对账明细接口!$M$54=0,"",[2]对账明细接口!$M$54),"")</f>
        <v/>
      </c>
      <c r="N54" s="19">
        <f t="shared" si="0"/>
        <v>1</v>
      </c>
      <c r="O54" s="19">
        <f t="shared" si="1"/>
        <v>51</v>
      </c>
      <c r="S54" s="20" t="str">
        <f>IFERROR(IF([2]对账明细接口!$N54=0,"",[2]对账明细接口!$N54),"")</f>
        <v>公司杂周转筐</v>
      </c>
      <c r="T54" s="21" t="str">
        <f>IFERROR(IF([2]对账明细接口!$O54=0,"",[2]对账明细接口!$O54),"")</f>
        <v/>
      </c>
      <c r="U54" s="21">
        <f>IFERROR(IF([2]对账明细接口!$P54=0,"",[2]对账明细接口!$P54),"")</f>
        <v>30</v>
      </c>
      <c r="V54" s="21" t="str">
        <f>IFERROR(IF([2]对账明细接口!$Q54=0,"",[2]对账明细接口!$Q54),"")</f>
        <v/>
      </c>
      <c r="W54" s="20" t="str">
        <f>IFERROR(IF([2]对账明细接口!$R54=0,"",[2]对账明细接口!$R54),"")</f>
        <v>新N*D1W48</v>
      </c>
      <c r="X54" s="20" t="str">
        <f>IFERROR(IF([2]对账明细接口!$S54=0,"",[2]对账明细接口!$S54),"")</f>
        <v>公司筐</v>
      </c>
      <c r="Y54" s="20" t="str">
        <f t="shared" si="2"/>
        <v/>
      </c>
      <c r="Z54" s="20" t="str">
        <f t="shared" si="3"/>
        <v/>
      </c>
      <c r="AA54" s="20" t="str">
        <f t="shared" si="4"/>
        <v/>
      </c>
      <c r="AB54" s="20" t="str">
        <f t="shared" si="5"/>
        <v/>
      </c>
    </row>
    <row r="55" customHeight="1" spans="1:28">
      <c r="A55" s="14">
        <v>55</v>
      </c>
      <c r="B55" s="15">
        <f>IFERROR(IF([2]对账明细接口!$B$55=0,"",[2]对账明细接口!$B$55),"")</f>
        <v>46267</v>
      </c>
      <c r="C55" s="16" t="str">
        <f>IFERROR(IF([2]对账明细接口!$C$55=0,"",[2]对账明细接口!$C$55),"")</f>
        <v>全修塑业</v>
      </c>
      <c r="D55" s="16" t="str">
        <f>IFERROR(IF([2]对账明细接口!$D$55=0,"",[2]对账明细接口!$D$55),"")</f>
        <v>周转筐－采购入库</v>
      </c>
      <c r="E55" s="16" t="str">
        <f>IFERROR(IF([2]对账明细接口!$E$55=0,"",[2]对账明细接口!$E$55),"")</f>
        <v>NO:0000744</v>
      </c>
      <c r="F55" s="16" t="str">
        <f>IFERROR(IF([2]对账明细接口!$F$55=0,"",[2]对账明细接口!$F$55),"")</f>
        <v>公司红周转筐</v>
      </c>
      <c r="G55" s="16" t="str">
        <f>IFERROR(IF([2]对账明细接口!$G$55=0,"",[2]对账明细接口!$G$55),"")</f>
        <v/>
      </c>
      <c r="H55" s="17">
        <f>IFERROR(IF([2]对账明细接口!$H$55=0,"",[2]对账明细接口!$H$55),"")</f>
        <v>315</v>
      </c>
      <c r="I55" s="16" t="str">
        <f>IFERROR(IF([2]对账明细接口!$I$55=0,"",[2]对账明细接口!$I$55),"")</f>
        <v>个</v>
      </c>
      <c r="J55" s="18" t="str">
        <f>IFERROR(IF([2]对账明细接口!$J$55=0,"",[2]对账明细接口!$J$55),"")</f>
        <v/>
      </c>
      <c r="K55" s="18">
        <f>IFERROR(IF([2]对账明细接口!$K$55=0,"",[2]对账明细接口!$K$55),"")</f>
        <v>3150</v>
      </c>
      <c r="L55" s="16" t="str">
        <f>IFERROR(IF([2]对账明细接口!$L$55=0,"",[2]对账明细接口!$L$55),"")</f>
        <v>未付款</v>
      </c>
      <c r="M55" s="16" t="str">
        <f>IFERROR(IF([2]对账明细接口!$M$55=0,"",[2]对账明细接口!$M$55),"")</f>
        <v>NO:2745225</v>
      </c>
      <c r="N55" s="19">
        <f t="shared" si="0"/>
        <v>1</v>
      </c>
      <c r="O55" s="19">
        <f t="shared" si="1"/>
        <v>52</v>
      </c>
      <c r="S55" s="20" t="str">
        <f>IFERROR(IF([2]对账明细接口!$N55=0,"",[2]对账明细接口!$N55),"")</f>
        <v>公司红周转筐</v>
      </c>
      <c r="T55" s="21" t="str">
        <f>IFERROR(IF([2]对账明细接口!$O55=0,"",[2]对账明细接口!$O55),"")</f>
        <v/>
      </c>
      <c r="U55" s="21" t="str">
        <f>IFERROR(IF([2]对账明细接口!$P55=0,"",[2]对账明细接口!$P55),"")</f>
        <v/>
      </c>
      <c r="V55" s="21">
        <f>IFERROR(IF([2]对账明细接口!$Q55=0,"",[2]对账明细接口!$Q55),"")</f>
        <v>315</v>
      </c>
      <c r="W55" s="20" t="str">
        <f>IFERROR(IF([2]对账明细接口!$R55=0,"",[2]对账明细接口!$R55),"")</f>
        <v>新N*X8S48</v>
      </c>
      <c r="X55" s="20" t="str">
        <f>IFERROR(IF([2]对账明细接口!$S55=0,"",[2]对账明细接口!$S55),"")</f>
        <v>公司筐</v>
      </c>
      <c r="Y55" s="20" t="str">
        <f t="shared" si="2"/>
        <v/>
      </c>
      <c r="Z55" s="20" t="str">
        <f t="shared" si="3"/>
        <v/>
      </c>
      <c r="AA55" s="20" t="str">
        <f t="shared" si="4"/>
        <v/>
      </c>
      <c r="AB55" s="20" t="str">
        <f t="shared" si="5"/>
        <v/>
      </c>
    </row>
    <row r="56" customHeight="1" spans="1:28">
      <c r="A56" s="14">
        <v>56</v>
      </c>
      <c r="B56" s="15">
        <f>IFERROR(IF([2]对账明细接口!$B$56=0,"",[2]对账明细接口!$B$56),"")</f>
        <v>46267</v>
      </c>
      <c r="C56" s="16" t="str">
        <f>IFERROR(IF([2]对账明细接口!$C$56=0,"",[2]对账明细接口!$C$56),"")</f>
        <v>吐尔洪</v>
      </c>
      <c r="D56" s="16" t="str">
        <f>IFERROR(IF([2]对账明细接口!$D$56=0,"",[2]对账明细接口!$D$56),"")</f>
        <v>周转筐－领用出库</v>
      </c>
      <c r="E56" s="16" t="str">
        <f>IFERROR(IF([2]对账明细接口!$E$56=0,"",[2]对账明细接口!$E$56),"")</f>
        <v>NO:0001067</v>
      </c>
      <c r="F56" s="16" t="str">
        <f>IFERROR(IF([2]对账明细接口!$F$56=0,"",[2]对账明细接口!$F$56),"")</f>
        <v>公司红周转筐</v>
      </c>
      <c r="G56" s="16" t="str">
        <f>IFERROR(IF([2]对账明细接口!$G$56=0,"",[2]对账明细接口!$G$56),"")</f>
        <v/>
      </c>
      <c r="H56" s="17">
        <f>IFERROR(IF([2]对账明细接口!$H$56=0,"",[2]对账明细接口!$H$56),"")</f>
        <v>315</v>
      </c>
      <c r="I56" s="16" t="str">
        <f>IFERROR(IF([2]对账明细接口!$I$56=0,"",[2]对账明细接口!$I$56),"")</f>
        <v>个</v>
      </c>
      <c r="J56" s="18" t="str">
        <f>IFERROR(IF([2]对账明细接口!$J$56=0,"",[2]对账明细接口!$J$56),"")</f>
        <v/>
      </c>
      <c r="K56" s="18" t="str">
        <f>IFERROR(IF([2]对账明细接口!$K$56=0,"",[2]对账明细接口!$K$56),"")</f>
        <v/>
      </c>
      <c r="L56" s="16" t="str">
        <f>IFERROR(IF([2]对账明细接口!$L$56=0,"",[2]对账明细接口!$L$56),"")</f>
        <v/>
      </c>
      <c r="M56" s="16" t="str">
        <f>IFERROR(IF([2]对账明细接口!$M$56=0,"",[2]对账明细接口!$M$56),"")</f>
        <v/>
      </c>
      <c r="N56" s="19">
        <f t="shared" si="0"/>
        <v>1</v>
      </c>
      <c r="O56" s="19">
        <f t="shared" si="1"/>
        <v>53</v>
      </c>
      <c r="S56" s="20" t="str">
        <f>IFERROR(IF([2]对账明细接口!$N56=0,"",[2]对账明细接口!$N56),"")</f>
        <v>公司红周转筐</v>
      </c>
      <c r="T56" s="21">
        <f>IFERROR(IF([2]对账明细接口!$O56=0,"",[2]对账明细接口!$O56),"")</f>
        <v>315</v>
      </c>
      <c r="U56" s="21" t="str">
        <f>IFERROR(IF([2]对账明细接口!$P56=0,"",[2]对账明细接口!$P56),"")</f>
        <v/>
      </c>
      <c r="V56" s="21" t="str">
        <f>IFERROR(IF([2]对账明细接口!$Q56=0,"",[2]对账明细接口!$Q56),"")</f>
        <v/>
      </c>
      <c r="W56" s="20" t="str">
        <f>IFERROR(IF([2]对账明细接口!$R56=0,"",[2]对账明细接口!$R56),"")</f>
        <v>新N*X8S48</v>
      </c>
      <c r="X56" s="20" t="str">
        <f>IFERROR(IF([2]对账明细接口!$S56=0,"",[2]对账明细接口!$S56),"")</f>
        <v>公司筐</v>
      </c>
      <c r="Y56" s="20" t="str">
        <f t="shared" si="2"/>
        <v/>
      </c>
      <c r="Z56" s="20" t="str">
        <f t="shared" si="3"/>
        <v/>
      </c>
      <c r="AA56" s="20" t="str">
        <f t="shared" si="4"/>
        <v/>
      </c>
      <c r="AB56" s="20" t="str">
        <f t="shared" si="5"/>
        <v/>
      </c>
    </row>
    <row r="57" customHeight="1" spans="1:28">
      <c r="A57" s="14">
        <v>57</v>
      </c>
      <c r="B57" s="15">
        <f>IFERROR(IF([2]对账明细接口!$B$57=0,"",[2]对账明细接口!$B$57),"")</f>
        <v>46268</v>
      </c>
      <c r="C57" s="16" t="str">
        <f>IFERROR(IF([2]对账明细接口!$C$57=0,"",[2]对账明细接口!$C$57),"")</f>
        <v>全修塑业</v>
      </c>
      <c r="D57" s="16" t="str">
        <f>IFERROR(IF([2]对账明细接口!$D$57=0,"",[2]对账明细接口!$D$57),"")</f>
        <v>周转筐－采购入库</v>
      </c>
      <c r="E57" s="16" t="str">
        <f>IFERROR(IF([2]对账明细接口!$E$57=0,"",[2]对账明细接口!$E$57),"")</f>
        <v>NO:0000745</v>
      </c>
      <c r="F57" s="16" t="str">
        <f>IFERROR(IF([2]对账明细接口!$F$57=0,"",[2]对账明细接口!$F$57),"")</f>
        <v>公司红周转筐</v>
      </c>
      <c r="G57" s="16" t="str">
        <f>IFERROR(IF([2]对账明细接口!$G$57=0,"",[2]对账明细接口!$G$57),"")</f>
        <v/>
      </c>
      <c r="H57" s="17">
        <f>IFERROR(IF([2]对账明细接口!$H$57=0,"",[2]对账明细接口!$H$57),"")</f>
        <v>315</v>
      </c>
      <c r="I57" s="16" t="str">
        <f>IFERROR(IF([2]对账明细接口!$I$57=0,"",[2]对账明细接口!$I$57),"")</f>
        <v>个</v>
      </c>
      <c r="J57" s="18" t="str">
        <f>IFERROR(IF([2]对账明细接口!$J$57=0,"",[2]对账明细接口!$J$57),"")</f>
        <v/>
      </c>
      <c r="K57" s="18">
        <f>IFERROR(IF([2]对账明细接口!$K$57=0,"",[2]对账明细接口!$K$57),"")</f>
        <v>3150</v>
      </c>
      <c r="L57" s="16" t="str">
        <f>IFERROR(IF([2]对账明细接口!$L$57=0,"",[2]对账明细接口!$L$57),"")</f>
        <v>未付款</v>
      </c>
      <c r="M57" s="16" t="str">
        <f>IFERROR(IF([2]对账明细接口!$M$57=0,"",[2]对账明细接口!$M$57),"")</f>
        <v>NO:2745241</v>
      </c>
      <c r="N57" s="19">
        <f t="shared" si="0"/>
        <v>1</v>
      </c>
      <c r="O57" s="19">
        <f t="shared" si="1"/>
        <v>54</v>
      </c>
      <c r="S57" s="20" t="str">
        <f>IFERROR(IF([2]对账明细接口!$N57=0,"",[2]对账明细接口!$N57),"")</f>
        <v>公司红周转筐</v>
      </c>
      <c r="T57" s="21" t="str">
        <f>IFERROR(IF([2]对账明细接口!$O57=0,"",[2]对账明细接口!$O57),"")</f>
        <v/>
      </c>
      <c r="U57" s="21" t="str">
        <f>IFERROR(IF([2]对账明细接口!$P57=0,"",[2]对账明细接口!$P57),"")</f>
        <v/>
      </c>
      <c r="V57" s="21">
        <f>IFERROR(IF([2]对账明细接口!$Q57=0,"",[2]对账明细接口!$Q57),"")</f>
        <v>315</v>
      </c>
      <c r="W57" s="20" t="str">
        <f>IFERROR(IF([2]对账明细接口!$R57=0,"",[2]对账明细接口!$R57),"")</f>
        <v>新N*X8S48</v>
      </c>
      <c r="X57" s="20" t="str">
        <f>IFERROR(IF([2]对账明细接口!$S57=0,"",[2]对账明细接口!$S57),"")</f>
        <v>公司筐</v>
      </c>
      <c r="Y57" s="20" t="str">
        <f t="shared" si="2"/>
        <v/>
      </c>
      <c r="Z57" s="20" t="str">
        <f t="shared" si="3"/>
        <v/>
      </c>
      <c r="AA57" s="20" t="str">
        <f t="shared" si="4"/>
        <v/>
      </c>
      <c r="AB57" s="20" t="str">
        <f t="shared" si="5"/>
        <v/>
      </c>
    </row>
    <row r="58" customHeight="1" spans="1:28">
      <c r="A58" s="14">
        <v>58</v>
      </c>
      <c r="B58" s="15">
        <f>IFERROR(IF([2]对账明细接口!$B$58=0,"",[2]对账明细接口!$B$58),"")</f>
        <v>46268</v>
      </c>
      <c r="C58" s="16" t="str">
        <f>IFERROR(IF([2]对账明细接口!$C$58=0,"",[2]对账明细接口!$C$58),"")</f>
        <v>吐尔洪</v>
      </c>
      <c r="D58" s="16" t="str">
        <f>IFERROR(IF([2]对账明细接口!$D$58=0,"",[2]对账明细接口!$D$58),"")</f>
        <v>周转筐－领用出库</v>
      </c>
      <c r="E58" s="16" t="str">
        <f>IFERROR(IF([2]对账明细接口!$E$58=0,"",[2]对账明细接口!$E$58),"")</f>
        <v>NO:0001068</v>
      </c>
      <c r="F58" s="16" t="str">
        <f>IFERROR(IF([2]对账明细接口!$F$58=0,"",[2]对账明细接口!$F$58),"")</f>
        <v>公司红周转筐</v>
      </c>
      <c r="G58" s="16" t="str">
        <f>IFERROR(IF([2]对账明细接口!$G$58=0,"",[2]对账明细接口!$G$58),"")</f>
        <v/>
      </c>
      <c r="H58" s="17">
        <f>IFERROR(IF([2]对账明细接口!$H$58=0,"",[2]对账明细接口!$H$58),"")</f>
        <v>315</v>
      </c>
      <c r="I58" s="16" t="str">
        <f>IFERROR(IF([2]对账明细接口!$I$58=0,"",[2]对账明细接口!$I$58),"")</f>
        <v>个</v>
      </c>
      <c r="J58" s="18" t="str">
        <f>IFERROR(IF([2]对账明细接口!$J$58=0,"",[2]对账明细接口!$J$58),"")</f>
        <v/>
      </c>
      <c r="K58" s="18" t="str">
        <f>IFERROR(IF([2]对账明细接口!$K$58=0,"",[2]对账明细接口!$K$58),"")</f>
        <v/>
      </c>
      <c r="L58" s="16" t="str">
        <f>IFERROR(IF([2]对账明细接口!$L$58=0,"",[2]对账明细接口!$L$58),"")</f>
        <v/>
      </c>
      <c r="M58" s="16" t="str">
        <f>IFERROR(IF([2]对账明细接口!$M$58=0,"",[2]对账明细接口!$M$58),"")</f>
        <v/>
      </c>
      <c r="N58" s="19">
        <f t="shared" si="0"/>
        <v>1</v>
      </c>
      <c r="O58" s="19">
        <f t="shared" si="1"/>
        <v>55</v>
      </c>
      <c r="S58" s="20" t="str">
        <f>IFERROR(IF([2]对账明细接口!$N58=0,"",[2]对账明细接口!$N58),"")</f>
        <v>公司红周转筐</v>
      </c>
      <c r="T58" s="21">
        <f>IFERROR(IF([2]对账明细接口!$O58=0,"",[2]对账明细接口!$O58),"")</f>
        <v>315</v>
      </c>
      <c r="U58" s="21" t="str">
        <f>IFERROR(IF([2]对账明细接口!$P58=0,"",[2]对账明细接口!$P58),"")</f>
        <v/>
      </c>
      <c r="V58" s="21" t="str">
        <f>IFERROR(IF([2]对账明细接口!$Q58=0,"",[2]对账明细接口!$Q58),"")</f>
        <v/>
      </c>
      <c r="W58" s="20" t="str">
        <f>IFERROR(IF([2]对账明细接口!$R58=0,"",[2]对账明细接口!$R58),"")</f>
        <v>新N*X8S48</v>
      </c>
      <c r="X58" s="20" t="str">
        <f>IFERROR(IF([2]对账明细接口!$S58=0,"",[2]对账明细接口!$S58),"")</f>
        <v>公司筐</v>
      </c>
      <c r="Y58" s="20" t="str">
        <f t="shared" si="2"/>
        <v/>
      </c>
      <c r="Z58" s="20" t="str">
        <f t="shared" si="3"/>
        <v/>
      </c>
      <c r="AA58" s="20" t="str">
        <f t="shared" si="4"/>
        <v/>
      </c>
      <c r="AB58" s="20" t="str">
        <f t="shared" si="5"/>
        <v/>
      </c>
    </row>
    <row r="59" customHeight="1" spans="1:28">
      <c r="A59" s="14">
        <v>59</v>
      </c>
      <c r="B59" s="15">
        <f>IFERROR(IF([2]对账明细接口!$B$59=0,"",[2]对账明细接口!$B$59),"")</f>
        <v>46268</v>
      </c>
      <c r="C59" s="16" t="str">
        <f>IFERROR(IF([2]对账明细接口!$C$59=0,"",[2]对账明细接口!$C$59),"")</f>
        <v>全修塑业</v>
      </c>
      <c r="D59" s="16" t="str">
        <f>IFERROR(IF([2]对账明细接口!$D$59=0,"",[2]对账明细接口!$D$59),"")</f>
        <v>周转筐－采购入库</v>
      </c>
      <c r="E59" s="16" t="str">
        <f>IFERROR(IF([2]对账明细接口!$E$59=0,"",[2]对账明细接口!$E$59),"")</f>
        <v>NO:0000746</v>
      </c>
      <c r="F59" s="16" t="str">
        <f>IFERROR(IF([2]对账明细接口!$F$59=0,"",[2]对账明细接口!$F$59),"")</f>
        <v>公司红周转筐</v>
      </c>
      <c r="G59" s="16" t="str">
        <f>IFERROR(IF([2]对账明细接口!$G$59=0,"",[2]对账明细接口!$G$59),"")</f>
        <v/>
      </c>
      <c r="H59" s="17">
        <f>IFERROR(IF([2]对账明细接口!$H$59=0,"",[2]对账明细接口!$H$59),"")</f>
        <v>846</v>
      </c>
      <c r="I59" s="16" t="str">
        <f>IFERROR(IF([2]对账明细接口!$I$59=0,"",[2]对账明细接口!$I$59),"")</f>
        <v>个</v>
      </c>
      <c r="J59" s="18" t="str">
        <f>IFERROR(IF([2]对账明细接口!$J$59=0,"",[2]对账明细接口!$J$59),"")</f>
        <v/>
      </c>
      <c r="K59" s="18">
        <f>IFERROR(IF([2]对账明细接口!$K$59=0,"",[2]对账明细接口!$K$59),"")</f>
        <v>8460</v>
      </c>
      <c r="L59" s="16" t="str">
        <f>IFERROR(IF([2]对账明细接口!$L$59=0,"",[2]对账明细接口!$L$59),"")</f>
        <v>未付款</v>
      </c>
      <c r="M59" s="16" t="str">
        <f>IFERROR(IF([2]对账明细接口!$M$59=0,"",[2]对账明细接口!$M$59),"")</f>
        <v>NO:2745242</v>
      </c>
      <c r="N59" s="19">
        <f t="shared" si="0"/>
        <v>1</v>
      </c>
      <c r="O59" s="19">
        <f t="shared" si="1"/>
        <v>56</v>
      </c>
      <c r="S59" s="20" t="str">
        <f>IFERROR(IF([2]对账明细接口!$N59=0,"",[2]对账明细接口!$N59),"")</f>
        <v>公司红周转筐</v>
      </c>
      <c r="T59" s="21" t="str">
        <f>IFERROR(IF([2]对账明细接口!$O59=0,"",[2]对账明细接口!$O59),"")</f>
        <v/>
      </c>
      <c r="U59" s="21" t="str">
        <f>IFERROR(IF([2]对账明细接口!$P59=0,"",[2]对账明细接口!$P59),"")</f>
        <v/>
      </c>
      <c r="V59" s="21">
        <f>IFERROR(IF([2]对账明细接口!$Q59=0,"",[2]对账明细接口!$Q59),"")</f>
        <v>846</v>
      </c>
      <c r="W59" s="20" t="str">
        <f>IFERROR(IF([2]对账明细接口!$R59=0,"",[2]对账明细接口!$R59),"")</f>
        <v>新A*G0554</v>
      </c>
      <c r="X59" s="20" t="str">
        <f>IFERROR(IF([2]对账明细接口!$S59=0,"",[2]对账明细接口!$S59),"")</f>
        <v>公司筐</v>
      </c>
      <c r="Y59" s="20" t="str">
        <f t="shared" si="2"/>
        <v/>
      </c>
      <c r="Z59" s="20" t="str">
        <f t="shared" si="3"/>
        <v/>
      </c>
      <c r="AA59" s="20" t="str">
        <f t="shared" si="4"/>
        <v/>
      </c>
      <c r="AB59" s="20" t="str">
        <f t="shared" si="5"/>
        <v/>
      </c>
    </row>
    <row r="60" customHeight="1" spans="1:28">
      <c r="A60" s="14">
        <v>60</v>
      </c>
      <c r="B60" s="15">
        <f>IFERROR(IF([2]对账明细接口!$B$60=0,"",[2]对账明细接口!$B$60),"")</f>
        <v>46268</v>
      </c>
      <c r="C60" s="16" t="str">
        <f>IFERROR(IF([2]对账明细接口!$C$60=0,"",[2]对账明细接口!$C$60),"")</f>
        <v>热合曼</v>
      </c>
      <c r="D60" s="16" t="str">
        <f>IFERROR(IF([2]对账明细接口!$D$60=0,"",[2]对账明细接口!$D$60),"")</f>
        <v>周转筐－领用出库</v>
      </c>
      <c r="E60" s="16" t="str">
        <f>IFERROR(IF([2]对账明细接口!$E$60=0,"",[2]对账明细接口!$E$60),"")</f>
        <v>NO:0001069</v>
      </c>
      <c r="F60" s="16" t="str">
        <f>IFERROR(IF([2]对账明细接口!$F$60=0,"",[2]对账明细接口!$F$60),"")</f>
        <v>公司红周转筐</v>
      </c>
      <c r="G60" s="16" t="str">
        <f>IFERROR(IF([2]对账明细接口!$G$60=0,"",[2]对账明细接口!$G$60),"")</f>
        <v/>
      </c>
      <c r="H60" s="17">
        <f>IFERROR(IF([2]对账明细接口!$H$60=0,"",[2]对账明细接口!$H$60),"")</f>
        <v>846</v>
      </c>
      <c r="I60" s="16" t="str">
        <f>IFERROR(IF([2]对账明细接口!$I$60=0,"",[2]对账明细接口!$I$60),"")</f>
        <v>个</v>
      </c>
      <c r="J60" s="18" t="str">
        <f>IFERROR(IF([2]对账明细接口!$J$60=0,"",[2]对账明细接口!$J$60),"")</f>
        <v/>
      </c>
      <c r="K60" s="18" t="str">
        <f>IFERROR(IF([2]对账明细接口!$K$60=0,"",[2]对账明细接口!$K$60),"")</f>
        <v/>
      </c>
      <c r="L60" s="16" t="str">
        <f>IFERROR(IF([2]对账明细接口!$L$60=0,"",[2]对账明细接口!$L$60),"")</f>
        <v/>
      </c>
      <c r="M60" s="16" t="str">
        <f>IFERROR(IF([2]对账明细接口!$M$60=0,"",[2]对账明细接口!$M$60),"")</f>
        <v/>
      </c>
      <c r="N60" s="19">
        <f t="shared" si="0"/>
        <v>1</v>
      </c>
      <c r="O60" s="19">
        <f t="shared" si="1"/>
        <v>57</v>
      </c>
      <c r="S60" s="20" t="str">
        <f>IFERROR(IF([2]对账明细接口!$N60=0,"",[2]对账明细接口!$N60),"")</f>
        <v>公司红周转筐</v>
      </c>
      <c r="T60" s="21">
        <f>IFERROR(IF([2]对账明细接口!$O60=0,"",[2]对账明细接口!$O60),"")</f>
        <v>846</v>
      </c>
      <c r="U60" s="21" t="str">
        <f>IFERROR(IF([2]对账明细接口!$P60=0,"",[2]对账明细接口!$P60),"")</f>
        <v/>
      </c>
      <c r="V60" s="21" t="str">
        <f>IFERROR(IF([2]对账明细接口!$Q60=0,"",[2]对账明细接口!$Q60),"")</f>
        <v/>
      </c>
      <c r="W60" s="20" t="str">
        <f>IFERROR(IF([2]对账明细接口!$R60=0,"",[2]对账明细接口!$R60),"")</f>
        <v>新A*G0554</v>
      </c>
      <c r="X60" s="20" t="str">
        <f>IFERROR(IF([2]对账明细接口!$S60=0,"",[2]对账明细接口!$S60),"")</f>
        <v>公司筐</v>
      </c>
      <c r="Y60" s="20" t="str">
        <f t="shared" si="2"/>
        <v/>
      </c>
      <c r="Z60" s="20" t="str">
        <f t="shared" si="3"/>
        <v/>
      </c>
      <c r="AA60" s="20" t="str">
        <f t="shared" si="4"/>
        <v/>
      </c>
      <c r="AB60" s="20" t="str">
        <f t="shared" si="5"/>
        <v/>
      </c>
    </row>
    <row r="61" customHeight="1" spans="1:28">
      <c r="A61" s="14">
        <v>61</v>
      </c>
      <c r="B61" s="15">
        <f>IFERROR(IF([2]对账明细接口!$B$61=0,"",[2]对账明细接口!$B$61),"")</f>
        <v>46268</v>
      </c>
      <c r="C61" s="16" t="str">
        <f>IFERROR(IF([2]对账明细接口!$C$61=0,"",[2]对账明细接口!$C$61),"")</f>
        <v>全修塑业</v>
      </c>
      <c r="D61" s="16" t="str">
        <f>IFERROR(IF([2]对账明细接口!$D$61=0,"",[2]对账明细接口!$D$61),"")</f>
        <v>周转筐－采购入库</v>
      </c>
      <c r="E61" s="16" t="str">
        <f>IFERROR(IF([2]对账明细接口!$E$61=0,"",[2]对账明细接口!$E$61),"")</f>
        <v>NO:0000747</v>
      </c>
      <c r="F61" s="16" t="str">
        <f>IFERROR(IF([2]对账明细接口!$F$61=0,"",[2]对账明细接口!$F$61),"")</f>
        <v>公司红周转筐</v>
      </c>
      <c r="G61" s="16" t="str">
        <f>IFERROR(IF([2]对账明细接口!$G$61=0,"",[2]对账明细接口!$G$61),"")</f>
        <v/>
      </c>
      <c r="H61" s="17">
        <f>IFERROR(IF([2]对账明细接口!$H$61=0,"",[2]对账明细接口!$H$61),"")</f>
        <v>960</v>
      </c>
      <c r="I61" s="16" t="str">
        <f>IFERROR(IF([2]对账明细接口!$I$61=0,"",[2]对账明细接口!$I$61),"")</f>
        <v>个</v>
      </c>
      <c r="J61" s="18" t="str">
        <f>IFERROR(IF([2]对账明细接口!$J$61=0,"",[2]对账明细接口!$J$61),"")</f>
        <v/>
      </c>
      <c r="K61" s="18">
        <f>IFERROR(IF([2]对账明细接口!$K$61=0,"",[2]对账明细接口!$K$61),"")</f>
        <v>9600</v>
      </c>
      <c r="L61" s="16" t="str">
        <f>IFERROR(IF([2]对账明细接口!$L$61=0,"",[2]对账明细接口!$L$61),"")</f>
        <v>未付款</v>
      </c>
      <c r="M61" s="16" t="str">
        <f>IFERROR(IF([2]对账明细接口!$M$61=0,"",[2]对账明细接口!$M$61),"")</f>
        <v>NO:2745243</v>
      </c>
      <c r="N61" s="19">
        <f t="shared" si="0"/>
        <v>1</v>
      </c>
      <c r="O61" s="19">
        <f t="shared" si="1"/>
        <v>58</v>
      </c>
      <c r="S61" s="20" t="str">
        <f>IFERROR(IF([2]对账明细接口!$N61=0,"",[2]对账明细接口!$N61),"")</f>
        <v>公司红周转筐</v>
      </c>
      <c r="T61" s="21" t="str">
        <f>IFERROR(IF([2]对账明细接口!$O61=0,"",[2]对账明细接口!$O61),"")</f>
        <v/>
      </c>
      <c r="U61" s="21" t="str">
        <f>IFERROR(IF([2]对账明细接口!$P61=0,"",[2]对账明细接口!$P61),"")</f>
        <v/>
      </c>
      <c r="V61" s="21">
        <f>IFERROR(IF([2]对账明细接口!$Q61=0,"",[2]对账明细接口!$Q61),"")</f>
        <v>960</v>
      </c>
      <c r="W61" s="20" t="str">
        <f>IFERROR(IF([2]对账明细接口!$R61=0,"",[2]对账明细接口!$R61),"")</f>
        <v>新N*49209</v>
      </c>
      <c r="X61" s="20" t="str">
        <f>IFERROR(IF([2]对账明细接口!$S61=0,"",[2]对账明细接口!$S61),"")</f>
        <v>公司筐</v>
      </c>
      <c r="Y61" s="20" t="str">
        <f t="shared" si="2"/>
        <v/>
      </c>
      <c r="Z61" s="20" t="str">
        <f t="shared" si="3"/>
        <v/>
      </c>
      <c r="AA61" s="20" t="str">
        <f t="shared" si="4"/>
        <v/>
      </c>
      <c r="AB61" s="20" t="str">
        <f t="shared" si="5"/>
        <v/>
      </c>
    </row>
    <row r="62" customHeight="1" spans="1:28">
      <c r="A62" s="14">
        <v>62</v>
      </c>
      <c r="B62" s="15">
        <f>IFERROR(IF([2]对账明细接口!$B$62=0,"",[2]对账明细接口!$B$62),"")</f>
        <v>46268</v>
      </c>
      <c r="C62" s="16" t="str">
        <f>IFERROR(IF([2]对账明细接口!$C$62=0,"",[2]对账明细接口!$C$62),"")</f>
        <v>王灵云</v>
      </c>
      <c r="D62" s="16" t="str">
        <f>IFERROR(IF([2]对账明细接口!$D$62=0,"",[2]对账明细接口!$D$62),"")</f>
        <v>周转筐－领用出库</v>
      </c>
      <c r="E62" s="16" t="str">
        <f>IFERROR(IF([2]对账明细接口!$E$62=0,"",[2]对账明细接口!$E$62),"")</f>
        <v>NO:0001072</v>
      </c>
      <c r="F62" s="16" t="str">
        <f>IFERROR(IF([2]对账明细接口!$F$62=0,"",[2]对账明细接口!$F$62),"")</f>
        <v>公司红周转筐</v>
      </c>
      <c r="G62" s="16" t="str">
        <f>IFERROR(IF([2]对账明细接口!$G$62=0,"",[2]对账明细接口!$G$62),"")</f>
        <v/>
      </c>
      <c r="H62" s="17">
        <f>IFERROR(IF([2]对账明细接口!$H$62=0,"",[2]对账明细接口!$H$62),"")</f>
        <v>960</v>
      </c>
      <c r="I62" s="16" t="str">
        <f>IFERROR(IF([2]对账明细接口!$I$62=0,"",[2]对账明细接口!$I$62),"")</f>
        <v>个</v>
      </c>
      <c r="J62" s="18" t="str">
        <f>IFERROR(IF([2]对账明细接口!$J$62=0,"",[2]对账明细接口!$J$62),"")</f>
        <v/>
      </c>
      <c r="K62" s="18" t="str">
        <f>IFERROR(IF([2]对账明细接口!$K$62=0,"",[2]对账明细接口!$K$62),"")</f>
        <v/>
      </c>
      <c r="L62" s="16" t="str">
        <f>IFERROR(IF([2]对账明细接口!$L$62=0,"",[2]对账明细接口!$L$62),"")</f>
        <v/>
      </c>
      <c r="M62" s="16" t="str">
        <f>IFERROR(IF([2]对账明细接口!$M$62=0,"",[2]对账明细接口!$M$62),"")</f>
        <v/>
      </c>
      <c r="N62" s="19">
        <f t="shared" si="0"/>
        <v>1</v>
      </c>
      <c r="O62" s="19">
        <f t="shared" si="1"/>
        <v>59</v>
      </c>
      <c r="S62" s="20" t="str">
        <f>IFERROR(IF([2]对账明细接口!$N62=0,"",[2]对账明细接口!$N62),"")</f>
        <v>公司红周转筐</v>
      </c>
      <c r="T62" s="21">
        <f>IFERROR(IF([2]对账明细接口!$O62=0,"",[2]对账明细接口!$O62),"")</f>
        <v>960</v>
      </c>
      <c r="U62" s="21" t="str">
        <f>IFERROR(IF([2]对账明细接口!$P62=0,"",[2]对账明细接口!$P62),"")</f>
        <v/>
      </c>
      <c r="V62" s="21" t="str">
        <f>IFERROR(IF([2]对账明细接口!$Q62=0,"",[2]对账明细接口!$Q62),"")</f>
        <v/>
      </c>
      <c r="W62" s="20" t="str">
        <f>IFERROR(IF([2]对账明细接口!$R62=0,"",[2]对账明细接口!$R62),"")</f>
        <v>新N*49209</v>
      </c>
      <c r="X62" s="20" t="str">
        <f>IFERROR(IF([2]对账明细接口!$S62=0,"",[2]对账明细接口!$S62),"")</f>
        <v>公司筐</v>
      </c>
      <c r="Y62" s="20" t="str">
        <f t="shared" si="2"/>
        <v/>
      </c>
      <c r="Z62" s="20" t="str">
        <f t="shared" si="3"/>
        <v/>
      </c>
      <c r="AA62" s="20" t="str">
        <f t="shared" si="4"/>
        <v/>
      </c>
      <c r="AB62" s="20" t="str">
        <f t="shared" si="5"/>
        <v/>
      </c>
    </row>
    <row r="63" customHeight="1" spans="1:28">
      <c r="A63" s="14">
        <v>63</v>
      </c>
      <c r="B63" s="15">
        <f>IFERROR(IF([2]对账明细接口!$B$63=0,"",[2]对账明细接口!$B$63),"")</f>
        <v>46268</v>
      </c>
      <c r="C63" s="16" t="str">
        <f>IFERROR(IF([2]对账明细接口!$C$63=0,"",[2]对账明细接口!$C$63),"")</f>
        <v>全修塑业</v>
      </c>
      <c r="D63" s="16" t="str">
        <f>IFERROR(IF([2]对账明细接口!$D$63=0,"",[2]对账明细接口!$D$63),"")</f>
        <v>周转筐－采购入库</v>
      </c>
      <c r="E63" s="16" t="str">
        <f>IFERROR(IF([2]对账明细接口!$E$63=0,"",[2]对账明细接口!$E$63),"")</f>
        <v>NO:0000748</v>
      </c>
      <c r="F63" s="16" t="str">
        <f>IFERROR(IF([2]对账明细接口!$F$63=0,"",[2]对账明细接口!$F$63),"")</f>
        <v>公司红周转筐</v>
      </c>
      <c r="G63" s="16" t="str">
        <f>IFERROR(IF([2]对账明细接口!$G$63=0,"",[2]对账明细接口!$G$63),"")</f>
        <v/>
      </c>
      <c r="H63" s="17">
        <f>IFERROR(IF([2]对账明细接口!$H$63=0,"",[2]对账明细接口!$H$63),"")</f>
        <v>846</v>
      </c>
      <c r="I63" s="16" t="str">
        <f>IFERROR(IF([2]对账明细接口!$I$63=0,"",[2]对账明细接口!$I$63),"")</f>
        <v>个</v>
      </c>
      <c r="J63" s="18" t="str">
        <f>IFERROR(IF([2]对账明细接口!$J$63=0,"",[2]对账明细接口!$J$63),"")</f>
        <v/>
      </c>
      <c r="K63" s="18">
        <f>IFERROR(IF([2]对账明细接口!$K$63=0,"",[2]对账明细接口!$K$63),"")</f>
        <v>8460</v>
      </c>
      <c r="L63" s="16" t="str">
        <f>IFERROR(IF([2]对账明细接口!$L$63=0,"",[2]对账明细接口!$L$63),"")</f>
        <v>未付款</v>
      </c>
      <c r="M63" s="16" t="str">
        <f>IFERROR(IF([2]对账明细接口!$M$63=0,"",[2]对账明细接口!$M$63),"")</f>
        <v>NO:2745244</v>
      </c>
      <c r="N63" s="19">
        <f t="shared" si="0"/>
        <v>1</v>
      </c>
      <c r="O63" s="19">
        <f t="shared" si="1"/>
        <v>60</v>
      </c>
      <c r="S63" s="20" t="str">
        <f>IFERROR(IF([2]对账明细接口!$N63=0,"",[2]对账明细接口!$N63),"")</f>
        <v>公司红周转筐</v>
      </c>
      <c r="T63" s="21" t="str">
        <f>IFERROR(IF([2]对账明细接口!$O63=0,"",[2]对账明细接口!$O63),"")</f>
        <v/>
      </c>
      <c r="U63" s="21" t="str">
        <f>IFERROR(IF([2]对账明细接口!$P63=0,"",[2]对账明细接口!$P63),"")</f>
        <v/>
      </c>
      <c r="V63" s="21">
        <f>IFERROR(IF([2]对账明细接口!$Q63=0,"",[2]对账明细接口!$Q63),"")</f>
        <v>846</v>
      </c>
      <c r="W63" s="20" t="str">
        <f>IFERROR(IF([2]对账明细接口!$R63=0,"",[2]对账明细接口!$R63),"")</f>
        <v>新A*G0554</v>
      </c>
      <c r="X63" s="20" t="str">
        <f>IFERROR(IF([2]对账明细接口!$S63=0,"",[2]对账明细接口!$S63),"")</f>
        <v>公司筐</v>
      </c>
      <c r="Y63" s="20" t="str">
        <f t="shared" si="2"/>
        <v/>
      </c>
      <c r="Z63" s="20" t="str">
        <f t="shared" si="3"/>
        <v/>
      </c>
      <c r="AA63" s="20" t="str">
        <f t="shared" si="4"/>
        <v/>
      </c>
      <c r="AB63" s="20" t="str">
        <f t="shared" si="5"/>
        <v/>
      </c>
    </row>
    <row r="64" customHeight="1" spans="1:28">
      <c r="A64" s="14">
        <v>64</v>
      </c>
      <c r="B64" s="15">
        <f>IFERROR(IF([2]对账明细接口!$B$64=0,"",[2]对账明细接口!$B$64),"")</f>
        <v>46268</v>
      </c>
      <c r="C64" s="16" t="str">
        <f>IFERROR(IF([2]对账明细接口!$C$64=0,"",[2]对账明细接口!$C$64),"")</f>
        <v>麦麦提</v>
      </c>
      <c r="D64" s="16" t="str">
        <f>IFERROR(IF([2]对账明细接口!$D$64=0,"",[2]对账明细接口!$D$64),"")</f>
        <v>周转筐－领用出库</v>
      </c>
      <c r="E64" s="16" t="str">
        <f>IFERROR(IF([2]对账明细接口!$E$64=0,"",[2]对账明细接口!$E$64),"")</f>
        <v>NO:0001074</v>
      </c>
      <c r="F64" s="16" t="str">
        <f>IFERROR(IF([2]对账明细接口!$F$64=0,"",[2]对账明细接口!$F$64),"")</f>
        <v>公司红周转筐</v>
      </c>
      <c r="G64" s="16" t="str">
        <f>IFERROR(IF([2]对账明细接口!$G$64=0,"",[2]对账明细接口!$G$64),"")</f>
        <v/>
      </c>
      <c r="H64" s="17">
        <f>IFERROR(IF([2]对账明细接口!$H$64=0,"",[2]对账明细接口!$H$64),"")</f>
        <v>846</v>
      </c>
      <c r="I64" s="16" t="str">
        <f>IFERROR(IF([2]对账明细接口!$I$64=0,"",[2]对账明细接口!$I$64),"")</f>
        <v>个</v>
      </c>
      <c r="J64" s="18" t="str">
        <f>IFERROR(IF([2]对账明细接口!$J$64=0,"",[2]对账明细接口!$J$64),"")</f>
        <v/>
      </c>
      <c r="K64" s="18" t="str">
        <f>IFERROR(IF([2]对账明细接口!$K$64=0,"",[2]对账明细接口!$K$64),"")</f>
        <v/>
      </c>
      <c r="L64" s="16" t="str">
        <f>IFERROR(IF([2]对账明细接口!$L$64=0,"",[2]对账明细接口!$L$64),"")</f>
        <v/>
      </c>
      <c r="M64" s="16" t="str">
        <f>IFERROR(IF([2]对账明细接口!$M$64=0,"",[2]对账明细接口!$M$64),"")</f>
        <v/>
      </c>
      <c r="N64" s="19">
        <f t="shared" si="0"/>
        <v>1</v>
      </c>
      <c r="O64" s="19">
        <f t="shared" si="1"/>
        <v>61</v>
      </c>
      <c r="S64" s="20" t="str">
        <f>IFERROR(IF([2]对账明细接口!$N64=0,"",[2]对账明细接口!$N64),"")</f>
        <v>公司红周转筐</v>
      </c>
      <c r="T64" s="21">
        <f>IFERROR(IF([2]对账明细接口!$O64=0,"",[2]对账明细接口!$O64),"")</f>
        <v>846</v>
      </c>
      <c r="U64" s="21" t="str">
        <f>IFERROR(IF([2]对账明细接口!$P64=0,"",[2]对账明细接口!$P64),"")</f>
        <v/>
      </c>
      <c r="V64" s="21" t="str">
        <f>IFERROR(IF([2]对账明细接口!$Q64=0,"",[2]对账明细接口!$Q64),"")</f>
        <v/>
      </c>
      <c r="W64" s="20" t="str">
        <f>IFERROR(IF([2]对账明细接口!$R64=0,"",[2]对账明细接口!$R64),"")</f>
        <v>新A*G0554</v>
      </c>
      <c r="X64" s="20" t="str">
        <f>IFERROR(IF([2]对账明细接口!$S64=0,"",[2]对账明细接口!$S64),"")</f>
        <v>公司筐</v>
      </c>
      <c r="Y64" s="20" t="str">
        <f t="shared" si="2"/>
        <v/>
      </c>
      <c r="Z64" s="20" t="str">
        <f t="shared" si="3"/>
        <v/>
      </c>
      <c r="AA64" s="20" t="str">
        <f t="shared" si="4"/>
        <v/>
      </c>
      <c r="AB64" s="20" t="str">
        <f t="shared" si="5"/>
        <v/>
      </c>
    </row>
    <row r="65" customHeight="1" spans="1:28">
      <c r="A65" s="14">
        <v>65</v>
      </c>
      <c r="B65" s="15">
        <f>IFERROR(IF([2]对账明细接口!$B$65=0,"",[2]对账明细接口!$B$65),"")</f>
        <v>46268</v>
      </c>
      <c r="C65" s="16" t="str">
        <f>IFERROR(IF([2]对账明细接口!$C$65=0,"",[2]对账明细接口!$C$65),"")</f>
        <v>全修塑业</v>
      </c>
      <c r="D65" s="16" t="str">
        <f>IFERROR(IF([2]对账明细接口!$D$65=0,"",[2]对账明细接口!$D$65),"")</f>
        <v>周转筐－采购入库</v>
      </c>
      <c r="E65" s="16" t="str">
        <f>IFERROR(IF([2]对账明细接口!$E$65=0,"",[2]对账明细接口!$E$65),"")</f>
        <v>NO:0000749</v>
      </c>
      <c r="F65" s="16" t="str">
        <f>IFERROR(IF([2]对账明细接口!$F$65=0,"",[2]对账明细接口!$F$65),"")</f>
        <v>公司红周转筐</v>
      </c>
      <c r="G65" s="16" t="str">
        <f>IFERROR(IF([2]对账明细接口!$G$65=0,"",[2]对账明细接口!$G$65),"")</f>
        <v/>
      </c>
      <c r="H65" s="17">
        <f>IFERROR(IF([2]对账明细接口!$H$65=0,"",[2]对账明细接口!$H$65),"")</f>
        <v>936</v>
      </c>
      <c r="I65" s="16" t="str">
        <f>IFERROR(IF([2]对账明细接口!$I$65=0,"",[2]对账明细接口!$I$65),"")</f>
        <v>个</v>
      </c>
      <c r="J65" s="18" t="str">
        <f>IFERROR(IF([2]对账明细接口!$J$65=0,"",[2]对账明细接口!$J$65),"")</f>
        <v/>
      </c>
      <c r="K65" s="18">
        <f>IFERROR(IF([2]对账明细接口!$K$65=0,"",[2]对账明细接口!$K$65),"")</f>
        <v>9360</v>
      </c>
      <c r="L65" s="16" t="str">
        <f>IFERROR(IF([2]对账明细接口!$L$65=0,"",[2]对账明细接口!$L$65),"")</f>
        <v>未付款</v>
      </c>
      <c r="M65" s="16" t="str">
        <f>IFERROR(IF([2]对账明细接口!$M$65=0,"",[2]对账明细接口!$M$65),"")</f>
        <v>NO:2745245</v>
      </c>
      <c r="N65" s="19">
        <f t="shared" si="0"/>
        <v>1</v>
      </c>
      <c r="O65" s="19">
        <f t="shared" si="1"/>
        <v>62</v>
      </c>
      <c r="S65" s="20" t="str">
        <f>IFERROR(IF([2]对账明细接口!$N65=0,"",[2]对账明细接口!$N65),"")</f>
        <v>公司红周转筐</v>
      </c>
      <c r="T65" s="21" t="str">
        <f>IFERROR(IF([2]对账明细接口!$O65=0,"",[2]对账明细接口!$O65),"")</f>
        <v/>
      </c>
      <c r="U65" s="21" t="str">
        <f>IFERROR(IF([2]对账明细接口!$P65=0,"",[2]对账明细接口!$P65),"")</f>
        <v/>
      </c>
      <c r="V65" s="21">
        <f>IFERROR(IF([2]对账明细接口!$Q65=0,"",[2]对账明细接口!$Q65),"")</f>
        <v>936</v>
      </c>
      <c r="W65" s="20" t="str">
        <f>IFERROR(IF([2]对账明细接口!$R65=0,"",[2]对账明细接口!$R65),"")</f>
        <v>新F*75240</v>
      </c>
      <c r="X65" s="20" t="str">
        <f>IFERROR(IF([2]对账明细接口!$S65=0,"",[2]对账明细接口!$S65),"")</f>
        <v>公司筐</v>
      </c>
      <c r="Y65" s="20" t="str">
        <f t="shared" si="2"/>
        <v/>
      </c>
      <c r="Z65" s="20" t="str">
        <f t="shared" si="3"/>
        <v/>
      </c>
      <c r="AA65" s="20" t="str">
        <f t="shared" si="4"/>
        <v/>
      </c>
      <c r="AB65" s="20" t="str">
        <f t="shared" si="5"/>
        <v/>
      </c>
    </row>
    <row r="66" customHeight="1" spans="1:28">
      <c r="A66" s="14">
        <v>66</v>
      </c>
      <c r="B66" s="15">
        <f>IFERROR(IF([2]对账明细接口!$B$66=0,"",[2]对账明细接口!$B$66),"")</f>
        <v>46268</v>
      </c>
      <c r="C66" s="16" t="str">
        <f>IFERROR(IF([2]对账明细接口!$C$66=0,"",[2]对账明细接口!$C$66),"")</f>
        <v>努尔敦</v>
      </c>
      <c r="D66" s="16" t="str">
        <f>IFERROR(IF([2]对账明细接口!$D$66=0,"",[2]对账明细接口!$D$66),"")</f>
        <v>周转筐－领用出库</v>
      </c>
      <c r="E66" s="16" t="str">
        <f>IFERROR(IF([2]对账明细接口!$E$66=0,"",[2]对账明细接口!$E$66),"")</f>
        <v>NO:0001075</v>
      </c>
      <c r="F66" s="16" t="str">
        <f>IFERROR(IF([2]对账明细接口!$F$66=0,"",[2]对账明细接口!$F$66),"")</f>
        <v>公司红周转筐</v>
      </c>
      <c r="G66" s="16" t="str">
        <f>IFERROR(IF([2]对账明细接口!$G$66=0,"",[2]对账明细接口!$G$66),"")</f>
        <v/>
      </c>
      <c r="H66" s="17">
        <f>IFERROR(IF([2]对账明细接口!$H$66=0,"",[2]对账明细接口!$H$66),"")</f>
        <v>936</v>
      </c>
      <c r="I66" s="16" t="str">
        <f>IFERROR(IF([2]对账明细接口!$I$66=0,"",[2]对账明细接口!$I$66),"")</f>
        <v>个</v>
      </c>
      <c r="J66" s="18" t="str">
        <f>IFERROR(IF([2]对账明细接口!$J$66=0,"",[2]对账明细接口!$J$66),"")</f>
        <v/>
      </c>
      <c r="K66" s="18" t="str">
        <f>IFERROR(IF([2]对账明细接口!$K$66=0,"",[2]对账明细接口!$K$66),"")</f>
        <v/>
      </c>
      <c r="L66" s="16" t="str">
        <f>IFERROR(IF([2]对账明细接口!$L$66=0,"",[2]对账明细接口!$L$66),"")</f>
        <v/>
      </c>
      <c r="M66" s="16" t="str">
        <f>IFERROR(IF([2]对账明细接口!$M$66=0,"",[2]对账明细接口!$M$66),"")</f>
        <v/>
      </c>
      <c r="N66" s="19">
        <f t="shared" si="0"/>
        <v>1</v>
      </c>
      <c r="O66" s="19">
        <f t="shared" si="1"/>
        <v>63</v>
      </c>
      <c r="S66" s="20" t="str">
        <f>IFERROR(IF([2]对账明细接口!$N66=0,"",[2]对账明细接口!$N66),"")</f>
        <v>公司红周转筐</v>
      </c>
      <c r="T66" s="21">
        <f>IFERROR(IF([2]对账明细接口!$O66=0,"",[2]对账明细接口!$O66),"")</f>
        <v>936</v>
      </c>
      <c r="U66" s="21" t="str">
        <f>IFERROR(IF([2]对账明细接口!$P66=0,"",[2]对账明细接口!$P66),"")</f>
        <v/>
      </c>
      <c r="V66" s="21" t="str">
        <f>IFERROR(IF([2]对账明细接口!$Q66=0,"",[2]对账明细接口!$Q66),"")</f>
        <v/>
      </c>
      <c r="W66" s="20" t="str">
        <f>IFERROR(IF([2]对账明细接口!$R66=0,"",[2]对账明细接口!$R66),"")</f>
        <v>新F*75240</v>
      </c>
      <c r="X66" s="20" t="str">
        <f>IFERROR(IF([2]对账明细接口!$S66=0,"",[2]对账明细接口!$S66),"")</f>
        <v>公司筐</v>
      </c>
      <c r="Y66" s="20" t="str">
        <f t="shared" si="2"/>
        <v/>
      </c>
      <c r="Z66" s="20" t="str">
        <f t="shared" si="3"/>
        <v/>
      </c>
      <c r="AA66" s="20" t="str">
        <f t="shared" si="4"/>
        <v/>
      </c>
      <c r="AB66" s="20" t="str">
        <f t="shared" si="5"/>
        <v/>
      </c>
    </row>
    <row r="67" customHeight="1" spans="1:28">
      <c r="A67" s="14">
        <v>67</v>
      </c>
      <c r="B67" s="15">
        <f>IFERROR(IF([2]对账明细接口!$B$67=0,"",[2]对账明细接口!$B$67),"")</f>
        <v>46269</v>
      </c>
      <c r="C67" s="16" t="str">
        <f>IFERROR(IF([2]对账明细接口!$C$67=0,"",[2]对账明细接口!$C$67),"")</f>
        <v>全修塑业</v>
      </c>
      <c r="D67" s="16" t="str">
        <f>IFERROR(IF([2]对账明细接口!$D$67=0,"",[2]对账明细接口!$D$67),"")</f>
        <v>周转筐－采购入库</v>
      </c>
      <c r="E67" s="16" t="str">
        <f>IFERROR(IF([2]对账明细接口!$E$67=0,"",[2]对账明细接口!$E$67),"")</f>
        <v>NO:0000750</v>
      </c>
      <c r="F67" s="16" t="str">
        <f>IFERROR(IF([2]对账明细接口!$F$67=0,"",[2]对账明细接口!$F$67),"")</f>
        <v>公司红周转筐</v>
      </c>
      <c r="G67" s="16" t="str">
        <f>IFERROR(IF([2]对账明细接口!$G$67=0,"",[2]对账明细接口!$G$67),"")</f>
        <v/>
      </c>
      <c r="H67" s="17">
        <f>IFERROR(IF([2]对账明细接口!$H$67=0,"",[2]对账明细接口!$H$67),"")</f>
        <v>960</v>
      </c>
      <c r="I67" s="16" t="str">
        <f>IFERROR(IF([2]对账明细接口!$I$67=0,"",[2]对账明细接口!$I$67),"")</f>
        <v>个</v>
      </c>
      <c r="J67" s="18" t="str">
        <f>IFERROR(IF([2]对账明细接口!$J$67=0,"",[2]对账明细接口!$J$67),"")</f>
        <v/>
      </c>
      <c r="K67" s="18">
        <f>IFERROR(IF([2]对账明细接口!$K$67=0,"",[2]对账明细接口!$K$67),"")</f>
        <v>9600</v>
      </c>
      <c r="L67" s="16" t="str">
        <f>IFERROR(IF([2]对账明细接口!$L$67=0,"",[2]对账明细接口!$L$67),"")</f>
        <v>未付款</v>
      </c>
      <c r="M67" s="16" t="str">
        <f>IFERROR(IF([2]对账明细接口!$M$67=0,"",[2]对账明细接口!$M$67),"")</f>
        <v>NO:2745247</v>
      </c>
      <c r="N67" s="19">
        <f t="shared" si="0"/>
        <v>1</v>
      </c>
      <c r="O67" s="19">
        <f t="shared" si="1"/>
        <v>64</v>
      </c>
      <c r="S67" s="20" t="str">
        <f>IFERROR(IF([2]对账明细接口!$N67=0,"",[2]对账明细接口!$N67),"")</f>
        <v>公司红周转筐</v>
      </c>
      <c r="T67" s="21" t="str">
        <f>IFERROR(IF([2]对账明细接口!$O67=0,"",[2]对账明细接口!$O67),"")</f>
        <v/>
      </c>
      <c r="U67" s="21" t="str">
        <f>IFERROR(IF([2]对账明细接口!$P67=0,"",[2]对账明细接口!$P67),"")</f>
        <v/>
      </c>
      <c r="V67" s="21">
        <f>IFERROR(IF([2]对账明细接口!$Q67=0,"",[2]对账明细接口!$Q67),"")</f>
        <v>960</v>
      </c>
      <c r="W67" s="20" t="str">
        <f>IFERROR(IF([2]对账明细接口!$R67=0,"",[2]对账明细接口!$R67),"")</f>
        <v>豫A*2737K</v>
      </c>
      <c r="X67" s="20" t="str">
        <f>IFERROR(IF([2]对账明细接口!$S67=0,"",[2]对账明细接口!$S67),"")</f>
        <v>公司筐</v>
      </c>
      <c r="Y67" s="20" t="str">
        <f t="shared" si="2"/>
        <v/>
      </c>
      <c r="Z67" s="20" t="str">
        <f t="shared" si="3"/>
        <v/>
      </c>
      <c r="AA67" s="20" t="str">
        <f t="shared" si="4"/>
        <v/>
      </c>
      <c r="AB67" s="20" t="str">
        <f t="shared" si="5"/>
        <v/>
      </c>
    </row>
    <row r="68" customHeight="1" spans="1:28">
      <c r="A68" s="14">
        <v>68</v>
      </c>
      <c r="B68" s="15">
        <f>IFERROR(IF([2]对账明细接口!$B$68=0,"",[2]对账明细接口!$B$68),"")</f>
        <v>46269</v>
      </c>
      <c r="C68" s="16" t="str">
        <f>IFERROR(IF([2]对账明细接口!$C$68=0,"",[2]对账明细接口!$C$68),"")</f>
        <v>荆建君</v>
      </c>
      <c r="D68" s="16" t="str">
        <f>IFERROR(IF([2]对账明细接口!$D$68=0,"",[2]对账明细接口!$D$68),"")</f>
        <v>周转筐－领用出库</v>
      </c>
      <c r="E68" s="16" t="str">
        <f>IFERROR(IF([2]对账明细接口!$E$68=0,"",[2]对账明细接口!$E$68),"")</f>
        <v>NO:0001077</v>
      </c>
      <c r="F68" s="16" t="str">
        <f>IFERROR(IF([2]对账明细接口!$F$68=0,"",[2]对账明细接口!$F$68),"")</f>
        <v>公司红周转筐</v>
      </c>
      <c r="G68" s="16" t="str">
        <f>IFERROR(IF([2]对账明细接口!$G$68=0,"",[2]对账明细接口!$G$68),"")</f>
        <v/>
      </c>
      <c r="H68" s="17">
        <f>IFERROR(IF([2]对账明细接口!$H$68=0,"",[2]对账明细接口!$H$68),"")</f>
        <v>960</v>
      </c>
      <c r="I68" s="16" t="str">
        <f>IFERROR(IF([2]对账明细接口!$I$68=0,"",[2]对账明细接口!$I$68),"")</f>
        <v>个</v>
      </c>
      <c r="J68" s="18" t="str">
        <f>IFERROR(IF([2]对账明细接口!$J$68=0,"",[2]对账明细接口!$J$68),"")</f>
        <v/>
      </c>
      <c r="K68" s="18" t="str">
        <f>IFERROR(IF([2]对账明细接口!$K$68=0,"",[2]对账明细接口!$K$68),"")</f>
        <v/>
      </c>
      <c r="L68" s="16" t="str">
        <f>IFERROR(IF([2]对账明细接口!$L$68=0,"",[2]对账明细接口!$L$68),"")</f>
        <v/>
      </c>
      <c r="M68" s="16" t="str">
        <f>IFERROR(IF([2]对账明细接口!$M$68=0,"",[2]对账明细接口!$M$68),"")</f>
        <v/>
      </c>
      <c r="N68" s="19">
        <f t="shared" ref="N68:N131" si="6">IF($C68="",0,1)</f>
        <v>1</v>
      </c>
      <c r="O68" s="19">
        <f t="shared" ref="O68:O131" si="7">N(O67)+$N68</f>
        <v>65</v>
      </c>
      <c r="S68" s="20" t="str">
        <f>IFERROR(IF([2]对账明细接口!$N68=0,"",[2]对账明细接口!$N68),"")</f>
        <v>公司红周转筐</v>
      </c>
      <c r="T68" s="21">
        <f>IFERROR(IF([2]对账明细接口!$O68=0,"",[2]对账明细接口!$O68),"")</f>
        <v>960</v>
      </c>
      <c r="U68" s="21" t="str">
        <f>IFERROR(IF([2]对账明细接口!$P68=0,"",[2]对账明细接口!$P68),"")</f>
        <v/>
      </c>
      <c r="V68" s="21" t="str">
        <f>IFERROR(IF([2]对账明细接口!$Q68=0,"",[2]对账明细接口!$Q68),"")</f>
        <v/>
      </c>
      <c r="W68" s="20" t="str">
        <f>IFERROR(IF([2]对账明细接口!$R68=0,"",[2]对账明细接口!$R68),"")</f>
        <v>豫A*2737K</v>
      </c>
      <c r="X68" s="20" t="str">
        <f>IFERROR(IF([2]对账明细接口!$S68=0,"",[2]对账明细接口!$S68),"")</f>
        <v>公司筐</v>
      </c>
      <c r="Y68" s="20" t="str">
        <f t="shared" ref="Y68:Y131" si="8">""</f>
        <v/>
      </c>
      <c r="Z68" s="20" t="str">
        <f t="shared" ref="Z68:Z131" si="9">""</f>
        <v/>
      </c>
      <c r="AA68" s="20" t="str">
        <f t="shared" ref="AA68:AA131" si="10">""</f>
        <v/>
      </c>
      <c r="AB68" s="20" t="str">
        <f t="shared" ref="AB68:AB131" si="11">""</f>
        <v/>
      </c>
    </row>
    <row r="69" customHeight="1" spans="1:28">
      <c r="A69" s="14">
        <v>69</v>
      </c>
      <c r="B69" s="15">
        <f>IFERROR(IF([2]对账明细接口!$B$69=0,"",[2]对账明细接口!$B$69),"")</f>
        <v>46269</v>
      </c>
      <c r="C69" s="16" t="str">
        <f>IFERROR(IF([2]对账明细接口!$C$69=0,"",[2]对账明细接口!$C$69),"")</f>
        <v>马锦祥</v>
      </c>
      <c r="D69" s="16" t="str">
        <f>IFERROR(IF([2]对账明细接口!$D$69=0,"",[2]对账明细接口!$D$69),"")</f>
        <v>周转筐－领用出库</v>
      </c>
      <c r="E69" s="16" t="str">
        <f>IFERROR(IF([2]对账明细接口!$E$69=0,"",[2]对账明细接口!$E$69),"")</f>
        <v>NO:0001076</v>
      </c>
      <c r="F69" s="16" t="str">
        <f>IFERROR(IF([2]对账明细接口!$F$69=0,"",[2]对账明细接口!$F$69),"")</f>
        <v>公司杂周转筐</v>
      </c>
      <c r="G69" s="16" t="str">
        <f>IFERROR(IF([2]对账明细接口!$G$69=0,"",[2]对账明细接口!$G$69),"")</f>
        <v/>
      </c>
      <c r="H69" s="17">
        <f>IFERROR(IF([2]对账明细接口!$H$69=0,"",[2]对账明细接口!$H$69),"")</f>
        <v>574</v>
      </c>
      <c r="I69" s="16" t="str">
        <f>IFERROR(IF([2]对账明细接口!$I$69=0,"",[2]对账明细接口!$I$69),"")</f>
        <v>个</v>
      </c>
      <c r="J69" s="18" t="str">
        <f>IFERROR(IF([2]对账明细接口!$J$69=0,"",[2]对账明细接口!$J$69),"")</f>
        <v/>
      </c>
      <c r="K69" s="18" t="str">
        <f>IFERROR(IF([2]对账明细接口!$K$69=0,"",[2]对账明细接口!$K$69),"")</f>
        <v/>
      </c>
      <c r="L69" s="16" t="str">
        <f>IFERROR(IF([2]对账明细接口!$L$69=0,"",[2]对账明细接口!$L$69),"")</f>
        <v/>
      </c>
      <c r="M69" s="16" t="str">
        <f>IFERROR(IF([2]对账明细接口!$M$69=0,"",[2]对账明细接口!$M$69),"")</f>
        <v/>
      </c>
      <c r="N69" s="19">
        <f t="shared" si="6"/>
        <v>1</v>
      </c>
      <c r="O69" s="19">
        <f t="shared" si="7"/>
        <v>66</v>
      </c>
      <c r="S69" s="20" t="str">
        <f>IFERROR(IF([2]对账明细接口!$N69=0,"",[2]对账明细接口!$N69),"")</f>
        <v>公司杂周转筐</v>
      </c>
      <c r="T69" s="21">
        <f>IFERROR(IF([2]对账明细接口!$O69=0,"",[2]对账明细接口!$O69),"")</f>
        <v>574</v>
      </c>
      <c r="U69" s="21" t="str">
        <f>IFERROR(IF([2]对账明细接口!$P69=0,"",[2]对账明细接口!$P69),"")</f>
        <v/>
      </c>
      <c r="V69" s="21" t="str">
        <f>IFERROR(IF([2]对账明细接口!$Q69=0,"",[2]对账明细接口!$Q69),"")</f>
        <v/>
      </c>
      <c r="W69" s="20" t="str">
        <f>IFERROR(IF([2]对账明细接口!$R69=0,"",[2]对账明细接口!$R69),"")</f>
        <v>新N*K7V85</v>
      </c>
      <c r="X69" s="20" t="str">
        <f>IFERROR(IF([2]对账明细接口!$S69=0,"",[2]对账明细接口!$S69),"")</f>
        <v>公司筐</v>
      </c>
      <c r="Y69" s="20" t="str">
        <f t="shared" si="8"/>
        <v/>
      </c>
      <c r="Z69" s="20" t="str">
        <f t="shared" si="9"/>
        <v/>
      </c>
      <c r="AA69" s="20" t="str">
        <f t="shared" si="10"/>
        <v/>
      </c>
      <c r="AB69" s="20" t="str">
        <f t="shared" si="11"/>
        <v/>
      </c>
    </row>
    <row r="70" customHeight="1" spans="1:28">
      <c r="A70" s="14">
        <v>70</v>
      </c>
      <c r="B70" s="15">
        <f>IFERROR(IF([2]对账明细接口!$B$70=0,"",[2]对账明细接口!$B$70),"")</f>
        <v>46269</v>
      </c>
      <c r="C70" s="16" t="str">
        <f>IFERROR(IF([2]对账明细接口!$C$70=0,"",[2]对账明细接口!$C$70),"")</f>
        <v>全修塑业</v>
      </c>
      <c r="D70" s="16" t="str">
        <f>IFERROR(IF([2]对账明细接口!$D$70=0,"",[2]对账明细接口!$D$70),"")</f>
        <v>周转筐－采购入库</v>
      </c>
      <c r="E70" s="16" t="str">
        <f>IFERROR(IF([2]对账明细接口!$E$70=0,"",[2]对账明细接口!$E$70),"")</f>
        <v>NO:0000751</v>
      </c>
      <c r="F70" s="16" t="str">
        <f>IFERROR(IF([2]对账明细接口!$F$70=0,"",[2]对账明细接口!$F$70),"")</f>
        <v>公司红周转筐</v>
      </c>
      <c r="G70" s="16" t="str">
        <f>IFERROR(IF([2]对账明细接口!$G$70=0,"",[2]对账明细接口!$G$70),"")</f>
        <v/>
      </c>
      <c r="H70" s="17">
        <f>IFERROR(IF([2]对账明细接口!$H$70=0,"",[2]对账明细接口!$H$70),"")</f>
        <v>936</v>
      </c>
      <c r="I70" s="16" t="str">
        <f>IFERROR(IF([2]对账明细接口!$I$70=0,"",[2]对账明细接口!$I$70),"")</f>
        <v>个</v>
      </c>
      <c r="J70" s="18" t="str">
        <f>IFERROR(IF([2]对账明细接口!$J$70=0,"",[2]对账明细接口!$J$70),"")</f>
        <v/>
      </c>
      <c r="K70" s="18">
        <f>IFERROR(IF([2]对账明细接口!$K$70=0,"",[2]对账明细接口!$K$70),"")</f>
        <v>9360</v>
      </c>
      <c r="L70" s="16" t="str">
        <f>IFERROR(IF([2]对账明细接口!$L$70=0,"",[2]对账明细接口!$L$70),"")</f>
        <v>未付款</v>
      </c>
      <c r="M70" s="16" t="str">
        <f>IFERROR(IF([2]对账明细接口!$M$70=0,"",[2]对账明细接口!$M$70),"")</f>
        <v>NO:2745248</v>
      </c>
      <c r="N70" s="19">
        <f t="shared" si="6"/>
        <v>1</v>
      </c>
      <c r="O70" s="19">
        <f t="shared" si="7"/>
        <v>67</v>
      </c>
      <c r="S70" s="20" t="str">
        <f>IFERROR(IF([2]对账明细接口!$N70=0,"",[2]对账明细接口!$N70),"")</f>
        <v>公司红周转筐</v>
      </c>
      <c r="T70" s="21" t="str">
        <f>IFERROR(IF([2]对账明细接口!$O70=0,"",[2]对账明细接口!$O70),"")</f>
        <v/>
      </c>
      <c r="U70" s="21" t="str">
        <f>IFERROR(IF([2]对账明细接口!$P70=0,"",[2]对账明细接口!$P70),"")</f>
        <v/>
      </c>
      <c r="V70" s="21">
        <f>IFERROR(IF([2]对账明细接口!$Q70=0,"",[2]对账明细接口!$Q70),"")</f>
        <v>936</v>
      </c>
      <c r="W70" s="20" t="str">
        <f>IFERROR(IF([2]对账明细接口!$R70=0,"",[2]对账明细接口!$R70),"")</f>
        <v>新F*75240</v>
      </c>
      <c r="X70" s="20" t="str">
        <f>IFERROR(IF([2]对账明细接口!$S70=0,"",[2]对账明细接口!$S70),"")</f>
        <v>公司筐</v>
      </c>
      <c r="Y70" s="20" t="str">
        <f t="shared" si="8"/>
        <v/>
      </c>
      <c r="Z70" s="20" t="str">
        <f t="shared" si="9"/>
        <v/>
      </c>
      <c r="AA70" s="20" t="str">
        <f t="shared" si="10"/>
        <v/>
      </c>
      <c r="AB70" s="20" t="str">
        <f t="shared" si="11"/>
        <v/>
      </c>
    </row>
    <row r="71" customHeight="1" spans="1:28">
      <c r="A71" s="14">
        <v>71</v>
      </c>
      <c r="B71" s="15">
        <f>IFERROR(IF([2]对账明细接口!$B$71=0,"",[2]对账明细接口!$B$71),"")</f>
        <v>46269</v>
      </c>
      <c r="C71" s="16" t="str">
        <f>IFERROR(IF([2]对账明细接口!$C$71=0,"",[2]对账明细接口!$C$71),"")</f>
        <v>努尔敦</v>
      </c>
      <c r="D71" s="16" t="str">
        <f>IFERROR(IF([2]对账明细接口!$D$71=0,"",[2]对账明细接口!$D$71),"")</f>
        <v>周转筐－领用出库</v>
      </c>
      <c r="E71" s="16" t="str">
        <f>IFERROR(IF([2]对账明细接口!$E$71=0,"",[2]对账明细接口!$E$71),"")</f>
        <v>NO:0001078</v>
      </c>
      <c r="F71" s="16" t="str">
        <f>IFERROR(IF([2]对账明细接口!$F$71=0,"",[2]对账明细接口!$F$71),"")</f>
        <v>公司红周转筐</v>
      </c>
      <c r="G71" s="16" t="str">
        <f>IFERROR(IF([2]对账明细接口!$G$71=0,"",[2]对账明细接口!$G$71),"")</f>
        <v/>
      </c>
      <c r="H71" s="17">
        <f>IFERROR(IF([2]对账明细接口!$H$71=0,"",[2]对账明细接口!$H$71),"")</f>
        <v>936</v>
      </c>
      <c r="I71" s="16" t="str">
        <f>IFERROR(IF([2]对账明细接口!$I$71=0,"",[2]对账明细接口!$I$71),"")</f>
        <v>个</v>
      </c>
      <c r="J71" s="18" t="str">
        <f>IFERROR(IF([2]对账明细接口!$J$71=0,"",[2]对账明细接口!$J$71),"")</f>
        <v/>
      </c>
      <c r="K71" s="18" t="str">
        <f>IFERROR(IF([2]对账明细接口!$K$71=0,"",[2]对账明细接口!$K$71),"")</f>
        <v/>
      </c>
      <c r="L71" s="16" t="str">
        <f>IFERROR(IF([2]对账明细接口!$L$71=0,"",[2]对账明细接口!$L$71),"")</f>
        <v/>
      </c>
      <c r="M71" s="16" t="str">
        <f>IFERROR(IF([2]对账明细接口!$M$71=0,"",[2]对账明细接口!$M$71),"")</f>
        <v/>
      </c>
      <c r="N71" s="19">
        <f t="shared" si="6"/>
        <v>1</v>
      </c>
      <c r="O71" s="19">
        <f t="shared" si="7"/>
        <v>68</v>
      </c>
      <c r="S71" s="20" t="str">
        <f>IFERROR(IF([2]对账明细接口!$N71=0,"",[2]对账明细接口!$N71),"")</f>
        <v>公司红周转筐</v>
      </c>
      <c r="T71" s="21">
        <f>IFERROR(IF([2]对账明细接口!$O71=0,"",[2]对账明细接口!$O71),"")</f>
        <v>936</v>
      </c>
      <c r="U71" s="21" t="str">
        <f>IFERROR(IF([2]对账明细接口!$P71=0,"",[2]对账明细接口!$P71),"")</f>
        <v/>
      </c>
      <c r="V71" s="21" t="str">
        <f>IFERROR(IF([2]对账明细接口!$Q71=0,"",[2]对账明细接口!$Q71),"")</f>
        <v/>
      </c>
      <c r="W71" s="20" t="str">
        <f>IFERROR(IF([2]对账明细接口!$R71=0,"",[2]对账明细接口!$R71),"")</f>
        <v>新F*75240</v>
      </c>
      <c r="X71" s="20" t="str">
        <f>IFERROR(IF([2]对账明细接口!$S71=0,"",[2]对账明细接口!$S71),"")</f>
        <v>公司筐</v>
      </c>
      <c r="Y71" s="20" t="str">
        <f t="shared" si="8"/>
        <v/>
      </c>
      <c r="Z71" s="20" t="str">
        <f t="shared" si="9"/>
        <v/>
      </c>
      <c r="AA71" s="20" t="str">
        <f t="shared" si="10"/>
        <v/>
      </c>
      <c r="AB71" s="20" t="str">
        <f t="shared" si="11"/>
        <v/>
      </c>
    </row>
    <row r="72" customHeight="1" spans="1:28">
      <c r="A72" s="14">
        <v>72</v>
      </c>
      <c r="B72" s="15">
        <f>IFERROR(IF([2]对账明细接口!$B$72=0,"",[2]对账明细接口!$B$72),"")</f>
        <v>46269</v>
      </c>
      <c r="C72" s="16" t="str">
        <f>IFERROR(IF([2]对账明细接口!$C$72=0,"",[2]对账明细接口!$C$72),"")</f>
        <v>全修塑业</v>
      </c>
      <c r="D72" s="16" t="str">
        <f>IFERROR(IF([2]对账明细接口!$D$72=0,"",[2]对账明细接口!$D$72),"")</f>
        <v>周转筐－采购入库</v>
      </c>
      <c r="E72" s="16" t="str">
        <f>IFERROR(IF([2]对账明细接口!$E$72=0,"",[2]对账明细接口!$E$72),"")</f>
        <v>NO:0000753</v>
      </c>
      <c r="F72" s="16" t="str">
        <f>IFERROR(IF([2]对账明细接口!$F$72=0,"",[2]对账明细接口!$F$72),"")</f>
        <v>公司红周转筐</v>
      </c>
      <c r="G72" s="16" t="str">
        <f>IFERROR(IF([2]对账明细接口!$G$72=0,"",[2]对账明细接口!$G$72),"")</f>
        <v/>
      </c>
      <c r="H72" s="17">
        <f>IFERROR(IF([2]对账明细接口!$H$72=0,"",[2]对账明细接口!$H$72),"")</f>
        <v>582</v>
      </c>
      <c r="I72" s="16" t="str">
        <f>IFERROR(IF([2]对账明细接口!$I$72=0,"",[2]对账明细接口!$I$72),"")</f>
        <v>个</v>
      </c>
      <c r="J72" s="18" t="str">
        <f>IFERROR(IF([2]对账明细接口!$J$72=0,"",[2]对账明细接口!$J$72),"")</f>
        <v/>
      </c>
      <c r="K72" s="18">
        <f>IFERROR(IF([2]对账明细接口!$K$72=0,"",[2]对账明细接口!$K$72),"")</f>
        <v>5820</v>
      </c>
      <c r="L72" s="16" t="str">
        <f>IFERROR(IF([2]对账明细接口!$L$72=0,"",[2]对账明细接口!$L$72),"")</f>
        <v>未付款</v>
      </c>
      <c r="M72" s="16" t="str">
        <f>IFERROR(IF([2]对账明细接口!$M$72=0,"",[2]对账明细接口!$M$72),"")</f>
        <v>NO:2745249</v>
      </c>
      <c r="N72" s="19">
        <f t="shared" si="6"/>
        <v>1</v>
      </c>
      <c r="O72" s="19">
        <f t="shared" si="7"/>
        <v>69</v>
      </c>
      <c r="S72" s="20" t="str">
        <f>IFERROR(IF([2]对账明细接口!$N72=0,"",[2]对账明细接口!$N72),"")</f>
        <v>公司红周转筐</v>
      </c>
      <c r="T72" s="21" t="str">
        <f>IFERROR(IF([2]对账明细接口!$O72=0,"",[2]对账明细接口!$O72),"")</f>
        <v/>
      </c>
      <c r="U72" s="21" t="str">
        <f>IFERROR(IF([2]对账明细接口!$P72=0,"",[2]对账明细接口!$P72),"")</f>
        <v/>
      </c>
      <c r="V72" s="21">
        <f>IFERROR(IF([2]对账明细接口!$Q72=0,"",[2]对账明细接口!$Q72),"")</f>
        <v>582</v>
      </c>
      <c r="W72" s="20" t="str">
        <f>IFERROR(IF([2]对账明细接口!$R72=0,"",[2]对账明细接口!$R72),"")</f>
        <v>豫A*2737K</v>
      </c>
      <c r="X72" s="20" t="str">
        <f>IFERROR(IF([2]对账明细接口!$S72=0,"",[2]对账明细接口!$S72),"")</f>
        <v>公司筐</v>
      </c>
      <c r="Y72" s="20" t="str">
        <f t="shared" si="8"/>
        <v/>
      </c>
      <c r="Z72" s="20" t="str">
        <f t="shared" si="9"/>
        <v/>
      </c>
      <c r="AA72" s="20" t="str">
        <f t="shared" si="10"/>
        <v/>
      </c>
      <c r="AB72" s="20" t="str">
        <f t="shared" si="11"/>
        <v/>
      </c>
    </row>
    <row r="73" customHeight="1" spans="1:28">
      <c r="A73" s="14">
        <v>73</v>
      </c>
      <c r="B73" s="15">
        <f>IFERROR(IF([2]对账明细接口!$B$73=0,"",[2]对账明细接口!$B$73),"")</f>
        <v>46269</v>
      </c>
      <c r="C73" s="16" t="str">
        <f>IFERROR(IF([2]对账明细接口!$C$73=0,"",[2]对账明细接口!$C$73),"")</f>
        <v>荆建君</v>
      </c>
      <c r="D73" s="16" t="str">
        <f>IFERROR(IF([2]对账明细接口!$D$73=0,"",[2]对账明细接口!$D$73),"")</f>
        <v>周转筐－领用出库</v>
      </c>
      <c r="E73" s="16" t="str">
        <f>IFERROR(IF([2]对账明细接口!$E$73=0,"",[2]对账明细接口!$E$73),"")</f>
        <v>NO:0001079</v>
      </c>
      <c r="F73" s="16" t="str">
        <f>IFERROR(IF([2]对账明细接口!$F$73=0,"",[2]对账明细接口!$F$73),"")</f>
        <v>公司红周转筐</v>
      </c>
      <c r="G73" s="16" t="str">
        <f>IFERROR(IF([2]对账明细接口!$G$73=0,"",[2]对账明细接口!$G$73),"")</f>
        <v/>
      </c>
      <c r="H73" s="17">
        <f>IFERROR(IF([2]对账明细接口!$H$73=0,"",[2]对账明细接口!$H$73),"")</f>
        <v>582</v>
      </c>
      <c r="I73" s="16" t="str">
        <f>IFERROR(IF([2]对账明细接口!$I$73=0,"",[2]对账明细接口!$I$73),"")</f>
        <v>个</v>
      </c>
      <c r="J73" s="18" t="str">
        <f>IFERROR(IF([2]对账明细接口!$J$73=0,"",[2]对账明细接口!$J$73),"")</f>
        <v/>
      </c>
      <c r="K73" s="18" t="str">
        <f>IFERROR(IF([2]对账明细接口!$K$73=0,"",[2]对账明细接口!$K$73),"")</f>
        <v/>
      </c>
      <c r="L73" s="16" t="str">
        <f>IFERROR(IF([2]对账明细接口!$L$73=0,"",[2]对账明细接口!$L$73),"")</f>
        <v/>
      </c>
      <c r="M73" s="16" t="str">
        <f>IFERROR(IF([2]对账明细接口!$M$73=0,"",[2]对账明细接口!$M$73),"")</f>
        <v/>
      </c>
      <c r="N73" s="19">
        <f t="shared" si="6"/>
        <v>1</v>
      </c>
      <c r="O73" s="19">
        <f t="shared" si="7"/>
        <v>70</v>
      </c>
      <c r="S73" s="20" t="str">
        <f>IFERROR(IF([2]对账明细接口!$N73=0,"",[2]对账明细接口!$N73),"")</f>
        <v>公司红周转筐</v>
      </c>
      <c r="T73" s="21">
        <f>IFERROR(IF([2]对账明细接口!$O73=0,"",[2]对账明细接口!$O73),"")</f>
        <v>582</v>
      </c>
      <c r="U73" s="21" t="str">
        <f>IFERROR(IF([2]对账明细接口!$P73=0,"",[2]对账明细接口!$P73),"")</f>
        <v/>
      </c>
      <c r="V73" s="21" t="str">
        <f>IFERROR(IF([2]对账明细接口!$Q73=0,"",[2]对账明细接口!$Q73),"")</f>
        <v/>
      </c>
      <c r="W73" s="20" t="str">
        <f>IFERROR(IF([2]对账明细接口!$R73=0,"",[2]对账明细接口!$R73),"")</f>
        <v>豫A*2737K</v>
      </c>
      <c r="X73" s="20" t="str">
        <f>IFERROR(IF([2]对账明细接口!$S73=0,"",[2]对账明细接口!$S73),"")</f>
        <v>公司筐</v>
      </c>
      <c r="Y73" s="20" t="str">
        <f t="shared" si="8"/>
        <v/>
      </c>
      <c r="Z73" s="20" t="str">
        <f t="shared" si="9"/>
        <v/>
      </c>
      <c r="AA73" s="20" t="str">
        <f t="shared" si="10"/>
        <v/>
      </c>
      <c r="AB73" s="20" t="str">
        <f t="shared" si="11"/>
        <v/>
      </c>
    </row>
    <row r="74" customHeight="1" spans="1:28">
      <c r="A74" s="14">
        <v>74</v>
      </c>
      <c r="B74" s="15">
        <f>IFERROR(IF([2]对账明细接口!$B$74=0,"",[2]对账明细接口!$B$74),"")</f>
        <v>46270</v>
      </c>
      <c r="C74" s="16" t="str">
        <f>IFERROR(IF([2]对账明细接口!$C$74=0,"",[2]对账明细接口!$C$74),"")</f>
        <v>王浩</v>
      </c>
      <c r="D74" s="16" t="str">
        <f>IFERROR(IF([2]对账明细接口!$D$74=0,"",[2]对账明细接口!$D$74),"")</f>
        <v>周转筐－领用出库</v>
      </c>
      <c r="E74" s="16" t="str">
        <f>IFERROR(IF([2]对账明细接口!$E$74=0,"",[2]对账明细接口!$E$74),"")</f>
        <v>NO:0001086</v>
      </c>
      <c r="F74" s="16" t="str">
        <f>IFERROR(IF([2]对账明细接口!$F$74=0,"",[2]对账明细接口!$F$74),"")</f>
        <v>公司一次性筐</v>
      </c>
      <c r="G74" s="16" t="str">
        <f>IFERROR(IF([2]对账明细接口!$G$74=0,"",[2]对账明细接口!$G$74),"")</f>
        <v/>
      </c>
      <c r="H74" s="17">
        <f>IFERROR(IF([2]对账明细接口!$H$74=0,"",[2]对账明细接口!$H$74),"")</f>
        <v>1320</v>
      </c>
      <c r="I74" s="16" t="str">
        <f>IFERROR(IF([2]对账明细接口!$I$74=0,"",[2]对账明细接口!$I$74),"")</f>
        <v>个</v>
      </c>
      <c r="J74" s="18" t="str">
        <f>IFERROR(IF([2]对账明细接口!$J$74=0,"",[2]对账明细接口!$J$74),"")</f>
        <v/>
      </c>
      <c r="K74" s="18" t="str">
        <f>IFERROR(IF([2]对账明细接口!$K$74=0,"",[2]对账明细接口!$K$74),"")</f>
        <v/>
      </c>
      <c r="L74" s="16" t="str">
        <f>IFERROR(IF([2]对账明细接口!$L$74=0,"",[2]对账明细接口!$L$74),"")</f>
        <v/>
      </c>
      <c r="M74" s="16" t="str">
        <f>IFERROR(IF([2]对账明细接口!$M$74=0,"",[2]对账明细接口!$M$74),"")</f>
        <v/>
      </c>
      <c r="N74" s="19">
        <f t="shared" si="6"/>
        <v>1</v>
      </c>
      <c r="O74" s="19">
        <f t="shared" si="7"/>
        <v>71</v>
      </c>
      <c r="S74" s="20" t="str">
        <f>IFERROR(IF([2]对账明细接口!$N74=0,"",[2]对账明细接口!$N74),"")</f>
        <v>公司一次性筐</v>
      </c>
      <c r="T74" s="21">
        <f>IFERROR(IF([2]对账明细接口!$O74=0,"",[2]对账明细接口!$O74),"")</f>
        <v>1320</v>
      </c>
      <c r="U74" s="21" t="str">
        <f>IFERROR(IF([2]对账明细接口!$P74=0,"",[2]对账明细接口!$P74),"")</f>
        <v/>
      </c>
      <c r="V74" s="21" t="str">
        <f>IFERROR(IF([2]对账明细接口!$Q74=0,"",[2]对账明细接口!$Q74),"")</f>
        <v/>
      </c>
      <c r="W74" s="20" t="str">
        <f>IFERROR(IF([2]对账明细接口!$R74=0,"",[2]对账明细接口!$R74),"")</f>
        <v>新M*79997</v>
      </c>
      <c r="X74" s="20" t="str">
        <f>IFERROR(IF([2]对账明细接口!$S74=0,"",[2]对账明细接口!$S74),"")</f>
        <v>公司筐</v>
      </c>
      <c r="Y74" s="20" t="str">
        <f t="shared" si="8"/>
        <v/>
      </c>
      <c r="Z74" s="20" t="str">
        <f t="shared" si="9"/>
        <v/>
      </c>
      <c r="AA74" s="20" t="str">
        <f t="shared" si="10"/>
        <v/>
      </c>
      <c r="AB74" s="20" t="str">
        <f t="shared" si="11"/>
        <v/>
      </c>
    </row>
    <row r="75" customHeight="1" spans="1:28">
      <c r="A75" s="14">
        <v>75</v>
      </c>
      <c r="B75" s="15">
        <f>IFERROR(IF([2]对账明细接口!$B$75=0,"",[2]对账明细接口!$B$75),"")</f>
        <v>46271</v>
      </c>
      <c r="C75" s="16" t="str">
        <f>IFERROR(IF([2]对账明细接口!$C$75=0,"",[2]对账明细接口!$C$75),"")</f>
        <v>贾建国</v>
      </c>
      <c r="D75" s="16" t="str">
        <f>IFERROR(IF([2]对账明细接口!$D$75=0,"",[2]对账明细接口!$D$75),"")</f>
        <v>周转筐－领用出库</v>
      </c>
      <c r="E75" s="16" t="str">
        <f>IFERROR(IF([2]对账明细接口!$E$75=0,"",[2]对账明细接口!$E$75),"")</f>
        <v>NO:0001087</v>
      </c>
      <c r="F75" s="16" t="str">
        <f>IFERROR(IF([2]对账明细接口!$F$75=0,"",[2]对账明细接口!$F$75),"")</f>
        <v>公司新周转筐</v>
      </c>
      <c r="G75" s="16" t="str">
        <f>IFERROR(IF([2]对账明细接口!$G$75=0,"",[2]对账明细接口!$G$75),"")</f>
        <v/>
      </c>
      <c r="H75" s="17">
        <f>IFERROR(IF([2]对账明细接口!$H$75=0,"",[2]对账明细接口!$H$75),"")</f>
        <v>252</v>
      </c>
      <c r="I75" s="16" t="str">
        <f>IFERROR(IF([2]对账明细接口!$I$75=0,"",[2]对账明细接口!$I$75),"")</f>
        <v>个</v>
      </c>
      <c r="J75" s="18" t="str">
        <f>IFERROR(IF([2]对账明细接口!$J$75=0,"",[2]对账明细接口!$J$75),"")</f>
        <v/>
      </c>
      <c r="K75" s="18" t="str">
        <f>IFERROR(IF([2]对账明细接口!$K$75=0,"",[2]对账明细接口!$K$75),"")</f>
        <v/>
      </c>
      <c r="L75" s="16" t="str">
        <f>IFERROR(IF([2]对账明细接口!$L$75=0,"",[2]对账明细接口!$L$75),"")</f>
        <v/>
      </c>
      <c r="M75" s="16" t="str">
        <f>IFERROR(IF([2]对账明细接口!$M$75=0,"",[2]对账明细接口!$M$75),"")</f>
        <v/>
      </c>
      <c r="N75" s="19">
        <f t="shared" si="6"/>
        <v>1</v>
      </c>
      <c r="O75" s="19">
        <f t="shared" si="7"/>
        <v>72</v>
      </c>
      <c r="S75" s="20" t="str">
        <f>IFERROR(IF([2]对账明细接口!$N75=0,"",[2]对账明细接口!$N75),"")</f>
        <v>公司新周转筐</v>
      </c>
      <c r="T75" s="21">
        <f>IFERROR(IF([2]对账明细接口!$O75=0,"",[2]对账明细接口!$O75),"")</f>
        <v>252</v>
      </c>
      <c r="U75" s="21" t="str">
        <f>IFERROR(IF([2]对账明细接口!$P75=0,"",[2]对账明细接口!$P75),"")</f>
        <v/>
      </c>
      <c r="V75" s="21" t="str">
        <f>IFERROR(IF([2]对账明细接口!$Q75=0,"",[2]对账明细接口!$Q75),"")</f>
        <v/>
      </c>
      <c r="W75" s="20" t="str">
        <f>IFERROR(IF([2]对账明细接口!$R75=0,"",[2]对账明细接口!$R75),"")</f>
        <v>新N*56508</v>
      </c>
      <c r="X75" s="20" t="str">
        <f>IFERROR(IF([2]对账明细接口!$S75=0,"",[2]对账明细接口!$S75),"")</f>
        <v>公司筐</v>
      </c>
      <c r="Y75" s="20" t="str">
        <f t="shared" si="8"/>
        <v/>
      </c>
      <c r="Z75" s="20" t="str">
        <f t="shared" si="9"/>
        <v/>
      </c>
      <c r="AA75" s="20" t="str">
        <f t="shared" si="10"/>
        <v/>
      </c>
      <c r="AB75" s="20" t="str">
        <f t="shared" si="11"/>
        <v/>
      </c>
    </row>
    <row r="76" customHeight="1" spans="1:28">
      <c r="A76" s="14">
        <v>76</v>
      </c>
      <c r="B76" s="15">
        <f>IFERROR(IF([2]对账明细接口!$B$76=0,"",[2]对账明细接口!$B$76),"")</f>
        <v>46272</v>
      </c>
      <c r="C76" s="16" t="str">
        <f>IFERROR(IF([2]对账明细接口!$C$76=0,"",[2]对账明细接口!$C$76),"")</f>
        <v>全修塑业</v>
      </c>
      <c r="D76" s="16" t="str">
        <f>IFERROR(IF([2]对账明细接口!$D$76=0,"",[2]对账明细接口!$D$76),"")</f>
        <v>周转筐－采购入库</v>
      </c>
      <c r="E76" s="16" t="str">
        <f>IFERROR(IF([2]对账明细接口!$E$76=0,"",[2]对账明细接口!$E$76),"")</f>
        <v>NO:0000755</v>
      </c>
      <c r="F76" s="16" t="str">
        <f>IFERROR(IF([2]对账明细接口!$F$76=0,"",[2]对账明细接口!$F$76),"")</f>
        <v>公司红周转筐</v>
      </c>
      <c r="G76" s="16" t="str">
        <f>IFERROR(IF([2]对账明细接口!$G$76=0,"",[2]对账明细接口!$G$76),"")</f>
        <v/>
      </c>
      <c r="H76" s="17">
        <f>IFERROR(IF([2]对账明细接口!$H$76=0,"",[2]对账明细接口!$H$76),"")</f>
        <v>846</v>
      </c>
      <c r="I76" s="16" t="str">
        <f>IFERROR(IF([2]对账明细接口!$I$76=0,"",[2]对账明细接口!$I$76),"")</f>
        <v>个</v>
      </c>
      <c r="J76" s="18" t="str">
        <f>IFERROR(IF([2]对账明细接口!$J$76=0,"",[2]对账明细接口!$J$76),"")</f>
        <v/>
      </c>
      <c r="K76" s="18">
        <f>IFERROR(IF([2]对账明细接口!$K$76=0,"",[2]对账明细接口!$K$76),"")</f>
        <v>8460</v>
      </c>
      <c r="L76" s="16" t="str">
        <f>IFERROR(IF([2]对账明细接口!$L$76=0,"",[2]对账明细接口!$L$76),"")</f>
        <v>未付款</v>
      </c>
      <c r="M76" s="16" t="str">
        <f>IFERROR(IF([2]对账明细接口!$M$76=0,"",[2]对账明细接口!$M$76),"")</f>
        <v>NO:2745250</v>
      </c>
      <c r="N76" s="19">
        <f t="shared" si="6"/>
        <v>1</v>
      </c>
      <c r="O76" s="19">
        <f t="shared" si="7"/>
        <v>73</v>
      </c>
      <c r="S76" s="20" t="str">
        <f>IFERROR(IF([2]对账明细接口!$N76=0,"",[2]对账明细接口!$N76),"")</f>
        <v>公司红周转筐</v>
      </c>
      <c r="T76" s="21" t="str">
        <f>IFERROR(IF([2]对账明细接口!$O76=0,"",[2]对账明细接口!$O76),"")</f>
        <v/>
      </c>
      <c r="U76" s="21" t="str">
        <f>IFERROR(IF([2]对账明细接口!$P76=0,"",[2]对账明细接口!$P76),"")</f>
        <v/>
      </c>
      <c r="V76" s="21">
        <f>IFERROR(IF([2]对账明细接口!$Q76=0,"",[2]对账明细接口!$Q76),"")</f>
        <v>846</v>
      </c>
      <c r="W76" s="20" t="str">
        <f>IFERROR(IF([2]对账明细接口!$R76=0,"",[2]对账明细接口!$R76),"")</f>
        <v>新A*G0554</v>
      </c>
      <c r="X76" s="20" t="str">
        <f>IFERROR(IF([2]对账明细接口!$S76=0,"",[2]对账明细接口!$S76),"")</f>
        <v>公司筐</v>
      </c>
      <c r="Y76" s="20" t="str">
        <f t="shared" si="8"/>
        <v/>
      </c>
      <c r="Z76" s="20" t="str">
        <f t="shared" si="9"/>
        <v/>
      </c>
      <c r="AA76" s="20" t="str">
        <f t="shared" si="10"/>
        <v/>
      </c>
      <c r="AB76" s="20" t="str">
        <f t="shared" si="11"/>
        <v/>
      </c>
    </row>
    <row r="77" customHeight="1" spans="1:28">
      <c r="A77" s="14">
        <v>77</v>
      </c>
      <c r="B77" s="15">
        <f>IFERROR(IF([2]对账明细接口!$B$77=0,"",[2]对账明细接口!$B$77),"")</f>
        <v>46272</v>
      </c>
      <c r="C77" s="16" t="str">
        <f>IFERROR(IF([2]对账明细接口!$C$77=0,"",[2]对账明细接口!$C$77),"")</f>
        <v>麦麦提</v>
      </c>
      <c r="D77" s="16" t="str">
        <f>IFERROR(IF([2]对账明细接口!$D$77=0,"",[2]对账明细接口!$D$77),"")</f>
        <v>周转筐－领用出库</v>
      </c>
      <c r="E77" s="16" t="str">
        <f>IFERROR(IF([2]对账明细接口!$E$77=0,"",[2]对账明细接口!$E$77),"")</f>
        <v>NO:0001089</v>
      </c>
      <c r="F77" s="16" t="str">
        <f>IFERROR(IF([2]对账明细接口!$F$77=0,"",[2]对账明细接口!$F$77),"")</f>
        <v>公司红周转筐</v>
      </c>
      <c r="G77" s="16" t="str">
        <f>IFERROR(IF([2]对账明细接口!$G$77=0,"",[2]对账明细接口!$G$77),"")</f>
        <v/>
      </c>
      <c r="H77" s="17">
        <f>IFERROR(IF([2]对账明细接口!$H$77=0,"",[2]对账明细接口!$H$77),"")</f>
        <v>846</v>
      </c>
      <c r="I77" s="16" t="str">
        <f>IFERROR(IF([2]对账明细接口!$I$77=0,"",[2]对账明细接口!$I$77),"")</f>
        <v>个</v>
      </c>
      <c r="J77" s="18" t="str">
        <f>IFERROR(IF([2]对账明细接口!$J$77=0,"",[2]对账明细接口!$J$77),"")</f>
        <v/>
      </c>
      <c r="K77" s="18" t="str">
        <f>IFERROR(IF([2]对账明细接口!$K$77=0,"",[2]对账明细接口!$K$77),"")</f>
        <v/>
      </c>
      <c r="L77" s="16" t="str">
        <f>IFERROR(IF([2]对账明细接口!$L$77=0,"",[2]对账明细接口!$L$77),"")</f>
        <v/>
      </c>
      <c r="M77" s="16" t="str">
        <f>IFERROR(IF([2]对账明细接口!$M$77=0,"",[2]对账明细接口!$M$77),"")</f>
        <v/>
      </c>
      <c r="N77" s="19">
        <f t="shared" si="6"/>
        <v>1</v>
      </c>
      <c r="O77" s="19">
        <f t="shared" si="7"/>
        <v>74</v>
      </c>
      <c r="S77" s="20" t="str">
        <f>IFERROR(IF([2]对账明细接口!$N77=0,"",[2]对账明细接口!$N77),"")</f>
        <v>公司红周转筐</v>
      </c>
      <c r="T77" s="21">
        <f>IFERROR(IF([2]对账明细接口!$O77=0,"",[2]对账明细接口!$O77),"")</f>
        <v>846</v>
      </c>
      <c r="U77" s="21" t="str">
        <f>IFERROR(IF([2]对账明细接口!$P77=0,"",[2]对账明细接口!$P77),"")</f>
        <v/>
      </c>
      <c r="V77" s="21" t="str">
        <f>IFERROR(IF([2]对账明细接口!$Q77=0,"",[2]对账明细接口!$Q77),"")</f>
        <v/>
      </c>
      <c r="W77" s="20" t="str">
        <f>IFERROR(IF([2]对账明细接口!$R77=0,"",[2]对账明细接口!$R77),"")</f>
        <v>新A*G0554</v>
      </c>
      <c r="X77" s="20" t="str">
        <f>IFERROR(IF([2]对账明细接口!$S77=0,"",[2]对账明细接口!$S77),"")</f>
        <v>公司筐</v>
      </c>
      <c r="Y77" s="20" t="str">
        <f t="shared" si="8"/>
        <v/>
      </c>
      <c r="Z77" s="20" t="str">
        <f t="shared" si="9"/>
        <v/>
      </c>
      <c r="AA77" s="20" t="str">
        <f t="shared" si="10"/>
        <v/>
      </c>
      <c r="AB77" s="20" t="str">
        <f t="shared" si="11"/>
        <v/>
      </c>
    </row>
    <row r="78" customHeight="1" spans="1:28">
      <c r="A78" s="14">
        <v>78</v>
      </c>
      <c r="B78" s="15">
        <f>IFERROR(IF([2]对账明细接口!$B$78=0,"",[2]对账明细接口!$B$78),"")</f>
        <v>46272</v>
      </c>
      <c r="C78" s="16" t="str">
        <f>IFERROR(IF([2]对账明细接口!$C$78=0,"",[2]对账明细接口!$C$78),"")</f>
        <v>全修塑业</v>
      </c>
      <c r="D78" s="16" t="str">
        <f>IFERROR(IF([2]对账明细接口!$D$78=0,"",[2]对账明细接口!$D$78),"")</f>
        <v>周转筐－采购入库</v>
      </c>
      <c r="E78" s="16" t="str">
        <f>IFERROR(IF([2]对账明细接口!$E$78=0,"",[2]对账明细接口!$E$78),"")</f>
        <v>NO:0000759</v>
      </c>
      <c r="F78" s="16" t="str">
        <f>IFERROR(IF([2]对账明细接口!$F$78=0,"",[2]对账明细接口!$F$78),"")</f>
        <v>公司红周转筐</v>
      </c>
      <c r="G78" s="16" t="str">
        <f>IFERROR(IF([2]对账明细接口!$G$78=0,"",[2]对账明细接口!$G$78),"")</f>
        <v/>
      </c>
      <c r="H78" s="17">
        <f>IFERROR(IF([2]对账明细接口!$H$78=0,"",[2]对账明细接口!$H$78),"")</f>
        <v>846</v>
      </c>
      <c r="I78" s="16" t="str">
        <f>IFERROR(IF([2]对账明细接口!$I$78=0,"",[2]对账明细接口!$I$78),"")</f>
        <v>个</v>
      </c>
      <c r="J78" s="18" t="str">
        <f>IFERROR(IF([2]对账明细接口!$J$78=0,"",[2]对账明细接口!$J$78),"")</f>
        <v/>
      </c>
      <c r="K78" s="18">
        <f>IFERROR(IF([2]对账明细接口!$K$78=0,"",[2]对账明细接口!$K$78),"")</f>
        <v>8460</v>
      </c>
      <c r="L78" s="16" t="str">
        <f>IFERROR(IF([2]对账明细接口!$L$78=0,"",[2]对账明细接口!$L$78),"")</f>
        <v>未付款</v>
      </c>
      <c r="M78" s="16" t="str">
        <f>IFERROR(IF([2]对账明细接口!$M$78=0,"",[2]对账明细接口!$M$78),"")</f>
        <v>NO:2745251</v>
      </c>
      <c r="N78" s="19">
        <f t="shared" si="6"/>
        <v>1</v>
      </c>
      <c r="O78" s="19">
        <f t="shared" si="7"/>
        <v>75</v>
      </c>
      <c r="S78" s="20" t="str">
        <f>IFERROR(IF([2]对账明细接口!$N78=0,"",[2]对账明细接口!$N78),"")</f>
        <v>公司红周转筐</v>
      </c>
      <c r="T78" s="21" t="str">
        <f>IFERROR(IF([2]对账明细接口!$O78=0,"",[2]对账明细接口!$O78),"")</f>
        <v/>
      </c>
      <c r="U78" s="21" t="str">
        <f>IFERROR(IF([2]对账明细接口!$P78=0,"",[2]对账明细接口!$P78),"")</f>
        <v/>
      </c>
      <c r="V78" s="21">
        <f>IFERROR(IF([2]对账明细接口!$Q78=0,"",[2]对账明细接口!$Q78),"")</f>
        <v>846</v>
      </c>
      <c r="W78" s="20" t="str">
        <f>IFERROR(IF([2]对账明细接口!$R78=0,"",[2]对账明细接口!$R78),"")</f>
        <v>新A*G0554</v>
      </c>
      <c r="X78" s="20" t="str">
        <f>IFERROR(IF([2]对账明细接口!$S78=0,"",[2]对账明细接口!$S78),"")</f>
        <v>公司筐</v>
      </c>
      <c r="Y78" s="20" t="str">
        <f t="shared" si="8"/>
        <v/>
      </c>
      <c r="Z78" s="20" t="str">
        <f t="shared" si="9"/>
        <v/>
      </c>
      <c r="AA78" s="20" t="str">
        <f t="shared" si="10"/>
        <v/>
      </c>
      <c r="AB78" s="20" t="str">
        <f t="shared" si="11"/>
        <v/>
      </c>
    </row>
    <row r="79" customHeight="1" spans="1:28">
      <c r="A79" s="14">
        <v>79</v>
      </c>
      <c r="B79" s="15">
        <f>IFERROR(IF([2]对账明细接口!$B$79=0,"",[2]对账明细接口!$B$79),"")</f>
        <v>46272</v>
      </c>
      <c r="C79" s="16" t="str">
        <f>IFERROR(IF([2]对账明细接口!$C$79=0,"",[2]对账明细接口!$C$79),"")</f>
        <v>马锦祥</v>
      </c>
      <c r="D79" s="16" t="str">
        <f>IFERROR(IF([2]对账明细接口!$D$79=0,"",[2]对账明细接口!$D$79),"")</f>
        <v>周转筐－领用出库</v>
      </c>
      <c r="E79" s="16" t="str">
        <f>IFERROR(IF([2]对账明细接口!$E$79=0,"",[2]对账明细接口!$E$79),"")</f>
        <v>NO:0001090</v>
      </c>
      <c r="F79" s="16" t="str">
        <f>IFERROR(IF([2]对账明细接口!$F$79=0,"",[2]对账明细接口!$F$79),"")</f>
        <v>公司杂周转筐</v>
      </c>
      <c r="G79" s="16" t="str">
        <f>IFERROR(IF([2]对账明细接口!$G$79=0,"",[2]对账明细接口!$G$79),"")</f>
        <v/>
      </c>
      <c r="H79" s="17">
        <f>IFERROR(IF([2]对账明细接口!$H$79=0,"",[2]对账明细接口!$H$79),"")</f>
        <v>588</v>
      </c>
      <c r="I79" s="16" t="str">
        <f>IFERROR(IF([2]对账明细接口!$I$79=0,"",[2]对账明细接口!$I$79),"")</f>
        <v>个</v>
      </c>
      <c r="J79" s="18" t="str">
        <f>IFERROR(IF([2]对账明细接口!$J$79=0,"",[2]对账明细接口!$J$79),"")</f>
        <v/>
      </c>
      <c r="K79" s="18" t="str">
        <f>IFERROR(IF([2]对账明细接口!$K$79=0,"",[2]对账明细接口!$K$79),"")</f>
        <v/>
      </c>
      <c r="L79" s="16" t="str">
        <f>IFERROR(IF([2]对账明细接口!$L$79=0,"",[2]对账明细接口!$L$79),"")</f>
        <v/>
      </c>
      <c r="M79" s="16" t="str">
        <f>IFERROR(IF([2]对账明细接口!$M$79=0,"",[2]对账明细接口!$M$79),"")</f>
        <v/>
      </c>
      <c r="N79" s="19">
        <f t="shared" si="6"/>
        <v>1</v>
      </c>
      <c r="O79" s="19">
        <f t="shared" si="7"/>
        <v>76</v>
      </c>
      <c r="S79" s="20" t="str">
        <f>IFERROR(IF([2]对账明细接口!$N79=0,"",[2]对账明细接口!$N79),"")</f>
        <v>公司杂周转筐</v>
      </c>
      <c r="T79" s="21">
        <f>IFERROR(IF([2]对账明细接口!$O79=0,"",[2]对账明细接口!$O79),"")</f>
        <v>588</v>
      </c>
      <c r="U79" s="21" t="str">
        <f>IFERROR(IF([2]对账明细接口!$P79=0,"",[2]对账明细接口!$P79),"")</f>
        <v/>
      </c>
      <c r="V79" s="21" t="str">
        <f>IFERROR(IF([2]对账明细接口!$Q79=0,"",[2]对账明细接口!$Q79),"")</f>
        <v/>
      </c>
      <c r="W79" s="20" t="str">
        <f>IFERROR(IF([2]对账明细接口!$R79=0,"",[2]对账明细接口!$R79),"")</f>
        <v>新N*K7V85</v>
      </c>
      <c r="X79" s="20" t="str">
        <f>IFERROR(IF([2]对账明细接口!$S79=0,"",[2]对账明细接口!$S79),"")</f>
        <v>公司筐</v>
      </c>
      <c r="Y79" s="20" t="str">
        <f t="shared" si="8"/>
        <v/>
      </c>
      <c r="Z79" s="20" t="str">
        <f t="shared" si="9"/>
        <v/>
      </c>
      <c r="AA79" s="20" t="str">
        <f t="shared" si="10"/>
        <v/>
      </c>
      <c r="AB79" s="20" t="str">
        <f t="shared" si="11"/>
        <v/>
      </c>
    </row>
    <row r="80" customHeight="1" spans="1:28">
      <c r="A80" s="14">
        <v>80</v>
      </c>
      <c r="B80" s="15">
        <f>IFERROR(IF([2]对账明细接口!$B$80=0,"",[2]对账明细接口!$B$80),"")</f>
        <v>46272</v>
      </c>
      <c r="C80" s="16" t="str">
        <f>IFERROR(IF([2]对账明细接口!$C$80=0,"",[2]对账明细接口!$C$80),"")</f>
        <v>贾建国</v>
      </c>
      <c r="D80" s="16" t="str">
        <f>IFERROR(IF([2]对账明细接口!$D$80=0,"",[2]对账明细接口!$D$80),"")</f>
        <v>周转筐－领用出库</v>
      </c>
      <c r="E80" s="16" t="str">
        <f>IFERROR(IF([2]对账明细接口!$E$80=0,"",[2]对账明细接口!$E$80),"")</f>
        <v>NO:0001092</v>
      </c>
      <c r="F80" s="16" t="str">
        <f>IFERROR(IF([2]对账明细接口!$F$80=0,"",[2]对账明细接口!$F$80),"")</f>
        <v>公司新周转筐</v>
      </c>
      <c r="G80" s="16" t="str">
        <f>IFERROR(IF([2]对账明细接口!$G$80=0,"",[2]对账明细接口!$G$80),"")</f>
        <v/>
      </c>
      <c r="H80" s="17">
        <f>IFERROR(IF([2]对账明细接口!$H$80=0,"",[2]对账明细接口!$H$80),"")</f>
        <v>759</v>
      </c>
      <c r="I80" s="16" t="str">
        <f>IFERROR(IF([2]对账明细接口!$I$80=0,"",[2]对账明细接口!$I$80),"")</f>
        <v>个</v>
      </c>
      <c r="J80" s="18" t="str">
        <f>IFERROR(IF([2]对账明细接口!$J$80=0,"",[2]对账明细接口!$J$80),"")</f>
        <v/>
      </c>
      <c r="K80" s="18" t="str">
        <f>IFERROR(IF([2]对账明细接口!$K$80=0,"",[2]对账明细接口!$K$80),"")</f>
        <v/>
      </c>
      <c r="L80" s="16" t="str">
        <f>IFERROR(IF([2]对账明细接口!$L$80=0,"",[2]对账明细接口!$L$80),"")</f>
        <v/>
      </c>
      <c r="M80" s="16" t="str">
        <f>IFERROR(IF([2]对账明细接口!$M$80=0,"",[2]对账明细接口!$M$80),"")</f>
        <v/>
      </c>
      <c r="N80" s="19">
        <f t="shared" si="6"/>
        <v>1</v>
      </c>
      <c r="O80" s="19">
        <f t="shared" si="7"/>
        <v>77</v>
      </c>
      <c r="S80" s="20" t="str">
        <f>IFERROR(IF([2]对账明细接口!$N80=0,"",[2]对账明细接口!$N80),"")</f>
        <v>公司新周转筐</v>
      </c>
      <c r="T80" s="21">
        <f>IFERROR(IF([2]对账明细接口!$O80=0,"",[2]对账明细接口!$O80),"")</f>
        <v>759</v>
      </c>
      <c r="U80" s="21" t="str">
        <f>IFERROR(IF([2]对账明细接口!$P80=0,"",[2]对账明细接口!$P80),"")</f>
        <v/>
      </c>
      <c r="V80" s="21" t="str">
        <f>IFERROR(IF([2]对账明细接口!$Q80=0,"",[2]对账明细接口!$Q80),"")</f>
        <v/>
      </c>
      <c r="W80" s="20" t="str">
        <f>IFERROR(IF([2]对账明细接口!$R80=0,"",[2]对账明细接口!$R80),"")</f>
        <v>豫Q*H5591</v>
      </c>
      <c r="X80" s="20" t="str">
        <f>IFERROR(IF([2]对账明细接口!$S80=0,"",[2]对账明细接口!$S80),"")</f>
        <v>公司筐</v>
      </c>
      <c r="Y80" s="20" t="str">
        <f t="shared" si="8"/>
        <v/>
      </c>
      <c r="Z80" s="20" t="str">
        <f t="shared" si="9"/>
        <v/>
      </c>
      <c r="AA80" s="20" t="str">
        <f t="shared" si="10"/>
        <v/>
      </c>
      <c r="AB80" s="20" t="str">
        <f t="shared" si="11"/>
        <v/>
      </c>
    </row>
    <row r="81" customHeight="1" spans="1:28">
      <c r="A81" s="14">
        <v>81</v>
      </c>
      <c r="B81" s="15">
        <f>IFERROR(IF([2]对账明细接口!$B$81=0,"",[2]对账明细接口!$B$81),"")</f>
        <v>46272</v>
      </c>
      <c r="C81" s="16" t="str">
        <f>IFERROR(IF([2]对账明细接口!$C$81=0,"",[2]对账明细接口!$C$81),"")</f>
        <v>热合曼</v>
      </c>
      <c r="D81" s="16" t="str">
        <f>IFERROR(IF([2]对账明细接口!$D$81=0,"",[2]对账明细接口!$D$81),"")</f>
        <v>周转筐－领用出库</v>
      </c>
      <c r="E81" s="16" t="str">
        <f>IFERROR(IF([2]对账明细接口!$E$81=0,"",[2]对账明细接口!$E$81),"")</f>
        <v>NO:0001094</v>
      </c>
      <c r="F81" s="16" t="str">
        <f>IFERROR(IF([2]对账明细接口!$F$81=0,"",[2]对账明细接口!$F$81),"")</f>
        <v>公司红周转筐</v>
      </c>
      <c r="G81" s="16" t="str">
        <f>IFERROR(IF([2]对账明细接口!$G$81=0,"",[2]对账明细接口!$G$81),"")</f>
        <v/>
      </c>
      <c r="H81" s="17">
        <f>IFERROR(IF([2]对账明细接口!$H$81=0,"",[2]对账明细接口!$H$81),"")</f>
        <v>846</v>
      </c>
      <c r="I81" s="16" t="str">
        <f>IFERROR(IF([2]对账明细接口!$I$81=0,"",[2]对账明细接口!$I$81),"")</f>
        <v>个</v>
      </c>
      <c r="J81" s="18" t="str">
        <f>IFERROR(IF([2]对账明细接口!$J$81=0,"",[2]对账明细接口!$J$81),"")</f>
        <v/>
      </c>
      <c r="K81" s="18" t="str">
        <f>IFERROR(IF([2]对账明细接口!$K$81=0,"",[2]对账明细接口!$K$81),"")</f>
        <v/>
      </c>
      <c r="L81" s="16" t="str">
        <f>IFERROR(IF([2]对账明细接口!$L$81=0,"",[2]对账明细接口!$L$81),"")</f>
        <v/>
      </c>
      <c r="M81" s="16" t="str">
        <f>IFERROR(IF([2]对账明细接口!$M$81=0,"",[2]对账明细接口!$M$81),"")</f>
        <v/>
      </c>
      <c r="N81" s="19">
        <f t="shared" si="6"/>
        <v>1</v>
      </c>
      <c r="O81" s="19">
        <f t="shared" si="7"/>
        <v>78</v>
      </c>
      <c r="S81" s="20" t="str">
        <f>IFERROR(IF([2]对账明细接口!$N81=0,"",[2]对账明细接口!$N81),"")</f>
        <v>公司红周转筐</v>
      </c>
      <c r="T81" s="21">
        <f>IFERROR(IF([2]对账明细接口!$O81=0,"",[2]对账明细接口!$O81),"")</f>
        <v>846</v>
      </c>
      <c r="U81" s="21" t="str">
        <f>IFERROR(IF([2]对账明细接口!$P81=0,"",[2]对账明细接口!$P81),"")</f>
        <v/>
      </c>
      <c r="V81" s="21" t="str">
        <f>IFERROR(IF([2]对账明细接口!$Q81=0,"",[2]对账明细接口!$Q81),"")</f>
        <v/>
      </c>
      <c r="W81" s="20" t="str">
        <f>IFERROR(IF([2]对账明细接口!$R81=0,"",[2]对账明细接口!$R81),"")</f>
        <v>新A*G0554</v>
      </c>
      <c r="X81" s="20" t="str">
        <f>IFERROR(IF([2]对账明细接口!$S81=0,"",[2]对账明细接口!$S81),"")</f>
        <v>公司筐</v>
      </c>
      <c r="Y81" s="20" t="str">
        <f t="shared" si="8"/>
        <v/>
      </c>
      <c r="Z81" s="20" t="str">
        <f t="shared" si="9"/>
        <v/>
      </c>
      <c r="AA81" s="20" t="str">
        <f t="shared" si="10"/>
        <v/>
      </c>
      <c r="AB81" s="20" t="str">
        <f t="shared" si="11"/>
        <v/>
      </c>
    </row>
    <row r="82" customHeight="1" spans="1:28">
      <c r="A82" s="14">
        <v>82</v>
      </c>
      <c r="B82" s="15">
        <f>IFERROR(IF([2]对账明细接口!$B$82=0,"",[2]对账明细接口!$B$82),"")</f>
        <v>46273</v>
      </c>
      <c r="C82" s="16" t="str">
        <f>IFERROR(IF([2]对账明细接口!$C$82=0,"",[2]对账明细接口!$C$82),"")</f>
        <v>王照雪</v>
      </c>
      <c r="D82" s="16" t="str">
        <f>IFERROR(IF([2]对账明细接口!$D$82=0,"",[2]对账明细接口!$D$82),"")</f>
        <v>周转筐－退回入库</v>
      </c>
      <c r="E82" s="16" t="str">
        <f>IFERROR(IF([2]对账明细接口!$E$82=0,"",[2]对账明细接口!$E$82),"")</f>
        <v>NO:000761</v>
      </c>
      <c r="F82" s="16" t="str">
        <f>IFERROR(IF([2]对账明细接口!$F$82=0,"",[2]对账明细接口!$F$82),"")</f>
        <v>公司杂周转筐</v>
      </c>
      <c r="G82" s="16" t="str">
        <f>IFERROR(IF([2]对账明细接口!$G$82=0,"",[2]对账明细接口!$G$82),"")</f>
        <v/>
      </c>
      <c r="H82" s="17">
        <f>IFERROR(IF([2]对账明细接口!$H$82=0,"",[2]对账明细接口!$H$82),"")</f>
        <v>2</v>
      </c>
      <c r="I82" s="16" t="str">
        <f>IFERROR(IF([2]对账明细接口!$I$82=0,"",[2]对账明细接口!$I$82),"")</f>
        <v>个</v>
      </c>
      <c r="J82" s="18" t="str">
        <f>IFERROR(IF([2]对账明细接口!$J$82=0,"",[2]对账明细接口!$J$82),"")</f>
        <v/>
      </c>
      <c r="K82" s="18" t="str">
        <f>IFERROR(IF([2]对账明细接口!$K$82=0,"",[2]对账明细接口!$K$82),"")</f>
        <v/>
      </c>
      <c r="L82" s="16" t="str">
        <f>IFERROR(IF([2]对账明细接口!$L$82=0,"",[2]对账明细接口!$L$82),"")</f>
        <v/>
      </c>
      <c r="M82" s="16" t="str">
        <f>IFERROR(IF([2]对账明细接口!$M$82=0,"",[2]对账明细接口!$M$82),"")</f>
        <v>装扎伤退回</v>
      </c>
      <c r="N82" s="19">
        <f t="shared" si="6"/>
        <v>1</v>
      </c>
      <c r="O82" s="19">
        <f t="shared" si="7"/>
        <v>79</v>
      </c>
      <c r="S82" s="20" t="str">
        <f>IFERROR(IF([2]对账明细接口!$N82=0,"",[2]对账明细接口!$N82),"")</f>
        <v>公司杂周转筐</v>
      </c>
      <c r="T82" s="21" t="str">
        <f>IFERROR(IF([2]对账明细接口!$O82=0,"",[2]对账明细接口!$O82),"")</f>
        <v/>
      </c>
      <c r="U82" s="21">
        <f>IFERROR(IF([2]对账明细接口!$P82=0,"",[2]对账明细接口!$P82),"")</f>
        <v>2</v>
      </c>
      <c r="V82" s="21" t="str">
        <f>IFERROR(IF([2]对账明细接口!$Q82=0,"",[2]对账明细接口!$Q82),"")</f>
        <v/>
      </c>
      <c r="W82" s="20" t="str">
        <f>IFERROR(IF([2]对账明细接口!$R82=0,"",[2]对账明细接口!$R82),"")</f>
        <v/>
      </c>
      <c r="X82" s="20" t="str">
        <f>IFERROR(IF([2]对账明细接口!$S82=0,"",[2]对账明细接口!$S82),"")</f>
        <v>公司筐</v>
      </c>
      <c r="Y82" s="20" t="str">
        <f t="shared" si="8"/>
        <v/>
      </c>
      <c r="Z82" s="20" t="str">
        <f t="shared" si="9"/>
        <v/>
      </c>
      <c r="AA82" s="20" t="str">
        <f t="shared" si="10"/>
        <v/>
      </c>
      <c r="AB82" s="20" t="str">
        <f t="shared" si="11"/>
        <v/>
      </c>
    </row>
    <row r="83" customHeight="1" spans="1:28">
      <c r="A83" s="14">
        <v>83</v>
      </c>
      <c r="B83" s="15">
        <f>IFERROR(IF([2]对账明细接口!$B$83=0,"",[2]对账明细接口!$B$83),"")</f>
        <v>46274</v>
      </c>
      <c r="C83" s="16" t="str">
        <f>IFERROR(IF([2]对账明细接口!$C$83=0,"",[2]对账明细接口!$C$83),"")</f>
        <v>王照雪</v>
      </c>
      <c r="D83" s="16" t="str">
        <f>IFERROR(IF([2]对账明细接口!$D$83=0,"",[2]对账明细接口!$D$83),"")</f>
        <v>周转筐－领用出库</v>
      </c>
      <c r="E83" s="16" t="str">
        <f>IFERROR(IF([2]对账明细接口!$E$83=0,"",[2]对账明细接口!$E$83),"")</f>
        <v>NO:0001098</v>
      </c>
      <c r="F83" s="16" t="str">
        <f>IFERROR(IF([2]对账明细接口!$F$83=0,"",[2]对账明细接口!$F$83),"")</f>
        <v>公司一次性筐</v>
      </c>
      <c r="G83" s="16" t="str">
        <f>IFERROR(IF([2]对账明细接口!$G$83=0,"",[2]对账明细接口!$G$83),"")</f>
        <v/>
      </c>
      <c r="H83" s="17">
        <f>IFERROR(IF([2]对账明细接口!$H$83=0,"",[2]对账明细接口!$H$83),"")</f>
        <v>423</v>
      </c>
      <c r="I83" s="16" t="str">
        <f>IFERROR(IF([2]对账明细接口!$I$83=0,"",[2]对账明细接口!$I$83),"")</f>
        <v>个</v>
      </c>
      <c r="J83" s="18" t="str">
        <f>IFERROR(IF([2]对账明细接口!$J$83=0,"",[2]对账明细接口!$J$83),"")</f>
        <v/>
      </c>
      <c r="K83" s="18" t="str">
        <f>IFERROR(IF([2]对账明细接口!$K$83=0,"",[2]对账明细接口!$K$83),"")</f>
        <v/>
      </c>
      <c r="L83" s="16" t="str">
        <f>IFERROR(IF([2]对账明细接口!$L$83=0,"",[2]对账明细接口!$L$83),"")</f>
        <v/>
      </c>
      <c r="M83" s="16" t="str">
        <f>IFERROR(IF([2]对账明细接口!$M$83=0,"",[2]对账明细接口!$M$83),"")</f>
        <v/>
      </c>
      <c r="N83" s="19">
        <f t="shared" si="6"/>
        <v>1</v>
      </c>
      <c r="O83" s="19">
        <f t="shared" si="7"/>
        <v>80</v>
      </c>
      <c r="S83" s="20" t="str">
        <f>IFERROR(IF([2]对账明细接口!$N83=0,"",[2]对账明细接口!$N83),"")</f>
        <v>公司一次性筐</v>
      </c>
      <c r="T83" s="21">
        <f>IFERROR(IF([2]对账明细接口!$O83=0,"",[2]对账明细接口!$O83),"")</f>
        <v>423</v>
      </c>
      <c r="U83" s="21" t="str">
        <f>IFERROR(IF([2]对账明细接口!$P83=0,"",[2]对账明细接口!$P83),"")</f>
        <v/>
      </c>
      <c r="V83" s="21" t="str">
        <f>IFERROR(IF([2]对账明细接口!$Q83=0,"",[2]对账明细接口!$Q83),"")</f>
        <v/>
      </c>
      <c r="W83" s="20" t="str">
        <f>IFERROR(IF([2]对账明细接口!$R83=0,"",[2]对账明细接口!$R83),"")</f>
        <v>豫L*88X19</v>
      </c>
      <c r="X83" s="20" t="str">
        <f>IFERROR(IF([2]对账明细接口!$S83=0,"",[2]对账明细接口!$S83),"")</f>
        <v>公司筐</v>
      </c>
      <c r="Y83" s="20" t="str">
        <f t="shared" si="8"/>
        <v/>
      </c>
      <c r="Z83" s="20" t="str">
        <f t="shared" si="9"/>
        <v/>
      </c>
      <c r="AA83" s="20" t="str">
        <f t="shared" si="10"/>
        <v/>
      </c>
      <c r="AB83" s="20" t="str">
        <f t="shared" si="11"/>
        <v/>
      </c>
    </row>
    <row r="84" customHeight="1" spans="1:28">
      <c r="A84" s="14">
        <v>84</v>
      </c>
      <c r="B84" s="15">
        <f>IFERROR(IF([2]对账明细接口!$B$84=0,"",[2]对账明细接口!$B$84),"")</f>
        <v>46274</v>
      </c>
      <c r="C84" s="16" t="str">
        <f>IFERROR(IF([2]对账明细接口!$C$84=0,"",[2]对账明细接口!$C$84),"")</f>
        <v>吐尔逊</v>
      </c>
      <c r="D84" s="16" t="str">
        <f>IFERROR(IF([2]对账明细接口!$D$84=0,"",[2]对账明细接口!$D$84),"")</f>
        <v>周转筐－领用出库</v>
      </c>
      <c r="E84" s="16" t="str">
        <f>IFERROR(IF([2]对账明细接口!$E$84=0,"",[2]对账明细接口!$E$84),"")</f>
        <v>NO:0001099</v>
      </c>
      <c r="F84" s="16" t="str">
        <f>IFERROR(IF([2]对账明细接口!$F$84=0,"",[2]对账明细接口!$F$84),"")</f>
        <v>公司一次性筐</v>
      </c>
      <c r="G84" s="16" t="str">
        <f>IFERROR(IF([2]对账明细接口!$G$84=0,"",[2]对账明细接口!$G$84),"")</f>
        <v/>
      </c>
      <c r="H84" s="17">
        <f>IFERROR(IF([2]对账明细接口!$H$84=0,"",[2]对账明细接口!$H$84),"")</f>
        <v>1008</v>
      </c>
      <c r="I84" s="16" t="str">
        <f>IFERROR(IF([2]对账明细接口!$I$84=0,"",[2]对账明细接口!$I$84),"")</f>
        <v>个</v>
      </c>
      <c r="J84" s="18" t="str">
        <f>IFERROR(IF([2]对账明细接口!$J$84=0,"",[2]对账明细接口!$J$84),"")</f>
        <v/>
      </c>
      <c r="K84" s="18" t="str">
        <f>IFERROR(IF([2]对账明细接口!$K$84=0,"",[2]对账明细接口!$K$84),"")</f>
        <v/>
      </c>
      <c r="L84" s="16" t="str">
        <f>IFERROR(IF([2]对账明细接口!$L$84=0,"",[2]对账明细接口!$L$84),"")</f>
        <v/>
      </c>
      <c r="M84" s="16" t="str">
        <f>IFERROR(IF([2]对账明细接口!$M$84=0,"",[2]对账明细接口!$M$84),"")</f>
        <v/>
      </c>
      <c r="N84" s="19">
        <f t="shared" si="6"/>
        <v>1</v>
      </c>
      <c r="O84" s="19">
        <f t="shared" si="7"/>
        <v>81</v>
      </c>
      <c r="S84" s="20" t="str">
        <f>IFERROR(IF([2]对账明细接口!$N84=0,"",[2]对账明细接口!$N84),"")</f>
        <v>公司一次性筐</v>
      </c>
      <c r="T84" s="21">
        <f>IFERROR(IF([2]对账明细接口!$O84=0,"",[2]对账明细接口!$O84),"")</f>
        <v>1008</v>
      </c>
      <c r="U84" s="21" t="str">
        <f>IFERROR(IF([2]对账明细接口!$P84=0,"",[2]对账明细接口!$P84),"")</f>
        <v/>
      </c>
      <c r="V84" s="21" t="str">
        <f>IFERROR(IF([2]对账明细接口!$Q84=0,"",[2]对账明细接口!$Q84),"")</f>
        <v/>
      </c>
      <c r="W84" s="20" t="str">
        <f>IFERROR(IF([2]对账明细接口!$R84=0,"",[2]对账明细接口!$R84),"")</f>
        <v>新M*87613</v>
      </c>
      <c r="X84" s="20" t="str">
        <f>IFERROR(IF([2]对账明细接口!$S84=0,"",[2]对账明细接口!$S84),"")</f>
        <v>公司筐</v>
      </c>
      <c r="Y84" s="20" t="str">
        <f t="shared" si="8"/>
        <v/>
      </c>
      <c r="Z84" s="20" t="str">
        <f t="shared" si="9"/>
        <v/>
      </c>
      <c r="AA84" s="20" t="str">
        <f t="shared" si="10"/>
        <v/>
      </c>
      <c r="AB84" s="20" t="str">
        <f t="shared" si="11"/>
        <v/>
      </c>
    </row>
    <row r="85" customHeight="1" spans="1:28">
      <c r="A85" s="14">
        <v>85</v>
      </c>
      <c r="B85" s="15">
        <f>IFERROR(IF([2]对账明细接口!$B$85=0,"",[2]对账明细接口!$B$85),"")</f>
        <v>46274</v>
      </c>
      <c r="C85" s="16" t="str">
        <f>IFERROR(IF([2]对账明细接口!$C$85=0,"",[2]对账明细接口!$C$85),"")</f>
        <v>全修塑业</v>
      </c>
      <c r="D85" s="16" t="str">
        <f>IFERROR(IF([2]对账明细接口!$D$85=0,"",[2]对账明细接口!$D$85),"")</f>
        <v>周转筐－采购入库</v>
      </c>
      <c r="E85" s="16" t="str">
        <f>IFERROR(IF([2]对账明细接口!$E$85=0,"",[2]对账明细接口!$E$85),"")</f>
        <v>NO:0000763</v>
      </c>
      <c r="F85" s="16" t="str">
        <f>IFERROR(IF([2]对账明细接口!$F$85=0,"",[2]对账明细接口!$F$85),"")</f>
        <v>公司红周转筐</v>
      </c>
      <c r="G85" s="16" t="str">
        <f>IFERROR(IF([2]对账明细接口!$G$85=0,"",[2]对账明细接口!$G$85),"")</f>
        <v/>
      </c>
      <c r="H85" s="17">
        <f>IFERROR(IF([2]对账明细接口!$H$85=0,"",[2]对账明细接口!$H$85),"")</f>
        <v>378</v>
      </c>
      <c r="I85" s="16" t="str">
        <f>IFERROR(IF([2]对账明细接口!$I$85=0,"",[2]对账明细接口!$I$85),"")</f>
        <v>个</v>
      </c>
      <c r="J85" s="18" t="str">
        <f>IFERROR(IF([2]对账明细接口!$J$85=0,"",[2]对账明细接口!$J$85),"")</f>
        <v/>
      </c>
      <c r="K85" s="18">
        <f>IFERROR(IF([2]对账明细接口!$K$85=0,"",[2]对账明细接口!$K$85),"")</f>
        <v>3780</v>
      </c>
      <c r="L85" s="16" t="str">
        <f>IFERROR(IF([2]对账明细接口!$L$85=0,"",[2]对账明细接口!$L$85),"")</f>
        <v>未付款</v>
      </c>
      <c r="M85" s="16" t="str">
        <f>IFERROR(IF([2]对账明细接口!$M$85=0,"",[2]对账明细接口!$M$85),"")</f>
        <v>NO:2745254</v>
      </c>
      <c r="N85" s="19">
        <f t="shared" si="6"/>
        <v>1</v>
      </c>
      <c r="O85" s="19">
        <f t="shared" si="7"/>
        <v>82</v>
      </c>
      <c r="S85" s="20" t="str">
        <f>IFERROR(IF([2]对账明细接口!$N85=0,"",[2]对账明细接口!$N85),"")</f>
        <v>公司红周转筐</v>
      </c>
      <c r="T85" s="21" t="str">
        <f>IFERROR(IF([2]对账明细接口!$O85=0,"",[2]对账明细接口!$O85),"")</f>
        <v/>
      </c>
      <c r="U85" s="21" t="str">
        <f>IFERROR(IF([2]对账明细接口!$P85=0,"",[2]对账明细接口!$P85),"")</f>
        <v/>
      </c>
      <c r="V85" s="21">
        <f>IFERROR(IF([2]对账明细接口!$Q85=0,"",[2]对账明细接口!$Q85),"")</f>
        <v>378</v>
      </c>
      <c r="W85" s="20" t="str">
        <f>IFERROR(IF([2]对账明细接口!$R85=0,"",[2]对账明细接口!$R85),"")</f>
        <v>新N*X8S48</v>
      </c>
      <c r="X85" s="20" t="str">
        <f>IFERROR(IF([2]对账明细接口!$S85=0,"",[2]对账明细接口!$S85),"")</f>
        <v>公司筐</v>
      </c>
      <c r="Y85" s="20" t="str">
        <f t="shared" si="8"/>
        <v/>
      </c>
      <c r="Z85" s="20" t="str">
        <f t="shared" si="9"/>
        <v/>
      </c>
      <c r="AA85" s="20" t="str">
        <f t="shared" si="10"/>
        <v/>
      </c>
      <c r="AB85" s="20" t="str">
        <f t="shared" si="11"/>
        <v/>
      </c>
    </row>
    <row r="86" customHeight="1" spans="1:28">
      <c r="A86" s="14">
        <v>86</v>
      </c>
      <c r="B86" s="15">
        <f>IFERROR(IF([2]对账明细接口!$B$86=0,"",[2]对账明细接口!$B$86),"")</f>
        <v>46274</v>
      </c>
      <c r="C86" s="16" t="str">
        <f>IFERROR(IF([2]对账明细接口!$C$86=0,"",[2]对账明细接口!$C$86),"")</f>
        <v>全修塑业</v>
      </c>
      <c r="D86" s="16" t="str">
        <f>IFERROR(IF([2]对账明细接口!$D$86=0,"",[2]对账明细接口!$D$86),"")</f>
        <v>周转筐－采购入库</v>
      </c>
      <c r="E86" s="16" t="str">
        <f>IFERROR(IF([2]对账明细接口!$E$86=0,"",[2]对账明细接口!$E$86),"")</f>
        <v>NO:0000765</v>
      </c>
      <c r="F86" s="16" t="str">
        <f>IFERROR(IF([2]对账明细接口!$F$86=0,"",[2]对账明细接口!$F$86),"")</f>
        <v>公司红周转筐</v>
      </c>
      <c r="G86" s="16" t="str">
        <f>IFERROR(IF([2]对账明细接口!$G$86=0,"",[2]对账明细接口!$G$86),"")</f>
        <v/>
      </c>
      <c r="H86" s="17">
        <f>IFERROR(IF([2]对账明细接口!$H$86=0,"",[2]对账明细接口!$H$86),"")</f>
        <v>759</v>
      </c>
      <c r="I86" s="16" t="str">
        <f>IFERROR(IF([2]对账明细接口!$I$86=0,"",[2]对账明细接口!$I$86),"")</f>
        <v>个</v>
      </c>
      <c r="J86" s="18" t="str">
        <f>IFERROR(IF([2]对账明细接口!$J$86=0,"",[2]对账明细接口!$J$86),"")</f>
        <v/>
      </c>
      <c r="K86" s="18">
        <f>IFERROR(IF([2]对账明细接口!$K$86=0,"",[2]对账明细接口!$K$86),"")</f>
        <v>7590</v>
      </c>
      <c r="L86" s="16" t="str">
        <f>IFERROR(IF([2]对账明细接口!$L$86=0,"",[2]对账明细接口!$L$86),"")</f>
        <v>未付款</v>
      </c>
      <c r="M86" s="16" t="str">
        <f>IFERROR(IF([2]对账明细接口!$M$86=0,"",[2]对账明细接口!$M$86),"")</f>
        <v>NO:0017201</v>
      </c>
      <c r="N86" s="19">
        <f t="shared" si="6"/>
        <v>1</v>
      </c>
      <c r="O86" s="19">
        <f t="shared" si="7"/>
        <v>83</v>
      </c>
      <c r="S86" s="20" t="str">
        <f>IFERROR(IF([2]对账明细接口!$N86=0,"",[2]对账明细接口!$N86),"")</f>
        <v>公司红周转筐</v>
      </c>
      <c r="T86" s="21" t="str">
        <f>IFERROR(IF([2]对账明细接口!$O86=0,"",[2]对账明细接口!$O86),"")</f>
        <v/>
      </c>
      <c r="U86" s="21" t="str">
        <f>IFERROR(IF([2]对账明细接口!$P86=0,"",[2]对账明细接口!$P86),"")</f>
        <v/>
      </c>
      <c r="V86" s="21">
        <f>IFERROR(IF([2]对账明细接口!$Q86=0,"",[2]对账明细接口!$Q86),"")</f>
        <v>759</v>
      </c>
      <c r="W86" s="20" t="str">
        <f>IFERROR(IF([2]对账明细接口!$R86=0,"",[2]对账明细接口!$R86),"")</f>
        <v>豫A*2737K</v>
      </c>
      <c r="X86" s="20" t="str">
        <f>IFERROR(IF([2]对账明细接口!$S86=0,"",[2]对账明细接口!$S86),"")</f>
        <v>公司筐</v>
      </c>
      <c r="Y86" s="20" t="str">
        <f t="shared" si="8"/>
        <v/>
      </c>
      <c r="Z86" s="20" t="str">
        <f t="shared" si="9"/>
        <v/>
      </c>
      <c r="AA86" s="20" t="str">
        <f t="shared" si="10"/>
        <v/>
      </c>
      <c r="AB86" s="20" t="str">
        <f t="shared" si="11"/>
        <v/>
      </c>
    </row>
    <row r="87" customHeight="1" spans="1:28">
      <c r="A87" s="14">
        <v>87</v>
      </c>
      <c r="B87" s="15">
        <f>IFERROR(IF([2]对账明细接口!$B$87=0,"",[2]对账明细接口!$B$87),"")</f>
        <v>46274</v>
      </c>
      <c r="C87" s="16" t="str">
        <f>IFERROR(IF([2]对账明细接口!$C$87=0,"",[2]对账明细接口!$C$87),"")</f>
        <v>全修塑业</v>
      </c>
      <c r="D87" s="16" t="str">
        <f>IFERROR(IF([2]对账明细接口!$D$87=0,"",[2]对账明细接口!$D$87),"")</f>
        <v>周转筐－采购入库</v>
      </c>
      <c r="E87" s="16" t="str">
        <f>IFERROR(IF([2]对账明细接口!$E$87=0,"",[2]对账明细接口!$E$87),"")</f>
        <v>NO:0000766</v>
      </c>
      <c r="F87" s="16" t="str">
        <f>IFERROR(IF([2]对账明细接口!$F$87=0,"",[2]对账明细接口!$F$87),"")</f>
        <v>公司红周转筐</v>
      </c>
      <c r="G87" s="16" t="str">
        <f>IFERROR(IF([2]对账明细接口!$G$87=0,"",[2]对账明细接口!$G$87),"")</f>
        <v/>
      </c>
      <c r="H87" s="17">
        <f>IFERROR(IF([2]对账明细接口!$H$87=0,"",[2]对账明细接口!$H$87),"")</f>
        <v>846</v>
      </c>
      <c r="I87" s="16" t="str">
        <f>IFERROR(IF([2]对账明细接口!$I$87=0,"",[2]对账明细接口!$I$87),"")</f>
        <v>个</v>
      </c>
      <c r="J87" s="18" t="str">
        <f>IFERROR(IF([2]对账明细接口!$J$87=0,"",[2]对账明细接口!$J$87),"")</f>
        <v/>
      </c>
      <c r="K87" s="18">
        <f>IFERROR(IF([2]对账明细接口!$K$87=0,"",[2]对账明细接口!$K$87),"")</f>
        <v>8460</v>
      </c>
      <c r="L87" s="16" t="str">
        <f>IFERROR(IF([2]对账明细接口!$L$87=0,"",[2]对账明细接口!$L$87),"")</f>
        <v>未付款</v>
      </c>
      <c r="M87" s="16" t="str">
        <f>IFERROR(IF([2]对账明细接口!$M$87=0,"",[2]对账明细接口!$M$87),"")</f>
        <v>NO:0017203</v>
      </c>
      <c r="N87" s="19">
        <f t="shared" si="6"/>
        <v>1</v>
      </c>
      <c r="O87" s="19">
        <f t="shared" si="7"/>
        <v>84</v>
      </c>
      <c r="S87" s="20" t="str">
        <f>IFERROR(IF([2]对账明细接口!$N87=0,"",[2]对账明细接口!$N87),"")</f>
        <v>公司红周转筐</v>
      </c>
      <c r="T87" s="21" t="str">
        <f>IFERROR(IF([2]对账明细接口!$O87=0,"",[2]对账明细接口!$O87),"")</f>
        <v/>
      </c>
      <c r="U87" s="21" t="str">
        <f>IFERROR(IF([2]对账明细接口!$P87=0,"",[2]对账明细接口!$P87),"")</f>
        <v/>
      </c>
      <c r="V87" s="21">
        <f>IFERROR(IF([2]对账明细接口!$Q87=0,"",[2]对账明细接口!$Q87),"")</f>
        <v>846</v>
      </c>
      <c r="W87" s="20" t="str">
        <f>IFERROR(IF([2]对账明细接口!$R87=0,"",[2]对账明细接口!$R87),"")</f>
        <v>新A*G0554</v>
      </c>
      <c r="X87" s="20" t="str">
        <f>IFERROR(IF([2]对账明细接口!$S87=0,"",[2]对账明细接口!$S87),"")</f>
        <v>公司筐</v>
      </c>
      <c r="Y87" s="20" t="str">
        <f t="shared" si="8"/>
        <v/>
      </c>
      <c r="Z87" s="20" t="str">
        <f t="shared" si="9"/>
        <v/>
      </c>
      <c r="AA87" s="20" t="str">
        <f t="shared" si="10"/>
        <v/>
      </c>
      <c r="AB87" s="20" t="str">
        <f t="shared" si="11"/>
        <v/>
      </c>
    </row>
    <row r="88" customHeight="1" spans="1:28">
      <c r="A88" s="14">
        <v>88</v>
      </c>
      <c r="B88" s="15">
        <f>IFERROR(IF([2]对账明细接口!$B$88=0,"",[2]对账明细接口!$B$88),"")</f>
        <v>46274</v>
      </c>
      <c r="C88" s="16" t="str">
        <f>IFERROR(IF([2]对账明细接口!$C$88=0,"",[2]对账明细接口!$C$88),"")</f>
        <v>吐尔洪</v>
      </c>
      <c r="D88" s="16" t="str">
        <f>IFERROR(IF([2]对账明细接口!$D$88=0,"",[2]对账明细接口!$D$88),"")</f>
        <v>周转筐－领用出库</v>
      </c>
      <c r="E88" s="16" t="str">
        <f>IFERROR(IF([2]对账明细接口!$E$88=0,"",[2]对账明细接口!$E$88),"")</f>
        <v>NO:0001102</v>
      </c>
      <c r="F88" s="16" t="str">
        <f>IFERROR(IF([2]对账明细接口!$F$88=0,"",[2]对账明细接口!$F$88),"")</f>
        <v>公司红周转筐</v>
      </c>
      <c r="G88" s="16" t="str">
        <f>IFERROR(IF([2]对账明细接口!$G$88=0,"",[2]对账明细接口!$G$88),"")</f>
        <v/>
      </c>
      <c r="H88" s="17">
        <f>IFERROR(IF([2]对账明细接口!$H$88=0,"",[2]对账明细接口!$H$88),"")</f>
        <v>378</v>
      </c>
      <c r="I88" s="16" t="str">
        <f>IFERROR(IF([2]对账明细接口!$I$88=0,"",[2]对账明细接口!$I$88),"")</f>
        <v>个</v>
      </c>
      <c r="J88" s="18" t="str">
        <f>IFERROR(IF([2]对账明细接口!$J$88=0,"",[2]对账明细接口!$J$88),"")</f>
        <v/>
      </c>
      <c r="K88" s="18" t="str">
        <f>IFERROR(IF([2]对账明细接口!$K$88=0,"",[2]对账明细接口!$K$88),"")</f>
        <v/>
      </c>
      <c r="L88" s="16" t="str">
        <f>IFERROR(IF([2]对账明细接口!$L$88=0,"",[2]对账明细接口!$L$88),"")</f>
        <v/>
      </c>
      <c r="M88" s="16" t="str">
        <f>IFERROR(IF([2]对账明细接口!$M$88=0,"",[2]对账明细接口!$M$88),"")</f>
        <v/>
      </c>
      <c r="N88" s="19">
        <f t="shared" si="6"/>
        <v>1</v>
      </c>
      <c r="O88" s="19">
        <f t="shared" si="7"/>
        <v>85</v>
      </c>
      <c r="S88" s="20" t="str">
        <f>IFERROR(IF([2]对账明细接口!$N88=0,"",[2]对账明细接口!$N88),"")</f>
        <v>公司红周转筐</v>
      </c>
      <c r="T88" s="21">
        <f>IFERROR(IF([2]对账明细接口!$O88=0,"",[2]对账明细接口!$O88),"")</f>
        <v>378</v>
      </c>
      <c r="U88" s="21" t="str">
        <f>IFERROR(IF([2]对账明细接口!$P88=0,"",[2]对账明细接口!$P88),"")</f>
        <v/>
      </c>
      <c r="V88" s="21" t="str">
        <f>IFERROR(IF([2]对账明细接口!$Q88=0,"",[2]对账明细接口!$Q88),"")</f>
        <v/>
      </c>
      <c r="W88" s="20" t="str">
        <f>IFERROR(IF([2]对账明细接口!$R88=0,"",[2]对账明细接口!$R88),"")</f>
        <v>新N*X8S48</v>
      </c>
      <c r="X88" s="20" t="str">
        <f>IFERROR(IF([2]对账明细接口!$S88=0,"",[2]对账明细接口!$S88),"")</f>
        <v>公司筐</v>
      </c>
      <c r="Y88" s="20" t="str">
        <f t="shared" si="8"/>
        <v/>
      </c>
      <c r="Z88" s="20" t="str">
        <f t="shared" si="9"/>
        <v/>
      </c>
      <c r="AA88" s="20" t="str">
        <f t="shared" si="10"/>
        <v/>
      </c>
      <c r="AB88" s="20" t="str">
        <f t="shared" si="11"/>
        <v/>
      </c>
    </row>
    <row r="89" customHeight="1" spans="1:28">
      <c r="A89" s="14">
        <v>89</v>
      </c>
      <c r="B89" s="15">
        <f>IFERROR(IF([2]对账明细接口!$B$89=0,"",[2]对账明细接口!$B$89),"")</f>
        <v>46274</v>
      </c>
      <c r="C89" s="16" t="str">
        <f>IFERROR(IF([2]对账明细接口!$C$89=0,"",[2]对账明细接口!$C$89),"")</f>
        <v>荆建君</v>
      </c>
      <c r="D89" s="16" t="str">
        <f>IFERROR(IF([2]对账明细接口!$D$89=0,"",[2]对账明细接口!$D$89),"")</f>
        <v>周转筐－领用出库</v>
      </c>
      <c r="E89" s="16" t="str">
        <f>IFERROR(IF([2]对账明细接口!$E$89=0,"",[2]对账明细接口!$E$89),"")</f>
        <v>NO:0001105</v>
      </c>
      <c r="F89" s="16" t="str">
        <f>IFERROR(IF([2]对账明细接口!$F$89=0,"",[2]对账明细接口!$F$89),"")</f>
        <v>公司红周转筐</v>
      </c>
      <c r="G89" s="16" t="str">
        <f>IFERROR(IF([2]对账明细接口!$G$89=0,"",[2]对账明细接口!$G$89),"")</f>
        <v/>
      </c>
      <c r="H89" s="17">
        <f>IFERROR(IF([2]对账明细接口!$H$89=0,"",[2]对账明细接口!$H$89),"")</f>
        <v>759</v>
      </c>
      <c r="I89" s="16" t="str">
        <f>IFERROR(IF([2]对账明细接口!$I$89=0,"",[2]对账明细接口!$I$89),"")</f>
        <v>个</v>
      </c>
      <c r="J89" s="18" t="str">
        <f>IFERROR(IF([2]对账明细接口!$J$89=0,"",[2]对账明细接口!$J$89),"")</f>
        <v/>
      </c>
      <c r="K89" s="18" t="str">
        <f>IFERROR(IF([2]对账明细接口!$K$89=0,"",[2]对账明细接口!$K$89),"")</f>
        <v/>
      </c>
      <c r="L89" s="16" t="str">
        <f>IFERROR(IF([2]对账明细接口!$L$89=0,"",[2]对账明细接口!$L$89),"")</f>
        <v/>
      </c>
      <c r="M89" s="16" t="str">
        <f>IFERROR(IF([2]对账明细接口!$M$89=0,"",[2]对账明细接口!$M$89),"")</f>
        <v/>
      </c>
      <c r="N89" s="19">
        <f t="shared" si="6"/>
        <v>1</v>
      </c>
      <c r="O89" s="19">
        <f t="shared" si="7"/>
        <v>86</v>
      </c>
      <c r="S89" s="20" t="str">
        <f>IFERROR(IF([2]对账明细接口!$N89=0,"",[2]对账明细接口!$N89),"")</f>
        <v>公司红周转筐</v>
      </c>
      <c r="T89" s="21">
        <f>IFERROR(IF([2]对账明细接口!$O89=0,"",[2]对账明细接口!$O89),"")</f>
        <v>759</v>
      </c>
      <c r="U89" s="21" t="str">
        <f>IFERROR(IF([2]对账明细接口!$P89=0,"",[2]对账明细接口!$P89),"")</f>
        <v/>
      </c>
      <c r="V89" s="21" t="str">
        <f>IFERROR(IF([2]对账明细接口!$Q89=0,"",[2]对账明细接口!$Q89),"")</f>
        <v/>
      </c>
      <c r="W89" s="20" t="str">
        <f>IFERROR(IF([2]对账明细接口!$R89=0,"",[2]对账明细接口!$R89),"")</f>
        <v>豫A*2737K</v>
      </c>
      <c r="X89" s="20" t="str">
        <f>IFERROR(IF([2]对账明细接口!$S89=0,"",[2]对账明细接口!$S89),"")</f>
        <v>公司筐</v>
      </c>
      <c r="Y89" s="20" t="str">
        <f t="shared" si="8"/>
        <v/>
      </c>
      <c r="Z89" s="20" t="str">
        <f t="shared" si="9"/>
        <v/>
      </c>
      <c r="AA89" s="20" t="str">
        <f t="shared" si="10"/>
        <v/>
      </c>
      <c r="AB89" s="20" t="str">
        <f t="shared" si="11"/>
        <v/>
      </c>
    </row>
    <row r="90" customHeight="1" spans="1:28">
      <c r="A90" s="14">
        <v>90</v>
      </c>
      <c r="B90" s="15">
        <f>IFERROR(IF([2]对账明细接口!$B$90=0,"",[2]对账明细接口!$B$90),"")</f>
        <v>46274</v>
      </c>
      <c r="C90" s="16" t="str">
        <f>IFERROR(IF([2]对账明细接口!$C$90=0,"",[2]对账明细接口!$C$90),"")</f>
        <v>麦麦提</v>
      </c>
      <c r="D90" s="16" t="str">
        <f>IFERROR(IF([2]对账明细接口!$D$90=0,"",[2]对账明细接口!$D$90),"")</f>
        <v>周转筐－领用出库</v>
      </c>
      <c r="E90" s="16" t="str">
        <f>IFERROR(IF([2]对账明细接口!$E$90=0,"",[2]对账明细接口!$E$90),"")</f>
        <v>NO:0001106</v>
      </c>
      <c r="F90" s="16" t="str">
        <f>IFERROR(IF([2]对账明细接口!$F$90=0,"",[2]对账明细接口!$F$90),"")</f>
        <v>公司红周转筐</v>
      </c>
      <c r="G90" s="16" t="str">
        <f>IFERROR(IF([2]对账明细接口!$G$90=0,"",[2]对账明细接口!$G$90),"")</f>
        <v/>
      </c>
      <c r="H90" s="17">
        <f>IFERROR(IF([2]对账明细接口!$H$90=0,"",[2]对账明细接口!$H$90),"")</f>
        <v>846</v>
      </c>
      <c r="I90" s="16" t="str">
        <f>IFERROR(IF([2]对账明细接口!$I$90=0,"",[2]对账明细接口!$I$90),"")</f>
        <v>个</v>
      </c>
      <c r="J90" s="18" t="str">
        <f>IFERROR(IF([2]对账明细接口!$J$90=0,"",[2]对账明细接口!$J$90),"")</f>
        <v/>
      </c>
      <c r="K90" s="18" t="str">
        <f>IFERROR(IF([2]对账明细接口!$K$90=0,"",[2]对账明细接口!$K$90),"")</f>
        <v/>
      </c>
      <c r="L90" s="16" t="str">
        <f>IFERROR(IF([2]对账明细接口!$L$90=0,"",[2]对账明细接口!$L$90),"")</f>
        <v/>
      </c>
      <c r="M90" s="16" t="str">
        <f>IFERROR(IF([2]对账明细接口!$M$90=0,"",[2]对账明细接口!$M$90),"")</f>
        <v/>
      </c>
      <c r="N90" s="19">
        <f t="shared" si="6"/>
        <v>1</v>
      </c>
      <c r="O90" s="19">
        <f t="shared" si="7"/>
        <v>87</v>
      </c>
      <c r="S90" s="20" t="str">
        <f>IFERROR(IF([2]对账明细接口!$N90=0,"",[2]对账明细接口!$N90),"")</f>
        <v>公司红周转筐</v>
      </c>
      <c r="T90" s="21">
        <f>IFERROR(IF([2]对账明细接口!$O90=0,"",[2]对账明细接口!$O90),"")</f>
        <v>846</v>
      </c>
      <c r="U90" s="21" t="str">
        <f>IFERROR(IF([2]对账明细接口!$P90=0,"",[2]对账明细接口!$P90),"")</f>
        <v/>
      </c>
      <c r="V90" s="21" t="str">
        <f>IFERROR(IF([2]对账明细接口!$Q90=0,"",[2]对账明细接口!$Q90),"")</f>
        <v/>
      </c>
      <c r="W90" s="20" t="str">
        <f>IFERROR(IF([2]对账明细接口!$R90=0,"",[2]对账明细接口!$R90),"")</f>
        <v>新A*G0554</v>
      </c>
      <c r="X90" s="20" t="str">
        <f>IFERROR(IF([2]对账明细接口!$S90=0,"",[2]对账明细接口!$S90),"")</f>
        <v>公司筐</v>
      </c>
      <c r="Y90" s="20" t="str">
        <f t="shared" si="8"/>
        <v/>
      </c>
      <c r="Z90" s="20" t="str">
        <f t="shared" si="9"/>
        <v/>
      </c>
      <c r="AA90" s="20" t="str">
        <f t="shared" si="10"/>
        <v/>
      </c>
      <c r="AB90" s="20" t="str">
        <f t="shared" si="11"/>
        <v/>
      </c>
    </row>
    <row r="91" customHeight="1" spans="1:28">
      <c r="A91" s="14">
        <v>91</v>
      </c>
      <c r="B91" s="15">
        <f>IFERROR(IF([2]对账明细接口!$B$91=0,"",[2]对账明细接口!$B$91),"")</f>
        <v>46275</v>
      </c>
      <c r="C91" s="16" t="str">
        <f>IFERROR(IF([2]对账明细接口!$C$91=0,"",[2]对账明细接口!$C$91),"")</f>
        <v>王照雪</v>
      </c>
      <c r="D91" s="16" t="str">
        <f>IFERROR(IF([2]对账明细接口!$D$91=0,"",[2]对账明细接口!$D$91),"")</f>
        <v>周转筐－领用出库</v>
      </c>
      <c r="E91" s="16" t="str">
        <f>IFERROR(IF([2]对账明细接口!$E$91=0,"",[2]对账明细接口!$E$91),"")</f>
        <v>NO:0001107</v>
      </c>
      <c r="F91" s="16" t="str">
        <f>IFERROR(IF([2]对账明细接口!$F$91=0,"",[2]对账明细接口!$F$91),"")</f>
        <v>公司一次性筐</v>
      </c>
      <c r="G91" s="16" t="str">
        <f>IFERROR(IF([2]对账明细接口!$G$91=0,"",[2]对账明细接口!$G$91),"")</f>
        <v/>
      </c>
      <c r="H91" s="17">
        <f>IFERROR(IF([2]对账明细接口!$H$91=0,"",[2]对账明细接口!$H$91),"")</f>
        <v>423</v>
      </c>
      <c r="I91" s="16" t="str">
        <f>IFERROR(IF([2]对账明细接口!$I$91=0,"",[2]对账明细接口!$I$91),"")</f>
        <v>个</v>
      </c>
      <c r="J91" s="18" t="str">
        <f>IFERROR(IF([2]对账明细接口!$J$91=0,"",[2]对账明细接口!$J$91),"")</f>
        <v/>
      </c>
      <c r="K91" s="18" t="str">
        <f>IFERROR(IF([2]对账明细接口!$K$91=0,"",[2]对账明细接口!$K$91),"")</f>
        <v/>
      </c>
      <c r="L91" s="16" t="str">
        <f>IFERROR(IF([2]对账明细接口!$L$91=0,"",[2]对账明细接口!$L$91),"")</f>
        <v/>
      </c>
      <c r="M91" s="16" t="str">
        <f>IFERROR(IF([2]对账明细接口!$M$91=0,"",[2]对账明细接口!$M$91),"")</f>
        <v/>
      </c>
      <c r="N91" s="19">
        <f t="shared" si="6"/>
        <v>1</v>
      </c>
      <c r="O91" s="19">
        <f t="shared" si="7"/>
        <v>88</v>
      </c>
      <c r="S91" s="20" t="str">
        <f>IFERROR(IF([2]对账明细接口!$N91=0,"",[2]对账明细接口!$N91),"")</f>
        <v>公司一次性筐</v>
      </c>
      <c r="T91" s="21">
        <f>IFERROR(IF([2]对账明细接口!$O91=0,"",[2]对账明细接口!$O91),"")</f>
        <v>423</v>
      </c>
      <c r="U91" s="21" t="str">
        <f>IFERROR(IF([2]对账明细接口!$P91=0,"",[2]对账明细接口!$P91),"")</f>
        <v/>
      </c>
      <c r="V91" s="21" t="str">
        <f>IFERROR(IF([2]对账明细接口!$Q91=0,"",[2]对账明细接口!$Q91),"")</f>
        <v/>
      </c>
      <c r="W91" s="20" t="str">
        <f>IFERROR(IF([2]对账明细接口!$R91=0,"",[2]对账明细接口!$R91),"")</f>
        <v>豫L*88X19</v>
      </c>
      <c r="X91" s="20" t="str">
        <f>IFERROR(IF([2]对账明细接口!$S91=0,"",[2]对账明细接口!$S91),"")</f>
        <v>公司筐</v>
      </c>
      <c r="Y91" s="20" t="str">
        <f t="shared" si="8"/>
        <v/>
      </c>
      <c r="Z91" s="20" t="str">
        <f t="shared" si="9"/>
        <v/>
      </c>
      <c r="AA91" s="20" t="str">
        <f t="shared" si="10"/>
        <v/>
      </c>
      <c r="AB91" s="20" t="str">
        <f t="shared" si="11"/>
        <v/>
      </c>
    </row>
    <row r="92" customHeight="1" spans="1:28">
      <c r="A92" s="14">
        <v>92</v>
      </c>
      <c r="B92" s="15">
        <f>IFERROR(IF([2]对账明细接口!$B$92=0,"",[2]对账明细接口!$B$92),"")</f>
        <v>46275</v>
      </c>
      <c r="C92" s="16" t="str">
        <f>IFERROR(IF([2]对账明细接口!$C$92=0,"",[2]对账明细接口!$C$92),"")</f>
        <v>全修塑业</v>
      </c>
      <c r="D92" s="16" t="str">
        <f>IFERROR(IF([2]对账明细接口!$D$92=0,"",[2]对账明细接口!$D$92),"")</f>
        <v>周转筐－采购入库</v>
      </c>
      <c r="E92" s="16" t="str">
        <f>IFERROR(IF([2]对账明细接口!$E$92=0,"",[2]对账明细接口!$E$92),"")</f>
        <v>NO:0000771</v>
      </c>
      <c r="F92" s="16" t="str">
        <f>IFERROR(IF([2]对账明细接口!$F$92=0,"",[2]对账明细接口!$F$92),"")</f>
        <v>公司红周转筐</v>
      </c>
      <c r="G92" s="16" t="str">
        <f>IFERROR(IF([2]对账明细接口!$G$92=0,"",[2]对账明细接口!$G$92),"")</f>
        <v/>
      </c>
      <c r="H92" s="17">
        <f>IFERROR(IF([2]对账明细接口!$H$92=0,"",[2]对账明细接口!$H$92),"")</f>
        <v>960</v>
      </c>
      <c r="I92" s="16" t="str">
        <f>IFERROR(IF([2]对账明细接口!$I$92=0,"",[2]对账明细接口!$I$92),"")</f>
        <v>个</v>
      </c>
      <c r="J92" s="18" t="str">
        <f>IFERROR(IF([2]对账明细接口!$J$92=0,"",[2]对账明细接口!$J$92),"")</f>
        <v/>
      </c>
      <c r="K92" s="18">
        <f>IFERROR(IF([2]对账明细接口!$K$92=0,"",[2]对账明细接口!$K$92),"")</f>
        <v>9600</v>
      </c>
      <c r="L92" s="16" t="str">
        <f>IFERROR(IF([2]对账明细接口!$L$92=0,"",[2]对账明细接口!$L$92),"")</f>
        <v>未付款</v>
      </c>
      <c r="M92" s="16" t="str">
        <f>IFERROR(IF([2]对账明细接口!$M$92=0,"",[2]对账明细接口!$M$92),"")</f>
        <v>NO:0017204</v>
      </c>
      <c r="N92" s="19">
        <f t="shared" si="6"/>
        <v>1</v>
      </c>
      <c r="O92" s="19">
        <f t="shared" si="7"/>
        <v>89</v>
      </c>
      <c r="S92" s="20" t="str">
        <f>IFERROR(IF([2]对账明细接口!$N92=0,"",[2]对账明细接口!$N92),"")</f>
        <v>公司红周转筐</v>
      </c>
      <c r="T92" s="21" t="str">
        <f>IFERROR(IF([2]对账明细接口!$O92=0,"",[2]对账明细接口!$O92),"")</f>
        <v/>
      </c>
      <c r="U92" s="21" t="str">
        <f>IFERROR(IF([2]对账明细接口!$P92=0,"",[2]对账明细接口!$P92),"")</f>
        <v/>
      </c>
      <c r="V92" s="21">
        <f>IFERROR(IF([2]对账明细接口!$Q92=0,"",[2]对账明细接口!$Q92),"")</f>
        <v>960</v>
      </c>
      <c r="W92" s="20" t="str">
        <f>IFERROR(IF([2]对账明细接口!$R92=0,"",[2]对账明细接口!$R92),"")</f>
        <v>新N*49209</v>
      </c>
      <c r="X92" s="20" t="str">
        <f>IFERROR(IF([2]对账明细接口!$S92=0,"",[2]对账明细接口!$S92),"")</f>
        <v>公司筐</v>
      </c>
      <c r="Y92" s="20" t="str">
        <f t="shared" si="8"/>
        <v/>
      </c>
      <c r="Z92" s="20" t="str">
        <f t="shared" si="9"/>
        <v/>
      </c>
      <c r="AA92" s="20" t="str">
        <f t="shared" si="10"/>
        <v/>
      </c>
      <c r="AB92" s="20" t="str">
        <f t="shared" si="11"/>
        <v/>
      </c>
    </row>
    <row r="93" customHeight="1" spans="1:28">
      <c r="A93" s="14">
        <v>93</v>
      </c>
      <c r="B93" s="15">
        <f>IFERROR(IF([2]对账明细接口!$B$93=0,"",[2]对账明细接口!$B$93),"")</f>
        <v>46275</v>
      </c>
      <c r="C93" s="16" t="str">
        <f>IFERROR(IF([2]对账明细接口!$C$93=0,"",[2]对账明细接口!$C$93),"")</f>
        <v>王灵云</v>
      </c>
      <c r="D93" s="16" t="str">
        <f>IFERROR(IF([2]对账明细接口!$D$93=0,"",[2]对账明细接口!$D$93),"")</f>
        <v>周转筐－领用出库</v>
      </c>
      <c r="E93" s="16" t="str">
        <f>IFERROR(IF([2]对账明细接口!$E$93=0,"",[2]对账明细接口!$E$93),"")</f>
        <v>NO:0001108</v>
      </c>
      <c r="F93" s="16" t="str">
        <f>IFERROR(IF([2]对账明细接口!$F$93=0,"",[2]对账明细接口!$F$93),"")</f>
        <v>公司红周转筐</v>
      </c>
      <c r="G93" s="16" t="str">
        <f>IFERROR(IF([2]对账明细接口!$G$93=0,"",[2]对账明细接口!$G$93),"")</f>
        <v/>
      </c>
      <c r="H93" s="17">
        <f>IFERROR(IF([2]对账明细接口!$H$93=0,"",[2]对账明细接口!$H$93),"")</f>
        <v>960</v>
      </c>
      <c r="I93" s="16" t="str">
        <f>IFERROR(IF([2]对账明细接口!$I$93=0,"",[2]对账明细接口!$I$93),"")</f>
        <v>个</v>
      </c>
      <c r="J93" s="18" t="str">
        <f>IFERROR(IF([2]对账明细接口!$J$93=0,"",[2]对账明细接口!$J$93),"")</f>
        <v/>
      </c>
      <c r="K93" s="18" t="str">
        <f>IFERROR(IF([2]对账明细接口!$K$93=0,"",[2]对账明细接口!$K$93),"")</f>
        <v/>
      </c>
      <c r="L93" s="16" t="str">
        <f>IFERROR(IF([2]对账明细接口!$L$93=0,"",[2]对账明细接口!$L$93),"")</f>
        <v/>
      </c>
      <c r="M93" s="16" t="str">
        <f>IFERROR(IF([2]对账明细接口!$M$93=0,"",[2]对账明细接口!$M$93),"")</f>
        <v/>
      </c>
      <c r="N93" s="19">
        <f t="shared" si="6"/>
        <v>1</v>
      </c>
      <c r="O93" s="19">
        <f t="shared" si="7"/>
        <v>90</v>
      </c>
      <c r="S93" s="20" t="str">
        <f>IFERROR(IF([2]对账明细接口!$N93=0,"",[2]对账明细接口!$N93),"")</f>
        <v>公司红周转筐</v>
      </c>
      <c r="T93" s="21">
        <f>IFERROR(IF([2]对账明细接口!$O93=0,"",[2]对账明细接口!$O93),"")</f>
        <v>960</v>
      </c>
      <c r="U93" s="21" t="str">
        <f>IFERROR(IF([2]对账明细接口!$P93=0,"",[2]对账明细接口!$P93),"")</f>
        <v/>
      </c>
      <c r="V93" s="21" t="str">
        <f>IFERROR(IF([2]对账明细接口!$Q93=0,"",[2]对账明细接口!$Q93),"")</f>
        <v/>
      </c>
      <c r="W93" s="20" t="str">
        <f>IFERROR(IF([2]对账明细接口!$R93=0,"",[2]对账明细接口!$R93),"")</f>
        <v>新N*49209</v>
      </c>
      <c r="X93" s="20" t="str">
        <f>IFERROR(IF([2]对账明细接口!$S93=0,"",[2]对账明细接口!$S93),"")</f>
        <v>公司筐</v>
      </c>
      <c r="Y93" s="20" t="str">
        <f t="shared" si="8"/>
        <v/>
      </c>
      <c r="Z93" s="20" t="str">
        <f t="shared" si="9"/>
        <v/>
      </c>
      <c r="AA93" s="20" t="str">
        <f t="shared" si="10"/>
        <v/>
      </c>
      <c r="AB93" s="20" t="str">
        <f t="shared" si="11"/>
        <v/>
      </c>
    </row>
    <row r="94" customHeight="1" spans="1:28">
      <c r="A94" s="14">
        <v>94</v>
      </c>
      <c r="B94" s="15">
        <f>IFERROR(IF([2]对账明细接口!$B$94=0,"",[2]对账明细接口!$B$94),"")</f>
        <v>46275</v>
      </c>
      <c r="C94" s="16" t="str">
        <f>IFERROR(IF([2]对账明细接口!$C$94=0,"",[2]对账明细接口!$C$94),"")</f>
        <v>全修塑业</v>
      </c>
      <c r="D94" s="16" t="str">
        <f>IFERROR(IF([2]对账明细接口!$D$94=0,"",[2]对账明细接口!$D$94),"")</f>
        <v>周转筐－采购入库</v>
      </c>
      <c r="E94" s="16" t="str">
        <f>IFERROR(IF([2]对账明细接口!$E$94=0,"",[2]对账明细接口!$E$94),"")</f>
        <v>NO:0000774</v>
      </c>
      <c r="F94" s="16" t="str">
        <f>IFERROR(IF([2]对账明细接口!$F$94=0,"",[2]对账明细接口!$F$94),"")</f>
        <v>公司红周转筐</v>
      </c>
      <c r="G94" s="16" t="str">
        <f>IFERROR(IF([2]对账明细接口!$G$94=0,"",[2]对账明细接口!$G$94),"")</f>
        <v/>
      </c>
      <c r="H94" s="17">
        <f>IFERROR(IF([2]对账明细接口!$H$94=0,"",[2]对账明细接口!$H$94),"")</f>
        <v>369</v>
      </c>
      <c r="I94" s="16" t="str">
        <f>IFERROR(IF([2]对账明细接口!$I$94=0,"",[2]对账明细接口!$I$94),"")</f>
        <v>个</v>
      </c>
      <c r="J94" s="18" t="str">
        <f>IFERROR(IF([2]对账明细接口!$J$94=0,"",[2]对账明细接口!$J$94),"")</f>
        <v/>
      </c>
      <c r="K94" s="18">
        <f>IFERROR(IF([2]对账明细接口!$K$94=0,"",[2]对账明细接口!$K$94),"")</f>
        <v>3690</v>
      </c>
      <c r="L94" s="16" t="str">
        <f>IFERROR(IF([2]对账明细接口!$L$94=0,"",[2]对账明细接口!$L$94),"")</f>
        <v>未付款</v>
      </c>
      <c r="M94" s="16" t="str">
        <f>IFERROR(IF([2]对账明细接口!$M$94=0,"",[2]对账明细接口!$M$94),"")</f>
        <v>NO:0017205</v>
      </c>
      <c r="N94" s="19">
        <f t="shared" si="6"/>
        <v>1</v>
      </c>
      <c r="O94" s="19">
        <f t="shared" si="7"/>
        <v>91</v>
      </c>
      <c r="S94" s="20" t="str">
        <f>IFERROR(IF([2]对账明细接口!$N94=0,"",[2]对账明细接口!$N94),"")</f>
        <v>公司红周转筐</v>
      </c>
      <c r="T94" s="21" t="str">
        <f>IFERROR(IF([2]对账明细接口!$O94=0,"",[2]对账明细接口!$O94),"")</f>
        <v/>
      </c>
      <c r="U94" s="21" t="str">
        <f>IFERROR(IF([2]对账明细接口!$P94=0,"",[2]对账明细接口!$P94),"")</f>
        <v/>
      </c>
      <c r="V94" s="21">
        <f>IFERROR(IF([2]对账明细接口!$Q94=0,"",[2]对账明细接口!$Q94),"")</f>
        <v>369</v>
      </c>
      <c r="W94" s="20" t="str">
        <f>IFERROR(IF([2]对账明细接口!$R94=0,"",[2]对账明细接口!$R94),"")</f>
        <v>新N*X8S48</v>
      </c>
      <c r="X94" s="20" t="str">
        <f>IFERROR(IF([2]对账明细接口!$S94=0,"",[2]对账明细接口!$S94),"")</f>
        <v>公司筐</v>
      </c>
      <c r="Y94" s="20" t="str">
        <f t="shared" si="8"/>
        <v/>
      </c>
      <c r="Z94" s="20" t="str">
        <f t="shared" si="9"/>
        <v/>
      </c>
      <c r="AA94" s="20" t="str">
        <f t="shared" si="10"/>
        <v/>
      </c>
      <c r="AB94" s="20" t="str">
        <f t="shared" si="11"/>
        <v/>
      </c>
    </row>
    <row r="95" customHeight="1" spans="1:28">
      <c r="A95" s="14">
        <v>95</v>
      </c>
      <c r="B95" s="15">
        <f>IFERROR(IF([2]对账明细接口!$B$95=0,"",[2]对账明细接口!$B$95),"")</f>
        <v>46275</v>
      </c>
      <c r="C95" s="16" t="str">
        <f>IFERROR(IF([2]对账明细接口!$C$95=0,"",[2]对账明细接口!$C$95),"")</f>
        <v>吐尔洪</v>
      </c>
      <c r="D95" s="16" t="str">
        <f>IFERROR(IF([2]对账明细接口!$D$95=0,"",[2]对账明细接口!$D$95),"")</f>
        <v>周转筐－领用出库</v>
      </c>
      <c r="E95" s="16" t="str">
        <f>IFERROR(IF([2]对账明细接口!$E$95=0,"",[2]对账明细接口!$E$95),"")</f>
        <v>NO:0001110</v>
      </c>
      <c r="F95" s="16" t="str">
        <f>IFERROR(IF([2]对账明细接口!$F$95=0,"",[2]对账明细接口!$F$95),"")</f>
        <v>公司红周转筐</v>
      </c>
      <c r="G95" s="16" t="str">
        <f>IFERROR(IF([2]对账明细接口!$G$95=0,"",[2]对账明细接口!$G$95),"")</f>
        <v/>
      </c>
      <c r="H95" s="17">
        <f>IFERROR(IF([2]对账明细接口!$H$95=0,"",[2]对账明细接口!$H$95),"")</f>
        <v>369</v>
      </c>
      <c r="I95" s="16" t="str">
        <f>IFERROR(IF([2]对账明细接口!$I$95=0,"",[2]对账明细接口!$I$95),"")</f>
        <v>个</v>
      </c>
      <c r="J95" s="18" t="str">
        <f>IFERROR(IF([2]对账明细接口!$J$95=0,"",[2]对账明细接口!$J$95),"")</f>
        <v/>
      </c>
      <c r="K95" s="18" t="str">
        <f>IFERROR(IF([2]对账明细接口!$K$95=0,"",[2]对账明细接口!$K$95),"")</f>
        <v/>
      </c>
      <c r="L95" s="16" t="str">
        <f>IFERROR(IF([2]对账明细接口!$L$95=0,"",[2]对账明细接口!$L$95),"")</f>
        <v/>
      </c>
      <c r="M95" s="16" t="str">
        <f>IFERROR(IF([2]对账明细接口!$M$95=0,"",[2]对账明细接口!$M$95),"")</f>
        <v/>
      </c>
      <c r="N95" s="19">
        <f t="shared" si="6"/>
        <v>1</v>
      </c>
      <c r="O95" s="19">
        <f t="shared" si="7"/>
        <v>92</v>
      </c>
      <c r="S95" s="20" t="str">
        <f>IFERROR(IF([2]对账明细接口!$N95=0,"",[2]对账明细接口!$N95),"")</f>
        <v>公司红周转筐</v>
      </c>
      <c r="T95" s="21">
        <f>IFERROR(IF([2]对账明细接口!$O95=0,"",[2]对账明细接口!$O95),"")</f>
        <v>369</v>
      </c>
      <c r="U95" s="21" t="str">
        <f>IFERROR(IF([2]对账明细接口!$P95=0,"",[2]对账明细接口!$P95),"")</f>
        <v/>
      </c>
      <c r="V95" s="21" t="str">
        <f>IFERROR(IF([2]对账明细接口!$Q95=0,"",[2]对账明细接口!$Q95),"")</f>
        <v/>
      </c>
      <c r="W95" s="20" t="str">
        <f>IFERROR(IF([2]对账明细接口!$R95=0,"",[2]对账明细接口!$R95),"")</f>
        <v>新N*X8S48</v>
      </c>
      <c r="X95" s="20" t="str">
        <f>IFERROR(IF([2]对账明细接口!$S95=0,"",[2]对账明细接口!$S95),"")</f>
        <v>公司筐</v>
      </c>
      <c r="Y95" s="20" t="str">
        <f t="shared" si="8"/>
        <v/>
      </c>
      <c r="Z95" s="20" t="str">
        <f t="shared" si="9"/>
        <v/>
      </c>
      <c r="AA95" s="20" t="str">
        <f t="shared" si="10"/>
        <v/>
      </c>
      <c r="AB95" s="20" t="str">
        <f t="shared" si="11"/>
        <v/>
      </c>
    </row>
    <row r="96" customHeight="1" spans="1:28">
      <c r="A96" s="14">
        <v>96</v>
      </c>
      <c r="B96" s="15">
        <f>IFERROR(IF([2]对账明细接口!$B$96=0,"",[2]对账明细接口!$B$96),"")</f>
        <v>46276</v>
      </c>
      <c r="C96" s="16" t="str">
        <f>IFERROR(IF([2]对账明细接口!$C$96=0,"",[2]对账明细接口!$C$96),"")</f>
        <v>全修塑业</v>
      </c>
      <c r="D96" s="16" t="str">
        <f>IFERROR(IF([2]对账明细接口!$D$96=0,"",[2]对账明细接口!$D$96),"")</f>
        <v>周转筐－采购入库</v>
      </c>
      <c r="E96" s="16" t="str">
        <f>IFERROR(IF([2]对账明细接口!$E$96=0,"",[2]对账明细接口!$E$96),"")</f>
        <v>NO:0000778</v>
      </c>
      <c r="F96" s="16" t="str">
        <f>IFERROR(IF([2]对账明细接口!$F$96=0,"",[2]对账明细接口!$F$96),"")</f>
        <v>公司红周转筐</v>
      </c>
      <c r="G96" s="16" t="str">
        <f>IFERROR(IF([2]对账明细接口!$G$96=0,"",[2]对账明细接口!$G$96),"")</f>
        <v/>
      </c>
      <c r="H96" s="17">
        <f>IFERROR(IF([2]对账明细接口!$H$96=0,"",[2]对账明细接口!$H$96),"")</f>
        <v>846</v>
      </c>
      <c r="I96" s="16" t="str">
        <f>IFERROR(IF([2]对账明细接口!$I$96=0,"",[2]对账明细接口!$I$96),"")</f>
        <v>个</v>
      </c>
      <c r="J96" s="18" t="str">
        <f>IFERROR(IF([2]对账明细接口!$J$96=0,"",[2]对账明细接口!$J$96),"")</f>
        <v/>
      </c>
      <c r="K96" s="18">
        <f>IFERROR(IF([2]对账明细接口!$K$96=0,"",[2]对账明细接口!$K$96),"")</f>
        <v>8460</v>
      </c>
      <c r="L96" s="16" t="str">
        <f>IFERROR(IF([2]对账明细接口!$L$96=0,"",[2]对账明细接口!$L$96),"")</f>
        <v>未付款</v>
      </c>
      <c r="M96" s="16" t="str">
        <f>IFERROR(IF([2]对账明细接口!$M$96=0,"",[2]对账明细接口!$M$96),"")</f>
        <v>NO:0017207</v>
      </c>
      <c r="N96" s="19">
        <f t="shared" si="6"/>
        <v>1</v>
      </c>
      <c r="O96" s="19">
        <f t="shared" si="7"/>
        <v>93</v>
      </c>
      <c r="S96" s="20" t="str">
        <f>IFERROR(IF([2]对账明细接口!$N96=0,"",[2]对账明细接口!$N96),"")</f>
        <v>公司红周转筐</v>
      </c>
      <c r="T96" s="21" t="str">
        <f>IFERROR(IF([2]对账明细接口!$O96=0,"",[2]对账明细接口!$O96),"")</f>
        <v/>
      </c>
      <c r="U96" s="21" t="str">
        <f>IFERROR(IF([2]对账明细接口!$P96=0,"",[2]对账明细接口!$P96),"")</f>
        <v/>
      </c>
      <c r="V96" s="21">
        <f>IFERROR(IF([2]对账明细接口!$Q96=0,"",[2]对账明细接口!$Q96),"")</f>
        <v>846</v>
      </c>
      <c r="W96" s="20" t="str">
        <f>IFERROR(IF([2]对账明细接口!$R96=0,"",[2]对账明细接口!$R96),"")</f>
        <v>新A*G0554</v>
      </c>
      <c r="X96" s="20" t="str">
        <f>IFERROR(IF([2]对账明细接口!$S96=0,"",[2]对账明细接口!$S96),"")</f>
        <v>公司筐</v>
      </c>
      <c r="Y96" s="20" t="str">
        <f t="shared" si="8"/>
        <v/>
      </c>
      <c r="Z96" s="20" t="str">
        <f t="shared" si="9"/>
        <v/>
      </c>
      <c r="AA96" s="20" t="str">
        <f t="shared" si="10"/>
        <v/>
      </c>
      <c r="AB96" s="20" t="str">
        <f t="shared" si="11"/>
        <v/>
      </c>
    </row>
    <row r="97" customHeight="1" spans="1:28">
      <c r="A97" s="14">
        <v>97</v>
      </c>
      <c r="B97" s="15">
        <f>IFERROR(IF([2]对账明细接口!$B$97=0,"",[2]对账明细接口!$B$97),"")</f>
        <v>46276</v>
      </c>
      <c r="C97" s="16" t="str">
        <f>IFERROR(IF([2]对账明细接口!$C$97=0,"",[2]对账明细接口!$C$97),"")</f>
        <v>麦麦提</v>
      </c>
      <c r="D97" s="16" t="str">
        <f>IFERROR(IF([2]对账明细接口!$D$97=0,"",[2]对账明细接口!$D$97),"")</f>
        <v>周转筐－领用出库</v>
      </c>
      <c r="E97" s="16" t="str">
        <f>IFERROR(IF([2]对账明细接口!$E$97=0,"",[2]对账明细接口!$E$97),"")</f>
        <v>NO:0001113</v>
      </c>
      <c r="F97" s="16" t="str">
        <f>IFERROR(IF([2]对账明细接口!$F$97=0,"",[2]对账明细接口!$F$97),"")</f>
        <v>公司红周转筐</v>
      </c>
      <c r="G97" s="16" t="str">
        <f>IFERROR(IF([2]对账明细接口!$G$97=0,"",[2]对账明细接口!$G$97),"")</f>
        <v/>
      </c>
      <c r="H97" s="17">
        <f>IFERROR(IF([2]对账明细接口!$H$97=0,"",[2]对账明细接口!$H$97),"")</f>
        <v>846</v>
      </c>
      <c r="I97" s="16" t="str">
        <f>IFERROR(IF([2]对账明细接口!$I$97=0,"",[2]对账明细接口!$I$97),"")</f>
        <v>个</v>
      </c>
      <c r="J97" s="18" t="str">
        <f>IFERROR(IF([2]对账明细接口!$J$97=0,"",[2]对账明细接口!$J$97),"")</f>
        <v/>
      </c>
      <c r="K97" s="18" t="str">
        <f>IFERROR(IF([2]对账明细接口!$K$97=0,"",[2]对账明细接口!$K$97),"")</f>
        <v/>
      </c>
      <c r="L97" s="16" t="str">
        <f>IFERROR(IF([2]对账明细接口!$L$97=0,"",[2]对账明细接口!$L$97),"")</f>
        <v/>
      </c>
      <c r="M97" s="16" t="str">
        <f>IFERROR(IF([2]对账明细接口!$M$97=0,"",[2]对账明细接口!$M$97),"")</f>
        <v/>
      </c>
      <c r="N97" s="19">
        <f t="shared" si="6"/>
        <v>1</v>
      </c>
      <c r="O97" s="19">
        <f t="shared" si="7"/>
        <v>94</v>
      </c>
      <c r="S97" s="20" t="str">
        <f>IFERROR(IF([2]对账明细接口!$N97=0,"",[2]对账明细接口!$N97),"")</f>
        <v>公司红周转筐</v>
      </c>
      <c r="T97" s="21">
        <f>IFERROR(IF([2]对账明细接口!$O97=0,"",[2]对账明细接口!$O97),"")</f>
        <v>846</v>
      </c>
      <c r="U97" s="21" t="str">
        <f>IFERROR(IF([2]对账明细接口!$P97=0,"",[2]对账明细接口!$P97),"")</f>
        <v/>
      </c>
      <c r="V97" s="21" t="str">
        <f>IFERROR(IF([2]对账明细接口!$Q97=0,"",[2]对账明细接口!$Q97),"")</f>
        <v/>
      </c>
      <c r="W97" s="20" t="str">
        <f>IFERROR(IF([2]对账明细接口!$R97=0,"",[2]对账明细接口!$R97),"")</f>
        <v>新A*G0554</v>
      </c>
      <c r="X97" s="20" t="str">
        <f>IFERROR(IF([2]对账明细接口!$S97=0,"",[2]对账明细接口!$S97),"")</f>
        <v>公司筐</v>
      </c>
      <c r="Y97" s="20" t="str">
        <f t="shared" si="8"/>
        <v/>
      </c>
      <c r="Z97" s="20" t="str">
        <f t="shared" si="9"/>
        <v/>
      </c>
      <c r="AA97" s="20" t="str">
        <f t="shared" si="10"/>
        <v/>
      </c>
      <c r="AB97" s="20" t="str">
        <f t="shared" si="11"/>
        <v/>
      </c>
    </row>
    <row r="98" customHeight="1" spans="1:28">
      <c r="A98" s="14">
        <v>98</v>
      </c>
      <c r="B98" s="15">
        <f>IFERROR(IF([2]对账明细接口!$B$98=0,"",[2]对账明细接口!$B$98),"")</f>
        <v>46276</v>
      </c>
      <c r="C98" s="16" t="str">
        <f>IFERROR(IF([2]对账明细接口!$C$98=0,"",[2]对账明细接口!$C$98),"")</f>
        <v>全修塑业</v>
      </c>
      <c r="D98" s="16" t="str">
        <f>IFERROR(IF([2]对账明细接口!$D$98=0,"",[2]对账明细接口!$D$98),"")</f>
        <v>周转筐－采购入库</v>
      </c>
      <c r="E98" s="16" t="str">
        <f>IFERROR(IF([2]对账明细接口!$E$98=0,"",[2]对账明细接口!$E$98),"")</f>
        <v>NO:0000784</v>
      </c>
      <c r="F98" s="16" t="str">
        <f>IFERROR(IF([2]对账明细接口!$F$98=0,"",[2]对账明细接口!$F$98),"")</f>
        <v>公司红周转筐</v>
      </c>
      <c r="G98" s="16" t="str">
        <f>IFERROR(IF([2]对账明细接口!$G$98=0,"",[2]对账明细接口!$G$98),"")</f>
        <v/>
      </c>
      <c r="H98" s="17">
        <f>IFERROR(IF([2]对账明细接口!$H$98=0,"",[2]对账明细接口!$H$98),"")</f>
        <v>936</v>
      </c>
      <c r="I98" s="16" t="str">
        <f>IFERROR(IF([2]对账明细接口!$I$98=0,"",[2]对账明细接口!$I$98),"")</f>
        <v>个</v>
      </c>
      <c r="J98" s="18" t="str">
        <f>IFERROR(IF([2]对账明细接口!$J$98=0,"",[2]对账明细接口!$J$98),"")</f>
        <v/>
      </c>
      <c r="K98" s="18">
        <f>IFERROR(IF([2]对账明细接口!$K$98=0,"",[2]对账明细接口!$K$98),"")</f>
        <v>9360</v>
      </c>
      <c r="L98" s="16" t="str">
        <f>IFERROR(IF([2]对账明细接口!$L$98=0,"",[2]对账明细接口!$L$98),"")</f>
        <v>未付款</v>
      </c>
      <c r="M98" s="16" t="str">
        <f>IFERROR(IF([2]对账明细接口!$M$98=0,"",[2]对账明细接口!$M$98),"")</f>
        <v>NO:0017209</v>
      </c>
      <c r="N98" s="19">
        <f t="shared" si="6"/>
        <v>1</v>
      </c>
      <c r="O98" s="19">
        <f t="shared" si="7"/>
        <v>95</v>
      </c>
      <c r="S98" s="20" t="str">
        <f>IFERROR(IF([2]对账明细接口!$N98=0,"",[2]对账明细接口!$N98),"")</f>
        <v>公司红周转筐</v>
      </c>
      <c r="T98" s="21" t="str">
        <f>IFERROR(IF([2]对账明细接口!$O98=0,"",[2]对账明细接口!$O98),"")</f>
        <v/>
      </c>
      <c r="U98" s="21" t="str">
        <f>IFERROR(IF([2]对账明细接口!$P98=0,"",[2]对账明细接口!$P98),"")</f>
        <v/>
      </c>
      <c r="V98" s="21">
        <f>IFERROR(IF([2]对账明细接口!$Q98=0,"",[2]对账明细接口!$Q98),"")</f>
        <v>936</v>
      </c>
      <c r="W98" s="20" t="str">
        <f>IFERROR(IF([2]对账明细接口!$R98=0,"",[2]对账明细接口!$R98),"")</f>
        <v>新F*75240</v>
      </c>
      <c r="X98" s="20" t="str">
        <f>IFERROR(IF([2]对账明细接口!$S98=0,"",[2]对账明细接口!$S98),"")</f>
        <v>公司筐</v>
      </c>
      <c r="Y98" s="20" t="str">
        <f t="shared" si="8"/>
        <v/>
      </c>
      <c r="Z98" s="20" t="str">
        <f t="shared" si="9"/>
        <v/>
      </c>
      <c r="AA98" s="20" t="str">
        <f t="shared" si="10"/>
        <v/>
      </c>
      <c r="AB98" s="20" t="str">
        <f t="shared" si="11"/>
        <v/>
      </c>
    </row>
    <row r="99" customHeight="1" spans="1:28">
      <c r="A99" s="14">
        <v>99</v>
      </c>
      <c r="B99" s="15">
        <f>IFERROR(IF([2]对账明细接口!$B$99=0,"",[2]对账明细接口!$B$99),"")</f>
        <v>46276</v>
      </c>
      <c r="C99" s="16" t="str">
        <f>IFERROR(IF([2]对账明细接口!$C$99=0,"",[2]对账明细接口!$C$99),"")</f>
        <v>马锦祥</v>
      </c>
      <c r="D99" s="16" t="str">
        <f>IFERROR(IF([2]对账明细接口!$D$99=0,"",[2]对账明细接口!$D$99),"")</f>
        <v>周转筐－领用出库</v>
      </c>
      <c r="E99" s="16" t="str">
        <f>IFERROR(IF([2]对账明细接口!$E$99=0,"",[2]对账明细接口!$E$99),"")</f>
        <v>NO:0001114</v>
      </c>
      <c r="F99" s="16" t="str">
        <f>IFERROR(IF([2]对账明细接口!$F$99=0,"",[2]对账明细接口!$F$99),"")</f>
        <v>公司杂周转筐</v>
      </c>
      <c r="G99" s="16" t="str">
        <f>IFERROR(IF([2]对账明细接口!$G$99=0,"",[2]对账明细接口!$G$99),"")</f>
        <v/>
      </c>
      <c r="H99" s="17">
        <f>IFERROR(IF([2]对账明细接口!$H$99=0,"",[2]对账明细接口!$H$99),"")</f>
        <v>588</v>
      </c>
      <c r="I99" s="16" t="str">
        <f>IFERROR(IF([2]对账明细接口!$I$99=0,"",[2]对账明细接口!$I$99),"")</f>
        <v>个</v>
      </c>
      <c r="J99" s="18" t="str">
        <f>IFERROR(IF([2]对账明细接口!$J$99=0,"",[2]对账明细接口!$J$99),"")</f>
        <v/>
      </c>
      <c r="K99" s="18" t="str">
        <f>IFERROR(IF([2]对账明细接口!$K$99=0,"",[2]对账明细接口!$K$99),"")</f>
        <v/>
      </c>
      <c r="L99" s="16" t="str">
        <f>IFERROR(IF([2]对账明细接口!$L$99=0,"",[2]对账明细接口!$L$99),"")</f>
        <v/>
      </c>
      <c r="M99" s="16" t="str">
        <f>IFERROR(IF([2]对账明细接口!$M$99=0,"",[2]对账明细接口!$M$99),"")</f>
        <v/>
      </c>
      <c r="N99" s="19">
        <f t="shared" si="6"/>
        <v>1</v>
      </c>
      <c r="O99" s="19">
        <f t="shared" si="7"/>
        <v>96</v>
      </c>
      <c r="S99" s="20" t="str">
        <f>IFERROR(IF([2]对账明细接口!$N99=0,"",[2]对账明细接口!$N99),"")</f>
        <v>公司杂周转筐</v>
      </c>
      <c r="T99" s="21">
        <f>IFERROR(IF([2]对账明细接口!$O99=0,"",[2]对账明细接口!$O99),"")</f>
        <v>588</v>
      </c>
      <c r="U99" s="21" t="str">
        <f>IFERROR(IF([2]对账明细接口!$P99=0,"",[2]对账明细接口!$P99),"")</f>
        <v/>
      </c>
      <c r="V99" s="21" t="str">
        <f>IFERROR(IF([2]对账明细接口!$Q99=0,"",[2]对账明细接口!$Q99),"")</f>
        <v/>
      </c>
      <c r="W99" s="20" t="str">
        <f>IFERROR(IF([2]对账明细接口!$R99=0,"",[2]对账明细接口!$R99),"")</f>
        <v>新N*K7V85</v>
      </c>
      <c r="X99" s="20" t="str">
        <f>IFERROR(IF([2]对账明细接口!$S99=0,"",[2]对账明细接口!$S99),"")</f>
        <v>公司筐</v>
      </c>
      <c r="Y99" s="20" t="str">
        <f t="shared" si="8"/>
        <v/>
      </c>
      <c r="Z99" s="20" t="str">
        <f t="shared" si="9"/>
        <v/>
      </c>
      <c r="AA99" s="20" t="str">
        <f t="shared" si="10"/>
        <v/>
      </c>
      <c r="AB99" s="20" t="str">
        <f t="shared" si="11"/>
        <v/>
      </c>
    </row>
    <row r="100" customHeight="1" spans="1:28">
      <c r="A100" s="14">
        <v>100</v>
      </c>
      <c r="B100" s="15">
        <f>IFERROR(IF([2]对账明细接口!$B$100=0,"",[2]对账明细接口!$B$100),"")</f>
        <v>46276</v>
      </c>
      <c r="C100" s="16" t="str">
        <f>IFERROR(IF([2]对账明细接口!$C$100=0,"",[2]对账明细接口!$C$100),"")</f>
        <v>王照雪</v>
      </c>
      <c r="D100" s="16" t="str">
        <f>IFERROR(IF([2]对账明细接口!$D$100=0,"",[2]对账明细接口!$D$100),"")</f>
        <v>周转筐－领用出库</v>
      </c>
      <c r="E100" s="16" t="str">
        <f>IFERROR(IF([2]对账明细接口!$E$100=0,"",[2]对账明细接口!$E$100),"")</f>
        <v>NO:0001115</v>
      </c>
      <c r="F100" s="16" t="str">
        <f>IFERROR(IF([2]对账明细接口!$F$100=0,"",[2]对账明细接口!$F$100),"")</f>
        <v>公司杂周转筐</v>
      </c>
      <c r="G100" s="16" t="str">
        <f>IFERROR(IF([2]对账明细接口!$G$100=0,"",[2]对账明细接口!$G$100),"")</f>
        <v/>
      </c>
      <c r="H100" s="17">
        <f>IFERROR(IF([2]对账明细接口!$H$100=0,"",[2]对账明细接口!$H$100),"")</f>
        <v>213</v>
      </c>
      <c r="I100" s="16" t="str">
        <f>IFERROR(IF([2]对账明细接口!$I$100=0,"",[2]对账明细接口!$I$100),"")</f>
        <v>个</v>
      </c>
      <c r="J100" s="18" t="str">
        <f>IFERROR(IF([2]对账明细接口!$J$100=0,"",[2]对账明细接口!$J$100),"")</f>
        <v/>
      </c>
      <c r="K100" s="18" t="str">
        <f>IFERROR(IF([2]对账明细接口!$K$100=0,"",[2]对账明细接口!$K$100),"")</f>
        <v/>
      </c>
      <c r="L100" s="16" t="str">
        <f>IFERROR(IF([2]对账明细接口!$L$100=0,"",[2]对账明细接口!$L$100),"")</f>
        <v/>
      </c>
      <c r="M100" s="16" t="str">
        <f>IFERROR(IF([2]对账明细接口!$M$100=0,"",[2]对账明细接口!$M$100),"")</f>
        <v/>
      </c>
      <c r="N100" s="19">
        <f t="shared" si="6"/>
        <v>1</v>
      </c>
      <c r="O100" s="19">
        <f t="shared" si="7"/>
        <v>97</v>
      </c>
      <c r="S100" s="20" t="str">
        <f>IFERROR(IF([2]对账明细接口!$N100=0,"",[2]对账明细接口!$N100),"")</f>
        <v>公司杂周转筐</v>
      </c>
      <c r="T100" s="21">
        <f>IFERROR(IF([2]对账明细接口!$O100=0,"",[2]对账明细接口!$O100),"")</f>
        <v>213</v>
      </c>
      <c r="U100" s="21" t="str">
        <f>IFERROR(IF([2]对账明细接口!$P100=0,"",[2]对账明细接口!$P100),"")</f>
        <v/>
      </c>
      <c r="V100" s="21" t="str">
        <f>IFERROR(IF([2]对账明细接口!$Q100=0,"",[2]对账明细接口!$Q100),"")</f>
        <v/>
      </c>
      <c r="W100" s="20" t="str">
        <f>IFERROR(IF([2]对账明细接口!$R100=0,"",[2]对账明细接口!$R100),"")</f>
        <v>豫L*88X19</v>
      </c>
      <c r="X100" s="20" t="str">
        <f>IFERROR(IF([2]对账明细接口!$S100=0,"",[2]对账明细接口!$S100),"")</f>
        <v>公司筐</v>
      </c>
      <c r="Y100" s="20" t="str">
        <f t="shared" si="8"/>
        <v/>
      </c>
      <c r="Z100" s="20" t="str">
        <f t="shared" si="9"/>
        <v/>
      </c>
      <c r="AA100" s="20" t="str">
        <f t="shared" si="10"/>
        <v/>
      </c>
      <c r="AB100" s="20" t="str">
        <f t="shared" si="11"/>
        <v/>
      </c>
    </row>
    <row r="101" customHeight="1" spans="1:28">
      <c r="A101" s="14">
        <v>101</v>
      </c>
      <c r="B101" s="15">
        <f>IFERROR(IF([2]对账明细接口!$B$101=0,"",[2]对账明细接口!$B$101),"")</f>
        <v>46276</v>
      </c>
      <c r="C101" s="16" t="str">
        <f>IFERROR(IF([2]对账明细接口!$C$101=0,"",[2]对账明细接口!$C$101),"")</f>
        <v>王照雪</v>
      </c>
      <c r="D101" s="16" t="str">
        <f>IFERROR(IF([2]对账明细接口!$D$101=0,"",[2]对账明细接口!$D$101),"")</f>
        <v>周转筐－领用出库</v>
      </c>
      <c r="E101" s="16" t="str">
        <f>IFERROR(IF([2]对账明细接口!$E$101=0,"",[2]对账明细接口!$E$101),"")</f>
        <v>NO:0001116</v>
      </c>
      <c r="F101" s="16" t="str">
        <f>IFERROR(IF([2]对账明细接口!$F$101=0,"",[2]对账明细接口!$F$101),"")</f>
        <v>公司杂周转筐</v>
      </c>
      <c r="G101" s="16" t="str">
        <f>IFERROR(IF([2]对账明细接口!$G$101=0,"",[2]对账明细接口!$G$101),"")</f>
        <v/>
      </c>
      <c r="H101" s="17">
        <f>IFERROR(IF([2]对账明细接口!$H$101=0,"",[2]对账明细接口!$H$101),"")</f>
        <v>423</v>
      </c>
      <c r="I101" s="16" t="str">
        <f>IFERROR(IF([2]对账明细接口!$I$101=0,"",[2]对账明细接口!$I$101),"")</f>
        <v>个</v>
      </c>
      <c r="J101" s="18" t="str">
        <f>IFERROR(IF([2]对账明细接口!$J$101=0,"",[2]对账明细接口!$J$101),"")</f>
        <v/>
      </c>
      <c r="K101" s="18" t="str">
        <f>IFERROR(IF([2]对账明细接口!$K$101=0,"",[2]对账明细接口!$K$101),"")</f>
        <v/>
      </c>
      <c r="L101" s="16" t="str">
        <f>IFERROR(IF([2]对账明细接口!$L$101=0,"",[2]对账明细接口!$L$101),"")</f>
        <v/>
      </c>
      <c r="M101" s="16" t="str">
        <f>IFERROR(IF([2]对账明细接口!$M$101=0,"",[2]对账明细接口!$M$101),"")</f>
        <v/>
      </c>
      <c r="N101" s="19">
        <f t="shared" si="6"/>
        <v>1</v>
      </c>
      <c r="O101" s="19">
        <f t="shared" si="7"/>
        <v>98</v>
      </c>
      <c r="S101" s="20" t="str">
        <f>IFERROR(IF([2]对账明细接口!$N101=0,"",[2]对账明细接口!$N101),"")</f>
        <v>公司杂周转筐</v>
      </c>
      <c r="T101" s="21">
        <f>IFERROR(IF([2]对账明细接口!$O101=0,"",[2]对账明细接口!$O101),"")</f>
        <v>423</v>
      </c>
      <c r="U101" s="21" t="str">
        <f>IFERROR(IF([2]对账明细接口!$P101=0,"",[2]对账明细接口!$P101),"")</f>
        <v/>
      </c>
      <c r="V101" s="21" t="str">
        <f>IFERROR(IF([2]对账明细接口!$Q101=0,"",[2]对账明细接口!$Q101),"")</f>
        <v/>
      </c>
      <c r="W101" s="20" t="str">
        <f>IFERROR(IF([2]对账明细接口!$R101=0,"",[2]对账明细接口!$R101),"")</f>
        <v>豫L*88X19</v>
      </c>
      <c r="X101" s="20" t="str">
        <f>IFERROR(IF([2]对账明细接口!$S101=0,"",[2]对账明细接口!$S101),"")</f>
        <v>公司筐</v>
      </c>
      <c r="Y101" s="20" t="str">
        <f t="shared" si="8"/>
        <v/>
      </c>
      <c r="Z101" s="20" t="str">
        <f t="shared" si="9"/>
        <v/>
      </c>
      <c r="AA101" s="20" t="str">
        <f t="shared" si="10"/>
        <v/>
      </c>
      <c r="AB101" s="20" t="str">
        <f t="shared" si="11"/>
        <v/>
      </c>
    </row>
    <row r="102" customHeight="1" spans="1:28">
      <c r="A102" s="14">
        <v>102</v>
      </c>
      <c r="B102" s="15">
        <f>IFERROR(IF([2]对账明细接口!$B$102=0,"",[2]对账明细接口!$B$102),"")</f>
        <v>46276</v>
      </c>
      <c r="C102" s="16" t="str">
        <f>IFERROR(IF([2]对账明细接口!$C$102=0,"",[2]对账明细接口!$C$102),"")</f>
        <v>努尔敦</v>
      </c>
      <c r="D102" s="16" t="str">
        <f>IFERROR(IF([2]对账明细接口!$D$102=0,"",[2]对账明细接口!$D$102),"")</f>
        <v>周转筐－领用出库</v>
      </c>
      <c r="E102" s="16" t="str">
        <f>IFERROR(IF([2]对账明细接口!$E$102=0,"",[2]对账明细接口!$E$102),"")</f>
        <v>NO:0001118</v>
      </c>
      <c r="F102" s="16" t="str">
        <f>IFERROR(IF([2]对账明细接口!$F$102=0,"",[2]对账明细接口!$F$102),"")</f>
        <v>公司红周转筐</v>
      </c>
      <c r="G102" s="16" t="str">
        <f>IFERROR(IF([2]对账明细接口!$G$102=0,"",[2]对账明细接口!$G$102),"")</f>
        <v/>
      </c>
      <c r="H102" s="17">
        <f>IFERROR(IF([2]对账明细接口!$H$102=0,"",[2]对账明细接口!$H$102),"")</f>
        <v>936</v>
      </c>
      <c r="I102" s="16" t="str">
        <f>IFERROR(IF([2]对账明细接口!$I$102=0,"",[2]对账明细接口!$I$102),"")</f>
        <v>个</v>
      </c>
      <c r="J102" s="18" t="str">
        <f>IFERROR(IF([2]对账明细接口!$J$102=0,"",[2]对账明细接口!$J$102),"")</f>
        <v/>
      </c>
      <c r="K102" s="18" t="str">
        <f>IFERROR(IF([2]对账明细接口!$K$102=0,"",[2]对账明细接口!$K$102),"")</f>
        <v/>
      </c>
      <c r="L102" s="16" t="str">
        <f>IFERROR(IF([2]对账明细接口!$L$102=0,"",[2]对账明细接口!$L$102),"")</f>
        <v/>
      </c>
      <c r="M102" s="16" t="str">
        <f>IFERROR(IF([2]对账明细接口!$M$102=0,"",[2]对账明细接口!$M$102),"")</f>
        <v/>
      </c>
      <c r="N102" s="19">
        <f t="shared" si="6"/>
        <v>1</v>
      </c>
      <c r="O102" s="19">
        <f t="shared" si="7"/>
        <v>99</v>
      </c>
      <c r="S102" s="20" t="str">
        <f>IFERROR(IF([2]对账明细接口!$N102=0,"",[2]对账明细接口!$N102),"")</f>
        <v>公司红周转筐</v>
      </c>
      <c r="T102" s="21">
        <f>IFERROR(IF([2]对账明细接口!$O102=0,"",[2]对账明细接口!$O102),"")</f>
        <v>936</v>
      </c>
      <c r="U102" s="21" t="str">
        <f>IFERROR(IF([2]对账明细接口!$P102=0,"",[2]对账明细接口!$P102),"")</f>
        <v/>
      </c>
      <c r="V102" s="21" t="str">
        <f>IFERROR(IF([2]对账明细接口!$Q102=0,"",[2]对账明细接口!$Q102),"")</f>
        <v/>
      </c>
      <c r="W102" s="20" t="str">
        <f>IFERROR(IF([2]对账明细接口!$R102=0,"",[2]对账明细接口!$R102),"")</f>
        <v>新F*75240</v>
      </c>
      <c r="X102" s="20" t="str">
        <f>IFERROR(IF([2]对账明细接口!$S102=0,"",[2]对账明细接口!$S102),"")</f>
        <v>公司筐</v>
      </c>
      <c r="Y102" s="20" t="str">
        <f t="shared" si="8"/>
        <v/>
      </c>
      <c r="Z102" s="20" t="str">
        <f t="shared" si="9"/>
        <v/>
      </c>
      <c r="AA102" s="20" t="str">
        <f t="shared" si="10"/>
        <v/>
      </c>
      <c r="AB102" s="20" t="str">
        <f t="shared" si="11"/>
        <v/>
      </c>
    </row>
    <row r="103" customHeight="1" spans="1:28">
      <c r="A103" s="14">
        <v>103</v>
      </c>
      <c r="B103" s="15">
        <f>IFERROR(IF([2]对账明细接口!$B$103=0,"",[2]对账明细接口!$B$103),"")</f>
        <v>46276</v>
      </c>
      <c r="C103" s="16" t="str">
        <f>IFERROR(IF([2]对账明细接口!$C$103=0,"",[2]对账明细接口!$C$103),"")</f>
        <v>全修塑业</v>
      </c>
      <c r="D103" s="16" t="str">
        <f>IFERROR(IF([2]对账明细接口!$D$103=0,"",[2]对账明细接口!$D$103),"")</f>
        <v>周转筐－采购入库</v>
      </c>
      <c r="E103" s="16" t="str">
        <f>IFERROR(IF([2]对账明细接口!$E$103=0,"",[2]对账明细接口!$E$103),"")</f>
        <v>NO:0000785</v>
      </c>
      <c r="F103" s="16" t="str">
        <f>IFERROR(IF([2]对账明细接口!$F$103=0,"",[2]对账明细接口!$F$103),"")</f>
        <v>公司红周转筐</v>
      </c>
      <c r="G103" s="16" t="str">
        <f>IFERROR(IF([2]对账明细接口!$G$103=0,"",[2]对账明细接口!$G$103),"")</f>
        <v/>
      </c>
      <c r="H103" s="17">
        <f>IFERROR(IF([2]对账明细接口!$H$103=0,"",[2]对账明细接口!$H$103),"")</f>
        <v>846</v>
      </c>
      <c r="I103" s="16" t="str">
        <f>IFERROR(IF([2]对账明细接口!$I$103=0,"",[2]对账明细接口!$I$103),"")</f>
        <v>个</v>
      </c>
      <c r="J103" s="18" t="str">
        <f>IFERROR(IF([2]对账明细接口!$J$103=0,"",[2]对账明细接口!$J$103),"")</f>
        <v/>
      </c>
      <c r="K103" s="18">
        <f>IFERROR(IF([2]对账明细接口!$K$103=0,"",[2]对账明细接口!$K$103),"")</f>
        <v>8460</v>
      </c>
      <c r="L103" s="16" t="str">
        <f>IFERROR(IF([2]对账明细接口!$L$103=0,"",[2]对账明细接口!$L$103),"")</f>
        <v>未付款</v>
      </c>
      <c r="M103" s="16" t="str">
        <f>IFERROR(IF([2]对账明细接口!$M$103=0,"",[2]对账明细接口!$M$103),"")</f>
        <v>NO:0017211</v>
      </c>
      <c r="N103" s="19">
        <f t="shared" si="6"/>
        <v>1</v>
      </c>
      <c r="O103" s="19">
        <f t="shared" si="7"/>
        <v>100</v>
      </c>
      <c r="S103" s="20" t="str">
        <f>IFERROR(IF([2]对账明细接口!$N103=0,"",[2]对账明细接口!$N103),"")</f>
        <v>公司红周转筐</v>
      </c>
      <c r="T103" s="21" t="str">
        <f>IFERROR(IF([2]对账明细接口!$O103=0,"",[2]对账明细接口!$O103),"")</f>
        <v/>
      </c>
      <c r="U103" s="21" t="str">
        <f>IFERROR(IF([2]对账明细接口!$P103=0,"",[2]对账明细接口!$P103),"")</f>
        <v/>
      </c>
      <c r="V103" s="21">
        <f>IFERROR(IF([2]对账明细接口!$Q103=0,"",[2]对账明细接口!$Q103),"")</f>
        <v>846</v>
      </c>
      <c r="W103" s="20" t="str">
        <f>IFERROR(IF([2]对账明细接口!$R103=0,"",[2]对账明细接口!$R103),"")</f>
        <v>新A*G0554</v>
      </c>
      <c r="X103" s="20" t="str">
        <f>IFERROR(IF([2]对账明细接口!$S103=0,"",[2]对账明细接口!$S103),"")</f>
        <v>公司筐</v>
      </c>
      <c r="Y103" s="20" t="str">
        <f t="shared" si="8"/>
        <v/>
      </c>
      <c r="Z103" s="20" t="str">
        <f t="shared" si="9"/>
        <v/>
      </c>
      <c r="AA103" s="20" t="str">
        <f t="shared" si="10"/>
        <v/>
      </c>
      <c r="AB103" s="20" t="str">
        <f t="shared" si="11"/>
        <v/>
      </c>
    </row>
    <row r="104" customHeight="1" spans="1:28">
      <c r="A104" s="14">
        <v>104</v>
      </c>
      <c r="B104" s="15">
        <f>IFERROR(IF([2]对账明细接口!$B$104=0,"",[2]对账明细接口!$B$104),"")</f>
        <v>46276</v>
      </c>
      <c r="C104" s="16" t="str">
        <f>IFERROR(IF([2]对账明细接口!$C$104=0,"",[2]对账明细接口!$C$104),"")</f>
        <v>热合曼</v>
      </c>
      <c r="D104" s="16" t="str">
        <f>IFERROR(IF([2]对账明细接口!$D$104=0,"",[2]对账明细接口!$D$104),"")</f>
        <v>周转筐－领用出库</v>
      </c>
      <c r="E104" s="16" t="str">
        <f>IFERROR(IF([2]对账明细接口!$E$104=0,"",[2]对账明细接口!$E$104),"")</f>
        <v>NO:0001120</v>
      </c>
      <c r="F104" s="16" t="str">
        <f>IFERROR(IF([2]对账明细接口!$F$104=0,"",[2]对账明细接口!$F$104),"")</f>
        <v>公司红周转筐</v>
      </c>
      <c r="G104" s="16" t="str">
        <f>IFERROR(IF([2]对账明细接口!$G$104=0,"",[2]对账明细接口!$G$104),"")</f>
        <v/>
      </c>
      <c r="H104" s="17">
        <f>IFERROR(IF([2]对账明细接口!$H$104=0,"",[2]对账明细接口!$H$104),"")</f>
        <v>846</v>
      </c>
      <c r="I104" s="16" t="str">
        <f>IFERROR(IF([2]对账明细接口!$I$104=0,"",[2]对账明细接口!$I$104),"")</f>
        <v>个</v>
      </c>
      <c r="J104" s="18" t="str">
        <f>IFERROR(IF([2]对账明细接口!$J$104=0,"",[2]对账明细接口!$J$104),"")</f>
        <v/>
      </c>
      <c r="K104" s="18" t="str">
        <f>IFERROR(IF([2]对账明细接口!$K$104=0,"",[2]对账明细接口!$K$104),"")</f>
        <v/>
      </c>
      <c r="L104" s="16" t="str">
        <f>IFERROR(IF([2]对账明细接口!$L$104=0,"",[2]对账明细接口!$L$104),"")</f>
        <v/>
      </c>
      <c r="M104" s="16" t="str">
        <f>IFERROR(IF([2]对账明细接口!$M$104=0,"",[2]对账明细接口!$M$104),"")</f>
        <v/>
      </c>
      <c r="N104" s="19">
        <f t="shared" si="6"/>
        <v>1</v>
      </c>
      <c r="O104" s="19">
        <f t="shared" si="7"/>
        <v>101</v>
      </c>
      <c r="S104" s="20" t="str">
        <f>IFERROR(IF([2]对账明细接口!$N104=0,"",[2]对账明细接口!$N104),"")</f>
        <v>公司红周转筐</v>
      </c>
      <c r="T104" s="21">
        <f>IFERROR(IF([2]对账明细接口!$O104=0,"",[2]对账明细接口!$O104),"")</f>
        <v>846</v>
      </c>
      <c r="U104" s="21" t="str">
        <f>IFERROR(IF([2]对账明细接口!$P104=0,"",[2]对账明细接口!$P104),"")</f>
        <v/>
      </c>
      <c r="V104" s="21" t="str">
        <f>IFERROR(IF([2]对账明细接口!$Q104=0,"",[2]对账明细接口!$Q104),"")</f>
        <v/>
      </c>
      <c r="W104" s="20" t="str">
        <f>IFERROR(IF([2]对账明细接口!$R104=0,"",[2]对账明细接口!$R104),"")</f>
        <v>新A*G0554</v>
      </c>
      <c r="X104" s="20" t="str">
        <f>IFERROR(IF([2]对账明细接口!$S104=0,"",[2]对账明细接口!$S104),"")</f>
        <v>公司筐</v>
      </c>
      <c r="Y104" s="20" t="str">
        <f t="shared" si="8"/>
        <v/>
      </c>
      <c r="Z104" s="20" t="str">
        <f t="shared" si="9"/>
        <v/>
      </c>
      <c r="AA104" s="20" t="str">
        <f t="shared" si="10"/>
        <v/>
      </c>
      <c r="AB104" s="20" t="str">
        <f t="shared" si="11"/>
        <v/>
      </c>
    </row>
    <row r="105" customHeight="1" spans="1:28">
      <c r="A105" s="14">
        <v>105</v>
      </c>
      <c r="B105" s="15">
        <f>IFERROR(IF([2]对账明细接口!$B$105=0,"",[2]对账明细接口!$B$105),"")</f>
        <v>46276</v>
      </c>
      <c r="C105" s="16" t="str">
        <f>IFERROR(IF([2]对账明细接口!$C$105=0,"",[2]对账明细接口!$C$105),"")</f>
        <v>全修塑业</v>
      </c>
      <c r="D105" s="16" t="str">
        <f>IFERROR(IF([2]对账明细接口!$D$105=0,"",[2]对账明细接口!$D$105),"")</f>
        <v>周转筐－采购入库</v>
      </c>
      <c r="E105" s="16" t="str">
        <f>IFERROR(IF([2]对账明细接口!$E$105=0,"",[2]对账明细接口!$E$105),"")</f>
        <v>NO:0000788</v>
      </c>
      <c r="F105" s="16" t="str">
        <f>IFERROR(IF([2]对账明细接口!$F$105=0,"",[2]对账明细接口!$F$105),"")</f>
        <v>公司红周转筐</v>
      </c>
      <c r="G105" s="16" t="str">
        <f>IFERROR(IF([2]对账明细接口!$G$105=0,"",[2]对账明细接口!$G$105),"")</f>
        <v/>
      </c>
      <c r="H105" s="17">
        <f>IFERROR(IF([2]对账明细接口!$H$105=0,"",[2]对账明细接口!$H$105),"")</f>
        <v>378</v>
      </c>
      <c r="I105" s="16" t="str">
        <f>IFERROR(IF([2]对账明细接口!$I$105=0,"",[2]对账明细接口!$I$105),"")</f>
        <v>个</v>
      </c>
      <c r="J105" s="18" t="str">
        <f>IFERROR(IF([2]对账明细接口!$J$105=0,"",[2]对账明细接口!$J$105),"")</f>
        <v/>
      </c>
      <c r="K105" s="18">
        <f>IFERROR(IF([2]对账明细接口!$K$105=0,"",[2]对账明细接口!$K$105),"")</f>
        <v>3780</v>
      </c>
      <c r="L105" s="16" t="str">
        <f>IFERROR(IF([2]对账明细接口!$L$105=0,"",[2]对账明细接口!$L$105),"")</f>
        <v>未付款</v>
      </c>
      <c r="M105" s="16" t="str">
        <f>IFERROR(IF([2]对账明细接口!$M$105=0,"",[2]对账明细接口!$M$105),"")</f>
        <v>NO:0017212</v>
      </c>
      <c r="N105" s="19">
        <f t="shared" si="6"/>
        <v>1</v>
      </c>
      <c r="O105" s="19">
        <f t="shared" si="7"/>
        <v>102</v>
      </c>
      <c r="S105" s="20" t="str">
        <f>IFERROR(IF([2]对账明细接口!$N105=0,"",[2]对账明细接口!$N105),"")</f>
        <v>公司红周转筐</v>
      </c>
      <c r="T105" s="21" t="str">
        <f>IFERROR(IF([2]对账明细接口!$O105=0,"",[2]对账明细接口!$O105),"")</f>
        <v/>
      </c>
      <c r="U105" s="21" t="str">
        <f>IFERROR(IF([2]对账明细接口!$P105=0,"",[2]对账明细接口!$P105),"")</f>
        <v/>
      </c>
      <c r="V105" s="21">
        <f>IFERROR(IF([2]对账明细接口!$Q105=0,"",[2]对账明细接口!$Q105),"")</f>
        <v>378</v>
      </c>
      <c r="W105" s="20" t="str">
        <f>IFERROR(IF([2]对账明细接口!$R105=0,"",[2]对账明细接口!$R105),"")</f>
        <v>新N*X8S48</v>
      </c>
      <c r="X105" s="20" t="str">
        <f>IFERROR(IF([2]对账明细接口!$S105=0,"",[2]对账明细接口!$S105),"")</f>
        <v>公司筐</v>
      </c>
      <c r="Y105" s="20" t="str">
        <f t="shared" si="8"/>
        <v/>
      </c>
      <c r="Z105" s="20" t="str">
        <f t="shared" si="9"/>
        <v/>
      </c>
      <c r="AA105" s="20" t="str">
        <f t="shared" si="10"/>
        <v/>
      </c>
      <c r="AB105" s="20" t="str">
        <f t="shared" si="11"/>
        <v/>
      </c>
    </row>
    <row r="106" customHeight="1" spans="1:28">
      <c r="A106" s="14">
        <v>106</v>
      </c>
      <c r="B106" s="15">
        <f>IFERROR(IF([2]对账明细接口!$B$106=0,"",[2]对账明细接口!$B$106),"")</f>
        <v>46276</v>
      </c>
      <c r="C106" s="16" t="str">
        <f>IFERROR(IF([2]对账明细接口!$C$106=0,"",[2]对账明细接口!$C$106),"")</f>
        <v>吐尔洪</v>
      </c>
      <c r="D106" s="16" t="str">
        <f>IFERROR(IF([2]对账明细接口!$D$106=0,"",[2]对账明细接口!$D$106),"")</f>
        <v>周转筐－领用出库</v>
      </c>
      <c r="E106" s="16" t="str">
        <f>IFERROR(IF([2]对账明细接口!$E$106=0,"",[2]对账明细接口!$E$106),"")</f>
        <v>NO:0001122</v>
      </c>
      <c r="F106" s="16" t="str">
        <f>IFERROR(IF([2]对账明细接口!$F$106=0,"",[2]对账明细接口!$F$106),"")</f>
        <v>公司红周转筐</v>
      </c>
      <c r="G106" s="16" t="str">
        <f>IFERROR(IF([2]对账明细接口!$G$106=0,"",[2]对账明细接口!$G$106),"")</f>
        <v/>
      </c>
      <c r="H106" s="17">
        <f>IFERROR(IF([2]对账明细接口!$H$106=0,"",[2]对账明细接口!$H$106),"")</f>
        <v>378</v>
      </c>
      <c r="I106" s="16" t="str">
        <f>IFERROR(IF([2]对账明细接口!$I$106=0,"",[2]对账明细接口!$I$106),"")</f>
        <v>个</v>
      </c>
      <c r="J106" s="18" t="str">
        <f>IFERROR(IF([2]对账明细接口!$J$106=0,"",[2]对账明细接口!$J$106),"")</f>
        <v/>
      </c>
      <c r="K106" s="18" t="str">
        <f>IFERROR(IF([2]对账明细接口!$K$106=0,"",[2]对账明细接口!$K$106),"")</f>
        <v/>
      </c>
      <c r="L106" s="16" t="str">
        <f>IFERROR(IF([2]对账明细接口!$L$106=0,"",[2]对账明细接口!$L$106),"")</f>
        <v/>
      </c>
      <c r="M106" s="16" t="str">
        <f>IFERROR(IF([2]对账明细接口!$M$106=0,"",[2]对账明细接口!$M$106),"")</f>
        <v/>
      </c>
      <c r="N106" s="19">
        <f t="shared" si="6"/>
        <v>1</v>
      </c>
      <c r="O106" s="19">
        <f t="shared" si="7"/>
        <v>103</v>
      </c>
      <c r="S106" s="20" t="str">
        <f>IFERROR(IF([2]对账明细接口!$N106=0,"",[2]对账明细接口!$N106),"")</f>
        <v>公司红周转筐</v>
      </c>
      <c r="T106" s="21">
        <f>IFERROR(IF([2]对账明细接口!$O106=0,"",[2]对账明细接口!$O106),"")</f>
        <v>378</v>
      </c>
      <c r="U106" s="21" t="str">
        <f>IFERROR(IF([2]对账明细接口!$P106=0,"",[2]对账明细接口!$P106),"")</f>
        <v/>
      </c>
      <c r="V106" s="21" t="str">
        <f>IFERROR(IF([2]对账明细接口!$Q106=0,"",[2]对账明细接口!$Q106),"")</f>
        <v/>
      </c>
      <c r="W106" s="20" t="str">
        <f>IFERROR(IF([2]对账明细接口!$R106=0,"",[2]对账明细接口!$R106),"")</f>
        <v>新N*X8S48</v>
      </c>
      <c r="X106" s="20" t="str">
        <f>IFERROR(IF([2]对账明细接口!$S106=0,"",[2]对账明细接口!$S106),"")</f>
        <v>公司筐</v>
      </c>
      <c r="Y106" s="20" t="str">
        <f t="shared" si="8"/>
        <v/>
      </c>
      <c r="Z106" s="20" t="str">
        <f t="shared" si="9"/>
        <v/>
      </c>
      <c r="AA106" s="20" t="str">
        <f t="shared" si="10"/>
        <v/>
      </c>
      <c r="AB106" s="20" t="str">
        <f t="shared" si="11"/>
        <v/>
      </c>
    </row>
    <row r="107" customHeight="1" spans="1:28">
      <c r="A107" s="14">
        <v>107</v>
      </c>
      <c r="B107" s="15">
        <f>IFERROR(IF([2]对账明细接口!$B$107=0,"",[2]对账明细接口!$B$107),"")</f>
        <v>46277</v>
      </c>
      <c r="C107" s="16" t="str">
        <f>IFERROR(IF([2]对账明细接口!$C$107=0,"",[2]对账明细接口!$C$107),"")</f>
        <v>王照雪</v>
      </c>
      <c r="D107" s="16" t="str">
        <f>IFERROR(IF([2]对账明细接口!$D$107=0,"",[2]对账明细接口!$D$107),"")</f>
        <v>周转筐－退回入库</v>
      </c>
      <c r="E107" s="16" t="str">
        <f>IFERROR(IF([2]对账明细接口!$E$107=0,"",[2]对账明细接口!$E$107),"")</f>
        <v>NO:0000789</v>
      </c>
      <c r="F107" s="16" t="str">
        <f>IFERROR(IF([2]对账明细接口!$F$107=0,"",[2]对账明细接口!$F$107),"")</f>
        <v>公司一次性筐</v>
      </c>
      <c r="G107" s="16" t="str">
        <f>IFERROR(IF([2]对账明细接口!$G$107=0,"",[2]对账明细接口!$G$107),"")</f>
        <v/>
      </c>
      <c r="H107" s="17">
        <f>IFERROR(IF([2]对账明细接口!$H$107=0,"",[2]对账明细接口!$H$107),"")</f>
        <v>1</v>
      </c>
      <c r="I107" s="16" t="str">
        <f>IFERROR(IF([2]对账明细接口!$I$107=0,"",[2]对账明细接口!$I$107),"")</f>
        <v>个</v>
      </c>
      <c r="J107" s="18" t="str">
        <f>IFERROR(IF([2]对账明细接口!$J$107=0,"",[2]对账明细接口!$J$107),"")</f>
        <v/>
      </c>
      <c r="K107" s="18" t="str">
        <f>IFERROR(IF([2]对账明细接口!$K$107=0,"",[2]对账明细接口!$K$107),"")</f>
        <v/>
      </c>
      <c r="L107" s="16" t="str">
        <f>IFERROR(IF([2]对账明细接口!$L$107=0,"",[2]对账明细接口!$L$107),"")</f>
        <v/>
      </c>
      <c r="M107" s="16" t="str">
        <f>IFERROR(IF([2]对账明细接口!$M$107=0,"",[2]对账明细接口!$M$107),"")</f>
        <v/>
      </c>
      <c r="N107" s="19">
        <f t="shared" si="6"/>
        <v>1</v>
      </c>
      <c r="O107" s="19">
        <f t="shared" si="7"/>
        <v>104</v>
      </c>
      <c r="S107" s="20" t="str">
        <f>IFERROR(IF([2]对账明细接口!$N107=0,"",[2]对账明细接口!$N107),"")</f>
        <v>公司一次性筐</v>
      </c>
      <c r="T107" s="21" t="str">
        <f>IFERROR(IF([2]对账明细接口!$O107=0,"",[2]对账明细接口!$O107),"")</f>
        <v/>
      </c>
      <c r="U107" s="21">
        <f>IFERROR(IF([2]对账明细接口!$P107=0,"",[2]对账明细接口!$P107),"")</f>
        <v>1</v>
      </c>
      <c r="V107" s="21" t="str">
        <f>IFERROR(IF([2]对账明细接口!$Q107=0,"",[2]对账明细接口!$Q107),"")</f>
        <v/>
      </c>
      <c r="W107" s="20" t="str">
        <f>IFERROR(IF([2]对账明细接口!$R107=0,"",[2]对账明细接口!$R107),"")</f>
        <v>豫L*88X19</v>
      </c>
      <c r="X107" s="20" t="str">
        <f>IFERROR(IF([2]对账明细接口!$S107=0,"",[2]对账明细接口!$S107),"")</f>
        <v>公司筐</v>
      </c>
      <c r="Y107" s="20" t="str">
        <f t="shared" si="8"/>
        <v/>
      </c>
      <c r="Z107" s="20" t="str">
        <f t="shared" si="9"/>
        <v/>
      </c>
      <c r="AA107" s="20" t="str">
        <f t="shared" si="10"/>
        <v/>
      </c>
      <c r="AB107" s="20" t="str">
        <f t="shared" si="11"/>
        <v/>
      </c>
    </row>
    <row r="108" customHeight="1" spans="1:28">
      <c r="A108" s="14">
        <v>108</v>
      </c>
      <c r="B108" s="15">
        <f>IFERROR(IF([2]对账明细接口!$B$108=0,"",[2]对账明细接口!$B$108),"")</f>
        <v>46277</v>
      </c>
      <c r="C108" s="16" t="str">
        <f>IFERROR(IF([2]对账明细接口!$C$108=0,"",[2]对账明细接口!$C$108),"")</f>
        <v>王照雪</v>
      </c>
      <c r="D108" s="16" t="str">
        <f>IFERROR(IF([2]对账明细接口!$D$108=0,"",[2]对账明细接口!$D$108),"")</f>
        <v>周转筐－退回入库</v>
      </c>
      <c r="E108" s="16" t="str">
        <f>IFERROR(IF([2]对账明细接口!$E$108=0,"",[2]对账明细接口!$E$108),"")</f>
        <v>NO:0000792</v>
      </c>
      <c r="F108" s="16" t="str">
        <f>IFERROR(IF([2]对账明细接口!$F$108=0,"",[2]对账明细接口!$F$108),"")</f>
        <v>公司杂周转筐</v>
      </c>
      <c r="G108" s="16" t="str">
        <f>IFERROR(IF([2]对账明细接口!$G$108=0,"",[2]对账明细接口!$G$108),"")</f>
        <v/>
      </c>
      <c r="H108" s="17">
        <f>IFERROR(IF([2]对账明细接口!$H$108=0,"",[2]对账明细接口!$H$108),"")</f>
        <v>45</v>
      </c>
      <c r="I108" s="16" t="str">
        <f>IFERROR(IF([2]对账明细接口!$I$108=0,"",[2]对账明细接口!$I$108),"")</f>
        <v>个</v>
      </c>
      <c r="J108" s="18" t="str">
        <f>IFERROR(IF([2]对账明细接口!$J$108=0,"",[2]对账明细接口!$J$108),"")</f>
        <v/>
      </c>
      <c r="K108" s="18" t="str">
        <f>IFERROR(IF([2]对账明细接口!$K$108=0,"",[2]对账明细接口!$K$108),"")</f>
        <v/>
      </c>
      <c r="L108" s="16" t="str">
        <f>IFERROR(IF([2]对账明细接口!$L$108=0,"",[2]对账明细接口!$L$108),"")</f>
        <v/>
      </c>
      <c r="M108" s="16" t="str">
        <f>IFERROR(IF([2]对账明细接口!$M$108=0,"",[2]对账明细接口!$M$108),"")</f>
        <v/>
      </c>
      <c r="N108" s="19">
        <f t="shared" si="6"/>
        <v>1</v>
      </c>
      <c r="O108" s="19">
        <f t="shared" si="7"/>
        <v>105</v>
      </c>
      <c r="S108" s="20" t="str">
        <f>IFERROR(IF([2]对账明细接口!$N108=0,"",[2]对账明细接口!$N108),"")</f>
        <v>公司杂周转筐</v>
      </c>
      <c r="T108" s="21" t="str">
        <f>IFERROR(IF([2]对账明细接口!$O108=0,"",[2]对账明细接口!$O108),"")</f>
        <v/>
      </c>
      <c r="U108" s="21">
        <f>IFERROR(IF([2]对账明细接口!$P108=0,"",[2]对账明细接口!$P108),"")</f>
        <v>45</v>
      </c>
      <c r="V108" s="21" t="str">
        <f>IFERROR(IF([2]对账明细接口!$Q108=0,"",[2]对账明细接口!$Q108),"")</f>
        <v/>
      </c>
      <c r="W108" s="20" t="str">
        <f>IFERROR(IF([2]对账明细接口!$R108=0,"",[2]对账明细接口!$R108),"")</f>
        <v>豫L*88X19</v>
      </c>
      <c r="X108" s="20" t="str">
        <f>IFERROR(IF([2]对账明细接口!$S108=0,"",[2]对账明细接口!$S108),"")</f>
        <v>公司筐</v>
      </c>
      <c r="Y108" s="20" t="str">
        <f t="shared" si="8"/>
        <v/>
      </c>
      <c r="Z108" s="20" t="str">
        <f t="shared" si="9"/>
        <v/>
      </c>
      <c r="AA108" s="20" t="str">
        <f t="shared" si="10"/>
        <v/>
      </c>
      <c r="AB108" s="20" t="str">
        <f t="shared" si="11"/>
        <v/>
      </c>
    </row>
    <row r="109" customHeight="1" spans="1:28">
      <c r="A109" s="14">
        <v>109</v>
      </c>
      <c r="B109" s="15">
        <f>IFERROR(IF([2]对账明细接口!$B$109=0,"",[2]对账明细接口!$B$109),"")</f>
        <v>46277</v>
      </c>
      <c r="C109" s="16" t="str">
        <f>IFERROR(IF([2]对账明细接口!$C$109=0,"",[2]对账明细接口!$C$109),"")</f>
        <v>全修塑业</v>
      </c>
      <c r="D109" s="16" t="str">
        <f>IFERROR(IF([2]对账明细接口!$D$109=0,"",[2]对账明细接口!$D$109),"")</f>
        <v>周转筐－采购入库</v>
      </c>
      <c r="E109" s="16" t="str">
        <f>IFERROR(IF([2]对账明细接口!$E$109=0,"",[2]对账明细接口!$E$109),"")</f>
        <v>NO:0000795</v>
      </c>
      <c r="F109" s="16" t="str">
        <f>IFERROR(IF([2]对账明细接口!$F$109=0,"",[2]对账明细接口!$F$109),"")</f>
        <v>公司红周转筐</v>
      </c>
      <c r="G109" s="16" t="str">
        <f>IFERROR(IF([2]对账明细接口!$G$109=0,"",[2]对账明细接口!$G$109),"")</f>
        <v/>
      </c>
      <c r="H109" s="17">
        <f>IFERROR(IF([2]对账明细接口!$H$109=0,"",[2]对账明细接口!$H$109),"")</f>
        <v>846</v>
      </c>
      <c r="I109" s="16" t="str">
        <f>IFERROR(IF([2]对账明细接口!$I$109=0,"",[2]对账明细接口!$I$109),"")</f>
        <v>个</v>
      </c>
      <c r="J109" s="18" t="str">
        <f>IFERROR(IF([2]对账明细接口!$J$109=0,"",[2]对账明细接口!$J$109),"")</f>
        <v/>
      </c>
      <c r="K109" s="18">
        <f>IFERROR(IF([2]对账明细接口!$K$109=0,"",[2]对账明细接口!$K$109),"")</f>
        <v>8460</v>
      </c>
      <c r="L109" s="16" t="str">
        <f>IFERROR(IF([2]对账明细接口!$L$109=0,"",[2]对账明细接口!$L$109),"")</f>
        <v>未付款</v>
      </c>
      <c r="M109" s="16" t="str">
        <f>IFERROR(IF([2]对账明细接口!$M$109=0,"",[2]对账明细接口!$M$109),"")</f>
        <v>NO:0017213</v>
      </c>
      <c r="N109" s="19">
        <f t="shared" si="6"/>
        <v>1</v>
      </c>
      <c r="O109" s="19">
        <f t="shared" si="7"/>
        <v>106</v>
      </c>
      <c r="S109" s="20" t="str">
        <f>IFERROR(IF([2]对账明细接口!$N109=0,"",[2]对账明细接口!$N109),"")</f>
        <v>公司红周转筐</v>
      </c>
      <c r="T109" s="21" t="str">
        <f>IFERROR(IF([2]对账明细接口!$O109=0,"",[2]对账明细接口!$O109),"")</f>
        <v/>
      </c>
      <c r="U109" s="21" t="str">
        <f>IFERROR(IF([2]对账明细接口!$P109=0,"",[2]对账明细接口!$P109),"")</f>
        <v/>
      </c>
      <c r="V109" s="21">
        <f>IFERROR(IF([2]对账明细接口!$Q109=0,"",[2]对账明细接口!$Q109),"")</f>
        <v>846</v>
      </c>
      <c r="W109" s="20" t="str">
        <f>IFERROR(IF([2]对账明细接口!$R109=0,"",[2]对账明细接口!$R109),"")</f>
        <v>新A*G0554</v>
      </c>
      <c r="X109" s="20" t="str">
        <f>IFERROR(IF([2]对账明细接口!$S109=0,"",[2]对账明细接口!$S109),"")</f>
        <v>公司筐</v>
      </c>
      <c r="Y109" s="20" t="str">
        <f t="shared" si="8"/>
        <v/>
      </c>
      <c r="Z109" s="20" t="str">
        <f t="shared" si="9"/>
        <v/>
      </c>
      <c r="AA109" s="20" t="str">
        <f t="shared" si="10"/>
        <v/>
      </c>
      <c r="AB109" s="20" t="str">
        <f t="shared" si="11"/>
        <v/>
      </c>
    </row>
    <row r="110" customHeight="1" spans="1:28">
      <c r="A110" s="14">
        <v>110</v>
      </c>
      <c r="B110" s="15">
        <f>IFERROR(IF([2]对账明细接口!$B$110=0,"",[2]对账明细接口!$B$110),"")</f>
        <v>46277</v>
      </c>
      <c r="C110" s="16" t="str">
        <f>IFERROR(IF([2]对账明细接口!$C$110=0,"",[2]对账明细接口!$C$110),"")</f>
        <v>麦麦提</v>
      </c>
      <c r="D110" s="16" t="str">
        <f>IFERROR(IF([2]对账明细接口!$D$110=0,"",[2]对账明细接口!$D$110),"")</f>
        <v>周转筐－领用出库</v>
      </c>
      <c r="E110" s="16" t="str">
        <f>IFERROR(IF([2]对账明细接口!$E$110=0,"",[2]对账明细接口!$E$110),"")</f>
        <v>NO:0001125</v>
      </c>
      <c r="F110" s="16" t="str">
        <f>IFERROR(IF([2]对账明细接口!$F$110=0,"",[2]对账明细接口!$F$110),"")</f>
        <v>公司红周转筐</v>
      </c>
      <c r="G110" s="16" t="str">
        <f>IFERROR(IF([2]对账明细接口!$G$110=0,"",[2]对账明细接口!$G$110),"")</f>
        <v/>
      </c>
      <c r="H110" s="17">
        <f>IFERROR(IF([2]对账明细接口!$H$110=0,"",[2]对账明细接口!$H$110),"")</f>
        <v>846</v>
      </c>
      <c r="I110" s="16" t="str">
        <f>IFERROR(IF([2]对账明细接口!$I$110=0,"",[2]对账明细接口!$I$110),"")</f>
        <v>个</v>
      </c>
      <c r="J110" s="18" t="str">
        <f>IFERROR(IF([2]对账明细接口!$J$110=0,"",[2]对账明细接口!$J$110),"")</f>
        <v/>
      </c>
      <c r="K110" s="18" t="str">
        <f>IFERROR(IF([2]对账明细接口!$K$110=0,"",[2]对账明细接口!$K$110),"")</f>
        <v/>
      </c>
      <c r="L110" s="16" t="str">
        <f>IFERROR(IF([2]对账明细接口!$L$110=0,"",[2]对账明细接口!$L$110),"")</f>
        <v/>
      </c>
      <c r="M110" s="16" t="str">
        <f>IFERROR(IF([2]对账明细接口!$M$110=0,"",[2]对账明细接口!$M$110),"")</f>
        <v/>
      </c>
      <c r="N110" s="19">
        <f t="shared" si="6"/>
        <v>1</v>
      </c>
      <c r="O110" s="19">
        <f t="shared" si="7"/>
        <v>107</v>
      </c>
      <c r="S110" s="20" t="str">
        <f>IFERROR(IF([2]对账明细接口!$N110=0,"",[2]对账明细接口!$N110),"")</f>
        <v>公司红周转筐</v>
      </c>
      <c r="T110" s="21">
        <f>IFERROR(IF([2]对账明细接口!$O110=0,"",[2]对账明细接口!$O110),"")</f>
        <v>846</v>
      </c>
      <c r="U110" s="21" t="str">
        <f>IFERROR(IF([2]对账明细接口!$P110=0,"",[2]对账明细接口!$P110),"")</f>
        <v/>
      </c>
      <c r="V110" s="21" t="str">
        <f>IFERROR(IF([2]对账明细接口!$Q110=0,"",[2]对账明细接口!$Q110),"")</f>
        <v/>
      </c>
      <c r="W110" s="20" t="str">
        <f>IFERROR(IF([2]对账明细接口!$R110=0,"",[2]对账明细接口!$R110),"")</f>
        <v>新A*G0554</v>
      </c>
      <c r="X110" s="20" t="str">
        <f>IFERROR(IF([2]对账明细接口!$S110=0,"",[2]对账明细接口!$S110),"")</f>
        <v>公司筐</v>
      </c>
      <c r="Y110" s="20" t="str">
        <f t="shared" si="8"/>
        <v/>
      </c>
      <c r="Z110" s="20" t="str">
        <f t="shared" si="9"/>
        <v/>
      </c>
      <c r="AA110" s="20" t="str">
        <f t="shared" si="10"/>
        <v/>
      </c>
      <c r="AB110" s="20" t="str">
        <f t="shared" si="11"/>
        <v/>
      </c>
    </row>
    <row r="111" customHeight="1" spans="1:28">
      <c r="A111" s="14">
        <v>111</v>
      </c>
      <c r="B111" s="15">
        <f>IFERROR(IF([2]对账明细接口!$B$111=0,"",[2]对账明细接口!$B$111),"")</f>
        <v>46278</v>
      </c>
      <c r="C111" s="16" t="str">
        <f>IFERROR(IF([2]对账明细接口!$C$111=0,"",[2]对账明细接口!$C$111),"")</f>
        <v>全修塑业</v>
      </c>
      <c r="D111" s="16" t="str">
        <f>IFERROR(IF([2]对账明细接口!$D$111=0,"",[2]对账明细接口!$D$111),"")</f>
        <v>周转筐－采购入库</v>
      </c>
      <c r="E111" s="16" t="str">
        <f>IFERROR(IF([2]对账明细接口!$E$111=0,"",[2]对账明细接口!$E$111),"")</f>
        <v>NO:0000798</v>
      </c>
      <c r="F111" s="16" t="str">
        <f>IFERROR(IF([2]对账明细接口!$F$111=0,"",[2]对账明细接口!$F$111),"")</f>
        <v>公司红周转筐</v>
      </c>
      <c r="G111" s="16" t="str">
        <f>IFERROR(IF([2]对账明细接口!$G$111=0,"",[2]对账明细接口!$G$111),"")</f>
        <v/>
      </c>
      <c r="H111" s="17">
        <f>IFERROR(IF([2]对账明细接口!$H$111=0,"",[2]对账明细接口!$H$111),"")</f>
        <v>960</v>
      </c>
      <c r="I111" s="16" t="str">
        <f>IFERROR(IF([2]对账明细接口!$I$111=0,"",[2]对账明细接口!$I$111),"")</f>
        <v>个</v>
      </c>
      <c r="J111" s="18" t="str">
        <f>IFERROR(IF([2]对账明细接口!$J$111=0,"",[2]对账明细接口!$J$111),"")</f>
        <v/>
      </c>
      <c r="K111" s="18">
        <f>IFERROR(IF([2]对账明细接口!$K$111=0,"",[2]对账明细接口!$K$111),"")</f>
        <v>9600</v>
      </c>
      <c r="L111" s="16" t="str">
        <f>IFERROR(IF([2]对账明细接口!$L$111=0,"",[2]对账明细接口!$L$111),"")</f>
        <v>未付款</v>
      </c>
      <c r="M111" s="16" t="str">
        <f>IFERROR(IF([2]对账明细接口!$M$111=0,"",[2]对账明细接口!$M$111),"")</f>
        <v>NO:0017215</v>
      </c>
      <c r="N111" s="19">
        <f t="shared" si="6"/>
        <v>1</v>
      </c>
      <c r="O111" s="19">
        <f t="shared" si="7"/>
        <v>108</v>
      </c>
      <c r="S111" s="20" t="str">
        <f>IFERROR(IF([2]对账明细接口!$N111=0,"",[2]对账明细接口!$N111),"")</f>
        <v>公司红周转筐</v>
      </c>
      <c r="T111" s="21" t="str">
        <f>IFERROR(IF([2]对账明细接口!$O111=0,"",[2]对账明细接口!$O111),"")</f>
        <v/>
      </c>
      <c r="U111" s="21" t="str">
        <f>IFERROR(IF([2]对账明细接口!$P111=0,"",[2]对账明细接口!$P111),"")</f>
        <v/>
      </c>
      <c r="V111" s="21">
        <f>IFERROR(IF([2]对账明细接口!$Q111=0,"",[2]对账明细接口!$Q111),"")</f>
        <v>960</v>
      </c>
      <c r="W111" s="20" t="str">
        <f>IFERROR(IF([2]对账明细接口!$R111=0,"",[2]对账明细接口!$R111),"")</f>
        <v>新N*49209</v>
      </c>
      <c r="X111" s="20" t="str">
        <f>IFERROR(IF([2]对账明细接口!$S111=0,"",[2]对账明细接口!$S111),"")</f>
        <v>公司筐</v>
      </c>
      <c r="Y111" s="20" t="str">
        <f t="shared" si="8"/>
        <v/>
      </c>
      <c r="Z111" s="20" t="str">
        <f t="shared" si="9"/>
        <v/>
      </c>
      <c r="AA111" s="20" t="str">
        <f t="shared" si="10"/>
        <v/>
      </c>
      <c r="AB111" s="20" t="str">
        <f t="shared" si="11"/>
        <v/>
      </c>
    </row>
    <row r="112" customHeight="1" spans="1:28">
      <c r="A112" s="14">
        <v>112</v>
      </c>
      <c r="B112" s="15">
        <f>IFERROR(IF([2]对账明细接口!$B$112=0,"",[2]对账明细接口!$B$112),"")</f>
        <v>46278</v>
      </c>
      <c r="C112" s="16" t="str">
        <f>IFERROR(IF([2]对账明细接口!$C$112=0,"",[2]对账明细接口!$C$112),"")</f>
        <v>王照雪</v>
      </c>
      <c r="D112" s="16" t="str">
        <f>IFERROR(IF([2]对账明细接口!$D$112=0,"",[2]对账明细接口!$D$112),"")</f>
        <v>周转筐－领用出库</v>
      </c>
      <c r="E112" s="16" t="str">
        <f>IFERROR(IF([2]对账明细接口!$E$112=0,"",[2]对账明细接口!$E$112),"")</f>
        <v>NO:0001129</v>
      </c>
      <c r="F112" s="16" t="str">
        <f>IFERROR(IF([2]对账明细接口!$F$112=0,"",[2]对账明细接口!$F$112),"")</f>
        <v>公司杂周转筐</v>
      </c>
      <c r="G112" s="16" t="str">
        <f>IFERROR(IF([2]对账明细接口!$G$112=0,"",[2]对账明细接口!$G$112),"")</f>
        <v/>
      </c>
      <c r="H112" s="17">
        <f>IFERROR(IF([2]对账明细接口!$H$112=0,"",[2]对账明细接口!$H$112),"")</f>
        <v>423</v>
      </c>
      <c r="I112" s="16" t="str">
        <f>IFERROR(IF([2]对账明细接口!$I$112=0,"",[2]对账明细接口!$I$112),"")</f>
        <v>个</v>
      </c>
      <c r="J112" s="18" t="str">
        <f>IFERROR(IF([2]对账明细接口!$J$112=0,"",[2]对账明细接口!$J$112),"")</f>
        <v/>
      </c>
      <c r="K112" s="18" t="str">
        <f>IFERROR(IF([2]对账明细接口!$K$112=0,"",[2]对账明细接口!$K$112),"")</f>
        <v/>
      </c>
      <c r="L112" s="16" t="str">
        <f>IFERROR(IF([2]对账明细接口!$L$112=0,"",[2]对账明细接口!$L$112),"")</f>
        <v/>
      </c>
      <c r="M112" s="16" t="str">
        <f>IFERROR(IF([2]对账明细接口!$M$112=0,"",[2]对账明细接口!$M$112),"")</f>
        <v/>
      </c>
      <c r="N112" s="19">
        <f t="shared" si="6"/>
        <v>1</v>
      </c>
      <c r="O112" s="19">
        <f t="shared" si="7"/>
        <v>109</v>
      </c>
      <c r="S112" s="20" t="str">
        <f>IFERROR(IF([2]对账明细接口!$N112=0,"",[2]对账明细接口!$N112),"")</f>
        <v>公司杂周转筐</v>
      </c>
      <c r="T112" s="21">
        <f>IFERROR(IF([2]对账明细接口!$O112=0,"",[2]对账明细接口!$O112),"")</f>
        <v>423</v>
      </c>
      <c r="U112" s="21" t="str">
        <f>IFERROR(IF([2]对账明细接口!$P112=0,"",[2]对账明细接口!$P112),"")</f>
        <v/>
      </c>
      <c r="V112" s="21" t="str">
        <f>IFERROR(IF([2]对账明细接口!$Q112=0,"",[2]对账明细接口!$Q112),"")</f>
        <v/>
      </c>
      <c r="W112" s="20" t="str">
        <f>IFERROR(IF([2]对账明细接口!$R112=0,"",[2]对账明细接口!$R112),"")</f>
        <v>豫L*88X19</v>
      </c>
      <c r="X112" s="20" t="str">
        <f>IFERROR(IF([2]对账明细接口!$S112=0,"",[2]对账明细接口!$S112),"")</f>
        <v>公司筐</v>
      </c>
      <c r="Y112" s="20" t="str">
        <f t="shared" si="8"/>
        <v/>
      </c>
      <c r="Z112" s="20" t="str">
        <f t="shared" si="9"/>
        <v/>
      </c>
      <c r="AA112" s="20" t="str">
        <f t="shared" si="10"/>
        <v/>
      </c>
      <c r="AB112" s="20" t="str">
        <f t="shared" si="11"/>
        <v/>
      </c>
    </row>
    <row r="113" customHeight="1" spans="1:28">
      <c r="A113" s="14">
        <v>113</v>
      </c>
      <c r="B113" s="15">
        <f>IFERROR(IF([2]对账明细接口!$B$113=0,"",[2]对账明细接口!$B$113),"")</f>
        <v>46278</v>
      </c>
      <c r="C113" s="16" t="str">
        <f>IFERROR(IF([2]对账明细接口!$C$113=0,"",[2]对账明细接口!$C$113),"")</f>
        <v>王灵云</v>
      </c>
      <c r="D113" s="16" t="str">
        <f>IFERROR(IF([2]对账明细接口!$D$113=0,"",[2]对账明细接口!$D$113),"")</f>
        <v>周转筐－领用出库</v>
      </c>
      <c r="E113" s="16" t="str">
        <f>IFERROR(IF([2]对账明细接口!$E$113=0,"",[2]对账明细接口!$E$113),"")</f>
        <v>NO:0001130</v>
      </c>
      <c r="F113" s="16" t="str">
        <f>IFERROR(IF([2]对账明细接口!$F$113=0,"",[2]对账明细接口!$F$113),"")</f>
        <v>公司红周转筐</v>
      </c>
      <c r="G113" s="16" t="str">
        <f>IFERROR(IF([2]对账明细接口!$G$113=0,"",[2]对账明细接口!$G$113),"")</f>
        <v/>
      </c>
      <c r="H113" s="17">
        <f>IFERROR(IF([2]对账明细接口!$H$113=0,"",[2]对账明细接口!$H$113),"")</f>
        <v>960</v>
      </c>
      <c r="I113" s="16" t="str">
        <f>IFERROR(IF([2]对账明细接口!$I$113=0,"",[2]对账明细接口!$I$113),"")</f>
        <v>个</v>
      </c>
      <c r="J113" s="18" t="str">
        <f>IFERROR(IF([2]对账明细接口!$J$113=0,"",[2]对账明细接口!$J$113),"")</f>
        <v/>
      </c>
      <c r="K113" s="18" t="str">
        <f>IFERROR(IF([2]对账明细接口!$K$113=0,"",[2]对账明细接口!$K$113),"")</f>
        <v/>
      </c>
      <c r="L113" s="16" t="str">
        <f>IFERROR(IF([2]对账明细接口!$L$113=0,"",[2]对账明细接口!$L$113),"")</f>
        <v/>
      </c>
      <c r="M113" s="16" t="str">
        <f>IFERROR(IF([2]对账明细接口!$M$113=0,"",[2]对账明细接口!$M$113),"")</f>
        <v/>
      </c>
      <c r="N113" s="19">
        <f t="shared" si="6"/>
        <v>1</v>
      </c>
      <c r="O113" s="19">
        <f t="shared" si="7"/>
        <v>110</v>
      </c>
      <c r="S113" s="20" t="str">
        <f>IFERROR(IF([2]对账明细接口!$N113=0,"",[2]对账明细接口!$N113),"")</f>
        <v>公司红周转筐</v>
      </c>
      <c r="T113" s="21">
        <f>IFERROR(IF([2]对账明细接口!$O113=0,"",[2]对账明细接口!$O113),"")</f>
        <v>960</v>
      </c>
      <c r="U113" s="21" t="str">
        <f>IFERROR(IF([2]对账明细接口!$P113=0,"",[2]对账明细接口!$P113),"")</f>
        <v/>
      </c>
      <c r="V113" s="21" t="str">
        <f>IFERROR(IF([2]对账明细接口!$Q113=0,"",[2]对账明细接口!$Q113),"")</f>
        <v/>
      </c>
      <c r="W113" s="20" t="str">
        <f>IFERROR(IF([2]对账明细接口!$R113=0,"",[2]对账明细接口!$R113),"")</f>
        <v>新N*49209</v>
      </c>
      <c r="X113" s="20" t="str">
        <f>IFERROR(IF([2]对账明细接口!$S113=0,"",[2]对账明细接口!$S113),"")</f>
        <v>公司筐</v>
      </c>
      <c r="Y113" s="20" t="str">
        <f t="shared" si="8"/>
        <v/>
      </c>
      <c r="Z113" s="20" t="str">
        <f t="shared" si="9"/>
        <v/>
      </c>
      <c r="AA113" s="20" t="str">
        <f t="shared" si="10"/>
        <v/>
      </c>
      <c r="AB113" s="20" t="str">
        <f t="shared" si="11"/>
        <v/>
      </c>
    </row>
    <row r="114" customHeight="1" spans="1:28">
      <c r="A114" s="14">
        <v>114</v>
      </c>
      <c r="B114" s="15">
        <f>IFERROR(IF([2]对账明细接口!$B$114=0,"",[2]对账明细接口!$B$114),"")</f>
        <v>46278</v>
      </c>
      <c r="C114" s="16" t="str">
        <f>IFERROR(IF([2]对账明细接口!$C$114=0,"",[2]对账明细接口!$C$114),"")</f>
        <v>马锦祥</v>
      </c>
      <c r="D114" s="16" t="str">
        <f>IFERROR(IF([2]对账明细接口!$D$114=0,"",[2]对账明细接口!$D$114),"")</f>
        <v>周转筐－领用出库</v>
      </c>
      <c r="E114" s="16" t="str">
        <f>IFERROR(IF([2]对账明细接口!$E$114=0,"",[2]对账明细接口!$E$114),"")</f>
        <v>NO:0001131</v>
      </c>
      <c r="F114" s="16" t="str">
        <f>IFERROR(IF([2]对账明细接口!$F$114=0,"",[2]对账明细接口!$F$114),"")</f>
        <v>公司杂周转筐</v>
      </c>
      <c r="G114" s="16" t="str">
        <f>IFERROR(IF([2]对账明细接口!$G$114=0,"",[2]对账明细接口!$G$114),"")</f>
        <v/>
      </c>
      <c r="H114" s="17">
        <f>IFERROR(IF([2]对账明细接口!$H$114=0,"",[2]对账明细接口!$H$114),"")</f>
        <v>588</v>
      </c>
      <c r="I114" s="16" t="str">
        <f>IFERROR(IF([2]对账明细接口!$I$114=0,"",[2]对账明细接口!$I$114),"")</f>
        <v>个</v>
      </c>
      <c r="J114" s="18" t="str">
        <f>IFERROR(IF([2]对账明细接口!$J$114=0,"",[2]对账明细接口!$J$114),"")</f>
        <v/>
      </c>
      <c r="K114" s="18" t="str">
        <f>IFERROR(IF([2]对账明细接口!$K$114=0,"",[2]对账明细接口!$K$114),"")</f>
        <v/>
      </c>
      <c r="L114" s="16" t="str">
        <f>IFERROR(IF([2]对账明细接口!$L$114=0,"",[2]对账明细接口!$L$114),"")</f>
        <v/>
      </c>
      <c r="M114" s="16" t="str">
        <f>IFERROR(IF([2]对账明细接口!$M$114=0,"",[2]对账明细接口!$M$114),"")</f>
        <v/>
      </c>
      <c r="N114" s="19">
        <f t="shared" si="6"/>
        <v>1</v>
      </c>
      <c r="O114" s="19">
        <f t="shared" si="7"/>
        <v>111</v>
      </c>
      <c r="S114" s="20" t="str">
        <f>IFERROR(IF([2]对账明细接口!$N114=0,"",[2]对账明细接口!$N114),"")</f>
        <v>公司杂周转筐</v>
      </c>
      <c r="T114" s="21">
        <f>IFERROR(IF([2]对账明细接口!$O114=0,"",[2]对账明细接口!$O114),"")</f>
        <v>588</v>
      </c>
      <c r="U114" s="21" t="str">
        <f>IFERROR(IF([2]对账明细接口!$P114=0,"",[2]对账明细接口!$P114),"")</f>
        <v/>
      </c>
      <c r="V114" s="21" t="str">
        <f>IFERROR(IF([2]对账明细接口!$Q114=0,"",[2]对账明细接口!$Q114),"")</f>
        <v/>
      </c>
      <c r="W114" s="20" t="str">
        <f>IFERROR(IF([2]对账明细接口!$R114=0,"",[2]对账明细接口!$R114),"")</f>
        <v>新N*K7V85</v>
      </c>
      <c r="X114" s="20" t="str">
        <f>IFERROR(IF([2]对账明细接口!$S114=0,"",[2]对账明细接口!$S114),"")</f>
        <v>公司筐</v>
      </c>
      <c r="Y114" s="20" t="str">
        <f t="shared" si="8"/>
        <v/>
      </c>
      <c r="Z114" s="20" t="str">
        <f t="shared" si="9"/>
        <v/>
      </c>
      <c r="AA114" s="20" t="str">
        <f t="shared" si="10"/>
        <v/>
      </c>
      <c r="AB114" s="20" t="str">
        <f t="shared" si="11"/>
        <v/>
      </c>
    </row>
    <row r="115" customHeight="1" spans="1:28">
      <c r="A115" s="14">
        <v>115</v>
      </c>
      <c r="B115" s="15">
        <f>IFERROR(IF([2]对账明细接口!$B$115=0,"",[2]对账明细接口!$B$115),"")</f>
        <v>46278</v>
      </c>
      <c r="C115" s="16" t="str">
        <f>IFERROR(IF([2]对账明细接口!$C$115=0,"",[2]对账明细接口!$C$115),"")</f>
        <v>全修塑业</v>
      </c>
      <c r="D115" s="16" t="str">
        <f>IFERROR(IF([2]对账明细接口!$D$115=0,"",[2]对账明细接口!$D$115),"")</f>
        <v>周转筐－采购入库</v>
      </c>
      <c r="E115" s="16" t="str">
        <f>IFERROR(IF([2]对账明细接口!$E$115=0,"",[2]对账明细接口!$E$115),"")</f>
        <v>NO:0000853</v>
      </c>
      <c r="F115" s="16" t="str">
        <f>IFERROR(IF([2]对账明细接口!$F$115=0,"",[2]对账明细接口!$F$115),"")</f>
        <v>公司红周转筐</v>
      </c>
      <c r="G115" s="16" t="str">
        <f>IFERROR(IF([2]对账明细接口!$G$115=0,"",[2]对账明细接口!$G$115),"")</f>
        <v/>
      </c>
      <c r="H115" s="17">
        <f>IFERROR(IF([2]对账明细接口!$H$115=0,"",[2]对账明细接口!$H$115),"")</f>
        <v>960</v>
      </c>
      <c r="I115" s="16" t="str">
        <f>IFERROR(IF([2]对账明细接口!$I$115=0,"",[2]对账明细接口!$I$115),"")</f>
        <v>个</v>
      </c>
      <c r="J115" s="18" t="str">
        <f>IFERROR(IF([2]对账明细接口!$J$115=0,"",[2]对账明细接口!$J$115),"")</f>
        <v/>
      </c>
      <c r="K115" s="18">
        <f>IFERROR(IF([2]对账明细接口!$K$115=0,"",[2]对账明细接口!$K$115),"")</f>
        <v>9600</v>
      </c>
      <c r="L115" s="16" t="str">
        <f>IFERROR(IF([2]对账明细接口!$L$115=0,"",[2]对账明细接口!$L$115),"")</f>
        <v>未付款</v>
      </c>
      <c r="M115" s="16" t="str">
        <f>IFERROR(IF([2]对账明细接口!$M$115=0,"",[2]对账明细接口!$M$115),"")</f>
        <v>NO:0017217</v>
      </c>
      <c r="N115" s="19">
        <f t="shared" si="6"/>
        <v>1</v>
      </c>
      <c r="O115" s="19">
        <f t="shared" si="7"/>
        <v>112</v>
      </c>
      <c r="S115" s="20" t="str">
        <f>IFERROR(IF([2]对账明细接口!$N115=0,"",[2]对账明细接口!$N115),"")</f>
        <v>公司红周转筐</v>
      </c>
      <c r="T115" s="21" t="str">
        <f>IFERROR(IF([2]对账明细接口!$O115=0,"",[2]对账明细接口!$O115),"")</f>
        <v/>
      </c>
      <c r="U115" s="21" t="str">
        <f>IFERROR(IF([2]对账明细接口!$P115=0,"",[2]对账明细接口!$P115),"")</f>
        <v/>
      </c>
      <c r="V115" s="21">
        <f>IFERROR(IF([2]对账明细接口!$Q115=0,"",[2]对账明细接口!$Q115),"")</f>
        <v>960</v>
      </c>
      <c r="W115" s="20" t="str">
        <f>IFERROR(IF([2]对账明细接口!$R115=0,"",[2]对账明细接口!$R115),"")</f>
        <v>新N*49209</v>
      </c>
      <c r="X115" s="20" t="str">
        <f>IFERROR(IF([2]对账明细接口!$S115=0,"",[2]对账明细接口!$S115),"")</f>
        <v>公司筐</v>
      </c>
      <c r="Y115" s="20" t="str">
        <f t="shared" si="8"/>
        <v/>
      </c>
      <c r="Z115" s="20" t="str">
        <f t="shared" si="9"/>
        <v/>
      </c>
      <c r="AA115" s="20" t="str">
        <f t="shared" si="10"/>
        <v/>
      </c>
      <c r="AB115" s="20" t="str">
        <f t="shared" si="11"/>
        <v/>
      </c>
    </row>
    <row r="116" customHeight="1" spans="1:28">
      <c r="A116" s="14">
        <v>116</v>
      </c>
      <c r="B116" s="15">
        <f>IFERROR(IF([2]对账明细接口!$B$116=0,"",[2]对账明细接口!$B$116),"")</f>
        <v>46278</v>
      </c>
      <c r="C116" s="16" t="str">
        <f>IFERROR(IF([2]对账明细接口!$C$116=0,"",[2]对账明细接口!$C$116),"")</f>
        <v>王灵云</v>
      </c>
      <c r="D116" s="16" t="str">
        <f>IFERROR(IF([2]对账明细接口!$D$116=0,"",[2]对账明细接口!$D$116),"")</f>
        <v>周转筐－领用出库</v>
      </c>
      <c r="E116" s="16" t="str">
        <f>IFERROR(IF([2]对账明细接口!$E$116=0,"",[2]对账明细接口!$E$116),"")</f>
        <v>NO:0001135</v>
      </c>
      <c r="F116" s="16" t="str">
        <f>IFERROR(IF([2]对账明细接口!$F$116=0,"",[2]对账明细接口!$F$116),"")</f>
        <v>公司红周转筐</v>
      </c>
      <c r="G116" s="16" t="str">
        <f>IFERROR(IF([2]对账明细接口!$G$116=0,"",[2]对账明细接口!$G$116),"")</f>
        <v/>
      </c>
      <c r="H116" s="17">
        <f>IFERROR(IF([2]对账明细接口!$H$116=0,"",[2]对账明细接口!$H$116),"")</f>
        <v>960</v>
      </c>
      <c r="I116" s="16" t="str">
        <f>IFERROR(IF([2]对账明细接口!$I$116=0,"",[2]对账明细接口!$I$116),"")</f>
        <v>个</v>
      </c>
      <c r="J116" s="18" t="str">
        <f>IFERROR(IF([2]对账明细接口!$J$116=0,"",[2]对账明细接口!$J$116),"")</f>
        <v/>
      </c>
      <c r="K116" s="18" t="str">
        <f>IFERROR(IF([2]对账明细接口!$K$116=0,"",[2]对账明细接口!$K$116),"")</f>
        <v/>
      </c>
      <c r="L116" s="16" t="str">
        <f>IFERROR(IF([2]对账明细接口!$L$116=0,"",[2]对账明细接口!$L$116),"")</f>
        <v/>
      </c>
      <c r="M116" s="16" t="str">
        <f>IFERROR(IF([2]对账明细接口!$M$116=0,"",[2]对账明细接口!$M$116),"")</f>
        <v/>
      </c>
      <c r="N116" s="19">
        <f t="shared" si="6"/>
        <v>1</v>
      </c>
      <c r="O116" s="19">
        <f t="shared" si="7"/>
        <v>113</v>
      </c>
      <c r="S116" s="20" t="str">
        <f>IFERROR(IF([2]对账明细接口!$N116=0,"",[2]对账明细接口!$N116),"")</f>
        <v>公司红周转筐</v>
      </c>
      <c r="T116" s="21">
        <f>IFERROR(IF([2]对账明细接口!$O116=0,"",[2]对账明细接口!$O116),"")</f>
        <v>960</v>
      </c>
      <c r="U116" s="21" t="str">
        <f>IFERROR(IF([2]对账明细接口!$P116=0,"",[2]对账明细接口!$P116),"")</f>
        <v/>
      </c>
      <c r="V116" s="21" t="str">
        <f>IFERROR(IF([2]对账明细接口!$Q116=0,"",[2]对账明细接口!$Q116),"")</f>
        <v/>
      </c>
      <c r="W116" s="20" t="str">
        <f>IFERROR(IF([2]对账明细接口!$R116=0,"",[2]对账明细接口!$R116),"")</f>
        <v>新N*49209</v>
      </c>
      <c r="X116" s="20" t="str">
        <f>IFERROR(IF([2]对账明细接口!$S116=0,"",[2]对账明细接口!$S116),"")</f>
        <v>公司筐</v>
      </c>
      <c r="Y116" s="20" t="str">
        <f t="shared" si="8"/>
        <v/>
      </c>
      <c r="Z116" s="20" t="str">
        <f t="shared" si="9"/>
        <v/>
      </c>
      <c r="AA116" s="20" t="str">
        <f t="shared" si="10"/>
        <v/>
      </c>
      <c r="AB116" s="20" t="str">
        <f t="shared" si="11"/>
        <v/>
      </c>
    </row>
    <row r="117" customHeight="1" spans="1:28">
      <c r="A117" s="14">
        <v>117</v>
      </c>
      <c r="B117" s="15">
        <f>IFERROR(IF([2]对账明细接口!$B$117=0,"",[2]对账明细接口!$B$117),"")</f>
        <v>46278</v>
      </c>
      <c r="C117" s="16" t="str">
        <f>IFERROR(IF([2]对账明细接口!$C$117=0,"",[2]对账明细接口!$C$117),"")</f>
        <v>李现东</v>
      </c>
      <c r="D117" s="16" t="str">
        <f>IFERROR(IF([2]对账明细接口!$D$117=0,"",[2]对账明细接口!$D$117),"")</f>
        <v>周转筐－领用出库</v>
      </c>
      <c r="E117" s="16" t="str">
        <f>IFERROR(IF([2]对账明细接口!$E$117=0,"",[2]对账明细接口!$E$117),"")</f>
        <v>NO:0001137</v>
      </c>
      <c r="F117" s="16" t="str">
        <f>IFERROR(IF([2]对账明细接口!$F$117=0,"",[2]对账明细接口!$F$117),"")</f>
        <v>公司杂周转筐</v>
      </c>
      <c r="G117" s="16" t="str">
        <f>IFERROR(IF([2]对账明细接口!$G$117=0,"",[2]对账明细接口!$G$117),"")</f>
        <v/>
      </c>
      <c r="H117" s="17">
        <f>IFERROR(IF([2]对账明细接口!$H$117=0,"",[2]对账明细接口!$H$117),"")</f>
        <v>711</v>
      </c>
      <c r="I117" s="16" t="str">
        <f>IFERROR(IF([2]对账明细接口!$I$117=0,"",[2]对账明细接口!$I$117),"")</f>
        <v>个</v>
      </c>
      <c r="J117" s="18" t="str">
        <f>IFERROR(IF([2]对账明细接口!$J$117=0,"",[2]对账明细接口!$J$117),"")</f>
        <v/>
      </c>
      <c r="K117" s="18" t="str">
        <f>IFERROR(IF([2]对账明细接口!$K$117=0,"",[2]对账明细接口!$K$117),"")</f>
        <v/>
      </c>
      <c r="L117" s="16" t="str">
        <f>IFERROR(IF([2]对账明细接口!$L$117=0,"",[2]对账明细接口!$L$117),"")</f>
        <v/>
      </c>
      <c r="M117" s="16" t="str">
        <f>IFERROR(IF([2]对账明细接口!$M$117=0,"",[2]对账明细接口!$M$117),"")</f>
        <v>李现东</v>
      </c>
      <c r="N117" s="19">
        <f t="shared" si="6"/>
        <v>1</v>
      </c>
      <c r="O117" s="19">
        <f t="shared" si="7"/>
        <v>114</v>
      </c>
      <c r="S117" s="20" t="str">
        <f>IFERROR(IF([2]对账明细接口!$N117=0,"",[2]对账明细接口!$N117),"")</f>
        <v>公司杂周转筐</v>
      </c>
      <c r="T117" s="21">
        <f>IFERROR(IF([2]对账明细接口!$O117=0,"",[2]对账明细接口!$O117),"")</f>
        <v>711</v>
      </c>
      <c r="U117" s="21" t="str">
        <f>IFERROR(IF([2]对账明细接口!$P117=0,"",[2]对账明细接口!$P117),"")</f>
        <v/>
      </c>
      <c r="V117" s="21" t="str">
        <f>IFERROR(IF([2]对账明细接口!$Q117=0,"",[2]对账明细接口!$Q117),"")</f>
        <v/>
      </c>
      <c r="W117" s="20" t="str">
        <f>IFERROR(IF([2]对账明细接口!$R117=0,"",[2]对账明细接口!$R117),"")</f>
        <v>新N*53045</v>
      </c>
      <c r="X117" s="20" t="str">
        <f>IFERROR(IF([2]对账明细接口!$S117=0,"",[2]对账明细接口!$S117),"")</f>
        <v>公司筐</v>
      </c>
      <c r="Y117" s="20" t="str">
        <f t="shared" si="8"/>
        <v/>
      </c>
      <c r="Z117" s="20" t="str">
        <f t="shared" si="9"/>
        <v/>
      </c>
      <c r="AA117" s="20" t="str">
        <f t="shared" si="10"/>
        <v/>
      </c>
      <c r="AB117" s="20" t="str">
        <f t="shared" si="11"/>
        <v/>
      </c>
    </row>
    <row r="118" customHeight="1" spans="1:28">
      <c r="A118" s="14">
        <v>118</v>
      </c>
      <c r="B118" s="15">
        <f>IFERROR(IF([2]对账明细接口!$B$118=0,"",[2]对账明细接口!$B$118),"")</f>
        <v>46279</v>
      </c>
      <c r="C118" s="16" t="str">
        <f>IFERROR(IF([2]对账明细接口!$C$118=0,"",[2]对账明细接口!$C$118),"")</f>
        <v>李现东</v>
      </c>
      <c r="D118" s="16" t="str">
        <f>IFERROR(IF([2]对账明细接口!$D$118=0,"",[2]对账明细接口!$D$118),"")</f>
        <v>周转筐－领用出库</v>
      </c>
      <c r="E118" s="16" t="str">
        <f>IFERROR(IF([2]对账明细接口!$E$118=0,"",[2]对账明细接口!$E$118),"")</f>
        <v>NO:0001140</v>
      </c>
      <c r="F118" s="16" t="str">
        <f>IFERROR(IF([2]对账明细接口!$F$118=0,"",[2]对账明细接口!$F$118),"")</f>
        <v>公司杂周转筐</v>
      </c>
      <c r="G118" s="16" t="str">
        <f>IFERROR(IF([2]对账明细接口!$G$118=0,"",[2]对账明细接口!$G$118),"")</f>
        <v/>
      </c>
      <c r="H118" s="17">
        <f>IFERROR(IF([2]对账明细接口!$H$118=0,"",[2]对账明细接口!$H$118),"")</f>
        <v>702</v>
      </c>
      <c r="I118" s="16" t="str">
        <f>IFERROR(IF([2]对账明细接口!$I$118=0,"",[2]对账明细接口!$I$118),"")</f>
        <v>个</v>
      </c>
      <c r="J118" s="18" t="str">
        <f>IFERROR(IF([2]对账明细接口!$J$118=0,"",[2]对账明细接口!$J$118),"")</f>
        <v/>
      </c>
      <c r="K118" s="18" t="str">
        <f>IFERROR(IF([2]对账明细接口!$K$118=0,"",[2]对账明细接口!$K$118),"")</f>
        <v/>
      </c>
      <c r="L118" s="16" t="str">
        <f>IFERROR(IF([2]对账明细接口!$L$118=0,"",[2]对账明细接口!$L$118),"")</f>
        <v/>
      </c>
      <c r="M118" s="16" t="str">
        <f>IFERROR(IF([2]对账明细接口!$M$118=0,"",[2]对账明细接口!$M$118),"")</f>
        <v>李现东</v>
      </c>
      <c r="N118" s="19">
        <f t="shared" si="6"/>
        <v>1</v>
      </c>
      <c r="O118" s="19">
        <f t="shared" si="7"/>
        <v>115</v>
      </c>
      <c r="S118" s="20" t="str">
        <f>IFERROR(IF([2]对账明细接口!$N118=0,"",[2]对账明细接口!$N118),"")</f>
        <v>公司杂周转筐</v>
      </c>
      <c r="T118" s="21">
        <f>IFERROR(IF([2]对账明细接口!$O118=0,"",[2]对账明细接口!$O118),"")</f>
        <v>702</v>
      </c>
      <c r="U118" s="21" t="str">
        <f>IFERROR(IF([2]对账明细接口!$P118=0,"",[2]对账明细接口!$P118),"")</f>
        <v/>
      </c>
      <c r="V118" s="21" t="str">
        <f>IFERROR(IF([2]对账明细接口!$Q118=0,"",[2]对账明细接口!$Q118),"")</f>
        <v/>
      </c>
      <c r="W118" s="20" t="str">
        <f>IFERROR(IF([2]对账明细接口!$R118=0,"",[2]对账明细接口!$R118),"")</f>
        <v>新N*53045</v>
      </c>
      <c r="X118" s="20" t="str">
        <f>IFERROR(IF([2]对账明细接口!$S118=0,"",[2]对账明细接口!$S118),"")</f>
        <v>公司筐</v>
      </c>
      <c r="Y118" s="20" t="str">
        <f t="shared" si="8"/>
        <v/>
      </c>
      <c r="Z118" s="20" t="str">
        <f t="shared" si="9"/>
        <v/>
      </c>
      <c r="AA118" s="20" t="str">
        <f t="shared" si="10"/>
        <v/>
      </c>
      <c r="AB118" s="20" t="str">
        <f t="shared" si="11"/>
        <v/>
      </c>
    </row>
    <row r="119" customHeight="1" spans="1:28">
      <c r="A119" s="14">
        <v>119</v>
      </c>
      <c r="B119" s="15">
        <f>IFERROR(IF([2]对账明细接口!$B$119=0,"",[2]对账明细接口!$B$119),"")</f>
        <v>46279</v>
      </c>
      <c r="C119" s="16" t="str">
        <f>IFERROR(IF([2]对账明细接口!$C$119=0,"",[2]对账明细接口!$C$119),"")</f>
        <v>全修塑业</v>
      </c>
      <c r="D119" s="16" t="str">
        <f>IFERROR(IF([2]对账明细接口!$D$119=0,"",[2]对账明细接口!$D$119),"")</f>
        <v>周转筐－采购入库</v>
      </c>
      <c r="E119" s="16" t="str">
        <f>IFERROR(IF([2]对账明细接口!$E$119=0,"",[2]对账明细接口!$E$119),"")</f>
        <v>NO:0000857</v>
      </c>
      <c r="F119" s="16" t="str">
        <f>IFERROR(IF([2]对账明细接口!$F$119=0,"",[2]对账明细接口!$F$119),"")</f>
        <v>公司红周转筐</v>
      </c>
      <c r="G119" s="16" t="str">
        <f>IFERROR(IF([2]对账明细接口!$G$119=0,"",[2]对账明细接口!$G$119),"")</f>
        <v/>
      </c>
      <c r="H119" s="17">
        <f>IFERROR(IF([2]对账明细接口!$H$119=0,"",[2]对账明细接口!$H$119),"")</f>
        <v>960</v>
      </c>
      <c r="I119" s="16" t="str">
        <f>IFERROR(IF([2]对账明细接口!$I$119=0,"",[2]对账明细接口!$I$119),"")</f>
        <v>个</v>
      </c>
      <c r="J119" s="18" t="str">
        <f>IFERROR(IF([2]对账明细接口!$J$119=0,"",[2]对账明细接口!$J$119),"")</f>
        <v/>
      </c>
      <c r="K119" s="18">
        <f>IFERROR(IF([2]对账明细接口!$K$119=0,"",[2]对账明细接口!$K$119),"")</f>
        <v>9600</v>
      </c>
      <c r="L119" s="16" t="str">
        <f>IFERROR(IF([2]对账明细接口!$L$119=0,"",[2]对账明细接口!$L$119),"")</f>
        <v>未付款</v>
      </c>
      <c r="M119" s="16" t="str">
        <f>IFERROR(IF([2]对账明细接口!$M$119=0,"",[2]对账明细接口!$M$119),"")</f>
        <v>NO:0017220</v>
      </c>
      <c r="N119" s="19">
        <f t="shared" si="6"/>
        <v>1</v>
      </c>
      <c r="O119" s="19">
        <f t="shared" si="7"/>
        <v>116</v>
      </c>
      <c r="S119" s="20" t="str">
        <f>IFERROR(IF([2]对账明细接口!$N119=0,"",[2]对账明细接口!$N119),"")</f>
        <v>公司红周转筐</v>
      </c>
      <c r="T119" s="21" t="str">
        <f>IFERROR(IF([2]对账明细接口!$O119=0,"",[2]对账明细接口!$O119),"")</f>
        <v/>
      </c>
      <c r="U119" s="21" t="str">
        <f>IFERROR(IF([2]对账明细接口!$P119=0,"",[2]对账明细接口!$P119),"")</f>
        <v/>
      </c>
      <c r="V119" s="21">
        <f>IFERROR(IF([2]对账明细接口!$Q119=0,"",[2]对账明细接口!$Q119),"")</f>
        <v>960</v>
      </c>
      <c r="W119" s="20" t="str">
        <f>IFERROR(IF([2]对账明细接口!$R119=0,"",[2]对账明细接口!$R119),"")</f>
        <v>新F*75240</v>
      </c>
      <c r="X119" s="20" t="str">
        <f>IFERROR(IF([2]对账明细接口!$S119=0,"",[2]对账明细接口!$S119),"")</f>
        <v>公司筐</v>
      </c>
      <c r="Y119" s="20" t="str">
        <f t="shared" si="8"/>
        <v/>
      </c>
      <c r="Z119" s="20" t="str">
        <f t="shared" si="9"/>
        <v/>
      </c>
      <c r="AA119" s="20" t="str">
        <f t="shared" si="10"/>
        <v/>
      </c>
      <c r="AB119" s="20" t="str">
        <f t="shared" si="11"/>
        <v/>
      </c>
    </row>
    <row r="120" customHeight="1" spans="1:28">
      <c r="A120" s="14">
        <v>120</v>
      </c>
      <c r="B120" s="15">
        <f>IFERROR(IF([2]对账明细接口!$B$120=0,"",[2]对账明细接口!$B$120),"")</f>
        <v>46279</v>
      </c>
      <c r="C120" s="16" t="str">
        <f>IFERROR(IF([2]对账明细接口!$C$120=0,"",[2]对账明细接口!$C$120),"")</f>
        <v>努尔敦</v>
      </c>
      <c r="D120" s="16" t="str">
        <f>IFERROR(IF([2]对账明细接口!$D$120=0,"",[2]对账明细接口!$D$120),"")</f>
        <v>周转筐－领用出库</v>
      </c>
      <c r="E120" s="16" t="str">
        <f>IFERROR(IF([2]对账明细接口!$E$120=0,"",[2]对账明细接口!$E$120),"")</f>
        <v>NO:0001143</v>
      </c>
      <c r="F120" s="16" t="str">
        <f>IFERROR(IF([2]对账明细接口!$F$120=0,"",[2]对账明细接口!$F$120),"")</f>
        <v>公司红周转筐</v>
      </c>
      <c r="G120" s="16" t="str">
        <f>IFERROR(IF([2]对账明细接口!$G$120=0,"",[2]对账明细接口!$G$120),"")</f>
        <v/>
      </c>
      <c r="H120" s="17">
        <f>IFERROR(IF([2]对账明细接口!$H$120=0,"",[2]对账明细接口!$H$120),"")</f>
        <v>960</v>
      </c>
      <c r="I120" s="16" t="str">
        <f>IFERROR(IF([2]对账明细接口!$I$120=0,"",[2]对账明细接口!$I$120),"")</f>
        <v>个</v>
      </c>
      <c r="J120" s="18" t="str">
        <f>IFERROR(IF([2]对账明细接口!$J$120=0,"",[2]对账明细接口!$J$120),"")</f>
        <v/>
      </c>
      <c r="K120" s="18" t="str">
        <f>IFERROR(IF([2]对账明细接口!$K$120=0,"",[2]对账明细接口!$K$120),"")</f>
        <v/>
      </c>
      <c r="L120" s="16" t="str">
        <f>IFERROR(IF([2]对账明细接口!$L$120=0,"",[2]对账明细接口!$L$120),"")</f>
        <v/>
      </c>
      <c r="M120" s="16" t="str">
        <f>IFERROR(IF([2]对账明细接口!$M$120=0,"",[2]对账明细接口!$M$120),"")</f>
        <v/>
      </c>
      <c r="N120" s="19">
        <f t="shared" si="6"/>
        <v>1</v>
      </c>
      <c r="O120" s="19">
        <f t="shared" si="7"/>
        <v>117</v>
      </c>
      <c r="S120" s="20" t="str">
        <f>IFERROR(IF([2]对账明细接口!$N120=0,"",[2]对账明细接口!$N120),"")</f>
        <v>公司红周转筐</v>
      </c>
      <c r="T120" s="21">
        <f>IFERROR(IF([2]对账明细接口!$O120=0,"",[2]对账明细接口!$O120),"")</f>
        <v>960</v>
      </c>
      <c r="U120" s="21" t="str">
        <f>IFERROR(IF([2]对账明细接口!$P120=0,"",[2]对账明细接口!$P120),"")</f>
        <v/>
      </c>
      <c r="V120" s="21" t="str">
        <f>IFERROR(IF([2]对账明细接口!$Q120=0,"",[2]对账明细接口!$Q120),"")</f>
        <v/>
      </c>
      <c r="W120" s="20" t="str">
        <f>IFERROR(IF([2]对账明细接口!$R120=0,"",[2]对账明细接口!$R120),"")</f>
        <v>新F*75240</v>
      </c>
      <c r="X120" s="20" t="str">
        <f>IFERROR(IF([2]对账明细接口!$S120=0,"",[2]对账明细接口!$S120),"")</f>
        <v>公司筐</v>
      </c>
      <c r="Y120" s="20" t="str">
        <f t="shared" si="8"/>
        <v/>
      </c>
      <c r="Z120" s="20" t="str">
        <f t="shared" si="9"/>
        <v/>
      </c>
      <c r="AA120" s="20" t="str">
        <f t="shared" si="10"/>
        <v/>
      </c>
      <c r="AB120" s="20" t="str">
        <f t="shared" si="11"/>
        <v/>
      </c>
    </row>
    <row r="121" customHeight="1" spans="1:28">
      <c r="A121" s="14">
        <v>121</v>
      </c>
      <c r="B121" s="15">
        <f>IFERROR(IF([2]对账明细接口!$B$121=0,"",[2]对账明细接口!$B$121),"")</f>
        <v>46280</v>
      </c>
      <c r="C121" s="16" t="str">
        <f>IFERROR(IF([2]对账明细接口!$C$121=0,"",[2]对账明细接口!$C$121),"")</f>
        <v>全修塑业</v>
      </c>
      <c r="D121" s="16" t="str">
        <f>IFERROR(IF([2]对账明细接口!$D$121=0,"",[2]对账明细接口!$D$121),"")</f>
        <v>周转筐－采购入库</v>
      </c>
      <c r="E121" s="16" t="str">
        <f>IFERROR(IF([2]对账明细接口!$E$121=0,"",[2]对账明细接口!$E$121),"")</f>
        <v>NO:0000863</v>
      </c>
      <c r="F121" s="16" t="str">
        <f>IFERROR(IF([2]对账明细接口!$F$121=0,"",[2]对账明细接口!$F$121),"")</f>
        <v>公司红周转筐</v>
      </c>
      <c r="G121" s="16" t="str">
        <f>IFERROR(IF([2]对账明细接口!$G$121=0,"",[2]对账明细接口!$G$121),"")</f>
        <v/>
      </c>
      <c r="H121" s="17">
        <f>IFERROR(IF([2]对账明细接口!$H$121=0,"",[2]对账明细接口!$H$121),"")</f>
        <v>720</v>
      </c>
      <c r="I121" s="16" t="str">
        <f>IFERROR(IF([2]对账明细接口!$I$121=0,"",[2]对账明细接口!$I$121),"")</f>
        <v>个</v>
      </c>
      <c r="J121" s="18" t="str">
        <f>IFERROR(IF([2]对账明细接口!$J$121=0,"",[2]对账明细接口!$J$121),"")</f>
        <v/>
      </c>
      <c r="K121" s="18">
        <f>IFERROR(IF([2]对账明细接口!$K$121=0,"",[2]对账明细接口!$K$121),"")</f>
        <v>7200</v>
      </c>
      <c r="L121" s="16" t="str">
        <f>IFERROR(IF([2]对账明细接口!$L$121=0,"",[2]对账明细接口!$L$121),"")</f>
        <v>未付款</v>
      </c>
      <c r="M121" s="16" t="str">
        <f>IFERROR(IF([2]对账明细接口!$M$121=0,"",[2]对账明细接口!$M$121),"")</f>
        <v>NO:0017222</v>
      </c>
      <c r="N121" s="19">
        <f t="shared" si="6"/>
        <v>1</v>
      </c>
      <c r="O121" s="19">
        <f t="shared" si="7"/>
        <v>118</v>
      </c>
      <c r="S121" s="20" t="str">
        <f>IFERROR(IF([2]对账明细接口!$N121=0,"",[2]对账明细接口!$N121),"")</f>
        <v>公司红周转筐</v>
      </c>
      <c r="T121" s="21" t="str">
        <f>IFERROR(IF([2]对账明细接口!$O121=0,"",[2]对账明细接口!$O121),"")</f>
        <v/>
      </c>
      <c r="U121" s="21" t="str">
        <f>IFERROR(IF([2]对账明细接口!$P121=0,"",[2]对账明细接口!$P121),"")</f>
        <v/>
      </c>
      <c r="V121" s="21">
        <f>IFERROR(IF([2]对账明细接口!$Q121=0,"",[2]对账明细接口!$Q121),"")</f>
        <v>720</v>
      </c>
      <c r="W121" s="20" t="str">
        <f>IFERROR(IF([2]对账明细接口!$R121=0,"",[2]对账明细接口!$R121),"")</f>
        <v>豫A*2737K</v>
      </c>
      <c r="X121" s="20" t="str">
        <f>IFERROR(IF([2]对账明细接口!$S121=0,"",[2]对账明细接口!$S121),"")</f>
        <v>公司筐</v>
      </c>
      <c r="Y121" s="20" t="str">
        <f t="shared" si="8"/>
        <v/>
      </c>
      <c r="Z121" s="20" t="str">
        <f t="shared" si="9"/>
        <v/>
      </c>
      <c r="AA121" s="20" t="str">
        <f t="shared" si="10"/>
        <v/>
      </c>
      <c r="AB121" s="20" t="str">
        <f t="shared" si="11"/>
        <v/>
      </c>
    </row>
    <row r="122" customHeight="1" spans="1:28">
      <c r="A122" s="14">
        <v>122</v>
      </c>
      <c r="B122" s="15">
        <f>IFERROR(IF([2]对账明细接口!$B$122=0,"",[2]对账明细接口!$B$122),"")</f>
        <v>46280</v>
      </c>
      <c r="C122" s="16" t="str">
        <f>IFERROR(IF([2]对账明细接口!$C$122=0,"",[2]对账明细接口!$C$122),"")</f>
        <v>王照雪</v>
      </c>
      <c r="D122" s="16" t="str">
        <f>IFERROR(IF([2]对账明细接口!$D$122=0,"",[2]对账明细接口!$D$122),"")</f>
        <v>周转筐－领用出库</v>
      </c>
      <c r="E122" s="16" t="str">
        <f>IFERROR(IF([2]对账明细接口!$E$122=0,"",[2]对账明细接口!$E$122),"")</f>
        <v>NO:0001141</v>
      </c>
      <c r="F122" s="16" t="str">
        <f>IFERROR(IF([2]对账明细接口!$F$122=0,"",[2]对账明细接口!$F$122),"")</f>
        <v>公司杂周转筐</v>
      </c>
      <c r="G122" s="16" t="str">
        <f>IFERROR(IF([2]对账明细接口!$G$122=0,"",[2]对账明细接口!$G$122),"")</f>
        <v/>
      </c>
      <c r="H122" s="17">
        <f>IFERROR(IF([2]对账明细接口!$H$122=0,"",[2]对账明细接口!$H$122),"")</f>
        <v>423</v>
      </c>
      <c r="I122" s="16" t="str">
        <f>IFERROR(IF([2]对账明细接口!$I$122=0,"",[2]对账明细接口!$I$122),"")</f>
        <v>个</v>
      </c>
      <c r="J122" s="18" t="str">
        <f>IFERROR(IF([2]对账明细接口!$J$122=0,"",[2]对账明细接口!$J$122),"")</f>
        <v/>
      </c>
      <c r="K122" s="18" t="str">
        <f>IFERROR(IF([2]对账明细接口!$K$122=0,"",[2]对账明细接口!$K$122),"")</f>
        <v/>
      </c>
      <c r="L122" s="16" t="str">
        <f>IFERROR(IF([2]对账明细接口!$L$122=0,"",[2]对账明细接口!$L$122),"")</f>
        <v/>
      </c>
      <c r="M122" s="16" t="str">
        <f>IFERROR(IF([2]对账明细接口!$M$122=0,"",[2]对账明细接口!$M$122),"")</f>
        <v/>
      </c>
      <c r="N122" s="19">
        <f t="shared" si="6"/>
        <v>1</v>
      </c>
      <c r="O122" s="19">
        <f t="shared" si="7"/>
        <v>119</v>
      </c>
      <c r="S122" s="20" t="str">
        <f>IFERROR(IF([2]对账明细接口!$N122=0,"",[2]对账明细接口!$N122),"")</f>
        <v>公司杂周转筐</v>
      </c>
      <c r="T122" s="21">
        <f>IFERROR(IF([2]对账明细接口!$O122=0,"",[2]对账明细接口!$O122),"")</f>
        <v>423</v>
      </c>
      <c r="U122" s="21" t="str">
        <f>IFERROR(IF([2]对账明细接口!$P122=0,"",[2]对账明细接口!$P122),"")</f>
        <v/>
      </c>
      <c r="V122" s="21" t="str">
        <f>IFERROR(IF([2]对账明细接口!$Q122=0,"",[2]对账明细接口!$Q122),"")</f>
        <v/>
      </c>
      <c r="W122" s="20" t="str">
        <f>IFERROR(IF([2]对账明细接口!$R122=0,"",[2]对账明细接口!$R122),"")</f>
        <v>豫L*88X19</v>
      </c>
      <c r="X122" s="20" t="str">
        <f>IFERROR(IF([2]对账明细接口!$S122=0,"",[2]对账明细接口!$S122),"")</f>
        <v>公司筐</v>
      </c>
      <c r="Y122" s="20" t="str">
        <f t="shared" si="8"/>
        <v/>
      </c>
      <c r="Z122" s="20" t="str">
        <f t="shared" si="9"/>
        <v/>
      </c>
      <c r="AA122" s="20" t="str">
        <f t="shared" si="10"/>
        <v/>
      </c>
      <c r="AB122" s="20" t="str">
        <f t="shared" si="11"/>
        <v/>
      </c>
    </row>
    <row r="123" customHeight="1" spans="1:28">
      <c r="A123" s="14">
        <v>123</v>
      </c>
      <c r="B123" s="15">
        <f>IFERROR(IF([2]对账明细接口!$B$123=0,"",[2]对账明细接口!$B$123),"")</f>
        <v>46280</v>
      </c>
      <c r="C123" s="16" t="str">
        <f>IFERROR(IF([2]对账明细接口!$C$123=0,"",[2]对账明细接口!$C$123),"")</f>
        <v>荆建君</v>
      </c>
      <c r="D123" s="16" t="str">
        <f>IFERROR(IF([2]对账明细接口!$D$123=0,"",[2]对账明细接口!$D$123),"")</f>
        <v>周转筐－领用出库</v>
      </c>
      <c r="E123" s="16" t="str">
        <f>IFERROR(IF([2]对账明细接口!$E$123=0,"",[2]对账明细接口!$E$123),"")</f>
        <v>NO:0001145</v>
      </c>
      <c r="F123" s="16" t="str">
        <f>IFERROR(IF([2]对账明细接口!$F$123=0,"",[2]对账明细接口!$F$123),"")</f>
        <v>公司红周转筐</v>
      </c>
      <c r="G123" s="16" t="str">
        <f>IFERROR(IF([2]对账明细接口!$G$123=0,"",[2]对账明细接口!$G$123),"")</f>
        <v/>
      </c>
      <c r="H123" s="17">
        <f>IFERROR(IF([2]对账明细接口!$H$123=0,"",[2]对账明细接口!$H$123),"")</f>
        <v>720</v>
      </c>
      <c r="I123" s="16" t="str">
        <f>IFERROR(IF([2]对账明细接口!$I$123=0,"",[2]对账明细接口!$I$123),"")</f>
        <v>个</v>
      </c>
      <c r="J123" s="18" t="str">
        <f>IFERROR(IF([2]对账明细接口!$J$123=0,"",[2]对账明细接口!$J$123),"")</f>
        <v/>
      </c>
      <c r="K123" s="18" t="str">
        <f>IFERROR(IF([2]对账明细接口!$K$123=0,"",[2]对账明细接口!$K$123),"")</f>
        <v/>
      </c>
      <c r="L123" s="16" t="str">
        <f>IFERROR(IF([2]对账明细接口!$L$123=0,"",[2]对账明细接口!$L$123),"")</f>
        <v/>
      </c>
      <c r="M123" s="16" t="str">
        <f>IFERROR(IF([2]对账明细接口!$M$123=0,"",[2]对账明细接口!$M$123),"")</f>
        <v/>
      </c>
      <c r="N123" s="19">
        <f t="shared" si="6"/>
        <v>1</v>
      </c>
      <c r="O123" s="19">
        <f t="shared" si="7"/>
        <v>120</v>
      </c>
      <c r="S123" s="20" t="str">
        <f>IFERROR(IF([2]对账明细接口!$N123=0,"",[2]对账明细接口!$N123),"")</f>
        <v>公司红周转筐</v>
      </c>
      <c r="T123" s="21">
        <f>IFERROR(IF([2]对账明细接口!$O123=0,"",[2]对账明细接口!$O123),"")</f>
        <v>720</v>
      </c>
      <c r="U123" s="21" t="str">
        <f>IFERROR(IF([2]对账明细接口!$P123=0,"",[2]对账明细接口!$P123),"")</f>
        <v/>
      </c>
      <c r="V123" s="21" t="str">
        <f>IFERROR(IF([2]对账明细接口!$Q123=0,"",[2]对账明细接口!$Q123),"")</f>
        <v/>
      </c>
      <c r="W123" s="20" t="str">
        <f>IFERROR(IF([2]对账明细接口!$R123=0,"",[2]对账明细接口!$R123),"")</f>
        <v>豫A*2737K</v>
      </c>
      <c r="X123" s="20" t="str">
        <f>IFERROR(IF([2]对账明细接口!$S123=0,"",[2]对账明细接口!$S123),"")</f>
        <v>公司筐</v>
      </c>
      <c r="Y123" s="20" t="str">
        <f t="shared" si="8"/>
        <v/>
      </c>
      <c r="Z123" s="20" t="str">
        <f t="shared" si="9"/>
        <v/>
      </c>
      <c r="AA123" s="20" t="str">
        <f t="shared" si="10"/>
        <v/>
      </c>
      <c r="AB123" s="20" t="str">
        <f t="shared" si="11"/>
        <v/>
      </c>
    </row>
    <row r="124" customHeight="1" spans="1:28">
      <c r="A124" s="14">
        <v>124</v>
      </c>
      <c r="B124" s="15">
        <f>IFERROR(IF([2]对账明细接口!$B$124=0,"",[2]对账明细接口!$B$124),"")</f>
        <v>46280</v>
      </c>
      <c r="C124" s="16" t="str">
        <f>IFERROR(IF([2]对账明细接口!$C$124=0,"",[2]对账明细接口!$C$124),"")</f>
        <v>全修塑业</v>
      </c>
      <c r="D124" s="16" t="str">
        <f>IFERROR(IF([2]对账明细接口!$D$124=0,"",[2]对账明细接口!$D$124),"")</f>
        <v>周转筐－采购入库</v>
      </c>
      <c r="E124" s="16" t="str">
        <f>IFERROR(IF([2]对账明细接口!$E$124=0,"",[2]对账明细接口!$E$124),"")</f>
        <v>NO:0000866</v>
      </c>
      <c r="F124" s="16" t="str">
        <f>IFERROR(IF([2]对账明细接口!$F$124=0,"",[2]对账明细接口!$F$124),"")</f>
        <v>公司红周转筐</v>
      </c>
      <c r="G124" s="16" t="str">
        <f>IFERROR(IF([2]对账明细接口!$G$124=0,"",[2]对账明细接口!$G$124),"")</f>
        <v/>
      </c>
      <c r="H124" s="17">
        <f>IFERROR(IF([2]对账明细接口!$H$124=0,"",[2]对账明细接口!$H$124),"")</f>
        <v>960</v>
      </c>
      <c r="I124" s="16" t="str">
        <f>IFERROR(IF([2]对账明细接口!$I$124=0,"",[2]对账明细接口!$I$124),"")</f>
        <v>个</v>
      </c>
      <c r="J124" s="18" t="str">
        <f>IFERROR(IF([2]对账明细接口!$J$124=0,"",[2]对账明细接口!$J$124),"")</f>
        <v/>
      </c>
      <c r="K124" s="18">
        <f>IFERROR(IF([2]对账明细接口!$K$124=0,"",[2]对账明细接口!$K$124),"")</f>
        <v>9600</v>
      </c>
      <c r="L124" s="16" t="str">
        <f>IFERROR(IF([2]对账明细接口!$L$124=0,"",[2]对账明细接口!$L$124),"")</f>
        <v>未付款</v>
      </c>
      <c r="M124" s="16" t="str">
        <f>IFERROR(IF([2]对账明细接口!$M$124=0,"",[2]对账明细接口!$M$124),"")</f>
        <v>NO:0017223</v>
      </c>
      <c r="N124" s="19">
        <f t="shared" si="6"/>
        <v>1</v>
      </c>
      <c r="O124" s="19">
        <f t="shared" si="7"/>
        <v>121</v>
      </c>
      <c r="S124" s="20" t="str">
        <f>IFERROR(IF([2]对账明细接口!$N124=0,"",[2]对账明细接口!$N124),"")</f>
        <v>公司红周转筐</v>
      </c>
      <c r="T124" s="21" t="str">
        <f>IFERROR(IF([2]对账明细接口!$O124=0,"",[2]对账明细接口!$O124),"")</f>
        <v/>
      </c>
      <c r="U124" s="21" t="str">
        <f>IFERROR(IF([2]对账明细接口!$P124=0,"",[2]对账明细接口!$P124),"")</f>
        <v/>
      </c>
      <c r="V124" s="21">
        <f>IFERROR(IF([2]对账明细接口!$Q124=0,"",[2]对账明细接口!$Q124),"")</f>
        <v>960</v>
      </c>
      <c r="W124" s="20" t="str">
        <f>IFERROR(IF([2]对账明细接口!$R124=0,"",[2]对账明细接口!$R124),"")</f>
        <v>新N*49209</v>
      </c>
      <c r="X124" s="20" t="str">
        <f>IFERROR(IF([2]对账明细接口!$S124=0,"",[2]对账明细接口!$S124),"")</f>
        <v>公司筐</v>
      </c>
      <c r="Y124" s="20" t="str">
        <f t="shared" si="8"/>
        <v/>
      </c>
      <c r="Z124" s="20" t="str">
        <f t="shared" si="9"/>
        <v/>
      </c>
      <c r="AA124" s="20" t="str">
        <f t="shared" si="10"/>
        <v/>
      </c>
      <c r="AB124" s="20" t="str">
        <f t="shared" si="11"/>
        <v/>
      </c>
    </row>
    <row r="125" customHeight="1" spans="1:28">
      <c r="A125" s="14">
        <v>125</v>
      </c>
      <c r="B125" s="15">
        <f>IFERROR(IF([2]对账明细接口!$B$125=0,"",[2]对账明细接口!$B$125),"")</f>
        <v>46280</v>
      </c>
      <c r="C125" s="16" t="str">
        <f>IFERROR(IF([2]对账明细接口!$C$125=0,"",[2]对账明细接口!$C$125),"")</f>
        <v>王灵云</v>
      </c>
      <c r="D125" s="16" t="str">
        <f>IFERROR(IF([2]对账明细接口!$D$125=0,"",[2]对账明细接口!$D$125),"")</f>
        <v>周转筐－领用出库</v>
      </c>
      <c r="E125" s="16" t="str">
        <f>IFERROR(IF([2]对账明细接口!$E$125=0,"",[2]对账明细接口!$E$125),"")</f>
        <v>NO:0001146</v>
      </c>
      <c r="F125" s="16" t="str">
        <f>IFERROR(IF([2]对账明细接口!$F$125=0,"",[2]对账明细接口!$F$125),"")</f>
        <v>公司红周转筐</v>
      </c>
      <c r="G125" s="16" t="str">
        <f>IFERROR(IF([2]对账明细接口!$G$125=0,"",[2]对账明细接口!$G$125),"")</f>
        <v/>
      </c>
      <c r="H125" s="17">
        <f>IFERROR(IF([2]对账明细接口!$H$125=0,"",[2]对账明细接口!$H$125),"")</f>
        <v>960</v>
      </c>
      <c r="I125" s="16" t="str">
        <f>IFERROR(IF([2]对账明细接口!$I$125=0,"",[2]对账明细接口!$I$125),"")</f>
        <v>个</v>
      </c>
      <c r="J125" s="18" t="str">
        <f>IFERROR(IF([2]对账明细接口!$J$125=0,"",[2]对账明细接口!$J$125),"")</f>
        <v/>
      </c>
      <c r="K125" s="18" t="str">
        <f>IFERROR(IF([2]对账明细接口!$K$125=0,"",[2]对账明细接口!$K$125),"")</f>
        <v/>
      </c>
      <c r="L125" s="16" t="str">
        <f>IFERROR(IF([2]对账明细接口!$L$125=0,"",[2]对账明细接口!$L$125),"")</f>
        <v/>
      </c>
      <c r="M125" s="16" t="str">
        <f>IFERROR(IF([2]对账明细接口!$M$125=0,"",[2]对账明细接口!$M$125),"")</f>
        <v/>
      </c>
      <c r="N125" s="19">
        <f t="shared" si="6"/>
        <v>1</v>
      </c>
      <c r="O125" s="19">
        <f t="shared" si="7"/>
        <v>122</v>
      </c>
      <c r="S125" s="20" t="str">
        <f>IFERROR(IF([2]对账明细接口!$N125=0,"",[2]对账明细接口!$N125),"")</f>
        <v>公司红周转筐</v>
      </c>
      <c r="T125" s="21">
        <f>IFERROR(IF([2]对账明细接口!$O125=0,"",[2]对账明细接口!$O125),"")</f>
        <v>960</v>
      </c>
      <c r="U125" s="21" t="str">
        <f>IFERROR(IF([2]对账明细接口!$P125=0,"",[2]对账明细接口!$P125),"")</f>
        <v/>
      </c>
      <c r="V125" s="21" t="str">
        <f>IFERROR(IF([2]对账明细接口!$Q125=0,"",[2]对账明细接口!$Q125),"")</f>
        <v/>
      </c>
      <c r="W125" s="20" t="str">
        <f>IFERROR(IF([2]对账明细接口!$R125=0,"",[2]对账明细接口!$R125),"")</f>
        <v>新N*49209</v>
      </c>
      <c r="X125" s="20" t="str">
        <f>IFERROR(IF([2]对账明细接口!$S125=0,"",[2]对账明细接口!$S125),"")</f>
        <v>公司筐</v>
      </c>
      <c r="Y125" s="20" t="str">
        <f t="shared" si="8"/>
        <v/>
      </c>
      <c r="Z125" s="20" t="str">
        <f t="shared" si="9"/>
        <v/>
      </c>
      <c r="AA125" s="20" t="str">
        <f t="shared" si="10"/>
        <v/>
      </c>
      <c r="AB125" s="20" t="str">
        <f t="shared" si="11"/>
        <v/>
      </c>
    </row>
    <row r="126" customHeight="1" spans="1:28">
      <c r="A126" s="14">
        <v>126</v>
      </c>
      <c r="B126" s="15">
        <f>IFERROR(IF([2]对账明细接口!$B$126=0,"",[2]对账明细接口!$B$126),"")</f>
        <v>46280</v>
      </c>
      <c r="C126" s="16" t="str">
        <f>IFERROR(IF([2]对账明细接口!$C$126=0,"",[2]对账明细接口!$C$126),"")</f>
        <v>全修塑业</v>
      </c>
      <c r="D126" s="16" t="str">
        <f>IFERROR(IF([2]对账明细接口!$D$126=0,"",[2]对账明细接口!$D$126),"")</f>
        <v>周转筐－采购入库</v>
      </c>
      <c r="E126" s="16" t="str">
        <f>IFERROR(IF([2]对账明细接口!$E$126=0,"",[2]对账明细接口!$E$126),"")</f>
        <v>NO:0000875</v>
      </c>
      <c r="F126" s="16" t="str">
        <f>IFERROR(IF([2]对账明细接口!$F$126=0,"",[2]对账明细接口!$F$126),"")</f>
        <v>公司红周转筐</v>
      </c>
      <c r="G126" s="16" t="str">
        <f>IFERROR(IF([2]对账明细接口!$G$126=0,"",[2]对账明细接口!$G$126),"")</f>
        <v/>
      </c>
      <c r="H126" s="17">
        <f>IFERROR(IF([2]对账明细接口!$H$126=0,"",[2]对账明细接口!$H$126),"")</f>
        <v>846</v>
      </c>
      <c r="I126" s="16" t="str">
        <f>IFERROR(IF([2]对账明细接口!$I$126=0,"",[2]对账明细接口!$I$126),"")</f>
        <v>个</v>
      </c>
      <c r="J126" s="18" t="str">
        <f>IFERROR(IF([2]对账明细接口!$J$126=0,"",[2]对账明细接口!$J$126),"")</f>
        <v/>
      </c>
      <c r="K126" s="18">
        <f>IFERROR(IF([2]对账明细接口!$K$126=0,"",[2]对账明细接口!$K$126),"")</f>
        <v>8460</v>
      </c>
      <c r="L126" s="16" t="str">
        <f>IFERROR(IF([2]对账明细接口!$L$126=0,"",[2]对账明细接口!$L$126),"")</f>
        <v>未付款</v>
      </c>
      <c r="M126" s="16" t="str">
        <f>IFERROR(IF([2]对账明细接口!$M$126=0,"",[2]对账明细接口!$M$126),"")</f>
        <v>NO:0017225</v>
      </c>
      <c r="N126" s="19">
        <f t="shared" si="6"/>
        <v>1</v>
      </c>
      <c r="O126" s="19">
        <f t="shared" si="7"/>
        <v>123</v>
      </c>
      <c r="S126" s="20" t="str">
        <f>IFERROR(IF([2]对账明细接口!$N126=0,"",[2]对账明细接口!$N126),"")</f>
        <v>公司红周转筐</v>
      </c>
      <c r="T126" s="21" t="str">
        <f>IFERROR(IF([2]对账明细接口!$O126=0,"",[2]对账明细接口!$O126),"")</f>
        <v/>
      </c>
      <c r="U126" s="21" t="str">
        <f>IFERROR(IF([2]对账明细接口!$P126=0,"",[2]对账明细接口!$P126),"")</f>
        <v/>
      </c>
      <c r="V126" s="21">
        <f>IFERROR(IF([2]对账明细接口!$Q126=0,"",[2]对账明细接口!$Q126),"")</f>
        <v>846</v>
      </c>
      <c r="W126" s="20" t="str">
        <f>IFERROR(IF([2]对账明细接口!$R126=0,"",[2]对账明细接口!$R126),"")</f>
        <v>新A*G0554</v>
      </c>
      <c r="X126" s="20" t="str">
        <f>IFERROR(IF([2]对账明细接口!$S126=0,"",[2]对账明细接口!$S126),"")</f>
        <v>公司筐</v>
      </c>
      <c r="Y126" s="20" t="str">
        <f t="shared" si="8"/>
        <v/>
      </c>
      <c r="Z126" s="20" t="str">
        <f t="shared" si="9"/>
        <v/>
      </c>
      <c r="AA126" s="20" t="str">
        <f t="shared" si="10"/>
        <v/>
      </c>
      <c r="AB126" s="20" t="str">
        <f t="shared" si="11"/>
        <v/>
      </c>
    </row>
    <row r="127" customHeight="1" spans="1:28">
      <c r="A127" s="14">
        <v>127</v>
      </c>
      <c r="B127" s="15">
        <f>IFERROR(IF([2]对账明细接口!$B$127=0,"",[2]对账明细接口!$B$127),"")</f>
        <v>46280</v>
      </c>
      <c r="C127" s="16" t="str">
        <f>IFERROR(IF([2]对账明细接口!$C$127=0,"",[2]对账明细接口!$C$127),"")</f>
        <v>热合曼</v>
      </c>
      <c r="D127" s="16" t="str">
        <f>IFERROR(IF([2]对账明细接口!$D$127=0,"",[2]对账明细接口!$D$127),"")</f>
        <v>周转筐－领用出库</v>
      </c>
      <c r="E127" s="16" t="str">
        <f>IFERROR(IF([2]对账明细接口!$E$127=0,"",[2]对账明细接口!$E$127),"")</f>
        <v>NO:0001149</v>
      </c>
      <c r="F127" s="16" t="str">
        <f>IFERROR(IF([2]对账明细接口!$F$127=0,"",[2]对账明细接口!$F$127),"")</f>
        <v>公司红周转筐</v>
      </c>
      <c r="G127" s="16" t="str">
        <f>IFERROR(IF([2]对账明细接口!$G$127=0,"",[2]对账明细接口!$G$127),"")</f>
        <v/>
      </c>
      <c r="H127" s="17">
        <f>IFERROR(IF([2]对账明细接口!$H$127=0,"",[2]对账明细接口!$H$127),"")</f>
        <v>846</v>
      </c>
      <c r="I127" s="16" t="str">
        <f>IFERROR(IF([2]对账明细接口!$I$127=0,"",[2]对账明细接口!$I$127),"")</f>
        <v>个</v>
      </c>
      <c r="J127" s="18" t="str">
        <f>IFERROR(IF([2]对账明细接口!$J$127=0,"",[2]对账明细接口!$J$127),"")</f>
        <v/>
      </c>
      <c r="K127" s="18" t="str">
        <f>IFERROR(IF([2]对账明细接口!$K$127=0,"",[2]对账明细接口!$K$127),"")</f>
        <v/>
      </c>
      <c r="L127" s="16" t="str">
        <f>IFERROR(IF([2]对账明细接口!$L$127=0,"",[2]对账明细接口!$L$127),"")</f>
        <v/>
      </c>
      <c r="M127" s="16" t="str">
        <f>IFERROR(IF([2]对账明细接口!$M$127=0,"",[2]对账明细接口!$M$127),"")</f>
        <v/>
      </c>
      <c r="N127" s="19">
        <f t="shared" si="6"/>
        <v>1</v>
      </c>
      <c r="O127" s="19">
        <f t="shared" si="7"/>
        <v>124</v>
      </c>
      <c r="S127" s="20" t="str">
        <f>IFERROR(IF([2]对账明细接口!$N127=0,"",[2]对账明细接口!$N127),"")</f>
        <v>公司红周转筐</v>
      </c>
      <c r="T127" s="21">
        <f>IFERROR(IF([2]对账明细接口!$O127=0,"",[2]对账明细接口!$O127),"")</f>
        <v>846</v>
      </c>
      <c r="U127" s="21" t="str">
        <f>IFERROR(IF([2]对账明细接口!$P127=0,"",[2]对账明细接口!$P127),"")</f>
        <v/>
      </c>
      <c r="V127" s="21" t="str">
        <f>IFERROR(IF([2]对账明细接口!$Q127=0,"",[2]对账明细接口!$Q127),"")</f>
        <v/>
      </c>
      <c r="W127" s="20" t="str">
        <f>IFERROR(IF([2]对账明细接口!$R127=0,"",[2]对账明细接口!$R127),"")</f>
        <v>新A*G0554</v>
      </c>
      <c r="X127" s="20" t="str">
        <f>IFERROR(IF([2]对账明细接口!$S127=0,"",[2]对账明细接口!$S127),"")</f>
        <v>公司筐</v>
      </c>
      <c r="Y127" s="20" t="str">
        <f t="shared" si="8"/>
        <v/>
      </c>
      <c r="Z127" s="20" t="str">
        <f t="shared" si="9"/>
        <v/>
      </c>
      <c r="AA127" s="20" t="str">
        <f t="shared" si="10"/>
        <v/>
      </c>
      <c r="AB127" s="20" t="str">
        <f t="shared" si="11"/>
        <v/>
      </c>
    </row>
    <row r="128" customHeight="1" spans="1:28">
      <c r="A128" s="14">
        <v>128</v>
      </c>
      <c r="B128" s="15">
        <f>IFERROR(IF([2]对账明细接口!$B$128=0,"",[2]对账明细接口!$B$128),"")</f>
        <v>46280</v>
      </c>
      <c r="C128" s="16" t="str">
        <f>IFERROR(IF([2]对账明细接口!$C$128=0,"",[2]对账明细接口!$C$128),"")</f>
        <v>全修塑业</v>
      </c>
      <c r="D128" s="16" t="str">
        <f>IFERROR(IF([2]对账明细接口!$D$128=0,"",[2]对账明细接口!$D$128),"")</f>
        <v>周转筐－采购入库</v>
      </c>
      <c r="E128" s="16" t="str">
        <f>IFERROR(IF([2]对账明细接口!$E$128=0,"",[2]对账明细接口!$E$128),"")</f>
        <v>NO:0000877</v>
      </c>
      <c r="F128" s="16" t="str">
        <f>IFERROR(IF([2]对账明细接口!$F$128=0,"",[2]对账明细接口!$F$128),"")</f>
        <v>公司红周转筐</v>
      </c>
      <c r="G128" s="16" t="str">
        <f>IFERROR(IF([2]对账明细接口!$G$128=0,"",[2]对账明细接口!$G$128),"")</f>
        <v/>
      </c>
      <c r="H128" s="17">
        <f>IFERROR(IF([2]对账明细接口!$H$128=0,"",[2]对账明细接口!$H$128),"")</f>
        <v>960</v>
      </c>
      <c r="I128" s="16" t="str">
        <f>IFERROR(IF([2]对账明细接口!$I$128=0,"",[2]对账明细接口!$I$128),"")</f>
        <v>个</v>
      </c>
      <c r="J128" s="18" t="str">
        <f>IFERROR(IF([2]对账明细接口!$J$128=0,"",[2]对账明细接口!$J$128),"")</f>
        <v/>
      </c>
      <c r="K128" s="18">
        <f>IFERROR(IF([2]对账明细接口!$K$128=0,"",[2]对账明细接口!$K$128),"")</f>
        <v>9600</v>
      </c>
      <c r="L128" s="16" t="str">
        <f>IFERROR(IF([2]对账明细接口!$L$128=0,"",[2]对账明细接口!$L$128),"")</f>
        <v>未付款</v>
      </c>
      <c r="M128" s="16" t="str">
        <f>IFERROR(IF([2]对账明细接口!$M$128=0,"",[2]对账明细接口!$M$128),"")</f>
        <v>NO:0017224</v>
      </c>
      <c r="N128" s="19">
        <f t="shared" si="6"/>
        <v>1</v>
      </c>
      <c r="O128" s="19">
        <f t="shared" si="7"/>
        <v>125</v>
      </c>
      <c r="S128" s="20" t="str">
        <f>IFERROR(IF([2]对账明细接口!$N128=0,"",[2]对账明细接口!$N128),"")</f>
        <v>公司红周转筐</v>
      </c>
      <c r="T128" s="21" t="str">
        <f>IFERROR(IF([2]对账明细接口!$O128=0,"",[2]对账明细接口!$O128),"")</f>
        <v/>
      </c>
      <c r="U128" s="21" t="str">
        <f>IFERROR(IF([2]对账明细接口!$P128=0,"",[2]对账明细接口!$P128),"")</f>
        <v/>
      </c>
      <c r="V128" s="21">
        <f>IFERROR(IF([2]对账明细接口!$Q128=0,"",[2]对账明细接口!$Q128),"")</f>
        <v>960</v>
      </c>
      <c r="W128" s="20" t="str">
        <f>IFERROR(IF([2]对账明细接口!$R128=0,"",[2]对账明细接口!$R128),"")</f>
        <v>新F*75240</v>
      </c>
      <c r="X128" s="20" t="str">
        <f>IFERROR(IF([2]对账明细接口!$S128=0,"",[2]对账明细接口!$S128),"")</f>
        <v>公司筐</v>
      </c>
      <c r="Y128" s="20" t="str">
        <f t="shared" si="8"/>
        <v/>
      </c>
      <c r="Z128" s="20" t="str">
        <f t="shared" si="9"/>
        <v/>
      </c>
      <c r="AA128" s="20" t="str">
        <f t="shared" si="10"/>
        <v/>
      </c>
      <c r="AB128" s="20" t="str">
        <f t="shared" si="11"/>
        <v/>
      </c>
    </row>
    <row r="129" customHeight="1" spans="1:28">
      <c r="A129" s="14">
        <v>129</v>
      </c>
      <c r="B129" s="15">
        <f>IFERROR(IF([2]对账明细接口!$B$129=0,"",[2]对账明细接口!$B$129),"")</f>
        <v>46280</v>
      </c>
      <c r="C129" s="16" t="str">
        <f>IFERROR(IF([2]对账明细接口!$C$129=0,"",[2]对账明细接口!$C$129),"")</f>
        <v>努尔敦</v>
      </c>
      <c r="D129" s="16" t="str">
        <f>IFERROR(IF([2]对账明细接口!$D$129=0,"",[2]对账明细接口!$D$129),"")</f>
        <v>周转筐－领用出库</v>
      </c>
      <c r="E129" s="16" t="str">
        <f>IFERROR(IF([2]对账明细接口!$E$129=0,"",[2]对账明细接口!$E$129),"")</f>
        <v>NO:0001148</v>
      </c>
      <c r="F129" s="16" t="str">
        <f>IFERROR(IF([2]对账明细接口!$F$129=0,"",[2]对账明细接口!$F$129),"")</f>
        <v>公司红周转筐</v>
      </c>
      <c r="G129" s="16" t="str">
        <f>IFERROR(IF([2]对账明细接口!$G$129=0,"",[2]对账明细接口!$G$129),"")</f>
        <v/>
      </c>
      <c r="H129" s="17">
        <f>IFERROR(IF([2]对账明细接口!$H$129=0,"",[2]对账明细接口!$H$129),"")</f>
        <v>960</v>
      </c>
      <c r="I129" s="16" t="str">
        <f>IFERROR(IF([2]对账明细接口!$I$129=0,"",[2]对账明细接口!$I$129),"")</f>
        <v>个</v>
      </c>
      <c r="J129" s="18" t="str">
        <f>IFERROR(IF([2]对账明细接口!$J$129=0,"",[2]对账明细接口!$J$129),"")</f>
        <v/>
      </c>
      <c r="K129" s="18" t="str">
        <f>IFERROR(IF([2]对账明细接口!$K$129=0,"",[2]对账明细接口!$K$129),"")</f>
        <v/>
      </c>
      <c r="L129" s="16" t="str">
        <f>IFERROR(IF([2]对账明细接口!$L$129=0,"",[2]对账明细接口!$L$129),"")</f>
        <v/>
      </c>
      <c r="M129" s="16" t="str">
        <f>IFERROR(IF([2]对账明细接口!$M$129=0,"",[2]对账明细接口!$M$129),"")</f>
        <v/>
      </c>
      <c r="N129" s="19">
        <f t="shared" si="6"/>
        <v>1</v>
      </c>
      <c r="O129" s="19">
        <f t="shared" si="7"/>
        <v>126</v>
      </c>
      <c r="S129" s="20" t="str">
        <f>IFERROR(IF([2]对账明细接口!$N129=0,"",[2]对账明细接口!$N129),"")</f>
        <v>公司红周转筐</v>
      </c>
      <c r="T129" s="21">
        <f>IFERROR(IF([2]对账明细接口!$O129=0,"",[2]对账明细接口!$O129),"")</f>
        <v>960</v>
      </c>
      <c r="U129" s="21" t="str">
        <f>IFERROR(IF([2]对账明细接口!$P129=0,"",[2]对账明细接口!$P129),"")</f>
        <v/>
      </c>
      <c r="V129" s="21" t="str">
        <f>IFERROR(IF([2]对账明细接口!$Q129=0,"",[2]对账明细接口!$Q129),"")</f>
        <v/>
      </c>
      <c r="W129" s="20" t="str">
        <f>IFERROR(IF([2]对账明细接口!$R129=0,"",[2]对账明细接口!$R129),"")</f>
        <v>新F*75240</v>
      </c>
      <c r="X129" s="20" t="str">
        <f>IFERROR(IF([2]对账明细接口!$S129=0,"",[2]对账明细接口!$S129),"")</f>
        <v>公司筐</v>
      </c>
      <c r="Y129" s="20" t="str">
        <f t="shared" si="8"/>
        <v/>
      </c>
      <c r="Z129" s="20" t="str">
        <f t="shared" si="9"/>
        <v/>
      </c>
      <c r="AA129" s="20" t="str">
        <f t="shared" si="10"/>
        <v/>
      </c>
      <c r="AB129" s="20" t="str">
        <f t="shared" si="11"/>
        <v/>
      </c>
    </row>
    <row r="130" customHeight="1" spans="1:28">
      <c r="A130" s="14">
        <v>130</v>
      </c>
      <c r="B130" s="15">
        <f>IFERROR(IF([2]对账明细接口!$B$130=0,"",[2]对账明细接口!$B$130),"")</f>
        <v>46280</v>
      </c>
      <c r="C130" s="16" t="str">
        <f>IFERROR(IF([2]对账明细接口!$C$130=0,"",[2]对账明细接口!$C$130),"")</f>
        <v>李现东</v>
      </c>
      <c r="D130" s="16" t="str">
        <f>IFERROR(IF([2]对账明细接口!$D$130=0,"",[2]对账明细接口!$D$130),"")</f>
        <v>周转筐－退回入库</v>
      </c>
      <c r="E130" s="16" t="str">
        <f>IFERROR(IF([2]对账明细接口!$E$130=0,"",[2]对账明细接口!$E$130),"")</f>
        <v>NO:0000876</v>
      </c>
      <c r="F130" s="16" t="str">
        <f>IFERROR(IF([2]对账明细接口!$F$130=0,"",[2]对账明细接口!$F$130),"")</f>
        <v>公司杂周转筐</v>
      </c>
      <c r="G130" s="16" t="str">
        <f>IFERROR(IF([2]对账明细接口!$G$130=0,"",[2]对账明细接口!$G$130),"")</f>
        <v/>
      </c>
      <c r="H130" s="17">
        <f>IFERROR(IF([2]对账明细接口!$H$130=0,"",[2]对账明细接口!$H$130),"")</f>
        <v>18</v>
      </c>
      <c r="I130" s="16" t="str">
        <f>IFERROR(IF([2]对账明细接口!$I$130=0,"",[2]对账明细接口!$I$130),"")</f>
        <v>个</v>
      </c>
      <c r="J130" s="18" t="str">
        <f>IFERROR(IF([2]对账明细接口!$J$130=0,"",[2]对账明细接口!$J$130),"")</f>
        <v/>
      </c>
      <c r="K130" s="18" t="str">
        <f>IFERROR(IF([2]对账明细接口!$K$130=0,"",[2]对账明细接口!$K$130),"")</f>
        <v/>
      </c>
      <c r="L130" s="16" t="str">
        <f>IFERROR(IF([2]对账明细接口!$L$130=0,"",[2]对账明细接口!$L$130),"")</f>
        <v/>
      </c>
      <c r="M130" s="16" t="str">
        <f>IFERROR(IF([2]对账明细接口!$M$130=0,"",[2]对账明细接口!$M$130),"")</f>
        <v>烂筐退回</v>
      </c>
      <c r="N130" s="19">
        <f t="shared" si="6"/>
        <v>1</v>
      </c>
      <c r="O130" s="19">
        <f t="shared" si="7"/>
        <v>127</v>
      </c>
      <c r="S130" s="20" t="str">
        <f>IFERROR(IF([2]对账明细接口!$N130=0,"",[2]对账明细接口!$N130),"")</f>
        <v>公司杂周转筐</v>
      </c>
      <c r="T130" s="21" t="str">
        <f>IFERROR(IF([2]对账明细接口!$O130=0,"",[2]对账明细接口!$O130),"")</f>
        <v/>
      </c>
      <c r="U130" s="21">
        <f>IFERROR(IF([2]对账明细接口!$P130=0,"",[2]对账明细接口!$P130),"")</f>
        <v>18</v>
      </c>
      <c r="V130" s="21" t="str">
        <f>IFERROR(IF([2]对账明细接口!$Q130=0,"",[2]对账明细接口!$Q130),"")</f>
        <v/>
      </c>
      <c r="W130" s="20" t="str">
        <f>IFERROR(IF([2]对账明细接口!$R130=0,"",[2]对账明细接口!$R130),"")</f>
        <v>新N*53045</v>
      </c>
      <c r="X130" s="20" t="str">
        <f>IFERROR(IF([2]对账明细接口!$S130=0,"",[2]对账明细接口!$S130),"")</f>
        <v>公司筐</v>
      </c>
      <c r="Y130" s="20" t="str">
        <f t="shared" si="8"/>
        <v/>
      </c>
      <c r="Z130" s="20" t="str">
        <f t="shared" si="9"/>
        <v/>
      </c>
      <c r="AA130" s="20" t="str">
        <f t="shared" si="10"/>
        <v/>
      </c>
      <c r="AB130" s="20" t="str">
        <f t="shared" si="11"/>
        <v/>
      </c>
    </row>
    <row r="131" customHeight="1" spans="1:28">
      <c r="A131" s="14">
        <v>131</v>
      </c>
      <c r="B131" s="15">
        <f>IFERROR(IF([2]对账明细接口!$B$131=0,"",[2]对账明细接口!$B$131),"")</f>
        <v>46281</v>
      </c>
      <c r="C131" s="16" t="str">
        <f>IFERROR(IF([2]对账明细接口!$C$131=0,"",[2]对账明细接口!$C$131),"")</f>
        <v>全修塑业</v>
      </c>
      <c r="D131" s="16" t="str">
        <f>IFERROR(IF([2]对账明细接口!$D$131=0,"",[2]对账明细接口!$D$131),"")</f>
        <v>周转筐－采购入库</v>
      </c>
      <c r="E131" s="16" t="str">
        <f>IFERROR(IF([2]对账明细接口!$E$131=0,"",[2]对账明细接口!$E$131),"")</f>
        <v>NO:0000879</v>
      </c>
      <c r="F131" s="16" t="str">
        <f>IFERROR(IF([2]对账明细接口!$F$131=0,"",[2]对账明细接口!$F$131),"")</f>
        <v>公司红周转筐</v>
      </c>
      <c r="G131" s="16" t="str">
        <f>IFERROR(IF([2]对账明细接口!$G$131=0,"",[2]对账明细接口!$G$131),"")</f>
        <v/>
      </c>
      <c r="H131" s="17">
        <f>IFERROR(IF([2]对账明细接口!$H$131=0,"",[2]对账明细接口!$H$131),"")</f>
        <v>315</v>
      </c>
      <c r="I131" s="16" t="str">
        <f>IFERROR(IF([2]对账明细接口!$I$131=0,"",[2]对账明细接口!$I$131),"")</f>
        <v>个</v>
      </c>
      <c r="J131" s="18" t="str">
        <f>IFERROR(IF([2]对账明细接口!$J$131=0,"",[2]对账明细接口!$J$131),"")</f>
        <v/>
      </c>
      <c r="K131" s="18">
        <f>IFERROR(IF([2]对账明细接口!$K$131=0,"",[2]对账明细接口!$K$131),"")</f>
        <v>3150</v>
      </c>
      <c r="L131" s="16" t="str">
        <f>IFERROR(IF([2]对账明细接口!$L$131=0,"",[2]对账明细接口!$L$131),"")</f>
        <v>未付款</v>
      </c>
      <c r="M131" s="16" t="str">
        <f>IFERROR(IF([2]对账明细接口!$M$131=0,"",[2]对账明细接口!$M$131),"")</f>
        <v>NO:0017226</v>
      </c>
      <c r="N131" s="19">
        <f t="shared" si="6"/>
        <v>1</v>
      </c>
      <c r="O131" s="19">
        <f t="shared" si="7"/>
        <v>128</v>
      </c>
      <c r="S131" s="20" t="str">
        <f>IFERROR(IF([2]对账明细接口!$N131=0,"",[2]对账明细接口!$N131),"")</f>
        <v>公司红周转筐</v>
      </c>
      <c r="T131" s="21" t="str">
        <f>IFERROR(IF([2]对账明细接口!$O131=0,"",[2]对账明细接口!$O131),"")</f>
        <v/>
      </c>
      <c r="U131" s="21" t="str">
        <f>IFERROR(IF([2]对账明细接口!$P131=0,"",[2]对账明细接口!$P131),"")</f>
        <v/>
      </c>
      <c r="V131" s="21">
        <f>IFERROR(IF([2]对账明细接口!$Q131=0,"",[2]对账明细接口!$Q131),"")</f>
        <v>315</v>
      </c>
      <c r="W131" s="20" t="str">
        <f>IFERROR(IF([2]对账明细接口!$R131=0,"",[2]对账明细接口!$R131),"")</f>
        <v>新N*X8S48</v>
      </c>
      <c r="X131" s="20" t="str">
        <f>IFERROR(IF([2]对账明细接口!$S131=0,"",[2]对账明细接口!$S131),"")</f>
        <v>公司筐</v>
      </c>
      <c r="Y131" s="20" t="str">
        <f t="shared" si="8"/>
        <v/>
      </c>
      <c r="Z131" s="20" t="str">
        <f t="shared" si="9"/>
        <v/>
      </c>
      <c r="AA131" s="20" t="str">
        <f t="shared" si="10"/>
        <v/>
      </c>
      <c r="AB131" s="20" t="str">
        <f t="shared" si="11"/>
        <v/>
      </c>
    </row>
    <row r="132" customHeight="1" spans="1:28">
      <c r="A132" s="14">
        <v>132</v>
      </c>
      <c r="B132" s="15">
        <f>IFERROR(IF([2]对账明细接口!$B$132=0,"",[2]对账明细接口!$B$132),"")</f>
        <v>46281</v>
      </c>
      <c r="C132" s="16" t="str">
        <f>IFERROR(IF([2]对账明细接口!$C$132=0,"",[2]对账明细接口!$C$132),"")</f>
        <v>吐尔洪</v>
      </c>
      <c r="D132" s="16" t="str">
        <f>IFERROR(IF([2]对账明细接口!$D$132=0,"",[2]对账明细接口!$D$132),"")</f>
        <v>周转筐－领用出库</v>
      </c>
      <c r="E132" s="16" t="str">
        <f>IFERROR(IF([2]对账明细接口!$E$132=0,"",[2]对账明细接口!$E$132),"")</f>
        <v>NO:0001153</v>
      </c>
      <c r="F132" s="16" t="str">
        <f>IFERROR(IF([2]对账明细接口!$F$132=0,"",[2]对账明细接口!$F$132),"")</f>
        <v>公司红周转筐</v>
      </c>
      <c r="G132" s="16" t="str">
        <f>IFERROR(IF([2]对账明细接口!$G$132=0,"",[2]对账明细接口!$G$132),"")</f>
        <v/>
      </c>
      <c r="H132" s="17">
        <f>IFERROR(IF([2]对账明细接口!$H$132=0,"",[2]对账明细接口!$H$132),"")</f>
        <v>315</v>
      </c>
      <c r="I132" s="16" t="str">
        <f>IFERROR(IF([2]对账明细接口!$I$132=0,"",[2]对账明细接口!$I$132),"")</f>
        <v>个</v>
      </c>
      <c r="J132" s="18" t="str">
        <f>IFERROR(IF([2]对账明细接口!$J$132=0,"",[2]对账明细接口!$J$132),"")</f>
        <v/>
      </c>
      <c r="K132" s="18" t="str">
        <f>IFERROR(IF([2]对账明细接口!$K$132=0,"",[2]对账明细接口!$K$132),"")</f>
        <v/>
      </c>
      <c r="L132" s="16" t="str">
        <f>IFERROR(IF([2]对账明细接口!$L$132=0,"",[2]对账明细接口!$L$132),"")</f>
        <v/>
      </c>
      <c r="M132" s="16" t="str">
        <f>IFERROR(IF([2]对账明细接口!$M$132=0,"",[2]对账明细接口!$M$132),"")</f>
        <v/>
      </c>
      <c r="N132" s="19">
        <f t="shared" ref="N132:N195" si="12">IF($C132="",0,1)</f>
        <v>1</v>
      </c>
      <c r="O132" s="19">
        <f t="shared" ref="O132:O195" si="13">N(O131)+$N132</f>
        <v>129</v>
      </c>
      <c r="S132" s="20" t="str">
        <f>IFERROR(IF([2]对账明细接口!$N132=0,"",[2]对账明细接口!$N132),"")</f>
        <v>公司红周转筐</v>
      </c>
      <c r="T132" s="21">
        <f>IFERROR(IF([2]对账明细接口!$O132=0,"",[2]对账明细接口!$O132),"")</f>
        <v>315</v>
      </c>
      <c r="U132" s="21" t="str">
        <f>IFERROR(IF([2]对账明细接口!$P132=0,"",[2]对账明细接口!$P132),"")</f>
        <v/>
      </c>
      <c r="V132" s="21" t="str">
        <f>IFERROR(IF([2]对账明细接口!$Q132=0,"",[2]对账明细接口!$Q132),"")</f>
        <v/>
      </c>
      <c r="W132" s="20" t="str">
        <f>IFERROR(IF([2]对账明细接口!$R132=0,"",[2]对账明细接口!$R132),"")</f>
        <v>新N*X8S48</v>
      </c>
      <c r="X132" s="20" t="str">
        <f>IFERROR(IF([2]对账明细接口!$S132=0,"",[2]对账明细接口!$S132),"")</f>
        <v>公司筐</v>
      </c>
      <c r="Y132" s="20" t="str">
        <f t="shared" ref="Y132:Y195" si="14">""</f>
        <v/>
      </c>
      <c r="Z132" s="20" t="str">
        <f t="shared" ref="Z132:Z195" si="15">""</f>
        <v/>
      </c>
      <c r="AA132" s="20" t="str">
        <f t="shared" ref="AA132:AA195" si="16">""</f>
        <v/>
      </c>
      <c r="AB132" s="20" t="str">
        <f t="shared" ref="AB132:AB195" si="17">""</f>
        <v/>
      </c>
    </row>
    <row r="133" customHeight="1" spans="1:28">
      <c r="A133" s="14">
        <v>133</v>
      </c>
      <c r="B133" s="15">
        <f>IFERROR(IF([2]对账明细接口!$B$133=0,"",[2]对账明细接口!$B$133),"")</f>
        <v>46281</v>
      </c>
      <c r="C133" s="16" t="str">
        <f>IFERROR(IF([2]对账明细接口!$C$133=0,"",[2]对账明细接口!$C$133),"")</f>
        <v>全修塑业</v>
      </c>
      <c r="D133" s="16" t="str">
        <f>IFERROR(IF([2]对账明细接口!$D$133=0,"",[2]对账明细接口!$D$133),"")</f>
        <v>周转筐－采购入库</v>
      </c>
      <c r="E133" s="16" t="str">
        <f>IFERROR(IF([2]对账明细接口!$E$133=0,"",[2]对账明细接口!$E$133),"")</f>
        <v>NO:0000884</v>
      </c>
      <c r="F133" s="16" t="str">
        <f>IFERROR(IF([2]对账明细接口!$F$133=0,"",[2]对账明细接口!$F$133),"")</f>
        <v>公司红周转筐</v>
      </c>
      <c r="G133" s="16" t="str">
        <f>IFERROR(IF([2]对账明细接口!$G$133=0,"",[2]对账明细接口!$G$133),"")</f>
        <v/>
      </c>
      <c r="H133" s="17">
        <f>IFERROR(IF([2]对账明细接口!$H$133=0,"",[2]对账明细接口!$H$133),"")</f>
        <v>936</v>
      </c>
      <c r="I133" s="16" t="str">
        <f>IFERROR(IF([2]对账明细接口!$I$133=0,"",[2]对账明细接口!$I$133),"")</f>
        <v>个</v>
      </c>
      <c r="J133" s="18" t="str">
        <f>IFERROR(IF([2]对账明细接口!$J$133=0,"",[2]对账明细接口!$J$133),"")</f>
        <v/>
      </c>
      <c r="K133" s="18">
        <f>IFERROR(IF([2]对账明细接口!$K$133=0,"",[2]对账明细接口!$K$133),"")</f>
        <v>9360</v>
      </c>
      <c r="L133" s="16" t="str">
        <f>IFERROR(IF([2]对账明细接口!$L$133=0,"",[2]对账明细接口!$L$133),"")</f>
        <v>未付款</v>
      </c>
      <c r="M133" s="16" t="str">
        <f>IFERROR(IF([2]对账明细接口!$M$133=0,"",[2]对账明细接口!$M$133),"")</f>
        <v>NO:0017227</v>
      </c>
      <c r="N133" s="19">
        <f t="shared" si="12"/>
        <v>1</v>
      </c>
      <c r="O133" s="19">
        <f t="shared" si="13"/>
        <v>130</v>
      </c>
      <c r="S133" s="20" t="str">
        <f>IFERROR(IF([2]对账明细接口!$N133=0,"",[2]对账明细接口!$N133),"")</f>
        <v>公司红周转筐</v>
      </c>
      <c r="T133" s="21" t="str">
        <f>IFERROR(IF([2]对账明细接口!$O133=0,"",[2]对账明细接口!$O133),"")</f>
        <v/>
      </c>
      <c r="U133" s="21" t="str">
        <f>IFERROR(IF([2]对账明细接口!$P133=0,"",[2]对账明细接口!$P133),"")</f>
        <v/>
      </c>
      <c r="V133" s="21">
        <f>IFERROR(IF([2]对账明细接口!$Q133=0,"",[2]对账明细接口!$Q133),"")</f>
        <v>936</v>
      </c>
      <c r="W133" s="20" t="str">
        <f>IFERROR(IF([2]对账明细接口!$R133=0,"",[2]对账明细接口!$R133),"")</f>
        <v>新F*75240</v>
      </c>
      <c r="X133" s="20" t="str">
        <f>IFERROR(IF([2]对账明细接口!$S133=0,"",[2]对账明细接口!$S133),"")</f>
        <v>公司筐</v>
      </c>
      <c r="Y133" s="20" t="str">
        <f t="shared" si="14"/>
        <v/>
      </c>
      <c r="Z133" s="20" t="str">
        <f t="shared" si="15"/>
        <v/>
      </c>
      <c r="AA133" s="20" t="str">
        <f t="shared" si="16"/>
        <v/>
      </c>
      <c r="AB133" s="20" t="str">
        <f t="shared" si="17"/>
        <v/>
      </c>
    </row>
    <row r="134" customHeight="1" spans="1:28">
      <c r="A134" s="14">
        <v>134</v>
      </c>
      <c r="B134" s="15">
        <f>IFERROR(IF([2]对账明细接口!$B$134=0,"",[2]对账明细接口!$B$134),"")</f>
        <v>46281</v>
      </c>
      <c r="C134" s="16" t="str">
        <f>IFERROR(IF([2]对账明细接口!$C$134=0,"",[2]对账明细接口!$C$134),"")</f>
        <v>全修塑业</v>
      </c>
      <c r="D134" s="16" t="str">
        <f>IFERROR(IF([2]对账明细接口!$D$134=0,"",[2]对账明细接口!$D$134),"")</f>
        <v>周转筐－采购入库</v>
      </c>
      <c r="E134" s="16" t="str">
        <f>IFERROR(IF([2]对账明细接口!$E$134=0,"",[2]对账明细接口!$E$134),"")</f>
        <v>NO:0000885</v>
      </c>
      <c r="F134" s="16" t="str">
        <f>IFERROR(IF([2]对账明细接口!$F$134=0,"",[2]对账明细接口!$F$134),"")</f>
        <v>公司红周转筐</v>
      </c>
      <c r="G134" s="16" t="str">
        <f>IFERROR(IF([2]对账明细接口!$G$134=0,"",[2]对账明细接口!$G$134),"")</f>
        <v/>
      </c>
      <c r="H134" s="17">
        <f>IFERROR(IF([2]对账明细接口!$H$134=0,"",[2]对账明细接口!$H$134),"")</f>
        <v>960</v>
      </c>
      <c r="I134" s="16" t="str">
        <f>IFERROR(IF([2]对账明细接口!$I$134=0,"",[2]对账明细接口!$I$134),"")</f>
        <v>个</v>
      </c>
      <c r="J134" s="18" t="str">
        <f>IFERROR(IF([2]对账明细接口!$J$134=0,"",[2]对账明细接口!$J$134),"")</f>
        <v/>
      </c>
      <c r="K134" s="18">
        <f>IFERROR(IF([2]对账明细接口!$K$134=0,"",[2]对账明细接口!$K$134),"")</f>
        <v>9600</v>
      </c>
      <c r="L134" s="16" t="str">
        <f>IFERROR(IF([2]对账明细接口!$L$134=0,"",[2]对账明细接口!$L$134),"")</f>
        <v>未付款</v>
      </c>
      <c r="M134" s="16" t="str">
        <f>IFERROR(IF([2]对账明细接口!$M$134=0,"",[2]对账明细接口!$M$134),"")</f>
        <v>NO:0017228</v>
      </c>
      <c r="N134" s="19">
        <f t="shared" si="12"/>
        <v>1</v>
      </c>
      <c r="O134" s="19">
        <f t="shared" si="13"/>
        <v>131</v>
      </c>
      <c r="S134" s="20" t="str">
        <f>IFERROR(IF([2]对账明细接口!$N134=0,"",[2]对账明细接口!$N134),"")</f>
        <v>公司红周转筐</v>
      </c>
      <c r="T134" s="21" t="str">
        <f>IFERROR(IF([2]对账明细接口!$O134=0,"",[2]对账明细接口!$O134),"")</f>
        <v/>
      </c>
      <c r="U134" s="21" t="str">
        <f>IFERROR(IF([2]对账明细接口!$P134=0,"",[2]对账明细接口!$P134),"")</f>
        <v/>
      </c>
      <c r="V134" s="21">
        <f>IFERROR(IF([2]对账明细接口!$Q134=0,"",[2]对账明细接口!$Q134),"")</f>
        <v>960</v>
      </c>
      <c r="W134" s="20" t="str">
        <f>IFERROR(IF([2]对账明细接口!$R134=0,"",[2]对账明细接口!$R134),"")</f>
        <v>新A*G0554</v>
      </c>
      <c r="X134" s="20" t="str">
        <f>IFERROR(IF([2]对账明细接口!$S134=0,"",[2]对账明细接口!$S134),"")</f>
        <v>公司筐</v>
      </c>
      <c r="Y134" s="20" t="str">
        <f t="shared" si="14"/>
        <v/>
      </c>
      <c r="Z134" s="20" t="str">
        <f t="shared" si="15"/>
        <v/>
      </c>
      <c r="AA134" s="20" t="str">
        <f t="shared" si="16"/>
        <v/>
      </c>
      <c r="AB134" s="20" t="str">
        <f t="shared" si="17"/>
        <v/>
      </c>
    </row>
    <row r="135" customHeight="1" spans="1:28">
      <c r="A135" s="14">
        <v>135</v>
      </c>
      <c r="B135" s="15">
        <f>IFERROR(IF([2]对账明细接口!$B$135=0,"",[2]对账明细接口!$B$135),"")</f>
        <v>46281</v>
      </c>
      <c r="C135" s="16" t="str">
        <f>IFERROR(IF([2]对账明细接口!$C$135=0,"",[2]对账明细接口!$C$135),"")</f>
        <v>努尔敦</v>
      </c>
      <c r="D135" s="16" t="str">
        <f>IFERROR(IF([2]对账明细接口!$D$135=0,"",[2]对账明细接口!$D$135),"")</f>
        <v>周转筐－领用出库</v>
      </c>
      <c r="E135" s="16" t="str">
        <f>IFERROR(IF([2]对账明细接口!$E$135=0,"",[2]对账明细接口!$E$135),"")</f>
        <v>NO:0001155</v>
      </c>
      <c r="F135" s="16" t="str">
        <f>IFERROR(IF([2]对账明细接口!$F$135=0,"",[2]对账明细接口!$F$135),"")</f>
        <v>公司红周转筐</v>
      </c>
      <c r="G135" s="16" t="str">
        <f>IFERROR(IF([2]对账明细接口!$G$135=0,"",[2]对账明细接口!$G$135),"")</f>
        <v/>
      </c>
      <c r="H135" s="17">
        <f>IFERROR(IF([2]对账明细接口!$H$135=0,"",[2]对账明细接口!$H$135),"")</f>
        <v>936</v>
      </c>
      <c r="I135" s="16" t="str">
        <f>IFERROR(IF([2]对账明细接口!$I$135=0,"",[2]对账明细接口!$I$135),"")</f>
        <v>个</v>
      </c>
      <c r="J135" s="18" t="str">
        <f>IFERROR(IF([2]对账明细接口!$J$135=0,"",[2]对账明细接口!$J$135),"")</f>
        <v/>
      </c>
      <c r="K135" s="18" t="str">
        <f>IFERROR(IF([2]对账明细接口!$K$135=0,"",[2]对账明细接口!$K$135),"")</f>
        <v/>
      </c>
      <c r="L135" s="16" t="str">
        <f>IFERROR(IF([2]对账明细接口!$L$135=0,"",[2]对账明细接口!$L$135),"")</f>
        <v/>
      </c>
      <c r="M135" s="16" t="str">
        <f>IFERROR(IF([2]对账明细接口!$M$135=0,"",[2]对账明细接口!$M$135),"")</f>
        <v/>
      </c>
      <c r="N135" s="19">
        <f t="shared" si="12"/>
        <v>1</v>
      </c>
      <c r="O135" s="19">
        <f t="shared" si="13"/>
        <v>132</v>
      </c>
      <c r="S135" s="20" t="str">
        <f>IFERROR(IF([2]对账明细接口!$N135=0,"",[2]对账明细接口!$N135),"")</f>
        <v>公司红周转筐</v>
      </c>
      <c r="T135" s="21">
        <f>IFERROR(IF([2]对账明细接口!$O135=0,"",[2]对账明细接口!$O135),"")</f>
        <v>936</v>
      </c>
      <c r="U135" s="21" t="str">
        <f>IFERROR(IF([2]对账明细接口!$P135=0,"",[2]对账明细接口!$P135),"")</f>
        <v/>
      </c>
      <c r="V135" s="21" t="str">
        <f>IFERROR(IF([2]对账明细接口!$Q135=0,"",[2]对账明细接口!$Q135),"")</f>
        <v/>
      </c>
      <c r="W135" s="20" t="str">
        <f>IFERROR(IF([2]对账明细接口!$R135=0,"",[2]对账明细接口!$R135),"")</f>
        <v>新F*75240</v>
      </c>
      <c r="X135" s="20" t="str">
        <f>IFERROR(IF([2]对账明细接口!$S135=0,"",[2]对账明细接口!$S135),"")</f>
        <v>公司筐</v>
      </c>
      <c r="Y135" s="20" t="str">
        <f t="shared" si="14"/>
        <v/>
      </c>
      <c r="Z135" s="20" t="str">
        <f t="shared" si="15"/>
        <v/>
      </c>
      <c r="AA135" s="20" t="str">
        <f t="shared" si="16"/>
        <v/>
      </c>
      <c r="AB135" s="20" t="str">
        <f t="shared" si="17"/>
        <v/>
      </c>
    </row>
    <row r="136" customHeight="1" spans="1:28">
      <c r="A136" s="14">
        <v>136</v>
      </c>
      <c r="B136" s="15">
        <f>IFERROR(IF([2]对账明细接口!$B$136=0,"",[2]对账明细接口!$B$136),"")</f>
        <v>46281</v>
      </c>
      <c r="C136" s="16" t="str">
        <f>IFERROR(IF([2]对账明细接口!$C$136=0,"",[2]对账明细接口!$C$136),"")</f>
        <v>麦麦提</v>
      </c>
      <c r="D136" s="16" t="str">
        <f>IFERROR(IF([2]对账明细接口!$D$136=0,"",[2]对账明细接口!$D$136),"")</f>
        <v>周转筐－领用出库</v>
      </c>
      <c r="E136" s="16" t="str">
        <f>IFERROR(IF([2]对账明细接口!$E$136=0,"",[2]对账明细接口!$E$136),"")</f>
        <v>NO:0001156</v>
      </c>
      <c r="F136" s="16" t="str">
        <f>IFERROR(IF([2]对账明细接口!$F$136=0,"",[2]对账明细接口!$F$136),"")</f>
        <v>公司红周转筐</v>
      </c>
      <c r="G136" s="16" t="str">
        <f>IFERROR(IF([2]对账明细接口!$G$136=0,"",[2]对账明细接口!$G$136),"")</f>
        <v/>
      </c>
      <c r="H136" s="17">
        <f>IFERROR(IF([2]对账明细接口!$H$136=0,"",[2]对账明细接口!$H$136),"")</f>
        <v>960</v>
      </c>
      <c r="I136" s="16" t="str">
        <f>IFERROR(IF([2]对账明细接口!$I$136=0,"",[2]对账明细接口!$I$136),"")</f>
        <v>个</v>
      </c>
      <c r="J136" s="18" t="str">
        <f>IFERROR(IF([2]对账明细接口!$J$136=0,"",[2]对账明细接口!$J$136),"")</f>
        <v/>
      </c>
      <c r="K136" s="18" t="str">
        <f>IFERROR(IF([2]对账明细接口!$K$136=0,"",[2]对账明细接口!$K$136),"")</f>
        <v/>
      </c>
      <c r="L136" s="16" t="str">
        <f>IFERROR(IF([2]对账明细接口!$L$136=0,"",[2]对账明细接口!$L$136),"")</f>
        <v/>
      </c>
      <c r="M136" s="16" t="str">
        <f>IFERROR(IF([2]对账明细接口!$M$136=0,"",[2]对账明细接口!$M$136),"")</f>
        <v/>
      </c>
      <c r="N136" s="19">
        <f t="shared" si="12"/>
        <v>1</v>
      </c>
      <c r="O136" s="19">
        <f t="shared" si="13"/>
        <v>133</v>
      </c>
      <c r="S136" s="20" t="str">
        <f>IFERROR(IF([2]对账明细接口!$N136=0,"",[2]对账明细接口!$N136),"")</f>
        <v>公司红周转筐</v>
      </c>
      <c r="T136" s="21">
        <f>IFERROR(IF([2]对账明细接口!$O136=0,"",[2]对账明细接口!$O136),"")</f>
        <v>960</v>
      </c>
      <c r="U136" s="21" t="str">
        <f>IFERROR(IF([2]对账明细接口!$P136=0,"",[2]对账明细接口!$P136),"")</f>
        <v/>
      </c>
      <c r="V136" s="21" t="str">
        <f>IFERROR(IF([2]对账明细接口!$Q136=0,"",[2]对账明细接口!$Q136),"")</f>
        <v/>
      </c>
      <c r="W136" s="20" t="str">
        <f>IFERROR(IF([2]对账明细接口!$R136=0,"",[2]对账明细接口!$R136),"")</f>
        <v>新A*G0554</v>
      </c>
      <c r="X136" s="20" t="str">
        <f>IFERROR(IF([2]对账明细接口!$S136=0,"",[2]对账明细接口!$S136),"")</f>
        <v>公司筐</v>
      </c>
      <c r="Y136" s="20" t="str">
        <f t="shared" si="14"/>
        <v/>
      </c>
      <c r="Z136" s="20" t="str">
        <f t="shared" si="15"/>
        <v/>
      </c>
      <c r="AA136" s="20" t="str">
        <f t="shared" si="16"/>
        <v/>
      </c>
      <c r="AB136" s="20" t="str">
        <f t="shared" si="17"/>
        <v/>
      </c>
    </row>
    <row r="137" customHeight="1" spans="1:28">
      <c r="A137" s="14">
        <v>137</v>
      </c>
      <c r="B137" s="15">
        <f>IFERROR(IF([2]对账明细接口!$B$137=0,"",[2]对账明细接口!$B$137),"")</f>
        <v>46282</v>
      </c>
      <c r="C137" s="16" t="str">
        <f>IFERROR(IF([2]对账明细接口!$C$137=0,"",[2]对账明细接口!$C$137),"")</f>
        <v>王照雪</v>
      </c>
      <c r="D137" s="16" t="str">
        <f>IFERROR(IF([2]对账明细接口!$D$137=0,"",[2]对账明细接口!$D$137),"")</f>
        <v>周转筐－领用出库</v>
      </c>
      <c r="E137" s="16" t="str">
        <f>IFERROR(IF([2]对账明细接口!$E$137=0,"",[2]对账明细接口!$E$137),"")</f>
        <v>NO:0001157</v>
      </c>
      <c r="F137" s="16" t="str">
        <f>IFERROR(IF([2]对账明细接口!$F$137=0,"",[2]对账明细接口!$F$137),"")</f>
        <v>公司杂周转筐</v>
      </c>
      <c r="G137" s="16" t="str">
        <f>IFERROR(IF([2]对账明细接口!$G$137=0,"",[2]对账明细接口!$G$137),"")</f>
        <v/>
      </c>
      <c r="H137" s="17">
        <f>IFERROR(IF([2]对账明细接口!$H$137=0,"",[2]对账明细接口!$H$137),"")</f>
        <v>288</v>
      </c>
      <c r="I137" s="16" t="str">
        <f>IFERROR(IF([2]对账明细接口!$I$137=0,"",[2]对账明细接口!$I$137),"")</f>
        <v>个</v>
      </c>
      <c r="J137" s="18" t="str">
        <f>IFERROR(IF([2]对账明细接口!$J$137=0,"",[2]对账明细接口!$J$137),"")</f>
        <v/>
      </c>
      <c r="K137" s="18" t="str">
        <f>IFERROR(IF([2]对账明细接口!$K$137=0,"",[2]对账明细接口!$K$137),"")</f>
        <v/>
      </c>
      <c r="L137" s="16" t="str">
        <f>IFERROR(IF([2]对账明细接口!$L$137=0,"",[2]对账明细接口!$L$137),"")</f>
        <v/>
      </c>
      <c r="M137" s="16" t="str">
        <f>IFERROR(IF([2]对账明细接口!$M$137=0,"",[2]对账明细接口!$M$137),"")</f>
        <v/>
      </c>
      <c r="N137" s="19">
        <f t="shared" si="12"/>
        <v>1</v>
      </c>
      <c r="O137" s="19">
        <f t="shared" si="13"/>
        <v>134</v>
      </c>
      <c r="S137" s="20" t="str">
        <f>IFERROR(IF([2]对账明细接口!$N137=0,"",[2]对账明细接口!$N137),"")</f>
        <v>公司杂周转筐</v>
      </c>
      <c r="T137" s="21">
        <f>IFERROR(IF([2]对账明细接口!$O137=0,"",[2]对账明细接口!$O137),"")</f>
        <v>288</v>
      </c>
      <c r="U137" s="21" t="str">
        <f>IFERROR(IF([2]对账明细接口!$P137=0,"",[2]对账明细接口!$P137),"")</f>
        <v/>
      </c>
      <c r="V137" s="21" t="str">
        <f>IFERROR(IF([2]对账明细接口!$Q137=0,"",[2]对账明细接口!$Q137),"")</f>
        <v/>
      </c>
      <c r="W137" s="20" t="str">
        <f>IFERROR(IF([2]对账明细接口!$R137=0,"",[2]对账明细接口!$R137),"")</f>
        <v>豫L*88X19</v>
      </c>
      <c r="X137" s="20" t="str">
        <f>IFERROR(IF([2]对账明细接口!$S137=0,"",[2]对账明细接口!$S137),"")</f>
        <v>公司筐</v>
      </c>
      <c r="Y137" s="20" t="str">
        <f t="shared" si="14"/>
        <v/>
      </c>
      <c r="Z137" s="20" t="str">
        <f t="shared" si="15"/>
        <v/>
      </c>
      <c r="AA137" s="20" t="str">
        <f t="shared" si="16"/>
        <v/>
      </c>
      <c r="AB137" s="20" t="str">
        <f t="shared" si="17"/>
        <v/>
      </c>
    </row>
    <row r="138" customHeight="1" spans="1:28">
      <c r="A138" s="14">
        <v>138</v>
      </c>
      <c r="B138" s="15">
        <f>IFERROR(IF([2]对账明细接口!$B$138=0,"",[2]对账明细接口!$B$138),"")</f>
        <v>46282</v>
      </c>
      <c r="C138" s="16" t="str">
        <f>IFERROR(IF([2]对账明细接口!$C$138=0,"",[2]对账明细接口!$C$138),"")</f>
        <v>全修塑业</v>
      </c>
      <c r="D138" s="16" t="str">
        <f>IFERROR(IF([2]对账明细接口!$D$138=0,"",[2]对账明细接口!$D$138),"")</f>
        <v>周转筐－采购入库</v>
      </c>
      <c r="E138" s="16" t="str">
        <f>IFERROR(IF([2]对账明细接口!$E$138=0,"",[2]对账明细接口!$E$138),"")</f>
        <v>NO:0000887</v>
      </c>
      <c r="F138" s="16" t="str">
        <f>IFERROR(IF([2]对账明细接口!$F$138=0,"",[2]对账明细接口!$F$138),"")</f>
        <v>公司红周转筐</v>
      </c>
      <c r="G138" s="16" t="str">
        <f>IFERROR(IF([2]对账明细接口!$G$138=0,"",[2]对账明细接口!$G$138),"")</f>
        <v/>
      </c>
      <c r="H138" s="17">
        <f>IFERROR(IF([2]对账明细接口!$H$138=0,"",[2]对账明细接口!$H$138),"")</f>
        <v>936</v>
      </c>
      <c r="I138" s="16" t="str">
        <f>IFERROR(IF([2]对账明细接口!$I$138=0,"",[2]对账明细接口!$I$138),"")</f>
        <v>个</v>
      </c>
      <c r="J138" s="18" t="str">
        <f>IFERROR(IF([2]对账明细接口!$J$138=0,"",[2]对账明细接口!$J$138),"")</f>
        <v/>
      </c>
      <c r="K138" s="18">
        <f>IFERROR(IF([2]对账明细接口!$K$138=0,"",[2]对账明细接口!$K$138),"")</f>
        <v>9360</v>
      </c>
      <c r="L138" s="16" t="str">
        <f>IFERROR(IF([2]对账明细接口!$L$138=0,"",[2]对账明细接口!$L$138),"")</f>
        <v>未付款</v>
      </c>
      <c r="M138" s="16" t="str">
        <f>IFERROR(IF([2]对账明细接口!$M$138=0,"",[2]对账明细接口!$M$138),"")</f>
        <v>NO:0017229</v>
      </c>
      <c r="N138" s="19">
        <f t="shared" si="12"/>
        <v>1</v>
      </c>
      <c r="O138" s="19">
        <f t="shared" si="13"/>
        <v>135</v>
      </c>
      <c r="S138" s="20" t="str">
        <f>IFERROR(IF([2]对账明细接口!$N138=0,"",[2]对账明细接口!$N138),"")</f>
        <v>公司红周转筐</v>
      </c>
      <c r="T138" s="21" t="str">
        <f>IFERROR(IF([2]对账明细接口!$O138=0,"",[2]对账明细接口!$O138),"")</f>
        <v/>
      </c>
      <c r="U138" s="21" t="str">
        <f>IFERROR(IF([2]对账明细接口!$P138=0,"",[2]对账明细接口!$P138),"")</f>
        <v/>
      </c>
      <c r="V138" s="21">
        <f>IFERROR(IF([2]对账明细接口!$Q138=0,"",[2]对账明细接口!$Q138),"")</f>
        <v>936</v>
      </c>
      <c r="W138" s="20" t="str">
        <f>IFERROR(IF([2]对账明细接口!$R138=0,"",[2]对账明细接口!$R138),"")</f>
        <v>新N*49209</v>
      </c>
      <c r="X138" s="20" t="str">
        <f>IFERROR(IF([2]对账明细接口!$S138=0,"",[2]对账明细接口!$S138),"")</f>
        <v>公司筐</v>
      </c>
      <c r="Y138" s="20" t="str">
        <f t="shared" si="14"/>
        <v/>
      </c>
      <c r="Z138" s="20" t="str">
        <f t="shared" si="15"/>
        <v/>
      </c>
      <c r="AA138" s="20" t="str">
        <f t="shared" si="16"/>
        <v/>
      </c>
      <c r="AB138" s="20" t="str">
        <f t="shared" si="17"/>
        <v/>
      </c>
    </row>
    <row r="139" customHeight="1" spans="1:28">
      <c r="A139" s="14">
        <v>139</v>
      </c>
      <c r="B139" s="15">
        <f>IFERROR(IF([2]对账明细接口!$B$139=0,"",[2]对账明细接口!$B$139),"")</f>
        <v>46282</v>
      </c>
      <c r="C139" s="16" t="str">
        <f>IFERROR(IF([2]对账明细接口!$C$139=0,"",[2]对账明细接口!$C$139),"")</f>
        <v>全修塑业</v>
      </c>
      <c r="D139" s="16" t="str">
        <f>IFERROR(IF([2]对账明细接口!$D$139=0,"",[2]对账明细接口!$D$139),"")</f>
        <v>周转筐－采购入库</v>
      </c>
      <c r="E139" s="16" t="str">
        <f>IFERROR(IF([2]对账明细接口!$E$139=0,"",[2]对账明细接口!$E$139),"")</f>
        <v>NO:0000889</v>
      </c>
      <c r="F139" s="16" t="str">
        <f>IFERROR(IF([2]对账明细接口!$F$139=0,"",[2]对账明细接口!$F$139),"")</f>
        <v>公司红周转筐</v>
      </c>
      <c r="G139" s="16" t="str">
        <f>IFERROR(IF([2]对账明细接口!$G$139=0,"",[2]对账明细接口!$G$139),"")</f>
        <v/>
      </c>
      <c r="H139" s="17">
        <f>IFERROR(IF([2]对账明细接口!$H$139=0,"",[2]对账明细接口!$H$139),"")</f>
        <v>801</v>
      </c>
      <c r="I139" s="16" t="str">
        <f>IFERROR(IF([2]对账明细接口!$I$139=0,"",[2]对账明细接口!$I$139),"")</f>
        <v>个</v>
      </c>
      <c r="J139" s="18" t="str">
        <f>IFERROR(IF([2]对账明细接口!$J$139=0,"",[2]对账明细接口!$J$139),"")</f>
        <v/>
      </c>
      <c r="K139" s="18">
        <f>IFERROR(IF([2]对账明细接口!$K$139=0,"",[2]对账明细接口!$K$139),"")</f>
        <v>8010</v>
      </c>
      <c r="L139" s="16" t="str">
        <f>IFERROR(IF([2]对账明细接口!$L$139=0,"",[2]对账明细接口!$L$139),"")</f>
        <v>未付款</v>
      </c>
      <c r="M139" s="16" t="str">
        <f>IFERROR(IF([2]对账明细接口!$M$139=0,"",[2]对账明细接口!$M$139),"")</f>
        <v>NO:0017231</v>
      </c>
      <c r="N139" s="19">
        <f t="shared" si="12"/>
        <v>1</v>
      </c>
      <c r="O139" s="19">
        <f t="shared" si="13"/>
        <v>136</v>
      </c>
      <c r="S139" s="20" t="str">
        <f>IFERROR(IF([2]对账明细接口!$N139=0,"",[2]对账明细接口!$N139),"")</f>
        <v>公司红周转筐</v>
      </c>
      <c r="T139" s="21" t="str">
        <f>IFERROR(IF([2]对账明细接口!$O139=0,"",[2]对账明细接口!$O139),"")</f>
        <v/>
      </c>
      <c r="U139" s="21" t="str">
        <f>IFERROR(IF([2]对账明细接口!$P139=0,"",[2]对账明细接口!$P139),"")</f>
        <v/>
      </c>
      <c r="V139" s="21">
        <f>IFERROR(IF([2]对账明细接口!$Q139=0,"",[2]对账明细接口!$Q139),"")</f>
        <v>801</v>
      </c>
      <c r="W139" s="20" t="str">
        <f>IFERROR(IF([2]对账明细接口!$R139=0,"",[2]对账明细接口!$R139),"")</f>
        <v>新N*49209</v>
      </c>
      <c r="X139" s="20" t="str">
        <f>IFERROR(IF([2]对账明细接口!$S139=0,"",[2]对账明细接口!$S139),"")</f>
        <v>公司筐</v>
      </c>
      <c r="Y139" s="20" t="str">
        <f t="shared" si="14"/>
        <v/>
      </c>
      <c r="Z139" s="20" t="str">
        <f t="shared" si="15"/>
        <v/>
      </c>
      <c r="AA139" s="20" t="str">
        <f t="shared" si="16"/>
        <v/>
      </c>
      <c r="AB139" s="20" t="str">
        <f t="shared" si="17"/>
        <v/>
      </c>
    </row>
    <row r="140" customHeight="1" spans="1:28">
      <c r="A140" s="14">
        <v>140</v>
      </c>
      <c r="B140" s="15">
        <f>IFERROR(IF([2]对账明细接口!$B$140=0,"",[2]对账明细接口!$B$140),"")</f>
        <v>46282</v>
      </c>
      <c r="C140" s="16" t="str">
        <f>IFERROR(IF([2]对账明细接口!$C$140=0,"",[2]对账明细接口!$C$140),"")</f>
        <v>全修塑业</v>
      </c>
      <c r="D140" s="16" t="str">
        <f>IFERROR(IF([2]对账明细接口!$D$140=0,"",[2]对账明细接口!$D$140),"")</f>
        <v>周转筐－采购入库</v>
      </c>
      <c r="E140" s="16" t="str">
        <f>IFERROR(IF([2]对账明细接口!$E$140=0,"",[2]对账明细接口!$E$140),"")</f>
        <v>NO:0000890</v>
      </c>
      <c r="F140" s="16" t="str">
        <f>IFERROR(IF([2]对账明细接口!$F$140=0,"",[2]对账明细接口!$F$140),"")</f>
        <v>公司红周转筐</v>
      </c>
      <c r="G140" s="16" t="str">
        <f>IFERROR(IF([2]对账明细接口!$G$140=0,"",[2]对账明细接口!$G$140),"")</f>
        <v/>
      </c>
      <c r="H140" s="17">
        <f>IFERROR(IF([2]对账明细接口!$H$140=0,"",[2]对账明细接口!$H$140),"")</f>
        <v>846</v>
      </c>
      <c r="I140" s="16" t="str">
        <f>IFERROR(IF([2]对账明细接口!$I$140=0,"",[2]对账明细接口!$I$140),"")</f>
        <v>个</v>
      </c>
      <c r="J140" s="18" t="str">
        <f>IFERROR(IF([2]对账明细接口!$J$140=0,"",[2]对账明细接口!$J$140),"")</f>
        <v/>
      </c>
      <c r="K140" s="18">
        <f>IFERROR(IF([2]对账明细接口!$K$140=0,"",[2]对账明细接口!$K$140),"")</f>
        <v>8460</v>
      </c>
      <c r="L140" s="16" t="str">
        <f>IFERROR(IF([2]对账明细接口!$L$140=0,"",[2]对账明细接口!$L$140),"")</f>
        <v>未付款</v>
      </c>
      <c r="M140" s="16" t="str">
        <f>IFERROR(IF([2]对账明细接口!$M$140=0,"",[2]对账明细接口!$M$140),"")</f>
        <v>NO:0017232</v>
      </c>
      <c r="N140" s="19">
        <f t="shared" si="12"/>
        <v>1</v>
      </c>
      <c r="O140" s="19">
        <f t="shared" si="13"/>
        <v>137</v>
      </c>
      <c r="S140" s="20" t="str">
        <f>IFERROR(IF([2]对账明细接口!$N140=0,"",[2]对账明细接口!$N140),"")</f>
        <v>公司红周转筐</v>
      </c>
      <c r="T140" s="21" t="str">
        <f>IFERROR(IF([2]对账明细接口!$O140=0,"",[2]对账明细接口!$O140),"")</f>
        <v/>
      </c>
      <c r="U140" s="21" t="str">
        <f>IFERROR(IF([2]对账明细接口!$P140=0,"",[2]对账明细接口!$P140),"")</f>
        <v/>
      </c>
      <c r="V140" s="21">
        <f>IFERROR(IF([2]对账明细接口!$Q140=0,"",[2]对账明细接口!$Q140),"")</f>
        <v>846</v>
      </c>
      <c r="W140" s="20" t="str">
        <f>IFERROR(IF([2]对账明细接口!$R140=0,"",[2]对账明细接口!$R140),"")</f>
        <v>新A*G0554</v>
      </c>
      <c r="X140" s="20" t="str">
        <f>IFERROR(IF([2]对账明细接口!$S140=0,"",[2]对账明细接口!$S140),"")</f>
        <v>公司筐</v>
      </c>
      <c r="Y140" s="20" t="str">
        <f t="shared" si="14"/>
        <v/>
      </c>
      <c r="Z140" s="20" t="str">
        <f t="shared" si="15"/>
        <v/>
      </c>
      <c r="AA140" s="20" t="str">
        <f t="shared" si="16"/>
        <v/>
      </c>
      <c r="AB140" s="20" t="str">
        <f t="shared" si="17"/>
        <v/>
      </c>
    </row>
    <row r="141" customHeight="1" spans="1:28">
      <c r="A141" s="14">
        <v>141</v>
      </c>
      <c r="B141" s="15">
        <f>IFERROR(IF([2]对账明细接口!$B$141=0,"",[2]对账明细接口!$B$141),"")</f>
        <v>46282</v>
      </c>
      <c r="C141" s="16" t="str">
        <f>IFERROR(IF([2]对账明细接口!$C$141=0,"",[2]对账明细接口!$C$141),"")</f>
        <v>王灵云</v>
      </c>
      <c r="D141" s="16" t="str">
        <f>IFERROR(IF([2]对账明细接口!$D$141=0,"",[2]对账明细接口!$D$141),"")</f>
        <v>周转筐－领用出库</v>
      </c>
      <c r="E141" s="16" t="str">
        <f>IFERROR(IF([2]对账明细接口!$E$141=0,"",[2]对账明细接口!$E$141),"")</f>
        <v>NO:0001160</v>
      </c>
      <c r="F141" s="16" t="str">
        <f>IFERROR(IF([2]对账明细接口!$F$141=0,"",[2]对账明细接口!$F$141),"")</f>
        <v>公司红周转筐</v>
      </c>
      <c r="G141" s="16" t="str">
        <f>IFERROR(IF([2]对账明细接口!$G$141=0,"",[2]对账明细接口!$G$141),"")</f>
        <v/>
      </c>
      <c r="H141" s="17">
        <f>IFERROR(IF([2]对账明细接口!$H$141=0,"",[2]对账明细接口!$H$141),"")</f>
        <v>936</v>
      </c>
      <c r="I141" s="16" t="str">
        <f>IFERROR(IF([2]对账明细接口!$I$141=0,"",[2]对账明细接口!$I$141),"")</f>
        <v>个</v>
      </c>
      <c r="J141" s="18" t="str">
        <f>IFERROR(IF([2]对账明细接口!$J$141=0,"",[2]对账明细接口!$J$141),"")</f>
        <v/>
      </c>
      <c r="K141" s="18" t="str">
        <f>IFERROR(IF([2]对账明细接口!$K$141=0,"",[2]对账明细接口!$K$141),"")</f>
        <v/>
      </c>
      <c r="L141" s="16" t="str">
        <f>IFERROR(IF([2]对账明细接口!$L$141=0,"",[2]对账明细接口!$L$141),"")</f>
        <v/>
      </c>
      <c r="M141" s="16" t="str">
        <f>IFERROR(IF([2]对账明细接口!$M$141=0,"",[2]对账明细接口!$M$141),"")</f>
        <v/>
      </c>
      <c r="N141" s="19">
        <f t="shared" si="12"/>
        <v>1</v>
      </c>
      <c r="O141" s="19">
        <f t="shared" si="13"/>
        <v>138</v>
      </c>
      <c r="S141" s="20" t="str">
        <f>IFERROR(IF([2]对账明细接口!$N141=0,"",[2]对账明细接口!$N141),"")</f>
        <v>公司红周转筐</v>
      </c>
      <c r="T141" s="21">
        <f>IFERROR(IF([2]对账明细接口!$O141=0,"",[2]对账明细接口!$O141),"")</f>
        <v>936</v>
      </c>
      <c r="U141" s="21" t="str">
        <f>IFERROR(IF([2]对账明细接口!$P141=0,"",[2]对账明细接口!$P141),"")</f>
        <v/>
      </c>
      <c r="V141" s="21" t="str">
        <f>IFERROR(IF([2]对账明细接口!$Q141=0,"",[2]对账明细接口!$Q141),"")</f>
        <v/>
      </c>
      <c r="W141" s="20" t="str">
        <f>IFERROR(IF([2]对账明细接口!$R141=0,"",[2]对账明细接口!$R141),"")</f>
        <v>新N*49209</v>
      </c>
      <c r="X141" s="20" t="str">
        <f>IFERROR(IF([2]对账明细接口!$S141=0,"",[2]对账明细接口!$S141),"")</f>
        <v>公司筐</v>
      </c>
      <c r="Y141" s="20" t="str">
        <f t="shared" si="14"/>
        <v/>
      </c>
      <c r="Z141" s="20" t="str">
        <f t="shared" si="15"/>
        <v/>
      </c>
      <c r="AA141" s="20" t="str">
        <f t="shared" si="16"/>
        <v/>
      </c>
      <c r="AB141" s="20" t="str">
        <f t="shared" si="17"/>
        <v/>
      </c>
    </row>
    <row r="142" customHeight="1" spans="1:28">
      <c r="A142" s="14">
        <v>142</v>
      </c>
      <c r="B142" s="15">
        <f>IFERROR(IF([2]对账明细接口!$B$142=0,"",[2]对账明细接口!$B$142),"")</f>
        <v>46282</v>
      </c>
      <c r="C142" s="16" t="str">
        <f>IFERROR(IF([2]对账明细接口!$C$142=0,"",[2]对账明细接口!$C$142),"")</f>
        <v>王照雪</v>
      </c>
      <c r="D142" s="16" t="str">
        <f>IFERROR(IF([2]对账明细接口!$D$142=0,"",[2]对账明细接口!$D$142),"")</f>
        <v>周转筐－领用出库</v>
      </c>
      <c r="E142" s="16" t="str">
        <f>IFERROR(IF([2]对账明细接口!$E$142=0,"",[2]对账明细接口!$E$142),"")</f>
        <v>NO:0001164</v>
      </c>
      <c r="F142" s="16" t="str">
        <f>IFERROR(IF([2]对账明细接口!$F$142=0,"",[2]对账明细接口!$F$142),"")</f>
        <v>公司一次性筐</v>
      </c>
      <c r="G142" s="16" t="str">
        <f>IFERROR(IF([2]对账明细接口!$G$142=0,"",[2]对账明细接口!$G$142),"")</f>
        <v/>
      </c>
      <c r="H142" s="17">
        <f>IFERROR(IF([2]对账明细接口!$H$142=0,"",[2]对账明细接口!$H$142),"")</f>
        <v>423</v>
      </c>
      <c r="I142" s="16" t="str">
        <f>IFERROR(IF([2]对账明细接口!$I$142=0,"",[2]对账明细接口!$I$142),"")</f>
        <v>个</v>
      </c>
      <c r="J142" s="18" t="str">
        <f>IFERROR(IF([2]对账明细接口!$J$142=0,"",[2]对账明细接口!$J$142),"")</f>
        <v/>
      </c>
      <c r="K142" s="18" t="str">
        <f>IFERROR(IF([2]对账明细接口!$K$142=0,"",[2]对账明细接口!$K$142),"")</f>
        <v/>
      </c>
      <c r="L142" s="16" t="str">
        <f>IFERROR(IF([2]对账明细接口!$L$142=0,"",[2]对账明细接口!$L$142),"")</f>
        <v/>
      </c>
      <c r="M142" s="16" t="str">
        <f>IFERROR(IF([2]对账明细接口!$M$142=0,"",[2]对账明细接口!$M$142),"")</f>
        <v/>
      </c>
      <c r="N142" s="19">
        <f t="shared" si="12"/>
        <v>1</v>
      </c>
      <c r="O142" s="19">
        <f t="shared" si="13"/>
        <v>139</v>
      </c>
      <c r="S142" s="20" t="str">
        <f>IFERROR(IF([2]对账明细接口!$N142=0,"",[2]对账明细接口!$N142),"")</f>
        <v>公司一次性筐</v>
      </c>
      <c r="T142" s="21">
        <f>IFERROR(IF([2]对账明细接口!$O142=0,"",[2]对账明细接口!$O142),"")</f>
        <v>423</v>
      </c>
      <c r="U142" s="21" t="str">
        <f>IFERROR(IF([2]对账明细接口!$P142=0,"",[2]对账明细接口!$P142),"")</f>
        <v/>
      </c>
      <c r="V142" s="21" t="str">
        <f>IFERROR(IF([2]对账明细接口!$Q142=0,"",[2]对账明细接口!$Q142),"")</f>
        <v/>
      </c>
      <c r="W142" s="20" t="str">
        <f>IFERROR(IF([2]对账明细接口!$R142=0,"",[2]对账明细接口!$R142),"")</f>
        <v>豫L*88X19</v>
      </c>
      <c r="X142" s="20" t="str">
        <f>IFERROR(IF([2]对账明细接口!$S142=0,"",[2]对账明细接口!$S142),"")</f>
        <v>公司筐</v>
      </c>
      <c r="Y142" s="20" t="str">
        <f t="shared" si="14"/>
        <v/>
      </c>
      <c r="Z142" s="20" t="str">
        <f t="shared" si="15"/>
        <v/>
      </c>
      <c r="AA142" s="20" t="str">
        <f t="shared" si="16"/>
        <v/>
      </c>
      <c r="AB142" s="20" t="str">
        <f t="shared" si="17"/>
        <v/>
      </c>
    </row>
    <row r="143" customHeight="1" spans="1:28">
      <c r="A143" s="14">
        <v>143</v>
      </c>
      <c r="B143" s="15">
        <f>IFERROR(IF([2]对账明细接口!$B$143=0,"",[2]对账明细接口!$B$143),"")</f>
        <v>46282</v>
      </c>
      <c r="C143" s="16" t="str">
        <f>IFERROR(IF([2]对账明细接口!$C$143=0,"",[2]对账明细接口!$C$143),"")</f>
        <v>王灵云</v>
      </c>
      <c r="D143" s="16" t="str">
        <f>IFERROR(IF([2]对账明细接口!$D$143=0,"",[2]对账明细接口!$D$143),"")</f>
        <v>周转筐－领用出库</v>
      </c>
      <c r="E143" s="16" t="str">
        <f>IFERROR(IF([2]对账明细接口!$E$143=0,"",[2]对账明细接口!$E$143),"")</f>
        <v>NO:0001167</v>
      </c>
      <c r="F143" s="16" t="str">
        <f>IFERROR(IF([2]对账明细接口!$F$143=0,"",[2]对账明细接口!$F$143),"")</f>
        <v>公司红周转筐</v>
      </c>
      <c r="G143" s="16" t="str">
        <f>IFERROR(IF([2]对账明细接口!$G$143=0,"",[2]对账明细接口!$G$143),"")</f>
        <v/>
      </c>
      <c r="H143" s="17">
        <f>IFERROR(IF([2]对账明细接口!$H$143=0,"",[2]对账明细接口!$H$143),"")</f>
        <v>801</v>
      </c>
      <c r="I143" s="16" t="str">
        <f>IFERROR(IF([2]对账明细接口!$I$143=0,"",[2]对账明细接口!$I$143),"")</f>
        <v>个</v>
      </c>
      <c r="J143" s="18" t="str">
        <f>IFERROR(IF([2]对账明细接口!$J$143=0,"",[2]对账明细接口!$J$143),"")</f>
        <v/>
      </c>
      <c r="K143" s="18" t="str">
        <f>IFERROR(IF([2]对账明细接口!$K$143=0,"",[2]对账明细接口!$K$143),"")</f>
        <v/>
      </c>
      <c r="L143" s="16" t="str">
        <f>IFERROR(IF([2]对账明细接口!$L$143=0,"",[2]对账明细接口!$L$143),"")</f>
        <v/>
      </c>
      <c r="M143" s="16" t="str">
        <f>IFERROR(IF([2]对账明细接口!$M$143=0,"",[2]对账明细接口!$M$143),"")</f>
        <v/>
      </c>
      <c r="N143" s="19">
        <f t="shared" si="12"/>
        <v>1</v>
      </c>
      <c r="O143" s="19">
        <f t="shared" si="13"/>
        <v>140</v>
      </c>
      <c r="S143" s="20" t="str">
        <f>IFERROR(IF([2]对账明细接口!$N143=0,"",[2]对账明细接口!$N143),"")</f>
        <v>公司红周转筐</v>
      </c>
      <c r="T143" s="21">
        <f>IFERROR(IF([2]对账明细接口!$O143=0,"",[2]对账明细接口!$O143),"")</f>
        <v>801</v>
      </c>
      <c r="U143" s="21" t="str">
        <f>IFERROR(IF([2]对账明细接口!$P143=0,"",[2]对账明细接口!$P143),"")</f>
        <v/>
      </c>
      <c r="V143" s="21" t="str">
        <f>IFERROR(IF([2]对账明细接口!$Q143=0,"",[2]对账明细接口!$Q143),"")</f>
        <v/>
      </c>
      <c r="W143" s="20" t="str">
        <f>IFERROR(IF([2]对账明细接口!$R143=0,"",[2]对账明细接口!$R143),"")</f>
        <v>新N*49209</v>
      </c>
      <c r="X143" s="20" t="str">
        <f>IFERROR(IF([2]对账明细接口!$S143=0,"",[2]对账明细接口!$S143),"")</f>
        <v>公司筐</v>
      </c>
      <c r="Y143" s="20" t="str">
        <f t="shared" si="14"/>
        <v/>
      </c>
      <c r="Z143" s="20" t="str">
        <f t="shared" si="15"/>
        <v/>
      </c>
      <c r="AA143" s="20" t="str">
        <f t="shared" si="16"/>
        <v/>
      </c>
      <c r="AB143" s="20" t="str">
        <f t="shared" si="17"/>
        <v/>
      </c>
    </row>
    <row r="144" customHeight="1" spans="1:28">
      <c r="A144" s="14">
        <v>144</v>
      </c>
      <c r="B144" s="15">
        <f>IFERROR(IF([2]对账明细接口!$B$144=0,"",[2]对账明细接口!$B$144),"")</f>
        <v>46282</v>
      </c>
      <c r="C144" s="16" t="str">
        <f>IFERROR(IF([2]对账明细接口!$C$144=0,"",[2]对账明细接口!$C$144),"")</f>
        <v>热合曼</v>
      </c>
      <c r="D144" s="16" t="str">
        <f>IFERROR(IF([2]对账明细接口!$D$144=0,"",[2]对账明细接口!$D$144),"")</f>
        <v>周转筐－领用出库</v>
      </c>
      <c r="E144" s="16" t="str">
        <f>IFERROR(IF([2]对账明细接口!$E$144=0,"",[2]对账明细接口!$E$144),"")</f>
        <v>NO:0001169</v>
      </c>
      <c r="F144" s="16" t="str">
        <f>IFERROR(IF([2]对账明细接口!$F$144=0,"",[2]对账明细接口!$F$144),"")</f>
        <v>公司红周转筐</v>
      </c>
      <c r="G144" s="16" t="str">
        <f>IFERROR(IF([2]对账明细接口!$G$144=0,"",[2]对账明细接口!$G$144),"")</f>
        <v/>
      </c>
      <c r="H144" s="17">
        <f>IFERROR(IF([2]对账明细接口!$H$144=0,"",[2]对账明细接口!$H$144),"")</f>
        <v>846</v>
      </c>
      <c r="I144" s="16" t="str">
        <f>IFERROR(IF([2]对账明细接口!$I$144=0,"",[2]对账明细接口!$I$144),"")</f>
        <v>个</v>
      </c>
      <c r="J144" s="18" t="str">
        <f>IFERROR(IF([2]对账明细接口!$J$144=0,"",[2]对账明细接口!$J$144),"")</f>
        <v/>
      </c>
      <c r="K144" s="18" t="str">
        <f>IFERROR(IF([2]对账明细接口!$K$144=0,"",[2]对账明细接口!$K$144),"")</f>
        <v/>
      </c>
      <c r="L144" s="16" t="str">
        <f>IFERROR(IF([2]对账明细接口!$L$144=0,"",[2]对账明细接口!$L$144),"")</f>
        <v/>
      </c>
      <c r="M144" s="16" t="str">
        <f>IFERROR(IF([2]对账明细接口!$M$144=0,"",[2]对账明细接口!$M$144),"")</f>
        <v/>
      </c>
      <c r="N144" s="19">
        <f t="shared" si="12"/>
        <v>1</v>
      </c>
      <c r="O144" s="19">
        <f t="shared" si="13"/>
        <v>141</v>
      </c>
      <c r="S144" s="20" t="str">
        <f>IFERROR(IF([2]对账明细接口!$N144=0,"",[2]对账明细接口!$N144),"")</f>
        <v>公司红周转筐</v>
      </c>
      <c r="T144" s="21">
        <f>IFERROR(IF([2]对账明细接口!$O144=0,"",[2]对账明细接口!$O144),"")</f>
        <v>846</v>
      </c>
      <c r="U144" s="21" t="str">
        <f>IFERROR(IF([2]对账明细接口!$P144=0,"",[2]对账明细接口!$P144),"")</f>
        <v/>
      </c>
      <c r="V144" s="21" t="str">
        <f>IFERROR(IF([2]对账明细接口!$Q144=0,"",[2]对账明细接口!$Q144),"")</f>
        <v/>
      </c>
      <c r="W144" s="20" t="str">
        <f>IFERROR(IF([2]对账明细接口!$R144=0,"",[2]对账明细接口!$R144),"")</f>
        <v>新A*G0554</v>
      </c>
      <c r="X144" s="20" t="str">
        <f>IFERROR(IF([2]对账明细接口!$S144=0,"",[2]对账明细接口!$S144),"")</f>
        <v>公司筐</v>
      </c>
      <c r="Y144" s="20" t="str">
        <f t="shared" si="14"/>
        <v/>
      </c>
      <c r="Z144" s="20" t="str">
        <f t="shared" si="15"/>
        <v/>
      </c>
      <c r="AA144" s="20" t="str">
        <f t="shared" si="16"/>
        <v/>
      </c>
      <c r="AB144" s="20" t="str">
        <f t="shared" si="17"/>
        <v/>
      </c>
    </row>
    <row r="145" customHeight="1" spans="1:28">
      <c r="A145" s="14">
        <v>145</v>
      </c>
      <c r="B145" s="15">
        <f>IFERROR(IF([2]对账明细接口!$B$145=0,"",[2]对账明细接口!$B$145),"")</f>
        <v>46282</v>
      </c>
      <c r="C145" s="16" t="str">
        <f>IFERROR(IF([2]对账明细接口!$C$145=0,"",[2]对账明细接口!$C$145),"")</f>
        <v>全修塑业</v>
      </c>
      <c r="D145" s="16" t="str">
        <f>IFERROR(IF([2]对账明细接口!$D$145=0,"",[2]对账明细接口!$D$145),"")</f>
        <v>周转筐－采购入库</v>
      </c>
      <c r="E145" s="16" t="str">
        <f>IFERROR(IF([2]对账明细接口!$E$145=0,"",[2]对账明细接口!$E$145),"")</f>
        <v>NO:0000894</v>
      </c>
      <c r="F145" s="16" t="str">
        <f>IFERROR(IF([2]对账明细接口!$F$145=0,"",[2]对账明细接口!$F$145),"")</f>
        <v>公司红周转筐</v>
      </c>
      <c r="G145" s="16" t="str">
        <f>IFERROR(IF([2]对账明细接口!$G$145=0,"",[2]对账明细接口!$G$145),"")</f>
        <v/>
      </c>
      <c r="H145" s="17">
        <f>IFERROR(IF([2]对账明细接口!$H$145=0,"",[2]对账明细接口!$H$145),"")</f>
        <v>504</v>
      </c>
      <c r="I145" s="16" t="str">
        <f>IFERROR(IF([2]对账明细接口!$I$145=0,"",[2]对账明细接口!$I$145),"")</f>
        <v>个</v>
      </c>
      <c r="J145" s="18" t="str">
        <f>IFERROR(IF([2]对账明细接口!$J$145=0,"",[2]对账明细接口!$J$145),"")</f>
        <v/>
      </c>
      <c r="K145" s="18">
        <f>IFERROR(IF([2]对账明细接口!$K$145=0,"",[2]对账明细接口!$K$145),"")</f>
        <v>5040</v>
      </c>
      <c r="L145" s="16" t="str">
        <f>IFERROR(IF([2]对账明细接口!$L$145=0,"",[2]对账明细接口!$L$145),"")</f>
        <v>未付款</v>
      </c>
      <c r="M145" s="16" t="str">
        <f>IFERROR(IF([2]对账明细接口!$M$145=0,"",[2]对账明细接口!$M$145),"")</f>
        <v>NO:0017234</v>
      </c>
      <c r="N145" s="19">
        <f t="shared" si="12"/>
        <v>1</v>
      </c>
      <c r="O145" s="19">
        <f t="shared" si="13"/>
        <v>142</v>
      </c>
      <c r="S145" s="20" t="str">
        <f>IFERROR(IF([2]对账明细接口!$N145=0,"",[2]对账明细接口!$N145),"")</f>
        <v>公司红周转筐</v>
      </c>
      <c r="T145" s="21" t="str">
        <f>IFERROR(IF([2]对账明细接口!$O145=0,"",[2]对账明细接口!$O145),"")</f>
        <v/>
      </c>
      <c r="U145" s="21" t="str">
        <f>IFERROR(IF([2]对账明细接口!$P145=0,"",[2]对账明细接口!$P145),"")</f>
        <v/>
      </c>
      <c r="V145" s="21">
        <f>IFERROR(IF([2]对账明细接口!$Q145=0,"",[2]对账明细接口!$Q145),"")</f>
        <v>504</v>
      </c>
      <c r="W145" s="20" t="str">
        <f>IFERROR(IF([2]对账明细接口!$R145=0,"",[2]对账明细接口!$R145),"")</f>
        <v>新N*F0M01</v>
      </c>
      <c r="X145" s="20" t="str">
        <f>IFERROR(IF([2]对账明细接口!$S145=0,"",[2]对账明细接口!$S145),"")</f>
        <v>公司筐</v>
      </c>
      <c r="Y145" s="20" t="str">
        <f t="shared" si="14"/>
        <v/>
      </c>
      <c r="Z145" s="20" t="str">
        <f t="shared" si="15"/>
        <v/>
      </c>
      <c r="AA145" s="20" t="str">
        <f t="shared" si="16"/>
        <v/>
      </c>
      <c r="AB145" s="20" t="str">
        <f t="shared" si="17"/>
        <v/>
      </c>
    </row>
    <row r="146" customHeight="1" spans="1:28">
      <c r="A146" s="14">
        <v>146</v>
      </c>
      <c r="B146" s="15">
        <f>IFERROR(IF([2]对账明细接口!$B$146=0,"",[2]对账明细接口!$B$146),"")</f>
        <v>46282</v>
      </c>
      <c r="C146" s="16" t="str">
        <f>IFERROR(IF([2]对账明细接口!$C$146=0,"",[2]对账明细接口!$C$146),"")</f>
        <v>努尔敦</v>
      </c>
      <c r="D146" s="16" t="str">
        <f>IFERROR(IF([2]对账明细接口!$D$146=0,"",[2]对账明细接口!$D$146),"")</f>
        <v>周转筐－领用出库</v>
      </c>
      <c r="E146" s="16" t="str">
        <f>IFERROR(IF([2]对账明细接口!$E$146=0,"",[2]对账明细接口!$E$146),"")</f>
        <v>NO:0001170</v>
      </c>
      <c r="F146" s="16" t="str">
        <f>IFERROR(IF([2]对账明细接口!$F$146=0,"",[2]对账明细接口!$F$146),"")</f>
        <v>公司红周转筐</v>
      </c>
      <c r="G146" s="16" t="str">
        <f>IFERROR(IF([2]对账明细接口!$G$146=0,"",[2]对账明细接口!$G$146),"")</f>
        <v/>
      </c>
      <c r="H146" s="17">
        <f>IFERROR(IF([2]对账明细接口!$H$146=0,"",[2]对账明细接口!$H$146),"")</f>
        <v>504</v>
      </c>
      <c r="I146" s="16" t="str">
        <f>IFERROR(IF([2]对账明细接口!$I$146=0,"",[2]对账明细接口!$I$146),"")</f>
        <v>个</v>
      </c>
      <c r="J146" s="18" t="str">
        <f>IFERROR(IF([2]对账明细接口!$J$146=0,"",[2]对账明细接口!$J$146),"")</f>
        <v/>
      </c>
      <c r="K146" s="18" t="str">
        <f>IFERROR(IF([2]对账明细接口!$K$146=0,"",[2]对账明细接口!$K$146),"")</f>
        <v/>
      </c>
      <c r="L146" s="16" t="str">
        <f>IFERROR(IF([2]对账明细接口!$L$146=0,"",[2]对账明细接口!$L$146),"")</f>
        <v/>
      </c>
      <c r="M146" s="16" t="str">
        <f>IFERROR(IF([2]对账明细接口!$M$146=0,"",[2]对账明细接口!$M$146),"")</f>
        <v/>
      </c>
      <c r="N146" s="19">
        <f t="shared" si="12"/>
        <v>1</v>
      </c>
      <c r="O146" s="19">
        <f t="shared" si="13"/>
        <v>143</v>
      </c>
      <c r="S146" s="20" t="str">
        <f>IFERROR(IF([2]对账明细接口!$N146=0,"",[2]对账明细接口!$N146),"")</f>
        <v>公司红周转筐</v>
      </c>
      <c r="T146" s="21">
        <f>IFERROR(IF([2]对账明细接口!$O146=0,"",[2]对账明细接口!$O146),"")</f>
        <v>504</v>
      </c>
      <c r="U146" s="21" t="str">
        <f>IFERROR(IF([2]对账明细接口!$P146=0,"",[2]对账明细接口!$P146),"")</f>
        <v/>
      </c>
      <c r="V146" s="21" t="str">
        <f>IFERROR(IF([2]对账明细接口!$Q146=0,"",[2]对账明细接口!$Q146),"")</f>
        <v/>
      </c>
      <c r="W146" s="20" t="str">
        <f>IFERROR(IF([2]对账明细接口!$R146=0,"",[2]对账明细接口!$R146),"")</f>
        <v>新N*F0M01</v>
      </c>
      <c r="X146" s="20" t="str">
        <f>IFERROR(IF([2]对账明细接口!$S146=0,"",[2]对账明细接口!$S146),"")</f>
        <v>公司筐</v>
      </c>
      <c r="Y146" s="20" t="str">
        <f t="shared" si="14"/>
        <v/>
      </c>
      <c r="Z146" s="20" t="str">
        <f t="shared" si="15"/>
        <v/>
      </c>
      <c r="AA146" s="20" t="str">
        <f t="shared" si="16"/>
        <v/>
      </c>
      <c r="AB146" s="20" t="str">
        <f t="shared" si="17"/>
        <v/>
      </c>
    </row>
    <row r="147" customHeight="1" spans="1:28">
      <c r="A147" s="14">
        <v>147</v>
      </c>
      <c r="B147" s="15">
        <f>IFERROR(IF([2]对账明细接口!$B$147=0,"",[2]对账明细接口!$B$147),"")</f>
        <v>46282</v>
      </c>
      <c r="C147" s="16" t="str">
        <f>IFERROR(IF([2]对账明细接口!$C$147=0,"",[2]对账明细接口!$C$147),"")</f>
        <v>努尔敦</v>
      </c>
      <c r="D147" s="16" t="str">
        <f>IFERROR(IF([2]对账明细接口!$D$147=0,"",[2]对账明细接口!$D$147),"")</f>
        <v>周转筐－领用出库</v>
      </c>
      <c r="E147" s="16" t="str">
        <f>IFERROR(IF([2]对账明细接口!$E$147=0,"",[2]对账明细接口!$E$147),"")</f>
        <v>NO:0001171</v>
      </c>
      <c r="F147" s="16" t="str">
        <f>IFERROR(IF([2]对账明细接口!$F$147=0,"",[2]对账明细接口!$F$147),"")</f>
        <v>公司红周转筐</v>
      </c>
      <c r="G147" s="16" t="str">
        <f>IFERROR(IF([2]对账明细接口!$G$147=0,"",[2]对账明细接口!$G$147),"")</f>
        <v/>
      </c>
      <c r="H147" s="17">
        <f>IFERROR(IF([2]对账明细接口!$H$147=0,"",[2]对账明细接口!$H$147),"")</f>
        <v>344</v>
      </c>
      <c r="I147" s="16" t="str">
        <f>IFERROR(IF([2]对账明细接口!$I$147=0,"",[2]对账明细接口!$I$147),"")</f>
        <v>个</v>
      </c>
      <c r="J147" s="18" t="str">
        <f>IFERROR(IF([2]对账明细接口!$J$147=0,"",[2]对账明细接口!$J$147),"")</f>
        <v/>
      </c>
      <c r="K147" s="18" t="str">
        <f>IFERROR(IF([2]对账明细接口!$K$147=0,"",[2]对账明细接口!$K$147),"")</f>
        <v/>
      </c>
      <c r="L147" s="16" t="str">
        <f>IFERROR(IF([2]对账明细接口!$L$147=0,"",[2]对账明细接口!$L$147),"")</f>
        <v/>
      </c>
      <c r="M147" s="16" t="str">
        <f>IFERROR(IF([2]对账明细接口!$M$147=0,"",[2]对账明细接口!$M$147),"")</f>
        <v/>
      </c>
      <c r="N147" s="19">
        <f t="shared" si="12"/>
        <v>1</v>
      </c>
      <c r="O147" s="19">
        <f t="shared" si="13"/>
        <v>144</v>
      </c>
      <c r="S147" s="20" t="str">
        <f>IFERROR(IF([2]对账明细接口!$N147=0,"",[2]对账明细接口!$N147),"")</f>
        <v>公司红周转筐</v>
      </c>
      <c r="T147" s="21">
        <f>IFERROR(IF([2]对账明细接口!$O147=0,"",[2]对账明细接口!$O147),"")</f>
        <v>344</v>
      </c>
      <c r="U147" s="21" t="str">
        <f>IFERROR(IF([2]对账明细接口!$P147=0,"",[2]对账明细接口!$P147),"")</f>
        <v/>
      </c>
      <c r="V147" s="21" t="str">
        <f>IFERROR(IF([2]对账明细接口!$Q147=0,"",[2]对账明细接口!$Q147),"")</f>
        <v/>
      </c>
      <c r="W147" s="20" t="str">
        <f>IFERROR(IF([2]对账明细接口!$R147=0,"",[2]对账明细接口!$R147),"")</f>
        <v>新F*75240</v>
      </c>
      <c r="X147" s="20" t="str">
        <f>IFERROR(IF([2]对账明细接口!$S147=0,"",[2]对账明细接口!$S147),"")</f>
        <v>公司筐</v>
      </c>
      <c r="Y147" s="20" t="str">
        <f t="shared" si="14"/>
        <v/>
      </c>
      <c r="Z147" s="20" t="str">
        <f t="shared" si="15"/>
        <v/>
      </c>
      <c r="AA147" s="20" t="str">
        <f t="shared" si="16"/>
        <v/>
      </c>
      <c r="AB147" s="20" t="str">
        <f t="shared" si="17"/>
        <v/>
      </c>
    </row>
    <row r="148" customHeight="1" spans="1:28">
      <c r="A148" s="14">
        <v>148</v>
      </c>
      <c r="B148" s="15">
        <f>IFERROR(IF([2]对账明细接口!$B$148=0,"",[2]对账明细接口!$B$148),"")</f>
        <v>46282</v>
      </c>
      <c r="C148" s="16" t="str">
        <f>IFERROR(IF([2]对账明细接口!$C$148=0,"",[2]对账明细接口!$C$148),"")</f>
        <v>王照雪</v>
      </c>
      <c r="D148" s="16" t="str">
        <f>IFERROR(IF([2]对账明细接口!$D$148=0,"",[2]对账明细接口!$D$148),"")</f>
        <v>周转筐－退回入库</v>
      </c>
      <c r="E148" s="16" t="str">
        <f>IFERROR(IF([2]对账明细接口!$E$148=0,"",[2]对账明细接口!$E$148),"")</f>
        <v>NO:0000899</v>
      </c>
      <c r="F148" s="16" t="str">
        <f>IFERROR(IF([2]对账明细接口!$F$148=0,"",[2]对账明细接口!$F$148),"")</f>
        <v>公司杂周转筐</v>
      </c>
      <c r="G148" s="16" t="str">
        <f>IFERROR(IF([2]对账明细接口!$G$148=0,"",[2]对账明细接口!$G$148),"")</f>
        <v/>
      </c>
      <c r="H148" s="17">
        <f>IFERROR(IF([2]对账明细接口!$H$148=0,"",[2]对账明细接口!$H$148),"")</f>
        <v>4</v>
      </c>
      <c r="I148" s="16" t="str">
        <f>IFERROR(IF([2]对账明细接口!$I$148=0,"",[2]对账明细接口!$I$148),"")</f>
        <v>个</v>
      </c>
      <c r="J148" s="18" t="str">
        <f>IFERROR(IF([2]对账明细接口!$J$148=0,"",[2]对账明细接口!$J$148),"")</f>
        <v/>
      </c>
      <c r="K148" s="18" t="str">
        <f>IFERROR(IF([2]对账明细接口!$K$148=0,"",[2]对账明细接口!$K$148),"")</f>
        <v/>
      </c>
      <c r="L148" s="16" t="str">
        <f>IFERROR(IF([2]对账明细接口!$L$148=0,"",[2]对账明细接口!$L$148),"")</f>
        <v/>
      </c>
      <c r="M148" s="16" t="str">
        <f>IFERROR(IF([2]对账明细接口!$M$148=0,"",[2]对账明细接口!$M$148),"")</f>
        <v>电商退回</v>
      </c>
      <c r="N148" s="19">
        <f t="shared" si="12"/>
        <v>1</v>
      </c>
      <c r="O148" s="19">
        <f t="shared" si="13"/>
        <v>145</v>
      </c>
      <c r="S148" s="20" t="str">
        <f>IFERROR(IF([2]对账明细接口!$N148=0,"",[2]对账明细接口!$N148),"")</f>
        <v>公司杂周转筐</v>
      </c>
      <c r="T148" s="21" t="str">
        <f>IFERROR(IF([2]对账明细接口!$O148=0,"",[2]对账明细接口!$O148),"")</f>
        <v/>
      </c>
      <c r="U148" s="21">
        <f>IFERROR(IF([2]对账明细接口!$P148=0,"",[2]对账明细接口!$P148),"")</f>
        <v>4</v>
      </c>
      <c r="V148" s="21" t="str">
        <f>IFERROR(IF([2]对账明细接口!$Q148=0,"",[2]对账明细接口!$Q148),"")</f>
        <v/>
      </c>
      <c r="W148" s="20" t="str">
        <f>IFERROR(IF([2]对账明细接口!$R148=0,"",[2]对账明细接口!$R148),"")</f>
        <v/>
      </c>
      <c r="X148" s="20" t="str">
        <f>IFERROR(IF([2]对账明细接口!$S148=0,"",[2]对账明细接口!$S148),"")</f>
        <v>公司筐</v>
      </c>
      <c r="Y148" s="20" t="str">
        <f t="shared" si="14"/>
        <v/>
      </c>
      <c r="Z148" s="20" t="str">
        <f t="shared" si="15"/>
        <v/>
      </c>
      <c r="AA148" s="20" t="str">
        <f t="shared" si="16"/>
        <v/>
      </c>
      <c r="AB148" s="20" t="str">
        <f t="shared" si="17"/>
        <v/>
      </c>
    </row>
    <row r="149" customHeight="1" spans="1:28">
      <c r="A149" s="14">
        <v>149</v>
      </c>
      <c r="B149" s="15">
        <f>IFERROR(IF([2]对账明细接口!$B$149=0,"",[2]对账明细接口!$B$149),"")</f>
        <v>46283</v>
      </c>
      <c r="C149" s="16" t="str">
        <f>IFERROR(IF([2]对账明细接口!$C$149=0,"",[2]对账明细接口!$C$149),"")</f>
        <v>王照雪</v>
      </c>
      <c r="D149" s="16" t="str">
        <f>IFERROR(IF([2]对账明细接口!$D$149=0,"",[2]对账明细接口!$D$149),"")</f>
        <v>周转筐－领用出库</v>
      </c>
      <c r="E149" s="16" t="str">
        <f>IFERROR(IF([2]对账明细接口!$E$149=0,"",[2]对账明细接口!$E$149),"")</f>
        <v>NO:0001174</v>
      </c>
      <c r="F149" s="16" t="str">
        <f>IFERROR(IF([2]对账明细接口!$F$149=0,"",[2]对账明细接口!$F$149),"")</f>
        <v>公司杂周转筐</v>
      </c>
      <c r="G149" s="16" t="str">
        <f>IFERROR(IF([2]对账明细接口!$G$149=0,"",[2]对账明细接口!$G$149),"")</f>
        <v/>
      </c>
      <c r="H149" s="17">
        <f>IFERROR(IF([2]对账明细接口!$H$149=0,"",[2]对账明细接口!$H$149),"")</f>
        <v>423</v>
      </c>
      <c r="I149" s="16" t="str">
        <f>IFERROR(IF([2]对账明细接口!$I$149=0,"",[2]对账明细接口!$I$149),"")</f>
        <v>个</v>
      </c>
      <c r="J149" s="18" t="str">
        <f>IFERROR(IF([2]对账明细接口!$J$149=0,"",[2]对账明细接口!$J$149),"")</f>
        <v/>
      </c>
      <c r="K149" s="18" t="str">
        <f>IFERROR(IF([2]对账明细接口!$K$149=0,"",[2]对账明细接口!$K$149),"")</f>
        <v/>
      </c>
      <c r="L149" s="16" t="str">
        <f>IFERROR(IF([2]对账明细接口!$L$149=0,"",[2]对账明细接口!$L$149),"")</f>
        <v/>
      </c>
      <c r="M149" s="16" t="str">
        <f>IFERROR(IF([2]对账明细接口!$M$149=0,"",[2]对账明细接口!$M$149),"")</f>
        <v/>
      </c>
      <c r="N149" s="19">
        <f t="shared" si="12"/>
        <v>1</v>
      </c>
      <c r="O149" s="19">
        <f t="shared" si="13"/>
        <v>146</v>
      </c>
      <c r="S149" s="20" t="str">
        <f>IFERROR(IF([2]对账明细接口!$N149=0,"",[2]对账明细接口!$N149),"")</f>
        <v>公司杂周转筐</v>
      </c>
      <c r="T149" s="21">
        <f>IFERROR(IF([2]对账明细接口!$O149=0,"",[2]对账明细接口!$O149),"")</f>
        <v>423</v>
      </c>
      <c r="U149" s="21" t="str">
        <f>IFERROR(IF([2]对账明细接口!$P149=0,"",[2]对账明细接口!$P149),"")</f>
        <v/>
      </c>
      <c r="V149" s="21" t="str">
        <f>IFERROR(IF([2]对账明细接口!$Q149=0,"",[2]对账明细接口!$Q149),"")</f>
        <v/>
      </c>
      <c r="W149" s="20" t="str">
        <f>IFERROR(IF([2]对账明细接口!$R149=0,"",[2]对账明细接口!$R149),"")</f>
        <v>豫L*88X19</v>
      </c>
      <c r="X149" s="20" t="str">
        <f>IFERROR(IF([2]对账明细接口!$S149=0,"",[2]对账明细接口!$S149),"")</f>
        <v>公司筐</v>
      </c>
      <c r="Y149" s="20" t="str">
        <f t="shared" si="14"/>
        <v/>
      </c>
      <c r="Z149" s="20" t="str">
        <f t="shared" si="15"/>
        <v/>
      </c>
      <c r="AA149" s="20" t="str">
        <f t="shared" si="16"/>
        <v/>
      </c>
      <c r="AB149" s="20" t="str">
        <f t="shared" si="17"/>
        <v/>
      </c>
    </row>
    <row r="150" customHeight="1" spans="1:28">
      <c r="A150" s="14">
        <v>150</v>
      </c>
      <c r="B150" s="15">
        <f>IFERROR(IF([2]对账明细接口!$B$150=0,"",[2]对账明细接口!$B$150),"")</f>
        <v>46283</v>
      </c>
      <c r="C150" s="16" t="str">
        <f>IFERROR(IF([2]对账明细接口!$C$150=0,"",[2]对账明细接口!$C$150),"")</f>
        <v>全修塑业</v>
      </c>
      <c r="D150" s="16" t="str">
        <f>IFERROR(IF([2]对账明细接口!$D$150=0,"",[2]对账明细接口!$D$150),"")</f>
        <v>周转筐－采购入库</v>
      </c>
      <c r="E150" s="16" t="str">
        <f>IFERROR(IF([2]对账明细接口!$E$150=0,"",[2]对账明细接口!$E$150),"")</f>
        <v>NO:0000900</v>
      </c>
      <c r="F150" s="16" t="str">
        <f>IFERROR(IF([2]对账明细接口!$F$150=0,"",[2]对账明细接口!$F$150),"")</f>
        <v>公司红周转筐</v>
      </c>
      <c r="G150" s="16" t="str">
        <f>IFERROR(IF([2]对账明细接口!$G$150=0,"",[2]对账明细接口!$G$150),"")</f>
        <v/>
      </c>
      <c r="H150" s="17">
        <f>IFERROR(IF([2]对账明细接口!$H$150=0,"",[2]对账明细接口!$H$150),"")</f>
        <v>960</v>
      </c>
      <c r="I150" s="16" t="str">
        <f>IFERROR(IF([2]对账明细接口!$I$150=0,"",[2]对账明细接口!$I$150),"")</f>
        <v>个</v>
      </c>
      <c r="J150" s="18" t="str">
        <f>IFERROR(IF([2]对账明细接口!$J$150=0,"",[2]对账明细接口!$J$150),"")</f>
        <v/>
      </c>
      <c r="K150" s="18">
        <f>IFERROR(IF([2]对账明细接口!$K$150=0,"",[2]对账明细接口!$K$150),"")</f>
        <v>9600</v>
      </c>
      <c r="L150" s="16" t="str">
        <f>IFERROR(IF([2]对账明细接口!$L$150=0,"",[2]对账明细接口!$L$150),"")</f>
        <v>未付款</v>
      </c>
      <c r="M150" s="16" t="str">
        <f>IFERROR(IF([2]对账明细接口!$M$150=0,"",[2]对账明细接口!$M$150),"")</f>
        <v>NO:0017235</v>
      </c>
      <c r="N150" s="19">
        <f t="shared" si="12"/>
        <v>1</v>
      </c>
      <c r="O150" s="19">
        <f t="shared" si="13"/>
        <v>147</v>
      </c>
      <c r="S150" s="20" t="str">
        <f>IFERROR(IF([2]对账明细接口!$N150=0,"",[2]对账明细接口!$N150),"")</f>
        <v>公司红周转筐</v>
      </c>
      <c r="T150" s="21" t="str">
        <f>IFERROR(IF([2]对账明细接口!$O150=0,"",[2]对账明细接口!$O150),"")</f>
        <v/>
      </c>
      <c r="U150" s="21" t="str">
        <f>IFERROR(IF([2]对账明细接口!$P150=0,"",[2]对账明细接口!$P150),"")</f>
        <v/>
      </c>
      <c r="V150" s="21">
        <f>IFERROR(IF([2]对账明细接口!$Q150=0,"",[2]对账明细接口!$Q150),"")</f>
        <v>960</v>
      </c>
      <c r="W150" s="20" t="str">
        <f>IFERROR(IF([2]对账明细接口!$R150=0,"",[2]对账明细接口!$R150),"")</f>
        <v>新N*49209</v>
      </c>
      <c r="X150" s="20" t="str">
        <f>IFERROR(IF([2]对账明细接口!$S150=0,"",[2]对账明细接口!$S150),"")</f>
        <v>公司筐</v>
      </c>
      <c r="Y150" s="20" t="str">
        <f t="shared" si="14"/>
        <v/>
      </c>
      <c r="Z150" s="20" t="str">
        <f t="shared" si="15"/>
        <v/>
      </c>
      <c r="AA150" s="20" t="str">
        <f t="shared" si="16"/>
        <v/>
      </c>
      <c r="AB150" s="20" t="str">
        <f t="shared" si="17"/>
        <v/>
      </c>
    </row>
    <row r="151" customHeight="1" spans="1:28">
      <c r="A151" s="14">
        <v>151</v>
      </c>
      <c r="B151" s="15">
        <f>IFERROR(IF([2]对账明细接口!$B$151=0,"",[2]对账明细接口!$B$151),"")</f>
        <v>46283</v>
      </c>
      <c r="C151" s="16" t="str">
        <f>IFERROR(IF([2]对账明细接口!$C$151=0,"",[2]对账明细接口!$C$151),"")</f>
        <v>王灵云</v>
      </c>
      <c r="D151" s="16" t="str">
        <f>IFERROR(IF([2]对账明细接口!$D$151=0,"",[2]对账明细接口!$D$151),"")</f>
        <v>周转筐－领用出库</v>
      </c>
      <c r="E151" s="16" t="str">
        <f>IFERROR(IF([2]对账明细接口!$E$151=0,"",[2]对账明细接口!$E$151),"")</f>
        <v>NO:0001176</v>
      </c>
      <c r="F151" s="16" t="str">
        <f>IFERROR(IF([2]对账明细接口!$F$151=0,"",[2]对账明细接口!$F$151),"")</f>
        <v>公司红周转筐</v>
      </c>
      <c r="G151" s="16" t="str">
        <f>IFERROR(IF([2]对账明细接口!$G$151=0,"",[2]对账明细接口!$G$151),"")</f>
        <v/>
      </c>
      <c r="H151" s="17">
        <f>IFERROR(IF([2]对账明细接口!$H$151=0,"",[2]对账明细接口!$H$151),"")</f>
        <v>960</v>
      </c>
      <c r="I151" s="16" t="str">
        <f>IFERROR(IF([2]对账明细接口!$I$151=0,"",[2]对账明细接口!$I$151),"")</f>
        <v>个</v>
      </c>
      <c r="J151" s="18" t="str">
        <f>IFERROR(IF([2]对账明细接口!$J$151=0,"",[2]对账明细接口!$J$151),"")</f>
        <v/>
      </c>
      <c r="K151" s="18" t="str">
        <f>IFERROR(IF([2]对账明细接口!$K$151=0,"",[2]对账明细接口!$K$151),"")</f>
        <v/>
      </c>
      <c r="L151" s="16" t="str">
        <f>IFERROR(IF([2]对账明细接口!$L$151=0,"",[2]对账明细接口!$L$151),"")</f>
        <v/>
      </c>
      <c r="M151" s="16" t="str">
        <f>IFERROR(IF([2]对账明细接口!$M$151=0,"",[2]对账明细接口!$M$151),"")</f>
        <v/>
      </c>
      <c r="N151" s="19">
        <f t="shared" si="12"/>
        <v>1</v>
      </c>
      <c r="O151" s="19">
        <f t="shared" si="13"/>
        <v>148</v>
      </c>
      <c r="S151" s="20" t="str">
        <f>IFERROR(IF([2]对账明细接口!$N151=0,"",[2]对账明细接口!$N151),"")</f>
        <v>公司红周转筐</v>
      </c>
      <c r="T151" s="21">
        <f>IFERROR(IF([2]对账明细接口!$O151=0,"",[2]对账明细接口!$O151),"")</f>
        <v>960</v>
      </c>
      <c r="U151" s="21" t="str">
        <f>IFERROR(IF([2]对账明细接口!$P151=0,"",[2]对账明细接口!$P151),"")</f>
        <v/>
      </c>
      <c r="V151" s="21" t="str">
        <f>IFERROR(IF([2]对账明细接口!$Q151=0,"",[2]对账明细接口!$Q151),"")</f>
        <v/>
      </c>
      <c r="W151" s="20" t="str">
        <f>IFERROR(IF([2]对账明细接口!$R151=0,"",[2]对账明细接口!$R151),"")</f>
        <v>新N*49209</v>
      </c>
      <c r="X151" s="20" t="str">
        <f>IFERROR(IF([2]对账明细接口!$S151=0,"",[2]对账明细接口!$S151),"")</f>
        <v>公司筐</v>
      </c>
      <c r="Y151" s="20" t="str">
        <f t="shared" si="14"/>
        <v/>
      </c>
      <c r="Z151" s="20" t="str">
        <f t="shared" si="15"/>
        <v/>
      </c>
      <c r="AA151" s="20" t="str">
        <f t="shared" si="16"/>
        <v/>
      </c>
      <c r="AB151" s="20" t="str">
        <f t="shared" si="17"/>
        <v/>
      </c>
    </row>
    <row r="152" customHeight="1" spans="1:28">
      <c r="A152" s="14">
        <v>152</v>
      </c>
      <c r="B152" s="15">
        <f>IFERROR(IF([2]对账明细接口!$B$152=0,"",[2]对账明细接口!$B$152),"")</f>
        <v>46283</v>
      </c>
      <c r="C152" s="16" t="str">
        <f>IFERROR(IF([2]对账明细接口!$C$152=0,"",[2]对账明细接口!$C$152),"")</f>
        <v>王照雪</v>
      </c>
      <c r="D152" s="16" t="str">
        <f>IFERROR(IF([2]对账明细接口!$D$152=0,"",[2]对账明细接口!$D$152),"")</f>
        <v>周转筐－领用出库</v>
      </c>
      <c r="E152" s="16" t="str">
        <f>IFERROR(IF([2]对账明细接口!$E$152=0,"",[2]对账明细接口!$E$152),"")</f>
        <v>NO:0001178</v>
      </c>
      <c r="F152" s="16" t="str">
        <f>IFERROR(IF([2]对账明细接口!$F$152=0,"",[2]对账明细接口!$F$152),"")</f>
        <v>公司一次性筐</v>
      </c>
      <c r="G152" s="16" t="str">
        <f>IFERROR(IF([2]对账明细接口!$G$152=0,"",[2]对账明细接口!$G$152),"")</f>
        <v/>
      </c>
      <c r="H152" s="17">
        <f>IFERROR(IF([2]对账明细接口!$H$152=0,"",[2]对账明细接口!$H$152),"")</f>
        <v>423</v>
      </c>
      <c r="I152" s="16" t="str">
        <f>IFERROR(IF([2]对账明细接口!$I$152=0,"",[2]对账明细接口!$I$152),"")</f>
        <v>个</v>
      </c>
      <c r="J152" s="18" t="str">
        <f>IFERROR(IF([2]对账明细接口!$J$152=0,"",[2]对账明细接口!$J$152),"")</f>
        <v/>
      </c>
      <c r="K152" s="18" t="str">
        <f>IFERROR(IF([2]对账明细接口!$K$152=0,"",[2]对账明细接口!$K$152),"")</f>
        <v/>
      </c>
      <c r="L152" s="16" t="str">
        <f>IFERROR(IF([2]对账明细接口!$L$152=0,"",[2]对账明细接口!$L$152),"")</f>
        <v/>
      </c>
      <c r="M152" s="16" t="str">
        <f>IFERROR(IF([2]对账明细接口!$M$152=0,"",[2]对账明细接口!$M$152),"")</f>
        <v/>
      </c>
      <c r="N152" s="19">
        <f t="shared" si="12"/>
        <v>1</v>
      </c>
      <c r="O152" s="19">
        <f t="shared" si="13"/>
        <v>149</v>
      </c>
      <c r="S152" s="20" t="str">
        <f>IFERROR(IF([2]对账明细接口!$N152=0,"",[2]对账明细接口!$N152),"")</f>
        <v>公司一次性筐</v>
      </c>
      <c r="T152" s="21">
        <f>IFERROR(IF([2]对账明细接口!$O152=0,"",[2]对账明细接口!$O152),"")</f>
        <v>423</v>
      </c>
      <c r="U152" s="21" t="str">
        <f>IFERROR(IF([2]对账明细接口!$P152=0,"",[2]对账明细接口!$P152),"")</f>
        <v/>
      </c>
      <c r="V152" s="21" t="str">
        <f>IFERROR(IF([2]对账明细接口!$Q152=0,"",[2]对账明细接口!$Q152),"")</f>
        <v/>
      </c>
      <c r="W152" s="20" t="str">
        <f>IFERROR(IF([2]对账明细接口!$R152=0,"",[2]对账明细接口!$R152),"")</f>
        <v>豫L*88X19</v>
      </c>
      <c r="X152" s="20" t="str">
        <f>IFERROR(IF([2]对账明细接口!$S152=0,"",[2]对账明细接口!$S152),"")</f>
        <v>公司筐</v>
      </c>
      <c r="Y152" s="20" t="str">
        <f t="shared" si="14"/>
        <v/>
      </c>
      <c r="Z152" s="20" t="str">
        <f t="shared" si="15"/>
        <v/>
      </c>
      <c r="AA152" s="20" t="str">
        <f t="shared" si="16"/>
        <v/>
      </c>
      <c r="AB152" s="20" t="str">
        <f t="shared" si="17"/>
        <v/>
      </c>
    </row>
    <row r="153" customHeight="1" spans="1:28">
      <c r="A153" s="14">
        <v>153</v>
      </c>
      <c r="B153" s="15">
        <f>IFERROR(IF([2]对账明细接口!$B$153=0,"",[2]对账明细接口!$B$153),"")</f>
        <v>46277</v>
      </c>
      <c r="C153" s="16" t="str">
        <f>IFERROR(IF([2]对账明细接口!$C$153=0,"",[2]对账明细接口!$C$153),"")</f>
        <v>王照雪</v>
      </c>
      <c r="D153" s="16" t="str">
        <f>IFERROR(IF([2]对账明细接口!$D$153=0,"",[2]对账明细接口!$D$153),"")</f>
        <v>客户自备筐－</v>
      </c>
      <c r="E153" s="16" t="str">
        <f>IFERROR(IF([2]对账明细接口!$E$153=0,"",[2]对账明细接口!$E$153),"")</f>
        <v/>
      </c>
      <c r="F153" s="16" t="str">
        <f>IFERROR(IF([2]对账明细接口!$F$153=0,"",[2]对账明细接口!$F$153),"")</f>
        <v>自备一次性筐</v>
      </c>
      <c r="G153" s="16" t="str">
        <f>IFERROR(IF([2]对账明细接口!$G$153=0,"",[2]对账明细接口!$G$153),"")</f>
        <v/>
      </c>
      <c r="H153" s="17">
        <f>IFERROR(IF([2]对账明细接口!$H$153=0,"",[2]对账明细接口!$H$153),"")</f>
        <v>1000</v>
      </c>
      <c r="I153" s="16" t="str">
        <f>IFERROR(IF([2]对账明细接口!$I$153=0,"",[2]对账明细接口!$I$153),"")</f>
        <v>个</v>
      </c>
      <c r="J153" s="18" t="str">
        <f>IFERROR(IF([2]对账明细接口!$J$153=0,"",[2]对账明细接口!$J$153),"")</f>
        <v/>
      </c>
      <c r="K153" s="18" t="str">
        <f>IFERROR(IF([2]对账明细接口!$K$153=0,"",[2]对账明细接口!$K$153),"")</f>
        <v/>
      </c>
      <c r="L153" s="16" t="str">
        <f>IFERROR(IF([2]对账明细接口!$L$153=0,"",[2]对账明细接口!$L$153),"")</f>
        <v/>
      </c>
      <c r="M153" s="16" t="str">
        <f>IFERROR(IF([2]对账明细接口!$M$153=0,"",[2]对账明细接口!$M$153),"")</f>
        <v>黑筐</v>
      </c>
      <c r="N153" s="19">
        <f t="shared" si="12"/>
        <v>1</v>
      </c>
      <c r="O153" s="19">
        <f t="shared" si="13"/>
        <v>150</v>
      </c>
      <c r="S153" s="20" t="str">
        <f>IFERROR(IF([2]对账明细接口!$N153=0,"",[2]对账明细接口!$N153),"")</f>
        <v>自备一次性筐</v>
      </c>
      <c r="T153" s="21" t="str">
        <f>IFERROR(IF([2]对账明细接口!$O153=0,"",[2]对账明细接口!$O153),"")</f>
        <v/>
      </c>
      <c r="U153" s="21" t="str">
        <f>IFERROR(IF([2]对账明细接口!$P153=0,"",[2]对账明细接口!$P153),"")</f>
        <v/>
      </c>
      <c r="V153" s="21">
        <f>IFERROR(IF([2]对账明细接口!$Q153=0,"",[2]对账明细接口!$Q153),"")</f>
        <v>1000</v>
      </c>
      <c r="W153" s="20" t="str">
        <f>IFERROR(IF([2]对账明细接口!$R153=0,"",[2]对账明细接口!$R153),"")</f>
        <v/>
      </c>
      <c r="X153" s="20" t="str">
        <f>IFERROR(IF([2]对账明细接口!$S153=0,"",[2]对账明细接口!$S153),"")</f>
        <v>自备筐</v>
      </c>
      <c r="Y153" s="20" t="str">
        <f t="shared" si="14"/>
        <v/>
      </c>
      <c r="Z153" s="20" t="str">
        <f t="shared" si="15"/>
        <v/>
      </c>
      <c r="AA153" s="20" t="str">
        <f t="shared" si="16"/>
        <v/>
      </c>
      <c r="AB153" s="20" t="str">
        <f t="shared" si="17"/>
        <v/>
      </c>
    </row>
    <row r="154" customHeight="1" spans="1:28">
      <c r="A154" s="14">
        <v>154</v>
      </c>
      <c r="B154" s="15">
        <f>IFERROR(IF([2]对账明细接口!$B$154=0,"",[2]对账明细接口!$B$154),"")</f>
        <v>46278</v>
      </c>
      <c r="C154" s="16" t="str">
        <f>IFERROR(IF([2]对账明细接口!$C$154=0,"",[2]对账明细接口!$C$154),"")</f>
        <v>王照雪</v>
      </c>
      <c r="D154" s="16" t="str">
        <f>IFERROR(IF([2]对账明细接口!$D$154=0,"",[2]对账明细接口!$D$154),"")</f>
        <v>客户自备筐－拉扎伤果</v>
      </c>
      <c r="E154" s="16" t="str">
        <f>IFERROR(IF([2]对账明细接口!$E$154=0,"",[2]对账明细接口!$E$154),"")</f>
        <v>NO:0001134</v>
      </c>
      <c r="F154" s="16" t="str">
        <f>IFERROR(IF([2]对账明细接口!$F$154=0,"",[2]对账明细接口!$F$154),"")</f>
        <v>自备一次性筐</v>
      </c>
      <c r="G154" s="16" t="str">
        <f>IFERROR(IF([2]对账明细接口!$G$154=0,"",[2]对账明细接口!$G$154),"")</f>
        <v/>
      </c>
      <c r="H154" s="17">
        <f>IFERROR(IF([2]对账明细接口!$H$154=0,"",[2]对账明细接口!$H$154),"")</f>
        <v>12</v>
      </c>
      <c r="I154" s="16" t="str">
        <f>IFERROR(IF([2]对账明细接口!$I$154=0,"",[2]对账明细接口!$I$154),"")</f>
        <v>个</v>
      </c>
      <c r="J154" s="18" t="str">
        <f>IFERROR(IF([2]对账明细接口!$J$154=0,"",[2]对账明细接口!$J$154),"")</f>
        <v/>
      </c>
      <c r="K154" s="18" t="str">
        <f>IFERROR(IF([2]对账明细接口!$K$154=0,"",[2]对账明细接口!$K$154),"")</f>
        <v/>
      </c>
      <c r="L154" s="16" t="str">
        <f>IFERROR(IF([2]对账明细接口!$L$154=0,"",[2]对账明细接口!$L$154),"")</f>
        <v/>
      </c>
      <c r="M154" s="16" t="str">
        <f>IFERROR(IF([2]对账明细接口!$M$154=0,"",[2]对账明细接口!$M$154),"")</f>
        <v>黑筐</v>
      </c>
      <c r="N154" s="19">
        <f t="shared" si="12"/>
        <v>1</v>
      </c>
      <c r="O154" s="19">
        <f t="shared" si="13"/>
        <v>151</v>
      </c>
      <c r="S154" s="20" t="str">
        <f>IFERROR(IF([2]对账明细接口!$N154=0,"",[2]对账明细接口!$N154),"")</f>
        <v>自备一次性筐</v>
      </c>
      <c r="T154" s="21">
        <f>IFERROR(IF([2]对账明细接口!$O154=0,"",[2]对账明细接口!$O154),"")</f>
        <v>12</v>
      </c>
      <c r="U154" s="21" t="str">
        <f>IFERROR(IF([2]对账明细接口!$P154=0,"",[2]对账明细接口!$P154),"")</f>
        <v/>
      </c>
      <c r="V154" s="21" t="str">
        <f>IFERROR(IF([2]对账明细接口!$Q154=0,"",[2]对账明细接口!$Q154),"")</f>
        <v/>
      </c>
      <c r="W154" s="20" t="str">
        <f>IFERROR(IF([2]对账明细接口!$R154=0,"",[2]对账明细接口!$R154),"")</f>
        <v>新R*45654</v>
      </c>
      <c r="X154" s="20" t="str">
        <f>IFERROR(IF([2]对账明细接口!$S154=0,"",[2]对账明细接口!$S154),"")</f>
        <v>自备筐</v>
      </c>
      <c r="Y154" s="20" t="str">
        <f t="shared" si="14"/>
        <v/>
      </c>
      <c r="Z154" s="20" t="str">
        <f t="shared" si="15"/>
        <v/>
      </c>
      <c r="AA154" s="20" t="str">
        <f t="shared" si="16"/>
        <v/>
      </c>
      <c r="AB154" s="20" t="str">
        <f t="shared" si="17"/>
        <v/>
      </c>
    </row>
    <row r="155" customHeight="1" spans="1:28">
      <c r="A155" s="14">
        <v>155</v>
      </c>
      <c r="B155" s="15">
        <f>IFERROR(IF([2]对账明细接口!$B$155=0,"",[2]对账明细接口!$B$155),"")</f>
        <v>46280</v>
      </c>
      <c r="C155" s="16" t="str">
        <f>IFERROR(IF([2]对账明细接口!$C$155=0,"",[2]对账明细接口!$C$155),"")</f>
        <v>麦麦提</v>
      </c>
      <c r="D155" s="16" t="str">
        <f>IFERROR(IF([2]对账明细接口!$D$155=0,"",[2]对账明细接口!$D$155),"")</f>
        <v>客户自备筐－</v>
      </c>
      <c r="E155" s="16" t="str">
        <f>IFERROR(IF([2]对账明细接口!$E$155=0,"",[2]对账明细接口!$E$155),"")</f>
        <v/>
      </c>
      <c r="F155" s="16" t="str">
        <f>IFERROR(IF([2]对账明细接口!$F$155=0,"",[2]对账明细接口!$F$155),"")</f>
        <v>自备一次性筐</v>
      </c>
      <c r="G155" s="16" t="str">
        <f>IFERROR(IF([2]对账明细接口!$G$155=0,"",[2]对账明细接口!$G$155),"")</f>
        <v/>
      </c>
      <c r="H155" s="17">
        <f>IFERROR(IF([2]对账明细接口!$H$155=0,"",[2]对账明细接口!$H$155),"")</f>
        <v>546</v>
      </c>
      <c r="I155" s="16" t="str">
        <f>IFERROR(IF([2]对账明细接口!$I$155=0,"",[2]对账明细接口!$I$155),"")</f>
        <v>个</v>
      </c>
      <c r="J155" s="18" t="str">
        <f>IFERROR(IF([2]对账明细接口!$J$155=0,"",[2]对账明细接口!$J$155),"")</f>
        <v/>
      </c>
      <c r="K155" s="18" t="str">
        <f>IFERROR(IF([2]对账明细接口!$K$155=0,"",[2]对账明细接口!$K$155),"")</f>
        <v/>
      </c>
      <c r="L155" s="16" t="str">
        <f>IFERROR(IF([2]对账明细接口!$L$155=0,"",[2]对账明细接口!$L$155),"")</f>
        <v/>
      </c>
      <c r="M155" s="16" t="str">
        <f>IFERROR(IF([2]对账明细接口!$M$155=0,"",[2]对账明细接口!$M$155),"")</f>
        <v>蓝筐</v>
      </c>
      <c r="N155" s="19">
        <f t="shared" si="12"/>
        <v>1</v>
      </c>
      <c r="O155" s="19">
        <f t="shared" si="13"/>
        <v>152</v>
      </c>
      <c r="S155" s="20" t="str">
        <f>IFERROR(IF([2]对账明细接口!$N155=0,"",[2]对账明细接口!$N155),"")</f>
        <v>自备一次性筐</v>
      </c>
      <c r="T155" s="21" t="str">
        <f>IFERROR(IF([2]对账明细接口!$O155=0,"",[2]对账明细接口!$O155),"")</f>
        <v/>
      </c>
      <c r="U155" s="21" t="str">
        <f>IFERROR(IF([2]对账明细接口!$P155=0,"",[2]对账明细接口!$P155),"")</f>
        <v/>
      </c>
      <c r="V155" s="21">
        <f>IFERROR(IF([2]对账明细接口!$Q155=0,"",[2]对账明细接口!$Q155),"")</f>
        <v>546</v>
      </c>
      <c r="W155" s="20" t="str">
        <f>IFERROR(IF([2]对账明细接口!$R155=0,"",[2]对账明细接口!$R155),"")</f>
        <v/>
      </c>
      <c r="X155" s="20" t="str">
        <f>IFERROR(IF([2]对账明细接口!$S155=0,"",[2]对账明细接口!$S155),"")</f>
        <v>自备筐</v>
      </c>
      <c r="Y155" s="20" t="str">
        <f t="shared" si="14"/>
        <v/>
      </c>
      <c r="Z155" s="20" t="str">
        <f t="shared" si="15"/>
        <v/>
      </c>
      <c r="AA155" s="20" t="str">
        <f t="shared" si="16"/>
        <v/>
      </c>
      <c r="AB155" s="20" t="str">
        <f t="shared" si="17"/>
        <v/>
      </c>
    </row>
    <row r="156" customHeight="1" spans="1:28">
      <c r="A156" s="14">
        <v>156</v>
      </c>
      <c r="B156" s="15">
        <f>IFERROR(IF([2]对账明细接口!$B$156=0,"",[2]对账明细接口!$B$156),"")</f>
        <v>46281</v>
      </c>
      <c r="C156" s="16" t="str">
        <f>IFERROR(IF([2]对账明细接口!$C$156=0,"",[2]对账明细接口!$C$156),"")</f>
        <v>王灵云</v>
      </c>
      <c r="D156" s="16" t="str">
        <f>IFERROR(IF([2]对账明细接口!$D$156=0,"",[2]对账明细接口!$D$156),"")</f>
        <v>客户自备筐－</v>
      </c>
      <c r="E156" s="16" t="str">
        <f>IFERROR(IF([2]对账明细接口!$E$156=0,"",[2]对账明细接口!$E$156),"")</f>
        <v/>
      </c>
      <c r="F156" s="16" t="str">
        <f>IFERROR(IF([2]对账明细接口!$F$156=0,"",[2]对账明细接口!$F$156),"")</f>
        <v>自备一次性筐</v>
      </c>
      <c r="G156" s="16" t="str">
        <f>IFERROR(IF([2]对账明细接口!$G$156=0,"",[2]对账明细接口!$G$156),"")</f>
        <v/>
      </c>
      <c r="H156" s="17">
        <f>IFERROR(IF([2]对账明细接口!$H$156=0,"",[2]对账明细接口!$H$156),"")</f>
        <v>1000</v>
      </c>
      <c r="I156" s="16" t="str">
        <f>IFERROR(IF([2]对账明细接口!$I$156=0,"",[2]对账明细接口!$I$156),"")</f>
        <v>个</v>
      </c>
      <c r="J156" s="18" t="str">
        <f>IFERROR(IF([2]对账明细接口!$J$156=0,"",[2]对账明细接口!$J$156),"")</f>
        <v/>
      </c>
      <c r="K156" s="18" t="str">
        <f>IFERROR(IF([2]对账明细接口!$K$156=0,"",[2]对账明细接口!$K$156),"")</f>
        <v/>
      </c>
      <c r="L156" s="16" t="str">
        <f>IFERROR(IF([2]对账明细接口!$L$156=0,"",[2]对账明细接口!$L$156),"")</f>
        <v/>
      </c>
      <c r="M156" s="16" t="str">
        <f>IFERROR(IF([2]对账明细接口!$M$156=0,"",[2]对账明细接口!$M$156),"")</f>
        <v>黑筐</v>
      </c>
      <c r="N156" s="19">
        <f t="shared" si="12"/>
        <v>1</v>
      </c>
      <c r="O156" s="19">
        <f t="shared" si="13"/>
        <v>153</v>
      </c>
      <c r="S156" s="20" t="str">
        <f>IFERROR(IF([2]对账明细接口!$N156=0,"",[2]对账明细接口!$N156),"")</f>
        <v>自备一次性筐</v>
      </c>
      <c r="T156" s="21" t="str">
        <f>IFERROR(IF([2]对账明细接口!$O156=0,"",[2]对账明细接口!$O156),"")</f>
        <v/>
      </c>
      <c r="U156" s="21" t="str">
        <f>IFERROR(IF([2]对账明细接口!$P156=0,"",[2]对账明细接口!$P156),"")</f>
        <v/>
      </c>
      <c r="V156" s="21">
        <f>IFERROR(IF([2]对账明细接口!$Q156=0,"",[2]对账明细接口!$Q156),"")</f>
        <v>1000</v>
      </c>
      <c r="W156" s="20" t="str">
        <f>IFERROR(IF([2]对账明细接口!$R156=0,"",[2]对账明细接口!$R156),"")</f>
        <v/>
      </c>
      <c r="X156" s="20" t="str">
        <f>IFERROR(IF([2]对账明细接口!$S156=0,"",[2]对账明细接口!$S156),"")</f>
        <v>自备筐</v>
      </c>
      <c r="Y156" s="20" t="str">
        <f t="shared" si="14"/>
        <v/>
      </c>
      <c r="Z156" s="20" t="str">
        <f t="shared" si="15"/>
        <v/>
      </c>
      <c r="AA156" s="20" t="str">
        <f t="shared" si="16"/>
        <v/>
      </c>
      <c r="AB156" s="20" t="str">
        <f t="shared" si="17"/>
        <v/>
      </c>
    </row>
    <row r="157" customHeight="1" spans="1:28">
      <c r="A157" s="14">
        <v>157</v>
      </c>
      <c r="B157" s="15">
        <f>IFERROR(IF([2]对账明细接口!$B$157=0,"",[2]对账明细接口!$B$157),"")</f>
        <v>46282</v>
      </c>
      <c r="C157" s="16" t="str">
        <f>IFERROR(IF([2]对账明细接口!$C$157=0,"",[2]对账明细接口!$C$157),"")</f>
        <v>麦麦提</v>
      </c>
      <c r="D157" s="16" t="str">
        <f>IFERROR(IF([2]对账明细接口!$D$157=0,"",[2]对账明细接口!$D$157),"")</f>
        <v>客户自备筐－</v>
      </c>
      <c r="E157" s="16" t="str">
        <f>IFERROR(IF([2]对账明细接口!$E$157=0,"",[2]对账明细接口!$E$157),"")</f>
        <v/>
      </c>
      <c r="F157" s="16" t="str">
        <f>IFERROR(IF([2]对账明细接口!$F$157=0,"",[2]对账明细接口!$F$157),"")</f>
        <v>自备一次性筐</v>
      </c>
      <c r="G157" s="16" t="str">
        <f>IFERROR(IF([2]对账明细接口!$G$157=0,"",[2]对账明细接口!$G$157),"")</f>
        <v/>
      </c>
      <c r="H157" s="17">
        <f>IFERROR(IF([2]对账明细接口!$H$157=0,"",[2]对账明细接口!$H$157),"")</f>
        <v>546</v>
      </c>
      <c r="I157" s="16" t="str">
        <f>IFERROR(IF([2]对账明细接口!$I$157=0,"",[2]对账明细接口!$I$157),"")</f>
        <v>个</v>
      </c>
      <c r="J157" s="18" t="str">
        <f>IFERROR(IF([2]对账明细接口!$J$157=0,"",[2]对账明细接口!$J$157),"")</f>
        <v/>
      </c>
      <c r="K157" s="18" t="str">
        <f>IFERROR(IF([2]对账明细接口!$K$157=0,"",[2]对账明细接口!$K$157),"")</f>
        <v/>
      </c>
      <c r="L157" s="16" t="str">
        <f>IFERROR(IF([2]对账明细接口!$L$157=0,"",[2]对账明细接口!$L$157),"")</f>
        <v/>
      </c>
      <c r="M157" s="16" t="str">
        <f>IFERROR(IF([2]对账明细接口!$M$157=0,"",[2]对账明细接口!$M$157),"")</f>
        <v>蓝筐</v>
      </c>
      <c r="N157" s="19">
        <f t="shared" si="12"/>
        <v>1</v>
      </c>
      <c r="O157" s="19">
        <f t="shared" si="13"/>
        <v>154</v>
      </c>
      <c r="S157" s="20" t="str">
        <f>IFERROR(IF([2]对账明细接口!$N157=0,"",[2]对账明细接口!$N157),"")</f>
        <v>自备一次性筐</v>
      </c>
      <c r="T157" s="21" t="str">
        <f>IFERROR(IF([2]对账明细接口!$O157=0,"",[2]对账明细接口!$O157),"")</f>
        <v/>
      </c>
      <c r="U157" s="21" t="str">
        <f>IFERROR(IF([2]对账明细接口!$P157=0,"",[2]对账明细接口!$P157),"")</f>
        <v/>
      </c>
      <c r="V157" s="21">
        <f>IFERROR(IF([2]对账明细接口!$Q157=0,"",[2]对账明细接口!$Q157),"")</f>
        <v>546</v>
      </c>
      <c r="W157" s="20" t="str">
        <f>IFERROR(IF([2]对账明细接口!$R157=0,"",[2]对账明细接口!$R157),"")</f>
        <v/>
      </c>
      <c r="X157" s="20" t="str">
        <f>IFERROR(IF([2]对账明细接口!$S157=0,"",[2]对账明细接口!$S157),"")</f>
        <v>自备筐</v>
      </c>
      <c r="Y157" s="20" t="str">
        <f t="shared" si="14"/>
        <v/>
      </c>
      <c r="Z157" s="20" t="str">
        <f t="shared" si="15"/>
        <v/>
      </c>
      <c r="AA157" s="20" t="str">
        <f t="shared" si="16"/>
        <v/>
      </c>
      <c r="AB157" s="20" t="str">
        <f t="shared" si="17"/>
        <v/>
      </c>
    </row>
    <row r="158" customHeight="1" spans="1:28">
      <c r="A158" s="14">
        <v>158</v>
      </c>
      <c r="B158" s="15">
        <f>IFERROR(IF([2]对账明细接口!$B$158=0,"",[2]对账明细接口!$B$158),"")</f>
        <v>46280</v>
      </c>
      <c r="C158" s="16" t="str">
        <f>IFERROR(IF([2]对账明细接口!$C$158=0,"",[2]对账明细接口!$C$158),"")</f>
        <v>王照雪</v>
      </c>
      <c r="D158" s="16" t="str">
        <f>IFERROR(IF([2]对账明细接口!$D$158=0,"",[2]对账明细接口!$D$158),"")</f>
        <v>次果筐/托盘－领用出库</v>
      </c>
      <c r="E158" s="16" t="str">
        <f>IFERROR(IF([2]对账明细接口!$E$158=0,"",[2]对账明细接口!$E$158),"")</f>
        <v>NO:0001147</v>
      </c>
      <c r="F158" s="16" t="str">
        <f>IFERROR(IF([2]对账明细接口!$F$158=0,"",[2]对账明细接口!$F$158),"")</f>
        <v>大托盘</v>
      </c>
      <c r="G158" s="16" t="str">
        <f>IFERROR(IF([2]对账明细接口!$G$158=0,"",[2]对账明细接口!$G$158),"")</f>
        <v/>
      </c>
      <c r="H158" s="17">
        <f>IFERROR(IF([2]对账明细接口!$H$158=0,"",[2]对账明细接口!$H$158),"")</f>
        <v>1</v>
      </c>
      <c r="I158" s="16" t="str">
        <f>IFERROR(IF([2]对账明细接口!$I$158=0,"",[2]对账明细接口!$I$158),"")</f>
        <v>个</v>
      </c>
      <c r="J158" s="18" t="str">
        <f>IFERROR(IF([2]对账明细接口!$J$158=0,"",[2]对账明细接口!$J$158),"")</f>
        <v/>
      </c>
      <c r="K158" s="18">
        <f>IFERROR(IF([2]对账明细接口!$K$158=0,"",[2]对账明细接口!$K$158),"")</f>
        <v>100</v>
      </c>
      <c r="L158" s="16" t="str">
        <f>IFERROR(IF([2]对账明细接口!$L$158=0,"",[2]对账明细接口!$L$158),"")</f>
        <v/>
      </c>
      <c r="M158" s="16" t="str">
        <f>IFERROR(IF([2]对账明细接口!$M$158=0,"",[2]对账明细接口!$M$158),"")</f>
        <v/>
      </c>
      <c r="N158" s="19">
        <f t="shared" si="12"/>
        <v>1</v>
      </c>
      <c r="O158" s="19">
        <f t="shared" si="13"/>
        <v>155</v>
      </c>
      <c r="S158" s="20" t="str">
        <f>IFERROR(IF([2]对账明细接口!$N158=0,"",[2]对账明细接口!$N158),"")</f>
        <v>大托盘</v>
      </c>
      <c r="T158" s="21">
        <f>IFERROR(IF([2]对账明细接口!$O158=0,"",[2]对账明细接口!$O158),"")</f>
        <v>1</v>
      </c>
      <c r="U158" s="21" t="str">
        <f>IFERROR(IF([2]对账明细接口!$P158=0,"",[2]对账明细接口!$P158),"")</f>
        <v/>
      </c>
      <c r="V158" s="21" t="str">
        <f>IFERROR(IF([2]对账明细接口!$Q158=0,"",[2]对账明细接口!$Q158),"")</f>
        <v/>
      </c>
      <c r="W158" s="20" t="str">
        <f>IFERROR(IF([2]对账明细接口!$R158=0,"",[2]对账明细接口!$R158),"")</f>
        <v>新N*V5L92</v>
      </c>
      <c r="X158" s="20" t="str">
        <f>IFERROR(IF([2]对账明细接口!$S158=0,"",[2]对账明细接口!$S158),"")</f>
        <v>公司筐</v>
      </c>
      <c r="Y158" s="20" t="str">
        <f t="shared" si="14"/>
        <v/>
      </c>
      <c r="Z158" s="20" t="str">
        <f t="shared" si="15"/>
        <v/>
      </c>
      <c r="AA158" s="20" t="str">
        <f t="shared" si="16"/>
        <v/>
      </c>
      <c r="AB158" s="20" t="str">
        <f t="shared" si="17"/>
        <v/>
      </c>
    </row>
    <row r="159" customHeight="1" spans="1:28">
      <c r="A159" s="14">
        <v>159</v>
      </c>
      <c r="B159" s="15">
        <f>IFERROR(IF([2]对账明细接口!$B$159=0,"",[2]对账明细接口!$B$159),"")</f>
        <v>46281</v>
      </c>
      <c r="C159" s="16" t="str">
        <f>IFERROR(IF([2]对账明细接口!$C$159=0,"",[2]对账明细接口!$C$159),"")</f>
        <v>王照雪</v>
      </c>
      <c r="D159" s="16" t="str">
        <f>IFERROR(IF([2]对账明细接口!$D$159=0,"",[2]对账明细接口!$D$159),"")</f>
        <v>次果筐/托盘－退回入库</v>
      </c>
      <c r="E159" s="16" t="str">
        <f>IFERROR(IF([2]对账明细接口!$E$159=0,"",[2]对账明细接口!$E$159),"")</f>
        <v>NO:0000880</v>
      </c>
      <c r="F159" s="16" t="str">
        <f>IFERROR(IF([2]对账明细接口!$F$159=0,"",[2]对账明细接口!$F$159),"")</f>
        <v>大托盘</v>
      </c>
      <c r="G159" s="16" t="str">
        <f>IFERROR(IF([2]对账明细接口!$G$159=0,"",[2]对账明细接口!$G$159),"")</f>
        <v/>
      </c>
      <c r="H159" s="17">
        <f>IFERROR(IF([2]对账明细接口!$H$159=0,"",[2]对账明细接口!$H$159),"")</f>
        <v>1</v>
      </c>
      <c r="I159" s="16" t="str">
        <f>IFERROR(IF([2]对账明细接口!$I$159=0,"",[2]对账明细接口!$I$159),"")</f>
        <v>个</v>
      </c>
      <c r="J159" s="18" t="str">
        <f>IFERROR(IF([2]对账明细接口!$J$159=0,"",[2]对账明细接口!$J$159),"")</f>
        <v/>
      </c>
      <c r="K159" s="18" t="str">
        <f>IFERROR(IF([2]对账明细接口!$K$159=0,"",[2]对账明细接口!$K$159),"")</f>
        <v/>
      </c>
      <c r="L159" s="16" t="str">
        <f>IFERROR(IF([2]对账明细接口!$L$159=0,"",[2]对账明细接口!$L$159),"")</f>
        <v/>
      </c>
      <c r="M159" s="16" t="str">
        <f>IFERROR(IF([2]对账明细接口!$M$159=0,"",[2]对账明细接口!$M$159),"")</f>
        <v/>
      </c>
      <c r="N159" s="19">
        <f t="shared" si="12"/>
        <v>1</v>
      </c>
      <c r="O159" s="19">
        <f t="shared" si="13"/>
        <v>156</v>
      </c>
      <c r="S159" s="20" t="str">
        <f>IFERROR(IF([2]对账明细接口!$N159=0,"",[2]对账明细接口!$N159),"")</f>
        <v>大托盘</v>
      </c>
      <c r="T159" s="21" t="str">
        <f>IFERROR(IF([2]对账明细接口!$O159=0,"",[2]对账明细接口!$O159),"")</f>
        <v/>
      </c>
      <c r="U159" s="21">
        <f>IFERROR(IF([2]对账明细接口!$P159=0,"",[2]对账明细接口!$P159),"")</f>
        <v>1</v>
      </c>
      <c r="V159" s="21" t="str">
        <f>IFERROR(IF([2]对账明细接口!$Q159=0,"",[2]对账明细接口!$Q159),"")</f>
        <v/>
      </c>
      <c r="W159" s="20" t="str">
        <f>IFERROR(IF([2]对账明细接口!$R159=0,"",[2]对账明细接口!$R159),"")</f>
        <v>豫N*P269J</v>
      </c>
      <c r="X159" s="20" t="str">
        <f>IFERROR(IF([2]对账明细接口!$S159=0,"",[2]对账明细接口!$S159),"")</f>
        <v>公司筐</v>
      </c>
      <c r="Y159" s="20" t="str">
        <f t="shared" si="14"/>
        <v/>
      </c>
      <c r="Z159" s="20" t="str">
        <f t="shared" si="15"/>
        <v/>
      </c>
      <c r="AA159" s="20" t="str">
        <f t="shared" si="16"/>
        <v/>
      </c>
      <c r="AB159" s="20" t="str">
        <f t="shared" si="17"/>
        <v/>
      </c>
    </row>
    <row r="160" customHeight="1" spans="1:28">
      <c r="A160" s="14">
        <v>160</v>
      </c>
      <c r="B160" s="15">
        <f>IFERROR(IF([2]对账明细接口!$B$160=0,"",[2]对账明细接口!$B$160),"")</f>
        <v>46281</v>
      </c>
      <c r="C160" s="16" t="str">
        <f>IFERROR(IF([2]对账明细接口!$C$160=0,"",[2]对账明细接口!$C$160),"")</f>
        <v>王照雪</v>
      </c>
      <c r="D160" s="16" t="str">
        <f>IFERROR(IF([2]对账明细接口!$D$160=0,"",[2]对账明细接口!$D$160),"")</f>
        <v>次果筐/托盘－领用出库</v>
      </c>
      <c r="E160" s="16" t="str">
        <f>IFERROR(IF([2]对账明细接口!$E$160=0,"",[2]对账明细接口!$E$160),"")</f>
        <v>NO:0000881</v>
      </c>
      <c r="F160" s="16" t="str">
        <f>IFERROR(IF([2]对账明细接口!$F$160=0,"",[2]对账明细接口!$F$160),"")</f>
        <v>公司一次性筐</v>
      </c>
      <c r="G160" s="16" t="str">
        <f>IFERROR(IF([2]对账明细接口!$G$160=0,"",[2]对账明细接口!$G$160),"")</f>
        <v/>
      </c>
      <c r="H160" s="17">
        <f>IFERROR(IF([2]对账明细接口!$H$160=0,"",[2]对账明细接口!$H$160),"")</f>
        <v>20</v>
      </c>
      <c r="I160" s="16" t="str">
        <f>IFERROR(IF([2]对账明细接口!$I$160=0,"",[2]对账明细接口!$I$160),"")</f>
        <v>个</v>
      </c>
      <c r="J160" s="18" t="str">
        <f>IFERROR(IF([2]对账明细接口!$J$160=0,"",[2]对账明细接口!$J$160),"")</f>
        <v/>
      </c>
      <c r="K160" s="18" t="str">
        <f>IFERROR(IF([2]对账明细接口!$K$160=0,"",[2]对账明细接口!$K$160),"")</f>
        <v/>
      </c>
      <c r="L160" s="16" t="str">
        <f>IFERROR(IF([2]对账明细接口!$L$160=0,"",[2]对账明细接口!$L$160),"")</f>
        <v/>
      </c>
      <c r="M160" s="16" t="str">
        <f>IFERROR(IF([2]对账明细接口!$M$160=0,"",[2]对账明细接口!$M$160),"")</f>
        <v/>
      </c>
      <c r="N160" s="19">
        <f t="shared" si="12"/>
        <v>1</v>
      </c>
      <c r="O160" s="19">
        <f t="shared" si="13"/>
        <v>157</v>
      </c>
      <c r="S160" s="20" t="str">
        <f>IFERROR(IF([2]对账明细接口!$N160=0,"",[2]对账明细接口!$N160),"")</f>
        <v>公司一次性筐</v>
      </c>
      <c r="T160" s="21">
        <f>IFERROR(IF([2]对账明细接口!$O160=0,"",[2]对账明细接口!$O160),"")</f>
        <v>20</v>
      </c>
      <c r="U160" s="21" t="str">
        <f>IFERROR(IF([2]对账明细接口!$P160=0,"",[2]对账明细接口!$P160),"")</f>
        <v/>
      </c>
      <c r="V160" s="21" t="str">
        <f>IFERROR(IF([2]对账明细接口!$Q160=0,"",[2]对账明细接口!$Q160),"")</f>
        <v/>
      </c>
      <c r="W160" s="20" t="str">
        <f>IFERROR(IF([2]对账明细接口!$R160=0,"",[2]对账明细接口!$R160),"")</f>
        <v>豫N*P269J</v>
      </c>
      <c r="X160" s="20" t="str">
        <f>IFERROR(IF([2]对账明细接口!$S160=0,"",[2]对账明细接口!$S160),"")</f>
        <v>公司筐</v>
      </c>
      <c r="Y160" s="20" t="str">
        <f t="shared" si="14"/>
        <v/>
      </c>
      <c r="Z160" s="20" t="str">
        <f t="shared" si="15"/>
        <v/>
      </c>
      <c r="AA160" s="20" t="str">
        <f t="shared" si="16"/>
        <v/>
      </c>
      <c r="AB160" s="20" t="str">
        <f t="shared" si="17"/>
        <v/>
      </c>
    </row>
    <row r="161" customHeight="1" spans="1:28">
      <c r="A161" s="14">
        <v>161</v>
      </c>
      <c r="B161" s="15">
        <f>IFERROR(IF([2]对账明细接口!$B$161=0,"",[2]对账明细接口!$B$161),"")</f>
        <v>46281</v>
      </c>
      <c r="C161" s="16" t="str">
        <f>IFERROR(IF([2]对账明细接口!$C$161=0,"",[2]对账明细接口!$C$161),"")</f>
        <v>王照雪</v>
      </c>
      <c r="D161" s="16" t="str">
        <f>IFERROR(IF([2]对账明细接口!$D$161=0,"",[2]对账明细接口!$D$161),"")</f>
        <v>次果筐/托盘－领用出库</v>
      </c>
      <c r="E161" s="16" t="str">
        <f>IFERROR(IF([2]对账明细接口!$E$161=0,"",[2]对账明细接口!$E$161),"")</f>
        <v>NO:0000882</v>
      </c>
      <c r="F161" s="16" t="str">
        <f>IFERROR(IF([2]对账明细接口!$F$161=0,"",[2]对账明细接口!$F$161),"")</f>
        <v>公司杂周转筐</v>
      </c>
      <c r="G161" s="16" t="str">
        <f>IFERROR(IF([2]对账明细接口!$G$161=0,"",[2]对账明细接口!$G$161),"")</f>
        <v/>
      </c>
      <c r="H161" s="17">
        <f>IFERROR(IF([2]对账明细接口!$H$161=0,"",[2]对账明细接口!$H$161),"")</f>
        <v>21</v>
      </c>
      <c r="I161" s="16" t="str">
        <f>IFERROR(IF([2]对账明细接口!$I$161=0,"",[2]对账明细接口!$I$161),"")</f>
        <v>个</v>
      </c>
      <c r="J161" s="18" t="str">
        <f>IFERROR(IF([2]对账明细接口!$J$161=0,"",[2]对账明细接口!$J$161),"")</f>
        <v/>
      </c>
      <c r="K161" s="18" t="str">
        <f>IFERROR(IF([2]对账明细接口!$K$161=0,"",[2]对账明细接口!$K$161),"")</f>
        <v/>
      </c>
      <c r="L161" s="16" t="str">
        <f>IFERROR(IF([2]对账明细接口!$L$161=0,"",[2]对账明细接口!$L$161),"")</f>
        <v/>
      </c>
      <c r="M161" s="16" t="str">
        <f>IFERROR(IF([2]对账明细接口!$M$161=0,"",[2]对账明细接口!$M$161),"")</f>
        <v/>
      </c>
      <c r="N161" s="19">
        <f t="shared" si="12"/>
        <v>1</v>
      </c>
      <c r="O161" s="19">
        <f t="shared" si="13"/>
        <v>158</v>
      </c>
      <c r="S161" s="20" t="str">
        <f>IFERROR(IF([2]对账明细接口!$N161=0,"",[2]对账明细接口!$N161),"")</f>
        <v>公司杂周转筐</v>
      </c>
      <c r="T161" s="21">
        <f>IFERROR(IF([2]对账明细接口!$O161=0,"",[2]对账明细接口!$O161),"")</f>
        <v>21</v>
      </c>
      <c r="U161" s="21" t="str">
        <f>IFERROR(IF([2]对账明细接口!$P161=0,"",[2]对账明细接口!$P161),"")</f>
        <v/>
      </c>
      <c r="V161" s="21" t="str">
        <f>IFERROR(IF([2]对账明细接口!$Q161=0,"",[2]对账明细接口!$Q161),"")</f>
        <v/>
      </c>
      <c r="W161" s="20" t="str">
        <f>IFERROR(IF([2]对账明细接口!$R161=0,"",[2]对账明细接口!$R161),"")</f>
        <v>豫N*P269J</v>
      </c>
      <c r="X161" s="20" t="str">
        <f>IFERROR(IF([2]对账明细接口!$S161=0,"",[2]对账明细接口!$S161),"")</f>
        <v>公司筐</v>
      </c>
      <c r="Y161" s="20" t="str">
        <f t="shared" si="14"/>
        <v/>
      </c>
      <c r="Z161" s="20" t="str">
        <f t="shared" si="15"/>
        <v/>
      </c>
      <c r="AA161" s="20" t="str">
        <f t="shared" si="16"/>
        <v/>
      </c>
      <c r="AB161" s="20" t="str">
        <f t="shared" si="17"/>
        <v/>
      </c>
    </row>
    <row r="162" customHeight="1" spans="1:28">
      <c r="A162" s="14">
        <v>162</v>
      </c>
      <c r="B162" s="15">
        <f>IFERROR(IF([2]对账明细接口!$B$162=0,"",[2]对账明细接口!$B$162),"")</f>
        <v>46281</v>
      </c>
      <c r="C162" s="16" t="str">
        <f>IFERROR(IF([2]对账明细接口!$C$162=0,"",[2]对账明细接口!$C$162),"")</f>
        <v>王照雪</v>
      </c>
      <c r="D162" s="16" t="str">
        <f>IFERROR(IF([2]对账明细接口!$D$162=0,"",[2]对账明细接口!$D$162),"")</f>
        <v>次果筐/托盘－领用出库</v>
      </c>
      <c r="E162" s="16" t="str">
        <f>IFERROR(IF([2]对账明细接口!$E$162=0,"",[2]对账明细接口!$E$162),"")</f>
        <v>NO:0000883</v>
      </c>
      <c r="F162" s="16" t="str">
        <f>IFERROR(IF([2]对账明细接口!$F$162=0,"",[2]对账明细接口!$F$162),"")</f>
        <v>公司新周转筐</v>
      </c>
      <c r="G162" s="16" t="str">
        <f>IFERROR(IF([2]对账明细接口!$G$162=0,"",[2]对账明细接口!$G$162),"")</f>
        <v/>
      </c>
      <c r="H162" s="17">
        <f>IFERROR(IF([2]对账明细接口!$H$162=0,"",[2]对账明细接口!$H$162),"")</f>
        <v>22</v>
      </c>
      <c r="I162" s="16" t="str">
        <f>IFERROR(IF([2]对账明细接口!$I$162=0,"",[2]对账明细接口!$I$162),"")</f>
        <v>个</v>
      </c>
      <c r="J162" s="18" t="str">
        <f>IFERROR(IF([2]对账明细接口!$J$162=0,"",[2]对账明细接口!$J$162),"")</f>
        <v/>
      </c>
      <c r="K162" s="18" t="str">
        <f>IFERROR(IF([2]对账明细接口!$K$162=0,"",[2]对账明细接口!$K$162),"")</f>
        <v/>
      </c>
      <c r="L162" s="16" t="str">
        <f>IFERROR(IF([2]对账明细接口!$L$162=0,"",[2]对账明细接口!$L$162),"")</f>
        <v/>
      </c>
      <c r="M162" s="16" t="str">
        <f>IFERROR(IF([2]对账明细接口!$M$162=0,"",[2]对账明细接口!$M$162),"")</f>
        <v/>
      </c>
      <c r="N162" s="19">
        <f t="shared" si="12"/>
        <v>1</v>
      </c>
      <c r="O162" s="19">
        <f t="shared" si="13"/>
        <v>159</v>
      </c>
      <c r="S162" s="20" t="str">
        <f>IFERROR(IF([2]对账明细接口!$N162=0,"",[2]对账明细接口!$N162),"")</f>
        <v>公司新周转筐</v>
      </c>
      <c r="T162" s="21">
        <f>IFERROR(IF([2]对账明细接口!$O162=0,"",[2]对账明细接口!$O162),"")</f>
        <v>22</v>
      </c>
      <c r="U162" s="21" t="str">
        <f>IFERROR(IF([2]对账明细接口!$P162=0,"",[2]对账明细接口!$P162),"")</f>
        <v/>
      </c>
      <c r="V162" s="21" t="str">
        <f>IFERROR(IF([2]对账明细接口!$Q162=0,"",[2]对账明细接口!$Q162),"")</f>
        <v/>
      </c>
      <c r="W162" s="20" t="str">
        <f>IFERROR(IF([2]对账明细接口!$R162=0,"",[2]对账明细接口!$R162),"")</f>
        <v>豫N*P269J</v>
      </c>
      <c r="X162" s="20" t="str">
        <f>IFERROR(IF([2]对账明细接口!$S162=0,"",[2]对账明细接口!$S162),"")</f>
        <v>公司筐</v>
      </c>
      <c r="Y162" s="20" t="str">
        <f t="shared" si="14"/>
        <v/>
      </c>
      <c r="Z162" s="20" t="str">
        <f t="shared" si="15"/>
        <v/>
      </c>
      <c r="AA162" s="20" t="str">
        <f t="shared" si="16"/>
        <v/>
      </c>
      <c r="AB162" s="20" t="str">
        <f t="shared" si="17"/>
        <v/>
      </c>
    </row>
    <row r="163" customHeight="1" spans="1:28">
      <c r="A163" s="14">
        <v>163</v>
      </c>
      <c r="B163" s="15">
        <f>IFERROR(IF([2]对账明细接口!$B$163=0,"",[2]对账明细接口!$B$163),"")</f>
        <v>46281</v>
      </c>
      <c r="C163" s="16" t="str">
        <f>IFERROR(IF([2]对账明细接口!$C$163=0,"",[2]对账明细接口!$C$163),"")</f>
        <v>王照雪</v>
      </c>
      <c r="D163" s="16" t="str">
        <f>IFERROR(IF([2]对账明细接口!$D$163=0,"",[2]对账明细接口!$D$163),"")</f>
        <v>次果筐/托盘－领用出库</v>
      </c>
      <c r="E163" s="16" t="str">
        <f>IFERROR(IF([2]对账明细接口!$E$163=0,"",[2]对账明细接口!$E$163),"")</f>
        <v>NO:0000884</v>
      </c>
      <c r="F163" s="16" t="str">
        <f>IFERROR(IF([2]对账明细接口!$F$163=0,"",[2]对账明细接口!$F$163),"")</f>
        <v>公司红周转筐</v>
      </c>
      <c r="G163" s="16" t="str">
        <f>IFERROR(IF([2]对账明细接口!$G$163=0,"",[2]对账明细接口!$G$163),"")</f>
        <v/>
      </c>
      <c r="H163" s="17">
        <f>IFERROR(IF([2]对账明细接口!$H$163=0,"",[2]对账明细接口!$H$163),"")</f>
        <v>23</v>
      </c>
      <c r="I163" s="16" t="str">
        <f>IFERROR(IF([2]对账明细接口!$I$163=0,"",[2]对账明细接口!$I$163),"")</f>
        <v>个</v>
      </c>
      <c r="J163" s="18" t="str">
        <f>IFERROR(IF([2]对账明细接口!$J$163=0,"",[2]对账明细接口!$J$163),"")</f>
        <v/>
      </c>
      <c r="K163" s="18" t="str">
        <f>IFERROR(IF([2]对账明细接口!$K$163=0,"",[2]对账明细接口!$K$163),"")</f>
        <v/>
      </c>
      <c r="L163" s="16" t="str">
        <f>IFERROR(IF([2]对账明细接口!$L$163=0,"",[2]对账明细接口!$L$163),"")</f>
        <v/>
      </c>
      <c r="M163" s="16" t="str">
        <f>IFERROR(IF([2]对账明细接口!$M$163=0,"",[2]对账明细接口!$M$163),"")</f>
        <v/>
      </c>
      <c r="N163" s="19">
        <f t="shared" si="12"/>
        <v>1</v>
      </c>
      <c r="O163" s="19">
        <f t="shared" si="13"/>
        <v>160</v>
      </c>
      <c r="S163" s="20" t="str">
        <f>IFERROR(IF([2]对账明细接口!$N163=0,"",[2]对账明细接口!$N163),"")</f>
        <v>公司红周转筐</v>
      </c>
      <c r="T163" s="21">
        <f>IFERROR(IF([2]对账明细接口!$O163=0,"",[2]对账明细接口!$O163),"")</f>
        <v>23</v>
      </c>
      <c r="U163" s="21" t="str">
        <f>IFERROR(IF([2]对账明细接口!$P163=0,"",[2]对账明细接口!$P163),"")</f>
        <v/>
      </c>
      <c r="V163" s="21" t="str">
        <f>IFERROR(IF([2]对账明细接口!$Q163=0,"",[2]对账明细接口!$Q163),"")</f>
        <v/>
      </c>
      <c r="W163" s="20" t="str">
        <f>IFERROR(IF([2]对账明细接口!$R163=0,"",[2]对账明细接口!$R163),"")</f>
        <v>豫N*P269J</v>
      </c>
      <c r="X163" s="20" t="str">
        <f>IFERROR(IF([2]对账明细接口!$S163=0,"",[2]对账明细接口!$S163),"")</f>
        <v>公司筐</v>
      </c>
      <c r="Y163" s="20" t="str">
        <f t="shared" si="14"/>
        <v/>
      </c>
      <c r="Z163" s="20" t="str">
        <f t="shared" si="15"/>
        <v/>
      </c>
      <c r="AA163" s="20" t="str">
        <f t="shared" si="16"/>
        <v/>
      </c>
      <c r="AB163" s="20" t="str">
        <f t="shared" si="17"/>
        <v/>
      </c>
    </row>
    <row r="164" customHeight="1" spans="1:28">
      <c r="A164" s="14">
        <v>164</v>
      </c>
      <c r="B164" s="15">
        <f>IFERROR(IF([2]对账明细接口!$B$164=0,"",[2]对账明细接口!$B$164),"")</f>
        <v>46281</v>
      </c>
      <c r="C164" s="16" t="str">
        <f>IFERROR(IF([2]对账明细接口!$C$164=0,"",[2]对账明细接口!$C$164),"")</f>
        <v>王照雪</v>
      </c>
      <c r="D164" s="16" t="str">
        <f>IFERROR(IF([2]对账明细接口!$D$164=0,"",[2]对账明细接口!$D$164),"")</f>
        <v>次果筐/托盘－退回入库</v>
      </c>
      <c r="E164" s="16" t="str">
        <f>IFERROR(IF([2]对账明细接口!$E$164=0,"",[2]对账明细接口!$E$164),"")</f>
        <v>NO:0000885</v>
      </c>
      <c r="F164" s="16" t="str">
        <f>IFERROR(IF([2]对账明细接口!$F$164=0,"",[2]对账明细接口!$F$164),"")</f>
        <v>公司一次性筐</v>
      </c>
      <c r="G164" s="16" t="str">
        <f>IFERROR(IF([2]对账明细接口!$G$164=0,"",[2]对账明细接口!$G$164),"")</f>
        <v/>
      </c>
      <c r="H164" s="17">
        <f>IFERROR(IF([2]对账明细接口!$H$164=0,"",[2]对账明细接口!$H$164),"")</f>
        <v>10</v>
      </c>
      <c r="I164" s="16" t="str">
        <f>IFERROR(IF([2]对账明细接口!$I$164=0,"",[2]对账明细接口!$I$164),"")</f>
        <v>个</v>
      </c>
      <c r="J164" s="18" t="str">
        <f>IFERROR(IF([2]对账明细接口!$J$164=0,"",[2]对账明细接口!$J$164),"")</f>
        <v/>
      </c>
      <c r="K164" s="18" t="str">
        <f>IFERROR(IF([2]对账明细接口!$K$164=0,"",[2]对账明细接口!$K$164),"")</f>
        <v/>
      </c>
      <c r="L164" s="16" t="str">
        <f>IFERROR(IF([2]对账明细接口!$L$164=0,"",[2]对账明细接口!$L$164),"")</f>
        <v/>
      </c>
      <c r="M164" s="16" t="str">
        <f>IFERROR(IF([2]对账明细接口!$M$164=0,"",[2]对账明细接口!$M$164),"")</f>
        <v/>
      </c>
      <c r="N164" s="19">
        <f t="shared" si="12"/>
        <v>1</v>
      </c>
      <c r="O164" s="19">
        <f t="shared" si="13"/>
        <v>161</v>
      </c>
      <c r="S164" s="20" t="str">
        <f>IFERROR(IF([2]对账明细接口!$N164=0,"",[2]对账明细接口!$N164),"")</f>
        <v>公司一次性筐</v>
      </c>
      <c r="T164" s="21" t="str">
        <f>IFERROR(IF([2]对账明细接口!$O164=0,"",[2]对账明细接口!$O164),"")</f>
        <v/>
      </c>
      <c r="U164" s="21">
        <f>IFERROR(IF([2]对账明细接口!$P164=0,"",[2]对账明细接口!$P164),"")</f>
        <v>10</v>
      </c>
      <c r="V164" s="21" t="str">
        <f>IFERROR(IF([2]对账明细接口!$Q164=0,"",[2]对账明细接口!$Q164),"")</f>
        <v/>
      </c>
      <c r="W164" s="20" t="str">
        <f>IFERROR(IF([2]对账明细接口!$R164=0,"",[2]对账明细接口!$R164),"")</f>
        <v>豫N*P269J</v>
      </c>
      <c r="X164" s="20" t="str">
        <f>IFERROR(IF([2]对账明细接口!$S164=0,"",[2]对账明细接口!$S164),"")</f>
        <v>公司筐</v>
      </c>
      <c r="Y164" s="20" t="str">
        <f t="shared" si="14"/>
        <v/>
      </c>
      <c r="Z164" s="20" t="str">
        <f t="shared" si="15"/>
        <v/>
      </c>
      <c r="AA164" s="20" t="str">
        <f t="shared" si="16"/>
        <v/>
      </c>
      <c r="AB164" s="20" t="str">
        <f t="shared" si="17"/>
        <v/>
      </c>
    </row>
    <row r="165" customHeight="1" spans="1:28">
      <c r="A165" s="14">
        <v>165</v>
      </c>
      <c r="B165" s="15">
        <f>IFERROR(IF([2]对账明细接口!$B$165=0,"",[2]对账明细接口!$B$165),"")</f>
        <v>46281</v>
      </c>
      <c r="C165" s="16" t="str">
        <f>IFERROR(IF([2]对账明细接口!$C$165=0,"",[2]对账明细接口!$C$165),"")</f>
        <v>王照雪</v>
      </c>
      <c r="D165" s="16" t="str">
        <f>IFERROR(IF([2]对账明细接口!$D$165=0,"",[2]对账明细接口!$D$165),"")</f>
        <v>次果筐/托盘－退回入库</v>
      </c>
      <c r="E165" s="16" t="str">
        <f>IFERROR(IF([2]对账明细接口!$E$165=0,"",[2]对账明细接口!$E$165),"")</f>
        <v>NO:0000886</v>
      </c>
      <c r="F165" s="16" t="str">
        <f>IFERROR(IF([2]对账明细接口!$F$165=0,"",[2]对账明细接口!$F$165),"")</f>
        <v>公司杂周转筐</v>
      </c>
      <c r="G165" s="16" t="str">
        <f>IFERROR(IF([2]对账明细接口!$G$165=0,"",[2]对账明细接口!$G$165),"")</f>
        <v/>
      </c>
      <c r="H165" s="17">
        <f>IFERROR(IF([2]对账明细接口!$H$165=0,"",[2]对账明细接口!$H$165),"")</f>
        <v>11</v>
      </c>
      <c r="I165" s="16" t="str">
        <f>IFERROR(IF([2]对账明细接口!$I$165=0,"",[2]对账明细接口!$I$165),"")</f>
        <v>个</v>
      </c>
      <c r="J165" s="18" t="str">
        <f>IFERROR(IF([2]对账明细接口!$J$165=0,"",[2]对账明细接口!$J$165),"")</f>
        <v/>
      </c>
      <c r="K165" s="18" t="str">
        <f>IFERROR(IF([2]对账明细接口!$K$165=0,"",[2]对账明细接口!$K$165),"")</f>
        <v/>
      </c>
      <c r="L165" s="16" t="str">
        <f>IFERROR(IF([2]对账明细接口!$L$165=0,"",[2]对账明细接口!$L$165),"")</f>
        <v/>
      </c>
      <c r="M165" s="16" t="str">
        <f>IFERROR(IF([2]对账明细接口!$M$165=0,"",[2]对账明细接口!$M$165),"")</f>
        <v/>
      </c>
      <c r="N165" s="19">
        <f t="shared" si="12"/>
        <v>1</v>
      </c>
      <c r="O165" s="19">
        <f t="shared" si="13"/>
        <v>162</v>
      </c>
      <c r="S165" s="20" t="str">
        <f>IFERROR(IF([2]对账明细接口!$N165=0,"",[2]对账明细接口!$N165),"")</f>
        <v>公司杂周转筐</v>
      </c>
      <c r="T165" s="21" t="str">
        <f>IFERROR(IF([2]对账明细接口!$O165=0,"",[2]对账明细接口!$O165),"")</f>
        <v/>
      </c>
      <c r="U165" s="21">
        <f>IFERROR(IF([2]对账明细接口!$P165=0,"",[2]对账明细接口!$P165),"")</f>
        <v>11</v>
      </c>
      <c r="V165" s="21" t="str">
        <f>IFERROR(IF([2]对账明细接口!$Q165=0,"",[2]对账明细接口!$Q165),"")</f>
        <v/>
      </c>
      <c r="W165" s="20" t="str">
        <f>IFERROR(IF([2]对账明细接口!$R165=0,"",[2]对账明细接口!$R165),"")</f>
        <v>豫N*P269J</v>
      </c>
      <c r="X165" s="20" t="str">
        <f>IFERROR(IF([2]对账明细接口!$S165=0,"",[2]对账明细接口!$S165),"")</f>
        <v>公司筐</v>
      </c>
      <c r="Y165" s="20" t="str">
        <f t="shared" si="14"/>
        <v/>
      </c>
      <c r="Z165" s="20" t="str">
        <f t="shared" si="15"/>
        <v/>
      </c>
      <c r="AA165" s="20" t="str">
        <f t="shared" si="16"/>
        <v/>
      </c>
      <c r="AB165" s="20" t="str">
        <f t="shared" si="17"/>
        <v/>
      </c>
    </row>
    <row r="166" customHeight="1" spans="1:28">
      <c r="A166" s="14">
        <v>166</v>
      </c>
      <c r="B166" s="15">
        <f>IFERROR(IF([2]对账明细接口!$B$166=0,"",[2]对账明细接口!$B$166),"")</f>
        <v>46281</v>
      </c>
      <c r="C166" s="16" t="str">
        <f>IFERROR(IF([2]对账明细接口!$C$166=0,"",[2]对账明细接口!$C$166),"")</f>
        <v>王照雪</v>
      </c>
      <c r="D166" s="16" t="str">
        <f>IFERROR(IF([2]对账明细接口!$D$166=0,"",[2]对账明细接口!$D$166),"")</f>
        <v>次果筐/托盘－退回入库</v>
      </c>
      <c r="E166" s="16" t="str">
        <f>IFERROR(IF([2]对账明细接口!$E$166=0,"",[2]对账明细接口!$E$166),"")</f>
        <v>NO:0000887</v>
      </c>
      <c r="F166" s="16" t="str">
        <f>IFERROR(IF([2]对账明细接口!$F$166=0,"",[2]对账明细接口!$F$166),"")</f>
        <v>公司新周转筐</v>
      </c>
      <c r="G166" s="16" t="str">
        <f>IFERROR(IF([2]对账明细接口!$G$166=0,"",[2]对账明细接口!$G$166),"")</f>
        <v/>
      </c>
      <c r="H166" s="17">
        <f>IFERROR(IF([2]对账明细接口!$H$166=0,"",[2]对账明细接口!$H$166),"")</f>
        <v>12</v>
      </c>
      <c r="I166" s="16" t="str">
        <f>IFERROR(IF([2]对账明细接口!$I$166=0,"",[2]对账明细接口!$I$166),"")</f>
        <v>个</v>
      </c>
      <c r="J166" s="18" t="str">
        <f>IFERROR(IF([2]对账明细接口!$J$166=0,"",[2]对账明细接口!$J$166),"")</f>
        <v/>
      </c>
      <c r="K166" s="18" t="str">
        <f>IFERROR(IF([2]对账明细接口!$K$166=0,"",[2]对账明细接口!$K$166),"")</f>
        <v/>
      </c>
      <c r="L166" s="16" t="str">
        <f>IFERROR(IF([2]对账明细接口!$L$166=0,"",[2]对账明细接口!$L$166),"")</f>
        <v/>
      </c>
      <c r="M166" s="16" t="str">
        <f>IFERROR(IF([2]对账明细接口!$M$166=0,"",[2]对账明细接口!$M$166),"")</f>
        <v/>
      </c>
      <c r="N166" s="19">
        <f t="shared" si="12"/>
        <v>1</v>
      </c>
      <c r="O166" s="19">
        <f t="shared" si="13"/>
        <v>163</v>
      </c>
      <c r="S166" s="20" t="str">
        <f>IFERROR(IF([2]对账明细接口!$N166=0,"",[2]对账明细接口!$N166),"")</f>
        <v>公司新周转筐</v>
      </c>
      <c r="T166" s="21" t="str">
        <f>IFERROR(IF([2]对账明细接口!$O166=0,"",[2]对账明细接口!$O166),"")</f>
        <v/>
      </c>
      <c r="U166" s="21">
        <f>IFERROR(IF([2]对账明细接口!$P166=0,"",[2]对账明细接口!$P166),"")</f>
        <v>12</v>
      </c>
      <c r="V166" s="21" t="str">
        <f>IFERROR(IF([2]对账明细接口!$Q166=0,"",[2]对账明细接口!$Q166),"")</f>
        <v/>
      </c>
      <c r="W166" s="20" t="str">
        <f>IFERROR(IF([2]对账明细接口!$R166=0,"",[2]对账明细接口!$R166),"")</f>
        <v>豫N*P269J</v>
      </c>
      <c r="X166" s="20" t="str">
        <f>IFERROR(IF([2]对账明细接口!$S166=0,"",[2]对账明细接口!$S166),"")</f>
        <v>公司筐</v>
      </c>
      <c r="Y166" s="20" t="str">
        <f t="shared" si="14"/>
        <v/>
      </c>
      <c r="Z166" s="20" t="str">
        <f t="shared" si="15"/>
        <v/>
      </c>
      <c r="AA166" s="20" t="str">
        <f t="shared" si="16"/>
        <v/>
      </c>
      <c r="AB166" s="20" t="str">
        <f t="shared" si="17"/>
        <v/>
      </c>
    </row>
    <row r="167" customHeight="1" spans="1:28">
      <c r="A167" s="14">
        <v>167</v>
      </c>
      <c r="B167" s="15">
        <f>IFERROR(IF([2]对账明细接口!$B$167=0,"",[2]对账明细接口!$B$167),"")</f>
        <v>46281</v>
      </c>
      <c r="C167" s="16" t="str">
        <f>IFERROR(IF([2]对账明细接口!$C$167=0,"",[2]对账明细接口!$C$167),"")</f>
        <v>王照雪</v>
      </c>
      <c r="D167" s="16" t="str">
        <f>IFERROR(IF([2]对账明细接口!$D$167=0,"",[2]对账明细接口!$D$167),"")</f>
        <v>次果筐/托盘－退回入库</v>
      </c>
      <c r="E167" s="16" t="str">
        <f>IFERROR(IF([2]对账明细接口!$E$167=0,"",[2]对账明细接口!$E$167),"")</f>
        <v>NO:0000888</v>
      </c>
      <c r="F167" s="16" t="str">
        <f>IFERROR(IF([2]对账明细接口!$F$167=0,"",[2]对账明细接口!$F$167),"")</f>
        <v>公司红周转筐</v>
      </c>
      <c r="G167" s="16" t="str">
        <f>IFERROR(IF([2]对账明细接口!$G$167=0,"",[2]对账明细接口!$G$167),"")</f>
        <v/>
      </c>
      <c r="H167" s="17">
        <f>IFERROR(IF([2]对账明细接口!$H$167=0,"",[2]对账明细接口!$H$167),"")</f>
        <v>13</v>
      </c>
      <c r="I167" s="16" t="str">
        <f>IFERROR(IF([2]对账明细接口!$I$167=0,"",[2]对账明细接口!$I$167),"")</f>
        <v>个</v>
      </c>
      <c r="J167" s="18" t="str">
        <f>IFERROR(IF([2]对账明细接口!$J$167=0,"",[2]对账明细接口!$J$167),"")</f>
        <v/>
      </c>
      <c r="K167" s="18" t="str">
        <f>IFERROR(IF([2]对账明细接口!$K$167=0,"",[2]对账明细接口!$K$167),"")</f>
        <v/>
      </c>
      <c r="L167" s="16" t="str">
        <f>IFERROR(IF([2]对账明细接口!$L$167=0,"",[2]对账明细接口!$L$167),"")</f>
        <v/>
      </c>
      <c r="M167" s="16" t="str">
        <f>IFERROR(IF([2]对账明细接口!$M$167=0,"",[2]对账明细接口!$M$167),"")</f>
        <v/>
      </c>
      <c r="N167" s="19">
        <f t="shared" si="12"/>
        <v>1</v>
      </c>
      <c r="O167" s="19">
        <f t="shared" si="13"/>
        <v>164</v>
      </c>
      <c r="S167" s="20" t="str">
        <f>IFERROR(IF([2]对账明细接口!$N167=0,"",[2]对账明细接口!$N167),"")</f>
        <v>公司红周转筐</v>
      </c>
      <c r="T167" s="21" t="str">
        <f>IFERROR(IF([2]对账明细接口!$O167=0,"",[2]对账明细接口!$O167),"")</f>
        <v/>
      </c>
      <c r="U167" s="21">
        <f>IFERROR(IF([2]对账明细接口!$P167=0,"",[2]对账明细接口!$P167),"")</f>
        <v>13</v>
      </c>
      <c r="V167" s="21" t="str">
        <f>IFERROR(IF([2]对账明细接口!$Q167=0,"",[2]对账明细接口!$Q167),"")</f>
        <v/>
      </c>
      <c r="W167" s="20" t="str">
        <f>IFERROR(IF([2]对账明细接口!$R167=0,"",[2]对账明细接口!$R167),"")</f>
        <v>豫N*P269J</v>
      </c>
      <c r="X167" s="20" t="str">
        <f>IFERROR(IF([2]对账明细接口!$S167=0,"",[2]对账明细接口!$S167),"")</f>
        <v>公司筐</v>
      </c>
      <c r="Y167" s="20" t="str">
        <f t="shared" si="14"/>
        <v/>
      </c>
      <c r="Z167" s="20" t="str">
        <f t="shared" si="15"/>
        <v/>
      </c>
      <c r="AA167" s="20" t="str">
        <f t="shared" si="16"/>
        <v/>
      </c>
      <c r="AB167" s="20" t="str">
        <f t="shared" si="17"/>
        <v/>
      </c>
    </row>
    <row r="168" customHeight="1" spans="1:28">
      <c r="A168" s="14">
        <v>168</v>
      </c>
      <c r="B168" s="15">
        <f>IFERROR(IF([2]对账明细接口!$B$168=0,"",[2]对账明细接口!$B$168),"")</f>
        <v>46282</v>
      </c>
      <c r="C168" s="16" t="str">
        <f>IFERROR(IF([2]对账明细接口!$C$168=0,"",[2]对账明细接口!$C$168),"")</f>
        <v>王照雪</v>
      </c>
      <c r="D168" s="16" t="str">
        <f>IFERROR(IF([2]对账明细接口!$D$168=0,"",[2]对账明细接口!$D$168),"")</f>
        <v>次果筐/托盘－领用出库</v>
      </c>
      <c r="E168" s="16" t="str">
        <f>IFERROR(IF([2]对账明细接口!$E$168=0,"",[2]对账明细接口!$E$168),"")</f>
        <v>NO:0001166</v>
      </c>
      <c r="F168" s="16" t="str">
        <f>IFERROR(IF([2]对账明细接口!$F$168=0,"",[2]对账明细接口!$F$168),"")</f>
        <v>公司杂周转筐</v>
      </c>
      <c r="G168" s="16" t="str">
        <f>IFERROR(IF([2]对账明细接口!$G$168=0,"",[2]对账明细接口!$G$168),"")</f>
        <v/>
      </c>
      <c r="H168" s="17">
        <f>IFERROR(IF([2]对账明细接口!$H$168=0,"",[2]对账明细接口!$H$168),"")</f>
        <v>25</v>
      </c>
      <c r="I168" s="16" t="str">
        <f>IFERROR(IF([2]对账明细接口!$I$168=0,"",[2]对账明细接口!$I$168),"")</f>
        <v>个</v>
      </c>
      <c r="J168" s="18" t="str">
        <f>IFERROR(IF([2]对账明细接口!$J$168=0,"",[2]对账明细接口!$J$168),"")</f>
        <v/>
      </c>
      <c r="K168" s="18">
        <f>IFERROR(IF([2]对账明细接口!$K$168=0,"",[2]对账明细接口!$K$168),"")</f>
        <v>375</v>
      </c>
      <c r="L168" s="16" t="str">
        <f>IFERROR(IF([2]对账明细接口!$L$168=0,"",[2]对账明细接口!$L$168),"")</f>
        <v/>
      </c>
      <c r="M168" s="16" t="str">
        <f>IFERROR(IF([2]对账明细接口!$M$168=0,"",[2]对账明细接口!$M$168),"")</f>
        <v/>
      </c>
      <c r="N168" s="19">
        <f t="shared" si="12"/>
        <v>1</v>
      </c>
      <c r="O168" s="19">
        <f t="shared" si="13"/>
        <v>165</v>
      </c>
      <c r="S168" s="20" t="str">
        <f>IFERROR(IF([2]对账明细接口!$N168=0,"",[2]对账明细接口!$N168),"")</f>
        <v>公司杂周转筐</v>
      </c>
      <c r="T168" s="21">
        <f>IFERROR(IF([2]对账明细接口!$O168=0,"",[2]对账明细接口!$O168),"")</f>
        <v>25</v>
      </c>
      <c r="U168" s="21" t="str">
        <f>IFERROR(IF([2]对账明细接口!$P168=0,"",[2]对账明细接口!$P168),"")</f>
        <v/>
      </c>
      <c r="V168" s="21" t="str">
        <f>IFERROR(IF([2]对账明细接口!$Q168=0,"",[2]对账明细接口!$Q168),"")</f>
        <v/>
      </c>
      <c r="W168" s="20" t="str">
        <f>IFERROR(IF([2]对账明细接口!$R168=0,"",[2]对账明细接口!$R168),"")</f>
        <v>新N*GG901</v>
      </c>
      <c r="X168" s="20" t="str">
        <f>IFERROR(IF([2]对账明细接口!$S168=0,"",[2]对账明细接口!$S168),"")</f>
        <v>公司筐</v>
      </c>
      <c r="Y168" s="20" t="str">
        <f t="shared" si="14"/>
        <v/>
      </c>
      <c r="Z168" s="20" t="str">
        <f t="shared" si="15"/>
        <v/>
      </c>
      <c r="AA168" s="20" t="str">
        <f t="shared" si="16"/>
        <v/>
      </c>
      <c r="AB168" s="20" t="str">
        <f t="shared" si="17"/>
        <v/>
      </c>
    </row>
    <row r="169" customHeight="1" spans="1:28">
      <c r="A169" s="14">
        <v>169</v>
      </c>
      <c r="B169" s="15" t="str">
        <f>IFERROR(IF([2]对账明细接口!$B$169=0,"",[2]对账明细接口!$B$169),"")</f>
        <v/>
      </c>
      <c r="C169" s="16" t="str">
        <f>IFERROR(IF([2]对账明细接口!$C$169=0,"",[2]对账明细接口!$C$169),"")</f>
        <v/>
      </c>
      <c r="D169" s="16" t="str">
        <f>IFERROR(IF([2]对账明细接口!$D$169=0,"",[2]对账明细接口!$D$169),"")</f>
        <v/>
      </c>
      <c r="E169" s="16" t="str">
        <f>IFERROR(IF([2]对账明细接口!$E$169=0,"",[2]对账明细接口!$E$169),"")</f>
        <v/>
      </c>
      <c r="F169" s="16" t="str">
        <f>IFERROR(IF([2]对账明细接口!$F$169=0,"",[2]对账明细接口!$F$169),"")</f>
        <v/>
      </c>
      <c r="G169" s="16" t="str">
        <f>IFERROR(IF([2]对账明细接口!$G$169=0,"",[2]对账明细接口!$G$169),"")</f>
        <v/>
      </c>
      <c r="H169" s="17" t="str">
        <f>IFERROR(IF([2]对账明细接口!$H$169=0,"",[2]对账明细接口!$H$169),"")</f>
        <v/>
      </c>
      <c r="I169" s="16" t="str">
        <f>IFERROR(IF([2]对账明细接口!$I$169=0,"",[2]对账明细接口!$I$169),"")</f>
        <v/>
      </c>
      <c r="J169" s="18" t="str">
        <f>IFERROR(IF([2]对账明细接口!$J$169=0,"",[2]对账明细接口!$J$169),"")</f>
        <v/>
      </c>
      <c r="K169" s="18" t="str">
        <f>IFERROR(IF([2]对账明细接口!$K$169=0,"",[2]对账明细接口!$K$169),"")</f>
        <v/>
      </c>
      <c r="L169" s="16" t="str">
        <f>IFERROR(IF([2]对账明细接口!$L$169=0,"",[2]对账明细接口!$L$169),"")</f>
        <v/>
      </c>
      <c r="M169" s="16" t="str">
        <f>IFERROR(IF([2]对账明细接口!$M$169=0,"",[2]对账明细接口!$M$169),"")</f>
        <v/>
      </c>
      <c r="N169" s="19">
        <f t="shared" si="12"/>
        <v>0</v>
      </c>
      <c r="O169" s="19">
        <f t="shared" si="13"/>
        <v>165</v>
      </c>
      <c r="S169" s="20" t="str">
        <f>IFERROR(IF([2]对账明细接口!$N169=0,"",[2]对账明细接口!$N169),"")</f>
        <v/>
      </c>
      <c r="T169" s="21" t="str">
        <f>IFERROR(IF([2]对账明细接口!$O169=0,"",[2]对账明细接口!$O169),"")</f>
        <v/>
      </c>
      <c r="U169" s="21" t="str">
        <f>IFERROR(IF([2]对账明细接口!$P169=0,"",[2]对账明细接口!$P169),"")</f>
        <v/>
      </c>
      <c r="V169" s="21" t="str">
        <f>IFERROR(IF([2]对账明细接口!$Q169=0,"",[2]对账明细接口!$Q169),"")</f>
        <v/>
      </c>
      <c r="W169" s="20" t="str">
        <f>IFERROR(IF([2]对账明细接口!$R169=0,"",[2]对账明细接口!$R169),"")</f>
        <v/>
      </c>
      <c r="X169" s="20" t="str">
        <f>IFERROR(IF([2]对账明细接口!$S169=0,"",[2]对账明细接口!$S169),"")</f>
        <v/>
      </c>
      <c r="Y169" s="20" t="str">
        <f t="shared" si="14"/>
        <v/>
      </c>
      <c r="Z169" s="20" t="str">
        <f t="shared" si="15"/>
        <v/>
      </c>
      <c r="AA169" s="20" t="str">
        <f t="shared" si="16"/>
        <v/>
      </c>
      <c r="AB169" s="20" t="str">
        <f t="shared" si="17"/>
        <v/>
      </c>
    </row>
    <row r="170" customHeight="1" spans="1:28">
      <c r="A170" s="14">
        <v>170</v>
      </c>
      <c r="B170" s="15" t="str">
        <f>IFERROR(IF([2]对账明细接口!$B$170=0,"",[2]对账明细接口!$B$170),"")</f>
        <v/>
      </c>
      <c r="C170" s="16" t="str">
        <f>IFERROR(IF([2]对账明细接口!$C$170=0,"",[2]对账明细接口!$C$170),"")</f>
        <v/>
      </c>
      <c r="D170" s="16" t="str">
        <f>IFERROR(IF([2]对账明细接口!$D$170=0,"",[2]对账明细接口!$D$170),"")</f>
        <v/>
      </c>
      <c r="E170" s="16" t="str">
        <f>IFERROR(IF([2]对账明细接口!$E$170=0,"",[2]对账明细接口!$E$170),"")</f>
        <v/>
      </c>
      <c r="F170" s="16" t="str">
        <f>IFERROR(IF([2]对账明细接口!$F$170=0,"",[2]对账明细接口!$F$170),"")</f>
        <v/>
      </c>
      <c r="G170" s="16" t="str">
        <f>IFERROR(IF([2]对账明细接口!$G$170=0,"",[2]对账明细接口!$G$170),"")</f>
        <v/>
      </c>
      <c r="H170" s="17" t="str">
        <f>IFERROR(IF([2]对账明细接口!$H$170=0,"",[2]对账明细接口!$H$170),"")</f>
        <v/>
      </c>
      <c r="I170" s="16" t="str">
        <f>IFERROR(IF([2]对账明细接口!$I$170=0,"",[2]对账明细接口!$I$170),"")</f>
        <v/>
      </c>
      <c r="J170" s="18" t="str">
        <f>IFERROR(IF([2]对账明细接口!$J$170=0,"",[2]对账明细接口!$J$170),"")</f>
        <v/>
      </c>
      <c r="K170" s="18" t="str">
        <f>IFERROR(IF([2]对账明细接口!$K$170=0,"",[2]对账明细接口!$K$170),"")</f>
        <v/>
      </c>
      <c r="L170" s="16" t="str">
        <f>IFERROR(IF([2]对账明细接口!$L$170=0,"",[2]对账明细接口!$L$170),"")</f>
        <v/>
      </c>
      <c r="M170" s="16" t="str">
        <f>IFERROR(IF([2]对账明细接口!$M$170=0,"",[2]对账明细接口!$M$170),"")</f>
        <v/>
      </c>
      <c r="N170" s="19">
        <f t="shared" si="12"/>
        <v>0</v>
      </c>
      <c r="O170" s="19">
        <f t="shared" si="13"/>
        <v>165</v>
      </c>
      <c r="S170" s="20" t="str">
        <f>IFERROR(IF([2]对账明细接口!$N170=0,"",[2]对账明细接口!$N170),"")</f>
        <v/>
      </c>
      <c r="T170" s="21" t="str">
        <f>IFERROR(IF([2]对账明细接口!$O170=0,"",[2]对账明细接口!$O170),"")</f>
        <v/>
      </c>
      <c r="U170" s="21" t="str">
        <f>IFERROR(IF([2]对账明细接口!$P170=0,"",[2]对账明细接口!$P170),"")</f>
        <v/>
      </c>
      <c r="V170" s="21" t="str">
        <f>IFERROR(IF([2]对账明细接口!$Q170=0,"",[2]对账明细接口!$Q170),"")</f>
        <v/>
      </c>
      <c r="W170" s="20" t="str">
        <f>IFERROR(IF([2]对账明细接口!$R170=0,"",[2]对账明细接口!$R170),"")</f>
        <v/>
      </c>
      <c r="X170" s="20" t="str">
        <f>IFERROR(IF([2]对账明细接口!$S170=0,"",[2]对账明细接口!$S170),"")</f>
        <v/>
      </c>
      <c r="Y170" s="20" t="str">
        <f t="shared" si="14"/>
        <v/>
      </c>
      <c r="Z170" s="20" t="str">
        <f t="shared" si="15"/>
        <v/>
      </c>
      <c r="AA170" s="20" t="str">
        <f t="shared" si="16"/>
        <v/>
      </c>
      <c r="AB170" s="20" t="str">
        <f t="shared" si="17"/>
        <v/>
      </c>
    </row>
    <row r="171" customHeight="1" spans="1:28">
      <c r="A171" s="14">
        <v>171</v>
      </c>
      <c r="B171" s="15" t="str">
        <f>IFERROR(IF([2]对账明细接口!$B$171=0,"",[2]对账明细接口!$B$171),"")</f>
        <v/>
      </c>
      <c r="C171" s="16" t="str">
        <f>IFERROR(IF([2]对账明细接口!$C$171=0,"",[2]对账明细接口!$C$171),"")</f>
        <v/>
      </c>
      <c r="D171" s="16" t="str">
        <f>IFERROR(IF([2]对账明细接口!$D$171=0,"",[2]对账明细接口!$D$171),"")</f>
        <v/>
      </c>
      <c r="E171" s="16" t="str">
        <f>IFERROR(IF([2]对账明细接口!$E$171=0,"",[2]对账明细接口!$E$171),"")</f>
        <v/>
      </c>
      <c r="F171" s="16" t="str">
        <f>IFERROR(IF([2]对账明细接口!$F$171=0,"",[2]对账明细接口!$F$171),"")</f>
        <v/>
      </c>
      <c r="G171" s="16" t="str">
        <f>IFERROR(IF([2]对账明细接口!$G$171=0,"",[2]对账明细接口!$G$171),"")</f>
        <v/>
      </c>
      <c r="H171" s="17" t="str">
        <f>IFERROR(IF([2]对账明细接口!$H$171=0,"",[2]对账明细接口!$H$171),"")</f>
        <v/>
      </c>
      <c r="I171" s="16" t="str">
        <f>IFERROR(IF([2]对账明细接口!$I$171=0,"",[2]对账明细接口!$I$171),"")</f>
        <v/>
      </c>
      <c r="J171" s="18" t="str">
        <f>IFERROR(IF([2]对账明细接口!$J$171=0,"",[2]对账明细接口!$J$171),"")</f>
        <v/>
      </c>
      <c r="K171" s="18" t="str">
        <f>IFERROR(IF([2]对账明细接口!$K$171=0,"",[2]对账明细接口!$K$171),"")</f>
        <v/>
      </c>
      <c r="L171" s="16" t="str">
        <f>IFERROR(IF([2]对账明细接口!$L$171=0,"",[2]对账明细接口!$L$171),"")</f>
        <v/>
      </c>
      <c r="M171" s="16" t="str">
        <f>IFERROR(IF([2]对账明细接口!$M$171=0,"",[2]对账明细接口!$M$171),"")</f>
        <v/>
      </c>
      <c r="N171" s="19">
        <f t="shared" si="12"/>
        <v>0</v>
      </c>
      <c r="O171" s="19">
        <f t="shared" si="13"/>
        <v>165</v>
      </c>
      <c r="S171" s="20" t="str">
        <f>IFERROR(IF([2]对账明细接口!$N171=0,"",[2]对账明细接口!$N171),"")</f>
        <v/>
      </c>
      <c r="T171" s="21" t="str">
        <f>IFERROR(IF([2]对账明细接口!$O171=0,"",[2]对账明细接口!$O171),"")</f>
        <v/>
      </c>
      <c r="U171" s="21" t="str">
        <f>IFERROR(IF([2]对账明细接口!$P171=0,"",[2]对账明细接口!$P171),"")</f>
        <v/>
      </c>
      <c r="V171" s="21" t="str">
        <f>IFERROR(IF([2]对账明细接口!$Q171=0,"",[2]对账明细接口!$Q171),"")</f>
        <v/>
      </c>
      <c r="W171" s="20" t="str">
        <f>IFERROR(IF([2]对账明细接口!$R171=0,"",[2]对账明细接口!$R171),"")</f>
        <v/>
      </c>
      <c r="X171" s="20" t="str">
        <f>IFERROR(IF([2]对账明细接口!$S171=0,"",[2]对账明细接口!$S171),"")</f>
        <v/>
      </c>
      <c r="Y171" s="20" t="str">
        <f t="shared" si="14"/>
        <v/>
      </c>
      <c r="Z171" s="20" t="str">
        <f t="shared" si="15"/>
        <v/>
      </c>
      <c r="AA171" s="20" t="str">
        <f t="shared" si="16"/>
        <v/>
      </c>
      <c r="AB171" s="20" t="str">
        <f t="shared" si="17"/>
        <v/>
      </c>
    </row>
    <row r="172" customHeight="1" spans="1:28">
      <c r="A172" s="14">
        <v>172</v>
      </c>
      <c r="B172" s="15" t="str">
        <f>IFERROR(IF([2]对账明细接口!$B$172=0,"",[2]对账明细接口!$B$172),"")</f>
        <v/>
      </c>
      <c r="C172" s="16" t="str">
        <f>IFERROR(IF([2]对账明细接口!$C$172=0,"",[2]对账明细接口!$C$172),"")</f>
        <v/>
      </c>
      <c r="D172" s="16" t="str">
        <f>IFERROR(IF([2]对账明细接口!$D$172=0,"",[2]对账明细接口!$D$172),"")</f>
        <v/>
      </c>
      <c r="E172" s="16" t="str">
        <f>IFERROR(IF([2]对账明细接口!$E$172=0,"",[2]对账明细接口!$E$172),"")</f>
        <v/>
      </c>
      <c r="F172" s="16" t="str">
        <f>IFERROR(IF([2]对账明细接口!$F$172=0,"",[2]对账明细接口!$F$172),"")</f>
        <v/>
      </c>
      <c r="G172" s="16" t="str">
        <f>IFERROR(IF([2]对账明细接口!$G$172=0,"",[2]对账明细接口!$G$172),"")</f>
        <v/>
      </c>
      <c r="H172" s="17" t="str">
        <f>IFERROR(IF([2]对账明细接口!$H$172=0,"",[2]对账明细接口!$H$172),"")</f>
        <v/>
      </c>
      <c r="I172" s="16" t="str">
        <f>IFERROR(IF([2]对账明细接口!$I$172=0,"",[2]对账明细接口!$I$172),"")</f>
        <v/>
      </c>
      <c r="J172" s="18" t="str">
        <f>IFERROR(IF([2]对账明细接口!$J$172=0,"",[2]对账明细接口!$J$172),"")</f>
        <v/>
      </c>
      <c r="K172" s="18" t="str">
        <f>IFERROR(IF([2]对账明细接口!$K$172=0,"",[2]对账明细接口!$K$172),"")</f>
        <v/>
      </c>
      <c r="L172" s="16" t="str">
        <f>IFERROR(IF([2]对账明细接口!$L$172=0,"",[2]对账明细接口!$L$172),"")</f>
        <v/>
      </c>
      <c r="M172" s="16" t="str">
        <f>IFERROR(IF([2]对账明细接口!$M$172=0,"",[2]对账明细接口!$M$172),"")</f>
        <v/>
      </c>
      <c r="N172" s="19">
        <f t="shared" si="12"/>
        <v>0</v>
      </c>
      <c r="O172" s="19">
        <f t="shared" si="13"/>
        <v>165</v>
      </c>
      <c r="S172" s="20" t="str">
        <f>IFERROR(IF([2]对账明细接口!$N172=0,"",[2]对账明细接口!$N172),"")</f>
        <v/>
      </c>
      <c r="T172" s="21" t="str">
        <f>IFERROR(IF([2]对账明细接口!$O172=0,"",[2]对账明细接口!$O172),"")</f>
        <v/>
      </c>
      <c r="U172" s="21" t="str">
        <f>IFERROR(IF([2]对账明细接口!$P172=0,"",[2]对账明细接口!$P172),"")</f>
        <v/>
      </c>
      <c r="V172" s="21" t="str">
        <f>IFERROR(IF([2]对账明细接口!$Q172=0,"",[2]对账明细接口!$Q172),"")</f>
        <v/>
      </c>
      <c r="W172" s="20" t="str">
        <f>IFERROR(IF([2]对账明细接口!$R172=0,"",[2]对账明细接口!$R172),"")</f>
        <v/>
      </c>
      <c r="X172" s="20" t="str">
        <f>IFERROR(IF([2]对账明细接口!$S172=0,"",[2]对账明细接口!$S172),"")</f>
        <v/>
      </c>
      <c r="Y172" s="20" t="str">
        <f t="shared" si="14"/>
        <v/>
      </c>
      <c r="Z172" s="20" t="str">
        <f t="shared" si="15"/>
        <v/>
      </c>
      <c r="AA172" s="20" t="str">
        <f t="shared" si="16"/>
        <v/>
      </c>
      <c r="AB172" s="20" t="str">
        <f t="shared" si="17"/>
        <v/>
      </c>
    </row>
    <row r="173" customHeight="1" spans="1:28">
      <c r="A173" s="14">
        <v>173</v>
      </c>
      <c r="B173" s="15" t="str">
        <f>IFERROR(IF([2]对账明细接口!$B$173=0,"",[2]对账明细接口!$B$173),"")</f>
        <v/>
      </c>
      <c r="C173" s="16" t="str">
        <f>IFERROR(IF([2]对账明细接口!$C$173=0,"",[2]对账明细接口!$C$173),"")</f>
        <v/>
      </c>
      <c r="D173" s="16" t="str">
        <f>IFERROR(IF([2]对账明细接口!$D$173=0,"",[2]对账明细接口!$D$173),"")</f>
        <v/>
      </c>
      <c r="E173" s="16" t="str">
        <f>IFERROR(IF([2]对账明细接口!$E$173=0,"",[2]对账明细接口!$E$173),"")</f>
        <v/>
      </c>
      <c r="F173" s="16" t="str">
        <f>IFERROR(IF([2]对账明细接口!$F$173=0,"",[2]对账明细接口!$F$173),"")</f>
        <v/>
      </c>
      <c r="G173" s="16" t="str">
        <f>IFERROR(IF([2]对账明细接口!$G$173=0,"",[2]对账明细接口!$G$173),"")</f>
        <v/>
      </c>
      <c r="H173" s="17" t="str">
        <f>IFERROR(IF([2]对账明细接口!$H$173=0,"",[2]对账明细接口!$H$173),"")</f>
        <v/>
      </c>
      <c r="I173" s="16" t="str">
        <f>IFERROR(IF([2]对账明细接口!$I$173=0,"",[2]对账明细接口!$I$173),"")</f>
        <v/>
      </c>
      <c r="J173" s="18" t="str">
        <f>IFERROR(IF([2]对账明细接口!$J$173=0,"",[2]对账明细接口!$J$173),"")</f>
        <v/>
      </c>
      <c r="K173" s="18" t="str">
        <f>IFERROR(IF([2]对账明细接口!$K$173=0,"",[2]对账明细接口!$K$173),"")</f>
        <v/>
      </c>
      <c r="L173" s="16" t="str">
        <f>IFERROR(IF([2]对账明细接口!$L$173=0,"",[2]对账明细接口!$L$173),"")</f>
        <v/>
      </c>
      <c r="M173" s="16" t="str">
        <f>IFERROR(IF([2]对账明细接口!$M$173=0,"",[2]对账明细接口!$M$173),"")</f>
        <v/>
      </c>
      <c r="N173" s="19">
        <f t="shared" si="12"/>
        <v>0</v>
      </c>
      <c r="O173" s="19">
        <f t="shared" si="13"/>
        <v>165</v>
      </c>
      <c r="S173" s="20" t="str">
        <f>IFERROR(IF([2]对账明细接口!$N173=0,"",[2]对账明细接口!$N173),"")</f>
        <v/>
      </c>
      <c r="T173" s="21" t="str">
        <f>IFERROR(IF([2]对账明细接口!$O173=0,"",[2]对账明细接口!$O173),"")</f>
        <v/>
      </c>
      <c r="U173" s="21" t="str">
        <f>IFERROR(IF([2]对账明细接口!$P173=0,"",[2]对账明细接口!$P173),"")</f>
        <v/>
      </c>
      <c r="V173" s="21" t="str">
        <f>IFERROR(IF([2]对账明细接口!$Q173=0,"",[2]对账明细接口!$Q173),"")</f>
        <v/>
      </c>
      <c r="W173" s="20" t="str">
        <f>IFERROR(IF([2]对账明细接口!$R173=0,"",[2]对账明细接口!$R173),"")</f>
        <v/>
      </c>
      <c r="X173" s="20" t="str">
        <f>IFERROR(IF([2]对账明细接口!$S173=0,"",[2]对账明细接口!$S173),"")</f>
        <v/>
      </c>
      <c r="Y173" s="20" t="str">
        <f t="shared" si="14"/>
        <v/>
      </c>
      <c r="Z173" s="20" t="str">
        <f t="shared" si="15"/>
        <v/>
      </c>
      <c r="AA173" s="20" t="str">
        <f t="shared" si="16"/>
        <v/>
      </c>
      <c r="AB173" s="20" t="str">
        <f t="shared" si="17"/>
        <v/>
      </c>
    </row>
    <row r="174" customHeight="1" spans="1:28">
      <c r="A174" s="14">
        <v>174</v>
      </c>
      <c r="B174" s="15" t="str">
        <f>IFERROR(IF([2]对账明细接口!$B$174=0,"",[2]对账明细接口!$B$174),"")</f>
        <v/>
      </c>
      <c r="C174" s="16" t="str">
        <f>IFERROR(IF([2]对账明细接口!$C$174=0,"",[2]对账明细接口!$C$174),"")</f>
        <v/>
      </c>
      <c r="D174" s="16" t="str">
        <f>IFERROR(IF([2]对账明细接口!$D$174=0,"",[2]对账明细接口!$D$174),"")</f>
        <v/>
      </c>
      <c r="E174" s="16" t="str">
        <f>IFERROR(IF([2]对账明细接口!$E$174=0,"",[2]对账明细接口!$E$174),"")</f>
        <v/>
      </c>
      <c r="F174" s="16" t="str">
        <f>IFERROR(IF([2]对账明细接口!$F$174=0,"",[2]对账明细接口!$F$174),"")</f>
        <v/>
      </c>
      <c r="G174" s="16" t="str">
        <f>IFERROR(IF([2]对账明细接口!$G$174=0,"",[2]对账明细接口!$G$174),"")</f>
        <v/>
      </c>
      <c r="H174" s="17" t="str">
        <f>IFERROR(IF([2]对账明细接口!$H$174=0,"",[2]对账明细接口!$H$174),"")</f>
        <v/>
      </c>
      <c r="I174" s="16" t="str">
        <f>IFERROR(IF([2]对账明细接口!$I$174=0,"",[2]对账明细接口!$I$174),"")</f>
        <v/>
      </c>
      <c r="J174" s="18" t="str">
        <f>IFERROR(IF([2]对账明细接口!$J$174=0,"",[2]对账明细接口!$J$174),"")</f>
        <v/>
      </c>
      <c r="K174" s="18" t="str">
        <f>IFERROR(IF([2]对账明细接口!$K$174=0,"",[2]对账明细接口!$K$174),"")</f>
        <v/>
      </c>
      <c r="L174" s="16" t="str">
        <f>IFERROR(IF([2]对账明细接口!$L$174=0,"",[2]对账明细接口!$L$174),"")</f>
        <v/>
      </c>
      <c r="M174" s="16" t="str">
        <f>IFERROR(IF([2]对账明细接口!$M$174=0,"",[2]对账明细接口!$M$174),"")</f>
        <v/>
      </c>
      <c r="N174" s="19">
        <f t="shared" si="12"/>
        <v>0</v>
      </c>
      <c r="O174" s="19">
        <f t="shared" si="13"/>
        <v>165</v>
      </c>
      <c r="S174" s="20" t="str">
        <f>IFERROR(IF([2]对账明细接口!$N174=0,"",[2]对账明细接口!$N174),"")</f>
        <v/>
      </c>
      <c r="T174" s="21" t="str">
        <f>IFERROR(IF([2]对账明细接口!$O174=0,"",[2]对账明细接口!$O174),"")</f>
        <v/>
      </c>
      <c r="U174" s="21" t="str">
        <f>IFERROR(IF([2]对账明细接口!$P174=0,"",[2]对账明细接口!$P174),"")</f>
        <v/>
      </c>
      <c r="V174" s="21" t="str">
        <f>IFERROR(IF([2]对账明细接口!$Q174=0,"",[2]对账明细接口!$Q174),"")</f>
        <v/>
      </c>
      <c r="W174" s="20" t="str">
        <f>IFERROR(IF([2]对账明细接口!$R174=0,"",[2]对账明细接口!$R174),"")</f>
        <v/>
      </c>
      <c r="X174" s="20" t="str">
        <f>IFERROR(IF([2]对账明细接口!$S174=0,"",[2]对账明细接口!$S174),"")</f>
        <v/>
      </c>
      <c r="Y174" s="20" t="str">
        <f t="shared" si="14"/>
        <v/>
      </c>
      <c r="Z174" s="20" t="str">
        <f t="shared" si="15"/>
        <v/>
      </c>
      <c r="AA174" s="20" t="str">
        <f t="shared" si="16"/>
        <v/>
      </c>
      <c r="AB174" s="20" t="str">
        <f t="shared" si="17"/>
        <v/>
      </c>
    </row>
    <row r="175" customHeight="1" spans="1:28">
      <c r="A175" s="14">
        <v>175</v>
      </c>
      <c r="B175" s="15" t="str">
        <f>IFERROR(IF([2]对账明细接口!$B$175=0,"",[2]对账明细接口!$B$175),"")</f>
        <v/>
      </c>
      <c r="C175" s="16" t="str">
        <f>IFERROR(IF([2]对账明细接口!$C$175=0,"",[2]对账明细接口!$C$175),"")</f>
        <v/>
      </c>
      <c r="D175" s="16" t="str">
        <f>IFERROR(IF([2]对账明细接口!$D$175=0,"",[2]对账明细接口!$D$175),"")</f>
        <v/>
      </c>
      <c r="E175" s="16" t="str">
        <f>IFERROR(IF([2]对账明细接口!$E$175=0,"",[2]对账明细接口!$E$175),"")</f>
        <v/>
      </c>
      <c r="F175" s="16" t="str">
        <f>IFERROR(IF([2]对账明细接口!$F$175=0,"",[2]对账明细接口!$F$175),"")</f>
        <v/>
      </c>
      <c r="G175" s="16" t="str">
        <f>IFERROR(IF([2]对账明细接口!$G$175=0,"",[2]对账明细接口!$G$175),"")</f>
        <v/>
      </c>
      <c r="H175" s="17" t="str">
        <f>IFERROR(IF([2]对账明细接口!$H$175=0,"",[2]对账明细接口!$H$175),"")</f>
        <v/>
      </c>
      <c r="I175" s="16" t="str">
        <f>IFERROR(IF([2]对账明细接口!$I$175=0,"",[2]对账明细接口!$I$175),"")</f>
        <v/>
      </c>
      <c r="J175" s="18" t="str">
        <f>IFERROR(IF([2]对账明细接口!$J$175=0,"",[2]对账明细接口!$J$175),"")</f>
        <v/>
      </c>
      <c r="K175" s="18" t="str">
        <f>IFERROR(IF([2]对账明细接口!$K$175=0,"",[2]对账明细接口!$K$175),"")</f>
        <v/>
      </c>
      <c r="L175" s="16" t="str">
        <f>IFERROR(IF([2]对账明细接口!$L$175=0,"",[2]对账明细接口!$L$175),"")</f>
        <v/>
      </c>
      <c r="M175" s="16" t="str">
        <f>IFERROR(IF([2]对账明细接口!$M$175=0,"",[2]对账明细接口!$M$175),"")</f>
        <v/>
      </c>
      <c r="N175" s="19">
        <f t="shared" si="12"/>
        <v>0</v>
      </c>
      <c r="O175" s="19">
        <f t="shared" si="13"/>
        <v>165</v>
      </c>
      <c r="S175" s="20" t="str">
        <f>IFERROR(IF([2]对账明细接口!$N175=0,"",[2]对账明细接口!$N175),"")</f>
        <v/>
      </c>
      <c r="T175" s="21" t="str">
        <f>IFERROR(IF([2]对账明细接口!$O175=0,"",[2]对账明细接口!$O175),"")</f>
        <v/>
      </c>
      <c r="U175" s="21" t="str">
        <f>IFERROR(IF([2]对账明细接口!$P175=0,"",[2]对账明细接口!$P175),"")</f>
        <v/>
      </c>
      <c r="V175" s="21" t="str">
        <f>IFERROR(IF([2]对账明细接口!$Q175=0,"",[2]对账明细接口!$Q175),"")</f>
        <v/>
      </c>
      <c r="W175" s="20" t="str">
        <f>IFERROR(IF([2]对账明细接口!$R175=0,"",[2]对账明细接口!$R175),"")</f>
        <v/>
      </c>
      <c r="X175" s="20" t="str">
        <f>IFERROR(IF([2]对账明细接口!$S175=0,"",[2]对账明细接口!$S175),"")</f>
        <v/>
      </c>
      <c r="Y175" s="20" t="str">
        <f t="shared" si="14"/>
        <v/>
      </c>
      <c r="Z175" s="20" t="str">
        <f t="shared" si="15"/>
        <v/>
      </c>
      <c r="AA175" s="20" t="str">
        <f t="shared" si="16"/>
        <v/>
      </c>
      <c r="AB175" s="20" t="str">
        <f t="shared" si="17"/>
        <v/>
      </c>
    </row>
    <row r="176" customHeight="1" spans="1:28">
      <c r="A176" s="14">
        <v>176</v>
      </c>
      <c r="B176" s="15" t="str">
        <f>IFERROR(IF([2]对账明细接口!$B$176=0,"",[2]对账明细接口!$B$176),"")</f>
        <v/>
      </c>
      <c r="C176" s="16" t="str">
        <f>IFERROR(IF([2]对账明细接口!$C$176=0,"",[2]对账明细接口!$C$176),"")</f>
        <v/>
      </c>
      <c r="D176" s="16" t="str">
        <f>IFERROR(IF([2]对账明细接口!$D$176=0,"",[2]对账明细接口!$D$176),"")</f>
        <v/>
      </c>
      <c r="E176" s="16" t="str">
        <f>IFERROR(IF([2]对账明细接口!$E$176=0,"",[2]对账明细接口!$E$176),"")</f>
        <v/>
      </c>
      <c r="F176" s="16" t="str">
        <f>IFERROR(IF([2]对账明细接口!$F$176=0,"",[2]对账明细接口!$F$176),"")</f>
        <v/>
      </c>
      <c r="G176" s="16" t="str">
        <f>IFERROR(IF([2]对账明细接口!$G$176=0,"",[2]对账明细接口!$G$176),"")</f>
        <v/>
      </c>
      <c r="H176" s="17" t="str">
        <f>IFERROR(IF([2]对账明细接口!$H$176=0,"",[2]对账明细接口!$H$176),"")</f>
        <v/>
      </c>
      <c r="I176" s="16" t="str">
        <f>IFERROR(IF([2]对账明细接口!$I$176=0,"",[2]对账明细接口!$I$176),"")</f>
        <v/>
      </c>
      <c r="J176" s="18" t="str">
        <f>IFERROR(IF([2]对账明细接口!$J$176=0,"",[2]对账明细接口!$J$176),"")</f>
        <v/>
      </c>
      <c r="K176" s="18" t="str">
        <f>IFERROR(IF([2]对账明细接口!$K$176=0,"",[2]对账明细接口!$K$176),"")</f>
        <v/>
      </c>
      <c r="L176" s="16" t="str">
        <f>IFERROR(IF([2]对账明细接口!$L$176=0,"",[2]对账明细接口!$L$176),"")</f>
        <v/>
      </c>
      <c r="M176" s="16" t="str">
        <f>IFERROR(IF([2]对账明细接口!$M$176=0,"",[2]对账明细接口!$M$176),"")</f>
        <v/>
      </c>
      <c r="N176" s="19">
        <f t="shared" si="12"/>
        <v>0</v>
      </c>
      <c r="O176" s="19">
        <f t="shared" si="13"/>
        <v>165</v>
      </c>
      <c r="S176" s="20" t="str">
        <f>IFERROR(IF([2]对账明细接口!$N176=0,"",[2]对账明细接口!$N176),"")</f>
        <v/>
      </c>
      <c r="T176" s="21" t="str">
        <f>IFERROR(IF([2]对账明细接口!$O176=0,"",[2]对账明细接口!$O176),"")</f>
        <v/>
      </c>
      <c r="U176" s="21" t="str">
        <f>IFERROR(IF([2]对账明细接口!$P176=0,"",[2]对账明细接口!$P176),"")</f>
        <v/>
      </c>
      <c r="V176" s="21" t="str">
        <f>IFERROR(IF([2]对账明细接口!$Q176=0,"",[2]对账明细接口!$Q176),"")</f>
        <v/>
      </c>
      <c r="W176" s="20" t="str">
        <f>IFERROR(IF([2]对账明细接口!$R176=0,"",[2]对账明细接口!$R176),"")</f>
        <v/>
      </c>
      <c r="X176" s="20" t="str">
        <f>IFERROR(IF([2]对账明细接口!$S176=0,"",[2]对账明细接口!$S176),"")</f>
        <v/>
      </c>
      <c r="Y176" s="20" t="str">
        <f t="shared" si="14"/>
        <v/>
      </c>
      <c r="Z176" s="20" t="str">
        <f t="shared" si="15"/>
        <v/>
      </c>
      <c r="AA176" s="20" t="str">
        <f t="shared" si="16"/>
        <v/>
      </c>
      <c r="AB176" s="20" t="str">
        <f t="shared" si="17"/>
        <v/>
      </c>
    </row>
    <row r="177" customHeight="1" spans="1:28">
      <c r="A177" s="14">
        <v>177</v>
      </c>
      <c r="B177" s="15" t="str">
        <f>IFERROR(IF([2]对账明细接口!$B$177=0,"",[2]对账明细接口!$B$177),"")</f>
        <v/>
      </c>
      <c r="C177" s="16" t="str">
        <f>IFERROR(IF([2]对账明细接口!$C$177=0,"",[2]对账明细接口!$C$177),"")</f>
        <v/>
      </c>
      <c r="D177" s="16" t="str">
        <f>IFERROR(IF([2]对账明细接口!$D$177=0,"",[2]对账明细接口!$D$177),"")</f>
        <v/>
      </c>
      <c r="E177" s="16" t="str">
        <f>IFERROR(IF([2]对账明细接口!$E$177=0,"",[2]对账明细接口!$E$177),"")</f>
        <v/>
      </c>
      <c r="F177" s="16" t="str">
        <f>IFERROR(IF([2]对账明细接口!$F$177=0,"",[2]对账明细接口!$F$177),"")</f>
        <v/>
      </c>
      <c r="G177" s="16" t="str">
        <f>IFERROR(IF([2]对账明细接口!$G$177=0,"",[2]对账明细接口!$G$177),"")</f>
        <v/>
      </c>
      <c r="H177" s="17" t="str">
        <f>IFERROR(IF([2]对账明细接口!$H$177=0,"",[2]对账明细接口!$H$177),"")</f>
        <v/>
      </c>
      <c r="I177" s="16" t="str">
        <f>IFERROR(IF([2]对账明细接口!$I$177=0,"",[2]对账明细接口!$I$177),"")</f>
        <v/>
      </c>
      <c r="J177" s="18" t="str">
        <f>IFERROR(IF([2]对账明细接口!$J$177=0,"",[2]对账明细接口!$J$177),"")</f>
        <v/>
      </c>
      <c r="K177" s="18" t="str">
        <f>IFERROR(IF([2]对账明细接口!$K$177=0,"",[2]对账明细接口!$K$177),"")</f>
        <v/>
      </c>
      <c r="L177" s="16" t="str">
        <f>IFERROR(IF([2]对账明细接口!$L$177=0,"",[2]对账明细接口!$L$177),"")</f>
        <v/>
      </c>
      <c r="M177" s="16" t="str">
        <f>IFERROR(IF([2]对账明细接口!$M$177=0,"",[2]对账明细接口!$M$177),"")</f>
        <v/>
      </c>
      <c r="N177" s="19">
        <f t="shared" si="12"/>
        <v>0</v>
      </c>
      <c r="O177" s="19">
        <f t="shared" si="13"/>
        <v>165</v>
      </c>
      <c r="S177" s="20" t="str">
        <f>IFERROR(IF([2]对账明细接口!$N177=0,"",[2]对账明细接口!$N177),"")</f>
        <v/>
      </c>
      <c r="T177" s="21" t="str">
        <f>IFERROR(IF([2]对账明细接口!$O177=0,"",[2]对账明细接口!$O177),"")</f>
        <v/>
      </c>
      <c r="U177" s="21" t="str">
        <f>IFERROR(IF([2]对账明细接口!$P177=0,"",[2]对账明细接口!$P177),"")</f>
        <v/>
      </c>
      <c r="V177" s="21" t="str">
        <f>IFERROR(IF([2]对账明细接口!$Q177=0,"",[2]对账明细接口!$Q177),"")</f>
        <v/>
      </c>
      <c r="W177" s="20" t="str">
        <f>IFERROR(IF([2]对账明细接口!$R177=0,"",[2]对账明细接口!$R177),"")</f>
        <v/>
      </c>
      <c r="X177" s="20" t="str">
        <f>IFERROR(IF([2]对账明细接口!$S177=0,"",[2]对账明细接口!$S177),"")</f>
        <v/>
      </c>
      <c r="Y177" s="20" t="str">
        <f t="shared" si="14"/>
        <v/>
      </c>
      <c r="Z177" s="20" t="str">
        <f t="shared" si="15"/>
        <v/>
      </c>
      <c r="AA177" s="20" t="str">
        <f t="shared" si="16"/>
        <v/>
      </c>
      <c r="AB177" s="20" t="str">
        <f t="shared" si="17"/>
        <v/>
      </c>
    </row>
    <row r="178" customHeight="1" spans="1:28">
      <c r="A178" s="14">
        <v>178</v>
      </c>
      <c r="B178" s="15" t="str">
        <f>IFERROR(IF([2]对账明细接口!$B$178=0,"",[2]对账明细接口!$B$178),"")</f>
        <v/>
      </c>
      <c r="C178" s="16" t="str">
        <f>IFERROR(IF([2]对账明细接口!$C$178=0,"",[2]对账明细接口!$C$178),"")</f>
        <v/>
      </c>
      <c r="D178" s="16" t="str">
        <f>IFERROR(IF([2]对账明细接口!$D$178=0,"",[2]对账明细接口!$D$178),"")</f>
        <v/>
      </c>
      <c r="E178" s="16" t="str">
        <f>IFERROR(IF([2]对账明细接口!$E$178=0,"",[2]对账明细接口!$E$178),"")</f>
        <v/>
      </c>
      <c r="F178" s="16" t="str">
        <f>IFERROR(IF([2]对账明细接口!$F$178=0,"",[2]对账明细接口!$F$178),"")</f>
        <v/>
      </c>
      <c r="G178" s="16" t="str">
        <f>IFERROR(IF([2]对账明细接口!$G$178=0,"",[2]对账明细接口!$G$178),"")</f>
        <v/>
      </c>
      <c r="H178" s="17" t="str">
        <f>IFERROR(IF([2]对账明细接口!$H$178=0,"",[2]对账明细接口!$H$178),"")</f>
        <v/>
      </c>
      <c r="I178" s="16" t="str">
        <f>IFERROR(IF([2]对账明细接口!$I$178=0,"",[2]对账明细接口!$I$178),"")</f>
        <v/>
      </c>
      <c r="J178" s="18" t="str">
        <f>IFERROR(IF([2]对账明细接口!$J$178=0,"",[2]对账明细接口!$J$178),"")</f>
        <v/>
      </c>
      <c r="K178" s="18" t="str">
        <f>IFERROR(IF([2]对账明细接口!$K$178=0,"",[2]对账明细接口!$K$178),"")</f>
        <v/>
      </c>
      <c r="L178" s="16" t="str">
        <f>IFERROR(IF([2]对账明细接口!$L$178=0,"",[2]对账明细接口!$L$178),"")</f>
        <v/>
      </c>
      <c r="M178" s="16" t="str">
        <f>IFERROR(IF([2]对账明细接口!$M$178=0,"",[2]对账明细接口!$M$178),"")</f>
        <v/>
      </c>
      <c r="N178" s="19">
        <f t="shared" si="12"/>
        <v>0</v>
      </c>
      <c r="O178" s="19">
        <f t="shared" si="13"/>
        <v>165</v>
      </c>
      <c r="S178" s="20" t="str">
        <f>IFERROR(IF([2]对账明细接口!$N178=0,"",[2]对账明细接口!$N178),"")</f>
        <v/>
      </c>
      <c r="T178" s="21" t="str">
        <f>IFERROR(IF([2]对账明细接口!$O178=0,"",[2]对账明细接口!$O178),"")</f>
        <v/>
      </c>
      <c r="U178" s="21" t="str">
        <f>IFERROR(IF([2]对账明细接口!$P178=0,"",[2]对账明细接口!$P178),"")</f>
        <v/>
      </c>
      <c r="V178" s="21" t="str">
        <f>IFERROR(IF([2]对账明细接口!$Q178=0,"",[2]对账明细接口!$Q178),"")</f>
        <v/>
      </c>
      <c r="W178" s="20" t="str">
        <f>IFERROR(IF([2]对账明细接口!$R178=0,"",[2]对账明细接口!$R178),"")</f>
        <v/>
      </c>
      <c r="X178" s="20" t="str">
        <f>IFERROR(IF([2]对账明细接口!$S178=0,"",[2]对账明细接口!$S178),"")</f>
        <v/>
      </c>
      <c r="Y178" s="20" t="str">
        <f t="shared" si="14"/>
        <v/>
      </c>
      <c r="Z178" s="20" t="str">
        <f t="shared" si="15"/>
        <v/>
      </c>
      <c r="AA178" s="20" t="str">
        <f t="shared" si="16"/>
        <v/>
      </c>
      <c r="AB178" s="20" t="str">
        <f t="shared" si="17"/>
        <v/>
      </c>
    </row>
    <row r="179" customHeight="1" spans="1:28">
      <c r="A179" s="14">
        <v>179</v>
      </c>
      <c r="B179" s="15" t="str">
        <f>IFERROR(IF([2]对账明细接口!$B$179=0,"",[2]对账明细接口!$B$179),"")</f>
        <v/>
      </c>
      <c r="C179" s="16" t="str">
        <f>IFERROR(IF([2]对账明细接口!$C$179=0,"",[2]对账明细接口!$C$179),"")</f>
        <v/>
      </c>
      <c r="D179" s="16" t="str">
        <f>IFERROR(IF([2]对账明细接口!$D$179=0,"",[2]对账明细接口!$D$179),"")</f>
        <v/>
      </c>
      <c r="E179" s="16" t="str">
        <f>IFERROR(IF([2]对账明细接口!$E$179=0,"",[2]对账明细接口!$E$179),"")</f>
        <v/>
      </c>
      <c r="F179" s="16" t="str">
        <f>IFERROR(IF([2]对账明细接口!$F$179=0,"",[2]对账明细接口!$F$179),"")</f>
        <v/>
      </c>
      <c r="G179" s="16" t="str">
        <f>IFERROR(IF([2]对账明细接口!$G$179=0,"",[2]对账明细接口!$G$179),"")</f>
        <v/>
      </c>
      <c r="H179" s="17" t="str">
        <f>IFERROR(IF([2]对账明细接口!$H$179=0,"",[2]对账明细接口!$H$179),"")</f>
        <v/>
      </c>
      <c r="I179" s="16" t="str">
        <f>IFERROR(IF([2]对账明细接口!$I$179=0,"",[2]对账明细接口!$I$179),"")</f>
        <v/>
      </c>
      <c r="J179" s="18" t="str">
        <f>IFERROR(IF([2]对账明细接口!$J$179=0,"",[2]对账明细接口!$J$179),"")</f>
        <v/>
      </c>
      <c r="K179" s="18" t="str">
        <f>IFERROR(IF([2]对账明细接口!$K$179=0,"",[2]对账明细接口!$K$179),"")</f>
        <v/>
      </c>
      <c r="L179" s="16" t="str">
        <f>IFERROR(IF([2]对账明细接口!$L$179=0,"",[2]对账明细接口!$L$179),"")</f>
        <v/>
      </c>
      <c r="M179" s="16" t="str">
        <f>IFERROR(IF([2]对账明细接口!$M$179=0,"",[2]对账明细接口!$M$179),"")</f>
        <v/>
      </c>
      <c r="N179" s="19">
        <f t="shared" si="12"/>
        <v>0</v>
      </c>
      <c r="O179" s="19">
        <f t="shared" si="13"/>
        <v>165</v>
      </c>
      <c r="S179" s="20" t="str">
        <f>IFERROR(IF([2]对账明细接口!$N179=0,"",[2]对账明细接口!$N179),"")</f>
        <v/>
      </c>
      <c r="T179" s="21" t="str">
        <f>IFERROR(IF([2]对账明细接口!$O179=0,"",[2]对账明细接口!$O179),"")</f>
        <v/>
      </c>
      <c r="U179" s="21" t="str">
        <f>IFERROR(IF([2]对账明细接口!$P179=0,"",[2]对账明细接口!$P179),"")</f>
        <v/>
      </c>
      <c r="V179" s="21" t="str">
        <f>IFERROR(IF([2]对账明细接口!$Q179=0,"",[2]对账明细接口!$Q179),"")</f>
        <v/>
      </c>
      <c r="W179" s="20" t="str">
        <f>IFERROR(IF([2]对账明细接口!$R179=0,"",[2]对账明细接口!$R179),"")</f>
        <v/>
      </c>
      <c r="X179" s="20" t="str">
        <f>IFERROR(IF([2]对账明细接口!$S179=0,"",[2]对账明细接口!$S179),"")</f>
        <v/>
      </c>
      <c r="Y179" s="20" t="str">
        <f t="shared" si="14"/>
        <v/>
      </c>
      <c r="Z179" s="20" t="str">
        <f t="shared" si="15"/>
        <v/>
      </c>
      <c r="AA179" s="20" t="str">
        <f t="shared" si="16"/>
        <v/>
      </c>
      <c r="AB179" s="20" t="str">
        <f t="shared" si="17"/>
        <v/>
      </c>
    </row>
    <row r="180" customHeight="1" spans="1:28">
      <c r="A180" s="14">
        <v>180</v>
      </c>
      <c r="B180" s="15" t="str">
        <f>IFERROR(IF([2]对账明细接口!$B$180=0,"",[2]对账明细接口!$B$180),"")</f>
        <v/>
      </c>
      <c r="C180" s="16" t="str">
        <f>IFERROR(IF([2]对账明细接口!$C$180=0,"",[2]对账明细接口!$C$180),"")</f>
        <v/>
      </c>
      <c r="D180" s="16" t="str">
        <f>IFERROR(IF([2]对账明细接口!$D$180=0,"",[2]对账明细接口!$D$180),"")</f>
        <v/>
      </c>
      <c r="E180" s="16" t="str">
        <f>IFERROR(IF([2]对账明细接口!$E$180=0,"",[2]对账明细接口!$E$180),"")</f>
        <v/>
      </c>
      <c r="F180" s="16" t="str">
        <f>IFERROR(IF([2]对账明细接口!$F$180=0,"",[2]对账明细接口!$F$180),"")</f>
        <v/>
      </c>
      <c r="G180" s="16" t="str">
        <f>IFERROR(IF([2]对账明细接口!$G$180=0,"",[2]对账明细接口!$G$180),"")</f>
        <v/>
      </c>
      <c r="H180" s="17" t="str">
        <f>IFERROR(IF([2]对账明细接口!$H$180=0,"",[2]对账明细接口!$H$180),"")</f>
        <v/>
      </c>
      <c r="I180" s="16" t="str">
        <f>IFERROR(IF([2]对账明细接口!$I$180=0,"",[2]对账明细接口!$I$180),"")</f>
        <v/>
      </c>
      <c r="J180" s="18" t="str">
        <f>IFERROR(IF([2]对账明细接口!$J$180=0,"",[2]对账明细接口!$J$180),"")</f>
        <v/>
      </c>
      <c r="K180" s="18" t="str">
        <f>IFERROR(IF([2]对账明细接口!$K$180=0,"",[2]对账明细接口!$K$180),"")</f>
        <v/>
      </c>
      <c r="L180" s="16" t="str">
        <f>IFERROR(IF([2]对账明细接口!$L$180=0,"",[2]对账明细接口!$L$180),"")</f>
        <v/>
      </c>
      <c r="M180" s="16" t="str">
        <f>IFERROR(IF([2]对账明细接口!$M$180=0,"",[2]对账明细接口!$M$180),"")</f>
        <v/>
      </c>
      <c r="N180" s="19">
        <f t="shared" si="12"/>
        <v>0</v>
      </c>
      <c r="O180" s="19">
        <f t="shared" si="13"/>
        <v>165</v>
      </c>
      <c r="S180" s="20" t="str">
        <f>IFERROR(IF([2]对账明细接口!$N180=0,"",[2]对账明细接口!$N180),"")</f>
        <v/>
      </c>
      <c r="T180" s="21" t="str">
        <f>IFERROR(IF([2]对账明细接口!$O180=0,"",[2]对账明细接口!$O180),"")</f>
        <v/>
      </c>
      <c r="U180" s="21" t="str">
        <f>IFERROR(IF([2]对账明细接口!$P180=0,"",[2]对账明细接口!$P180),"")</f>
        <v/>
      </c>
      <c r="V180" s="21" t="str">
        <f>IFERROR(IF([2]对账明细接口!$Q180=0,"",[2]对账明细接口!$Q180),"")</f>
        <v/>
      </c>
      <c r="W180" s="20" t="str">
        <f>IFERROR(IF([2]对账明细接口!$R180=0,"",[2]对账明细接口!$R180),"")</f>
        <v/>
      </c>
      <c r="X180" s="20" t="str">
        <f>IFERROR(IF([2]对账明细接口!$S180=0,"",[2]对账明细接口!$S180),"")</f>
        <v/>
      </c>
      <c r="Y180" s="20" t="str">
        <f t="shared" si="14"/>
        <v/>
      </c>
      <c r="Z180" s="20" t="str">
        <f t="shared" si="15"/>
        <v/>
      </c>
      <c r="AA180" s="20" t="str">
        <f t="shared" si="16"/>
        <v/>
      </c>
      <c r="AB180" s="20" t="str">
        <f t="shared" si="17"/>
        <v/>
      </c>
    </row>
    <row r="181" customHeight="1" spans="1:28">
      <c r="A181" s="14">
        <v>181</v>
      </c>
      <c r="B181" s="15" t="str">
        <f>IFERROR(IF([2]对账明细接口!$B$181=0,"",[2]对账明细接口!$B$181),"")</f>
        <v/>
      </c>
      <c r="C181" s="16" t="str">
        <f>IFERROR(IF([2]对账明细接口!$C$181=0,"",[2]对账明细接口!$C$181),"")</f>
        <v/>
      </c>
      <c r="D181" s="16" t="str">
        <f>IFERROR(IF([2]对账明细接口!$D$181=0,"",[2]对账明细接口!$D$181),"")</f>
        <v/>
      </c>
      <c r="E181" s="16" t="str">
        <f>IFERROR(IF([2]对账明细接口!$E$181=0,"",[2]对账明细接口!$E$181),"")</f>
        <v/>
      </c>
      <c r="F181" s="16" t="str">
        <f>IFERROR(IF([2]对账明细接口!$F$181=0,"",[2]对账明细接口!$F$181),"")</f>
        <v/>
      </c>
      <c r="G181" s="16" t="str">
        <f>IFERROR(IF([2]对账明细接口!$G$181=0,"",[2]对账明细接口!$G$181),"")</f>
        <v/>
      </c>
      <c r="H181" s="17" t="str">
        <f>IFERROR(IF([2]对账明细接口!$H$181=0,"",[2]对账明细接口!$H$181),"")</f>
        <v/>
      </c>
      <c r="I181" s="16" t="str">
        <f>IFERROR(IF([2]对账明细接口!$I$181=0,"",[2]对账明细接口!$I$181),"")</f>
        <v/>
      </c>
      <c r="J181" s="18" t="str">
        <f>IFERROR(IF([2]对账明细接口!$J$181=0,"",[2]对账明细接口!$J$181),"")</f>
        <v/>
      </c>
      <c r="K181" s="18" t="str">
        <f>IFERROR(IF([2]对账明细接口!$K$181=0,"",[2]对账明细接口!$K$181),"")</f>
        <v/>
      </c>
      <c r="L181" s="16" t="str">
        <f>IFERROR(IF([2]对账明细接口!$L$181=0,"",[2]对账明细接口!$L$181),"")</f>
        <v/>
      </c>
      <c r="M181" s="16" t="str">
        <f>IFERROR(IF([2]对账明细接口!$M$181=0,"",[2]对账明细接口!$M$181),"")</f>
        <v/>
      </c>
      <c r="N181" s="19">
        <f t="shared" si="12"/>
        <v>0</v>
      </c>
      <c r="O181" s="19">
        <f t="shared" si="13"/>
        <v>165</v>
      </c>
      <c r="S181" s="20" t="str">
        <f>IFERROR(IF([2]对账明细接口!$N181=0,"",[2]对账明细接口!$N181),"")</f>
        <v/>
      </c>
      <c r="T181" s="21" t="str">
        <f>IFERROR(IF([2]对账明细接口!$O181=0,"",[2]对账明细接口!$O181),"")</f>
        <v/>
      </c>
      <c r="U181" s="21" t="str">
        <f>IFERROR(IF([2]对账明细接口!$P181=0,"",[2]对账明细接口!$P181),"")</f>
        <v/>
      </c>
      <c r="V181" s="21" t="str">
        <f>IFERROR(IF([2]对账明细接口!$Q181=0,"",[2]对账明细接口!$Q181),"")</f>
        <v/>
      </c>
      <c r="W181" s="20" t="str">
        <f>IFERROR(IF([2]对账明细接口!$R181=0,"",[2]对账明细接口!$R181),"")</f>
        <v/>
      </c>
      <c r="X181" s="20" t="str">
        <f>IFERROR(IF([2]对账明细接口!$S181=0,"",[2]对账明细接口!$S181),"")</f>
        <v/>
      </c>
      <c r="Y181" s="20" t="str">
        <f t="shared" si="14"/>
        <v/>
      </c>
      <c r="Z181" s="20" t="str">
        <f t="shared" si="15"/>
        <v/>
      </c>
      <c r="AA181" s="20" t="str">
        <f t="shared" si="16"/>
        <v/>
      </c>
      <c r="AB181" s="20" t="str">
        <f t="shared" si="17"/>
        <v/>
      </c>
    </row>
    <row r="182" customHeight="1" spans="1:28">
      <c r="A182" s="14">
        <v>182</v>
      </c>
      <c r="B182" s="15" t="str">
        <f>IFERROR(IF([2]对账明细接口!$B$182=0,"",[2]对账明细接口!$B$182),"")</f>
        <v/>
      </c>
      <c r="C182" s="16" t="str">
        <f>IFERROR(IF([2]对账明细接口!$C$182=0,"",[2]对账明细接口!$C$182),"")</f>
        <v/>
      </c>
      <c r="D182" s="16" t="str">
        <f>IFERROR(IF([2]对账明细接口!$D$182=0,"",[2]对账明细接口!$D$182),"")</f>
        <v/>
      </c>
      <c r="E182" s="16" t="str">
        <f>IFERROR(IF([2]对账明细接口!$E$182=0,"",[2]对账明细接口!$E$182),"")</f>
        <v/>
      </c>
      <c r="F182" s="16" t="str">
        <f>IFERROR(IF([2]对账明细接口!$F$182=0,"",[2]对账明细接口!$F$182),"")</f>
        <v/>
      </c>
      <c r="G182" s="16" t="str">
        <f>IFERROR(IF([2]对账明细接口!$G$182=0,"",[2]对账明细接口!$G$182),"")</f>
        <v/>
      </c>
      <c r="H182" s="17" t="str">
        <f>IFERROR(IF([2]对账明细接口!$H$182=0,"",[2]对账明细接口!$H$182),"")</f>
        <v/>
      </c>
      <c r="I182" s="16" t="str">
        <f>IFERROR(IF([2]对账明细接口!$I$182=0,"",[2]对账明细接口!$I$182),"")</f>
        <v/>
      </c>
      <c r="J182" s="18" t="str">
        <f>IFERROR(IF([2]对账明细接口!$J$182=0,"",[2]对账明细接口!$J$182),"")</f>
        <v/>
      </c>
      <c r="K182" s="18" t="str">
        <f>IFERROR(IF([2]对账明细接口!$K$182=0,"",[2]对账明细接口!$K$182),"")</f>
        <v/>
      </c>
      <c r="L182" s="16" t="str">
        <f>IFERROR(IF([2]对账明细接口!$L$182=0,"",[2]对账明细接口!$L$182),"")</f>
        <v/>
      </c>
      <c r="M182" s="16" t="str">
        <f>IFERROR(IF([2]对账明细接口!$M$182=0,"",[2]对账明细接口!$M$182),"")</f>
        <v/>
      </c>
      <c r="N182" s="19">
        <f t="shared" si="12"/>
        <v>0</v>
      </c>
      <c r="O182" s="19">
        <f t="shared" si="13"/>
        <v>165</v>
      </c>
      <c r="S182" s="20" t="str">
        <f>IFERROR(IF([2]对账明细接口!$N182=0,"",[2]对账明细接口!$N182),"")</f>
        <v/>
      </c>
      <c r="T182" s="21" t="str">
        <f>IFERROR(IF([2]对账明细接口!$O182=0,"",[2]对账明细接口!$O182),"")</f>
        <v/>
      </c>
      <c r="U182" s="21" t="str">
        <f>IFERROR(IF([2]对账明细接口!$P182=0,"",[2]对账明细接口!$P182),"")</f>
        <v/>
      </c>
      <c r="V182" s="21" t="str">
        <f>IFERROR(IF([2]对账明细接口!$Q182=0,"",[2]对账明细接口!$Q182),"")</f>
        <v/>
      </c>
      <c r="W182" s="20" t="str">
        <f>IFERROR(IF([2]对账明细接口!$R182=0,"",[2]对账明细接口!$R182),"")</f>
        <v/>
      </c>
      <c r="X182" s="20" t="str">
        <f>IFERROR(IF([2]对账明细接口!$S182=0,"",[2]对账明细接口!$S182),"")</f>
        <v/>
      </c>
      <c r="Y182" s="20" t="str">
        <f t="shared" si="14"/>
        <v/>
      </c>
      <c r="Z182" s="20" t="str">
        <f t="shared" si="15"/>
        <v/>
      </c>
      <c r="AA182" s="20" t="str">
        <f t="shared" si="16"/>
        <v/>
      </c>
      <c r="AB182" s="20" t="str">
        <f t="shared" si="17"/>
        <v/>
      </c>
    </row>
    <row r="183" customHeight="1" spans="1:28">
      <c r="A183" s="14">
        <v>183</v>
      </c>
      <c r="B183" s="15" t="str">
        <f>IFERROR(IF([2]对账明细接口!$B$183=0,"",[2]对账明细接口!$B$183),"")</f>
        <v/>
      </c>
      <c r="C183" s="16" t="str">
        <f>IFERROR(IF([2]对账明细接口!$C$183=0,"",[2]对账明细接口!$C$183),"")</f>
        <v/>
      </c>
      <c r="D183" s="16" t="str">
        <f>IFERROR(IF([2]对账明细接口!$D$183=0,"",[2]对账明细接口!$D$183),"")</f>
        <v/>
      </c>
      <c r="E183" s="16" t="str">
        <f>IFERROR(IF([2]对账明细接口!$E$183=0,"",[2]对账明细接口!$E$183),"")</f>
        <v/>
      </c>
      <c r="F183" s="16" t="str">
        <f>IFERROR(IF([2]对账明细接口!$F$183=0,"",[2]对账明细接口!$F$183),"")</f>
        <v/>
      </c>
      <c r="G183" s="16" t="str">
        <f>IFERROR(IF([2]对账明细接口!$G$183=0,"",[2]对账明细接口!$G$183),"")</f>
        <v/>
      </c>
      <c r="H183" s="17" t="str">
        <f>IFERROR(IF([2]对账明细接口!$H$183=0,"",[2]对账明细接口!$H$183),"")</f>
        <v/>
      </c>
      <c r="I183" s="16" t="str">
        <f>IFERROR(IF([2]对账明细接口!$I$183=0,"",[2]对账明细接口!$I$183),"")</f>
        <v/>
      </c>
      <c r="J183" s="18" t="str">
        <f>IFERROR(IF([2]对账明细接口!$J$183=0,"",[2]对账明细接口!$J$183),"")</f>
        <v/>
      </c>
      <c r="K183" s="18" t="str">
        <f>IFERROR(IF([2]对账明细接口!$K$183=0,"",[2]对账明细接口!$K$183),"")</f>
        <v/>
      </c>
      <c r="L183" s="16" t="str">
        <f>IFERROR(IF([2]对账明细接口!$L$183=0,"",[2]对账明细接口!$L$183),"")</f>
        <v/>
      </c>
      <c r="M183" s="16" t="str">
        <f>IFERROR(IF([2]对账明细接口!$M$183=0,"",[2]对账明细接口!$M$183),"")</f>
        <v/>
      </c>
      <c r="N183" s="19">
        <f t="shared" si="12"/>
        <v>0</v>
      </c>
      <c r="O183" s="19">
        <f t="shared" si="13"/>
        <v>165</v>
      </c>
      <c r="S183" s="20" t="str">
        <f>IFERROR(IF([2]对账明细接口!$N183=0,"",[2]对账明细接口!$N183),"")</f>
        <v/>
      </c>
      <c r="T183" s="21" t="str">
        <f>IFERROR(IF([2]对账明细接口!$O183=0,"",[2]对账明细接口!$O183),"")</f>
        <v/>
      </c>
      <c r="U183" s="21" t="str">
        <f>IFERROR(IF([2]对账明细接口!$P183=0,"",[2]对账明细接口!$P183),"")</f>
        <v/>
      </c>
      <c r="V183" s="21" t="str">
        <f>IFERROR(IF([2]对账明细接口!$Q183=0,"",[2]对账明细接口!$Q183),"")</f>
        <v/>
      </c>
      <c r="W183" s="20" t="str">
        <f>IFERROR(IF([2]对账明细接口!$R183=0,"",[2]对账明细接口!$R183),"")</f>
        <v/>
      </c>
      <c r="X183" s="20" t="str">
        <f>IFERROR(IF([2]对账明细接口!$S183=0,"",[2]对账明细接口!$S183),"")</f>
        <v/>
      </c>
      <c r="Y183" s="20" t="str">
        <f t="shared" si="14"/>
        <v/>
      </c>
      <c r="Z183" s="20" t="str">
        <f t="shared" si="15"/>
        <v/>
      </c>
      <c r="AA183" s="20" t="str">
        <f t="shared" si="16"/>
        <v/>
      </c>
      <c r="AB183" s="20" t="str">
        <f t="shared" si="17"/>
        <v/>
      </c>
    </row>
    <row r="184" customHeight="1" spans="1:28">
      <c r="A184" s="14">
        <v>184</v>
      </c>
      <c r="B184" s="15" t="str">
        <f>IFERROR(IF([2]对账明细接口!$B$184=0,"",[2]对账明细接口!$B$184),"")</f>
        <v/>
      </c>
      <c r="C184" s="16" t="str">
        <f>IFERROR(IF([2]对账明细接口!$C$184=0,"",[2]对账明细接口!$C$184),"")</f>
        <v/>
      </c>
      <c r="D184" s="16" t="str">
        <f>IFERROR(IF([2]对账明细接口!$D$184=0,"",[2]对账明细接口!$D$184),"")</f>
        <v/>
      </c>
      <c r="E184" s="16" t="str">
        <f>IFERROR(IF([2]对账明细接口!$E$184=0,"",[2]对账明细接口!$E$184),"")</f>
        <v/>
      </c>
      <c r="F184" s="16" t="str">
        <f>IFERROR(IF([2]对账明细接口!$F$184=0,"",[2]对账明细接口!$F$184),"")</f>
        <v/>
      </c>
      <c r="G184" s="16" t="str">
        <f>IFERROR(IF([2]对账明细接口!$G$184=0,"",[2]对账明细接口!$G$184),"")</f>
        <v/>
      </c>
      <c r="H184" s="17" t="str">
        <f>IFERROR(IF([2]对账明细接口!$H$184=0,"",[2]对账明细接口!$H$184),"")</f>
        <v/>
      </c>
      <c r="I184" s="16" t="str">
        <f>IFERROR(IF([2]对账明细接口!$I$184=0,"",[2]对账明细接口!$I$184),"")</f>
        <v/>
      </c>
      <c r="J184" s="18" t="str">
        <f>IFERROR(IF([2]对账明细接口!$J$184=0,"",[2]对账明细接口!$J$184),"")</f>
        <v/>
      </c>
      <c r="K184" s="18" t="str">
        <f>IFERROR(IF([2]对账明细接口!$K$184=0,"",[2]对账明细接口!$K$184),"")</f>
        <v/>
      </c>
      <c r="L184" s="16" t="str">
        <f>IFERROR(IF([2]对账明细接口!$L$184=0,"",[2]对账明细接口!$L$184),"")</f>
        <v/>
      </c>
      <c r="M184" s="16" t="str">
        <f>IFERROR(IF([2]对账明细接口!$M$184=0,"",[2]对账明细接口!$M$184),"")</f>
        <v/>
      </c>
      <c r="N184" s="19">
        <f t="shared" si="12"/>
        <v>0</v>
      </c>
      <c r="O184" s="19">
        <f t="shared" si="13"/>
        <v>165</v>
      </c>
      <c r="S184" s="20" t="str">
        <f>IFERROR(IF([2]对账明细接口!$N184=0,"",[2]对账明细接口!$N184),"")</f>
        <v/>
      </c>
      <c r="T184" s="21" t="str">
        <f>IFERROR(IF([2]对账明细接口!$O184=0,"",[2]对账明细接口!$O184),"")</f>
        <v/>
      </c>
      <c r="U184" s="21" t="str">
        <f>IFERROR(IF([2]对账明细接口!$P184=0,"",[2]对账明细接口!$P184),"")</f>
        <v/>
      </c>
      <c r="V184" s="21" t="str">
        <f>IFERROR(IF([2]对账明细接口!$Q184=0,"",[2]对账明细接口!$Q184),"")</f>
        <v/>
      </c>
      <c r="W184" s="20" t="str">
        <f>IFERROR(IF([2]对账明细接口!$R184=0,"",[2]对账明细接口!$R184),"")</f>
        <v/>
      </c>
      <c r="X184" s="20" t="str">
        <f>IFERROR(IF([2]对账明细接口!$S184=0,"",[2]对账明细接口!$S184),"")</f>
        <v/>
      </c>
      <c r="Y184" s="20" t="str">
        <f t="shared" si="14"/>
        <v/>
      </c>
      <c r="Z184" s="20" t="str">
        <f t="shared" si="15"/>
        <v/>
      </c>
      <c r="AA184" s="20" t="str">
        <f t="shared" si="16"/>
        <v/>
      </c>
      <c r="AB184" s="20" t="str">
        <f t="shared" si="17"/>
        <v/>
      </c>
    </row>
    <row r="185" customHeight="1" spans="1:28">
      <c r="A185" s="14">
        <v>185</v>
      </c>
      <c r="B185" s="15" t="str">
        <f>IFERROR(IF([2]对账明细接口!$B$185=0,"",[2]对账明细接口!$B$185),"")</f>
        <v/>
      </c>
      <c r="C185" s="16" t="str">
        <f>IFERROR(IF([2]对账明细接口!$C$185=0,"",[2]对账明细接口!$C$185),"")</f>
        <v/>
      </c>
      <c r="D185" s="16" t="str">
        <f>IFERROR(IF([2]对账明细接口!$D$185=0,"",[2]对账明细接口!$D$185),"")</f>
        <v/>
      </c>
      <c r="E185" s="16" t="str">
        <f>IFERROR(IF([2]对账明细接口!$E$185=0,"",[2]对账明细接口!$E$185),"")</f>
        <v/>
      </c>
      <c r="F185" s="16" t="str">
        <f>IFERROR(IF([2]对账明细接口!$F$185=0,"",[2]对账明细接口!$F$185),"")</f>
        <v/>
      </c>
      <c r="G185" s="16" t="str">
        <f>IFERROR(IF([2]对账明细接口!$G$185=0,"",[2]对账明细接口!$G$185),"")</f>
        <v/>
      </c>
      <c r="H185" s="17" t="str">
        <f>IFERROR(IF([2]对账明细接口!$H$185=0,"",[2]对账明细接口!$H$185),"")</f>
        <v/>
      </c>
      <c r="I185" s="16" t="str">
        <f>IFERROR(IF([2]对账明细接口!$I$185=0,"",[2]对账明细接口!$I$185),"")</f>
        <v/>
      </c>
      <c r="J185" s="18" t="str">
        <f>IFERROR(IF([2]对账明细接口!$J$185=0,"",[2]对账明细接口!$J$185),"")</f>
        <v/>
      </c>
      <c r="K185" s="18" t="str">
        <f>IFERROR(IF([2]对账明细接口!$K$185=0,"",[2]对账明细接口!$K$185),"")</f>
        <v/>
      </c>
      <c r="L185" s="16" t="str">
        <f>IFERROR(IF([2]对账明细接口!$L$185=0,"",[2]对账明细接口!$L$185),"")</f>
        <v/>
      </c>
      <c r="M185" s="16" t="str">
        <f>IFERROR(IF([2]对账明细接口!$M$185=0,"",[2]对账明细接口!$M$185),"")</f>
        <v/>
      </c>
      <c r="N185" s="19">
        <f t="shared" si="12"/>
        <v>0</v>
      </c>
      <c r="O185" s="19">
        <f t="shared" si="13"/>
        <v>165</v>
      </c>
      <c r="S185" s="20" t="str">
        <f>IFERROR(IF([2]对账明细接口!$N185=0,"",[2]对账明细接口!$N185),"")</f>
        <v/>
      </c>
      <c r="T185" s="21" t="str">
        <f>IFERROR(IF([2]对账明细接口!$O185=0,"",[2]对账明细接口!$O185),"")</f>
        <v/>
      </c>
      <c r="U185" s="21" t="str">
        <f>IFERROR(IF([2]对账明细接口!$P185=0,"",[2]对账明细接口!$P185),"")</f>
        <v/>
      </c>
      <c r="V185" s="21" t="str">
        <f>IFERROR(IF([2]对账明细接口!$Q185=0,"",[2]对账明细接口!$Q185),"")</f>
        <v/>
      </c>
      <c r="W185" s="20" t="str">
        <f>IFERROR(IF([2]对账明细接口!$R185=0,"",[2]对账明细接口!$R185),"")</f>
        <v/>
      </c>
      <c r="X185" s="20" t="str">
        <f>IFERROR(IF([2]对账明细接口!$S185=0,"",[2]对账明细接口!$S185),"")</f>
        <v/>
      </c>
      <c r="Y185" s="20" t="str">
        <f t="shared" si="14"/>
        <v/>
      </c>
      <c r="Z185" s="20" t="str">
        <f t="shared" si="15"/>
        <v/>
      </c>
      <c r="AA185" s="20" t="str">
        <f t="shared" si="16"/>
        <v/>
      </c>
      <c r="AB185" s="20" t="str">
        <f t="shared" si="17"/>
        <v/>
      </c>
    </row>
    <row r="186" customHeight="1" spans="1:28">
      <c r="A186" s="14">
        <v>186</v>
      </c>
      <c r="B186" s="15" t="str">
        <f>IFERROR(IF([2]对账明细接口!$B$186=0,"",[2]对账明细接口!$B$186),"")</f>
        <v/>
      </c>
      <c r="C186" s="16" t="str">
        <f>IFERROR(IF([2]对账明细接口!$C$186=0,"",[2]对账明细接口!$C$186),"")</f>
        <v/>
      </c>
      <c r="D186" s="16" t="str">
        <f>IFERROR(IF([2]对账明细接口!$D$186=0,"",[2]对账明细接口!$D$186),"")</f>
        <v/>
      </c>
      <c r="E186" s="16" t="str">
        <f>IFERROR(IF([2]对账明细接口!$E$186=0,"",[2]对账明细接口!$E$186),"")</f>
        <v/>
      </c>
      <c r="F186" s="16" t="str">
        <f>IFERROR(IF([2]对账明细接口!$F$186=0,"",[2]对账明细接口!$F$186),"")</f>
        <v/>
      </c>
      <c r="G186" s="16" t="str">
        <f>IFERROR(IF([2]对账明细接口!$G$186=0,"",[2]对账明细接口!$G$186),"")</f>
        <v/>
      </c>
      <c r="H186" s="17" t="str">
        <f>IFERROR(IF([2]对账明细接口!$H$186=0,"",[2]对账明细接口!$H$186),"")</f>
        <v/>
      </c>
      <c r="I186" s="16" t="str">
        <f>IFERROR(IF([2]对账明细接口!$I$186=0,"",[2]对账明细接口!$I$186),"")</f>
        <v/>
      </c>
      <c r="J186" s="18" t="str">
        <f>IFERROR(IF([2]对账明细接口!$J$186=0,"",[2]对账明细接口!$J$186),"")</f>
        <v/>
      </c>
      <c r="K186" s="18" t="str">
        <f>IFERROR(IF([2]对账明细接口!$K$186=0,"",[2]对账明细接口!$K$186),"")</f>
        <v/>
      </c>
      <c r="L186" s="16" t="str">
        <f>IFERROR(IF([2]对账明细接口!$L$186=0,"",[2]对账明细接口!$L$186),"")</f>
        <v/>
      </c>
      <c r="M186" s="16" t="str">
        <f>IFERROR(IF([2]对账明细接口!$M$186=0,"",[2]对账明细接口!$M$186),"")</f>
        <v/>
      </c>
      <c r="N186" s="19">
        <f t="shared" si="12"/>
        <v>0</v>
      </c>
      <c r="O186" s="19">
        <f t="shared" si="13"/>
        <v>165</v>
      </c>
      <c r="S186" s="20" t="str">
        <f>IFERROR(IF([2]对账明细接口!$N186=0,"",[2]对账明细接口!$N186),"")</f>
        <v/>
      </c>
      <c r="T186" s="21" t="str">
        <f>IFERROR(IF([2]对账明细接口!$O186=0,"",[2]对账明细接口!$O186),"")</f>
        <v/>
      </c>
      <c r="U186" s="21" t="str">
        <f>IFERROR(IF([2]对账明细接口!$P186=0,"",[2]对账明细接口!$P186),"")</f>
        <v/>
      </c>
      <c r="V186" s="21" t="str">
        <f>IFERROR(IF([2]对账明细接口!$Q186=0,"",[2]对账明细接口!$Q186),"")</f>
        <v/>
      </c>
      <c r="W186" s="20" t="str">
        <f>IFERROR(IF([2]对账明细接口!$R186=0,"",[2]对账明细接口!$R186),"")</f>
        <v/>
      </c>
      <c r="X186" s="20" t="str">
        <f>IFERROR(IF([2]对账明细接口!$S186=0,"",[2]对账明细接口!$S186),"")</f>
        <v/>
      </c>
      <c r="Y186" s="20" t="str">
        <f t="shared" si="14"/>
        <v/>
      </c>
      <c r="Z186" s="20" t="str">
        <f t="shared" si="15"/>
        <v/>
      </c>
      <c r="AA186" s="20" t="str">
        <f t="shared" si="16"/>
        <v/>
      </c>
      <c r="AB186" s="20" t="str">
        <f t="shared" si="17"/>
        <v/>
      </c>
    </row>
    <row r="187" customHeight="1" spans="1:28">
      <c r="A187" s="14">
        <v>187</v>
      </c>
      <c r="B187" s="15" t="str">
        <f>IFERROR(IF([2]对账明细接口!$B$187=0,"",[2]对账明细接口!$B$187),"")</f>
        <v/>
      </c>
      <c r="C187" s="16" t="str">
        <f>IFERROR(IF([2]对账明细接口!$C$187=0,"",[2]对账明细接口!$C$187),"")</f>
        <v/>
      </c>
      <c r="D187" s="16" t="str">
        <f>IFERROR(IF([2]对账明细接口!$D$187=0,"",[2]对账明细接口!$D$187),"")</f>
        <v/>
      </c>
      <c r="E187" s="16" t="str">
        <f>IFERROR(IF([2]对账明细接口!$E$187=0,"",[2]对账明细接口!$E$187),"")</f>
        <v/>
      </c>
      <c r="F187" s="16" t="str">
        <f>IFERROR(IF([2]对账明细接口!$F$187=0,"",[2]对账明细接口!$F$187),"")</f>
        <v/>
      </c>
      <c r="G187" s="16" t="str">
        <f>IFERROR(IF([2]对账明细接口!$G$187=0,"",[2]对账明细接口!$G$187),"")</f>
        <v/>
      </c>
      <c r="H187" s="17" t="str">
        <f>IFERROR(IF([2]对账明细接口!$H$187=0,"",[2]对账明细接口!$H$187),"")</f>
        <v/>
      </c>
      <c r="I187" s="16" t="str">
        <f>IFERROR(IF([2]对账明细接口!$I$187=0,"",[2]对账明细接口!$I$187),"")</f>
        <v/>
      </c>
      <c r="J187" s="18" t="str">
        <f>IFERROR(IF([2]对账明细接口!$J$187=0,"",[2]对账明细接口!$J$187),"")</f>
        <v/>
      </c>
      <c r="K187" s="18" t="str">
        <f>IFERROR(IF([2]对账明细接口!$K$187=0,"",[2]对账明细接口!$K$187),"")</f>
        <v/>
      </c>
      <c r="L187" s="16" t="str">
        <f>IFERROR(IF([2]对账明细接口!$L$187=0,"",[2]对账明细接口!$L$187),"")</f>
        <v/>
      </c>
      <c r="M187" s="16" t="str">
        <f>IFERROR(IF([2]对账明细接口!$M$187=0,"",[2]对账明细接口!$M$187),"")</f>
        <v/>
      </c>
      <c r="N187" s="19">
        <f t="shared" si="12"/>
        <v>0</v>
      </c>
      <c r="O187" s="19">
        <f t="shared" si="13"/>
        <v>165</v>
      </c>
      <c r="S187" s="20" t="str">
        <f>IFERROR(IF([2]对账明细接口!$N187=0,"",[2]对账明细接口!$N187),"")</f>
        <v/>
      </c>
      <c r="T187" s="21" t="str">
        <f>IFERROR(IF([2]对账明细接口!$O187=0,"",[2]对账明细接口!$O187),"")</f>
        <v/>
      </c>
      <c r="U187" s="21" t="str">
        <f>IFERROR(IF([2]对账明细接口!$P187=0,"",[2]对账明细接口!$P187),"")</f>
        <v/>
      </c>
      <c r="V187" s="21" t="str">
        <f>IFERROR(IF([2]对账明细接口!$Q187=0,"",[2]对账明细接口!$Q187),"")</f>
        <v/>
      </c>
      <c r="W187" s="20" t="str">
        <f>IFERROR(IF([2]对账明细接口!$R187=0,"",[2]对账明细接口!$R187),"")</f>
        <v/>
      </c>
      <c r="X187" s="20" t="str">
        <f>IFERROR(IF([2]对账明细接口!$S187=0,"",[2]对账明细接口!$S187),"")</f>
        <v/>
      </c>
      <c r="Y187" s="20" t="str">
        <f t="shared" si="14"/>
        <v/>
      </c>
      <c r="Z187" s="20" t="str">
        <f t="shared" si="15"/>
        <v/>
      </c>
      <c r="AA187" s="20" t="str">
        <f t="shared" si="16"/>
        <v/>
      </c>
      <c r="AB187" s="20" t="str">
        <f t="shared" si="17"/>
        <v/>
      </c>
    </row>
    <row r="188" customHeight="1" spans="1:28">
      <c r="A188" s="14">
        <v>188</v>
      </c>
      <c r="B188" s="15" t="str">
        <f>IFERROR(IF([2]对账明细接口!$B$188=0,"",[2]对账明细接口!$B$188),"")</f>
        <v/>
      </c>
      <c r="C188" s="16" t="str">
        <f>IFERROR(IF([2]对账明细接口!$C$188=0,"",[2]对账明细接口!$C$188),"")</f>
        <v/>
      </c>
      <c r="D188" s="16" t="str">
        <f>IFERROR(IF([2]对账明细接口!$D$188=0,"",[2]对账明细接口!$D$188),"")</f>
        <v/>
      </c>
      <c r="E188" s="16" t="str">
        <f>IFERROR(IF([2]对账明细接口!$E$188=0,"",[2]对账明细接口!$E$188),"")</f>
        <v/>
      </c>
      <c r="F188" s="16" t="str">
        <f>IFERROR(IF([2]对账明细接口!$F$188=0,"",[2]对账明细接口!$F$188),"")</f>
        <v/>
      </c>
      <c r="G188" s="16" t="str">
        <f>IFERROR(IF([2]对账明细接口!$G$188=0,"",[2]对账明细接口!$G$188),"")</f>
        <v/>
      </c>
      <c r="H188" s="17" t="str">
        <f>IFERROR(IF([2]对账明细接口!$H$188=0,"",[2]对账明细接口!$H$188),"")</f>
        <v/>
      </c>
      <c r="I188" s="16" t="str">
        <f>IFERROR(IF([2]对账明细接口!$I$188=0,"",[2]对账明细接口!$I$188),"")</f>
        <v/>
      </c>
      <c r="J188" s="18" t="str">
        <f>IFERROR(IF([2]对账明细接口!$J$188=0,"",[2]对账明细接口!$J$188),"")</f>
        <v/>
      </c>
      <c r="K188" s="18" t="str">
        <f>IFERROR(IF([2]对账明细接口!$K$188=0,"",[2]对账明细接口!$K$188),"")</f>
        <v/>
      </c>
      <c r="L188" s="16" t="str">
        <f>IFERROR(IF([2]对账明细接口!$L$188=0,"",[2]对账明细接口!$L$188),"")</f>
        <v/>
      </c>
      <c r="M188" s="16" t="str">
        <f>IFERROR(IF([2]对账明细接口!$M$188=0,"",[2]对账明细接口!$M$188),"")</f>
        <v/>
      </c>
      <c r="N188" s="19">
        <f t="shared" si="12"/>
        <v>0</v>
      </c>
      <c r="O188" s="19">
        <f t="shared" si="13"/>
        <v>165</v>
      </c>
      <c r="S188" s="20" t="str">
        <f>IFERROR(IF([2]对账明细接口!$N188=0,"",[2]对账明细接口!$N188),"")</f>
        <v/>
      </c>
      <c r="T188" s="21" t="str">
        <f>IFERROR(IF([2]对账明细接口!$O188=0,"",[2]对账明细接口!$O188),"")</f>
        <v/>
      </c>
      <c r="U188" s="21" t="str">
        <f>IFERROR(IF([2]对账明细接口!$P188=0,"",[2]对账明细接口!$P188),"")</f>
        <v/>
      </c>
      <c r="V188" s="21" t="str">
        <f>IFERROR(IF([2]对账明细接口!$Q188=0,"",[2]对账明细接口!$Q188),"")</f>
        <v/>
      </c>
      <c r="W188" s="20" t="str">
        <f>IFERROR(IF([2]对账明细接口!$R188=0,"",[2]对账明细接口!$R188),"")</f>
        <v/>
      </c>
      <c r="X188" s="20" t="str">
        <f>IFERROR(IF([2]对账明细接口!$S188=0,"",[2]对账明细接口!$S188),"")</f>
        <v/>
      </c>
      <c r="Y188" s="20" t="str">
        <f t="shared" si="14"/>
        <v/>
      </c>
      <c r="Z188" s="20" t="str">
        <f t="shared" si="15"/>
        <v/>
      </c>
      <c r="AA188" s="20" t="str">
        <f t="shared" si="16"/>
        <v/>
      </c>
      <c r="AB188" s="20" t="str">
        <f t="shared" si="17"/>
        <v/>
      </c>
    </row>
    <row r="189" customHeight="1" spans="1:28">
      <c r="A189" s="14">
        <v>189</v>
      </c>
      <c r="B189" s="15" t="str">
        <f>IFERROR(IF([2]对账明细接口!$B$189=0,"",[2]对账明细接口!$B$189),"")</f>
        <v/>
      </c>
      <c r="C189" s="16" t="str">
        <f>IFERROR(IF([2]对账明细接口!$C$189=0,"",[2]对账明细接口!$C$189),"")</f>
        <v/>
      </c>
      <c r="D189" s="16" t="str">
        <f>IFERROR(IF([2]对账明细接口!$D$189=0,"",[2]对账明细接口!$D$189),"")</f>
        <v/>
      </c>
      <c r="E189" s="16" t="str">
        <f>IFERROR(IF([2]对账明细接口!$E$189=0,"",[2]对账明细接口!$E$189),"")</f>
        <v/>
      </c>
      <c r="F189" s="16" t="str">
        <f>IFERROR(IF([2]对账明细接口!$F$189=0,"",[2]对账明细接口!$F$189),"")</f>
        <v/>
      </c>
      <c r="G189" s="16" t="str">
        <f>IFERROR(IF([2]对账明细接口!$G$189=0,"",[2]对账明细接口!$G$189),"")</f>
        <v/>
      </c>
      <c r="H189" s="17" t="str">
        <f>IFERROR(IF([2]对账明细接口!$H$189=0,"",[2]对账明细接口!$H$189),"")</f>
        <v/>
      </c>
      <c r="I189" s="16" t="str">
        <f>IFERROR(IF([2]对账明细接口!$I$189=0,"",[2]对账明细接口!$I$189),"")</f>
        <v/>
      </c>
      <c r="J189" s="18" t="str">
        <f>IFERROR(IF([2]对账明细接口!$J$189=0,"",[2]对账明细接口!$J$189),"")</f>
        <v/>
      </c>
      <c r="K189" s="18" t="str">
        <f>IFERROR(IF([2]对账明细接口!$K$189=0,"",[2]对账明细接口!$K$189),"")</f>
        <v/>
      </c>
      <c r="L189" s="16" t="str">
        <f>IFERROR(IF([2]对账明细接口!$L$189=0,"",[2]对账明细接口!$L$189),"")</f>
        <v/>
      </c>
      <c r="M189" s="16" t="str">
        <f>IFERROR(IF([2]对账明细接口!$M$189=0,"",[2]对账明细接口!$M$189),"")</f>
        <v/>
      </c>
      <c r="N189" s="19">
        <f t="shared" si="12"/>
        <v>0</v>
      </c>
      <c r="O189" s="19">
        <f t="shared" si="13"/>
        <v>165</v>
      </c>
      <c r="S189" s="20" t="str">
        <f>IFERROR(IF([2]对账明细接口!$N189=0,"",[2]对账明细接口!$N189),"")</f>
        <v/>
      </c>
      <c r="T189" s="21" t="str">
        <f>IFERROR(IF([2]对账明细接口!$O189=0,"",[2]对账明细接口!$O189),"")</f>
        <v/>
      </c>
      <c r="U189" s="21" t="str">
        <f>IFERROR(IF([2]对账明细接口!$P189=0,"",[2]对账明细接口!$P189),"")</f>
        <v/>
      </c>
      <c r="V189" s="21" t="str">
        <f>IFERROR(IF([2]对账明细接口!$Q189=0,"",[2]对账明细接口!$Q189),"")</f>
        <v/>
      </c>
      <c r="W189" s="20" t="str">
        <f>IFERROR(IF([2]对账明细接口!$R189=0,"",[2]对账明细接口!$R189),"")</f>
        <v/>
      </c>
      <c r="X189" s="20" t="str">
        <f>IFERROR(IF([2]对账明细接口!$S189=0,"",[2]对账明细接口!$S189),"")</f>
        <v/>
      </c>
      <c r="Y189" s="20" t="str">
        <f t="shared" si="14"/>
        <v/>
      </c>
      <c r="Z189" s="20" t="str">
        <f t="shared" si="15"/>
        <v/>
      </c>
      <c r="AA189" s="20" t="str">
        <f t="shared" si="16"/>
        <v/>
      </c>
      <c r="AB189" s="20" t="str">
        <f t="shared" si="17"/>
        <v/>
      </c>
    </row>
    <row r="190" customHeight="1" spans="1:28">
      <c r="A190" s="14">
        <v>190</v>
      </c>
      <c r="B190" s="15" t="str">
        <f>IFERROR(IF([2]对账明细接口!$B$190=0,"",[2]对账明细接口!$B$190),"")</f>
        <v/>
      </c>
      <c r="C190" s="16" t="str">
        <f>IFERROR(IF([2]对账明细接口!$C$190=0,"",[2]对账明细接口!$C$190),"")</f>
        <v/>
      </c>
      <c r="D190" s="16" t="str">
        <f>IFERROR(IF([2]对账明细接口!$D$190=0,"",[2]对账明细接口!$D$190),"")</f>
        <v/>
      </c>
      <c r="E190" s="16" t="str">
        <f>IFERROR(IF([2]对账明细接口!$E$190=0,"",[2]对账明细接口!$E$190),"")</f>
        <v/>
      </c>
      <c r="F190" s="16" t="str">
        <f>IFERROR(IF([2]对账明细接口!$F$190=0,"",[2]对账明细接口!$F$190),"")</f>
        <v/>
      </c>
      <c r="G190" s="16" t="str">
        <f>IFERROR(IF([2]对账明细接口!$G$190=0,"",[2]对账明细接口!$G$190),"")</f>
        <v/>
      </c>
      <c r="H190" s="17" t="str">
        <f>IFERROR(IF([2]对账明细接口!$H$190=0,"",[2]对账明细接口!$H$190),"")</f>
        <v/>
      </c>
      <c r="I190" s="16" t="str">
        <f>IFERROR(IF([2]对账明细接口!$I$190=0,"",[2]对账明细接口!$I$190),"")</f>
        <v/>
      </c>
      <c r="J190" s="18" t="str">
        <f>IFERROR(IF([2]对账明细接口!$J$190=0,"",[2]对账明细接口!$J$190),"")</f>
        <v/>
      </c>
      <c r="K190" s="18" t="str">
        <f>IFERROR(IF([2]对账明细接口!$K$190=0,"",[2]对账明细接口!$K$190),"")</f>
        <v/>
      </c>
      <c r="L190" s="16" t="str">
        <f>IFERROR(IF([2]对账明细接口!$L$190=0,"",[2]对账明细接口!$L$190),"")</f>
        <v/>
      </c>
      <c r="M190" s="16" t="str">
        <f>IFERROR(IF([2]对账明细接口!$M$190=0,"",[2]对账明细接口!$M$190),"")</f>
        <v/>
      </c>
      <c r="N190" s="19">
        <f t="shared" si="12"/>
        <v>0</v>
      </c>
      <c r="O190" s="19">
        <f t="shared" si="13"/>
        <v>165</v>
      </c>
      <c r="S190" s="20" t="str">
        <f>IFERROR(IF([2]对账明细接口!$N190=0,"",[2]对账明细接口!$N190),"")</f>
        <v/>
      </c>
      <c r="T190" s="21" t="str">
        <f>IFERROR(IF([2]对账明细接口!$O190=0,"",[2]对账明细接口!$O190),"")</f>
        <v/>
      </c>
      <c r="U190" s="21" t="str">
        <f>IFERROR(IF([2]对账明细接口!$P190=0,"",[2]对账明细接口!$P190),"")</f>
        <v/>
      </c>
      <c r="V190" s="21" t="str">
        <f>IFERROR(IF([2]对账明细接口!$Q190=0,"",[2]对账明细接口!$Q190),"")</f>
        <v/>
      </c>
      <c r="W190" s="20" t="str">
        <f>IFERROR(IF([2]对账明细接口!$R190=0,"",[2]对账明细接口!$R190),"")</f>
        <v/>
      </c>
      <c r="X190" s="20" t="str">
        <f>IFERROR(IF([2]对账明细接口!$S190=0,"",[2]对账明细接口!$S190),"")</f>
        <v/>
      </c>
      <c r="Y190" s="20" t="str">
        <f t="shared" si="14"/>
        <v/>
      </c>
      <c r="Z190" s="20" t="str">
        <f t="shared" si="15"/>
        <v/>
      </c>
      <c r="AA190" s="20" t="str">
        <f t="shared" si="16"/>
        <v/>
      </c>
      <c r="AB190" s="20" t="str">
        <f t="shared" si="17"/>
        <v/>
      </c>
    </row>
    <row r="191" customHeight="1" spans="1:28">
      <c r="A191" s="14">
        <v>191</v>
      </c>
      <c r="B191" s="15" t="str">
        <f>IFERROR(IF([2]对账明细接口!$B$191=0,"",[2]对账明细接口!$B$191),"")</f>
        <v/>
      </c>
      <c r="C191" s="16" t="str">
        <f>IFERROR(IF([2]对账明细接口!$C$191=0,"",[2]对账明细接口!$C$191),"")</f>
        <v/>
      </c>
      <c r="D191" s="16" t="str">
        <f>IFERROR(IF([2]对账明细接口!$D$191=0,"",[2]对账明细接口!$D$191),"")</f>
        <v/>
      </c>
      <c r="E191" s="16" t="str">
        <f>IFERROR(IF([2]对账明细接口!$E$191=0,"",[2]对账明细接口!$E$191),"")</f>
        <v/>
      </c>
      <c r="F191" s="16" t="str">
        <f>IFERROR(IF([2]对账明细接口!$F$191=0,"",[2]对账明细接口!$F$191),"")</f>
        <v/>
      </c>
      <c r="G191" s="16" t="str">
        <f>IFERROR(IF([2]对账明细接口!$G$191=0,"",[2]对账明细接口!$G$191),"")</f>
        <v/>
      </c>
      <c r="H191" s="17" t="str">
        <f>IFERROR(IF([2]对账明细接口!$H$191=0,"",[2]对账明细接口!$H$191),"")</f>
        <v/>
      </c>
      <c r="I191" s="16" t="str">
        <f>IFERROR(IF([2]对账明细接口!$I$191=0,"",[2]对账明细接口!$I$191),"")</f>
        <v/>
      </c>
      <c r="J191" s="18" t="str">
        <f>IFERROR(IF([2]对账明细接口!$J$191=0,"",[2]对账明细接口!$J$191),"")</f>
        <v/>
      </c>
      <c r="K191" s="18" t="str">
        <f>IFERROR(IF([2]对账明细接口!$K$191=0,"",[2]对账明细接口!$K$191),"")</f>
        <v/>
      </c>
      <c r="L191" s="16" t="str">
        <f>IFERROR(IF([2]对账明细接口!$L$191=0,"",[2]对账明细接口!$L$191),"")</f>
        <v/>
      </c>
      <c r="M191" s="16" t="str">
        <f>IFERROR(IF([2]对账明细接口!$M$191=0,"",[2]对账明细接口!$M$191),"")</f>
        <v/>
      </c>
      <c r="N191" s="19">
        <f t="shared" si="12"/>
        <v>0</v>
      </c>
      <c r="O191" s="19">
        <f t="shared" si="13"/>
        <v>165</v>
      </c>
      <c r="S191" s="20" t="str">
        <f>IFERROR(IF([2]对账明细接口!$N191=0,"",[2]对账明细接口!$N191),"")</f>
        <v/>
      </c>
      <c r="T191" s="21" t="str">
        <f>IFERROR(IF([2]对账明细接口!$O191=0,"",[2]对账明细接口!$O191),"")</f>
        <v/>
      </c>
      <c r="U191" s="21" t="str">
        <f>IFERROR(IF([2]对账明细接口!$P191=0,"",[2]对账明细接口!$P191),"")</f>
        <v/>
      </c>
      <c r="V191" s="21" t="str">
        <f>IFERROR(IF([2]对账明细接口!$Q191=0,"",[2]对账明细接口!$Q191),"")</f>
        <v/>
      </c>
      <c r="W191" s="20" t="str">
        <f>IFERROR(IF([2]对账明细接口!$R191=0,"",[2]对账明细接口!$R191),"")</f>
        <v/>
      </c>
      <c r="X191" s="20" t="str">
        <f>IFERROR(IF([2]对账明细接口!$S191=0,"",[2]对账明细接口!$S191),"")</f>
        <v/>
      </c>
      <c r="Y191" s="20" t="str">
        <f t="shared" si="14"/>
        <v/>
      </c>
      <c r="Z191" s="20" t="str">
        <f t="shared" si="15"/>
        <v/>
      </c>
      <c r="AA191" s="20" t="str">
        <f t="shared" si="16"/>
        <v/>
      </c>
      <c r="AB191" s="20" t="str">
        <f t="shared" si="17"/>
        <v/>
      </c>
    </row>
    <row r="192" customHeight="1" spans="1:28">
      <c r="A192" s="14">
        <v>192</v>
      </c>
      <c r="B192" s="15" t="str">
        <f>IFERROR(IF([2]对账明细接口!$B$192=0,"",[2]对账明细接口!$B$192),"")</f>
        <v/>
      </c>
      <c r="C192" s="16" t="str">
        <f>IFERROR(IF([2]对账明细接口!$C$192=0,"",[2]对账明细接口!$C$192),"")</f>
        <v/>
      </c>
      <c r="D192" s="16" t="str">
        <f>IFERROR(IF([2]对账明细接口!$D$192=0,"",[2]对账明细接口!$D$192),"")</f>
        <v/>
      </c>
      <c r="E192" s="16" t="str">
        <f>IFERROR(IF([2]对账明细接口!$E$192=0,"",[2]对账明细接口!$E$192),"")</f>
        <v/>
      </c>
      <c r="F192" s="16" t="str">
        <f>IFERROR(IF([2]对账明细接口!$F$192=0,"",[2]对账明细接口!$F$192),"")</f>
        <v/>
      </c>
      <c r="G192" s="16" t="str">
        <f>IFERROR(IF([2]对账明细接口!$G$192=0,"",[2]对账明细接口!$G$192),"")</f>
        <v/>
      </c>
      <c r="H192" s="17" t="str">
        <f>IFERROR(IF([2]对账明细接口!$H$192=0,"",[2]对账明细接口!$H$192),"")</f>
        <v/>
      </c>
      <c r="I192" s="16" t="str">
        <f>IFERROR(IF([2]对账明细接口!$I$192=0,"",[2]对账明细接口!$I$192),"")</f>
        <v/>
      </c>
      <c r="J192" s="18" t="str">
        <f>IFERROR(IF([2]对账明细接口!$J$192=0,"",[2]对账明细接口!$J$192),"")</f>
        <v/>
      </c>
      <c r="K192" s="18" t="str">
        <f>IFERROR(IF([2]对账明细接口!$K$192=0,"",[2]对账明细接口!$K$192),"")</f>
        <v/>
      </c>
      <c r="L192" s="16" t="str">
        <f>IFERROR(IF([2]对账明细接口!$L$192=0,"",[2]对账明细接口!$L$192),"")</f>
        <v/>
      </c>
      <c r="M192" s="16" t="str">
        <f>IFERROR(IF([2]对账明细接口!$M$192=0,"",[2]对账明细接口!$M$192),"")</f>
        <v/>
      </c>
      <c r="N192" s="19">
        <f t="shared" si="12"/>
        <v>0</v>
      </c>
      <c r="O192" s="19">
        <f t="shared" si="13"/>
        <v>165</v>
      </c>
      <c r="S192" s="20" t="str">
        <f>IFERROR(IF([2]对账明细接口!$N192=0,"",[2]对账明细接口!$N192),"")</f>
        <v/>
      </c>
      <c r="T192" s="21" t="str">
        <f>IFERROR(IF([2]对账明细接口!$O192=0,"",[2]对账明细接口!$O192),"")</f>
        <v/>
      </c>
      <c r="U192" s="21" t="str">
        <f>IFERROR(IF([2]对账明细接口!$P192=0,"",[2]对账明细接口!$P192),"")</f>
        <v/>
      </c>
      <c r="V192" s="21" t="str">
        <f>IFERROR(IF([2]对账明细接口!$Q192=0,"",[2]对账明细接口!$Q192),"")</f>
        <v/>
      </c>
      <c r="W192" s="20" t="str">
        <f>IFERROR(IF([2]对账明细接口!$R192=0,"",[2]对账明细接口!$R192),"")</f>
        <v/>
      </c>
      <c r="X192" s="20" t="str">
        <f>IFERROR(IF([2]对账明细接口!$S192=0,"",[2]对账明细接口!$S192),"")</f>
        <v/>
      </c>
      <c r="Y192" s="20" t="str">
        <f t="shared" si="14"/>
        <v/>
      </c>
      <c r="Z192" s="20" t="str">
        <f t="shared" si="15"/>
        <v/>
      </c>
      <c r="AA192" s="20" t="str">
        <f t="shared" si="16"/>
        <v/>
      </c>
      <c r="AB192" s="20" t="str">
        <f t="shared" si="17"/>
        <v/>
      </c>
    </row>
    <row r="193" customHeight="1" spans="1:28">
      <c r="A193" s="14">
        <v>193</v>
      </c>
      <c r="B193" s="15" t="str">
        <f>IFERROR(IF([2]对账明细接口!$B$193=0,"",[2]对账明细接口!$B$193),"")</f>
        <v/>
      </c>
      <c r="C193" s="16" t="str">
        <f>IFERROR(IF([2]对账明细接口!$C$193=0,"",[2]对账明细接口!$C$193),"")</f>
        <v/>
      </c>
      <c r="D193" s="16" t="str">
        <f>IFERROR(IF([2]对账明细接口!$D$193=0,"",[2]对账明细接口!$D$193),"")</f>
        <v/>
      </c>
      <c r="E193" s="16" t="str">
        <f>IFERROR(IF([2]对账明细接口!$E$193=0,"",[2]对账明细接口!$E$193),"")</f>
        <v/>
      </c>
      <c r="F193" s="16" t="str">
        <f>IFERROR(IF([2]对账明细接口!$F$193=0,"",[2]对账明细接口!$F$193),"")</f>
        <v/>
      </c>
      <c r="G193" s="16" t="str">
        <f>IFERROR(IF([2]对账明细接口!$G$193=0,"",[2]对账明细接口!$G$193),"")</f>
        <v/>
      </c>
      <c r="H193" s="17" t="str">
        <f>IFERROR(IF([2]对账明细接口!$H$193=0,"",[2]对账明细接口!$H$193),"")</f>
        <v/>
      </c>
      <c r="I193" s="16" t="str">
        <f>IFERROR(IF([2]对账明细接口!$I$193=0,"",[2]对账明细接口!$I$193),"")</f>
        <v/>
      </c>
      <c r="J193" s="18" t="str">
        <f>IFERROR(IF([2]对账明细接口!$J$193=0,"",[2]对账明细接口!$J$193),"")</f>
        <v/>
      </c>
      <c r="K193" s="18" t="str">
        <f>IFERROR(IF([2]对账明细接口!$K$193=0,"",[2]对账明细接口!$K$193),"")</f>
        <v/>
      </c>
      <c r="L193" s="16" t="str">
        <f>IFERROR(IF([2]对账明细接口!$L$193=0,"",[2]对账明细接口!$L$193),"")</f>
        <v/>
      </c>
      <c r="M193" s="16" t="str">
        <f>IFERROR(IF([2]对账明细接口!$M$193=0,"",[2]对账明细接口!$M$193),"")</f>
        <v/>
      </c>
      <c r="N193" s="19">
        <f t="shared" si="12"/>
        <v>0</v>
      </c>
      <c r="O193" s="19">
        <f t="shared" si="13"/>
        <v>165</v>
      </c>
      <c r="S193" s="20" t="str">
        <f>IFERROR(IF([2]对账明细接口!$N193=0,"",[2]对账明细接口!$N193),"")</f>
        <v/>
      </c>
      <c r="T193" s="21" t="str">
        <f>IFERROR(IF([2]对账明细接口!$O193=0,"",[2]对账明细接口!$O193),"")</f>
        <v/>
      </c>
      <c r="U193" s="21" t="str">
        <f>IFERROR(IF([2]对账明细接口!$P193=0,"",[2]对账明细接口!$P193),"")</f>
        <v/>
      </c>
      <c r="V193" s="21" t="str">
        <f>IFERROR(IF([2]对账明细接口!$Q193=0,"",[2]对账明细接口!$Q193),"")</f>
        <v/>
      </c>
      <c r="W193" s="20" t="str">
        <f>IFERROR(IF([2]对账明细接口!$R193=0,"",[2]对账明细接口!$R193),"")</f>
        <v/>
      </c>
      <c r="X193" s="20" t="str">
        <f>IFERROR(IF([2]对账明细接口!$S193=0,"",[2]对账明细接口!$S193),"")</f>
        <v/>
      </c>
      <c r="Y193" s="20" t="str">
        <f t="shared" si="14"/>
        <v/>
      </c>
      <c r="Z193" s="20" t="str">
        <f t="shared" si="15"/>
        <v/>
      </c>
      <c r="AA193" s="20" t="str">
        <f t="shared" si="16"/>
        <v/>
      </c>
      <c r="AB193" s="20" t="str">
        <f t="shared" si="17"/>
        <v/>
      </c>
    </row>
    <row r="194" customHeight="1" spans="1:28">
      <c r="A194" s="14">
        <v>194</v>
      </c>
      <c r="B194" s="15" t="str">
        <f>IFERROR(IF([2]对账明细接口!$B$194=0,"",[2]对账明细接口!$B$194),"")</f>
        <v/>
      </c>
      <c r="C194" s="16" t="str">
        <f>IFERROR(IF([2]对账明细接口!$C$194=0,"",[2]对账明细接口!$C$194),"")</f>
        <v/>
      </c>
      <c r="D194" s="16" t="str">
        <f>IFERROR(IF([2]对账明细接口!$D$194=0,"",[2]对账明细接口!$D$194),"")</f>
        <v/>
      </c>
      <c r="E194" s="16" t="str">
        <f>IFERROR(IF([2]对账明细接口!$E$194=0,"",[2]对账明细接口!$E$194),"")</f>
        <v/>
      </c>
      <c r="F194" s="16" t="str">
        <f>IFERROR(IF([2]对账明细接口!$F$194=0,"",[2]对账明细接口!$F$194),"")</f>
        <v/>
      </c>
      <c r="G194" s="16" t="str">
        <f>IFERROR(IF([2]对账明细接口!$G$194=0,"",[2]对账明细接口!$G$194),"")</f>
        <v/>
      </c>
      <c r="H194" s="17" t="str">
        <f>IFERROR(IF([2]对账明细接口!$H$194=0,"",[2]对账明细接口!$H$194),"")</f>
        <v/>
      </c>
      <c r="I194" s="16" t="str">
        <f>IFERROR(IF([2]对账明细接口!$I$194=0,"",[2]对账明细接口!$I$194),"")</f>
        <v/>
      </c>
      <c r="J194" s="18" t="str">
        <f>IFERROR(IF([2]对账明细接口!$J$194=0,"",[2]对账明细接口!$J$194),"")</f>
        <v/>
      </c>
      <c r="K194" s="18" t="str">
        <f>IFERROR(IF([2]对账明细接口!$K$194=0,"",[2]对账明细接口!$K$194),"")</f>
        <v/>
      </c>
      <c r="L194" s="16" t="str">
        <f>IFERROR(IF([2]对账明细接口!$L$194=0,"",[2]对账明细接口!$L$194),"")</f>
        <v/>
      </c>
      <c r="M194" s="16" t="str">
        <f>IFERROR(IF([2]对账明细接口!$M$194=0,"",[2]对账明细接口!$M$194),"")</f>
        <v/>
      </c>
      <c r="N194" s="19">
        <f t="shared" si="12"/>
        <v>0</v>
      </c>
      <c r="O194" s="19">
        <f t="shared" si="13"/>
        <v>165</v>
      </c>
      <c r="S194" s="20" t="str">
        <f>IFERROR(IF([2]对账明细接口!$N194=0,"",[2]对账明细接口!$N194),"")</f>
        <v/>
      </c>
      <c r="T194" s="21" t="str">
        <f>IFERROR(IF([2]对账明细接口!$O194=0,"",[2]对账明细接口!$O194),"")</f>
        <v/>
      </c>
      <c r="U194" s="21" t="str">
        <f>IFERROR(IF([2]对账明细接口!$P194=0,"",[2]对账明细接口!$P194),"")</f>
        <v/>
      </c>
      <c r="V194" s="21" t="str">
        <f>IFERROR(IF([2]对账明细接口!$Q194=0,"",[2]对账明细接口!$Q194),"")</f>
        <v/>
      </c>
      <c r="W194" s="20" t="str">
        <f>IFERROR(IF([2]对账明细接口!$R194=0,"",[2]对账明细接口!$R194),"")</f>
        <v/>
      </c>
      <c r="X194" s="20" t="str">
        <f>IFERROR(IF([2]对账明细接口!$S194=0,"",[2]对账明细接口!$S194),"")</f>
        <v/>
      </c>
      <c r="Y194" s="20" t="str">
        <f t="shared" si="14"/>
        <v/>
      </c>
      <c r="Z194" s="20" t="str">
        <f t="shared" si="15"/>
        <v/>
      </c>
      <c r="AA194" s="20" t="str">
        <f t="shared" si="16"/>
        <v/>
      </c>
      <c r="AB194" s="20" t="str">
        <f t="shared" si="17"/>
        <v/>
      </c>
    </row>
    <row r="195" customHeight="1" spans="1:28">
      <c r="A195" s="14">
        <v>195</v>
      </c>
      <c r="B195" s="15" t="str">
        <f>IFERROR(IF([2]对账明细接口!$B$195=0,"",[2]对账明细接口!$B$195),"")</f>
        <v/>
      </c>
      <c r="C195" s="16" t="str">
        <f>IFERROR(IF([2]对账明细接口!$C$195=0,"",[2]对账明细接口!$C$195),"")</f>
        <v/>
      </c>
      <c r="D195" s="16" t="str">
        <f>IFERROR(IF([2]对账明细接口!$D$195=0,"",[2]对账明细接口!$D$195),"")</f>
        <v/>
      </c>
      <c r="E195" s="16" t="str">
        <f>IFERROR(IF([2]对账明细接口!$E$195=0,"",[2]对账明细接口!$E$195),"")</f>
        <v/>
      </c>
      <c r="F195" s="16" t="str">
        <f>IFERROR(IF([2]对账明细接口!$F$195=0,"",[2]对账明细接口!$F$195),"")</f>
        <v/>
      </c>
      <c r="G195" s="16" t="str">
        <f>IFERROR(IF([2]对账明细接口!$G$195=0,"",[2]对账明细接口!$G$195),"")</f>
        <v/>
      </c>
      <c r="H195" s="17" t="str">
        <f>IFERROR(IF([2]对账明细接口!$H$195=0,"",[2]对账明细接口!$H$195),"")</f>
        <v/>
      </c>
      <c r="I195" s="16" t="str">
        <f>IFERROR(IF([2]对账明细接口!$I$195=0,"",[2]对账明细接口!$I$195),"")</f>
        <v/>
      </c>
      <c r="J195" s="18" t="str">
        <f>IFERROR(IF([2]对账明细接口!$J$195=0,"",[2]对账明细接口!$J$195),"")</f>
        <v/>
      </c>
      <c r="K195" s="18" t="str">
        <f>IFERROR(IF([2]对账明细接口!$K$195=0,"",[2]对账明细接口!$K$195),"")</f>
        <v/>
      </c>
      <c r="L195" s="16" t="str">
        <f>IFERROR(IF([2]对账明细接口!$L$195=0,"",[2]对账明细接口!$L$195),"")</f>
        <v/>
      </c>
      <c r="M195" s="16" t="str">
        <f>IFERROR(IF([2]对账明细接口!$M$195=0,"",[2]对账明细接口!$M$195),"")</f>
        <v/>
      </c>
      <c r="N195" s="19">
        <f t="shared" si="12"/>
        <v>0</v>
      </c>
      <c r="O195" s="19">
        <f t="shared" si="13"/>
        <v>165</v>
      </c>
      <c r="S195" s="20" t="str">
        <f>IFERROR(IF([2]对账明细接口!$N195=0,"",[2]对账明细接口!$N195),"")</f>
        <v/>
      </c>
      <c r="T195" s="21" t="str">
        <f>IFERROR(IF([2]对账明细接口!$O195=0,"",[2]对账明细接口!$O195),"")</f>
        <v/>
      </c>
      <c r="U195" s="21" t="str">
        <f>IFERROR(IF([2]对账明细接口!$P195=0,"",[2]对账明细接口!$P195),"")</f>
        <v/>
      </c>
      <c r="V195" s="21" t="str">
        <f>IFERROR(IF([2]对账明细接口!$Q195=0,"",[2]对账明细接口!$Q195),"")</f>
        <v/>
      </c>
      <c r="W195" s="20" t="str">
        <f>IFERROR(IF([2]对账明细接口!$R195=0,"",[2]对账明细接口!$R195),"")</f>
        <v/>
      </c>
      <c r="X195" s="20" t="str">
        <f>IFERROR(IF([2]对账明细接口!$S195=0,"",[2]对账明细接口!$S195),"")</f>
        <v/>
      </c>
      <c r="Y195" s="20" t="str">
        <f t="shared" si="14"/>
        <v/>
      </c>
      <c r="Z195" s="20" t="str">
        <f t="shared" si="15"/>
        <v/>
      </c>
      <c r="AA195" s="20" t="str">
        <f t="shared" si="16"/>
        <v/>
      </c>
      <c r="AB195" s="20" t="str">
        <f t="shared" si="17"/>
        <v/>
      </c>
    </row>
    <row r="196" customHeight="1" spans="1:28">
      <c r="A196" s="14">
        <v>196</v>
      </c>
      <c r="B196" s="15" t="str">
        <f>IFERROR(IF([2]对账明细接口!$B$196=0,"",[2]对账明细接口!$B$196),"")</f>
        <v/>
      </c>
      <c r="C196" s="16" t="str">
        <f>IFERROR(IF([2]对账明细接口!$C$196=0,"",[2]对账明细接口!$C$196),"")</f>
        <v/>
      </c>
      <c r="D196" s="16" t="str">
        <f>IFERROR(IF([2]对账明细接口!$D$196=0,"",[2]对账明细接口!$D$196),"")</f>
        <v/>
      </c>
      <c r="E196" s="16" t="str">
        <f>IFERROR(IF([2]对账明细接口!$E$196=0,"",[2]对账明细接口!$E$196),"")</f>
        <v/>
      </c>
      <c r="F196" s="16" t="str">
        <f>IFERROR(IF([2]对账明细接口!$F$196=0,"",[2]对账明细接口!$F$196),"")</f>
        <v/>
      </c>
      <c r="G196" s="16" t="str">
        <f>IFERROR(IF([2]对账明细接口!$G$196=0,"",[2]对账明细接口!$G$196),"")</f>
        <v/>
      </c>
      <c r="H196" s="17" t="str">
        <f>IFERROR(IF([2]对账明细接口!$H$196=0,"",[2]对账明细接口!$H$196),"")</f>
        <v/>
      </c>
      <c r="I196" s="16" t="str">
        <f>IFERROR(IF([2]对账明细接口!$I$196=0,"",[2]对账明细接口!$I$196),"")</f>
        <v/>
      </c>
      <c r="J196" s="18" t="str">
        <f>IFERROR(IF([2]对账明细接口!$J$196=0,"",[2]对账明细接口!$J$196),"")</f>
        <v/>
      </c>
      <c r="K196" s="18" t="str">
        <f>IFERROR(IF([2]对账明细接口!$K$196=0,"",[2]对账明细接口!$K$196),"")</f>
        <v/>
      </c>
      <c r="L196" s="16" t="str">
        <f>IFERROR(IF([2]对账明细接口!$L$196=0,"",[2]对账明细接口!$L$196),"")</f>
        <v/>
      </c>
      <c r="M196" s="16" t="str">
        <f>IFERROR(IF([2]对账明细接口!$M$196=0,"",[2]对账明细接口!$M$196),"")</f>
        <v/>
      </c>
      <c r="N196" s="19">
        <f t="shared" ref="N196:N259" si="18">IF($C196="",0,1)</f>
        <v>0</v>
      </c>
      <c r="O196" s="19">
        <f t="shared" ref="O196:O259" si="19">N(O195)+$N196</f>
        <v>165</v>
      </c>
      <c r="S196" s="20" t="str">
        <f>IFERROR(IF([2]对账明细接口!$N196=0,"",[2]对账明细接口!$N196),"")</f>
        <v/>
      </c>
      <c r="T196" s="21" t="str">
        <f>IFERROR(IF([2]对账明细接口!$O196=0,"",[2]对账明细接口!$O196),"")</f>
        <v/>
      </c>
      <c r="U196" s="21" t="str">
        <f>IFERROR(IF([2]对账明细接口!$P196=0,"",[2]对账明细接口!$P196),"")</f>
        <v/>
      </c>
      <c r="V196" s="21" t="str">
        <f>IFERROR(IF([2]对账明细接口!$Q196=0,"",[2]对账明细接口!$Q196),"")</f>
        <v/>
      </c>
      <c r="W196" s="20" t="str">
        <f>IFERROR(IF([2]对账明细接口!$R196=0,"",[2]对账明细接口!$R196),"")</f>
        <v/>
      </c>
      <c r="X196" s="20" t="str">
        <f>IFERROR(IF([2]对账明细接口!$S196=0,"",[2]对账明细接口!$S196),"")</f>
        <v/>
      </c>
      <c r="Y196" s="20" t="str">
        <f t="shared" ref="Y196:Y259" si="20">""</f>
        <v/>
      </c>
      <c r="Z196" s="20" t="str">
        <f t="shared" ref="Z196:Z259" si="21">""</f>
        <v/>
      </c>
      <c r="AA196" s="20" t="str">
        <f t="shared" ref="AA196:AA259" si="22">""</f>
        <v/>
      </c>
      <c r="AB196" s="20" t="str">
        <f t="shared" ref="AB196:AB259" si="23">""</f>
        <v/>
      </c>
    </row>
    <row r="197" customHeight="1" spans="1:28">
      <c r="A197" s="14">
        <v>197</v>
      </c>
      <c r="B197" s="15" t="str">
        <f>IFERROR(IF([2]对账明细接口!$B$197=0,"",[2]对账明细接口!$B$197),"")</f>
        <v/>
      </c>
      <c r="C197" s="16" t="str">
        <f>IFERROR(IF([2]对账明细接口!$C$197=0,"",[2]对账明细接口!$C$197),"")</f>
        <v/>
      </c>
      <c r="D197" s="16" t="str">
        <f>IFERROR(IF([2]对账明细接口!$D$197=0,"",[2]对账明细接口!$D$197),"")</f>
        <v/>
      </c>
      <c r="E197" s="16" t="str">
        <f>IFERROR(IF([2]对账明细接口!$E$197=0,"",[2]对账明细接口!$E$197),"")</f>
        <v/>
      </c>
      <c r="F197" s="16" t="str">
        <f>IFERROR(IF([2]对账明细接口!$F$197=0,"",[2]对账明细接口!$F$197),"")</f>
        <v/>
      </c>
      <c r="G197" s="16" t="str">
        <f>IFERROR(IF([2]对账明细接口!$G$197=0,"",[2]对账明细接口!$G$197),"")</f>
        <v/>
      </c>
      <c r="H197" s="17" t="str">
        <f>IFERROR(IF([2]对账明细接口!$H$197=0,"",[2]对账明细接口!$H$197),"")</f>
        <v/>
      </c>
      <c r="I197" s="16" t="str">
        <f>IFERROR(IF([2]对账明细接口!$I$197=0,"",[2]对账明细接口!$I$197),"")</f>
        <v/>
      </c>
      <c r="J197" s="18" t="str">
        <f>IFERROR(IF([2]对账明细接口!$J$197=0,"",[2]对账明细接口!$J$197),"")</f>
        <v/>
      </c>
      <c r="K197" s="18" t="str">
        <f>IFERROR(IF([2]对账明细接口!$K$197=0,"",[2]对账明细接口!$K$197),"")</f>
        <v/>
      </c>
      <c r="L197" s="16" t="str">
        <f>IFERROR(IF([2]对账明细接口!$L$197=0,"",[2]对账明细接口!$L$197),"")</f>
        <v/>
      </c>
      <c r="M197" s="16" t="str">
        <f>IFERROR(IF([2]对账明细接口!$M$197=0,"",[2]对账明细接口!$M$197),"")</f>
        <v/>
      </c>
      <c r="N197" s="19">
        <f t="shared" si="18"/>
        <v>0</v>
      </c>
      <c r="O197" s="19">
        <f t="shared" si="19"/>
        <v>165</v>
      </c>
      <c r="S197" s="20" t="str">
        <f>IFERROR(IF([2]对账明细接口!$N197=0,"",[2]对账明细接口!$N197),"")</f>
        <v/>
      </c>
      <c r="T197" s="21" t="str">
        <f>IFERROR(IF([2]对账明细接口!$O197=0,"",[2]对账明细接口!$O197),"")</f>
        <v/>
      </c>
      <c r="U197" s="21" t="str">
        <f>IFERROR(IF([2]对账明细接口!$P197=0,"",[2]对账明细接口!$P197),"")</f>
        <v/>
      </c>
      <c r="V197" s="21" t="str">
        <f>IFERROR(IF([2]对账明细接口!$Q197=0,"",[2]对账明细接口!$Q197),"")</f>
        <v/>
      </c>
      <c r="W197" s="20" t="str">
        <f>IFERROR(IF([2]对账明细接口!$R197=0,"",[2]对账明细接口!$R197),"")</f>
        <v/>
      </c>
      <c r="X197" s="20" t="str">
        <f>IFERROR(IF([2]对账明细接口!$S197=0,"",[2]对账明细接口!$S197),"")</f>
        <v/>
      </c>
      <c r="Y197" s="20" t="str">
        <f t="shared" si="20"/>
        <v/>
      </c>
      <c r="Z197" s="20" t="str">
        <f t="shared" si="21"/>
        <v/>
      </c>
      <c r="AA197" s="20" t="str">
        <f t="shared" si="22"/>
        <v/>
      </c>
      <c r="AB197" s="20" t="str">
        <f t="shared" si="23"/>
        <v/>
      </c>
    </row>
    <row r="198" customHeight="1" spans="1:28">
      <c r="A198" s="14">
        <v>198</v>
      </c>
      <c r="B198" s="15" t="str">
        <f>IFERROR(IF([2]对账明细接口!$B$198=0,"",[2]对账明细接口!$B$198),"")</f>
        <v/>
      </c>
      <c r="C198" s="16" t="str">
        <f>IFERROR(IF([2]对账明细接口!$C$198=0,"",[2]对账明细接口!$C$198),"")</f>
        <v/>
      </c>
      <c r="D198" s="16" t="str">
        <f>IFERROR(IF([2]对账明细接口!$D$198=0,"",[2]对账明细接口!$D$198),"")</f>
        <v/>
      </c>
      <c r="E198" s="16" t="str">
        <f>IFERROR(IF([2]对账明细接口!$E$198=0,"",[2]对账明细接口!$E$198),"")</f>
        <v/>
      </c>
      <c r="F198" s="16" t="str">
        <f>IFERROR(IF([2]对账明细接口!$F$198=0,"",[2]对账明细接口!$F$198),"")</f>
        <v/>
      </c>
      <c r="G198" s="16" t="str">
        <f>IFERROR(IF([2]对账明细接口!$G$198=0,"",[2]对账明细接口!$G$198),"")</f>
        <v/>
      </c>
      <c r="H198" s="17" t="str">
        <f>IFERROR(IF([2]对账明细接口!$H$198=0,"",[2]对账明细接口!$H$198),"")</f>
        <v/>
      </c>
      <c r="I198" s="16" t="str">
        <f>IFERROR(IF([2]对账明细接口!$I$198=0,"",[2]对账明细接口!$I$198),"")</f>
        <v/>
      </c>
      <c r="J198" s="18" t="str">
        <f>IFERROR(IF([2]对账明细接口!$J$198=0,"",[2]对账明细接口!$J$198),"")</f>
        <v/>
      </c>
      <c r="K198" s="18" t="str">
        <f>IFERROR(IF([2]对账明细接口!$K$198=0,"",[2]对账明细接口!$K$198),"")</f>
        <v/>
      </c>
      <c r="L198" s="16" t="str">
        <f>IFERROR(IF([2]对账明细接口!$L$198=0,"",[2]对账明细接口!$L$198),"")</f>
        <v/>
      </c>
      <c r="M198" s="16" t="str">
        <f>IFERROR(IF([2]对账明细接口!$M$198=0,"",[2]对账明细接口!$M$198),"")</f>
        <v/>
      </c>
      <c r="N198" s="19">
        <f t="shared" si="18"/>
        <v>0</v>
      </c>
      <c r="O198" s="19">
        <f t="shared" si="19"/>
        <v>165</v>
      </c>
      <c r="S198" s="20" t="str">
        <f>IFERROR(IF([2]对账明细接口!$N198=0,"",[2]对账明细接口!$N198),"")</f>
        <v/>
      </c>
      <c r="T198" s="21" t="str">
        <f>IFERROR(IF([2]对账明细接口!$O198=0,"",[2]对账明细接口!$O198),"")</f>
        <v/>
      </c>
      <c r="U198" s="21" t="str">
        <f>IFERROR(IF([2]对账明细接口!$P198=0,"",[2]对账明细接口!$P198),"")</f>
        <v/>
      </c>
      <c r="V198" s="21" t="str">
        <f>IFERROR(IF([2]对账明细接口!$Q198=0,"",[2]对账明细接口!$Q198),"")</f>
        <v/>
      </c>
      <c r="W198" s="20" t="str">
        <f>IFERROR(IF([2]对账明细接口!$R198=0,"",[2]对账明细接口!$R198),"")</f>
        <v/>
      </c>
      <c r="X198" s="20" t="str">
        <f>IFERROR(IF([2]对账明细接口!$S198=0,"",[2]对账明细接口!$S198),"")</f>
        <v/>
      </c>
      <c r="Y198" s="20" t="str">
        <f t="shared" si="20"/>
        <v/>
      </c>
      <c r="Z198" s="20" t="str">
        <f t="shared" si="21"/>
        <v/>
      </c>
      <c r="AA198" s="20" t="str">
        <f t="shared" si="22"/>
        <v/>
      </c>
      <c r="AB198" s="20" t="str">
        <f t="shared" si="23"/>
        <v/>
      </c>
    </row>
    <row r="199" customHeight="1" spans="1:28">
      <c r="A199" s="14">
        <v>199</v>
      </c>
      <c r="B199" s="15" t="str">
        <f>IFERROR(IF([2]对账明细接口!$B$199=0,"",[2]对账明细接口!$B$199),"")</f>
        <v/>
      </c>
      <c r="C199" s="16" t="str">
        <f>IFERROR(IF([2]对账明细接口!$C$199=0,"",[2]对账明细接口!$C$199),"")</f>
        <v/>
      </c>
      <c r="D199" s="16" t="str">
        <f>IFERROR(IF([2]对账明细接口!$D$199=0,"",[2]对账明细接口!$D$199),"")</f>
        <v/>
      </c>
      <c r="E199" s="16" t="str">
        <f>IFERROR(IF([2]对账明细接口!$E$199=0,"",[2]对账明细接口!$E$199),"")</f>
        <v/>
      </c>
      <c r="F199" s="16" t="str">
        <f>IFERROR(IF([2]对账明细接口!$F$199=0,"",[2]对账明细接口!$F$199),"")</f>
        <v/>
      </c>
      <c r="G199" s="16" t="str">
        <f>IFERROR(IF([2]对账明细接口!$G$199=0,"",[2]对账明细接口!$G$199),"")</f>
        <v/>
      </c>
      <c r="H199" s="17" t="str">
        <f>IFERROR(IF([2]对账明细接口!$H$199=0,"",[2]对账明细接口!$H$199),"")</f>
        <v/>
      </c>
      <c r="I199" s="16" t="str">
        <f>IFERROR(IF([2]对账明细接口!$I$199=0,"",[2]对账明细接口!$I$199),"")</f>
        <v/>
      </c>
      <c r="J199" s="18" t="str">
        <f>IFERROR(IF([2]对账明细接口!$J$199=0,"",[2]对账明细接口!$J$199),"")</f>
        <v/>
      </c>
      <c r="K199" s="18" t="str">
        <f>IFERROR(IF([2]对账明细接口!$K$199=0,"",[2]对账明细接口!$K$199),"")</f>
        <v/>
      </c>
      <c r="L199" s="16" t="str">
        <f>IFERROR(IF([2]对账明细接口!$L$199=0,"",[2]对账明细接口!$L$199),"")</f>
        <v/>
      </c>
      <c r="M199" s="16" t="str">
        <f>IFERROR(IF([2]对账明细接口!$M$199=0,"",[2]对账明细接口!$M$199),"")</f>
        <v/>
      </c>
      <c r="N199" s="19">
        <f t="shared" si="18"/>
        <v>0</v>
      </c>
      <c r="O199" s="19">
        <f t="shared" si="19"/>
        <v>165</v>
      </c>
      <c r="S199" s="20" t="str">
        <f>IFERROR(IF([2]对账明细接口!$N199=0,"",[2]对账明细接口!$N199),"")</f>
        <v/>
      </c>
      <c r="T199" s="21" t="str">
        <f>IFERROR(IF([2]对账明细接口!$O199=0,"",[2]对账明细接口!$O199),"")</f>
        <v/>
      </c>
      <c r="U199" s="21" t="str">
        <f>IFERROR(IF([2]对账明细接口!$P199=0,"",[2]对账明细接口!$P199),"")</f>
        <v/>
      </c>
      <c r="V199" s="21" t="str">
        <f>IFERROR(IF([2]对账明细接口!$Q199=0,"",[2]对账明细接口!$Q199),"")</f>
        <v/>
      </c>
      <c r="W199" s="20" t="str">
        <f>IFERROR(IF([2]对账明细接口!$R199=0,"",[2]对账明细接口!$R199),"")</f>
        <v/>
      </c>
      <c r="X199" s="20" t="str">
        <f>IFERROR(IF([2]对账明细接口!$S199=0,"",[2]对账明细接口!$S199),"")</f>
        <v/>
      </c>
      <c r="Y199" s="20" t="str">
        <f t="shared" si="20"/>
        <v/>
      </c>
      <c r="Z199" s="20" t="str">
        <f t="shared" si="21"/>
        <v/>
      </c>
      <c r="AA199" s="20" t="str">
        <f t="shared" si="22"/>
        <v/>
      </c>
      <c r="AB199" s="20" t="str">
        <f t="shared" si="23"/>
        <v/>
      </c>
    </row>
    <row r="200" customHeight="1" spans="1:28">
      <c r="A200" s="14">
        <v>200</v>
      </c>
      <c r="B200" s="15" t="str">
        <f>IFERROR(IF([2]对账明细接口!$B$200=0,"",[2]对账明细接口!$B$200),"")</f>
        <v/>
      </c>
      <c r="C200" s="16" t="str">
        <f>IFERROR(IF([2]对账明细接口!$C$200=0,"",[2]对账明细接口!$C$200),"")</f>
        <v/>
      </c>
      <c r="D200" s="16" t="str">
        <f>IFERROR(IF([2]对账明细接口!$D$200=0,"",[2]对账明细接口!$D$200),"")</f>
        <v/>
      </c>
      <c r="E200" s="16" t="str">
        <f>IFERROR(IF([2]对账明细接口!$E$200=0,"",[2]对账明细接口!$E$200),"")</f>
        <v/>
      </c>
      <c r="F200" s="16" t="str">
        <f>IFERROR(IF([2]对账明细接口!$F$200=0,"",[2]对账明细接口!$F$200),"")</f>
        <v/>
      </c>
      <c r="G200" s="16" t="str">
        <f>IFERROR(IF([2]对账明细接口!$G$200=0,"",[2]对账明细接口!$G$200),"")</f>
        <v/>
      </c>
      <c r="H200" s="17" t="str">
        <f>IFERROR(IF([2]对账明细接口!$H$200=0,"",[2]对账明细接口!$H$200),"")</f>
        <v/>
      </c>
      <c r="I200" s="16" t="str">
        <f>IFERROR(IF([2]对账明细接口!$I$200=0,"",[2]对账明细接口!$I$200),"")</f>
        <v/>
      </c>
      <c r="J200" s="18" t="str">
        <f>IFERROR(IF([2]对账明细接口!$J$200=0,"",[2]对账明细接口!$J$200),"")</f>
        <v/>
      </c>
      <c r="K200" s="18" t="str">
        <f>IFERROR(IF([2]对账明细接口!$K$200=0,"",[2]对账明细接口!$K$200),"")</f>
        <v/>
      </c>
      <c r="L200" s="16" t="str">
        <f>IFERROR(IF([2]对账明细接口!$L$200=0,"",[2]对账明细接口!$L$200),"")</f>
        <v/>
      </c>
      <c r="M200" s="16" t="str">
        <f>IFERROR(IF([2]对账明细接口!$M$200=0,"",[2]对账明细接口!$M$200),"")</f>
        <v/>
      </c>
      <c r="N200" s="19">
        <f t="shared" si="18"/>
        <v>0</v>
      </c>
      <c r="O200" s="19">
        <f t="shared" si="19"/>
        <v>165</v>
      </c>
      <c r="S200" s="20" t="str">
        <f>IFERROR(IF([2]对账明细接口!$N200=0,"",[2]对账明细接口!$N200),"")</f>
        <v/>
      </c>
      <c r="T200" s="21" t="str">
        <f>IFERROR(IF([2]对账明细接口!$O200=0,"",[2]对账明细接口!$O200),"")</f>
        <v/>
      </c>
      <c r="U200" s="21" t="str">
        <f>IFERROR(IF([2]对账明细接口!$P200=0,"",[2]对账明细接口!$P200),"")</f>
        <v/>
      </c>
      <c r="V200" s="21" t="str">
        <f>IFERROR(IF([2]对账明细接口!$Q200=0,"",[2]对账明细接口!$Q200),"")</f>
        <v/>
      </c>
      <c r="W200" s="20" t="str">
        <f>IFERROR(IF([2]对账明细接口!$R200=0,"",[2]对账明细接口!$R200),"")</f>
        <v/>
      </c>
      <c r="X200" s="20" t="str">
        <f>IFERROR(IF([2]对账明细接口!$S200=0,"",[2]对账明细接口!$S200),"")</f>
        <v/>
      </c>
      <c r="Y200" s="20" t="str">
        <f t="shared" si="20"/>
        <v/>
      </c>
      <c r="Z200" s="20" t="str">
        <f t="shared" si="21"/>
        <v/>
      </c>
      <c r="AA200" s="20" t="str">
        <f t="shared" si="22"/>
        <v/>
      </c>
      <c r="AB200" s="20" t="str">
        <f t="shared" si="23"/>
        <v/>
      </c>
    </row>
    <row r="201" customHeight="1" spans="1:28">
      <c r="A201" s="14">
        <v>201</v>
      </c>
      <c r="B201" s="15" t="str">
        <f>IFERROR(IF([2]对账明细接口!$B$201=0,"",[2]对账明细接口!$B$201),"")</f>
        <v/>
      </c>
      <c r="C201" s="16" t="str">
        <f>IFERROR(IF([2]对账明细接口!$C$201=0,"",[2]对账明细接口!$C$201),"")</f>
        <v/>
      </c>
      <c r="D201" s="16" t="str">
        <f>IFERROR(IF([2]对账明细接口!$D$201=0,"",[2]对账明细接口!$D$201),"")</f>
        <v/>
      </c>
      <c r="E201" s="16" t="str">
        <f>IFERROR(IF([2]对账明细接口!$E$201=0,"",[2]对账明细接口!$E$201),"")</f>
        <v/>
      </c>
      <c r="F201" s="16" t="str">
        <f>IFERROR(IF([2]对账明细接口!$F$201=0,"",[2]对账明细接口!$F$201),"")</f>
        <v/>
      </c>
      <c r="G201" s="16" t="str">
        <f>IFERROR(IF([2]对账明细接口!$G$201=0,"",[2]对账明细接口!$G$201),"")</f>
        <v/>
      </c>
      <c r="H201" s="17" t="str">
        <f>IFERROR(IF([2]对账明细接口!$H$201=0,"",[2]对账明细接口!$H$201),"")</f>
        <v/>
      </c>
      <c r="I201" s="16" t="str">
        <f>IFERROR(IF([2]对账明细接口!$I$201=0,"",[2]对账明细接口!$I$201),"")</f>
        <v/>
      </c>
      <c r="J201" s="18" t="str">
        <f>IFERROR(IF([2]对账明细接口!$J$201=0,"",[2]对账明细接口!$J$201),"")</f>
        <v/>
      </c>
      <c r="K201" s="18" t="str">
        <f>IFERROR(IF([2]对账明细接口!$K$201=0,"",[2]对账明细接口!$K$201),"")</f>
        <v/>
      </c>
      <c r="L201" s="16" t="str">
        <f>IFERROR(IF([2]对账明细接口!$L$201=0,"",[2]对账明细接口!$L$201),"")</f>
        <v/>
      </c>
      <c r="M201" s="16" t="str">
        <f>IFERROR(IF([2]对账明细接口!$M$201=0,"",[2]对账明细接口!$M$201),"")</f>
        <v/>
      </c>
      <c r="N201" s="19">
        <f t="shared" si="18"/>
        <v>0</v>
      </c>
      <c r="O201" s="19">
        <f t="shared" si="19"/>
        <v>165</v>
      </c>
      <c r="S201" s="20" t="str">
        <f>IFERROR(IF([2]对账明细接口!$N201=0,"",[2]对账明细接口!$N201),"")</f>
        <v/>
      </c>
      <c r="T201" s="21" t="str">
        <f>IFERROR(IF([2]对账明细接口!$O201=0,"",[2]对账明细接口!$O201),"")</f>
        <v/>
      </c>
      <c r="U201" s="21" t="str">
        <f>IFERROR(IF([2]对账明细接口!$P201=0,"",[2]对账明细接口!$P201),"")</f>
        <v/>
      </c>
      <c r="V201" s="21" t="str">
        <f>IFERROR(IF([2]对账明细接口!$Q201=0,"",[2]对账明细接口!$Q201),"")</f>
        <v/>
      </c>
      <c r="W201" s="20" t="str">
        <f>IFERROR(IF([2]对账明细接口!$R201=0,"",[2]对账明细接口!$R201),"")</f>
        <v/>
      </c>
      <c r="X201" s="20" t="str">
        <f>IFERROR(IF([2]对账明细接口!$S201=0,"",[2]对账明细接口!$S201),"")</f>
        <v/>
      </c>
      <c r="Y201" s="20" t="str">
        <f t="shared" si="20"/>
        <v/>
      </c>
      <c r="Z201" s="20" t="str">
        <f t="shared" si="21"/>
        <v/>
      </c>
      <c r="AA201" s="20" t="str">
        <f t="shared" si="22"/>
        <v/>
      </c>
      <c r="AB201" s="20" t="str">
        <f t="shared" si="23"/>
        <v/>
      </c>
    </row>
    <row r="202" customHeight="1" spans="1:28">
      <c r="A202" s="14">
        <v>202</v>
      </c>
      <c r="B202" s="15" t="str">
        <f>IFERROR(IF([2]对账明细接口!$B$202=0,"",[2]对账明细接口!$B$202),"")</f>
        <v/>
      </c>
      <c r="C202" s="16" t="str">
        <f>IFERROR(IF([2]对账明细接口!$C$202=0,"",[2]对账明细接口!$C$202),"")</f>
        <v/>
      </c>
      <c r="D202" s="16" t="str">
        <f>IFERROR(IF([2]对账明细接口!$D$202=0,"",[2]对账明细接口!$D$202),"")</f>
        <v/>
      </c>
      <c r="E202" s="16" t="str">
        <f>IFERROR(IF([2]对账明细接口!$E$202=0,"",[2]对账明细接口!$E$202),"")</f>
        <v/>
      </c>
      <c r="F202" s="16" t="str">
        <f>IFERROR(IF([2]对账明细接口!$F$202=0,"",[2]对账明细接口!$F$202),"")</f>
        <v/>
      </c>
      <c r="G202" s="16" t="str">
        <f>IFERROR(IF([2]对账明细接口!$G$202=0,"",[2]对账明细接口!$G$202),"")</f>
        <v/>
      </c>
      <c r="H202" s="17" t="str">
        <f>IFERROR(IF([2]对账明细接口!$H$202=0,"",[2]对账明细接口!$H$202),"")</f>
        <v/>
      </c>
      <c r="I202" s="16" t="str">
        <f>IFERROR(IF([2]对账明细接口!$I$202=0,"",[2]对账明细接口!$I$202),"")</f>
        <v/>
      </c>
      <c r="J202" s="18" t="str">
        <f>IFERROR(IF([2]对账明细接口!$J$202=0,"",[2]对账明细接口!$J$202),"")</f>
        <v/>
      </c>
      <c r="K202" s="18" t="str">
        <f>IFERROR(IF([2]对账明细接口!$K$202=0,"",[2]对账明细接口!$K$202),"")</f>
        <v/>
      </c>
      <c r="L202" s="16" t="str">
        <f>IFERROR(IF([2]对账明细接口!$L$202=0,"",[2]对账明细接口!$L$202),"")</f>
        <v/>
      </c>
      <c r="M202" s="16" t="str">
        <f>IFERROR(IF([2]对账明细接口!$M$202=0,"",[2]对账明细接口!$M$202),"")</f>
        <v/>
      </c>
      <c r="N202" s="19">
        <f t="shared" si="18"/>
        <v>0</v>
      </c>
      <c r="O202" s="19">
        <f t="shared" si="19"/>
        <v>165</v>
      </c>
      <c r="S202" s="20" t="str">
        <f>IFERROR(IF([2]对账明细接口!$N202=0,"",[2]对账明细接口!$N202),"")</f>
        <v/>
      </c>
      <c r="T202" s="21" t="str">
        <f>IFERROR(IF([2]对账明细接口!$O202=0,"",[2]对账明细接口!$O202),"")</f>
        <v/>
      </c>
      <c r="U202" s="21" t="str">
        <f>IFERROR(IF([2]对账明细接口!$P202=0,"",[2]对账明细接口!$P202),"")</f>
        <v/>
      </c>
      <c r="V202" s="21" t="str">
        <f>IFERROR(IF([2]对账明细接口!$Q202=0,"",[2]对账明细接口!$Q202),"")</f>
        <v/>
      </c>
      <c r="W202" s="20" t="str">
        <f>IFERROR(IF([2]对账明细接口!$R202=0,"",[2]对账明细接口!$R202),"")</f>
        <v/>
      </c>
      <c r="X202" s="20" t="str">
        <f>IFERROR(IF([2]对账明细接口!$S202=0,"",[2]对账明细接口!$S202),"")</f>
        <v/>
      </c>
      <c r="Y202" s="20" t="str">
        <f t="shared" si="20"/>
        <v/>
      </c>
      <c r="Z202" s="20" t="str">
        <f t="shared" si="21"/>
        <v/>
      </c>
      <c r="AA202" s="20" t="str">
        <f t="shared" si="22"/>
        <v/>
      </c>
      <c r="AB202" s="20" t="str">
        <f t="shared" si="23"/>
        <v/>
      </c>
    </row>
    <row r="203" customHeight="1" spans="1:28">
      <c r="A203" s="14">
        <v>203</v>
      </c>
      <c r="B203" s="15" t="str">
        <f>IFERROR(IF([2]对账明细接口!$B$203=0,"",[2]对账明细接口!$B$203),"")</f>
        <v/>
      </c>
      <c r="C203" s="16" t="str">
        <f>IFERROR(IF([2]对账明细接口!$C$203=0,"",[2]对账明细接口!$C$203),"")</f>
        <v/>
      </c>
      <c r="D203" s="16" t="str">
        <f>IFERROR(IF([2]对账明细接口!$D$203=0,"",[2]对账明细接口!$D$203),"")</f>
        <v/>
      </c>
      <c r="E203" s="16" t="str">
        <f>IFERROR(IF([2]对账明细接口!$E$203=0,"",[2]对账明细接口!$E$203),"")</f>
        <v/>
      </c>
      <c r="F203" s="16" t="str">
        <f>IFERROR(IF([2]对账明细接口!$F$203=0,"",[2]对账明细接口!$F$203),"")</f>
        <v/>
      </c>
      <c r="G203" s="16" t="str">
        <f>IFERROR(IF([2]对账明细接口!$G$203=0,"",[2]对账明细接口!$G$203),"")</f>
        <v/>
      </c>
      <c r="H203" s="17" t="str">
        <f>IFERROR(IF([2]对账明细接口!$H$203=0,"",[2]对账明细接口!$H$203),"")</f>
        <v/>
      </c>
      <c r="I203" s="16" t="str">
        <f>IFERROR(IF([2]对账明细接口!$I$203=0,"",[2]对账明细接口!$I$203),"")</f>
        <v/>
      </c>
      <c r="J203" s="18" t="str">
        <f>IFERROR(IF([2]对账明细接口!$J$203=0,"",[2]对账明细接口!$J$203),"")</f>
        <v/>
      </c>
      <c r="K203" s="18" t="str">
        <f>IFERROR(IF([2]对账明细接口!$K$203=0,"",[2]对账明细接口!$K$203),"")</f>
        <v/>
      </c>
      <c r="L203" s="16" t="str">
        <f>IFERROR(IF([2]对账明细接口!$L$203=0,"",[2]对账明细接口!$L$203),"")</f>
        <v/>
      </c>
      <c r="M203" s="16" t="str">
        <f>IFERROR(IF([2]对账明细接口!$M$203=0,"",[2]对账明细接口!$M$203),"")</f>
        <v/>
      </c>
      <c r="N203" s="19">
        <f t="shared" si="18"/>
        <v>0</v>
      </c>
      <c r="O203" s="19">
        <f t="shared" si="19"/>
        <v>165</v>
      </c>
      <c r="S203" s="20" t="str">
        <f>IFERROR(IF([2]对账明细接口!$N203=0,"",[2]对账明细接口!$N203),"")</f>
        <v/>
      </c>
      <c r="T203" s="21" t="str">
        <f>IFERROR(IF([2]对账明细接口!$O203=0,"",[2]对账明细接口!$O203),"")</f>
        <v/>
      </c>
      <c r="U203" s="21" t="str">
        <f>IFERROR(IF([2]对账明细接口!$P203=0,"",[2]对账明细接口!$P203),"")</f>
        <v/>
      </c>
      <c r="V203" s="21" t="str">
        <f>IFERROR(IF([2]对账明细接口!$Q203=0,"",[2]对账明细接口!$Q203),"")</f>
        <v/>
      </c>
      <c r="W203" s="20" t="str">
        <f>IFERROR(IF([2]对账明细接口!$R203=0,"",[2]对账明细接口!$R203),"")</f>
        <v/>
      </c>
      <c r="X203" s="20" t="str">
        <f>IFERROR(IF([2]对账明细接口!$S203=0,"",[2]对账明细接口!$S203),"")</f>
        <v/>
      </c>
      <c r="Y203" s="20" t="str">
        <f t="shared" si="20"/>
        <v/>
      </c>
      <c r="Z203" s="20" t="str">
        <f t="shared" si="21"/>
        <v/>
      </c>
      <c r="AA203" s="20" t="str">
        <f t="shared" si="22"/>
        <v/>
      </c>
      <c r="AB203" s="20" t="str">
        <f t="shared" si="23"/>
        <v/>
      </c>
    </row>
    <row r="204" customHeight="1" spans="1:28">
      <c r="A204" s="14">
        <v>204</v>
      </c>
      <c r="B204" s="15" t="str">
        <f>IFERROR(IF([2]对账明细接口!$B$204=0,"",[2]对账明细接口!$B$204),"")</f>
        <v/>
      </c>
      <c r="C204" s="16" t="str">
        <f>IFERROR(IF([2]对账明细接口!$C$204=0,"",[2]对账明细接口!$C$204),"")</f>
        <v/>
      </c>
      <c r="D204" s="16" t="str">
        <f>IFERROR(IF([2]对账明细接口!$D$204=0,"",[2]对账明细接口!$D$204),"")</f>
        <v/>
      </c>
      <c r="E204" s="16" t="str">
        <f>IFERROR(IF([2]对账明细接口!$E$204=0,"",[2]对账明细接口!$E$204),"")</f>
        <v/>
      </c>
      <c r="F204" s="16" t="str">
        <f>IFERROR(IF([2]对账明细接口!$F$204=0,"",[2]对账明细接口!$F$204),"")</f>
        <v/>
      </c>
      <c r="G204" s="16" t="str">
        <f>IFERROR(IF([2]对账明细接口!$G$204=0,"",[2]对账明细接口!$G$204),"")</f>
        <v/>
      </c>
      <c r="H204" s="17" t="str">
        <f>IFERROR(IF([2]对账明细接口!$H$204=0,"",[2]对账明细接口!$H$204),"")</f>
        <v/>
      </c>
      <c r="I204" s="16" t="str">
        <f>IFERROR(IF([2]对账明细接口!$I$204=0,"",[2]对账明细接口!$I$204),"")</f>
        <v/>
      </c>
      <c r="J204" s="18" t="str">
        <f>IFERROR(IF([2]对账明细接口!$J$204=0,"",[2]对账明细接口!$J$204),"")</f>
        <v/>
      </c>
      <c r="K204" s="18" t="str">
        <f>IFERROR(IF([2]对账明细接口!$K$204=0,"",[2]对账明细接口!$K$204),"")</f>
        <v/>
      </c>
      <c r="L204" s="16" t="str">
        <f>IFERROR(IF([2]对账明细接口!$L$204=0,"",[2]对账明细接口!$L$204),"")</f>
        <v/>
      </c>
      <c r="M204" s="16" t="str">
        <f>IFERROR(IF([2]对账明细接口!$M$204=0,"",[2]对账明细接口!$M$204),"")</f>
        <v/>
      </c>
      <c r="N204" s="19">
        <f t="shared" si="18"/>
        <v>0</v>
      </c>
      <c r="O204" s="19">
        <f t="shared" si="19"/>
        <v>165</v>
      </c>
      <c r="S204" s="20" t="str">
        <f>IFERROR(IF([2]对账明细接口!$N204=0,"",[2]对账明细接口!$N204),"")</f>
        <v/>
      </c>
      <c r="T204" s="21" t="str">
        <f>IFERROR(IF([2]对账明细接口!$O204=0,"",[2]对账明细接口!$O204),"")</f>
        <v/>
      </c>
      <c r="U204" s="21" t="str">
        <f>IFERROR(IF([2]对账明细接口!$P204=0,"",[2]对账明细接口!$P204),"")</f>
        <v/>
      </c>
      <c r="V204" s="21" t="str">
        <f>IFERROR(IF([2]对账明细接口!$Q204=0,"",[2]对账明细接口!$Q204),"")</f>
        <v/>
      </c>
      <c r="W204" s="20" t="str">
        <f>IFERROR(IF([2]对账明细接口!$R204=0,"",[2]对账明细接口!$R204),"")</f>
        <v/>
      </c>
      <c r="X204" s="20" t="str">
        <f>IFERROR(IF([2]对账明细接口!$S204=0,"",[2]对账明细接口!$S204),"")</f>
        <v/>
      </c>
      <c r="Y204" s="20" t="str">
        <f t="shared" si="20"/>
        <v/>
      </c>
      <c r="Z204" s="20" t="str">
        <f t="shared" si="21"/>
        <v/>
      </c>
      <c r="AA204" s="20" t="str">
        <f t="shared" si="22"/>
        <v/>
      </c>
      <c r="AB204" s="20" t="str">
        <f t="shared" si="23"/>
        <v/>
      </c>
    </row>
    <row r="205" customHeight="1" spans="1:28">
      <c r="A205" s="14">
        <v>205</v>
      </c>
      <c r="B205" s="15" t="str">
        <f>IFERROR(IF([2]对账明细接口!$B$205=0,"",[2]对账明细接口!$B$205),"")</f>
        <v/>
      </c>
      <c r="C205" s="16" t="str">
        <f>IFERROR(IF([2]对账明细接口!$C$205=0,"",[2]对账明细接口!$C$205),"")</f>
        <v/>
      </c>
      <c r="D205" s="16" t="str">
        <f>IFERROR(IF([2]对账明细接口!$D$205=0,"",[2]对账明细接口!$D$205),"")</f>
        <v/>
      </c>
      <c r="E205" s="16" t="str">
        <f>IFERROR(IF([2]对账明细接口!$E$205=0,"",[2]对账明细接口!$E$205),"")</f>
        <v/>
      </c>
      <c r="F205" s="16" t="str">
        <f>IFERROR(IF([2]对账明细接口!$F$205=0,"",[2]对账明细接口!$F$205),"")</f>
        <v/>
      </c>
      <c r="G205" s="16" t="str">
        <f>IFERROR(IF([2]对账明细接口!$G$205=0,"",[2]对账明细接口!$G$205),"")</f>
        <v/>
      </c>
      <c r="H205" s="17" t="str">
        <f>IFERROR(IF([2]对账明细接口!$H$205=0,"",[2]对账明细接口!$H$205),"")</f>
        <v/>
      </c>
      <c r="I205" s="16" t="str">
        <f>IFERROR(IF([2]对账明细接口!$I$205=0,"",[2]对账明细接口!$I$205),"")</f>
        <v/>
      </c>
      <c r="J205" s="18" t="str">
        <f>IFERROR(IF([2]对账明细接口!$J$205=0,"",[2]对账明细接口!$J$205),"")</f>
        <v/>
      </c>
      <c r="K205" s="18" t="str">
        <f>IFERROR(IF([2]对账明细接口!$K$205=0,"",[2]对账明细接口!$K$205),"")</f>
        <v/>
      </c>
      <c r="L205" s="16" t="str">
        <f>IFERROR(IF([2]对账明细接口!$L$205=0,"",[2]对账明细接口!$L$205),"")</f>
        <v/>
      </c>
      <c r="M205" s="16" t="str">
        <f>IFERROR(IF([2]对账明细接口!$M$205=0,"",[2]对账明细接口!$M$205),"")</f>
        <v/>
      </c>
      <c r="N205" s="19">
        <f t="shared" si="18"/>
        <v>0</v>
      </c>
      <c r="O205" s="19">
        <f t="shared" si="19"/>
        <v>165</v>
      </c>
      <c r="S205" s="20" t="str">
        <f>IFERROR(IF([2]对账明细接口!$N205=0,"",[2]对账明细接口!$N205),"")</f>
        <v/>
      </c>
      <c r="T205" s="21" t="str">
        <f>IFERROR(IF([2]对账明细接口!$O205=0,"",[2]对账明细接口!$O205),"")</f>
        <v/>
      </c>
      <c r="U205" s="21" t="str">
        <f>IFERROR(IF([2]对账明细接口!$P205=0,"",[2]对账明细接口!$P205),"")</f>
        <v/>
      </c>
      <c r="V205" s="21" t="str">
        <f>IFERROR(IF([2]对账明细接口!$Q205=0,"",[2]对账明细接口!$Q205),"")</f>
        <v/>
      </c>
      <c r="W205" s="20" t="str">
        <f>IFERROR(IF([2]对账明细接口!$R205=0,"",[2]对账明细接口!$R205),"")</f>
        <v/>
      </c>
      <c r="X205" s="20" t="str">
        <f>IFERROR(IF([2]对账明细接口!$S205=0,"",[2]对账明细接口!$S205),"")</f>
        <v/>
      </c>
      <c r="Y205" s="20" t="str">
        <f t="shared" si="20"/>
        <v/>
      </c>
      <c r="Z205" s="20" t="str">
        <f t="shared" si="21"/>
        <v/>
      </c>
      <c r="AA205" s="20" t="str">
        <f t="shared" si="22"/>
        <v/>
      </c>
      <c r="AB205" s="20" t="str">
        <f t="shared" si="23"/>
        <v/>
      </c>
    </row>
    <row r="206" customHeight="1" spans="1:28">
      <c r="A206" s="14">
        <v>206</v>
      </c>
      <c r="B206" s="15" t="str">
        <f>IFERROR(IF([2]对账明细接口!$B$206=0,"",[2]对账明细接口!$B$206),"")</f>
        <v/>
      </c>
      <c r="C206" s="16" t="str">
        <f>IFERROR(IF([2]对账明细接口!$C$206=0,"",[2]对账明细接口!$C$206),"")</f>
        <v/>
      </c>
      <c r="D206" s="16" t="str">
        <f>IFERROR(IF([2]对账明细接口!$D$206=0,"",[2]对账明细接口!$D$206),"")</f>
        <v/>
      </c>
      <c r="E206" s="16" t="str">
        <f>IFERROR(IF([2]对账明细接口!$E$206=0,"",[2]对账明细接口!$E$206),"")</f>
        <v/>
      </c>
      <c r="F206" s="16" t="str">
        <f>IFERROR(IF([2]对账明细接口!$F$206=0,"",[2]对账明细接口!$F$206),"")</f>
        <v/>
      </c>
      <c r="G206" s="16" t="str">
        <f>IFERROR(IF([2]对账明细接口!$G$206=0,"",[2]对账明细接口!$G$206),"")</f>
        <v/>
      </c>
      <c r="H206" s="17" t="str">
        <f>IFERROR(IF([2]对账明细接口!$H$206=0,"",[2]对账明细接口!$H$206),"")</f>
        <v/>
      </c>
      <c r="I206" s="16" t="str">
        <f>IFERROR(IF([2]对账明细接口!$I$206=0,"",[2]对账明细接口!$I$206),"")</f>
        <v/>
      </c>
      <c r="J206" s="18" t="str">
        <f>IFERROR(IF([2]对账明细接口!$J$206=0,"",[2]对账明细接口!$J$206),"")</f>
        <v/>
      </c>
      <c r="K206" s="18" t="str">
        <f>IFERROR(IF([2]对账明细接口!$K$206=0,"",[2]对账明细接口!$K$206),"")</f>
        <v/>
      </c>
      <c r="L206" s="16" t="str">
        <f>IFERROR(IF([2]对账明细接口!$L$206=0,"",[2]对账明细接口!$L$206),"")</f>
        <v/>
      </c>
      <c r="M206" s="16" t="str">
        <f>IFERROR(IF([2]对账明细接口!$M$206=0,"",[2]对账明细接口!$M$206),"")</f>
        <v/>
      </c>
      <c r="N206" s="19">
        <f t="shared" si="18"/>
        <v>0</v>
      </c>
      <c r="O206" s="19">
        <f t="shared" si="19"/>
        <v>165</v>
      </c>
      <c r="S206" s="20" t="str">
        <f>IFERROR(IF([2]对账明细接口!$N206=0,"",[2]对账明细接口!$N206),"")</f>
        <v/>
      </c>
      <c r="T206" s="21" t="str">
        <f>IFERROR(IF([2]对账明细接口!$O206=0,"",[2]对账明细接口!$O206),"")</f>
        <v/>
      </c>
      <c r="U206" s="21" t="str">
        <f>IFERROR(IF([2]对账明细接口!$P206=0,"",[2]对账明细接口!$P206),"")</f>
        <v/>
      </c>
      <c r="V206" s="21" t="str">
        <f>IFERROR(IF([2]对账明细接口!$Q206=0,"",[2]对账明细接口!$Q206),"")</f>
        <v/>
      </c>
      <c r="W206" s="20" t="str">
        <f>IFERROR(IF([2]对账明细接口!$R206=0,"",[2]对账明细接口!$R206),"")</f>
        <v/>
      </c>
      <c r="X206" s="20" t="str">
        <f>IFERROR(IF([2]对账明细接口!$S206=0,"",[2]对账明细接口!$S206),"")</f>
        <v/>
      </c>
      <c r="Y206" s="20" t="str">
        <f t="shared" si="20"/>
        <v/>
      </c>
      <c r="Z206" s="20" t="str">
        <f t="shared" si="21"/>
        <v/>
      </c>
      <c r="AA206" s="20" t="str">
        <f t="shared" si="22"/>
        <v/>
      </c>
      <c r="AB206" s="20" t="str">
        <f t="shared" si="23"/>
        <v/>
      </c>
    </row>
    <row r="207" customHeight="1" spans="1:28">
      <c r="A207" s="14">
        <v>207</v>
      </c>
      <c r="B207" s="15" t="str">
        <f>IFERROR(IF([2]对账明细接口!$B$207=0,"",[2]对账明细接口!$B$207),"")</f>
        <v/>
      </c>
      <c r="C207" s="16" t="str">
        <f>IFERROR(IF([2]对账明细接口!$C$207=0,"",[2]对账明细接口!$C$207),"")</f>
        <v/>
      </c>
      <c r="D207" s="16" t="str">
        <f>IFERROR(IF([2]对账明细接口!$D$207=0,"",[2]对账明细接口!$D$207),"")</f>
        <v/>
      </c>
      <c r="E207" s="16" t="str">
        <f>IFERROR(IF([2]对账明细接口!$E$207=0,"",[2]对账明细接口!$E$207),"")</f>
        <v/>
      </c>
      <c r="F207" s="16" t="str">
        <f>IFERROR(IF([2]对账明细接口!$F$207=0,"",[2]对账明细接口!$F$207),"")</f>
        <v/>
      </c>
      <c r="G207" s="16" t="str">
        <f>IFERROR(IF([2]对账明细接口!$G$207=0,"",[2]对账明细接口!$G$207),"")</f>
        <v/>
      </c>
      <c r="H207" s="17" t="str">
        <f>IFERROR(IF([2]对账明细接口!$H$207=0,"",[2]对账明细接口!$H$207),"")</f>
        <v/>
      </c>
      <c r="I207" s="16" t="str">
        <f>IFERROR(IF([2]对账明细接口!$I$207=0,"",[2]对账明细接口!$I$207),"")</f>
        <v/>
      </c>
      <c r="J207" s="18" t="str">
        <f>IFERROR(IF([2]对账明细接口!$J$207=0,"",[2]对账明细接口!$J$207),"")</f>
        <v/>
      </c>
      <c r="K207" s="18" t="str">
        <f>IFERROR(IF([2]对账明细接口!$K$207=0,"",[2]对账明细接口!$K$207),"")</f>
        <v/>
      </c>
      <c r="L207" s="16" t="str">
        <f>IFERROR(IF([2]对账明细接口!$L$207=0,"",[2]对账明细接口!$L$207),"")</f>
        <v/>
      </c>
      <c r="M207" s="16" t="str">
        <f>IFERROR(IF([2]对账明细接口!$M$207=0,"",[2]对账明细接口!$M$207),"")</f>
        <v/>
      </c>
      <c r="N207" s="19">
        <f t="shared" si="18"/>
        <v>0</v>
      </c>
      <c r="O207" s="19">
        <f t="shared" si="19"/>
        <v>165</v>
      </c>
      <c r="S207" s="20" t="str">
        <f>IFERROR(IF([2]对账明细接口!$N207=0,"",[2]对账明细接口!$N207),"")</f>
        <v/>
      </c>
      <c r="T207" s="21" t="str">
        <f>IFERROR(IF([2]对账明细接口!$O207=0,"",[2]对账明细接口!$O207),"")</f>
        <v/>
      </c>
      <c r="U207" s="21" t="str">
        <f>IFERROR(IF([2]对账明细接口!$P207=0,"",[2]对账明细接口!$P207),"")</f>
        <v/>
      </c>
      <c r="V207" s="21" t="str">
        <f>IFERROR(IF([2]对账明细接口!$Q207=0,"",[2]对账明细接口!$Q207),"")</f>
        <v/>
      </c>
      <c r="W207" s="20" t="str">
        <f>IFERROR(IF([2]对账明细接口!$R207=0,"",[2]对账明细接口!$R207),"")</f>
        <v/>
      </c>
      <c r="X207" s="20" t="str">
        <f>IFERROR(IF([2]对账明细接口!$S207=0,"",[2]对账明细接口!$S207),"")</f>
        <v/>
      </c>
      <c r="Y207" s="20" t="str">
        <f t="shared" si="20"/>
        <v/>
      </c>
      <c r="Z207" s="20" t="str">
        <f t="shared" si="21"/>
        <v/>
      </c>
      <c r="AA207" s="20" t="str">
        <f t="shared" si="22"/>
        <v/>
      </c>
      <c r="AB207" s="20" t="str">
        <f t="shared" si="23"/>
        <v/>
      </c>
    </row>
    <row r="208" customHeight="1" spans="1:28">
      <c r="A208" s="14">
        <v>208</v>
      </c>
      <c r="B208" s="15" t="str">
        <f>IFERROR(IF([2]对账明细接口!$B$208=0,"",[2]对账明细接口!$B$208),"")</f>
        <v/>
      </c>
      <c r="C208" s="16" t="str">
        <f>IFERROR(IF([2]对账明细接口!$C$208=0,"",[2]对账明细接口!$C$208),"")</f>
        <v/>
      </c>
      <c r="D208" s="16" t="str">
        <f>IFERROR(IF([2]对账明细接口!$D$208=0,"",[2]对账明细接口!$D$208),"")</f>
        <v/>
      </c>
      <c r="E208" s="16" t="str">
        <f>IFERROR(IF([2]对账明细接口!$E$208=0,"",[2]对账明细接口!$E$208),"")</f>
        <v/>
      </c>
      <c r="F208" s="16" t="str">
        <f>IFERROR(IF([2]对账明细接口!$F$208=0,"",[2]对账明细接口!$F$208),"")</f>
        <v/>
      </c>
      <c r="G208" s="16" t="str">
        <f>IFERROR(IF([2]对账明细接口!$G$208=0,"",[2]对账明细接口!$G$208),"")</f>
        <v/>
      </c>
      <c r="H208" s="17" t="str">
        <f>IFERROR(IF([2]对账明细接口!$H$208=0,"",[2]对账明细接口!$H$208),"")</f>
        <v/>
      </c>
      <c r="I208" s="16" t="str">
        <f>IFERROR(IF([2]对账明细接口!$I$208=0,"",[2]对账明细接口!$I$208),"")</f>
        <v/>
      </c>
      <c r="J208" s="18" t="str">
        <f>IFERROR(IF([2]对账明细接口!$J$208=0,"",[2]对账明细接口!$J$208),"")</f>
        <v/>
      </c>
      <c r="K208" s="18" t="str">
        <f>IFERROR(IF([2]对账明细接口!$K$208=0,"",[2]对账明细接口!$K$208),"")</f>
        <v/>
      </c>
      <c r="L208" s="16" t="str">
        <f>IFERROR(IF([2]对账明细接口!$L$208=0,"",[2]对账明细接口!$L$208),"")</f>
        <v/>
      </c>
      <c r="M208" s="16" t="str">
        <f>IFERROR(IF([2]对账明细接口!$M$208=0,"",[2]对账明细接口!$M$208),"")</f>
        <v/>
      </c>
      <c r="N208" s="19">
        <f t="shared" si="18"/>
        <v>0</v>
      </c>
      <c r="O208" s="19">
        <f t="shared" si="19"/>
        <v>165</v>
      </c>
      <c r="S208" s="20" t="str">
        <f>IFERROR(IF([2]对账明细接口!$N208=0,"",[2]对账明细接口!$N208),"")</f>
        <v/>
      </c>
      <c r="T208" s="21" t="str">
        <f>IFERROR(IF([2]对账明细接口!$O208=0,"",[2]对账明细接口!$O208),"")</f>
        <v/>
      </c>
      <c r="U208" s="21" t="str">
        <f>IFERROR(IF([2]对账明细接口!$P208=0,"",[2]对账明细接口!$P208),"")</f>
        <v/>
      </c>
      <c r="V208" s="21" t="str">
        <f>IFERROR(IF([2]对账明细接口!$Q208=0,"",[2]对账明细接口!$Q208),"")</f>
        <v/>
      </c>
      <c r="W208" s="20" t="str">
        <f>IFERROR(IF([2]对账明细接口!$R208=0,"",[2]对账明细接口!$R208),"")</f>
        <v/>
      </c>
      <c r="X208" s="20" t="str">
        <f>IFERROR(IF([2]对账明细接口!$S208=0,"",[2]对账明细接口!$S208),"")</f>
        <v/>
      </c>
      <c r="Y208" s="20" t="str">
        <f t="shared" si="20"/>
        <v/>
      </c>
      <c r="Z208" s="20" t="str">
        <f t="shared" si="21"/>
        <v/>
      </c>
      <c r="AA208" s="20" t="str">
        <f t="shared" si="22"/>
        <v/>
      </c>
      <c r="AB208" s="20" t="str">
        <f t="shared" si="23"/>
        <v/>
      </c>
    </row>
    <row r="209" customHeight="1" spans="1:28">
      <c r="A209" s="14">
        <v>209</v>
      </c>
      <c r="B209" s="15" t="str">
        <f>IFERROR(IF([2]对账明细接口!$B$209=0,"",[2]对账明细接口!$B$209),"")</f>
        <v/>
      </c>
      <c r="C209" s="16" t="str">
        <f>IFERROR(IF([2]对账明细接口!$C$209=0,"",[2]对账明细接口!$C$209),"")</f>
        <v/>
      </c>
      <c r="D209" s="16" t="str">
        <f>IFERROR(IF([2]对账明细接口!$D$209=0,"",[2]对账明细接口!$D$209),"")</f>
        <v/>
      </c>
      <c r="E209" s="16" t="str">
        <f>IFERROR(IF([2]对账明细接口!$E$209=0,"",[2]对账明细接口!$E$209),"")</f>
        <v/>
      </c>
      <c r="F209" s="16" t="str">
        <f>IFERROR(IF([2]对账明细接口!$F$209=0,"",[2]对账明细接口!$F$209),"")</f>
        <v/>
      </c>
      <c r="G209" s="16" t="str">
        <f>IFERROR(IF([2]对账明细接口!$G$209=0,"",[2]对账明细接口!$G$209),"")</f>
        <v/>
      </c>
      <c r="H209" s="17" t="str">
        <f>IFERROR(IF([2]对账明细接口!$H$209=0,"",[2]对账明细接口!$H$209),"")</f>
        <v/>
      </c>
      <c r="I209" s="16" t="str">
        <f>IFERROR(IF([2]对账明细接口!$I$209=0,"",[2]对账明细接口!$I$209),"")</f>
        <v/>
      </c>
      <c r="J209" s="18" t="str">
        <f>IFERROR(IF([2]对账明细接口!$J$209=0,"",[2]对账明细接口!$J$209),"")</f>
        <v/>
      </c>
      <c r="K209" s="18" t="str">
        <f>IFERROR(IF([2]对账明细接口!$K$209=0,"",[2]对账明细接口!$K$209),"")</f>
        <v/>
      </c>
      <c r="L209" s="16" t="str">
        <f>IFERROR(IF([2]对账明细接口!$L$209=0,"",[2]对账明细接口!$L$209),"")</f>
        <v/>
      </c>
      <c r="M209" s="16" t="str">
        <f>IFERROR(IF([2]对账明细接口!$M$209=0,"",[2]对账明细接口!$M$209),"")</f>
        <v/>
      </c>
      <c r="N209" s="19">
        <f t="shared" si="18"/>
        <v>0</v>
      </c>
      <c r="O209" s="19">
        <f t="shared" si="19"/>
        <v>165</v>
      </c>
      <c r="S209" s="20" t="str">
        <f>IFERROR(IF([2]对账明细接口!$N209=0,"",[2]对账明细接口!$N209),"")</f>
        <v/>
      </c>
      <c r="T209" s="21" t="str">
        <f>IFERROR(IF([2]对账明细接口!$O209=0,"",[2]对账明细接口!$O209),"")</f>
        <v/>
      </c>
      <c r="U209" s="21" t="str">
        <f>IFERROR(IF([2]对账明细接口!$P209=0,"",[2]对账明细接口!$P209),"")</f>
        <v/>
      </c>
      <c r="V209" s="21" t="str">
        <f>IFERROR(IF([2]对账明细接口!$Q209=0,"",[2]对账明细接口!$Q209),"")</f>
        <v/>
      </c>
      <c r="W209" s="20" t="str">
        <f>IFERROR(IF([2]对账明细接口!$R209=0,"",[2]对账明细接口!$R209),"")</f>
        <v/>
      </c>
      <c r="X209" s="20" t="str">
        <f>IFERROR(IF([2]对账明细接口!$S209=0,"",[2]对账明细接口!$S209),"")</f>
        <v/>
      </c>
      <c r="Y209" s="20" t="str">
        <f t="shared" si="20"/>
        <v/>
      </c>
      <c r="Z209" s="20" t="str">
        <f t="shared" si="21"/>
        <v/>
      </c>
      <c r="AA209" s="20" t="str">
        <f t="shared" si="22"/>
        <v/>
      </c>
      <c r="AB209" s="20" t="str">
        <f t="shared" si="23"/>
        <v/>
      </c>
    </row>
    <row r="210" customHeight="1" spans="1:28">
      <c r="A210" s="14">
        <v>210</v>
      </c>
      <c r="B210" s="15" t="str">
        <f>IFERROR(IF([2]对账明细接口!$B$210=0,"",[2]对账明细接口!$B$210),"")</f>
        <v/>
      </c>
      <c r="C210" s="16" t="str">
        <f>IFERROR(IF([2]对账明细接口!$C$210=0,"",[2]对账明细接口!$C$210),"")</f>
        <v/>
      </c>
      <c r="D210" s="16" t="str">
        <f>IFERROR(IF([2]对账明细接口!$D$210=0,"",[2]对账明细接口!$D$210),"")</f>
        <v/>
      </c>
      <c r="E210" s="16" t="str">
        <f>IFERROR(IF([2]对账明细接口!$E$210=0,"",[2]对账明细接口!$E$210),"")</f>
        <v/>
      </c>
      <c r="F210" s="16" t="str">
        <f>IFERROR(IF([2]对账明细接口!$F$210=0,"",[2]对账明细接口!$F$210),"")</f>
        <v/>
      </c>
      <c r="G210" s="16" t="str">
        <f>IFERROR(IF([2]对账明细接口!$G$210=0,"",[2]对账明细接口!$G$210),"")</f>
        <v/>
      </c>
      <c r="H210" s="17" t="str">
        <f>IFERROR(IF([2]对账明细接口!$H$210=0,"",[2]对账明细接口!$H$210),"")</f>
        <v/>
      </c>
      <c r="I210" s="16" t="str">
        <f>IFERROR(IF([2]对账明细接口!$I$210=0,"",[2]对账明细接口!$I$210),"")</f>
        <v/>
      </c>
      <c r="J210" s="18" t="str">
        <f>IFERROR(IF([2]对账明细接口!$J$210=0,"",[2]对账明细接口!$J$210),"")</f>
        <v/>
      </c>
      <c r="K210" s="18" t="str">
        <f>IFERROR(IF([2]对账明细接口!$K$210=0,"",[2]对账明细接口!$K$210),"")</f>
        <v/>
      </c>
      <c r="L210" s="16" t="str">
        <f>IFERROR(IF([2]对账明细接口!$L$210=0,"",[2]对账明细接口!$L$210),"")</f>
        <v/>
      </c>
      <c r="M210" s="16" t="str">
        <f>IFERROR(IF([2]对账明细接口!$M$210=0,"",[2]对账明细接口!$M$210),"")</f>
        <v/>
      </c>
      <c r="N210" s="19">
        <f t="shared" si="18"/>
        <v>0</v>
      </c>
      <c r="O210" s="19">
        <f t="shared" si="19"/>
        <v>165</v>
      </c>
      <c r="S210" s="20" t="str">
        <f>IFERROR(IF([2]对账明细接口!$N210=0,"",[2]对账明细接口!$N210),"")</f>
        <v/>
      </c>
      <c r="T210" s="21" t="str">
        <f>IFERROR(IF([2]对账明细接口!$O210=0,"",[2]对账明细接口!$O210),"")</f>
        <v/>
      </c>
      <c r="U210" s="21" t="str">
        <f>IFERROR(IF([2]对账明细接口!$P210=0,"",[2]对账明细接口!$P210),"")</f>
        <v/>
      </c>
      <c r="V210" s="21" t="str">
        <f>IFERROR(IF([2]对账明细接口!$Q210=0,"",[2]对账明细接口!$Q210),"")</f>
        <v/>
      </c>
      <c r="W210" s="20" t="str">
        <f>IFERROR(IF([2]对账明细接口!$R210=0,"",[2]对账明细接口!$R210),"")</f>
        <v/>
      </c>
      <c r="X210" s="20" t="str">
        <f>IFERROR(IF([2]对账明细接口!$S210=0,"",[2]对账明细接口!$S210),"")</f>
        <v/>
      </c>
      <c r="Y210" s="20" t="str">
        <f t="shared" si="20"/>
        <v/>
      </c>
      <c r="Z210" s="20" t="str">
        <f t="shared" si="21"/>
        <v/>
      </c>
      <c r="AA210" s="20" t="str">
        <f t="shared" si="22"/>
        <v/>
      </c>
      <c r="AB210" s="20" t="str">
        <f t="shared" si="23"/>
        <v/>
      </c>
    </row>
    <row r="211" customHeight="1" spans="1:28">
      <c r="A211" s="14">
        <v>211</v>
      </c>
      <c r="B211" s="15" t="str">
        <f>IFERROR(IF([2]对账明细接口!$B$211=0,"",[2]对账明细接口!$B$211),"")</f>
        <v/>
      </c>
      <c r="C211" s="16" t="str">
        <f>IFERROR(IF([2]对账明细接口!$C$211=0,"",[2]对账明细接口!$C$211),"")</f>
        <v/>
      </c>
      <c r="D211" s="16" t="str">
        <f>IFERROR(IF([2]对账明细接口!$D$211=0,"",[2]对账明细接口!$D$211),"")</f>
        <v/>
      </c>
      <c r="E211" s="16" t="str">
        <f>IFERROR(IF([2]对账明细接口!$E$211=0,"",[2]对账明细接口!$E$211),"")</f>
        <v/>
      </c>
      <c r="F211" s="16" t="str">
        <f>IFERROR(IF([2]对账明细接口!$F$211=0,"",[2]对账明细接口!$F$211),"")</f>
        <v/>
      </c>
      <c r="G211" s="16" t="str">
        <f>IFERROR(IF([2]对账明细接口!$G$211=0,"",[2]对账明细接口!$G$211),"")</f>
        <v/>
      </c>
      <c r="H211" s="17" t="str">
        <f>IFERROR(IF([2]对账明细接口!$H$211=0,"",[2]对账明细接口!$H$211),"")</f>
        <v/>
      </c>
      <c r="I211" s="16" t="str">
        <f>IFERROR(IF([2]对账明细接口!$I$211=0,"",[2]对账明细接口!$I$211),"")</f>
        <v/>
      </c>
      <c r="J211" s="18" t="str">
        <f>IFERROR(IF([2]对账明细接口!$J$211=0,"",[2]对账明细接口!$J$211),"")</f>
        <v/>
      </c>
      <c r="K211" s="18" t="str">
        <f>IFERROR(IF([2]对账明细接口!$K$211=0,"",[2]对账明细接口!$K$211),"")</f>
        <v/>
      </c>
      <c r="L211" s="16" t="str">
        <f>IFERROR(IF([2]对账明细接口!$L$211=0,"",[2]对账明细接口!$L$211),"")</f>
        <v/>
      </c>
      <c r="M211" s="16" t="str">
        <f>IFERROR(IF([2]对账明细接口!$M$211=0,"",[2]对账明细接口!$M$211),"")</f>
        <v/>
      </c>
      <c r="N211" s="19">
        <f t="shared" si="18"/>
        <v>0</v>
      </c>
      <c r="O211" s="19">
        <f t="shared" si="19"/>
        <v>165</v>
      </c>
      <c r="S211" s="20" t="str">
        <f>IFERROR(IF([2]对账明细接口!$N211=0,"",[2]对账明细接口!$N211),"")</f>
        <v/>
      </c>
      <c r="T211" s="21" t="str">
        <f>IFERROR(IF([2]对账明细接口!$O211=0,"",[2]对账明细接口!$O211),"")</f>
        <v/>
      </c>
      <c r="U211" s="21" t="str">
        <f>IFERROR(IF([2]对账明细接口!$P211=0,"",[2]对账明细接口!$P211),"")</f>
        <v/>
      </c>
      <c r="V211" s="21" t="str">
        <f>IFERROR(IF([2]对账明细接口!$Q211=0,"",[2]对账明细接口!$Q211),"")</f>
        <v/>
      </c>
      <c r="W211" s="20" t="str">
        <f>IFERROR(IF([2]对账明细接口!$R211=0,"",[2]对账明细接口!$R211),"")</f>
        <v/>
      </c>
      <c r="X211" s="20" t="str">
        <f>IFERROR(IF([2]对账明细接口!$S211=0,"",[2]对账明细接口!$S211),"")</f>
        <v/>
      </c>
      <c r="Y211" s="20" t="str">
        <f t="shared" si="20"/>
        <v/>
      </c>
      <c r="Z211" s="20" t="str">
        <f t="shared" si="21"/>
        <v/>
      </c>
      <c r="AA211" s="20" t="str">
        <f t="shared" si="22"/>
        <v/>
      </c>
      <c r="AB211" s="20" t="str">
        <f t="shared" si="23"/>
        <v/>
      </c>
    </row>
    <row r="212" customHeight="1" spans="1:28">
      <c r="A212" s="14">
        <v>212</v>
      </c>
      <c r="B212" s="15" t="str">
        <f>IFERROR(IF([2]对账明细接口!$B$212=0,"",[2]对账明细接口!$B$212),"")</f>
        <v/>
      </c>
      <c r="C212" s="16" t="str">
        <f>IFERROR(IF([2]对账明细接口!$C$212=0,"",[2]对账明细接口!$C$212),"")</f>
        <v/>
      </c>
      <c r="D212" s="16" t="str">
        <f>IFERROR(IF([2]对账明细接口!$D$212=0,"",[2]对账明细接口!$D$212),"")</f>
        <v/>
      </c>
      <c r="E212" s="16" t="str">
        <f>IFERROR(IF([2]对账明细接口!$E$212=0,"",[2]对账明细接口!$E$212),"")</f>
        <v/>
      </c>
      <c r="F212" s="16" t="str">
        <f>IFERROR(IF([2]对账明细接口!$F$212=0,"",[2]对账明细接口!$F$212),"")</f>
        <v/>
      </c>
      <c r="G212" s="16" t="str">
        <f>IFERROR(IF([2]对账明细接口!$G$212=0,"",[2]对账明细接口!$G$212),"")</f>
        <v/>
      </c>
      <c r="H212" s="17" t="str">
        <f>IFERROR(IF([2]对账明细接口!$H$212=0,"",[2]对账明细接口!$H$212),"")</f>
        <v/>
      </c>
      <c r="I212" s="16" t="str">
        <f>IFERROR(IF([2]对账明细接口!$I$212=0,"",[2]对账明细接口!$I$212),"")</f>
        <v/>
      </c>
      <c r="J212" s="18" t="str">
        <f>IFERROR(IF([2]对账明细接口!$J$212=0,"",[2]对账明细接口!$J$212),"")</f>
        <v/>
      </c>
      <c r="K212" s="18" t="str">
        <f>IFERROR(IF([2]对账明细接口!$K$212=0,"",[2]对账明细接口!$K$212),"")</f>
        <v/>
      </c>
      <c r="L212" s="16" t="str">
        <f>IFERROR(IF([2]对账明细接口!$L$212=0,"",[2]对账明细接口!$L$212),"")</f>
        <v/>
      </c>
      <c r="M212" s="16" t="str">
        <f>IFERROR(IF([2]对账明细接口!$M$212=0,"",[2]对账明细接口!$M$212),"")</f>
        <v/>
      </c>
      <c r="N212" s="19">
        <f t="shared" si="18"/>
        <v>0</v>
      </c>
      <c r="O212" s="19">
        <f t="shared" si="19"/>
        <v>165</v>
      </c>
      <c r="S212" s="20" t="str">
        <f>IFERROR(IF([2]对账明细接口!$N212=0,"",[2]对账明细接口!$N212),"")</f>
        <v/>
      </c>
      <c r="T212" s="21" t="str">
        <f>IFERROR(IF([2]对账明细接口!$O212=0,"",[2]对账明细接口!$O212),"")</f>
        <v/>
      </c>
      <c r="U212" s="21" t="str">
        <f>IFERROR(IF([2]对账明细接口!$P212=0,"",[2]对账明细接口!$P212),"")</f>
        <v/>
      </c>
      <c r="V212" s="21" t="str">
        <f>IFERROR(IF([2]对账明细接口!$Q212=0,"",[2]对账明细接口!$Q212),"")</f>
        <v/>
      </c>
      <c r="W212" s="20" t="str">
        <f>IFERROR(IF([2]对账明细接口!$R212=0,"",[2]对账明细接口!$R212),"")</f>
        <v/>
      </c>
      <c r="X212" s="20" t="str">
        <f>IFERROR(IF([2]对账明细接口!$S212=0,"",[2]对账明细接口!$S212),"")</f>
        <v/>
      </c>
      <c r="Y212" s="20" t="str">
        <f t="shared" si="20"/>
        <v/>
      </c>
      <c r="Z212" s="20" t="str">
        <f t="shared" si="21"/>
        <v/>
      </c>
      <c r="AA212" s="20" t="str">
        <f t="shared" si="22"/>
        <v/>
      </c>
      <c r="AB212" s="20" t="str">
        <f t="shared" si="23"/>
        <v/>
      </c>
    </row>
    <row r="213" customHeight="1" spans="1:28">
      <c r="A213" s="14">
        <v>213</v>
      </c>
      <c r="B213" s="15" t="str">
        <f>IFERROR(IF([2]对账明细接口!$B$213=0,"",[2]对账明细接口!$B$213),"")</f>
        <v/>
      </c>
      <c r="C213" s="16" t="str">
        <f>IFERROR(IF([2]对账明细接口!$C$213=0,"",[2]对账明细接口!$C$213),"")</f>
        <v/>
      </c>
      <c r="D213" s="16" t="str">
        <f>IFERROR(IF([2]对账明细接口!$D$213=0,"",[2]对账明细接口!$D$213),"")</f>
        <v/>
      </c>
      <c r="E213" s="16" t="str">
        <f>IFERROR(IF([2]对账明细接口!$E$213=0,"",[2]对账明细接口!$E$213),"")</f>
        <v/>
      </c>
      <c r="F213" s="16" t="str">
        <f>IFERROR(IF([2]对账明细接口!$F$213=0,"",[2]对账明细接口!$F$213),"")</f>
        <v/>
      </c>
      <c r="G213" s="16" t="str">
        <f>IFERROR(IF([2]对账明细接口!$G$213=0,"",[2]对账明细接口!$G$213),"")</f>
        <v/>
      </c>
      <c r="H213" s="17" t="str">
        <f>IFERROR(IF([2]对账明细接口!$H$213=0,"",[2]对账明细接口!$H$213),"")</f>
        <v/>
      </c>
      <c r="I213" s="16" t="str">
        <f>IFERROR(IF([2]对账明细接口!$I$213=0,"",[2]对账明细接口!$I$213),"")</f>
        <v/>
      </c>
      <c r="J213" s="18" t="str">
        <f>IFERROR(IF([2]对账明细接口!$J$213=0,"",[2]对账明细接口!$J$213),"")</f>
        <v/>
      </c>
      <c r="K213" s="18" t="str">
        <f>IFERROR(IF([2]对账明细接口!$K$213=0,"",[2]对账明细接口!$K$213),"")</f>
        <v/>
      </c>
      <c r="L213" s="16" t="str">
        <f>IFERROR(IF([2]对账明细接口!$L$213=0,"",[2]对账明细接口!$L$213),"")</f>
        <v/>
      </c>
      <c r="M213" s="16" t="str">
        <f>IFERROR(IF([2]对账明细接口!$M$213=0,"",[2]对账明细接口!$M$213),"")</f>
        <v/>
      </c>
      <c r="N213" s="19">
        <f t="shared" si="18"/>
        <v>0</v>
      </c>
      <c r="O213" s="19">
        <f t="shared" si="19"/>
        <v>165</v>
      </c>
      <c r="S213" s="20" t="str">
        <f>IFERROR(IF([2]对账明细接口!$N213=0,"",[2]对账明细接口!$N213),"")</f>
        <v/>
      </c>
      <c r="T213" s="21" t="str">
        <f>IFERROR(IF([2]对账明细接口!$O213=0,"",[2]对账明细接口!$O213),"")</f>
        <v/>
      </c>
      <c r="U213" s="21" t="str">
        <f>IFERROR(IF([2]对账明细接口!$P213=0,"",[2]对账明细接口!$P213),"")</f>
        <v/>
      </c>
      <c r="V213" s="21" t="str">
        <f>IFERROR(IF([2]对账明细接口!$Q213=0,"",[2]对账明细接口!$Q213),"")</f>
        <v/>
      </c>
      <c r="W213" s="20" t="str">
        <f>IFERROR(IF([2]对账明细接口!$R213=0,"",[2]对账明细接口!$R213),"")</f>
        <v/>
      </c>
      <c r="X213" s="20" t="str">
        <f>IFERROR(IF([2]对账明细接口!$S213=0,"",[2]对账明细接口!$S213),"")</f>
        <v/>
      </c>
      <c r="Y213" s="20" t="str">
        <f t="shared" si="20"/>
        <v/>
      </c>
      <c r="Z213" s="20" t="str">
        <f t="shared" si="21"/>
        <v/>
      </c>
      <c r="AA213" s="20" t="str">
        <f t="shared" si="22"/>
        <v/>
      </c>
      <c r="AB213" s="20" t="str">
        <f t="shared" si="23"/>
        <v/>
      </c>
    </row>
    <row r="214" customHeight="1" spans="1:28">
      <c r="A214" s="14">
        <v>214</v>
      </c>
      <c r="B214" s="15" t="str">
        <f>IFERROR(IF([2]对账明细接口!$B$214=0,"",[2]对账明细接口!$B$214),"")</f>
        <v/>
      </c>
      <c r="C214" s="16" t="str">
        <f>IFERROR(IF([2]对账明细接口!$C$214=0,"",[2]对账明细接口!$C$214),"")</f>
        <v/>
      </c>
      <c r="D214" s="16" t="str">
        <f>IFERROR(IF([2]对账明细接口!$D$214=0,"",[2]对账明细接口!$D$214),"")</f>
        <v/>
      </c>
      <c r="E214" s="16" t="str">
        <f>IFERROR(IF([2]对账明细接口!$E$214=0,"",[2]对账明细接口!$E$214),"")</f>
        <v/>
      </c>
      <c r="F214" s="16" t="str">
        <f>IFERROR(IF([2]对账明细接口!$F$214=0,"",[2]对账明细接口!$F$214),"")</f>
        <v/>
      </c>
      <c r="G214" s="16" t="str">
        <f>IFERROR(IF([2]对账明细接口!$G$214=0,"",[2]对账明细接口!$G$214),"")</f>
        <v/>
      </c>
      <c r="H214" s="17" t="str">
        <f>IFERROR(IF([2]对账明细接口!$H$214=0,"",[2]对账明细接口!$H$214),"")</f>
        <v/>
      </c>
      <c r="I214" s="16" t="str">
        <f>IFERROR(IF([2]对账明细接口!$I$214=0,"",[2]对账明细接口!$I$214),"")</f>
        <v/>
      </c>
      <c r="J214" s="18" t="str">
        <f>IFERROR(IF([2]对账明细接口!$J$214=0,"",[2]对账明细接口!$J$214),"")</f>
        <v/>
      </c>
      <c r="K214" s="18" t="str">
        <f>IFERROR(IF([2]对账明细接口!$K$214=0,"",[2]对账明细接口!$K$214),"")</f>
        <v/>
      </c>
      <c r="L214" s="16" t="str">
        <f>IFERROR(IF([2]对账明细接口!$L$214=0,"",[2]对账明细接口!$L$214),"")</f>
        <v/>
      </c>
      <c r="M214" s="16" t="str">
        <f>IFERROR(IF([2]对账明细接口!$M$214=0,"",[2]对账明细接口!$M$214),"")</f>
        <v/>
      </c>
      <c r="N214" s="19">
        <f t="shared" si="18"/>
        <v>0</v>
      </c>
      <c r="O214" s="19">
        <f t="shared" si="19"/>
        <v>165</v>
      </c>
      <c r="S214" s="20" t="str">
        <f>IFERROR(IF([2]对账明细接口!$N214=0,"",[2]对账明细接口!$N214),"")</f>
        <v/>
      </c>
      <c r="T214" s="21" t="str">
        <f>IFERROR(IF([2]对账明细接口!$O214=0,"",[2]对账明细接口!$O214),"")</f>
        <v/>
      </c>
      <c r="U214" s="21" t="str">
        <f>IFERROR(IF([2]对账明细接口!$P214=0,"",[2]对账明细接口!$P214),"")</f>
        <v/>
      </c>
      <c r="V214" s="21" t="str">
        <f>IFERROR(IF([2]对账明细接口!$Q214=0,"",[2]对账明细接口!$Q214),"")</f>
        <v/>
      </c>
      <c r="W214" s="20" t="str">
        <f>IFERROR(IF([2]对账明细接口!$R214=0,"",[2]对账明细接口!$R214),"")</f>
        <v/>
      </c>
      <c r="X214" s="20" t="str">
        <f>IFERROR(IF([2]对账明细接口!$S214=0,"",[2]对账明细接口!$S214),"")</f>
        <v/>
      </c>
      <c r="Y214" s="20" t="str">
        <f t="shared" si="20"/>
        <v/>
      </c>
      <c r="Z214" s="20" t="str">
        <f t="shared" si="21"/>
        <v/>
      </c>
      <c r="AA214" s="20" t="str">
        <f t="shared" si="22"/>
        <v/>
      </c>
      <c r="AB214" s="20" t="str">
        <f t="shared" si="23"/>
        <v/>
      </c>
    </row>
    <row r="215" customHeight="1" spans="1:28">
      <c r="A215" s="14">
        <v>215</v>
      </c>
      <c r="B215" s="15" t="str">
        <f>IFERROR(IF([2]对账明细接口!$B$215=0,"",[2]对账明细接口!$B$215),"")</f>
        <v/>
      </c>
      <c r="C215" s="16" t="str">
        <f>IFERROR(IF([2]对账明细接口!$C$215=0,"",[2]对账明细接口!$C$215),"")</f>
        <v/>
      </c>
      <c r="D215" s="16" t="str">
        <f>IFERROR(IF([2]对账明细接口!$D$215=0,"",[2]对账明细接口!$D$215),"")</f>
        <v/>
      </c>
      <c r="E215" s="16" t="str">
        <f>IFERROR(IF([2]对账明细接口!$E$215=0,"",[2]对账明细接口!$E$215),"")</f>
        <v/>
      </c>
      <c r="F215" s="16" t="str">
        <f>IFERROR(IF([2]对账明细接口!$F$215=0,"",[2]对账明细接口!$F$215),"")</f>
        <v/>
      </c>
      <c r="G215" s="16" t="str">
        <f>IFERROR(IF([2]对账明细接口!$G$215=0,"",[2]对账明细接口!$G$215),"")</f>
        <v/>
      </c>
      <c r="H215" s="17" t="str">
        <f>IFERROR(IF([2]对账明细接口!$H$215=0,"",[2]对账明细接口!$H$215),"")</f>
        <v/>
      </c>
      <c r="I215" s="16" t="str">
        <f>IFERROR(IF([2]对账明细接口!$I$215=0,"",[2]对账明细接口!$I$215),"")</f>
        <v/>
      </c>
      <c r="J215" s="18" t="str">
        <f>IFERROR(IF([2]对账明细接口!$J$215=0,"",[2]对账明细接口!$J$215),"")</f>
        <v/>
      </c>
      <c r="K215" s="18" t="str">
        <f>IFERROR(IF([2]对账明细接口!$K$215=0,"",[2]对账明细接口!$K$215),"")</f>
        <v/>
      </c>
      <c r="L215" s="16" t="str">
        <f>IFERROR(IF([2]对账明细接口!$L$215=0,"",[2]对账明细接口!$L$215),"")</f>
        <v/>
      </c>
      <c r="M215" s="16" t="str">
        <f>IFERROR(IF([2]对账明细接口!$M$215=0,"",[2]对账明细接口!$M$215),"")</f>
        <v/>
      </c>
      <c r="N215" s="19">
        <f t="shared" si="18"/>
        <v>0</v>
      </c>
      <c r="O215" s="19">
        <f t="shared" si="19"/>
        <v>165</v>
      </c>
      <c r="S215" s="20" t="str">
        <f>IFERROR(IF([2]对账明细接口!$N215=0,"",[2]对账明细接口!$N215),"")</f>
        <v/>
      </c>
      <c r="T215" s="21" t="str">
        <f>IFERROR(IF([2]对账明细接口!$O215=0,"",[2]对账明细接口!$O215),"")</f>
        <v/>
      </c>
      <c r="U215" s="21" t="str">
        <f>IFERROR(IF([2]对账明细接口!$P215=0,"",[2]对账明细接口!$P215),"")</f>
        <v/>
      </c>
      <c r="V215" s="21" t="str">
        <f>IFERROR(IF([2]对账明细接口!$Q215=0,"",[2]对账明细接口!$Q215),"")</f>
        <v/>
      </c>
      <c r="W215" s="20" t="str">
        <f>IFERROR(IF([2]对账明细接口!$R215=0,"",[2]对账明细接口!$R215),"")</f>
        <v/>
      </c>
      <c r="X215" s="20" t="str">
        <f>IFERROR(IF([2]对账明细接口!$S215=0,"",[2]对账明细接口!$S215),"")</f>
        <v/>
      </c>
      <c r="Y215" s="20" t="str">
        <f t="shared" si="20"/>
        <v/>
      </c>
      <c r="Z215" s="20" t="str">
        <f t="shared" si="21"/>
        <v/>
      </c>
      <c r="AA215" s="20" t="str">
        <f t="shared" si="22"/>
        <v/>
      </c>
      <c r="AB215" s="20" t="str">
        <f t="shared" si="23"/>
        <v/>
      </c>
    </row>
    <row r="216" customHeight="1" spans="1:28">
      <c r="A216" s="14">
        <v>216</v>
      </c>
      <c r="B216" s="15" t="str">
        <f>IFERROR(IF([2]对账明细接口!$B$216=0,"",[2]对账明细接口!$B$216),"")</f>
        <v/>
      </c>
      <c r="C216" s="16" t="str">
        <f>IFERROR(IF([2]对账明细接口!$C$216=0,"",[2]对账明细接口!$C$216),"")</f>
        <v/>
      </c>
      <c r="D216" s="16" t="str">
        <f>IFERROR(IF([2]对账明细接口!$D$216=0,"",[2]对账明细接口!$D$216),"")</f>
        <v/>
      </c>
      <c r="E216" s="16" t="str">
        <f>IFERROR(IF([2]对账明细接口!$E$216=0,"",[2]对账明细接口!$E$216),"")</f>
        <v/>
      </c>
      <c r="F216" s="16" t="str">
        <f>IFERROR(IF([2]对账明细接口!$F$216=0,"",[2]对账明细接口!$F$216),"")</f>
        <v/>
      </c>
      <c r="G216" s="16" t="str">
        <f>IFERROR(IF([2]对账明细接口!$G$216=0,"",[2]对账明细接口!$G$216),"")</f>
        <v/>
      </c>
      <c r="H216" s="17" t="str">
        <f>IFERROR(IF([2]对账明细接口!$H$216=0,"",[2]对账明细接口!$H$216),"")</f>
        <v/>
      </c>
      <c r="I216" s="16" t="str">
        <f>IFERROR(IF([2]对账明细接口!$I$216=0,"",[2]对账明细接口!$I$216),"")</f>
        <v/>
      </c>
      <c r="J216" s="18" t="str">
        <f>IFERROR(IF([2]对账明细接口!$J$216=0,"",[2]对账明细接口!$J$216),"")</f>
        <v/>
      </c>
      <c r="K216" s="18" t="str">
        <f>IFERROR(IF([2]对账明细接口!$K$216=0,"",[2]对账明细接口!$K$216),"")</f>
        <v/>
      </c>
      <c r="L216" s="16" t="str">
        <f>IFERROR(IF([2]对账明细接口!$L$216=0,"",[2]对账明细接口!$L$216),"")</f>
        <v/>
      </c>
      <c r="M216" s="16" t="str">
        <f>IFERROR(IF([2]对账明细接口!$M$216=0,"",[2]对账明细接口!$M$216),"")</f>
        <v/>
      </c>
      <c r="N216" s="19">
        <f t="shared" si="18"/>
        <v>0</v>
      </c>
      <c r="O216" s="19">
        <f t="shared" si="19"/>
        <v>165</v>
      </c>
      <c r="S216" s="20" t="str">
        <f>IFERROR(IF([2]对账明细接口!$N216=0,"",[2]对账明细接口!$N216),"")</f>
        <v/>
      </c>
      <c r="T216" s="21" t="str">
        <f>IFERROR(IF([2]对账明细接口!$O216=0,"",[2]对账明细接口!$O216),"")</f>
        <v/>
      </c>
      <c r="U216" s="21" t="str">
        <f>IFERROR(IF([2]对账明细接口!$P216=0,"",[2]对账明细接口!$P216),"")</f>
        <v/>
      </c>
      <c r="V216" s="21" t="str">
        <f>IFERROR(IF([2]对账明细接口!$Q216=0,"",[2]对账明细接口!$Q216),"")</f>
        <v/>
      </c>
      <c r="W216" s="20" t="str">
        <f>IFERROR(IF([2]对账明细接口!$R216=0,"",[2]对账明细接口!$R216),"")</f>
        <v/>
      </c>
      <c r="X216" s="20" t="str">
        <f>IFERROR(IF([2]对账明细接口!$S216=0,"",[2]对账明细接口!$S216),"")</f>
        <v/>
      </c>
      <c r="Y216" s="20" t="str">
        <f t="shared" si="20"/>
        <v/>
      </c>
      <c r="Z216" s="20" t="str">
        <f t="shared" si="21"/>
        <v/>
      </c>
      <c r="AA216" s="20" t="str">
        <f t="shared" si="22"/>
        <v/>
      </c>
      <c r="AB216" s="20" t="str">
        <f t="shared" si="23"/>
        <v/>
      </c>
    </row>
    <row r="217" customHeight="1" spans="1:28">
      <c r="A217" s="14">
        <v>217</v>
      </c>
      <c r="B217" s="15" t="str">
        <f>IFERROR(IF([2]对账明细接口!$B$217=0,"",[2]对账明细接口!$B$217),"")</f>
        <v/>
      </c>
      <c r="C217" s="16" t="str">
        <f>IFERROR(IF([2]对账明细接口!$C$217=0,"",[2]对账明细接口!$C$217),"")</f>
        <v/>
      </c>
      <c r="D217" s="16" t="str">
        <f>IFERROR(IF([2]对账明细接口!$D$217=0,"",[2]对账明细接口!$D$217),"")</f>
        <v/>
      </c>
      <c r="E217" s="16" t="str">
        <f>IFERROR(IF([2]对账明细接口!$E$217=0,"",[2]对账明细接口!$E$217),"")</f>
        <v/>
      </c>
      <c r="F217" s="16" t="str">
        <f>IFERROR(IF([2]对账明细接口!$F$217=0,"",[2]对账明细接口!$F$217),"")</f>
        <v/>
      </c>
      <c r="G217" s="16" t="str">
        <f>IFERROR(IF([2]对账明细接口!$G$217=0,"",[2]对账明细接口!$G$217),"")</f>
        <v/>
      </c>
      <c r="H217" s="17" t="str">
        <f>IFERROR(IF([2]对账明细接口!$H$217=0,"",[2]对账明细接口!$H$217),"")</f>
        <v/>
      </c>
      <c r="I217" s="16" t="str">
        <f>IFERROR(IF([2]对账明细接口!$I$217=0,"",[2]对账明细接口!$I$217),"")</f>
        <v/>
      </c>
      <c r="J217" s="18" t="str">
        <f>IFERROR(IF([2]对账明细接口!$J$217=0,"",[2]对账明细接口!$J$217),"")</f>
        <v/>
      </c>
      <c r="K217" s="18" t="str">
        <f>IFERROR(IF([2]对账明细接口!$K$217=0,"",[2]对账明细接口!$K$217),"")</f>
        <v/>
      </c>
      <c r="L217" s="16" t="str">
        <f>IFERROR(IF([2]对账明细接口!$L$217=0,"",[2]对账明细接口!$L$217),"")</f>
        <v/>
      </c>
      <c r="M217" s="16" t="str">
        <f>IFERROR(IF([2]对账明细接口!$M$217=0,"",[2]对账明细接口!$M$217),"")</f>
        <v/>
      </c>
      <c r="N217" s="19">
        <f t="shared" si="18"/>
        <v>0</v>
      </c>
      <c r="O217" s="19">
        <f t="shared" si="19"/>
        <v>165</v>
      </c>
      <c r="S217" s="20" t="str">
        <f>IFERROR(IF([2]对账明细接口!$N217=0,"",[2]对账明细接口!$N217),"")</f>
        <v/>
      </c>
      <c r="T217" s="21" t="str">
        <f>IFERROR(IF([2]对账明细接口!$O217=0,"",[2]对账明细接口!$O217),"")</f>
        <v/>
      </c>
      <c r="U217" s="21" t="str">
        <f>IFERROR(IF([2]对账明细接口!$P217=0,"",[2]对账明细接口!$P217),"")</f>
        <v/>
      </c>
      <c r="V217" s="21" t="str">
        <f>IFERROR(IF([2]对账明细接口!$Q217=0,"",[2]对账明细接口!$Q217),"")</f>
        <v/>
      </c>
      <c r="W217" s="20" t="str">
        <f>IFERROR(IF([2]对账明细接口!$R217=0,"",[2]对账明细接口!$R217),"")</f>
        <v/>
      </c>
      <c r="X217" s="20" t="str">
        <f>IFERROR(IF([2]对账明细接口!$S217=0,"",[2]对账明细接口!$S217),"")</f>
        <v/>
      </c>
      <c r="Y217" s="20" t="str">
        <f t="shared" si="20"/>
        <v/>
      </c>
      <c r="Z217" s="20" t="str">
        <f t="shared" si="21"/>
        <v/>
      </c>
      <c r="AA217" s="20" t="str">
        <f t="shared" si="22"/>
        <v/>
      </c>
      <c r="AB217" s="20" t="str">
        <f t="shared" si="23"/>
        <v/>
      </c>
    </row>
    <row r="218" customHeight="1" spans="1:28">
      <c r="A218" s="14">
        <v>218</v>
      </c>
      <c r="B218" s="15" t="str">
        <f>IFERROR(IF([2]对账明细接口!$B$218=0,"",[2]对账明细接口!$B$218),"")</f>
        <v/>
      </c>
      <c r="C218" s="16" t="str">
        <f>IFERROR(IF([2]对账明细接口!$C$218=0,"",[2]对账明细接口!$C$218),"")</f>
        <v/>
      </c>
      <c r="D218" s="16" t="str">
        <f>IFERROR(IF([2]对账明细接口!$D$218=0,"",[2]对账明细接口!$D$218),"")</f>
        <v/>
      </c>
      <c r="E218" s="16" t="str">
        <f>IFERROR(IF([2]对账明细接口!$E$218=0,"",[2]对账明细接口!$E$218),"")</f>
        <v/>
      </c>
      <c r="F218" s="16" t="str">
        <f>IFERROR(IF([2]对账明细接口!$F$218=0,"",[2]对账明细接口!$F$218),"")</f>
        <v/>
      </c>
      <c r="G218" s="16" t="str">
        <f>IFERROR(IF([2]对账明细接口!$G$218=0,"",[2]对账明细接口!$G$218),"")</f>
        <v/>
      </c>
      <c r="H218" s="17" t="str">
        <f>IFERROR(IF([2]对账明细接口!$H$218=0,"",[2]对账明细接口!$H$218),"")</f>
        <v/>
      </c>
      <c r="I218" s="16" t="str">
        <f>IFERROR(IF([2]对账明细接口!$I$218=0,"",[2]对账明细接口!$I$218),"")</f>
        <v/>
      </c>
      <c r="J218" s="18" t="str">
        <f>IFERROR(IF([2]对账明细接口!$J$218=0,"",[2]对账明细接口!$J$218),"")</f>
        <v/>
      </c>
      <c r="K218" s="18" t="str">
        <f>IFERROR(IF([2]对账明细接口!$K$218=0,"",[2]对账明细接口!$K$218),"")</f>
        <v/>
      </c>
      <c r="L218" s="16" t="str">
        <f>IFERROR(IF([2]对账明细接口!$L$218=0,"",[2]对账明细接口!$L$218),"")</f>
        <v/>
      </c>
      <c r="M218" s="16" t="str">
        <f>IFERROR(IF([2]对账明细接口!$M$218=0,"",[2]对账明细接口!$M$218),"")</f>
        <v/>
      </c>
      <c r="N218" s="19">
        <f t="shared" si="18"/>
        <v>0</v>
      </c>
      <c r="O218" s="19">
        <f t="shared" si="19"/>
        <v>165</v>
      </c>
      <c r="S218" s="20" t="str">
        <f>IFERROR(IF([2]对账明细接口!$N218=0,"",[2]对账明细接口!$N218),"")</f>
        <v/>
      </c>
      <c r="T218" s="21" t="str">
        <f>IFERROR(IF([2]对账明细接口!$O218=0,"",[2]对账明细接口!$O218),"")</f>
        <v/>
      </c>
      <c r="U218" s="21" t="str">
        <f>IFERROR(IF([2]对账明细接口!$P218=0,"",[2]对账明细接口!$P218),"")</f>
        <v/>
      </c>
      <c r="V218" s="21" t="str">
        <f>IFERROR(IF([2]对账明细接口!$Q218=0,"",[2]对账明细接口!$Q218),"")</f>
        <v/>
      </c>
      <c r="W218" s="20" t="str">
        <f>IFERROR(IF([2]对账明细接口!$R218=0,"",[2]对账明细接口!$R218),"")</f>
        <v/>
      </c>
      <c r="X218" s="20" t="str">
        <f>IFERROR(IF([2]对账明细接口!$S218=0,"",[2]对账明细接口!$S218),"")</f>
        <v/>
      </c>
      <c r="Y218" s="20" t="str">
        <f t="shared" si="20"/>
        <v/>
      </c>
      <c r="Z218" s="20" t="str">
        <f t="shared" si="21"/>
        <v/>
      </c>
      <c r="AA218" s="20" t="str">
        <f t="shared" si="22"/>
        <v/>
      </c>
      <c r="AB218" s="20" t="str">
        <f t="shared" si="23"/>
        <v/>
      </c>
    </row>
    <row r="219" customHeight="1" spans="1:28">
      <c r="A219" s="14">
        <v>219</v>
      </c>
      <c r="B219" s="15" t="str">
        <f>IFERROR(IF([2]对账明细接口!$B$219=0,"",[2]对账明细接口!$B$219),"")</f>
        <v/>
      </c>
      <c r="C219" s="16" t="str">
        <f>IFERROR(IF([2]对账明细接口!$C$219=0,"",[2]对账明细接口!$C$219),"")</f>
        <v/>
      </c>
      <c r="D219" s="16" t="str">
        <f>IFERROR(IF([2]对账明细接口!$D$219=0,"",[2]对账明细接口!$D$219),"")</f>
        <v/>
      </c>
      <c r="E219" s="16" t="str">
        <f>IFERROR(IF([2]对账明细接口!$E$219=0,"",[2]对账明细接口!$E$219),"")</f>
        <v/>
      </c>
      <c r="F219" s="16" t="str">
        <f>IFERROR(IF([2]对账明细接口!$F$219=0,"",[2]对账明细接口!$F$219),"")</f>
        <v/>
      </c>
      <c r="G219" s="16" t="str">
        <f>IFERROR(IF([2]对账明细接口!$G$219=0,"",[2]对账明细接口!$G$219),"")</f>
        <v/>
      </c>
      <c r="H219" s="17" t="str">
        <f>IFERROR(IF([2]对账明细接口!$H$219=0,"",[2]对账明细接口!$H$219),"")</f>
        <v/>
      </c>
      <c r="I219" s="16" t="str">
        <f>IFERROR(IF([2]对账明细接口!$I$219=0,"",[2]对账明细接口!$I$219),"")</f>
        <v/>
      </c>
      <c r="J219" s="18" t="str">
        <f>IFERROR(IF([2]对账明细接口!$J$219=0,"",[2]对账明细接口!$J$219),"")</f>
        <v/>
      </c>
      <c r="K219" s="18" t="str">
        <f>IFERROR(IF([2]对账明细接口!$K$219=0,"",[2]对账明细接口!$K$219),"")</f>
        <v/>
      </c>
      <c r="L219" s="16" t="str">
        <f>IFERROR(IF([2]对账明细接口!$L$219=0,"",[2]对账明细接口!$L$219),"")</f>
        <v/>
      </c>
      <c r="M219" s="16" t="str">
        <f>IFERROR(IF([2]对账明细接口!$M$219=0,"",[2]对账明细接口!$M$219),"")</f>
        <v/>
      </c>
      <c r="N219" s="19">
        <f t="shared" si="18"/>
        <v>0</v>
      </c>
      <c r="O219" s="19">
        <f t="shared" si="19"/>
        <v>165</v>
      </c>
      <c r="S219" s="20" t="str">
        <f>IFERROR(IF([2]对账明细接口!$N219=0,"",[2]对账明细接口!$N219),"")</f>
        <v/>
      </c>
      <c r="T219" s="21" t="str">
        <f>IFERROR(IF([2]对账明细接口!$O219=0,"",[2]对账明细接口!$O219),"")</f>
        <v/>
      </c>
      <c r="U219" s="21" t="str">
        <f>IFERROR(IF([2]对账明细接口!$P219=0,"",[2]对账明细接口!$P219),"")</f>
        <v/>
      </c>
      <c r="V219" s="21" t="str">
        <f>IFERROR(IF([2]对账明细接口!$Q219=0,"",[2]对账明细接口!$Q219),"")</f>
        <v/>
      </c>
      <c r="W219" s="20" t="str">
        <f>IFERROR(IF([2]对账明细接口!$R219=0,"",[2]对账明细接口!$R219),"")</f>
        <v/>
      </c>
      <c r="X219" s="20" t="str">
        <f>IFERROR(IF([2]对账明细接口!$S219=0,"",[2]对账明细接口!$S219),"")</f>
        <v/>
      </c>
      <c r="Y219" s="20" t="str">
        <f t="shared" si="20"/>
        <v/>
      </c>
      <c r="Z219" s="20" t="str">
        <f t="shared" si="21"/>
        <v/>
      </c>
      <c r="AA219" s="20" t="str">
        <f t="shared" si="22"/>
        <v/>
      </c>
      <c r="AB219" s="20" t="str">
        <f t="shared" si="23"/>
        <v/>
      </c>
    </row>
    <row r="220" customHeight="1" spans="1:28">
      <c r="A220" s="14">
        <v>220</v>
      </c>
      <c r="B220" s="15" t="str">
        <f>IFERROR(IF([2]对账明细接口!$B$220=0,"",[2]对账明细接口!$B$220),"")</f>
        <v/>
      </c>
      <c r="C220" s="16" t="str">
        <f>IFERROR(IF([2]对账明细接口!$C$220=0,"",[2]对账明细接口!$C$220),"")</f>
        <v/>
      </c>
      <c r="D220" s="16" t="str">
        <f>IFERROR(IF([2]对账明细接口!$D$220=0,"",[2]对账明细接口!$D$220),"")</f>
        <v/>
      </c>
      <c r="E220" s="16" t="str">
        <f>IFERROR(IF([2]对账明细接口!$E$220=0,"",[2]对账明细接口!$E$220),"")</f>
        <v/>
      </c>
      <c r="F220" s="16" t="str">
        <f>IFERROR(IF([2]对账明细接口!$F$220=0,"",[2]对账明细接口!$F$220),"")</f>
        <v/>
      </c>
      <c r="G220" s="16" t="str">
        <f>IFERROR(IF([2]对账明细接口!$G$220=0,"",[2]对账明细接口!$G$220),"")</f>
        <v/>
      </c>
      <c r="H220" s="17" t="str">
        <f>IFERROR(IF([2]对账明细接口!$H$220=0,"",[2]对账明细接口!$H$220),"")</f>
        <v/>
      </c>
      <c r="I220" s="16" t="str">
        <f>IFERROR(IF([2]对账明细接口!$I$220=0,"",[2]对账明细接口!$I$220),"")</f>
        <v/>
      </c>
      <c r="J220" s="18" t="str">
        <f>IFERROR(IF([2]对账明细接口!$J$220=0,"",[2]对账明细接口!$J$220),"")</f>
        <v/>
      </c>
      <c r="K220" s="18" t="str">
        <f>IFERROR(IF([2]对账明细接口!$K$220=0,"",[2]对账明细接口!$K$220),"")</f>
        <v/>
      </c>
      <c r="L220" s="16" t="str">
        <f>IFERROR(IF([2]对账明细接口!$L$220=0,"",[2]对账明细接口!$L$220),"")</f>
        <v/>
      </c>
      <c r="M220" s="16" t="str">
        <f>IFERROR(IF([2]对账明细接口!$M$220=0,"",[2]对账明细接口!$M$220),"")</f>
        <v/>
      </c>
      <c r="N220" s="19">
        <f t="shared" si="18"/>
        <v>0</v>
      </c>
      <c r="O220" s="19">
        <f t="shared" si="19"/>
        <v>165</v>
      </c>
      <c r="S220" s="20" t="str">
        <f>IFERROR(IF([2]对账明细接口!$N220=0,"",[2]对账明细接口!$N220),"")</f>
        <v/>
      </c>
      <c r="T220" s="21" t="str">
        <f>IFERROR(IF([2]对账明细接口!$O220=0,"",[2]对账明细接口!$O220),"")</f>
        <v/>
      </c>
      <c r="U220" s="21" t="str">
        <f>IFERROR(IF([2]对账明细接口!$P220=0,"",[2]对账明细接口!$P220),"")</f>
        <v/>
      </c>
      <c r="V220" s="21" t="str">
        <f>IFERROR(IF([2]对账明细接口!$Q220=0,"",[2]对账明细接口!$Q220),"")</f>
        <v/>
      </c>
      <c r="W220" s="20" t="str">
        <f>IFERROR(IF([2]对账明细接口!$R220=0,"",[2]对账明细接口!$R220),"")</f>
        <v/>
      </c>
      <c r="X220" s="20" t="str">
        <f>IFERROR(IF([2]对账明细接口!$S220=0,"",[2]对账明细接口!$S220),"")</f>
        <v/>
      </c>
      <c r="Y220" s="20" t="str">
        <f t="shared" si="20"/>
        <v/>
      </c>
      <c r="Z220" s="20" t="str">
        <f t="shared" si="21"/>
        <v/>
      </c>
      <c r="AA220" s="20" t="str">
        <f t="shared" si="22"/>
        <v/>
      </c>
      <c r="AB220" s="20" t="str">
        <f t="shared" si="23"/>
        <v/>
      </c>
    </row>
    <row r="221" customHeight="1" spans="1:28">
      <c r="A221" s="14">
        <v>221</v>
      </c>
      <c r="B221" s="15" t="str">
        <f>IFERROR(IF([2]对账明细接口!$B$221=0,"",[2]对账明细接口!$B$221),"")</f>
        <v/>
      </c>
      <c r="C221" s="16" t="str">
        <f>IFERROR(IF([2]对账明细接口!$C$221=0,"",[2]对账明细接口!$C$221),"")</f>
        <v/>
      </c>
      <c r="D221" s="16" t="str">
        <f>IFERROR(IF([2]对账明细接口!$D$221=0,"",[2]对账明细接口!$D$221),"")</f>
        <v/>
      </c>
      <c r="E221" s="16" t="str">
        <f>IFERROR(IF([2]对账明细接口!$E$221=0,"",[2]对账明细接口!$E$221),"")</f>
        <v/>
      </c>
      <c r="F221" s="16" t="str">
        <f>IFERROR(IF([2]对账明细接口!$F$221=0,"",[2]对账明细接口!$F$221),"")</f>
        <v/>
      </c>
      <c r="G221" s="16" t="str">
        <f>IFERROR(IF([2]对账明细接口!$G$221=0,"",[2]对账明细接口!$G$221),"")</f>
        <v/>
      </c>
      <c r="H221" s="17" t="str">
        <f>IFERROR(IF([2]对账明细接口!$H$221=0,"",[2]对账明细接口!$H$221),"")</f>
        <v/>
      </c>
      <c r="I221" s="16" t="str">
        <f>IFERROR(IF([2]对账明细接口!$I$221=0,"",[2]对账明细接口!$I$221),"")</f>
        <v/>
      </c>
      <c r="J221" s="18" t="str">
        <f>IFERROR(IF([2]对账明细接口!$J$221=0,"",[2]对账明细接口!$J$221),"")</f>
        <v/>
      </c>
      <c r="K221" s="18" t="str">
        <f>IFERROR(IF([2]对账明细接口!$K$221=0,"",[2]对账明细接口!$K$221),"")</f>
        <v/>
      </c>
      <c r="L221" s="16" t="str">
        <f>IFERROR(IF([2]对账明细接口!$L$221=0,"",[2]对账明细接口!$L$221),"")</f>
        <v/>
      </c>
      <c r="M221" s="16" t="str">
        <f>IFERROR(IF([2]对账明细接口!$M$221=0,"",[2]对账明细接口!$M$221),"")</f>
        <v/>
      </c>
      <c r="N221" s="19">
        <f t="shared" si="18"/>
        <v>0</v>
      </c>
      <c r="O221" s="19">
        <f t="shared" si="19"/>
        <v>165</v>
      </c>
      <c r="S221" s="20" t="str">
        <f>IFERROR(IF([2]对账明细接口!$N221=0,"",[2]对账明细接口!$N221),"")</f>
        <v/>
      </c>
      <c r="T221" s="21" t="str">
        <f>IFERROR(IF([2]对账明细接口!$O221=0,"",[2]对账明细接口!$O221),"")</f>
        <v/>
      </c>
      <c r="U221" s="21" t="str">
        <f>IFERROR(IF([2]对账明细接口!$P221=0,"",[2]对账明细接口!$P221),"")</f>
        <v/>
      </c>
      <c r="V221" s="21" t="str">
        <f>IFERROR(IF([2]对账明细接口!$Q221=0,"",[2]对账明细接口!$Q221),"")</f>
        <v/>
      </c>
      <c r="W221" s="20" t="str">
        <f>IFERROR(IF([2]对账明细接口!$R221=0,"",[2]对账明细接口!$R221),"")</f>
        <v/>
      </c>
      <c r="X221" s="20" t="str">
        <f>IFERROR(IF([2]对账明细接口!$S221=0,"",[2]对账明细接口!$S221),"")</f>
        <v/>
      </c>
      <c r="Y221" s="20" t="str">
        <f t="shared" si="20"/>
        <v/>
      </c>
      <c r="Z221" s="20" t="str">
        <f t="shared" si="21"/>
        <v/>
      </c>
      <c r="AA221" s="20" t="str">
        <f t="shared" si="22"/>
        <v/>
      </c>
      <c r="AB221" s="20" t="str">
        <f t="shared" si="23"/>
        <v/>
      </c>
    </row>
    <row r="222" customHeight="1" spans="1:28">
      <c r="A222" s="14">
        <v>222</v>
      </c>
      <c r="B222" s="15" t="str">
        <f>IFERROR(IF([2]对账明细接口!$B$222=0,"",[2]对账明细接口!$B$222),"")</f>
        <v/>
      </c>
      <c r="C222" s="16" t="str">
        <f>IFERROR(IF([2]对账明细接口!$C$222=0,"",[2]对账明细接口!$C$222),"")</f>
        <v/>
      </c>
      <c r="D222" s="16" t="str">
        <f>IFERROR(IF([2]对账明细接口!$D$222=0,"",[2]对账明细接口!$D$222),"")</f>
        <v/>
      </c>
      <c r="E222" s="16" t="str">
        <f>IFERROR(IF([2]对账明细接口!$E$222=0,"",[2]对账明细接口!$E$222),"")</f>
        <v/>
      </c>
      <c r="F222" s="16" t="str">
        <f>IFERROR(IF([2]对账明细接口!$F$222=0,"",[2]对账明细接口!$F$222),"")</f>
        <v/>
      </c>
      <c r="G222" s="16" t="str">
        <f>IFERROR(IF([2]对账明细接口!$G$222=0,"",[2]对账明细接口!$G$222),"")</f>
        <v/>
      </c>
      <c r="H222" s="17" t="str">
        <f>IFERROR(IF([2]对账明细接口!$H$222=0,"",[2]对账明细接口!$H$222),"")</f>
        <v/>
      </c>
      <c r="I222" s="16" t="str">
        <f>IFERROR(IF([2]对账明细接口!$I$222=0,"",[2]对账明细接口!$I$222),"")</f>
        <v/>
      </c>
      <c r="J222" s="18" t="str">
        <f>IFERROR(IF([2]对账明细接口!$J$222=0,"",[2]对账明细接口!$J$222),"")</f>
        <v/>
      </c>
      <c r="K222" s="18" t="str">
        <f>IFERROR(IF([2]对账明细接口!$K$222=0,"",[2]对账明细接口!$K$222),"")</f>
        <v/>
      </c>
      <c r="L222" s="16" t="str">
        <f>IFERROR(IF([2]对账明细接口!$L$222=0,"",[2]对账明细接口!$L$222),"")</f>
        <v/>
      </c>
      <c r="M222" s="16" t="str">
        <f>IFERROR(IF([2]对账明细接口!$M$222=0,"",[2]对账明细接口!$M$222),"")</f>
        <v/>
      </c>
      <c r="N222" s="19">
        <f t="shared" si="18"/>
        <v>0</v>
      </c>
      <c r="O222" s="19">
        <f t="shared" si="19"/>
        <v>165</v>
      </c>
      <c r="S222" s="20" t="str">
        <f>IFERROR(IF([2]对账明细接口!$N222=0,"",[2]对账明细接口!$N222),"")</f>
        <v/>
      </c>
      <c r="T222" s="21" t="str">
        <f>IFERROR(IF([2]对账明细接口!$O222=0,"",[2]对账明细接口!$O222),"")</f>
        <v/>
      </c>
      <c r="U222" s="21" t="str">
        <f>IFERROR(IF([2]对账明细接口!$P222=0,"",[2]对账明细接口!$P222),"")</f>
        <v/>
      </c>
      <c r="V222" s="21" t="str">
        <f>IFERROR(IF([2]对账明细接口!$Q222=0,"",[2]对账明细接口!$Q222),"")</f>
        <v/>
      </c>
      <c r="W222" s="20" t="str">
        <f>IFERROR(IF([2]对账明细接口!$R222=0,"",[2]对账明细接口!$R222),"")</f>
        <v/>
      </c>
      <c r="X222" s="20" t="str">
        <f>IFERROR(IF([2]对账明细接口!$S222=0,"",[2]对账明细接口!$S222),"")</f>
        <v/>
      </c>
      <c r="Y222" s="20" t="str">
        <f t="shared" si="20"/>
        <v/>
      </c>
      <c r="Z222" s="20" t="str">
        <f t="shared" si="21"/>
        <v/>
      </c>
      <c r="AA222" s="20" t="str">
        <f t="shared" si="22"/>
        <v/>
      </c>
      <c r="AB222" s="20" t="str">
        <f t="shared" si="23"/>
        <v/>
      </c>
    </row>
    <row r="223" customHeight="1" spans="1:28">
      <c r="A223" s="14">
        <v>223</v>
      </c>
      <c r="B223" s="15" t="str">
        <f>IFERROR(IF([2]对账明细接口!$B$223=0,"",[2]对账明细接口!$B$223),"")</f>
        <v/>
      </c>
      <c r="C223" s="16" t="str">
        <f>IFERROR(IF([2]对账明细接口!$C$223=0,"",[2]对账明细接口!$C$223),"")</f>
        <v/>
      </c>
      <c r="D223" s="16" t="str">
        <f>IFERROR(IF([2]对账明细接口!$D$223=0,"",[2]对账明细接口!$D$223),"")</f>
        <v/>
      </c>
      <c r="E223" s="16" t="str">
        <f>IFERROR(IF([2]对账明细接口!$E$223=0,"",[2]对账明细接口!$E$223),"")</f>
        <v/>
      </c>
      <c r="F223" s="16" t="str">
        <f>IFERROR(IF([2]对账明细接口!$F$223=0,"",[2]对账明细接口!$F$223),"")</f>
        <v/>
      </c>
      <c r="G223" s="16" t="str">
        <f>IFERROR(IF([2]对账明细接口!$G$223=0,"",[2]对账明细接口!$G$223),"")</f>
        <v/>
      </c>
      <c r="H223" s="17" t="str">
        <f>IFERROR(IF([2]对账明细接口!$H$223=0,"",[2]对账明细接口!$H$223),"")</f>
        <v/>
      </c>
      <c r="I223" s="16" t="str">
        <f>IFERROR(IF([2]对账明细接口!$I$223=0,"",[2]对账明细接口!$I$223),"")</f>
        <v/>
      </c>
      <c r="J223" s="18" t="str">
        <f>IFERROR(IF([2]对账明细接口!$J$223=0,"",[2]对账明细接口!$J$223),"")</f>
        <v/>
      </c>
      <c r="K223" s="18" t="str">
        <f>IFERROR(IF([2]对账明细接口!$K$223=0,"",[2]对账明细接口!$K$223),"")</f>
        <v/>
      </c>
      <c r="L223" s="16" t="str">
        <f>IFERROR(IF([2]对账明细接口!$L$223=0,"",[2]对账明细接口!$L$223),"")</f>
        <v/>
      </c>
      <c r="M223" s="16" t="str">
        <f>IFERROR(IF([2]对账明细接口!$M$223=0,"",[2]对账明细接口!$M$223),"")</f>
        <v/>
      </c>
      <c r="N223" s="19">
        <f t="shared" si="18"/>
        <v>0</v>
      </c>
      <c r="O223" s="19">
        <f t="shared" si="19"/>
        <v>165</v>
      </c>
      <c r="S223" s="20" t="str">
        <f>IFERROR(IF([2]对账明细接口!$N223=0,"",[2]对账明细接口!$N223),"")</f>
        <v/>
      </c>
      <c r="T223" s="21" t="str">
        <f>IFERROR(IF([2]对账明细接口!$O223=0,"",[2]对账明细接口!$O223),"")</f>
        <v/>
      </c>
      <c r="U223" s="21" t="str">
        <f>IFERROR(IF([2]对账明细接口!$P223=0,"",[2]对账明细接口!$P223),"")</f>
        <v/>
      </c>
      <c r="V223" s="21" t="str">
        <f>IFERROR(IF([2]对账明细接口!$Q223=0,"",[2]对账明细接口!$Q223),"")</f>
        <v/>
      </c>
      <c r="W223" s="20" t="str">
        <f>IFERROR(IF([2]对账明细接口!$R223=0,"",[2]对账明细接口!$R223),"")</f>
        <v/>
      </c>
      <c r="X223" s="20" t="str">
        <f>IFERROR(IF([2]对账明细接口!$S223=0,"",[2]对账明细接口!$S223),"")</f>
        <v/>
      </c>
      <c r="Y223" s="20" t="str">
        <f t="shared" si="20"/>
        <v/>
      </c>
      <c r="Z223" s="20" t="str">
        <f t="shared" si="21"/>
        <v/>
      </c>
      <c r="AA223" s="20" t="str">
        <f t="shared" si="22"/>
        <v/>
      </c>
      <c r="AB223" s="20" t="str">
        <f t="shared" si="23"/>
        <v/>
      </c>
    </row>
    <row r="224" customHeight="1" spans="1:28">
      <c r="A224" s="14">
        <v>224</v>
      </c>
      <c r="B224" s="15" t="str">
        <f>IFERROR(IF([2]对账明细接口!$B$224=0,"",[2]对账明细接口!$B$224),"")</f>
        <v/>
      </c>
      <c r="C224" s="16" t="str">
        <f>IFERROR(IF([2]对账明细接口!$C$224=0,"",[2]对账明细接口!$C$224),"")</f>
        <v/>
      </c>
      <c r="D224" s="16" t="str">
        <f>IFERROR(IF([2]对账明细接口!$D$224=0,"",[2]对账明细接口!$D$224),"")</f>
        <v/>
      </c>
      <c r="E224" s="16" t="str">
        <f>IFERROR(IF([2]对账明细接口!$E$224=0,"",[2]对账明细接口!$E$224),"")</f>
        <v/>
      </c>
      <c r="F224" s="16" t="str">
        <f>IFERROR(IF([2]对账明细接口!$F$224=0,"",[2]对账明细接口!$F$224),"")</f>
        <v/>
      </c>
      <c r="G224" s="16" t="str">
        <f>IFERROR(IF([2]对账明细接口!$G$224=0,"",[2]对账明细接口!$G$224),"")</f>
        <v/>
      </c>
      <c r="H224" s="17" t="str">
        <f>IFERROR(IF([2]对账明细接口!$H$224=0,"",[2]对账明细接口!$H$224),"")</f>
        <v/>
      </c>
      <c r="I224" s="16" t="str">
        <f>IFERROR(IF([2]对账明细接口!$I$224=0,"",[2]对账明细接口!$I$224),"")</f>
        <v/>
      </c>
      <c r="J224" s="18" t="str">
        <f>IFERROR(IF([2]对账明细接口!$J$224=0,"",[2]对账明细接口!$J$224),"")</f>
        <v/>
      </c>
      <c r="K224" s="18" t="str">
        <f>IFERROR(IF([2]对账明细接口!$K$224=0,"",[2]对账明细接口!$K$224),"")</f>
        <v/>
      </c>
      <c r="L224" s="16" t="str">
        <f>IFERROR(IF([2]对账明细接口!$L$224=0,"",[2]对账明细接口!$L$224),"")</f>
        <v/>
      </c>
      <c r="M224" s="16" t="str">
        <f>IFERROR(IF([2]对账明细接口!$M$224=0,"",[2]对账明细接口!$M$224),"")</f>
        <v/>
      </c>
      <c r="N224" s="19">
        <f t="shared" si="18"/>
        <v>0</v>
      </c>
      <c r="O224" s="19">
        <f t="shared" si="19"/>
        <v>165</v>
      </c>
      <c r="S224" s="20" t="str">
        <f>IFERROR(IF([2]对账明细接口!$N224=0,"",[2]对账明细接口!$N224),"")</f>
        <v/>
      </c>
      <c r="T224" s="21" t="str">
        <f>IFERROR(IF([2]对账明细接口!$O224=0,"",[2]对账明细接口!$O224),"")</f>
        <v/>
      </c>
      <c r="U224" s="21" t="str">
        <f>IFERROR(IF([2]对账明细接口!$P224=0,"",[2]对账明细接口!$P224),"")</f>
        <v/>
      </c>
      <c r="V224" s="21" t="str">
        <f>IFERROR(IF([2]对账明细接口!$Q224=0,"",[2]对账明细接口!$Q224),"")</f>
        <v/>
      </c>
      <c r="W224" s="20" t="str">
        <f>IFERROR(IF([2]对账明细接口!$R224=0,"",[2]对账明细接口!$R224),"")</f>
        <v/>
      </c>
      <c r="X224" s="20" t="str">
        <f>IFERROR(IF([2]对账明细接口!$S224=0,"",[2]对账明细接口!$S224),"")</f>
        <v/>
      </c>
      <c r="Y224" s="20" t="str">
        <f t="shared" si="20"/>
        <v/>
      </c>
      <c r="Z224" s="20" t="str">
        <f t="shared" si="21"/>
        <v/>
      </c>
      <c r="AA224" s="20" t="str">
        <f t="shared" si="22"/>
        <v/>
      </c>
      <c r="AB224" s="20" t="str">
        <f t="shared" si="23"/>
        <v/>
      </c>
    </row>
    <row r="225" customHeight="1" spans="1:28">
      <c r="A225" s="14">
        <v>225</v>
      </c>
      <c r="B225" s="15" t="str">
        <f>IFERROR(IF([2]对账明细接口!$B$225=0,"",[2]对账明细接口!$B$225),"")</f>
        <v/>
      </c>
      <c r="C225" s="16" t="str">
        <f>IFERROR(IF([2]对账明细接口!$C$225=0,"",[2]对账明细接口!$C$225),"")</f>
        <v/>
      </c>
      <c r="D225" s="16" t="str">
        <f>IFERROR(IF([2]对账明细接口!$D$225=0,"",[2]对账明细接口!$D$225),"")</f>
        <v/>
      </c>
      <c r="E225" s="16" t="str">
        <f>IFERROR(IF([2]对账明细接口!$E$225=0,"",[2]对账明细接口!$E$225),"")</f>
        <v/>
      </c>
      <c r="F225" s="16" t="str">
        <f>IFERROR(IF([2]对账明细接口!$F$225=0,"",[2]对账明细接口!$F$225),"")</f>
        <v/>
      </c>
      <c r="G225" s="16" t="str">
        <f>IFERROR(IF([2]对账明细接口!$G$225=0,"",[2]对账明细接口!$G$225),"")</f>
        <v/>
      </c>
      <c r="H225" s="17" t="str">
        <f>IFERROR(IF([2]对账明细接口!$H$225=0,"",[2]对账明细接口!$H$225),"")</f>
        <v/>
      </c>
      <c r="I225" s="16" t="str">
        <f>IFERROR(IF([2]对账明细接口!$I$225=0,"",[2]对账明细接口!$I$225),"")</f>
        <v/>
      </c>
      <c r="J225" s="18" t="str">
        <f>IFERROR(IF([2]对账明细接口!$J$225=0,"",[2]对账明细接口!$J$225),"")</f>
        <v/>
      </c>
      <c r="K225" s="18" t="str">
        <f>IFERROR(IF([2]对账明细接口!$K$225=0,"",[2]对账明细接口!$K$225),"")</f>
        <v/>
      </c>
      <c r="L225" s="16" t="str">
        <f>IFERROR(IF([2]对账明细接口!$L$225=0,"",[2]对账明细接口!$L$225),"")</f>
        <v/>
      </c>
      <c r="M225" s="16" t="str">
        <f>IFERROR(IF([2]对账明细接口!$M$225=0,"",[2]对账明细接口!$M$225),"")</f>
        <v/>
      </c>
      <c r="N225" s="19">
        <f t="shared" si="18"/>
        <v>0</v>
      </c>
      <c r="O225" s="19">
        <f t="shared" si="19"/>
        <v>165</v>
      </c>
      <c r="S225" s="20" t="str">
        <f>IFERROR(IF([2]对账明细接口!$N225=0,"",[2]对账明细接口!$N225),"")</f>
        <v/>
      </c>
      <c r="T225" s="21" t="str">
        <f>IFERROR(IF([2]对账明细接口!$O225=0,"",[2]对账明细接口!$O225),"")</f>
        <v/>
      </c>
      <c r="U225" s="21" t="str">
        <f>IFERROR(IF([2]对账明细接口!$P225=0,"",[2]对账明细接口!$P225),"")</f>
        <v/>
      </c>
      <c r="V225" s="21" t="str">
        <f>IFERROR(IF([2]对账明细接口!$Q225=0,"",[2]对账明细接口!$Q225),"")</f>
        <v/>
      </c>
      <c r="W225" s="20" t="str">
        <f>IFERROR(IF([2]对账明细接口!$R225=0,"",[2]对账明细接口!$R225),"")</f>
        <v/>
      </c>
      <c r="X225" s="20" t="str">
        <f>IFERROR(IF([2]对账明细接口!$S225=0,"",[2]对账明细接口!$S225),"")</f>
        <v/>
      </c>
      <c r="Y225" s="20" t="str">
        <f t="shared" si="20"/>
        <v/>
      </c>
      <c r="Z225" s="20" t="str">
        <f t="shared" si="21"/>
        <v/>
      </c>
      <c r="AA225" s="20" t="str">
        <f t="shared" si="22"/>
        <v/>
      </c>
      <c r="AB225" s="20" t="str">
        <f t="shared" si="23"/>
        <v/>
      </c>
    </row>
    <row r="226" customHeight="1" spans="1:28">
      <c r="A226" s="14">
        <v>226</v>
      </c>
      <c r="B226" s="15" t="str">
        <f>IFERROR(IF([2]对账明细接口!$B$226=0,"",[2]对账明细接口!$B$226),"")</f>
        <v/>
      </c>
      <c r="C226" s="16" t="str">
        <f>IFERROR(IF([2]对账明细接口!$C$226=0,"",[2]对账明细接口!$C$226),"")</f>
        <v/>
      </c>
      <c r="D226" s="16" t="str">
        <f>IFERROR(IF([2]对账明细接口!$D$226=0,"",[2]对账明细接口!$D$226),"")</f>
        <v/>
      </c>
      <c r="E226" s="16" t="str">
        <f>IFERROR(IF([2]对账明细接口!$E$226=0,"",[2]对账明细接口!$E$226),"")</f>
        <v/>
      </c>
      <c r="F226" s="16" t="str">
        <f>IFERROR(IF([2]对账明细接口!$F$226=0,"",[2]对账明细接口!$F$226),"")</f>
        <v/>
      </c>
      <c r="G226" s="16" t="str">
        <f>IFERROR(IF([2]对账明细接口!$G$226=0,"",[2]对账明细接口!$G$226),"")</f>
        <v/>
      </c>
      <c r="H226" s="17" t="str">
        <f>IFERROR(IF([2]对账明细接口!$H$226=0,"",[2]对账明细接口!$H$226),"")</f>
        <v/>
      </c>
      <c r="I226" s="16" t="str">
        <f>IFERROR(IF([2]对账明细接口!$I$226=0,"",[2]对账明细接口!$I$226),"")</f>
        <v/>
      </c>
      <c r="J226" s="18" t="str">
        <f>IFERROR(IF([2]对账明细接口!$J$226=0,"",[2]对账明细接口!$J$226),"")</f>
        <v/>
      </c>
      <c r="K226" s="18" t="str">
        <f>IFERROR(IF([2]对账明细接口!$K$226=0,"",[2]对账明细接口!$K$226),"")</f>
        <v/>
      </c>
      <c r="L226" s="16" t="str">
        <f>IFERROR(IF([2]对账明细接口!$L$226=0,"",[2]对账明细接口!$L$226),"")</f>
        <v/>
      </c>
      <c r="M226" s="16" t="str">
        <f>IFERROR(IF([2]对账明细接口!$M$226=0,"",[2]对账明细接口!$M$226),"")</f>
        <v/>
      </c>
      <c r="N226" s="19">
        <f t="shared" si="18"/>
        <v>0</v>
      </c>
      <c r="O226" s="19">
        <f t="shared" si="19"/>
        <v>165</v>
      </c>
      <c r="S226" s="20" t="str">
        <f>IFERROR(IF([2]对账明细接口!$N226=0,"",[2]对账明细接口!$N226),"")</f>
        <v/>
      </c>
      <c r="T226" s="21" t="str">
        <f>IFERROR(IF([2]对账明细接口!$O226=0,"",[2]对账明细接口!$O226),"")</f>
        <v/>
      </c>
      <c r="U226" s="21" t="str">
        <f>IFERROR(IF([2]对账明细接口!$P226=0,"",[2]对账明细接口!$P226),"")</f>
        <v/>
      </c>
      <c r="V226" s="21" t="str">
        <f>IFERROR(IF([2]对账明细接口!$Q226=0,"",[2]对账明细接口!$Q226),"")</f>
        <v/>
      </c>
      <c r="W226" s="20" t="str">
        <f>IFERROR(IF([2]对账明细接口!$R226=0,"",[2]对账明细接口!$R226),"")</f>
        <v/>
      </c>
      <c r="X226" s="20" t="str">
        <f>IFERROR(IF([2]对账明细接口!$S226=0,"",[2]对账明细接口!$S226),"")</f>
        <v/>
      </c>
      <c r="Y226" s="20" t="str">
        <f t="shared" si="20"/>
        <v/>
      </c>
      <c r="Z226" s="20" t="str">
        <f t="shared" si="21"/>
        <v/>
      </c>
      <c r="AA226" s="20" t="str">
        <f t="shared" si="22"/>
        <v/>
      </c>
      <c r="AB226" s="20" t="str">
        <f t="shared" si="23"/>
        <v/>
      </c>
    </row>
    <row r="227" customHeight="1" spans="1:28">
      <c r="A227" s="14">
        <v>227</v>
      </c>
      <c r="B227" s="15" t="str">
        <f>IFERROR(IF([2]对账明细接口!$B$227=0,"",[2]对账明细接口!$B$227),"")</f>
        <v/>
      </c>
      <c r="C227" s="16" t="str">
        <f>IFERROR(IF([2]对账明细接口!$C$227=0,"",[2]对账明细接口!$C$227),"")</f>
        <v/>
      </c>
      <c r="D227" s="16" t="str">
        <f>IFERROR(IF([2]对账明细接口!$D$227=0,"",[2]对账明细接口!$D$227),"")</f>
        <v/>
      </c>
      <c r="E227" s="16" t="str">
        <f>IFERROR(IF([2]对账明细接口!$E$227=0,"",[2]对账明细接口!$E$227),"")</f>
        <v/>
      </c>
      <c r="F227" s="16" t="str">
        <f>IFERROR(IF([2]对账明细接口!$F$227=0,"",[2]对账明细接口!$F$227),"")</f>
        <v/>
      </c>
      <c r="G227" s="16" t="str">
        <f>IFERROR(IF([2]对账明细接口!$G$227=0,"",[2]对账明细接口!$G$227),"")</f>
        <v/>
      </c>
      <c r="H227" s="17" t="str">
        <f>IFERROR(IF([2]对账明细接口!$H$227=0,"",[2]对账明细接口!$H$227),"")</f>
        <v/>
      </c>
      <c r="I227" s="16" t="str">
        <f>IFERROR(IF([2]对账明细接口!$I$227=0,"",[2]对账明细接口!$I$227),"")</f>
        <v/>
      </c>
      <c r="J227" s="18" t="str">
        <f>IFERROR(IF([2]对账明细接口!$J$227=0,"",[2]对账明细接口!$J$227),"")</f>
        <v/>
      </c>
      <c r="K227" s="18" t="str">
        <f>IFERROR(IF([2]对账明细接口!$K$227=0,"",[2]对账明细接口!$K$227),"")</f>
        <v/>
      </c>
      <c r="L227" s="16" t="str">
        <f>IFERROR(IF([2]对账明细接口!$L$227=0,"",[2]对账明细接口!$L$227),"")</f>
        <v/>
      </c>
      <c r="M227" s="16" t="str">
        <f>IFERROR(IF([2]对账明细接口!$M$227=0,"",[2]对账明细接口!$M$227),"")</f>
        <v/>
      </c>
      <c r="N227" s="19">
        <f t="shared" si="18"/>
        <v>0</v>
      </c>
      <c r="O227" s="19">
        <f t="shared" si="19"/>
        <v>165</v>
      </c>
      <c r="S227" s="20" t="str">
        <f>IFERROR(IF([2]对账明细接口!$N227=0,"",[2]对账明细接口!$N227),"")</f>
        <v/>
      </c>
      <c r="T227" s="21" t="str">
        <f>IFERROR(IF([2]对账明细接口!$O227=0,"",[2]对账明细接口!$O227),"")</f>
        <v/>
      </c>
      <c r="U227" s="21" t="str">
        <f>IFERROR(IF([2]对账明细接口!$P227=0,"",[2]对账明细接口!$P227),"")</f>
        <v/>
      </c>
      <c r="V227" s="21" t="str">
        <f>IFERROR(IF([2]对账明细接口!$Q227=0,"",[2]对账明细接口!$Q227),"")</f>
        <v/>
      </c>
      <c r="W227" s="20" t="str">
        <f>IFERROR(IF([2]对账明细接口!$R227=0,"",[2]对账明细接口!$R227),"")</f>
        <v/>
      </c>
      <c r="X227" s="20" t="str">
        <f>IFERROR(IF([2]对账明细接口!$S227=0,"",[2]对账明细接口!$S227),"")</f>
        <v/>
      </c>
      <c r="Y227" s="20" t="str">
        <f t="shared" si="20"/>
        <v/>
      </c>
      <c r="Z227" s="20" t="str">
        <f t="shared" si="21"/>
        <v/>
      </c>
      <c r="AA227" s="20" t="str">
        <f t="shared" si="22"/>
        <v/>
      </c>
      <c r="AB227" s="20" t="str">
        <f t="shared" si="23"/>
        <v/>
      </c>
    </row>
    <row r="228" customHeight="1" spans="1:28">
      <c r="A228" s="14">
        <v>228</v>
      </c>
      <c r="B228" s="15" t="str">
        <f>IFERROR(IF([2]对账明细接口!$B$228=0,"",[2]对账明细接口!$B$228),"")</f>
        <v/>
      </c>
      <c r="C228" s="16" t="str">
        <f>IFERROR(IF([2]对账明细接口!$C$228=0,"",[2]对账明细接口!$C$228),"")</f>
        <v/>
      </c>
      <c r="D228" s="16" t="str">
        <f>IFERROR(IF([2]对账明细接口!$D$228=0,"",[2]对账明细接口!$D$228),"")</f>
        <v/>
      </c>
      <c r="E228" s="16" t="str">
        <f>IFERROR(IF([2]对账明细接口!$E$228=0,"",[2]对账明细接口!$E$228),"")</f>
        <v/>
      </c>
      <c r="F228" s="16" t="str">
        <f>IFERROR(IF([2]对账明细接口!$F$228=0,"",[2]对账明细接口!$F$228),"")</f>
        <v/>
      </c>
      <c r="G228" s="16" t="str">
        <f>IFERROR(IF([2]对账明细接口!$G$228=0,"",[2]对账明细接口!$G$228),"")</f>
        <v/>
      </c>
      <c r="H228" s="17" t="str">
        <f>IFERROR(IF([2]对账明细接口!$H$228=0,"",[2]对账明细接口!$H$228),"")</f>
        <v/>
      </c>
      <c r="I228" s="16" t="str">
        <f>IFERROR(IF([2]对账明细接口!$I$228=0,"",[2]对账明细接口!$I$228),"")</f>
        <v/>
      </c>
      <c r="J228" s="18" t="str">
        <f>IFERROR(IF([2]对账明细接口!$J$228=0,"",[2]对账明细接口!$J$228),"")</f>
        <v/>
      </c>
      <c r="K228" s="18" t="str">
        <f>IFERROR(IF([2]对账明细接口!$K$228=0,"",[2]对账明细接口!$K$228),"")</f>
        <v/>
      </c>
      <c r="L228" s="16" t="str">
        <f>IFERROR(IF([2]对账明细接口!$L$228=0,"",[2]对账明细接口!$L$228),"")</f>
        <v/>
      </c>
      <c r="M228" s="16" t="str">
        <f>IFERROR(IF([2]对账明细接口!$M$228=0,"",[2]对账明细接口!$M$228),"")</f>
        <v/>
      </c>
      <c r="N228" s="19">
        <f t="shared" si="18"/>
        <v>0</v>
      </c>
      <c r="O228" s="19">
        <f t="shared" si="19"/>
        <v>165</v>
      </c>
      <c r="S228" s="20" t="str">
        <f>IFERROR(IF([2]对账明细接口!$N228=0,"",[2]对账明细接口!$N228),"")</f>
        <v/>
      </c>
      <c r="T228" s="21" t="str">
        <f>IFERROR(IF([2]对账明细接口!$O228=0,"",[2]对账明细接口!$O228),"")</f>
        <v/>
      </c>
      <c r="U228" s="21" t="str">
        <f>IFERROR(IF([2]对账明细接口!$P228=0,"",[2]对账明细接口!$P228),"")</f>
        <v/>
      </c>
      <c r="V228" s="21" t="str">
        <f>IFERROR(IF([2]对账明细接口!$Q228=0,"",[2]对账明细接口!$Q228),"")</f>
        <v/>
      </c>
      <c r="W228" s="20" t="str">
        <f>IFERROR(IF([2]对账明细接口!$R228=0,"",[2]对账明细接口!$R228),"")</f>
        <v/>
      </c>
      <c r="X228" s="20" t="str">
        <f>IFERROR(IF([2]对账明细接口!$S228=0,"",[2]对账明细接口!$S228),"")</f>
        <v/>
      </c>
      <c r="Y228" s="20" t="str">
        <f t="shared" si="20"/>
        <v/>
      </c>
      <c r="Z228" s="20" t="str">
        <f t="shared" si="21"/>
        <v/>
      </c>
      <c r="AA228" s="20" t="str">
        <f t="shared" si="22"/>
        <v/>
      </c>
      <c r="AB228" s="20" t="str">
        <f t="shared" si="23"/>
        <v/>
      </c>
    </row>
    <row r="229" customHeight="1" spans="1:28">
      <c r="A229" s="14">
        <v>229</v>
      </c>
      <c r="B229" s="15" t="str">
        <f>IFERROR(IF([2]对账明细接口!$B$229=0,"",[2]对账明细接口!$B$229),"")</f>
        <v/>
      </c>
      <c r="C229" s="16" t="str">
        <f>IFERROR(IF([2]对账明细接口!$C$229=0,"",[2]对账明细接口!$C$229),"")</f>
        <v/>
      </c>
      <c r="D229" s="16" t="str">
        <f>IFERROR(IF([2]对账明细接口!$D$229=0,"",[2]对账明细接口!$D$229),"")</f>
        <v/>
      </c>
      <c r="E229" s="16" t="str">
        <f>IFERROR(IF([2]对账明细接口!$E$229=0,"",[2]对账明细接口!$E$229),"")</f>
        <v/>
      </c>
      <c r="F229" s="16" t="str">
        <f>IFERROR(IF([2]对账明细接口!$F$229=0,"",[2]对账明细接口!$F$229),"")</f>
        <v/>
      </c>
      <c r="G229" s="16" t="str">
        <f>IFERROR(IF([2]对账明细接口!$G$229=0,"",[2]对账明细接口!$G$229),"")</f>
        <v/>
      </c>
      <c r="H229" s="17" t="str">
        <f>IFERROR(IF([2]对账明细接口!$H$229=0,"",[2]对账明细接口!$H$229),"")</f>
        <v/>
      </c>
      <c r="I229" s="16" t="str">
        <f>IFERROR(IF([2]对账明细接口!$I$229=0,"",[2]对账明细接口!$I$229),"")</f>
        <v/>
      </c>
      <c r="J229" s="18" t="str">
        <f>IFERROR(IF([2]对账明细接口!$J$229=0,"",[2]对账明细接口!$J$229),"")</f>
        <v/>
      </c>
      <c r="K229" s="18" t="str">
        <f>IFERROR(IF([2]对账明细接口!$K$229=0,"",[2]对账明细接口!$K$229),"")</f>
        <v/>
      </c>
      <c r="L229" s="16" t="str">
        <f>IFERROR(IF([2]对账明细接口!$L$229=0,"",[2]对账明细接口!$L$229),"")</f>
        <v/>
      </c>
      <c r="M229" s="16" t="str">
        <f>IFERROR(IF([2]对账明细接口!$M$229=0,"",[2]对账明细接口!$M$229),"")</f>
        <v/>
      </c>
      <c r="N229" s="19">
        <f t="shared" si="18"/>
        <v>0</v>
      </c>
      <c r="O229" s="19">
        <f t="shared" si="19"/>
        <v>165</v>
      </c>
      <c r="S229" s="20" t="str">
        <f>IFERROR(IF([2]对账明细接口!$N229=0,"",[2]对账明细接口!$N229),"")</f>
        <v/>
      </c>
      <c r="T229" s="21" t="str">
        <f>IFERROR(IF([2]对账明细接口!$O229=0,"",[2]对账明细接口!$O229),"")</f>
        <v/>
      </c>
      <c r="U229" s="21" t="str">
        <f>IFERROR(IF([2]对账明细接口!$P229=0,"",[2]对账明细接口!$P229),"")</f>
        <v/>
      </c>
      <c r="V229" s="21" t="str">
        <f>IFERROR(IF([2]对账明细接口!$Q229=0,"",[2]对账明细接口!$Q229),"")</f>
        <v/>
      </c>
      <c r="W229" s="20" t="str">
        <f>IFERROR(IF([2]对账明细接口!$R229=0,"",[2]对账明细接口!$R229),"")</f>
        <v/>
      </c>
      <c r="X229" s="20" t="str">
        <f>IFERROR(IF([2]对账明细接口!$S229=0,"",[2]对账明细接口!$S229),"")</f>
        <v/>
      </c>
      <c r="Y229" s="20" t="str">
        <f t="shared" si="20"/>
        <v/>
      </c>
      <c r="Z229" s="20" t="str">
        <f t="shared" si="21"/>
        <v/>
      </c>
      <c r="AA229" s="20" t="str">
        <f t="shared" si="22"/>
        <v/>
      </c>
      <c r="AB229" s="20" t="str">
        <f t="shared" si="23"/>
        <v/>
      </c>
    </row>
    <row r="230" customHeight="1" spans="1:28">
      <c r="A230" s="14">
        <v>230</v>
      </c>
      <c r="B230" s="15" t="str">
        <f>IFERROR(IF([2]对账明细接口!$B$230=0,"",[2]对账明细接口!$B$230),"")</f>
        <v/>
      </c>
      <c r="C230" s="16" t="str">
        <f>IFERROR(IF([2]对账明细接口!$C$230=0,"",[2]对账明细接口!$C$230),"")</f>
        <v/>
      </c>
      <c r="D230" s="16" t="str">
        <f>IFERROR(IF([2]对账明细接口!$D$230=0,"",[2]对账明细接口!$D$230),"")</f>
        <v/>
      </c>
      <c r="E230" s="16" t="str">
        <f>IFERROR(IF([2]对账明细接口!$E$230=0,"",[2]对账明细接口!$E$230),"")</f>
        <v/>
      </c>
      <c r="F230" s="16" t="str">
        <f>IFERROR(IF([2]对账明细接口!$F$230=0,"",[2]对账明细接口!$F$230),"")</f>
        <v/>
      </c>
      <c r="G230" s="16" t="str">
        <f>IFERROR(IF([2]对账明细接口!$G$230=0,"",[2]对账明细接口!$G$230),"")</f>
        <v/>
      </c>
      <c r="H230" s="17" t="str">
        <f>IFERROR(IF([2]对账明细接口!$H$230=0,"",[2]对账明细接口!$H$230),"")</f>
        <v/>
      </c>
      <c r="I230" s="16" t="str">
        <f>IFERROR(IF([2]对账明细接口!$I$230=0,"",[2]对账明细接口!$I$230),"")</f>
        <v/>
      </c>
      <c r="J230" s="18" t="str">
        <f>IFERROR(IF([2]对账明细接口!$J$230=0,"",[2]对账明细接口!$J$230),"")</f>
        <v/>
      </c>
      <c r="K230" s="18" t="str">
        <f>IFERROR(IF([2]对账明细接口!$K$230=0,"",[2]对账明细接口!$K$230),"")</f>
        <v/>
      </c>
      <c r="L230" s="16" t="str">
        <f>IFERROR(IF([2]对账明细接口!$L$230=0,"",[2]对账明细接口!$L$230),"")</f>
        <v/>
      </c>
      <c r="M230" s="16" t="str">
        <f>IFERROR(IF([2]对账明细接口!$M$230=0,"",[2]对账明细接口!$M$230),"")</f>
        <v/>
      </c>
      <c r="N230" s="19">
        <f t="shared" si="18"/>
        <v>0</v>
      </c>
      <c r="O230" s="19">
        <f t="shared" si="19"/>
        <v>165</v>
      </c>
      <c r="S230" s="20" t="str">
        <f>IFERROR(IF([2]对账明细接口!$N230=0,"",[2]对账明细接口!$N230),"")</f>
        <v/>
      </c>
      <c r="T230" s="21" t="str">
        <f>IFERROR(IF([2]对账明细接口!$O230=0,"",[2]对账明细接口!$O230),"")</f>
        <v/>
      </c>
      <c r="U230" s="21" t="str">
        <f>IFERROR(IF([2]对账明细接口!$P230=0,"",[2]对账明细接口!$P230),"")</f>
        <v/>
      </c>
      <c r="V230" s="21" t="str">
        <f>IFERROR(IF([2]对账明细接口!$Q230=0,"",[2]对账明细接口!$Q230),"")</f>
        <v/>
      </c>
      <c r="W230" s="20" t="str">
        <f>IFERROR(IF([2]对账明细接口!$R230=0,"",[2]对账明细接口!$R230),"")</f>
        <v/>
      </c>
      <c r="X230" s="20" t="str">
        <f>IFERROR(IF([2]对账明细接口!$S230=0,"",[2]对账明细接口!$S230),"")</f>
        <v/>
      </c>
      <c r="Y230" s="20" t="str">
        <f t="shared" si="20"/>
        <v/>
      </c>
      <c r="Z230" s="20" t="str">
        <f t="shared" si="21"/>
        <v/>
      </c>
      <c r="AA230" s="20" t="str">
        <f t="shared" si="22"/>
        <v/>
      </c>
      <c r="AB230" s="20" t="str">
        <f t="shared" si="23"/>
        <v/>
      </c>
    </row>
    <row r="231" customHeight="1" spans="1:28">
      <c r="A231" s="14">
        <v>231</v>
      </c>
      <c r="B231" s="15" t="str">
        <f>IFERROR(IF([2]对账明细接口!$B$231=0,"",[2]对账明细接口!$B$231),"")</f>
        <v/>
      </c>
      <c r="C231" s="16" t="str">
        <f>IFERROR(IF([2]对账明细接口!$C$231=0,"",[2]对账明细接口!$C$231),"")</f>
        <v/>
      </c>
      <c r="D231" s="16" t="str">
        <f>IFERROR(IF([2]对账明细接口!$D$231=0,"",[2]对账明细接口!$D$231),"")</f>
        <v/>
      </c>
      <c r="E231" s="16" t="str">
        <f>IFERROR(IF([2]对账明细接口!$E$231=0,"",[2]对账明细接口!$E$231),"")</f>
        <v/>
      </c>
      <c r="F231" s="16" t="str">
        <f>IFERROR(IF([2]对账明细接口!$F$231=0,"",[2]对账明细接口!$F$231),"")</f>
        <v/>
      </c>
      <c r="G231" s="16" t="str">
        <f>IFERROR(IF([2]对账明细接口!$G$231=0,"",[2]对账明细接口!$G$231),"")</f>
        <v/>
      </c>
      <c r="H231" s="17" t="str">
        <f>IFERROR(IF([2]对账明细接口!$H$231=0,"",[2]对账明细接口!$H$231),"")</f>
        <v/>
      </c>
      <c r="I231" s="16" t="str">
        <f>IFERROR(IF([2]对账明细接口!$I$231=0,"",[2]对账明细接口!$I$231),"")</f>
        <v/>
      </c>
      <c r="J231" s="18" t="str">
        <f>IFERROR(IF([2]对账明细接口!$J$231=0,"",[2]对账明细接口!$J$231),"")</f>
        <v/>
      </c>
      <c r="K231" s="18" t="str">
        <f>IFERROR(IF([2]对账明细接口!$K$231=0,"",[2]对账明细接口!$K$231),"")</f>
        <v/>
      </c>
      <c r="L231" s="16" t="str">
        <f>IFERROR(IF([2]对账明细接口!$L$231=0,"",[2]对账明细接口!$L$231),"")</f>
        <v/>
      </c>
      <c r="M231" s="16" t="str">
        <f>IFERROR(IF([2]对账明细接口!$M$231=0,"",[2]对账明细接口!$M$231),"")</f>
        <v/>
      </c>
      <c r="N231" s="19">
        <f t="shared" si="18"/>
        <v>0</v>
      </c>
      <c r="O231" s="19">
        <f t="shared" si="19"/>
        <v>165</v>
      </c>
      <c r="S231" s="20" t="str">
        <f>IFERROR(IF([2]对账明细接口!$N231=0,"",[2]对账明细接口!$N231),"")</f>
        <v/>
      </c>
      <c r="T231" s="21" t="str">
        <f>IFERROR(IF([2]对账明细接口!$O231=0,"",[2]对账明细接口!$O231),"")</f>
        <v/>
      </c>
      <c r="U231" s="21" t="str">
        <f>IFERROR(IF([2]对账明细接口!$P231=0,"",[2]对账明细接口!$P231),"")</f>
        <v/>
      </c>
      <c r="V231" s="21" t="str">
        <f>IFERROR(IF([2]对账明细接口!$Q231=0,"",[2]对账明细接口!$Q231),"")</f>
        <v/>
      </c>
      <c r="W231" s="20" t="str">
        <f>IFERROR(IF([2]对账明细接口!$R231=0,"",[2]对账明细接口!$R231),"")</f>
        <v/>
      </c>
      <c r="X231" s="20" t="str">
        <f>IFERROR(IF([2]对账明细接口!$S231=0,"",[2]对账明细接口!$S231),"")</f>
        <v/>
      </c>
      <c r="Y231" s="20" t="str">
        <f t="shared" si="20"/>
        <v/>
      </c>
      <c r="Z231" s="20" t="str">
        <f t="shared" si="21"/>
        <v/>
      </c>
      <c r="AA231" s="20" t="str">
        <f t="shared" si="22"/>
        <v/>
      </c>
      <c r="AB231" s="20" t="str">
        <f t="shared" si="23"/>
        <v/>
      </c>
    </row>
    <row r="232" customHeight="1" spans="1:28">
      <c r="A232" s="14">
        <v>232</v>
      </c>
      <c r="B232" s="15" t="str">
        <f>IFERROR(IF([2]对账明细接口!$B$232=0,"",[2]对账明细接口!$B$232),"")</f>
        <v/>
      </c>
      <c r="C232" s="16" t="str">
        <f>IFERROR(IF([2]对账明细接口!$C$232=0,"",[2]对账明细接口!$C$232),"")</f>
        <v/>
      </c>
      <c r="D232" s="16" t="str">
        <f>IFERROR(IF([2]对账明细接口!$D$232=0,"",[2]对账明细接口!$D$232),"")</f>
        <v/>
      </c>
      <c r="E232" s="16" t="str">
        <f>IFERROR(IF([2]对账明细接口!$E$232=0,"",[2]对账明细接口!$E$232),"")</f>
        <v/>
      </c>
      <c r="F232" s="16" t="str">
        <f>IFERROR(IF([2]对账明细接口!$F$232=0,"",[2]对账明细接口!$F$232),"")</f>
        <v/>
      </c>
      <c r="G232" s="16" t="str">
        <f>IFERROR(IF([2]对账明细接口!$G$232=0,"",[2]对账明细接口!$G$232),"")</f>
        <v/>
      </c>
      <c r="H232" s="17" t="str">
        <f>IFERROR(IF([2]对账明细接口!$H$232=0,"",[2]对账明细接口!$H$232),"")</f>
        <v/>
      </c>
      <c r="I232" s="16" t="str">
        <f>IFERROR(IF([2]对账明细接口!$I$232=0,"",[2]对账明细接口!$I$232),"")</f>
        <v/>
      </c>
      <c r="J232" s="18" t="str">
        <f>IFERROR(IF([2]对账明细接口!$J$232=0,"",[2]对账明细接口!$J$232),"")</f>
        <v/>
      </c>
      <c r="K232" s="18" t="str">
        <f>IFERROR(IF([2]对账明细接口!$K$232=0,"",[2]对账明细接口!$K$232),"")</f>
        <v/>
      </c>
      <c r="L232" s="16" t="str">
        <f>IFERROR(IF([2]对账明细接口!$L$232=0,"",[2]对账明细接口!$L$232),"")</f>
        <v/>
      </c>
      <c r="M232" s="16" t="str">
        <f>IFERROR(IF([2]对账明细接口!$M$232=0,"",[2]对账明细接口!$M$232),"")</f>
        <v/>
      </c>
      <c r="N232" s="19">
        <f t="shared" si="18"/>
        <v>0</v>
      </c>
      <c r="O232" s="19">
        <f t="shared" si="19"/>
        <v>165</v>
      </c>
      <c r="S232" s="20" t="str">
        <f>IFERROR(IF([2]对账明细接口!$N232=0,"",[2]对账明细接口!$N232),"")</f>
        <v/>
      </c>
      <c r="T232" s="21" t="str">
        <f>IFERROR(IF([2]对账明细接口!$O232=0,"",[2]对账明细接口!$O232),"")</f>
        <v/>
      </c>
      <c r="U232" s="21" t="str">
        <f>IFERROR(IF([2]对账明细接口!$P232=0,"",[2]对账明细接口!$P232),"")</f>
        <v/>
      </c>
      <c r="V232" s="21" t="str">
        <f>IFERROR(IF([2]对账明细接口!$Q232=0,"",[2]对账明细接口!$Q232),"")</f>
        <v/>
      </c>
      <c r="W232" s="20" t="str">
        <f>IFERROR(IF([2]对账明细接口!$R232=0,"",[2]对账明细接口!$R232),"")</f>
        <v/>
      </c>
      <c r="X232" s="20" t="str">
        <f>IFERROR(IF([2]对账明细接口!$S232=0,"",[2]对账明细接口!$S232),"")</f>
        <v/>
      </c>
      <c r="Y232" s="20" t="str">
        <f t="shared" si="20"/>
        <v/>
      </c>
      <c r="Z232" s="20" t="str">
        <f t="shared" si="21"/>
        <v/>
      </c>
      <c r="AA232" s="20" t="str">
        <f t="shared" si="22"/>
        <v/>
      </c>
      <c r="AB232" s="20" t="str">
        <f t="shared" si="23"/>
        <v/>
      </c>
    </row>
    <row r="233" customHeight="1" spans="1:28">
      <c r="A233" s="14">
        <v>233</v>
      </c>
      <c r="B233" s="15" t="str">
        <f>IFERROR(IF([2]对账明细接口!$B$233=0,"",[2]对账明细接口!$B$233),"")</f>
        <v/>
      </c>
      <c r="C233" s="16" t="str">
        <f>IFERROR(IF([2]对账明细接口!$C$233=0,"",[2]对账明细接口!$C$233),"")</f>
        <v/>
      </c>
      <c r="D233" s="16" t="str">
        <f>IFERROR(IF([2]对账明细接口!$D$233=0,"",[2]对账明细接口!$D$233),"")</f>
        <v/>
      </c>
      <c r="E233" s="16" t="str">
        <f>IFERROR(IF([2]对账明细接口!$E$233=0,"",[2]对账明细接口!$E$233),"")</f>
        <v/>
      </c>
      <c r="F233" s="16" t="str">
        <f>IFERROR(IF([2]对账明细接口!$F$233=0,"",[2]对账明细接口!$F$233),"")</f>
        <v/>
      </c>
      <c r="G233" s="16" t="str">
        <f>IFERROR(IF([2]对账明细接口!$G$233=0,"",[2]对账明细接口!$G$233),"")</f>
        <v/>
      </c>
      <c r="H233" s="17" t="str">
        <f>IFERROR(IF([2]对账明细接口!$H$233=0,"",[2]对账明细接口!$H$233),"")</f>
        <v/>
      </c>
      <c r="I233" s="16" t="str">
        <f>IFERROR(IF([2]对账明细接口!$I$233=0,"",[2]对账明细接口!$I$233),"")</f>
        <v/>
      </c>
      <c r="J233" s="18" t="str">
        <f>IFERROR(IF([2]对账明细接口!$J$233=0,"",[2]对账明细接口!$J$233),"")</f>
        <v/>
      </c>
      <c r="K233" s="18" t="str">
        <f>IFERROR(IF([2]对账明细接口!$K$233=0,"",[2]对账明细接口!$K$233),"")</f>
        <v/>
      </c>
      <c r="L233" s="16" t="str">
        <f>IFERROR(IF([2]对账明细接口!$L$233=0,"",[2]对账明细接口!$L$233),"")</f>
        <v/>
      </c>
      <c r="M233" s="16" t="str">
        <f>IFERROR(IF([2]对账明细接口!$M$233=0,"",[2]对账明细接口!$M$233),"")</f>
        <v/>
      </c>
      <c r="N233" s="19">
        <f t="shared" si="18"/>
        <v>0</v>
      </c>
      <c r="O233" s="19">
        <f t="shared" si="19"/>
        <v>165</v>
      </c>
      <c r="S233" s="20" t="str">
        <f>IFERROR(IF([2]对账明细接口!$N233=0,"",[2]对账明细接口!$N233),"")</f>
        <v/>
      </c>
      <c r="T233" s="21" t="str">
        <f>IFERROR(IF([2]对账明细接口!$O233=0,"",[2]对账明细接口!$O233),"")</f>
        <v/>
      </c>
      <c r="U233" s="21" t="str">
        <f>IFERROR(IF([2]对账明细接口!$P233=0,"",[2]对账明细接口!$P233),"")</f>
        <v/>
      </c>
      <c r="V233" s="21" t="str">
        <f>IFERROR(IF([2]对账明细接口!$Q233=0,"",[2]对账明细接口!$Q233),"")</f>
        <v/>
      </c>
      <c r="W233" s="20" t="str">
        <f>IFERROR(IF([2]对账明细接口!$R233=0,"",[2]对账明细接口!$R233),"")</f>
        <v/>
      </c>
      <c r="X233" s="20" t="str">
        <f>IFERROR(IF([2]对账明细接口!$S233=0,"",[2]对账明细接口!$S233),"")</f>
        <v/>
      </c>
      <c r="Y233" s="20" t="str">
        <f t="shared" si="20"/>
        <v/>
      </c>
      <c r="Z233" s="20" t="str">
        <f t="shared" si="21"/>
        <v/>
      </c>
      <c r="AA233" s="20" t="str">
        <f t="shared" si="22"/>
        <v/>
      </c>
      <c r="AB233" s="20" t="str">
        <f t="shared" si="23"/>
        <v/>
      </c>
    </row>
    <row r="234" customHeight="1" spans="1:28">
      <c r="A234" s="14">
        <v>234</v>
      </c>
      <c r="B234" s="15" t="str">
        <f>IFERROR(IF([2]对账明细接口!$B$234=0,"",[2]对账明细接口!$B$234),"")</f>
        <v/>
      </c>
      <c r="C234" s="16" t="str">
        <f>IFERROR(IF([2]对账明细接口!$C$234=0,"",[2]对账明细接口!$C$234),"")</f>
        <v/>
      </c>
      <c r="D234" s="16" t="str">
        <f>IFERROR(IF([2]对账明细接口!$D$234=0,"",[2]对账明细接口!$D$234),"")</f>
        <v/>
      </c>
      <c r="E234" s="16" t="str">
        <f>IFERROR(IF([2]对账明细接口!$E$234=0,"",[2]对账明细接口!$E$234),"")</f>
        <v/>
      </c>
      <c r="F234" s="16" t="str">
        <f>IFERROR(IF([2]对账明细接口!$F$234=0,"",[2]对账明细接口!$F$234),"")</f>
        <v/>
      </c>
      <c r="G234" s="16" t="str">
        <f>IFERROR(IF([2]对账明细接口!$G$234=0,"",[2]对账明细接口!$G$234),"")</f>
        <v/>
      </c>
      <c r="H234" s="17" t="str">
        <f>IFERROR(IF([2]对账明细接口!$H$234=0,"",[2]对账明细接口!$H$234),"")</f>
        <v/>
      </c>
      <c r="I234" s="16" t="str">
        <f>IFERROR(IF([2]对账明细接口!$I$234=0,"",[2]对账明细接口!$I$234),"")</f>
        <v/>
      </c>
      <c r="J234" s="18" t="str">
        <f>IFERROR(IF([2]对账明细接口!$J$234=0,"",[2]对账明细接口!$J$234),"")</f>
        <v/>
      </c>
      <c r="K234" s="18" t="str">
        <f>IFERROR(IF([2]对账明细接口!$K$234=0,"",[2]对账明细接口!$K$234),"")</f>
        <v/>
      </c>
      <c r="L234" s="16" t="str">
        <f>IFERROR(IF([2]对账明细接口!$L$234=0,"",[2]对账明细接口!$L$234),"")</f>
        <v/>
      </c>
      <c r="M234" s="16" t="str">
        <f>IFERROR(IF([2]对账明细接口!$M$234=0,"",[2]对账明细接口!$M$234),"")</f>
        <v/>
      </c>
      <c r="N234" s="19">
        <f t="shared" si="18"/>
        <v>0</v>
      </c>
      <c r="O234" s="19">
        <f t="shared" si="19"/>
        <v>165</v>
      </c>
      <c r="S234" s="20" t="str">
        <f>IFERROR(IF([2]对账明细接口!$N234=0,"",[2]对账明细接口!$N234),"")</f>
        <v/>
      </c>
      <c r="T234" s="21" t="str">
        <f>IFERROR(IF([2]对账明细接口!$O234=0,"",[2]对账明细接口!$O234),"")</f>
        <v/>
      </c>
      <c r="U234" s="21" t="str">
        <f>IFERROR(IF([2]对账明细接口!$P234=0,"",[2]对账明细接口!$P234),"")</f>
        <v/>
      </c>
      <c r="V234" s="21" t="str">
        <f>IFERROR(IF([2]对账明细接口!$Q234=0,"",[2]对账明细接口!$Q234),"")</f>
        <v/>
      </c>
      <c r="W234" s="20" t="str">
        <f>IFERROR(IF([2]对账明细接口!$R234=0,"",[2]对账明细接口!$R234),"")</f>
        <v/>
      </c>
      <c r="X234" s="20" t="str">
        <f>IFERROR(IF([2]对账明细接口!$S234=0,"",[2]对账明细接口!$S234),"")</f>
        <v/>
      </c>
      <c r="Y234" s="20" t="str">
        <f t="shared" si="20"/>
        <v/>
      </c>
      <c r="Z234" s="20" t="str">
        <f t="shared" si="21"/>
        <v/>
      </c>
      <c r="AA234" s="20" t="str">
        <f t="shared" si="22"/>
        <v/>
      </c>
      <c r="AB234" s="20" t="str">
        <f t="shared" si="23"/>
        <v/>
      </c>
    </row>
    <row r="235" customHeight="1" spans="1:28">
      <c r="A235" s="14">
        <v>235</v>
      </c>
      <c r="B235" s="15" t="str">
        <f>IFERROR(IF([2]对账明细接口!$B$235=0,"",[2]对账明细接口!$B$235),"")</f>
        <v/>
      </c>
      <c r="C235" s="16" t="str">
        <f>IFERROR(IF([2]对账明细接口!$C$235=0,"",[2]对账明细接口!$C$235),"")</f>
        <v/>
      </c>
      <c r="D235" s="16" t="str">
        <f>IFERROR(IF([2]对账明细接口!$D$235=0,"",[2]对账明细接口!$D$235),"")</f>
        <v/>
      </c>
      <c r="E235" s="16" t="str">
        <f>IFERROR(IF([2]对账明细接口!$E$235=0,"",[2]对账明细接口!$E$235),"")</f>
        <v/>
      </c>
      <c r="F235" s="16" t="str">
        <f>IFERROR(IF([2]对账明细接口!$F$235=0,"",[2]对账明细接口!$F$235),"")</f>
        <v/>
      </c>
      <c r="G235" s="16" t="str">
        <f>IFERROR(IF([2]对账明细接口!$G$235=0,"",[2]对账明细接口!$G$235),"")</f>
        <v/>
      </c>
      <c r="H235" s="17" t="str">
        <f>IFERROR(IF([2]对账明细接口!$H$235=0,"",[2]对账明细接口!$H$235),"")</f>
        <v/>
      </c>
      <c r="I235" s="16" t="str">
        <f>IFERROR(IF([2]对账明细接口!$I$235=0,"",[2]对账明细接口!$I$235),"")</f>
        <v/>
      </c>
      <c r="J235" s="18" t="str">
        <f>IFERROR(IF([2]对账明细接口!$J$235=0,"",[2]对账明细接口!$J$235),"")</f>
        <v/>
      </c>
      <c r="K235" s="18" t="str">
        <f>IFERROR(IF([2]对账明细接口!$K$235=0,"",[2]对账明细接口!$K$235),"")</f>
        <v/>
      </c>
      <c r="L235" s="16" t="str">
        <f>IFERROR(IF([2]对账明细接口!$L$235=0,"",[2]对账明细接口!$L$235),"")</f>
        <v/>
      </c>
      <c r="M235" s="16" t="str">
        <f>IFERROR(IF([2]对账明细接口!$M$235=0,"",[2]对账明细接口!$M$235),"")</f>
        <v/>
      </c>
      <c r="N235" s="19">
        <f t="shared" si="18"/>
        <v>0</v>
      </c>
      <c r="O235" s="19">
        <f t="shared" si="19"/>
        <v>165</v>
      </c>
      <c r="S235" s="20" t="str">
        <f>IFERROR(IF([2]对账明细接口!$N235=0,"",[2]对账明细接口!$N235),"")</f>
        <v/>
      </c>
      <c r="T235" s="21" t="str">
        <f>IFERROR(IF([2]对账明细接口!$O235=0,"",[2]对账明细接口!$O235),"")</f>
        <v/>
      </c>
      <c r="U235" s="21" t="str">
        <f>IFERROR(IF([2]对账明细接口!$P235=0,"",[2]对账明细接口!$P235),"")</f>
        <v/>
      </c>
      <c r="V235" s="21" t="str">
        <f>IFERROR(IF([2]对账明细接口!$Q235=0,"",[2]对账明细接口!$Q235),"")</f>
        <v/>
      </c>
      <c r="W235" s="20" t="str">
        <f>IFERROR(IF([2]对账明细接口!$R235=0,"",[2]对账明细接口!$R235),"")</f>
        <v/>
      </c>
      <c r="X235" s="20" t="str">
        <f>IFERROR(IF([2]对账明细接口!$S235=0,"",[2]对账明细接口!$S235),"")</f>
        <v/>
      </c>
      <c r="Y235" s="20" t="str">
        <f t="shared" si="20"/>
        <v/>
      </c>
      <c r="Z235" s="20" t="str">
        <f t="shared" si="21"/>
        <v/>
      </c>
      <c r="AA235" s="20" t="str">
        <f t="shared" si="22"/>
        <v/>
      </c>
      <c r="AB235" s="20" t="str">
        <f t="shared" si="23"/>
        <v/>
      </c>
    </row>
    <row r="236" customHeight="1" spans="1:28">
      <c r="A236" s="14">
        <v>236</v>
      </c>
      <c r="B236" s="15" t="str">
        <f>IFERROR(IF([2]对账明细接口!$B$236=0,"",[2]对账明细接口!$B$236),"")</f>
        <v/>
      </c>
      <c r="C236" s="16" t="str">
        <f>IFERROR(IF([2]对账明细接口!$C$236=0,"",[2]对账明细接口!$C$236),"")</f>
        <v/>
      </c>
      <c r="D236" s="16" t="str">
        <f>IFERROR(IF([2]对账明细接口!$D$236=0,"",[2]对账明细接口!$D$236),"")</f>
        <v/>
      </c>
      <c r="E236" s="16" t="str">
        <f>IFERROR(IF([2]对账明细接口!$E$236=0,"",[2]对账明细接口!$E$236),"")</f>
        <v/>
      </c>
      <c r="F236" s="16" t="str">
        <f>IFERROR(IF([2]对账明细接口!$F$236=0,"",[2]对账明细接口!$F$236),"")</f>
        <v/>
      </c>
      <c r="G236" s="16" t="str">
        <f>IFERROR(IF([2]对账明细接口!$G$236=0,"",[2]对账明细接口!$G$236),"")</f>
        <v/>
      </c>
      <c r="H236" s="17" t="str">
        <f>IFERROR(IF([2]对账明细接口!$H$236=0,"",[2]对账明细接口!$H$236),"")</f>
        <v/>
      </c>
      <c r="I236" s="16" t="str">
        <f>IFERROR(IF([2]对账明细接口!$I$236=0,"",[2]对账明细接口!$I$236),"")</f>
        <v/>
      </c>
      <c r="J236" s="18" t="str">
        <f>IFERROR(IF([2]对账明细接口!$J$236=0,"",[2]对账明细接口!$J$236),"")</f>
        <v/>
      </c>
      <c r="K236" s="18" t="str">
        <f>IFERROR(IF([2]对账明细接口!$K$236=0,"",[2]对账明细接口!$K$236),"")</f>
        <v/>
      </c>
      <c r="L236" s="16" t="str">
        <f>IFERROR(IF([2]对账明细接口!$L$236=0,"",[2]对账明细接口!$L$236),"")</f>
        <v/>
      </c>
      <c r="M236" s="16" t="str">
        <f>IFERROR(IF([2]对账明细接口!$M$236=0,"",[2]对账明细接口!$M$236),"")</f>
        <v/>
      </c>
      <c r="N236" s="19">
        <f t="shared" si="18"/>
        <v>0</v>
      </c>
      <c r="O236" s="19">
        <f t="shared" si="19"/>
        <v>165</v>
      </c>
      <c r="S236" s="20" t="str">
        <f>IFERROR(IF([2]对账明细接口!$N236=0,"",[2]对账明细接口!$N236),"")</f>
        <v/>
      </c>
      <c r="T236" s="21" t="str">
        <f>IFERROR(IF([2]对账明细接口!$O236=0,"",[2]对账明细接口!$O236),"")</f>
        <v/>
      </c>
      <c r="U236" s="21" t="str">
        <f>IFERROR(IF([2]对账明细接口!$P236=0,"",[2]对账明细接口!$P236),"")</f>
        <v/>
      </c>
      <c r="V236" s="21" t="str">
        <f>IFERROR(IF([2]对账明细接口!$Q236=0,"",[2]对账明细接口!$Q236),"")</f>
        <v/>
      </c>
      <c r="W236" s="20" t="str">
        <f>IFERROR(IF([2]对账明细接口!$R236=0,"",[2]对账明细接口!$R236),"")</f>
        <v/>
      </c>
      <c r="X236" s="20" t="str">
        <f>IFERROR(IF([2]对账明细接口!$S236=0,"",[2]对账明细接口!$S236),"")</f>
        <v/>
      </c>
      <c r="Y236" s="20" t="str">
        <f t="shared" si="20"/>
        <v/>
      </c>
      <c r="Z236" s="20" t="str">
        <f t="shared" si="21"/>
        <v/>
      </c>
      <c r="AA236" s="20" t="str">
        <f t="shared" si="22"/>
        <v/>
      </c>
      <c r="AB236" s="20" t="str">
        <f t="shared" si="23"/>
        <v/>
      </c>
    </row>
    <row r="237" customHeight="1" spans="1:28">
      <c r="A237" s="14">
        <v>237</v>
      </c>
      <c r="B237" s="15" t="str">
        <f>IFERROR(IF([2]对账明细接口!$B$237=0,"",[2]对账明细接口!$B$237),"")</f>
        <v/>
      </c>
      <c r="C237" s="16" t="str">
        <f>IFERROR(IF([2]对账明细接口!$C$237=0,"",[2]对账明细接口!$C$237),"")</f>
        <v/>
      </c>
      <c r="D237" s="16" t="str">
        <f>IFERROR(IF([2]对账明细接口!$D$237=0,"",[2]对账明细接口!$D$237),"")</f>
        <v/>
      </c>
      <c r="E237" s="16" t="str">
        <f>IFERROR(IF([2]对账明细接口!$E$237=0,"",[2]对账明细接口!$E$237),"")</f>
        <v/>
      </c>
      <c r="F237" s="16" t="str">
        <f>IFERROR(IF([2]对账明细接口!$F$237=0,"",[2]对账明细接口!$F$237),"")</f>
        <v/>
      </c>
      <c r="G237" s="16" t="str">
        <f>IFERROR(IF([2]对账明细接口!$G$237=0,"",[2]对账明细接口!$G$237),"")</f>
        <v/>
      </c>
      <c r="H237" s="17" t="str">
        <f>IFERROR(IF([2]对账明细接口!$H$237=0,"",[2]对账明细接口!$H$237),"")</f>
        <v/>
      </c>
      <c r="I237" s="16" t="str">
        <f>IFERROR(IF([2]对账明细接口!$I$237=0,"",[2]对账明细接口!$I$237),"")</f>
        <v/>
      </c>
      <c r="J237" s="18" t="str">
        <f>IFERROR(IF([2]对账明细接口!$J$237=0,"",[2]对账明细接口!$J$237),"")</f>
        <v/>
      </c>
      <c r="K237" s="18" t="str">
        <f>IFERROR(IF([2]对账明细接口!$K$237=0,"",[2]对账明细接口!$K$237),"")</f>
        <v/>
      </c>
      <c r="L237" s="16" t="str">
        <f>IFERROR(IF([2]对账明细接口!$L$237=0,"",[2]对账明细接口!$L$237),"")</f>
        <v/>
      </c>
      <c r="M237" s="16" t="str">
        <f>IFERROR(IF([2]对账明细接口!$M$237=0,"",[2]对账明细接口!$M$237),"")</f>
        <v/>
      </c>
      <c r="N237" s="19">
        <f t="shared" si="18"/>
        <v>0</v>
      </c>
      <c r="O237" s="19">
        <f t="shared" si="19"/>
        <v>165</v>
      </c>
      <c r="S237" s="20" t="str">
        <f>IFERROR(IF([2]对账明细接口!$N237=0,"",[2]对账明细接口!$N237),"")</f>
        <v/>
      </c>
      <c r="T237" s="21" t="str">
        <f>IFERROR(IF([2]对账明细接口!$O237=0,"",[2]对账明细接口!$O237),"")</f>
        <v/>
      </c>
      <c r="U237" s="21" t="str">
        <f>IFERROR(IF([2]对账明细接口!$P237=0,"",[2]对账明细接口!$P237),"")</f>
        <v/>
      </c>
      <c r="V237" s="21" t="str">
        <f>IFERROR(IF([2]对账明细接口!$Q237=0,"",[2]对账明细接口!$Q237),"")</f>
        <v/>
      </c>
      <c r="W237" s="20" t="str">
        <f>IFERROR(IF([2]对账明细接口!$R237=0,"",[2]对账明细接口!$R237),"")</f>
        <v/>
      </c>
      <c r="X237" s="20" t="str">
        <f>IFERROR(IF([2]对账明细接口!$S237=0,"",[2]对账明细接口!$S237),"")</f>
        <v/>
      </c>
      <c r="Y237" s="20" t="str">
        <f t="shared" si="20"/>
        <v/>
      </c>
      <c r="Z237" s="20" t="str">
        <f t="shared" si="21"/>
        <v/>
      </c>
      <c r="AA237" s="20" t="str">
        <f t="shared" si="22"/>
        <v/>
      </c>
      <c r="AB237" s="20" t="str">
        <f t="shared" si="23"/>
        <v/>
      </c>
    </row>
    <row r="238" customHeight="1" spans="1:28">
      <c r="A238" s="14">
        <v>238</v>
      </c>
      <c r="B238" s="15" t="str">
        <f>IFERROR(IF([2]对账明细接口!$B$238=0,"",[2]对账明细接口!$B$238),"")</f>
        <v/>
      </c>
      <c r="C238" s="16" t="str">
        <f>IFERROR(IF([2]对账明细接口!$C$238=0,"",[2]对账明细接口!$C$238),"")</f>
        <v/>
      </c>
      <c r="D238" s="16" t="str">
        <f>IFERROR(IF([2]对账明细接口!$D$238=0,"",[2]对账明细接口!$D$238),"")</f>
        <v/>
      </c>
      <c r="E238" s="16" t="str">
        <f>IFERROR(IF([2]对账明细接口!$E$238=0,"",[2]对账明细接口!$E$238),"")</f>
        <v/>
      </c>
      <c r="F238" s="16" t="str">
        <f>IFERROR(IF([2]对账明细接口!$F$238=0,"",[2]对账明细接口!$F$238),"")</f>
        <v/>
      </c>
      <c r="G238" s="16" t="str">
        <f>IFERROR(IF([2]对账明细接口!$G$238=0,"",[2]对账明细接口!$G$238),"")</f>
        <v/>
      </c>
      <c r="H238" s="17" t="str">
        <f>IFERROR(IF([2]对账明细接口!$H$238=0,"",[2]对账明细接口!$H$238),"")</f>
        <v/>
      </c>
      <c r="I238" s="16" t="str">
        <f>IFERROR(IF([2]对账明细接口!$I$238=0,"",[2]对账明细接口!$I$238),"")</f>
        <v/>
      </c>
      <c r="J238" s="18" t="str">
        <f>IFERROR(IF([2]对账明细接口!$J$238=0,"",[2]对账明细接口!$J$238),"")</f>
        <v/>
      </c>
      <c r="K238" s="18" t="str">
        <f>IFERROR(IF([2]对账明细接口!$K$238=0,"",[2]对账明细接口!$K$238),"")</f>
        <v/>
      </c>
      <c r="L238" s="16" t="str">
        <f>IFERROR(IF([2]对账明细接口!$L$238=0,"",[2]对账明细接口!$L$238),"")</f>
        <v/>
      </c>
      <c r="M238" s="16" t="str">
        <f>IFERROR(IF([2]对账明细接口!$M$238=0,"",[2]对账明细接口!$M$238),"")</f>
        <v/>
      </c>
      <c r="N238" s="19">
        <f t="shared" si="18"/>
        <v>0</v>
      </c>
      <c r="O238" s="19">
        <f t="shared" si="19"/>
        <v>165</v>
      </c>
      <c r="S238" s="20" t="str">
        <f>IFERROR(IF([2]对账明细接口!$N238=0,"",[2]对账明细接口!$N238),"")</f>
        <v/>
      </c>
      <c r="T238" s="21" t="str">
        <f>IFERROR(IF([2]对账明细接口!$O238=0,"",[2]对账明细接口!$O238),"")</f>
        <v/>
      </c>
      <c r="U238" s="21" t="str">
        <f>IFERROR(IF([2]对账明细接口!$P238=0,"",[2]对账明细接口!$P238),"")</f>
        <v/>
      </c>
      <c r="V238" s="21" t="str">
        <f>IFERROR(IF([2]对账明细接口!$Q238=0,"",[2]对账明细接口!$Q238),"")</f>
        <v/>
      </c>
      <c r="W238" s="20" t="str">
        <f>IFERROR(IF([2]对账明细接口!$R238=0,"",[2]对账明细接口!$R238),"")</f>
        <v/>
      </c>
      <c r="X238" s="20" t="str">
        <f>IFERROR(IF([2]对账明细接口!$S238=0,"",[2]对账明细接口!$S238),"")</f>
        <v/>
      </c>
      <c r="Y238" s="20" t="str">
        <f t="shared" si="20"/>
        <v/>
      </c>
      <c r="Z238" s="20" t="str">
        <f t="shared" si="21"/>
        <v/>
      </c>
      <c r="AA238" s="20" t="str">
        <f t="shared" si="22"/>
        <v/>
      </c>
      <c r="AB238" s="20" t="str">
        <f t="shared" si="23"/>
        <v/>
      </c>
    </row>
    <row r="239" customHeight="1" spans="1:28">
      <c r="A239" s="14">
        <v>239</v>
      </c>
      <c r="B239" s="15" t="str">
        <f>IFERROR(IF([2]对账明细接口!$B$239=0,"",[2]对账明细接口!$B$239),"")</f>
        <v/>
      </c>
      <c r="C239" s="16" t="str">
        <f>IFERROR(IF([2]对账明细接口!$C$239=0,"",[2]对账明细接口!$C$239),"")</f>
        <v/>
      </c>
      <c r="D239" s="16" t="str">
        <f>IFERROR(IF([2]对账明细接口!$D$239=0,"",[2]对账明细接口!$D$239),"")</f>
        <v/>
      </c>
      <c r="E239" s="16" t="str">
        <f>IFERROR(IF([2]对账明细接口!$E$239=0,"",[2]对账明细接口!$E$239),"")</f>
        <v/>
      </c>
      <c r="F239" s="16" t="str">
        <f>IFERROR(IF([2]对账明细接口!$F$239=0,"",[2]对账明细接口!$F$239),"")</f>
        <v/>
      </c>
      <c r="G239" s="16" t="str">
        <f>IFERROR(IF([2]对账明细接口!$G$239=0,"",[2]对账明细接口!$G$239),"")</f>
        <v/>
      </c>
      <c r="H239" s="17" t="str">
        <f>IFERROR(IF([2]对账明细接口!$H$239=0,"",[2]对账明细接口!$H$239),"")</f>
        <v/>
      </c>
      <c r="I239" s="16" t="str">
        <f>IFERROR(IF([2]对账明细接口!$I$239=0,"",[2]对账明细接口!$I$239),"")</f>
        <v/>
      </c>
      <c r="J239" s="18" t="str">
        <f>IFERROR(IF([2]对账明细接口!$J$239=0,"",[2]对账明细接口!$J$239),"")</f>
        <v/>
      </c>
      <c r="K239" s="18" t="str">
        <f>IFERROR(IF([2]对账明细接口!$K$239=0,"",[2]对账明细接口!$K$239),"")</f>
        <v/>
      </c>
      <c r="L239" s="16" t="str">
        <f>IFERROR(IF([2]对账明细接口!$L$239=0,"",[2]对账明细接口!$L$239),"")</f>
        <v/>
      </c>
      <c r="M239" s="16" t="str">
        <f>IFERROR(IF([2]对账明细接口!$M$239=0,"",[2]对账明细接口!$M$239),"")</f>
        <v/>
      </c>
      <c r="N239" s="19">
        <f t="shared" si="18"/>
        <v>0</v>
      </c>
      <c r="O239" s="19">
        <f t="shared" si="19"/>
        <v>165</v>
      </c>
      <c r="S239" s="20" t="str">
        <f>IFERROR(IF([2]对账明细接口!$N239=0,"",[2]对账明细接口!$N239),"")</f>
        <v/>
      </c>
      <c r="T239" s="21" t="str">
        <f>IFERROR(IF([2]对账明细接口!$O239=0,"",[2]对账明细接口!$O239),"")</f>
        <v/>
      </c>
      <c r="U239" s="21" t="str">
        <f>IFERROR(IF([2]对账明细接口!$P239=0,"",[2]对账明细接口!$P239),"")</f>
        <v/>
      </c>
      <c r="V239" s="21" t="str">
        <f>IFERROR(IF([2]对账明细接口!$Q239=0,"",[2]对账明细接口!$Q239),"")</f>
        <v/>
      </c>
      <c r="W239" s="20" t="str">
        <f>IFERROR(IF([2]对账明细接口!$R239=0,"",[2]对账明细接口!$R239),"")</f>
        <v/>
      </c>
      <c r="X239" s="20" t="str">
        <f>IFERROR(IF([2]对账明细接口!$S239=0,"",[2]对账明细接口!$S239),"")</f>
        <v/>
      </c>
      <c r="Y239" s="20" t="str">
        <f t="shared" si="20"/>
        <v/>
      </c>
      <c r="Z239" s="20" t="str">
        <f t="shared" si="21"/>
        <v/>
      </c>
      <c r="AA239" s="20" t="str">
        <f t="shared" si="22"/>
        <v/>
      </c>
      <c r="AB239" s="20" t="str">
        <f t="shared" si="23"/>
        <v/>
      </c>
    </row>
    <row r="240" customHeight="1" spans="1:28">
      <c r="A240" s="14">
        <v>240</v>
      </c>
      <c r="B240" s="15" t="str">
        <f>IFERROR(IF([2]对账明细接口!$B$240=0,"",[2]对账明细接口!$B$240),"")</f>
        <v/>
      </c>
      <c r="C240" s="16" t="str">
        <f>IFERROR(IF([2]对账明细接口!$C$240=0,"",[2]对账明细接口!$C$240),"")</f>
        <v/>
      </c>
      <c r="D240" s="16" t="str">
        <f>IFERROR(IF([2]对账明细接口!$D$240=0,"",[2]对账明细接口!$D$240),"")</f>
        <v/>
      </c>
      <c r="E240" s="16" t="str">
        <f>IFERROR(IF([2]对账明细接口!$E$240=0,"",[2]对账明细接口!$E$240),"")</f>
        <v/>
      </c>
      <c r="F240" s="16" t="str">
        <f>IFERROR(IF([2]对账明细接口!$F$240=0,"",[2]对账明细接口!$F$240),"")</f>
        <v/>
      </c>
      <c r="G240" s="16" t="str">
        <f>IFERROR(IF([2]对账明细接口!$G$240=0,"",[2]对账明细接口!$G$240),"")</f>
        <v/>
      </c>
      <c r="H240" s="17" t="str">
        <f>IFERROR(IF([2]对账明细接口!$H$240=0,"",[2]对账明细接口!$H$240),"")</f>
        <v/>
      </c>
      <c r="I240" s="16" t="str">
        <f>IFERROR(IF([2]对账明细接口!$I$240=0,"",[2]对账明细接口!$I$240),"")</f>
        <v/>
      </c>
      <c r="J240" s="18" t="str">
        <f>IFERROR(IF([2]对账明细接口!$J$240=0,"",[2]对账明细接口!$J$240),"")</f>
        <v/>
      </c>
      <c r="K240" s="18" t="str">
        <f>IFERROR(IF([2]对账明细接口!$K$240=0,"",[2]对账明细接口!$K$240),"")</f>
        <v/>
      </c>
      <c r="L240" s="16" t="str">
        <f>IFERROR(IF([2]对账明细接口!$L$240=0,"",[2]对账明细接口!$L$240),"")</f>
        <v/>
      </c>
      <c r="M240" s="16" t="str">
        <f>IFERROR(IF([2]对账明细接口!$M$240=0,"",[2]对账明细接口!$M$240),"")</f>
        <v/>
      </c>
      <c r="N240" s="19">
        <f t="shared" si="18"/>
        <v>0</v>
      </c>
      <c r="O240" s="19">
        <f t="shared" si="19"/>
        <v>165</v>
      </c>
      <c r="S240" s="20" t="str">
        <f>IFERROR(IF([2]对账明细接口!$N240=0,"",[2]对账明细接口!$N240),"")</f>
        <v/>
      </c>
      <c r="T240" s="21" t="str">
        <f>IFERROR(IF([2]对账明细接口!$O240=0,"",[2]对账明细接口!$O240),"")</f>
        <v/>
      </c>
      <c r="U240" s="21" t="str">
        <f>IFERROR(IF([2]对账明细接口!$P240=0,"",[2]对账明细接口!$P240),"")</f>
        <v/>
      </c>
      <c r="V240" s="21" t="str">
        <f>IFERROR(IF([2]对账明细接口!$Q240=0,"",[2]对账明细接口!$Q240),"")</f>
        <v/>
      </c>
      <c r="W240" s="20" t="str">
        <f>IFERROR(IF([2]对账明细接口!$R240=0,"",[2]对账明细接口!$R240),"")</f>
        <v/>
      </c>
      <c r="X240" s="20" t="str">
        <f>IFERROR(IF([2]对账明细接口!$S240=0,"",[2]对账明细接口!$S240),"")</f>
        <v/>
      </c>
      <c r="Y240" s="20" t="str">
        <f t="shared" si="20"/>
        <v/>
      </c>
      <c r="Z240" s="20" t="str">
        <f t="shared" si="21"/>
        <v/>
      </c>
      <c r="AA240" s="20" t="str">
        <f t="shared" si="22"/>
        <v/>
      </c>
      <c r="AB240" s="20" t="str">
        <f t="shared" si="23"/>
        <v/>
      </c>
    </row>
    <row r="241" customHeight="1" spans="1:28">
      <c r="A241" s="14">
        <v>241</v>
      </c>
      <c r="B241" s="15" t="str">
        <f>IFERROR(IF([2]对账明细接口!$B$241=0,"",[2]对账明细接口!$B$241),"")</f>
        <v/>
      </c>
      <c r="C241" s="16" t="str">
        <f>IFERROR(IF([2]对账明细接口!$C$241=0,"",[2]对账明细接口!$C$241),"")</f>
        <v/>
      </c>
      <c r="D241" s="16" t="str">
        <f>IFERROR(IF([2]对账明细接口!$D$241=0,"",[2]对账明细接口!$D$241),"")</f>
        <v/>
      </c>
      <c r="E241" s="16" t="str">
        <f>IFERROR(IF([2]对账明细接口!$E$241=0,"",[2]对账明细接口!$E$241),"")</f>
        <v/>
      </c>
      <c r="F241" s="16" t="str">
        <f>IFERROR(IF([2]对账明细接口!$F$241=0,"",[2]对账明细接口!$F$241),"")</f>
        <v/>
      </c>
      <c r="G241" s="16" t="str">
        <f>IFERROR(IF([2]对账明细接口!$G$241=0,"",[2]对账明细接口!$G$241),"")</f>
        <v/>
      </c>
      <c r="H241" s="17" t="str">
        <f>IFERROR(IF([2]对账明细接口!$H$241=0,"",[2]对账明细接口!$H$241),"")</f>
        <v/>
      </c>
      <c r="I241" s="16" t="str">
        <f>IFERROR(IF([2]对账明细接口!$I$241=0,"",[2]对账明细接口!$I$241),"")</f>
        <v/>
      </c>
      <c r="J241" s="18" t="str">
        <f>IFERROR(IF([2]对账明细接口!$J$241=0,"",[2]对账明细接口!$J$241),"")</f>
        <v/>
      </c>
      <c r="K241" s="18" t="str">
        <f>IFERROR(IF([2]对账明细接口!$K$241=0,"",[2]对账明细接口!$K$241),"")</f>
        <v/>
      </c>
      <c r="L241" s="16" t="str">
        <f>IFERROR(IF([2]对账明细接口!$L$241=0,"",[2]对账明细接口!$L$241),"")</f>
        <v/>
      </c>
      <c r="M241" s="16" t="str">
        <f>IFERROR(IF([2]对账明细接口!$M$241=0,"",[2]对账明细接口!$M$241),"")</f>
        <v/>
      </c>
      <c r="N241" s="19">
        <f t="shared" si="18"/>
        <v>0</v>
      </c>
      <c r="O241" s="19">
        <f t="shared" si="19"/>
        <v>165</v>
      </c>
      <c r="S241" s="20" t="str">
        <f>IFERROR(IF([2]对账明细接口!$N241=0,"",[2]对账明细接口!$N241),"")</f>
        <v/>
      </c>
      <c r="T241" s="21" t="str">
        <f>IFERROR(IF([2]对账明细接口!$O241=0,"",[2]对账明细接口!$O241),"")</f>
        <v/>
      </c>
      <c r="U241" s="21" t="str">
        <f>IFERROR(IF([2]对账明细接口!$P241=0,"",[2]对账明细接口!$P241),"")</f>
        <v/>
      </c>
      <c r="V241" s="21" t="str">
        <f>IFERROR(IF([2]对账明细接口!$Q241=0,"",[2]对账明细接口!$Q241),"")</f>
        <v/>
      </c>
      <c r="W241" s="20" t="str">
        <f>IFERROR(IF([2]对账明细接口!$R241=0,"",[2]对账明细接口!$R241),"")</f>
        <v/>
      </c>
      <c r="X241" s="20" t="str">
        <f>IFERROR(IF([2]对账明细接口!$S241=0,"",[2]对账明细接口!$S241),"")</f>
        <v/>
      </c>
      <c r="Y241" s="20" t="str">
        <f t="shared" si="20"/>
        <v/>
      </c>
      <c r="Z241" s="20" t="str">
        <f t="shared" si="21"/>
        <v/>
      </c>
      <c r="AA241" s="20" t="str">
        <f t="shared" si="22"/>
        <v/>
      </c>
      <c r="AB241" s="20" t="str">
        <f t="shared" si="23"/>
        <v/>
      </c>
    </row>
    <row r="242" customHeight="1" spans="1:28">
      <c r="A242" s="14">
        <v>242</v>
      </c>
      <c r="B242" s="15" t="str">
        <f>IFERROR(IF([2]对账明细接口!$B$242=0,"",[2]对账明细接口!$B$242),"")</f>
        <v/>
      </c>
      <c r="C242" s="16" t="str">
        <f>IFERROR(IF([2]对账明细接口!$C$242=0,"",[2]对账明细接口!$C$242),"")</f>
        <v/>
      </c>
      <c r="D242" s="16" t="str">
        <f>IFERROR(IF([2]对账明细接口!$D$242=0,"",[2]对账明细接口!$D$242),"")</f>
        <v/>
      </c>
      <c r="E242" s="16" t="str">
        <f>IFERROR(IF([2]对账明细接口!$E$242=0,"",[2]对账明细接口!$E$242),"")</f>
        <v/>
      </c>
      <c r="F242" s="16" t="str">
        <f>IFERROR(IF([2]对账明细接口!$F$242=0,"",[2]对账明细接口!$F$242),"")</f>
        <v/>
      </c>
      <c r="G242" s="16" t="str">
        <f>IFERROR(IF([2]对账明细接口!$G$242=0,"",[2]对账明细接口!$G$242),"")</f>
        <v/>
      </c>
      <c r="H242" s="17" t="str">
        <f>IFERROR(IF([2]对账明细接口!$H$242=0,"",[2]对账明细接口!$H$242),"")</f>
        <v/>
      </c>
      <c r="I242" s="16" t="str">
        <f>IFERROR(IF([2]对账明细接口!$I$242=0,"",[2]对账明细接口!$I$242),"")</f>
        <v/>
      </c>
      <c r="J242" s="18" t="str">
        <f>IFERROR(IF([2]对账明细接口!$J$242=0,"",[2]对账明细接口!$J$242),"")</f>
        <v/>
      </c>
      <c r="K242" s="18" t="str">
        <f>IFERROR(IF([2]对账明细接口!$K$242=0,"",[2]对账明细接口!$K$242),"")</f>
        <v/>
      </c>
      <c r="L242" s="16" t="str">
        <f>IFERROR(IF([2]对账明细接口!$L$242=0,"",[2]对账明细接口!$L$242),"")</f>
        <v/>
      </c>
      <c r="M242" s="16" t="str">
        <f>IFERROR(IF([2]对账明细接口!$M$242=0,"",[2]对账明细接口!$M$242),"")</f>
        <v/>
      </c>
      <c r="N242" s="19">
        <f t="shared" si="18"/>
        <v>0</v>
      </c>
      <c r="O242" s="19">
        <f t="shared" si="19"/>
        <v>165</v>
      </c>
      <c r="S242" s="20" t="str">
        <f>IFERROR(IF([2]对账明细接口!$N242=0,"",[2]对账明细接口!$N242),"")</f>
        <v/>
      </c>
      <c r="T242" s="21" t="str">
        <f>IFERROR(IF([2]对账明细接口!$O242=0,"",[2]对账明细接口!$O242),"")</f>
        <v/>
      </c>
      <c r="U242" s="21" t="str">
        <f>IFERROR(IF([2]对账明细接口!$P242=0,"",[2]对账明细接口!$P242),"")</f>
        <v/>
      </c>
      <c r="V242" s="21" t="str">
        <f>IFERROR(IF([2]对账明细接口!$Q242=0,"",[2]对账明细接口!$Q242),"")</f>
        <v/>
      </c>
      <c r="W242" s="20" t="str">
        <f>IFERROR(IF([2]对账明细接口!$R242=0,"",[2]对账明细接口!$R242),"")</f>
        <v/>
      </c>
      <c r="X242" s="20" t="str">
        <f>IFERROR(IF([2]对账明细接口!$S242=0,"",[2]对账明细接口!$S242),"")</f>
        <v/>
      </c>
      <c r="Y242" s="20" t="str">
        <f t="shared" si="20"/>
        <v/>
      </c>
      <c r="Z242" s="20" t="str">
        <f t="shared" si="21"/>
        <v/>
      </c>
      <c r="AA242" s="20" t="str">
        <f t="shared" si="22"/>
        <v/>
      </c>
      <c r="AB242" s="20" t="str">
        <f t="shared" si="23"/>
        <v/>
      </c>
    </row>
    <row r="243" customHeight="1" spans="1:28">
      <c r="A243" s="14">
        <v>243</v>
      </c>
      <c r="B243" s="15" t="str">
        <f>IFERROR(IF([2]对账明细接口!$B$243=0,"",[2]对账明细接口!$B$243),"")</f>
        <v/>
      </c>
      <c r="C243" s="16" t="str">
        <f>IFERROR(IF([2]对账明细接口!$C$243=0,"",[2]对账明细接口!$C$243),"")</f>
        <v/>
      </c>
      <c r="D243" s="16" t="str">
        <f>IFERROR(IF([2]对账明细接口!$D$243=0,"",[2]对账明细接口!$D$243),"")</f>
        <v/>
      </c>
      <c r="E243" s="16" t="str">
        <f>IFERROR(IF([2]对账明细接口!$E$243=0,"",[2]对账明细接口!$E$243),"")</f>
        <v/>
      </c>
      <c r="F243" s="16" t="str">
        <f>IFERROR(IF([2]对账明细接口!$F$243=0,"",[2]对账明细接口!$F$243),"")</f>
        <v/>
      </c>
      <c r="G243" s="16" t="str">
        <f>IFERROR(IF([2]对账明细接口!$G$243=0,"",[2]对账明细接口!$G$243),"")</f>
        <v/>
      </c>
      <c r="H243" s="17" t="str">
        <f>IFERROR(IF([2]对账明细接口!$H$243=0,"",[2]对账明细接口!$H$243),"")</f>
        <v/>
      </c>
      <c r="I243" s="16" t="str">
        <f>IFERROR(IF([2]对账明细接口!$I$243=0,"",[2]对账明细接口!$I$243),"")</f>
        <v/>
      </c>
      <c r="J243" s="18" t="str">
        <f>IFERROR(IF([2]对账明细接口!$J$243=0,"",[2]对账明细接口!$J$243),"")</f>
        <v/>
      </c>
      <c r="K243" s="18" t="str">
        <f>IFERROR(IF([2]对账明细接口!$K$243=0,"",[2]对账明细接口!$K$243),"")</f>
        <v/>
      </c>
      <c r="L243" s="16" t="str">
        <f>IFERROR(IF([2]对账明细接口!$L$243=0,"",[2]对账明细接口!$L$243),"")</f>
        <v/>
      </c>
      <c r="M243" s="16" t="str">
        <f>IFERROR(IF([2]对账明细接口!$M$243=0,"",[2]对账明细接口!$M$243),"")</f>
        <v/>
      </c>
      <c r="N243" s="19">
        <f t="shared" si="18"/>
        <v>0</v>
      </c>
      <c r="O243" s="19">
        <f t="shared" si="19"/>
        <v>165</v>
      </c>
      <c r="S243" s="20" t="str">
        <f>IFERROR(IF([2]对账明细接口!$N243=0,"",[2]对账明细接口!$N243),"")</f>
        <v/>
      </c>
      <c r="T243" s="21" t="str">
        <f>IFERROR(IF([2]对账明细接口!$O243=0,"",[2]对账明细接口!$O243),"")</f>
        <v/>
      </c>
      <c r="U243" s="21" t="str">
        <f>IFERROR(IF([2]对账明细接口!$P243=0,"",[2]对账明细接口!$P243),"")</f>
        <v/>
      </c>
      <c r="V243" s="21" t="str">
        <f>IFERROR(IF([2]对账明细接口!$Q243=0,"",[2]对账明细接口!$Q243),"")</f>
        <v/>
      </c>
      <c r="W243" s="20" t="str">
        <f>IFERROR(IF([2]对账明细接口!$R243=0,"",[2]对账明细接口!$R243),"")</f>
        <v/>
      </c>
      <c r="X243" s="20" t="str">
        <f>IFERROR(IF([2]对账明细接口!$S243=0,"",[2]对账明细接口!$S243),"")</f>
        <v/>
      </c>
      <c r="Y243" s="20" t="str">
        <f t="shared" si="20"/>
        <v/>
      </c>
      <c r="Z243" s="20" t="str">
        <f t="shared" si="21"/>
        <v/>
      </c>
      <c r="AA243" s="20" t="str">
        <f t="shared" si="22"/>
        <v/>
      </c>
      <c r="AB243" s="20" t="str">
        <f t="shared" si="23"/>
        <v/>
      </c>
    </row>
    <row r="244" customHeight="1" spans="1:28">
      <c r="A244" s="14">
        <v>244</v>
      </c>
      <c r="B244" s="15" t="str">
        <f>IFERROR(IF([2]对账明细接口!$B$244=0,"",[2]对账明细接口!$B$244),"")</f>
        <v/>
      </c>
      <c r="C244" s="16" t="str">
        <f>IFERROR(IF([2]对账明细接口!$C$244=0,"",[2]对账明细接口!$C$244),"")</f>
        <v/>
      </c>
      <c r="D244" s="16" t="str">
        <f>IFERROR(IF([2]对账明细接口!$D$244=0,"",[2]对账明细接口!$D$244),"")</f>
        <v/>
      </c>
      <c r="E244" s="16" t="str">
        <f>IFERROR(IF([2]对账明细接口!$E$244=0,"",[2]对账明细接口!$E$244),"")</f>
        <v/>
      </c>
      <c r="F244" s="16" t="str">
        <f>IFERROR(IF([2]对账明细接口!$F$244=0,"",[2]对账明细接口!$F$244),"")</f>
        <v/>
      </c>
      <c r="G244" s="16" t="str">
        <f>IFERROR(IF([2]对账明细接口!$G$244=0,"",[2]对账明细接口!$G$244),"")</f>
        <v/>
      </c>
      <c r="H244" s="17" t="str">
        <f>IFERROR(IF([2]对账明细接口!$H$244=0,"",[2]对账明细接口!$H$244),"")</f>
        <v/>
      </c>
      <c r="I244" s="16" t="str">
        <f>IFERROR(IF([2]对账明细接口!$I$244=0,"",[2]对账明细接口!$I$244),"")</f>
        <v/>
      </c>
      <c r="J244" s="18" t="str">
        <f>IFERROR(IF([2]对账明细接口!$J$244=0,"",[2]对账明细接口!$J$244),"")</f>
        <v/>
      </c>
      <c r="K244" s="18" t="str">
        <f>IFERROR(IF([2]对账明细接口!$K$244=0,"",[2]对账明细接口!$K$244),"")</f>
        <v/>
      </c>
      <c r="L244" s="16" t="str">
        <f>IFERROR(IF([2]对账明细接口!$L$244=0,"",[2]对账明细接口!$L$244),"")</f>
        <v/>
      </c>
      <c r="M244" s="16" t="str">
        <f>IFERROR(IF([2]对账明细接口!$M$244=0,"",[2]对账明细接口!$M$244),"")</f>
        <v/>
      </c>
      <c r="N244" s="19">
        <f t="shared" si="18"/>
        <v>0</v>
      </c>
      <c r="O244" s="19">
        <f t="shared" si="19"/>
        <v>165</v>
      </c>
      <c r="S244" s="20" t="str">
        <f>IFERROR(IF([2]对账明细接口!$N244=0,"",[2]对账明细接口!$N244),"")</f>
        <v/>
      </c>
      <c r="T244" s="21" t="str">
        <f>IFERROR(IF([2]对账明细接口!$O244=0,"",[2]对账明细接口!$O244),"")</f>
        <v/>
      </c>
      <c r="U244" s="21" t="str">
        <f>IFERROR(IF([2]对账明细接口!$P244=0,"",[2]对账明细接口!$P244),"")</f>
        <v/>
      </c>
      <c r="V244" s="21" t="str">
        <f>IFERROR(IF([2]对账明细接口!$Q244=0,"",[2]对账明细接口!$Q244),"")</f>
        <v/>
      </c>
      <c r="W244" s="20" t="str">
        <f>IFERROR(IF([2]对账明细接口!$R244=0,"",[2]对账明细接口!$R244),"")</f>
        <v/>
      </c>
      <c r="X244" s="20" t="str">
        <f>IFERROR(IF([2]对账明细接口!$S244=0,"",[2]对账明细接口!$S244),"")</f>
        <v/>
      </c>
      <c r="Y244" s="20" t="str">
        <f t="shared" si="20"/>
        <v/>
      </c>
      <c r="Z244" s="20" t="str">
        <f t="shared" si="21"/>
        <v/>
      </c>
      <c r="AA244" s="20" t="str">
        <f t="shared" si="22"/>
        <v/>
      </c>
      <c r="AB244" s="20" t="str">
        <f t="shared" si="23"/>
        <v/>
      </c>
    </row>
    <row r="245" customHeight="1" spans="1:28">
      <c r="A245" s="14">
        <v>245</v>
      </c>
      <c r="B245" s="15" t="str">
        <f>IFERROR(IF([2]对账明细接口!$B$245=0,"",[2]对账明细接口!$B$245),"")</f>
        <v/>
      </c>
      <c r="C245" s="16" t="str">
        <f>IFERROR(IF([2]对账明细接口!$C$245=0,"",[2]对账明细接口!$C$245),"")</f>
        <v/>
      </c>
      <c r="D245" s="16" t="str">
        <f>IFERROR(IF([2]对账明细接口!$D$245=0,"",[2]对账明细接口!$D$245),"")</f>
        <v/>
      </c>
      <c r="E245" s="16" t="str">
        <f>IFERROR(IF([2]对账明细接口!$E$245=0,"",[2]对账明细接口!$E$245),"")</f>
        <v/>
      </c>
      <c r="F245" s="16" t="str">
        <f>IFERROR(IF([2]对账明细接口!$F$245=0,"",[2]对账明细接口!$F$245),"")</f>
        <v/>
      </c>
      <c r="G245" s="16" t="str">
        <f>IFERROR(IF([2]对账明细接口!$G$245=0,"",[2]对账明细接口!$G$245),"")</f>
        <v/>
      </c>
      <c r="H245" s="17" t="str">
        <f>IFERROR(IF([2]对账明细接口!$H$245=0,"",[2]对账明细接口!$H$245),"")</f>
        <v/>
      </c>
      <c r="I245" s="16" t="str">
        <f>IFERROR(IF([2]对账明细接口!$I$245=0,"",[2]对账明细接口!$I$245),"")</f>
        <v/>
      </c>
      <c r="J245" s="18" t="str">
        <f>IFERROR(IF([2]对账明细接口!$J$245=0,"",[2]对账明细接口!$J$245),"")</f>
        <v/>
      </c>
      <c r="K245" s="18" t="str">
        <f>IFERROR(IF([2]对账明细接口!$K$245=0,"",[2]对账明细接口!$K$245),"")</f>
        <v/>
      </c>
      <c r="L245" s="16" t="str">
        <f>IFERROR(IF([2]对账明细接口!$L$245=0,"",[2]对账明细接口!$L$245),"")</f>
        <v/>
      </c>
      <c r="M245" s="16" t="str">
        <f>IFERROR(IF([2]对账明细接口!$M$245=0,"",[2]对账明细接口!$M$245),"")</f>
        <v/>
      </c>
      <c r="N245" s="19">
        <f t="shared" si="18"/>
        <v>0</v>
      </c>
      <c r="O245" s="19">
        <f t="shared" si="19"/>
        <v>165</v>
      </c>
      <c r="S245" s="20" t="str">
        <f>IFERROR(IF([2]对账明细接口!$N245=0,"",[2]对账明细接口!$N245),"")</f>
        <v/>
      </c>
      <c r="T245" s="21" t="str">
        <f>IFERROR(IF([2]对账明细接口!$O245=0,"",[2]对账明细接口!$O245),"")</f>
        <v/>
      </c>
      <c r="U245" s="21" t="str">
        <f>IFERROR(IF([2]对账明细接口!$P245=0,"",[2]对账明细接口!$P245),"")</f>
        <v/>
      </c>
      <c r="V245" s="21" t="str">
        <f>IFERROR(IF([2]对账明细接口!$Q245=0,"",[2]对账明细接口!$Q245),"")</f>
        <v/>
      </c>
      <c r="W245" s="20" t="str">
        <f>IFERROR(IF([2]对账明细接口!$R245=0,"",[2]对账明细接口!$R245),"")</f>
        <v/>
      </c>
      <c r="X245" s="20" t="str">
        <f>IFERROR(IF([2]对账明细接口!$S245=0,"",[2]对账明细接口!$S245),"")</f>
        <v/>
      </c>
      <c r="Y245" s="20" t="str">
        <f t="shared" si="20"/>
        <v/>
      </c>
      <c r="Z245" s="20" t="str">
        <f t="shared" si="21"/>
        <v/>
      </c>
      <c r="AA245" s="20" t="str">
        <f t="shared" si="22"/>
        <v/>
      </c>
      <c r="AB245" s="20" t="str">
        <f t="shared" si="23"/>
        <v/>
      </c>
    </row>
    <row r="246" customHeight="1" spans="1:28">
      <c r="A246" s="14">
        <v>246</v>
      </c>
      <c r="B246" s="15" t="str">
        <f>IFERROR(IF([2]对账明细接口!$B$246=0,"",[2]对账明细接口!$B$246),"")</f>
        <v/>
      </c>
      <c r="C246" s="16" t="str">
        <f>IFERROR(IF([2]对账明细接口!$C$246=0,"",[2]对账明细接口!$C$246),"")</f>
        <v/>
      </c>
      <c r="D246" s="16" t="str">
        <f>IFERROR(IF([2]对账明细接口!$D$246=0,"",[2]对账明细接口!$D$246),"")</f>
        <v/>
      </c>
      <c r="E246" s="16" t="str">
        <f>IFERROR(IF([2]对账明细接口!$E$246=0,"",[2]对账明细接口!$E$246),"")</f>
        <v/>
      </c>
      <c r="F246" s="16" t="str">
        <f>IFERROR(IF([2]对账明细接口!$F$246=0,"",[2]对账明细接口!$F$246),"")</f>
        <v/>
      </c>
      <c r="G246" s="16" t="str">
        <f>IFERROR(IF([2]对账明细接口!$G$246=0,"",[2]对账明细接口!$G$246),"")</f>
        <v/>
      </c>
      <c r="H246" s="17" t="str">
        <f>IFERROR(IF([2]对账明细接口!$H$246=0,"",[2]对账明细接口!$H$246),"")</f>
        <v/>
      </c>
      <c r="I246" s="16" t="str">
        <f>IFERROR(IF([2]对账明细接口!$I$246=0,"",[2]对账明细接口!$I$246),"")</f>
        <v/>
      </c>
      <c r="J246" s="18" t="str">
        <f>IFERROR(IF([2]对账明细接口!$J$246=0,"",[2]对账明细接口!$J$246),"")</f>
        <v/>
      </c>
      <c r="K246" s="18" t="str">
        <f>IFERROR(IF([2]对账明细接口!$K$246=0,"",[2]对账明细接口!$K$246),"")</f>
        <v/>
      </c>
      <c r="L246" s="16" t="str">
        <f>IFERROR(IF([2]对账明细接口!$L$246=0,"",[2]对账明细接口!$L$246),"")</f>
        <v/>
      </c>
      <c r="M246" s="16" t="str">
        <f>IFERROR(IF([2]对账明细接口!$M$246=0,"",[2]对账明细接口!$M$246),"")</f>
        <v/>
      </c>
      <c r="N246" s="19">
        <f t="shared" si="18"/>
        <v>0</v>
      </c>
      <c r="O246" s="19">
        <f t="shared" si="19"/>
        <v>165</v>
      </c>
      <c r="S246" s="20" t="str">
        <f>IFERROR(IF([2]对账明细接口!$N246=0,"",[2]对账明细接口!$N246),"")</f>
        <v/>
      </c>
      <c r="T246" s="21" t="str">
        <f>IFERROR(IF([2]对账明细接口!$O246=0,"",[2]对账明细接口!$O246),"")</f>
        <v/>
      </c>
      <c r="U246" s="21" t="str">
        <f>IFERROR(IF([2]对账明细接口!$P246=0,"",[2]对账明细接口!$P246),"")</f>
        <v/>
      </c>
      <c r="V246" s="21" t="str">
        <f>IFERROR(IF([2]对账明细接口!$Q246=0,"",[2]对账明细接口!$Q246),"")</f>
        <v/>
      </c>
      <c r="W246" s="20" t="str">
        <f>IFERROR(IF([2]对账明细接口!$R246=0,"",[2]对账明细接口!$R246),"")</f>
        <v/>
      </c>
      <c r="X246" s="20" t="str">
        <f>IFERROR(IF([2]对账明细接口!$S246=0,"",[2]对账明细接口!$S246),"")</f>
        <v/>
      </c>
      <c r="Y246" s="20" t="str">
        <f t="shared" si="20"/>
        <v/>
      </c>
      <c r="Z246" s="20" t="str">
        <f t="shared" si="21"/>
        <v/>
      </c>
      <c r="AA246" s="20" t="str">
        <f t="shared" si="22"/>
        <v/>
      </c>
      <c r="AB246" s="20" t="str">
        <f t="shared" si="23"/>
        <v/>
      </c>
    </row>
    <row r="247" customHeight="1" spans="1:28">
      <c r="A247" s="14">
        <v>247</v>
      </c>
      <c r="B247" s="15" t="str">
        <f>IFERROR(IF([2]对账明细接口!$B$247=0,"",[2]对账明细接口!$B$247),"")</f>
        <v/>
      </c>
      <c r="C247" s="16" t="str">
        <f>IFERROR(IF([2]对账明细接口!$C$247=0,"",[2]对账明细接口!$C$247),"")</f>
        <v/>
      </c>
      <c r="D247" s="16" t="str">
        <f>IFERROR(IF([2]对账明细接口!$D$247=0,"",[2]对账明细接口!$D$247),"")</f>
        <v/>
      </c>
      <c r="E247" s="16" t="str">
        <f>IFERROR(IF([2]对账明细接口!$E$247=0,"",[2]对账明细接口!$E$247),"")</f>
        <v/>
      </c>
      <c r="F247" s="16" t="str">
        <f>IFERROR(IF([2]对账明细接口!$F$247=0,"",[2]对账明细接口!$F$247),"")</f>
        <v/>
      </c>
      <c r="G247" s="16" t="str">
        <f>IFERROR(IF([2]对账明细接口!$G$247=0,"",[2]对账明细接口!$G$247),"")</f>
        <v/>
      </c>
      <c r="H247" s="17" t="str">
        <f>IFERROR(IF([2]对账明细接口!$H$247=0,"",[2]对账明细接口!$H$247),"")</f>
        <v/>
      </c>
      <c r="I247" s="16" t="str">
        <f>IFERROR(IF([2]对账明细接口!$I$247=0,"",[2]对账明细接口!$I$247),"")</f>
        <v/>
      </c>
      <c r="J247" s="18" t="str">
        <f>IFERROR(IF([2]对账明细接口!$J$247=0,"",[2]对账明细接口!$J$247),"")</f>
        <v/>
      </c>
      <c r="K247" s="18" t="str">
        <f>IFERROR(IF([2]对账明细接口!$K$247=0,"",[2]对账明细接口!$K$247),"")</f>
        <v/>
      </c>
      <c r="L247" s="16" t="str">
        <f>IFERROR(IF([2]对账明细接口!$L$247=0,"",[2]对账明细接口!$L$247),"")</f>
        <v/>
      </c>
      <c r="M247" s="16" t="str">
        <f>IFERROR(IF([2]对账明细接口!$M$247=0,"",[2]对账明细接口!$M$247),"")</f>
        <v/>
      </c>
      <c r="N247" s="19">
        <f t="shared" si="18"/>
        <v>0</v>
      </c>
      <c r="O247" s="19">
        <f t="shared" si="19"/>
        <v>165</v>
      </c>
      <c r="S247" s="20" t="str">
        <f>IFERROR(IF([2]对账明细接口!$N247=0,"",[2]对账明细接口!$N247),"")</f>
        <v/>
      </c>
      <c r="T247" s="21" t="str">
        <f>IFERROR(IF([2]对账明细接口!$O247=0,"",[2]对账明细接口!$O247),"")</f>
        <v/>
      </c>
      <c r="U247" s="21" t="str">
        <f>IFERROR(IF([2]对账明细接口!$P247=0,"",[2]对账明细接口!$P247),"")</f>
        <v/>
      </c>
      <c r="V247" s="21" t="str">
        <f>IFERROR(IF([2]对账明细接口!$Q247=0,"",[2]对账明细接口!$Q247),"")</f>
        <v/>
      </c>
      <c r="W247" s="20" t="str">
        <f>IFERROR(IF([2]对账明细接口!$R247=0,"",[2]对账明细接口!$R247),"")</f>
        <v/>
      </c>
      <c r="X247" s="20" t="str">
        <f>IFERROR(IF([2]对账明细接口!$S247=0,"",[2]对账明细接口!$S247),"")</f>
        <v/>
      </c>
      <c r="Y247" s="20" t="str">
        <f t="shared" si="20"/>
        <v/>
      </c>
      <c r="Z247" s="20" t="str">
        <f t="shared" si="21"/>
        <v/>
      </c>
      <c r="AA247" s="20" t="str">
        <f t="shared" si="22"/>
        <v/>
      </c>
      <c r="AB247" s="20" t="str">
        <f t="shared" si="23"/>
        <v/>
      </c>
    </row>
    <row r="248" customHeight="1" spans="1:28">
      <c r="A248" s="14">
        <v>248</v>
      </c>
      <c r="B248" s="15" t="str">
        <f>IFERROR(IF([2]对账明细接口!$B$248=0,"",[2]对账明细接口!$B$248),"")</f>
        <v/>
      </c>
      <c r="C248" s="16" t="str">
        <f>IFERROR(IF([2]对账明细接口!$C$248=0,"",[2]对账明细接口!$C$248),"")</f>
        <v/>
      </c>
      <c r="D248" s="16" t="str">
        <f>IFERROR(IF([2]对账明细接口!$D$248=0,"",[2]对账明细接口!$D$248),"")</f>
        <v/>
      </c>
      <c r="E248" s="16" t="str">
        <f>IFERROR(IF([2]对账明细接口!$E$248=0,"",[2]对账明细接口!$E$248),"")</f>
        <v/>
      </c>
      <c r="F248" s="16" t="str">
        <f>IFERROR(IF([2]对账明细接口!$F$248=0,"",[2]对账明细接口!$F$248),"")</f>
        <v/>
      </c>
      <c r="G248" s="16" t="str">
        <f>IFERROR(IF([2]对账明细接口!$G$248=0,"",[2]对账明细接口!$G$248),"")</f>
        <v/>
      </c>
      <c r="H248" s="17" t="str">
        <f>IFERROR(IF([2]对账明细接口!$H$248=0,"",[2]对账明细接口!$H$248),"")</f>
        <v/>
      </c>
      <c r="I248" s="16" t="str">
        <f>IFERROR(IF([2]对账明细接口!$I$248=0,"",[2]对账明细接口!$I$248),"")</f>
        <v/>
      </c>
      <c r="J248" s="18" t="str">
        <f>IFERROR(IF([2]对账明细接口!$J$248=0,"",[2]对账明细接口!$J$248),"")</f>
        <v/>
      </c>
      <c r="K248" s="18" t="str">
        <f>IFERROR(IF([2]对账明细接口!$K$248=0,"",[2]对账明细接口!$K$248),"")</f>
        <v/>
      </c>
      <c r="L248" s="16" t="str">
        <f>IFERROR(IF([2]对账明细接口!$L$248=0,"",[2]对账明细接口!$L$248),"")</f>
        <v/>
      </c>
      <c r="M248" s="16" t="str">
        <f>IFERROR(IF([2]对账明细接口!$M$248=0,"",[2]对账明细接口!$M$248),"")</f>
        <v/>
      </c>
      <c r="N248" s="19">
        <f t="shared" si="18"/>
        <v>0</v>
      </c>
      <c r="O248" s="19">
        <f t="shared" si="19"/>
        <v>165</v>
      </c>
      <c r="S248" s="20" t="str">
        <f>IFERROR(IF([2]对账明细接口!$N248=0,"",[2]对账明细接口!$N248),"")</f>
        <v/>
      </c>
      <c r="T248" s="21" t="str">
        <f>IFERROR(IF([2]对账明细接口!$O248=0,"",[2]对账明细接口!$O248),"")</f>
        <v/>
      </c>
      <c r="U248" s="21" t="str">
        <f>IFERROR(IF([2]对账明细接口!$P248=0,"",[2]对账明细接口!$P248),"")</f>
        <v/>
      </c>
      <c r="V248" s="21" t="str">
        <f>IFERROR(IF([2]对账明细接口!$Q248=0,"",[2]对账明细接口!$Q248),"")</f>
        <v/>
      </c>
      <c r="W248" s="20" t="str">
        <f>IFERROR(IF([2]对账明细接口!$R248=0,"",[2]对账明细接口!$R248),"")</f>
        <v/>
      </c>
      <c r="X248" s="20" t="str">
        <f>IFERROR(IF([2]对账明细接口!$S248=0,"",[2]对账明细接口!$S248),"")</f>
        <v/>
      </c>
      <c r="Y248" s="20" t="str">
        <f t="shared" si="20"/>
        <v/>
      </c>
      <c r="Z248" s="20" t="str">
        <f t="shared" si="21"/>
        <v/>
      </c>
      <c r="AA248" s="20" t="str">
        <f t="shared" si="22"/>
        <v/>
      </c>
      <c r="AB248" s="20" t="str">
        <f t="shared" si="23"/>
        <v/>
      </c>
    </row>
    <row r="249" customHeight="1" spans="1:28">
      <c r="A249" s="14">
        <v>249</v>
      </c>
      <c r="B249" s="15" t="str">
        <f>IFERROR(IF([2]对账明细接口!$B$249=0,"",[2]对账明细接口!$B$249),"")</f>
        <v/>
      </c>
      <c r="C249" s="16" t="str">
        <f>IFERROR(IF([2]对账明细接口!$C$249=0,"",[2]对账明细接口!$C$249),"")</f>
        <v/>
      </c>
      <c r="D249" s="16" t="str">
        <f>IFERROR(IF([2]对账明细接口!$D$249=0,"",[2]对账明细接口!$D$249),"")</f>
        <v/>
      </c>
      <c r="E249" s="16" t="str">
        <f>IFERROR(IF([2]对账明细接口!$E$249=0,"",[2]对账明细接口!$E$249),"")</f>
        <v/>
      </c>
      <c r="F249" s="16" t="str">
        <f>IFERROR(IF([2]对账明细接口!$F$249=0,"",[2]对账明细接口!$F$249),"")</f>
        <v/>
      </c>
      <c r="G249" s="16" t="str">
        <f>IFERROR(IF([2]对账明细接口!$G$249=0,"",[2]对账明细接口!$G$249),"")</f>
        <v/>
      </c>
      <c r="H249" s="17" t="str">
        <f>IFERROR(IF([2]对账明细接口!$H$249=0,"",[2]对账明细接口!$H$249),"")</f>
        <v/>
      </c>
      <c r="I249" s="16" t="str">
        <f>IFERROR(IF([2]对账明细接口!$I$249=0,"",[2]对账明细接口!$I$249),"")</f>
        <v/>
      </c>
      <c r="J249" s="18" t="str">
        <f>IFERROR(IF([2]对账明细接口!$J$249=0,"",[2]对账明细接口!$J$249),"")</f>
        <v/>
      </c>
      <c r="K249" s="18" t="str">
        <f>IFERROR(IF([2]对账明细接口!$K$249=0,"",[2]对账明细接口!$K$249),"")</f>
        <v/>
      </c>
      <c r="L249" s="16" t="str">
        <f>IFERROR(IF([2]对账明细接口!$L$249=0,"",[2]对账明细接口!$L$249),"")</f>
        <v/>
      </c>
      <c r="M249" s="16" t="str">
        <f>IFERROR(IF([2]对账明细接口!$M$249=0,"",[2]对账明细接口!$M$249),"")</f>
        <v/>
      </c>
      <c r="N249" s="19">
        <f t="shared" si="18"/>
        <v>0</v>
      </c>
      <c r="O249" s="19">
        <f t="shared" si="19"/>
        <v>165</v>
      </c>
      <c r="S249" s="20" t="str">
        <f>IFERROR(IF([2]对账明细接口!$N249=0,"",[2]对账明细接口!$N249),"")</f>
        <v/>
      </c>
      <c r="T249" s="21" t="str">
        <f>IFERROR(IF([2]对账明细接口!$O249=0,"",[2]对账明细接口!$O249),"")</f>
        <v/>
      </c>
      <c r="U249" s="21" t="str">
        <f>IFERROR(IF([2]对账明细接口!$P249=0,"",[2]对账明细接口!$P249),"")</f>
        <v/>
      </c>
      <c r="V249" s="21" t="str">
        <f>IFERROR(IF([2]对账明细接口!$Q249=0,"",[2]对账明细接口!$Q249),"")</f>
        <v/>
      </c>
      <c r="W249" s="20" t="str">
        <f>IFERROR(IF([2]对账明细接口!$R249=0,"",[2]对账明细接口!$R249),"")</f>
        <v/>
      </c>
      <c r="X249" s="20" t="str">
        <f>IFERROR(IF([2]对账明细接口!$S249=0,"",[2]对账明细接口!$S249),"")</f>
        <v/>
      </c>
      <c r="Y249" s="20" t="str">
        <f t="shared" si="20"/>
        <v/>
      </c>
      <c r="Z249" s="20" t="str">
        <f t="shared" si="21"/>
        <v/>
      </c>
      <c r="AA249" s="20" t="str">
        <f t="shared" si="22"/>
        <v/>
      </c>
      <c r="AB249" s="20" t="str">
        <f t="shared" si="23"/>
        <v/>
      </c>
    </row>
    <row r="250" customHeight="1" spans="1:28">
      <c r="A250" s="14">
        <v>250</v>
      </c>
      <c r="B250" s="15" t="str">
        <f>IFERROR(IF([2]对账明细接口!$B$250=0,"",[2]对账明细接口!$B$250),"")</f>
        <v/>
      </c>
      <c r="C250" s="16" t="str">
        <f>IFERROR(IF([2]对账明细接口!$C$250=0,"",[2]对账明细接口!$C$250),"")</f>
        <v/>
      </c>
      <c r="D250" s="16" t="str">
        <f>IFERROR(IF([2]对账明细接口!$D$250=0,"",[2]对账明细接口!$D$250),"")</f>
        <v/>
      </c>
      <c r="E250" s="16" t="str">
        <f>IFERROR(IF([2]对账明细接口!$E$250=0,"",[2]对账明细接口!$E$250),"")</f>
        <v/>
      </c>
      <c r="F250" s="16" t="str">
        <f>IFERROR(IF([2]对账明细接口!$F$250=0,"",[2]对账明细接口!$F$250),"")</f>
        <v/>
      </c>
      <c r="G250" s="16" t="str">
        <f>IFERROR(IF([2]对账明细接口!$G$250=0,"",[2]对账明细接口!$G$250),"")</f>
        <v/>
      </c>
      <c r="H250" s="17" t="str">
        <f>IFERROR(IF([2]对账明细接口!$H$250=0,"",[2]对账明细接口!$H$250),"")</f>
        <v/>
      </c>
      <c r="I250" s="16" t="str">
        <f>IFERROR(IF([2]对账明细接口!$I$250=0,"",[2]对账明细接口!$I$250),"")</f>
        <v/>
      </c>
      <c r="J250" s="18" t="str">
        <f>IFERROR(IF([2]对账明细接口!$J$250=0,"",[2]对账明细接口!$J$250),"")</f>
        <v/>
      </c>
      <c r="K250" s="18" t="str">
        <f>IFERROR(IF([2]对账明细接口!$K$250=0,"",[2]对账明细接口!$K$250),"")</f>
        <v/>
      </c>
      <c r="L250" s="16" t="str">
        <f>IFERROR(IF([2]对账明细接口!$L$250=0,"",[2]对账明细接口!$L$250),"")</f>
        <v/>
      </c>
      <c r="M250" s="16" t="str">
        <f>IFERROR(IF([2]对账明细接口!$M$250=0,"",[2]对账明细接口!$M$250),"")</f>
        <v/>
      </c>
      <c r="N250" s="19">
        <f t="shared" si="18"/>
        <v>0</v>
      </c>
      <c r="O250" s="19">
        <f t="shared" si="19"/>
        <v>165</v>
      </c>
      <c r="S250" s="20" t="str">
        <f>IFERROR(IF([2]对账明细接口!$N250=0,"",[2]对账明细接口!$N250),"")</f>
        <v/>
      </c>
      <c r="T250" s="21" t="str">
        <f>IFERROR(IF([2]对账明细接口!$O250=0,"",[2]对账明细接口!$O250),"")</f>
        <v/>
      </c>
      <c r="U250" s="21" t="str">
        <f>IFERROR(IF([2]对账明细接口!$P250=0,"",[2]对账明细接口!$P250),"")</f>
        <v/>
      </c>
      <c r="V250" s="21" t="str">
        <f>IFERROR(IF([2]对账明细接口!$Q250=0,"",[2]对账明细接口!$Q250),"")</f>
        <v/>
      </c>
      <c r="W250" s="20" t="str">
        <f>IFERROR(IF([2]对账明细接口!$R250=0,"",[2]对账明细接口!$R250),"")</f>
        <v/>
      </c>
      <c r="X250" s="20" t="str">
        <f>IFERROR(IF([2]对账明细接口!$S250=0,"",[2]对账明细接口!$S250),"")</f>
        <v/>
      </c>
      <c r="Y250" s="20" t="str">
        <f t="shared" si="20"/>
        <v/>
      </c>
      <c r="Z250" s="20" t="str">
        <f t="shared" si="21"/>
        <v/>
      </c>
      <c r="AA250" s="20" t="str">
        <f t="shared" si="22"/>
        <v/>
      </c>
      <c r="AB250" s="20" t="str">
        <f t="shared" si="23"/>
        <v/>
      </c>
    </row>
    <row r="251" customHeight="1" spans="1:28">
      <c r="A251" s="14">
        <v>251</v>
      </c>
      <c r="B251" s="15" t="str">
        <f>IFERROR(IF([2]对账明细接口!$B$251=0,"",[2]对账明细接口!$B$251),"")</f>
        <v/>
      </c>
      <c r="C251" s="16" t="str">
        <f>IFERROR(IF([2]对账明细接口!$C$251=0,"",[2]对账明细接口!$C$251),"")</f>
        <v/>
      </c>
      <c r="D251" s="16" t="str">
        <f>IFERROR(IF([2]对账明细接口!$D$251=0,"",[2]对账明细接口!$D$251),"")</f>
        <v/>
      </c>
      <c r="E251" s="16" t="str">
        <f>IFERROR(IF([2]对账明细接口!$E$251=0,"",[2]对账明细接口!$E$251),"")</f>
        <v/>
      </c>
      <c r="F251" s="16" t="str">
        <f>IFERROR(IF([2]对账明细接口!$F$251=0,"",[2]对账明细接口!$F$251),"")</f>
        <v/>
      </c>
      <c r="G251" s="16" t="str">
        <f>IFERROR(IF([2]对账明细接口!$G$251=0,"",[2]对账明细接口!$G$251),"")</f>
        <v/>
      </c>
      <c r="H251" s="17" t="str">
        <f>IFERROR(IF([2]对账明细接口!$H$251=0,"",[2]对账明细接口!$H$251),"")</f>
        <v/>
      </c>
      <c r="I251" s="16" t="str">
        <f>IFERROR(IF([2]对账明细接口!$I$251=0,"",[2]对账明细接口!$I$251),"")</f>
        <v/>
      </c>
      <c r="J251" s="18" t="str">
        <f>IFERROR(IF([2]对账明细接口!$J$251=0,"",[2]对账明细接口!$J$251),"")</f>
        <v/>
      </c>
      <c r="K251" s="18" t="str">
        <f>IFERROR(IF([2]对账明细接口!$K$251=0,"",[2]对账明细接口!$K$251),"")</f>
        <v/>
      </c>
      <c r="L251" s="16" t="str">
        <f>IFERROR(IF([2]对账明细接口!$L$251=0,"",[2]对账明细接口!$L$251),"")</f>
        <v/>
      </c>
      <c r="M251" s="16" t="str">
        <f>IFERROR(IF([2]对账明细接口!$M$251=0,"",[2]对账明细接口!$M$251),"")</f>
        <v/>
      </c>
      <c r="N251" s="19">
        <f t="shared" si="18"/>
        <v>0</v>
      </c>
      <c r="O251" s="19">
        <f t="shared" si="19"/>
        <v>165</v>
      </c>
      <c r="S251" s="20" t="str">
        <f>IFERROR(IF([2]对账明细接口!$N251=0,"",[2]对账明细接口!$N251),"")</f>
        <v/>
      </c>
      <c r="T251" s="21" t="str">
        <f>IFERROR(IF([2]对账明细接口!$O251=0,"",[2]对账明细接口!$O251),"")</f>
        <v/>
      </c>
      <c r="U251" s="21" t="str">
        <f>IFERROR(IF([2]对账明细接口!$P251=0,"",[2]对账明细接口!$P251),"")</f>
        <v/>
      </c>
      <c r="V251" s="21" t="str">
        <f>IFERROR(IF([2]对账明细接口!$Q251=0,"",[2]对账明细接口!$Q251),"")</f>
        <v/>
      </c>
      <c r="W251" s="20" t="str">
        <f>IFERROR(IF([2]对账明细接口!$R251=0,"",[2]对账明细接口!$R251),"")</f>
        <v/>
      </c>
      <c r="X251" s="20" t="str">
        <f>IFERROR(IF([2]对账明细接口!$S251=0,"",[2]对账明细接口!$S251),"")</f>
        <v/>
      </c>
      <c r="Y251" s="20" t="str">
        <f t="shared" si="20"/>
        <v/>
      </c>
      <c r="Z251" s="20" t="str">
        <f t="shared" si="21"/>
        <v/>
      </c>
      <c r="AA251" s="20" t="str">
        <f t="shared" si="22"/>
        <v/>
      </c>
      <c r="AB251" s="20" t="str">
        <f t="shared" si="23"/>
        <v/>
      </c>
    </row>
    <row r="252" customHeight="1" spans="1:28">
      <c r="A252" s="14">
        <v>252</v>
      </c>
      <c r="B252" s="15" t="str">
        <f>IFERROR(IF([2]对账明细接口!$B$252=0,"",[2]对账明细接口!$B$252),"")</f>
        <v/>
      </c>
      <c r="C252" s="16" t="str">
        <f>IFERROR(IF([2]对账明细接口!$C$252=0,"",[2]对账明细接口!$C$252),"")</f>
        <v/>
      </c>
      <c r="D252" s="16" t="str">
        <f>IFERROR(IF([2]对账明细接口!$D$252=0,"",[2]对账明细接口!$D$252),"")</f>
        <v/>
      </c>
      <c r="E252" s="16" t="str">
        <f>IFERROR(IF([2]对账明细接口!$E$252=0,"",[2]对账明细接口!$E$252),"")</f>
        <v/>
      </c>
      <c r="F252" s="16" t="str">
        <f>IFERROR(IF([2]对账明细接口!$F$252=0,"",[2]对账明细接口!$F$252),"")</f>
        <v/>
      </c>
      <c r="G252" s="16" t="str">
        <f>IFERROR(IF([2]对账明细接口!$G$252=0,"",[2]对账明细接口!$G$252),"")</f>
        <v/>
      </c>
      <c r="H252" s="17" t="str">
        <f>IFERROR(IF([2]对账明细接口!$H$252=0,"",[2]对账明细接口!$H$252),"")</f>
        <v/>
      </c>
      <c r="I252" s="16" t="str">
        <f>IFERROR(IF([2]对账明细接口!$I$252=0,"",[2]对账明细接口!$I$252),"")</f>
        <v/>
      </c>
      <c r="J252" s="18" t="str">
        <f>IFERROR(IF([2]对账明细接口!$J$252=0,"",[2]对账明细接口!$J$252),"")</f>
        <v/>
      </c>
      <c r="K252" s="18" t="str">
        <f>IFERROR(IF([2]对账明细接口!$K$252=0,"",[2]对账明细接口!$K$252),"")</f>
        <v/>
      </c>
      <c r="L252" s="16" t="str">
        <f>IFERROR(IF([2]对账明细接口!$L$252=0,"",[2]对账明细接口!$L$252),"")</f>
        <v/>
      </c>
      <c r="M252" s="16" t="str">
        <f>IFERROR(IF([2]对账明细接口!$M$252=0,"",[2]对账明细接口!$M$252),"")</f>
        <v/>
      </c>
      <c r="N252" s="19">
        <f t="shared" si="18"/>
        <v>0</v>
      </c>
      <c r="O252" s="19">
        <f t="shared" si="19"/>
        <v>165</v>
      </c>
      <c r="S252" s="20" t="str">
        <f>IFERROR(IF([2]对账明细接口!$N252=0,"",[2]对账明细接口!$N252),"")</f>
        <v/>
      </c>
      <c r="T252" s="21" t="str">
        <f>IFERROR(IF([2]对账明细接口!$O252=0,"",[2]对账明细接口!$O252),"")</f>
        <v/>
      </c>
      <c r="U252" s="21" t="str">
        <f>IFERROR(IF([2]对账明细接口!$P252=0,"",[2]对账明细接口!$P252),"")</f>
        <v/>
      </c>
      <c r="V252" s="21" t="str">
        <f>IFERROR(IF([2]对账明细接口!$Q252=0,"",[2]对账明细接口!$Q252),"")</f>
        <v/>
      </c>
      <c r="W252" s="20" t="str">
        <f>IFERROR(IF([2]对账明细接口!$R252=0,"",[2]对账明细接口!$R252),"")</f>
        <v/>
      </c>
      <c r="X252" s="20" t="str">
        <f>IFERROR(IF([2]对账明细接口!$S252=0,"",[2]对账明细接口!$S252),"")</f>
        <v/>
      </c>
      <c r="Y252" s="20" t="str">
        <f t="shared" si="20"/>
        <v/>
      </c>
      <c r="Z252" s="20" t="str">
        <f t="shared" si="21"/>
        <v/>
      </c>
      <c r="AA252" s="20" t="str">
        <f t="shared" si="22"/>
        <v/>
      </c>
      <c r="AB252" s="20" t="str">
        <f t="shared" si="23"/>
        <v/>
      </c>
    </row>
    <row r="253" customHeight="1" spans="1:28">
      <c r="A253" s="14">
        <v>253</v>
      </c>
      <c r="B253" s="15" t="str">
        <f>IFERROR(IF([2]对账明细接口!$B$253=0,"",[2]对账明细接口!$B$253),"")</f>
        <v/>
      </c>
      <c r="C253" s="16" t="str">
        <f>IFERROR(IF([2]对账明细接口!$C$253=0,"",[2]对账明细接口!$C$253),"")</f>
        <v/>
      </c>
      <c r="D253" s="16" t="str">
        <f>IFERROR(IF([2]对账明细接口!$D$253=0,"",[2]对账明细接口!$D$253),"")</f>
        <v/>
      </c>
      <c r="E253" s="16" t="str">
        <f>IFERROR(IF([2]对账明细接口!$E$253=0,"",[2]对账明细接口!$E$253),"")</f>
        <v/>
      </c>
      <c r="F253" s="16" t="str">
        <f>IFERROR(IF([2]对账明细接口!$F$253=0,"",[2]对账明细接口!$F$253),"")</f>
        <v/>
      </c>
      <c r="G253" s="16" t="str">
        <f>IFERROR(IF([2]对账明细接口!$G$253=0,"",[2]对账明细接口!$G$253),"")</f>
        <v/>
      </c>
      <c r="H253" s="17" t="str">
        <f>IFERROR(IF([2]对账明细接口!$H$253=0,"",[2]对账明细接口!$H$253),"")</f>
        <v/>
      </c>
      <c r="I253" s="16" t="str">
        <f>IFERROR(IF([2]对账明细接口!$I$253=0,"",[2]对账明细接口!$I$253),"")</f>
        <v/>
      </c>
      <c r="J253" s="18" t="str">
        <f>IFERROR(IF([2]对账明细接口!$J$253=0,"",[2]对账明细接口!$J$253),"")</f>
        <v/>
      </c>
      <c r="K253" s="18" t="str">
        <f>IFERROR(IF([2]对账明细接口!$K$253=0,"",[2]对账明细接口!$K$253),"")</f>
        <v/>
      </c>
      <c r="L253" s="16" t="str">
        <f>IFERROR(IF([2]对账明细接口!$L$253=0,"",[2]对账明细接口!$L$253),"")</f>
        <v/>
      </c>
      <c r="M253" s="16" t="str">
        <f>IFERROR(IF([2]对账明细接口!$M$253=0,"",[2]对账明细接口!$M$253),"")</f>
        <v/>
      </c>
      <c r="N253" s="19">
        <f t="shared" si="18"/>
        <v>0</v>
      </c>
      <c r="O253" s="19">
        <f t="shared" si="19"/>
        <v>165</v>
      </c>
      <c r="S253" s="20" t="str">
        <f>IFERROR(IF([2]对账明细接口!$N253=0,"",[2]对账明细接口!$N253),"")</f>
        <v/>
      </c>
      <c r="T253" s="21" t="str">
        <f>IFERROR(IF([2]对账明细接口!$O253=0,"",[2]对账明细接口!$O253),"")</f>
        <v/>
      </c>
      <c r="U253" s="21" t="str">
        <f>IFERROR(IF([2]对账明细接口!$P253=0,"",[2]对账明细接口!$P253),"")</f>
        <v/>
      </c>
      <c r="V253" s="21" t="str">
        <f>IFERROR(IF([2]对账明细接口!$Q253=0,"",[2]对账明细接口!$Q253),"")</f>
        <v/>
      </c>
      <c r="W253" s="20" t="str">
        <f>IFERROR(IF([2]对账明细接口!$R253=0,"",[2]对账明细接口!$R253),"")</f>
        <v/>
      </c>
      <c r="X253" s="20" t="str">
        <f>IFERROR(IF([2]对账明细接口!$S253=0,"",[2]对账明细接口!$S253),"")</f>
        <v/>
      </c>
      <c r="Y253" s="20" t="str">
        <f t="shared" si="20"/>
        <v/>
      </c>
      <c r="Z253" s="20" t="str">
        <f t="shared" si="21"/>
        <v/>
      </c>
      <c r="AA253" s="20" t="str">
        <f t="shared" si="22"/>
        <v/>
      </c>
      <c r="AB253" s="20" t="str">
        <f t="shared" si="23"/>
        <v/>
      </c>
    </row>
    <row r="254" customHeight="1" spans="1:28">
      <c r="A254" s="14">
        <v>254</v>
      </c>
      <c r="B254" s="15" t="str">
        <f>IFERROR(IF([2]对账明细接口!$B$254=0,"",[2]对账明细接口!$B$254),"")</f>
        <v/>
      </c>
      <c r="C254" s="16" t="str">
        <f>IFERROR(IF([2]对账明细接口!$C$254=0,"",[2]对账明细接口!$C$254),"")</f>
        <v/>
      </c>
      <c r="D254" s="16" t="str">
        <f>IFERROR(IF([2]对账明细接口!$D$254=0,"",[2]对账明细接口!$D$254),"")</f>
        <v/>
      </c>
      <c r="E254" s="16" t="str">
        <f>IFERROR(IF([2]对账明细接口!$E$254=0,"",[2]对账明细接口!$E$254),"")</f>
        <v/>
      </c>
      <c r="F254" s="16" t="str">
        <f>IFERROR(IF([2]对账明细接口!$F$254=0,"",[2]对账明细接口!$F$254),"")</f>
        <v/>
      </c>
      <c r="G254" s="16" t="str">
        <f>IFERROR(IF([2]对账明细接口!$G$254=0,"",[2]对账明细接口!$G$254),"")</f>
        <v/>
      </c>
      <c r="H254" s="17" t="str">
        <f>IFERROR(IF([2]对账明细接口!$H$254=0,"",[2]对账明细接口!$H$254),"")</f>
        <v/>
      </c>
      <c r="I254" s="16" t="str">
        <f>IFERROR(IF([2]对账明细接口!$I$254=0,"",[2]对账明细接口!$I$254),"")</f>
        <v/>
      </c>
      <c r="J254" s="18" t="str">
        <f>IFERROR(IF([2]对账明细接口!$J$254=0,"",[2]对账明细接口!$J$254),"")</f>
        <v/>
      </c>
      <c r="K254" s="18" t="str">
        <f>IFERROR(IF([2]对账明细接口!$K$254=0,"",[2]对账明细接口!$K$254),"")</f>
        <v/>
      </c>
      <c r="L254" s="16" t="str">
        <f>IFERROR(IF([2]对账明细接口!$L$254=0,"",[2]对账明细接口!$L$254),"")</f>
        <v/>
      </c>
      <c r="M254" s="16" t="str">
        <f>IFERROR(IF([2]对账明细接口!$M$254=0,"",[2]对账明细接口!$M$254),"")</f>
        <v/>
      </c>
      <c r="N254" s="19">
        <f t="shared" si="18"/>
        <v>0</v>
      </c>
      <c r="O254" s="19">
        <f t="shared" si="19"/>
        <v>165</v>
      </c>
      <c r="S254" s="20" t="str">
        <f>IFERROR(IF([2]对账明细接口!$N254=0,"",[2]对账明细接口!$N254),"")</f>
        <v/>
      </c>
      <c r="T254" s="21" t="str">
        <f>IFERROR(IF([2]对账明细接口!$O254=0,"",[2]对账明细接口!$O254),"")</f>
        <v/>
      </c>
      <c r="U254" s="21" t="str">
        <f>IFERROR(IF([2]对账明细接口!$P254=0,"",[2]对账明细接口!$P254),"")</f>
        <v/>
      </c>
      <c r="V254" s="21" t="str">
        <f>IFERROR(IF([2]对账明细接口!$Q254=0,"",[2]对账明细接口!$Q254),"")</f>
        <v/>
      </c>
      <c r="W254" s="20" t="str">
        <f>IFERROR(IF([2]对账明细接口!$R254=0,"",[2]对账明细接口!$R254),"")</f>
        <v/>
      </c>
      <c r="X254" s="20" t="str">
        <f>IFERROR(IF([2]对账明细接口!$S254=0,"",[2]对账明细接口!$S254),"")</f>
        <v/>
      </c>
      <c r="Y254" s="20" t="str">
        <f t="shared" si="20"/>
        <v/>
      </c>
      <c r="Z254" s="20" t="str">
        <f t="shared" si="21"/>
        <v/>
      </c>
      <c r="AA254" s="20" t="str">
        <f t="shared" si="22"/>
        <v/>
      </c>
      <c r="AB254" s="20" t="str">
        <f t="shared" si="23"/>
        <v/>
      </c>
    </row>
    <row r="255" customHeight="1" spans="1:28">
      <c r="A255" s="14">
        <v>255</v>
      </c>
      <c r="B255" s="15" t="str">
        <f>IFERROR(IF([2]对账明细接口!$B$255=0,"",[2]对账明细接口!$B$255),"")</f>
        <v/>
      </c>
      <c r="C255" s="16" t="str">
        <f>IFERROR(IF([2]对账明细接口!$C$255=0,"",[2]对账明细接口!$C$255),"")</f>
        <v/>
      </c>
      <c r="D255" s="16" t="str">
        <f>IFERROR(IF([2]对账明细接口!$D$255=0,"",[2]对账明细接口!$D$255),"")</f>
        <v/>
      </c>
      <c r="E255" s="16" t="str">
        <f>IFERROR(IF([2]对账明细接口!$E$255=0,"",[2]对账明细接口!$E$255),"")</f>
        <v/>
      </c>
      <c r="F255" s="16" t="str">
        <f>IFERROR(IF([2]对账明细接口!$F$255=0,"",[2]对账明细接口!$F$255),"")</f>
        <v/>
      </c>
      <c r="G255" s="16" t="str">
        <f>IFERROR(IF([2]对账明细接口!$G$255=0,"",[2]对账明细接口!$G$255),"")</f>
        <v/>
      </c>
      <c r="H255" s="17" t="str">
        <f>IFERROR(IF([2]对账明细接口!$H$255=0,"",[2]对账明细接口!$H$255),"")</f>
        <v/>
      </c>
      <c r="I255" s="16" t="str">
        <f>IFERROR(IF([2]对账明细接口!$I$255=0,"",[2]对账明细接口!$I$255),"")</f>
        <v/>
      </c>
      <c r="J255" s="18" t="str">
        <f>IFERROR(IF([2]对账明细接口!$J$255=0,"",[2]对账明细接口!$J$255),"")</f>
        <v/>
      </c>
      <c r="K255" s="18" t="str">
        <f>IFERROR(IF([2]对账明细接口!$K$255=0,"",[2]对账明细接口!$K$255),"")</f>
        <v/>
      </c>
      <c r="L255" s="16" t="str">
        <f>IFERROR(IF([2]对账明细接口!$L$255=0,"",[2]对账明细接口!$L$255),"")</f>
        <v/>
      </c>
      <c r="M255" s="16" t="str">
        <f>IFERROR(IF([2]对账明细接口!$M$255=0,"",[2]对账明细接口!$M$255),"")</f>
        <v/>
      </c>
      <c r="N255" s="19">
        <f t="shared" si="18"/>
        <v>0</v>
      </c>
      <c r="O255" s="19">
        <f t="shared" si="19"/>
        <v>165</v>
      </c>
      <c r="S255" s="20" t="str">
        <f>IFERROR(IF([2]对账明细接口!$N255=0,"",[2]对账明细接口!$N255),"")</f>
        <v/>
      </c>
      <c r="T255" s="21" t="str">
        <f>IFERROR(IF([2]对账明细接口!$O255=0,"",[2]对账明细接口!$O255),"")</f>
        <v/>
      </c>
      <c r="U255" s="21" t="str">
        <f>IFERROR(IF([2]对账明细接口!$P255=0,"",[2]对账明细接口!$P255),"")</f>
        <v/>
      </c>
      <c r="V255" s="21" t="str">
        <f>IFERROR(IF([2]对账明细接口!$Q255=0,"",[2]对账明细接口!$Q255),"")</f>
        <v/>
      </c>
      <c r="W255" s="20" t="str">
        <f>IFERROR(IF([2]对账明细接口!$R255=0,"",[2]对账明细接口!$R255),"")</f>
        <v/>
      </c>
      <c r="X255" s="20" t="str">
        <f>IFERROR(IF([2]对账明细接口!$S255=0,"",[2]对账明细接口!$S255),"")</f>
        <v/>
      </c>
      <c r="Y255" s="20" t="str">
        <f t="shared" si="20"/>
        <v/>
      </c>
      <c r="Z255" s="20" t="str">
        <f t="shared" si="21"/>
        <v/>
      </c>
      <c r="AA255" s="20" t="str">
        <f t="shared" si="22"/>
        <v/>
      </c>
      <c r="AB255" s="20" t="str">
        <f t="shared" si="23"/>
        <v/>
      </c>
    </row>
    <row r="256" customHeight="1" spans="1:28">
      <c r="A256" s="14">
        <v>256</v>
      </c>
      <c r="B256" s="15" t="str">
        <f>IFERROR(IF([2]对账明细接口!$B$256=0,"",[2]对账明细接口!$B$256),"")</f>
        <v/>
      </c>
      <c r="C256" s="16" t="str">
        <f>IFERROR(IF([2]对账明细接口!$C$256=0,"",[2]对账明细接口!$C$256),"")</f>
        <v/>
      </c>
      <c r="D256" s="16" t="str">
        <f>IFERROR(IF([2]对账明细接口!$D$256=0,"",[2]对账明细接口!$D$256),"")</f>
        <v/>
      </c>
      <c r="E256" s="16" t="str">
        <f>IFERROR(IF([2]对账明细接口!$E$256=0,"",[2]对账明细接口!$E$256),"")</f>
        <v/>
      </c>
      <c r="F256" s="16" t="str">
        <f>IFERROR(IF([2]对账明细接口!$F$256=0,"",[2]对账明细接口!$F$256),"")</f>
        <v/>
      </c>
      <c r="G256" s="16" t="str">
        <f>IFERROR(IF([2]对账明细接口!$G$256=0,"",[2]对账明细接口!$G$256),"")</f>
        <v/>
      </c>
      <c r="H256" s="17" t="str">
        <f>IFERROR(IF([2]对账明细接口!$H$256=0,"",[2]对账明细接口!$H$256),"")</f>
        <v/>
      </c>
      <c r="I256" s="16" t="str">
        <f>IFERROR(IF([2]对账明细接口!$I$256=0,"",[2]对账明细接口!$I$256),"")</f>
        <v/>
      </c>
      <c r="J256" s="18" t="str">
        <f>IFERROR(IF([2]对账明细接口!$J$256=0,"",[2]对账明细接口!$J$256),"")</f>
        <v/>
      </c>
      <c r="K256" s="18" t="str">
        <f>IFERROR(IF([2]对账明细接口!$K$256=0,"",[2]对账明细接口!$K$256),"")</f>
        <v/>
      </c>
      <c r="L256" s="16" t="str">
        <f>IFERROR(IF([2]对账明细接口!$L$256=0,"",[2]对账明细接口!$L$256),"")</f>
        <v/>
      </c>
      <c r="M256" s="16" t="str">
        <f>IFERROR(IF([2]对账明细接口!$M$256=0,"",[2]对账明细接口!$M$256),"")</f>
        <v/>
      </c>
      <c r="N256" s="19">
        <f t="shared" si="18"/>
        <v>0</v>
      </c>
      <c r="O256" s="19">
        <f t="shared" si="19"/>
        <v>165</v>
      </c>
      <c r="S256" s="20" t="str">
        <f>IFERROR(IF([2]对账明细接口!$N256=0,"",[2]对账明细接口!$N256),"")</f>
        <v/>
      </c>
      <c r="T256" s="21" t="str">
        <f>IFERROR(IF([2]对账明细接口!$O256=0,"",[2]对账明细接口!$O256),"")</f>
        <v/>
      </c>
      <c r="U256" s="21" t="str">
        <f>IFERROR(IF([2]对账明细接口!$P256=0,"",[2]对账明细接口!$P256),"")</f>
        <v/>
      </c>
      <c r="V256" s="21" t="str">
        <f>IFERROR(IF([2]对账明细接口!$Q256=0,"",[2]对账明细接口!$Q256),"")</f>
        <v/>
      </c>
      <c r="W256" s="20" t="str">
        <f>IFERROR(IF([2]对账明细接口!$R256=0,"",[2]对账明细接口!$R256),"")</f>
        <v/>
      </c>
      <c r="X256" s="20" t="str">
        <f>IFERROR(IF([2]对账明细接口!$S256=0,"",[2]对账明细接口!$S256),"")</f>
        <v/>
      </c>
      <c r="Y256" s="20" t="str">
        <f t="shared" si="20"/>
        <v/>
      </c>
      <c r="Z256" s="20" t="str">
        <f t="shared" si="21"/>
        <v/>
      </c>
      <c r="AA256" s="20" t="str">
        <f t="shared" si="22"/>
        <v/>
      </c>
      <c r="AB256" s="20" t="str">
        <f t="shared" si="23"/>
        <v/>
      </c>
    </row>
    <row r="257" customHeight="1" spans="1:28">
      <c r="A257" s="14">
        <v>257</v>
      </c>
      <c r="B257" s="15" t="str">
        <f>IFERROR(IF([2]对账明细接口!$B$257=0,"",[2]对账明细接口!$B$257),"")</f>
        <v/>
      </c>
      <c r="C257" s="16" t="str">
        <f>IFERROR(IF([2]对账明细接口!$C$257=0,"",[2]对账明细接口!$C$257),"")</f>
        <v/>
      </c>
      <c r="D257" s="16" t="str">
        <f>IFERROR(IF([2]对账明细接口!$D$257=0,"",[2]对账明细接口!$D$257),"")</f>
        <v/>
      </c>
      <c r="E257" s="16" t="str">
        <f>IFERROR(IF([2]对账明细接口!$E$257=0,"",[2]对账明细接口!$E$257),"")</f>
        <v/>
      </c>
      <c r="F257" s="16" t="str">
        <f>IFERROR(IF([2]对账明细接口!$F$257=0,"",[2]对账明细接口!$F$257),"")</f>
        <v/>
      </c>
      <c r="G257" s="16" t="str">
        <f>IFERROR(IF([2]对账明细接口!$G$257=0,"",[2]对账明细接口!$G$257),"")</f>
        <v/>
      </c>
      <c r="H257" s="17" t="str">
        <f>IFERROR(IF([2]对账明细接口!$H$257=0,"",[2]对账明细接口!$H$257),"")</f>
        <v/>
      </c>
      <c r="I257" s="16" t="str">
        <f>IFERROR(IF([2]对账明细接口!$I$257=0,"",[2]对账明细接口!$I$257),"")</f>
        <v/>
      </c>
      <c r="J257" s="18" t="str">
        <f>IFERROR(IF([2]对账明细接口!$J$257=0,"",[2]对账明细接口!$J$257),"")</f>
        <v/>
      </c>
      <c r="K257" s="18" t="str">
        <f>IFERROR(IF([2]对账明细接口!$K$257=0,"",[2]对账明细接口!$K$257),"")</f>
        <v/>
      </c>
      <c r="L257" s="16" t="str">
        <f>IFERROR(IF([2]对账明细接口!$L$257=0,"",[2]对账明细接口!$L$257),"")</f>
        <v/>
      </c>
      <c r="M257" s="16" t="str">
        <f>IFERROR(IF([2]对账明细接口!$M$257=0,"",[2]对账明细接口!$M$257),"")</f>
        <v/>
      </c>
      <c r="N257" s="19">
        <f t="shared" si="18"/>
        <v>0</v>
      </c>
      <c r="O257" s="19">
        <f t="shared" si="19"/>
        <v>165</v>
      </c>
      <c r="S257" s="20" t="str">
        <f>IFERROR(IF([2]对账明细接口!$N257=0,"",[2]对账明细接口!$N257),"")</f>
        <v/>
      </c>
      <c r="T257" s="21" t="str">
        <f>IFERROR(IF([2]对账明细接口!$O257=0,"",[2]对账明细接口!$O257),"")</f>
        <v/>
      </c>
      <c r="U257" s="21" t="str">
        <f>IFERROR(IF([2]对账明细接口!$P257=0,"",[2]对账明细接口!$P257),"")</f>
        <v/>
      </c>
      <c r="V257" s="21" t="str">
        <f>IFERROR(IF([2]对账明细接口!$Q257=0,"",[2]对账明细接口!$Q257),"")</f>
        <v/>
      </c>
      <c r="W257" s="20" t="str">
        <f>IFERROR(IF([2]对账明细接口!$R257=0,"",[2]对账明细接口!$R257),"")</f>
        <v/>
      </c>
      <c r="X257" s="20" t="str">
        <f>IFERROR(IF([2]对账明细接口!$S257=0,"",[2]对账明细接口!$S257),"")</f>
        <v/>
      </c>
      <c r="Y257" s="20" t="str">
        <f t="shared" si="20"/>
        <v/>
      </c>
      <c r="Z257" s="20" t="str">
        <f t="shared" si="21"/>
        <v/>
      </c>
      <c r="AA257" s="20" t="str">
        <f t="shared" si="22"/>
        <v/>
      </c>
      <c r="AB257" s="20" t="str">
        <f t="shared" si="23"/>
        <v/>
      </c>
    </row>
    <row r="258" customHeight="1" spans="1:28">
      <c r="A258" s="14">
        <v>258</v>
      </c>
      <c r="B258" s="15" t="str">
        <f>IFERROR(IF([2]对账明细接口!$B$258=0,"",[2]对账明细接口!$B$258),"")</f>
        <v/>
      </c>
      <c r="C258" s="16" t="str">
        <f>IFERROR(IF([2]对账明细接口!$C$258=0,"",[2]对账明细接口!$C$258),"")</f>
        <v/>
      </c>
      <c r="D258" s="16" t="str">
        <f>IFERROR(IF([2]对账明细接口!$D$258=0,"",[2]对账明细接口!$D$258),"")</f>
        <v/>
      </c>
      <c r="E258" s="16" t="str">
        <f>IFERROR(IF([2]对账明细接口!$E$258=0,"",[2]对账明细接口!$E$258),"")</f>
        <v/>
      </c>
      <c r="F258" s="16" t="str">
        <f>IFERROR(IF([2]对账明细接口!$F$258=0,"",[2]对账明细接口!$F$258),"")</f>
        <v/>
      </c>
      <c r="G258" s="16" t="str">
        <f>IFERROR(IF([2]对账明细接口!$G$258=0,"",[2]对账明细接口!$G$258),"")</f>
        <v/>
      </c>
      <c r="H258" s="17" t="str">
        <f>IFERROR(IF([2]对账明细接口!$H$258=0,"",[2]对账明细接口!$H$258),"")</f>
        <v/>
      </c>
      <c r="I258" s="16" t="str">
        <f>IFERROR(IF([2]对账明细接口!$I$258=0,"",[2]对账明细接口!$I$258),"")</f>
        <v/>
      </c>
      <c r="J258" s="18" t="str">
        <f>IFERROR(IF([2]对账明细接口!$J$258=0,"",[2]对账明细接口!$J$258),"")</f>
        <v/>
      </c>
      <c r="K258" s="18" t="str">
        <f>IFERROR(IF([2]对账明细接口!$K$258=0,"",[2]对账明细接口!$K$258),"")</f>
        <v/>
      </c>
      <c r="L258" s="16" t="str">
        <f>IFERROR(IF([2]对账明细接口!$L$258=0,"",[2]对账明细接口!$L$258),"")</f>
        <v/>
      </c>
      <c r="M258" s="16" t="str">
        <f>IFERROR(IF([2]对账明细接口!$M$258=0,"",[2]对账明细接口!$M$258),"")</f>
        <v/>
      </c>
      <c r="N258" s="19">
        <f t="shared" si="18"/>
        <v>0</v>
      </c>
      <c r="O258" s="19">
        <f t="shared" si="19"/>
        <v>165</v>
      </c>
      <c r="S258" s="20" t="str">
        <f>IFERROR(IF([2]对账明细接口!$N258=0,"",[2]对账明细接口!$N258),"")</f>
        <v/>
      </c>
      <c r="T258" s="21" t="str">
        <f>IFERROR(IF([2]对账明细接口!$O258=0,"",[2]对账明细接口!$O258),"")</f>
        <v/>
      </c>
      <c r="U258" s="21" t="str">
        <f>IFERROR(IF([2]对账明细接口!$P258=0,"",[2]对账明细接口!$P258),"")</f>
        <v/>
      </c>
      <c r="V258" s="21" t="str">
        <f>IFERROR(IF([2]对账明细接口!$Q258=0,"",[2]对账明细接口!$Q258),"")</f>
        <v/>
      </c>
      <c r="W258" s="20" t="str">
        <f>IFERROR(IF([2]对账明细接口!$R258=0,"",[2]对账明细接口!$R258),"")</f>
        <v/>
      </c>
      <c r="X258" s="20" t="str">
        <f>IFERROR(IF([2]对账明细接口!$S258=0,"",[2]对账明细接口!$S258),"")</f>
        <v/>
      </c>
      <c r="Y258" s="20" t="str">
        <f t="shared" si="20"/>
        <v/>
      </c>
      <c r="Z258" s="20" t="str">
        <f t="shared" si="21"/>
        <v/>
      </c>
      <c r="AA258" s="20" t="str">
        <f t="shared" si="22"/>
        <v/>
      </c>
      <c r="AB258" s="20" t="str">
        <f t="shared" si="23"/>
        <v/>
      </c>
    </row>
    <row r="259" customHeight="1" spans="1:28">
      <c r="A259" s="14">
        <v>259</v>
      </c>
      <c r="B259" s="15" t="str">
        <f>IFERROR(IF([2]对账明细接口!$B$259=0,"",[2]对账明细接口!$B$259),"")</f>
        <v/>
      </c>
      <c r="C259" s="16" t="str">
        <f>IFERROR(IF([2]对账明细接口!$C$259=0,"",[2]对账明细接口!$C$259),"")</f>
        <v/>
      </c>
      <c r="D259" s="16" t="str">
        <f>IFERROR(IF([2]对账明细接口!$D$259=0,"",[2]对账明细接口!$D$259),"")</f>
        <v/>
      </c>
      <c r="E259" s="16" t="str">
        <f>IFERROR(IF([2]对账明细接口!$E$259=0,"",[2]对账明细接口!$E$259),"")</f>
        <v/>
      </c>
      <c r="F259" s="16" t="str">
        <f>IFERROR(IF([2]对账明细接口!$F$259=0,"",[2]对账明细接口!$F$259),"")</f>
        <v/>
      </c>
      <c r="G259" s="16" t="str">
        <f>IFERROR(IF([2]对账明细接口!$G$259=0,"",[2]对账明细接口!$G$259),"")</f>
        <v/>
      </c>
      <c r="H259" s="17" t="str">
        <f>IFERROR(IF([2]对账明细接口!$H$259=0,"",[2]对账明细接口!$H$259),"")</f>
        <v/>
      </c>
      <c r="I259" s="16" t="str">
        <f>IFERROR(IF([2]对账明细接口!$I$259=0,"",[2]对账明细接口!$I$259),"")</f>
        <v/>
      </c>
      <c r="J259" s="18" t="str">
        <f>IFERROR(IF([2]对账明细接口!$J$259=0,"",[2]对账明细接口!$J$259),"")</f>
        <v/>
      </c>
      <c r="K259" s="18" t="str">
        <f>IFERROR(IF([2]对账明细接口!$K$259=0,"",[2]对账明细接口!$K$259),"")</f>
        <v/>
      </c>
      <c r="L259" s="16" t="str">
        <f>IFERROR(IF([2]对账明细接口!$L$259=0,"",[2]对账明细接口!$L$259),"")</f>
        <v/>
      </c>
      <c r="M259" s="16" t="str">
        <f>IFERROR(IF([2]对账明细接口!$M$259=0,"",[2]对账明细接口!$M$259),"")</f>
        <v/>
      </c>
      <c r="N259" s="19">
        <f t="shared" si="18"/>
        <v>0</v>
      </c>
      <c r="O259" s="19">
        <f t="shared" si="19"/>
        <v>165</v>
      </c>
      <c r="S259" s="20" t="str">
        <f>IFERROR(IF([2]对账明细接口!$N259=0,"",[2]对账明细接口!$N259),"")</f>
        <v/>
      </c>
      <c r="T259" s="21" t="str">
        <f>IFERROR(IF([2]对账明细接口!$O259=0,"",[2]对账明细接口!$O259),"")</f>
        <v/>
      </c>
      <c r="U259" s="21" t="str">
        <f>IFERROR(IF([2]对账明细接口!$P259=0,"",[2]对账明细接口!$P259),"")</f>
        <v/>
      </c>
      <c r="V259" s="21" t="str">
        <f>IFERROR(IF([2]对账明细接口!$Q259=0,"",[2]对账明细接口!$Q259),"")</f>
        <v/>
      </c>
      <c r="W259" s="20" t="str">
        <f>IFERROR(IF([2]对账明细接口!$R259=0,"",[2]对账明细接口!$R259),"")</f>
        <v/>
      </c>
      <c r="X259" s="20" t="str">
        <f>IFERROR(IF([2]对账明细接口!$S259=0,"",[2]对账明细接口!$S259),"")</f>
        <v/>
      </c>
      <c r="Y259" s="20" t="str">
        <f t="shared" si="20"/>
        <v/>
      </c>
      <c r="Z259" s="20" t="str">
        <f t="shared" si="21"/>
        <v/>
      </c>
      <c r="AA259" s="20" t="str">
        <f t="shared" si="22"/>
        <v/>
      </c>
      <c r="AB259" s="20" t="str">
        <f t="shared" si="23"/>
        <v/>
      </c>
    </row>
    <row r="260" customHeight="1" spans="1:28">
      <c r="A260" s="14">
        <v>260</v>
      </c>
      <c r="B260" s="15" t="str">
        <f>IFERROR(IF([2]对账明细接口!$B$260=0,"",[2]对账明细接口!$B$260),"")</f>
        <v/>
      </c>
      <c r="C260" s="16" t="str">
        <f>IFERROR(IF([2]对账明细接口!$C$260=0,"",[2]对账明细接口!$C$260),"")</f>
        <v/>
      </c>
      <c r="D260" s="16" t="str">
        <f>IFERROR(IF([2]对账明细接口!$D$260=0,"",[2]对账明细接口!$D$260),"")</f>
        <v/>
      </c>
      <c r="E260" s="16" t="str">
        <f>IFERROR(IF([2]对账明细接口!$E$260=0,"",[2]对账明细接口!$E$260),"")</f>
        <v/>
      </c>
      <c r="F260" s="16" t="str">
        <f>IFERROR(IF([2]对账明细接口!$F$260=0,"",[2]对账明细接口!$F$260),"")</f>
        <v/>
      </c>
      <c r="G260" s="16" t="str">
        <f>IFERROR(IF([2]对账明细接口!$G$260=0,"",[2]对账明细接口!$G$260),"")</f>
        <v/>
      </c>
      <c r="H260" s="17" t="str">
        <f>IFERROR(IF([2]对账明细接口!$H$260=0,"",[2]对账明细接口!$H$260),"")</f>
        <v/>
      </c>
      <c r="I260" s="16" t="str">
        <f>IFERROR(IF([2]对账明细接口!$I$260=0,"",[2]对账明细接口!$I$260),"")</f>
        <v/>
      </c>
      <c r="J260" s="18" t="str">
        <f>IFERROR(IF([2]对账明细接口!$J$260=0,"",[2]对账明细接口!$J$260),"")</f>
        <v/>
      </c>
      <c r="K260" s="18" t="str">
        <f>IFERROR(IF([2]对账明细接口!$K$260=0,"",[2]对账明细接口!$K$260),"")</f>
        <v/>
      </c>
      <c r="L260" s="16" t="str">
        <f>IFERROR(IF([2]对账明细接口!$L$260=0,"",[2]对账明细接口!$L$260),"")</f>
        <v/>
      </c>
      <c r="M260" s="16" t="str">
        <f>IFERROR(IF([2]对账明细接口!$M$260=0,"",[2]对账明细接口!$M$260),"")</f>
        <v/>
      </c>
      <c r="N260" s="19">
        <f t="shared" ref="N260:N323" si="24">IF($C260="",0,1)</f>
        <v>0</v>
      </c>
      <c r="O260" s="19">
        <f t="shared" ref="O260:O323" si="25">N(O259)+$N260</f>
        <v>165</v>
      </c>
      <c r="S260" s="20" t="str">
        <f>IFERROR(IF([2]对账明细接口!$N260=0,"",[2]对账明细接口!$N260),"")</f>
        <v/>
      </c>
      <c r="T260" s="21" t="str">
        <f>IFERROR(IF([2]对账明细接口!$O260=0,"",[2]对账明细接口!$O260),"")</f>
        <v/>
      </c>
      <c r="U260" s="21" t="str">
        <f>IFERROR(IF([2]对账明细接口!$P260=0,"",[2]对账明细接口!$P260),"")</f>
        <v/>
      </c>
      <c r="V260" s="21" t="str">
        <f>IFERROR(IF([2]对账明细接口!$Q260=0,"",[2]对账明细接口!$Q260),"")</f>
        <v/>
      </c>
      <c r="W260" s="20" t="str">
        <f>IFERROR(IF([2]对账明细接口!$R260=0,"",[2]对账明细接口!$R260),"")</f>
        <v/>
      </c>
      <c r="X260" s="20" t="str">
        <f>IFERROR(IF([2]对账明细接口!$S260=0,"",[2]对账明细接口!$S260),"")</f>
        <v/>
      </c>
      <c r="Y260" s="20" t="str">
        <f t="shared" ref="Y260:Y323" si="26">""</f>
        <v/>
      </c>
      <c r="Z260" s="20" t="str">
        <f t="shared" ref="Z260:Z323" si="27">""</f>
        <v/>
      </c>
      <c r="AA260" s="20" t="str">
        <f t="shared" ref="AA260:AA323" si="28">""</f>
        <v/>
      </c>
      <c r="AB260" s="20" t="str">
        <f t="shared" ref="AB260:AB323" si="29">""</f>
        <v/>
      </c>
    </row>
    <row r="261" customHeight="1" spans="1:28">
      <c r="A261" s="14">
        <v>261</v>
      </c>
      <c r="B261" s="15" t="str">
        <f>IFERROR(IF([2]对账明细接口!$B$261=0,"",[2]对账明细接口!$B$261),"")</f>
        <v/>
      </c>
      <c r="C261" s="16" t="str">
        <f>IFERROR(IF([2]对账明细接口!$C$261=0,"",[2]对账明细接口!$C$261),"")</f>
        <v/>
      </c>
      <c r="D261" s="16" t="str">
        <f>IFERROR(IF([2]对账明细接口!$D$261=0,"",[2]对账明细接口!$D$261),"")</f>
        <v/>
      </c>
      <c r="E261" s="16" t="str">
        <f>IFERROR(IF([2]对账明细接口!$E$261=0,"",[2]对账明细接口!$E$261),"")</f>
        <v/>
      </c>
      <c r="F261" s="16" t="str">
        <f>IFERROR(IF([2]对账明细接口!$F$261=0,"",[2]对账明细接口!$F$261),"")</f>
        <v/>
      </c>
      <c r="G261" s="16" t="str">
        <f>IFERROR(IF([2]对账明细接口!$G$261=0,"",[2]对账明细接口!$G$261),"")</f>
        <v/>
      </c>
      <c r="H261" s="17" t="str">
        <f>IFERROR(IF([2]对账明细接口!$H$261=0,"",[2]对账明细接口!$H$261),"")</f>
        <v/>
      </c>
      <c r="I261" s="16" t="str">
        <f>IFERROR(IF([2]对账明细接口!$I$261=0,"",[2]对账明细接口!$I$261),"")</f>
        <v/>
      </c>
      <c r="J261" s="18" t="str">
        <f>IFERROR(IF([2]对账明细接口!$J$261=0,"",[2]对账明细接口!$J$261),"")</f>
        <v/>
      </c>
      <c r="K261" s="18" t="str">
        <f>IFERROR(IF([2]对账明细接口!$K$261=0,"",[2]对账明细接口!$K$261),"")</f>
        <v/>
      </c>
      <c r="L261" s="16" t="str">
        <f>IFERROR(IF([2]对账明细接口!$L$261=0,"",[2]对账明细接口!$L$261),"")</f>
        <v/>
      </c>
      <c r="M261" s="16" t="str">
        <f>IFERROR(IF([2]对账明细接口!$M$261=0,"",[2]对账明细接口!$M$261),"")</f>
        <v/>
      </c>
      <c r="N261" s="19">
        <f t="shared" si="24"/>
        <v>0</v>
      </c>
      <c r="O261" s="19">
        <f t="shared" si="25"/>
        <v>165</v>
      </c>
      <c r="S261" s="20" t="str">
        <f>IFERROR(IF([2]对账明细接口!$N261=0,"",[2]对账明细接口!$N261),"")</f>
        <v/>
      </c>
      <c r="T261" s="21" t="str">
        <f>IFERROR(IF([2]对账明细接口!$O261=0,"",[2]对账明细接口!$O261),"")</f>
        <v/>
      </c>
      <c r="U261" s="21" t="str">
        <f>IFERROR(IF([2]对账明细接口!$P261=0,"",[2]对账明细接口!$P261),"")</f>
        <v/>
      </c>
      <c r="V261" s="21" t="str">
        <f>IFERROR(IF([2]对账明细接口!$Q261=0,"",[2]对账明细接口!$Q261),"")</f>
        <v/>
      </c>
      <c r="W261" s="20" t="str">
        <f>IFERROR(IF([2]对账明细接口!$R261=0,"",[2]对账明细接口!$R261),"")</f>
        <v/>
      </c>
      <c r="X261" s="20" t="str">
        <f>IFERROR(IF([2]对账明细接口!$S261=0,"",[2]对账明细接口!$S261),"")</f>
        <v/>
      </c>
      <c r="Y261" s="20" t="str">
        <f t="shared" si="26"/>
        <v/>
      </c>
      <c r="Z261" s="20" t="str">
        <f t="shared" si="27"/>
        <v/>
      </c>
      <c r="AA261" s="20" t="str">
        <f t="shared" si="28"/>
        <v/>
      </c>
      <c r="AB261" s="20" t="str">
        <f t="shared" si="29"/>
        <v/>
      </c>
    </row>
    <row r="262" customHeight="1" spans="1:28">
      <c r="A262" s="14">
        <v>262</v>
      </c>
      <c r="B262" s="15" t="str">
        <f>IFERROR(IF([2]对账明细接口!$B$262=0,"",[2]对账明细接口!$B$262),"")</f>
        <v/>
      </c>
      <c r="C262" s="16" t="str">
        <f>IFERROR(IF([2]对账明细接口!$C$262=0,"",[2]对账明细接口!$C$262),"")</f>
        <v/>
      </c>
      <c r="D262" s="16" t="str">
        <f>IFERROR(IF([2]对账明细接口!$D$262=0,"",[2]对账明细接口!$D$262),"")</f>
        <v/>
      </c>
      <c r="E262" s="16" t="str">
        <f>IFERROR(IF([2]对账明细接口!$E$262=0,"",[2]对账明细接口!$E$262),"")</f>
        <v/>
      </c>
      <c r="F262" s="16" t="str">
        <f>IFERROR(IF([2]对账明细接口!$F$262=0,"",[2]对账明细接口!$F$262),"")</f>
        <v/>
      </c>
      <c r="G262" s="16" t="str">
        <f>IFERROR(IF([2]对账明细接口!$G$262=0,"",[2]对账明细接口!$G$262),"")</f>
        <v/>
      </c>
      <c r="H262" s="17" t="str">
        <f>IFERROR(IF([2]对账明细接口!$H$262=0,"",[2]对账明细接口!$H$262),"")</f>
        <v/>
      </c>
      <c r="I262" s="16" t="str">
        <f>IFERROR(IF([2]对账明细接口!$I$262=0,"",[2]对账明细接口!$I$262),"")</f>
        <v/>
      </c>
      <c r="J262" s="18" t="str">
        <f>IFERROR(IF([2]对账明细接口!$J$262=0,"",[2]对账明细接口!$J$262),"")</f>
        <v/>
      </c>
      <c r="K262" s="18" t="str">
        <f>IFERROR(IF([2]对账明细接口!$K$262=0,"",[2]对账明细接口!$K$262),"")</f>
        <v/>
      </c>
      <c r="L262" s="16" t="str">
        <f>IFERROR(IF([2]对账明细接口!$L$262=0,"",[2]对账明细接口!$L$262),"")</f>
        <v/>
      </c>
      <c r="M262" s="16" t="str">
        <f>IFERROR(IF([2]对账明细接口!$M$262=0,"",[2]对账明细接口!$M$262),"")</f>
        <v/>
      </c>
      <c r="N262" s="19">
        <f t="shared" si="24"/>
        <v>0</v>
      </c>
      <c r="O262" s="19">
        <f t="shared" si="25"/>
        <v>165</v>
      </c>
      <c r="S262" s="20" t="str">
        <f>IFERROR(IF([2]对账明细接口!$N262=0,"",[2]对账明细接口!$N262),"")</f>
        <v/>
      </c>
      <c r="T262" s="21" t="str">
        <f>IFERROR(IF([2]对账明细接口!$O262=0,"",[2]对账明细接口!$O262),"")</f>
        <v/>
      </c>
      <c r="U262" s="21" t="str">
        <f>IFERROR(IF([2]对账明细接口!$P262=0,"",[2]对账明细接口!$P262),"")</f>
        <v/>
      </c>
      <c r="V262" s="21" t="str">
        <f>IFERROR(IF([2]对账明细接口!$Q262=0,"",[2]对账明细接口!$Q262),"")</f>
        <v/>
      </c>
      <c r="W262" s="20" t="str">
        <f>IFERROR(IF([2]对账明细接口!$R262=0,"",[2]对账明细接口!$R262),"")</f>
        <v/>
      </c>
      <c r="X262" s="20" t="str">
        <f>IFERROR(IF([2]对账明细接口!$S262=0,"",[2]对账明细接口!$S262),"")</f>
        <v/>
      </c>
      <c r="Y262" s="20" t="str">
        <f t="shared" si="26"/>
        <v/>
      </c>
      <c r="Z262" s="20" t="str">
        <f t="shared" si="27"/>
        <v/>
      </c>
      <c r="AA262" s="20" t="str">
        <f t="shared" si="28"/>
        <v/>
      </c>
      <c r="AB262" s="20" t="str">
        <f t="shared" si="29"/>
        <v/>
      </c>
    </row>
    <row r="263" customHeight="1" spans="1:28">
      <c r="A263" s="14">
        <v>263</v>
      </c>
      <c r="B263" s="15" t="str">
        <f>IFERROR(IF([2]对账明细接口!$B$263=0,"",[2]对账明细接口!$B$263),"")</f>
        <v/>
      </c>
      <c r="C263" s="16" t="str">
        <f>IFERROR(IF([2]对账明细接口!$C$263=0,"",[2]对账明细接口!$C$263),"")</f>
        <v/>
      </c>
      <c r="D263" s="16" t="str">
        <f>IFERROR(IF([2]对账明细接口!$D$263=0,"",[2]对账明细接口!$D$263),"")</f>
        <v/>
      </c>
      <c r="E263" s="16" t="str">
        <f>IFERROR(IF([2]对账明细接口!$E$263=0,"",[2]对账明细接口!$E$263),"")</f>
        <v/>
      </c>
      <c r="F263" s="16" t="str">
        <f>IFERROR(IF([2]对账明细接口!$F$263=0,"",[2]对账明细接口!$F$263),"")</f>
        <v/>
      </c>
      <c r="G263" s="16" t="str">
        <f>IFERROR(IF([2]对账明细接口!$G$263=0,"",[2]对账明细接口!$G$263),"")</f>
        <v/>
      </c>
      <c r="H263" s="17" t="str">
        <f>IFERROR(IF([2]对账明细接口!$H$263=0,"",[2]对账明细接口!$H$263),"")</f>
        <v/>
      </c>
      <c r="I263" s="16" t="str">
        <f>IFERROR(IF([2]对账明细接口!$I$263=0,"",[2]对账明细接口!$I$263),"")</f>
        <v/>
      </c>
      <c r="J263" s="18" t="str">
        <f>IFERROR(IF([2]对账明细接口!$J$263=0,"",[2]对账明细接口!$J$263),"")</f>
        <v/>
      </c>
      <c r="K263" s="18" t="str">
        <f>IFERROR(IF([2]对账明细接口!$K$263=0,"",[2]对账明细接口!$K$263),"")</f>
        <v/>
      </c>
      <c r="L263" s="16" t="str">
        <f>IFERROR(IF([2]对账明细接口!$L$263=0,"",[2]对账明细接口!$L$263),"")</f>
        <v/>
      </c>
      <c r="M263" s="16" t="str">
        <f>IFERROR(IF([2]对账明细接口!$M$263=0,"",[2]对账明细接口!$M$263),"")</f>
        <v/>
      </c>
      <c r="N263" s="19">
        <f t="shared" si="24"/>
        <v>0</v>
      </c>
      <c r="O263" s="19">
        <f t="shared" si="25"/>
        <v>165</v>
      </c>
      <c r="S263" s="20" t="str">
        <f>IFERROR(IF([2]对账明细接口!$N263=0,"",[2]对账明细接口!$N263),"")</f>
        <v/>
      </c>
      <c r="T263" s="21" t="str">
        <f>IFERROR(IF([2]对账明细接口!$O263=0,"",[2]对账明细接口!$O263),"")</f>
        <v/>
      </c>
      <c r="U263" s="21" t="str">
        <f>IFERROR(IF([2]对账明细接口!$P263=0,"",[2]对账明细接口!$P263),"")</f>
        <v/>
      </c>
      <c r="V263" s="21" t="str">
        <f>IFERROR(IF([2]对账明细接口!$Q263=0,"",[2]对账明细接口!$Q263),"")</f>
        <v/>
      </c>
      <c r="W263" s="20" t="str">
        <f>IFERROR(IF([2]对账明细接口!$R263=0,"",[2]对账明细接口!$R263),"")</f>
        <v/>
      </c>
      <c r="X263" s="20" t="str">
        <f>IFERROR(IF([2]对账明细接口!$S263=0,"",[2]对账明细接口!$S263),"")</f>
        <v/>
      </c>
      <c r="Y263" s="20" t="str">
        <f t="shared" si="26"/>
        <v/>
      </c>
      <c r="Z263" s="20" t="str">
        <f t="shared" si="27"/>
        <v/>
      </c>
      <c r="AA263" s="20" t="str">
        <f t="shared" si="28"/>
        <v/>
      </c>
      <c r="AB263" s="20" t="str">
        <f t="shared" si="29"/>
        <v/>
      </c>
    </row>
    <row r="264" customHeight="1" spans="1:28">
      <c r="A264" s="14">
        <v>264</v>
      </c>
      <c r="B264" s="15" t="str">
        <f>IFERROR(IF([2]对账明细接口!$B$264=0,"",[2]对账明细接口!$B$264),"")</f>
        <v/>
      </c>
      <c r="C264" s="16" t="str">
        <f>IFERROR(IF([2]对账明细接口!$C$264=0,"",[2]对账明细接口!$C$264),"")</f>
        <v/>
      </c>
      <c r="D264" s="16" t="str">
        <f>IFERROR(IF([2]对账明细接口!$D$264=0,"",[2]对账明细接口!$D$264),"")</f>
        <v/>
      </c>
      <c r="E264" s="16" t="str">
        <f>IFERROR(IF([2]对账明细接口!$E$264=0,"",[2]对账明细接口!$E$264),"")</f>
        <v/>
      </c>
      <c r="F264" s="16" t="str">
        <f>IFERROR(IF([2]对账明细接口!$F$264=0,"",[2]对账明细接口!$F$264),"")</f>
        <v/>
      </c>
      <c r="G264" s="16" t="str">
        <f>IFERROR(IF([2]对账明细接口!$G$264=0,"",[2]对账明细接口!$G$264),"")</f>
        <v/>
      </c>
      <c r="H264" s="17" t="str">
        <f>IFERROR(IF([2]对账明细接口!$H$264=0,"",[2]对账明细接口!$H$264),"")</f>
        <v/>
      </c>
      <c r="I264" s="16" t="str">
        <f>IFERROR(IF([2]对账明细接口!$I$264=0,"",[2]对账明细接口!$I$264),"")</f>
        <v/>
      </c>
      <c r="J264" s="18" t="str">
        <f>IFERROR(IF([2]对账明细接口!$J$264=0,"",[2]对账明细接口!$J$264),"")</f>
        <v/>
      </c>
      <c r="K264" s="18" t="str">
        <f>IFERROR(IF([2]对账明细接口!$K$264=0,"",[2]对账明细接口!$K$264),"")</f>
        <v/>
      </c>
      <c r="L264" s="16" t="str">
        <f>IFERROR(IF([2]对账明细接口!$L$264=0,"",[2]对账明细接口!$L$264),"")</f>
        <v/>
      </c>
      <c r="M264" s="16" t="str">
        <f>IFERROR(IF([2]对账明细接口!$M$264=0,"",[2]对账明细接口!$M$264),"")</f>
        <v/>
      </c>
      <c r="N264" s="19">
        <f t="shared" si="24"/>
        <v>0</v>
      </c>
      <c r="O264" s="19">
        <f t="shared" si="25"/>
        <v>165</v>
      </c>
      <c r="S264" s="20" t="str">
        <f>IFERROR(IF([2]对账明细接口!$N264=0,"",[2]对账明细接口!$N264),"")</f>
        <v/>
      </c>
      <c r="T264" s="21" t="str">
        <f>IFERROR(IF([2]对账明细接口!$O264=0,"",[2]对账明细接口!$O264),"")</f>
        <v/>
      </c>
      <c r="U264" s="21" t="str">
        <f>IFERROR(IF([2]对账明细接口!$P264=0,"",[2]对账明细接口!$P264),"")</f>
        <v/>
      </c>
      <c r="V264" s="21" t="str">
        <f>IFERROR(IF([2]对账明细接口!$Q264=0,"",[2]对账明细接口!$Q264),"")</f>
        <v/>
      </c>
      <c r="W264" s="20" t="str">
        <f>IFERROR(IF([2]对账明细接口!$R264=0,"",[2]对账明细接口!$R264),"")</f>
        <v/>
      </c>
      <c r="X264" s="20" t="str">
        <f>IFERROR(IF([2]对账明细接口!$S264=0,"",[2]对账明细接口!$S264),"")</f>
        <v/>
      </c>
      <c r="Y264" s="20" t="str">
        <f t="shared" si="26"/>
        <v/>
      </c>
      <c r="Z264" s="20" t="str">
        <f t="shared" si="27"/>
        <v/>
      </c>
      <c r="AA264" s="20" t="str">
        <f t="shared" si="28"/>
        <v/>
      </c>
      <c r="AB264" s="20" t="str">
        <f t="shared" si="29"/>
        <v/>
      </c>
    </row>
    <row r="265" customHeight="1" spans="1:28">
      <c r="A265" s="14">
        <v>265</v>
      </c>
      <c r="B265" s="15" t="str">
        <f>IFERROR(IF([2]对账明细接口!$B$265=0,"",[2]对账明细接口!$B$265),"")</f>
        <v/>
      </c>
      <c r="C265" s="16" t="str">
        <f>IFERROR(IF([2]对账明细接口!$C$265=0,"",[2]对账明细接口!$C$265),"")</f>
        <v/>
      </c>
      <c r="D265" s="16" t="str">
        <f>IFERROR(IF([2]对账明细接口!$D$265=0,"",[2]对账明细接口!$D$265),"")</f>
        <v/>
      </c>
      <c r="E265" s="16" t="str">
        <f>IFERROR(IF([2]对账明细接口!$E$265=0,"",[2]对账明细接口!$E$265),"")</f>
        <v/>
      </c>
      <c r="F265" s="16" t="str">
        <f>IFERROR(IF([2]对账明细接口!$F$265=0,"",[2]对账明细接口!$F$265),"")</f>
        <v/>
      </c>
      <c r="G265" s="16" t="str">
        <f>IFERROR(IF([2]对账明细接口!$G$265=0,"",[2]对账明细接口!$G$265),"")</f>
        <v/>
      </c>
      <c r="H265" s="17" t="str">
        <f>IFERROR(IF([2]对账明细接口!$H$265=0,"",[2]对账明细接口!$H$265),"")</f>
        <v/>
      </c>
      <c r="I265" s="16" t="str">
        <f>IFERROR(IF([2]对账明细接口!$I$265=0,"",[2]对账明细接口!$I$265),"")</f>
        <v/>
      </c>
      <c r="J265" s="18" t="str">
        <f>IFERROR(IF([2]对账明细接口!$J$265=0,"",[2]对账明细接口!$J$265),"")</f>
        <v/>
      </c>
      <c r="K265" s="18" t="str">
        <f>IFERROR(IF([2]对账明细接口!$K$265=0,"",[2]对账明细接口!$K$265),"")</f>
        <v/>
      </c>
      <c r="L265" s="16" t="str">
        <f>IFERROR(IF([2]对账明细接口!$L$265=0,"",[2]对账明细接口!$L$265),"")</f>
        <v/>
      </c>
      <c r="M265" s="16" t="str">
        <f>IFERROR(IF([2]对账明细接口!$M$265=0,"",[2]对账明细接口!$M$265),"")</f>
        <v/>
      </c>
      <c r="N265" s="19">
        <f t="shared" si="24"/>
        <v>0</v>
      </c>
      <c r="O265" s="19">
        <f t="shared" si="25"/>
        <v>165</v>
      </c>
      <c r="S265" s="20" t="str">
        <f>IFERROR(IF([2]对账明细接口!$N265=0,"",[2]对账明细接口!$N265),"")</f>
        <v/>
      </c>
      <c r="T265" s="21" t="str">
        <f>IFERROR(IF([2]对账明细接口!$O265=0,"",[2]对账明细接口!$O265),"")</f>
        <v/>
      </c>
      <c r="U265" s="21" t="str">
        <f>IFERROR(IF([2]对账明细接口!$P265=0,"",[2]对账明细接口!$P265),"")</f>
        <v/>
      </c>
      <c r="V265" s="21" t="str">
        <f>IFERROR(IF([2]对账明细接口!$Q265=0,"",[2]对账明细接口!$Q265),"")</f>
        <v/>
      </c>
      <c r="W265" s="20" t="str">
        <f>IFERROR(IF([2]对账明细接口!$R265=0,"",[2]对账明细接口!$R265),"")</f>
        <v/>
      </c>
      <c r="X265" s="20" t="str">
        <f>IFERROR(IF([2]对账明细接口!$S265=0,"",[2]对账明细接口!$S265),"")</f>
        <v/>
      </c>
      <c r="Y265" s="20" t="str">
        <f t="shared" si="26"/>
        <v/>
      </c>
      <c r="Z265" s="20" t="str">
        <f t="shared" si="27"/>
        <v/>
      </c>
      <c r="AA265" s="20" t="str">
        <f t="shared" si="28"/>
        <v/>
      </c>
      <c r="AB265" s="20" t="str">
        <f t="shared" si="29"/>
        <v/>
      </c>
    </row>
    <row r="266" customHeight="1" spans="1:28">
      <c r="A266" s="14">
        <v>266</v>
      </c>
      <c r="B266" s="15" t="str">
        <f>IFERROR(IF([2]对账明细接口!$B$266=0,"",[2]对账明细接口!$B$266),"")</f>
        <v/>
      </c>
      <c r="C266" s="16" t="str">
        <f>IFERROR(IF([2]对账明细接口!$C$266=0,"",[2]对账明细接口!$C$266),"")</f>
        <v/>
      </c>
      <c r="D266" s="16" t="str">
        <f>IFERROR(IF([2]对账明细接口!$D$266=0,"",[2]对账明细接口!$D$266),"")</f>
        <v/>
      </c>
      <c r="E266" s="16" t="str">
        <f>IFERROR(IF([2]对账明细接口!$E$266=0,"",[2]对账明细接口!$E$266),"")</f>
        <v/>
      </c>
      <c r="F266" s="16" t="str">
        <f>IFERROR(IF([2]对账明细接口!$F$266=0,"",[2]对账明细接口!$F$266),"")</f>
        <v/>
      </c>
      <c r="G266" s="16" t="str">
        <f>IFERROR(IF([2]对账明细接口!$G$266=0,"",[2]对账明细接口!$G$266),"")</f>
        <v/>
      </c>
      <c r="H266" s="17" t="str">
        <f>IFERROR(IF([2]对账明细接口!$H$266=0,"",[2]对账明细接口!$H$266),"")</f>
        <v/>
      </c>
      <c r="I266" s="16" t="str">
        <f>IFERROR(IF([2]对账明细接口!$I$266=0,"",[2]对账明细接口!$I$266),"")</f>
        <v/>
      </c>
      <c r="J266" s="18" t="str">
        <f>IFERROR(IF([2]对账明细接口!$J$266=0,"",[2]对账明细接口!$J$266),"")</f>
        <v/>
      </c>
      <c r="K266" s="18" t="str">
        <f>IFERROR(IF([2]对账明细接口!$K$266=0,"",[2]对账明细接口!$K$266),"")</f>
        <v/>
      </c>
      <c r="L266" s="16" t="str">
        <f>IFERROR(IF([2]对账明细接口!$L$266=0,"",[2]对账明细接口!$L$266),"")</f>
        <v/>
      </c>
      <c r="M266" s="16" t="str">
        <f>IFERROR(IF([2]对账明细接口!$M$266=0,"",[2]对账明细接口!$M$266),"")</f>
        <v/>
      </c>
      <c r="N266" s="19">
        <f t="shared" si="24"/>
        <v>0</v>
      </c>
      <c r="O266" s="19">
        <f t="shared" si="25"/>
        <v>165</v>
      </c>
      <c r="S266" s="20" t="str">
        <f>IFERROR(IF([2]对账明细接口!$N266=0,"",[2]对账明细接口!$N266),"")</f>
        <v/>
      </c>
      <c r="T266" s="21" t="str">
        <f>IFERROR(IF([2]对账明细接口!$O266=0,"",[2]对账明细接口!$O266),"")</f>
        <v/>
      </c>
      <c r="U266" s="21" t="str">
        <f>IFERROR(IF([2]对账明细接口!$P266=0,"",[2]对账明细接口!$P266),"")</f>
        <v/>
      </c>
      <c r="V266" s="21" t="str">
        <f>IFERROR(IF([2]对账明细接口!$Q266=0,"",[2]对账明细接口!$Q266),"")</f>
        <v/>
      </c>
      <c r="W266" s="20" t="str">
        <f>IFERROR(IF([2]对账明细接口!$R266=0,"",[2]对账明细接口!$R266),"")</f>
        <v/>
      </c>
      <c r="X266" s="20" t="str">
        <f>IFERROR(IF([2]对账明细接口!$S266=0,"",[2]对账明细接口!$S266),"")</f>
        <v/>
      </c>
      <c r="Y266" s="20" t="str">
        <f t="shared" si="26"/>
        <v/>
      </c>
      <c r="Z266" s="20" t="str">
        <f t="shared" si="27"/>
        <v/>
      </c>
      <c r="AA266" s="20" t="str">
        <f t="shared" si="28"/>
        <v/>
      </c>
      <c r="AB266" s="20" t="str">
        <f t="shared" si="29"/>
        <v/>
      </c>
    </row>
    <row r="267" customHeight="1" spans="1:28">
      <c r="A267" s="14">
        <v>267</v>
      </c>
      <c r="B267" s="15" t="str">
        <f>IFERROR(IF([2]对账明细接口!$B$267=0,"",[2]对账明细接口!$B$267),"")</f>
        <v/>
      </c>
      <c r="C267" s="16" t="str">
        <f>IFERROR(IF([2]对账明细接口!$C$267=0,"",[2]对账明细接口!$C$267),"")</f>
        <v/>
      </c>
      <c r="D267" s="16" t="str">
        <f>IFERROR(IF([2]对账明细接口!$D$267=0,"",[2]对账明细接口!$D$267),"")</f>
        <v/>
      </c>
      <c r="E267" s="16" t="str">
        <f>IFERROR(IF([2]对账明细接口!$E$267=0,"",[2]对账明细接口!$E$267),"")</f>
        <v/>
      </c>
      <c r="F267" s="16" t="str">
        <f>IFERROR(IF([2]对账明细接口!$F$267=0,"",[2]对账明细接口!$F$267),"")</f>
        <v/>
      </c>
      <c r="G267" s="16" t="str">
        <f>IFERROR(IF([2]对账明细接口!$G$267=0,"",[2]对账明细接口!$G$267),"")</f>
        <v/>
      </c>
      <c r="H267" s="17" t="str">
        <f>IFERROR(IF([2]对账明细接口!$H$267=0,"",[2]对账明细接口!$H$267),"")</f>
        <v/>
      </c>
      <c r="I267" s="16" t="str">
        <f>IFERROR(IF([2]对账明细接口!$I$267=0,"",[2]对账明细接口!$I$267),"")</f>
        <v/>
      </c>
      <c r="J267" s="18" t="str">
        <f>IFERROR(IF([2]对账明细接口!$J$267=0,"",[2]对账明细接口!$J$267),"")</f>
        <v/>
      </c>
      <c r="K267" s="18" t="str">
        <f>IFERROR(IF([2]对账明细接口!$K$267=0,"",[2]对账明细接口!$K$267),"")</f>
        <v/>
      </c>
      <c r="L267" s="16" t="str">
        <f>IFERROR(IF([2]对账明细接口!$L$267=0,"",[2]对账明细接口!$L$267),"")</f>
        <v/>
      </c>
      <c r="M267" s="16" t="str">
        <f>IFERROR(IF([2]对账明细接口!$M$267=0,"",[2]对账明细接口!$M$267),"")</f>
        <v/>
      </c>
      <c r="N267" s="19">
        <f t="shared" si="24"/>
        <v>0</v>
      </c>
      <c r="O267" s="19">
        <f t="shared" si="25"/>
        <v>165</v>
      </c>
      <c r="S267" s="20" t="str">
        <f>IFERROR(IF([2]对账明细接口!$N267=0,"",[2]对账明细接口!$N267),"")</f>
        <v/>
      </c>
      <c r="T267" s="21" t="str">
        <f>IFERROR(IF([2]对账明细接口!$O267=0,"",[2]对账明细接口!$O267),"")</f>
        <v/>
      </c>
      <c r="U267" s="21" t="str">
        <f>IFERROR(IF([2]对账明细接口!$P267=0,"",[2]对账明细接口!$P267),"")</f>
        <v/>
      </c>
      <c r="V267" s="21" t="str">
        <f>IFERROR(IF([2]对账明细接口!$Q267=0,"",[2]对账明细接口!$Q267),"")</f>
        <v/>
      </c>
      <c r="W267" s="20" t="str">
        <f>IFERROR(IF([2]对账明细接口!$R267=0,"",[2]对账明细接口!$R267),"")</f>
        <v/>
      </c>
      <c r="X267" s="20" t="str">
        <f>IFERROR(IF([2]对账明细接口!$S267=0,"",[2]对账明细接口!$S267),"")</f>
        <v/>
      </c>
      <c r="Y267" s="20" t="str">
        <f t="shared" si="26"/>
        <v/>
      </c>
      <c r="Z267" s="20" t="str">
        <f t="shared" si="27"/>
        <v/>
      </c>
      <c r="AA267" s="20" t="str">
        <f t="shared" si="28"/>
        <v/>
      </c>
      <c r="AB267" s="20" t="str">
        <f t="shared" si="29"/>
        <v/>
      </c>
    </row>
    <row r="268" customHeight="1" spans="1:28">
      <c r="A268" s="14">
        <v>268</v>
      </c>
      <c r="B268" s="15" t="str">
        <f>IFERROR(IF([2]对账明细接口!$B$268=0,"",[2]对账明细接口!$B$268),"")</f>
        <v/>
      </c>
      <c r="C268" s="16" t="str">
        <f>IFERROR(IF([2]对账明细接口!$C$268=0,"",[2]对账明细接口!$C$268),"")</f>
        <v/>
      </c>
      <c r="D268" s="16" t="str">
        <f>IFERROR(IF([2]对账明细接口!$D$268=0,"",[2]对账明细接口!$D$268),"")</f>
        <v/>
      </c>
      <c r="E268" s="16" t="str">
        <f>IFERROR(IF([2]对账明细接口!$E$268=0,"",[2]对账明细接口!$E$268),"")</f>
        <v/>
      </c>
      <c r="F268" s="16" t="str">
        <f>IFERROR(IF([2]对账明细接口!$F$268=0,"",[2]对账明细接口!$F$268),"")</f>
        <v/>
      </c>
      <c r="G268" s="16" t="str">
        <f>IFERROR(IF([2]对账明细接口!$G$268=0,"",[2]对账明细接口!$G$268),"")</f>
        <v/>
      </c>
      <c r="H268" s="17" t="str">
        <f>IFERROR(IF([2]对账明细接口!$H$268=0,"",[2]对账明细接口!$H$268),"")</f>
        <v/>
      </c>
      <c r="I268" s="16" t="str">
        <f>IFERROR(IF([2]对账明细接口!$I$268=0,"",[2]对账明细接口!$I$268),"")</f>
        <v/>
      </c>
      <c r="J268" s="18" t="str">
        <f>IFERROR(IF([2]对账明细接口!$J$268=0,"",[2]对账明细接口!$J$268),"")</f>
        <v/>
      </c>
      <c r="K268" s="18" t="str">
        <f>IFERROR(IF([2]对账明细接口!$K$268=0,"",[2]对账明细接口!$K$268),"")</f>
        <v/>
      </c>
      <c r="L268" s="16" t="str">
        <f>IFERROR(IF([2]对账明细接口!$L$268=0,"",[2]对账明细接口!$L$268),"")</f>
        <v/>
      </c>
      <c r="M268" s="16" t="str">
        <f>IFERROR(IF([2]对账明细接口!$M$268=0,"",[2]对账明细接口!$M$268),"")</f>
        <v/>
      </c>
      <c r="N268" s="19">
        <f t="shared" si="24"/>
        <v>0</v>
      </c>
      <c r="O268" s="19">
        <f t="shared" si="25"/>
        <v>165</v>
      </c>
      <c r="S268" s="20" t="str">
        <f>IFERROR(IF([2]对账明细接口!$N268=0,"",[2]对账明细接口!$N268),"")</f>
        <v/>
      </c>
      <c r="T268" s="21" t="str">
        <f>IFERROR(IF([2]对账明细接口!$O268=0,"",[2]对账明细接口!$O268),"")</f>
        <v/>
      </c>
      <c r="U268" s="21" t="str">
        <f>IFERROR(IF([2]对账明细接口!$P268=0,"",[2]对账明细接口!$P268),"")</f>
        <v/>
      </c>
      <c r="V268" s="21" t="str">
        <f>IFERROR(IF([2]对账明细接口!$Q268=0,"",[2]对账明细接口!$Q268),"")</f>
        <v/>
      </c>
      <c r="W268" s="20" t="str">
        <f>IFERROR(IF([2]对账明细接口!$R268=0,"",[2]对账明细接口!$R268),"")</f>
        <v/>
      </c>
      <c r="X268" s="20" t="str">
        <f>IFERROR(IF([2]对账明细接口!$S268=0,"",[2]对账明细接口!$S268),"")</f>
        <v/>
      </c>
      <c r="Y268" s="20" t="str">
        <f t="shared" si="26"/>
        <v/>
      </c>
      <c r="Z268" s="20" t="str">
        <f t="shared" si="27"/>
        <v/>
      </c>
      <c r="AA268" s="20" t="str">
        <f t="shared" si="28"/>
        <v/>
      </c>
      <c r="AB268" s="20" t="str">
        <f t="shared" si="29"/>
        <v/>
      </c>
    </row>
    <row r="269" customHeight="1" spans="1:28">
      <c r="A269" s="14">
        <v>269</v>
      </c>
      <c r="B269" s="15" t="str">
        <f>IFERROR(IF([2]对账明细接口!$B$269=0,"",[2]对账明细接口!$B$269),"")</f>
        <v/>
      </c>
      <c r="C269" s="16" t="str">
        <f>IFERROR(IF([2]对账明细接口!$C$269=0,"",[2]对账明细接口!$C$269),"")</f>
        <v/>
      </c>
      <c r="D269" s="16" t="str">
        <f>IFERROR(IF([2]对账明细接口!$D$269=0,"",[2]对账明细接口!$D$269),"")</f>
        <v/>
      </c>
      <c r="E269" s="16" t="str">
        <f>IFERROR(IF([2]对账明细接口!$E$269=0,"",[2]对账明细接口!$E$269),"")</f>
        <v/>
      </c>
      <c r="F269" s="16" t="str">
        <f>IFERROR(IF([2]对账明细接口!$F$269=0,"",[2]对账明细接口!$F$269),"")</f>
        <v/>
      </c>
      <c r="G269" s="16" t="str">
        <f>IFERROR(IF([2]对账明细接口!$G$269=0,"",[2]对账明细接口!$G$269),"")</f>
        <v/>
      </c>
      <c r="H269" s="17" t="str">
        <f>IFERROR(IF([2]对账明细接口!$H$269=0,"",[2]对账明细接口!$H$269),"")</f>
        <v/>
      </c>
      <c r="I269" s="16" t="str">
        <f>IFERROR(IF([2]对账明细接口!$I$269=0,"",[2]对账明细接口!$I$269),"")</f>
        <v/>
      </c>
      <c r="J269" s="18" t="str">
        <f>IFERROR(IF([2]对账明细接口!$J$269=0,"",[2]对账明细接口!$J$269),"")</f>
        <v/>
      </c>
      <c r="K269" s="18" t="str">
        <f>IFERROR(IF([2]对账明细接口!$K$269=0,"",[2]对账明细接口!$K$269),"")</f>
        <v/>
      </c>
      <c r="L269" s="16" t="str">
        <f>IFERROR(IF([2]对账明细接口!$L$269=0,"",[2]对账明细接口!$L$269),"")</f>
        <v/>
      </c>
      <c r="M269" s="16" t="str">
        <f>IFERROR(IF([2]对账明细接口!$M$269=0,"",[2]对账明细接口!$M$269),"")</f>
        <v/>
      </c>
      <c r="N269" s="19">
        <f t="shared" si="24"/>
        <v>0</v>
      </c>
      <c r="O269" s="19">
        <f t="shared" si="25"/>
        <v>165</v>
      </c>
      <c r="S269" s="20" t="str">
        <f>IFERROR(IF([2]对账明细接口!$N269=0,"",[2]对账明细接口!$N269),"")</f>
        <v/>
      </c>
      <c r="T269" s="21" t="str">
        <f>IFERROR(IF([2]对账明细接口!$O269=0,"",[2]对账明细接口!$O269),"")</f>
        <v/>
      </c>
      <c r="U269" s="21" t="str">
        <f>IFERROR(IF([2]对账明细接口!$P269=0,"",[2]对账明细接口!$P269),"")</f>
        <v/>
      </c>
      <c r="V269" s="21" t="str">
        <f>IFERROR(IF([2]对账明细接口!$Q269=0,"",[2]对账明细接口!$Q269),"")</f>
        <v/>
      </c>
      <c r="W269" s="20" t="str">
        <f>IFERROR(IF([2]对账明细接口!$R269=0,"",[2]对账明细接口!$R269),"")</f>
        <v/>
      </c>
      <c r="X269" s="20" t="str">
        <f>IFERROR(IF([2]对账明细接口!$S269=0,"",[2]对账明细接口!$S269),"")</f>
        <v/>
      </c>
      <c r="Y269" s="20" t="str">
        <f t="shared" si="26"/>
        <v/>
      </c>
      <c r="Z269" s="20" t="str">
        <f t="shared" si="27"/>
        <v/>
      </c>
      <c r="AA269" s="20" t="str">
        <f t="shared" si="28"/>
        <v/>
      </c>
      <c r="AB269" s="20" t="str">
        <f t="shared" si="29"/>
        <v/>
      </c>
    </row>
    <row r="270" customHeight="1" spans="1:28">
      <c r="A270" s="14">
        <v>270</v>
      </c>
      <c r="B270" s="15" t="str">
        <f>IFERROR(IF([2]对账明细接口!$B$270=0,"",[2]对账明细接口!$B$270),"")</f>
        <v/>
      </c>
      <c r="C270" s="16" t="str">
        <f>IFERROR(IF([2]对账明细接口!$C$270=0,"",[2]对账明细接口!$C$270),"")</f>
        <v/>
      </c>
      <c r="D270" s="16" t="str">
        <f>IFERROR(IF([2]对账明细接口!$D$270=0,"",[2]对账明细接口!$D$270),"")</f>
        <v/>
      </c>
      <c r="E270" s="16" t="str">
        <f>IFERROR(IF([2]对账明细接口!$E$270=0,"",[2]对账明细接口!$E$270),"")</f>
        <v/>
      </c>
      <c r="F270" s="16" t="str">
        <f>IFERROR(IF([2]对账明细接口!$F$270=0,"",[2]对账明细接口!$F$270),"")</f>
        <v/>
      </c>
      <c r="G270" s="16" t="str">
        <f>IFERROR(IF([2]对账明细接口!$G$270=0,"",[2]对账明细接口!$G$270),"")</f>
        <v/>
      </c>
      <c r="H270" s="17" t="str">
        <f>IFERROR(IF([2]对账明细接口!$H$270=0,"",[2]对账明细接口!$H$270),"")</f>
        <v/>
      </c>
      <c r="I270" s="16" t="str">
        <f>IFERROR(IF([2]对账明细接口!$I$270=0,"",[2]对账明细接口!$I$270),"")</f>
        <v/>
      </c>
      <c r="J270" s="18" t="str">
        <f>IFERROR(IF([2]对账明细接口!$J$270=0,"",[2]对账明细接口!$J$270),"")</f>
        <v/>
      </c>
      <c r="K270" s="18" t="str">
        <f>IFERROR(IF([2]对账明细接口!$K$270=0,"",[2]对账明细接口!$K$270),"")</f>
        <v/>
      </c>
      <c r="L270" s="16" t="str">
        <f>IFERROR(IF([2]对账明细接口!$L$270=0,"",[2]对账明细接口!$L$270),"")</f>
        <v/>
      </c>
      <c r="M270" s="16" t="str">
        <f>IFERROR(IF([2]对账明细接口!$M$270=0,"",[2]对账明细接口!$M$270),"")</f>
        <v/>
      </c>
      <c r="N270" s="19">
        <f t="shared" si="24"/>
        <v>0</v>
      </c>
      <c r="O270" s="19">
        <f t="shared" si="25"/>
        <v>165</v>
      </c>
      <c r="S270" s="20" t="str">
        <f>IFERROR(IF([2]对账明细接口!$N270=0,"",[2]对账明细接口!$N270),"")</f>
        <v/>
      </c>
      <c r="T270" s="21" t="str">
        <f>IFERROR(IF([2]对账明细接口!$O270=0,"",[2]对账明细接口!$O270),"")</f>
        <v/>
      </c>
      <c r="U270" s="21" t="str">
        <f>IFERROR(IF([2]对账明细接口!$P270=0,"",[2]对账明细接口!$P270),"")</f>
        <v/>
      </c>
      <c r="V270" s="21" t="str">
        <f>IFERROR(IF([2]对账明细接口!$Q270=0,"",[2]对账明细接口!$Q270),"")</f>
        <v/>
      </c>
      <c r="W270" s="20" t="str">
        <f>IFERROR(IF([2]对账明细接口!$R270=0,"",[2]对账明细接口!$R270),"")</f>
        <v/>
      </c>
      <c r="X270" s="20" t="str">
        <f>IFERROR(IF([2]对账明细接口!$S270=0,"",[2]对账明细接口!$S270),"")</f>
        <v/>
      </c>
      <c r="Y270" s="20" t="str">
        <f t="shared" si="26"/>
        <v/>
      </c>
      <c r="Z270" s="20" t="str">
        <f t="shared" si="27"/>
        <v/>
      </c>
      <c r="AA270" s="20" t="str">
        <f t="shared" si="28"/>
        <v/>
      </c>
      <c r="AB270" s="20" t="str">
        <f t="shared" si="29"/>
        <v/>
      </c>
    </row>
    <row r="271" customHeight="1" spans="1:28">
      <c r="A271" s="14">
        <v>271</v>
      </c>
      <c r="B271" s="15" t="str">
        <f>IFERROR(IF([2]对账明细接口!$B$271=0,"",[2]对账明细接口!$B$271),"")</f>
        <v/>
      </c>
      <c r="C271" s="16" t="str">
        <f>IFERROR(IF([2]对账明细接口!$C$271=0,"",[2]对账明细接口!$C$271),"")</f>
        <v/>
      </c>
      <c r="D271" s="16" t="str">
        <f>IFERROR(IF([2]对账明细接口!$D$271=0,"",[2]对账明细接口!$D$271),"")</f>
        <v/>
      </c>
      <c r="E271" s="16" t="str">
        <f>IFERROR(IF([2]对账明细接口!$E$271=0,"",[2]对账明细接口!$E$271),"")</f>
        <v/>
      </c>
      <c r="F271" s="16" t="str">
        <f>IFERROR(IF([2]对账明细接口!$F$271=0,"",[2]对账明细接口!$F$271),"")</f>
        <v/>
      </c>
      <c r="G271" s="16" t="str">
        <f>IFERROR(IF([2]对账明细接口!$G$271=0,"",[2]对账明细接口!$G$271),"")</f>
        <v/>
      </c>
      <c r="H271" s="17" t="str">
        <f>IFERROR(IF([2]对账明细接口!$H$271=0,"",[2]对账明细接口!$H$271),"")</f>
        <v/>
      </c>
      <c r="I271" s="16" t="str">
        <f>IFERROR(IF([2]对账明细接口!$I$271=0,"",[2]对账明细接口!$I$271),"")</f>
        <v/>
      </c>
      <c r="J271" s="18" t="str">
        <f>IFERROR(IF([2]对账明细接口!$J$271=0,"",[2]对账明细接口!$J$271),"")</f>
        <v/>
      </c>
      <c r="K271" s="18" t="str">
        <f>IFERROR(IF([2]对账明细接口!$K$271=0,"",[2]对账明细接口!$K$271),"")</f>
        <v/>
      </c>
      <c r="L271" s="16" t="str">
        <f>IFERROR(IF([2]对账明细接口!$L$271=0,"",[2]对账明细接口!$L$271),"")</f>
        <v/>
      </c>
      <c r="M271" s="16" t="str">
        <f>IFERROR(IF([2]对账明细接口!$M$271=0,"",[2]对账明细接口!$M$271),"")</f>
        <v/>
      </c>
      <c r="N271" s="19">
        <f t="shared" si="24"/>
        <v>0</v>
      </c>
      <c r="O271" s="19">
        <f t="shared" si="25"/>
        <v>165</v>
      </c>
      <c r="S271" s="20" t="str">
        <f>IFERROR(IF([2]对账明细接口!$N271=0,"",[2]对账明细接口!$N271),"")</f>
        <v/>
      </c>
      <c r="T271" s="21" t="str">
        <f>IFERROR(IF([2]对账明细接口!$O271=0,"",[2]对账明细接口!$O271),"")</f>
        <v/>
      </c>
      <c r="U271" s="21" t="str">
        <f>IFERROR(IF([2]对账明细接口!$P271=0,"",[2]对账明细接口!$P271),"")</f>
        <v/>
      </c>
      <c r="V271" s="21" t="str">
        <f>IFERROR(IF([2]对账明细接口!$Q271=0,"",[2]对账明细接口!$Q271),"")</f>
        <v/>
      </c>
      <c r="W271" s="20" t="str">
        <f>IFERROR(IF([2]对账明细接口!$R271=0,"",[2]对账明细接口!$R271),"")</f>
        <v/>
      </c>
      <c r="X271" s="20" t="str">
        <f>IFERROR(IF([2]对账明细接口!$S271=0,"",[2]对账明细接口!$S271),"")</f>
        <v/>
      </c>
      <c r="Y271" s="20" t="str">
        <f t="shared" si="26"/>
        <v/>
      </c>
      <c r="Z271" s="20" t="str">
        <f t="shared" si="27"/>
        <v/>
      </c>
      <c r="AA271" s="20" t="str">
        <f t="shared" si="28"/>
        <v/>
      </c>
      <c r="AB271" s="20" t="str">
        <f t="shared" si="29"/>
        <v/>
      </c>
    </row>
    <row r="272" customHeight="1" spans="1:28">
      <c r="A272" s="14">
        <v>272</v>
      </c>
      <c r="B272" s="15" t="str">
        <f>IFERROR(IF([2]对账明细接口!$B$272=0,"",[2]对账明细接口!$B$272),"")</f>
        <v/>
      </c>
      <c r="C272" s="16" t="str">
        <f>IFERROR(IF([2]对账明细接口!$C$272=0,"",[2]对账明细接口!$C$272),"")</f>
        <v/>
      </c>
      <c r="D272" s="16" t="str">
        <f>IFERROR(IF([2]对账明细接口!$D$272=0,"",[2]对账明细接口!$D$272),"")</f>
        <v/>
      </c>
      <c r="E272" s="16" t="str">
        <f>IFERROR(IF([2]对账明细接口!$E$272=0,"",[2]对账明细接口!$E$272),"")</f>
        <v/>
      </c>
      <c r="F272" s="16" t="str">
        <f>IFERROR(IF([2]对账明细接口!$F$272=0,"",[2]对账明细接口!$F$272),"")</f>
        <v/>
      </c>
      <c r="G272" s="16" t="str">
        <f>IFERROR(IF([2]对账明细接口!$G$272=0,"",[2]对账明细接口!$G$272),"")</f>
        <v/>
      </c>
      <c r="H272" s="17" t="str">
        <f>IFERROR(IF([2]对账明细接口!$H$272=0,"",[2]对账明细接口!$H$272),"")</f>
        <v/>
      </c>
      <c r="I272" s="16" t="str">
        <f>IFERROR(IF([2]对账明细接口!$I$272=0,"",[2]对账明细接口!$I$272),"")</f>
        <v/>
      </c>
      <c r="J272" s="18" t="str">
        <f>IFERROR(IF([2]对账明细接口!$J$272=0,"",[2]对账明细接口!$J$272),"")</f>
        <v/>
      </c>
      <c r="K272" s="18" t="str">
        <f>IFERROR(IF([2]对账明细接口!$K$272=0,"",[2]对账明细接口!$K$272),"")</f>
        <v/>
      </c>
      <c r="L272" s="16" t="str">
        <f>IFERROR(IF([2]对账明细接口!$L$272=0,"",[2]对账明细接口!$L$272),"")</f>
        <v/>
      </c>
      <c r="M272" s="16" t="str">
        <f>IFERROR(IF([2]对账明细接口!$M$272=0,"",[2]对账明细接口!$M$272),"")</f>
        <v/>
      </c>
      <c r="N272" s="19">
        <f t="shared" si="24"/>
        <v>0</v>
      </c>
      <c r="O272" s="19">
        <f t="shared" si="25"/>
        <v>165</v>
      </c>
      <c r="S272" s="20" t="str">
        <f>IFERROR(IF([2]对账明细接口!$N272=0,"",[2]对账明细接口!$N272),"")</f>
        <v/>
      </c>
      <c r="T272" s="21" t="str">
        <f>IFERROR(IF([2]对账明细接口!$O272=0,"",[2]对账明细接口!$O272),"")</f>
        <v/>
      </c>
      <c r="U272" s="21" t="str">
        <f>IFERROR(IF([2]对账明细接口!$P272=0,"",[2]对账明细接口!$P272),"")</f>
        <v/>
      </c>
      <c r="V272" s="21" t="str">
        <f>IFERROR(IF([2]对账明细接口!$Q272=0,"",[2]对账明细接口!$Q272),"")</f>
        <v/>
      </c>
      <c r="W272" s="20" t="str">
        <f>IFERROR(IF([2]对账明细接口!$R272=0,"",[2]对账明细接口!$R272),"")</f>
        <v/>
      </c>
      <c r="X272" s="20" t="str">
        <f>IFERROR(IF([2]对账明细接口!$S272=0,"",[2]对账明细接口!$S272),"")</f>
        <v/>
      </c>
      <c r="Y272" s="20" t="str">
        <f t="shared" si="26"/>
        <v/>
      </c>
      <c r="Z272" s="20" t="str">
        <f t="shared" si="27"/>
        <v/>
      </c>
      <c r="AA272" s="20" t="str">
        <f t="shared" si="28"/>
        <v/>
      </c>
      <c r="AB272" s="20" t="str">
        <f t="shared" si="29"/>
        <v/>
      </c>
    </row>
    <row r="273" customHeight="1" spans="1:28">
      <c r="A273" s="14">
        <v>273</v>
      </c>
      <c r="B273" s="15" t="str">
        <f>IFERROR(IF([2]对账明细接口!$B$273=0,"",[2]对账明细接口!$B$273),"")</f>
        <v/>
      </c>
      <c r="C273" s="16" t="str">
        <f>IFERROR(IF([2]对账明细接口!$C$273=0,"",[2]对账明细接口!$C$273),"")</f>
        <v/>
      </c>
      <c r="D273" s="16" t="str">
        <f>IFERROR(IF([2]对账明细接口!$D$273=0,"",[2]对账明细接口!$D$273),"")</f>
        <v/>
      </c>
      <c r="E273" s="16" t="str">
        <f>IFERROR(IF([2]对账明细接口!$E$273=0,"",[2]对账明细接口!$E$273),"")</f>
        <v/>
      </c>
      <c r="F273" s="16" t="str">
        <f>IFERROR(IF([2]对账明细接口!$F$273=0,"",[2]对账明细接口!$F$273),"")</f>
        <v/>
      </c>
      <c r="G273" s="16" t="str">
        <f>IFERROR(IF([2]对账明细接口!$G$273=0,"",[2]对账明细接口!$G$273),"")</f>
        <v/>
      </c>
      <c r="H273" s="17" t="str">
        <f>IFERROR(IF([2]对账明细接口!$H$273=0,"",[2]对账明细接口!$H$273),"")</f>
        <v/>
      </c>
      <c r="I273" s="16" t="str">
        <f>IFERROR(IF([2]对账明细接口!$I$273=0,"",[2]对账明细接口!$I$273),"")</f>
        <v/>
      </c>
      <c r="J273" s="18" t="str">
        <f>IFERROR(IF([2]对账明细接口!$J$273=0,"",[2]对账明细接口!$J$273),"")</f>
        <v/>
      </c>
      <c r="K273" s="18" t="str">
        <f>IFERROR(IF([2]对账明细接口!$K$273=0,"",[2]对账明细接口!$K$273),"")</f>
        <v/>
      </c>
      <c r="L273" s="16" t="str">
        <f>IFERROR(IF([2]对账明细接口!$L$273=0,"",[2]对账明细接口!$L$273),"")</f>
        <v/>
      </c>
      <c r="M273" s="16" t="str">
        <f>IFERROR(IF([2]对账明细接口!$M$273=0,"",[2]对账明细接口!$M$273),"")</f>
        <v/>
      </c>
      <c r="N273" s="19">
        <f t="shared" si="24"/>
        <v>0</v>
      </c>
      <c r="O273" s="19">
        <f t="shared" si="25"/>
        <v>165</v>
      </c>
      <c r="S273" s="20" t="str">
        <f>IFERROR(IF([2]对账明细接口!$N273=0,"",[2]对账明细接口!$N273),"")</f>
        <v/>
      </c>
      <c r="T273" s="21" t="str">
        <f>IFERROR(IF([2]对账明细接口!$O273=0,"",[2]对账明细接口!$O273),"")</f>
        <v/>
      </c>
      <c r="U273" s="21" t="str">
        <f>IFERROR(IF([2]对账明细接口!$P273=0,"",[2]对账明细接口!$P273),"")</f>
        <v/>
      </c>
      <c r="V273" s="21" t="str">
        <f>IFERROR(IF([2]对账明细接口!$Q273=0,"",[2]对账明细接口!$Q273),"")</f>
        <v/>
      </c>
      <c r="W273" s="20" t="str">
        <f>IFERROR(IF([2]对账明细接口!$R273=0,"",[2]对账明细接口!$R273),"")</f>
        <v/>
      </c>
      <c r="X273" s="20" t="str">
        <f>IFERROR(IF([2]对账明细接口!$S273=0,"",[2]对账明细接口!$S273),"")</f>
        <v/>
      </c>
      <c r="Y273" s="20" t="str">
        <f t="shared" si="26"/>
        <v/>
      </c>
      <c r="Z273" s="20" t="str">
        <f t="shared" si="27"/>
        <v/>
      </c>
      <c r="AA273" s="20" t="str">
        <f t="shared" si="28"/>
        <v/>
      </c>
      <c r="AB273" s="20" t="str">
        <f t="shared" si="29"/>
        <v/>
      </c>
    </row>
    <row r="274" customHeight="1" spans="1:28">
      <c r="A274" s="14">
        <v>274</v>
      </c>
      <c r="B274" s="15" t="str">
        <f>IFERROR(IF([2]对账明细接口!$B$274=0,"",[2]对账明细接口!$B$274),"")</f>
        <v/>
      </c>
      <c r="C274" s="16" t="str">
        <f>IFERROR(IF([2]对账明细接口!$C$274=0,"",[2]对账明细接口!$C$274),"")</f>
        <v/>
      </c>
      <c r="D274" s="16" t="str">
        <f>IFERROR(IF([2]对账明细接口!$D$274=0,"",[2]对账明细接口!$D$274),"")</f>
        <v/>
      </c>
      <c r="E274" s="16" t="str">
        <f>IFERROR(IF([2]对账明细接口!$E$274=0,"",[2]对账明细接口!$E$274),"")</f>
        <v/>
      </c>
      <c r="F274" s="16" t="str">
        <f>IFERROR(IF([2]对账明细接口!$F$274=0,"",[2]对账明细接口!$F$274),"")</f>
        <v/>
      </c>
      <c r="G274" s="16" t="str">
        <f>IFERROR(IF([2]对账明细接口!$G$274=0,"",[2]对账明细接口!$G$274),"")</f>
        <v/>
      </c>
      <c r="H274" s="17" t="str">
        <f>IFERROR(IF([2]对账明细接口!$H$274=0,"",[2]对账明细接口!$H$274),"")</f>
        <v/>
      </c>
      <c r="I274" s="16" t="str">
        <f>IFERROR(IF([2]对账明细接口!$I$274=0,"",[2]对账明细接口!$I$274),"")</f>
        <v/>
      </c>
      <c r="J274" s="18" t="str">
        <f>IFERROR(IF([2]对账明细接口!$J$274=0,"",[2]对账明细接口!$J$274),"")</f>
        <v/>
      </c>
      <c r="K274" s="18" t="str">
        <f>IFERROR(IF([2]对账明细接口!$K$274=0,"",[2]对账明细接口!$K$274),"")</f>
        <v/>
      </c>
      <c r="L274" s="16" t="str">
        <f>IFERROR(IF([2]对账明细接口!$L$274=0,"",[2]对账明细接口!$L$274),"")</f>
        <v/>
      </c>
      <c r="M274" s="16" t="str">
        <f>IFERROR(IF([2]对账明细接口!$M$274=0,"",[2]对账明细接口!$M$274),"")</f>
        <v/>
      </c>
      <c r="N274" s="19">
        <f t="shared" si="24"/>
        <v>0</v>
      </c>
      <c r="O274" s="19">
        <f t="shared" si="25"/>
        <v>165</v>
      </c>
      <c r="S274" s="20" t="str">
        <f>IFERROR(IF([2]对账明细接口!$N274=0,"",[2]对账明细接口!$N274),"")</f>
        <v/>
      </c>
      <c r="T274" s="21" t="str">
        <f>IFERROR(IF([2]对账明细接口!$O274=0,"",[2]对账明细接口!$O274),"")</f>
        <v/>
      </c>
      <c r="U274" s="21" t="str">
        <f>IFERROR(IF([2]对账明细接口!$P274=0,"",[2]对账明细接口!$P274),"")</f>
        <v/>
      </c>
      <c r="V274" s="21" t="str">
        <f>IFERROR(IF([2]对账明细接口!$Q274=0,"",[2]对账明细接口!$Q274),"")</f>
        <v/>
      </c>
      <c r="W274" s="20" t="str">
        <f>IFERROR(IF([2]对账明细接口!$R274=0,"",[2]对账明细接口!$R274),"")</f>
        <v/>
      </c>
      <c r="X274" s="20" t="str">
        <f>IFERROR(IF([2]对账明细接口!$S274=0,"",[2]对账明细接口!$S274),"")</f>
        <v/>
      </c>
      <c r="Y274" s="20" t="str">
        <f t="shared" si="26"/>
        <v/>
      </c>
      <c r="Z274" s="20" t="str">
        <f t="shared" si="27"/>
        <v/>
      </c>
      <c r="AA274" s="20" t="str">
        <f t="shared" si="28"/>
        <v/>
      </c>
      <c r="AB274" s="20" t="str">
        <f t="shared" si="29"/>
        <v/>
      </c>
    </row>
    <row r="275" customHeight="1" spans="1:28">
      <c r="A275" s="14">
        <v>275</v>
      </c>
      <c r="B275" s="15" t="str">
        <f>IFERROR(IF([2]对账明细接口!$B$275=0,"",[2]对账明细接口!$B$275),"")</f>
        <v/>
      </c>
      <c r="C275" s="16" t="str">
        <f>IFERROR(IF([2]对账明细接口!$C$275=0,"",[2]对账明细接口!$C$275),"")</f>
        <v/>
      </c>
      <c r="D275" s="16" t="str">
        <f>IFERROR(IF([2]对账明细接口!$D$275=0,"",[2]对账明细接口!$D$275),"")</f>
        <v/>
      </c>
      <c r="E275" s="16" t="str">
        <f>IFERROR(IF([2]对账明细接口!$E$275=0,"",[2]对账明细接口!$E$275),"")</f>
        <v/>
      </c>
      <c r="F275" s="16" t="str">
        <f>IFERROR(IF([2]对账明细接口!$F$275=0,"",[2]对账明细接口!$F$275),"")</f>
        <v/>
      </c>
      <c r="G275" s="16" t="str">
        <f>IFERROR(IF([2]对账明细接口!$G$275=0,"",[2]对账明细接口!$G$275),"")</f>
        <v/>
      </c>
      <c r="H275" s="17" t="str">
        <f>IFERROR(IF([2]对账明细接口!$H$275=0,"",[2]对账明细接口!$H$275),"")</f>
        <v/>
      </c>
      <c r="I275" s="16" t="str">
        <f>IFERROR(IF([2]对账明细接口!$I$275=0,"",[2]对账明细接口!$I$275),"")</f>
        <v/>
      </c>
      <c r="J275" s="18" t="str">
        <f>IFERROR(IF([2]对账明细接口!$J$275=0,"",[2]对账明细接口!$J$275),"")</f>
        <v/>
      </c>
      <c r="K275" s="18" t="str">
        <f>IFERROR(IF([2]对账明细接口!$K$275=0,"",[2]对账明细接口!$K$275),"")</f>
        <v/>
      </c>
      <c r="L275" s="16" t="str">
        <f>IFERROR(IF([2]对账明细接口!$L$275=0,"",[2]对账明细接口!$L$275),"")</f>
        <v/>
      </c>
      <c r="M275" s="16" t="str">
        <f>IFERROR(IF([2]对账明细接口!$M$275=0,"",[2]对账明细接口!$M$275),"")</f>
        <v/>
      </c>
      <c r="N275" s="19">
        <f t="shared" si="24"/>
        <v>0</v>
      </c>
      <c r="O275" s="19">
        <f t="shared" si="25"/>
        <v>165</v>
      </c>
      <c r="S275" s="20" t="str">
        <f>IFERROR(IF([2]对账明细接口!$N275=0,"",[2]对账明细接口!$N275),"")</f>
        <v/>
      </c>
      <c r="T275" s="21" t="str">
        <f>IFERROR(IF([2]对账明细接口!$O275=0,"",[2]对账明细接口!$O275),"")</f>
        <v/>
      </c>
      <c r="U275" s="21" t="str">
        <f>IFERROR(IF([2]对账明细接口!$P275=0,"",[2]对账明细接口!$P275),"")</f>
        <v/>
      </c>
      <c r="V275" s="21" t="str">
        <f>IFERROR(IF([2]对账明细接口!$Q275=0,"",[2]对账明细接口!$Q275),"")</f>
        <v/>
      </c>
      <c r="W275" s="20" t="str">
        <f>IFERROR(IF([2]对账明细接口!$R275=0,"",[2]对账明细接口!$R275),"")</f>
        <v/>
      </c>
      <c r="X275" s="20" t="str">
        <f>IFERROR(IF([2]对账明细接口!$S275=0,"",[2]对账明细接口!$S275),"")</f>
        <v/>
      </c>
      <c r="Y275" s="20" t="str">
        <f t="shared" si="26"/>
        <v/>
      </c>
      <c r="Z275" s="20" t="str">
        <f t="shared" si="27"/>
        <v/>
      </c>
      <c r="AA275" s="20" t="str">
        <f t="shared" si="28"/>
        <v/>
      </c>
      <c r="AB275" s="20" t="str">
        <f t="shared" si="29"/>
        <v/>
      </c>
    </row>
    <row r="276" customHeight="1" spans="1:28">
      <c r="A276" s="14">
        <v>276</v>
      </c>
      <c r="B276" s="15" t="str">
        <f>IFERROR(IF([2]对账明细接口!$B$276=0,"",[2]对账明细接口!$B$276),"")</f>
        <v/>
      </c>
      <c r="C276" s="16" t="str">
        <f>IFERROR(IF([2]对账明细接口!$C$276=0,"",[2]对账明细接口!$C$276),"")</f>
        <v/>
      </c>
      <c r="D276" s="16" t="str">
        <f>IFERROR(IF([2]对账明细接口!$D$276=0,"",[2]对账明细接口!$D$276),"")</f>
        <v/>
      </c>
      <c r="E276" s="16" t="str">
        <f>IFERROR(IF([2]对账明细接口!$E$276=0,"",[2]对账明细接口!$E$276),"")</f>
        <v/>
      </c>
      <c r="F276" s="16" t="str">
        <f>IFERROR(IF([2]对账明细接口!$F$276=0,"",[2]对账明细接口!$F$276),"")</f>
        <v/>
      </c>
      <c r="G276" s="16" t="str">
        <f>IFERROR(IF([2]对账明细接口!$G$276=0,"",[2]对账明细接口!$G$276),"")</f>
        <v/>
      </c>
      <c r="H276" s="17" t="str">
        <f>IFERROR(IF([2]对账明细接口!$H$276=0,"",[2]对账明细接口!$H$276),"")</f>
        <v/>
      </c>
      <c r="I276" s="16" t="str">
        <f>IFERROR(IF([2]对账明细接口!$I$276=0,"",[2]对账明细接口!$I$276),"")</f>
        <v/>
      </c>
      <c r="J276" s="18" t="str">
        <f>IFERROR(IF([2]对账明细接口!$J$276=0,"",[2]对账明细接口!$J$276),"")</f>
        <v/>
      </c>
      <c r="K276" s="18" t="str">
        <f>IFERROR(IF([2]对账明细接口!$K$276=0,"",[2]对账明细接口!$K$276),"")</f>
        <v/>
      </c>
      <c r="L276" s="16" t="str">
        <f>IFERROR(IF([2]对账明细接口!$L$276=0,"",[2]对账明细接口!$L$276),"")</f>
        <v/>
      </c>
      <c r="M276" s="16" t="str">
        <f>IFERROR(IF([2]对账明细接口!$M$276=0,"",[2]对账明细接口!$M$276),"")</f>
        <v/>
      </c>
      <c r="N276" s="19">
        <f t="shared" si="24"/>
        <v>0</v>
      </c>
      <c r="O276" s="19">
        <f t="shared" si="25"/>
        <v>165</v>
      </c>
      <c r="S276" s="20" t="str">
        <f>IFERROR(IF([2]对账明细接口!$N276=0,"",[2]对账明细接口!$N276),"")</f>
        <v/>
      </c>
      <c r="T276" s="21" t="str">
        <f>IFERROR(IF([2]对账明细接口!$O276=0,"",[2]对账明细接口!$O276),"")</f>
        <v/>
      </c>
      <c r="U276" s="21" t="str">
        <f>IFERROR(IF([2]对账明细接口!$P276=0,"",[2]对账明细接口!$P276),"")</f>
        <v/>
      </c>
      <c r="V276" s="21" t="str">
        <f>IFERROR(IF([2]对账明细接口!$Q276=0,"",[2]对账明细接口!$Q276),"")</f>
        <v/>
      </c>
      <c r="W276" s="20" t="str">
        <f>IFERROR(IF([2]对账明细接口!$R276=0,"",[2]对账明细接口!$R276),"")</f>
        <v/>
      </c>
      <c r="X276" s="20" t="str">
        <f>IFERROR(IF([2]对账明细接口!$S276=0,"",[2]对账明细接口!$S276),"")</f>
        <v/>
      </c>
      <c r="Y276" s="20" t="str">
        <f t="shared" si="26"/>
        <v/>
      </c>
      <c r="Z276" s="20" t="str">
        <f t="shared" si="27"/>
        <v/>
      </c>
      <c r="AA276" s="20" t="str">
        <f t="shared" si="28"/>
        <v/>
      </c>
      <c r="AB276" s="20" t="str">
        <f t="shared" si="29"/>
        <v/>
      </c>
    </row>
    <row r="277" customHeight="1" spans="1:28">
      <c r="A277" s="14">
        <v>277</v>
      </c>
      <c r="B277" s="15" t="str">
        <f>IFERROR(IF([2]对账明细接口!$B$277=0,"",[2]对账明细接口!$B$277),"")</f>
        <v/>
      </c>
      <c r="C277" s="16" t="str">
        <f>IFERROR(IF([2]对账明细接口!$C$277=0,"",[2]对账明细接口!$C$277),"")</f>
        <v/>
      </c>
      <c r="D277" s="16" t="str">
        <f>IFERROR(IF([2]对账明细接口!$D$277=0,"",[2]对账明细接口!$D$277),"")</f>
        <v/>
      </c>
      <c r="E277" s="16" t="str">
        <f>IFERROR(IF([2]对账明细接口!$E$277=0,"",[2]对账明细接口!$E$277),"")</f>
        <v/>
      </c>
      <c r="F277" s="16" t="str">
        <f>IFERROR(IF([2]对账明细接口!$F$277=0,"",[2]对账明细接口!$F$277),"")</f>
        <v/>
      </c>
      <c r="G277" s="16" t="str">
        <f>IFERROR(IF([2]对账明细接口!$G$277=0,"",[2]对账明细接口!$G$277),"")</f>
        <v/>
      </c>
      <c r="H277" s="17" t="str">
        <f>IFERROR(IF([2]对账明细接口!$H$277=0,"",[2]对账明细接口!$H$277),"")</f>
        <v/>
      </c>
      <c r="I277" s="16" t="str">
        <f>IFERROR(IF([2]对账明细接口!$I$277=0,"",[2]对账明细接口!$I$277),"")</f>
        <v/>
      </c>
      <c r="J277" s="18" t="str">
        <f>IFERROR(IF([2]对账明细接口!$J$277=0,"",[2]对账明细接口!$J$277),"")</f>
        <v/>
      </c>
      <c r="K277" s="18" t="str">
        <f>IFERROR(IF([2]对账明细接口!$K$277=0,"",[2]对账明细接口!$K$277),"")</f>
        <v/>
      </c>
      <c r="L277" s="16" t="str">
        <f>IFERROR(IF([2]对账明细接口!$L$277=0,"",[2]对账明细接口!$L$277),"")</f>
        <v/>
      </c>
      <c r="M277" s="16" t="str">
        <f>IFERROR(IF([2]对账明细接口!$M$277=0,"",[2]对账明细接口!$M$277),"")</f>
        <v/>
      </c>
      <c r="N277" s="19">
        <f t="shared" si="24"/>
        <v>0</v>
      </c>
      <c r="O277" s="19">
        <f t="shared" si="25"/>
        <v>165</v>
      </c>
      <c r="S277" s="20" t="str">
        <f>IFERROR(IF([2]对账明细接口!$N277=0,"",[2]对账明细接口!$N277),"")</f>
        <v/>
      </c>
      <c r="T277" s="21" t="str">
        <f>IFERROR(IF([2]对账明细接口!$O277=0,"",[2]对账明细接口!$O277),"")</f>
        <v/>
      </c>
      <c r="U277" s="21" t="str">
        <f>IFERROR(IF([2]对账明细接口!$P277=0,"",[2]对账明细接口!$P277),"")</f>
        <v/>
      </c>
      <c r="V277" s="21" t="str">
        <f>IFERROR(IF([2]对账明细接口!$Q277=0,"",[2]对账明细接口!$Q277),"")</f>
        <v/>
      </c>
      <c r="W277" s="20" t="str">
        <f>IFERROR(IF([2]对账明细接口!$R277=0,"",[2]对账明细接口!$R277),"")</f>
        <v/>
      </c>
      <c r="X277" s="20" t="str">
        <f>IFERROR(IF([2]对账明细接口!$S277=0,"",[2]对账明细接口!$S277),"")</f>
        <v/>
      </c>
      <c r="Y277" s="20" t="str">
        <f t="shared" si="26"/>
        <v/>
      </c>
      <c r="Z277" s="20" t="str">
        <f t="shared" si="27"/>
        <v/>
      </c>
      <c r="AA277" s="20" t="str">
        <f t="shared" si="28"/>
        <v/>
      </c>
      <c r="AB277" s="20" t="str">
        <f t="shared" si="29"/>
        <v/>
      </c>
    </row>
    <row r="278" customHeight="1" spans="1:28">
      <c r="A278" s="14">
        <v>278</v>
      </c>
      <c r="B278" s="15" t="str">
        <f>IFERROR(IF([2]对账明细接口!$B$278=0,"",[2]对账明细接口!$B$278),"")</f>
        <v/>
      </c>
      <c r="C278" s="16" t="str">
        <f>IFERROR(IF([2]对账明细接口!$C$278=0,"",[2]对账明细接口!$C$278),"")</f>
        <v/>
      </c>
      <c r="D278" s="16" t="str">
        <f>IFERROR(IF([2]对账明细接口!$D$278=0,"",[2]对账明细接口!$D$278),"")</f>
        <v/>
      </c>
      <c r="E278" s="16" t="str">
        <f>IFERROR(IF([2]对账明细接口!$E$278=0,"",[2]对账明细接口!$E$278),"")</f>
        <v/>
      </c>
      <c r="F278" s="16" t="str">
        <f>IFERROR(IF([2]对账明细接口!$F$278=0,"",[2]对账明细接口!$F$278),"")</f>
        <v/>
      </c>
      <c r="G278" s="16" t="str">
        <f>IFERROR(IF([2]对账明细接口!$G$278=0,"",[2]对账明细接口!$G$278),"")</f>
        <v/>
      </c>
      <c r="H278" s="17" t="str">
        <f>IFERROR(IF([2]对账明细接口!$H$278=0,"",[2]对账明细接口!$H$278),"")</f>
        <v/>
      </c>
      <c r="I278" s="16" t="str">
        <f>IFERROR(IF([2]对账明细接口!$I$278=0,"",[2]对账明细接口!$I$278),"")</f>
        <v/>
      </c>
      <c r="J278" s="18" t="str">
        <f>IFERROR(IF([2]对账明细接口!$J$278=0,"",[2]对账明细接口!$J$278),"")</f>
        <v/>
      </c>
      <c r="K278" s="18" t="str">
        <f>IFERROR(IF([2]对账明细接口!$K$278=0,"",[2]对账明细接口!$K$278),"")</f>
        <v/>
      </c>
      <c r="L278" s="16" t="str">
        <f>IFERROR(IF([2]对账明细接口!$L$278=0,"",[2]对账明细接口!$L$278),"")</f>
        <v/>
      </c>
      <c r="M278" s="16" t="str">
        <f>IFERROR(IF([2]对账明细接口!$M$278=0,"",[2]对账明细接口!$M$278),"")</f>
        <v/>
      </c>
      <c r="N278" s="19">
        <f t="shared" si="24"/>
        <v>0</v>
      </c>
      <c r="O278" s="19">
        <f t="shared" si="25"/>
        <v>165</v>
      </c>
      <c r="S278" s="20" t="str">
        <f>IFERROR(IF([2]对账明细接口!$N278=0,"",[2]对账明细接口!$N278),"")</f>
        <v/>
      </c>
      <c r="T278" s="21" t="str">
        <f>IFERROR(IF([2]对账明细接口!$O278=0,"",[2]对账明细接口!$O278),"")</f>
        <v/>
      </c>
      <c r="U278" s="21" t="str">
        <f>IFERROR(IF([2]对账明细接口!$P278=0,"",[2]对账明细接口!$P278),"")</f>
        <v/>
      </c>
      <c r="V278" s="21" t="str">
        <f>IFERROR(IF([2]对账明细接口!$Q278=0,"",[2]对账明细接口!$Q278),"")</f>
        <v/>
      </c>
      <c r="W278" s="20" t="str">
        <f>IFERROR(IF([2]对账明细接口!$R278=0,"",[2]对账明细接口!$R278),"")</f>
        <v/>
      </c>
      <c r="X278" s="20" t="str">
        <f>IFERROR(IF([2]对账明细接口!$S278=0,"",[2]对账明细接口!$S278),"")</f>
        <v/>
      </c>
      <c r="Y278" s="20" t="str">
        <f t="shared" si="26"/>
        <v/>
      </c>
      <c r="Z278" s="20" t="str">
        <f t="shared" si="27"/>
        <v/>
      </c>
      <c r="AA278" s="20" t="str">
        <f t="shared" si="28"/>
        <v/>
      </c>
      <c r="AB278" s="20" t="str">
        <f t="shared" si="29"/>
        <v/>
      </c>
    </row>
    <row r="279" customHeight="1" spans="1:28">
      <c r="A279" s="14">
        <v>279</v>
      </c>
      <c r="B279" s="15" t="str">
        <f>IFERROR(IF([2]对账明细接口!$B$279=0,"",[2]对账明细接口!$B$279),"")</f>
        <v/>
      </c>
      <c r="C279" s="16" t="str">
        <f>IFERROR(IF([2]对账明细接口!$C$279=0,"",[2]对账明细接口!$C$279),"")</f>
        <v/>
      </c>
      <c r="D279" s="16" t="str">
        <f>IFERROR(IF([2]对账明细接口!$D$279=0,"",[2]对账明细接口!$D$279),"")</f>
        <v/>
      </c>
      <c r="E279" s="16" t="str">
        <f>IFERROR(IF([2]对账明细接口!$E$279=0,"",[2]对账明细接口!$E$279),"")</f>
        <v/>
      </c>
      <c r="F279" s="16" t="str">
        <f>IFERROR(IF([2]对账明细接口!$F$279=0,"",[2]对账明细接口!$F$279),"")</f>
        <v/>
      </c>
      <c r="G279" s="16" t="str">
        <f>IFERROR(IF([2]对账明细接口!$G$279=0,"",[2]对账明细接口!$G$279),"")</f>
        <v/>
      </c>
      <c r="H279" s="17" t="str">
        <f>IFERROR(IF([2]对账明细接口!$H$279=0,"",[2]对账明细接口!$H$279),"")</f>
        <v/>
      </c>
      <c r="I279" s="16" t="str">
        <f>IFERROR(IF([2]对账明细接口!$I$279=0,"",[2]对账明细接口!$I$279),"")</f>
        <v/>
      </c>
      <c r="J279" s="18" t="str">
        <f>IFERROR(IF([2]对账明细接口!$J$279=0,"",[2]对账明细接口!$J$279),"")</f>
        <v/>
      </c>
      <c r="K279" s="18" t="str">
        <f>IFERROR(IF([2]对账明细接口!$K$279=0,"",[2]对账明细接口!$K$279),"")</f>
        <v/>
      </c>
      <c r="L279" s="16" t="str">
        <f>IFERROR(IF([2]对账明细接口!$L$279=0,"",[2]对账明细接口!$L$279),"")</f>
        <v/>
      </c>
      <c r="M279" s="16" t="str">
        <f>IFERROR(IF([2]对账明细接口!$M$279=0,"",[2]对账明细接口!$M$279),"")</f>
        <v/>
      </c>
      <c r="N279" s="19">
        <f t="shared" si="24"/>
        <v>0</v>
      </c>
      <c r="O279" s="19">
        <f t="shared" si="25"/>
        <v>165</v>
      </c>
      <c r="S279" s="20" t="str">
        <f>IFERROR(IF([2]对账明细接口!$N279=0,"",[2]对账明细接口!$N279),"")</f>
        <v/>
      </c>
      <c r="T279" s="21" t="str">
        <f>IFERROR(IF([2]对账明细接口!$O279=0,"",[2]对账明细接口!$O279),"")</f>
        <v/>
      </c>
      <c r="U279" s="21" t="str">
        <f>IFERROR(IF([2]对账明细接口!$P279=0,"",[2]对账明细接口!$P279),"")</f>
        <v/>
      </c>
      <c r="V279" s="21" t="str">
        <f>IFERROR(IF([2]对账明细接口!$Q279=0,"",[2]对账明细接口!$Q279),"")</f>
        <v/>
      </c>
      <c r="W279" s="20" t="str">
        <f>IFERROR(IF([2]对账明细接口!$R279=0,"",[2]对账明细接口!$R279),"")</f>
        <v/>
      </c>
      <c r="X279" s="20" t="str">
        <f>IFERROR(IF([2]对账明细接口!$S279=0,"",[2]对账明细接口!$S279),"")</f>
        <v/>
      </c>
      <c r="Y279" s="20" t="str">
        <f t="shared" si="26"/>
        <v/>
      </c>
      <c r="Z279" s="20" t="str">
        <f t="shared" si="27"/>
        <v/>
      </c>
      <c r="AA279" s="20" t="str">
        <f t="shared" si="28"/>
        <v/>
      </c>
      <c r="AB279" s="20" t="str">
        <f t="shared" si="29"/>
        <v/>
      </c>
    </row>
    <row r="280" customHeight="1" spans="1:28">
      <c r="A280" s="14">
        <v>280</v>
      </c>
      <c r="B280" s="15" t="str">
        <f>IFERROR(IF([2]对账明细接口!$B$280=0,"",[2]对账明细接口!$B$280),"")</f>
        <v/>
      </c>
      <c r="C280" s="16" t="str">
        <f>IFERROR(IF([2]对账明细接口!$C$280=0,"",[2]对账明细接口!$C$280),"")</f>
        <v/>
      </c>
      <c r="D280" s="16" t="str">
        <f>IFERROR(IF([2]对账明细接口!$D$280=0,"",[2]对账明细接口!$D$280),"")</f>
        <v/>
      </c>
      <c r="E280" s="16" t="str">
        <f>IFERROR(IF([2]对账明细接口!$E$280=0,"",[2]对账明细接口!$E$280),"")</f>
        <v/>
      </c>
      <c r="F280" s="16" t="str">
        <f>IFERROR(IF([2]对账明细接口!$F$280=0,"",[2]对账明细接口!$F$280),"")</f>
        <v/>
      </c>
      <c r="G280" s="16" t="str">
        <f>IFERROR(IF([2]对账明细接口!$G$280=0,"",[2]对账明细接口!$G$280),"")</f>
        <v/>
      </c>
      <c r="H280" s="17" t="str">
        <f>IFERROR(IF([2]对账明细接口!$H$280=0,"",[2]对账明细接口!$H$280),"")</f>
        <v/>
      </c>
      <c r="I280" s="16" t="str">
        <f>IFERROR(IF([2]对账明细接口!$I$280=0,"",[2]对账明细接口!$I$280),"")</f>
        <v/>
      </c>
      <c r="J280" s="18" t="str">
        <f>IFERROR(IF([2]对账明细接口!$J$280=0,"",[2]对账明细接口!$J$280),"")</f>
        <v/>
      </c>
      <c r="K280" s="18" t="str">
        <f>IFERROR(IF([2]对账明细接口!$K$280=0,"",[2]对账明细接口!$K$280),"")</f>
        <v/>
      </c>
      <c r="L280" s="16" t="str">
        <f>IFERROR(IF([2]对账明细接口!$L$280=0,"",[2]对账明细接口!$L$280),"")</f>
        <v/>
      </c>
      <c r="M280" s="16" t="str">
        <f>IFERROR(IF([2]对账明细接口!$M$280=0,"",[2]对账明细接口!$M$280),"")</f>
        <v/>
      </c>
      <c r="N280" s="19">
        <f t="shared" si="24"/>
        <v>0</v>
      </c>
      <c r="O280" s="19">
        <f t="shared" si="25"/>
        <v>165</v>
      </c>
      <c r="S280" s="20" t="str">
        <f>IFERROR(IF([2]对账明细接口!$N280=0,"",[2]对账明细接口!$N280),"")</f>
        <v/>
      </c>
      <c r="T280" s="21" t="str">
        <f>IFERROR(IF([2]对账明细接口!$O280=0,"",[2]对账明细接口!$O280),"")</f>
        <v/>
      </c>
      <c r="U280" s="21" t="str">
        <f>IFERROR(IF([2]对账明细接口!$P280=0,"",[2]对账明细接口!$P280),"")</f>
        <v/>
      </c>
      <c r="V280" s="21" t="str">
        <f>IFERROR(IF([2]对账明细接口!$Q280=0,"",[2]对账明细接口!$Q280),"")</f>
        <v/>
      </c>
      <c r="W280" s="20" t="str">
        <f>IFERROR(IF([2]对账明细接口!$R280=0,"",[2]对账明细接口!$R280),"")</f>
        <v/>
      </c>
      <c r="X280" s="20" t="str">
        <f>IFERROR(IF([2]对账明细接口!$S280=0,"",[2]对账明细接口!$S280),"")</f>
        <v/>
      </c>
      <c r="Y280" s="20" t="str">
        <f t="shared" si="26"/>
        <v/>
      </c>
      <c r="Z280" s="20" t="str">
        <f t="shared" si="27"/>
        <v/>
      </c>
      <c r="AA280" s="20" t="str">
        <f t="shared" si="28"/>
        <v/>
      </c>
      <c r="AB280" s="20" t="str">
        <f t="shared" si="29"/>
        <v/>
      </c>
    </row>
    <row r="281" customHeight="1" spans="1:28">
      <c r="A281" s="14">
        <v>281</v>
      </c>
      <c r="B281" s="15" t="str">
        <f>IFERROR(IF([2]对账明细接口!$B$281=0,"",[2]对账明细接口!$B$281),"")</f>
        <v/>
      </c>
      <c r="C281" s="16" t="str">
        <f>IFERROR(IF([2]对账明细接口!$C$281=0,"",[2]对账明细接口!$C$281),"")</f>
        <v/>
      </c>
      <c r="D281" s="16" t="str">
        <f>IFERROR(IF([2]对账明细接口!$D$281=0,"",[2]对账明细接口!$D$281),"")</f>
        <v/>
      </c>
      <c r="E281" s="16" t="str">
        <f>IFERROR(IF([2]对账明细接口!$E$281=0,"",[2]对账明细接口!$E$281),"")</f>
        <v/>
      </c>
      <c r="F281" s="16" t="str">
        <f>IFERROR(IF([2]对账明细接口!$F$281=0,"",[2]对账明细接口!$F$281),"")</f>
        <v/>
      </c>
      <c r="G281" s="16" t="str">
        <f>IFERROR(IF([2]对账明细接口!$G$281=0,"",[2]对账明细接口!$G$281),"")</f>
        <v/>
      </c>
      <c r="H281" s="17" t="str">
        <f>IFERROR(IF([2]对账明细接口!$H$281=0,"",[2]对账明细接口!$H$281),"")</f>
        <v/>
      </c>
      <c r="I281" s="16" t="str">
        <f>IFERROR(IF([2]对账明细接口!$I$281=0,"",[2]对账明细接口!$I$281),"")</f>
        <v/>
      </c>
      <c r="J281" s="18" t="str">
        <f>IFERROR(IF([2]对账明细接口!$J$281=0,"",[2]对账明细接口!$J$281),"")</f>
        <v/>
      </c>
      <c r="K281" s="18" t="str">
        <f>IFERROR(IF([2]对账明细接口!$K$281=0,"",[2]对账明细接口!$K$281),"")</f>
        <v/>
      </c>
      <c r="L281" s="16" t="str">
        <f>IFERROR(IF([2]对账明细接口!$L$281=0,"",[2]对账明细接口!$L$281),"")</f>
        <v/>
      </c>
      <c r="M281" s="16" t="str">
        <f>IFERROR(IF([2]对账明细接口!$M$281=0,"",[2]对账明细接口!$M$281),"")</f>
        <v/>
      </c>
      <c r="N281" s="19">
        <f t="shared" si="24"/>
        <v>0</v>
      </c>
      <c r="O281" s="19">
        <f t="shared" si="25"/>
        <v>165</v>
      </c>
      <c r="S281" s="20" t="str">
        <f>IFERROR(IF([2]对账明细接口!$N281=0,"",[2]对账明细接口!$N281),"")</f>
        <v/>
      </c>
      <c r="T281" s="21" t="str">
        <f>IFERROR(IF([2]对账明细接口!$O281=0,"",[2]对账明细接口!$O281),"")</f>
        <v/>
      </c>
      <c r="U281" s="21" t="str">
        <f>IFERROR(IF([2]对账明细接口!$P281=0,"",[2]对账明细接口!$P281),"")</f>
        <v/>
      </c>
      <c r="V281" s="21" t="str">
        <f>IFERROR(IF([2]对账明细接口!$Q281=0,"",[2]对账明细接口!$Q281),"")</f>
        <v/>
      </c>
      <c r="W281" s="20" t="str">
        <f>IFERROR(IF([2]对账明细接口!$R281=0,"",[2]对账明细接口!$R281),"")</f>
        <v/>
      </c>
      <c r="X281" s="20" t="str">
        <f>IFERROR(IF([2]对账明细接口!$S281=0,"",[2]对账明细接口!$S281),"")</f>
        <v/>
      </c>
      <c r="Y281" s="20" t="str">
        <f t="shared" si="26"/>
        <v/>
      </c>
      <c r="Z281" s="20" t="str">
        <f t="shared" si="27"/>
        <v/>
      </c>
      <c r="AA281" s="20" t="str">
        <f t="shared" si="28"/>
        <v/>
      </c>
      <c r="AB281" s="20" t="str">
        <f t="shared" si="29"/>
        <v/>
      </c>
    </row>
    <row r="282" customHeight="1" spans="1:28">
      <c r="A282" s="14">
        <v>282</v>
      </c>
      <c r="B282" s="15" t="str">
        <f>IFERROR(IF([2]对账明细接口!$B$282=0,"",[2]对账明细接口!$B$282),"")</f>
        <v/>
      </c>
      <c r="C282" s="16" t="str">
        <f>IFERROR(IF([2]对账明细接口!$C$282=0,"",[2]对账明细接口!$C$282),"")</f>
        <v/>
      </c>
      <c r="D282" s="16" t="str">
        <f>IFERROR(IF([2]对账明细接口!$D$282=0,"",[2]对账明细接口!$D$282),"")</f>
        <v/>
      </c>
      <c r="E282" s="16" t="str">
        <f>IFERROR(IF([2]对账明细接口!$E$282=0,"",[2]对账明细接口!$E$282),"")</f>
        <v/>
      </c>
      <c r="F282" s="16" t="str">
        <f>IFERROR(IF([2]对账明细接口!$F$282=0,"",[2]对账明细接口!$F$282),"")</f>
        <v/>
      </c>
      <c r="G282" s="16" t="str">
        <f>IFERROR(IF([2]对账明细接口!$G$282=0,"",[2]对账明细接口!$G$282),"")</f>
        <v/>
      </c>
      <c r="H282" s="17" t="str">
        <f>IFERROR(IF([2]对账明细接口!$H$282=0,"",[2]对账明细接口!$H$282),"")</f>
        <v/>
      </c>
      <c r="I282" s="16" t="str">
        <f>IFERROR(IF([2]对账明细接口!$I$282=0,"",[2]对账明细接口!$I$282),"")</f>
        <v/>
      </c>
      <c r="J282" s="18" t="str">
        <f>IFERROR(IF([2]对账明细接口!$J$282=0,"",[2]对账明细接口!$J$282),"")</f>
        <v/>
      </c>
      <c r="K282" s="18" t="str">
        <f>IFERROR(IF([2]对账明细接口!$K$282=0,"",[2]对账明细接口!$K$282),"")</f>
        <v/>
      </c>
      <c r="L282" s="16" t="str">
        <f>IFERROR(IF([2]对账明细接口!$L$282=0,"",[2]对账明细接口!$L$282),"")</f>
        <v/>
      </c>
      <c r="M282" s="16" t="str">
        <f>IFERROR(IF([2]对账明细接口!$M$282=0,"",[2]对账明细接口!$M$282),"")</f>
        <v/>
      </c>
      <c r="N282" s="19">
        <f t="shared" si="24"/>
        <v>0</v>
      </c>
      <c r="O282" s="19">
        <f t="shared" si="25"/>
        <v>165</v>
      </c>
      <c r="S282" s="20" t="str">
        <f>IFERROR(IF([2]对账明细接口!$N282=0,"",[2]对账明细接口!$N282),"")</f>
        <v/>
      </c>
      <c r="T282" s="21" t="str">
        <f>IFERROR(IF([2]对账明细接口!$O282=0,"",[2]对账明细接口!$O282),"")</f>
        <v/>
      </c>
      <c r="U282" s="21" t="str">
        <f>IFERROR(IF([2]对账明细接口!$P282=0,"",[2]对账明细接口!$P282),"")</f>
        <v/>
      </c>
      <c r="V282" s="21" t="str">
        <f>IFERROR(IF([2]对账明细接口!$Q282=0,"",[2]对账明细接口!$Q282),"")</f>
        <v/>
      </c>
      <c r="W282" s="20" t="str">
        <f>IFERROR(IF([2]对账明细接口!$R282=0,"",[2]对账明细接口!$R282),"")</f>
        <v/>
      </c>
      <c r="X282" s="20" t="str">
        <f>IFERROR(IF([2]对账明细接口!$S282=0,"",[2]对账明细接口!$S282),"")</f>
        <v/>
      </c>
      <c r="Y282" s="20" t="str">
        <f t="shared" si="26"/>
        <v/>
      </c>
      <c r="Z282" s="20" t="str">
        <f t="shared" si="27"/>
        <v/>
      </c>
      <c r="AA282" s="20" t="str">
        <f t="shared" si="28"/>
        <v/>
      </c>
      <c r="AB282" s="20" t="str">
        <f t="shared" si="29"/>
        <v/>
      </c>
    </row>
    <row r="283" customHeight="1" spans="1:28">
      <c r="A283" s="14">
        <v>283</v>
      </c>
      <c r="B283" s="15" t="str">
        <f>IFERROR(IF([2]对账明细接口!$B$283=0,"",[2]对账明细接口!$B$283),"")</f>
        <v/>
      </c>
      <c r="C283" s="16" t="str">
        <f>IFERROR(IF([2]对账明细接口!$C$283=0,"",[2]对账明细接口!$C$283),"")</f>
        <v/>
      </c>
      <c r="D283" s="16" t="str">
        <f>IFERROR(IF([2]对账明细接口!$D$283=0,"",[2]对账明细接口!$D$283),"")</f>
        <v/>
      </c>
      <c r="E283" s="16" t="str">
        <f>IFERROR(IF([2]对账明细接口!$E$283=0,"",[2]对账明细接口!$E$283),"")</f>
        <v/>
      </c>
      <c r="F283" s="16" t="str">
        <f>IFERROR(IF([2]对账明细接口!$F$283=0,"",[2]对账明细接口!$F$283),"")</f>
        <v/>
      </c>
      <c r="G283" s="16" t="str">
        <f>IFERROR(IF([2]对账明细接口!$G$283=0,"",[2]对账明细接口!$G$283),"")</f>
        <v/>
      </c>
      <c r="H283" s="17" t="str">
        <f>IFERROR(IF([2]对账明细接口!$H$283=0,"",[2]对账明细接口!$H$283),"")</f>
        <v/>
      </c>
      <c r="I283" s="16" t="str">
        <f>IFERROR(IF([2]对账明细接口!$I$283=0,"",[2]对账明细接口!$I$283),"")</f>
        <v/>
      </c>
      <c r="J283" s="18" t="str">
        <f>IFERROR(IF([2]对账明细接口!$J$283=0,"",[2]对账明细接口!$J$283),"")</f>
        <v/>
      </c>
      <c r="K283" s="18" t="str">
        <f>IFERROR(IF([2]对账明细接口!$K$283=0,"",[2]对账明细接口!$K$283),"")</f>
        <v/>
      </c>
      <c r="L283" s="16" t="str">
        <f>IFERROR(IF([2]对账明细接口!$L$283=0,"",[2]对账明细接口!$L$283),"")</f>
        <v/>
      </c>
      <c r="M283" s="16" t="str">
        <f>IFERROR(IF([2]对账明细接口!$M$283=0,"",[2]对账明细接口!$M$283),"")</f>
        <v/>
      </c>
      <c r="N283" s="19">
        <f t="shared" si="24"/>
        <v>0</v>
      </c>
      <c r="O283" s="19">
        <f t="shared" si="25"/>
        <v>165</v>
      </c>
      <c r="S283" s="20" t="str">
        <f>IFERROR(IF([2]对账明细接口!$N283=0,"",[2]对账明细接口!$N283),"")</f>
        <v/>
      </c>
      <c r="T283" s="21" t="str">
        <f>IFERROR(IF([2]对账明细接口!$O283=0,"",[2]对账明细接口!$O283),"")</f>
        <v/>
      </c>
      <c r="U283" s="21" t="str">
        <f>IFERROR(IF([2]对账明细接口!$P283=0,"",[2]对账明细接口!$P283),"")</f>
        <v/>
      </c>
      <c r="V283" s="21" t="str">
        <f>IFERROR(IF([2]对账明细接口!$Q283=0,"",[2]对账明细接口!$Q283),"")</f>
        <v/>
      </c>
      <c r="W283" s="20" t="str">
        <f>IFERROR(IF([2]对账明细接口!$R283=0,"",[2]对账明细接口!$R283),"")</f>
        <v/>
      </c>
      <c r="X283" s="20" t="str">
        <f>IFERROR(IF([2]对账明细接口!$S283=0,"",[2]对账明细接口!$S283),"")</f>
        <v/>
      </c>
      <c r="Y283" s="20" t="str">
        <f t="shared" si="26"/>
        <v/>
      </c>
      <c r="Z283" s="20" t="str">
        <f t="shared" si="27"/>
        <v/>
      </c>
      <c r="AA283" s="20" t="str">
        <f t="shared" si="28"/>
        <v/>
      </c>
      <c r="AB283" s="20" t="str">
        <f t="shared" si="29"/>
        <v/>
      </c>
    </row>
    <row r="284" customHeight="1" spans="1:28">
      <c r="A284" s="14">
        <v>284</v>
      </c>
      <c r="B284" s="15" t="str">
        <f>IFERROR(IF([2]对账明细接口!$B$284=0,"",[2]对账明细接口!$B$284),"")</f>
        <v/>
      </c>
      <c r="C284" s="16" t="str">
        <f>IFERROR(IF([2]对账明细接口!$C$284=0,"",[2]对账明细接口!$C$284),"")</f>
        <v/>
      </c>
      <c r="D284" s="16" t="str">
        <f>IFERROR(IF([2]对账明细接口!$D$284=0,"",[2]对账明细接口!$D$284),"")</f>
        <v/>
      </c>
      <c r="E284" s="16" t="str">
        <f>IFERROR(IF([2]对账明细接口!$E$284=0,"",[2]对账明细接口!$E$284),"")</f>
        <v/>
      </c>
      <c r="F284" s="16" t="str">
        <f>IFERROR(IF([2]对账明细接口!$F$284=0,"",[2]对账明细接口!$F$284),"")</f>
        <v/>
      </c>
      <c r="G284" s="16" t="str">
        <f>IFERROR(IF([2]对账明细接口!$G$284=0,"",[2]对账明细接口!$G$284),"")</f>
        <v/>
      </c>
      <c r="H284" s="17" t="str">
        <f>IFERROR(IF([2]对账明细接口!$H$284=0,"",[2]对账明细接口!$H$284),"")</f>
        <v/>
      </c>
      <c r="I284" s="16" t="str">
        <f>IFERROR(IF([2]对账明细接口!$I$284=0,"",[2]对账明细接口!$I$284),"")</f>
        <v/>
      </c>
      <c r="J284" s="18" t="str">
        <f>IFERROR(IF([2]对账明细接口!$J$284=0,"",[2]对账明细接口!$J$284),"")</f>
        <v/>
      </c>
      <c r="K284" s="18" t="str">
        <f>IFERROR(IF([2]对账明细接口!$K$284=0,"",[2]对账明细接口!$K$284),"")</f>
        <v/>
      </c>
      <c r="L284" s="16" t="str">
        <f>IFERROR(IF([2]对账明细接口!$L$284=0,"",[2]对账明细接口!$L$284),"")</f>
        <v/>
      </c>
      <c r="M284" s="16" t="str">
        <f>IFERROR(IF([2]对账明细接口!$M$284=0,"",[2]对账明细接口!$M$284),"")</f>
        <v/>
      </c>
      <c r="N284" s="19">
        <f t="shared" si="24"/>
        <v>0</v>
      </c>
      <c r="O284" s="19">
        <f t="shared" si="25"/>
        <v>165</v>
      </c>
      <c r="S284" s="20" t="str">
        <f>IFERROR(IF([2]对账明细接口!$N284=0,"",[2]对账明细接口!$N284),"")</f>
        <v/>
      </c>
      <c r="T284" s="21" t="str">
        <f>IFERROR(IF([2]对账明细接口!$O284=0,"",[2]对账明细接口!$O284),"")</f>
        <v/>
      </c>
      <c r="U284" s="21" t="str">
        <f>IFERROR(IF([2]对账明细接口!$P284=0,"",[2]对账明细接口!$P284),"")</f>
        <v/>
      </c>
      <c r="V284" s="21" t="str">
        <f>IFERROR(IF([2]对账明细接口!$Q284=0,"",[2]对账明细接口!$Q284),"")</f>
        <v/>
      </c>
      <c r="W284" s="20" t="str">
        <f>IFERROR(IF([2]对账明细接口!$R284=0,"",[2]对账明细接口!$R284),"")</f>
        <v/>
      </c>
      <c r="X284" s="20" t="str">
        <f>IFERROR(IF([2]对账明细接口!$S284=0,"",[2]对账明细接口!$S284),"")</f>
        <v/>
      </c>
      <c r="Y284" s="20" t="str">
        <f t="shared" si="26"/>
        <v/>
      </c>
      <c r="Z284" s="20" t="str">
        <f t="shared" si="27"/>
        <v/>
      </c>
      <c r="AA284" s="20" t="str">
        <f t="shared" si="28"/>
        <v/>
      </c>
      <c r="AB284" s="20" t="str">
        <f t="shared" si="29"/>
        <v/>
      </c>
    </row>
    <row r="285" customHeight="1" spans="1:28">
      <c r="A285" s="14">
        <v>285</v>
      </c>
      <c r="B285" s="15" t="str">
        <f>IFERROR(IF([2]对账明细接口!$B$285=0,"",[2]对账明细接口!$B$285),"")</f>
        <v/>
      </c>
      <c r="C285" s="16" t="str">
        <f>IFERROR(IF([2]对账明细接口!$C$285=0,"",[2]对账明细接口!$C$285),"")</f>
        <v/>
      </c>
      <c r="D285" s="16" t="str">
        <f>IFERROR(IF([2]对账明细接口!$D$285=0,"",[2]对账明细接口!$D$285),"")</f>
        <v/>
      </c>
      <c r="E285" s="16" t="str">
        <f>IFERROR(IF([2]对账明细接口!$E$285=0,"",[2]对账明细接口!$E$285),"")</f>
        <v/>
      </c>
      <c r="F285" s="16" t="str">
        <f>IFERROR(IF([2]对账明细接口!$F$285=0,"",[2]对账明细接口!$F$285),"")</f>
        <v/>
      </c>
      <c r="G285" s="16" t="str">
        <f>IFERROR(IF([2]对账明细接口!$G$285=0,"",[2]对账明细接口!$G$285),"")</f>
        <v/>
      </c>
      <c r="H285" s="17" t="str">
        <f>IFERROR(IF([2]对账明细接口!$H$285=0,"",[2]对账明细接口!$H$285),"")</f>
        <v/>
      </c>
      <c r="I285" s="16" t="str">
        <f>IFERROR(IF([2]对账明细接口!$I$285=0,"",[2]对账明细接口!$I$285),"")</f>
        <v/>
      </c>
      <c r="J285" s="18" t="str">
        <f>IFERROR(IF([2]对账明细接口!$J$285=0,"",[2]对账明细接口!$J$285),"")</f>
        <v/>
      </c>
      <c r="K285" s="18" t="str">
        <f>IFERROR(IF([2]对账明细接口!$K$285=0,"",[2]对账明细接口!$K$285),"")</f>
        <v/>
      </c>
      <c r="L285" s="16" t="str">
        <f>IFERROR(IF([2]对账明细接口!$L$285=0,"",[2]对账明细接口!$L$285),"")</f>
        <v/>
      </c>
      <c r="M285" s="16" t="str">
        <f>IFERROR(IF([2]对账明细接口!$M$285=0,"",[2]对账明细接口!$M$285),"")</f>
        <v/>
      </c>
      <c r="N285" s="19">
        <f t="shared" si="24"/>
        <v>0</v>
      </c>
      <c r="O285" s="19">
        <f t="shared" si="25"/>
        <v>165</v>
      </c>
      <c r="S285" s="20" t="str">
        <f>IFERROR(IF([2]对账明细接口!$N285=0,"",[2]对账明细接口!$N285),"")</f>
        <v/>
      </c>
      <c r="T285" s="21" t="str">
        <f>IFERROR(IF([2]对账明细接口!$O285=0,"",[2]对账明细接口!$O285),"")</f>
        <v/>
      </c>
      <c r="U285" s="21" t="str">
        <f>IFERROR(IF([2]对账明细接口!$P285=0,"",[2]对账明细接口!$P285),"")</f>
        <v/>
      </c>
      <c r="V285" s="21" t="str">
        <f>IFERROR(IF([2]对账明细接口!$Q285=0,"",[2]对账明细接口!$Q285),"")</f>
        <v/>
      </c>
      <c r="W285" s="20" t="str">
        <f>IFERROR(IF([2]对账明细接口!$R285=0,"",[2]对账明细接口!$R285),"")</f>
        <v/>
      </c>
      <c r="X285" s="20" t="str">
        <f>IFERROR(IF([2]对账明细接口!$S285=0,"",[2]对账明细接口!$S285),"")</f>
        <v/>
      </c>
      <c r="Y285" s="20" t="str">
        <f t="shared" si="26"/>
        <v/>
      </c>
      <c r="Z285" s="20" t="str">
        <f t="shared" si="27"/>
        <v/>
      </c>
      <c r="AA285" s="20" t="str">
        <f t="shared" si="28"/>
        <v/>
      </c>
      <c r="AB285" s="20" t="str">
        <f t="shared" si="29"/>
        <v/>
      </c>
    </row>
    <row r="286" customHeight="1" spans="1:28">
      <c r="A286" s="14">
        <v>286</v>
      </c>
      <c r="B286" s="15" t="str">
        <f>IFERROR(IF([2]对账明细接口!$B$286=0,"",[2]对账明细接口!$B$286),"")</f>
        <v/>
      </c>
      <c r="C286" s="16" t="str">
        <f>IFERROR(IF([2]对账明细接口!$C$286=0,"",[2]对账明细接口!$C$286),"")</f>
        <v/>
      </c>
      <c r="D286" s="16" t="str">
        <f>IFERROR(IF([2]对账明细接口!$D$286=0,"",[2]对账明细接口!$D$286),"")</f>
        <v/>
      </c>
      <c r="E286" s="16" t="str">
        <f>IFERROR(IF([2]对账明细接口!$E$286=0,"",[2]对账明细接口!$E$286),"")</f>
        <v/>
      </c>
      <c r="F286" s="16" t="str">
        <f>IFERROR(IF([2]对账明细接口!$F$286=0,"",[2]对账明细接口!$F$286),"")</f>
        <v/>
      </c>
      <c r="G286" s="16" t="str">
        <f>IFERROR(IF([2]对账明细接口!$G$286=0,"",[2]对账明细接口!$G$286),"")</f>
        <v/>
      </c>
      <c r="H286" s="17" t="str">
        <f>IFERROR(IF([2]对账明细接口!$H$286=0,"",[2]对账明细接口!$H$286),"")</f>
        <v/>
      </c>
      <c r="I286" s="16" t="str">
        <f>IFERROR(IF([2]对账明细接口!$I$286=0,"",[2]对账明细接口!$I$286),"")</f>
        <v/>
      </c>
      <c r="J286" s="18" t="str">
        <f>IFERROR(IF([2]对账明细接口!$J$286=0,"",[2]对账明细接口!$J$286),"")</f>
        <v/>
      </c>
      <c r="K286" s="18" t="str">
        <f>IFERROR(IF([2]对账明细接口!$K$286=0,"",[2]对账明细接口!$K$286),"")</f>
        <v/>
      </c>
      <c r="L286" s="16" t="str">
        <f>IFERROR(IF([2]对账明细接口!$L$286=0,"",[2]对账明细接口!$L$286),"")</f>
        <v/>
      </c>
      <c r="M286" s="16" t="str">
        <f>IFERROR(IF([2]对账明细接口!$M$286=0,"",[2]对账明细接口!$M$286),"")</f>
        <v/>
      </c>
      <c r="N286" s="19">
        <f t="shared" si="24"/>
        <v>0</v>
      </c>
      <c r="O286" s="19">
        <f t="shared" si="25"/>
        <v>165</v>
      </c>
      <c r="S286" s="20" t="str">
        <f>IFERROR(IF([2]对账明细接口!$N286=0,"",[2]对账明细接口!$N286),"")</f>
        <v/>
      </c>
      <c r="T286" s="21" t="str">
        <f>IFERROR(IF([2]对账明细接口!$O286=0,"",[2]对账明细接口!$O286),"")</f>
        <v/>
      </c>
      <c r="U286" s="21" t="str">
        <f>IFERROR(IF([2]对账明细接口!$P286=0,"",[2]对账明细接口!$P286),"")</f>
        <v/>
      </c>
      <c r="V286" s="21" t="str">
        <f>IFERROR(IF([2]对账明细接口!$Q286=0,"",[2]对账明细接口!$Q286),"")</f>
        <v/>
      </c>
      <c r="W286" s="20" t="str">
        <f>IFERROR(IF([2]对账明细接口!$R286=0,"",[2]对账明细接口!$R286),"")</f>
        <v/>
      </c>
      <c r="X286" s="20" t="str">
        <f>IFERROR(IF([2]对账明细接口!$S286=0,"",[2]对账明细接口!$S286),"")</f>
        <v/>
      </c>
      <c r="Y286" s="20" t="str">
        <f t="shared" si="26"/>
        <v/>
      </c>
      <c r="Z286" s="20" t="str">
        <f t="shared" si="27"/>
        <v/>
      </c>
      <c r="AA286" s="20" t="str">
        <f t="shared" si="28"/>
        <v/>
      </c>
      <c r="AB286" s="20" t="str">
        <f t="shared" si="29"/>
        <v/>
      </c>
    </row>
    <row r="287" customHeight="1" spans="1:28">
      <c r="A287" s="14">
        <v>287</v>
      </c>
      <c r="B287" s="15" t="str">
        <f>IFERROR(IF([2]对账明细接口!$B$287=0,"",[2]对账明细接口!$B$287),"")</f>
        <v/>
      </c>
      <c r="C287" s="16" t="str">
        <f>IFERROR(IF([2]对账明细接口!$C$287=0,"",[2]对账明细接口!$C$287),"")</f>
        <v/>
      </c>
      <c r="D287" s="16" t="str">
        <f>IFERROR(IF([2]对账明细接口!$D$287=0,"",[2]对账明细接口!$D$287),"")</f>
        <v/>
      </c>
      <c r="E287" s="16" t="str">
        <f>IFERROR(IF([2]对账明细接口!$E$287=0,"",[2]对账明细接口!$E$287),"")</f>
        <v/>
      </c>
      <c r="F287" s="16" t="str">
        <f>IFERROR(IF([2]对账明细接口!$F$287=0,"",[2]对账明细接口!$F$287),"")</f>
        <v/>
      </c>
      <c r="G287" s="16" t="str">
        <f>IFERROR(IF([2]对账明细接口!$G$287=0,"",[2]对账明细接口!$G$287),"")</f>
        <v/>
      </c>
      <c r="H287" s="17" t="str">
        <f>IFERROR(IF([2]对账明细接口!$H$287=0,"",[2]对账明细接口!$H$287),"")</f>
        <v/>
      </c>
      <c r="I287" s="16" t="str">
        <f>IFERROR(IF([2]对账明细接口!$I$287=0,"",[2]对账明细接口!$I$287),"")</f>
        <v/>
      </c>
      <c r="J287" s="18" t="str">
        <f>IFERROR(IF([2]对账明细接口!$J$287=0,"",[2]对账明细接口!$J$287),"")</f>
        <v/>
      </c>
      <c r="K287" s="18" t="str">
        <f>IFERROR(IF([2]对账明细接口!$K$287=0,"",[2]对账明细接口!$K$287),"")</f>
        <v/>
      </c>
      <c r="L287" s="16" t="str">
        <f>IFERROR(IF([2]对账明细接口!$L$287=0,"",[2]对账明细接口!$L$287),"")</f>
        <v/>
      </c>
      <c r="M287" s="16" t="str">
        <f>IFERROR(IF([2]对账明细接口!$M$287=0,"",[2]对账明细接口!$M$287),"")</f>
        <v/>
      </c>
      <c r="N287" s="19">
        <f t="shared" si="24"/>
        <v>0</v>
      </c>
      <c r="O287" s="19">
        <f t="shared" si="25"/>
        <v>165</v>
      </c>
      <c r="S287" s="20" t="str">
        <f>IFERROR(IF([2]对账明细接口!$N287=0,"",[2]对账明细接口!$N287),"")</f>
        <v/>
      </c>
      <c r="T287" s="21" t="str">
        <f>IFERROR(IF([2]对账明细接口!$O287=0,"",[2]对账明细接口!$O287),"")</f>
        <v/>
      </c>
      <c r="U287" s="21" t="str">
        <f>IFERROR(IF([2]对账明细接口!$P287=0,"",[2]对账明细接口!$P287),"")</f>
        <v/>
      </c>
      <c r="V287" s="21" t="str">
        <f>IFERROR(IF([2]对账明细接口!$Q287=0,"",[2]对账明细接口!$Q287),"")</f>
        <v/>
      </c>
      <c r="W287" s="20" t="str">
        <f>IFERROR(IF([2]对账明细接口!$R287=0,"",[2]对账明细接口!$R287),"")</f>
        <v/>
      </c>
      <c r="X287" s="20" t="str">
        <f>IFERROR(IF([2]对账明细接口!$S287=0,"",[2]对账明细接口!$S287),"")</f>
        <v/>
      </c>
      <c r="Y287" s="20" t="str">
        <f t="shared" si="26"/>
        <v/>
      </c>
      <c r="Z287" s="20" t="str">
        <f t="shared" si="27"/>
        <v/>
      </c>
      <c r="AA287" s="20" t="str">
        <f t="shared" si="28"/>
        <v/>
      </c>
      <c r="AB287" s="20" t="str">
        <f t="shared" si="29"/>
        <v/>
      </c>
    </row>
    <row r="288" customHeight="1" spans="1:28">
      <c r="A288" s="14">
        <v>288</v>
      </c>
      <c r="B288" s="15" t="str">
        <f>IFERROR(IF([2]对账明细接口!$B$288=0,"",[2]对账明细接口!$B$288),"")</f>
        <v/>
      </c>
      <c r="C288" s="16" t="str">
        <f>IFERROR(IF([2]对账明细接口!$C$288=0,"",[2]对账明细接口!$C$288),"")</f>
        <v/>
      </c>
      <c r="D288" s="16" t="str">
        <f>IFERROR(IF([2]对账明细接口!$D$288=0,"",[2]对账明细接口!$D$288),"")</f>
        <v/>
      </c>
      <c r="E288" s="16" t="str">
        <f>IFERROR(IF([2]对账明细接口!$E$288=0,"",[2]对账明细接口!$E$288),"")</f>
        <v/>
      </c>
      <c r="F288" s="16" t="str">
        <f>IFERROR(IF([2]对账明细接口!$F$288=0,"",[2]对账明细接口!$F$288),"")</f>
        <v/>
      </c>
      <c r="G288" s="16" t="str">
        <f>IFERROR(IF([2]对账明细接口!$G$288=0,"",[2]对账明细接口!$G$288),"")</f>
        <v/>
      </c>
      <c r="H288" s="17" t="str">
        <f>IFERROR(IF([2]对账明细接口!$H$288=0,"",[2]对账明细接口!$H$288),"")</f>
        <v/>
      </c>
      <c r="I288" s="16" t="str">
        <f>IFERROR(IF([2]对账明细接口!$I$288=0,"",[2]对账明细接口!$I$288),"")</f>
        <v/>
      </c>
      <c r="J288" s="18" t="str">
        <f>IFERROR(IF([2]对账明细接口!$J$288=0,"",[2]对账明细接口!$J$288),"")</f>
        <v/>
      </c>
      <c r="K288" s="18" t="str">
        <f>IFERROR(IF([2]对账明细接口!$K$288=0,"",[2]对账明细接口!$K$288),"")</f>
        <v/>
      </c>
      <c r="L288" s="16" t="str">
        <f>IFERROR(IF([2]对账明细接口!$L$288=0,"",[2]对账明细接口!$L$288),"")</f>
        <v/>
      </c>
      <c r="M288" s="16" t="str">
        <f>IFERROR(IF([2]对账明细接口!$M$288=0,"",[2]对账明细接口!$M$288),"")</f>
        <v/>
      </c>
      <c r="N288" s="19">
        <f t="shared" si="24"/>
        <v>0</v>
      </c>
      <c r="O288" s="19">
        <f t="shared" si="25"/>
        <v>165</v>
      </c>
      <c r="S288" s="20" t="str">
        <f>IFERROR(IF([2]对账明细接口!$N288=0,"",[2]对账明细接口!$N288),"")</f>
        <v/>
      </c>
      <c r="T288" s="21" t="str">
        <f>IFERROR(IF([2]对账明细接口!$O288=0,"",[2]对账明细接口!$O288),"")</f>
        <v/>
      </c>
      <c r="U288" s="21" t="str">
        <f>IFERROR(IF([2]对账明细接口!$P288=0,"",[2]对账明细接口!$P288),"")</f>
        <v/>
      </c>
      <c r="V288" s="21" t="str">
        <f>IFERROR(IF([2]对账明细接口!$Q288=0,"",[2]对账明细接口!$Q288),"")</f>
        <v/>
      </c>
      <c r="W288" s="20" t="str">
        <f>IFERROR(IF([2]对账明细接口!$R288=0,"",[2]对账明细接口!$R288),"")</f>
        <v/>
      </c>
      <c r="X288" s="20" t="str">
        <f>IFERROR(IF([2]对账明细接口!$S288=0,"",[2]对账明细接口!$S288),"")</f>
        <v/>
      </c>
      <c r="Y288" s="20" t="str">
        <f t="shared" si="26"/>
        <v/>
      </c>
      <c r="Z288" s="20" t="str">
        <f t="shared" si="27"/>
        <v/>
      </c>
      <c r="AA288" s="20" t="str">
        <f t="shared" si="28"/>
        <v/>
      </c>
      <c r="AB288" s="20" t="str">
        <f t="shared" si="29"/>
        <v/>
      </c>
    </row>
    <row r="289" customHeight="1" spans="1:28">
      <c r="A289" s="14">
        <v>289</v>
      </c>
      <c r="B289" s="15" t="str">
        <f>IFERROR(IF([2]对账明细接口!$B$289=0,"",[2]对账明细接口!$B$289),"")</f>
        <v/>
      </c>
      <c r="C289" s="16" t="str">
        <f>IFERROR(IF([2]对账明细接口!$C$289=0,"",[2]对账明细接口!$C$289),"")</f>
        <v/>
      </c>
      <c r="D289" s="16" t="str">
        <f>IFERROR(IF([2]对账明细接口!$D$289=0,"",[2]对账明细接口!$D$289),"")</f>
        <v/>
      </c>
      <c r="E289" s="16" t="str">
        <f>IFERROR(IF([2]对账明细接口!$E$289=0,"",[2]对账明细接口!$E$289),"")</f>
        <v/>
      </c>
      <c r="F289" s="16" t="str">
        <f>IFERROR(IF([2]对账明细接口!$F$289=0,"",[2]对账明细接口!$F$289),"")</f>
        <v/>
      </c>
      <c r="G289" s="16" t="str">
        <f>IFERROR(IF([2]对账明细接口!$G$289=0,"",[2]对账明细接口!$G$289),"")</f>
        <v/>
      </c>
      <c r="H289" s="17" t="str">
        <f>IFERROR(IF([2]对账明细接口!$H$289=0,"",[2]对账明细接口!$H$289),"")</f>
        <v/>
      </c>
      <c r="I289" s="16" t="str">
        <f>IFERROR(IF([2]对账明细接口!$I$289=0,"",[2]对账明细接口!$I$289),"")</f>
        <v/>
      </c>
      <c r="J289" s="18" t="str">
        <f>IFERROR(IF([2]对账明细接口!$J$289=0,"",[2]对账明细接口!$J$289),"")</f>
        <v/>
      </c>
      <c r="K289" s="18" t="str">
        <f>IFERROR(IF([2]对账明细接口!$K$289=0,"",[2]对账明细接口!$K$289),"")</f>
        <v/>
      </c>
      <c r="L289" s="16" t="str">
        <f>IFERROR(IF([2]对账明细接口!$L$289=0,"",[2]对账明细接口!$L$289),"")</f>
        <v/>
      </c>
      <c r="M289" s="16" t="str">
        <f>IFERROR(IF([2]对账明细接口!$M$289=0,"",[2]对账明细接口!$M$289),"")</f>
        <v/>
      </c>
      <c r="N289" s="19">
        <f t="shared" si="24"/>
        <v>0</v>
      </c>
      <c r="O289" s="19">
        <f t="shared" si="25"/>
        <v>165</v>
      </c>
      <c r="S289" s="20" t="str">
        <f>IFERROR(IF([2]对账明细接口!$N289=0,"",[2]对账明细接口!$N289),"")</f>
        <v/>
      </c>
      <c r="T289" s="21" t="str">
        <f>IFERROR(IF([2]对账明细接口!$O289=0,"",[2]对账明细接口!$O289),"")</f>
        <v/>
      </c>
      <c r="U289" s="21" t="str">
        <f>IFERROR(IF([2]对账明细接口!$P289=0,"",[2]对账明细接口!$P289),"")</f>
        <v/>
      </c>
      <c r="V289" s="21" t="str">
        <f>IFERROR(IF([2]对账明细接口!$Q289=0,"",[2]对账明细接口!$Q289),"")</f>
        <v/>
      </c>
      <c r="W289" s="20" t="str">
        <f>IFERROR(IF([2]对账明细接口!$R289=0,"",[2]对账明细接口!$R289),"")</f>
        <v/>
      </c>
      <c r="X289" s="20" t="str">
        <f>IFERROR(IF([2]对账明细接口!$S289=0,"",[2]对账明细接口!$S289),"")</f>
        <v/>
      </c>
      <c r="Y289" s="20" t="str">
        <f t="shared" si="26"/>
        <v/>
      </c>
      <c r="Z289" s="20" t="str">
        <f t="shared" si="27"/>
        <v/>
      </c>
      <c r="AA289" s="20" t="str">
        <f t="shared" si="28"/>
        <v/>
      </c>
      <c r="AB289" s="20" t="str">
        <f t="shared" si="29"/>
        <v/>
      </c>
    </row>
    <row r="290" customHeight="1" spans="1:28">
      <c r="A290" s="14">
        <v>290</v>
      </c>
      <c r="B290" s="15" t="str">
        <f>IFERROR(IF([2]对账明细接口!$B$290=0,"",[2]对账明细接口!$B$290),"")</f>
        <v/>
      </c>
      <c r="C290" s="16" t="str">
        <f>IFERROR(IF([2]对账明细接口!$C$290=0,"",[2]对账明细接口!$C$290),"")</f>
        <v/>
      </c>
      <c r="D290" s="16" t="str">
        <f>IFERROR(IF([2]对账明细接口!$D$290=0,"",[2]对账明细接口!$D$290),"")</f>
        <v/>
      </c>
      <c r="E290" s="16" t="str">
        <f>IFERROR(IF([2]对账明细接口!$E$290=0,"",[2]对账明细接口!$E$290),"")</f>
        <v/>
      </c>
      <c r="F290" s="16" t="str">
        <f>IFERROR(IF([2]对账明细接口!$F$290=0,"",[2]对账明细接口!$F$290),"")</f>
        <v/>
      </c>
      <c r="G290" s="16" t="str">
        <f>IFERROR(IF([2]对账明细接口!$G$290=0,"",[2]对账明细接口!$G$290),"")</f>
        <v/>
      </c>
      <c r="H290" s="17" t="str">
        <f>IFERROR(IF([2]对账明细接口!$H$290=0,"",[2]对账明细接口!$H$290),"")</f>
        <v/>
      </c>
      <c r="I290" s="16" t="str">
        <f>IFERROR(IF([2]对账明细接口!$I$290=0,"",[2]对账明细接口!$I$290),"")</f>
        <v/>
      </c>
      <c r="J290" s="18" t="str">
        <f>IFERROR(IF([2]对账明细接口!$J$290=0,"",[2]对账明细接口!$J$290),"")</f>
        <v/>
      </c>
      <c r="K290" s="18" t="str">
        <f>IFERROR(IF([2]对账明细接口!$K$290=0,"",[2]对账明细接口!$K$290),"")</f>
        <v/>
      </c>
      <c r="L290" s="16" t="str">
        <f>IFERROR(IF([2]对账明细接口!$L$290=0,"",[2]对账明细接口!$L$290),"")</f>
        <v/>
      </c>
      <c r="M290" s="16" t="str">
        <f>IFERROR(IF([2]对账明细接口!$M$290=0,"",[2]对账明细接口!$M$290),"")</f>
        <v/>
      </c>
      <c r="N290" s="19">
        <f t="shared" si="24"/>
        <v>0</v>
      </c>
      <c r="O290" s="19">
        <f t="shared" si="25"/>
        <v>165</v>
      </c>
      <c r="S290" s="20" t="str">
        <f>IFERROR(IF([2]对账明细接口!$N290=0,"",[2]对账明细接口!$N290),"")</f>
        <v/>
      </c>
      <c r="T290" s="21" t="str">
        <f>IFERROR(IF([2]对账明细接口!$O290=0,"",[2]对账明细接口!$O290),"")</f>
        <v/>
      </c>
      <c r="U290" s="21" t="str">
        <f>IFERROR(IF([2]对账明细接口!$P290=0,"",[2]对账明细接口!$P290),"")</f>
        <v/>
      </c>
      <c r="V290" s="21" t="str">
        <f>IFERROR(IF([2]对账明细接口!$Q290=0,"",[2]对账明细接口!$Q290),"")</f>
        <v/>
      </c>
      <c r="W290" s="20" t="str">
        <f>IFERROR(IF([2]对账明细接口!$R290=0,"",[2]对账明细接口!$R290),"")</f>
        <v/>
      </c>
      <c r="X290" s="20" t="str">
        <f>IFERROR(IF([2]对账明细接口!$S290=0,"",[2]对账明细接口!$S290),"")</f>
        <v/>
      </c>
      <c r="Y290" s="20" t="str">
        <f t="shared" si="26"/>
        <v/>
      </c>
      <c r="Z290" s="20" t="str">
        <f t="shared" si="27"/>
        <v/>
      </c>
      <c r="AA290" s="20" t="str">
        <f t="shared" si="28"/>
        <v/>
      </c>
      <c r="AB290" s="20" t="str">
        <f t="shared" si="29"/>
        <v/>
      </c>
    </row>
    <row r="291" customHeight="1" spans="1:28">
      <c r="A291" s="14">
        <v>291</v>
      </c>
      <c r="B291" s="15" t="str">
        <f>IFERROR(IF([2]对账明细接口!$B$291=0,"",[2]对账明细接口!$B$291),"")</f>
        <v/>
      </c>
      <c r="C291" s="16" t="str">
        <f>IFERROR(IF([2]对账明细接口!$C$291=0,"",[2]对账明细接口!$C$291),"")</f>
        <v/>
      </c>
      <c r="D291" s="16" t="str">
        <f>IFERROR(IF([2]对账明细接口!$D$291=0,"",[2]对账明细接口!$D$291),"")</f>
        <v/>
      </c>
      <c r="E291" s="16" t="str">
        <f>IFERROR(IF([2]对账明细接口!$E$291=0,"",[2]对账明细接口!$E$291),"")</f>
        <v/>
      </c>
      <c r="F291" s="16" t="str">
        <f>IFERROR(IF([2]对账明细接口!$F$291=0,"",[2]对账明细接口!$F$291),"")</f>
        <v/>
      </c>
      <c r="G291" s="16" t="str">
        <f>IFERROR(IF([2]对账明细接口!$G$291=0,"",[2]对账明细接口!$G$291),"")</f>
        <v/>
      </c>
      <c r="H291" s="17" t="str">
        <f>IFERROR(IF([2]对账明细接口!$H$291=0,"",[2]对账明细接口!$H$291),"")</f>
        <v/>
      </c>
      <c r="I291" s="16" t="str">
        <f>IFERROR(IF([2]对账明细接口!$I$291=0,"",[2]对账明细接口!$I$291),"")</f>
        <v/>
      </c>
      <c r="J291" s="18" t="str">
        <f>IFERROR(IF([2]对账明细接口!$J$291=0,"",[2]对账明细接口!$J$291),"")</f>
        <v/>
      </c>
      <c r="K291" s="18" t="str">
        <f>IFERROR(IF([2]对账明细接口!$K$291=0,"",[2]对账明细接口!$K$291),"")</f>
        <v/>
      </c>
      <c r="L291" s="16" t="str">
        <f>IFERROR(IF([2]对账明细接口!$L$291=0,"",[2]对账明细接口!$L$291),"")</f>
        <v/>
      </c>
      <c r="M291" s="16" t="str">
        <f>IFERROR(IF([2]对账明细接口!$M$291=0,"",[2]对账明细接口!$M$291),"")</f>
        <v/>
      </c>
      <c r="N291" s="19">
        <f t="shared" si="24"/>
        <v>0</v>
      </c>
      <c r="O291" s="19">
        <f t="shared" si="25"/>
        <v>165</v>
      </c>
      <c r="S291" s="20" t="str">
        <f>IFERROR(IF([2]对账明细接口!$N291=0,"",[2]对账明细接口!$N291),"")</f>
        <v/>
      </c>
      <c r="T291" s="21" t="str">
        <f>IFERROR(IF([2]对账明细接口!$O291=0,"",[2]对账明细接口!$O291),"")</f>
        <v/>
      </c>
      <c r="U291" s="21" t="str">
        <f>IFERROR(IF([2]对账明细接口!$P291=0,"",[2]对账明细接口!$P291),"")</f>
        <v/>
      </c>
      <c r="V291" s="21" t="str">
        <f>IFERROR(IF([2]对账明细接口!$Q291=0,"",[2]对账明细接口!$Q291),"")</f>
        <v/>
      </c>
      <c r="W291" s="20" t="str">
        <f>IFERROR(IF([2]对账明细接口!$R291=0,"",[2]对账明细接口!$R291),"")</f>
        <v/>
      </c>
      <c r="X291" s="20" t="str">
        <f>IFERROR(IF([2]对账明细接口!$S291=0,"",[2]对账明细接口!$S291),"")</f>
        <v/>
      </c>
      <c r="Y291" s="20" t="str">
        <f t="shared" si="26"/>
        <v/>
      </c>
      <c r="Z291" s="20" t="str">
        <f t="shared" si="27"/>
        <v/>
      </c>
      <c r="AA291" s="20" t="str">
        <f t="shared" si="28"/>
        <v/>
      </c>
      <c r="AB291" s="20" t="str">
        <f t="shared" si="29"/>
        <v/>
      </c>
    </row>
    <row r="292" customHeight="1" spans="1:28">
      <c r="A292" s="14">
        <v>292</v>
      </c>
      <c r="B292" s="15" t="str">
        <f>IFERROR(IF([2]对账明细接口!$B$292=0,"",[2]对账明细接口!$B$292),"")</f>
        <v/>
      </c>
      <c r="C292" s="16" t="str">
        <f>IFERROR(IF([2]对账明细接口!$C$292=0,"",[2]对账明细接口!$C$292),"")</f>
        <v/>
      </c>
      <c r="D292" s="16" t="str">
        <f>IFERROR(IF([2]对账明细接口!$D$292=0,"",[2]对账明细接口!$D$292),"")</f>
        <v/>
      </c>
      <c r="E292" s="16" t="str">
        <f>IFERROR(IF([2]对账明细接口!$E$292=0,"",[2]对账明细接口!$E$292),"")</f>
        <v/>
      </c>
      <c r="F292" s="16" t="str">
        <f>IFERROR(IF([2]对账明细接口!$F$292=0,"",[2]对账明细接口!$F$292),"")</f>
        <v/>
      </c>
      <c r="G292" s="16" t="str">
        <f>IFERROR(IF([2]对账明细接口!$G$292=0,"",[2]对账明细接口!$G$292),"")</f>
        <v/>
      </c>
      <c r="H292" s="17" t="str">
        <f>IFERROR(IF([2]对账明细接口!$H$292=0,"",[2]对账明细接口!$H$292),"")</f>
        <v/>
      </c>
      <c r="I292" s="16" t="str">
        <f>IFERROR(IF([2]对账明细接口!$I$292=0,"",[2]对账明细接口!$I$292),"")</f>
        <v/>
      </c>
      <c r="J292" s="18" t="str">
        <f>IFERROR(IF([2]对账明细接口!$J$292=0,"",[2]对账明细接口!$J$292),"")</f>
        <v/>
      </c>
      <c r="K292" s="18" t="str">
        <f>IFERROR(IF([2]对账明细接口!$K$292=0,"",[2]对账明细接口!$K$292),"")</f>
        <v/>
      </c>
      <c r="L292" s="16" t="str">
        <f>IFERROR(IF([2]对账明细接口!$L$292=0,"",[2]对账明细接口!$L$292),"")</f>
        <v/>
      </c>
      <c r="M292" s="16" t="str">
        <f>IFERROR(IF([2]对账明细接口!$M$292=0,"",[2]对账明细接口!$M$292),"")</f>
        <v/>
      </c>
      <c r="N292" s="19">
        <f t="shared" si="24"/>
        <v>0</v>
      </c>
      <c r="O292" s="19">
        <f t="shared" si="25"/>
        <v>165</v>
      </c>
      <c r="S292" s="20" t="str">
        <f>IFERROR(IF([2]对账明细接口!$N292=0,"",[2]对账明细接口!$N292),"")</f>
        <v/>
      </c>
      <c r="T292" s="21" t="str">
        <f>IFERROR(IF([2]对账明细接口!$O292=0,"",[2]对账明细接口!$O292),"")</f>
        <v/>
      </c>
      <c r="U292" s="21" t="str">
        <f>IFERROR(IF([2]对账明细接口!$P292=0,"",[2]对账明细接口!$P292),"")</f>
        <v/>
      </c>
      <c r="V292" s="21" t="str">
        <f>IFERROR(IF([2]对账明细接口!$Q292=0,"",[2]对账明细接口!$Q292),"")</f>
        <v/>
      </c>
      <c r="W292" s="20" t="str">
        <f>IFERROR(IF([2]对账明细接口!$R292=0,"",[2]对账明细接口!$R292),"")</f>
        <v/>
      </c>
      <c r="X292" s="20" t="str">
        <f>IFERROR(IF([2]对账明细接口!$S292=0,"",[2]对账明细接口!$S292),"")</f>
        <v/>
      </c>
      <c r="Y292" s="20" t="str">
        <f t="shared" si="26"/>
        <v/>
      </c>
      <c r="Z292" s="20" t="str">
        <f t="shared" si="27"/>
        <v/>
      </c>
      <c r="AA292" s="20" t="str">
        <f t="shared" si="28"/>
        <v/>
      </c>
      <c r="AB292" s="20" t="str">
        <f t="shared" si="29"/>
        <v/>
      </c>
    </row>
    <row r="293" customHeight="1" spans="1:28">
      <c r="A293" s="14">
        <v>293</v>
      </c>
      <c r="B293" s="15" t="str">
        <f>IFERROR(IF([2]对账明细接口!$B$293=0,"",[2]对账明细接口!$B$293),"")</f>
        <v/>
      </c>
      <c r="C293" s="16" t="str">
        <f>IFERROR(IF([2]对账明细接口!$C$293=0,"",[2]对账明细接口!$C$293),"")</f>
        <v/>
      </c>
      <c r="D293" s="16" t="str">
        <f>IFERROR(IF([2]对账明细接口!$D$293=0,"",[2]对账明细接口!$D$293),"")</f>
        <v/>
      </c>
      <c r="E293" s="16" t="str">
        <f>IFERROR(IF([2]对账明细接口!$E$293=0,"",[2]对账明细接口!$E$293),"")</f>
        <v/>
      </c>
      <c r="F293" s="16" t="str">
        <f>IFERROR(IF([2]对账明细接口!$F$293=0,"",[2]对账明细接口!$F$293),"")</f>
        <v/>
      </c>
      <c r="G293" s="16" t="str">
        <f>IFERROR(IF([2]对账明细接口!$G$293=0,"",[2]对账明细接口!$G$293),"")</f>
        <v/>
      </c>
      <c r="H293" s="17" t="str">
        <f>IFERROR(IF([2]对账明细接口!$H$293=0,"",[2]对账明细接口!$H$293),"")</f>
        <v/>
      </c>
      <c r="I293" s="16" t="str">
        <f>IFERROR(IF([2]对账明细接口!$I$293=0,"",[2]对账明细接口!$I$293),"")</f>
        <v/>
      </c>
      <c r="J293" s="18" t="str">
        <f>IFERROR(IF([2]对账明细接口!$J$293=0,"",[2]对账明细接口!$J$293),"")</f>
        <v/>
      </c>
      <c r="K293" s="18" t="str">
        <f>IFERROR(IF([2]对账明细接口!$K$293=0,"",[2]对账明细接口!$K$293),"")</f>
        <v/>
      </c>
      <c r="L293" s="16" t="str">
        <f>IFERROR(IF([2]对账明细接口!$L$293=0,"",[2]对账明细接口!$L$293),"")</f>
        <v/>
      </c>
      <c r="M293" s="16" t="str">
        <f>IFERROR(IF([2]对账明细接口!$M$293=0,"",[2]对账明细接口!$M$293),"")</f>
        <v/>
      </c>
      <c r="N293" s="19">
        <f t="shared" si="24"/>
        <v>0</v>
      </c>
      <c r="O293" s="19">
        <f t="shared" si="25"/>
        <v>165</v>
      </c>
      <c r="S293" s="20" t="str">
        <f>IFERROR(IF([2]对账明细接口!$N293=0,"",[2]对账明细接口!$N293),"")</f>
        <v/>
      </c>
      <c r="T293" s="21" t="str">
        <f>IFERROR(IF([2]对账明细接口!$O293=0,"",[2]对账明细接口!$O293),"")</f>
        <v/>
      </c>
      <c r="U293" s="21" t="str">
        <f>IFERROR(IF([2]对账明细接口!$P293=0,"",[2]对账明细接口!$P293),"")</f>
        <v/>
      </c>
      <c r="V293" s="21" t="str">
        <f>IFERROR(IF([2]对账明细接口!$Q293=0,"",[2]对账明细接口!$Q293),"")</f>
        <v/>
      </c>
      <c r="W293" s="20" t="str">
        <f>IFERROR(IF([2]对账明细接口!$R293=0,"",[2]对账明细接口!$R293),"")</f>
        <v/>
      </c>
      <c r="X293" s="20" t="str">
        <f>IFERROR(IF([2]对账明细接口!$S293=0,"",[2]对账明细接口!$S293),"")</f>
        <v/>
      </c>
      <c r="Y293" s="20" t="str">
        <f t="shared" si="26"/>
        <v/>
      </c>
      <c r="Z293" s="20" t="str">
        <f t="shared" si="27"/>
        <v/>
      </c>
      <c r="AA293" s="20" t="str">
        <f t="shared" si="28"/>
        <v/>
      </c>
      <c r="AB293" s="20" t="str">
        <f t="shared" si="29"/>
        <v/>
      </c>
    </row>
    <row r="294" customHeight="1" spans="1:28">
      <c r="A294" s="14">
        <v>294</v>
      </c>
      <c r="B294" s="15" t="str">
        <f>IFERROR(IF([2]对账明细接口!$B$294=0,"",[2]对账明细接口!$B$294),"")</f>
        <v/>
      </c>
      <c r="C294" s="16" t="str">
        <f>IFERROR(IF([2]对账明细接口!$C$294=0,"",[2]对账明细接口!$C$294),"")</f>
        <v/>
      </c>
      <c r="D294" s="16" t="str">
        <f>IFERROR(IF([2]对账明细接口!$D$294=0,"",[2]对账明细接口!$D$294),"")</f>
        <v/>
      </c>
      <c r="E294" s="16" t="str">
        <f>IFERROR(IF([2]对账明细接口!$E$294=0,"",[2]对账明细接口!$E$294),"")</f>
        <v/>
      </c>
      <c r="F294" s="16" t="str">
        <f>IFERROR(IF([2]对账明细接口!$F$294=0,"",[2]对账明细接口!$F$294),"")</f>
        <v/>
      </c>
      <c r="G294" s="16" t="str">
        <f>IFERROR(IF([2]对账明细接口!$G$294=0,"",[2]对账明细接口!$G$294),"")</f>
        <v/>
      </c>
      <c r="H294" s="17" t="str">
        <f>IFERROR(IF([2]对账明细接口!$H$294=0,"",[2]对账明细接口!$H$294),"")</f>
        <v/>
      </c>
      <c r="I294" s="16" t="str">
        <f>IFERROR(IF([2]对账明细接口!$I$294=0,"",[2]对账明细接口!$I$294),"")</f>
        <v/>
      </c>
      <c r="J294" s="18" t="str">
        <f>IFERROR(IF([2]对账明细接口!$J$294=0,"",[2]对账明细接口!$J$294),"")</f>
        <v/>
      </c>
      <c r="K294" s="18" t="str">
        <f>IFERROR(IF([2]对账明细接口!$K$294=0,"",[2]对账明细接口!$K$294),"")</f>
        <v/>
      </c>
      <c r="L294" s="16" t="str">
        <f>IFERROR(IF([2]对账明细接口!$L$294=0,"",[2]对账明细接口!$L$294),"")</f>
        <v/>
      </c>
      <c r="M294" s="16" t="str">
        <f>IFERROR(IF([2]对账明细接口!$M$294=0,"",[2]对账明细接口!$M$294),"")</f>
        <v/>
      </c>
      <c r="N294" s="19">
        <f t="shared" si="24"/>
        <v>0</v>
      </c>
      <c r="O294" s="19">
        <f t="shared" si="25"/>
        <v>165</v>
      </c>
      <c r="S294" s="20" t="str">
        <f>IFERROR(IF([2]对账明细接口!$N294=0,"",[2]对账明细接口!$N294),"")</f>
        <v/>
      </c>
      <c r="T294" s="21" t="str">
        <f>IFERROR(IF([2]对账明细接口!$O294=0,"",[2]对账明细接口!$O294),"")</f>
        <v/>
      </c>
      <c r="U294" s="21" t="str">
        <f>IFERROR(IF([2]对账明细接口!$P294=0,"",[2]对账明细接口!$P294),"")</f>
        <v/>
      </c>
      <c r="V294" s="21" t="str">
        <f>IFERROR(IF([2]对账明细接口!$Q294=0,"",[2]对账明细接口!$Q294),"")</f>
        <v/>
      </c>
      <c r="W294" s="20" t="str">
        <f>IFERROR(IF([2]对账明细接口!$R294=0,"",[2]对账明细接口!$R294),"")</f>
        <v/>
      </c>
      <c r="X294" s="20" t="str">
        <f>IFERROR(IF([2]对账明细接口!$S294=0,"",[2]对账明细接口!$S294),"")</f>
        <v/>
      </c>
      <c r="Y294" s="20" t="str">
        <f t="shared" si="26"/>
        <v/>
      </c>
      <c r="Z294" s="20" t="str">
        <f t="shared" si="27"/>
        <v/>
      </c>
      <c r="AA294" s="20" t="str">
        <f t="shared" si="28"/>
        <v/>
      </c>
      <c r="AB294" s="20" t="str">
        <f t="shared" si="29"/>
        <v/>
      </c>
    </row>
    <row r="295" customHeight="1" spans="1:28">
      <c r="A295" s="14">
        <v>295</v>
      </c>
      <c r="B295" s="15" t="str">
        <f>IFERROR(IF([2]对账明细接口!$B$295=0,"",[2]对账明细接口!$B$295),"")</f>
        <v/>
      </c>
      <c r="C295" s="16" t="str">
        <f>IFERROR(IF([2]对账明细接口!$C$295=0,"",[2]对账明细接口!$C$295),"")</f>
        <v/>
      </c>
      <c r="D295" s="16" t="str">
        <f>IFERROR(IF([2]对账明细接口!$D$295=0,"",[2]对账明细接口!$D$295),"")</f>
        <v/>
      </c>
      <c r="E295" s="16" t="str">
        <f>IFERROR(IF([2]对账明细接口!$E$295=0,"",[2]对账明细接口!$E$295),"")</f>
        <v/>
      </c>
      <c r="F295" s="16" t="str">
        <f>IFERROR(IF([2]对账明细接口!$F$295=0,"",[2]对账明细接口!$F$295),"")</f>
        <v/>
      </c>
      <c r="G295" s="16" t="str">
        <f>IFERROR(IF([2]对账明细接口!$G$295=0,"",[2]对账明细接口!$G$295),"")</f>
        <v/>
      </c>
      <c r="H295" s="17" t="str">
        <f>IFERROR(IF([2]对账明细接口!$H$295=0,"",[2]对账明细接口!$H$295),"")</f>
        <v/>
      </c>
      <c r="I295" s="16" t="str">
        <f>IFERROR(IF([2]对账明细接口!$I$295=0,"",[2]对账明细接口!$I$295),"")</f>
        <v/>
      </c>
      <c r="J295" s="18" t="str">
        <f>IFERROR(IF([2]对账明细接口!$J$295=0,"",[2]对账明细接口!$J$295),"")</f>
        <v/>
      </c>
      <c r="K295" s="18" t="str">
        <f>IFERROR(IF([2]对账明细接口!$K$295=0,"",[2]对账明细接口!$K$295),"")</f>
        <v/>
      </c>
      <c r="L295" s="16" t="str">
        <f>IFERROR(IF([2]对账明细接口!$L$295=0,"",[2]对账明细接口!$L$295),"")</f>
        <v/>
      </c>
      <c r="M295" s="16" t="str">
        <f>IFERROR(IF([2]对账明细接口!$M$295=0,"",[2]对账明细接口!$M$295),"")</f>
        <v/>
      </c>
      <c r="N295" s="19">
        <f t="shared" si="24"/>
        <v>0</v>
      </c>
      <c r="O295" s="19">
        <f t="shared" si="25"/>
        <v>165</v>
      </c>
      <c r="S295" s="20" t="str">
        <f>IFERROR(IF([2]对账明细接口!$N295=0,"",[2]对账明细接口!$N295),"")</f>
        <v/>
      </c>
      <c r="T295" s="21" t="str">
        <f>IFERROR(IF([2]对账明细接口!$O295=0,"",[2]对账明细接口!$O295),"")</f>
        <v/>
      </c>
      <c r="U295" s="21" t="str">
        <f>IFERROR(IF([2]对账明细接口!$P295=0,"",[2]对账明细接口!$P295),"")</f>
        <v/>
      </c>
      <c r="V295" s="21" t="str">
        <f>IFERROR(IF([2]对账明细接口!$Q295=0,"",[2]对账明细接口!$Q295),"")</f>
        <v/>
      </c>
      <c r="W295" s="20" t="str">
        <f>IFERROR(IF([2]对账明细接口!$R295=0,"",[2]对账明细接口!$R295),"")</f>
        <v/>
      </c>
      <c r="X295" s="20" t="str">
        <f>IFERROR(IF([2]对账明细接口!$S295=0,"",[2]对账明细接口!$S295),"")</f>
        <v/>
      </c>
      <c r="Y295" s="20" t="str">
        <f t="shared" si="26"/>
        <v/>
      </c>
      <c r="Z295" s="20" t="str">
        <f t="shared" si="27"/>
        <v/>
      </c>
      <c r="AA295" s="20" t="str">
        <f t="shared" si="28"/>
        <v/>
      </c>
      <c r="AB295" s="20" t="str">
        <f t="shared" si="29"/>
        <v/>
      </c>
    </row>
    <row r="296" customHeight="1" spans="1:28">
      <c r="A296" s="14">
        <v>296</v>
      </c>
      <c r="B296" s="15" t="str">
        <f>IFERROR(IF([2]对账明细接口!$B$296=0,"",[2]对账明细接口!$B$296),"")</f>
        <v/>
      </c>
      <c r="C296" s="16" t="str">
        <f>IFERROR(IF([2]对账明细接口!$C$296=0,"",[2]对账明细接口!$C$296),"")</f>
        <v/>
      </c>
      <c r="D296" s="16" t="str">
        <f>IFERROR(IF([2]对账明细接口!$D$296=0,"",[2]对账明细接口!$D$296),"")</f>
        <v/>
      </c>
      <c r="E296" s="16" t="str">
        <f>IFERROR(IF([2]对账明细接口!$E$296=0,"",[2]对账明细接口!$E$296),"")</f>
        <v/>
      </c>
      <c r="F296" s="16" t="str">
        <f>IFERROR(IF([2]对账明细接口!$F$296=0,"",[2]对账明细接口!$F$296),"")</f>
        <v/>
      </c>
      <c r="G296" s="16" t="str">
        <f>IFERROR(IF([2]对账明细接口!$G$296=0,"",[2]对账明细接口!$G$296),"")</f>
        <v/>
      </c>
      <c r="H296" s="17" t="str">
        <f>IFERROR(IF([2]对账明细接口!$H$296=0,"",[2]对账明细接口!$H$296),"")</f>
        <v/>
      </c>
      <c r="I296" s="16" t="str">
        <f>IFERROR(IF([2]对账明细接口!$I$296=0,"",[2]对账明细接口!$I$296),"")</f>
        <v/>
      </c>
      <c r="J296" s="18" t="str">
        <f>IFERROR(IF([2]对账明细接口!$J$296=0,"",[2]对账明细接口!$J$296),"")</f>
        <v/>
      </c>
      <c r="K296" s="18" t="str">
        <f>IFERROR(IF([2]对账明细接口!$K$296=0,"",[2]对账明细接口!$K$296),"")</f>
        <v/>
      </c>
      <c r="L296" s="16" t="str">
        <f>IFERROR(IF([2]对账明细接口!$L$296=0,"",[2]对账明细接口!$L$296),"")</f>
        <v/>
      </c>
      <c r="M296" s="16" t="str">
        <f>IFERROR(IF([2]对账明细接口!$M$296=0,"",[2]对账明细接口!$M$296),"")</f>
        <v/>
      </c>
      <c r="N296" s="19">
        <f t="shared" si="24"/>
        <v>0</v>
      </c>
      <c r="O296" s="19">
        <f t="shared" si="25"/>
        <v>165</v>
      </c>
      <c r="S296" s="20" t="str">
        <f>IFERROR(IF([2]对账明细接口!$N296=0,"",[2]对账明细接口!$N296),"")</f>
        <v/>
      </c>
      <c r="T296" s="21" t="str">
        <f>IFERROR(IF([2]对账明细接口!$O296=0,"",[2]对账明细接口!$O296),"")</f>
        <v/>
      </c>
      <c r="U296" s="21" t="str">
        <f>IFERROR(IF([2]对账明细接口!$P296=0,"",[2]对账明细接口!$P296),"")</f>
        <v/>
      </c>
      <c r="V296" s="21" t="str">
        <f>IFERROR(IF([2]对账明细接口!$Q296=0,"",[2]对账明细接口!$Q296),"")</f>
        <v/>
      </c>
      <c r="W296" s="20" t="str">
        <f>IFERROR(IF([2]对账明细接口!$R296=0,"",[2]对账明细接口!$R296),"")</f>
        <v/>
      </c>
      <c r="X296" s="20" t="str">
        <f>IFERROR(IF([2]对账明细接口!$S296=0,"",[2]对账明细接口!$S296),"")</f>
        <v/>
      </c>
      <c r="Y296" s="20" t="str">
        <f t="shared" si="26"/>
        <v/>
      </c>
      <c r="Z296" s="20" t="str">
        <f t="shared" si="27"/>
        <v/>
      </c>
      <c r="AA296" s="20" t="str">
        <f t="shared" si="28"/>
        <v/>
      </c>
      <c r="AB296" s="20" t="str">
        <f t="shared" si="29"/>
        <v/>
      </c>
    </row>
    <row r="297" customHeight="1" spans="1:28">
      <c r="A297" s="14">
        <v>297</v>
      </c>
      <c r="B297" s="15" t="str">
        <f>IFERROR(IF([2]对账明细接口!$B$297=0,"",[2]对账明细接口!$B$297),"")</f>
        <v/>
      </c>
      <c r="C297" s="16" t="str">
        <f>IFERROR(IF([2]对账明细接口!$C$297=0,"",[2]对账明细接口!$C$297),"")</f>
        <v/>
      </c>
      <c r="D297" s="16" t="str">
        <f>IFERROR(IF([2]对账明细接口!$D$297=0,"",[2]对账明细接口!$D$297),"")</f>
        <v/>
      </c>
      <c r="E297" s="16" t="str">
        <f>IFERROR(IF([2]对账明细接口!$E$297=0,"",[2]对账明细接口!$E$297),"")</f>
        <v/>
      </c>
      <c r="F297" s="16" t="str">
        <f>IFERROR(IF([2]对账明细接口!$F$297=0,"",[2]对账明细接口!$F$297),"")</f>
        <v/>
      </c>
      <c r="G297" s="16" t="str">
        <f>IFERROR(IF([2]对账明细接口!$G$297=0,"",[2]对账明细接口!$G$297),"")</f>
        <v/>
      </c>
      <c r="H297" s="17" t="str">
        <f>IFERROR(IF([2]对账明细接口!$H$297=0,"",[2]对账明细接口!$H$297),"")</f>
        <v/>
      </c>
      <c r="I297" s="16" t="str">
        <f>IFERROR(IF([2]对账明细接口!$I$297=0,"",[2]对账明细接口!$I$297),"")</f>
        <v/>
      </c>
      <c r="J297" s="18" t="str">
        <f>IFERROR(IF([2]对账明细接口!$J$297=0,"",[2]对账明细接口!$J$297),"")</f>
        <v/>
      </c>
      <c r="K297" s="18" t="str">
        <f>IFERROR(IF([2]对账明细接口!$K$297=0,"",[2]对账明细接口!$K$297),"")</f>
        <v/>
      </c>
      <c r="L297" s="16" t="str">
        <f>IFERROR(IF([2]对账明细接口!$L$297=0,"",[2]对账明细接口!$L$297),"")</f>
        <v/>
      </c>
      <c r="M297" s="16" t="str">
        <f>IFERROR(IF([2]对账明细接口!$M$297=0,"",[2]对账明细接口!$M$297),"")</f>
        <v/>
      </c>
      <c r="N297" s="19">
        <f t="shared" si="24"/>
        <v>0</v>
      </c>
      <c r="O297" s="19">
        <f t="shared" si="25"/>
        <v>165</v>
      </c>
      <c r="S297" s="20" t="str">
        <f>IFERROR(IF([2]对账明细接口!$N297=0,"",[2]对账明细接口!$N297),"")</f>
        <v/>
      </c>
      <c r="T297" s="21" t="str">
        <f>IFERROR(IF([2]对账明细接口!$O297=0,"",[2]对账明细接口!$O297),"")</f>
        <v/>
      </c>
      <c r="U297" s="21" t="str">
        <f>IFERROR(IF([2]对账明细接口!$P297=0,"",[2]对账明细接口!$P297),"")</f>
        <v/>
      </c>
      <c r="V297" s="21" t="str">
        <f>IFERROR(IF([2]对账明细接口!$Q297=0,"",[2]对账明细接口!$Q297),"")</f>
        <v/>
      </c>
      <c r="W297" s="20" t="str">
        <f>IFERROR(IF([2]对账明细接口!$R297=0,"",[2]对账明细接口!$R297),"")</f>
        <v/>
      </c>
      <c r="X297" s="20" t="str">
        <f>IFERROR(IF([2]对账明细接口!$S297=0,"",[2]对账明细接口!$S297),"")</f>
        <v/>
      </c>
      <c r="Y297" s="20" t="str">
        <f t="shared" si="26"/>
        <v/>
      </c>
      <c r="Z297" s="20" t="str">
        <f t="shared" si="27"/>
        <v/>
      </c>
      <c r="AA297" s="20" t="str">
        <f t="shared" si="28"/>
        <v/>
      </c>
      <c r="AB297" s="20" t="str">
        <f t="shared" si="29"/>
        <v/>
      </c>
    </row>
    <row r="298" customHeight="1" spans="1:28">
      <c r="A298" s="14">
        <v>298</v>
      </c>
      <c r="B298" s="15" t="str">
        <f>IFERROR(IF([2]对账明细接口!$B$298=0,"",[2]对账明细接口!$B$298),"")</f>
        <v/>
      </c>
      <c r="C298" s="16" t="str">
        <f>IFERROR(IF([2]对账明细接口!$C$298=0,"",[2]对账明细接口!$C$298),"")</f>
        <v/>
      </c>
      <c r="D298" s="16" t="str">
        <f>IFERROR(IF([2]对账明细接口!$D$298=0,"",[2]对账明细接口!$D$298),"")</f>
        <v/>
      </c>
      <c r="E298" s="16" t="str">
        <f>IFERROR(IF([2]对账明细接口!$E$298=0,"",[2]对账明细接口!$E$298),"")</f>
        <v/>
      </c>
      <c r="F298" s="16" t="str">
        <f>IFERROR(IF([2]对账明细接口!$F$298=0,"",[2]对账明细接口!$F$298),"")</f>
        <v/>
      </c>
      <c r="G298" s="16" t="str">
        <f>IFERROR(IF([2]对账明细接口!$G$298=0,"",[2]对账明细接口!$G$298),"")</f>
        <v/>
      </c>
      <c r="H298" s="17" t="str">
        <f>IFERROR(IF([2]对账明细接口!$H$298=0,"",[2]对账明细接口!$H$298),"")</f>
        <v/>
      </c>
      <c r="I298" s="16" t="str">
        <f>IFERROR(IF([2]对账明细接口!$I$298=0,"",[2]对账明细接口!$I$298),"")</f>
        <v/>
      </c>
      <c r="J298" s="18" t="str">
        <f>IFERROR(IF([2]对账明细接口!$J$298=0,"",[2]对账明细接口!$J$298),"")</f>
        <v/>
      </c>
      <c r="K298" s="18" t="str">
        <f>IFERROR(IF([2]对账明细接口!$K$298=0,"",[2]对账明细接口!$K$298),"")</f>
        <v/>
      </c>
      <c r="L298" s="16" t="str">
        <f>IFERROR(IF([2]对账明细接口!$L$298=0,"",[2]对账明细接口!$L$298),"")</f>
        <v/>
      </c>
      <c r="M298" s="16" t="str">
        <f>IFERROR(IF([2]对账明细接口!$M$298=0,"",[2]对账明细接口!$M$298),"")</f>
        <v/>
      </c>
      <c r="N298" s="19">
        <f t="shared" si="24"/>
        <v>0</v>
      </c>
      <c r="O298" s="19">
        <f t="shared" si="25"/>
        <v>165</v>
      </c>
      <c r="S298" s="20" t="str">
        <f>IFERROR(IF([2]对账明细接口!$N298=0,"",[2]对账明细接口!$N298),"")</f>
        <v/>
      </c>
      <c r="T298" s="21" t="str">
        <f>IFERROR(IF([2]对账明细接口!$O298=0,"",[2]对账明细接口!$O298),"")</f>
        <v/>
      </c>
      <c r="U298" s="21" t="str">
        <f>IFERROR(IF([2]对账明细接口!$P298=0,"",[2]对账明细接口!$P298),"")</f>
        <v/>
      </c>
      <c r="V298" s="21" t="str">
        <f>IFERROR(IF([2]对账明细接口!$Q298=0,"",[2]对账明细接口!$Q298),"")</f>
        <v/>
      </c>
      <c r="W298" s="20" t="str">
        <f>IFERROR(IF([2]对账明细接口!$R298=0,"",[2]对账明细接口!$R298),"")</f>
        <v/>
      </c>
      <c r="X298" s="20" t="str">
        <f>IFERROR(IF([2]对账明细接口!$S298=0,"",[2]对账明细接口!$S298),"")</f>
        <v/>
      </c>
      <c r="Y298" s="20" t="str">
        <f t="shared" si="26"/>
        <v/>
      </c>
      <c r="Z298" s="20" t="str">
        <f t="shared" si="27"/>
        <v/>
      </c>
      <c r="AA298" s="20" t="str">
        <f t="shared" si="28"/>
        <v/>
      </c>
      <c r="AB298" s="20" t="str">
        <f t="shared" si="29"/>
        <v/>
      </c>
    </row>
    <row r="299" customHeight="1" spans="1:28">
      <c r="A299" s="14">
        <v>299</v>
      </c>
      <c r="B299" s="15" t="str">
        <f>IFERROR(IF([2]对账明细接口!$B$299=0,"",[2]对账明细接口!$B$299),"")</f>
        <v/>
      </c>
      <c r="C299" s="16" t="str">
        <f>IFERROR(IF([2]对账明细接口!$C$299=0,"",[2]对账明细接口!$C$299),"")</f>
        <v/>
      </c>
      <c r="D299" s="16" t="str">
        <f>IFERROR(IF([2]对账明细接口!$D$299=0,"",[2]对账明细接口!$D$299),"")</f>
        <v/>
      </c>
      <c r="E299" s="16" t="str">
        <f>IFERROR(IF([2]对账明细接口!$E$299=0,"",[2]对账明细接口!$E$299),"")</f>
        <v/>
      </c>
      <c r="F299" s="16" t="str">
        <f>IFERROR(IF([2]对账明细接口!$F$299=0,"",[2]对账明细接口!$F$299),"")</f>
        <v/>
      </c>
      <c r="G299" s="16" t="str">
        <f>IFERROR(IF([2]对账明细接口!$G$299=0,"",[2]对账明细接口!$G$299),"")</f>
        <v/>
      </c>
      <c r="H299" s="17" t="str">
        <f>IFERROR(IF([2]对账明细接口!$H$299=0,"",[2]对账明细接口!$H$299),"")</f>
        <v/>
      </c>
      <c r="I299" s="16" t="str">
        <f>IFERROR(IF([2]对账明细接口!$I$299=0,"",[2]对账明细接口!$I$299),"")</f>
        <v/>
      </c>
      <c r="J299" s="18" t="str">
        <f>IFERROR(IF([2]对账明细接口!$J$299=0,"",[2]对账明细接口!$J$299),"")</f>
        <v/>
      </c>
      <c r="K299" s="18" t="str">
        <f>IFERROR(IF([2]对账明细接口!$K$299=0,"",[2]对账明细接口!$K$299),"")</f>
        <v/>
      </c>
      <c r="L299" s="16" t="str">
        <f>IFERROR(IF([2]对账明细接口!$L$299=0,"",[2]对账明细接口!$L$299),"")</f>
        <v/>
      </c>
      <c r="M299" s="16" t="str">
        <f>IFERROR(IF([2]对账明细接口!$M$299=0,"",[2]对账明细接口!$M$299),"")</f>
        <v/>
      </c>
      <c r="N299" s="19">
        <f t="shared" si="24"/>
        <v>0</v>
      </c>
      <c r="O299" s="19">
        <f t="shared" si="25"/>
        <v>165</v>
      </c>
      <c r="S299" s="20" t="str">
        <f>IFERROR(IF([2]对账明细接口!$N299=0,"",[2]对账明细接口!$N299),"")</f>
        <v/>
      </c>
      <c r="T299" s="21" t="str">
        <f>IFERROR(IF([2]对账明细接口!$O299=0,"",[2]对账明细接口!$O299),"")</f>
        <v/>
      </c>
      <c r="U299" s="21" t="str">
        <f>IFERROR(IF([2]对账明细接口!$P299=0,"",[2]对账明细接口!$P299),"")</f>
        <v/>
      </c>
      <c r="V299" s="21" t="str">
        <f>IFERROR(IF([2]对账明细接口!$Q299=0,"",[2]对账明细接口!$Q299),"")</f>
        <v/>
      </c>
      <c r="W299" s="20" t="str">
        <f>IFERROR(IF([2]对账明细接口!$R299=0,"",[2]对账明细接口!$R299),"")</f>
        <v/>
      </c>
      <c r="X299" s="20" t="str">
        <f>IFERROR(IF([2]对账明细接口!$S299=0,"",[2]对账明细接口!$S299),"")</f>
        <v/>
      </c>
      <c r="Y299" s="20" t="str">
        <f t="shared" si="26"/>
        <v/>
      </c>
      <c r="Z299" s="20" t="str">
        <f t="shared" si="27"/>
        <v/>
      </c>
      <c r="AA299" s="20" t="str">
        <f t="shared" si="28"/>
        <v/>
      </c>
      <c r="AB299" s="20" t="str">
        <f t="shared" si="29"/>
        <v/>
      </c>
    </row>
    <row r="300" customHeight="1" spans="1:28">
      <c r="A300" s="14">
        <v>300</v>
      </c>
      <c r="B300" s="15" t="str">
        <f>IFERROR(IF([2]对账明细接口!$B$300=0,"",[2]对账明细接口!$B$300),"")</f>
        <v/>
      </c>
      <c r="C300" s="16" t="str">
        <f>IFERROR(IF([2]对账明细接口!$C$300=0,"",[2]对账明细接口!$C$300),"")</f>
        <v/>
      </c>
      <c r="D300" s="16" t="str">
        <f>IFERROR(IF([2]对账明细接口!$D$300=0,"",[2]对账明细接口!$D$300),"")</f>
        <v/>
      </c>
      <c r="E300" s="16" t="str">
        <f>IFERROR(IF([2]对账明细接口!$E$300=0,"",[2]对账明细接口!$E$300),"")</f>
        <v/>
      </c>
      <c r="F300" s="16" t="str">
        <f>IFERROR(IF([2]对账明细接口!$F$300=0,"",[2]对账明细接口!$F$300),"")</f>
        <v/>
      </c>
      <c r="G300" s="16" t="str">
        <f>IFERROR(IF([2]对账明细接口!$G$300=0,"",[2]对账明细接口!$G$300),"")</f>
        <v/>
      </c>
      <c r="H300" s="17" t="str">
        <f>IFERROR(IF([2]对账明细接口!$H$300=0,"",[2]对账明细接口!$H$300),"")</f>
        <v/>
      </c>
      <c r="I300" s="16" t="str">
        <f>IFERROR(IF([2]对账明细接口!$I$300=0,"",[2]对账明细接口!$I$300),"")</f>
        <v/>
      </c>
      <c r="J300" s="18" t="str">
        <f>IFERROR(IF([2]对账明细接口!$J$300=0,"",[2]对账明细接口!$J$300),"")</f>
        <v/>
      </c>
      <c r="K300" s="18" t="str">
        <f>IFERROR(IF([2]对账明细接口!$K$300=0,"",[2]对账明细接口!$K$300),"")</f>
        <v/>
      </c>
      <c r="L300" s="16" t="str">
        <f>IFERROR(IF([2]对账明细接口!$L$300=0,"",[2]对账明细接口!$L$300),"")</f>
        <v/>
      </c>
      <c r="M300" s="16" t="str">
        <f>IFERROR(IF([2]对账明细接口!$M$300=0,"",[2]对账明细接口!$M$300),"")</f>
        <v/>
      </c>
      <c r="N300" s="19">
        <f t="shared" si="24"/>
        <v>0</v>
      </c>
      <c r="O300" s="19">
        <f t="shared" si="25"/>
        <v>165</v>
      </c>
      <c r="S300" s="20" t="str">
        <f>IFERROR(IF([2]对账明细接口!$N300=0,"",[2]对账明细接口!$N300),"")</f>
        <v/>
      </c>
      <c r="T300" s="21" t="str">
        <f>IFERROR(IF([2]对账明细接口!$O300=0,"",[2]对账明细接口!$O300),"")</f>
        <v/>
      </c>
      <c r="U300" s="21" t="str">
        <f>IFERROR(IF([2]对账明细接口!$P300=0,"",[2]对账明细接口!$P300),"")</f>
        <v/>
      </c>
      <c r="V300" s="21" t="str">
        <f>IFERROR(IF([2]对账明细接口!$Q300=0,"",[2]对账明细接口!$Q300),"")</f>
        <v/>
      </c>
      <c r="W300" s="20" t="str">
        <f>IFERROR(IF([2]对账明细接口!$R300=0,"",[2]对账明细接口!$R300),"")</f>
        <v/>
      </c>
      <c r="X300" s="20" t="str">
        <f>IFERROR(IF([2]对账明细接口!$S300=0,"",[2]对账明细接口!$S300),"")</f>
        <v/>
      </c>
      <c r="Y300" s="20" t="str">
        <f t="shared" si="26"/>
        <v/>
      </c>
      <c r="Z300" s="20" t="str">
        <f t="shared" si="27"/>
        <v/>
      </c>
      <c r="AA300" s="20" t="str">
        <f t="shared" si="28"/>
        <v/>
      </c>
      <c r="AB300" s="20" t="str">
        <f t="shared" si="29"/>
        <v/>
      </c>
    </row>
    <row r="301" customHeight="1" spans="1:28">
      <c r="A301" s="14">
        <v>301</v>
      </c>
      <c r="B301" s="15" t="str">
        <f>IFERROR(IF([2]对账明细接口!$B$301=0,"",[2]对账明细接口!$B$301),"")</f>
        <v/>
      </c>
      <c r="C301" s="16" t="str">
        <f>IFERROR(IF([2]对账明细接口!$C$301=0,"",[2]对账明细接口!$C$301),"")</f>
        <v/>
      </c>
      <c r="D301" s="16" t="str">
        <f>IFERROR(IF([2]对账明细接口!$D$301=0,"",[2]对账明细接口!$D$301),"")</f>
        <v/>
      </c>
      <c r="E301" s="16" t="str">
        <f>IFERROR(IF([2]对账明细接口!$E$301=0,"",[2]对账明细接口!$E$301),"")</f>
        <v/>
      </c>
      <c r="F301" s="16" t="str">
        <f>IFERROR(IF([2]对账明细接口!$F$301=0,"",[2]对账明细接口!$F$301),"")</f>
        <v/>
      </c>
      <c r="G301" s="16" t="str">
        <f>IFERROR(IF([2]对账明细接口!$G$301=0,"",[2]对账明细接口!$G$301),"")</f>
        <v/>
      </c>
      <c r="H301" s="17" t="str">
        <f>IFERROR(IF([2]对账明细接口!$H$301=0,"",[2]对账明细接口!$H$301),"")</f>
        <v/>
      </c>
      <c r="I301" s="16" t="str">
        <f>IFERROR(IF([2]对账明细接口!$I$301=0,"",[2]对账明细接口!$I$301),"")</f>
        <v/>
      </c>
      <c r="J301" s="18" t="str">
        <f>IFERROR(IF([2]对账明细接口!$J$301=0,"",[2]对账明细接口!$J$301),"")</f>
        <v/>
      </c>
      <c r="K301" s="18" t="str">
        <f>IFERROR(IF([2]对账明细接口!$K$301=0,"",[2]对账明细接口!$K$301),"")</f>
        <v/>
      </c>
      <c r="L301" s="16" t="str">
        <f>IFERROR(IF([2]对账明细接口!$L$301=0,"",[2]对账明细接口!$L$301),"")</f>
        <v/>
      </c>
      <c r="M301" s="16" t="str">
        <f>IFERROR(IF([2]对账明细接口!$M$301=0,"",[2]对账明细接口!$M$301),"")</f>
        <v/>
      </c>
      <c r="N301" s="19">
        <f t="shared" si="24"/>
        <v>0</v>
      </c>
      <c r="O301" s="19">
        <f t="shared" si="25"/>
        <v>165</v>
      </c>
      <c r="S301" s="20" t="str">
        <f>IFERROR(IF([2]对账明细接口!$N301=0,"",[2]对账明细接口!$N301),"")</f>
        <v/>
      </c>
      <c r="T301" s="21" t="str">
        <f>IFERROR(IF([2]对账明细接口!$O301=0,"",[2]对账明细接口!$O301),"")</f>
        <v/>
      </c>
      <c r="U301" s="21" t="str">
        <f>IFERROR(IF([2]对账明细接口!$P301=0,"",[2]对账明细接口!$P301),"")</f>
        <v/>
      </c>
      <c r="V301" s="21" t="str">
        <f>IFERROR(IF([2]对账明细接口!$Q301=0,"",[2]对账明细接口!$Q301),"")</f>
        <v/>
      </c>
      <c r="W301" s="20" t="str">
        <f>IFERROR(IF([2]对账明细接口!$R301=0,"",[2]对账明细接口!$R301),"")</f>
        <v/>
      </c>
      <c r="X301" s="20" t="str">
        <f>IFERROR(IF([2]对账明细接口!$S301=0,"",[2]对账明细接口!$S301),"")</f>
        <v/>
      </c>
      <c r="Y301" s="20" t="str">
        <f t="shared" si="26"/>
        <v/>
      </c>
      <c r="Z301" s="20" t="str">
        <f t="shared" si="27"/>
        <v/>
      </c>
      <c r="AA301" s="20" t="str">
        <f t="shared" si="28"/>
        <v/>
      </c>
      <c r="AB301" s="20" t="str">
        <f t="shared" si="29"/>
        <v/>
      </c>
    </row>
    <row r="302" customHeight="1" spans="1:28">
      <c r="A302" s="14">
        <v>302</v>
      </c>
      <c r="B302" s="15" t="str">
        <f>IFERROR(IF([2]对账明细接口!$B$302=0,"",[2]对账明细接口!$B$302),"")</f>
        <v/>
      </c>
      <c r="C302" s="16" t="str">
        <f>IFERROR(IF([2]对账明细接口!$C$302=0,"",[2]对账明细接口!$C$302),"")</f>
        <v/>
      </c>
      <c r="D302" s="16" t="str">
        <f>IFERROR(IF([2]对账明细接口!$D$302=0,"",[2]对账明细接口!$D$302),"")</f>
        <v/>
      </c>
      <c r="E302" s="16" t="str">
        <f>IFERROR(IF([2]对账明细接口!$E$302=0,"",[2]对账明细接口!$E$302),"")</f>
        <v/>
      </c>
      <c r="F302" s="16" t="str">
        <f>IFERROR(IF([2]对账明细接口!$F$302=0,"",[2]对账明细接口!$F$302),"")</f>
        <v/>
      </c>
      <c r="G302" s="16" t="str">
        <f>IFERROR(IF([2]对账明细接口!$G$302=0,"",[2]对账明细接口!$G$302),"")</f>
        <v/>
      </c>
      <c r="H302" s="17" t="str">
        <f>IFERROR(IF([2]对账明细接口!$H$302=0,"",[2]对账明细接口!$H$302),"")</f>
        <v/>
      </c>
      <c r="I302" s="16" t="str">
        <f>IFERROR(IF([2]对账明细接口!$I$302=0,"",[2]对账明细接口!$I$302),"")</f>
        <v/>
      </c>
      <c r="J302" s="18" t="str">
        <f>IFERROR(IF([2]对账明细接口!$J$302=0,"",[2]对账明细接口!$J$302),"")</f>
        <v/>
      </c>
      <c r="K302" s="18" t="str">
        <f>IFERROR(IF([2]对账明细接口!$K$302=0,"",[2]对账明细接口!$K$302),"")</f>
        <v/>
      </c>
      <c r="L302" s="16" t="str">
        <f>IFERROR(IF([2]对账明细接口!$L$302=0,"",[2]对账明细接口!$L$302),"")</f>
        <v/>
      </c>
      <c r="M302" s="16" t="str">
        <f>IFERROR(IF([2]对账明细接口!$M$302=0,"",[2]对账明细接口!$M$302),"")</f>
        <v/>
      </c>
      <c r="N302" s="19">
        <f t="shared" si="24"/>
        <v>0</v>
      </c>
      <c r="O302" s="19">
        <f t="shared" si="25"/>
        <v>165</v>
      </c>
      <c r="S302" s="20" t="str">
        <f>IFERROR(IF([2]对账明细接口!$N302=0,"",[2]对账明细接口!$N302),"")</f>
        <v/>
      </c>
      <c r="T302" s="21" t="str">
        <f>IFERROR(IF([2]对账明细接口!$O302=0,"",[2]对账明细接口!$O302),"")</f>
        <v/>
      </c>
      <c r="U302" s="21" t="str">
        <f>IFERROR(IF([2]对账明细接口!$P302=0,"",[2]对账明细接口!$P302),"")</f>
        <v/>
      </c>
      <c r="V302" s="21" t="str">
        <f>IFERROR(IF([2]对账明细接口!$Q302=0,"",[2]对账明细接口!$Q302),"")</f>
        <v/>
      </c>
      <c r="W302" s="20" t="str">
        <f>IFERROR(IF([2]对账明细接口!$R302=0,"",[2]对账明细接口!$R302),"")</f>
        <v/>
      </c>
      <c r="X302" s="20" t="str">
        <f>IFERROR(IF([2]对账明细接口!$S302=0,"",[2]对账明细接口!$S302),"")</f>
        <v/>
      </c>
      <c r="Y302" s="20" t="str">
        <f t="shared" si="26"/>
        <v/>
      </c>
      <c r="Z302" s="20" t="str">
        <f t="shared" si="27"/>
        <v/>
      </c>
      <c r="AA302" s="20" t="str">
        <f t="shared" si="28"/>
        <v/>
      </c>
      <c r="AB302" s="20" t="str">
        <f t="shared" si="29"/>
        <v/>
      </c>
    </row>
    <row r="303" customHeight="1" spans="1:28">
      <c r="A303" s="14">
        <v>303</v>
      </c>
      <c r="B303" s="15" t="str">
        <f>IFERROR(IF([2]对账明细接口!$B$303=0,"",[2]对账明细接口!$B$303),"")</f>
        <v/>
      </c>
      <c r="C303" s="16" t="str">
        <f>IFERROR(IF([2]对账明细接口!$C$303=0,"",[2]对账明细接口!$C$303),"")</f>
        <v/>
      </c>
      <c r="D303" s="16" t="str">
        <f>IFERROR(IF([2]对账明细接口!$D$303=0,"",[2]对账明细接口!$D$303),"")</f>
        <v/>
      </c>
      <c r="E303" s="16" t="str">
        <f>IFERROR(IF([2]对账明细接口!$E$303=0,"",[2]对账明细接口!$E$303),"")</f>
        <v/>
      </c>
      <c r="F303" s="16" t="str">
        <f>IFERROR(IF([2]对账明细接口!$F$303=0,"",[2]对账明细接口!$F$303),"")</f>
        <v/>
      </c>
      <c r="G303" s="16" t="str">
        <f>IFERROR(IF([2]对账明细接口!$G$303=0,"",[2]对账明细接口!$G$303),"")</f>
        <v/>
      </c>
      <c r="H303" s="17" t="str">
        <f>IFERROR(IF([2]对账明细接口!$H$303=0,"",[2]对账明细接口!$H$303),"")</f>
        <v/>
      </c>
      <c r="I303" s="16" t="str">
        <f>IFERROR(IF([2]对账明细接口!$I$303=0,"",[2]对账明细接口!$I$303),"")</f>
        <v/>
      </c>
      <c r="J303" s="18" t="str">
        <f>IFERROR(IF([2]对账明细接口!$J$303=0,"",[2]对账明细接口!$J$303),"")</f>
        <v/>
      </c>
      <c r="K303" s="18" t="str">
        <f>IFERROR(IF([2]对账明细接口!$K$303=0,"",[2]对账明细接口!$K$303),"")</f>
        <v/>
      </c>
      <c r="L303" s="16" t="str">
        <f>IFERROR(IF([2]对账明细接口!$L$303=0,"",[2]对账明细接口!$L$303),"")</f>
        <v/>
      </c>
      <c r="M303" s="16" t="str">
        <f>IFERROR(IF([2]对账明细接口!$M$303=0,"",[2]对账明细接口!$M$303),"")</f>
        <v/>
      </c>
      <c r="N303" s="19">
        <f t="shared" si="24"/>
        <v>0</v>
      </c>
      <c r="O303" s="19">
        <f t="shared" si="25"/>
        <v>165</v>
      </c>
      <c r="S303" s="20" t="str">
        <f>IFERROR(IF([2]对账明细接口!$N303=0,"",[2]对账明细接口!$N303),"")</f>
        <v/>
      </c>
      <c r="T303" s="21" t="str">
        <f>IFERROR(IF([2]对账明细接口!$O303=0,"",[2]对账明细接口!$O303),"")</f>
        <v/>
      </c>
      <c r="U303" s="21" t="str">
        <f>IFERROR(IF([2]对账明细接口!$P303=0,"",[2]对账明细接口!$P303),"")</f>
        <v/>
      </c>
      <c r="V303" s="21" t="str">
        <f>IFERROR(IF([2]对账明细接口!$Q303=0,"",[2]对账明细接口!$Q303),"")</f>
        <v/>
      </c>
      <c r="W303" s="20" t="str">
        <f>IFERROR(IF([2]对账明细接口!$R303=0,"",[2]对账明细接口!$R303),"")</f>
        <v/>
      </c>
      <c r="X303" s="20" t="str">
        <f>IFERROR(IF([2]对账明细接口!$S303=0,"",[2]对账明细接口!$S303),"")</f>
        <v/>
      </c>
      <c r="Y303" s="20" t="str">
        <f t="shared" si="26"/>
        <v/>
      </c>
      <c r="Z303" s="20" t="str">
        <f t="shared" si="27"/>
        <v/>
      </c>
      <c r="AA303" s="20" t="str">
        <f t="shared" si="28"/>
        <v/>
      </c>
      <c r="AB303" s="20" t="str">
        <f t="shared" si="29"/>
        <v/>
      </c>
    </row>
    <row r="304" customHeight="1" spans="1:28">
      <c r="A304" s="14">
        <v>304</v>
      </c>
      <c r="B304" s="15" t="str">
        <f>IFERROR(IF([2]对账明细接口!$B$304=0,"",[2]对账明细接口!$B$304),"")</f>
        <v/>
      </c>
      <c r="C304" s="16" t="str">
        <f>IFERROR(IF([2]对账明细接口!$C$304=0,"",[2]对账明细接口!$C$304),"")</f>
        <v/>
      </c>
      <c r="D304" s="16" t="str">
        <f>IFERROR(IF([2]对账明细接口!$D$304=0,"",[2]对账明细接口!$D$304),"")</f>
        <v/>
      </c>
      <c r="E304" s="16" t="str">
        <f>IFERROR(IF([2]对账明细接口!$E$304=0,"",[2]对账明细接口!$E$304),"")</f>
        <v/>
      </c>
      <c r="F304" s="16" t="str">
        <f>IFERROR(IF([2]对账明细接口!$F$304=0,"",[2]对账明细接口!$F$304),"")</f>
        <v/>
      </c>
      <c r="G304" s="16" t="str">
        <f>IFERROR(IF([2]对账明细接口!$G$304=0,"",[2]对账明细接口!$G$304),"")</f>
        <v/>
      </c>
      <c r="H304" s="17" t="str">
        <f>IFERROR(IF([2]对账明细接口!$H$304=0,"",[2]对账明细接口!$H$304),"")</f>
        <v/>
      </c>
      <c r="I304" s="16" t="str">
        <f>IFERROR(IF([2]对账明细接口!$I$304=0,"",[2]对账明细接口!$I$304),"")</f>
        <v/>
      </c>
      <c r="J304" s="18" t="str">
        <f>IFERROR(IF([2]对账明细接口!$J$304=0,"",[2]对账明细接口!$J$304),"")</f>
        <v/>
      </c>
      <c r="K304" s="18" t="str">
        <f>IFERROR(IF([2]对账明细接口!$K$304=0,"",[2]对账明细接口!$K$304),"")</f>
        <v/>
      </c>
      <c r="L304" s="16" t="str">
        <f>IFERROR(IF([2]对账明细接口!$L$304=0,"",[2]对账明细接口!$L$304),"")</f>
        <v/>
      </c>
      <c r="M304" s="16" t="str">
        <f>IFERROR(IF([2]对账明细接口!$M$304=0,"",[2]对账明细接口!$M$304),"")</f>
        <v/>
      </c>
      <c r="N304" s="19">
        <f t="shared" si="24"/>
        <v>0</v>
      </c>
      <c r="O304" s="19">
        <f t="shared" si="25"/>
        <v>165</v>
      </c>
      <c r="S304" s="20" t="str">
        <f>IFERROR(IF([2]对账明细接口!$N304=0,"",[2]对账明细接口!$N304),"")</f>
        <v/>
      </c>
      <c r="T304" s="21" t="str">
        <f>IFERROR(IF([2]对账明细接口!$O304=0,"",[2]对账明细接口!$O304),"")</f>
        <v/>
      </c>
      <c r="U304" s="21" t="str">
        <f>IFERROR(IF([2]对账明细接口!$P304=0,"",[2]对账明细接口!$P304),"")</f>
        <v/>
      </c>
      <c r="V304" s="21" t="str">
        <f>IFERROR(IF([2]对账明细接口!$Q304=0,"",[2]对账明细接口!$Q304),"")</f>
        <v/>
      </c>
      <c r="W304" s="20" t="str">
        <f>IFERROR(IF([2]对账明细接口!$R304=0,"",[2]对账明细接口!$R304),"")</f>
        <v/>
      </c>
      <c r="X304" s="20" t="str">
        <f>IFERROR(IF([2]对账明细接口!$S304=0,"",[2]对账明细接口!$S304),"")</f>
        <v/>
      </c>
      <c r="Y304" s="20" t="str">
        <f t="shared" si="26"/>
        <v/>
      </c>
      <c r="Z304" s="20" t="str">
        <f t="shared" si="27"/>
        <v/>
      </c>
      <c r="AA304" s="20" t="str">
        <f t="shared" si="28"/>
        <v/>
      </c>
      <c r="AB304" s="20" t="str">
        <f t="shared" si="29"/>
        <v/>
      </c>
    </row>
    <row r="305" customHeight="1" spans="1:28">
      <c r="A305" s="14">
        <v>305</v>
      </c>
      <c r="B305" s="15" t="str">
        <f>IFERROR(IF([2]对账明细接口!$B$305=0,"",[2]对账明细接口!$B$305),"")</f>
        <v/>
      </c>
      <c r="C305" s="16" t="str">
        <f>IFERROR(IF([2]对账明细接口!$C$305=0,"",[2]对账明细接口!$C$305),"")</f>
        <v/>
      </c>
      <c r="D305" s="16" t="str">
        <f>IFERROR(IF([2]对账明细接口!$D$305=0,"",[2]对账明细接口!$D$305),"")</f>
        <v/>
      </c>
      <c r="E305" s="16" t="str">
        <f>IFERROR(IF([2]对账明细接口!$E$305=0,"",[2]对账明细接口!$E$305),"")</f>
        <v/>
      </c>
      <c r="F305" s="16" t="str">
        <f>IFERROR(IF([2]对账明细接口!$F$305=0,"",[2]对账明细接口!$F$305),"")</f>
        <v/>
      </c>
      <c r="G305" s="16" t="str">
        <f>IFERROR(IF([2]对账明细接口!$G$305=0,"",[2]对账明细接口!$G$305),"")</f>
        <v/>
      </c>
      <c r="H305" s="17" t="str">
        <f>IFERROR(IF([2]对账明细接口!$H$305=0,"",[2]对账明细接口!$H$305),"")</f>
        <v/>
      </c>
      <c r="I305" s="16" t="str">
        <f>IFERROR(IF([2]对账明细接口!$I$305=0,"",[2]对账明细接口!$I$305),"")</f>
        <v/>
      </c>
      <c r="J305" s="18" t="str">
        <f>IFERROR(IF([2]对账明细接口!$J$305=0,"",[2]对账明细接口!$J$305),"")</f>
        <v/>
      </c>
      <c r="K305" s="18" t="str">
        <f>IFERROR(IF([2]对账明细接口!$K$305=0,"",[2]对账明细接口!$K$305),"")</f>
        <v/>
      </c>
      <c r="L305" s="16" t="str">
        <f>IFERROR(IF([2]对账明细接口!$L$305=0,"",[2]对账明细接口!$L$305),"")</f>
        <v/>
      </c>
      <c r="M305" s="16" t="str">
        <f>IFERROR(IF([2]对账明细接口!$M$305=0,"",[2]对账明细接口!$M$305),"")</f>
        <v/>
      </c>
      <c r="N305" s="19">
        <f t="shared" si="24"/>
        <v>0</v>
      </c>
      <c r="O305" s="19">
        <f t="shared" si="25"/>
        <v>165</v>
      </c>
      <c r="S305" s="20" t="str">
        <f>IFERROR(IF([2]对账明细接口!$N305=0,"",[2]对账明细接口!$N305),"")</f>
        <v/>
      </c>
      <c r="T305" s="21" t="str">
        <f>IFERROR(IF([2]对账明细接口!$O305=0,"",[2]对账明细接口!$O305),"")</f>
        <v/>
      </c>
      <c r="U305" s="21" t="str">
        <f>IFERROR(IF([2]对账明细接口!$P305=0,"",[2]对账明细接口!$P305),"")</f>
        <v/>
      </c>
      <c r="V305" s="21" t="str">
        <f>IFERROR(IF([2]对账明细接口!$Q305=0,"",[2]对账明细接口!$Q305),"")</f>
        <v/>
      </c>
      <c r="W305" s="20" t="str">
        <f>IFERROR(IF([2]对账明细接口!$R305=0,"",[2]对账明细接口!$R305),"")</f>
        <v/>
      </c>
      <c r="X305" s="20" t="str">
        <f>IFERROR(IF([2]对账明细接口!$S305=0,"",[2]对账明细接口!$S305),"")</f>
        <v/>
      </c>
      <c r="Y305" s="20" t="str">
        <f t="shared" si="26"/>
        <v/>
      </c>
      <c r="Z305" s="20" t="str">
        <f t="shared" si="27"/>
        <v/>
      </c>
      <c r="AA305" s="20" t="str">
        <f t="shared" si="28"/>
        <v/>
      </c>
      <c r="AB305" s="20" t="str">
        <f t="shared" si="29"/>
        <v/>
      </c>
    </row>
    <row r="306" customHeight="1" spans="1:28">
      <c r="A306" s="14">
        <v>306</v>
      </c>
      <c r="B306" s="15" t="str">
        <f>IFERROR(IF([2]对账明细接口!$B$306=0,"",[2]对账明细接口!$B$306),"")</f>
        <v/>
      </c>
      <c r="C306" s="16" t="str">
        <f>IFERROR(IF([2]对账明细接口!$C$306=0,"",[2]对账明细接口!$C$306),"")</f>
        <v/>
      </c>
      <c r="D306" s="16" t="str">
        <f>IFERROR(IF([2]对账明细接口!$D$306=0,"",[2]对账明细接口!$D$306),"")</f>
        <v/>
      </c>
      <c r="E306" s="16" t="str">
        <f>IFERROR(IF([2]对账明细接口!$E$306=0,"",[2]对账明细接口!$E$306),"")</f>
        <v/>
      </c>
      <c r="F306" s="16" t="str">
        <f>IFERROR(IF([2]对账明细接口!$F$306=0,"",[2]对账明细接口!$F$306),"")</f>
        <v/>
      </c>
      <c r="G306" s="16" t="str">
        <f>IFERROR(IF([2]对账明细接口!$G$306=0,"",[2]对账明细接口!$G$306),"")</f>
        <v/>
      </c>
      <c r="H306" s="17" t="str">
        <f>IFERROR(IF([2]对账明细接口!$H$306=0,"",[2]对账明细接口!$H$306),"")</f>
        <v/>
      </c>
      <c r="I306" s="16" t="str">
        <f>IFERROR(IF([2]对账明细接口!$I$306=0,"",[2]对账明细接口!$I$306),"")</f>
        <v/>
      </c>
      <c r="J306" s="18" t="str">
        <f>IFERROR(IF([2]对账明细接口!$J$306=0,"",[2]对账明细接口!$J$306),"")</f>
        <v/>
      </c>
      <c r="K306" s="18" t="str">
        <f>IFERROR(IF([2]对账明细接口!$K$306=0,"",[2]对账明细接口!$K$306),"")</f>
        <v/>
      </c>
      <c r="L306" s="16" t="str">
        <f>IFERROR(IF([2]对账明细接口!$L$306=0,"",[2]对账明细接口!$L$306),"")</f>
        <v/>
      </c>
      <c r="M306" s="16" t="str">
        <f>IFERROR(IF([2]对账明细接口!$M$306=0,"",[2]对账明细接口!$M$306),"")</f>
        <v/>
      </c>
      <c r="N306" s="19">
        <f t="shared" si="24"/>
        <v>0</v>
      </c>
      <c r="O306" s="19">
        <f t="shared" si="25"/>
        <v>165</v>
      </c>
      <c r="S306" s="20" t="str">
        <f>IFERROR(IF([2]对账明细接口!$N306=0,"",[2]对账明细接口!$N306),"")</f>
        <v/>
      </c>
      <c r="T306" s="21" t="str">
        <f>IFERROR(IF([2]对账明细接口!$O306=0,"",[2]对账明细接口!$O306),"")</f>
        <v/>
      </c>
      <c r="U306" s="21" t="str">
        <f>IFERROR(IF([2]对账明细接口!$P306=0,"",[2]对账明细接口!$P306),"")</f>
        <v/>
      </c>
      <c r="V306" s="21" t="str">
        <f>IFERROR(IF([2]对账明细接口!$Q306=0,"",[2]对账明细接口!$Q306),"")</f>
        <v/>
      </c>
      <c r="W306" s="20" t="str">
        <f>IFERROR(IF([2]对账明细接口!$R306=0,"",[2]对账明细接口!$R306),"")</f>
        <v/>
      </c>
      <c r="X306" s="20" t="str">
        <f>IFERROR(IF([2]对账明细接口!$S306=0,"",[2]对账明细接口!$S306),"")</f>
        <v/>
      </c>
      <c r="Y306" s="20" t="str">
        <f t="shared" si="26"/>
        <v/>
      </c>
      <c r="Z306" s="20" t="str">
        <f t="shared" si="27"/>
        <v/>
      </c>
      <c r="AA306" s="20" t="str">
        <f t="shared" si="28"/>
        <v/>
      </c>
      <c r="AB306" s="20" t="str">
        <f t="shared" si="29"/>
        <v/>
      </c>
    </row>
    <row r="307" customHeight="1" spans="1:28">
      <c r="A307" s="14">
        <v>307</v>
      </c>
      <c r="B307" s="15" t="str">
        <f>IFERROR(IF([2]对账明细接口!$B$307=0,"",[2]对账明细接口!$B$307),"")</f>
        <v/>
      </c>
      <c r="C307" s="16" t="str">
        <f>IFERROR(IF([2]对账明细接口!$C$307=0,"",[2]对账明细接口!$C$307),"")</f>
        <v/>
      </c>
      <c r="D307" s="16" t="str">
        <f>IFERROR(IF([2]对账明细接口!$D$307=0,"",[2]对账明细接口!$D$307),"")</f>
        <v/>
      </c>
      <c r="E307" s="16" t="str">
        <f>IFERROR(IF([2]对账明细接口!$E$307=0,"",[2]对账明细接口!$E$307),"")</f>
        <v/>
      </c>
      <c r="F307" s="16" t="str">
        <f>IFERROR(IF([2]对账明细接口!$F$307=0,"",[2]对账明细接口!$F$307),"")</f>
        <v/>
      </c>
      <c r="G307" s="16" t="str">
        <f>IFERROR(IF([2]对账明细接口!$G$307=0,"",[2]对账明细接口!$G$307),"")</f>
        <v/>
      </c>
      <c r="H307" s="17" t="str">
        <f>IFERROR(IF([2]对账明细接口!$H$307=0,"",[2]对账明细接口!$H$307),"")</f>
        <v/>
      </c>
      <c r="I307" s="16" t="str">
        <f>IFERROR(IF([2]对账明细接口!$I$307=0,"",[2]对账明细接口!$I$307),"")</f>
        <v/>
      </c>
      <c r="J307" s="18" t="str">
        <f>IFERROR(IF([2]对账明细接口!$J$307=0,"",[2]对账明细接口!$J$307),"")</f>
        <v/>
      </c>
      <c r="K307" s="18" t="str">
        <f>IFERROR(IF([2]对账明细接口!$K$307=0,"",[2]对账明细接口!$K$307),"")</f>
        <v/>
      </c>
      <c r="L307" s="16" t="str">
        <f>IFERROR(IF([2]对账明细接口!$L$307=0,"",[2]对账明细接口!$L$307),"")</f>
        <v/>
      </c>
      <c r="M307" s="16" t="str">
        <f>IFERROR(IF([2]对账明细接口!$M$307=0,"",[2]对账明细接口!$M$307),"")</f>
        <v/>
      </c>
      <c r="N307" s="19">
        <f t="shared" si="24"/>
        <v>0</v>
      </c>
      <c r="O307" s="19">
        <f t="shared" si="25"/>
        <v>165</v>
      </c>
      <c r="S307" s="20" t="str">
        <f>IFERROR(IF([2]对账明细接口!$N307=0,"",[2]对账明细接口!$N307),"")</f>
        <v/>
      </c>
      <c r="T307" s="21" t="str">
        <f>IFERROR(IF([2]对账明细接口!$O307=0,"",[2]对账明细接口!$O307),"")</f>
        <v/>
      </c>
      <c r="U307" s="21" t="str">
        <f>IFERROR(IF([2]对账明细接口!$P307=0,"",[2]对账明细接口!$P307),"")</f>
        <v/>
      </c>
      <c r="V307" s="21" t="str">
        <f>IFERROR(IF([2]对账明细接口!$Q307=0,"",[2]对账明细接口!$Q307),"")</f>
        <v/>
      </c>
      <c r="W307" s="20" t="str">
        <f>IFERROR(IF([2]对账明细接口!$R307=0,"",[2]对账明细接口!$R307),"")</f>
        <v/>
      </c>
      <c r="X307" s="20" t="str">
        <f>IFERROR(IF([2]对账明细接口!$S307=0,"",[2]对账明细接口!$S307),"")</f>
        <v/>
      </c>
      <c r="Y307" s="20" t="str">
        <f t="shared" si="26"/>
        <v/>
      </c>
      <c r="Z307" s="20" t="str">
        <f t="shared" si="27"/>
        <v/>
      </c>
      <c r="AA307" s="20" t="str">
        <f t="shared" si="28"/>
        <v/>
      </c>
      <c r="AB307" s="20" t="str">
        <f t="shared" si="29"/>
        <v/>
      </c>
    </row>
    <row r="308" customHeight="1" spans="1:28">
      <c r="A308" s="14">
        <v>308</v>
      </c>
      <c r="B308" s="15" t="str">
        <f>IFERROR(IF([2]对账明细接口!$B$308=0,"",[2]对账明细接口!$B$308),"")</f>
        <v/>
      </c>
      <c r="C308" s="16" t="str">
        <f>IFERROR(IF([2]对账明细接口!$C$308=0,"",[2]对账明细接口!$C$308),"")</f>
        <v/>
      </c>
      <c r="D308" s="16" t="str">
        <f>IFERROR(IF([2]对账明细接口!$D$308=0,"",[2]对账明细接口!$D$308),"")</f>
        <v/>
      </c>
      <c r="E308" s="16" t="str">
        <f>IFERROR(IF([2]对账明细接口!$E$308=0,"",[2]对账明细接口!$E$308),"")</f>
        <v/>
      </c>
      <c r="F308" s="16" t="str">
        <f>IFERROR(IF([2]对账明细接口!$F$308=0,"",[2]对账明细接口!$F$308),"")</f>
        <v/>
      </c>
      <c r="G308" s="16" t="str">
        <f>IFERROR(IF([2]对账明细接口!$G$308=0,"",[2]对账明细接口!$G$308),"")</f>
        <v/>
      </c>
      <c r="H308" s="17" t="str">
        <f>IFERROR(IF([2]对账明细接口!$H$308=0,"",[2]对账明细接口!$H$308),"")</f>
        <v/>
      </c>
      <c r="I308" s="16" t="str">
        <f>IFERROR(IF([2]对账明细接口!$I$308=0,"",[2]对账明细接口!$I$308),"")</f>
        <v/>
      </c>
      <c r="J308" s="18" t="str">
        <f>IFERROR(IF([2]对账明细接口!$J$308=0,"",[2]对账明细接口!$J$308),"")</f>
        <v/>
      </c>
      <c r="K308" s="18" t="str">
        <f>IFERROR(IF([2]对账明细接口!$K$308=0,"",[2]对账明细接口!$K$308),"")</f>
        <v/>
      </c>
      <c r="L308" s="16" t="str">
        <f>IFERROR(IF([2]对账明细接口!$L$308=0,"",[2]对账明细接口!$L$308),"")</f>
        <v/>
      </c>
      <c r="M308" s="16" t="str">
        <f>IFERROR(IF([2]对账明细接口!$M$308=0,"",[2]对账明细接口!$M$308),"")</f>
        <v/>
      </c>
      <c r="N308" s="19">
        <f t="shared" si="24"/>
        <v>0</v>
      </c>
      <c r="O308" s="19">
        <f t="shared" si="25"/>
        <v>165</v>
      </c>
      <c r="S308" s="20" t="str">
        <f>IFERROR(IF([2]对账明细接口!$N308=0,"",[2]对账明细接口!$N308),"")</f>
        <v/>
      </c>
      <c r="T308" s="21" t="str">
        <f>IFERROR(IF([2]对账明细接口!$O308=0,"",[2]对账明细接口!$O308),"")</f>
        <v/>
      </c>
      <c r="U308" s="21" t="str">
        <f>IFERROR(IF([2]对账明细接口!$P308=0,"",[2]对账明细接口!$P308),"")</f>
        <v/>
      </c>
      <c r="V308" s="21" t="str">
        <f>IFERROR(IF([2]对账明细接口!$Q308=0,"",[2]对账明细接口!$Q308),"")</f>
        <v/>
      </c>
      <c r="W308" s="20" t="str">
        <f>IFERROR(IF([2]对账明细接口!$R308=0,"",[2]对账明细接口!$R308),"")</f>
        <v/>
      </c>
      <c r="X308" s="20" t="str">
        <f>IFERROR(IF([2]对账明细接口!$S308=0,"",[2]对账明细接口!$S308),"")</f>
        <v/>
      </c>
      <c r="Y308" s="20" t="str">
        <f t="shared" si="26"/>
        <v/>
      </c>
      <c r="Z308" s="20" t="str">
        <f t="shared" si="27"/>
        <v/>
      </c>
      <c r="AA308" s="20" t="str">
        <f t="shared" si="28"/>
        <v/>
      </c>
      <c r="AB308" s="20" t="str">
        <f t="shared" si="29"/>
        <v/>
      </c>
    </row>
    <row r="309" customHeight="1" spans="1:28">
      <c r="A309" s="14">
        <v>309</v>
      </c>
      <c r="B309" s="15" t="str">
        <f>IFERROR(IF([2]对账明细接口!$B$309=0,"",[2]对账明细接口!$B$309),"")</f>
        <v/>
      </c>
      <c r="C309" s="16" t="str">
        <f>IFERROR(IF([2]对账明细接口!$C$309=0,"",[2]对账明细接口!$C$309),"")</f>
        <v/>
      </c>
      <c r="D309" s="16" t="str">
        <f>IFERROR(IF([2]对账明细接口!$D$309=0,"",[2]对账明细接口!$D$309),"")</f>
        <v/>
      </c>
      <c r="E309" s="16" t="str">
        <f>IFERROR(IF([2]对账明细接口!$E$309=0,"",[2]对账明细接口!$E$309),"")</f>
        <v/>
      </c>
      <c r="F309" s="16" t="str">
        <f>IFERROR(IF([2]对账明细接口!$F$309=0,"",[2]对账明细接口!$F$309),"")</f>
        <v/>
      </c>
      <c r="G309" s="16" t="str">
        <f>IFERROR(IF([2]对账明细接口!$G$309=0,"",[2]对账明细接口!$G$309),"")</f>
        <v/>
      </c>
      <c r="H309" s="17" t="str">
        <f>IFERROR(IF([2]对账明细接口!$H$309=0,"",[2]对账明细接口!$H$309),"")</f>
        <v/>
      </c>
      <c r="I309" s="16" t="str">
        <f>IFERROR(IF([2]对账明细接口!$I$309=0,"",[2]对账明细接口!$I$309),"")</f>
        <v/>
      </c>
      <c r="J309" s="18" t="str">
        <f>IFERROR(IF([2]对账明细接口!$J$309=0,"",[2]对账明细接口!$J$309),"")</f>
        <v/>
      </c>
      <c r="K309" s="18" t="str">
        <f>IFERROR(IF([2]对账明细接口!$K$309=0,"",[2]对账明细接口!$K$309),"")</f>
        <v/>
      </c>
      <c r="L309" s="16" t="str">
        <f>IFERROR(IF([2]对账明细接口!$L$309=0,"",[2]对账明细接口!$L$309),"")</f>
        <v/>
      </c>
      <c r="M309" s="16" t="str">
        <f>IFERROR(IF([2]对账明细接口!$M$309=0,"",[2]对账明细接口!$M$309),"")</f>
        <v/>
      </c>
      <c r="N309" s="19">
        <f t="shared" si="24"/>
        <v>0</v>
      </c>
      <c r="O309" s="19">
        <f t="shared" si="25"/>
        <v>165</v>
      </c>
      <c r="S309" s="20" t="str">
        <f>IFERROR(IF([2]对账明细接口!$N309=0,"",[2]对账明细接口!$N309),"")</f>
        <v/>
      </c>
      <c r="T309" s="21" t="str">
        <f>IFERROR(IF([2]对账明细接口!$O309=0,"",[2]对账明细接口!$O309),"")</f>
        <v/>
      </c>
      <c r="U309" s="21" t="str">
        <f>IFERROR(IF([2]对账明细接口!$P309=0,"",[2]对账明细接口!$P309),"")</f>
        <v/>
      </c>
      <c r="V309" s="21" t="str">
        <f>IFERROR(IF([2]对账明细接口!$Q309=0,"",[2]对账明细接口!$Q309),"")</f>
        <v/>
      </c>
      <c r="W309" s="20" t="str">
        <f>IFERROR(IF([2]对账明细接口!$R309=0,"",[2]对账明细接口!$R309),"")</f>
        <v/>
      </c>
      <c r="X309" s="20" t="str">
        <f>IFERROR(IF([2]对账明细接口!$S309=0,"",[2]对账明细接口!$S309),"")</f>
        <v/>
      </c>
      <c r="Y309" s="20" t="str">
        <f t="shared" si="26"/>
        <v/>
      </c>
      <c r="Z309" s="20" t="str">
        <f t="shared" si="27"/>
        <v/>
      </c>
      <c r="AA309" s="20" t="str">
        <f t="shared" si="28"/>
        <v/>
      </c>
      <c r="AB309" s="20" t="str">
        <f t="shared" si="29"/>
        <v/>
      </c>
    </row>
    <row r="310" customHeight="1" spans="1:28">
      <c r="A310" s="14">
        <v>310</v>
      </c>
      <c r="B310" s="15" t="str">
        <f>IFERROR(IF([2]对账明细接口!$B$310=0,"",[2]对账明细接口!$B$310),"")</f>
        <v/>
      </c>
      <c r="C310" s="16" t="str">
        <f>IFERROR(IF([2]对账明细接口!$C$310=0,"",[2]对账明细接口!$C$310),"")</f>
        <v/>
      </c>
      <c r="D310" s="16" t="str">
        <f>IFERROR(IF([2]对账明细接口!$D$310=0,"",[2]对账明细接口!$D$310),"")</f>
        <v/>
      </c>
      <c r="E310" s="16" t="str">
        <f>IFERROR(IF([2]对账明细接口!$E$310=0,"",[2]对账明细接口!$E$310),"")</f>
        <v/>
      </c>
      <c r="F310" s="16" t="str">
        <f>IFERROR(IF([2]对账明细接口!$F$310=0,"",[2]对账明细接口!$F$310),"")</f>
        <v/>
      </c>
      <c r="G310" s="16" t="str">
        <f>IFERROR(IF([2]对账明细接口!$G$310=0,"",[2]对账明细接口!$G$310),"")</f>
        <v/>
      </c>
      <c r="H310" s="17" t="str">
        <f>IFERROR(IF([2]对账明细接口!$H$310=0,"",[2]对账明细接口!$H$310),"")</f>
        <v/>
      </c>
      <c r="I310" s="16" t="str">
        <f>IFERROR(IF([2]对账明细接口!$I$310=0,"",[2]对账明细接口!$I$310),"")</f>
        <v/>
      </c>
      <c r="J310" s="18" t="str">
        <f>IFERROR(IF([2]对账明细接口!$J$310=0,"",[2]对账明细接口!$J$310),"")</f>
        <v/>
      </c>
      <c r="K310" s="18" t="str">
        <f>IFERROR(IF([2]对账明细接口!$K$310=0,"",[2]对账明细接口!$K$310),"")</f>
        <v/>
      </c>
      <c r="L310" s="16" t="str">
        <f>IFERROR(IF([2]对账明细接口!$L$310=0,"",[2]对账明细接口!$L$310),"")</f>
        <v/>
      </c>
      <c r="M310" s="16" t="str">
        <f>IFERROR(IF([2]对账明细接口!$M$310=0,"",[2]对账明细接口!$M$310),"")</f>
        <v/>
      </c>
      <c r="N310" s="19">
        <f t="shared" si="24"/>
        <v>0</v>
      </c>
      <c r="O310" s="19">
        <f t="shared" si="25"/>
        <v>165</v>
      </c>
      <c r="S310" s="20" t="str">
        <f>IFERROR(IF([2]对账明细接口!$N310=0,"",[2]对账明细接口!$N310),"")</f>
        <v/>
      </c>
      <c r="T310" s="21" t="str">
        <f>IFERROR(IF([2]对账明细接口!$O310=0,"",[2]对账明细接口!$O310),"")</f>
        <v/>
      </c>
      <c r="U310" s="21" t="str">
        <f>IFERROR(IF([2]对账明细接口!$P310=0,"",[2]对账明细接口!$P310),"")</f>
        <v/>
      </c>
      <c r="V310" s="21" t="str">
        <f>IFERROR(IF([2]对账明细接口!$Q310=0,"",[2]对账明细接口!$Q310),"")</f>
        <v/>
      </c>
      <c r="W310" s="20" t="str">
        <f>IFERROR(IF([2]对账明细接口!$R310=0,"",[2]对账明细接口!$R310),"")</f>
        <v/>
      </c>
      <c r="X310" s="20" t="str">
        <f>IFERROR(IF([2]对账明细接口!$S310=0,"",[2]对账明细接口!$S310),"")</f>
        <v/>
      </c>
      <c r="Y310" s="20" t="str">
        <f t="shared" si="26"/>
        <v/>
      </c>
      <c r="Z310" s="20" t="str">
        <f t="shared" si="27"/>
        <v/>
      </c>
      <c r="AA310" s="20" t="str">
        <f t="shared" si="28"/>
        <v/>
      </c>
      <c r="AB310" s="20" t="str">
        <f t="shared" si="29"/>
        <v/>
      </c>
    </row>
    <row r="311" customHeight="1" spans="1:28">
      <c r="A311" s="14">
        <v>311</v>
      </c>
      <c r="B311" s="15" t="str">
        <f>IFERROR(IF([2]对账明细接口!$B$311=0,"",[2]对账明细接口!$B$311),"")</f>
        <v/>
      </c>
      <c r="C311" s="16" t="str">
        <f>IFERROR(IF([2]对账明细接口!$C$311=0,"",[2]对账明细接口!$C$311),"")</f>
        <v/>
      </c>
      <c r="D311" s="16" t="str">
        <f>IFERROR(IF([2]对账明细接口!$D$311=0,"",[2]对账明细接口!$D$311),"")</f>
        <v/>
      </c>
      <c r="E311" s="16" t="str">
        <f>IFERROR(IF([2]对账明细接口!$E$311=0,"",[2]对账明细接口!$E$311),"")</f>
        <v/>
      </c>
      <c r="F311" s="16" t="str">
        <f>IFERROR(IF([2]对账明细接口!$F$311=0,"",[2]对账明细接口!$F$311),"")</f>
        <v/>
      </c>
      <c r="G311" s="16" t="str">
        <f>IFERROR(IF([2]对账明细接口!$G$311=0,"",[2]对账明细接口!$G$311),"")</f>
        <v/>
      </c>
      <c r="H311" s="17" t="str">
        <f>IFERROR(IF([2]对账明细接口!$H$311=0,"",[2]对账明细接口!$H$311),"")</f>
        <v/>
      </c>
      <c r="I311" s="16" t="str">
        <f>IFERROR(IF([2]对账明细接口!$I$311=0,"",[2]对账明细接口!$I$311),"")</f>
        <v/>
      </c>
      <c r="J311" s="18" t="str">
        <f>IFERROR(IF([2]对账明细接口!$J$311=0,"",[2]对账明细接口!$J$311),"")</f>
        <v/>
      </c>
      <c r="K311" s="18" t="str">
        <f>IFERROR(IF([2]对账明细接口!$K$311=0,"",[2]对账明细接口!$K$311),"")</f>
        <v/>
      </c>
      <c r="L311" s="16" t="str">
        <f>IFERROR(IF([2]对账明细接口!$L$311=0,"",[2]对账明细接口!$L$311),"")</f>
        <v/>
      </c>
      <c r="M311" s="16" t="str">
        <f>IFERROR(IF([2]对账明细接口!$M$311=0,"",[2]对账明细接口!$M$311),"")</f>
        <v/>
      </c>
      <c r="N311" s="19">
        <f t="shared" si="24"/>
        <v>0</v>
      </c>
      <c r="O311" s="19">
        <f t="shared" si="25"/>
        <v>165</v>
      </c>
      <c r="S311" s="20" t="str">
        <f>IFERROR(IF([2]对账明细接口!$N311=0,"",[2]对账明细接口!$N311),"")</f>
        <v/>
      </c>
      <c r="T311" s="21" t="str">
        <f>IFERROR(IF([2]对账明细接口!$O311=0,"",[2]对账明细接口!$O311),"")</f>
        <v/>
      </c>
      <c r="U311" s="21" t="str">
        <f>IFERROR(IF([2]对账明细接口!$P311=0,"",[2]对账明细接口!$P311),"")</f>
        <v/>
      </c>
      <c r="V311" s="21" t="str">
        <f>IFERROR(IF([2]对账明细接口!$Q311=0,"",[2]对账明细接口!$Q311),"")</f>
        <v/>
      </c>
      <c r="W311" s="20" t="str">
        <f>IFERROR(IF([2]对账明细接口!$R311=0,"",[2]对账明细接口!$R311),"")</f>
        <v/>
      </c>
      <c r="X311" s="20" t="str">
        <f>IFERROR(IF([2]对账明细接口!$S311=0,"",[2]对账明细接口!$S311),"")</f>
        <v/>
      </c>
      <c r="Y311" s="20" t="str">
        <f t="shared" si="26"/>
        <v/>
      </c>
      <c r="Z311" s="20" t="str">
        <f t="shared" si="27"/>
        <v/>
      </c>
      <c r="AA311" s="20" t="str">
        <f t="shared" si="28"/>
        <v/>
      </c>
      <c r="AB311" s="20" t="str">
        <f t="shared" si="29"/>
        <v/>
      </c>
    </row>
    <row r="312" customHeight="1" spans="1:28">
      <c r="A312" s="14">
        <v>312</v>
      </c>
      <c r="B312" s="15" t="str">
        <f>IFERROR(IF([2]对账明细接口!$B$312=0,"",[2]对账明细接口!$B$312),"")</f>
        <v/>
      </c>
      <c r="C312" s="16" t="str">
        <f>IFERROR(IF([2]对账明细接口!$C$312=0,"",[2]对账明细接口!$C$312),"")</f>
        <v/>
      </c>
      <c r="D312" s="16" t="str">
        <f>IFERROR(IF([2]对账明细接口!$D$312=0,"",[2]对账明细接口!$D$312),"")</f>
        <v/>
      </c>
      <c r="E312" s="16" t="str">
        <f>IFERROR(IF([2]对账明细接口!$E$312=0,"",[2]对账明细接口!$E$312),"")</f>
        <v/>
      </c>
      <c r="F312" s="16" t="str">
        <f>IFERROR(IF([2]对账明细接口!$F$312=0,"",[2]对账明细接口!$F$312),"")</f>
        <v/>
      </c>
      <c r="G312" s="16" t="str">
        <f>IFERROR(IF([2]对账明细接口!$G$312=0,"",[2]对账明细接口!$G$312),"")</f>
        <v/>
      </c>
      <c r="H312" s="17" t="str">
        <f>IFERROR(IF([2]对账明细接口!$H$312=0,"",[2]对账明细接口!$H$312),"")</f>
        <v/>
      </c>
      <c r="I312" s="16" t="str">
        <f>IFERROR(IF([2]对账明细接口!$I$312=0,"",[2]对账明细接口!$I$312),"")</f>
        <v/>
      </c>
      <c r="J312" s="18" t="str">
        <f>IFERROR(IF([2]对账明细接口!$J$312=0,"",[2]对账明细接口!$J$312),"")</f>
        <v/>
      </c>
      <c r="K312" s="18" t="str">
        <f>IFERROR(IF([2]对账明细接口!$K$312=0,"",[2]对账明细接口!$K$312),"")</f>
        <v/>
      </c>
      <c r="L312" s="16" t="str">
        <f>IFERROR(IF([2]对账明细接口!$L$312=0,"",[2]对账明细接口!$L$312),"")</f>
        <v/>
      </c>
      <c r="M312" s="16" t="str">
        <f>IFERROR(IF([2]对账明细接口!$M$312=0,"",[2]对账明细接口!$M$312),"")</f>
        <v/>
      </c>
      <c r="N312" s="19">
        <f t="shared" si="24"/>
        <v>0</v>
      </c>
      <c r="O312" s="19">
        <f t="shared" si="25"/>
        <v>165</v>
      </c>
      <c r="S312" s="20" t="str">
        <f>IFERROR(IF([2]对账明细接口!$N312=0,"",[2]对账明细接口!$N312),"")</f>
        <v/>
      </c>
      <c r="T312" s="21" t="str">
        <f>IFERROR(IF([2]对账明细接口!$O312=0,"",[2]对账明细接口!$O312),"")</f>
        <v/>
      </c>
      <c r="U312" s="21" t="str">
        <f>IFERROR(IF([2]对账明细接口!$P312=0,"",[2]对账明细接口!$P312),"")</f>
        <v/>
      </c>
      <c r="V312" s="21" t="str">
        <f>IFERROR(IF([2]对账明细接口!$Q312=0,"",[2]对账明细接口!$Q312),"")</f>
        <v/>
      </c>
      <c r="W312" s="20" t="str">
        <f>IFERROR(IF([2]对账明细接口!$R312=0,"",[2]对账明细接口!$R312),"")</f>
        <v/>
      </c>
      <c r="X312" s="20" t="str">
        <f>IFERROR(IF([2]对账明细接口!$S312=0,"",[2]对账明细接口!$S312),"")</f>
        <v/>
      </c>
      <c r="Y312" s="20" t="str">
        <f t="shared" si="26"/>
        <v/>
      </c>
      <c r="Z312" s="20" t="str">
        <f t="shared" si="27"/>
        <v/>
      </c>
      <c r="AA312" s="20" t="str">
        <f t="shared" si="28"/>
        <v/>
      </c>
      <c r="AB312" s="20" t="str">
        <f t="shared" si="29"/>
        <v/>
      </c>
    </row>
    <row r="313" customHeight="1" spans="1:28">
      <c r="A313" s="14">
        <v>313</v>
      </c>
      <c r="B313" s="15" t="str">
        <f>IFERROR(IF([2]对账明细接口!$B$313=0,"",[2]对账明细接口!$B$313),"")</f>
        <v/>
      </c>
      <c r="C313" s="16" t="str">
        <f>IFERROR(IF([2]对账明细接口!$C$313=0,"",[2]对账明细接口!$C$313),"")</f>
        <v/>
      </c>
      <c r="D313" s="16" t="str">
        <f>IFERROR(IF([2]对账明细接口!$D$313=0,"",[2]对账明细接口!$D$313),"")</f>
        <v/>
      </c>
      <c r="E313" s="16" t="str">
        <f>IFERROR(IF([2]对账明细接口!$E$313=0,"",[2]对账明细接口!$E$313),"")</f>
        <v/>
      </c>
      <c r="F313" s="16" t="str">
        <f>IFERROR(IF([2]对账明细接口!$F$313=0,"",[2]对账明细接口!$F$313),"")</f>
        <v/>
      </c>
      <c r="G313" s="16" t="str">
        <f>IFERROR(IF([2]对账明细接口!$G$313=0,"",[2]对账明细接口!$G$313),"")</f>
        <v/>
      </c>
      <c r="H313" s="17" t="str">
        <f>IFERROR(IF([2]对账明细接口!$H$313=0,"",[2]对账明细接口!$H$313),"")</f>
        <v/>
      </c>
      <c r="I313" s="16" t="str">
        <f>IFERROR(IF([2]对账明细接口!$I$313=0,"",[2]对账明细接口!$I$313),"")</f>
        <v/>
      </c>
      <c r="J313" s="18" t="str">
        <f>IFERROR(IF([2]对账明细接口!$J$313=0,"",[2]对账明细接口!$J$313),"")</f>
        <v/>
      </c>
      <c r="K313" s="18" t="str">
        <f>IFERROR(IF([2]对账明细接口!$K$313=0,"",[2]对账明细接口!$K$313),"")</f>
        <v/>
      </c>
      <c r="L313" s="16" t="str">
        <f>IFERROR(IF([2]对账明细接口!$L$313=0,"",[2]对账明细接口!$L$313),"")</f>
        <v/>
      </c>
      <c r="M313" s="16" t="str">
        <f>IFERROR(IF([2]对账明细接口!$M$313=0,"",[2]对账明细接口!$M$313),"")</f>
        <v/>
      </c>
      <c r="N313" s="19">
        <f t="shared" si="24"/>
        <v>0</v>
      </c>
      <c r="O313" s="19">
        <f t="shared" si="25"/>
        <v>165</v>
      </c>
      <c r="S313" s="20" t="str">
        <f>IFERROR(IF([2]对账明细接口!$N313=0,"",[2]对账明细接口!$N313),"")</f>
        <v/>
      </c>
      <c r="T313" s="21" t="str">
        <f>IFERROR(IF([2]对账明细接口!$O313=0,"",[2]对账明细接口!$O313),"")</f>
        <v/>
      </c>
      <c r="U313" s="21" t="str">
        <f>IFERROR(IF([2]对账明细接口!$P313=0,"",[2]对账明细接口!$P313),"")</f>
        <v/>
      </c>
      <c r="V313" s="21" t="str">
        <f>IFERROR(IF([2]对账明细接口!$Q313=0,"",[2]对账明细接口!$Q313),"")</f>
        <v/>
      </c>
      <c r="W313" s="20" t="str">
        <f>IFERROR(IF([2]对账明细接口!$R313=0,"",[2]对账明细接口!$R313),"")</f>
        <v/>
      </c>
      <c r="X313" s="20" t="str">
        <f>IFERROR(IF([2]对账明细接口!$S313=0,"",[2]对账明细接口!$S313),"")</f>
        <v/>
      </c>
      <c r="Y313" s="20" t="str">
        <f t="shared" si="26"/>
        <v/>
      </c>
      <c r="Z313" s="20" t="str">
        <f t="shared" si="27"/>
        <v/>
      </c>
      <c r="AA313" s="20" t="str">
        <f t="shared" si="28"/>
        <v/>
      </c>
      <c r="AB313" s="20" t="str">
        <f t="shared" si="29"/>
        <v/>
      </c>
    </row>
    <row r="314" customHeight="1" spans="1:28">
      <c r="A314" s="14">
        <v>314</v>
      </c>
      <c r="B314" s="15" t="str">
        <f>IFERROR(IF([2]对账明细接口!$B$314=0,"",[2]对账明细接口!$B$314),"")</f>
        <v/>
      </c>
      <c r="C314" s="16" t="str">
        <f>IFERROR(IF([2]对账明细接口!$C$314=0,"",[2]对账明细接口!$C$314),"")</f>
        <v/>
      </c>
      <c r="D314" s="16" t="str">
        <f>IFERROR(IF([2]对账明细接口!$D$314=0,"",[2]对账明细接口!$D$314),"")</f>
        <v/>
      </c>
      <c r="E314" s="16" t="str">
        <f>IFERROR(IF([2]对账明细接口!$E$314=0,"",[2]对账明细接口!$E$314),"")</f>
        <v/>
      </c>
      <c r="F314" s="16" t="str">
        <f>IFERROR(IF([2]对账明细接口!$F$314=0,"",[2]对账明细接口!$F$314),"")</f>
        <v/>
      </c>
      <c r="G314" s="16" t="str">
        <f>IFERROR(IF([2]对账明细接口!$G$314=0,"",[2]对账明细接口!$G$314),"")</f>
        <v/>
      </c>
      <c r="H314" s="17" t="str">
        <f>IFERROR(IF([2]对账明细接口!$H$314=0,"",[2]对账明细接口!$H$314),"")</f>
        <v/>
      </c>
      <c r="I314" s="16" t="str">
        <f>IFERROR(IF([2]对账明细接口!$I$314=0,"",[2]对账明细接口!$I$314),"")</f>
        <v/>
      </c>
      <c r="J314" s="18" t="str">
        <f>IFERROR(IF([2]对账明细接口!$J$314=0,"",[2]对账明细接口!$J$314),"")</f>
        <v/>
      </c>
      <c r="K314" s="18" t="str">
        <f>IFERROR(IF([2]对账明细接口!$K$314=0,"",[2]对账明细接口!$K$314),"")</f>
        <v/>
      </c>
      <c r="L314" s="16" t="str">
        <f>IFERROR(IF([2]对账明细接口!$L$314=0,"",[2]对账明细接口!$L$314),"")</f>
        <v/>
      </c>
      <c r="M314" s="16" t="str">
        <f>IFERROR(IF([2]对账明细接口!$M$314=0,"",[2]对账明细接口!$M$314),"")</f>
        <v/>
      </c>
      <c r="N314" s="19">
        <f t="shared" si="24"/>
        <v>0</v>
      </c>
      <c r="O314" s="19">
        <f t="shared" si="25"/>
        <v>165</v>
      </c>
      <c r="S314" s="20" t="str">
        <f>IFERROR(IF([2]对账明细接口!$N314=0,"",[2]对账明细接口!$N314),"")</f>
        <v/>
      </c>
      <c r="T314" s="21" t="str">
        <f>IFERROR(IF([2]对账明细接口!$O314=0,"",[2]对账明细接口!$O314),"")</f>
        <v/>
      </c>
      <c r="U314" s="21" t="str">
        <f>IFERROR(IF([2]对账明细接口!$P314=0,"",[2]对账明细接口!$P314),"")</f>
        <v/>
      </c>
      <c r="V314" s="21" t="str">
        <f>IFERROR(IF([2]对账明细接口!$Q314=0,"",[2]对账明细接口!$Q314),"")</f>
        <v/>
      </c>
      <c r="W314" s="20" t="str">
        <f>IFERROR(IF([2]对账明细接口!$R314=0,"",[2]对账明细接口!$R314),"")</f>
        <v/>
      </c>
      <c r="X314" s="20" t="str">
        <f>IFERROR(IF([2]对账明细接口!$S314=0,"",[2]对账明细接口!$S314),"")</f>
        <v/>
      </c>
      <c r="Y314" s="20" t="str">
        <f t="shared" si="26"/>
        <v/>
      </c>
      <c r="Z314" s="20" t="str">
        <f t="shared" si="27"/>
        <v/>
      </c>
      <c r="AA314" s="20" t="str">
        <f t="shared" si="28"/>
        <v/>
      </c>
      <c r="AB314" s="20" t="str">
        <f t="shared" si="29"/>
        <v/>
      </c>
    </row>
    <row r="315" customHeight="1" spans="1:28">
      <c r="A315" s="14">
        <v>315</v>
      </c>
      <c r="B315" s="15" t="str">
        <f>IFERROR(IF([2]对账明细接口!$B$315=0,"",[2]对账明细接口!$B$315),"")</f>
        <v/>
      </c>
      <c r="C315" s="16" t="str">
        <f>IFERROR(IF([2]对账明细接口!$C$315=0,"",[2]对账明细接口!$C$315),"")</f>
        <v/>
      </c>
      <c r="D315" s="16" t="str">
        <f>IFERROR(IF([2]对账明细接口!$D$315=0,"",[2]对账明细接口!$D$315),"")</f>
        <v/>
      </c>
      <c r="E315" s="16" t="str">
        <f>IFERROR(IF([2]对账明细接口!$E$315=0,"",[2]对账明细接口!$E$315),"")</f>
        <v/>
      </c>
      <c r="F315" s="16" t="str">
        <f>IFERROR(IF([2]对账明细接口!$F$315=0,"",[2]对账明细接口!$F$315),"")</f>
        <v/>
      </c>
      <c r="G315" s="16" t="str">
        <f>IFERROR(IF([2]对账明细接口!$G$315=0,"",[2]对账明细接口!$G$315),"")</f>
        <v/>
      </c>
      <c r="H315" s="17" t="str">
        <f>IFERROR(IF([2]对账明细接口!$H$315=0,"",[2]对账明细接口!$H$315),"")</f>
        <v/>
      </c>
      <c r="I315" s="16" t="str">
        <f>IFERROR(IF([2]对账明细接口!$I$315=0,"",[2]对账明细接口!$I$315),"")</f>
        <v/>
      </c>
      <c r="J315" s="18" t="str">
        <f>IFERROR(IF([2]对账明细接口!$J$315=0,"",[2]对账明细接口!$J$315),"")</f>
        <v/>
      </c>
      <c r="K315" s="18" t="str">
        <f>IFERROR(IF([2]对账明细接口!$K$315=0,"",[2]对账明细接口!$K$315),"")</f>
        <v/>
      </c>
      <c r="L315" s="16" t="str">
        <f>IFERROR(IF([2]对账明细接口!$L$315=0,"",[2]对账明细接口!$L$315),"")</f>
        <v/>
      </c>
      <c r="M315" s="16" t="str">
        <f>IFERROR(IF([2]对账明细接口!$M$315=0,"",[2]对账明细接口!$M$315),"")</f>
        <v/>
      </c>
      <c r="N315" s="19">
        <f t="shared" si="24"/>
        <v>0</v>
      </c>
      <c r="O315" s="19">
        <f t="shared" si="25"/>
        <v>165</v>
      </c>
      <c r="S315" s="20" t="str">
        <f>IFERROR(IF([2]对账明细接口!$N315=0,"",[2]对账明细接口!$N315),"")</f>
        <v/>
      </c>
      <c r="T315" s="21" t="str">
        <f>IFERROR(IF([2]对账明细接口!$O315=0,"",[2]对账明细接口!$O315),"")</f>
        <v/>
      </c>
      <c r="U315" s="21" t="str">
        <f>IFERROR(IF([2]对账明细接口!$P315=0,"",[2]对账明细接口!$P315),"")</f>
        <v/>
      </c>
      <c r="V315" s="21" t="str">
        <f>IFERROR(IF([2]对账明细接口!$Q315=0,"",[2]对账明细接口!$Q315),"")</f>
        <v/>
      </c>
      <c r="W315" s="20" t="str">
        <f>IFERROR(IF([2]对账明细接口!$R315=0,"",[2]对账明细接口!$R315),"")</f>
        <v/>
      </c>
      <c r="X315" s="20" t="str">
        <f>IFERROR(IF([2]对账明细接口!$S315=0,"",[2]对账明细接口!$S315),"")</f>
        <v/>
      </c>
      <c r="Y315" s="20" t="str">
        <f t="shared" si="26"/>
        <v/>
      </c>
      <c r="Z315" s="20" t="str">
        <f t="shared" si="27"/>
        <v/>
      </c>
      <c r="AA315" s="20" t="str">
        <f t="shared" si="28"/>
        <v/>
      </c>
      <c r="AB315" s="20" t="str">
        <f t="shared" si="29"/>
        <v/>
      </c>
    </row>
    <row r="316" customHeight="1" spans="1:28">
      <c r="A316" s="14">
        <v>316</v>
      </c>
      <c r="B316" s="15" t="str">
        <f>IFERROR(IF([2]对账明细接口!$B$316=0,"",[2]对账明细接口!$B$316),"")</f>
        <v/>
      </c>
      <c r="C316" s="16" t="str">
        <f>IFERROR(IF([2]对账明细接口!$C$316=0,"",[2]对账明细接口!$C$316),"")</f>
        <v/>
      </c>
      <c r="D316" s="16" t="str">
        <f>IFERROR(IF([2]对账明细接口!$D$316=0,"",[2]对账明细接口!$D$316),"")</f>
        <v/>
      </c>
      <c r="E316" s="16" t="str">
        <f>IFERROR(IF([2]对账明细接口!$E$316=0,"",[2]对账明细接口!$E$316),"")</f>
        <v/>
      </c>
      <c r="F316" s="16" t="str">
        <f>IFERROR(IF([2]对账明细接口!$F$316=0,"",[2]对账明细接口!$F$316),"")</f>
        <v/>
      </c>
      <c r="G316" s="16" t="str">
        <f>IFERROR(IF([2]对账明细接口!$G$316=0,"",[2]对账明细接口!$G$316),"")</f>
        <v/>
      </c>
      <c r="H316" s="17" t="str">
        <f>IFERROR(IF([2]对账明细接口!$H$316=0,"",[2]对账明细接口!$H$316),"")</f>
        <v/>
      </c>
      <c r="I316" s="16" t="str">
        <f>IFERROR(IF([2]对账明细接口!$I$316=0,"",[2]对账明细接口!$I$316),"")</f>
        <v/>
      </c>
      <c r="J316" s="18" t="str">
        <f>IFERROR(IF([2]对账明细接口!$J$316=0,"",[2]对账明细接口!$J$316),"")</f>
        <v/>
      </c>
      <c r="K316" s="18" t="str">
        <f>IFERROR(IF([2]对账明细接口!$K$316=0,"",[2]对账明细接口!$K$316),"")</f>
        <v/>
      </c>
      <c r="L316" s="16" t="str">
        <f>IFERROR(IF([2]对账明细接口!$L$316=0,"",[2]对账明细接口!$L$316),"")</f>
        <v/>
      </c>
      <c r="M316" s="16" t="str">
        <f>IFERROR(IF([2]对账明细接口!$M$316=0,"",[2]对账明细接口!$M$316),"")</f>
        <v/>
      </c>
      <c r="N316" s="19">
        <f t="shared" si="24"/>
        <v>0</v>
      </c>
      <c r="O316" s="19">
        <f t="shared" si="25"/>
        <v>165</v>
      </c>
      <c r="S316" s="20" t="str">
        <f>IFERROR(IF([2]对账明细接口!$N316=0,"",[2]对账明细接口!$N316),"")</f>
        <v/>
      </c>
      <c r="T316" s="21" t="str">
        <f>IFERROR(IF([2]对账明细接口!$O316=0,"",[2]对账明细接口!$O316),"")</f>
        <v/>
      </c>
      <c r="U316" s="21" t="str">
        <f>IFERROR(IF([2]对账明细接口!$P316=0,"",[2]对账明细接口!$P316),"")</f>
        <v/>
      </c>
      <c r="V316" s="21" t="str">
        <f>IFERROR(IF([2]对账明细接口!$Q316=0,"",[2]对账明细接口!$Q316),"")</f>
        <v/>
      </c>
      <c r="W316" s="20" t="str">
        <f>IFERROR(IF([2]对账明细接口!$R316=0,"",[2]对账明细接口!$R316),"")</f>
        <v/>
      </c>
      <c r="X316" s="20" t="str">
        <f>IFERROR(IF([2]对账明细接口!$S316=0,"",[2]对账明细接口!$S316),"")</f>
        <v/>
      </c>
      <c r="Y316" s="20" t="str">
        <f t="shared" si="26"/>
        <v/>
      </c>
      <c r="Z316" s="20" t="str">
        <f t="shared" si="27"/>
        <v/>
      </c>
      <c r="AA316" s="20" t="str">
        <f t="shared" si="28"/>
        <v/>
      </c>
      <c r="AB316" s="20" t="str">
        <f t="shared" si="29"/>
        <v/>
      </c>
    </row>
    <row r="317" customHeight="1" spans="1:28">
      <c r="A317" s="14">
        <v>317</v>
      </c>
      <c r="B317" s="15" t="str">
        <f>IFERROR(IF([2]对账明细接口!$B$317=0,"",[2]对账明细接口!$B$317),"")</f>
        <v/>
      </c>
      <c r="C317" s="16" t="str">
        <f>IFERROR(IF([2]对账明细接口!$C$317=0,"",[2]对账明细接口!$C$317),"")</f>
        <v/>
      </c>
      <c r="D317" s="16" t="str">
        <f>IFERROR(IF([2]对账明细接口!$D$317=0,"",[2]对账明细接口!$D$317),"")</f>
        <v/>
      </c>
      <c r="E317" s="16" t="str">
        <f>IFERROR(IF([2]对账明细接口!$E$317=0,"",[2]对账明细接口!$E$317),"")</f>
        <v/>
      </c>
      <c r="F317" s="16" t="str">
        <f>IFERROR(IF([2]对账明细接口!$F$317=0,"",[2]对账明细接口!$F$317),"")</f>
        <v/>
      </c>
      <c r="G317" s="16" t="str">
        <f>IFERROR(IF([2]对账明细接口!$G$317=0,"",[2]对账明细接口!$G$317),"")</f>
        <v/>
      </c>
      <c r="H317" s="17" t="str">
        <f>IFERROR(IF([2]对账明细接口!$H$317=0,"",[2]对账明细接口!$H$317),"")</f>
        <v/>
      </c>
      <c r="I317" s="16" t="str">
        <f>IFERROR(IF([2]对账明细接口!$I$317=0,"",[2]对账明细接口!$I$317),"")</f>
        <v/>
      </c>
      <c r="J317" s="18" t="str">
        <f>IFERROR(IF([2]对账明细接口!$J$317=0,"",[2]对账明细接口!$J$317),"")</f>
        <v/>
      </c>
      <c r="K317" s="18" t="str">
        <f>IFERROR(IF([2]对账明细接口!$K$317=0,"",[2]对账明细接口!$K$317),"")</f>
        <v/>
      </c>
      <c r="L317" s="16" t="str">
        <f>IFERROR(IF([2]对账明细接口!$L$317=0,"",[2]对账明细接口!$L$317),"")</f>
        <v/>
      </c>
      <c r="M317" s="16" t="str">
        <f>IFERROR(IF([2]对账明细接口!$M$317=0,"",[2]对账明细接口!$M$317),"")</f>
        <v/>
      </c>
      <c r="N317" s="19">
        <f t="shared" si="24"/>
        <v>0</v>
      </c>
      <c r="O317" s="19">
        <f t="shared" si="25"/>
        <v>165</v>
      </c>
      <c r="S317" s="20" t="str">
        <f>IFERROR(IF([2]对账明细接口!$N317=0,"",[2]对账明细接口!$N317),"")</f>
        <v/>
      </c>
      <c r="T317" s="21" t="str">
        <f>IFERROR(IF([2]对账明细接口!$O317=0,"",[2]对账明细接口!$O317),"")</f>
        <v/>
      </c>
      <c r="U317" s="21" t="str">
        <f>IFERROR(IF([2]对账明细接口!$P317=0,"",[2]对账明细接口!$P317),"")</f>
        <v/>
      </c>
      <c r="V317" s="21" t="str">
        <f>IFERROR(IF([2]对账明细接口!$Q317=0,"",[2]对账明细接口!$Q317),"")</f>
        <v/>
      </c>
      <c r="W317" s="20" t="str">
        <f>IFERROR(IF([2]对账明细接口!$R317=0,"",[2]对账明细接口!$R317),"")</f>
        <v/>
      </c>
      <c r="X317" s="20" t="str">
        <f>IFERROR(IF([2]对账明细接口!$S317=0,"",[2]对账明细接口!$S317),"")</f>
        <v/>
      </c>
      <c r="Y317" s="20" t="str">
        <f t="shared" si="26"/>
        <v/>
      </c>
      <c r="Z317" s="20" t="str">
        <f t="shared" si="27"/>
        <v/>
      </c>
      <c r="AA317" s="20" t="str">
        <f t="shared" si="28"/>
        <v/>
      </c>
      <c r="AB317" s="20" t="str">
        <f t="shared" si="29"/>
        <v/>
      </c>
    </row>
    <row r="318" customHeight="1" spans="1:28">
      <c r="A318" s="14">
        <v>318</v>
      </c>
      <c r="B318" s="15" t="str">
        <f>IFERROR(IF([2]对账明细接口!$B$318=0,"",[2]对账明细接口!$B$318),"")</f>
        <v/>
      </c>
      <c r="C318" s="16" t="str">
        <f>IFERROR(IF([2]对账明细接口!$C$318=0,"",[2]对账明细接口!$C$318),"")</f>
        <v/>
      </c>
      <c r="D318" s="16" t="str">
        <f>IFERROR(IF([2]对账明细接口!$D$318=0,"",[2]对账明细接口!$D$318),"")</f>
        <v/>
      </c>
      <c r="E318" s="16" t="str">
        <f>IFERROR(IF([2]对账明细接口!$E$318=0,"",[2]对账明细接口!$E$318),"")</f>
        <v/>
      </c>
      <c r="F318" s="16" t="str">
        <f>IFERROR(IF([2]对账明细接口!$F$318=0,"",[2]对账明细接口!$F$318),"")</f>
        <v/>
      </c>
      <c r="G318" s="16" t="str">
        <f>IFERROR(IF([2]对账明细接口!$G$318=0,"",[2]对账明细接口!$G$318),"")</f>
        <v/>
      </c>
      <c r="H318" s="17" t="str">
        <f>IFERROR(IF([2]对账明细接口!$H$318=0,"",[2]对账明细接口!$H$318),"")</f>
        <v/>
      </c>
      <c r="I318" s="16" t="str">
        <f>IFERROR(IF([2]对账明细接口!$I$318=0,"",[2]对账明细接口!$I$318),"")</f>
        <v/>
      </c>
      <c r="J318" s="18" t="str">
        <f>IFERROR(IF([2]对账明细接口!$J$318=0,"",[2]对账明细接口!$J$318),"")</f>
        <v/>
      </c>
      <c r="K318" s="18" t="str">
        <f>IFERROR(IF([2]对账明细接口!$K$318=0,"",[2]对账明细接口!$K$318),"")</f>
        <v/>
      </c>
      <c r="L318" s="16" t="str">
        <f>IFERROR(IF([2]对账明细接口!$L$318=0,"",[2]对账明细接口!$L$318),"")</f>
        <v/>
      </c>
      <c r="M318" s="16" t="str">
        <f>IFERROR(IF([2]对账明细接口!$M$318=0,"",[2]对账明细接口!$M$318),"")</f>
        <v/>
      </c>
      <c r="N318" s="19">
        <f t="shared" si="24"/>
        <v>0</v>
      </c>
      <c r="O318" s="19">
        <f t="shared" si="25"/>
        <v>165</v>
      </c>
      <c r="S318" s="20" t="str">
        <f>IFERROR(IF([2]对账明细接口!$N318=0,"",[2]对账明细接口!$N318),"")</f>
        <v/>
      </c>
      <c r="T318" s="21" t="str">
        <f>IFERROR(IF([2]对账明细接口!$O318=0,"",[2]对账明细接口!$O318),"")</f>
        <v/>
      </c>
      <c r="U318" s="21" t="str">
        <f>IFERROR(IF([2]对账明细接口!$P318=0,"",[2]对账明细接口!$P318),"")</f>
        <v/>
      </c>
      <c r="V318" s="21" t="str">
        <f>IFERROR(IF([2]对账明细接口!$Q318=0,"",[2]对账明细接口!$Q318),"")</f>
        <v/>
      </c>
      <c r="W318" s="20" t="str">
        <f>IFERROR(IF([2]对账明细接口!$R318=0,"",[2]对账明细接口!$R318),"")</f>
        <v/>
      </c>
      <c r="X318" s="20" t="str">
        <f>IFERROR(IF([2]对账明细接口!$S318=0,"",[2]对账明细接口!$S318),"")</f>
        <v/>
      </c>
      <c r="Y318" s="20" t="str">
        <f t="shared" si="26"/>
        <v/>
      </c>
      <c r="Z318" s="20" t="str">
        <f t="shared" si="27"/>
        <v/>
      </c>
      <c r="AA318" s="20" t="str">
        <f t="shared" si="28"/>
        <v/>
      </c>
      <c r="AB318" s="20" t="str">
        <f t="shared" si="29"/>
        <v/>
      </c>
    </row>
    <row r="319" customHeight="1" spans="1:28">
      <c r="A319" s="14">
        <v>319</v>
      </c>
      <c r="B319" s="15" t="str">
        <f>IFERROR(IF([2]对账明细接口!$B$319=0,"",[2]对账明细接口!$B$319),"")</f>
        <v/>
      </c>
      <c r="C319" s="16" t="str">
        <f>IFERROR(IF([2]对账明细接口!$C$319=0,"",[2]对账明细接口!$C$319),"")</f>
        <v/>
      </c>
      <c r="D319" s="16" t="str">
        <f>IFERROR(IF([2]对账明细接口!$D$319=0,"",[2]对账明细接口!$D$319),"")</f>
        <v/>
      </c>
      <c r="E319" s="16" t="str">
        <f>IFERROR(IF([2]对账明细接口!$E$319=0,"",[2]对账明细接口!$E$319),"")</f>
        <v/>
      </c>
      <c r="F319" s="16" t="str">
        <f>IFERROR(IF([2]对账明细接口!$F$319=0,"",[2]对账明细接口!$F$319),"")</f>
        <v/>
      </c>
      <c r="G319" s="16" t="str">
        <f>IFERROR(IF([2]对账明细接口!$G$319=0,"",[2]对账明细接口!$G$319),"")</f>
        <v/>
      </c>
      <c r="H319" s="17" t="str">
        <f>IFERROR(IF([2]对账明细接口!$H$319=0,"",[2]对账明细接口!$H$319),"")</f>
        <v/>
      </c>
      <c r="I319" s="16" t="str">
        <f>IFERROR(IF([2]对账明细接口!$I$319=0,"",[2]对账明细接口!$I$319),"")</f>
        <v/>
      </c>
      <c r="J319" s="18" t="str">
        <f>IFERROR(IF([2]对账明细接口!$J$319=0,"",[2]对账明细接口!$J$319),"")</f>
        <v/>
      </c>
      <c r="K319" s="18" t="str">
        <f>IFERROR(IF([2]对账明细接口!$K$319=0,"",[2]对账明细接口!$K$319),"")</f>
        <v/>
      </c>
      <c r="L319" s="16" t="str">
        <f>IFERROR(IF([2]对账明细接口!$L$319=0,"",[2]对账明细接口!$L$319),"")</f>
        <v/>
      </c>
      <c r="M319" s="16" t="str">
        <f>IFERROR(IF([2]对账明细接口!$M$319=0,"",[2]对账明细接口!$M$319),"")</f>
        <v/>
      </c>
      <c r="N319" s="19">
        <f t="shared" si="24"/>
        <v>0</v>
      </c>
      <c r="O319" s="19">
        <f t="shared" si="25"/>
        <v>165</v>
      </c>
      <c r="S319" s="20" t="str">
        <f>IFERROR(IF([2]对账明细接口!$N319=0,"",[2]对账明细接口!$N319),"")</f>
        <v/>
      </c>
      <c r="T319" s="21" t="str">
        <f>IFERROR(IF([2]对账明细接口!$O319=0,"",[2]对账明细接口!$O319),"")</f>
        <v/>
      </c>
      <c r="U319" s="21" t="str">
        <f>IFERROR(IF([2]对账明细接口!$P319=0,"",[2]对账明细接口!$P319),"")</f>
        <v/>
      </c>
      <c r="V319" s="21" t="str">
        <f>IFERROR(IF([2]对账明细接口!$Q319=0,"",[2]对账明细接口!$Q319),"")</f>
        <v/>
      </c>
      <c r="W319" s="20" t="str">
        <f>IFERROR(IF([2]对账明细接口!$R319=0,"",[2]对账明细接口!$R319),"")</f>
        <v/>
      </c>
      <c r="X319" s="20" t="str">
        <f>IFERROR(IF([2]对账明细接口!$S319=0,"",[2]对账明细接口!$S319),"")</f>
        <v/>
      </c>
      <c r="Y319" s="20" t="str">
        <f t="shared" si="26"/>
        <v/>
      </c>
      <c r="Z319" s="20" t="str">
        <f t="shared" si="27"/>
        <v/>
      </c>
      <c r="AA319" s="20" t="str">
        <f t="shared" si="28"/>
        <v/>
      </c>
      <c r="AB319" s="20" t="str">
        <f t="shared" si="29"/>
        <v/>
      </c>
    </row>
    <row r="320" customHeight="1" spans="1:28">
      <c r="A320" s="14">
        <v>320</v>
      </c>
      <c r="B320" s="15" t="str">
        <f>IFERROR(IF([2]对账明细接口!$B$320=0,"",[2]对账明细接口!$B$320),"")</f>
        <v/>
      </c>
      <c r="C320" s="16" t="str">
        <f>IFERROR(IF([2]对账明细接口!$C$320=0,"",[2]对账明细接口!$C$320),"")</f>
        <v/>
      </c>
      <c r="D320" s="16" t="str">
        <f>IFERROR(IF([2]对账明细接口!$D$320=0,"",[2]对账明细接口!$D$320),"")</f>
        <v/>
      </c>
      <c r="E320" s="16" t="str">
        <f>IFERROR(IF([2]对账明细接口!$E$320=0,"",[2]对账明细接口!$E$320),"")</f>
        <v/>
      </c>
      <c r="F320" s="16" t="str">
        <f>IFERROR(IF([2]对账明细接口!$F$320=0,"",[2]对账明细接口!$F$320),"")</f>
        <v/>
      </c>
      <c r="G320" s="16" t="str">
        <f>IFERROR(IF([2]对账明细接口!$G$320=0,"",[2]对账明细接口!$G$320),"")</f>
        <v/>
      </c>
      <c r="H320" s="17" t="str">
        <f>IFERROR(IF([2]对账明细接口!$H$320=0,"",[2]对账明细接口!$H$320),"")</f>
        <v/>
      </c>
      <c r="I320" s="16" t="str">
        <f>IFERROR(IF([2]对账明细接口!$I$320=0,"",[2]对账明细接口!$I$320),"")</f>
        <v/>
      </c>
      <c r="J320" s="18" t="str">
        <f>IFERROR(IF([2]对账明细接口!$J$320=0,"",[2]对账明细接口!$J$320),"")</f>
        <v/>
      </c>
      <c r="K320" s="18" t="str">
        <f>IFERROR(IF([2]对账明细接口!$K$320=0,"",[2]对账明细接口!$K$320),"")</f>
        <v/>
      </c>
      <c r="L320" s="16" t="str">
        <f>IFERROR(IF([2]对账明细接口!$L$320=0,"",[2]对账明细接口!$L$320),"")</f>
        <v/>
      </c>
      <c r="M320" s="16" t="str">
        <f>IFERROR(IF([2]对账明细接口!$M$320=0,"",[2]对账明细接口!$M$320),"")</f>
        <v/>
      </c>
      <c r="N320" s="19">
        <f t="shared" si="24"/>
        <v>0</v>
      </c>
      <c r="O320" s="19">
        <f t="shared" si="25"/>
        <v>165</v>
      </c>
      <c r="S320" s="20" t="str">
        <f>IFERROR(IF([2]对账明细接口!$N320=0,"",[2]对账明细接口!$N320),"")</f>
        <v/>
      </c>
      <c r="T320" s="21" t="str">
        <f>IFERROR(IF([2]对账明细接口!$O320=0,"",[2]对账明细接口!$O320),"")</f>
        <v/>
      </c>
      <c r="U320" s="21" t="str">
        <f>IFERROR(IF([2]对账明细接口!$P320=0,"",[2]对账明细接口!$P320),"")</f>
        <v/>
      </c>
      <c r="V320" s="21" t="str">
        <f>IFERROR(IF([2]对账明细接口!$Q320=0,"",[2]对账明细接口!$Q320),"")</f>
        <v/>
      </c>
      <c r="W320" s="20" t="str">
        <f>IFERROR(IF([2]对账明细接口!$R320=0,"",[2]对账明细接口!$R320),"")</f>
        <v/>
      </c>
      <c r="X320" s="20" t="str">
        <f>IFERROR(IF([2]对账明细接口!$S320=0,"",[2]对账明细接口!$S320),"")</f>
        <v/>
      </c>
      <c r="Y320" s="20" t="str">
        <f t="shared" si="26"/>
        <v/>
      </c>
      <c r="Z320" s="20" t="str">
        <f t="shared" si="27"/>
        <v/>
      </c>
      <c r="AA320" s="20" t="str">
        <f t="shared" si="28"/>
        <v/>
      </c>
      <c r="AB320" s="20" t="str">
        <f t="shared" si="29"/>
        <v/>
      </c>
    </row>
    <row r="321" customHeight="1" spans="1:28">
      <c r="A321" s="14">
        <v>321</v>
      </c>
      <c r="B321" s="15" t="str">
        <f>IFERROR(IF([2]对账明细接口!$B$321=0,"",[2]对账明细接口!$B$321),"")</f>
        <v/>
      </c>
      <c r="C321" s="16" t="str">
        <f>IFERROR(IF([2]对账明细接口!$C$321=0,"",[2]对账明细接口!$C$321),"")</f>
        <v/>
      </c>
      <c r="D321" s="16" t="str">
        <f>IFERROR(IF([2]对账明细接口!$D$321=0,"",[2]对账明细接口!$D$321),"")</f>
        <v/>
      </c>
      <c r="E321" s="16" t="str">
        <f>IFERROR(IF([2]对账明细接口!$E$321=0,"",[2]对账明细接口!$E$321),"")</f>
        <v/>
      </c>
      <c r="F321" s="16" t="str">
        <f>IFERROR(IF([2]对账明细接口!$F$321=0,"",[2]对账明细接口!$F$321),"")</f>
        <v/>
      </c>
      <c r="G321" s="16" t="str">
        <f>IFERROR(IF([2]对账明细接口!$G$321=0,"",[2]对账明细接口!$G$321),"")</f>
        <v/>
      </c>
      <c r="H321" s="17" t="str">
        <f>IFERROR(IF([2]对账明细接口!$H$321=0,"",[2]对账明细接口!$H$321),"")</f>
        <v/>
      </c>
      <c r="I321" s="16" t="str">
        <f>IFERROR(IF([2]对账明细接口!$I$321=0,"",[2]对账明细接口!$I$321),"")</f>
        <v/>
      </c>
      <c r="J321" s="18" t="str">
        <f>IFERROR(IF([2]对账明细接口!$J$321=0,"",[2]对账明细接口!$J$321),"")</f>
        <v/>
      </c>
      <c r="K321" s="18" t="str">
        <f>IFERROR(IF([2]对账明细接口!$K$321=0,"",[2]对账明细接口!$K$321),"")</f>
        <v/>
      </c>
      <c r="L321" s="16" t="str">
        <f>IFERROR(IF([2]对账明细接口!$L$321=0,"",[2]对账明细接口!$L$321),"")</f>
        <v/>
      </c>
      <c r="M321" s="16" t="str">
        <f>IFERROR(IF([2]对账明细接口!$M$321=0,"",[2]对账明细接口!$M$321),"")</f>
        <v/>
      </c>
      <c r="N321" s="19">
        <f t="shared" si="24"/>
        <v>0</v>
      </c>
      <c r="O321" s="19">
        <f t="shared" si="25"/>
        <v>165</v>
      </c>
      <c r="S321" s="20" t="str">
        <f>IFERROR(IF([2]对账明细接口!$N321=0,"",[2]对账明细接口!$N321),"")</f>
        <v/>
      </c>
      <c r="T321" s="21" t="str">
        <f>IFERROR(IF([2]对账明细接口!$O321=0,"",[2]对账明细接口!$O321),"")</f>
        <v/>
      </c>
      <c r="U321" s="21" t="str">
        <f>IFERROR(IF([2]对账明细接口!$P321=0,"",[2]对账明细接口!$P321),"")</f>
        <v/>
      </c>
      <c r="V321" s="21" t="str">
        <f>IFERROR(IF([2]对账明细接口!$Q321=0,"",[2]对账明细接口!$Q321),"")</f>
        <v/>
      </c>
      <c r="W321" s="20" t="str">
        <f>IFERROR(IF([2]对账明细接口!$R321=0,"",[2]对账明细接口!$R321),"")</f>
        <v/>
      </c>
      <c r="X321" s="20" t="str">
        <f>IFERROR(IF([2]对账明细接口!$S321=0,"",[2]对账明细接口!$S321),"")</f>
        <v/>
      </c>
      <c r="Y321" s="20" t="str">
        <f t="shared" si="26"/>
        <v/>
      </c>
      <c r="Z321" s="20" t="str">
        <f t="shared" si="27"/>
        <v/>
      </c>
      <c r="AA321" s="20" t="str">
        <f t="shared" si="28"/>
        <v/>
      </c>
      <c r="AB321" s="20" t="str">
        <f t="shared" si="29"/>
        <v/>
      </c>
    </row>
    <row r="322" customHeight="1" spans="1:28">
      <c r="A322" s="14">
        <v>322</v>
      </c>
      <c r="B322" s="15" t="str">
        <f>IFERROR(IF([2]对账明细接口!$B$322=0,"",[2]对账明细接口!$B$322),"")</f>
        <v/>
      </c>
      <c r="C322" s="16" t="str">
        <f>IFERROR(IF([2]对账明细接口!$C$322=0,"",[2]对账明细接口!$C$322),"")</f>
        <v/>
      </c>
      <c r="D322" s="16" t="str">
        <f>IFERROR(IF([2]对账明细接口!$D$322=0,"",[2]对账明细接口!$D$322),"")</f>
        <v/>
      </c>
      <c r="E322" s="16" t="str">
        <f>IFERROR(IF([2]对账明细接口!$E$322=0,"",[2]对账明细接口!$E$322),"")</f>
        <v/>
      </c>
      <c r="F322" s="16" t="str">
        <f>IFERROR(IF([2]对账明细接口!$F$322=0,"",[2]对账明细接口!$F$322),"")</f>
        <v/>
      </c>
      <c r="G322" s="16" t="str">
        <f>IFERROR(IF([2]对账明细接口!$G$322=0,"",[2]对账明细接口!$G$322),"")</f>
        <v/>
      </c>
      <c r="H322" s="17" t="str">
        <f>IFERROR(IF([2]对账明细接口!$H$322=0,"",[2]对账明细接口!$H$322),"")</f>
        <v/>
      </c>
      <c r="I322" s="16" t="str">
        <f>IFERROR(IF([2]对账明细接口!$I$322=0,"",[2]对账明细接口!$I$322),"")</f>
        <v/>
      </c>
      <c r="J322" s="18" t="str">
        <f>IFERROR(IF([2]对账明细接口!$J$322=0,"",[2]对账明细接口!$J$322),"")</f>
        <v/>
      </c>
      <c r="K322" s="18" t="str">
        <f>IFERROR(IF([2]对账明细接口!$K$322=0,"",[2]对账明细接口!$K$322),"")</f>
        <v/>
      </c>
      <c r="L322" s="16" t="str">
        <f>IFERROR(IF([2]对账明细接口!$L$322=0,"",[2]对账明细接口!$L$322),"")</f>
        <v/>
      </c>
      <c r="M322" s="16" t="str">
        <f>IFERROR(IF([2]对账明细接口!$M$322=0,"",[2]对账明细接口!$M$322),"")</f>
        <v/>
      </c>
      <c r="N322" s="19">
        <f t="shared" si="24"/>
        <v>0</v>
      </c>
      <c r="O322" s="19">
        <f t="shared" si="25"/>
        <v>165</v>
      </c>
      <c r="S322" s="20" t="str">
        <f>IFERROR(IF([2]对账明细接口!$N322=0,"",[2]对账明细接口!$N322),"")</f>
        <v/>
      </c>
      <c r="T322" s="21" t="str">
        <f>IFERROR(IF([2]对账明细接口!$O322=0,"",[2]对账明细接口!$O322),"")</f>
        <v/>
      </c>
      <c r="U322" s="21" t="str">
        <f>IFERROR(IF([2]对账明细接口!$P322=0,"",[2]对账明细接口!$P322),"")</f>
        <v/>
      </c>
      <c r="V322" s="21" t="str">
        <f>IFERROR(IF([2]对账明细接口!$Q322=0,"",[2]对账明细接口!$Q322),"")</f>
        <v/>
      </c>
      <c r="W322" s="20" t="str">
        <f>IFERROR(IF([2]对账明细接口!$R322=0,"",[2]对账明细接口!$R322),"")</f>
        <v/>
      </c>
      <c r="X322" s="20" t="str">
        <f>IFERROR(IF([2]对账明细接口!$S322=0,"",[2]对账明细接口!$S322),"")</f>
        <v/>
      </c>
      <c r="Y322" s="20" t="str">
        <f t="shared" si="26"/>
        <v/>
      </c>
      <c r="Z322" s="20" t="str">
        <f t="shared" si="27"/>
        <v/>
      </c>
      <c r="AA322" s="20" t="str">
        <f t="shared" si="28"/>
        <v/>
      </c>
      <c r="AB322" s="20" t="str">
        <f t="shared" si="29"/>
        <v/>
      </c>
    </row>
    <row r="323" customHeight="1" spans="1:28">
      <c r="A323" s="14">
        <v>323</v>
      </c>
      <c r="B323" s="15" t="str">
        <f>IFERROR(IF([2]对账明细接口!$B$323=0,"",[2]对账明细接口!$B$323),"")</f>
        <v/>
      </c>
      <c r="C323" s="16" t="str">
        <f>IFERROR(IF([2]对账明细接口!$C$323=0,"",[2]对账明细接口!$C$323),"")</f>
        <v/>
      </c>
      <c r="D323" s="16" t="str">
        <f>IFERROR(IF([2]对账明细接口!$D$323=0,"",[2]对账明细接口!$D$323),"")</f>
        <v/>
      </c>
      <c r="E323" s="16" t="str">
        <f>IFERROR(IF([2]对账明细接口!$E$323=0,"",[2]对账明细接口!$E$323),"")</f>
        <v/>
      </c>
      <c r="F323" s="16" t="str">
        <f>IFERROR(IF([2]对账明细接口!$F$323=0,"",[2]对账明细接口!$F$323),"")</f>
        <v/>
      </c>
      <c r="G323" s="16" t="str">
        <f>IFERROR(IF([2]对账明细接口!$G$323=0,"",[2]对账明细接口!$G$323),"")</f>
        <v/>
      </c>
      <c r="H323" s="17" t="str">
        <f>IFERROR(IF([2]对账明细接口!$H$323=0,"",[2]对账明细接口!$H$323),"")</f>
        <v/>
      </c>
      <c r="I323" s="16" t="str">
        <f>IFERROR(IF([2]对账明细接口!$I$323=0,"",[2]对账明细接口!$I$323),"")</f>
        <v/>
      </c>
      <c r="J323" s="18" t="str">
        <f>IFERROR(IF([2]对账明细接口!$J$323=0,"",[2]对账明细接口!$J$323),"")</f>
        <v/>
      </c>
      <c r="K323" s="18" t="str">
        <f>IFERROR(IF([2]对账明细接口!$K$323=0,"",[2]对账明细接口!$K$323),"")</f>
        <v/>
      </c>
      <c r="L323" s="16" t="str">
        <f>IFERROR(IF([2]对账明细接口!$L$323=0,"",[2]对账明细接口!$L$323),"")</f>
        <v/>
      </c>
      <c r="M323" s="16" t="str">
        <f>IFERROR(IF([2]对账明细接口!$M$323=0,"",[2]对账明细接口!$M$323),"")</f>
        <v/>
      </c>
      <c r="N323" s="19">
        <f t="shared" si="24"/>
        <v>0</v>
      </c>
      <c r="O323" s="19">
        <f t="shared" si="25"/>
        <v>165</v>
      </c>
      <c r="S323" s="20" t="str">
        <f>IFERROR(IF([2]对账明细接口!$N323=0,"",[2]对账明细接口!$N323),"")</f>
        <v/>
      </c>
      <c r="T323" s="21" t="str">
        <f>IFERROR(IF([2]对账明细接口!$O323=0,"",[2]对账明细接口!$O323),"")</f>
        <v/>
      </c>
      <c r="U323" s="21" t="str">
        <f>IFERROR(IF([2]对账明细接口!$P323=0,"",[2]对账明细接口!$P323),"")</f>
        <v/>
      </c>
      <c r="V323" s="21" t="str">
        <f>IFERROR(IF([2]对账明细接口!$Q323=0,"",[2]对账明细接口!$Q323),"")</f>
        <v/>
      </c>
      <c r="W323" s="20" t="str">
        <f>IFERROR(IF([2]对账明细接口!$R323=0,"",[2]对账明细接口!$R323),"")</f>
        <v/>
      </c>
      <c r="X323" s="20" t="str">
        <f>IFERROR(IF([2]对账明细接口!$S323=0,"",[2]对账明细接口!$S323),"")</f>
        <v/>
      </c>
      <c r="Y323" s="20" t="str">
        <f t="shared" si="26"/>
        <v/>
      </c>
      <c r="Z323" s="20" t="str">
        <f t="shared" si="27"/>
        <v/>
      </c>
      <c r="AA323" s="20" t="str">
        <f t="shared" si="28"/>
        <v/>
      </c>
      <c r="AB323" s="20" t="str">
        <f t="shared" si="29"/>
        <v/>
      </c>
    </row>
    <row r="324" customHeight="1" spans="1:28">
      <c r="A324" s="14">
        <v>324</v>
      </c>
      <c r="B324" s="15" t="str">
        <f>IFERROR(IF([2]对账明细接口!$B$324=0,"",[2]对账明细接口!$B$324),"")</f>
        <v/>
      </c>
      <c r="C324" s="16" t="str">
        <f>IFERROR(IF([2]对账明细接口!$C$324=0,"",[2]对账明细接口!$C$324),"")</f>
        <v/>
      </c>
      <c r="D324" s="16" t="str">
        <f>IFERROR(IF([2]对账明细接口!$D$324=0,"",[2]对账明细接口!$D$324),"")</f>
        <v/>
      </c>
      <c r="E324" s="16" t="str">
        <f>IFERROR(IF([2]对账明细接口!$E$324=0,"",[2]对账明细接口!$E$324),"")</f>
        <v/>
      </c>
      <c r="F324" s="16" t="str">
        <f>IFERROR(IF([2]对账明细接口!$F$324=0,"",[2]对账明细接口!$F$324),"")</f>
        <v/>
      </c>
      <c r="G324" s="16" t="str">
        <f>IFERROR(IF([2]对账明细接口!$G$324=0,"",[2]对账明细接口!$G$324),"")</f>
        <v/>
      </c>
      <c r="H324" s="17" t="str">
        <f>IFERROR(IF([2]对账明细接口!$H$324=0,"",[2]对账明细接口!$H$324),"")</f>
        <v/>
      </c>
      <c r="I324" s="16" t="str">
        <f>IFERROR(IF([2]对账明细接口!$I$324=0,"",[2]对账明细接口!$I$324),"")</f>
        <v/>
      </c>
      <c r="J324" s="18" t="str">
        <f>IFERROR(IF([2]对账明细接口!$J$324=0,"",[2]对账明细接口!$J$324),"")</f>
        <v/>
      </c>
      <c r="K324" s="18" t="str">
        <f>IFERROR(IF([2]对账明细接口!$K$324=0,"",[2]对账明细接口!$K$324),"")</f>
        <v/>
      </c>
      <c r="L324" s="16" t="str">
        <f>IFERROR(IF([2]对账明细接口!$L$324=0,"",[2]对账明细接口!$L$324),"")</f>
        <v/>
      </c>
      <c r="M324" s="16" t="str">
        <f>IFERROR(IF([2]对账明细接口!$M$324=0,"",[2]对账明细接口!$M$324),"")</f>
        <v/>
      </c>
      <c r="N324" s="19">
        <f t="shared" ref="N324:N387" si="30">IF($C324="",0,1)</f>
        <v>0</v>
      </c>
      <c r="O324" s="19">
        <f t="shared" ref="O324:O387" si="31">N(O323)+$N324</f>
        <v>165</v>
      </c>
      <c r="S324" s="20" t="str">
        <f>IFERROR(IF([2]对账明细接口!$N324=0,"",[2]对账明细接口!$N324),"")</f>
        <v/>
      </c>
      <c r="T324" s="21" t="str">
        <f>IFERROR(IF([2]对账明细接口!$O324=0,"",[2]对账明细接口!$O324),"")</f>
        <v/>
      </c>
      <c r="U324" s="21" t="str">
        <f>IFERROR(IF([2]对账明细接口!$P324=0,"",[2]对账明细接口!$P324),"")</f>
        <v/>
      </c>
      <c r="V324" s="21" t="str">
        <f>IFERROR(IF([2]对账明细接口!$Q324=0,"",[2]对账明细接口!$Q324),"")</f>
        <v/>
      </c>
      <c r="W324" s="20" t="str">
        <f>IFERROR(IF([2]对账明细接口!$R324=0,"",[2]对账明细接口!$R324),"")</f>
        <v/>
      </c>
      <c r="X324" s="20" t="str">
        <f>IFERROR(IF([2]对账明细接口!$S324=0,"",[2]对账明细接口!$S324),"")</f>
        <v/>
      </c>
      <c r="Y324" s="20" t="str">
        <f t="shared" ref="Y324:Y387" si="32">""</f>
        <v/>
      </c>
      <c r="Z324" s="20" t="str">
        <f t="shared" ref="Z324:Z387" si="33">""</f>
        <v/>
      </c>
      <c r="AA324" s="20" t="str">
        <f t="shared" ref="AA324:AA387" si="34">""</f>
        <v/>
      </c>
      <c r="AB324" s="20" t="str">
        <f t="shared" ref="AB324:AB387" si="35">""</f>
        <v/>
      </c>
    </row>
    <row r="325" customHeight="1" spans="1:28">
      <c r="A325" s="14">
        <v>325</v>
      </c>
      <c r="B325" s="15" t="str">
        <f>IFERROR(IF([2]对账明细接口!$B$325=0,"",[2]对账明细接口!$B$325),"")</f>
        <v/>
      </c>
      <c r="C325" s="16" t="str">
        <f>IFERROR(IF([2]对账明细接口!$C$325=0,"",[2]对账明细接口!$C$325),"")</f>
        <v/>
      </c>
      <c r="D325" s="16" t="str">
        <f>IFERROR(IF([2]对账明细接口!$D$325=0,"",[2]对账明细接口!$D$325),"")</f>
        <v/>
      </c>
      <c r="E325" s="16" t="str">
        <f>IFERROR(IF([2]对账明细接口!$E$325=0,"",[2]对账明细接口!$E$325),"")</f>
        <v/>
      </c>
      <c r="F325" s="16" t="str">
        <f>IFERROR(IF([2]对账明细接口!$F$325=0,"",[2]对账明细接口!$F$325),"")</f>
        <v/>
      </c>
      <c r="G325" s="16" t="str">
        <f>IFERROR(IF([2]对账明细接口!$G$325=0,"",[2]对账明细接口!$G$325),"")</f>
        <v/>
      </c>
      <c r="H325" s="17" t="str">
        <f>IFERROR(IF([2]对账明细接口!$H$325=0,"",[2]对账明细接口!$H$325),"")</f>
        <v/>
      </c>
      <c r="I325" s="16" t="str">
        <f>IFERROR(IF([2]对账明细接口!$I$325=0,"",[2]对账明细接口!$I$325),"")</f>
        <v/>
      </c>
      <c r="J325" s="18" t="str">
        <f>IFERROR(IF([2]对账明细接口!$J$325=0,"",[2]对账明细接口!$J$325),"")</f>
        <v/>
      </c>
      <c r="K325" s="18" t="str">
        <f>IFERROR(IF([2]对账明细接口!$K$325=0,"",[2]对账明细接口!$K$325),"")</f>
        <v/>
      </c>
      <c r="L325" s="16" t="str">
        <f>IFERROR(IF([2]对账明细接口!$L$325=0,"",[2]对账明细接口!$L$325),"")</f>
        <v/>
      </c>
      <c r="M325" s="16" t="str">
        <f>IFERROR(IF([2]对账明细接口!$M$325=0,"",[2]对账明细接口!$M$325),"")</f>
        <v/>
      </c>
      <c r="N325" s="19">
        <f t="shared" si="30"/>
        <v>0</v>
      </c>
      <c r="O325" s="19">
        <f t="shared" si="31"/>
        <v>165</v>
      </c>
      <c r="S325" s="20" t="str">
        <f>IFERROR(IF([2]对账明细接口!$N325=0,"",[2]对账明细接口!$N325),"")</f>
        <v/>
      </c>
      <c r="T325" s="21" t="str">
        <f>IFERROR(IF([2]对账明细接口!$O325=0,"",[2]对账明细接口!$O325),"")</f>
        <v/>
      </c>
      <c r="U325" s="21" t="str">
        <f>IFERROR(IF([2]对账明细接口!$P325=0,"",[2]对账明细接口!$P325),"")</f>
        <v/>
      </c>
      <c r="V325" s="21" t="str">
        <f>IFERROR(IF([2]对账明细接口!$Q325=0,"",[2]对账明细接口!$Q325),"")</f>
        <v/>
      </c>
      <c r="W325" s="20" t="str">
        <f>IFERROR(IF([2]对账明细接口!$R325=0,"",[2]对账明细接口!$R325),"")</f>
        <v/>
      </c>
      <c r="X325" s="20" t="str">
        <f>IFERROR(IF([2]对账明细接口!$S325=0,"",[2]对账明细接口!$S325),"")</f>
        <v/>
      </c>
      <c r="Y325" s="20" t="str">
        <f t="shared" si="32"/>
        <v/>
      </c>
      <c r="Z325" s="20" t="str">
        <f t="shared" si="33"/>
        <v/>
      </c>
      <c r="AA325" s="20" t="str">
        <f t="shared" si="34"/>
        <v/>
      </c>
      <c r="AB325" s="20" t="str">
        <f t="shared" si="35"/>
        <v/>
      </c>
    </row>
    <row r="326" customHeight="1" spans="1:28">
      <c r="A326" s="14">
        <v>326</v>
      </c>
      <c r="B326" s="15" t="str">
        <f>IFERROR(IF([2]对账明细接口!$B$326=0,"",[2]对账明细接口!$B$326),"")</f>
        <v/>
      </c>
      <c r="C326" s="16" t="str">
        <f>IFERROR(IF([2]对账明细接口!$C$326=0,"",[2]对账明细接口!$C$326),"")</f>
        <v/>
      </c>
      <c r="D326" s="16" t="str">
        <f>IFERROR(IF([2]对账明细接口!$D$326=0,"",[2]对账明细接口!$D$326),"")</f>
        <v/>
      </c>
      <c r="E326" s="16" t="str">
        <f>IFERROR(IF([2]对账明细接口!$E$326=0,"",[2]对账明细接口!$E$326),"")</f>
        <v/>
      </c>
      <c r="F326" s="16" t="str">
        <f>IFERROR(IF([2]对账明细接口!$F$326=0,"",[2]对账明细接口!$F$326),"")</f>
        <v/>
      </c>
      <c r="G326" s="16" t="str">
        <f>IFERROR(IF([2]对账明细接口!$G$326=0,"",[2]对账明细接口!$G$326),"")</f>
        <v/>
      </c>
      <c r="H326" s="17" t="str">
        <f>IFERROR(IF([2]对账明细接口!$H$326=0,"",[2]对账明细接口!$H$326),"")</f>
        <v/>
      </c>
      <c r="I326" s="16" t="str">
        <f>IFERROR(IF([2]对账明细接口!$I$326=0,"",[2]对账明细接口!$I$326),"")</f>
        <v/>
      </c>
      <c r="J326" s="18" t="str">
        <f>IFERROR(IF([2]对账明细接口!$J$326=0,"",[2]对账明细接口!$J$326),"")</f>
        <v/>
      </c>
      <c r="K326" s="18" t="str">
        <f>IFERROR(IF([2]对账明细接口!$K$326=0,"",[2]对账明细接口!$K$326),"")</f>
        <v/>
      </c>
      <c r="L326" s="16" t="str">
        <f>IFERROR(IF([2]对账明细接口!$L$326=0,"",[2]对账明细接口!$L$326),"")</f>
        <v/>
      </c>
      <c r="M326" s="16" t="str">
        <f>IFERROR(IF([2]对账明细接口!$M$326=0,"",[2]对账明细接口!$M$326),"")</f>
        <v/>
      </c>
      <c r="N326" s="19">
        <f t="shared" si="30"/>
        <v>0</v>
      </c>
      <c r="O326" s="19">
        <f t="shared" si="31"/>
        <v>165</v>
      </c>
      <c r="S326" s="20" t="str">
        <f>IFERROR(IF([2]对账明细接口!$N326=0,"",[2]对账明细接口!$N326),"")</f>
        <v/>
      </c>
      <c r="T326" s="21" t="str">
        <f>IFERROR(IF([2]对账明细接口!$O326=0,"",[2]对账明细接口!$O326),"")</f>
        <v/>
      </c>
      <c r="U326" s="21" t="str">
        <f>IFERROR(IF([2]对账明细接口!$P326=0,"",[2]对账明细接口!$P326),"")</f>
        <v/>
      </c>
      <c r="V326" s="21" t="str">
        <f>IFERROR(IF([2]对账明细接口!$Q326=0,"",[2]对账明细接口!$Q326),"")</f>
        <v/>
      </c>
      <c r="W326" s="20" t="str">
        <f>IFERROR(IF([2]对账明细接口!$R326=0,"",[2]对账明细接口!$R326),"")</f>
        <v/>
      </c>
      <c r="X326" s="20" t="str">
        <f>IFERROR(IF([2]对账明细接口!$S326=0,"",[2]对账明细接口!$S326),"")</f>
        <v/>
      </c>
      <c r="Y326" s="20" t="str">
        <f t="shared" si="32"/>
        <v/>
      </c>
      <c r="Z326" s="20" t="str">
        <f t="shared" si="33"/>
        <v/>
      </c>
      <c r="AA326" s="20" t="str">
        <f t="shared" si="34"/>
        <v/>
      </c>
      <c r="AB326" s="20" t="str">
        <f t="shared" si="35"/>
        <v/>
      </c>
    </row>
    <row r="327" customHeight="1" spans="1:28">
      <c r="A327" s="14">
        <v>327</v>
      </c>
      <c r="B327" s="15" t="str">
        <f>IFERROR(IF([2]对账明细接口!$B$327=0,"",[2]对账明细接口!$B$327),"")</f>
        <v/>
      </c>
      <c r="C327" s="16" t="str">
        <f>IFERROR(IF([2]对账明细接口!$C$327=0,"",[2]对账明细接口!$C$327),"")</f>
        <v/>
      </c>
      <c r="D327" s="16" t="str">
        <f>IFERROR(IF([2]对账明细接口!$D$327=0,"",[2]对账明细接口!$D$327),"")</f>
        <v/>
      </c>
      <c r="E327" s="16" t="str">
        <f>IFERROR(IF([2]对账明细接口!$E$327=0,"",[2]对账明细接口!$E$327),"")</f>
        <v/>
      </c>
      <c r="F327" s="16" t="str">
        <f>IFERROR(IF([2]对账明细接口!$F$327=0,"",[2]对账明细接口!$F$327),"")</f>
        <v/>
      </c>
      <c r="G327" s="16" t="str">
        <f>IFERROR(IF([2]对账明细接口!$G$327=0,"",[2]对账明细接口!$G$327),"")</f>
        <v/>
      </c>
      <c r="H327" s="17" t="str">
        <f>IFERROR(IF([2]对账明细接口!$H$327=0,"",[2]对账明细接口!$H$327),"")</f>
        <v/>
      </c>
      <c r="I327" s="16" t="str">
        <f>IFERROR(IF([2]对账明细接口!$I$327=0,"",[2]对账明细接口!$I$327),"")</f>
        <v/>
      </c>
      <c r="J327" s="18" t="str">
        <f>IFERROR(IF([2]对账明细接口!$J$327=0,"",[2]对账明细接口!$J$327),"")</f>
        <v/>
      </c>
      <c r="K327" s="18" t="str">
        <f>IFERROR(IF([2]对账明细接口!$K$327=0,"",[2]对账明细接口!$K$327),"")</f>
        <v/>
      </c>
      <c r="L327" s="16" t="str">
        <f>IFERROR(IF([2]对账明细接口!$L$327=0,"",[2]对账明细接口!$L$327),"")</f>
        <v/>
      </c>
      <c r="M327" s="16" t="str">
        <f>IFERROR(IF([2]对账明细接口!$M$327=0,"",[2]对账明细接口!$M$327),"")</f>
        <v/>
      </c>
      <c r="N327" s="19">
        <f t="shared" si="30"/>
        <v>0</v>
      </c>
      <c r="O327" s="19">
        <f t="shared" si="31"/>
        <v>165</v>
      </c>
      <c r="S327" s="20" t="str">
        <f>IFERROR(IF([2]对账明细接口!$N327=0,"",[2]对账明细接口!$N327),"")</f>
        <v/>
      </c>
      <c r="T327" s="21" t="str">
        <f>IFERROR(IF([2]对账明细接口!$O327=0,"",[2]对账明细接口!$O327),"")</f>
        <v/>
      </c>
      <c r="U327" s="21" t="str">
        <f>IFERROR(IF([2]对账明细接口!$P327=0,"",[2]对账明细接口!$P327),"")</f>
        <v/>
      </c>
      <c r="V327" s="21" t="str">
        <f>IFERROR(IF([2]对账明细接口!$Q327=0,"",[2]对账明细接口!$Q327),"")</f>
        <v/>
      </c>
      <c r="W327" s="20" t="str">
        <f>IFERROR(IF([2]对账明细接口!$R327=0,"",[2]对账明细接口!$R327),"")</f>
        <v/>
      </c>
      <c r="X327" s="20" t="str">
        <f>IFERROR(IF([2]对账明细接口!$S327=0,"",[2]对账明细接口!$S327),"")</f>
        <v/>
      </c>
      <c r="Y327" s="20" t="str">
        <f t="shared" si="32"/>
        <v/>
      </c>
      <c r="Z327" s="20" t="str">
        <f t="shared" si="33"/>
        <v/>
      </c>
      <c r="AA327" s="20" t="str">
        <f t="shared" si="34"/>
        <v/>
      </c>
      <c r="AB327" s="20" t="str">
        <f t="shared" si="35"/>
        <v/>
      </c>
    </row>
    <row r="328" customHeight="1" spans="1:28">
      <c r="A328" s="14">
        <v>328</v>
      </c>
      <c r="B328" s="15" t="str">
        <f>IFERROR(IF([2]对账明细接口!$B$328=0,"",[2]对账明细接口!$B$328),"")</f>
        <v/>
      </c>
      <c r="C328" s="16" t="str">
        <f>IFERROR(IF([2]对账明细接口!$C$328=0,"",[2]对账明细接口!$C$328),"")</f>
        <v/>
      </c>
      <c r="D328" s="16" t="str">
        <f>IFERROR(IF([2]对账明细接口!$D$328=0,"",[2]对账明细接口!$D$328),"")</f>
        <v/>
      </c>
      <c r="E328" s="16" t="str">
        <f>IFERROR(IF([2]对账明细接口!$E$328=0,"",[2]对账明细接口!$E$328),"")</f>
        <v/>
      </c>
      <c r="F328" s="16" t="str">
        <f>IFERROR(IF([2]对账明细接口!$F$328=0,"",[2]对账明细接口!$F$328),"")</f>
        <v/>
      </c>
      <c r="G328" s="16" t="str">
        <f>IFERROR(IF([2]对账明细接口!$G$328=0,"",[2]对账明细接口!$G$328),"")</f>
        <v/>
      </c>
      <c r="H328" s="17" t="str">
        <f>IFERROR(IF([2]对账明细接口!$H$328=0,"",[2]对账明细接口!$H$328),"")</f>
        <v/>
      </c>
      <c r="I328" s="16" t="str">
        <f>IFERROR(IF([2]对账明细接口!$I$328=0,"",[2]对账明细接口!$I$328),"")</f>
        <v/>
      </c>
      <c r="J328" s="18" t="str">
        <f>IFERROR(IF([2]对账明细接口!$J$328=0,"",[2]对账明细接口!$J$328),"")</f>
        <v/>
      </c>
      <c r="K328" s="18" t="str">
        <f>IFERROR(IF([2]对账明细接口!$K$328=0,"",[2]对账明细接口!$K$328),"")</f>
        <v/>
      </c>
      <c r="L328" s="16" t="str">
        <f>IFERROR(IF([2]对账明细接口!$L$328=0,"",[2]对账明细接口!$L$328),"")</f>
        <v/>
      </c>
      <c r="M328" s="16" t="str">
        <f>IFERROR(IF([2]对账明细接口!$M$328=0,"",[2]对账明细接口!$M$328),"")</f>
        <v/>
      </c>
      <c r="N328" s="19">
        <f t="shared" si="30"/>
        <v>0</v>
      </c>
      <c r="O328" s="19">
        <f t="shared" si="31"/>
        <v>165</v>
      </c>
      <c r="S328" s="20" t="str">
        <f>IFERROR(IF([2]对账明细接口!$N328=0,"",[2]对账明细接口!$N328),"")</f>
        <v/>
      </c>
      <c r="T328" s="21" t="str">
        <f>IFERROR(IF([2]对账明细接口!$O328=0,"",[2]对账明细接口!$O328),"")</f>
        <v/>
      </c>
      <c r="U328" s="21" t="str">
        <f>IFERROR(IF([2]对账明细接口!$P328=0,"",[2]对账明细接口!$P328),"")</f>
        <v/>
      </c>
      <c r="V328" s="21" t="str">
        <f>IFERROR(IF([2]对账明细接口!$Q328=0,"",[2]对账明细接口!$Q328),"")</f>
        <v/>
      </c>
      <c r="W328" s="20" t="str">
        <f>IFERROR(IF([2]对账明细接口!$R328=0,"",[2]对账明细接口!$R328),"")</f>
        <v/>
      </c>
      <c r="X328" s="20" t="str">
        <f>IFERROR(IF([2]对账明细接口!$S328=0,"",[2]对账明细接口!$S328),"")</f>
        <v/>
      </c>
      <c r="Y328" s="20" t="str">
        <f t="shared" si="32"/>
        <v/>
      </c>
      <c r="Z328" s="20" t="str">
        <f t="shared" si="33"/>
        <v/>
      </c>
      <c r="AA328" s="20" t="str">
        <f t="shared" si="34"/>
        <v/>
      </c>
      <c r="AB328" s="20" t="str">
        <f t="shared" si="35"/>
        <v/>
      </c>
    </row>
    <row r="329" customHeight="1" spans="1:28">
      <c r="A329" s="14">
        <v>329</v>
      </c>
      <c r="B329" s="15" t="str">
        <f>IFERROR(IF([2]对账明细接口!$B$329=0,"",[2]对账明细接口!$B$329),"")</f>
        <v/>
      </c>
      <c r="C329" s="16" t="str">
        <f>IFERROR(IF([2]对账明细接口!$C$329=0,"",[2]对账明细接口!$C$329),"")</f>
        <v/>
      </c>
      <c r="D329" s="16" t="str">
        <f>IFERROR(IF([2]对账明细接口!$D$329=0,"",[2]对账明细接口!$D$329),"")</f>
        <v/>
      </c>
      <c r="E329" s="16" t="str">
        <f>IFERROR(IF([2]对账明细接口!$E$329=0,"",[2]对账明细接口!$E$329),"")</f>
        <v/>
      </c>
      <c r="F329" s="16" t="str">
        <f>IFERROR(IF([2]对账明细接口!$F$329=0,"",[2]对账明细接口!$F$329),"")</f>
        <v/>
      </c>
      <c r="G329" s="16" t="str">
        <f>IFERROR(IF([2]对账明细接口!$G$329=0,"",[2]对账明细接口!$G$329),"")</f>
        <v/>
      </c>
      <c r="H329" s="17" t="str">
        <f>IFERROR(IF([2]对账明细接口!$H$329=0,"",[2]对账明细接口!$H$329),"")</f>
        <v/>
      </c>
      <c r="I329" s="16" t="str">
        <f>IFERROR(IF([2]对账明细接口!$I$329=0,"",[2]对账明细接口!$I$329),"")</f>
        <v/>
      </c>
      <c r="J329" s="18" t="str">
        <f>IFERROR(IF([2]对账明细接口!$J$329=0,"",[2]对账明细接口!$J$329),"")</f>
        <v/>
      </c>
      <c r="K329" s="18" t="str">
        <f>IFERROR(IF([2]对账明细接口!$K$329=0,"",[2]对账明细接口!$K$329),"")</f>
        <v/>
      </c>
      <c r="L329" s="16" t="str">
        <f>IFERROR(IF([2]对账明细接口!$L$329=0,"",[2]对账明细接口!$L$329),"")</f>
        <v/>
      </c>
      <c r="M329" s="16" t="str">
        <f>IFERROR(IF([2]对账明细接口!$M$329=0,"",[2]对账明细接口!$M$329),"")</f>
        <v/>
      </c>
      <c r="N329" s="19">
        <f t="shared" si="30"/>
        <v>0</v>
      </c>
      <c r="O329" s="19">
        <f t="shared" si="31"/>
        <v>165</v>
      </c>
      <c r="S329" s="20" t="str">
        <f>IFERROR(IF([2]对账明细接口!$N329=0,"",[2]对账明细接口!$N329),"")</f>
        <v/>
      </c>
      <c r="T329" s="21" t="str">
        <f>IFERROR(IF([2]对账明细接口!$O329=0,"",[2]对账明细接口!$O329),"")</f>
        <v/>
      </c>
      <c r="U329" s="21" t="str">
        <f>IFERROR(IF([2]对账明细接口!$P329=0,"",[2]对账明细接口!$P329),"")</f>
        <v/>
      </c>
      <c r="V329" s="21" t="str">
        <f>IFERROR(IF([2]对账明细接口!$Q329=0,"",[2]对账明细接口!$Q329),"")</f>
        <v/>
      </c>
      <c r="W329" s="20" t="str">
        <f>IFERROR(IF([2]对账明细接口!$R329=0,"",[2]对账明细接口!$R329),"")</f>
        <v/>
      </c>
      <c r="X329" s="20" t="str">
        <f>IFERROR(IF([2]对账明细接口!$S329=0,"",[2]对账明细接口!$S329),"")</f>
        <v/>
      </c>
      <c r="Y329" s="20" t="str">
        <f t="shared" si="32"/>
        <v/>
      </c>
      <c r="Z329" s="20" t="str">
        <f t="shared" si="33"/>
        <v/>
      </c>
      <c r="AA329" s="20" t="str">
        <f t="shared" si="34"/>
        <v/>
      </c>
      <c r="AB329" s="20" t="str">
        <f t="shared" si="35"/>
        <v/>
      </c>
    </row>
    <row r="330" customHeight="1" spans="1:28">
      <c r="A330" s="14">
        <v>330</v>
      </c>
      <c r="B330" s="15" t="str">
        <f>IFERROR(IF([2]对账明细接口!$B$330=0,"",[2]对账明细接口!$B$330),"")</f>
        <v/>
      </c>
      <c r="C330" s="16" t="str">
        <f>IFERROR(IF([2]对账明细接口!$C$330=0,"",[2]对账明细接口!$C$330),"")</f>
        <v/>
      </c>
      <c r="D330" s="16" t="str">
        <f>IFERROR(IF([2]对账明细接口!$D$330=0,"",[2]对账明细接口!$D$330),"")</f>
        <v/>
      </c>
      <c r="E330" s="16" t="str">
        <f>IFERROR(IF([2]对账明细接口!$E$330=0,"",[2]对账明细接口!$E$330),"")</f>
        <v/>
      </c>
      <c r="F330" s="16" t="str">
        <f>IFERROR(IF([2]对账明细接口!$F$330=0,"",[2]对账明细接口!$F$330),"")</f>
        <v/>
      </c>
      <c r="G330" s="16" t="str">
        <f>IFERROR(IF([2]对账明细接口!$G$330=0,"",[2]对账明细接口!$G$330),"")</f>
        <v/>
      </c>
      <c r="H330" s="17" t="str">
        <f>IFERROR(IF([2]对账明细接口!$H$330=0,"",[2]对账明细接口!$H$330),"")</f>
        <v/>
      </c>
      <c r="I330" s="16" t="str">
        <f>IFERROR(IF([2]对账明细接口!$I$330=0,"",[2]对账明细接口!$I$330),"")</f>
        <v/>
      </c>
      <c r="J330" s="18" t="str">
        <f>IFERROR(IF([2]对账明细接口!$J$330=0,"",[2]对账明细接口!$J$330),"")</f>
        <v/>
      </c>
      <c r="K330" s="18" t="str">
        <f>IFERROR(IF([2]对账明细接口!$K$330=0,"",[2]对账明细接口!$K$330),"")</f>
        <v/>
      </c>
      <c r="L330" s="16" t="str">
        <f>IFERROR(IF([2]对账明细接口!$L$330=0,"",[2]对账明细接口!$L$330),"")</f>
        <v/>
      </c>
      <c r="M330" s="16" t="str">
        <f>IFERROR(IF([2]对账明细接口!$M$330=0,"",[2]对账明细接口!$M$330),"")</f>
        <v/>
      </c>
      <c r="N330" s="19">
        <f t="shared" si="30"/>
        <v>0</v>
      </c>
      <c r="O330" s="19">
        <f t="shared" si="31"/>
        <v>165</v>
      </c>
      <c r="S330" s="20" t="str">
        <f>IFERROR(IF([2]对账明细接口!$N330=0,"",[2]对账明细接口!$N330),"")</f>
        <v/>
      </c>
      <c r="T330" s="21" t="str">
        <f>IFERROR(IF([2]对账明细接口!$O330=0,"",[2]对账明细接口!$O330),"")</f>
        <v/>
      </c>
      <c r="U330" s="21" t="str">
        <f>IFERROR(IF([2]对账明细接口!$P330=0,"",[2]对账明细接口!$P330),"")</f>
        <v/>
      </c>
      <c r="V330" s="21" t="str">
        <f>IFERROR(IF([2]对账明细接口!$Q330=0,"",[2]对账明细接口!$Q330),"")</f>
        <v/>
      </c>
      <c r="W330" s="20" t="str">
        <f>IFERROR(IF([2]对账明细接口!$R330=0,"",[2]对账明细接口!$R330),"")</f>
        <v/>
      </c>
      <c r="X330" s="20" t="str">
        <f>IFERROR(IF([2]对账明细接口!$S330=0,"",[2]对账明细接口!$S330),"")</f>
        <v/>
      </c>
      <c r="Y330" s="20" t="str">
        <f t="shared" si="32"/>
        <v/>
      </c>
      <c r="Z330" s="20" t="str">
        <f t="shared" si="33"/>
        <v/>
      </c>
      <c r="AA330" s="20" t="str">
        <f t="shared" si="34"/>
        <v/>
      </c>
      <c r="AB330" s="20" t="str">
        <f t="shared" si="35"/>
        <v/>
      </c>
    </row>
    <row r="331" customHeight="1" spans="1:28">
      <c r="A331" s="14">
        <v>331</v>
      </c>
      <c r="B331" s="15" t="str">
        <f>IFERROR(IF([2]对账明细接口!$B$331=0,"",[2]对账明细接口!$B$331),"")</f>
        <v/>
      </c>
      <c r="C331" s="16" t="str">
        <f>IFERROR(IF([2]对账明细接口!$C$331=0,"",[2]对账明细接口!$C$331),"")</f>
        <v/>
      </c>
      <c r="D331" s="16" t="str">
        <f>IFERROR(IF([2]对账明细接口!$D$331=0,"",[2]对账明细接口!$D$331),"")</f>
        <v/>
      </c>
      <c r="E331" s="16" t="str">
        <f>IFERROR(IF([2]对账明细接口!$E$331=0,"",[2]对账明细接口!$E$331),"")</f>
        <v/>
      </c>
      <c r="F331" s="16" t="str">
        <f>IFERROR(IF([2]对账明细接口!$F$331=0,"",[2]对账明细接口!$F$331),"")</f>
        <v/>
      </c>
      <c r="G331" s="16" t="str">
        <f>IFERROR(IF([2]对账明细接口!$G$331=0,"",[2]对账明细接口!$G$331),"")</f>
        <v/>
      </c>
      <c r="H331" s="17" t="str">
        <f>IFERROR(IF([2]对账明细接口!$H$331=0,"",[2]对账明细接口!$H$331),"")</f>
        <v/>
      </c>
      <c r="I331" s="16" t="str">
        <f>IFERROR(IF([2]对账明细接口!$I$331=0,"",[2]对账明细接口!$I$331),"")</f>
        <v/>
      </c>
      <c r="J331" s="18" t="str">
        <f>IFERROR(IF([2]对账明细接口!$J$331=0,"",[2]对账明细接口!$J$331),"")</f>
        <v/>
      </c>
      <c r="K331" s="18" t="str">
        <f>IFERROR(IF([2]对账明细接口!$K$331=0,"",[2]对账明细接口!$K$331),"")</f>
        <v/>
      </c>
      <c r="L331" s="16" t="str">
        <f>IFERROR(IF([2]对账明细接口!$L$331=0,"",[2]对账明细接口!$L$331),"")</f>
        <v/>
      </c>
      <c r="M331" s="16" t="str">
        <f>IFERROR(IF([2]对账明细接口!$M$331=0,"",[2]对账明细接口!$M$331),"")</f>
        <v/>
      </c>
      <c r="N331" s="19">
        <f t="shared" si="30"/>
        <v>0</v>
      </c>
      <c r="O331" s="19">
        <f t="shared" si="31"/>
        <v>165</v>
      </c>
      <c r="S331" s="20" t="str">
        <f>IFERROR(IF([2]对账明细接口!$N331=0,"",[2]对账明细接口!$N331),"")</f>
        <v/>
      </c>
      <c r="T331" s="21" t="str">
        <f>IFERROR(IF([2]对账明细接口!$O331=0,"",[2]对账明细接口!$O331),"")</f>
        <v/>
      </c>
      <c r="U331" s="21" t="str">
        <f>IFERROR(IF([2]对账明细接口!$P331=0,"",[2]对账明细接口!$P331),"")</f>
        <v/>
      </c>
      <c r="V331" s="21" t="str">
        <f>IFERROR(IF([2]对账明细接口!$Q331=0,"",[2]对账明细接口!$Q331),"")</f>
        <v/>
      </c>
      <c r="W331" s="20" t="str">
        <f>IFERROR(IF([2]对账明细接口!$R331=0,"",[2]对账明细接口!$R331),"")</f>
        <v/>
      </c>
      <c r="X331" s="20" t="str">
        <f>IFERROR(IF([2]对账明细接口!$S331=0,"",[2]对账明细接口!$S331),"")</f>
        <v/>
      </c>
      <c r="Y331" s="20" t="str">
        <f t="shared" si="32"/>
        <v/>
      </c>
      <c r="Z331" s="20" t="str">
        <f t="shared" si="33"/>
        <v/>
      </c>
      <c r="AA331" s="20" t="str">
        <f t="shared" si="34"/>
        <v/>
      </c>
      <c r="AB331" s="20" t="str">
        <f t="shared" si="35"/>
        <v/>
      </c>
    </row>
    <row r="332" customHeight="1" spans="1:28">
      <c r="A332" s="14">
        <v>332</v>
      </c>
      <c r="B332" s="15" t="str">
        <f>IFERROR(IF([2]对账明细接口!$B$332=0,"",[2]对账明细接口!$B$332),"")</f>
        <v/>
      </c>
      <c r="C332" s="16" t="str">
        <f>IFERROR(IF([2]对账明细接口!$C$332=0,"",[2]对账明细接口!$C$332),"")</f>
        <v/>
      </c>
      <c r="D332" s="16" t="str">
        <f>IFERROR(IF([2]对账明细接口!$D$332=0,"",[2]对账明细接口!$D$332),"")</f>
        <v/>
      </c>
      <c r="E332" s="16" t="str">
        <f>IFERROR(IF([2]对账明细接口!$E$332=0,"",[2]对账明细接口!$E$332),"")</f>
        <v/>
      </c>
      <c r="F332" s="16" t="str">
        <f>IFERROR(IF([2]对账明细接口!$F$332=0,"",[2]对账明细接口!$F$332),"")</f>
        <v/>
      </c>
      <c r="G332" s="16" t="str">
        <f>IFERROR(IF([2]对账明细接口!$G$332=0,"",[2]对账明细接口!$G$332),"")</f>
        <v/>
      </c>
      <c r="H332" s="17" t="str">
        <f>IFERROR(IF([2]对账明细接口!$H$332=0,"",[2]对账明细接口!$H$332),"")</f>
        <v/>
      </c>
      <c r="I332" s="16" t="str">
        <f>IFERROR(IF([2]对账明细接口!$I$332=0,"",[2]对账明细接口!$I$332),"")</f>
        <v/>
      </c>
      <c r="J332" s="18" t="str">
        <f>IFERROR(IF([2]对账明细接口!$J$332=0,"",[2]对账明细接口!$J$332),"")</f>
        <v/>
      </c>
      <c r="K332" s="18" t="str">
        <f>IFERROR(IF([2]对账明细接口!$K$332=0,"",[2]对账明细接口!$K$332),"")</f>
        <v/>
      </c>
      <c r="L332" s="16" t="str">
        <f>IFERROR(IF([2]对账明细接口!$L$332=0,"",[2]对账明细接口!$L$332),"")</f>
        <v/>
      </c>
      <c r="M332" s="16" t="str">
        <f>IFERROR(IF([2]对账明细接口!$M$332=0,"",[2]对账明细接口!$M$332),"")</f>
        <v/>
      </c>
      <c r="N332" s="19">
        <f t="shared" si="30"/>
        <v>0</v>
      </c>
      <c r="O332" s="19">
        <f t="shared" si="31"/>
        <v>165</v>
      </c>
      <c r="S332" s="20" t="str">
        <f>IFERROR(IF([2]对账明细接口!$N332=0,"",[2]对账明细接口!$N332),"")</f>
        <v/>
      </c>
      <c r="T332" s="21" t="str">
        <f>IFERROR(IF([2]对账明细接口!$O332=0,"",[2]对账明细接口!$O332),"")</f>
        <v/>
      </c>
      <c r="U332" s="21" t="str">
        <f>IFERROR(IF([2]对账明细接口!$P332=0,"",[2]对账明细接口!$P332),"")</f>
        <v/>
      </c>
      <c r="V332" s="21" t="str">
        <f>IFERROR(IF([2]对账明细接口!$Q332=0,"",[2]对账明细接口!$Q332),"")</f>
        <v/>
      </c>
      <c r="W332" s="20" t="str">
        <f>IFERROR(IF([2]对账明细接口!$R332=0,"",[2]对账明细接口!$R332),"")</f>
        <v/>
      </c>
      <c r="X332" s="20" t="str">
        <f>IFERROR(IF([2]对账明细接口!$S332=0,"",[2]对账明细接口!$S332),"")</f>
        <v/>
      </c>
      <c r="Y332" s="20" t="str">
        <f t="shared" si="32"/>
        <v/>
      </c>
      <c r="Z332" s="20" t="str">
        <f t="shared" si="33"/>
        <v/>
      </c>
      <c r="AA332" s="20" t="str">
        <f t="shared" si="34"/>
        <v/>
      </c>
      <c r="AB332" s="20" t="str">
        <f t="shared" si="35"/>
        <v/>
      </c>
    </row>
    <row r="333" customHeight="1" spans="1:28">
      <c r="A333" s="14">
        <v>333</v>
      </c>
      <c r="B333" s="15" t="str">
        <f>IFERROR(IF([2]对账明细接口!$B$333=0,"",[2]对账明细接口!$B$333),"")</f>
        <v/>
      </c>
      <c r="C333" s="16" t="str">
        <f>IFERROR(IF([2]对账明细接口!$C$333=0,"",[2]对账明细接口!$C$333),"")</f>
        <v/>
      </c>
      <c r="D333" s="16" t="str">
        <f>IFERROR(IF([2]对账明细接口!$D$333=0,"",[2]对账明细接口!$D$333),"")</f>
        <v/>
      </c>
      <c r="E333" s="16" t="str">
        <f>IFERROR(IF([2]对账明细接口!$E$333=0,"",[2]对账明细接口!$E$333),"")</f>
        <v/>
      </c>
      <c r="F333" s="16" t="str">
        <f>IFERROR(IF([2]对账明细接口!$F$333=0,"",[2]对账明细接口!$F$333),"")</f>
        <v/>
      </c>
      <c r="G333" s="16" t="str">
        <f>IFERROR(IF([2]对账明细接口!$G$333=0,"",[2]对账明细接口!$G$333),"")</f>
        <v/>
      </c>
      <c r="H333" s="17" t="str">
        <f>IFERROR(IF([2]对账明细接口!$H$333=0,"",[2]对账明细接口!$H$333),"")</f>
        <v/>
      </c>
      <c r="I333" s="16" t="str">
        <f>IFERROR(IF([2]对账明细接口!$I$333=0,"",[2]对账明细接口!$I$333),"")</f>
        <v/>
      </c>
      <c r="J333" s="18" t="str">
        <f>IFERROR(IF([2]对账明细接口!$J$333=0,"",[2]对账明细接口!$J$333),"")</f>
        <v/>
      </c>
      <c r="K333" s="18" t="str">
        <f>IFERROR(IF([2]对账明细接口!$K$333=0,"",[2]对账明细接口!$K$333),"")</f>
        <v/>
      </c>
      <c r="L333" s="16" t="str">
        <f>IFERROR(IF([2]对账明细接口!$L$333=0,"",[2]对账明细接口!$L$333),"")</f>
        <v/>
      </c>
      <c r="M333" s="16" t="str">
        <f>IFERROR(IF([2]对账明细接口!$M$333=0,"",[2]对账明细接口!$M$333),"")</f>
        <v/>
      </c>
      <c r="N333" s="19">
        <f t="shared" si="30"/>
        <v>0</v>
      </c>
      <c r="O333" s="19">
        <f t="shared" si="31"/>
        <v>165</v>
      </c>
      <c r="S333" s="20" t="str">
        <f>IFERROR(IF([2]对账明细接口!$N333=0,"",[2]对账明细接口!$N333),"")</f>
        <v/>
      </c>
      <c r="T333" s="21" t="str">
        <f>IFERROR(IF([2]对账明细接口!$O333=0,"",[2]对账明细接口!$O333),"")</f>
        <v/>
      </c>
      <c r="U333" s="21" t="str">
        <f>IFERROR(IF([2]对账明细接口!$P333=0,"",[2]对账明细接口!$P333),"")</f>
        <v/>
      </c>
      <c r="V333" s="21" t="str">
        <f>IFERROR(IF([2]对账明细接口!$Q333=0,"",[2]对账明细接口!$Q333),"")</f>
        <v/>
      </c>
      <c r="W333" s="20" t="str">
        <f>IFERROR(IF([2]对账明细接口!$R333=0,"",[2]对账明细接口!$R333),"")</f>
        <v/>
      </c>
      <c r="X333" s="20" t="str">
        <f>IFERROR(IF([2]对账明细接口!$S333=0,"",[2]对账明细接口!$S333),"")</f>
        <v/>
      </c>
      <c r="Y333" s="20" t="str">
        <f t="shared" si="32"/>
        <v/>
      </c>
      <c r="Z333" s="20" t="str">
        <f t="shared" si="33"/>
        <v/>
      </c>
      <c r="AA333" s="20" t="str">
        <f t="shared" si="34"/>
        <v/>
      </c>
      <c r="AB333" s="20" t="str">
        <f t="shared" si="35"/>
        <v/>
      </c>
    </row>
    <row r="334" customHeight="1" spans="1:28">
      <c r="A334" s="14">
        <v>334</v>
      </c>
      <c r="B334" s="15" t="str">
        <f>IFERROR(IF([2]对账明细接口!$B$334=0,"",[2]对账明细接口!$B$334),"")</f>
        <v/>
      </c>
      <c r="C334" s="16" t="str">
        <f>IFERROR(IF([2]对账明细接口!$C$334=0,"",[2]对账明细接口!$C$334),"")</f>
        <v/>
      </c>
      <c r="D334" s="16" t="str">
        <f>IFERROR(IF([2]对账明细接口!$D$334=0,"",[2]对账明细接口!$D$334),"")</f>
        <v/>
      </c>
      <c r="E334" s="16" t="str">
        <f>IFERROR(IF([2]对账明细接口!$E$334=0,"",[2]对账明细接口!$E$334),"")</f>
        <v/>
      </c>
      <c r="F334" s="16" t="str">
        <f>IFERROR(IF([2]对账明细接口!$F$334=0,"",[2]对账明细接口!$F$334),"")</f>
        <v/>
      </c>
      <c r="G334" s="16" t="str">
        <f>IFERROR(IF([2]对账明细接口!$G$334=0,"",[2]对账明细接口!$G$334),"")</f>
        <v/>
      </c>
      <c r="H334" s="17" t="str">
        <f>IFERROR(IF([2]对账明细接口!$H$334=0,"",[2]对账明细接口!$H$334),"")</f>
        <v/>
      </c>
      <c r="I334" s="16" t="str">
        <f>IFERROR(IF([2]对账明细接口!$I$334=0,"",[2]对账明细接口!$I$334),"")</f>
        <v/>
      </c>
      <c r="J334" s="18" t="str">
        <f>IFERROR(IF([2]对账明细接口!$J$334=0,"",[2]对账明细接口!$J$334),"")</f>
        <v/>
      </c>
      <c r="K334" s="18" t="str">
        <f>IFERROR(IF([2]对账明细接口!$K$334=0,"",[2]对账明细接口!$K$334),"")</f>
        <v/>
      </c>
      <c r="L334" s="16" t="str">
        <f>IFERROR(IF([2]对账明细接口!$L$334=0,"",[2]对账明细接口!$L$334),"")</f>
        <v/>
      </c>
      <c r="M334" s="16" t="str">
        <f>IFERROR(IF([2]对账明细接口!$M$334=0,"",[2]对账明细接口!$M$334),"")</f>
        <v/>
      </c>
      <c r="N334" s="19">
        <f t="shared" si="30"/>
        <v>0</v>
      </c>
      <c r="O334" s="19">
        <f t="shared" si="31"/>
        <v>165</v>
      </c>
      <c r="S334" s="20" t="str">
        <f>IFERROR(IF([2]对账明细接口!$N334=0,"",[2]对账明细接口!$N334),"")</f>
        <v/>
      </c>
      <c r="T334" s="21" t="str">
        <f>IFERROR(IF([2]对账明细接口!$O334=0,"",[2]对账明细接口!$O334),"")</f>
        <v/>
      </c>
      <c r="U334" s="21" t="str">
        <f>IFERROR(IF([2]对账明细接口!$P334=0,"",[2]对账明细接口!$P334),"")</f>
        <v/>
      </c>
      <c r="V334" s="21" t="str">
        <f>IFERROR(IF([2]对账明细接口!$Q334=0,"",[2]对账明细接口!$Q334),"")</f>
        <v/>
      </c>
      <c r="W334" s="20" t="str">
        <f>IFERROR(IF([2]对账明细接口!$R334=0,"",[2]对账明细接口!$R334),"")</f>
        <v/>
      </c>
      <c r="X334" s="20" t="str">
        <f>IFERROR(IF([2]对账明细接口!$S334=0,"",[2]对账明细接口!$S334),"")</f>
        <v/>
      </c>
      <c r="Y334" s="20" t="str">
        <f t="shared" si="32"/>
        <v/>
      </c>
      <c r="Z334" s="20" t="str">
        <f t="shared" si="33"/>
        <v/>
      </c>
      <c r="AA334" s="20" t="str">
        <f t="shared" si="34"/>
        <v/>
      </c>
      <c r="AB334" s="20" t="str">
        <f t="shared" si="35"/>
        <v/>
      </c>
    </row>
    <row r="335" customHeight="1" spans="1:28">
      <c r="A335" s="14">
        <v>335</v>
      </c>
      <c r="B335" s="15" t="str">
        <f>IFERROR(IF([2]对账明细接口!$B$335=0,"",[2]对账明细接口!$B$335),"")</f>
        <v/>
      </c>
      <c r="C335" s="16" t="str">
        <f>IFERROR(IF([2]对账明细接口!$C$335=0,"",[2]对账明细接口!$C$335),"")</f>
        <v/>
      </c>
      <c r="D335" s="16" t="str">
        <f>IFERROR(IF([2]对账明细接口!$D$335=0,"",[2]对账明细接口!$D$335),"")</f>
        <v/>
      </c>
      <c r="E335" s="16" t="str">
        <f>IFERROR(IF([2]对账明细接口!$E$335=0,"",[2]对账明细接口!$E$335),"")</f>
        <v/>
      </c>
      <c r="F335" s="16" t="str">
        <f>IFERROR(IF([2]对账明细接口!$F$335=0,"",[2]对账明细接口!$F$335),"")</f>
        <v/>
      </c>
      <c r="G335" s="16" t="str">
        <f>IFERROR(IF([2]对账明细接口!$G$335=0,"",[2]对账明细接口!$G$335),"")</f>
        <v/>
      </c>
      <c r="H335" s="17" t="str">
        <f>IFERROR(IF([2]对账明细接口!$H$335=0,"",[2]对账明细接口!$H$335),"")</f>
        <v/>
      </c>
      <c r="I335" s="16" t="str">
        <f>IFERROR(IF([2]对账明细接口!$I$335=0,"",[2]对账明细接口!$I$335),"")</f>
        <v/>
      </c>
      <c r="J335" s="18" t="str">
        <f>IFERROR(IF([2]对账明细接口!$J$335=0,"",[2]对账明细接口!$J$335),"")</f>
        <v/>
      </c>
      <c r="K335" s="18" t="str">
        <f>IFERROR(IF([2]对账明细接口!$K$335=0,"",[2]对账明细接口!$K$335),"")</f>
        <v/>
      </c>
      <c r="L335" s="16" t="str">
        <f>IFERROR(IF([2]对账明细接口!$L$335=0,"",[2]对账明细接口!$L$335),"")</f>
        <v/>
      </c>
      <c r="M335" s="16" t="str">
        <f>IFERROR(IF([2]对账明细接口!$M$335=0,"",[2]对账明细接口!$M$335),"")</f>
        <v/>
      </c>
      <c r="N335" s="19">
        <f t="shared" si="30"/>
        <v>0</v>
      </c>
      <c r="O335" s="19">
        <f t="shared" si="31"/>
        <v>165</v>
      </c>
      <c r="S335" s="20" t="str">
        <f>IFERROR(IF([2]对账明细接口!$N335=0,"",[2]对账明细接口!$N335),"")</f>
        <v/>
      </c>
      <c r="T335" s="21" t="str">
        <f>IFERROR(IF([2]对账明细接口!$O335=0,"",[2]对账明细接口!$O335),"")</f>
        <v/>
      </c>
      <c r="U335" s="21" t="str">
        <f>IFERROR(IF([2]对账明细接口!$P335=0,"",[2]对账明细接口!$P335),"")</f>
        <v/>
      </c>
      <c r="V335" s="21" t="str">
        <f>IFERROR(IF([2]对账明细接口!$Q335=0,"",[2]对账明细接口!$Q335),"")</f>
        <v/>
      </c>
      <c r="W335" s="20" t="str">
        <f>IFERROR(IF([2]对账明细接口!$R335=0,"",[2]对账明细接口!$R335),"")</f>
        <v/>
      </c>
      <c r="X335" s="20" t="str">
        <f>IFERROR(IF([2]对账明细接口!$S335=0,"",[2]对账明细接口!$S335),"")</f>
        <v/>
      </c>
      <c r="Y335" s="20" t="str">
        <f t="shared" si="32"/>
        <v/>
      </c>
      <c r="Z335" s="20" t="str">
        <f t="shared" si="33"/>
        <v/>
      </c>
      <c r="AA335" s="20" t="str">
        <f t="shared" si="34"/>
        <v/>
      </c>
      <c r="AB335" s="20" t="str">
        <f t="shared" si="35"/>
        <v/>
      </c>
    </row>
    <row r="336" customHeight="1" spans="1:28">
      <c r="A336" s="14">
        <v>336</v>
      </c>
      <c r="B336" s="15" t="str">
        <f>IFERROR(IF([2]对账明细接口!$B$336=0,"",[2]对账明细接口!$B$336),"")</f>
        <v/>
      </c>
      <c r="C336" s="16" t="str">
        <f>IFERROR(IF([2]对账明细接口!$C$336=0,"",[2]对账明细接口!$C$336),"")</f>
        <v/>
      </c>
      <c r="D336" s="16" t="str">
        <f>IFERROR(IF([2]对账明细接口!$D$336=0,"",[2]对账明细接口!$D$336),"")</f>
        <v/>
      </c>
      <c r="E336" s="16" t="str">
        <f>IFERROR(IF([2]对账明细接口!$E$336=0,"",[2]对账明细接口!$E$336),"")</f>
        <v/>
      </c>
      <c r="F336" s="16" t="str">
        <f>IFERROR(IF([2]对账明细接口!$F$336=0,"",[2]对账明细接口!$F$336),"")</f>
        <v/>
      </c>
      <c r="G336" s="16" t="str">
        <f>IFERROR(IF([2]对账明细接口!$G$336=0,"",[2]对账明细接口!$G$336),"")</f>
        <v/>
      </c>
      <c r="H336" s="17" t="str">
        <f>IFERROR(IF([2]对账明细接口!$H$336=0,"",[2]对账明细接口!$H$336),"")</f>
        <v/>
      </c>
      <c r="I336" s="16" t="str">
        <f>IFERROR(IF([2]对账明细接口!$I$336=0,"",[2]对账明细接口!$I$336),"")</f>
        <v/>
      </c>
      <c r="J336" s="18" t="str">
        <f>IFERROR(IF([2]对账明细接口!$J$336=0,"",[2]对账明细接口!$J$336),"")</f>
        <v/>
      </c>
      <c r="K336" s="18" t="str">
        <f>IFERROR(IF([2]对账明细接口!$K$336=0,"",[2]对账明细接口!$K$336),"")</f>
        <v/>
      </c>
      <c r="L336" s="16" t="str">
        <f>IFERROR(IF([2]对账明细接口!$L$336=0,"",[2]对账明细接口!$L$336),"")</f>
        <v/>
      </c>
      <c r="M336" s="16" t="str">
        <f>IFERROR(IF([2]对账明细接口!$M$336=0,"",[2]对账明细接口!$M$336),"")</f>
        <v/>
      </c>
      <c r="N336" s="19">
        <f t="shared" si="30"/>
        <v>0</v>
      </c>
      <c r="O336" s="19">
        <f t="shared" si="31"/>
        <v>165</v>
      </c>
      <c r="S336" s="20" t="str">
        <f>IFERROR(IF([2]对账明细接口!$N336=0,"",[2]对账明细接口!$N336),"")</f>
        <v/>
      </c>
      <c r="T336" s="21" t="str">
        <f>IFERROR(IF([2]对账明细接口!$O336=0,"",[2]对账明细接口!$O336),"")</f>
        <v/>
      </c>
      <c r="U336" s="21" t="str">
        <f>IFERROR(IF([2]对账明细接口!$P336=0,"",[2]对账明细接口!$P336),"")</f>
        <v/>
      </c>
      <c r="V336" s="21" t="str">
        <f>IFERROR(IF([2]对账明细接口!$Q336=0,"",[2]对账明细接口!$Q336),"")</f>
        <v/>
      </c>
      <c r="W336" s="20" t="str">
        <f>IFERROR(IF([2]对账明细接口!$R336=0,"",[2]对账明细接口!$R336),"")</f>
        <v/>
      </c>
      <c r="X336" s="20" t="str">
        <f>IFERROR(IF([2]对账明细接口!$S336=0,"",[2]对账明细接口!$S336),"")</f>
        <v/>
      </c>
      <c r="Y336" s="20" t="str">
        <f t="shared" si="32"/>
        <v/>
      </c>
      <c r="Z336" s="20" t="str">
        <f t="shared" si="33"/>
        <v/>
      </c>
      <c r="AA336" s="20" t="str">
        <f t="shared" si="34"/>
        <v/>
      </c>
      <c r="AB336" s="20" t="str">
        <f t="shared" si="35"/>
        <v/>
      </c>
    </row>
    <row r="337" customHeight="1" spans="1:28">
      <c r="A337" s="14">
        <v>337</v>
      </c>
      <c r="B337" s="15" t="str">
        <f>IFERROR(IF([2]对账明细接口!$B$337=0,"",[2]对账明细接口!$B$337),"")</f>
        <v/>
      </c>
      <c r="C337" s="16" t="str">
        <f>IFERROR(IF([2]对账明细接口!$C$337=0,"",[2]对账明细接口!$C$337),"")</f>
        <v/>
      </c>
      <c r="D337" s="16" t="str">
        <f>IFERROR(IF([2]对账明细接口!$D$337=0,"",[2]对账明细接口!$D$337),"")</f>
        <v/>
      </c>
      <c r="E337" s="16" t="str">
        <f>IFERROR(IF([2]对账明细接口!$E$337=0,"",[2]对账明细接口!$E$337),"")</f>
        <v/>
      </c>
      <c r="F337" s="16" t="str">
        <f>IFERROR(IF([2]对账明细接口!$F$337=0,"",[2]对账明细接口!$F$337),"")</f>
        <v/>
      </c>
      <c r="G337" s="16" t="str">
        <f>IFERROR(IF([2]对账明细接口!$G$337=0,"",[2]对账明细接口!$G$337),"")</f>
        <v/>
      </c>
      <c r="H337" s="17" t="str">
        <f>IFERROR(IF([2]对账明细接口!$H$337=0,"",[2]对账明细接口!$H$337),"")</f>
        <v/>
      </c>
      <c r="I337" s="16" t="str">
        <f>IFERROR(IF([2]对账明细接口!$I$337=0,"",[2]对账明细接口!$I$337),"")</f>
        <v/>
      </c>
      <c r="J337" s="18" t="str">
        <f>IFERROR(IF([2]对账明细接口!$J$337=0,"",[2]对账明细接口!$J$337),"")</f>
        <v/>
      </c>
      <c r="K337" s="18" t="str">
        <f>IFERROR(IF([2]对账明细接口!$K$337=0,"",[2]对账明细接口!$K$337),"")</f>
        <v/>
      </c>
      <c r="L337" s="16" t="str">
        <f>IFERROR(IF([2]对账明细接口!$L$337=0,"",[2]对账明细接口!$L$337),"")</f>
        <v/>
      </c>
      <c r="M337" s="16" t="str">
        <f>IFERROR(IF([2]对账明细接口!$M$337=0,"",[2]对账明细接口!$M$337),"")</f>
        <v/>
      </c>
      <c r="N337" s="19">
        <f t="shared" si="30"/>
        <v>0</v>
      </c>
      <c r="O337" s="19">
        <f t="shared" si="31"/>
        <v>165</v>
      </c>
      <c r="S337" s="20" t="str">
        <f>IFERROR(IF([2]对账明细接口!$N337=0,"",[2]对账明细接口!$N337),"")</f>
        <v/>
      </c>
      <c r="T337" s="21" t="str">
        <f>IFERROR(IF([2]对账明细接口!$O337=0,"",[2]对账明细接口!$O337),"")</f>
        <v/>
      </c>
      <c r="U337" s="21" t="str">
        <f>IFERROR(IF([2]对账明细接口!$P337=0,"",[2]对账明细接口!$P337),"")</f>
        <v/>
      </c>
      <c r="V337" s="21" t="str">
        <f>IFERROR(IF([2]对账明细接口!$Q337=0,"",[2]对账明细接口!$Q337),"")</f>
        <v/>
      </c>
      <c r="W337" s="20" t="str">
        <f>IFERROR(IF([2]对账明细接口!$R337=0,"",[2]对账明细接口!$R337),"")</f>
        <v/>
      </c>
      <c r="X337" s="20" t="str">
        <f>IFERROR(IF([2]对账明细接口!$S337=0,"",[2]对账明细接口!$S337),"")</f>
        <v/>
      </c>
      <c r="Y337" s="20" t="str">
        <f t="shared" si="32"/>
        <v/>
      </c>
      <c r="Z337" s="20" t="str">
        <f t="shared" si="33"/>
        <v/>
      </c>
      <c r="AA337" s="20" t="str">
        <f t="shared" si="34"/>
        <v/>
      </c>
      <c r="AB337" s="20" t="str">
        <f t="shared" si="35"/>
        <v/>
      </c>
    </row>
    <row r="338" customHeight="1" spans="1:28">
      <c r="A338" s="14">
        <v>338</v>
      </c>
      <c r="B338" s="15" t="str">
        <f>IFERROR(IF([2]对账明细接口!$B$338=0,"",[2]对账明细接口!$B$338),"")</f>
        <v/>
      </c>
      <c r="C338" s="16" t="str">
        <f>IFERROR(IF([2]对账明细接口!$C$338=0,"",[2]对账明细接口!$C$338),"")</f>
        <v/>
      </c>
      <c r="D338" s="16" t="str">
        <f>IFERROR(IF([2]对账明细接口!$D$338=0,"",[2]对账明细接口!$D$338),"")</f>
        <v/>
      </c>
      <c r="E338" s="16" t="str">
        <f>IFERROR(IF([2]对账明细接口!$E$338=0,"",[2]对账明细接口!$E$338),"")</f>
        <v/>
      </c>
      <c r="F338" s="16" t="str">
        <f>IFERROR(IF([2]对账明细接口!$F$338=0,"",[2]对账明细接口!$F$338),"")</f>
        <v/>
      </c>
      <c r="G338" s="16" t="str">
        <f>IFERROR(IF([2]对账明细接口!$G$338=0,"",[2]对账明细接口!$G$338),"")</f>
        <v/>
      </c>
      <c r="H338" s="17" t="str">
        <f>IFERROR(IF([2]对账明细接口!$H$338=0,"",[2]对账明细接口!$H$338),"")</f>
        <v/>
      </c>
      <c r="I338" s="16" t="str">
        <f>IFERROR(IF([2]对账明细接口!$I$338=0,"",[2]对账明细接口!$I$338),"")</f>
        <v/>
      </c>
      <c r="J338" s="18" t="str">
        <f>IFERROR(IF([2]对账明细接口!$J$338=0,"",[2]对账明细接口!$J$338),"")</f>
        <v/>
      </c>
      <c r="K338" s="18" t="str">
        <f>IFERROR(IF([2]对账明细接口!$K$338=0,"",[2]对账明细接口!$K$338),"")</f>
        <v/>
      </c>
      <c r="L338" s="16" t="str">
        <f>IFERROR(IF([2]对账明细接口!$L$338=0,"",[2]对账明细接口!$L$338),"")</f>
        <v/>
      </c>
      <c r="M338" s="16" t="str">
        <f>IFERROR(IF([2]对账明细接口!$M$338=0,"",[2]对账明细接口!$M$338),"")</f>
        <v/>
      </c>
      <c r="N338" s="19">
        <f t="shared" si="30"/>
        <v>0</v>
      </c>
      <c r="O338" s="19">
        <f t="shared" si="31"/>
        <v>165</v>
      </c>
      <c r="S338" s="20" t="str">
        <f>IFERROR(IF([2]对账明细接口!$N338=0,"",[2]对账明细接口!$N338),"")</f>
        <v/>
      </c>
      <c r="T338" s="21" t="str">
        <f>IFERROR(IF([2]对账明细接口!$O338=0,"",[2]对账明细接口!$O338),"")</f>
        <v/>
      </c>
      <c r="U338" s="21" t="str">
        <f>IFERROR(IF([2]对账明细接口!$P338=0,"",[2]对账明细接口!$P338),"")</f>
        <v/>
      </c>
      <c r="V338" s="21" t="str">
        <f>IFERROR(IF([2]对账明细接口!$Q338=0,"",[2]对账明细接口!$Q338),"")</f>
        <v/>
      </c>
      <c r="W338" s="20" t="str">
        <f>IFERROR(IF([2]对账明细接口!$R338=0,"",[2]对账明细接口!$R338),"")</f>
        <v/>
      </c>
      <c r="X338" s="20" t="str">
        <f>IFERROR(IF([2]对账明细接口!$S338=0,"",[2]对账明细接口!$S338),"")</f>
        <v/>
      </c>
      <c r="Y338" s="20" t="str">
        <f t="shared" si="32"/>
        <v/>
      </c>
      <c r="Z338" s="20" t="str">
        <f t="shared" si="33"/>
        <v/>
      </c>
      <c r="AA338" s="20" t="str">
        <f t="shared" si="34"/>
        <v/>
      </c>
      <c r="AB338" s="20" t="str">
        <f t="shared" si="35"/>
        <v/>
      </c>
    </row>
    <row r="339" customHeight="1" spans="1:28">
      <c r="A339" s="14">
        <v>339</v>
      </c>
      <c r="B339" s="15" t="str">
        <f>IFERROR(IF([2]对账明细接口!$B$339=0,"",[2]对账明细接口!$B$339),"")</f>
        <v/>
      </c>
      <c r="C339" s="16" t="str">
        <f>IFERROR(IF([2]对账明细接口!$C$339=0,"",[2]对账明细接口!$C$339),"")</f>
        <v/>
      </c>
      <c r="D339" s="16" t="str">
        <f>IFERROR(IF([2]对账明细接口!$D$339=0,"",[2]对账明细接口!$D$339),"")</f>
        <v/>
      </c>
      <c r="E339" s="16" t="str">
        <f>IFERROR(IF([2]对账明细接口!$E$339=0,"",[2]对账明细接口!$E$339),"")</f>
        <v/>
      </c>
      <c r="F339" s="16" t="str">
        <f>IFERROR(IF([2]对账明细接口!$F$339=0,"",[2]对账明细接口!$F$339),"")</f>
        <v/>
      </c>
      <c r="G339" s="16" t="str">
        <f>IFERROR(IF([2]对账明细接口!$G$339=0,"",[2]对账明细接口!$G$339),"")</f>
        <v/>
      </c>
      <c r="H339" s="17" t="str">
        <f>IFERROR(IF([2]对账明细接口!$H$339=0,"",[2]对账明细接口!$H$339),"")</f>
        <v/>
      </c>
      <c r="I339" s="16" t="str">
        <f>IFERROR(IF([2]对账明细接口!$I$339=0,"",[2]对账明细接口!$I$339),"")</f>
        <v/>
      </c>
      <c r="J339" s="18" t="str">
        <f>IFERROR(IF([2]对账明细接口!$J$339=0,"",[2]对账明细接口!$J$339),"")</f>
        <v/>
      </c>
      <c r="K339" s="18" t="str">
        <f>IFERROR(IF([2]对账明细接口!$K$339=0,"",[2]对账明细接口!$K$339),"")</f>
        <v/>
      </c>
      <c r="L339" s="16" t="str">
        <f>IFERROR(IF([2]对账明细接口!$L$339=0,"",[2]对账明细接口!$L$339),"")</f>
        <v/>
      </c>
      <c r="M339" s="16" t="str">
        <f>IFERROR(IF([2]对账明细接口!$M$339=0,"",[2]对账明细接口!$M$339),"")</f>
        <v/>
      </c>
      <c r="N339" s="19">
        <f t="shared" si="30"/>
        <v>0</v>
      </c>
      <c r="O339" s="19">
        <f t="shared" si="31"/>
        <v>165</v>
      </c>
      <c r="S339" s="20" t="str">
        <f>IFERROR(IF([2]对账明细接口!$N339=0,"",[2]对账明细接口!$N339),"")</f>
        <v/>
      </c>
      <c r="T339" s="21" t="str">
        <f>IFERROR(IF([2]对账明细接口!$O339=0,"",[2]对账明细接口!$O339),"")</f>
        <v/>
      </c>
      <c r="U339" s="21" t="str">
        <f>IFERROR(IF([2]对账明细接口!$P339=0,"",[2]对账明细接口!$P339),"")</f>
        <v/>
      </c>
      <c r="V339" s="21" t="str">
        <f>IFERROR(IF([2]对账明细接口!$Q339=0,"",[2]对账明细接口!$Q339),"")</f>
        <v/>
      </c>
      <c r="W339" s="20" t="str">
        <f>IFERROR(IF([2]对账明细接口!$R339=0,"",[2]对账明细接口!$R339),"")</f>
        <v/>
      </c>
      <c r="X339" s="20" t="str">
        <f>IFERROR(IF([2]对账明细接口!$S339=0,"",[2]对账明细接口!$S339),"")</f>
        <v/>
      </c>
      <c r="Y339" s="20" t="str">
        <f t="shared" si="32"/>
        <v/>
      </c>
      <c r="Z339" s="20" t="str">
        <f t="shared" si="33"/>
        <v/>
      </c>
      <c r="AA339" s="20" t="str">
        <f t="shared" si="34"/>
        <v/>
      </c>
      <c r="AB339" s="20" t="str">
        <f t="shared" si="35"/>
        <v/>
      </c>
    </row>
    <row r="340" customHeight="1" spans="1:28">
      <c r="A340" s="14">
        <v>340</v>
      </c>
      <c r="B340" s="15" t="str">
        <f>IFERROR(IF([2]对账明细接口!$B$340=0,"",[2]对账明细接口!$B$340),"")</f>
        <v/>
      </c>
      <c r="C340" s="16" t="str">
        <f>IFERROR(IF([2]对账明细接口!$C$340=0,"",[2]对账明细接口!$C$340),"")</f>
        <v/>
      </c>
      <c r="D340" s="16" t="str">
        <f>IFERROR(IF([2]对账明细接口!$D$340=0,"",[2]对账明细接口!$D$340),"")</f>
        <v/>
      </c>
      <c r="E340" s="16" t="str">
        <f>IFERROR(IF([2]对账明细接口!$E$340=0,"",[2]对账明细接口!$E$340),"")</f>
        <v/>
      </c>
      <c r="F340" s="16" t="str">
        <f>IFERROR(IF([2]对账明细接口!$F$340=0,"",[2]对账明细接口!$F$340),"")</f>
        <v/>
      </c>
      <c r="G340" s="16" t="str">
        <f>IFERROR(IF([2]对账明细接口!$G$340=0,"",[2]对账明细接口!$G$340),"")</f>
        <v/>
      </c>
      <c r="H340" s="17" t="str">
        <f>IFERROR(IF([2]对账明细接口!$H$340=0,"",[2]对账明细接口!$H$340),"")</f>
        <v/>
      </c>
      <c r="I340" s="16" t="str">
        <f>IFERROR(IF([2]对账明细接口!$I$340=0,"",[2]对账明细接口!$I$340),"")</f>
        <v/>
      </c>
      <c r="J340" s="18" t="str">
        <f>IFERROR(IF([2]对账明细接口!$J$340=0,"",[2]对账明细接口!$J$340),"")</f>
        <v/>
      </c>
      <c r="K340" s="18" t="str">
        <f>IFERROR(IF([2]对账明细接口!$K$340=0,"",[2]对账明细接口!$K$340),"")</f>
        <v/>
      </c>
      <c r="L340" s="16" t="str">
        <f>IFERROR(IF([2]对账明细接口!$L$340=0,"",[2]对账明细接口!$L$340),"")</f>
        <v/>
      </c>
      <c r="M340" s="16" t="str">
        <f>IFERROR(IF([2]对账明细接口!$M$340=0,"",[2]对账明细接口!$M$340),"")</f>
        <v/>
      </c>
      <c r="N340" s="19">
        <f t="shared" si="30"/>
        <v>0</v>
      </c>
      <c r="O340" s="19">
        <f t="shared" si="31"/>
        <v>165</v>
      </c>
      <c r="S340" s="20" t="str">
        <f>IFERROR(IF([2]对账明细接口!$N340=0,"",[2]对账明细接口!$N340),"")</f>
        <v/>
      </c>
      <c r="T340" s="21" t="str">
        <f>IFERROR(IF([2]对账明细接口!$O340=0,"",[2]对账明细接口!$O340),"")</f>
        <v/>
      </c>
      <c r="U340" s="21" t="str">
        <f>IFERROR(IF([2]对账明细接口!$P340=0,"",[2]对账明细接口!$P340),"")</f>
        <v/>
      </c>
      <c r="V340" s="21" t="str">
        <f>IFERROR(IF([2]对账明细接口!$Q340=0,"",[2]对账明细接口!$Q340),"")</f>
        <v/>
      </c>
      <c r="W340" s="20" t="str">
        <f>IFERROR(IF([2]对账明细接口!$R340=0,"",[2]对账明细接口!$R340),"")</f>
        <v/>
      </c>
      <c r="X340" s="20" t="str">
        <f>IFERROR(IF([2]对账明细接口!$S340=0,"",[2]对账明细接口!$S340),"")</f>
        <v/>
      </c>
      <c r="Y340" s="20" t="str">
        <f t="shared" si="32"/>
        <v/>
      </c>
      <c r="Z340" s="20" t="str">
        <f t="shared" si="33"/>
        <v/>
      </c>
      <c r="AA340" s="20" t="str">
        <f t="shared" si="34"/>
        <v/>
      </c>
      <c r="AB340" s="20" t="str">
        <f t="shared" si="35"/>
        <v/>
      </c>
    </row>
    <row r="341" customHeight="1" spans="1:28">
      <c r="A341" s="14">
        <v>341</v>
      </c>
      <c r="B341" s="15" t="str">
        <f>IFERROR(IF([2]对账明细接口!$B$341=0,"",[2]对账明细接口!$B$341),"")</f>
        <v/>
      </c>
      <c r="C341" s="16" t="str">
        <f>IFERROR(IF([2]对账明细接口!$C$341=0,"",[2]对账明细接口!$C$341),"")</f>
        <v/>
      </c>
      <c r="D341" s="16" t="str">
        <f>IFERROR(IF([2]对账明细接口!$D$341=0,"",[2]对账明细接口!$D$341),"")</f>
        <v/>
      </c>
      <c r="E341" s="16" t="str">
        <f>IFERROR(IF([2]对账明细接口!$E$341=0,"",[2]对账明细接口!$E$341),"")</f>
        <v/>
      </c>
      <c r="F341" s="16" t="str">
        <f>IFERROR(IF([2]对账明细接口!$F$341=0,"",[2]对账明细接口!$F$341),"")</f>
        <v/>
      </c>
      <c r="G341" s="16" t="str">
        <f>IFERROR(IF([2]对账明细接口!$G$341=0,"",[2]对账明细接口!$G$341),"")</f>
        <v/>
      </c>
      <c r="H341" s="17" t="str">
        <f>IFERROR(IF([2]对账明细接口!$H$341=0,"",[2]对账明细接口!$H$341),"")</f>
        <v/>
      </c>
      <c r="I341" s="16" t="str">
        <f>IFERROR(IF([2]对账明细接口!$I$341=0,"",[2]对账明细接口!$I$341),"")</f>
        <v/>
      </c>
      <c r="J341" s="18" t="str">
        <f>IFERROR(IF([2]对账明细接口!$J$341=0,"",[2]对账明细接口!$J$341),"")</f>
        <v/>
      </c>
      <c r="K341" s="18" t="str">
        <f>IFERROR(IF([2]对账明细接口!$K$341=0,"",[2]对账明细接口!$K$341),"")</f>
        <v/>
      </c>
      <c r="L341" s="16" t="str">
        <f>IFERROR(IF([2]对账明细接口!$L$341=0,"",[2]对账明细接口!$L$341),"")</f>
        <v/>
      </c>
      <c r="M341" s="16" t="str">
        <f>IFERROR(IF([2]对账明细接口!$M$341=0,"",[2]对账明细接口!$M$341),"")</f>
        <v/>
      </c>
      <c r="N341" s="19">
        <f t="shared" si="30"/>
        <v>0</v>
      </c>
      <c r="O341" s="19">
        <f t="shared" si="31"/>
        <v>165</v>
      </c>
      <c r="S341" s="20" t="str">
        <f>IFERROR(IF([2]对账明细接口!$N341=0,"",[2]对账明细接口!$N341),"")</f>
        <v/>
      </c>
      <c r="T341" s="21" t="str">
        <f>IFERROR(IF([2]对账明细接口!$O341=0,"",[2]对账明细接口!$O341),"")</f>
        <v/>
      </c>
      <c r="U341" s="21" t="str">
        <f>IFERROR(IF([2]对账明细接口!$P341=0,"",[2]对账明细接口!$P341),"")</f>
        <v/>
      </c>
      <c r="V341" s="21" t="str">
        <f>IFERROR(IF([2]对账明细接口!$Q341=0,"",[2]对账明细接口!$Q341),"")</f>
        <v/>
      </c>
      <c r="W341" s="20" t="str">
        <f>IFERROR(IF([2]对账明细接口!$R341=0,"",[2]对账明细接口!$R341),"")</f>
        <v/>
      </c>
      <c r="X341" s="20" t="str">
        <f>IFERROR(IF([2]对账明细接口!$S341=0,"",[2]对账明细接口!$S341),"")</f>
        <v/>
      </c>
      <c r="Y341" s="20" t="str">
        <f t="shared" si="32"/>
        <v/>
      </c>
      <c r="Z341" s="20" t="str">
        <f t="shared" si="33"/>
        <v/>
      </c>
      <c r="AA341" s="20" t="str">
        <f t="shared" si="34"/>
        <v/>
      </c>
      <c r="AB341" s="20" t="str">
        <f t="shared" si="35"/>
        <v/>
      </c>
    </row>
    <row r="342" customHeight="1" spans="1:28">
      <c r="A342" s="14">
        <v>342</v>
      </c>
      <c r="B342" s="15" t="str">
        <f>IFERROR(IF([2]对账明细接口!$B$342=0,"",[2]对账明细接口!$B$342),"")</f>
        <v/>
      </c>
      <c r="C342" s="16" t="str">
        <f>IFERROR(IF([2]对账明细接口!$C$342=0,"",[2]对账明细接口!$C$342),"")</f>
        <v/>
      </c>
      <c r="D342" s="16" t="str">
        <f>IFERROR(IF([2]对账明细接口!$D$342=0,"",[2]对账明细接口!$D$342),"")</f>
        <v/>
      </c>
      <c r="E342" s="16" t="str">
        <f>IFERROR(IF([2]对账明细接口!$E$342=0,"",[2]对账明细接口!$E$342),"")</f>
        <v/>
      </c>
      <c r="F342" s="16" t="str">
        <f>IFERROR(IF([2]对账明细接口!$F$342=0,"",[2]对账明细接口!$F$342),"")</f>
        <v/>
      </c>
      <c r="G342" s="16" t="str">
        <f>IFERROR(IF([2]对账明细接口!$G$342=0,"",[2]对账明细接口!$G$342),"")</f>
        <v/>
      </c>
      <c r="H342" s="17" t="str">
        <f>IFERROR(IF([2]对账明细接口!$H$342=0,"",[2]对账明细接口!$H$342),"")</f>
        <v/>
      </c>
      <c r="I342" s="16" t="str">
        <f>IFERROR(IF([2]对账明细接口!$I$342=0,"",[2]对账明细接口!$I$342),"")</f>
        <v/>
      </c>
      <c r="J342" s="18" t="str">
        <f>IFERROR(IF([2]对账明细接口!$J$342=0,"",[2]对账明细接口!$J$342),"")</f>
        <v/>
      </c>
      <c r="K342" s="18" t="str">
        <f>IFERROR(IF([2]对账明细接口!$K$342=0,"",[2]对账明细接口!$K$342),"")</f>
        <v/>
      </c>
      <c r="L342" s="16" t="str">
        <f>IFERROR(IF([2]对账明细接口!$L$342=0,"",[2]对账明细接口!$L$342),"")</f>
        <v/>
      </c>
      <c r="M342" s="16" t="str">
        <f>IFERROR(IF([2]对账明细接口!$M$342=0,"",[2]对账明细接口!$M$342),"")</f>
        <v/>
      </c>
      <c r="N342" s="19">
        <f t="shared" si="30"/>
        <v>0</v>
      </c>
      <c r="O342" s="19">
        <f t="shared" si="31"/>
        <v>165</v>
      </c>
      <c r="S342" s="20" t="str">
        <f>IFERROR(IF([2]对账明细接口!$N342=0,"",[2]对账明细接口!$N342),"")</f>
        <v/>
      </c>
      <c r="T342" s="21" t="str">
        <f>IFERROR(IF([2]对账明细接口!$O342=0,"",[2]对账明细接口!$O342),"")</f>
        <v/>
      </c>
      <c r="U342" s="21" t="str">
        <f>IFERROR(IF([2]对账明细接口!$P342=0,"",[2]对账明细接口!$P342),"")</f>
        <v/>
      </c>
      <c r="V342" s="21" t="str">
        <f>IFERROR(IF([2]对账明细接口!$Q342=0,"",[2]对账明细接口!$Q342),"")</f>
        <v/>
      </c>
      <c r="W342" s="20" t="str">
        <f>IFERROR(IF([2]对账明细接口!$R342=0,"",[2]对账明细接口!$R342),"")</f>
        <v/>
      </c>
      <c r="X342" s="20" t="str">
        <f>IFERROR(IF([2]对账明细接口!$S342=0,"",[2]对账明细接口!$S342),"")</f>
        <v/>
      </c>
      <c r="Y342" s="20" t="str">
        <f t="shared" si="32"/>
        <v/>
      </c>
      <c r="Z342" s="20" t="str">
        <f t="shared" si="33"/>
        <v/>
      </c>
      <c r="AA342" s="20" t="str">
        <f t="shared" si="34"/>
        <v/>
      </c>
      <c r="AB342" s="20" t="str">
        <f t="shared" si="35"/>
        <v/>
      </c>
    </row>
    <row r="343" customHeight="1" spans="1:28">
      <c r="A343" s="14">
        <v>343</v>
      </c>
      <c r="B343" s="15" t="str">
        <f>IFERROR(IF([2]对账明细接口!$B$343=0,"",[2]对账明细接口!$B$343),"")</f>
        <v/>
      </c>
      <c r="C343" s="16" t="str">
        <f>IFERROR(IF([2]对账明细接口!$C$343=0,"",[2]对账明细接口!$C$343),"")</f>
        <v/>
      </c>
      <c r="D343" s="16" t="str">
        <f>IFERROR(IF([2]对账明细接口!$D$343=0,"",[2]对账明细接口!$D$343),"")</f>
        <v/>
      </c>
      <c r="E343" s="16" t="str">
        <f>IFERROR(IF([2]对账明细接口!$E$343=0,"",[2]对账明细接口!$E$343),"")</f>
        <v/>
      </c>
      <c r="F343" s="16" t="str">
        <f>IFERROR(IF([2]对账明细接口!$F$343=0,"",[2]对账明细接口!$F$343),"")</f>
        <v/>
      </c>
      <c r="G343" s="16" t="str">
        <f>IFERROR(IF([2]对账明细接口!$G$343=0,"",[2]对账明细接口!$G$343),"")</f>
        <v/>
      </c>
      <c r="H343" s="17" t="str">
        <f>IFERROR(IF([2]对账明细接口!$H$343=0,"",[2]对账明细接口!$H$343),"")</f>
        <v/>
      </c>
      <c r="I343" s="16" t="str">
        <f>IFERROR(IF([2]对账明细接口!$I$343=0,"",[2]对账明细接口!$I$343),"")</f>
        <v/>
      </c>
      <c r="J343" s="18" t="str">
        <f>IFERROR(IF([2]对账明细接口!$J$343=0,"",[2]对账明细接口!$J$343),"")</f>
        <v/>
      </c>
      <c r="K343" s="18" t="str">
        <f>IFERROR(IF([2]对账明细接口!$K$343=0,"",[2]对账明细接口!$K$343),"")</f>
        <v/>
      </c>
      <c r="L343" s="16" t="str">
        <f>IFERROR(IF([2]对账明细接口!$L$343=0,"",[2]对账明细接口!$L$343),"")</f>
        <v/>
      </c>
      <c r="M343" s="16" t="str">
        <f>IFERROR(IF([2]对账明细接口!$M$343=0,"",[2]对账明细接口!$M$343),"")</f>
        <v/>
      </c>
      <c r="N343" s="19">
        <f t="shared" si="30"/>
        <v>0</v>
      </c>
      <c r="O343" s="19">
        <f t="shared" si="31"/>
        <v>165</v>
      </c>
      <c r="S343" s="20" t="str">
        <f>IFERROR(IF([2]对账明细接口!$N343=0,"",[2]对账明细接口!$N343),"")</f>
        <v/>
      </c>
      <c r="T343" s="21" t="str">
        <f>IFERROR(IF([2]对账明细接口!$O343=0,"",[2]对账明细接口!$O343),"")</f>
        <v/>
      </c>
      <c r="U343" s="21" t="str">
        <f>IFERROR(IF([2]对账明细接口!$P343=0,"",[2]对账明细接口!$P343),"")</f>
        <v/>
      </c>
      <c r="V343" s="21" t="str">
        <f>IFERROR(IF([2]对账明细接口!$Q343=0,"",[2]对账明细接口!$Q343),"")</f>
        <v/>
      </c>
      <c r="W343" s="20" t="str">
        <f>IFERROR(IF([2]对账明细接口!$R343=0,"",[2]对账明细接口!$R343),"")</f>
        <v/>
      </c>
      <c r="X343" s="20" t="str">
        <f>IFERROR(IF([2]对账明细接口!$S343=0,"",[2]对账明细接口!$S343),"")</f>
        <v/>
      </c>
      <c r="Y343" s="20" t="str">
        <f t="shared" si="32"/>
        <v/>
      </c>
      <c r="Z343" s="20" t="str">
        <f t="shared" si="33"/>
        <v/>
      </c>
      <c r="AA343" s="20" t="str">
        <f t="shared" si="34"/>
        <v/>
      </c>
      <c r="AB343" s="20" t="str">
        <f t="shared" si="35"/>
        <v/>
      </c>
    </row>
    <row r="344" customHeight="1" spans="1:28">
      <c r="A344" s="14">
        <v>344</v>
      </c>
      <c r="B344" s="15" t="str">
        <f>IFERROR(IF([2]对账明细接口!$B$344=0,"",[2]对账明细接口!$B$344),"")</f>
        <v/>
      </c>
      <c r="C344" s="16" t="str">
        <f>IFERROR(IF([2]对账明细接口!$C$344=0,"",[2]对账明细接口!$C$344),"")</f>
        <v/>
      </c>
      <c r="D344" s="16" t="str">
        <f>IFERROR(IF([2]对账明细接口!$D$344=0,"",[2]对账明细接口!$D$344),"")</f>
        <v/>
      </c>
      <c r="E344" s="16" t="str">
        <f>IFERROR(IF([2]对账明细接口!$E$344=0,"",[2]对账明细接口!$E$344),"")</f>
        <v/>
      </c>
      <c r="F344" s="16" t="str">
        <f>IFERROR(IF([2]对账明细接口!$F$344=0,"",[2]对账明细接口!$F$344),"")</f>
        <v/>
      </c>
      <c r="G344" s="16" t="str">
        <f>IFERROR(IF([2]对账明细接口!$G$344=0,"",[2]对账明细接口!$G$344),"")</f>
        <v/>
      </c>
      <c r="H344" s="17" t="str">
        <f>IFERROR(IF([2]对账明细接口!$H$344=0,"",[2]对账明细接口!$H$344),"")</f>
        <v/>
      </c>
      <c r="I344" s="16" t="str">
        <f>IFERROR(IF([2]对账明细接口!$I$344=0,"",[2]对账明细接口!$I$344),"")</f>
        <v/>
      </c>
      <c r="J344" s="18" t="str">
        <f>IFERROR(IF([2]对账明细接口!$J$344=0,"",[2]对账明细接口!$J$344),"")</f>
        <v/>
      </c>
      <c r="K344" s="18" t="str">
        <f>IFERROR(IF([2]对账明细接口!$K$344=0,"",[2]对账明细接口!$K$344),"")</f>
        <v/>
      </c>
      <c r="L344" s="16" t="str">
        <f>IFERROR(IF([2]对账明细接口!$L$344=0,"",[2]对账明细接口!$L$344),"")</f>
        <v/>
      </c>
      <c r="M344" s="16" t="str">
        <f>IFERROR(IF([2]对账明细接口!$M$344=0,"",[2]对账明细接口!$M$344),"")</f>
        <v/>
      </c>
      <c r="N344" s="19">
        <f t="shared" si="30"/>
        <v>0</v>
      </c>
      <c r="O344" s="19">
        <f t="shared" si="31"/>
        <v>165</v>
      </c>
      <c r="S344" s="20" t="str">
        <f>IFERROR(IF([2]对账明细接口!$N344=0,"",[2]对账明细接口!$N344),"")</f>
        <v/>
      </c>
      <c r="T344" s="21" t="str">
        <f>IFERROR(IF([2]对账明细接口!$O344=0,"",[2]对账明细接口!$O344),"")</f>
        <v/>
      </c>
      <c r="U344" s="21" t="str">
        <f>IFERROR(IF([2]对账明细接口!$P344=0,"",[2]对账明细接口!$P344),"")</f>
        <v/>
      </c>
      <c r="V344" s="21" t="str">
        <f>IFERROR(IF([2]对账明细接口!$Q344=0,"",[2]对账明细接口!$Q344),"")</f>
        <v/>
      </c>
      <c r="W344" s="20" t="str">
        <f>IFERROR(IF([2]对账明细接口!$R344=0,"",[2]对账明细接口!$R344),"")</f>
        <v/>
      </c>
      <c r="X344" s="20" t="str">
        <f>IFERROR(IF([2]对账明细接口!$S344=0,"",[2]对账明细接口!$S344),"")</f>
        <v/>
      </c>
      <c r="Y344" s="20" t="str">
        <f t="shared" si="32"/>
        <v/>
      </c>
      <c r="Z344" s="20" t="str">
        <f t="shared" si="33"/>
        <v/>
      </c>
      <c r="AA344" s="20" t="str">
        <f t="shared" si="34"/>
        <v/>
      </c>
      <c r="AB344" s="20" t="str">
        <f t="shared" si="35"/>
        <v/>
      </c>
    </row>
    <row r="345" customHeight="1" spans="1:28">
      <c r="A345" s="14">
        <v>345</v>
      </c>
      <c r="B345" s="15" t="str">
        <f>IFERROR(IF([2]对账明细接口!$B$345=0,"",[2]对账明细接口!$B$345),"")</f>
        <v/>
      </c>
      <c r="C345" s="16" t="str">
        <f>IFERROR(IF([2]对账明细接口!$C$345=0,"",[2]对账明细接口!$C$345),"")</f>
        <v/>
      </c>
      <c r="D345" s="16" t="str">
        <f>IFERROR(IF([2]对账明细接口!$D$345=0,"",[2]对账明细接口!$D$345),"")</f>
        <v/>
      </c>
      <c r="E345" s="16" t="str">
        <f>IFERROR(IF([2]对账明细接口!$E$345=0,"",[2]对账明细接口!$E$345),"")</f>
        <v/>
      </c>
      <c r="F345" s="16" t="str">
        <f>IFERROR(IF([2]对账明细接口!$F$345=0,"",[2]对账明细接口!$F$345),"")</f>
        <v/>
      </c>
      <c r="G345" s="16" t="str">
        <f>IFERROR(IF([2]对账明细接口!$G$345=0,"",[2]对账明细接口!$G$345),"")</f>
        <v/>
      </c>
      <c r="H345" s="17" t="str">
        <f>IFERROR(IF([2]对账明细接口!$H$345=0,"",[2]对账明细接口!$H$345),"")</f>
        <v/>
      </c>
      <c r="I345" s="16" t="str">
        <f>IFERROR(IF([2]对账明细接口!$I$345=0,"",[2]对账明细接口!$I$345),"")</f>
        <v/>
      </c>
      <c r="J345" s="18" t="str">
        <f>IFERROR(IF([2]对账明细接口!$J$345=0,"",[2]对账明细接口!$J$345),"")</f>
        <v/>
      </c>
      <c r="K345" s="18" t="str">
        <f>IFERROR(IF([2]对账明细接口!$K$345=0,"",[2]对账明细接口!$K$345),"")</f>
        <v/>
      </c>
      <c r="L345" s="16" t="str">
        <f>IFERROR(IF([2]对账明细接口!$L$345=0,"",[2]对账明细接口!$L$345),"")</f>
        <v/>
      </c>
      <c r="M345" s="16" t="str">
        <f>IFERROR(IF([2]对账明细接口!$M$345=0,"",[2]对账明细接口!$M$345),"")</f>
        <v/>
      </c>
      <c r="N345" s="19">
        <f t="shared" si="30"/>
        <v>0</v>
      </c>
      <c r="O345" s="19">
        <f t="shared" si="31"/>
        <v>165</v>
      </c>
      <c r="S345" s="20" t="str">
        <f>IFERROR(IF([2]对账明细接口!$N345=0,"",[2]对账明细接口!$N345),"")</f>
        <v/>
      </c>
      <c r="T345" s="21" t="str">
        <f>IFERROR(IF([2]对账明细接口!$O345=0,"",[2]对账明细接口!$O345),"")</f>
        <v/>
      </c>
      <c r="U345" s="21" t="str">
        <f>IFERROR(IF([2]对账明细接口!$P345=0,"",[2]对账明细接口!$P345),"")</f>
        <v/>
      </c>
      <c r="V345" s="21" t="str">
        <f>IFERROR(IF([2]对账明细接口!$Q345=0,"",[2]对账明细接口!$Q345),"")</f>
        <v/>
      </c>
      <c r="W345" s="20" t="str">
        <f>IFERROR(IF([2]对账明细接口!$R345=0,"",[2]对账明细接口!$R345),"")</f>
        <v/>
      </c>
      <c r="X345" s="20" t="str">
        <f>IFERROR(IF([2]对账明细接口!$S345=0,"",[2]对账明细接口!$S345),"")</f>
        <v/>
      </c>
      <c r="Y345" s="20" t="str">
        <f t="shared" si="32"/>
        <v/>
      </c>
      <c r="Z345" s="20" t="str">
        <f t="shared" si="33"/>
        <v/>
      </c>
      <c r="AA345" s="20" t="str">
        <f t="shared" si="34"/>
        <v/>
      </c>
      <c r="AB345" s="20" t="str">
        <f t="shared" si="35"/>
        <v/>
      </c>
    </row>
    <row r="346" customHeight="1" spans="1:28">
      <c r="A346" s="14">
        <v>346</v>
      </c>
      <c r="B346" s="15" t="str">
        <f>IFERROR(IF([2]对账明细接口!$B$346=0,"",[2]对账明细接口!$B$346),"")</f>
        <v/>
      </c>
      <c r="C346" s="16" t="str">
        <f>IFERROR(IF([2]对账明细接口!$C$346=0,"",[2]对账明细接口!$C$346),"")</f>
        <v/>
      </c>
      <c r="D346" s="16" t="str">
        <f>IFERROR(IF([2]对账明细接口!$D$346=0,"",[2]对账明细接口!$D$346),"")</f>
        <v/>
      </c>
      <c r="E346" s="16" t="str">
        <f>IFERROR(IF([2]对账明细接口!$E$346=0,"",[2]对账明细接口!$E$346),"")</f>
        <v/>
      </c>
      <c r="F346" s="16" t="str">
        <f>IFERROR(IF([2]对账明细接口!$F$346=0,"",[2]对账明细接口!$F$346),"")</f>
        <v/>
      </c>
      <c r="G346" s="16" t="str">
        <f>IFERROR(IF([2]对账明细接口!$G$346=0,"",[2]对账明细接口!$G$346),"")</f>
        <v/>
      </c>
      <c r="H346" s="17" t="str">
        <f>IFERROR(IF([2]对账明细接口!$H$346=0,"",[2]对账明细接口!$H$346),"")</f>
        <v/>
      </c>
      <c r="I346" s="16" t="str">
        <f>IFERROR(IF([2]对账明细接口!$I$346=0,"",[2]对账明细接口!$I$346),"")</f>
        <v/>
      </c>
      <c r="J346" s="18" t="str">
        <f>IFERROR(IF([2]对账明细接口!$J$346=0,"",[2]对账明细接口!$J$346),"")</f>
        <v/>
      </c>
      <c r="K346" s="18" t="str">
        <f>IFERROR(IF([2]对账明细接口!$K$346=0,"",[2]对账明细接口!$K$346),"")</f>
        <v/>
      </c>
      <c r="L346" s="16" t="str">
        <f>IFERROR(IF([2]对账明细接口!$L$346=0,"",[2]对账明细接口!$L$346),"")</f>
        <v/>
      </c>
      <c r="M346" s="16" t="str">
        <f>IFERROR(IF([2]对账明细接口!$M$346=0,"",[2]对账明细接口!$M$346),"")</f>
        <v/>
      </c>
      <c r="N346" s="19">
        <f t="shared" si="30"/>
        <v>0</v>
      </c>
      <c r="O346" s="19">
        <f t="shared" si="31"/>
        <v>165</v>
      </c>
      <c r="S346" s="20" t="str">
        <f>IFERROR(IF([2]对账明细接口!$N346=0,"",[2]对账明细接口!$N346),"")</f>
        <v/>
      </c>
      <c r="T346" s="21" t="str">
        <f>IFERROR(IF([2]对账明细接口!$O346=0,"",[2]对账明细接口!$O346),"")</f>
        <v/>
      </c>
      <c r="U346" s="21" t="str">
        <f>IFERROR(IF([2]对账明细接口!$P346=0,"",[2]对账明细接口!$P346),"")</f>
        <v/>
      </c>
      <c r="V346" s="21" t="str">
        <f>IFERROR(IF([2]对账明细接口!$Q346=0,"",[2]对账明细接口!$Q346),"")</f>
        <v/>
      </c>
      <c r="W346" s="20" t="str">
        <f>IFERROR(IF([2]对账明细接口!$R346=0,"",[2]对账明细接口!$R346),"")</f>
        <v/>
      </c>
      <c r="X346" s="20" t="str">
        <f>IFERROR(IF([2]对账明细接口!$S346=0,"",[2]对账明细接口!$S346),"")</f>
        <v/>
      </c>
      <c r="Y346" s="20" t="str">
        <f t="shared" si="32"/>
        <v/>
      </c>
      <c r="Z346" s="20" t="str">
        <f t="shared" si="33"/>
        <v/>
      </c>
      <c r="AA346" s="20" t="str">
        <f t="shared" si="34"/>
        <v/>
      </c>
      <c r="AB346" s="20" t="str">
        <f t="shared" si="35"/>
        <v/>
      </c>
    </row>
    <row r="347" customHeight="1" spans="1:28">
      <c r="A347" s="14">
        <v>347</v>
      </c>
      <c r="B347" s="15" t="str">
        <f>IFERROR(IF([2]对账明细接口!$B$347=0,"",[2]对账明细接口!$B$347),"")</f>
        <v/>
      </c>
      <c r="C347" s="16" t="str">
        <f>IFERROR(IF([2]对账明细接口!$C$347=0,"",[2]对账明细接口!$C$347),"")</f>
        <v/>
      </c>
      <c r="D347" s="16" t="str">
        <f>IFERROR(IF([2]对账明细接口!$D$347=0,"",[2]对账明细接口!$D$347),"")</f>
        <v/>
      </c>
      <c r="E347" s="16" t="str">
        <f>IFERROR(IF([2]对账明细接口!$E$347=0,"",[2]对账明细接口!$E$347),"")</f>
        <v/>
      </c>
      <c r="F347" s="16" t="str">
        <f>IFERROR(IF([2]对账明细接口!$F$347=0,"",[2]对账明细接口!$F$347),"")</f>
        <v/>
      </c>
      <c r="G347" s="16" t="str">
        <f>IFERROR(IF([2]对账明细接口!$G$347=0,"",[2]对账明细接口!$G$347),"")</f>
        <v/>
      </c>
      <c r="H347" s="17" t="str">
        <f>IFERROR(IF([2]对账明细接口!$H$347=0,"",[2]对账明细接口!$H$347),"")</f>
        <v/>
      </c>
      <c r="I347" s="16" t="str">
        <f>IFERROR(IF([2]对账明细接口!$I$347=0,"",[2]对账明细接口!$I$347),"")</f>
        <v/>
      </c>
      <c r="J347" s="18" t="str">
        <f>IFERROR(IF([2]对账明细接口!$J$347=0,"",[2]对账明细接口!$J$347),"")</f>
        <v/>
      </c>
      <c r="K347" s="18" t="str">
        <f>IFERROR(IF([2]对账明细接口!$K$347=0,"",[2]对账明细接口!$K$347),"")</f>
        <v/>
      </c>
      <c r="L347" s="16" t="str">
        <f>IFERROR(IF([2]对账明细接口!$L$347=0,"",[2]对账明细接口!$L$347),"")</f>
        <v/>
      </c>
      <c r="M347" s="16" t="str">
        <f>IFERROR(IF([2]对账明细接口!$M$347=0,"",[2]对账明细接口!$M$347),"")</f>
        <v/>
      </c>
      <c r="N347" s="19">
        <f t="shared" si="30"/>
        <v>0</v>
      </c>
      <c r="O347" s="19">
        <f t="shared" si="31"/>
        <v>165</v>
      </c>
      <c r="S347" s="20" t="str">
        <f>IFERROR(IF([2]对账明细接口!$N347=0,"",[2]对账明细接口!$N347),"")</f>
        <v/>
      </c>
      <c r="T347" s="21" t="str">
        <f>IFERROR(IF([2]对账明细接口!$O347=0,"",[2]对账明细接口!$O347),"")</f>
        <v/>
      </c>
      <c r="U347" s="21" t="str">
        <f>IFERROR(IF([2]对账明细接口!$P347=0,"",[2]对账明细接口!$P347),"")</f>
        <v/>
      </c>
      <c r="V347" s="21" t="str">
        <f>IFERROR(IF([2]对账明细接口!$Q347=0,"",[2]对账明细接口!$Q347),"")</f>
        <v/>
      </c>
      <c r="W347" s="20" t="str">
        <f>IFERROR(IF([2]对账明细接口!$R347=0,"",[2]对账明细接口!$R347),"")</f>
        <v/>
      </c>
      <c r="X347" s="20" t="str">
        <f>IFERROR(IF([2]对账明细接口!$S347=0,"",[2]对账明细接口!$S347),"")</f>
        <v/>
      </c>
      <c r="Y347" s="20" t="str">
        <f t="shared" si="32"/>
        <v/>
      </c>
      <c r="Z347" s="20" t="str">
        <f t="shared" si="33"/>
        <v/>
      </c>
      <c r="AA347" s="20" t="str">
        <f t="shared" si="34"/>
        <v/>
      </c>
      <c r="AB347" s="20" t="str">
        <f t="shared" si="35"/>
        <v/>
      </c>
    </row>
    <row r="348" customHeight="1" spans="1:28">
      <c r="A348" s="14">
        <v>348</v>
      </c>
      <c r="B348" s="15" t="str">
        <f>IFERROR(IF([2]对账明细接口!$B$348=0,"",[2]对账明细接口!$B$348),"")</f>
        <v/>
      </c>
      <c r="C348" s="16" t="str">
        <f>IFERROR(IF([2]对账明细接口!$C$348=0,"",[2]对账明细接口!$C$348),"")</f>
        <v/>
      </c>
      <c r="D348" s="16" t="str">
        <f>IFERROR(IF([2]对账明细接口!$D$348=0,"",[2]对账明细接口!$D$348),"")</f>
        <v/>
      </c>
      <c r="E348" s="16" t="str">
        <f>IFERROR(IF([2]对账明细接口!$E$348=0,"",[2]对账明细接口!$E$348),"")</f>
        <v/>
      </c>
      <c r="F348" s="16" t="str">
        <f>IFERROR(IF([2]对账明细接口!$F$348=0,"",[2]对账明细接口!$F$348),"")</f>
        <v/>
      </c>
      <c r="G348" s="16" t="str">
        <f>IFERROR(IF([2]对账明细接口!$G$348=0,"",[2]对账明细接口!$G$348),"")</f>
        <v/>
      </c>
      <c r="H348" s="17" t="str">
        <f>IFERROR(IF([2]对账明细接口!$H$348=0,"",[2]对账明细接口!$H$348),"")</f>
        <v/>
      </c>
      <c r="I348" s="16" t="str">
        <f>IFERROR(IF([2]对账明细接口!$I$348=0,"",[2]对账明细接口!$I$348),"")</f>
        <v/>
      </c>
      <c r="J348" s="18" t="str">
        <f>IFERROR(IF([2]对账明细接口!$J$348=0,"",[2]对账明细接口!$J$348),"")</f>
        <v/>
      </c>
      <c r="K348" s="18" t="str">
        <f>IFERROR(IF([2]对账明细接口!$K$348=0,"",[2]对账明细接口!$K$348),"")</f>
        <v/>
      </c>
      <c r="L348" s="16" t="str">
        <f>IFERROR(IF([2]对账明细接口!$L$348=0,"",[2]对账明细接口!$L$348),"")</f>
        <v/>
      </c>
      <c r="M348" s="16" t="str">
        <f>IFERROR(IF([2]对账明细接口!$M$348=0,"",[2]对账明细接口!$M$348),"")</f>
        <v/>
      </c>
      <c r="N348" s="19">
        <f t="shared" si="30"/>
        <v>0</v>
      </c>
      <c r="O348" s="19">
        <f t="shared" si="31"/>
        <v>165</v>
      </c>
      <c r="S348" s="20" t="str">
        <f>IFERROR(IF([2]对账明细接口!$N348=0,"",[2]对账明细接口!$N348),"")</f>
        <v/>
      </c>
      <c r="T348" s="21" t="str">
        <f>IFERROR(IF([2]对账明细接口!$O348=0,"",[2]对账明细接口!$O348),"")</f>
        <v/>
      </c>
      <c r="U348" s="21" t="str">
        <f>IFERROR(IF([2]对账明细接口!$P348=0,"",[2]对账明细接口!$P348),"")</f>
        <v/>
      </c>
      <c r="V348" s="21" t="str">
        <f>IFERROR(IF([2]对账明细接口!$Q348=0,"",[2]对账明细接口!$Q348),"")</f>
        <v/>
      </c>
      <c r="W348" s="20" t="str">
        <f>IFERROR(IF([2]对账明细接口!$R348=0,"",[2]对账明细接口!$R348),"")</f>
        <v/>
      </c>
      <c r="X348" s="20" t="str">
        <f>IFERROR(IF([2]对账明细接口!$S348=0,"",[2]对账明细接口!$S348),"")</f>
        <v/>
      </c>
      <c r="Y348" s="20" t="str">
        <f t="shared" si="32"/>
        <v/>
      </c>
      <c r="Z348" s="20" t="str">
        <f t="shared" si="33"/>
        <v/>
      </c>
      <c r="AA348" s="20" t="str">
        <f t="shared" si="34"/>
        <v/>
      </c>
      <c r="AB348" s="20" t="str">
        <f t="shared" si="35"/>
        <v/>
      </c>
    </row>
    <row r="349" customHeight="1" spans="1:28">
      <c r="A349" s="14">
        <v>349</v>
      </c>
      <c r="B349" s="15" t="str">
        <f>IFERROR(IF([2]对账明细接口!$B$349=0,"",[2]对账明细接口!$B$349),"")</f>
        <v/>
      </c>
      <c r="C349" s="16" t="str">
        <f>IFERROR(IF([2]对账明细接口!$C$349=0,"",[2]对账明细接口!$C$349),"")</f>
        <v/>
      </c>
      <c r="D349" s="16" t="str">
        <f>IFERROR(IF([2]对账明细接口!$D$349=0,"",[2]对账明细接口!$D$349),"")</f>
        <v/>
      </c>
      <c r="E349" s="16" t="str">
        <f>IFERROR(IF([2]对账明细接口!$E$349=0,"",[2]对账明细接口!$E$349),"")</f>
        <v/>
      </c>
      <c r="F349" s="16" t="str">
        <f>IFERROR(IF([2]对账明细接口!$F$349=0,"",[2]对账明细接口!$F$349),"")</f>
        <v/>
      </c>
      <c r="G349" s="16" t="str">
        <f>IFERROR(IF([2]对账明细接口!$G$349=0,"",[2]对账明细接口!$G$349),"")</f>
        <v/>
      </c>
      <c r="H349" s="17" t="str">
        <f>IFERROR(IF([2]对账明细接口!$H$349=0,"",[2]对账明细接口!$H$349),"")</f>
        <v/>
      </c>
      <c r="I349" s="16" t="str">
        <f>IFERROR(IF([2]对账明细接口!$I$349=0,"",[2]对账明细接口!$I$349),"")</f>
        <v/>
      </c>
      <c r="J349" s="18" t="str">
        <f>IFERROR(IF([2]对账明细接口!$J$349=0,"",[2]对账明细接口!$J$349),"")</f>
        <v/>
      </c>
      <c r="K349" s="18" t="str">
        <f>IFERROR(IF([2]对账明细接口!$K$349=0,"",[2]对账明细接口!$K$349),"")</f>
        <v/>
      </c>
      <c r="L349" s="16" t="str">
        <f>IFERROR(IF([2]对账明细接口!$L$349=0,"",[2]对账明细接口!$L$349),"")</f>
        <v/>
      </c>
      <c r="M349" s="16" t="str">
        <f>IFERROR(IF([2]对账明细接口!$M$349=0,"",[2]对账明细接口!$M$349),"")</f>
        <v/>
      </c>
      <c r="N349" s="19">
        <f t="shared" si="30"/>
        <v>0</v>
      </c>
      <c r="O349" s="19">
        <f t="shared" si="31"/>
        <v>165</v>
      </c>
      <c r="S349" s="20" t="str">
        <f>IFERROR(IF([2]对账明细接口!$N349=0,"",[2]对账明细接口!$N349),"")</f>
        <v/>
      </c>
      <c r="T349" s="21" t="str">
        <f>IFERROR(IF([2]对账明细接口!$O349=0,"",[2]对账明细接口!$O349),"")</f>
        <v/>
      </c>
      <c r="U349" s="21" t="str">
        <f>IFERROR(IF([2]对账明细接口!$P349=0,"",[2]对账明细接口!$P349),"")</f>
        <v/>
      </c>
      <c r="V349" s="21" t="str">
        <f>IFERROR(IF([2]对账明细接口!$Q349=0,"",[2]对账明细接口!$Q349),"")</f>
        <v/>
      </c>
      <c r="W349" s="20" t="str">
        <f>IFERROR(IF([2]对账明细接口!$R349=0,"",[2]对账明细接口!$R349),"")</f>
        <v/>
      </c>
      <c r="X349" s="20" t="str">
        <f>IFERROR(IF([2]对账明细接口!$S349=0,"",[2]对账明细接口!$S349),"")</f>
        <v/>
      </c>
      <c r="Y349" s="20" t="str">
        <f t="shared" si="32"/>
        <v/>
      </c>
      <c r="Z349" s="20" t="str">
        <f t="shared" si="33"/>
        <v/>
      </c>
      <c r="AA349" s="20" t="str">
        <f t="shared" si="34"/>
        <v/>
      </c>
      <c r="AB349" s="20" t="str">
        <f t="shared" si="35"/>
        <v/>
      </c>
    </row>
    <row r="350" customHeight="1" spans="1:28">
      <c r="A350" s="14">
        <v>350</v>
      </c>
      <c r="B350" s="15" t="str">
        <f>IFERROR(IF([2]对账明细接口!$B$350=0,"",[2]对账明细接口!$B$350),"")</f>
        <v/>
      </c>
      <c r="C350" s="16" t="str">
        <f>IFERROR(IF([2]对账明细接口!$C$350=0,"",[2]对账明细接口!$C$350),"")</f>
        <v/>
      </c>
      <c r="D350" s="16" t="str">
        <f>IFERROR(IF([2]对账明细接口!$D$350=0,"",[2]对账明细接口!$D$350),"")</f>
        <v/>
      </c>
      <c r="E350" s="16" t="str">
        <f>IFERROR(IF([2]对账明细接口!$E$350=0,"",[2]对账明细接口!$E$350),"")</f>
        <v/>
      </c>
      <c r="F350" s="16" t="str">
        <f>IFERROR(IF([2]对账明细接口!$F$350=0,"",[2]对账明细接口!$F$350),"")</f>
        <v/>
      </c>
      <c r="G350" s="16" t="str">
        <f>IFERROR(IF([2]对账明细接口!$G$350=0,"",[2]对账明细接口!$G$350),"")</f>
        <v/>
      </c>
      <c r="H350" s="17" t="str">
        <f>IFERROR(IF([2]对账明细接口!$H$350=0,"",[2]对账明细接口!$H$350),"")</f>
        <v/>
      </c>
      <c r="I350" s="16" t="str">
        <f>IFERROR(IF([2]对账明细接口!$I$350=0,"",[2]对账明细接口!$I$350),"")</f>
        <v/>
      </c>
      <c r="J350" s="18" t="str">
        <f>IFERROR(IF([2]对账明细接口!$J$350=0,"",[2]对账明细接口!$J$350),"")</f>
        <v/>
      </c>
      <c r="K350" s="18" t="str">
        <f>IFERROR(IF([2]对账明细接口!$K$350=0,"",[2]对账明细接口!$K$350),"")</f>
        <v/>
      </c>
      <c r="L350" s="16" t="str">
        <f>IFERROR(IF([2]对账明细接口!$L$350=0,"",[2]对账明细接口!$L$350),"")</f>
        <v/>
      </c>
      <c r="M350" s="16" t="str">
        <f>IFERROR(IF([2]对账明细接口!$M$350=0,"",[2]对账明细接口!$M$350),"")</f>
        <v/>
      </c>
      <c r="N350" s="19">
        <f t="shared" si="30"/>
        <v>0</v>
      </c>
      <c r="O350" s="19">
        <f t="shared" si="31"/>
        <v>165</v>
      </c>
      <c r="S350" s="20" t="str">
        <f>IFERROR(IF([2]对账明细接口!$N350=0,"",[2]对账明细接口!$N350),"")</f>
        <v/>
      </c>
      <c r="T350" s="21" t="str">
        <f>IFERROR(IF([2]对账明细接口!$O350=0,"",[2]对账明细接口!$O350),"")</f>
        <v/>
      </c>
      <c r="U350" s="21" t="str">
        <f>IFERROR(IF([2]对账明细接口!$P350=0,"",[2]对账明细接口!$P350),"")</f>
        <v/>
      </c>
      <c r="V350" s="21" t="str">
        <f>IFERROR(IF([2]对账明细接口!$Q350=0,"",[2]对账明细接口!$Q350),"")</f>
        <v/>
      </c>
      <c r="W350" s="20" t="str">
        <f>IFERROR(IF([2]对账明细接口!$R350=0,"",[2]对账明细接口!$R350),"")</f>
        <v/>
      </c>
      <c r="X350" s="20" t="str">
        <f>IFERROR(IF([2]对账明细接口!$S350=0,"",[2]对账明细接口!$S350),"")</f>
        <v/>
      </c>
      <c r="Y350" s="20" t="str">
        <f t="shared" si="32"/>
        <v/>
      </c>
      <c r="Z350" s="20" t="str">
        <f t="shared" si="33"/>
        <v/>
      </c>
      <c r="AA350" s="20" t="str">
        <f t="shared" si="34"/>
        <v/>
      </c>
      <c r="AB350" s="20" t="str">
        <f t="shared" si="35"/>
        <v/>
      </c>
    </row>
    <row r="351" customHeight="1" spans="1:28">
      <c r="A351" s="14">
        <v>351</v>
      </c>
      <c r="B351" s="15" t="str">
        <f>IFERROR(IF([2]对账明细接口!$B$351=0,"",[2]对账明细接口!$B$351),"")</f>
        <v/>
      </c>
      <c r="C351" s="16" t="str">
        <f>IFERROR(IF([2]对账明细接口!$C$351=0,"",[2]对账明细接口!$C$351),"")</f>
        <v/>
      </c>
      <c r="D351" s="16" t="str">
        <f>IFERROR(IF([2]对账明细接口!$D$351=0,"",[2]对账明细接口!$D$351),"")</f>
        <v/>
      </c>
      <c r="E351" s="16" t="str">
        <f>IFERROR(IF([2]对账明细接口!$E$351=0,"",[2]对账明细接口!$E$351),"")</f>
        <v/>
      </c>
      <c r="F351" s="16" t="str">
        <f>IFERROR(IF([2]对账明细接口!$F$351=0,"",[2]对账明细接口!$F$351),"")</f>
        <v/>
      </c>
      <c r="G351" s="16" t="str">
        <f>IFERROR(IF([2]对账明细接口!$G$351=0,"",[2]对账明细接口!$G$351),"")</f>
        <v/>
      </c>
      <c r="H351" s="17" t="str">
        <f>IFERROR(IF([2]对账明细接口!$H$351=0,"",[2]对账明细接口!$H$351),"")</f>
        <v/>
      </c>
      <c r="I351" s="16" t="str">
        <f>IFERROR(IF([2]对账明细接口!$I$351=0,"",[2]对账明细接口!$I$351),"")</f>
        <v/>
      </c>
      <c r="J351" s="18" t="str">
        <f>IFERROR(IF([2]对账明细接口!$J$351=0,"",[2]对账明细接口!$J$351),"")</f>
        <v/>
      </c>
      <c r="K351" s="18" t="str">
        <f>IFERROR(IF([2]对账明细接口!$K$351=0,"",[2]对账明细接口!$K$351),"")</f>
        <v/>
      </c>
      <c r="L351" s="16" t="str">
        <f>IFERROR(IF([2]对账明细接口!$L$351=0,"",[2]对账明细接口!$L$351),"")</f>
        <v/>
      </c>
      <c r="M351" s="16" t="str">
        <f>IFERROR(IF([2]对账明细接口!$M$351=0,"",[2]对账明细接口!$M$351),"")</f>
        <v/>
      </c>
      <c r="N351" s="19">
        <f t="shared" si="30"/>
        <v>0</v>
      </c>
      <c r="O351" s="19">
        <f t="shared" si="31"/>
        <v>165</v>
      </c>
      <c r="S351" s="20" t="str">
        <f>IFERROR(IF([2]对账明细接口!$N351=0,"",[2]对账明细接口!$N351),"")</f>
        <v/>
      </c>
      <c r="T351" s="21" t="str">
        <f>IFERROR(IF([2]对账明细接口!$O351=0,"",[2]对账明细接口!$O351),"")</f>
        <v/>
      </c>
      <c r="U351" s="21" t="str">
        <f>IFERROR(IF([2]对账明细接口!$P351=0,"",[2]对账明细接口!$P351),"")</f>
        <v/>
      </c>
      <c r="V351" s="21" t="str">
        <f>IFERROR(IF([2]对账明细接口!$Q351=0,"",[2]对账明细接口!$Q351),"")</f>
        <v/>
      </c>
      <c r="W351" s="20" t="str">
        <f>IFERROR(IF([2]对账明细接口!$R351=0,"",[2]对账明细接口!$R351),"")</f>
        <v/>
      </c>
      <c r="X351" s="20" t="str">
        <f>IFERROR(IF([2]对账明细接口!$S351=0,"",[2]对账明细接口!$S351),"")</f>
        <v/>
      </c>
      <c r="Y351" s="20" t="str">
        <f t="shared" si="32"/>
        <v/>
      </c>
      <c r="Z351" s="20" t="str">
        <f t="shared" si="33"/>
        <v/>
      </c>
      <c r="AA351" s="20" t="str">
        <f t="shared" si="34"/>
        <v/>
      </c>
      <c r="AB351" s="20" t="str">
        <f t="shared" si="35"/>
        <v/>
      </c>
    </row>
    <row r="352" customHeight="1" spans="1:28">
      <c r="A352" s="14">
        <v>352</v>
      </c>
      <c r="B352" s="15" t="str">
        <f>IFERROR(IF([2]对账明细接口!$B$352=0,"",[2]对账明细接口!$B$352),"")</f>
        <v/>
      </c>
      <c r="C352" s="16" t="str">
        <f>IFERROR(IF([2]对账明细接口!$C$352=0,"",[2]对账明细接口!$C$352),"")</f>
        <v/>
      </c>
      <c r="D352" s="16" t="str">
        <f>IFERROR(IF([2]对账明细接口!$D$352=0,"",[2]对账明细接口!$D$352),"")</f>
        <v/>
      </c>
      <c r="E352" s="16" t="str">
        <f>IFERROR(IF([2]对账明细接口!$E$352=0,"",[2]对账明细接口!$E$352),"")</f>
        <v/>
      </c>
      <c r="F352" s="16" t="str">
        <f>IFERROR(IF([2]对账明细接口!$F$352=0,"",[2]对账明细接口!$F$352),"")</f>
        <v/>
      </c>
      <c r="G352" s="16" t="str">
        <f>IFERROR(IF([2]对账明细接口!$G$352=0,"",[2]对账明细接口!$G$352),"")</f>
        <v/>
      </c>
      <c r="H352" s="17" t="str">
        <f>IFERROR(IF([2]对账明细接口!$H$352=0,"",[2]对账明细接口!$H$352),"")</f>
        <v/>
      </c>
      <c r="I352" s="16" t="str">
        <f>IFERROR(IF([2]对账明细接口!$I$352=0,"",[2]对账明细接口!$I$352),"")</f>
        <v/>
      </c>
      <c r="J352" s="18" t="str">
        <f>IFERROR(IF([2]对账明细接口!$J$352=0,"",[2]对账明细接口!$J$352),"")</f>
        <v/>
      </c>
      <c r="K352" s="18" t="str">
        <f>IFERROR(IF([2]对账明细接口!$K$352=0,"",[2]对账明细接口!$K$352),"")</f>
        <v/>
      </c>
      <c r="L352" s="16" t="str">
        <f>IFERROR(IF([2]对账明细接口!$L$352=0,"",[2]对账明细接口!$L$352),"")</f>
        <v/>
      </c>
      <c r="M352" s="16" t="str">
        <f>IFERROR(IF([2]对账明细接口!$M$352=0,"",[2]对账明细接口!$M$352),"")</f>
        <v/>
      </c>
      <c r="N352" s="19">
        <f t="shared" si="30"/>
        <v>0</v>
      </c>
      <c r="O352" s="19">
        <f t="shared" si="31"/>
        <v>165</v>
      </c>
      <c r="S352" s="20" t="str">
        <f>IFERROR(IF([2]对账明细接口!$N352=0,"",[2]对账明细接口!$N352),"")</f>
        <v/>
      </c>
      <c r="T352" s="21" t="str">
        <f>IFERROR(IF([2]对账明细接口!$O352=0,"",[2]对账明细接口!$O352),"")</f>
        <v/>
      </c>
      <c r="U352" s="21" t="str">
        <f>IFERROR(IF([2]对账明细接口!$P352=0,"",[2]对账明细接口!$P352),"")</f>
        <v/>
      </c>
      <c r="V352" s="21" t="str">
        <f>IFERROR(IF([2]对账明细接口!$Q352=0,"",[2]对账明细接口!$Q352),"")</f>
        <v/>
      </c>
      <c r="W352" s="20" t="str">
        <f>IFERROR(IF([2]对账明细接口!$R352=0,"",[2]对账明细接口!$R352),"")</f>
        <v/>
      </c>
      <c r="X352" s="20" t="str">
        <f>IFERROR(IF([2]对账明细接口!$S352=0,"",[2]对账明细接口!$S352),"")</f>
        <v/>
      </c>
      <c r="Y352" s="20" t="str">
        <f t="shared" si="32"/>
        <v/>
      </c>
      <c r="Z352" s="20" t="str">
        <f t="shared" si="33"/>
        <v/>
      </c>
      <c r="AA352" s="20" t="str">
        <f t="shared" si="34"/>
        <v/>
      </c>
      <c r="AB352" s="20" t="str">
        <f t="shared" si="35"/>
        <v/>
      </c>
    </row>
    <row r="353" customHeight="1" spans="1:28">
      <c r="A353" s="14">
        <v>353</v>
      </c>
      <c r="B353" s="15" t="str">
        <f>IFERROR(IF([2]对账明细接口!$B$353=0,"",[2]对账明细接口!$B$353),"")</f>
        <v/>
      </c>
      <c r="C353" s="16" t="str">
        <f>IFERROR(IF([2]对账明细接口!$C$353=0,"",[2]对账明细接口!$C$353),"")</f>
        <v/>
      </c>
      <c r="D353" s="16" t="str">
        <f>IFERROR(IF([2]对账明细接口!$D$353=0,"",[2]对账明细接口!$D$353),"")</f>
        <v/>
      </c>
      <c r="E353" s="16" t="str">
        <f>IFERROR(IF([2]对账明细接口!$E$353=0,"",[2]对账明细接口!$E$353),"")</f>
        <v/>
      </c>
      <c r="F353" s="16" t="str">
        <f>IFERROR(IF([2]对账明细接口!$F$353=0,"",[2]对账明细接口!$F$353),"")</f>
        <v/>
      </c>
      <c r="G353" s="16" t="str">
        <f>IFERROR(IF([2]对账明细接口!$G$353=0,"",[2]对账明细接口!$G$353),"")</f>
        <v/>
      </c>
      <c r="H353" s="17" t="str">
        <f>IFERROR(IF([2]对账明细接口!$H$353=0,"",[2]对账明细接口!$H$353),"")</f>
        <v/>
      </c>
      <c r="I353" s="16" t="str">
        <f>IFERROR(IF([2]对账明细接口!$I$353=0,"",[2]对账明细接口!$I$353),"")</f>
        <v/>
      </c>
      <c r="J353" s="18" t="str">
        <f>IFERROR(IF([2]对账明细接口!$J$353=0,"",[2]对账明细接口!$J$353),"")</f>
        <v/>
      </c>
      <c r="K353" s="18" t="str">
        <f>IFERROR(IF([2]对账明细接口!$K$353=0,"",[2]对账明细接口!$K$353),"")</f>
        <v/>
      </c>
      <c r="L353" s="16" t="str">
        <f>IFERROR(IF([2]对账明细接口!$L$353=0,"",[2]对账明细接口!$L$353),"")</f>
        <v/>
      </c>
      <c r="M353" s="16" t="str">
        <f>IFERROR(IF([2]对账明细接口!$M$353=0,"",[2]对账明细接口!$M$353),"")</f>
        <v/>
      </c>
      <c r="N353" s="19">
        <f t="shared" si="30"/>
        <v>0</v>
      </c>
      <c r="O353" s="19">
        <f t="shared" si="31"/>
        <v>165</v>
      </c>
      <c r="S353" s="20" t="str">
        <f>IFERROR(IF([2]对账明细接口!$N353=0,"",[2]对账明细接口!$N353),"")</f>
        <v/>
      </c>
      <c r="T353" s="21" t="str">
        <f>IFERROR(IF([2]对账明细接口!$O353=0,"",[2]对账明细接口!$O353),"")</f>
        <v/>
      </c>
      <c r="U353" s="21" t="str">
        <f>IFERROR(IF([2]对账明细接口!$P353=0,"",[2]对账明细接口!$P353),"")</f>
        <v/>
      </c>
      <c r="V353" s="21" t="str">
        <f>IFERROR(IF([2]对账明细接口!$Q353=0,"",[2]对账明细接口!$Q353),"")</f>
        <v/>
      </c>
      <c r="W353" s="20" t="str">
        <f>IFERROR(IF([2]对账明细接口!$R353=0,"",[2]对账明细接口!$R353),"")</f>
        <v/>
      </c>
      <c r="X353" s="20" t="str">
        <f>IFERROR(IF([2]对账明细接口!$S353=0,"",[2]对账明细接口!$S353),"")</f>
        <v/>
      </c>
      <c r="Y353" s="20" t="str">
        <f t="shared" si="32"/>
        <v/>
      </c>
      <c r="Z353" s="20" t="str">
        <f t="shared" si="33"/>
        <v/>
      </c>
      <c r="AA353" s="20" t="str">
        <f t="shared" si="34"/>
        <v/>
      </c>
      <c r="AB353" s="20" t="str">
        <f t="shared" si="35"/>
        <v/>
      </c>
    </row>
    <row r="354" customHeight="1" spans="1:28">
      <c r="A354" s="14">
        <v>354</v>
      </c>
      <c r="B354" s="15" t="str">
        <f>IFERROR(IF([2]对账明细接口!$B$354=0,"",[2]对账明细接口!$B$354),"")</f>
        <v/>
      </c>
      <c r="C354" s="16" t="str">
        <f>IFERROR(IF([2]对账明细接口!$C$354=0,"",[2]对账明细接口!$C$354),"")</f>
        <v/>
      </c>
      <c r="D354" s="16" t="str">
        <f>IFERROR(IF([2]对账明细接口!$D$354=0,"",[2]对账明细接口!$D$354),"")</f>
        <v/>
      </c>
      <c r="E354" s="16" t="str">
        <f>IFERROR(IF([2]对账明细接口!$E$354=0,"",[2]对账明细接口!$E$354),"")</f>
        <v/>
      </c>
      <c r="F354" s="16" t="str">
        <f>IFERROR(IF([2]对账明细接口!$F$354=0,"",[2]对账明细接口!$F$354),"")</f>
        <v/>
      </c>
      <c r="G354" s="16" t="str">
        <f>IFERROR(IF([2]对账明细接口!$G$354=0,"",[2]对账明细接口!$G$354),"")</f>
        <v/>
      </c>
      <c r="H354" s="17" t="str">
        <f>IFERROR(IF([2]对账明细接口!$H$354=0,"",[2]对账明细接口!$H$354),"")</f>
        <v/>
      </c>
      <c r="I354" s="16" t="str">
        <f>IFERROR(IF([2]对账明细接口!$I$354=0,"",[2]对账明细接口!$I$354),"")</f>
        <v/>
      </c>
      <c r="J354" s="18" t="str">
        <f>IFERROR(IF([2]对账明细接口!$J$354=0,"",[2]对账明细接口!$J$354),"")</f>
        <v/>
      </c>
      <c r="K354" s="18" t="str">
        <f>IFERROR(IF([2]对账明细接口!$K$354=0,"",[2]对账明细接口!$K$354),"")</f>
        <v/>
      </c>
      <c r="L354" s="16" t="str">
        <f>IFERROR(IF([2]对账明细接口!$L$354=0,"",[2]对账明细接口!$L$354),"")</f>
        <v/>
      </c>
      <c r="M354" s="16" t="str">
        <f>IFERROR(IF([2]对账明细接口!$M$354=0,"",[2]对账明细接口!$M$354),"")</f>
        <v/>
      </c>
      <c r="N354" s="19">
        <f t="shared" si="30"/>
        <v>0</v>
      </c>
      <c r="O354" s="19">
        <f t="shared" si="31"/>
        <v>165</v>
      </c>
      <c r="S354" s="20" t="str">
        <f>IFERROR(IF([2]对账明细接口!$N354=0,"",[2]对账明细接口!$N354),"")</f>
        <v/>
      </c>
      <c r="T354" s="21" t="str">
        <f>IFERROR(IF([2]对账明细接口!$O354=0,"",[2]对账明细接口!$O354),"")</f>
        <v/>
      </c>
      <c r="U354" s="21" t="str">
        <f>IFERROR(IF([2]对账明细接口!$P354=0,"",[2]对账明细接口!$P354),"")</f>
        <v/>
      </c>
      <c r="V354" s="21" t="str">
        <f>IFERROR(IF([2]对账明细接口!$Q354=0,"",[2]对账明细接口!$Q354),"")</f>
        <v/>
      </c>
      <c r="W354" s="20" t="str">
        <f>IFERROR(IF([2]对账明细接口!$R354=0,"",[2]对账明细接口!$R354),"")</f>
        <v/>
      </c>
      <c r="X354" s="20" t="str">
        <f>IFERROR(IF([2]对账明细接口!$S354=0,"",[2]对账明细接口!$S354),"")</f>
        <v/>
      </c>
      <c r="Y354" s="20" t="str">
        <f t="shared" si="32"/>
        <v/>
      </c>
      <c r="Z354" s="20" t="str">
        <f t="shared" si="33"/>
        <v/>
      </c>
      <c r="AA354" s="20" t="str">
        <f t="shared" si="34"/>
        <v/>
      </c>
      <c r="AB354" s="20" t="str">
        <f t="shared" si="35"/>
        <v/>
      </c>
    </row>
    <row r="355" customHeight="1" spans="1:28">
      <c r="A355" s="14">
        <v>355</v>
      </c>
      <c r="B355" s="15" t="str">
        <f>IFERROR(IF([2]对账明细接口!$B$355=0,"",[2]对账明细接口!$B$355),"")</f>
        <v/>
      </c>
      <c r="C355" s="16" t="str">
        <f>IFERROR(IF([2]对账明细接口!$C$355=0,"",[2]对账明细接口!$C$355),"")</f>
        <v/>
      </c>
      <c r="D355" s="16" t="str">
        <f>IFERROR(IF([2]对账明细接口!$D$355=0,"",[2]对账明细接口!$D$355),"")</f>
        <v/>
      </c>
      <c r="E355" s="16" t="str">
        <f>IFERROR(IF([2]对账明细接口!$E$355=0,"",[2]对账明细接口!$E$355),"")</f>
        <v/>
      </c>
      <c r="F355" s="16" t="str">
        <f>IFERROR(IF([2]对账明细接口!$F$355=0,"",[2]对账明细接口!$F$355),"")</f>
        <v/>
      </c>
      <c r="G355" s="16" t="str">
        <f>IFERROR(IF([2]对账明细接口!$G$355=0,"",[2]对账明细接口!$G$355),"")</f>
        <v/>
      </c>
      <c r="H355" s="17" t="str">
        <f>IFERROR(IF([2]对账明细接口!$H$355=0,"",[2]对账明细接口!$H$355),"")</f>
        <v/>
      </c>
      <c r="I355" s="16" t="str">
        <f>IFERROR(IF([2]对账明细接口!$I$355=0,"",[2]对账明细接口!$I$355),"")</f>
        <v/>
      </c>
      <c r="J355" s="18" t="str">
        <f>IFERROR(IF([2]对账明细接口!$J$355=0,"",[2]对账明细接口!$J$355),"")</f>
        <v/>
      </c>
      <c r="K355" s="18" t="str">
        <f>IFERROR(IF([2]对账明细接口!$K$355=0,"",[2]对账明细接口!$K$355),"")</f>
        <v/>
      </c>
      <c r="L355" s="16" t="str">
        <f>IFERROR(IF([2]对账明细接口!$L$355=0,"",[2]对账明细接口!$L$355),"")</f>
        <v/>
      </c>
      <c r="M355" s="16" t="str">
        <f>IFERROR(IF([2]对账明细接口!$M$355=0,"",[2]对账明细接口!$M$355),"")</f>
        <v/>
      </c>
      <c r="N355" s="19">
        <f t="shared" si="30"/>
        <v>0</v>
      </c>
      <c r="O355" s="19">
        <f t="shared" si="31"/>
        <v>165</v>
      </c>
      <c r="S355" s="20" t="str">
        <f>IFERROR(IF([2]对账明细接口!$N355=0,"",[2]对账明细接口!$N355),"")</f>
        <v/>
      </c>
      <c r="T355" s="21" t="str">
        <f>IFERROR(IF([2]对账明细接口!$O355=0,"",[2]对账明细接口!$O355),"")</f>
        <v/>
      </c>
      <c r="U355" s="21" t="str">
        <f>IFERROR(IF([2]对账明细接口!$P355=0,"",[2]对账明细接口!$P355),"")</f>
        <v/>
      </c>
      <c r="V355" s="21" t="str">
        <f>IFERROR(IF([2]对账明细接口!$Q355=0,"",[2]对账明细接口!$Q355),"")</f>
        <v/>
      </c>
      <c r="W355" s="20" t="str">
        <f>IFERROR(IF([2]对账明细接口!$R355=0,"",[2]对账明细接口!$R355),"")</f>
        <v/>
      </c>
      <c r="X355" s="20" t="str">
        <f>IFERROR(IF([2]对账明细接口!$S355=0,"",[2]对账明细接口!$S355),"")</f>
        <v/>
      </c>
      <c r="Y355" s="20" t="str">
        <f t="shared" si="32"/>
        <v/>
      </c>
      <c r="Z355" s="20" t="str">
        <f t="shared" si="33"/>
        <v/>
      </c>
      <c r="AA355" s="20" t="str">
        <f t="shared" si="34"/>
        <v/>
      </c>
      <c r="AB355" s="20" t="str">
        <f t="shared" si="35"/>
        <v/>
      </c>
    </row>
    <row r="356" customHeight="1" spans="1:28">
      <c r="A356" s="14">
        <v>356</v>
      </c>
      <c r="B356" s="15" t="str">
        <f>IFERROR(IF([2]对账明细接口!$B$356=0,"",[2]对账明细接口!$B$356),"")</f>
        <v/>
      </c>
      <c r="C356" s="16" t="str">
        <f>IFERROR(IF([2]对账明细接口!$C$356=0,"",[2]对账明细接口!$C$356),"")</f>
        <v/>
      </c>
      <c r="D356" s="16" t="str">
        <f>IFERROR(IF([2]对账明细接口!$D$356=0,"",[2]对账明细接口!$D$356),"")</f>
        <v/>
      </c>
      <c r="E356" s="16" t="str">
        <f>IFERROR(IF([2]对账明细接口!$E$356=0,"",[2]对账明细接口!$E$356),"")</f>
        <v/>
      </c>
      <c r="F356" s="16" t="str">
        <f>IFERROR(IF([2]对账明细接口!$F$356=0,"",[2]对账明细接口!$F$356),"")</f>
        <v/>
      </c>
      <c r="G356" s="16" t="str">
        <f>IFERROR(IF([2]对账明细接口!$G$356=0,"",[2]对账明细接口!$G$356),"")</f>
        <v/>
      </c>
      <c r="H356" s="17" t="str">
        <f>IFERROR(IF([2]对账明细接口!$H$356=0,"",[2]对账明细接口!$H$356),"")</f>
        <v/>
      </c>
      <c r="I356" s="16" t="str">
        <f>IFERROR(IF([2]对账明细接口!$I$356=0,"",[2]对账明细接口!$I$356),"")</f>
        <v/>
      </c>
      <c r="J356" s="18" t="str">
        <f>IFERROR(IF([2]对账明细接口!$J$356=0,"",[2]对账明细接口!$J$356),"")</f>
        <v/>
      </c>
      <c r="K356" s="18" t="str">
        <f>IFERROR(IF([2]对账明细接口!$K$356=0,"",[2]对账明细接口!$K$356),"")</f>
        <v/>
      </c>
      <c r="L356" s="16" t="str">
        <f>IFERROR(IF([2]对账明细接口!$L$356=0,"",[2]对账明细接口!$L$356),"")</f>
        <v/>
      </c>
      <c r="M356" s="16" t="str">
        <f>IFERROR(IF([2]对账明细接口!$M$356=0,"",[2]对账明细接口!$M$356),"")</f>
        <v/>
      </c>
      <c r="N356" s="19">
        <f t="shared" si="30"/>
        <v>0</v>
      </c>
      <c r="O356" s="19">
        <f t="shared" si="31"/>
        <v>165</v>
      </c>
      <c r="S356" s="20" t="str">
        <f>IFERROR(IF([2]对账明细接口!$N356=0,"",[2]对账明细接口!$N356),"")</f>
        <v/>
      </c>
      <c r="T356" s="21" t="str">
        <f>IFERROR(IF([2]对账明细接口!$O356=0,"",[2]对账明细接口!$O356),"")</f>
        <v/>
      </c>
      <c r="U356" s="21" t="str">
        <f>IFERROR(IF([2]对账明细接口!$P356=0,"",[2]对账明细接口!$P356),"")</f>
        <v/>
      </c>
      <c r="V356" s="21" t="str">
        <f>IFERROR(IF([2]对账明细接口!$Q356=0,"",[2]对账明细接口!$Q356),"")</f>
        <v/>
      </c>
      <c r="W356" s="20" t="str">
        <f>IFERROR(IF([2]对账明细接口!$R356=0,"",[2]对账明细接口!$R356),"")</f>
        <v/>
      </c>
      <c r="X356" s="20" t="str">
        <f>IFERROR(IF([2]对账明细接口!$S356=0,"",[2]对账明细接口!$S356),"")</f>
        <v/>
      </c>
      <c r="Y356" s="20" t="str">
        <f t="shared" si="32"/>
        <v/>
      </c>
      <c r="Z356" s="20" t="str">
        <f t="shared" si="33"/>
        <v/>
      </c>
      <c r="AA356" s="20" t="str">
        <f t="shared" si="34"/>
        <v/>
      </c>
      <c r="AB356" s="20" t="str">
        <f t="shared" si="35"/>
        <v/>
      </c>
    </row>
    <row r="357" customHeight="1" spans="1:28">
      <c r="A357" s="14">
        <v>357</v>
      </c>
      <c r="B357" s="15" t="str">
        <f>IFERROR(IF([2]对账明细接口!$B$357=0,"",[2]对账明细接口!$B$357),"")</f>
        <v/>
      </c>
      <c r="C357" s="16" t="str">
        <f>IFERROR(IF([2]对账明细接口!$C$357=0,"",[2]对账明细接口!$C$357),"")</f>
        <v/>
      </c>
      <c r="D357" s="16" t="str">
        <f>IFERROR(IF([2]对账明细接口!$D$357=0,"",[2]对账明细接口!$D$357),"")</f>
        <v/>
      </c>
      <c r="E357" s="16" t="str">
        <f>IFERROR(IF([2]对账明细接口!$E$357=0,"",[2]对账明细接口!$E$357),"")</f>
        <v/>
      </c>
      <c r="F357" s="16" t="str">
        <f>IFERROR(IF([2]对账明细接口!$F$357=0,"",[2]对账明细接口!$F$357),"")</f>
        <v/>
      </c>
      <c r="G357" s="16" t="str">
        <f>IFERROR(IF([2]对账明细接口!$G$357=0,"",[2]对账明细接口!$G$357),"")</f>
        <v/>
      </c>
      <c r="H357" s="17" t="str">
        <f>IFERROR(IF([2]对账明细接口!$H$357=0,"",[2]对账明细接口!$H$357),"")</f>
        <v/>
      </c>
      <c r="I357" s="16" t="str">
        <f>IFERROR(IF([2]对账明细接口!$I$357=0,"",[2]对账明细接口!$I$357),"")</f>
        <v/>
      </c>
      <c r="J357" s="18" t="str">
        <f>IFERROR(IF([2]对账明细接口!$J$357=0,"",[2]对账明细接口!$J$357),"")</f>
        <v/>
      </c>
      <c r="K357" s="18" t="str">
        <f>IFERROR(IF([2]对账明细接口!$K$357=0,"",[2]对账明细接口!$K$357),"")</f>
        <v/>
      </c>
      <c r="L357" s="16" t="str">
        <f>IFERROR(IF([2]对账明细接口!$L$357=0,"",[2]对账明细接口!$L$357),"")</f>
        <v/>
      </c>
      <c r="M357" s="16" t="str">
        <f>IFERROR(IF([2]对账明细接口!$M$357=0,"",[2]对账明细接口!$M$357),"")</f>
        <v/>
      </c>
      <c r="N357" s="19">
        <f t="shared" si="30"/>
        <v>0</v>
      </c>
      <c r="O357" s="19">
        <f t="shared" si="31"/>
        <v>165</v>
      </c>
      <c r="S357" s="20" t="str">
        <f>IFERROR(IF([2]对账明细接口!$N357=0,"",[2]对账明细接口!$N357),"")</f>
        <v/>
      </c>
      <c r="T357" s="21" t="str">
        <f>IFERROR(IF([2]对账明细接口!$O357=0,"",[2]对账明细接口!$O357),"")</f>
        <v/>
      </c>
      <c r="U357" s="21" t="str">
        <f>IFERROR(IF([2]对账明细接口!$P357=0,"",[2]对账明细接口!$P357),"")</f>
        <v/>
      </c>
      <c r="V357" s="21" t="str">
        <f>IFERROR(IF([2]对账明细接口!$Q357=0,"",[2]对账明细接口!$Q357),"")</f>
        <v/>
      </c>
      <c r="W357" s="20" t="str">
        <f>IFERROR(IF([2]对账明细接口!$R357=0,"",[2]对账明细接口!$R357),"")</f>
        <v/>
      </c>
      <c r="X357" s="20" t="str">
        <f>IFERROR(IF([2]对账明细接口!$S357=0,"",[2]对账明细接口!$S357),"")</f>
        <v/>
      </c>
      <c r="Y357" s="20" t="str">
        <f t="shared" si="32"/>
        <v/>
      </c>
      <c r="Z357" s="20" t="str">
        <f t="shared" si="33"/>
        <v/>
      </c>
      <c r="AA357" s="20" t="str">
        <f t="shared" si="34"/>
        <v/>
      </c>
      <c r="AB357" s="20" t="str">
        <f t="shared" si="35"/>
        <v/>
      </c>
    </row>
    <row r="358" customHeight="1" spans="1:28">
      <c r="A358" s="14">
        <v>358</v>
      </c>
      <c r="B358" s="15" t="str">
        <f>IFERROR(IF([2]对账明细接口!$B$358=0,"",[2]对账明细接口!$B$358),"")</f>
        <v/>
      </c>
      <c r="C358" s="16" t="str">
        <f>IFERROR(IF([2]对账明细接口!$C$358=0,"",[2]对账明细接口!$C$358),"")</f>
        <v/>
      </c>
      <c r="D358" s="16" t="str">
        <f>IFERROR(IF([2]对账明细接口!$D$358=0,"",[2]对账明细接口!$D$358),"")</f>
        <v/>
      </c>
      <c r="E358" s="16" t="str">
        <f>IFERROR(IF([2]对账明细接口!$E$358=0,"",[2]对账明细接口!$E$358),"")</f>
        <v/>
      </c>
      <c r="F358" s="16" t="str">
        <f>IFERROR(IF([2]对账明细接口!$F$358=0,"",[2]对账明细接口!$F$358),"")</f>
        <v/>
      </c>
      <c r="G358" s="16" t="str">
        <f>IFERROR(IF([2]对账明细接口!$G$358=0,"",[2]对账明细接口!$G$358),"")</f>
        <v/>
      </c>
      <c r="H358" s="17" t="str">
        <f>IFERROR(IF([2]对账明细接口!$H$358=0,"",[2]对账明细接口!$H$358),"")</f>
        <v/>
      </c>
      <c r="I358" s="16" t="str">
        <f>IFERROR(IF([2]对账明细接口!$I$358=0,"",[2]对账明细接口!$I$358),"")</f>
        <v/>
      </c>
      <c r="J358" s="18" t="str">
        <f>IFERROR(IF([2]对账明细接口!$J$358=0,"",[2]对账明细接口!$J$358),"")</f>
        <v/>
      </c>
      <c r="K358" s="18" t="str">
        <f>IFERROR(IF([2]对账明细接口!$K$358=0,"",[2]对账明细接口!$K$358),"")</f>
        <v/>
      </c>
      <c r="L358" s="16" t="str">
        <f>IFERROR(IF([2]对账明细接口!$L$358=0,"",[2]对账明细接口!$L$358),"")</f>
        <v/>
      </c>
      <c r="M358" s="16" t="str">
        <f>IFERROR(IF([2]对账明细接口!$M$358=0,"",[2]对账明细接口!$M$358),"")</f>
        <v/>
      </c>
      <c r="N358" s="19">
        <f t="shared" si="30"/>
        <v>0</v>
      </c>
      <c r="O358" s="19">
        <f t="shared" si="31"/>
        <v>165</v>
      </c>
      <c r="S358" s="20" t="str">
        <f>IFERROR(IF([2]对账明细接口!$N358=0,"",[2]对账明细接口!$N358),"")</f>
        <v/>
      </c>
      <c r="T358" s="21" t="str">
        <f>IFERROR(IF([2]对账明细接口!$O358=0,"",[2]对账明细接口!$O358),"")</f>
        <v/>
      </c>
      <c r="U358" s="21" t="str">
        <f>IFERROR(IF([2]对账明细接口!$P358=0,"",[2]对账明细接口!$P358),"")</f>
        <v/>
      </c>
      <c r="V358" s="21" t="str">
        <f>IFERROR(IF([2]对账明细接口!$Q358=0,"",[2]对账明细接口!$Q358),"")</f>
        <v/>
      </c>
      <c r="W358" s="20" t="str">
        <f>IFERROR(IF([2]对账明细接口!$R358=0,"",[2]对账明细接口!$R358),"")</f>
        <v/>
      </c>
      <c r="X358" s="20" t="str">
        <f>IFERROR(IF([2]对账明细接口!$S358=0,"",[2]对账明细接口!$S358),"")</f>
        <v/>
      </c>
      <c r="Y358" s="20" t="str">
        <f t="shared" si="32"/>
        <v/>
      </c>
      <c r="Z358" s="20" t="str">
        <f t="shared" si="33"/>
        <v/>
      </c>
      <c r="AA358" s="20" t="str">
        <f t="shared" si="34"/>
        <v/>
      </c>
      <c r="AB358" s="20" t="str">
        <f t="shared" si="35"/>
        <v/>
      </c>
    </row>
    <row r="359" customHeight="1" spans="1:28">
      <c r="A359" s="14">
        <v>359</v>
      </c>
      <c r="B359" s="15" t="str">
        <f>IFERROR(IF([2]对账明细接口!$B$359=0,"",[2]对账明细接口!$B$359),"")</f>
        <v/>
      </c>
      <c r="C359" s="16" t="str">
        <f>IFERROR(IF([2]对账明细接口!$C$359=0,"",[2]对账明细接口!$C$359),"")</f>
        <v/>
      </c>
      <c r="D359" s="16" t="str">
        <f>IFERROR(IF([2]对账明细接口!$D$359=0,"",[2]对账明细接口!$D$359),"")</f>
        <v/>
      </c>
      <c r="E359" s="16" t="str">
        <f>IFERROR(IF([2]对账明细接口!$E$359=0,"",[2]对账明细接口!$E$359),"")</f>
        <v/>
      </c>
      <c r="F359" s="16" t="str">
        <f>IFERROR(IF([2]对账明细接口!$F$359=0,"",[2]对账明细接口!$F$359),"")</f>
        <v/>
      </c>
      <c r="G359" s="16" t="str">
        <f>IFERROR(IF([2]对账明细接口!$G$359=0,"",[2]对账明细接口!$G$359),"")</f>
        <v/>
      </c>
      <c r="H359" s="17" t="str">
        <f>IFERROR(IF([2]对账明细接口!$H$359=0,"",[2]对账明细接口!$H$359),"")</f>
        <v/>
      </c>
      <c r="I359" s="16" t="str">
        <f>IFERROR(IF([2]对账明细接口!$I$359=0,"",[2]对账明细接口!$I$359),"")</f>
        <v/>
      </c>
      <c r="J359" s="18" t="str">
        <f>IFERROR(IF([2]对账明细接口!$J$359=0,"",[2]对账明细接口!$J$359),"")</f>
        <v/>
      </c>
      <c r="K359" s="18" t="str">
        <f>IFERROR(IF([2]对账明细接口!$K$359=0,"",[2]对账明细接口!$K$359),"")</f>
        <v/>
      </c>
      <c r="L359" s="16" t="str">
        <f>IFERROR(IF([2]对账明细接口!$L$359=0,"",[2]对账明细接口!$L$359),"")</f>
        <v/>
      </c>
      <c r="M359" s="16" t="str">
        <f>IFERROR(IF([2]对账明细接口!$M$359=0,"",[2]对账明细接口!$M$359),"")</f>
        <v/>
      </c>
      <c r="N359" s="19">
        <f t="shared" si="30"/>
        <v>0</v>
      </c>
      <c r="O359" s="19">
        <f t="shared" si="31"/>
        <v>165</v>
      </c>
      <c r="S359" s="20" t="str">
        <f>IFERROR(IF([2]对账明细接口!$N359=0,"",[2]对账明细接口!$N359),"")</f>
        <v/>
      </c>
      <c r="T359" s="21" t="str">
        <f>IFERROR(IF([2]对账明细接口!$O359=0,"",[2]对账明细接口!$O359),"")</f>
        <v/>
      </c>
      <c r="U359" s="21" t="str">
        <f>IFERROR(IF([2]对账明细接口!$P359=0,"",[2]对账明细接口!$P359),"")</f>
        <v/>
      </c>
      <c r="V359" s="21" t="str">
        <f>IFERROR(IF([2]对账明细接口!$Q359=0,"",[2]对账明细接口!$Q359),"")</f>
        <v/>
      </c>
      <c r="W359" s="20" t="str">
        <f>IFERROR(IF([2]对账明细接口!$R359=0,"",[2]对账明细接口!$R359),"")</f>
        <v/>
      </c>
      <c r="X359" s="20" t="str">
        <f>IFERROR(IF([2]对账明细接口!$S359=0,"",[2]对账明细接口!$S359),"")</f>
        <v/>
      </c>
      <c r="Y359" s="20" t="str">
        <f t="shared" si="32"/>
        <v/>
      </c>
      <c r="Z359" s="20" t="str">
        <f t="shared" si="33"/>
        <v/>
      </c>
      <c r="AA359" s="20" t="str">
        <f t="shared" si="34"/>
        <v/>
      </c>
      <c r="AB359" s="20" t="str">
        <f t="shared" si="35"/>
        <v/>
      </c>
    </row>
    <row r="360" customHeight="1" spans="1:28">
      <c r="A360" s="14">
        <v>360</v>
      </c>
      <c r="B360" s="15" t="str">
        <f>IFERROR(IF([2]对账明细接口!$B$360=0,"",[2]对账明细接口!$B$360),"")</f>
        <v/>
      </c>
      <c r="C360" s="16" t="str">
        <f>IFERROR(IF([2]对账明细接口!$C$360=0,"",[2]对账明细接口!$C$360),"")</f>
        <v/>
      </c>
      <c r="D360" s="16" t="str">
        <f>IFERROR(IF([2]对账明细接口!$D$360=0,"",[2]对账明细接口!$D$360),"")</f>
        <v/>
      </c>
      <c r="E360" s="16" t="str">
        <f>IFERROR(IF([2]对账明细接口!$E$360=0,"",[2]对账明细接口!$E$360),"")</f>
        <v/>
      </c>
      <c r="F360" s="16" t="str">
        <f>IFERROR(IF([2]对账明细接口!$F$360=0,"",[2]对账明细接口!$F$360),"")</f>
        <v/>
      </c>
      <c r="G360" s="16" t="str">
        <f>IFERROR(IF([2]对账明细接口!$G$360=0,"",[2]对账明细接口!$G$360),"")</f>
        <v/>
      </c>
      <c r="H360" s="17" t="str">
        <f>IFERROR(IF([2]对账明细接口!$H$360=0,"",[2]对账明细接口!$H$360),"")</f>
        <v/>
      </c>
      <c r="I360" s="16" t="str">
        <f>IFERROR(IF([2]对账明细接口!$I$360=0,"",[2]对账明细接口!$I$360),"")</f>
        <v/>
      </c>
      <c r="J360" s="18" t="str">
        <f>IFERROR(IF([2]对账明细接口!$J$360=0,"",[2]对账明细接口!$J$360),"")</f>
        <v/>
      </c>
      <c r="K360" s="18" t="str">
        <f>IFERROR(IF([2]对账明细接口!$K$360=0,"",[2]对账明细接口!$K$360),"")</f>
        <v/>
      </c>
      <c r="L360" s="16" t="str">
        <f>IFERROR(IF([2]对账明细接口!$L$360=0,"",[2]对账明细接口!$L$360),"")</f>
        <v/>
      </c>
      <c r="M360" s="16" t="str">
        <f>IFERROR(IF([2]对账明细接口!$M$360=0,"",[2]对账明细接口!$M$360),"")</f>
        <v/>
      </c>
      <c r="N360" s="19">
        <f t="shared" si="30"/>
        <v>0</v>
      </c>
      <c r="O360" s="19">
        <f t="shared" si="31"/>
        <v>165</v>
      </c>
      <c r="S360" s="20" t="str">
        <f>IFERROR(IF([2]对账明细接口!$N360=0,"",[2]对账明细接口!$N360),"")</f>
        <v/>
      </c>
      <c r="T360" s="21" t="str">
        <f>IFERROR(IF([2]对账明细接口!$O360=0,"",[2]对账明细接口!$O360),"")</f>
        <v/>
      </c>
      <c r="U360" s="21" t="str">
        <f>IFERROR(IF([2]对账明细接口!$P360=0,"",[2]对账明细接口!$P360),"")</f>
        <v/>
      </c>
      <c r="V360" s="21" t="str">
        <f>IFERROR(IF([2]对账明细接口!$Q360=0,"",[2]对账明细接口!$Q360),"")</f>
        <v/>
      </c>
      <c r="W360" s="20" t="str">
        <f>IFERROR(IF([2]对账明细接口!$R360=0,"",[2]对账明细接口!$R360),"")</f>
        <v/>
      </c>
      <c r="X360" s="20" t="str">
        <f>IFERROR(IF([2]对账明细接口!$S360=0,"",[2]对账明细接口!$S360),"")</f>
        <v/>
      </c>
      <c r="Y360" s="20" t="str">
        <f t="shared" si="32"/>
        <v/>
      </c>
      <c r="Z360" s="20" t="str">
        <f t="shared" si="33"/>
        <v/>
      </c>
      <c r="AA360" s="20" t="str">
        <f t="shared" si="34"/>
        <v/>
      </c>
      <c r="AB360" s="20" t="str">
        <f t="shared" si="35"/>
        <v/>
      </c>
    </row>
    <row r="361" customHeight="1" spans="1:28">
      <c r="A361" s="14">
        <v>361</v>
      </c>
      <c r="B361" s="15" t="str">
        <f>IFERROR(IF([2]对账明细接口!$B$361=0,"",[2]对账明细接口!$B$361),"")</f>
        <v/>
      </c>
      <c r="C361" s="16" t="str">
        <f>IFERROR(IF([2]对账明细接口!$C$361=0,"",[2]对账明细接口!$C$361),"")</f>
        <v/>
      </c>
      <c r="D361" s="16" t="str">
        <f>IFERROR(IF([2]对账明细接口!$D$361=0,"",[2]对账明细接口!$D$361),"")</f>
        <v/>
      </c>
      <c r="E361" s="16" t="str">
        <f>IFERROR(IF([2]对账明细接口!$E$361=0,"",[2]对账明细接口!$E$361),"")</f>
        <v/>
      </c>
      <c r="F361" s="16" t="str">
        <f>IFERROR(IF([2]对账明细接口!$F$361=0,"",[2]对账明细接口!$F$361),"")</f>
        <v/>
      </c>
      <c r="G361" s="16" t="str">
        <f>IFERROR(IF([2]对账明细接口!$G$361=0,"",[2]对账明细接口!$G$361),"")</f>
        <v/>
      </c>
      <c r="H361" s="17" t="str">
        <f>IFERROR(IF([2]对账明细接口!$H$361=0,"",[2]对账明细接口!$H$361),"")</f>
        <v/>
      </c>
      <c r="I361" s="16" t="str">
        <f>IFERROR(IF([2]对账明细接口!$I$361=0,"",[2]对账明细接口!$I$361),"")</f>
        <v/>
      </c>
      <c r="J361" s="18" t="str">
        <f>IFERROR(IF([2]对账明细接口!$J$361=0,"",[2]对账明细接口!$J$361),"")</f>
        <v/>
      </c>
      <c r="K361" s="18" t="str">
        <f>IFERROR(IF([2]对账明细接口!$K$361=0,"",[2]对账明细接口!$K$361),"")</f>
        <v/>
      </c>
      <c r="L361" s="16" t="str">
        <f>IFERROR(IF([2]对账明细接口!$L$361=0,"",[2]对账明细接口!$L$361),"")</f>
        <v/>
      </c>
      <c r="M361" s="16" t="str">
        <f>IFERROR(IF([2]对账明细接口!$M$361=0,"",[2]对账明细接口!$M$361),"")</f>
        <v/>
      </c>
      <c r="N361" s="19">
        <f t="shared" si="30"/>
        <v>0</v>
      </c>
      <c r="O361" s="19">
        <f t="shared" si="31"/>
        <v>165</v>
      </c>
      <c r="S361" s="20" t="str">
        <f>IFERROR(IF([2]对账明细接口!$N361=0,"",[2]对账明细接口!$N361),"")</f>
        <v/>
      </c>
      <c r="T361" s="21" t="str">
        <f>IFERROR(IF([2]对账明细接口!$O361=0,"",[2]对账明细接口!$O361),"")</f>
        <v/>
      </c>
      <c r="U361" s="21" t="str">
        <f>IFERROR(IF([2]对账明细接口!$P361=0,"",[2]对账明细接口!$P361),"")</f>
        <v/>
      </c>
      <c r="V361" s="21" t="str">
        <f>IFERROR(IF([2]对账明细接口!$Q361=0,"",[2]对账明细接口!$Q361),"")</f>
        <v/>
      </c>
      <c r="W361" s="20" t="str">
        <f>IFERROR(IF([2]对账明细接口!$R361=0,"",[2]对账明细接口!$R361),"")</f>
        <v/>
      </c>
      <c r="X361" s="20" t="str">
        <f>IFERROR(IF([2]对账明细接口!$S361=0,"",[2]对账明细接口!$S361),"")</f>
        <v/>
      </c>
      <c r="Y361" s="20" t="str">
        <f t="shared" si="32"/>
        <v/>
      </c>
      <c r="Z361" s="20" t="str">
        <f t="shared" si="33"/>
        <v/>
      </c>
      <c r="AA361" s="20" t="str">
        <f t="shared" si="34"/>
        <v/>
      </c>
      <c r="AB361" s="20" t="str">
        <f t="shared" si="35"/>
        <v/>
      </c>
    </row>
    <row r="362" customHeight="1" spans="1:28">
      <c r="A362" s="14">
        <v>362</v>
      </c>
      <c r="B362" s="15" t="str">
        <f>IFERROR(IF([2]对账明细接口!$B$362=0,"",[2]对账明细接口!$B$362),"")</f>
        <v/>
      </c>
      <c r="C362" s="16" t="str">
        <f>IFERROR(IF([2]对账明细接口!$C$362=0,"",[2]对账明细接口!$C$362),"")</f>
        <v/>
      </c>
      <c r="D362" s="16" t="str">
        <f>IFERROR(IF([2]对账明细接口!$D$362=0,"",[2]对账明细接口!$D$362),"")</f>
        <v/>
      </c>
      <c r="E362" s="16" t="str">
        <f>IFERROR(IF([2]对账明细接口!$E$362=0,"",[2]对账明细接口!$E$362),"")</f>
        <v/>
      </c>
      <c r="F362" s="16" t="str">
        <f>IFERROR(IF([2]对账明细接口!$F$362=0,"",[2]对账明细接口!$F$362),"")</f>
        <v/>
      </c>
      <c r="G362" s="16" t="str">
        <f>IFERROR(IF([2]对账明细接口!$G$362=0,"",[2]对账明细接口!$G$362),"")</f>
        <v/>
      </c>
      <c r="H362" s="17" t="str">
        <f>IFERROR(IF([2]对账明细接口!$H$362=0,"",[2]对账明细接口!$H$362),"")</f>
        <v/>
      </c>
      <c r="I362" s="16" t="str">
        <f>IFERROR(IF([2]对账明细接口!$I$362=0,"",[2]对账明细接口!$I$362),"")</f>
        <v/>
      </c>
      <c r="J362" s="18" t="str">
        <f>IFERROR(IF([2]对账明细接口!$J$362=0,"",[2]对账明细接口!$J$362),"")</f>
        <v/>
      </c>
      <c r="K362" s="18" t="str">
        <f>IFERROR(IF([2]对账明细接口!$K$362=0,"",[2]对账明细接口!$K$362),"")</f>
        <v/>
      </c>
      <c r="L362" s="16" t="str">
        <f>IFERROR(IF([2]对账明细接口!$L$362=0,"",[2]对账明细接口!$L$362),"")</f>
        <v/>
      </c>
      <c r="M362" s="16" t="str">
        <f>IFERROR(IF([2]对账明细接口!$M$362=0,"",[2]对账明细接口!$M$362),"")</f>
        <v/>
      </c>
      <c r="N362" s="19">
        <f t="shared" si="30"/>
        <v>0</v>
      </c>
      <c r="O362" s="19">
        <f t="shared" si="31"/>
        <v>165</v>
      </c>
      <c r="S362" s="20" t="str">
        <f>IFERROR(IF([2]对账明细接口!$N362=0,"",[2]对账明细接口!$N362),"")</f>
        <v/>
      </c>
      <c r="T362" s="21" t="str">
        <f>IFERROR(IF([2]对账明细接口!$O362=0,"",[2]对账明细接口!$O362),"")</f>
        <v/>
      </c>
      <c r="U362" s="21" t="str">
        <f>IFERROR(IF([2]对账明细接口!$P362=0,"",[2]对账明细接口!$P362),"")</f>
        <v/>
      </c>
      <c r="V362" s="21" t="str">
        <f>IFERROR(IF([2]对账明细接口!$Q362=0,"",[2]对账明细接口!$Q362),"")</f>
        <v/>
      </c>
      <c r="W362" s="20" t="str">
        <f>IFERROR(IF([2]对账明细接口!$R362=0,"",[2]对账明细接口!$R362),"")</f>
        <v/>
      </c>
      <c r="X362" s="20" t="str">
        <f>IFERROR(IF([2]对账明细接口!$S362=0,"",[2]对账明细接口!$S362),"")</f>
        <v/>
      </c>
      <c r="Y362" s="20" t="str">
        <f t="shared" si="32"/>
        <v/>
      </c>
      <c r="Z362" s="20" t="str">
        <f t="shared" si="33"/>
        <v/>
      </c>
      <c r="AA362" s="20" t="str">
        <f t="shared" si="34"/>
        <v/>
      </c>
      <c r="AB362" s="20" t="str">
        <f t="shared" si="35"/>
        <v/>
      </c>
    </row>
    <row r="363" customHeight="1" spans="1:28">
      <c r="A363" s="14">
        <v>363</v>
      </c>
      <c r="B363" s="15" t="str">
        <f>IFERROR(IF([2]对账明细接口!$B$363=0,"",[2]对账明细接口!$B$363),"")</f>
        <v/>
      </c>
      <c r="C363" s="16" t="str">
        <f>IFERROR(IF([2]对账明细接口!$C$363=0,"",[2]对账明细接口!$C$363),"")</f>
        <v/>
      </c>
      <c r="D363" s="16" t="str">
        <f>IFERROR(IF([2]对账明细接口!$D$363=0,"",[2]对账明细接口!$D$363),"")</f>
        <v/>
      </c>
      <c r="E363" s="16" t="str">
        <f>IFERROR(IF([2]对账明细接口!$E$363=0,"",[2]对账明细接口!$E$363),"")</f>
        <v/>
      </c>
      <c r="F363" s="16" t="str">
        <f>IFERROR(IF([2]对账明细接口!$F$363=0,"",[2]对账明细接口!$F$363),"")</f>
        <v/>
      </c>
      <c r="G363" s="16" t="str">
        <f>IFERROR(IF([2]对账明细接口!$G$363=0,"",[2]对账明细接口!$G$363),"")</f>
        <v/>
      </c>
      <c r="H363" s="17" t="str">
        <f>IFERROR(IF([2]对账明细接口!$H$363=0,"",[2]对账明细接口!$H$363),"")</f>
        <v/>
      </c>
      <c r="I363" s="16" t="str">
        <f>IFERROR(IF([2]对账明细接口!$I$363=0,"",[2]对账明细接口!$I$363),"")</f>
        <v/>
      </c>
      <c r="J363" s="18" t="str">
        <f>IFERROR(IF([2]对账明细接口!$J$363=0,"",[2]对账明细接口!$J$363),"")</f>
        <v/>
      </c>
      <c r="K363" s="18" t="str">
        <f>IFERROR(IF([2]对账明细接口!$K$363=0,"",[2]对账明细接口!$K$363),"")</f>
        <v/>
      </c>
      <c r="L363" s="16" t="str">
        <f>IFERROR(IF([2]对账明细接口!$L$363=0,"",[2]对账明细接口!$L$363),"")</f>
        <v/>
      </c>
      <c r="M363" s="16" t="str">
        <f>IFERROR(IF([2]对账明细接口!$M$363=0,"",[2]对账明细接口!$M$363),"")</f>
        <v/>
      </c>
      <c r="N363" s="19">
        <f t="shared" si="30"/>
        <v>0</v>
      </c>
      <c r="O363" s="19">
        <f t="shared" si="31"/>
        <v>165</v>
      </c>
      <c r="S363" s="20" t="str">
        <f>IFERROR(IF([2]对账明细接口!$N363=0,"",[2]对账明细接口!$N363),"")</f>
        <v/>
      </c>
      <c r="T363" s="21" t="str">
        <f>IFERROR(IF([2]对账明细接口!$O363=0,"",[2]对账明细接口!$O363),"")</f>
        <v/>
      </c>
      <c r="U363" s="21" t="str">
        <f>IFERROR(IF([2]对账明细接口!$P363=0,"",[2]对账明细接口!$P363),"")</f>
        <v/>
      </c>
      <c r="V363" s="21" t="str">
        <f>IFERROR(IF([2]对账明细接口!$Q363=0,"",[2]对账明细接口!$Q363),"")</f>
        <v/>
      </c>
      <c r="W363" s="20" t="str">
        <f>IFERROR(IF([2]对账明细接口!$R363=0,"",[2]对账明细接口!$R363),"")</f>
        <v/>
      </c>
      <c r="X363" s="20" t="str">
        <f>IFERROR(IF([2]对账明细接口!$S363=0,"",[2]对账明细接口!$S363),"")</f>
        <v/>
      </c>
      <c r="Y363" s="20" t="str">
        <f t="shared" si="32"/>
        <v/>
      </c>
      <c r="Z363" s="20" t="str">
        <f t="shared" si="33"/>
        <v/>
      </c>
      <c r="AA363" s="20" t="str">
        <f t="shared" si="34"/>
        <v/>
      </c>
      <c r="AB363" s="20" t="str">
        <f t="shared" si="35"/>
        <v/>
      </c>
    </row>
    <row r="364" customHeight="1" spans="1:28">
      <c r="A364" s="14">
        <v>364</v>
      </c>
      <c r="B364" s="15" t="str">
        <f>IFERROR(IF([2]对账明细接口!$B$364=0,"",[2]对账明细接口!$B$364),"")</f>
        <v/>
      </c>
      <c r="C364" s="16" t="str">
        <f>IFERROR(IF([2]对账明细接口!$C$364=0,"",[2]对账明细接口!$C$364),"")</f>
        <v/>
      </c>
      <c r="D364" s="16" t="str">
        <f>IFERROR(IF([2]对账明细接口!$D$364=0,"",[2]对账明细接口!$D$364),"")</f>
        <v/>
      </c>
      <c r="E364" s="16" t="str">
        <f>IFERROR(IF([2]对账明细接口!$E$364=0,"",[2]对账明细接口!$E$364),"")</f>
        <v/>
      </c>
      <c r="F364" s="16" t="str">
        <f>IFERROR(IF([2]对账明细接口!$F$364=0,"",[2]对账明细接口!$F$364),"")</f>
        <v/>
      </c>
      <c r="G364" s="16" t="str">
        <f>IFERROR(IF([2]对账明细接口!$G$364=0,"",[2]对账明细接口!$G$364),"")</f>
        <v/>
      </c>
      <c r="H364" s="17" t="str">
        <f>IFERROR(IF([2]对账明细接口!$H$364=0,"",[2]对账明细接口!$H$364),"")</f>
        <v/>
      </c>
      <c r="I364" s="16" t="str">
        <f>IFERROR(IF([2]对账明细接口!$I$364=0,"",[2]对账明细接口!$I$364),"")</f>
        <v/>
      </c>
      <c r="J364" s="18" t="str">
        <f>IFERROR(IF([2]对账明细接口!$J$364=0,"",[2]对账明细接口!$J$364),"")</f>
        <v/>
      </c>
      <c r="K364" s="18" t="str">
        <f>IFERROR(IF([2]对账明细接口!$K$364=0,"",[2]对账明细接口!$K$364),"")</f>
        <v/>
      </c>
      <c r="L364" s="16" t="str">
        <f>IFERROR(IF([2]对账明细接口!$L$364=0,"",[2]对账明细接口!$L$364),"")</f>
        <v/>
      </c>
      <c r="M364" s="16" t="str">
        <f>IFERROR(IF([2]对账明细接口!$M$364=0,"",[2]对账明细接口!$M$364),"")</f>
        <v/>
      </c>
      <c r="N364" s="19">
        <f t="shared" si="30"/>
        <v>0</v>
      </c>
      <c r="O364" s="19">
        <f t="shared" si="31"/>
        <v>165</v>
      </c>
      <c r="S364" s="20" t="str">
        <f>IFERROR(IF([2]对账明细接口!$N364=0,"",[2]对账明细接口!$N364),"")</f>
        <v/>
      </c>
      <c r="T364" s="21" t="str">
        <f>IFERROR(IF([2]对账明细接口!$O364=0,"",[2]对账明细接口!$O364),"")</f>
        <v/>
      </c>
      <c r="U364" s="21" t="str">
        <f>IFERROR(IF([2]对账明细接口!$P364=0,"",[2]对账明细接口!$P364),"")</f>
        <v/>
      </c>
      <c r="V364" s="21" t="str">
        <f>IFERROR(IF([2]对账明细接口!$Q364=0,"",[2]对账明细接口!$Q364),"")</f>
        <v/>
      </c>
      <c r="W364" s="20" t="str">
        <f>IFERROR(IF([2]对账明细接口!$R364=0,"",[2]对账明细接口!$R364),"")</f>
        <v/>
      </c>
      <c r="X364" s="20" t="str">
        <f>IFERROR(IF([2]对账明细接口!$S364=0,"",[2]对账明细接口!$S364),"")</f>
        <v/>
      </c>
      <c r="Y364" s="20" t="str">
        <f t="shared" si="32"/>
        <v/>
      </c>
      <c r="Z364" s="20" t="str">
        <f t="shared" si="33"/>
        <v/>
      </c>
      <c r="AA364" s="20" t="str">
        <f t="shared" si="34"/>
        <v/>
      </c>
      <c r="AB364" s="20" t="str">
        <f t="shared" si="35"/>
        <v/>
      </c>
    </row>
    <row r="365" customHeight="1" spans="1:28">
      <c r="A365" s="14">
        <v>365</v>
      </c>
      <c r="B365" s="15" t="str">
        <f>IFERROR(IF([2]对账明细接口!$B$365=0,"",[2]对账明细接口!$B$365),"")</f>
        <v/>
      </c>
      <c r="C365" s="16" t="str">
        <f>IFERROR(IF([2]对账明细接口!$C$365=0,"",[2]对账明细接口!$C$365),"")</f>
        <v/>
      </c>
      <c r="D365" s="16" t="str">
        <f>IFERROR(IF([2]对账明细接口!$D$365=0,"",[2]对账明细接口!$D$365),"")</f>
        <v/>
      </c>
      <c r="E365" s="16" t="str">
        <f>IFERROR(IF([2]对账明细接口!$E$365=0,"",[2]对账明细接口!$E$365),"")</f>
        <v/>
      </c>
      <c r="F365" s="16" t="str">
        <f>IFERROR(IF([2]对账明细接口!$F$365=0,"",[2]对账明细接口!$F$365),"")</f>
        <v/>
      </c>
      <c r="G365" s="16" t="str">
        <f>IFERROR(IF([2]对账明细接口!$G$365=0,"",[2]对账明细接口!$G$365),"")</f>
        <v/>
      </c>
      <c r="H365" s="17" t="str">
        <f>IFERROR(IF([2]对账明细接口!$H$365=0,"",[2]对账明细接口!$H$365),"")</f>
        <v/>
      </c>
      <c r="I365" s="16" t="str">
        <f>IFERROR(IF([2]对账明细接口!$I$365=0,"",[2]对账明细接口!$I$365),"")</f>
        <v/>
      </c>
      <c r="J365" s="18" t="str">
        <f>IFERROR(IF([2]对账明细接口!$J$365=0,"",[2]对账明细接口!$J$365),"")</f>
        <v/>
      </c>
      <c r="K365" s="18" t="str">
        <f>IFERROR(IF([2]对账明细接口!$K$365=0,"",[2]对账明细接口!$K$365),"")</f>
        <v/>
      </c>
      <c r="L365" s="16" t="str">
        <f>IFERROR(IF([2]对账明细接口!$L$365=0,"",[2]对账明细接口!$L$365),"")</f>
        <v/>
      </c>
      <c r="M365" s="16" t="str">
        <f>IFERROR(IF([2]对账明细接口!$M$365=0,"",[2]对账明细接口!$M$365),"")</f>
        <v/>
      </c>
      <c r="N365" s="19">
        <f t="shared" si="30"/>
        <v>0</v>
      </c>
      <c r="O365" s="19">
        <f t="shared" si="31"/>
        <v>165</v>
      </c>
      <c r="S365" s="20" t="str">
        <f>IFERROR(IF([2]对账明细接口!$N365=0,"",[2]对账明细接口!$N365),"")</f>
        <v/>
      </c>
      <c r="T365" s="21" t="str">
        <f>IFERROR(IF([2]对账明细接口!$O365=0,"",[2]对账明细接口!$O365),"")</f>
        <v/>
      </c>
      <c r="U365" s="21" t="str">
        <f>IFERROR(IF([2]对账明细接口!$P365=0,"",[2]对账明细接口!$P365),"")</f>
        <v/>
      </c>
      <c r="V365" s="21" t="str">
        <f>IFERROR(IF([2]对账明细接口!$Q365=0,"",[2]对账明细接口!$Q365),"")</f>
        <v/>
      </c>
      <c r="W365" s="20" t="str">
        <f>IFERROR(IF([2]对账明细接口!$R365=0,"",[2]对账明细接口!$R365),"")</f>
        <v/>
      </c>
      <c r="X365" s="20" t="str">
        <f>IFERROR(IF([2]对账明细接口!$S365=0,"",[2]对账明细接口!$S365),"")</f>
        <v/>
      </c>
      <c r="Y365" s="20" t="str">
        <f t="shared" si="32"/>
        <v/>
      </c>
      <c r="Z365" s="20" t="str">
        <f t="shared" si="33"/>
        <v/>
      </c>
      <c r="AA365" s="20" t="str">
        <f t="shared" si="34"/>
        <v/>
      </c>
      <c r="AB365" s="20" t="str">
        <f t="shared" si="35"/>
        <v/>
      </c>
    </row>
    <row r="366" customHeight="1" spans="1:28">
      <c r="A366" s="14">
        <v>366</v>
      </c>
      <c r="B366" s="15" t="str">
        <f>IFERROR(IF([2]对账明细接口!$B$366=0,"",[2]对账明细接口!$B$366),"")</f>
        <v/>
      </c>
      <c r="C366" s="16" t="str">
        <f>IFERROR(IF([2]对账明细接口!$C$366=0,"",[2]对账明细接口!$C$366),"")</f>
        <v/>
      </c>
      <c r="D366" s="16" t="str">
        <f>IFERROR(IF([2]对账明细接口!$D$366=0,"",[2]对账明细接口!$D$366),"")</f>
        <v/>
      </c>
      <c r="E366" s="16" t="str">
        <f>IFERROR(IF([2]对账明细接口!$E$366=0,"",[2]对账明细接口!$E$366),"")</f>
        <v/>
      </c>
      <c r="F366" s="16" t="str">
        <f>IFERROR(IF([2]对账明细接口!$F$366=0,"",[2]对账明细接口!$F$366),"")</f>
        <v/>
      </c>
      <c r="G366" s="16" t="str">
        <f>IFERROR(IF([2]对账明细接口!$G$366=0,"",[2]对账明细接口!$G$366),"")</f>
        <v/>
      </c>
      <c r="H366" s="17" t="str">
        <f>IFERROR(IF([2]对账明细接口!$H$366=0,"",[2]对账明细接口!$H$366),"")</f>
        <v/>
      </c>
      <c r="I366" s="16" t="str">
        <f>IFERROR(IF([2]对账明细接口!$I$366=0,"",[2]对账明细接口!$I$366),"")</f>
        <v/>
      </c>
      <c r="J366" s="18" t="str">
        <f>IFERROR(IF([2]对账明细接口!$J$366=0,"",[2]对账明细接口!$J$366),"")</f>
        <v/>
      </c>
      <c r="K366" s="18" t="str">
        <f>IFERROR(IF([2]对账明细接口!$K$366=0,"",[2]对账明细接口!$K$366),"")</f>
        <v/>
      </c>
      <c r="L366" s="16" t="str">
        <f>IFERROR(IF([2]对账明细接口!$L$366=0,"",[2]对账明细接口!$L$366),"")</f>
        <v/>
      </c>
      <c r="M366" s="16" t="str">
        <f>IFERROR(IF([2]对账明细接口!$M$366=0,"",[2]对账明细接口!$M$366),"")</f>
        <v/>
      </c>
      <c r="N366" s="19">
        <f t="shared" si="30"/>
        <v>0</v>
      </c>
      <c r="O366" s="19">
        <f t="shared" si="31"/>
        <v>165</v>
      </c>
      <c r="S366" s="20" t="str">
        <f>IFERROR(IF([2]对账明细接口!$N366=0,"",[2]对账明细接口!$N366),"")</f>
        <v/>
      </c>
      <c r="T366" s="21" t="str">
        <f>IFERROR(IF([2]对账明细接口!$O366=0,"",[2]对账明细接口!$O366),"")</f>
        <v/>
      </c>
      <c r="U366" s="21" t="str">
        <f>IFERROR(IF([2]对账明细接口!$P366=0,"",[2]对账明细接口!$P366),"")</f>
        <v/>
      </c>
      <c r="V366" s="21" t="str">
        <f>IFERROR(IF([2]对账明细接口!$Q366=0,"",[2]对账明细接口!$Q366),"")</f>
        <v/>
      </c>
      <c r="W366" s="20" t="str">
        <f>IFERROR(IF([2]对账明细接口!$R366=0,"",[2]对账明细接口!$R366),"")</f>
        <v/>
      </c>
      <c r="X366" s="20" t="str">
        <f>IFERROR(IF([2]对账明细接口!$S366=0,"",[2]对账明细接口!$S366),"")</f>
        <v/>
      </c>
      <c r="Y366" s="20" t="str">
        <f t="shared" si="32"/>
        <v/>
      </c>
      <c r="Z366" s="20" t="str">
        <f t="shared" si="33"/>
        <v/>
      </c>
      <c r="AA366" s="20" t="str">
        <f t="shared" si="34"/>
        <v/>
      </c>
      <c r="AB366" s="20" t="str">
        <f t="shared" si="35"/>
        <v/>
      </c>
    </row>
    <row r="367" customHeight="1" spans="1:28">
      <c r="A367" s="14">
        <v>367</v>
      </c>
      <c r="B367" s="15" t="str">
        <f>IFERROR(IF([2]对账明细接口!$B$367=0,"",[2]对账明细接口!$B$367),"")</f>
        <v/>
      </c>
      <c r="C367" s="16" t="str">
        <f>IFERROR(IF([2]对账明细接口!$C$367=0,"",[2]对账明细接口!$C$367),"")</f>
        <v/>
      </c>
      <c r="D367" s="16" t="str">
        <f>IFERROR(IF([2]对账明细接口!$D$367=0,"",[2]对账明细接口!$D$367),"")</f>
        <v/>
      </c>
      <c r="E367" s="16" t="str">
        <f>IFERROR(IF([2]对账明细接口!$E$367=0,"",[2]对账明细接口!$E$367),"")</f>
        <v/>
      </c>
      <c r="F367" s="16" t="str">
        <f>IFERROR(IF([2]对账明细接口!$F$367=0,"",[2]对账明细接口!$F$367),"")</f>
        <v/>
      </c>
      <c r="G367" s="16" t="str">
        <f>IFERROR(IF([2]对账明细接口!$G$367=0,"",[2]对账明细接口!$G$367),"")</f>
        <v/>
      </c>
      <c r="H367" s="17" t="str">
        <f>IFERROR(IF([2]对账明细接口!$H$367=0,"",[2]对账明细接口!$H$367),"")</f>
        <v/>
      </c>
      <c r="I367" s="16" t="str">
        <f>IFERROR(IF([2]对账明细接口!$I$367=0,"",[2]对账明细接口!$I$367),"")</f>
        <v/>
      </c>
      <c r="J367" s="18" t="str">
        <f>IFERROR(IF([2]对账明细接口!$J$367=0,"",[2]对账明细接口!$J$367),"")</f>
        <v/>
      </c>
      <c r="K367" s="18" t="str">
        <f>IFERROR(IF([2]对账明细接口!$K$367=0,"",[2]对账明细接口!$K$367),"")</f>
        <v/>
      </c>
      <c r="L367" s="16" t="str">
        <f>IFERROR(IF([2]对账明细接口!$L$367=0,"",[2]对账明细接口!$L$367),"")</f>
        <v/>
      </c>
      <c r="M367" s="16" t="str">
        <f>IFERROR(IF([2]对账明细接口!$M$367=0,"",[2]对账明细接口!$M$367),"")</f>
        <v/>
      </c>
      <c r="N367" s="19">
        <f t="shared" si="30"/>
        <v>0</v>
      </c>
      <c r="O367" s="19">
        <f t="shared" si="31"/>
        <v>165</v>
      </c>
      <c r="S367" s="20" t="str">
        <f>IFERROR(IF([2]对账明细接口!$N367=0,"",[2]对账明细接口!$N367),"")</f>
        <v/>
      </c>
      <c r="T367" s="21" t="str">
        <f>IFERROR(IF([2]对账明细接口!$O367=0,"",[2]对账明细接口!$O367),"")</f>
        <v/>
      </c>
      <c r="U367" s="21" t="str">
        <f>IFERROR(IF([2]对账明细接口!$P367=0,"",[2]对账明细接口!$P367),"")</f>
        <v/>
      </c>
      <c r="V367" s="21" t="str">
        <f>IFERROR(IF([2]对账明细接口!$Q367=0,"",[2]对账明细接口!$Q367),"")</f>
        <v/>
      </c>
      <c r="W367" s="20" t="str">
        <f>IFERROR(IF([2]对账明细接口!$R367=0,"",[2]对账明细接口!$R367),"")</f>
        <v/>
      </c>
      <c r="X367" s="20" t="str">
        <f>IFERROR(IF([2]对账明细接口!$S367=0,"",[2]对账明细接口!$S367),"")</f>
        <v/>
      </c>
      <c r="Y367" s="20" t="str">
        <f t="shared" si="32"/>
        <v/>
      </c>
      <c r="Z367" s="20" t="str">
        <f t="shared" si="33"/>
        <v/>
      </c>
      <c r="AA367" s="20" t="str">
        <f t="shared" si="34"/>
        <v/>
      </c>
      <c r="AB367" s="20" t="str">
        <f t="shared" si="35"/>
        <v/>
      </c>
    </row>
    <row r="368" customHeight="1" spans="1:28">
      <c r="A368" s="14">
        <v>368</v>
      </c>
      <c r="B368" s="15" t="str">
        <f>IFERROR(IF([2]对账明细接口!$B$368=0,"",[2]对账明细接口!$B$368),"")</f>
        <v/>
      </c>
      <c r="C368" s="16" t="str">
        <f>IFERROR(IF([2]对账明细接口!$C$368=0,"",[2]对账明细接口!$C$368),"")</f>
        <v/>
      </c>
      <c r="D368" s="16" t="str">
        <f>IFERROR(IF([2]对账明细接口!$D$368=0,"",[2]对账明细接口!$D$368),"")</f>
        <v/>
      </c>
      <c r="E368" s="16" t="str">
        <f>IFERROR(IF([2]对账明细接口!$E$368=0,"",[2]对账明细接口!$E$368),"")</f>
        <v/>
      </c>
      <c r="F368" s="16" t="str">
        <f>IFERROR(IF([2]对账明细接口!$F$368=0,"",[2]对账明细接口!$F$368),"")</f>
        <v/>
      </c>
      <c r="G368" s="16" t="str">
        <f>IFERROR(IF([2]对账明细接口!$G$368=0,"",[2]对账明细接口!$G$368),"")</f>
        <v/>
      </c>
      <c r="H368" s="17" t="str">
        <f>IFERROR(IF([2]对账明细接口!$H$368=0,"",[2]对账明细接口!$H$368),"")</f>
        <v/>
      </c>
      <c r="I368" s="16" t="str">
        <f>IFERROR(IF([2]对账明细接口!$I$368=0,"",[2]对账明细接口!$I$368),"")</f>
        <v/>
      </c>
      <c r="J368" s="18" t="str">
        <f>IFERROR(IF([2]对账明细接口!$J$368=0,"",[2]对账明细接口!$J$368),"")</f>
        <v/>
      </c>
      <c r="K368" s="18" t="str">
        <f>IFERROR(IF([2]对账明细接口!$K$368=0,"",[2]对账明细接口!$K$368),"")</f>
        <v/>
      </c>
      <c r="L368" s="16" t="str">
        <f>IFERROR(IF([2]对账明细接口!$L$368=0,"",[2]对账明细接口!$L$368),"")</f>
        <v/>
      </c>
      <c r="M368" s="16" t="str">
        <f>IFERROR(IF([2]对账明细接口!$M$368=0,"",[2]对账明细接口!$M$368),"")</f>
        <v/>
      </c>
      <c r="N368" s="19">
        <f t="shared" si="30"/>
        <v>0</v>
      </c>
      <c r="O368" s="19">
        <f t="shared" si="31"/>
        <v>165</v>
      </c>
      <c r="S368" s="20" t="str">
        <f>IFERROR(IF([2]对账明细接口!$N368=0,"",[2]对账明细接口!$N368),"")</f>
        <v/>
      </c>
      <c r="T368" s="21" t="str">
        <f>IFERROR(IF([2]对账明细接口!$O368=0,"",[2]对账明细接口!$O368),"")</f>
        <v/>
      </c>
      <c r="U368" s="21" t="str">
        <f>IFERROR(IF([2]对账明细接口!$P368=0,"",[2]对账明细接口!$P368),"")</f>
        <v/>
      </c>
      <c r="V368" s="21" t="str">
        <f>IFERROR(IF([2]对账明细接口!$Q368=0,"",[2]对账明细接口!$Q368),"")</f>
        <v/>
      </c>
      <c r="W368" s="20" t="str">
        <f>IFERROR(IF([2]对账明细接口!$R368=0,"",[2]对账明细接口!$R368),"")</f>
        <v/>
      </c>
      <c r="X368" s="20" t="str">
        <f>IFERROR(IF([2]对账明细接口!$S368=0,"",[2]对账明细接口!$S368),"")</f>
        <v/>
      </c>
      <c r="Y368" s="20" t="str">
        <f t="shared" si="32"/>
        <v/>
      </c>
      <c r="Z368" s="20" t="str">
        <f t="shared" si="33"/>
        <v/>
      </c>
      <c r="AA368" s="20" t="str">
        <f t="shared" si="34"/>
        <v/>
      </c>
      <c r="AB368" s="20" t="str">
        <f t="shared" si="35"/>
        <v/>
      </c>
    </row>
    <row r="369" customHeight="1" spans="1:28">
      <c r="A369" s="14">
        <v>369</v>
      </c>
      <c r="B369" s="15" t="str">
        <f>IFERROR(IF([2]对账明细接口!$B$369=0,"",[2]对账明细接口!$B$369),"")</f>
        <v/>
      </c>
      <c r="C369" s="16" t="str">
        <f>IFERROR(IF([2]对账明细接口!$C$369=0,"",[2]对账明细接口!$C$369),"")</f>
        <v/>
      </c>
      <c r="D369" s="16" t="str">
        <f>IFERROR(IF([2]对账明细接口!$D$369=0,"",[2]对账明细接口!$D$369),"")</f>
        <v/>
      </c>
      <c r="E369" s="16" t="str">
        <f>IFERROR(IF([2]对账明细接口!$E$369=0,"",[2]对账明细接口!$E$369),"")</f>
        <v/>
      </c>
      <c r="F369" s="16" t="str">
        <f>IFERROR(IF([2]对账明细接口!$F$369=0,"",[2]对账明细接口!$F$369),"")</f>
        <v/>
      </c>
      <c r="G369" s="16" t="str">
        <f>IFERROR(IF([2]对账明细接口!$G$369=0,"",[2]对账明细接口!$G$369),"")</f>
        <v/>
      </c>
      <c r="H369" s="17" t="str">
        <f>IFERROR(IF([2]对账明细接口!$H$369=0,"",[2]对账明细接口!$H$369),"")</f>
        <v/>
      </c>
      <c r="I369" s="16" t="str">
        <f>IFERROR(IF([2]对账明细接口!$I$369=0,"",[2]对账明细接口!$I$369),"")</f>
        <v/>
      </c>
      <c r="J369" s="18" t="str">
        <f>IFERROR(IF([2]对账明细接口!$J$369=0,"",[2]对账明细接口!$J$369),"")</f>
        <v/>
      </c>
      <c r="K369" s="18" t="str">
        <f>IFERROR(IF([2]对账明细接口!$K$369=0,"",[2]对账明细接口!$K$369),"")</f>
        <v/>
      </c>
      <c r="L369" s="16" t="str">
        <f>IFERROR(IF([2]对账明细接口!$L$369=0,"",[2]对账明细接口!$L$369),"")</f>
        <v/>
      </c>
      <c r="M369" s="16" t="str">
        <f>IFERROR(IF([2]对账明细接口!$M$369=0,"",[2]对账明细接口!$M$369),"")</f>
        <v/>
      </c>
      <c r="N369" s="19">
        <f t="shared" si="30"/>
        <v>0</v>
      </c>
      <c r="O369" s="19">
        <f t="shared" si="31"/>
        <v>165</v>
      </c>
      <c r="S369" s="20" t="str">
        <f>IFERROR(IF([2]对账明细接口!$N369=0,"",[2]对账明细接口!$N369),"")</f>
        <v/>
      </c>
      <c r="T369" s="21" t="str">
        <f>IFERROR(IF([2]对账明细接口!$O369=0,"",[2]对账明细接口!$O369),"")</f>
        <v/>
      </c>
      <c r="U369" s="21" t="str">
        <f>IFERROR(IF([2]对账明细接口!$P369=0,"",[2]对账明细接口!$P369),"")</f>
        <v/>
      </c>
      <c r="V369" s="21" t="str">
        <f>IFERROR(IF([2]对账明细接口!$Q369=0,"",[2]对账明细接口!$Q369),"")</f>
        <v/>
      </c>
      <c r="W369" s="20" t="str">
        <f>IFERROR(IF([2]对账明细接口!$R369=0,"",[2]对账明细接口!$R369),"")</f>
        <v/>
      </c>
      <c r="X369" s="20" t="str">
        <f>IFERROR(IF([2]对账明细接口!$S369=0,"",[2]对账明细接口!$S369),"")</f>
        <v/>
      </c>
      <c r="Y369" s="20" t="str">
        <f t="shared" si="32"/>
        <v/>
      </c>
      <c r="Z369" s="20" t="str">
        <f t="shared" si="33"/>
        <v/>
      </c>
      <c r="AA369" s="20" t="str">
        <f t="shared" si="34"/>
        <v/>
      </c>
      <c r="AB369" s="20" t="str">
        <f t="shared" si="35"/>
        <v/>
      </c>
    </row>
    <row r="370" customHeight="1" spans="1:28">
      <c r="A370" s="14">
        <v>370</v>
      </c>
      <c r="B370" s="15" t="str">
        <f>IFERROR(IF([2]对账明细接口!$B$370=0,"",[2]对账明细接口!$B$370),"")</f>
        <v/>
      </c>
      <c r="C370" s="16" t="str">
        <f>IFERROR(IF([2]对账明细接口!$C$370=0,"",[2]对账明细接口!$C$370),"")</f>
        <v/>
      </c>
      <c r="D370" s="16" t="str">
        <f>IFERROR(IF([2]对账明细接口!$D$370=0,"",[2]对账明细接口!$D$370),"")</f>
        <v/>
      </c>
      <c r="E370" s="16" t="str">
        <f>IFERROR(IF([2]对账明细接口!$E$370=0,"",[2]对账明细接口!$E$370),"")</f>
        <v/>
      </c>
      <c r="F370" s="16" t="str">
        <f>IFERROR(IF([2]对账明细接口!$F$370=0,"",[2]对账明细接口!$F$370),"")</f>
        <v/>
      </c>
      <c r="G370" s="16" t="str">
        <f>IFERROR(IF([2]对账明细接口!$G$370=0,"",[2]对账明细接口!$G$370),"")</f>
        <v/>
      </c>
      <c r="H370" s="17" t="str">
        <f>IFERROR(IF([2]对账明细接口!$H$370=0,"",[2]对账明细接口!$H$370),"")</f>
        <v/>
      </c>
      <c r="I370" s="16" t="str">
        <f>IFERROR(IF([2]对账明细接口!$I$370=0,"",[2]对账明细接口!$I$370),"")</f>
        <v/>
      </c>
      <c r="J370" s="18" t="str">
        <f>IFERROR(IF([2]对账明细接口!$J$370=0,"",[2]对账明细接口!$J$370),"")</f>
        <v/>
      </c>
      <c r="K370" s="18" t="str">
        <f>IFERROR(IF([2]对账明细接口!$K$370=0,"",[2]对账明细接口!$K$370),"")</f>
        <v/>
      </c>
      <c r="L370" s="16" t="str">
        <f>IFERROR(IF([2]对账明细接口!$L$370=0,"",[2]对账明细接口!$L$370),"")</f>
        <v/>
      </c>
      <c r="M370" s="16" t="str">
        <f>IFERROR(IF([2]对账明细接口!$M$370=0,"",[2]对账明细接口!$M$370),"")</f>
        <v/>
      </c>
      <c r="N370" s="19">
        <f t="shared" si="30"/>
        <v>0</v>
      </c>
      <c r="O370" s="19">
        <f t="shared" si="31"/>
        <v>165</v>
      </c>
      <c r="S370" s="20" t="str">
        <f>IFERROR(IF([2]对账明细接口!$N370=0,"",[2]对账明细接口!$N370),"")</f>
        <v/>
      </c>
      <c r="T370" s="21" t="str">
        <f>IFERROR(IF([2]对账明细接口!$O370=0,"",[2]对账明细接口!$O370),"")</f>
        <v/>
      </c>
      <c r="U370" s="21" t="str">
        <f>IFERROR(IF([2]对账明细接口!$P370=0,"",[2]对账明细接口!$P370),"")</f>
        <v/>
      </c>
      <c r="V370" s="21" t="str">
        <f>IFERROR(IF([2]对账明细接口!$Q370=0,"",[2]对账明细接口!$Q370),"")</f>
        <v/>
      </c>
      <c r="W370" s="20" t="str">
        <f>IFERROR(IF([2]对账明细接口!$R370=0,"",[2]对账明细接口!$R370),"")</f>
        <v/>
      </c>
      <c r="X370" s="20" t="str">
        <f>IFERROR(IF([2]对账明细接口!$S370=0,"",[2]对账明细接口!$S370),"")</f>
        <v/>
      </c>
      <c r="Y370" s="20" t="str">
        <f t="shared" si="32"/>
        <v/>
      </c>
      <c r="Z370" s="20" t="str">
        <f t="shared" si="33"/>
        <v/>
      </c>
      <c r="AA370" s="20" t="str">
        <f t="shared" si="34"/>
        <v/>
      </c>
      <c r="AB370" s="20" t="str">
        <f t="shared" si="35"/>
        <v/>
      </c>
    </row>
    <row r="371" customHeight="1" spans="1:28">
      <c r="A371" s="14">
        <v>371</v>
      </c>
      <c r="B371" s="15" t="str">
        <f>IFERROR(IF([2]对账明细接口!$B$371=0,"",[2]对账明细接口!$B$371),"")</f>
        <v/>
      </c>
      <c r="C371" s="16" t="str">
        <f>IFERROR(IF([2]对账明细接口!$C$371=0,"",[2]对账明细接口!$C$371),"")</f>
        <v/>
      </c>
      <c r="D371" s="16" t="str">
        <f>IFERROR(IF([2]对账明细接口!$D$371=0,"",[2]对账明细接口!$D$371),"")</f>
        <v/>
      </c>
      <c r="E371" s="16" t="str">
        <f>IFERROR(IF([2]对账明细接口!$E$371=0,"",[2]对账明细接口!$E$371),"")</f>
        <v/>
      </c>
      <c r="F371" s="16" t="str">
        <f>IFERROR(IF([2]对账明细接口!$F$371=0,"",[2]对账明细接口!$F$371),"")</f>
        <v/>
      </c>
      <c r="G371" s="16" t="str">
        <f>IFERROR(IF([2]对账明细接口!$G$371=0,"",[2]对账明细接口!$G$371),"")</f>
        <v/>
      </c>
      <c r="H371" s="17" t="str">
        <f>IFERROR(IF([2]对账明细接口!$H$371=0,"",[2]对账明细接口!$H$371),"")</f>
        <v/>
      </c>
      <c r="I371" s="16" t="str">
        <f>IFERROR(IF([2]对账明细接口!$I$371=0,"",[2]对账明细接口!$I$371),"")</f>
        <v/>
      </c>
      <c r="J371" s="18" t="str">
        <f>IFERROR(IF([2]对账明细接口!$J$371=0,"",[2]对账明细接口!$J$371),"")</f>
        <v/>
      </c>
      <c r="K371" s="18" t="str">
        <f>IFERROR(IF([2]对账明细接口!$K$371=0,"",[2]对账明细接口!$K$371),"")</f>
        <v/>
      </c>
      <c r="L371" s="16" t="str">
        <f>IFERROR(IF([2]对账明细接口!$L$371=0,"",[2]对账明细接口!$L$371),"")</f>
        <v/>
      </c>
      <c r="M371" s="16" t="str">
        <f>IFERROR(IF([2]对账明细接口!$M$371=0,"",[2]对账明细接口!$M$371),"")</f>
        <v/>
      </c>
      <c r="N371" s="19">
        <f t="shared" si="30"/>
        <v>0</v>
      </c>
      <c r="O371" s="19">
        <f t="shared" si="31"/>
        <v>165</v>
      </c>
      <c r="S371" s="20" t="str">
        <f>IFERROR(IF([2]对账明细接口!$N371=0,"",[2]对账明细接口!$N371),"")</f>
        <v/>
      </c>
      <c r="T371" s="21" t="str">
        <f>IFERROR(IF([2]对账明细接口!$O371=0,"",[2]对账明细接口!$O371),"")</f>
        <v/>
      </c>
      <c r="U371" s="21" t="str">
        <f>IFERROR(IF([2]对账明细接口!$P371=0,"",[2]对账明细接口!$P371),"")</f>
        <v/>
      </c>
      <c r="V371" s="21" t="str">
        <f>IFERROR(IF([2]对账明细接口!$Q371=0,"",[2]对账明细接口!$Q371),"")</f>
        <v/>
      </c>
      <c r="W371" s="20" t="str">
        <f>IFERROR(IF([2]对账明细接口!$R371=0,"",[2]对账明细接口!$R371),"")</f>
        <v/>
      </c>
      <c r="X371" s="20" t="str">
        <f>IFERROR(IF([2]对账明细接口!$S371=0,"",[2]对账明细接口!$S371),"")</f>
        <v/>
      </c>
      <c r="Y371" s="20" t="str">
        <f t="shared" si="32"/>
        <v/>
      </c>
      <c r="Z371" s="20" t="str">
        <f t="shared" si="33"/>
        <v/>
      </c>
      <c r="AA371" s="20" t="str">
        <f t="shared" si="34"/>
        <v/>
      </c>
      <c r="AB371" s="20" t="str">
        <f t="shared" si="35"/>
        <v/>
      </c>
    </row>
    <row r="372" customHeight="1" spans="1:28">
      <c r="A372" s="14">
        <v>372</v>
      </c>
      <c r="B372" s="15" t="str">
        <f>IFERROR(IF([2]对账明细接口!$B$372=0,"",[2]对账明细接口!$B$372),"")</f>
        <v/>
      </c>
      <c r="C372" s="16" t="str">
        <f>IFERROR(IF([2]对账明细接口!$C$372=0,"",[2]对账明细接口!$C$372),"")</f>
        <v/>
      </c>
      <c r="D372" s="16" t="str">
        <f>IFERROR(IF([2]对账明细接口!$D$372=0,"",[2]对账明细接口!$D$372),"")</f>
        <v/>
      </c>
      <c r="E372" s="16" t="str">
        <f>IFERROR(IF([2]对账明细接口!$E$372=0,"",[2]对账明细接口!$E$372),"")</f>
        <v/>
      </c>
      <c r="F372" s="16" t="str">
        <f>IFERROR(IF([2]对账明细接口!$F$372=0,"",[2]对账明细接口!$F$372),"")</f>
        <v/>
      </c>
      <c r="G372" s="16" t="str">
        <f>IFERROR(IF([2]对账明细接口!$G$372=0,"",[2]对账明细接口!$G$372),"")</f>
        <v/>
      </c>
      <c r="H372" s="17" t="str">
        <f>IFERROR(IF([2]对账明细接口!$H$372=0,"",[2]对账明细接口!$H$372),"")</f>
        <v/>
      </c>
      <c r="I372" s="16" t="str">
        <f>IFERROR(IF([2]对账明细接口!$I$372=0,"",[2]对账明细接口!$I$372),"")</f>
        <v/>
      </c>
      <c r="J372" s="18" t="str">
        <f>IFERROR(IF([2]对账明细接口!$J$372=0,"",[2]对账明细接口!$J$372),"")</f>
        <v/>
      </c>
      <c r="K372" s="18" t="str">
        <f>IFERROR(IF([2]对账明细接口!$K$372=0,"",[2]对账明细接口!$K$372),"")</f>
        <v/>
      </c>
      <c r="L372" s="16" t="str">
        <f>IFERROR(IF([2]对账明细接口!$L$372=0,"",[2]对账明细接口!$L$372),"")</f>
        <v/>
      </c>
      <c r="M372" s="16" t="str">
        <f>IFERROR(IF([2]对账明细接口!$M$372=0,"",[2]对账明细接口!$M$372),"")</f>
        <v/>
      </c>
      <c r="N372" s="19">
        <f t="shared" si="30"/>
        <v>0</v>
      </c>
      <c r="O372" s="19">
        <f t="shared" si="31"/>
        <v>165</v>
      </c>
      <c r="S372" s="20" t="str">
        <f>IFERROR(IF([2]对账明细接口!$N372=0,"",[2]对账明细接口!$N372),"")</f>
        <v/>
      </c>
      <c r="T372" s="21" t="str">
        <f>IFERROR(IF([2]对账明细接口!$O372=0,"",[2]对账明细接口!$O372),"")</f>
        <v/>
      </c>
      <c r="U372" s="21" t="str">
        <f>IFERROR(IF([2]对账明细接口!$P372=0,"",[2]对账明细接口!$P372),"")</f>
        <v/>
      </c>
      <c r="V372" s="21" t="str">
        <f>IFERROR(IF([2]对账明细接口!$Q372=0,"",[2]对账明细接口!$Q372),"")</f>
        <v/>
      </c>
      <c r="W372" s="20" t="str">
        <f>IFERROR(IF([2]对账明细接口!$R372=0,"",[2]对账明细接口!$R372),"")</f>
        <v/>
      </c>
      <c r="X372" s="20" t="str">
        <f>IFERROR(IF([2]对账明细接口!$S372=0,"",[2]对账明细接口!$S372),"")</f>
        <v/>
      </c>
      <c r="Y372" s="20" t="str">
        <f t="shared" si="32"/>
        <v/>
      </c>
      <c r="Z372" s="20" t="str">
        <f t="shared" si="33"/>
        <v/>
      </c>
      <c r="AA372" s="20" t="str">
        <f t="shared" si="34"/>
        <v/>
      </c>
      <c r="AB372" s="20" t="str">
        <f t="shared" si="35"/>
        <v/>
      </c>
    </row>
    <row r="373" customHeight="1" spans="1:28">
      <c r="A373" s="14">
        <v>373</v>
      </c>
      <c r="B373" s="15" t="str">
        <f>IFERROR(IF([2]对账明细接口!$B$373=0,"",[2]对账明细接口!$B$373),"")</f>
        <v/>
      </c>
      <c r="C373" s="16" t="str">
        <f>IFERROR(IF([2]对账明细接口!$C$373=0,"",[2]对账明细接口!$C$373),"")</f>
        <v/>
      </c>
      <c r="D373" s="16" t="str">
        <f>IFERROR(IF([2]对账明细接口!$D$373=0,"",[2]对账明细接口!$D$373),"")</f>
        <v/>
      </c>
      <c r="E373" s="16" t="str">
        <f>IFERROR(IF([2]对账明细接口!$E$373=0,"",[2]对账明细接口!$E$373),"")</f>
        <v/>
      </c>
      <c r="F373" s="16" t="str">
        <f>IFERROR(IF([2]对账明细接口!$F$373=0,"",[2]对账明细接口!$F$373),"")</f>
        <v/>
      </c>
      <c r="G373" s="16" t="str">
        <f>IFERROR(IF([2]对账明细接口!$G$373=0,"",[2]对账明细接口!$G$373),"")</f>
        <v/>
      </c>
      <c r="H373" s="17" t="str">
        <f>IFERROR(IF([2]对账明细接口!$H$373=0,"",[2]对账明细接口!$H$373),"")</f>
        <v/>
      </c>
      <c r="I373" s="16" t="str">
        <f>IFERROR(IF([2]对账明细接口!$I$373=0,"",[2]对账明细接口!$I$373),"")</f>
        <v/>
      </c>
      <c r="J373" s="18" t="str">
        <f>IFERROR(IF([2]对账明细接口!$J$373=0,"",[2]对账明细接口!$J$373),"")</f>
        <v/>
      </c>
      <c r="K373" s="18" t="str">
        <f>IFERROR(IF([2]对账明细接口!$K$373=0,"",[2]对账明细接口!$K$373),"")</f>
        <v/>
      </c>
      <c r="L373" s="16" t="str">
        <f>IFERROR(IF([2]对账明细接口!$L$373=0,"",[2]对账明细接口!$L$373),"")</f>
        <v/>
      </c>
      <c r="M373" s="16" t="str">
        <f>IFERROR(IF([2]对账明细接口!$M$373=0,"",[2]对账明细接口!$M$373),"")</f>
        <v/>
      </c>
      <c r="N373" s="19">
        <f t="shared" si="30"/>
        <v>0</v>
      </c>
      <c r="O373" s="19">
        <f t="shared" si="31"/>
        <v>165</v>
      </c>
      <c r="S373" s="20" t="str">
        <f>IFERROR(IF([2]对账明细接口!$N373=0,"",[2]对账明细接口!$N373),"")</f>
        <v/>
      </c>
      <c r="T373" s="21" t="str">
        <f>IFERROR(IF([2]对账明细接口!$O373=0,"",[2]对账明细接口!$O373),"")</f>
        <v/>
      </c>
      <c r="U373" s="21" t="str">
        <f>IFERROR(IF([2]对账明细接口!$P373=0,"",[2]对账明细接口!$P373),"")</f>
        <v/>
      </c>
      <c r="V373" s="21" t="str">
        <f>IFERROR(IF([2]对账明细接口!$Q373=0,"",[2]对账明细接口!$Q373),"")</f>
        <v/>
      </c>
      <c r="W373" s="20" t="str">
        <f>IFERROR(IF([2]对账明细接口!$R373=0,"",[2]对账明细接口!$R373),"")</f>
        <v/>
      </c>
      <c r="X373" s="20" t="str">
        <f>IFERROR(IF([2]对账明细接口!$S373=0,"",[2]对账明细接口!$S373),"")</f>
        <v/>
      </c>
      <c r="Y373" s="20" t="str">
        <f t="shared" si="32"/>
        <v/>
      </c>
      <c r="Z373" s="20" t="str">
        <f t="shared" si="33"/>
        <v/>
      </c>
      <c r="AA373" s="20" t="str">
        <f t="shared" si="34"/>
        <v/>
      </c>
      <c r="AB373" s="20" t="str">
        <f t="shared" si="35"/>
        <v/>
      </c>
    </row>
    <row r="374" customHeight="1" spans="1:28">
      <c r="A374" s="14">
        <v>374</v>
      </c>
      <c r="B374" s="15" t="str">
        <f>IFERROR(IF([2]对账明细接口!$B$374=0,"",[2]对账明细接口!$B$374),"")</f>
        <v/>
      </c>
      <c r="C374" s="16" t="str">
        <f>IFERROR(IF([2]对账明细接口!$C$374=0,"",[2]对账明细接口!$C$374),"")</f>
        <v/>
      </c>
      <c r="D374" s="16" t="str">
        <f>IFERROR(IF([2]对账明细接口!$D$374=0,"",[2]对账明细接口!$D$374),"")</f>
        <v/>
      </c>
      <c r="E374" s="16" t="str">
        <f>IFERROR(IF([2]对账明细接口!$E$374=0,"",[2]对账明细接口!$E$374),"")</f>
        <v/>
      </c>
      <c r="F374" s="16" t="str">
        <f>IFERROR(IF([2]对账明细接口!$F$374=0,"",[2]对账明细接口!$F$374),"")</f>
        <v/>
      </c>
      <c r="G374" s="16" t="str">
        <f>IFERROR(IF([2]对账明细接口!$G$374=0,"",[2]对账明细接口!$G$374),"")</f>
        <v/>
      </c>
      <c r="H374" s="17" t="str">
        <f>IFERROR(IF([2]对账明细接口!$H$374=0,"",[2]对账明细接口!$H$374),"")</f>
        <v/>
      </c>
      <c r="I374" s="16" t="str">
        <f>IFERROR(IF([2]对账明细接口!$I$374=0,"",[2]对账明细接口!$I$374),"")</f>
        <v/>
      </c>
      <c r="J374" s="18" t="str">
        <f>IFERROR(IF([2]对账明细接口!$J$374=0,"",[2]对账明细接口!$J$374),"")</f>
        <v/>
      </c>
      <c r="K374" s="18" t="str">
        <f>IFERROR(IF([2]对账明细接口!$K$374=0,"",[2]对账明细接口!$K$374),"")</f>
        <v/>
      </c>
      <c r="L374" s="16" t="str">
        <f>IFERROR(IF([2]对账明细接口!$L$374=0,"",[2]对账明细接口!$L$374),"")</f>
        <v/>
      </c>
      <c r="M374" s="16" t="str">
        <f>IFERROR(IF([2]对账明细接口!$M$374=0,"",[2]对账明细接口!$M$374),"")</f>
        <v/>
      </c>
      <c r="N374" s="19">
        <f t="shared" si="30"/>
        <v>0</v>
      </c>
      <c r="O374" s="19">
        <f t="shared" si="31"/>
        <v>165</v>
      </c>
      <c r="S374" s="20" t="str">
        <f>IFERROR(IF([2]对账明细接口!$N374=0,"",[2]对账明细接口!$N374),"")</f>
        <v/>
      </c>
      <c r="T374" s="21" t="str">
        <f>IFERROR(IF([2]对账明细接口!$O374=0,"",[2]对账明细接口!$O374),"")</f>
        <v/>
      </c>
      <c r="U374" s="21" t="str">
        <f>IFERROR(IF([2]对账明细接口!$P374=0,"",[2]对账明细接口!$P374),"")</f>
        <v/>
      </c>
      <c r="V374" s="21" t="str">
        <f>IFERROR(IF([2]对账明细接口!$Q374=0,"",[2]对账明细接口!$Q374),"")</f>
        <v/>
      </c>
      <c r="W374" s="20" t="str">
        <f>IFERROR(IF([2]对账明细接口!$R374=0,"",[2]对账明细接口!$R374),"")</f>
        <v/>
      </c>
      <c r="X374" s="20" t="str">
        <f>IFERROR(IF([2]对账明细接口!$S374=0,"",[2]对账明细接口!$S374),"")</f>
        <v/>
      </c>
      <c r="Y374" s="20" t="str">
        <f t="shared" si="32"/>
        <v/>
      </c>
      <c r="Z374" s="20" t="str">
        <f t="shared" si="33"/>
        <v/>
      </c>
      <c r="AA374" s="20" t="str">
        <f t="shared" si="34"/>
        <v/>
      </c>
      <c r="AB374" s="20" t="str">
        <f t="shared" si="35"/>
        <v/>
      </c>
    </row>
    <row r="375" customHeight="1" spans="1:28">
      <c r="A375" s="14">
        <v>375</v>
      </c>
      <c r="B375" s="15" t="str">
        <f>IFERROR(IF([2]对账明细接口!$B$375=0,"",[2]对账明细接口!$B$375),"")</f>
        <v/>
      </c>
      <c r="C375" s="16" t="str">
        <f>IFERROR(IF([2]对账明细接口!$C$375=0,"",[2]对账明细接口!$C$375),"")</f>
        <v/>
      </c>
      <c r="D375" s="16" t="str">
        <f>IFERROR(IF([2]对账明细接口!$D$375=0,"",[2]对账明细接口!$D$375),"")</f>
        <v/>
      </c>
      <c r="E375" s="16" t="str">
        <f>IFERROR(IF([2]对账明细接口!$E$375=0,"",[2]对账明细接口!$E$375),"")</f>
        <v/>
      </c>
      <c r="F375" s="16" t="str">
        <f>IFERROR(IF([2]对账明细接口!$F$375=0,"",[2]对账明细接口!$F$375),"")</f>
        <v/>
      </c>
      <c r="G375" s="16" t="str">
        <f>IFERROR(IF([2]对账明细接口!$G$375=0,"",[2]对账明细接口!$G$375),"")</f>
        <v/>
      </c>
      <c r="H375" s="17" t="str">
        <f>IFERROR(IF([2]对账明细接口!$H$375=0,"",[2]对账明细接口!$H$375),"")</f>
        <v/>
      </c>
      <c r="I375" s="16" t="str">
        <f>IFERROR(IF([2]对账明细接口!$I$375=0,"",[2]对账明细接口!$I$375),"")</f>
        <v/>
      </c>
      <c r="J375" s="18" t="str">
        <f>IFERROR(IF([2]对账明细接口!$J$375=0,"",[2]对账明细接口!$J$375),"")</f>
        <v/>
      </c>
      <c r="K375" s="18" t="str">
        <f>IFERROR(IF([2]对账明细接口!$K$375=0,"",[2]对账明细接口!$K$375),"")</f>
        <v/>
      </c>
      <c r="L375" s="16" t="str">
        <f>IFERROR(IF([2]对账明细接口!$L$375=0,"",[2]对账明细接口!$L$375),"")</f>
        <v/>
      </c>
      <c r="M375" s="16" t="str">
        <f>IFERROR(IF([2]对账明细接口!$M$375=0,"",[2]对账明细接口!$M$375),"")</f>
        <v/>
      </c>
      <c r="N375" s="19">
        <f t="shared" si="30"/>
        <v>0</v>
      </c>
      <c r="O375" s="19">
        <f t="shared" si="31"/>
        <v>165</v>
      </c>
      <c r="S375" s="20" t="str">
        <f>IFERROR(IF([2]对账明细接口!$N375=0,"",[2]对账明细接口!$N375),"")</f>
        <v/>
      </c>
      <c r="T375" s="21" t="str">
        <f>IFERROR(IF([2]对账明细接口!$O375=0,"",[2]对账明细接口!$O375),"")</f>
        <v/>
      </c>
      <c r="U375" s="21" t="str">
        <f>IFERROR(IF([2]对账明细接口!$P375=0,"",[2]对账明细接口!$P375),"")</f>
        <v/>
      </c>
      <c r="V375" s="21" t="str">
        <f>IFERROR(IF([2]对账明细接口!$Q375=0,"",[2]对账明细接口!$Q375),"")</f>
        <v/>
      </c>
      <c r="W375" s="20" t="str">
        <f>IFERROR(IF([2]对账明细接口!$R375=0,"",[2]对账明细接口!$R375),"")</f>
        <v/>
      </c>
      <c r="X375" s="20" t="str">
        <f>IFERROR(IF([2]对账明细接口!$S375=0,"",[2]对账明细接口!$S375),"")</f>
        <v/>
      </c>
      <c r="Y375" s="20" t="str">
        <f t="shared" si="32"/>
        <v/>
      </c>
      <c r="Z375" s="20" t="str">
        <f t="shared" si="33"/>
        <v/>
      </c>
      <c r="AA375" s="20" t="str">
        <f t="shared" si="34"/>
        <v/>
      </c>
      <c r="AB375" s="20" t="str">
        <f t="shared" si="35"/>
        <v/>
      </c>
    </row>
    <row r="376" customHeight="1" spans="1:28">
      <c r="A376" s="14">
        <v>376</v>
      </c>
      <c r="B376" s="15" t="str">
        <f>IFERROR(IF([2]对账明细接口!$B$376=0,"",[2]对账明细接口!$B$376),"")</f>
        <v/>
      </c>
      <c r="C376" s="16" t="str">
        <f>IFERROR(IF([2]对账明细接口!$C$376=0,"",[2]对账明细接口!$C$376),"")</f>
        <v/>
      </c>
      <c r="D376" s="16" t="str">
        <f>IFERROR(IF([2]对账明细接口!$D$376=0,"",[2]对账明细接口!$D$376),"")</f>
        <v/>
      </c>
      <c r="E376" s="16" t="str">
        <f>IFERROR(IF([2]对账明细接口!$E$376=0,"",[2]对账明细接口!$E$376),"")</f>
        <v/>
      </c>
      <c r="F376" s="16" t="str">
        <f>IFERROR(IF([2]对账明细接口!$F$376=0,"",[2]对账明细接口!$F$376),"")</f>
        <v/>
      </c>
      <c r="G376" s="16" t="str">
        <f>IFERROR(IF([2]对账明细接口!$G$376=0,"",[2]对账明细接口!$G$376),"")</f>
        <v/>
      </c>
      <c r="H376" s="17" t="str">
        <f>IFERROR(IF([2]对账明细接口!$H$376=0,"",[2]对账明细接口!$H$376),"")</f>
        <v/>
      </c>
      <c r="I376" s="16" t="str">
        <f>IFERROR(IF([2]对账明细接口!$I$376=0,"",[2]对账明细接口!$I$376),"")</f>
        <v/>
      </c>
      <c r="J376" s="18" t="str">
        <f>IFERROR(IF([2]对账明细接口!$J$376=0,"",[2]对账明细接口!$J$376),"")</f>
        <v/>
      </c>
      <c r="K376" s="18" t="str">
        <f>IFERROR(IF([2]对账明细接口!$K$376=0,"",[2]对账明细接口!$K$376),"")</f>
        <v/>
      </c>
      <c r="L376" s="16" t="str">
        <f>IFERROR(IF([2]对账明细接口!$L$376=0,"",[2]对账明细接口!$L$376),"")</f>
        <v/>
      </c>
      <c r="M376" s="16" t="str">
        <f>IFERROR(IF([2]对账明细接口!$M$376=0,"",[2]对账明细接口!$M$376),"")</f>
        <v/>
      </c>
      <c r="N376" s="19">
        <f t="shared" si="30"/>
        <v>0</v>
      </c>
      <c r="O376" s="19">
        <f t="shared" si="31"/>
        <v>165</v>
      </c>
      <c r="S376" s="20" t="str">
        <f>IFERROR(IF([2]对账明细接口!$N376=0,"",[2]对账明细接口!$N376),"")</f>
        <v/>
      </c>
      <c r="T376" s="21" t="str">
        <f>IFERROR(IF([2]对账明细接口!$O376=0,"",[2]对账明细接口!$O376),"")</f>
        <v/>
      </c>
      <c r="U376" s="21" t="str">
        <f>IFERROR(IF([2]对账明细接口!$P376=0,"",[2]对账明细接口!$P376),"")</f>
        <v/>
      </c>
      <c r="V376" s="21" t="str">
        <f>IFERROR(IF([2]对账明细接口!$Q376=0,"",[2]对账明细接口!$Q376),"")</f>
        <v/>
      </c>
      <c r="W376" s="20" t="str">
        <f>IFERROR(IF([2]对账明细接口!$R376=0,"",[2]对账明细接口!$R376),"")</f>
        <v/>
      </c>
      <c r="X376" s="20" t="str">
        <f>IFERROR(IF([2]对账明细接口!$S376=0,"",[2]对账明细接口!$S376),"")</f>
        <v/>
      </c>
      <c r="Y376" s="20" t="str">
        <f t="shared" si="32"/>
        <v/>
      </c>
      <c r="Z376" s="20" t="str">
        <f t="shared" si="33"/>
        <v/>
      </c>
      <c r="AA376" s="20" t="str">
        <f t="shared" si="34"/>
        <v/>
      </c>
      <c r="AB376" s="20" t="str">
        <f t="shared" si="35"/>
        <v/>
      </c>
    </row>
    <row r="377" customHeight="1" spans="1:28">
      <c r="A377" s="14">
        <v>377</v>
      </c>
      <c r="B377" s="15" t="str">
        <f>IFERROR(IF([2]对账明细接口!$B$377=0,"",[2]对账明细接口!$B$377),"")</f>
        <v/>
      </c>
      <c r="C377" s="16" t="str">
        <f>IFERROR(IF([2]对账明细接口!$C$377=0,"",[2]对账明细接口!$C$377),"")</f>
        <v/>
      </c>
      <c r="D377" s="16" t="str">
        <f>IFERROR(IF([2]对账明细接口!$D$377=0,"",[2]对账明细接口!$D$377),"")</f>
        <v/>
      </c>
      <c r="E377" s="16" t="str">
        <f>IFERROR(IF([2]对账明细接口!$E$377=0,"",[2]对账明细接口!$E$377),"")</f>
        <v/>
      </c>
      <c r="F377" s="16" t="str">
        <f>IFERROR(IF([2]对账明细接口!$F$377=0,"",[2]对账明细接口!$F$377),"")</f>
        <v/>
      </c>
      <c r="G377" s="16" t="str">
        <f>IFERROR(IF([2]对账明细接口!$G$377=0,"",[2]对账明细接口!$G$377),"")</f>
        <v/>
      </c>
      <c r="H377" s="17" t="str">
        <f>IFERROR(IF([2]对账明细接口!$H$377=0,"",[2]对账明细接口!$H$377),"")</f>
        <v/>
      </c>
      <c r="I377" s="16" t="str">
        <f>IFERROR(IF([2]对账明细接口!$I$377=0,"",[2]对账明细接口!$I$377),"")</f>
        <v/>
      </c>
      <c r="J377" s="18" t="str">
        <f>IFERROR(IF([2]对账明细接口!$J$377=0,"",[2]对账明细接口!$J$377),"")</f>
        <v/>
      </c>
      <c r="K377" s="18" t="str">
        <f>IFERROR(IF([2]对账明细接口!$K$377=0,"",[2]对账明细接口!$K$377),"")</f>
        <v/>
      </c>
      <c r="L377" s="16" t="str">
        <f>IFERROR(IF([2]对账明细接口!$L$377=0,"",[2]对账明细接口!$L$377),"")</f>
        <v/>
      </c>
      <c r="M377" s="16" t="str">
        <f>IFERROR(IF([2]对账明细接口!$M$377=0,"",[2]对账明细接口!$M$377),"")</f>
        <v/>
      </c>
      <c r="N377" s="19">
        <f t="shared" si="30"/>
        <v>0</v>
      </c>
      <c r="O377" s="19">
        <f t="shared" si="31"/>
        <v>165</v>
      </c>
      <c r="S377" s="20" t="str">
        <f>IFERROR(IF([2]对账明细接口!$N377=0,"",[2]对账明细接口!$N377),"")</f>
        <v/>
      </c>
      <c r="T377" s="21" t="str">
        <f>IFERROR(IF([2]对账明细接口!$O377=0,"",[2]对账明细接口!$O377),"")</f>
        <v/>
      </c>
      <c r="U377" s="21" t="str">
        <f>IFERROR(IF([2]对账明细接口!$P377=0,"",[2]对账明细接口!$P377),"")</f>
        <v/>
      </c>
      <c r="V377" s="21" t="str">
        <f>IFERROR(IF([2]对账明细接口!$Q377=0,"",[2]对账明细接口!$Q377),"")</f>
        <v/>
      </c>
      <c r="W377" s="20" t="str">
        <f>IFERROR(IF([2]对账明细接口!$R377=0,"",[2]对账明细接口!$R377),"")</f>
        <v/>
      </c>
      <c r="X377" s="20" t="str">
        <f>IFERROR(IF([2]对账明细接口!$S377=0,"",[2]对账明细接口!$S377),"")</f>
        <v/>
      </c>
      <c r="Y377" s="20" t="str">
        <f t="shared" si="32"/>
        <v/>
      </c>
      <c r="Z377" s="20" t="str">
        <f t="shared" si="33"/>
        <v/>
      </c>
      <c r="AA377" s="20" t="str">
        <f t="shared" si="34"/>
        <v/>
      </c>
      <c r="AB377" s="20" t="str">
        <f t="shared" si="35"/>
        <v/>
      </c>
    </row>
    <row r="378" customHeight="1" spans="1:28">
      <c r="A378" s="14">
        <v>378</v>
      </c>
      <c r="B378" s="15" t="str">
        <f>IFERROR(IF([2]对账明细接口!$B$378=0,"",[2]对账明细接口!$B$378),"")</f>
        <v/>
      </c>
      <c r="C378" s="16" t="str">
        <f>IFERROR(IF([2]对账明细接口!$C$378=0,"",[2]对账明细接口!$C$378),"")</f>
        <v/>
      </c>
      <c r="D378" s="16" t="str">
        <f>IFERROR(IF([2]对账明细接口!$D$378=0,"",[2]对账明细接口!$D$378),"")</f>
        <v/>
      </c>
      <c r="E378" s="16" t="str">
        <f>IFERROR(IF([2]对账明细接口!$E$378=0,"",[2]对账明细接口!$E$378),"")</f>
        <v/>
      </c>
      <c r="F378" s="16" t="str">
        <f>IFERROR(IF([2]对账明细接口!$F$378=0,"",[2]对账明细接口!$F$378),"")</f>
        <v/>
      </c>
      <c r="G378" s="16" t="str">
        <f>IFERROR(IF([2]对账明细接口!$G$378=0,"",[2]对账明细接口!$G$378),"")</f>
        <v/>
      </c>
      <c r="H378" s="17" t="str">
        <f>IFERROR(IF([2]对账明细接口!$H$378=0,"",[2]对账明细接口!$H$378),"")</f>
        <v/>
      </c>
      <c r="I378" s="16" t="str">
        <f>IFERROR(IF([2]对账明细接口!$I$378=0,"",[2]对账明细接口!$I$378),"")</f>
        <v/>
      </c>
      <c r="J378" s="18" t="str">
        <f>IFERROR(IF([2]对账明细接口!$J$378=0,"",[2]对账明细接口!$J$378),"")</f>
        <v/>
      </c>
      <c r="K378" s="18" t="str">
        <f>IFERROR(IF([2]对账明细接口!$K$378=0,"",[2]对账明细接口!$K$378),"")</f>
        <v/>
      </c>
      <c r="L378" s="16" t="str">
        <f>IFERROR(IF([2]对账明细接口!$L$378=0,"",[2]对账明细接口!$L$378),"")</f>
        <v/>
      </c>
      <c r="M378" s="16" t="str">
        <f>IFERROR(IF([2]对账明细接口!$M$378=0,"",[2]对账明细接口!$M$378),"")</f>
        <v/>
      </c>
      <c r="N378" s="19">
        <f t="shared" si="30"/>
        <v>0</v>
      </c>
      <c r="O378" s="19">
        <f t="shared" si="31"/>
        <v>165</v>
      </c>
      <c r="S378" s="20" t="str">
        <f>IFERROR(IF([2]对账明细接口!$N378=0,"",[2]对账明细接口!$N378),"")</f>
        <v/>
      </c>
      <c r="T378" s="21" t="str">
        <f>IFERROR(IF([2]对账明细接口!$O378=0,"",[2]对账明细接口!$O378),"")</f>
        <v/>
      </c>
      <c r="U378" s="21" t="str">
        <f>IFERROR(IF([2]对账明细接口!$P378=0,"",[2]对账明细接口!$P378),"")</f>
        <v/>
      </c>
      <c r="V378" s="21" t="str">
        <f>IFERROR(IF([2]对账明细接口!$Q378=0,"",[2]对账明细接口!$Q378),"")</f>
        <v/>
      </c>
      <c r="W378" s="20" t="str">
        <f>IFERROR(IF([2]对账明细接口!$R378=0,"",[2]对账明细接口!$R378),"")</f>
        <v/>
      </c>
      <c r="X378" s="20" t="str">
        <f>IFERROR(IF([2]对账明细接口!$S378=0,"",[2]对账明细接口!$S378),"")</f>
        <v/>
      </c>
      <c r="Y378" s="20" t="str">
        <f t="shared" si="32"/>
        <v/>
      </c>
      <c r="Z378" s="20" t="str">
        <f t="shared" si="33"/>
        <v/>
      </c>
      <c r="AA378" s="20" t="str">
        <f t="shared" si="34"/>
        <v/>
      </c>
      <c r="AB378" s="20" t="str">
        <f t="shared" si="35"/>
        <v/>
      </c>
    </row>
    <row r="379" customHeight="1" spans="1:28">
      <c r="A379" s="14">
        <v>379</v>
      </c>
      <c r="B379" s="15" t="str">
        <f>IFERROR(IF([2]对账明细接口!$B$379=0,"",[2]对账明细接口!$B$379),"")</f>
        <v/>
      </c>
      <c r="C379" s="16" t="str">
        <f>IFERROR(IF([2]对账明细接口!$C$379=0,"",[2]对账明细接口!$C$379),"")</f>
        <v/>
      </c>
      <c r="D379" s="16" t="str">
        <f>IFERROR(IF([2]对账明细接口!$D$379=0,"",[2]对账明细接口!$D$379),"")</f>
        <v/>
      </c>
      <c r="E379" s="16" t="str">
        <f>IFERROR(IF([2]对账明细接口!$E$379=0,"",[2]对账明细接口!$E$379),"")</f>
        <v/>
      </c>
      <c r="F379" s="16" t="str">
        <f>IFERROR(IF([2]对账明细接口!$F$379=0,"",[2]对账明细接口!$F$379),"")</f>
        <v/>
      </c>
      <c r="G379" s="16" t="str">
        <f>IFERROR(IF([2]对账明细接口!$G$379=0,"",[2]对账明细接口!$G$379),"")</f>
        <v/>
      </c>
      <c r="H379" s="17" t="str">
        <f>IFERROR(IF([2]对账明细接口!$H$379=0,"",[2]对账明细接口!$H$379),"")</f>
        <v/>
      </c>
      <c r="I379" s="16" t="str">
        <f>IFERROR(IF([2]对账明细接口!$I$379=0,"",[2]对账明细接口!$I$379),"")</f>
        <v/>
      </c>
      <c r="J379" s="18" t="str">
        <f>IFERROR(IF([2]对账明细接口!$J$379=0,"",[2]对账明细接口!$J$379),"")</f>
        <v/>
      </c>
      <c r="K379" s="18" t="str">
        <f>IFERROR(IF([2]对账明细接口!$K$379=0,"",[2]对账明细接口!$K$379),"")</f>
        <v/>
      </c>
      <c r="L379" s="16" t="str">
        <f>IFERROR(IF([2]对账明细接口!$L$379=0,"",[2]对账明细接口!$L$379),"")</f>
        <v/>
      </c>
      <c r="M379" s="16" t="str">
        <f>IFERROR(IF([2]对账明细接口!$M$379=0,"",[2]对账明细接口!$M$379),"")</f>
        <v/>
      </c>
      <c r="N379" s="19">
        <f t="shared" si="30"/>
        <v>0</v>
      </c>
      <c r="O379" s="19">
        <f t="shared" si="31"/>
        <v>165</v>
      </c>
      <c r="S379" s="20" t="str">
        <f>IFERROR(IF([2]对账明细接口!$N379=0,"",[2]对账明细接口!$N379),"")</f>
        <v/>
      </c>
      <c r="T379" s="21" t="str">
        <f>IFERROR(IF([2]对账明细接口!$O379=0,"",[2]对账明细接口!$O379),"")</f>
        <v/>
      </c>
      <c r="U379" s="21" t="str">
        <f>IFERROR(IF([2]对账明细接口!$P379=0,"",[2]对账明细接口!$P379),"")</f>
        <v/>
      </c>
      <c r="V379" s="21" t="str">
        <f>IFERROR(IF([2]对账明细接口!$Q379=0,"",[2]对账明细接口!$Q379),"")</f>
        <v/>
      </c>
      <c r="W379" s="20" t="str">
        <f>IFERROR(IF([2]对账明细接口!$R379=0,"",[2]对账明细接口!$R379),"")</f>
        <v/>
      </c>
      <c r="X379" s="20" t="str">
        <f>IFERROR(IF([2]对账明细接口!$S379=0,"",[2]对账明细接口!$S379),"")</f>
        <v/>
      </c>
      <c r="Y379" s="20" t="str">
        <f t="shared" si="32"/>
        <v/>
      </c>
      <c r="Z379" s="20" t="str">
        <f t="shared" si="33"/>
        <v/>
      </c>
      <c r="AA379" s="20" t="str">
        <f t="shared" si="34"/>
        <v/>
      </c>
      <c r="AB379" s="20" t="str">
        <f t="shared" si="35"/>
        <v/>
      </c>
    </row>
    <row r="380" customHeight="1" spans="1:28">
      <c r="A380" s="14">
        <v>380</v>
      </c>
      <c r="B380" s="15" t="str">
        <f>IFERROR(IF([2]对账明细接口!$B$380=0,"",[2]对账明细接口!$B$380),"")</f>
        <v/>
      </c>
      <c r="C380" s="16" t="str">
        <f>IFERROR(IF([2]对账明细接口!$C$380=0,"",[2]对账明细接口!$C$380),"")</f>
        <v/>
      </c>
      <c r="D380" s="16" t="str">
        <f>IFERROR(IF([2]对账明细接口!$D$380=0,"",[2]对账明细接口!$D$380),"")</f>
        <v/>
      </c>
      <c r="E380" s="16" t="str">
        <f>IFERROR(IF([2]对账明细接口!$E$380=0,"",[2]对账明细接口!$E$380),"")</f>
        <v/>
      </c>
      <c r="F380" s="16" t="str">
        <f>IFERROR(IF([2]对账明细接口!$F$380=0,"",[2]对账明细接口!$F$380),"")</f>
        <v/>
      </c>
      <c r="G380" s="16" t="str">
        <f>IFERROR(IF([2]对账明细接口!$G$380=0,"",[2]对账明细接口!$G$380),"")</f>
        <v/>
      </c>
      <c r="H380" s="17" t="str">
        <f>IFERROR(IF([2]对账明细接口!$H$380=0,"",[2]对账明细接口!$H$380),"")</f>
        <v/>
      </c>
      <c r="I380" s="16" t="str">
        <f>IFERROR(IF([2]对账明细接口!$I$380=0,"",[2]对账明细接口!$I$380),"")</f>
        <v/>
      </c>
      <c r="J380" s="18" t="str">
        <f>IFERROR(IF([2]对账明细接口!$J$380=0,"",[2]对账明细接口!$J$380),"")</f>
        <v/>
      </c>
      <c r="K380" s="18" t="str">
        <f>IFERROR(IF([2]对账明细接口!$K$380=0,"",[2]对账明细接口!$K$380),"")</f>
        <v/>
      </c>
      <c r="L380" s="16" t="str">
        <f>IFERROR(IF([2]对账明细接口!$L$380=0,"",[2]对账明细接口!$L$380),"")</f>
        <v/>
      </c>
      <c r="M380" s="16" t="str">
        <f>IFERROR(IF([2]对账明细接口!$M$380=0,"",[2]对账明细接口!$M$380),"")</f>
        <v/>
      </c>
      <c r="N380" s="19">
        <f t="shared" si="30"/>
        <v>0</v>
      </c>
      <c r="O380" s="19">
        <f t="shared" si="31"/>
        <v>165</v>
      </c>
      <c r="S380" s="20" t="str">
        <f>IFERROR(IF([2]对账明细接口!$N380=0,"",[2]对账明细接口!$N380),"")</f>
        <v/>
      </c>
      <c r="T380" s="21" t="str">
        <f>IFERROR(IF([2]对账明细接口!$O380=0,"",[2]对账明细接口!$O380),"")</f>
        <v/>
      </c>
      <c r="U380" s="21" t="str">
        <f>IFERROR(IF([2]对账明细接口!$P380=0,"",[2]对账明细接口!$P380),"")</f>
        <v/>
      </c>
      <c r="V380" s="21" t="str">
        <f>IFERROR(IF([2]对账明细接口!$Q380=0,"",[2]对账明细接口!$Q380),"")</f>
        <v/>
      </c>
      <c r="W380" s="20" t="str">
        <f>IFERROR(IF([2]对账明细接口!$R380=0,"",[2]对账明细接口!$R380),"")</f>
        <v/>
      </c>
      <c r="X380" s="20" t="str">
        <f>IFERROR(IF([2]对账明细接口!$S380=0,"",[2]对账明细接口!$S380),"")</f>
        <v/>
      </c>
      <c r="Y380" s="20" t="str">
        <f t="shared" si="32"/>
        <v/>
      </c>
      <c r="Z380" s="20" t="str">
        <f t="shared" si="33"/>
        <v/>
      </c>
      <c r="AA380" s="20" t="str">
        <f t="shared" si="34"/>
        <v/>
      </c>
      <c r="AB380" s="20" t="str">
        <f t="shared" si="35"/>
        <v/>
      </c>
    </row>
    <row r="381" customHeight="1" spans="1:28">
      <c r="A381" s="14">
        <v>381</v>
      </c>
      <c r="B381" s="15" t="str">
        <f>IFERROR(IF([2]对账明细接口!$B$381=0,"",[2]对账明细接口!$B$381),"")</f>
        <v/>
      </c>
      <c r="C381" s="16" t="str">
        <f>IFERROR(IF([2]对账明细接口!$C$381=0,"",[2]对账明细接口!$C$381),"")</f>
        <v/>
      </c>
      <c r="D381" s="16" t="str">
        <f>IFERROR(IF([2]对账明细接口!$D$381=0,"",[2]对账明细接口!$D$381),"")</f>
        <v/>
      </c>
      <c r="E381" s="16" t="str">
        <f>IFERROR(IF([2]对账明细接口!$E$381=0,"",[2]对账明细接口!$E$381),"")</f>
        <v/>
      </c>
      <c r="F381" s="16" t="str">
        <f>IFERROR(IF([2]对账明细接口!$F$381=0,"",[2]对账明细接口!$F$381),"")</f>
        <v/>
      </c>
      <c r="G381" s="16" t="str">
        <f>IFERROR(IF([2]对账明细接口!$G$381=0,"",[2]对账明细接口!$G$381),"")</f>
        <v/>
      </c>
      <c r="H381" s="17" t="str">
        <f>IFERROR(IF([2]对账明细接口!$H$381=0,"",[2]对账明细接口!$H$381),"")</f>
        <v/>
      </c>
      <c r="I381" s="16" t="str">
        <f>IFERROR(IF([2]对账明细接口!$I$381=0,"",[2]对账明细接口!$I$381),"")</f>
        <v/>
      </c>
      <c r="J381" s="18" t="str">
        <f>IFERROR(IF([2]对账明细接口!$J$381=0,"",[2]对账明细接口!$J$381),"")</f>
        <v/>
      </c>
      <c r="K381" s="18" t="str">
        <f>IFERROR(IF([2]对账明细接口!$K$381=0,"",[2]对账明细接口!$K$381),"")</f>
        <v/>
      </c>
      <c r="L381" s="16" t="str">
        <f>IFERROR(IF([2]对账明细接口!$L$381=0,"",[2]对账明细接口!$L$381),"")</f>
        <v/>
      </c>
      <c r="M381" s="16" t="str">
        <f>IFERROR(IF([2]对账明细接口!$M$381=0,"",[2]对账明细接口!$M$381),"")</f>
        <v/>
      </c>
      <c r="N381" s="19">
        <f t="shared" si="30"/>
        <v>0</v>
      </c>
      <c r="O381" s="19">
        <f t="shared" si="31"/>
        <v>165</v>
      </c>
      <c r="S381" s="20" t="str">
        <f>IFERROR(IF([2]对账明细接口!$N381=0,"",[2]对账明细接口!$N381),"")</f>
        <v/>
      </c>
      <c r="T381" s="21" t="str">
        <f>IFERROR(IF([2]对账明细接口!$O381=0,"",[2]对账明细接口!$O381),"")</f>
        <v/>
      </c>
      <c r="U381" s="21" t="str">
        <f>IFERROR(IF([2]对账明细接口!$P381=0,"",[2]对账明细接口!$P381),"")</f>
        <v/>
      </c>
      <c r="V381" s="21" t="str">
        <f>IFERROR(IF([2]对账明细接口!$Q381=0,"",[2]对账明细接口!$Q381),"")</f>
        <v/>
      </c>
      <c r="W381" s="20" t="str">
        <f>IFERROR(IF([2]对账明细接口!$R381=0,"",[2]对账明细接口!$R381),"")</f>
        <v/>
      </c>
      <c r="X381" s="20" t="str">
        <f>IFERROR(IF([2]对账明细接口!$S381=0,"",[2]对账明细接口!$S381),"")</f>
        <v/>
      </c>
      <c r="Y381" s="20" t="str">
        <f t="shared" si="32"/>
        <v/>
      </c>
      <c r="Z381" s="20" t="str">
        <f t="shared" si="33"/>
        <v/>
      </c>
      <c r="AA381" s="20" t="str">
        <f t="shared" si="34"/>
        <v/>
      </c>
      <c r="AB381" s="20" t="str">
        <f t="shared" si="35"/>
        <v/>
      </c>
    </row>
    <row r="382" customHeight="1" spans="1:28">
      <c r="A382" s="14">
        <v>382</v>
      </c>
      <c r="B382" s="15" t="str">
        <f>IFERROR(IF([2]对账明细接口!$B$382=0,"",[2]对账明细接口!$B$382),"")</f>
        <v/>
      </c>
      <c r="C382" s="16" t="str">
        <f>IFERROR(IF([2]对账明细接口!$C$382=0,"",[2]对账明细接口!$C$382),"")</f>
        <v/>
      </c>
      <c r="D382" s="16" t="str">
        <f>IFERROR(IF([2]对账明细接口!$D$382=0,"",[2]对账明细接口!$D$382),"")</f>
        <v/>
      </c>
      <c r="E382" s="16" t="str">
        <f>IFERROR(IF([2]对账明细接口!$E$382=0,"",[2]对账明细接口!$E$382),"")</f>
        <v/>
      </c>
      <c r="F382" s="16" t="str">
        <f>IFERROR(IF([2]对账明细接口!$F$382=0,"",[2]对账明细接口!$F$382),"")</f>
        <v/>
      </c>
      <c r="G382" s="16" t="str">
        <f>IFERROR(IF([2]对账明细接口!$G$382=0,"",[2]对账明细接口!$G$382),"")</f>
        <v/>
      </c>
      <c r="H382" s="17" t="str">
        <f>IFERROR(IF([2]对账明细接口!$H$382=0,"",[2]对账明细接口!$H$382),"")</f>
        <v/>
      </c>
      <c r="I382" s="16" t="str">
        <f>IFERROR(IF([2]对账明细接口!$I$382=0,"",[2]对账明细接口!$I$382),"")</f>
        <v/>
      </c>
      <c r="J382" s="18" t="str">
        <f>IFERROR(IF([2]对账明细接口!$J$382=0,"",[2]对账明细接口!$J$382),"")</f>
        <v/>
      </c>
      <c r="K382" s="18" t="str">
        <f>IFERROR(IF([2]对账明细接口!$K$382=0,"",[2]对账明细接口!$K$382),"")</f>
        <v/>
      </c>
      <c r="L382" s="16" t="str">
        <f>IFERROR(IF([2]对账明细接口!$L$382=0,"",[2]对账明细接口!$L$382),"")</f>
        <v/>
      </c>
      <c r="M382" s="16" t="str">
        <f>IFERROR(IF([2]对账明细接口!$M$382=0,"",[2]对账明细接口!$M$382),"")</f>
        <v/>
      </c>
      <c r="N382" s="19">
        <f t="shared" si="30"/>
        <v>0</v>
      </c>
      <c r="O382" s="19">
        <f t="shared" si="31"/>
        <v>165</v>
      </c>
      <c r="S382" s="20" t="str">
        <f>IFERROR(IF([2]对账明细接口!$N382=0,"",[2]对账明细接口!$N382),"")</f>
        <v/>
      </c>
      <c r="T382" s="21" t="str">
        <f>IFERROR(IF([2]对账明细接口!$O382=0,"",[2]对账明细接口!$O382),"")</f>
        <v/>
      </c>
      <c r="U382" s="21" t="str">
        <f>IFERROR(IF([2]对账明细接口!$P382=0,"",[2]对账明细接口!$P382),"")</f>
        <v/>
      </c>
      <c r="V382" s="21" t="str">
        <f>IFERROR(IF([2]对账明细接口!$Q382=0,"",[2]对账明细接口!$Q382),"")</f>
        <v/>
      </c>
      <c r="W382" s="20" t="str">
        <f>IFERROR(IF([2]对账明细接口!$R382=0,"",[2]对账明细接口!$R382),"")</f>
        <v/>
      </c>
      <c r="X382" s="20" t="str">
        <f>IFERROR(IF([2]对账明细接口!$S382=0,"",[2]对账明细接口!$S382),"")</f>
        <v/>
      </c>
      <c r="Y382" s="20" t="str">
        <f t="shared" si="32"/>
        <v/>
      </c>
      <c r="Z382" s="20" t="str">
        <f t="shared" si="33"/>
        <v/>
      </c>
      <c r="AA382" s="20" t="str">
        <f t="shared" si="34"/>
        <v/>
      </c>
      <c r="AB382" s="20" t="str">
        <f t="shared" si="35"/>
        <v/>
      </c>
    </row>
    <row r="383" customHeight="1" spans="1:28">
      <c r="A383" s="14">
        <v>383</v>
      </c>
      <c r="B383" s="15" t="str">
        <f>IFERROR(IF([2]对账明细接口!$B$383=0,"",[2]对账明细接口!$B$383),"")</f>
        <v/>
      </c>
      <c r="C383" s="16" t="str">
        <f>IFERROR(IF([2]对账明细接口!$C$383=0,"",[2]对账明细接口!$C$383),"")</f>
        <v/>
      </c>
      <c r="D383" s="16" t="str">
        <f>IFERROR(IF([2]对账明细接口!$D$383=0,"",[2]对账明细接口!$D$383),"")</f>
        <v/>
      </c>
      <c r="E383" s="16" t="str">
        <f>IFERROR(IF([2]对账明细接口!$E$383=0,"",[2]对账明细接口!$E$383),"")</f>
        <v/>
      </c>
      <c r="F383" s="16" t="str">
        <f>IFERROR(IF([2]对账明细接口!$F$383=0,"",[2]对账明细接口!$F$383),"")</f>
        <v/>
      </c>
      <c r="G383" s="16" t="str">
        <f>IFERROR(IF([2]对账明细接口!$G$383=0,"",[2]对账明细接口!$G$383),"")</f>
        <v/>
      </c>
      <c r="H383" s="17" t="str">
        <f>IFERROR(IF([2]对账明细接口!$H$383=0,"",[2]对账明细接口!$H$383),"")</f>
        <v/>
      </c>
      <c r="I383" s="16" t="str">
        <f>IFERROR(IF([2]对账明细接口!$I$383=0,"",[2]对账明细接口!$I$383),"")</f>
        <v/>
      </c>
      <c r="J383" s="18" t="str">
        <f>IFERROR(IF([2]对账明细接口!$J$383=0,"",[2]对账明细接口!$J$383),"")</f>
        <v/>
      </c>
      <c r="K383" s="18" t="str">
        <f>IFERROR(IF([2]对账明细接口!$K$383=0,"",[2]对账明细接口!$K$383),"")</f>
        <v/>
      </c>
      <c r="L383" s="16" t="str">
        <f>IFERROR(IF([2]对账明细接口!$L$383=0,"",[2]对账明细接口!$L$383),"")</f>
        <v/>
      </c>
      <c r="M383" s="16" t="str">
        <f>IFERROR(IF([2]对账明细接口!$M$383=0,"",[2]对账明细接口!$M$383),"")</f>
        <v/>
      </c>
      <c r="N383" s="19">
        <f t="shared" si="30"/>
        <v>0</v>
      </c>
      <c r="O383" s="19">
        <f t="shared" si="31"/>
        <v>165</v>
      </c>
      <c r="S383" s="20" t="str">
        <f>IFERROR(IF([2]对账明细接口!$N383=0,"",[2]对账明细接口!$N383),"")</f>
        <v/>
      </c>
      <c r="T383" s="21" t="str">
        <f>IFERROR(IF([2]对账明细接口!$O383=0,"",[2]对账明细接口!$O383),"")</f>
        <v/>
      </c>
      <c r="U383" s="21" t="str">
        <f>IFERROR(IF([2]对账明细接口!$P383=0,"",[2]对账明细接口!$P383),"")</f>
        <v/>
      </c>
      <c r="V383" s="21" t="str">
        <f>IFERROR(IF([2]对账明细接口!$Q383=0,"",[2]对账明细接口!$Q383),"")</f>
        <v/>
      </c>
      <c r="W383" s="20" t="str">
        <f>IFERROR(IF([2]对账明细接口!$R383=0,"",[2]对账明细接口!$R383),"")</f>
        <v/>
      </c>
      <c r="X383" s="20" t="str">
        <f>IFERROR(IF([2]对账明细接口!$S383=0,"",[2]对账明细接口!$S383),"")</f>
        <v/>
      </c>
      <c r="Y383" s="20" t="str">
        <f t="shared" si="32"/>
        <v/>
      </c>
      <c r="Z383" s="20" t="str">
        <f t="shared" si="33"/>
        <v/>
      </c>
      <c r="AA383" s="20" t="str">
        <f t="shared" si="34"/>
        <v/>
      </c>
      <c r="AB383" s="20" t="str">
        <f t="shared" si="35"/>
        <v/>
      </c>
    </row>
    <row r="384" customHeight="1" spans="1:28">
      <c r="A384" s="14">
        <v>384</v>
      </c>
      <c r="B384" s="15" t="str">
        <f>IFERROR(IF([2]对账明细接口!$B$384=0,"",[2]对账明细接口!$B$384),"")</f>
        <v/>
      </c>
      <c r="C384" s="16" t="str">
        <f>IFERROR(IF([2]对账明细接口!$C$384=0,"",[2]对账明细接口!$C$384),"")</f>
        <v/>
      </c>
      <c r="D384" s="16" t="str">
        <f>IFERROR(IF([2]对账明细接口!$D$384=0,"",[2]对账明细接口!$D$384),"")</f>
        <v/>
      </c>
      <c r="E384" s="16" t="str">
        <f>IFERROR(IF([2]对账明细接口!$E$384=0,"",[2]对账明细接口!$E$384),"")</f>
        <v/>
      </c>
      <c r="F384" s="16" t="str">
        <f>IFERROR(IF([2]对账明细接口!$F$384=0,"",[2]对账明细接口!$F$384),"")</f>
        <v/>
      </c>
      <c r="G384" s="16" t="str">
        <f>IFERROR(IF([2]对账明细接口!$G$384=0,"",[2]对账明细接口!$G$384),"")</f>
        <v/>
      </c>
      <c r="H384" s="17" t="str">
        <f>IFERROR(IF([2]对账明细接口!$H$384=0,"",[2]对账明细接口!$H$384),"")</f>
        <v/>
      </c>
      <c r="I384" s="16" t="str">
        <f>IFERROR(IF([2]对账明细接口!$I$384=0,"",[2]对账明细接口!$I$384),"")</f>
        <v/>
      </c>
      <c r="J384" s="18" t="str">
        <f>IFERROR(IF([2]对账明细接口!$J$384=0,"",[2]对账明细接口!$J$384),"")</f>
        <v/>
      </c>
      <c r="K384" s="18" t="str">
        <f>IFERROR(IF([2]对账明细接口!$K$384=0,"",[2]对账明细接口!$K$384),"")</f>
        <v/>
      </c>
      <c r="L384" s="16" t="str">
        <f>IFERROR(IF([2]对账明细接口!$L$384=0,"",[2]对账明细接口!$L$384),"")</f>
        <v/>
      </c>
      <c r="M384" s="16" t="str">
        <f>IFERROR(IF([2]对账明细接口!$M$384=0,"",[2]对账明细接口!$M$384),"")</f>
        <v/>
      </c>
      <c r="N384" s="19">
        <f t="shared" si="30"/>
        <v>0</v>
      </c>
      <c r="O384" s="19">
        <f t="shared" si="31"/>
        <v>165</v>
      </c>
      <c r="S384" s="20" t="str">
        <f>IFERROR(IF([2]对账明细接口!$N384=0,"",[2]对账明细接口!$N384),"")</f>
        <v/>
      </c>
      <c r="T384" s="21" t="str">
        <f>IFERROR(IF([2]对账明细接口!$O384=0,"",[2]对账明细接口!$O384),"")</f>
        <v/>
      </c>
      <c r="U384" s="21" t="str">
        <f>IFERROR(IF([2]对账明细接口!$P384=0,"",[2]对账明细接口!$P384),"")</f>
        <v/>
      </c>
      <c r="V384" s="21" t="str">
        <f>IFERROR(IF([2]对账明细接口!$Q384=0,"",[2]对账明细接口!$Q384),"")</f>
        <v/>
      </c>
      <c r="W384" s="20" t="str">
        <f>IFERROR(IF([2]对账明细接口!$R384=0,"",[2]对账明细接口!$R384),"")</f>
        <v/>
      </c>
      <c r="X384" s="20" t="str">
        <f>IFERROR(IF([2]对账明细接口!$S384=0,"",[2]对账明细接口!$S384),"")</f>
        <v/>
      </c>
      <c r="Y384" s="20" t="str">
        <f t="shared" si="32"/>
        <v/>
      </c>
      <c r="Z384" s="20" t="str">
        <f t="shared" si="33"/>
        <v/>
      </c>
      <c r="AA384" s="20" t="str">
        <f t="shared" si="34"/>
        <v/>
      </c>
      <c r="AB384" s="20" t="str">
        <f t="shared" si="35"/>
        <v/>
      </c>
    </row>
    <row r="385" customHeight="1" spans="1:28">
      <c r="A385" s="14">
        <v>385</v>
      </c>
      <c r="B385" s="15" t="str">
        <f>IFERROR(IF([2]对账明细接口!$B$385=0,"",[2]对账明细接口!$B$385),"")</f>
        <v/>
      </c>
      <c r="C385" s="16" t="str">
        <f>IFERROR(IF([2]对账明细接口!$C$385=0,"",[2]对账明细接口!$C$385),"")</f>
        <v/>
      </c>
      <c r="D385" s="16" t="str">
        <f>IFERROR(IF([2]对账明细接口!$D$385=0,"",[2]对账明细接口!$D$385),"")</f>
        <v/>
      </c>
      <c r="E385" s="16" t="str">
        <f>IFERROR(IF([2]对账明细接口!$E$385=0,"",[2]对账明细接口!$E$385),"")</f>
        <v/>
      </c>
      <c r="F385" s="16" t="str">
        <f>IFERROR(IF([2]对账明细接口!$F$385=0,"",[2]对账明细接口!$F$385),"")</f>
        <v/>
      </c>
      <c r="G385" s="16" t="str">
        <f>IFERROR(IF([2]对账明细接口!$G$385=0,"",[2]对账明细接口!$G$385),"")</f>
        <v/>
      </c>
      <c r="H385" s="17" t="str">
        <f>IFERROR(IF([2]对账明细接口!$H$385=0,"",[2]对账明细接口!$H$385),"")</f>
        <v/>
      </c>
      <c r="I385" s="16" t="str">
        <f>IFERROR(IF([2]对账明细接口!$I$385=0,"",[2]对账明细接口!$I$385),"")</f>
        <v/>
      </c>
      <c r="J385" s="18" t="str">
        <f>IFERROR(IF([2]对账明细接口!$J$385=0,"",[2]对账明细接口!$J$385),"")</f>
        <v/>
      </c>
      <c r="K385" s="18" t="str">
        <f>IFERROR(IF([2]对账明细接口!$K$385=0,"",[2]对账明细接口!$K$385),"")</f>
        <v/>
      </c>
      <c r="L385" s="16" t="str">
        <f>IFERROR(IF([2]对账明细接口!$L$385=0,"",[2]对账明细接口!$L$385),"")</f>
        <v/>
      </c>
      <c r="M385" s="16" t="str">
        <f>IFERROR(IF([2]对账明细接口!$M$385=0,"",[2]对账明细接口!$M$385),"")</f>
        <v/>
      </c>
      <c r="N385" s="19">
        <f t="shared" si="30"/>
        <v>0</v>
      </c>
      <c r="O385" s="19">
        <f t="shared" si="31"/>
        <v>165</v>
      </c>
      <c r="S385" s="20" t="str">
        <f>IFERROR(IF([2]对账明细接口!$N385=0,"",[2]对账明细接口!$N385),"")</f>
        <v/>
      </c>
      <c r="T385" s="21" t="str">
        <f>IFERROR(IF([2]对账明细接口!$O385=0,"",[2]对账明细接口!$O385),"")</f>
        <v/>
      </c>
      <c r="U385" s="21" t="str">
        <f>IFERROR(IF([2]对账明细接口!$P385=0,"",[2]对账明细接口!$P385),"")</f>
        <v/>
      </c>
      <c r="V385" s="21" t="str">
        <f>IFERROR(IF([2]对账明细接口!$Q385=0,"",[2]对账明细接口!$Q385),"")</f>
        <v/>
      </c>
      <c r="W385" s="20" t="str">
        <f>IFERROR(IF([2]对账明细接口!$R385=0,"",[2]对账明细接口!$R385),"")</f>
        <v/>
      </c>
      <c r="X385" s="20" t="str">
        <f>IFERROR(IF([2]对账明细接口!$S385=0,"",[2]对账明细接口!$S385),"")</f>
        <v/>
      </c>
      <c r="Y385" s="20" t="str">
        <f t="shared" si="32"/>
        <v/>
      </c>
      <c r="Z385" s="20" t="str">
        <f t="shared" si="33"/>
        <v/>
      </c>
      <c r="AA385" s="20" t="str">
        <f t="shared" si="34"/>
        <v/>
      </c>
      <c r="AB385" s="20" t="str">
        <f t="shared" si="35"/>
        <v/>
      </c>
    </row>
    <row r="386" customHeight="1" spans="1:28">
      <c r="A386" s="14">
        <v>386</v>
      </c>
      <c r="B386" s="15" t="str">
        <f>IFERROR(IF([2]对账明细接口!$B$386=0,"",[2]对账明细接口!$B$386),"")</f>
        <v/>
      </c>
      <c r="C386" s="16" t="str">
        <f>IFERROR(IF([2]对账明细接口!$C$386=0,"",[2]对账明细接口!$C$386),"")</f>
        <v/>
      </c>
      <c r="D386" s="16" t="str">
        <f>IFERROR(IF([2]对账明细接口!$D$386=0,"",[2]对账明细接口!$D$386),"")</f>
        <v/>
      </c>
      <c r="E386" s="16" t="str">
        <f>IFERROR(IF([2]对账明细接口!$E$386=0,"",[2]对账明细接口!$E$386),"")</f>
        <v/>
      </c>
      <c r="F386" s="16" t="str">
        <f>IFERROR(IF([2]对账明细接口!$F$386=0,"",[2]对账明细接口!$F$386),"")</f>
        <v/>
      </c>
      <c r="G386" s="16" t="str">
        <f>IFERROR(IF([2]对账明细接口!$G$386=0,"",[2]对账明细接口!$G$386),"")</f>
        <v/>
      </c>
      <c r="H386" s="17" t="str">
        <f>IFERROR(IF([2]对账明细接口!$H$386=0,"",[2]对账明细接口!$H$386),"")</f>
        <v/>
      </c>
      <c r="I386" s="16" t="str">
        <f>IFERROR(IF([2]对账明细接口!$I$386=0,"",[2]对账明细接口!$I$386),"")</f>
        <v/>
      </c>
      <c r="J386" s="18" t="str">
        <f>IFERROR(IF([2]对账明细接口!$J$386=0,"",[2]对账明细接口!$J$386),"")</f>
        <v/>
      </c>
      <c r="K386" s="18" t="str">
        <f>IFERROR(IF([2]对账明细接口!$K$386=0,"",[2]对账明细接口!$K$386),"")</f>
        <v/>
      </c>
      <c r="L386" s="16" t="str">
        <f>IFERROR(IF([2]对账明细接口!$L$386=0,"",[2]对账明细接口!$L$386),"")</f>
        <v/>
      </c>
      <c r="M386" s="16" t="str">
        <f>IFERROR(IF([2]对账明细接口!$M$386=0,"",[2]对账明细接口!$M$386),"")</f>
        <v/>
      </c>
      <c r="N386" s="19">
        <f t="shared" si="30"/>
        <v>0</v>
      </c>
      <c r="O386" s="19">
        <f t="shared" si="31"/>
        <v>165</v>
      </c>
      <c r="S386" s="20" t="str">
        <f>IFERROR(IF([2]对账明细接口!$N386=0,"",[2]对账明细接口!$N386),"")</f>
        <v/>
      </c>
      <c r="T386" s="21" t="str">
        <f>IFERROR(IF([2]对账明细接口!$O386=0,"",[2]对账明细接口!$O386),"")</f>
        <v/>
      </c>
      <c r="U386" s="21" t="str">
        <f>IFERROR(IF([2]对账明细接口!$P386=0,"",[2]对账明细接口!$P386),"")</f>
        <v/>
      </c>
      <c r="V386" s="21" t="str">
        <f>IFERROR(IF([2]对账明细接口!$Q386=0,"",[2]对账明细接口!$Q386),"")</f>
        <v/>
      </c>
      <c r="W386" s="20" t="str">
        <f>IFERROR(IF([2]对账明细接口!$R386=0,"",[2]对账明细接口!$R386),"")</f>
        <v/>
      </c>
      <c r="X386" s="20" t="str">
        <f>IFERROR(IF([2]对账明细接口!$S386=0,"",[2]对账明细接口!$S386),"")</f>
        <v/>
      </c>
      <c r="Y386" s="20" t="str">
        <f t="shared" si="32"/>
        <v/>
      </c>
      <c r="Z386" s="20" t="str">
        <f t="shared" si="33"/>
        <v/>
      </c>
      <c r="AA386" s="20" t="str">
        <f t="shared" si="34"/>
        <v/>
      </c>
      <c r="AB386" s="20" t="str">
        <f t="shared" si="35"/>
        <v/>
      </c>
    </row>
    <row r="387" customHeight="1" spans="1:28">
      <c r="A387" s="14">
        <v>387</v>
      </c>
      <c r="B387" s="15" t="str">
        <f>IFERROR(IF([2]对账明细接口!$B$387=0,"",[2]对账明细接口!$B$387),"")</f>
        <v/>
      </c>
      <c r="C387" s="16" t="str">
        <f>IFERROR(IF([2]对账明细接口!$C$387=0,"",[2]对账明细接口!$C$387),"")</f>
        <v/>
      </c>
      <c r="D387" s="16" t="str">
        <f>IFERROR(IF([2]对账明细接口!$D$387=0,"",[2]对账明细接口!$D$387),"")</f>
        <v/>
      </c>
      <c r="E387" s="16" t="str">
        <f>IFERROR(IF([2]对账明细接口!$E$387=0,"",[2]对账明细接口!$E$387),"")</f>
        <v/>
      </c>
      <c r="F387" s="16" t="str">
        <f>IFERROR(IF([2]对账明细接口!$F$387=0,"",[2]对账明细接口!$F$387),"")</f>
        <v/>
      </c>
      <c r="G387" s="16" t="str">
        <f>IFERROR(IF([2]对账明细接口!$G$387=0,"",[2]对账明细接口!$G$387),"")</f>
        <v/>
      </c>
      <c r="H387" s="17" t="str">
        <f>IFERROR(IF([2]对账明细接口!$H$387=0,"",[2]对账明细接口!$H$387),"")</f>
        <v/>
      </c>
      <c r="I387" s="16" t="str">
        <f>IFERROR(IF([2]对账明细接口!$I$387=0,"",[2]对账明细接口!$I$387),"")</f>
        <v/>
      </c>
      <c r="J387" s="18" t="str">
        <f>IFERROR(IF([2]对账明细接口!$J$387=0,"",[2]对账明细接口!$J$387),"")</f>
        <v/>
      </c>
      <c r="K387" s="18" t="str">
        <f>IFERROR(IF([2]对账明细接口!$K$387=0,"",[2]对账明细接口!$K$387),"")</f>
        <v/>
      </c>
      <c r="L387" s="16" t="str">
        <f>IFERROR(IF([2]对账明细接口!$L$387=0,"",[2]对账明细接口!$L$387),"")</f>
        <v/>
      </c>
      <c r="M387" s="16" t="str">
        <f>IFERROR(IF([2]对账明细接口!$M$387=0,"",[2]对账明细接口!$M$387),"")</f>
        <v/>
      </c>
      <c r="N387" s="19">
        <f t="shared" si="30"/>
        <v>0</v>
      </c>
      <c r="O387" s="19">
        <f t="shared" si="31"/>
        <v>165</v>
      </c>
      <c r="S387" s="20" t="str">
        <f>IFERROR(IF([2]对账明细接口!$N387=0,"",[2]对账明细接口!$N387),"")</f>
        <v/>
      </c>
      <c r="T387" s="21" t="str">
        <f>IFERROR(IF([2]对账明细接口!$O387=0,"",[2]对账明细接口!$O387),"")</f>
        <v/>
      </c>
      <c r="U387" s="21" t="str">
        <f>IFERROR(IF([2]对账明细接口!$P387=0,"",[2]对账明细接口!$P387),"")</f>
        <v/>
      </c>
      <c r="V387" s="21" t="str">
        <f>IFERROR(IF([2]对账明细接口!$Q387=0,"",[2]对账明细接口!$Q387),"")</f>
        <v/>
      </c>
      <c r="W387" s="20" t="str">
        <f>IFERROR(IF([2]对账明细接口!$R387=0,"",[2]对账明细接口!$R387),"")</f>
        <v/>
      </c>
      <c r="X387" s="20" t="str">
        <f>IFERROR(IF([2]对账明细接口!$S387=0,"",[2]对账明细接口!$S387),"")</f>
        <v/>
      </c>
      <c r="Y387" s="20" t="str">
        <f t="shared" si="32"/>
        <v/>
      </c>
      <c r="Z387" s="20" t="str">
        <f t="shared" si="33"/>
        <v/>
      </c>
      <c r="AA387" s="20" t="str">
        <f t="shared" si="34"/>
        <v/>
      </c>
      <c r="AB387" s="20" t="str">
        <f t="shared" si="35"/>
        <v/>
      </c>
    </row>
    <row r="388" customHeight="1" spans="1:28">
      <c r="A388" s="14">
        <v>388</v>
      </c>
      <c r="B388" s="15" t="str">
        <f>IFERROR(IF([2]对账明细接口!$B$388=0,"",[2]对账明细接口!$B$388),"")</f>
        <v/>
      </c>
      <c r="C388" s="16" t="str">
        <f>IFERROR(IF([2]对账明细接口!$C$388=0,"",[2]对账明细接口!$C$388),"")</f>
        <v/>
      </c>
      <c r="D388" s="16" t="str">
        <f>IFERROR(IF([2]对账明细接口!$D$388=0,"",[2]对账明细接口!$D$388),"")</f>
        <v/>
      </c>
      <c r="E388" s="16" t="str">
        <f>IFERROR(IF([2]对账明细接口!$E$388=0,"",[2]对账明细接口!$E$388),"")</f>
        <v/>
      </c>
      <c r="F388" s="16" t="str">
        <f>IFERROR(IF([2]对账明细接口!$F$388=0,"",[2]对账明细接口!$F$388),"")</f>
        <v/>
      </c>
      <c r="G388" s="16" t="str">
        <f>IFERROR(IF([2]对账明细接口!$G$388=0,"",[2]对账明细接口!$G$388),"")</f>
        <v/>
      </c>
      <c r="H388" s="17" t="str">
        <f>IFERROR(IF([2]对账明细接口!$H$388=0,"",[2]对账明细接口!$H$388),"")</f>
        <v/>
      </c>
      <c r="I388" s="16" t="str">
        <f>IFERROR(IF([2]对账明细接口!$I$388=0,"",[2]对账明细接口!$I$388),"")</f>
        <v/>
      </c>
      <c r="J388" s="18" t="str">
        <f>IFERROR(IF([2]对账明细接口!$J$388=0,"",[2]对账明细接口!$J$388),"")</f>
        <v/>
      </c>
      <c r="K388" s="18" t="str">
        <f>IFERROR(IF([2]对账明细接口!$K$388=0,"",[2]对账明细接口!$K$388),"")</f>
        <v/>
      </c>
      <c r="L388" s="16" t="str">
        <f>IFERROR(IF([2]对账明细接口!$L$388=0,"",[2]对账明细接口!$L$388),"")</f>
        <v/>
      </c>
      <c r="M388" s="16" t="str">
        <f>IFERROR(IF([2]对账明细接口!$M$388=0,"",[2]对账明细接口!$M$388),"")</f>
        <v/>
      </c>
      <c r="N388" s="19">
        <f t="shared" ref="N388:N451" si="36">IF($C388="",0,1)</f>
        <v>0</v>
      </c>
      <c r="O388" s="19">
        <f t="shared" ref="O388:O451" si="37">N(O387)+$N388</f>
        <v>165</v>
      </c>
      <c r="S388" s="20" t="str">
        <f>IFERROR(IF([2]对账明细接口!$N388=0,"",[2]对账明细接口!$N388),"")</f>
        <v/>
      </c>
      <c r="T388" s="21" t="str">
        <f>IFERROR(IF([2]对账明细接口!$O388=0,"",[2]对账明细接口!$O388),"")</f>
        <v/>
      </c>
      <c r="U388" s="21" t="str">
        <f>IFERROR(IF([2]对账明细接口!$P388=0,"",[2]对账明细接口!$P388),"")</f>
        <v/>
      </c>
      <c r="V388" s="21" t="str">
        <f>IFERROR(IF([2]对账明细接口!$Q388=0,"",[2]对账明细接口!$Q388),"")</f>
        <v/>
      </c>
      <c r="W388" s="20" t="str">
        <f>IFERROR(IF([2]对账明细接口!$R388=0,"",[2]对账明细接口!$R388),"")</f>
        <v/>
      </c>
      <c r="X388" s="20" t="str">
        <f>IFERROR(IF([2]对账明细接口!$S388=0,"",[2]对账明细接口!$S388),"")</f>
        <v/>
      </c>
      <c r="Y388" s="20" t="str">
        <f t="shared" ref="Y388:Y451" si="38">""</f>
        <v/>
      </c>
      <c r="Z388" s="20" t="str">
        <f t="shared" ref="Z388:Z451" si="39">""</f>
        <v/>
      </c>
      <c r="AA388" s="20" t="str">
        <f t="shared" ref="AA388:AA451" si="40">""</f>
        <v/>
      </c>
      <c r="AB388" s="20" t="str">
        <f t="shared" ref="AB388:AB451" si="41">""</f>
        <v/>
      </c>
    </row>
    <row r="389" customHeight="1" spans="1:28">
      <c r="A389" s="14">
        <v>389</v>
      </c>
      <c r="B389" s="15" t="str">
        <f>IFERROR(IF([2]对账明细接口!$B$389=0,"",[2]对账明细接口!$B$389),"")</f>
        <v/>
      </c>
      <c r="C389" s="16" t="str">
        <f>IFERROR(IF([2]对账明细接口!$C$389=0,"",[2]对账明细接口!$C$389),"")</f>
        <v/>
      </c>
      <c r="D389" s="16" t="str">
        <f>IFERROR(IF([2]对账明细接口!$D$389=0,"",[2]对账明细接口!$D$389),"")</f>
        <v/>
      </c>
      <c r="E389" s="16" t="str">
        <f>IFERROR(IF([2]对账明细接口!$E$389=0,"",[2]对账明细接口!$E$389),"")</f>
        <v/>
      </c>
      <c r="F389" s="16" t="str">
        <f>IFERROR(IF([2]对账明细接口!$F$389=0,"",[2]对账明细接口!$F$389),"")</f>
        <v/>
      </c>
      <c r="G389" s="16" t="str">
        <f>IFERROR(IF([2]对账明细接口!$G$389=0,"",[2]对账明细接口!$G$389),"")</f>
        <v/>
      </c>
      <c r="H389" s="17" t="str">
        <f>IFERROR(IF([2]对账明细接口!$H$389=0,"",[2]对账明细接口!$H$389),"")</f>
        <v/>
      </c>
      <c r="I389" s="16" t="str">
        <f>IFERROR(IF([2]对账明细接口!$I$389=0,"",[2]对账明细接口!$I$389),"")</f>
        <v/>
      </c>
      <c r="J389" s="18" t="str">
        <f>IFERROR(IF([2]对账明细接口!$J$389=0,"",[2]对账明细接口!$J$389),"")</f>
        <v/>
      </c>
      <c r="K389" s="18" t="str">
        <f>IFERROR(IF([2]对账明细接口!$K$389=0,"",[2]对账明细接口!$K$389),"")</f>
        <v/>
      </c>
      <c r="L389" s="16" t="str">
        <f>IFERROR(IF([2]对账明细接口!$L$389=0,"",[2]对账明细接口!$L$389),"")</f>
        <v/>
      </c>
      <c r="M389" s="16" t="str">
        <f>IFERROR(IF([2]对账明细接口!$M$389=0,"",[2]对账明细接口!$M$389),"")</f>
        <v/>
      </c>
      <c r="N389" s="19">
        <f t="shared" si="36"/>
        <v>0</v>
      </c>
      <c r="O389" s="19">
        <f t="shared" si="37"/>
        <v>165</v>
      </c>
      <c r="S389" s="20" t="str">
        <f>IFERROR(IF([2]对账明细接口!$N389=0,"",[2]对账明细接口!$N389),"")</f>
        <v/>
      </c>
      <c r="T389" s="21" t="str">
        <f>IFERROR(IF([2]对账明细接口!$O389=0,"",[2]对账明细接口!$O389),"")</f>
        <v/>
      </c>
      <c r="U389" s="21" t="str">
        <f>IFERROR(IF([2]对账明细接口!$P389=0,"",[2]对账明细接口!$P389),"")</f>
        <v/>
      </c>
      <c r="V389" s="21" t="str">
        <f>IFERROR(IF([2]对账明细接口!$Q389=0,"",[2]对账明细接口!$Q389),"")</f>
        <v/>
      </c>
      <c r="W389" s="20" t="str">
        <f>IFERROR(IF([2]对账明细接口!$R389=0,"",[2]对账明细接口!$R389),"")</f>
        <v/>
      </c>
      <c r="X389" s="20" t="str">
        <f>IFERROR(IF([2]对账明细接口!$S389=0,"",[2]对账明细接口!$S389),"")</f>
        <v/>
      </c>
      <c r="Y389" s="20" t="str">
        <f t="shared" si="38"/>
        <v/>
      </c>
      <c r="Z389" s="20" t="str">
        <f t="shared" si="39"/>
        <v/>
      </c>
      <c r="AA389" s="20" t="str">
        <f t="shared" si="40"/>
        <v/>
      </c>
      <c r="AB389" s="20" t="str">
        <f t="shared" si="41"/>
        <v/>
      </c>
    </row>
    <row r="390" customHeight="1" spans="1:28">
      <c r="A390" s="14">
        <v>390</v>
      </c>
      <c r="B390" s="15" t="str">
        <f>IFERROR(IF([2]对账明细接口!$B$390=0,"",[2]对账明细接口!$B$390),"")</f>
        <v/>
      </c>
      <c r="C390" s="16" t="str">
        <f>IFERROR(IF([2]对账明细接口!$C$390=0,"",[2]对账明细接口!$C$390),"")</f>
        <v/>
      </c>
      <c r="D390" s="16" t="str">
        <f>IFERROR(IF([2]对账明细接口!$D$390=0,"",[2]对账明细接口!$D$390),"")</f>
        <v/>
      </c>
      <c r="E390" s="16" t="str">
        <f>IFERROR(IF([2]对账明细接口!$E$390=0,"",[2]对账明细接口!$E$390),"")</f>
        <v/>
      </c>
      <c r="F390" s="16" t="str">
        <f>IFERROR(IF([2]对账明细接口!$F$390=0,"",[2]对账明细接口!$F$390),"")</f>
        <v/>
      </c>
      <c r="G390" s="16" t="str">
        <f>IFERROR(IF([2]对账明细接口!$G$390=0,"",[2]对账明细接口!$G$390),"")</f>
        <v/>
      </c>
      <c r="H390" s="17" t="str">
        <f>IFERROR(IF([2]对账明细接口!$H$390=0,"",[2]对账明细接口!$H$390),"")</f>
        <v/>
      </c>
      <c r="I390" s="16" t="str">
        <f>IFERROR(IF([2]对账明细接口!$I$390=0,"",[2]对账明细接口!$I$390),"")</f>
        <v/>
      </c>
      <c r="J390" s="18" t="str">
        <f>IFERROR(IF([2]对账明细接口!$J$390=0,"",[2]对账明细接口!$J$390),"")</f>
        <v/>
      </c>
      <c r="K390" s="18" t="str">
        <f>IFERROR(IF([2]对账明细接口!$K$390=0,"",[2]对账明细接口!$K$390),"")</f>
        <v/>
      </c>
      <c r="L390" s="16" t="str">
        <f>IFERROR(IF([2]对账明细接口!$L$390=0,"",[2]对账明细接口!$L$390),"")</f>
        <v/>
      </c>
      <c r="M390" s="16" t="str">
        <f>IFERROR(IF([2]对账明细接口!$M$390=0,"",[2]对账明细接口!$M$390),"")</f>
        <v/>
      </c>
      <c r="N390" s="19">
        <f t="shared" si="36"/>
        <v>0</v>
      </c>
      <c r="O390" s="19">
        <f t="shared" si="37"/>
        <v>165</v>
      </c>
      <c r="S390" s="20" t="str">
        <f>IFERROR(IF([2]对账明细接口!$N390=0,"",[2]对账明细接口!$N390),"")</f>
        <v/>
      </c>
      <c r="T390" s="21" t="str">
        <f>IFERROR(IF([2]对账明细接口!$O390=0,"",[2]对账明细接口!$O390),"")</f>
        <v/>
      </c>
      <c r="U390" s="21" t="str">
        <f>IFERROR(IF([2]对账明细接口!$P390=0,"",[2]对账明细接口!$P390),"")</f>
        <v/>
      </c>
      <c r="V390" s="21" t="str">
        <f>IFERROR(IF([2]对账明细接口!$Q390=0,"",[2]对账明细接口!$Q390),"")</f>
        <v/>
      </c>
      <c r="W390" s="20" t="str">
        <f>IFERROR(IF([2]对账明细接口!$R390=0,"",[2]对账明细接口!$R390),"")</f>
        <v/>
      </c>
      <c r="X390" s="20" t="str">
        <f>IFERROR(IF([2]对账明细接口!$S390=0,"",[2]对账明细接口!$S390),"")</f>
        <v/>
      </c>
      <c r="Y390" s="20" t="str">
        <f t="shared" si="38"/>
        <v/>
      </c>
      <c r="Z390" s="20" t="str">
        <f t="shared" si="39"/>
        <v/>
      </c>
      <c r="AA390" s="20" t="str">
        <f t="shared" si="40"/>
        <v/>
      </c>
      <c r="AB390" s="20" t="str">
        <f t="shared" si="41"/>
        <v/>
      </c>
    </row>
    <row r="391" customHeight="1" spans="1:28">
      <c r="A391" s="14">
        <v>391</v>
      </c>
      <c r="B391" s="15" t="str">
        <f>IFERROR(IF([2]对账明细接口!$B$391=0,"",[2]对账明细接口!$B$391),"")</f>
        <v/>
      </c>
      <c r="C391" s="16" t="str">
        <f>IFERROR(IF([2]对账明细接口!$C$391=0,"",[2]对账明细接口!$C$391),"")</f>
        <v/>
      </c>
      <c r="D391" s="16" t="str">
        <f>IFERROR(IF([2]对账明细接口!$D$391=0,"",[2]对账明细接口!$D$391),"")</f>
        <v/>
      </c>
      <c r="E391" s="16" t="str">
        <f>IFERROR(IF([2]对账明细接口!$E$391=0,"",[2]对账明细接口!$E$391),"")</f>
        <v/>
      </c>
      <c r="F391" s="16" t="str">
        <f>IFERROR(IF([2]对账明细接口!$F$391=0,"",[2]对账明细接口!$F$391),"")</f>
        <v/>
      </c>
      <c r="G391" s="16" t="str">
        <f>IFERROR(IF([2]对账明细接口!$G$391=0,"",[2]对账明细接口!$G$391),"")</f>
        <v/>
      </c>
      <c r="H391" s="17" t="str">
        <f>IFERROR(IF([2]对账明细接口!$H$391=0,"",[2]对账明细接口!$H$391),"")</f>
        <v/>
      </c>
      <c r="I391" s="16" t="str">
        <f>IFERROR(IF([2]对账明细接口!$I$391=0,"",[2]对账明细接口!$I$391),"")</f>
        <v/>
      </c>
      <c r="J391" s="18" t="str">
        <f>IFERROR(IF([2]对账明细接口!$J$391=0,"",[2]对账明细接口!$J$391),"")</f>
        <v/>
      </c>
      <c r="K391" s="18" t="str">
        <f>IFERROR(IF([2]对账明细接口!$K$391=0,"",[2]对账明细接口!$K$391),"")</f>
        <v/>
      </c>
      <c r="L391" s="16" t="str">
        <f>IFERROR(IF([2]对账明细接口!$L$391=0,"",[2]对账明细接口!$L$391),"")</f>
        <v/>
      </c>
      <c r="M391" s="16" t="str">
        <f>IFERROR(IF([2]对账明细接口!$M$391=0,"",[2]对账明细接口!$M$391),"")</f>
        <v/>
      </c>
      <c r="N391" s="19">
        <f t="shared" si="36"/>
        <v>0</v>
      </c>
      <c r="O391" s="19">
        <f t="shared" si="37"/>
        <v>165</v>
      </c>
      <c r="S391" s="20" t="str">
        <f>IFERROR(IF([2]对账明细接口!$N391=0,"",[2]对账明细接口!$N391),"")</f>
        <v/>
      </c>
      <c r="T391" s="21" t="str">
        <f>IFERROR(IF([2]对账明细接口!$O391=0,"",[2]对账明细接口!$O391),"")</f>
        <v/>
      </c>
      <c r="U391" s="21" t="str">
        <f>IFERROR(IF([2]对账明细接口!$P391=0,"",[2]对账明细接口!$P391),"")</f>
        <v/>
      </c>
      <c r="V391" s="21" t="str">
        <f>IFERROR(IF([2]对账明细接口!$Q391=0,"",[2]对账明细接口!$Q391),"")</f>
        <v/>
      </c>
      <c r="W391" s="20" t="str">
        <f>IFERROR(IF([2]对账明细接口!$R391=0,"",[2]对账明细接口!$R391),"")</f>
        <v/>
      </c>
      <c r="X391" s="20" t="str">
        <f>IFERROR(IF([2]对账明细接口!$S391=0,"",[2]对账明细接口!$S391),"")</f>
        <v/>
      </c>
      <c r="Y391" s="20" t="str">
        <f t="shared" si="38"/>
        <v/>
      </c>
      <c r="Z391" s="20" t="str">
        <f t="shared" si="39"/>
        <v/>
      </c>
      <c r="AA391" s="20" t="str">
        <f t="shared" si="40"/>
        <v/>
      </c>
      <c r="AB391" s="20" t="str">
        <f t="shared" si="41"/>
        <v/>
      </c>
    </row>
    <row r="392" customHeight="1" spans="1:28">
      <c r="A392" s="14">
        <v>392</v>
      </c>
      <c r="B392" s="15" t="str">
        <f>IFERROR(IF([2]对账明细接口!$B$392=0,"",[2]对账明细接口!$B$392),"")</f>
        <v/>
      </c>
      <c r="C392" s="16" t="str">
        <f>IFERROR(IF([2]对账明细接口!$C$392=0,"",[2]对账明细接口!$C$392),"")</f>
        <v/>
      </c>
      <c r="D392" s="16" t="str">
        <f>IFERROR(IF([2]对账明细接口!$D$392=0,"",[2]对账明细接口!$D$392),"")</f>
        <v/>
      </c>
      <c r="E392" s="16" t="str">
        <f>IFERROR(IF([2]对账明细接口!$E$392=0,"",[2]对账明细接口!$E$392),"")</f>
        <v/>
      </c>
      <c r="F392" s="16" t="str">
        <f>IFERROR(IF([2]对账明细接口!$F$392=0,"",[2]对账明细接口!$F$392),"")</f>
        <v/>
      </c>
      <c r="G392" s="16" t="str">
        <f>IFERROR(IF([2]对账明细接口!$G$392=0,"",[2]对账明细接口!$G$392),"")</f>
        <v/>
      </c>
      <c r="H392" s="17" t="str">
        <f>IFERROR(IF([2]对账明细接口!$H$392=0,"",[2]对账明细接口!$H$392),"")</f>
        <v/>
      </c>
      <c r="I392" s="16" t="str">
        <f>IFERROR(IF([2]对账明细接口!$I$392=0,"",[2]对账明细接口!$I$392),"")</f>
        <v/>
      </c>
      <c r="J392" s="18" t="str">
        <f>IFERROR(IF([2]对账明细接口!$J$392=0,"",[2]对账明细接口!$J$392),"")</f>
        <v/>
      </c>
      <c r="K392" s="18" t="str">
        <f>IFERROR(IF([2]对账明细接口!$K$392=0,"",[2]对账明细接口!$K$392),"")</f>
        <v/>
      </c>
      <c r="L392" s="16" t="str">
        <f>IFERROR(IF([2]对账明细接口!$L$392=0,"",[2]对账明细接口!$L$392),"")</f>
        <v/>
      </c>
      <c r="M392" s="16" t="str">
        <f>IFERROR(IF([2]对账明细接口!$M$392=0,"",[2]对账明细接口!$M$392),"")</f>
        <v/>
      </c>
      <c r="N392" s="19">
        <f t="shared" si="36"/>
        <v>0</v>
      </c>
      <c r="O392" s="19">
        <f t="shared" si="37"/>
        <v>165</v>
      </c>
      <c r="S392" s="20" t="str">
        <f>IFERROR(IF([2]对账明细接口!$N392=0,"",[2]对账明细接口!$N392),"")</f>
        <v/>
      </c>
      <c r="T392" s="21" t="str">
        <f>IFERROR(IF([2]对账明细接口!$O392=0,"",[2]对账明细接口!$O392),"")</f>
        <v/>
      </c>
      <c r="U392" s="21" t="str">
        <f>IFERROR(IF([2]对账明细接口!$P392=0,"",[2]对账明细接口!$P392),"")</f>
        <v/>
      </c>
      <c r="V392" s="21" t="str">
        <f>IFERROR(IF([2]对账明细接口!$Q392=0,"",[2]对账明细接口!$Q392),"")</f>
        <v/>
      </c>
      <c r="W392" s="20" t="str">
        <f>IFERROR(IF([2]对账明细接口!$R392=0,"",[2]对账明细接口!$R392),"")</f>
        <v/>
      </c>
      <c r="X392" s="20" t="str">
        <f>IFERROR(IF([2]对账明细接口!$S392=0,"",[2]对账明细接口!$S392),"")</f>
        <v/>
      </c>
      <c r="Y392" s="20" t="str">
        <f t="shared" si="38"/>
        <v/>
      </c>
      <c r="Z392" s="20" t="str">
        <f t="shared" si="39"/>
        <v/>
      </c>
      <c r="AA392" s="20" t="str">
        <f t="shared" si="40"/>
        <v/>
      </c>
      <c r="AB392" s="20" t="str">
        <f t="shared" si="41"/>
        <v/>
      </c>
    </row>
    <row r="393" customHeight="1" spans="1:28">
      <c r="A393" s="14">
        <v>393</v>
      </c>
      <c r="B393" s="15" t="str">
        <f>IFERROR(IF([2]对账明细接口!$B$393=0,"",[2]对账明细接口!$B$393),"")</f>
        <v/>
      </c>
      <c r="C393" s="16" t="str">
        <f>IFERROR(IF([2]对账明细接口!$C$393=0,"",[2]对账明细接口!$C$393),"")</f>
        <v/>
      </c>
      <c r="D393" s="16" t="str">
        <f>IFERROR(IF([2]对账明细接口!$D$393=0,"",[2]对账明细接口!$D$393),"")</f>
        <v/>
      </c>
      <c r="E393" s="16" t="str">
        <f>IFERROR(IF([2]对账明细接口!$E$393=0,"",[2]对账明细接口!$E$393),"")</f>
        <v/>
      </c>
      <c r="F393" s="16" t="str">
        <f>IFERROR(IF([2]对账明细接口!$F$393=0,"",[2]对账明细接口!$F$393),"")</f>
        <v/>
      </c>
      <c r="G393" s="16" t="str">
        <f>IFERROR(IF([2]对账明细接口!$G$393=0,"",[2]对账明细接口!$G$393),"")</f>
        <v/>
      </c>
      <c r="H393" s="17" t="str">
        <f>IFERROR(IF([2]对账明细接口!$H$393=0,"",[2]对账明细接口!$H$393),"")</f>
        <v/>
      </c>
      <c r="I393" s="16" t="str">
        <f>IFERROR(IF([2]对账明细接口!$I$393=0,"",[2]对账明细接口!$I$393),"")</f>
        <v/>
      </c>
      <c r="J393" s="18" t="str">
        <f>IFERROR(IF([2]对账明细接口!$J$393=0,"",[2]对账明细接口!$J$393),"")</f>
        <v/>
      </c>
      <c r="K393" s="18" t="str">
        <f>IFERROR(IF([2]对账明细接口!$K$393=0,"",[2]对账明细接口!$K$393),"")</f>
        <v/>
      </c>
      <c r="L393" s="16" t="str">
        <f>IFERROR(IF([2]对账明细接口!$L$393=0,"",[2]对账明细接口!$L$393),"")</f>
        <v/>
      </c>
      <c r="M393" s="16" t="str">
        <f>IFERROR(IF([2]对账明细接口!$M$393=0,"",[2]对账明细接口!$M$393),"")</f>
        <v/>
      </c>
      <c r="N393" s="19">
        <f t="shared" si="36"/>
        <v>0</v>
      </c>
      <c r="O393" s="19">
        <f t="shared" si="37"/>
        <v>165</v>
      </c>
      <c r="S393" s="20" t="str">
        <f>IFERROR(IF([2]对账明细接口!$N393=0,"",[2]对账明细接口!$N393),"")</f>
        <v/>
      </c>
      <c r="T393" s="21" t="str">
        <f>IFERROR(IF([2]对账明细接口!$O393=0,"",[2]对账明细接口!$O393),"")</f>
        <v/>
      </c>
      <c r="U393" s="21" t="str">
        <f>IFERROR(IF([2]对账明细接口!$P393=0,"",[2]对账明细接口!$P393),"")</f>
        <v/>
      </c>
      <c r="V393" s="21" t="str">
        <f>IFERROR(IF([2]对账明细接口!$Q393=0,"",[2]对账明细接口!$Q393),"")</f>
        <v/>
      </c>
      <c r="W393" s="20" t="str">
        <f>IFERROR(IF([2]对账明细接口!$R393=0,"",[2]对账明细接口!$R393),"")</f>
        <v/>
      </c>
      <c r="X393" s="20" t="str">
        <f>IFERROR(IF([2]对账明细接口!$S393=0,"",[2]对账明细接口!$S393),"")</f>
        <v/>
      </c>
      <c r="Y393" s="20" t="str">
        <f t="shared" si="38"/>
        <v/>
      </c>
      <c r="Z393" s="20" t="str">
        <f t="shared" si="39"/>
        <v/>
      </c>
      <c r="AA393" s="20" t="str">
        <f t="shared" si="40"/>
        <v/>
      </c>
      <c r="AB393" s="20" t="str">
        <f t="shared" si="41"/>
        <v/>
      </c>
    </row>
    <row r="394" customHeight="1" spans="1:28">
      <c r="A394" s="14">
        <v>394</v>
      </c>
      <c r="B394" s="15" t="str">
        <f>IFERROR(IF([2]对账明细接口!$B$394=0,"",[2]对账明细接口!$B$394),"")</f>
        <v/>
      </c>
      <c r="C394" s="16" t="str">
        <f>IFERROR(IF([2]对账明细接口!$C$394=0,"",[2]对账明细接口!$C$394),"")</f>
        <v/>
      </c>
      <c r="D394" s="16" t="str">
        <f>IFERROR(IF([2]对账明细接口!$D$394=0,"",[2]对账明细接口!$D$394),"")</f>
        <v/>
      </c>
      <c r="E394" s="16" t="str">
        <f>IFERROR(IF([2]对账明细接口!$E$394=0,"",[2]对账明细接口!$E$394),"")</f>
        <v/>
      </c>
      <c r="F394" s="16" t="str">
        <f>IFERROR(IF([2]对账明细接口!$F$394=0,"",[2]对账明细接口!$F$394),"")</f>
        <v/>
      </c>
      <c r="G394" s="16" t="str">
        <f>IFERROR(IF([2]对账明细接口!$G$394=0,"",[2]对账明细接口!$G$394),"")</f>
        <v/>
      </c>
      <c r="H394" s="17" t="str">
        <f>IFERROR(IF([2]对账明细接口!$H$394=0,"",[2]对账明细接口!$H$394),"")</f>
        <v/>
      </c>
      <c r="I394" s="16" t="str">
        <f>IFERROR(IF([2]对账明细接口!$I$394=0,"",[2]对账明细接口!$I$394),"")</f>
        <v/>
      </c>
      <c r="J394" s="18" t="str">
        <f>IFERROR(IF([2]对账明细接口!$J$394=0,"",[2]对账明细接口!$J$394),"")</f>
        <v/>
      </c>
      <c r="K394" s="18" t="str">
        <f>IFERROR(IF([2]对账明细接口!$K$394=0,"",[2]对账明细接口!$K$394),"")</f>
        <v/>
      </c>
      <c r="L394" s="16" t="str">
        <f>IFERROR(IF([2]对账明细接口!$L$394=0,"",[2]对账明细接口!$L$394),"")</f>
        <v/>
      </c>
      <c r="M394" s="16" t="str">
        <f>IFERROR(IF([2]对账明细接口!$M$394=0,"",[2]对账明细接口!$M$394),"")</f>
        <v/>
      </c>
      <c r="N394" s="19">
        <f t="shared" si="36"/>
        <v>0</v>
      </c>
      <c r="O394" s="19">
        <f t="shared" si="37"/>
        <v>165</v>
      </c>
      <c r="S394" s="20" t="str">
        <f>IFERROR(IF([2]对账明细接口!$N394=0,"",[2]对账明细接口!$N394),"")</f>
        <v/>
      </c>
      <c r="T394" s="21" t="str">
        <f>IFERROR(IF([2]对账明细接口!$O394=0,"",[2]对账明细接口!$O394),"")</f>
        <v/>
      </c>
      <c r="U394" s="21" t="str">
        <f>IFERROR(IF([2]对账明细接口!$P394=0,"",[2]对账明细接口!$P394),"")</f>
        <v/>
      </c>
      <c r="V394" s="21" t="str">
        <f>IFERROR(IF([2]对账明细接口!$Q394=0,"",[2]对账明细接口!$Q394),"")</f>
        <v/>
      </c>
      <c r="W394" s="20" t="str">
        <f>IFERROR(IF([2]对账明细接口!$R394=0,"",[2]对账明细接口!$R394),"")</f>
        <v/>
      </c>
      <c r="X394" s="20" t="str">
        <f>IFERROR(IF([2]对账明细接口!$S394=0,"",[2]对账明细接口!$S394),"")</f>
        <v/>
      </c>
      <c r="Y394" s="20" t="str">
        <f t="shared" si="38"/>
        <v/>
      </c>
      <c r="Z394" s="20" t="str">
        <f t="shared" si="39"/>
        <v/>
      </c>
      <c r="AA394" s="20" t="str">
        <f t="shared" si="40"/>
        <v/>
      </c>
      <c r="AB394" s="20" t="str">
        <f t="shared" si="41"/>
        <v/>
      </c>
    </row>
    <row r="395" customHeight="1" spans="1:28">
      <c r="A395" s="14">
        <v>395</v>
      </c>
      <c r="B395" s="15" t="str">
        <f>IFERROR(IF([2]对账明细接口!$B$395=0,"",[2]对账明细接口!$B$395),"")</f>
        <v/>
      </c>
      <c r="C395" s="16" t="str">
        <f>IFERROR(IF([2]对账明细接口!$C$395=0,"",[2]对账明细接口!$C$395),"")</f>
        <v/>
      </c>
      <c r="D395" s="16" t="str">
        <f>IFERROR(IF([2]对账明细接口!$D$395=0,"",[2]对账明细接口!$D$395),"")</f>
        <v/>
      </c>
      <c r="E395" s="16" t="str">
        <f>IFERROR(IF([2]对账明细接口!$E$395=0,"",[2]对账明细接口!$E$395),"")</f>
        <v/>
      </c>
      <c r="F395" s="16" t="str">
        <f>IFERROR(IF([2]对账明细接口!$F$395=0,"",[2]对账明细接口!$F$395),"")</f>
        <v/>
      </c>
      <c r="G395" s="16" t="str">
        <f>IFERROR(IF([2]对账明细接口!$G$395=0,"",[2]对账明细接口!$G$395),"")</f>
        <v/>
      </c>
      <c r="H395" s="17" t="str">
        <f>IFERROR(IF([2]对账明细接口!$H$395=0,"",[2]对账明细接口!$H$395),"")</f>
        <v/>
      </c>
      <c r="I395" s="16" t="str">
        <f>IFERROR(IF([2]对账明细接口!$I$395=0,"",[2]对账明细接口!$I$395),"")</f>
        <v/>
      </c>
      <c r="J395" s="18" t="str">
        <f>IFERROR(IF([2]对账明细接口!$J$395=0,"",[2]对账明细接口!$J$395),"")</f>
        <v/>
      </c>
      <c r="K395" s="18" t="str">
        <f>IFERROR(IF([2]对账明细接口!$K$395=0,"",[2]对账明细接口!$K$395),"")</f>
        <v/>
      </c>
      <c r="L395" s="16" t="str">
        <f>IFERROR(IF([2]对账明细接口!$L$395=0,"",[2]对账明细接口!$L$395),"")</f>
        <v/>
      </c>
      <c r="M395" s="16" t="str">
        <f>IFERROR(IF([2]对账明细接口!$M$395=0,"",[2]对账明细接口!$M$395),"")</f>
        <v/>
      </c>
      <c r="N395" s="19">
        <f t="shared" si="36"/>
        <v>0</v>
      </c>
      <c r="O395" s="19">
        <f t="shared" si="37"/>
        <v>165</v>
      </c>
      <c r="S395" s="20" t="str">
        <f>IFERROR(IF([2]对账明细接口!$N395=0,"",[2]对账明细接口!$N395),"")</f>
        <v/>
      </c>
      <c r="T395" s="21" t="str">
        <f>IFERROR(IF([2]对账明细接口!$O395=0,"",[2]对账明细接口!$O395),"")</f>
        <v/>
      </c>
      <c r="U395" s="21" t="str">
        <f>IFERROR(IF([2]对账明细接口!$P395=0,"",[2]对账明细接口!$P395),"")</f>
        <v/>
      </c>
      <c r="V395" s="21" t="str">
        <f>IFERROR(IF([2]对账明细接口!$Q395=0,"",[2]对账明细接口!$Q395),"")</f>
        <v/>
      </c>
      <c r="W395" s="20" t="str">
        <f>IFERROR(IF([2]对账明细接口!$R395=0,"",[2]对账明细接口!$R395),"")</f>
        <v/>
      </c>
      <c r="X395" s="20" t="str">
        <f>IFERROR(IF([2]对账明细接口!$S395=0,"",[2]对账明细接口!$S395),"")</f>
        <v/>
      </c>
      <c r="Y395" s="20" t="str">
        <f t="shared" si="38"/>
        <v/>
      </c>
      <c r="Z395" s="20" t="str">
        <f t="shared" si="39"/>
        <v/>
      </c>
      <c r="AA395" s="20" t="str">
        <f t="shared" si="40"/>
        <v/>
      </c>
      <c r="AB395" s="20" t="str">
        <f t="shared" si="41"/>
        <v/>
      </c>
    </row>
    <row r="396" customHeight="1" spans="1:28">
      <c r="A396" s="14">
        <v>396</v>
      </c>
      <c r="B396" s="15" t="str">
        <f>IFERROR(IF([2]对账明细接口!$B$396=0,"",[2]对账明细接口!$B$396),"")</f>
        <v/>
      </c>
      <c r="C396" s="16" t="str">
        <f>IFERROR(IF([2]对账明细接口!$C$396=0,"",[2]对账明细接口!$C$396),"")</f>
        <v/>
      </c>
      <c r="D396" s="16" t="str">
        <f>IFERROR(IF([2]对账明细接口!$D$396=0,"",[2]对账明细接口!$D$396),"")</f>
        <v/>
      </c>
      <c r="E396" s="16" t="str">
        <f>IFERROR(IF([2]对账明细接口!$E$396=0,"",[2]对账明细接口!$E$396),"")</f>
        <v/>
      </c>
      <c r="F396" s="16" t="str">
        <f>IFERROR(IF([2]对账明细接口!$F$396=0,"",[2]对账明细接口!$F$396),"")</f>
        <v/>
      </c>
      <c r="G396" s="16" t="str">
        <f>IFERROR(IF([2]对账明细接口!$G$396=0,"",[2]对账明细接口!$G$396),"")</f>
        <v/>
      </c>
      <c r="H396" s="17" t="str">
        <f>IFERROR(IF([2]对账明细接口!$H$396=0,"",[2]对账明细接口!$H$396),"")</f>
        <v/>
      </c>
      <c r="I396" s="16" t="str">
        <f>IFERROR(IF([2]对账明细接口!$I$396=0,"",[2]对账明细接口!$I$396),"")</f>
        <v/>
      </c>
      <c r="J396" s="18" t="str">
        <f>IFERROR(IF([2]对账明细接口!$J$396=0,"",[2]对账明细接口!$J$396),"")</f>
        <v/>
      </c>
      <c r="K396" s="18" t="str">
        <f>IFERROR(IF([2]对账明细接口!$K$396=0,"",[2]对账明细接口!$K$396),"")</f>
        <v/>
      </c>
      <c r="L396" s="16" t="str">
        <f>IFERROR(IF([2]对账明细接口!$L$396=0,"",[2]对账明细接口!$L$396),"")</f>
        <v/>
      </c>
      <c r="M396" s="16" t="str">
        <f>IFERROR(IF([2]对账明细接口!$M$396=0,"",[2]对账明细接口!$M$396),"")</f>
        <v/>
      </c>
      <c r="N396" s="19">
        <f t="shared" si="36"/>
        <v>0</v>
      </c>
      <c r="O396" s="19">
        <f t="shared" si="37"/>
        <v>165</v>
      </c>
      <c r="S396" s="20" t="str">
        <f>IFERROR(IF([2]对账明细接口!$N396=0,"",[2]对账明细接口!$N396),"")</f>
        <v/>
      </c>
      <c r="T396" s="21" t="str">
        <f>IFERROR(IF([2]对账明细接口!$O396=0,"",[2]对账明细接口!$O396),"")</f>
        <v/>
      </c>
      <c r="U396" s="21" t="str">
        <f>IFERROR(IF([2]对账明细接口!$P396=0,"",[2]对账明细接口!$P396),"")</f>
        <v/>
      </c>
      <c r="V396" s="21" t="str">
        <f>IFERROR(IF([2]对账明细接口!$Q396=0,"",[2]对账明细接口!$Q396),"")</f>
        <v/>
      </c>
      <c r="W396" s="20" t="str">
        <f>IFERROR(IF([2]对账明细接口!$R396=0,"",[2]对账明细接口!$R396),"")</f>
        <v/>
      </c>
      <c r="X396" s="20" t="str">
        <f>IFERROR(IF([2]对账明细接口!$S396=0,"",[2]对账明细接口!$S396),"")</f>
        <v/>
      </c>
      <c r="Y396" s="20" t="str">
        <f t="shared" si="38"/>
        <v/>
      </c>
      <c r="Z396" s="20" t="str">
        <f t="shared" si="39"/>
        <v/>
      </c>
      <c r="AA396" s="20" t="str">
        <f t="shared" si="40"/>
        <v/>
      </c>
      <c r="AB396" s="20" t="str">
        <f t="shared" si="41"/>
        <v/>
      </c>
    </row>
    <row r="397" customHeight="1" spans="1:28">
      <c r="A397" s="14">
        <v>397</v>
      </c>
      <c r="B397" s="15" t="str">
        <f>IFERROR(IF([2]对账明细接口!$B$397=0,"",[2]对账明细接口!$B$397),"")</f>
        <v/>
      </c>
      <c r="C397" s="16" t="str">
        <f>IFERROR(IF([2]对账明细接口!$C$397=0,"",[2]对账明细接口!$C$397),"")</f>
        <v/>
      </c>
      <c r="D397" s="16" t="str">
        <f>IFERROR(IF([2]对账明细接口!$D$397=0,"",[2]对账明细接口!$D$397),"")</f>
        <v/>
      </c>
      <c r="E397" s="16" t="str">
        <f>IFERROR(IF([2]对账明细接口!$E$397=0,"",[2]对账明细接口!$E$397),"")</f>
        <v/>
      </c>
      <c r="F397" s="16" t="str">
        <f>IFERROR(IF([2]对账明细接口!$F$397=0,"",[2]对账明细接口!$F$397),"")</f>
        <v/>
      </c>
      <c r="G397" s="16" t="str">
        <f>IFERROR(IF([2]对账明细接口!$G$397=0,"",[2]对账明细接口!$G$397),"")</f>
        <v/>
      </c>
      <c r="H397" s="17" t="str">
        <f>IFERROR(IF([2]对账明细接口!$H$397=0,"",[2]对账明细接口!$H$397),"")</f>
        <v/>
      </c>
      <c r="I397" s="16" t="str">
        <f>IFERROR(IF([2]对账明细接口!$I$397=0,"",[2]对账明细接口!$I$397),"")</f>
        <v/>
      </c>
      <c r="J397" s="18" t="str">
        <f>IFERROR(IF([2]对账明细接口!$J$397=0,"",[2]对账明细接口!$J$397),"")</f>
        <v/>
      </c>
      <c r="K397" s="18" t="str">
        <f>IFERROR(IF([2]对账明细接口!$K$397=0,"",[2]对账明细接口!$K$397),"")</f>
        <v/>
      </c>
      <c r="L397" s="16" t="str">
        <f>IFERROR(IF([2]对账明细接口!$L$397=0,"",[2]对账明细接口!$L$397),"")</f>
        <v/>
      </c>
      <c r="M397" s="16" t="str">
        <f>IFERROR(IF([2]对账明细接口!$M$397=0,"",[2]对账明细接口!$M$397),"")</f>
        <v/>
      </c>
      <c r="N397" s="19">
        <f t="shared" si="36"/>
        <v>0</v>
      </c>
      <c r="O397" s="19">
        <f t="shared" si="37"/>
        <v>165</v>
      </c>
      <c r="S397" s="20" t="str">
        <f>IFERROR(IF([2]对账明细接口!$N397=0,"",[2]对账明细接口!$N397),"")</f>
        <v/>
      </c>
      <c r="T397" s="21" t="str">
        <f>IFERROR(IF([2]对账明细接口!$O397=0,"",[2]对账明细接口!$O397),"")</f>
        <v/>
      </c>
      <c r="U397" s="21" t="str">
        <f>IFERROR(IF([2]对账明细接口!$P397=0,"",[2]对账明细接口!$P397),"")</f>
        <v/>
      </c>
      <c r="V397" s="21" t="str">
        <f>IFERROR(IF([2]对账明细接口!$Q397=0,"",[2]对账明细接口!$Q397),"")</f>
        <v/>
      </c>
      <c r="W397" s="20" t="str">
        <f>IFERROR(IF([2]对账明细接口!$R397=0,"",[2]对账明细接口!$R397),"")</f>
        <v/>
      </c>
      <c r="X397" s="20" t="str">
        <f>IFERROR(IF([2]对账明细接口!$S397=0,"",[2]对账明细接口!$S397),"")</f>
        <v/>
      </c>
      <c r="Y397" s="20" t="str">
        <f t="shared" si="38"/>
        <v/>
      </c>
      <c r="Z397" s="20" t="str">
        <f t="shared" si="39"/>
        <v/>
      </c>
      <c r="AA397" s="20" t="str">
        <f t="shared" si="40"/>
        <v/>
      </c>
      <c r="AB397" s="20" t="str">
        <f t="shared" si="41"/>
        <v/>
      </c>
    </row>
    <row r="398" customHeight="1" spans="1:28">
      <c r="A398" s="14">
        <v>398</v>
      </c>
      <c r="B398" s="15" t="str">
        <f>IFERROR(IF([2]对账明细接口!$B$398=0,"",[2]对账明细接口!$B$398),"")</f>
        <v/>
      </c>
      <c r="C398" s="16" t="str">
        <f>IFERROR(IF([2]对账明细接口!$C$398=0,"",[2]对账明细接口!$C$398),"")</f>
        <v/>
      </c>
      <c r="D398" s="16" t="str">
        <f>IFERROR(IF([2]对账明细接口!$D$398=0,"",[2]对账明细接口!$D$398),"")</f>
        <v/>
      </c>
      <c r="E398" s="16" t="str">
        <f>IFERROR(IF([2]对账明细接口!$E$398=0,"",[2]对账明细接口!$E$398),"")</f>
        <v/>
      </c>
      <c r="F398" s="16" t="str">
        <f>IFERROR(IF([2]对账明细接口!$F$398=0,"",[2]对账明细接口!$F$398),"")</f>
        <v/>
      </c>
      <c r="G398" s="16" t="str">
        <f>IFERROR(IF([2]对账明细接口!$G$398=0,"",[2]对账明细接口!$G$398),"")</f>
        <v/>
      </c>
      <c r="H398" s="17" t="str">
        <f>IFERROR(IF([2]对账明细接口!$H$398=0,"",[2]对账明细接口!$H$398),"")</f>
        <v/>
      </c>
      <c r="I398" s="16" t="str">
        <f>IFERROR(IF([2]对账明细接口!$I$398=0,"",[2]对账明细接口!$I$398),"")</f>
        <v/>
      </c>
      <c r="J398" s="18" t="str">
        <f>IFERROR(IF([2]对账明细接口!$J$398=0,"",[2]对账明细接口!$J$398),"")</f>
        <v/>
      </c>
      <c r="K398" s="18" t="str">
        <f>IFERROR(IF([2]对账明细接口!$K$398=0,"",[2]对账明细接口!$K$398),"")</f>
        <v/>
      </c>
      <c r="L398" s="16" t="str">
        <f>IFERROR(IF([2]对账明细接口!$L$398=0,"",[2]对账明细接口!$L$398),"")</f>
        <v/>
      </c>
      <c r="M398" s="16" t="str">
        <f>IFERROR(IF([2]对账明细接口!$M$398=0,"",[2]对账明细接口!$M$398),"")</f>
        <v/>
      </c>
      <c r="N398" s="19">
        <f t="shared" si="36"/>
        <v>0</v>
      </c>
      <c r="O398" s="19">
        <f t="shared" si="37"/>
        <v>165</v>
      </c>
      <c r="S398" s="20" t="str">
        <f>IFERROR(IF([2]对账明细接口!$N398=0,"",[2]对账明细接口!$N398),"")</f>
        <v/>
      </c>
      <c r="T398" s="21" t="str">
        <f>IFERROR(IF([2]对账明细接口!$O398=0,"",[2]对账明细接口!$O398),"")</f>
        <v/>
      </c>
      <c r="U398" s="21" t="str">
        <f>IFERROR(IF([2]对账明细接口!$P398=0,"",[2]对账明细接口!$P398),"")</f>
        <v/>
      </c>
      <c r="V398" s="21" t="str">
        <f>IFERROR(IF([2]对账明细接口!$Q398=0,"",[2]对账明细接口!$Q398),"")</f>
        <v/>
      </c>
      <c r="W398" s="20" t="str">
        <f>IFERROR(IF([2]对账明细接口!$R398=0,"",[2]对账明细接口!$R398),"")</f>
        <v/>
      </c>
      <c r="X398" s="20" t="str">
        <f>IFERROR(IF([2]对账明细接口!$S398=0,"",[2]对账明细接口!$S398),"")</f>
        <v/>
      </c>
      <c r="Y398" s="20" t="str">
        <f t="shared" si="38"/>
        <v/>
      </c>
      <c r="Z398" s="20" t="str">
        <f t="shared" si="39"/>
        <v/>
      </c>
      <c r="AA398" s="20" t="str">
        <f t="shared" si="40"/>
        <v/>
      </c>
      <c r="AB398" s="20" t="str">
        <f t="shared" si="41"/>
        <v/>
      </c>
    </row>
    <row r="399" customHeight="1" spans="1:28">
      <c r="A399" s="14">
        <v>399</v>
      </c>
      <c r="B399" s="15" t="str">
        <f>IFERROR(IF([2]对账明细接口!$B$399=0,"",[2]对账明细接口!$B$399),"")</f>
        <v/>
      </c>
      <c r="C399" s="16" t="str">
        <f>IFERROR(IF([2]对账明细接口!$C$399=0,"",[2]对账明细接口!$C$399),"")</f>
        <v/>
      </c>
      <c r="D399" s="16" t="str">
        <f>IFERROR(IF([2]对账明细接口!$D$399=0,"",[2]对账明细接口!$D$399),"")</f>
        <v/>
      </c>
      <c r="E399" s="16" t="str">
        <f>IFERROR(IF([2]对账明细接口!$E$399=0,"",[2]对账明细接口!$E$399),"")</f>
        <v/>
      </c>
      <c r="F399" s="16" t="str">
        <f>IFERROR(IF([2]对账明细接口!$F$399=0,"",[2]对账明细接口!$F$399),"")</f>
        <v/>
      </c>
      <c r="G399" s="16" t="str">
        <f>IFERROR(IF([2]对账明细接口!$G$399=0,"",[2]对账明细接口!$G$399),"")</f>
        <v/>
      </c>
      <c r="H399" s="17" t="str">
        <f>IFERROR(IF([2]对账明细接口!$H$399=0,"",[2]对账明细接口!$H$399),"")</f>
        <v/>
      </c>
      <c r="I399" s="16" t="str">
        <f>IFERROR(IF([2]对账明细接口!$I$399=0,"",[2]对账明细接口!$I$399),"")</f>
        <v/>
      </c>
      <c r="J399" s="18" t="str">
        <f>IFERROR(IF([2]对账明细接口!$J$399=0,"",[2]对账明细接口!$J$399),"")</f>
        <v/>
      </c>
      <c r="K399" s="18" t="str">
        <f>IFERROR(IF([2]对账明细接口!$K$399=0,"",[2]对账明细接口!$K$399),"")</f>
        <v/>
      </c>
      <c r="L399" s="16" t="str">
        <f>IFERROR(IF([2]对账明细接口!$L$399=0,"",[2]对账明细接口!$L$399),"")</f>
        <v/>
      </c>
      <c r="M399" s="16" t="str">
        <f>IFERROR(IF([2]对账明细接口!$M$399=0,"",[2]对账明细接口!$M$399),"")</f>
        <v/>
      </c>
      <c r="N399" s="19">
        <f t="shared" si="36"/>
        <v>0</v>
      </c>
      <c r="O399" s="19">
        <f t="shared" si="37"/>
        <v>165</v>
      </c>
      <c r="S399" s="20" t="str">
        <f>IFERROR(IF([2]对账明细接口!$N399=0,"",[2]对账明细接口!$N399),"")</f>
        <v/>
      </c>
      <c r="T399" s="21" t="str">
        <f>IFERROR(IF([2]对账明细接口!$O399=0,"",[2]对账明细接口!$O399),"")</f>
        <v/>
      </c>
      <c r="U399" s="21" t="str">
        <f>IFERROR(IF([2]对账明细接口!$P399=0,"",[2]对账明细接口!$P399),"")</f>
        <v/>
      </c>
      <c r="V399" s="21" t="str">
        <f>IFERROR(IF([2]对账明细接口!$Q399=0,"",[2]对账明细接口!$Q399),"")</f>
        <v/>
      </c>
      <c r="W399" s="20" t="str">
        <f>IFERROR(IF([2]对账明细接口!$R399=0,"",[2]对账明细接口!$R399),"")</f>
        <v/>
      </c>
      <c r="X399" s="20" t="str">
        <f>IFERROR(IF([2]对账明细接口!$S399=0,"",[2]对账明细接口!$S399),"")</f>
        <v/>
      </c>
      <c r="Y399" s="20" t="str">
        <f t="shared" si="38"/>
        <v/>
      </c>
      <c r="Z399" s="20" t="str">
        <f t="shared" si="39"/>
        <v/>
      </c>
      <c r="AA399" s="20" t="str">
        <f t="shared" si="40"/>
        <v/>
      </c>
      <c r="AB399" s="20" t="str">
        <f t="shared" si="41"/>
        <v/>
      </c>
    </row>
    <row r="400" customHeight="1" spans="1:28">
      <c r="A400" s="14">
        <v>400</v>
      </c>
      <c r="B400" s="15" t="str">
        <f>IFERROR(IF([2]对账明细接口!$B$400=0,"",[2]对账明细接口!$B$400),"")</f>
        <v/>
      </c>
      <c r="C400" s="16" t="str">
        <f>IFERROR(IF([2]对账明细接口!$C$400=0,"",[2]对账明细接口!$C$400),"")</f>
        <v/>
      </c>
      <c r="D400" s="16" t="str">
        <f>IFERROR(IF([2]对账明细接口!$D$400=0,"",[2]对账明细接口!$D$400),"")</f>
        <v/>
      </c>
      <c r="E400" s="16" t="str">
        <f>IFERROR(IF([2]对账明细接口!$E$400=0,"",[2]对账明细接口!$E$400),"")</f>
        <v/>
      </c>
      <c r="F400" s="16" t="str">
        <f>IFERROR(IF([2]对账明细接口!$F$400=0,"",[2]对账明细接口!$F$400),"")</f>
        <v/>
      </c>
      <c r="G400" s="16" t="str">
        <f>IFERROR(IF([2]对账明细接口!$G$400=0,"",[2]对账明细接口!$G$400),"")</f>
        <v/>
      </c>
      <c r="H400" s="17" t="str">
        <f>IFERROR(IF([2]对账明细接口!$H$400=0,"",[2]对账明细接口!$H$400),"")</f>
        <v/>
      </c>
      <c r="I400" s="16" t="str">
        <f>IFERROR(IF([2]对账明细接口!$I$400=0,"",[2]对账明细接口!$I$400),"")</f>
        <v/>
      </c>
      <c r="J400" s="18" t="str">
        <f>IFERROR(IF([2]对账明细接口!$J$400=0,"",[2]对账明细接口!$J$400),"")</f>
        <v/>
      </c>
      <c r="K400" s="18" t="str">
        <f>IFERROR(IF([2]对账明细接口!$K$400=0,"",[2]对账明细接口!$K$400),"")</f>
        <v/>
      </c>
      <c r="L400" s="16" t="str">
        <f>IFERROR(IF([2]对账明细接口!$L$400=0,"",[2]对账明细接口!$L$400),"")</f>
        <v/>
      </c>
      <c r="M400" s="16" t="str">
        <f>IFERROR(IF([2]对账明细接口!$M$400=0,"",[2]对账明细接口!$M$400),"")</f>
        <v/>
      </c>
      <c r="N400" s="19">
        <f t="shared" si="36"/>
        <v>0</v>
      </c>
      <c r="O400" s="19">
        <f t="shared" si="37"/>
        <v>165</v>
      </c>
      <c r="S400" s="20" t="str">
        <f>IFERROR(IF([2]对账明细接口!$N400=0,"",[2]对账明细接口!$N400),"")</f>
        <v/>
      </c>
      <c r="T400" s="21" t="str">
        <f>IFERROR(IF([2]对账明细接口!$O400=0,"",[2]对账明细接口!$O400),"")</f>
        <v/>
      </c>
      <c r="U400" s="21" t="str">
        <f>IFERROR(IF([2]对账明细接口!$P400=0,"",[2]对账明细接口!$P400),"")</f>
        <v/>
      </c>
      <c r="V400" s="21" t="str">
        <f>IFERROR(IF([2]对账明细接口!$Q400=0,"",[2]对账明细接口!$Q400),"")</f>
        <v/>
      </c>
      <c r="W400" s="20" t="str">
        <f>IFERROR(IF([2]对账明细接口!$R400=0,"",[2]对账明细接口!$R400),"")</f>
        <v/>
      </c>
      <c r="X400" s="20" t="str">
        <f>IFERROR(IF([2]对账明细接口!$S400=0,"",[2]对账明细接口!$S400),"")</f>
        <v/>
      </c>
      <c r="Y400" s="20" t="str">
        <f t="shared" si="38"/>
        <v/>
      </c>
      <c r="Z400" s="20" t="str">
        <f t="shared" si="39"/>
        <v/>
      </c>
      <c r="AA400" s="20" t="str">
        <f t="shared" si="40"/>
        <v/>
      </c>
      <c r="AB400" s="20" t="str">
        <f t="shared" si="41"/>
        <v/>
      </c>
    </row>
    <row r="401" customHeight="1" spans="1:28">
      <c r="A401" s="14">
        <v>401</v>
      </c>
      <c r="B401" s="15" t="str">
        <f>IFERROR(IF([2]对账明细接口!$B$401=0,"",[2]对账明细接口!$B$401),"")</f>
        <v/>
      </c>
      <c r="C401" s="16" t="str">
        <f>IFERROR(IF([2]对账明细接口!$C$401=0,"",[2]对账明细接口!$C$401),"")</f>
        <v/>
      </c>
      <c r="D401" s="16" t="str">
        <f>IFERROR(IF([2]对账明细接口!$D$401=0,"",[2]对账明细接口!$D$401),"")</f>
        <v/>
      </c>
      <c r="E401" s="16" t="str">
        <f>IFERROR(IF([2]对账明细接口!$E$401=0,"",[2]对账明细接口!$E$401),"")</f>
        <v/>
      </c>
      <c r="F401" s="16" t="str">
        <f>IFERROR(IF([2]对账明细接口!$F$401=0,"",[2]对账明细接口!$F$401),"")</f>
        <v/>
      </c>
      <c r="G401" s="16" t="str">
        <f>IFERROR(IF([2]对账明细接口!$G$401=0,"",[2]对账明细接口!$G$401),"")</f>
        <v/>
      </c>
      <c r="H401" s="17" t="str">
        <f>IFERROR(IF([2]对账明细接口!$H$401=0,"",[2]对账明细接口!$H$401),"")</f>
        <v/>
      </c>
      <c r="I401" s="16" t="str">
        <f>IFERROR(IF([2]对账明细接口!$I$401=0,"",[2]对账明细接口!$I$401),"")</f>
        <v/>
      </c>
      <c r="J401" s="18" t="str">
        <f>IFERROR(IF([2]对账明细接口!$J$401=0,"",[2]对账明细接口!$J$401),"")</f>
        <v/>
      </c>
      <c r="K401" s="18" t="str">
        <f>IFERROR(IF([2]对账明细接口!$K$401=0,"",[2]对账明细接口!$K$401),"")</f>
        <v/>
      </c>
      <c r="L401" s="16" t="str">
        <f>IFERROR(IF([2]对账明细接口!$L$401=0,"",[2]对账明细接口!$L$401),"")</f>
        <v/>
      </c>
      <c r="M401" s="16" t="str">
        <f>IFERROR(IF([2]对账明细接口!$M$401=0,"",[2]对账明细接口!$M$401),"")</f>
        <v/>
      </c>
      <c r="N401" s="19">
        <f t="shared" si="36"/>
        <v>0</v>
      </c>
      <c r="O401" s="19">
        <f t="shared" si="37"/>
        <v>165</v>
      </c>
      <c r="S401" s="20" t="str">
        <f>IFERROR(IF([2]对账明细接口!$N401=0,"",[2]对账明细接口!$N401),"")</f>
        <v/>
      </c>
      <c r="T401" s="21" t="str">
        <f>IFERROR(IF([2]对账明细接口!$O401=0,"",[2]对账明细接口!$O401),"")</f>
        <v/>
      </c>
      <c r="U401" s="21" t="str">
        <f>IFERROR(IF([2]对账明细接口!$P401=0,"",[2]对账明细接口!$P401),"")</f>
        <v/>
      </c>
      <c r="V401" s="21" t="str">
        <f>IFERROR(IF([2]对账明细接口!$Q401=0,"",[2]对账明细接口!$Q401),"")</f>
        <v/>
      </c>
      <c r="W401" s="20" t="str">
        <f>IFERROR(IF([2]对账明细接口!$R401=0,"",[2]对账明细接口!$R401),"")</f>
        <v/>
      </c>
      <c r="X401" s="20" t="str">
        <f>IFERROR(IF([2]对账明细接口!$S401=0,"",[2]对账明细接口!$S401),"")</f>
        <v/>
      </c>
      <c r="Y401" s="20" t="str">
        <f t="shared" si="38"/>
        <v/>
      </c>
      <c r="Z401" s="20" t="str">
        <f t="shared" si="39"/>
        <v/>
      </c>
      <c r="AA401" s="20" t="str">
        <f t="shared" si="40"/>
        <v/>
      </c>
      <c r="AB401" s="20" t="str">
        <f t="shared" si="41"/>
        <v/>
      </c>
    </row>
    <row r="402" customHeight="1" spans="1:28">
      <c r="A402" s="14">
        <v>402</v>
      </c>
      <c r="B402" s="15" t="str">
        <f>IFERROR(IF([2]对账明细接口!$B$402=0,"",[2]对账明细接口!$B$402),"")</f>
        <v/>
      </c>
      <c r="C402" s="16" t="str">
        <f>IFERROR(IF([2]对账明细接口!$C$402=0,"",[2]对账明细接口!$C$402),"")</f>
        <v/>
      </c>
      <c r="D402" s="16" t="str">
        <f>IFERROR(IF([2]对账明细接口!$D$402=0,"",[2]对账明细接口!$D$402),"")</f>
        <v/>
      </c>
      <c r="E402" s="16" t="str">
        <f>IFERROR(IF([2]对账明细接口!$E$402=0,"",[2]对账明细接口!$E$402),"")</f>
        <v/>
      </c>
      <c r="F402" s="16" t="str">
        <f>IFERROR(IF([2]对账明细接口!$F$402=0,"",[2]对账明细接口!$F$402),"")</f>
        <v/>
      </c>
      <c r="G402" s="16" t="str">
        <f>IFERROR(IF([2]对账明细接口!$G$402=0,"",[2]对账明细接口!$G$402),"")</f>
        <v/>
      </c>
      <c r="H402" s="17" t="str">
        <f>IFERROR(IF([2]对账明细接口!$H$402=0,"",[2]对账明细接口!$H$402),"")</f>
        <v/>
      </c>
      <c r="I402" s="16" t="str">
        <f>IFERROR(IF([2]对账明细接口!$I$402=0,"",[2]对账明细接口!$I$402),"")</f>
        <v/>
      </c>
      <c r="J402" s="18" t="str">
        <f>IFERROR(IF([2]对账明细接口!$J$402=0,"",[2]对账明细接口!$J$402),"")</f>
        <v/>
      </c>
      <c r="K402" s="18" t="str">
        <f>IFERROR(IF([2]对账明细接口!$K$402=0,"",[2]对账明细接口!$K$402),"")</f>
        <v/>
      </c>
      <c r="L402" s="16" t="str">
        <f>IFERROR(IF([2]对账明细接口!$L$402=0,"",[2]对账明细接口!$L$402),"")</f>
        <v/>
      </c>
      <c r="M402" s="16" t="str">
        <f>IFERROR(IF([2]对账明细接口!$M$402=0,"",[2]对账明细接口!$M$402),"")</f>
        <v/>
      </c>
      <c r="N402" s="19">
        <f t="shared" si="36"/>
        <v>0</v>
      </c>
      <c r="O402" s="19">
        <f t="shared" si="37"/>
        <v>165</v>
      </c>
      <c r="S402" s="20" t="str">
        <f>IFERROR(IF([2]对账明细接口!$N402=0,"",[2]对账明细接口!$N402),"")</f>
        <v/>
      </c>
      <c r="T402" s="21" t="str">
        <f>IFERROR(IF([2]对账明细接口!$O402=0,"",[2]对账明细接口!$O402),"")</f>
        <v/>
      </c>
      <c r="U402" s="21" t="str">
        <f>IFERROR(IF([2]对账明细接口!$P402=0,"",[2]对账明细接口!$P402),"")</f>
        <v/>
      </c>
      <c r="V402" s="21" t="str">
        <f>IFERROR(IF([2]对账明细接口!$Q402=0,"",[2]对账明细接口!$Q402),"")</f>
        <v/>
      </c>
      <c r="W402" s="20" t="str">
        <f>IFERROR(IF([2]对账明细接口!$R402=0,"",[2]对账明细接口!$R402),"")</f>
        <v/>
      </c>
      <c r="X402" s="20" t="str">
        <f>IFERROR(IF([2]对账明细接口!$S402=0,"",[2]对账明细接口!$S402),"")</f>
        <v/>
      </c>
      <c r="Y402" s="20" t="str">
        <f t="shared" si="38"/>
        <v/>
      </c>
      <c r="Z402" s="20" t="str">
        <f t="shared" si="39"/>
        <v/>
      </c>
      <c r="AA402" s="20" t="str">
        <f t="shared" si="40"/>
        <v/>
      </c>
      <c r="AB402" s="20" t="str">
        <f t="shared" si="41"/>
        <v/>
      </c>
    </row>
    <row r="403" customHeight="1" spans="1:28">
      <c r="A403" s="14">
        <v>403</v>
      </c>
      <c r="B403" s="15" t="str">
        <f>IFERROR(IF([2]对账明细接口!$B$403=0,"",[2]对账明细接口!$B$403),"")</f>
        <v/>
      </c>
      <c r="C403" s="16" t="str">
        <f>IFERROR(IF([2]对账明细接口!$C$403=0,"",[2]对账明细接口!$C$403),"")</f>
        <v/>
      </c>
      <c r="D403" s="16" t="str">
        <f>IFERROR(IF([2]对账明细接口!$D$403=0,"",[2]对账明细接口!$D$403),"")</f>
        <v/>
      </c>
      <c r="E403" s="16" t="str">
        <f>IFERROR(IF([2]对账明细接口!$E$403=0,"",[2]对账明细接口!$E$403),"")</f>
        <v/>
      </c>
      <c r="F403" s="16" t="str">
        <f>IFERROR(IF([2]对账明细接口!$F$403=0,"",[2]对账明细接口!$F$403),"")</f>
        <v/>
      </c>
      <c r="G403" s="16" t="str">
        <f>IFERROR(IF([2]对账明细接口!$G$403=0,"",[2]对账明细接口!$G$403),"")</f>
        <v/>
      </c>
      <c r="H403" s="17" t="str">
        <f>IFERROR(IF([2]对账明细接口!$H$403=0,"",[2]对账明细接口!$H$403),"")</f>
        <v/>
      </c>
      <c r="I403" s="16" t="str">
        <f>IFERROR(IF([2]对账明细接口!$I$403=0,"",[2]对账明细接口!$I$403),"")</f>
        <v/>
      </c>
      <c r="J403" s="18" t="str">
        <f>IFERROR(IF([2]对账明细接口!$J$403=0,"",[2]对账明细接口!$J$403),"")</f>
        <v/>
      </c>
      <c r="K403" s="18" t="str">
        <f>IFERROR(IF([2]对账明细接口!$K$403=0,"",[2]对账明细接口!$K$403),"")</f>
        <v/>
      </c>
      <c r="L403" s="16" t="str">
        <f>IFERROR(IF([2]对账明细接口!$L$403=0,"",[2]对账明细接口!$L$403),"")</f>
        <v/>
      </c>
      <c r="M403" s="16" t="str">
        <f>IFERROR(IF([2]对账明细接口!$M$403=0,"",[2]对账明细接口!$M$403),"")</f>
        <v/>
      </c>
      <c r="N403" s="19">
        <f t="shared" si="36"/>
        <v>0</v>
      </c>
      <c r="O403" s="19">
        <f t="shared" si="37"/>
        <v>165</v>
      </c>
      <c r="S403" s="20" t="str">
        <f>IFERROR(IF([2]对账明细接口!$N403=0,"",[2]对账明细接口!$N403),"")</f>
        <v/>
      </c>
      <c r="T403" s="21" t="str">
        <f>IFERROR(IF([2]对账明细接口!$O403=0,"",[2]对账明细接口!$O403),"")</f>
        <v/>
      </c>
      <c r="U403" s="21" t="str">
        <f>IFERROR(IF([2]对账明细接口!$P403=0,"",[2]对账明细接口!$P403),"")</f>
        <v/>
      </c>
      <c r="V403" s="21" t="str">
        <f>IFERROR(IF([2]对账明细接口!$Q403=0,"",[2]对账明细接口!$Q403),"")</f>
        <v/>
      </c>
      <c r="W403" s="20" t="str">
        <f>IFERROR(IF([2]对账明细接口!$R403=0,"",[2]对账明细接口!$R403),"")</f>
        <v/>
      </c>
      <c r="X403" s="20" t="str">
        <f>IFERROR(IF([2]对账明细接口!$S403=0,"",[2]对账明细接口!$S403),"")</f>
        <v/>
      </c>
      <c r="Y403" s="20" t="str">
        <f t="shared" si="38"/>
        <v/>
      </c>
      <c r="Z403" s="20" t="str">
        <f t="shared" si="39"/>
        <v/>
      </c>
      <c r="AA403" s="20" t="str">
        <f t="shared" si="40"/>
        <v/>
      </c>
      <c r="AB403" s="20" t="str">
        <f t="shared" si="41"/>
        <v/>
      </c>
    </row>
    <row r="404" customHeight="1" spans="1:28">
      <c r="A404" s="14">
        <v>404</v>
      </c>
      <c r="B404" s="15" t="str">
        <f>IFERROR(IF([2]对账明细接口!$B$404=0,"",[2]对账明细接口!$B$404),"")</f>
        <v/>
      </c>
      <c r="C404" s="16" t="str">
        <f>IFERROR(IF([2]对账明细接口!$C$404=0,"",[2]对账明细接口!$C$404),"")</f>
        <v/>
      </c>
      <c r="D404" s="16" t="str">
        <f>IFERROR(IF([2]对账明细接口!$D$404=0,"",[2]对账明细接口!$D$404),"")</f>
        <v/>
      </c>
      <c r="E404" s="16" t="str">
        <f>IFERROR(IF([2]对账明细接口!$E$404=0,"",[2]对账明细接口!$E$404),"")</f>
        <v/>
      </c>
      <c r="F404" s="16" t="str">
        <f>IFERROR(IF([2]对账明细接口!$F$404=0,"",[2]对账明细接口!$F$404),"")</f>
        <v/>
      </c>
      <c r="G404" s="16" t="str">
        <f>IFERROR(IF([2]对账明细接口!$G$404=0,"",[2]对账明细接口!$G$404),"")</f>
        <v/>
      </c>
      <c r="H404" s="17" t="str">
        <f>IFERROR(IF([2]对账明细接口!$H$404=0,"",[2]对账明细接口!$H$404),"")</f>
        <v/>
      </c>
      <c r="I404" s="16" t="str">
        <f>IFERROR(IF([2]对账明细接口!$I$404=0,"",[2]对账明细接口!$I$404),"")</f>
        <v/>
      </c>
      <c r="J404" s="18" t="str">
        <f>IFERROR(IF([2]对账明细接口!$J$404=0,"",[2]对账明细接口!$J$404),"")</f>
        <v/>
      </c>
      <c r="K404" s="18" t="str">
        <f>IFERROR(IF([2]对账明细接口!$K$404=0,"",[2]对账明细接口!$K$404),"")</f>
        <v/>
      </c>
      <c r="L404" s="16" t="str">
        <f>IFERROR(IF([2]对账明细接口!$L$404=0,"",[2]对账明细接口!$L$404),"")</f>
        <v/>
      </c>
      <c r="M404" s="16" t="str">
        <f>IFERROR(IF([2]对账明细接口!$M$404=0,"",[2]对账明细接口!$M$404),"")</f>
        <v/>
      </c>
      <c r="N404" s="19">
        <f t="shared" si="36"/>
        <v>0</v>
      </c>
      <c r="O404" s="19">
        <f t="shared" si="37"/>
        <v>165</v>
      </c>
      <c r="S404" s="20" t="str">
        <f>IFERROR(IF([2]对账明细接口!$N404=0,"",[2]对账明细接口!$N404),"")</f>
        <v/>
      </c>
      <c r="T404" s="21" t="str">
        <f>IFERROR(IF([2]对账明细接口!$O404=0,"",[2]对账明细接口!$O404),"")</f>
        <v/>
      </c>
      <c r="U404" s="21" t="str">
        <f>IFERROR(IF([2]对账明细接口!$P404=0,"",[2]对账明细接口!$P404),"")</f>
        <v/>
      </c>
      <c r="V404" s="21" t="str">
        <f>IFERROR(IF([2]对账明细接口!$Q404=0,"",[2]对账明细接口!$Q404),"")</f>
        <v/>
      </c>
      <c r="W404" s="20" t="str">
        <f>IFERROR(IF([2]对账明细接口!$R404=0,"",[2]对账明细接口!$R404),"")</f>
        <v/>
      </c>
      <c r="X404" s="20" t="str">
        <f>IFERROR(IF([2]对账明细接口!$S404=0,"",[2]对账明细接口!$S404),"")</f>
        <v/>
      </c>
      <c r="Y404" s="20" t="str">
        <f t="shared" si="38"/>
        <v/>
      </c>
      <c r="Z404" s="20" t="str">
        <f t="shared" si="39"/>
        <v/>
      </c>
      <c r="AA404" s="20" t="str">
        <f t="shared" si="40"/>
        <v/>
      </c>
      <c r="AB404" s="20" t="str">
        <f t="shared" si="41"/>
        <v/>
      </c>
    </row>
    <row r="405" customHeight="1" spans="1:28">
      <c r="A405" s="14">
        <v>405</v>
      </c>
      <c r="B405" s="15" t="str">
        <f>IFERROR(IF([2]对账明细接口!$B$405=0,"",[2]对账明细接口!$B$405),"")</f>
        <v/>
      </c>
      <c r="C405" s="16" t="str">
        <f>IFERROR(IF([2]对账明细接口!$C$405=0,"",[2]对账明细接口!$C$405),"")</f>
        <v/>
      </c>
      <c r="D405" s="16" t="str">
        <f>IFERROR(IF([2]对账明细接口!$D$405=0,"",[2]对账明细接口!$D$405),"")</f>
        <v/>
      </c>
      <c r="E405" s="16" t="str">
        <f>IFERROR(IF([2]对账明细接口!$E$405=0,"",[2]对账明细接口!$E$405),"")</f>
        <v/>
      </c>
      <c r="F405" s="16" t="str">
        <f>IFERROR(IF([2]对账明细接口!$F$405=0,"",[2]对账明细接口!$F$405),"")</f>
        <v/>
      </c>
      <c r="G405" s="16" t="str">
        <f>IFERROR(IF([2]对账明细接口!$G$405=0,"",[2]对账明细接口!$G$405),"")</f>
        <v/>
      </c>
      <c r="H405" s="17" t="str">
        <f>IFERROR(IF([2]对账明细接口!$H$405=0,"",[2]对账明细接口!$H$405),"")</f>
        <v/>
      </c>
      <c r="I405" s="16" t="str">
        <f>IFERROR(IF([2]对账明细接口!$I$405=0,"",[2]对账明细接口!$I$405),"")</f>
        <v/>
      </c>
      <c r="J405" s="18" t="str">
        <f>IFERROR(IF([2]对账明细接口!$J$405=0,"",[2]对账明细接口!$J$405),"")</f>
        <v/>
      </c>
      <c r="K405" s="18" t="str">
        <f>IFERROR(IF([2]对账明细接口!$K$405=0,"",[2]对账明细接口!$K$405),"")</f>
        <v/>
      </c>
      <c r="L405" s="16" t="str">
        <f>IFERROR(IF([2]对账明细接口!$L$405=0,"",[2]对账明细接口!$L$405),"")</f>
        <v/>
      </c>
      <c r="M405" s="16" t="str">
        <f>IFERROR(IF([2]对账明细接口!$M$405=0,"",[2]对账明细接口!$M$405),"")</f>
        <v/>
      </c>
      <c r="N405" s="19">
        <f t="shared" si="36"/>
        <v>0</v>
      </c>
      <c r="O405" s="19">
        <f t="shared" si="37"/>
        <v>165</v>
      </c>
      <c r="S405" s="20" t="str">
        <f>IFERROR(IF([2]对账明细接口!$N405=0,"",[2]对账明细接口!$N405),"")</f>
        <v/>
      </c>
      <c r="T405" s="21" t="str">
        <f>IFERROR(IF([2]对账明细接口!$O405=0,"",[2]对账明细接口!$O405),"")</f>
        <v/>
      </c>
      <c r="U405" s="21" t="str">
        <f>IFERROR(IF([2]对账明细接口!$P405=0,"",[2]对账明细接口!$P405),"")</f>
        <v/>
      </c>
      <c r="V405" s="21" t="str">
        <f>IFERROR(IF([2]对账明细接口!$Q405=0,"",[2]对账明细接口!$Q405),"")</f>
        <v/>
      </c>
      <c r="W405" s="20" t="str">
        <f>IFERROR(IF([2]对账明细接口!$R405=0,"",[2]对账明细接口!$R405),"")</f>
        <v/>
      </c>
      <c r="X405" s="20" t="str">
        <f>IFERROR(IF([2]对账明细接口!$S405=0,"",[2]对账明细接口!$S405),"")</f>
        <v/>
      </c>
      <c r="Y405" s="20" t="str">
        <f t="shared" si="38"/>
        <v/>
      </c>
      <c r="Z405" s="20" t="str">
        <f t="shared" si="39"/>
        <v/>
      </c>
      <c r="AA405" s="20" t="str">
        <f t="shared" si="40"/>
        <v/>
      </c>
      <c r="AB405" s="20" t="str">
        <f t="shared" si="41"/>
        <v/>
      </c>
    </row>
    <row r="406" customHeight="1" spans="1:28">
      <c r="A406" s="14">
        <v>406</v>
      </c>
      <c r="B406" s="15" t="str">
        <f>IFERROR(IF([2]对账明细接口!$B$406=0,"",[2]对账明细接口!$B$406),"")</f>
        <v/>
      </c>
      <c r="C406" s="16" t="str">
        <f>IFERROR(IF([2]对账明细接口!$C$406=0,"",[2]对账明细接口!$C$406),"")</f>
        <v/>
      </c>
      <c r="D406" s="16" t="str">
        <f>IFERROR(IF([2]对账明细接口!$D$406=0,"",[2]对账明细接口!$D$406),"")</f>
        <v/>
      </c>
      <c r="E406" s="16" t="str">
        <f>IFERROR(IF([2]对账明细接口!$E$406=0,"",[2]对账明细接口!$E$406),"")</f>
        <v/>
      </c>
      <c r="F406" s="16" t="str">
        <f>IFERROR(IF([2]对账明细接口!$F$406=0,"",[2]对账明细接口!$F$406),"")</f>
        <v/>
      </c>
      <c r="G406" s="16" t="str">
        <f>IFERROR(IF([2]对账明细接口!$G$406=0,"",[2]对账明细接口!$G$406),"")</f>
        <v/>
      </c>
      <c r="H406" s="17" t="str">
        <f>IFERROR(IF([2]对账明细接口!$H$406=0,"",[2]对账明细接口!$H$406),"")</f>
        <v/>
      </c>
      <c r="I406" s="16" t="str">
        <f>IFERROR(IF([2]对账明细接口!$I$406=0,"",[2]对账明细接口!$I$406),"")</f>
        <v/>
      </c>
      <c r="J406" s="18" t="str">
        <f>IFERROR(IF([2]对账明细接口!$J$406=0,"",[2]对账明细接口!$J$406),"")</f>
        <v/>
      </c>
      <c r="K406" s="18" t="str">
        <f>IFERROR(IF([2]对账明细接口!$K$406=0,"",[2]对账明细接口!$K$406),"")</f>
        <v/>
      </c>
      <c r="L406" s="16" t="str">
        <f>IFERROR(IF([2]对账明细接口!$L$406=0,"",[2]对账明细接口!$L$406),"")</f>
        <v/>
      </c>
      <c r="M406" s="16" t="str">
        <f>IFERROR(IF([2]对账明细接口!$M$406=0,"",[2]对账明细接口!$M$406),"")</f>
        <v/>
      </c>
      <c r="N406" s="19">
        <f t="shared" si="36"/>
        <v>0</v>
      </c>
      <c r="O406" s="19">
        <f t="shared" si="37"/>
        <v>165</v>
      </c>
      <c r="S406" s="20" t="str">
        <f>IFERROR(IF([2]对账明细接口!$N406=0,"",[2]对账明细接口!$N406),"")</f>
        <v/>
      </c>
      <c r="T406" s="21" t="str">
        <f>IFERROR(IF([2]对账明细接口!$O406=0,"",[2]对账明细接口!$O406),"")</f>
        <v/>
      </c>
      <c r="U406" s="21" t="str">
        <f>IFERROR(IF([2]对账明细接口!$P406=0,"",[2]对账明细接口!$P406),"")</f>
        <v/>
      </c>
      <c r="V406" s="21" t="str">
        <f>IFERROR(IF([2]对账明细接口!$Q406=0,"",[2]对账明细接口!$Q406),"")</f>
        <v/>
      </c>
      <c r="W406" s="20" t="str">
        <f>IFERROR(IF([2]对账明细接口!$R406=0,"",[2]对账明细接口!$R406),"")</f>
        <v/>
      </c>
      <c r="X406" s="20" t="str">
        <f>IFERROR(IF([2]对账明细接口!$S406=0,"",[2]对账明细接口!$S406),"")</f>
        <v/>
      </c>
      <c r="Y406" s="20" t="str">
        <f t="shared" si="38"/>
        <v/>
      </c>
      <c r="Z406" s="20" t="str">
        <f t="shared" si="39"/>
        <v/>
      </c>
      <c r="AA406" s="20" t="str">
        <f t="shared" si="40"/>
        <v/>
      </c>
      <c r="AB406" s="20" t="str">
        <f t="shared" si="41"/>
        <v/>
      </c>
    </row>
    <row r="407" customHeight="1" spans="1:28">
      <c r="A407" s="14">
        <v>407</v>
      </c>
      <c r="B407" s="15" t="str">
        <f>IFERROR(IF([2]对账明细接口!$B$407=0,"",[2]对账明细接口!$B$407),"")</f>
        <v/>
      </c>
      <c r="C407" s="16" t="str">
        <f>IFERROR(IF([2]对账明细接口!$C$407=0,"",[2]对账明细接口!$C$407),"")</f>
        <v/>
      </c>
      <c r="D407" s="16" t="str">
        <f>IFERROR(IF([2]对账明细接口!$D$407=0,"",[2]对账明细接口!$D$407),"")</f>
        <v/>
      </c>
      <c r="E407" s="16" t="str">
        <f>IFERROR(IF([2]对账明细接口!$E$407=0,"",[2]对账明细接口!$E$407),"")</f>
        <v/>
      </c>
      <c r="F407" s="16" t="str">
        <f>IFERROR(IF([2]对账明细接口!$F$407=0,"",[2]对账明细接口!$F$407),"")</f>
        <v/>
      </c>
      <c r="G407" s="16" t="str">
        <f>IFERROR(IF([2]对账明细接口!$G$407=0,"",[2]对账明细接口!$G$407),"")</f>
        <v/>
      </c>
      <c r="H407" s="17" t="str">
        <f>IFERROR(IF([2]对账明细接口!$H$407=0,"",[2]对账明细接口!$H$407),"")</f>
        <v/>
      </c>
      <c r="I407" s="16" t="str">
        <f>IFERROR(IF([2]对账明细接口!$I$407=0,"",[2]对账明细接口!$I$407),"")</f>
        <v/>
      </c>
      <c r="J407" s="18" t="str">
        <f>IFERROR(IF([2]对账明细接口!$J$407=0,"",[2]对账明细接口!$J$407),"")</f>
        <v/>
      </c>
      <c r="K407" s="18" t="str">
        <f>IFERROR(IF([2]对账明细接口!$K$407=0,"",[2]对账明细接口!$K$407),"")</f>
        <v/>
      </c>
      <c r="L407" s="16" t="str">
        <f>IFERROR(IF([2]对账明细接口!$L$407=0,"",[2]对账明细接口!$L$407),"")</f>
        <v/>
      </c>
      <c r="M407" s="16" t="str">
        <f>IFERROR(IF([2]对账明细接口!$M$407=0,"",[2]对账明细接口!$M$407),"")</f>
        <v/>
      </c>
      <c r="N407" s="19">
        <f t="shared" si="36"/>
        <v>0</v>
      </c>
      <c r="O407" s="19">
        <f t="shared" si="37"/>
        <v>165</v>
      </c>
      <c r="S407" s="20" t="str">
        <f>IFERROR(IF([2]对账明细接口!$N407=0,"",[2]对账明细接口!$N407),"")</f>
        <v/>
      </c>
      <c r="T407" s="21" t="str">
        <f>IFERROR(IF([2]对账明细接口!$O407=0,"",[2]对账明细接口!$O407),"")</f>
        <v/>
      </c>
      <c r="U407" s="21" t="str">
        <f>IFERROR(IF([2]对账明细接口!$P407=0,"",[2]对账明细接口!$P407),"")</f>
        <v/>
      </c>
      <c r="V407" s="21" t="str">
        <f>IFERROR(IF([2]对账明细接口!$Q407=0,"",[2]对账明细接口!$Q407),"")</f>
        <v/>
      </c>
      <c r="W407" s="20" t="str">
        <f>IFERROR(IF([2]对账明细接口!$R407=0,"",[2]对账明细接口!$R407),"")</f>
        <v/>
      </c>
      <c r="X407" s="20" t="str">
        <f>IFERROR(IF([2]对账明细接口!$S407=0,"",[2]对账明细接口!$S407),"")</f>
        <v/>
      </c>
      <c r="Y407" s="20" t="str">
        <f t="shared" si="38"/>
        <v/>
      </c>
      <c r="Z407" s="20" t="str">
        <f t="shared" si="39"/>
        <v/>
      </c>
      <c r="AA407" s="20" t="str">
        <f t="shared" si="40"/>
        <v/>
      </c>
      <c r="AB407" s="20" t="str">
        <f t="shared" si="41"/>
        <v/>
      </c>
    </row>
    <row r="408" customHeight="1" spans="1:28">
      <c r="A408" s="14">
        <v>408</v>
      </c>
      <c r="B408" s="15" t="str">
        <f>IFERROR(IF([2]对账明细接口!$B$408=0,"",[2]对账明细接口!$B$408),"")</f>
        <v/>
      </c>
      <c r="C408" s="16" t="str">
        <f>IFERROR(IF([2]对账明细接口!$C$408=0,"",[2]对账明细接口!$C$408),"")</f>
        <v/>
      </c>
      <c r="D408" s="16" t="str">
        <f>IFERROR(IF([2]对账明细接口!$D$408=0,"",[2]对账明细接口!$D$408),"")</f>
        <v/>
      </c>
      <c r="E408" s="16" t="str">
        <f>IFERROR(IF([2]对账明细接口!$E$408=0,"",[2]对账明细接口!$E$408),"")</f>
        <v/>
      </c>
      <c r="F408" s="16" t="str">
        <f>IFERROR(IF([2]对账明细接口!$F$408=0,"",[2]对账明细接口!$F$408),"")</f>
        <v/>
      </c>
      <c r="G408" s="16" t="str">
        <f>IFERROR(IF([2]对账明细接口!$G$408=0,"",[2]对账明细接口!$G$408),"")</f>
        <v/>
      </c>
      <c r="H408" s="17" t="str">
        <f>IFERROR(IF([2]对账明细接口!$H$408=0,"",[2]对账明细接口!$H$408),"")</f>
        <v/>
      </c>
      <c r="I408" s="16" t="str">
        <f>IFERROR(IF([2]对账明细接口!$I$408=0,"",[2]对账明细接口!$I$408),"")</f>
        <v/>
      </c>
      <c r="J408" s="18" t="str">
        <f>IFERROR(IF([2]对账明细接口!$J$408=0,"",[2]对账明细接口!$J$408),"")</f>
        <v/>
      </c>
      <c r="K408" s="18" t="str">
        <f>IFERROR(IF([2]对账明细接口!$K$408=0,"",[2]对账明细接口!$K$408),"")</f>
        <v/>
      </c>
      <c r="L408" s="16" t="str">
        <f>IFERROR(IF([2]对账明细接口!$L$408=0,"",[2]对账明细接口!$L$408),"")</f>
        <v/>
      </c>
      <c r="M408" s="16" t="str">
        <f>IFERROR(IF([2]对账明细接口!$M$408=0,"",[2]对账明细接口!$M$408),"")</f>
        <v/>
      </c>
      <c r="N408" s="19">
        <f t="shared" si="36"/>
        <v>0</v>
      </c>
      <c r="O408" s="19">
        <f t="shared" si="37"/>
        <v>165</v>
      </c>
      <c r="S408" s="20" t="str">
        <f>IFERROR(IF([2]对账明细接口!$N408=0,"",[2]对账明细接口!$N408),"")</f>
        <v/>
      </c>
      <c r="T408" s="21" t="str">
        <f>IFERROR(IF([2]对账明细接口!$O408=0,"",[2]对账明细接口!$O408),"")</f>
        <v/>
      </c>
      <c r="U408" s="21" t="str">
        <f>IFERROR(IF([2]对账明细接口!$P408=0,"",[2]对账明细接口!$P408),"")</f>
        <v/>
      </c>
      <c r="V408" s="21" t="str">
        <f>IFERROR(IF([2]对账明细接口!$Q408=0,"",[2]对账明细接口!$Q408),"")</f>
        <v/>
      </c>
      <c r="W408" s="20" t="str">
        <f>IFERROR(IF([2]对账明细接口!$R408=0,"",[2]对账明细接口!$R408),"")</f>
        <v/>
      </c>
      <c r="X408" s="20" t="str">
        <f>IFERROR(IF([2]对账明细接口!$S408=0,"",[2]对账明细接口!$S408),"")</f>
        <v/>
      </c>
      <c r="Y408" s="20" t="str">
        <f t="shared" si="38"/>
        <v/>
      </c>
      <c r="Z408" s="20" t="str">
        <f t="shared" si="39"/>
        <v/>
      </c>
      <c r="AA408" s="20" t="str">
        <f t="shared" si="40"/>
        <v/>
      </c>
      <c r="AB408" s="20" t="str">
        <f t="shared" si="41"/>
        <v/>
      </c>
    </row>
    <row r="409" customHeight="1" spans="1:28">
      <c r="A409" s="14">
        <v>409</v>
      </c>
      <c r="B409" s="15" t="str">
        <f>IFERROR(IF([2]对账明细接口!$B$409=0,"",[2]对账明细接口!$B$409),"")</f>
        <v/>
      </c>
      <c r="C409" s="16" t="str">
        <f>IFERROR(IF([2]对账明细接口!$C$409=0,"",[2]对账明细接口!$C$409),"")</f>
        <v/>
      </c>
      <c r="D409" s="16" t="str">
        <f>IFERROR(IF([2]对账明细接口!$D$409=0,"",[2]对账明细接口!$D$409),"")</f>
        <v/>
      </c>
      <c r="E409" s="16" t="str">
        <f>IFERROR(IF([2]对账明细接口!$E$409=0,"",[2]对账明细接口!$E$409),"")</f>
        <v/>
      </c>
      <c r="F409" s="16" t="str">
        <f>IFERROR(IF([2]对账明细接口!$F$409=0,"",[2]对账明细接口!$F$409),"")</f>
        <v/>
      </c>
      <c r="G409" s="16" t="str">
        <f>IFERROR(IF([2]对账明细接口!$G$409=0,"",[2]对账明细接口!$G$409),"")</f>
        <v/>
      </c>
      <c r="H409" s="17" t="str">
        <f>IFERROR(IF([2]对账明细接口!$H$409=0,"",[2]对账明细接口!$H$409),"")</f>
        <v/>
      </c>
      <c r="I409" s="16" t="str">
        <f>IFERROR(IF([2]对账明细接口!$I$409=0,"",[2]对账明细接口!$I$409),"")</f>
        <v/>
      </c>
      <c r="J409" s="18" t="str">
        <f>IFERROR(IF([2]对账明细接口!$J$409=0,"",[2]对账明细接口!$J$409),"")</f>
        <v/>
      </c>
      <c r="K409" s="18" t="str">
        <f>IFERROR(IF([2]对账明细接口!$K$409=0,"",[2]对账明细接口!$K$409),"")</f>
        <v/>
      </c>
      <c r="L409" s="16" t="str">
        <f>IFERROR(IF([2]对账明细接口!$L$409=0,"",[2]对账明细接口!$L$409),"")</f>
        <v/>
      </c>
      <c r="M409" s="16" t="str">
        <f>IFERROR(IF([2]对账明细接口!$M$409=0,"",[2]对账明细接口!$M$409),"")</f>
        <v/>
      </c>
      <c r="N409" s="19">
        <f t="shared" si="36"/>
        <v>0</v>
      </c>
      <c r="O409" s="19">
        <f t="shared" si="37"/>
        <v>165</v>
      </c>
      <c r="S409" s="20" t="str">
        <f>IFERROR(IF([2]对账明细接口!$N409=0,"",[2]对账明细接口!$N409),"")</f>
        <v/>
      </c>
      <c r="T409" s="21" t="str">
        <f>IFERROR(IF([2]对账明细接口!$O409=0,"",[2]对账明细接口!$O409),"")</f>
        <v/>
      </c>
      <c r="U409" s="21" t="str">
        <f>IFERROR(IF([2]对账明细接口!$P409=0,"",[2]对账明细接口!$P409),"")</f>
        <v/>
      </c>
      <c r="V409" s="21" t="str">
        <f>IFERROR(IF([2]对账明细接口!$Q409=0,"",[2]对账明细接口!$Q409),"")</f>
        <v/>
      </c>
      <c r="W409" s="20" t="str">
        <f>IFERROR(IF([2]对账明细接口!$R409=0,"",[2]对账明细接口!$R409),"")</f>
        <v/>
      </c>
      <c r="X409" s="20" t="str">
        <f>IFERROR(IF([2]对账明细接口!$S409=0,"",[2]对账明细接口!$S409),"")</f>
        <v/>
      </c>
      <c r="Y409" s="20" t="str">
        <f t="shared" si="38"/>
        <v/>
      </c>
      <c r="Z409" s="20" t="str">
        <f t="shared" si="39"/>
        <v/>
      </c>
      <c r="AA409" s="20" t="str">
        <f t="shared" si="40"/>
        <v/>
      </c>
      <c r="AB409" s="20" t="str">
        <f t="shared" si="41"/>
        <v/>
      </c>
    </row>
    <row r="410" customHeight="1" spans="1:28">
      <c r="A410" s="14">
        <v>410</v>
      </c>
      <c r="B410" s="15" t="str">
        <f>IFERROR(IF([2]对账明细接口!$B$410=0,"",[2]对账明细接口!$B$410),"")</f>
        <v/>
      </c>
      <c r="C410" s="16" t="str">
        <f>IFERROR(IF([2]对账明细接口!$C$410=0,"",[2]对账明细接口!$C$410),"")</f>
        <v/>
      </c>
      <c r="D410" s="16" t="str">
        <f>IFERROR(IF([2]对账明细接口!$D$410=0,"",[2]对账明细接口!$D$410),"")</f>
        <v/>
      </c>
      <c r="E410" s="16" t="str">
        <f>IFERROR(IF([2]对账明细接口!$E$410=0,"",[2]对账明细接口!$E$410),"")</f>
        <v/>
      </c>
      <c r="F410" s="16" t="str">
        <f>IFERROR(IF([2]对账明细接口!$F$410=0,"",[2]对账明细接口!$F$410),"")</f>
        <v/>
      </c>
      <c r="G410" s="16" t="str">
        <f>IFERROR(IF([2]对账明细接口!$G$410=0,"",[2]对账明细接口!$G$410),"")</f>
        <v/>
      </c>
      <c r="H410" s="17" t="str">
        <f>IFERROR(IF([2]对账明细接口!$H$410=0,"",[2]对账明细接口!$H$410),"")</f>
        <v/>
      </c>
      <c r="I410" s="16" t="str">
        <f>IFERROR(IF([2]对账明细接口!$I$410=0,"",[2]对账明细接口!$I$410),"")</f>
        <v/>
      </c>
      <c r="J410" s="18" t="str">
        <f>IFERROR(IF([2]对账明细接口!$J$410=0,"",[2]对账明细接口!$J$410),"")</f>
        <v/>
      </c>
      <c r="K410" s="18" t="str">
        <f>IFERROR(IF([2]对账明细接口!$K$410=0,"",[2]对账明细接口!$K$410),"")</f>
        <v/>
      </c>
      <c r="L410" s="16" t="str">
        <f>IFERROR(IF([2]对账明细接口!$L$410=0,"",[2]对账明细接口!$L$410),"")</f>
        <v/>
      </c>
      <c r="M410" s="16" t="str">
        <f>IFERROR(IF([2]对账明细接口!$M$410=0,"",[2]对账明细接口!$M$410),"")</f>
        <v/>
      </c>
      <c r="N410" s="19">
        <f t="shared" si="36"/>
        <v>0</v>
      </c>
      <c r="O410" s="19">
        <f t="shared" si="37"/>
        <v>165</v>
      </c>
      <c r="S410" s="20" t="str">
        <f>IFERROR(IF([2]对账明细接口!$N410=0,"",[2]对账明细接口!$N410),"")</f>
        <v/>
      </c>
      <c r="T410" s="21" t="str">
        <f>IFERROR(IF([2]对账明细接口!$O410=0,"",[2]对账明细接口!$O410),"")</f>
        <v/>
      </c>
      <c r="U410" s="21" t="str">
        <f>IFERROR(IF([2]对账明细接口!$P410=0,"",[2]对账明细接口!$P410),"")</f>
        <v/>
      </c>
      <c r="V410" s="21" t="str">
        <f>IFERROR(IF([2]对账明细接口!$Q410=0,"",[2]对账明细接口!$Q410),"")</f>
        <v/>
      </c>
      <c r="W410" s="20" t="str">
        <f>IFERROR(IF([2]对账明细接口!$R410=0,"",[2]对账明细接口!$R410),"")</f>
        <v/>
      </c>
      <c r="X410" s="20" t="str">
        <f>IFERROR(IF([2]对账明细接口!$S410=0,"",[2]对账明细接口!$S410),"")</f>
        <v/>
      </c>
      <c r="Y410" s="20" t="str">
        <f t="shared" si="38"/>
        <v/>
      </c>
      <c r="Z410" s="20" t="str">
        <f t="shared" si="39"/>
        <v/>
      </c>
      <c r="AA410" s="20" t="str">
        <f t="shared" si="40"/>
        <v/>
      </c>
      <c r="AB410" s="20" t="str">
        <f t="shared" si="41"/>
        <v/>
      </c>
    </row>
    <row r="411" customHeight="1" spans="1:28">
      <c r="A411" s="14">
        <v>411</v>
      </c>
      <c r="B411" s="15" t="str">
        <f>IFERROR(IF([2]对账明细接口!$B$411=0,"",[2]对账明细接口!$B$411),"")</f>
        <v/>
      </c>
      <c r="C411" s="16" t="str">
        <f>IFERROR(IF([2]对账明细接口!$C$411=0,"",[2]对账明细接口!$C$411),"")</f>
        <v/>
      </c>
      <c r="D411" s="16" t="str">
        <f>IFERROR(IF([2]对账明细接口!$D$411=0,"",[2]对账明细接口!$D$411),"")</f>
        <v/>
      </c>
      <c r="E411" s="16" t="str">
        <f>IFERROR(IF([2]对账明细接口!$E$411=0,"",[2]对账明细接口!$E$411),"")</f>
        <v/>
      </c>
      <c r="F411" s="16" t="str">
        <f>IFERROR(IF([2]对账明细接口!$F$411=0,"",[2]对账明细接口!$F$411),"")</f>
        <v/>
      </c>
      <c r="G411" s="16" t="str">
        <f>IFERROR(IF([2]对账明细接口!$G$411=0,"",[2]对账明细接口!$G$411),"")</f>
        <v/>
      </c>
      <c r="H411" s="17" t="str">
        <f>IFERROR(IF([2]对账明细接口!$H$411=0,"",[2]对账明细接口!$H$411),"")</f>
        <v/>
      </c>
      <c r="I411" s="16" t="str">
        <f>IFERROR(IF([2]对账明细接口!$I$411=0,"",[2]对账明细接口!$I$411),"")</f>
        <v/>
      </c>
      <c r="J411" s="18" t="str">
        <f>IFERROR(IF([2]对账明细接口!$J$411=0,"",[2]对账明细接口!$J$411),"")</f>
        <v/>
      </c>
      <c r="K411" s="18" t="str">
        <f>IFERROR(IF([2]对账明细接口!$K$411=0,"",[2]对账明细接口!$K$411),"")</f>
        <v/>
      </c>
      <c r="L411" s="16" t="str">
        <f>IFERROR(IF([2]对账明细接口!$L$411=0,"",[2]对账明细接口!$L$411),"")</f>
        <v/>
      </c>
      <c r="M411" s="16" t="str">
        <f>IFERROR(IF([2]对账明细接口!$M$411=0,"",[2]对账明细接口!$M$411),"")</f>
        <v/>
      </c>
      <c r="N411" s="19">
        <f t="shared" si="36"/>
        <v>0</v>
      </c>
      <c r="O411" s="19">
        <f t="shared" si="37"/>
        <v>165</v>
      </c>
      <c r="S411" s="20" t="str">
        <f>IFERROR(IF([2]对账明细接口!$N411=0,"",[2]对账明细接口!$N411),"")</f>
        <v/>
      </c>
      <c r="T411" s="21" t="str">
        <f>IFERROR(IF([2]对账明细接口!$O411=0,"",[2]对账明细接口!$O411),"")</f>
        <v/>
      </c>
      <c r="U411" s="21" t="str">
        <f>IFERROR(IF([2]对账明细接口!$P411=0,"",[2]对账明细接口!$P411),"")</f>
        <v/>
      </c>
      <c r="V411" s="21" t="str">
        <f>IFERROR(IF([2]对账明细接口!$Q411=0,"",[2]对账明细接口!$Q411),"")</f>
        <v/>
      </c>
      <c r="W411" s="20" t="str">
        <f>IFERROR(IF([2]对账明细接口!$R411=0,"",[2]对账明细接口!$R411),"")</f>
        <v/>
      </c>
      <c r="X411" s="20" t="str">
        <f>IFERROR(IF([2]对账明细接口!$S411=0,"",[2]对账明细接口!$S411),"")</f>
        <v/>
      </c>
      <c r="Y411" s="20" t="str">
        <f t="shared" si="38"/>
        <v/>
      </c>
      <c r="Z411" s="20" t="str">
        <f t="shared" si="39"/>
        <v/>
      </c>
      <c r="AA411" s="20" t="str">
        <f t="shared" si="40"/>
        <v/>
      </c>
      <c r="AB411" s="20" t="str">
        <f t="shared" si="41"/>
        <v/>
      </c>
    </row>
    <row r="412" customHeight="1" spans="1:28">
      <c r="A412" s="14">
        <v>412</v>
      </c>
      <c r="B412" s="15" t="str">
        <f>IFERROR(IF([2]对账明细接口!$B$412=0,"",[2]对账明细接口!$B$412),"")</f>
        <v/>
      </c>
      <c r="C412" s="16" t="str">
        <f>IFERROR(IF([2]对账明细接口!$C$412=0,"",[2]对账明细接口!$C$412),"")</f>
        <v/>
      </c>
      <c r="D412" s="16" t="str">
        <f>IFERROR(IF([2]对账明细接口!$D$412=0,"",[2]对账明细接口!$D$412),"")</f>
        <v/>
      </c>
      <c r="E412" s="16" t="str">
        <f>IFERROR(IF([2]对账明细接口!$E$412=0,"",[2]对账明细接口!$E$412),"")</f>
        <v/>
      </c>
      <c r="F412" s="16" t="str">
        <f>IFERROR(IF([2]对账明细接口!$F$412=0,"",[2]对账明细接口!$F$412),"")</f>
        <v/>
      </c>
      <c r="G412" s="16" t="str">
        <f>IFERROR(IF([2]对账明细接口!$G$412=0,"",[2]对账明细接口!$G$412),"")</f>
        <v/>
      </c>
      <c r="H412" s="17" t="str">
        <f>IFERROR(IF([2]对账明细接口!$H$412=0,"",[2]对账明细接口!$H$412),"")</f>
        <v/>
      </c>
      <c r="I412" s="16" t="str">
        <f>IFERROR(IF([2]对账明细接口!$I$412=0,"",[2]对账明细接口!$I$412),"")</f>
        <v/>
      </c>
      <c r="J412" s="18" t="str">
        <f>IFERROR(IF([2]对账明细接口!$J$412=0,"",[2]对账明细接口!$J$412),"")</f>
        <v/>
      </c>
      <c r="K412" s="18" t="str">
        <f>IFERROR(IF([2]对账明细接口!$K$412=0,"",[2]对账明细接口!$K$412),"")</f>
        <v/>
      </c>
      <c r="L412" s="16" t="str">
        <f>IFERROR(IF([2]对账明细接口!$L$412=0,"",[2]对账明细接口!$L$412),"")</f>
        <v/>
      </c>
      <c r="M412" s="16" t="str">
        <f>IFERROR(IF([2]对账明细接口!$M$412=0,"",[2]对账明细接口!$M$412),"")</f>
        <v/>
      </c>
      <c r="N412" s="19">
        <f t="shared" si="36"/>
        <v>0</v>
      </c>
      <c r="O412" s="19">
        <f t="shared" si="37"/>
        <v>165</v>
      </c>
      <c r="S412" s="20" t="str">
        <f>IFERROR(IF([2]对账明细接口!$N412=0,"",[2]对账明细接口!$N412),"")</f>
        <v/>
      </c>
      <c r="T412" s="21" t="str">
        <f>IFERROR(IF([2]对账明细接口!$O412=0,"",[2]对账明细接口!$O412),"")</f>
        <v/>
      </c>
      <c r="U412" s="21" t="str">
        <f>IFERROR(IF([2]对账明细接口!$P412=0,"",[2]对账明细接口!$P412),"")</f>
        <v/>
      </c>
      <c r="V412" s="21" t="str">
        <f>IFERROR(IF([2]对账明细接口!$Q412=0,"",[2]对账明细接口!$Q412),"")</f>
        <v/>
      </c>
      <c r="W412" s="20" t="str">
        <f>IFERROR(IF([2]对账明细接口!$R412=0,"",[2]对账明细接口!$R412),"")</f>
        <v/>
      </c>
      <c r="X412" s="20" t="str">
        <f>IFERROR(IF([2]对账明细接口!$S412=0,"",[2]对账明细接口!$S412),"")</f>
        <v/>
      </c>
      <c r="Y412" s="20" t="str">
        <f t="shared" si="38"/>
        <v/>
      </c>
      <c r="Z412" s="20" t="str">
        <f t="shared" si="39"/>
        <v/>
      </c>
      <c r="AA412" s="20" t="str">
        <f t="shared" si="40"/>
        <v/>
      </c>
      <c r="AB412" s="20" t="str">
        <f t="shared" si="41"/>
        <v/>
      </c>
    </row>
    <row r="413" customHeight="1" spans="1:28">
      <c r="A413" s="14">
        <v>413</v>
      </c>
      <c r="B413" s="15" t="str">
        <f>IFERROR(IF([2]对账明细接口!$B$413=0,"",[2]对账明细接口!$B$413),"")</f>
        <v/>
      </c>
      <c r="C413" s="16" t="str">
        <f>IFERROR(IF([2]对账明细接口!$C$413=0,"",[2]对账明细接口!$C$413),"")</f>
        <v/>
      </c>
      <c r="D413" s="16" t="str">
        <f>IFERROR(IF([2]对账明细接口!$D$413=0,"",[2]对账明细接口!$D$413),"")</f>
        <v/>
      </c>
      <c r="E413" s="16" t="str">
        <f>IFERROR(IF([2]对账明细接口!$E$413=0,"",[2]对账明细接口!$E$413),"")</f>
        <v/>
      </c>
      <c r="F413" s="16" t="str">
        <f>IFERROR(IF([2]对账明细接口!$F$413=0,"",[2]对账明细接口!$F$413),"")</f>
        <v/>
      </c>
      <c r="G413" s="16" t="str">
        <f>IFERROR(IF([2]对账明细接口!$G$413=0,"",[2]对账明细接口!$G$413),"")</f>
        <v/>
      </c>
      <c r="H413" s="17" t="str">
        <f>IFERROR(IF([2]对账明细接口!$H$413=0,"",[2]对账明细接口!$H$413),"")</f>
        <v/>
      </c>
      <c r="I413" s="16" t="str">
        <f>IFERROR(IF([2]对账明细接口!$I$413=0,"",[2]对账明细接口!$I$413),"")</f>
        <v/>
      </c>
      <c r="J413" s="18" t="str">
        <f>IFERROR(IF([2]对账明细接口!$J$413=0,"",[2]对账明细接口!$J$413),"")</f>
        <v/>
      </c>
      <c r="K413" s="18" t="str">
        <f>IFERROR(IF([2]对账明细接口!$K$413=0,"",[2]对账明细接口!$K$413),"")</f>
        <v/>
      </c>
      <c r="L413" s="16" t="str">
        <f>IFERROR(IF([2]对账明细接口!$L$413=0,"",[2]对账明细接口!$L$413),"")</f>
        <v/>
      </c>
      <c r="M413" s="16" t="str">
        <f>IFERROR(IF([2]对账明细接口!$M$413=0,"",[2]对账明细接口!$M$413),"")</f>
        <v/>
      </c>
      <c r="N413" s="19">
        <f t="shared" si="36"/>
        <v>0</v>
      </c>
      <c r="O413" s="19">
        <f t="shared" si="37"/>
        <v>165</v>
      </c>
      <c r="S413" s="20" t="str">
        <f>IFERROR(IF([2]对账明细接口!$N413=0,"",[2]对账明细接口!$N413),"")</f>
        <v/>
      </c>
      <c r="T413" s="21" t="str">
        <f>IFERROR(IF([2]对账明细接口!$O413=0,"",[2]对账明细接口!$O413),"")</f>
        <v/>
      </c>
      <c r="U413" s="21" t="str">
        <f>IFERROR(IF([2]对账明细接口!$P413=0,"",[2]对账明细接口!$P413),"")</f>
        <v/>
      </c>
      <c r="V413" s="21" t="str">
        <f>IFERROR(IF([2]对账明细接口!$Q413=0,"",[2]对账明细接口!$Q413),"")</f>
        <v/>
      </c>
      <c r="W413" s="20" t="str">
        <f>IFERROR(IF([2]对账明细接口!$R413=0,"",[2]对账明细接口!$R413),"")</f>
        <v/>
      </c>
      <c r="X413" s="20" t="str">
        <f>IFERROR(IF([2]对账明细接口!$S413=0,"",[2]对账明细接口!$S413),"")</f>
        <v/>
      </c>
      <c r="Y413" s="20" t="str">
        <f t="shared" si="38"/>
        <v/>
      </c>
      <c r="Z413" s="20" t="str">
        <f t="shared" si="39"/>
        <v/>
      </c>
      <c r="AA413" s="20" t="str">
        <f t="shared" si="40"/>
        <v/>
      </c>
      <c r="AB413" s="20" t="str">
        <f t="shared" si="41"/>
        <v/>
      </c>
    </row>
    <row r="414" customHeight="1" spans="1:28">
      <c r="A414" s="14">
        <v>414</v>
      </c>
      <c r="B414" s="15" t="str">
        <f>IFERROR(IF([2]对账明细接口!$B$414=0,"",[2]对账明细接口!$B$414),"")</f>
        <v/>
      </c>
      <c r="C414" s="16" t="str">
        <f>IFERROR(IF([2]对账明细接口!$C$414=0,"",[2]对账明细接口!$C$414),"")</f>
        <v/>
      </c>
      <c r="D414" s="16" t="str">
        <f>IFERROR(IF([2]对账明细接口!$D$414=0,"",[2]对账明细接口!$D$414),"")</f>
        <v/>
      </c>
      <c r="E414" s="16" t="str">
        <f>IFERROR(IF([2]对账明细接口!$E$414=0,"",[2]对账明细接口!$E$414),"")</f>
        <v/>
      </c>
      <c r="F414" s="16" t="str">
        <f>IFERROR(IF([2]对账明细接口!$F$414=0,"",[2]对账明细接口!$F$414),"")</f>
        <v/>
      </c>
      <c r="G414" s="16" t="str">
        <f>IFERROR(IF([2]对账明细接口!$G$414=0,"",[2]对账明细接口!$G$414),"")</f>
        <v/>
      </c>
      <c r="H414" s="17" t="str">
        <f>IFERROR(IF([2]对账明细接口!$H$414=0,"",[2]对账明细接口!$H$414),"")</f>
        <v/>
      </c>
      <c r="I414" s="16" t="str">
        <f>IFERROR(IF([2]对账明细接口!$I$414=0,"",[2]对账明细接口!$I$414),"")</f>
        <v/>
      </c>
      <c r="J414" s="18" t="str">
        <f>IFERROR(IF([2]对账明细接口!$J$414=0,"",[2]对账明细接口!$J$414),"")</f>
        <v/>
      </c>
      <c r="K414" s="18" t="str">
        <f>IFERROR(IF([2]对账明细接口!$K$414=0,"",[2]对账明细接口!$K$414),"")</f>
        <v/>
      </c>
      <c r="L414" s="16" t="str">
        <f>IFERROR(IF([2]对账明细接口!$L$414=0,"",[2]对账明细接口!$L$414),"")</f>
        <v/>
      </c>
      <c r="M414" s="16" t="str">
        <f>IFERROR(IF([2]对账明细接口!$M$414=0,"",[2]对账明细接口!$M$414),"")</f>
        <v/>
      </c>
      <c r="N414" s="19">
        <f t="shared" si="36"/>
        <v>0</v>
      </c>
      <c r="O414" s="19">
        <f t="shared" si="37"/>
        <v>165</v>
      </c>
      <c r="S414" s="20" t="str">
        <f>IFERROR(IF([2]对账明细接口!$N414=0,"",[2]对账明细接口!$N414),"")</f>
        <v/>
      </c>
      <c r="T414" s="21" t="str">
        <f>IFERROR(IF([2]对账明细接口!$O414=0,"",[2]对账明细接口!$O414),"")</f>
        <v/>
      </c>
      <c r="U414" s="21" t="str">
        <f>IFERROR(IF([2]对账明细接口!$P414=0,"",[2]对账明细接口!$P414),"")</f>
        <v/>
      </c>
      <c r="V414" s="21" t="str">
        <f>IFERROR(IF([2]对账明细接口!$Q414=0,"",[2]对账明细接口!$Q414),"")</f>
        <v/>
      </c>
      <c r="W414" s="20" t="str">
        <f>IFERROR(IF([2]对账明细接口!$R414=0,"",[2]对账明细接口!$R414),"")</f>
        <v/>
      </c>
      <c r="X414" s="20" t="str">
        <f>IFERROR(IF([2]对账明细接口!$S414=0,"",[2]对账明细接口!$S414),"")</f>
        <v/>
      </c>
      <c r="Y414" s="20" t="str">
        <f t="shared" si="38"/>
        <v/>
      </c>
      <c r="Z414" s="20" t="str">
        <f t="shared" si="39"/>
        <v/>
      </c>
      <c r="AA414" s="20" t="str">
        <f t="shared" si="40"/>
        <v/>
      </c>
      <c r="AB414" s="20" t="str">
        <f t="shared" si="41"/>
        <v/>
      </c>
    </row>
    <row r="415" customHeight="1" spans="1:28">
      <c r="A415" s="14">
        <v>415</v>
      </c>
      <c r="B415" s="15" t="str">
        <f>IFERROR(IF([2]对账明细接口!$B$415=0,"",[2]对账明细接口!$B$415),"")</f>
        <v/>
      </c>
      <c r="C415" s="16" t="str">
        <f>IFERROR(IF([2]对账明细接口!$C$415=0,"",[2]对账明细接口!$C$415),"")</f>
        <v/>
      </c>
      <c r="D415" s="16" t="str">
        <f>IFERROR(IF([2]对账明细接口!$D$415=0,"",[2]对账明细接口!$D$415),"")</f>
        <v/>
      </c>
      <c r="E415" s="16" t="str">
        <f>IFERROR(IF([2]对账明细接口!$E$415=0,"",[2]对账明细接口!$E$415),"")</f>
        <v/>
      </c>
      <c r="F415" s="16" t="str">
        <f>IFERROR(IF([2]对账明细接口!$F$415=0,"",[2]对账明细接口!$F$415),"")</f>
        <v/>
      </c>
      <c r="G415" s="16" t="str">
        <f>IFERROR(IF([2]对账明细接口!$G$415=0,"",[2]对账明细接口!$G$415),"")</f>
        <v/>
      </c>
      <c r="H415" s="17" t="str">
        <f>IFERROR(IF([2]对账明细接口!$H$415=0,"",[2]对账明细接口!$H$415),"")</f>
        <v/>
      </c>
      <c r="I415" s="16" t="str">
        <f>IFERROR(IF([2]对账明细接口!$I$415=0,"",[2]对账明细接口!$I$415),"")</f>
        <v/>
      </c>
      <c r="J415" s="18" t="str">
        <f>IFERROR(IF([2]对账明细接口!$J$415=0,"",[2]对账明细接口!$J$415),"")</f>
        <v/>
      </c>
      <c r="K415" s="18" t="str">
        <f>IFERROR(IF([2]对账明细接口!$K$415=0,"",[2]对账明细接口!$K$415),"")</f>
        <v/>
      </c>
      <c r="L415" s="16" t="str">
        <f>IFERROR(IF([2]对账明细接口!$L$415=0,"",[2]对账明细接口!$L$415),"")</f>
        <v/>
      </c>
      <c r="M415" s="16" t="str">
        <f>IFERROR(IF([2]对账明细接口!$M$415=0,"",[2]对账明细接口!$M$415),"")</f>
        <v/>
      </c>
      <c r="N415" s="19">
        <f t="shared" si="36"/>
        <v>0</v>
      </c>
      <c r="O415" s="19">
        <f t="shared" si="37"/>
        <v>165</v>
      </c>
      <c r="S415" s="20" t="str">
        <f>IFERROR(IF([2]对账明细接口!$N415=0,"",[2]对账明细接口!$N415),"")</f>
        <v/>
      </c>
      <c r="T415" s="21" t="str">
        <f>IFERROR(IF([2]对账明细接口!$O415=0,"",[2]对账明细接口!$O415),"")</f>
        <v/>
      </c>
      <c r="U415" s="21" t="str">
        <f>IFERROR(IF([2]对账明细接口!$P415=0,"",[2]对账明细接口!$P415),"")</f>
        <v/>
      </c>
      <c r="V415" s="21" t="str">
        <f>IFERROR(IF([2]对账明细接口!$Q415=0,"",[2]对账明细接口!$Q415),"")</f>
        <v/>
      </c>
      <c r="W415" s="20" t="str">
        <f>IFERROR(IF([2]对账明细接口!$R415=0,"",[2]对账明细接口!$R415),"")</f>
        <v/>
      </c>
      <c r="X415" s="20" t="str">
        <f>IFERROR(IF([2]对账明细接口!$S415=0,"",[2]对账明细接口!$S415),"")</f>
        <v/>
      </c>
      <c r="Y415" s="20" t="str">
        <f t="shared" si="38"/>
        <v/>
      </c>
      <c r="Z415" s="20" t="str">
        <f t="shared" si="39"/>
        <v/>
      </c>
      <c r="AA415" s="20" t="str">
        <f t="shared" si="40"/>
        <v/>
      </c>
      <c r="AB415" s="20" t="str">
        <f t="shared" si="41"/>
        <v/>
      </c>
    </row>
    <row r="416" customHeight="1" spans="1:28">
      <c r="A416" s="14">
        <v>416</v>
      </c>
      <c r="B416" s="15" t="str">
        <f>IFERROR(IF([2]对账明细接口!$B$416=0,"",[2]对账明细接口!$B$416),"")</f>
        <v/>
      </c>
      <c r="C416" s="16" t="str">
        <f>IFERROR(IF([2]对账明细接口!$C$416=0,"",[2]对账明细接口!$C$416),"")</f>
        <v/>
      </c>
      <c r="D416" s="16" t="str">
        <f>IFERROR(IF([2]对账明细接口!$D$416=0,"",[2]对账明细接口!$D$416),"")</f>
        <v/>
      </c>
      <c r="E416" s="16" t="str">
        <f>IFERROR(IF([2]对账明细接口!$E$416=0,"",[2]对账明细接口!$E$416),"")</f>
        <v/>
      </c>
      <c r="F416" s="16" t="str">
        <f>IFERROR(IF([2]对账明细接口!$F$416=0,"",[2]对账明细接口!$F$416),"")</f>
        <v/>
      </c>
      <c r="G416" s="16" t="str">
        <f>IFERROR(IF([2]对账明细接口!$G$416=0,"",[2]对账明细接口!$G$416),"")</f>
        <v/>
      </c>
      <c r="H416" s="17" t="str">
        <f>IFERROR(IF([2]对账明细接口!$H$416=0,"",[2]对账明细接口!$H$416),"")</f>
        <v/>
      </c>
      <c r="I416" s="16" t="str">
        <f>IFERROR(IF([2]对账明细接口!$I$416=0,"",[2]对账明细接口!$I$416),"")</f>
        <v/>
      </c>
      <c r="J416" s="18" t="str">
        <f>IFERROR(IF([2]对账明细接口!$J$416=0,"",[2]对账明细接口!$J$416),"")</f>
        <v/>
      </c>
      <c r="K416" s="18" t="str">
        <f>IFERROR(IF([2]对账明细接口!$K$416=0,"",[2]对账明细接口!$K$416),"")</f>
        <v/>
      </c>
      <c r="L416" s="16" t="str">
        <f>IFERROR(IF([2]对账明细接口!$L$416=0,"",[2]对账明细接口!$L$416),"")</f>
        <v/>
      </c>
      <c r="M416" s="16" t="str">
        <f>IFERROR(IF([2]对账明细接口!$M$416=0,"",[2]对账明细接口!$M$416),"")</f>
        <v/>
      </c>
      <c r="N416" s="19">
        <f t="shared" si="36"/>
        <v>0</v>
      </c>
      <c r="O416" s="19">
        <f t="shared" si="37"/>
        <v>165</v>
      </c>
      <c r="S416" s="20" t="str">
        <f>IFERROR(IF([2]对账明细接口!$N416=0,"",[2]对账明细接口!$N416),"")</f>
        <v/>
      </c>
      <c r="T416" s="21" t="str">
        <f>IFERROR(IF([2]对账明细接口!$O416=0,"",[2]对账明细接口!$O416),"")</f>
        <v/>
      </c>
      <c r="U416" s="21" t="str">
        <f>IFERROR(IF([2]对账明细接口!$P416=0,"",[2]对账明细接口!$P416),"")</f>
        <v/>
      </c>
      <c r="V416" s="21" t="str">
        <f>IFERROR(IF([2]对账明细接口!$Q416=0,"",[2]对账明细接口!$Q416),"")</f>
        <v/>
      </c>
      <c r="W416" s="20" t="str">
        <f>IFERROR(IF([2]对账明细接口!$R416=0,"",[2]对账明细接口!$R416),"")</f>
        <v/>
      </c>
      <c r="X416" s="20" t="str">
        <f>IFERROR(IF([2]对账明细接口!$S416=0,"",[2]对账明细接口!$S416),"")</f>
        <v/>
      </c>
      <c r="Y416" s="20" t="str">
        <f t="shared" si="38"/>
        <v/>
      </c>
      <c r="Z416" s="20" t="str">
        <f t="shared" si="39"/>
        <v/>
      </c>
      <c r="AA416" s="20" t="str">
        <f t="shared" si="40"/>
        <v/>
      </c>
      <c r="AB416" s="20" t="str">
        <f t="shared" si="41"/>
        <v/>
      </c>
    </row>
    <row r="417" customHeight="1" spans="1:28">
      <c r="A417" s="14">
        <v>417</v>
      </c>
      <c r="B417" s="15" t="str">
        <f>IFERROR(IF([2]对账明细接口!$B$417=0,"",[2]对账明细接口!$B$417),"")</f>
        <v/>
      </c>
      <c r="C417" s="16" t="str">
        <f>IFERROR(IF([2]对账明细接口!$C$417=0,"",[2]对账明细接口!$C$417),"")</f>
        <v/>
      </c>
      <c r="D417" s="16" t="str">
        <f>IFERROR(IF([2]对账明细接口!$D$417=0,"",[2]对账明细接口!$D$417),"")</f>
        <v/>
      </c>
      <c r="E417" s="16" t="str">
        <f>IFERROR(IF([2]对账明细接口!$E$417=0,"",[2]对账明细接口!$E$417),"")</f>
        <v/>
      </c>
      <c r="F417" s="16" t="str">
        <f>IFERROR(IF([2]对账明细接口!$F$417=0,"",[2]对账明细接口!$F$417),"")</f>
        <v/>
      </c>
      <c r="G417" s="16" t="str">
        <f>IFERROR(IF([2]对账明细接口!$G$417=0,"",[2]对账明细接口!$G$417),"")</f>
        <v/>
      </c>
      <c r="H417" s="17" t="str">
        <f>IFERROR(IF([2]对账明细接口!$H$417=0,"",[2]对账明细接口!$H$417),"")</f>
        <v/>
      </c>
      <c r="I417" s="16" t="str">
        <f>IFERROR(IF([2]对账明细接口!$I$417=0,"",[2]对账明细接口!$I$417),"")</f>
        <v/>
      </c>
      <c r="J417" s="18" t="str">
        <f>IFERROR(IF([2]对账明细接口!$J$417=0,"",[2]对账明细接口!$J$417),"")</f>
        <v/>
      </c>
      <c r="K417" s="18" t="str">
        <f>IFERROR(IF([2]对账明细接口!$K$417=0,"",[2]对账明细接口!$K$417),"")</f>
        <v/>
      </c>
      <c r="L417" s="16" t="str">
        <f>IFERROR(IF([2]对账明细接口!$L$417=0,"",[2]对账明细接口!$L$417),"")</f>
        <v/>
      </c>
      <c r="M417" s="16" t="str">
        <f>IFERROR(IF([2]对账明细接口!$M$417=0,"",[2]对账明细接口!$M$417),"")</f>
        <v/>
      </c>
      <c r="N417" s="19">
        <f t="shared" si="36"/>
        <v>0</v>
      </c>
      <c r="O417" s="19">
        <f t="shared" si="37"/>
        <v>165</v>
      </c>
      <c r="S417" s="20" t="str">
        <f>IFERROR(IF([2]对账明细接口!$N417=0,"",[2]对账明细接口!$N417),"")</f>
        <v/>
      </c>
      <c r="T417" s="21" t="str">
        <f>IFERROR(IF([2]对账明细接口!$O417=0,"",[2]对账明细接口!$O417),"")</f>
        <v/>
      </c>
      <c r="U417" s="21" t="str">
        <f>IFERROR(IF([2]对账明细接口!$P417=0,"",[2]对账明细接口!$P417),"")</f>
        <v/>
      </c>
      <c r="V417" s="21" t="str">
        <f>IFERROR(IF([2]对账明细接口!$Q417=0,"",[2]对账明细接口!$Q417),"")</f>
        <v/>
      </c>
      <c r="W417" s="20" t="str">
        <f>IFERROR(IF([2]对账明细接口!$R417=0,"",[2]对账明细接口!$R417),"")</f>
        <v/>
      </c>
      <c r="X417" s="20" t="str">
        <f>IFERROR(IF([2]对账明细接口!$S417=0,"",[2]对账明细接口!$S417),"")</f>
        <v/>
      </c>
      <c r="Y417" s="20" t="str">
        <f t="shared" si="38"/>
        <v/>
      </c>
      <c r="Z417" s="20" t="str">
        <f t="shared" si="39"/>
        <v/>
      </c>
      <c r="AA417" s="20" t="str">
        <f t="shared" si="40"/>
        <v/>
      </c>
      <c r="AB417" s="20" t="str">
        <f t="shared" si="41"/>
        <v/>
      </c>
    </row>
    <row r="418" customHeight="1" spans="1:28">
      <c r="A418" s="14">
        <v>418</v>
      </c>
      <c r="B418" s="15" t="str">
        <f>IFERROR(IF([2]对账明细接口!$B$418=0,"",[2]对账明细接口!$B$418),"")</f>
        <v/>
      </c>
      <c r="C418" s="16" t="str">
        <f>IFERROR(IF([2]对账明细接口!$C$418=0,"",[2]对账明细接口!$C$418),"")</f>
        <v/>
      </c>
      <c r="D418" s="16" t="str">
        <f>IFERROR(IF([2]对账明细接口!$D$418=0,"",[2]对账明细接口!$D$418),"")</f>
        <v/>
      </c>
      <c r="E418" s="16" t="str">
        <f>IFERROR(IF([2]对账明细接口!$E$418=0,"",[2]对账明细接口!$E$418),"")</f>
        <v/>
      </c>
      <c r="F418" s="16" t="str">
        <f>IFERROR(IF([2]对账明细接口!$F$418=0,"",[2]对账明细接口!$F$418),"")</f>
        <v/>
      </c>
      <c r="G418" s="16" t="str">
        <f>IFERROR(IF([2]对账明细接口!$G$418=0,"",[2]对账明细接口!$G$418),"")</f>
        <v/>
      </c>
      <c r="H418" s="17" t="str">
        <f>IFERROR(IF([2]对账明细接口!$H$418=0,"",[2]对账明细接口!$H$418),"")</f>
        <v/>
      </c>
      <c r="I418" s="16" t="str">
        <f>IFERROR(IF([2]对账明细接口!$I$418=0,"",[2]对账明细接口!$I$418),"")</f>
        <v/>
      </c>
      <c r="J418" s="18" t="str">
        <f>IFERROR(IF([2]对账明细接口!$J$418=0,"",[2]对账明细接口!$J$418),"")</f>
        <v/>
      </c>
      <c r="K418" s="18" t="str">
        <f>IFERROR(IF([2]对账明细接口!$K$418=0,"",[2]对账明细接口!$K$418),"")</f>
        <v/>
      </c>
      <c r="L418" s="16" t="str">
        <f>IFERROR(IF([2]对账明细接口!$L$418=0,"",[2]对账明细接口!$L$418),"")</f>
        <v/>
      </c>
      <c r="M418" s="16" t="str">
        <f>IFERROR(IF([2]对账明细接口!$M$418=0,"",[2]对账明细接口!$M$418),"")</f>
        <v/>
      </c>
      <c r="N418" s="19">
        <f t="shared" si="36"/>
        <v>0</v>
      </c>
      <c r="O418" s="19">
        <f t="shared" si="37"/>
        <v>165</v>
      </c>
      <c r="S418" s="20" t="str">
        <f>IFERROR(IF([2]对账明细接口!$N418=0,"",[2]对账明细接口!$N418),"")</f>
        <v/>
      </c>
      <c r="T418" s="21" t="str">
        <f>IFERROR(IF([2]对账明细接口!$O418=0,"",[2]对账明细接口!$O418),"")</f>
        <v/>
      </c>
      <c r="U418" s="21" t="str">
        <f>IFERROR(IF([2]对账明细接口!$P418=0,"",[2]对账明细接口!$P418),"")</f>
        <v/>
      </c>
      <c r="V418" s="21" t="str">
        <f>IFERROR(IF([2]对账明细接口!$Q418=0,"",[2]对账明细接口!$Q418),"")</f>
        <v/>
      </c>
      <c r="W418" s="20" t="str">
        <f>IFERROR(IF([2]对账明细接口!$R418=0,"",[2]对账明细接口!$R418),"")</f>
        <v/>
      </c>
      <c r="X418" s="20" t="str">
        <f>IFERROR(IF([2]对账明细接口!$S418=0,"",[2]对账明细接口!$S418),"")</f>
        <v/>
      </c>
      <c r="Y418" s="20" t="str">
        <f t="shared" si="38"/>
        <v/>
      </c>
      <c r="Z418" s="20" t="str">
        <f t="shared" si="39"/>
        <v/>
      </c>
      <c r="AA418" s="20" t="str">
        <f t="shared" si="40"/>
        <v/>
      </c>
      <c r="AB418" s="20" t="str">
        <f t="shared" si="41"/>
        <v/>
      </c>
    </row>
    <row r="419" customHeight="1" spans="1:28">
      <c r="A419" s="14">
        <v>419</v>
      </c>
      <c r="B419" s="15" t="str">
        <f>IFERROR(IF([2]对账明细接口!$B$419=0,"",[2]对账明细接口!$B$419),"")</f>
        <v/>
      </c>
      <c r="C419" s="16" t="str">
        <f>IFERROR(IF([2]对账明细接口!$C$419=0,"",[2]对账明细接口!$C$419),"")</f>
        <v/>
      </c>
      <c r="D419" s="16" t="str">
        <f>IFERROR(IF([2]对账明细接口!$D$419=0,"",[2]对账明细接口!$D$419),"")</f>
        <v/>
      </c>
      <c r="E419" s="16" t="str">
        <f>IFERROR(IF([2]对账明细接口!$E$419=0,"",[2]对账明细接口!$E$419),"")</f>
        <v/>
      </c>
      <c r="F419" s="16" t="str">
        <f>IFERROR(IF([2]对账明细接口!$F$419=0,"",[2]对账明细接口!$F$419),"")</f>
        <v/>
      </c>
      <c r="G419" s="16" t="str">
        <f>IFERROR(IF([2]对账明细接口!$G$419=0,"",[2]对账明细接口!$G$419),"")</f>
        <v/>
      </c>
      <c r="H419" s="17" t="str">
        <f>IFERROR(IF([2]对账明细接口!$H$419=0,"",[2]对账明细接口!$H$419),"")</f>
        <v/>
      </c>
      <c r="I419" s="16" t="str">
        <f>IFERROR(IF([2]对账明细接口!$I$419=0,"",[2]对账明细接口!$I$419),"")</f>
        <v/>
      </c>
      <c r="J419" s="18" t="str">
        <f>IFERROR(IF([2]对账明细接口!$J$419=0,"",[2]对账明细接口!$J$419),"")</f>
        <v/>
      </c>
      <c r="K419" s="18" t="str">
        <f>IFERROR(IF([2]对账明细接口!$K$419=0,"",[2]对账明细接口!$K$419),"")</f>
        <v/>
      </c>
      <c r="L419" s="16" t="str">
        <f>IFERROR(IF([2]对账明细接口!$L$419=0,"",[2]对账明细接口!$L$419),"")</f>
        <v/>
      </c>
      <c r="M419" s="16" t="str">
        <f>IFERROR(IF([2]对账明细接口!$M$419=0,"",[2]对账明细接口!$M$419),"")</f>
        <v/>
      </c>
      <c r="N419" s="19">
        <f t="shared" si="36"/>
        <v>0</v>
      </c>
      <c r="O419" s="19">
        <f t="shared" si="37"/>
        <v>165</v>
      </c>
      <c r="S419" s="20" t="str">
        <f>IFERROR(IF([2]对账明细接口!$N419=0,"",[2]对账明细接口!$N419),"")</f>
        <v/>
      </c>
      <c r="T419" s="21" t="str">
        <f>IFERROR(IF([2]对账明细接口!$O419=0,"",[2]对账明细接口!$O419),"")</f>
        <v/>
      </c>
      <c r="U419" s="21" t="str">
        <f>IFERROR(IF([2]对账明细接口!$P419=0,"",[2]对账明细接口!$P419),"")</f>
        <v/>
      </c>
      <c r="V419" s="21" t="str">
        <f>IFERROR(IF([2]对账明细接口!$Q419=0,"",[2]对账明细接口!$Q419),"")</f>
        <v/>
      </c>
      <c r="W419" s="20" t="str">
        <f>IFERROR(IF([2]对账明细接口!$R419=0,"",[2]对账明细接口!$R419),"")</f>
        <v/>
      </c>
      <c r="X419" s="20" t="str">
        <f>IFERROR(IF([2]对账明细接口!$S419=0,"",[2]对账明细接口!$S419),"")</f>
        <v/>
      </c>
      <c r="Y419" s="20" t="str">
        <f t="shared" si="38"/>
        <v/>
      </c>
      <c r="Z419" s="20" t="str">
        <f t="shared" si="39"/>
        <v/>
      </c>
      <c r="AA419" s="20" t="str">
        <f t="shared" si="40"/>
        <v/>
      </c>
      <c r="AB419" s="20" t="str">
        <f t="shared" si="41"/>
        <v/>
      </c>
    </row>
    <row r="420" customHeight="1" spans="1:28">
      <c r="A420" s="14">
        <v>420</v>
      </c>
      <c r="B420" s="15" t="str">
        <f>IFERROR(IF([2]对账明细接口!$B$420=0,"",[2]对账明细接口!$B$420),"")</f>
        <v/>
      </c>
      <c r="C420" s="16" t="str">
        <f>IFERROR(IF([2]对账明细接口!$C$420=0,"",[2]对账明细接口!$C$420),"")</f>
        <v/>
      </c>
      <c r="D420" s="16" t="str">
        <f>IFERROR(IF([2]对账明细接口!$D$420=0,"",[2]对账明细接口!$D$420),"")</f>
        <v/>
      </c>
      <c r="E420" s="16" t="str">
        <f>IFERROR(IF([2]对账明细接口!$E$420=0,"",[2]对账明细接口!$E$420),"")</f>
        <v/>
      </c>
      <c r="F420" s="16" t="str">
        <f>IFERROR(IF([2]对账明细接口!$F$420=0,"",[2]对账明细接口!$F$420),"")</f>
        <v/>
      </c>
      <c r="G420" s="16" t="str">
        <f>IFERROR(IF([2]对账明细接口!$G$420=0,"",[2]对账明细接口!$G$420),"")</f>
        <v/>
      </c>
      <c r="H420" s="17" t="str">
        <f>IFERROR(IF([2]对账明细接口!$H$420=0,"",[2]对账明细接口!$H$420),"")</f>
        <v/>
      </c>
      <c r="I420" s="16" t="str">
        <f>IFERROR(IF([2]对账明细接口!$I$420=0,"",[2]对账明细接口!$I$420),"")</f>
        <v/>
      </c>
      <c r="J420" s="18" t="str">
        <f>IFERROR(IF([2]对账明细接口!$J$420=0,"",[2]对账明细接口!$J$420),"")</f>
        <v/>
      </c>
      <c r="K420" s="18" t="str">
        <f>IFERROR(IF([2]对账明细接口!$K$420=0,"",[2]对账明细接口!$K$420),"")</f>
        <v/>
      </c>
      <c r="L420" s="16" t="str">
        <f>IFERROR(IF([2]对账明细接口!$L$420=0,"",[2]对账明细接口!$L$420),"")</f>
        <v/>
      </c>
      <c r="M420" s="16" t="str">
        <f>IFERROR(IF([2]对账明细接口!$M$420=0,"",[2]对账明细接口!$M$420),"")</f>
        <v/>
      </c>
      <c r="N420" s="19">
        <f t="shared" si="36"/>
        <v>0</v>
      </c>
      <c r="O420" s="19">
        <f t="shared" si="37"/>
        <v>165</v>
      </c>
      <c r="S420" s="20" t="str">
        <f>IFERROR(IF([2]对账明细接口!$N420=0,"",[2]对账明细接口!$N420),"")</f>
        <v/>
      </c>
      <c r="T420" s="21" t="str">
        <f>IFERROR(IF([2]对账明细接口!$O420=0,"",[2]对账明细接口!$O420),"")</f>
        <v/>
      </c>
      <c r="U420" s="21" t="str">
        <f>IFERROR(IF([2]对账明细接口!$P420=0,"",[2]对账明细接口!$P420),"")</f>
        <v/>
      </c>
      <c r="V420" s="21" t="str">
        <f>IFERROR(IF([2]对账明细接口!$Q420=0,"",[2]对账明细接口!$Q420),"")</f>
        <v/>
      </c>
      <c r="W420" s="20" t="str">
        <f>IFERROR(IF([2]对账明细接口!$R420=0,"",[2]对账明细接口!$R420),"")</f>
        <v/>
      </c>
      <c r="X420" s="20" t="str">
        <f>IFERROR(IF([2]对账明细接口!$S420=0,"",[2]对账明细接口!$S420),"")</f>
        <v/>
      </c>
      <c r="Y420" s="20" t="str">
        <f t="shared" si="38"/>
        <v/>
      </c>
      <c r="Z420" s="20" t="str">
        <f t="shared" si="39"/>
        <v/>
      </c>
      <c r="AA420" s="20" t="str">
        <f t="shared" si="40"/>
        <v/>
      </c>
      <c r="AB420" s="20" t="str">
        <f t="shared" si="41"/>
        <v/>
      </c>
    </row>
    <row r="421" customHeight="1" spans="1:28">
      <c r="A421" s="14">
        <v>421</v>
      </c>
      <c r="B421" s="15" t="str">
        <f>IFERROR(IF([2]对账明细接口!$B$421=0,"",[2]对账明细接口!$B$421),"")</f>
        <v/>
      </c>
      <c r="C421" s="16" t="str">
        <f>IFERROR(IF([2]对账明细接口!$C$421=0,"",[2]对账明细接口!$C$421),"")</f>
        <v/>
      </c>
      <c r="D421" s="16" t="str">
        <f>IFERROR(IF([2]对账明细接口!$D$421=0,"",[2]对账明细接口!$D$421),"")</f>
        <v/>
      </c>
      <c r="E421" s="16" t="str">
        <f>IFERROR(IF([2]对账明细接口!$E$421=0,"",[2]对账明细接口!$E$421),"")</f>
        <v/>
      </c>
      <c r="F421" s="16" t="str">
        <f>IFERROR(IF([2]对账明细接口!$F$421=0,"",[2]对账明细接口!$F$421),"")</f>
        <v/>
      </c>
      <c r="G421" s="16" t="str">
        <f>IFERROR(IF([2]对账明细接口!$G$421=0,"",[2]对账明细接口!$G$421),"")</f>
        <v/>
      </c>
      <c r="H421" s="17" t="str">
        <f>IFERROR(IF([2]对账明细接口!$H$421=0,"",[2]对账明细接口!$H$421),"")</f>
        <v/>
      </c>
      <c r="I421" s="16" t="str">
        <f>IFERROR(IF([2]对账明细接口!$I$421=0,"",[2]对账明细接口!$I$421),"")</f>
        <v/>
      </c>
      <c r="J421" s="18" t="str">
        <f>IFERROR(IF([2]对账明细接口!$J$421=0,"",[2]对账明细接口!$J$421),"")</f>
        <v/>
      </c>
      <c r="K421" s="18" t="str">
        <f>IFERROR(IF([2]对账明细接口!$K$421=0,"",[2]对账明细接口!$K$421),"")</f>
        <v/>
      </c>
      <c r="L421" s="16" t="str">
        <f>IFERROR(IF([2]对账明细接口!$L$421=0,"",[2]对账明细接口!$L$421),"")</f>
        <v/>
      </c>
      <c r="M421" s="16" t="str">
        <f>IFERROR(IF([2]对账明细接口!$M$421=0,"",[2]对账明细接口!$M$421),"")</f>
        <v/>
      </c>
      <c r="N421" s="19">
        <f t="shared" si="36"/>
        <v>0</v>
      </c>
      <c r="O421" s="19">
        <f t="shared" si="37"/>
        <v>165</v>
      </c>
      <c r="S421" s="20" t="str">
        <f>IFERROR(IF([2]对账明细接口!$N421=0,"",[2]对账明细接口!$N421),"")</f>
        <v/>
      </c>
      <c r="T421" s="21" t="str">
        <f>IFERROR(IF([2]对账明细接口!$O421=0,"",[2]对账明细接口!$O421),"")</f>
        <v/>
      </c>
      <c r="U421" s="21" t="str">
        <f>IFERROR(IF([2]对账明细接口!$P421=0,"",[2]对账明细接口!$P421),"")</f>
        <v/>
      </c>
      <c r="V421" s="21" t="str">
        <f>IFERROR(IF([2]对账明细接口!$Q421=0,"",[2]对账明细接口!$Q421),"")</f>
        <v/>
      </c>
      <c r="W421" s="20" t="str">
        <f>IFERROR(IF([2]对账明细接口!$R421=0,"",[2]对账明细接口!$R421),"")</f>
        <v/>
      </c>
      <c r="X421" s="20" t="str">
        <f>IFERROR(IF([2]对账明细接口!$S421=0,"",[2]对账明细接口!$S421),"")</f>
        <v/>
      </c>
      <c r="Y421" s="20" t="str">
        <f t="shared" si="38"/>
        <v/>
      </c>
      <c r="Z421" s="20" t="str">
        <f t="shared" si="39"/>
        <v/>
      </c>
      <c r="AA421" s="20" t="str">
        <f t="shared" si="40"/>
        <v/>
      </c>
      <c r="AB421" s="20" t="str">
        <f t="shared" si="41"/>
        <v/>
      </c>
    </row>
    <row r="422" customHeight="1" spans="1:28">
      <c r="A422" s="14">
        <v>422</v>
      </c>
      <c r="B422" s="15" t="str">
        <f>IFERROR(IF([2]对账明细接口!$B$422=0,"",[2]对账明细接口!$B$422),"")</f>
        <v/>
      </c>
      <c r="C422" s="16" t="str">
        <f>IFERROR(IF([2]对账明细接口!$C$422=0,"",[2]对账明细接口!$C$422),"")</f>
        <v/>
      </c>
      <c r="D422" s="16" t="str">
        <f>IFERROR(IF([2]对账明细接口!$D$422=0,"",[2]对账明细接口!$D$422),"")</f>
        <v/>
      </c>
      <c r="E422" s="16" t="str">
        <f>IFERROR(IF([2]对账明细接口!$E$422=0,"",[2]对账明细接口!$E$422),"")</f>
        <v/>
      </c>
      <c r="F422" s="16" t="str">
        <f>IFERROR(IF([2]对账明细接口!$F$422=0,"",[2]对账明细接口!$F$422),"")</f>
        <v/>
      </c>
      <c r="G422" s="16" t="str">
        <f>IFERROR(IF([2]对账明细接口!$G$422=0,"",[2]对账明细接口!$G$422),"")</f>
        <v/>
      </c>
      <c r="H422" s="17" t="str">
        <f>IFERROR(IF([2]对账明细接口!$H$422=0,"",[2]对账明细接口!$H$422),"")</f>
        <v/>
      </c>
      <c r="I422" s="16" t="str">
        <f>IFERROR(IF([2]对账明细接口!$I$422=0,"",[2]对账明细接口!$I$422),"")</f>
        <v/>
      </c>
      <c r="J422" s="18" t="str">
        <f>IFERROR(IF([2]对账明细接口!$J$422=0,"",[2]对账明细接口!$J$422),"")</f>
        <v/>
      </c>
      <c r="K422" s="18" t="str">
        <f>IFERROR(IF([2]对账明细接口!$K$422=0,"",[2]对账明细接口!$K$422),"")</f>
        <v/>
      </c>
      <c r="L422" s="16" t="str">
        <f>IFERROR(IF([2]对账明细接口!$L$422=0,"",[2]对账明细接口!$L$422),"")</f>
        <v/>
      </c>
      <c r="M422" s="16" t="str">
        <f>IFERROR(IF([2]对账明细接口!$M$422=0,"",[2]对账明细接口!$M$422),"")</f>
        <v/>
      </c>
      <c r="N422" s="19">
        <f t="shared" si="36"/>
        <v>0</v>
      </c>
      <c r="O422" s="19">
        <f t="shared" si="37"/>
        <v>165</v>
      </c>
      <c r="S422" s="20" t="str">
        <f>IFERROR(IF([2]对账明细接口!$N422=0,"",[2]对账明细接口!$N422),"")</f>
        <v/>
      </c>
      <c r="T422" s="21" t="str">
        <f>IFERROR(IF([2]对账明细接口!$O422=0,"",[2]对账明细接口!$O422),"")</f>
        <v/>
      </c>
      <c r="U422" s="21" t="str">
        <f>IFERROR(IF([2]对账明细接口!$P422=0,"",[2]对账明细接口!$P422),"")</f>
        <v/>
      </c>
      <c r="V422" s="21" t="str">
        <f>IFERROR(IF([2]对账明细接口!$Q422=0,"",[2]对账明细接口!$Q422),"")</f>
        <v/>
      </c>
      <c r="W422" s="20" t="str">
        <f>IFERROR(IF([2]对账明细接口!$R422=0,"",[2]对账明细接口!$R422),"")</f>
        <v/>
      </c>
      <c r="X422" s="20" t="str">
        <f>IFERROR(IF([2]对账明细接口!$S422=0,"",[2]对账明细接口!$S422),"")</f>
        <v/>
      </c>
      <c r="Y422" s="20" t="str">
        <f t="shared" si="38"/>
        <v/>
      </c>
      <c r="Z422" s="20" t="str">
        <f t="shared" si="39"/>
        <v/>
      </c>
      <c r="AA422" s="20" t="str">
        <f t="shared" si="40"/>
        <v/>
      </c>
      <c r="AB422" s="20" t="str">
        <f t="shared" si="41"/>
        <v/>
      </c>
    </row>
    <row r="423" customHeight="1" spans="1:28">
      <c r="A423" s="14">
        <v>423</v>
      </c>
      <c r="B423" s="15" t="str">
        <f>IFERROR(IF([2]对账明细接口!$B$423=0,"",[2]对账明细接口!$B$423),"")</f>
        <v/>
      </c>
      <c r="C423" s="16" t="str">
        <f>IFERROR(IF([2]对账明细接口!$C$423=0,"",[2]对账明细接口!$C$423),"")</f>
        <v/>
      </c>
      <c r="D423" s="16" t="str">
        <f>IFERROR(IF([2]对账明细接口!$D$423=0,"",[2]对账明细接口!$D$423),"")</f>
        <v/>
      </c>
      <c r="E423" s="16" t="str">
        <f>IFERROR(IF([2]对账明细接口!$E$423=0,"",[2]对账明细接口!$E$423),"")</f>
        <v/>
      </c>
      <c r="F423" s="16" t="str">
        <f>IFERROR(IF([2]对账明细接口!$F$423=0,"",[2]对账明细接口!$F$423),"")</f>
        <v/>
      </c>
      <c r="G423" s="16" t="str">
        <f>IFERROR(IF([2]对账明细接口!$G$423=0,"",[2]对账明细接口!$G$423),"")</f>
        <v/>
      </c>
      <c r="H423" s="17" t="str">
        <f>IFERROR(IF([2]对账明细接口!$H$423=0,"",[2]对账明细接口!$H$423),"")</f>
        <v/>
      </c>
      <c r="I423" s="16" t="str">
        <f>IFERROR(IF([2]对账明细接口!$I$423=0,"",[2]对账明细接口!$I$423),"")</f>
        <v/>
      </c>
      <c r="J423" s="18" t="str">
        <f>IFERROR(IF([2]对账明细接口!$J$423=0,"",[2]对账明细接口!$J$423),"")</f>
        <v/>
      </c>
      <c r="K423" s="18" t="str">
        <f>IFERROR(IF([2]对账明细接口!$K$423=0,"",[2]对账明细接口!$K$423),"")</f>
        <v/>
      </c>
      <c r="L423" s="16" t="str">
        <f>IFERROR(IF([2]对账明细接口!$L$423=0,"",[2]对账明细接口!$L$423),"")</f>
        <v/>
      </c>
      <c r="M423" s="16" t="str">
        <f>IFERROR(IF([2]对账明细接口!$M$423=0,"",[2]对账明细接口!$M$423),"")</f>
        <v/>
      </c>
      <c r="N423" s="19">
        <f t="shared" si="36"/>
        <v>0</v>
      </c>
      <c r="O423" s="19">
        <f t="shared" si="37"/>
        <v>165</v>
      </c>
      <c r="S423" s="20" t="str">
        <f>IFERROR(IF([2]对账明细接口!$N423=0,"",[2]对账明细接口!$N423),"")</f>
        <v/>
      </c>
      <c r="T423" s="21" t="str">
        <f>IFERROR(IF([2]对账明细接口!$O423=0,"",[2]对账明细接口!$O423),"")</f>
        <v/>
      </c>
      <c r="U423" s="21" t="str">
        <f>IFERROR(IF([2]对账明细接口!$P423=0,"",[2]对账明细接口!$P423),"")</f>
        <v/>
      </c>
      <c r="V423" s="21" t="str">
        <f>IFERROR(IF([2]对账明细接口!$Q423=0,"",[2]对账明细接口!$Q423),"")</f>
        <v/>
      </c>
      <c r="W423" s="20" t="str">
        <f>IFERROR(IF([2]对账明细接口!$R423=0,"",[2]对账明细接口!$R423),"")</f>
        <v/>
      </c>
      <c r="X423" s="20" t="str">
        <f>IFERROR(IF([2]对账明细接口!$S423=0,"",[2]对账明细接口!$S423),"")</f>
        <v/>
      </c>
      <c r="Y423" s="20" t="str">
        <f t="shared" si="38"/>
        <v/>
      </c>
      <c r="Z423" s="20" t="str">
        <f t="shared" si="39"/>
        <v/>
      </c>
      <c r="AA423" s="20" t="str">
        <f t="shared" si="40"/>
        <v/>
      </c>
      <c r="AB423" s="20" t="str">
        <f t="shared" si="41"/>
        <v/>
      </c>
    </row>
    <row r="424" customHeight="1" spans="1:28">
      <c r="A424" s="14">
        <v>424</v>
      </c>
      <c r="B424" s="15" t="str">
        <f>IFERROR(IF([2]对账明细接口!$B$424=0,"",[2]对账明细接口!$B$424),"")</f>
        <v/>
      </c>
      <c r="C424" s="16" t="str">
        <f>IFERROR(IF([2]对账明细接口!$C$424=0,"",[2]对账明细接口!$C$424),"")</f>
        <v/>
      </c>
      <c r="D424" s="16" t="str">
        <f>IFERROR(IF([2]对账明细接口!$D$424=0,"",[2]对账明细接口!$D$424),"")</f>
        <v/>
      </c>
      <c r="E424" s="16" t="str">
        <f>IFERROR(IF([2]对账明细接口!$E$424=0,"",[2]对账明细接口!$E$424),"")</f>
        <v/>
      </c>
      <c r="F424" s="16" t="str">
        <f>IFERROR(IF([2]对账明细接口!$F$424=0,"",[2]对账明细接口!$F$424),"")</f>
        <v/>
      </c>
      <c r="G424" s="16" t="str">
        <f>IFERROR(IF([2]对账明细接口!$G$424=0,"",[2]对账明细接口!$G$424),"")</f>
        <v/>
      </c>
      <c r="H424" s="17" t="str">
        <f>IFERROR(IF([2]对账明细接口!$H$424=0,"",[2]对账明细接口!$H$424),"")</f>
        <v/>
      </c>
      <c r="I424" s="16" t="str">
        <f>IFERROR(IF([2]对账明细接口!$I$424=0,"",[2]对账明细接口!$I$424),"")</f>
        <v/>
      </c>
      <c r="J424" s="18" t="str">
        <f>IFERROR(IF([2]对账明细接口!$J$424=0,"",[2]对账明细接口!$J$424),"")</f>
        <v/>
      </c>
      <c r="K424" s="18" t="str">
        <f>IFERROR(IF([2]对账明细接口!$K$424=0,"",[2]对账明细接口!$K$424),"")</f>
        <v/>
      </c>
      <c r="L424" s="16" t="str">
        <f>IFERROR(IF([2]对账明细接口!$L$424=0,"",[2]对账明细接口!$L$424),"")</f>
        <v/>
      </c>
      <c r="M424" s="16" t="str">
        <f>IFERROR(IF([2]对账明细接口!$M$424=0,"",[2]对账明细接口!$M$424),"")</f>
        <v/>
      </c>
      <c r="N424" s="19">
        <f t="shared" si="36"/>
        <v>0</v>
      </c>
      <c r="O424" s="19">
        <f t="shared" si="37"/>
        <v>165</v>
      </c>
      <c r="S424" s="20" t="str">
        <f>IFERROR(IF([2]对账明细接口!$N424=0,"",[2]对账明细接口!$N424),"")</f>
        <v/>
      </c>
      <c r="T424" s="21" t="str">
        <f>IFERROR(IF([2]对账明细接口!$O424=0,"",[2]对账明细接口!$O424),"")</f>
        <v/>
      </c>
      <c r="U424" s="21" t="str">
        <f>IFERROR(IF([2]对账明细接口!$P424=0,"",[2]对账明细接口!$P424),"")</f>
        <v/>
      </c>
      <c r="V424" s="21" t="str">
        <f>IFERROR(IF([2]对账明细接口!$Q424=0,"",[2]对账明细接口!$Q424),"")</f>
        <v/>
      </c>
      <c r="W424" s="20" t="str">
        <f>IFERROR(IF([2]对账明细接口!$R424=0,"",[2]对账明细接口!$R424),"")</f>
        <v/>
      </c>
      <c r="X424" s="20" t="str">
        <f>IFERROR(IF([2]对账明细接口!$S424=0,"",[2]对账明细接口!$S424),"")</f>
        <v/>
      </c>
      <c r="Y424" s="20" t="str">
        <f t="shared" si="38"/>
        <v/>
      </c>
      <c r="Z424" s="20" t="str">
        <f t="shared" si="39"/>
        <v/>
      </c>
      <c r="AA424" s="20" t="str">
        <f t="shared" si="40"/>
        <v/>
      </c>
      <c r="AB424" s="20" t="str">
        <f t="shared" si="41"/>
        <v/>
      </c>
    </row>
    <row r="425" customHeight="1" spans="1:28">
      <c r="A425" s="14">
        <v>425</v>
      </c>
      <c r="B425" s="15" t="str">
        <f>IFERROR(IF([2]对账明细接口!$B$425=0,"",[2]对账明细接口!$B$425),"")</f>
        <v/>
      </c>
      <c r="C425" s="16" t="str">
        <f>IFERROR(IF([2]对账明细接口!$C$425=0,"",[2]对账明细接口!$C$425),"")</f>
        <v/>
      </c>
      <c r="D425" s="16" t="str">
        <f>IFERROR(IF([2]对账明细接口!$D$425=0,"",[2]对账明细接口!$D$425),"")</f>
        <v/>
      </c>
      <c r="E425" s="16" t="str">
        <f>IFERROR(IF([2]对账明细接口!$E$425=0,"",[2]对账明细接口!$E$425),"")</f>
        <v/>
      </c>
      <c r="F425" s="16" t="str">
        <f>IFERROR(IF([2]对账明细接口!$F$425=0,"",[2]对账明细接口!$F$425),"")</f>
        <v/>
      </c>
      <c r="G425" s="16" t="str">
        <f>IFERROR(IF([2]对账明细接口!$G$425=0,"",[2]对账明细接口!$G$425),"")</f>
        <v/>
      </c>
      <c r="H425" s="17" t="str">
        <f>IFERROR(IF([2]对账明细接口!$H$425=0,"",[2]对账明细接口!$H$425),"")</f>
        <v/>
      </c>
      <c r="I425" s="16" t="str">
        <f>IFERROR(IF([2]对账明细接口!$I$425=0,"",[2]对账明细接口!$I$425),"")</f>
        <v/>
      </c>
      <c r="J425" s="18" t="str">
        <f>IFERROR(IF([2]对账明细接口!$J$425=0,"",[2]对账明细接口!$J$425),"")</f>
        <v/>
      </c>
      <c r="K425" s="18" t="str">
        <f>IFERROR(IF([2]对账明细接口!$K$425=0,"",[2]对账明细接口!$K$425),"")</f>
        <v/>
      </c>
      <c r="L425" s="16" t="str">
        <f>IFERROR(IF([2]对账明细接口!$L$425=0,"",[2]对账明细接口!$L$425),"")</f>
        <v/>
      </c>
      <c r="M425" s="16" t="str">
        <f>IFERROR(IF([2]对账明细接口!$M$425=0,"",[2]对账明细接口!$M$425),"")</f>
        <v/>
      </c>
      <c r="N425" s="19">
        <f t="shared" si="36"/>
        <v>0</v>
      </c>
      <c r="O425" s="19">
        <f t="shared" si="37"/>
        <v>165</v>
      </c>
      <c r="S425" s="20" t="str">
        <f>IFERROR(IF([2]对账明细接口!$N425=0,"",[2]对账明细接口!$N425),"")</f>
        <v/>
      </c>
      <c r="T425" s="21" t="str">
        <f>IFERROR(IF([2]对账明细接口!$O425=0,"",[2]对账明细接口!$O425),"")</f>
        <v/>
      </c>
      <c r="U425" s="21" t="str">
        <f>IFERROR(IF([2]对账明细接口!$P425=0,"",[2]对账明细接口!$P425),"")</f>
        <v/>
      </c>
      <c r="V425" s="21" t="str">
        <f>IFERROR(IF([2]对账明细接口!$Q425=0,"",[2]对账明细接口!$Q425),"")</f>
        <v/>
      </c>
      <c r="W425" s="20" t="str">
        <f>IFERROR(IF([2]对账明细接口!$R425=0,"",[2]对账明细接口!$R425),"")</f>
        <v/>
      </c>
      <c r="X425" s="20" t="str">
        <f>IFERROR(IF([2]对账明细接口!$S425=0,"",[2]对账明细接口!$S425),"")</f>
        <v/>
      </c>
      <c r="Y425" s="20" t="str">
        <f t="shared" si="38"/>
        <v/>
      </c>
      <c r="Z425" s="20" t="str">
        <f t="shared" si="39"/>
        <v/>
      </c>
      <c r="AA425" s="20" t="str">
        <f t="shared" si="40"/>
        <v/>
      </c>
      <c r="AB425" s="20" t="str">
        <f t="shared" si="41"/>
        <v/>
      </c>
    </row>
    <row r="426" customHeight="1" spans="1:28">
      <c r="A426" s="14">
        <v>426</v>
      </c>
      <c r="B426" s="15" t="str">
        <f>IFERROR(IF([2]对账明细接口!$B$426=0,"",[2]对账明细接口!$B$426),"")</f>
        <v/>
      </c>
      <c r="C426" s="16" t="str">
        <f>IFERROR(IF([2]对账明细接口!$C$426=0,"",[2]对账明细接口!$C$426),"")</f>
        <v/>
      </c>
      <c r="D426" s="16" t="str">
        <f>IFERROR(IF([2]对账明细接口!$D$426=0,"",[2]对账明细接口!$D$426),"")</f>
        <v/>
      </c>
      <c r="E426" s="16" t="str">
        <f>IFERROR(IF([2]对账明细接口!$E$426=0,"",[2]对账明细接口!$E$426),"")</f>
        <v/>
      </c>
      <c r="F426" s="16" t="str">
        <f>IFERROR(IF([2]对账明细接口!$F$426=0,"",[2]对账明细接口!$F$426),"")</f>
        <v/>
      </c>
      <c r="G426" s="16" t="str">
        <f>IFERROR(IF([2]对账明细接口!$G$426=0,"",[2]对账明细接口!$G$426),"")</f>
        <v/>
      </c>
      <c r="H426" s="17" t="str">
        <f>IFERROR(IF([2]对账明细接口!$H$426=0,"",[2]对账明细接口!$H$426),"")</f>
        <v/>
      </c>
      <c r="I426" s="16" t="str">
        <f>IFERROR(IF([2]对账明细接口!$I$426=0,"",[2]对账明细接口!$I$426),"")</f>
        <v/>
      </c>
      <c r="J426" s="18" t="str">
        <f>IFERROR(IF([2]对账明细接口!$J$426=0,"",[2]对账明细接口!$J$426),"")</f>
        <v/>
      </c>
      <c r="K426" s="18" t="str">
        <f>IFERROR(IF([2]对账明细接口!$K$426=0,"",[2]对账明细接口!$K$426),"")</f>
        <v/>
      </c>
      <c r="L426" s="16" t="str">
        <f>IFERROR(IF([2]对账明细接口!$L$426=0,"",[2]对账明细接口!$L$426),"")</f>
        <v/>
      </c>
      <c r="M426" s="16" t="str">
        <f>IFERROR(IF([2]对账明细接口!$M$426=0,"",[2]对账明细接口!$M$426),"")</f>
        <v/>
      </c>
      <c r="N426" s="19">
        <f t="shared" si="36"/>
        <v>0</v>
      </c>
      <c r="O426" s="19">
        <f t="shared" si="37"/>
        <v>165</v>
      </c>
      <c r="S426" s="20" t="str">
        <f>IFERROR(IF([2]对账明细接口!$N426=0,"",[2]对账明细接口!$N426),"")</f>
        <v/>
      </c>
      <c r="T426" s="21" t="str">
        <f>IFERROR(IF([2]对账明细接口!$O426=0,"",[2]对账明细接口!$O426),"")</f>
        <v/>
      </c>
      <c r="U426" s="21" t="str">
        <f>IFERROR(IF([2]对账明细接口!$P426=0,"",[2]对账明细接口!$P426),"")</f>
        <v/>
      </c>
      <c r="V426" s="21" t="str">
        <f>IFERROR(IF([2]对账明细接口!$Q426=0,"",[2]对账明细接口!$Q426),"")</f>
        <v/>
      </c>
      <c r="W426" s="20" t="str">
        <f>IFERROR(IF([2]对账明细接口!$R426=0,"",[2]对账明细接口!$R426),"")</f>
        <v/>
      </c>
      <c r="X426" s="20" t="str">
        <f>IFERROR(IF([2]对账明细接口!$S426=0,"",[2]对账明细接口!$S426),"")</f>
        <v/>
      </c>
      <c r="Y426" s="20" t="str">
        <f t="shared" si="38"/>
        <v/>
      </c>
      <c r="Z426" s="20" t="str">
        <f t="shared" si="39"/>
        <v/>
      </c>
      <c r="AA426" s="20" t="str">
        <f t="shared" si="40"/>
        <v/>
      </c>
      <c r="AB426" s="20" t="str">
        <f t="shared" si="41"/>
        <v/>
      </c>
    </row>
    <row r="427" customHeight="1" spans="1:28">
      <c r="A427" s="14">
        <v>427</v>
      </c>
      <c r="B427" s="15" t="str">
        <f>IFERROR(IF([2]对账明细接口!$B$427=0,"",[2]对账明细接口!$B$427),"")</f>
        <v/>
      </c>
      <c r="C427" s="16" t="str">
        <f>IFERROR(IF([2]对账明细接口!$C$427=0,"",[2]对账明细接口!$C$427),"")</f>
        <v/>
      </c>
      <c r="D427" s="16" t="str">
        <f>IFERROR(IF([2]对账明细接口!$D$427=0,"",[2]对账明细接口!$D$427),"")</f>
        <v/>
      </c>
      <c r="E427" s="16" t="str">
        <f>IFERROR(IF([2]对账明细接口!$E$427=0,"",[2]对账明细接口!$E$427),"")</f>
        <v/>
      </c>
      <c r="F427" s="16" t="str">
        <f>IFERROR(IF([2]对账明细接口!$F$427=0,"",[2]对账明细接口!$F$427),"")</f>
        <v/>
      </c>
      <c r="G427" s="16" t="str">
        <f>IFERROR(IF([2]对账明细接口!$G$427=0,"",[2]对账明细接口!$G$427),"")</f>
        <v/>
      </c>
      <c r="H427" s="17" t="str">
        <f>IFERROR(IF([2]对账明细接口!$H$427=0,"",[2]对账明细接口!$H$427),"")</f>
        <v/>
      </c>
      <c r="I427" s="16" t="str">
        <f>IFERROR(IF([2]对账明细接口!$I$427=0,"",[2]对账明细接口!$I$427),"")</f>
        <v/>
      </c>
      <c r="J427" s="18" t="str">
        <f>IFERROR(IF([2]对账明细接口!$J$427=0,"",[2]对账明细接口!$J$427),"")</f>
        <v/>
      </c>
      <c r="K427" s="18" t="str">
        <f>IFERROR(IF([2]对账明细接口!$K$427=0,"",[2]对账明细接口!$K$427),"")</f>
        <v/>
      </c>
      <c r="L427" s="16" t="str">
        <f>IFERROR(IF([2]对账明细接口!$L$427=0,"",[2]对账明细接口!$L$427),"")</f>
        <v/>
      </c>
      <c r="M427" s="16" t="str">
        <f>IFERROR(IF([2]对账明细接口!$M$427=0,"",[2]对账明细接口!$M$427),"")</f>
        <v/>
      </c>
      <c r="N427" s="19">
        <f t="shared" si="36"/>
        <v>0</v>
      </c>
      <c r="O427" s="19">
        <f t="shared" si="37"/>
        <v>165</v>
      </c>
      <c r="S427" s="20" t="str">
        <f>IFERROR(IF([2]对账明细接口!$N427=0,"",[2]对账明细接口!$N427),"")</f>
        <v/>
      </c>
      <c r="T427" s="21" t="str">
        <f>IFERROR(IF([2]对账明细接口!$O427=0,"",[2]对账明细接口!$O427),"")</f>
        <v/>
      </c>
      <c r="U427" s="21" t="str">
        <f>IFERROR(IF([2]对账明细接口!$P427=0,"",[2]对账明细接口!$P427),"")</f>
        <v/>
      </c>
      <c r="V427" s="21" t="str">
        <f>IFERROR(IF([2]对账明细接口!$Q427=0,"",[2]对账明细接口!$Q427),"")</f>
        <v/>
      </c>
      <c r="W427" s="20" t="str">
        <f>IFERROR(IF([2]对账明细接口!$R427=0,"",[2]对账明细接口!$R427),"")</f>
        <v/>
      </c>
      <c r="X427" s="20" t="str">
        <f>IFERROR(IF([2]对账明细接口!$S427=0,"",[2]对账明细接口!$S427),"")</f>
        <v/>
      </c>
      <c r="Y427" s="20" t="str">
        <f t="shared" si="38"/>
        <v/>
      </c>
      <c r="Z427" s="20" t="str">
        <f t="shared" si="39"/>
        <v/>
      </c>
      <c r="AA427" s="20" t="str">
        <f t="shared" si="40"/>
        <v/>
      </c>
      <c r="AB427" s="20" t="str">
        <f t="shared" si="41"/>
        <v/>
      </c>
    </row>
    <row r="428" customHeight="1" spans="1:28">
      <c r="A428" s="14">
        <v>428</v>
      </c>
      <c r="B428" s="15" t="str">
        <f>IFERROR(IF([2]对账明细接口!$B$428=0,"",[2]对账明细接口!$B$428),"")</f>
        <v/>
      </c>
      <c r="C428" s="16" t="str">
        <f>IFERROR(IF([2]对账明细接口!$C$428=0,"",[2]对账明细接口!$C$428),"")</f>
        <v/>
      </c>
      <c r="D428" s="16" t="str">
        <f>IFERROR(IF([2]对账明细接口!$D$428=0,"",[2]对账明细接口!$D$428),"")</f>
        <v/>
      </c>
      <c r="E428" s="16" t="str">
        <f>IFERROR(IF([2]对账明细接口!$E$428=0,"",[2]对账明细接口!$E$428),"")</f>
        <v/>
      </c>
      <c r="F428" s="16" t="str">
        <f>IFERROR(IF([2]对账明细接口!$F$428=0,"",[2]对账明细接口!$F$428),"")</f>
        <v/>
      </c>
      <c r="G428" s="16" t="str">
        <f>IFERROR(IF([2]对账明细接口!$G$428=0,"",[2]对账明细接口!$G$428),"")</f>
        <v/>
      </c>
      <c r="H428" s="17" t="str">
        <f>IFERROR(IF([2]对账明细接口!$H$428=0,"",[2]对账明细接口!$H$428),"")</f>
        <v/>
      </c>
      <c r="I428" s="16" t="str">
        <f>IFERROR(IF([2]对账明细接口!$I$428=0,"",[2]对账明细接口!$I$428),"")</f>
        <v/>
      </c>
      <c r="J428" s="18" t="str">
        <f>IFERROR(IF([2]对账明细接口!$J$428=0,"",[2]对账明细接口!$J$428),"")</f>
        <v/>
      </c>
      <c r="K428" s="18" t="str">
        <f>IFERROR(IF([2]对账明细接口!$K$428=0,"",[2]对账明细接口!$K$428),"")</f>
        <v/>
      </c>
      <c r="L428" s="16" t="str">
        <f>IFERROR(IF([2]对账明细接口!$L$428=0,"",[2]对账明细接口!$L$428),"")</f>
        <v/>
      </c>
      <c r="M428" s="16" t="str">
        <f>IFERROR(IF([2]对账明细接口!$M$428=0,"",[2]对账明细接口!$M$428),"")</f>
        <v/>
      </c>
      <c r="N428" s="19">
        <f t="shared" si="36"/>
        <v>0</v>
      </c>
      <c r="O428" s="19">
        <f t="shared" si="37"/>
        <v>165</v>
      </c>
      <c r="S428" s="20" t="str">
        <f>IFERROR(IF([2]对账明细接口!$N428=0,"",[2]对账明细接口!$N428),"")</f>
        <v/>
      </c>
      <c r="T428" s="21" t="str">
        <f>IFERROR(IF([2]对账明细接口!$O428=0,"",[2]对账明细接口!$O428),"")</f>
        <v/>
      </c>
      <c r="U428" s="21" t="str">
        <f>IFERROR(IF([2]对账明细接口!$P428=0,"",[2]对账明细接口!$P428),"")</f>
        <v/>
      </c>
      <c r="V428" s="21" t="str">
        <f>IFERROR(IF([2]对账明细接口!$Q428=0,"",[2]对账明细接口!$Q428),"")</f>
        <v/>
      </c>
      <c r="W428" s="20" t="str">
        <f>IFERROR(IF([2]对账明细接口!$R428=0,"",[2]对账明细接口!$R428),"")</f>
        <v/>
      </c>
      <c r="X428" s="20" t="str">
        <f>IFERROR(IF([2]对账明细接口!$S428=0,"",[2]对账明细接口!$S428),"")</f>
        <v/>
      </c>
      <c r="Y428" s="20" t="str">
        <f t="shared" si="38"/>
        <v/>
      </c>
      <c r="Z428" s="20" t="str">
        <f t="shared" si="39"/>
        <v/>
      </c>
      <c r="AA428" s="20" t="str">
        <f t="shared" si="40"/>
        <v/>
      </c>
      <c r="AB428" s="20" t="str">
        <f t="shared" si="41"/>
        <v/>
      </c>
    </row>
    <row r="429" customHeight="1" spans="1:28">
      <c r="A429" s="14">
        <v>429</v>
      </c>
      <c r="B429" s="15" t="str">
        <f>IFERROR(IF([2]对账明细接口!$B$429=0,"",[2]对账明细接口!$B$429),"")</f>
        <v/>
      </c>
      <c r="C429" s="16" t="str">
        <f>IFERROR(IF([2]对账明细接口!$C$429=0,"",[2]对账明细接口!$C$429),"")</f>
        <v/>
      </c>
      <c r="D429" s="16" t="str">
        <f>IFERROR(IF([2]对账明细接口!$D$429=0,"",[2]对账明细接口!$D$429),"")</f>
        <v/>
      </c>
      <c r="E429" s="16" t="str">
        <f>IFERROR(IF([2]对账明细接口!$E$429=0,"",[2]对账明细接口!$E$429),"")</f>
        <v/>
      </c>
      <c r="F429" s="16" t="str">
        <f>IFERROR(IF([2]对账明细接口!$F$429=0,"",[2]对账明细接口!$F$429),"")</f>
        <v/>
      </c>
      <c r="G429" s="16" t="str">
        <f>IFERROR(IF([2]对账明细接口!$G$429=0,"",[2]对账明细接口!$G$429),"")</f>
        <v/>
      </c>
      <c r="H429" s="17" t="str">
        <f>IFERROR(IF([2]对账明细接口!$H$429=0,"",[2]对账明细接口!$H$429),"")</f>
        <v/>
      </c>
      <c r="I429" s="16" t="str">
        <f>IFERROR(IF([2]对账明细接口!$I$429=0,"",[2]对账明细接口!$I$429),"")</f>
        <v/>
      </c>
      <c r="J429" s="18" t="str">
        <f>IFERROR(IF([2]对账明细接口!$J$429=0,"",[2]对账明细接口!$J$429),"")</f>
        <v/>
      </c>
      <c r="K429" s="18" t="str">
        <f>IFERROR(IF([2]对账明细接口!$K$429=0,"",[2]对账明细接口!$K$429),"")</f>
        <v/>
      </c>
      <c r="L429" s="16" t="str">
        <f>IFERROR(IF([2]对账明细接口!$L$429=0,"",[2]对账明细接口!$L$429),"")</f>
        <v/>
      </c>
      <c r="M429" s="16" t="str">
        <f>IFERROR(IF([2]对账明细接口!$M$429=0,"",[2]对账明细接口!$M$429),"")</f>
        <v/>
      </c>
      <c r="N429" s="19">
        <f t="shared" si="36"/>
        <v>0</v>
      </c>
      <c r="O429" s="19">
        <f t="shared" si="37"/>
        <v>165</v>
      </c>
      <c r="S429" s="20" t="str">
        <f>IFERROR(IF([2]对账明细接口!$N429=0,"",[2]对账明细接口!$N429),"")</f>
        <v/>
      </c>
      <c r="T429" s="21" t="str">
        <f>IFERROR(IF([2]对账明细接口!$O429=0,"",[2]对账明细接口!$O429),"")</f>
        <v/>
      </c>
      <c r="U429" s="21" t="str">
        <f>IFERROR(IF([2]对账明细接口!$P429=0,"",[2]对账明细接口!$P429),"")</f>
        <v/>
      </c>
      <c r="V429" s="21" t="str">
        <f>IFERROR(IF([2]对账明细接口!$Q429=0,"",[2]对账明细接口!$Q429),"")</f>
        <v/>
      </c>
      <c r="W429" s="20" t="str">
        <f>IFERROR(IF([2]对账明细接口!$R429=0,"",[2]对账明细接口!$R429),"")</f>
        <v/>
      </c>
      <c r="X429" s="20" t="str">
        <f>IFERROR(IF([2]对账明细接口!$S429=0,"",[2]对账明细接口!$S429),"")</f>
        <v/>
      </c>
      <c r="Y429" s="20" t="str">
        <f t="shared" si="38"/>
        <v/>
      </c>
      <c r="Z429" s="20" t="str">
        <f t="shared" si="39"/>
        <v/>
      </c>
      <c r="AA429" s="20" t="str">
        <f t="shared" si="40"/>
        <v/>
      </c>
      <c r="AB429" s="20" t="str">
        <f t="shared" si="41"/>
        <v/>
      </c>
    </row>
    <row r="430" customHeight="1" spans="1:28">
      <c r="A430" s="14">
        <v>430</v>
      </c>
      <c r="B430" s="15" t="str">
        <f>IFERROR(IF([2]对账明细接口!$B$430=0,"",[2]对账明细接口!$B$430),"")</f>
        <v/>
      </c>
      <c r="C430" s="16" t="str">
        <f>IFERROR(IF([2]对账明细接口!$C$430=0,"",[2]对账明细接口!$C$430),"")</f>
        <v/>
      </c>
      <c r="D430" s="16" t="str">
        <f>IFERROR(IF([2]对账明细接口!$D$430=0,"",[2]对账明细接口!$D$430),"")</f>
        <v/>
      </c>
      <c r="E430" s="16" t="str">
        <f>IFERROR(IF([2]对账明细接口!$E$430=0,"",[2]对账明细接口!$E$430),"")</f>
        <v/>
      </c>
      <c r="F430" s="16" t="str">
        <f>IFERROR(IF([2]对账明细接口!$F$430=0,"",[2]对账明细接口!$F$430),"")</f>
        <v/>
      </c>
      <c r="G430" s="16" t="str">
        <f>IFERROR(IF([2]对账明细接口!$G$430=0,"",[2]对账明细接口!$G$430),"")</f>
        <v/>
      </c>
      <c r="H430" s="17" t="str">
        <f>IFERROR(IF([2]对账明细接口!$H$430=0,"",[2]对账明细接口!$H$430),"")</f>
        <v/>
      </c>
      <c r="I430" s="16" t="str">
        <f>IFERROR(IF([2]对账明细接口!$I$430=0,"",[2]对账明细接口!$I$430),"")</f>
        <v/>
      </c>
      <c r="J430" s="18" t="str">
        <f>IFERROR(IF([2]对账明细接口!$J$430=0,"",[2]对账明细接口!$J$430),"")</f>
        <v/>
      </c>
      <c r="K430" s="18" t="str">
        <f>IFERROR(IF([2]对账明细接口!$K$430=0,"",[2]对账明细接口!$K$430),"")</f>
        <v/>
      </c>
      <c r="L430" s="16" t="str">
        <f>IFERROR(IF([2]对账明细接口!$L$430=0,"",[2]对账明细接口!$L$430),"")</f>
        <v/>
      </c>
      <c r="M430" s="16" t="str">
        <f>IFERROR(IF([2]对账明细接口!$M$430=0,"",[2]对账明细接口!$M$430),"")</f>
        <v/>
      </c>
      <c r="N430" s="19">
        <f t="shared" si="36"/>
        <v>0</v>
      </c>
      <c r="O430" s="19">
        <f t="shared" si="37"/>
        <v>165</v>
      </c>
      <c r="S430" s="20" t="str">
        <f>IFERROR(IF([2]对账明细接口!$N430=0,"",[2]对账明细接口!$N430),"")</f>
        <v/>
      </c>
      <c r="T430" s="21" t="str">
        <f>IFERROR(IF([2]对账明细接口!$O430=0,"",[2]对账明细接口!$O430),"")</f>
        <v/>
      </c>
      <c r="U430" s="21" t="str">
        <f>IFERROR(IF([2]对账明细接口!$P430=0,"",[2]对账明细接口!$P430),"")</f>
        <v/>
      </c>
      <c r="V430" s="21" t="str">
        <f>IFERROR(IF([2]对账明细接口!$Q430=0,"",[2]对账明细接口!$Q430),"")</f>
        <v/>
      </c>
      <c r="W430" s="20" t="str">
        <f>IFERROR(IF([2]对账明细接口!$R430=0,"",[2]对账明细接口!$R430),"")</f>
        <v/>
      </c>
      <c r="X430" s="20" t="str">
        <f>IFERROR(IF([2]对账明细接口!$S430=0,"",[2]对账明细接口!$S430),"")</f>
        <v/>
      </c>
      <c r="Y430" s="20" t="str">
        <f t="shared" si="38"/>
        <v/>
      </c>
      <c r="Z430" s="20" t="str">
        <f t="shared" si="39"/>
        <v/>
      </c>
      <c r="AA430" s="20" t="str">
        <f t="shared" si="40"/>
        <v/>
      </c>
      <c r="AB430" s="20" t="str">
        <f t="shared" si="41"/>
        <v/>
      </c>
    </row>
    <row r="431" customHeight="1" spans="1:28">
      <c r="A431" s="14">
        <v>431</v>
      </c>
      <c r="B431" s="15" t="str">
        <f>IFERROR(IF([2]对账明细接口!$B$431=0,"",[2]对账明细接口!$B$431),"")</f>
        <v/>
      </c>
      <c r="C431" s="16" t="str">
        <f>IFERROR(IF([2]对账明细接口!$C$431=0,"",[2]对账明细接口!$C$431),"")</f>
        <v/>
      </c>
      <c r="D431" s="16" t="str">
        <f>IFERROR(IF([2]对账明细接口!$D$431=0,"",[2]对账明细接口!$D$431),"")</f>
        <v/>
      </c>
      <c r="E431" s="16" t="str">
        <f>IFERROR(IF([2]对账明细接口!$E$431=0,"",[2]对账明细接口!$E$431),"")</f>
        <v/>
      </c>
      <c r="F431" s="16" t="str">
        <f>IFERROR(IF([2]对账明细接口!$F$431=0,"",[2]对账明细接口!$F$431),"")</f>
        <v/>
      </c>
      <c r="G431" s="16" t="str">
        <f>IFERROR(IF([2]对账明细接口!$G$431=0,"",[2]对账明细接口!$G$431),"")</f>
        <v/>
      </c>
      <c r="H431" s="17" t="str">
        <f>IFERROR(IF([2]对账明细接口!$H$431=0,"",[2]对账明细接口!$H$431),"")</f>
        <v/>
      </c>
      <c r="I431" s="16" t="str">
        <f>IFERROR(IF([2]对账明细接口!$I$431=0,"",[2]对账明细接口!$I$431),"")</f>
        <v/>
      </c>
      <c r="J431" s="18" t="str">
        <f>IFERROR(IF([2]对账明细接口!$J$431=0,"",[2]对账明细接口!$J$431),"")</f>
        <v/>
      </c>
      <c r="K431" s="18" t="str">
        <f>IFERROR(IF([2]对账明细接口!$K$431=0,"",[2]对账明细接口!$K$431),"")</f>
        <v/>
      </c>
      <c r="L431" s="16" t="str">
        <f>IFERROR(IF([2]对账明细接口!$L$431=0,"",[2]对账明细接口!$L$431),"")</f>
        <v/>
      </c>
      <c r="M431" s="16" t="str">
        <f>IFERROR(IF([2]对账明细接口!$M$431=0,"",[2]对账明细接口!$M$431),"")</f>
        <v/>
      </c>
      <c r="N431" s="19">
        <f t="shared" si="36"/>
        <v>0</v>
      </c>
      <c r="O431" s="19">
        <f t="shared" si="37"/>
        <v>165</v>
      </c>
      <c r="S431" s="20" t="str">
        <f>IFERROR(IF([2]对账明细接口!$N431=0,"",[2]对账明细接口!$N431),"")</f>
        <v/>
      </c>
      <c r="T431" s="21" t="str">
        <f>IFERROR(IF([2]对账明细接口!$O431=0,"",[2]对账明细接口!$O431),"")</f>
        <v/>
      </c>
      <c r="U431" s="21" t="str">
        <f>IFERROR(IF([2]对账明细接口!$P431=0,"",[2]对账明细接口!$P431),"")</f>
        <v/>
      </c>
      <c r="V431" s="21" t="str">
        <f>IFERROR(IF([2]对账明细接口!$Q431=0,"",[2]对账明细接口!$Q431),"")</f>
        <v/>
      </c>
      <c r="W431" s="20" t="str">
        <f>IFERROR(IF([2]对账明细接口!$R431=0,"",[2]对账明细接口!$R431),"")</f>
        <v/>
      </c>
      <c r="X431" s="20" t="str">
        <f>IFERROR(IF([2]对账明细接口!$S431=0,"",[2]对账明细接口!$S431),"")</f>
        <v/>
      </c>
      <c r="Y431" s="20" t="str">
        <f t="shared" si="38"/>
        <v/>
      </c>
      <c r="Z431" s="20" t="str">
        <f t="shared" si="39"/>
        <v/>
      </c>
      <c r="AA431" s="20" t="str">
        <f t="shared" si="40"/>
        <v/>
      </c>
      <c r="AB431" s="20" t="str">
        <f t="shared" si="41"/>
        <v/>
      </c>
    </row>
    <row r="432" customHeight="1" spans="1:28">
      <c r="A432" s="14">
        <v>432</v>
      </c>
      <c r="B432" s="15" t="str">
        <f>IFERROR(IF([2]对账明细接口!$B$432=0,"",[2]对账明细接口!$B$432),"")</f>
        <v/>
      </c>
      <c r="C432" s="16" t="str">
        <f>IFERROR(IF([2]对账明细接口!$C$432=0,"",[2]对账明细接口!$C$432),"")</f>
        <v/>
      </c>
      <c r="D432" s="16" t="str">
        <f>IFERROR(IF([2]对账明细接口!$D$432=0,"",[2]对账明细接口!$D$432),"")</f>
        <v/>
      </c>
      <c r="E432" s="16" t="str">
        <f>IFERROR(IF([2]对账明细接口!$E$432=0,"",[2]对账明细接口!$E$432),"")</f>
        <v/>
      </c>
      <c r="F432" s="16" t="str">
        <f>IFERROR(IF([2]对账明细接口!$F$432=0,"",[2]对账明细接口!$F$432),"")</f>
        <v/>
      </c>
      <c r="G432" s="16" t="str">
        <f>IFERROR(IF([2]对账明细接口!$G$432=0,"",[2]对账明细接口!$G$432),"")</f>
        <v/>
      </c>
      <c r="H432" s="17" t="str">
        <f>IFERROR(IF([2]对账明细接口!$H$432=0,"",[2]对账明细接口!$H$432),"")</f>
        <v/>
      </c>
      <c r="I432" s="16" t="str">
        <f>IFERROR(IF([2]对账明细接口!$I$432=0,"",[2]对账明细接口!$I$432),"")</f>
        <v/>
      </c>
      <c r="J432" s="18" t="str">
        <f>IFERROR(IF([2]对账明细接口!$J$432=0,"",[2]对账明细接口!$J$432),"")</f>
        <v/>
      </c>
      <c r="K432" s="18" t="str">
        <f>IFERROR(IF([2]对账明细接口!$K$432=0,"",[2]对账明细接口!$K$432),"")</f>
        <v/>
      </c>
      <c r="L432" s="16" t="str">
        <f>IFERROR(IF([2]对账明细接口!$L$432=0,"",[2]对账明细接口!$L$432),"")</f>
        <v/>
      </c>
      <c r="M432" s="16" t="str">
        <f>IFERROR(IF([2]对账明细接口!$M$432=0,"",[2]对账明细接口!$M$432),"")</f>
        <v/>
      </c>
      <c r="N432" s="19">
        <f t="shared" si="36"/>
        <v>0</v>
      </c>
      <c r="O432" s="19">
        <f t="shared" si="37"/>
        <v>165</v>
      </c>
      <c r="S432" s="20" t="str">
        <f>IFERROR(IF([2]对账明细接口!$N432=0,"",[2]对账明细接口!$N432),"")</f>
        <v/>
      </c>
      <c r="T432" s="21" t="str">
        <f>IFERROR(IF([2]对账明细接口!$O432=0,"",[2]对账明细接口!$O432),"")</f>
        <v/>
      </c>
      <c r="U432" s="21" t="str">
        <f>IFERROR(IF([2]对账明细接口!$P432=0,"",[2]对账明细接口!$P432),"")</f>
        <v/>
      </c>
      <c r="V432" s="21" t="str">
        <f>IFERROR(IF([2]对账明细接口!$Q432=0,"",[2]对账明细接口!$Q432),"")</f>
        <v/>
      </c>
      <c r="W432" s="20" t="str">
        <f>IFERROR(IF([2]对账明细接口!$R432=0,"",[2]对账明细接口!$R432),"")</f>
        <v/>
      </c>
      <c r="X432" s="20" t="str">
        <f>IFERROR(IF([2]对账明细接口!$S432=0,"",[2]对账明细接口!$S432),"")</f>
        <v/>
      </c>
      <c r="Y432" s="20" t="str">
        <f t="shared" si="38"/>
        <v/>
      </c>
      <c r="Z432" s="20" t="str">
        <f t="shared" si="39"/>
        <v/>
      </c>
      <c r="AA432" s="20" t="str">
        <f t="shared" si="40"/>
        <v/>
      </c>
      <c r="AB432" s="20" t="str">
        <f t="shared" si="41"/>
        <v/>
      </c>
    </row>
    <row r="433" customHeight="1" spans="1:28">
      <c r="A433" s="14">
        <v>433</v>
      </c>
      <c r="B433" s="15" t="str">
        <f>IFERROR(IF([2]对账明细接口!$B$433=0,"",[2]对账明细接口!$B$433),"")</f>
        <v/>
      </c>
      <c r="C433" s="16" t="str">
        <f>IFERROR(IF([2]对账明细接口!$C$433=0,"",[2]对账明细接口!$C$433),"")</f>
        <v/>
      </c>
      <c r="D433" s="16" t="str">
        <f>IFERROR(IF([2]对账明细接口!$D$433=0,"",[2]对账明细接口!$D$433),"")</f>
        <v/>
      </c>
      <c r="E433" s="16" t="str">
        <f>IFERROR(IF([2]对账明细接口!$E$433=0,"",[2]对账明细接口!$E$433),"")</f>
        <v/>
      </c>
      <c r="F433" s="16" t="str">
        <f>IFERROR(IF([2]对账明细接口!$F$433=0,"",[2]对账明细接口!$F$433),"")</f>
        <v/>
      </c>
      <c r="G433" s="16" t="str">
        <f>IFERROR(IF([2]对账明细接口!$G$433=0,"",[2]对账明细接口!$G$433),"")</f>
        <v/>
      </c>
      <c r="H433" s="17" t="str">
        <f>IFERROR(IF([2]对账明细接口!$H$433=0,"",[2]对账明细接口!$H$433),"")</f>
        <v/>
      </c>
      <c r="I433" s="16" t="str">
        <f>IFERROR(IF([2]对账明细接口!$I$433=0,"",[2]对账明细接口!$I$433),"")</f>
        <v/>
      </c>
      <c r="J433" s="18" t="str">
        <f>IFERROR(IF([2]对账明细接口!$J$433=0,"",[2]对账明细接口!$J$433),"")</f>
        <v/>
      </c>
      <c r="K433" s="18" t="str">
        <f>IFERROR(IF([2]对账明细接口!$K$433=0,"",[2]对账明细接口!$K$433),"")</f>
        <v/>
      </c>
      <c r="L433" s="16" t="str">
        <f>IFERROR(IF([2]对账明细接口!$L$433=0,"",[2]对账明细接口!$L$433),"")</f>
        <v/>
      </c>
      <c r="M433" s="16" t="str">
        <f>IFERROR(IF([2]对账明细接口!$M$433=0,"",[2]对账明细接口!$M$433),"")</f>
        <v/>
      </c>
      <c r="N433" s="19">
        <f t="shared" si="36"/>
        <v>0</v>
      </c>
      <c r="O433" s="19">
        <f t="shared" si="37"/>
        <v>165</v>
      </c>
      <c r="S433" s="20" t="str">
        <f>IFERROR(IF([2]对账明细接口!$N433=0,"",[2]对账明细接口!$N433),"")</f>
        <v/>
      </c>
      <c r="T433" s="21" t="str">
        <f>IFERROR(IF([2]对账明细接口!$O433=0,"",[2]对账明细接口!$O433),"")</f>
        <v/>
      </c>
      <c r="U433" s="21" t="str">
        <f>IFERROR(IF([2]对账明细接口!$P433=0,"",[2]对账明细接口!$P433),"")</f>
        <v/>
      </c>
      <c r="V433" s="21" t="str">
        <f>IFERROR(IF([2]对账明细接口!$Q433=0,"",[2]对账明细接口!$Q433),"")</f>
        <v/>
      </c>
      <c r="W433" s="20" t="str">
        <f>IFERROR(IF([2]对账明细接口!$R433=0,"",[2]对账明细接口!$R433),"")</f>
        <v/>
      </c>
      <c r="X433" s="20" t="str">
        <f>IFERROR(IF([2]对账明细接口!$S433=0,"",[2]对账明细接口!$S433),"")</f>
        <v/>
      </c>
      <c r="Y433" s="20" t="str">
        <f t="shared" si="38"/>
        <v/>
      </c>
      <c r="Z433" s="20" t="str">
        <f t="shared" si="39"/>
        <v/>
      </c>
      <c r="AA433" s="20" t="str">
        <f t="shared" si="40"/>
        <v/>
      </c>
      <c r="AB433" s="20" t="str">
        <f t="shared" si="41"/>
        <v/>
      </c>
    </row>
    <row r="434" customHeight="1" spans="1:28">
      <c r="A434" s="14">
        <v>434</v>
      </c>
      <c r="B434" s="15" t="str">
        <f>IFERROR(IF([2]对账明细接口!$B$434=0,"",[2]对账明细接口!$B$434),"")</f>
        <v/>
      </c>
      <c r="C434" s="16" t="str">
        <f>IFERROR(IF([2]对账明细接口!$C$434=0,"",[2]对账明细接口!$C$434),"")</f>
        <v/>
      </c>
      <c r="D434" s="16" t="str">
        <f>IFERROR(IF([2]对账明细接口!$D$434=0,"",[2]对账明细接口!$D$434),"")</f>
        <v/>
      </c>
      <c r="E434" s="16" t="str">
        <f>IFERROR(IF([2]对账明细接口!$E$434=0,"",[2]对账明细接口!$E$434),"")</f>
        <v/>
      </c>
      <c r="F434" s="16" t="str">
        <f>IFERROR(IF([2]对账明细接口!$F$434=0,"",[2]对账明细接口!$F$434),"")</f>
        <v/>
      </c>
      <c r="G434" s="16" t="str">
        <f>IFERROR(IF([2]对账明细接口!$G$434=0,"",[2]对账明细接口!$G$434),"")</f>
        <v/>
      </c>
      <c r="H434" s="17" t="str">
        <f>IFERROR(IF([2]对账明细接口!$H$434=0,"",[2]对账明细接口!$H$434),"")</f>
        <v/>
      </c>
      <c r="I434" s="16" t="str">
        <f>IFERROR(IF([2]对账明细接口!$I$434=0,"",[2]对账明细接口!$I$434),"")</f>
        <v/>
      </c>
      <c r="J434" s="18" t="str">
        <f>IFERROR(IF([2]对账明细接口!$J$434=0,"",[2]对账明细接口!$J$434),"")</f>
        <v/>
      </c>
      <c r="K434" s="18" t="str">
        <f>IFERROR(IF([2]对账明细接口!$K$434=0,"",[2]对账明细接口!$K$434),"")</f>
        <v/>
      </c>
      <c r="L434" s="16" t="str">
        <f>IFERROR(IF([2]对账明细接口!$L$434=0,"",[2]对账明细接口!$L$434),"")</f>
        <v/>
      </c>
      <c r="M434" s="16" t="str">
        <f>IFERROR(IF([2]对账明细接口!$M$434=0,"",[2]对账明细接口!$M$434),"")</f>
        <v/>
      </c>
      <c r="N434" s="19">
        <f t="shared" si="36"/>
        <v>0</v>
      </c>
      <c r="O434" s="19">
        <f t="shared" si="37"/>
        <v>165</v>
      </c>
      <c r="S434" s="20" t="str">
        <f>IFERROR(IF([2]对账明细接口!$N434=0,"",[2]对账明细接口!$N434),"")</f>
        <v/>
      </c>
      <c r="T434" s="21" t="str">
        <f>IFERROR(IF([2]对账明细接口!$O434=0,"",[2]对账明细接口!$O434),"")</f>
        <v/>
      </c>
      <c r="U434" s="21" t="str">
        <f>IFERROR(IF([2]对账明细接口!$P434=0,"",[2]对账明细接口!$P434),"")</f>
        <v/>
      </c>
      <c r="V434" s="21" t="str">
        <f>IFERROR(IF([2]对账明细接口!$Q434=0,"",[2]对账明细接口!$Q434),"")</f>
        <v/>
      </c>
      <c r="W434" s="20" t="str">
        <f>IFERROR(IF([2]对账明细接口!$R434=0,"",[2]对账明细接口!$R434),"")</f>
        <v/>
      </c>
      <c r="X434" s="20" t="str">
        <f>IFERROR(IF([2]对账明细接口!$S434=0,"",[2]对账明细接口!$S434),"")</f>
        <v/>
      </c>
      <c r="Y434" s="20" t="str">
        <f t="shared" si="38"/>
        <v/>
      </c>
      <c r="Z434" s="20" t="str">
        <f t="shared" si="39"/>
        <v/>
      </c>
      <c r="AA434" s="20" t="str">
        <f t="shared" si="40"/>
        <v/>
      </c>
      <c r="AB434" s="20" t="str">
        <f t="shared" si="41"/>
        <v/>
      </c>
    </row>
    <row r="435" customHeight="1" spans="1:28">
      <c r="A435" s="14">
        <v>435</v>
      </c>
      <c r="B435" s="15" t="str">
        <f>IFERROR(IF([2]对账明细接口!$B$435=0,"",[2]对账明细接口!$B$435),"")</f>
        <v/>
      </c>
      <c r="C435" s="16" t="str">
        <f>IFERROR(IF([2]对账明细接口!$C$435=0,"",[2]对账明细接口!$C$435),"")</f>
        <v/>
      </c>
      <c r="D435" s="16" t="str">
        <f>IFERROR(IF([2]对账明细接口!$D$435=0,"",[2]对账明细接口!$D$435),"")</f>
        <v/>
      </c>
      <c r="E435" s="16" t="str">
        <f>IFERROR(IF([2]对账明细接口!$E$435=0,"",[2]对账明细接口!$E$435),"")</f>
        <v/>
      </c>
      <c r="F435" s="16" t="str">
        <f>IFERROR(IF([2]对账明细接口!$F$435=0,"",[2]对账明细接口!$F$435),"")</f>
        <v/>
      </c>
      <c r="G435" s="16" t="str">
        <f>IFERROR(IF([2]对账明细接口!$G$435=0,"",[2]对账明细接口!$G$435),"")</f>
        <v/>
      </c>
      <c r="H435" s="17" t="str">
        <f>IFERROR(IF([2]对账明细接口!$H$435=0,"",[2]对账明细接口!$H$435),"")</f>
        <v/>
      </c>
      <c r="I435" s="16" t="str">
        <f>IFERROR(IF([2]对账明细接口!$I$435=0,"",[2]对账明细接口!$I$435),"")</f>
        <v/>
      </c>
      <c r="J435" s="18" t="str">
        <f>IFERROR(IF([2]对账明细接口!$J$435=0,"",[2]对账明细接口!$J$435),"")</f>
        <v/>
      </c>
      <c r="K435" s="18" t="str">
        <f>IFERROR(IF([2]对账明细接口!$K$435=0,"",[2]对账明细接口!$K$435),"")</f>
        <v/>
      </c>
      <c r="L435" s="16" t="str">
        <f>IFERROR(IF([2]对账明细接口!$L$435=0,"",[2]对账明细接口!$L$435),"")</f>
        <v/>
      </c>
      <c r="M435" s="16" t="str">
        <f>IFERROR(IF([2]对账明细接口!$M$435=0,"",[2]对账明细接口!$M$435),"")</f>
        <v/>
      </c>
      <c r="N435" s="19">
        <f t="shared" si="36"/>
        <v>0</v>
      </c>
      <c r="O435" s="19">
        <f t="shared" si="37"/>
        <v>165</v>
      </c>
      <c r="S435" s="20" t="str">
        <f>IFERROR(IF([2]对账明细接口!$N435=0,"",[2]对账明细接口!$N435),"")</f>
        <v/>
      </c>
      <c r="T435" s="21" t="str">
        <f>IFERROR(IF([2]对账明细接口!$O435=0,"",[2]对账明细接口!$O435),"")</f>
        <v/>
      </c>
      <c r="U435" s="21" t="str">
        <f>IFERROR(IF([2]对账明细接口!$P435=0,"",[2]对账明细接口!$P435),"")</f>
        <v/>
      </c>
      <c r="V435" s="21" t="str">
        <f>IFERROR(IF([2]对账明细接口!$Q435=0,"",[2]对账明细接口!$Q435),"")</f>
        <v/>
      </c>
      <c r="W435" s="20" t="str">
        <f>IFERROR(IF([2]对账明细接口!$R435=0,"",[2]对账明细接口!$R435),"")</f>
        <v/>
      </c>
      <c r="X435" s="20" t="str">
        <f>IFERROR(IF([2]对账明细接口!$S435=0,"",[2]对账明细接口!$S435),"")</f>
        <v/>
      </c>
      <c r="Y435" s="20" t="str">
        <f t="shared" si="38"/>
        <v/>
      </c>
      <c r="Z435" s="20" t="str">
        <f t="shared" si="39"/>
        <v/>
      </c>
      <c r="AA435" s="20" t="str">
        <f t="shared" si="40"/>
        <v/>
      </c>
      <c r="AB435" s="20" t="str">
        <f t="shared" si="41"/>
        <v/>
      </c>
    </row>
    <row r="436" customHeight="1" spans="1:28">
      <c r="A436" s="14">
        <v>436</v>
      </c>
      <c r="B436" s="15" t="str">
        <f>IFERROR(IF([2]对账明细接口!$B$436=0,"",[2]对账明细接口!$B$436),"")</f>
        <v/>
      </c>
      <c r="C436" s="16" t="str">
        <f>IFERROR(IF([2]对账明细接口!$C$436=0,"",[2]对账明细接口!$C$436),"")</f>
        <v/>
      </c>
      <c r="D436" s="16" t="str">
        <f>IFERROR(IF([2]对账明细接口!$D$436=0,"",[2]对账明细接口!$D$436),"")</f>
        <v/>
      </c>
      <c r="E436" s="16" t="str">
        <f>IFERROR(IF([2]对账明细接口!$E$436=0,"",[2]对账明细接口!$E$436),"")</f>
        <v/>
      </c>
      <c r="F436" s="16" t="str">
        <f>IFERROR(IF([2]对账明细接口!$F$436=0,"",[2]对账明细接口!$F$436),"")</f>
        <v/>
      </c>
      <c r="G436" s="16" t="str">
        <f>IFERROR(IF([2]对账明细接口!$G$436=0,"",[2]对账明细接口!$G$436),"")</f>
        <v/>
      </c>
      <c r="H436" s="17" t="str">
        <f>IFERROR(IF([2]对账明细接口!$H$436=0,"",[2]对账明细接口!$H$436),"")</f>
        <v/>
      </c>
      <c r="I436" s="16" t="str">
        <f>IFERROR(IF([2]对账明细接口!$I$436=0,"",[2]对账明细接口!$I$436),"")</f>
        <v/>
      </c>
      <c r="J436" s="18" t="str">
        <f>IFERROR(IF([2]对账明细接口!$J$436=0,"",[2]对账明细接口!$J$436),"")</f>
        <v/>
      </c>
      <c r="K436" s="18" t="str">
        <f>IFERROR(IF([2]对账明细接口!$K$436=0,"",[2]对账明细接口!$K$436),"")</f>
        <v/>
      </c>
      <c r="L436" s="16" t="str">
        <f>IFERROR(IF([2]对账明细接口!$L$436=0,"",[2]对账明细接口!$L$436),"")</f>
        <v/>
      </c>
      <c r="M436" s="16" t="str">
        <f>IFERROR(IF([2]对账明细接口!$M$436=0,"",[2]对账明细接口!$M$436),"")</f>
        <v/>
      </c>
      <c r="N436" s="19">
        <f t="shared" si="36"/>
        <v>0</v>
      </c>
      <c r="O436" s="19">
        <f t="shared" si="37"/>
        <v>165</v>
      </c>
      <c r="S436" s="20" t="str">
        <f>IFERROR(IF([2]对账明细接口!$N436=0,"",[2]对账明细接口!$N436),"")</f>
        <v/>
      </c>
      <c r="T436" s="21" t="str">
        <f>IFERROR(IF([2]对账明细接口!$O436=0,"",[2]对账明细接口!$O436),"")</f>
        <v/>
      </c>
      <c r="U436" s="21" t="str">
        <f>IFERROR(IF([2]对账明细接口!$P436=0,"",[2]对账明细接口!$P436),"")</f>
        <v/>
      </c>
      <c r="V436" s="21" t="str">
        <f>IFERROR(IF([2]对账明细接口!$Q436=0,"",[2]对账明细接口!$Q436),"")</f>
        <v/>
      </c>
      <c r="W436" s="20" t="str">
        <f>IFERROR(IF([2]对账明细接口!$R436=0,"",[2]对账明细接口!$R436),"")</f>
        <v/>
      </c>
      <c r="X436" s="20" t="str">
        <f>IFERROR(IF([2]对账明细接口!$S436=0,"",[2]对账明细接口!$S436),"")</f>
        <v/>
      </c>
      <c r="Y436" s="20" t="str">
        <f t="shared" si="38"/>
        <v/>
      </c>
      <c r="Z436" s="20" t="str">
        <f t="shared" si="39"/>
        <v/>
      </c>
      <c r="AA436" s="20" t="str">
        <f t="shared" si="40"/>
        <v/>
      </c>
      <c r="AB436" s="20" t="str">
        <f t="shared" si="41"/>
        <v/>
      </c>
    </row>
    <row r="437" customHeight="1" spans="1:28">
      <c r="A437" s="14">
        <v>437</v>
      </c>
      <c r="B437" s="15" t="str">
        <f>IFERROR(IF([2]对账明细接口!$B$437=0,"",[2]对账明细接口!$B$437),"")</f>
        <v/>
      </c>
      <c r="C437" s="16" t="str">
        <f>IFERROR(IF([2]对账明细接口!$C$437=0,"",[2]对账明细接口!$C$437),"")</f>
        <v/>
      </c>
      <c r="D437" s="16" t="str">
        <f>IFERROR(IF([2]对账明细接口!$D$437=0,"",[2]对账明细接口!$D$437),"")</f>
        <v/>
      </c>
      <c r="E437" s="16" t="str">
        <f>IFERROR(IF([2]对账明细接口!$E$437=0,"",[2]对账明细接口!$E$437),"")</f>
        <v/>
      </c>
      <c r="F437" s="16" t="str">
        <f>IFERROR(IF([2]对账明细接口!$F$437=0,"",[2]对账明细接口!$F$437),"")</f>
        <v/>
      </c>
      <c r="G437" s="16" t="str">
        <f>IFERROR(IF([2]对账明细接口!$G$437=0,"",[2]对账明细接口!$G$437),"")</f>
        <v/>
      </c>
      <c r="H437" s="17" t="str">
        <f>IFERROR(IF([2]对账明细接口!$H$437=0,"",[2]对账明细接口!$H$437),"")</f>
        <v/>
      </c>
      <c r="I437" s="16" t="str">
        <f>IFERROR(IF([2]对账明细接口!$I$437=0,"",[2]对账明细接口!$I$437),"")</f>
        <v/>
      </c>
      <c r="J437" s="18" t="str">
        <f>IFERROR(IF([2]对账明细接口!$J$437=0,"",[2]对账明细接口!$J$437),"")</f>
        <v/>
      </c>
      <c r="K437" s="18" t="str">
        <f>IFERROR(IF([2]对账明细接口!$K$437=0,"",[2]对账明细接口!$K$437),"")</f>
        <v/>
      </c>
      <c r="L437" s="16" t="str">
        <f>IFERROR(IF([2]对账明细接口!$L$437=0,"",[2]对账明细接口!$L$437),"")</f>
        <v/>
      </c>
      <c r="M437" s="16" t="str">
        <f>IFERROR(IF([2]对账明细接口!$M$437=0,"",[2]对账明细接口!$M$437),"")</f>
        <v/>
      </c>
      <c r="N437" s="19">
        <f t="shared" si="36"/>
        <v>0</v>
      </c>
      <c r="O437" s="19">
        <f t="shared" si="37"/>
        <v>165</v>
      </c>
      <c r="S437" s="20" t="str">
        <f>IFERROR(IF([2]对账明细接口!$N437=0,"",[2]对账明细接口!$N437),"")</f>
        <v/>
      </c>
      <c r="T437" s="21" t="str">
        <f>IFERROR(IF([2]对账明细接口!$O437=0,"",[2]对账明细接口!$O437),"")</f>
        <v/>
      </c>
      <c r="U437" s="21" t="str">
        <f>IFERROR(IF([2]对账明细接口!$P437=0,"",[2]对账明细接口!$P437),"")</f>
        <v/>
      </c>
      <c r="V437" s="21" t="str">
        <f>IFERROR(IF([2]对账明细接口!$Q437=0,"",[2]对账明细接口!$Q437),"")</f>
        <v/>
      </c>
      <c r="W437" s="20" t="str">
        <f>IFERROR(IF([2]对账明细接口!$R437=0,"",[2]对账明细接口!$R437),"")</f>
        <v/>
      </c>
      <c r="X437" s="20" t="str">
        <f>IFERROR(IF([2]对账明细接口!$S437=0,"",[2]对账明细接口!$S437),"")</f>
        <v/>
      </c>
      <c r="Y437" s="20" t="str">
        <f t="shared" si="38"/>
        <v/>
      </c>
      <c r="Z437" s="20" t="str">
        <f t="shared" si="39"/>
        <v/>
      </c>
      <c r="AA437" s="20" t="str">
        <f t="shared" si="40"/>
        <v/>
      </c>
      <c r="AB437" s="20" t="str">
        <f t="shared" si="41"/>
        <v/>
      </c>
    </row>
    <row r="438" customHeight="1" spans="1:28">
      <c r="A438" s="14">
        <v>438</v>
      </c>
      <c r="B438" s="15" t="str">
        <f>IFERROR(IF([2]对账明细接口!$B$438=0,"",[2]对账明细接口!$B$438),"")</f>
        <v/>
      </c>
      <c r="C438" s="16" t="str">
        <f>IFERROR(IF([2]对账明细接口!$C$438=0,"",[2]对账明细接口!$C$438),"")</f>
        <v/>
      </c>
      <c r="D438" s="16" t="str">
        <f>IFERROR(IF([2]对账明细接口!$D$438=0,"",[2]对账明细接口!$D$438),"")</f>
        <v/>
      </c>
      <c r="E438" s="16" t="str">
        <f>IFERROR(IF([2]对账明细接口!$E$438=0,"",[2]对账明细接口!$E$438),"")</f>
        <v/>
      </c>
      <c r="F438" s="16" t="str">
        <f>IFERROR(IF([2]对账明细接口!$F$438=0,"",[2]对账明细接口!$F$438),"")</f>
        <v/>
      </c>
      <c r="G438" s="16" t="str">
        <f>IFERROR(IF([2]对账明细接口!$G$438=0,"",[2]对账明细接口!$G$438),"")</f>
        <v/>
      </c>
      <c r="H438" s="17" t="str">
        <f>IFERROR(IF([2]对账明细接口!$H$438=0,"",[2]对账明细接口!$H$438),"")</f>
        <v/>
      </c>
      <c r="I438" s="16" t="str">
        <f>IFERROR(IF([2]对账明细接口!$I$438=0,"",[2]对账明细接口!$I$438),"")</f>
        <v/>
      </c>
      <c r="J438" s="18" t="str">
        <f>IFERROR(IF([2]对账明细接口!$J$438=0,"",[2]对账明细接口!$J$438),"")</f>
        <v/>
      </c>
      <c r="K438" s="18" t="str">
        <f>IFERROR(IF([2]对账明细接口!$K$438=0,"",[2]对账明细接口!$K$438),"")</f>
        <v/>
      </c>
      <c r="L438" s="16" t="str">
        <f>IFERROR(IF([2]对账明细接口!$L$438=0,"",[2]对账明细接口!$L$438),"")</f>
        <v/>
      </c>
      <c r="M438" s="16" t="str">
        <f>IFERROR(IF([2]对账明细接口!$M$438=0,"",[2]对账明细接口!$M$438),"")</f>
        <v/>
      </c>
      <c r="N438" s="19">
        <f t="shared" si="36"/>
        <v>0</v>
      </c>
      <c r="O438" s="19">
        <f t="shared" si="37"/>
        <v>165</v>
      </c>
      <c r="S438" s="20" t="str">
        <f>IFERROR(IF([2]对账明细接口!$N438=0,"",[2]对账明细接口!$N438),"")</f>
        <v/>
      </c>
      <c r="T438" s="21" t="str">
        <f>IFERROR(IF([2]对账明细接口!$O438=0,"",[2]对账明细接口!$O438),"")</f>
        <v/>
      </c>
      <c r="U438" s="21" t="str">
        <f>IFERROR(IF([2]对账明细接口!$P438=0,"",[2]对账明细接口!$P438),"")</f>
        <v/>
      </c>
      <c r="V438" s="21" t="str">
        <f>IFERROR(IF([2]对账明细接口!$Q438=0,"",[2]对账明细接口!$Q438),"")</f>
        <v/>
      </c>
      <c r="W438" s="20" t="str">
        <f>IFERROR(IF([2]对账明细接口!$R438=0,"",[2]对账明细接口!$R438),"")</f>
        <v/>
      </c>
      <c r="X438" s="20" t="str">
        <f>IFERROR(IF([2]对账明细接口!$S438=0,"",[2]对账明细接口!$S438),"")</f>
        <v/>
      </c>
      <c r="Y438" s="20" t="str">
        <f t="shared" si="38"/>
        <v/>
      </c>
      <c r="Z438" s="20" t="str">
        <f t="shared" si="39"/>
        <v/>
      </c>
      <c r="AA438" s="20" t="str">
        <f t="shared" si="40"/>
        <v/>
      </c>
      <c r="AB438" s="20" t="str">
        <f t="shared" si="41"/>
        <v/>
      </c>
    </row>
    <row r="439" customHeight="1" spans="1:28">
      <c r="A439" s="14">
        <v>439</v>
      </c>
      <c r="B439" s="15" t="str">
        <f>IFERROR(IF([2]对账明细接口!$B$439=0,"",[2]对账明细接口!$B$439),"")</f>
        <v/>
      </c>
      <c r="C439" s="16" t="str">
        <f>IFERROR(IF([2]对账明细接口!$C$439=0,"",[2]对账明细接口!$C$439),"")</f>
        <v/>
      </c>
      <c r="D439" s="16" t="str">
        <f>IFERROR(IF([2]对账明细接口!$D$439=0,"",[2]对账明细接口!$D$439),"")</f>
        <v/>
      </c>
      <c r="E439" s="16" t="str">
        <f>IFERROR(IF([2]对账明细接口!$E$439=0,"",[2]对账明细接口!$E$439),"")</f>
        <v/>
      </c>
      <c r="F439" s="16" t="str">
        <f>IFERROR(IF([2]对账明细接口!$F$439=0,"",[2]对账明细接口!$F$439),"")</f>
        <v/>
      </c>
      <c r="G439" s="16" t="str">
        <f>IFERROR(IF([2]对账明细接口!$G$439=0,"",[2]对账明细接口!$G$439),"")</f>
        <v/>
      </c>
      <c r="H439" s="17" t="str">
        <f>IFERROR(IF([2]对账明细接口!$H$439=0,"",[2]对账明细接口!$H$439),"")</f>
        <v/>
      </c>
      <c r="I439" s="16" t="str">
        <f>IFERROR(IF([2]对账明细接口!$I$439=0,"",[2]对账明细接口!$I$439),"")</f>
        <v/>
      </c>
      <c r="J439" s="18" t="str">
        <f>IFERROR(IF([2]对账明细接口!$J$439=0,"",[2]对账明细接口!$J$439),"")</f>
        <v/>
      </c>
      <c r="K439" s="18" t="str">
        <f>IFERROR(IF([2]对账明细接口!$K$439=0,"",[2]对账明细接口!$K$439),"")</f>
        <v/>
      </c>
      <c r="L439" s="16" t="str">
        <f>IFERROR(IF([2]对账明细接口!$L$439=0,"",[2]对账明细接口!$L$439),"")</f>
        <v/>
      </c>
      <c r="M439" s="16" t="str">
        <f>IFERROR(IF([2]对账明细接口!$M$439=0,"",[2]对账明细接口!$M$439),"")</f>
        <v/>
      </c>
      <c r="N439" s="19">
        <f t="shared" si="36"/>
        <v>0</v>
      </c>
      <c r="O439" s="19">
        <f t="shared" si="37"/>
        <v>165</v>
      </c>
      <c r="S439" s="20" t="str">
        <f>IFERROR(IF([2]对账明细接口!$N439=0,"",[2]对账明细接口!$N439),"")</f>
        <v/>
      </c>
      <c r="T439" s="21" t="str">
        <f>IFERROR(IF([2]对账明细接口!$O439=0,"",[2]对账明细接口!$O439),"")</f>
        <v/>
      </c>
      <c r="U439" s="21" t="str">
        <f>IFERROR(IF([2]对账明细接口!$P439=0,"",[2]对账明细接口!$P439),"")</f>
        <v/>
      </c>
      <c r="V439" s="21" t="str">
        <f>IFERROR(IF([2]对账明细接口!$Q439=0,"",[2]对账明细接口!$Q439),"")</f>
        <v/>
      </c>
      <c r="W439" s="20" t="str">
        <f>IFERROR(IF([2]对账明细接口!$R439=0,"",[2]对账明细接口!$R439),"")</f>
        <v/>
      </c>
      <c r="X439" s="20" t="str">
        <f>IFERROR(IF([2]对账明细接口!$S439=0,"",[2]对账明细接口!$S439),"")</f>
        <v/>
      </c>
      <c r="Y439" s="20" t="str">
        <f t="shared" si="38"/>
        <v/>
      </c>
      <c r="Z439" s="20" t="str">
        <f t="shared" si="39"/>
        <v/>
      </c>
      <c r="AA439" s="20" t="str">
        <f t="shared" si="40"/>
        <v/>
      </c>
      <c r="AB439" s="20" t="str">
        <f t="shared" si="41"/>
        <v/>
      </c>
    </row>
    <row r="440" customHeight="1" spans="1:28">
      <c r="A440" s="14">
        <v>440</v>
      </c>
      <c r="B440" s="15" t="str">
        <f>IFERROR(IF([2]对账明细接口!$B$440=0,"",[2]对账明细接口!$B$440),"")</f>
        <v/>
      </c>
      <c r="C440" s="16" t="str">
        <f>IFERROR(IF([2]对账明细接口!$C$440=0,"",[2]对账明细接口!$C$440),"")</f>
        <v/>
      </c>
      <c r="D440" s="16" t="str">
        <f>IFERROR(IF([2]对账明细接口!$D$440=0,"",[2]对账明细接口!$D$440),"")</f>
        <v/>
      </c>
      <c r="E440" s="16" t="str">
        <f>IFERROR(IF([2]对账明细接口!$E$440=0,"",[2]对账明细接口!$E$440),"")</f>
        <v/>
      </c>
      <c r="F440" s="16" t="str">
        <f>IFERROR(IF([2]对账明细接口!$F$440=0,"",[2]对账明细接口!$F$440),"")</f>
        <v/>
      </c>
      <c r="G440" s="16" t="str">
        <f>IFERROR(IF([2]对账明细接口!$G$440=0,"",[2]对账明细接口!$G$440),"")</f>
        <v/>
      </c>
      <c r="H440" s="17" t="str">
        <f>IFERROR(IF([2]对账明细接口!$H$440=0,"",[2]对账明细接口!$H$440),"")</f>
        <v/>
      </c>
      <c r="I440" s="16" t="str">
        <f>IFERROR(IF([2]对账明细接口!$I$440=0,"",[2]对账明细接口!$I$440),"")</f>
        <v/>
      </c>
      <c r="J440" s="18" t="str">
        <f>IFERROR(IF([2]对账明细接口!$J$440=0,"",[2]对账明细接口!$J$440),"")</f>
        <v/>
      </c>
      <c r="K440" s="18" t="str">
        <f>IFERROR(IF([2]对账明细接口!$K$440=0,"",[2]对账明细接口!$K$440),"")</f>
        <v/>
      </c>
      <c r="L440" s="16" t="str">
        <f>IFERROR(IF([2]对账明细接口!$L$440=0,"",[2]对账明细接口!$L$440),"")</f>
        <v/>
      </c>
      <c r="M440" s="16" t="str">
        <f>IFERROR(IF([2]对账明细接口!$M$440=0,"",[2]对账明细接口!$M$440),"")</f>
        <v/>
      </c>
      <c r="N440" s="19">
        <f t="shared" si="36"/>
        <v>0</v>
      </c>
      <c r="O440" s="19">
        <f t="shared" si="37"/>
        <v>165</v>
      </c>
      <c r="S440" s="20" t="str">
        <f>IFERROR(IF([2]对账明细接口!$N440=0,"",[2]对账明细接口!$N440),"")</f>
        <v/>
      </c>
      <c r="T440" s="21" t="str">
        <f>IFERROR(IF([2]对账明细接口!$O440=0,"",[2]对账明细接口!$O440),"")</f>
        <v/>
      </c>
      <c r="U440" s="21" t="str">
        <f>IFERROR(IF([2]对账明细接口!$P440=0,"",[2]对账明细接口!$P440),"")</f>
        <v/>
      </c>
      <c r="V440" s="21" t="str">
        <f>IFERROR(IF([2]对账明细接口!$Q440=0,"",[2]对账明细接口!$Q440),"")</f>
        <v/>
      </c>
      <c r="W440" s="20" t="str">
        <f>IFERROR(IF([2]对账明细接口!$R440=0,"",[2]对账明细接口!$R440),"")</f>
        <v/>
      </c>
      <c r="X440" s="20" t="str">
        <f>IFERROR(IF([2]对账明细接口!$S440=0,"",[2]对账明细接口!$S440),"")</f>
        <v/>
      </c>
      <c r="Y440" s="20" t="str">
        <f t="shared" si="38"/>
        <v/>
      </c>
      <c r="Z440" s="20" t="str">
        <f t="shared" si="39"/>
        <v/>
      </c>
      <c r="AA440" s="20" t="str">
        <f t="shared" si="40"/>
        <v/>
      </c>
      <c r="AB440" s="20" t="str">
        <f t="shared" si="41"/>
        <v/>
      </c>
    </row>
    <row r="441" customHeight="1" spans="1:28">
      <c r="A441" s="14">
        <v>441</v>
      </c>
      <c r="B441" s="15" t="str">
        <f>IFERROR(IF([2]对账明细接口!$B$441=0,"",[2]对账明细接口!$B$441),"")</f>
        <v/>
      </c>
      <c r="C441" s="16" t="str">
        <f>IFERROR(IF([2]对账明细接口!$C$441=0,"",[2]对账明细接口!$C$441),"")</f>
        <v/>
      </c>
      <c r="D441" s="16" t="str">
        <f>IFERROR(IF([2]对账明细接口!$D$441=0,"",[2]对账明细接口!$D$441),"")</f>
        <v/>
      </c>
      <c r="E441" s="16" t="str">
        <f>IFERROR(IF([2]对账明细接口!$E$441=0,"",[2]对账明细接口!$E$441),"")</f>
        <v/>
      </c>
      <c r="F441" s="16" t="str">
        <f>IFERROR(IF([2]对账明细接口!$F$441=0,"",[2]对账明细接口!$F$441),"")</f>
        <v/>
      </c>
      <c r="G441" s="16" t="str">
        <f>IFERROR(IF([2]对账明细接口!$G$441=0,"",[2]对账明细接口!$G$441),"")</f>
        <v/>
      </c>
      <c r="H441" s="17" t="str">
        <f>IFERROR(IF([2]对账明细接口!$H$441=0,"",[2]对账明细接口!$H$441),"")</f>
        <v/>
      </c>
      <c r="I441" s="16" t="str">
        <f>IFERROR(IF([2]对账明细接口!$I$441=0,"",[2]对账明细接口!$I$441),"")</f>
        <v/>
      </c>
      <c r="J441" s="18" t="str">
        <f>IFERROR(IF([2]对账明细接口!$J$441=0,"",[2]对账明细接口!$J$441),"")</f>
        <v/>
      </c>
      <c r="K441" s="18" t="str">
        <f>IFERROR(IF([2]对账明细接口!$K$441=0,"",[2]对账明细接口!$K$441),"")</f>
        <v/>
      </c>
      <c r="L441" s="16" t="str">
        <f>IFERROR(IF([2]对账明细接口!$L$441=0,"",[2]对账明细接口!$L$441),"")</f>
        <v/>
      </c>
      <c r="M441" s="16" t="str">
        <f>IFERROR(IF([2]对账明细接口!$M$441=0,"",[2]对账明细接口!$M$441),"")</f>
        <v/>
      </c>
      <c r="N441" s="19">
        <f t="shared" si="36"/>
        <v>0</v>
      </c>
      <c r="O441" s="19">
        <f t="shared" si="37"/>
        <v>165</v>
      </c>
      <c r="S441" s="20" t="str">
        <f>IFERROR(IF([2]对账明细接口!$N441=0,"",[2]对账明细接口!$N441),"")</f>
        <v/>
      </c>
      <c r="T441" s="21" t="str">
        <f>IFERROR(IF([2]对账明细接口!$O441=0,"",[2]对账明细接口!$O441),"")</f>
        <v/>
      </c>
      <c r="U441" s="21" t="str">
        <f>IFERROR(IF([2]对账明细接口!$P441=0,"",[2]对账明细接口!$P441),"")</f>
        <v/>
      </c>
      <c r="V441" s="21" t="str">
        <f>IFERROR(IF([2]对账明细接口!$Q441=0,"",[2]对账明细接口!$Q441),"")</f>
        <v/>
      </c>
      <c r="W441" s="20" t="str">
        <f>IFERROR(IF([2]对账明细接口!$R441=0,"",[2]对账明细接口!$R441),"")</f>
        <v/>
      </c>
      <c r="X441" s="20" t="str">
        <f>IFERROR(IF([2]对账明细接口!$S441=0,"",[2]对账明细接口!$S441),"")</f>
        <v/>
      </c>
      <c r="Y441" s="20" t="str">
        <f t="shared" si="38"/>
        <v/>
      </c>
      <c r="Z441" s="20" t="str">
        <f t="shared" si="39"/>
        <v/>
      </c>
      <c r="AA441" s="20" t="str">
        <f t="shared" si="40"/>
        <v/>
      </c>
      <c r="AB441" s="20" t="str">
        <f t="shared" si="41"/>
        <v/>
      </c>
    </row>
    <row r="442" customHeight="1" spans="1:28">
      <c r="A442" s="14">
        <v>442</v>
      </c>
      <c r="B442" s="15" t="str">
        <f>IFERROR(IF([2]对账明细接口!$B$442=0,"",[2]对账明细接口!$B$442),"")</f>
        <v/>
      </c>
      <c r="C442" s="16" t="str">
        <f>IFERROR(IF([2]对账明细接口!$C$442=0,"",[2]对账明细接口!$C$442),"")</f>
        <v/>
      </c>
      <c r="D442" s="16" t="str">
        <f>IFERROR(IF([2]对账明细接口!$D$442=0,"",[2]对账明细接口!$D$442),"")</f>
        <v/>
      </c>
      <c r="E442" s="16" t="str">
        <f>IFERROR(IF([2]对账明细接口!$E$442=0,"",[2]对账明细接口!$E$442),"")</f>
        <v/>
      </c>
      <c r="F442" s="16" t="str">
        <f>IFERROR(IF([2]对账明细接口!$F$442=0,"",[2]对账明细接口!$F$442),"")</f>
        <v/>
      </c>
      <c r="G442" s="16" t="str">
        <f>IFERROR(IF([2]对账明细接口!$G$442=0,"",[2]对账明细接口!$G$442),"")</f>
        <v/>
      </c>
      <c r="H442" s="17" t="str">
        <f>IFERROR(IF([2]对账明细接口!$H$442=0,"",[2]对账明细接口!$H$442),"")</f>
        <v/>
      </c>
      <c r="I442" s="16" t="str">
        <f>IFERROR(IF([2]对账明细接口!$I$442=0,"",[2]对账明细接口!$I$442),"")</f>
        <v/>
      </c>
      <c r="J442" s="18" t="str">
        <f>IFERROR(IF([2]对账明细接口!$J$442=0,"",[2]对账明细接口!$J$442),"")</f>
        <v/>
      </c>
      <c r="K442" s="18" t="str">
        <f>IFERROR(IF([2]对账明细接口!$K$442=0,"",[2]对账明细接口!$K$442),"")</f>
        <v/>
      </c>
      <c r="L442" s="16" t="str">
        <f>IFERROR(IF([2]对账明细接口!$L$442=0,"",[2]对账明细接口!$L$442),"")</f>
        <v/>
      </c>
      <c r="M442" s="16" t="str">
        <f>IFERROR(IF([2]对账明细接口!$M$442=0,"",[2]对账明细接口!$M$442),"")</f>
        <v/>
      </c>
      <c r="N442" s="19">
        <f t="shared" si="36"/>
        <v>0</v>
      </c>
      <c r="O442" s="19">
        <f t="shared" si="37"/>
        <v>165</v>
      </c>
      <c r="S442" s="20" t="str">
        <f>IFERROR(IF([2]对账明细接口!$N442=0,"",[2]对账明细接口!$N442),"")</f>
        <v/>
      </c>
      <c r="T442" s="21" t="str">
        <f>IFERROR(IF([2]对账明细接口!$O442=0,"",[2]对账明细接口!$O442),"")</f>
        <v/>
      </c>
      <c r="U442" s="21" t="str">
        <f>IFERROR(IF([2]对账明细接口!$P442=0,"",[2]对账明细接口!$P442),"")</f>
        <v/>
      </c>
      <c r="V442" s="21" t="str">
        <f>IFERROR(IF([2]对账明细接口!$Q442=0,"",[2]对账明细接口!$Q442),"")</f>
        <v/>
      </c>
      <c r="W442" s="20" t="str">
        <f>IFERROR(IF([2]对账明细接口!$R442=0,"",[2]对账明细接口!$R442),"")</f>
        <v/>
      </c>
      <c r="X442" s="20" t="str">
        <f>IFERROR(IF([2]对账明细接口!$S442=0,"",[2]对账明细接口!$S442),"")</f>
        <v/>
      </c>
      <c r="Y442" s="20" t="str">
        <f t="shared" si="38"/>
        <v/>
      </c>
      <c r="Z442" s="20" t="str">
        <f t="shared" si="39"/>
        <v/>
      </c>
      <c r="AA442" s="20" t="str">
        <f t="shared" si="40"/>
        <v/>
      </c>
      <c r="AB442" s="20" t="str">
        <f t="shared" si="41"/>
        <v/>
      </c>
    </row>
    <row r="443" customHeight="1" spans="1:28">
      <c r="A443" s="14">
        <v>443</v>
      </c>
      <c r="B443" s="15" t="str">
        <f>IFERROR(IF([2]对账明细接口!$B$443=0,"",[2]对账明细接口!$B$443),"")</f>
        <v/>
      </c>
      <c r="C443" s="16" t="str">
        <f>IFERROR(IF([2]对账明细接口!$C$443=0,"",[2]对账明细接口!$C$443),"")</f>
        <v/>
      </c>
      <c r="D443" s="16" t="str">
        <f>IFERROR(IF([2]对账明细接口!$D$443=0,"",[2]对账明细接口!$D$443),"")</f>
        <v/>
      </c>
      <c r="E443" s="16" t="str">
        <f>IFERROR(IF([2]对账明细接口!$E$443=0,"",[2]对账明细接口!$E$443),"")</f>
        <v/>
      </c>
      <c r="F443" s="16" t="str">
        <f>IFERROR(IF([2]对账明细接口!$F$443=0,"",[2]对账明细接口!$F$443),"")</f>
        <v/>
      </c>
      <c r="G443" s="16" t="str">
        <f>IFERROR(IF([2]对账明细接口!$G$443=0,"",[2]对账明细接口!$G$443),"")</f>
        <v/>
      </c>
      <c r="H443" s="17" t="str">
        <f>IFERROR(IF([2]对账明细接口!$H$443=0,"",[2]对账明细接口!$H$443),"")</f>
        <v/>
      </c>
      <c r="I443" s="16" t="str">
        <f>IFERROR(IF([2]对账明细接口!$I$443=0,"",[2]对账明细接口!$I$443),"")</f>
        <v/>
      </c>
      <c r="J443" s="18" t="str">
        <f>IFERROR(IF([2]对账明细接口!$J$443=0,"",[2]对账明细接口!$J$443),"")</f>
        <v/>
      </c>
      <c r="K443" s="18" t="str">
        <f>IFERROR(IF([2]对账明细接口!$K$443=0,"",[2]对账明细接口!$K$443),"")</f>
        <v/>
      </c>
      <c r="L443" s="16" t="str">
        <f>IFERROR(IF([2]对账明细接口!$L$443=0,"",[2]对账明细接口!$L$443),"")</f>
        <v/>
      </c>
      <c r="M443" s="16" t="str">
        <f>IFERROR(IF([2]对账明细接口!$M$443=0,"",[2]对账明细接口!$M$443),"")</f>
        <v/>
      </c>
      <c r="N443" s="19">
        <f t="shared" si="36"/>
        <v>0</v>
      </c>
      <c r="O443" s="19">
        <f t="shared" si="37"/>
        <v>165</v>
      </c>
      <c r="S443" s="20" t="str">
        <f>IFERROR(IF([2]对账明细接口!$N443=0,"",[2]对账明细接口!$N443),"")</f>
        <v/>
      </c>
      <c r="T443" s="21" t="str">
        <f>IFERROR(IF([2]对账明细接口!$O443=0,"",[2]对账明细接口!$O443),"")</f>
        <v/>
      </c>
      <c r="U443" s="21" t="str">
        <f>IFERROR(IF([2]对账明细接口!$P443=0,"",[2]对账明细接口!$P443),"")</f>
        <v/>
      </c>
      <c r="V443" s="21" t="str">
        <f>IFERROR(IF([2]对账明细接口!$Q443=0,"",[2]对账明细接口!$Q443),"")</f>
        <v/>
      </c>
      <c r="W443" s="20" t="str">
        <f>IFERROR(IF([2]对账明细接口!$R443=0,"",[2]对账明细接口!$R443),"")</f>
        <v/>
      </c>
      <c r="X443" s="20" t="str">
        <f>IFERROR(IF([2]对账明细接口!$S443=0,"",[2]对账明细接口!$S443),"")</f>
        <v/>
      </c>
      <c r="Y443" s="20" t="str">
        <f t="shared" si="38"/>
        <v/>
      </c>
      <c r="Z443" s="20" t="str">
        <f t="shared" si="39"/>
        <v/>
      </c>
      <c r="AA443" s="20" t="str">
        <f t="shared" si="40"/>
        <v/>
      </c>
      <c r="AB443" s="20" t="str">
        <f t="shared" si="41"/>
        <v/>
      </c>
    </row>
    <row r="444" customHeight="1" spans="1:28">
      <c r="A444" s="14">
        <v>444</v>
      </c>
      <c r="B444" s="15" t="str">
        <f>IFERROR(IF([2]对账明细接口!$B$444=0,"",[2]对账明细接口!$B$444),"")</f>
        <v/>
      </c>
      <c r="C444" s="16" t="str">
        <f>IFERROR(IF([2]对账明细接口!$C$444=0,"",[2]对账明细接口!$C$444),"")</f>
        <v/>
      </c>
      <c r="D444" s="16" t="str">
        <f>IFERROR(IF([2]对账明细接口!$D$444=0,"",[2]对账明细接口!$D$444),"")</f>
        <v/>
      </c>
      <c r="E444" s="16" t="str">
        <f>IFERROR(IF([2]对账明细接口!$E$444=0,"",[2]对账明细接口!$E$444),"")</f>
        <v/>
      </c>
      <c r="F444" s="16" t="str">
        <f>IFERROR(IF([2]对账明细接口!$F$444=0,"",[2]对账明细接口!$F$444),"")</f>
        <v/>
      </c>
      <c r="G444" s="16" t="str">
        <f>IFERROR(IF([2]对账明细接口!$G$444=0,"",[2]对账明细接口!$G$444),"")</f>
        <v/>
      </c>
      <c r="H444" s="17" t="str">
        <f>IFERROR(IF([2]对账明细接口!$H$444=0,"",[2]对账明细接口!$H$444),"")</f>
        <v/>
      </c>
      <c r="I444" s="16" t="str">
        <f>IFERROR(IF([2]对账明细接口!$I$444=0,"",[2]对账明细接口!$I$444),"")</f>
        <v/>
      </c>
      <c r="J444" s="18" t="str">
        <f>IFERROR(IF([2]对账明细接口!$J$444=0,"",[2]对账明细接口!$J$444),"")</f>
        <v/>
      </c>
      <c r="K444" s="18" t="str">
        <f>IFERROR(IF([2]对账明细接口!$K$444=0,"",[2]对账明细接口!$K$444),"")</f>
        <v/>
      </c>
      <c r="L444" s="16" t="str">
        <f>IFERROR(IF([2]对账明细接口!$L$444=0,"",[2]对账明细接口!$L$444),"")</f>
        <v/>
      </c>
      <c r="M444" s="16" t="str">
        <f>IFERROR(IF([2]对账明细接口!$M$444=0,"",[2]对账明细接口!$M$444),"")</f>
        <v/>
      </c>
      <c r="N444" s="19">
        <f t="shared" si="36"/>
        <v>0</v>
      </c>
      <c r="O444" s="19">
        <f t="shared" si="37"/>
        <v>165</v>
      </c>
      <c r="S444" s="20" t="str">
        <f>IFERROR(IF([2]对账明细接口!$N444=0,"",[2]对账明细接口!$N444),"")</f>
        <v/>
      </c>
      <c r="T444" s="21" t="str">
        <f>IFERROR(IF([2]对账明细接口!$O444=0,"",[2]对账明细接口!$O444),"")</f>
        <v/>
      </c>
      <c r="U444" s="21" t="str">
        <f>IFERROR(IF([2]对账明细接口!$P444=0,"",[2]对账明细接口!$P444),"")</f>
        <v/>
      </c>
      <c r="V444" s="21" t="str">
        <f>IFERROR(IF([2]对账明细接口!$Q444=0,"",[2]对账明细接口!$Q444),"")</f>
        <v/>
      </c>
      <c r="W444" s="20" t="str">
        <f>IFERROR(IF([2]对账明细接口!$R444=0,"",[2]对账明细接口!$R444),"")</f>
        <v/>
      </c>
      <c r="X444" s="20" t="str">
        <f>IFERROR(IF([2]对账明细接口!$S444=0,"",[2]对账明细接口!$S444),"")</f>
        <v/>
      </c>
      <c r="Y444" s="20" t="str">
        <f t="shared" si="38"/>
        <v/>
      </c>
      <c r="Z444" s="20" t="str">
        <f t="shared" si="39"/>
        <v/>
      </c>
      <c r="AA444" s="20" t="str">
        <f t="shared" si="40"/>
        <v/>
      </c>
      <c r="AB444" s="20" t="str">
        <f t="shared" si="41"/>
        <v/>
      </c>
    </row>
    <row r="445" customHeight="1" spans="1:28">
      <c r="A445" s="14">
        <v>445</v>
      </c>
      <c r="B445" s="15" t="str">
        <f>IFERROR(IF([2]对账明细接口!$B$445=0,"",[2]对账明细接口!$B$445),"")</f>
        <v/>
      </c>
      <c r="C445" s="16" t="str">
        <f>IFERROR(IF([2]对账明细接口!$C$445=0,"",[2]对账明细接口!$C$445),"")</f>
        <v/>
      </c>
      <c r="D445" s="16" t="str">
        <f>IFERROR(IF([2]对账明细接口!$D$445=0,"",[2]对账明细接口!$D$445),"")</f>
        <v/>
      </c>
      <c r="E445" s="16" t="str">
        <f>IFERROR(IF([2]对账明细接口!$E$445=0,"",[2]对账明细接口!$E$445),"")</f>
        <v/>
      </c>
      <c r="F445" s="16" t="str">
        <f>IFERROR(IF([2]对账明细接口!$F$445=0,"",[2]对账明细接口!$F$445),"")</f>
        <v/>
      </c>
      <c r="G445" s="16" t="str">
        <f>IFERROR(IF([2]对账明细接口!$G$445=0,"",[2]对账明细接口!$G$445),"")</f>
        <v/>
      </c>
      <c r="H445" s="17" t="str">
        <f>IFERROR(IF([2]对账明细接口!$H$445=0,"",[2]对账明细接口!$H$445),"")</f>
        <v/>
      </c>
      <c r="I445" s="16" t="str">
        <f>IFERROR(IF([2]对账明细接口!$I$445=0,"",[2]对账明细接口!$I$445),"")</f>
        <v/>
      </c>
      <c r="J445" s="18" t="str">
        <f>IFERROR(IF([2]对账明细接口!$J$445=0,"",[2]对账明细接口!$J$445),"")</f>
        <v/>
      </c>
      <c r="K445" s="18" t="str">
        <f>IFERROR(IF([2]对账明细接口!$K$445=0,"",[2]对账明细接口!$K$445),"")</f>
        <v/>
      </c>
      <c r="L445" s="16" t="str">
        <f>IFERROR(IF([2]对账明细接口!$L$445=0,"",[2]对账明细接口!$L$445),"")</f>
        <v/>
      </c>
      <c r="M445" s="16" t="str">
        <f>IFERROR(IF([2]对账明细接口!$M$445=0,"",[2]对账明细接口!$M$445),"")</f>
        <v/>
      </c>
      <c r="N445" s="19">
        <f t="shared" si="36"/>
        <v>0</v>
      </c>
      <c r="O445" s="19">
        <f t="shared" si="37"/>
        <v>165</v>
      </c>
      <c r="S445" s="20" t="str">
        <f>IFERROR(IF([2]对账明细接口!$N445=0,"",[2]对账明细接口!$N445),"")</f>
        <v/>
      </c>
      <c r="T445" s="21" t="str">
        <f>IFERROR(IF([2]对账明细接口!$O445=0,"",[2]对账明细接口!$O445),"")</f>
        <v/>
      </c>
      <c r="U445" s="21" t="str">
        <f>IFERROR(IF([2]对账明细接口!$P445=0,"",[2]对账明细接口!$P445),"")</f>
        <v/>
      </c>
      <c r="V445" s="21" t="str">
        <f>IFERROR(IF([2]对账明细接口!$Q445=0,"",[2]对账明细接口!$Q445),"")</f>
        <v/>
      </c>
      <c r="W445" s="20" t="str">
        <f>IFERROR(IF([2]对账明细接口!$R445=0,"",[2]对账明细接口!$R445),"")</f>
        <v/>
      </c>
      <c r="X445" s="20" t="str">
        <f>IFERROR(IF([2]对账明细接口!$S445=0,"",[2]对账明细接口!$S445),"")</f>
        <v/>
      </c>
      <c r="Y445" s="20" t="str">
        <f t="shared" si="38"/>
        <v/>
      </c>
      <c r="Z445" s="20" t="str">
        <f t="shared" si="39"/>
        <v/>
      </c>
      <c r="AA445" s="20" t="str">
        <f t="shared" si="40"/>
        <v/>
      </c>
      <c r="AB445" s="20" t="str">
        <f t="shared" si="41"/>
        <v/>
      </c>
    </row>
    <row r="446" customHeight="1" spans="1:28">
      <c r="A446" s="14">
        <v>446</v>
      </c>
      <c r="B446" s="15" t="str">
        <f>IFERROR(IF([2]对账明细接口!$B$446=0,"",[2]对账明细接口!$B$446),"")</f>
        <v/>
      </c>
      <c r="C446" s="16" t="str">
        <f>IFERROR(IF([2]对账明细接口!$C$446=0,"",[2]对账明细接口!$C$446),"")</f>
        <v/>
      </c>
      <c r="D446" s="16" t="str">
        <f>IFERROR(IF([2]对账明细接口!$D$446=0,"",[2]对账明细接口!$D$446),"")</f>
        <v/>
      </c>
      <c r="E446" s="16" t="str">
        <f>IFERROR(IF([2]对账明细接口!$E$446=0,"",[2]对账明细接口!$E$446),"")</f>
        <v/>
      </c>
      <c r="F446" s="16" t="str">
        <f>IFERROR(IF([2]对账明细接口!$F$446=0,"",[2]对账明细接口!$F$446),"")</f>
        <v/>
      </c>
      <c r="G446" s="16" t="str">
        <f>IFERROR(IF([2]对账明细接口!$G$446=0,"",[2]对账明细接口!$G$446),"")</f>
        <v/>
      </c>
      <c r="H446" s="17" t="str">
        <f>IFERROR(IF([2]对账明细接口!$H$446=0,"",[2]对账明细接口!$H$446),"")</f>
        <v/>
      </c>
      <c r="I446" s="16" t="str">
        <f>IFERROR(IF([2]对账明细接口!$I$446=0,"",[2]对账明细接口!$I$446),"")</f>
        <v/>
      </c>
      <c r="J446" s="18" t="str">
        <f>IFERROR(IF([2]对账明细接口!$J$446=0,"",[2]对账明细接口!$J$446),"")</f>
        <v/>
      </c>
      <c r="K446" s="18" t="str">
        <f>IFERROR(IF([2]对账明细接口!$K$446=0,"",[2]对账明细接口!$K$446),"")</f>
        <v/>
      </c>
      <c r="L446" s="16" t="str">
        <f>IFERROR(IF([2]对账明细接口!$L$446=0,"",[2]对账明细接口!$L$446),"")</f>
        <v/>
      </c>
      <c r="M446" s="16" t="str">
        <f>IFERROR(IF([2]对账明细接口!$M$446=0,"",[2]对账明细接口!$M$446),"")</f>
        <v/>
      </c>
      <c r="N446" s="19">
        <f t="shared" si="36"/>
        <v>0</v>
      </c>
      <c r="O446" s="19">
        <f t="shared" si="37"/>
        <v>165</v>
      </c>
      <c r="S446" s="20" t="str">
        <f>IFERROR(IF([2]对账明细接口!$N446=0,"",[2]对账明细接口!$N446),"")</f>
        <v/>
      </c>
      <c r="T446" s="21" t="str">
        <f>IFERROR(IF([2]对账明细接口!$O446=0,"",[2]对账明细接口!$O446),"")</f>
        <v/>
      </c>
      <c r="U446" s="21" t="str">
        <f>IFERROR(IF([2]对账明细接口!$P446=0,"",[2]对账明细接口!$P446),"")</f>
        <v/>
      </c>
      <c r="V446" s="21" t="str">
        <f>IFERROR(IF([2]对账明细接口!$Q446=0,"",[2]对账明细接口!$Q446),"")</f>
        <v/>
      </c>
      <c r="W446" s="20" t="str">
        <f>IFERROR(IF([2]对账明细接口!$R446=0,"",[2]对账明细接口!$R446),"")</f>
        <v/>
      </c>
      <c r="X446" s="20" t="str">
        <f>IFERROR(IF([2]对账明细接口!$S446=0,"",[2]对账明细接口!$S446),"")</f>
        <v/>
      </c>
      <c r="Y446" s="20" t="str">
        <f t="shared" si="38"/>
        <v/>
      </c>
      <c r="Z446" s="20" t="str">
        <f t="shared" si="39"/>
        <v/>
      </c>
      <c r="AA446" s="20" t="str">
        <f t="shared" si="40"/>
        <v/>
      </c>
      <c r="AB446" s="20" t="str">
        <f t="shared" si="41"/>
        <v/>
      </c>
    </row>
    <row r="447" customHeight="1" spans="1:28">
      <c r="A447" s="14">
        <v>447</v>
      </c>
      <c r="B447" s="15" t="str">
        <f>IFERROR(IF([2]对账明细接口!$B$447=0,"",[2]对账明细接口!$B$447),"")</f>
        <v/>
      </c>
      <c r="C447" s="16" t="str">
        <f>IFERROR(IF([2]对账明细接口!$C$447=0,"",[2]对账明细接口!$C$447),"")</f>
        <v/>
      </c>
      <c r="D447" s="16" t="str">
        <f>IFERROR(IF([2]对账明细接口!$D$447=0,"",[2]对账明细接口!$D$447),"")</f>
        <v/>
      </c>
      <c r="E447" s="16" t="str">
        <f>IFERROR(IF([2]对账明细接口!$E$447=0,"",[2]对账明细接口!$E$447),"")</f>
        <v/>
      </c>
      <c r="F447" s="16" t="str">
        <f>IFERROR(IF([2]对账明细接口!$F$447=0,"",[2]对账明细接口!$F$447),"")</f>
        <v/>
      </c>
      <c r="G447" s="16" t="str">
        <f>IFERROR(IF([2]对账明细接口!$G$447=0,"",[2]对账明细接口!$G$447),"")</f>
        <v/>
      </c>
      <c r="H447" s="17" t="str">
        <f>IFERROR(IF([2]对账明细接口!$H$447=0,"",[2]对账明细接口!$H$447),"")</f>
        <v/>
      </c>
      <c r="I447" s="16" t="str">
        <f>IFERROR(IF([2]对账明细接口!$I$447=0,"",[2]对账明细接口!$I$447),"")</f>
        <v/>
      </c>
      <c r="J447" s="18" t="str">
        <f>IFERROR(IF([2]对账明细接口!$J$447=0,"",[2]对账明细接口!$J$447),"")</f>
        <v/>
      </c>
      <c r="K447" s="18" t="str">
        <f>IFERROR(IF([2]对账明细接口!$K$447=0,"",[2]对账明细接口!$K$447),"")</f>
        <v/>
      </c>
      <c r="L447" s="16" t="str">
        <f>IFERROR(IF([2]对账明细接口!$L$447=0,"",[2]对账明细接口!$L$447),"")</f>
        <v/>
      </c>
      <c r="M447" s="16" t="str">
        <f>IFERROR(IF([2]对账明细接口!$M$447=0,"",[2]对账明细接口!$M$447),"")</f>
        <v/>
      </c>
      <c r="N447" s="19">
        <f t="shared" si="36"/>
        <v>0</v>
      </c>
      <c r="O447" s="19">
        <f t="shared" si="37"/>
        <v>165</v>
      </c>
      <c r="S447" s="20" t="str">
        <f>IFERROR(IF([2]对账明细接口!$N447=0,"",[2]对账明细接口!$N447),"")</f>
        <v/>
      </c>
      <c r="T447" s="21" t="str">
        <f>IFERROR(IF([2]对账明细接口!$O447=0,"",[2]对账明细接口!$O447),"")</f>
        <v/>
      </c>
      <c r="U447" s="21" t="str">
        <f>IFERROR(IF([2]对账明细接口!$P447=0,"",[2]对账明细接口!$P447),"")</f>
        <v/>
      </c>
      <c r="V447" s="21" t="str">
        <f>IFERROR(IF([2]对账明细接口!$Q447=0,"",[2]对账明细接口!$Q447),"")</f>
        <v/>
      </c>
      <c r="W447" s="20" t="str">
        <f>IFERROR(IF([2]对账明细接口!$R447=0,"",[2]对账明细接口!$R447),"")</f>
        <v/>
      </c>
      <c r="X447" s="20" t="str">
        <f>IFERROR(IF([2]对账明细接口!$S447=0,"",[2]对账明细接口!$S447),"")</f>
        <v/>
      </c>
      <c r="Y447" s="20" t="str">
        <f t="shared" si="38"/>
        <v/>
      </c>
      <c r="Z447" s="20" t="str">
        <f t="shared" si="39"/>
        <v/>
      </c>
      <c r="AA447" s="20" t="str">
        <f t="shared" si="40"/>
        <v/>
      </c>
      <c r="AB447" s="20" t="str">
        <f t="shared" si="41"/>
        <v/>
      </c>
    </row>
    <row r="448" customHeight="1" spans="1:28">
      <c r="A448" s="14">
        <v>448</v>
      </c>
      <c r="B448" s="15" t="str">
        <f>IFERROR(IF([2]对账明细接口!$B$448=0,"",[2]对账明细接口!$B$448),"")</f>
        <v/>
      </c>
      <c r="C448" s="16" t="str">
        <f>IFERROR(IF([2]对账明细接口!$C$448=0,"",[2]对账明细接口!$C$448),"")</f>
        <v/>
      </c>
      <c r="D448" s="16" t="str">
        <f>IFERROR(IF([2]对账明细接口!$D$448=0,"",[2]对账明细接口!$D$448),"")</f>
        <v/>
      </c>
      <c r="E448" s="16" t="str">
        <f>IFERROR(IF([2]对账明细接口!$E$448=0,"",[2]对账明细接口!$E$448),"")</f>
        <v/>
      </c>
      <c r="F448" s="16" t="str">
        <f>IFERROR(IF([2]对账明细接口!$F$448=0,"",[2]对账明细接口!$F$448),"")</f>
        <v/>
      </c>
      <c r="G448" s="16" t="str">
        <f>IFERROR(IF([2]对账明细接口!$G$448=0,"",[2]对账明细接口!$G$448),"")</f>
        <v/>
      </c>
      <c r="H448" s="17" t="str">
        <f>IFERROR(IF([2]对账明细接口!$H$448=0,"",[2]对账明细接口!$H$448),"")</f>
        <v/>
      </c>
      <c r="I448" s="16" t="str">
        <f>IFERROR(IF([2]对账明细接口!$I$448=0,"",[2]对账明细接口!$I$448),"")</f>
        <v/>
      </c>
      <c r="J448" s="18" t="str">
        <f>IFERROR(IF([2]对账明细接口!$J$448=0,"",[2]对账明细接口!$J$448),"")</f>
        <v/>
      </c>
      <c r="K448" s="18" t="str">
        <f>IFERROR(IF([2]对账明细接口!$K$448=0,"",[2]对账明细接口!$K$448),"")</f>
        <v/>
      </c>
      <c r="L448" s="16" t="str">
        <f>IFERROR(IF([2]对账明细接口!$L$448=0,"",[2]对账明细接口!$L$448),"")</f>
        <v/>
      </c>
      <c r="M448" s="16" t="str">
        <f>IFERROR(IF([2]对账明细接口!$M$448=0,"",[2]对账明细接口!$M$448),"")</f>
        <v/>
      </c>
      <c r="N448" s="19">
        <f t="shared" si="36"/>
        <v>0</v>
      </c>
      <c r="O448" s="19">
        <f t="shared" si="37"/>
        <v>165</v>
      </c>
      <c r="S448" s="20" t="str">
        <f>IFERROR(IF([2]对账明细接口!$N448=0,"",[2]对账明细接口!$N448),"")</f>
        <v/>
      </c>
      <c r="T448" s="21" t="str">
        <f>IFERROR(IF([2]对账明细接口!$O448=0,"",[2]对账明细接口!$O448),"")</f>
        <v/>
      </c>
      <c r="U448" s="21" t="str">
        <f>IFERROR(IF([2]对账明细接口!$P448=0,"",[2]对账明细接口!$P448),"")</f>
        <v/>
      </c>
      <c r="V448" s="21" t="str">
        <f>IFERROR(IF([2]对账明细接口!$Q448=0,"",[2]对账明细接口!$Q448),"")</f>
        <v/>
      </c>
      <c r="W448" s="20" t="str">
        <f>IFERROR(IF([2]对账明细接口!$R448=0,"",[2]对账明细接口!$R448),"")</f>
        <v/>
      </c>
      <c r="X448" s="20" t="str">
        <f>IFERROR(IF([2]对账明细接口!$S448=0,"",[2]对账明细接口!$S448),"")</f>
        <v/>
      </c>
      <c r="Y448" s="20" t="str">
        <f t="shared" si="38"/>
        <v/>
      </c>
      <c r="Z448" s="20" t="str">
        <f t="shared" si="39"/>
        <v/>
      </c>
      <c r="AA448" s="20" t="str">
        <f t="shared" si="40"/>
        <v/>
      </c>
      <c r="AB448" s="20" t="str">
        <f t="shared" si="41"/>
        <v/>
      </c>
    </row>
    <row r="449" customHeight="1" spans="1:28">
      <c r="A449" s="14">
        <v>449</v>
      </c>
      <c r="B449" s="15" t="str">
        <f>IFERROR(IF([2]对账明细接口!$B$449=0,"",[2]对账明细接口!$B$449),"")</f>
        <v/>
      </c>
      <c r="C449" s="16" t="str">
        <f>IFERROR(IF([2]对账明细接口!$C$449=0,"",[2]对账明细接口!$C$449),"")</f>
        <v/>
      </c>
      <c r="D449" s="16" t="str">
        <f>IFERROR(IF([2]对账明细接口!$D$449=0,"",[2]对账明细接口!$D$449),"")</f>
        <v/>
      </c>
      <c r="E449" s="16" t="str">
        <f>IFERROR(IF([2]对账明细接口!$E$449=0,"",[2]对账明细接口!$E$449),"")</f>
        <v/>
      </c>
      <c r="F449" s="16" t="str">
        <f>IFERROR(IF([2]对账明细接口!$F$449=0,"",[2]对账明细接口!$F$449),"")</f>
        <v/>
      </c>
      <c r="G449" s="16" t="str">
        <f>IFERROR(IF([2]对账明细接口!$G$449=0,"",[2]对账明细接口!$G$449),"")</f>
        <v/>
      </c>
      <c r="H449" s="17" t="str">
        <f>IFERROR(IF([2]对账明细接口!$H$449=0,"",[2]对账明细接口!$H$449),"")</f>
        <v/>
      </c>
      <c r="I449" s="16" t="str">
        <f>IFERROR(IF([2]对账明细接口!$I$449=0,"",[2]对账明细接口!$I$449),"")</f>
        <v/>
      </c>
      <c r="J449" s="18" t="str">
        <f>IFERROR(IF([2]对账明细接口!$J$449=0,"",[2]对账明细接口!$J$449),"")</f>
        <v/>
      </c>
      <c r="K449" s="18" t="str">
        <f>IFERROR(IF([2]对账明细接口!$K$449=0,"",[2]对账明细接口!$K$449),"")</f>
        <v/>
      </c>
      <c r="L449" s="16" t="str">
        <f>IFERROR(IF([2]对账明细接口!$L$449=0,"",[2]对账明细接口!$L$449),"")</f>
        <v/>
      </c>
      <c r="M449" s="16" t="str">
        <f>IFERROR(IF([2]对账明细接口!$M$449=0,"",[2]对账明细接口!$M$449),"")</f>
        <v/>
      </c>
      <c r="N449" s="19">
        <f t="shared" si="36"/>
        <v>0</v>
      </c>
      <c r="O449" s="19">
        <f t="shared" si="37"/>
        <v>165</v>
      </c>
      <c r="S449" s="20" t="str">
        <f>IFERROR(IF([2]对账明细接口!$N449=0,"",[2]对账明细接口!$N449),"")</f>
        <v/>
      </c>
      <c r="T449" s="21" t="str">
        <f>IFERROR(IF([2]对账明细接口!$O449=0,"",[2]对账明细接口!$O449),"")</f>
        <v/>
      </c>
      <c r="U449" s="21" t="str">
        <f>IFERROR(IF([2]对账明细接口!$P449=0,"",[2]对账明细接口!$P449),"")</f>
        <v/>
      </c>
      <c r="V449" s="21" t="str">
        <f>IFERROR(IF([2]对账明细接口!$Q449=0,"",[2]对账明细接口!$Q449),"")</f>
        <v/>
      </c>
      <c r="W449" s="20" t="str">
        <f>IFERROR(IF([2]对账明细接口!$R449=0,"",[2]对账明细接口!$R449),"")</f>
        <v/>
      </c>
      <c r="X449" s="20" t="str">
        <f>IFERROR(IF([2]对账明细接口!$S449=0,"",[2]对账明细接口!$S449),"")</f>
        <v/>
      </c>
      <c r="Y449" s="20" t="str">
        <f t="shared" si="38"/>
        <v/>
      </c>
      <c r="Z449" s="20" t="str">
        <f t="shared" si="39"/>
        <v/>
      </c>
      <c r="AA449" s="20" t="str">
        <f t="shared" si="40"/>
        <v/>
      </c>
      <c r="AB449" s="20" t="str">
        <f t="shared" si="41"/>
        <v/>
      </c>
    </row>
    <row r="450" customHeight="1" spans="1:28">
      <c r="A450" s="14">
        <v>450</v>
      </c>
      <c r="B450" s="15" t="str">
        <f>IFERROR(IF([2]对账明细接口!$B$450=0,"",[2]对账明细接口!$B$450),"")</f>
        <v/>
      </c>
      <c r="C450" s="16" t="str">
        <f>IFERROR(IF([2]对账明细接口!$C$450=0,"",[2]对账明细接口!$C$450),"")</f>
        <v/>
      </c>
      <c r="D450" s="16" t="str">
        <f>IFERROR(IF([2]对账明细接口!$D$450=0,"",[2]对账明细接口!$D$450),"")</f>
        <v/>
      </c>
      <c r="E450" s="16" t="str">
        <f>IFERROR(IF([2]对账明细接口!$E$450=0,"",[2]对账明细接口!$E$450),"")</f>
        <v/>
      </c>
      <c r="F450" s="16" t="str">
        <f>IFERROR(IF([2]对账明细接口!$F$450=0,"",[2]对账明细接口!$F$450),"")</f>
        <v/>
      </c>
      <c r="G450" s="16" t="str">
        <f>IFERROR(IF([2]对账明细接口!$G$450=0,"",[2]对账明细接口!$G$450),"")</f>
        <v/>
      </c>
      <c r="H450" s="17" t="str">
        <f>IFERROR(IF([2]对账明细接口!$H$450=0,"",[2]对账明细接口!$H$450),"")</f>
        <v/>
      </c>
      <c r="I450" s="16" t="str">
        <f>IFERROR(IF([2]对账明细接口!$I$450=0,"",[2]对账明细接口!$I$450),"")</f>
        <v/>
      </c>
      <c r="J450" s="18" t="str">
        <f>IFERROR(IF([2]对账明细接口!$J$450=0,"",[2]对账明细接口!$J$450),"")</f>
        <v/>
      </c>
      <c r="K450" s="18" t="str">
        <f>IFERROR(IF([2]对账明细接口!$K$450=0,"",[2]对账明细接口!$K$450),"")</f>
        <v/>
      </c>
      <c r="L450" s="16" t="str">
        <f>IFERROR(IF([2]对账明细接口!$L$450=0,"",[2]对账明细接口!$L$450),"")</f>
        <v/>
      </c>
      <c r="M450" s="16" t="str">
        <f>IFERROR(IF([2]对账明细接口!$M$450=0,"",[2]对账明细接口!$M$450),"")</f>
        <v/>
      </c>
      <c r="N450" s="19">
        <f t="shared" si="36"/>
        <v>0</v>
      </c>
      <c r="O450" s="19">
        <f t="shared" si="37"/>
        <v>165</v>
      </c>
      <c r="S450" s="20" t="str">
        <f>IFERROR(IF([2]对账明细接口!$N450=0,"",[2]对账明细接口!$N450),"")</f>
        <v/>
      </c>
      <c r="T450" s="21" t="str">
        <f>IFERROR(IF([2]对账明细接口!$O450=0,"",[2]对账明细接口!$O450),"")</f>
        <v/>
      </c>
      <c r="U450" s="21" t="str">
        <f>IFERROR(IF([2]对账明细接口!$P450=0,"",[2]对账明细接口!$P450),"")</f>
        <v/>
      </c>
      <c r="V450" s="21" t="str">
        <f>IFERROR(IF([2]对账明细接口!$Q450=0,"",[2]对账明细接口!$Q450),"")</f>
        <v/>
      </c>
      <c r="W450" s="20" t="str">
        <f>IFERROR(IF([2]对账明细接口!$R450=0,"",[2]对账明细接口!$R450),"")</f>
        <v/>
      </c>
      <c r="X450" s="20" t="str">
        <f>IFERROR(IF([2]对账明细接口!$S450=0,"",[2]对账明细接口!$S450),"")</f>
        <v/>
      </c>
      <c r="Y450" s="20" t="str">
        <f t="shared" si="38"/>
        <v/>
      </c>
      <c r="Z450" s="20" t="str">
        <f t="shared" si="39"/>
        <v/>
      </c>
      <c r="AA450" s="20" t="str">
        <f t="shared" si="40"/>
        <v/>
      </c>
      <c r="AB450" s="20" t="str">
        <f t="shared" si="41"/>
        <v/>
      </c>
    </row>
    <row r="451" customHeight="1" spans="1:28">
      <c r="A451" s="14">
        <v>451</v>
      </c>
      <c r="B451" s="15" t="str">
        <f>IFERROR(IF([2]对账明细接口!$B$451=0,"",[2]对账明细接口!$B$451),"")</f>
        <v/>
      </c>
      <c r="C451" s="16" t="str">
        <f>IFERROR(IF([2]对账明细接口!$C$451=0,"",[2]对账明细接口!$C$451),"")</f>
        <v/>
      </c>
      <c r="D451" s="16" t="str">
        <f>IFERROR(IF([2]对账明细接口!$D$451=0,"",[2]对账明细接口!$D$451),"")</f>
        <v/>
      </c>
      <c r="E451" s="16" t="str">
        <f>IFERROR(IF([2]对账明细接口!$E$451=0,"",[2]对账明细接口!$E$451),"")</f>
        <v/>
      </c>
      <c r="F451" s="16" t="str">
        <f>IFERROR(IF([2]对账明细接口!$F$451=0,"",[2]对账明细接口!$F$451),"")</f>
        <v/>
      </c>
      <c r="G451" s="16" t="str">
        <f>IFERROR(IF([2]对账明细接口!$G$451=0,"",[2]对账明细接口!$G$451),"")</f>
        <v/>
      </c>
      <c r="H451" s="17" t="str">
        <f>IFERROR(IF([2]对账明细接口!$H$451=0,"",[2]对账明细接口!$H$451),"")</f>
        <v/>
      </c>
      <c r="I451" s="16" t="str">
        <f>IFERROR(IF([2]对账明细接口!$I$451=0,"",[2]对账明细接口!$I$451),"")</f>
        <v/>
      </c>
      <c r="J451" s="18" t="str">
        <f>IFERROR(IF([2]对账明细接口!$J$451=0,"",[2]对账明细接口!$J$451),"")</f>
        <v/>
      </c>
      <c r="K451" s="18" t="str">
        <f>IFERROR(IF([2]对账明细接口!$K$451=0,"",[2]对账明细接口!$K$451),"")</f>
        <v/>
      </c>
      <c r="L451" s="16" t="str">
        <f>IFERROR(IF([2]对账明细接口!$L$451=0,"",[2]对账明细接口!$L$451),"")</f>
        <v/>
      </c>
      <c r="M451" s="16" t="str">
        <f>IFERROR(IF([2]对账明细接口!$M$451=0,"",[2]对账明细接口!$M$451),"")</f>
        <v/>
      </c>
      <c r="N451" s="19">
        <f t="shared" si="36"/>
        <v>0</v>
      </c>
      <c r="O451" s="19">
        <f t="shared" si="37"/>
        <v>165</v>
      </c>
      <c r="S451" s="20" t="str">
        <f>IFERROR(IF([2]对账明细接口!$N451=0,"",[2]对账明细接口!$N451),"")</f>
        <v/>
      </c>
      <c r="T451" s="21" t="str">
        <f>IFERROR(IF([2]对账明细接口!$O451=0,"",[2]对账明细接口!$O451),"")</f>
        <v/>
      </c>
      <c r="U451" s="21" t="str">
        <f>IFERROR(IF([2]对账明细接口!$P451=0,"",[2]对账明细接口!$P451),"")</f>
        <v/>
      </c>
      <c r="V451" s="21" t="str">
        <f>IFERROR(IF([2]对账明细接口!$Q451=0,"",[2]对账明细接口!$Q451),"")</f>
        <v/>
      </c>
      <c r="W451" s="20" t="str">
        <f>IFERROR(IF([2]对账明细接口!$R451=0,"",[2]对账明细接口!$R451),"")</f>
        <v/>
      </c>
      <c r="X451" s="20" t="str">
        <f>IFERROR(IF([2]对账明细接口!$S451=0,"",[2]对账明细接口!$S451),"")</f>
        <v/>
      </c>
      <c r="Y451" s="20" t="str">
        <f t="shared" si="38"/>
        <v/>
      </c>
      <c r="Z451" s="20" t="str">
        <f t="shared" si="39"/>
        <v/>
      </c>
      <c r="AA451" s="20" t="str">
        <f t="shared" si="40"/>
        <v/>
      </c>
      <c r="AB451" s="20" t="str">
        <f t="shared" si="41"/>
        <v/>
      </c>
    </row>
    <row r="452" customHeight="1" spans="1:28">
      <c r="A452" s="14">
        <v>452</v>
      </c>
      <c r="B452" s="15" t="str">
        <f>IFERROR(IF([2]对账明细接口!$B$452=0,"",[2]对账明细接口!$B$452),"")</f>
        <v/>
      </c>
      <c r="C452" s="16" t="str">
        <f>IFERROR(IF([2]对账明细接口!$C$452=0,"",[2]对账明细接口!$C$452),"")</f>
        <v/>
      </c>
      <c r="D452" s="16" t="str">
        <f>IFERROR(IF([2]对账明细接口!$D$452=0,"",[2]对账明细接口!$D$452),"")</f>
        <v/>
      </c>
      <c r="E452" s="16" t="str">
        <f>IFERROR(IF([2]对账明细接口!$E$452=0,"",[2]对账明细接口!$E$452),"")</f>
        <v/>
      </c>
      <c r="F452" s="16" t="str">
        <f>IFERROR(IF([2]对账明细接口!$F$452=0,"",[2]对账明细接口!$F$452),"")</f>
        <v/>
      </c>
      <c r="G452" s="16" t="str">
        <f>IFERROR(IF([2]对账明细接口!$G$452=0,"",[2]对账明细接口!$G$452),"")</f>
        <v/>
      </c>
      <c r="H452" s="17" t="str">
        <f>IFERROR(IF([2]对账明细接口!$H$452=0,"",[2]对账明细接口!$H$452),"")</f>
        <v/>
      </c>
      <c r="I452" s="16" t="str">
        <f>IFERROR(IF([2]对账明细接口!$I$452=0,"",[2]对账明细接口!$I$452),"")</f>
        <v/>
      </c>
      <c r="J452" s="18" t="str">
        <f>IFERROR(IF([2]对账明细接口!$J$452=0,"",[2]对账明细接口!$J$452),"")</f>
        <v/>
      </c>
      <c r="K452" s="18" t="str">
        <f>IFERROR(IF([2]对账明细接口!$K$452=0,"",[2]对账明细接口!$K$452),"")</f>
        <v/>
      </c>
      <c r="L452" s="16" t="str">
        <f>IFERROR(IF([2]对账明细接口!$L$452=0,"",[2]对账明细接口!$L$452),"")</f>
        <v/>
      </c>
      <c r="M452" s="16" t="str">
        <f>IFERROR(IF([2]对账明细接口!$M$452=0,"",[2]对账明细接口!$M$452),"")</f>
        <v/>
      </c>
      <c r="N452" s="19">
        <f t="shared" ref="N452:N515" si="42">IF($C452="",0,1)</f>
        <v>0</v>
      </c>
      <c r="O452" s="19">
        <f t="shared" ref="O452:O515" si="43">N(O451)+$N452</f>
        <v>165</v>
      </c>
      <c r="S452" s="20" t="str">
        <f>IFERROR(IF([2]对账明细接口!$N452=0,"",[2]对账明细接口!$N452),"")</f>
        <v/>
      </c>
      <c r="T452" s="21" t="str">
        <f>IFERROR(IF([2]对账明细接口!$O452=0,"",[2]对账明细接口!$O452),"")</f>
        <v/>
      </c>
      <c r="U452" s="21" t="str">
        <f>IFERROR(IF([2]对账明细接口!$P452=0,"",[2]对账明细接口!$P452),"")</f>
        <v/>
      </c>
      <c r="V452" s="21" t="str">
        <f>IFERROR(IF([2]对账明细接口!$Q452=0,"",[2]对账明细接口!$Q452),"")</f>
        <v/>
      </c>
      <c r="W452" s="20" t="str">
        <f>IFERROR(IF([2]对账明细接口!$R452=0,"",[2]对账明细接口!$R452),"")</f>
        <v/>
      </c>
      <c r="X452" s="20" t="str">
        <f>IFERROR(IF([2]对账明细接口!$S452=0,"",[2]对账明细接口!$S452),"")</f>
        <v/>
      </c>
      <c r="Y452" s="20" t="str">
        <f t="shared" ref="Y452:Y515" si="44">""</f>
        <v/>
      </c>
      <c r="Z452" s="20" t="str">
        <f t="shared" ref="Z452:Z515" si="45">""</f>
        <v/>
      </c>
      <c r="AA452" s="20" t="str">
        <f t="shared" ref="AA452:AA515" si="46">""</f>
        <v/>
      </c>
      <c r="AB452" s="20" t="str">
        <f t="shared" ref="AB452:AB515" si="47">""</f>
        <v/>
      </c>
    </row>
    <row r="453" customHeight="1" spans="1:28">
      <c r="A453" s="14">
        <v>453</v>
      </c>
      <c r="B453" s="15" t="str">
        <f>IFERROR(IF([2]对账明细接口!$B$453=0,"",[2]对账明细接口!$B$453),"")</f>
        <v/>
      </c>
      <c r="C453" s="16" t="str">
        <f>IFERROR(IF([2]对账明细接口!$C$453=0,"",[2]对账明细接口!$C$453),"")</f>
        <v/>
      </c>
      <c r="D453" s="16" t="str">
        <f>IFERROR(IF([2]对账明细接口!$D$453=0,"",[2]对账明细接口!$D$453),"")</f>
        <v/>
      </c>
      <c r="E453" s="16" t="str">
        <f>IFERROR(IF([2]对账明细接口!$E$453=0,"",[2]对账明细接口!$E$453),"")</f>
        <v/>
      </c>
      <c r="F453" s="16" t="str">
        <f>IFERROR(IF([2]对账明细接口!$F$453=0,"",[2]对账明细接口!$F$453),"")</f>
        <v/>
      </c>
      <c r="G453" s="16" t="str">
        <f>IFERROR(IF([2]对账明细接口!$G$453=0,"",[2]对账明细接口!$G$453),"")</f>
        <v/>
      </c>
      <c r="H453" s="17" t="str">
        <f>IFERROR(IF([2]对账明细接口!$H$453=0,"",[2]对账明细接口!$H$453),"")</f>
        <v/>
      </c>
      <c r="I453" s="16" t="str">
        <f>IFERROR(IF([2]对账明细接口!$I$453=0,"",[2]对账明细接口!$I$453),"")</f>
        <v/>
      </c>
      <c r="J453" s="18" t="str">
        <f>IFERROR(IF([2]对账明细接口!$J$453=0,"",[2]对账明细接口!$J$453),"")</f>
        <v/>
      </c>
      <c r="K453" s="18" t="str">
        <f>IFERROR(IF([2]对账明细接口!$K$453=0,"",[2]对账明细接口!$K$453),"")</f>
        <v/>
      </c>
      <c r="L453" s="16" t="str">
        <f>IFERROR(IF([2]对账明细接口!$L$453=0,"",[2]对账明细接口!$L$453),"")</f>
        <v/>
      </c>
      <c r="M453" s="16" t="str">
        <f>IFERROR(IF([2]对账明细接口!$M$453=0,"",[2]对账明细接口!$M$453),"")</f>
        <v/>
      </c>
      <c r="N453" s="19">
        <f t="shared" si="42"/>
        <v>0</v>
      </c>
      <c r="O453" s="19">
        <f t="shared" si="43"/>
        <v>165</v>
      </c>
      <c r="S453" s="20" t="str">
        <f>IFERROR(IF([2]对账明细接口!$N453=0,"",[2]对账明细接口!$N453),"")</f>
        <v/>
      </c>
      <c r="T453" s="21" t="str">
        <f>IFERROR(IF([2]对账明细接口!$O453=0,"",[2]对账明细接口!$O453),"")</f>
        <v/>
      </c>
      <c r="U453" s="21" t="str">
        <f>IFERROR(IF([2]对账明细接口!$P453=0,"",[2]对账明细接口!$P453),"")</f>
        <v/>
      </c>
      <c r="V453" s="21" t="str">
        <f>IFERROR(IF([2]对账明细接口!$Q453=0,"",[2]对账明细接口!$Q453),"")</f>
        <v/>
      </c>
      <c r="W453" s="20" t="str">
        <f>IFERROR(IF([2]对账明细接口!$R453=0,"",[2]对账明细接口!$R453),"")</f>
        <v/>
      </c>
      <c r="X453" s="20" t="str">
        <f>IFERROR(IF([2]对账明细接口!$S453=0,"",[2]对账明细接口!$S453),"")</f>
        <v/>
      </c>
      <c r="Y453" s="20" t="str">
        <f t="shared" si="44"/>
        <v/>
      </c>
      <c r="Z453" s="20" t="str">
        <f t="shared" si="45"/>
        <v/>
      </c>
      <c r="AA453" s="20" t="str">
        <f t="shared" si="46"/>
        <v/>
      </c>
      <c r="AB453" s="20" t="str">
        <f t="shared" si="47"/>
        <v/>
      </c>
    </row>
    <row r="454" customHeight="1" spans="1:28">
      <c r="A454" s="14">
        <v>454</v>
      </c>
      <c r="B454" s="15" t="str">
        <f>IFERROR(IF([2]对账明细接口!$B$454=0,"",[2]对账明细接口!$B$454),"")</f>
        <v/>
      </c>
      <c r="C454" s="16" t="str">
        <f>IFERROR(IF([2]对账明细接口!$C$454=0,"",[2]对账明细接口!$C$454),"")</f>
        <v/>
      </c>
      <c r="D454" s="16" t="str">
        <f>IFERROR(IF([2]对账明细接口!$D$454=0,"",[2]对账明细接口!$D$454),"")</f>
        <v/>
      </c>
      <c r="E454" s="16" t="str">
        <f>IFERROR(IF([2]对账明细接口!$E$454=0,"",[2]对账明细接口!$E$454),"")</f>
        <v/>
      </c>
      <c r="F454" s="16" t="str">
        <f>IFERROR(IF([2]对账明细接口!$F$454=0,"",[2]对账明细接口!$F$454),"")</f>
        <v/>
      </c>
      <c r="G454" s="16" t="str">
        <f>IFERROR(IF([2]对账明细接口!$G$454=0,"",[2]对账明细接口!$G$454),"")</f>
        <v/>
      </c>
      <c r="H454" s="17" t="str">
        <f>IFERROR(IF([2]对账明细接口!$H$454=0,"",[2]对账明细接口!$H$454),"")</f>
        <v/>
      </c>
      <c r="I454" s="16" t="str">
        <f>IFERROR(IF([2]对账明细接口!$I$454=0,"",[2]对账明细接口!$I$454),"")</f>
        <v/>
      </c>
      <c r="J454" s="18" t="str">
        <f>IFERROR(IF([2]对账明细接口!$J$454=0,"",[2]对账明细接口!$J$454),"")</f>
        <v/>
      </c>
      <c r="K454" s="18" t="str">
        <f>IFERROR(IF([2]对账明细接口!$K$454=0,"",[2]对账明细接口!$K$454),"")</f>
        <v/>
      </c>
      <c r="L454" s="16" t="str">
        <f>IFERROR(IF([2]对账明细接口!$L$454=0,"",[2]对账明细接口!$L$454),"")</f>
        <v/>
      </c>
      <c r="M454" s="16" t="str">
        <f>IFERROR(IF([2]对账明细接口!$M$454=0,"",[2]对账明细接口!$M$454),"")</f>
        <v/>
      </c>
      <c r="N454" s="19">
        <f t="shared" si="42"/>
        <v>0</v>
      </c>
      <c r="O454" s="19">
        <f t="shared" si="43"/>
        <v>165</v>
      </c>
      <c r="S454" s="20" t="str">
        <f>IFERROR(IF([2]对账明细接口!$N454=0,"",[2]对账明细接口!$N454),"")</f>
        <v/>
      </c>
      <c r="T454" s="21" t="str">
        <f>IFERROR(IF([2]对账明细接口!$O454=0,"",[2]对账明细接口!$O454),"")</f>
        <v/>
      </c>
      <c r="U454" s="21" t="str">
        <f>IFERROR(IF([2]对账明细接口!$P454=0,"",[2]对账明细接口!$P454),"")</f>
        <v/>
      </c>
      <c r="V454" s="21" t="str">
        <f>IFERROR(IF([2]对账明细接口!$Q454=0,"",[2]对账明细接口!$Q454),"")</f>
        <v/>
      </c>
      <c r="W454" s="20" t="str">
        <f>IFERROR(IF([2]对账明细接口!$R454=0,"",[2]对账明细接口!$R454),"")</f>
        <v/>
      </c>
      <c r="X454" s="20" t="str">
        <f>IFERROR(IF([2]对账明细接口!$S454=0,"",[2]对账明细接口!$S454),"")</f>
        <v/>
      </c>
      <c r="Y454" s="20" t="str">
        <f t="shared" si="44"/>
        <v/>
      </c>
      <c r="Z454" s="20" t="str">
        <f t="shared" si="45"/>
        <v/>
      </c>
      <c r="AA454" s="20" t="str">
        <f t="shared" si="46"/>
        <v/>
      </c>
      <c r="AB454" s="20" t="str">
        <f t="shared" si="47"/>
        <v/>
      </c>
    </row>
    <row r="455" customHeight="1" spans="1:28">
      <c r="A455" s="14">
        <v>455</v>
      </c>
      <c r="B455" s="15" t="str">
        <f>IFERROR(IF([2]对账明细接口!$B$455=0,"",[2]对账明细接口!$B$455),"")</f>
        <v/>
      </c>
      <c r="C455" s="16" t="str">
        <f>IFERROR(IF([2]对账明细接口!$C$455=0,"",[2]对账明细接口!$C$455),"")</f>
        <v/>
      </c>
      <c r="D455" s="16" t="str">
        <f>IFERROR(IF([2]对账明细接口!$D$455=0,"",[2]对账明细接口!$D$455),"")</f>
        <v/>
      </c>
      <c r="E455" s="16" t="str">
        <f>IFERROR(IF([2]对账明细接口!$E$455=0,"",[2]对账明细接口!$E$455),"")</f>
        <v/>
      </c>
      <c r="F455" s="16" t="str">
        <f>IFERROR(IF([2]对账明细接口!$F$455=0,"",[2]对账明细接口!$F$455),"")</f>
        <v/>
      </c>
      <c r="G455" s="16" t="str">
        <f>IFERROR(IF([2]对账明细接口!$G$455=0,"",[2]对账明细接口!$G$455),"")</f>
        <v/>
      </c>
      <c r="H455" s="17" t="str">
        <f>IFERROR(IF([2]对账明细接口!$H$455=0,"",[2]对账明细接口!$H$455),"")</f>
        <v/>
      </c>
      <c r="I455" s="16" t="str">
        <f>IFERROR(IF([2]对账明细接口!$I$455=0,"",[2]对账明细接口!$I$455),"")</f>
        <v/>
      </c>
      <c r="J455" s="18" t="str">
        <f>IFERROR(IF([2]对账明细接口!$J$455=0,"",[2]对账明细接口!$J$455),"")</f>
        <v/>
      </c>
      <c r="K455" s="18" t="str">
        <f>IFERROR(IF([2]对账明细接口!$K$455=0,"",[2]对账明细接口!$K$455),"")</f>
        <v/>
      </c>
      <c r="L455" s="16" t="str">
        <f>IFERROR(IF([2]对账明细接口!$L$455=0,"",[2]对账明细接口!$L$455),"")</f>
        <v/>
      </c>
      <c r="M455" s="16" t="str">
        <f>IFERROR(IF([2]对账明细接口!$M$455=0,"",[2]对账明细接口!$M$455),"")</f>
        <v/>
      </c>
      <c r="N455" s="19">
        <f t="shared" si="42"/>
        <v>0</v>
      </c>
      <c r="O455" s="19">
        <f t="shared" si="43"/>
        <v>165</v>
      </c>
      <c r="S455" s="20" t="str">
        <f>IFERROR(IF([2]对账明细接口!$N455=0,"",[2]对账明细接口!$N455),"")</f>
        <v/>
      </c>
      <c r="T455" s="21" t="str">
        <f>IFERROR(IF([2]对账明细接口!$O455=0,"",[2]对账明细接口!$O455),"")</f>
        <v/>
      </c>
      <c r="U455" s="21" t="str">
        <f>IFERROR(IF([2]对账明细接口!$P455=0,"",[2]对账明细接口!$P455),"")</f>
        <v/>
      </c>
      <c r="V455" s="21" t="str">
        <f>IFERROR(IF([2]对账明细接口!$Q455=0,"",[2]对账明细接口!$Q455),"")</f>
        <v/>
      </c>
      <c r="W455" s="20" t="str">
        <f>IFERROR(IF([2]对账明细接口!$R455=0,"",[2]对账明细接口!$R455),"")</f>
        <v/>
      </c>
      <c r="X455" s="20" t="str">
        <f>IFERROR(IF([2]对账明细接口!$S455=0,"",[2]对账明细接口!$S455),"")</f>
        <v/>
      </c>
      <c r="Y455" s="20" t="str">
        <f t="shared" si="44"/>
        <v/>
      </c>
      <c r="Z455" s="20" t="str">
        <f t="shared" si="45"/>
        <v/>
      </c>
      <c r="AA455" s="20" t="str">
        <f t="shared" si="46"/>
        <v/>
      </c>
      <c r="AB455" s="20" t="str">
        <f t="shared" si="47"/>
        <v/>
      </c>
    </row>
    <row r="456" customHeight="1" spans="1:28">
      <c r="A456" s="14">
        <v>456</v>
      </c>
      <c r="B456" s="15" t="str">
        <f>IFERROR(IF([2]对账明细接口!$B$456=0,"",[2]对账明细接口!$B$456),"")</f>
        <v/>
      </c>
      <c r="C456" s="16" t="str">
        <f>IFERROR(IF([2]对账明细接口!$C$456=0,"",[2]对账明细接口!$C$456),"")</f>
        <v/>
      </c>
      <c r="D456" s="16" t="str">
        <f>IFERROR(IF([2]对账明细接口!$D$456=0,"",[2]对账明细接口!$D$456),"")</f>
        <v/>
      </c>
      <c r="E456" s="16" t="str">
        <f>IFERROR(IF([2]对账明细接口!$E$456=0,"",[2]对账明细接口!$E$456),"")</f>
        <v/>
      </c>
      <c r="F456" s="16" t="str">
        <f>IFERROR(IF([2]对账明细接口!$F$456=0,"",[2]对账明细接口!$F$456),"")</f>
        <v/>
      </c>
      <c r="G456" s="16" t="str">
        <f>IFERROR(IF([2]对账明细接口!$G$456=0,"",[2]对账明细接口!$G$456),"")</f>
        <v/>
      </c>
      <c r="H456" s="17" t="str">
        <f>IFERROR(IF([2]对账明细接口!$H$456=0,"",[2]对账明细接口!$H$456),"")</f>
        <v/>
      </c>
      <c r="I456" s="16" t="str">
        <f>IFERROR(IF([2]对账明细接口!$I$456=0,"",[2]对账明细接口!$I$456),"")</f>
        <v/>
      </c>
      <c r="J456" s="18" t="str">
        <f>IFERROR(IF([2]对账明细接口!$J$456=0,"",[2]对账明细接口!$J$456),"")</f>
        <v/>
      </c>
      <c r="K456" s="18" t="str">
        <f>IFERROR(IF([2]对账明细接口!$K$456=0,"",[2]对账明细接口!$K$456),"")</f>
        <v/>
      </c>
      <c r="L456" s="16" t="str">
        <f>IFERROR(IF([2]对账明细接口!$L$456=0,"",[2]对账明细接口!$L$456),"")</f>
        <v/>
      </c>
      <c r="M456" s="16" t="str">
        <f>IFERROR(IF([2]对账明细接口!$M$456=0,"",[2]对账明细接口!$M$456),"")</f>
        <v/>
      </c>
      <c r="N456" s="19">
        <f t="shared" si="42"/>
        <v>0</v>
      </c>
      <c r="O456" s="19">
        <f t="shared" si="43"/>
        <v>165</v>
      </c>
      <c r="S456" s="20" t="str">
        <f>IFERROR(IF([2]对账明细接口!$N456=0,"",[2]对账明细接口!$N456),"")</f>
        <v/>
      </c>
      <c r="T456" s="21" t="str">
        <f>IFERROR(IF([2]对账明细接口!$O456=0,"",[2]对账明细接口!$O456),"")</f>
        <v/>
      </c>
      <c r="U456" s="21" t="str">
        <f>IFERROR(IF([2]对账明细接口!$P456=0,"",[2]对账明细接口!$P456),"")</f>
        <v/>
      </c>
      <c r="V456" s="21" t="str">
        <f>IFERROR(IF([2]对账明细接口!$Q456=0,"",[2]对账明细接口!$Q456),"")</f>
        <v/>
      </c>
      <c r="W456" s="20" t="str">
        <f>IFERROR(IF([2]对账明细接口!$R456=0,"",[2]对账明细接口!$R456),"")</f>
        <v/>
      </c>
      <c r="X456" s="20" t="str">
        <f>IFERROR(IF([2]对账明细接口!$S456=0,"",[2]对账明细接口!$S456),"")</f>
        <v/>
      </c>
      <c r="Y456" s="20" t="str">
        <f t="shared" si="44"/>
        <v/>
      </c>
      <c r="Z456" s="20" t="str">
        <f t="shared" si="45"/>
        <v/>
      </c>
      <c r="AA456" s="20" t="str">
        <f t="shared" si="46"/>
        <v/>
      </c>
      <c r="AB456" s="20" t="str">
        <f t="shared" si="47"/>
        <v/>
      </c>
    </row>
    <row r="457" customHeight="1" spans="1:28">
      <c r="A457" s="14">
        <v>457</v>
      </c>
      <c r="B457" s="15" t="str">
        <f>IFERROR(IF([2]对账明细接口!$B$457=0,"",[2]对账明细接口!$B$457),"")</f>
        <v/>
      </c>
      <c r="C457" s="16" t="str">
        <f>IFERROR(IF([2]对账明细接口!$C$457=0,"",[2]对账明细接口!$C$457),"")</f>
        <v/>
      </c>
      <c r="D457" s="16" t="str">
        <f>IFERROR(IF([2]对账明细接口!$D$457=0,"",[2]对账明细接口!$D$457),"")</f>
        <v/>
      </c>
      <c r="E457" s="16" t="str">
        <f>IFERROR(IF([2]对账明细接口!$E$457=0,"",[2]对账明细接口!$E$457),"")</f>
        <v/>
      </c>
      <c r="F457" s="16" t="str">
        <f>IFERROR(IF([2]对账明细接口!$F$457=0,"",[2]对账明细接口!$F$457),"")</f>
        <v/>
      </c>
      <c r="G457" s="16" t="str">
        <f>IFERROR(IF([2]对账明细接口!$G$457=0,"",[2]对账明细接口!$G$457),"")</f>
        <v/>
      </c>
      <c r="H457" s="17" t="str">
        <f>IFERROR(IF([2]对账明细接口!$H$457=0,"",[2]对账明细接口!$H$457),"")</f>
        <v/>
      </c>
      <c r="I457" s="16" t="str">
        <f>IFERROR(IF([2]对账明细接口!$I$457=0,"",[2]对账明细接口!$I$457),"")</f>
        <v/>
      </c>
      <c r="J457" s="18" t="str">
        <f>IFERROR(IF([2]对账明细接口!$J$457=0,"",[2]对账明细接口!$J$457),"")</f>
        <v/>
      </c>
      <c r="K457" s="18" t="str">
        <f>IFERROR(IF([2]对账明细接口!$K$457=0,"",[2]对账明细接口!$K$457),"")</f>
        <v/>
      </c>
      <c r="L457" s="16" t="str">
        <f>IFERROR(IF([2]对账明细接口!$L$457=0,"",[2]对账明细接口!$L$457),"")</f>
        <v/>
      </c>
      <c r="M457" s="16" t="str">
        <f>IFERROR(IF([2]对账明细接口!$M$457=0,"",[2]对账明细接口!$M$457),"")</f>
        <v/>
      </c>
      <c r="N457" s="19">
        <f t="shared" si="42"/>
        <v>0</v>
      </c>
      <c r="O457" s="19">
        <f t="shared" si="43"/>
        <v>165</v>
      </c>
      <c r="S457" s="20" t="str">
        <f>IFERROR(IF([2]对账明细接口!$N457=0,"",[2]对账明细接口!$N457),"")</f>
        <v/>
      </c>
      <c r="T457" s="21" t="str">
        <f>IFERROR(IF([2]对账明细接口!$O457=0,"",[2]对账明细接口!$O457),"")</f>
        <v/>
      </c>
      <c r="U457" s="21" t="str">
        <f>IFERROR(IF([2]对账明细接口!$P457=0,"",[2]对账明细接口!$P457),"")</f>
        <v/>
      </c>
      <c r="V457" s="21" t="str">
        <f>IFERROR(IF([2]对账明细接口!$Q457=0,"",[2]对账明细接口!$Q457),"")</f>
        <v/>
      </c>
      <c r="W457" s="20" t="str">
        <f>IFERROR(IF([2]对账明细接口!$R457=0,"",[2]对账明细接口!$R457),"")</f>
        <v/>
      </c>
      <c r="X457" s="20" t="str">
        <f>IFERROR(IF([2]对账明细接口!$S457=0,"",[2]对账明细接口!$S457),"")</f>
        <v/>
      </c>
      <c r="Y457" s="20" t="str">
        <f t="shared" si="44"/>
        <v/>
      </c>
      <c r="Z457" s="20" t="str">
        <f t="shared" si="45"/>
        <v/>
      </c>
      <c r="AA457" s="20" t="str">
        <f t="shared" si="46"/>
        <v/>
      </c>
      <c r="AB457" s="20" t="str">
        <f t="shared" si="47"/>
        <v/>
      </c>
    </row>
    <row r="458" customHeight="1" spans="1:28">
      <c r="A458" s="14">
        <v>458</v>
      </c>
      <c r="B458" s="15" t="str">
        <f>IFERROR(IF([2]对账明细接口!$B$458=0,"",[2]对账明细接口!$B$458),"")</f>
        <v/>
      </c>
      <c r="C458" s="16" t="str">
        <f>IFERROR(IF([2]对账明细接口!$C$458=0,"",[2]对账明细接口!$C$458),"")</f>
        <v/>
      </c>
      <c r="D458" s="16" t="str">
        <f>IFERROR(IF([2]对账明细接口!$D$458=0,"",[2]对账明细接口!$D$458),"")</f>
        <v/>
      </c>
      <c r="E458" s="16" t="str">
        <f>IFERROR(IF([2]对账明细接口!$E$458=0,"",[2]对账明细接口!$E$458),"")</f>
        <v/>
      </c>
      <c r="F458" s="16" t="str">
        <f>IFERROR(IF([2]对账明细接口!$F$458=0,"",[2]对账明细接口!$F$458),"")</f>
        <v/>
      </c>
      <c r="G458" s="16" t="str">
        <f>IFERROR(IF([2]对账明细接口!$G$458=0,"",[2]对账明细接口!$G$458),"")</f>
        <v/>
      </c>
      <c r="H458" s="17" t="str">
        <f>IFERROR(IF([2]对账明细接口!$H$458=0,"",[2]对账明细接口!$H$458),"")</f>
        <v/>
      </c>
      <c r="I458" s="16" t="str">
        <f>IFERROR(IF([2]对账明细接口!$I$458=0,"",[2]对账明细接口!$I$458),"")</f>
        <v/>
      </c>
      <c r="J458" s="18" t="str">
        <f>IFERROR(IF([2]对账明细接口!$J$458=0,"",[2]对账明细接口!$J$458),"")</f>
        <v/>
      </c>
      <c r="K458" s="18" t="str">
        <f>IFERROR(IF([2]对账明细接口!$K$458=0,"",[2]对账明细接口!$K$458),"")</f>
        <v/>
      </c>
      <c r="L458" s="16" t="str">
        <f>IFERROR(IF([2]对账明细接口!$L$458=0,"",[2]对账明细接口!$L$458),"")</f>
        <v/>
      </c>
      <c r="M458" s="16" t="str">
        <f>IFERROR(IF([2]对账明细接口!$M$458=0,"",[2]对账明细接口!$M$458),"")</f>
        <v/>
      </c>
      <c r="N458" s="19">
        <f t="shared" si="42"/>
        <v>0</v>
      </c>
      <c r="O458" s="19">
        <f t="shared" si="43"/>
        <v>165</v>
      </c>
      <c r="S458" s="20" t="str">
        <f>IFERROR(IF([2]对账明细接口!$N458=0,"",[2]对账明细接口!$N458),"")</f>
        <v/>
      </c>
      <c r="T458" s="21" t="str">
        <f>IFERROR(IF([2]对账明细接口!$O458=0,"",[2]对账明细接口!$O458),"")</f>
        <v/>
      </c>
      <c r="U458" s="21" t="str">
        <f>IFERROR(IF([2]对账明细接口!$P458=0,"",[2]对账明细接口!$P458),"")</f>
        <v/>
      </c>
      <c r="V458" s="21" t="str">
        <f>IFERROR(IF([2]对账明细接口!$Q458=0,"",[2]对账明细接口!$Q458),"")</f>
        <v/>
      </c>
      <c r="W458" s="20" t="str">
        <f>IFERROR(IF([2]对账明细接口!$R458=0,"",[2]对账明细接口!$R458),"")</f>
        <v/>
      </c>
      <c r="X458" s="20" t="str">
        <f>IFERROR(IF([2]对账明细接口!$S458=0,"",[2]对账明细接口!$S458),"")</f>
        <v/>
      </c>
      <c r="Y458" s="20" t="str">
        <f t="shared" si="44"/>
        <v/>
      </c>
      <c r="Z458" s="20" t="str">
        <f t="shared" si="45"/>
        <v/>
      </c>
      <c r="AA458" s="20" t="str">
        <f t="shared" si="46"/>
        <v/>
      </c>
      <c r="AB458" s="20" t="str">
        <f t="shared" si="47"/>
        <v/>
      </c>
    </row>
    <row r="459" customHeight="1" spans="1:28">
      <c r="A459" s="14">
        <v>459</v>
      </c>
      <c r="B459" s="15" t="str">
        <f>IFERROR(IF([2]对账明细接口!$B$459=0,"",[2]对账明细接口!$B$459),"")</f>
        <v/>
      </c>
      <c r="C459" s="16" t="str">
        <f>IFERROR(IF([2]对账明细接口!$C$459=0,"",[2]对账明细接口!$C$459),"")</f>
        <v/>
      </c>
      <c r="D459" s="16" t="str">
        <f>IFERROR(IF([2]对账明细接口!$D$459=0,"",[2]对账明细接口!$D$459),"")</f>
        <v/>
      </c>
      <c r="E459" s="16" t="str">
        <f>IFERROR(IF([2]对账明细接口!$E$459=0,"",[2]对账明细接口!$E$459),"")</f>
        <v/>
      </c>
      <c r="F459" s="16" t="str">
        <f>IFERROR(IF([2]对账明细接口!$F$459=0,"",[2]对账明细接口!$F$459),"")</f>
        <v/>
      </c>
      <c r="G459" s="16" t="str">
        <f>IFERROR(IF([2]对账明细接口!$G$459=0,"",[2]对账明细接口!$G$459),"")</f>
        <v/>
      </c>
      <c r="H459" s="17" t="str">
        <f>IFERROR(IF([2]对账明细接口!$H$459=0,"",[2]对账明细接口!$H$459),"")</f>
        <v/>
      </c>
      <c r="I459" s="16" t="str">
        <f>IFERROR(IF([2]对账明细接口!$I$459=0,"",[2]对账明细接口!$I$459),"")</f>
        <v/>
      </c>
      <c r="J459" s="18" t="str">
        <f>IFERROR(IF([2]对账明细接口!$J$459=0,"",[2]对账明细接口!$J$459),"")</f>
        <v/>
      </c>
      <c r="K459" s="18" t="str">
        <f>IFERROR(IF([2]对账明细接口!$K$459=0,"",[2]对账明细接口!$K$459),"")</f>
        <v/>
      </c>
      <c r="L459" s="16" t="str">
        <f>IFERROR(IF([2]对账明细接口!$L$459=0,"",[2]对账明细接口!$L$459),"")</f>
        <v/>
      </c>
      <c r="M459" s="16" t="str">
        <f>IFERROR(IF([2]对账明细接口!$M$459=0,"",[2]对账明细接口!$M$459),"")</f>
        <v/>
      </c>
      <c r="N459" s="19">
        <f t="shared" si="42"/>
        <v>0</v>
      </c>
      <c r="O459" s="19">
        <f t="shared" si="43"/>
        <v>165</v>
      </c>
      <c r="S459" s="20" t="str">
        <f>IFERROR(IF([2]对账明细接口!$N459=0,"",[2]对账明细接口!$N459),"")</f>
        <v/>
      </c>
      <c r="T459" s="21" t="str">
        <f>IFERROR(IF([2]对账明细接口!$O459=0,"",[2]对账明细接口!$O459),"")</f>
        <v/>
      </c>
      <c r="U459" s="21" t="str">
        <f>IFERROR(IF([2]对账明细接口!$P459=0,"",[2]对账明细接口!$P459),"")</f>
        <v/>
      </c>
      <c r="V459" s="21" t="str">
        <f>IFERROR(IF([2]对账明细接口!$Q459=0,"",[2]对账明细接口!$Q459),"")</f>
        <v/>
      </c>
      <c r="W459" s="20" t="str">
        <f>IFERROR(IF([2]对账明细接口!$R459=0,"",[2]对账明细接口!$R459),"")</f>
        <v/>
      </c>
      <c r="X459" s="20" t="str">
        <f>IFERROR(IF([2]对账明细接口!$S459=0,"",[2]对账明细接口!$S459),"")</f>
        <v/>
      </c>
      <c r="Y459" s="20" t="str">
        <f t="shared" si="44"/>
        <v/>
      </c>
      <c r="Z459" s="20" t="str">
        <f t="shared" si="45"/>
        <v/>
      </c>
      <c r="AA459" s="20" t="str">
        <f t="shared" si="46"/>
        <v/>
      </c>
      <c r="AB459" s="20" t="str">
        <f t="shared" si="47"/>
        <v/>
      </c>
    </row>
    <row r="460" customHeight="1" spans="1:28">
      <c r="A460" s="14">
        <v>460</v>
      </c>
      <c r="B460" s="15" t="str">
        <f>IFERROR(IF([2]对账明细接口!$B$460=0,"",[2]对账明细接口!$B$460),"")</f>
        <v/>
      </c>
      <c r="C460" s="16" t="str">
        <f>IFERROR(IF([2]对账明细接口!$C$460=0,"",[2]对账明细接口!$C$460),"")</f>
        <v/>
      </c>
      <c r="D460" s="16" t="str">
        <f>IFERROR(IF([2]对账明细接口!$D$460=0,"",[2]对账明细接口!$D$460),"")</f>
        <v/>
      </c>
      <c r="E460" s="16" t="str">
        <f>IFERROR(IF([2]对账明细接口!$E$460=0,"",[2]对账明细接口!$E$460),"")</f>
        <v/>
      </c>
      <c r="F460" s="16" t="str">
        <f>IFERROR(IF([2]对账明细接口!$F$460=0,"",[2]对账明细接口!$F$460),"")</f>
        <v/>
      </c>
      <c r="G460" s="16" t="str">
        <f>IFERROR(IF([2]对账明细接口!$G$460=0,"",[2]对账明细接口!$G$460),"")</f>
        <v/>
      </c>
      <c r="H460" s="17" t="str">
        <f>IFERROR(IF([2]对账明细接口!$H$460=0,"",[2]对账明细接口!$H$460),"")</f>
        <v/>
      </c>
      <c r="I460" s="16" t="str">
        <f>IFERROR(IF([2]对账明细接口!$I$460=0,"",[2]对账明细接口!$I$460),"")</f>
        <v/>
      </c>
      <c r="J460" s="18" t="str">
        <f>IFERROR(IF([2]对账明细接口!$J$460=0,"",[2]对账明细接口!$J$460),"")</f>
        <v/>
      </c>
      <c r="K460" s="18" t="str">
        <f>IFERROR(IF([2]对账明细接口!$K$460=0,"",[2]对账明细接口!$K$460),"")</f>
        <v/>
      </c>
      <c r="L460" s="16" t="str">
        <f>IFERROR(IF([2]对账明细接口!$L$460=0,"",[2]对账明细接口!$L$460),"")</f>
        <v/>
      </c>
      <c r="M460" s="16" t="str">
        <f>IFERROR(IF([2]对账明细接口!$M$460=0,"",[2]对账明细接口!$M$460),"")</f>
        <v/>
      </c>
      <c r="N460" s="19">
        <f t="shared" si="42"/>
        <v>0</v>
      </c>
      <c r="O460" s="19">
        <f t="shared" si="43"/>
        <v>165</v>
      </c>
      <c r="S460" s="20" t="str">
        <f>IFERROR(IF([2]对账明细接口!$N460=0,"",[2]对账明细接口!$N460),"")</f>
        <v/>
      </c>
      <c r="T460" s="21" t="str">
        <f>IFERROR(IF([2]对账明细接口!$O460=0,"",[2]对账明细接口!$O460),"")</f>
        <v/>
      </c>
      <c r="U460" s="21" t="str">
        <f>IFERROR(IF([2]对账明细接口!$P460=0,"",[2]对账明细接口!$P460),"")</f>
        <v/>
      </c>
      <c r="V460" s="21" t="str">
        <f>IFERROR(IF([2]对账明细接口!$Q460=0,"",[2]对账明细接口!$Q460),"")</f>
        <v/>
      </c>
      <c r="W460" s="20" t="str">
        <f>IFERROR(IF([2]对账明细接口!$R460=0,"",[2]对账明细接口!$R460),"")</f>
        <v/>
      </c>
      <c r="X460" s="20" t="str">
        <f>IFERROR(IF([2]对账明细接口!$S460=0,"",[2]对账明细接口!$S460),"")</f>
        <v/>
      </c>
      <c r="Y460" s="20" t="str">
        <f t="shared" si="44"/>
        <v/>
      </c>
      <c r="Z460" s="20" t="str">
        <f t="shared" si="45"/>
        <v/>
      </c>
      <c r="AA460" s="20" t="str">
        <f t="shared" si="46"/>
        <v/>
      </c>
      <c r="AB460" s="20" t="str">
        <f t="shared" si="47"/>
        <v/>
      </c>
    </row>
    <row r="461" customHeight="1" spans="1:28">
      <c r="A461" s="14">
        <v>461</v>
      </c>
      <c r="B461" s="15" t="str">
        <f>IFERROR(IF([2]对账明细接口!$B$461=0,"",[2]对账明细接口!$B$461),"")</f>
        <v/>
      </c>
      <c r="C461" s="16" t="str">
        <f>IFERROR(IF([2]对账明细接口!$C$461=0,"",[2]对账明细接口!$C$461),"")</f>
        <v/>
      </c>
      <c r="D461" s="16" t="str">
        <f>IFERROR(IF([2]对账明细接口!$D$461=0,"",[2]对账明细接口!$D$461),"")</f>
        <v/>
      </c>
      <c r="E461" s="16" t="str">
        <f>IFERROR(IF([2]对账明细接口!$E$461=0,"",[2]对账明细接口!$E$461),"")</f>
        <v/>
      </c>
      <c r="F461" s="16" t="str">
        <f>IFERROR(IF([2]对账明细接口!$F$461=0,"",[2]对账明细接口!$F$461),"")</f>
        <v/>
      </c>
      <c r="G461" s="16" t="str">
        <f>IFERROR(IF([2]对账明细接口!$G$461=0,"",[2]对账明细接口!$G$461),"")</f>
        <v/>
      </c>
      <c r="H461" s="17" t="str">
        <f>IFERROR(IF([2]对账明细接口!$H$461=0,"",[2]对账明细接口!$H$461),"")</f>
        <v/>
      </c>
      <c r="I461" s="16" t="str">
        <f>IFERROR(IF([2]对账明细接口!$I$461=0,"",[2]对账明细接口!$I$461),"")</f>
        <v/>
      </c>
      <c r="J461" s="18" t="str">
        <f>IFERROR(IF([2]对账明细接口!$J$461=0,"",[2]对账明细接口!$J$461),"")</f>
        <v/>
      </c>
      <c r="K461" s="18" t="str">
        <f>IFERROR(IF([2]对账明细接口!$K$461=0,"",[2]对账明细接口!$K$461),"")</f>
        <v/>
      </c>
      <c r="L461" s="16" t="str">
        <f>IFERROR(IF([2]对账明细接口!$L$461=0,"",[2]对账明细接口!$L$461),"")</f>
        <v/>
      </c>
      <c r="M461" s="16" t="str">
        <f>IFERROR(IF([2]对账明细接口!$M$461=0,"",[2]对账明细接口!$M$461),"")</f>
        <v/>
      </c>
      <c r="N461" s="19">
        <f t="shared" si="42"/>
        <v>0</v>
      </c>
      <c r="O461" s="19">
        <f t="shared" si="43"/>
        <v>165</v>
      </c>
      <c r="S461" s="20" t="str">
        <f>IFERROR(IF([2]对账明细接口!$N461=0,"",[2]对账明细接口!$N461),"")</f>
        <v/>
      </c>
      <c r="T461" s="21" t="str">
        <f>IFERROR(IF([2]对账明细接口!$O461=0,"",[2]对账明细接口!$O461),"")</f>
        <v/>
      </c>
      <c r="U461" s="21" t="str">
        <f>IFERROR(IF([2]对账明细接口!$P461=0,"",[2]对账明细接口!$P461),"")</f>
        <v/>
      </c>
      <c r="V461" s="21" t="str">
        <f>IFERROR(IF([2]对账明细接口!$Q461=0,"",[2]对账明细接口!$Q461),"")</f>
        <v/>
      </c>
      <c r="W461" s="20" t="str">
        <f>IFERROR(IF([2]对账明细接口!$R461=0,"",[2]对账明细接口!$R461),"")</f>
        <v/>
      </c>
      <c r="X461" s="20" t="str">
        <f>IFERROR(IF([2]对账明细接口!$S461=0,"",[2]对账明细接口!$S461),"")</f>
        <v/>
      </c>
      <c r="Y461" s="20" t="str">
        <f t="shared" si="44"/>
        <v/>
      </c>
      <c r="Z461" s="20" t="str">
        <f t="shared" si="45"/>
        <v/>
      </c>
      <c r="AA461" s="20" t="str">
        <f t="shared" si="46"/>
        <v/>
      </c>
      <c r="AB461" s="20" t="str">
        <f t="shared" si="47"/>
        <v/>
      </c>
    </row>
    <row r="462" customHeight="1" spans="1:28">
      <c r="A462" s="14">
        <v>462</v>
      </c>
      <c r="B462" s="15" t="str">
        <f>IFERROR(IF([2]对账明细接口!$B$462=0,"",[2]对账明细接口!$B$462),"")</f>
        <v/>
      </c>
      <c r="C462" s="16" t="str">
        <f>IFERROR(IF([2]对账明细接口!$C$462=0,"",[2]对账明细接口!$C$462),"")</f>
        <v/>
      </c>
      <c r="D462" s="16" t="str">
        <f>IFERROR(IF([2]对账明细接口!$D$462=0,"",[2]对账明细接口!$D$462),"")</f>
        <v/>
      </c>
      <c r="E462" s="16" t="str">
        <f>IFERROR(IF([2]对账明细接口!$E$462=0,"",[2]对账明细接口!$E$462),"")</f>
        <v/>
      </c>
      <c r="F462" s="16" t="str">
        <f>IFERROR(IF([2]对账明细接口!$F$462=0,"",[2]对账明细接口!$F$462),"")</f>
        <v/>
      </c>
      <c r="G462" s="16" t="str">
        <f>IFERROR(IF([2]对账明细接口!$G$462=0,"",[2]对账明细接口!$G$462),"")</f>
        <v/>
      </c>
      <c r="H462" s="17" t="str">
        <f>IFERROR(IF([2]对账明细接口!$H$462=0,"",[2]对账明细接口!$H$462),"")</f>
        <v/>
      </c>
      <c r="I462" s="16" t="str">
        <f>IFERROR(IF([2]对账明细接口!$I$462=0,"",[2]对账明细接口!$I$462),"")</f>
        <v/>
      </c>
      <c r="J462" s="18" t="str">
        <f>IFERROR(IF([2]对账明细接口!$J$462=0,"",[2]对账明细接口!$J$462),"")</f>
        <v/>
      </c>
      <c r="K462" s="18" t="str">
        <f>IFERROR(IF([2]对账明细接口!$K$462=0,"",[2]对账明细接口!$K$462),"")</f>
        <v/>
      </c>
      <c r="L462" s="16" t="str">
        <f>IFERROR(IF([2]对账明细接口!$L$462=0,"",[2]对账明细接口!$L$462),"")</f>
        <v/>
      </c>
      <c r="M462" s="16" t="str">
        <f>IFERROR(IF([2]对账明细接口!$M$462=0,"",[2]对账明细接口!$M$462),"")</f>
        <v/>
      </c>
      <c r="N462" s="19">
        <f t="shared" si="42"/>
        <v>0</v>
      </c>
      <c r="O462" s="19">
        <f t="shared" si="43"/>
        <v>165</v>
      </c>
      <c r="S462" s="20" t="str">
        <f>IFERROR(IF([2]对账明细接口!$N462=0,"",[2]对账明细接口!$N462),"")</f>
        <v/>
      </c>
      <c r="T462" s="21" t="str">
        <f>IFERROR(IF([2]对账明细接口!$O462=0,"",[2]对账明细接口!$O462),"")</f>
        <v/>
      </c>
      <c r="U462" s="21" t="str">
        <f>IFERROR(IF([2]对账明细接口!$P462=0,"",[2]对账明细接口!$P462),"")</f>
        <v/>
      </c>
      <c r="V462" s="21" t="str">
        <f>IFERROR(IF([2]对账明细接口!$Q462=0,"",[2]对账明细接口!$Q462),"")</f>
        <v/>
      </c>
      <c r="W462" s="20" t="str">
        <f>IFERROR(IF([2]对账明细接口!$R462=0,"",[2]对账明细接口!$R462),"")</f>
        <v/>
      </c>
      <c r="X462" s="20" t="str">
        <f>IFERROR(IF([2]对账明细接口!$S462=0,"",[2]对账明细接口!$S462),"")</f>
        <v/>
      </c>
      <c r="Y462" s="20" t="str">
        <f t="shared" si="44"/>
        <v/>
      </c>
      <c r="Z462" s="20" t="str">
        <f t="shared" si="45"/>
        <v/>
      </c>
      <c r="AA462" s="20" t="str">
        <f t="shared" si="46"/>
        <v/>
      </c>
      <c r="AB462" s="20" t="str">
        <f t="shared" si="47"/>
        <v/>
      </c>
    </row>
    <row r="463" customHeight="1" spans="1:28">
      <c r="A463" s="14">
        <v>463</v>
      </c>
      <c r="B463" s="15" t="str">
        <f>IFERROR(IF([2]对账明细接口!$B$463=0,"",[2]对账明细接口!$B$463),"")</f>
        <v/>
      </c>
      <c r="C463" s="16" t="str">
        <f>IFERROR(IF([2]对账明细接口!$C$463=0,"",[2]对账明细接口!$C$463),"")</f>
        <v/>
      </c>
      <c r="D463" s="16" t="str">
        <f>IFERROR(IF([2]对账明细接口!$D$463=0,"",[2]对账明细接口!$D$463),"")</f>
        <v/>
      </c>
      <c r="E463" s="16" t="str">
        <f>IFERROR(IF([2]对账明细接口!$E$463=0,"",[2]对账明细接口!$E$463),"")</f>
        <v/>
      </c>
      <c r="F463" s="16" t="str">
        <f>IFERROR(IF([2]对账明细接口!$F$463=0,"",[2]对账明细接口!$F$463),"")</f>
        <v/>
      </c>
      <c r="G463" s="16" t="str">
        <f>IFERROR(IF([2]对账明细接口!$G$463=0,"",[2]对账明细接口!$G$463),"")</f>
        <v/>
      </c>
      <c r="H463" s="17" t="str">
        <f>IFERROR(IF([2]对账明细接口!$H$463=0,"",[2]对账明细接口!$H$463),"")</f>
        <v/>
      </c>
      <c r="I463" s="16" t="str">
        <f>IFERROR(IF([2]对账明细接口!$I$463=0,"",[2]对账明细接口!$I$463),"")</f>
        <v/>
      </c>
      <c r="J463" s="18" t="str">
        <f>IFERROR(IF([2]对账明细接口!$J$463=0,"",[2]对账明细接口!$J$463),"")</f>
        <v/>
      </c>
      <c r="K463" s="18" t="str">
        <f>IFERROR(IF([2]对账明细接口!$K$463=0,"",[2]对账明细接口!$K$463),"")</f>
        <v/>
      </c>
      <c r="L463" s="16" t="str">
        <f>IFERROR(IF([2]对账明细接口!$L$463=0,"",[2]对账明细接口!$L$463),"")</f>
        <v/>
      </c>
      <c r="M463" s="16" t="str">
        <f>IFERROR(IF([2]对账明细接口!$M$463=0,"",[2]对账明细接口!$M$463),"")</f>
        <v/>
      </c>
      <c r="N463" s="19">
        <f t="shared" si="42"/>
        <v>0</v>
      </c>
      <c r="O463" s="19">
        <f t="shared" si="43"/>
        <v>165</v>
      </c>
      <c r="S463" s="20" t="str">
        <f>IFERROR(IF([2]对账明细接口!$N463=0,"",[2]对账明细接口!$N463),"")</f>
        <v/>
      </c>
      <c r="T463" s="21" t="str">
        <f>IFERROR(IF([2]对账明细接口!$O463=0,"",[2]对账明细接口!$O463),"")</f>
        <v/>
      </c>
      <c r="U463" s="21" t="str">
        <f>IFERROR(IF([2]对账明细接口!$P463=0,"",[2]对账明细接口!$P463),"")</f>
        <v/>
      </c>
      <c r="V463" s="21" t="str">
        <f>IFERROR(IF([2]对账明细接口!$Q463=0,"",[2]对账明细接口!$Q463),"")</f>
        <v/>
      </c>
      <c r="W463" s="20" t="str">
        <f>IFERROR(IF([2]对账明细接口!$R463=0,"",[2]对账明细接口!$R463),"")</f>
        <v/>
      </c>
      <c r="X463" s="20" t="str">
        <f>IFERROR(IF([2]对账明细接口!$S463=0,"",[2]对账明细接口!$S463),"")</f>
        <v/>
      </c>
      <c r="Y463" s="20" t="str">
        <f t="shared" si="44"/>
        <v/>
      </c>
      <c r="Z463" s="20" t="str">
        <f t="shared" si="45"/>
        <v/>
      </c>
      <c r="AA463" s="20" t="str">
        <f t="shared" si="46"/>
        <v/>
      </c>
      <c r="AB463" s="20" t="str">
        <f t="shared" si="47"/>
        <v/>
      </c>
    </row>
    <row r="464" customHeight="1" spans="1:28">
      <c r="A464" s="14">
        <v>464</v>
      </c>
      <c r="B464" s="15" t="str">
        <f>IFERROR(IF([2]对账明细接口!$B$464=0,"",[2]对账明细接口!$B$464),"")</f>
        <v/>
      </c>
      <c r="C464" s="16" t="str">
        <f>IFERROR(IF([2]对账明细接口!$C$464=0,"",[2]对账明细接口!$C$464),"")</f>
        <v/>
      </c>
      <c r="D464" s="16" t="str">
        <f>IFERROR(IF([2]对账明细接口!$D$464=0,"",[2]对账明细接口!$D$464),"")</f>
        <v/>
      </c>
      <c r="E464" s="16" t="str">
        <f>IFERROR(IF([2]对账明细接口!$E$464=0,"",[2]对账明细接口!$E$464),"")</f>
        <v/>
      </c>
      <c r="F464" s="16" t="str">
        <f>IFERROR(IF([2]对账明细接口!$F$464=0,"",[2]对账明细接口!$F$464),"")</f>
        <v/>
      </c>
      <c r="G464" s="16" t="str">
        <f>IFERROR(IF([2]对账明细接口!$G$464=0,"",[2]对账明细接口!$G$464),"")</f>
        <v/>
      </c>
      <c r="H464" s="17" t="str">
        <f>IFERROR(IF([2]对账明细接口!$H$464=0,"",[2]对账明细接口!$H$464),"")</f>
        <v/>
      </c>
      <c r="I464" s="16" t="str">
        <f>IFERROR(IF([2]对账明细接口!$I$464=0,"",[2]对账明细接口!$I$464),"")</f>
        <v/>
      </c>
      <c r="J464" s="18" t="str">
        <f>IFERROR(IF([2]对账明细接口!$J$464=0,"",[2]对账明细接口!$J$464),"")</f>
        <v/>
      </c>
      <c r="K464" s="18" t="str">
        <f>IFERROR(IF([2]对账明细接口!$K$464=0,"",[2]对账明细接口!$K$464),"")</f>
        <v/>
      </c>
      <c r="L464" s="16" t="str">
        <f>IFERROR(IF([2]对账明细接口!$L$464=0,"",[2]对账明细接口!$L$464),"")</f>
        <v/>
      </c>
      <c r="M464" s="16" t="str">
        <f>IFERROR(IF([2]对账明细接口!$M$464=0,"",[2]对账明细接口!$M$464),"")</f>
        <v/>
      </c>
      <c r="N464" s="19">
        <f t="shared" si="42"/>
        <v>0</v>
      </c>
      <c r="O464" s="19">
        <f t="shared" si="43"/>
        <v>165</v>
      </c>
      <c r="S464" s="20" t="str">
        <f>IFERROR(IF([2]对账明细接口!$N464=0,"",[2]对账明细接口!$N464),"")</f>
        <v/>
      </c>
      <c r="T464" s="21" t="str">
        <f>IFERROR(IF([2]对账明细接口!$O464=0,"",[2]对账明细接口!$O464),"")</f>
        <v/>
      </c>
      <c r="U464" s="21" t="str">
        <f>IFERROR(IF([2]对账明细接口!$P464=0,"",[2]对账明细接口!$P464),"")</f>
        <v/>
      </c>
      <c r="V464" s="21" t="str">
        <f>IFERROR(IF([2]对账明细接口!$Q464=0,"",[2]对账明细接口!$Q464),"")</f>
        <v/>
      </c>
      <c r="W464" s="20" t="str">
        <f>IFERROR(IF([2]对账明细接口!$R464=0,"",[2]对账明细接口!$R464),"")</f>
        <v/>
      </c>
      <c r="X464" s="20" t="str">
        <f>IFERROR(IF([2]对账明细接口!$S464=0,"",[2]对账明细接口!$S464),"")</f>
        <v/>
      </c>
      <c r="Y464" s="20" t="str">
        <f t="shared" si="44"/>
        <v/>
      </c>
      <c r="Z464" s="20" t="str">
        <f t="shared" si="45"/>
        <v/>
      </c>
      <c r="AA464" s="20" t="str">
        <f t="shared" si="46"/>
        <v/>
      </c>
      <c r="AB464" s="20" t="str">
        <f t="shared" si="47"/>
        <v/>
      </c>
    </row>
    <row r="465" customHeight="1" spans="1:28">
      <c r="A465" s="14">
        <v>465</v>
      </c>
      <c r="B465" s="15" t="str">
        <f>IFERROR(IF([2]对账明细接口!$B$465=0,"",[2]对账明细接口!$B$465),"")</f>
        <v/>
      </c>
      <c r="C465" s="16" t="str">
        <f>IFERROR(IF([2]对账明细接口!$C$465=0,"",[2]对账明细接口!$C$465),"")</f>
        <v/>
      </c>
      <c r="D465" s="16" t="str">
        <f>IFERROR(IF([2]对账明细接口!$D$465=0,"",[2]对账明细接口!$D$465),"")</f>
        <v/>
      </c>
      <c r="E465" s="16" t="str">
        <f>IFERROR(IF([2]对账明细接口!$E$465=0,"",[2]对账明细接口!$E$465),"")</f>
        <v/>
      </c>
      <c r="F465" s="16" t="str">
        <f>IFERROR(IF([2]对账明细接口!$F$465=0,"",[2]对账明细接口!$F$465),"")</f>
        <v/>
      </c>
      <c r="G465" s="16" t="str">
        <f>IFERROR(IF([2]对账明细接口!$G$465=0,"",[2]对账明细接口!$G$465),"")</f>
        <v/>
      </c>
      <c r="H465" s="17" t="str">
        <f>IFERROR(IF([2]对账明细接口!$H$465=0,"",[2]对账明细接口!$H$465),"")</f>
        <v/>
      </c>
      <c r="I465" s="16" t="str">
        <f>IFERROR(IF([2]对账明细接口!$I$465=0,"",[2]对账明细接口!$I$465),"")</f>
        <v/>
      </c>
      <c r="J465" s="18" t="str">
        <f>IFERROR(IF([2]对账明细接口!$J$465=0,"",[2]对账明细接口!$J$465),"")</f>
        <v/>
      </c>
      <c r="K465" s="18" t="str">
        <f>IFERROR(IF([2]对账明细接口!$K$465=0,"",[2]对账明细接口!$K$465),"")</f>
        <v/>
      </c>
      <c r="L465" s="16" t="str">
        <f>IFERROR(IF([2]对账明细接口!$L$465=0,"",[2]对账明细接口!$L$465),"")</f>
        <v/>
      </c>
      <c r="M465" s="16" t="str">
        <f>IFERROR(IF([2]对账明细接口!$M$465=0,"",[2]对账明细接口!$M$465),"")</f>
        <v/>
      </c>
      <c r="N465" s="19">
        <f t="shared" si="42"/>
        <v>0</v>
      </c>
      <c r="O465" s="19">
        <f t="shared" si="43"/>
        <v>165</v>
      </c>
      <c r="S465" s="20" t="str">
        <f>IFERROR(IF([2]对账明细接口!$N465=0,"",[2]对账明细接口!$N465),"")</f>
        <v/>
      </c>
      <c r="T465" s="21" t="str">
        <f>IFERROR(IF([2]对账明细接口!$O465=0,"",[2]对账明细接口!$O465),"")</f>
        <v/>
      </c>
      <c r="U465" s="21" t="str">
        <f>IFERROR(IF([2]对账明细接口!$P465=0,"",[2]对账明细接口!$P465),"")</f>
        <v/>
      </c>
      <c r="V465" s="21" t="str">
        <f>IFERROR(IF([2]对账明细接口!$Q465=0,"",[2]对账明细接口!$Q465),"")</f>
        <v/>
      </c>
      <c r="W465" s="20" t="str">
        <f>IFERROR(IF([2]对账明细接口!$R465=0,"",[2]对账明细接口!$R465),"")</f>
        <v/>
      </c>
      <c r="X465" s="20" t="str">
        <f>IFERROR(IF([2]对账明细接口!$S465=0,"",[2]对账明细接口!$S465),"")</f>
        <v/>
      </c>
      <c r="Y465" s="20" t="str">
        <f t="shared" si="44"/>
        <v/>
      </c>
      <c r="Z465" s="20" t="str">
        <f t="shared" si="45"/>
        <v/>
      </c>
      <c r="AA465" s="20" t="str">
        <f t="shared" si="46"/>
        <v/>
      </c>
      <c r="AB465" s="20" t="str">
        <f t="shared" si="47"/>
        <v/>
      </c>
    </row>
    <row r="466" customHeight="1" spans="1:28">
      <c r="A466" s="14">
        <v>466</v>
      </c>
      <c r="B466" s="15" t="str">
        <f>IFERROR(IF([2]对账明细接口!$B$466=0,"",[2]对账明细接口!$B$466),"")</f>
        <v/>
      </c>
      <c r="C466" s="16" t="str">
        <f>IFERROR(IF([2]对账明细接口!$C$466=0,"",[2]对账明细接口!$C$466),"")</f>
        <v/>
      </c>
      <c r="D466" s="16" t="str">
        <f>IFERROR(IF([2]对账明细接口!$D$466=0,"",[2]对账明细接口!$D$466),"")</f>
        <v/>
      </c>
      <c r="E466" s="16" t="str">
        <f>IFERROR(IF([2]对账明细接口!$E$466=0,"",[2]对账明细接口!$E$466),"")</f>
        <v/>
      </c>
      <c r="F466" s="16" t="str">
        <f>IFERROR(IF([2]对账明细接口!$F$466=0,"",[2]对账明细接口!$F$466),"")</f>
        <v/>
      </c>
      <c r="G466" s="16" t="str">
        <f>IFERROR(IF([2]对账明细接口!$G$466=0,"",[2]对账明细接口!$G$466),"")</f>
        <v/>
      </c>
      <c r="H466" s="17" t="str">
        <f>IFERROR(IF([2]对账明细接口!$H$466=0,"",[2]对账明细接口!$H$466),"")</f>
        <v/>
      </c>
      <c r="I466" s="16" t="str">
        <f>IFERROR(IF([2]对账明细接口!$I$466=0,"",[2]对账明细接口!$I$466),"")</f>
        <v/>
      </c>
      <c r="J466" s="18" t="str">
        <f>IFERROR(IF([2]对账明细接口!$J$466=0,"",[2]对账明细接口!$J$466),"")</f>
        <v/>
      </c>
      <c r="K466" s="18" t="str">
        <f>IFERROR(IF([2]对账明细接口!$K$466=0,"",[2]对账明细接口!$K$466),"")</f>
        <v/>
      </c>
      <c r="L466" s="16" t="str">
        <f>IFERROR(IF([2]对账明细接口!$L$466=0,"",[2]对账明细接口!$L$466),"")</f>
        <v/>
      </c>
      <c r="M466" s="16" t="str">
        <f>IFERROR(IF([2]对账明细接口!$M$466=0,"",[2]对账明细接口!$M$466),"")</f>
        <v/>
      </c>
      <c r="N466" s="19">
        <f t="shared" si="42"/>
        <v>0</v>
      </c>
      <c r="O466" s="19">
        <f t="shared" si="43"/>
        <v>165</v>
      </c>
      <c r="S466" s="20" t="str">
        <f>IFERROR(IF([2]对账明细接口!$N466=0,"",[2]对账明细接口!$N466),"")</f>
        <v/>
      </c>
      <c r="T466" s="21" t="str">
        <f>IFERROR(IF([2]对账明细接口!$O466=0,"",[2]对账明细接口!$O466),"")</f>
        <v/>
      </c>
      <c r="U466" s="21" t="str">
        <f>IFERROR(IF([2]对账明细接口!$P466=0,"",[2]对账明细接口!$P466),"")</f>
        <v/>
      </c>
      <c r="V466" s="21" t="str">
        <f>IFERROR(IF([2]对账明细接口!$Q466=0,"",[2]对账明细接口!$Q466),"")</f>
        <v/>
      </c>
      <c r="W466" s="20" t="str">
        <f>IFERROR(IF([2]对账明细接口!$R466=0,"",[2]对账明细接口!$R466),"")</f>
        <v/>
      </c>
      <c r="X466" s="20" t="str">
        <f>IFERROR(IF([2]对账明细接口!$S466=0,"",[2]对账明细接口!$S466),"")</f>
        <v/>
      </c>
      <c r="Y466" s="20" t="str">
        <f t="shared" si="44"/>
        <v/>
      </c>
      <c r="Z466" s="20" t="str">
        <f t="shared" si="45"/>
        <v/>
      </c>
      <c r="AA466" s="20" t="str">
        <f t="shared" si="46"/>
        <v/>
      </c>
      <c r="AB466" s="20" t="str">
        <f t="shared" si="47"/>
        <v/>
      </c>
    </row>
    <row r="467" customHeight="1" spans="1:28">
      <c r="A467" s="14">
        <v>467</v>
      </c>
      <c r="B467" s="15" t="str">
        <f>IFERROR(IF([2]对账明细接口!$B$467=0,"",[2]对账明细接口!$B$467),"")</f>
        <v/>
      </c>
      <c r="C467" s="16" t="str">
        <f>IFERROR(IF([2]对账明细接口!$C$467=0,"",[2]对账明细接口!$C$467),"")</f>
        <v/>
      </c>
      <c r="D467" s="16" t="str">
        <f>IFERROR(IF([2]对账明细接口!$D$467=0,"",[2]对账明细接口!$D$467),"")</f>
        <v/>
      </c>
      <c r="E467" s="16" t="str">
        <f>IFERROR(IF([2]对账明细接口!$E$467=0,"",[2]对账明细接口!$E$467),"")</f>
        <v/>
      </c>
      <c r="F467" s="16" t="str">
        <f>IFERROR(IF([2]对账明细接口!$F$467=0,"",[2]对账明细接口!$F$467),"")</f>
        <v/>
      </c>
      <c r="G467" s="16" t="str">
        <f>IFERROR(IF([2]对账明细接口!$G$467=0,"",[2]对账明细接口!$G$467),"")</f>
        <v/>
      </c>
      <c r="H467" s="17" t="str">
        <f>IFERROR(IF([2]对账明细接口!$H$467=0,"",[2]对账明细接口!$H$467),"")</f>
        <v/>
      </c>
      <c r="I467" s="16" t="str">
        <f>IFERROR(IF([2]对账明细接口!$I$467=0,"",[2]对账明细接口!$I$467),"")</f>
        <v/>
      </c>
      <c r="J467" s="18" t="str">
        <f>IFERROR(IF([2]对账明细接口!$J$467=0,"",[2]对账明细接口!$J$467),"")</f>
        <v/>
      </c>
      <c r="K467" s="18" t="str">
        <f>IFERROR(IF([2]对账明细接口!$K$467=0,"",[2]对账明细接口!$K$467),"")</f>
        <v/>
      </c>
      <c r="L467" s="16" t="str">
        <f>IFERROR(IF([2]对账明细接口!$L$467=0,"",[2]对账明细接口!$L$467),"")</f>
        <v/>
      </c>
      <c r="M467" s="16" t="str">
        <f>IFERROR(IF([2]对账明细接口!$M$467=0,"",[2]对账明细接口!$M$467),"")</f>
        <v/>
      </c>
      <c r="N467" s="19">
        <f t="shared" si="42"/>
        <v>0</v>
      </c>
      <c r="O467" s="19">
        <f t="shared" si="43"/>
        <v>165</v>
      </c>
      <c r="S467" s="20" t="str">
        <f>IFERROR(IF([2]对账明细接口!$N467=0,"",[2]对账明细接口!$N467),"")</f>
        <v/>
      </c>
      <c r="T467" s="21" t="str">
        <f>IFERROR(IF([2]对账明细接口!$O467=0,"",[2]对账明细接口!$O467),"")</f>
        <v/>
      </c>
      <c r="U467" s="21" t="str">
        <f>IFERROR(IF([2]对账明细接口!$P467=0,"",[2]对账明细接口!$P467),"")</f>
        <v/>
      </c>
      <c r="V467" s="21" t="str">
        <f>IFERROR(IF([2]对账明细接口!$Q467=0,"",[2]对账明细接口!$Q467),"")</f>
        <v/>
      </c>
      <c r="W467" s="20" t="str">
        <f>IFERROR(IF([2]对账明细接口!$R467=0,"",[2]对账明细接口!$R467),"")</f>
        <v/>
      </c>
      <c r="X467" s="20" t="str">
        <f>IFERROR(IF([2]对账明细接口!$S467=0,"",[2]对账明细接口!$S467),"")</f>
        <v/>
      </c>
      <c r="Y467" s="20" t="str">
        <f t="shared" si="44"/>
        <v/>
      </c>
      <c r="Z467" s="20" t="str">
        <f t="shared" si="45"/>
        <v/>
      </c>
      <c r="AA467" s="20" t="str">
        <f t="shared" si="46"/>
        <v/>
      </c>
      <c r="AB467" s="20" t="str">
        <f t="shared" si="47"/>
        <v/>
      </c>
    </row>
    <row r="468" customHeight="1" spans="1:28">
      <c r="A468" s="14">
        <v>468</v>
      </c>
      <c r="B468" s="15" t="str">
        <f>IFERROR(IF([2]对账明细接口!$B$468=0,"",[2]对账明细接口!$B$468),"")</f>
        <v/>
      </c>
      <c r="C468" s="16" t="str">
        <f>IFERROR(IF([2]对账明细接口!$C$468=0,"",[2]对账明细接口!$C$468),"")</f>
        <v/>
      </c>
      <c r="D468" s="16" t="str">
        <f>IFERROR(IF([2]对账明细接口!$D$468=0,"",[2]对账明细接口!$D$468),"")</f>
        <v/>
      </c>
      <c r="E468" s="16" t="str">
        <f>IFERROR(IF([2]对账明细接口!$E$468=0,"",[2]对账明细接口!$E$468),"")</f>
        <v/>
      </c>
      <c r="F468" s="16" t="str">
        <f>IFERROR(IF([2]对账明细接口!$F$468=0,"",[2]对账明细接口!$F$468),"")</f>
        <v/>
      </c>
      <c r="G468" s="16" t="str">
        <f>IFERROR(IF([2]对账明细接口!$G$468=0,"",[2]对账明细接口!$G$468),"")</f>
        <v/>
      </c>
      <c r="H468" s="17" t="str">
        <f>IFERROR(IF([2]对账明细接口!$H$468=0,"",[2]对账明细接口!$H$468),"")</f>
        <v/>
      </c>
      <c r="I468" s="16" t="str">
        <f>IFERROR(IF([2]对账明细接口!$I$468=0,"",[2]对账明细接口!$I$468),"")</f>
        <v/>
      </c>
      <c r="J468" s="18" t="str">
        <f>IFERROR(IF([2]对账明细接口!$J$468=0,"",[2]对账明细接口!$J$468),"")</f>
        <v/>
      </c>
      <c r="K468" s="18" t="str">
        <f>IFERROR(IF([2]对账明细接口!$K$468=0,"",[2]对账明细接口!$K$468),"")</f>
        <v/>
      </c>
      <c r="L468" s="16" t="str">
        <f>IFERROR(IF([2]对账明细接口!$L$468=0,"",[2]对账明细接口!$L$468),"")</f>
        <v/>
      </c>
      <c r="M468" s="16" t="str">
        <f>IFERROR(IF([2]对账明细接口!$M$468=0,"",[2]对账明细接口!$M$468),"")</f>
        <v/>
      </c>
      <c r="N468" s="19">
        <f t="shared" si="42"/>
        <v>0</v>
      </c>
      <c r="O468" s="19">
        <f t="shared" si="43"/>
        <v>165</v>
      </c>
      <c r="S468" s="20" t="str">
        <f>IFERROR(IF([2]对账明细接口!$N468=0,"",[2]对账明细接口!$N468),"")</f>
        <v/>
      </c>
      <c r="T468" s="21" t="str">
        <f>IFERROR(IF([2]对账明细接口!$O468=0,"",[2]对账明细接口!$O468),"")</f>
        <v/>
      </c>
      <c r="U468" s="21" t="str">
        <f>IFERROR(IF([2]对账明细接口!$P468=0,"",[2]对账明细接口!$P468),"")</f>
        <v/>
      </c>
      <c r="V468" s="21" t="str">
        <f>IFERROR(IF([2]对账明细接口!$Q468=0,"",[2]对账明细接口!$Q468),"")</f>
        <v/>
      </c>
      <c r="W468" s="20" t="str">
        <f>IFERROR(IF([2]对账明细接口!$R468=0,"",[2]对账明细接口!$R468),"")</f>
        <v/>
      </c>
      <c r="X468" s="20" t="str">
        <f>IFERROR(IF([2]对账明细接口!$S468=0,"",[2]对账明细接口!$S468),"")</f>
        <v/>
      </c>
      <c r="Y468" s="20" t="str">
        <f t="shared" si="44"/>
        <v/>
      </c>
      <c r="Z468" s="20" t="str">
        <f t="shared" si="45"/>
        <v/>
      </c>
      <c r="AA468" s="20" t="str">
        <f t="shared" si="46"/>
        <v/>
      </c>
      <c r="AB468" s="20" t="str">
        <f t="shared" si="47"/>
        <v/>
      </c>
    </row>
    <row r="469" customHeight="1" spans="1:28">
      <c r="A469" s="14">
        <v>469</v>
      </c>
      <c r="B469" s="15" t="str">
        <f>IFERROR(IF([2]对账明细接口!$B$469=0,"",[2]对账明细接口!$B$469),"")</f>
        <v/>
      </c>
      <c r="C469" s="16" t="str">
        <f>IFERROR(IF([2]对账明细接口!$C$469=0,"",[2]对账明细接口!$C$469),"")</f>
        <v/>
      </c>
      <c r="D469" s="16" t="str">
        <f>IFERROR(IF([2]对账明细接口!$D$469=0,"",[2]对账明细接口!$D$469),"")</f>
        <v/>
      </c>
      <c r="E469" s="16" t="str">
        <f>IFERROR(IF([2]对账明细接口!$E$469=0,"",[2]对账明细接口!$E$469),"")</f>
        <v/>
      </c>
      <c r="F469" s="16" t="str">
        <f>IFERROR(IF([2]对账明细接口!$F$469=0,"",[2]对账明细接口!$F$469),"")</f>
        <v/>
      </c>
      <c r="G469" s="16" t="str">
        <f>IFERROR(IF([2]对账明细接口!$G$469=0,"",[2]对账明细接口!$G$469),"")</f>
        <v/>
      </c>
      <c r="H469" s="17" t="str">
        <f>IFERROR(IF([2]对账明细接口!$H$469=0,"",[2]对账明细接口!$H$469),"")</f>
        <v/>
      </c>
      <c r="I469" s="16" t="str">
        <f>IFERROR(IF([2]对账明细接口!$I$469=0,"",[2]对账明细接口!$I$469),"")</f>
        <v/>
      </c>
      <c r="J469" s="18" t="str">
        <f>IFERROR(IF([2]对账明细接口!$J$469=0,"",[2]对账明细接口!$J$469),"")</f>
        <v/>
      </c>
      <c r="K469" s="18" t="str">
        <f>IFERROR(IF([2]对账明细接口!$K$469=0,"",[2]对账明细接口!$K$469),"")</f>
        <v/>
      </c>
      <c r="L469" s="16" t="str">
        <f>IFERROR(IF([2]对账明细接口!$L$469=0,"",[2]对账明细接口!$L$469),"")</f>
        <v/>
      </c>
      <c r="M469" s="16" t="str">
        <f>IFERROR(IF([2]对账明细接口!$M$469=0,"",[2]对账明细接口!$M$469),"")</f>
        <v/>
      </c>
      <c r="N469" s="19">
        <f t="shared" si="42"/>
        <v>0</v>
      </c>
      <c r="O469" s="19">
        <f t="shared" si="43"/>
        <v>165</v>
      </c>
      <c r="S469" s="20" t="str">
        <f>IFERROR(IF([2]对账明细接口!$N469=0,"",[2]对账明细接口!$N469),"")</f>
        <v/>
      </c>
      <c r="T469" s="21" t="str">
        <f>IFERROR(IF([2]对账明细接口!$O469=0,"",[2]对账明细接口!$O469),"")</f>
        <v/>
      </c>
      <c r="U469" s="21" t="str">
        <f>IFERROR(IF([2]对账明细接口!$P469=0,"",[2]对账明细接口!$P469),"")</f>
        <v/>
      </c>
      <c r="V469" s="21" t="str">
        <f>IFERROR(IF([2]对账明细接口!$Q469=0,"",[2]对账明细接口!$Q469),"")</f>
        <v/>
      </c>
      <c r="W469" s="20" t="str">
        <f>IFERROR(IF([2]对账明细接口!$R469=0,"",[2]对账明细接口!$R469),"")</f>
        <v/>
      </c>
      <c r="X469" s="20" t="str">
        <f>IFERROR(IF([2]对账明细接口!$S469=0,"",[2]对账明细接口!$S469),"")</f>
        <v/>
      </c>
      <c r="Y469" s="20" t="str">
        <f t="shared" si="44"/>
        <v/>
      </c>
      <c r="Z469" s="20" t="str">
        <f t="shared" si="45"/>
        <v/>
      </c>
      <c r="AA469" s="20" t="str">
        <f t="shared" si="46"/>
        <v/>
      </c>
      <c r="AB469" s="20" t="str">
        <f t="shared" si="47"/>
        <v/>
      </c>
    </row>
    <row r="470" customHeight="1" spans="1:28">
      <c r="A470" s="14">
        <v>470</v>
      </c>
      <c r="B470" s="15" t="str">
        <f>IFERROR(IF([2]对账明细接口!$B$470=0,"",[2]对账明细接口!$B$470),"")</f>
        <v/>
      </c>
      <c r="C470" s="16" t="str">
        <f>IFERROR(IF([2]对账明细接口!$C$470=0,"",[2]对账明细接口!$C$470),"")</f>
        <v/>
      </c>
      <c r="D470" s="16" t="str">
        <f>IFERROR(IF([2]对账明细接口!$D$470=0,"",[2]对账明细接口!$D$470),"")</f>
        <v/>
      </c>
      <c r="E470" s="16" t="str">
        <f>IFERROR(IF([2]对账明细接口!$E$470=0,"",[2]对账明细接口!$E$470),"")</f>
        <v/>
      </c>
      <c r="F470" s="16" t="str">
        <f>IFERROR(IF([2]对账明细接口!$F$470=0,"",[2]对账明细接口!$F$470),"")</f>
        <v/>
      </c>
      <c r="G470" s="16" t="str">
        <f>IFERROR(IF([2]对账明细接口!$G$470=0,"",[2]对账明细接口!$G$470),"")</f>
        <v/>
      </c>
      <c r="H470" s="17" t="str">
        <f>IFERROR(IF([2]对账明细接口!$H$470=0,"",[2]对账明细接口!$H$470),"")</f>
        <v/>
      </c>
      <c r="I470" s="16" t="str">
        <f>IFERROR(IF([2]对账明细接口!$I$470=0,"",[2]对账明细接口!$I$470),"")</f>
        <v/>
      </c>
      <c r="J470" s="18" t="str">
        <f>IFERROR(IF([2]对账明细接口!$J$470=0,"",[2]对账明细接口!$J$470),"")</f>
        <v/>
      </c>
      <c r="K470" s="18" t="str">
        <f>IFERROR(IF([2]对账明细接口!$K$470=0,"",[2]对账明细接口!$K$470),"")</f>
        <v/>
      </c>
      <c r="L470" s="16" t="str">
        <f>IFERROR(IF([2]对账明细接口!$L$470=0,"",[2]对账明细接口!$L$470),"")</f>
        <v/>
      </c>
      <c r="M470" s="16" t="str">
        <f>IFERROR(IF([2]对账明细接口!$M$470=0,"",[2]对账明细接口!$M$470),"")</f>
        <v/>
      </c>
      <c r="N470" s="19">
        <f t="shared" si="42"/>
        <v>0</v>
      </c>
      <c r="O470" s="19">
        <f t="shared" si="43"/>
        <v>165</v>
      </c>
      <c r="S470" s="20" t="str">
        <f>IFERROR(IF([2]对账明细接口!$N470=0,"",[2]对账明细接口!$N470),"")</f>
        <v/>
      </c>
      <c r="T470" s="21" t="str">
        <f>IFERROR(IF([2]对账明细接口!$O470=0,"",[2]对账明细接口!$O470),"")</f>
        <v/>
      </c>
      <c r="U470" s="21" t="str">
        <f>IFERROR(IF([2]对账明细接口!$P470=0,"",[2]对账明细接口!$P470),"")</f>
        <v/>
      </c>
      <c r="V470" s="21" t="str">
        <f>IFERROR(IF([2]对账明细接口!$Q470=0,"",[2]对账明细接口!$Q470),"")</f>
        <v/>
      </c>
      <c r="W470" s="20" t="str">
        <f>IFERROR(IF([2]对账明细接口!$R470=0,"",[2]对账明细接口!$R470),"")</f>
        <v/>
      </c>
      <c r="X470" s="20" t="str">
        <f>IFERROR(IF([2]对账明细接口!$S470=0,"",[2]对账明细接口!$S470),"")</f>
        <v/>
      </c>
      <c r="Y470" s="20" t="str">
        <f t="shared" si="44"/>
        <v/>
      </c>
      <c r="Z470" s="20" t="str">
        <f t="shared" si="45"/>
        <v/>
      </c>
      <c r="AA470" s="20" t="str">
        <f t="shared" si="46"/>
        <v/>
      </c>
      <c r="AB470" s="20" t="str">
        <f t="shared" si="47"/>
        <v/>
      </c>
    </row>
    <row r="471" customHeight="1" spans="1:28">
      <c r="A471" s="14">
        <v>471</v>
      </c>
      <c r="B471" s="15" t="str">
        <f>IFERROR(IF([2]对账明细接口!$B$471=0,"",[2]对账明细接口!$B$471),"")</f>
        <v/>
      </c>
      <c r="C471" s="16" t="str">
        <f>IFERROR(IF([2]对账明细接口!$C$471=0,"",[2]对账明细接口!$C$471),"")</f>
        <v/>
      </c>
      <c r="D471" s="16" t="str">
        <f>IFERROR(IF([2]对账明细接口!$D$471=0,"",[2]对账明细接口!$D$471),"")</f>
        <v/>
      </c>
      <c r="E471" s="16" t="str">
        <f>IFERROR(IF([2]对账明细接口!$E$471=0,"",[2]对账明细接口!$E$471),"")</f>
        <v/>
      </c>
      <c r="F471" s="16" t="str">
        <f>IFERROR(IF([2]对账明细接口!$F$471=0,"",[2]对账明细接口!$F$471),"")</f>
        <v/>
      </c>
      <c r="G471" s="16" t="str">
        <f>IFERROR(IF([2]对账明细接口!$G$471=0,"",[2]对账明细接口!$G$471),"")</f>
        <v/>
      </c>
      <c r="H471" s="17" t="str">
        <f>IFERROR(IF([2]对账明细接口!$H$471=0,"",[2]对账明细接口!$H$471),"")</f>
        <v/>
      </c>
      <c r="I471" s="16" t="str">
        <f>IFERROR(IF([2]对账明细接口!$I$471=0,"",[2]对账明细接口!$I$471),"")</f>
        <v/>
      </c>
      <c r="J471" s="18" t="str">
        <f>IFERROR(IF([2]对账明细接口!$J$471=0,"",[2]对账明细接口!$J$471),"")</f>
        <v/>
      </c>
      <c r="K471" s="18" t="str">
        <f>IFERROR(IF([2]对账明细接口!$K$471=0,"",[2]对账明细接口!$K$471),"")</f>
        <v/>
      </c>
      <c r="L471" s="16" t="str">
        <f>IFERROR(IF([2]对账明细接口!$L$471=0,"",[2]对账明细接口!$L$471),"")</f>
        <v/>
      </c>
      <c r="M471" s="16" t="str">
        <f>IFERROR(IF([2]对账明细接口!$M$471=0,"",[2]对账明细接口!$M$471),"")</f>
        <v/>
      </c>
      <c r="N471" s="19">
        <f t="shared" si="42"/>
        <v>0</v>
      </c>
      <c r="O471" s="19">
        <f t="shared" si="43"/>
        <v>165</v>
      </c>
      <c r="S471" s="20" t="str">
        <f>IFERROR(IF([2]对账明细接口!$N471=0,"",[2]对账明细接口!$N471),"")</f>
        <v/>
      </c>
      <c r="T471" s="21" t="str">
        <f>IFERROR(IF([2]对账明细接口!$O471=0,"",[2]对账明细接口!$O471),"")</f>
        <v/>
      </c>
      <c r="U471" s="21" t="str">
        <f>IFERROR(IF([2]对账明细接口!$P471=0,"",[2]对账明细接口!$P471),"")</f>
        <v/>
      </c>
      <c r="V471" s="21" t="str">
        <f>IFERROR(IF([2]对账明细接口!$Q471=0,"",[2]对账明细接口!$Q471),"")</f>
        <v/>
      </c>
      <c r="W471" s="20" t="str">
        <f>IFERROR(IF([2]对账明细接口!$R471=0,"",[2]对账明细接口!$R471),"")</f>
        <v/>
      </c>
      <c r="X471" s="20" t="str">
        <f>IFERROR(IF([2]对账明细接口!$S471=0,"",[2]对账明细接口!$S471),"")</f>
        <v/>
      </c>
      <c r="Y471" s="20" t="str">
        <f t="shared" si="44"/>
        <v/>
      </c>
      <c r="Z471" s="20" t="str">
        <f t="shared" si="45"/>
        <v/>
      </c>
      <c r="AA471" s="20" t="str">
        <f t="shared" si="46"/>
        <v/>
      </c>
      <c r="AB471" s="20" t="str">
        <f t="shared" si="47"/>
        <v/>
      </c>
    </row>
    <row r="472" customHeight="1" spans="1:28">
      <c r="A472" s="14">
        <v>472</v>
      </c>
      <c r="B472" s="15" t="str">
        <f>IFERROR(IF([2]对账明细接口!$B$472=0,"",[2]对账明细接口!$B$472),"")</f>
        <v/>
      </c>
      <c r="C472" s="16" t="str">
        <f>IFERROR(IF([2]对账明细接口!$C$472=0,"",[2]对账明细接口!$C$472),"")</f>
        <v/>
      </c>
      <c r="D472" s="16" t="str">
        <f>IFERROR(IF([2]对账明细接口!$D$472=0,"",[2]对账明细接口!$D$472),"")</f>
        <v/>
      </c>
      <c r="E472" s="16" t="str">
        <f>IFERROR(IF([2]对账明细接口!$E$472=0,"",[2]对账明细接口!$E$472),"")</f>
        <v/>
      </c>
      <c r="F472" s="16" t="str">
        <f>IFERROR(IF([2]对账明细接口!$F$472=0,"",[2]对账明细接口!$F$472),"")</f>
        <v/>
      </c>
      <c r="G472" s="16" t="str">
        <f>IFERROR(IF([2]对账明细接口!$G$472=0,"",[2]对账明细接口!$G$472),"")</f>
        <v/>
      </c>
      <c r="H472" s="17" t="str">
        <f>IFERROR(IF([2]对账明细接口!$H$472=0,"",[2]对账明细接口!$H$472),"")</f>
        <v/>
      </c>
      <c r="I472" s="16" t="str">
        <f>IFERROR(IF([2]对账明细接口!$I$472=0,"",[2]对账明细接口!$I$472),"")</f>
        <v/>
      </c>
      <c r="J472" s="18" t="str">
        <f>IFERROR(IF([2]对账明细接口!$J$472=0,"",[2]对账明细接口!$J$472),"")</f>
        <v/>
      </c>
      <c r="K472" s="18" t="str">
        <f>IFERROR(IF([2]对账明细接口!$K$472=0,"",[2]对账明细接口!$K$472),"")</f>
        <v/>
      </c>
      <c r="L472" s="16" t="str">
        <f>IFERROR(IF([2]对账明细接口!$L$472=0,"",[2]对账明细接口!$L$472),"")</f>
        <v/>
      </c>
      <c r="M472" s="16" t="str">
        <f>IFERROR(IF([2]对账明细接口!$M$472=0,"",[2]对账明细接口!$M$472),"")</f>
        <v/>
      </c>
      <c r="N472" s="19">
        <f t="shared" si="42"/>
        <v>0</v>
      </c>
      <c r="O472" s="19">
        <f t="shared" si="43"/>
        <v>165</v>
      </c>
      <c r="S472" s="20" t="str">
        <f>IFERROR(IF([2]对账明细接口!$N472=0,"",[2]对账明细接口!$N472),"")</f>
        <v/>
      </c>
      <c r="T472" s="21" t="str">
        <f>IFERROR(IF([2]对账明细接口!$O472=0,"",[2]对账明细接口!$O472),"")</f>
        <v/>
      </c>
      <c r="U472" s="21" t="str">
        <f>IFERROR(IF([2]对账明细接口!$P472=0,"",[2]对账明细接口!$P472),"")</f>
        <v/>
      </c>
      <c r="V472" s="21" t="str">
        <f>IFERROR(IF([2]对账明细接口!$Q472=0,"",[2]对账明细接口!$Q472),"")</f>
        <v/>
      </c>
      <c r="W472" s="20" t="str">
        <f>IFERROR(IF([2]对账明细接口!$R472=0,"",[2]对账明细接口!$R472),"")</f>
        <v/>
      </c>
      <c r="X472" s="20" t="str">
        <f>IFERROR(IF([2]对账明细接口!$S472=0,"",[2]对账明细接口!$S472),"")</f>
        <v/>
      </c>
      <c r="Y472" s="20" t="str">
        <f t="shared" si="44"/>
        <v/>
      </c>
      <c r="Z472" s="20" t="str">
        <f t="shared" si="45"/>
        <v/>
      </c>
      <c r="AA472" s="20" t="str">
        <f t="shared" si="46"/>
        <v/>
      </c>
      <c r="AB472" s="20" t="str">
        <f t="shared" si="47"/>
        <v/>
      </c>
    </row>
    <row r="473" customHeight="1" spans="1:28">
      <c r="A473" s="14">
        <v>473</v>
      </c>
      <c r="B473" s="15" t="str">
        <f>IFERROR(IF([2]对账明细接口!$B$473=0,"",[2]对账明细接口!$B$473),"")</f>
        <v/>
      </c>
      <c r="C473" s="16" t="str">
        <f>IFERROR(IF([2]对账明细接口!$C$473=0,"",[2]对账明细接口!$C$473),"")</f>
        <v/>
      </c>
      <c r="D473" s="16" t="str">
        <f>IFERROR(IF([2]对账明细接口!$D$473=0,"",[2]对账明细接口!$D$473),"")</f>
        <v/>
      </c>
      <c r="E473" s="16" t="str">
        <f>IFERROR(IF([2]对账明细接口!$E$473=0,"",[2]对账明细接口!$E$473),"")</f>
        <v/>
      </c>
      <c r="F473" s="16" t="str">
        <f>IFERROR(IF([2]对账明细接口!$F$473=0,"",[2]对账明细接口!$F$473),"")</f>
        <v/>
      </c>
      <c r="G473" s="16" t="str">
        <f>IFERROR(IF([2]对账明细接口!$G$473=0,"",[2]对账明细接口!$G$473),"")</f>
        <v/>
      </c>
      <c r="H473" s="17" t="str">
        <f>IFERROR(IF([2]对账明细接口!$H$473=0,"",[2]对账明细接口!$H$473),"")</f>
        <v/>
      </c>
      <c r="I473" s="16" t="str">
        <f>IFERROR(IF([2]对账明细接口!$I$473=0,"",[2]对账明细接口!$I$473),"")</f>
        <v/>
      </c>
      <c r="J473" s="18" t="str">
        <f>IFERROR(IF([2]对账明细接口!$J$473=0,"",[2]对账明细接口!$J$473),"")</f>
        <v/>
      </c>
      <c r="K473" s="18" t="str">
        <f>IFERROR(IF([2]对账明细接口!$K$473=0,"",[2]对账明细接口!$K$473),"")</f>
        <v/>
      </c>
      <c r="L473" s="16" t="str">
        <f>IFERROR(IF([2]对账明细接口!$L$473=0,"",[2]对账明细接口!$L$473),"")</f>
        <v/>
      </c>
      <c r="M473" s="16" t="str">
        <f>IFERROR(IF([2]对账明细接口!$M$473=0,"",[2]对账明细接口!$M$473),"")</f>
        <v/>
      </c>
      <c r="N473" s="19">
        <f t="shared" si="42"/>
        <v>0</v>
      </c>
      <c r="O473" s="19">
        <f t="shared" si="43"/>
        <v>165</v>
      </c>
      <c r="S473" s="20" t="str">
        <f>IFERROR(IF([2]对账明细接口!$N473=0,"",[2]对账明细接口!$N473),"")</f>
        <v/>
      </c>
      <c r="T473" s="21" t="str">
        <f>IFERROR(IF([2]对账明细接口!$O473=0,"",[2]对账明细接口!$O473),"")</f>
        <v/>
      </c>
      <c r="U473" s="21" t="str">
        <f>IFERROR(IF([2]对账明细接口!$P473=0,"",[2]对账明细接口!$P473),"")</f>
        <v/>
      </c>
      <c r="V473" s="21" t="str">
        <f>IFERROR(IF([2]对账明细接口!$Q473=0,"",[2]对账明细接口!$Q473),"")</f>
        <v/>
      </c>
      <c r="W473" s="20" t="str">
        <f>IFERROR(IF([2]对账明细接口!$R473=0,"",[2]对账明细接口!$R473),"")</f>
        <v/>
      </c>
      <c r="X473" s="20" t="str">
        <f>IFERROR(IF([2]对账明细接口!$S473=0,"",[2]对账明细接口!$S473),"")</f>
        <v/>
      </c>
      <c r="Y473" s="20" t="str">
        <f t="shared" si="44"/>
        <v/>
      </c>
      <c r="Z473" s="20" t="str">
        <f t="shared" si="45"/>
        <v/>
      </c>
      <c r="AA473" s="20" t="str">
        <f t="shared" si="46"/>
        <v/>
      </c>
      <c r="AB473" s="20" t="str">
        <f t="shared" si="47"/>
        <v/>
      </c>
    </row>
    <row r="474" customHeight="1" spans="1:28">
      <c r="A474" s="14">
        <v>474</v>
      </c>
      <c r="B474" s="15" t="str">
        <f>IFERROR(IF([2]对账明细接口!$B$474=0,"",[2]对账明细接口!$B$474),"")</f>
        <v/>
      </c>
      <c r="C474" s="16" t="str">
        <f>IFERROR(IF([2]对账明细接口!$C$474=0,"",[2]对账明细接口!$C$474),"")</f>
        <v/>
      </c>
      <c r="D474" s="16" t="str">
        <f>IFERROR(IF([2]对账明细接口!$D$474=0,"",[2]对账明细接口!$D$474),"")</f>
        <v/>
      </c>
      <c r="E474" s="16" t="str">
        <f>IFERROR(IF([2]对账明细接口!$E$474=0,"",[2]对账明细接口!$E$474),"")</f>
        <v/>
      </c>
      <c r="F474" s="16" t="str">
        <f>IFERROR(IF([2]对账明细接口!$F$474=0,"",[2]对账明细接口!$F$474),"")</f>
        <v/>
      </c>
      <c r="G474" s="16" t="str">
        <f>IFERROR(IF([2]对账明细接口!$G$474=0,"",[2]对账明细接口!$G$474),"")</f>
        <v/>
      </c>
      <c r="H474" s="17" t="str">
        <f>IFERROR(IF([2]对账明细接口!$H$474=0,"",[2]对账明细接口!$H$474),"")</f>
        <v/>
      </c>
      <c r="I474" s="16" t="str">
        <f>IFERROR(IF([2]对账明细接口!$I$474=0,"",[2]对账明细接口!$I$474),"")</f>
        <v/>
      </c>
      <c r="J474" s="18" t="str">
        <f>IFERROR(IF([2]对账明细接口!$J$474=0,"",[2]对账明细接口!$J$474),"")</f>
        <v/>
      </c>
      <c r="K474" s="18" t="str">
        <f>IFERROR(IF([2]对账明细接口!$K$474=0,"",[2]对账明细接口!$K$474),"")</f>
        <v/>
      </c>
      <c r="L474" s="16" t="str">
        <f>IFERROR(IF([2]对账明细接口!$L$474=0,"",[2]对账明细接口!$L$474),"")</f>
        <v/>
      </c>
      <c r="M474" s="16" t="str">
        <f>IFERROR(IF([2]对账明细接口!$M$474=0,"",[2]对账明细接口!$M$474),"")</f>
        <v/>
      </c>
      <c r="N474" s="19">
        <f t="shared" si="42"/>
        <v>0</v>
      </c>
      <c r="O474" s="19">
        <f t="shared" si="43"/>
        <v>165</v>
      </c>
      <c r="S474" s="20" t="str">
        <f>IFERROR(IF([2]对账明细接口!$N474=0,"",[2]对账明细接口!$N474),"")</f>
        <v/>
      </c>
      <c r="T474" s="21" t="str">
        <f>IFERROR(IF([2]对账明细接口!$O474=0,"",[2]对账明细接口!$O474),"")</f>
        <v/>
      </c>
      <c r="U474" s="21" t="str">
        <f>IFERROR(IF([2]对账明细接口!$P474=0,"",[2]对账明细接口!$P474),"")</f>
        <v/>
      </c>
      <c r="V474" s="21" t="str">
        <f>IFERROR(IF([2]对账明细接口!$Q474=0,"",[2]对账明细接口!$Q474),"")</f>
        <v/>
      </c>
      <c r="W474" s="20" t="str">
        <f>IFERROR(IF([2]对账明细接口!$R474=0,"",[2]对账明细接口!$R474),"")</f>
        <v/>
      </c>
      <c r="X474" s="20" t="str">
        <f>IFERROR(IF([2]对账明细接口!$S474=0,"",[2]对账明细接口!$S474),"")</f>
        <v/>
      </c>
      <c r="Y474" s="20" t="str">
        <f t="shared" si="44"/>
        <v/>
      </c>
      <c r="Z474" s="20" t="str">
        <f t="shared" si="45"/>
        <v/>
      </c>
      <c r="AA474" s="20" t="str">
        <f t="shared" si="46"/>
        <v/>
      </c>
      <c r="AB474" s="20" t="str">
        <f t="shared" si="47"/>
        <v/>
      </c>
    </row>
    <row r="475" customHeight="1" spans="1:28">
      <c r="A475" s="14">
        <v>475</v>
      </c>
      <c r="B475" s="15" t="str">
        <f>IFERROR(IF([2]对账明细接口!$B$475=0,"",[2]对账明细接口!$B$475),"")</f>
        <v/>
      </c>
      <c r="C475" s="16" t="str">
        <f>IFERROR(IF([2]对账明细接口!$C$475=0,"",[2]对账明细接口!$C$475),"")</f>
        <v/>
      </c>
      <c r="D475" s="16" t="str">
        <f>IFERROR(IF([2]对账明细接口!$D$475=0,"",[2]对账明细接口!$D$475),"")</f>
        <v/>
      </c>
      <c r="E475" s="16" t="str">
        <f>IFERROR(IF([2]对账明细接口!$E$475=0,"",[2]对账明细接口!$E$475),"")</f>
        <v/>
      </c>
      <c r="F475" s="16" t="str">
        <f>IFERROR(IF([2]对账明细接口!$F$475=0,"",[2]对账明细接口!$F$475),"")</f>
        <v/>
      </c>
      <c r="G475" s="16" t="str">
        <f>IFERROR(IF([2]对账明细接口!$G$475=0,"",[2]对账明细接口!$G$475),"")</f>
        <v/>
      </c>
      <c r="H475" s="17" t="str">
        <f>IFERROR(IF([2]对账明细接口!$H$475=0,"",[2]对账明细接口!$H$475),"")</f>
        <v/>
      </c>
      <c r="I475" s="16" t="str">
        <f>IFERROR(IF([2]对账明细接口!$I$475=0,"",[2]对账明细接口!$I$475),"")</f>
        <v/>
      </c>
      <c r="J475" s="18" t="str">
        <f>IFERROR(IF([2]对账明细接口!$J$475=0,"",[2]对账明细接口!$J$475),"")</f>
        <v/>
      </c>
      <c r="K475" s="18" t="str">
        <f>IFERROR(IF([2]对账明细接口!$K$475=0,"",[2]对账明细接口!$K$475),"")</f>
        <v/>
      </c>
      <c r="L475" s="16" t="str">
        <f>IFERROR(IF([2]对账明细接口!$L$475=0,"",[2]对账明细接口!$L$475),"")</f>
        <v/>
      </c>
      <c r="M475" s="16" t="str">
        <f>IFERROR(IF([2]对账明细接口!$M$475=0,"",[2]对账明细接口!$M$475),"")</f>
        <v/>
      </c>
      <c r="N475" s="19">
        <f t="shared" si="42"/>
        <v>0</v>
      </c>
      <c r="O475" s="19">
        <f t="shared" si="43"/>
        <v>165</v>
      </c>
      <c r="S475" s="20" t="str">
        <f>IFERROR(IF([2]对账明细接口!$N475=0,"",[2]对账明细接口!$N475),"")</f>
        <v/>
      </c>
      <c r="T475" s="21" t="str">
        <f>IFERROR(IF([2]对账明细接口!$O475=0,"",[2]对账明细接口!$O475),"")</f>
        <v/>
      </c>
      <c r="U475" s="21" t="str">
        <f>IFERROR(IF([2]对账明细接口!$P475=0,"",[2]对账明细接口!$P475),"")</f>
        <v/>
      </c>
      <c r="V475" s="21" t="str">
        <f>IFERROR(IF([2]对账明细接口!$Q475=0,"",[2]对账明细接口!$Q475),"")</f>
        <v/>
      </c>
      <c r="W475" s="20" t="str">
        <f>IFERROR(IF([2]对账明细接口!$R475=0,"",[2]对账明细接口!$R475),"")</f>
        <v/>
      </c>
      <c r="X475" s="20" t="str">
        <f>IFERROR(IF([2]对账明细接口!$S475=0,"",[2]对账明细接口!$S475),"")</f>
        <v/>
      </c>
      <c r="Y475" s="20" t="str">
        <f t="shared" si="44"/>
        <v/>
      </c>
      <c r="Z475" s="20" t="str">
        <f t="shared" si="45"/>
        <v/>
      </c>
      <c r="AA475" s="20" t="str">
        <f t="shared" si="46"/>
        <v/>
      </c>
      <c r="AB475" s="20" t="str">
        <f t="shared" si="47"/>
        <v/>
      </c>
    </row>
    <row r="476" customHeight="1" spans="1:28">
      <c r="A476" s="14">
        <v>476</v>
      </c>
      <c r="B476" s="15" t="str">
        <f>IFERROR(IF([2]对账明细接口!$B$476=0,"",[2]对账明细接口!$B$476),"")</f>
        <v/>
      </c>
      <c r="C476" s="16" t="str">
        <f>IFERROR(IF([2]对账明细接口!$C$476=0,"",[2]对账明细接口!$C$476),"")</f>
        <v/>
      </c>
      <c r="D476" s="16" t="str">
        <f>IFERROR(IF([2]对账明细接口!$D$476=0,"",[2]对账明细接口!$D$476),"")</f>
        <v/>
      </c>
      <c r="E476" s="16" t="str">
        <f>IFERROR(IF([2]对账明细接口!$E$476=0,"",[2]对账明细接口!$E$476),"")</f>
        <v/>
      </c>
      <c r="F476" s="16" t="str">
        <f>IFERROR(IF([2]对账明细接口!$F$476=0,"",[2]对账明细接口!$F$476),"")</f>
        <v/>
      </c>
      <c r="G476" s="16" t="str">
        <f>IFERROR(IF([2]对账明细接口!$G$476=0,"",[2]对账明细接口!$G$476),"")</f>
        <v/>
      </c>
      <c r="H476" s="17" t="str">
        <f>IFERROR(IF([2]对账明细接口!$H$476=0,"",[2]对账明细接口!$H$476),"")</f>
        <v/>
      </c>
      <c r="I476" s="16" t="str">
        <f>IFERROR(IF([2]对账明细接口!$I$476=0,"",[2]对账明细接口!$I$476),"")</f>
        <v/>
      </c>
      <c r="J476" s="18" t="str">
        <f>IFERROR(IF([2]对账明细接口!$J$476=0,"",[2]对账明细接口!$J$476),"")</f>
        <v/>
      </c>
      <c r="K476" s="18" t="str">
        <f>IFERROR(IF([2]对账明细接口!$K$476=0,"",[2]对账明细接口!$K$476),"")</f>
        <v/>
      </c>
      <c r="L476" s="16" t="str">
        <f>IFERROR(IF([2]对账明细接口!$L$476=0,"",[2]对账明细接口!$L$476),"")</f>
        <v/>
      </c>
      <c r="M476" s="16" t="str">
        <f>IFERROR(IF([2]对账明细接口!$M$476=0,"",[2]对账明细接口!$M$476),"")</f>
        <v/>
      </c>
      <c r="N476" s="19">
        <f t="shared" si="42"/>
        <v>0</v>
      </c>
      <c r="O476" s="19">
        <f t="shared" si="43"/>
        <v>165</v>
      </c>
      <c r="S476" s="20" t="str">
        <f>IFERROR(IF([2]对账明细接口!$N476=0,"",[2]对账明细接口!$N476),"")</f>
        <v/>
      </c>
      <c r="T476" s="21" t="str">
        <f>IFERROR(IF([2]对账明细接口!$O476=0,"",[2]对账明细接口!$O476),"")</f>
        <v/>
      </c>
      <c r="U476" s="21" t="str">
        <f>IFERROR(IF([2]对账明细接口!$P476=0,"",[2]对账明细接口!$P476),"")</f>
        <v/>
      </c>
      <c r="V476" s="21" t="str">
        <f>IFERROR(IF([2]对账明细接口!$Q476=0,"",[2]对账明细接口!$Q476),"")</f>
        <v/>
      </c>
      <c r="W476" s="20" t="str">
        <f>IFERROR(IF([2]对账明细接口!$R476=0,"",[2]对账明细接口!$R476),"")</f>
        <v/>
      </c>
      <c r="X476" s="20" t="str">
        <f>IFERROR(IF([2]对账明细接口!$S476=0,"",[2]对账明细接口!$S476),"")</f>
        <v/>
      </c>
      <c r="Y476" s="20" t="str">
        <f t="shared" si="44"/>
        <v/>
      </c>
      <c r="Z476" s="20" t="str">
        <f t="shared" si="45"/>
        <v/>
      </c>
      <c r="AA476" s="20" t="str">
        <f t="shared" si="46"/>
        <v/>
      </c>
      <c r="AB476" s="20" t="str">
        <f t="shared" si="47"/>
        <v/>
      </c>
    </row>
    <row r="477" customHeight="1" spans="1:28">
      <c r="A477" s="14">
        <v>477</v>
      </c>
      <c r="B477" s="15" t="str">
        <f>IFERROR(IF([2]对账明细接口!$B$477=0,"",[2]对账明细接口!$B$477),"")</f>
        <v/>
      </c>
      <c r="C477" s="16" t="str">
        <f>IFERROR(IF([2]对账明细接口!$C$477=0,"",[2]对账明细接口!$C$477),"")</f>
        <v/>
      </c>
      <c r="D477" s="16" t="str">
        <f>IFERROR(IF([2]对账明细接口!$D$477=0,"",[2]对账明细接口!$D$477),"")</f>
        <v/>
      </c>
      <c r="E477" s="16" t="str">
        <f>IFERROR(IF([2]对账明细接口!$E$477=0,"",[2]对账明细接口!$E$477),"")</f>
        <v/>
      </c>
      <c r="F477" s="16" t="str">
        <f>IFERROR(IF([2]对账明细接口!$F$477=0,"",[2]对账明细接口!$F$477),"")</f>
        <v/>
      </c>
      <c r="G477" s="16" t="str">
        <f>IFERROR(IF([2]对账明细接口!$G$477=0,"",[2]对账明细接口!$G$477),"")</f>
        <v/>
      </c>
      <c r="H477" s="17" t="str">
        <f>IFERROR(IF([2]对账明细接口!$H$477=0,"",[2]对账明细接口!$H$477),"")</f>
        <v/>
      </c>
      <c r="I477" s="16" t="str">
        <f>IFERROR(IF([2]对账明细接口!$I$477=0,"",[2]对账明细接口!$I$477),"")</f>
        <v/>
      </c>
      <c r="J477" s="18" t="str">
        <f>IFERROR(IF([2]对账明细接口!$J$477=0,"",[2]对账明细接口!$J$477),"")</f>
        <v/>
      </c>
      <c r="K477" s="18" t="str">
        <f>IFERROR(IF([2]对账明细接口!$K$477=0,"",[2]对账明细接口!$K$477),"")</f>
        <v/>
      </c>
      <c r="L477" s="16" t="str">
        <f>IFERROR(IF([2]对账明细接口!$L$477=0,"",[2]对账明细接口!$L$477),"")</f>
        <v/>
      </c>
      <c r="M477" s="16" t="str">
        <f>IFERROR(IF([2]对账明细接口!$M$477=0,"",[2]对账明细接口!$M$477),"")</f>
        <v/>
      </c>
      <c r="N477" s="19">
        <f t="shared" si="42"/>
        <v>0</v>
      </c>
      <c r="O477" s="19">
        <f t="shared" si="43"/>
        <v>165</v>
      </c>
      <c r="S477" s="20" t="str">
        <f>IFERROR(IF([2]对账明细接口!$N477=0,"",[2]对账明细接口!$N477),"")</f>
        <v/>
      </c>
      <c r="T477" s="21" t="str">
        <f>IFERROR(IF([2]对账明细接口!$O477=0,"",[2]对账明细接口!$O477),"")</f>
        <v/>
      </c>
      <c r="U477" s="21" t="str">
        <f>IFERROR(IF([2]对账明细接口!$P477=0,"",[2]对账明细接口!$P477),"")</f>
        <v/>
      </c>
      <c r="V477" s="21" t="str">
        <f>IFERROR(IF([2]对账明细接口!$Q477=0,"",[2]对账明细接口!$Q477),"")</f>
        <v/>
      </c>
      <c r="W477" s="20" t="str">
        <f>IFERROR(IF([2]对账明细接口!$R477=0,"",[2]对账明细接口!$R477),"")</f>
        <v/>
      </c>
      <c r="X477" s="20" t="str">
        <f>IFERROR(IF([2]对账明细接口!$S477=0,"",[2]对账明细接口!$S477),"")</f>
        <v/>
      </c>
      <c r="Y477" s="20" t="str">
        <f t="shared" si="44"/>
        <v/>
      </c>
      <c r="Z477" s="20" t="str">
        <f t="shared" si="45"/>
        <v/>
      </c>
      <c r="AA477" s="20" t="str">
        <f t="shared" si="46"/>
        <v/>
      </c>
      <c r="AB477" s="20" t="str">
        <f t="shared" si="47"/>
        <v/>
      </c>
    </row>
    <row r="478" customHeight="1" spans="1:28">
      <c r="A478" s="14">
        <v>478</v>
      </c>
      <c r="B478" s="15" t="str">
        <f>IFERROR(IF([2]对账明细接口!$B$478=0,"",[2]对账明细接口!$B$478),"")</f>
        <v/>
      </c>
      <c r="C478" s="16" t="str">
        <f>IFERROR(IF([2]对账明细接口!$C$478=0,"",[2]对账明细接口!$C$478),"")</f>
        <v/>
      </c>
      <c r="D478" s="16" t="str">
        <f>IFERROR(IF([2]对账明细接口!$D$478=0,"",[2]对账明细接口!$D$478),"")</f>
        <v/>
      </c>
      <c r="E478" s="16" t="str">
        <f>IFERROR(IF([2]对账明细接口!$E$478=0,"",[2]对账明细接口!$E$478),"")</f>
        <v/>
      </c>
      <c r="F478" s="16" t="str">
        <f>IFERROR(IF([2]对账明细接口!$F$478=0,"",[2]对账明细接口!$F$478),"")</f>
        <v/>
      </c>
      <c r="G478" s="16" t="str">
        <f>IFERROR(IF([2]对账明细接口!$G$478=0,"",[2]对账明细接口!$G$478),"")</f>
        <v/>
      </c>
      <c r="H478" s="17" t="str">
        <f>IFERROR(IF([2]对账明细接口!$H$478=0,"",[2]对账明细接口!$H$478),"")</f>
        <v/>
      </c>
      <c r="I478" s="16" t="str">
        <f>IFERROR(IF([2]对账明细接口!$I$478=0,"",[2]对账明细接口!$I$478),"")</f>
        <v/>
      </c>
      <c r="J478" s="18" t="str">
        <f>IFERROR(IF([2]对账明细接口!$J$478=0,"",[2]对账明细接口!$J$478),"")</f>
        <v/>
      </c>
      <c r="K478" s="18" t="str">
        <f>IFERROR(IF([2]对账明细接口!$K$478=0,"",[2]对账明细接口!$K$478),"")</f>
        <v/>
      </c>
      <c r="L478" s="16" t="str">
        <f>IFERROR(IF([2]对账明细接口!$L$478=0,"",[2]对账明细接口!$L$478),"")</f>
        <v/>
      </c>
      <c r="M478" s="16" t="str">
        <f>IFERROR(IF([2]对账明细接口!$M$478=0,"",[2]对账明细接口!$M$478),"")</f>
        <v/>
      </c>
      <c r="N478" s="19">
        <f t="shared" si="42"/>
        <v>0</v>
      </c>
      <c r="O478" s="19">
        <f t="shared" si="43"/>
        <v>165</v>
      </c>
      <c r="S478" s="20" t="str">
        <f>IFERROR(IF([2]对账明细接口!$N478=0,"",[2]对账明细接口!$N478),"")</f>
        <v/>
      </c>
      <c r="T478" s="21" t="str">
        <f>IFERROR(IF([2]对账明细接口!$O478=0,"",[2]对账明细接口!$O478),"")</f>
        <v/>
      </c>
      <c r="U478" s="21" t="str">
        <f>IFERROR(IF([2]对账明细接口!$P478=0,"",[2]对账明细接口!$P478),"")</f>
        <v/>
      </c>
      <c r="V478" s="21" t="str">
        <f>IFERROR(IF([2]对账明细接口!$Q478=0,"",[2]对账明细接口!$Q478),"")</f>
        <v/>
      </c>
      <c r="W478" s="20" t="str">
        <f>IFERROR(IF([2]对账明细接口!$R478=0,"",[2]对账明细接口!$R478),"")</f>
        <v/>
      </c>
      <c r="X478" s="20" t="str">
        <f>IFERROR(IF([2]对账明细接口!$S478=0,"",[2]对账明细接口!$S478),"")</f>
        <v/>
      </c>
      <c r="Y478" s="20" t="str">
        <f t="shared" si="44"/>
        <v/>
      </c>
      <c r="Z478" s="20" t="str">
        <f t="shared" si="45"/>
        <v/>
      </c>
      <c r="AA478" s="20" t="str">
        <f t="shared" si="46"/>
        <v/>
      </c>
      <c r="AB478" s="20" t="str">
        <f t="shared" si="47"/>
        <v/>
      </c>
    </row>
    <row r="479" customHeight="1" spans="1:28">
      <c r="A479" s="14">
        <v>479</v>
      </c>
      <c r="B479" s="15" t="str">
        <f>IFERROR(IF([2]对账明细接口!$B$479=0,"",[2]对账明细接口!$B$479),"")</f>
        <v/>
      </c>
      <c r="C479" s="16" t="str">
        <f>IFERROR(IF([2]对账明细接口!$C$479=0,"",[2]对账明细接口!$C$479),"")</f>
        <v/>
      </c>
      <c r="D479" s="16" t="str">
        <f>IFERROR(IF([2]对账明细接口!$D$479=0,"",[2]对账明细接口!$D$479),"")</f>
        <v/>
      </c>
      <c r="E479" s="16" t="str">
        <f>IFERROR(IF([2]对账明细接口!$E$479=0,"",[2]对账明细接口!$E$479),"")</f>
        <v/>
      </c>
      <c r="F479" s="16" t="str">
        <f>IFERROR(IF([2]对账明细接口!$F$479=0,"",[2]对账明细接口!$F$479),"")</f>
        <v/>
      </c>
      <c r="G479" s="16" t="str">
        <f>IFERROR(IF([2]对账明细接口!$G$479=0,"",[2]对账明细接口!$G$479),"")</f>
        <v/>
      </c>
      <c r="H479" s="17" t="str">
        <f>IFERROR(IF([2]对账明细接口!$H$479=0,"",[2]对账明细接口!$H$479),"")</f>
        <v/>
      </c>
      <c r="I479" s="16" t="str">
        <f>IFERROR(IF([2]对账明细接口!$I$479=0,"",[2]对账明细接口!$I$479),"")</f>
        <v/>
      </c>
      <c r="J479" s="18" t="str">
        <f>IFERROR(IF([2]对账明细接口!$J$479=0,"",[2]对账明细接口!$J$479),"")</f>
        <v/>
      </c>
      <c r="K479" s="18" t="str">
        <f>IFERROR(IF([2]对账明细接口!$K$479=0,"",[2]对账明细接口!$K$479),"")</f>
        <v/>
      </c>
      <c r="L479" s="16" t="str">
        <f>IFERROR(IF([2]对账明细接口!$L$479=0,"",[2]对账明细接口!$L$479),"")</f>
        <v/>
      </c>
      <c r="M479" s="16" t="str">
        <f>IFERROR(IF([2]对账明细接口!$M$479=0,"",[2]对账明细接口!$M$479),"")</f>
        <v/>
      </c>
      <c r="N479" s="19">
        <f t="shared" si="42"/>
        <v>0</v>
      </c>
      <c r="O479" s="19">
        <f t="shared" si="43"/>
        <v>165</v>
      </c>
      <c r="S479" s="20" t="str">
        <f>IFERROR(IF([2]对账明细接口!$N479=0,"",[2]对账明细接口!$N479),"")</f>
        <v/>
      </c>
      <c r="T479" s="21" t="str">
        <f>IFERROR(IF([2]对账明细接口!$O479=0,"",[2]对账明细接口!$O479),"")</f>
        <v/>
      </c>
      <c r="U479" s="21" t="str">
        <f>IFERROR(IF([2]对账明细接口!$P479=0,"",[2]对账明细接口!$P479),"")</f>
        <v/>
      </c>
      <c r="V479" s="21" t="str">
        <f>IFERROR(IF([2]对账明细接口!$Q479=0,"",[2]对账明细接口!$Q479),"")</f>
        <v/>
      </c>
      <c r="W479" s="20" t="str">
        <f>IFERROR(IF([2]对账明细接口!$R479=0,"",[2]对账明细接口!$R479),"")</f>
        <v/>
      </c>
      <c r="X479" s="20" t="str">
        <f>IFERROR(IF([2]对账明细接口!$S479=0,"",[2]对账明细接口!$S479),"")</f>
        <v/>
      </c>
      <c r="Y479" s="20" t="str">
        <f t="shared" si="44"/>
        <v/>
      </c>
      <c r="Z479" s="20" t="str">
        <f t="shared" si="45"/>
        <v/>
      </c>
      <c r="AA479" s="20" t="str">
        <f t="shared" si="46"/>
        <v/>
      </c>
      <c r="AB479" s="20" t="str">
        <f t="shared" si="47"/>
        <v/>
      </c>
    </row>
    <row r="480" customHeight="1" spans="1:28">
      <c r="A480" s="14">
        <v>480</v>
      </c>
      <c r="B480" s="15" t="str">
        <f>IFERROR(IF([2]对账明细接口!$B$480=0,"",[2]对账明细接口!$B$480),"")</f>
        <v/>
      </c>
      <c r="C480" s="16" t="str">
        <f>IFERROR(IF([2]对账明细接口!$C$480=0,"",[2]对账明细接口!$C$480),"")</f>
        <v/>
      </c>
      <c r="D480" s="16" t="str">
        <f>IFERROR(IF([2]对账明细接口!$D$480=0,"",[2]对账明细接口!$D$480),"")</f>
        <v/>
      </c>
      <c r="E480" s="16" t="str">
        <f>IFERROR(IF([2]对账明细接口!$E$480=0,"",[2]对账明细接口!$E$480),"")</f>
        <v/>
      </c>
      <c r="F480" s="16" t="str">
        <f>IFERROR(IF([2]对账明细接口!$F$480=0,"",[2]对账明细接口!$F$480),"")</f>
        <v/>
      </c>
      <c r="G480" s="16" t="str">
        <f>IFERROR(IF([2]对账明细接口!$G$480=0,"",[2]对账明细接口!$G$480),"")</f>
        <v/>
      </c>
      <c r="H480" s="17" t="str">
        <f>IFERROR(IF([2]对账明细接口!$H$480=0,"",[2]对账明细接口!$H$480),"")</f>
        <v/>
      </c>
      <c r="I480" s="16" t="str">
        <f>IFERROR(IF([2]对账明细接口!$I$480=0,"",[2]对账明细接口!$I$480),"")</f>
        <v/>
      </c>
      <c r="J480" s="18" t="str">
        <f>IFERROR(IF([2]对账明细接口!$J$480=0,"",[2]对账明细接口!$J$480),"")</f>
        <v/>
      </c>
      <c r="K480" s="18" t="str">
        <f>IFERROR(IF([2]对账明细接口!$K$480=0,"",[2]对账明细接口!$K$480),"")</f>
        <v/>
      </c>
      <c r="L480" s="16" t="str">
        <f>IFERROR(IF([2]对账明细接口!$L$480=0,"",[2]对账明细接口!$L$480),"")</f>
        <v/>
      </c>
      <c r="M480" s="16" t="str">
        <f>IFERROR(IF([2]对账明细接口!$M$480=0,"",[2]对账明细接口!$M$480),"")</f>
        <v/>
      </c>
      <c r="N480" s="19">
        <f t="shared" si="42"/>
        <v>0</v>
      </c>
      <c r="O480" s="19">
        <f t="shared" si="43"/>
        <v>165</v>
      </c>
      <c r="S480" s="20" t="str">
        <f>IFERROR(IF([2]对账明细接口!$N480=0,"",[2]对账明细接口!$N480),"")</f>
        <v/>
      </c>
      <c r="T480" s="21" t="str">
        <f>IFERROR(IF([2]对账明细接口!$O480=0,"",[2]对账明细接口!$O480),"")</f>
        <v/>
      </c>
      <c r="U480" s="21" t="str">
        <f>IFERROR(IF([2]对账明细接口!$P480=0,"",[2]对账明细接口!$P480),"")</f>
        <v/>
      </c>
      <c r="V480" s="21" t="str">
        <f>IFERROR(IF([2]对账明细接口!$Q480=0,"",[2]对账明细接口!$Q480),"")</f>
        <v/>
      </c>
      <c r="W480" s="20" t="str">
        <f>IFERROR(IF([2]对账明细接口!$R480=0,"",[2]对账明细接口!$R480),"")</f>
        <v/>
      </c>
      <c r="X480" s="20" t="str">
        <f>IFERROR(IF([2]对账明细接口!$S480=0,"",[2]对账明细接口!$S480),"")</f>
        <v/>
      </c>
      <c r="Y480" s="20" t="str">
        <f t="shared" si="44"/>
        <v/>
      </c>
      <c r="Z480" s="20" t="str">
        <f t="shared" si="45"/>
        <v/>
      </c>
      <c r="AA480" s="20" t="str">
        <f t="shared" si="46"/>
        <v/>
      </c>
      <c r="AB480" s="20" t="str">
        <f t="shared" si="47"/>
        <v/>
      </c>
    </row>
    <row r="481" customHeight="1" spans="1:28">
      <c r="A481" s="14">
        <v>481</v>
      </c>
      <c r="B481" s="15" t="str">
        <f>IFERROR(IF([2]对账明细接口!$B$481=0,"",[2]对账明细接口!$B$481),"")</f>
        <v/>
      </c>
      <c r="C481" s="16" t="str">
        <f>IFERROR(IF([2]对账明细接口!$C$481=0,"",[2]对账明细接口!$C$481),"")</f>
        <v/>
      </c>
      <c r="D481" s="16" t="str">
        <f>IFERROR(IF([2]对账明细接口!$D$481=0,"",[2]对账明细接口!$D$481),"")</f>
        <v/>
      </c>
      <c r="E481" s="16" t="str">
        <f>IFERROR(IF([2]对账明细接口!$E$481=0,"",[2]对账明细接口!$E$481),"")</f>
        <v/>
      </c>
      <c r="F481" s="16" t="str">
        <f>IFERROR(IF([2]对账明细接口!$F$481=0,"",[2]对账明细接口!$F$481),"")</f>
        <v/>
      </c>
      <c r="G481" s="16" t="str">
        <f>IFERROR(IF([2]对账明细接口!$G$481=0,"",[2]对账明细接口!$G$481),"")</f>
        <v/>
      </c>
      <c r="H481" s="17" t="str">
        <f>IFERROR(IF([2]对账明细接口!$H$481=0,"",[2]对账明细接口!$H$481),"")</f>
        <v/>
      </c>
      <c r="I481" s="16" t="str">
        <f>IFERROR(IF([2]对账明细接口!$I$481=0,"",[2]对账明细接口!$I$481),"")</f>
        <v/>
      </c>
      <c r="J481" s="18" t="str">
        <f>IFERROR(IF([2]对账明细接口!$J$481=0,"",[2]对账明细接口!$J$481),"")</f>
        <v/>
      </c>
      <c r="K481" s="18" t="str">
        <f>IFERROR(IF([2]对账明细接口!$K$481=0,"",[2]对账明细接口!$K$481),"")</f>
        <v/>
      </c>
      <c r="L481" s="16" t="str">
        <f>IFERROR(IF([2]对账明细接口!$L$481=0,"",[2]对账明细接口!$L$481),"")</f>
        <v/>
      </c>
      <c r="M481" s="16" t="str">
        <f>IFERROR(IF([2]对账明细接口!$M$481=0,"",[2]对账明细接口!$M$481),"")</f>
        <v/>
      </c>
      <c r="N481" s="19">
        <f t="shared" si="42"/>
        <v>0</v>
      </c>
      <c r="O481" s="19">
        <f t="shared" si="43"/>
        <v>165</v>
      </c>
      <c r="S481" s="20" t="str">
        <f>IFERROR(IF([2]对账明细接口!$N481=0,"",[2]对账明细接口!$N481),"")</f>
        <v/>
      </c>
      <c r="T481" s="21" t="str">
        <f>IFERROR(IF([2]对账明细接口!$O481=0,"",[2]对账明细接口!$O481),"")</f>
        <v/>
      </c>
      <c r="U481" s="21" t="str">
        <f>IFERROR(IF([2]对账明细接口!$P481=0,"",[2]对账明细接口!$P481),"")</f>
        <v/>
      </c>
      <c r="V481" s="21" t="str">
        <f>IFERROR(IF([2]对账明细接口!$Q481=0,"",[2]对账明细接口!$Q481),"")</f>
        <v/>
      </c>
      <c r="W481" s="20" t="str">
        <f>IFERROR(IF([2]对账明细接口!$R481=0,"",[2]对账明细接口!$R481),"")</f>
        <v/>
      </c>
      <c r="X481" s="20" t="str">
        <f>IFERROR(IF([2]对账明细接口!$S481=0,"",[2]对账明细接口!$S481),"")</f>
        <v/>
      </c>
      <c r="Y481" s="20" t="str">
        <f t="shared" si="44"/>
        <v/>
      </c>
      <c r="Z481" s="20" t="str">
        <f t="shared" si="45"/>
        <v/>
      </c>
      <c r="AA481" s="20" t="str">
        <f t="shared" si="46"/>
        <v/>
      </c>
      <c r="AB481" s="20" t="str">
        <f t="shared" si="47"/>
        <v/>
      </c>
    </row>
    <row r="482" customHeight="1" spans="1:28">
      <c r="A482" s="14">
        <v>482</v>
      </c>
      <c r="B482" s="15" t="str">
        <f>IFERROR(IF([2]对账明细接口!$B$482=0,"",[2]对账明细接口!$B$482),"")</f>
        <v/>
      </c>
      <c r="C482" s="16" t="str">
        <f>IFERROR(IF([2]对账明细接口!$C$482=0,"",[2]对账明细接口!$C$482),"")</f>
        <v/>
      </c>
      <c r="D482" s="16" t="str">
        <f>IFERROR(IF([2]对账明细接口!$D$482=0,"",[2]对账明细接口!$D$482),"")</f>
        <v/>
      </c>
      <c r="E482" s="16" t="str">
        <f>IFERROR(IF([2]对账明细接口!$E$482=0,"",[2]对账明细接口!$E$482),"")</f>
        <v/>
      </c>
      <c r="F482" s="16" t="str">
        <f>IFERROR(IF([2]对账明细接口!$F$482=0,"",[2]对账明细接口!$F$482),"")</f>
        <v/>
      </c>
      <c r="G482" s="16" t="str">
        <f>IFERROR(IF([2]对账明细接口!$G$482=0,"",[2]对账明细接口!$G$482),"")</f>
        <v/>
      </c>
      <c r="H482" s="17" t="str">
        <f>IFERROR(IF([2]对账明细接口!$H$482=0,"",[2]对账明细接口!$H$482),"")</f>
        <v/>
      </c>
      <c r="I482" s="16" t="str">
        <f>IFERROR(IF([2]对账明细接口!$I$482=0,"",[2]对账明细接口!$I$482),"")</f>
        <v/>
      </c>
      <c r="J482" s="18" t="str">
        <f>IFERROR(IF([2]对账明细接口!$J$482=0,"",[2]对账明细接口!$J$482),"")</f>
        <v/>
      </c>
      <c r="K482" s="18" t="str">
        <f>IFERROR(IF([2]对账明细接口!$K$482=0,"",[2]对账明细接口!$K$482),"")</f>
        <v/>
      </c>
      <c r="L482" s="16" t="str">
        <f>IFERROR(IF([2]对账明细接口!$L$482=0,"",[2]对账明细接口!$L$482),"")</f>
        <v/>
      </c>
      <c r="M482" s="16" t="str">
        <f>IFERROR(IF([2]对账明细接口!$M$482=0,"",[2]对账明细接口!$M$482),"")</f>
        <v/>
      </c>
      <c r="N482" s="19">
        <f t="shared" si="42"/>
        <v>0</v>
      </c>
      <c r="O482" s="19">
        <f t="shared" si="43"/>
        <v>165</v>
      </c>
      <c r="S482" s="20" t="str">
        <f>IFERROR(IF([2]对账明细接口!$N482=0,"",[2]对账明细接口!$N482),"")</f>
        <v/>
      </c>
      <c r="T482" s="21" t="str">
        <f>IFERROR(IF([2]对账明细接口!$O482=0,"",[2]对账明细接口!$O482),"")</f>
        <v/>
      </c>
      <c r="U482" s="21" t="str">
        <f>IFERROR(IF([2]对账明细接口!$P482=0,"",[2]对账明细接口!$P482),"")</f>
        <v/>
      </c>
      <c r="V482" s="21" t="str">
        <f>IFERROR(IF([2]对账明细接口!$Q482=0,"",[2]对账明细接口!$Q482),"")</f>
        <v/>
      </c>
      <c r="W482" s="20" t="str">
        <f>IFERROR(IF([2]对账明细接口!$R482=0,"",[2]对账明细接口!$R482),"")</f>
        <v/>
      </c>
      <c r="X482" s="20" t="str">
        <f>IFERROR(IF([2]对账明细接口!$S482=0,"",[2]对账明细接口!$S482),"")</f>
        <v/>
      </c>
      <c r="Y482" s="20" t="str">
        <f t="shared" si="44"/>
        <v/>
      </c>
      <c r="Z482" s="20" t="str">
        <f t="shared" si="45"/>
        <v/>
      </c>
      <c r="AA482" s="20" t="str">
        <f t="shared" si="46"/>
        <v/>
      </c>
      <c r="AB482" s="20" t="str">
        <f t="shared" si="47"/>
        <v/>
      </c>
    </row>
    <row r="483" customHeight="1" spans="1:28">
      <c r="A483" s="14">
        <v>483</v>
      </c>
      <c r="B483" s="15" t="str">
        <f>IFERROR(IF([2]对账明细接口!$B$483=0,"",[2]对账明细接口!$B$483),"")</f>
        <v/>
      </c>
      <c r="C483" s="16" t="str">
        <f>IFERROR(IF([2]对账明细接口!$C$483=0,"",[2]对账明细接口!$C$483),"")</f>
        <v/>
      </c>
      <c r="D483" s="16" t="str">
        <f>IFERROR(IF([2]对账明细接口!$D$483=0,"",[2]对账明细接口!$D$483),"")</f>
        <v/>
      </c>
      <c r="E483" s="16" t="str">
        <f>IFERROR(IF([2]对账明细接口!$E$483=0,"",[2]对账明细接口!$E$483),"")</f>
        <v/>
      </c>
      <c r="F483" s="16" t="str">
        <f>IFERROR(IF([2]对账明细接口!$F$483=0,"",[2]对账明细接口!$F$483),"")</f>
        <v/>
      </c>
      <c r="G483" s="16" t="str">
        <f>IFERROR(IF([2]对账明细接口!$G$483=0,"",[2]对账明细接口!$G$483),"")</f>
        <v/>
      </c>
      <c r="H483" s="17" t="str">
        <f>IFERROR(IF([2]对账明细接口!$H$483=0,"",[2]对账明细接口!$H$483),"")</f>
        <v/>
      </c>
      <c r="I483" s="16" t="str">
        <f>IFERROR(IF([2]对账明细接口!$I$483=0,"",[2]对账明细接口!$I$483),"")</f>
        <v/>
      </c>
      <c r="J483" s="18" t="str">
        <f>IFERROR(IF([2]对账明细接口!$J$483=0,"",[2]对账明细接口!$J$483),"")</f>
        <v/>
      </c>
      <c r="K483" s="18" t="str">
        <f>IFERROR(IF([2]对账明细接口!$K$483=0,"",[2]对账明细接口!$K$483),"")</f>
        <v/>
      </c>
      <c r="L483" s="16" t="str">
        <f>IFERROR(IF([2]对账明细接口!$L$483=0,"",[2]对账明细接口!$L$483),"")</f>
        <v/>
      </c>
      <c r="M483" s="16" t="str">
        <f>IFERROR(IF([2]对账明细接口!$M$483=0,"",[2]对账明细接口!$M$483),"")</f>
        <v/>
      </c>
      <c r="N483" s="19">
        <f t="shared" si="42"/>
        <v>0</v>
      </c>
      <c r="O483" s="19">
        <f t="shared" si="43"/>
        <v>165</v>
      </c>
      <c r="S483" s="20" t="str">
        <f>IFERROR(IF([2]对账明细接口!$N483=0,"",[2]对账明细接口!$N483),"")</f>
        <v/>
      </c>
      <c r="T483" s="21" t="str">
        <f>IFERROR(IF([2]对账明细接口!$O483=0,"",[2]对账明细接口!$O483),"")</f>
        <v/>
      </c>
      <c r="U483" s="21" t="str">
        <f>IFERROR(IF([2]对账明细接口!$P483=0,"",[2]对账明细接口!$P483),"")</f>
        <v/>
      </c>
      <c r="V483" s="21" t="str">
        <f>IFERROR(IF([2]对账明细接口!$Q483=0,"",[2]对账明细接口!$Q483),"")</f>
        <v/>
      </c>
      <c r="W483" s="20" t="str">
        <f>IFERROR(IF([2]对账明细接口!$R483=0,"",[2]对账明细接口!$R483),"")</f>
        <v/>
      </c>
      <c r="X483" s="20" t="str">
        <f>IFERROR(IF([2]对账明细接口!$S483=0,"",[2]对账明细接口!$S483),"")</f>
        <v/>
      </c>
      <c r="Y483" s="20" t="str">
        <f t="shared" si="44"/>
        <v/>
      </c>
      <c r="Z483" s="20" t="str">
        <f t="shared" si="45"/>
        <v/>
      </c>
      <c r="AA483" s="20" t="str">
        <f t="shared" si="46"/>
        <v/>
      </c>
      <c r="AB483" s="20" t="str">
        <f t="shared" si="47"/>
        <v/>
      </c>
    </row>
    <row r="484" customHeight="1" spans="1:28">
      <c r="A484" s="14">
        <v>484</v>
      </c>
      <c r="B484" s="15" t="str">
        <f>IFERROR(IF([2]对账明细接口!$B$484=0,"",[2]对账明细接口!$B$484),"")</f>
        <v/>
      </c>
      <c r="C484" s="16" t="str">
        <f>IFERROR(IF([2]对账明细接口!$C$484=0,"",[2]对账明细接口!$C$484),"")</f>
        <v/>
      </c>
      <c r="D484" s="16" t="str">
        <f>IFERROR(IF([2]对账明细接口!$D$484=0,"",[2]对账明细接口!$D$484),"")</f>
        <v/>
      </c>
      <c r="E484" s="16" t="str">
        <f>IFERROR(IF([2]对账明细接口!$E$484=0,"",[2]对账明细接口!$E$484),"")</f>
        <v/>
      </c>
      <c r="F484" s="16" t="str">
        <f>IFERROR(IF([2]对账明细接口!$F$484=0,"",[2]对账明细接口!$F$484),"")</f>
        <v/>
      </c>
      <c r="G484" s="16" t="str">
        <f>IFERROR(IF([2]对账明细接口!$G$484=0,"",[2]对账明细接口!$G$484),"")</f>
        <v/>
      </c>
      <c r="H484" s="17" t="str">
        <f>IFERROR(IF([2]对账明细接口!$H$484=0,"",[2]对账明细接口!$H$484),"")</f>
        <v/>
      </c>
      <c r="I484" s="16" t="str">
        <f>IFERROR(IF([2]对账明细接口!$I$484=0,"",[2]对账明细接口!$I$484),"")</f>
        <v/>
      </c>
      <c r="J484" s="18" t="str">
        <f>IFERROR(IF([2]对账明细接口!$J$484=0,"",[2]对账明细接口!$J$484),"")</f>
        <v/>
      </c>
      <c r="K484" s="18" t="str">
        <f>IFERROR(IF([2]对账明细接口!$K$484=0,"",[2]对账明细接口!$K$484),"")</f>
        <v/>
      </c>
      <c r="L484" s="16" t="str">
        <f>IFERROR(IF([2]对账明细接口!$L$484=0,"",[2]对账明细接口!$L$484),"")</f>
        <v/>
      </c>
      <c r="M484" s="16" t="str">
        <f>IFERROR(IF([2]对账明细接口!$M$484=0,"",[2]对账明细接口!$M$484),"")</f>
        <v/>
      </c>
      <c r="N484" s="19">
        <f t="shared" si="42"/>
        <v>0</v>
      </c>
      <c r="O484" s="19">
        <f t="shared" si="43"/>
        <v>165</v>
      </c>
      <c r="S484" s="20" t="str">
        <f>IFERROR(IF([2]对账明细接口!$N484=0,"",[2]对账明细接口!$N484),"")</f>
        <v/>
      </c>
      <c r="T484" s="21" t="str">
        <f>IFERROR(IF([2]对账明细接口!$O484=0,"",[2]对账明细接口!$O484),"")</f>
        <v/>
      </c>
      <c r="U484" s="21" t="str">
        <f>IFERROR(IF([2]对账明细接口!$P484=0,"",[2]对账明细接口!$P484),"")</f>
        <v/>
      </c>
      <c r="V484" s="21" t="str">
        <f>IFERROR(IF([2]对账明细接口!$Q484=0,"",[2]对账明细接口!$Q484),"")</f>
        <v/>
      </c>
      <c r="W484" s="20" t="str">
        <f>IFERROR(IF([2]对账明细接口!$R484=0,"",[2]对账明细接口!$R484),"")</f>
        <v/>
      </c>
      <c r="X484" s="20" t="str">
        <f>IFERROR(IF([2]对账明细接口!$S484=0,"",[2]对账明细接口!$S484),"")</f>
        <v/>
      </c>
      <c r="Y484" s="20" t="str">
        <f t="shared" si="44"/>
        <v/>
      </c>
      <c r="Z484" s="20" t="str">
        <f t="shared" si="45"/>
        <v/>
      </c>
      <c r="AA484" s="20" t="str">
        <f t="shared" si="46"/>
        <v/>
      </c>
      <c r="AB484" s="20" t="str">
        <f t="shared" si="47"/>
        <v/>
      </c>
    </row>
    <row r="485" customHeight="1" spans="1:28">
      <c r="A485" s="14">
        <v>485</v>
      </c>
      <c r="B485" s="15" t="str">
        <f>IFERROR(IF([2]对账明细接口!$B$485=0,"",[2]对账明细接口!$B$485),"")</f>
        <v/>
      </c>
      <c r="C485" s="16" t="str">
        <f>IFERROR(IF([2]对账明细接口!$C$485=0,"",[2]对账明细接口!$C$485),"")</f>
        <v/>
      </c>
      <c r="D485" s="16" t="str">
        <f>IFERROR(IF([2]对账明细接口!$D$485=0,"",[2]对账明细接口!$D$485),"")</f>
        <v/>
      </c>
      <c r="E485" s="16" t="str">
        <f>IFERROR(IF([2]对账明细接口!$E$485=0,"",[2]对账明细接口!$E$485),"")</f>
        <v/>
      </c>
      <c r="F485" s="16" t="str">
        <f>IFERROR(IF([2]对账明细接口!$F$485=0,"",[2]对账明细接口!$F$485),"")</f>
        <v/>
      </c>
      <c r="G485" s="16" t="str">
        <f>IFERROR(IF([2]对账明细接口!$G$485=0,"",[2]对账明细接口!$G$485),"")</f>
        <v/>
      </c>
      <c r="H485" s="17" t="str">
        <f>IFERROR(IF([2]对账明细接口!$H$485=0,"",[2]对账明细接口!$H$485),"")</f>
        <v/>
      </c>
      <c r="I485" s="16" t="str">
        <f>IFERROR(IF([2]对账明细接口!$I$485=0,"",[2]对账明细接口!$I$485),"")</f>
        <v/>
      </c>
      <c r="J485" s="18" t="str">
        <f>IFERROR(IF([2]对账明细接口!$J$485=0,"",[2]对账明细接口!$J$485),"")</f>
        <v/>
      </c>
      <c r="K485" s="18" t="str">
        <f>IFERROR(IF([2]对账明细接口!$K$485=0,"",[2]对账明细接口!$K$485),"")</f>
        <v/>
      </c>
      <c r="L485" s="16" t="str">
        <f>IFERROR(IF([2]对账明细接口!$L$485=0,"",[2]对账明细接口!$L$485),"")</f>
        <v/>
      </c>
      <c r="M485" s="16" t="str">
        <f>IFERROR(IF([2]对账明细接口!$M$485=0,"",[2]对账明细接口!$M$485),"")</f>
        <v/>
      </c>
      <c r="N485" s="19">
        <f t="shared" si="42"/>
        <v>0</v>
      </c>
      <c r="O485" s="19">
        <f t="shared" si="43"/>
        <v>165</v>
      </c>
      <c r="S485" s="20" t="str">
        <f>IFERROR(IF([2]对账明细接口!$N485=0,"",[2]对账明细接口!$N485),"")</f>
        <v/>
      </c>
      <c r="T485" s="21" t="str">
        <f>IFERROR(IF([2]对账明细接口!$O485=0,"",[2]对账明细接口!$O485),"")</f>
        <v/>
      </c>
      <c r="U485" s="21" t="str">
        <f>IFERROR(IF([2]对账明细接口!$P485=0,"",[2]对账明细接口!$P485),"")</f>
        <v/>
      </c>
      <c r="V485" s="21" t="str">
        <f>IFERROR(IF([2]对账明细接口!$Q485=0,"",[2]对账明细接口!$Q485),"")</f>
        <v/>
      </c>
      <c r="W485" s="20" t="str">
        <f>IFERROR(IF([2]对账明细接口!$R485=0,"",[2]对账明细接口!$R485),"")</f>
        <v/>
      </c>
      <c r="X485" s="20" t="str">
        <f>IFERROR(IF([2]对账明细接口!$S485=0,"",[2]对账明细接口!$S485),"")</f>
        <v/>
      </c>
      <c r="Y485" s="20" t="str">
        <f t="shared" si="44"/>
        <v/>
      </c>
      <c r="Z485" s="20" t="str">
        <f t="shared" si="45"/>
        <v/>
      </c>
      <c r="AA485" s="20" t="str">
        <f t="shared" si="46"/>
        <v/>
      </c>
      <c r="AB485" s="20" t="str">
        <f t="shared" si="47"/>
        <v/>
      </c>
    </row>
    <row r="486" customHeight="1" spans="1:28">
      <c r="A486" s="14">
        <v>486</v>
      </c>
      <c r="B486" s="15" t="str">
        <f>IFERROR(IF([2]对账明细接口!$B$486=0,"",[2]对账明细接口!$B$486),"")</f>
        <v/>
      </c>
      <c r="C486" s="16" t="str">
        <f>IFERROR(IF([2]对账明细接口!$C$486=0,"",[2]对账明细接口!$C$486),"")</f>
        <v/>
      </c>
      <c r="D486" s="16" t="str">
        <f>IFERROR(IF([2]对账明细接口!$D$486=0,"",[2]对账明细接口!$D$486),"")</f>
        <v/>
      </c>
      <c r="E486" s="16" t="str">
        <f>IFERROR(IF([2]对账明细接口!$E$486=0,"",[2]对账明细接口!$E$486),"")</f>
        <v/>
      </c>
      <c r="F486" s="16" t="str">
        <f>IFERROR(IF([2]对账明细接口!$F$486=0,"",[2]对账明细接口!$F$486),"")</f>
        <v/>
      </c>
      <c r="G486" s="16" t="str">
        <f>IFERROR(IF([2]对账明细接口!$G$486=0,"",[2]对账明细接口!$G$486),"")</f>
        <v/>
      </c>
      <c r="H486" s="17" t="str">
        <f>IFERROR(IF([2]对账明细接口!$H$486=0,"",[2]对账明细接口!$H$486),"")</f>
        <v/>
      </c>
      <c r="I486" s="16" t="str">
        <f>IFERROR(IF([2]对账明细接口!$I$486=0,"",[2]对账明细接口!$I$486),"")</f>
        <v/>
      </c>
      <c r="J486" s="18" t="str">
        <f>IFERROR(IF([2]对账明细接口!$J$486=0,"",[2]对账明细接口!$J$486),"")</f>
        <v/>
      </c>
      <c r="K486" s="18" t="str">
        <f>IFERROR(IF([2]对账明细接口!$K$486=0,"",[2]对账明细接口!$K$486),"")</f>
        <v/>
      </c>
      <c r="L486" s="16" t="str">
        <f>IFERROR(IF([2]对账明细接口!$L$486=0,"",[2]对账明细接口!$L$486),"")</f>
        <v/>
      </c>
      <c r="M486" s="16" t="str">
        <f>IFERROR(IF([2]对账明细接口!$M$486=0,"",[2]对账明细接口!$M$486),"")</f>
        <v/>
      </c>
      <c r="N486" s="19">
        <f t="shared" si="42"/>
        <v>0</v>
      </c>
      <c r="O486" s="19">
        <f t="shared" si="43"/>
        <v>165</v>
      </c>
      <c r="S486" s="20" t="str">
        <f>IFERROR(IF([2]对账明细接口!$N486=0,"",[2]对账明细接口!$N486),"")</f>
        <v/>
      </c>
      <c r="T486" s="21" t="str">
        <f>IFERROR(IF([2]对账明细接口!$O486=0,"",[2]对账明细接口!$O486),"")</f>
        <v/>
      </c>
      <c r="U486" s="21" t="str">
        <f>IFERROR(IF([2]对账明细接口!$P486=0,"",[2]对账明细接口!$P486),"")</f>
        <v/>
      </c>
      <c r="V486" s="21" t="str">
        <f>IFERROR(IF([2]对账明细接口!$Q486=0,"",[2]对账明细接口!$Q486),"")</f>
        <v/>
      </c>
      <c r="W486" s="20" t="str">
        <f>IFERROR(IF([2]对账明细接口!$R486=0,"",[2]对账明细接口!$R486),"")</f>
        <v/>
      </c>
      <c r="X486" s="20" t="str">
        <f>IFERROR(IF([2]对账明细接口!$S486=0,"",[2]对账明细接口!$S486),"")</f>
        <v/>
      </c>
      <c r="Y486" s="20" t="str">
        <f t="shared" si="44"/>
        <v/>
      </c>
      <c r="Z486" s="20" t="str">
        <f t="shared" si="45"/>
        <v/>
      </c>
      <c r="AA486" s="20" t="str">
        <f t="shared" si="46"/>
        <v/>
      </c>
      <c r="AB486" s="20" t="str">
        <f t="shared" si="47"/>
        <v/>
      </c>
    </row>
    <row r="487" customHeight="1" spans="1:28">
      <c r="A487" s="14">
        <v>487</v>
      </c>
      <c r="B487" s="15" t="str">
        <f>IFERROR(IF([2]对账明细接口!$B$487=0,"",[2]对账明细接口!$B$487),"")</f>
        <v/>
      </c>
      <c r="C487" s="16" t="str">
        <f>IFERROR(IF([2]对账明细接口!$C$487=0,"",[2]对账明细接口!$C$487),"")</f>
        <v/>
      </c>
      <c r="D487" s="16" t="str">
        <f>IFERROR(IF([2]对账明细接口!$D$487=0,"",[2]对账明细接口!$D$487),"")</f>
        <v/>
      </c>
      <c r="E487" s="16" t="str">
        <f>IFERROR(IF([2]对账明细接口!$E$487=0,"",[2]对账明细接口!$E$487),"")</f>
        <v/>
      </c>
      <c r="F487" s="16" t="str">
        <f>IFERROR(IF([2]对账明细接口!$F$487=0,"",[2]对账明细接口!$F$487),"")</f>
        <v/>
      </c>
      <c r="G487" s="16" t="str">
        <f>IFERROR(IF([2]对账明细接口!$G$487=0,"",[2]对账明细接口!$G$487),"")</f>
        <v/>
      </c>
      <c r="H487" s="17" t="str">
        <f>IFERROR(IF([2]对账明细接口!$H$487=0,"",[2]对账明细接口!$H$487),"")</f>
        <v/>
      </c>
      <c r="I487" s="16" t="str">
        <f>IFERROR(IF([2]对账明细接口!$I$487=0,"",[2]对账明细接口!$I$487),"")</f>
        <v/>
      </c>
      <c r="J487" s="18" t="str">
        <f>IFERROR(IF([2]对账明细接口!$J$487=0,"",[2]对账明细接口!$J$487),"")</f>
        <v/>
      </c>
      <c r="K487" s="18" t="str">
        <f>IFERROR(IF([2]对账明细接口!$K$487=0,"",[2]对账明细接口!$K$487),"")</f>
        <v/>
      </c>
      <c r="L487" s="16" t="str">
        <f>IFERROR(IF([2]对账明细接口!$L$487=0,"",[2]对账明细接口!$L$487),"")</f>
        <v/>
      </c>
      <c r="M487" s="16" t="str">
        <f>IFERROR(IF([2]对账明细接口!$M$487=0,"",[2]对账明细接口!$M$487),"")</f>
        <v/>
      </c>
      <c r="N487" s="19">
        <f t="shared" si="42"/>
        <v>0</v>
      </c>
      <c r="O487" s="19">
        <f t="shared" si="43"/>
        <v>165</v>
      </c>
      <c r="S487" s="20" t="str">
        <f>IFERROR(IF([2]对账明细接口!$N487=0,"",[2]对账明细接口!$N487),"")</f>
        <v/>
      </c>
      <c r="T487" s="21" t="str">
        <f>IFERROR(IF([2]对账明细接口!$O487=0,"",[2]对账明细接口!$O487),"")</f>
        <v/>
      </c>
      <c r="U487" s="21" t="str">
        <f>IFERROR(IF([2]对账明细接口!$P487=0,"",[2]对账明细接口!$P487),"")</f>
        <v/>
      </c>
      <c r="V487" s="21" t="str">
        <f>IFERROR(IF([2]对账明细接口!$Q487=0,"",[2]对账明细接口!$Q487),"")</f>
        <v/>
      </c>
      <c r="W487" s="20" t="str">
        <f>IFERROR(IF([2]对账明细接口!$R487=0,"",[2]对账明细接口!$R487),"")</f>
        <v/>
      </c>
      <c r="X487" s="20" t="str">
        <f>IFERROR(IF([2]对账明细接口!$S487=0,"",[2]对账明细接口!$S487),"")</f>
        <v/>
      </c>
      <c r="Y487" s="20" t="str">
        <f t="shared" si="44"/>
        <v/>
      </c>
      <c r="Z487" s="20" t="str">
        <f t="shared" si="45"/>
        <v/>
      </c>
      <c r="AA487" s="20" t="str">
        <f t="shared" si="46"/>
        <v/>
      </c>
      <c r="AB487" s="20" t="str">
        <f t="shared" si="47"/>
        <v/>
      </c>
    </row>
    <row r="488" customHeight="1" spans="1:28">
      <c r="A488" s="14">
        <v>488</v>
      </c>
      <c r="B488" s="15" t="str">
        <f>IFERROR(IF([2]对账明细接口!$B$488=0,"",[2]对账明细接口!$B$488),"")</f>
        <v/>
      </c>
      <c r="C488" s="16" t="str">
        <f>IFERROR(IF([2]对账明细接口!$C$488=0,"",[2]对账明细接口!$C$488),"")</f>
        <v/>
      </c>
      <c r="D488" s="16" t="str">
        <f>IFERROR(IF([2]对账明细接口!$D$488=0,"",[2]对账明细接口!$D$488),"")</f>
        <v/>
      </c>
      <c r="E488" s="16" t="str">
        <f>IFERROR(IF([2]对账明细接口!$E$488=0,"",[2]对账明细接口!$E$488),"")</f>
        <v/>
      </c>
      <c r="F488" s="16" t="str">
        <f>IFERROR(IF([2]对账明细接口!$F$488=0,"",[2]对账明细接口!$F$488),"")</f>
        <v/>
      </c>
      <c r="G488" s="16" t="str">
        <f>IFERROR(IF([2]对账明细接口!$G$488=0,"",[2]对账明细接口!$G$488),"")</f>
        <v/>
      </c>
      <c r="H488" s="17" t="str">
        <f>IFERROR(IF([2]对账明细接口!$H$488=0,"",[2]对账明细接口!$H$488),"")</f>
        <v/>
      </c>
      <c r="I488" s="16" t="str">
        <f>IFERROR(IF([2]对账明细接口!$I$488=0,"",[2]对账明细接口!$I$488),"")</f>
        <v/>
      </c>
      <c r="J488" s="18" t="str">
        <f>IFERROR(IF([2]对账明细接口!$J$488=0,"",[2]对账明细接口!$J$488),"")</f>
        <v/>
      </c>
      <c r="K488" s="18" t="str">
        <f>IFERROR(IF([2]对账明细接口!$K$488=0,"",[2]对账明细接口!$K$488),"")</f>
        <v/>
      </c>
      <c r="L488" s="16" t="str">
        <f>IFERROR(IF([2]对账明细接口!$L$488=0,"",[2]对账明细接口!$L$488),"")</f>
        <v/>
      </c>
      <c r="M488" s="16" t="str">
        <f>IFERROR(IF([2]对账明细接口!$M$488=0,"",[2]对账明细接口!$M$488),"")</f>
        <v/>
      </c>
      <c r="N488" s="19">
        <f t="shared" si="42"/>
        <v>0</v>
      </c>
      <c r="O488" s="19">
        <f t="shared" si="43"/>
        <v>165</v>
      </c>
      <c r="S488" s="20" t="str">
        <f>IFERROR(IF([2]对账明细接口!$N488=0,"",[2]对账明细接口!$N488),"")</f>
        <v/>
      </c>
      <c r="T488" s="21" t="str">
        <f>IFERROR(IF([2]对账明细接口!$O488=0,"",[2]对账明细接口!$O488),"")</f>
        <v/>
      </c>
      <c r="U488" s="21" t="str">
        <f>IFERROR(IF([2]对账明细接口!$P488=0,"",[2]对账明细接口!$P488),"")</f>
        <v/>
      </c>
      <c r="V488" s="21" t="str">
        <f>IFERROR(IF([2]对账明细接口!$Q488=0,"",[2]对账明细接口!$Q488),"")</f>
        <v/>
      </c>
      <c r="W488" s="20" t="str">
        <f>IFERROR(IF([2]对账明细接口!$R488=0,"",[2]对账明细接口!$R488),"")</f>
        <v/>
      </c>
      <c r="X488" s="20" t="str">
        <f>IFERROR(IF([2]对账明细接口!$S488=0,"",[2]对账明细接口!$S488),"")</f>
        <v/>
      </c>
      <c r="Y488" s="20" t="str">
        <f t="shared" si="44"/>
        <v/>
      </c>
      <c r="Z488" s="20" t="str">
        <f t="shared" si="45"/>
        <v/>
      </c>
      <c r="AA488" s="20" t="str">
        <f t="shared" si="46"/>
        <v/>
      </c>
      <c r="AB488" s="20" t="str">
        <f t="shared" si="47"/>
        <v/>
      </c>
    </row>
    <row r="489" customHeight="1" spans="1:28">
      <c r="A489" s="14">
        <v>489</v>
      </c>
      <c r="B489" s="15" t="str">
        <f>IFERROR(IF([2]对账明细接口!$B$489=0,"",[2]对账明细接口!$B$489),"")</f>
        <v/>
      </c>
      <c r="C489" s="16" t="str">
        <f>IFERROR(IF([2]对账明细接口!$C$489=0,"",[2]对账明细接口!$C$489),"")</f>
        <v/>
      </c>
      <c r="D489" s="16" t="str">
        <f>IFERROR(IF([2]对账明细接口!$D$489=0,"",[2]对账明细接口!$D$489),"")</f>
        <v/>
      </c>
      <c r="E489" s="16" t="str">
        <f>IFERROR(IF([2]对账明细接口!$E$489=0,"",[2]对账明细接口!$E$489),"")</f>
        <v/>
      </c>
      <c r="F489" s="16" t="str">
        <f>IFERROR(IF([2]对账明细接口!$F$489=0,"",[2]对账明细接口!$F$489),"")</f>
        <v/>
      </c>
      <c r="G489" s="16" t="str">
        <f>IFERROR(IF([2]对账明细接口!$G$489=0,"",[2]对账明细接口!$G$489),"")</f>
        <v/>
      </c>
      <c r="H489" s="17" t="str">
        <f>IFERROR(IF([2]对账明细接口!$H$489=0,"",[2]对账明细接口!$H$489),"")</f>
        <v/>
      </c>
      <c r="I489" s="16" t="str">
        <f>IFERROR(IF([2]对账明细接口!$I$489=0,"",[2]对账明细接口!$I$489),"")</f>
        <v/>
      </c>
      <c r="J489" s="18" t="str">
        <f>IFERROR(IF([2]对账明细接口!$J$489=0,"",[2]对账明细接口!$J$489),"")</f>
        <v/>
      </c>
      <c r="K489" s="18" t="str">
        <f>IFERROR(IF([2]对账明细接口!$K$489=0,"",[2]对账明细接口!$K$489),"")</f>
        <v/>
      </c>
      <c r="L489" s="16" t="str">
        <f>IFERROR(IF([2]对账明细接口!$L$489=0,"",[2]对账明细接口!$L$489),"")</f>
        <v/>
      </c>
      <c r="M489" s="16" t="str">
        <f>IFERROR(IF([2]对账明细接口!$M$489=0,"",[2]对账明细接口!$M$489),"")</f>
        <v/>
      </c>
      <c r="N489" s="19">
        <f t="shared" si="42"/>
        <v>0</v>
      </c>
      <c r="O489" s="19">
        <f t="shared" si="43"/>
        <v>165</v>
      </c>
      <c r="S489" s="20" t="str">
        <f>IFERROR(IF([2]对账明细接口!$N489=0,"",[2]对账明细接口!$N489),"")</f>
        <v/>
      </c>
      <c r="T489" s="21" t="str">
        <f>IFERROR(IF([2]对账明细接口!$O489=0,"",[2]对账明细接口!$O489),"")</f>
        <v/>
      </c>
      <c r="U489" s="21" t="str">
        <f>IFERROR(IF([2]对账明细接口!$P489=0,"",[2]对账明细接口!$P489),"")</f>
        <v/>
      </c>
      <c r="V489" s="21" t="str">
        <f>IFERROR(IF([2]对账明细接口!$Q489=0,"",[2]对账明细接口!$Q489),"")</f>
        <v/>
      </c>
      <c r="W489" s="20" t="str">
        <f>IFERROR(IF([2]对账明细接口!$R489=0,"",[2]对账明细接口!$R489),"")</f>
        <v/>
      </c>
      <c r="X489" s="20" t="str">
        <f>IFERROR(IF([2]对账明细接口!$S489=0,"",[2]对账明细接口!$S489),"")</f>
        <v/>
      </c>
      <c r="Y489" s="20" t="str">
        <f t="shared" si="44"/>
        <v/>
      </c>
      <c r="Z489" s="20" t="str">
        <f t="shared" si="45"/>
        <v/>
      </c>
      <c r="AA489" s="20" t="str">
        <f t="shared" si="46"/>
        <v/>
      </c>
      <c r="AB489" s="20" t="str">
        <f t="shared" si="47"/>
        <v/>
      </c>
    </row>
    <row r="490" customHeight="1" spans="1:28">
      <c r="A490" s="14">
        <v>490</v>
      </c>
      <c r="B490" s="15" t="str">
        <f>IFERROR(IF([2]对账明细接口!$B$490=0,"",[2]对账明细接口!$B$490),"")</f>
        <v/>
      </c>
      <c r="C490" s="16" t="str">
        <f>IFERROR(IF([2]对账明细接口!$C$490=0,"",[2]对账明细接口!$C$490),"")</f>
        <v/>
      </c>
      <c r="D490" s="16" t="str">
        <f>IFERROR(IF([2]对账明细接口!$D$490=0,"",[2]对账明细接口!$D$490),"")</f>
        <v/>
      </c>
      <c r="E490" s="16" t="str">
        <f>IFERROR(IF([2]对账明细接口!$E$490=0,"",[2]对账明细接口!$E$490),"")</f>
        <v/>
      </c>
      <c r="F490" s="16" t="str">
        <f>IFERROR(IF([2]对账明细接口!$F$490=0,"",[2]对账明细接口!$F$490),"")</f>
        <v/>
      </c>
      <c r="G490" s="16" t="str">
        <f>IFERROR(IF([2]对账明细接口!$G$490=0,"",[2]对账明细接口!$G$490),"")</f>
        <v/>
      </c>
      <c r="H490" s="17" t="str">
        <f>IFERROR(IF([2]对账明细接口!$H$490=0,"",[2]对账明细接口!$H$490),"")</f>
        <v/>
      </c>
      <c r="I490" s="16" t="str">
        <f>IFERROR(IF([2]对账明细接口!$I$490=0,"",[2]对账明细接口!$I$490),"")</f>
        <v/>
      </c>
      <c r="J490" s="18" t="str">
        <f>IFERROR(IF([2]对账明细接口!$J$490=0,"",[2]对账明细接口!$J$490),"")</f>
        <v/>
      </c>
      <c r="K490" s="18" t="str">
        <f>IFERROR(IF([2]对账明细接口!$K$490=0,"",[2]对账明细接口!$K$490),"")</f>
        <v/>
      </c>
      <c r="L490" s="16" t="str">
        <f>IFERROR(IF([2]对账明细接口!$L$490=0,"",[2]对账明细接口!$L$490),"")</f>
        <v/>
      </c>
      <c r="M490" s="16" t="str">
        <f>IFERROR(IF([2]对账明细接口!$M$490=0,"",[2]对账明细接口!$M$490),"")</f>
        <v/>
      </c>
      <c r="N490" s="19">
        <f t="shared" si="42"/>
        <v>0</v>
      </c>
      <c r="O490" s="19">
        <f t="shared" si="43"/>
        <v>165</v>
      </c>
      <c r="S490" s="20" t="str">
        <f>IFERROR(IF([2]对账明细接口!$N490=0,"",[2]对账明细接口!$N490),"")</f>
        <v/>
      </c>
      <c r="T490" s="21" t="str">
        <f>IFERROR(IF([2]对账明细接口!$O490=0,"",[2]对账明细接口!$O490),"")</f>
        <v/>
      </c>
      <c r="U490" s="21" t="str">
        <f>IFERROR(IF([2]对账明细接口!$P490=0,"",[2]对账明细接口!$P490),"")</f>
        <v/>
      </c>
      <c r="V490" s="21" t="str">
        <f>IFERROR(IF([2]对账明细接口!$Q490=0,"",[2]对账明细接口!$Q490),"")</f>
        <v/>
      </c>
      <c r="W490" s="20" t="str">
        <f>IFERROR(IF([2]对账明细接口!$R490=0,"",[2]对账明细接口!$R490),"")</f>
        <v/>
      </c>
      <c r="X490" s="20" t="str">
        <f>IFERROR(IF([2]对账明细接口!$S490=0,"",[2]对账明细接口!$S490),"")</f>
        <v/>
      </c>
      <c r="Y490" s="20" t="str">
        <f t="shared" si="44"/>
        <v/>
      </c>
      <c r="Z490" s="20" t="str">
        <f t="shared" si="45"/>
        <v/>
      </c>
      <c r="AA490" s="20" t="str">
        <f t="shared" si="46"/>
        <v/>
      </c>
      <c r="AB490" s="20" t="str">
        <f t="shared" si="47"/>
        <v/>
      </c>
    </row>
    <row r="491" customHeight="1" spans="1:28">
      <c r="A491" s="14">
        <v>491</v>
      </c>
      <c r="B491" s="15" t="str">
        <f>IFERROR(IF([2]对账明细接口!$B$491=0,"",[2]对账明细接口!$B$491),"")</f>
        <v/>
      </c>
      <c r="C491" s="16" t="str">
        <f>IFERROR(IF([2]对账明细接口!$C$491=0,"",[2]对账明细接口!$C$491),"")</f>
        <v/>
      </c>
      <c r="D491" s="16" t="str">
        <f>IFERROR(IF([2]对账明细接口!$D$491=0,"",[2]对账明细接口!$D$491),"")</f>
        <v/>
      </c>
      <c r="E491" s="16" t="str">
        <f>IFERROR(IF([2]对账明细接口!$E$491=0,"",[2]对账明细接口!$E$491),"")</f>
        <v/>
      </c>
      <c r="F491" s="16" t="str">
        <f>IFERROR(IF([2]对账明细接口!$F$491=0,"",[2]对账明细接口!$F$491),"")</f>
        <v/>
      </c>
      <c r="G491" s="16" t="str">
        <f>IFERROR(IF([2]对账明细接口!$G$491=0,"",[2]对账明细接口!$G$491),"")</f>
        <v/>
      </c>
      <c r="H491" s="17" t="str">
        <f>IFERROR(IF([2]对账明细接口!$H$491=0,"",[2]对账明细接口!$H$491),"")</f>
        <v/>
      </c>
      <c r="I491" s="16" t="str">
        <f>IFERROR(IF([2]对账明细接口!$I$491=0,"",[2]对账明细接口!$I$491),"")</f>
        <v/>
      </c>
      <c r="J491" s="18" t="str">
        <f>IFERROR(IF([2]对账明细接口!$J$491=0,"",[2]对账明细接口!$J$491),"")</f>
        <v/>
      </c>
      <c r="K491" s="18" t="str">
        <f>IFERROR(IF([2]对账明细接口!$K$491=0,"",[2]对账明细接口!$K$491),"")</f>
        <v/>
      </c>
      <c r="L491" s="16" t="str">
        <f>IFERROR(IF([2]对账明细接口!$L$491=0,"",[2]对账明细接口!$L$491),"")</f>
        <v/>
      </c>
      <c r="M491" s="16" t="str">
        <f>IFERROR(IF([2]对账明细接口!$M$491=0,"",[2]对账明细接口!$M$491),"")</f>
        <v/>
      </c>
      <c r="N491" s="19">
        <f t="shared" si="42"/>
        <v>0</v>
      </c>
      <c r="O491" s="19">
        <f t="shared" si="43"/>
        <v>165</v>
      </c>
      <c r="S491" s="20" t="str">
        <f>IFERROR(IF([2]对账明细接口!$N491=0,"",[2]对账明细接口!$N491),"")</f>
        <v/>
      </c>
      <c r="T491" s="21" t="str">
        <f>IFERROR(IF([2]对账明细接口!$O491=0,"",[2]对账明细接口!$O491),"")</f>
        <v/>
      </c>
      <c r="U491" s="21" t="str">
        <f>IFERROR(IF([2]对账明细接口!$P491=0,"",[2]对账明细接口!$P491),"")</f>
        <v/>
      </c>
      <c r="V491" s="21" t="str">
        <f>IFERROR(IF([2]对账明细接口!$Q491=0,"",[2]对账明细接口!$Q491),"")</f>
        <v/>
      </c>
      <c r="W491" s="20" t="str">
        <f>IFERROR(IF([2]对账明细接口!$R491=0,"",[2]对账明细接口!$R491),"")</f>
        <v/>
      </c>
      <c r="X491" s="20" t="str">
        <f>IFERROR(IF([2]对账明细接口!$S491=0,"",[2]对账明细接口!$S491),"")</f>
        <v/>
      </c>
      <c r="Y491" s="20" t="str">
        <f t="shared" si="44"/>
        <v/>
      </c>
      <c r="Z491" s="20" t="str">
        <f t="shared" si="45"/>
        <v/>
      </c>
      <c r="AA491" s="20" t="str">
        <f t="shared" si="46"/>
        <v/>
      </c>
      <c r="AB491" s="20" t="str">
        <f t="shared" si="47"/>
        <v/>
      </c>
    </row>
    <row r="492" customHeight="1" spans="1:28">
      <c r="A492" s="14">
        <v>492</v>
      </c>
      <c r="B492" s="15" t="str">
        <f>IFERROR(IF([2]对账明细接口!$B$492=0,"",[2]对账明细接口!$B$492),"")</f>
        <v/>
      </c>
      <c r="C492" s="16" t="str">
        <f>IFERROR(IF([2]对账明细接口!$C$492=0,"",[2]对账明细接口!$C$492),"")</f>
        <v/>
      </c>
      <c r="D492" s="16" t="str">
        <f>IFERROR(IF([2]对账明细接口!$D$492=0,"",[2]对账明细接口!$D$492),"")</f>
        <v/>
      </c>
      <c r="E492" s="16" t="str">
        <f>IFERROR(IF([2]对账明细接口!$E$492=0,"",[2]对账明细接口!$E$492),"")</f>
        <v/>
      </c>
      <c r="F492" s="16" t="str">
        <f>IFERROR(IF([2]对账明细接口!$F$492=0,"",[2]对账明细接口!$F$492),"")</f>
        <v/>
      </c>
      <c r="G492" s="16" t="str">
        <f>IFERROR(IF([2]对账明细接口!$G$492=0,"",[2]对账明细接口!$G$492),"")</f>
        <v/>
      </c>
      <c r="H492" s="17" t="str">
        <f>IFERROR(IF([2]对账明细接口!$H$492=0,"",[2]对账明细接口!$H$492),"")</f>
        <v/>
      </c>
      <c r="I492" s="16" t="str">
        <f>IFERROR(IF([2]对账明细接口!$I$492=0,"",[2]对账明细接口!$I$492),"")</f>
        <v/>
      </c>
      <c r="J492" s="18" t="str">
        <f>IFERROR(IF([2]对账明细接口!$J$492=0,"",[2]对账明细接口!$J$492),"")</f>
        <v/>
      </c>
      <c r="K492" s="18" t="str">
        <f>IFERROR(IF([2]对账明细接口!$K$492=0,"",[2]对账明细接口!$K$492),"")</f>
        <v/>
      </c>
      <c r="L492" s="16" t="str">
        <f>IFERROR(IF([2]对账明细接口!$L$492=0,"",[2]对账明细接口!$L$492),"")</f>
        <v/>
      </c>
      <c r="M492" s="16" t="str">
        <f>IFERROR(IF([2]对账明细接口!$M$492=0,"",[2]对账明细接口!$M$492),"")</f>
        <v/>
      </c>
      <c r="N492" s="19">
        <f t="shared" si="42"/>
        <v>0</v>
      </c>
      <c r="O492" s="19">
        <f t="shared" si="43"/>
        <v>165</v>
      </c>
      <c r="S492" s="20" t="str">
        <f>IFERROR(IF([2]对账明细接口!$N492=0,"",[2]对账明细接口!$N492),"")</f>
        <v/>
      </c>
      <c r="T492" s="21" t="str">
        <f>IFERROR(IF([2]对账明细接口!$O492=0,"",[2]对账明细接口!$O492),"")</f>
        <v/>
      </c>
      <c r="U492" s="21" t="str">
        <f>IFERROR(IF([2]对账明细接口!$P492=0,"",[2]对账明细接口!$P492),"")</f>
        <v/>
      </c>
      <c r="V492" s="21" t="str">
        <f>IFERROR(IF([2]对账明细接口!$Q492=0,"",[2]对账明细接口!$Q492),"")</f>
        <v/>
      </c>
      <c r="W492" s="20" t="str">
        <f>IFERROR(IF([2]对账明细接口!$R492=0,"",[2]对账明细接口!$R492),"")</f>
        <v/>
      </c>
      <c r="X492" s="20" t="str">
        <f>IFERROR(IF([2]对账明细接口!$S492=0,"",[2]对账明细接口!$S492),"")</f>
        <v/>
      </c>
      <c r="Y492" s="20" t="str">
        <f t="shared" si="44"/>
        <v/>
      </c>
      <c r="Z492" s="20" t="str">
        <f t="shared" si="45"/>
        <v/>
      </c>
      <c r="AA492" s="20" t="str">
        <f t="shared" si="46"/>
        <v/>
      </c>
      <c r="AB492" s="20" t="str">
        <f t="shared" si="47"/>
        <v/>
      </c>
    </row>
    <row r="493" customHeight="1" spans="1:28">
      <c r="A493" s="14">
        <v>493</v>
      </c>
      <c r="B493" s="15" t="str">
        <f>IFERROR(IF([2]对账明细接口!$B$493=0,"",[2]对账明细接口!$B$493),"")</f>
        <v/>
      </c>
      <c r="C493" s="16" t="str">
        <f>IFERROR(IF([2]对账明细接口!$C$493=0,"",[2]对账明细接口!$C$493),"")</f>
        <v/>
      </c>
      <c r="D493" s="16" t="str">
        <f>IFERROR(IF([2]对账明细接口!$D$493=0,"",[2]对账明细接口!$D$493),"")</f>
        <v/>
      </c>
      <c r="E493" s="16" t="str">
        <f>IFERROR(IF([2]对账明细接口!$E$493=0,"",[2]对账明细接口!$E$493),"")</f>
        <v/>
      </c>
      <c r="F493" s="16" t="str">
        <f>IFERROR(IF([2]对账明细接口!$F$493=0,"",[2]对账明细接口!$F$493),"")</f>
        <v/>
      </c>
      <c r="G493" s="16" t="str">
        <f>IFERROR(IF([2]对账明细接口!$G$493=0,"",[2]对账明细接口!$G$493),"")</f>
        <v/>
      </c>
      <c r="H493" s="17" t="str">
        <f>IFERROR(IF([2]对账明细接口!$H$493=0,"",[2]对账明细接口!$H$493),"")</f>
        <v/>
      </c>
      <c r="I493" s="16" t="str">
        <f>IFERROR(IF([2]对账明细接口!$I$493=0,"",[2]对账明细接口!$I$493),"")</f>
        <v/>
      </c>
      <c r="J493" s="18" t="str">
        <f>IFERROR(IF([2]对账明细接口!$J$493=0,"",[2]对账明细接口!$J$493),"")</f>
        <v/>
      </c>
      <c r="K493" s="18" t="str">
        <f>IFERROR(IF([2]对账明细接口!$K$493=0,"",[2]对账明细接口!$K$493),"")</f>
        <v/>
      </c>
      <c r="L493" s="16" t="str">
        <f>IFERROR(IF([2]对账明细接口!$L$493=0,"",[2]对账明细接口!$L$493),"")</f>
        <v/>
      </c>
      <c r="M493" s="16" t="str">
        <f>IFERROR(IF([2]对账明细接口!$M$493=0,"",[2]对账明细接口!$M$493),"")</f>
        <v/>
      </c>
      <c r="N493" s="19">
        <f t="shared" si="42"/>
        <v>0</v>
      </c>
      <c r="O493" s="19">
        <f t="shared" si="43"/>
        <v>165</v>
      </c>
      <c r="S493" s="20" t="str">
        <f>IFERROR(IF([2]对账明细接口!$N493=0,"",[2]对账明细接口!$N493),"")</f>
        <v/>
      </c>
      <c r="T493" s="21" t="str">
        <f>IFERROR(IF([2]对账明细接口!$O493=0,"",[2]对账明细接口!$O493),"")</f>
        <v/>
      </c>
      <c r="U493" s="21" t="str">
        <f>IFERROR(IF([2]对账明细接口!$P493=0,"",[2]对账明细接口!$P493),"")</f>
        <v/>
      </c>
      <c r="V493" s="21" t="str">
        <f>IFERROR(IF([2]对账明细接口!$Q493=0,"",[2]对账明细接口!$Q493),"")</f>
        <v/>
      </c>
      <c r="W493" s="20" t="str">
        <f>IFERROR(IF([2]对账明细接口!$R493=0,"",[2]对账明细接口!$R493),"")</f>
        <v/>
      </c>
      <c r="X493" s="20" t="str">
        <f>IFERROR(IF([2]对账明细接口!$S493=0,"",[2]对账明细接口!$S493),"")</f>
        <v/>
      </c>
      <c r="Y493" s="20" t="str">
        <f t="shared" si="44"/>
        <v/>
      </c>
      <c r="Z493" s="20" t="str">
        <f t="shared" si="45"/>
        <v/>
      </c>
      <c r="AA493" s="20" t="str">
        <f t="shared" si="46"/>
        <v/>
      </c>
      <c r="AB493" s="20" t="str">
        <f t="shared" si="47"/>
        <v/>
      </c>
    </row>
    <row r="494" customHeight="1" spans="1:28">
      <c r="A494" s="14">
        <v>494</v>
      </c>
      <c r="B494" s="15" t="str">
        <f>IFERROR(IF([2]对账明细接口!$B$494=0,"",[2]对账明细接口!$B$494),"")</f>
        <v/>
      </c>
      <c r="C494" s="16" t="str">
        <f>IFERROR(IF([2]对账明细接口!$C$494=0,"",[2]对账明细接口!$C$494),"")</f>
        <v/>
      </c>
      <c r="D494" s="16" t="str">
        <f>IFERROR(IF([2]对账明细接口!$D$494=0,"",[2]对账明细接口!$D$494),"")</f>
        <v/>
      </c>
      <c r="E494" s="16" t="str">
        <f>IFERROR(IF([2]对账明细接口!$E$494=0,"",[2]对账明细接口!$E$494),"")</f>
        <v/>
      </c>
      <c r="F494" s="16" t="str">
        <f>IFERROR(IF([2]对账明细接口!$F$494=0,"",[2]对账明细接口!$F$494),"")</f>
        <v/>
      </c>
      <c r="G494" s="16" t="str">
        <f>IFERROR(IF([2]对账明细接口!$G$494=0,"",[2]对账明细接口!$G$494),"")</f>
        <v/>
      </c>
      <c r="H494" s="17" t="str">
        <f>IFERROR(IF([2]对账明细接口!$H$494=0,"",[2]对账明细接口!$H$494),"")</f>
        <v/>
      </c>
      <c r="I494" s="16" t="str">
        <f>IFERROR(IF([2]对账明细接口!$I$494=0,"",[2]对账明细接口!$I$494),"")</f>
        <v/>
      </c>
      <c r="J494" s="18" t="str">
        <f>IFERROR(IF([2]对账明细接口!$J$494=0,"",[2]对账明细接口!$J$494),"")</f>
        <v/>
      </c>
      <c r="K494" s="18" t="str">
        <f>IFERROR(IF([2]对账明细接口!$K$494=0,"",[2]对账明细接口!$K$494),"")</f>
        <v/>
      </c>
      <c r="L494" s="16" t="str">
        <f>IFERROR(IF([2]对账明细接口!$L$494=0,"",[2]对账明细接口!$L$494),"")</f>
        <v/>
      </c>
      <c r="M494" s="16" t="str">
        <f>IFERROR(IF([2]对账明细接口!$M$494=0,"",[2]对账明细接口!$M$494),"")</f>
        <v/>
      </c>
      <c r="N494" s="19">
        <f t="shared" si="42"/>
        <v>0</v>
      </c>
      <c r="O494" s="19">
        <f t="shared" si="43"/>
        <v>165</v>
      </c>
      <c r="S494" s="20" t="str">
        <f>IFERROR(IF([2]对账明细接口!$N494=0,"",[2]对账明细接口!$N494),"")</f>
        <v/>
      </c>
      <c r="T494" s="21" t="str">
        <f>IFERROR(IF([2]对账明细接口!$O494=0,"",[2]对账明细接口!$O494),"")</f>
        <v/>
      </c>
      <c r="U494" s="21" t="str">
        <f>IFERROR(IF([2]对账明细接口!$P494=0,"",[2]对账明细接口!$P494),"")</f>
        <v/>
      </c>
      <c r="V494" s="21" t="str">
        <f>IFERROR(IF([2]对账明细接口!$Q494=0,"",[2]对账明细接口!$Q494),"")</f>
        <v/>
      </c>
      <c r="W494" s="20" t="str">
        <f>IFERROR(IF([2]对账明细接口!$R494=0,"",[2]对账明细接口!$R494),"")</f>
        <v/>
      </c>
      <c r="X494" s="20" t="str">
        <f>IFERROR(IF([2]对账明细接口!$S494=0,"",[2]对账明细接口!$S494),"")</f>
        <v/>
      </c>
      <c r="Y494" s="20" t="str">
        <f t="shared" si="44"/>
        <v/>
      </c>
      <c r="Z494" s="20" t="str">
        <f t="shared" si="45"/>
        <v/>
      </c>
      <c r="AA494" s="20" t="str">
        <f t="shared" si="46"/>
        <v/>
      </c>
      <c r="AB494" s="20" t="str">
        <f t="shared" si="47"/>
        <v/>
      </c>
    </row>
    <row r="495" customHeight="1" spans="1:28">
      <c r="A495" s="14">
        <v>495</v>
      </c>
      <c r="B495" s="15" t="str">
        <f>IFERROR(IF([2]对账明细接口!$B$495=0,"",[2]对账明细接口!$B$495),"")</f>
        <v/>
      </c>
      <c r="C495" s="16" t="str">
        <f>IFERROR(IF([2]对账明细接口!$C$495=0,"",[2]对账明细接口!$C$495),"")</f>
        <v/>
      </c>
      <c r="D495" s="16" t="str">
        <f>IFERROR(IF([2]对账明细接口!$D$495=0,"",[2]对账明细接口!$D$495),"")</f>
        <v/>
      </c>
      <c r="E495" s="16" t="str">
        <f>IFERROR(IF([2]对账明细接口!$E$495=0,"",[2]对账明细接口!$E$495),"")</f>
        <v/>
      </c>
      <c r="F495" s="16" t="str">
        <f>IFERROR(IF([2]对账明细接口!$F$495=0,"",[2]对账明细接口!$F$495),"")</f>
        <v/>
      </c>
      <c r="G495" s="16" t="str">
        <f>IFERROR(IF([2]对账明细接口!$G$495=0,"",[2]对账明细接口!$G$495),"")</f>
        <v/>
      </c>
      <c r="H495" s="17" t="str">
        <f>IFERROR(IF([2]对账明细接口!$H$495=0,"",[2]对账明细接口!$H$495),"")</f>
        <v/>
      </c>
      <c r="I495" s="16" t="str">
        <f>IFERROR(IF([2]对账明细接口!$I$495=0,"",[2]对账明细接口!$I$495),"")</f>
        <v/>
      </c>
      <c r="J495" s="18" t="str">
        <f>IFERROR(IF([2]对账明细接口!$J$495=0,"",[2]对账明细接口!$J$495),"")</f>
        <v/>
      </c>
      <c r="K495" s="18" t="str">
        <f>IFERROR(IF([2]对账明细接口!$K$495=0,"",[2]对账明细接口!$K$495),"")</f>
        <v/>
      </c>
      <c r="L495" s="16" t="str">
        <f>IFERROR(IF([2]对账明细接口!$L$495=0,"",[2]对账明细接口!$L$495),"")</f>
        <v/>
      </c>
      <c r="M495" s="16" t="str">
        <f>IFERROR(IF([2]对账明细接口!$M$495=0,"",[2]对账明细接口!$M$495),"")</f>
        <v/>
      </c>
      <c r="N495" s="19">
        <f t="shared" si="42"/>
        <v>0</v>
      </c>
      <c r="O495" s="19">
        <f t="shared" si="43"/>
        <v>165</v>
      </c>
      <c r="S495" s="20" t="str">
        <f>IFERROR(IF([2]对账明细接口!$N495=0,"",[2]对账明细接口!$N495),"")</f>
        <v/>
      </c>
      <c r="T495" s="21" t="str">
        <f>IFERROR(IF([2]对账明细接口!$O495=0,"",[2]对账明细接口!$O495),"")</f>
        <v/>
      </c>
      <c r="U495" s="21" t="str">
        <f>IFERROR(IF([2]对账明细接口!$P495=0,"",[2]对账明细接口!$P495),"")</f>
        <v/>
      </c>
      <c r="V495" s="21" t="str">
        <f>IFERROR(IF([2]对账明细接口!$Q495=0,"",[2]对账明细接口!$Q495),"")</f>
        <v/>
      </c>
      <c r="W495" s="20" t="str">
        <f>IFERROR(IF([2]对账明细接口!$R495=0,"",[2]对账明细接口!$R495),"")</f>
        <v/>
      </c>
      <c r="X495" s="20" t="str">
        <f>IFERROR(IF([2]对账明细接口!$S495=0,"",[2]对账明细接口!$S495),"")</f>
        <v/>
      </c>
      <c r="Y495" s="20" t="str">
        <f t="shared" si="44"/>
        <v/>
      </c>
      <c r="Z495" s="20" t="str">
        <f t="shared" si="45"/>
        <v/>
      </c>
      <c r="AA495" s="20" t="str">
        <f t="shared" si="46"/>
        <v/>
      </c>
      <c r="AB495" s="20" t="str">
        <f t="shared" si="47"/>
        <v/>
      </c>
    </row>
    <row r="496" customHeight="1" spans="1:28">
      <c r="A496" s="14">
        <v>496</v>
      </c>
      <c r="B496" s="15" t="str">
        <f>IFERROR(IF([2]对账明细接口!$B$496=0,"",[2]对账明细接口!$B$496),"")</f>
        <v/>
      </c>
      <c r="C496" s="16" t="str">
        <f>IFERROR(IF([2]对账明细接口!$C$496=0,"",[2]对账明细接口!$C$496),"")</f>
        <v/>
      </c>
      <c r="D496" s="16" t="str">
        <f>IFERROR(IF([2]对账明细接口!$D$496=0,"",[2]对账明细接口!$D$496),"")</f>
        <v/>
      </c>
      <c r="E496" s="16" t="str">
        <f>IFERROR(IF([2]对账明细接口!$E$496=0,"",[2]对账明细接口!$E$496),"")</f>
        <v/>
      </c>
      <c r="F496" s="16" t="str">
        <f>IFERROR(IF([2]对账明细接口!$F$496=0,"",[2]对账明细接口!$F$496),"")</f>
        <v/>
      </c>
      <c r="G496" s="16" t="str">
        <f>IFERROR(IF([2]对账明细接口!$G$496=0,"",[2]对账明细接口!$G$496),"")</f>
        <v/>
      </c>
      <c r="H496" s="17" t="str">
        <f>IFERROR(IF([2]对账明细接口!$H$496=0,"",[2]对账明细接口!$H$496),"")</f>
        <v/>
      </c>
      <c r="I496" s="16" t="str">
        <f>IFERROR(IF([2]对账明细接口!$I$496=0,"",[2]对账明细接口!$I$496),"")</f>
        <v/>
      </c>
      <c r="J496" s="18" t="str">
        <f>IFERROR(IF([2]对账明细接口!$J$496=0,"",[2]对账明细接口!$J$496),"")</f>
        <v/>
      </c>
      <c r="K496" s="18" t="str">
        <f>IFERROR(IF([2]对账明细接口!$K$496=0,"",[2]对账明细接口!$K$496),"")</f>
        <v/>
      </c>
      <c r="L496" s="16" t="str">
        <f>IFERROR(IF([2]对账明细接口!$L$496=0,"",[2]对账明细接口!$L$496),"")</f>
        <v/>
      </c>
      <c r="M496" s="16" t="str">
        <f>IFERROR(IF([2]对账明细接口!$M$496=0,"",[2]对账明细接口!$M$496),"")</f>
        <v/>
      </c>
      <c r="N496" s="19">
        <f t="shared" si="42"/>
        <v>0</v>
      </c>
      <c r="O496" s="19">
        <f t="shared" si="43"/>
        <v>165</v>
      </c>
      <c r="S496" s="20" t="str">
        <f>IFERROR(IF([2]对账明细接口!$N496=0,"",[2]对账明细接口!$N496),"")</f>
        <v/>
      </c>
      <c r="T496" s="21" t="str">
        <f>IFERROR(IF([2]对账明细接口!$O496=0,"",[2]对账明细接口!$O496),"")</f>
        <v/>
      </c>
      <c r="U496" s="21" t="str">
        <f>IFERROR(IF([2]对账明细接口!$P496=0,"",[2]对账明细接口!$P496),"")</f>
        <v/>
      </c>
      <c r="V496" s="21" t="str">
        <f>IFERROR(IF([2]对账明细接口!$Q496=0,"",[2]对账明细接口!$Q496),"")</f>
        <v/>
      </c>
      <c r="W496" s="20" t="str">
        <f>IFERROR(IF([2]对账明细接口!$R496=0,"",[2]对账明细接口!$R496),"")</f>
        <v/>
      </c>
      <c r="X496" s="20" t="str">
        <f>IFERROR(IF([2]对账明细接口!$S496=0,"",[2]对账明细接口!$S496),"")</f>
        <v/>
      </c>
      <c r="Y496" s="20" t="str">
        <f t="shared" si="44"/>
        <v/>
      </c>
      <c r="Z496" s="20" t="str">
        <f t="shared" si="45"/>
        <v/>
      </c>
      <c r="AA496" s="20" t="str">
        <f t="shared" si="46"/>
        <v/>
      </c>
      <c r="AB496" s="20" t="str">
        <f t="shared" si="47"/>
        <v/>
      </c>
    </row>
    <row r="497" customHeight="1" spans="1:28">
      <c r="A497" s="14">
        <v>497</v>
      </c>
      <c r="B497" s="15" t="str">
        <f>IFERROR(IF([2]对账明细接口!$B$497=0,"",[2]对账明细接口!$B$497),"")</f>
        <v/>
      </c>
      <c r="C497" s="16" t="str">
        <f>IFERROR(IF([2]对账明细接口!$C$497=0,"",[2]对账明细接口!$C$497),"")</f>
        <v/>
      </c>
      <c r="D497" s="16" t="str">
        <f>IFERROR(IF([2]对账明细接口!$D$497=0,"",[2]对账明细接口!$D$497),"")</f>
        <v/>
      </c>
      <c r="E497" s="16" t="str">
        <f>IFERROR(IF([2]对账明细接口!$E$497=0,"",[2]对账明细接口!$E$497),"")</f>
        <v/>
      </c>
      <c r="F497" s="16" t="str">
        <f>IFERROR(IF([2]对账明细接口!$F$497=0,"",[2]对账明细接口!$F$497),"")</f>
        <v/>
      </c>
      <c r="G497" s="16" t="str">
        <f>IFERROR(IF([2]对账明细接口!$G$497=0,"",[2]对账明细接口!$G$497),"")</f>
        <v/>
      </c>
      <c r="H497" s="17" t="str">
        <f>IFERROR(IF([2]对账明细接口!$H$497=0,"",[2]对账明细接口!$H$497),"")</f>
        <v/>
      </c>
      <c r="I497" s="16" t="str">
        <f>IFERROR(IF([2]对账明细接口!$I$497=0,"",[2]对账明细接口!$I$497),"")</f>
        <v/>
      </c>
      <c r="J497" s="18" t="str">
        <f>IFERROR(IF([2]对账明细接口!$J$497=0,"",[2]对账明细接口!$J$497),"")</f>
        <v/>
      </c>
      <c r="K497" s="18" t="str">
        <f>IFERROR(IF([2]对账明细接口!$K$497=0,"",[2]对账明细接口!$K$497),"")</f>
        <v/>
      </c>
      <c r="L497" s="16" t="str">
        <f>IFERROR(IF([2]对账明细接口!$L$497=0,"",[2]对账明细接口!$L$497),"")</f>
        <v/>
      </c>
      <c r="M497" s="16" t="str">
        <f>IFERROR(IF([2]对账明细接口!$M$497=0,"",[2]对账明细接口!$M$497),"")</f>
        <v/>
      </c>
      <c r="N497" s="19">
        <f t="shared" si="42"/>
        <v>0</v>
      </c>
      <c r="O497" s="19">
        <f t="shared" si="43"/>
        <v>165</v>
      </c>
      <c r="S497" s="20" t="str">
        <f>IFERROR(IF([2]对账明细接口!$N497=0,"",[2]对账明细接口!$N497),"")</f>
        <v/>
      </c>
      <c r="T497" s="21" t="str">
        <f>IFERROR(IF([2]对账明细接口!$O497=0,"",[2]对账明细接口!$O497),"")</f>
        <v/>
      </c>
      <c r="U497" s="21" t="str">
        <f>IFERROR(IF([2]对账明细接口!$P497=0,"",[2]对账明细接口!$P497),"")</f>
        <v/>
      </c>
      <c r="V497" s="21" t="str">
        <f>IFERROR(IF([2]对账明细接口!$Q497=0,"",[2]对账明细接口!$Q497),"")</f>
        <v/>
      </c>
      <c r="W497" s="20" t="str">
        <f>IFERROR(IF([2]对账明细接口!$R497=0,"",[2]对账明细接口!$R497),"")</f>
        <v/>
      </c>
      <c r="X497" s="20" t="str">
        <f>IFERROR(IF([2]对账明细接口!$S497=0,"",[2]对账明细接口!$S497),"")</f>
        <v/>
      </c>
      <c r="Y497" s="20" t="str">
        <f t="shared" si="44"/>
        <v/>
      </c>
      <c r="Z497" s="20" t="str">
        <f t="shared" si="45"/>
        <v/>
      </c>
      <c r="AA497" s="20" t="str">
        <f t="shared" si="46"/>
        <v/>
      </c>
      <c r="AB497" s="20" t="str">
        <f t="shared" si="47"/>
        <v/>
      </c>
    </row>
    <row r="498" customHeight="1" spans="1:28">
      <c r="A498" s="14">
        <v>498</v>
      </c>
      <c r="B498" s="15" t="str">
        <f>IFERROR(IF([2]对账明细接口!$B$498=0,"",[2]对账明细接口!$B$498),"")</f>
        <v/>
      </c>
      <c r="C498" s="16" t="str">
        <f>IFERROR(IF([2]对账明细接口!$C$498=0,"",[2]对账明细接口!$C$498),"")</f>
        <v/>
      </c>
      <c r="D498" s="16" t="str">
        <f>IFERROR(IF([2]对账明细接口!$D$498=0,"",[2]对账明细接口!$D$498),"")</f>
        <v/>
      </c>
      <c r="E498" s="16" t="str">
        <f>IFERROR(IF([2]对账明细接口!$E$498=0,"",[2]对账明细接口!$E$498),"")</f>
        <v/>
      </c>
      <c r="F498" s="16" t="str">
        <f>IFERROR(IF([2]对账明细接口!$F$498=0,"",[2]对账明细接口!$F$498),"")</f>
        <v/>
      </c>
      <c r="G498" s="16" t="str">
        <f>IFERROR(IF([2]对账明细接口!$G$498=0,"",[2]对账明细接口!$G$498),"")</f>
        <v/>
      </c>
      <c r="H498" s="17" t="str">
        <f>IFERROR(IF([2]对账明细接口!$H$498=0,"",[2]对账明细接口!$H$498),"")</f>
        <v/>
      </c>
      <c r="I498" s="16" t="str">
        <f>IFERROR(IF([2]对账明细接口!$I$498=0,"",[2]对账明细接口!$I$498),"")</f>
        <v/>
      </c>
      <c r="J498" s="18" t="str">
        <f>IFERROR(IF([2]对账明细接口!$J$498=0,"",[2]对账明细接口!$J$498),"")</f>
        <v/>
      </c>
      <c r="K498" s="18" t="str">
        <f>IFERROR(IF([2]对账明细接口!$K$498=0,"",[2]对账明细接口!$K$498),"")</f>
        <v/>
      </c>
      <c r="L498" s="16" t="str">
        <f>IFERROR(IF([2]对账明细接口!$L$498=0,"",[2]对账明细接口!$L$498),"")</f>
        <v/>
      </c>
      <c r="M498" s="16" t="str">
        <f>IFERROR(IF([2]对账明细接口!$M$498=0,"",[2]对账明细接口!$M$498),"")</f>
        <v/>
      </c>
      <c r="N498" s="19">
        <f t="shared" si="42"/>
        <v>0</v>
      </c>
      <c r="O498" s="19">
        <f t="shared" si="43"/>
        <v>165</v>
      </c>
      <c r="S498" s="20" t="str">
        <f>IFERROR(IF([2]对账明细接口!$N498=0,"",[2]对账明细接口!$N498),"")</f>
        <v/>
      </c>
      <c r="T498" s="21" t="str">
        <f>IFERROR(IF([2]对账明细接口!$O498=0,"",[2]对账明细接口!$O498),"")</f>
        <v/>
      </c>
      <c r="U498" s="21" t="str">
        <f>IFERROR(IF([2]对账明细接口!$P498=0,"",[2]对账明细接口!$P498),"")</f>
        <v/>
      </c>
      <c r="V498" s="21" t="str">
        <f>IFERROR(IF([2]对账明细接口!$Q498=0,"",[2]对账明细接口!$Q498),"")</f>
        <v/>
      </c>
      <c r="W498" s="20" t="str">
        <f>IFERROR(IF([2]对账明细接口!$R498=0,"",[2]对账明细接口!$R498),"")</f>
        <v/>
      </c>
      <c r="X498" s="20" t="str">
        <f>IFERROR(IF([2]对账明细接口!$S498=0,"",[2]对账明细接口!$S498),"")</f>
        <v/>
      </c>
      <c r="Y498" s="20" t="str">
        <f t="shared" si="44"/>
        <v/>
      </c>
      <c r="Z498" s="20" t="str">
        <f t="shared" si="45"/>
        <v/>
      </c>
      <c r="AA498" s="20" t="str">
        <f t="shared" si="46"/>
        <v/>
      </c>
      <c r="AB498" s="20" t="str">
        <f t="shared" si="47"/>
        <v/>
      </c>
    </row>
    <row r="499" customHeight="1" spans="1:28">
      <c r="A499" s="14">
        <v>499</v>
      </c>
      <c r="B499" s="15" t="str">
        <f>IFERROR(IF([2]对账明细接口!$B$499=0,"",[2]对账明细接口!$B$499),"")</f>
        <v/>
      </c>
      <c r="C499" s="16" t="str">
        <f>IFERROR(IF([2]对账明细接口!$C$499=0,"",[2]对账明细接口!$C$499),"")</f>
        <v/>
      </c>
      <c r="D499" s="16" t="str">
        <f>IFERROR(IF([2]对账明细接口!$D$499=0,"",[2]对账明细接口!$D$499),"")</f>
        <v/>
      </c>
      <c r="E499" s="16" t="str">
        <f>IFERROR(IF([2]对账明细接口!$E$499=0,"",[2]对账明细接口!$E$499),"")</f>
        <v/>
      </c>
      <c r="F499" s="16" t="str">
        <f>IFERROR(IF([2]对账明细接口!$F$499=0,"",[2]对账明细接口!$F$499),"")</f>
        <v/>
      </c>
      <c r="G499" s="16" t="str">
        <f>IFERROR(IF([2]对账明细接口!$G$499=0,"",[2]对账明细接口!$G$499),"")</f>
        <v/>
      </c>
      <c r="H499" s="17" t="str">
        <f>IFERROR(IF([2]对账明细接口!$H$499=0,"",[2]对账明细接口!$H$499),"")</f>
        <v/>
      </c>
      <c r="I499" s="16" t="str">
        <f>IFERROR(IF([2]对账明细接口!$I$499=0,"",[2]对账明细接口!$I$499),"")</f>
        <v/>
      </c>
      <c r="J499" s="18" t="str">
        <f>IFERROR(IF([2]对账明细接口!$J$499=0,"",[2]对账明细接口!$J$499),"")</f>
        <v/>
      </c>
      <c r="K499" s="18" t="str">
        <f>IFERROR(IF([2]对账明细接口!$K$499=0,"",[2]对账明细接口!$K$499),"")</f>
        <v/>
      </c>
      <c r="L499" s="16" t="str">
        <f>IFERROR(IF([2]对账明细接口!$L$499=0,"",[2]对账明细接口!$L$499),"")</f>
        <v/>
      </c>
      <c r="M499" s="16" t="str">
        <f>IFERROR(IF([2]对账明细接口!$M$499=0,"",[2]对账明细接口!$M$499),"")</f>
        <v/>
      </c>
      <c r="N499" s="19">
        <f t="shared" si="42"/>
        <v>0</v>
      </c>
      <c r="O499" s="19">
        <f t="shared" si="43"/>
        <v>165</v>
      </c>
      <c r="S499" s="20" t="str">
        <f>IFERROR(IF([2]对账明细接口!$N499=0,"",[2]对账明细接口!$N499),"")</f>
        <v/>
      </c>
      <c r="T499" s="21" t="str">
        <f>IFERROR(IF([2]对账明细接口!$O499=0,"",[2]对账明细接口!$O499),"")</f>
        <v/>
      </c>
      <c r="U499" s="21" t="str">
        <f>IFERROR(IF([2]对账明细接口!$P499=0,"",[2]对账明细接口!$P499),"")</f>
        <v/>
      </c>
      <c r="V499" s="21" t="str">
        <f>IFERROR(IF([2]对账明细接口!$Q499=0,"",[2]对账明细接口!$Q499),"")</f>
        <v/>
      </c>
      <c r="W499" s="20" t="str">
        <f>IFERROR(IF([2]对账明细接口!$R499=0,"",[2]对账明细接口!$R499),"")</f>
        <v/>
      </c>
      <c r="X499" s="20" t="str">
        <f>IFERROR(IF([2]对账明细接口!$S499=0,"",[2]对账明细接口!$S499),"")</f>
        <v/>
      </c>
      <c r="Y499" s="20" t="str">
        <f t="shared" si="44"/>
        <v/>
      </c>
      <c r="Z499" s="20" t="str">
        <f t="shared" si="45"/>
        <v/>
      </c>
      <c r="AA499" s="20" t="str">
        <f t="shared" si="46"/>
        <v/>
      </c>
      <c r="AB499" s="20" t="str">
        <f t="shared" si="47"/>
        <v/>
      </c>
    </row>
    <row r="500" customHeight="1" spans="1:28">
      <c r="A500" s="14">
        <v>500</v>
      </c>
      <c r="B500" s="15" t="str">
        <f>IFERROR(IF([2]对账明细接口!$B$500=0,"",[2]对账明细接口!$B$500),"")</f>
        <v/>
      </c>
      <c r="C500" s="16" t="str">
        <f>IFERROR(IF([2]对账明细接口!$C$500=0,"",[2]对账明细接口!$C$500),"")</f>
        <v/>
      </c>
      <c r="D500" s="16" t="str">
        <f>IFERROR(IF([2]对账明细接口!$D$500=0,"",[2]对账明细接口!$D$500),"")</f>
        <v/>
      </c>
      <c r="E500" s="16" t="str">
        <f>IFERROR(IF([2]对账明细接口!$E$500=0,"",[2]对账明细接口!$E$500),"")</f>
        <v/>
      </c>
      <c r="F500" s="16" t="str">
        <f>IFERROR(IF([2]对账明细接口!$F$500=0,"",[2]对账明细接口!$F$500),"")</f>
        <v/>
      </c>
      <c r="G500" s="16" t="str">
        <f>IFERROR(IF([2]对账明细接口!$G$500=0,"",[2]对账明细接口!$G$500),"")</f>
        <v/>
      </c>
      <c r="H500" s="17" t="str">
        <f>IFERROR(IF([2]对账明细接口!$H$500=0,"",[2]对账明细接口!$H$500),"")</f>
        <v/>
      </c>
      <c r="I500" s="16" t="str">
        <f>IFERROR(IF([2]对账明细接口!$I$500=0,"",[2]对账明细接口!$I$500),"")</f>
        <v/>
      </c>
      <c r="J500" s="18" t="str">
        <f>IFERROR(IF([2]对账明细接口!$J$500=0,"",[2]对账明细接口!$J$500),"")</f>
        <v/>
      </c>
      <c r="K500" s="18" t="str">
        <f>IFERROR(IF([2]对账明细接口!$K$500=0,"",[2]对账明细接口!$K$500),"")</f>
        <v/>
      </c>
      <c r="L500" s="16" t="str">
        <f>IFERROR(IF([2]对账明细接口!$L$500=0,"",[2]对账明细接口!$L$500),"")</f>
        <v/>
      </c>
      <c r="M500" s="16" t="str">
        <f>IFERROR(IF([2]对账明细接口!$M$500=0,"",[2]对账明细接口!$M$500),"")</f>
        <v/>
      </c>
      <c r="N500" s="19">
        <f t="shared" si="42"/>
        <v>0</v>
      </c>
      <c r="O500" s="19">
        <f t="shared" si="43"/>
        <v>165</v>
      </c>
      <c r="S500" s="20" t="str">
        <f>IFERROR(IF([2]对账明细接口!$N500=0,"",[2]对账明细接口!$N500),"")</f>
        <v/>
      </c>
      <c r="T500" s="21" t="str">
        <f>IFERROR(IF([2]对账明细接口!$O500=0,"",[2]对账明细接口!$O500),"")</f>
        <v/>
      </c>
      <c r="U500" s="21" t="str">
        <f>IFERROR(IF([2]对账明细接口!$P500=0,"",[2]对账明细接口!$P500),"")</f>
        <v/>
      </c>
      <c r="V500" s="21" t="str">
        <f>IFERROR(IF([2]对账明细接口!$Q500=0,"",[2]对账明细接口!$Q500),"")</f>
        <v/>
      </c>
      <c r="W500" s="20" t="str">
        <f>IFERROR(IF([2]对账明细接口!$R500=0,"",[2]对账明细接口!$R500),"")</f>
        <v/>
      </c>
      <c r="X500" s="20" t="str">
        <f>IFERROR(IF([2]对账明细接口!$S500=0,"",[2]对账明细接口!$S500),"")</f>
        <v/>
      </c>
      <c r="Y500" s="20" t="str">
        <f t="shared" si="44"/>
        <v/>
      </c>
      <c r="Z500" s="20" t="str">
        <f t="shared" si="45"/>
        <v/>
      </c>
      <c r="AA500" s="20" t="str">
        <f t="shared" si="46"/>
        <v/>
      </c>
      <c r="AB500" s="20" t="str">
        <f t="shared" si="47"/>
        <v/>
      </c>
    </row>
    <row r="501" customHeight="1" spans="1:28">
      <c r="A501" s="14">
        <v>501</v>
      </c>
      <c r="B501" s="15" t="str">
        <f>IFERROR(IF([2]对账明细接口!$B$501=0,"",[2]对账明细接口!$B$501),"")</f>
        <v/>
      </c>
      <c r="C501" s="16" t="str">
        <f>IFERROR(IF([2]对账明细接口!$C$501=0,"",[2]对账明细接口!$C$501),"")</f>
        <v/>
      </c>
      <c r="D501" s="16" t="str">
        <f>IFERROR(IF([2]对账明细接口!$D$501=0,"",[2]对账明细接口!$D$501),"")</f>
        <v/>
      </c>
      <c r="E501" s="16" t="str">
        <f>IFERROR(IF([2]对账明细接口!$E$501=0,"",[2]对账明细接口!$E$501),"")</f>
        <v/>
      </c>
      <c r="F501" s="16" t="str">
        <f>IFERROR(IF([2]对账明细接口!$F$501=0,"",[2]对账明细接口!$F$501),"")</f>
        <v/>
      </c>
      <c r="G501" s="16" t="str">
        <f>IFERROR(IF([2]对账明细接口!$G$501=0,"",[2]对账明细接口!$G$501),"")</f>
        <v/>
      </c>
      <c r="H501" s="17" t="str">
        <f>IFERROR(IF([2]对账明细接口!$H$501=0,"",[2]对账明细接口!$H$501),"")</f>
        <v/>
      </c>
      <c r="I501" s="16" t="str">
        <f>IFERROR(IF([2]对账明细接口!$I$501=0,"",[2]对账明细接口!$I$501),"")</f>
        <v/>
      </c>
      <c r="J501" s="18" t="str">
        <f>IFERROR(IF([2]对账明细接口!$J$501=0,"",[2]对账明细接口!$J$501),"")</f>
        <v/>
      </c>
      <c r="K501" s="18" t="str">
        <f>IFERROR(IF([2]对账明细接口!$K$501=0,"",[2]对账明细接口!$K$501),"")</f>
        <v/>
      </c>
      <c r="L501" s="16" t="str">
        <f>IFERROR(IF([2]对账明细接口!$L$501=0,"",[2]对账明细接口!$L$501),"")</f>
        <v/>
      </c>
      <c r="M501" s="16" t="str">
        <f>IFERROR(IF([2]对账明细接口!$M$501=0,"",[2]对账明细接口!$M$501),"")</f>
        <v/>
      </c>
      <c r="N501" s="19">
        <f t="shared" si="42"/>
        <v>0</v>
      </c>
      <c r="O501" s="19">
        <f t="shared" si="43"/>
        <v>165</v>
      </c>
      <c r="S501" s="20" t="str">
        <f>IFERROR(IF([2]对账明细接口!$N501=0,"",[2]对账明细接口!$N501),"")</f>
        <v/>
      </c>
      <c r="T501" s="21" t="str">
        <f>IFERROR(IF([2]对账明细接口!$O501=0,"",[2]对账明细接口!$O501),"")</f>
        <v/>
      </c>
      <c r="U501" s="21" t="str">
        <f>IFERROR(IF([2]对账明细接口!$P501=0,"",[2]对账明细接口!$P501),"")</f>
        <v/>
      </c>
      <c r="V501" s="21" t="str">
        <f>IFERROR(IF([2]对账明细接口!$Q501=0,"",[2]对账明细接口!$Q501),"")</f>
        <v/>
      </c>
      <c r="W501" s="20" t="str">
        <f>IFERROR(IF([2]对账明细接口!$R501=0,"",[2]对账明细接口!$R501),"")</f>
        <v/>
      </c>
      <c r="X501" s="20" t="str">
        <f>IFERROR(IF([2]对账明细接口!$S501=0,"",[2]对账明细接口!$S501),"")</f>
        <v/>
      </c>
      <c r="Y501" s="20" t="str">
        <f t="shared" si="44"/>
        <v/>
      </c>
      <c r="Z501" s="20" t="str">
        <f t="shared" si="45"/>
        <v/>
      </c>
      <c r="AA501" s="20" t="str">
        <f t="shared" si="46"/>
        <v/>
      </c>
      <c r="AB501" s="20" t="str">
        <f t="shared" si="47"/>
        <v/>
      </c>
    </row>
    <row r="502" customHeight="1" spans="1:28">
      <c r="A502" s="14">
        <v>502</v>
      </c>
      <c r="B502" s="15" t="str">
        <f>IFERROR(IF([2]对账明细接口!$B$502=0,"",[2]对账明细接口!$B$502),"")</f>
        <v/>
      </c>
      <c r="C502" s="16" t="str">
        <f>IFERROR(IF([2]对账明细接口!$C$502=0,"",[2]对账明细接口!$C$502),"")</f>
        <v/>
      </c>
      <c r="D502" s="16" t="str">
        <f>IFERROR(IF([2]对账明细接口!$D$502=0,"",[2]对账明细接口!$D$502),"")</f>
        <v/>
      </c>
      <c r="E502" s="16" t="str">
        <f>IFERROR(IF([2]对账明细接口!$E$502=0,"",[2]对账明细接口!$E$502),"")</f>
        <v/>
      </c>
      <c r="F502" s="16" t="str">
        <f>IFERROR(IF([2]对账明细接口!$F$502=0,"",[2]对账明细接口!$F$502),"")</f>
        <v/>
      </c>
      <c r="G502" s="16" t="str">
        <f>IFERROR(IF([2]对账明细接口!$G$502=0,"",[2]对账明细接口!$G$502),"")</f>
        <v/>
      </c>
      <c r="H502" s="17" t="str">
        <f>IFERROR(IF([2]对账明细接口!$H$502=0,"",[2]对账明细接口!$H$502),"")</f>
        <v/>
      </c>
      <c r="I502" s="16" t="str">
        <f>IFERROR(IF([2]对账明细接口!$I$502=0,"",[2]对账明细接口!$I$502),"")</f>
        <v/>
      </c>
      <c r="J502" s="18" t="str">
        <f>IFERROR(IF([2]对账明细接口!$J$502=0,"",[2]对账明细接口!$J$502),"")</f>
        <v/>
      </c>
      <c r="K502" s="18" t="str">
        <f>IFERROR(IF([2]对账明细接口!$K$502=0,"",[2]对账明细接口!$K$502),"")</f>
        <v/>
      </c>
      <c r="L502" s="16" t="str">
        <f>IFERROR(IF([2]对账明细接口!$L$502=0,"",[2]对账明细接口!$L$502),"")</f>
        <v/>
      </c>
      <c r="M502" s="16" t="str">
        <f>IFERROR(IF([2]对账明细接口!$M$502=0,"",[2]对账明细接口!$M$502),"")</f>
        <v/>
      </c>
      <c r="N502" s="19">
        <f t="shared" si="42"/>
        <v>0</v>
      </c>
      <c r="O502" s="19">
        <f t="shared" si="43"/>
        <v>165</v>
      </c>
      <c r="S502" s="20" t="str">
        <f>IFERROR(IF([2]对账明细接口!$N502=0,"",[2]对账明细接口!$N502),"")</f>
        <v/>
      </c>
      <c r="T502" s="21" t="str">
        <f>IFERROR(IF([2]对账明细接口!$O502=0,"",[2]对账明细接口!$O502),"")</f>
        <v/>
      </c>
      <c r="U502" s="21" t="str">
        <f>IFERROR(IF([2]对账明细接口!$P502=0,"",[2]对账明细接口!$P502),"")</f>
        <v/>
      </c>
      <c r="V502" s="21" t="str">
        <f>IFERROR(IF([2]对账明细接口!$Q502=0,"",[2]对账明细接口!$Q502),"")</f>
        <v/>
      </c>
      <c r="W502" s="20" t="str">
        <f>IFERROR(IF([2]对账明细接口!$R502=0,"",[2]对账明细接口!$R502),"")</f>
        <v/>
      </c>
      <c r="X502" s="20" t="str">
        <f>IFERROR(IF([2]对账明细接口!$S502=0,"",[2]对账明细接口!$S502),"")</f>
        <v/>
      </c>
      <c r="Y502" s="20" t="str">
        <f t="shared" si="44"/>
        <v/>
      </c>
      <c r="Z502" s="20" t="str">
        <f t="shared" si="45"/>
        <v/>
      </c>
      <c r="AA502" s="20" t="str">
        <f t="shared" si="46"/>
        <v/>
      </c>
      <c r="AB502" s="20" t="str">
        <f t="shared" si="47"/>
        <v/>
      </c>
    </row>
    <row r="503" customHeight="1" spans="1:28">
      <c r="A503" s="14">
        <v>503</v>
      </c>
      <c r="B503" s="15" t="str">
        <f>IFERROR(IF([2]对账明细接口!$B$503=0,"",[2]对账明细接口!$B$503),"")</f>
        <v/>
      </c>
      <c r="C503" s="16" t="str">
        <f>IFERROR(IF([2]对账明细接口!$C$503=0,"",[2]对账明细接口!$C$503),"")</f>
        <v/>
      </c>
      <c r="D503" s="16" t="str">
        <f>IFERROR(IF([2]对账明细接口!$D$503=0,"",[2]对账明细接口!$D$503),"")</f>
        <v/>
      </c>
      <c r="E503" s="16" t="str">
        <f>IFERROR(IF([2]对账明细接口!$E$503=0,"",[2]对账明细接口!$E$503),"")</f>
        <v/>
      </c>
      <c r="F503" s="16" t="str">
        <f>IFERROR(IF([2]对账明细接口!$F$503=0,"",[2]对账明细接口!$F$503),"")</f>
        <v/>
      </c>
      <c r="G503" s="16" t="str">
        <f>IFERROR(IF([2]对账明细接口!$G$503=0,"",[2]对账明细接口!$G$503),"")</f>
        <v/>
      </c>
      <c r="H503" s="17" t="str">
        <f>IFERROR(IF([2]对账明细接口!$H$503=0,"",[2]对账明细接口!$H$503),"")</f>
        <v/>
      </c>
      <c r="I503" s="16" t="str">
        <f>IFERROR(IF([2]对账明细接口!$I$503=0,"",[2]对账明细接口!$I$503),"")</f>
        <v/>
      </c>
      <c r="J503" s="18" t="str">
        <f>IFERROR(IF([2]对账明细接口!$J$503=0,"",[2]对账明细接口!$J$503),"")</f>
        <v/>
      </c>
      <c r="K503" s="18" t="str">
        <f>IFERROR(IF([2]对账明细接口!$K$503=0,"",[2]对账明细接口!$K$503),"")</f>
        <v/>
      </c>
      <c r="L503" s="16" t="str">
        <f>IFERROR(IF([2]对账明细接口!$L$503=0,"",[2]对账明细接口!$L$503),"")</f>
        <v/>
      </c>
      <c r="M503" s="16" t="str">
        <f>IFERROR(IF([2]对账明细接口!$M$503=0,"",[2]对账明细接口!$M$503),"")</f>
        <v/>
      </c>
      <c r="N503" s="19">
        <f t="shared" si="42"/>
        <v>0</v>
      </c>
      <c r="O503" s="19">
        <f t="shared" si="43"/>
        <v>165</v>
      </c>
      <c r="S503" s="20" t="str">
        <f>IFERROR(IF([2]对账明细接口!$N503=0,"",[2]对账明细接口!$N503),"")</f>
        <v/>
      </c>
      <c r="T503" s="21" t="str">
        <f>IFERROR(IF([2]对账明细接口!$O503=0,"",[2]对账明细接口!$O503),"")</f>
        <v/>
      </c>
      <c r="U503" s="21" t="str">
        <f>IFERROR(IF([2]对账明细接口!$P503=0,"",[2]对账明细接口!$P503),"")</f>
        <v/>
      </c>
      <c r="V503" s="21" t="str">
        <f>IFERROR(IF([2]对账明细接口!$Q503=0,"",[2]对账明细接口!$Q503),"")</f>
        <v/>
      </c>
      <c r="W503" s="20" t="str">
        <f>IFERROR(IF([2]对账明细接口!$R503=0,"",[2]对账明细接口!$R503),"")</f>
        <v/>
      </c>
      <c r="X503" s="20" t="str">
        <f>IFERROR(IF([2]对账明细接口!$S503=0,"",[2]对账明细接口!$S503),"")</f>
        <v/>
      </c>
      <c r="Y503" s="20" t="str">
        <f t="shared" si="44"/>
        <v/>
      </c>
      <c r="Z503" s="20" t="str">
        <f t="shared" si="45"/>
        <v/>
      </c>
      <c r="AA503" s="20" t="str">
        <f t="shared" si="46"/>
        <v/>
      </c>
      <c r="AB503" s="20" t="str">
        <f t="shared" si="47"/>
        <v/>
      </c>
    </row>
    <row r="504" customHeight="1" spans="1:28">
      <c r="A504" s="14">
        <v>504</v>
      </c>
      <c r="B504" s="15" t="str">
        <f>IFERROR(IF([2]对账明细接口!$B$504=0,"",[2]对账明细接口!$B$504),"")</f>
        <v/>
      </c>
      <c r="C504" s="16" t="str">
        <f>IFERROR(IF([2]对账明细接口!$C$504=0,"",[2]对账明细接口!$C$504),"")</f>
        <v/>
      </c>
      <c r="D504" s="16" t="str">
        <f>IFERROR(IF([2]对账明细接口!$D$504=0,"",[2]对账明细接口!$D$504),"")</f>
        <v/>
      </c>
      <c r="E504" s="16" t="str">
        <f>IFERROR(IF([2]对账明细接口!$E$504=0,"",[2]对账明细接口!$E$504),"")</f>
        <v/>
      </c>
      <c r="F504" s="16" t="str">
        <f>IFERROR(IF([2]对账明细接口!$F$504=0,"",[2]对账明细接口!$F$504),"")</f>
        <v/>
      </c>
      <c r="G504" s="16" t="str">
        <f>IFERROR(IF([2]对账明细接口!$G$504=0,"",[2]对账明细接口!$G$504),"")</f>
        <v/>
      </c>
      <c r="H504" s="17" t="str">
        <f>IFERROR(IF([2]对账明细接口!$H$504=0,"",[2]对账明细接口!$H$504),"")</f>
        <v/>
      </c>
      <c r="I504" s="16" t="str">
        <f>IFERROR(IF([2]对账明细接口!$I$504=0,"",[2]对账明细接口!$I$504),"")</f>
        <v/>
      </c>
      <c r="J504" s="18" t="str">
        <f>IFERROR(IF([2]对账明细接口!$J$504=0,"",[2]对账明细接口!$J$504),"")</f>
        <v/>
      </c>
      <c r="K504" s="18" t="str">
        <f>IFERROR(IF([2]对账明细接口!$K$504=0,"",[2]对账明细接口!$K$504),"")</f>
        <v/>
      </c>
      <c r="L504" s="16" t="str">
        <f>IFERROR(IF([2]对账明细接口!$L$504=0,"",[2]对账明细接口!$L$504),"")</f>
        <v/>
      </c>
      <c r="M504" s="16" t="str">
        <f>IFERROR(IF([2]对账明细接口!$M$504=0,"",[2]对账明细接口!$M$504),"")</f>
        <v/>
      </c>
      <c r="N504" s="19">
        <f t="shared" si="42"/>
        <v>0</v>
      </c>
      <c r="O504" s="19">
        <f t="shared" si="43"/>
        <v>165</v>
      </c>
      <c r="S504" s="20" t="str">
        <f>IFERROR(IF([2]对账明细接口!$N504=0,"",[2]对账明细接口!$N504),"")</f>
        <v/>
      </c>
      <c r="T504" s="21" t="str">
        <f>IFERROR(IF([2]对账明细接口!$O504=0,"",[2]对账明细接口!$O504),"")</f>
        <v/>
      </c>
      <c r="U504" s="21" t="str">
        <f>IFERROR(IF([2]对账明细接口!$P504=0,"",[2]对账明细接口!$P504),"")</f>
        <v/>
      </c>
      <c r="V504" s="21" t="str">
        <f>IFERROR(IF([2]对账明细接口!$Q504=0,"",[2]对账明细接口!$Q504),"")</f>
        <v/>
      </c>
      <c r="W504" s="20" t="str">
        <f>IFERROR(IF([2]对账明细接口!$R504=0,"",[2]对账明细接口!$R504),"")</f>
        <v/>
      </c>
      <c r="X504" s="20" t="str">
        <f>IFERROR(IF([2]对账明细接口!$S504=0,"",[2]对账明细接口!$S504),"")</f>
        <v/>
      </c>
      <c r="Y504" s="20" t="str">
        <f t="shared" si="44"/>
        <v/>
      </c>
      <c r="Z504" s="20" t="str">
        <f t="shared" si="45"/>
        <v/>
      </c>
      <c r="AA504" s="20" t="str">
        <f t="shared" si="46"/>
        <v/>
      </c>
      <c r="AB504" s="20" t="str">
        <f t="shared" si="47"/>
        <v/>
      </c>
    </row>
    <row r="505" customHeight="1" spans="1:28">
      <c r="A505" s="14">
        <v>505</v>
      </c>
      <c r="B505" s="15" t="str">
        <f>IFERROR(IF([2]对账明细接口!$B$505=0,"",[2]对账明细接口!$B$505),"")</f>
        <v/>
      </c>
      <c r="C505" s="16" t="str">
        <f>IFERROR(IF([2]对账明细接口!$C$505=0,"",[2]对账明细接口!$C$505),"")</f>
        <v/>
      </c>
      <c r="D505" s="16" t="str">
        <f>IFERROR(IF([2]对账明细接口!$D$505=0,"",[2]对账明细接口!$D$505),"")</f>
        <v/>
      </c>
      <c r="E505" s="16" t="str">
        <f>IFERROR(IF([2]对账明细接口!$E$505=0,"",[2]对账明细接口!$E$505),"")</f>
        <v/>
      </c>
      <c r="F505" s="16" t="str">
        <f>IFERROR(IF([2]对账明细接口!$F$505=0,"",[2]对账明细接口!$F$505),"")</f>
        <v/>
      </c>
      <c r="G505" s="16" t="str">
        <f>IFERROR(IF([2]对账明细接口!$G$505=0,"",[2]对账明细接口!$G$505),"")</f>
        <v/>
      </c>
      <c r="H505" s="17" t="str">
        <f>IFERROR(IF([2]对账明细接口!$H$505=0,"",[2]对账明细接口!$H$505),"")</f>
        <v/>
      </c>
      <c r="I505" s="16" t="str">
        <f>IFERROR(IF([2]对账明细接口!$I$505=0,"",[2]对账明细接口!$I$505),"")</f>
        <v/>
      </c>
      <c r="J505" s="18" t="str">
        <f>IFERROR(IF([2]对账明细接口!$J$505=0,"",[2]对账明细接口!$J$505),"")</f>
        <v/>
      </c>
      <c r="K505" s="18" t="str">
        <f>IFERROR(IF([2]对账明细接口!$K$505=0,"",[2]对账明细接口!$K$505),"")</f>
        <v/>
      </c>
      <c r="L505" s="16" t="str">
        <f>IFERROR(IF([2]对账明细接口!$L$505=0,"",[2]对账明细接口!$L$505),"")</f>
        <v/>
      </c>
      <c r="M505" s="16" t="str">
        <f>IFERROR(IF([2]对账明细接口!$M$505=0,"",[2]对账明细接口!$M$505),"")</f>
        <v/>
      </c>
      <c r="N505" s="19">
        <f t="shared" si="42"/>
        <v>0</v>
      </c>
      <c r="O505" s="19">
        <f t="shared" si="43"/>
        <v>165</v>
      </c>
      <c r="S505" s="20" t="str">
        <f>IFERROR(IF([2]对账明细接口!$N505=0,"",[2]对账明细接口!$N505),"")</f>
        <v/>
      </c>
      <c r="T505" s="21" t="str">
        <f>IFERROR(IF([2]对账明细接口!$O505=0,"",[2]对账明细接口!$O505),"")</f>
        <v/>
      </c>
      <c r="U505" s="21" t="str">
        <f>IFERROR(IF([2]对账明细接口!$P505=0,"",[2]对账明细接口!$P505),"")</f>
        <v/>
      </c>
      <c r="V505" s="21" t="str">
        <f>IFERROR(IF([2]对账明细接口!$Q505=0,"",[2]对账明细接口!$Q505),"")</f>
        <v/>
      </c>
      <c r="W505" s="20" t="str">
        <f>IFERROR(IF([2]对账明细接口!$R505=0,"",[2]对账明细接口!$R505),"")</f>
        <v/>
      </c>
      <c r="X505" s="20" t="str">
        <f>IFERROR(IF([2]对账明细接口!$S505=0,"",[2]对账明细接口!$S505),"")</f>
        <v/>
      </c>
      <c r="Y505" s="20" t="str">
        <f t="shared" si="44"/>
        <v/>
      </c>
      <c r="Z505" s="20" t="str">
        <f t="shared" si="45"/>
        <v/>
      </c>
      <c r="AA505" s="20" t="str">
        <f t="shared" si="46"/>
        <v/>
      </c>
      <c r="AB505" s="20" t="str">
        <f t="shared" si="47"/>
        <v/>
      </c>
    </row>
    <row r="506" customHeight="1" spans="1:28">
      <c r="A506" s="14">
        <v>506</v>
      </c>
      <c r="B506" s="15" t="str">
        <f>IFERROR(IF([2]对账明细接口!$B$506=0,"",[2]对账明细接口!$B$506),"")</f>
        <v/>
      </c>
      <c r="C506" s="16" t="str">
        <f>IFERROR(IF([2]对账明细接口!$C$506=0,"",[2]对账明细接口!$C$506),"")</f>
        <v/>
      </c>
      <c r="D506" s="16" t="str">
        <f>IFERROR(IF([2]对账明细接口!$D$506=0,"",[2]对账明细接口!$D$506),"")</f>
        <v/>
      </c>
      <c r="E506" s="16" t="str">
        <f>IFERROR(IF([2]对账明细接口!$E$506=0,"",[2]对账明细接口!$E$506),"")</f>
        <v/>
      </c>
      <c r="F506" s="16" t="str">
        <f>IFERROR(IF([2]对账明细接口!$F$506=0,"",[2]对账明细接口!$F$506),"")</f>
        <v/>
      </c>
      <c r="G506" s="16" t="str">
        <f>IFERROR(IF([2]对账明细接口!$G$506=0,"",[2]对账明细接口!$G$506),"")</f>
        <v/>
      </c>
      <c r="H506" s="17" t="str">
        <f>IFERROR(IF([2]对账明细接口!$H$506=0,"",[2]对账明细接口!$H$506),"")</f>
        <v/>
      </c>
      <c r="I506" s="16" t="str">
        <f>IFERROR(IF([2]对账明细接口!$I$506=0,"",[2]对账明细接口!$I$506),"")</f>
        <v/>
      </c>
      <c r="J506" s="18" t="str">
        <f>IFERROR(IF([2]对账明细接口!$J$506=0,"",[2]对账明细接口!$J$506),"")</f>
        <v/>
      </c>
      <c r="K506" s="18" t="str">
        <f>IFERROR(IF([2]对账明细接口!$K$506=0,"",[2]对账明细接口!$K$506),"")</f>
        <v/>
      </c>
      <c r="L506" s="16" t="str">
        <f>IFERROR(IF([2]对账明细接口!$L$506=0,"",[2]对账明细接口!$L$506),"")</f>
        <v/>
      </c>
      <c r="M506" s="16" t="str">
        <f>IFERROR(IF([2]对账明细接口!$M$506=0,"",[2]对账明细接口!$M$506),"")</f>
        <v/>
      </c>
      <c r="N506" s="19">
        <f t="shared" si="42"/>
        <v>0</v>
      </c>
      <c r="O506" s="19">
        <f t="shared" si="43"/>
        <v>165</v>
      </c>
      <c r="S506" s="20" t="str">
        <f>IFERROR(IF([2]对账明细接口!$N506=0,"",[2]对账明细接口!$N506),"")</f>
        <v/>
      </c>
      <c r="T506" s="21" t="str">
        <f>IFERROR(IF([2]对账明细接口!$O506=0,"",[2]对账明细接口!$O506),"")</f>
        <v/>
      </c>
      <c r="U506" s="21" t="str">
        <f>IFERROR(IF([2]对账明细接口!$P506=0,"",[2]对账明细接口!$P506),"")</f>
        <v/>
      </c>
      <c r="V506" s="21" t="str">
        <f>IFERROR(IF([2]对账明细接口!$Q506=0,"",[2]对账明细接口!$Q506),"")</f>
        <v/>
      </c>
      <c r="W506" s="20" t="str">
        <f>IFERROR(IF([2]对账明细接口!$R506=0,"",[2]对账明细接口!$R506),"")</f>
        <v/>
      </c>
      <c r="X506" s="20" t="str">
        <f>IFERROR(IF([2]对账明细接口!$S506=0,"",[2]对账明细接口!$S506),"")</f>
        <v/>
      </c>
      <c r="Y506" s="20" t="str">
        <f t="shared" si="44"/>
        <v/>
      </c>
      <c r="Z506" s="20" t="str">
        <f t="shared" si="45"/>
        <v/>
      </c>
      <c r="AA506" s="20" t="str">
        <f t="shared" si="46"/>
        <v/>
      </c>
      <c r="AB506" s="20" t="str">
        <f t="shared" si="47"/>
        <v/>
      </c>
    </row>
    <row r="507" customHeight="1" spans="1:28">
      <c r="A507" s="14">
        <v>507</v>
      </c>
      <c r="B507" s="15" t="str">
        <f>IFERROR(IF([2]对账明细接口!$B$507=0,"",[2]对账明细接口!$B$507),"")</f>
        <v/>
      </c>
      <c r="C507" s="16" t="str">
        <f>IFERROR(IF([2]对账明细接口!$C$507=0,"",[2]对账明细接口!$C$507),"")</f>
        <v/>
      </c>
      <c r="D507" s="16" t="str">
        <f>IFERROR(IF([2]对账明细接口!$D$507=0,"",[2]对账明细接口!$D$507),"")</f>
        <v/>
      </c>
      <c r="E507" s="16" t="str">
        <f>IFERROR(IF([2]对账明细接口!$E$507=0,"",[2]对账明细接口!$E$507),"")</f>
        <v/>
      </c>
      <c r="F507" s="16" t="str">
        <f>IFERROR(IF([2]对账明细接口!$F$507=0,"",[2]对账明细接口!$F$507),"")</f>
        <v/>
      </c>
      <c r="G507" s="16" t="str">
        <f>IFERROR(IF([2]对账明细接口!$G$507=0,"",[2]对账明细接口!$G$507),"")</f>
        <v/>
      </c>
      <c r="H507" s="17" t="str">
        <f>IFERROR(IF([2]对账明细接口!$H$507=0,"",[2]对账明细接口!$H$507),"")</f>
        <v/>
      </c>
      <c r="I507" s="16" t="str">
        <f>IFERROR(IF([2]对账明细接口!$I$507=0,"",[2]对账明细接口!$I$507),"")</f>
        <v/>
      </c>
      <c r="J507" s="18" t="str">
        <f>IFERROR(IF([2]对账明细接口!$J$507=0,"",[2]对账明细接口!$J$507),"")</f>
        <v/>
      </c>
      <c r="K507" s="18" t="str">
        <f>IFERROR(IF([2]对账明细接口!$K$507=0,"",[2]对账明细接口!$K$507),"")</f>
        <v/>
      </c>
      <c r="L507" s="16" t="str">
        <f>IFERROR(IF([2]对账明细接口!$L$507=0,"",[2]对账明细接口!$L$507),"")</f>
        <v/>
      </c>
      <c r="M507" s="16" t="str">
        <f>IFERROR(IF([2]对账明细接口!$M$507=0,"",[2]对账明细接口!$M$507),"")</f>
        <v/>
      </c>
      <c r="N507" s="19">
        <f t="shared" si="42"/>
        <v>0</v>
      </c>
      <c r="O507" s="19">
        <f t="shared" si="43"/>
        <v>165</v>
      </c>
      <c r="S507" s="20" t="str">
        <f>IFERROR(IF([2]对账明细接口!$N507=0,"",[2]对账明细接口!$N507),"")</f>
        <v/>
      </c>
      <c r="T507" s="21" t="str">
        <f>IFERROR(IF([2]对账明细接口!$O507=0,"",[2]对账明细接口!$O507),"")</f>
        <v/>
      </c>
      <c r="U507" s="21" t="str">
        <f>IFERROR(IF([2]对账明细接口!$P507=0,"",[2]对账明细接口!$P507),"")</f>
        <v/>
      </c>
      <c r="V507" s="21" t="str">
        <f>IFERROR(IF([2]对账明细接口!$Q507=0,"",[2]对账明细接口!$Q507),"")</f>
        <v/>
      </c>
      <c r="W507" s="20" t="str">
        <f>IFERROR(IF([2]对账明细接口!$R507=0,"",[2]对账明细接口!$R507),"")</f>
        <v/>
      </c>
      <c r="X507" s="20" t="str">
        <f>IFERROR(IF([2]对账明细接口!$S507=0,"",[2]对账明细接口!$S507),"")</f>
        <v/>
      </c>
      <c r="Y507" s="20" t="str">
        <f t="shared" si="44"/>
        <v/>
      </c>
      <c r="Z507" s="20" t="str">
        <f t="shared" si="45"/>
        <v/>
      </c>
      <c r="AA507" s="20" t="str">
        <f t="shared" si="46"/>
        <v/>
      </c>
      <c r="AB507" s="20" t="str">
        <f t="shared" si="47"/>
        <v/>
      </c>
    </row>
    <row r="508" customHeight="1" spans="1:28">
      <c r="A508" s="14">
        <v>508</v>
      </c>
      <c r="B508" s="15" t="str">
        <f>IFERROR(IF([2]对账明细接口!$B$508=0,"",[2]对账明细接口!$B$508),"")</f>
        <v/>
      </c>
      <c r="C508" s="16" t="str">
        <f>IFERROR(IF([2]对账明细接口!$C$508=0,"",[2]对账明细接口!$C$508),"")</f>
        <v/>
      </c>
      <c r="D508" s="16" t="str">
        <f>IFERROR(IF([2]对账明细接口!$D$508=0,"",[2]对账明细接口!$D$508),"")</f>
        <v/>
      </c>
      <c r="E508" s="16" t="str">
        <f>IFERROR(IF([2]对账明细接口!$E$508=0,"",[2]对账明细接口!$E$508),"")</f>
        <v/>
      </c>
      <c r="F508" s="16" t="str">
        <f>IFERROR(IF([2]对账明细接口!$F$508=0,"",[2]对账明细接口!$F$508),"")</f>
        <v/>
      </c>
      <c r="G508" s="16" t="str">
        <f>IFERROR(IF([2]对账明细接口!$G$508=0,"",[2]对账明细接口!$G$508),"")</f>
        <v/>
      </c>
      <c r="H508" s="17" t="str">
        <f>IFERROR(IF([2]对账明细接口!$H$508=0,"",[2]对账明细接口!$H$508),"")</f>
        <v/>
      </c>
      <c r="I508" s="16" t="str">
        <f>IFERROR(IF([2]对账明细接口!$I$508=0,"",[2]对账明细接口!$I$508),"")</f>
        <v/>
      </c>
      <c r="J508" s="18" t="str">
        <f>IFERROR(IF([2]对账明细接口!$J$508=0,"",[2]对账明细接口!$J$508),"")</f>
        <v/>
      </c>
      <c r="K508" s="18" t="str">
        <f>IFERROR(IF([2]对账明细接口!$K$508=0,"",[2]对账明细接口!$K$508),"")</f>
        <v/>
      </c>
      <c r="L508" s="16" t="str">
        <f>IFERROR(IF([2]对账明细接口!$L$508=0,"",[2]对账明细接口!$L$508),"")</f>
        <v/>
      </c>
      <c r="M508" s="16" t="str">
        <f>IFERROR(IF([2]对账明细接口!$M$508=0,"",[2]对账明细接口!$M$508),"")</f>
        <v/>
      </c>
      <c r="N508" s="19">
        <f t="shared" si="42"/>
        <v>0</v>
      </c>
      <c r="O508" s="19">
        <f t="shared" si="43"/>
        <v>165</v>
      </c>
      <c r="S508" s="20" t="str">
        <f>IFERROR(IF([2]对账明细接口!$N508=0,"",[2]对账明细接口!$N508),"")</f>
        <v/>
      </c>
      <c r="T508" s="21" t="str">
        <f>IFERROR(IF([2]对账明细接口!$O508=0,"",[2]对账明细接口!$O508),"")</f>
        <v/>
      </c>
      <c r="U508" s="21" t="str">
        <f>IFERROR(IF([2]对账明细接口!$P508=0,"",[2]对账明细接口!$P508),"")</f>
        <v/>
      </c>
      <c r="V508" s="21" t="str">
        <f>IFERROR(IF([2]对账明细接口!$Q508=0,"",[2]对账明细接口!$Q508),"")</f>
        <v/>
      </c>
      <c r="W508" s="20" t="str">
        <f>IFERROR(IF([2]对账明细接口!$R508=0,"",[2]对账明细接口!$R508),"")</f>
        <v/>
      </c>
      <c r="X508" s="20" t="str">
        <f>IFERROR(IF([2]对账明细接口!$S508=0,"",[2]对账明细接口!$S508),"")</f>
        <v/>
      </c>
      <c r="Y508" s="20" t="str">
        <f t="shared" si="44"/>
        <v/>
      </c>
      <c r="Z508" s="20" t="str">
        <f t="shared" si="45"/>
        <v/>
      </c>
      <c r="AA508" s="20" t="str">
        <f t="shared" si="46"/>
        <v/>
      </c>
      <c r="AB508" s="20" t="str">
        <f t="shared" si="47"/>
        <v/>
      </c>
    </row>
    <row r="509" customHeight="1" spans="1:28">
      <c r="A509" s="14">
        <v>509</v>
      </c>
      <c r="B509" s="15" t="str">
        <f>IFERROR(IF([2]对账明细接口!$B$509=0,"",[2]对账明细接口!$B$509),"")</f>
        <v/>
      </c>
      <c r="C509" s="16" t="str">
        <f>IFERROR(IF([2]对账明细接口!$C$509=0,"",[2]对账明细接口!$C$509),"")</f>
        <v/>
      </c>
      <c r="D509" s="16" t="str">
        <f>IFERROR(IF([2]对账明细接口!$D$509=0,"",[2]对账明细接口!$D$509),"")</f>
        <v/>
      </c>
      <c r="E509" s="16" t="str">
        <f>IFERROR(IF([2]对账明细接口!$E$509=0,"",[2]对账明细接口!$E$509),"")</f>
        <v/>
      </c>
      <c r="F509" s="16" t="str">
        <f>IFERROR(IF([2]对账明细接口!$F$509=0,"",[2]对账明细接口!$F$509),"")</f>
        <v/>
      </c>
      <c r="G509" s="16" t="str">
        <f>IFERROR(IF([2]对账明细接口!$G$509=0,"",[2]对账明细接口!$G$509),"")</f>
        <v/>
      </c>
      <c r="H509" s="17" t="str">
        <f>IFERROR(IF([2]对账明细接口!$H$509=0,"",[2]对账明细接口!$H$509),"")</f>
        <v/>
      </c>
      <c r="I509" s="16" t="str">
        <f>IFERROR(IF([2]对账明细接口!$I$509=0,"",[2]对账明细接口!$I$509),"")</f>
        <v/>
      </c>
      <c r="J509" s="18" t="str">
        <f>IFERROR(IF([2]对账明细接口!$J$509=0,"",[2]对账明细接口!$J$509),"")</f>
        <v/>
      </c>
      <c r="K509" s="18" t="str">
        <f>IFERROR(IF([2]对账明细接口!$K$509=0,"",[2]对账明细接口!$K$509),"")</f>
        <v/>
      </c>
      <c r="L509" s="16" t="str">
        <f>IFERROR(IF([2]对账明细接口!$L$509=0,"",[2]对账明细接口!$L$509),"")</f>
        <v/>
      </c>
      <c r="M509" s="16" t="str">
        <f>IFERROR(IF([2]对账明细接口!$M$509=0,"",[2]对账明细接口!$M$509),"")</f>
        <v/>
      </c>
      <c r="N509" s="19">
        <f t="shared" si="42"/>
        <v>0</v>
      </c>
      <c r="O509" s="19">
        <f t="shared" si="43"/>
        <v>165</v>
      </c>
      <c r="S509" s="20" t="str">
        <f>IFERROR(IF([2]对账明细接口!$N509=0,"",[2]对账明细接口!$N509),"")</f>
        <v/>
      </c>
      <c r="T509" s="21" t="str">
        <f>IFERROR(IF([2]对账明细接口!$O509=0,"",[2]对账明细接口!$O509),"")</f>
        <v/>
      </c>
      <c r="U509" s="21" t="str">
        <f>IFERROR(IF([2]对账明细接口!$P509=0,"",[2]对账明细接口!$P509),"")</f>
        <v/>
      </c>
      <c r="V509" s="21" t="str">
        <f>IFERROR(IF([2]对账明细接口!$Q509=0,"",[2]对账明细接口!$Q509),"")</f>
        <v/>
      </c>
      <c r="W509" s="20" t="str">
        <f>IFERROR(IF([2]对账明细接口!$R509=0,"",[2]对账明细接口!$R509),"")</f>
        <v/>
      </c>
      <c r="X509" s="20" t="str">
        <f>IFERROR(IF([2]对账明细接口!$S509=0,"",[2]对账明细接口!$S509),"")</f>
        <v/>
      </c>
      <c r="Y509" s="20" t="str">
        <f t="shared" si="44"/>
        <v/>
      </c>
      <c r="Z509" s="20" t="str">
        <f t="shared" si="45"/>
        <v/>
      </c>
      <c r="AA509" s="20" t="str">
        <f t="shared" si="46"/>
        <v/>
      </c>
      <c r="AB509" s="20" t="str">
        <f t="shared" si="47"/>
        <v/>
      </c>
    </row>
    <row r="510" customHeight="1" spans="1:28">
      <c r="A510" s="14">
        <v>510</v>
      </c>
      <c r="B510" s="15" t="str">
        <f>IFERROR(IF([2]对账明细接口!$B$510=0,"",[2]对账明细接口!$B$510),"")</f>
        <v/>
      </c>
      <c r="C510" s="16" t="str">
        <f>IFERROR(IF([2]对账明细接口!$C$510=0,"",[2]对账明细接口!$C$510),"")</f>
        <v/>
      </c>
      <c r="D510" s="16" t="str">
        <f>IFERROR(IF([2]对账明细接口!$D$510=0,"",[2]对账明细接口!$D$510),"")</f>
        <v/>
      </c>
      <c r="E510" s="16" t="str">
        <f>IFERROR(IF([2]对账明细接口!$E$510=0,"",[2]对账明细接口!$E$510),"")</f>
        <v/>
      </c>
      <c r="F510" s="16" t="str">
        <f>IFERROR(IF([2]对账明细接口!$F$510=0,"",[2]对账明细接口!$F$510),"")</f>
        <v/>
      </c>
      <c r="G510" s="16" t="str">
        <f>IFERROR(IF([2]对账明细接口!$G$510=0,"",[2]对账明细接口!$G$510),"")</f>
        <v/>
      </c>
      <c r="H510" s="17" t="str">
        <f>IFERROR(IF([2]对账明细接口!$H$510=0,"",[2]对账明细接口!$H$510),"")</f>
        <v/>
      </c>
      <c r="I510" s="16" t="str">
        <f>IFERROR(IF([2]对账明细接口!$I$510=0,"",[2]对账明细接口!$I$510),"")</f>
        <v/>
      </c>
      <c r="J510" s="18" t="str">
        <f>IFERROR(IF([2]对账明细接口!$J$510=0,"",[2]对账明细接口!$J$510),"")</f>
        <v/>
      </c>
      <c r="K510" s="18" t="str">
        <f>IFERROR(IF([2]对账明细接口!$K$510=0,"",[2]对账明细接口!$K$510),"")</f>
        <v/>
      </c>
      <c r="L510" s="16" t="str">
        <f>IFERROR(IF([2]对账明细接口!$L$510=0,"",[2]对账明细接口!$L$510),"")</f>
        <v/>
      </c>
      <c r="M510" s="16" t="str">
        <f>IFERROR(IF([2]对账明细接口!$M$510=0,"",[2]对账明细接口!$M$510),"")</f>
        <v/>
      </c>
      <c r="N510" s="19">
        <f t="shared" si="42"/>
        <v>0</v>
      </c>
      <c r="O510" s="19">
        <f t="shared" si="43"/>
        <v>165</v>
      </c>
      <c r="S510" s="20" t="str">
        <f>IFERROR(IF([2]对账明细接口!$N510=0,"",[2]对账明细接口!$N510),"")</f>
        <v/>
      </c>
      <c r="T510" s="21" t="str">
        <f>IFERROR(IF([2]对账明细接口!$O510=0,"",[2]对账明细接口!$O510),"")</f>
        <v/>
      </c>
      <c r="U510" s="21" t="str">
        <f>IFERROR(IF([2]对账明细接口!$P510=0,"",[2]对账明细接口!$P510),"")</f>
        <v/>
      </c>
      <c r="V510" s="21" t="str">
        <f>IFERROR(IF([2]对账明细接口!$Q510=0,"",[2]对账明细接口!$Q510),"")</f>
        <v/>
      </c>
      <c r="W510" s="20" t="str">
        <f>IFERROR(IF([2]对账明细接口!$R510=0,"",[2]对账明细接口!$R510),"")</f>
        <v/>
      </c>
      <c r="X510" s="20" t="str">
        <f>IFERROR(IF([2]对账明细接口!$S510=0,"",[2]对账明细接口!$S510),"")</f>
        <v/>
      </c>
      <c r="Y510" s="20" t="str">
        <f t="shared" si="44"/>
        <v/>
      </c>
      <c r="Z510" s="20" t="str">
        <f t="shared" si="45"/>
        <v/>
      </c>
      <c r="AA510" s="20" t="str">
        <f t="shared" si="46"/>
        <v/>
      </c>
      <c r="AB510" s="20" t="str">
        <f t="shared" si="47"/>
        <v/>
      </c>
    </row>
    <row r="511" customHeight="1" spans="1:28">
      <c r="A511" s="14">
        <v>511</v>
      </c>
      <c r="B511" s="15" t="str">
        <f>IFERROR(IF([2]对账明细接口!$B$511=0,"",[2]对账明细接口!$B$511),"")</f>
        <v/>
      </c>
      <c r="C511" s="16" t="str">
        <f>IFERROR(IF([2]对账明细接口!$C$511=0,"",[2]对账明细接口!$C$511),"")</f>
        <v/>
      </c>
      <c r="D511" s="16" t="str">
        <f>IFERROR(IF([2]对账明细接口!$D$511=0,"",[2]对账明细接口!$D$511),"")</f>
        <v/>
      </c>
      <c r="E511" s="16" t="str">
        <f>IFERROR(IF([2]对账明细接口!$E$511=0,"",[2]对账明细接口!$E$511),"")</f>
        <v/>
      </c>
      <c r="F511" s="16" t="str">
        <f>IFERROR(IF([2]对账明细接口!$F$511=0,"",[2]对账明细接口!$F$511),"")</f>
        <v/>
      </c>
      <c r="G511" s="16" t="str">
        <f>IFERROR(IF([2]对账明细接口!$G$511=0,"",[2]对账明细接口!$G$511),"")</f>
        <v/>
      </c>
      <c r="H511" s="17" t="str">
        <f>IFERROR(IF([2]对账明细接口!$H$511=0,"",[2]对账明细接口!$H$511),"")</f>
        <v/>
      </c>
      <c r="I511" s="16" t="str">
        <f>IFERROR(IF([2]对账明细接口!$I$511=0,"",[2]对账明细接口!$I$511),"")</f>
        <v/>
      </c>
      <c r="J511" s="18" t="str">
        <f>IFERROR(IF([2]对账明细接口!$J$511=0,"",[2]对账明细接口!$J$511),"")</f>
        <v/>
      </c>
      <c r="K511" s="18" t="str">
        <f>IFERROR(IF([2]对账明细接口!$K$511=0,"",[2]对账明细接口!$K$511),"")</f>
        <v/>
      </c>
      <c r="L511" s="16" t="str">
        <f>IFERROR(IF([2]对账明细接口!$L$511=0,"",[2]对账明细接口!$L$511),"")</f>
        <v/>
      </c>
      <c r="M511" s="16" t="str">
        <f>IFERROR(IF([2]对账明细接口!$M$511=0,"",[2]对账明细接口!$M$511),"")</f>
        <v/>
      </c>
      <c r="N511" s="19">
        <f t="shared" si="42"/>
        <v>0</v>
      </c>
      <c r="O511" s="19">
        <f t="shared" si="43"/>
        <v>165</v>
      </c>
      <c r="S511" s="20" t="str">
        <f>IFERROR(IF([2]对账明细接口!$N511=0,"",[2]对账明细接口!$N511),"")</f>
        <v/>
      </c>
      <c r="T511" s="21" t="str">
        <f>IFERROR(IF([2]对账明细接口!$O511=0,"",[2]对账明细接口!$O511),"")</f>
        <v/>
      </c>
      <c r="U511" s="21" t="str">
        <f>IFERROR(IF([2]对账明细接口!$P511=0,"",[2]对账明细接口!$P511),"")</f>
        <v/>
      </c>
      <c r="V511" s="21" t="str">
        <f>IFERROR(IF([2]对账明细接口!$Q511=0,"",[2]对账明细接口!$Q511),"")</f>
        <v/>
      </c>
      <c r="W511" s="20" t="str">
        <f>IFERROR(IF([2]对账明细接口!$R511=0,"",[2]对账明细接口!$R511),"")</f>
        <v/>
      </c>
      <c r="X511" s="20" t="str">
        <f>IFERROR(IF([2]对账明细接口!$S511=0,"",[2]对账明细接口!$S511),"")</f>
        <v/>
      </c>
      <c r="Y511" s="20" t="str">
        <f t="shared" si="44"/>
        <v/>
      </c>
      <c r="Z511" s="20" t="str">
        <f t="shared" si="45"/>
        <v/>
      </c>
      <c r="AA511" s="20" t="str">
        <f t="shared" si="46"/>
        <v/>
      </c>
      <c r="AB511" s="20" t="str">
        <f t="shared" si="47"/>
        <v/>
      </c>
    </row>
    <row r="512" customHeight="1" spans="1:28">
      <c r="A512" s="14">
        <v>512</v>
      </c>
      <c r="B512" s="15" t="str">
        <f>IFERROR(IF([2]对账明细接口!$B$512=0,"",[2]对账明细接口!$B$512),"")</f>
        <v/>
      </c>
      <c r="C512" s="16" t="str">
        <f>IFERROR(IF([2]对账明细接口!$C$512=0,"",[2]对账明细接口!$C$512),"")</f>
        <v/>
      </c>
      <c r="D512" s="16" t="str">
        <f>IFERROR(IF([2]对账明细接口!$D$512=0,"",[2]对账明细接口!$D$512),"")</f>
        <v/>
      </c>
      <c r="E512" s="16" t="str">
        <f>IFERROR(IF([2]对账明细接口!$E$512=0,"",[2]对账明细接口!$E$512),"")</f>
        <v/>
      </c>
      <c r="F512" s="16" t="str">
        <f>IFERROR(IF([2]对账明细接口!$F$512=0,"",[2]对账明细接口!$F$512),"")</f>
        <v/>
      </c>
      <c r="G512" s="16" t="str">
        <f>IFERROR(IF([2]对账明细接口!$G$512=0,"",[2]对账明细接口!$G$512),"")</f>
        <v/>
      </c>
      <c r="H512" s="17" t="str">
        <f>IFERROR(IF([2]对账明细接口!$H$512=0,"",[2]对账明细接口!$H$512),"")</f>
        <v/>
      </c>
      <c r="I512" s="16" t="str">
        <f>IFERROR(IF([2]对账明细接口!$I$512=0,"",[2]对账明细接口!$I$512),"")</f>
        <v/>
      </c>
      <c r="J512" s="18" t="str">
        <f>IFERROR(IF([2]对账明细接口!$J$512=0,"",[2]对账明细接口!$J$512),"")</f>
        <v/>
      </c>
      <c r="K512" s="18" t="str">
        <f>IFERROR(IF([2]对账明细接口!$K$512=0,"",[2]对账明细接口!$K$512),"")</f>
        <v/>
      </c>
      <c r="L512" s="16" t="str">
        <f>IFERROR(IF([2]对账明细接口!$L$512=0,"",[2]对账明细接口!$L$512),"")</f>
        <v/>
      </c>
      <c r="M512" s="16" t="str">
        <f>IFERROR(IF([2]对账明细接口!$M$512=0,"",[2]对账明细接口!$M$512),"")</f>
        <v/>
      </c>
      <c r="N512" s="19">
        <f t="shared" si="42"/>
        <v>0</v>
      </c>
      <c r="O512" s="19">
        <f t="shared" si="43"/>
        <v>165</v>
      </c>
      <c r="S512" s="20" t="str">
        <f>IFERROR(IF([2]对账明细接口!$N512=0,"",[2]对账明细接口!$N512),"")</f>
        <v/>
      </c>
      <c r="T512" s="21" t="str">
        <f>IFERROR(IF([2]对账明细接口!$O512=0,"",[2]对账明细接口!$O512),"")</f>
        <v/>
      </c>
      <c r="U512" s="21" t="str">
        <f>IFERROR(IF([2]对账明细接口!$P512=0,"",[2]对账明细接口!$P512),"")</f>
        <v/>
      </c>
      <c r="V512" s="21" t="str">
        <f>IFERROR(IF([2]对账明细接口!$Q512=0,"",[2]对账明细接口!$Q512),"")</f>
        <v/>
      </c>
      <c r="W512" s="20" t="str">
        <f>IFERROR(IF([2]对账明细接口!$R512=0,"",[2]对账明细接口!$R512),"")</f>
        <v/>
      </c>
      <c r="X512" s="20" t="str">
        <f>IFERROR(IF([2]对账明细接口!$S512=0,"",[2]对账明细接口!$S512),"")</f>
        <v/>
      </c>
      <c r="Y512" s="20" t="str">
        <f t="shared" si="44"/>
        <v/>
      </c>
      <c r="Z512" s="20" t="str">
        <f t="shared" si="45"/>
        <v/>
      </c>
      <c r="AA512" s="20" t="str">
        <f t="shared" si="46"/>
        <v/>
      </c>
      <c r="AB512" s="20" t="str">
        <f t="shared" si="47"/>
        <v/>
      </c>
    </row>
    <row r="513" customHeight="1" spans="1:28">
      <c r="A513" s="14">
        <v>513</v>
      </c>
      <c r="B513" s="15" t="str">
        <f>IFERROR(IF([2]对账明细接口!$B$513=0,"",[2]对账明细接口!$B$513),"")</f>
        <v/>
      </c>
      <c r="C513" s="16" t="str">
        <f>IFERROR(IF([2]对账明细接口!$C$513=0,"",[2]对账明细接口!$C$513),"")</f>
        <v/>
      </c>
      <c r="D513" s="16" t="str">
        <f>IFERROR(IF([2]对账明细接口!$D$513=0,"",[2]对账明细接口!$D$513),"")</f>
        <v/>
      </c>
      <c r="E513" s="16" t="str">
        <f>IFERROR(IF([2]对账明细接口!$E$513=0,"",[2]对账明细接口!$E$513),"")</f>
        <v/>
      </c>
      <c r="F513" s="16" t="str">
        <f>IFERROR(IF([2]对账明细接口!$F$513=0,"",[2]对账明细接口!$F$513),"")</f>
        <v/>
      </c>
      <c r="G513" s="16" t="str">
        <f>IFERROR(IF([2]对账明细接口!$G$513=0,"",[2]对账明细接口!$G$513),"")</f>
        <v/>
      </c>
      <c r="H513" s="17" t="str">
        <f>IFERROR(IF([2]对账明细接口!$H$513=0,"",[2]对账明细接口!$H$513),"")</f>
        <v/>
      </c>
      <c r="I513" s="16" t="str">
        <f>IFERROR(IF([2]对账明细接口!$I$513=0,"",[2]对账明细接口!$I$513),"")</f>
        <v/>
      </c>
      <c r="J513" s="18" t="str">
        <f>IFERROR(IF([2]对账明细接口!$J$513=0,"",[2]对账明细接口!$J$513),"")</f>
        <v/>
      </c>
      <c r="K513" s="18" t="str">
        <f>IFERROR(IF([2]对账明细接口!$K$513=0,"",[2]对账明细接口!$K$513),"")</f>
        <v/>
      </c>
      <c r="L513" s="16" t="str">
        <f>IFERROR(IF([2]对账明细接口!$L$513=0,"",[2]对账明细接口!$L$513),"")</f>
        <v/>
      </c>
      <c r="M513" s="16" t="str">
        <f>IFERROR(IF([2]对账明细接口!$M$513=0,"",[2]对账明细接口!$M$513),"")</f>
        <v/>
      </c>
      <c r="N513" s="19">
        <f t="shared" si="42"/>
        <v>0</v>
      </c>
      <c r="O513" s="19">
        <f t="shared" si="43"/>
        <v>165</v>
      </c>
      <c r="S513" s="20" t="str">
        <f>IFERROR(IF([2]对账明细接口!$N513=0,"",[2]对账明细接口!$N513),"")</f>
        <v/>
      </c>
      <c r="T513" s="21" t="str">
        <f>IFERROR(IF([2]对账明细接口!$O513=0,"",[2]对账明细接口!$O513),"")</f>
        <v/>
      </c>
      <c r="U513" s="21" t="str">
        <f>IFERROR(IF([2]对账明细接口!$P513=0,"",[2]对账明细接口!$P513),"")</f>
        <v/>
      </c>
      <c r="V513" s="21" t="str">
        <f>IFERROR(IF([2]对账明细接口!$Q513=0,"",[2]对账明细接口!$Q513),"")</f>
        <v/>
      </c>
      <c r="W513" s="20" t="str">
        <f>IFERROR(IF([2]对账明细接口!$R513=0,"",[2]对账明细接口!$R513),"")</f>
        <v/>
      </c>
      <c r="X513" s="20" t="str">
        <f>IFERROR(IF([2]对账明细接口!$S513=0,"",[2]对账明细接口!$S513),"")</f>
        <v/>
      </c>
      <c r="Y513" s="20" t="str">
        <f t="shared" si="44"/>
        <v/>
      </c>
      <c r="Z513" s="20" t="str">
        <f t="shared" si="45"/>
        <v/>
      </c>
      <c r="AA513" s="20" t="str">
        <f t="shared" si="46"/>
        <v/>
      </c>
      <c r="AB513" s="20" t="str">
        <f t="shared" si="47"/>
        <v/>
      </c>
    </row>
    <row r="514" customHeight="1" spans="1:28">
      <c r="A514" s="14">
        <v>514</v>
      </c>
      <c r="B514" s="15" t="str">
        <f>IFERROR(IF([2]对账明细接口!$B$514=0,"",[2]对账明细接口!$B$514),"")</f>
        <v/>
      </c>
      <c r="C514" s="16" t="str">
        <f>IFERROR(IF([2]对账明细接口!$C$514=0,"",[2]对账明细接口!$C$514),"")</f>
        <v/>
      </c>
      <c r="D514" s="16" t="str">
        <f>IFERROR(IF([2]对账明细接口!$D$514=0,"",[2]对账明细接口!$D$514),"")</f>
        <v/>
      </c>
      <c r="E514" s="16" t="str">
        <f>IFERROR(IF([2]对账明细接口!$E$514=0,"",[2]对账明细接口!$E$514),"")</f>
        <v/>
      </c>
      <c r="F514" s="16" t="str">
        <f>IFERROR(IF([2]对账明细接口!$F$514=0,"",[2]对账明细接口!$F$514),"")</f>
        <v/>
      </c>
      <c r="G514" s="16" t="str">
        <f>IFERROR(IF([2]对账明细接口!$G$514=0,"",[2]对账明细接口!$G$514),"")</f>
        <v/>
      </c>
      <c r="H514" s="17" t="str">
        <f>IFERROR(IF([2]对账明细接口!$H$514=0,"",[2]对账明细接口!$H$514),"")</f>
        <v/>
      </c>
      <c r="I514" s="16" t="str">
        <f>IFERROR(IF([2]对账明细接口!$I$514=0,"",[2]对账明细接口!$I$514),"")</f>
        <v/>
      </c>
      <c r="J514" s="18" t="str">
        <f>IFERROR(IF([2]对账明细接口!$J$514=0,"",[2]对账明细接口!$J$514),"")</f>
        <v/>
      </c>
      <c r="K514" s="18" t="str">
        <f>IFERROR(IF([2]对账明细接口!$K$514=0,"",[2]对账明细接口!$K$514),"")</f>
        <v/>
      </c>
      <c r="L514" s="16" t="str">
        <f>IFERROR(IF([2]对账明细接口!$L$514=0,"",[2]对账明细接口!$L$514),"")</f>
        <v/>
      </c>
      <c r="M514" s="16" t="str">
        <f>IFERROR(IF([2]对账明细接口!$M$514=0,"",[2]对账明细接口!$M$514),"")</f>
        <v/>
      </c>
      <c r="N514" s="19">
        <f t="shared" si="42"/>
        <v>0</v>
      </c>
      <c r="O514" s="19">
        <f t="shared" si="43"/>
        <v>165</v>
      </c>
      <c r="S514" s="20" t="str">
        <f>IFERROR(IF([2]对账明细接口!$N514=0,"",[2]对账明细接口!$N514),"")</f>
        <v/>
      </c>
      <c r="T514" s="21" t="str">
        <f>IFERROR(IF([2]对账明细接口!$O514=0,"",[2]对账明细接口!$O514),"")</f>
        <v/>
      </c>
      <c r="U514" s="21" t="str">
        <f>IFERROR(IF([2]对账明细接口!$P514=0,"",[2]对账明细接口!$P514),"")</f>
        <v/>
      </c>
      <c r="V514" s="21" t="str">
        <f>IFERROR(IF([2]对账明细接口!$Q514=0,"",[2]对账明细接口!$Q514),"")</f>
        <v/>
      </c>
      <c r="W514" s="20" t="str">
        <f>IFERROR(IF([2]对账明细接口!$R514=0,"",[2]对账明细接口!$R514),"")</f>
        <v/>
      </c>
      <c r="X514" s="20" t="str">
        <f>IFERROR(IF([2]对账明细接口!$S514=0,"",[2]对账明细接口!$S514),"")</f>
        <v/>
      </c>
      <c r="Y514" s="20" t="str">
        <f t="shared" si="44"/>
        <v/>
      </c>
      <c r="Z514" s="20" t="str">
        <f t="shared" si="45"/>
        <v/>
      </c>
      <c r="AA514" s="20" t="str">
        <f t="shared" si="46"/>
        <v/>
      </c>
      <c r="AB514" s="20" t="str">
        <f t="shared" si="47"/>
        <v/>
      </c>
    </row>
    <row r="515" customHeight="1" spans="1:28">
      <c r="A515" s="14">
        <v>515</v>
      </c>
      <c r="B515" s="15" t="str">
        <f>IFERROR(IF([2]对账明细接口!$B$515=0,"",[2]对账明细接口!$B$515),"")</f>
        <v/>
      </c>
      <c r="C515" s="16" t="str">
        <f>IFERROR(IF([2]对账明细接口!$C$515=0,"",[2]对账明细接口!$C$515),"")</f>
        <v/>
      </c>
      <c r="D515" s="16" t="str">
        <f>IFERROR(IF([2]对账明细接口!$D$515=0,"",[2]对账明细接口!$D$515),"")</f>
        <v/>
      </c>
      <c r="E515" s="16" t="str">
        <f>IFERROR(IF([2]对账明细接口!$E$515=0,"",[2]对账明细接口!$E$515),"")</f>
        <v/>
      </c>
      <c r="F515" s="16" t="str">
        <f>IFERROR(IF([2]对账明细接口!$F$515=0,"",[2]对账明细接口!$F$515),"")</f>
        <v/>
      </c>
      <c r="G515" s="16" t="str">
        <f>IFERROR(IF([2]对账明细接口!$G$515=0,"",[2]对账明细接口!$G$515),"")</f>
        <v/>
      </c>
      <c r="H515" s="17" t="str">
        <f>IFERROR(IF([2]对账明细接口!$H$515=0,"",[2]对账明细接口!$H$515),"")</f>
        <v/>
      </c>
      <c r="I515" s="16" t="str">
        <f>IFERROR(IF([2]对账明细接口!$I$515=0,"",[2]对账明细接口!$I$515),"")</f>
        <v/>
      </c>
      <c r="J515" s="18" t="str">
        <f>IFERROR(IF([2]对账明细接口!$J$515=0,"",[2]对账明细接口!$J$515),"")</f>
        <v/>
      </c>
      <c r="K515" s="18" t="str">
        <f>IFERROR(IF([2]对账明细接口!$K$515=0,"",[2]对账明细接口!$K$515),"")</f>
        <v/>
      </c>
      <c r="L515" s="16" t="str">
        <f>IFERROR(IF([2]对账明细接口!$L$515=0,"",[2]对账明细接口!$L$515),"")</f>
        <v/>
      </c>
      <c r="M515" s="16" t="str">
        <f>IFERROR(IF([2]对账明细接口!$M$515=0,"",[2]对账明细接口!$M$515),"")</f>
        <v/>
      </c>
      <c r="N515" s="19">
        <f t="shared" si="42"/>
        <v>0</v>
      </c>
      <c r="O515" s="19">
        <f t="shared" si="43"/>
        <v>165</v>
      </c>
      <c r="S515" s="20" t="str">
        <f>IFERROR(IF([2]对账明细接口!$N515=0,"",[2]对账明细接口!$N515),"")</f>
        <v/>
      </c>
      <c r="T515" s="21" t="str">
        <f>IFERROR(IF([2]对账明细接口!$O515=0,"",[2]对账明细接口!$O515),"")</f>
        <v/>
      </c>
      <c r="U515" s="21" t="str">
        <f>IFERROR(IF([2]对账明细接口!$P515=0,"",[2]对账明细接口!$P515),"")</f>
        <v/>
      </c>
      <c r="V515" s="21" t="str">
        <f>IFERROR(IF([2]对账明细接口!$Q515=0,"",[2]对账明细接口!$Q515),"")</f>
        <v/>
      </c>
      <c r="W515" s="20" t="str">
        <f>IFERROR(IF([2]对账明细接口!$R515=0,"",[2]对账明细接口!$R515),"")</f>
        <v/>
      </c>
      <c r="X515" s="20" t="str">
        <f>IFERROR(IF([2]对账明细接口!$S515=0,"",[2]对账明细接口!$S515),"")</f>
        <v/>
      </c>
      <c r="Y515" s="20" t="str">
        <f t="shared" si="44"/>
        <v/>
      </c>
      <c r="Z515" s="20" t="str">
        <f t="shared" si="45"/>
        <v/>
      </c>
      <c r="AA515" s="20" t="str">
        <f t="shared" si="46"/>
        <v/>
      </c>
      <c r="AB515" s="20" t="str">
        <f t="shared" si="47"/>
        <v/>
      </c>
    </row>
    <row r="516" customHeight="1" spans="1:28">
      <c r="A516" s="14">
        <v>516</v>
      </c>
      <c r="B516" s="15" t="str">
        <f>IFERROR(IF([2]对账明细接口!$B$516=0,"",[2]对账明细接口!$B$516),"")</f>
        <v/>
      </c>
      <c r="C516" s="16" t="str">
        <f>IFERROR(IF([2]对账明细接口!$C$516=0,"",[2]对账明细接口!$C$516),"")</f>
        <v/>
      </c>
      <c r="D516" s="16" t="str">
        <f>IFERROR(IF([2]对账明细接口!$D$516=0,"",[2]对账明细接口!$D$516),"")</f>
        <v/>
      </c>
      <c r="E516" s="16" t="str">
        <f>IFERROR(IF([2]对账明细接口!$E$516=0,"",[2]对账明细接口!$E$516),"")</f>
        <v/>
      </c>
      <c r="F516" s="16" t="str">
        <f>IFERROR(IF([2]对账明细接口!$F$516=0,"",[2]对账明细接口!$F$516),"")</f>
        <v/>
      </c>
      <c r="G516" s="16" t="str">
        <f>IFERROR(IF([2]对账明细接口!$G$516=0,"",[2]对账明细接口!$G$516),"")</f>
        <v/>
      </c>
      <c r="H516" s="17" t="str">
        <f>IFERROR(IF([2]对账明细接口!$H$516=0,"",[2]对账明细接口!$H$516),"")</f>
        <v/>
      </c>
      <c r="I516" s="16" t="str">
        <f>IFERROR(IF([2]对账明细接口!$I$516=0,"",[2]对账明细接口!$I$516),"")</f>
        <v/>
      </c>
      <c r="J516" s="18" t="str">
        <f>IFERROR(IF([2]对账明细接口!$J$516=0,"",[2]对账明细接口!$J$516),"")</f>
        <v/>
      </c>
      <c r="K516" s="18" t="str">
        <f>IFERROR(IF([2]对账明细接口!$K$516=0,"",[2]对账明细接口!$K$516),"")</f>
        <v/>
      </c>
      <c r="L516" s="16" t="str">
        <f>IFERROR(IF([2]对账明细接口!$L$516=0,"",[2]对账明细接口!$L$516),"")</f>
        <v/>
      </c>
      <c r="M516" s="16" t="str">
        <f>IFERROR(IF([2]对账明细接口!$M$516=0,"",[2]对账明细接口!$M$516),"")</f>
        <v/>
      </c>
      <c r="N516" s="19">
        <f t="shared" ref="N516:N579" si="48">IF($C516="",0,1)</f>
        <v>0</v>
      </c>
      <c r="O516" s="19">
        <f t="shared" ref="O516:O579" si="49">N(O515)+$N516</f>
        <v>165</v>
      </c>
      <c r="S516" s="20" t="str">
        <f>IFERROR(IF([2]对账明细接口!$N516=0,"",[2]对账明细接口!$N516),"")</f>
        <v/>
      </c>
      <c r="T516" s="21" t="str">
        <f>IFERROR(IF([2]对账明细接口!$O516=0,"",[2]对账明细接口!$O516),"")</f>
        <v/>
      </c>
      <c r="U516" s="21" t="str">
        <f>IFERROR(IF([2]对账明细接口!$P516=0,"",[2]对账明细接口!$P516),"")</f>
        <v/>
      </c>
      <c r="V516" s="21" t="str">
        <f>IFERROR(IF([2]对账明细接口!$Q516=0,"",[2]对账明细接口!$Q516),"")</f>
        <v/>
      </c>
      <c r="W516" s="20" t="str">
        <f>IFERROR(IF([2]对账明细接口!$R516=0,"",[2]对账明细接口!$R516),"")</f>
        <v/>
      </c>
      <c r="X516" s="20" t="str">
        <f>IFERROR(IF([2]对账明细接口!$S516=0,"",[2]对账明细接口!$S516),"")</f>
        <v/>
      </c>
      <c r="Y516" s="20" t="str">
        <f t="shared" ref="Y516:Y579" si="50">""</f>
        <v/>
      </c>
      <c r="Z516" s="20" t="str">
        <f t="shared" ref="Z516:Z579" si="51">""</f>
        <v/>
      </c>
      <c r="AA516" s="20" t="str">
        <f t="shared" ref="AA516:AA579" si="52">""</f>
        <v/>
      </c>
      <c r="AB516" s="20" t="str">
        <f t="shared" ref="AB516:AB579" si="53">""</f>
        <v/>
      </c>
    </row>
    <row r="517" customHeight="1" spans="1:28">
      <c r="A517" s="14">
        <v>517</v>
      </c>
      <c r="B517" s="15" t="str">
        <f>IFERROR(IF([2]对账明细接口!$B$517=0,"",[2]对账明细接口!$B$517),"")</f>
        <v/>
      </c>
      <c r="C517" s="16" t="str">
        <f>IFERROR(IF([2]对账明细接口!$C$517=0,"",[2]对账明细接口!$C$517),"")</f>
        <v/>
      </c>
      <c r="D517" s="16" t="str">
        <f>IFERROR(IF([2]对账明细接口!$D$517=0,"",[2]对账明细接口!$D$517),"")</f>
        <v/>
      </c>
      <c r="E517" s="16" t="str">
        <f>IFERROR(IF([2]对账明细接口!$E$517=0,"",[2]对账明细接口!$E$517),"")</f>
        <v/>
      </c>
      <c r="F517" s="16" t="str">
        <f>IFERROR(IF([2]对账明细接口!$F$517=0,"",[2]对账明细接口!$F$517),"")</f>
        <v/>
      </c>
      <c r="G517" s="16" t="str">
        <f>IFERROR(IF([2]对账明细接口!$G$517=0,"",[2]对账明细接口!$G$517),"")</f>
        <v/>
      </c>
      <c r="H517" s="17" t="str">
        <f>IFERROR(IF([2]对账明细接口!$H$517=0,"",[2]对账明细接口!$H$517),"")</f>
        <v/>
      </c>
      <c r="I517" s="16" t="str">
        <f>IFERROR(IF([2]对账明细接口!$I$517=0,"",[2]对账明细接口!$I$517),"")</f>
        <v/>
      </c>
      <c r="J517" s="18" t="str">
        <f>IFERROR(IF([2]对账明细接口!$J$517=0,"",[2]对账明细接口!$J$517),"")</f>
        <v/>
      </c>
      <c r="K517" s="18" t="str">
        <f>IFERROR(IF([2]对账明细接口!$K$517=0,"",[2]对账明细接口!$K$517),"")</f>
        <v/>
      </c>
      <c r="L517" s="16" t="str">
        <f>IFERROR(IF([2]对账明细接口!$L$517=0,"",[2]对账明细接口!$L$517),"")</f>
        <v/>
      </c>
      <c r="M517" s="16" t="str">
        <f>IFERROR(IF([2]对账明细接口!$M$517=0,"",[2]对账明细接口!$M$517),"")</f>
        <v/>
      </c>
      <c r="N517" s="19">
        <f t="shared" si="48"/>
        <v>0</v>
      </c>
      <c r="O517" s="19">
        <f t="shared" si="49"/>
        <v>165</v>
      </c>
      <c r="S517" s="20" t="str">
        <f>IFERROR(IF([2]对账明细接口!$N517=0,"",[2]对账明细接口!$N517),"")</f>
        <v/>
      </c>
      <c r="T517" s="21" t="str">
        <f>IFERROR(IF([2]对账明细接口!$O517=0,"",[2]对账明细接口!$O517),"")</f>
        <v/>
      </c>
      <c r="U517" s="21" t="str">
        <f>IFERROR(IF([2]对账明细接口!$P517=0,"",[2]对账明细接口!$P517),"")</f>
        <v/>
      </c>
      <c r="V517" s="21" t="str">
        <f>IFERROR(IF([2]对账明细接口!$Q517=0,"",[2]对账明细接口!$Q517),"")</f>
        <v/>
      </c>
      <c r="W517" s="20" t="str">
        <f>IFERROR(IF([2]对账明细接口!$R517=0,"",[2]对账明细接口!$R517),"")</f>
        <v/>
      </c>
      <c r="X517" s="20" t="str">
        <f>IFERROR(IF([2]对账明细接口!$S517=0,"",[2]对账明细接口!$S517),"")</f>
        <v/>
      </c>
      <c r="Y517" s="20" t="str">
        <f t="shared" si="50"/>
        <v/>
      </c>
      <c r="Z517" s="20" t="str">
        <f t="shared" si="51"/>
        <v/>
      </c>
      <c r="AA517" s="20" t="str">
        <f t="shared" si="52"/>
        <v/>
      </c>
      <c r="AB517" s="20" t="str">
        <f t="shared" si="53"/>
        <v/>
      </c>
    </row>
    <row r="518" customHeight="1" spans="1:28">
      <c r="A518" s="14">
        <v>518</v>
      </c>
      <c r="B518" s="15" t="str">
        <f>IFERROR(IF([2]对账明细接口!$B$518=0,"",[2]对账明细接口!$B$518),"")</f>
        <v/>
      </c>
      <c r="C518" s="16" t="str">
        <f>IFERROR(IF([2]对账明细接口!$C$518=0,"",[2]对账明细接口!$C$518),"")</f>
        <v/>
      </c>
      <c r="D518" s="16" t="str">
        <f>IFERROR(IF([2]对账明细接口!$D$518=0,"",[2]对账明细接口!$D$518),"")</f>
        <v/>
      </c>
      <c r="E518" s="16" t="str">
        <f>IFERROR(IF([2]对账明细接口!$E$518=0,"",[2]对账明细接口!$E$518),"")</f>
        <v/>
      </c>
      <c r="F518" s="16" t="str">
        <f>IFERROR(IF([2]对账明细接口!$F$518=0,"",[2]对账明细接口!$F$518),"")</f>
        <v/>
      </c>
      <c r="G518" s="16" t="str">
        <f>IFERROR(IF([2]对账明细接口!$G$518=0,"",[2]对账明细接口!$G$518),"")</f>
        <v/>
      </c>
      <c r="H518" s="17" t="str">
        <f>IFERROR(IF([2]对账明细接口!$H$518=0,"",[2]对账明细接口!$H$518),"")</f>
        <v/>
      </c>
      <c r="I518" s="16" t="str">
        <f>IFERROR(IF([2]对账明细接口!$I$518=0,"",[2]对账明细接口!$I$518),"")</f>
        <v/>
      </c>
      <c r="J518" s="18" t="str">
        <f>IFERROR(IF([2]对账明细接口!$J$518=0,"",[2]对账明细接口!$J$518),"")</f>
        <v/>
      </c>
      <c r="K518" s="18" t="str">
        <f>IFERROR(IF([2]对账明细接口!$K$518=0,"",[2]对账明细接口!$K$518),"")</f>
        <v/>
      </c>
      <c r="L518" s="16" t="str">
        <f>IFERROR(IF([2]对账明细接口!$L$518=0,"",[2]对账明细接口!$L$518),"")</f>
        <v/>
      </c>
      <c r="M518" s="16" t="str">
        <f>IFERROR(IF([2]对账明细接口!$M$518=0,"",[2]对账明细接口!$M$518),"")</f>
        <v/>
      </c>
      <c r="N518" s="19">
        <f t="shared" si="48"/>
        <v>0</v>
      </c>
      <c r="O518" s="19">
        <f t="shared" si="49"/>
        <v>165</v>
      </c>
      <c r="S518" s="20" t="str">
        <f>IFERROR(IF([2]对账明细接口!$N518=0,"",[2]对账明细接口!$N518),"")</f>
        <v/>
      </c>
      <c r="T518" s="21" t="str">
        <f>IFERROR(IF([2]对账明细接口!$O518=0,"",[2]对账明细接口!$O518),"")</f>
        <v/>
      </c>
      <c r="U518" s="21" t="str">
        <f>IFERROR(IF([2]对账明细接口!$P518=0,"",[2]对账明细接口!$P518),"")</f>
        <v/>
      </c>
      <c r="V518" s="21" t="str">
        <f>IFERROR(IF([2]对账明细接口!$Q518=0,"",[2]对账明细接口!$Q518),"")</f>
        <v/>
      </c>
      <c r="W518" s="20" t="str">
        <f>IFERROR(IF([2]对账明细接口!$R518=0,"",[2]对账明细接口!$R518),"")</f>
        <v/>
      </c>
      <c r="X518" s="20" t="str">
        <f>IFERROR(IF([2]对账明细接口!$S518=0,"",[2]对账明细接口!$S518),"")</f>
        <v/>
      </c>
      <c r="Y518" s="20" t="str">
        <f t="shared" si="50"/>
        <v/>
      </c>
      <c r="Z518" s="20" t="str">
        <f t="shared" si="51"/>
        <v/>
      </c>
      <c r="AA518" s="20" t="str">
        <f t="shared" si="52"/>
        <v/>
      </c>
      <c r="AB518" s="20" t="str">
        <f t="shared" si="53"/>
        <v/>
      </c>
    </row>
    <row r="519" customHeight="1" spans="1:28">
      <c r="A519" s="14">
        <v>519</v>
      </c>
      <c r="B519" s="15" t="str">
        <f>IFERROR(IF([2]对账明细接口!$B$519=0,"",[2]对账明细接口!$B$519),"")</f>
        <v/>
      </c>
      <c r="C519" s="16" t="str">
        <f>IFERROR(IF([2]对账明细接口!$C$519=0,"",[2]对账明细接口!$C$519),"")</f>
        <v/>
      </c>
      <c r="D519" s="16" t="str">
        <f>IFERROR(IF([2]对账明细接口!$D$519=0,"",[2]对账明细接口!$D$519),"")</f>
        <v/>
      </c>
      <c r="E519" s="16" t="str">
        <f>IFERROR(IF([2]对账明细接口!$E$519=0,"",[2]对账明细接口!$E$519),"")</f>
        <v/>
      </c>
      <c r="F519" s="16" t="str">
        <f>IFERROR(IF([2]对账明细接口!$F$519=0,"",[2]对账明细接口!$F$519),"")</f>
        <v/>
      </c>
      <c r="G519" s="16" t="str">
        <f>IFERROR(IF([2]对账明细接口!$G$519=0,"",[2]对账明细接口!$G$519),"")</f>
        <v/>
      </c>
      <c r="H519" s="17" t="str">
        <f>IFERROR(IF([2]对账明细接口!$H$519=0,"",[2]对账明细接口!$H$519),"")</f>
        <v/>
      </c>
      <c r="I519" s="16" t="str">
        <f>IFERROR(IF([2]对账明细接口!$I$519=0,"",[2]对账明细接口!$I$519),"")</f>
        <v/>
      </c>
      <c r="J519" s="18" t="str">
        <f>IFERROR(IF([2]对账明细接口!$J$519=0,"",[2]对账明细接口!$J$519),"")</f>
        <v/>
      </c>
      <c r="K519" s="18" t="str">
        <f>IFERROR(IF([2]对账明细接口!$K$519=0,"",[2]对账明细接口!$K$519),"")</f>
        <v/>
      </c>
      <c r="L519" s="16" t="str">
        <f>IFERROR(IF([2]对账明细接口!$L$519=0,"",[2]对账明细接口!$L$519),"")</f>
        <v/>
      </c>
      <c r="M519" s="16" t="str">
        <f>IFERROR(IF([2]对账明细接口!$M$519=0,"",[2]对账明细接口!$M$519),"")</f>
        <v/>
      </c>
      <c r="N519" s="19">
        <f t="shared" si="48"/>
        <v>0</v>
      </c>
      <c r="O519" s="19">
        <f t="shared" si="49"/>
        <v>165</v>
      </c>
      <c r="S519" s="20" t="str">
        <f>IFERROR(IF([2]对账明细接口!$N519=0,"",[2]对账明细接口!$N519),"")</f>
        <v/>
      </c>
      <c r="T519" s="21" t="str">
        <f>IFERROR(IF([2]对账明细接口!$O519=0,"",[2]对账明细接口!$O519),"")</f>
        <v/>
      </c>
      <c r="U519" s="21" t="str">
        <f>IFERROR(IF([2]对账明细接口!$P519=0,"",[2]对账明细接口!$P519),"")</f>
        <v/>
      </c>
      <c r="V519" s="21" t="str">
        <f>IFERROR(IF([2]对账明细接口!$Q519=0,"",[2]对账明细接口!$Q519),"")</f>
        <v/>
      </c>
      <c r="W519" s="20" t="str">
        <f>IFERROR(IF([2]对账明细接口!$R519=0,"",[2]对账明细接口!$R519),"")</f>
        <v/>
      </c>
      <c r="X519" s="20" t="str">
        <f>IFERROR(IF([2]对账明细接口!$S519=0,"",[2]对账明细接口!$S519),"")</f>
        <v/>
      </c>
      <c r="Y519" s="20" t="str">
        <f t="shared" si="50"/>
        <v/>
      </c>
      <c r="Z519" s="20" t="str">
        <f t="shared" si="51"/>
        <v/>
      </c>
      <c r="AA519" s="20" t="str">
        <f t="shared" si="52"/>
        <v/>
      </c>
      <c r="AB519" s="20" t="str">
        <f t="shared" si="53"/>
        <v/>
      </c>
    </row>
    <row r="520" customHeight="1" spans="1:28">
      <c r="A520" s="14">
        <v>520</v>
      </c>
      <c r="B520" s="15" t="str">
        <f>IFERROR(IF([2]对账明细接口!$B$520=0,"",[2]对账明细接口!$B$520),"")</f>
        <v/>
      </c>
      <c r="C520" s="16" t="str">
        <f>IFERROR(IF([2]对账明细接口!$C$520=0,"",[2]对账明细接口!$C$520),"")</f>
        <v/>
      </c>
      <c r="D520" s="16" t="str">
        <f>IFERROR(IF([2]对账明细接口!$D$520=0,"",[2]对账明细接口!$D$520),"")</f>
        <v/>
      </c>
      <c r="E520" s="16" t="str">
        <f>IFERROR(IF([2]对账明细接口!$E$520=0,"",[2]对账明细接口!$E$520),"")</f>
        <v/>
      </c>
      <c r="F520" s="16" t="str">
        <f>IFERROR(IF([2]对账明细接口!$F$520=0,"",[2]对账明细接口!$F$520),"")</f>
        <v/>
      </c>
      <c r="G520" s="16" t="str">
        <f>IFERROR(IF([2]对账明细接口!$G$520=0,"",[2]对账明细接口!$G$520),"")</f>
        <v/>
      </c>
      <c r="H520" s="17" t="str">
        <f>IFERROR(IF([2]对账明细接口!$H$520=0,"",[2]对账明细接口!$H$520),"")</f>
        <v/>
      </c>
      <c r="I520" s="16" t="str">
        <f>IFERROR(IF([2]对账明细接口!$I$520=0,"",[2]对账明细接口!$I$520),"")</f>
        <v/>
      </c>
      <c r="J520" s="18" t="str">
        <f>IFERROR(IF([2]对账明细接口!$J$520=0,"",[2]对账明细接口!$J$520),"")</f>
        <v/>
      </c>
      <c r="K520" s="18" t="str">
        <f>IFERROR(IF([2]对账明细接口!$K$520=0,"",[2]对账明细接口!$K$520),"")</f>
        <v/>
      </c>
      <c r="L520" s="16" t="str">
        <f>IFERROR(IF([2]对账明细接口!$L$520=0,"",[2]对账明细接口!$L$520),"")</f>
        <v/>
      </c>
      <c r="M520" s="16" t="str">
        <f>IFERROR(IF([2]对账明细接口!$M$520=0,"",[2]对账明细接口!$M$520),"")</f>
        <v/>
      </c>
      <c r="N520" s="19">
        <f t="shared" si="48"/>
        <v>0</v>
      </c>
      <c r="O520" s="19">
        <f t="shared" si="49"/>
        <v>165</v>
      </c>
      <c r="S520" s="20" t="str">
        <f>IFERROR(IF([2]对账明细接口!$N520=0,"",[2]对账明细接口!$N520),"")</f>
        <v/>
      </c>
      <c r="T520" s="21" t="str">
        <f>IFERROR(IF([2]对账明细接口!$O520=0,"",[2]对账明细接口!$O520),"")</f>
        <v/>
      </c>
      <c r="U520" s="21" t="str">
        <f>IFERROR(IF([2]对账明细接口!$P520=0,"",[2]对账明细接口!$P520),"")</f>
        <v/>
      </c>
      <c r="V520" s="21" t="str">
        <f>IFERROR(IF([2]对账明细接口!$Q520=0,"",[2]对账明细接口!$Q520),"")</f>
        <v/>
      </c>
      <c r="W520" s="20" t="str">
        <f>IFERROR(IF([2]对账明细接口!$R520=0,"",[2]对账明细接口!$R520),"")</f>
        <v/>
      </c>
      <c r="X520" s="20" t="str">
        <f>IFERROR(IF([2]对账明细接口!$S520=0,"",[2]对账明细接口!$S520),"")</f>
        <v/>
      </c>
      <c r="Y520" s="20" t="str">
        <f t="shared" si="50"/>
        <v/>
      </c>
      <c r="Z520" s="20" t="str">
        <f t="shared" si="51"/>
        <v/>
      </c>
      <c r="AA520" s="20" t="str">
        <f t="shared" si="52"/>
        <v/>
      </c>
      <c r="AB520" s="20" t="str">
        <f t="shared" si="53"/>
        <v/>
      </c>
    </row>
    <row r="521" customHeight="1" spans="1:28">
      <c r="A521" s="14">
        <v>521</v>
      </c>
      <c r="B521" s="15" t="str">
        <f>IFERROR(IF([2]对账明细接口!$B$521=0,"",[2]对账明细接口!$B$521),"")</f>
        <v/>
      </c>
      <c r="C521" s="16" t="str">
        <f>IFERROR(IF([2]对账明细接口!$C$521=0,"",[2]对账明细接口!$C$521),"")</f>
        <v/>
      </c>
      <c r="D521" s="16" t="str">
        <f>IFERROR(IF([2]对账明细接口!$D$521=0,"",[2]对账明细接口!$D$521),"")</f>
        <v/>
      </c>
      <c r="E521" s="16" t="str">
        <f>IFERROR(IF([2]对账明细接口!$E$521=0,"",[2]对账明细接口!$E$521),"")</f>
        <v/>
      </c>
      <c r="F521" s="16" t="str">
        <f>IFERROR(IF([2]对账明细接口!$F$521=0,"",[2]对账明细接口!$F$521),"")</f>
        <v/>
      </c>
      <c r="G521" s="16" t="str">
        <f>IFERROR(IF([2]对账明细接口!$G$521=0,"",[2]对账明细接口!$G$521),"")</f>
        <v/>
      </c>
      <c r="H521" s="17" t="str">
        <f>IFERROR(IF([2]对账明细接口!$H$521=0,"",[2]对账明细接口!$H$521),"")</f>
        <v/>
      </c>
      <c r="I521" s="16" t="str">
        <f>IFERROR(IF([2]对账明细接口!$I$521=0,"",[2]对账明细接口!$I$521),"")</f>
        <v/>
      </c>
      <c r="J521" s="18" t="str">
        <f>IFERROR(IF([2]对账明细接口!$J$521=0,"",[2]对账明细接口!$J$521),"")</f>
        <v/>
      </c>
      <c r="K521" s="18" t="str">
        <f>IFERROR(IF([2]对账明细接口!$K$521=0,"",[2]对账明细接口!$K$521),"")</f>
        <v/>
      </c>
      <c r="L521" s="16" t="str">
        <f>IFERROR(IF([2]对账明细接口!$L$521=0,"",[2]对账明细接口!$L$521),"")</f>
        <v/>
      </c>
      <c r="M521" s="16" t="str">
        <f>IFERROR(IF([2]对账明细接口!$M$521=0,"",[2]对账明细接口!$M$521),"")</f>
        <v/>
      </c>
      <c r="N521" s="19">
        <f t="shared" si="48"/>
        <v>0</v>
      </c>
      <c r="O521" s="19">
        <f t="shared" si="49"/>
        <v>165</v>
      </c>
      <c r="S521" s="20" t="str">
        <f>IFERROR(IF([2]对账明细接口!$N521=0,"",[2]对账明细接口!$N521),"")</f>
        <v/>
      </c>
      <c r="T521" s="21" t="str">
        <f>IFERROR(IF([2]对账明细接口!$O521=0,"",[2]对账明细接口!$O521),"")</f>
        <v/>
      </c>
      <c r="U521" s="21" t="str">
        <f>IFERROR(IF([2]对账明细接口!$P521=0,"",[2]对账明细接口!$P521),"")</f>
        <v/>
      </c>
      <c r="V521" s="21" t="str">
        <f>IFERROR(IF([2]对账明细接口!$Q521=0,"",[2]对账明细接口!$Q521),"")</f>
        <v/>
      </c>
      <c r="W521" s="20" t="str">
        <f>IFERROR(IF([2]对账明细接口!$R521=0,"",[2]对账明细接口!$R521),"")</f>
        <v/>
      </c>
      <c r="X521" s="20" t="str">
        <f>IFERROR(IF([2]对账明细接口!$S521=0,"",[2]对账明细接口!$S521),"")</f>
        <v/>
      </c>
      <c r="Y521" s="20" t="str">
        <f t="shared" si="50"/>
        <v/>
      </c>
      <c r="Z521" s="20" t="str">
        <f t="shared" si="51"/>
        <v/>
      </c>
      <c r="AA521" s="20" t="str">
        <f t="shared" si="52"/>
        <v/>
      </c>
      <c r="AB521" s="20" t="str">
        <f t="shared" si="53"/>
        <v/>
      </c>
    </row>
    <row r="522" customHeight="1" spans="1:28">
      <c r="A522" s="14">
        <v>522</v>
      </c>
      <c r="B522" s="15" t="str">
        <f>IFERROR(IF([2]对账明细接口!$B$522=0,"",[2]对账明细接口!$B$522),"")</f>
        <v/>
      </c>
      <c r="C522" s="16" t="str">
        <f>IFERROR(IF([2]对账明细接口!$C$522=0,"",[2]对账明细接口!$C$522),"")</f>
        <v/>
      </c>
      <c r="D522" s="16" t="str">
        <f>IFERROR(IF([2]对账明细接口!$D$522=0,"",[2]对账明细接口!$D$522),"")</f>
        <v/>
      </c>
      <c r="E522" s="16" t="str">
        <f>IFERROR(IF([2]对账明细接口!$E$522=0,"",[2]对账明细接口!$E$522),"")</f>
        <v/>
      </c>
      <c r="F522" s="16" t="str">
        <f>IFERROR(IF([2]对账明细接口!$F$522=0,"",[2]对账明细接口!$F$522),"")</f>
        <v/>
      </c>
      <c r="G522" s="16" t="str">
        <f>IFERROR(IF([2]对账明细接口!$G$522=0,"",[2]对账明细接口!$G$522),"")</f>
        <v/>
      </c>
      <c r="H522" s="17" t="str">
        <f>IFERROR(IF([2]对账明细接口!$H$522=0,"",[2]对账明细接口!$H$522),"")</f>
        <v/>
      </c>
      <c r="I522" s="16" t="str">
        <f>IFERROR(IF([2]对账明细接口!$I$522=0,"",[2]对账明细接口!$I$522),"")</f>
        <v/>
      </c>
      <c r="J522" s="18" t="str">
        <f>IFERROR(IF([2]对账明细接口!$J$522=0,"",[2]对账明细接口!$J$522),"")</f>
        <v/>
      </c>
      <c r="K522" s="18" t="str">
        <f>IFERROR(IF([2]对账明细接口!$K$522=0,"",[2]对账明细接口!$K$522),"")</f>
        <v/>
      </c>
      <c r="L522" s="16" t="str">
        <f>IFERROR(IF([2]对账明细接口!$L$522=0,"",[2]对账明细接口!$L$522),"")</f>
        <v/>
      </c>
      <c r="M522" s="16" t="str">
        <f>IFERROR(IF([2]对账明细接口!$M$522=0,"",[2]对账明细接口!$M$522),"")</f>
        <v/>
      </c>
      <c r="N522" s="19">
        <f t="shared" si="48"/>
        <v>0</v>
      </c>
      <c r="O522" s="19">
        <f t="shared" si="49"/>
        <v>165</v>
      </c>
      <c r="S522" s="20" t="str">
        <f>IFERROR(IF([2]对账明细接口!$N522=0,"",[2]对账明细接口!$N522),"")</f>
        <v/>
      </c>
      <c r="T522" s="21" t="str">
        <f>IFERROR(IF([2]对账明细接口!$O522=0,"",[2]对账明细接口!$O522),"")</f>
        <v/>
      </c>
      <c r="U522" s="21" t="str">
        <f>IFERROR(IF([2]对账明细接口!$P522=0,"",[2]对账明细接口!$P522),"")</f>
        <v/>
      </c>
      <c r="V522" s="21" t="str">
        <f>IFERROR(IF([2]对账明细接口!$Q522=0,"",[2]对账明细接口!$Q522),"")</f>
        <v/>
      </c>
      <c r="W522" s="20" t="str">
        <f>IFERROR(IF([2]对账明细接口!$R522=0,"",[2]对账明细接口!$R522),"")</f>
        <v/>
      </c>
      <c r="X522" s="20" t="str">
        <f>IFERROR(IF([2]对账明细接口!$S522=0,"",[2]对账明细接口!$S522),"")</f>
        <v/>
      </c>
      <c r="Y522" s="20" t="str">
        <f t="shared" si="50"/>
        <v/>
      </c>
      <c r="Z522" s="20" t="str">
        <f t="shared" si="51"/>
        <v/>
      </c>
      <c r="AA522" s="20" t="str">
        <f t="shared" si="52"/>
        <v/>
      </c>
      <c r="AB522" s="20" t="str">
        <f t="shared" si="53"/>
        <v/>
      </c>
    </row>
    <row r="523" customHeight="1" spans="1:28">
      <c r="A523" s="14">
        <v>523</v>
      </c>
      <c r="B523" s="15" t="str">
        <f>IFERROR(IF([2]对账明细接口!$B$523=0,"",[2]对账明细接口!$B$523),"")</f>
        <v/>
      </c>
      <c r="C523" s="16" t="str">
        <f>IFERROR(IF([2]对账明细接口!$C$523=0,"",[2]对账明细接口!$C$523),"")</f>
        <v/>
      </c>
      <c r="D523" s="16" t="str">
        <f>IFERROR(IF([2]对账明细接口!$D$523=0,"",[2]对账明细接口!$D$523),"")</f>
        <v/>
      </c>
      <c r="E523" s="16" t="str">
        <f>IFERROR(IF([2]对账明细接口!$E$523=0,"",[2]对账明细接口!$E$523),"")</f>
        <v/>
      </c>
      <c r="F523" s="16" t="str">
        <f>IFERROR(IF([2]对账明细接口!$F$523=0,"",[2]对账明细接口!$F$523),"")</f>
        <v/>
      </c>
      <c r="G523" s="16" t="str">
        <f>IFERROR(IF([2]对账明细接口!$G$523=0,"",[2]对账明细接口!$G$523),"")</f>
        <v/>
      </c>
      <c r="H523" s="17" t="str">
        <f>IFERROR(IF([2]对账明细接口!$H$523=0,"",[2]对账明细接口!$H$523),"")</f>
        <v/>
      </c>
      <c r="I523" s="16" t="str">
        <f>IFERROR(IF([2]对账明细接口!$I$523=0,"",[2]对账明细接口!$I$523),"")</f>
        <v/>
      </c>
      <c r="J523" s="18" t="str">
        <f>IFERROR(IF([2]对账明细接口!$J$523=0,"",[2]对账明细接口!$J$523),"")</f>
        <v/>
      </c>
      <c r="K523" s="18" t="str">
        <f>IFERROR(IF([2]对账明细接口!$K$523=0,"",[2]对账明细接口!$K$523),"")</f>
        <v/>
      </c>
      <c r="L523" s="16" t="str">
        <f>IFERROR(IF([2]对账明细接口!$L$523=0,"",[2]对账明细接口!$L$523),"")</f>
        <v/>
      </c>
      <c r="M523" s="16" t="str">
        <f>IFERROR(IF([2]对账明细接口!$M$523=0,"",[2]对账明细接口!$M$523),"")</f>
        <v/>
      </c>
      <c r="N523" s="19">
        <f t="shared" si="48"/>
        <v>0</v>
      </c>
      <c r="O523" s="19">
        <f t="shared" si="49"/>
        <v>165</v>
      </c>
      <c r="S523" s="20" t="str">
        <f>IFERROR(IF([2]对账明细接口!$N523=0,"",[2]对账明细接口!$N523),"")</f>
        <v/>
      </c>
      <c r="T523" s="21" t="str">
        <f>IFERROR(IF([2]对账明细接口!$O523=0,"",[2]对账明细接口!$O523),"")</f>
        <v/>
      </c>
      <c r="U523" s="21" t="str">
        <f>IFERROR(IF([2]对账明细接口!$P523=0,"",[2]对账明细接口!$P523),"")</f>
        <v/>
      </c>
      <c r="V523" s="21" t="str">
        <f>IFERROR(IF([2]对账明细接口!$Q523=0,"",[2]对账明细接口!$Q523),"")</f>
        <v/>
      </c>
      <c r="W523" s="20" t="str">
        <f>IFERROR(IF([2]对账明细接口!$R523=0,"",[2]对账明细接口!$R523),"")</f>
        <v/>
      </c>
      <c r="X523" s="20" t="str">
        <f>IFERROR(IF([2]对账明细接口!$S523=0,"",[2]对账明细接口!$S523),"")</f>
        <v/>
      </c>
      <c r="Y523" s="20" t="str">
        <f t="shared" si="50"/>
        <v/>
      </c>
      <c r="Z523" s="20" t="str">
        <f t="shared" si="51"/>
        <v/>
      </c>
      <c r="AA523" s="20" t="str">
        <f t="shared" si="52"/>
        <v/>
      </c>
      <c r="AB523" s="20" t="str">
        <f t="shared" si="53"/>
        <v/>
      </c>
    </row>
    <row r="524" customHeight="1" spans="1:28">
      <c r="A524" s="14">
        <v>524</v>
      </c>
      <c r="B524" s="15" t="str">
        <f>IFERROR(IF([2]对账明细接口!$B$524=0,"",[2]对账明细接口!$B$524),"")</f>
        <v/>
      </c>
      <c r="C524" s="16" t="str">
        <f>IFERROR(IF([2]对账明细接口!$C$524=0,"",[2]对账明细接口!$C$524),"")</f>
        <v/>
      </c>
      <c r="D524" s="16" t="str">
        <f>IFERROR(IF([2]对账明细接口!$D$524=0,"",[2]对账明细接口!$D$524),"")</f>
        <v/>
      </c>
      <c r="E524" s="16" t="str">
        <f>IFERROR(IF([2]对账明细接口!$E$524=0,"",[2]对账明细接口!$E$524),"")</f>
        <v/>
      </c>
      <c r="F524" s="16" t="str">
        <f>IFERROR(IF([2]对账明细接口!$F$524=0,"",[2]对账明细接口!$F$524),"")</f>
        <v/>
      </c>
      <c r="G524" s="16" t="str">
        <f>IFERROR(IF([2]对账明细接口!$G$524=0,"",[2]对账明细接口!$G$524),"")</f>
        <v/>
      </c>
      <c r="H524" s="17" t="str">
        <f>IFERROR(IF([2]对账明细接口!$H$524=0,"",[2]对账明细接口!$H$524),"")</f>
        <v/>
      </c>
      <c r="I524" s="16" t="str">
        <f>IFERROR(IF([2]对账明细接口!$I$524=0,"",[2]对账明细接口!$I$524),"")</f>
        <v/>
      </c>
      <c r="J524" s="18" t="str">
        <f>IFERROR(IF([2]对账明细接口!$J$524=0,"",[2]对账明细接口!$J$524),"")</f>
        <v/>
      </c>
      <c r="K524" s="18" t="str">
        <f>IFERROR(IF([2]对账明细接口!$K$524=0,"",[2]对账明细接口!$K$524),"")</f>
        <v/>
      </c>
      <c r="L524" s="16" t="str">
        <f>IFERROR(IF([2]对账明细接口!$L$524=0,"",[2]对账明细接口!$L$524),"")</f>
        <v/>
      </c>
      <c r="M524" s="16" t="str">
        <f>IFERROR(IF([2]对账明细接口!$M$524=0,"",[2]对账明细接口!$M$524),"")</f>
        <v/>
      </c>
      <c r="N524" s="19">
        <f t="shared" si="48"/>
        <v>0</v>
      </c>
      <c r="O524" s="19">
        <f t="shared" si="49"/>
        <v>165</v>
      </c>
      <c r="S524" s="20" t="str">
        <f>IFERROR(IF([2]对账明细接口!$N524=0,"",[2]对账明细接口!$N524),"")</f>
        <v/>
      </c>
      <c r="T524" s="21" t="str">
        <f>IFERROR(IF([2]对账明细接口!$O524=0,"",[2]对账明细接口!$O524),"")</f>
        <v/>
      </c>
      <c r="U524" s="21" t="str">
        <f>IFERROR(IF([2]对账明细接口!$P524=0,"",[2]对账明细接口!$P524),"")</f>
        <v/>
      </c>
      <c r="V524" s="21" t="str">
        <f>IFERROR(IF([2]对账明细接口!$Q524=0,"",[2]对账明细接口!$Q524),"")</f>
        <v/>
      </c>
      <c r="W524" s="20" t="str">
        <f>IFERROR(IF([2]对账明细接口!$R524=0,"",[2]对账明细接口!$R524),"")</f>
        <v/>
      </c>
      <c r="X524" s="20" t="str">
        <f>IFERROR(IF([2]对账明细接口!$S524=0,"",[2]对账明细接口!$S524),"")</f>
        <v/>
      </c>
      <c r="Y524" s="20" t="str">
        <f t="shared" si="50"/>
        <v/>
      </c>
      <c r="Z524" s="20" t="str">
        <f t="shared" si="51"/>
        <v/>
      </c>
      <c r="AA524" s="20" t="str">
        <f t="shared" si="52"/>
        <v/>
      </c>
      <c r="AB524" s="20" t="str">
        <f t="shared" si="53"/>
        <v/>
      </c>
    </row>
    <row r="525" customHeight="1" spans="1:28">
      <c r="A525" s="14">
        <v>525</v>
      </c>
      <c r="B525" s="15" t="str">
        <f>IFERROR(IF([2]对账明细接口!$B$525=0,"",[2]对账明细接口!$B$525),"")</f>
        <v/>
      </c>
      <c r="C525" s="16" t="str">
        <f>IFERROR(IF([2]对账明细接口!$C$525=0,"",[2]对账明细接口!$C$525),"")</f>
        <v/>
      </c>
      <c r="D525" s="16" t="str">
        <f>IFERROR(IF([2]对账明细接口!$D$525=0,"",[2]对账明细接口!$D$525),"")</f>
        <v/>
      </c>
      <c r="E525" s="16" t="str">
        <f>IFERROR(IF([2]对账明细接口!$E$525=0,"",[2]对账明细接口!$E$525),"")</f>
        <v/>
      </c>
      <c r="F525" s="16" t="str">
        <f>IFERROR(IF([2]对账明细接口!$F$525=0,"",[2]对账明细接口!$F$525),"")</f>
        <v/>
      </c>
      <c r="G525" s="16" t="str">
        <f>IFERROR(IF([2]对账明细接口!$G$525=0,"",[2]对账明细接口!$G$525),"")</f>
        <v/>
      </c>
      <c r="H525" s="17" t="str">
        <f>IFERROR(IF([2]对账明细接口!$H$525=0,"",[2]对账明细接口!$H$525),"")</f>
        <v/>
      </c>
      <c r="I525" s="16" t="str">
        <f>IFERROR(IF([2]对账明细接口!$I$525=0,"",[2]对账明细接口!$I$525),"")</f>
        <v/>
      </c>
      <c r="J525" s="18" t="str">
        <f>IFERROR(IF([2]对账明细接口!$J$525=0,"",[2]对账明细接口!$J$525),"")</f>
        <v/>
      </c>
      <c r="K525" s="18" t="str">
        <f>IFERROR(IF([2]对账明细接口!$K$525=0,"",[2]对账明细接口!$K$525),"")</f>
        <v/>
      </c>
      <c r="L525" s="16" t="str">
        <f>IFERROR(IF([2]对账明细接口!$L$525=0,"",[2]对账明细接口!$L$525),"")</f>
        <v/>
      </c>
      <c r="M525" s="16" t="str">
        <f>IFERROR(IF([2]对账明细接口!$M$525=0,"",[2]对账明细接口!$M$525),"")</f>
        <v/>
      </c>
      <c r="N525" s="19">
        <f t="shared" si="48"/>
        <v>0</v>
      </c>
      <c r="O525" s="19">
        <f t="shared" si="49"/>
        <v>165</v>
      </c>
      <c r="S525" s="20" t="str">
        <f>IFERROR(IF([2]对账明细接口!$N525=0,"",[2]对账明细接口!$N525),"")</f>
        <v/>
      </c>
      <c r="T525" s="21" t="str">
        <f>IFERROR(IF([2]对账明细接口!$O525=0,"",[2]对账明细接口!$O525),"")</f>
        <v/>
      </c>
      <c r="U525" s="21" t="str">
        <f>IFERROR(IF([2]对账明细接口!$P525=0,"",[2]对账明细接口!$P525),"")</f>
        <v/>
      </c>
      <c r="V525" s="21" t="str">
        <f>IFERROR(IF([2]对账明细接口!$Q525=0,"",[2]对账明细接口!$Q525),"")</f>
        <v/>
      </c>
      <c r="W525" s="20" t="str">
        <f>IFERROR(IF([2]对账明细接口!$R525=0,"",[2]对账明细接口!$R525),"")</f>
        <v/>
      </c>
      <c r="X525" s="20" t="str">
        <f>IFERROR(IF([2]对账明细接口!$S525=0,"",[2]对账明细接口!$S525),"")</f>
        <v/>
      </c>
      <c r="Y525" s="20" t="str">
        <f t="shared" si="50"/>
        <v/>
      </c>
      <c r="Z525" s="20" t="str">
        <f t="shared" si="51"/>
        <v/>
      </c>
      <c r="AA525" s="20" t="str">
        <f t="shared" si="52"/>
        <v/>
      </c>
      <c r="AB525" s="20" t="str">
        <f t="shared" si="53"/>
        <v/>
      </c>
    </row>
    <row r="526" customHeight="1" spans="1:28">
      <c r="A526" s="14">
        <v>526</v>
      </c>
      <c r="B526" s="15" t="str">
        <f>IFERROR(IF([2]对账明细接口!$B$526=0,"",[2]对账明细接口!$B$526),"")</f>
        <v/>
      </c>
      <c r="C526" s="16" t="str">
        <f>IFERROR(IF([2]对账明细接口!$C$526=0,"",[2]对账明细接口!$C$526),"")</f>
        <v/>
      </c>
      <c r="D526" s="16" t="str">
        <f>IFERROR(IF([2]对账明细接口!$D$526=0,"",[2]对账明细接口!$D$526),"")</f>
        <v/>
      </c>
      <c r="E526" s="16" t="str">
        <f>IFERROR(IF([2]对账明细接口!$E$526=0,"",[2]对账明细接口!$E$526),"")</f>
        <v/>
      </c>
      <c r="F526" s="16" t="str">
        <f>IFERROR(IF([2]对账明细接口!$F$526=0,"",[2]对账明细接口!$F$526),"")</f>
        <v/>
      </c>
      <c r="G526" s="16" t="str">
        <f>IFERROR(IF([2]对账明细接口!$G$526=0,"",[2]对账明细接口!$G$526),"")</f>
        <v/>
      </c>
      <c r="H526" s="17" t="str">
        <f>IFERROR(IF([2]对账明细接口!$H$526=0,"",[2]对账明细接口!$H$526),"")</f>
        <v/>
      </c>
      <c r="I526" s="16" t="str">
        <f>IFERROR(IF([2]对账明细接口!$I$526=0,"",[2]对账明细接口!$I$526),"")</f>
        <v/>
      </c>
      <c r="J526" s="18" t="str">
        <f>IFERROR(IF([2]对账明细接口!$J$526=0,"",[2]对账明细接口!$J$526),"")</f>
        <v/>
      </c>
      <c r="K526" s="18" t="str">
        <f>IFERROR(IF([2]对账明细接口!$K$526=0,"",[2]对账明细接口!$K$526),"")</f>
        <v/>
      </c>
      <c r="L526" s="16" t="str">
        <f>IFERROR(IF([2]对账明细接口!$L$526=0,"",[2]对账明细接口!$L$526),"")</f>
        <v/>
      </c>
      <c r="M526" s="16" t="str">
        <f>IFERROR(IF([2]对账明细接口!$M$526=0,"",[2]对账明细接口!$M$526),"")</f>
        <v/>
      </c>
      <c r="N526" s="19">
        <f t="shared" si="48"/>
        <v>0</v>
      </c>
      <c r="O526" s="19">
        <f t="shared" si="49"/>
        <v>165</v>
      </c>
      <c r="S526" s="20" t="str">
        <f>IFERROR(IF([2]对账明细接口!$N526=0,"",[2]对账明细接口!$N526),"")</f>
        <v/>
      </c>
      <c r="T526" s="21" t="str">
        <f>IFERROR(IF([2]对账明细接口!$O526=0,"",[2]对账明细接口!$O526),"")</f>
        <v/>
      </c>
      <c r="U526" s="21" t="str">
        <f>IFERROR(IF([2]对账明细接口!$P526=0,"",[2]对账明细接口!$P526),"")</f>
        <v/>
      </c>
      <c r="V526" s="21" t="str">
        <f>IFERROR(IF([2]对账明细接口!$Q526=0,"",[2]对账明细接口!$Q526),"")</f>
        <v/>
      </c>
      <c r="W526" s="20" t="str">
        <f>IFERROR(IF([2]对账明细接口!$R526=0,"",[2]对账明细接口!$R526),"")</f>
        <v/>
      </c>
      <c r="X526" s="20" t="str">
        <f>IFERROR(IF([2]对账明细接口!$S526=0,"",[2]对账明细接口!$S526),"")</f>
        <v/>
      </c>
      <c r="Y526" s="20" t="str">
        <f t="shared" si="50"/>
        <v/>
      </c>
      <c r="Z526" s="20" t="str">
        <f t="shared" si="51"/>
        <v/>
      </c>
      <c r="AA526" s="20" t="str">
        <f t="shared" si="52"/>
        <v/>
      </c>
      <c r="AB526" s="20" t="str">
        <f t="shared" si="53"/>
        <v/>
      </c>
    </row>
    <row r="527" customHeight="1" spans="1:28">
      <c r="A527" s="14">
        <v>527</v>
      </c>
      <c r="B527" s="15" t="str">
        <f>IFERROR(IF([2]对账明细接口!$B$527=0,"",[2]对账明细接口!$B$527),"")</f>
        <v/>
      </c>
      <c r="C527" s="16" t="str">
        <f>IFERROR(IF([2]对账明细接口!$C$527=0,"",[2]对账明细接口!$C$527),"")</f>
        <v/>
      </c>
      <c r="D527" s="16" t="str">
        <f>IFERROR(IF([2]对账明细接口!$D$527=0,"",[2]对账明细接口!$D$527),"")</f>
        <v/>
      </c>
      <c r="E527" s="16" t="str">
        <f>IFERROR(IF([2]对账明细接口!$E$527=0,"",[2]对账明细接口!$E$527),"")</f>
        <v/>
      </c>
      <c r="F527" s="16" t="str">
        <f>IFERROR(IF([2]对账明细接口!$F$527=0,"",[2]对账明细接口!$F$527),"")</f>
        <v/>
      </c>
      <c r="G527" s="16" t="str">
        <f>IFERROR(IF([2]对账明细接口!$G$527=0,"",[2]对账明细接口!$G$527),"")</f>
        <v/>
      </c>
      <c r="H527" s="17" t="str">
        <f>IFERROR(IF([2]对账明细接口!$H$527=0,"",[2]对账明细接口!$H$527),"")</f>
        <v/>
      </c>
      <c r="I527" s="16" t="str">
        <f>IFERROR(IF([2]对账明细接口!$I$527=0,"",[2]对账明细接口!$I$527),"")</f>
        <v/>
      </c>
      <c r="J527" s="18" t="str">
        <f>IFERROR(IF([2]对账明细接口!$J$527=0,"",[2]对账明细接口!$J$527),"")</f>
        <v/>
      </c>
      <c r="K527" s="18" t="str">
        <f>IFERROR(IF([2]对账明细接口!$K$527=0,"",[2]对账明细接口!$K$527),"")</f>
        <v/>
      </c>
      <c r="L527" s="16" t="str">
        <f>IFERROR(IF([2]对账明细接口!$L$527=0,"",[2]对账明细接口!$L$527),"")</f>
        <v/>
      </c>
      <c r="M527" s="16" t="str">
        <f>IFERROR(IF([2]对账明细接口!$M$527=0,"",[2]对账明细接口!$M$527),"")</f>
        <v/>
      </c>
      <c r="N527" s="19">
        <f t="shared" si="48"/>
        <v>0</v>
      </c>
      <c r="O527" s="19">
        <f t="shared" si="49"/>
        <v>165</v>
      </c>
      <c r="S527" s="20" t="str">
        <f>IFERROR(IF([2]对账明细接口!$N527=0,"",[2]对账明细接口!$N527),"")</f>
        <v/>
      </c>
      <c r="T527" s="21" t="str">
        <f>IFERROR(IF([2]对账明细接口!$O527=0,"",[2]对账明细接口!$O527),"")</f>
        <v/>
      </c>
      <c r="U527" s="21" t="str">
        <f>IFERROR(IF([2]对账明细接口!$P527=0,"",[2]对账明细接口!$P527),"")</f>
        <v/>
      </c>
      <c r="V527" s="21" t="str">
        <f>IFERROR(IF([2]对账明细接口!$Q527=0,"",[2]对账明细接口!$Q527),"")</f>
        <v/>
      </c>
      <c r="W527" s="20" t="str">
        <f>IFERROR(IF([2]对账明细接口!$R527=0,"",[2]对账明细接口!$R527),"")</f>
        <v/>
      </c>
      <c r="X527" s="20" t="str">
        <f>IFERROR(IF([2]对账明细接口!$S527=0,"",[2]对账明细接口!$S527),"")</f>
        <v/>
      </c>
      <c r="Y527" s="20" t="str">
        <f t="shared" si="50"/>
        <v/>
      </c>
      <c r="Z527" s="20" t="str">
        <f t="shared" si="51"/>
        <v/>
      </c>
      <c r="AA527" s="20" t="str">
        <f t="shared" si="52"/>
        <v/>
      </c>
      <c r="AB527" s="20" t="str">
        <f t="shared" si="53"/>
        <v/>
      </c>
    </row>
    <row r="528" customHeight="1" spans="1:28">
      <c r="A528" s="14">
        <v>528</v>
      </c>
      <c r="B528" s="15" t="str">
        <f>IFERROR(IF([2]对账明细接口!$B$528=0,"",[2]对账明细接口!$B$528),"")</f>
        <v/>
      </c>
      <c r="C528" s="16" t="str">
        <f>IFERROR(IF([2]对账明细接口!$C$528=0,"",[2]对账明细接口!$C$528),"")</f>
        <v/>
      </c>
      <c r="D528" s="16" t="str">
        <f>IFERROR(IF([2]对账明细接口!$D$528=0,"",[2]对账明细接口!$D$528),"")</f>
        <v/>
      </c>
      <c r="E528" s="16" t="str">
        <f>IFERROR(IF([2]对账明细接口!$E$528=0,"",[2]对账明细接口!$E$528),"")</f>
        <v/>
      </c>
      <c r="F528" s="16" t="str">
        <f>IFERROR(IF([2]对账明细接口!$F$528=0,"",[2]对账明细接口!$F$528),"")</f>
        <v/>
      </c>
      <c r="G528" s="16" t="str">
        <f>IFERROR(IF([2]对账明细接口!$G$528=0,"",[2]对账明细接口!$G$528),"")</f>
        <v/>
      </c>
      <c r="H528" s="17" t="str">
        <f>IFERROR(IF([2]对账明细接口!$H$528=0,"",[2]对账明细接口!$H$528),"")</f>
        <v/>
      </c>
      <c r="I528" s="16" t="str">
        <f>IFERROR(IF([2]对账明细接口!$I$528=0,"",[2]对账明细接口!$I$528),"")</f>
        <v/>
      </c>
      <c r="J528" s="18" t="str">
        <f>IFERROR(IF([2]对账明细接口!$J$528=0,"",[2]对账明细接口!$J$528),"")</f>
        <v/>
      </c>
      <c r="K528" s="18" t="str">
        <f>IFERROR(IF([2]对账明细接口!$K$528=0,"",[2]对账明细接口!$K$528),"")</f>
        <v/>
      </c>
      <c r="L528" s="16" t="str">
        <f>IFERROR(IF([2]对账明细接口!$L$528=0,"",[2]对账明细接口!$L$528),"")</f>
        <v/>
      </c>
      <c r="M528" s="16" t="str">
        <f>IFERROR(IF([2]对账明细接口!$M$528=0,"",[2]对账明细接口!$M$528),"")</f>
        <v/>
      </c>
      <c r="N528" s="19">
        <f t="shared" si="48"/>
        <v>0</v>
      </c>
      <c r="O528" s="19">
        <f t="shared" si="49"/>
        <v>165</v>
      </c>
      <c r="S528" s="20" t="str">
        <f>IFERROR(IF([2]对账明细接口!$N528=0,"",[2]对账明细接口!$N528),"")</f>
        <v/>
      </c>
      <c r="T528" s="21" t="str">
        <f>IFERROR(IF([2]对账明细接口!$O528=0,"",[2]对账明细接口!$O528),"")</f>
        <v/>
      </c>
      <c r="U528" s="21" t="str">
        <f>IFERROR(IF([2]对账明细接口!$P528=0,"",[2]对账明细接口!$P528),"")</f>
        <v/>
      </c>
      <c r="V528" s="21" t="str">
        <f>IFERROR(IF([2]对账明细接口!$Q528=0,"",[2]对账明细接口!$Q528),"")</f>
        <v/>
      </c>
      <c r="W528" s="20" t="str">
        <f>IFERROR(IF([2]对账明细接口!$R528=0,"",[2]对账明细接口!$R528),"")</f>
        <v/>
      </c>
      <c r="X528" s="20" t="str">
        <f>IFERROR(IF([2]对账明细接口!$S528=0,"",[2]对账明细接口!$S528),"")</f>
        <v/>
      </c>
      <c r="Y528" s="20" t="str">
        <f t="shared" si="50"/>
        <v/>
      </c>
      <c r="Z528" s="20" t="str">
        <f t="shared" si="51"/>
        <v/>
      </c>
      <c r="AA528" s="20" t="str">
        <f t="shared" si="52"/>
        <v/>
      </c>
      <c r="AB528" s="20" t="str">
        <f t="shared" si="53"/>
        <v/>
      </c>
    </row>
    <row r="529" customHeight="1" spans="1:28">
      <c r="A529" s="14">
        <v>529</v>
      </c>
      <c r="B529" s="15" t="str">
        <f>IFERROR(IF([2]对账明细接口!$B$529=0,"",[2]对账明细接口!$B$529),"")</f>
        <v/>
      </c>
      <c r="C529" s="16" t="str">
        <f>IFERROR(IF([2]对账明细接口!$C$529=0,"",[2]对账明细接口!$C$529),"")</f>
        <v/>
      </c>
      <c r="D529" s="16" t="str">
        <f>IFERROR(IF([2]对账明细接口!$D$529=0,"",[2]对账明细接口!$D$529),"")</f>
        <v/>
      </c>
      <c r="E529" s="16" t="str">
        <f>IFERROR(IF([2]对账明细接口!$E$529=0,"",[2]对账明细接口!$E$529),"")</f>
        <v/>
      </c>
      <c r="F529" s="16" t="str">
        <f>IFERROR(IF([2]对账明细接口!$F$529=0,"",[2]对账明细接口!$F$529),"")</f>
        <v/>
      </c>
      <c r="G529" s="16" t="str">
        <f>IFERROR(IF([2]对账明细接口!$G$529=0,"",[2]对账明细接口!$G$529),"")</f>
        <v/>
      </c>
      <c r="H529" s="17" t="str">
        <f>IFERROR(IF([2]对账明细接口!$H$529=0,"",[2]对账明细接口!$H$529),"")</f>
        <v/>
      </c>
      <c r="I529" s="16" t="str">
        <f>IFERROR(IF([2]对账明细接口!$I$529=0,"",[2]对账明细接口!$I$529),"")</f>
        <v/>
      </c>
      <c r="J529" s="18" t="str">
        <f>IFERROR(IF([2]对账明细接口!$J$529=0,"",[2]对账明细接口!$J$529),"")</f>
        <v/>
      </c>
      <c r="K529" s="18" t="str">
        <f>IFERROR(IF([2]对账明细接口!$K$529=0,"",[2]对账明细接口!$K$529),"")</f>
        <v/>
      </c>
      <c r="L529" s="16" t="str">
        <f>IFERROR(IF([2]对账明细接口!$L$529=0,"",[2]对账明细接口!$L$529),"")</f>
        <v/>
      </c>
      <c r="M529" s="16" t="str">
        <f>IFERROR(IF([2]对账明细接口!$M$529=0,"",[2]对账明细接口!$M$529),"")</f>
        <v/>
      </c>
      <c r="N529" s="19">
        <f t="shared" si="48"/>
        <v>0</v>
      </c>
      <c r="O529" s="19">
        <f t="shared" si="49"/>
        <v>165</v>
      </c>
      <c r="S529" s="20" t="str">
        <f>IFERROR(IF([2]对账明细接口!$N529=0,"",[2]对账明细接口!$N529),"")</f>
        <v/>
      </c>
      <c r="T529" s="21" t="str">
        <f>IFERROR(IF([2]对账明细接口!$O529=0,"",[2]对账明细接口!$O529),"")</f>
        <v/>
      </c>
      <c r="U529" s="21" t="str">
        <f>IFERROR(IF([2]对账明细接口!$P529=0,"",[2]对账明细接口!$P529),"")</f>
        <v/>
      </c>
      <c r="V529" s="21" t="str">
        <f>IFERROR(IF([2]对账明细接口!$Q529=0,"",[2]对账明细接口!$Q529),"")</f>
        <v/>
      </c>
      <c r="W529" s="20" t="str">
        <f>IFERROR(IF([2]对账明细接口!$R529=0,"",[2]对账明细接口!$R529),"")</f>
        <v/>
      </c>
      <c r="X529" s="20" t="str">
        <f>IFERROR(IF([2]对账明细接口!$S529=0,"",[2]对账明细接口!$S529),"")</f>
        <v/>
      </c>
      <c r="Y529" s="20" t="str">
        <f t="shared" si="50"/>
        <v/>
      </c>
      <c r="Z529" s="20" t="str">
        <f t="shared" si="51"/>
        <v/>
      </c>
      <c r="AA529" s="20" t="str">
        <f t="shared" si="52"/>
        <v/>
      </c>
      <c r="AB529" s="20" t="str">
        <f t="shared" si="53"/>
        <v/>
      </c>
    </row>
    <row r="530" customHeight="1" spans="1:28">
      <c r="A530" s="14">
        <v>530</v>
      </c>
      <c r="B530" s="15" t="str">
        <f>IFERROR(IF([2]对账明细接口!$B$530=0,"",[2]对账明细接口!$B$530),"")</f>
        <v/>
      </c>
      <c r="C530" s="16" t="str">
        <f>IFERROR(IF([2]对账明细接口!$C$530=0,"",[2]对账明细接口!$C$530),"")</f>
        <v/>
      </c>
      <c r="D530" s="16" t="str">
        <f>IFERROR(IF([2]对账明细接口!$D$530=0,"",[2]对账明细接口!$D$530),"")</f>
        <v/>
      </c>
      <c r="E530" s="16" t="str">
        <f>IFERROR(IF([2]对账明细接口!$E$530=0,"",[2]对账明细接口!$E$530),"")</f>
        <v/>
      </c>
      <c r="F530" s="16" t="str">
        <f>IFERROR(IF([2]对账明细接口!$F$530=0,"",[2]对账明细接口!$F$530),"")</f>
        <v/>
      </c>
      <c r="G530" s="16" t="str">
        <f>IFERROR(IF([2]对账明细接口!$G$530=0,"",[2]对账明细接口!$G$530),"")</f>
        <v/>
      </c>
      <c r="H530" s="17" t="str">
        <f>IFERROR(IF([2]对账明细接口!$H$530=0,"",[2]对账明细接口!$H$530),"")</f>
        <v/>
      </c>
      <c r="I530" s="16" t="str">
        <f>IFERROR(IF([2]对账明细接口!$I$530=0,"",[2]对账明细接口!$I$530),"")</f>
        <v/>
      </c>
      <c r="J530" s="18" t="str">
        <f>IFERROR(IF([2]对账明细接口!$J$530=0,"",[2]对账明细接口!$J$530),"")</f>
        <v/>
      </c>
      <c r="K530" s="18" t="str">
        <f>IFERROR(IF([2]对账明细接口!$K$530=0,"",[2]对账明细接口!$K$530),"")</f>
        <v/>
      </c>
      <c r="L530" s="16" t="str">
        <f>IFERROR(IF([2]对账明细接口!$L$530=0,"",[2]对账明细接口!$L$530),"")</f>
        <v/>
      </c>
      <c r="M530" s="16" t="str">
        <f>IFERROR(IF([2]对账明细接口!$M$530=0,"",[2]对账明细接口!$M$530),"")</f>
        <v/>
      </c>
      <c r="N530" s="19">
        <f t="shared" si="48"/>
        <v>0</v>
      </c>
      <c r="O530" s="19">
        <f t="shared" si="49"/>
        <v>165</v>
      </c>
      <c r="S530" s="20" t="str">
        <f>IFERROR(IF([2]对账明细接口!$N530=0,"",[2]对账明细接口!$N530),"")</f>
        <v/>
      </c>
      <c r="T530" s="21" t="str">
        <f>IFERROR(IF([2]对账明细接口!$O530=0,"",[2]对账明细接口!$O530),"")</f>
        <v/>
      </c>
      <c r="U530" s="21" t="str">
        <f>IFERROR(IF([2]对账明细接口!$P530=0,"",[2]对账明细接口!$P530),"")</f>
        <v/>
      </c>
      <c r="V530" s="21" t="str">
        <f>IFERROR(IF([2]对账明细接口!$Q530=0,"",[2]对账明细接口!$Q530),"")</f>
        <v/>
      </c>
      <c r="W530" s="20" t="str">
        <f>IFERROR(IF([2]对账明细接口!$R530=0,"",[2]对账明细接口!$R530),"")</f>
        <v/>
      </c>
      <c r="X530" s="20" t="str">
        <f>IFERROR(IF([2]对账明细接口!$S530=0,"",[2]对账明细接口!$S530),"")</f>
        <v/>
      </c>
      <c r="Y530" s="20" t="str">
        <f t="shared" si="50"/>
        <v/>
      </c>
      <c r="Z530" s="20" t="str">
        <f t="shared" si="51"/>
        <v/>
      </c>
      <c r="AA530" s="20" t="str">
        <f t="shared" si="52"/>
        <v/>
      </c>
      <c r="AB530" s="20" t="str">
        <f t="shared" si="53"/>
        <v/>
      </c>
    </row>
    <row r="531" customHeight="1" spans="1:28">
      <c r="A531" s="14">
        <v>531</v>
      </c>
      <c r="B531" s="15" t="str">
        <f>IFERROR(IF([2]对账明细接口!$B$531=0,"",[2]对账明细接口!$B$531),"")</f>
        <v/>
      </c>
      <c r="C531" s="16" t="str">
        <f>IFERROR(IF([2]对账明细接口!$C$531=0,"",[2]对账明细接口!$C$531),"")</f>
        <v/>
      </c>
      <c r="D531" s="16" t="str">
        <f>IFERROR(IF([2]对账明细接口!$D$531=0,"",[2]对账明细接口!$D$531),"")</f>
        <v/>
      </c>
      <c r="E531" s="16" t="str">
        <f>IFERROR(IF([2]对账明细接口!$E$531=0,"",[2]对账明细接口!$E$531),"")</f>
        <v/>
      </c>
      <c r="F531" s="16" t="str">
        <f>IFERROR(IF([2]对账明细接口!$F$531=0,"",[2]对账明细接口!$F$531),"")</f>
        <v/>
      </c>
      <c r="G531" s="16" t="str">
        <f>IFERROR(IF([2]对账明细接口!$G$531=0,"",[2]对账明细接口!$G$531),"")</f>
        <v/>
      </c>
      <c r="H531" s="17" t="str">
        <f>IFERROR(IF([2]对账明细接口!$H$531=0,"",[2]对账明细接口!$H$531),"")</f>
        <v/>
      </c>
      <c r="I531" s="16" t="str">
        <f>IFERROR(IF([2]对账明细接口!$I$531=0,"",[2]对账明细接口!$I$531),"")</f>
        <v/>
      </c>
      <c r="J531" s="18" t="str">
        <f>IFERROR(IF([2]对账明细接口!$J$531=0,"",[2]对账明细接口!$J$531),"")</f>
        <v/>
      </c>
      <c r="K531" s="18" t="str">
        <f>IFERROR(IF([2]对账明细接口!$K$531=0,"",[2]对账明细接口!$K$531),"")</f>
        <v/>
      </c>
      <c r="L531" s="16" t="str">
        <f>IFERROR(IF([2]对账明细接口!$L$531=0,"",[2]对账明细接口!$L$531),"")</f>
        <v/>
      </c>
      <c r="M531" s="16" t="str">
        <f>IFERROR(IF([2]对账明细接口!$M$531=0,"",[2]对账明细接口!$M$531),"")</f>
        <v/>
      </c>
      <c r="N531" s="19">
        <f t="shared" si="48"/>
        <v>0</v>
      </c>
      <c r="O531" s="19">
        <f t="shared" si="49"/>
        <v>165</v>
      </c>
      <c r="S531" s="20" t="str">
        <f>IFERROR(IF([2]对账明细接口!$N531=0,"",[2]对账明细接口!$N531),"")</f>
        <v/>
      </c>
      <c r="T531" s="21" t="str">
        <f>IFERROR(IF([2]对账明细接口!$O531=0,"",[2]对账明细接口!$O531),"")</f>
        <v/>
      </c>
      <c r="U531" s="21" t="str">
        <f>IFERROR(IF([2]对账明细接口!$P531=0,"",[2]对账明细接口!$P531),"")</f>
        <v/>
      </c>
      <c r="V531" s="21" t="str">
        <f>IFERROR(IF([2]对账明细接口!$Q531=0,"",[2]对账明细接口!$Q531),"")</f>
        <v/>
      </c>
      <c r="W531" s="20" t="str">
        <f>IFERROR(IF([2]对账明细接口!$R531=0,"",[2]对账明细接口!$R531),"")</f>
        <v/>
      </c>
      <c r="X531" s="20" t="str">
        <f>IFERROR(IF([2]对账明细接口!$S531=0,"",[2]对账明细接口!$S531),"")</f>
        <v/>
      </c>
      <c r="Y531" s="20" t="str">
        <f t="shared" si="50"/>
        <v/>
      </c>
      <c r="Z531" s="20" t="str">
        <f t="shared" si="51"/>
        <v/>
      </c>
      <c r="AA531" s="20" t="str">
        <f t="shared" si="52"/>
        <v/>
      </c>
      <c r="AB531" s="20" t="str">
        <f t="shared" si="53"/>
        <v/>
      </c>
    </row>
    <row r="532" customHeight="1" spans="1:28">
      <c r="A532" s="14">
        <v>532</v>
      </c>
      <c r="B532" s="15" t="str">
        <f>IFERROR(IF([2]对账明细接口!$B$532=0,"",[2]对账明细接口!$B$532),"")</f>
        <v/>
      </c>
      <c r="C532" s="16" t="str">
        <f>IFERROR(IF([2]对账明细接口!$C$532=0,"",[2]对账明细接口!$C$532),"")</f>
        <v/>
      </c>
      <c r="D532" s="16" t="str">
        <f>IFERROR(IF([2]对账明细接口!$D$532=0,"",[2]对账明细接口!$D$532),"")</f>
        <v/>
      </c>
      <c r="E532" s="16" t="str">
        <f>IFERROR(IF([2]对账明细接口!$E$532=0,"",[2]对账明细接口!$E$532),"")</f>
        <v/>
      </c>
      <c r="F532" s="16" t="str">
        <f>IFERROR(IF([2]对账明细接口!$F$532=0,"",[2]对账明细接口!$F$532),"")</f>
        <v/>
      </c>
      <c r="G532" s="16" t="str">
        <f>IFERROR(IF([2]对账明细接口!$G$532=0,"",[2]对账明细接口!$G$532),"")</f>
        <v/>
      </c>
      <c r="H532" s="17" t="str">
        <f>IFERROR(IF([2]对账明细接口!$H$532=0,"",[2]对账明细接口!$H$532),"")</f>
        <v/>
      </c>
      <c r="I532" s="16" t="str">
        <f>IFERROR(IF([2]对账明细接口!$I$532=0,"",[2]对账明细接口!$I$532),"")</f>
        <v/>
      </c>
      <c r="J532" s="18" t="str">
        <f>IFERROR(IF([2]对账明细接口!$J$532=0,"",[2]对账明细接口!$J$532),"")</f>
        <v/>
      </c>
      <c r="K532" s="18" t="str">
        <f>IFERROR(IF([2]对账明细接口!$K$532=0,"",[2]对账明细接口!$K$532),"")</f>
        <v/>
      </c>
      <c r="L532" s="16" t="str">
        <f>IFERROR(IF([2]对账明细接口!$L$532=0,"",[2]对账明细接口!$L$532),"")</f>
        <v/>
      </c>
      <c r="M532" s="16" t="str">
        <f>IFERROR(IF([2]对账明细接口!$M$532=0,"",[2]对账明细接口!$M$532),"")</f>
        <v/>
      </c>
      <c r="N532" s="19">
        <f t="shared" si="48"/>
        <v>0</v>
      </c>
      <c r="O532" s="19">
        <f t="shared" si="49"/>
        <v>165</v>
      </c>
      <c r="S532" s="20" t="str">
        <f>IFERROR(IF([2]对账明细接口!$N532=0,"",[2]对账明细接口!$N532),"")</f>
        <v/>
      </c>
      <c r="T532" s="21" t="str">
        <f>IFERROR(IF([2]对账明细接口!$O532=0,"",[2]对账明细接口!$O532),"")</f>
        <v/>
      </c>
      <c r="U532" s="21" t="str">
        <f>IFERROR(IF([2]对账明细接口!$P532=0,"",[2]对账明细接口!$P532),"")</f>
        <v/>
      </c>
      <c r="V532" s="21" t="str">
        <f>IFERROR(IF([2]对账明细接口!$Q532=0,"",[2]对账明细接口!$Q532),"")</f>
        <v/>
      </c>
      <c r="W532" s="20" t="str">
        <f>IFERROR(IF([2]对账明细接口!$R532=0,"",[2]对账明细接口!$R532),"")</f>
        <v/>
      </c>
      <c r="X532" s="20" t="str">
        <f>IFERROR(IF([2]对账明细接口!$S532=0,"",[2]对账明细接口!$S532),"")</f>
        <v/>
      </c>
      <c r="Y532" s="20" t="str">
        <f t="shared" si="50"/>
        <v/>
      </c>
      <c r="Z532" s="20" t="str">
        <f t="shared" si="51"/>
        <v/>
      </c>
      <c r="AA532" s="20" t="str">
        <f t="shared" si="52"/>
        <v/>
      </c>
      <c r="AB532" s="20" t="str">
        <f t="shared" si="53"/>
        <v/>
      </c>
    </row>
    <row r="533" customHeight="1" spans="1:28">
      <c r="A533" s="14">
        <v>533</v>
      </c>
      <c r="B533" s="15" t="str">
        <f>IFERROR(IF([2]对账明细接口!$B$533=0,"",[2]对账明细接口!$B$533),"")</f>
        <v/>
      </c>
      <c r="C533" s="16" t="str">
        <f>IFERROR(IF([2]对账明细接口!$C$533=0,"",[2]对账明细接口!$C$533),"")</f>
        <v/>
      </c>
      <c r="D533" s="16" t="str">
        <f>IFERROR(IF([2]对账明细接口!$D$533=0,"",[2]对账明细接口!$D$533),"")</f>
        <v/>
      </c>
      <c r="E533" s="16" t="str">
        <f>IFERROR(IF([2]对账明细接口!$E$533=0,"",[2]对账明细接口!$E$533),"")</f>
        <v/>
      </c>
      <c r="F533" s="16" t="str">
        <f>IFERROR(IF([2]对账明细接口!$F$533=0,"",[2]对账明细接口!$F$533),"")</f>
        <v/>
      </c>
      <c r="G533" s="16" t="str">
        <f>IFERROR(IF([2]对账明细接口!$G$533=0,"",[2]对账明细接口!$G$533),"")</f>
        <v/>
      </c>
      <c r="H533" s="17" t="str">
        <f>IFERROR(IF([2]对账明细接口!$H$533=0,"",[2]对账明细接口!$H$533),"")</f>
        <v/>
      </c>
      <c r="I533" s="16" t="str">
        <f>IFERROR(IF([2]对账明细接口!$I$533=0,"",[2]对账明细接口!$I$533),"")</f>
        <v/>
      </c>
      <c r="J533" s="18" t="str">
        <f>IFERROR(IF([2]对账明细接口!$J$533=0,"",[2]对账明细接口!$J$533),"")</f>
        <v/>
      </c>
      <c r="K533" s="18" t="str">
        <f>IFERROR(IF([2]对账明细接口!$K$533=0,"",[2]对账明细接口!$K$533),"")</f>
        <v/>
      </c>
      <c r="L533" s="16" t="str">
        <f>IFERROR(IF([2]对账明细接口!$L$533=0,"",[2]对账明细接口!$L$533),"")</f>
        <v/>
      </c>
      <c r="M533" s="16" t="str">
        <f>IFERROR(IF([2]对账明细接口!$M$533=0,"",[2]对账明细接口!$M$533),"")</f>
        <v/>
      </c>
      <c r="N533" s="19">
        <f t="shared" si="48"/>
        <v>0</v>
      </c>
      <c r="O533" s="19">
        <f t="shared" si="49"/>
        <v>165</v>
      </c>
      <c r="S533" s="20" t="str">
        <f>IFERROR(IF([2]对账明细接口!$N533=0,"",[2]对账明细接口!$N533),"")</f>
        <v/>
      </c>
      <c r="T533" s="21" t="str">
        <f>IFERROR(IF([2]对账明细接口!$O533=0,"",[2]对账明细接口!$O533),"")</f>
        <v/>
      </c>
      <c r="U533" s="21" t="str">
        <f>IFERROR(IF([2]对账明细接口!$P533=0,"",[2]对账明细接口!$P533),"")</f>
        <v/>
      </c>
      <c r="V533" s="21" t="str">
        <f>IFERROR(IF([2]对账明细接口!$Q533=0,"",[2]对账明细接口!$Q533),"")</f>
        <v/>
      </c>
      <c r="W533" s="20" t="str">
        <f>IFERROR(IF([2]对账明细接口!$R533=0,"",[2]对账明细接口!$R533),"")</f>
        <v/>
      </c>
      <c r="X533" s="20" t="str">
        <f>IFERROR(IF([2]对账明细接口!$S533=0,"",[2]对账明细接口!$S533),"")</f>
        <v/>
      </c>
      <c r="Y533" s="20" t="str">
        <f t="shared" si="50"/>
        <v/>
      </c>
      <c r="Z533" s="20" t="str">
        <f t="shared" si="51"/>
        <v/>
      </c>
      <c r="AA533" s="20" t="str">
        <f t="shared" si="52"/>
        <v/>
      </c>
      <c r="AB533" s="20" t="str">
        <f t="shared" si="53"/>
        <v/>
      </c>
    </row>
    <row r="534" customHeight="1" spans="1:28">
      <c r="A534" s="14">
        <v>534</v>
      </c>
      <c r="B534" s="15" t="str">
        <f>IFERROR(IF([2]对账明细接口!$B$534=0,"",[2]对账明细接口!$B$534),"")</f>
        <v/>
      </c>
      <c r="C534" s="16" t="str">
        <f>IFERROR(IF([2]对账明细接口!$C$534=0,"",[2]对账明细接口!$C$534),"")</f>
        <v/>
      </c>
      <c r="D534" s="16" t="str">
        <f>IFERROR(IF([2]对账明细接口!$D$534=0,"",[2]对账明细接口!$D$534),"")</f>
        <v/>
      </c>
      <c r="E534" s="16" t="str">
        <f>IFERROR(IF([2]对账明细接口!$E$534=0,"",[2]对账明细接口!$E$534),"")</f>
        <v/>
      </c>
      <c r="F534" s="16" t="str">
        <f>IFERROR(IF([2]对账明细接口!$F$534=0,"",[2]对账明细接口!$F$534),"")</f>
        <v/>
      </c>
      <c r="G534" s="16" t="str">
        <f>IFERROR(IF([2]对账明细接口!$G$534=0,"",[2]对账明细接口!$G$534),"")</f>
        <v/>
      </c>
      <c r="H534" s="17" t="str">
        <f>IFERROR(IF([2]对账明细接口!$H$534=0,"",[2]对账明细接口!$H$534),"")</f>
        <v/>
      </c>
      <c r="I534" s="16" t="str">
        <f>IFERROR(IF([2]对账明细接口!$I$534=0,"",[2]对账明细接口!$I$534),"")</f>
        <v/>
      </c>
      <c r="J534" s="18" t="str">
        <f>IFERROR(IF([2]对账明细接口!$J$534=0,"",[2]对账明细接口!$J$534),"")</f>
        <v/>
      </c>
      <c r="K534" s="18" t="str">
        <f>IFERROR(IF([2]对账明细接口!$K$534=0,"",[2]对账明细接口!$K$534),"")</f>
        <v/>
      </c>
      <c r="L534" s="16" t="str">
        <f>IFERROR(IF([2]对账明细接口!$L$534=0,"",[2]对账明细接口!$L$534),"")</f>
        <v/>
      </c>
      <c r="M534" s="16" t="str">
        <f>IFERROR(IF([2]对账明细接口!$M$534=0,"",[2]对账明细接口!$M$534),"")</f>
        <v/>
      </c>
      <c r="N534" s="19">
        <f t="shared" si="48"/>
        <v>0</v>
      </c>
      <c r="O534" s="19">
        <f t="shared" si="49"/>
        <v>165</v>
      </c>
      <c r="S534" s="20" t="str">
        <f>IFERROR(IF([2]对账明细接口!$N534=0,"",[2]对账明细接口!$N534),"")</f>
        <v/>
      </c>
      <c r="T534" s="21" t="str">
        <f>IFERROR(IF([2]对账明细接口!$O534=0,"",[2]对账明细接口!$O534),"")</f>
        <v/>
      </c>
      <c r="U534" s="21" t="str">
        <f>IFERROR(IF([2]对账明细接口!$P534=0,"",[2]对账明细接口!$P534),"")</f>
        <v/>
      </c>
      <c r="V534" s="21" t="str">
        <f>IFERROR(IF([2]对账明细接口!$Q534=0,"",[2]对账明细接口!$Q534),"")</f>
        <v/>
      </c>
      <c r="W534" s="20" t="str">
        <f>IFERROR(IF([2]对账明细接口!$R534=0,"",[2]对账明细接口!$R534),"")</f>
        <v/>
      </c>
      <c r="X534" s="20" t="str">
        <f>IFERROR(IF([2]对账明细接口!$S534=0,"",[2]对账明细接口!$S534),"")</f>
        <v/>
      </c>
      <c r="Y534" s="20" t="str">
        <f t="shared" si="50"/>
        <v/>
      </c>
      <c r="Z534" s="20" t="str">
        <f t="shared" si="51"/>
        <v/>
      </c>
      <c r="AA534" s="20" t="str">
        <f t="shared" si="52"/>
        <v/>
      </c>
      <c r="AB534" s="20" t="str">
        <f t="shared" si="53"/>
        <v/>
      </c>
    </row>
    <row r="535" customHeight="1" spans="1:28">
      <c r="A535" s="14">
        <v>535</v>
      </c>
      <c r="B535" s="15" t="str">
        <f>IFERROR(IF([2]对账明细接口!$B$535=0,"",[2]对账明细接口!$B$535),"")</f>
        <v/>
      </c>
      <c r="C535" s="16" t="str">
        <f>IFERROR(IF([2]对账明细接口!$C$535=0,"",[2]对账明细接口!$C$535),"")</f>
        <v/>
      </c>
      <c r="D535" s="16" t="str">
        <f>IFERROR(IF([2]对账明细接口!$D$535=0,"",[2]对账明细接口!$D$535),"")</f>
        <v/>
      </c>
      <c r="E535" s="16" t="str">
        <f>IFERROR(IF([2]对账明细接口!$E$535=0,"",[2]对账明细接口!$E$535),"")</f>
        <v/>
      </c>
      <c r="F535" s="16" t="str">
        <f>IFERROR(IF([2]对账明细接口!$F$535=0,"",[2]对账明细接口!$F$535),"")</f>
        <v/>
      </c>
      <c r="G535" s="16" t="str">
        <f>IFERROR(IF([2]对账明细接口!$G$535=0,"",[2]对账明细接口!$G$535),"")</f>
        <v/>
      </c>
      <c r="H535" s="17" t="str">
        <f>IFERROR(IF([2]对账明细接口!$H$535=0,"",[2]对账明细接口!$H$535),"")</f>
        <v/>
      </c>
      <c r="I535" s="16" t="str">
        <f>IFERROR(IF([2]对账明细接口!$I$535=0,"",[2]对账明细接口!$I$535),"")</f>
        <v/>
      </c>
      <c r="J535" s="18" t="str">
        <f>IFERROR(IF([2]对账明细接口!$J$535=0,"",[2]对账明细接口!$J$535),"")</f>
        <v/>
      </c>
      <c r="K535" s="18" t="str">
        <f>IFERROR(IF([2]对账明细接口!$K$535=0,"",[2]对账明细接口!$K$535),"")</f>
        <v/>
      </c>
      <c r="L535" s="16" t="str">
        <f>IFERROR(IF([2]对账明细接口!$L$535=0,"",[2]对账明细接口!$L$535),"")</f>
        <v/>
      </c>
      <c r="M535" s="16" t="str">
        <f>IFERROR(IF([2]对账明细接口!$M$535=0,"",[2]对账明细接口!$M$535),"")</f>
        <v/>
      </c>
      <c r="N535" s="19">
        <f t="shared" si="48"/>
        <v>0</v>
      </c>
      <c r="O535" s="19">
        <f t="shared" si="49"/>
        <v>165</v>
      </c>
      <c r="S535" s="20" t="str">
        <f>IFERROR(IF([2]对账明细接口!$N535=0,"",[2]对账明细接口!$N535),"")</f>
        <v/>
      </c>
      <c r="T535" s="21" t="str">
        <f>IFERROR(IF([2]对账明细接口!$O535=0,"",[2]对账明细接口!$O535),"")</f>
        <v/>
      </c>
      <c r="U535" s="21" t="str">
        <f>IFERROR(IF([2]对账明细接口!$P535=0,"",[2]对账明细接口!$P535),"")</f>
        <v/>
      </c>
      <c r="V535" s="21" t="str">
        <f>IFERROR(IF([2]对账明细接口!$Q535=0,"",[2]对账明细接口!$Q535),"")</f>
        <v/>
      </c>
      <c r="W535" s="20" t="str">
        <f>IFERROR(IF([2]对账明细接口!$R535=0,"",[2]对账明细接口!$R535),"")</f>
        <v/>
      </c>
      <c r="X535" s="20" t="str">
        <f>IFERROR(IF([2]对账明细接口!$S535=0,"",[2]对账明细接口!$S535),"")</f>
        <v/>
      </c>
      <c r="Y535" s="20" t="str">
        <f t="shared" si="50"/>
        <v/>
      </c>
      <c r="Z535" s="20" t="str">
        <f t="shared" si="51"/>
        <v/>
      </c>
      <c r="AA535" s="20" t="str">
        <f t="shared" si="52"/>
        <v/>
      </c>
      <c r="AB535" s="20" t="str">
        <f t="shared" si="53"/>
        <v/>
      </c>
    </row>
    <row r="536" customHeight="1" spans="1:28">
      <c r="A536" s="14">
        <v>536</v>
      </c>
      <c r="B536" s="15" t="str">
        <f>IFERROR(IF([2]对账明细接口!$B$536=0,"",[2]对账明细接口!$B$536),"")</f>
        <v/>
      </c>
      <c r="C536" s="16" t="str">
        <f>IFERROR(IF([2]对账明细接口!$C$536=0,"",[2]对账明细接口!$C$536),"")</f>
        <v/>
      </c>
      <c r="D536" s="16" t="str">
        <f>IFERROR(IF([2]对账明细接口!$D$536=0,"",[2]对账明细接口!$D$536),"")</f>
        <v/>
      </c>
      <c r="E536" s="16" t="str">
        <f>IFERROR(IF([2]对账明细接口!$E$536=0,"",[2]对账明细接口!$E$536),"")</f>
        <v/>
      </c>
      <c r="F536" s="16" t="str">
        <f>IFERROR(IF([2]对账明细接口!$F$536=0,"",[2]对账明细接口!$F$536),"")</f>
        <v/>
      </c>
      <c r="G536" s="16" t="str">
        <f>IFERROR(IF([2]对账明细接口!$G$536=0,"",[2]对账明细接口!$G$536),"")</f>
        <v/>
      </c>
      <c r="H536" s="17" t="str">
        <f>IFERROR(IF([2]对账明细接口!$H$536=0,"",[2]对账明细接口!$H$536),"")</f>
        <v/>
      </c>
      <c r="I536" s="16" t="str">
        <f>IFERROR(IF([2]对账明细接口!$I$536=0,"",[2]对账明细接口!$I$536),"")</f>
        <v/>
      </c>
      <c r="J536" s="18" t="str">
        <f>IFERROR(IF([2]对账明细接口!$J$536=0,"",[2]对账明细接口!$J$536),"")</f>
        <v/>
      </c>
      <c r="K536" s="18" t="str">
        <f>IFERROR(IF([2]对账明细接口!$K$536=0,"",[2]对账明细接口!$K$536),"")</f>
        <v/>
      </c>
      <c r="L536" s="16" t="str">
        <f>IFERROR(IF([2]对账明细接口!$L$536=0,"",[2]对账明细接口!$L$536),"")</f>
        <v/>
      </c>
      <c r="M536" s="16" t="str">
        <f>IFERROR(IF([2]对账明细接口!$M$536=0,"",[2]对账明细接口!$M$536),"")</f>
        <v/>
      </c>
      <c r="N536" s="19">
        <f t="shared" si="48"/>
        <v>0</v>
      </c>
      <c r="O536" s="19">
        <f t="shared" si="49"/>
        <v>165</v>
      </c>
      <c r="S536" s="20" t="str">
        <f>IFERROR(IF([2]对账明细接口!$N536=0,"",[2]对账明细接口!$N536),"")</f>
        <v/>
      </c>
      <c r="T536" s="21" t="str">
        <f>IFERROR(IF([2]对账明细接口!$O536=0,"",[2]对账明细接口!$O536),"")</f>
        <v/>
      </c>
      <c r="U536" s="21" t="str">
        <f>IFERROR(IF([2]对账明细接口!$P536=0,"",[2]对账明细接口!$P536),"")</f>
        <v/>
      </c>
      <c r="V536" s="21" t="str">
        <f>IFERROR(IF([2]对账明细接口!$Q536=0,"",[2]对账明细接口!$Q536),"")</f>
        <v/>
      </c>
      <c r="W536" s="20" t="str">
        <f>IFERROR(IF([2]对账明细接口!$R536=0,"",[2]对账明细接口!$R536),"")</f>
        <v/>
      </c>
      <c r="X536" s="20" t="str">
        <f>IFERROR(IF([2]对账明细接口!$S536=0,"",[2]对账明细接口!$S536),"")</f>
        <v/>
      </c>
      <c r="Y536" s="20" t="str">
        <f t="shared" si="50"/>
        <v/>
      </c>
      <c r="Z536" s="20" t="str">
        <f t="shared" si="51"/>
        <v/>
      </c>
      <c r="AA536" s="20" t="str">
        <f t="shared" si="52"/>
        <v/>
      </c>
      <c r="AB536" s="20" t="str">
        <f t="shared" si="53"/>
        <v/>
      </c>
    </row>
    <row r="537" customHeight="1" spans="1:28">
      <c r="A537" s="14">
        <v>537</v>
      </c>
      <c r="B537" s="15" t="str">
        <f>IFERROR(IF([2]对账明细接口!$B$537=0,"",[2]对账明细接口!$B$537),"")</f>
        <v/>
      </c>
      <c r="C537" s="16" t="str">
        <f>IFERROR(IF([2]对账明细接口!$C$537=0,"",[2]对账明细接口!$C$537),"")</f>
        <v/>
      </c>
      <c r="D537" s="16" t="str">
        <f>IFERROR(IF([2]对账明细接口!$D$537=0,"",[2]对账明细接口!$D$537),"")</f>
        <v/>
      </c>
      <c r="E537" s="16" t="str">
        <f>IFERROR(IF([2]对账明细接口!$E$537=0,"",[2]对账明细接口!$E$537),"")</f>
        <v/>
      </c>
      <c r="F537" s="16" t="str">
        <f>IFERROR(IF([2]对账明细接口!$F$537=0,"",[2]对账明细接口!$F$537),"")</f>
        <v/>
      </c>
      <c r="G537" s="16" t="str">
        <f>IFERROR(IF([2]对账明细接口!$G$537=0,"",[2]对账明细接口!$G$537),"")</f>
        <v/>
      </c>
      <c r="H537" s="17" t="str">
        <f>IFERROR(IF([2]对账明细接口!$H$537=0,"",[2]对账明细接口!$H$537),"")</f>
        <v/>
      </c>
      <c r="I537" s="16" t="str">
        <f>IFERROR(IF([2]对账明细接口!$I$537=0,"",[2]对账明细接口!$I$537),"")</f>
        <v/>
      </c>
      <c r="J537" s="18" t="str">
        <f>IFERROR(IF([2]对账明细接口!$J$537=0,"",[2]对账明细接口!$J$537),"")</f>
        <v/>
      </c>
      <c r="K537" s="18" t="str">
        <f>IFERROR(IF([2]对账明细接口!$K$537=0,"",[2]对账明细接口!$K$537),"")</f>
        <v/>
      </c>
      <c r="L537" s="16" t="str">
        <f>IFERROR(IF([2]对账明细接口!$L$537=0,"",[2]对账明细接口!$L$537),"")</f>
        <v/>
      </c>
      <c r="M537" s="16" t="str">
        <f>IFERROR(IF([2]对账明细接口!$M$537=0,"",[2]对账明细接口!$M$537),"")</f>
        <v/>
      </c>
      <c r="N537" s="19">
        <f t="shared" si="48"/>
        <v>0</v>
      </c>
      <c r="O537" s="19">
        <f t="shared" si="49"/>
        <v>165</v>
      </c>
      <c r="S537" s="20" t="str">
        <f>IFERROR(IF([2]对账明细接口!$N537=0,"",[2]对账明细接口!$N537),"")</f>
        <v/>
      </c>
      <c r="T537" s="21" t="str">
        <f>IFERROR(IF([2]对账明细接口!$O537=0,"",[2]对账明细接口!$O537),"")</f>
        <v/>
      </c>
      <c r="U537" s="21" t="str">
        <f>IFERROR(IF([2]对账明细接口!$P537=0,"",[2]对账明细接口!$P537),"")</f>
        <v/>
      </c>
      <c r="V537" s="21" t="str">
        <f>IFERROR(IF([2]对账明细接口!$Q537=0,"",[2]对账明细接口!$Q537),"")</f>
        <v/>
      </c>
      <c r="W537" s="20" t="str">
        <f>IFERROR(IF([2]对账明细接口!$R537=0,"",[2]对账明细接口!$R537),"")</f>
        <v/>
      </c>
      <c r="X537" s="20" t="str">
        <f>IFERROR(IF([2]对账明细接口!$S537=0,"",[2]对账明细接口!$S537),"")</f>
        <v/>
      </c>
      <c r="Y537" s="20" t="str">
        <f t="shared" si="50"/>
        <v/>
      </c>
      <c r="Z537" s="20" t="str">
        <f t="shared" si="51"/>
        <v/>
      </c>
      <c r="AA537" s="20" t="str">
        <f t="shared" si="52"/>
        <v/>
      </c>
      <c r="AB537" s="20" t="str">
        <f t="shared" si="53"/>
        <v/>
      </c>
    </row>
    <row r="538" customHeight="1" spans="1:28">
      <c r="A538" s="14">
        <v>538</v>
      </c>
      <c r="B538" s="15" t="str">
        <f>IFERROR(IF([2]对账明细接口!$B$538=0,"",[2]对账明细接口!$B$538),"")</f>
        <v/>
      </c>
      <c r="C538" s="16" t="str">
        <f>IFERROR(IF([2]对账明细接口!$C$538=0,"",[2]对账明细接口!$C$538),"")</f>
        <v/>
      </c>
      <c r="D538" s="16" t="str">
        <f>IFERROR(IF([2]对账明细接口!$D$538=0,"",[2]对账明细接口!$D$538),"")</f>
        <v/>
      </c>
      <c r="E538" s="16" t="str">
        <f>IFERROR(IF([2]对账明细接口!$E$538=0,"",[2]对账明细接口!$E$538),"")</f>
        <v/>
      </c>
      <c r="F538" s="16" t="str">
        <f>IFERROR(IF([2]对账明细接口!$F$538=0,"",[2]对账明细接口!$F$538),"")</f>
        <v/>
      </c>
      <c r="G538" s="16" t="str">
        <f>IFERROR(IF([2]对账明细接口!$G$538=0,"",[2]对账明细接口!$G$538),"")</f>
        <v/>
      </c>
      <c r="H538" s="17" t="str">
        <f>IFERROR(IF([2]对账明细接口!$H$538=0,"",[2]对账明细接口!$H$538),"")</f>
        <v/>
      </c>
      <c r="I538" s="16" t="str">
        <f>IFERROR(IF([2]对账明细接口!$I$538=0,"",[2]对账明细接口!$I$538),"")</f>
        <v/>
      </c>
      <c r="J538" s="18" t="str">
        <f>IFERROR(IF([2]对账明细接口!$J$538=0,"",[2]对账明细接口!$J$538),"")</f>
        <v/>
      </c>
      <c r="K538" s="18" t="str">
        <f>IFERROR(IF([2]对账明细接口!$K$538=0,"",[2]对账明细接口!$K$538),"")</f>
        <v/>
      </c>
      <c r="L538" s="16" t="str">
        <f>IFERROR(IF([2]对账明细接口!$L$538=0,"",[2]对账明细接口!$L$538),"")</f>
        <v/>
      </c>
      <c r="M538" s="16" t="str">
        <f>IFERROR(IF([2]对账明细接口!$M$538=0,"",[2]对账明细接口!$M$538),"")</f>
        <v/>
      </c>
      <c r="N538" s="19">
        <f t="shared" si="48"/>
        <v>0</v>
      </c>
      <c r="O538" s="19">
        <f t="shared" si="49"/>
        <v>165</v>
      </c>
      <c r="S538" s="20" t="str">
        <f>IFERROR(IF([2]对账明细接口!$N538=0,"",[2]对账明细接口!$N538),"")</f>
        <v/>
      </c>
      <c r="T538" s="21" t="str">
        <f>IFERROR(IF([2]对账明细接口!$O538=0,"",[2]对账明细接口!$O538),"")</f>
        <v/>
      </c>
      <c r="U538" s="21" t="str">
        <f>IFERROR(IF([2]对账明细接口!$P538=0,"",[2]对账明细接口!$P538),"")</f>
        <v/>
      </c>
      <c r="V538" s="21" t="str">
        <f>IFERROR(IF([2]对账明细接口!$Q538=0,"",[2]对账明细接口!$Q538),"")</f>
        <v/>
      </c>
      <c r="W538" s="20" t="str">
        <f>IFERROR(IF([2]对账明细接口!$R538=0,"",[2]对账明细接口!$R538),"")</f>
        <v/>
      </c>
      <c r="X538" s="20" t="str">
        <f>IFERROR(IF([2]对账明细接口!$S538=0,"",[2]对账明细接口!$S538),"")</f>
        <v/>
      </c>
      <c r="Y538" s="20" t="str">
        <f t="shared" si="50"/>
        <v/>
      </c>
      <c r="Z538" s="20" t="str">
        <f t="shared" si="51"/>
        <v/>
      </c>
      <c r="AA538" s="20" t="str">
        <f t="shared" si="52"/>
        <v/>
      </c>
      <c r="AB538" s="20" t="str">
        <f t="shared" si="53"/>
        <v/>
      </c>
    </row>
    <row r="539" customHeight="1" spans="1:28">
      <c r="A539" s="14">
        <v>539</v>
      </c>
      <c r="B539" s="15" t="str">
        <f>IFERROR(IF([2]对账明细接口!$B$539=0,"",[2]对账明细接口!$B$539),"")</f>
        <v/>
      </c>
      <c r="C539" s="16" t="str">
        <f>IFERROR(IF([2]对账明细接口!$C$539=0,"",[2]对账明细接口!$C$539),"")</f>
        <v/>
      </c>
      <c r="D539" s="16" t="str">
        <f>IFERROR(IF([2]对账明细接口!$D$539=0,"",[2]对账明细接口!$D$539),"")</f>
        <v/>
      </c>
      <c r="E539" s="16" t="str">
        <f>IFERROR(IF([2]对账明细接口!$E$539=0,"",[2]对账明细接口!$E$539),"")</f>
        <v/>
      </c>
      <c r="F539" s="16" t="str">
        <f>IFERROR(IF([2]对账明细接口!$F$539=0,"",[2]对账明细接口!$F$539),"")</f>
        <v/>
      </c>
      <c r="G539" s="16" t="str">
        <f>IFERROR(IF([2]对账明细接口!$G$539=0,"",[2]对账明细接口!$G$539),"")</f>
        <v/>
      </c>
      <c r="H539" s="17" t="str">
        <f>IFERROR(IF([2]对账明细接口!$H$539=0,"",[2]对账明细接口!$H$539),"")</f>
        <v/>
      </c>
      <c r="I539" s="16" t="str">
        <f>IFERROR(IF([2]对账明细接口!$I$539=0,"",[2]对账明细接口!$I$539),"")</f>
        <v/>
      </c>
      <c r="J539" s="18" t="str">
        <f>IFERROR(IF([2]对账明细接口!$J$539=0,"",[2]对账明细接口!$J$539),"")</f>
        <v/>
      </c>
      <c r="K539" s="18" t="str">
        <f>IFERROR(IF([2]对账明细接口!$K$539=0,"",[2]对账明细接口!$K$539),"")</f>
        <v/>
      </c>
      <c r="L539" s="16" t="str">
        <f>IFERROR(IF([2]对账明细接口!$L$539=0,"",[2]对账明细接口!$L$539),"")</f>
        <v/>
      </c>
      <c r="M539" s="16" t="str">
        <f>IFERROR(IF([2]对账明细接口!$M$539=0,"",[2]对账明细接口!$M$539),"")</f>
        <v/>
      </c>
      <c r="N539" s="19">
        <f t="shared" si="48"/>
        <v>0</v>
      </c>
      <c r="O539" s="19">
        <f t="shared" si="49"/>
        <v>165</v>
      </c>
      <c r="S539" s="20" t="str">
        <f>IFERROR(IF([2]对账明细接口!$N539=0,"",[2]对账明细接口!$N539),"")</f>
        <v/>
      </c>
      <c r="T539" s="21" t="str">
        <f>IFERROR(IF([2]对账明细接口!$O539=0,"",[2]对账明细接口!$O539),"")</f>
        <v/>
      </c>
      <c r="U539" s="21" t="str">
        <f>IFERROR(IF([2]对账明细接口!$P539=0,"",[2]对账明细接口!$P539),"")</f>
        <v/>
      </c>
      <c r="V539" s="21" t="str">
        <f>IFERROR(IF([2]对账明细接口!$Q539=0,"",[2]对账明细接口!$Q539),"")</f>
        <v/>
      </c>
      <c r="W539" s="20" t="str">
        <f>IFERROR(IF([2]对账明细接口!$R539=0,"",[2]对账明细接口!$R539),"")</f>
        <v/>
      </c>
      <c r="X539" s="20" t="str">
        <f>IFERROR(IF([2]对账明细接口!$S539=0,"",[2]对账明细接口!$S539),"")</f>
        <v/>
      </c>
      <c r="Y539" s="20" t="str">
        <f t="shared" si="50"/>
        <v/>
      </c>
      <c r="Z539" s="20" t="str">
        <f t="shared" si="51"/>
        <v/>
      </c>
      <c r="AA539" s="20" t="str">
        <f t="shared" si="52"/>
        <v/>
      </c>
      <c r="AB539" s="20" t="str">
        <f t="shared" si="53"/>
        <v/>
      </c>
    </row>
    <row r="540" customHeight="1" spans="1:28">
      <c r="A540" s="14">
        <v>540</v>
      </c>
      <c r="B540" s="15" t="str">
        <f>IFERROR(IF([2]对账明细接口!$B$540=0,"",[2]对账明细接口!$B$540),"")</f>
        <v/>
      </c>
      <c r="C540" s="16" t="str">
        <f>IFERROR(IF([2]对账明细接口!$C$540=0,"",[2]对账明细接口!$C$540),"")</f>
        <v/>
      </c>
      <c r="D540" s="16" t="str">
        <f>IFERROR(IF([2]对账明细接口!$D$540=0,"",[2]对账明细接口!$D$540),"")</f>
        <v/>
      </c>
      <c r="E540" s="16" t="str">
        <f>IFERROR(IF([2]对账明细接口!$E$540=0,"",[2]对账明细接口!$E$540),"")</f>
        <v/>
      </c>
      <c r="F540" s="16" t="str">
        <f>IFERROR(IF([2]对账明细接口!$F$540=0,"",[2]对账明细接口!$F$540),"")</f>
        <v/>
      </c>
      <c r="G540" s="16" t="str">
        <f>IFERROR(IF([2]对账明细接口!$G$540=0,"",[2]对账明细接口!$G$540),"")</f>
        <v/>
      </c>
      <c r="H540" s="17" t="str">
        <f>IFERROR(IF([2]对账明细接口!$H$540=0,"",[2]对账明细接口!$H$540),"")</f>
        <v/>
      </c>
      <c r="I540" s="16" t="str">
        <f>IFERROR(IF([2]对账明细接口!$I$540=0,"",[2]对账明细接口!$I$540),"")</f>
        <v/>
      </c>
      <c r="J540" s="18" t="str">
        <f>IFERROR(IF([2]对账明细接口!$J$540=0,"",[2]对账明细接口!$J$540),"")</f>
        <v/>
      </c>
      <c r="K540" s="18" t="str">
        <f>IFERROR(IF([2]对账明细接口!$K$540=0,"",[2]对账明细接口!$K$540),"")</f>
        <v/>
      </c>
      <c r="L540" s="16" t="str">
        <f>IFERROR(IF([2]对账明细接口!$L$540=0,"",[2]对账明细接口!$L$540),"")</f>
        <v/>
      </c>
      <c r="M540" s="16" t="str">
        <f>IFERROR(IF([2]对账明细接口!$M$540=0,"",[2]对账明细接口!$M$540),"")</f>
        <v/>
      </c>
      <c r="N540" s="19">
        <f t="shared" si="48"/>
        <v>0</v>
      </c>
      <c r="O540" s="19">
        <f t="shared" si="49"/>
        <v>165</v>
      </c>
      <c r="S540" s="20" t="str">
        <f>IFERROR(IF([2]对账明细接口!$N540=0,"",[2]对账明细接口!$N540),"")</f>
        <v/>
      </c>
      <c r="T540" s="21" t="str">
        <f>IFERROR(IF([2]对账明细接口!$O540=0,"",[2]对账明细接口!$O540),"")</f>
        <v/>
      </c>
      <c r="U540" s="21" t="str">
        <f>IFERROR(IF([2]对账明细接口!$P540=0,"",[2]对账明细接口!$P540),"")</f>
        <v/>
      </c>
      <c r="V540" s="21" t="str">
        <f>IFERROR(IF([2]对账明细接口!$Q540=0,"",[2]对账明细接口!$Q540),"")</f>
        <v/>
      </c>
      <c r="W540" s="20" t="str">
        <f>IFERROR(IF([2]对账明细接口!$R540=0,"",[2]对账明细接口!$R540),"")</f>
        <v/>
      </c>
      <c r="X540" s="20" t="str">
        <f>IFERROR(IF([2]对账明细接口!$S540=0,"",[2]对账明细接口!$S540),"")</f>
        <v/>
      </c>
      <c r="Y540" s="20" t="str">
        <f t="shared" si="50"/>
        <v/>
      </c>
      <c r="Z540" s="20" t="str">
        <f t="shared" si="51"/>
        <v/>
      </c>
      <c r="AA540" s="20" t="str">
        <f t="shared" si="52"/>
        <v/>
      </c>
      <c r="AB540" s="20" t="str">
        <f t="shared" si="53"/>
        <v/>
      </c>
    </row>
    <row r="541" customHeight="1" spans="1:28">
      <c r="A541" s="14">
        <v>541</v>
      </c>
      <c r="B541" s="15" t="str">
        <f>IFERROR(IF([2]对账明细接口!$B$541=0,"",[2]对账明细接口!$B$541),"")</f>
        <v/>
      </c>
      <c r="C541" s="16" t="str">
        <f>IFERROR(IF([2]对账明细接口!$C$541=0,"",[2]对账明细接口!$C$541),"")</f>
        <v/>
      </c>
      <c r="D541" s="16" t="str">
        <f>IFERROR(IF([2]对账明细接口!$D$541=0,"",[2]对账明细接口!$D$541),"")</f>
        <v/>
      </c>
      <c r="E541" s="16" t="str">
        <f>IFERROR(IF([2]对账明细接口!$E$541=0,"",[2]对账明细接口!$E$541),"")</f>
        <v/>
      </c>
      <c r="F541" s="16" t="str">
        <f>IFERROR(IF([2]对账明细接口!$F$541=0,"",[2]对账明细接口!$F$541),"")</f>
        <v/>
      </c>
      <c r="G541" s="16" t="str">
        <f>IFERROR(IF([2]对账明细接口!$G$541=0,"",[2]对账明细接口!$G$541),"")</f>
        <v/>
      </c>
      <c r="H541" s="17" t="str">
        <f>IFERROR(IF([2]对账明细接口!$H$541=0,"",[2]对账明细接口!$H$541),"")</f>
        <v/>
      </c>
      <c r="I541" s="16" t="str">
        <f>IFERROR(IF([2]对账明细接口!$I$541=0,"",[2]对账明细接口!$I$541),"")</f>
        <v/>
      </c>
      <c r="J541" s="18" t="str">
        <f>IFERROR(IF([2]对账明细接口!$J$541=0,"",[2]对账明细接口!$J$541),"")</f>
        <v/>
      </c>
      <c r="K541" s="18" t="str">
        <f>IFERROR(IF([2]对账明细接口!$K$541=0,"",[2]对账明细接口!$K$541),"")</f>
        <v/>
      </c>
      <c r="L541" s="16" t="str">
        <f>IFERROR(IF([2]对账明细接口!$L$541=0,"",[2]对账明细接口!$L$541),"")</f>
        <v/>
      </c>
      <c r="M541" s="16" t="str">
        <f>IFERROR(IF([2]对账明细接口!$M$541=0,"",[2]对账明细接口!$M$541),"")</f>
        <v/>
      </c>
      <c r="N541" s="19">
        <f t="shared" si="48"/>
        <v>0</v>
      </c>
      <c r="O541" s="19">
        <f t="shared" si="49"/>
        <v>165</v>
      </c>
      <c r="S541" s="20" t="str">
        <f>IFERROR(IF([2]对账明细接口!$N541=0,"",[2]对账明细接口!$N541),"")</f>
        <v/>
      </c>
      <c r="T541" s="21" t="str">
        <f>IFERROR(IF([2]对账明细接口!$O541=0,"",[2]对账明细接口!$O541),"")</f>
        <v/>
      </c>
      <c r="U541" s="21" t="str">
        <f>IFERROR(IF([2]对账明细接口!$P541=0,"",[2]对账明细接口!$P541),"")</f>
        <v/>
      </c>
      <c r="V541" s="21" t="str">
        <f>IFERROR(IF([2]对账明细接口!$Q541=0,"",[2]对账明细接口!$Q541),"")</f>
        <v/>
      </c>
      <c r="W541" s="20" t="str">
        <f>IFERROR(IF([2]对账明细接口!$R541=0,"",[2]对账明细接口!$R541),"")</f>
        <v/>
      </c>
      <c r="X541" s="20" t="str">
        <f>IFERROR(IF([2]对账明细接口!$S541=0,"",[2]对账明细接口!$S541),"")</f>
        <v/>
      </c>
      <c r="Y541" s="20" t="str">
        <f t="shared" si="50"/>
        <v/>
      </c>
      <c r="Z541" s="20" t="str">
        <f t="shared" si="51"/>
        <v/>
      </c>
      <c r="AA541" s="20" t="str">
        <f t="shared" si="52"/>
        <v/>
      </c>
      <c r="AB541" s="20" t="str">
        <f t="shared" si="53"/>
        <v/>
      </c>
    </row>
    <row r="542" customHeight="1" spans="1:28">
      <c r="A542" s="14">
        <v>542</v>
      </c>
      <c r="B542" s="15" t="str">
        <f>IFERROR(IF([2]对账明细接口!$B$542=0,"",[2]对账明细接口!$B$542),"")</f>
        <v/>
      </c>
      <c r="C542" s="16" t="str">
        <f>IFERROR(IF([2]对账明细接口!$C$542=0,"",[2]对账明细接口!$C$542),"")</f>
        <v/>
      </c>
      <c r="D542" s="16" t="str">
        <f>IFERROR(IF([2]对账明细接口!$D$542=0,"",[2]对账明细接口!$D$542),"")</f>
        <v/>
      </c>
      <c r="E542" s="16" t="str">
        <f>IFERROR(IF([2]对账明细接口!$E$542=0,"",[2]对账明细接口!$E$542),"")</f>
        <v/>
      </c>
      <c r="F542" s="16" t="str">
        <f>IFERROR(IF([2]对账明细接口!$F$542=0,"",[2]对账明细接口!$F$542),"")</f>
        <v/>
      </c>
      <c r="G542" s="16" t="str">
        <f>IFERROR(IF([2]对账明细接口!$G$542=0,"",[2]对账明细接口!$G$542),"")</f>
        <v/>
      </c>
      <c r="H542" s="17" t="str">
        <f>IFERROR(IF([2]对账明细接口!$H$542=0,"",[2]对账明细接口!$H$542),"")</f>
        <v/>
      </c>
      <c r="I542" s="16" t="str">
        <f>IFERROR(IF([2]对账明细接口!$I$542=0,"",[2]对账明细接口!$I$542),"")</f>
        <v/>
      </c>
      <c r="J542" s="18" t="str">
        <f>IFERROR(IF([2]对账明细接口!$J$542=0,"",[2]对账明细接口!$J$542),"")</f>
        <v/>
      </c>
      <c r="K542" s="18" t="str">
        <f>IFERROR(IF([2]对账明细接口!$K$542=0,"",[2]对账明细接口!$K$542),"")</f>
        <v/>
      </c>
      <c r="L542" s="16" t="str">
        <f>IFERROR(IF([2]对账明细接口!$L$542=0,"",[2]对账明细接口!$L$542),"")</f>
        <v/>
      </c>
      <c r="M542" s="16" t="str">
        <f>IFERROR(IF([2]对账明细接口!$M$542=0,"",[2]对账明细接口!$M$542),"")</f>
        <v/>
      </c>
      <c r="N542" s="19">
        <f t="shared" si="48"/>
        <v>0</v>
      </c>
      <c r="O542" s="19">
        <f t="shared" si="49"/>
        <v>165</v>
      </c>
      <c r="S542" s="20" t="str">
        <f>IFERROR(IF([2]对账明细接口!$N542=0,"",[2]对账明细接口!$N542),"")</f>
        <v/>
      </c>
      <c r="T542" s="21" t="str">
        <f>IFERROR(IF([2]对账明细接口!$O542=0,"",[2]对账明细接口!$O542),"")</f>
        <v/>
      </c>
      <c r="U542" s="21" t="str">
        <f>IFERROR(IF([2]对账明细接口!$P542=0,"",[2]对账明细接口!$P542),"")</f>
        <v/>
      </c>
      <c r="V542" s="21" t="str">
        <f>IFERROR(IF([2]对账明细接口!$Q542=0,"",[2]对账明细接口!$Q542),"")</f>
        <v/>
      </c>
      <c r="W542" s="20" t="str">
        <f>IFERROR(IF([2]对账明细接口!$R542=0,"",[2]对账明细接口!$R542),"")</f>
        <v/>
      </c>
      <c r="X542" s="20" t="str">
        <f>IFERROR(IF([2]对账明细接口!$S542=0,"",[2]对账明细接口!$S542),"")</f>
        <v/>
      </c>
      <c r="Y542" s="20" t="str">
        <f t="shared" si="50"/>
        <v/>
      </c>
      <c r="Z542" s="20" t="str">
        <f t="shared" si="51"/>
        <v/>
      </c>
      <c r="AA542" s="20" t="str">
        <f t="shared" si="52"/>
        <v/>
      </c>
      <c r="AB542" s="20" t="str">
        <f t="shared" si="53"/>
        <v/>
      </c>
    </row>
    <row r="543" customHeight="1" spans="1:28">
      <c r="A543" s="14">
        <v>543</v>
      </c>
      <c r="B543" s="15" t="str">
        <f>IFERROR(IF([2]对账明细接口!$B$543=0,"",[2]对账明细接口!$B$543),"")</f>
        <v/>
      </c>
      <c r="C543" s="16" t="str">
        <f>IFERROR(IF([2]对账明细接口!$C$543=0,"",[2]对账明细接口!$C$543),"")</f>
        <v/>
      </c>
      <c r="D543" s="16" t="str">
        <f>IFERROR(IF([2]对账明细接口!$D$543=0,"",[2]对账明细接口!$D$543),"")</f>
        <v/>
      </c>
      <c r="E543" s="16" t="str">
        <f>IFERROR(IF([2]对账明细接口!$E$543=0,"",[2]对账明细接口!$E$543),"")</f>
        <v/>
      </c>
      <c r="F543" s="16" t="str">
        <f>IFERROR(IF([2]对账明细接口!$F$543=0,"",[2]对账明细接口!$F$543),"")</f>
        <v/>
      </c>
      <c r="G543" s="16" t="str">
        <f>IFERROR(IF([2]对账明细接口!$G$543=0,"",[2]对账明细接口!$G$543),"")</f>
        <v/>
      </c>
      <c r="H543" s="17" t="str">
        <f>IFERROR(IF([2]对账明细接口!$H$543=0,"",[2]对账明细接口!$H$543),"")</f>
        <v/>
      </c>
      <c r="I543" s="16" t="str">
        <f>IFERROR(IF([2]对账明细接口!$I$543=0,"",[2]对账明细接口!$I$543),"")</f>
        <v/>
      </c>
      <c r="J543" s="18" t="str">
        <f>IFERROR(IF([2]对账明细接口!$J$543=0,"",[2]对账明细接口!$J$543),"")</f>
        <v/>
      </c>
      <c r="K543" s="18" t="str">
        <f>IFERROR(IF([2]对账明细接口!$K$543=0,"",[2]对账明细接口!$K$543),"")</f>
        <v/>
      </c>
      <c r="L543" s="16" t="str">
        <f>IFERROR(IF([2]对账明细接口!$L$543=0,"",[2]对账明细接口!$L$543),"")</f>
        <v/>
      </c>
      <c r="M543" s="16" t="str">
        <f>IFERROR(IF([2]对账明细接口!$M$543=0,"",[2]对账明细接口!$M$543),"")</f>
        <v/>
      </c>
      <c r="N543" s="19">
        <f t="shared" si="48"/>
        <v>0</v>
      </c>
      <c r="O543" s="19">
        <f t="shared" si="49"/>
        <v>165</v>
      </c>
      <c r="S543" s="20" t="str">
        <f>IFERROR(IF([2]对账明细接口!$N543=0,"",[2]对账明细接口!$N543),"")</f>
        <v/>
      </c>
      <c r="T543" s="21" t="str">
        <f>IFERROR(IF([2]对账明细接口!$O543=0,"",[2]对账明细接口!$O543),"")</f>
        <v/>
      </c>
      <c r="U543" s="21" t="str">
        <f>IFERROR(IF([2]对账明细接口!$P543=0,"",[2]对账明细接口!$P543),"")</f>
        <v/>
      </c>
      <c r="V543" s="21" t="str">
        <f>IFERROR(IF([2]对账明细接口!$Q543=0,"",[2]对账明细接口!$Q543),"")</f>
        <v/>
      </c>
      <c r="W543" s="20" t="str">
        <f>IFERROR(IF([2]对账明细接口!$R543=0,"",[2]对账明细接口!$R543),"")</f>
        <v/>
      </c>
      <c r="X543" s="20" t="str">
        <f>IFERROR(IF([2]对账明细接口!$S543=0,"",[2]对账明细接口!$S543),"")</f>
        <v/>
      </c>
      <c r="Y543" s="20" t="str">
        <f t="shared" si="50"/>
        <v/>
      </c>
      <c r="Z543" s="20" t="str">
        <f t="shared" si="51"/>
        <v/>
      </c>
      <c r="AA543" s="20" t="str">
        <f t="shared" si="52"/>
        <v/>
      </c>
      <c r="AB543" s="20" t="str">
        <f t="shared" si="53"/>
        <v/>
      </c>
    </row>
    <row r="544" customHeight="1" spans="1:28">
      <c r="A544" s="14">
        <v>544</v>
      </c>
      <c r="B544" s="15" t="str">
        <f>IFERROR(IF([2]对账明细接口!$B$544=0,"",[2]对账明细接口!$B$544),"")</f>
        <v/>
      </c>
      <c r="C544" s="16" t="str">
        <f>IFERROR(IF([2]对账明细接口!$C$544=0,"",[2]对账明细接口!$C$544),"")</f>
        <v/>
      </c>
      <c r="D544" s="16" t="str">
        <f>IFERROR(IF([2]对账明细接口!$D$544=0,"",[2]对账明细接口!$D$544),"")</f>
        <v/>
      </c>
      <c r="E544" s="16" t="str">
        <f>IFERROR(IF([2]对账明细接口!$E$544=0,"",[2]对账明细接口!$E$544),"")</f>
        <v/>
      </c>
      <c r="F544" s="16" t="str">
        <f>IFERROR(IF([2]对账明细接口!$F$544=0,"",[2]对账明细接口!$F$544),"")</f>
        <v/>
      </c>
      <c r="G544" s="16" t="str">
        <f>IFERROR(IF([2]对账明细接口!$G$544=0,"",[2]对账明细接口!$G$544),"")</f>
        <v/>
      </c>
      <c r="H544" s="17" t="str">
        <f>IFERROR(IF([2]对账明细接口!$H$544=0,"",[2]对账明细接口!$H$544),"")</f>
        <v/>
      </c>
      <c r="I544" s="16" t="str">
        <f>IFERROR(IF([2]对账明细接口!$I$544=0,"",[2]对账明细接口!$I$544),"")</f>
        <v/>
      </c>
      <c r="J544" s="18" t="str">
        <f>IFERROR(IF([2]对账明细接口!$J$544=0,"",[2]对账明细接口!$J$544),"")</f>
        <v/>
      </c>
      <c r="K544" s="18" t="str">
        <f>IFERROR(IF([2]对账明细接口!$K$544=0,"",[2]对账明细接口!$K$544),"")</f>
        <v/>
      </c>
      <c r="L544" s="16" t="str">
        <f>IFERROR(IF([2]对账明细接口!$L$544=0,"",[2]对账明细接口!$L$544),"")</f>
        <v/>
      </c>
      <c r="M544" s="16" t="str">
        <f>IFERROR(IF([2]对账明细接口!$M$544=0,"",[2]对账明细接口!$M$544),"")</f>
        <v/>
      </c>
      <c r="N544" s="19">
        <f t="shared" si="48"/>
        <v>0</v>
      </c>
      <c r="O544" s="19">
        <f t="shared" si="49"/>
        <v>165</v>
      </c>
      <c r="S544" s="20" t="str">
        <f>IFERROR(IF([2]对账明细接口!$N544=0,"",[2]对账明细接口!$N544),"")</f>
        <v/>
      </c>
      <c r="T544" s="21" t="str">
        <f>IFERROR(IF([2]对账明细接口!$O544=0,"",[2]对账明细接口!$O544),"")</f>
        <v/>
      </c>
      <c r="U544" s="21" t="str">
        <f>IFERROR(IF([2]对账明细接口!$P544=0,"",[2]对账明细接口!$P544),"")</f>
        <v/>
      </c>
      <c r="V544" s="21" t="str">
        <f>IFERROR(IF([2]对账明细接口!$Q544=0,"",[2]对账明细接口!$Q544),"")</f>
        <v/>
      </c>
      <c r="W544" s="20" t="str">
        <f>IFERROR(IF([2]对账明细接口!$R544=0,"",[2]对账明细接口!$R544),"")</f>
        <v/>
      </c>
      <c r="X544" s="20" t="str">
        <f>IFERROR(IF([2]对账明细接口!$S544=0,"",[2]对账明细接口!$S544),"")</f>
        <v/>
      </c>
      <c r="Y544" s="20" t="str">
        <f t="shared" si="50"/>
        <v/>
      </c>
      <c r="Z544" s="20" t="str">
        <f t="shared" si="51"/>
        <v/>
      </c>
      <c r="AA544" s="20" t="str">
        <f t="shared" si="52"/>
        <v/>
      </c>
      <c r="AB544" s="20" t="str">
        <f t="shared" si="53"/>
        <v/>
      </c>
    </row>
    <row r="545" customHeight="1" spans="1:28">
      <c r="A545" s="14">
        <v>545</v>
      </c>
      <c r="B545" s="15" t="str">
        <f>IFERROR(IF([2]对账明细接口!$B$545=0,"",[2]对账明细接口!$B$545),"")</f>
        <v/>
      </c>
      <c r="C545" s="16" t="str">
        <f>IFERROR(IF([2]对账明细接口!$C$545=0,"",[2]对账明细接口!$C$545),"")</f>
        <v/>
      </c>
      <c r="D545" s="16" t="str">
        <f>IFERROR(IF([2]对账明细接口!$D$545=0,"",[2]对账明细接口!$D$545),"")</f>
        <v/>
      </c>
      <c r="E545" s="16" t="str">
        <f>IFERROR(IF([2]对账明细接口!$E$545=0,"",[2]对账明细接口!$E$545),"")</f>
        <v/>
      </c>
      <c r="F545" s="16" t="str">
        <f>IFERROR(IF([2]对账明细接口!$F$545=0,"",[2]对账明细接口!$F$545),"")</f>
        <v/>
      </c>
      <c r="G545" s="16" t="str">
        <f>IFERROR(IF([2]对账明细接口!$G$545=0,"",[2]对账明细接口!$G$545),"")</f>
        <v/>
      </c>
      <c r="H545" s="17" t="str">
        <f>IFERROR(IF([2]对账明细接口!$H$545=0,"",[2]对账明细接口!$H$545),"")</f>
        <v/>
      </c>
      <c r="I545" s="16" t="str">
        <f>IFERROR(IF([2]对账明细接口!$I$545=0,"",[2]对账明细接口!$I$545),"")</f>
        <v/>
      </c>
      <c r="J545" s="18" t="str">
        <f>IFERROR(IF([2]对账明细接口!$J$545=0,"",[2]对账明细接口!$J$545),"")</f>
        <v/>
      </c>
      <c r="K545" s="18" t="str">
        <f>IFERROR(IF([2]对账明细接口!$K$545=0,"",[2]对账明细接口!$K$545),"")</f>
        <v/>
      </c>
      <c r="L545" s="16" t="str">
        <f>IFERROR(IF([2]对账明细接口!$L$545=0,"",[2]对账明细接口!$L$545),"")</f>
        <v/>
      </c>
      <c r="M545" s="16" t="str">
        <f>IFERROR(IF([2]对账明细接口!$M$545=0,"",[2]对账明细接口!$M$545),"")</f>
        <v/>
      </c>
      <c r="N545" s="19">
        <f t="shared" si="48"/>
        <v>0</v>
      </c>
      <c r="O545" s="19">
        <f t="shared" si="49"/>
        <v>165</v>
      </c>
      <c r="S545" s="20" t="str">
        <f>IFERROR(IF([2]对账明细接口!$N545=0,"",[2]对账明细接口!$N545),"")</f>
        <v/>
      </c>
      <c r="T545" s="21" t="str">
        <f>IFERROR(IF([2]对账明细接口!$O545=0,"",[2]对账明细接口!$O545),"")</f>
        <v/>
      </c>
      <c r="U545" s="21" t="str">
        <f>IFERROR(IF([2]对账明细接口!$P545=0,"",[2]对账明细接口!$P545),"")</f>
        <v/>
      </c>
      <c r="V545" s="21" t="str">
        <f>IFERROR(IF([2]对账明细接口!$Q545=0,"",[2]对账明细接口!$Q545),"")</f>
        <v/>
      </c>
      <c r="W545" s="20" t="str">
        <f>IFERROR(IF([2]对账明细接口!$R545=0,"",[2]对账明细接口!$R545),"")</f>
        <v/>
      </c>
      <c r="X545" s="20" t="str">
        <f>IFERROR(IF([2]对账明细接口!$S545=0,"",[2]对账明细接口!$S545),"")</f>
        <v/>
      </c>
      <c r="Y545" s="20" t="str">
        <f t="shared" si="50"/>
        <v/>
      </c>
      <c r="Z545" s="20" t="str">
        <f t="shared" si="51"/>
        <v/>
      </c>
      <c r="AA545" s="20" t="str">
        <f t="shared" si="52"/>
        <v/>
      </c>
      <c r="AB545" s="20" t="str">
        <f t="shared" si="53"/>
        <v/>
      </c>
    </row>
    <row r="546" customHeight="1" spans="1:28">
      <c r="A546" s="14">
        <v>546</v>
      </c>
      <c r="B546" s="15" t="str">
        <f>IFERROR(IF([2]对账明细接口!$B$546=0,"",[2]对账明细接口!$B$546),"")</f>
        <v/>
      </c>
      <c r="C546" s="16" t="str">
        <f>IFERROR(IF([2]对账明细接口!$C$546=0,"",[2]对账明细接口!$C$546),"")</f>
        <v/>
      </c>
      <c r="D546" s="16" t="str">
        <f>IFERROR(IF([2]对账明细接口!$D$546=0,"",[2]对账明细接口!$D$546),"")</f>
        <v/>
      </c>
      <c r="E546" s="16" t="str">
        <f>IFERROR(IF([2]对账明细接口!$E$546=0,"",[2]对账明细接口!$E$546),"")</f>
        <v/>
      </c>
      <c r="F546" s="16" t="str">
        <f>IFERROR(IF([2]对账明细接口!$F$546=0,"",[2]对账明细接口!$F$546),"")</f>
        <v/>
      </c>
      <c r="G546" s="16" t="str">
        <f>IFERROR(IF([2]对账明细接口!$G$546=0,"",[2]对账明细接口!$G$546),"")</f>
        <v/>
      </c>
      <c r="H546" s="17" t="str">
        <f>IFERROR(IF([2]对账明细接口!$H$546=0,"",[2]对账明细接口!$H$546),"")</f>
        <v/>
      </c>
      <c r="I546" s="16" t="str">
        <f>IFERROR(IF([2]对账明细接口!$I$546=0,"",[2]对账明细接口!$I$546),"")</f>
        <v/>
      </c>
      <c r="J546" s="18" t="str">
        <f>IFERROR(IF([2]对账明细接口!$J$546=0,"",[2]对账明细接口!$J$546),"")</f>
        <v/>
      </c>
      <c r="K546" s="18" t="str">
        <f>IFERROR(IF([2]对账明细接口!$K$546=0,"",[2]对账明细接口!$K$546),"")</f>
        <v/>
      </c>
      <c r="L546" s="16" t="str">
        <f>IFERROR(IF([2]对账明细接口!$L$546=0,"",[2]对账明细接口!$L$546),"")</f>
        <v/>
      </c>
      <c r="M546" s="16" t="str">
        <f>IFERROR(IF([2]对账明细接口!$M$546=0,"",[2]对账明细接口!$M$546),"")</f>
        <v/>
      </c>
      <c r="N546" s="19">
        <f t="shared" si="48"/>
        <v>0</v>
      </c>
      <c r="O546" s="19">
        <f t="shared" si="49"/>
        <v>165</v>
      </c>
      <c r="S546" s="20" t="str">
        <f>IFERROR(IF([2]对账明细接口!$N546=0,"",[2]对账明细接口!$N546),"")</f>
        <v/>
      </c>
      <c r="T546" s="21" t="str">
        <f>IFERROR(IF([2]对账明细接口!$O546=0,"",[2]对账明细接口!$O546),"")</f>
        <v/>
      </c>
      <c r="U546" s="21" t="str">
        <f>IFERROR(IF([2]对账明细接口!$P546=0,"",[2]对账明细接口!$P546),"")</f>
        <v/>
      </c>
      <c r="V546" s="21" t="str">
        <f>IFERROR(IF([2]对账明细接口!$Q546=0,"",[2]对账明细接口!$Q546),"")</f>
        <v/>
      </c>
      <c r="W546" s="20" t="str">
        <f>IFERROR(IF([2]对账明细接口!$R546=0,"",[2]对账明细接口!$R546),"")</f>
        <v/>
      </c>
      <c r="X546" s="20" t="str">
        <f>IFERROR(IF([2]对账明细接口!$S546=0,"",[2]对账明细接口!$S546),"")</f>
        <v/>
      </c>
      <c r="Y546" s="20" t="str">
        <f t="shared" si="50"/>
        <v/>
      </c>
      <c r="Z546" s="20" t="str">
        <f t="shared" si="51"/>
        <v/>
      </c>
      <c r="AA546" s="20" t="str">
        <f t="shared" si="52"/>
        <v/>
      </c>
      <c r="AB546" s="20" t="str">
        <f t="shared" si="53"/>
        <v/>
      </c>
    </row>
    <row r="547" customHeight="1" spans="1:28">
      <c r="A547" s="14">
        <v>547</v>
      </c>
      <c r="B547" s="15" t="str">
        <f>IFERROR(IF([2]对账明细接口!$B$547=0,"",[2]对账明细接口!$B$547),"")</f>
        <v/>
      </c>
      <c r="C547" s="16" t="str">
        <f>IFERROR(IF([2]对账明细接口!$C$547=0,"",[2]对账明细接口!$C$547),"")</f>
        <v/>
      </c>
      <c r="D547" s="16" t="str">
        <f>IFERROR(IF([2]对账明细接口!$D$547=0,"",[2]对账明细接口!$D$547),"")</f>
        <v/>
      </c>
      <c r="E547" s="16" t="str">
        <f>IFERROR(IF([2]对账明细接口!$E$547=0,"",[2]对账明细接口!$E$547),"")</f>
        <v/>
      </c>
      <c r="F547" s="16" t="str">
        <f>IFERROR(IF([2]对账明细接口!$F$547=0,"",[2]对账明细接口!$F$547),"")</f>
        <v/>
      </c>
      <c r="G547" s="16" t="str">
        <f>IFERROR(IF([2]对账明细接口!$G$547=0,"",[2]对账明细接口!$G$547),"")</f>
        <v/>
      </c>
      <c r="H547" s="17" t="str">
        <f>IFERROR(IF([2]对账明细接口!$H$547=0,"",[2]对账明细接口!$H$547),"")</f>
        <v/>
      </c>
      <c r="I547" s="16" t="str">
        <f>IFERROR(IF([2]对账明细接口!$I$547=0,"",[2]对账明细接口!$I$547),"")</f>
        <v/>
      </c>
      <c r="J547" s="18" t="str">
        <f>IFERROR(IF([2]对账明细接口!$J$547=0,"",[2]对账明细接口!$J$547),"")</f>
        <v/>
      </c>
      <c r="K547" s="18" t="str">
        <f>IFERROR(IF([2]对账明细接口!$K$547=0,"",[2]对账明细接口!$K$547),"")</f>
        <v/>
      </c>
      <c r="L547" s="16" t="str">
        <f>IFERROR(IF([2]对账明细接口!$L$547=0,"",[2]对账明细接口!$L$547),"")</f>
        <v/>
      </c>
      <c r="M547" s="16" t="str">
        <f>IFERROR(IF([2]对账明细接口!$M$547=0,"",[2]对账明细接口!$M$547),"")</f>
        <v/>
      </c>
      <c r="N547" s="19">
        <f t="shared" si="48"/>
        <v>0</v>
      </c>
      <c r="O547" s="19">
        <f t="shared" si="49"/>
        <v>165</v>
      </c>
      <c r="S547" s="20" t="str">
        <f>IFERROR(IF([2]对账明细接口!$N547=0,"",[2]对账明细接口!$N547),"")</f>
        <v/>
      </c>
      <c r="T547" s="21" t="str">
        <f>IFERROR(IF([2]对账明细接口!$O547=0,"",[2]对账明细接口!$O547),"")</f>
        <v/>
      </c>
      <c r="U547" s="21" t="str">
        <f>IFERROR(IF([2]对账明细接口!$P547=0,"",[2]对账明细接口!$P547),"")</f>
        <v/>
      </c>
      <c r="V547" s="21" t="str">
        <f>IFERROR(IF([2]对账明细接口!$Q547=0,"",[2]对账明细接口!$Q547),"")</f>
        <v/>
      </c>
      <c r="W547" s="20" t="str">
        <f>IFERROR(IF([2]对账明细接口!$R547=0,"",[2]对账明细接口!$R547),"")</f>
        <v/>
      </c>
      <c r="X547" s="20" t="str">
        <f>IFERROR(IF([2]对账明细接口!$S547=0,"",[2]对账明细接口!$S547),"")</f>
        <v/>
      </c>
      <c r="Y547" s="20" t="str">
        <f t="shared" si="50"/>
        <v/>
      </c>
      <c r="Z547" s="20" t="str">
        <f t="shared" si="51"/>
        <v/>
      </c>
      <c r="AA547" s="20" t="str">
        <f t="shared" si="52"/>
        <v/>
      </c>
      <c r="AB547" s="20" t="str">
        <f t="shared" si="53"/>
        <v/>
      </c>
    </row>
    <row r="548" customHeight="1" spans="1:28">
      <c r="A548" s="14">
        <v>548</v>
      </c>
      <c r="B548" s="15" t="str">
        <f>IFERROR(IF([2]对账明细接口!$B$548=0,"",[2]对账明细接口!$B$548),"")</f>
        <v/>
      </c>
      <c r="C548" s="16" t="str">
        <f>IFERROR(IF([2]对账明细接口!$C$548=0,"",[2]对账明细接口!$C$548),"")</f>
        <v/>
      </c>
      <c r="D548" s="16" t="str">
        <f>IFERROR(IF([2]对账明细接口!$D$548=0,"",[2]对账明细接口!$D$548),"")</f>
        <v/>
      </c>
      <c r="E548" s="16" t="str">
        <f>IFERROR(IF([2]对账明细接口!$E$548=0,"",[2]对账明细接口!$E$548),"")</f>
        <v/>
      </c>
      <c r="F548" s="16" t="str">
        <f>IFERROR(IF([2]对账明细接口!$F$548=0,"",[2]对账明细接口!$F$548),"")</f>
        <v/>
      </c>
      <c r="G548" s="16" t="str">
        <f>IFERROR(IF([2]对账明细接口!$G$548=0,"",[2]对账明细接口!$G$548),"")</f>
        <v/>
      </c>
      <c r="H548" s="17" t="str">
        <f>IFERROR(IF([2]对账明细接口!$H$548=0,"",[2]对账明细接口!$H$548),"")</f>
        <v/>
      </c>
      <c r="I548" s="16" t="str">
        <f>IFERROR(IF([2]对账明细接口!$I$548=0,"",[2]对账明细接口!$I$548),"")</f>
        <v/>
      </c>
      <c r="J548" s="18" t="str">
        <f>IFERROR(IF([2]对账明细接口!$J$548=0,"",[2]对账明细接口!$J$548),"")</f>
        <v/>
      </c>
      <c r="K548" s="18" t="str">
        <f>IFERROR(IF([2]对账明细接口!$K$548=0,"",[2]对账明细接口!$K$548),"")</f>
        <v/>
      </c>
      <c r="L548" s="16" t="str">
        <f>IFERROR(IF([2]对账明细接口!$L$548=0,"",[2]对账明细接口!$L$548),"")</f>
        <v/>
      </c>
      <c r="M548" s="16" t="str">
        <f>IFERROR(IF([2]对账明细接口!$M$548=0,"",[2]对账明细接口!$M$548),"")</f>
        <v/>
      </c>
      <c r="N548" s="19">
        <f t="shared" si="48"/>
        <v>0</v>
      </c>
      <c r="O548" s="19">
        <f t="shared" si="49"/>
        <v>165</v>
      </c>
      <c r="S548" s="20" t="str">
        <f>IFERROR(IF([2]对账明细接口!$N548=0,"",[2]对账明细接口!$N548),"")</f>
        <v/>
      </c>
      <c r="T548" s="21" t="str">
        <f>IFERROR(IF([2]对账明细接口!$O548=0,"",[2]对账明细接口!$O548),"")</f>
        <v/>
      </c>
      <c r="U548" s="21" t="str">
        <f>IFERROR(IF([2]对账明细接口!$P548=0,"",[2]对账明细接口!$P548),"")</f>
        <v/>
      </c>
      <c r="V548" s="21" t="str">
        <f>IFERROR(IF([2]对账明细接口!$Q548=0,"",[2]对账明细接口!$Q548),"")</f>
        <v/>
      </c>
      <c r="W548" s="20" t="str">
        <f>IFERROR(IF([2]对账明细接口!$R548=0,"",[2]对账明细接口!$R548),"")</f>
        <v/>
      </c>
      <c r="X548" s="20" t="str">
        <f>IFERROR(IF([2]对账明细接口!$S548=0,"",[2]对账明细接口!$S548),"")</f>
        <v/>
      </c>
      <c r="Y548" s="20" t="str">
        <f t="shared" si="50"/>
        <v/>
      </c>
      <c r="Z548" s="20" t="str">
        <f t="shared" si="51"/>
        <v/>
      </c>
      <c r="AA548" s="20" t="str">
        <f t="shared" si="52"/>
        <v/>
      </c>
      <c r="AB548" s="20" t="str">
        <f t="shared" si="53"/>
        <v/>
      </c>
    </row>
    <row r="549" customHeight="1" spans="1:28">
      <c r="A549" s="14">
        <v>549</v>
      </c>
      <c r="B549" s="15" t="str">
        <f>IFERROR(IF([2]对账明细接口!$B$549=0,"",[2]对账明细接口!$B$549),"")</f>
        <v/>
      </c>
      <c r="C549" s="16" t="str">
        <f>IFERROR(IF([2]对账明细接口!$C$549=0,"",[2]对账明细接口!$C$549),"")</f>
        <v/>
      </c>
      <c r="D549" s="16" t="str">
        <f>IFERROR(IF([2]对账明细接口!$D$549=0,"",[2]对账明细接口!$D$549),"")</f>
        <v/>
      </c>
      <c r="E549" s="16" t="str">
        <f>IFERROR(IF([2]对账明细接口!$E$549=0,"",[2]对账明细接口!$E$549),"")</f>
        <v/>
      </c>
      <c r="F549" s="16" t="str">
        <f>IFERROR(IF([2]对账明细接口!$F$549=0,"",[2]对账明细接口!$F$549),"")</f>
        <v/>
      </c>
      <c r="G549" s="16" t="str">
        <f>IFERROR(IF([2]对账明细接口!$G$549=0,"",[2]对账明细接口!$G$549),"")</f>
        <v/>
      </c>
      <c r="H549" s="17" t="str">
        <f>IFERROR(IF([2]对账明细接口!$H$549=0,"",[2]对账明细接口!$H$549),"")</f>
        <v/>
      </c>
      <c r="I549" s="16" t="str">
        <f>IFERROR(IF([2]对账明细接口!$I$549=0,"",[2]对账明细接口!$I$549),"")</f>
        <v/>
      </c>
      <c r="J549" s="18" t="str">
        <f>IFERROR(IF([2]对账明细接口!$J$549=0,"",[2]对账明细接口!$J$549),"")</f>
        <v/>
      </c>
      <c r="K549" s="18" t="str">
        <f>IFERROR(IF([2]对账明细接口!$K$549=0,"",[2]对账明细接口!$K$549),"")</f>
        <v/>
      </c>
      <c r="L549" s="16" t="str">
        <f>IFERROR(IF([2]对账明细接口!$L$549=0,"",[2]对账明细接口!$L$549),"")</f>
        <v/>
      </c>
      <c r="M549" s="16" t="str">
        <f>IFERROR(IF([2]对账明细接口!$M$549=0,"",[2]对账明细接口!$M$549),"")</f>
        <v/>
      </c>
      <c r="N549" s="19">
        <f t="shared" si="48"/>
        <v>0</v>
      </c>
      <c r="O549" s="19">
        <f t="shared" si="49"/>
        <v>165</v>
      </c>
      <c r="S549" s="20" t="str">
        <f>IFERROR(IF([2]对账明细接口!$N549=0,"",[2]对账明细接口!$N549),"")</f>
        <v/>
      </c>
      <c r="T549" s="21" t="str">
        <f>IFERROR(IF([2]对账明细接口!$O549=0,"",[2]对账明细接口!$O549),"")</f>
        <v/>
      </c>
      <c r="U549" s="21" t="str">
        <f>IFERROR(IF([2]对账明细接口!$P549=0,"",[2]对账明细接口!$P549),"")</f>
        <v/>
      </c>
      <c r="V549" s="21" t="str">
        <f>IFERROR(IF([2]对账明细接口!$Q549=0,"",[2]对账明细接口!$Q549),"")</f>
        <v/>
      </c>
      <c r="W549" s="20" t="str">
        <f>IFERROR(IF([2]对账明细接口!$R549=0,"",[2]对账明细接口!$R549),"")</f>
        <v/>
      </c>
      <c r="X549" s="20" t="str">
        <f>IFERROR(IF([2]对账明细接口!$S549=0,"",[2]对账明细接口!$S549),"")</f>
        <v/>
      </c>
      <c r="Y549" s="20" t="str">
        <f t="shared" si="50"/>
        <v/>
      </c>
      <c r="Z549" s="20" t="str">
        <f t="shared" si="51"/>
        <v/>
      </c>
      <c r="AA549" s="20" t="str">
        <f t="shared" si="52"/>
        <v/>
      </c>
      <c r="AB549" s="20" t="str">
        <f t="shared" si="53"/>
        <v/>
      </c>
    </row>
    <row r="550" customHeight="1" spans="1:28">
      <c r="A550" s="14">
        <v>550</v>
      </c>
      <c r="B550" s="15" t="str">
        <f>IFERROR(IF([2]对账明细接口!$B$550=0,"",[2]对账明细接口!$B$550),"")</f>
        <v/>
      </c>
      <c r="C550" s="16" t="str">
        <f>IFERROR(IF([2]对账明细接口!$C$550=0,"",[2]对账明细接口!$C$550),"")</f>
        <v/>
      </c>
      <c r="D550" s="16" t="str">
        <f>IFERROR(IF([2]对账明细接口!$D$550=0,"",[2]对账明细接口!$D$550),"")</f>
        <v/>
      </c>
      <c r="E550" s="16" t="str">
        <f>IFERROR(IF([2]对账明细接口!$E$550=0,"",[2]对账明细接口!$E$550),"")</f>
        <v/>
      </c>
      <c r="F550" s="16" t="str">
        <f>IFERROR(IF([2]对账明细接口!$F$550=0,"",[2]对账明细接口!$F$550),"")</f>
        <v/>
      </c>
      <c r="G550" s="16" t="str">
        <f>IFERROR(IF([2]对账明细接口!$G$550=0,"",[2]对账明细接口!$G$550),"")</f>
        <v/>
      </c>
      <c r="H550" s="17" t="str">
        <f>IFERROR(IF([2]对账明细接口!$H$550=0,"",[2]对账明细接口!$H$550),"")</f>
        <v/>
      </c>
      <c r="I550" s="16" t="str">
        <f>IFERROR(IF([2]对账明细接口!$I$550=0,"",[2]对账明细接口!$I$550),"")</f>
        <v/>
      </c>
      <c r="J550" s="18" t="str">
        <f>IFERROR(IF([2]对账明细接口!$J$550=0,"",[2]对账明细接口!$J$550),"")</f>
        <v/>
      </c>
      <c r="K550" s="18" t="str">
        <f>IFERROR(IF([2]对账明细接口!$K$550=0,"",[2]对账明细接口!$K$550),"")</f>
        <v/>
      </c>
      <c r="L550" s="16" t="str">
        <f>IFERROR(IF([2]对账明细接口!$L$550=0,"",[2]对账明细接口!$L$550),"")</f>
        <v/>
      </c>
      <c r="M550" s="16" t="str">
        <f>IFERROR(IF([2]对账明细接口!$M$550=0,"",[2]对账明细接口!$M$550),"")</f>
        <v/>
      </c>
      <c r="N550" s="19">
        <f t="shared" si="48"/>
        <v>0</v>
      </c>
      <c r="O550" s="19">
        <f t="shared" si="49"/>
        <v>165</v>
      </c>
      <c r="S550" s="20" t="str">
        <f>IFERROR(IF([2]对账明细接口!$N550=0,"",[2]对账明细接口!$N550),"")</f>
        <v/>
      </c>
      <c r="T550" s="21" t="str">
        <f>IFERROR(IF([2]对账明细接口!$O550=0,"",[2]对账明细接口!$O550),"")</f>
        <v/>
      </c>
      <c r="U550" s="21" t="str">
        <f>IFERROR(IF([2]对账明细接口!$P550=0,"",[2]对账明细接口!$P550),"")</f>
        <v/>
      </c>
      <c r="V550" s="21" t="str">
        <f>IFERROR(IF([2]对账明细接口!$Q550=0,"",[2]对账明细接口!$Q550),"")</f>
        <v/>
      </c>
      <c r="W550" s="20" t="str">
        <f>IFERROR(IF([2]对账明细接口!$R550=0,"",[2]对账明细接口!$R550),"")</f>
        <v/>
      </c>
      <c r="X550" s="20" t="str">
        <f>IFERROR(IF([2]对账明细接口!$S550=0,"",[2]对账明细接口!$S550),"")</f>
        <v/>
      </c>
      <c r="Y550" s="20" t="str">
        <f t="shared" si="50"/>
        <v/>
      </c>
      <c r="Z550" s="20" t="str">
        <f t="shared" si="51"/>
        <v/>
      </c>
      <c r="AA550" s="20" t="str">
        <f t="shared" si="52"/>
        <v/>
      </c>
      <c r="AB550" s="20" t="str">
        <f t="shared" si="53"/>
        <v/>
      </c>
    </row>
    <row r="551" customHeight="1" spans="1:28">
      <c r="A551" s="14">
        <v>551</v>
      </c>
      <c r="B551" s="15" t="str">
        <f>IFERROR(IF([2]对账明细接口!$B$551=0,"",[2]对账明细接口!$B$551),"")</f>
        <v/>
      </c>
      <c r="C551" s="16" t="str">
        <f>IFERROR(IF([2]对账明细接口!$C$551=0,"",[2]对账明细接口!$C$551),"")</f>
        <v/>
      </c>
      <c r="D551" s="16" t="str">
        <f>IFERROR(IF([2]对账明细接口!$D$551=0,"",[2]对账明细接口!$D$551),"")</f>
        <v/>
      </c>
      <c r="E551" s="16" t="str">
        <f>IFERROR(IF([2]对账明细接口!$E$551=0,"",[2]对账明细接口!$E$551),"")</f>
        <v/>
      </c>
      <c r="F551" s="16" t="str">
        <f>IFERROR(IF([2]对账明细接口!$F$551=0,"",[2]对账明细接口!$F$551),"")</f>
        <v/>
      </c>
      <c r="G551" s="16" t="str">
        <f>IFERROR(IF([2]对账明细接口!$G$551=0,"",[2]对账明细接口!$G$551),"")</f>
        <v/>
      </c>
      <c r="H551" s="17" t="str">
        <f>IFERROR(IF([2]对账明细接口!$H$551=0,"",[2]对账明细接口!$H$551),"")</f>
        <v/>
      </c>
      <c r="I551" s="16" t="str">
        <f>IFERROR(IF([2]对账明细接口!$I$551=0,"",[2]对账明细接口!$I$551),"")</f>
        <v/>
      </c>
      <c r="J551" s="18" t="str">
        <f>IFERROR(IF([2]对账明细接口!$J$551=0,"",[2]对账明细接口!$J$551),"")</f>
        <v/>
      </c>
      <c r="K551" s="18" t="str">
        <f>IFERROR(IF([2]对账明细接口!$K$551=0,"",[2]对账明细接口!$K$551),"")</f>
        <v/>
      </c>
      <c r="L551" s="16" t="str">
        <f>IFERROR(IF([2]对账明细接口!$L$551=0,"",[2]对账明细接口!$L$551),"")</f>
        <v/>
      </c>
      <c r="M551" s="16" t="str">
        <f>IFERROR(IF([2]对账明细接口!$M$551=0,"",[2]对账明细接口!$M$551),"")</f>
        <v/>
      </c>
      <c r="N551" s="19">
        <f t="shared" si="48"/>
        <v>0</v>
      </c>
      <c r="O551" s="19">
        <f t="shared" si="49"/>
        <v>165</v>
      </c>
      <c r="S551" s="20" t="str">
        <f>IFERROR(IF([2]对账明细接口!$N551=0,"",[2]对账明细接口!$N551),"")</f>
        <v/>
      </c>
      <c r="T551" s="21" t="str">
        <f>IFERROR(IF([2]对账明细接口!$O551=0,"",[2]对账明细接口!$O551),"")</f>
        <v/>
      </c>
      <c r="U551" s="21" t="str">
        <f>IFERROR(IF([2]对账明细接口!$P551=0,"",[2]对账明细接口!$P551),"")</f>
        <v/>
      </c>
      <c r="V551" s="21" t="str">
        <f>IFERROR(IF([2]对账明细接口!$Q551=0,"",[2]对账明细接口!$Q551),"")</f>
        <v/>
      </c>
      <c r="W551" s="20" t="str">
        <f>IFERROR(IF([2]对账明细接口!$R551=0,"",[2]对账明细接口!$R551),"")</f>
        <v/>
      </c>
      <c r="X551" s="20" t="str">
        <f>IFERROR(IF([2]对账明细接口!$S551=0,"",[2]对账明细接口!$S551),"")</f>
        <v/>
      </c>
      <c r="Y551" s="20" t="str">
        <f t="shared" si="50"/>
        <v/>
      </c>
      <c r="Z551" s="20" t="str">
        <f t="shared" si="51"/>
        <v/>
      </c>
      <c r="AA551" s="20" t="str">
        <f t="shared" si="52"/>
        <v/>
      </c>
      <c r="AB551" s="20" t="str">
        <f t="shared" si="53"/>
        <v/>
      </c>
    </row>
    <row r="552" customHeight="1" spans="1:28">
      <c r="A552" s="14">
        <v>552</v>
      </c>
      <c r="B552" s="15" t="str">
        <f>IFERROR(IF([2]对账明细接口!$B$552=0,"",[2]对账明细接口!$B$552),"")</f>
        <v/>
      </c>
      <c r="C552" s="16" t="str">
        <f>IFERROR(IF([2]对账明细接口!$C$552=0,"",[2]对账明细接口!$C$552),"")</f>
        <v/>
      </c>
      <c r="D552" s="16" t="str">
        <f>IFERROR(IF([2]对账明细接口!$D$552=0,"",[2]对账明细接口!$D$552),"")</f>
        <v/>
      </c>
      <c r="E552" s="16" t="str">
        <f>IFERROR(IF([2]对账明细接口!$E$552=0,"",[2]对账明细接口!$E$552),"")</f>
        <v/>
      </c>
      <c r="F552" s="16" t="str">
        <f>IFERROR(IF([2]对账明细接口!$F$552=0,"",[2]对账明细接口!$F$552),"")</f>
        <v/>
      </c>
      <c r="G552" s="16" t="str">
        <f>IFERROR(IF([2]对账明细接口!$G$552=0,"",[2]对账明细接口!$G$552),"")</f>
        <v/>
      </c>
      <c r="H552" s="17" t="str">
        <f>IFERROR(IF([2]对账明细接口!$H$552=0,"",[2]对账明细接口!$H$552),"")</f>
        <v/>
      </c>
      <c r="I552" s="16" t="str">
        <f>IFERROR(IF([2]对账明细接口!$I$552=0,"",[2]对账明细接口!$I$552),"")</f>
        <v/>
      </c>
      <c r="J552" s="18" t="str">
        <f>IFERROR(IF([2]对账明细接口!$J$552=0,"",[2]对账明细接口!$J$552),"")</f>
        <v/>
      </c>
      <c r="K552" s="18" t="str">
        <f>IFERROR(IF([2]对账明细接口!$K$552=0,"",[2]对账明细接口!$K$552),"")</f>
        <v/>
      </c>
      <c r="L552" s="16" t="str">
        <f>IFERROR(IF([2]对账明细接口!$L$552=0,"",[2]对账明细接口!$L$552),"")</f>
        <v/>
      </c>
      <c r="M552" s="16" t="str">
        <f>IFERROR(IF([2]对账明细接口!$M$552=0,"",[2]对账明细接口!$M$552),"")</f>
        <v/>
      </c>
      <c r="N552" s="19">
        <f t="shared" si="48"/>
        <v>0</v>
      </c>
      <c r="O552" s="19">
        <f t="shared" si="49"/>
        <v>165</v>
      </c>
      <c r="S552" s="20" t="str">
        <f>IFERROR(IF([2]对账明细接口!$N552=0,"",[2]对账明细接口!$N552),"")</f>
        <v/>
      </c>
      <c r="T552" s="21" t="str">
        <f>IFERROR(IF([2]对账明细接口!$O552=0,"",[2]对账明细接口!$O552),"")</f>
        <v/>
      </c>
      <c r="U552" s="21" t="str">
        <f>IFERROR(IF([2]对账明细接口!$P552=0,"",[2]对账明细接口!$P552),"")</f>
        <v/>
      </c>
      <c r="V552" s="21" t="str">
        <f>IFERROR(IF([2]对账明细接口!$Q552=0,"",[2]对账明细接口!$Q552),"")</f>
        <v/>
      </c>
      <c r="W552" s="20" t="str">
        <f>IFERROR(IF([2]对账明细接口!$R552=0,"",[2]对账明细接口!$R552),"")</f>
        <v/>
      </c>
      <c r="X552" s="20" t="str">
        <f>IFERROR(IF([2]对账明细接口!$S552=0,"",[2]对账明细接口!$S552),"")</f>
        <v/>
      </c>
      <c r="Y552" s="20" t="str">
        <f t="shared" si="50"/>
        <v/>
      </c>
      <c r="Z552" s="20" t="str">
        <f t="shared" si="51"/>
        <v/>
      </c>
      <c r="AA552" s="20" t="str">
        <f t="shared" si="52"/>
        <v/>
      </c>
      <c r="AB552" s="20" t="str">
        <f t="shared" si="53"/>
        <v/>
      </c>
    </row>
    <row r="553" customHeight="1" spans="1:28">
      <c r="A553" s="14">
        <v>553</v>
      </c>
      <c r="B553" s="15" t="str">
        <f>IFERROR(IF([2]对账明细接口!$B$553=0,"",[2]对账明细接口!$B$553),"")</f>
        <v/>
      </c>
      <c r="C553" s="16" t="str">
        <f>IFERROR(IF([2]对账明细接口!$C$553=0,"",[2]对账明细接口!$C$553),"")</f>
        <v/>
      </c>
      <c r="D553" s="16" t="str">
        <f>IFERROR(IF([2]对账明细接口!$D$553=0,"",[2]对账明细接口!$D$553),"")</f>
        <v/>
      </c>
      <c r="E553" s="16" t="str">
        <f>IFERROR(IF([2]对账明细接口!$E$553=0,"",[2]对账明细接口!$E$553),"")</f>
        <v/>
      </c>
      <c r="F553" s="16" t="str">
        <f>IFERROR(IF([2]对账明细接口!$F$553=0,"",[2]对账明细接口!$F$553),"")</f>
        <v/>
      </c>
      <c r="G553" s="16" t="str">
        <f>IFERROR(IF([2]对账明细接口!$G$553=0,"",[2]对账明细接口!$G$553),"")</f>
        <v/>
      </c>
      <c r="H553" s="17" t="str">
        <f>IFERROR(IF([2]对账明细接口!$H$553=0,"",[2]对账明细接口!$H$553),"")</f>
        <v/>
      </c>
      <c r="I553" s="16" t="str">
        <f>IFERROR(IF([2]对账明细接口!$I$553=0,"",[2]对账明细接口!$I$553),"")</f>
        <v/>
      </c>
      <c r="J553" s="18" t="str">
        <f>IFERROR(IF([2]对账明细接口!$J$553=0,"",[2]对账明细接口!$J$553),"")</f>
        <v/>
      </c>
      <c r="K553" s="18" t="str">
        <f>IFERROR(IF([2]对账明细接口!$K$553=0,"",[2]对账明细接口!$K$553),"")</f>
        <v/>
      </c>
      <c r="L553" s="16" t="str">
        <f>IFERROR(IF([2]对账明细接口!$L$553=0,"",[2]对账明细接口!$L$553),"")</f>
        <v/>
      </c>
      <c r="M553" s="16" t="str">
        <f>IFERROR(IF([2]对账明细接口!$M$553=0,"",[2]对账明细接口!$M$553),"")</f>
        <v/>
      </c>
      <c r="N553" s="19">
        <f t="shared" si="48"/>
        <v>0</v>
      </c>
      <c r="O553" s="19">
        <f t="shared" si="49"/>
        <v>165</v>
      </c>
      <c r="S553" s="20" t="str">
        <f>IFERROR(IF([2]对账明细接口!$N553=0,"",[2]对账明细接口!$N553),"")</f>
        <v/>
      </c>
      <c r="T553" s="21" t="str">
        <f>IFERROR(IF([2]对账明细接口!$O553=0,"",[2]对账明细接口!$O553),"")</f>
        <v/>
      </c>
      <c r="U553" s="21" t="str">
        <f>IFERROR(IF([2]对账明细接口!$P553=0,"",[2]对账明细接口!$P553),"")</f>
        <v/>
      </c>
      <c r="V553" s="21" t="str">
        <f>IFERROR(IF([2]对账明细接口!$Q553=0,"",[2]对账明细接口!$Q553),"")</f>
        <v/>
      </c>
      <c r="W553" s="20" t="str">
        <f>IFERROR(IF([2]对账明细接口!$R553=0,"",[2]对账明细接口!$R553),"")</f>
        <v/>
      </c>
      <c r="X553" s="20" t="str">
        <f>IFERROR(IF([2]对账明细接口!$S553=0,"",[2]对账明细接口!$S553),"")</f>
        <v/>
      </c>
      <c r="Y553" s="20" t="str">
        <f t="shared" si="50"/>
        <v/>
      </c>
      <c r="Z553" s="20" t="str">
        <f t="shared" si="51"/>
        <v/>
      </c>
      <c r="AA553" s="20" t="str">
        <f t="shared" si="52"/>
        <v/>
      </c>
      <c r="AB553" s="20" t="str">
        <f t="shared" si="53"/>
        <v/>
      </c>
    </row>
    <row r="554" customHeight="1" spans="1:28">
      <c r="A554" s="14">
        <v>554</v>
      </c>
      <c r="B554" s="15" t="str">
        <f>IFERROR(IF([2]对账明细接口!$B$554=0,"",[2]对账明细接口!$B$554),"")</f>
        <v/>
      </c>
      <c r="C554" s="16" t="str">
        <f>IFERROR(IF([2]对账明细接口!$C$554=0,"",[2]对账明细接口!$C$554),"")</f>
        <v/>
      </c>
      <c r="D554" s="16" t="str">
        <f>IFERROR(IF([2]对账明细接口!$D$554=0,"",[2]对账明细接口!$D$554),"")</f>
        <v/>
      </c>
      <c r="E554" s="16" t="str">
        <f>IFERROR(IF([2]对账明细接口!$E$554=0,"",[2]对账明细接口!$E$554),"")</f>
        <v/>
      </c>
      <c r="F554" s="16" t="str">
        <f>IFERROR(IF([2]对账明细接口!$F$554=0,"",[2]对账明细接口!$F$554),"")</f>
        <v/>
      </c>
      <c r="G554" s="16" t="str">
        <f>IFERROR(IF([2]对账明细接口!$G$554=0,"",[2]对账明细接口!$G$554),"")</f>
        <v/>
      </c>
      <c r="H554" s="17" t="str">
        <f>IFERROR(IF([2]对账明细接口!$H$554=0,"",[2]对账明细接口!$H$554),"")</f>
        <v/>
      </c>
      <c r="I554" s="16" t="str">
        <f>IFERROR(IF([2]对账明细接口!$I$554=0,"",[2]对账明细接口!$I$554),"")</f>
        <v/>
      </c>
      <c r="J554" s="18" t="str">
        <f>IFERROR(IF([2]对账明细接口!$J$554=0,"",[2]对账明细接口!$J$554),"")</f>
        <v/>
      </c>
      <c r="K554" s="18" t="str">
        <f>IFERROR(IF([2]对账明细接口!$K$554=0,"",[2]对账明细接口!$K$554),"")</f>
        <v/>
      </c>
      <c r="L554" s="16" t="str">
        <f>IFERROR(IF([2]对账明细接口!$L$554=0,"",[2]对账明细接口!$L$554),"")</f>
        <v/>
      </c>
      <c r="M554" s="16" t="str">
        <f>IFERROR(IF([2]对账明细接口!$M$554=0,"",[2]对账明细接口!$M$554),"")</f>
        <v/>
      </c>
      <c r="N554" s="19">
        <f t="shared" si="48"/>
        <v>0</v>
      </c>
      <c r="O554" s="19">
        <f t="shared" si="49"/>
        <v>165</v>
      </c>
      <c r="S554" s="20" t="str">
        <f>IFERROR(IF([2]对账明细接口!$N554=0,"",[2]对账明细接口!$N554),"")</f>
        <v/>
      </c>
      <c r="T554" s="21" t="str">
        <f>IFERROR(IF([2]对账明细接口!$O554=0,"",[2]对账明细接口!$O554),"")</f>
        <v/>
      </c>
      <c r="U554" s="21" t="str">
        <f>IFERROR(IF([2]对账明细接口!$P554=0,"",[2]对账明细接口!$P554),"")</f>
        <v/>
      </c>
      <c r="V554" s="21" t="str">
        <f>IFERROR(IF([2]对账明细接口!$Q554=0,"",[2]对账明细接口!$Q554),"")</f>
        <v/>
      </c>
      <c r="W554" s="20" t="str">
        <f>IFERROR(IF([2]对账明细接口!$R554=0,"",[2]对账明细接口!$R554),"")</f>
        <v/>
      </c>
      <c r="X554" s="20" t="str">
        <f>IFERROR(IF([2]对账明细接口!$S554=0,"",[2]对账明细接口!$S554),"")</f>
        <v/>
      </c>
      <c r="Y554" s="20" t="str">
        <f t="shared" si="50"/>
        <v/>
      </c>
      <c r="Z554" s="20" t="str">
        <f t="shared" si="51"/>
        <v/>
      </c>
      <c r="AA554" s="20" t="str">
        <f t="shared" si="52"/>
        <v/>
      </c>
      <c r="AB554" s="20" t="str">
        <f t="shared" si="53"/>
        <v/>
      </c>
    </row>
    <row r="555" customHeight="1" spans="1:28">
      <c r="A555" s="14">
        <v>555</v>
      </c>
      <c r="B555" s="15" t="str">
        <f>IFERROR(IF([2]对账明细接口!$B$555=0,"",[2]对账明细接口!$B$555),"")</f>
        <v/>
      </c>
      <c r="C555" s="16" t="str">
        <f>IFERROR(IF([2]对账明细接口!$C$555=0,"",[2]对账明细接口!$C$555),"")</f>
        <v/>
      </c>
      <c r="D555" s="16" t="str">
        <f>IFERROR(IF([2]对账明细接口!$D$555=0,"",[2]对账明细接口!$D$555),"")</f>
        <v/>
      </c>
      <c r="E555" s="16" t="str">
        <f>IFERROR(IF([2]对账明细接口!$E$555=0,"",[2]对账明细接口!$E$555),"")</f>
        <v/>
      </c>
      <c r="F555" s="16" t="str">
        <f>IFERROR(IF([2]对账明细接口!$F$555=0,"",[2]对账明细接口!$F$555),"")</f>
        <v/>
      </c>
      <c r="G555" s="16" t="str">
        <f>IFERROR(IF([2]对账明细接口!$G$555=0,"",[2]对账明细接口!$G$555),"")</f>
        <v/>
      </c>
      <c r="H555" s="17" t="str">
        <f>IFERROR(IF([2]对账明细接口!$H$555=0,"",[2]对账明细接口!$H$555),"")</f>
        <v/>
      </c>
      <c r="I555" s="16" t="str">
        <f>IFERROR(IF([2]对账明细接口!$I$555=0,"",[2]对账明细接口!$I$555),"")</f>
        <v/>
      </c>
      <c r="J555" s="18" t="str">
        <f>IFERROR(IF([2]对账明细接口!$J$555=0,"",[2]对账明细接口!$J$555),"")</f>
        <v/>
      </c>
      <c r="K555" s="18" t="str">
        <f>IFERROR(IF([2]对账明细接口!$K$555=0,"",[2]对账明细接口!$K$555),"")</f>
        <v/>
      </c>
      <c r="L555" s="16" t="str">
        <f>IFERROR(IF([2]对账明细接口!$L$555=0,"",[2]对账明细接口!$L$555),"")</f>
        <v/>
      </c>
      <c r="M555" s="16" t="str">
        <f>IFERROR(IF([2]对账明细接口!$M$555=0,"",[2]对账明细接口!$M$555),"")</f>
        <v/>
      </c>
      <c r="N555" s="19">
        <f t="shared" si="48"/>
        <v>0</v>
      </c>
      <c r="O555" s="19">
        <f t="shared" si="49"/>
        <v>165</v>
      </c>
      <c r="S555" s="20" t="str">
        <f>IFERROR(IF([2]对账明细接口!$N555=0,"",[2]对账明细接口!$N555),"")</f>
        <v/>
      </c>
      <c r="T555" s="21" t="str">
        <f>IFERROR(IF([2]对账明细接口!$O555=0,"",[2]对账明细接口!$O555),"")</f>
        <v/>
      </c>
      <c r="U555" s="21" t="str">
        <f>IFERROR(IF([2]对账明细接口!$P555=0,"",[2]对账明细接口!$P555),"")</f>
        <v/>
      </c>
      <c r="V555" s="21" t="str">
        <f>IFERROR(IF([2]对账明细接口!$Q555=0,"",[2]对账明细接口!$Q555),"")</f>
        <v/>
      </c>
      <c r="W555" s="20" t="str">
        <f>IFERROR(IF([2]对账明细接口!$R555=0,"",[2]对账明细接口!$R555),"")</f>
        <v/>
      </c>
      <c r="X555" s="20" t="str">
        <f>IFERROR(IF([2]对账明细接口!$S555=0,"",[2]对账明细接口!$S555),"")</f>
        <v/>
      </c>
      <c r="Y555" s="20" t="str">
        <f t="shared" si="50"/>
        <v/>
      </c>
      <c r="Z555" s="20" t="str">
        <f t="shared" si="51"/>
        <v/>
      </c>
      <c r="AA555" s="20" t="str">
        <f t="shared" si="52"/>
        <v/>
      </c>
      <c r="AB555" s="20" t="str">
        <f t="shared" si="53"/>
        <v/>
      </c>
    </row>
    <row r="556" customHeight="1" spans="1:28">
      <c r="A556" s="14">
        <v>556</v>
      </c>
      <c r="B556" s="15" t="str">
        <f>IFERROR(IF([2]对账明细接口!$B$556=0,"",[2]对账明细接口!$B$556),"")</f>
        <v/>
      </c>
      <c r="C556" s="16" t="str">
        <f>IFERROR(IF([2]对账明细接口!$C$556=0,"",[2]对账明细接口!$C$556),"")</f>
        <v/>
      </c>
      <c r="D556" s="16" t="str">
        <f>IFERROR(IF([2]对账明细接口!$D$556=0,"",[2]对账明细接口!$D$556),"")</f>
        <v/>
      </c>
      <c r="E556" s="16" t="str">
        <f>IFERROR(IF([2]对账明细接口!$E$556=0,"",[2]对账明细接口!$E$556),"")</f>
        <v/>
      </c>
      <c r="F556" s="16" t="str">
        <f>IFERROR(IF([2]对账明细接口!$F$556=0,"",[2]对账明细接口!$F$556),"")</f>
        <v/>
      </c>
      <c r="G556" s="16" t="str">
        <f>IFERROR(IF([2]对账明细接口!$G$556=0,"",[2]对账明细接口!$G$556),"")</f>
        <v/>
      </c>
      <c r="H556" s="17" t="str">
        <f>IFERROR(IF([2]对账明细接口!$H$556=0,"",[2]对账明细接口!$H$556),"")</f>
        <v/>
      </c>
      <c r="I556" s="16" t="str">
        <f>IFERROR(IF([2]对账明细接口!$I$556=0,"",[2]对账明细接口!$I$556),"")</f>
        <v/>
      </c>
      <c r="J556" s="18" t="str">
        <f>IFERROR(IF([2]对账明细接口!$J$556=0,"",[2]对账明细接口!$J$556),"")</f>
        <v/>
      </c>
      <c r="K556" s="18" t="str">
        <f>IFERROR(IF([2]对账明细接口!$K$556=0,"",[2]对账明细接口!$K$556),"")</f>
        <v/>
      </c>
      <c r="L556" s="16" t="str">
        <f>IFERROR(IF([2]对账明细接口!$L$556=0,"",[2]对账明细接口!$L$556),"")</f>
        <v/>
      </c>
      <c r="M556" s="16" t="str">
        <f>IFERROR(IF([2]对账明细接口!$M$556=0,"",[2]对账明细接口!$M$556),"")</f>
        <v/>
      </c>
      <c r="N556" s="19">
        <f t="shared" si="48"/>
        <v>0</v>
      </c>
      <c r="O556" s="19">
        <f t="shared" si="49"/>
        <v>165</v>
      </c>
      <c r="S556" s="20" t="str">
        <f>IFERROR(IF([2]对账明细接口!$N556=0,"",[2]对账明细接口!$N556),"")</f>
        <v/>
      </c>
      <c r="T556" s="21" t="str">
        <f>IFERROR(IF([2]对账明细接口!$O556=0,"",[2]对账明细接口!$O556),"")</f>
        <v/>
      </c>
      <c r="U556" s="21" t="str">
        <f>IFERROR(IF([2]对账明细接口!$P556=0,"",[2]对账明细接口!$P556),"")</f>
        <v/>
      </c>
      <c r="V556" s="21" t="str">
        <f>IFERROR(IF([2]对账明细接口!$Q556=0,"",[2]对账明细接口!$Q556),"")</f>
        <v/>
      </c>
      <c r="W556" s="20" t="str">
        <f>IFERROR(IF([2]对账明细接口!$R556=0,"",[2]对账明细接口!$R556),"")</f>
        <v/>
      </c>
      <c r="X556" s="20" t="str">
        <f>IFERROR(IF([2]对账明细接口!$S556=0,"",[2]对账明细接口!$S556),"")</f>
        <v/>
      </c>
      <c r="Y556" s="20" t="str">
        <f t="shared" si="50"/>
        <v/>
      </c>
      <c r="Z556" s="20" t="str">
        <f t="shared" si="51"/>
        <v/>
      </c>
      <c r="AA556" s="20" t="str">
        <f t="shared" si="52"/>
        <v/>
      </c>
      <c r="AB556" s="20" t="str">
        <f t="shared" si="53"/>
        <v/>
      </c>
    </row>
    <row r="557" customHeight="1" spans="1:28">
      <c r="A557" s="14">
        <v>557</v>
      </c>
      <c r="B557" s="15" t="str">
        <f>IFERROR(IF([2]对账明细接口!$B$557=0,"",[2]对账明细接口!$B$557),"")</f>
        <v/>
      </c>
      <c r="C557" s="16" t="str">
        <f>IFERROR(IF([2]对账明细接口!$C$557=0,"",[2]对账明细接口!$C$557),"")</f>
        <v/>
      </c>
      <c r="D557" s="16" t="str">
        <f>IFERROR(IF([2]对账明细接口!$D$557=0,"",[2]对账明细接口!$D$557),"")</f>
        <v/>
      </c>
      <c r="E557" s="16" t="str">
        <f>IFERROR(IF([2]对账明细接口!$E$557=0,"",[2]对账明细接口!$E$557),"")</f>
        <v/>
      </c>
      <c r="F557" s="16" t="str">
        <f>IFERROR(IF([2]对账明细接口!$F$557=0,"",[2]对账明细接口!$F$557),"")</f>
        <v/>
      </c>
      <c r="G557" s="16" t="str">
        <f>IFERROR(IF([2]对账明细接口!$G$557=0,"",[2]对账明细接口!$G$557),"")</f>
        <v/>
      </c>
      <c r="H557" s="17" t="str">
        <f>IFERROR(IF([2]对账明细接口!$H$557=0,"",[2]对账明细接口!$H$557),"")</f>
        <v/>
      </c>
      <c r="I557" s="16" t="str">
        <f>IFERROR(IF([2]对账明细接口!$I$557=0,"",[2]对账明细接口!$I$557),"")</f>
        <v/>
      </c>
      <c r="J557" s="18" t="str">
        <f>IFERROR(IF([2]对账明细接口!$J$557=0,"",[2]对账明细接口!$J$557),"")</f>
        <v/>
      </c>
      <c r="K557" s="18" t="str">
        <f>IFERROR(IF([2]对账明细接口!$K$557=0,"",[2]对账明细接口!$K$557),"")</f>
        <v/>
      </c>
      <c r="L557" s="16" t="str">
        <f>IFERROR(IF([2]对账明细接口!$L$557=0,"",[2]对账明细接口!$L$557),"")</f>
        <v/>
      </c>
      <c r="M557" s="16" t="str">
        <f>IFERROR(IF([2]对账明细接口!$M$557=0,"",[2]对账明细接口!$M$557),"")</f>
        <v/>
      </c>
      <c r="N557" s="19">
        <f t="shared" si="48"/>
        <v>0</v>
      </c>
      <c r="O557" s="19">
        <f t="shared" si="49"/>
        <v>165</v>
      </c>
      <c r="S557" s="20" t="str">
        <f>IFERROR(IF([2]对账明细接口!$N557=0,"",[2]对账明细接口!$N557),"")</f>
        <v/>
      </c>
      <c r="T557" s="21" t="str">
        <f>IFERROR(IF([2]对账明细接口!$O557=0,"",[2]对账明细接口!$O557),"")</f>
        <v/>
      </c>
      <c r="U557" s="21" t="str">
        <f>IFERROR(IF([2]对账明细接口!$P557=0,"",[2]对账明细接口!$P557),"")</f>
        <v/>
      </c>
      <c r="V557" s="21" t="str">
        <f>IFERROR(IF([2]对账明细接口!$Q557=0,"",[2]对账明细接口!$Q557),"")</f>
        <v/>
      </c>
      <c r="W557" s="20" t="str">
        <f>IFERROR(IF([2]对账明细接口!$R557=0,"",[2]对账明细接口!$R557),"")</f>
        <v/>
      </c>
      <c r="X557" s="20" t="str">
        <f>IFERROR(IF([2]对账明细接口!$S557=0,"",[2]对账明细接口!$S557),"")</f>
        <v/>
      </c>
      <c r="Y557" s="20" t="str">
        <f t="shared" si="50"/>
        <v/>
      </c>
      <c r="Z557" s="20" t="str">
        <f t="shared" si="51"/>
        <v/>
      </c>
      <c r="AA557" s="20" t="str">
        <f t="shared" si="52"/>
        <v/>
      </c>
      <c r="AB557" s="20" t="str">
        <f t="shared" si="53"/>
        <v/>
      </c>
    </row>
    <row r="558" customHeight="1" spans="1:28">
      <c r="A558" s="14">
        <v>558</v>
      </c>
      <c r="B558" s="15" t="str">
        <f>IFERROR(IF([2]对账明细接口!$B$558=0,"",[2]对账明细接口!$B$558),"")</f>
        <v/>
      </c>
      <c r="C558" s="16" t="str">
        <f>IFERROR(IF([2]对账明细接口!$C$558=0,"",[2]对账明细接口!$C$558),"")</f>
        <v/>
      </c>
      <c r="D558" s="16" t="str">
        <f>IFERROR(IF([2]对账明细接口!$D$558=0,"",[2]对账明细接口!$D$558),"")</f>
        <v/>
      </c>
      <c r="E558" s="16" t="str">
        <f>IFERROR(IF([2]对账明细接口!$E$558=0,"",[2]对账明细接口!$E$558),"")</f>
        <v/>
      </c>
      <c r="F558" s="16" t="str">
        <f>IFERROR(IF([2]对账明细接口!$F$558=0,"",[2]对账明细接口!$F$558),"")</f>
        <v/>
      </c>
      <c r="G558" s="16" t="str">
        <f>IFERROR(IF([2]对账明细接口!$G$558=0,"",[2]对账明细接口!$G$558),"")</f>
        <v/>
      </c>
      <c r="H558" s="17" t="str">
        <f>IFERROR(IF([2]对账明细接口!$H$558=0,"",[2]对账明细接口!$H$558),"")</f>
        <v/>
      </c>
      <c r="I558" s="16" t="str">
        <f>IFERROR(IF([2]对账明细接口!$I$558=0,"",[2]对账明细接口!$I$558),"")</f>
        <v/>
      </c>
      <c r="J558" s="18" t="str">
        <f>IFERROR(IF([2]对账明细接口!$J$558=0,"",[2]对账明细接口!$J$558),"")</f>
        <v/>
      </c>
      <c r="K558" s="18" t="str">
        <f>IFERROR(IF([2]对账明细接口!$K$558=0,"",[2]对账明细接口!$K$558),"")</f>
        <v/>
      </c>
      <c r="L558" s="16" t="str">
        <f>IFERROR(IF([2]对账明细接口!$L$558=0,"",[2]对账明细接口!$L$558),"")</f>
        <v/>
      </c>
      <c r="M558" s="16" t="str">
        <f>IFERROR(IF([2]对账明细接口!$M$558=0,"",[2]对账明细接口!$M$558),"")</f>
        <v/>
      </c>
      <c r="N558" s="19">
        <f t="shared" si="48"/>
        <v>0</v>
      </c>
      <c r="O558" s="19">
        <f t="shared" si="49"/>
        <v>165</v>
      </c>
      <c r="S558" s="20" t="str">
        <f>IFERROR(IF([2]对账明细接口!$N558=0,"",[2]对账明细接口!$N558),"")</f>
        <v/>
      </c>
      <c r="T558" s="21" t="str">
        <f>IFERROR(IF([2]对账明细接口!$O558=0,"",[2]对账明细接口!$O558),"")</f>
        <v/>
      </c>
      <c r="U558" s="21" t="str">
        <f>IFERROR(IF([2]对账明细接口!$P558=0,"",[2]对账明细接口!$P558),"")</f>
        <v/>
      </c>
      <c r="V558" s="21" t="str">
        <f>IFERROR(IF([2]对账明细接口!$Q558=0,"",[2]对账明细接口!$Q558),"")</f>
        <v/>
      </c>
      <c r="W558" s="20" t="str">
        <f>IFERROR(IF([2]对账明细接口!$R558=0,"",[2]对账明细接口!$R558),"")</f>
        <v/>
      </c>
      <c r="X558" s="20" t="str">
        <f>IFERROR(IF([2]对账明细接口!$S558=0,"",[2]对账明细接口!$S558),"")</f>
        <v/>
      </c>
      <c r="Y558" s="20" t="str">
        <f t="shared" si="50"/>
        <v/>
      </c>
      <c r="Z558" s="20" t="str">
        <f t="shared" si="51"/>
        <v/>
      </c>
      <c r="AA558" s="20" t="str">
        <f t="shared" si="52"/>
        <v/>
      </c>
      <c r="AB558" s="20" t="str">
        <f t="shared" si="53"/>
        <v/>
      </c>
    </row>
    <row r="559" customHeight="1" spans="1:28">
      <c r="A559" s="14">
        <v>559</v>
      </c>
      <c r="B559" s="15" t="str">
        <f>IFERROR(IF([2]对账明细接口!$B$559=0,"",[2]对账明细接口!$B$559),"")</f>
        <v/>
      </c>
      <c r="C559" s="16" t="str">
        <f>IFERROR(IF([2]对账明细接口!$C$559=0,"",[2]对账明细接口!$C$559),"")</f>
        <v/>
      </c>
      <c r="D559" s="16" t="str">
        <f>IFERROR(IF([2]对账明细接口!$D$559=0,"",[2]对账明细接口!$D$559),"")</f>
        <v/>
      </c>
      <c r="E559" s="16" t="str">
        <f>IFERROR(IF([2]对账明细接口!$E$559=0,"",[2]对账明细接口!$E$559),"")</f>
        <v/>
      </c>
      <c r="F559" s="16" t="str">
        <f>IFERROR(IF([2]对账明细接口!$F$559=0,"",[2]对账明细接口!$F$559),"")</f>
        <v/>
      </c>
      <c r="G559" s="16" t="str">
        <f>IFERROR(IF([2]对账明细接口!$G$559=0,"",[2]对账明细接口!$G$559),"")</f>
        <v/>
      </c>
      <c r="H559" s="17" t="str">
        <f>IFERROR(IF([2]对账明细接口!$H$559=0,"",[2]对账明细接口!$H$559),"")</f>
        <v/>
      </c>
      <c r="I559" s="16" t="str">
        <f>IFERROR(IF([2]对账明细接口!$I$559=0,"",[2]对账明细接口!$I$559),"")</f>
        <v/>
      </c>
      <c r="J559" s="18" t="str">
        <f>IFERROR(IF([2]对账明细接口!$J$559=0,"",[2]对账明细接口!$J$559),"")</f>
        <v/>
      </c>
      <c r="K559" s="18" t="str">
        <f>IFERROR(IF([2]对账明细接口!$K$559=0,"",[2]对账明细接口!$K$559),"")</f>
        <v/>
      </c>
      <c r="L559" s="16" t="str">
        <f>IFERROR(IF([2]对账明细接口!$L$559=0,"",[2]对账明细接口!$L$559),"")</f>
        <v/>
      </c>
      <c r="M559" s="16" t="str">
        <f>IFERROR(IF([2]对账明细接口!$M$559=0,"",[2]对账明细接口!$M$559),"")</f>
        <v/>
      </c>
      <c r="N559" s="19">
        <f t="shared" si="48"/>
        <v>0</v>
      </c>
      <c r="O559" s="19">
        <f t="shared" si="49"/>
        <v>165</v>
      </c>
      <c r="S559" s="20" t="str">
        <f>IFERROR(IF([2]对账明细接口!$N559=0,"",[2]对账明细接口!$N559),"")</f>
        <v/>
      </c>
      <c r="T559" s="21" t="str">
        <f>IFERROR(IF([2]对账明细接口!$O559=0,"",[2]对账明细接口!$O559),"")</f>
        <v/>
      </c>
      <c r="U559" s="21" t="str">
        <f>IFERROR(IF([2]对账明细接口!$P559=0,"",[2]对账明细接口!$P559),"")</f>
        <v/>
      </c>
      <c r="V559" s="21" t="str">
        <f>IFERROR(IF([2]对账明细接口!$Q559=0,"",[2]对账明细接口!$Q559),"")</f>
        <v/>
      </c>
      <c r="W559" s="20" t="str">
        <f>IFERROR(IF([2]对账明细接口!$R559=0,"",[2]对账明细接口!$R559),"")</f>
        <v/>
      </c>
      <c r="X559" s="20" t="str">
        <f>IFERROR(IF([2]对账明细接口!$S559=0,"",[2]对账明细接口!$S559),"")</f>
        <v/>
      </c>
      <c r="Y559" s="20" t="str">
        <f t="shared" si="50"/>
        <v/>
      </c>
      <c r="Z559" s="20" t="str">
        <f t="shared" si="51"/>
        <v/>
      </c>
      <c r="AA559" s="20" t="str">
        <f t="shared" si="52"/>
        <v/>
      </c>
      <c r="AB559" s="20" t="str">
        <f t="shared" si="53"/>
        <v/>
      </c>
    </row>
    <row r="560" customHeight="1" spans="1:28">
      <c r="A560" s="14">
        <v>560</v>
      </c>
      <c r="B560" s="15" t="str">
        <f>IFERROR(IF([2]对账明细接口!$B$560=0,"",[2]对账明细接口!$B$560),"")</f>
        <v/>
      </c>
      <c r="C560" s="16" t="str">
        <f>IFERROR(IF([2]对账明细接口!$C$560=0,"",[2]对账明细接口!$C$560),"")</f>
        <v/>
      </c>
      <c r="D560" s="16" t="str">
        <f>IFERROR(IF([2]对账明细接口!$D$560=0,"",[2]对账明细接口!$D$560),"")</f>
        <v/>
      </c>
      <c r="E560" s="16" t="str">
        <f>IFERROR(IF([2]对账明细接口!$E$560=0,"",[2]对账明细接口!$E$560),"")</f>
        <v/>
      </c>
      <c r="F560" s="16" t="str">
        <f>IFERROR(IF([2]对账明细接口!$F$560=0,"",[2]对账明细接口!$F$560),"")</f>
        <v/>
      </c>
      <c r="G560" s="16" t="str">
        <f>IFERROR(IF([2]对账明细接口!$G$560=0,"",[2]对账明细接口!$G$560),"")</f>
        <v/>
      </c>
      <c r="H560" s="17" t="str">
        <f>IFERROR(IF([2]对账明细接口!$H$560=0,"",[2]对账明细接口!$H$560),"")</f>
        <v/>
      </c>
      <c r="I560" s="16" t="str">
        <f>IFERROR(IF([2]对账明细接口!$I$560=0,"",[2]对账明细接口!$I$560),"")</f>
        <v/>
      </c>
      <c r="J560" s="18" t="str">
        <f>IFERROR(IF([2]对账明细接口!$J$560=0,"",[2]对账明细接口!$J$560),"")</f>
        <v/>
      </c>
      <c r="K560" s="18" t="str">
        <f>IFERROR(IF([2]对账明细接口!$K$560=0,"",[2]对账明细接口!$K$560),"")</f>
        <v/>
      </c>
      <c r="L560" s="16" t="str">
        <f>IFERROR(IF([2]对账明细接口!$L$560=0,"",[2]对账明细接口!$L$560),"")</f>
        <v/>
      </c>
      <c r="M560" s="16" t="str">
        <f>IFERROR(IF([2]对账明细接口!$M$560=0,"",[2]对账明细接口!$M$560),"")</f>
        <v/>
      </c>
      <c r="N560" s="19">
        <f t="shared" si="48"/>
        <v>0</v>
      </c>
      <c r="O560" s="19">
        <f t="shared" si="49"/>
        <v>165</v>
      </c>
      <c r="S560" s="20" t="str">
        <f>IFERROR(IF([2]对账明细接口!$N560=0,"",[2]对账明细接口!$N560),"")</f>
        <v/>
      </c>
      <c r="T560" s="21" t="str">
        <f>IFERROR(IF([2]对账明细接口!$O560=0,"",[2]对账明细接口!$O560),"")</f>
        <v/>
      </c>
      <c r="U560" s="21" t="str">
        <f>IFERROR(IF([2]对账明细接口!$P560=0,"",[2]对账明细接口!$P560),"")</f>
        <v/>
      </c>
      <c r="V560" s="21" t="str">
        <f>IFERROR(IF([2]对账明细接口!$Q560=0,"",[2]对账明细接口!$Q560),"")</f>
        <v/>
      </c>
      <c r="W560" s="20" t="str">
        <f>IFERROR(IF([2]对账明细接口!$R560=0,"",[2]对账明细接口!$R560),"")</f>
        <v/>
      </c>
      <c r="X560" s="20" t="str">
        <f>IFERROR(IF([2]对账明细接口!$S560=0,"",[2]对账明细接口!$S560),"")</f>
        <v/>
      </c>
      <c r="Y560" s="20" t="str">
        <f t="shared" si="50"/>
        <v/>
      </c>
      <c r="Z560" s="20" t="str">
        <f t="shared" si="51"/>
        <v/>
      </c>
      <c r="AA560" s="20" t="str">
        <f t="shared" si="52"/>
        <v/>
      </c>
      <c r="AB560" s="20" t="str">
        <f t="shared" si="53"/>
        <v/>
      </c>
    </row>
    <row r="561" customHeight="1" spans="1:28">
      <c r="A561" s="14">
        <v>561</v>
      </c>
      <c r="B561" s="15" t="str">
        <f>IFERROR(IF([2]对账明细接口!$B$561=0,"",[2]对账明细接口!$B$561),"")</f>
        <v/>
      </c>
      <c r="C561" s="16" t="str">
        <f>IFERROR(IF([2]对账明细接口!$C$561=0,"",[2]对账明细接口!$C$561),"")</f>
        <v/>
      </c>
      <c r="D561" s="16" t="str">
        <f>IFERROR(IF([2]对账明细接口!$D$561=0,"",[2]对账明细接口!$D$561),"")</f>
        <v/>
      </c>
      <c r="E561" s="16" t="str">
        <f>IFERROR(IF([2]对账明细接口!$E$561=0,"",[2]对账明细接口!$E$561),"")</f>
        <v/>
      </c>
      <c r="F561" s="16" t="str">
        <f>IFERROR(IF([2]对账明细接口!$F$561=0,"",[2]对账明细接口!$F$561),"")</f>
        <v/>
      </c>
      <c r="G561" s="16" t="str">
        <f>IFERROR(IF([2]对账明细接口!$G$561=0,"",[2]对账明细接口!$G$561),"")</f>
        <v/>
      </c>
      <c r="H561" s="17" t="str">
        <f>IFERROR(IF([2]对账明细接口!$H$561=0,"",[2]对账明细接口!$H$561),"")</f>
        <v/>
      </c>
      <c r="I561" s="16" t="str">
        <f>IFERROR(IF([2]对账明细接口!$I$561=0,"",[2]对账明细接口!$I$561),"")</f>
        <v/>
      </c>
      <c r="J561" s="18" t="str">
        <f>IFERROR(IF([2]对账明细接口!$J$561=0,"",[2]对账明细接口!$J$561),"")</f>
        <v/>
      </c>
      <c r="K561" s="18" t="str">
        <f>IFERROR(IF([2]对账明细接口!$K$561=0,"",[2]对账明细接口!$K$561),"")</f>
        <v/>
      </c>
      <c r="L561" s="16" t="str">
        <f>IFERROR(IF([2]对账明细接口!$L$561=0,"",[2]对账明细接口!$L$561),"")</f>
        <v/>
      </c>
      <c r="M561" s="16" t="str">
        <f>IFERROR(IF([2]对账明细接口!$M$561=0,"",[2]对账明细接口!$M$561),"")</f>
        <v/>
      </c>
      <c r="N561" s="19">
        <f t="shared" si="48"/>
        <v>0</v>
      </c>
      <c r="O561" s="19">
        <f t="shared" si="49"/>
        <v>165</v>
      </c>
      <c r="S561" s="20" t="str">
        <f>IFERROR(IF([2]对账明细接口!$N561=0,"",[2]对账明细接口!$N561),"")</f>
        <v/>
      </c>
      <c r="T561" s="21" t="str">
        <f>IFERROR(IF([2]对账明细接口!$O561=0,"",[2]对账明细接口!$O561),"")</f>
        <v/>
      </c>
      <c r="U561" s="21" t="str">
        <f>IFERROR(IF([2]对账明细接口!$P561=0,"",[2]对账明细接口!$P561),"")</f>
        <v/>
      </c>
      <c r="V561" s="21" t="str">
        <f>IFERROR(IF([2]对账明细接口!$Q561=0,"",[2]对账明细接口!$Q561),"")</f>
        <v/>
      </c>
      <c r="W561" s="20" t="str">
        <f>IFERROR(IF([2]对账明细接口!$R561=0,"",[2]对账明细接口!$R561),"")</f>
        <v/>
      </c>
      <c r="X561" s="20" t="str">
        <f>IFERROR(IF([2]对账明细接口!$S561=0,"",[2]对账明细接口!$S561),"")</f>
        <v/>
      </c>
      <c r="Y561" s="20" t="str">
        <f t="shared" si="50"/>
        <v/>
      </c>
      <c r="Z561" s="20" t="str">
        <f t="shared" si="51"/>
        <v/>
      </c>
      <c r="AA561" s="20" t="str">
        <f t="shared" si="52"/>
        <v/>
      </c>
      <c r="AB561" s="20" t="str">
        <f t="shared" si="53"/>
        <v/>
      </c>
    </row>
    <row r="562" customHeight="1" spans="1:28">
      <c r="A562" s="14">
        <v>562</v>
      </c>
      <c r="B562" s="15" t="str">
        <f>IFERROR(IF([2]对账明细接口!$B$562=0,"",[2]对账明细接口!$B$562),"")</f>
        <v/>
      </c>
      <c r="C562" s="16" t="str">
        <f>IFERROR(IF([2]对账明细接口!$C$562=0,"",[2]对账明细接口!$C$562),"")</f>
        <v/>
      </c>
      <c r="D562" s="16" t="str">
        <f>IFERROR(IF([2]对账明细接口!$D$562=0,"",[2]对账明细接口!$D$562),"")</f>
        <v/>
      </c>
      <c r="E562" s="16" t="str">
        <f>IFERROR(IF([2]对账明细接口!$E$562=0,"",[2]对账明细接口!$E$562),"")</f>
        <v/>
      </c>
      <c r="F562" s="16" t="str">
        <f>IFERROR(IF([2]对账明细接口!$F$562=0,"",[2]对账明细接口!$F$562),"")</f>
        <v/>
      </c>
      <c r="G562" s="16" t="str">
        <f>IFERROR(IF([2]对账明细接口!$G$562=0,"",[2]对账明细接口!$G$562),"")</f>
        <v/>
      </c>
      <c r="H562" s="17" t="str">
        <f>IFERROR(IF([2]对账明细接口!$H$562=0,"",[2]对账明细接口!$H$562),"")</f>
        <v/>
      </c>
      <c r="I562" s="16" t="str">
        <f>IFERROR(IF([2]对账明细接口!$I$562=0,"",[2]对账明细接口!$I$562),"")</f>
        <v/>
      </c>
      <c r="J562" s="18" t="str">
        <f>IFERROR(IF([2]对账明细接口!$J$562=0,"",[2]对账明细接口!$J$562),"")</f>
        <v/>
      </c>
      <c r="K562" s="18" t="str">
        <f>IFERROR(IF([2]对账明细接口!$K$562=0,"",[2]对账明细接口!$K$562),"")</f>
        <v/>
      </c>
      <c r="L562" s="16" t="str">
        <f>IFERROR(IF([2]对账明细接口!$L$562=0,"",[2]对账明细接口!$L$562),"")</f>
        <v/>
      </c>
      <c r="M562" s="16" t="str">
        <f>IFERROR(IF([2]对账明细接口!$M$562=0,"",[2]对账明细接口!$M$562),"")</f>
        <v/>
      </c>
      <c r="N562" s="19">
        <f t="shared" si="48"/>
        <v>0</v>
      </c>
      <c r="O562" s="19">
        <f t="shared" si="49"/>
        <v>165</v>
      </c>
      <c r="S562" s="20" t="str">
        <f>IFERROR(IF([2]对账明细接口!$N562=0,"",[2]对账明细接口!$N562),"")</f>
        <v/>
      </c>
      <c r="T562" s="21" t="str">
        <f>IFERROR(IF([2]对账明细接口!$O562=0,"",[2]对账明细接口!$O562),"")</f>
        <v/>
      </c>
      <c r="U562" s="21" t="str">
        <f>IFERROR(IF([2]对账明细接口!$P562=0,"",[2]对账明细接口!$P562),"")</f>
        <v/>
      </c>
      <c r="V562" s="21" t="str">
        <f>IFERROR(IF([2]对账明细接口!$Q562=0,"",[2]对账明细接口!$Q562),"")</f>
        <v/>
      </c>
      <c r="W562" s="20" t="str">
        <f>IFERROR(IF([2]对账明细接口!$R562=0,"",[2]对账明细接口!$R562),"")</f>
        <v/>
      </c>
      <c r="X562" s="20" t="str">
        <f>IFERROR(IF([2]对账明细接口!$S562=0,"",[2]对账明细接口!$S562),"")</f>
        <v/>
      </c>
      <c r="Y562" s="20" t="str">
        <f t="shared" si="50"/>
        <v/>
      </c>
      <c r="Z562" s="20" t="str">
        <f t="shared" si="51"/>
        <v/>
      </c>
      <c r="AA562" s="20" t="str">
        <f t="shared" si="52"/>
        <v/>
      </c>
      <c r="AB562" s="20" t="str">
        <f t="shared" si="53"/>
        <v/>
      </c>
    </row>
    <row r="563" customHeight="1" spans="1:28">
      <c r="A563" s="14">
        <v>563</v>
      </c>
      <c r="B563" s="15" t="str">
        <f>IFERROR(IF([2]对账明细接口!$B$563=0,"",[2]对账明细接口!$B$563),"")</f>
        <v/>
      </c>
      <c r="C563" s="16" t="str">
        <f>IFERROR(IF([2]对账明细接口!$C$563=0,"",[2]对账明细接口!$C$563),"")</f>
        <v/>
      </c>
      <c r="D563" s="16" t="str">
        <f>IFERROR(IF([2]对账明细接口!$D$563=0,"",[2]对账明细接口!$D$563),"")</f>
        <v/>
      </c>
      <c r="E563" s="16" t="str">
        <f>IFERROR(IF([2]对账明细接口!$E$563=0,"",[2]对账明细接口!$E$563),"")</f>
        <v/>
      </c>
      <c r="F563" s="16" t="str">
        <f>IFERROR(IF([2]对账明细接口!$F$563=0,"",[2]对账明细接口!$F$563),"")</f>
        <v/>
      </c>
      <c r="G563" s="16" t="str">
        <f>IFERROR(IF([2]对账明细接口!$G$563=0,"",[2]对账明细接口!$G$563),"")</f>
        <v/>
      </c>
      <c r="H563" s="17" t="str">
        <f>IFERROR(IF([2]对账明细接口!$H$563=0,"",[2]对账明细接口!$H$563),"")</f>
        <v/>
      </c>
      <c r="I563" s="16" t="str">
        <f>IFERROR(IF([2]对账明细接口!$I$563=0,"",[2]对账明细接口!$I$563),"")</f>
        <v/>
      </c>
      <c r="J563" s="18" t="str">
        <f>IFERROR(IF([2]对账明细接口!$J$563=0,"",[2]对账明细接口!$J$563),"")</f>
        <v/>
      </c>
      <c r="K563" s="18" t="str">
        <f>IFERROR(IF([2]对账明细接口!$K$563=0,"",[2]对账明细接口!$K$563),"")</f>
        <v/>
      </c>
      <c r="L563" s="16" t="str">
        <f>IFERROR(IF([2]对账明细接口!$L$563=0,"",[2]对账明细接口!$L$563),"")</f>
        <v/>
      </c>
      <c r="M563" s="16" t="str">
        <f>IFERROR(IF([2]对账明细接口!$M$563=0,"",[2]对账明细接口!$M$563),"")</f>
        <v/>
      </c>
      <c r="N563" s="19">
        <f t="shared" si="48"/>
        <v>0</v>
      </c>
      <c r="O563" s="19">
        <f t="shared" si="49"/>
        <v>165</v>
      </c>
      <c r="S563" s="20" t="str">
        <f>IFERROR(IF([2]对账明细接口!$N563=0,"",[2]对账明细接口!$N563),"")</f>
        <v/>
      </c>
      <c r="T563" s="21" t="str">
        <f>IFERROR(IF([2]对账明细接口!$O563=0,"",[2]对账明细接口!$O563),"")</f>
        <v/>
      </c>
      <c r="U563" s="21" t="str">
        <f>IFERROR(IF([2]对账明细接口!$P563=0,"",[2]对账明细接口!$P563),"")</f>
        <v/>
      </c>
      <c r="V563" s="21" t="str">
        <f>IFERROR(IF([2]对账明细接口!$Q563=0,"",[2]对账明细接口!$Q563),"")</f>
        <v/>
      </c>
      <c r="W563" s="20" t="str">
        <f>IFERROR(IF([2]对账明细接口!$R563=0,"",[2]对账明细接口!$R563),"")</f>
        <v/>
      </c>
      <c r="X563" s="20" t="str">
        <f>IFERROR(IF([2]对账明细接口!$S563=0,"",[2]对账明细接口!$S563),"")</f>
        <v/>
      </c>
      <c r="Y563" s="20" t="str">
        <f t="shared" si="50"/>
        <v/>
      </c>
      <c r="Z563" s="20" t="str">
        <f t="shared" si="51"/>
        <v/>
      </c>
      <c r="AA563" s="20" t="str">
        <f t="shared" si="52"/>
        <v/>
      </c>
      <c r="AB563" s="20" t="str">
        <f t="shared" si="53"/>
        <v/>
      </c>
    </row>
    <row r="564" customHeight="1" spans="1:28">
      <c r="A564" s="14">
        <v>564</v>
      </c>
      <c r="B564" s="15" t="str">
        <f>IFERROR(IF([2]对账明细接口!$B$564=0,"",[2]对账明细接口!$B$564),"")</f>
        <v/>
      </c>
      <c r="C564" s="16" t="str">
        <f>IFERROR(IF([2]对账明细接口!$C$564=0,"",[2]对账明细接口!$C$564),"")</f>
        <v/>
      </c>
      <c r="D564" s="16" t="str">
        <f>IFERROR(IF([2]对账明细接口!$D$564=0,"",[2]对账明细接口!$D$564),"")</f>
        <v/>
      </c>
      <c r="E564" s="16" t="str">
        <f>IFERROR(IF([2]对账明细接口!$E$564=0,"",[2]对账明细接口!$E$564),"")</f>
        <v/>
      </c>
      <c r="F564" s="16" t="str">
        <f>IFERROR(IF([2]对账明细接口!$F$564=0,"",[2]对账明细接口!$F$564),"")</f>
        <v/>
      </c>
      <c r="G564" s="16" t="str">
        <f>IFERROR(IF([2]对账明细接口!$G$564=0,"",[2]对账明细接口!$G$564),"")</f>
        <v/>
      </c>
      <c r="H564" s="17" t="str">
        <f>IFERROR(IF([2]对账明细接口!$H$564=0,"",[2]对账明细接口!$H$564),"")</f>
        <v/>
      </c>
      <c r="I564" s="16" t="str">
        <f>IFERROR(IF([2]对账明细接口!$I$564=0,"",[2]对账明细接口!$I$564),"")</f>
        <v/>
      </c>
      <c r="J564" s="18" t="str">
        <f>IFERROR(IF([2]对账明细接口!$J$564=0,"",[2]对账明细接口!$J$564),"")</f>
        <v/>
      </c>
      <c r="K564" s="18" t="str">
        <f>IFERROR(IF([2]对账明细接口!$K$564=0,"",[2]对账明细接口!$K$564),"")</f>
        <v/>
      </c>
      <c r="L564" s="16" t="str">
        <f>IFERROR(IF([2]对账明细接口!$L$564=0,"",[2]对账明细接口!$L$564),"")</f>
        <v/>
      </c>
      <c r="M564" s="16" t="str">
        <f>IFERROR(IF([2]对账明细接口!$M$564=0,"",[2]对账明细接口!$M$564),"")</f>
        <v/>
      </c>
      <c r="N564" s="19">
        <f t="shared" si="48"/>
        <v>0</v>
      </c>
      <c r="O564" s="19">
        <f t="shared" si="49"/>
        <v>165</v>
      </c>
      <c r="S564" s="20" t="str">
        <f>IFERROR(IF([2]对账明细接口!$N564=0,"",[2]对账明细接口!$N564),"")</f>
        <v/>
      </c>
      <c r="T564" s="21" t="str">
        <f>IFERROR(IF([2]对账明细接口!$O564=0,"",[2]对账明细接口!$O564),"")</f>
        <v/>
      </c>
      <c r="U564" s="21" t="str">
        <f>IFERROR(IF([2]对账明细接口!$P564=0,"",[2]对账明细接口!$P564),"")</f>
        <v/>
      </c>
      <c r="V564" s="21" t="str">
        <f>IFERROR(IF([2]对账明细接口!$Q564=0,"",[2]对账明细接口!$Q564),"")</f>
        <v/>
      </c>
      <c r="W564" s="20" t="str">
        <f>IFERROR(IF([2]对账明细接口!$R564=0,"",[2]对账明细接口!$R564),"")</f>
        <v/>
      </c>
      <c r="X564" s="20" t="str">
        <f>IFERROR(IF([2]对账明细接口!$S564=0,"",[2]对账明细接口!$S564),"")</f>
        <v/>
      </c>
      <c r="Y564" s="20" t="str">
        <f t="shared" si="50"/>
        <v/>
      </c>
      <c r="Z564" s="20" t="str">
        <f t="shared" si="51"/>
        <v/>
      </c>
      <c r="AA564" s="20" t="str">
        <f t="shared" si="52"/>
        <v/>
      </c>
      <c r="AB564" s="20" t="str">
        <f t="shared" si="53"/>
        <v/>
      </c>
    </row>
    <row r="565" customHeight="1" spans="1:28">
      <c r="A565" s="14">
        <v>565</v>
      </c>
      <c r="B565" s="15" t="str">
        <f>IFERROR(IF([2]对账明细接口!$B$565=0,"",[2]对账明细接口!$B$565),"")</f>
        <v/>
      </c>
      <c r="C565" s="16" t="str">
        <f>IFERROR(IF([2]对账明细接口!$C$565=0,"",[2]对账明细接口!$C$565),"")</f>
        <v/>
      </c>
      <c r="D565" s="16" t="str">
        <f>IFERROR(IF([2]对账明细接口!$D$565=0,"",[2]对账明细接口!$D$565),"")</f>
        <v/>
      </c>
      <c r="E565" s="16" t="str">
        <f>IFERROR(IF([2]对账明细接口!$E$565=0,"",[2]对账明细接口!$E$565),"")</f>
        <v/>
      </c>
      <c r="F565" s="16" t="str">
        <f>IFERROR(IF([2]对账明细接口!$F$565=0,"",[2]对账明细接口!$F$565),"")</f>
        <v/>
      </c>
      <c r="G565" s="16" t="str">
        <f>IFERROR(IF([2]对账明细接口!$G$565=0,"",[2]对账明细接口!$G$565),"")</f>
        <v/>
      </c>
      <c r="H565" s="17" t="str">
        <f>IFERROR(IF([2]对账明细接口!$H$565=0,"",[2]对账明细接口!$H$565),"")</f>
        <v/>
      </c>
      <c r="I565" s="16" t="str">
        <f>IFERROR(IF([2]对账明细接口!$I$565=0,"",[2]对账明细接口!$I$565),"")</f>
        <v/>
      </c>
      <c r="J565" s="18" t="str">
        <f>IFERROR(IF([2]对账明细接口!$J$565=0,"",[2]对账明细接口!$J$565),"")</f>
        <v/>
      </c>
      <c r="K565" s="18" t="str">
        <f>IFERROR(IF([2]对账明细接口!$K$565=0,"",[2]对账明细接口!$K$565),"")</f>
        <v/>
      </c>
      <c r="L565" s="16" t="str">
        <f>IFERROR(IF([2]对账明细接口!$L$565=0,"",[2]对账明细接口!$L$565),"")</f>
        <v/>
      </c>
      <c r="M565" s="16" t="str">
        <f>IFERROR(IF([2]对账明细接口!$M$565=0,"",[2]对账明细接口!$M$565),"")</f>
        <v/>
      </c>
      <c r="N565" s="19">
        <f t="shared" si="48"/>
        <v>0</v>
      </c>
      <c r="O565" s="19">
        <f t="shared" si="49"/>
        <v>165</v>
      </c>
      <c r="S565" s="20" t="str">
        <f>IFERROR(IF([2]对账明细接口!$N565=0,"",[2]对账明细接口!$N565),"")</f>
        <v/>
      </c>
      <c r="T565" s="21" t="str">
        <f>IFERROR(IF([2]对账明细接口!$O565=0,"",[2]对账明细接口!$O565),"")</f>
        <v/>
      </c>
      <c r="U565" s="21" t="str">
        <f>IFERROR(IF([2]对账明细接口!$P565=0,"",[2]对账明细接口!$P565),"")</f>
        <v/>
      </c>
      <c r="V565" s="21" t="str">
        <f>IFERROR(IF([2]对账明细接口!$Q565=0,"",[2]对账明细接口!$Q565),"")</f>
        <v/>
      </c>
      <c r="W565" s="20" t="str">
        <f>IFERROR(IF([2]对账明细接口!$R565=0,"",[2]对账明细接口!$R565),"")</f>
        <v/>
      </c>
      <c r="X565" s="20" t="str">
        <f>IFERROR(IF([2]对账明细接口!$S565=0,"",[2]对账明细接口!$S565),"")</f>
        <v/>
      </c>
      <c r="Y565" s="20" t="str">
        <f t="shared" si="50"/>
        <v/>
      </c>
      <c r="Z565" s="20" t="str">
        <f t="shared" si="51"/>
        <v/>
      </c>
      <c r="AA565" s="20" t="str">
        <f t="shared" si="52"/>
        <v/>
      </c>
      <c r="AB565" s="20" t="str">
        <f t="shared" si="53"/>
        <v/>
      </c>
    </row>
    <row r="566" customHeight="1" spans="1:28">
      <c r="A566" s="14">
        <v>566</v>
      </c>
      <c r="B566" s="15" t="str">
        <f>IFERROR(IF([2]对账明细接口!$B$566=0,"",[2]对账明细接口!$B$566),"")</f>
        <v/>
      </c>
      <c r="C566" s="16" t="str">
        <f>IFERROR(IF([2]对账明细接口!$C$566=0,"",[2]对账明细接口!$C$566),"")</f>
        <v/>
      </c>
      <c r="D566" s="16" t="str">
        <f>IFERROR(IF([2]对账明细接口!$D$566=0,"",[2]对账明细接口!$D$566),"")</f>
        <v/>
      </c>
      <c r="E566" s="16" t="str">
        <f>IFERROR(IF([2]对账明细接口!$E$566=0,"",[2]对账明细接口!$E$566),"")</f>
        <v/>
      </c>
      <c r="F566" s="16" t="str">
        <f>IFERROR(IF([2]对账明细接口!$F$566=0,"",[2]对账明细接口!$F$566),"")</f>
        <v/>
      </c>
      <c r="G566" s="16" t="str">
        <f>IFERROR(IF([2]对账明细接口!$G$566=0,"",[2]对账明细接口!$G$566),"")</f>
        <v/>
      </c>
      <c r="H566" s="17" t="str">
        <f>IFERROR(IF([2]对账明细接口!$H$566=0,"",[2]对账明细接口!$H$566),"")</f>
        <v/>
      </c>
      <c r="I566" s="16" t="str">
        <f>IFERROR(IF([2]对账明细接口!$I$566=0,"",[2]对账明细接口!$I$566),"")</f>
        <v/>
      </c>
      <c r="J566" s="18" t="str">
        <f>IFERROR(IF([2]对账明细接口!$J$566=0,"",[2]对账明细接口!$J$566),"")</f>
        <v/>
      </c>
      <c r="K566" s="18" t="str">
        <f>IFERROR(IF([2]对账明细接口!$K$566=0,"",[2]对账明细接口!$K$566),"")</f>
        <v/>
      </c>
      <c r="L566" s="16" t="str">
        <f>IFERROR(IF([2]对账明细接口!$L$566=0,"",[2]对账明细接口!$L$566),"")</f>
        <v/>
      </c>
      <c r="M566" s="16" t="str">
        <f>IFERROR(IF([2]对账明细接口!$M$566=0,"",[2]对账明细接口!$M$566),"")</f>
        <v/>
      </c>
      <c r="N566" s="19">
        <f t="shared" si="48"/>
        <v>0</v>
      </c>
      <c r="O566" s="19">
        <f t="shared" si="49"/>
        <v>165</v>
      </c>
      <c r="S566" s="20" t="str">
        <f>IFERROR(IF([2]对账明细接口!$N566=0,"",[2]对账明细接口!$N566),"")</f>
        <v/>
      </c>
      <c r="T566" s="21" t="str">
        <f>IFERROR(IF([2]对账明细接口!$O566=0,"",[2]对账明细接口!$O566),"")</f>
        <v/>
      </c>
      <c r="U566" s="21" t="str">
        <f>IFERROR(IF([2]对账明细接口!$P566=0,"",[2]对账明细接口!$P566),"")</f>
        <v/>
      </c>
      <c r="V566" s="21" t="str">
        <f>IFERROR(IF([2]对账明细接口!$Q566=0,"",[2]对账明细接口!$Q566),"")</f>
        <v/>
      </c>
      <c r="W566" s="20" t="str">
        <f>IFERROR(IF([2]对账明细接口!$R566=0,"",[2]对账明细接口!$R566),"")</f>
        <v/>
      </c>
      <c r="X566" s="20" t="str">
        <f>IFERROR(IF([2]对账明细接口!$S566=0,"",[2]对账明细接口!$S566),"")</f>
        <v/>
      </c>
      <c r="Y566" s="20" t="str">
        <f t="shared" si="50"/>
        <v/>
      </c>
      <c r="Z566" s="20" t="str">
        <f t="shared" si="51"/>
        <v/>
      </c>
      <c r="AA566" s="20" t="str">
        <f t="shared" si="52"/>
        <v/>
      </c>
      <c r="AB566" s="20" t="str">
        <f t="shared" si="53"/>
        <v/>
      </c>
    </row>
    <row r="567" customHeight="1" spans="1:28">
      <c r="A567" s="14">
        <v>567</v>
      </c>
      <c r="B567" s="15" t="str">
        <f>IFERROR(IF([2]对账明细接口!$B$567=0,"",[2]对账明细接口!$B$567),"")</f>
        <v/>
      </c>
      <c r="C567" s="16" t="str">
        <f>IFERROR(IF([2]对账明细接口!$C$567=0,"",[2]对账明细接口!$C$567),"")</f>
        <v/>
      </c>
      <c r="D567" s="16" t="str">
        <f>IFERROR(IF([2]对账明细接口!$D$567=0,"",[2]对账明细接口!$D$567),"")</f>
        <v/>
      </c>
      <c r="E567" s="16" t="str">
        <f>IFERROR(IF([2]对账明细接口!$E$567=0,"",[2]对账明细接口!$E$567),"")</f>
        <v/>
      </c>
      <c r="F567" s="16" t="str">
        <f>IFERROR(IF([2]对账明细接口!$F$567=0,"",[2]对账明细接口!$F$567),"")</f>
        <v/>
      </c>
      <c r="G567" s="16" t="str">
        <f>IFERROR(IF([2]对账明细接口!$G$567=0,"",[2]对账明细接口!$G$567),"")</f>
        <v/>
      </c>
      <c r="H567" s="17" t="str">
        <f>IFERROR(IF([2]对账明细接口!$H$567=0,"",[2]对账明细接口!$H$567),"")</f>
        <v/>
      </c>
      <c r="I567" s="16" t="str">
        <f>IFERROR(IF([2]对账明细接口!$I$567=0,"",[2]对账明细接口!$I$567),"")</f>
        <v/>
      </c>
      <c r="J567" s="18" t="str">
        <f>IFERROR(IF([2]对账明细接口!$J$567=0,"",[2]对账明细接口!$J$567),"")</f>
        <v/>
      </c>
      <c r="K567" s="18" t="str">
        <f>IFERROR(IF([2]对账明细接口!$K$567=0,"",[2]对账明细接口!$K$567),"")</f>
        <v/>
      </c>
      <c r="L567" s="16" t="str">
        <f>IFERROR(IF([2]对账明细接口!$L$567=0,"",[2]对账明细接口!$L$567),"")</f>
        <v/>
      </c>
      <c r="M567" s="16" t="str">
        <f>IFERROR(IF([2]对账明细接口!$M$567=0,"",[2]对账明细接口!$M$567),"")</f>
        <v/>
      </c>
      <c r="N567" s="19">
        <f t="shared" si="48"/>
        <v>0</v>
      </c>
      <c r="O567" s="19">
        <f t="shared" si="49"/>
        <v>165</v>
      </c>
      <c r="S567" s="20" t="str">
        <f>IFERROR(IF([2]对账明细接口!$N567=0,"",[2]对账明细接口!$N567),"")</f>
        <v/>
      </c>
      <c r="T567" s="21" t="str">
        <f>IFERROR(IF([2]对账明细接口!$O567=0,"",[2]对账明细接口!$O567),"")</f>
        <v/>
      </c>
      <c r="U567" s="21" t="str">
        <f>IFERROR(IF([2]对账明细接口!$P567=0,"",[2]对账明细接口!$P567),"")</f>
        <v/>
      </c>
      <c r="V567" s="21" t="str">
        <f>IFERROR(IF([2]对账明细接口!$Q567=0,"",[2]对账明细接口!$Q567),"")</f>
        <v/>
      </c>
      <c r="W567" s="20" t="str">
        <f>IFERROR(IF([2]对账明细接口!$R567=0,"",[2]对账明细接口!$R567),"")</f>
        <v/>
      </c>
      <c r="X567" s="20" t="str">
        <f>IFERROR(IF([2]对账明细接口!$S567=0,"",[2]对账明细接口!$S567),"")</f>
        <v/>
      </c>
      <c r="Y567" s="20" t="str">
        <f t="shared" si="50"/>
        <v/>
      </c>
      <c r="Z567" s="20" t="str">
        <f t="shared" si="51"/>
        <v/>
      </c>
      <c r="AA567" s="20" t="str">
        <f t="shared" si="52"/>
        <v/>
      </c>
      <c r="AB567" s="20" t="str">
        <f t="shared" si="53"/>
        <v/>
      </c>
    </row>
    <row r="568" customHeight="1" spans="1:28">
      <c r="A568" s="14">
        <v>568</v>
      </c>
      <c r="B568" s="15" t="str">
        <f>IFERROR(IF([2]对账明细接口!$B$568=0,"",[2]对账明细接口!$B$568),"")</f>
        <v/>
      </c>
      <c r="C568" s="16" t="str">
        <f>IFERROR(IF([2]对账明细接口!$C$568=0,"",[2]对账明细接口!$C$568),"")</f>
        <v/>
      </c>
      <c r="D568" s="16" t="str">
        <f>IFERROR(IF([2]对账明细接口!$D$568=0,"",[2]对账明细接口!$D$568),"")</f>
        <v/>
      </c>
      <c r="E568" s="16" t="str">
        <f>IFERROR(IF([2]对账明细接口!$E$568=0,"",[2]对账明细接口!$E$568),"")</f>
        <v/>
      </c>
      <c r="F568" s="16" t="str">
        <f>IFERROR(IF([2]对账明细接口!$F$568=0,"",[2]对账明细接口!$F$568),"")</f>
        <v/>
      </c>
      <c r="G568" s="16" t="str">
        <f>IFERROR(IF([2]对账明细接口!$G$568=0,"",[2]对账明细接口!$G$568),"")</f>
        <v/>
      </c>
      <c r="H568" s="17" t="str">
        <f>IFERROR(IF([2]对账明细接口!$H$568=0,"",[2]对账明细接口!$H$568),"")</f>
        <v/>
      </c>
      <c r="I568" s="16" t="str">
        <f>IFERROR(IF([2]对账明细接口!$I$568=0,"",[2]对账明细接口!$I$568),"")</f>
        <v/>
      </c>
      <c r="J568" s="18" t="str">
        <f>IFERROR(IF([2]对账明细接口!$J$568=0,"",[2]对账明细接口!$J$568),"")</f>
        <v/>
      </c>
      <c r="K568" s="18" t="str">
        <f>IFERROR(IF([2]对账明细接口!$K$568=0,"",[2]对账明细接口!$K$568),"")</f>
        <v/>
      </c>
      <c r="L568" s="16" t="str">
        <f>IFERROR(IF([2]对账明细接口!$L$568=0,"",[2]对账明细接口!$L$568),"")</f>
        <v/>
      </c>
      <c r="M568" s="16" t="str">
        <f>IFERROR(IF([2]对账明细接口!$M$568=0,"",[2]对账明细接口!$M$568),"")</f>
        <v/>
      </c>
      <c r="N568" s="19">
        <f t="shared" si="48"/>
        <v>0</v>
      </c>
      <c r="O568" s="19">
        <f t="shared" si="49"/>
        <v>165</v>
      </c>
      <c r="S568" s="20" t="str">
        <f>IFERROR(IF([2]对账明细接口!$N568=0,"",[2]对账明细接口!$N568),"")</f>
        <v/>
      </c>
      <c r="T568" s="21" t="str">
        <f>IFERROR(IF([2]对账明细接口!$O568=0,"",[2]对账明细接口!$O568),"")</f>
        <v/>
      </c>
      <c r="U568" s="21" t="str">
        <f>IFERROR(IF([2]对账明细接口!$P568=0,"",[2]对账明细接口!$P568),"")</f>
        <v/>
      </c>
      <c r="V568" s="21" t="str">
        <f>IFERROR(IF([2]对账明细接口!$Q568=0,"",[2]对账明细接口!$Q568),"")</f>
        <v/>
      </c>
      <c r="W568" s="20" t="str">
        <f>IFERROR(IF([2]对账明细接口!$R568=0,"",[2]对账明细接口!$R568),"")</f>
        <v/>
      </c>
      <c r="X568" s="20" t="str">
        <f>IFERROR(IF([2]对账明细接口!$S568=0,"",[2]对账明细接口!$S568),"")</f>
        <v/>
      </c>
      <c r="Y568" s="20" t="str">
        <f t="shared" si="50"/>
        <v/>
      </c>
      <c r="Z568" s="20" t="str">
        <f t="shared" si="51"/>
        <v/>
      </c>
      <c r="AA568" s="20" t="str">
        <f t="shared" si="52"/>
        <v/>
      </c>
      <c r="AB568" s="20" t="str">
        <f t="shared" si="53"/>
        <v/>
      </c>
    </row>
    <row r="569" customHeight="1" spans="1:28">
      <c r="A569" s="14">
        <v>569</v>
      </c>
      <c r="B569" s="15" t="str">
        <f>IFERROR(IF([2]对账明细接口!$B$569=0,"",[2]对账明细接口!$B$569),"")</f>
        <v/>
      </c>
      <c r="C569" s="16" t="str">
        <f>IFERROR(IF([2]对账明细接口!$C$569=0,"",[2]对账明细接口!$C$569),"")</f>
        <v/>
      </c>
      <c r="D569" s="16" t="str">
        <f>IFERROR(IF([2]对账明细接口!$D$569=0,"",[2]对账明细接口!$D$569),"")</f>
        <v/>
      </c>
      <c r="E569" s="16" t="str">
        <f>IFERROR(IF([2]对账明细接口!$E$569=0,"",[2]对账明细接口!$E$569),"")</f>
        <v/>
      </c>
      <c r="F569" s="16" t="str">
        <f>IFERROR(IF([2]对账明细接口!$F$569=0,"",[2]对账明细接口!$F$569),"")</f>
        <v/>
      </c>
      <c r="G569" s="16" t="str">
        <f>IFERROR(IF([2]对账明细接口!$G$569=0,"",[2]对账明细接口!$G$569),"")</f>
        <v/>
      </c>
      <c r="H569" s="17" t="str">
        <f>IFERROR(IF([2]对账明细接口!$H$569=0,"",[2]对账明细接口!$H$569),"")</f>
        <v/>
      </c>
      <c r="I569" s="16" t="str">
        <f>IFERROR(IF([2]对账明细接口!$I$569=0,"",[2]对账明细接口!$I$569),"")</f>
        <v/>
      </c>
      <c r="J569" s="18" t="str">
        <f>IFERROR(IF([2]对账明细接口!$J$569=0,"",[2]对账明细接口!$J$569),"")</f>
        <v/>
      </c>
      <c r="K569" s="18" t="str">
        <f>IFERROR(IF([2]对账明细接口!$K$569=0,"",[2]对账明细接口!$K$569),"")</f>
        <v/>
      </c>
      <c r="L569" s="16" t="str">
        <f>IFERROR(IF([2]对账明细接口!$L$569=0,"",[2]对账明细接口!$L$569),"")</f>
        <v/>
      </c>
      <c r="M569" s="16" t="str">
        <f>IFERROR(IF([2]对账明细接口!$M$569=0,"",[2]对账明细接口!$M$569),"")</f>
        <v/>
      </c>
      <c r="N569" s="19">
        <f t="shared" si="48"/>
        <v>0</v>
      </c>
      <c r="O569" s="19">
        <f t="shared" si="49"/>
        <v>165</v>
      </c>
      <c r="S569" s="20" t="str">
        <f>IFERROR(IF([2]对账明细接口!$N569=0,"",[2]对账明细接口!$N569),"")</f>
        <v/>
      </c>
      <c r="T569" s="21" t="str">
        <f>IFERROR(IF([2]对账明细接口!$O569=0,"",[2]对账明细接口!$O569),"")</f>
        <v/>
      </c>
      <c r="U569" s="21" t="str">
        <f>IFERROR(IF([2]对账明细接口!$P569=0,"",[2]对账明细接口!$P569),"")</f>
        <v/>
      </c>
      <c r="V569" s="21" t="str">
        <f>IFERROR(IF([2]对账明细接口!$Q569=0,"",[2]对账明细接口!$Q569),"")</f>
        <v/>
      </c>
      <c r="W569" s="20" t="str">
        <f>IFERROR(IF([2]对账明细接口!$R569=0,"",[2]对账明细接口!$R569),"")</f>
        <v/>
      </c>
      <c r="X569" s="20" t="str">
        <f>IFERROR(IF([2]对账明细接口!$S569=0,"",[2]对账明细接口!$S569),"")</f>
        <v/>
      </c>
      <c r="Y569" s="20" t="str">
        <f t="shared" si="50"/>
        <v/>
      </c>
      <c r="Z569" s="20" t="str">
        <f t="shared" si="51"/>
        <v/>
      </c>
      <c r="AA569" s="20" t="str">
        <f t="shared" si="52"/>
        <v/>
      </c>
      <c r="AB569" s="20" t="str">
        <f t="shared" si="53"/>
        <v/>
      </c>
    </row>
    <row r="570" customHeight="1" spans="1:28">
      <c r="A570" s="14">
        <v>570</v>
      </c>
      <c r="B570" s="15" t="str">
        <f>IFERROR(IF([2]对账明细接口!$B$570=0,"",[2]对账明细接口!$B$570),"")</f>
        <v/>
      </c>
      <c r="C570" s="16" t="str">
        <f>IFERROR(IF([2]对账明细接口!$C$570=0,"",[2]对账明细接口!$C$570),"")</f>
        <v/>
      </c>
      <c r="D570" s="16" t="str">
        <f>IFERROR(IF([2]对账明细接口!$D$570=0,"",[2]对账明细接口!$D$570),"")</f>
        <v/>
      </c>
      <c r="E570" s="16" t="str">
        <f>IFERROR(IF([2]对账明细接口!$E$570=0,"",[2]对账明细接口!$E$570),"")</f>
        <v/>
      </c>
      <c r="F570" s="16" t="str">
        <f>IFERROR(IF([2]对账明细接口!$F$570=0,"",[2]对账明细接口!$F$570),"")</f>
        <v/>
      </c>
      <c r="G570" s="16" t="str">
        <f>IFERROR(IF([2]对账明细接口!$G$570=0,"",[2]对账明细接口!$G$570),"")</f>
        <v/>
      </c>
      <c r="H570" s="17" t="str">
        <f>IFERROR(IF([2]对账明细接口!$H$570=0,"",[2]对账明细接口!$H$570),"")</f>
        <v/>
      </c>
      <c r="I570" s="16" t="str">
        <f>IFERROR(IF([2]对账明细接口!$I$570=0,"",[2]对账明细接口!$I$570),"")</f>
        <v/>
      </c>
      <c r="J570" s="18" t="str">
        <f>IFERROR(IF([2]对账明细接口!$J$570=0,"",[2]对账明细接口!$J$570),"")</f>
        <v/>
      </c>
      <c r="K570" s="18" t="str">
        <f>IFERROR(IF([2]对账明细接口!$K$570=0,"",[2]对账明细接口!$K$570),"")</f>
        <v/>
      </c>
      <c r="L570" s="16" t="str">
        <f>IFERROR(IF([2]对账明细接口!$L$570=0,"",[2]对账明细接口!$L$570),"")</f>
        <v/>
      </c>
      <c r="M570" s="16" t="str">
        <f>IFERROR(IF([2]对账明细接口!$M$570=0,"",[2]对账明细接口!$M$570),"")</f>
        <v/>
      </c>
      <c r="N570" s="19">
        <f t="shared" si="48"/>
        <v>0</v>
      </c>
      <c r="O570" s="19">
        <f t="shared" si="49"/>
        <v>165</v>
      </c>
      <c r="S570" s="20" t="str">
        <f>IFERROR(IF([2]对账明细接口!$N570=0,"",[2]对账明细接口!$N570),"")</f>
        <v/>
      </c>
      <c r="T570" s="21" t="str">
        <f>IFERROR(IF([2]对账明细接口!$O570=0,"",[2]对账明细接口!$O570),"")</f>
        <v/>
      </c>
      <c r="U570" s="21" t="str">
        <f>IFERROR(IF([2]对账明细接口!$P570=0,"",[2]对账明细接口!$P570),"")</f>
        <v/>
      </c>
      <c r="V570" s="21" t="str">
        <f>IFERROR(IF([2]对账明细接口!$Q570=0,"",[2]对账明细接口!$Q570),"")</f>
        <v/>
      </c>
      <c r="W570" s="20" t="str">
        <f>IFERROR(IF([2]对账明细接口!$R570=0,"",[2]对账明细接口!$R570),"")</f>
        <v/>
      </c>
      <c r="X570" s="20" t="str">
        <f>IFERROR(IF([2]对账明细接口!$S570=0,"",[2]对账明细接口!$S570),"")</f>
        <v/>
      </c>
      <c r="Y570" s="20" t="str">
        <f t="shared" si="50"/>
        <v/>
      </c>
      <c r="Z570" s="20" t="str">
        <f t="shared" si="51"/>
        <v/>
      </c>
      <c r="AA570" s="20" t="str">
        <f t="shared" si="52"/>
        <v/>
      </c>
      <c r="AB570" s="20" t="str">
        <f t="shared" si="53"/>
        <v/>
      </c>
    </row>
    <row r="571" customHeight="1" spans="1:28">
      <c r="A571" s="14">
        <v>571</v>
      </c>
      <c r="B571" s="15" t="str">
        <f>IFERROR(IF([2]对账明细接口!$B$571=0,"",[2]对账明细接口!$B$571),"")</f>
        <v/>
      </c>
      <c r="C571" s="16" t="str">
        <f>IFERROR(IF([2]对账明细接口!$C$571=0,"",[2]对账明细接口!$C$571),"")</f>
        <v/>
      </c>
      <c r="D571" s="16" t="str">
        <f>IFERROR(IF([2]对账明细接口!$D$571=0,"",[2]对账明细接口!$D$571),"")</f>
        <v/>
      </c>
      <c r="E571" s="16" t="str">
        <f>IFERROR(IF([2]对账明细接口!$E$571=0,"",[2]对账明细接口!$E$571),"")</f>
        <v/>
      </c>
      <c r="F571" s="16" t="str">
        <f>IFERROR(IF([2]对账明细接口!$F$571=0,"",[2]对账明细接口!$F$571),"")</f>
        <v/>
      </c>
      <c r="G571" s="16" t="str">
        <f>IFERROR(IF([2]对账明细接口!$G$571=0,"",[2]对账明细接口!$G$571),"")</f>
        <v/>
      </c>
      <c r="H571" s="17" t="str">
        <f>IFERROR(IF([2]对账明细接口!$H$571=0,"",[2]对账明细接口!$H$571),"")</f>
        <v/>
      </c>
      <c r="I571" s="16" t="str">
        <f>IFERROR(IF([2]对账明细接口!$I$571=0,"",[2]对账明细接口!$I$571),"")</f>
        <v/>
      </c>
      <c r="J571" s="18" t="str">
        <f>IFERROR(IF([2]对账明细接口!$J$571=0,"",[2]对账明细接口!$J$571),"")</f>
        <v/>
      </c>
      <c r="K571" s="18" t="str">
        <f>IFERROR(IF([2]对账明细接口!$K$571=0,"",[2]对账明细接口!$K$571),"")</f>
        <v/>
      </c>
      <c r="L571" s="16" t="str">
        <f>IFERROR(IF([2]对账明细接口!$L$571=0,"",[2]对账明细接口!$L$571),"")</f>
        <v/>
      </c>
      <c r="M571" s="16" t="str">
        <f>IFERROR(IF([2]对账明细接口!$M$571=0,"",[2]对账明细接口!$M$571),"")</f>
        <v/>
      </c>
      <c r="N571" s="19">
        <f t="shared" si="48"/>
        <v>0</v>
      </c>
      <c r="O571" s="19">
        <f t="shared" si="49"/>
        <v>165</v>
      </c>
      <c r="S571" s="20" t="str">
        <f>IFERROR(IF([2]对账明细接口!$N571=0,"",[2]对账明细接口!$N571),"")</f>
        <v/>
      </c>
      <c r="T571" s="21" t="str">
        <f>IFERROR(IF([2]对账明细接口!$O571=0,"",[2]对账明细接口!$O571),"")</f>
        <v/>
      </c>
      <c r="U571" s="21" t="str">
        <f>IFERROR(IF([2]对账明细接口!$P571=0,"",[2]对账明细接口!$P571),"")</f>
        <v/>
      </c>
      <c r="V571" s="21" t="str">
        <f>IFERROR(IF([2]对账明细接口!$Q571=0,"",[2]对账明细接口!$Q571),"")</f>
        <v/>
      </c>
      <c r="W571" s="20" t="str">
        <f>IFERROR(IF([2]对账明细接口!$R571=0,"",[2]对账明细接口!$R571),"")</f>
        <v/>
      </c>
      <c r="X571" s="20" t="str">
        <f>IFERROR(IF([2]对账明细接口!$S571=0,"",[2]对账明细接口!$S571),"")</f>
        <v/>
      </c>
      <c r="Y571" s="20" t="str">
        <f t="shared" si="50"/>
        <v/>
      </c>
      <c r="Z571" s="20" t="str">
        <f t="shared" si="51"/>
        <v/>
      </c>
      <c r="AA571" s="20" t="str">
        <f t="shared" si="52"/>
        <v/>
      </c>
      <c r="AB571" s="20" t="str">
        <f t="shared" si="53"/>
        <v/>
      </c>
    </row>
    <row r="572" customHeight="1" spans="1:28">
      <c r="A572" s="14">
        <v>572</v>
      </c>
      <c r="B572" s="15" t="str">
        <f>IFERROR(IF([2]对账明细接口!$B$572=0,"",[2]对账明细接口!$B$572),"")</f>
        <v/>
      </c>
      <c r="C572" s="16" t="str">
        <f>IFERROR(IF([2]对账明细接口!$C$572=0,"",[2]对账明细接口!$C$572),"")</f>
        <v/>
      </c>
      <c r="D572" s="16" t="str">
        <f>IFERROR(IF([2]对账明细接口!$D$572=0,"",[2]对账明细接口!$D$572),"")</f>
        <v/>
      </c>
      <c r="E572" s="16" t="str">
        <f>IFERROR(IF([2]对账明细接口!$E$572=0,"",[2]对账明细接口!$E$572),"")</f>
        <v/>
      </c>
      <c r="F572" s="16" t="str">
        <f>IFERROR(IF([2]对账明细接口!$F$572=0,"",[2]对账明细接口!$F$572),"")</f>
        <v/>
      </c>
      <c r="G572" s="16" t="str">
        <f>IFERROR(IF([2]对账明细接口!$G$572=0,"",[2]对账明细接口!$G$572),"")</f>
        <v/>
      </c>
      <c r="H572" s="17" t="str">
        <f>IFERROR(IF([2]对账明细接口!$H$572=0,"",[2]对账明细接口!$H$572),"")</f>
        <v/>
      </c>
      <c r="I572" s="16" t="str">
        <f>IFERROR(IF([2]对账明细接口!$I$572=0,"",[2]对账明细接口!$I$572),"")</f>
        <v/>
      </c>
      <c r="J572" s="18" t="str">
        <f>IFERROR(IF([2]对账明细接口!$J$572=0,"",[2]对账明细接口!$J$572),"")</f>
        <v/>
      </c>
      <c r="K572" s="18" t="str">
        <f>IFERROR(IF([2]对账明细接口!$K$572=0,"",[2]对账明细接口!$K$572),"")</f>
        <v/>
      </c>
      <c r="L572" s="16" t="str">
        <f>IFERROR(IF([2]对账明细接口!$L$572=0,"",[2]对账明细接口!$L$572),"")</f>
        <v/>
      </c>
      <c r="M572" s="16" t="str">
        <f>IFERROR(IF([2]对账明细接口!$M$572=0,"",[2]对账明细接口!$M$572),"")</f>
        <v/>
      </c>
      <c r="N572" s="19">
        <f t="shared" si="48"/>
        <v>0</v>
      </c>
      <c r="O572" s="19">
        <f t="shared" si="49"/>
        <v>165</v>
      </c>
      <c r="S572" s="20" t="str">
        <f>IFERROR(IF([2]对账明细接口!$N572=0,"",[2]对账明细接口!$N572),"")</f>
        <v/>
      </c>
      <c r="T572" s="21" t="str">
        <f>IFERROR(IF([2]对账明细接口!$O572=0,"",[2]对账明细接口!$O572),"")</f>
        <v/>
      </c>
      <c r="U572" s="21" t="str">
        <f>IFERROR(IF([2]对账明细接口!$P572=0,"",[2]对账明细接口!$P572),"")</f>
        <v/>
      </c>
      <c r="V572" s="21" t="str">
        <f>IFERROR(IF([2]对账明细接口!$Q572=0,"",[2]对账明细接口!$Q572),"")</f>
        <v/>
      </c>
      <c r="W572" s="20" t="str">
        <f>IFERROR(IF([2]对账明细接口!$R572=0,"",[2]对账明细接口!$R572),"")</f>
        <v/>
      </c>
      <c r="X572" s="20" t="str">
        <f>IFERROR(IF([2]对账明细接口!$S572=0,"",[2]对账明细接口!$S572),"")</f>
        <v/>
      </c>
      <c r="Y572" s="20" t="str">
        <f t="shared" si="50"/>
        <v/>
      </c>
      <c r="Z572" s="20" t="str">
        <f t="shared" si="51"/>
        <v/>
      </c>
      <c r="AA572" s="20" t="str">
        <f t="shared" si="52"/>
        <v/>
      </c>
      <c r="AB572" s="20" t="str">
        <f t="shared" si="53"/>
        <v/>
      </c>
    </row>
    <row r="573" customHeight="1" spans="1:28">
      <c r="A573" s="14">
        <v>573</v>
      </c>
      <c r="B573" s="15" t="str">
        <f>IFERROR(IF([2]对账明细接口!$B$573=0,"",[2]对账明细接口!$B$573),"")</f>
        <v/>
      </c>
      <c r="C573" s="16" t="str">
        <f>IFERROR(IF([2]对账明细接口!$C$573=0,"",[2]对账明细接口!$C$573),"")</f>
        <v/>
      </c>
      <c r="D573" s="16" t="str">
        <f>IFERROR(IF([2]对账明细接口!$D$573=0,"",[2]对账明细接口!$D$573),"")</f>
        <v/>
      </c>
      <c r="E573" s="16" t="str">
        <f>IFERROR(IF([2]对账明细接口!$E$573=0,"",[2]对账明细接口!$E$573),"")</f>
        <v/>
      </c>
      <c r="F573" s="16" t="str">
        <f>IFERROR(IF([2]对账明细接口!$F$573=0,"",[2]对账明细接口!$F$573),"")</f>
        <v/>
      </c>
      <c r="G573" s="16" t="str">
        <f>IFERROR(IF([2]对账明细接口!$G$573=0,"",[2]对账明细接口!$G$573),"")</f>
        <v/>
      </c>
      <c r="H573" s="17" t="str">
        <f>IFERROR(IF([2]对账明细接口!$H$573=0,"",[2]对账明细接口!$H$573),"")</f>
        <v/>
      </c>
      <c r="I573" s="16" t="str">
        <f>IFERROR(IF([2]对账明细接口!$I$573=0,"",[2]对账明细接口!$I$573),"")</f>
        <v/>
      </c>
      <c r="J573" s="18" t="str">
        <f>IFERROR(IF([2]对账明细接口!$J$573=0,"",[2]对账明细接口!$J$573),"")</f>
        <v/>
      </c>
      <c r="K573" s="18" t="str">
        <f>IFERROR(IF([2]对账明细接口!$K$573=0,"",[2]对账明细接口!$K$573),"")</f>
        <v/>
      </c>
      <c r="L573" s="16" t="str">
        <f>IFERROR(IF([2]对账明细接口!$L$573=0,"",[2]对账明细接口!$L$573),"")</f>
        <v/>
      </c>
      <c r="M573" s="16" t="str">
        <f>IFERROR(IF([2]对账明细接口!$M$573=0,"",[2]对账明细接口!$M$573),"")</f>
        <v/>
      </c>
      <c r="N573" s="19">
        <f t="shared" si="48"/>
        <v>0</v>
      </c>
      <c r="O573" s="19">
        <f t="shared" si="49"/>
        <v>165</v>
      </c>
      <c r="S573" s="20" t="str">
        <f>IFERROR(IF([2]对账明细接口!$N573=0,"",[2]对账明细接口!$N573),"")</f>
        <v/>
      </c>
      <c r="T573" s="21" t="str">
        <f>IFERROR(IF([2]对账明细接口!$O573=0,"",[2]对账明细接口!$O573),"")</f>
        <v/>
      </c>
      <c r="U573" s="21" t="str">
        <f>IFERROR(IF([2]对账明细接口!$P573=0,"",[2]对账明细接口!$P573),"")</f>
        <v/>
      </c>
      <c r="V573" s="21" t="str">
        <f>IFERROR(IF([2]对账明细接口!$Q573=0,"",[2]对账明细接口!$Q573),"")</f>
        <v/>
      </c>
      <c r="W573" s="20" t="str">
        <f>IFERROR(IF([2]对账明细接口!$R573=0,"",[2]对账明细接口!$R573),"")</f>
        <v/>
      </c>
      <c r="X573" s="20" t="str">
        <f>IFERROR(IF([2]对账明细接口!$S573=0,"",[2]对账明细接口!$S573),"")</f>
        <v/>
      </c>
      <c r="Y573" s="20" t="str">
        <f t="shared" si="50"/>
        <v/>
      </c>
      <c r="Z573" s="20" t="str">
        <f t="shared" si="51"/>
        <v/>
      </c>
      <c r="AA573" s="20" t="str">
        <f t="shared" si="52"/>
        <v/>
      </c>
      <c r="AB573" s="20" t="str">
        <f t="shared" si="53"/>
        <v/>
      </c>
    </row>
    <row r="574" customHeight="1" spans="1:28">
      <c r="A574" s="14">
        <v>574</v>
      </c>
      <c r="B574" s="15" t="str">
        <f>IFERROR(IF([2]对账明细接口!$B$574=0,"",[2]对账明细接口!$B$574),"")</f>
        <v/>
      </c>
      <c r="C574" s="16" t="str">
        <f>IFERROR(IF([2]对账明细接口!$C$574=0,"",[2]对账明细接口!$C$574),"")</f>
        <v/>
      </c>
      <c r="D574" s="16" t="str">
        <f>IFERROR(IF([2]对账明细接口!$D$574=0,"",[2]对账明细接口!$D$574),"")</f>
        <v/>
      </c>
      <c r="E574" s="16" t="str">
        <f>IFERROR(IF([2]对账明细接口!$E$574=0,"",[2]对账明细接口!$E$574),"")</f>
        <v/>
      </c>
      <c r="F574" s="16" t="str">
        <f>IFERROR(IF([2]对账明细接口!$F$574=0,"",[2]对账明细接口!$F$574),"")</f>
        <v/>
      </c>
      <c r="G574" s="16" t="str">
        <f>IFERROR(IF([2]对账明细接口!$G$574=0,"",[2]对账明细接口!$G$574),"")</f>
        <v/>
      </c>
      <c r="H574" s="17" t="str">
        <f>IFERROR(IF([2]对账明细接口!$H$574=0,"",[2]对账明细接口!$H$574),"")</f>
        <v/>
      </c>
      <c r="I574" s="16" t="str">
        <f>IFERROR(IF([2]对账明细接口!$I$574=0,"",[2]对账明细接口!$I$574),"")</f>
        <v/>
      </c>
      <c r="J574" s="18" t="str">
        <f>IFERROR(IF([2]对账明细接口!$J$574=0,"",[2]对账明细接口!$J$574),"")</f>
        <v/>
      </c>
      <c r="K574" s="18" t="str">
        <f>IFERROR(IF([2]对账明细接口!$K$574=0,"",[2]对账明细接口!$K$574),"")</f>
        <v/>
      </c>
      <c r="L574" s="16" t="str">
        <f>IFERROR(IF([2]对账明细接口!$L$574=0,"",[2]对账明细接口!$L$574),"")</f>
        <v/>
      </c>
      <c r="M574" s="16" t="str">
        <f>IFERROR(IF([2]对账明细接口!$M$574=0,"",[2]对账明细接口!$M$574),"")</f>
        <v/>
      </c>
      <c r="N574" s="19">
        <f t="shared" si="48"/>
        <v>0</v>
      </c>
      <c r="O574" s="19">
        <f t="shared" si="49"/>
        <v>165</v>
      </c>
      <c r="S574" s="20" t="str">
        <f>IFERROR(IF([2]对账明细接口!$N574=0,"",[2]对账明细接口!$N574),"")</f>
        <v/>
      </c>
      <c r="T574" s="21" t="str">
        <f>IFERROR(IF([2]对账明细接口!$O574=0,"",[2]对账明细接口!$O574),"")</f>
        <v/>
      </c>
      <c r="U574" s="21" t="str">
        <f>IFERROR(IF([2]对账明细接口!$P574=0,"",[2]对账明细接口!$P574),"")</f>
        <v/>
      </c>
      <c r="V574" s="21" t="str">
        <f>IFERROR(IF([2]对账明细接口!$Q574=0,"",[2]对账明细接口!$Q574),"")</f>
        <v/>
      </c>
      <c r="W574" s="20" t="str">
        <f>IFERROR(IF([2]对账明细接口!$R574=0,"",[2]对账明细接口!$R574),"")</f>
        <v/>
      </c>
      <c r="X574" s="20" t="str">
        <f>IFERROR(IF([2]对账明细接口!$S574=0,"",[2]对账明细接口!$S574),"")</f>
        <v/>
      </c>
      <c r="Y574" s="20" t="str">
        <f t="shared" si="50"/>
        <v/>
      </c>
      <c r="Z574" s="20" t="str">
        <f t="shared" si="51"/>
        <v/>
      </c>
      <c r="AA574" s="20" t="str">
        <f t="shared" si="52"/>
        <v/>
      </c>
      <c r="AB574" s="20" t="str">
        <f t="shared" si="53"/>
        <v/>
      </c>
    </row>
    <row r="575" customHeight="1" spans="1:28">
      <c r="A575" s="14">
        <v>575</v>
      </c>
      <c r="B575" s="15" t="str">
        <f>IFERROR(IF([2]对账明细接口!$B$575=0,"",[2]对账明细接口!$B$575),"")</f>
        <v/>
      </c>
      <c r="C575" s="16" t="str">
        <f>IFERROR(IF([2]对账明细接口!$C$575=0,"",[2]对账明细接口!$C$575),"")</f>
        <v/>
      </c>
      <c r="D575" s="16" t="str">
        <f>IFERROR(IF([2]对账明细接口!$D$575=0,"",[2]对账明细接口!$D$575),"")</f>
        <v/>
      </c>
      <c r="E575" s="16" t="str">
        <f>IFERROR(IF([2]对账明细接口!$E$575=0,"",[2]对账明细接口!$E$575),"")</f>
        <v/>
      </c>
      <c r="F575" s="16" t="str">
        <f>IFERROR(IF([2]对账明细接口!$F$575=0,"",[2]对账明细接口!$F$575),"")</f>
        <v/>
      </c>
      <c r="G575" s="16" t="str">
        <f>IFERROR(IF([2]对账明细接口!$G$575=0,"",[2]对账明细接口!$G$575),"")</f>
        <v/>
      </c>
      <c r="H575" s="17" t="str">
        <f>IFERROR(IF([2]对账明细接口!$H$575=0,"",[2]对账明细接口!$H$575),"")</f>
        <v/>
      </c>
      <c r="I575" s="16" t="str">
        <f>IFERROR(IF([2]对账明细接口!$I$575=0,"",[2]对账明细接口!$I$575),"")</f>
        <v/>
      </c>
      <c r="J575" s="18" t="str">
        <f>IFERROR(IF([2]对账明细接口!$J$575=0,"",[2]对账明细接口!$J$575),"")</f>
        <v/>
      </c>
      <c r="K575" s="18" t="str">
        <f>IFERROR(IF([2]对账明细接口!$K$575=0,"",[2]对账明细接口!$K$575),"")</f>
        <v/>
      </c>
      <c r="L575" s="16" t="str">
        <f>IFERROR(IF([2]对账明细接口!$L$575=0,"",[2]对账明细接口!$L$575),"")</f>
        <v/>
      </c>
      <c r="M575" s="16" t="str">
        <f>IFERROR(IF([2]对账明细接口!$M$575=0,"",[2]对账明细接口!$M$575),"")</f>
        <v/>
      </c>
      <c r="N575" s="19">
        <f t="shared" si="48"/>
        <v>0</v>
      </c>
      <c r="O575" s="19">
        <f t="shared" si="49"/>
        <v>165</v>
      </c>
      <c r="S575" s="20" t="str">
        <f>IFERROR(IF([2]对账明细接口!$N575=0,"",[2]对账明细接口!$N575),"")</f>
        <v/>
      </c>
      <c r="T575" s="21" t="str">
        <f>IFERROR(IF([2]对账明细接口!$O575=0,"",[2]对账明细接口!$O575),"")</f>
        <v/>
      </c>
      <c r="U575" s="21" t="str">
        <f>IFERROR(IF([2]对账明细接口!$P575=0,"",[2]对账明细接口!$P575),"")</f>
        <v/>
      </c>
      <c r="V575" s="21" t="str">
        <f>IFERROR(IF([2]对账明细接口!$Q575=0,"",[2]对账明细接口!$Q575),"")</f>
        <v/>
      </c>
      <c r="W575" s="20" t="str">
        <f>IFERROR(IF([2]对账明细接口!$R575=0,"",[2]对账明细接口!$R575),"")</f>
        <v/>
      </c>
      <c r="X575" s="20" t="str">
        <f>IFERROR(IF([2]对账明细接口!$S575=0,"",[2]对账明细接口!$S575),"")</f>
        <v/>
      </c>
      <c r="Y575" s="20" t="str">
        <f t="shared" si="50"/>
        <v/>
      </c>
      <c r="Z575" s="20" t="str">
        <f t="shared" si="51"/>
        <v/>
      </c>
      <c r="AA575" s="20" t="str">
        <f t="shared" si="52"/>
        <v/>
      </c>
      <c r="AB575" s="20" t="str">
        <f t="shared" si="53"/>
        <v/>
      </c>
    </row>
    <row r="576" customHeight="1" spans="1:28">
      <c r="A576" s="14">
        <v>576</v>
      </c>
      <c r="B576" s="15" t="str">
        <f>IFERROR(IF([2]对账明细接口!$B$576=0,"",[2]对账明细接口!$B$576),"")</f>
        <v/>
      </c>
      <c r="C576" s="16" t="str">
        <f>IFERROR(IF([2]对账明细接口!$C$576=0,"",[2]对账明细接口!$C$576),"")</f>
        <v/>
      </c>
      <c r="D576" s="16" t="str">
        <f>IFERROR(IF([2]对账明细接口!$D$576=0,"",[2]对账明细接口!$D$576),"")</f>
        <v/>
      </c>
      <c r="E576" s="16" t="str">
        <f>IFERROR(IF([2]对账明细接口!$E$576=0,"",[2]对账明细接口!$E$576),"")</f>
        <v/>
      </c>
      <c r="F576" s="16" t="str">
        <f>IFERROR(IF([2]对账明细接口!$F$576=0,"",[2]对账明细接口!$F$576),"")</f>
        <v/>
      </c>
      <c r="G576" s="16" t="str">
        <f>IFERROR(IF([2]对账明细接口!$G$576=0,"",[2]对账明细接口!$G$576),"")</f>
        <v/>
      </c>
      <c r="H576" s="17" t="str">
        <f>IFERROR(IF([2]对账明细接口!$H$576=0,"",[2]对账明细接口!$H$576),"")</f>
        <v/>
      </c>
      <c r="I576" s="16" t="str">
        <f>IFERROR(IF([2]对账明细接口!$I$576=0,"",[2]对账明细接口!$I$576),"")</f>
        <v/>
      </c>
      <c r="J576" s="18" t="str">
        <f>IFERROR(IF([2]对账明细接口!$J$576=0,"",[2]对账明细接口!$J$576),"")</f>
        <v/>
      </c>
      <c r="K576" s="18" t="str">
        <f>IFERROR(IF([2]对账明细接口!$K$576=0,"",[2]对账明细接口!$K$576),"")</f>
        <v/>
      </c>
      <c r="L576" s="16" t="str">
        <f>IFERROR(IF([2]对账明细接口!$L$576=0,"",[2]对账明细接口!$L$576),"")</f>
        <v/>
      </c>
      <c r="M576" s="16" t="str">
        <f>IFERROR(IF([2]对账明细接口!$M$576=0,"",[2]对账明细接口!$M$576),"")</f>
        <v/>
      </c>
      <c r="N576" s="19">
        <f t="shared" si="48"/>
        <v>0</v>
      </c>
      <c r="O576" s="19">
        <f t="shared" si="49"/>
        <v>165</v>
      </c>
      <c r="S576" s="20" t="str">
        <f>IFERROR(IF([2]对账明细接口!$N576=0,"",[2]对账明细接口!$N576),"")</f>
        <v/>
      </c>
      <c r="T576" s="21" t="str">
        <f>IFERROR(IF([2]对账明细接口!$O576=0,"",[2]对账明细接口!$O576),"")</f>
        <v/>
      </c>
      <c r="U576" s="21" t="str">
        <f>IFERROR(IF([2]对账明细接口!$P576=0,"",[2]对账明细接口!$P576),"")</f>
        <v/>
      </c>
      <c r="V576" s="21" t="str">
        <f>IFERROR(IF([2]对账明细接口!$Q576=0,"",[2]对账明细接口!$Q576),"")</f>
        <v/>
      </c>
      <c r="W576" s="20" t="str">
        <f>IFERROR(IF([2]对账明细接口!$R576=0,"",[2]对账明细接口!$R576),"")</f>
        <v/>
      </c>
      <c r="X576" s="20" t="str">
        <f>IFERROR(IF([2]对账明细接口!$S576=0,"",[2]对账明细接口!$S576),"")</f>
        <v/>
      </c>
      <c r="Y576" s="20" t="str">
        <f t="shared" si="50"/>
        <v/>
      </c>
      <c r="Z576" s="20" t="str">
        <f t="shared" si="51"/>
        <v/>
      </c>
      <c r="AA576" s="20" t="str">
        <f t="shared" si="52"/>
        <v/>
      </c>
      <c r="AB576" s="20" t="str">
        <f t="shared" si="53"/>
        <v/>
      </c>
    </row>
    <row r="577" customHeight="1" spans="1:28">
      <c r="A577" s="14">
        <v>577</v>
      </c>
      <c r="B577" s="15" t="str">
        <f>IFERROR(IF([2]对账明细接口!$B$577=0,"",[2]对账明细接口!$B$577),"")</f>
        <v/>
      </c>
      <c r="C577" s="16" t="str">
        <f>IFERROR(IF([2]对账明细接口!$C$577=0,"",[2]对账明细接口!$C$577),"")</f>
        <v/>
      </c>
      <c r="D577" s="16" t="str">
        <f>IFERROR(IF([2]对账明细接口!$D$577=0,"",[2]对账明细接口!$D$577),"")</f>
        <v/>
      </c>
      <c r="E577" s="16" t="str">
        <f>IFERROR(IF([2]对账明细接口!$E$577=0,"",[2]对账明细接口!$E$577),"")</f>
        <v/>
      </c>
      <c r="F577" s="16" t="str">
        <f>IFERROR(IF([2]对账明细接口!$F$577=0,"",[2]对账明细接口!$F$577),"")</f>
        <v/>
      </c>
      <c r="G577" s="16" t="str">
        <f>IFERROR(IF([2]对账明细接口!$G$577=0,"",[2]对账明细接口!$G$577),"")</f>
        <v/>
      </c>
      <c r="H577" s="17" t="str">
        <f>IFERROR(IF([2]对账明细接口!$H$577=0,"",[2]对账明细接口!$H$577),"")</f>
        <v/>
      </c>
      <c r="I577" s="16" t="str">
        <f>IFERROR(IF([2]对账明细接口!$I$577=0,"",[2]对账明细接口!$I$577),"")</f>
        <v/>
      </c>
      <c r="J577" s="18" t="str">
        <f>IFERROR(IF([2]对账明细接口!$J$577=0,"",[2]对账明细接口!$J$577),"")</f>
        <v/>
      </c>
      <c r="K577" s="18" t="str">
        <f>IFERROR(IF([2]对账明细接口!$K$577=0,"",[2]对账明细接口!$K$577),"")</f>
        <v/>
      </c>
      <c r="L577" s="16" t="str">
        <f>IFERROR(IF([2]对账明细接口!$L$577=0,"",[2]对账明细接口!$L$577),"")</f>
        <v/>
      </c>
      <c r="M577" s="16" t="str">
        <f>IFERROR(IF([2]对账明细接口!$M$577=0,"",[2]对账明细接口!$M$577),"")</f>
        <v/>
      </c>
      <c r="N577" s="19">
        <f t="shared" si="48"/>
        <v>0</v>
      </c>
      <c r="O577" s="19">
        <f t="shared" si="49"/>
        <v>165</v>
      </c>
      <c r="S577" s="20" t="str">
        <f>IFERROR(IF([2]对账明细接口!$N577=0,"",[2]对账明细接口!$N577),"")</f>
        <v/>
      </c>
      <c r="T577" s="21" t="str">
        <f>IFERROR(IF([2]对账明细接口!$O577=0,"",[2]对账明细接口!$O577),"")</f>
        <v/>
      </c>
      <c r="U577" s="21" t="str">
        <f>IFERROR(IF([2]对账明细接口!$P577=0,"",[2]对账明细接口!$P577),"")</f>
        <v/>
      </c>
      <c r="V577" s="21" t="str">
        <f>IFERROR(IF([2]对账明细接口!$Q577=0,"",[2]对账明细接口!$Q577),"")</f>
        <v/>
      </c>
      <c r="W577" s="20" t="str">
        <f>IFERROR(IF([2]对账明细接口!$R577=0,"",[2]对账明细接口!$R577),"")</f>
        <v/>
      </c>
      <c r="X577" s="20" t="str">
        <f>IFERROR(IF([2]对账明细接口!$S577=0,"",[2]对账明细接口!$S577),"")</f>
        <v/>
      </c>
      <c r="Y577" s="20" t="str">
        <f t="shared" si="50"/>
        <v/>
      </c>
      <c r="Z577" s="20" t="str">
        <f t="shared" si="51"/>
        <v/>
      </c>
      <c r="AA577" s="20" t="str">
        <f t="shared" si="52"/>
        <v/>
      </c>
      <c r="AB577" s="20" t="str">
        <f t="shared" si="53"/>
        <v/>
      </c>
    </row>
    <row r="578" customHeight="1" spans="1:28">
      <c r="A578" s="14">
        <v>578</v>
      </c>
      <c r="B578" s="15" t="str">
        <f>IFERROR(IF([2]对账明细接口!$B$578=0,"",[2]对账明细接口!$B$578),"")</f>
        <v/>
      </c>
      <c r="C578" s="16" t="str">
        <f>IFERROR(IF([2]对账明细接口!$C$578=0,"",[2]对账明细接口!$C$578),"")</f>
        <v/>
      </c>
      <c r="D578" s="16" t="str">
        <f>IFERROR(IF([2]对账明细接口!$D$578=0,"",[2]对账明细接口!$D$578),"")</f>
        <v/>
      </c>
      <c r="E578" s="16" t="str">
        <f>IFERROR(IF([2]对账明细接口!$E$578=0,"",[2]对账明细接口!$E$578),"")</f>
        <v/>
      </c>
      <c r="F578" s="16" t="str">
        <f>IFERROR(IF([2]对账明细接口!$F$578=0,"",[2]对账明细接口!$F$578),"")</f>
        <v/>
      </c>
      <c r="G578" s="16" t="str">
        <f>IFERROR(IF([2]对账明细接口!$G$578=0,"",[2]对账明细接口!$G$578),"")</f>
        <v/>
      </c>
      <c r="H578" s="17" t="str">
        <f>IFERROR(IF([2]对账明细接口!$H$578=0,"",[2]对账明细接口!$H$578),"")</f>
        <v/>
      </c>
      <c r="I578" s="16" t="str">
        <f>IFERROR(IF([2]对账明细接口!$I$578=0,"",[2]对账明细接口!$I$578),"")</f>
        <v/>
      </c>
      <c r="J578" s="18" t="str">
        <f>IFERROR(IF([2]对账明细接口!$J$578=0,"",[2]对账明细接口!$J$578),"")</f>
        <v/>
      </c>
      <c r="K578" s="18" t="str">
        <f>IFERROR(IF([2]对账明细接口!$K$578=0,"",[2]对账明细接口!$K$578),"")</f>
        <v/>
      </c>
      <c r="L578" s="16" t="str">
        <f>IFERROR(IF([2]对账明细接口!$L$578=0,"",[2]对账明细接口!$L$578),"")</f>
        <v/>
      </c>
      <c r="M578" s="16" t="str">
        <f>IFERROR(IF([2]对账明细接口!$M$578=0,"",[2]对账明细接口!$M$578),"")</f>
        <v/>
      </c>
      <c r="N578" s="19">
        <f t="shared" si="48"/>
        <v>0</v>
      </c>
      <c r="O578" s="19">
        <f t="shared" si="49"/>
        <v>165</v>
      </c>
      <c r="S578" s="20" t="str">
        <f>IFERROR(IF([2]对账明细接口!$N578=0,"",[2]对账明细接口!$N578),"")</f>
        <v/>
      </c>
      <c r="T578" s="21" t="str">
        <f>IFERROR(IF([2]对账明细接口!$O578=0,"",[2]对账明细接口!$O578),"")</f>
        <v/>
      </c>
      <c r="U578" s="21" t="str">
        <f>IFERROR(IF([2]对账明细接口!$P578=0,"",[2]对账明细接口!$P578),"")</f>
        <v/>
      </c>
      <c r="V578" s="21" t="str">
        <f>IFERROR(IF([2]对账明细接口!$Q578=0,"",[2]对账明细接口!$Q578),"")</f>
        <v/>
      </c>
      <c r="W578" s="20" t="str">
        <f>IFERROR(IF([2]对账明细接口!$R578=0,"",[2]对账明细接口!$R578),"")</f>
        <v/>
      </c>
      <c r="X578" s="20" t="str">
        <f>IFERROR(IF([2]对账明细接口!$S578=0,"",[2]对账明细接口!$S578),"")</f>
        <v/>
      </c>
      <c r="Y578" s="20" t="str">
        <f t="shared" si="50"/>
        <v/>
      </c>
      <c r="Z578" s="20" t="str">
        <f t="shared" si="51"/>
        <v/>
      </c>
      <c r="AA578" s="20" t="str">
        <f t="shared" si="52"/>
        <v/>
      </c>
      <c r="AB578" s="20" t="str">
        <f t="shared" si="53"/>
        <v/>
      </c>
    </row>
    <row r="579" customHeight="1" spans="1:28">
      <c r="A579" s="14">
        <v>579</v>
      </c>
      <c r="B579" s="15" t="str">
        <f>IFERROR(IF([2]对账明细接口!$B$579=0,"",[2]对账明细接口!$B$579),"")</f>
        <v/>
      </c>
      <c r="C579" s="16" t="str">
        <f>IFERROR(IF([2]对账明细接口!$C$579=0,"",[2]对账明细接口!$C$579),"")</f>
        <v/>
      </c>
      <c r="D579" s="16" t="str">
        <f>IFERROR(IF([2]对账明细接口!$D$579=0,"",[2]对账明细接口!$D$579),"")</f>
        <v/>
      </c>
      <c r="E579" s="16" t="str">
        <f>IFERROR(IF([2]对账明细接口!$E$579=0,"",[2]对账明细接口!$E$579),"")</f>
        <v/>
      </c>
      <c r="F579" s="16" t="str">
        <f>IFERROR(IF([2]对账明细接口!$F$579=0,"",[2]对账明细接口!$F$579),"")</f>
        <v/>
      </c>
      <c r="G579" s="16" t="str">
        <f>IFERROR(IF([2]对账明细接口!$G$579=0,"",[2]对账明细接口!$G$579),"")</f>
        <v/>
      </c>
      <c r="H579" s="17" t="str">
        <f>IFERROR(IF([2]对账明细接口!$H$579=0,"",[2]对账明细接口!$H$579),"")</f>
        <v/>
      </c>
      <c r="I579" s="16" t="str">
        <f>IFERROR(IF([2]对账明细接口!$I$579=0,"",[2]对账明细接口!$I$579),"")</f>
        <v/>
      </c>
      <c r="J579" s="18" t="str">
        <f>IFERROR(IF([2]对账明细接口!$J$579=0,"",[2]对账明细接口!$J$579),"")</f>
        <v/>
      </c>
      <c r="K579" s="18" t="str">
        <f>IFERROR(IF([2]对账明细接口!$K$579=0,"",[2]对账明细接口!$K$579),"")</f>
        <v/>
      </c>
      <c r="L579" s="16" t="str">
        <f>IFERROR(IF([2]对账明细接口!$L$579=0,"",[2]对账明细接口!$L$579),"")</f>
        <v/>
      </c>
      <c r="M579" s="16" t="str">
        <f>IFERROR(IF([2]对账明细接口!$M$579=0,"",[2]对账明细接口!$M$579),"")</f>
        <v/>
      </c>
      <c r="N579" s="19">
        <f t="shared" si="48"/>
        <v>0</v>
      </c>
      <c r="O579" s="19">
        <f t="shared" si="49"/>
        <v>165</v>
      </c>
      <c r="S579" s="20" t="str">
        <f>IFERROR(IF([2]对账明细接口!$N579=0,"",[2]对账明细接口!$N579),"")</f>
        <v/>
      </c>
      <c r="T579" s="21" t="str">
        <f>IFERROR(IF([2]对账明细接口!$O579=0,"",[2]对账明细接口!$O579),"")</f>
        <v/>
      </c>
      <c r="U579" s="21" t="str">
        <f>IFERROR(IF([2]对账明细接口!$P579=0,"",[2]对账明细接口!$P579),"")</f>
        <v/>
      </c>
      <c r="V579" s="21" t="str">
        <f>IFERROR(IF([2]对账明细接口!$Q579=0,"",[2]对账明细接口!$Q579),"")</f>
        <v/>
      </c>
      <c r="W579" s="20" t="str">
        <f>IFERROR(IF([2]对账明细接口!$R579=0,"",[2]对账明细接口!$R579),"")</f>
        <v/>
      </c>
      <c r="X579" s="20" t="str">
        <f>IFERROR(IF([2]对账明细接口!$S579=0,"",[2]对账明细接口!$S579),"")</f>
        <v/>
      </c>
      <c r="Y579" s="20" t="str">
        <f t="shared" si="50"/>
        <v/>
      </c>
      <c r="Z579" s="20" t="str">
        <f t="shared" si="51"/>
        <v/>
      </c>
      <c r="AA579" s="20" t="str">
        <f t="shared" si="52"/>
        <v/>
      </c>
      <c r="AB579" s="20" t="str">
        <f t="shared" si="53"/>
        <v/>
      </c>
    </row>
    <row r="580" customHeight="1" spans="1:28">
      <c r="A580" s="14">
        <v>580</v>
      </c>
      <c r="B580" s="15" t="str">
        <f>IFERROR(IF([2]对账明细接口!$B$580=0,"",[2]对账明细接口!$B$580),"")</f>
        <v/>
      </c>
      <c r="C580" s="16" t="str">
        <f>IFERROR(IF([2]对账明细接口!$C$580=0,"",[2]对账明细接口!$C$580),"")</f>
        <v/>
      </c>
      <c r="D580" s="16" t="str">
        <f>IFERROR(IF([2]对账明细接口!$D$580=0,"",[2]对账明细接口!$D$580),"")</f>
        <v/>
      </c>
      <c r="E580" s="16" t="str">
        <f>IFERROR(IF([2]对账明细接口!$E$580=0,"",[2]对账明细接口!$E$580),"")</f>
        <v/>
      </c>
      <c r="F580" s="16" t="str">
        <f>IFERROR(IF([2]对账明细接口!$F$580=0,"",[2]对账明细接口!$F$580),"")</f>
        <v/>
      </c>
      <c r="G580" s="16" t="str">
        <f>IFERROR(IF([2]对账明细接口!$G$580=0,"",[2]对账明细接口!$G$580),"")</f>
        <v/>
      </c>
      <c r="H580" s="17" t="str">
        <f>IFERROR(IF([2]对账明细接口!$H$580=0,"",[2]对账明细接口!$H$580),"")</f>
        <v/>
      </c>
      <c r="I580" s="16" t="str">
        <f>IFERROR(IF([2]对账明细接口!$I$580=0,"",[2]对账明细接口!$I$580),"")</f>
        <v/>
      </c>
      <c r="J580" s="18" t="str">
        <f>IFERROR(IF([2]对账明细接口!$J$580=0,"",[2]对账明细接口!$J$580),"")</f>
        <v/>
      </c>
      <c r="K580" s="18" t="str">
        <f>IFERROR(IF([2]对账明细接口!$K$580=0,"",[2]对账明细接口!$K$580),"")</f>
        <v/>
      </c>
      <c r="L580" s="16" t="str">
        <f>IFERROR(IF([2]对账明细接口!$L$580=0,"",[2]对账明细接口!$L$580),"")</f>
        <v/>
      </c>
      <c r="M580" s="16" t="str">
        <f>IFERROR(IF([2]对账明细接口!$M$580=0,"",[2]对账明细接口!$M$580),"")</f>
        <v/>
      </c>
      <c r="N580" s="19">
        <f t="shared" ref="N580:N643" si="54">IF($C580="",0,1)</f>
        <v>0</v>
      </c>
      <c r="O580" s="19">
        <f t="shared" ref="O580:O643" si="55">N(O579)+$N580</f>
        <v>165</v>
      </c>
      <c r="S580" s="20" t="str">
        <f>IFERROR(IF([2]对账明细接口!$N580=0,"",[2]对账明细接口!$N580),"")</f>
        <v/>
      </c>
      <c r="T580" s="21" t="str">
        <f>IFERROR(IF([2]对账明细接口!$O580=0,"",[2]对账明细接口!$O580),"")</f>
        <v/>
      </c>
      <c r="U580" s="21" t="str">
        <f>IFERROR(IF([2]对账明细接口!$P580=0,"",[2]对账明细接口!$P580),"")</f>
        <v/>
      </c>
      <c r="V580" s="21" t="str">
        <f>IFERROR(IF([2]对账明细接口!$Q580=0,"",[2]对账明细接口!$Q580),"")</f>
        <v/>
      </c>
      <c r="W580" s="20" t="str">
        <f>IFERROR(IF([2]对账明细接口!$R580=0,"",[2]对账明细接口!$R580),"")</f>
        <v/>
      </c>
      <c r="X580" s="20" t="str">
        <f>IFERROR(IF([2]对账明细接口!$S580=0,"",[2]对账明细接口!$S580),"")</f>
        <v/>
      </c>
      <c r="Y580" s="20" t="str">
        <f t="shared" ref="Y580:Y643" si="56">""</f>
        <v/>
      </c>
      <c r="Z580" s="20" t="str">
        <f t="shared" ref="Z580:Z643" si="57">""</f>
        <v/>
      </c>
      <c r="AA580" s="20" t="str">
        <f t="shared" ref="AA580:AA643" si="58">""</f>
        <v/>
      </c>
      <c r="AB580" s="20" t="str">
        <f t="shared" ref="AB580:AB643" si="59">""</f>
        <v/>
      </c>
    </row>
    <row r="581" customHeight="1" spans="1:28">
      <c r="A581" s="14">
        <v>581</v>
      </c>
      <c r="B581" s="15" t="str">
        <f>IFERROR(IF([2]对账明细接口!$B$581=0,"",[2]对账明细接口!$B$581),"")</f>
        <v/>
      </c>
      <c r="C581" s="16" t="str">
        <f>IFERROR(IF([2]对账明细接口!$C$581=0,"",[2]对账明细接口!$C$581),"")</f>
        <v/>
      </c>
      <c r="D581" s="16" t="str">
        <f>IFERROR(IF([2]对账明细接口!$D$581=0,"",[2]对账明细接口!$D$581),"")</f>
        <v/>
      </c>
      <c r="E581" s="16" t="str">
        <f>IFERROR(IF([2]对账明细接口!$E$581=0,"",[2]对账明细接口!$E$581),"")</f>
        <v/>
      </c>
      <c r="F581" s="16" t="str">
        <f>IFERROR(IF([2]对账明细接口!$F$581=0,"",[2]对账明细接口!$F$581),"")</f>
        <v/>
      </c>
      <c r="G581" s="16" t="str">
        <f>IFERROR(IF([2]对账明细接口!$G$581=0,"",[2]对账明细接口!$G$581),"")</f>
        <v/>
      </c>
      <c r="H581" s="17" t="str">
        <f>IFERROR(IF([2]对账明细接口!$H$581=0,"",[2]对账明细接口!$H$581),"")</f>
        <v/>
      </c>
      <c r="I581" s="16" t="str">
        <f>IFERROR(IF([2]对账明细接口!$I$581=0,"",[2]对账明细接口!$I$581),"")</f>
        <v/>
      </c>
      <c r="J581" s="18" t="str">
        <f>IFERROR(IF([2]对账明细接口!$J$581=0,"",[2]对账明细接口!$J$581),"")</f>
        <v/>
      </c>
      <c r="K581" s="18" t="str">
        <f>IFERROR(IF([2]对账明细接口!$K$581=0,"",[2]对账明细接口!$K$581),"")</f>
        <v/>
      </c>
      <c r="L581" s="16" t="str">
        <f>IFERROR(IF([2]对账明细接口!$L$581=0,"",[2]对账明细接口!$L$581),"")</f>
        <v/>
      </c>
      <c r="M581" s="16" t="str">
        <f>IFERROR(IF([2]对账明细接口!$M$581=0,"",[2]对账明细接口!$M$581),"")</f>
        <v/>
      </c>
      <c r="N581" s="19">
        <f t="shared" si="54"/>
        <v>0</v>
      </c>
      <c r="O581" s="19">
        <f t="shared" si="55"/>
        <v>165</v>
      </c>
      <c r="S581" s="20" t="str">
        <f>IFERROR(IF([2]对账明细接口!$N581=0,"",[2]对账明细接口!$N581),"")</f>
        <v/>
      </c>
      <c r="T581" s="21" t="str">
        <f>IFERROR(IF([2]对账明细接口!$O581=0,"",[2]对账明细接口!$O581),"")</f>
        <v/>
      </c>
      <c r="U581" s="21" t="str">
        <f>IFERROR(IF([2]对账明细接口!$P581=0,"",[2]对账明细接口!$P581),"")</f>
        <v/>
      </c>
      <c r="V581" s="21" t="str">
        <f>IFERROR(IF([2]对账明细接口!$Q581=0,"",[2]对账明细接口!$Q581),"")</f>
        <v/>
      </c>
      <c r="W581" s="20" t="str">
        <f>IFERROR(IF([2]对账明细接口!$R581=0,"",[2]对账明细接口!$R581),"")</f>
        <v/>
      </c>
      <c r="X581" s="20" t="str">
        <f>IFERROR(IF([2]对账明细接口!$S581=0,"",[2]对账明细接口!$S581),"")</f>
        <v/>
      </c>
      <c r="Y581" s="20" t="str">
        <f t="shared" si="56"/>
        <v/>
      </c>
      <c r="Z581" s="20" t="str">
        <f t="shared" si="57"/>
        <v/>
      </c>
      <c r="AA581" s="20" t="str">
        <f t="shared" si="58"/>
        <v/>
      </c>
      <c r="AB581" s="20" t="str">
        <f t="shared" si="59"/>
        <v/>
      </c>
    </row>
    <row r="582" customHeight="1" spans="1:28">
      <c r="A582" s="14">
        <v>582</v>
      </c>
      <c r="B582" s="15" t="str">
        <f>IFERROR(IF([2]对账明细接口!$B$582=0,"",[2]对账明细接口!$B$582),"")</f>
        <v/>
      </c>
      <c r="C582" s="16" t="str">
        <f>IFERROR(IF([2]对账明细接口!$C$582=0,"",[2]对账明细接口!$C$582),"")</f>
        <v/>
      </c>
      <c r="D582" s="16" t="str">
        <f>IFERROR(IF([2]对账明细接口!$D$582=0,"",[2]对账明细接口!$D$582),"")</f>
        <v/>
      </c>
      <c r="E582" s="16" t="str">
        <f>IFERROR(IF([2]对账明细接口!$E$582=0,"",[2]对账明细接口!$E$582),"")</f>
        <v/>
      </c>
      <c r="F582" s="16" t="str">
        <f>IFERROR(IF([2]对账明细接口!$F$582=0,"",[2]对账明细接口!$F$582),"")</f>
        <v/>
      </c>
      <c r="G582" s="16" t="str">
        <f>IFERROR(IF([2]对账明细接口!$G$582=0,"",[2]对账明细接口!$G$582),"")</f>
        <v/>
      </c>
      <c r="H582" s="17" t="str">
        <f>IFERROR(IF([2]对账明细接口!$H$582=0,"",[2]对账明细接口!$H$582),"")</f>
        <v/>
      </c>
      <c r="I582" s="16" t="str">
        <f>IFERROR(IF([2]对账明细接口!$I$582=0,"",[2]对账明细接口!$I$582),"")</f>
        <v/>
      </c>
      <c r="J582" s="18" t="str">
        <f>IFERROR(IF([2]对账明细接口!$J$582=0,"",[2]对账明细接口!$J$582),"")</f>
        <v/>
      </c>
      <c r="K582" s="18" t="str">
        <f>IFERROR(IF([2]对账明细接口!$K$582=0,"",[2]对账明细接口!$K$582),"")</f>
        <v/>
      </c>
      <c r="L582" s="16" t="str">
        <f>IFERROR(IF([2]对账明细接口!$L$582=0,"",[2]对账明细接口!$L$582),"")</f>
        <v/>
      </c>
      <c r="M582" s="16" t="str">
        <f>IFERROR(IF([2]对账明细接口!$M$582=0,"",[2]对账明细接口!$M$582),"")</f>
        <v/>
      </c>
      <c r="N582" s="19">
        <f t="shared" si="54"/>
        <v>0</v>
      </c>
      <c r="O582" s="19">
        <f t="shared" si="55"/>
        <v>165</v>
      </c>
      <c r="S582" s="20" t="str">
        <f>IFERROR(IF([2]对账明细接口!$N582=0,"",[2]对账明细接口!$N582),"")</f>
        <v/>
      </c>
      <c r="T582" s="21" t="str">
        <f>IFERROR(IF([2]对账明细接口!$O582=0,"",[2]对账明细接口!$O582),"")</f>
        <v/>
      </c>
      <c r="U582" s="21" t="str">
        <f>IFERROR(IF([2]对账明细接口!$P582=0,"",[2]对账明细接口!$P582),"")</f>
        <v/>
      </c>
      <c r="V582" s="21" t="str">
        <f>IFERROR(IF([2]对账明细接口!$Q582=0,"",[2]对账明细接口!$Q582),"")</f>
        <v/>
      </c>
      <c r="W582" s="20" t="str">
        <f>IFERROR(IF([2]对账明细接口!$R582=0,"",[2]对账明细接口!$R582),"")</f>
        <v/>
      </c>
      <c r="X582" s="20" t="str">
        <f>IFERROR(IF([2]对账明细接口!$S582=0,"",[2]对账明细接口!$S582),"")</f>
        <v/>
      </c>
      <c r="Y582" s="20" t="str">
        <f t="shared" si="56"/>
        <v/>
      </c>
      <c r="Z582" s="20" t="str">
        <f t="shared" si="57"/>
        <v/>
      </c>
      <c r="AA582" s="20" t="str">
        <f t="shared" si="58"/>
        <v/>
      </c>
      <c r="AB582" s="20" t="str">
        <f t="shared" si="59"/>
        <v/>
      </c>
    </row>
    <row r="583" customHeight="1" spans="1:28">
      <c r="A583" s="14">
        <v>583</v>
      </c>
      <c r="B583" s="15" t="str">
        <f>IFERROR(IF([2]对账明细接口!$B$583=0,"",[2]对账明细接口!$B$583),"")</f>
        <v/>
      </c>
      <c r="C583" s="16" t="str">
        <f>IFERROR(IF([2]对账明细接口!$C$583=0,"",[2]对账明细接口!$C$583),"")</f>
        <v/>
      </c>
      <c r="D583" s="16" t="str">
        <f>IFERROR(IF([2]对账明细接口!$D$583=0,"",[2]对账明细接口!$D$583),"")</f>
        <v/>
      </c>
      <c r="E583" s="16" t="str">
        <f>IFERROR(IF([2]对账明细接口!$E$583=0,"",[2]对账明细接口!$E$583),"")</f>
        <v/>
      </c>
      <c r="F583" s="16" t="str">
        <f>IFERROR(IF([2]对账明细接口!$F$583=0,"",[2]对账明细接口!$F$583),"")</f>
        <v/>
      </c>
      <c r="G583" s="16" t="str">
        <f>IFERROR(IF([2]对账明细接口!$G$583=0,"",[2]对账明细接口!$G$583),"")</f>
        <v/>
      </c>
      <c r="H583" s="17" t="str">
        <f>IFERROR(IF([2]对账明细接口!$H$583=0,"",[2]对账明细接口!$H$583),"")</f>
        <v/>
      </c>
      <c r="I583" s="16" t="str">
        <f>IFERROR(IF([2]对账明细接口!$I$583=0,"",[2]对账明细接口!$I$583),"")</f>
        <v/>
      </c>
      <c r="J583" s="18" t="str">
        <f>IFERROR(IF([2]对账明细接口!$J$583=0,"",[2]对账明细接口!$J$583),"")</f>
        <v/>
      </c>
      <c r="K583" s="18" t="str">
        <f>IFERROR(IF([2]对账明细接口!$K$583=0,"",[2]对账明细接口!$K$583),"")</f>
        <v/>
      </c>
      <c r="L583" s="16" t="str">
        <f>IFERROR(IF([2]对账明细接口!$L$583=0,"",[2]对账明细接口!$L$583),"")</f>
        <v/>
      </c>
      <c r="M583" s="16" t="str">
        <f>IFERROR(IF([2]对账明细接口!$M$583=0,"",[2]对账明细接口!$M$583),"")</f>
        <v/>
      </c>
      <c r="N583" s="19">
        <f t="shared" si="54"/>
        <v>0</v>
      </c>
      <c r="O583" s="19">
        <f t="shared" si="55"/>
        <v>165</v>
      </c>
      <c r="S583" s="20" t="str">
        <f>IFERROR(IF([2]对账明细接口!$N583=0,"",[2]对账明细接口!$N583),"")</f>
        <v/>
      </c>
      <c r="T583" s="21" t="str">
        <f>IFERROR(IF([2]对账明细接口!$O583=0,"",[2]对账明细接口!$O583),"")</f>
        <v/>
      </c>
      <c r="U583" s="21" t="str">
        <f>IFERROR(IF([2]对账明细接口!$P583=0,"",[2]对账明细接口!$P583),"")</f>
        <v/>
      </c>
      <c r="V583" s="21" t="str">
        <f>IFERROR(IF([2]对账明细接口!$Q583=0,"",[2]对账明细接口!$Q583),"")</f>
        <v/>
      </c>
      <c r="W583" s="20" t="str">
        <f>IFERROR(IF([2]对账明细接口!$R583=0,"",[2]对账明细接口!$R583),"")</f>
        <v/>
      </c>
      <c r="X583" s="20" t="str">
        <f>IFERROR(IF([2]对账明细接口!$S583=0,"",[2]对账明细接口!$S583),"")</f>
        <v/>
      </c>
      <c r="Y583" s="20" t="str">
        <f t="shared" si="56"/>
        <v/>
      </c>
      <c r="Z583" s="20" t="str">
        <f t="shared" si="57"/>
        <v/>
      </c>
      <c r="AA583" s="20" t="str">
        <f t="shared" si="58"/>
        <v/>
      </c>
      <c r="AB583" s="20" t="str">
        <f t="shared" si="59"/>
        <v/>
      </c>
    </row>
    <row r="584" customHeight="1" spans="1:28">
      <c r="A584" s="14">
        <v>584</v>
      </c>
      <c r="B584" s="15" t="str">
        <f>IFERROR(IF([2]对账明细接口!$B$584=0,"",[2]对账明细接口!$B$584),"")</f>
        <v/>
      </c>
      <c r="C584" s="16" t="str">
        <f>IFERROR(IF([2]对账明细接口!$C$584=0,"",[2]对账明细接口!$C$584),"")</f>
        <v/>
      </c>
      <c r="D584" s="16" t="str">
        <f>IFERROR(IF([2]对账明细接口!$D$584=0,"",[2]对账明细接口!$D$584),"")</f>
        <v/>
      </c>
      <c r="E584" s="16" t="str">
        <f>IFERROR(IF([2]对账明细接口!$E$584=0,"",[2]对账明细接口!$E$584),"")</f>
        <v/>
      </c>
      <c r="F584" s="16" t="str">
        <f>IFERROR(IF([2]对账明细接口!$F$584=0,"",[2]对账明细接口!$F$584),"")</f>
        <v/>
      </c>
      <c r="G584" s="16" t="str">
        <f>IFERROR(IF([2]对账明细接口!$G$584=0,"",[2]对账明细接口!$G$584),"")</f>
        <v/>
      </c>
      <c r="H584" s="17" t="str">
        <f>IFERROR(IF([2]对账明细接口!$H$584=0,"",[2]对账明细接口!$H$584),"")</f>
        <v/>
      </c>
      <c r="I584" s="16" t="str">
        <f>IFERROR(IF([2]对账明细接口!$I$584=0,"",[2]对账明细接口!$I$584),"")</f>
        <v/>
      </c>
      <c r="J584" s="18" t="str">
        <f>IFERROR(IF([2]对账明细接口!$J$584=0,"",[2]对账明细接口!$J$584),"")</f>
        <v/>
      </c>
      <c r="K584" s="18" t="str">
        <f>IFERROR(IF([2]对账明细接口!$K$584=0,"",[2]对账明细接口!$K$584),"")</f>
        <v/>
      </c>
      <c r="L584" s="16" t="str">
        <f>IFERROR(IF([2]对账明细接口!$L$584=0,"",[2]对账明细接口!$L$584),"")</f>
        <v/>
      </c>
      <c r="M584" s="16" t="str">
        <f>IFERROR(IF([2]对账明细接口!$M$584=0,"",[2]对账明细接口!$M$584),"")</f>
        <v/>
      </c>
      <c r="N584" s="19">
        <f t="shared" si="54"/>
        <v>0</v>
      </c>
      <c r="O584" s="19">
        <f t="shared" si="55"/>
        <v>165</v>
      </c>
      <c r="S584" s="20" t="str">
        <f>IFERROR(IF([2]对账明细接口!$N584=0,"",[2]对账明细接口!$N584),"")</f>
        <v/>
      </c>
      <c r="T584" s="21" t="str">
        <f>IFERROR(IF([2]对账明细接口!$O584=0,"",[2]对账明细接口!$O584),"")</f>
        <v/>
      </c>
      <c r="U584" s="21" t="str">
        <f>IFERROR(IF([2]对账明细接口!$P584=0,"",[2]对账明细接口!$P584),"")</f>
        <v/>
      </c>
      <c r="V584" s="21" t="str">
        <f>IFERROR(IF([2]对账明细接口!$Q584=0,"",[2]对账明细接口!$Q584),"")</f>
        <v/>
      </c>
      <c r="W584" s="20" t="str">
        <f>IFERROR(IF([2]对账明细接口!$R584=0,"",[2]对账明细接口!$R584),"")</f>
        <v/>
      </c>
      <c r="X584" s="20" t="str">
        <f>IFERROR(IF([2]对账明细接口!$S584=0,"",[2]对账明细接口!$S584),"")</f>
        <v/>
      </c>
      <c r="Y584" s="20" t="str">
        <f t="shared" si="56"/>
        <v/>
      </c>
      <c r="Z584" s="20" t="str">
        <f t="shared" si="57"/>
        <v/>
      </c>
      <c r="AA584" s="20" t="str">
        <f t="shared" si="58"/>
        <v/>
      </c>
      <c r="AB584" s="20" t="str">
        <f t="shared" si="59"/>
        <v/>
      </c>
    </row>
    <row r="585" customHeight="1" spans="1:28">
      <c r="A585" s="14">
        <v>585</v>
      </c>
      <c r="B585" s="15" t="str">
        <f>IFERROR(IF([2]对账明细接口!$B$585=0,"",[2]对账明细接口!$B$585),"")</f>
        <v/>
      </c>
      <c r="C585" s="16" t="str">
        <f>IFERROR(IF([2]对账明细接口!$C$585=0,"",[2]对账明细接口!$C$585),"")</f>
        <v/>
      </c>
      <c r="D585" s="16" t="str">
        <f>IFERROR(IF([2]对账明细接口!$D$585=0,"",[2]对账明细接口!$D$585),"")</f>
        <v/>
      </c>
      <c r="E585" s="16" t="str">
        <f>IFERROR(IF([2]对账明细接口!$E$585=0,"",[2]对账明细接口!$E$585),"")</f>
        <v/>
      </c>
      <c r="F585" s="16" t="str">
        <f>IFERROR(IF([2]对账明细接口!$F$585=0,"",[2]对账明细接口!$F$585),"")</f>
        <v/>
      </c>
      <c r="G585" s="16" t="str">
        <f>IFERROR(IF([2]对账明细接口!$G$585=0,"",[2]对账明细接口!$G$585),"")</f>
        <v/>
      </c>
      <c r="H585" s="17" t="str">
        <f>IFERROR(IF([2]对账明细接口!$H$585=0,"",[2]对账明细接口!$H$585),"")</f>
        <v/>
      </c>
      <c r="I585" s="16" t="str">
        <f>IFERROR(IF([2]对账明细接口!$I$585=0,"",[2]对账明细接口!$I$585),"")</f>
        <v/>
      </c>
      <c r="J585" s="18" t="str">
        <f>IFERROR(IF([2]对账明细接口!$J$585=0,"",[2]对账明细接口!$J$585),"")</f>
        <v/>
      </c>
      <c r="K585" s="18" t="str">
        <f>IFERROR(IF([2]对账明细接口!$K$585=0,"",[2]对账明细接口!$K$585),"")</f>
        <v/>
      </c>
      <c r="L585" s="16" t="str">
        <f>IFERROR(IF([2]对账明细接口!$L$585=0,"",[2]对账明细接口!$L$585),"")</f>
        <v/>
      </c>
      <c r="M585" s="16" t="str">
        <f>IFERROR(IF([2]对账明细接口!$M$585=0,"",[2]对账明细接口!$M$585),"")</f>
        <v/>
      </c>
      <c r="N585" s="19">
        <f t="shared" si="54"/>
        <v>0</v>
      </c>
      <c r="O585" s="19">
        <f t="shared" si="55"/>
        <v>165</v>
      </c>
      <c r="S585" s="20" t="str">
        <f>IFERROR(IF([2]对账明细接口!$N585=0,"",[2]对账明细接口!$N585),"")</f>
        <v/>
      </c>
      <c r="T585" s="21" t="str">
        <f>IFERROR(IF([2]对账明细接口!$O585=0,"",[2]对账明细接口!$O585),"")</f>
        <v/>
      </c>
      <c r="U585" s="21" t="str">
        <f>IFERROR(IF([2]对账明细接口!$P585=0,"",[2]对账明细接口!$P585),"")</f>
        <v/>
      </c>
      <c r="V585" s="21" t="str">
        <f>IFERROR(IF([2]对账明细接口!$Q585=0,"",[2]对账明细接口!$Q585),"")</f>
        <v/>
      </c>
      <c r="W585" s="20" t="str">
        <f>IFERROR(IF([2]对账明细接口!$R585=0,"",[2]对账明细接口!$R585),"")</f>
        <v/>
      </c>
      <c r="X585" s="20" t="str">
        <f>IFERROR(IF([2]对账明细接口!$S585=0,"",[2]对账明细接口!$S585),"")</f>
        <v/>
      </c>
      <c r="Y585" s="20" t="str">
        <f t="shared" si="56"/>
        <v/>
      </c>
      <c r="Z585" s="20" t="str">
        <f t="shared" si="57"/>
        <v/>
      </c>
      <c r="AA585" s="20" t="str">
        <f t="shared" si="58"/>
        <v/>
      </c>
      <c r="AB585" s="20" t="str">
        <f t="shared" si="59"/>
        <v/>
      </c>
    </row>
    <row r="586" customHeight="1" spans="1:28">
      <c r="A586" s="14">
        <v>586</v>
      </c>
      <c r="B586" s="15" t="str">
        <f>IFERROR(IF([2]对账明细接口!$B$586=0,"",[2]对账明细接口!$B$586),"")</f>
        <v/>
      </c>
      <c r="C586" s="16" t="str">
        <f>IFERROR(IF([2]对账明细接口!$C$586=0,"",[2]对账明细接口!$C$586),"")</f>
        <v/>
      </c>
      <c r="D586" s="16" t="str">
        <f>IFERROR(IF([2]对账明细接口!$D$586=0,"",[2]对账明细接口!$D$586),"")</f>
        <v/>
      </c>
      <c r="E586" s="16" t="str">
        <f>IFERROR(IF([2]对账明细接口!$E$586=0,"",[2]对账明细接口!$E$586),"")</f>
        <v/>
      </c>
      <c r="F586" s="16" t="str">
        <f>IFERROR(IF([2]对账明细接口!$F$586=0,"",[2]对账明细接口!$F$586),"")</f>
        <v/>
      </c>
      <c r="G586" s="16" t="str">
        <f>IFERROR(IF([2]对账明细接口!$G$586=0,"",[2]对账明细接口!$G$586),"")</f>
        <v/>
      </c>
      <c r="H586" s="17" t="str">
        <f>IFERROR(IF([2]对账明细接口!$H$586=0,"",[2]对账明细接口!$H$586),"")</f>
        <v/>
      </c>
      <c r="I586" s="16" t="str">
        <f>IFERROR(IF([2]对账明细接口!$I$586=0,"",[2]对账明细接口!$I$586),"")</f>
        <v/>
      </c>
      <c r="J586" s="18" t="str">
        <f>IFERROR(IF([2]对账明细接口!$J$586=0,"",[2]对账明细接口!$J$586),"")</f>
        <v/>
      </c>
      <c r="K586" s="18" t="str">
        <f>IFERROR(IF([2]对账明细接口!$K$586=0,"",[2]对账明细接口!$K$586),"")</f>
        <v/>
      </c>
      <c r="L586" s="16" t="str">
        <f>IFERROR(IF([2]对账明细接口!$L$586=0,"",[2]对账明细接口!$L$586),"")</f>
        <v/>
      </c>
      <c r="M586" s="16" t="str">
        <f>IFERROR(IF([2]对账明细接口!$M$586=0,"",[2]对账明细接口!$M$586),"")</f>
        <v/>
      </c>
      <c r="N586" s="19">
        <f t="shared" si="54"/>
        <v>0</v>
      </c>
      <c r="O586" s="19">
        <f t="shared" si="55"/>
        <v>165</v>
      </c>
      <c r="S586" s="20" t="str">
        <f>IFERROR(IF([2]对账明细接口!$N586=0,"",[2]对账明细接口!$N586),"")</f>
        <v/>
      </c>
      <c r="T586" s="21" t="str">
        <f>IFERROR(IF([2]对账明细接口!$O586=0,"",[2]对账明细接口!$O586),"")</f>
        <v/>
      </c>
      <c r="U586" s="21" t="str">
        <f>IFERROR(IF([2]对账明细接口!$P586=0,"",[2]对账明细接口!$P586),"")</f>
        <v/>
      </c>
      <c r="V586" s="21" t="str">
        <f>IFERROR(IF([2]对账明细接口!$Q586=0,"",[2]对账明细接口!$Q586),"")</f>
        <v/>
      </c>
      <c r="W586" s="20" t="str">
        <f>IFERROR(IF([2]对账明细接口!$R586=0,"",[2]对账明细接口!$R586),"")</f>
        <v/>
      </c>
      <c r="X586" s="20" t="str">
        <f>IFERROR(IF([2]对账明细接口!$S586=0,"",[2]对账明细接口!$S586),"")</f>
        <v/>
      </c>
      <c r="Y586" s="20" t="str">
        <f t="shared" si="56"/>
        <v/>
      </c>
      <c r="Z586" s="20" t="str">
        <f t="shared" si="57"/>
        <v/>
      </c>
      <c r="AA586" s="20" t="str">
        <f t="shared" si="58"/>
        <v/>
      </c>
      <c r="AB586" s="20" t="str">
        <f t="shared" si="59"/>
        <v/>
      </c>
    </row>
    <row r="587" customHeight="1" spans="1:28">
      <c r="A587" s="14">
        <v>587</v>
      </c>
      <c r="B587" s="15" t="str">
        <f>IFERROR(IF([2]对账明细接口!$B$587=0,"",[2]对账明细接口!$B$587),"")</f>
        <v/>
      </c>
      <c r="C587" s="16" t="str">
        <f>IFERROR(IF([2]对账明细接口!$C$587=0,"",[2]对账明细接口!$C$587),"")</f>
        <v/>
      </c>
      <c r="D587" s="16" t="str">
        <f>IFERROR(IF([2]对账明细接口!$D$587=0,"",[2]对账明细接口!$D$587),"")</f>
        <v/>
      </c>
      <c r="E587" s="16" t="str">
        <f>IFERROR(IF([2]对账明细接口!$E$587=0,"",[2]对账明细接口!$E$587),"")</f>
        <v/>
      </c>
      <c r="F587" s="16" t="str">
        <f>IFERROR(IF([2]对账明细接口!$F$587=0,"",[2]对账明细接口!$F$587),"")</f>
        <v/>
      </c>
      <c r="G587" s="16" t="str">
        <f>IFERROR(IF([2]对账明细接口!$G$587=0,"",[2]对账明细接口!$G$587),"")</f>
        <v/>
      </c>
      <c r="H587" s="17" t="str">
        <f>IFERROR(IF([2]对账明细接口!$H$587=0,"",[2]对账明细接口!$H$587),"")</f>
        <v/>
      </c>
      <c r="I587" s="16" t="str">
        <f>IFERROR(IF([2]对账明细接口!$I$587=0,"",[2]对账明细接口!$I$587),"")</f>
        <v/>
      </c>
      <c r="J587" s="18" t="str">
        <f>IFERROR(IF([2]对账明细接口!$J$587=0,"",[2]对账明细接口!$J$587),"")</f>
        <v/>
      </c>
      <c r="K587" s="18" t="str">
        <f>IFERROR(IF([2]对账明细接口!$K$587=0,"",[2]对账明细接口!$K$587),"")</f>
        <v/>
      </c>
      <c r="L587" s="16" t="str">
        <f>IFERROR(IF([2]对账明细接口!$L$587=0,"",[2]对账明细接口!$L$587),"")</f>
        <v/>
      </c>
      <c r="M587" s="16" t="str">
        <f>IFERROR(IF([2]对账明细接口!$M$587=0,"",[2]对账明细接口!$M$587),"")</f>
        <v/>
      </c>
      <c r="N587" s="19">
        <f t="shared" si="54"/>
        <v>0</v>
      </c>
      <c r="O587" s="19">
        <f t="shared" si="55"/>
        <v>165</v>
      </c>
      <c r="S587" s="20" t="str">
        <f>IFERROR(IF([2]对账明细接口!$N587=0,"",[2]对账明细接口!$N587),"")</f>
        <v/>
      </c>
      <c r="T587" s="21" t="str">
        <f>IFERROR(IF([2]对账明细接口!$O587=0,"",[2]对账明细接口!$O587),"")</f>
        <v/>
      </c>
      <c r="U587" s="21" t="str">
        <f>IFERROR(IF([2]对账明细接口!$P587=0,"",[2]对账明细接口!$P587),"")</f>
        <v/>
      </c>
      <c r="V587" s="21" t="str">
        <f>IFERROR(IF([2]对账明细接口!$Q587=0,"",[2]对账明细接口!$Q587),"")</f>
        <v/>
      </c>
      <c r="W587" s="20" t="str">
        <f>IFERROR(IF([2]对账明细接口!$R587=0,"",[2]对账明细接口!$R587),"")</f>
        <v/>
      </c>
      <c r="X587" s="20" t="str">
        <f>IFERROR(IF([2]对账明细接口!$S587=0,"",[2]对账明细接口!$S587),"")</f>
        <v/>
      </c>
      <c r="Y587" s="20" t="str">
        <f t="shared" si="56"/>
        <v/>
      </c>
      <c r="Z587" s="20" t="str">
        <f t="shared" si="57"/>
        <v/>
      </c>
      <c r="AA587" s="20" t="str">
        <f t="shared" si="58"/>
        <v/>
      </c>
      <c r="AB587" s="20" t="str">
        <f t="shared" si="59"/>
        <v/>
      </c>
    </row>
    <row r="588" customHeight="1" spans="1:28">
      <c r="A588" s="14">
        <v>588</v>
      </c>
      <c r="B588" s="15" t="str">
        <f>IFERROR(IF([2]对账明细接口!$B$588=0,"",[2]对账明细接口!$B$588),"")</f>
        <v/>
      </c>
      <c r="C588" s="16" t="str">
        <f>IFERROR(IF([2]对账明细接口!$C$588=0,"",[2]对账明细接口!$C$588),"")</f>
        <v/>
      </c>
      <c r="D588" s="16" t="str">
        <f>IFERROR(IF([2]对账明细接口!$D$588=0,"",[2]对账明细接口!$D$588),"")</f>
        <v/>
      </c>
      <c r="E588" s="16" t="str">
        <f>IFERROR(IF([2]对账明细接口!$E$588=0,"",[2]对账明细接口!$E$588),"")</f>
        <v/>
      </c>
      <c r="F588" s="16" t="str">
        <f>IFERROR(IF([2]对账明细接口!$F$588=0,"",[2]对账明细接口!$F$588),"")</f>
        <v/>
      </c>
      <c r="G588" s="16" t="str">
        <f>IFERROR(IF([2]对账明细接口!$G$588=0,"",[2]对账明细接口!$G$588),"")</f>
        <v/>
      </c>
      <c r="H588" s="17" t="str">
        <f>IFERROR(IF([2]对账明细接口!$H$588=0,"",[2]对账明细接口!$H$588),"")</f>
        <v/>
      </c>
      <c r="I588" s="16" t="str">
        <f>IFERROR(IF([2]对账明细接口!$I$588=0,"",[2]对账明细接口!$I$588),"")</f>
        <v/>
      </c>
      <c r="J588" s="18" t="str">
        <f>IFERROR(IF([2]对账明细接口!$J$588=0,"",[2]对账明细接口!$J$588),"")</f>
        <v/>
      </c>
      <c r="K588" s="18" t="str">
        <f>IFERROR(IF([2]对账明细接口!$K$588=0,"",[2]对账明细接口!$K$588),"")</f>
        <v/>
      </c>
      <c r="L588" s="16" t="str">
        <f>IFERROR(IF([2]对账明细接口!$L$588=0,"",[2]对账明细接口!$L$588),"")</f>
        <v/>
      </c>
      <c r="M588" s="16" t="str">
        <f>IFERROR(IF([2]对账明细接口!$M$588=0,"",[2]对账明细接口!$M$588),"")</f>
        <v/>
      </c>
      <c r="N588" s="19">
        <f t="shared" si="54"/>
        <v>0</v>
      </c>
      <c r="O588" s="19">
        <f t="shared" si="55"/>
        <v>165</v>
      </c>
      <c r="S588" s="20" t="str">
        <f>IFERROR(IF([2]对账明细接口!$N588=0,"",[2]对账明细接口!$N588),"")</f>
        <v/>
      </c>
      <c r="T588" s="21" t="str">
        <f>IFERROR(IF([2]对账明细接口!$O588=0,"",[2]对账明细接口!$O588),"")</f>
        <v/>
      </c>
      <c r="U588" s="21" t="str">
        <f>IFERROR(IF([2]对账明细接口!$P588=0,"",[2]对账明细接口!$P588),"")</f>
        <v/>
      </c>
      <c r="V588" s="21" t="str">
        <f>IFERROR(IF([2]对账明细接口!$Q588=0,"",[2]对账明细接口!$Q588),"")</f>
        <v/>
      </c>
      <c r="W588" s="20" t="str">
        <f>IFERROR(IF([2]对账明细接口!$R588=0,"",[2]对账明细接口!$R588),"")</f>
        <v/>
      </c>
      <c r="X588" s="20" t="str">
        <f>IFERROR(IF([2]对账明细接口!$S588=0,"",[2]对账明细接口!$S588),"")</f>
        <v/>
      </c>
      <c r="Y588" s="20" t="str">
        <f t="shared" si="56"/>
        <v/>
      </c>
      <c r="Z588" s="20" t="str">
        <f t="shared" si="57"/>
        <v/>
      </c>
      <c r="AA588" s="20" t="str">
        <f t="shared" si="58"/>
        <v/>
      </c>
      <c r="AB588" s="20" t="str">
        <f t="shared" si="59"/>
        <v/>
      </c>
    </row>
    <row r="589" customHeight="1" spans="1:28">
      <c r="A589" s="14">
        <v>589</v>
      </c>
      <c r="B589" s="15" t="str">
        <f>IFERROR(IF([2]对账明细接口!$B$589=0,"",[2]对账明细接口!$B$589),"")</f>
        <v/>
      </c>
      <c r="C589" s="16" t="str">
        <f>IFERROR(IF([2]对账明细接口!$C$589=0,"",[2]对账明细接口!$C$589),"")</f>
        <v/>
      </c>
      <c r="D589" s="16" t="str">
        <f>IFERROR(IF([2]对账明细接口!$D$589=0,"",[2]对账明细接口!$D$589),"")</f>
        <v/>
      </c>
      <c r="E589" s="16" t="str">
        <f>IFERROR(IF([2]对账明细接口!$E$589=0,"",[2]对账明细接口!$E$589),"")</f>
        <v/>
      </c>
      <c r="F589" s="16" t="str">
        <f>IFERROR(IF([2]对账明细接口!$F$589=0,"",[2]对账明细接口!$F$589),"")</f>
        <v/>
      </c>
      <c r="G589" s="16" t="str">
        <f>IFERROR(IF([2]对账明细接口!$G$589=0,"",[2]对账明细接口!$G$589),"")</f>
        <v/>
      </c>
      <c r="H589" s="17" t="str">
        <f>IFERROR(IF([2]对账明细接口!$H$589=0,"",[2]对账明细接口!$H$589),"")</f>
        <v/>
      </c>
      <c r="I589" s="16" t="str">
        <f>IFERROR(IF([2]对账明细接口!$I$589=0,"",[2]对账明细接口!$I$589),"")</f>
        <v/>
      </c>
      <c r="J589" s="18" t="str">
        <f>IFERROR(IF([2]对账明细接口!$J$589=0,"",[2]对账明细接口!$J$589),"")</f>
        <v/>
      </c>
      <c r="K589" s="18" t="str">
        <f>IFERROR(IF([2]对账明细接口!$K$589=0,"",[2]对账明细接口!$K$589),"")</f>
        <v/>
      </c>
      <c r="L589" s="16" t="str">
        <f>IFERROR(IF([2]对账明细接口!$L$589=0,"",[2]对账明细接口!$L$589),"")</f>
        <v/>
      </c>
      <c r="M589" s="16" t="str">
        <f>IFERROR(IF([2]对账明细接口!$M$589=0,"",[2]对账明细接口!$M$589),"")</f>
        <v/>
      </c>
      <c r="N589" s="19">
        <f t="shared" si="54"/>
        <v>0</v>
      </c>
      <c r="O589" s="19">
        <f t="shared" si="55"/>
        <v>165</v>
      </c>
      <c r="S589" s="20" t="str">
        <f>IFERROR(IF([2]对账明细接口!$N589=0,"",[2]对账明细接口!$N589),"")</f>
        <v/>
      </c>
      <c r="T589" s="21" t="str">
        <f>IFERROR(IF([2]对账明细接口!$O589=0,"",[2]对账明细接口!$O589),"")</f>
        <v/>
      </c>
      <c r="U589" s="21" t="str">
        <f>IFERROR(IF([2]对账明细接口!$P589=0,"",[2]对账明细接口!$P589),"")</f>
        <v/>
      </c>
      <c r="V589" s="21" t="str">
        <f>IFERROR(IF([2]对账明细接口!$Q589=0,"",[2]对账明细接口!$Q589),"")</f>
        <v/>
      </c>
      <c r="W589" s="20" t="str">
        <f>IFERROR(IF([2]对账明细接口!$R589=0,"",[2]对账明细接口!$R589),"")</f>
        <v/>
      </c>
      <c r="X589" s="20" t="str">
        <f>IFERROR(IF([2]对账明细接口!$S589=0,"",[2]对账明细接口!$S589),"")</f>
        <v/>
      </c>
      <c r="Y589" s="20" t="str">
        <f t="shared" si="56"/>
        <v/>
      </c>
      <c r="Z589" s="20" t="str">
        <f t="shared" si="57"/>
        <v/>
      </c>
      <c r="AA589" s="20" t="str">
        <f t="shared" si="58"/>
        <v/>
      </c>
      <c r="AB589" s="20" t="str">
        <f t="shared" si="59"/>
        <v/>
      </c>
    </row>
    <row r="590" customHeight="1" spans="1:28">
      <c r="A590" s="14">
        <v>590</v>
      </c>
      <c r="B590" s="15" t="str">
        <f>IFERROR(IF([2]对账明细接口!$B$590=0,"",[2]对账明细接口!$B$590),"")</f>
        <v/>
      </c>
      <c r="C590" s="16" t="str">
        <f>IFERROR(IF([2]对账明细接口!$C$590=0,"",[2]对账明细接口!$C$590),"")</f>
        <v/>
      </c>
      <c r="D590" s="16" t="str">
        <f>IFERROR(IF([2]对账明细接口!$D$590=0,"",[2]对账明细接口!$D$590),"")</f>
        <v/>
      </c>
      <c r="E590" s="16" t="str">
        <f>IFERROR(IF([2]对账明细接口!$E$590=0,"",[2]对账明细接口!$E$590),"")</f>
        <v/>
      </c>
      <c r="F590" s="16" t="str">
        <f>IFERROR(IF([2]对账明细接口!$F$590=0,"",[2]对账明细接口!$F$590),"")</f>
        <v/>
      </c>
      <c r="G590" s="16" t="str">
        <f>IFERROR(IF([2]对账明细接口!$G$590=0,"",[2]对账明细接口!$G$590),"")</f>
        <v/>
      </c>
      <c r="H590" s="17" t="str">
        <f>IFERROR(IF([2]对账明细接口!$H$590=0,"",[2]对账明细接口!$H$590),"")</f>
        <v/>
      </c>
      <c r="I590" s="16" t="str">
        <f>IFERROR(IF([2]对账明细接口!$I$590=0,"",[2]对账明细接口!$I$590),"")</f>
        <v/>
      </c>
      <c r="J590" s="18" t="str">
        <f>IFERROR(IF([2]对账明细接口!$J$590=0,"",[2]对账明细接口!$J$590),"")</f>
        <v/>
      </c>
      <c r="K590" s="18" t="str">
        <f>IFERROR(IF([2]对账明细接口!$K$590=0,"",[2]对账明细接口!$K$590),"")</f>
        <v/>
      </c>
      <c r="L590" s="16" t="str">
        <f>IFERROR(IF([2]对账明细接口!$L$590=0,"",[2]对账明细接口!$L$590),"")</f>
        <v/>
      </c>
      <c r="M590" s="16" t="str">
        <f>IFERROR(IF([2]对账明细接口!$M$590=0,"",[2]对账明细接口!$M$590),"")</f>
        <v/>
      </c>
      <c r="N590" s="19">
        <f t="shared" si="54"/>
        <v>0</v>
      </c>
      <c r="O590" s="19">
        <f t="shared" si="55"/>
        <v>165</v>
      </c>
      <c r="S590" s="20" t="str">
        <f>IFERROR(IF([2]对账明细接口!$N590=0,"",[2]对账明细接口!$N590),"")</f>
        <v/>
      </c>
      <c r="T590" s="21" t="str">
        <f>IFERROR(IF([2]对账明细接口!$O590=0,"",[2]对账明细接口!$O590),"")</f>
        <v/>
      </c>
      <c r="U590" s="21" t="str">
        <f>IFERROR(IF([2]对账明细接口!$P590=0,"",[2]对账明细接口!$P590),"")</f>
        <v/>
      </c>
      <c r="V590" s="21" t="str">
        <f>IFERROR(IF([2]对账明细接口!$Q590=0,"",[2]对账明细接口!$Q590),"")</f>
        <v/>
      </c>
      <c r="W590" s="20" t="str">
        <f>IFERROR(IF([2]对账明细接口!$R590=0,"",[2]对账明细接口!$R590),"")</f>
        <v/>
      </c>
      <c r="X590" s="20" t="str">
        <f>IFERROR(IF([2]对账明细接口!$S590=0,"",[2]对账明细接口!$S590),"")</f>
        <v/>
      </c>
      <c r="Y590" s="20" t="str">
        <f t="shared" si="56"/>
        <v/>
      </c>
      <c r="Z590" s="20" t="str">
        <f t="shared" si="57"/>
        <v/>
      </c>
      <c r="AA590" s="20" t="str">
        <f t="shared" si="58"/>
        <v/>
      </c>
      <c r="AB590" s="20" t="str">
        <f t="shared" si="59"/>
        <v/>
      </c>
    </row>
    <row r="591" customHeight="1" spans="1:28">
      <c r="A591" s="14">
        <v>591</v>
      </c>
      <c r="B591" s="15" t="str">
        <f>IFERROR(IF([2]对账明细接口!$B$591=0,"",[2]对账明细接口!$B$591),"")</f>
        <v/>
      </c>
      <c r="C591" s="16" t="str">
        <f>IFERROR(IF([2]对账明细接口!$C$591=0,"",[2]对账明细接口!$C$591),"")</f>
        <v/>
      </c>
      <c r="D591" s="16" t="str">
        <f>IFERROR(IF([2]对账明细接口!$D$591=0,"",[2]对账明细接口!$D$591),"")</f>
        <v/>
      </c>
      <c r="E591" s="16" t="str">
        <f>IFERROR(IF([2]对账明细接口!$E$591=0,"",[2]对账明细接口!$E$591),"")</f>
        <v/>
      </c>
      <c r="F591" s="16" t="str">
        <f>IFERROR(IF([2]对账明细接口!$F$591=0,"",[2]对账明细接口!$F$591),"")</f>
        <v/>
      </c>
      <c r="G591" s="16" t="str">
        <f>IFERROR(IF([2]对账明细接口!$G$591=0,"",[2]对账明细接口!$G$591),"")</f>
        <v/>
      </c>
      <c r="H591" s="17" t="str">
        <f>IFERROR(IF([2]对账明细接口!$H$591=0,"",[2]对账明细接口!$H$591),"")</f>
        <v/>
      </c>
      <c r="I591" s="16" t="str">
        <f>IFERROR(IF([2]对账明细接口!$I$591=0,"",[2]对账明细接口!$I$591),"")</f>
        <v/>
      </c>
      <c r="J591" s="18" t="str">
        <f>IFERROR(IF([2]对账明细接口!$J$591=0,"",[2]对账明细接口!$J$591),"")</f>
        <v/>
      </c>
      <c r="K591" s="18" t="str">
        <f>IFERROR(IF([2]对账明细接口!$K$591=0,"",[2]对账明细接口!$K$591),"")</f>
        <v/>
      </c>
      <c r="L591" s="16" t="str">
        <f>IFERROR(IF([2]对账明细接口!$L$591=0,"",[2]对账明细接口!$L$591),"")</f>
        <v/>
      </c>
      <c r="M591" s="16" t="str">
        <f>IFERROR(IF([2]对账明细接口!$M$591=0,"",[2]对账明细接口!$M$591),"")</f>
        <v/>
      </c>
      <c r="N591" s="19">
        <f t="shared" si="54"/>
        <v>0</v>
      </c>
      <c r="O591" s="19">
        <f t="shared" si="55"/>
        <v>165</v>
      </c>
      <c r="S591" s="20" t="str">
        <f>IFERROR(IF([2]对账明细接口!$N591=0,"",[2]对账明细接口!$N591),"")</f>
        <v/>
      </c>
      <c r="T591" s="21" t="str">
        <f>IFERROR(IF([2]对账明细接口!$O591=0,"",[2]对账明细接口!$O591),"")</f>
        <v/>
      </c>
      <c r="U591" s="21" t="str">
        <f>IFERROR(IF([2]对账明细接口!$P591=0,"",[2]对账明细接口!$P591),"")</f>
        <v/>
      </c>
      <c r="V591" s="21" t="str">
        <f>IFERROR(IF([2]对账明细接口!$Q591=0,"",[2]对账明细接口!$Q591),"")</f>
        <v/>
      </c>
      <c r="W591" s="20" t="str">
        <f>IFERROR(IF([2]对账明细接口!$R591=0,"",[2]对账明细接口!$R591),"")</f>
        <v/>
      </c>
      <c r="X591" s="20" t="str">
        <f>IFERROR(IF([2]对账明细接口!$S591=0,"",[2]对账明细接口!$S591),"")</f>
        <v/>
      </c>
      <c r="Y591" s="20" t="str">
        <f t="shared" si="56"/>
        <v/>
      </c>
      <c r="Z591" s="20" t="str">
        <f t="shared" si="57"/>
        <v/>
      </c>
      <c r="AA591" s="20" t="str">
        <f t="shared" si="58"/>
        <v/>
      </c>
      <c r="AB591" s="20" t="str">
        <f t="shared" si="59"/>
        <v/>
      </c>
    </row>
    <row r="592" customHeight="1" spans="1:28">
      <c r="A592" s="14">
        <v>592</v>
      </c>
      <c r="B592" s="15" t="str">
        <f>IFERROR(IF([2]对账明细接口!$B$592=0,"",[2]对账明细接口!$B$592),"")</f>
        <v/>
      </c>
      <c r="C592" s="16" t="str">
        <f>IFERROR(IF([2]对账明细接口!$C$592=0,"",[2]对账明细接口!$C$592),"")</f>
        <v/>
      </c>
      <c r="D592" s="16" t="str">
        <f>IFERROR(IF([2]对账明细接口!$D$592=0,"",[2]对账明细接口!$D$592),"")</f>
        <v/>
      </c>
      <c r="E592" s="16" t="str">
        <f>IFERROR(IF([2]对账明细接口!$E$592=0,"",[2]对账明细接口!$E$592),"")</f>
        <v/>
      </c>
      <c r="F592" s="16" t="str">
        <f>IFERROR(IF([2]对账明细接口!$F$592=0,"",[2]对账明细接口!$F$592),"")</f>
        <v/>
      </c>
      <c r="G592" s="16" t="str">
        <f>IFERROR(IF([2]对账明细接口!$G$592=0,"",[2]对账明细接口!$G$592),"")</f>
        <v/>
      </c>
      <c r="H592" s="17" t="str">
        <f>IFERROR(IF([2]对账明细接口!$H$592=0,"",[2]对账明细接口!$H$592),"")</f>
        <v/>
      </c>
      <c r="I592" s="16" t="str">
        <f>IFERROR(IF([2]对账明细接口!$I$592=0,"",[2]对账明细接口!$I$592),"")</f>
        <v/>
      </c>
      <c r="J592" s="18" t="str">
        <f>IFERROR(IF([2]对账明细接口!$J$592=0,"",[2]对账明细接口!$J$592),"")</f>
        <v/>
      </c>
      <c r="K592" s="18" t="str">
        <f>IFERROR(IF([2]对账明细接口!$K$592=0,"",[2]对账明细接口!$K$592),"")</f>
        <v/>
      </c>
      <c r="L592" s="16" t="str">
        <f>IFERROR(IF([2]对账明细接口!$L$592=0,"",[2]对账明细接口!$L$592),"")</f>
        <v/>
      </c>
      <c r="M592" s="16" t="str">
        <f>IFERROR(IF([2]对账明细接口!$M$592=0,"",[2]对账明细接口!$M$592),"")</f>
        <v/>
      </c>
      <c r="N592" s="19">
        <f t="shared" si="54"/>
        <v>0</v>
      </c>
      <c r="O592" s="19">
        <f t="shared" si="55"/>
        <v>165</v>
      </c>
      <c r="S592" s="20" t="str">
        <f>IFERROR(IF([2]对账明细接口!$N592=0,"",[2]对账明细接口!$N592),"")</f>
        <v/>
      </c>
      <c r="T592" s="21" t="str">
        <f>IFERROR(IF([2]对账明细接口!$O592=0,"",[2]对账明细接口!$O592),"")</f>
        <v/>
      </c>
      <c r="U592" s="21" t="str">
        <f>IFERROR(IF([2]对账明细接口!$P592=0,"",[2]对账明细接口!$P592),"")</f>
        <v/>
      </c>
      <c r="V592" s="21" t="str">
        <f>IFERROR(IF([2]对账明细接口!$Q592=0,"",[2]对账明细接口!$Q592),"")</f>
        <v/>
      </c>
      <c r="W592" s="20" t="str">
        <f>IFERROR(IF([2]对账明细接口!$R592=0,"",[2]对账明细接口!$R592),"")</f>
        <v/>
      </c>
      <c r="X592" s="20" t="str">
        <f>IFERROR(IF([2]对账明细接口!$S592=0,"",[2]对账明细接口!$S592),"")</f>
        <v/>
      </c>
      <c r="Y592" s="20" t="str">
        <f t="shared" si="56"/>
        <v/>
      </c>
      <c r="Z592" s="20" t="str">
        <f t="shared" si="57"/>
        <v/>
      </c>
      <c r="AA592" s="20" t="str">
        <f t="shared" si="58"/>
        <v/>
      </c>
      <c r="AB592" s="20" t="str">
        <f t="shared" si="59"/>
        <v/>
      </c>
    </row>
    <row r="593" customHeight="1" spans="1:28">
      <c r="A593" s="14">
        <v>593</v>
      </c>
      <c r="B593" s="15" t="str">
        <f>IFERROR(IF([2]对账明细接口!$B$593=0,"",[2]对账明细接口!$B$593),"")</f>
        <v/>
      </c>
      <c r="C593" s="16" t="str">
        <f>IFERROR(IF([2]对账明细接口!$C$593=0,"",[2]对账明细接口!$C$593),"")</f>
        <v/>
      </c>
      <c r="D593" s="16" t="str">
        <f>IFERROR(IF([2]对账明细接口!$D$593=0,"",[2]对账明细接口!$D$593),"")</f>
        <v/>
      </c>
      <c r="E593" s="16" t="str">
        <f>IFERROR(IF([2]对账明细接口!$E$593=0,"",[2]对账明细接口!$E$593),"")</f>
        <v/>
      </c>
      <c r="F593" s="16" t="str">
        <f>IFERROR(IF([2]对账明细接口!$F$593=0,"",[2]对账明细接口!$F$593),"")</f>
        <v/>
      </c>
      <c r="G593" s="16" t="str">
        <f>IFERROR(IF([2]对账明细接口!$G$593=0,"",[2]对账明细接口!$G$593),"")</f>
        <v/>
      </c>
      <c r="H593" s="17" t="str">
        <f>IFERROR(IF([2]对账明细接口!$H$593=0,"",[2]对账明细接口!$H$593),"")</f>
        <v/>
      </c>
      <c r="I593" s="16" t="str">
        <f>IFERROR(IF([2]对账明细接口!$I$593=0,"",[2]对账明细接口!$I$593),"")</f>
        <v/>
      </c>
      <c r="J593" s="18" t="str">
        <f>IFERROR(IF([2]对账明细接口!$J$593=0,"",[2]对账明细接口!$J$593),"")</f>
        <v/>
      </c>
      <c r="K593" s="18" t="str">
        <f>IFERROR(IF([2]对账明细接口!$K$593=0,"",[2]对账明细接口!$K$593),"")</f>
        <v/>
      </c>
      <c r="L593" s="16" t="str">
        <f>IFERROR(IF([2]对账明细接口!$L$593=0,"",[2]对账明细接口!$L$593),"")</f>
        <v/>
      </c>
      <c r="M593" s="16" t="str">
        <f>IFERROR(IF([2]对账明细接口!$M$593=0,"",[2]对账明细接口!$M$593),"")</f>
        <v/>
      </c>
      <c r="N593" s="19">
        <f t="shared" si="54"/>
        <v>0</v>
      </c>
      <c r="O593" s="19">
        <f t="shared" si="55"/>
        <v>165</v>
      </c>
      <c r="S593" s="20" t="str">
        <f>IFERROR(IF([2]对账明细接口!$N593=0,"",[2]对账明细接口!$N593),"")</f>
        <v/>
      </c>
      <c r="T593" s="21" t="str">
        <f>IFERROR(IF([2]对账明细接口!$O593=0,"",[2]对账明细接口!$O593),"")</f>
        <v/>
      </c>
      <c r="U593" s="21" t="str">
        <f>IFERROR(IF([2]对账明细接口!$P593=0,"",[2]对账明细接口!$P593),"")</f>
        <v/>
      </c>
      <c r="V593" s="21" t="str">
        <f>IFERROR(IF([2]对账明细接口!$Q593=0,"",[2]对账明细接口!$Q593),"")</f>
        <v/>
      </c>
      <c r="W593" s="20" t="str">
        <f>IFERROR(IF([2]对账明细接口!$R593=0,"",[2]对账明细接口!$R593),"")</f>
        <v/>
      </c>
      <c r="X593" s="20" t="str">
        <f>IFERROR(IF([2]对账明细接口!$S593=0,"",[2]对账明细接口!$S593),"")</f>
        <v/>
      </c>
      <c r="Y593" s="20" t="str">
        <f t="shared" si="56"/>
        <v/>
      </c>
      <c r="Z593" s="20" t="str">
        <f t="shared" si="57"/>
        <v/>
      </c>
      <c r="AA593" s="20" t="str">
        <f t="shared" si="58"/>
        <v/>
      </c>
      <c r="AB593" s="20" t="str">
        <f t="shared" si="59"/>
        <v/>
      </c>
    </row>
    <row r="594" customHeight="1" spans="1:28">
      <c r="A594" s="14">
        <v>594</v>
      </c>
      <c r="B594" s="15" t="str">
        <f>IFERROR(IF([2]对账明细接口!$B$594=0,"",[2]对账明细接口!$B$594),"")</f>
        <v/>
      </c>
      <c r="C594" s="16" t="str">
        <f>IFERROR(IF([2]对账明细接口!$C$594=0,"",[2]对账明细接口!$C$594),"")</f>
        <v/>
      </c>
      <c r="D594" s="16" t="str">
        <f>IFERROR(IF([2]对账明细接口!$D$594=0,"",[2]对账明细接口!$D$594),"")</f>
        <v/>
      </c>
      <c r="E594" s="16" t="str">
        <f>IFERROR(IF([2]对账明细接口!$E$594=0,"",[2]对账明细接口!$E$594),"")</f>
        <v/>
      </c>
      <c r="F594" s="16" t="str">
        <f>IFERROR(IF([2]对账明细接口!$F$594=0,"",[2]对账明细接口!$F$594),"")</f>
        <v/>
      </c>
      <c r="G594" s="16" t="str">
        <f>IFERROR(IF([2]对账明细接口!$G$594=0,"",[2]对账明细接口!$G$594),"")</f>
        <v/>
      </c>
      <c r="H594" s="17" t="str">
        <f>IFERROR(IF([2]对账明细接口!$H$594=0,"",[2]对账明细接口!$H$594),"")</f>
        <v/>
      </c>
      <c r="I594" s="16" t="str">
        <f>IFERROR(IF([2]对账明细接口!$I$594=0,"",[2]对账明细接口!$I$594),"")</f>
        <v/>
      </c>
      <c r="J594" s="18" t="str">
        <f>IFERROR(IF([2]对账明细接口!$J$594=0,"",[2]对账明细接口!$J$594),"")</f>
        <v/>
      </c>
      <c r="K594" s="18" t="str">
        <f>IFERROR(IF([2]对账明细接口!$K$594=0,"",[2]对账明细接口!$K$594),"")</f>
        <v/>
      </c>
      <c r="L594" s="16" t="str">
        <f>IFERROR(IF([2]对账明细接口!$L$594=0,"",[2]对账明细接口!$L$594),"")</f>
        <v/>
      </c>
      <c r="M594" s="16" t="str">
        <f>IFERROR(IF([2]对账明细接口!$M$594=0,"",[2]对账明细接口!$M$594),"")</f>
        <v/>
      </c>
      <c r="N594" s="19">
        <f t="shared" si="54"/>
        <v>0</v>
      </c>
      <c r="O594" s="19">
        <f t="shared" si="55"/>
        <v>165</v>
      </c>
      <c r="S594" s="20" t="str">
        <f>IFERROR(IF([2]对账明细接口!$N594=0,"",[2]对账明细接口!$N594),"")</f>
        <v/>
      </c>
      <c r="T594" s="21" t="str">
        <f>IFERROR(IF([2]对账明细接口!$O594=0,"",[2]对账明细接口!$O594),"")</f>
        <v/>
      </c>
      <c r="U594" s="21" t="str">
        <f>IFERROR(IF([2]对账明细接口!$P594=0,"",[2]对账明细接口!$P594),"")</f>
        <v/>
      </c>
      <c r="V594" s="21" t="str">
        <f>IFERROR(IF([2]对账明细接口!$Q594=0,"",[2]对账明细接口!$Q594),"")</f>
        <v/>
      </c>
      <c r="W594" s="20" t="str">
        <f>IFERROR(IF([2]对账明细接口!$R594=0,"",[2]对账明细接口!$R594),"")</f>
        <v/>
      </c>
      <c r="X594" s="20" t="str">
        <f>IFERROR(IF([2]对账明细接口!$S594=0,"",[2]对账明细接口!$S594),"")</f>
        <v/>
      </c>
      <c r="Y594" s="20" t="str">
        <f t="shared" si="56"/>
        <v/>
      </c>
      <c r="Z594" s="20" t="str">
        <f t="shared" si="57"/>
        <v/>
      </c>
      <c r="AA594" s="20" t="str">
        <f t="shared" si="58"/>
        <v/>
      </c>
      <c r="AB594" s="20" t="str">
        <f t="shared" si="59"/>
        <v/>
      </c>
    </row>
    <row r="595" customHeight="1" spans="1:28">
      <c r="A595" s="14">
        <v>595</v>
      </c>
      <c r="B595" s="15" t="str">
        <f>IFERROR(IF([2]对账明细接口!$B$595=0,"",[2]对账明细接口!$B$595),"")</f>
        <v/>
      </c>
      <c r="C595" s="16" t="str">
        <f>IFERROR(IF([2]对账明细接口!$C$595=0,"",[2]对账明细接口!$C$595),"")</f>
        <v/>
      </c>
      <c r="D595" s="16" t="str">
        <f>IFERROR(IF([2]对账明细接口!$D$595=0,"",[2]对账明细接口!$D$595),"")</f>
        <v/>
      </c>
      <c r="E595" s="16" t="str">
        <f>IFERROR(IF([2]对账明细接口!$E$595=0,"",[2]对账明细接口!$E$595),"")</f>
        <v/>
      </c>
      <c r="F595" s="16" t="str">
        <f>IFERROR(IF([2]对账明细接口!$F$595=0,"",[2]对账明细接口!$F$595),"")</f>
        <v/>
      </c>
      <c r="G595" s="16" t="str">
        <f>IFERROR(IF([2]对账明细接口!$G$595=0,"",[2]对账明细接口!$G$595),"")</f>
        <v/>
      </c>
      <c r="H595" s="17" t="str">
        <f>IFERROR(IF([2]对账明细接口!$H$595=0,"",[2]对账明细接口!$H$595),"")</f>
        <v/>
      </c>
      <c r="I595" s="16" t="str">
        <f>IFERROR(IF([2]对账明细接口!$I$595=0,"",[2]对账明细接口!$I$595),"")</f>
        <v/>
      </c>
      <c r="J595" s="18" t="str">
        <f>IFERROR(IF([2]对账明细接口!$J$595=0,"",[2]对账明细接口!$J$595),"")</f>
        <v/>
      </c>
      <c r="K595" s="18" t="str">
        <f>IFERROR(IF([2]对账明细接口!$K$595=0,"",[2]对账明细接口!$K$595),"")</f>
        <v/>
      </c>
      <c r="L595" s="16" t="str">
        <f>IFERROR(IF([2]对账明细接口!$L$595=0,"",[2]对账明细接口!$L$595),"")</f>
        <v/>
      </c>
      <c r="M595" s="16" t="str">
        <f>IFERROR(IF([2]对账明细接口!$M$595=0,"",[2]对账明细接口!$M$595),"")</f>
        <v/>
      </c>
      <c r="N595" s="19">
        <f t="shared" si="54"/>
        <v>0</v>
      </c>
      <c r="O595" s="19">
        <f t="shared" si="55"/>
        <v>165</v>
      </c>
      <c r="S595" s="20" t="str">
        <f>IFERROR(IF([2]对账明细接口!$N595=0,"",[2]对账明细接口!$N595),"")</f>
        <v/>
      </c>
      <c r="T595" s="21" t="str">
        <f>IFERROR(IF([2]对账明细接口!$O595=0,"",[2]对账明细接口!$O595),"")</f>
        <v/>
      </c>
      <c r="U595" s="21" t="str">
        <f>IFERROR(IF([2]对账明细接口!$P595=0,"",[2]对账明细接口!$P595),"")</f>
        <v/>
      </c>
      <c r="V595" s="21" t="str">
        <f>IFERROR(IF([2]对账明细接口!$Q595=0,"",[2]对账明细接口!$Q595),"")</f>
        <v/>
      </c>
      <c r="W595" s="20" t="str">
        <f>IFERROR(IF([2]对账明细接口!$R595=0,"",[2]对账明细接口!$R595),"")</f>
        <v/>
      </c>
      <c r="X595" s="20" t="str">
        <f>IFERROR(IF([2]对账明细接口!$S595=0,"",[2]对账明细接口!$S595),"")</f>
        <v/>
      </c>
      <c r="Y595" s="20" t="str">
        <f t="shared" si="56"/>
        <v/>
      </c>
      <c r="Z595" s="20" t="str">
        <f t="shared" si="57"/>
        <v/>
      </c>
      <c r="AA595" s="20" t="str">
        <f t="shared" si="58"/>
        <v/>
      </c>
      <c r="AB595" s="20" t="str">
        <f t="shared" si="59"/>
        <v/>
      </c>
    </row>
    <row r="596" customHeight="1" spans="1:28">
      <c r="A596" s="14">
        <v>596</v>
      </c>
      <c r="B596" s="15" t="str">
        <f>IFERROR(IF([2]对账明细接口!$B$596=0,"",[2]对账明细接口!$B$596),"")</f>
        <v/>
      </c>
      <c r="C596" s="16" t="str">
        <f>IFERROR(IF([2]对账明细接口!$C$596=0,"",[2]对账明细接口!$C$596),"")</f>
        <v/>
      </c>
      <c r="D596" s="16" t="str">
        <f>IFERROR(IF([2]对账明细接口!$D$596=0,"",[2]对账明细接口!$D$596),"")</f>
        <v/>
      </c>
      <c r="E596" s="16" t="str">
        <f>IFERROR(IF([2]对账明细接口!$E$596=0,"",[2]对账明细接口!$E$596),"")</f>
        <v/>
      </c>
      <c r="F596" s="16" t="str">
        <f>IFERROR(IF([2]对账明细接口!$F$596=0,"",[2]对账明细接口!$F$596),"")</f>
        <v/>
      </c>
      <c r="G596" s="16" t="str">
        <f>IFERROR(IF([2]对账明细接口!$G$596=0,"",[2]对账明细接口!$G$596),"")</f>
        <v/>
      </c>
      <c r="H596" s="17" t="str">
        <f>IFERROR(IF([2]对账明细接口!$H$596=0,"",[2]对账明细接口!$H$596),"")</f>
        <v/>
      </c>
      <c r="I596" s="16" t="str">
        <f>IFERROR(IF([2]对账明细接口!$I$596=0,"",[2]对账明细接口!$I$596),"")</f>
        <v/>
      </c>
      <c r="J596" s="18" t="str">
        <f>IFERROR(IF([2]对账明细接口!$J$596=0,"",[2]对账明细接口!$J$596),"")</f>
        <v/>
      </c>
      <c r="K596" s="18" t="str">
        <f>IFERROR(IF([2]对账明细接口!$K$596=0,"",[2]对账明细接口!$K$596),"")</f>
        <v/>
      </c>
      <c r="L596" s="16" t="str">
        <f>IFERROR(IF([2]对账明细接口!$L$596=0,"",[2]对账明细接口!$L$596),"")</f>
        <v/>
      </c>
      <c r="M596" s="16" t="str">
        <f>IFERROR(IF([2]对账明细接口!$M$596=0,"",[2]对账明细接口!$M$596),"")</f>
        <v/>
      </c>
      <c r="N596" s="19">
        <f t="shared" si="54"/>
        <v>0</v>
      </c>
      <c r="O596" s="19">
        <f t="shared" si="55"/>
        <v>165</v>
      </c>
      <c r="S596" s="20" t="str">
        <f>IFERROR(IF([2]对账明细接口!$N596=0,"",[2]对账明细接口!$N596),"")</f>
        <v/>
      </c>
      <c r="T596" s="21" t="str">
        <f>IFERROR(IF([2]对账明细接口!$O596=0,"",[2]对账明细接口!$O596),"")</f>
        <v/>
      </c>
      <c r="U596" s="21" t="str">
        <f>IFERROR(IF([2]对账明细接口!$P596=0,"",[2]对账明细接口!$P596),"")</f>
        <v/>
      </c>
      <c r="V596" s="21" t="str">
        <f>IFERROR(IF([2]对账明细接口!$Q596=0,"",[2]对账明细接口!$Q596),"")</f>
        <v/>
      </c>
      <c r="W596" s="20" t="str">
        <f>IFERROR(IF([2]对账明细接口!$R596=0,"",[2]对账明细接口!$R596),"")</f>
        <v/>
      </c>
      <c r="X596" s="20" t="str">
        <f>IFERROR(IF([2]对账明细接口!$S596=0,"",[2]对账明细接口!$S596),"")</f>
        <v/>
      </c>
      <c r="Y596" s="20" t="str">
        <f t="shared" si="56"/>
        <v/>
      </c>
      <c r="Z596" s="20" t="str">
        <f t="shared" si="57"/>
        <v/>
      </c>
      <c r="AA596" s="20" t="str">
        <f t="shared" si="58"/>
        <v/>
      </c>
      <c r="AB596" s="20" t="str">
        <f t="shared" si="59"/>
        <v/>
      </c>
    </row>
    <row r="597" customHeight="1" spans="1:28">
      <c r="A597" s="14">
        <v>597</v>
      </c>
      <c r="B597" s="15" t="str">
        <f>IFERROR(IF([2]对账明细接口!$B$597=0,"",[2]对账明细接口!$B$597),"")</f>
        <v/>
      </c>
      <c r="C597" s="16" t="str">
        <f>IFERROR(IF([2]对账明细接口!$C$597=0,"",[2]对账明细接口!$C$597),"")</f>
        <v/>
      </c>
      <c r="D597" s="16" t="str">
        <f>IFERROR(IF([2]对账明细接口!$D$597=0,"",[2]对账明细接口!$D$597),"")</f>
        <v/>
      </c>
      <c r="E597" s="16" t="str">
        <f>IFERROR(IF([2]对账明细接口!$E$597=0,"",[2]对账明细接口!$E$597),"")</f>
        <v/>
      </c>
      <c r="F597" s="16" t="str">
        <f>IFERROR(IF([2]对账明细接口!$F$597=0,"",[2]对账明细接口!$F$597),"")</f>
        <v/>
      </c>
      <c r="G597" s="16" t="str">
        <f>IFERROR(IF([2]对账明细接口!$G$597=0,"",[2]对账明细接口!$G$597),"")</f>
        <v/>
      </c>
      <c r="H597" s="17" t="str">
        <f>IFERROR(IF([2]对账明细接口!$H$597=0,"",[2]对账明细接口!$H$597),"")</f>
        <v/>
      </c>
      <c r="I597" s="16" t="str">
        <f>IFERROR(IF([2]对账明细接口!$I$597=0,"",[2]对账明细接口!$I$597),"")</f>
        <v/>
      </c>
      <c r="J597" s="18" t="str">
        <f>IFERROR(IF([2]对账明细接口!$J$597=0,"",[2]对账明细接口!$J$597),"")</f>
        <v/>
      </c>
      <c r="K597" s="18" t="str">
        <f>IFERROR(IF([2]对账明细接口!$K$597=0,"",[2]对账明细接口!$K$597),"")</f>
        <v/>
      </c>
      <c r="L597" s="16" t="str">
        <f>IFERROR(IF([2]对账明细接口!$L$597=0,"",[2]对账明细接口!$L$597),"")</f>
        <v/>
      </c>
      <c r="M597" s="16" t="str">
        <f>IFERROR(IF([2]对账明细接口!$M$597=0,"",[2]对账明细接口!$M$597),"")</f>
        <v/>
      </c>
      <c r="N597" s="19">
        <f t="shared" si="54"/>
        <v>0</v>
      </c>
      <c r="O597" s="19">
        <f t="shared" si="55"/>
        <v>165</v>
      </c>
      <c r="S597" s="20" t="str">
        <f>IFERROR(IF([2]对账明细接口!$N597=0,"",[2]对账明细接口!$N597),"")</f>
        <v/>
      </c>
      <c r="T597" s="21" t="str">
        <f>IFERROR(IF([2]对账明细接口!$O597=0,"",[2]对账明细接口!$O597),"")</f>
        <v/>
      </c>
      <c r="U597" s="21" t="str">
        <f>IFERROR(IF([2]对账明细接口!$P597=0,"",[2]对账明细接口!$P597),"")</f>
        <v/>
      </c>
      <c r="V597" s="21" t="str">
        <f>IFERROR(IF([2]对账明细接口!$Q597=0,"",[2]对账明细接口!$Q597),"")</f>
        <v/>
      </c>
      <c r="W597" s="20" t="str">
        <f>IFERROR(IF([2]对账明细接口!$R597=0,"",[2]对账明细接口!$R597),"")</f>
        <v/>
      </c>
      <c r="X597" s="20" t="str">
        <f>IFERROR(IF([2]对账明细接口!$S597=0,"",[2]对账明细接口!$S597),"")</f>
        <v/>
      </c>
      <c r="Y597" s="20" t="str">
        <f t="shared" si="56"/>
        <v/>
      </c>
      <c r="Z597" s="20" t="str">
        <f t="shared" si="57"/>
        <v/>
      </c>
      <c r="AA597" s="20" t="str">
        <f t="shared" si="58"/>
        <v/>
      </c>
      <c r="AB597" s="20" t="str">
        <f t="shared" si="59"/>
        <v/>
      </c>
    </row>
    <row r="598" customHeight="1" spans="1:28">
      <c r="A598" s="14">
        <v>598</v>
      </c>
      <c r="B598" s="15" t="str">
        <f>IFERROR(IF([2]对账明细接口!$B$598=0,"",[2]对账明细接口!$B$598),"")</f>
        <v/>
      </c>
      <c r="C598" s="16" t="str">
        <f>IFERROR(IF([2]对账明细接口!$C$598=0,"",[2]对账明细接口!$C$598),"")</f>
        <v/>
      </c>
      <c r="D598" s="16" t="str">
        <f>IFERROR(IF([2]对账明细接口!$D$598=0,"",[2]对账明细接口!$D$598),"")</f>
        <v/>
      </c>
      <c r="E598" s="16" t="str">
        <f>IFERROR(IF([2]对账明细接口!$E$598=0,"",[2]对账明细接口!$E$598),"")</f>
        <v/>
      </c>
      <c r="F598" s="16" t="str">
        <f>IFERROR(IF([2]对账明细接口!$F$598=0,"",[2]对账明细接口!$F$598),"")</f>
        <v/>
      </c>
      <c r="G598" s="16" t="str">
        <f>IFERROR(IF([2]对账明细接口!$G$598=0,"",[2]对账明细接口!$G$598),"")</f>
        <v/>
      </c>
      <c r="H598" s="17" t="str">
        <f>IFERROR(IF([2]对账明细接口!$H$598=0,"",[2]对账明细接口!$H$598),"")</f>
        <v/>
      </c>
      <c r="I598" s="16" t="str">
        <f>IFERROR(IF([2]对账明细接口!$I$598=0,"",[2]对账明细接口!$I$598),"")</f>
        <v/>
      </c>
      <c r="J598" s="18" t="str">
        <f>IFERROR(IF([2]对账明细接口!$J$598=0,"",[2]对账明细接口!$J$598),"")</f>
        <v/>
      </c>
      <c r="K598" s="18" t="str">
        <f>IFERROR(IF([2]对账明细接口!$K$598=0,"",[2]对账明细接口!$K$598),"")</f>
        <v/>
      </c>
      <c r="L598" s="16" t="str">
        <f>IFERROR(IF([2]对账明细接口!$L$598=0,"",[2]对账明细接口!$L$598),"")</f>
        <v/>
      </c>
      <c r="M598" s="16" t="str">
        <f>IFERROR(IF([2]对账明细接口!$M$598=0,"",[2]对账明细接口!$M$598),"")</f>
        <v/>
      </c>
      <c r="N598" s="19">
        <f t="shared" si="54"/>
        <v>0</v>
      </c>
      <c r="O598" s="19">
        <f t="shared" si="55"/>
        <v>165</v>
      </c>
      <c r="S598" s="20" t="str">
        <f>IFERROR(IF([2]对账明细接口!$N598=0,"",[2]对账明细接口!$N598),"")</f>
        <v/>
      </c>
      <c r="T598" s="21" t="str">
        <f>IFERROR(IF([2]对账明细接口!$O598=0,"",[2]对账明细接口!$O598),"")</f>
        <v/>
      </c>
      <c r="U598" s="21" t="str">
        <f>IFERROR(IF([2]对账明细接口!$P598=0,"",[2]对账明细接口!$P598),"")</f>
        <v/>
      </c>
      <c r="V598" s="21" t="str">
        <f>IFERROR(IF([2]对账明细接口!$Q598=0,"",[2]对账明细接口!$Q598),"")</f>
        <v/>
      </c>
      <c r="W598" s="20" t="str">
        <f>IFERROR(IF([2]对账明细接口!$R598=0,"",[2]对账明细接口!$R598),"")</f>
        <v/>
      </c>
      <c r="X598" s="20" t="str">
        <f>IFERROR(IF([2]对账明细接口!$S598=0,"",[2]对账明细接口!$S598),"")</f>
        <v/>
      </c>
      <c r="Y598" s="20" t="str">
        <f t="shared" si="56"/>
        <v/>
      </c>
      <c r="Z598" s="20" t="str">
        <f t="shared" si="57"/>
        <v/>
      </c>
      <c r="AA598" s="20" t="str">
        <f t="shared" si="58"/>
        <v/>
      </c>
      <c r="AB598" s="20" t="str">
        <f t="shared" si="59"/>
        <v/>
      </c>
    </row>
    <row r="599" customHeight="1" spans="1:28">
      <c r="A599" s="14">
        <v>599</v>
      </c>
      <c r="B599" s="15" t="str">
        <f>IFERROR(IF([2]对账明细接口!$B$599=0,"",[2]对账明细接口!$B$599),"")</f>
        <v/>
      </c>
      <c r="C599" s="16" t="str">
        <f>IFERROR(IF([2]对账明细接口!$C$599=0,"",[2]对账明细接口!$C$599),"")</f>
        <v/>
      </c>
      <c r="D599" s="16" t="str">
        <f>IFERROR(IF([2]对账明细接口!$D$599=0,"",[2]对账明细接口!$D$599),"")</f>
        <v/>
      </c>
      <c r="E599" s="16" t="str">
        <f>IFERROR(IF([2]对账明细接口!$E$599=0,"",[2]对账明细接口!$E$599),"")</f>
        <v/>
      </c>
      <c r="F599" s="16" t="str">
        <f>IFERROR(IF([2]对账明细接口!$F$599=0,"",[2]对账明细接口!$F$599),"")</f>
        <v/>
      </c>
      <c r="G599" s="16" t="str">
        <f>IFERROR(IF([2]对账明细接口!$G$599=0,"",[2]对账明细接口!$G$599),"")</f>
        <v/>
      </c>
      <c r="H599" s="17" t="str">
        <f>IFERROR(IF([2]对账明细接口!$H$599=0,"",[2]对账明细接口!$H$599),"")</f>
        <v/>
      </c>
      <c r="I599" s="16" t="str">
        <f>IFERROR(IF([2]对账明细接口!$I$599=0,"",[2]对账明细接口!$I$599),"")</f>
        <v/>
      </c>
      <c r="J599" s="18" t="str">
        <f>IFERROR(IF([2]对账明细接口!$J$599=0,"",[2]对账明细接口!$J$599),"")</f>
        <v/>
      </c>
      <c r="K599" s="18" t="str">
        <f>IFERROR(IF([2]对账明细接口!$K$599=0,"",[2]对账明细接口!$K$599),"")</f>
        <v/>
      </c>
      <c r="L599" s="16" t="str">
        <f>IFERROR(IF([2]对账明细接口!$L$599=0,"",[2]对账明细接口!$L$599),"")</f>
        <v/>
      </c>
      <c r="M599" s="16" t="str">
        <f>IFERROR(IF([2]对账明细接口!$M$599=0,"",[2]对账明细接口!$M$599),"")</f>
        <v/>
      </c>
      <c r="N599" s="19">
        <f t="shared" si="54"/>
        <v>0</v>
      </c>
      <c r="O599" s="19">
        <f t="shared" si="55"/>
        <v>165</v>
      </c>
      <c r="S599" s="20" t="str">
        <f>IFERROR(IF([2]对账明细接口!$N599=0,"",[2]对账明细接口!$N599),"")</f>
        <v/>
      </c>
      <c r="T599" s="21" t="str">
        <f>IFERROR(IF([2]对账明细接口!$O599=0,"",[2]对账明细接口!$O599),"")</f>
        <v/>
      </c>
      <c r="U599" s="21" t="str">
        <f>IFERROR(IF([2]对账明细接口!$P599=0,"",[2]对账明细接口!$P599),"")</f>
        <v/>
      </c>
      <c r="V599" s="21" t="str">
        <f>IFERROR(IF([2]对账明细接口!$Q599=0,"",[2]对账明细接口!$Q599),"")</f>
        <v/>
      </c>
      <c r="W599" s="20" t="str">
        <f>IFERROR(IF([2]对账明细接口!$R599=0,"",[2]对账明细接口!$R599),"")</f>
        <v/>
      </c>
      <c r="X599" s="20" t="str">
        <f>IFERROR(IF([2]对账明细接口!$S599=0,"",[2]对账明细接口!$S599),"")</f>
        <v/>
      </c>
      <c r="Y599" s="20" t="str">
        <f t="shared" si="56"/>
        <v/>
      </c>
      <c r="Z599" s="20" t="str">
        <f t="shared" si="57"/>
        <v/>
      </c>
      <c r="AA599" s="20" t="str">
        <f t="shared" si="58"/>
        <v/>
      </c>
      <c r="AB599" s="20" t="str">
        <f t="shared" si="59"/>
        <v/>
      </c>
    </row>
    <row r="600" customHeight="1" spans="1:28">
      <c r="A600" s="14">
        <v>600</v>
      </c>
      <c r="B600" s="15" t="str">
        <f>IFERROR(IF([2]对账明细接口!$B$600=0,"",[2]对账明细接口!$B$600),"")</f>
        <v/>
      </c>
      <c r="C600" s="16" t="str">
        <f>IFERROR(IF([2]对账明细接口!$C$600=0,"",[2]对账明细接口!$C$600),"")</f>
        <v/>
      </c>
      <c r="D600" s="16" t="str">
        <f>IFERROR(IF([2]对账明细接口!$D$600=0,"",[2]对账明细接口!$D$600),"")</f>
        <v/>
      </c>
      <c r="E600" s="16" t="str">
        <f>IFERROR(IF([2]对账明细接口!$E$600=0,"",[2]对账明细接口!$E$600),"")</f>
        <v/>
      </c>
      <c r="F600" s="16" t="str">
        <f>IFERROR(IF([2]对账明细接口!$F$600=0,"",[2]对账明细接口!$F$600),"")</f>
        <v/>
      </c>
      <c r="G600" s="16" t="str">
        <f>IFERROR(IF([2]对账明细接口!$G$600=0,"",[2]对账明细接口!$G$600),"")</f>
        <v/>
      </c>
      <c r="H600" s="17" t="str">
        <f>IFERROR(IF([2]对账明细接口!$H$600=0,"",[2]对账明细接口!$H$600),"")</f>
        <v/>
      </c>
      <c r="I600" s="16" t="str">
        <f>IFERROR(IF([2]对账明细接口!$I$600=0,"",[2]对账明细接口!$I$600),"")</f>
        <v/>
      </c>
      <c r="J600" s="18" t="str">
        <f>IFERROR(IF([2]对账明细接口!$J$600=0,"",[2]对账明细接口!$J$600),"")</f>
        <v/>
      </c>
      <c r="K600" s="18" t="str">
        <f>IFERROR(IF([2]对账明细接口!$K$600=0,"",[2]对账明细接口!$K$600),"")</f>
        <v/>
      </c>
      <c r="L600" s="16" t="str">
        <f>IFERROR(IF([2]对账明细接口!$L$600=0,"",[2]对账明细接口!$L$600),"")</f>
        <v/>
      </c>
      <c r="M600" s="16" t="str">
        <f>IFERROR(IF([2]对账明细接口!$M$600=0,"",[2]对账明细接口!$M$600),"")</f>
        <v/>
      </c>
      <c r="N600" s="19">
        <f t="shared" si="54"/>
        <v>0</v>
      </c>
      <c r="O600" s="19">
        <f t="shared" si="55"/>
        <v>165</v>
      </c>
      <c r="S600" s="20" t="str">
        <f>IFERROR(IF([2]对账明细接口!$N600=0,"",[2]对账明细接口!$N600),"")</f>
        <v/>
      </c>
      <c r="T600" s="21" t="str">
        <f>IFERROR(IF([2]对账明细接口!$O600=0,"",[2]对账明细接口!$O600),"")</f>
        <v/>
      </c>
      <c r="U600" s="21" t="str">
        <f>IFERROR(IF([2]对账明细接口!$P600=0,"",[2]对账明细接口!$P600),"")</f>
        <v/>
      </c>
      <c r="V600" s="21" t="str">
        <f>IFERROR(IF([2]对账明细接口!$Q600=0,"",[2]对账明细接口!$Q600),"")</f>
        <v/>
      </c>
      <c r="W600" s="20" t="str">
        <f>IFERROR(IF([2]对账明细接口!$R600=0,"",[2]对账明细接口!$R600),"")</f>
        <v/>
      </c>
      <c r="X600" s="20" t="str">
        <f>IFERROR(IF([2]对账明细接口!$S600=0,"",[2]对账明细接口!$S600),"")</f>
        <v/>
      </c>
      <c r="Y600" s="20" t="str">
        <f t="shared" si="56"/>
        <v/>
      </c>
      <c r="Z600" s="20" t="str">
        <f t="shared" si="57"/>
        <v/>
      </c>
      <c r="AA600" s="20" t="str">
        <f t="shared" si="58"/>
        <v/>
      </c>
      <c r="AB600" s="20" t="str">
        <f t="shared" si="59"/>
        <v/>
      </c>
    </row>
    <row r="601" customHeight="1" spans="1:28">
      <c r="A601" s="14">
        <v>601</v>
      </c>
      <c r="B601" s="15" t="str">
        <f>IFERROR(IF([2]对账明细接口!$B$601=0,"",[2]对账明细接口!$B$601),"")</f>
        <v/>
      </c>
      <c r="C601" s="16" t="str">
        <f>IFERROR(IF([2]对账明细接口!$C$601=0,"",[2]对账明细接口!$C$601),"")</f>
        <v/>
      </c>
      <c r="D601" s="16" t="str">
        <f>IFERROR(IF([2]对账明细接口!$D$601=0,"",[2]对账明细接口!$D$601),"")</f>
        <v/>
      </c>
      <c r="E601" s="16" t="str">
        <f>IFERROR(IF([2]对账明细接口!$E$601=0,"",[2]对账明细接口!$E$601),"")</f>
        <v/>
      </c>
      <c r="F601" s="16" t="str">
        <f>IFERROR(IF([2]对账明细接口!$F$601=0,"",[2]对账明细接口!$F$601),"")</f>
        <v/>
      </c>
      <c r="G601" s="16" t="str">
        <f>IFERROR(IF([2]对账明细接口!$G$601=0,"",[2]对账明细接口!$G$601),"")</f>
        <v/>
      </c>
      <c r="H601" s="17" t="str">
        <f>IFERROR(IF([2]对账明细接口!$H$601=0,"",[2]对账明细接口!$H$601),"")</f>
        <v/>
      </c>
      <c r="I601" s="16" t="str">
        <f>IFERROR(IF([2]对账明细接口!$I$601=0,"",[2]对账明细接口!$I$601),"")</f>
        <v/>
      </c>
      <c r="J601" s="18" t="str">
        <f>IFERROR(IF([2]对账明细接口!$J$601=0,"",[2]对账明细接口!$J$601),"")</f>
        <v/>
      </c>
      <c r="K601" s="18" t="str">
        <f>IFERROR(IF([2]对账明细接口!$K$601=0,"",[2]对账明细接口!$K$601),"")</f>
        <v/>
      </c>
      <c r="L601" s="16" t="str">
        <f>IFERROR(IF([2]对账明细接口!$L$601=0,"",[2]对账明细接口!$L$601),"")</f>
        <v/>
      </c>
      <c r="M601" s="16" t="str">
        <f>IFERROR(IF([2]对账明细接口!$M$601=0,"",[2]对账明细接口!$M$601),"")</f>
        <v/>
      </c>
      <c r="N601" s="19">
        <f t="shared" si="54"/>
        <v>0</v>
      </c>
      <c r="O601" s="19">
        <f t="shared" si="55"/>
        <v>165</v>
      </c>
      <c r="S601" s="20" t="str">
        <f>IFERROR(IF([2]对账明细接口!$N601=0,"",[2]对账明细接口!$N601),"")</f>
        <v/>
      </c>
      <c r="T601" s="21" t="str">
        <f>IFERROR(IF([2]对账明细接口!$O601=0,"",[2]对账明细接口!$O601),"")</f>
        <v/>
      </c>
      <c r="U601" s="21" t="str">
        <f>IFERROR(IF([2]对账明细接口!$P601=0,"",[2]对账明细接口!$P601),"")</f>
        <v/>
      </c>
      <c r="V601" s="21" t="str">
        <f>IFERROR(IF([2]对账明细接口!$Q601=0,"",[2]对账明细接口!$Q601),"")</f>
        <v/>
      </c>
      <c r="W601" s="20" t="str">
        <f>IFERROR(IF([2]对账明细接口!$R601=0,"",[2]对账明细接口!$R601),"")</f>
        <v/>
      </c>
      <c r="X601" s="20" t="str">
        <f>IFERROR(IF([2]对账明细接口!$S601=0,"",[2]对账明细接口!$S601),"")</f>
        <v/>
      </c>
      <c r="Y601" s="20" t="str">
        <f t="shared" si="56"/>
        <v/>
      </c>
      <c r="Z601" s="20" t="str">
        <f t="shared" si="57"/>
        <v/>
      </c>
      <c r="AA601" s="20" t="str">
        <f t="shared" si="58"/>
        <v/>
      </c>
      <c r="AB601" s="20" t="str">
        <f t="shared" si="59"/>
        <v/>
      </c>
    </row>
    <row r="602" customHeight="1" spans="1:28">
      <c r="A602" s="14">
        <v>602</v>
      </c>
      <c r="B602" s="15" t="str">
        <f>IFERROR(IF([2]对账明细接口!$B$602=0,"",[2]对账明细接口!$B$602),"")</f>
        <v/>
      </c>
      <c r="C602" s="16" t="str">
        <f>IFERROR(IF([2]对账明细接口!$C$602=0,"",[2]对账明细接口!$C$602),"")</f>
        <v/>
      </c>
      <c r="D602" s="16" t="str">
        <f>IFERROR(IF([2]对账明细接口!$D$602=0,"",[2]对账明细接口!$D$602),"")</f>
        <v/>
      </c>
      <c r="E602" s="16" t="str">
        <f>IFERROR(IF([2]对账明细接口!$E$602=0,"",[2]对账明细接口!$E$602),"")</f>
        <v/>
      </c>
      <c r="F602" s="16" t="str">
        <f>IFERROR(IF([2]对账明细接口!$F$602=0,"",[2]对账明细接口!$F$602),"")</f>
        <v/>
      </c>
      <c r="G602" s="16" t="str">
        <f>IFERROR(IF([2]对账明细接口!$G$602=0,"",[2]对账明细接口!$G$602),"")</f>
        <v/>
      </c>
      <c r="H602" s="17" t="str">
        <f>IFERROR(IF([2]对账明细接口!$H$602=0,"",[2]对账明细接口!$H$602),"")</f>
        <v/>
      </c>
      <c r="I602" s="16" t="str">
        <f>IFERROR(IF([2]对账明细接口!$I$602=0,"",[2]对账明细接口!$I$602),"")</f>
        <v/>
      </c>
      <c r="J602" s="18" t="str">
        <f>IFERROR(IF([2]对账明细接口!$J$602=0,"",[2]对账明细接口!$J$602),"")</f>
        <v/>
      </c>
      <c r="K602" s="18" t="str">
        <f>IFERROR(IF([2]对账明细接口!$K$602=0,"",[2]对账明细接口!$K$602),"")</f>
        <v/>
      </c>
      <c r="L602" s="16" t="str">
        <f>IFERROR(IF([2]对账明细接口!$L$602=0,"",[2]对账明细接口!$L$602),"")</f>
        <v/>
      </c>
      <c r="M602" s="16" t="str">
        <f>IFERROR(IF([2]对账明细接口!$M$602=0,"",[2]对账明细接口!$M$602),"")</f>
        <v/>
      </c>
      <c r="N602" s="19">
        <f t="shared" si="54"/>
        <v>0</v>
      </c>
      <c r="O602" s="19">
        <f t="shared" si="55"/>
        <v>165</v>
      </c>
      <c r="S602" s="20" t="str">
        <f>IFERROR(IF([2]对账明细接口!$N602=0,"",[2]对账明细接口!$N602),"")</f>
        <v/>
      </c>
      <c r="T602" s="21" t="str">
        <f>IFERROR(IF([2]对账明细接口!$O602=0,"",[2]对账明细接口!$O602),"")</f>
        <v/>
      </c>
      <c r="U602" s="21" t="str">
        <f>IFERROR(IF([2]对账明细接口!$P602=0,"",[2]对账明细接口!$P602),"")</f>
        <v/>
      </c>
      <c r="V602" s="21" t="str">
        <f>IFERROR(IF([2]对账明细接口!$Q602=0,"",[2]对账明细接口!$Q602),"")</f>
        <v/>
      </c>
      <c r="W602" s="20" t="str">
        <f>IFERROR(IF([2]对账明细接口!$R602=0,"",[2]对账明细接口!$R602),"")</f>
        <v/>
      </c>
      <c r="X602" s="20" t="str">
        <f>IFERROR(IF([2]对账明细接口!$S602=0,"",[2]对账明细接口!$S602),"")</f>
        <v/>
      </c>
      <c r="Y602" s="20" t="str">
        <f t="shared" si="56"/>
        <v/>
      </c>
      <c r="Z602" s="20" t="str">
        <f t="shared" si="57"/>
        <v/>
      </c>
      <c r="AA602" s="20" t="str">
        <f t="shared" si="58"/>
        <v/>
      </c>
      <c r="AB602" s="20" t="str">
        <f t="shared" si="59"/>
        <v/>
      </c>
    </row>
    <row r="603" customHeight="1" spans="1:28">
      <c r="A603" s="14">
        <v>603</v>
      </c>
      <c r="B603" s="15" t="str">
        <f>IFERROR(IF([2]对账明细接口!$B$603=0,"",[2]对账明细接口!$B$603),"")</f>
        <v/>
      </c>
      <c r="C603" s="16" t="str">
        <f>IFERROR(IF([2]对账明细接口!$C$603=0,"",[2]对账明细接口!$C$603),"")</f>
        <v/>
      </c>
      <c r="D603" s="16" t="str">
        <f>IFERROR(IF([2]对账明细接口!$D$603=0,"",[2]对账明细接口!$D$603),"")</f>
        <v/>
      </c>
      <c r="E603" s="16" t="str">
        <f>IFERROR(IF([2]对账明细接口!$E$603=0,"",[2]对账明细接口!$E$603),"")</f>
        <v/>
      </c>
      <c r="F603" s="16" t="str">
        <f>IFERROR(IF([2]对账明细接口!$F$603=0,"",[2]对账明细接口!$F$603),"")</f>
        <v/>
      </c>
      <c r="G603" s="16" t="str">
        <f>IFERROR(IF([2]对账明细接口!$G$603=0,"",[2]对账明细接口!$G$603),"")</f>
        <v/>
      </c>
      <c r="H603" s="17" t="str">
        <f>IFERROR(IF([2]对账明细接口!$H$603=0,"",[2]对账明细接口!$H$603),"")</f>
        <v/>
      </c>
      <c r="I603" s="16" t="str">
        <f>IFERROR(IF([2]对账明细接口!$I$603=0,"",[2]对账明细接口!$I$603),"")</f>
        <v/>
      </c>
      <c r="J603" s="18" t="str">
        <f>IFERROR(IF([2]对账明细接口!$J$603=0,"",[2]对账明细接口!$J$603),"")</f>
        <v/>
      </c>
      <c r="K603" s="18" t="str">
        <f>IFERROR(IF([2]对账明细接口!$K$603=0,"",[2]对账明细接口!$K$603),"")</f>
        <v/>
      </c>
      <c r="L603" s="16" t="str">
        <f>IFERROR(IF([2]对账明细接口!$L$603=0,"",[2]对账明细接口!$L$603),"")</f>
        <v/>
      </c>
      <c r="M603" s="16" t="str">
        <f>IFERROR(IF([2]对账明细接口!$M$603=0,"",[2]对账明细接口!$M$603),"")</f>
        <v/>
      </c>
      <c r="N603" s="19">
        <f t="shared" si="54"/>
        <v>0</v>
      </c>
      <c r="O603" s="19">
        <f t="shared" si="55"/>
        <v>165</v>
      </c>
      <c r="S603" s="20" t="str">
        <f>IFERROR(IF([2]对账明细接口!$N603=0,"",[2]对账明细接口!$N603),"")</f>
        <v/>
      </c>
      <c r="T603" s="21" t="str">
        <f>IFERROR(IF([2]对账明细接口!$O603=0,"",[2]对账明细接口!$O603),"")</f>
        <v/>
      </c>
      <c r="U603" s="21" t="str">
        <f>IFERROR(IF([2]对账明细接口!$P603=0,"",[2]对账明细接口!$P603),"")</f>
        <v/>
      </c>
      <c r="V603" s="21" t="str">
        <f>IFERROR(IF([2]对账明细接口!$Q603=0,"",[2]对账明细接口!$Q603),"")</f>
        <v/>
      </c>
      <c r="W603" s="20" t="str">
        <f>IFERROR(IF([2]对账明细接口!$R603=0,"",[2]对账明细接口!$R603),"")</f>
        <v/>
      </c>
      <c r="X603" s="20" t="str">
        <f>IFERROR(IF([2]对账明细接口!$S603=0,"",[2]对账明细接口!$S603),"")</f>
        <v/>
      </c>
      <c r="Y603" s="20" t="str">
        <f t="shared" si="56"/>
        <v/>
      </c>
      <c r="Z603" s="20" t="str">
        <f t="shared" si="57"/>
        <v/>
      </c>
      <c r="AA603" s="20" t="str">
        <f t="shared" si="58"/>
        <v/>
      </c>
      <c r="AB603" s="20" t="str">
        <f t="shared" si="59"/>
        <v/>
      </c>
    </row>
    <row r="604" customHeight="1" spans="1:28">
      <c r="A604" s="14">
        <v>604</v>
      </c>
      <c r="B604" s="15" t="str">
        <f>IFERROR(IF([2]对账明细接口!$B$604=0,"",[2]对账明细接口!$B$604),"")</f>
        <v/>
      </c>
      <c r="C604" s="16" t="str">
        <f>IFERROR(IF([2]对账明细接口!$C$604=0,"",[2]对账明细接口!$C$604),"")</f>
        <v/>
      </c>
      <c r="D604" s="16" t="str">
        <f>IFERROR(IF([2]对账明细接口!$D$604=0,"",[2]对账明细接口!$D$604),"")</f>
        <v/>
      </c>
      <c r="E604" s="16" t="str">
        <f>IFERROR(IF([2]对账明细接口!$E$604=0,"",[2]对账明细接口!$E$604),"")</f>
        <v/>
      </c>
      <c r="F604" s="16" t="str">
        <f>IFERROR(IF([2]对账明细接口!$F$604=0,"",[2]对账明细接口!$F$604),"")</f>
        <v/>
      </c>
      <c r="G604" s="16" t="str">
        <f>IFERROR(IF([2]对账明细接口!$G$604=0,"",[2]对账明细接口!$G$604),"")</f>
        <v/>
      </c>
      <c r="H604" s="17" t="str">
        <f>IFERROR(IF([2]对账明细接口!$H$604=0,"",[2]对账明细接口!$H$604),"")</f>
        <v/>
      </c>
      <c r="I604" s="16" t="str">
        <f>IFERROR(IF([2]对账明细接口!$I$604=0,"",[2]对账明细接口!$I$604),"")</f>
        <v/>
      </c>
      <c r="J604" s="18" t="str">
        <f>IFERROR(IF([2]对账明细接口!$J$604=0,"",[2]对账明细接口!$J$604),"")</f>
        <v/>
      </c>
      <c r="K604" s="18" t="str">
        <f>IFERROR(IF([2]对账明细接口!$K$604=0,"",[2]对账明细接口!$K$604),"")</f>
        <v/>
      </c>
      <c r="L604" s="16" t="str">
        <f>IFERROR(IF([2]对账明细接口!$L$604=0,"",[2]对账明细接口!$L$604),"")</f>
        <v/>
      </c>
      <c r="M604" s="16" t="str">
        <f>IFERROR(IF([2]对账明细接口!$M$604=0,"",[2]对账明细接口!$M$604),"")</f>
        <v/>
      </c>
      <c r="N604" s="19">
        <f t="shared" si="54"/>
        <v>0</v>
      </c>
      <c r="O604" s="19">
        <f t="shared" si="55"/>
        <v>165</v>
      </c>
      <c r="S604" s="20" t="str">
        <f>IFERROR(IF([2]对账明细接口!$N604=0,"",[2]对账明细接口!$N604),"")</f>
        <v/>
      </c>
      <c r="T604" s="21" t="str">
        <f>IFERROR(IF([2]对账明细接口!$O604=0,"",[2]对账明细接口!$O604),"")</f>
        <v/>
      </c>
      <c r="U604" s="21" t="str">
        <f>IFERROR(IF([2]对账明细接口!$P604=0,"",[2]对账明细接口!$P604),"")</f>
        <v/>
      </c>
      <c r="V604" s="21" t="str">
        <f>IFERROR(IF([2]对账明细接口!$Q604=0,"",[2]对账明细接口!$Q604),"")</f>
        <v/>
      </c>
      <c r="W604" s="20" t="str">
        <f>IFERROR(IF([2]对账明细接口!$R604=0,"",[2]对账明细接口!$R604),"")</f>
        <v/>
      </c>
      <c r="X604" s="20" t="str">
        <f>IFERROR(IF([2]对账明细接口!$S604=0,"",[2]对账明细接口!$S604),"")</f>
        <v/>
      </c>
      <c r="Y604" s="20" t="str">
        <f t="shared" si="56"/>
        <v/>
      </c>
      <c r="Z604" s="20" t="str">
        <f t="shared" si="57"/>
        <v/>
      </c>
      <c r="AA604" s="20" t="str">
        <f t="shared" si="58"/>
        <v/>
      </c>
      <c r="AB604" s="20" t="str">
        <f t="shared" si="59"/>
        <v/>
      </c>
    </row>
    <row r="605" customHeight="1" spans="1:28">
      <c r="A605" s="14">
        <v>605</v>
      </c>
      <c r="B605" s="15" t="str">
        <f>IFERROR(IF([2]对账明细接口!$B$605=0,"",[2]对账明细接口!$B$605),"")</f>
        <v/>
      </c>
      <c r="C605" s="16" t="str">
        <f>IFERROR(IF([2]对账明细接口!$C$605=0,"",[2]对账明细接口!$C$605),"")</f>
        <v/>
      </c>
      <c r="D605" s="16" t="str">
        <f>IFERROR(IF([2]对账明细接口!$D$605=0,"",[2]对账明细接口!$D$605),"")</f>
        <v/>
      </c>
      <c r="E605" s="16" t="str">
        <f>IFERROR(IF([2]对账明细接口!$E$605=0,"",[2]对账明细接口!$E$605),"")</f>
        <v/>
      </c>
      <c r="F605" s="16" t="str">
        <f>IFERROR(IF([2]对账明细接口!$F$605=0,"",[2]对账明细接口!$F$605),"")</f>
        <v/>
      </c>
      <c r="G605" s="16" t="str">
        <f>IFERROR(IF([2]对账明细接口!$G$605=0,"",[2]对账明细接口!$G$605),"")</f>
        <v/>
      </c>
      <c r="H605" s="17" t="str">
        <f>IFERROR(IF([2]对账明细接口!$H$605=0,"",[2]对账明细接口!$H$605),"")</f>
        <v/>
      </c>
      <c r="I605" s="16" t="str">
        <f>IFERROR(IF([2]对账明细接口!$I$605=0,"",[2]对账明细接口!$I$605),"")</f>
        <v/>
      </c>
      <c r="J605" s="18" t="str">
        <f>IFERROR(IF([2]对账明细接口!$J$605=0,"",[2]对账明细接口!$J$605),"")</f>
        <v/>
      </c>
      <c r="K605" s="18" t="str">
        <f>IFERROR(IF([2]对账明细接口!$K$605=0,"",[2]对账明细接口!$K$605),"")</f>
        <v/>
      </c>
      <c r="L605" s="16" t="str">
        <f>IFERROR(IF([2]对账明细接口!$L$605=0,"",[2]对账明细接口!$L$605),"")</f>
        <v/>
      </c>
      <c r="M605" s="16" t="str">
        <f>IFERROR(IF([2]对账明细接口!$M$605=0,"",[2]对账明细接口!$M$605),"")</f>
        <v/>
      </c>
      <c r="N605" s="19">
        <f t="shared" si="54"/>
        <v>0</v>
      </c>
      <c r="O605" s="19">
        <f t="shared" si="55"/>
        <v>165</v>
      </c>
      <c r="S605" s="20" t="str">
        <f>IFERROR(IF([2]对账明细接口!$N605=0,"",[2]对账明细接口!$N605),"")</f>
        <v/>
      </c>
      <c r="T605" s="21" t="str">
        <f>IFERROR(IF([2]对账明细接口!$O605=0,"",[2]对账明细接口!$O605),"")</f>
        <v/>
      </c>
      <c r="U605" s="21" t="str">
        <f>IFERROR(IF([2]对账明细接口!$P605=0,"",[2]对账明细接口!$P605),"")</f>
        <v/>
      </c>
      <c r="V605" s="21" t="str">
        <f>IFERROR(IF([2]对账明细接口!$Q605=0,"",[2]对账明细接口!$Q605),"")</f>
        <v/>
      </c>
      <c r="W605" s="20" t="str">
        <f>IFERROR(IF([2]对账明细接口!$R605=0,"",[2]对账明细接口!$R605),"")</f>
        <v/>
      </c>
      <c r="X605" s="20" t="str">
        <f>IFERROR(IF([2]对账明细接口!$S605=0,"",[2]对账明细接口!$S605),"")</f>
        <v/>
      </c>
      <c r="Y605" s="20" t="str">
        <f t="shared" si="56"/>
        <v/>
      </c>
      <c r="Z605" s="20" t="str">
        <f t="shared" si="57"/>
        <v/>
      </c>
      <c r="AA605" s="20" t="str">
        <f t="shared" si="58"/>
        <v/>
      </c>
      <c r="AB605" s="20" t="str">
        <f t="shared" si="59"/>
        <v/>
      </c>
    </row>
    <row r="606" customHeight="1" spans="1:28">
      <c r="A606" s="14">
        <v>606</v>
      </c>
      <c r="B606" s="15" t="str">
        <f>IFERROR(IF([2]对账明细接口!$B$606=0,"",[2]对账明细接口!$B$606),"")</f>
        <v/>
      </c>
      <c r="C606" s="16" t="str">
        <f>IFERROR(IF([2]对账明细接口!$C$606=0,"",[2]对账明细接口!$C$606),"")</f>
        <v/>
      </c>
      <c r="D606" s="16" t="str">
        <f>IFERROR(IF([2]对账明细接口!$D$606=0,"",[2]对账明细接口!$D$606),"")</f>
        <v/>
      </c>
      <c r="E606" s="16" t="str">
        <f>IFERROR(IF([2]对账明细接口!$E$606=0,"",[2]对账明细接口!$E$606),"")</f>
        <v/>
      </c>
      <c r="F606" s="16" t="str">
        <f>IFERROR(IF([2]对账明细接口!$F$606=0,"",[2]对账明细接口!$F$606),"")</f>
        <v/>
      </c>
      <c r="G606" s="16" t="str">
        <f>IFERROR(IF([2]对账明细接口!$G$606=0,"",[2]对账明细接口!$G$606),"")</f>
        <v/>
      </c>
      <c r="H606" s="17" t="str">
        <f>IFERROR(IF([2]对账明细接口!$H$606=0,"",[2]对账明细接口!$H$606),"")</f>
        <v/>
      </c>
      <c r="I606" s="16" t="str">
        <f>IFERROR(IF([2]对账明细接口!$I$606=0,"",[2]对账明细接口!$I$606),"")</f>
        <v/>
      </c>
      <c r="J606" s="18" t="str">
        <f>IFERROR(IF([2]对账明细接口!$J$606=0,"",[2]对账明细接口!$J$606),"")</f>
        <v/>
      </c>
      <c r="K606" s="18" t="str">
        <f>IFERROR(IF([2]对账明细接口!$K$606=0,"",[2]对账明细接口!$K$606),"")</f>
        <v/>
      </c>
      <c r="L606" s="16" t="str">
        <f>IFERROR(IF([2]对账明细接口!$L$606=0,"",[2]对账明细接口!$L$606),"")</f>
        <v/>
      </c>
      <c r="M606" s="16" t="str">
        <f>IFERROR(IF([2]对账明细接口!$M$606=0,"",[2]对账明细接口!$M$606),"")</f>
        <v/>
      </c>
      <c r="N606" s="19">
        <f t="shared" si="54"/>
        <v>0</v>
      </c>
      <c r="O606" s="19">
        <f t="shared" si="55"/>
        <v>165</v>
      </c>
      <c r="S606" s="20" t="str">
        <f>IFERROR(IF([2]对账明细接口!$N606=0,"",[2]对账明细接口!$N606),"")</f>
        <v/>
      </c>
      <c r="T606" s="21" t="str">
        <f>IFERROR(IF([2]对账明细接口!$O606=0,"",[2]对账明细接口!$O606),"")</f>
        <v/>
      </c>
      <c r="U606" s="21" t="str">
        <f>IFERROR(IF([2]对账明细接口!$P606=0,"",[2]对账明细接口!$P606),"")</f>
        <v/>
      </c>
      <c r="V606" s="21" t="str">
        <f>IFERROR(IF([2]对账明细接口!$Q606=0,"",[2]对账明细接口!$Q606),"")</f>
        <v/>
      </c>
      <c r="W606" s="20" t="str">
        <f>IFERROR(IF([2]对账明细接口!$R606=0,"",[2]对账明细接口!$R606),"")</f>
        <v/>
      </c>
      <c r="X606" s="20" t="str">
        <f>IFERROR(IF([2]对账明细接口!$S606=0,"",[2]对账明细接口!$S606),"")</f>
        <v/>
      </c>
      <c r="Y606" s="20" t="str">
        <f t="shared" si="56"/>
        <v/>
      </c>
      <c r="Z606" s="20" t="str">
        <f t="shared" si="57"/>
        <v/>
      </c>
      <c r="AA606" s="20" t="str">
        <f t="shared" si="58"/>
        <v/>
      </c>
      <c r="AB606" s="20" t="str">
        <f t="shared" si="59"/>
        <v/>
      </c>
    </row>
    <row r="607" customHeight="1" spans="1:28">
      <c r="A607" s="14">
        <v>607</v>
      </c>
      <c r="B607" s="15" t="str">
        <f>IFERROR(IF([2]对账明细接口!$B$607=0,"",[2]对账明细接口!$B$607),"")</f>
        <v/>
      </c>
      <c r="C607" s="16" t="str">
        <f>IFERROR(IF([2]对账明细接口!$C$607=0,"",[2]对账明细接口!$C$607),"")</f>
        <v/>
      </c>
      <c r="D607" s="16" t="str">
        <f>IFERROR(IF([2]对账明细接口!$D$607=0,"",[2]对账明细接口!$D$607),"")</f>
        <v/>
      </c>
      <c r="E607" s="16" t="str">
        <f>IFERROR(IF([2]对账明细接口!$E$607=0,"",[2]对账明细接口!$E$607),"")</f>
        <v/>
      </c>
      <c r="F607" s="16" t="str">
        <f>IFERROR(IF([2]对账明细接口!$F$607=0,"",[2]对账明细接口!$F$607),"")</f>
        <v/>
      </c>
      <c r="G607" s="16" t="str">
        <f>IFERROR(IF([2]对账明细接口!$G$607=0,"",[2]对账明细接口!$G$607),"")</f>
        <v/>
      </c>
      <c r="H607" s="17" t="str">
        <f>IFERROR(IF([2]对账明细接口!$H$607=0,"",[2]对账明细接口!$H$607),"")</f>
        <v/>
      </c>
      <c r="I607" s="16" t="str">
        <f>IFERROR(IF([2]对账明细接口!$I$607=0,"",[2]对账明细接口!$I$607),"")</f>
        <v/>
      </c>
      <c r="J607" s="18" t="str">
        <f>IFERROR(IF([2]对账明细接口!$J$607=0,"",[2]对账明细接口!$J$607),"")</f>
        <v/>
      </c>
      <c r="K607" s="18" t="str">
        <f>IFERROR(IF([2]对账明细接口!$K$607=0,"",[2]对账明细接口!$K$607),"")</f>
        <v/>
      </c>
      <c r="L607" s="16" t="str">
        <f>IFERROR(IF([2]对账明细接口!$L$607=0,"",[2]对账明细接口!$L$607),"")</f>
        <v/>
      </c>
      <c r="M607" s="16" t="str">
        <f>IFERROR(IF([2]对账明细接口!$M$607=0,"",[2]对账明细接口!$M$607),"")</f>
        <v/>
      </c>
      <c r="N607" s="19">
        <f t="shared" si="54"/>
        <v>0</v>
      </c>
      <c r="O607" s="19">
        <f t="shared" si="55"/>
        <v>165</v>
      </c>
      <c r="S607" s="20" t="str">
        <f>IFERROR(IF([2]对账明细接口!$N607=0,"",[2]对账明细接口!$N607),"")</f>
        <v/>
      </c>
      <c r="T607" s="21" t="str">
        <f>IFERROR(IF([2]对账明细接口!$O607=0,"",[2]对账明细接口!$O607),"")</f>
        <v/>
      </c>
      <c r="U607" s="21" t="str">
        <f>IFERROR(IF([2]对账明细接口!$P607=0,"",[2]对账明细接口!$P607),"")</f>
        <v/>
      </c>
      <c r="V607" s="21" t="str">
        <f>IFERROR(IF([2]对账明细接口!$Q607=0,"",[2]对账明细接口!$Q607),"")</f>
        <v/>
      </c>
      <c r="W607" s="20" t="str">
        <f>IFERROR(IF([2]对账明细接口!$R607=0,"",[2]对账明细接口!$R607),"")</f>
        <v/>
      </c>
      <c r="X607" s="20" t="str">
        <f>IFERROR(IF([2]对账明细接口!$S607=0,"",[2]对账明细接口!$S607),"")</f>
        <v/>
      </c>
      <c r="Y607" s="20" t="str">
        <f t="shared" si="56"/>
        <v/>
      </c>
      <c r="Z607" s="20" t="str">
        <f t="shared" si="57"/>
        <v/>
      </c>
      <c r="AA607" s="20" t="str">
        <f t="shared" si="58"/>
        <v/>
      </c>
      <c r="AB607" s="20" t="str">
        <f t="shared" si="59"/>
        <v/>
      </c>
    </row>
    <row r="608" customHeight="1" spans="1:28">
      <c r="A608" s="14">
        <v>608</v>
      </c>
      <c r="B608" s="15" t="str">
        <f>IFERROR(IF([2]对账明细接口!$B$608=0,"",[2]对账明细接口!$B$608),"")</f>
        <v/>
      </c>
      <c r="C608" s="16" t="str">
        <f>IFERROR(IF([2]对账明细接口!$C$608=0,"",[2]对账明细接口!$C$608),"")</f>
        <v/>
      </c>
      <c r="D608" s="16" t="str">
        <f>IFERROR(IF([2]对账明细接口!$D$608=0,"",[2]对账明细接口!$D$608),"")</f>
        <v/>
      </c>
      <c r="E608" s="16" t="str">
        <f>IFERROR(IF([2]对账明细接口!$E$608=0,"",[2]对账明细接口!$E$608),"")</f>
        <v/>
      </c>
      <c r="F608" s="16" t="str">
        <f>IFERROR(IF([2]对账明细接口!$F$608=0,"",[2]对账明细接口!$F$608),"")</f>
        <v/>
      </c>
      <c r="G608" s="16" t="str">
        <f>IFERROR(IF([2]对账明细接口!$G$608=0,"",[2]对账明细接口!$G$608),"")</f>
        <v/>
      </c>
      <c r="H608" s="17" t="str">
        <f>IFERROR(IF([2]对账明细接口!$H$608=0,"",[2]对账明细接口!$H$608),"")</f>
        <v/>
      </c>
      <c r="I608" s="16" t="str">
        <f>IFERROR(IF([2]对账明细接口!$I$608=0,"",[2]对账明细接口!$I$608),"")</f>
        <v/>
      </c>
      <c r="J608" s="18" t="str">
        <f>IFERROR(IF([2]对账明细接口!$J$608=0,"",[2]对账明细接口!$J$608),"")</f>
        <v/>
      </c>
      <c r="K608" s="18" t="str">
        <f>IFERROR(IF([2]对账明细接口!$K$608=0,"",[2]对账明细接口!$K$608),"")</f>
        <v/>
      </c>
      <c r="L608" s="16" t="str">
        <f>IFERROR(IF([2]对账明细接口!$L$608=0,"",[2]对账明细接口!$L$608),"")</f>
        <v/>
      </c>
      <c r="M608" s="16" t="str">
        <f>IFERROR(IF([2]对账明细接口!$M$608=0,"",[2]对账明细接口!$M$608),"")</f>
        <v/>
      </c>
      <c r="N608" s="19">
        <f t="shared" si="54"/>
        <v>0</v>
      </c>
      <c r="O608" s="19">
        <f t="shared" si="55"/>
        <v>165</v>
      </c>
      <c r="S608" s="20" t="str">
        <f>IFERROR(IF([2]对账明细接口!$N608=0,"",[2]对账明细接口!$N608),"")</f>
        <v/>
      </c>
      <c r="T608" s="21" t="str">
        <f>IFERROR(IF([2]对账明细接口!$O608=0,"",[2]对账明细接口!$O608),"")</f>
        <v/>
      </c>
      <c r="U608" s="21" t="str">
        <f>IFERROR(IF([2]对账明细接口!$P608=0,"",[2]对账明细接口!$P608),"")</f>
        <v/>
      </c>
      <c r="V608" s="21" t="str">
        <f>IFERROR(IF([2]对账明细接口!$Q608=0,"",[2]对账明细接口!$Q608),"")</f>
        <v/>
      </c>
      <c r="W608" s="20" t="str">
        <f>IFERROR(IF([2]对账明细接口!$R608=0,"",[2]对账明细接口!$R608),"")</f>
        <v/>
      </c>
      <c r="X608" s="20" t="str">
        <f>IFERROR(IF([2]对账明细接口!$S608=0,"",[2]对账明细接口!$S608),"")</f>
        <v/>
      </c>
      <c r="Y608" s="20" t="str">
        <f t="shared" si="56"/>
        <v/>
      </c>
      <c r="Z608" s="20" t="str">
        <f t="shared" si="57"/>
        <v/>
      </c>
      <c r="AA608" s="20" t="str">
        <f t="shared" si="58"/>
        <v/>
      </c>
      <c r="AB608" s="20" t="str">
        <f t="shared" si="59"/>
        <v/>
      </c>
    </row>
    <row r="609" customHeight="1" spans="1:28">
      <c r="A609" s="14">
        <v>609</v>
      </c>
      <c r="B609" s="15" t="str">
        <f>IFERROR(IF([2]对账明细接口!$B$609=0,"",[2]对账明细接口!$B$609),"")</f>
        <v/>
      </c>
      <c r="C609" s="16" t="str">
        <f>IFERROR(IF([2]对账明细接口!$C$609=0,"",[2]对账明细接口!$C$609),"")</f>
        <v/>
      </c>
      <c r="D609" s="16" t="str">
        <f>IFERROR(IF([2]对账明细接口!$D$609=0,"",[2]对账明细接口!$D$609),"")</f>
        <v/>
      </c>
      <c r="E609" s="16" t="str">
        <f>IFERROR(IF([2]对账明细接口!$E$609=0,"",[2]对账明细接口!$E$609),"")</f>
        <v/>
      </c>
      <c r="F609" s="16" t="str">
        <f>IFERROR(IF([2]对账明细接口!$F$609=0,"",[2]对账明细接口!$F$609),"")</f>
        <v/>
      </c>
      <c r="G609" s="16" t="str">
        <f>IFERROR(IF([2]对账明细接口!$G$609=0,"",[2]对账明细接口!$G$609),"")</f>
        <v/>
      </c>
      <c r="H609" s="17" t="str">
        <f>IFERROR(IF([2]对账明细接口!$H$609=0,"",[2]对账明细接口!$H$609),"")</f>
        <v/>
      </c>
      <c r="I609" s="16" t="str">
        <f>IFERROR(IF([2]对账明细接口!$I$609=0,"",[2]对账明细接口!$I$609),"")</f>
        <v/>
      </c>
      <c r="J609" s="18" t="str">
        <f>IFERROR(IF([2]对账明细接口!$J$609=0,"",[2]对账明细接口!$J$609),"")</f>
        <v/>
      </c>
      <c r="K609" s="18" t="str">
        <f>IFERROR(IF([2]对账明细接口!$K$609=0,"",[2]对账明细接口!$K$609),"")</f>
        <v/>
      </c>
      <c r="L609" s="16" t="str">
        <f>IFERROR(IF([2]对账明细接口!$L$609=0,"",[2]对账明细接口!$L$609),"")</f>
        <v/>
      </c>
      <c r="M609" s="16" t="str">
        <f>IFERROR(IF([2]对账明细接口!$M$609=0,"",[2]对账明细接口!$M$609),"")</f>
        <v/>
      </c>
      <c r="N609" s="19">
        <f t="shared" si="54"/>
        <v>0</v>
      </c>
      <c r="O609" s="19">
        <f t="shared" si="55"/>
        <v>165</v>
      </c>
      <c r="S609" s="20" t="str">
        <f>IFERROR(IF([2]对账明细接口!$N609=0,"",[2]对账明细接口!$N609),"")</f>
        <v/>
      </c>
      <c r="T609" s="21" t="str">
        <f>IFERROR(IF([2]对账明细接口!$O609=0,"",[2]对账明细接口!$O609),"")</f>
        <v/>
      </c>
      <c r="U609" s="21" t="str">
        <f>IFERROR(IF([2]对账明细接口!$P609=0,"",[2]对账明细接口!$P609),"")</f>
        <v/>
      </c>
      <c r="V609" s="21" t="str">
        <f>IFERROR(IF([2]对账明细接口!$Q609=0,"",[2]对账明细接口!$Q609),"")</f>
        <v/>
      </c>
      <c r="W609" s="20" t="str">
        <f>IFERROR(IF([2]对账明细接口!$R609=0,"",[2]对账明细接口!$R609),"")</f>
        <v/>
      </c>
      <c r="X609" s="20" t="str">
        <f>IFERROR(IF([2]对账明细接口!$S609=0,"",[2]对账明细接口!$S609),"")</f>
        <v/>
      </c>
      <c r="Y609" s="20" t="str">
        <f t="shared" si="56"/>
        <v/>
      </c>
      <c r="Z609" s="20" t="str">
        <f t="shared" si="57"/>
        <v/>
      </c>
      <c r="AA609" s="20" t="str">
        <f t="shared" si="58"/>
        <v/>
      </c>
      <c r="AB609" s="20" t="str">
        <f t="shared" si="59"/>
        <v/>
      </c>
    </row>
    <row r="610" customHeight="1" spans="1:28">
      <c r="A610" s="14">
        <v>610</v>
      </c>
      <c r="B610" s="15" t="str">
        <f>IFERROR(IF([2]对账明细接口!$B$610=0,"",[2]对账明细接口!$B$610),"")</f>
        <v/>
      </c>
      <c r="C610" s="16" t="str">
        <f>IFERROR(IF([2]对账明细接口!$C$610=0,"",[2]对账明细接口!$C$610),"")</f>
        <v/>
      </c>
      <c r="D610" s="16" t="str">
        <f>IFERROR(IF([2]对账明细接口!$D$610=0,"",[2]对账明细接口!$D$610),"")</f>
        <v/>
      </c>
      <c r="E610" s="16" t="str">
        <f>IFERROR(IF([2]对账明细接口!$E$610=0,"",[2]对账明细接口!$E$610),"")</f>
        <v/>
      </c>
      <c r="F610" s="16" t="str">
        <f>IFERROR(IF([2]对账明细接口!$F$610=0,"",[2]对账明细接口!$F$610),"")</f>
        <v/>
      </c>
      <c r="G610" s="16" t="str">
        <f>IFERROR(IF([2]对账明细接口!$G$610=0,"",[2]对账明细接口!$G$610),"")</f>
        <v/>
      </c>
      <c r="H610" s="17" t="str">
        <f>IFERROR(IF([2]对账明细接口!$H$610=0,"",[2]对账明细接口!$H$610),"")</f>
        <v/>
      </c>
      <c r="I610" s="16" t="str">
        <f>IFERROR(IF([2]对账明细接口!$I$610=0,"",[2]对账明细接口!$I$610),"")</f>
        <v/>
      </c>
      <c r="J610" s="18" t="str">
        <f>IFERROR(IF([2]对账明细接口!$J$610=0,"",[2]对账明细接口!$J$610),"")</f>
        <v/>
      </c>
      <c r="K610" s="18" t="str">
        <f>IFERROR(IF([2]对账明细接口!$K$610=0,"",[2]对账明细接口!$K$610),"")</f>
        <v/>
      </c>
      <c r="L610" s="16" t="str">
        <f>IFERROR(IF([2]对账明细接口!$L$610=0,"",[2]对账明细接口!$L$610),"")</f>
        <v/>
      </c>
      <c r="M610" s="16" t="str">
        <f>IFERROR(IF([2]对账明细接口!$M$610=0,"",[2]对账明细接口!$M$610),"")</f>
        <v/>
      </c>
      <c r="N610" s="19">
        <f t="shared" si="54"/>
        <v>0</v>
      </c>
      <c r="O610" s="19">
        <f t="shared" si="55"/>
        <v>165</v>
      </c>
      <c r="S610" s="20" t="str">
        <f>IFERROR(IF([2]对账明细接口!$N610=0,"",[2]对账明细接口!$N610),"")</f>
        <v/>
      </c>
      <c r="T610" s="21" t="str">
        <f>IFERROR(IF([2]对账明细接口!$O610=0,"",[2]对账明细接口!$O610),"")</f>
        <v/>
      </c>
      <c r="U610" s="21" t="str">
        <f>IFERROR(IF([2]对账明细接口!$P610=0,"",[2]对账明细接口!$P610),"")</f>
        <v/>
      </c>
      <c r="V610" s="21" t="str">
        <f>IFERROR(IF([2]对账明细接口!$Q610=0,"",[2]对账明细接口!$Q610),"")</f>
        <v/>
      </c>
      <c r="W610" s="20" t="str">
        <f>IFERROR(IF([2]对账明细接口!$R610=0,"",[2]对账明细接口!$R610),"")</f>
        <v/>
      </c>
      <c r="X610" s="20" t="str">
        <f>IFERROR(IF([2]对账明细接口!$S610=0,"",[2]对账明细接口!$S610),"")</f>
        <v/>
      </c>
      <c r="Y610" s="20" t="str">
        <f t="shared" si="56"/>
        <v/>
      </c>
      <c r="Z610" s="20" t="str">
        <f t="shared" si="57"/>
        <v/>
      </c>
      <c r="AA610" s="20" t="str">
        <f t="shared" si="58"/>
        <v/>
      </c>
      <c r="AB610" s="20" t="str">
        <f t="shared" si="59"/>
        <v/>
      </c>
    </row>
    <row r="611" customHeight="1" spans="1:28">
      <c r="A611" s="14">
        <v>611</v>
      </c>
      <c r="B611" s="15" t="str">
        <f>IFERROR(IF([2]对账明细接口!$B$611=0,"",[2]对账明细接口!$B$611),"")</f>
        <v/>
      </c>
      <c r="C611" s="16" t="str">
        <f>IFERROR(IF([2]对账明细接口!$C$611=0,"",[2]对账明细接口!$C$611),"")</f>
        <v/>
      </c>
      <c r="D611" s="16" t="str">
        <f>IFERROR(IF([2]对账明细接口!$D$611=0,"",[2]对账明细接口!$D$611),"")</f>
        <v/>
      </c>
      <c r="E611" s="16" t="str">
        <f>IFERROR(IF([2]对账明细接口!$E$611=0,"",[2]对账明细接口!$E$611),"")</f>
        <v/>
      </c>
      <c r="F611" s="16" t="str">
        <f>IFERROR(IF([2]对账明细接口!$F$611=0,"",[2]对账明细接口!$F$611),"")</f>
        <v/>
      </c>
      <c r="G611" s="16" t="str">
        <f>IFERROR(IF([2]对账明细接口!$G$611=0,"",[2]对账明细接口!$G$611),"")</f>
        <v/>
      </c>
      <c r="H611" s="17" t="str">
        <f>IFERROR(IF([2]对账明细接口!$H$611=0,"",[2]对账明细接口!$H$611),"")</f>
        <v/>
      </c>
      <c r="I611" s="16" t="str">
        <f>IFERROR(IF([2]对账明细接口!$I$611=0,"",[2]对账明细接口!$I$611),"")</f>
        <v/>
      </c>
      <c r="J611" s="18" t="str">
        <f>IFERROR(IF([2]对账明细接口!$J$611=0,"",[2]对账明细接口!$J$611),"")</f>
        <v/>
      </c>
      <c r="K611" s="18" t="str">
        <f>IFERROR(IF([2]对账明细接口!$K$611=0,"",[2]对账明细接口!$K$611),"")</f>
        <v/>
      </c>
      <c r="L611" s="16" t="str">
        <f>IFERROR(IF([2]对账明细接口!$L$611=0,"",[2]对账明细接口!$L$611),"")</f>
        <v/>
      </c>
      <c r="M611" s="16" t="str">
        <f>IFERROR(IF([2]对账明细接口!$M$611=0,"",[2]对账明细接口!$M$611),"")</f>
        <v/>
      </c>
      <c r="N611" s="19">
        <f t="shared" si="54"/>
        <v>0</v>
      </c>
      <c r="O611" s="19">
        <f t="shared" si="55"/>
        <v>165</v>
      </c>
      <c r="S611" s="20" t="str">
        <f>IFERROR(IF([2]对账明细接口!$N611=0,"",[2]对账明细接口!$N611),"")</f>
        <v/>
      </c>
      <c r="T611" s="21" t="str">
        <f>IFERROR(IF([2]对账明细接口!$O611=0,"",[2]对账明细接口!$O611),"")</f>
        <v/>
      </c>
      <c r="U611" s="21" t="str">
        <f>IFERROR(IF([2]对账明细接口!$P611=0,"",[2]对账明细接口!$P611),"")</f>
        <v/>
      </c>
      <c r="V611" s="21" t="str">
        <f>IFERROR(IF([2]对账明细接口!$Q611=0,"",[2]对账明细接口!$Q611),"")</f>
        <v/>
      </c>
      <c r="W611" s="20" t="str">
        <f>IFERROR(IF([2]对账明细接口!$R611=0,"",[2]对账明细接口!$R611),"")</f>
        <v/>
      </c>
      <c r="X611" s="20" t="str">
        <f>IFERROR(IF([2]对账明细接口!$S611=0,"",[2]对账明细接口!$S611),"")</f>
        <v/>
      </c>
      <c r="Y611" s="20" t="str">
        <f t="shared" si="56"/>
        <v/>
      </c>
      <c r="Z611" s="20" t="str">
        <f t="shared" si="57"/>
        <v/>
      </c>
      <c r="AA611" s="20" t="str">
        <f t="shared" si="58"/>
        <v/>
      </c>
      <c r="AB611" s="20" t="str">
        <f t="shared" si="59"/>
        <v/>
      </c>
    </row>
    <row r="612" customHeight="1" spans="1:28">
      <c r="A612" s="14">
        <v>612</v>
      </c>
      <c r="B612" s="15" t="str">
        <f>IFERROR(IF([2]对账明细接口!$B$612=0,"",[2]对账明细接口!$B$612),"")</f>
        <v/>
      </c>
      <c r="C612" s="16" t="str">
        <f>IFERROR(IF([2]对账明细接口!$C$612=0,"",[2]对账明细接口!$C$612),"")</f>
        <v/>
      </c>
      <c r="D612" s="16" t="str">
        <f>IFERROR(IF([2]对账明细接口!$D$612=0,"",[2]对账明细接口!$D$612),"")</f>
        <v/>
      </c>
      <c r="E612" s="16" t="str">
        <f>IFERROR(IF([2]对账明细接口!$E$612=0,"",[2]对账明细接口!$E$612),"")</f>
        <v/>
      </c>
      <c r="F612" s="16" t="str">
        <f>IFERROR(IF([2]对账明细接口!$F$612=0,"",[2]对账明细接口!$F$612),"")</f>
        <v/>
      </c>
      <c r="G612" s="16" t="str">
        <f>IFERROR(IF([2]对账明细接口!$G$612=0,"",[2]对账明细接口!$G$612),"")</f>
        <v/>
      </c>
      <c r="H612" s="17" t="str">
        <f>IFERROR(IF([2]对账明细接口!$H$612=0,"",[2]对账明细接口!$H$612),"")</f>
        <v/>
      </c>
      <c r="I612" s="16" t="str">
        <f>IFERROR(IF([2]对账明细接口!$I$612=0,"",[2]对账明细接口!$I$612),"")</f>
        <v/>
      </c>
      <c r="J612" s="18" t="str">
        <f>IFERROR(IF([2]对账明细接口!$J$612=0,"",[2]对账明细接口!$J$612),"")</f>
        <v/>
      </c>
      <c r="K612" s="18" t="str">
        <f>IFERROR(IF([2]对账明细接口!$K$612=0,"",[2]对账明细接口!$K$612),"")</f>
        <v/>
      </c>
      <c r="L612" s="16" t="str">
        <f>IFERROR(IF([2]对账明细接口!$L$612=0,"",[2]对账明细接口!$L$612),"")</f>
        <v/>
      </c>
      <c r="M612" s="16" t="str">
        <f>IFERROR(IF([2]对账明细接口!$M$612=0,"",[2]对账明细接口!$M$612),"")</f>
        <v/>
      </c>
      <c r="N612" s="19">
        <f t="shared" si="54"/>
        <v>0</v>
      </c>
      <c r="O612" s="19">
        <f t="shared" si="55"/>
        <v>165</v>
      </c>
      <c r="S612" s="20" t="str">
        <f>IFERROR(IF([2]对账明细接口!$N612=0,"",[2]对账明细接口!$N612),"")</f>
        <v/>
      </c>
      <c r="T612" s="21" t="str">
        <f>IFERROR(IF([2]对账明细接口!$O612=0,"",[2]对账明细接口!$O612),"")</f>
        <v/>
      </c>
      <c r="U612" s="21" t="str">
        <f>IFERROR(IF([2]对账明细接口!$P612=0,"",[2]对账明细接口!$P612),"")</f>
        <v/>
      </c>
      <c r="V612" s="21" t="str">
        <f>IFERROR(IF([2]对账明细接口!$Q612=0,"",[2]对账明细接口!$Q612),"")</f>
        <v/>
      </c>
      <c r="W612" s="20" t="str">
        <f>IFERROR(IF([2]对账明细接口!$R612=0,"",[2]对账明细接口!$R612),"")</f>
        <v/>
      </c>
      <c r="X612" s="20" t="str">
        <f>IFERROR(IF([2]对账明细接口!$S612=0,"",[2]对账明细接口!$S612),"")</f>
        <v/>
      </c>
      <c r="Y612" s="20" t="str">
        <f t="shared" si="56"/>
        <v/>
      </c>
      <c r="Z612" s="20" t="str">
        <f t="shared" si="57"/>
        <v/>
      </c>
      <c r="AA612" s="20" t="str">
        <f t="shared" si="58"/>
        <v/>
      </c>
      <c r="AB612" s="20" t="str">
        <f t="shared" si="59"/>
        <v/>
      </c>
    </row>
    <row r="613" customHeight="1" spans="1:28">
      <c r="A613" s="14">
        <v>613</v>
      </c>
      <c r="B613" s="15" t="str">
        <f>IFERROR(IF([2]对账明细接口!$B$613=0,"",[2]对账明细接口!$B$613),"")</f>
        <v/>
      </c>
      <c r="C613" s="16" t="str">
        <f>IFERROR(IF([2]对账明细接口!$C$613=0,"",[2]对账明细接口!$C$613),"")</f>
        <v/>
      </c>
      <c r="D613" s="16" t="str">
        <f>IFERROR(IF([2]对账明细接口!$D$613=0,"",[2]对账明细接口!$D$613),"")</f>
        <v/>
      </c>
      <c r="E613" s="16" t="str">
        <f>IFERROR(IF([2]对账明细接口!$E$613=0,"",[2]对账明细接口!$E$613),"")</f>
        <v/>
      </c>
      <c r="F613" s="16" t="str">
        <f>IFERROR(IF([2]对账明细接口!$F$613=0,"",[2]对账明细接口!$F$613),"")</f>
        <v/>
      </c>
      <c r="G613" s="16" t="str">
        <f>IFERROR(IF([2]对账明细接口!$G$613=0,"",[2]对账明细接口!$G$613),"")</f>
        <v/>
      </c>
      <c r="H613" s="17" t="str">
        <f>IFERROR(IF([2]对账明细接口!$H$613=0,"",[2]对账明细接口!$H$613),"")</f>
        <v/>
      </c>
      <c r="I613" s="16" t="str">
        <f>IFERROR(IF([2]对账明细接口!$I$613=0,"",[2]对账明细接口!$I$613),"")</f>
        <v/>
      </c>
      <c r="J613" s="18" t="str">
        <f>IFERROR(IF([2]对账明细接口!$J$613=0,"",[2]对账明细接口!$J$613),"")</f>
        <v/>
      </c>
      <c r="K613" s="18" t="str">
        <f>IFERROR(IF([2]对账明细接口!$K$613=0,"",[2]对账明细接口!$K$613),"")</f>
        <v/>
      </c>
      <c r="L613" s="16" t="str">
        <f>IFERROR(IF([2]对账明细接口!$L$613=0,"",[2]对账明细接口!$L$613),"")</f>
        <v/>
      </c>
      <c r="M613" s="16" t="str">
        <f>IFERROR(IF([2]对账明细接口!$M$613=0,"",[2]对账明细接口!$M$613),"")</f>
        <v/>
      </c>
      <c r="N613" s="19">
        <f t="shared" si="54"/>
        <v>0</v>
      </c>
      <c r="O613" s="19">
        <f t="shared" si="55"/>
        <v>165</v>
      </c>
      <c r="S613" s="20" t="str">
        <f>IFERROR(IF([2]对账明细接口!$N613=0,"",[2]对账明细接口!$N613),"")</f>
        <v/>
      </c>
      <c r="T613" s="21" t="str">
        <f>IFERROR(IF([2]对账明细接口!$O613=0,"",[2]对账明细接口!$O613),"")</f>
        <v/>
      </c>
      <c r="U613" s="21" t="str">
        <f>IFERROR(IF([2]对账明细接口!$P613=0,"",[2]对账明细接口!$P613),"")</f>
        <v/>
      </c>
      <c r="V613" s="21" t="str">
        <f>IFERROR(IF([2]对账明细接口!$Q613=0,"",[2]对账明细接口!$Q613),"")</f>
        <v/>
      </c>
      <c r="W613" s="20" t="str">
        <f>IFERROR(IF([2]对账明细接口!$R613=0,"",[2]对账明细接口!$R613),"")</f>
        <v/>
      </c>
      <c r="X613" s="20" t="str">
        <f>IFERROR(IF([2]对账明细接口!$S613=0,"",[2]对账明细接口!$S613),"")</f>
        <v/>
      </c>
      <c r="Y613" s="20" t="str">
        <f t="shared" si="56"/>
        <v/>
      </c>
      <c r="Z613" s="20" t="str">
        <f t="shared" si="57"/>
        <v/>
      </c>
      <c r="AA613" s="20" t="str">
        <f t="shared" si="58"/>
        <v/>
      </c>
      <c r="AB613" s="20" t="str">
        <f t="shared" si="59"/>
        <v/>
      </c>
    </row>
    <row r="614" customHeight="1" spans="1:28">
      <c r="A614" s="14">
        <v>614</v>
      </c>
      <c r="B614" s="15" t="str">
        <f>IFERROR(IF([2]对账明细接口!$B$614=0,"",[2]对账明细接口!$B$614),"")</f>
        <v/>
      </c>
      <c r="C614" s="16" t="str">
        <f>IFERROR(IF([2]对账明细接口!$C$614=0,"",[2]对账明细接口!$C$614),"")</f>
        <v/>
      </c>
      <c r="D614" s="16" t="str">
        <f>IFERROR(IF([2]对账明细接口!$D$614=0,"",[2]对账明细接口!$D$614),"")</f>
        <v/>
      </c>
      <c r="E614" s="16" t="str">
        <f>IFERROR(IF([2]对账明细接口!$E$614=0,"",[2]对账明细接口!$E$614),"")</f>
        <v/>
      </c>
      <c r="F614" s="16" t="str">
        <f>IFERROR(IF([2]对账明细接口!$F$614=0,"",[2]对账明细接口!$F$614),"")</f>
        <v/>
      </c>
      <c r="G614" s="16" t="str">
        <f>IFERROR(IF([2]对账明细接口!$G$614=0,"",[2]对账明细接口!$G$614),"")</f>
        <v/>
      </c>
      <c r="H614" s="17" t="str">
        <f>IFERROR(IF([2]对账明细接口!$H$614=0,"",[2]对账明细接口!$H$614),"")</f>
        <v/>
      </c>
      <c r="I614" s="16" t="str">
        <f>IFERROR(IF([2]对账明细接口!$I$614=0,"",[2]对账明细接口!$I$614),"")</f>
        <v/>
      </c>
      <c r="J614" s="18" t="str">
        <f>IFERROR(IF([2]对账明细接口!$J$614=0,"",[2]对账明细接口!$J$614),"")</f>
        <v/>
      </c>
      <c r="K614" s="18" t="str">
        <f>IFERROR(IF([2]对账明细接口!$K$614=0,"",[2]对账明细接口!$K$614),"")</f>
        <v/>
      </c>
      <c r="L614" s="16" t="str">
        <f>IFERROR(IF([2]对账明细接口!$L$614=0,"",[2]对账明细接口!$L$614),"")</f>
        <v/>
      </c>
      <c r="M614" s="16" t="str">
        <f>IFERROR(IF([2]对账明细接口!$M$614=0,"",[2]对账明细接口!$M$614),"")</f>
        <v/>
      </c>
      <c r="N614" s="19">
        <f t="shared" si="54"/>
        <v>0</v>
      </c>
      <c r="O614" s="19">
        <f t="shared" si="55"/>
        <v>165</v>
      </c>
      <c r="S614" s="20" t="str">
        <f>IFERROR(IF([2]对账明细接口!$N614=0,"",[2]对账明细接口!$N614),"")</f>
        <v/>
      </c>
      <c r="T614" s="21" t="str">
        <f>IFERROR(IF([2]对账明细接口!$O614=0,"",[2]对账明细接口!$O614),"")</f>
        <v/>
      </c>
      <c r="U614" s="21" t="str">
        <f>IFERROR(IF([2]对账明细接口!$P614=0,"",[2]对账明细接口!$P614),"")</f>
        <v/>
      </c>
      <c r="V614" s="21" t="str">
        <f>IFERROR(IF([2]对账明细接口!$Q614=0,"",[2]对账明细接口!$Q614),"")</f>
        <v/>
      </c>
      <c r="W614" s="20" t="str">
        <f>IFERROR(IF([2]对账明细接口!$R614=0,"",[2]对账明细接口!$R614),"")</f>
        <v/>
      </c>
      <c r="X614" s="20" t="str">
        <f>IFERROR(IF([2]对账明细接口!$S614=0,"",[2]对账明细接口!$S614),"")</f>
        <v/>
      </c>
      <c r="Y614" s="20" t="str">
        <f t="shared" si="56"/>
        <v/>
      </c>
      <c r="Z614" s="20" t="str">
        <f t="shared" si="57"/>
        <v/>
      </c>
      <c r="AA614" s="20" t="str">
        <f t="shared" si="58"/>
        <v/>
      </c>
      <c r="AB614" s="20" t="str">
        <f t="shared" si="59"/>
        <v/>
      </c>
    </row>
    <row r="615" customHeight="1" spans="1:28">
      <c r="A615" s="14">
        <v>615</v>
      </c>
      <c r="B615" s="15" t="str">
        <f>IFERROR(IF([2]对账明细接口!$B$615=0,"",[2]对账明细接口!$B$615),"")</f>
        <v/>
      </c>
      <c r="C615" s="16" t="str">
        <f>IFERROR(IF([2]对账明细接口!$C$615=0,"",[2]对账明细接口!$C$615),"")</f>
        <v/>
      </c>
      <c r="D615" s="16" t="str">
        <f>IFERROR(IF([2]对账明细接口!$D$615=0,"",[2]对账明细接口!$D$615),"")</f>
        <v/>
      </c>
      <c r="E615" s="16" t="str">
        <f>IFERROR(IF([2]对账明细接口!$E$615=0,"",[2]对账明细接口!$E$615),"")</f>
        <v/>
      </c>
      <c r="F615" s="16" t="str">
        <f>IFERROR(IF([2]对账明细接口!$F$615=0,"",[2]对账明细接口!$F$615),"")</f>
        <v/>
      </c>
      <c r="G615" s="16" t="str">
        <f>IFERROR(IF([2]对账明细接口!$G$615=0,"",[2]对账明细接口!$G$615),"")</f>
        <v/>
      </c>
      <c r="H615" s="17" t="str">
        <f>IFERROR(IF([2]对账明细接口!$H$615=0,"",[2]对账明细接口!$H$615),"")</f>
        <v/>
      </c>
      <c r="I615" s="16" t="str">
        <f>IFERROR(IF([2]对账明细接口!$I$615=0,"",[2]对账明细接口!$I$615),"")</f>
        <v/>
      </c>
      <c r="J615" s="18" t="str">
        <f>IFERROR(IF([2]对账明细接口!$J$615=0,"",[2]对账明细接口!$J$615),"")</f>
        <v/>
      </c>
      <c r="K615" s="18" t="str">
        <f>IFERROR(IF([2]对账明细接口!$K$615=0,"",[2]对账明细接口!$K$615),"")</f>
        <v/>
      </c>
      <c r="L615" s="16" t="str">
        <f>IFERROR(IF([2]对账明细接口!$L$615=0,"",[2]对账明细接口!$L$615),"")</f>
        <v/>
      </c>
      <c r="M615" s="16" t="str">
        <f>IFERROR(IF([2]对账明细接口!$M$615=0,"",[2]对账明细接口!$M$615),"")</f>
        <v/>
      </c>
      <c r="N615" s="19">
        <f t="shared" si="54"/>
        <v>0</v>
      </c>
      <c r="O615" s="19">
        <f t="shared" si="55"/>
        <v>165</v>
      </c>
      <c r="S615" s="20" t="str">
        <f>IFERROR(IF([2]对账明细接口!$N615=0,"",[2]对账明细接口!$N615),"")</f>
        <v/>
      </c>
      <c r="T615" s="21" t="str">
        <f>IFERROR(IF([2]对账明细接口!$O615=0,"",[2]对账明细接口!$O615),"")</f>
        <v/>
      </c>
      <c r="U615" s="21" t="str">
        <f>IFERROR(IF([2]对账明细接口!$P615=0,"",[2]对账明细接口!$P615),"")</f>
        <v/>
      </c>
      <c r="V615" s="21" t="str">
        <f>IFERROR(IF([2]对账明细接口!$Q615=0,"",[2]对账明细接口!$Q615),"")</f>
        <v/>
      </c>
      <c r="W615" s="20" t="str">
        <f>IFERROR(IF([2]对账明细接口!$R615=0,"",[2]对账明细接口!$R615),"")</f>
        <v/>
      </c>
      <c r="X615" s="20" t="str">
        <f>IFERROR(IF([2]对账明细接口!$S615=0,"",[2]对账明细接口!$S615),"")</f>
        <v/>
      </c>
      <c r="Y615" s="20" t="str">
        <f t="shared" si="56"/>
        <v/>
      </c>
      <c r="Z615" s="20" t="str">
        <f t="shared" si="57"/>
        <v/>
      </c>
      <c r="AA615" s="20" t="str">
        <f t="shared" si="58"/>
        <v/>
      </c>
      <c r="AB615" s="20" t="str">
        <f t="shared" si="59"/>
        <v/>
      </c>
    </row>
    <row r="616" customHeight="1" spans="1:28">
      <c r="A616" s="14">
        <v>616</v>
      </c>
      <c r="B616" s="15" t="str">
        <f>IFERROR(IF([2]对账明细接口!$B$616=0,"",[2]对账明细接口!$B$616),"")</f>
        <v/>
      </c>
      <c r="C616" s="16" t="str">
        <f>IFERROR(IF([2]对账明细接口!$C$616=0,"",[2]对账明细接口!$C$616),"")</f>
        <v/>
      </c>
      <c r="D616" s="16" t="str">
        <f>IFERROR(IF([2]对账明细接口!$D$616=0,"",[2]对账明细接口!$D$616),"")</f>
        <v/>
      </c>
      <c r="E616" s="16" t="str">
        <f>IFERROR(IF([2]对账明细接口!$E$616=0,"",[2]对账明细接口!$E$616),"")</f>
        <v/>
      </c>
      <c r="F616" s="16" t="str">
        <f>IFERROR(IF([2]对账明细接口!$F$616=0,"",[2]对账明细接口!$F$616),"")</f>
        <v/>
      </c>
      <c r="G616" s="16" t="str">
        <f>IFERROR(IF([2]对账明细接口!$G$616=0,"",[2]对账明细接口!$G$616),"")</f>
        <v/>
      </c>
      <c r="H616" s="17" t="str">
        <f>IFERROR(IF([2]对账明细接口!$H$616=0,"",[2]对账明细接口!$H$616),"")</f>
        <v/>
      </c>
      <c r="I616" s="16" t="str">
        <f>IFERROR(IF([2]对账明细接口!$I$616=0,"",[2]对账明细接口!$I$616),"")</f>
        <v/>
      </c>
      <c r="J616" s="18" t="str">
        <f>IFERROR(IF([2]对账明细接口!$J$616=0,"",[2]对账明细接口!$J$616),"")</f>
        <v/>
      </c>
      <c r="K616" s="18" t="str">
        <f>IFERROR(IF([2]对账明细接口!$K$616=0,"",[2]对账明细接口!$K$616),"")</f>
        <v/>
      </c>
      <c r="L616" s="16" t="str">
        <f>IFERROR(IF([2]对账明细接口!$L$616=0,"",[2]对账明细接口!$L$616),"")</f>
        <v/>
      </c>
      <c r="M616" s="16" t="str">
        <f>IFERROR(IF([2]对账明细接口!$M$616=0,"",[2]对账明细接口!$M$616),"")</f>
        <v/>
      </c>
      <c r="N616" s="19">
        <f t="shared" si="54"/>
        <v>0</v>
      </c>
      <c r="O616" s="19">
        <f t="shared" si="55"/>
        <v>165</v>
      </c>
      <c r="S616" s="20" t="str">
        <f>IFERROR(IF([2]对账明细接口!$N616=0,"",[2]对账明细接口!$N616),"")</f>
        <v/>
      </c>
      <c r="T616" s="21" t="str">
        <f>IFERROR(IF([2]对账明细接口!$O616=0,"",[2]对账明细接口!$O616),"")</f>
        <v/>
      </c>
      <c r="U616" s="21" t="str">
        <f>IFERROR(IF([2]对账明细接口!$P616=0,"",[2]对账明细接口!$P616),"")</f>
        <v/>
      </c>
      <c r="V616" s="21" t="str">
        <f>IFERROR(IF([2]对账明细接口!$Q616=0,"",[2]对账明细接口!$Q616),"")</f>
        <v/>
      </c>
      <c r="W616" s="20" t="str">
        <f>IFERROR(IF([2]对账明细接口!$R616=0,"",[2]对账明细接口!$R616),"")</f>
        <v/>
      </c>
      <c r="X616" s="20" t="str">
        <f>IFERROR(IF([2]对账明细接口!$S616=0,"",[2]对账明细接口!$S616),"")</f>
        <v/>
      </c>
      <c r="Y616" s="20" t="str">
        <f t="shared" si="56"/>
        <v/>
      </c>
      <c r="Z616" s="20" t="str">
        <f t="shared" si="57"/>
        <v/>
      </c>
      <c r="AA616" s="20" t="str">
        <f t="shared" si="58"/>
        <v/>
      </c>
      <c r="AB616" s="20" t="str">
        <f t="shared" si="59"/>
        <v/>
      </c>
    </row>
    <row r="617" customHeight="1" spans="1:28">
      <c r="A617" s="14">
        <v>617</v>
      </c>
      <c r="B617" s="15" t="str">
        <f>IFERROR(IF([2]对账明细接口!$B$617=0,"",[2]对账明细接口!$B$617),"")</f>
        <v/>
      </c>
      <c r="C617" s="16" t="str">
        <f>IFERROR(IF([2]对账明细接口!$C$617=0,"",[2]对账明细接口!$C$617),"")</f>
        <v/>
      </c>
      <c r="D617" s="16" t="str">
        <f>IFERROR(IF([2]对账明细接口!$D$617=0,"",[2]对账明细接口!$D$617),"")</f>
        <v/>
      </c>
      <c r="E617" s="16" t="str">
        <f>IFERROR(IF([2]对账明细接口!$E$617=0,"",[2]对账明细接口!$E$617),"")</f>
        <v/>
      </c>
      <c r="F617" s="16" t="str">
        <f>IFERROR(IF([2]对账明细接口!$F$617=0,"",[2]对账明细接口!$F$617),"")</f>
        <v/>
      </c>
      <c r="G617" s="16" t="str">
        <f>IFERROR(IF([2]对账明细接口!$G$617=0,"",[2]对账明细接口!$G$617),"")</f>
        <v/>
      </c>
      <c r="H617" s="17" t="str">
        <f>IFERROR(IF([2]对账明细接口!$H$617=0,"",[2]对账明细接口!$H$617),"")</f>
        <v/>
      </c>
      <c r="I617" s="16" t="str">
        <f>IFERROR(IF([2]对账明细接口!$I$617=0,"",[2]对账明细接口!$I$617),"")</f>
        <v/>
      </c>
      <c r="J617" s="18" t="str">
        <f>IFERROR(IF([2]对账明细接口!$J$617=0,"",[2]对账明细接口!$J$617),"")</f>
        <v/>
      </c>
      <c r="K617" s="18" t="str">
        <f>IFERROR(IF([2]对账明细接口!$K$617=0,"",[2]对账明细接口!$K$617),"")</f>
        <v/>
      </c>
      <c r="L617" s="16" t="str">
        <f>IFERROR(IF([2]对账明细接口!$L$617=0,"",[2]对账明细接口!$L$617),"")</f>
        <v/>
      </c>
      <c r="M617" s="16" t="str">
        <f>IFERROR(IF([2]对账明细接口!$M$617=0,"",[2]对账明细接口!$M$617),"")</f>
        <v/>
      </c>
      <c r="N617" s="19">
        <f t="shared" si="54"/>
        <v>0</v>
      </c>
      <c r="O617" s="19">
        <f t="shared" si="55"/>
        <v>165</v>
      </c>
      <c r="S617" s="20" t="str">
        <f>IFERROR(IF([2]对账明细接口!$N617=0,"",[2]对账明细接口!$N617),"")</f>
        <v/>
      </c>
      <c r="T617" s="21" t="str">
        <f>IFERROR(IF([2]对账明细接口!$O617=0,"",[2]对账明细接口!$O617),"")</f>
        <v/>
      </c>
      <c r="U617" s="21" t="str">
        <f>IFERROR(IF([2]对账明细接口!$P617=0,"",[2]对账明细接口!$P617),"")</f>
        <v/>
      </c>
      <c r="V617" s="21" t="str">
        <f>IFERROR(IF([2]对账明细接口!$Q617=0,"",[2]对账明细接口!$Q617),"")</f>
        <v/>
      </c>
      <c r="W617" s="20" t="str">
        <f>IFERROR(IF([2]对账明细接口!$R617=0,"",[2]对账明细接口!$R617),"")</f>
        <v/>
      </c>
      <c r="X617" s="20" t="str">
        <f>IFERROR(IF([2]对账明细接口!$S617=0,"",[2]对账明细接口!$S617),"")</f>
        <v/>
      </c>
      <c r="Y617" s="20" t="str">
        <f t="shared" si="56"/>
        <v/>
      </c>
      <c r="Z617" s="20" t="str">
        <f t="shared" si="57"/>
        <v/>
      </c>
      <c r="AA617" s="20" t="str">
        <f t="shared" si="58"/>
        <v/>
      </c>
      <c r="AB617" s="20" t="str">
        <f t="shared" si="59"/>
        <v/>
      </c>
    </row>
    <row r="618" customHeight="1" spans="1:28">
      <c r="A618" s="14">
        <v>618</v>
      </c>
      <c r="B618" s="15" t="str">
        <f>IFERROR(IF([2]对账明细接口!$B$618=0,"",[2]对账明细接口!$B$618),"")</f>
        <v/>
      </c>
      <c r="C618" s="16" t="str">
        <f>IFERROR(IF([2]对账明细接口!$C$618=0,"",[2]对账明细接口!$C$618),"")</f>
        <v/>
      </c>
      <c r="D618" s="16" t="str">
        <f>IFERROR(IF([2]对账明细接口!$D$618=0,"",[2]对账明细接口!$D$618),"")</f>
        <v/>
      </c>
      <c r="E618" s="16" t="str">
        <f>IFERROR(IF([2]对账明细接口!$E$618=0,"",[2]对账明细接口!$E$618),"")</f>
        <v/>
      </c>
      <c r="F618" s="16" t="str">
        <f>IFERROR(IF([2]对账明细接口!$F$618=0,"",[2]对账明细接口!$F$618),"")</f>
        <v/>
      </c>
      <c r="G618" s="16" t="str">
        <f>IFERROR(IF([2]对账明细接口!$G$618=0,"",[2]对账明细接口!$G$618),"")</f>
        <v/>
      </c>
      <c r="H618" s="17" t="str">
        <f>IFERROR(IF([2]对账明细接口!$H$618=0,"",[2]对账明细接口!$H$618),"")</f>
        <v/>
      </c>
      <c r="I618" s="16" t="str">
        <f>IFERROR(IF([2]对账明细接口!$I$618=0,"",[2]对账明细接口!$I$618),"")</f>
        <v/>
      </c>
      <c r="J618" s="18" t="str">
        <f>IFERROR(IF([2]对账明细接口!$J$618=0,"",[2]对账明细接口!$J$618),"")</f>
        <v/>
      </c>
      <c r="K618" s="18" t="str">
        <f>IFERROR(IF([2]对账明细接口!$K$618=0,"",[2]对账明细接口!$K$618),"")</f>
        <v/>
      </c>
      <c r="L618" s="16" t="str">
        <f>IFERROR(IF([2]对账明细接口!$L$618=0,"",[2]对账明细接口!$L$618),"")</f>
        <v/>
      </c>
      <c r="M618" s="16" t="str">
        <f>IFERROR(IF([2]对账明细接口!$M$618=0,"",[2]对账明细接口!$M$618),"")</f>
        <v/>
      </c>
      <c r="N618" s="19">
        <f t="shared" si="54"/>
        <v>0</v>
      </c>
      <c r="O618" s="19">
        <f t="shared" si="55"/>
        <v>165</v>
      </c>
      <c r="S618" s="20" t="str">
        <f>IFERROR(IF([2]对账明细接口!$N618=0,"",[2]对账明细接口!$N618),"")</f>
        <v/>
      </c>
      <c r="T618" s="21" t="str">
        <f>IFERROR(IF([2]对账明细接口!$O618=0,"",[2]对账明细接口!$O618),"")</f>
        <v/>
      </c>
      <c r="U618" s="21" t="str">
        <f>IFERROR(IF([2]对账明细接口!$P618=0,"",[2]对账明细接口!$P618),"")</f>
        <v/>
      </c>
      <c r="V618" s="21" t="str">
        <f>IFERROR(IF([2]对账明细接口!$Q618=0,"",[2]对账明细接口!$Q618),"")</f>
        <v/>
      </c>
      <c r="W618" s="20" t="str">
        <f>IFERROR(IF([2]对账明细接口!$R618=0,"",[2]对账明细接口!$R618),"")</f>
        <v/>
      </c>
      <c r="X618" s="20" t="str">
        <f>IFERROR(IF([2]对账明细接口!$S618=0,"",[2]对账明细接口!$S618),"")</f>
        <v/>
      </c>
      <c r="Y618" s="20" t="str">
        <f t="shared" si="56"/>
        <v/>
      </c>
      <c r="Z618" s="20" t="str">
        <f t="shared" si="57"/>
        <v/>
      </c>
      <c r="AA618" s="20" t="str">
        <f t="shared" si="58"/>
        <v/>
      </c>
      <c r="AB618" s="20" t="str">
        <f t="shared" si="59"/>
        <v/>
      </c>
    </row>
    <row r="619" customHeight="1" spans="1:28">
      <c r="A619" s="14">
        <v>619</v>
      </c>
      <c r="B619" s="15" t="str">
        <f>IFERROR(IF([2]对账明细接口!$B$619=0,"",[2]对账明细接口!$B$619),"")</f>
        <v/>
      </c>
      <c r="C619" s="16" t="str">
        <f>IFERROR(IF([2]对账明细接口!$C$619=0,"",[2]对账明细接口!$C$619),"")</f>
        <v/>
      </c>
      <c r="D619" s="16" t="str">
        <f>IFERROR(IF([2]对账明细接口!$D$619=0,"",[2]对账明细接口!$D$619),"")</f>
        <v/>
      </c>
      <c r="E619" s="16" t="str">
        <f>IFERROR(IF([2]对账明细接口!$E$619=0,"",[2]对账明细接口!$E$619),"")</f>
        <v/>
      </c>
      <c r="F619" s="16" t="str">
        <f>IFERROR(IF([2]对账明细接口!$F$619=0,"",[2]对账明细接口!$F$619),"")</f>
        <v/>
      </c>
      <c r="G619" s="16" t="str">
        <f>IFERROR(IF([2]对账明细接口!$G$619=0,"",[2]对账明细接口!$G$619),"")</f>
        <v/>
      </c>
      <c r="H619" s="17" t="str">
        <f>IFERROR(IF([2]对账明细接口!$H$619=0,"",[2]对账明细接口!$H$619),"")</f>
        <v/>
      </c>
      <c r="I619" s="16" t="str">
        <f>IFERROR(IF([2]对账明细接口!$I$619=0,"",[2]对账明细接口!$I$619),"")</f>
        <v/>
      </c>
      <c r="J619" s="18" t="str">
        <f>IFERROR(IF([2]对账明细接口!$J$619=0,"",[2]对账明细接口!$J$619),"")</f>
        <v/>
      </c>
      <c r="K619" s="18" t="str">
        <f>IFERROR(IF([2]对账明细接口!$K$619=0,"",[2]对账明细接口!$K$619),"")</f>
        <v/>
      </c>
      <c r="L619" s="16" t="str">
        <f>IFERROR(IF([2]对账明细接口!$L$619=0,"",[2]对账明细接口!$L$619),"")</f>
        <v/>
      </c>
      <c r="M619" s="16" t="str">
        <f>IFERROR(IF([2]对账明细接口!$M$619=0,"",[2]对账明细接口!$M$619),"")</f>
        <v/>
      </c>
      <c r="N619" s="19">
        <f t="shared" si="54"/>
        <v>0</v>
      </c>
      <c r="O619" s="19">
        <f t="shared" si="55"/>
        <v>165</v>
      </c>
      <c r="S619" s="20" t="str">
        <f>IFERROR(IF([2]对账明细接口!$N619=0,"",[2]对账明细接口!$N619),"")</f>
        <v/>
      </c>
      <c r="T619" s="21" t="str">
        <f>IFERROR(IF([2]对账明细接口!$O619=0,"",[2]对账明细接口!$O619),"")</f>
        <v/>
      </c>
      <c r="U619" s="21" t="str">
        <f>IFERROR(IF([2]对账明细接口!$P619=0,"",[2]对账明细接口!$P619),"")</f>
        <v/>
      </c>
      <c r="V619" s="21" t="str">
        <f>IFERROR(IF([2]对账明细接口!$Q619=0,"",[2]对账明细接口!$Q619),"")</f>
        <v/>
      </c>
      <c r="W619" s="20" t="str">
        <f>IFERROR(IF([2]对账明细接口!$R619=0,"",[2]对账明细接口!$R619),"")</f>
        <v/>
      </c>
      <c r="X619" s="20" t="str">
        <f>IFERROR(IF([2]对账明细接口!$S619=0,"",[2]对账明细接口!$S619),"")</f>
        <v/>
      </c>
      <c r="Y619" s="20" t="str">
        <f t="shared" si="56"/>
        <v/>
      </c>
      <c r="Z619" s="20" t="str">
        <f t="shared" si="57"/>
        <v/>
      </c>
      <c r="AA619" s="20" t="str">
        <f t="shared" si="58"/>
        <v/>
      </c>
      <c r="AB619" s="20" t="str">
        <f t="shared" si="59"/>
        <v/>
      </c>
    </row>
    <row r="620" customHeight="1" spans="1:28">
      <c r="A620" s="14">
        <v>620</v>
      </c>
      <c r="B620" s="15" t="str">
        <f>IFERROR(IF([2]对账明细接口!$B$620=0,"",[2]对账明细接口!$B$620),"")</f>
        <v/>
      </c>
      <c r="C620" s="16" t="str">
        <f>IFERROR(IF([2]对账明细接口!$C$620=0,"",[2]对账明细接口!$C$620),"")</f>
        <v/>
      </c>
      <c r="D620" s="16" t="str">
        <f>IFERROR(IF([2]对账明细接口!$D$620=0,"",[2]对账明细接口!$D$620),"")</f>
        <v/>
      </c>
      <c r="E620" s="16" t="str">
        <f>IFERROR(IF([2]对账明细接口!$E$620=0,"",[2]对账明细接口!$E$620),"")</f>
        <v/>
      </c>
      <c r="F620" s="16" t="str">
        <f>IFERROR(IF([2]对账明细接口!$F$620=0,"",[2]对账明细接口!$F$620),"")</f>
        <v/>
      </c>
      <c r="G620" s="16" t="str">
        <f>IFERROR(IF([2]对账明细接口!$G$620=0,"",[2]对账明细接口!$G$620),"")</f>
        <v/>
      </c>
      <c r="H620" s="17" t="str">
        <f>IFERROR(IF([2]对账明细接口!$H$620=0,"",[2]对账明细接口!$H$620),"")</f>
        <v/>
      </c>
      <c r="I620" s="16" t="str">
        <f>IFERROR(IF([2]对账明细接口!$I$620=0,"",[2]对账明细接口!$I$620),"")</f>
        <v/>
      </c>
      <c r="J620" s="18" t="str">
        <f>IFERROR(IF([2]对账明细接口!$J$620=0,"",[2]对账明细接口!$J$620),"")</f>
        <v/>
      </c>
      <c r="K620" s="18" t="str">
        <f>IFERROR(IF([2]对账明细接口!$K$620=0,"",[2]对账明细接口!$K$620),"")</f>
        <v/>
      </c>
      <c r="L620" s="16" t="str">
        <f>IFERROR(IF([2]对账明细接口!$L$620=0,"",[2]对账明细接口!$L$620),"")</f>
        <v/>
      </c>
      <c r="M620" s="16" t="str">
        <f>IFERROR(IF([2]对账明细接口!$M$620=0,"",[2]对账明细接口!$M$620),"")</f>
        <v/>
      </c>
      <c r="N620" s="19">
        <f t="shared" si="54"/>
        <v>0</v>
      </c>
      <c r="O620" s="19">
        <f t="shared" si="55"/>
        <v>165</v>
      </c>
      <c r="S620" s="20" t="str">
        <f>IFERROR(IF([2]对账明细接口!$N620=0,"",[2]对账明细接口!$N620),"")</f>
        <v/>
      </c>
      <c r="T620" s="21" t="str">
        <f>IFERROR(IF([2]对账明细接口!$O620=0,"",[2]对账明细接口!$O620),"")</f>
        <v/>
      </c>
      <c r="U620" s="21" t="str">
        <f>IFERROR(IF([2]对账明细接口!$P620=0,"",[2]对账明细接口!$P620),"")</f>
        <v/>
      </c>
      <c r="V620" s="21" t="str">
        <f>IFERROR(IF([2]对账明细接口!$Q620=0,"",[2]对账明细接口!$Q620),"")</f>
        <v/>
      </c>
      <c r="W620" s="20" t="str">
        <f>IFERROR(IF([2]对账明细接口!$R620=0,"",[2]对账明细接口!$R620),"")</f>
        <v/>
      </c>
      <c r="X620" s="20" t="str">
        <f>IFERROR(IF([2]对账明细接口!$S620=0,"",[2]对账明细接口!$S620),"")</f>
        <v/>
      </c>
      <c r="Y620" s="20" t="str">
        <f t="shared" si="56"/>
        <v/>
      </c>
      <c r="Z620" s="20" t="str">
        <f t="shared" si="57"/>
        <v/>
      </c>
      <c r="AA620" s="20" t="str">
        <f t="shared" si="58"/>
        <v/>
      </c>
      <c r="AB620" s="20" t="str">
        <f t="shared" si="59"/>
        <v/>
      </c>
    </row>
    <row r="621" customHeight="1" spans="1:28">
      <c r="A621" s="14">
        <v>621</v>
      </c>
      <c r="B621" s="15" t="str">
        <f>IFERROR(IF([2]对账明细接口!$B$621=0,"",[2]对账明细接口!$B$621),"")</f>
        <v/>
      </c>
      <c r="C621" s="16" t="str">
        <f>IFERROR(IF([2]对账明细接口!$C$621=0,"",[2]对账明细接口!$C$621),"")</f>
        <v/>
      </c>
      <c r="D621" s="16" t="str">
        <f>IFERROR(IF([2]对账明细接口!$D$621=0,"",[2]对账明细接口!$D$621),"")</f>
        <v/>
      </c>
      <c r="E621" s="16" t="str">
        <f>IFERROR(IF([2]对账明细接口!$E$621=0,"",[2]对账明细接口!$E$621),"")</f>
        <v/>
      </c>
      <c r="F621" s="16" t="str">
        <f>IFERROR(IF([2]对账明细接口!$F$621=0,"",[2]对账明细接口!$F$621),"")</f>
        <v/>
      </c>
      <c r="G621" s="16" t="str">
        <f>IFERROR(IF([2]对账明细接口!$G$621=0,"",[2]对账明细接口!$G$621),"")</f>
        <v/>
      </c>
      <c r="H621" s="17" t="str">
        <f>IFERROR(IF([2]对账明细接口!$H$621=0,"",[2]对账明细接口!$H$621),"")</f>
        <v/>
      </c>
      <c r="I621" s="16" t="str">
        <f>IFERROR(IF([2]对账明细接口!$I$621=0,"",[2]对账明细接口!$I$621),"")</f>
        <v/>
      </c>
      <c r="J621" s="18" t="str">
        <f>IFERROR(IF([2]对账明细接口!$J$621=0,"",[2]对账明细接口!$J$621),"")</f>
        <v/>
      </c>
      <c r="K621" s="18" t="str">
        <f>IFERROR(IF([2]对账明细接口!$K$621=0,"",[2]对账明细接口!$K$621),"")</f>
        <v/>
      </c>
      <c r="L621" s="16" t="str">
        <f>IFERROR(IF([2]对账明细接口!$L$621=0,"",[2]对账明细接口!$L$621),"")</f>
        <v/>
      </c>
      <c r="M621" s="16" t="str">
        <f>IFERROR(IF([2]对账明细接口!$M$621=0,"",[2]对账明细接口!$M$621),"")</f>
        <v/>
      </c>
      <c r="N621" s="19">
        <f t="shared" si="54"/>
        <v>0</v>
      </c>
      <c r="O621" s="19">
        <f t="shared" si="55"/>
        <v>165</v>
      </c>
      <c r="S621" s="20" t="str">
        <f>IFERROR(IF([2]对账明细接口!$N621=0,"",[2]对账明细接口!$N621),"")</f>
        <v/>
      </c>
      <c r="T621" s="21" t="str">
        <f>IFERROR(IF([2]对账明细接口!$O621=0,"",[2]对账明细接口!$O621),"")</f>
        <v/>
      </c>
      <c r="U621" s="21" t="str">
        <f>IFERROR(IF([2]对账明细接口!$P621=0,"",[2]对账明细接口!$P621),"")</f>
        <v/>
      </c>
      <c r="V621" s="21" t="str">
        <f>IFERROR(IF([2]对账明细接口!$Q621=0,"",[2]对账明细接口!$Q621),"")</f>
        <v/>
      </c>
      <c r="W621" s="20" t="str">
        <f>IFERROR(IF([2]对账明细接口!$R621=0,"",[2]对账明细接口!$R621),"")</f>
        <v/>
      </c>
      <c r="X621" s="20" t="str">
        <f>IFERROR(IF([2]对账明细接口!$S621=0,"",[2]对账明细接口!$S621),"")</f>
        <v/>
      </c>
      <c r="Y621" s="20" t="str">
        <f t="shared" si="56"/>
        <v/>
      </c>
      <c r="Z621" s="20" t="str">
        <f t="shared" si="57"/>
        <v/>
      </c>
      <c r="AA621" s="20" t="str">
        <f t="shared" si="58"/>
        <v/>
      </c>
      <c r="AB621" s="20" t="str">
        <f t="shared" si="59"/>
        <v/>
      </c>
    </row>
    <row r="622" customHeight="1" spans="1:28">
      <c r="A622" s="14">
        <v>622</v>
      </c>
      <c r="B622" s="15" t="str">
        <f>IFERROR(IF([2]对账明细接口!$B$622=0,"",[2]对账明细接口!$B$622),"")</f>
        <v/>
      </c>
      <c r="C622" s="16" t="str">
        <f>IFERROR(IF([2]对账明细接口!$C$622=0,"",[2]对账明细接口!$C$622),"")</f>
        <v/>
      </c>
      <c r="D622" s="16" t="str">
        <f>IFERROR(IF([2]对账明细接口!$D$622=0,"",[2]对账明细接口!$D$622),"")</f>
        <v/>
      </c>
      <c r="E622" s="16" t="str">
        <f>IFERROR(IF([2]对账明细接口!$E$622=0,"",[2]对账明细接口!$E$622),"")</f>
        <v/>
      </c>
      <c r="F622" s="16" t="str">
        <f>IFERROR(IF([2]对账明细接口!$F$622=0,"",[2]对账明细接口!$F$622),"")</f>
        <v/>
      </c>
      <c r="G622" s="16" t="str">
        <f>IFERROR(IF([2]对账明细接口!$G$622=0,"",[2]对账明细接口!$G$622),"")</f>
        <v/>
      </c>
      <c r="H622" s="17" t="str">
        <f>IFERROR(IF([2]对账明细接口!$H$622=0,"",[2]对账明细接口!$H$622),"")</f>
        <v/>
      </c>
      <c r="I622" s="16" t="str">
        <f>IFERROR(IF([2]对账明细接口!$I$622=0,"",[2]对账明细接口!$I$622),"")</f>
        <v/>
      </c>
      <c r="J622" s="18" t="str">
        <f>IFERROR(IF([2]对账明细接口!$J$622=0,"",[2]对账明细接口!$J$622),"")</f>
        <v/>
      </c>
      <c r="K622" s="18" t="str">
        <f>IFERROR(IF([2]对账明细接口!$K$622=0,"",[2]对账明细接口!$K$622),"")</f>
        <v/>
      </c>
      <c r="L622" s="16" t="str">
        <f>IFERROR(IF([2]对账明细接口!$L$622=0,"",[2]对账明细接口!$L$622),"")</f>
        <v/>
      </c>
      <c r="M622" s="16" t="str">
        <f>IFERROR(IF([2]对账明细接口!$M$622=0,"",[2]对账明细接口!$M$622),"")</f>
        <v/>
      </c>
      <c r="N622" s="19">
        <f t="shared" si="54"/>
        <v>0</v>
      </c>
      <c r="O622" s="19">
        <f t="shared" si="55"/>
        <v>165</v>
      </c>
      <c r="S622" s="20" t="str">
        <f>IFERROR(IF([2]对账明细接口!$N622=0,"",[2]对账明细接口!$N622),"")</f>
        <v/>
      </c>
      <c r="T622" s="21" t="str">
        <f>IFERROR(IF([2]对账明细接口!$O622=0,"",[2]对账明细接口!$O622),"")</f>
        <v/>
      </c>
      <c r="U622" s="21" t="str">
        <f>IFERROR(IF([2]对账明细接口!$P622=0,"",[2]对账明细接口!$P622),"")</f>
        <v/>
      </c>
      <c r="V622" s="21" t="str">
        <f>IFERROR(IF([2]对账明细接口!$Q622=0,"",[2]对账明细接口!$Q622),"")</f>
        <v/>
      </c>
      <c r="W622" s="20" t="str">
        <f>IFERROR(IF([2]对账明细接口!$R622=0,"",[2]对账明细接口!$R622),"")</f>
        <v/>
      </c>
      <c r="X622" s="20" t="str">
        <f>IFERROR(IF([2]对账明细接口!$S622=0,"",[2]对账明细接口!$S622),"")</f>
        <v/>
      </c>
      <c r="Y622" s="20" t="str">
        <f t="shared" si="56"/>
        <v/>
      </c>
      <c r="Z622" s="20" t="str">
        <f t="shared" si="57"/>
        <v/>
      </c>
      <c r="AA622" s="20" t="str">
        <f t="shared" si="58"/>
        <v/>
      </c>
      <c r="AB622" s="20" t="str">
        <f t="shared" si="59"/>
        <v/>
      </c>
    </row>
    <row r="623" customHeight="1" spans="1:28">
      <c r="A623" s="14">
        <v>623</v>
      </c>
      <c r="B623" s="15" t="str">
        <f>IFERROR(IF([2]对账明细接口!$B$623=0,"",[2]对账明细接口!$B$623),"")</f>
        <v/>
      </c>
      <c r="C623" s="16" t="str">
        <f>IFERROR(IF([2]对账明细接口!$C$623=0,"",[2]对账明细接口!$C$623),"")</f>
        <v/>
      </c>
      <c r="D623" s="16" t="str">
        <f>IFERROR(IF([2]对账明细接口!$D$623=0,"",[2]对账明细接口!$D$623),"")</f>
        <v/>
      </c>
      <c r="E623" s="16" t="str">
        <f>IFERROR(IF([2]对账明细接口!$E$623=0,"",[2]对账明细接口!$E$623),"")</f>
        <v/>
      </c>
      <c r="F623" s="16" t="str">
        <f>IFERROR(IF([2]对账明细接口!$F$623=0,"",[2]对账明细接口!$F$623),"")</f>
        <v/>
      </c>
      <c r="G623" s="16" t="str">
        <f>IFERROR(IF([2]对账明细接口!$G$623=0,"",[2]对账明细接口!$G$623),"")</f>
        <v/>
      </c>
      <c r="H623" s="17" t="str">
        <f>IFERROR(IF([2]对账明细接口!$H$623=0,"",[2]对账明细接口!$H$623),"")</f>
        <v/>
      </c>
      <c r="I623" s="16" t="str">
        <f>IFERROR(IF([2]对账明细接口!$I$623=0,"",[2]对账明细接口!$I$623),"")</f>
        <v/>
      </c>
      <c r="J623" s="18" t="str">
        <f>IFERROR(IF([2]对账明细接口!$J$623=0,"",[2]对账明细接口!$J$623),"")</f>
        <v/>
      </c>
      <c r="K623" s="18" t="str">
        <f>IFERROR(IF([2]对账明细接口!$K$623=0,"",[2]对账明细接口!$K$623),"")</f>
        <v/>
      </c>
      <c r="L623" s="16" t="str">
        <f>IFERROR(IF([2]对账明细接口!$L$623=0,"",[2]对账明细接口!$L$623),"")</f>
        <v/>
      </c>
      <c r="M623" s="16" t="str">
        <f>IFERROR(IF([2]对账明细接口!$M$623=0,"",[2]对账明细接口!$M$623),"")</f>
        <v/>
      </c>
      <c r="N623" s="19">
        <f t="shared" si="54"/>
        <v>0</v>
      </c>
      <c r="O623" s="19">
        <f t="shared" si="55"/>
        <v>165</v>
      </c>
      <c r="S623" s="20" t="str">
        <f>IFERROR(IF([2]对账明细接口!$N623=0,"",[2]对账明细接口!$N623),"")</f>
        <v/>
      </c>
      <c r="T623" s="21" t="str">
        <f>IFERROR(IF([2]对账明细接口!$O623=0,"",[2]对账明细接口!$O623),"")</f>
        <v/>
      </c>
      <c r="U623" s="21" t="str">
        <f>IFERROR(IF([2]对账明细接口!$P623=0,"",[2]对账明细接口!$P623),"")</f>
        <v/>
      </c>
      <c r="V623" s="21" t="str">
        <f>IFERROR(IF([2]对账明细接口!$Q623=0,"",[2]对账明细接口!$Q623),"")</f>
        <v/>
      </c>
      <c r="W623" s="20" t="str">
        <f>IFERROR(IF([2]对账明细接口!$R623=0,"",[2]对账明细接口!$R623),"")</f>
        <v/>
      </c>
      <c r="X623" s="20" t="str">
        <f>IFERROR(IF([2]对账明细接口!$S623=0,"",[2]对账明细接口!$S623),"")</f>
        <v/>
      </c>
      <c r="Y623" s="20" t="str">
        <f t="shared" si="56"/>
        <v/>
      </c>
      <c r="Z623" s="20" t="str">
        <f t="shared" si="57"/>
        <v/>
      </c>
      <c r="AA623" s="20" t="str">
        <f t="shared" si="58"/>
        <v/>
      </c>
      <c r="AB623" s="20" t="str">
        <f t="shared" si="59"/>
        <v/>
      </c>
    </row>
    <row r="624" customHeight="1" spans="1:28">
      <c r="A624" s="14">
        <v>624</v>
      </c>
      <c r="B624" s="15" t="str">
        <f>IFERROR(IF([2]对账明细接口!$B$624=0,"",[2]对账明细接口!$B$624),"")</f>
        <v/>
      </c>
      <c r="C624" s="16" t="str">
        <f>IFERROR(IF([2]对账明细接口!$C$624=0,"",[2]对账明细接口!$C$624),"")</f>
        <v/>
      </c>
      <c r="D624" s="16" t="str">
        <f>IFERROR(IF([2]对账明细接口!$D$624=0,"",[2]对账明细接口!$D$624),"")</f>
        <v/>
      </c>
      <c r="E624" s="16" t="str">
        <f>IFERROR(IF([2]对账明细接口!$E$624=0,"",[2]对账明细接口!$E$624),"")</f>
        <v/>
      </c>
      <c r="F624" s="16" t="str">
        <f>IFERROR(IF([2]对账明细接口!$F$624=0,"",[2]对账明细接口!$F$624),"")</f>
        <v/>
      </c>
      <c r="G624" s="16" t="str">
        <f>IFERROR(IF([2]对账明细接口!$G$624=0,"",[2]对账明细接口!$G$624),"")</f>
        <v/>
      </c>
      <c r="H624" s="17" t="str">
        <f>IFERROR(IF([2]对账明细接口!$H$624=0,"",[2]对账明细接口!$H$624),"")</f>
        <v/>
      </c>
      <c r="I624" s="16" t="str">
        <f>IFERROR(IF([2]对账明细接口!$I$624=0,"",[2]对账明细接口!$I$624),"")</f>
        <v/>
      </c>
      <c r="J624" s="18" t="str">
        <f>IFERROR(IF([2]对账明细接口!$J$624=0,"",[2]对账明细接口!$J$624),"")</f>
        <v/>
      </c>
      <c r="K624" s="18" t="str">
        <f>IFERROR(IF([2]对账明细接口!$K$624=0,"",[2]对账明细接口!$K$624),"")</f>
        <v/>
      </c>
      <c r="L624" s="16" t="str">
        <f>IFERROR(IF([2]对账明细接口!$L$624=0,"",[2]对账明细接口!$L$624),"")</f>
        <v/>
      </c>
      <c r="M624" s="16" t="str">
        <f>IFERROR(IF([2]对账明细接口!$M$624=0,"",[2]对账明细接口!$M$624),"")</f>
        <v/>
      </c>
      <c r="N624" s="19">
        <f t="shared" si="54"/>
        <v>0</v>
      </c>
      <c r="O624" s="19">
        <f t="shared" si="55"/>
        <v>165</v>
      </c>
      <c r="S624" s="20" t="str">
        <f>IFERROR(IF([2]对账明细接口!$N624=0,"",[2]对账明细接口!$N624),"")</f>
        <v/>
      </c>
      <c r="T624" s="21" t="str">
        <f>IFERROR(IF([2]对账明细接口!$O624=0,"",[2]对账明细接口!$O624),"")</f>
        <v/>
      </c>
      <c r="U624" s="21" t="str">
        <f>IFERROR(IF([2]对账明细接口!$P624=0,"",[2]对账明细接口!$P624),"")</f>
        <v/>
      </c>
      <c r="V624" s="21" t="str">
        <f>IFERROR(IF([2]对账明细接口!$Q624=0,"",[2]对账明细接口!$Q624),"")</f>
        <v/>
      </c>
      <c r="W624" s="20" t="str">
        <f>IFERROR(IF([2]对账明细接口!$R624=0,"",[2]对账明细接口!$R624),"")</f>
        <v/>
      </c>
      <c r="X624" s="20" t="str">
        <f>IFERROR(IF([2]对账明细接口!$S624=0,"",[2]对账明细接口!$S624),"")</f>
        <v/>
      </c>
      <c r="Y624" s="20" t="str">
        <f t="shared" si="56"/>
        <v/>
      </c>
      <c r="Z624" s="20" t="str">
        <f t="shared" si="57"/>
        <v/>
      </c>
      <c r="AA624" s="20" t="str">
        <f t="shared" si="58"/>
        <v/>
      </c>
      <c r="AB624" s="20" t="str">
        <f t="shared" si="59"/>
        <v/>
      </c>
    </row>
    <row r="625" customHeight="1" spans="1:28">
      <c r="A625" s="14">
        <v>625</v>
      </c>
      <c r="B625" s="15" t="str">
        <f>IFERROR(IF([2]对账明细接口!$B$625=0,"",[2]对账明细接口!$B$625),"")</f>
        <v/>
      </c>
      <c r="C625" s="16" t="str">
        <f>IFERROR(IF([2]对账明细接口!$C$625=0,"",[2]对账明细接口!$C$625),"")</f>
        <v/>
      </c>
      <c r="D625" s="16" t="str">
        <f>IFERROR(IF([2]对账明细接口!$D$625=0,"",[2]对账明细接口!$D$625),"")</f>
        <v/>
      </c>
      <c r="E625" s="16" t="str">
        <f>IFERROR(IF([2]对账明细接口!$E$625=0,"",[2]对账明细接口!$E$625),"")</f>
        <v/>
      </c>
      <c r="F625" s="16" t="str">
        <f>IFERROR(IF([2]对账明细接口!$F$625=0,"",[2]对账明细接口!$F$625),"")</f>
        <v/>
      </c>
      <c r="G625" s="16" t="str">
        <f>IFERROR(IF([2]对账明细接口!$G$625=0,"",[2]对账明细接口!$G$625),"")</f>
        <v/>
      </c>
      <c r="H625" s="17" t="str">
        <f>IFERROR(IF([2]对账明细接口!$H$625=0,"",[2]对账明细接口!$H$625),"")</f>
        <v/>
      </c>
      <c r="I625" s="16" t="str">
        <f>IFERROR(IF([2]对账明细接口!$I$625=0,"",[2]对账明细接口!$I$625),"")</f>
        <v/>
      </c>
      <c r="J625" s="18" t="str">
        <f>IFERROR(IF([2]对账明细接口!$J$625=0,"",[2]对账明细接口!$J$625),"")</f>
        <v/>
      </c>
      <c r="K625" s="18" t="str">
        <f>IFERROR(IF([2]对账明细接口!$K$625=0,"",[2]对账明细接口!$K$625),"")</f>
        <v/>
      </c>
      <c r="L625" s="16" t="str">
        <f>IFERROR(IF([2]对账明细接口!$L$625=0,"",[2]对账明细接口!$L$625),"")</f>
        <v/>
      </c>
      <c r="M625" s="16" t="str">
        <f>IFERROR(IF([2]对账明细接口!$M$625=0,"",[2]对账明细接口!$M$625),"")</f>
        <v/>
      </c>
      <c r="N625" s="19">
        <f t="shared" si="54"/>
        <v>0</v>
      </c>
      <c r="O625" s="19">
        <f t="shared" si="55"/>
        <v>165</v>
      </c>
      <c r="S625" s="20" t="str">
        <f>IFERROR(IF([2]对账明细接口!$N625=0,"",[2]对账明细接口!$N625),"")</f>
        <v/>
      </c>
      <c r="T625" s="21" t="str">
        <f>IFERROR(IF([2]对账明细接口!$O625=0,"",[2]对账明细接口!$O625),"")</f>
        <v/>
      </c>
      <c r="U625" s="21" t="str">
        <f>IFERROR(IF([2]对账明细接口!$P625=0,"",[2]对账明细接口!$P625),"")</f>
        <v/>
      </c>
      <c r="V625" s="21" t="str">
        <f>IFERROR(IF([2]对账明细接口!$Q625=0,"",[2]对账明细接口!$Q625),"")</f>
        <v/>
      </c>
      <c r="W625" s="20" t="str">
        <f>IFERROR(IF([2]对账明细接口!$R625=0,"",[2]对账明细接口!$R625),"")</f>
        <v/>
      </c>
      <c r="X625" s="20" t="str">
        <f>IFERROR(IF([2]对账明细接口!$S625=0,"",[2]对账明细接口!$S625),"")</f>
        <v/>
      </c>
      <c r="Y625" s="20" t="str">
        <f t="shared" si="56"/>
        <v/>
      </c>
      <c r="Z625" s="20" t="str">
        <f t="shared" si="57"/>
        <v/>
      </c>
      <c r="AA625" s="20" t="str">
        <f t="shared" si="58"/>
        <v/>
      </c>
      <c r="AB625" s="20" t="str">
        <f t="shared" si="59"/>
        <v/>
      </c>
    </row>
    <row r="626" customHeight="1" spans="1:28">
      <c r="A626" s="14">
        <v>626</v>
      </c>
      <c r="B626" s="15" t="str">
        <f>IFERROR(IF([2]对账明细接口!$B$626=0,"",[2]对账明细接口!$B$626),"")</f>
        <v/>
      </c>
      <c r="C626" s="16" t="str">
        <f>IFERROR(IF([2]对账明细接口!$C$626=0,"",[2]对账明细接口!$C$626),"")</f>
        <v/>
      </c>
      <c r="D626" s="16" t="str">
        <f>IFERROR(IF([2]对账明细接口!$D$626=0,"",[2]对账明细接口!$D$626),"")</f>
        <v/>
      </c>
      <c r="E626" s="16" t="str">
        <f>IFERROR(IF([2]对账明细接口!$E$626=0,"",[2]对账明细接口!$E$626),"")</f>
        <v/>
      </c>
      <c r="F626" s="16" t="str">
        <f>IFERROR(IF([2]对账明细接口!$F$626=0,"",[2]对账明细接口!$F$626),"")</f>
        <v/>
      </c>
      <c r="G626" s="16" t="str">
        <f>IFERROR(IF([2]对账明细接口!$G$626=0,"",[2]对账明细接口!$G$626),"")</f>
        <v/>
      </c>
      <c r="H626" s="17" t="str">
        <f>IFERROR(IF([2]对账明细接口!$H$626=0,"",[2]对账明细接口!$H$626),"")</f>
        <v/>
      </c>
      <c r="I626" s="16" t="str">
        <f>IFERROR(IF([2]对账明细接口!$I$626=0,"",[2]对账明细接口!$I$626),"")</f>
        <v/>
      </c>
      <c r="J626" s="18" t="str">
        <f>IFERROR(IF([2]对账明细接口!$J$626=0,"",[2]对账明细接口!$J$626),"")</f>
        <v/>
      </c>
      <c r="K626" s="18" t="str">
        <f>IFERROR(IF([2]对账明细接口!$K$626=0,"",[2]对账明细接口!$K$626),"")</f>
        <v/>
      </c>
      <c r="L626" s="16" t="str">
        <f>IFERROR(IF([2]对账明细接口!$L$626=0,"",[2]对账明细接口!$L$626),"")</f>
        <v/>
      </c>
      <c r="M626" s="16" t="str">
        <f>IFERROR(IF([2]对账明细接口!$M$626=0,"",[2]对账明细接口!$M$626),"")</f>
        <v/>
      </c>
      <c r="N626" s="19">
        <f t="shared" si="54"/>
        <v>0</v>
      </c>
      <c r="O626" s="19">
        <f t="shared" si="55"/>
        <v>165</v>
      </c>
      <c r="S626" s="20" t="str">
        <f>IFERROR(IF([2]对账明细接口!$N626=0,"",[2]对账明细接口!$N626),"")</f>
        <v/>
      </c>
      <c r="T626" s="21" t="str">
        <f>IFERROR(IF([2]对账明细接口!$O626=0,"",[2]对账明细接口!$O626),"")</f>
        <v/>
      </c>
      <c r="U626" s="21" t="str">
        <f>IFERROR(IF([2]对账明细接口!$P626=0,"",[2]对账明细接口!$P626),"")</f>
        <v/>
      </c>
      <c r="V626" s="21" t="str">
        <f>IFERROR(IF([2]对账明细接口!$Q626=0,"",[2]对账明细接口!$Q626),"")</f>
        <v/>
      </c>
      <c r="W626" s="20" t="str">
        <f>IFERROR(IF([2]对账明细接口!$R626=0,"",[2]对账明细接口!$R626),"")</f>
        <v/>
      </c>
      <c r="X626" s="20" t="str">
        <f>IFERROR(IF([2]对账明细接口!$S626=0,"",[2]对账明细接口!$S626),"")</f>
        <v/>
      </c>
      <c r="Y626" s="20" t="str">
        <f t="shared" si="56"/>
        <v/>
      </c>
      <c r="Z626" s="20" t="str">
        <f t="shared" si="57"/>
        <v/>
      </c>
      <c r="AA626" s="20" t="str">
        <f t="shared" si="58"/>
        <v/>
      </c>
      <c r="AB626" s="20" t="str">
        <f t="shared" si="59"/>
        <v/>
      </c>
    </row>
    <row r="627" customHeight="1" spans="1:28">
      <c r="A627" s="14">
        <v>627</v>
      </c>
      <c r="B627" s="15" t="str">
        <f>IFERROR(IF([2]对账明细接口!$B$627=0,"",[2]对账明细接口!$B$627),"")</f>
        <v/>
      </c>
      <c r="C627" s="16" t="str">
        <f>IFERROR(IF([2]对账明细接口!$C$627=0,"",[2]对账明细接口!$C$627),"")</f>
        <v/>
      </c>
      <c r="D627" s="16" t="str">
        <f>IFERROR(IF([2]对账明细接口!$D$627=0,"",[2]对账明细接口!$D$627),"")</f>
        <v/>
      </c>
      <c r="E627" s="16" t="str">
        <f>IFERROR(IF([2]对账明细接口!$E$627=0,"",[2]对账明细接口!$E$627),"")</f>
        <v/>
      </c>
      <c r="F627" s="16" t="str">
        <f>IFERROR(IF([2]对账明细接口!$F$627=0,"",[2]对账明细接口!$F$627),"")</f>
        <v/>
      </c>
      <c r="G627" s="16" t="str">
        <f>IFERROR(IF([2]对账明细接口!$G$627=0,"",[2]对账明细接口!$G$627),"")</f>
        <v/>
      </c>
      <c r="H627" s="17" t="str">
        <f>IFERROR(IF([2]对账明细接口!$H$627=0,"",[2]对账明细接口!$H$627),"")</f>
        <v/>
      </c>
      <c r="I627" s="16" t="str">
        <f>IFERROR(IF([2]对账明细接口!$I$627=0,"",[2]对账明细接口!$I$627),"")</f>
        <v/>
      </c>
      <c r="J627" s="18" t="str">
        <f>IFERROR(IF([2]对账明细接口!$J$627=0,"",[2]对账明细接口!$J$627),"")</f>
        <v/>
      </c>
      <c r="K627" s="18" t="str">
        <f>IFERROR(IF([2]对账明细接口!$K$627=0,"",[2]对账明细接口!$K$627),"")</f>
        <v/>
      </c>
      <c r="L627" s="16" t="str">
        <f>IFERROR(IF([2]对账明细接口!$L$627=0,"",[2]对账明细接口!$L$627),"")</f>
        <v/>
      </c>
      <c r="M627" s="16" t="str">
        <f>IFERROR(IF([2]对账明细接口!$M$627=0,"",[2]对账明细接口!$M$627),"")</f>
        <v/>
      </c>
      <c r="N627" s="19">
        <f t="shared" si="54"/>
        <v>0</v>
      </c>
      <c r="O627" s="19">
        <f t="shared" si="55"/>
        <v>165</v>
      </c>
      <c r="S627" s="20" t="str">
        <f>IFERROR(IF([2]对账明细接口!$N627=0,"",[2]对账明细接口!$N627),"")</f>
        <v/>
      </c>
      <c r="T627" s="21" t="str">
        <f>IFERROR(IF([2]对账明细接口!$O627=0,"",[2]对账明细接口!$O627),"")</f>
        <v/>
      </c>
      <c r="U627" s="21" t="str">
        <f>IFERROR(IF([2]对账明细接口!$P627=0,"",[2]对账明细接口!$P627),"")</f>
        <v/>
      </c>
      <c r="V627" s="21" t="str">
        <f>IFERROR(IF([2]对账明细接口!$Q627=0,"",[2]对账明细接口!$Q627),"")</f>
        <v/>
      </c>
      <c r="W627" s="20" t="str">
        <f>IFERROR(IF([2]对账明细接口!$R627=0,"",[2]对账明细接口!$R627),"")</f>
        <v/>
      </c>
      <c r="X627" s="20" t="str">
        <f>IFERROR(IF([2]对账明细接口!$S627=0,"",[2]对账明细接口!$S627),"")</f>
        <v/>
      </c>
      <c r="Y627" s="20" t="str">
        <f t="shared" si="56"/>
        <v/>
      </c>
      <c r="Z627" s="20" t="str">
        <f t="shared" si="57"/>
        <v/>
      </c>
      <c r="AA627" s="20" t="str">
        <f t="shared" si="58"/>
        <v/>
      </c>
      <c r="AB627" s="20" t="str">
        <f t="shared" si="59"/>
        <v/>
      </c>
    </row>
    <row r="628" customHeight="1" spans="1:28">
      <c r="A628" s="14">
        <v>628</v>
      </c>
      <c r="B628" s="15" t="str">
        <f>IFERROR(IF([2]对账明细接口!$B$628=0,"",[2]对账明细接口!$B$628),"")</f>
        <v/>
      </c>
      <c r="C628" s="16" t="str">
        <f>IFERROR(IF([2]对账明细接口!$C$628=0,"",[2]对账明细接口!$C$628),"")</f>
        <v/>
      </c>
      <c r="D628" s="16" t="str">
        <f>IFERROR(IF([2]对账明细接口!$D$628=0,"",[2]对账明细接口!$D$628),"")</f>
        <v/>
      </c>
      <c r="E628" s="16" t="str">
        <f>IFERROR(IF([2]对账明细接口!$E$628=0,"",[2]对账明细接口!$E$628),"")</f>
        <v/>
      </c>
      <c r="F628" s="16" t="str">
        <f>IFERROR(IF([2]对账明细接口!$F$628=0,"",[2]对账明细接口!$F$628),"")</f>
        <v/>
      </c>
      <c r="G628" s="16" t="str">
        <f>IFERROR(IF([2]对账明细接口!$G$628=0,"",[2]对账明细接口!$G$628),"")</f>
        <v/>
      </c>
      <c r="H628" s="17" t="str">
        <f>IFERROR(IF([2]对账明细接口!$H$628=0,"",[2]对账明细接口!$H$628),"")</f>
        <v/>
      </c>
      <c r="I628" s="16" t="str">
        <f>IFERROR(IF([2]对账明细接口!$I$628=0,"",[2]对账明细接口!$I$628),"")</f>
        <v/>
      </c>
      <c r="J628" s="18" t="str">
        <f>IFERROR(IF([2]对账明细接口!$J$628=0,"",[2]对账明细接口!$J$628),"")</f>
        <v/>
      </c>
      <c r="K628" s="18" t="str">
        <f>IFERROR(IF([2]对账明细接口!$K$628=0,"",[2]对账明细接口!$K$628),"")</f>
        <v/>
      </c>
      <c r="L628" s="16" t="str">
        <f>IFERROR(IF([2]对账明细接口!$L$628=0,"",[2]对账明细接口!$L$628),"")</f>
        <v/>
      </c>
      <c r="M628" s="16" t="str">
        <f>IFERROR(IF([2]对账明细接口!$M$628=0,"",[2]对账明细接口!$M$628),"")</f>
        <v/>
      </c>
      <c r="N628" s="19">
        <f t="shared" si="54"/>
        <v>0</v>
      </c>
      <c r="O628" s="19">
        <f t="shared" si="55"/>
        <v>165</v>
      </c>
      <c r="S628" s="20" t="str">
        <f>IFERROR(IF([2]对账明细接口!$N628=0,"",[2]对账明细接口!$N628),"")</f>
        <v/>
      </c>
      <c r="T628" s="21" t="str">
        <f>IFERROR(IF([2]对账明细接口!$O628=0,"",[2]对账明细接口!$O628),"")</f>
        <v/>
      </c>
      <c r="U628" s="21" t="str">
        <f>IFERROR(IF([2]对账明细接口!$P628=0,"",[2]对账明细接口!$P628),"")</f>
        <v/>
      </c>
      <c r="V628" s="21" t="str">
        <f>IFERROR(IF([2]对账明细接口!$Q628=0,"",[2]对账明细接口!$Q628),"")</f>
        <v/>
      </c>
      <c r="W628" s="20" t="str">
        <f>IFERROR(IF([2]对账明细接口!$R628=0,"",[2]对账明细接口!$R628),"")</f>
        <v/>
      </c>
      <c r="X628" s="20" t="str">
        <f>IFERROR(IF([2]对账明细接口!$S628=0,"",[2]对账明细接口!$S628),"")</f>
        <v/>
      </c>
      <c r="Y628" s="20" t="str">
        <f t="shared" si="56"/>
        <v/>
      </c>
      <c r="Z628" s="20" t="str">
        <f t="shared" si="57"/>
        <v/>
      </c>
      <c r="AA628" s="20" t="str">
        <f t="shared" si="58"/>
        <v/>
      </c>
      <c r="AB628" s="20" t="str">
        <f t="shared" si="59"/>
        <v/>
      </c>
    </row>
    <row r="629" customHeight="1" spans="1:28">
      <c r="A629" s="14">
        <v>629</v>
      </c>
      <c r="B629" s="15" t="str">
        <f>IFERROR(IF([2]对账明细接口!$B$629=0,"",[2]对账明细接口!$B$629),"")</f>
        <v/>
      </c>
      <c r="C629" s="16" t="str">
        <f>IFERROR(IF([2]对账明细接口!$C$629=0,"",[2]对账明细接口!$C$629),"")</f>
        <v/>
      </c>
      <c r="D629" s="16" t="str">
        <f>IFERROR(IF([2]对账明细接口!$D$629=0,"",[2]对账明细接口!$D$629),"")</f>
        <v/>
      </c>
      <c r="E629" s="16" t="str">
        <f>IFERROR(IF([2]对账明细接口!$E$629=0,"",[2]对账明细接口!$E$629),"")</f>
        <v/>
      </c>
      <c r="F629" s="16" t="str">
        <f>IFERROR(IF([2]对账明细接口!$F$629=0,"",[2]对账明细接口!$F$629),"")</f>
        <v/>
      </c>
      <c r="G629" s="16" t="str">
        <f>IFERROR(IF([2]对账明细接口!$G$629=0,"",[2]对账明细接口!$G$629),"")</f>
        <v/>
      </c>
      <c r="H629" s="17" t="str">
        <f>IFERROR(IF([2]对账明细接口!$H$629=0,"",[2]对账明细接口!$H$629),"")</f>
        <v/>
      </c>
      <c r="I629" s="16" t="str">
        <f>IFERROR(IF([2]对账明细接口!$I$629=0,"",[2]对账明细接口!$I$629),"")</f>
        <v/>
      </c>
      <c r="J629" s="18" t="str">
        <f>IFERROR(IF([2]对账明细接口!$J$629=0,"",[2]对账明细接口!$J$629),"")</f>
        <v/>
      </c>
      <c r="K629" s="18" t="str">
        <f>IFERROR(IF([2]对账明细接口!$K$629=0,"",[2]对账明细接口!$K$629),"")</f>
        <v/>
      </c>
      <c r="L629" s="16" t="str">
        <f>IFERROR(IF([2]对账明细接口!$L$629=0,"",[2]对账明细接口!$L$629),"")</f>
        <v/>
      </c>
      <c r="M629" s="16" t="str">
        <f>IFERROR(IF([2]对账明细接口!$M$629=0,"",[2]对账明细接口!$M$629),"")</f>
        <v/>
      </c>
      <c r="N629" s="19">
        <f t="shared" si="54"/>
        <v>0</v>
      </c>
      <c r="O629" s="19">
        <f t="shared" si="55"/>
        <v>165</v>
      </c>
      <c r="S629" s="20" t="str">
        <f>IFERROR(IF([2]对账明细接口!$N629=0,"",[2]对账明细接口!$N629),"")</f>
        <v/>
      </c>
      <c r="T629" s="21" t="str">
        <f>IFERROR(IF([2]对账明细接口!$O629=0,"",[2]对账明细接口!$O629),"")</f>
        <v/>
      </c>
      <c r="U629" s="21" t="str">
        <f>IFERROR(IF([2]对账明细接口!$P629=0,"",[2]对账明细接口!$P629),"")</f>
        <v/>
      </c>
      <c r="V629" s="21" t="str">
        <f>IFERROR(IF([2]对账明细接口!$Q629=0,"",[2]对账明细接口!$Q629),"")</f>
        <v/>
      </c>
      <c r="W629" s="20" t="str">
        <f>IFERROR(IF([2]对账明细接口!$R629=0,"",[2]对账明细接口!$R629),"")</f>
        <v/>
      </c>
      <c r="X629" s="20" t="str">
        <f>IFERROR(IF([2]对账明细接口!$S629=0,"",[2]对账明细接口!$S629),"")</f>
        <v/>
      </c>
      <c r="Y629" s="20" t="str">
        <f t="shared" si="56"/>
        <v/>
      </c>
      <c r="Z629" s="20" t="str">
        <f t="shared" si="57"/>
        <v/>
      </c>
      <c r="AA629" s="20" t="str">
        <f t="shared" si="58"/>
        <v/>
      </c>
      <c r="AB629" s="20" t="str">
        <f t="shared" si="59"/>
        <v/>
      </c>
    </row>
    <row r="630" customHeight="1" spans="1:28">
      <c r="A630" s="14">
        <v>630</v>
      </c>
      <c r="B630" s="15" t="str">
        <f>IFERROR(IF([2]对账明细接口!$B$630=0,"",[2]对账明细接口!$B$630),"")</f>
        <v/>
      </c>
      <c r="C630" s="16" t="str">
        <f>IFERROR(IF([2]对账明细接口!$C$630=0,"",[2]对账明细接口!$C$630),"")</f>
        <v/>
      </c>
      <c r="D630" s="16" t="str">
        <f>IFERROR(IF([2]对账明细接口!$D$630=0,"",[2]对账明细接口!$D$630),"")</f>
        <v/>
      </c>
      <c r="E630" s="16" t="str">
        <f>IFERROR(IF([2]对账明细接口!$E$630=0,"",[2]对账明细接口!$E$630),"")</f>
        <v/>
      </c>
      <c r="F630" s="16" t="str">
        <f>IFERROR(IF([2]对账明细接口!$F$630=0,"",[2]对账明细接口!$F$630),"")</f>
        <v/>
      </c>
      <c r="G630" s="16" t="str">
        <f>IFERROR(IF([2]对账明细接口!$G$630=0,"",[2]对账明细接口!$G$630),"")</f>
        <v/>
      </c>
      <c r="H630" s="17" t="str">
        <f>IFERROR(IF([2]对账明细接口!$H$630=0,"",[2]对账明细接口!$H$630),"")</f>
        <v/>
      </c>
      <c r="I630" s="16" t="str">
        <f>IFERROR(IF([2]对账明细接口!$I$630=0,"",[2]对账明细接口!$I$630),"")</f>
        <v/>
      </c>
      <c r="J630" s="18" t="str">
        <f>IFERROR(IF([2]对账明细接口!$J$630=0,"",[2]对账明细接口!$J$630),"")</f>
        <v/>
      </c>
      <c r="K630" s="18" t="str">
        <f>IFERROR(IF([2]对账明细接口!$K$630=0,"",[2]对账明细接口!$K$630),"")</f>
        <v/>
      </c>
      <c r="L630" s="16" t="str">
        <f>IFERROR(IF([2]对账明细接口!$L$630=0,"",[2]对账明细接口!$L$630),"")</f>
        <v/>
      </c>
      <c r="M630" s="16" t="str">
        <f>IFERROR(IF([2]对账明细接口!$M$630=0,"",[2]对账明细接口!$M$630),"")</f>
        <v/>
      </c>
      <c r="N630" s="19">
        <f t="shared" si="54"/>
        <v>0</v>
      </c>
      <c r="O630" s="19">
        <f t="shared" si="55"/>
        <v>165</v>
      </c>
      <c r="S630" s="20" t="str">
        <f>IFERROR(IF([2]对账明细接口!$N630=0,"",[2]对账明细接口!$N630),"")</f>
        <v/>
      </c>
      <c r="T630" s="21" t="str">
        <f>IFERROR(IF([2]对账明细接口!$O630=0,"",[2]对账明细接口!$O630),"")</f>
        <v/>
      </c>
      <c r="U630" s="21" t="str">
        <f>IFERROR(IF([2]对账明细接口!$P630=0,"",[2]对账明细接口!$P630),"")</f>
        <v/>
      </c>
      <c r="V630" s="21" t="str">
        <f>IFERROR(IF([2]对账明细接口!$Q630=0,"",[2]对账明细接口!$Q630),"")</f>
        <v/>
      </c>
      <c r="W630" s="20" t="str">
        <f>IFERROR(IF([2]对账明细接口!$R630=0,"",[2]对账明细接口!$R630),"")</f>
        <v/>
      </c>
      <c r="X630" s="20" t="str">
        <f>IFERROR(IF([2]对账明细接口!$S630=0,"",[2]对账明细接口!$S630),"")</f>
        <v/>
      </c>
      <c r="Y630" s="20" t="str">
        <f t="shared" si="56"/>
        <v/>
      </c>
      <c r="Z630" s="20" t="str">
        <f t="shared" si="57"/>
        <v/>
      </c>
      <c r="AA630" s="20" t="str">
        <f t="shared" si="58"/>
        <v/>
      </c>
      <c r="AB630" s="20" t="str">
        <f t="shared" si="59"/>
        <v/>
      </c>
    </row>
    <row r="631" customHeight="1" spans="1:28">
      <c r="A631" s="14">
        <v>631</v>
      </c>
      <c r="B631" s="15" t="str">
        <f>IFERROR(IF([2]对账明细接口!$B$631=0,"",[2]对账明细接口!$B$631),"")</f>
        <v/>
      </c>
      <c r="C631" s="16" t="str">
        <f>IFERROR(IF([2]对账明细接口!$C$631=0,"",[2]对账明细接口!$C$631),"")</f>
        <v/>
      </c>
      <c r="D631" s="16" t="str">
        <f>IFERROR(IF([2]对账明细接口!$D$631=0,"",[2]对账明细接口!$D$631),"")</f>
        <v/>
      </c>
      <c r="E631" s="16" t="str">
        <f>IFERROR(IF([2]对账明细接口!$E$631=0,"",[2]对账明细接口!$E$631),"")</f>
        <v/>
      </c>
      <c r="F631" s="16" t="str">
        <f>IFERROR(IF([2]对账明细接口!$F$631=0,"",[2]对账明细接口!$F$631),"")</f>
        <v/>
      </c>
      <c r="G631" s="16" t="str">
        <f>IFERROR(IF([2]对账明细接口!$G$631=0,"",[2]对账明细接口!$G$631),"")</f>
        <v/>
      </c>
      <c r="H631" s="17" t="str">
        <f>IFERROR(IF([2]对账明细接口!$H$631=0,"",[2]对账明细接口!$H$631),"")</f>
        <v/>
      </c>
      <c r="I631" s="16" t="str">
        <f>IFERROR(IF([2]对账明细接口!$I$631=0,"",[2]对账明细接口!$I$631),"")</f>
        <v/>
      </c>
      <c r="J631" s="18" t="str">
        <f>IFERROR(IF([2]对账明细接口!$J$631=0,"",[2]对账明细接口!$J$631),"")</f>
        <v/>
      </c>
      <c r="K631" s="18" t="str">
        <f>IFERROR(IF([2]对账明细接口!$K$631=0,"",[2]对账明细接口!$K$631),"")</f>
        <v/>
      </c>
      <c r="L631" s="16" t="str">
        <f>IFERROR(IF([2]对账明细接口!$L$631=0,"",[2]对账明细接口!$L$631),"")</f>
        <v/>
      </c>
      <c r="M631" s="16" t="str">
        <f>IFERROR(IF([2]对账明细接口!$M$631=0,"",[2]对账明细接口!$M$631),"")</f>
        <v/>
      </c>
      <c r="N631" s="19">
        <f t="shared" si="54"/>
        <v>0</v>
      </c>
      <c r="O631" s="19">
        <f t="shared" si="55"/>
        <v>165</v>
      </c>
      <c r="S631" s="20" t="str">
        <f>IFERROR(IF([2]对账明细接口!$N631=0,"",[2]对账明细接口!$N631),"")</f>
        <v/>
      </c>
      <c r="T631" s="21" t="str">
        <f>IFERROR(IF([2]对账明细接口!$O631=0,"",[2]对账明细接口!$O631),"")</f>
        <v/>
      </c>
      <c r="U631" s="21" t="str">
        <f>IFERROR(IF([2]对账明细接口!$P631=0,"",[2]对账明细接口!$P631),"")</f>
        <v/>
      </c>
      <c r="V631" s="21" t="str">
        <f>IFERROR(IF([2]对账明细接口!$Q631=0,"",[2]对账明细接口!$Q631),"")</f>
        <v/>
      </c>
      <c r="W631" s="20" t="str">
        <f>IFERROR(IF([2]对账明细接口!$R631=0,"",[2]对账明细接口!$R631),"")</f>
        <v/>
      </c>
      <c r="X631" s="20" t="str">
        <f>IFERROR(IF([2]对账明细接口!$S631=0,"",[2]对账明细接口!$S631),"")</f>
        <v/>
      </c>
      <c r="Y631" s="20" t="str">
        <f t="shared" si="56"/>
        <v/>
      </c>
      <c r="Z631" s="20" t="str">
        <f t="shared" si="57"/>
        <v/>
      </c>
      <c r="AA631" s="20" t="str">
        <f t="shared" si="58"/>
        <v/>
      </c>
      <c r="AB631" s="20" t="str">
        <f t="shared" si="59"/>
        <v/>
      </c>
    </row>
    <row r="632" customHeight="1" spans="1:28">
      <c r="A632" s="14">
        <v>632</v>
      </c>
      <c r="B632" s="15" t="str">
        <f>IFERROR(IF([2]对账明细接口!$B$632=0,"",[2]对账明细接口!$B$632),"")</f>
        <v/>
      </c>
      <c r="C632" s="16" t="str">
        <f>IFERROR(IF([2]对账明细接口!$C$632=0,"",[2]对账明细接口!$C$632),"")</f>
        <v/>
      </c>
      <c r="D632" s="16" t="str">
        <f>IFERROR(IF([2]对账明细接口!$D$632=0,"",[2]对账明细接口!$D$632),"")</f>
        <v/>
      </c>
      <c r="E632" s="16" t="str">
        <f>IFERROR(IF([2]对账明细接口!$E$632=0,"",[2]对账明细接口!$E$632),"")</f>
        <v/>
      </c>
      <c r="F632" s="16" t="str">
        <f>IFERROR(IF([2]对账明细接口!$F$632=0,"",[2]对账明细接口!$F$632),"")</f>
        <v/>
      </c>
      <c r="G632" s="16" t="str">
        <f>IFERROR(IF([2]对账明细接口!$G$632=0,"",[2]对账明细接口!$G$632),"")</f>
        <v/>
      </c>
      <c r="H632" s="17" t="str">
        <f>IFERROR(IF([2]对账明细接口!$H$632=0,"",[2]对账明细接口!$H$632),"")</f>
        <v/>
      </c>
      <c r="I632" s="16" t="str">
        <f>IFERROR(IF([2]对账明细接口!$I$632=0,"",[2]对账明细接口!$I$632),"")</f>
        <v/>
      </c>
      <c r="J632" s="18" t="str">
        <f>IFERROR(IF([2]对账明细接口!$J$632=0,"",[2]对账明细接口!$J$632),"")</f>
        <v/>
      </c>
      <c r="K632" s="18" t="str">
        <f>IFERROR(IF([2]对账明细接口!$K$632=0,"",[2]对账明细接口!$K$632),"")</f>
        <v/>
      </c>
      <c r="L632" s="16" t="str">
        <f>IFERROR(IF([2]对账明细接口!$L$632=0,"",[2]对账明细接口!$L$632),"")</f>
        <v/>
      </c>
      <c r="M632" s="16" t="str">
        <f>IFERROR(IF([2]对账明细接口!$M$632=0,"",[2]对账明细接口!$M$632),"")</f>
        <v/>
      </c>
      <c r="N632" s="19">
        <f t="shared" si="54"/>
        <v>0</v>
      </c>
      <c r="O632" s="19">
        <f t="shared" si="55"/>
        <v>165</v>
      </c>
      <c r="S632" s="20" t="str">
        <f>IFERROR(IF([2]对账明细接口!$N632=0,"",[2]对账明细接口!$N632),"")</f>
        <v/>
      </c>
      <c r="T632" s="21" t="str">
        <f>IFERROR(IF([2]对账明细接口!$O632=0,"",[2]对账明细接口!$O632),"")</f>
        <v/>
      </c>
      <c r="U632" s="21" t="str">
        <f>IFERROR(IF([2]对账明细接口!$P632=0,"",[2]对账明细接口!$P632),"")</f>
        <v/>
      </c>
      <c r="V632" s="21" t="str">
        <f>IFERROR(IF([2]对账明细接口!$Q632=0,"",[2]对账明细接口!$Q632),"")</f>
        <v/>
      </c>
      <c r="W632" s="20" t="str">
        <f>IFERROR(IF([2]对账明细接口!$R632=0,"",[2]对账明细接口!$R632),"")</f>
        <v/>
      </c>
      <c r="X632" s="20" t="str">
        <f>IFERROR(IF([2]对账明细接口!$S632=0,"",[2]对账明细接口!$S632),"")</f>
        <v/>
      </c>
      <c r="Y632" s="20" t="str">
        <f t="shared" si="56"/>
        <v/>
      </c>
      <c r="Z632" s="20" t="str">
        <f t="shared" si="57"/>
        <v/>
      </c>
      <c r="AA632" s="20" t="str">
        <f t="shared" si="58"/>
        <v/>
      </c>
      <c r="AB632" s="20" t="str">
        <f t="shared" si="59"/>
        <v/>
      </c>
    </row>
    <row r="633" customHeight="1" spans="1:28">
      <c r="A633" s="14">
        <v>633</v>
      </c>
      <c r="B633" s="15" t="str">
        <f>IFERROR(IF([2]对账明细接口!$B$633=0,"",[2]对账明细接口!$B$633),"")</f>
        <v/>
      </c>
      <c r="C633" s="16" t="str">
        <f>IFERROR(IF([2]对账明细接口!$C$633=0,"",[2]对账明细接口!$C$633),"")</f>
        <v/>
      </c>
      <c r="D633" s="16" t="str">
        <f>IFERROR(IF([2]对账明细接口!$D$633=0,"",[2]对账明细接口!$D$633),"")</f>
        <v/>
      </c>
      <c r="E633" s="16" t="str">
        <f>IFERROR(IF([2]对账明细接口!$E$633=0,"",[2]对账明细接口!$E$633),"")</f>
        <v/>
      </c>
      <c r="F633" s="16" t="str">
        <f>IFERROR(IF([2]对账明细接口!$F$633=0,"",[2]对账明细接口!$F$633),"")</f>
        <v/>
      </c>
      <c r="G633" s="16" t="str">
        <f>IFERROR(IF([2]对账明细接口!$G$633=0,"",[2]对账明细接口!$G$633),"")</f>
        <v/>
      </c>
      <c r="H633" s="17" t="str">
        <f>IFERROR(IF([2]对账明细接口!$H$633=0,"",[2]对账明细接口!$H$633),"")</f>
        <v/>
      </c>
      <c r="I633" s="16" t="str">
        <f>IFERROR(IF([2]对账明细接口!$I$633=0,"",[2]对账明细接口!$I$633),"")</f>
        <v/>
      </c>
      <c r="J633" s="18" t="str">
        <f>IFERROR(IF([2]对账明细接口!$J$633=0,"",[2]对账明细接口!$J$633),"")</f>
        <v/>
      </c>
      <c r="K633" s="18" t="str">
        <f>IFERROR(IF([2]对账明细接口!$K$633=0,"",[2]对账明细接口!$K$633),"")</f>
        <v/>
      </c>
      <c r="L633" s="16" t="str">
        <f>IFERROR(IF([2]对账明细接口!$L$633=0,"",[2]对账明细接口!$L$633),"")</f>
        <v/>
      </c>
      <c r="M633" s="16" t="str">
        <f>IFERROR(IF([2]对账明细接口!$M$633=0,"",[2]对账明细接口!$M$633),"")</f>
        <v/>
      </c>
      <c r="N633" s="19">
        <f t="shared" si="54"/>
        <v>0</v>
      </c>
      <c r="O633" s="19">
        <f t="shared" si="55"/>
        <v>165</v>
      </c>
      <c r="S633" s="20" t="str">
        <f>IFERROR(IF([2]对账明细接口!$N633=0,"",[2]对账明细接口!$N633),"")</f>
        <v/>
      </c>
      <c r="T633" s="21" t="str">
        <f>IFERROR(IF([2]对账明细接口!$O633=0,"",[2]对账明细接口!$O633),"")</f>
        <v/>
      </c>
      <c r="U633" s="21" t="str">
        <f>IFERROR(IF([2]对账明细接口!$P633=0,"",[2]对账明细接口!$P633),"")</f>
        <v/>
      </c>
      <c r="V633" s="21" t="str">
        <f>IFERROR(IF([2]对账明细接口!$Q633=0,"",[2]对账明细接口!$Q633),"")</f>
        <v/>
      </c>
      <c r="W633" s="20" t="str">
        <f>IFERROR(IF([2]对账明细接口!$R633=0,"",[2]对账明细接口!$R633),"")</f>
        <v/>
      </c>
      <c r="X633" s="20" t="str">
        <f>IFERROR(IF([2]对账明细接口!$S633=0,"",[2]对账明细接口!$S633),"")</f>
        <v/>
      </c>
      <c r="Y633" s="20" t="str">
        <f t="shared" si="56"/>
        <v/>
      </c>
      <c r="Z633" s="20" t="str">
        <f t="shared" si="57"/>
        <v/>
      </c>
      <c r="AA633" s="20" t="str">
        <f t="shared" si="58"/>
        <v/>
      </c>
      <c r="AB633" s="20" t="str">
        <f t="shared" si="59"/>
        <v/>
      </c>
    </row>
    <row r="634" customHeight="1" spans="1:28">
      <c r="A634" s="14">
        <v>634</v>
      </c>
      <c r="B634" s="15" t="str">
        <f>IFERROR(IF([2]对账明细接口!$B$634=0,"",[2]对账明细接口!$B$634),"")</f>
        <v/>
      </c>
      <c r="C634" s="16" t="str">
        <f>IFERROR(IF([2]对账明细接口!$C$634=0,"",[2]对账明细接口!$C$634),"")</f>
        <v/>
      </c>
      <c r="D634" s="16" t="str">
        <f>IFERROR(IF([2]对账明细接口!$D$634=0,"",[2]对账明细接口!$D$634),"")</f>
        <v/>
      </c>
      <c r="E634" s="16" t="str">
        <f>IFERROR(IF([2]对账明细接口!$E$634=0,"",[2]对账明细接口!$E$634),"")</f>
        <v/>
      </c>
      <c r="F634" s="16" t="str">
        <f>IFERROR(IF([2]对账明细接口!$F$634=0,"",[2]对账明细接口!$F$634),"")</f>
        <v/>
      </c>
      <c r="G634" s="16" t="str">
        <f>IFERROR(IF([2]对账明细接口!$G$634=0,"",[2]对账明细接口!$G$634),"")</f>
        <v/>
      </c>
      <c r="H634" s="17" t="str">
        <f>IFERROR(IF([2]对账明细接口!$H$634=0,"",[2]对账明细接口!$H$634),"")</f>
        <v/>
      </c>
      <c r="I634" s="16" t="str">
        <f>IFERROR(IF([2]对账明细接口!$I$634=0,"",[2]对账明细接口!$I$634),"")</f>
        <v/>
      </c>
      <c r="J634" s="18" t="str">
        <f>IFERROR(IF([2]对账明细接口!$J$634=0,"",[2]对账明细接口!$J$634),"")</f>
        <v/>
      </c>
      <c r="K634" s="18" t="str">
        <f>IFERROR(IF([2]对账明细接口!$K$634=0,"",[2]对账明细接口!$K$634),"")</f>
        <v/>
      </c>
      <c r="L634" s="16" t="str">
        <f>IFERROR(IF([2]对账明细接口!$L$634=0,"",[2]对账明细接口!$L$634),"")</f>
        <v/>
      </c>
      <c r="M634" s="16" t="str">
        <f>IFERROR(IF([2]对账明细接口!$M$634=0,"",[2]对账明细接口!$M$634),"")</f>
        <v/>
      </c>
      <c r="N634" s="19">
        <f t="shared" si="54"/>
        <v>0</v>
      </c>
      <c r="O634" s="19">
        <f t="shared" si="55"/>
        <v>165</v>
      </c>
      <c r="S634" s="20" t="str">
        <f>IFERROR(IF([2]对账明细接口!$N634=0,"",[2]对账明细接口!$N634),"")</f>
        <v/>
      </c>
      <c r="T634" s="21" t="str">
        <f>IFERROR(IF([2]对账明细接口!$O634=0,"",[2]对账明细接口!$O634),"")</f>
        <v/>
      </c>
      <c r="U634" s="21" t="str">
        <f>IFERROR(IF([2]对账明细接口!$P634=0,"",[2]对账明细接口!$P634),"")</f>
        <v/>
      </c>
      <c r="V634" s="21" t="str">
        <f>IFERROR(IF([2]对账明细接口!$Q634=0,"",[2]对账明细接口!$Q634),"")</f>
        <v/>
      </c>
      <c r="W634" s="20" t="str">
        <f>IFERROR(IF([2]对账明细接口!$R634=0,"",[2]对账明细接口!$R634),"")</f>
        <v/>
      </c>
      <c r="X634" s="20" t="str">
        <f>IFERROR(IF([2]对账明细接口!$S634=0,"",[2]对账明细接口!$S634),"")</f>
        <v/>
      </c>
      <c r="Y634" s="20" t="str">
        <f t="shared" si="56"/>
        <v/>
      </c>
      <c r="Z634" s="20" t="str">
        <f t="shared" si="57"/>
        <v/>
      </c>
      <c r="AA634" s="20" t="str">
        <f t="shared" si="58"/>
        <v/>
      </c>
      <c r="AB634" s="20" t="str">
        <f t="shared" si="59"/>
        <v/>
      </c>
    </row>
    <row r="635" customHeight="1" spans="1:28">
      <c r="A635" s="14">
        <v>635</v>
      </c>
      <c r="B635" s="15" t="str">
        <f>IFERROR(IF([2]对账明细接口!$B$635=0,"",[2]对账明细接口!$B$635),"")</f>
        <v/>
      </c>
      <c r="C635" s="16" t="str">
        <f>IFERROR(IF([2]对账明细接口!$C$635=0,"",[2]对账明细接口!$C$635),"")</f>
        <v/>
      </c>
      <c r="D635" s="16" t="str">
        <f>IFERROR(IF([2]对账明细接口!$D$635=0,"",[2]对账明细接口!$D$635),"")</f>
        <v/>
      </c>
      <c r="E635" s="16" t="str">
        <f>IFERROR(IF([2]对账明细接口!$E$635=0,"",[2]对账明细接口!$E$635),"")</f>
        <v/>
      </c>
      <c r="F635" s="16" t="str">
        <f>IFERROR(IF([2]对账明细接口!$F$635=0,"",[2]对账明细接口!$F$635),"")</f>
        <v/>
      </c>
      <c r="G635" s="16" t="str">
        <f>IFERROR(IF([2]对账明细接口!$G$635=0,"",[2]对账明细接口!$G$635),"")</f>
        <v/>
      </c>
      <c r="H635" s="17" t="str">
        <f>IFERROR(IF([2]对账明细接口!$H$635=0,"",[2]对账明细接口!$H$635),"")</f>
        <v/>
      </c>
      <c r="I635" s="16" t="str">
        <f>IFERROR(IF([2]对账明细接口!$I$635=0,"",[2]对账明细接口!$I$635),"")</f>
        <v/>
      </c>
      <c r="J635" s="18" t="str">
        <f>IFERROR(IF([2]对账明细接口!$J$635=0,"",[2]对账明细接口!$J$635),"")</f>
        <v/>
      </c>
      <c r="K635" s="18" t="str">
        <f>IFERROR(IF([2]对账明细接口!$K$635=0,"",[2]对账明细接口!$K$635),"")</f>
        <v/>
      </c>
      <c r="L635" s="16" t="str">
        <f>IFERROR(IF([2]对账明细接口!$L$635=0,"",[2]对账明细接口!$L$635),"")</f>
        <v/>
      </c>
      <c r="M635" s="16" t="str">
        <f>IFERROR(IF([2]对账明细接口!$M$635=0,"",[2]对账明细接口!$M$635),"")</f>
        <v/>
      </c>
      <c r="N635" s="19">
        <f t="shared" si="54"/>
        <v>0</v>
      </c>
      <c r="O635" s="19">
        <f t="shared" si="55"/>
        <v>165</v>
      </c>
      <c r="S635" s="20" t="str">
        <f>IFERROR(IF([2]对账明细接口!$N635=0,"",[2]对账明细接口!$N635),"")</f>
        <v/>
      </c>
      <c r="T635" s="21" t="str">
        <f>IFERROR(IF([2]对账明细接口!$O635=0,"",[2]对账明细接口!$O635),"")</f>
        <v/>
      </c>
      <c r="U635" s="21" t="str">
        <f>IFERROR(IF([2]对账明细接口!$P635=0,"",[2]对账明细接口!$P635),"")</f>
        <v/>
      </c>
      <c r="V635" s="21" t="str">
        <f>IFERROR(IF([2]对账明细接口!$Q635=0,"",[2]对账明细接口!$Q635),"")</f>
        <v/>
      </c>
      <c r="W635" s="20" t="str">
        <f>IFERROR(IF([2]对账明细接口!$R635=0,"",[2]对账明细接口!$R635),"")</f>
        <v/>
      </c>
      <c r="X635" s="20" t="str">
        <f>IFERROR(IF([2]对账明细接口!$S635=0,"",[2]对账明细接口!$S635),"")</f>
        <v/>
      </c>
      <c r="Y635" s="20" t="str">
        <f t="shared" si="56"/>
        <v/>
      </c>
      <c r="Z635" s="20" t="str">
        <f t="shared" si="57"/>
        <v/>
      </c>
      <c r="AA635" s="20" t="str">
        <f t="shared" si="58"/>
        <v/>
      </c>
      <c r="AB635" s="20" t="str">
        <f t="shared" si="59"/>
        <v/>
      </c>
    </row>
    <row r="636" customHeight="1" spans="1:28">
      <c r="A636" s="14">
        <v>636</v>
      </c>
      <c r="B636" s="15" t="str">
        <f>IFERROR(IF([2]对账明细接口!$B$636=0,"",[2]对账明细接口!$B$636),"")</f>
        <v/>
      </c>
      <c r="C636" s="16" t="str">
        <f>IFERROR(IF([2]对账明细接口!$C$636=0,"",[2]对账明细接口!$C$636),"")</f>
        <v/>
      </c>
      <c r="D636" s="16" t="str">
        <f>IFERROR(IF([2]对账明细接口!$D$636=0,"",[2]对账明细接口!$D$636),"")</f>
        <v/>
      </c>
      <c r="E636" s="16" t="str">
        <f>IFERROR(IF([2]对账明细接口!$E$636=0,"",[2]对账明细接口!$E$636),"")</f>
        <v/>
      </c>
      <c r="F636" s="16" t="str">
        <f>IFERROR(IF([2]对账明细接口!$F$636=0,"",[2]对账明细接口!$F$636),"")</f>
        <v/>
      </c>
      <c r="G636" s="16" t="str">
        <f>IFERROR(IF([2]对账明细接口!$G$636=0,"",[2]对账明细接口!$G$636),"")</f>
        <v/>
      </c>
      <c r="H636" s="17" t="str">
        <f>IFERROR(IF([2]对账明细接口!$H$636=0,"",[2]对账明细接口!$H$636),"")</f>
        <v/>
      </c>
      <c r="I636" s="16" t="str">
        <f>IFERROR(IF([2]对账明细接口!$I$636=0,"",[2]对账明细接口!$I$636),"")</f>
        <v/>
      </c>
      <c r="J636" s="18" t="str">
        <f>IFERROR(IF([2]对账明细接口!$J$636=0,"",[2]对账明细接口!$J$636),"")</f>
        <v/>
      </c>
      <c r="K636" s="18" t="str">
        <f>IFERROR(IF([2]对账明细接口!$K$636=0,"",[2]对账明细接口!$K$636),"")</f>
        <v/>
      </c>
      <c r="L636" s="16" t="str">
        <f>IFERROR(IF([2]对账明细接口!$L$636=0,"",[2]对账明细接口!$L$636),"")</f>
        <v/>
      </c>
      <c r="M636" s="16" t="str">
        <f>IFERROR(IF([2]对账明细接口!$M$636=0,"",[2]对账明细接口!$M$636),"")</f>
        <v/>
      </c>
      <c r="N636" s="19">
        <f t="shared" si="54"/>
        <v>0</v>
      </c>
      <c r="O636" s="19">
        <f t="shared" si="55"/>
        <v>165</v>
      </c>
      <c r="S636" s="20" t="str">
        <f>IFERROR(IF([2]对账明细接口!$N636=0,"",[2]对账明细接口!$N636),"")</f>
        <v/>
      </c>
      <c r="T636" s="21" t="str">
        <f>IFERROR(IF([2]对账明细接口!$O636=0,"",[2]对账明细接口!$O636),"")</f>
        <v/>
      </c>
      <c r="U636" s="21" t="str">
        <f>IFERROR(IF([2]对账明细接口!$P636=0,"",[2]对账明细接口!$P636),"")</f>
        <v/>
      </c>
      <c r="V636" s="21" t="str">
        <f>IFERROR(IF([2]对账明细接口!$Q636=0,"",[2]对账明细接口!$Q636),"")</f>
        <v/>
      </c>
      <c r="W636" s="20" t="str">
        <f>IFERROR(IF([2]对账明细接口!$R636=0,"",[2]对账明细接口!$R636),"")</f>
        <v/>
      </c>
      <c r="X636" s="20" t="str">
        <f>IFERROR(IF([2]对账明细接口!$S636=0,"",[2]对账明细接口!$S636),"")</f>
        <v/>
      </c>
      <c r="Y636" s="20" t="str">
        <f t="shared" si="56"/>
        <v/>
      </c>
      <c r="Z636" s="20" t="str">
        <f t="shared" si="57"/>
        <v/>
      </c>
      <c r="AA636" s="20" t="str">
        <f t="shared" si="58"/>
        <v/>
      </c>
      <c r="AB636" s="20" t="str">
        <f t="shared" si="59"/>
        <v/>
      </c>
    </row>
    <row r="637" customHeight="1" spans="1:28">
      <c r="A637" s="14">
        <v>637</v>
      </c>
      <c r="B637" s="15" t="str">
        <f>IFERROR(IF([2]对账明细接口!$B$637=0,"",[2]对账明细接口!$B$637),"")</f>
        <v/>
      </c>
      <c r="C637" s="16" t="str">
        <f>IFERROR(IF([2]对账明细接口!$C$637=0,"",[2]对账明细接口!$C$637),"")</f>
        <v/>
      </c>
      <c r="D637" s="16" t="str">
        <f>IFERROR(IF([2]对账明细接口!$D$637=0,"",[2]对账明细接口!$D$637),"")</f>
        <v/>
      </c>
      <c r="E637" s="16" t="str">
        <f>IFERROR(IF([2]对账明细接口!$E$637=0,"",[2]对账明细接口!$E$637),"")</f>
        <v/>
      </c>
      <c r="F637" s="16" t="str">
        <f>IFERROR(IF([2]对账明细接口!$F$637=0,"",[2]对账明细接口!$F$637),"")</f>
        <v/>
      </c>
      <c r="G637" s="16" t="str">
        <f>IFERROR(IF([2]对账明细接口!$G$637=0,"",[2]对账明细接口!$G$637),"")</f>
        <v/>
      </c>
      <c r="H637" s="17" t="str">
        <f>IFERROR(IF([2]对账明细接口!$H$637=0,"",[2]对账明细接口!$H$637),"")</f>
        <v/>
      </c>
      <c r="I637" s="16" t="str">
        <f>IFERROR(IF([2]对账明细接口!$I$637=0,"",[2]对账明细接口!$I$637),"")</f>
        <v/>
      </c>
      <c r="J637" s="18" t="str">
        <f>IFERROR(IF([2]对账明细接口!$J$637=0,"",[2]对账明细接口!$J$637),"")</f>
        <v/>
      </c>
      <c r="K637" s="18" t="str">
        <f>IFERROR(IF([2]对账明细接口!$K$637=0,"",[2]对账明细接口!$K$637),"")</f>
        <v/>
      </c>
      <c r="L637" s="16" t="str">
        <f>IFERROR(IF([2]对账明细接口!$L$637=0,"",[2]对账明细接口!$L$637),"")</f>
        <v/>
      </c>
      <c r="M637" s="16" t="str">
        <f>IFERROR(IF([2]对账明细接口!$M$637=0,"",[2]对账明细接口!$M$637),"")</f>
        <v/>
      </c>
      <c r="N637" s="19">
        <f t="shared" si="54"/>
        <v>0</v>
      </c>
      <c r="O637" s="19">
        <f t="shared" si="55"/>
        <v>165</v>
      </c>
      <c r="S637" s="20" t="str">
        <f>IFERROR(IF([2]对账明细接口!$N637=0,"",[2]对账明细接口!$N637),"")</f>
        <v/>
      </c>
      <c r="T637" s="21" t="str">
        <f>IFERROR(IF([2]对账明细接口!$O637=0,"",[2]对账明细接口!$O637),"")</f>
        <v/>
      </c>
      <c r="U637" s="21" t="str">
        <f>IFERROR(IF([2]对账明细接口!$P637=0,"",[2]对账明细接口!$P637),"")</f>
        <v/>
      </c>
      <c r="V637" s="21" t="str">
        <f>IFERROR(IF([2]对账明细接口!$Q637=0,"",[2]对账明细接口!$Q637),"")</f>
        <v/>
      </c>
      <c r="W637" s="20" t="str">
        <f>IFERROR(IF([2]对账明细接口!$R637=0,"",[2]对账明细接口!$R637),"")</f>
        <v/>
      </c>
      <c r="X637" s="20" t="str">
        <f>IFERROR(IF([2]对账明细接口!$S637=0,"",[2]对账明细接口!$S637),"")</f>
        <v/>
      </c>
      <c r="Y637" s="20" t="str">
        <f t="shared" si="56"/>
        <v/>
      </c>
      <c r="Z637" s="20" t="str">
        <f t="shared" si="57"/>
        <v/>
      </c>
      <c r="AA637" s="20" t="str">
        <f t="shared" si="58"/>
        <v/>
      </c>
      <c r="AB637" s="20" t="str">
        <f t="shared" si="59"/>
        <v/>
      </c>
    </row>
    <row r="638" customHeight="1" spans="1:28">
      <c r="A638" s="14">
        <v>638</v>
      </c>
      <c r="B638" s="15" t="str">
        <f>IFERROR(IF([2]对账明细接口!$B$638=0,"",[2]对账明细接口!$B$638),"")</f>
        <v/>
      </c>
      <c r="C638" s="16" t="str">
        <f>IFERROR(IF([2]对账明细接口!$C$638=0,"",[2]对账明细接口!$C$638),"")</f>
        <v/>
      </c>
      <c r="D638" s="16" t="str">
        <f>IFERROR(IF([2]对账明细接口!$D$638=0,"",[2]对账明细接口!$D$638),"")</f>
        <v/>
      </c>
      <c r="E638" s="16" t="str">
        <f>IFERROR(IF([2]对账明细接口!$E$638=0,"",[2]对账明细接口!$E$638),"")</f>
        <v/>
      </c>
      <c r="F638" s="16" t="str">
        <f>IFERROR(IF([2]对账明细接口!$F$638=0,"",[2]对账明细接口!$F$638),"")</f>
        <v/>
      </c>
      <c r="G638" s="16" t="str">
        <f>IFERROR(IF([2]对账明细接口!$G$638=0,"",[2]对账明细接口!$G$638),"")</f>
        <v/>
      </c>
      <c r="H638" s="17" t="str">
        <f>IFERROR(IF([2]对账明细接口!$H$638=0,"",[2]对账明细接口!$H$638),"")</f>
        <v/>
      </c>
      <c r="I638" s="16" t="str">
        <f>IFERROR(IF([2]对账明细接口!$I$638=0,"",[2]对账明细接口!$I$638),"")</f>
        <v/>
      </c>
      <c r="J638" s="18" t="str">
        <f>IFERROR(IF([2]对账明细接口!$J$638=0,"",[2]对账明细接口!$J$638),"")</f>
        <v/>
      </c>
      <c r="K638" s="18" t="str">
        <f>IFERROR(IF([2]对账明细接口!$K$638=0,"",[2]对账明细接口!$K$638),"")</f>
        <v/>
      </c>
      <c r="L638" s="16" t="str">
        <f>IFERROR(IF([2]对账明细接口!$L$638=0,"",[2]对账明细接口!$L$638),"")</f>
        <v/>
      </c>
      <c r="M638" s="16" t="str">
        <f>IFERROR(IF([2]对账明细接口!$M$638=0,"",[2]对账明细接口!$M$638),"")</f>
        <v/>
      </c>
      <c r="N638" s="19">
        <f t="shared" si="54"/>
        <v>0</v>
      </c>
      <c r="O638" s="19">
        <f t="shared" si="55"/>
        <v>165</v>
      </c>
      <c r="S638" s="20" t="str">
        <f>IFERROR(IF([2]对账明细接口!$N638=0,"",[2]对账明细接口!$N638),"")</f>
        <v/>
      </c>
      <c r="T638" s="21" t="str">
        <f>IFERROR(IF([2]对账明细接口!$O638=0,"",[2]对账明细接口!$O638),"")</f>
        <v/>
      </c>
      <c r="U638" s="21" t="str">
        <f>IFERROR(IF([2]对账明细接口!$P638=0,"",[2]对账明细接口!$P638),"")</f>
        <v/>
      </c>
      <c r="V638" s="21" t="str">
        <f>IFERROR(IF([2]对账明细接口!$Q638=0,"",[2]对账明细接口!$Q638),"")</f>
        <v/>
      </c>
      <c r="W638" s="20" t="str">
        <f>IFERROR(IF([2]对账明细接口!$R638=0,"",[2]对账明细接口!$R638),"")</f>
        <v/>
      </c>
      <c r="X638" s="20" t="str">
        <f>IFERROR(IF([2]对账明细接口!$S638=0,"",[2]对账明细接口!$S638),"")</f>
        <v/>
      </c>
      <c r="Y638" s="20" t="str">
        <f t="shared" si="56"/>
        <v/>
      </c>
      <c r="Z638" s="20" t="str">
        <f t="shared" si="57"/>
        <v/>
      </c>
      <c r="AA638" s="20" t="str">
        <f t="shared" si="58"/>
        <v/>
      </c>
      <c r="AB638" s="20" t="str">
        <f t="shared" si="59"/>
        <v/>
      </c>
    </row>
    <row r="639" customHeight="1" spans="1:28">
      <c r="A639" s="14">
        <v>639</v>
      </c>
      <c r="B639" s="15" t="str">
        <f>IFERROR(IF([2]对账明细接口!$B$639=0,"",[2]对账明细接口!$B$639),"")</f>
        <v/>
      </c>
      <c r="C639" s="16" t="str">
        <f>IFERROR(IF([2]对账明细接口!$C$639=0,"",[2]对账明细接口!$C$639),"")</f>
        <v/>
      </c>
      <c r="D639" s="16" t="str">
        <f>IFERROR(IF([2]对账明细接口!$D$639=0,"",[2]对账明细接口!$D$639),"")</f>
        <v/>
      </c>
      <c r="E639" s="16" t="str">
        <f>IFERROR(IF([2]对账明细接口!$E$639=0,"",[2]对账明细接口!$E$639),"")</f>
        <v/>
      </c>
      <c r="F639" s="16" t="str">
        <f>IFERROR(IF([2]对账明细接口!$F$639=0,"",[2]对账明细接口!$F$639),"")</f>
        <v/>
      </c>
      <c r="G639" s="16" t="str">
        <f>IFERROR(IF([2]对账明细接口!$G$639=0,"",[2]对账明细接口!$G$639),"")</f>
        <v/>
      </c>
      <c r="H639" s="17" t="str">
        <f>IFERROR(IF([2]对账明细接口!$H$639=0,"",[2]对账明细接口!$H$639),"")</f>
        <v/>
      </c>
      <c r="I639" s="16" t="str">
        <f>IFERROR(IF([2]对账明细接口!$I$639=0,"",[2]对账明细接口!$I$639),"")</f>
        <v/>
      </c>
      <c r="J639" s="18" t="str">
        <f>IFERROR(IF([2]对账明细接口!$J$639=0,"",[2]对账明细接口!$J$639),"")</f>
        <v/>
      </c>
      <c r="K639" s="18" t="str">
        <f>IFERROR(IF([2]对账明细接口!$K$639=0,"",[2]对账明细接口!$K$639),"")</f>
        <v/>
      </c>
      <c r="L639" s="16" t="str">
        <f>IFERROR(IF([2]对账明细接口!$L$639=0,"",[2]对账明细接口!$L$639),"")</f>
        <v/>
      </c>
      <c r="M639" s="16" t="str">
        <f>IFERROR(IF([2]对账明细接口!$M$639=0,"",[2]对账明细接口!$M$639),"")</f>
        <v/>
      </c>
      <c r="N639" s="19">
        <f t="shared" si="54"/>
        <v>0</v>
      </c>
      <c r="O639" s="19">
        <f t="shared" si="55"/>
        <v>165</v>
      </c>
      <c r="S639" s="20" t="str">
        <f>IFERROR(IF([2]对账明细接口!$N639=0,"",[2]对账明细接口!$N639),"")</f>
        <v/>
      </c>
      <c r="T639" s="21" t="str">
        <f>IFERROR(IF([2]对账明细接口!$O639=0,"",[2]对账明细接口!$O639),"")</f>
        <v/>
      </c>
      <c r="U639" s="21" t="str">
        <f>IFERROR(IF([2]对账明细接口!$P639=0,"",[2]对账明细接口!$P639),"")</f>
        <v/>
      </c>
      <c r="V639" s="21" t="str">
        <f>IFERROR(IF([2]对账明细接口!$Q639=0,"",[2]对账明细接口!$Q639),"")</f>
        <v/>
      </c>
      <c r="W639" s="20" t="str">
        <f>IFERROR(IF([2]对账明细接口!$R639=0,"",[2]对账明细接口!$R639),"")</f>
        <v/>
      </c>
      <c r="X639" s="20" t="str">
        <f>IFERROR(IF([2]对账明细接口!$S639=0,"",[2]对账明细接口!$S639),"")</f>
        <v/>
      </c>
      <c r="Y639" s="20" t="str">
        <f t="shared" si="56"/>
        <v/>
      </c>
      <c r="Z639" s="20" t="str">
        <f t="shared" si="57"/>
        <v/>
      </c>
      <c r="AA639" s="20" t="str">
        <f t="shared" si="58"/>
        <v/>
      </c>
      <c r="AB639" s="20" t="str">
        <f t="shared" si="59"/>
        <v/>
      </c>
    </row>
    <row r="640" customHeight="1" spans="1:28">
      <c r="A640" s="14">
        <v>640</v>
      </c>
      <c r="B640" s="15" t="str">
        <f>IFERROR(IF([2]对账明细接口!$B$640=0,"",[2]对账明细接口!$B$640),"")</f>
        <v/>
      </c>
      <c r="C640" s="16" t="str">
        <f>IFERROR(IF([2]对账明细接口!$C$640=0,"",[2]对账明细接口!$C$640),"")</f>
        <v/>
      </c>
      <c r="D640" s="16" t="str">
        <f>IFERROR(IF([2]对账明细接口!$D$640=0,"",[2]对账明细接口!$D$640),"")</f>
        <v/>
      </c>
      <c r="E640" s="16" t="str">
        <f>IFERROR(IF([2]对账明细接口!$E$640=0,"",[2]对账明细接口!$E$640),"")</f>
        <v/>
      </c>
      <c r="F640" s="16" t="str">
        <f>IFERROR(IF([2]对账明细接口!$F$640=0,"",[2]对账明细接口!$F$640),"")</f>
        <v/>
      </c>
      <c r="G640" s="16" t="str">
        <f>IFERROR(IF([2]对账明细接口!$G$640=0,"",[2]对账明细接口!$G$640),"")</f>
        <v/>
      </c>
      <c r="H640" s="17" t="str">
        <f>IFERROR(IF([2]对账明细接口!$H$640=0,"",[2]对账明细接口!$H$640),"")</f>
        <v/>
      </c>
      <c r="I640" s="16" t="str">
        <f>IFERROR(IF([2]对账明细接口!$I$640=0,"",[2]对账明细接口!$I$640),"")</f>
        <v/>
      </c>
      <c r="J640" s="18" t="str">
        <f>IFERROR(IF([2]对账明细接口!$J$640=0,"",[2]对账明细接口!$J$640),"")</f>
        <v/>
      </c>
      <c r="K640" s="18" t="str">
        <f>IFERROR(IF([2]对账明细接口!$K$640=0,"",[2]对账明细接口!$K$640),"")</f>
        <v/>
      </c>
      <c r="L640" s="16" t="str">
        <f>IFERROR(IF([2]对账明细接口!$L$640=0,"",[2]对账明细接口!$L$640),"")</f>
        <v/>
      </c>
      <c r="M640" s="16" t="str">
        <f>IFERROR(IF([2]对账明细接口!$M$640=0,"",[2]对账明细接口!$M$640),"")</f>
        <v/>
      </c>
      <c r="N640" s="19">
        <f t="shared" si="54"/>
        <v>0</v>
      </c>
      <c r="O640" s="19">
        <f t="shared" si="55"/>
        <v>165</v>
      </c>
      <c r="S640" s="20" t="str">
        <f>IFERROR(IF([2]对账明细接口!$N640=0,"",[2]对账明细接口!$N640),"")</f>
        <v/>
      </c>
      <c r="T640" s="21" t="str">
        <f>IFERROR(IF([2]对账明细接口!$O640=0,"",[2]对账明细接口!$O640),"")</f>
        <v/>
      </c>
      <c r="U640" s="21" t="str">
        <f>IFERROR(IF([2]对账明细接口!$P640=0,"",[2]对账明细接口!$P640),"")</f>
        <v/>
      </c>
      <c r="V640" s="21" t="str">
        <f>IFERROR(IF([2]对账明细接口!$Q640=0,"",[2]对账明细接口!$Q640),"")</f>
        <v/>
      </c>
      <c r="W640" s="20" t="str">
        <f>IFERROR(IF([2]对账明细接口!$R640=0,"",[2]对账明细接口!$R640),"")</f>
        <v/>
      </c>
      <c r="X640" s="20" t="str">
        <f>IFERROR(IF([2]对账明细接口!$S640=0,"",[2]对账明细接口!$S640),"")</f>
        <v/>
      </c>
      <c r="Y640" s="20" t="str">
        <f t="shared" si="56"/>
        <v/>
      </c>
      <c r="Z640" s="20" t="str">
        <f t="shared" si="57"/>
        <v/>
      </c>
      <c r="AA640" s="20" t="str">
        <f t="shared" si="58"/>
        <v/>
      </c>
      <c r="AB640" s="20" t="str">
        <f t="shared" si="59"/>
        <v/>
      </c>
    </row>
    <row r="641" customHeight="1" spans="1:28">
      <c r="A641" s="14">
        <v>641</v>
      </c>
      <c r="B641" s="15" t="str">
        <f>IFERROR(IF([2]对账明细接口!$B$641=0,"",[2]对账明细接口!$B$641),"")</f>
        <v/>
      </c>
      <c r="C641" s="16" t="str">
        <f>IFERROR(IF([2]对账明细接口!$C$641=0,"",[2]对账明细接口!$C$641),"")</f>
        <v/>
      </c>
      <c r="D641" s="16" t="str">
        <f>IFERROR(IF([2]对账明细接口!$D$641=0,"",[2]对账明细接口!$D$641),"")</f>
        <v/>
      </c>
      <c r="E641" s="16" t="str">
        <f>IFERROR(IF([2]对账明细接口!$E$641=0,"",[2]对账明细接口!$E$641),"")</f>
        <v/>
      </c>
      <c r="F641" s="16" t="str">
        <f>IFERROR(IF([2]对账明细接口!$F$641=0,"",[2]对账明细接口!$F$641),"")</f>
        <v/>
      </c>
      <c r="G641" s="16" t="str">
        <f>IFERROR(IF([2]对账明细接口!$G$641=0,"",[2]对账明细接口!$G$641),"")</f>
        <v/>
      </c>
      <c r="H641" s="17" t="str">
        <f>IFERROR(IF([2]对账明细接口!$H$641=0,"",[2]对账明细接口!$H$641),"")</f>
        <v/>
      </c>
      <c r="I641" s="16" t="str">
        <f>IFERROR(IF([2]对账明细接口!$I$641=0,"",[2]对账明细接口!$I$641),"")</f>
        <v/>
      </c>
      <c r="J641" s="18" t="str">
        <f>IFERROR(IF([2]对账明细接口!$J$641=0,"",[2]对账明细接口!$J$641),"")</f>
        <v/>
      </c>
      <c r="K641" s="18" t="str">
        <f>IFERROR(IF([2]对账明细接口!$K$641=0,"",[2]对账明细接口!$K$641),"")</f>
        <v/>
      </c>
      <c r="L641" s="16" t="str">
        <f>IFERROR(IF([2]对账明细接口!$L$641=0,"",[2]对账明细接口!$L$641),"")</f>
        <v/>
      </c>
      <c r="M641" s="16" t="str">
        <f>IFERROR(IF([2]对账明细接口!$M$641=0,"",[2]对账明细接口!$M$641),"")</f>
        <v/>
      </c>
      <c r="N641" s="19">
        <f t="shared" si="54"/>
        <v>0</v>
      </c>
      <c r="O641" s="19">
        <f t="shared" si="55"/>
        <v>165</v>
      </c>
      <c r="S641" s="20" t="str">
        <f>IFERROR(IF([2]对账明细接口!$N641=0,"",[2]对账明细接口!$N641),"")</f>
        <v/>
      </c>
      <c r="T641" s="21" t="str">
        <f>IFERROR(IF([2]对账明细接口!$O641=0,"",[2]对账明细接口!$O641),"")</f>
        <v/>
      </c>
      <c r="U641" s="21" t="str">
        <f>IFERROR(IF([2]对账明细接口!$P641=0,"",[2]对账明细接口!$P641),"")</f>
        <v/>
      </c>
      <c r="V641" s="21" t="str">
        <f>IFERROR(IF([2]对账明细接口!$Q641=0,"",[2]对账明细接口!$Q641),"")</f>
        <v/>
      </c>
      <c r="W641" s="20" t="str">
        <f>IFERROR(IF([2]对账明细接口!$R641=0,"",[2]对账明细接口!$R641),"")</f>
        <v/>
      </c>
      <c r="X641" s="20" t="str">
        <f>IFERROR(IF([2]对账明细接口!$S641=0,"",[2]对账明细接口!$S641),"")</f>
        <v/>
      </c>
      <c r="Y641" s="20" t="str">
        <f t="shared" si="56"/>
        <v/>
      </c>
      <c r="Z641" s="20" t="str">
        <f t="shared" si="57"/>
        <v/>
      </c>
      <c r="AA641" s="20" t="str">
        <f t="shared" si="58"/>
        <v/>
      </c>
      <c r="AB641" s="20" t="str">
        <f t="shared" si="59"/>
        <v/>
      </c>
    </row>
    <row r="642" customHeight="1" spans="1:28">
      <c r="A642" s="14">
        <v>642</v>
      </c>
      <c r="B642" s="15" t="str">
        <f>IFERROR(IF([2]对账明细接口!$B$642=0,"",[2]对账明细接口!$B$642),"")</f>
        <v/>
      </c>
      <c r="C642" s="16" t="str">
        <f>IFERROR(IF([2]对账明细接口!$C$642=0,"",[2]对账明细接口!$C$642),"")</f>
        <v/>
      </c>
      <c r="D642" s="16" t="str">
        <f>IFERROR(IF([2]对账明细接口!$D$642=0,"",[2]对账明细接口!$D$642),"")</f>
        <v/>
      </c>
      <c r="E642" s="16" t="str">
        <f>IFERROR(IF([2]对账明细接口!$E$642=0,"",[2]对账明细接口!$E$642),"")</f>
        <v/>
      </c>
      <c r="F642" s="16" t="str">
        <f>IFERROR(IF([2]对账明细接口!$F$642=0,"",[2]对账明细接口!$F$642),"")</f>
        <v/>
      </c>
      <c r="G642" s="16" t="str">
        <f>IFERROR(IF([2]对账明细接口!$G$642=0,"",[2]对账明细接口!$G$642),"")</f>
        <v/>
      </c>
      <c r="H642" s="17" t="str">
        <f>IFERROR(IF([2]对账明细接口!$H$642=0,"",[2]对账明细接口!$H$642),"")</f>
        <v/>
      </c>
      <c r="I642" s="16" t="str">
        <f>IFERROR(IF([2]对账明细接口!$I$642=0,"",[2]对账明细接口!$I$642),"")</f>
        <v/>
      </c>
      <c r="J642" s="18" t="str">
        <f>IFERROR(IF([2]对账明细接口!$J$642=0,"",[2]对账明细接口!$J$642),"")</f>
        <v/>
      </c>
      <c r="K642" s="18" t="str">
        <f>IFERROR(IF([2]对账明细接口!$K$642=0,"",[2]对账明细接口!$K$642),"")</f>
        <v/>
      </c>
      <c r="L642" s="16" t="str">
        <f>IFERROR(IF([2]对账明细接口!$L$642=0,"",[2]对账明细接口!$L$642),"")</f>
        <v/>
      </c>
      <c r="M642" s="16" t="str">
        <f>IFERROR(IF([2]对账明细接口!$M$642=0,"",[2]对账明细接口!$M$642),"")</f>
        <v/>
      </c>
      <c r="N642" s="19">
        <f t="shared" si="54"/>
        <v>0</v>
      </c>
      <c r="O642" s="19">
        <f t="shared" si="55"/>
        <v>165</v>
      </c>
      <c r="S642" s="20" t="str">
        <f>IFERROR(IF([2]对账明细接口!$N642=0,"",[2]对账明细接口!$N642),"")</f>
        <v/>
      </c>
      <c r="T642" s="21" t="str">
        <f>IFERROR(IF([2]对账明细接口!$O642=0,"",[2]对账明细接口!$O642),"")</f>
        <v/>
      </c>
      <c r="U642" s="21" t="str">
        <f>IFERROR(IF([2]对账明细接口!$P642=0,"",[2]对账明细接口!$P642),"")</f>
        <v/>
      </c>
      <c r="V642" s="21" t="str">
        <f>IFERROR(IF([2]对账明细接口!$Q642=0,"",[2]对账明细接口!$Q642),"")</f>
        <v/>
      </c>
      <c r="W642" s="20" t="str">
        <f>IFERROR(IF([2]对账明细接口!$R642=0,"",[2]对账明细接口!$R642),"")</f>
        <v/>
      </c>
      <c r="X642" s="20" t="str">
        <f>IFERROR(IF([2]对账明细接口!$S642=0,"",[2]对账明细接口!$S642),"")</f>
        <v/>
      </c>
      <c r="Y642" s="20" t="str">
        <f t="shared" si="56"/>
        <v/>
      </c>
      <c r="Z642" s="20" t="str">
        <f t="shared" si="57"/>
        <v/>
      </c>
      <c r="AA642" s="20" t="str">
        <f t="shared" si="58"/>
        <v/>
      </c>
      <c r="AB642" s="20" t="str">
        <f t="shared" si="59"/>
        <v/>
      </c>
    </row>
    <row r="643" customHeight="1" spans="1:28">
      <c r="A643" s="14">
        <v>643</v>
      </c>
      <c r="B643" s="15" t="str">
        <f>IFERROR(IF([2]对账明细接口!$B$643=0,"",[2]对账明细接口!$B$643),"")</f>
        <v/>
      </c>
      <c r="C643" s="16" t="str">
        <f>IFERROR(IF([2]对账明细接口!$C$643=0,"",[2]对账明细接口!$C$643),"")</f>
        <v/>
      </c>
      <c r="D643" s="16" t="str">
        <f>IFERROR(IF([2]对账明细接口!$D$643=0,"",[2]对账明细接口!$D$643),"")</f>
        <v/>
      </c>
      <c r="E643" s="16" t="str">
        <f>IFERROR(IF([2]对账明细接口!$E$643=0,"",[2]对账明细接口!$E$643),"")</f>
        <v/>
      </c>
      <c r="F643" s="16" t="str">
        <f>IFERROR(IF([2]对账明细接口!$F$643=0,"",[2]对账明细接口!$F$643),"")</f>
        <v/>
      </c>
      <c r="G643" s="16" t="str">
        <f>IFERROR(IF([2]对账明细接口!$G$643=0,"",[2]对账明细接口!$G$643),"")</f>
        <v/>
      </c>
      <c r="H643" s="17" t="str">
        <f>IFERROR(IF([2]对账明细接口!$H$643=0,"",[2]对账明细接口!$H$643),"")</f>
        <v/>
      </c>
      <c r="I643" s="16" t="str">
        <f>IFERROR(IF([2]对账明细接口!$I$643=0,"",[2]对账明细接口!$I$643),"")</f>
        <v/>
      </c>
      <c r="J643" s="18" t="str">
        <f>IFERROR(IF([2]对账明细接口!$J$643=0,"",[2]对账明细接口!$J$643),"")</f>
        <v/>
      </c>
      <c r="K643" s="18" t="str">
        <f>IFERROR(IF([2]对账明细接口!$K$643=0,"",[2]对账明细接口!$K$643),"")</f>
        <v/>
      </c>
      <c r="L643" s="16" t="str">
        <f>IFERROR(IF([2]对账明细接口!$L$643=0,"",[2]对账明细接口!$L$643),"")</f>
        <v/>
      </c>
      <c r="M643" s="16" t="str">
        <f>IFERROR(IF([2]对账明细接口!$M$643=0,"",[2]对账明细接口!$M$643),"")</f>
        <v/>
      </c>
      <c r="N643" s="19">
        <f t="shared" si="54"/>
        <v>0</v>
      </c>
      <c r="O643" s="19">
        <f t="shared" si="55"/>
        <v>165</v>
      </c>
      <c r="S643" s="20" t="str">
        <f>IFERROR(IF([2]对账明细接口!$N643=0,"",[2]对账明细接口!$N643),"")</f>
        <v/>
      </c>
      <c r="T643" s="21" t="str">
        <f>IFERROR(IF([2]对账明细接口!$O643=0,"",[2]对账明细接口!$O643),"")</f>
        <v/>
      </c>
      <c r="U643" s="21" t="str">
        <f>IFERROR(IF([2]对账明细接口!$P643=0,"",[2]对账明细接口!$P643),"")</f>
        <v/>
      </c>
      <c r="V643" s="21" t="str">
        <f>IFERROR(IF([2]对账明细接口!$Q643=0,"",[2]对账明细接口!$Q643),"")</f>
        <v/>
      </c>
      <c r="W643" s="20" t="str">
        <f>IFERROR(IF([2]对账明细接口!$R643=0,"",[2]对账明细接口!$R643),"")</f>
        <v/>
      </c>
      <c r="X643" s="20" t="str">
        <f>IFERROR(IF([2]对账明细接口!$S643=0,"",[2]对账明细接口!$S643),"")</f>
        <v/>
      </c>
      <c r="Y643" s="20" t="str">
        <f t="shared" si="56"/>
        <v/>
      </c>
      <c r="Z643" s="20" t="str">
        <f t="shared" si="57"/>
        <v/>
      </c>
      <c r="AA643" s="20" t="str">
        <f t="shared" si="58"/>
        <v/>
      </c>
      <c r="AB643" s="20" t="str">
        <f t="shared" si="59"/>
        <v/>
      </c>
    </row>
    <row r="644" customHeight="1" spans="1:28">
      <c r="A644" s="14">
        <v>644</v>
      </c>
      <c r="B644" s="15" t="str">
        <f>IFERROR(IF([2]对账明细接口!$B$644=0,"",[2]对账明细接口!$B$644),"")</f>
        <v/>
      </c>
      <c r="C644" s="16" t="str">
        <f>IFERROR(IF([2]对账明细接口!$C$644=0,"",[2]对账明细接口!$C$644),"")</f>
        <v/>
      </c>
      <c r="D644" s="16" t="str">
        <f>IFERROR(IF([2]对账明细接口!$D$644=0,"",[2]对账明细接口!$D$644),"")</f>
        <v/>
      </c>
      <c r="E644" s="16" t="str">
        <f>IFERROR(IF([2]对账明细接口!$E$644=0,"",[2]对账明细接口!$E$644),"")</f>
        <v/>
      </c>
      <c r="F644" s="16" t="str">
        <f>IFERROR(IF([2]对账明细接口!$F$644=0,"",[2]对账明细接口!$F$644),"")</f>
        <v/>
      </c>
      <c r="G644" s="16" t="str">
        <f>IFERROR(IF([2]对账明细接口!$G$644=0,"",[2]对账明细接口!$G$644),"")</f>
        <v/>
      </c>
      <c r="H644" s="17" t="str">
        <f>IFERROR(IF([2]对账明细接口!$H$644=0,"",[2]对账明细接口!$H$644),"")</f>
        <v/>
      </c>
      <c r="I644" s="16" t="str">
        <f>IFERROR(IF([2]对账明细接口!$I$644=0,"",[2]对账明细接口!$I$644),"")</f>
        <v/>
      </c>
      <c r="J644" s="18" t="str">
        <f>IFERROR(IF([2]对账明细接口!$J$644=0,"",[2]对账明细接口!$J$644),"")</f>
        <v/>
      </c>
      <c r="K644" s="18" t="str">
        <f>IFERROR(IF([2]对账明细接口!$K$644=0,"",[2]对账明细接口!$K$644),"")</f>
        <v/>
      </c>
      <c r="L644" s="16" t="str">
        <f>IFERROR(IF([2]对账明细接口!$L$644=0,"",[2]对账明细接口!$L$644),"")</f>
        <v/>
      </c>
      <c r="M644" s="16" t="str">
        <f>IFERROR(IF([2]对账明细接口!$M$644=0,"",[2]对账明细接口!$M$644),"")</f>
        <v/>
      </c>
      <c r="N644" s="19">
        <f t="shared" ref="N644:N707" si="60">IF($C644="",0,1)</f>
        <v>0</v>
      </c>
      <c r="O644" s="19">
        <f t="shared" ref="O644:O707" si="61">N(O643)+$N644</f>
        <v>165</v>
      </c>
      <c r="S644" s="20" t="str">
        <f>IFERROR(IF([2]对账明细接口!$N644=0,"",[2]对账明细接口!$N644),"")</f>
        <v/>
      </c>
      <c r="T644" s="21" t="str">
        <f>IFERROR(IF([2]对账明细接口!$O644=0,"",[2]对账明细接口!$O644),"")</f>
        <v/>
      </c>
      <c r="U644" s="21" t="str">
        <f>IFERROR(IF([2]对账明细接口!$P644=0,"",[2]对账明细接口!$P644),"")</f>
        <v/>
      </c>
      <c r="V644" s="21" t="str">
        <f>IFERROR(IF([2]对账明细接口!$Q644=0,"",[2]对账明细接口!$Q644),"")</f>
        <v/>
      </c>
      <c r="W644" s="20" t="str">
        <f>IFERROR(IF([2]对账明细接口!$R644=0,"",[2]对账明细接口!$R644),"")</f>
        <v/>
      </c>
      <c r="X644" s="20" t="str">
        <f>IFERROR(IF([2]对账明细接口!$S644=0,"",[2]对账明细接口!$S644),"")</f>
        <v/>
      </c>
      <c r="Y644" s="20" t="str">
        <f t="shared" ref="Y644:Y707" si="62">""</f>
        <v/>
      </c>
      <c r="Z644" s="20" t="str">
        <f t="shared" ref="Z644:Z707" si="63">""</f>
        <v/>
      </c>
      <c r="AA644" s="20" t="str">
        <f t="shared" ref="AA644:AA707" si="64">""</f>
        <v/>
      </c>
      <c r="AB644" s="20" t="str">
        <f t="shared" ref="AB644:AB707" si="65">""</f>
        <v/>
      </c>
    </row>
    <row r="645" customHeight="1" spans="1:28">
      <c r="A645" s="14">
        <v>645</v>
      </c>
      <c r="B645" s="15" t="str">
        <f>IFERROR(IF([2]对账明细接口!$B$645=0,"",[2]对账明细接口!$B$645),"")</f>
        <v/>
      </c>
      <c r="C645" s="16" t="str">
        <f>IFERROR(IF([2]对账明细接口!$C$645=0,"",[2]对账明细接口!$C$645),"")</f>
        <v/>
      </c>
      <c r="D645" s="16" t="str">
        <f>IFERROR(IF([2]对账明细接口!$D$645=0,"",[2]对账明细接口!$D$645),"")</f>
        <v/>
      </c>
      <c r="E645" s="16" t="str">
        <f>IFERROR(IF([2]对账明细接口!$E$645=0,"",[2]对账明细接口!$E$645),"")</f>
        <v/>
      </c>
      <c r="F645" s="16" t="str">
        <f>IFERROR(IF([2]对账明细接口!$F$645=0,"",[2]对账明细接口!$F$645),"")</f>
        <v/>
      </c>
      <c r="G645" s="16" t="str">
        <f>IFERROR(IF([2]对账明细接口!$G$645=0,"",[2]对账明细接口!$G$645),"")</f>
        <v/>
      </c>
      <c r="H645" s="17" t="str">
        <f>IFERROR(IF([2]对账明细接口!$H$645=0,"",[2]对账明细接口!$H$645),"")</f>
        <v/>
      </c>
      <c r="I645" s="16" t="str">
        <f>IFERROR(IF([2]对账明细接口!$I$645=0,"",[2]对账明细接口!$I$645),"")</f>
        <v/>
      </c>
      <c r="J645" s="18" t="str">
        <f>IFERROR(IF([2]对账明细接口!$J$645=0,"",[2]对账明细接口!$J$645),"")</f>
        <v/>
      </c>
      <c r="K645" s="18" t="str">
        <f>IFERROR(IF([2]对账明细接口!$K$645=0,"",[2]对账明细接口!$K$645),"")</f>
        <v/>
      </c>
      <c r="L645" s="16" t="str">
        <f>IFERROR(IF([2]对账明细接口!$L$645=0,"",[2]对账明细接口!$L$645),"")</f>
        <v/>
      </c>
      <c r="M645" s="16" t="str">
        <f>IFERROR(IF([2]对账明细接口!$M$645=0,"",[2]对账明细接口!$M$645),"")</f>
        <v/>
      </c>
      <c r="N645" s="19">
        <f t="shared" si="60"/>
        <v>0</v>
      </c>
      <c r="O645" s="19">
        <f t="shared" si="61"/>
        <v>165</v>
      </c>
      <c r="S645" s="20" t="str">
        <f>IFERROR(IF([2]对账明细接口!$N645=0,"",[2]对账明细接口!$N645),"")</f>
        <v/>
      </c>
      <c r="T645" s="21" t="str">
        <f>IFERROR(IF([2]对账明细接口!$O645=0,"",[2]对账明细接口!$O645),"")</f>
        <v/>
      </c>
      <c r="U645" s="21" t="str">
        <f>IFERROR(IF([2]对账明细接口!$P645=0,"",[2]对账明细接口!$P645),"")</f>
        <v/>
      </c>
      <c r="V645" s="21" t="str">
        <f>IFERROR(IF([2]对账明细接口!$Q645=0,"",[2]对账明细接口!$Q645),"")</f>
        <v/>
      </c>
      <c r="W645" s="20" t="str">
        <f>IFERROR(IF([2]对账明细接口!$R645=0,"",[2]对账明细接口!$R645),"")</f>
        <v/>
      </c>
      <c r="X645" s="20" t="str">
        <f>IFERROR(IF([2]对账明细接口!$S645=0,"",[2]对账明细接口!$S645),"")</f>
        <v/>
      </c>
      <c r="Y645" s="20" t="str">
        <f t="shared" si="62"/>
        <v/>
      </c>
      <c r="Z645" s="20" t="str">
        <f t="shared" si="63"/>
        <v/>
      </c>
      <c r="AA645" s="20" t="str">
        <f t="shared" si="64"/>
        <v/>
      </c>
      <c r="AB645" s="20" t="str">
        <f t="shared" si="65"/>
        <v/>
      </c>
    </row>
    <row r="646" customHeight="1" spans="1:28">
      <c r="A646" s="14">
        <v>646</v>
      </c>
      <c r="B646" s="15" t="str">
        <f>IFERROR(IF([2]对账明细接口!$B$646=0,"",[2]对账明细接口!$B$646),"")</f>
        <v/>
      </c>
      <c r="C646" s="16" t="str">
        <f>IFERROR(IF([2]对账明细接口!$C$646=0,"",[2]对账明细接口!$C$646),"")</f>
        <v/>
      </c>
      <c r="D646" s="16" t="str">
        <f>IFERROR(IF([2]对账明细接口!$D$646=0,"",[2]对账明细接口!$D$646),"")</f>
        <v/>
      </c>
      <c r="E646" s="16" t="str">
        <f>IFERROR(IF([2]对账明细接口!$E$646=0,"",[2]对账明细接口!$E$646),"")</f>
        <v/>
      </c>
      <c r="F646" s="16" t="str">
        <f>IFERROR(IF([2]对账明细接口!$F$646=0,"",[2]对账明细接口!$F$646),"")</f>
        <v/>
      </c>
      <c r="G646" s="16" t="str">
        <f>IFERROR(IF([2]对账明细接口!$G$646=0,"",[2]对账明细接口!$G$646),"")</f>
        <v/>
      </c>
      <c r="H646" s="17" t="str">
        <f>IFERROR(IF([2]对账明细接口!$H$646=0,"",[2]对账明细接口!$H$646),"")</f>
        <v/>
      </c>
      <c r="I646" s="16" t="str">
        <f>IFERROR(IF([2]对账明细接口!$I$646=0,"",[2]对账明细接口!$I$646),"")</f>
        <v/>
      </c>
      <c r="J646" s="18" t="str">
        <f>IFERROR(IF([2]对账明细接口!$J$646=0,"",[2]对账明细接口!$J$646),"")</f>
        <v/>
      </c>
      <c r="K646" s="18" t="str">
        <f>IFERROR(IF([2]对账明细接口!$K$646=0,"",[2]对账明细接口!$K$646),"")</f>
        <v/>
      </c>
      <c r="L646" s="16" t="str">
        <f>IFERROR(IF([2]对账明细接口!$L$646=0,"",[2]对账明细接口!$L$646),"")</f>
        <v/>
      </c>
      <c r="M646" s="16" t="str">
        <f>IFERROR(IF([2]对账明细接口!$M$646=0,"",[2]对账明细接口!$M$646),"")</f>
        <v/>
      </c>
      <c r="N646" s="19">
        <f t="shared" si="60"/>
        <v>0</v>
      </c>
      <c r="O646" s="19">
        <f t="shared" si="61"/>
        <v>165</v>
      </c>
      <c r="S646" s="20" t="str">
        <f>IFERROR(IF([2]对账明细接口!$N646=0,"",[2]对账明细接口!$N646),"")</f>
        <v/>
      </c>
      <c r="T646" s="21" t="str">
        <f>IFERROR(IF([2]对账明细接口!$O646=0,"",[2]对账明细接口!$O646),"")</f>
        <v/>
      </c>
      <c r="U646" s="21" t="str">
        <f>IFERROR(IF([2]对账明细接口!$P646=0,"",[2]对账明细接口!$P646),"")</f>
        <v/>
      </c>
      <c r="V646" s="21" t="str">
        <f>IFERROR(IF([2]对账明细接口!$Q646=0,"",[2]对账明细接口!$Q646),"")</f>
        <v/>
      </c>
      <c r="W646" s="20" t="str">
        <f>IFERROR(IF([2]对账明细接口!$R646=0,"",[2]对账明细接口!$R646),"")</f>
        <v/>
      </c>
      <c r="X646" s="20" t="str">
        <f>IFERROR(IF([2]对账明细接口!$S646=0,"",[2]对账明细接口!$S646),"")</f>
        <v/>
      </c>
      <c r="Y646" s="20" t="str">
        <f t="shared" si="62"/>
        <v/>
      </c>
      <c r="Z646" s="20" t="str">
        <f t="shared" si="63"/>
        <v/>
      </c>
      <c r="AA646" s="20" t="str">
        <f t="shared" si="64"/>
        <v/>
      </c>
      <c r="AB646" s="20" t="str">
        <f t="shared" si="65"/>
        <v/>
      </c>
    </row>
    <row r="647" customHeight="1" spans="1:28">
      <c r="A647" s="14">
        <v>647</v>
      </c>
      <c r="B647" s="15" t="str">
        <f>IFERROR(IF([2]对账明细接口!$B$647=0,"",[2]对账明细接口!$B$647),"")</f>
        <v/>
      </c>
      <c r="C647" s="16" t="str">
        <f>IFERROR(IF([2]对账明细接口!$C$647=0,"",[2]对账明细接口!$C$647),"")</f>
        <v/>
      </c>
      <c r="D647" s="16" t="str">
        <f>IFERROR(IF([2]对账明细接口!$D$647=0,"",[2]对账明细接口!$D$647),"")</f>
        <v/>
      </c>
      <c r="E647" s="16" t="str">
        <f>IFERROR(IF([2]对账明细接口!$E$647=0,"",[2]对账明细接口!$E$647),"")</f>
        <v/>
      </c>
      <c r="F647" s="16" t="str">
        <f>IFERROR(IF([2]对账明细接口!$F$647=0,"",[2]对账明细接口!$F$647),"")</f>
        <v/>
      </c>
      <c r="G647" s="16" t="str">
        <f>IFERROR(IF([2]对账明细接口!$G$647=0,"",[2]对账明细接口!$G$647),"")</f>
        <v/>
      </c>
      <c r="H647" s="17" t="str">
        <f>IFERROR(IF([2]对账明细接口!$H$647=0,"",[2]对账明细接口!$H$647),"")</f>
        <v/>
      </c>
      <c r="I647" s="16" t="str">
        <f>IFERROR(IF([2]对账明细接口!$I$647=0,"",[2]对账明细接口!$I$647),"")</f>
        <v/>
      </c>
      <c r="J647" s="18" t="str">
        <f>IFERROR(IF([2]对账明细接口!$J$647=0,"",[2]对账明细接口!$J$647),"")</f>
        <v/>
      </c>
      <c r="K647" s="18" t="str">
        <f>IFERROR(IF([2]对账明细接口!$K$647=0,"",[2]对账明细接口!$K$647),"")</f>
        <v/>
      </c>
      <c r="L647" s="16" t="str">
        <f>IFERROR(IF([2]对账明细接口!$L$647=0,"",[2]对账明细接口!$L$647),"")</f>
        <v/>
      </c>
      <c r="M647" s="16" t="str">
        <f>IFERROR(IF([2]对账明细接口!$M$647=0,"",[2]对账明细接口!$M$647),"")</f>
        <v/>
      </c>
      <c r="N647" s="19">
        <f t="shared" si="60"/>
        <v>0</v>
      </c>
      <c r="O647" s="19">
        <f t="shared" si="61"/>
        <v>165</v>
      </c>
      <c r="S647" s="20" t="str">
        <f>IFERROR(IF([2]对账明细接口!$N647=0,"",[2]对账明细接口!$N647),"")</f>
        <v/>
      </c>
      <c r="T647" s="21" t="str">
        <f>IFERROR(IF([2]对账明细接口!$O647=0,"",[2]对账明细接口!$O647),"")</f>
        <v/>
      </c>
      <c r="U647" s="21" t="str">
        <f>IFERROR(IF([2]对账明细接口!$P647=0,"",[2]对账明细接口!$P647),"")</f>
        <v/>
      </c>
      <c r="V647" s="21" t="str">
        <f>IFERROR(IF([2]对账明细接口!$Q647=0,"",[2]对账明细接口!$Q647),"")</f>
        <v/>
      </c>
      <c r="W647" s="20" t="str">
        <f>IFERROR(IF([2]对账明细接口!$R647=0,"",[2]对账明细接口!$R647),"")</f>
        <v/>
      </c>
      <c r="X647" s="20" t="str">
        <f>IFERROR(IF([2]对账明细接口!$S647=0,"",[2]对账明细接口!$S647),"")</f>
        <v/>
      </c>
      <c r="Y647" s="20" t="str">
        <f t="shared" si="62"/>
        <v/>
      </c>
      <c r="Z647" s="20" t="str">
        <f t="shared" si="63"/>
        <v/>
      </c>
      <c r="AA647" s="20" t="str">
        <f t="shared" si="64"/>
        <v/>
      </c>
      <c r="AB647" s="20" t="str">
        <f t="shared" si="65"/>
        <v/>
      </c>
    </row>
    <row r="648" customHeight="1" spans="1:28">
      <c r="A648" s="14">
        <v>648</v>
      </c>
      <c r="B648" s="15" t="str">
        <f>IFERROR(IF([2]对账明细接口!$B$648=0,"",[2]对账明细接口!$B$648),"")</f>
        <v/>
      </c>
      <c r="C648" s="16" t="str">
        <f>IFERROR(IF([2]对账明细接口!$C$648=0,"",[2]对账明细接口!$C$648),"")</f>
        <v/>
      </c>
      <c r="D648" s="16" t="str">
        <f>IFERROR(IF([2]对账明细接口!$D$648=0,"",[2]对账明细接口!$D$648),"")</f>
        <v/>
      </c>
      <c r="E648" s="16" t="str">
        <f>IFERROR(IF([2]对账明细接口!$E$648=0,"",[2]对账明细接口!$E$648),"")</f>
        <v/>
      </c>
      <c r="F648" s="16" t="str">
        <f>IFERROR(IF([2]对账明细接口!$F$648=0,"",[2]对账明细接口!$F$648),"")</f>
        <v/>
      </c>
      <c r="G648" s="16" t="str">
        <f>IFERROR(IF([2]对账明细接口!$G$648=0,"",[2]对账明细接口!$G$648),"")</f>
        <v/>
      </c>
      <c r="H648" s="17" t="str">
        <f>IFERROR(IF([2]对账明细接口!$H$648=0,"",[2]对账明细接口!$H$648),"")</f>
        <v/>
      </c>
      <c r="I648" s="16" t="str">
        <f>IFERROR(IF([2]对账明细接口!$I$648=0,"",[2]对账明细接口!$I$648),"")</f>
        <v/>
      </c>
      <c r="J648" s="18" t="str">
        <f>IFERROR(IF([2]对账明细接口!$J$648=0,"",[2]对账明细接口!$J$648),"")</f>
        <v/>
      </c>
      <c r="K648" s="18" t="str">
        <f>IFERROR(IF([2]对账明细接口!$K$648=0,"",[2]对账明细接口!$K$648),"")</f>
        <v/>
      </c>
      <c r="L648" s="16" t="str">
        <f>IFERROR(IF([2]对账明细接口!$L$648=0,"",[2]对账明细接口!$L$648),"")</f>
        <v/>
      </c>
      <c r="M648" s="16" t="str">
        <f>IFERROR(IF([2]对账明细接口!$M$648=0,"",[2]对账明细接口!$M$648),"")</f>
        <v/>
      </c>
      <c r="N648" s="19">
        <f t="shared" si="60"/>
        <v>0</v>
      </c>
      <c r="O648" s="19">
        <f t="shared" si="61"/>
        <v>165</v>
      </c>
      <c r="S648" s="20" t="str">
        <f>IFERROR(IF([2]对账明细接口!$N648=0,"",[2]对账明细接口!$N648),"")</f>
        <v/>
      </c>
      <c r="T648" s="21" t="str">
        <f>IFERROR(IF([2]对账明细接口!$O648=0,"",[2]对账明细接口!$O648),"")</f>
        <v/>
      </c>
      <c r="U648" s="21" t="str">
        <f>IFERROR(IF([2]对账明细接口!$P648=0,"",[2]对账明细接口!$P648),"")</f>
        <v/>
      </c>
      <c r="V648" s="21" t="str">
        <f>IFERROR(IF([2]对账明细接口!$Q648=0,"",[2]对账明细接口!$Q648),"")</f>
        <v/>
      </c>
      <c r="W648" s="20" t="str">
        <f>IFERROR(IF([2]对账明细接口!$R648=0,"",[2]对账明细接口!$R648),"")</f>
        <v/>
      </c>
      <c r="X648" s="20" t="str">
        <f>IFERROR(IF([2]对账明细接口!$S648=0,"",[2]对账明细接口!$S648),"")</f>
        <v/>
      </c>
      <c r="Y648" s="20" t="str">
        <f t="shared" si="62"/>
        <v/>
      </c>
      <c r="Z648" s="20" t="str">
        <f t="shared" si="63"/>
        <v/>
      </c>
      <c r="AA648" s="20" t="str">
        <f t="shared" si="64"/>
        <v/>
      </c>
      <c r="AB648" s="20" t="str">
        <f t="shared" si="65"/>
        <v/>
      </c>
    </row>
    <row r="649" customHeight="1" spans="1:28">
      <c r="A649" s="14">
        <v>649</v>
      </c>
      <c r="B649" s="15" t="str">
        <f>IFERROR(IF([2]对账明细接口!$B$649=0,"",[2]对账明细接口!$B$649),"")</f>
        <v/>
      </c>
      <c r="C649" s="16" t="str">
        <f>IFERROR(IF([2]对账明细接口!$C$649=0,"",[2]对账明细接口!$C$649),"")</f>
        <v/>
      </c>
      <c r="D649" s="16" t="str">
        <f>IFERROR(IF([2]对账明细接口!$D$649=0,"",[2]对账明细接口!$D$649),"")</f>
        <v/>
      </c>
      <c r="E649" s="16" t="str">
        <f>IFERROR(IF([2]对账明细接口!$E$649=0,"",[2]对账明细接口!$E$649),"")</f>
        <v/>
      </c>
      <c r="F649" s="16" t="str">
        <f>IFERROR(IF([2]对账明细接口!$F$649=0,"",[2]对账明细接口!$F$649),"")</f>
        <v/>
      </c>
      <c r="G649" s="16" t="str">
        <f>IFERROR(IF([2]对账明细接口!$G$649=0,"",[2]对账明细接口!$G$649),"")</f>
        <v/>
      </c>
      <c r="H649" s="17" t="str">
        <f>IFERROR(IF([2]对账明细接口!$H$649=0,"",[2]对账明细接口!$H$649),"")</f>
        <v/>
      </c>
      <c r="I649" s="16" t="str">
        <f>IFERROR(IF([2]对账明细接口!$I$649=0,"",[2]对账明细接口!$I$649),"")</f>
        <v/>
      </c>
      <c r="J649" s="18" t="str">
        <f>IFERROR(IF([2]对账明细接口!$J$649=0,"",[2]对账明细接口!$J$649),"")</f>
        <v/>
      </c>
      <c r="K649" s="18" t="str">
        <f>IFERROR(IF([2]对账明细接口!$K$649=0,"",[2]对账明细接口!$K$649),"")</f>
        <v/>
      </c>
      <c r="L649" s="16" t="str">
        <f>IFERROR(IF([2]对账明细接口!$L$649=0,"",[2]对账明细接口!$L$649),"")</f>
        <v/>
      </c>
      <c r="M649" s="16" t="str">
        <f>IFERROR(IF([2]对账明细接口!$M$649=0,"",[2]对账明细接口!$M$649),"")</f>
        <v/>
      </c>
      <c r="N649" s="19">
        <f t="shared" si="60"/>
        <v>0</v>
      </c>
      <c r="O649" s="19">
        <f t="shared" si="61"/>
        <v>165</v>
      </c>
      <c r="S649" s="20" t="str">
        <f>IFERROR(IF([2]对账明细接口!$N649=0,"",[2]对账明细接口!$N649),"")</f>
        <v/>
      </c>
      <c r="T649" s="21" t="str">
        <f>IFERROR(IF([2]对账明细接口!$O649=0,"",[2]对账明细接口!$O649),"")</f>
        <v/>
      </c>
      <c r="U649" s="21" t="str">
        <f>IFERROR(IF([2]对账明细接口!$P649=0,"",[2]对账明细接口!$P649),"")</f>
        <v/>
      </c>
      <c r="V649" s="21" t="str">
        <f>IFERROR(IF([2]对账明细接口!$Q649=0,"",[2]对账明细接口!$Q649),"")</f>
        <v/>
      </c>
      <c r="W649" s="20" t="str">
        <f>IFERROR(IF([2]对账明细接口!$R649=0,"",[2]对账明细接口!$R649),"")</f>
        <v/>
      </c>
      <c r="X649" s="20" t="str">
        <f>IFERROR(IF([2]对账明细接口!$S649=0,"",[2]对账明细接口!$S649),"")</f>
        <v/>
      </c>
      <c r="Y649" s="20" t="str">
        <f t="shared" si="62"/>
        <v/>
      </c>
      <c r="Z649" s="20" t="str">
        <f t="shared" si="63"/>
        <v/>
      </c>
      <c r="AA649" s="20" t="str">
        <f t="shared" si="64"/>
        <v/>
      </c>
      <c r="AB649" s="20" t="str">
        <f t="shared" si="65"/>
        <v/>
      </c>
    </row>
    <row r="650" customHeight="1" spans="1:28">
      <c r="A650" s="14">
        <v>650</v>
      </c>
      <c r="B650" s="15" t="str">
        <f>IFERROR(IF([2]对账明细接口!$B$650=0,"",[2]对账明细接口!$B$650),"")</f>
        <v/>
      </c>
      <c r="C650" s="16" t="str">
        <f>IFERROR(IF([2]对账明细接口!$C$650=0,"",[2]对账明细接口!$C$650),"")</f>
        <v/>
      </c>
      <c r="D650" s="16" t="str">
        <f>IFERROR(IF([2]对账明细接口!$D$650=0,"",[2]对账明细接口!$D$650),"")</f>
        <v/>
      </c>
      <c r="E650" s="16" t="str">
        <f>IFERROR(IF([2]对账明细接口!$E$650=0,"",[2]对账明细接口!$E$650),"")</f>
        <v/>
      </c>
      <c r="F650" s="16" t="str">
        <f>IFERROR(IF([2]对账明细接口!$F$650=0,"",[2]对账明细接口!$F$650),"")</f>
        <v/>
      </c>
      <c r="G650" s="16" t="str">
        <f>IFERROR(IF([2]对账明细接口!$G$650=0,"",[2]对账明细接口!$G$650),"")</f>
        <v/>
      </c>
      <c r="H650" s="17" t="str">
        <f>IFERROR(IF([2]对账明细接口!$H$650=0,"",[2]对账明细接口!$H$650),"")</f>
        <v/>
      </c>
      <c r="I650" s="16" t="str">
        <f>IFERROR(IF([2]对账明细接口!$I$650=0,"",[2]对账明细接口!$I$650),"")</f>
        <v/>
      </c>
      <c r="J650" s="18" t="str">
        <f>IFERROR(IF([2]对账明细接口!$J$650=0,"",[2]对账明细接口!$J$650),"")</f>
        <v/>
      </c>
      <c r="K650" s="18" t="str">
        <f>IFERROR(IF([2]对账明细接口!$K$650=0,"",[2]对账明细接口!$K$650),"")</f>
        <v/>
      </c>
      <c r="L650" s="16" t="str">
        <f>IFERROR(IF([2]对账明细接口!$L$650=0,"",[2]对账明细接口!$L$650),"")</f>
        <v/>
      </c>
      <c r="M650" s="16" t="str">
        <f>IFERROR(IF([2]对账明细接口!$M$650=0,"",[2]对账明细接口!$M$650),"")</f>
        <v/>
      </c>
      <c r="N650" s="19">
        <f t="shared" si="60"/>
        <v>0</v>
      </c>
      <c r="O650" s="19">
        <f t="shared" si="61"/>
        <v>165</v>
      </c>
      <c r="S650" s="20" t="str">
        <f>IFERROR(IF([2]对账明细接口!$N650=0,"",[2]对账明细接口!$N650),"")</f>
        <v/>
      </c>
      <c r="T650" s="21" t="str">
        <f>IFERROR(IF([2]对账明细接口!$O650=0,"",[2]对账明细接口!$O650),"")</f>
        <v/>
      </c>
      <c r="U650" s="21" t="str">
        <f>IFERROR(IF([2]对账明细接口!$P650=0,"",[2]对账明细接口!$P650),"")</f>
        <v/>
      </c>
      <c r="V650" s="21" t="str">
        <f>IFERROR(IF([2]对账明细接口!$Q650=0,"",[2]对账明细接口!$Q650),"")</f>
        <v/>
      </c>
      <c r="W650" s="20" t="str">
        <f>IFERROR(IF([2]对账明细接口!$R650=0,"",[2]对账明细接口!$R650),"")</f>
        <v/>
      </c>
      <c r="X650" s="20" t="str">
        <f>IFERROR(IF([2]对账明细接口!$S650=0,"",[2]对账明细接口!$S650),"")</f>
        <v/>
      </c>
      <c r="Y650" s="20" t="str">
        <f t="shared" si="62"/>
        <v/>
      </c>
      <c r="Z650" s="20" t="str">
        <f t="shared" si="63"/>
        <v/>
      </c>
      <c r="AA650" s="20" t="str">
        <f t="shared" si="64"/>
        <v/>
      </c>
      <c r="AB650" s="20" t="str">
        <f t="shared" si="65"/>
        <v/>
      </c>
    </row>
    <row r="651" customHeight="1" spans="1:28">
      <c r="A651" s="14">
        <v>651</v>
      </c>
      <c r="B651" s="15" t="str">
        <f>IFERROR(IF([2]对账明细接口!$B$651=0,"",[2]对账明细接口!$B$651),"")</f>
        <v/>
      </c>
      <c r="C651" s="16" t="str">
        <f>IFERROR(IF([2]对账明细接口!$C$651=0,"",[2]对账明细接口!$C$651),"")</f>
        <v/>
      </c>
      <c r="D651" s="16" t="str">
        <f>IFERROR(IF([2]对账明细接口!$D$651=0,"",[2]对账明细接口!$D$651),"")</f>
        <v/>
      </c>
      <c r="E651" s="16" t="str">
        <f>IFERROR(IF([2]对账明细接口!$E$651=0,"",[2]对账明细接口!$E$651),"")</f>
        <v/>
      </c>
      <c r="F651" s="16" t="str">
        <f>IFERROR(IF([2]对账明细接口!$F$651=0,"",[2]对账明细接口!$F$651),"")</f>
        <v/>
      </c>
      <c r="G651" s="16" t="str">
        <f>IFERROR(IF([2]对账明细接口!$G$651=0,"",[2]对账明细接口!$G$651),"")</f>
        <v/>
      </c>
      <c r="H651" s="17" t="str">
        <f>IFERROR(IF([2]对账明细接口!$H$651=0,"",[2]对账明细接口!$H$651),"")</f>
        <v/>
      </c>
      <c r="I651" s="16" t="str">
        <f>IFERROR(IF([2]对账明细接口!$I$651=0,"",[2]对账明细接口!$I$651),"")</f>
        <v/>
      </c>
      <c r="J651" s="18" t="str">
        <f>IFERROR(IF([2]对账明细接口!$J$651=0,"",[2]对账明细接口!$J$651),"")</f>
        <v/>
      </c>
      <c r="K651" s="18" t="str">
        <f>IFERROR(IF([2]对账明细接口!$K$651=0,"",[2]对账明细接口!$K$651),"")</f>
        <v/>
      </c>
      <c r="L651" s="16" t="str">
        <f>IFERROR(IF([2]对账明细接口!$L$651=0,"",[2]对账明细接口!$L$651),"")</f>
        <v/>
      </c>
      <c r="M651" s="16" t="str">
        <f>IFERROR(IF([2]对账明细接口!$M$651=0,"",[2]对账明细接口!$M$651),"")</f>
        <v/>
      </c>
      <c r="N651" s="19">
        <f t="shared" si="60"/>
        <v>0</v>
      </c>
      <c r="O651" s="19">
        <f t="shared" si="61"/>
        <v>165</v>
      </c>
      <c r="S651" s="20" t="str">
        <f>IFERROR(IF([2]对账明细接口!$N651=0,"",[2]对账明细接口!$N651),"")</f>
        <v/>
      </c>
      <c r="T651" s="21" t="str">
        <f>IFERROR(IF([2]对账明细接口!$O651=0,"",[2]对账明细接口!$O651),"")</f>
        <v/>
      </c>
      <c r="U651" s="21" t="str">
        <f>IFERROR(IF([2]对账明细接口!$P651=0,"",[2]对账明细接口!$P651),"")</f>
        <v/>
      </c>
      <c r="V651" s="21" t="str">
        <f>IFERROR(IF([2]对账明细接口!$Q651=0,"",[2]对账明细接口!$Q651),"")</f>
        <v/>
      </c>
      <c r="W651" s="20" t="str">
        <f>IFERROR(IF([2]对账明细接口!$R651=0,"",[2]对账明细接口!$R651),"")</f>
        <v/>
      </c>
      <c r="X651" s="20" t="str">
        <f>IFERROR(IF([2]对账明细接口!$S651=0,"",[2]对账明细接口!$S651),"")</f>
        <v/>
      </c>
      <c r="Y651" s="20" t="str">
        <f t="shared" si="62"/>
        <v/>
      </c>
      <c r="Z651" s="20" t="str">
        <f t="shared" si="63"/>
        <v/>
      </c>
      <c r="AA651" s="20" t="str">
        <f t="shared" si="64"/>
        <v/>
      </c>
      <c r="AB651" s="20" t="str">
        <f t="shared" si="65"/>
        <v/>
      </c>
    </row>
    <row r="652" customHeight="1" spans="1:28">
      <c r="A652" s="14">
        <v>652</v>
      </c>
      <c r="B652" s="15" t="str">
        <f>IFERROR(IF([2]对账明细接口!$B$652=0,"",[2]对账明细接口!$B$652),"")</f>
        <v/>
      </c>
      <c r="C652" s="16" t="str">
        <f>IFERROR(IF([2]对账明细接口!$C$652=0,"",[2]对账明细接口!$C$652),"")</f>
        <v/>
      </c>
      <c r="D652" s="16" t="str">
        <f>IFERROR(IF([2]对账明细接口!$D$652=0,"",[2]对账明细接口!$D$652),"")</f>
        <v/>
      </c>
      <c r="E652" s="16" t="str">
        <f>IFERROR(IF([2]对账明细接口!$E$652=0,"",[2]对账明细接口!$E$652),"")</f>
        <v/>
      </c>
      <c r="F652" s="16" t="str">
        <f>IFERROR(IF([2]对账明细接口!$F$652=0,"",[2]对账明细接口!$F$652),"")</f>
        <v/>
      </c>
      <c r="G652" s="16" t="str">
        <f>IFERROR(IF([2]对账明细接口!$G$652=0,"",[2]对账明细接口!$G$652),"")</f>
        <v/>
      </c>
      <c r="H652" s="17" t="str">
        <f>IFERROR(IF([2]对账明细接口!$H$652=0,"",[2]对账明细接口!$H$652),"")</f>
        <v/>
      </c>
      <c r="I652" s="16" t="str">
        <f>IFERROR(IF([2]对账明细接口!$I$652=0,"",[2]对账明细接口!$I$652),"")</f>
        <v/>
      </c>
      <c r="J652" s="18" t="str">
        <f>IFERROR(IF([2]对账明细接口!$J$652=0,"",[2]对账明细接口!$J$652),"")</f>
        <v/>
      </c>
      <c r="K652" s="18" t="str">
        <f>IFERROR(IF([2]对账明细接口!$K$652=0,"",[2]对账明细接口!$K$652),"")</f>
        <v/>
      </c>
      <c r="L652" s="16" t="str">
        <f>IFERROR(IF([2]对账明细接口!$L$652=0,"",[2]对账明细接口!$L$652),"")</f>
        <v/>
      </c>
      <c r="M652" s="16" t="str">
        <f>IFERROR(IF([2]对账明细接口!$M$652=0,"",[2]对账明细接口!$M$652),"")</f>
        <v/>
      </c>
      <c r="N652" s="19">
        <f t="shared" si="60"/>
        <v>0</v>
      </c>
      <c r="O652" s="19">
        <f t="shared" si="61"/>
        <v>165</v>
      </c>
      <c r="S652" s="20" t="str">
        <f>IFERROR(IF([2]对账明细接口!$N652=0,"",[2]对账明细接口!$N652),"")</f>
        <v/>
      </c>
      <c r="T652" s="21" t="str">
        <f>IFERROR(IF([2]对账明细接口!$O652=0,"",[2]对账明细接口!$O652),"")</f>
        <v/>
      </c>
      <c r="U652" s="21" t="str">
        <f>IFERROR(IF([2]对账明细接口!$P652=0,"",[2]对账明细接口!$P652),"")</f>
        <v/>
      </c>
      <c r="V652" s="21" t="str">
        <f>IFERROR(IF([2]对账明细接口!$Q652=0,"",[2]对账明细接口!$Q652),"")</f>
        <v/>
      </c>
      <c r="W652" s="20" t="str">
        <f>IFERROR(IF([2]对账明细接口!$R652=0,"",[2]对账明细接口!$R652),"")</f>
        <v/>
      </c>
      <c r="X652" s="20" t="str">
        <f>IFERROR(IF([2]对账明细接口!$S652=0,"",[2]对账明细接口!$S652),"")</f>
        <v/>
      </c>
      <c r="Y652" s="20" t="str">
        <f t="shared" si="62"/>
        <v/>
      </c>
      <c r="Z652" s="20" t="str">
        <f t="shared" si="63"/>
        <v/>
      </c>
      <c r="AA652" s="20" t="str">
        <f t="shared" si="64"/>
        <v/>
      </c>
      <c r="AB652" s="20" t="str">
        <f t="shared" si="65"/>
        <v/>
      </c>
    </row>
    <row r="653" customHeight="1" spans="1:28">
      <c r="A653" s="14">
        <v>653</v>
      </c>
      <c r="B653" s="15" t="str">
        <f>IFERROR(IF([2]对账明细接口!$B$653=0,"",[2]对账明细接口!$B$653),"")</f>
        <v/>
      </c>
      <c r="C653" s="16" t="str">
        <f>IFERROR(IF([2]对账明细接口!$C$653=0,"",[2]对账明细接口!$C$653),"")</f>
        <v/>
      </c>
      <c r="D653" s="16" t="str">
        <f>IFERROR(IF([2]对账明细接口!$D$653=0,"",[2]对账明细接口!$D$653),"")</f>
        <v/>
      </c>
      <c r="E653" s="16" t="str">
        <f>IFERROR(IF([2]对账明细接口!$E$653=0,"",[2]对账明细接口!$E$653),"")</f>
        <v/>
      </c>
      <c r="F653" s="16" t="str">
        <f>IFERROR(IF([2]对账明细接口!$F$653=0,"",[2]对账明细接口!$F$653),"")</f>
        <v/>
      </c>
      <c r="G653" s="16" t="str">
        <f>IFERROR(IF([2]对账明细接口!$G$653=0,"",[2]对账明细接口!$G$653),"")</f>
        <v/>
      </c>
      <c r="H653" s="17" t="str">
        <f>IFERROR(IF([2]对账明细接口!$H$653=0,"",[2]对账明细接口!$H$653),"")</f>
        <v/>
      </c>
      <c r="I653" s="16" t="str">
        <f>IFERROR(IF([2]对账明细接口!$I$653=0,"",[2]对账明细接口!$I$653),"")</f>
        <v/>
      </c>
      <c r="J653" s="18" t="str">
        <f>IFERROR(IF([2]对账明细接口!$J$653=0,"",[2]对账明细接口!$J$653),"")</f>
        <v/>
      </c>
      <c r="K653" s="18" t="str">
        <f>IFERROR(IF([2]对账明细接口!$K$653=0,"",[2]对账明细接口!$K$653),"")</f>
        <v/>
      </c>
      <c r="L653" s="16" t="str">
        <f>IFERROR(IF([2]对账明细接口!$L$653=0,"",[2]对账明细接口!$L$653),"")</f>
        <v/>
      </c>
      <c r="M653" s="16" t="str">
        <f>IFERROR(IF([2]对账明细接口!$M$653=0,"",[2]对账明细接口!$M$653),"")</f>
        <v/>
      </c>
      <c r="N653" s="19">
        <f t="shared" si="60"/>
        <v>0</v>
      </c>
      <c r="O653" s="19">
        <f t="shared" si="61"/>
        <v>165</v>
      </c>
      <c r="S653" s="20" t="str">
        <f>IFERROR(IF([2]对账明细接口!$N653=0,"",[2]对账明细接口!$N653),"")</f>
        <v/>
      </c>
      <c r="T653" s="21" t="str">
        <f>IFERROR(IF([2]对账明细接口!$O653=0,"",[2]对账明细接口!$O653),"")</f>
        <v/>
      </c>
      <c r="U653" s="21" t="str">
        <f>IFERROR(IF([2]对账明细接口!$P653=0,"",[2]对账明细接口!$P653),"")</f>
        <v/>
      </c>
      <c r="V653" s="21" t="str">
        <f>IFERROR(IF([2]对账明细接口!$Q653=0,"",[2]对账明细接口!$Q653),"")</f>
        <v/>
      </c>
      <c r="W653" s="20" t="str">
        <f>IFERROR(IF([2]对账明细接口!$R653=0,"",[2]对账明细接口!$R653),"")</f>
        <v/>
      </c>
      <c r="X653" s="20" t="str">
        <f>IFERROR(IF([2]对账明细接口!$S653=0,"",[2]对账明细接口!$S653),"")</f>
        <v/>
      </c>
      <c r="Y653" s="20" t="str">
        <f t="shared" si="62"/>
        <v/>
      </c>
      <c r="Z653" s="20" t="str">
        <f t="shared" si="63"/>
        <v/>
      </c>
      <c r="AA653" s="20" t="str">
        <f t="shared" si="64"/>
        <v/>
      </c>
      <c r="AB653" s="20" t="str">
        <f t="shared" si="65"/>
        <v/>
      </c>
    </row>
    <row r="654" customHeight="1" spans="1:28">
      <c r="A654" s="14">
        <v>654</v>
      </c>
      <c r="B654" s="15" t="str">
        <f>IFERROR(IF([2]对账明细接口!$B$654=0,"",[2]对账明细接口!$B$654),"")</f>
        <v/>
      </c>
      <c r="C654" s="16" t="str">
        <f>IFERROR(IF([2]对账明细接口!$C$654=0,"",[2]对账明细接口!$C$654),"")</f>
        <v/>
      </c>
      <c r="D654" s="16" t="str">
        <f>IFERROR(IF([2]对账明细接口!$D$654=0,"",[2]对账明细接口!$D$654),"")</f>
        <v/>
      </c>
      <c r="E654" s="16" t="str">
        <f>IFERROR(IF([2]对账明细接口!$E$654=0,"",[2]对账明细接口!$E$654),"")</f>
        <v/>
      </c>
      <c r="F654" s="16" t="str">
        <f>IFERROR(IF([2]对账明细接口!$F$654=0,"",[2]对账明细接口!$F$654),"")</f>
        <v/>
      </c>
      <c r="G654" s="16" t="str">
        <f>IFERROR(IF([2]对账明细接口!$G$654=0,"",[2]对账明细接口!$G$654),"")</f>
        <v/>
      </c>
      <c r="H654" s="17" t="str">
        <f>IFERROR(IF([2]对账明细接口!$H$654=0,"",[2]对账明细接口!$H$654),"")</f>
        <v/>
      </c>
      <c r="I654" s="16" t="str">
        <f>IFERROR(IF([2]对账明细接口!$I$654=0,"",[2]对账明细接口!$I$654),"")</f>
        <v/>
      </c>
      <c r="J654" s="18" t="str">
        <f>IFERROR(IF([2]对账明细接口!$J$654=0,"",[2]对账明细接口!$J$654),"")</f>
        <v/>
      </c>
      <c r="K654" s="18" t="str">
        <f>IFERROR(IF([2]对账明细接口!$K$654=0,"",[2]对账明细接口!$K$654),"")</f>
        <v/>
      </c>
      <c r="L654" s="16" t="str">
        <f>IFERROR(IF([2]对账明细接口!$L$654=0,"",[2]对账明细接口!$L$654),"")</f>
        <v/>
      </c>
      <c r="M654" s="16" t="str">
        <f>IFERROR(IF([2]对账明细接口!$M$654=0,"",[2]对账明细接口!$M$654),"")</f>
        <v/>
      </c>
      <c r="N654" s="19">
        <f t="shared" si="60"/>
        <v>0</v>
      </c>
      <c r="O654" s="19">
        <f t="shared" si="61"/>
        <v>165</v>
      </c>
      <c r="S654" s="20" t="str">
        <f>IFERROR(IF([2]对账明细接口!$N654=0,"",[2]对账明细接口!$N654),"")</f>
        <v/>
      </c>
      <c r="T654" s="21" t="str">
        <f>IFERROR(IF([2]对账明细接口!$O654=0,"",[2]对账明细接口!$O654),"")</f>
        <v/>
      </c>
      <c r="U654" s="21" t="str">
        <f>IFERROR(IF([2]对账明细接口!$P654=0,"",[2]对账明细接口!$P654),"")</f>
        <v/>
      </c>
      <c r="V654" s="21" t="str">
        <f>IFERROR(IF([2]对账明细接口!$Q654=0,"",[2]对账明细接口!$Q654),"")</f>
        <v/>
      </c>
      <c r="W654" s="20" t="str">
        <f>IFERROR(IF([2]对账明细接口!$R654=0,"",[2]对账明细接口!$R654),"")</f>
        <v/>
      </c>
      <c r="X654" s="20" t="str">
        <f>IFERROR(IF([2]对账明细接口!$S654=0,"",[2]对账明细接口!$S654),"")</f>
        <v/>
      </c>
      <c r="Y654" s="20" t="str">
        <f t="shared" si="62"/>
        <v/>
      </c>
      <c r="Z654" s="20" t="str">
        <f t="shared" si="63"/>
        <v/>
      </c>
      <c r="AA654" s="20" t="str">
        <f t="shared" si="64"/>
        <v/>
      </c>
      <c r="AB654" s="20" t="str">
        <f t="shared" si="65"/>
        <v/>
      </c>
    </row>
    <row r="655" customHeight="1" spans="1:28">
      <c r="A655" s="14">
        <v>655</v>
      </c>
      <c r="B655" s="15" t="str">
        <f>IFERROR(IF([2]对账明细接口!$B$655=0,"",[2]对账明细接口!$B$655),"")</f>
        <v/>
      </c>
      <c r="C655" s="16" t="str">
        <f>IFERROR(IF([2]对账明细接口!$C$655=0,"",[2]对账明细接口!$C$655),"")</f>
        <v/>
      </c>
      <c r="D655" s="16" t="str">
        <f>IFERROR(IF([2]对账明细接口!$D$655=0,"",[2]对账明细接口!$D$655),"")</f>
        <v/>
      </c>
      <c r="E655" s="16" t="str">
        <f>IFERROR(IF([2]对账明细接口!$E$655=0,"",[2]对账明细接口!$E$655),"")</f>
        <v/>
      </c>
      <c r="F655" s="16" t="str">
        <f>IFERROR(IF([2]对账明细接口!$F$655=0,"",[2]对账明细接口!$F$655),"")</f>
        <v/>
      </c>
      <c r="G655" s="16" t="str">
        <f>IFERROR(IF([2]对账明细接口!$G$655=0,"",[2]对账明细接口!$G$655),"")</f>
        <v/>
      </c>
      <c r="H655" s="17" t="str">
        <f>IFERROR(IF([2]对账明细接口!$H$655=0,"",[2]对账明细接口!$H$655),"")</f>
        <v/>
      </c>
      <c r="I655" s="16" t="str">
        <f>IFERROR(IF([2]对账明细接口!$I$655=0,"",[2]对账明细接口!$I$655),"")</f>
        <v/>
      </c>
      <c r="J655" s="18" t="str">
        <f>IFERROR(IF([2]对账明细接口!$J$655=0,"",[2]对账明细接口!$J$655),"")</f>
        <v/>
      </c>
      <c r="K655" s="18" t="str">
        <f>IFERROR(IF([2]对账明细接口!$K$655=0,"",[2]对账明细接口!$K$655),"")</f>
        <v/>
      </c>
      <c r="L655" s="16" t="str">
        <f>IFERROR(IF([2]对账明细接口!$L$655=0,"",[2]对账明细接口!$L$655),"")</f>
        <v/>
      </c>
      <c r="M655" s="16" t="str">
        <f>IFERROR(IF([2]对账明细接口!$M$655=0,"",[2]对账明细接口!$M$655),"")</f>
        <v/>
      </c>
      <c r="N655" s="19">
        <f t="shared" si="60"/>
        <v>0</v>
      </c>
      <c r="O655" s="19">
        <f t="shared" si="61"/>
        <v>165</v>
      </c>
      <c r="S655" s="20" t="str">
        <f>IFERROR(IF([2]对账明细接口!$N655=0,"",[2]对账明细接口!$N655),"")</f>
        <v/>
      </c>
      <c r="T655" s="21" t="str">
        <f>IFERROR(IF([2]对账明细接口!$O655=0,"",[2]对账明细接口!$O655),"")</f>
        <v/>
      </c>
      <c r="U655" s="21" t="str">
        <f>IFERROR(IF([2]对账明细接口!$P655=0,"",[2]对账明细接口!$P655),"")</f>
        <v/>
      </c>
      <c r="V655" s="21" t="str">
        <f>IFERROR(IF([2]对账明细接口!$Q655=0,"",[2]对账明细接口!$Q655),"")</f>
        <v/>
      </c>
      <c r="W655" s="20" t="str">
        <f>IFERROR(IF([2]对账明细接口!$R655=0,"",[2]对账明细接口!$R655),"")</f>
        <v/>
      </c>
      <c r="X655" s="20" t="str">
        <f>IFERROR(IF([2]对账明细接口!$S655=0,"",[2]对账明细接口!$S655),"")</f>
        <v/>
      </c>
      <c r="Y655" s="20" t="str">
        <f t="shared" si="62"/>
        <v/>
      </c>
      <c r="Z655" s="20" t="str">
        <f t="shared" si="63"/>
        <v/>
      </c>
      <c r="AA655" s="20" t="str">
        <f t="shared" si="64"/>
        <v/>
      </c>
      <c r="AB655" s="20" t="str">
        <f t="shared" si="65"/>
        <v/>
      </c>
    </row>
    <row r="656" customHeight="1" spans="1:28">
      <c r="A656" s="14">
        <v>656</v>
      </c>
      <c r="B656" s="15" t="str">
        <f>IFERROR(IF([2]对账明细接口!$B$656=0,"",[2]对账明细接口!$B$656),"")</f>
        <v/>
      </c>
      <c r="C656" s="16" t="str">
        <f>IFERROR(IF([2]对账明细接口!$C$656=0,"",[2]对账明细接口!$C$656),"")</f>
        <v/>
      </c>
      <c r="D656" s="16" t="str">
        <f>IFERROR(IF([2]对账明细接口!$D$656=0,"",[2]对账明细接口!$D$656),"")</f>
        <v/>
      </c>
      <c r="E656" s="16" t="str">
        <f>IFERROR(IF([2]对账明细接口!$E$656=0,"",[2]对账明细接口!$E$656),"")</f>
        <v/>
      </c>
      <c r="F656" s="16" t="str">
        <f>IFERROR(IF([2]对账明细接口!$F$656=0,"",[2]对账明细接口!$F$656),"")</f>
        <v/>
      </c>
      <c r="G656" s="16" t="str">
        <f>IFERROR(IF([2]对账明细接口!$G$656=0,"",[2]对账明细接口!$G$656),"")</f>
        <v/>
      </c>
      <c r="H656" s="17" t="str">
        <f>IFERROR(IF([2]对账明细接口!$H$656=0,"",[2]对账明细接口!$H$656),"")</f>
        <v/>
      </c>
      <c r="I656" s="16" t="str">
        <f>IFERROR(IF([2]对账明细接口!$I$656=0,"",[2]对账明细接口!$I$656),"")</f>
        <v/>
      </c>
      <c r="J656" s="18" t="str">
        <f>IFERROR(IF([2]对账明细接口!$J$656=0,"",[2]对账明细接口!$J$656),"")</f>
        <v/>
      </c>
      <c r="K656" s="18" t="str">
        <f>IFERROR(IF([2]对账明细接口!$K$656=0,"",[2]对账明细接口!$K$656),"")</f>
        <v/>
      </c>
      <c r="L656" s="16" t="str">
        <f>IFERROR(IF([2]对账明细接口!$L$656=0,"",[2]对账明细接口!$L$656),"")</f>
        <v/>
      </c>
      <c r="M656" s="16" t="str">
        <f>IFERROR(IF([2]对账明细接口!$M$656=0,"",[2]对账明细接口!$M$656),"")</f>
        <v/>
      </c>
      <c r="N656" s="19">
        <f t="shared" si="60"/>
        <v>0</v>
      </c>
      <c r="O656" s="19">
        <f t="shared" si="61"/>
        <v>165</v>
      </c>
      <c r="S656" s="20" t="str">
        <f>IFERROR(IF([2]对账明细接口!$N656=0,"",[2]对账明细接口!$N656),"")</f>
        <v/>
      </c>
      <c r="T656" s="21" t="str">
        <f>IFERROR(IF([2]对账明细接口!$O656=0,"",[2]对账明细接口!$O656),"")</f>
        <v/>
      </c>
      <c r="U656" s="21" t="str">
        <f>IFERROR(IF([2]对账明细接口!$P656=0,"",[2]对账明细接口!$P656),"")</f>
        <v/>
      </c>
      <c r="V656" s="21" t="str">
        <f>IFERROR(IF([2]对账明细接口!$Q656=0,"",[2]对账明细接口!$Q656),"")</f>
        <v/>
      </c>
      <c r="W656" s="20" t="str">
        <f>IFERROR(IF([2]对账明细接口!$R656=0,"",[2]对账明细接口!$R656),"")</f>
        <v/>
      </c>
      <c r="X656" s="20" t="str">
        <f>IFERROR(IF([2]对账明细接口!$S656=0,"",[2]对账明细接口!$S656),"")</f>
        <v/>
      </c>
      <c r="Y656" s="20" t="str">
        <f t="shared" si="62"/>
        <v/>
      </c>
      <c r="Z656" s="20" t="str">
        <f t="shared" si="63"/>
        <v/>
      </c>
      <c r="AA656" s="20" t="str">
        <f t="shared" si="64"/>
        <v/>
      </c>
      <c r="AB656" s="20" t="str">
        <f t="shared" si="65"/>
        <v/>
      </c>
    </row>
    <row r="657" customHeight="1" spans="1:28">
      <c r="A657" s="14">
        <v>657</v>
      </c>
      <c r="B657" s="15" t="str">
        <f>IFERROR(IF([2]对账明细接口!$B$657=0,"",[2]对账明细接口!$B$657),"")</f>
        <v/>
      </c>
      <c r="C657" s="16" t="str">
        <f>IFERROR(IF([2]对账明细接口!$C$657=0,"",[2]对账明细接口!$C$657),"")</f>
        <v/>
      </c>
      <c r="D657" s="16" t="str">
        <f>IFERROR(IF([2]对账明细接口!$D$657=0,"",[2]对账明细接口!$D$657),"")</f>
        <v/>
      </c>
      <c r="E657" s="16" t="str">
        <f>IFERROR(IF([2]对账明细接口!$E$657=0,"",[2]对账明细接口!$E$657),"")</f>
        <v/>
      </c>
      <c r="F657" s="16" t="str">
        <f>IFERROR(IF([2]对账明细接口!$F$657=0,"",[2]对账明细接口!$F$657),"")</f>
        <v/>
      </c>
      <c r="G657" s="16" t="str">
        <f>IFERROR(IF([2]对账明细接口!$G$657=0,"",[2]对账明细接口!$G$657),"")</f>
        <v/>
      </c>
      <c r="H657" s="17" t="str">
        <f>IFERROR(IF([2]对账明细接口!$H$657=0,"",[2]对账明细接口!$H$657),"")</f>
        <v/>
      </c>
      <c r="I657" s="16" t="str">
        <f>IFERROR(IF([2]对账明细接口!$I$657=0,"",[2]对账明细接口!$I$657),"")</f>
        <v/>
      </c>
      <c r="J657" s="18" t="str">
        <f>IFERROR(IF([2]对账明细接口!$J$657=0,"",[2]对账明细接口!$J$657),"")</f>
        <v/>
      </c>
      <c r="K657" s="18" t="str">
        <f>IFERROR(IF([2]对账明细接口!$K$657=0,"",[2]对账明细接口!$K$657),"")</f>
        <v/>
      </c>
      <c r="L657" s="16" t="str">
        <f>IFERROR(IF([2]对账明细接口!$L$657=0,"",[2]对账明细接口!$L$657),"")</f>
        <v/>
      </c>
      <c r="M657" s="16" t="str">
        <f>IFERROR(IF([2]对账明细接口!$M$657=0,"",[2]对账明细接口!$M$657),"")</f>
        <v/>
      </c>
      <c r="N657" s="19">
        <f t="shared" si="60"/>
        <v>0</v>
      </c>
      <c r="O657" s="19">
        <f t="shared" si="61"/>
        <v>165</v>
      </c>
      <c r="S657" s="20" t="str">
        <f>IFERROR(IF([2]对账明细接口!$N657=0,"",[2]对账明细接口!$N657),"")</f>
        <v/>
      </c>
      <c r="T657" s="21" t="str">
        <f>IFERROR(IF([2]对账明细接口!$O657=0,"",[2]对账明细接口!$O657),"")</f>
        <v/>
      </c>
      <c r="U657" s="21" t="str">
        <f>IFERROR(IF([2]对账明细接口!$P657=0,"",[2]对账明细接口!$P657),"")</f>
        <v/>
      </c>
      <c r="V657" s="21" t="str">
        <f>IFERROR(IF([2]对账明细接口!$Q657=0,"",[2]对账明细接口!$Q657),"")</f>
        <v/>
      </c>
      <c r="W657" s="20" t="str">
        <f>IFERROR(IF([2]对账明细接口!$R657=0,"",[2]对账明细接口!$R657),"")</f>
        <v/>
      </c>
      <c r="X657" s="20" t="str">
        <f>IFERROR(IF([2]对账明细接口!$S657=0,"",[2]对账明细接口!$S657),"")</f>
        <v/>
      </c>
      <c r="Y657" s="20" t="str">
        <f t="shared" si="62"/>
        <v/>
      </c>
      <c r="Z657" s="20" t="str">
        <f t="shared" si="63"/>
        <v/>
      </c>
      <c r="AA657" s="20" t="str">
        <f t="shared" si="64"/>
        <v/>
      </c>
      <c r="AB657" s="20" t="str">
        <f t="shared" si="65"/>
        <v/>
      </c>
    </row>
    <row r="658" customHeight="1" spans="1:28">
      <c r="A658" s="14">
        <v>658</v>
      </c>
      <c r="B658" s="15" t="str">
        <f>IFERROR(IF([2]对账明细接口!$B$658=0,"",[2]对账明细接口!$B$658),"")</f>
        <v/>
      </c>
      <c r="C658" s="16" t="str">
        <f>IFERROR(IF([2]对账明细接口!$C$658=0,"",[2]对账明细接口!$C$658),"")</f>
        <v/>
      </c>
      <c r="D658" s="16" t="str">
        <f>IFERROR(IF([2]对账明细接口!$D$658=0,"",[2]对账明细接口!$D$658),"")</f>
        <v/>
      </c>
      <c r="E658" s="16" t="str">
        <f>IFERROR(IF([2]对账明细接口!$E$658=0,"",[2]对账明细接口!$E$658),"")</f>
        <v/>
      </c>
      <c r="F658" s="16" t="str">
        <f>IFERROR(IF([2]对账明细接口!$F$658=0,"",[2]对账明细接口!$F$658),"")</f>
        <v/>
      </c>
      <c r="G658" s="16" t="str">
        <f>IFERROR(IF([2]对账明细接口!$G$658=0,"",[2]对账明细接口!$G$658),"")</f>
        <v/>
      </c>
      <c r="H658" s="17" t="str">
        <f>IFERROR(IF([2]对账明细接口!$H$658=0,"",[2]对账明细接口!$H$658),"")</f>
        <v/>
      </c>
      <c r="I658" s="16" t="str">
        <f>IFERROR(IF([2]对账明细接口!$I$658=0,"",[2]对账明细接口!$I$658),"")</f>
        <v/>
      </c>
      <c r="J658" s="18" t="str">
        <f>IFERROR(IF([2]对账明细接口!$J$658=0,"",[2]对账明细接口!$J$658),"")</f>
        <v/>
      </c>
      <c r="K658" s="18" t="str">
        <f>IFERROR(IF([2]对账明细接口!$K$658=0,"",[2]对账明细接口!$K$658),"")</f>
        <v/>
      </c>
      <c r="L658" s="16" t="str">
        <f>IFERROR(IF([2]对账明细接口!$L$658=0,"",[2]对账明细接口!$L$658),"")</f>
        <v/>
      </c>
      <c r="M658" s="16" t="str">
        <f>IFERROR(IF([2]对账明细接口!$M$658=0,"",[2]对账明细接口!$M$658),"")</f>
        <v/>
      </c>
      <c r="N658" s="19">
        <f t="shared" si="60"/>
        <v>0</v>
      </c>
      <c r="O658" s="19">
        <f t="shared" si="61"/>
        <v>165</v>
      </c>
      <c r="S658" s="20" t="str">
        <f>IFERROR(IF([2]对账明细接口!$N658=0,"",[2]对账明细接口!$N658),"")</f>
        <v/>
      </c>
      <c r="T658" s="21" t="str">
        <f>IFERROR(IF([2]对账明细接口!$O658=0,"",[2]对账明细接口!$O658),"")</f>
        <v/>
      </c>
      <c r="U658" s="21" t="str">
        <f>IFERROR(IF([2]对账明细接口!$P658=0,"",[2]对账明细接口!$P658),"")</f>
        <v/>
      </c>
      <c r="V658" s="21" t="str">
        <f>IFERROR(IF([2]对账明细接口!$Q658=0,"",[2]对账明细接口!$Q658),"")</f>
        <v/>
      </c>
      <c r="W658" s="20" t="str">
        <f>IFERROR(IF([2]对账明细接口!$R658=0,"",[2]对账明细接口!$R658),"")</f>
        <v/>
      </c>
      <c r="X658" s="20" t="str">
        <f>IFERROR(IF([2]对账明细接口!$S658=0,"",[2]对账明细接口!$S658),"")</f>
        <v/>
      </c>
      <c r="Y658" s="20" t="str">
        <f t="shared" si="62"/>
        <v/>
      </c>
      <c r="Z658" s="20" t="str">
        <f t="shared" si="63"/>
        <v/>
      </c>
      <c r="AA658" s="20" t="str">
        <f t="shared" si="64"/>
        <v/>
      </c>
      <c r="AB658" s="20" t="str">
        <f t="shared" si="65"/>
        <v/>
      </c>
    </row>
    <row r="659" customHeight="1" spans="1:28">
      <c r="A659" s="14">
        <v>659</v>
      </c>
      <c r="B659" s="15" t="str">
        <f>IFERROR(IF([2]对账明细接口!$B$659=0,"",[2]对账明细接口!$B$659),"")</f>
        <v/>
      </c>
      <c r="C659" s="16" t="str">
        <f>IFERROR(IF([2]对账明细接口!$C$659=0,"",[2]对账明细接口!$C$659),"")</f>
        <v/>
      </c>
      <c r="D659" s="16" t="str">
        <f>IFERROR(IF([2]对账明细接口!$D$659=0,"",[2]对账明细接口!$D$659),"")</f>
        <v/>
      </c>
      <c r="E659" s="16" t="str">
        <f>IFERROR(IF([2]对账明细接口!$E$659=0,"",[2]对账明细接口!$E$659),"")</f>
        <v/>
      </c>
      <c r="F659" s="16" t="str">
        <f>IFERROR(IF([2]对账明细接口!$F$659=0,"",[2]对账明细接口!$F$659),"")</f>
        <v/>
      </c>
      <c r="G659" s="16" t="str">
        <f>IFERROR(IF([2]对账明细接口!$G$659=0,"",[2]对账明细接口!$G$659),"")</f>
        <v/>
      </c>
      <c r="H659" s="17" t="str">
        <f>IFERROR(IF([2]对账明细接口!$H$659=0,"",[2]对账明细接口!$H$659),"")</f>
        <v/>
      </c>
      <c r="I659" s="16" t="str">
        <f>IFERROR(IF([2]对账明细接口!$I$659=0,"",[2]对账明细接口!$I$659),"")</f>
        <v/>
      </c>
      <c r="J659" s="18" t="str">
        <f>IFERROR(IF([2]对账明细接口!$J$659=0,"",[2]对账明细接口!$J$659),"")</f>
        <v/>
      </c>
      <c r="K659" s="18" t="str">
        <f>IFERROR(IF([2]对账明细接口!$K$659=0,"",[2]对账明细接口!$K$659),"")</f>
        <v/>
      </c>
      <c r="L659" s="16" t="str">
        <f>IFERROR(IF([2]对账明细接口!$L$659=0,"",[2]对账明细接口!$L$659),"")</f>
        <v/>
      </c>
      <c r="M659" s="16" t="str">
        <f>IFERROR(IF([2]对账明细接口!$M$659=0,"",[2]对账明细接口!$M$659),"")</f>
        <v/>
      </c>
      <c r="N659" s="19">
        <f t="shared" si="60"/>
        <v>0</v>
      </c>
      <c r="O659" s="19">
        <f t="shared" si="61"/>
        <v>165</v>
      </c>
      <c r="S659" s="20" t="str">
        <f>IFERROR(IF([2]对账明细接口!$N659=0,"",[2]对账明细接口!$N659),"")</f>
        <v/>
      </c>
      <c r="T659" s="21" t="str">
        <f>IFERROR(IF([2]对账明细接口!$O659=0,"",[2]对账明细接口!$O659),"")</f>
        <v/>
      </c>
      <c r="U659" s="21" t="str">
        <f>IFERROR(IF([2]对账明细接口!$P659=0,"",[2]对账明细接口!$P659),"")</f>
        <v/>
      </c>
      <c r="V659" s="21" t="str">
        <f>IFERROR(IF([2]对账明细接口!$Q659=0,"",[2]对账明细接口!$Q659),"")</f>
        <v/>
      </c>
      <c r="W659" s="20" t="str">
        <f>IFERROR(IF([2]对账明细接口!$R659=0,"",[2]对账明细接口!$R659),"")</f>
        <v/>
      </c>
      <c r="X659" s="20" t="str">
        <f>IFERROR(IF([2]对账明细接口!$S659=0,"",[2]对账明细接口!$S659),"")</f>
        <v/>
      </c>
      <c r="Y659" s="20" t="str">
        <f t="shared" si="62"/>
        <v/>
      </c>
      <c r="Z659" s="20" t="str">
        <f t="shared" si="63"/>
        <v/>
      </c>
      <c r="AA659" s="20" t="str">
        <f t="shared" si="64"/>
        <v/>
      </c>
      <c r="AB659" s="20" t="str">
        <f t="shared" si="65"/>
        <v/>
      </c>
    </row>
    <row r="660" customHeight="1" spans="1:28">
      <c r="A660" s="14">
        <v>660</v>
      </c>
      <c r="B660" s="15" t="str">
        <f>IFERROR(IF([2]对账明细接口!$B$660=0,"",[2]对账明细接口!$B$660),"")</f>
        <v/>
      </c>
      <c r="C660" s="16" t="str">
        <f>IFERROR(IF([2]对账明细接口!$C$660=0,"",[2]对账明细接口!$C$660),"")</f>
        <v/>
      </c>
      <c r="D660" s="16" t="str">
        <f>IFERROR(IF([2]对账明细接口!$D$660=0,"",[2]对账明细接口!$D$660),"")</f>
        <v/>
      </c>
      <c r="E660" s="16" t="str">
        <f>IFERROR(IF([2]对账明细接口!$E$660=0,"",[2]对账明细接口!$E$660),"")</f>
        <v/>
      </c>
      <c r="F660" s="16" t="str">
        <f>IFERROR(IF([2]对账明细接口!$F$660=0,"",[2]对账明细接口!$F$660),"")</f>
        <v/>
      </c>
      <c r="G660" s="16" t="str">
        <f>IFERROR(IF([2]对账明细接口!$G$660=0,"",[2]对账明细接口!$G$660),"")</f>
        <v/>
      </c>
      <c r="H660" s="17" t="str">
        <f>IFERROR(IF([2]对账明细接口!$H$660=0,"",[2]对账明细接口!$H$660),"")</f>
        <v/>
      </c>
      <c r="I660" s="16" t="str">
        <f>IFERROR(IF([2]对账明细接口!$I$660=0,"",[2]对账明细接口!$I$660),"")</f>
        <v/>
      </c>
      <c r="J660" s="18" t="str">
        <f>IFERROR(IF([2]对账明细接口!$J$660=0,"",[2]对账明细接口!$J$660),"")</f>
        <v/>
      </c>
      <c r="K660" s="18" t="str">
        <f>IFERROR(IF([2]对账明细接口!$K$660=0,"",[2]对账明细接口!$K$660),"")</f>
        <v/>
      </c>
      <c r="L660" s="16" t="str">
        <f>IFERROR(IF([2]对账明细接口!$L$660=0,"",[2]对账明细接口!$L$660),"")</f>
        <v/>
      </c>
      <c r="M660" s="16" t="str">
        <f>IFERROR(IF([2]对账明细接口!$M$660=0,"",[2]对账明细接口!$M$660),"")</f>
        <v/>
      </c>
      <c r="N660" s="19">
        <f t="shared" si="60"/>
        <v>0</v>
      </c>
      <c r="O660" s="19">
        <f t="shared" si="61"/>
        <v>165</v>
      </c>
      <c r="S660" s="20" t="str">
        <f>IFERROR(IF([2]对账明细接口!$N660=0,"",[2]对账明细接口!$N660),"")</f>
        <v/>
      </c>
      <c r="T660" s="21" t="str">
        <f>IFERROR(IF([2]对账明细接口!$O660=0,"",[2]对账明细接口!$O660),"")</f>
        <v/>
      </c>
      <c r="U660" s="21" t="str">
        <f>IFERROR(IF([2]对账明细接口!$P660=0,"",[2]对账明细接口!$P660),"")</f>
        <v/>
      </c>
      <c r="V660" s="21" t="str">
        <f>IFERROR(IF([2]对账明细接口!$Q660=0,"",[2]对账明细接口!$Q660),"")</f>
        <v/>
      </c>
      <c r="W660" s="20" t="str">
        <f>IFERROR(IF([2]对账明细接口!$R660=0,"",[2]对账明细接口!$R660),"")</f>
        <v/>
      </c>
      <c r="X660" s="20" t="str">
        <f>IFERROR(IF([2]对账明细接口!$S660=0,"",[2]对账明细接口!$S660),"")</f>
        <v/>
      </c>
      <c r="Y660" s="20" t="str">
        <f t="shared" si="62"/>
        <v/>
      </c>
      <c r="Z660" s="20" t="str">
        <f t="shared" si="63"/>
        <v/>
      </c>
      <c r="AA660" s="20" t="str">
        <f t="shared" si="64"/>
        <v/>
      </c>
      <c r="AB660" s="20" t="str">
        <f t="shared" si="65"/>
        <v/>
      </c>
    </row>
    <row r="661" customHeight="1" spans="1:28">
      <c r="A661" s="14">
        <v>661</v>
      </c>
      <c r="B661" s="15" t="str">
        <f>IFERROR(IF([2]对账明细接口!$B$661=0,"",[2]对账明细接口!$B$661),"")</f>
        <v/>
      </c>
      <c r="C661" s="16" t="str">
        <f>IFERROR(IF([2]对账明细接口!$C$661=0,"",[2]对账明细接口!$C$661),"")</f>
        <v/>
      </c>
      <c r="D661" s="16" t="str">
        <f>IFERROR(IF([2]对账明细接口!$D$661=0,"",[2]对账明细接口!$D$661),"")</f>
        <v/>
      </c>
      <c r="E661" s="16" t="str">
        <f>IFERROR(IF([2]对账明细接口!$E$661=0,"",[2]对账明细接口!$E$661),"")</f>
        <v/>
      </c>
      <c r="F661" s="16" t="str">
        <f>IFERROR(IF([2]对账明细接口!$F$661=0,"",[2]对账明细接口!$F$661),"")</f>
        <v/>
      </c>
      <c r="G661" s="16" t="str">
        <f>IFERROR(IF([2]对账明细接口!$G$661=0,"",[2]对账明细接口!$G$661),"")</f>
        <v/>
      </c>
      <c r="H661" s="17" t="str">
        <f>IFERROR(IF([2]对账明细接口!$H$661=0,"",[2]对账明细接口!$H$661),"")</f>
        <v/>
      </c>
      <c r="I661" s="16" t="str">
        <f>IFERROR(IF([2]对账明细接口!$I$661=0,"",[2]对账明细接口!$I$661),"")</f>
        <v/>
      </c>
      <c r="J661" s="18" t="str">
        <f>IFERROR(IF([2]对账明细接口!$J$661=0,"",[2]对账明细接口!$J$661),"")</f>
        <v/>
      </c>
      <c r="K661" s="18" t="str">
        <f>IFERROR(IF([2]对账明细接口!$K$661=0,"",[2]对账明细接口!$K$661),"")</f>
        <v/>
      </c>
      <c r="L661" s="16" t="str">
        <f>IFERROR(IF([2]对账明细接口!$L$661=0,"",[2]对账明细接口!$L$661),"")</f>
        <v/>
      </c>
      <c r="M661" s="16" t="str">
        <f>IFERROR(IF([2]对账明细接口!$M$661=0,"",[2]对账明细接口!$M$661),"")</f>
        <v/>
      </c>
      <c r="N661" s="19">
        <f t="shared" si="60"/>
        <v>0</v>
      </c>
      <c r="O661" s="19">
        <f t="shared" si="61"/>
        <v>165</v>
      </c>
      <c r="S661" s="20" t="str">
        <f>IFERROR(IF([2]对账明细接口!$N661=0,"",[2]对账明细接口!$N661),"")</f>
        <v/>
      </c>
      <c r="T661" s="21" t="str">
        <f>IFERROR(IF([2]对账明细接口!$O661=0,"",[2]对账明细接口!$O661),"")</f>
        <v/>
      </c>
      <c r="U661" s="21" t="str">
        <f>IFERROR(IF([2]对账明细接口!$P661=0,"",[2]对账明细接口!$P661),"")</f>
        <v/>
      </c>
      <c r="V661" s="21" t="str">
        <f>IFERROR(IF([2]对账明细接口!$Q661=0,"",[2]对账明细接口!$Q661),"")</f>
        <v/>
      </c>
      <c r="W661" s="20" t="str">
        <f>IFERROR(IF([2]对账明细接口!$R661=0,"",[2]对账明细接口!$R661),"")</f>
        <v/>
      </c>
      <c r="X661" s="20" t="str">
        <f>IFERROR(IF([2]对账明细接口!$S661=0,"",[2]对账明细接口!$S661),"")</f>
        <v/>
      </c>
      <c r="Y661" s="20" t="str">
        <f t="shared" si="62"/>
        <v/>
      </c>
      <c r="Z661" s="20" t="str">
        <f t="shared" si="63"/>
        <v/>
      </c>
      <c r="AA661" s="20" t="str">
        <f t="shared" si="64"/>
        <v/>
      </c>
      <c r="AB661" s="20" t="str">
        <f t="shared" si="65"/>
        <v/>
      </c>
    </row>
    <row r="662" customHeight="1" spans="1:28">
      <c r="A662" s="14">
        <v>662</v>
      </c>
      <c r="B662" s="15" t="str">
        <f>IFERROR(IF([2]对账明细接口!$B$662=0,"",[2]对账明细接口!$B$662),"")</f>
        <v/>
      </c>
      <c r="C662" s="16" t="str">
        <f>IFERROR(IF([2]对账明细接口!$C$662=0,"",[2]对账明细接口!$C$662),"")</f>
        <v/>
      </c>
      <c r="D662" s="16" t="str">
        <f>IFERROR(IF([2]对账明细接口!$D$662=0,"",[2]对账明细接口!$D$662),"")</f>
        <v/>
      </c>
      <c r="E662" s="16" t="str">
        <f>IFERROR(IF([2]对账明细接口!$E$662=0,"",[2]对账明细接口!$E$662),"")</f>
        <v/>
      </c>
      <c r="F662" s="16" t="str">
        <f>IFERROR(IF([2]对账明细接口!$F$662=0,"",[2]对账明细接口!$F$662),"")</f>
        <v/>
      </c>
      <c r="G662" s="16" t="str">
        <f>IFERROR(IF([2]对账明细接口!$G$662=0,"",[2]对账明细接口!$G$662),"")</f>
        <v/>
      </c>
      <c r="H662" s="17" t="str">
        <f>IFERROR(IF([2]对账明细接口!$H$662=0,"",[2]对账明细接口!$H$662),"")</f>
        <v/>
      </c>
      <c r="I662" s="16" t="str">
        <f>IFERROR(IF([2]对账明细接口!$I$662=0,"",[2]对账明细接口!$I$662),"")</f>
        <v/>
      </c>
      <c r="J662" s="18" t="str">
        <f>IFERROR(IF([2]对账明细接口!$J$662=0,"",[2]对账明细接口!$J$662),"")</f>
        <v/>
      </c>
      <c r="K662" s="18" t="str">
        <f>IFERROR(IF([2]对账明细接口!$K$662=0,"",[2]对账明细接口!$K$662),"")</f>
        <v/>
      </c>
      <c r="L662" s="16" t="str">
        <f>IFERROR(IF([2]对账明细接口!$L$662=0,"",[2]对账明细接口!$L$662),"")</f>
        <v/>
      </c>
      <c r="M662" s="16" t="str">
        <f>IFERROR(IF([2]对账明细接口!$M$662=0,"",[2]对账明细接口!$M$662),"")</f>
        <v/>
      </c>
      <c r="N662" s="19">
        <f t="shared" si="60"/>
        <v>0</v>
      </c>
      <c r="O662" s="19">
        <f t="shared" si="61"/>
        <v>165</v>
      </c>
      <c r="S662" s="20" t="str">
        <f>IFERROR(IF([2]对账明细接口!$N662=0,"",[2]对账明细接口!$N662),"")</f>
        <v/>
      </c>
      <c r="T662" s="21" t="str">
        <f>IFERROR(IF([2]对账明细接口!$O662=0,"",[2]对账明细接口!$O662),"")</f>
        <v/>
      </c>
      <c r="U662" s="21" t="str">
        <f>IFERROR(IF([2]对账明细接口!$P662=0,"",[2]对账明细接口!$P662),"")</f>
        <v/>
      </c>
      <c r="V662" s="21" t="str">
        <f>IFERROR(IF([2]对账明细接口!$Q662=0,"",[2]对账明细接口!$Q662),"")</f>
        <v/>
      </c>
      <c r="W662" s="20" t="str">
        <f>IFERROR(IF([2]对账明细接口!$R662=0,"",[2]对账明细接口!$R662),"")</f>
        <v/>
      </c>
      <c r="X662" s="20" t="str">
        <f>IFERROR(IF([2]对账明细接口!$S662=0,"",[2]对账明细接口!$S662),"")</f>
        <v/>
      </c>
      <c r="Y662" s="20" t="str">
        <f t="shared" si="62"/>
        <v/>
      </c>
      <c r="Z662" s="20" t="str">
        <f t="shared" si="63"/>
        <v/>
      </c>
      <c r="AA662" s="20" t="str">
        <f t="shared" si="64"/>
        <v/>
      </c>
      <c r="AB662" s="20" t="str">
        <f t="shared" si="65"/>
        <v/>
      </c>
    </row>
    <row r="663" customHeight="1" spans="1:28">
      <c r="A663" s="14">
        <v>663</v>
      </c>
      <c r="B663" s="15" t="str">
        <f>IFERROR(IF([2]对账明细接口!$B$663=0,"",[2]对账明细接口!$B$663),"")</f>
        <v/>
      </c>
      <c r="C663" s="16" t="str">
        <f>IFERROR(IF([2]对账明细接口!$C$663=0,"",[2]对账明细接口!$C$663),"")</f>
        <v/>
      </c>
      <c r="D663" s="16" t="str">
        <f>IFERROR(IF([2]对账明细接口!$D$663=0,"",[2]对账明细接口!$D$663),"")</f>
        <v/>
      </c>
      <c r="E663" s="16" t="str">
        <f>IFERROR(IF([2]对账明细接口!$E$663=0,"",[2]对账明细接口!$E$663),"")</f>
        <v/>
      </c>
      <c r="F663" s="16" t="str">
        <f>IFERROR(IF([2]对账明细接口!$F$663=0,"",[2]对账明细接口!$F$663),"")</f>
        <v/>
      </c>
      <c r="G663" s="16" t="str">
        <f>IFERROR(IF([2]对账明细接口!$G$663=0,"",[2]对账明细接口!$G$663),"")</f>
        <v/>
      </c>
      <c r="H663" s="17" t="str">
        <f>IFERROR(IF([2]对账明细接口!$H$663=0,"",[2]对账明细接口!$H$663),"")</f>
        <v/>
      </c>
      <c r="I663" s="16" t="str">
        <f>IFERROR(IF([2]对账明细接口!$I$663=0,"",[2]对账明细接口!$I$663),"")</f>
        <v/>
      </c>
      <c r="J663" s="18" t="str">
        <f>IFERROR(IF([2]对账明细接口!$J$663=0,"",[2]对账明细接口!$J$663),"")</f>
        <v/>
      </c>
      <c r="K663" s="18" t="str">
        <f>IFERROR(IF([2]对账明细接口!$K$663=0,"",[2]对账明细接口!$K$663),"")</f>
        <v/>
      </c>
      <c r="L663" s="16" t="str">
        <f>IFERROR(IF([2]对账明细接口!$L$663=0,"",[2]对账明细接口!$L$663),"")</f>
        <v/>
      </c>
      <c r="M663" s="16" t="str">
        <f>IFERROR(IF([2]对账明细接口!$M$663=0,"",[2]对账明细接口!$M$663),"")</f>
        <v/>
      </c>
      <c r="N663" s="19">
        <f t="shared" si="60"/>
        <v>0</v>
      </c>
      <c r="O663" s="19">
        <f t="shared" si="61"/>
        <v>165</v>
      </c>
      <c r="S663" s="20" t="str">
        <f>IFERROR(IF([2]对账明细接口!$N663=0,"",[2]对账明细接口!$N663),"")</f>
        <v/>
      </c>
      <c r="T663" s="21" t="str">
        <f>IFERROR(IF([2]对账明细接口!$O663=0,"",[2]对账明细接口!$O663),"")</f>
        <v/>
      </c>
      <c r="U663" s="21" t="str">
        <f>IFERROR(IF([2]对账明细接口!$P663=0,"",[2]对账明细接口!$P663),"")</f>
        <v/>
      </c>
      <c r="V663" s="21" t="str">
        <f>IFERROR(IF([2]对账明细接口!$Q663=0,"",[2]对账明细接口!$Q663),"")</f>
        <v/>
      </c>
      <c r="W663" s="20" t="str">
        <f>IFERROR(IF([2]对账明细接口!$R663=0,"",[2]对账明细接口!$R663),"")</f>
        <v/>
      </c>
      <c r="X663" s="20" t="str">
        <f>IFERROR(IF([2]对账明细接口!$S663=0,"",[2]对账明细接口!$S663),"")</f>
        <v/>
      </c>
      <c r="Y663" s="20" t="str">
        <f t="shared" si="62"/>
        <v/>
      </c>
      <c r="Z663" s="20" t="str">
        <f t="shared" si="63"/>
        <v/>
      </c>
      <c r="AA663" s="20" t="str">
        <f t="shared" si="64"/>
        <v/>
      </c>
      <c r="AB663" s="20" t="str">
        <f t="shared" si="65"/>
        <v/>
      </c>
    </row>
    <row r="664" customHeight="1" spans="1:28">
      <c r="A664" s="14">
        <v>664</v>
      </c>
      <c r="B664" s="15" t="str">
        <f>IFERROR(IF([2]对账明细接口!$B$664=0,"",[2]对账明细接口!$B$664),"")</f>
        <v/>
      </c>
      <c r="C664" s="16" t="str">
        <f>IFERROR(IF([2]对账明细接口!$C$664=0,"",[2]对账明细接口!$C$664),"")</f>
        <v/>
      </c>
      <c r="D664" s="16" t="str">
        <f>IFERROR(IF([2]对账明细接口!$D$664=0,"",[2]对账明细接口!$D$664),"")</f>
        <v/>
      </c>
      <c r="E664" s="16" t="str">
        <f>IFERROR(IF([2]对账明细接口!$E$664=0,"",[2]对账明细接口!$E$664),"")</f>
        <v/>
      </c>
      <c r="F664" s="16" t="str">
        <f>IFERROR(IF([2]对账明细接口!$F$664=0,"",[2]对账明细接口!$F$664),"")</f>
        <v/>
      </c>
      <c r="G664" s="16" t="str">
        <f>IFERROR(IF([2]对账明细接口!$G$664=0,"",[2]对账明细接口!$G$664),"")</f>
        <v/>
      </c>
      <c r="H664" s="17" t="str">
        <f>IFERROR(IF([2]对账明细接口!$H$664=0,"",[2]对账明细接口!$H$664),"")</f>
        <v/>
      </c>
      <c r="I664" s="16" t="str">
        <f>IFERROR(IF([2]对账明细接口!$I$664=0,"",[2]对账明细接口!$I$664),"")</f>
        <v/>
      </c>
      <c r="J664" s="18" t="str">
        <f>IFERROR(IF([2]对账明细接口!$J$664=0,"",[2]对账明细接口!$J$664),"")</f>
        <v/>
      </c>
      <c r="K664" s="18" t="str">
        <f>IFERROR(IF([2]对账明细接口!$K$664=0,"",[2]对账明细接口!$K$664),"")</f>
        <v/>
      </c>
      <c r="L664" s="16" t="str">
        <f>IFERROR(IF([2]对账明细接口!$L$664=0,"",[2]对账明细接口!$L$664),"")</f>
        <v/>
      </c>
      <c r="M664" s="16" t="str">
        <f>IFERROR(IF([2]对账明细接口!$M$664=0,"",[2]对账明细接口!$M$664),"")</f>
        <v/>
      </c>
      <c r="N664" s="19">
        <f t="shared" si="60"/>
        <v>0</v>
      </c>
      <c r="O664" s="19">
        <f t="shared" si="61"/>
        <v>165</v>
      </c>
      <c r="S664" s="20" t="str">
        <f>IFERROR(IF([2]对账明细接口!$N664=0,"",[2]对账明细接口!$N664),"")</f>
        <v/>
      </c>
      <c r="T664" s="21" t="str">
        <f>IFERROR(IF([2]对账明细接口!$O664=0,"",[2]对账明细接口!$O664),"")</f>
        <v/>
      </c>
      <c r="U664" s="21" t="str">
        <f>IFERROR(IF([2]对账明细接口!$P664=0,"",[2]对账明细接口!$P664),"")</f>
        <v/>
      </c>
      <c r="V664" s="21" t="str">
        <f>IFERROR(IF([2]对账明细接口!$Q664=0,"",[2]对账明细接口!$Q664),"")</f>
        <v/>
      </c>
      <c r="W664" s="20" t="str">
        <f>IFERROR(IF([2]对账明细接口!$R664=0,"",[2]对账明细接口!$R664),"")</f>
        <v/>
      </c>
      <c r="X664" s="20" t="str">
        <f>IFERROR(IF([2]对账明细接口!$S664=0,"",[2]对账明细接口!$S664),"")</f>
        <v/>
      </c>
      <c r="Y664" s="20" t="str">
        <f t="shared" si="62"/>
        <v/>
      </c>
      <c r="Z664" s="20" t="str">
        <f t="shared" si="63"/>
        <v/>
      </c>
      <c r="AA664" s="20" t="str">
        <f t="shared" si="64"/>
        <v/>
      </c>
      <c r="AB664" s="20" t="str">
        <f t="shared" si="65"/>
        <v/>
      </c>
    </row>
    <row r="665" customHeight="1" spans="1:28">
      <c r="A665" s="14">
        <v>665</v>
      </c>
      <c r="B665" s="15" t="str">
        <f>IFERROR(IF([2]对账明细接口!$B$665=0,"",[2]对账明细接口!$B$665),"")</f>
        <v/>
      </c>
      <c r="C665" s="16" t="str">
        <f>IFERROR(IF([2]对账明细接口!$C$665=0,"",[2]对账明细接口!$C$665),"")</f>
        <v/>
      </c>
      <c r="D665" s="16" t="str">
        <f>IFERROR(IF([2]对账明细接口!$D$665=0,"",[2]对账明细接口!$D$665),"")</f>
        <v/>
      </c>
      <c r="E665" s="16" t="str">
        <f>IFERROR(IF([2]对账明细接口!$E$665=0,"",[2]对账明细接口!$E$665),"")</f>
        <v/>
      </c>
      <c r="F665" s="16" t="str">
        <f>IFERROR(IF([2]对账明细接口!$F$665=0,"",[2]对账明细接口!$F$665),"")</f>
        <v/>
      </c>
      <c r="G665" s="16" t="str">
        <f>IFERROR(IF([2]对账明细接口!$G$665=0,"",[2]对账明细接口!$G$665),"")</f>
        <v/>
      </c>
      <c r="H665" s="17" t="str">
        <f>IFERROR(IF([2]对账明细接口!$H$665=0,"",[2]对账明细接口!$H$665),"")</f>
        <v/>
      </c>
      <c r="I665" s="16" t="str">
        <f>IFERROR(IF([2]对账明细接口!$I$665=0,"",[2]对账明细接口!$I$665),"")</f>
        <v/>
      </c>
      <c r="J665" s="18" t="str">
        <f>IFERROR(IF([2]对账明细接口!$J$665=0,"",[2]对账明细接口!$J$665),"")</f>
        <v/>
      </c>
      <c r="K665" s="18" t="str">
        <f>IFERROR(IF([2]对账明细接口!$K$665=0,"",[2]对账明细接口!$K$665),"")</f>
        <v/>
      </c>
      <c r="L665" s="16" t="str">
        <f>IFERROR(IF([2]对账明细接口!$L$665=0,"",[2]对账明细接口!$L$665),"")</f>
        <v/>
      </c>
      <c r="M665" s="16" t="str">
        <f>IFERROR(IF([2]对账明细接口!$M$665=0,"",[2]对账明细接口!$M$665),"")</f>
        <v/>
      </c>
      <c r="N665" s="19">
        <f t="shared" si="60"/>
        <v>0</v>
      </c>
      <c r="O665" s="19">
        <f t="shared" si="61"/>
        <v>165</v>
      </c>
      <c r="S665" s="20" t="str">
        <f>IFERROR(IF([2]对账明细接口!$N665=0,"",[2]对账明细接口!$N665),"")</f>
        <v/>
      </c>
      <c r="T665" s="21" t="str">
        <f>IFERROR(IF([2]对账明细接口!$O665=0,"",[2]对账明细接口!$O665),"")</f>
        <v/>
      </c>
      <c r="U665" s="21" t="str">
        <f>IFERROR(IF([2]对账明细接口!$P665=0,"",[2]对账明细接口!$P665),"")</f>
        <v/>
      </c>
      <c r="V665" s="21" t="str">
        <f>IFERROR(IF([2]对账明细接口!$Q665=0,"",[2]对账明细接口!$Q665),"")</f>
        <v/>
      </c>
      <c r="W665" s="20" t="str">
        <f>IFERROR(IF([2]对账明细接口!$R665=0,"",[2]对账明细接口!$R665),"")</f>
        <v/>
      </c>
      <c r="X665" s="20" t="str">
        <f>IFERROR(IF([2]对账明细接口!$S665=0,"",[2]对账明细接口!$S665),"")</f>
        <v/>
      </c>
      <c r="Y665" s="20" t="str">
        <f t="shared" si="62"/>
        <v/>
      </c>
      <c r="Z665" s="20" t="str">
        <f t="shared" si="63"/>
        <v/>
      </c>
      <c r="AA665" s="20" t="str">
        <f t="shared" si="64"/>
        <v/>
      </c>
      <c r="AB665" s="20" t="str">
        <f t="shared" si="65"/>
        <v/>
      </c>
    </row>
    <row r="666" customHeight="1" spans="1:28">
      <c r="A666" s="14">
        <v>666</v>
      </c>
      <c r="B666" s="15" t="str">
        <f>IFERROR(IF([2]对账明细接口!$B$666=0,"",[2]对账明细接口!$B$666),"")</f>
        <v/>
      </c>
      <c r="C666" s="16" t="str">
        <f>IFERROR(IF([2]对账明细接口!$C$666=0,"",[2]对账明细接口!$C$666),"")</f>
        <v/>
      </c>
      <c r="D666" s="16" t="str">
        <f>IFERROR(IF([2]对账明细接口!$D$666=0,"",[2]对账明细接口!$D$666),"")</f>
        <v/>
      </c>
      <c r="E666" s="16" t="str">
        <f>IFERROR(IF([2]对账明细接口!$E$666=0,"",[2]对账明细接口!$E$666),"")</f>
        <v/>
      </c>
      <c r="F666" s="16" t="str">
        <f>IFERROR(IF([2]对账明细接口!$F$666=0,"",[2]对账明细接口!$F$666),"")</f>
        <v/>
      </c>
      <c r="G666" s="16" t="str">
        <f>IFERROR(IF([2]对账明细接口!$G$666=0,"",[2]对账明细接口!$G$666),"")</f>
        <v/>
      </c>
      <c r="H666" s="17" t="str">
        <f>IFERROR(IF([2]对账明细接口!$H$666=0,"",[2]对账明细接口!$H$666),"")</f>
        <v/>
      </c>
      <c r="I666" s="16" t="str">
        <f>IFERROR(IF([2]对账明细接口!$I$666=0,"",[2]对账明细接口!$I$666),"")</f>
        <v/>
      </c>
      <c r="J666" s="18" t="str">
        <f>IFERROR(IF([2]对账明细接口!$J$666=0,"",[2]对账明细接口!$J$666),"")</f>
        <v/>
      </c>
      <c r="K666" s="18" t="str">
        <f>IFERROR(IF([2]对账明细接口!$K$666=0,"",[2]对账明细接口!$K$666),"")</f>
        <v/>
      </c>
      <c r="L666" s="16" t="str">
        <f>IFERROR(IF([2]对账明细接口!$L$666=0,"",[2]对账明细接口!$L$666),"")</f>
        <v/>
      </c>
      <c r="M666" s="16" t="str">
        <f>IFERROR(IF([2]对账明细接口!$M$666=0,"",[2]对账明细接口!$M$666),"")</f>
        <v/>
      </c>
      <c r="N666" s="19">
        <f t="shared" si="60"/>
        <v>0</v>
      </c>
      <c r="O666" s="19">
        <f t="shared" si="61"/>
        <v>165</v>
      </c>
      <c r="S666" s="20" t="str">
        <f>IFERROR(IF([2]对账明细接口!$N666=0,"",[2]对账明细接口!$N666),"")</f>
        <v/>
      </c>
      <c r="T666" s="21" t="str">
        <f>IFERROR(IF([2]对账明细接口!$O666=0,"",[2]对账明细接口!$O666),"")</f>
        <v/>
      </c>
      <c r="U666" s="21" t="str">
        <f>IFERROR(IF([2]对账明细接口!$P666=0,"",[2]对账明细接口!$P666),"")</f>
        <v/>
      </c>
      <c r="V666" s="21" t="str">
        <f>IFERROR(IF([2]对账明细接口!$Q666=0,"",[2]对账明细接口!$Q666),"")</f>
        <v/>
      </c>
      <c r="W666" s="20" t="str">
        <f>IFERROR(IF([2]对账明细接口!$R666=0,"",[2]对账明细接口!$R666),"")</f>
        <v/>
      </c>
      <c r="X666" s="20" t="str">
        <f>IFERROR(IF([2]对账明细接口!$S666=0,"",[2]对账明细接口!$S666),"")</f>
        <v/>
      </c>
      <c r="Y666" s="20" t="str">
        <f t="shared" si="62"/>
        <v/>
      </c>
      <c r="Z666" s="20" t="str">
        <f t="shared" si="63"/>
        <v/>
      </c>
      <c r="AA666" s="20" t="str">
        <f t="shared" si="64"/>
        <v/>
      </c>
      <c r="AB666" s="20" t="str">
        <f t="shared" si="65"/>
        <v/>
      </c>
    </row>
    <row r="667" customHeight="1" spans="1:28">
      <c r="A667" s="14">
        <v>667</v>
      </c>
      <c r="B667" s="15" t="str">
        <f>IFERROR(IF([2]对账明细接口!$B$667=0,"",[2]对账明细接口!$B$667),"")</f>
        <v/>
      </c>
      <c r="C667" s="16" t="str">
        <f>IFERROR(IF([2]对账明细接口!$C$667=0,"",[2]对账明细接口!$C$667),"")</f>
        <v/>
      </c>
      <c r="D667" s="16" t="str">
        <f>IFERROR(IF([2]对账明细接口!$D$667=0,"",[2]对账明细接口!$D$667),"")</f>
        <v/>
      </c>
      <c r="E667" s="16" t="str">
        <f>IFERROR(IF([2]对账明细接口!$E$667=0,"",[2]对账明细接口!$E$667),"")</f>
        <v/>
      </c>
      <c r="F667" s="16" t="str">
        <f>IFERROR(IF([2]对账明细接口!$F$667=0,"",[2]对账明细接口!$F$667),"")</f>
        <v/>
      </c>
      <c r="G667" s="16" t="str">
        <f>IFERROR(IF([2]对账明细接口!$G$667=0,"",[2]对账明细接口!$G$667),"")</f>
        <v/>
      </c>
      <c r="H667" s="17" t="str">
        <f>IFERROR(IF([2]对账明细接口!$H$667=0,"",[2]对账明细接口!$H$667),"")</f>
        <v/>
      </c>
      <c r="I667" s="16" t="str">
        <f>IFERROR(IF([2]对账明细接口!$I$667=0,"",[2]对账明细接口!$I$667),"")</f>
        <v/>
      </c>
      <c r="J667" s="18" t="str">
        <f>IFERROR(IF([2]对账明细接口!$J$667=0,"",[2]对账明细接口!$J$667),"")</f>
        <v/>
      </c>
      <c r="K667" s="18" t="str">
        <f>IFERROR(IF([2]对账明细接口!$K$667=0,"",[2]对账明细接口!$K$667),"")</f>
        <v/>
      </c>
      <c r="L667" s="16" t="str">
        <f>IFERROR(IF([2]对账明细接口!$L$667=0,"",[2]对账明细接口!$L$667),"")</f>
        <v/>
      </c>
      <c r="M667" s="16" t="str">
        <f>IFERROR(IF([2]对账明细接口!$M$667=0,"",[2]对账明细接口!$M$667),"")</f>
        <v/>
      </c>
      <c r="N667" s="19">
        <f t="shared" si="60"/>
        <v>0</v>
      </c>
      <c r="O667" s="19">
        <f t="shared" si="61"/>
        <v>165</v>
      </c>
      <c r="S667" s="20" t="str">
        <f>IFERROR(IF([2]对账明细接口!$N667=0,"",[2]对账明细接口!$N667),"")</f>
        <v/>
      </c>
      <c r="T667" s="21" t="str">
        <f>IFERROR(IF([2]对账明细接口!$O667=0,"",[2]对账明细接口!$O667),"")</f>
        <v/>
      </c>
      <c r="U667" s="21" t="str">
        <f>IFERROR(IF([2]对账明细接口!$P667=0,"",[2]对账明细接口!$P667),"")</f>
        <v/>
      </c>
      <c r="V667" s="21" t="str">
        <f>IFERROR(IF([2]对账明细接口!$Q667=0,"",[2]对账明细接口!$Q667),"")</f>
        <v/>
      </c>
      <c r="W667" s="20" t="str">
        <f>IFERROR(IF([2]对账明细接口!$R667=0,"",[2]对账明细接口!$R667),"")</f>
        <v/>
      </c>
      <c r="X667" s="20" t="str">
        <f>IFERROR(IF([2]对账明细接口!$S667=0,"",[2]对账明细接口!$S667),"")</f>
        <v/>
      </c>
      <c r="Y667" s="20" t="str">
        <f t="shared" si="62"/>
        <v/>
      </c>
      <c r="Z667" s="20" t="str">
        <f t="shared" si="63"/>
        <v/>
      </c>
      <c r="AA667" s="20" t="str">
        <f t="shared" si="64"/>
        <v/>
      </c>
      <c r="AB667" s="20" t="str">
        <f t="shared" si="65"/>
        <v/>
      </c>
    </row>
    <row r="668" customHeight="1" spans="1:28">
      <c r="A668" s="14">
        <v>668</v>
      </c>
      <c r="B668" s="15" t="str">
        <f>IFERROR(IF([2]对账明细接口!$B$668=0,"",[2]对账明细接口!$B$668),"")</f>
        <v/>
      </c>
      <c r="C668" s="16" t="str">
        <f>IFERROR(IF([2]对账明细接口!$C$668=0,"",[2]对账明细接口!$C$668),"")</f>
        <v/>
      </c>
      <c r="D668" s="16" t="str">
        <f>IFERROR(IF([2]对账明细接口!$D$668=0,"",[2]对账明细接口!$D$668),"")</f>
        <v/>
      </c>
      <c r="E668" s="16" t="str">
        <f>IFERROR(IF([2]对账明细接口!$E$668=0,"",[2]对账明细接口!$E$668),"")</f>
        <v/>
      </c>
      <c r="F668" s="16" t="str">
        <f>IFERROR(IF([2]对账明细接口!$F$668=0,"",[2]对账明细接口!$F$668),"")</f>
        <v/>
      </c>
      <c r="G668" s="16" t="str">
        <f>IFERROR(IF([2]对账明细接口!$G$668=0,"",[2]对账明细接口!$G$668),"")</f>
        <v/>
      </c>
      <c r="H668" s="17" t="str">
        <f>IFERROR(IF([2]对账明细接口!$H$668=0,"",[2]对账明细接口!$H$668),"")</f>
        <v/>
      </c>
      <c r="I668" s="16" t="str">
        <f>IFERROR(IF([2]对账明细接口!$I$668=0,"",[2]对账明细接口!$I$668),"")</f>
        <v/>
      </c>
      <c r="J668" s="18" t="str">
        <f>IFERROR(IF([2]对账明细接口!$J$668=0,"",[2]对账明细接口!$J$668),"")</f>
        <v/>
      </c>
      <c r="K668" s="18" t="str">
        <f>IFERROR(IF([2]对账明细接口!$K$668=0,"",[2]对账明细接口!$K$668),"")</f>
        <v/>
      </c>
      <c r="L668" s="16" t="str">
        <f>IFERROR(IF([2]对账明细接口!$L$668=0,"",[2]对账明细接口!$L$668),"")</f>
        <v/>
      </c>
      <c r="M668" s="16" t="str">
        <f>IFERROR(IF([2]对账明细接口!$M$668=0,"",[2]对账明细接口!$M$668),"")</f>
        <v/>
      </c>
      <c r="N668" s="19">
        <f t="shared" si="60"/>
        <v>0</v>
      </c>
      <c r="O668" s="19">
        <f t="shared" si="61"/>
        <v>165</v>
      </c>
      <c r="S668" s="20" t="str">
        <f>IFERROR(IF([2]对账明细接口!$N668=0,"",[2]对账明细接口!$N668),"")</f>
        <v/>
      </c>
      <c r="T668" s="21" t="str">
        <f>IFERROR(IF([2]对账明细接口!$O668=0,"",[2]对账明细接口!$O668),"")</f>
        <v/>
      </c>
      <c r="U668" s="21" t="str">
        <f>IFERROR(IF([2]对账明细接口!$P668=0,"",[2]对账明细接口!$P668),"")</f>
        <v/>
      </c>
      <c r="V668" s="21" t="str">
        <f>IFERROR(IF([2]对账明细接口!$Q668=0,"",[2]对账明细接口!$Q668),"")</f>
        <v/>
      </c>
      <c r="W668" s="20" t="str">
        <f>IFERROR(IF([2]对账明细接口!$R668=0,"",[2]对账明细接口!$R668),"")</f>
        <v/>
      </c>
      <c r="X668" s="20" t="str">
        <f>IFERROR(IF([2]对账明细接口!$S668=0,"",[2]对账明细接口!$S668),"")</f>
        <v/>
      </c>
      <c r="Y668" s="20" t="str">
        <f t="shared" si="62"/>
        <v/>
      </c>
      <c r="Z668" s="20" t="str">
        <f t="shared" si="63"/>
        <v/>
      </c>
      <c r="AA668" s="20" t="str">
        <f t="shared" si="64"/>
        <v/>
      </c>
      <c r="AB668" s="20" t="str">
        <f t="shared" si="65"/>
        <v/>
      </c>
    </row>
    <row r="669" customHeight="1" spans="1:28">
      <c r="A669" s="14">
        <v>669</v>
      </c>
      <c r="B669" s="15" t="str">
        <f>IFERROR(IF([2]对账明细接口!$B$669=0,"",[2]对账明细接口!$B$669),"")</f>
        <v/>
      </c>
      <c r="C669" s="16" t="str">
        <f>IFERROR(IF([2]对账明细接口!$C$669=0,"",[2]对账明细接口!$C$669),"")</f>
        <v/>
      </c>
      <c r="D669" s="16" t="str">
        <f>IFERROR(IF([2]对账明细接口!$D$669=0,"",[2]对账明细接口!$D$669),"")</f>
        <v/>
      </c>
      <c r="E669" s="16" t="str">
        <f>IFERROR(IF([2]对账明细接口!$E$669=0,"",[2]对账明细接口!$E$669),"")</f>
        <v/>
      </c>
      <c r="F669" s="16" t="str">
        <f>IFERROR(IF([2]对账明细接口!$F$669=0,"",[2]对账明细接口!$F$669),"")</f>
        <v/>
      </c>
      <c r="G669" s="16" t="str">
        <f>IFERROR(IF([2]对账明细接口!$G$669=0,"",[2]对账明细接口!$G$669),"")</f>
        <v/>
      </c>
      <c r="H669" s="17" t="str">
        <f>IFERROR(IF([2]对账明细接口!$H$669=0,"",[2]对账明细接口!$H$669),"")</f>
        <v/>
      </c>
      <c r="I669" s="16" t="str">
        <f>IFERROR(IF([2]对账明细接口!$I$669=0,"",[2]对账明细接口!$I$669),"")</f>
        <v/>
      </c>
      <c r="J669" s="18" t="str">
        <f>IFERROR(IF([2]对账明细接口!$J$669=0,"",[2]对账明细接口!$J$669),"")</f>
        <v/>
      </c>
      <c r="K669" s="18" t="str">
        <f>IFERROR(IF([2]对账明细接口!$K$669=0,"",[2]对账明细接口!$K$669),"")</f>
        <v/>
      </c>
      <c r="L669" s="16" t="str">
        <f>IFERROR(IF([2]对账明细接口!$L$669=0,"",[2]对账明细接口!$L$669),"")</f>
        <v/>
      </c>
      <c r="M669" s="16" t="str">
        <f>IFERROR(IF([2]对账明细接口!$M$669=0,"",[2]对账明细接口!$M$669),"")</f>
        <v/>
      </c>
      <c r="N669" s="19">
        <f t="shared" si="60"/>
        <v>0</v>
      </c>
      <c r="O669" s="19">
        <f t="shared" si="61"/>
        <v>165</v>
      </c>
      <c r="S669" s="20" t="str">
        <f>IFERROR(IF([2]对账明细接口!$N669=0,"",[2]对账明细接口!$N669),"")</f>
        <v/>
      </c>
      <c r="T669" s="21" t="str">
        <f>IFERROR(IF([2]对账明细接口!$O669=0,"",[2]对账明细接口!$O669),"")</f>
        <v/>
      </c>
      <c r="U669" s="21" t="str">
        <f>IFERROR(IF([2]对账明细接口!$P669=0,"",[2]对账明细接口!$P669),"")</f>
        <v/>
      </c>
      <c r="V669" s="21" t="str">
        <f>IFERROR(IF([2]对账明细接口!$Q669=0,"",[2]对账明细接口!$Q669),"")</f>
        <v/>
      </c>
      <c r="W669" s="20" t="str">
        <f>IFERROR(IF([2]对账明细接口!$R669=0,"",[2]对账明细接口!$R669),"")</f>
        <v/>
      </c>
      <c r="X669" s="20" t="str">
        <f>IFERROR(IF([2]对账明细接口!$S669=0,"",[2]对账明细接口!$S669),"")</f>
        <v/>
      </c>
      <c r="Y669" s="20" t="str">
        <f t="shared" si="62"/>
        <v/>
      </c>
      <c r="Z669" s="20" t="str">
        <f t="shared" si="63"/>
        <v/>
      </c>
      <c r="AA669" s="20" t="str">
        <f t="shared" si="64"/>
        <v/>
      </c>
      <c r="AB669" s="20" t="str">
        <f t="shared" si="65"/>
        <v/>
      </c>
    </row>
    <row r="670" customHeight="1" spans="1:28">
      <c r="A670" s="14">
        <v>670</v>
      </c>
      <c r="B670" s="15" t="str">
        <f>IFERROR(IF([2]对账明细接口!$B$670=0,"",[2]对账明细接口!$B$670),"")</f>
        <v/>
      </c>
      <c r="C670" s="16" t="str">
        <f>IFERROR(IF([2]对账明细接口!$C$670=0,"",[2]对账明细接口!$C$670),"")</f>
        <v/>
      </c>
      <c r="D670" s="16" t="str">
        <f>IFERROR(IF([2]对账明细接口!$D$670=0,"",[2]对账明细接口!$D$670),"")</f>
        <v/>
      </c>
      <c r="E670" s="16" t="str">
        <f>IFERROR(IF([2]对账明细接口!$E$670=0,"",[2]对账明细接口!$E$670),"")</f>
        <v/>
      </c>
      <c r="F670" s="16" t="str">
        <f>IFERROR(IF([2]对账明细接口!$F$670=0,"",[2]对账明细接口!$F$670),"")</f>
        <v/>
      </c>
      <c r="G670" s="16" t="str">
        <f>IFERROR(IF([2]对账明细接口!$G$670=0,"",[2]对账明细接口!$G$670),"")</f>
        <v/>
      </c>
      <c r="H670" s="17" t="str">
        <f>IFERROR(IF([2]对账明细接口!$H$670=0,"",[2]对账明细接口!$H$670),"")</f>
        <v/>
      </c>
      <c r="I670" s="16" t="str">
        <f>IFERROR(IF([2]对账明细接口!$I$670=0,"",[2]对账明细接口!$I$670),"")</f>
        <v/>
      </c>
      <c r="J670" s="18" t="str">
        <f>IFERROR(IF([2]对账明细接口!$J$670=0,"",[2]对账明细接口!$J$670),"")</f>
        <v/>
      </c>
      <c r="K670" s="18" t="str">
        <f>IFERROR(IF([2]对账明细接口!$K$670=0,"",[2]对账明细接口!$K$670),"")</f>
        <v/>
      </c>
      <c r="L670" s="16" t="str">
        <f>IFERROR(IF([2]对账明细接口!$L$670=0,"",[2]对账明细接口!$L$670),"")</f>
        <v/>
      </c>
      <c r="M670" s="16" t="str">
        <f>IFERROR(IF([2]对账明细接口!$M$670=0,"",[2]对账明细接口!$M$670),"")</f>
        <v/>
      </c>
      <c r="N670" s="19">
        <f t="shared" si="60"/>
        <v>0</v>
      </c>
      <c r="O670" s="19">
        <f t="shared" si="61"/>
        <v>165</v>
      </c>
      <c r="S670" s="20" t="str">
        <f>IFERROR(IF([2]对账明细接口!$N670=0,"",[2]对账明细接口!$N670),"")</f>
        <v/>
      </c>
      <c r="T670" s="21" t="str">
        <f>IFERROR(IF([2]对账明细接口!$O670=0,"",[2]对账明细接口!$O670),"")</f>
        <v/>
      </c>
      <c r="U670" s="21" t="str">
        <f>IFERROR(IF([2]对账明细接口!$P670=0,"",[2]对账明细接口!$P670),"")</f>
        <v/>
      </c>
      <c r="V670" s="21" t="str">
        <f>IFERROR(IF([2]对账明细接口!$Q670=0,"",[2]对账明细接口!$Q670),"")</f>
        <v/>
      </c>
      <c r="W670" s="20" t="str">
        <f>IFERROR(IF([2]对账明细接口!$R670=0,"",[2]对账明细接口!$R670),"")</f>
        <v/>
      </c>
      <c r="X670" s="20" t="str">
        <f>IFERROR(IF([2]对账明细接口!$S670=0,"",[2]对账明细接口!$S670),"")</f>
        <v/>
      </c>
      <c r="Y670" s="20" t="str">
        <f t="shared" si="62"/>
        <v/>
      </c>
      <c r="Z670" s="20" t="str">
        <f t="shared" si="63"/>
        <v/>
      </c>
      <c r="AA670" s="20" t="str">
        <f t="shared" si="64"/>
        <v/>
      </c>
      <c r="AB670" s="20" t="str">
        <f t="shared" si="65"/>
        <v/>
      </c>
    </row>
    <row r="671" customHeight="1" spans="1:28">
      <c r="A671" s="14">
        <v>671</v>
      </c>
      <c r="B671" s="15" t="str">
        <f>IFERROR(IF([2]对账明细接口!$B$671=0,"",[2]对账明细接口!$B$671),"")</f>
        <v/>
      </c>
      <c r="C671" s="16" t="str">
        <f>IFERROR(IF([2]对账明细接口!$C$671=0,"",[2]对账明细接口!$C$671),"")</f>
        <v/>
      </c>
      <c r="D671" s="16" t="str">
        <f>IFERROR(IF([2]对账明细接口!$D$671=0,"",[2]对账明细接口!$D$671),"")</f>
        <v/>
      </c>
      <c r="E671" s="16" t="str">
        <f>IFERROR(IF([2]对账明细接口!$E$671=0,"",[2]对账明细接口!$E$671),"")</f>
        <v/>
      </c>
      <c r="F671" s="16" t="str">
        <f>IFERROR(IF([2]对账明细接口!$F$671=0,"",[2]对账明细接口!$F$671),"")</f>
        <v/>
      </c>
      <c r="G671" s="16" t="str">
        <f>IFERROR(IF([2]对账明细接口!$G$671=0,"",[2]对账明细接口!$G$671),"")</f>
        <v/>
      </c>
      <c r="H671" s="17" t="str">
        <f>IFERROR(IF([2]对账明细接口!$H$671=0,"",[2]对账明细接口!$H$671),"")</f>
        <v/>
      </c>
      <c r="I671" s="16" t="str">
        <f>IFERROR(IF([2]对账明细接口!$I$671=0,"",[2]对账明细接口!$I$671),"")</f>
        <v/>
      </c>
      <c r="J671" s="18" t="str">
        <f>IFERROR(IF([2]对账明细接口!$J$671=0,"",[2]对账明细接口!$J$671),"")</f>
        <v/>
      </c>
      <c r="K671" s="18" t="str">
        <f>IFERROR(IF([2]对账明细接口!$K$671=0,"",[2]对账明细接口!$K$671),"")</f>
        <v/>
      </c>
      <c r="L671" s="16" t="str">
        <f>IFERROR(IF([2]对账明细接口!$L$671=0,"",[2]对账明细接口!$L$671),"")</f>
        <v/>
      </c>
      <c r="M671" s="16" t="str">
        <f>IFERROR(IF([2]对账明细接口!$M$671=0,"",[2]对账明细接口!$M$671),"")</f>
        <v/>
      </c>
      <c r="N671" s="19">
        <f t="shared" si="60"/>
        <v>0</v>
      </c>
      <c r="O671" s="19">
        <f t="shared" si="61"/>
        <v>165</v>
      </c>
      <c r="S671" s="20" t="str">
        <f>IFERROR(IF([2]对账明细接口!$N671=0,"",[2]对账明细接口!$N671),"")</f>
        <v/>
      </c>
      <c r="T671" s="21" t="str">
        <f>IFERROR(IF([2]对账明细接口!$O671=0,"",[2]对账明细接口!$O671),"")</f>
        <v/>
      </c>
      <c r="U671" s="21" t="str">
        <f>IFERROR(IF([2]对账明细接口!$P671=0,"",[2]对账明细接口!$P671),"")</f>
        <v/>
      </c>
      <c r="V671" s="21" t="str">
        <f>IFERROR(IF([2]对账明细接口!$Q671=0,"",[2]对账明细接口!$Q671),"")</f>
        <v/>
      </c>
      <c r="W671" s="20" t="str">
        <f>IFERROR(IF([2]对账明细接口!$R671=0,"",[2]对账明细接口!$R671),"")</f>
        <v/>
      </c>
      <c r="X671" s="20" t="str">
        <f>IFERROR(IF([2]对账明细接口!$S671=0,"",[2]对账明细接口!$S671),"")</f>
        <v/>
      </c>
      <c r="Y671" s="20" t="str">
        <f t="shared" si="62"/>
        <v/>
      </c>
      <c r="Z671" s="20" t="str">
        <f t="shared" si="63"/>
        <v/>
      </c>
      <c r="AA671" s="20" t="str">
        <f t="shared" si="64"/>
        <v/>
      </c>
      <c r="AB671" s="20" t="str">
        <f t="shared" si="65"/>
        <v/>
      </c>
    </row>
    <row r="672" customHeight="1" spans="1:28">
      <c r="A672" s="14">
        <v>672</v>
      </c>
      <c r="B672" s="15" t="str">
        <f>IFERROR(IF([2]对账明细接口!$B$672=0,"",[2]对账明细接口!$B$672),"")</f>
        <v/>
      </c>
      <c r="C672" s="16" t="str">
        <f>IFERROR(IF([2]对账明细接口!$C$672=0,"",[2]对账明细接口!$C$672),"")</f>
        <v/>
      </c>
      <c r="D672" s="16" t="str">
        <f>IFERROR(IF([2]对账明细接口!$D$672=0,"",[2]对账明细接口!$D$672),"")</f>
        <v/>
      </c>
      <c r="E672" s="16" t="str">
        <f>IFERROR(IF([2]对账明细接口!$E$672=0,"",[2]对账明细接口!$E$672),"")</f>
        <v/>
      </c>
      <c r="F672" s="16" t="str">
        <f>IFERROR(IF([2]对账明细接口!$F$672=0,"",[2]对账明细接口!$F$672),"")</f>
        <v/>
      </c>
      <c r="G672" s="16" t="str">
        <f>IFERROR(IF([2]对账明细接口!$G$672=0,"",[2]对账明细接口!$G$672),"")</f>
        <v/>
      </c>
      <c r="H672" s="17" t="str">
        <f>IFERROR(IF([2]对账明细接口!$H$672=0,"",[2]对账明细接口!$H$672),"")</f>
        <v/>
      </c>
      <c r="I672" s="16" t="str">
        <f>IFERROR(IF([2]对账明细接口!$I$672=0,"",[2]对账明细接口!$I$672),"")</f>
        <v/>
      </c>
      <c r="J672" s="18" t="str">
        <f>IFERROR(IF([2]对账明细接口!$J$672=0,"",[2]对账明细接口!$J$672),"")</f>
        <v/>
      </c>
      <c r="K672" s="18" t="str">
        <f>IFERROR(IF([2]对账明细接口!$K$672=0,"",[2]对账明细接口!$K$672),"")</f>
        <v/>
      </c>
      <c r="L672" s="16" t="str">
        <f>IFERROR(IF([2]对账明细接口!$L$672=0,"",[2]对账明细接口!$L$672),"")</f>
        <v/>
      </c>
      <c r="M672" s="16" t="str">
        <f>IFERROR(IF([2]对账明细接口!$M$672=0,"",[2]对账明细接口!$M$672),"")</f>
        <v/>
      </c>
      <c r="N672" s="19">
        <f t="shared" si="60"/>
        <v>0</v>
      </c>
      <c r="O672" s="19">
        <f t="shared" si="61"/>
        <v>165</v>
      </c>
      <c r="S672" s="20" t="str">
        <f>IFERROR(IF([2]对账明细接口!$N672=0,"",[2]对账明细接口!$N672),"")</f>
        <v/>
      </c>
      <c r="T672" s="21" t="str">
        <f>IFERROR(IF([2]对账明细接口!$O672=0,"",[2]对账明细接口!$O672),"")</f>
        <v/>
      </c>
      <c r="U672" s="21" t="str">
        <f>IFERROR(IF([2]对账明细接口!$P672=0,"",[2]对账明细接口!$P672),"")</f>
        <v/>
      </c>
      <c r="V672" s="21" t="str">
        <f>IFERROR(IF([2]对账明细接口!$Q672=0,"",[2]对账明细接口!$Q672),"")</f>
        <v/>
      </c>
      <c r="W672" s="20" t="str">
        <f>IFERROR(IF([2]对账明细接口!$R672=0,"",[2]对账明细接口!$R672),"")</f>
        <v/>
      </c>
      <c r="X672" s="20" t="str">
        <f>IFERROR(IF([2]对账明细接口!$S672=0,"",[2]对账明细接口!$S672),"")</f>
        <v/>
      </c>
      <c r="Y672" s="20" t="str">
        <f t="shared" si="62"/>
        <v/>
      </c>
      <c r="Z672" s="20" t="str">
        <f t="shared" si="63"/>
        <v/>
      </c>
      <c r="AA672" s="20" t="str">
        <f t="shared" si="64"/>
        <v/>
      </c>
      <c r="AB672" s="20" t="str">
        <f t="shared" si="65"/>
        <v/>
      </c>
    </row>
    <row r="673" customHeight="1" spans="1:28">
      <c r="A673" s="14">
        <v>673</v>
      </c>
      <c r="B673" s="15" t="str">
        <f>IFERROR(IF([2]对账明细接口!$B$673=0,"",[2]对账明细接口!$B$673),"")</f>
        <v/>
      </c>
      <c r="C673" s="16" t="str">
        <f>IFERROR(IF([2]对账明细接口!$C$673=0,"",[2]对账明细接口!$C$673),"")</f>
        <v/>
      </c>
      <c r="D673" s="16" t="str">
        <f>IFERROR(IF([2]对账明细接口!$D$673=0,"",[2]对账明细接口!$D$673),"")</f>
        <v/>
      </c>
      <c r="E673" s="16" t="str">
        <f>IFERROR(IF([2]对账明细接口!$E$673=0,"",[2]对账明细接口!$E$673),"")</f>
        <v/>
      </c>
      <c r="F673" s="16" t="str">
        <f>IFERROR(IF([2]对账明细接口!$F$673=0,"",[2]对账明细接口!$F$673),"")</f>
        <v/>
      </c>
      <c r="G673" s="16" t="str">
        <f>IFERROR(IF([2]对账明细接口!$G$673=0,"",[2]对账明细接口!$G$673),"")</f>
        <v/>
      </c>
      <c r="H673" s="17" t="str">
        <f>IFERROR(IF([2]对账明细接口!$H$673=0,"",[2]对账明细接口!$H$673),"")</f>
        <v/>
      </c>
      <c r="I673" s="16" t="str">
        <f>IFERROR(IF([2]对账明细接口!$I$673=0,"",[2]对账明细接口!$I$673),"")</f>
        <v/>
      </c>
      <c r="J673" s="18" t="str">
        <f>IFERROR(IF([2]对账明细接口!$J$673=0,"",[2]对账明细接口!$J$673),"")</f>
        <v/>
      </c>
      <c r="K673" s="18" t="str">
        <f>IFERROR(IF([2]对账明细接口!$K$673=0,"",[2]对账明细接口!$K$673),"")</f>
        <v/>
      </c>
      <c r="L673" s="16" t="str">
        <f>IFERROR(IF([2]对账明细接口!$L$673=0,"",[2]对账明细接口!$L$673),"")</f>
        <v/>
      </c>
      <c r="M673" s="16" t="str">
        <f>IFERROR(IF([2]对账明细接口!$M$673=0,"",[2]对账明细接口!$M$673),"")</f>
        <v/>
      </c>
      <c r="N673" s="19">
        <f t="shared" si="60"/>
        <v>0</v>
      </c>
      <c r="O673" s="19">
        <f t="shared" si="61"/>
        <v>165</v>
      </c>
      <c r="S673" s="20" t="str">
        <f>IFERROR(IF([2]对账明细接口!$N673=0,"",[2]对账明细接口!$N673),"")</f>
        <v/>
      </c>
      <c r="T673" s="21" t="str">
        <f>IFERROR(IF([2]对账明细接口!$O673=0,"",[2]对账明细接口!$O673),"")</f>
        <v/>
      </c>
      <c r="U673" s="21" t="str">
        <f>IFERROR(IF([2]对账明细接口!$P673=0,"",[2]对账明细接口!$P673),"")</f>
        <v/>
      </c>
      <c r="V673" s="21" t="str">
        <f>IFERROR(IF([2]对账明细接口!$Q673=0,"",[2]对账明细接口!$Q673),"")</f>
        <v/>
      </c>
      <c r="W673" s="20" t="str">
        <f>IFERROR(IF([2]对账明细接口!$R673=0,"",[2]对账明细接口!$R673),"")</f>
        <v/>
      </c>
      <c r="X673" s="20" t="str">
        <f>IFERROR(IF([2]对账明细接口!$S673=0,"",[2]对账明细接口!$S673),"")</f>
        <v/>
      </c>
      <c r="Y673" s="20" t="str">
        <f t="shared" si="62"/>
        <v/>
      </c>
      <c r="Z673" s="20" t="str">
        <f t="shared" si="63"/>
        <v/>
      </c>
      <c r="AA673" s="20" t="str">
        <f t="shared" si="64"/>
        <v/>
      </c>
      <c r="AB673" s="20" t="str">
        <f t="shared" si="65"/>
        <v/>
      </c>
    </row>
    <row r="674" customHeight="1" spans="1:28">
      <c r="A674" s="14">
        <v>674</v>
      </c>
      <c r="B674" s="15" t="str">
        <f>IFERROR(IF([2]对账明细接口!$B$674=0,"",[2]对账明细接口!$B$674),"")</f>
        <v/>
      </c>
      <c r="C674" s="16" t="str">
        <f>IFERROR(IF([2]对账明细接口!$C$674=0,"",[2]对账明细接口!$C$674),"")</f>
        <v/>
      </c>
      <c r="D674" s="16" t="str">
        <f>IFERROR(IF([2]对账明细接口!$D$674=0,"",[2]对账明细接口!$D$674),"")</f>
        <v/>
      </c>
      <c r="E674" s="16" t="str">
        <f>IFERROR(IF([2]对账明细接口!$E$674=0,"",[2]对账明细接口!$E$674),"")</f>
        <v/>
      </c>
      <c r="F674" s="16" t="str">
        <f>IFERROR(IF([2]对账明细接口!$F$674=0,"",[2]对账明细接口!$F$674),"")</f>
        <v/>
      </c>
      <c r="G674" s="16" t="str">
        <f>IFERROR(IF([2]对账明细接口!$G$674=0,"",[2]对账明细接口!$G$674),"")</f>
        <v/>
      </c>
      <c r="H674" s="17" t="str">
        <f>IFERROR(IF([2]对账明细接口!$H$674=0,"",[2]对账明细接口!$H$674),"")</f>
        <v/>
      </c>
      <c r="I674" s="16" t="str">
        <f>IFERROR(IF([2]对账明细接口!$I$674=0,"",[2]对账明细接口!$I$674),"")</f>
        <v/>
      </c>
      <c r="J674" s="18" t="str">
        <f>IFERROR(IF([2]对账明细接口!$J$674=0,"",[2]对账明细接口!$J$674),"")</f>
        <v/>
      </c>
      <c r="K674" s="18" t="str">
        <f>IFERROR(IF([2]对账明细接口!$K$674=0,"",[2]对账明细接口!$K$674),"")</f>
        <v/>
      </c>
      <c r="L674" s="16" t="str">
        <f>IFERROR(IF([2]对账明细接口!$L$674=0,"",[2]对账明细接口!$L$674),"")</f>
        <v/>
      </c>
      <c r="M674" s="16" t="str">
        <f>IFERROR(IF([2]对账明细接口!$M$674=0,"",[2]对账明细接口!$M$674),"")</f>
        <v/>
      </c>
      <c r="N674" s="19">
        <f t="shared" si="60"/>
        <v>0</v>
      </c>
      <c r="O674" s="19">
        <f t="shared" si="61"/>
        <v>165</v>
      </c>
      <c r="S674" s="20" t="str">
        <f>IFERROR(IF([2]对账明细接口!$N674=0,"",[2]对账明细接口!$N674),"")</f>
        <v/>
      </c>
      <c r="T674" s="21" t="str">
        <f>IFERROR(IF([2]对账明细接口!$O674=0,"",[2]对账明细接口!$O674),"")</f>
        <v/>
      </c>
      <c r="U674" s="21" t="str">
        <f>IFERROR(IF([2]对账明细接口!$P674=0,"",[2]对账明细接口!$P674),"")</f>
        <v/>
      </c>
      <c r="V674" s="21" t="str">
        <f>IFERROR(IF([2]对账明细接口!$Q674=0,"",[2]对账明细接口!$Q674),"")</f>
        <v/>
      </c>
      <c r="W674" s="20" t="str">
        <f>IFERROR(IF([2]对账明细接口!$R674=0,"",[2]对账明细接口!$R674),"")</f>
        <v/>
      </c>
      <c r="X674" s="20" t="str">
        <f>IFERROR(IF([2]对账明细接口!$S674=0,"",[2]对账明细接口!$S674),"")</f>
        <v/>
      </c>
      <c r="Y674" s="20" t="str">
        <f t="shared" si="62"/>
        <v/>
      </c>
      <c r="Z674" s="20" t="str">
        <f t="shared" si="63"/>
        <v/>
      </c>
      <c r="AA674" s="20" t="str">
        <f t="shared" si="64"/>
        <v/>
      </c>
      <c r="AB674" s="20" t="str">
        <f t="shared" si="65"/>
        <v/>
      </c>
    </row>
    <row r="675" customHeight="1" spans="1:28">
      <c r="A675" s="14">
        <v>675</v>
      </c>
      <c r="B675" s="15" t="str">
        <f>IFERROR(IF([2]对账明细接口!$B$675=0,"",[2]对账明细接口!$B$675),"")</f>
        <v/>
      </c>
      <c r="C675" s="16" t="str">
        <f>IFERROR(IF([2]对账明细接口!$C$675=0,"",[2]对账明细接口!$C$675),"")</f>
        <v/>
      </c>
      <c r="D675" s="16" t="str">
        <f>IFERROR(IF([2]对账明细接口!$D$675=0,"",[2]对账明细接口!$D$675),"")</f>
        <v/>
      </c>
      <c r="E675" s="16" t="str">
        <f>IFERROR(IF([2]对账明细接口!$E$675=0,"",[2]对账明细接口!$E$675),"")</f>
        <v/>
      </c>
      <c r="F675" s="16" t="str">
        <f>IFERROR(IF([2]对账明细接口!$F$675=0,"",[2]对账明细接口!$F$675),"")</f>
        <v/>
      </c>
      <c r="G675" s="16" t="str">
        <f>IFERROR(IF([2]对账明细接口!$G$675=0,"",[2]对账明细接口!$G$675),"")</f>
        <v/>
      </c>
      <c r="H675" s="17" t="str">
        <f>IFERROR(IF([2]对账明细接口!$H$675=0,"",[2]对账明细接口!$H$675),"")</f>
        <v/>
      </c>
      <c r="I675" s="16" t="str">
        <f>IFERROR(IF([2]对账明细接口!$I$675=0,"",[2]对账明细接口!$I$675),"")</f>
        <v/>
      </c>
      <c r="J675" s="18" t="str">
        <f>IFERROR(IF([2]对账明细接口!$J$675=0,"",[2]对账明细接口!$J$675),"")</f>
        <v/>
      </c>
      <c r="K675" s="18" t="str">
        <f>IFERROR(IF([2]对账明细接口!$K$675=0,"",[2]对账明细接口!$K$675),"")</f>
        <v/>
      </c>
      <c r="L675" s="16" t="str">
        <f>IFERROR(IF([2]对账明细接口!$L$675=0,"",[2]对账明细接口!$L$675),"")</f>
        <v/>
      </c>
      <c r="M675" s="16" t="str">
        <f>IFERROR(IF([2]对账明细接口!$M$675=0,"",[2]对账明细接口!$M$675),"")</f>
        <v/>
      </c>
      <c r="N675" s="19">
        <f t="shared" si="60"/>
        <v>0</v>
      </c>
      <c r="O675" s="19">
        <f t="shared" si="61"/>
        <v>165</v>
      </c>
      <c r="S675" s="20" t="str">
        <f>IFERROR(IF([2]对账明细接口!$N675=0,"",[2]对账明细接口!$N675),"")</f>
        <v/>
      </c>
      <c r="T675" s="21" t="str">
        <f>IFERROR(IF([2]对账明细接口!$O675=0,"",[2]对账明细接口!$O675),"")</f>
        <v/>
      </c>
      <c r="U675" s="21" t="str">
        <f>IFERROR(IF([2]对账明细接口!$P675=0,"",[2]对账明细接口!$P675),"")</f>
        <v/>
      </c>
      <c r="V675" s="21" t="str">
        <f>IFERROR(IF([2]对账明细接口!$Q675=0,"",[2]对账明细接口!$Q675),"")</f>
        <v/>
      </c>
      <c r="W675" s="20" t="str">
        <f>IFERROR(IF([2]对账明细接口!$R675=0,"",[2]对账明细接口!$R675),"")</f>
        <v/>
      </c>
      <c r="X675" s="20" t="str">
        <f>IFERROR(IF([2]对账明细接口!$S675=0,"",[2]对账明细接口!$S675),"")</f>
        <v/>
      </c>
      <c r="Y675" s="20" t="str">
        <f t="shared" si="62"/>
        <v/>
      </c>
      <c r="Z675" s="20" t="str">
        <f t="shared" si="63"/>
        <v/>
      </c>
      <c r="AA675" s="20" t="str">
        <f t="shared" si="64"/>
        <v/>
      </c>
      <c r="AB675" s="20" t="str">
        <f t="shared" si="65"/>
        <v/>
      </c>
    </row>
    <row r="676" customHeight="1" spans="1:28">
      <c r="A676" s="14">
        <v>676</v>
      </c>
      <c r="B676" s="15" t="str">
        <f>IFERROR(IF([2]对账明细接口!$B$676=0,"",[2]对账明细接口!$B$676),"")</f>
        <v/>
      </c>
      <c r="C676" s="16" t="str">
        <f>IFERROR(IF([2]对账明细接口!$C$676=0,"",[2]对账明细接口!$C$676),"")</f>
        <v/>
      </c>
      <c r="D676" s="16" t="str">
        <f>IFERROR(IF([2]对账明细接口!$D$676=0,"",[2]对账明细接口!$D$676),"")</f>
        <v/>
      </c>
      <c r="E676" s="16" t="str">
        <f>IFERROR(IF([2]对账明细接口!$E$676=0,"",[2]对账明细接口!$E$676),"")</f>
        <v/>
      </c>
      <c r="F676" s="16" t="str">
        <f>IFERROR(IF([2]对账明细接口!$F$676=0,"",[2]对账明细接口!$F$676),"")</f>
        <v/>
      </c>
      <c r="G676" s="16" t="str">
        <f>IFERROR(IF([2]对账明细接口!$G$676=0,"",[2]对账明细接口!$G$676),"")</f>
        <v/>
      </c>
      <c r="H676" s="17" t="str">
        <f>IFERROR(IF([2]对账明细接口!$H$676=0,"",[2]对账明细接口!$H$676),"")</f>
        <v/>
      </c>
      <c r="I676" s="16" t="str">
        <f>IFERROR(IF([2]对账明细接口!$I$676=0,"",[2]对账明细接口!$I$676),"")</f>
        <v/>
      </c>
      <c r="J676" s="18" t="str">
        <f>IFERROR(IF([2]对账明细接口!$J$676=0,"",[2]对账明细接口!$J$676),"")</f>
        <v/>
      </c>
      <c r="K676" s="18" t="str">
        <f>IFERROR(IF([2]对账明细接口!$K$676=0,"",[2]对账明细接口!$K$676),"")</f>
        <v/>
      </c>
      <c r="L676" s="16" t="str">
        <f>IFERROR(IF([2]对账明细接口!$L$676=0,"",[2]对账明细接口!$L$676),"")</f>
        <v/>
      </c>
      <c r="M676" s="16" t="str">
        <f>IFERROR(IF([2]对账明细接口!$M$676=0,"",[2]对账明细接口!$M$676),"")</f>
        <v/>
      </c>
      <c r="N676" s="19">
        <f t="shared" si="60"/>
        <v>0</v>
      </c>
      <c r="O676" s="19">
        <f t="shared" si="61"/>
        <v>165</v>
      </c>
      <c r="S676" s="20" t="str">
        <f>IFERROR(IF([2]对账明细接口!$N676=0,"",[2]对账明细接口!$N676),"")</f>
        <v/>
      </c>
      <c r="T676" s="21" t="str">
        <f>IFERROR(IF([2]对账明细接口!$O676=0,"",[2]对账明细接口!$O676),"")</f>
        <v/>
      </c>
      <c r="U676" s="21" t="str">
        <f>IFERROR(IF([2]对账明细接口!$P676=0,"",[2]对账明细接口!$P676),"")</f>
        <v/>
      </c>
      <c r="V676" s="21" t="str">
        <f>IFERROR(IF([2]对账明细接口!$Q676=0,"",[2]对账明细接口!$Q676),"")</f>
        <v/>
      </c>
      <c r="W676" s="20" t="str">
        <f>IFERROR(IF([2]对账明细接口!$R676=0,"",[2]对账明细接口!$R676),"")</f>
        <v/>
      </c>
      <c r="X676" s="20" t="str">
        <f>IFERROR(IF([2]对账明细接口!$S676=0,"",[2]对账明细接口!$S676),"")</f>
        <v/>
      </c>
      <c r="Y676" s="20" t="str">
        <f t="shared" si="62"/>
        <v/>
      </c>
      <c r="Z676" s="20" t="str">
        <f t="shared" si="63"/>
        <v/>
      </c>
      <c r="AA676" s="20" t="str">
        <f t="shared" si="64"/>
        <v/>
      </c>
      <c r="AB676" s="20" t="str">
        <f t="shared" si="65"/>
        <v/>
      </c>
    </row>
    <row r="677" customHeight="1" spans="1:28">
      <c r="A677" s="14">
        <v>677</v>
      </c>
      <c r="B677" s="15" t="str">
        <f>IFERROR(IF([2]对账明细接口!$B$677=0,"",[2]对账明细接口!$B$677),"")</f>
        <v/>
      </c>
      <c r="C677" s="16" t="str">
        <f>IFERROR(IF([2]对账明细接口!$C$677=0,"",[2]对账明细接口!$C$677),"")</f>
        <v/>
      </c>
      <c r="D677" s="16" t="str">
        <f>IFERROR(IF([2]对账明细接口!$D$677=0,"",[2]对账明细接口!$D$677),"")</f>
        <v/>
      </c>
      <c r="E677" s="16" t="str">
        <f>IFERROR(IF([2]对账明细接口!$E$677=0,"",[2]对账明细接口!$E$677),"")</f>
        <v/>
      </c>
      <c r="F677" s="16" t="str">
        <f>IFERROR(IF([2]对账明细接口!$F$677=0,"",[2]对账明细接口!$F$677),"")</f>
        <v/>
      </c>
      <c r="G677" s="16" t="str">
        <f>IFERROR(IF([2]对账明细接口!$G$677=0,"",[2]对账明细接口!$G$677),"")</f>
        <v/>
      </c>
      <c r="H677" s="17" t="str">
        <f>IFERROR(IF([2]对账明细接口!$H$677=0,"",[2]对账明细接口!$H$677),"")</f>
        <v/>
      </c>
      <c r="I677" s="16" t="str">
        <f>IFERROR(IF([2]对账明细接口!$I$677=0,"",[2]对账明细接口!$I$677),"")</f>
        <v/>
      </c>
      <c r="J677" s="18" t="str">
        <f>IFERROR(IF([2]对账明细接口!$J$677=0,"",[2]对账明细接口!$J$677),"")</f>
        <v/>
      </c>
      <c r="K677" s="18" t="str">
        <f>IFERROR(IF([2]对账明细接口!$K$677=0,"",[2]对账明细接口!$K$677),"")</f>
        <v/>
      </c>
      <c r="L677" s="16" t="str">
        <f>IFERROR(IF([2]对账明细接口!$L$677=0,"",[2]对账明细接口!$L$677),"")</f>
        <v/>
      </c>
      <c r="M677" s="16" t="str">
        <f>IFERROR(IF([2]对账明细接口!$M$677=0,"",[2]对账明细接口!$M$677),"")</f>
        <v/>
      </c>
      <c r="N677" s="19">
        <f t="shared" si="60"/>
        <v>0</v>
      </c>
      <c r="O677" s="19">
        <f t="shared" si="61"/>
        <v>165</v>
      </c>
      <c r="S677" s="20" t="str">
        <f>IFERROR(IF([2]对账明细接口!$N677=0,"",[2]对账明细接口!$N677),"")</f>
        <v/>
      </c>
      <c r="T677" s="21" t="str">
        <f>IFERROR(IF([2]对账明细接口!$O677=0,"",[2]对账明细接口!$O677),"")</f>
        <v/>
      </c>
      <c r="U677" s="21" t="str">
        <f>IFERROR(IF([2]对账明细接口!$P677=0,"",[2]对账明细接口!$P677),"")</f>
        <v/>
      </c>
      <c r="V677" s="21" t="str">
        <f>IFERROR(IF([2]对账明细接口!$Q677=0,"",[2]对账明细接口!$Q677),"")</f>
        <v/>
      </c>
      <c r="W677" s="20" t="str">
        <f>IFERROR(IF([2]对账明细接口!$R677=0,"",[2]对账明细接口!$R677),"")</f>
        <v/>
      </c>
      <c r="X677" s="20" t="str">
        <f>IFERROR(IF([2]对账明细接口!$S677=0,"",[2]对账明细接口!$S677),"")</f>
        <v/>
      </c>
      <c r="Y677" s="20" t="str">
        <f t="shared" si="62"/>
        <v/>
      </c>
      <c r="Z677" s="20" t="str">
        <f t="shared" si="63"/>
        <v/>
      </c>
      <c r="AA677" s="20" t="str">
        <f t="shared" si="64"/>
        <v/>
      </c>
      <c r="AB677" s="20" t="str">
        <f t="shared" si="65"/>
        <v/>
      </c>
    </row>
    <row r="678" customHeight="1" spans="1:28">
      <c r="A678" s="14">
        <v>678</v>
      </c>
      <c r="B678" s="15" t="str">
        <f>IFERROR(IF([2]对账明细接口!$B$678=0,"",[2]对账明细接口!$B$678),"")</f>
        <v/>
      </c>
      <c r="C678" s="16" t="str">
        <f>IFERROR(IF([2]对账明细接口!$C$678=0,"",[2]对账明细接口!$C$678),"")</f>
        <v/>
      </c>
      <c r="D678" s="16" t="str">
        <f>IFERROR(IF([2]对账明细接口!$D$678=0,"",[2]对账明细接口!$D$678),"")</f>
        <v/>
      </c>
      <c r="E678" s="16" t="str">
        <f>IFERROR(IF([2]对账明细接口!$E$678=0,"",[2]对账明细接口!$E$678),"")</f>
        <v/>
      </c>
      <c r="F678" s="16" t="str">
        <f>IFERROR(IF([2]对账明细接口!$F$678=0,"",[2]对账明细接口!$F$678),"")</f>
        <v/>
      </c>
      <c r="G678" s="16" t="str">
        <f>IFERROR(IF([2]对账明细接口!$G$678=0,"",[2]对账明细接口!$G$678),"")</f>
        <v/>
      </c>
      <c r="H678" s="17" t="str">
        <f>IFERROR(IF([2]对账明细接口!$H$678=0,"",[2]对账明细接口!$H$678),"")</f>
        <v/>
      </c>
      <c r="I678" s="16" t="str">
        <f>IFERROR(IF([2]对账明细接口!$I$678=0,"",[2]对账明细接口!$I$678),"")</f>
        <v/>
      </c>
      <c r="J678" s="18" t="str">
        <f>IFERROR(IF([2]对账明细接口!$J$678=0,"",[2]对账明细接口!$J$678),"")</f>
        <v/>
      </c>
      <c r="K678" s="18" t="str">
        <f>IFERROR(IF([2]对账明细接口!$K$678=0,"",[2]对账明细接口!$K$678),"")</f>
        <v/>
      </c>
      <c r="L678" s="16" t="str">
        <f>IFERROR(IF([2]对账明细接口!$L$678=0,"",[2]对账明细接口!$L$678),"")</f>
        <v/>
      </c>
      <c r="M678" s="16" t="str">
        <f>IFERROR(IF([2]对账明细接口!$M$678=0,"",[2]对账明细接口!$M$678),"")</f>
        <v/>
      </c>
      <c r="N678" s="19">
        <f t="shared" si="60"/>
        <v>0</v>
      </c>
      <c r="O678" s="19">
        <f t="shared" si="61"/>
        <v>165</v>
      </c>
      <c r="S678" s="20" t="str">
        <f>IFERROR(IF([2]对账明细接口!$N678=0,"",[2]对账明细接口!$N678),"")</f>
        <v/>
      </c>
      <c r="T678" s="21" t="str">
        <f>IFERROR(IF([2]对账明细接口!$O678=0,"",[2]对账明细接口!$O678),"")</f>
        <v/>
      </c>
      <c r="U678" s="21" t="str">
        <f>IFERROR(IF([2]对账明细接口!$P678=0,"",[2]对账明细接口!$P678),"")</f>
        <v/>
      </c>
      <c r="V678" s="21" t="str">
        <f>IFERROR(IF([2]对账明细接口!$Q678=0,"",[2]对账明细接口!$Q678),"")</f>
        <v/>
      </c>
      <c r="W678" s="20" t="str">
        <f>IFERROR(IF([2]对账明细接口!$R678=0,"",[2]对账明细接口!$R678),"")</f>
        <v/>
      </c>
      <c r="X678" s="20" t="str">
        <f>IFERROR(IF([2]对账明细接口!$S678=0,"",[2]对账明细接口!$S678),"")</f>
        <v/>
      </c>
      <c r="Y678" s="20" t="str">
        <f t="shared" si="62"/>
        <v/>
      </c>
      <c r="Z678" s="20" t="str">
        <f t="shared" si="63"/>
        <v/>
      </c>
      <c r="AA678" s="20" t="str">
        <f t="shared" si="64"/>
        <v/>
      </c>
      <c r="AB678" s="20" t="str">
        <f t="shared" si="65"/>
        <v/>
      </c>
    </row>
    <row r="679" customHeight="1" spans="1:28">
      <c r="A679" s="14">
        <v>679</v>
      </c>
      <c r="B679" s="15" t="str">
        <f>IFERROR(IF([2]对账明细接口!$B$679=0,"",[2]对账明细接口!$B$679),"")</f>
        <v/>
      </c>
      <c r="C679" s="16" t="str">
        <f>IFERROR(IF([2]对账明细接口!$C$679=0,"",[2]对账明细接口!$C$679),"")</f>
        <v/>
      </c>
      <c r="D679" s="16" t="str">
        <f>IFERROR(IF([2]对账明细接口!$D$679=0,"",[2]对账明细接口!$D$679),"")</f>
        <v/>
      </c>
      <c r="E679" s="16" t="str">
        <f>IFERROR(IF([2]对账明细接口!$E$679=0,"",[2]对账明细接口!$E$679),"")</f>
        <v/>
      </c>
      <c r="F679" s="16" t="str">
        <f>IFERROR(IF([2]对账明细接口!$F$679=0,"",[2]对账明细接口!$F$679),"")</f>
        <v/>
      </c>
      <c r="G679" s="16" t="str">
        <f>IFERROR(IF([2]对账明细接口!$G$679=0,"",[2]对账明细接口!$G$679),"")</f>
        <v/>
      </c>
      <c r="H679" s="17" t="str">
        <f>IFERROR(IF([2]对账明细接口!$H$679=0,"",[2]对账明细接口!$H$679),"")</f>
        <v/>
      </c>
      <c r="I679" s="16" t="str">
        <f>IFERROR(IF([2]对账明细接口!$I$679=0,"",[2]对账明细接口!$I$679),"")</f>
        <v/>
      </c>
      <c r="J679" s="18" t="str">
        <f>IFERROR(IF([2]对账明细接口!$J$679=0,"",[2]对账明细接口!$J$679),"")</f>
        <v/>
      </c>
      <c r="K679" s="18" t="str">
        <f>IFERROR(IF([2]对账明细接口!$K$679=0,"",[2]对账明细接口!$K$679),"")</f>
        <v/>
      </c>
      <c r="L679" s="16" t="str">
        <f>IFERROR(IF([2]对账明细接口!$L$679=0,"",[2]对账明细接口!$L$679),"")</f>
        <v/>
      </c>
      <c r="M679" s="16" t="str">
        <f>IFERROR(IF([2]对账明细接口!$M$679=0,"",[2]对账明细接口!$M$679),"")</f>
        <v/>
      </c>
      <c r="N679" s="19">
        <f t="shared" si="60"/>
        <v>0</v>
      </c>
      <c r="O679" s="19">
        <f t="shared" si="61"/>
        <v>165</v>
      </c>
      <c r="S679" s="20" t="str">
        <f>IFERROR(IF([2]对账明细接口!$N679=0,"",[2]对账明细接口!$N679),"")</f>
        <v/>
      </c>
      <c r="T679" s="21" t="str">
        <f>IFERROR(IF([2]对账明细接口!$O679=0,"",[2]对账明细接口!$O679),"")</f>
        <v/>
      </c>
      <c r="U679" s="21" t="str">
        <f>IFERROR(IF([2]对账明细接口!$P679=0,"",[2]对账明细接口!$P679),"")</f>
        <v/>
      </c>
      <c r="V679" s="21" t="str">
        <f>IFERROR(IF([2]对账明细接口!$Q679=0,"",[2]对账明细接口!$Q679),"")</f>
        <v/>
      </c>
      <c r="W679" s="20" t="str">
        <f>IFERROR(IF([2]对账明细接口!$R679=0,"",[2]对账明细接口!$R679),"")</f>
        <v/>
      </c>
      <c r="X679" s="20" t="str">
        <f>IFERROR(IF([2]对账明细接口!$S679=0,"",[2]对账明细接口!$S679),"")</f>
        <v/>
      </c>
      <c r="Y679" s="20" t="str">
        <f t="shared" si="62"/>
        <v/>
      </c>
      <c r="Z679" s="20" t="str">
        <f t="shared" si="63"/>
        <v/>
      </c>
      <c r="AA679" s="20" t="str">
        <f t="shared" si="64"/>
        <v/>
      </c>
      <c r="AB679" s="20" t="str">
        <f t="shared" si="65"/>
        <v/>
      </c>
    </row>
    <row r="680" customHeight="1" spans="1:28">
      <c r="A680" s="14">
        <v>680</v>
      </c>
      <c r="B680" s="15" t="str">
        <f>IFERROR(IF([2]对账明细接口!$B$680=0,"",[2]对账明细接口!$B$680),"")</f>
        <v/>
      </c>
      <c r="C680" s="16" t="str">
        <f>IFERROR(IF([2]对账明细接口!$C$680=0,"",[2]对账明细接口!$C$680),"")</f>
        <v/>
      </c>
      <c r="D680" s="16" t="str">
        <f>IFERROR(IF([2]对账明细接口!$D$680=0,"",[2]对账明细接口!$D$680),"")</f>
        <v/>
      </c>
      <c r="E680" s="16" t="str">
        <f>IFERROR(IF([2]对账明细接口!$E$680=0,"",[2]对账明细接口!$E$680),"")</f>
        <v/>
      </c>
      <c r="F680" s="16" t="str">
        <f>IFERROR(IF([2]对账明细接口!$F$680=0,"",[2]对账明细接口!$F$680),"")</f>
        <v/>
      </c>
      <c r="G680" s="16" t="str">
        <f>IFERROR(IF([2]对账明细接口!$G$680=0,"",[2]对账明细接口!$G$680),"")</f>
        <v/>
      </c>
      <c r="H680" s="17" t="str">
        <f>IFERROR(IF([2]对账明细接口!$H$680=0,"",[2]对账明细接口!$H$680),"")</f>
        <v/>
      </c>
      <c r="I680" s="16" t="str">
        <f>IFERROR(IF([2]对账明细接口!$I$680=0,"",[2]对账明细接口!$I$680),"")</f>
        <v/>
      </c>
      <c r="J680" s="18" t="str">
        <f>IFERROR(IF([2]对账明细接口!$J$680=0,"",[2]对账明细接口!$J$680),"")</f>
        <v/>
      </c>
      <c r="K680" s="18" t="str">
        <f>IFERROR(IF([2]对账明细接口!$K$680=0,"",[2]对账明细接口!$K$680),"")</f>
        <v/>
      </c>
      <c r="L680" s="16" t="str">
        <f>IFERROR(IF([2]对账明细接口!$L$680=0,"",[2]对账明细接口!$L$680),"")</f>
        <v/>
      </c>
      <c r="M680" s="16" t="str">
        <f>IFERROR(IF([2]对账明细接口!$M$680=0,"",[2]对账明细接口!$M$680),"")</f>
        <v/>
      </c>
      <c r="N680" s="19">
        <f t="shared" si="60"/>
        <v>0</v>
      </c>
      <c r="O680" s="19">
        <f t="shared" si="61"/>
        <v>165</v>
      </c>
      <c r="S680" s="20" t="str">
        <f>IFERROR(IF([2]对账明细接口!$N680=0,"",[2]对账明细接口!$N680),"")</f>
        <v/>
      </c>
      <c r="T680" s="21" t="str">
        <f>IFERROR(IF([2]对账明细接口!$O680=0,"",[2]对账明细接口!$O680),"")</f>
        <v/>
      </c>
      <c r="U680" s="21" t="str">
        <f>IFERROR(IF([2]对账明细接口!$P680=0,"",[2]对账明细接口!$P680),"")</f>
        <v/>
      </c>
      <c r="V680" s="21" t="str">
        <f>IFERROR(IF([2]对账明细接口!$Q680=0,"",[2]对账明细接口!$Q680),"")</f>
        <v/>
      </c>
      <c r="W680" s="20" t="str">
        <f>IFERROR(IF([2]对账明细接口!$R680=0,"",[2]对账明细接口!$R680),"")</f>
        <v/>
      </c>
      <c r="X680" s="20" t="str">
        <f>IFERROR(IF([2]对账明细接口!$S680=0,"",[2]对账明细接口!$S680),"")</f>
        <v/>
      </c>
      <c r="Y680" s="20" t="str">
        <f t="shared" si="62"/>
        <v/>
      </c>
      <c r="Z680" s="20" t="str">
        <f t="shared" si="63"/>
        <v/>
      </c>
      <c r="AA680" s="20" t="str">
        <f t="shared" si="64"/>
        <v/>
      </c>
      <c r="AB680" s="20" t="str">
        <f t="shared" si="65"/>
        <v/>
      </c>
    </row>
    <row r="681" customHeight="1" spans="1:28">
      <c r="A681" s="14">
        <v>681</v>
      </c>
      <c r="B681" s="15" t="str">
        <f>IFERROR(IF([2]对账明细接口!$B$681=0,"",[2]对账明细接口!$B$681),"")</f>
        <v/>
      </c>
      <c r="C681" s="16" t="str">
        <f>IFERROR(IF([2]对账明细接口!$C$681=0,"",[2]对账明细接口!$C$681),"")</f>
        <v/>
      </c>
      <c r="D681" s="16" t="str">
        <f>IFERROR(IF([2]对账明细接口!$D$681=0,"",[2]对账明细接口!$D$681),"")</f>
        <v/>
      </c>
      <c r="E681" s="16" t="str">
        <f>IFERROR(IF([2]对账明细接口!$E$681=0,"",[2]对账明细接口!$E$681),"")</f>
        <v/>
      </c>
      <c r="F681" s="16" t="str">
        <f>IFERROR(IF([2]对账明细接口!$F$681=0,"",[2]对账明细接口!$F$681),"")</f>
        <v/>
      </c>
      <c r="G681" s="16" t="str">
        <f>IFERROR(IF([2]对账明细接口!$G$681=0,"",[2]对账明细接口!$G$681),"")</f>
        <v/>
      </c>
      <c r="H681" s="17" t="str">
        <f>IFERROR(IF([2]对账明细接口!$H$681=0,"",[2]对账明细接口!$H$681),"")</f>
        <v/>
      </c>
      <c r="I681" s="16" t="str">
        <f>IFERROR(IF([2]对账明细接口!$I$681=0,"",[2]对账明细接口!$I$681),"")</f>
        <v/>
      </c>
      <c r="J681" s="18" t="str">
        <f>IFERROR(IF([2]对账明细接口!$J$681=0,"",[2]对账明细接口!$J$681),"")</f>
        <v/>
      </c>
      <c r="K681" s="18" t="str">
        <f>IFERROR(IF([2]对账明细接口!$K$681=0,"",[2]对账明细接口!$K$681),"")</f>
        <v/>
      </c>
      <c r="L681" s="16" t="str">
        <f>IFERROR(IF([2]对账明细接口!$L$681=0,"",[2]对账明细接口!$L$681),"")</f>
        <v/>
      </c>
      <c r="M681" s="16" t="str">
        <f>IFERROR(IF([2]对账明细接口!$M$681=0,"",[2]对账明细接口!$M$681),"")</f>
        <v/>
      </c>
      <c r="N681" s="19">
        <f t="shared" si="60"/>
        <v>0</v>
      </c>
      <c r="O681" s="19">
        <f t="shared" si="61"/>
        <v>165</v>
      </c>
      <c r="S681" s="20" t="str">
        <f>IFERROR(IF([2]对账明细接口!$N681=0,"",[2]对账明细接口!$N681),"")</f>
        <v/>
      </c>
      <c r="T681" s="21" t="str">
        <f>IFERROR(IF([2]对账明细接口!$O681=0,"",[2]对账明细接口!$O681),"")</f>
        <v/>
      </c>
      <c r="U681" s="21" t="str">
        <f>IFERROR(IF([2]对账明细接口!$P681=0,"",[2]对账明细接口!$P681),"")</f>
        <v/>
      </c>
      <c r="V681" s="21" t="str">
        <f>IFERROR(IF([2]对账明细接口!$Q681=0,"",[2]对账明细接口!$Q681),"")</f>
        <v/>
      </c>
      <c r="W681" s="20" t="str">
        <f>IFERROR(IF([2]对账明细接口!$R681=0,"",[2]对账明细接口!$R681),"")</f>
        <v/>
      </c>
      <c r="X681" s="20" t="str">
        <f>IFERROR(IF([2]对账明细接口!$S681=0,"",[2]对账明细接口!$S681),"")</f>
        <v/>
      </c>
      <c r="Y681" s="20" t="str">
        <f t="shared" si="62"/>
        <v/>
      </c>
      <c r="Z681" s="20" t="str">
        <f t="shared" si="63"/>
        <v/>
      </c>
      <c r="AA681" s="20" t="str">
        <f t="shared" si="64"/>
        <v/>
      </c>
      <c r="AB681" s="20" t="str">
        <f t="shared" si="65"/>
        <v/>
      </c>
    </row>
    <row r="682" customHeight="1" spans="1:28">
      <c r="A682" s="14">
        <v>682</v>
      </c>
      <c r="B682" s="15" t="str">
        <f>IFERROR(IF([2]对账明细接口!$B$682=0,"",[2]对账明细接口!$B$682),"")</f>
        <v/>
      </c>
      <c r="C682" s="16" t="str">
        <f>IFERROR(IF([2]对账明细接口!$C$682=0,"",[2]对账明细接口!$C$682),"")</f>
        <v/>
      </c>
      <c r="D682" s="16" t="str">
        <f>IFERROR(IF([2]对账明细接口!$D$682=0,"",[2]对账明细接口!$D$682),"")</f>
        <v/>
      </c>
      <c r="E682" s="16" t="str">
        <f>IFERROR(IF([2]对账明细接口!$E$682=0,"",[2]对账明细接口!$E$682),"")</f>
        <v/>
      </c>
      <c r="F682" s="16" t="str">
        <f>IFERROR(IF([2]对账明细接口!$F$682=0,"",[2]对账明细接口!$F$682),"")</f>
        <v/>
      </c>
      <c r="G682" s="16" t="str">
        <f>IFERROR(IF([2]对账明细接口!$G$682=0,"",[2]对账明细接口!$G$682),"")</f>
        <v/>
      </c>
      <c r="H682" s="17" t="str">
        <f>IFERROR(IF([2]对账明细接口!$H$682=0,"",[2]对账明细接口!$H$682),"")</f>
        <v/>
      </c>
      <c r="I682" s="16" t="str">
        <f>IFERROR(IF([2]对账明细接口!$I$682=0,"",[2]对账明细接口!$I$682),"")</f>
        <v/>
      </c>
      <c r="J682" s="18" t="str">
        <f>IFERROR(IF([2]对账明细接口!$J$682=0,"",[2]对账明细接口!$J$682),"")</f>
        <v/>
      </c>
      <c r="K682" s="18" t="str">
        <f>IFERROR(IF([2]对账明细接口!$K$682=0,"",[2]对账明细接口!$K$682),"")</f>
        <v/>
      </c>
      <c r="L682" s="16" t="str">
        <f>IFERROR(IF([2]对账明细接口!$L$682=0,"",[2]对账明细接口!$L$682),"")</f>
        <v/>
      </c>
      <c r="M682" s="16" t="str">
        <f>IFERROR(IF([2]对账明细接口!$M$682=0,"",[2]对账明细接口!$M$682),"")</f>
        <v/>
      </c>
      <c r="N682" s="19">
        <f t="shared" si="60"/>
        <v>0</v>
      </c>
      <c r="O682" s="19">
        <f t="shared" si="61"/>
        <v>165</v>
      </c>
      <c r="S682" s="20" t="str">
        <f>IFERROR(IF([2]对账明细接口!$N682=0,"",[2]对账明细接口!$N682),"")</f>
        <v/>
      </c>
      <c r="T682" s="21" t="str">
        <f>IFERROR(IF([2]对账明细接口!$O682=0,"",[2]对账明细接口!$O682),"")</f>
        <v/>
      </c>
      <c r="U682" s="21" t="str">
        <f>IFERROR(IF([2]对账明细接口!$P682=0,"",[2]对账明细接口!$P682),"")</f>
        <v/>
      </c>
      <c r="V682" s="21" t="str">
        <f>IFERROR(IF([2]对账明细接口!$Q682=0,"",[2]对账明细接口!$Q682),"")</f>
        <v/>
      </c>
      <c r="W682" s="20" t="str">
        <f>IFERROR(IF([2]对账明细接口!$R682=0,"",[2]对账明细接口!$R682),"")</f>
        <v/>
      </c>
      <c r="X682" s="20" t="str">
        <f>IFERROR(IF([2]对账明细接口!$S682=0,"",[2]对账明细接口!$S682),"")</f>
        <v/>
      </c>
      <c r="Y682" s="20" t="str">
        <f t="shared" si="62"/>
        <v/>
      </c>
      <c r="Z682" s="20" t="str">
        <f t="shared" si="63"/>
        <v/>
      </c>
      <c r="AA682" s="20" t="str">
        <f t="shared" si="64"/>
        <v/>
      </c>
      <c r="AB682" s="20" t="str">
        <f t="shared" si="65"/>
        <v/>
      </c>
    </row>
    <row r="683" customHeight="1" spans="1:28">
      <c r="A683" s="14">
        <v>683</v>
      </c>
      <c r="B683" s="15" t="str">
        <f>IFERROR(IF([2]对账明细接口!$B$683=0,"",[2]对账明细接口!$B$683),"")</f>
        <v/>
      </c>
      <c r="C683" s="16" t="str">
        <f>IFERROR(IF([2]对账明细接口!$C$683=0,"",[2]对账明细接口!$C$683),"")</f>
        <v/>
      </c>
      <c r="D683" s="16" t="str">
        <f>IFERROR(IF([2]对账明细接口!$D$683=0,"",[2]对账明细接口!$D$683),"")</f>
        <v/>
      </c>
      <c r="E683" s="16" t="str">
        <f>IFERROR(IF([2]对账明细接口!$E$683=0,"",[2]对账明细接口!$E$683),"")</f>
        <v/>
      </c>
      <c r="F683" s="16" t="str">
        <f>IFERROR(IF([2]对账明细接口!$F$683=0,"",[2]对账明细接口!$F$683),"")</f>
        <v/>
      </c>
      <c r="G683" s="16" t="str">
        <f>IFERROR(IF([2]对账明细接口!$G$683=0,"",[2]对账明细接口!$G$683),"")</f>
        <v/>
      </c>
      <c r="H683" s="17" t="str">
        <f>IFERROR(IF([2]对账明细接口!$H$683=0,"",[2]对账明细接口!$H$683),"")</f>
        <v/>
      </c>
      <c r="I683" s="16" t="str">
        <f>IFERROR(IF([2]对账明细接口!$I$683=0,"",[2]对账明细接口!$I$683),"")</f>
        <v/>
      </c>
      <c r="J683" s="18" t="str">
        <f>IFERROR(IF([2]对账明细接口!$J$683=0,"",[2]对账明细接口!$J$683),"")</f>
        <v/>
      </c>
      <c r="K683" s="18" t="str">
        <f>IFERROR(IF([2]对账明细接口!$K$683=0,"",[2]对账明细接口!$K$683),"")</f>
        <v/>
      </c>
      <c r="L683" s="16" t="str">
        <f>IFERROR(IF([2]对账明细接口!$L$683=0,"",[2]对账明细接口!$L$683),"")</f>
        <v/>
      </c>
      <c r="M683" s="16" t="str">
        <f>IFERROR(IF([2]对账明细接口!$M$683=0,"",[2]对账明细接口!$M$683),"")</f>
        <v/>
      </c>
      <c r="N683" s="19">
        <f t="shared" si="60"/>
        <v>0</v>
      </c>
      <c r="O683" s="19">
        <f t="shared" si="61"/>
        <v>165</v>
      </c>
      <c r="S683" s="20" t="str">
        <f>IFERROR(IF([2]对账明细接口!$N683=0,"",[2]对账明细接口!$N683),"")</f>
        <v/>
      </c>
      <c r="T683" s="21" t="str">
        <f>IFERROR(IF([2]对账明细接口!$O683=0,"",[2]对账明细接口!$O683),"")</f>
        <v/>
      </c>
      <c r="U683" s="21" t="str">
        <f>IFERROR(IF([2]对账明细接口!$P683=0,"",[2]对账明细接口!$P683),"")</f>
        <v/>
      </c>
      <c r="V683" s="21" t="str">
        <f>IFERROR(IF([2]对账明细接口!$Q683=0,"",[2]对账明细接口!$Q683),"")</f>
        <v/>
      </c>
      <c r="W683" s="20" t="str">
        <f>IFERROR(IF([2]对账明细接口!$R683=0,"",[2]对账明细接口!$R683),"")</f>
        <v/>
      </c>
      <c r="X683" s="20" t="str">
        <f>IFERROR(IF([2]对账明细接口!$S683=0,"",[2]对账明细接口!$S683),"")</f>
        <v/>
      </c>
      <c r="Y683" s="20" t="str">
        <f t="shared" si="62"/>
        <v/>
      </c>
      <c r="Z683" s="20" t="str">
        <f t="shared" si="63"/>
        <v/>
      </c>
      <c r="AA683" s="20" t="str">
        <f t="shared" si="64"/>
        <v/>
      </c>
      <c r="AB683" s="20" t="str">
        <f t="shared" si="65"/>
        <v/>
      </c>
    </row>
    <row r="684" customHeight="1" spans="1:28">
      <c r="A684" s="14">
        <v>684</v>
      </c>
      <c r="B684" s="15" t="str">
        <f>IFERROR(IF([2]对账明细接口!$B$684=0,"",[2]对账明细接口!$B$684),"")</f>
        <v/>
      </c>
      <c r="C684" s="16" t="str">
        <f>IFERROR(IF([2]对账明细接口!$C$684=0,"",[2]对账明细接口!$C$684),"")</f>
        <v/>
      </c>
      <c r="D684" s="16" t="str">
        <f>IFERROR(IF([2]对账明细接口!$D$684=0,"",[2]对账明细接口!$D$684),"")</f>
        <v/>
      </c>
      <c r="E684" s="16" t="str">
        <f>IFERROR(IF([2]对账明细接口!$E$684=0,"",[2]对账明细接口!$E$684),"")</f>
        <v/>
      </c>
      <c r="F684" s="16" t="str">
        <f>IFERROR(IF([2]对账明细接口!$F$684=0,"",[2]对账明细接口!$F$684),"")</f>
        <v/>
      </c>
      <c r="G684" s="16" t="str">
        <f>IFERROR(IF([2]对账明细接口!$G$684=0,"",[2]对账明细接口!$G$684),"")</f>
        <v/>
      </c>
      <c r="H684" s="17" t="str">
        <f>IFERROR(IF([2]对账明细接口!$H$684=0,"",[2]对账明细接口!$H$684),"")</f>
        <v/>
      </c>
      <c r="I684" s="16" t="str">
        <f>IFERROR(IF([2]对账明细接口!$I$684=0,"",[2]对账明细接口!$I$684),"")</f>
        <v/>
      </c>
      <c r="J684" s="18" t="str">
        <f>IFERROR(IF([2]对账明细接口!$J$684=0,"",[2]对账明细接口!$J$684),"")</f>
        <v/>
      </c>
      <c r="K684" s="18" t="str">
        <f>IFERROR(IF([2]对账明细接口!$K$684=0,"",[2]对账明细接口!$K$684),"")</f>
        <v/>
      </c>
      <c r="L684" s="16" t="str">
        <f>IFERROR(IF([2]对账明细接口!$L$684=0,"",[2]对账明细接口!$L$684),"")</f>
        <v/>
      </c>
      <c r="M684" s="16" t="str">
        <f>IFERROR(IF([2]对账明细接口!$M$684=0,"",[2]对账明细接口!$M$684),"")</f>
        <v/>
      </c>
      <c r="N684" s="19">
        <f t="shared" si="60"/>
        <v>0</v>
      </c>
      <c r="O684" s="19">
        <f t="shared" si="61"/>
        <v>165</v>
      </c>
      <c r="S684" s="20" t="str">
        <f>IFERROR(IF([2]对账明细接口!$N684=0,"",[2]对账明细接口!$N684),"")</f>
        <v/>
      </c>
      <c r="T684" s="21" t="str">
        <f>IFERROR(IF([2]对账明细接口!$O684=0,"",[2]对账明细接口!$O684),"")</f>
        <v/>
      </c>
      <c r="U684" s="21" t="str">
        <f>IFERROR(IF([2]对账明细接口!$P684=0,"",[2]对账明细接口!$P684),"")</f>
        <v/>
      </c>
      <c r="V684" s="21" t="str">
        <f>IFERROR(IF([2]对账明细接口!$Q684=0,"",[2]对账明细接口!$Q684),"")</f>
        <v/>
      </c>
      <c r="W684" s="20" t="str">
        <f>IFERROR(IF([2]对账明细接口!$R684=0,"",[2]对账明细接口!$R684),"")</f>
        <v/>
      </c>
      <c r="X684" s="20" t="str">
        <f>IFERROR(IF([2]对账明细接口!$S684=0,"",[2]对账明细接口!$S684),"")</f>
        <v/>
      </c>
      <c r="Y684" s="20" t="str">
        <f t="shared" si="62"/>
        <v/>
      </c>
      <c r="Z684" s="20" t="str">
        <f t="shared" si="63"/>
        <v/>
      </c>
      <c r="AA684" s="20" t="str">
        <f t="shared" si="64"/>
        <v/>
      </c>
      <c r="AB684" s="20" t="str">
        <f t="shared" si="65"/>
        <v/>
      </c>
    </row>
    <row r="685" customHeight="1" spans="1:28">
      <c r="A685" s="14">
        <v>685</v>
      </c>
      <c r="B685" s="15" t="str">
        <f>IFERROR(IF([2]对账明细接口!$B$685=0,"",[2]对账明细接口!$B$685),"")</f>
        <v/>
      </c>
      <c r="C685" s="16" t="str">
        <f>IFERROR(IF([2]对账明细接口!$C$685=0,"",[2]对账明细接口!$C$685),"")</f>
        <v/>
      </c>
      <c r="D685" s="16" t="str">
        <f>IFERROR(IF([2]对账明细接口!$D$685=0,"",[2]对账明细接口!$D$685),"")</f>
        <v/>
      </c>
      <c r="E685" s="16" t="str">
        <f>IFERROR(IF([2]对账明细接口!$E$685=0,"",[2]对账明细接口!$E$685),"")</f>
        <v/>
      </c>
      <c r="F685" s="16" t="str">
        <f>IFERROR(IF([2]对账明细接口!$F$685=0,"",[2]对账明细接口!$F$685),"")</f>
        <v/>
      </c>
      <c r="G685" s="16" t="str">
        <f>IFERROR(IF([2]对账明细接口!$G$685=0,"",[2]对账明细接口!$G$685),"")</f>
        <v/>
      </c>
      <c r="H685" s="17" t="str">
        <f>IFERROR(IF([2]对账明细接口!$H$685=0,"",[2]对账明细接口!$H$685),"")</f>
        <v/>
      </c>
      <c r="I685" s="16" t="str">
        <f>IFERROR(IF([2]对账明细接口!$I$685=0,"",[2]对账明细接口!$I$685),"")</f>
        <v/>
      </c>
      <c r="J685" s="18" t="str">
        <f>IFERROR(IF([2]对账明细接口!$J$685=0,"",[2]对账明细接口!$J$685),"")</f>
        <v/>
      </c>
      <c r="K685" s="18" t="str">
        <f>IFERROR(IF([2]对账明细接口!$K$685=0,"",[2]对账明细接口!$K$685),"")</f>
        <v/>
      </c>
      <c r="L685" s="16" t="str">
        <f>IFERROR(IF([2]对账明细接口!$L$685=0,"",[2]对账明细接口!$L$685),"")</f>
        <v/>
      </c>
      <c r="M685" s="16" t="str">
        <f>IFERROR(IF([2]对账明细接口!$M$685=0,"",[2]对账明细接口!$M$685),"")</f>
        <v/>
      </c>
      <c r="N685" s="19">
        <f t="shared" si="60"/>
        <v>0</v>
      </c>
      <c r="O685" s="19">
        <f t="shared" si="61"/>
        <v>165</v>
      </c>
      <c r="S685" s="20" t="str">
        <f>IFERROR(IF([2]对账明细接口!$N685=0,"",[2]对账明细接口!$N685),"")</f>
        <v/>
      </c>
      <c r="T685" s="21" t="str">
        <f>IFERROR(IF([2]对账明细接口!$O685=0,"",[2]对账明细接口!$O685),"")</f>
        <v/>
      </c>
      <c r="U685" s="21" t="str">
        <f>IFERROR(IF([2]对账明细接口!$P685=0,"",[2]对账明细接口!$P685),"")</f>
        <v/>
      </c>
      <c r="V685" s="21" t="str">
        <f>IFERROR(IF([2]对账明细接口!$Q685=0,"",[2]对账明细接口!$Q685),"")</f>
        <v/>
      </c>
      <c r="W685" s="20" t="str">
        <f>IFERROR(IF([2]对账明细接口!$R685=0,"",[2]对账明细接口!$R685),"")</f>
        <v/>
      </c>
      <c r="X685" s="20" t="str">
        <f>IFERROR(IF([2]对账明细接口!$S685=0,"",[2]对账明细接口!$S685),"")</f>
        <v/>
      </c>
      <c r="Y685" s="20" t="str">
        <f t="shared" si="62"/>
        <v/>
      </c>
      <c r="Z685" s="20" t="str">
        <f t="shared" si="63"/>
        <v/>
      </c>
      <c r="AA685" s="20" t="str">
        <f t="shared" si="64"/>
        <v/>
      </c>
      <c r="AB685" s="20" t="str">
        <f t="shared" si="65"/>
        <v/>
      </c>
    </row>
    <row r="686" customHeight="1" spans="1:28">
      <c r="A686" s="14">
        <v>686</v>
      </c>
      <c r="B686" s="15" t="str">
        <f>IFERROR(IF([2]对账明细接口!$B$686=0,"",[2]对账明细接口!$B$686),"")</f>
        <v/>
      </c>
      <c r="C686" s="16" t="str">
        <f>IFERROR(IF([2]对账明细接口!$C$686=0,"",[2]对账明细接口!$C$686),"")</f>
        <v/>
      </c>
      <c r="D686" s="16" t="str">
        <f>IFERROR(IF([2]对账明细接口!$D$686=0,"",[2]对账明细接口!$D$686),"")</f>
        <v/>
      </c>
      <c r="E686" s="16" t="str">
        <f>IFERROR(IF([2]对账明细接口!$E$686=0,"",[2]对账明细接口!$E$686),"")</f>
        <v/>
      </c>
      <c r="F686" s="16" t="str">
        <f>IFERROR(IF([2]对账明细接口!$F$686=0,"",[2]对账明细接口!$F$686),"")</f>
        <v/>
      </c>
      <c r="G686" s="16" t="str">
        <f>IFERROR(IF([2]对账明细接口!$G$686=0,"",[2]对账明细接口!$G$686),"")</f>
        <v/>
      </c>
      <c r="H686" s="17" t="str">
        <f>IFERROR(IF([2]对账明细接口!$H$686=0,"",[2]对账明细接口!$H$686),"")</f>
        <v/>
      </c>
      <c r="I686" s="16" t="str">
        <f>IFERROR(IF([2]对账明细接口!$I$686=0,"",[2]对账明细接口!$I$686),"")</f>
        <v/>
      </c>
      <c r="J686" s="18" t="str">
        <f>IFERROR(IF([2]对账明细接口!$J$686=0,"",[2]对账明细接口!$J$686),"")</f>
        <v/>
      </c>
      <c r="K686" s="18" t="str">
        <f>IFERROR(IF([2]对账明细接口!$K$686=0,"",[2]对账明细接口!$K$686),"")</f>
        <v/>
      </c>
      <c r="L686" s="16" t="str">
        <f>IFERROR(IF([2]对账明细接口!$L$686=0,"",[2]对账明细接口!$L$686),"")</f>
        <v/>
      </c>
      <c r="M686" s="16" t="str">
        <f>IFERROR(IF([2]对账明细接口!$M$686=0,"",[2]对账明细接口!$M$686),"")</f>
        <v/>
      </c>
      <c r="N686" s="19">
        <f t="shared" si="60"/>
        <v>0</v>
      </c>
      <c r="O686" s="19">
        <f t="shared" si="61"/>
        <v>165</v>
      </c>
      <c r="S686" s="20" t="str">
        <f>IFERROR(IF([2]对账明细接口!$N686=0,"",[2]对账明细接口!$N686),"")</f>
        <v/>
      </c>
      <c r="T686" s="21" t="str">
        <f>IFERROR(IF([2]对账明细接口!$O686=0,"",[2]对账明细接口!$O686),"")</f>
        <v/>
      </c>
      <c r="U686" s="21" t="str">
        <f>IFERROR(IF([2]对账明细接口!$P686=0,"",[2]对账明细接口!$P686),"")</f>
        <v/>
      </c>
      <c r="V686" s="21" t="str">
        <f>IFERROR(IF([2]对账明细接口!$Q686=0,"",[2]对账明细接口!$Q686),"")</f>
        <v/>
      </c>
      <c r="W686" s="20" t="str">
        <f>IFERROR(IF([2]对账明细接口!$R686=0,"",[2]对账明细接口!$R686),"")</f>
        <v/>
      </c>
      <c r="X686" s="20" t="str">
        <f>IFERROR(IF([2]对账明细接口!$S686=0,"",[2]对账明细接口!$S686),"")</f>
        <v/>
      </c>
      <c r="Y686" s="20" t="str">
        <f t="shared" si="62"/>
        <v/>
      </c>
      <c r="Z686" s="20" t="str">
        <f t="shared" si="63"/>
        <v/>
      </c>
      <c r="AA686" s="20" t="str">
        <f t="shared" si="64"/>
        <v/>
      </c>
      <c r="AB686" s="20" t="str">
        <f t="shared" si="65"/>
        <v/>
      </c>
    </row>
    <row r="687" customHeight="1" spans="1:28">
      <c r="A687" s="14">
        <v>687</v>
      </c>
      <c r="B687" s="15" t="str">
        <f>IFERROR(IF([2]对账明细接口!$B$687=0,"",[2]对账明细接口!$B$687),"")</f>
        <v/>
      </c>
      <c r="C687" s="16" t="str">
        <f>IFERROR(IF([2]对账明细接口!$C$687=0,"",[2]对账明细接口!$C$687),"")</f>
        <v/>
      </c>
      <c r="D687" s="16" t="str">
        <f>IFERROR(IF([2]对账明细接口!$D$687=0,"",[2]对账明细接口!$D$687),"")</f>
        <v/>
      </c>
      <c r="E687" s="16" t="str">
        <f>IFERROR(IF([2]对账明细接口!$E$687=0,"",[2]对账明细接口!$E$687),"")</f>
        <v/>
      </c>
      <c r="F687" s="16" t="str">
        <f>IFERROR(IF([2]对账明细接口!$F$687=0,"",[2]对账明细接口!$F$687),"")</f>
        <v/>
      </c>
      <c r="G687" s="16" t="str">
        <f>IFERROR(IF([2]对账明细接口!$G$687=0,"",[2]对账明细接口!$G$687),"")</f>
        <v/>
      </c>
      <c r="H687" s="17" t="str">
        <f>IFERROR(IF([2]对账明细接口!$H$687=0,"",[2]对账明细接口!$H$687),"")</f>
        <v/>
      </c>
      <c r="I687" s="16" t="str">
        <f>IFERROR(IF([2]对账明细接口!$I$687=0,"",[2]对账明细接口!$I$687),"")</f>
        <v/>
      </c>
      <c r="J687" s="18" t="str">
        <f>IFERROR(IF([2]对账明细接口!$J$687=0,"",[2]对账明细接口!$J$687),"")</f>
        <v/>
      </c>
      <c r="K687" s="18" t="str">
        <f>IFERROR(IF([2]对账明细接口!$K$687=0,"",[2]对账明细接口!$K$687),"")</f>
        <v/>
      </c>
      <c r="L687" s="16" t="str">
        <f>IFERROR(IF([2]对账明细接口!$L$687=0,"",[2]对账明细接口!$L$687),"")</f>
        <v/>
      </c>
      <c r="M687" s="16" t="str">
        <f>IFERROR(IF([2]对账明细接口!$M$687=0,"",[2]对账明细接口!$M$687),"")</f>
        <v/>
      </c>
      <c r="N687" s="19">
        <f t="shared" si="60"/>
        <v>0</v>
      </c>
      <c r="O687" s="19">
        <f t="shared" si="61"/>
        <v>165</v>
      </c>
      <c r="S687" s="20" t="str">
        <f>IFERROR(IF([2]对账明细接口!$N687=0,"",[2]对账明细接口!$N687),"")</f>
        <v/>
      </c>
      <c r="T687" s="21" t="str">
        <f>IFERROR(IF([2]对账明细接口!$O687=0,"",[2]对账明细接口!$O687),"")</f>
        <v/>
      </c>
      <c r="U687" s="21" t="str">
        <f>IFERROR(IF([2]对账明细接口!$P687=0,"",[2]对账明细接口!$P687),"")</f>
        <v/>
      </c>
      <c r="V687" s="21" t="str">
        <f>IFERROR(IF([2]对账明细接口!$Q687=0,"",[2]对账明细接口!$Q687),"")</f>
        <v/>
      </c>
      <c r="W687" s="20" t="str">
        <f>IFERROR(IF([2]对账明细接口!$R687=0,"",[2]对账明细接口!$R687),"")</f>
        <v/>
      </c>
      <c r="X687" s="20" t="str">
        <f>IFERROR(IF([2]对账明细接口!$S687=0,"",[2]对账明细接口!$S687),"")</f>
        <v/>
      </c>
      <c r="Y687" s="20" t="str">
        <f t="shared" si="62"/>
        <v/>
      </c>
      <c r="Z687" s="20" t="str">
        <f t="shared" si="63"/>
        <v/>
      </c>
      <c r="AA687" s="20" t="str">
        <f t="shared" si="64"/>
        <v/>
      </c>
      <c r="AB687" s="20" t="str">
        <f t="shared" si="65"/>
        <v/>
      </c>
    </row>
    <row r="688" customHeight="1" spans="1:28">
      <c r="A688" s="14">
        <v>688</v>
      </c>
      <c r="B688" s="15" t="str">
        <f>IFERROR(IF([2]对账明细接口!$B$688=0,"",[2]对账明细接口!$B$688),"")</f>
        <v/>
      </c>
      <c r="C688" s="16" t="str">
        <f>IFERROR(IF([2]对账明细接口!$C$688=0,"",[2]对账明细接口!$C$688),"")</f>
        <v/>
      </c>
      <c r="D688" s="16" t="str">
        <f>IFERROR(IF([2]对账明细接口!$D$688=0,"",[2]对账明细接口!$D$688),"")</f>
        <v/>
      </c>
      <c r="E688" s="16" t="str">
        <f>IFERROR(IF([2]对账明细接口!$E$688=0,"",[2]对账明细接口!$E$688),"")</f>
        <v/>
      </c>
      <c r="F688" s="16" t="str">
        <f>IFERROR(IF([2]对账明细接口!$F$688=0,"",[2]对账明细接口!$F$688),"")</f>
        <v/>
      </c>
      <c r="G688" s="16" t="str">
        <f>IFERROR(IF([2]对账明细接口!$G$688=0,"",[2]对账明细接口!$G$688),"")</f>
        <v/>
      </c>
      <c r="H688" s="17" t="str">
        <f>IFERROR(IF([2]对账明细接口!$H$688=0,"",[2]对账明细接口!$H$688),"")</f>
        <v/>
      </c>
      <c r="I688" s="16" t="str">
        <f>IFERROR(IF([2]对账明细接口!$I$688=0,"",[2]对账明细接口!$I$688),"")</f>
        <v/>
      </c>
      <c r="J688" s="18" t="str">
        <f>IFERROR(IF([2]对账明细接口!$J$688=0,"",[2]对账明细接口!$J$688),"")</f>
        <v/>
      </c>
      <c r="K688" s="18" t="str">
        <f>IFERROR(IF([2]对账明细接口!$K$688=0,"",[2]对账明细接口!$K$688),"")</f>
        <v/>
      </c>
      <c r="L688" s="16" t="str">
        <f>IFERROR(IF([2]对账明细接口!$L$688=0,"",[2]对账明细接口!$L$688),"")</f>
        <v/>
      </c>
      <c r="M688" s="16" t="str">
        <f>IFERROR(IF([2]对账明细接口!$M$688=0,"",[2]对账明细接口!$M$688),"")</f>
        <v/>
      </c>
      <c r="N688" s="19">
        <f t="shared" si="60"/>
        <v>0</v>
      </c>
      <c r="O688" s="19">
        <f t="shared" si="61"/>
        <v>165</v>
      </c>
      <c r="S688" s="20" t="str">
        <f>IFERROR(IF([2]对账明细接口!$N688=0,"",[2]对账明细接口!$N688),"")</f>
        <v/>
      </c>
      <c r="T688" s="21" t="str">
        <f>IFERROR(IF([2]对账明细接口!$O688=0,"",[2]对账明细接口!$O688),"")</f>
        <v/>
      </c>
      <c r="U688" s="21" t="str">
        <f>IFERROR(IF([2]对账明细接口!$P688=0,"",[2]对账明细接口!$P688),"")</f>
        <v/>
      </c>
      <c r="V688" s="21" t="str">
        <f>IFERROR(IF([2]对账明细接口!$Q688=0,"",[2]对账明细接口!$Q688),"")</f>
        <v/>
      </c>
      <c r="W688" s="20" t="str">
        <f>IFERROR(IF([2]对账明细接口!$R688=0,"",[2]对账明细接口!$R688),"")</f>
        <v/>
      </c>
      <c r="X688" s="20" t="str">
        <f>IFERROR(IF([2]对账明细接口!$S688=0,"",[2]对账明细接口!$S688),"")</f>
        <v/>
      </c>
      <c r="Y688" s="20" t="str">
        <f t="shared" si="62"/>
        <v/>
      </c>
      <c r="Z688" s="20" t="str">
        <f t="shared" si="63"/>
        <v/>
      </c>
      <c r="AA688" s="20" t="str">
        <f t="shared" si="64"/>
        <v/>
      </c>
      <c r="AB688" s="20" t="str">
        <f t="shared" si="65"/>
        <v/>
      </c>
    </row>
    <row r="689" customHeight="1" spans="1:28">
      <c r="A689" s="14">
        <v>689</v>
      </c>
      <c r="B689" s="15" t="str">
        <f>IFERROR(IF([2]对账明细接口!$B$689=0,"",[2]对账明细接口!$B$689),"")</f>
        <v/>
      </c>
      <c r="C689" s="16" t="str">
        <f>IFERROR(IF([2]对账明细接口!$C$689=0,"",[2]对账明细接口!$C$689),"")</f>
        <v/>
      </c>
      <c r="D689" s="16" t="str">
        <f>IFERROR(IF([2]对账明细接口!$D$689=0,"",[2]对账明细接口!$D$689),"")</f>
        <v/>
      </c>
      <c r="E689" s="16" t="str">
        <f>IFERROR(IF([2]对账明细接口!$E$689=0,"",[2]对账明细接口!$E$689),"")</f>
        <v/>
      </c>
      <c r="F689" s="16" t="str">
        <f>IFERROR(IF([2]对账明细接口!$F$689=0,"",[2]对账明细接口!$F$689),"")</f>
        <v/>
      </c>
      <c r="G689" s="16" t="str">
        <f>IFERROR(IF([2]对账明细接口!$G$689=0,"",[2]对账明细接口!$G$689),"")</f>
        <v/>
      </c>
      <c r="H689" s="17" t="str">
        <f>IFERROR(IF([2]对账明细接口!$H$689=0,"",[2]对账明细接口!$H$689),"")</f>
        <v/>
      </c>
      <c r="I689" s="16" t="str">
        <f>IFERROR(IF([2]对账明细接口!$I$689=0,"",[2]对账明细接口!$I$689),"")</f>
        <v/>
      </c>
      <c r="J689" s="18" t="str">
        <f>IFERROR(IF([2]对账明细接口!$J$689=0,"",[2]对账明细接口!$J$689),"")</f>
        <v/>
      </c>
      <c r="K689" s="18" t="str">
        <f>IFERROR(IF([2]对账明细接口!$K$689=0,"",[2]对账明细接口!$K$689),"")</f>
        <v/>
      </c>
      <c r="L689" s="16" t="str">
        <f>IFERROR(IF([2]对账明细接口!$L$689=0,"",[2]对账明细接口!$L$689),"")</f>
        <v/>
      </c>
      <c r="M689" s="16" t="str">
        <f>IFERROR(IF([2]对账明细接口!$M$689=0,"",[2]对账明细接口!$M$689),"")</f>
        <v/>
      </c>
      <c r="N689" s="19">
        <f t="shared" si="60"/>
        <v>0</v>
      </c>
      <c r="O689" s="19">
        <f t="shared" si="61"/>
        <v>165</v>
      </c>
      <c r="S689" s="20" t="str">
        <f>IFERROR(IF([2]对账明细接口!$N689=0,"",[2]对账明细接口!$N689),"")</f>
        <v/>
      </c>
      <c r="T689" s="21" t="str">
        <f>IFERROR(IF([2]对账明细接口!$O689=0,"",[2]对账明细接口!$O689),"")</f>
        <v/>
      </c>
      <c r="U689" s="21" t="str">
        <f>IFERROR(IF([2]对账明细接口!$P689=0,"",[2]对账明细接口!$P689),"")</f>
        <v/>
      </c>
      <c r="V689" s="21" t="str">
        <f>IFERROR(IF([2]对账明细接口!$Q689=0,"",[2]对账明细接口!$Q689),"")</f>
        <v/>
      </c>
      <c r="W689" s="20" t="str">
        <f>IFERROR(IF([2]对账明细接口!$R689=0,"",[2]对账明细接口!$R689),"")</f>
        <v/>
      </c>
      <c r="X689" s="20" t="str">
        <f>IFERROR(IF([2]对账明细接口!$S689=0,"",[2]对账明细接口!$S689),"")</f>
        <v/>
      </c>
      <c r="Y689" s="20" t="str">
        <f t="shared" si="62"/>
        <v/>
      </c>
      <c r="Z689" s="20" t="str">
        <f t="shared" si="63"/>
        <v/>
      </c>
      <c r="AA689" s="20" t="str">
        <f t="shared" si="64"/>
        <v/>
      </c>
      <c r="AB689" s="20" t="str">
        <f t="shared" si="65"/>
        <v/>
      </c>
    </row>
    <row r="690" customHeight="1" spans="1:28">
      <c r="A690" s="14">
        <v>690</v>
      </c>
      <c r="B690" s="15" t="str">
        <f>IFERROR(IF([2]对账明细接口!$B$690=0,"",[2]对账明细接口!$B$690),"")</f>
        <v/>
      </c>
      <c r="C690" s="16" t="str">
        <f>IFERROR(IF([2]对账明细接口!$C$690=0,"",[2]对账明细接口!$C$690),"")</f>
        <v/>
      </c>
      <c r="D690" s="16" t="str">
        <f>IFERROR(IF([2]对账明细接口!$D$690=0,"",[2]对账明细接口!$D$690),"")</f>
        <v/>
      </c>
      <c r="E690" s="16" t="str">
        <f>IFERROR(IF([2]对账明细接口!$E$690=0,"",[2]对账明细接口!$E$690),"")</f>
        <v/>
      </c>
      <c r="F690" s="16" t="str">
        <f>IFERROR(IF([2]对账明细接口!$F$690=0,"",[2]对账明细接口!$F$690),"")</f>
        <v/>
      </c>
      <c r="G690" s="16" t="str">
        <f>IFERROR(IF([2]对账明细接口!$G$690=0,"",[2]对账明细接口!$G$690),"")</f>
        <v/>
      </c>
      <c r="H690" s="17" t="str">
        <f>IFERROR(IF([2]对账明细接口!$H$690=0,"",[2]对账明细接口!$H$690),"")</f>
        <v/>
      </c>
      <c r="I690" s="16" t="str">
        <f>IFERROR(IF([2]对账明细接口!$I$690=0,"",[2]对账明细接口!$I$690),"")</f>
        <v/>
      </c>
      <c r="J690" s="18" t="str">
        <f>IFERROR(IF([2]对账明细接口!$J$690=0,"",[2]对账明细接口!$J$690),"")</f>
        <v/>
      </c>
      <c r="K690" s="18" t="str">
        <f>IFERROR(IF([2]对账明细接口!$K$690=0,"",[2]对账明细接口!$K$690),"")</f>
        <v/>
      </c>
      <c r="L690" s="16" t="str">
        <f>IFERROR(IF([2]对账明细接口!$L$690=0,"",[2]对账明细接口!$L$690),"")</f>
        <v/>
      </c>
      <c r="M690" s="16" t="str">
        <f>IFERROR(IF([2]对账明细接口!$M$690=0,"",[2]对账明细接口!$M$690),"")</f>
        <v/>
      </c>
      <c r="N690" s="19">
        <f t="shared" si="60"/>
        <v>0</v>
      </c>
      <c r="O690" s="19">
        <f t="shared" si="61"/>
        <v>165</v>
      </c>
      <c r="S690" s="20" t="str">
        <f>IFERROR(IF([2]对账明细接口!$N690=0,"",[2]对账明细接口!$N690),"")</f>
        <v/>
      </c>
      <c r="T690" s="21" t="str">
        <f>IFERROR(IF([2]对账明细接口!$O690=0,"",[2]对账明细接口!$O690),"")</f>
        <v/>
      </c>
      <c r="U690" s="21" t="str">
        <f>IFERROR(IF([2]对账明细接口!$P690=0,"",[2]对账明细接口!$P690),"")</f>
        <v/>
      </c>
      <c r="V690" s="21" t="str">
        <f>IFERROR(IF([2]对账明细接口!$Q690=0,"",[2]对账明细接口!$Q690),"")</f>
        <v/>
      </c>
      <c r="W690" s="20" t="str">
        <f>IFERROR(IF([2]对账明细接口!$R690=0,"",[2]对账明细接口!$R690),"")</f>
        <v/>
      </c>
      <c r="X690" s="20" t="str">
        <f>IFERROR(IF([2]对账明细接口!$S690=0,"",[2]对账明细接口!$S690),"")</f>
        <v/>
      </c>
      <c r="Y690" s="20" t="str">
        <f t="shared" si="62"/>
        <v/>
      </c>
      <c r="Z690" s="20" t="str">
        <f t="shared" si="63"/>
        <v/>
      </c>
      <c r="AA690" s="20" t="str">
        <f t="shared" si="64"/>
        <v/>
      </c>
      <c r="AB690" s="20" t="str">
        <f t="shared" si="65"/>
        <v/>
      </c>
    </row>
    <row r="691" customHeight="1" spans="1:28">
      <c r="A691" s="14">
        <v>691</v>
      </c>
      <c r="B691" s="15" t="str">
        <f>IFERROR(IF([2]对账明细接口!$B$691=0,"",[2]对账明细接口!$B$691),"")</f>
        <v/>
      </c>
      <c r="C691" s="16" t="str">
        <f>IFERROR(IF([2]对账明细接口!$C$691=0,"",[2]对账明细接口!$C$691),"")</f>
        <v/>
      </c>
      <c r="D691" s="16" t="str">
        <f>IFERROR(IF([2]对账明细接口!$D$691=0,"",[2]对账明细接口!$D$691),"")</f>
        <v/>
      </c>
      <c r="E691" s="16" t="str">
        <f>IFERROR(IF([2]对账明细接口!$E$691=0,"",[2]对账明细接口!$E$691),"")</f>
        <v/>
      </c>
      <c r="F691" s="16" t="str">
        <f>IFERROR(IF([2]对账明细接口!$F$691=0,"",[2]对账明细接口!$F$691),"")</f>
        <v/>
      </c>
      <c r="G691" s="16" t="str">
        <f>IFERROR(IF([2]对账明细接口!$G$691=0,"",[2]对账明细接口!$G$691),"")</f>
        <v/>
      </c>
      <c r="H691" s="17" t="str">
        <f>IFERROR(IF([2]对账明细接口!$H$691=0,"",[2]对账明细接口!$H$691),"")</f>
        <v/>
      </c>
      <c r="I691" s="16" t="str">
        <f>IFERROR(IF([2]对账明细接口!$I$691=0,"",[2]对账明细接口!$I$691),"")</f>
        <v/>
      </c>
      <c r="J691" s="18" t="str">
        <f>IFERROR(IF([2]对账明细接口!$J$691=0,"",[2]对账明细接口!$J$691),"")</f>
        <v/>
      </c>
      <c r="K691" s="18" t="str">
        <f>IFERROR(IF([2]对账明细接口!$K$691=0,"",[2]对账明细接口!$K$691),"")</f>
        <v/>
      </c>
      <c r="L691" s="16" t="str">
        <f>IFERROR(IF([2]对账明细接口!$L$691=0,"",[2]对账明细接口!$L$691),"")</f>
        <v/>
      </c>
      <c r="M691" s="16" t="str">
        <f>IFERROR(IF([2]对账明细接口!$M$691=0,"",[2]对账明细接口!$M$691),"")</f>
        <v/>
      </c>
      <c r="N691" s="19">
        <f t="shared" si="60"/>
        <v>0</v>
      </c>
      <c r="O691" s="19">
        <f t="shared" si="61"/>
        <v>165</v>
      </c>
      <c r="S691" s="20" t="str">
        <f>IFERROR(IF([2]对账明细接口!$N691=0,"",[2]对账明细接口!$N691),"")</f>
        <v/>
      </c>
      <c r="T691" s="21" t="str">
        <f>IFERROR(IF([2]对账明细接口!$O691=0,"",[2]对账明细接口!$O691),"")</f>
        <v/>
      </c>
      <c r="U691" s="21" t="str">
        <f>IFERROR(IF([2]对账明细接口!$P691=0,"",[2]对账明细接口!$P691),"")</f>
        <v/>
      </c>
      <c r="V691" s="21" t="str">
        <f>IFERROR(IF([2]对账明细接口!$Q691=0,"",[2]对账明细接口!$Q691),"")</f>
        <v/>
      </c>
      <c r="W691" s="20" t="str">
        <f>IFERROR(IF([2]对账明细接口!$R691=0,"",[2]对账明细接口!$R691),"")</f>
        <v/>
      </c>
      <c r="X691" s="20" t="str">
        <f>IFERROR(IF([2]对账明细接口!$S691=0,"",[2]对账明细接口!$S691),"")</f>
        <v/>
      </c>
      <c r="Y691" s="20" t="str">
        <f t="shared" si="62"/>
        <v/>
      </c>
      <c r="Z691" s="20" t="str">
        <f t="shared" si="63"/>
        <v/>
      </c>
      <c r="AA691" s="20" t="str">
        <f t="shared" si="64"/>
        <v/>
      </c>
      <c r="AB691" s="20" t="str">
        <f t="shared" si="65"/>
        <v/>
      </c>
    </row>
    <row r="692" customHeight="1" spans="1:28">
      <c r="A692" s="14">
        <v>692</v>
      </c>
      <c r="B692" s="15" t="str">
        <f>IFERROR(IF([2]对账明细接口!$B$692=0,"",[2]对账明细接口!$B$692),"")</f>
        <v/>
      </c>
      <c r="C692" s="16" t="str">
        <f>IFERROR(IF([2]对账明细接口!$C$692=0,"",[2]对账明细接口!$C$692),"")</f>
        <v/>
      </c>
      <c r="D692" s="16" t="str">
        <f>IFERROR(IF([2]对账明细接口!$D$692=0,"",[2]对账明细接口!$D$692),"")</f>
        <v/>
      </c>
      <c r="E692" s="16" t="str">
        <f>IFERROR(IF([2]对账明细接口!$E$692=0,"",[2]对账明细接口!$E$692),"")</f>
        <v/>
      </c>
      <c r="F692" s="16" t="str">
        <f>IFERROR(IF([2]对账明细接口!$F$692=0,"",[2]对账明细接口!$F$692),"")</f>
        <v/>
      </c>
      <c r="G692" s="16" t="str">
        <f>IFERROR(IF([2]对账明细接口!$G$692=0,"",[2]对账明细接口!$G$692),"")</f>
        <v/>
      </c>
      <c r="H692" s="17" t="str">
        <f>IFERROR(IF([2]对账明细接口!$H$692=0,"",[2]对账明细接口!$H$692),"")</f>
        <v/>
      </c>
      <c r="I692" s="16" t="str">
        <f>IFERROR(IF([2]对账明细接口!$I$692=0,"",[2]对账明细接口!$I$692),"")</f>
        <v/>
      </c>
      <c r="J692" s="18" t="str">
        <f>IFERROR(IF([2]对账明细接口!$J$692=0,"",[2]对账明细接口!$J$692),"")</f>
        <v/>
      </c>
      <c r="K692" s="18" t="str">
        <f>IFERROR(IF([2]对账明细接口!$K$692=0,"",[2]对账明细接口!$K$692),"")</f>
        <v/>
      </c>
      <c r="L692" s="16" t="str">
        <f>IFERROR(IF([2]对账明细接口!$L$692=0,"",[2]对账明细接口!$L$692),"")</f>
        <v/>
      </c>
      <c r="M692" s="16" t="str">
        <f>IFERROR(IF([2]对账明细接口!$M$692=0,"",[2]对账明细接口!$M$692),"")</f>
        <v/>
      </c>
      <c r="N692" s="19">
        <f t="shared" si="60"/>
        <v>0</v>
      </c>
      <c r="O692" s="19">
        <f t="shared" si="61"/>
        <v>165</v>
      </c>
      <c r="S692" s="20" t="str">
        <f>IFERROR(IF([2]对账明细接口!$N692=0,"",[2]对账明细接口!$N692),"")</f>
        <v/>
      </c>
      <c r="T692" s="21" t="str">
        <f>IFERROR(IF([2]对账明细接口!$O692=0,"",[2]对账明细接口!$O692),"")</f>
        <v/>
      </c>
      <c r="U692" s="21" t="str">
        <f>IFERROR(IF([2]对账明细接口!$P692=0,"",[2]对账明细接口!$P692),"")</f>
        <v/>
      </c>
      <c r="V692" s="21" t="str">
        <f>IFERROR(IF([2]对账明细接口!$Q692=0,"",[2]对账明细接口!$Q692),"")</f>
        <v/>
      </c>
      <c r="W692" s="20" t="str">
        <f>IFERROR(IF([2]对账明细接口!$R692=0,"",[2]对账明细接口!$R692),"")</f>
        <v/>
      </c>
      <c r="X692" s="20" t="str">
        <f>IFERROR(IF([2]对账明细接口!$S692=0,"",[2]对账明细接口!$S692),"")</f>
        <v/>
      </c>
      <c r="Y692" s="20" t="str">
        <f t="shared" si="62"/>
        <v/>
      </c>
      <c r="Z692" s="20" t="str">
        <f t="shared" si="63"/>
        <v/>
      </c>
      <c r="AA692" s="20" t="str">
        <f t="shared" si="64"/>
        <v/>
      </c>
      <c r="AB692" s="20" t="str">
        <f t="shared" si="65"/>
        <v/>
      </c>
    </row>
    <row r="693" customHeight="1" spans="1:28">
      <c r="A693" s="14">
        <v>693</v>
      </c>
      <c r="B693" s="15" t="str">
        <f>IFERROR(IF([2]对账明细接口!$B$693=0,"",[2]对账明细接口!$B$693),"")</f>
        <v/>
      </c>
      <c r="C693" s="16" t="str">
        <f>IFERROR(IF([2]对账明细接口!$C$693=0,"",[2]对账明细接口!$C$693),"")</f>
        <v/>
      </c>
      <c r="D693" s="16" t="str">
        <f>IFERROR(IF([2]对账明细接口!$D$693=0,"",[2]对账明细接口!$D$693),"")</f>
        <v/>
      </c>
      <c r="E693" s="16" t="str">
        <f>IFERROR(IF([2]对账明细接口!$E$693=0,"",[2]对账明细接口!$E$693),"")</f>
        <v/>
      </c>
      <c r="F693" s="16" t="str">
        <f>IFERROR(IF([2]对账明细接口!$F$693=0,"",[2]对账明细接口!$F$693),"")</f>
        <v/>
      </c>
      <c r="G693" s="16" t="str">
        <f>IFERROR(IF([2]对账明细接口!$G$693=0,"",[2]对账明细接口!$G$693),"")</f>
        <v/>
      </c>
      <c r="H693" s="17" t="str">
        <f>IFERROR(IF([2]对账明细接口!$H$693=0,"",[2]对账明细接口!$H$693),"")</f>
        <v/>
      </c>
      <c r="I693" s="16" t="str">
        <f>IFERROR(IF([2]对账明细接口!$I$693=0,"",[2]对账明细接口!$I$693),"")</f>
        <v/>
      </c>
      <c r="J693" s="18" t="str">
        <f>IFERROR(IF([2]对账明细接口!$J$693=0,"",[2]对账明细接口!$J$693),"")</f>
        <v/>
      </c>
      <c r="K693" s="18" t="str">
        <f>IFERROR(IF([2]对账明细接口!$K$693=0,"",[2]对账明细接口!$K$693),"")</f>
        <v/>
      </c>
      <c r="L693" s="16" t="str">
        <f>IFERROR(IF([2]对账明细接口!$L$693=0,"",[2]对账明细接口!$L$693),"")</f>
        <v/>
      </c>
      <c r="M693" s="16" t="str">
        <f>IFERROR(IF([2]对账明细接口!$M$693=0,"",[2]对账明细接口!$M$693),"")</f>
        <v/>
      </c>
      <c r="N693" s="19">
        <f t="shared" si="60"/>
        <v>0</v>
      </c>
      <c r="O693" s="19">
        <f t="shared" si="61"/>
        <v>165</v>
      </c>
      <c r="S693" s="20" t="str">
        <f>IFERROR(IF([2]对账明细接口!$N693=0,"",[2]对账明细接口!$N693),"")</f>
        <v/>
      </c>
      <c r="T693" s="21" t="str">
        <f>IFERROR(IF([2]对账明细接口!$O693=0,"",[2]对账明细接口!$O693),"")</f>
        <v/>
      </c>
      <c r="U693" s="21" t="str">
        <f>IFERROR(IF([2]对账明细接口!$P693=0,"",[2]对账明细接口!$P693),"")</f>
        <v/>
      </c>
      <c r="V693" s="21" t="str">
        <f>IFERROR(IF([2]对账明细接口!$Q693=0,"",[2]对账明细接口!$Q693),"")</f>
        <v/>
      </c>
      <c r="W693" s="20" t="str">
        <f>IFERROR(IF([2]对账明细接口!$R693=0,"",[2]对账明细接口!$R693),"")</f>
        <v/>
      </c>
      <c r="X693" s="20" t="str">
        <f>IFERROR(IF([2]对账明细接口!$S693=0,"",[2]对账明细接口!$S693),"")</f>
        <v/>
      </c>
      <c r="Y693" s="20" t="str">
        <f t="shared" si="62"/>
        <v/>
      </c>
      <c r="Z693" s="20" t="str">
        <f t="shared" si="63"/>
        <v/>
      </c>
      <c r="AA693" s="20" t="str">
        <f t="shared" si="64"/>
        <v/>
      </c>
      <c r="AB693" s="20" t="str">
        <f t="shared" si="65"/>
        <v/>
      </c>
    </row>
    <row r="694" customHeight="1" spans="1:28">
      <c r="A694" s="14">
        <v>694</v>
      </c>
      <c r="B694" s="15" t="str">
        <f>IFERROR(IF([2]对账明细接口!$B$694=0,"",[2]对账明细接口!$B$694),"")</f>
        <v/>
      </c>
      <c r="C694" s="16" t="str">
        <f>IFERROR(IF([2]对账明细接口!$C$694=0,"",[2]对账明细接口!$C$694),"")</f>
        <v/>
      </c>
      <c r="D694" s="16" t="str">
        <f>IFERROR(IF([2]对账明细接口!$D$694=0,"",[2]对账明细接口!$D$694),"")</f>
        <v/>
      </c>
      <c r="E694" s="16" t="str">
        <f>IFERROR(IF([2]对账明细接口!$E$694=0,"",[2]对账明细接口!$E$694),"")</f>
        <v/>
      </c>
      <c r="F694" s="16" t="str">
        <f>IFERROR(IF([2]对账明细接口!$F$694=0,"",[2]对账明细接口!$F$694),"")</f>
        <v/>
      </c>
      <c r="G694" s="16" t="str">
        <f>IFERROR(IF([2]对账明细接口!$G$694=0,"",[2]对账明细接口!$G$694),"")</f>
        <v/>
      </c>
      <c r="H694" s="17" t="str">
        <f>IFERROR(IF([2]对账明细接口!$H$694=0,"",[2]对账明细接口!$H$694),"")</f>
        <v/>
      </c>
      <c r="I694" s="16" t="str">
        <f>IFERROR(IF([2]对账明细接口!$I$694=0,"",[2]对账明细接口!$I$694),"")</f>
        <v/>
      </c>
      <c r="J694" s="18" t="str">
        <f>IFERROR(IF([2]对账明细接口!$J$694=0,"",[2]对账明细接口!$J$694),"")</f>
        <v/>
      </c>
      <c r="K694" s="18" t="str">
        <f>IFERROR(IF([2]对账明细接口!$K$694=0,"",[2]对账明细接口!$K$694),"")</f>
        <v/>
      </c>
      <c r="L694" s="16" t="str">
        <f>IFERROR(IF([2]对账明细接口!$L$694=0,"",[2]对账明细接口!$L$694),"")</f>
        <v/>
      </c>
      <c r="M694" s="16" t="str">
        <f>IFERROR(IF([2]对账明细接口!$M$694=0,"",[2]对账明细接口!$M$694),"")</f>
        <v/>
      </c>
      <c r="N694" s="19">
        <f t="shared" si="60"/>
        <v>0</v>
      </c>
      <c r="O694" s="19">
        <f t="shared" si="61"/>
        <v>165</v>
      </c>
      <c r="S694" s="20" t="str">
        <f>IFERROR(IF([2]对账明细接口!$N694=0,"",[2]对账明细接口!$N694),"")</f>
        <v/>
      </c>
      <c r="T694" s="21" t="str">
        <f>IFERROR(IF([2]对账明细接口!$O694=0,"",[2]对账明细接口!$O694),"")</f>
        <v/>
      </c>
      <c r="U694" s="21" t="str">
        <f>IFERROR(IF([2]对账明细接口!$P694=0,"",[2]对账明细接口!$P694),"")</f>
        <v/>
      </c>
      <c r="V694" s="21" t="str">
        <f>IFERROR(IF([2]对账明细接口!$Q694=0,"",[2]对账明细接口!$Q694),"")</f>
        <v/>
      </c>
      <c r="W694" s="20" t="str">
        <f>IFERROR(IF([2]对账明细接口!$R694=0,"",[2]对账明细接口!$R694),"")</f>
        <v/>
      </c>
      <c r="X694" s="20" t="str">
        <f>IFERROR(IF([2]对账明细接口!$S694=0,"",[2]对账明细接口!$S694),"")</f>
        <v/>
      </c>
      <c r="Y694" s="20" t="str">
        <f t="shared" si="62"/>
        <v/>
      </c>
      <c r="Z694" s="20" t="str">
        <f t="shared" si="63"/>
        <v/>
      </c>
      <c r="AA694" s="20" t="str">
        <f t="shared" si="64"/>
        <v/>
      </c>
      <c r="AB694" s="20" t="str">
        <f t="shared" si="65"/>
        <v/>
      </c>
    </row>
    <row r="695" customHeight="1" spans="1:28">
      <c r="A695" s="14">
        <v>695</v>
      </c>
      <c r="B695" s="15" t="str">
        <f>IFERROR(IF([2]对账明细接口!$B$695=0,"",[2]对账明细接口!$B$695),"")</f>
        <v/>
      </c>
      <c r="C695" s="16" t="str">
        <f>IFERROR(IF([2]对账明细接口!$C$695=0,"",[2]对账明细接口!$C$695),"")</f>
        <v/>
      </c>
      <c r="D695" s="16" t="str">
        <f>IFERROR(IF([2]对账明细接口!$D$695=0,"",[2]对账明细接口!$D$695),"")</f>
        <v/>
      </c>
      <c r="E695" s="16" t="str">
        <f>IFERROR(IF([2]对账明细接口!$E$695=0,"",[2]对账明细接口!$E$695),"")</f>
        <v/>
      </c>
      <c r="F695" s="16" t="str">
        <f>IFERROR(IF([2]对账明细接口!$F$695=0,"",[2]对账明细接口!$F$695),"")</f>
        <v/>
      </c>
      <c r="G695" s="16" t="str">
        <f>IFERROR(IF([2]对账明细接口!$G$695=0,"",[2]对账明细接口!$G$695),"")</f>
        <v/>
      </c>
      <c r="H695" s="17" t="str">
        <f>IFERROR(IF([2]对账明细接口!$H$695=0,"",[2]对账明细接口!$H$695),"")</f>
        <v/>
      </c>
      <c r="I695" s="16" t="str">
        <f>IFERROR(IF([2]对账明细接口!$I$695=0,"",[2]对账明细接口!$I$695),"")</f>
        <v/>
      </c>
      <c r="J695" s="18" t="str">
        <f>IFERROR(IF([2]对账明细接口!$J$695=0,"",[2]对账明细接口!$J$695),"")</f>
        <v/>
      </c>
      <c r="K695" s="18" t="str">
        <f>IFERROR(IF([2]对账明细接口!$K$695=0,"",[2]对账明细接口!$K$695),"")</f>
        <v/>
      </c>
      <c r="L695" s="16" t="str">
        <f>IFERROR(IF([2]对账明细接口!$L$695=0,"",[2]对账明细接口!$L$695),"")</f>
        <v/>
      </c>
      <c r="M695" s="16" t="str">
        <f>IFERROR(IF([2]对账明细接口!$M$695=0,"",[2]对账明细接口!$M$695),"")</f>
        <v/>
      </c>
      <c r="N695" s="19">
        <f t="shared" si="60"/>
        <v>0</v>
      </c>
      <c r="O695" s="19">
        <f t="shared" si="61"/>
        <v>165</v>
      </c>
      <c r="S695" s="20" t="str">
        <f>IFERROR(IF([2]对账明细接口!$N695=0,"",[2]对账明细接口!$N695),"")</f>
        <v/>
      </c>
      <c r="T695" s="21" t="str">
        <f>IFERROR(IF([2]对账明细接口!$O695=0,"",[2]对账明细接口!$O695),"")</f>
        <v/>
      </c>
      <c r="U695" s="21" t="str">
        <f>IFERROR(IF([2]对账明细接口!$P695=0,"",[2]对账明细接口!$P695),"")</f>
        <v/>
      </c>
      <c r="V695" s="21" t="str">
        <f>IFERROR(IF([2]对账明细接口!$Q695=0,"",[2]对账明细接口!$Q695),"")</f>
        <v/>
      </c>
      <c r="W695" s="20" t="str">
        <f>IFERROR(IF([2]对账明细接口!$R695=0,"",[2]对账明细接口!$R695),"")</f>
        <v/>
      </c>
      <c r="X695" s="20" t="str">
        <f>IFERROR(IF([2]对账明细接口!$S695=0,"",[2]对账明细接口!$S695),"")</f>
        <v/>
      </c>
      <c r="Y695" s="20" t="str">
        <f t="shared" si="62"/>
        <v/>
      </c>
      <c r="Z695" s="20" t="str">
        <f t="shared" si="63"/>
        <v/>
      </c>
      <c r="AA695" s="20" t="str">
        <f t="shared" si="64"/>
        <v/>
      </c>
      <c r="AB695" s="20" t="str">
        <f t="shared" si="65"/>
        <v/>
      </c>
    </row>
    <row r="696" customHeight="1" spans="1:28">
      <c r="A696" s="14">
        <v>696</v>
      </c>
      <c r="B696" s="15" t="str">
        <f>IFERROR(IF([2]对账明细接口!$B$696=0,"",[2]对账明细接口!$B$696),"")</f>
        <v/>
      </c>
      <c r="C696" s="16" t="str">
        <f>IFERROR(IF([2]对账明细接口!$C$696=0,"",[2]对账明细接口!$C$696),"")</f>
        <v/>
      </c>
      <c r="D696" s="16" t="str">
        <f>IFERROR(IF([2]对账明细接口!$D$696=0,"",[2]对账明细接口!$D$696),"")</f>
        <v/>
      </c>
      <c r="E696" s="16" t="str">
        <f>IFERROR(IF([2]对账明细接口!$E$696=0,"",[2]对账明细接口!$E$696),"")</f>
        <v/>
      </c>
      <c r="F696" s="16" t="str">
        <f>IFERROR(IF([2]对账明细接口!$F$696=0,"",[2]对账明细接口!$F$696),"")</f>
        <v/>
      </c>
      <c r="G696" s="16" t="str">
        <f>IFERROR(IF([2]对账明细接口!$G$696=0,"",[2]对账明细接口!$G$696),"")</f>
        <v/>
      </c>
      <c r="H696" s="17" t="str">
        <f>IFERROR(IF([2]对账明细接口!$H$696=0,"",[2]对账明细接口!$H$696),"")</f>
        <v/>
      </c>
      <c r="I696" s="16" t="str">
        <f>IFERROR(IF([2]对账明细接口!$I$696=0,"",[2]对账明细接口!$I$696),"")</f>
        <v/>
      </c>
      <c r="J696" s="18" t="str">
        <f>IFERROR(IF([2]对账明细接口!$J$696=0,"",[2]对账明细接口!$J$696),"")</f>
        <v/>
      </c>
      <c r="K696" s="18" t="str">
        <f>IFERROR(IF([2]对账明细接口!$K$696=0,"",[2]对账明细接口!$K$696),"")</f>
        <v/>
      </c>
      <c r="L696" s="16" t="str">
        <f>IFERROR(IF([2]对账明细接口!$L$696=0,"",[2]对账明细接口!$L$696),"")</f>
        <v/>
      </c>
      <c r="M696" s="16" t="str">
        <f>IFERROR(IF([2]对账明细接口!$M$696=0,"",[2]对账明细接口!$M$696),"")</f>
        <v/>
      </c>
      <c r="N696" s="19">
        <f t="shared" si="60"/>
        <v>0</v>
      </c>
      <c r="O696" s="19">
        <f t="shared" si="61"/>
        <v>165</v>
      </c>
      <c r="S696" s="20" t="str">
        <f>IFERROR(IF([2]对账明细接口!$N696=0,"",[2]对账明细接口!$N696),"")</f>
        <v/>
      </c>
      <c r="T696" s="21" t="str">
        <f>IFERROR(IF([2]对账明细接口!$O696=0,"",[2]对账明细接口!$O696),"")</f>
        <v/>
      </c>
      <c r="U696" s="21" t="str">
        <f>IFERROR(IF([2]对账明细接口!$P696=0,"",[2]对账明细接口!$P696),"")</f>
        <v/>
      </c>
      <c r="V696" s="21" t="str">
        <f>IFERROR(IF([2]对账明细接口!$Q696=0,"",[2]对账明细接口!$Q696),"")</f>
        <v/>
      </c>
      <c r="W696" s="20" t="str">
        <f>IFERROR(IF([2]对账明细接口!$R696=0,"",[2]对账明细接口!$R696),"")</f>
        <v/>
      </c>
      <c r="X696" s="20" t="str">
        <f>IFERROR(IF([2]对账明细接口!$S696=0,"",[2]对账明细接口!$S696),"")</f>
        <v/>
      </c>
      <c r="Y696" s="20" t="str">
        <f t="shared" si="62"/>
        <v/>
      </c>
      <c r="Z696" s="20" t="str">
        <f t="shared" si="63"/>
        <v/>
      </c>
      <c r="AA696" s="20" t="str">
        <f t="shared" si="64"/>
        <v/>
      </c>
      <c r="AB696" s="20" t="str">
        <f t="shared" si="65"/>
        <v/>
      </c>
    </row>
    <row r="697" customHeight="1" spans="1:28">
      <c r="A697" s="14">
        <v>697</v>
      </c>
      <c r="B697" s="15" t="str">
        <f>IFERROR(IF([2]对账明细接口!$B$697=0,"",[2]对账明细接口!$B$697),"")</f>
        <v/>
      </c>
      <c r="C697" s="16" t="str">
        <f>IFERROR(IF([2]对账明细接口!$C$697=0,"",[2]对账明细接口!$C$697),"")</f>
        <v/>
      </c>
      <c r="D697" s="16" t="str">
        <f>IFERROR(IF([2]对账明细接口!$D$697=0,"",[2]对账明细接口!$D$697),"")</f>
        <v/>
      </c>
      <c r="E697" s="16" t="str">
        <f>IFERROR(IF([2]对账明细接口!$E$697=0,"",[2]对账明细接口!$E$697),"")</f>
        <v/>
      </c>
      <c r="F697" s="16" t="str">
        <f>IFERROR(IF([2]对账明细接口!$F$697=0,"",[2]对账明细接口!$F$697),"")</f>
        <v/>
      </c>
      <c r="G697" s="16" t="str">
        <f>IFERROR(IF([2]对账明细接口!$G$697=0,"",[2]对账明细接口!$G$697),"")</f>
        <v/>
      </c>
      <c r="H697" s="17" t="str">
        <f>IFERROR(IF([2]对账明细接口!$H$697=0,"",[2]对账明细接口!$H$697),"")</f>
        <v/>
      </c>
      <c r="I697" s="16" t="str">
        <f>IFERROR(IF([2]对账明细接口!$I$697=0,"",[2]对账明细接口!$I$697),"")</f>
        <v/>
      </c>
      <c r="J697" s="18" t="str">
        <f>IFERROR(IF([2]对账明细接口!$J$697=0,"",[2]对账明细接口!$J$697),"")</f>
        <v/>
      </c>
      <c r="K697" s="18" t="str">
        <f>IFERROR(IF([2]对账明细接口!$K$697=0,"",[2]对账明细接口!$K$697),"")</f>
        <v/>
      </c>
      <c r="L697" s="16" t="str">
        <f>IFERROR(IF([2]对账明细接口!$L$697=0,"",[2]对账明细接口!$L$697),"")</f>
        <v/>
      </c>
      <c r="M697" s="16" t="str">
        <f>IFERROR(IF([2]对账明细接口!$M$697=0,"",[2]对账明细接口!$M$697),"")</f>
        <v/>
      </c>
      <c r="N697" s="19">
        <f t="shared" si="60"/>
        <v>0</v>
      </c>
      <c r="O697" s="19">
        <f t="shared" si="61"/>
        <v>165</v>
      </c>
      <c r="S697" s="20" t="str">
        <f>IFERROR(IF([2]对账明细接口!$N697=0,"",[2]对账明细接口!$N697),"")</f>
        <v/>
      </c>
      <c r="T697" s="21" t="str">
        <f>IFERROR(IF([2]对账明细接口!$O697=0,"",[2]对账明细接口!$O697),"")</f>
        <v/>
      </c>
      <c r="U697" s="21" t="str">
        <f>IFERROR(IF([2]对账明细接口!$P697=0,"",[2]对账明细接口!$P697),"")</f>
        <v/>
      </c>
      <c r="V697" s="21" t="str">
        <f>IFERROR(IF([2]对账明细接口!$Q697=0,"",[2]对账明细接口!$Q697),"")</f>
        <v/>
      </c>
      <c r="W697" s="20" t="str">
        <f>IFERROR(IF([2]对账明细接口!$R697=0,"",[2]对账明细接口!$R697),"")</f>
        <v/>
      </c>
      <c r="X697" s="20" t="str">
        <f>IFERROR(IF([2]对账明细接口!$S697=0,"",[2]对账明细接口!$S697),"")</f>
        <v/>
      </c>
      <c r="Y697" s="20" t="str">
        <f t="shared" si="62"/>
        <v/>
      </c>
      <c r="Z697" s="20" t="str">
        <f t="shared" si="63"/>
        <v/>
      </c>
      <c r="AA697" s="20" t="str">
        <f t="shared" si="64"/>
        <v/>
      </c>
      <c r="AB697" s="20" t="str">
        <f t="shared" si="65"/>
        <v/>
      </c>
    </row>
    <row r="698" customHeight="1" spans="1:28">
      <c r="A698" s="14">
        <v>698</v>
      </c>
      <c r="B698" s="15" t="str">
        <f>IFERROR(IF([2]对账明细接口!$B$698=0,"",[2]对账明细接口!$B$698),"")</f>
        <v/>
      </c>
      <c r="C698" s="16" t="str">
        <f>IFERROR(IF([2]对账明细接口!$C$698=0,"",[2]对账明细接口!$C$698),"")</f>
        <v/>
      </c>
      <c r="D698" s="16" t="str">
        <f>IFERROR(IF([2]对账明细接口!$D$698=0,"",[2]对账明细接口!$D$698),"")</f>
        <v/>
      </c>
      <c r="E698" s="16" t="str">
        <f>IFERROR(IF([2]对账明细接口!$E$698=0,"",[2]对账明细接口!$E$698),"")</f>
        <v/>
      </c>
      <c r="F698" s="16" t="str">
        <f>IFERROR(IF([2]对账明细接口!$F$698=0,"",[2]对账明细接口!$F$698),"")</f>
        <v/>
      </c>
      <c r="G698" s="16" t="str">
        <f>IFERROR(IF([2]对账明细接口!$G$698=0,"",[2]对账明细接口!$G$698),"")</f>
        <v/>
      </c>
      <c r="H698" s="17" t="str">
        <f>IFERROR(IF([2]对账明细接口!$H$698=0,"",[2]对账明细接口!$H$698),"")</f>
        <v/>
      </c>
      <c r="I698" s="16" t="str">
        <f>IFERROR(IF([2]对账明细接口!$I$698=0,"",[2]对账明细接口!$I$698),"")</f>
        <v/>
      </c>
      <c r="J698" s="18" t="str">
        <f>IFERROR(IF([2]对账明细接口!$J$698=0,"",[2]对账明细接口!$J$698),"")</f>
        <v/>
      </c>
      <c r="K698" s="18" t="str">
        <f>IFERROR(IF([2]对账明细接口!$K$698=0,"",[2]对账明细接口!$K$698),"")</f>
        <v/>
      </c>
      <c r="L698" s="16" t="str">
        <f>IFERROR(IF([2]对账明细接口!$L$698=0,"",[2]对账明细接口!$L$698),"")</f>
        <v/>
      </c>
      <c r="M698" s="16" t="str">
        <f>IFERROR(IF([2]对账明细接口!$M$698=0,"",[2]对账明细接口!$M$698),"")</f>
        <v/>
      </c>
      <c r="N698" s="19">
        <f t="shared" si="60"/>
        <v>0</v>
      </c>
      <c r="O698" s="19">
        <f t="shared" si="61"/>
        <v>165</v>
      </c>
      <c r="S698" s="20" t="str">
        <f>IFERROR(IF([2]对账明细接口!$N698=0,"",[2]对账明细接口!$N698),"")</f>
        <v/>
      </c>
      <c r="T698" s="21" t="str">
        <f>IFERROR(IF([2]对账明细接口!$O698=0,"",[2]对账明细接口!$O698),"")</f>
        <v/>
      </c>
      <c r="U698" s="21" t="str">
        <f>IFERROR(IF([2]对账明细接口!$P698=0,"",[2]对账明细接口!$P698),"")</f>
        <v/>
      </c>
      <c r="V698" s="21" t="str">
        <f>IFERROR(IF([2]对账明细接口!$Q698=0,"",[2]对账明细接口!$Q698),"")</f>
        <v/>
      </c>
      <c r="W698" s="20" t="str">
        <f>IFERROR(IF([2]对账明细接口!$R698=0,"",[2]对账明细接口!$R698),"")</f>
        <v/>
      </c>
      <c r="X698" s="20" t="str">
        <f>IFERROR(IF([2]对账明细接口!$S698=0,"",[2]对账明细接口!$S698),"")</f>
        <v/>
      </c>
      <c r="Y698" s="20" t="str">
        <f t="shared" si="62"/>
        <v/>
      </c>
      <c r="Z698" s="20" t="str">
        <f t="shared" si="63"/>
        <v/>
      </c>
      <c r="AA698" s="20" t="str">
        <f t="shared" si="64"/>
        <v/>
      </c>
      <c r="AB698" s="20" t="str">
        <f t="shared" si="65"/>
        <v/>
      </c>
    </row>
    <row r="699" customHeight="1" spans="1:28">
      <c r="A699" s="14">
        <v>699</v>
      </c>
      <c r="B699" s="15" t="str">
        <f>IFERROR(IF([2]对账明细接口!$B$699=0,"",[2]对账明细接口!$B$699),"")</f>
        <v/>
      </c>
      <c r="C699" s="16" t="str">
        <f>IFERROR(IF([2]对账明细接口!$C$699=0,"",[2]对账明细接口!$C$699),"")</f>
        <v/>
      </c>
      <c r="D699" s="16" t="str">
        <f>IFERROR(IF([2]对账明细接口!$D$699=0,"",[2]对账明细接口!$D$699),"")</f>
        <v/>
      </c>
      <c r="E699" s="16" t="str">
        <f>IFERROR(IF([2]对账明细接口!$E$699=0,"",[2]对账明细接口!$E$699),"")</f>
        <v/>
      </c>
      <c r="F699" s="16" t="str">
        <f>IFERROR(IF([2]对账明细接口!$F$699=0,"",[2]对账明细接口!$F$699),"")</f>
        <v/>
      </c>
      <c r="G699" s="16" t="str">
        <f>IFERROR(IF([2]对账明细接口!$G$699=0,"",[2]对账明细接口!$G$699),"")</f>
        <v/>
      </c>
      <c r="H699" s="17" t="str">
        <f>IFERROR(IF([2]对账明细接口!$H$699=0,"",[2]对账明细接口!$H$699),"")</f>
        <v/>
      </c>
      <c r="I699" s="16" t="str">
        <f>IFERROR(IF([2]对账明细接口!$I$699=0,"",[2]对账明细接口!$I$699),"")</f>
        <v/>
      </c>
      <c r="J699" s="18" t="str">
        <f>IFERROR(IF([2]对账明细接口!$J$699=0,"",[2]对账明细接口!$J$699),"")</f>
        <v/>
      </c>
      <c r="K699" s="18" t="str">
        <f>IFERROR(IF([2]对账明细接口!$K$699=0,"",[2]对账明细接口!$K$699),"")</f>
        <v/>
      </c>
      <c r="L699" s="16" t="str">
        <f>IFERROR(IF([2]对账明细接口!$L$699=0,"",[2]对账明细接口!$L$699),"")</f>
        <v/>
      </c>
      <c r="M699" s="16" t="str">
        <f>IFERROR(IF([2]对账明细接口!$M$699=0,"",[2]对账明细接口!$M$699),"")</f>
        <v/>
      </c>
      <c r="N699" s="19">
        <f t="shared" si="60"/>
        <v>0</v>
      </c>
      <c r="O699" s="19">
        <f t="shared" si="61"/>
        <v>165</v>
      </c>
      <c r="S699" s="20" t="str">
        <f>IFERROR(IF([2]对账明细接口!$N699=0,"",[2]对账明细接口!$N699),"")</f>
        <v/>
      </c>
      <c r="T699" s="21" t="str">
        <f>IFERROR(IF([2]对账明细接口!$O699=0,"",[2]对账明细接口!$O699),"")</f>
        <v/>
      </c>
      <c r="U699" s="21" t="str">
        <f>IFERROR(IF([2]对账明细接口!$P699=0,"",[2]对账明细接口!$P699),"")</f>
        <v/>
      </c>
      <c r="V699" s="21" t="str">
        <f>IFERROR(IF([2]对账明细接口!$Q699=0,"",[2]对账明细接口!$Q699),"")</f>
        <v/>
      </c>
      <c r="W699" s="20" t="str">
        <f>IFERROR(IF([2]对账明细接口!$R699=0,"",[2]对账明细接口!$R699),"")</f>
        <v/>
      </c>
      <c r="X699" s="20" t="str">
        <f>IFERROR(IF([2]对账明细接口!$S699=0,"",[2]对账明细接口!$S699),"")</f>
        <v/>
      </c>
      <c r="Y699" s="20" t="str">
        <f t="shared" si="62"/>
        <v/>
      </c>
      <c r="Z699" s="20" t="str">
        <f t="shared" si="63"/>
        <v/>
      </c>
      <c r="AA699" s="20" t="str">
        <f t="shared" si="64"/>
        <v/>
      </c>
      <c r="AB699" s="20" t="str">
        <f t="shared" si="65"/>
        <v/>
      </c>
    </row>
    <row r="700" customHeight="1" spans="1:28">
      <c r="A700" s="14">
        <v>700</v>
      </c>
      <c r="B700" s="15" t="str">
        <f>IFERROR(IF([2]对账明细接口!$B$700=0,"",[2]对账明细接口!$B$700),"")</f>
        <v/>
      </c>
      <c r="C700" s="16" t="str">
        <f>IFERROR(IF([2]对账明细接口!$C$700=0,"",[2]对账明细接口!$C$700),"")</f>
        <v/>
      </c>
      <c r="D700" s="16" t="str">
        <f>IFERROR(IF([2]对账明细接口!$D$700=0,"",[2]对账明细接口!$D$700),"")</f>
        <v/>
      </c>
      <c r="E700" s="16" t="str">
        <f>IFERROR(IF([2]对账明细接口!$E$700=0,"",[2]对账明细接口!$E$700),"")</f>
        <v/>
      </c>
      <c r="F700" s="16" t="str">
        <f>IFERROR(IF([2]对账明细接口!$F$700=0,"",[2]对账明细接口!$F$700),"")</f>
        <v/>
      </c>
      <c r="G700" s="16" t="str">
        <f>IFERROR(IF([2]对账明细接口!$G$700=0,"",[2]对账明细接口!$G$700),"")</f>
        <v/>
      </c>
      <c r="H700" s="17" t="str">
        <f>IFERROR(IF([2]对账明细接口!$H$700=0,"",[2]对账明细接口!$H$700),"")</f>
        <v/>
      </c>
      <c r="I700" s="16" t="str">
        <f>IFERROR(IF([2]对账明细接口!$I$700=0,"",[2]对账明细接口!$I$700),"")</f>
        <v/>
      </c>
      <c r="J700" s="18" t="str">
        <f>IFERROR(IF([2]对账明细接口!$J$700=0,"",[2]对账明细接口!$J$700),"")</f>
        <v/>
      </c>
      <c r="K700" s="18" t="str">
        <f>IFERROR(IF([2]对账明细接口!$K$700=0,"",[2]对账明细接口!$K$700),"")</f>
        <v/>
      </c>
      <c r="L700" s="16" t="str">
        <f>IFERROR(IF([2]对账明细接口!$L$700=0,"",[2]对账明细接口!$L$700),"")</f>
        <v/>
      </c>
      <c r="M700" s="16" t="str">
        <f>IFERROR(IF([2]对账明细接口!$M$700=0,"",[2]对账明细接口!$M$700),"")</f>
        <v/>
      </c>
      <c r="N700" s="19">
        <f t="shared" si="60"/>
        <v>0</v>
      </c>
      <c r="O700" s="19">
        <f t="shared" si="61"/>
        <v>165</v>
      </c>
      <c r="S700" s="20" t="str">
        <f>IFERROR(IF([2]对账明细接口!$N700=0,"",[2]对账明细接口!$N700),"")</f>
        <v/>
      </c>
      <c r="T700" s="21" t="str">
        <f>IFERROR(IF([2]对账明细接口!$O700=0,"",[2]对账明细接口!$O700),"")</f>
        <v/>
      </c>
      <c r="U700" s="21" t="str">
        <f>IFERROR(IF([2]对账明细接口!$P700=0,"",[2]对账明细接口!$P700),"")</f>
        <v/>
      </c>
      <c r="V700" s="21" t="str">
        <f>IFERROR(IF([2]对账明细接口!$Q700=0,"",[2]对账明细接口!$Q700),"")</f>
        <v/>
      </c>
      <c r="W700" s="20" t="str">
        <f>IFERROR(IF([2]对账明细接口!$R700=0,"",[2]对账明细接口!$R700),"")</f>
        <v/>
      </c>
      <c r="X700" s="20" t="str">
        <f>IFERROR(IF([2]对账明细接口!$S700=0,"",[2]对账明细接口!$S700),"")</f>
        <v/>
      </c>
      <c r="Y700" s="20" t="str">
        <f t="shared" si="62"/>
        <v/>
      </c>
      <c r="Z700" s="20" t="str">
        <f t="shared" si="63"/>
        <v/>
      </c>
      <c r="AA700" s="20" t="str">
        <f t="shared" si="64"/>
        <v/>
      </c>
      <c r="AB700" s="20" t="str">
        <f t="shared" si="65"/>
        <v/>
      </c>
    </row>
    <row r="701" customHeight="1" spans="1:28">
      <c r="A701" s="14">
        <v>701</v>
      </c>
      <c r="B701" s="15" t="str">
        <f>IFERROR(IF([2]对账明细接口!$B$701=0,"",[2]对账明细接口!$B$701),"")</f>
        <v/>
      </c>
      <c r="C701" s="16" t="str">
        <f>IFERROR(IF([2]对账明细接口!$C$701=0,"",[2]对账明细接口!$C$701),"")</f>
        <v/>
      </c>
      <c r="D701" s="16" t="str">
        <f>IFERROR(IF([2]对账明细接口!$D$701=0,"",[2]对账明细接口!$D$701),"")</f>
        <v/>
      </c>
      <c r="E701" s="16" t="str">
        <f>IFERROR(IF([2]对账明细接口!$E$701=0,"",[2]对账明细接口!$E$701),"")</f>
        <v/>
      </c>
      <c r="F701" s="16" t="str">
        <f>IFERROR(IF([2]对账明细接口!$F$701=0,"",[2]对账明细接口!$F$701),"")</f>
        <v/>
      </c>
      <c r="G701" s="16" t="str">
        <f>IFERROR(IF([2]对账明细接口!$G$701=0,"",[2]对账明细接口!$G$701),"")</f>
        <v/>
      </c>
      <c r="H701" s="17" t="str">
        <f>IFERROR(IF([2]对账明细接口!$H$701=0,"",[2]对账明细接口!$H$701),"")</f>
        <v/>
      </c>
      <c r="I701" s="16" t="str">
        <f>IFERROR(IF([2]对账明细接口!$I$701=0,"",[2]对账明细接口!$I$701),"")</f>
        <v/>
      </c>
      <c r="J701" s="18" t="str">
        <f>IFERROR(IF([2]对账明细接口!$J$701=0,"",[2]对账明细接口!$J$701),"")</f>
        <v/>
      </c>
      <c r="K701" s="18" t="str">
        <f>IFERROR(IF([2]对账明细接口!$K$701=0,"",[2]对账明细接口!$K$701),"")</f>
        <v/>
      </c>
      <c r="L701" s="16" t="str">
        <f>IFERROR(IF([2]对账明细接口!$L$701=0,"",[2]对账明细接口!$L$701),"")</f>
        <v/>
      </c>
      <c r="M701" s="16" t="str">
        <f>IFERROR(IF([2]对账明细接口!$M$701=0,"",[2]对账明细接口!$M$701),"")</f>
        <v/>
      </c>
      <c r="N701" s="19">
        <f t="shared" si="60"/>
        <v>0</v>
      </c>
      <c r="O701" s="19">
        <f t="shared" si="61"/>
        <v>165</v>
      </c>
      <c r="S701" s="20" t="str">
        <f>IFERROR(IF([2]对账明细接口!$N701=0,"",[2]对账明细接口!$N701),"")</f>
        <v/>
      </c>
      <c r="T701" s="21" t="str">
        <f>IFERROR(IF([2]对账明细接口!$O701=0,"",[2]对账明细接口!$O701),"")</f>
        <v/>
      </c>
      <c r="U701" s="21" t="str">
        <f>IFERROR(IF([2]对账明细接口!$P701=0,"",[2]对账明细接口!$P701),"")</f>
        <v/>
      </c>
      <c r="V701" s="21" t="str">
        <f>IFERROR(IF([2]对账明细接口!$Q701=0,"",[2]对账明细接口!$Q701),"")</f>
        <v/>
      </c>
      <c r="W701" s="20" t="str">
        <f>IFERROR(IF([2]对账明细接口!$R701=0,"",[2]对账明细接口!$R701),"")</f>
        <v/>
      </c>
      <c r="X701" s="20" t="str">
        <f>IFERROR(IF([2]对账明细接口!$S701=0,"",[2]对账明细接口!$S701),"")</f>
        <v/>
      </c>
      <c r="Y701" s="20" t="str">
        <f t="shared" si="62"/>
        <v/>
      </c>
      <c r="Z701" s="20" t="str">
        <f t="shared" si="63"/>
        <v/>
      </c>
      <c r="AA701" s="20" t="str">
        <f t="shared" si="64"/>
        <v/>
      </c>
      <c r="AB701" s="20" t="str">
        <f t="shared" si="65"/>
        <v/>
      </c>
    </row>
    <row r="702" customHeight="1" spans="1:28">
      <c r="A702" s="14">
        <v>702</v>
      </c>
      <c r="B702" s="15" t="str">
        <f>IFERROR(IF([2]对账明细接口!$B$702=0,"",[2]对账明细接口!$B$702),"")</f>
        <v/>
      </c>
      <c r="C702" s="16" t="str">
        <f>IFERROR(IF([2]对账明细接口!$C$702=0,"",[2]对账明细接口!$C$702),"")</f>
        <v/>
      </c>
      <c r="D702" s="16" t="str">
        <f>IFERROR(IF([2]对账明细接口!$D$702=0,"",[2]对账明细接口!$D$702),"")</f>
        <v/>
      </c>
      <c r="E702" s="16" t="str">
        <f>IFERROR(IF([2]对账明细接口!$E$702=0,"",[2]对账明细接口!$E$702),"")</f>
        <v/>
      </c>
      <c r="F702" s="16" t="str">
        <f>IFERROR(IF([2]对账明细接口!$F$702=0,"",[2]对账明细接口!$F$702),"")</f>
        <v/>
      </c>
      <c r="G702" s="16" t="str">
        <f>IFERROR(IF([2]对账明细接口!$G$702=0,"",[2]对账明细接口!$G$702),"")</f>
        <v/>
      </c>
      <c r="H702" s="17" t="str">
        <f>IFERROR(IF([2]对账明细接口!$H$702=0,"",[2]对账明细接口!$H$702),"")</f>
        <v/>
      </c>
      <c r="I702" s="16" t="str">
        <f>IFERROR(IF([2]对账明细接口!$I$702=0,"",[2]对账明细接口!$I$702),"")</f>
        <v/>
      </c>
      <c r="J702" s="18" t="str">
        <f>IFERROR(IF([2]对账明细接口!$J$702=0,"",[2]对账明细接口!$J$702),"")</f>
        <v/>
      </c>
      <c r="K702" s="18" t="str">
        <f>IFERROR(IF([2]对账明细接口!$K$702=0,"",[2]对账明细接口!$K$702),"")</f>
        <v/>
      </c>
      <c r="L702" s="16" t="str">
        <f>IFERROR(IF([2]对账明细接口!$L$702=0,"",[2]对账明细接口!$L$702),"")</f>
        <v/>
      </c>
      <c r="M702" s="16" t="str">
        <f>IFERROR(IF([2]对账明细接口!$M$702=0,"",[2]对账明细接口!$M$702),"")</f>
        <v/>
      </c>
      <c r="N702" s="19">
        <f t="shared" si="60"/>
        <v>0</v>
      </c>
      <c r="O702" s="19">
        <f t="shared" si="61"/>
        <v>165</v>
      </c>
      <c r="S702" s="20" t="str">
        <f>IFERROR(IF([2]对账明细接口!$N702=0,"",[2]对账明细接口!$N702),"")</f>
        <v/>
      </c>
      <c r="T702" s="21" t="str">
        <f>IFERROR(IF([2]对账明细接口!$O702=0,"",[2]对账明细接口!$O702),"")</f>
        <v/>
      </c>
      <c r="U702" s="21" t="str">
        <f>IFERROR(IF([2]对账明细接口!$P702=0,"",[2]对账明细接口!$P702),"")</f>
        <v/>
      </c>
      <c r="V702" s="21" t="str">
        <f>IFERROR(IF([2]对账明细接口!$Q702=0,"",[2]对账明细接口!$Q702),"")</f>
        <v/>
      </c>
      <c r="W702" s="20" t="str">
        <f>IFERROR(IF([2]对账明细接口!$R702=0,"",[2]对账明细接口!$R702),"")</f>
        <v/>
      </c>
      <c r="X702" s="20" t="str">
        <f>IFERROR(IF([2]对账明细接口!$S702=0,"",[2]对账明细接口!$S702),"")</f>
        <v/>
      </c>
      <c r="Y702" s="20" t="str">
        <f t="shared" si="62"/>
        <v/>
      </c>
      <c r="Z702" s="20" t="str">
        <f t="shared" si="63"/>
        <v/>
      </c>
      <c r="AA702" s="20" t="str">
        <f t="shared" si="64"/>
        <v/>
      </c>
      <c r="AB702" s="20" t="str">
        <f t="shared" si="65"/>
        <v/>
      </c>
    </row>
    <row r="703" customHeight="1" spans="1:28">
      <c r="A703" s="14">
        <v>703</v>
      </c>
      <c r="B703" s="15" t="str">
        <f>IFERROR(IF([2]对账明细接口!$B$703=0,"",[2]对账明细接口!$B$703),"")</f>
        <v/>
      </c>
      <c r="C703" s="16" t="str">
        <f>IFERROR(IF([2]对账明细接口!$C$703=0,"",[2]对账明细接口!$C$703),"")</f>
        <v/>
      </c>
      <c r="D703" s="16" t="str">
        <f>IFERROR(IF([2]对账明细接口!$D$703=0,"",[2]对账明细接口!$D$703),"")</f>
        <v/>
      </c>
      <c r="E703" s="16" t="str">
        <f>IFERROR(IF([2]对账明细接口!$E$703=0,"",[2]对账明细接口!$E$703),"")</f>
        <v/>
      </c>
      <c r="F703" s="16" t="str">
        <f>IFERROR(IF([2]对账明细接口!$F$703=0,"",[2]对账明细接口!$F$703),"")</f>
        <v/>
      </c>
      <c r="G703" s="16" t="str">
        <f>IFERROR(IF([2]对账明细接口!$G$703=0,"",[2]对账明细接口!$G$703),"")</f>
        <v/>
      </c>
      <c r="H703" s="17" t="str">
        <f>IFERROR(IF([2]对账明细接口!$H$703=0,"",[2]对账明细接口!$H$703),"")</f>
        <v/>
      </c>
      <c r="I703" s="16" t="str">
        <f>IFERROR(IF([2]对账明细接口!$I$703=0,"",[2]对账明细接口!$I$703),"")</f>
        <v/>
      </c>
      <c r="J703" s="18" t="str">
        <f>IFERROR(IF([2]对账明细接口!$J$703=0,"",[2]对账明细接口!$J$703),"")</f>
        <v/>
      </c>
      <c r="K703" s="18" t="str">
        <f>IFERROR(IF([2]对账明细接口!$K$703=0,"",[2]对账明细接口!$K$703),"")</f>
        <v/>
      </c>
      <c r="L703" s="16" t="str">
        <f>IFERROR(IF([2]对账明细接口!$L$703=0,"",[2]对账明细接口!$L$703),"")</f>
        <v/>
      </c>
      <c r="M703" s="16" t="str">
        <f>IFERROR(IF([2]对账明细接口!$M$703=0,"",[2]对账明细接口!$M$703),"")</f>
        <v/>
      </c>
      <c r="N703" s="19">
        <f t="shared" si="60"/>
        <v>0</v>
      </c>
      <c r="O703" s="19">
        <f t="shared" si="61"/>
        <v>165</v>
      </c>
      <c r="S703" s="20" t="str">
        <f>IFERROR(IF([2]对账明细接口!$N703=0,"",[2]对账明细接口!$N703),"")</f>
        <v/>
      </c>
      <c r="T703" s="21" t="str">
        <f>IFERROR(IF([2]对账明细接口!$O703=0,"",[2]对账明细接口!$O703),"")</f>
        <v/>
      </c>
      <c r="U703" s="21" t="str">
        <f>IFERROR(IF([2]对账明细接口!$P703=0,"",[2]对账明细接口!$P703),"")</f>
        <v/>
      </c>
      <c r="V703" s="21" t="str">
        <f>IFERROR(IF([2]对账明细接口!$Q703=0,"",[2]对账明细接口!$Q703),"")</f>
        <v/>
      </c>
      <c r="W703" s="20" t="str">
        <f>IFERROR(IF([2]对账明细接口!$R703=0,"",[2]对账明细接口!$R703),"")</f>
        <v/>
      </c>
      <c r="X703" s="20" t="str">
        <f>IFERROR(IF([2]对账明细接口!$S703=0,"",[2]对账明细接口!$S703),"")</f>
        <v/>
      </c>
      <c r="Y703" s="20" t="str">
        <f t="shared" si="62"/>
        <v/>
      </c>
      <c r="Z703" s="20" t="str">
        <f t="shared" si="63"/>
        <v/>
      </c>
      <c r="AA703" s="20" t="str">
        <f t="shared" si="64"/>
        <v/>
      </c>
      <c r="AB703" s="20" t="str">
        <f t="shared" si="65"/>
        <v/>
      </c>
    </row>
    <row r="704" customHeight="1" spans="1:28">
      <c r="A704" s="14">
        <v>704</v>
      </c>
      <c r="B704" s="15" t="str">
        <f>IFERROR(IF([2]对账明细接口!$B$704=0,"",[2]对账明细接口!$B$704),"")</f>
        <v/>
      </c>
      <c r="C704" s="16" t="str">
        <f>IFERROR(IF([2]对账明细接口!$C$704=0,"",[2]对账明细接口!$C$704),"")</f>
        <v/>
      </c>
      <c r="D704" s="16" t="str">
        <f>IFERROR(IF([2]对账明细接口!$D$704=0,"",[2]对账明细接口!$D$704),"")</f>
        <v/>
      </c>
      <c r="E704" s="16" t="str">
        <f>IFERROR(IF([2]对账明细接口!$E$704=0,"",[2]对账明细接口!$E$704),"")</f>
        <v/>
      </c>
      <c r="F704" s="16" t="str">
        <f>IFERROR(IF([2]对账明细接口!$F$704=0,"",[2]对账明细接口!$F$704),"")</f>
        <v/>
      </c>
      <c r="G704" s="16" t="str">
        <f>IFERROR(IF([2]对账明细接口!$G$704=0,"",[2]对账明细接口!$G$704),"")</f>
        <v/>
      </c>
      <c r="H704" s="17" t="str">
        <f>IFERROR(IF([2]对账明细接口!$H$704=0,"",[2]对账明细接口!$H$704),"")</f>
        <v/>
      </c>
      <c r="I704" s="16" t="str">
        <f>IFERROR(IF([2]对账明细接口!$I$704=0,"",[2]对账明细接口!$I$704),"")</f>
        <v/>
      </c>
      <c r="J704" s="18" t="str">
        <f>IFERROR(IF([2]对账明细接口!$J$704=0,"",[2]对账明细接口!$J$704),"")</f>
        <v/>
      </c>
      <c r="K704" s="18" t="str">
        <f>IFERROR(IF([2]对账明细接口!$K$704=0,"",[2]对账明细接口!$K$704),"")</f>
        <v/>
      </c>
      <c r="L704" s="16" t="str">
        <f>IFERROR(IF([2]对账明细接口!$L$704=0,"",[2]对账明细接口!$L$704),"")</f>
        <v/>
      </c>
      <c r="M704" s="16" t="str">
        <f>IFERROR(IF([2]对账明细接口!$M$704=0,"",[2]对账明细接口!$M$704),"")</f>
        <v/>
      </c>
      <c r="N704" s="19">
        <f t="shared" si="60"/>
        <v>0</v>
      </c>
      <c r="O704" s="19">
        <f t="shared" si="61"/>
        <v>165</v>
      </c>
      <c r="S704" s="20" t="str">
        <f>IFERROR(IF([2]对账明细接口!$N704=0,"",[2]对账明细接口!$N704),"")</f>
        <v/>
      </c>
      <c r="T704" s="21" t="str">
        <f>IFERROR(IF([2]对账明细接口!$O704=0,"",[2]对账明细接口!$O704),"")</f>
        <v/>
      </c>
      <c r="U704" s="21" t="str">
        <f>IFERROR(IF([2]对账明细接口!$P704=0,"",[2]对账明细接口!$P704),"")</f>
        <v/>
      </c>
      <c r="V704" s="21" t="str">
        <f>IFERROR(IF([2]对账明细接口!$Q704=0,"",[2]对账明细接口!$Q704),"")</f>
        <v/>
      </c>
      <c r="W704" s="20" t="str">
        <f>IFERROR(IF([2]对账明细接口!$R704=0,"",[2]对账明细接口!$R704),"")</f>
        <v/>
      </c>
      <c r="X704" s="20" t="str">
        <f>IFERROR(IF([2]对账明细接口!$S704=0,"",[2]对账明细接口!$S704),"")</f>
        <v/>
      </c>
      <c r="Y704" s="20" t="str">
        <f t="shared" si="62"/>
        <v/>
      </c>
      <c r="Z704" s="20" t="str">
        <f t="shared" si="63"/>
        <v/>
      </c>
      <c r="AA704" s="20" t="str">
        <f t="shared" si="64"/>
        <v/>
      </c>
      <c r="AB704" s="20" t="str">
        <f t="shared" si="65"/>
        <v/>
      </c>
    </row>
    <row r="705" customHeight="1" spans="1:28">
      <c r="A705" s="14">
        <v>705</v>
      </c>
      <c r="B705" s="15" t="str">
        <f>IFERROR(IF([2]对账明细接口!$B$705=0,"",[2]对账明细接口!$B$705),"")</f>
        <v/>
      </c>
      <c r="C705" s="16" t="str">
        <f>IFERROR(IF([2]对账明细接口!$C$705=0,"",[2]对账明细接口!$C$705),"")</f>
        <v/>
      </c>
      <c r="D705" s="16" t="str">
        <f>IFERROR(IF([2]对账明细接口!$D$705=0,"",[2]对账明细接口!$D$705),"")</f>
        <v/>
      </c>
      <c r="E705" s="16" t="str">
        <f>IFERROR(IF([2]对账明细接口!$E$705=0,"",[2]对账明细接口!$E$705),"")</f>
        <v/>
      </c>
      <c r="F705" s="16" t="str">
        <f>IFERROR(IF([2]对账明细接口!$F$705=0,"",[2]对账明细接口!$F$705),"")</f>
        <v/>
      </c>
      <c r="G705" s="16" t="str">
        <f>IFERROR(IF([2]对账明细接口!$G$705=0,"",[2]对账明细接口!$G$705),"")</f>
        <v/>
      </c>
      <c r="H705" s="17" t="str">
        <f>IFERROR(IF([2]对账明细接口!$H$705=0,"",[2]对账明细接口!$H$705),"")</f>
        <v/>
      </c>
      <c r="I705" s="16" t="str">
        <f>IFERROR(IF([2]对账明细接口!$I$705=0,"",[2]对账明细接口!$I$705),"")</f>
        <v/>
      </c>
      <c r="J705" s="18" t="str">
        <f>IFERROR(IF([2]对账明细接口!$J$705=0,"",[2]对账明细接口!$J$705),"")</f>
        <v/>
      </c>
      <c r="K705" s="18" t="str">
        <f>IFERROR(IF([2]对账明细接口!$K$705=0,"",[2]对账明细接口!$K$705),"")</f>
        <v/>
      </c>
      <c r="L705" s="16" t="str">
        <f>IFERROR(IF([2]对账明细接口!$L$705=0,"",[2]对账明细接口!$L$705),"")</f>
        <v/>
      </c>
      <c r="M705" s="16" t="str">
        <f>IFERROR(IF([2]对账明细接口!$M$705=0,"",[2]对账明细接口!$M$705),"")</f>
        <v/>
      </c>
      <c r="N705" s="19">
        <f t="shared" si="60"/>
        <v>0</v>
      </c>
      <c r="O705" s="19">
        <f t="shared" si="61"/>
        <v>165</v>
      </c>
      <c r="S705" s="20" t="str">
        <f>IFERROR(IF([2]对账明细接口!$N705=0,"",[2]对账明细接口!$N705),"")</f>
        <v/>
      </c>
      <c r="T705" s="21" t="str">
        <f>IFERROR(IF([2]对账明细接口!$O705=0,"",[2]对账明细接口!$O705),"")</f>
        <v/>
      </c>
      <c r="U705" s="21" t="str">
        <f>IFERROR(IF([2]对账明细接口!$P705=0,"",[2]对账明细接口!$P705),"")</f>
        <v/>
      </c>
      <c r="V705" s="21" t="str">
        <f>IFERROR(IF([2]对账明细接口!$Q705=0,"",[2]对账明细接口!$Q705),"")</f>
        <v/>
      </c>
      <c r="W705" s="20" t="str">
        <f>IFERROR(IF([2]对账明细接口!$R705=0,"",[2]对账明细接口!$R705),"")</f>
        <v/>
      </c>
      <c r="X705" s="20" t="str">
        <f>IFERROR(IF([2]对账明细接口!$S705=0,"",[2]对账明细接口!$S705),"")</f>
        <v/>
      </c>
      <c r="Y705" s="20" t="str">
        <f t="shared" si="62"/>
        <v/>
      </c>
      <c r="Z705" s="20" t="str">
        <f t="shared" si="63"/>
        <v/>
      </c>
      <c r="AA705" s="20" t="str">
        <f t="shared" si="64"/>
        <v/>
      </c>
      <c r="AB705" s="20" t="str">
        <f t="shared" si="65"/>
        <v/>
      </c>
    </row>
    <row r="706" customHeight="1" spans="1:28">
      <c r="A706" s="14">
        <v>706</v>
      </c>
      <c r="B706" s="15" t="str">
        <f>IFERROR(IF([2]对账明细接口!$B$706=0,"",[2]对账明细接口!$B$706),"")</f>
        <v/>
      </c>
      <c r="C706" s="16" t="str">
        <f>IFERROR(IF([2]对账明细接口!$C$706=0,"",[2]对账明细接口!$C$706),"")</f>
        <v/>
      </c>
      <c r="D706" s="16" t="str">
        <f>IFERROR(IF([2]对账明细接口!$D$706=0,"",[2]对账明细接口!$D$706),"")</f>
        <v/>
      </c>
      <c r="E706" s="16" t="str">
        <f>IFERROR(IF([2]对账明细接口!$E$706=0,"",[2]对账明细接口!$E$706),"")</f>
        <v/>
      </c>
      <c r="F706" s="16" t="str">
        <f>IFERROR(IF([2]对账明细接口!$F$706=0,"",[2]对账明细接口!$F$706),"")</f>
        <v/>
      </c>
      <c r="G706" s="16" t="str">
        <f>IFERROR(IF([2]对账明细接口!$G$706=0,"",[2]对账明细接口!$G$706),"")</f>
        <v/>
      </c>
      <c r="H706" s="17" t="str">
        <f>IFERROR(IF([2]对账明细接口!$H$706=0,"",[2]对账明细接口!$H$706),"")</f>
        <v/>
      </c>
      <c r="I706" s="16" t="str">
        <f>IFERROR(IF([2]对账明细接口!$I$706=0,"",[2]对账明细接口!$I$706),"")</f>
        <v/>
      </c>
      <c r="J706" s="18" t="str">
        <f>IFERROR(IF([2]对账明细接口!$J$706=0,"",[2]对账明细接口!$J$706),"")</f>
        <v/>
      </c>
      <c r="K706" s="18" t="str">
        <f>IFERROR(IF([2]对账明细接口!$K$706=0,"",[2]对账明细接口!$K$706),"")</f>
        <v/>
      </c>
      <c r="L706" s="16" t="str">
        <f>IFERROR(IF([2]对账明细接口!$L$706=0,"",[2]对账明细接口!$L$706),"")</f>
        <v/>
      </c>
      <c r="M706" s="16" t="str">
        <f>IFERROR(IF([2]对账明细接口!$M$706=0,"",[2]对账明细接口!$M$706),"")</f>
        <v/>
      </c>
      <c r="N706" s="19">
        <f t="shared" si="60"/>
        <v>0</v>
      </c>
      <c r="O706" s="19">
        <f t="shared" si="61"/>
        <v>165</v>
      </c>
      <c r="S706" s="20" t="str">
        <f>IFERROR(IF([2]对账明细接口!$N706=0,"",[2]对账明细接口!$N706),"")</f>
        <v/>
      </c>
      <c r="T706" s="21" t="str">
        <f>IFERROR(IF([2]对账明细接口!$O706=0,"",[2]对账明细接口!$O706),"")</f>
        <v/>
      </c>
      <c r="U706" s="21" t="str">
        <f>IFERROR(IF([2]对账明细接口!$P706=0,"",[2]对账明细接口!$P706),"")</f>
        <v/>
      </c>
      <c r="V706" s="21" t="str">
        <f>IFERROR(IF([2]对账明细接口!$Q706=0,"",[2]对账明细接口!$Q706),"")</f>
        <v/>
      </c>
      <c r="W706" s="20" t="str">
        <f>IFERROR(IF([2]对账明细接口!$R706=0,"",[2]对账明细接口!$R706),"")</f>
        <v/>
      </c>
      <c r="X706" s="20" t="str">
        <f>IFERROR(IF([2]对账明细接口!$S706=0,"",[2]对账明细接口!$S706),"")</f>
        <v/>
      </c>
      <c r="Y706" s="20" t="str">
        <f t="shared" si="62"/>
        <v/>
      </c>
      <c r="Z706" s="20" t="str">
        <f t="shared" si="63"/>
        <v/>
      </c>
      <c r="AA706" s="20" t="str">
        <f t="shared" si="64"/>
        <v/>
      </c>
      <c r="AB706" s="20" t="str">
        <f t="shared" si="65"/>
        <v/>
      </c>
    </row>
    <row r="707" customHeight="1" spans="1:28">
      <c r="A707" s="14">
        <v>707</v>
      </c>
      <c r="B707" s="15" t="str">
        <f>IFERROR(IF([2]对账明细接口!$B$707=0,"",[2]对账明细接口!$B$707),"")</f>
        <v/>
      </c>
      <c r="C707" s="16" t="str">
        <f>IFERROR(IF([2]对账明细接口!$C$707=0,"",[2]对账明细接口!$C$707),"")</f>
        <v/>
      </c>
      <c r="D707" s="16" t="str">
        <f>IFERROR(IF([2]对账明细接口!$D$707=0,"",[2]对账明细接口!$D$707),"")</f>
        <v/>
      </c>
      <c r="E707" s="16" t="str">
        <f>IFERROR(IF([2]对账明细接口!$E$707=0,"",[2]对账明细接口!$E$707),"")</f>
        <v/>
      </c>
      <c r="F707" s="16" t="str">
        <f>IFERROR(IF([2]对账明细接口!$F$707=0,"",[2]对账明细接口!$F$707),"")</f>
        <v/>
      </c>
      <c r="G707" s="16" t="str">
        <f>IFERROR(IF([2]对账明细接口!$G$707=0,"",[2]对账明细接口!$G$707),"")</f>
        <v/>
      </c>
      <c r="H707" s="17" t="str">
        <f>IFERROR(IF([2]对账明细接口!$H$707=0,"",[2]对账明细接口!$H$707),"")</f>
        <v/>
      </c>
      <c r="I707" s="16" t="str">
        <f>IFERROR(IF([2]对账明细接口!$I$707=0,"",[2]对账明细接口!$I$707),"")</f>
        <v/>
      </c>
      <c r="J707" s="18" t="str">
        <f>IFERROR(IF([2]对账明细接口!$J$707=0,"",[2]对账明细接口!$J$707),"")</f>
        <v/>
      </c>
      <c r="K707" s="18" t="str">
        <f>IFERROR(IF([2]对账明细接口!$K$707=0,"",[2]对账明细接口!$K$707),"")</f>
        <v/>
      </c>
      <c r="L707" s="16" t="str">
        <f>IFERROR(IF([2]对账明细接口!$L$707=0,"",[2]对账明细接口!$L$707),"")</f>
        <v/>
      </c>
      <c r="M707" s="16" t="str">
        <f>IFERROR(IF([2]对账明细接口!$M$707=0,"",[2]对账明细接口!$M$707),"")</f>
        <v/>
      </c>
      <c r="N707" s="19">
        <f t="shared" si="60"/>
        <v>0</v>
      </c>
      <c r="O707" s="19">
        <f t="shared" si="61"/>
        <v>165</v>
      </c>
      <c r="S707" s="20" t="str">
        <f>IFERROR(IF([2]对账明细接口!$N707=0,"",[2]对账明细接口!$N707),"")</f>
        <v/>
      </c>
      <c r="T707" s="21" t="str">
        <f>IFERROR(IF([2]对账明细接口!$O707=0,"",[2]对账明细接口!$O707),"")</f>
        <v/>
      </c>
      <c r="U707" s="21" t="str">
        <f>IFERROR(IF([2]对账明细接口!$P707=0,"",[2]对账明细接口!$P707),"")</f>
        <v/>
      </c>
      <c r="V707" s="21" t="str">
        <f>IFERROR(IF([2]对账明细接口!$Q707=0,"",[2]对账明细接口!$Q707),"")</f>
        <v/>
      </c>
      <c r="W707" s="20" t="str">
        <f>IFERROR(IF([2]对账明细接口!$R707=0,"",[2]对账明细接口!$R707),"")</f>
        <v/>
      </c>
      <c r="X707" s="20" t="str">
        <f>IFERROR(IF([2]对账明细接口!$S707=0,"",[2]对账明细接口!$S707),"")</f>
        <v/>
      </c>
      <c r="Y707" s="20" t="str">
        <f t="shared" si="62"/>
        <v/>
      </c>
      <c r="Z707" s="20" t="str">
        <f t="shared" si="63"/>
        <v/>
      </c>
      <c r="AA707" s="20" t="str">
        <f t="shared" si="64"/>
        <v/>
      </c>
      <c r="AB707" s="20" t="str">
        <f t="shared" si="65"/>
        <v/>
      </c>
    </row>
    <row r="708" customHeight="1" spans="1:28">
      <c r="A708" s="14">
        <v>708</v>
      </c>
      <c r="B708" s="15" t="str">
        <f>IFERROR(IF([2]对账明细接口!$B$708=0,"",[2]对账明细接口!$B$708),"")</f>
        <v/>
      </c>
      <c r="C708" s="16" t="str">
        <f>IFERROR(IF([2]对账明细接口!$C$708=0,"",[2]对账明细接口!$C$708),"")</f>
        <v/>
      </c>
      <c r="D708" s="16" t="str">
        <f>IFERROR(IF([2]对账明细接口!$D$708=0,"",[2]对账明细接口!$D$708),"")</f>
        <v/>
      </c>
      <c r="E708" s="16" t="str">
        <f>IFERROR(IF([2]对账明细接口!$E$708=0,"",[2]对账明细接口!$E$708),"")</f>
        <v/>
      </c>
      <c r="F708" s="16" t="str">
        <f>IFERROR(IF([2]对账明细接口!$F$708=0,"",[2]对账明细接口!$F$708),"")</f>
        <v/>
      </c>
      <c r="G708" s="16" t="str">
        <f>IFERROR(IF([2]对账明细接口!$G$708=0,"",[2]对账明细接口!$G$708),"")</f>
        <v/>
      </c>
      <c r="H708" s="17" t="str">
        <f>IFERROR(IF([2]对账明细接口!$H$708=0,"",[2]对账明细接口!$H$708),"")</f>
        <v/>
      </c>
      <c r="I708" s="16" t="str">
        <f>IFERROR(IF([2]对账明细接口!$I$708=0,"",[2]对账明细接口!$I$708),"")</f>
        <v/>
      </c>
      <c r="J708" s="18" t="str">
        <f>IFERROR(IF([2]对账明细接口!$J$708=0,"",[2]对账明细接口!$J$708),"")</f>
        <v/>
      </c>
      <c r="K708" s="18" t="str">
        <f>IFERROR(IF([2]对账明细接口!$K$708=0,"",[2]对账明细接口!$K$708),"")</f>
        <v/>
      </c>
      <c r="L708" s="16" t="str">
        <f>IFERROR(IF([2]对账明细接口!$L$708=0,"",[2]对账明细接口!$L$708),"")</f>
        <v/>
      </c>
      <c r="M708" s="16" t="str">
        <f>IFERROR(IF([2]对账明细接口!$M$708=0,"",[2]对账明细接口!$M$708),"")</f>
        <v/>
      </c>
      <c r="N708" s="19">
        <f t="shared" ref="N708:N771" si="66">IF($C708="",0,1)</f>
        <v>0</v>
      </c>
      <c r="O708" s="19">
        <f t="shared" ref="O708:O771" si="67">N(O707)+$N708</f>
        <v>165</v>
      </c>
      <c r="S708" s="20" t="str">
        <f>IFERROR(IF([2]对账明细接口!$N708=0,"",[2]对账明细接口!$N708),"")</f>
        <v/>
      </c>
      <c r="T708" s="21" t="str">
        <f>IFERROR(IF([2]对账明细接口!$O708=0,"",[2]对账明细接口!$O708),"")</f>
        <v/>
      </c>
      <c r="U708" s="21" t="str">
        <f>IFERROR(IF([2]对账明细接口!$P708=0,"",[2]对账明细接口!$P708),"")</f>
        <v/>
      </c>
      <c r="V708" s="21" t="str">
        <f>IFERROR(IF([2]对账明细接口!$Q708=0,"",[2]对账明细接口!$Q708),"")</f>
        <v/>
      </c>
      <c r="W708" s="20" t="str">
        <f>IFERROR(IF([2]对账明细接口!$R708=0,"",[2]对账明细接口!$R708),"")</f>
        <v/>
      </c>
      <c r="X708" s="20" t="str">
        <f>IFERROR(IF([2]对账明细接口!$S708=0,"",[2]对账明细接口!$S708),"")</f>
        <v/>
      </c>
      <c r="Y708" s="20" t="str">
        <f t="shared" ref="Y708:Y771" si="68">""</f>
        <v/>
      </c>
      <c r="Z708" s="20" t="str">
        <f t="shared" ref="Z708:Z771" si="69">""</f>
        <v/>
      </c>
      <c r="AA708" s="20" t="str">
        <f t="shared" ref="AA708:AA771" si="70">""</f>
        <v/>
      </c>
      <c r="AB708" s="20" t="str">
        <f t="shared" ref="AB708:AB771" si="71">""</f>
        <v/>
      </c>
    </row>
    <row r="709" customHeight="1" spans="1:28">
      <c r="A709" s="14">
        <v>709</v>
      </c>
      <c r="B709" s="15" t="str">
        <f>IFERROR(IF([2]对账明细接口!$B$709=0,"",[2]对账明细接口!$B$709),"")</f>
        <v/>
      </c>
      <c r="C709" s="16" t="str">
        <f>IFERROR(IF([2]对账明细接口!$C$709=0,"",[2]对账明细接口!$C$709),"")</f>
        <v/>
      </c>
      <c r="D709" s="16" t="str">
        <f>IFERROR(IF([2]对账明细接口!$D$709=0,"",[2]对账明细接口!$D$709),"")</f>
        <v/>
      </c>
      <c r="E709" s="16" t="str">
        <f>IFERROR(IF([2]对账明细接口!$E$709=0,"",[2]对账明细接口!$E$709),"")</f>
        <v/>
      </c>
      <c r="F709" s="16" t="str">
        <f>IFERROR(IF([2]对账明细接口!$F$709=0,"",[2]对账明细接口!$F$709),"")</f>
        <v/>
      </c>
      <c r="G709" s="16" t="str">
        <f>IFERROR(IF([2]对账明细接口!$G$709=0,"",[2]对账明细接口!$G$709),"")</f>
        <v/>
      </c>
      <c r="H709" s="17" t="str">
        <f>IFERROR(IF([2]对账明细接口!$H$709=0,"",[2]对账明细接口!$H$709),"")</f>
        <v/>
      </c>
      <c r="I709" s="16" t="str">
        <f>IFERROR(IF([2]对账明细接口!$I$709=0,"",[2]对账明细接口!$I$709),"")</f>
        <v/>
      </c>
      <c r="J709" s="18" t="str">
        <f>IFERROR(IF([2]对账明细接口!$J$709=0,"",[2]对账明细接口!$J$709),"")</f>
        <v/>
      </c>
      <c r="K709" s="18" t="str">
        <f>IFERROR(IF([2]对账明细接口!$K$709=0,"",[2]对账明细接口!$K$709),"")</f>
        <v/>
      </c>
      <c r="L709" s="16" t="str">
        <f>IFERROR(IF([2]对账明细接口!$L$709=0,"",[2]对账明细接口!$L$709),"")</f>
        <v/>
      </c>
      <c r="M709" s="16" t="str">
        <f>IFERROR(IF([2]对账明细接口!$M$709=0,"",[2]对账明细接口!$M$709),"")</f>
        <v/>
      </c>
      <c r="N709" s="19">
        <f t="shared" si="66"/>
        <v>0</v>
      </c>
      <c r="O709" s="19">
        <f t="shared" si="67"/>
        <v>165</v>
      </c>
      <c r="S709" s="20" t="str">
        <f>IFERROR(IF([2]对账明细接口!$N709=0,"",[2]对账明细接口!$N709),"")</f>
        <v/>
      </c>
      <c r="T709" s="21" t="str">
        <f>IFERROR(IF([2]对账明细接口!$O709=0,"",[2]对账明细接口!$O709),"")</f>
        <v/>
      </c>
      <c r="U709" s="21" t="str">
        <f>IFERROR(IF([2]对账明细接口!$P709=0,"",[2]对账明细接口!$P709),"")</f>
        <v/>
      </c>
      <c r="V709" s="21" t="str">
        <f>IFERROR(IF([2]对账明细接口!$Q709=0,"",[2]对账明细接口!$Q709),"")</f>
        <v/>
      </c>
      <c r="W709" s="20" t="str">
        <f>IFERROR(IF([2]对账明细接口!$R709=0,"",[2]对账明细接口!$R709),"")</f>
        <v/>
      </c>
      <c r="X709" s="20" t="str">
        <f>IFERROR(IF([2]对账明细接口!$S709=0,"",[2]对账明细接口!$S709),"")</f>
        <v/>
      </c>
      <c r="Y709" s="20" t="str">
        <f t="shared" si="68"/>
        <v/>
      </c>
      <c r="Z709" s="20" t="str">
        <f t="shared" si="69"/>
        <v/>
      </c>
      <c r="AA709" s="20" t="str">
        <f t="shared" si="70"/>
        <v/>
      </c>
      <c r="AB709" s="20" t="str">
        <f t="shared" si="71"/>
        <v/>
      </c>
    </row>
    <row r="710" customHeight="1" spans="1:28">
      <c r="A710" s="14">
        <v>710</v>
      </c>
      <c r="B710" s="15" t="str">
        <f>IFERROR(IF([2]对账明细接口!$B$710=0,"",[2]对账明细接口!$B$710),"")</f>
        <v/>
      </c>
      <c r="C710" s="16" t="str">
        <f>IFERROR(IF([2]对账明细接口!$C$710=0,"",[2]对账明细接口!$C$710),"")</f>
        <v/>
      </c>
      <c r="D710" s="16" t="str">
        <f>IFERROR(IF([2]对账明细接口!$D$710=0,"",[2]对账明细接口!$D$710),"")</f>
        <v/>
      </c>
      <c r="E710" s="16" t="str">
        <f>IFERROR(IF([2]对账明细接口!$E$710=0,"",[2]对账明细接口!$E$710),"")</f>
        <v/>
      </c>
      <c r="F710" s="16" t="str">
        <f>IFERROR(IF([2]对账明细接口!$F$710=0,"",[2]对账明细接口!$F$710),"")</f>
        <v/>
      </c>
      <c r="G710" s="16" t="str">
        <f>IFERROR(IF([2]对账明细接口!$G$710=0,"",[2]对账明细接口!$G$710),"")</f>
        <v/>
      </c>
      <c r="H710" s="17" t="str">
        <f>IFERROR(IF([2]对账明细接口!$H$710=0,"",[2]对账明细接口!$H$710),"")</f>
        <v/>
      </c>
      <c r="I710" s="16" t="str">
        <f>IFERROR(IF([2]对账明细接口!$I$710=0,"",[2]对账明细接口!$I$710),"")</f>
        <v/>
      </c>
      <c r="J710" s="18" t="str">
        <f>IFERROR(IF([2]对账明细接口!$J$710=0,"",[2]对账明细接口!$J$710),"")</f>
        <v/>
      </c>
      <c r="K710" s="18" t="str">
        <f>IFERROR(IF([2]对账明细接口!$K$710=0,"",[2]对账明细接口!$K$710),"")</f>
        <v/>
      </c>
      <c r="L710" s="16" t="str">
        <f>IFERROR(IF([2]对账明细接口!$L$710=0,"",[2]对账明细接口!$L$710),"")</f>
        <v/>
      </c>
      <c r="M710" s="16" t="str">
        <f>IFERROR(IF([2]对账明细接口!$M$710=0,"",[2]对账明细接口!$M$710),"")</f>
        <v/>
      </c>
      <c r="N710" s="19">
        <f t="shared" si="66"/>
        <v>0</v>
      </c>
      <c r="O710" s="19">
        <f t="shared" si="67"/>
        <v>165</v>
      </c>
      <c r="S710" s="20" t="str">
        <f>IFERROR(IF([2]对账明细接口!$N710=0,"",[2]对账明细接口!$N710),"")</f>
        <v/>
      </c>
      <c r="T710" s="21" t="str">
        <f>IFERROR(IF([2]对账明细接口!$O710=0,"",[2]对账明细接口!$O710),"")</f>
        <v/>
      </c>
      <c r="U710" s="21" t="str">
        <f>IFERROR(IF([2]对账明细接口!$P710=0,"",[2]对账明细接口!$P710),"")</f>
        <v/>
      </c>
      <c r="V710" s="21" t="str">
        <f>IFERROR(IF([2]对账明细接口!$Q710=0,"",[2]对账明细接口!$Q710),"")</f>
        <v/>
      </c>
      <c r="W710" s="20" t="str">
        <f>IFERROR(IF([2]对账明细接口!$R710=0,"",[2]对账明细接口!$R710),"")</f>
        <v/>
      </c>
      <c r="X710" s="20" t="str">
        <f>IFERROR(IF([2]对账明细接口!$S710=0,"",[2]对账明细接口!$S710),"")</f>
        <v/>
      </c>
      <c r="Y710" s="20" t="str">
        <f t="shared" si="68"/>
        <v/>
      </c>
      <c r="Z710" s="20" t="str">
        <f t="shared" si="69"/>
        <v/>
      </c>
      <c r="AA710" s="20" t="str">
        <f t="shared" si="70"/>
        <v/>
      </c>
      <c r="AB710" s="20" t="str">
        <f t="shared" si="71"/>
        <v/>
      </c>
    </row>
    <row r="711" customHeight="1" spans="1:28">
      <c r="A711" s="14">
        <v>711</v>
      </c>
      <c r="B711" s="15" t="str">
        <f>IFERROR(IF([2]对账明细接口!$B$711=0,"",[2]对账明细接口!$B$711),"")</f>
        <v/>
      </c>
      <c r="C711" s="16" t="str">
        <f>IFERROR(IF([2]对账明细接口!$C$711=0,"",[2]对账明细接口!$C$711),"")</f>
        <v/>
      </c>
      <c r="D711" s="16" t="str">
        <f>IFERROR(IF([2]对账明细接口!$D$711=0,"",[2]对账明细接口!$D$711),"")</f>
        <v/>
      </c>
      <c r="E711" s="16" t="str">
        <f>IFERROR(IF([2]对账明细接口!$E$711=0,"",[2]对账明细接口!$E$711),"")</f>
        <v/>
      </c>
      <c r="F711" s="16" t="str">
        <f>IFERROR(IF([2]对账明细接口!$F$711=0,"",[2]对账明细接口!$F$711),"")</f>
        <v/>
      </c>
      <c r="G711" s="16" t="str">
        <f>IFERROR(IF([2]对账明细接口!$G$711=0,"",[2]对账明细接口!$G$711),"")</f>
        <v/>
      </c>
      <c r="H711" s="17" t="str">
        <f>IFERROR(IF([2]对账明细接口!$H$711=0,"",[2]对账明细接口!$H$711),"")</f>
        <v/>
      </c>
      <c r="I711" s="16" t="str">
        <f>IFERROR(IF([2]对账明细接口!$I$711=0,"",[2]对账明细接口!$I$711),"")</f>
        <v/>
      </c>
      <c r="J711" s="18" t="str">
        <f>IFERROR(IF([2]对账明细接口!$J$711=0,"",[2]对账明细接口!$J$711),"")</f>
        <v/>
      </c>
      <c r="K711" s="18" t="str">
        <f>IFERROR(IF([2]对账明细接口!$K$711=0,"",[2]对账明细接口!$K$711),"")</f>
        <v/>
      </c>
      <c r="L711" s="16" t="str">
        <f>IFERROR(IF([2]对账明细接口!$L$711=0,"",[2]对账明细接口!$L$711),"")</f>
        <v/>
      </c>
      <c r="M711" s="16" t="str">
        <f>IFERROR(IF([2]对账明细接口!$M$711=0,"",[2]对账明细接口!$M$711),"")</f>
        <v/>
      </c>
      <c r="N711" s="19">
        <f t="shared" si="66"/>
        <v>0</v>
      </c>
      <c r="O711" s="19">
        <f t="shared" si="67"/>
        <v>165</v>
      </c>
      <c r="S711" s="20" t="str">
        <f>IFERROR(IF([2]对账明细接口!$N711=0,"",[2]对账明细接口!$N711),"")</f>
        <v/>
      </c>
      <c r="T711" s="21" t="str">
        <f>IFERROR(IF([2]对账明细接口!$O711=0,"",[2]对账明细接口!$O711),"")</f>
        <v/>
      </c>
      <c r="U711" s="21" t="str">
        <f>IFERROR(IF([2]对账明细接口!$P711=0,"",[2]对账明细接口!$P711),"")</f>
        <v/>
      </c>
      <c r="V711" s="21" t="str">
        <f>IFERROR(IF([2]对账明细接口!$Q711=0,"",[2]对账明细接口!$Q711),"")</f>
        <v/>
      </c>
      <c r="W711" s="20" t="str">
        <f>IFERROR(IF([2]对账明细接口!$R711=0,"",[2]对账明细接口!$R711),"")</f>
        <v/>
      </c>
      <c r="X711" s="20" t="str">
        <f>IFERROR(IF([2]对账明细接口!$S711=0,"",[2]对账明细接口!$S711),"")</f>
        <v/>
      </c>
      <c r="Y711" s="20" t="str">
        <f t="shared" si="68"/>
        <v/>
      </c>
      <c r="Z711" s="20" t="str">
        <f t="shared" si="69"/>
        <v/>
      </c>
      <c r="AA711" s="20" t="str">
        <f t="shared" si="70"/>
        <v/>
      </c>
      <c r="AB711" s="20" t="str">
        <f t="shared" si="71"/>
        <v/>
      </c>
    </row>
    <row r="712" customHeight="1" spans="1:28">
      <c r="A712" s="14">
        <v>712</v>
      </c>
      <c r="B712" s="15" t="str">
        <f>IFERROR(IF([2]对账明细接口!$B$712=0,"",[2]对账明细接口!$B$712),"")</f>
        <v/>
      </c>
      <c r="C712" s="16" t="str">
        <f>IFERROR(IF([2]对账明细接口!$C$712=0,"",[2]对账明细接口!$C$712),"")</f>
        <v/>
      </c>
      <c r="D712" s="16" t="str">
        <f>IFERROR(IF([2]对账明细接口!$D$712=0,"",[2]对账明细接口!$D$712),"")</f>
        <v/>
      </c>
      <c r="E712" s="16" t="str">
        <f>IFERROR(IF([2]对账明细接口!$E$712=0,"",[2]对账明细接口!$E$712),"")</f>
        <v/>
      </c>
      <c r="F712" s="16" t="str">
        <f>IFERROR(IF([2]对账明细接口!$F$712=0,"",[2]对账明细接口!$F$712),"")</f>
        <v/>
      </c>
      <c r="G712" s="16" t="str">
        <f>IFERROR(IF([2]对账明细接口!$G$712=0,"",[2]对账明细接口!$G$712),"")</f>
        <v/>
      </c>
      <c r="H712" s="17" t="str">
        <f>IFERROR(IF([2]对账明细接口!$H$712=0,"",[2]对账明细接口!$H$712),"")</f>
        <v/>
      </c>
      <c r="I712" s="16" t="str">
        <f>IFERROR(IF([2]对账明细接口!$I$712=0,"",[2]对账明细接口!$I$712),"")</f>
        <v/>
      </c>
      <c r="J712" s="18" t="str">
        <f>IFERROR(IF([2]对账明细接口!$J$712=0,"",[2]对账明细接口!$J$712),"")</f>
        <v/>
      </c>
      <c r="K712" s="18" t="str">
        <f>IFERROR(IF([2]对账明细接口!$K$712=0,"",[2]对账明细接口!$K$712),"")</f>
        <v/>
      </c>
      <c r="L712" s="16" t="str">
        <f>IFERROR(IF([2]对账明细接口!$L$712=0,"",[2]对账明细接口!$L$712),"")</f>
        <v/>
      </c>
      <c r="M712" s="16" t="str">
        <f>IFERROR(IF([2]对账明细接口!$M$712=0,"",[2]对账明细接口!$M$712),"")</f>
        <v/>
      </c>
      <c r="N712" s="19">
        <f t="shared" si="66"/>
        <v>0</v>
      </c>
      <c r="O712" s="19">
        <f t="shared" si="67"/>
        <v>165</v>
      </c>
      <c r="S712" s="20" t="str">
        <f>IFERROR(IF([2]对账明细接口!$N712=0,"",[2]对账明细接口!$N712),"")</f>
        <v/>
      </c>
      <c r="T712" s="21" t="str">
        <f>IFERROR(IF([2]对账明细接口!$O712=0,"",[2]对账明细接口!$O712),"")</f>
        <v/>
      </c>
      <c r="U712" s="21" t="str">
        <f>IFERROR(IF([2]对账明细接口!$P712=0,"",[2]对账明细接口!$P712),"")</f>
        <v/>
      </c>
      <c r="V712" s="21" t="str">
        <f>IFERROR(IF([2]对账明细接口!$Q712=0,"",[2]对账明细接口!$Q712),"")</f>
        <v/>
      </c>
      <c r="W712" s="20" t="str">
        <f>IFERROR(IF([2]对账明细接口!$R712=0,"",[2]对账明细接口!$R712),"")</f>
        <v/>
      </c>
      <c r="X712" s="20" t="str">
        <f>IFERROR(IF([2]对账明细接口!$S712=0,"",[2]对账明细接口!$S712),"")</f>
        <v/>
      </c>
      <c r="Y712" s="20" t="str">
        <f t="shared" si="68"/>
        <v/>
      </c>
      <c r="Z712" s="20" t="str">
        <f t="shared" si="69"/>
        <v/>
      </c>
      <c r="AA712" s="20" t="str">
        <f t="shared" si="70"/>
        <v/>
      </c>
      <c r="AB712" s="20" t="str">
        <f t="shared" si="71"/>
        <v/>
      </c>
    </row>
    <row r="713" customHeight="1" spans="1:28">
      <c r="A713" s="14">
        <v>713</v>
      </c>
      <c r="B713" s="15" t="str">
        <f>IFERROR(IF([2]对账明细接口!$B$713=0,"",[2]对账明细接口!$B$713),"")</f>
        <v/>
      </c>
      <c r="C713" s="16" t="str">
        <f>IFERROR(IF([2]对账明细接口!$C$713=0,"",[2]对账明细接口!$C$713),"")</f>
        <v/>
      </c>
      <c r="D713" s="16" t="str">
        <f>IFERROR(IF([2]对账明细接口!$D$713=0,"",[2]对账明细接口!$D$713),"")</f>
        <v/>
      </c>
      <c r="E713" s="16" t="str">
        <f>IFERROR(IF([2]对账明细接口!$E$713=0,"",[2]对账明细接口!$E$713),"")</f>
        <v/>
      </c>
      <c r="F713" s="16" t="str">
        <f>IFERROR(IF([2]对账明细接口!$F$713=0,"",[2]对账明细接口!$F$713),"")</f>
        <v/>
      </c>
      <c r="G713" s="16" t="str">
        <f>IFERROR(IF([2]对账明细接口!$G$713=0,"",[2]对账明细接口!$G$713),"")</f>
        <v/>
      </c>
      <c r="H713" s="17" t="str">
        <f>IFERROR(IF([2]对账明细接口!$H$713=0,"",[2]对账明细接口!$H$713),"")</f>
        <v/>
      </c>
      <c r="I713" s="16" t="str">
        <f>IFERROR(IF([2]对账明细接口!$I$713=0,"",[2]对账明细接口!$I$713),"")</f>
        <v/>
      </c>
      <c r="J713" s="18" t="str">
        <f>IFERROR(IF([2]对账明细接口!$J$713=0,"",[2]对账明细接口!$J$713),"")</f>
        <v/>
      </c>
      <c r="K713" s="18" t="str">
        <f>IFERROR(IF([2]对账明细接口!$K$713=0,"",[2]对账明细接口!$K$713),"")</f>
        <v/>
      </c>
      <c r="L713" s="16" t="str">
        <f>IFERROR(IF([2]对账明细接口!$L$713=0,"",[2]对账明细接口!$L$713),"")</f>
        <v/>
      </c>
      <c r="M713" s="16" t="str">
        <f>IFERROR(IF([2]对账明细接口!$M$713=0,"",[2]对账明细接口!$M$713),"")</f>
        <v/>
      </c>
      <c r="N713" s="19">
        <f t="shared" si="66"/>
        <v>0</v>
      </c>
      <c r="O713" s="19">
        <f t="shared" si="67"/>
        <v>165</v>
      </c>
      <c r="S713" s="20" t="str">
        <f>IFERROR(IF([2]对账明细接口!$N713=0,"",[2]对账明细接口!$N713),"")</f>
        <v/>
      </c>
      <c r="T713" s="21" t="str">
        <f>IFERROR(IF([2]对账明细接口!$O713=0,"",[2]对账明细接口!$O713),"")</f>
        <v/>
      </c>
      <c r="U713" s="21" t="str">
        <f>IFERROR(IF([2]对账明细接口!$P713=0,"",[2]对账明细接口!$P713),"")</f>
        <v/>
      </c>
      <c r="V713" s="21" t="str">
        <f>IFERROR(IF([2]对账明细接口!$Q713=0,"",[2]对账明细接口!$Q713),"")</f>
        <v/>
      </c>
      <c r="W713" s="20" t="str">
        <f>IFERROR(IF([2]对账明细接口!$R713=0,"",[2]对账明细接口!$R713),"")</f>
        <v/>
      </c>
      <c r="X713" s="20" t="str">
        <f>IFERROR(IF([2]对账明细接口!$S713=0,"",[2]对账明细接口!$S713),"")</f>
        <v/>
      </c>
      <c r="Y713" s="20" t="str">
        <f t="shared" si="68"/>
        <v/>
      </c>
      <c r="Z713" s="20" t="str">
        <f t="shared" si="69"/>
        <v/>
      </c>
      <c r="AA713" s="20" t="str">
        <f t="shared" si="70"/>
        <v/>
      </c>
      <c r="AB713" s="20" t="str">
        <f t="shared" si="71"/>
        <v/>
      </c>
    </row>
    <row r="714" customHeight="1" spans="1:28">
      <c r="A714" s="14">
        <v>714</v>
      </c>
      <c r="B714" s="15" t="str">
        <f>IFERROR(IF([2]对账明细接口!$B$714=0,"",[2]对账明细接口!$B$714),"")</f>
        <v/>
      </c>
      <c r="C714" s="16" t="str">
        <f>IFERROR(IF([2]对账明细接口!$C$714=0,"",[2]对账明细接口!$C$714),"")</f>
        <v/>
      </c>
      <c r="D714" s="16" t="str">
        <f>IFERROR(IF([2]对账明细接口!$D$714=0,"",[2]对账明细接口!$D$714),"")</f>
        <v/>
      </c>
      <c r="E714" s="16" t="str">
        <f>IFERROR(IF([2]对账明细接口!$E$714=0,"",[2]对账明细接口!$E$714),"")</f>
        <v/>
      </c>
      <c r="F714" s="16" t="str">
        <f>IFERROR(IF([2]对账明细接口!$F$714=0,"",[2]对账明细接口!$F$714),"")</f>
        <v/>
      </c>
      <c r="G714" s="16" t="str">
        <f>IFERROR(IF([2]对账明细接口!$G$714=0,"",[2]对账明细接口!$G$714),"")</f>
        <v/>
      </c>
      <c r="H714" s="17" t="str">
        <f>IFERROR(IF([2]对账明细接口!$H$714=0,"",[2]对账明细接口!$H$714),"")</f>
        <v/>
      </c>
      <c r="I714" s="16" t="str">
        <f>IFERROR(IF([2]对账明细接口!$I$714=0,"",[2]对账明细接口!$I$714),"")</f>
        <v/>
      </c>
      <c r="J714" s="18" t="str">
        <f>IFERROR(IF([2]对账明细接口!$J$714=0,"",[2]对账明细接口!$J$714),"")</f>
        <v/>
      </c>
      <c r="K714" s="18" t="str">
        <f>IFERROR(IF([2]对账明细接口!$K$714=0,"",[2]对账明细接口!$K$714),"")</f>
        <v/>
      </c>
      <c r="L714" s="16" t="str">
        <f>IFERROR(IF([2]对账明细接口!$L$714=0,"",[2]对账明细接口!$L$714),"")</f>
        <v/>
      </c>
      <c r="M714" s="16" t="str">
        <f>IFERROR(IF([2]对账明细接口!$M$714=0,"",[2]对账明细接口!$M$714),"")</f>
        <v/>
      </c>
      <c r="N714" s="19">
        <f t="shared" si="66"/>
        <v>0</v>
      </c>
      <c r="O714" s="19">
        <f t="shared" si="67"/>
        <v>165</v>
      </c>
      <c r="S714" s="20" t="str">
        <f>IFERROR(IF([2]对账明细接口!$N714=0,"",[2]对账明细接口!$N714),"")</f>
        <v/>
      </c>
      <c r="T714" s="21" t="str">
        <f>IFERROR(IF([2]对账明细接口!$O714=0,"",[2]对账明细接口!$O714),"")</f>
        <v/>
      </c>
      <c r="U714" s="21" t="str">
        <f>IFERROR(IF([2]对账明细接口!$P714=0,"",[2]对账明细接口!$P714),"")</f>
        <v/>
      </c>
      <c r="V714" s="21" t="str">
        <f>IFERROR(IF([2]对账明细接口!$Q714=0,"",[2]对账明细接口!$Q714),"")</f>
        <v/>
      </c>
      <c r="W714" s="20" t="str">
        <f>IFERROR(IF([2]对账明细接口!$R714=0,"",[2]对账明细接口!$R714),"")</f>
        <v/>
      </c>
      <c r="X714" s="20" t="str">
        <f>IFERROR(IF([2]对账明细接口!$S714=0,"",[2]对账明细接口!$S714),"")</f>
        <v/>
      </c>
      <c r="Y714" s="20" t="str">
        <f t="shared" si="68"/>
        <v/>
      </c>
      <c r="Z714" s="20" t="str">
        <f t="shared" si="69"/>
        <v/>
      </c>
      <c r="AA714" s="20" t="str">
        <f t="shared" si="70"/>
        <v/>
      </c>
      <c r="AB714" s="20" t="str">
        <f t="shared" si="71"/>
        <v/>
      </c>
    </row>
    <row r="715" customHeight="1" spans="1:28">
      <c r="A715" s="14">
        <v>715</v>
      </c>
      <c r="B715" s="15" t="str">
        <f>IFERROR(IF([2]对账明细接口!$B$715=0,"",[2]对账明细接口!$B$715),"")</f>
        <v/>
      </c>
      <c r="C715" s="16" t="str">
        <f>IFERROR(IF([2]对账明细接口!$C$715=0,"",[2]对账明细接口!$C$715),"")</f>
        <v/>
      </c>
      <c r="D715" s="16" t="str">
        <f>IFERROR(IF([2]对账明细接口!$D$715=0,"",[2]对账明细接口!$D$715),"")</f>
        <v/>
      </c>
      <c r="E715" s="16" t="str">
        <f>IFERROR(IF([2]对账明细接口!$E$715=0,"",[2]对账明细接口!$E$715),"")</f>
        <v/>
      </c>
      <c r="F715" s="16" t="str">
        <f>IFERROR(IF([2]对账明细接口!$F$715=0,"",[2]对账明细接口!$F$715),"")</f>
        <v/>
      </c>
      <c r="G715" s="16" t="str">
        <f>IFERROR(IF([2]对账明细接口!$G$715=0,"",[2]对账明细接口!$G$715),"")</f>
        <v/>
      </c>
      <c r="H715" s="17" t="str">
        <f>IFERROR(IF([2]对账明细接口!$H$715=0,"",[2]对账明细接口!$H$715),"")</f>
        <v/>
      </c>
      <c r="I715" s="16" t="str">
        <f>IFERROR(IF([2]对账明细接口!$I$715=0,"",[2]对账明细接口!$I$715),"")</f>
        <v/>
      </c>
      <c r="J715" s="18" t="str">
        <f>IFERROR(IF([2]对账明细接口!$J$715=0,"",[2]对账明细接口!$J$715),"")</f>
        <v/>
      </c>
      <c r="K715" s="18" t="str">
        <f>IFERROR(IF([2]对账明细接口!$K$715=0,"",[2]对账明细接口!$K$715),"")</f>
        <v/>
      </c>
      <c r="L715" s="16" t="str">
        <f>IFERROR(IF([2]对账明细接口!$L$715=0,"",[2]对账明细接口!$L$715),"")</f>
        <v/>
      </c>
      <c r="M715" s="16" t="str">
        <f>IFERROR(IF([2]对账明细接口!$M$715=0,"",[2]对账明细接口!$M$715),"")</f>
        <v/>
      </c>
      <c r="N715" s="19">
        <f t="shared" si="66"/>
        <v>0</v>
      </c>
      <c r="O715" s="19">
        <f t="shared" si="67"/>
        <v>165</v>
      </c>
      <c r="S715" s="20" t="str">
        <f>IFERROR(IF([2]对账明细接口!$N715=0,"",[2]对账明细接口!$N715),"")</f>
        <v/>
      </c>
      <c r="T715" s="21" t="str">
        <f>IFERROR(IF([2]对账明细接口!$O715=0,"",[2]对账明细接口!$O715),"")</f>
        <v/>
      </c>
      <c r="U715" s="21" t="str">
        <f>IFERROR(IF([2]对账明细接口!$P715=0,"",[2]对账明细接口!$P715),"")</f>
        <v/>
      </c>
      <c r="V715" s="21" t="str">
        <f>IFERROR(IF([2]对账明细接口!$Q715=0,"",[2]对账明细接口!$Q715),"")</f>
        <v/>
      </c>
      <c r="W715" s="20" t="str">
        <f>IFERROR(IF([2]对账明细接口!$R715=0,"",[2]对账明细接口!$R715),"")</f>
        <v/>
      </c>
      <c r="X715" s="20" t="str">
        <f>IFERROR(IF([2]对账明细接口!$S715=0,"",[2]对账明细接口!$S715),"")</f>
        <v/>
      </c>
      <c r="Y715" s="20" t="str">
        <f t="shared" si="68"/>
        <v/>
      </c>
      <c r="Z715" s="20" t="str">
        <f t="shared" si="69"/>
        <v/>
      </c>
      <c r="AA715" s="20" t="str">
        <f t="shared" si="70"/>
        <v/>
      </c>
      <c r="AB715" s="20" t="str">
        <f t="shared" si="71"/>
        <v/>
      </c>
    </row>
    <row r="716" customHeight="1" spans="1:28">
      <c r="A716" s="14">
        <v>716</v>
      </c>
      <c r="B716" s="15" t="str">
        <f>IFERROR(IF([2]对账明细接口!$B$716=0,"",[2]对账明细接口!$B$716),"")</f>
        <v/>
      </c>
      <c r="C716" s="16" t="str">
        <f>IFERROR(IF([2]对账明细接口!$C$716=0,"",[2]对账明细接口!$C$716),"")</f>
        <v/>
      </c>
      <c r="D716" s="16" t="str">
        <f>IFERROR(IF([2]对账明细接口!$D$716=0,"",[2]对账明细接口!$D$716),"")</f>
        <v/>
      </c>
      <c r="E716" s="16" t="str">
        <f>IFERROR(IF([2]对账明细接口!$E$716=0,"",[2]对账明细接口!$E$716),"")</f>
        <v/>
      </c>
      <c r="F716" s="16" t="str">
        <f>IFERROR(IF([2]对账明细接口!$F$716=0,"",[2]对账明细接口!$F$716),"")</f>
        <v/>
      </c>
      <c r="G716" s="16" t="str">
        <f>IFERROR(IF([2]对账明细接口!$G$716=0,"",[2]对账明细接口!$G$716),"")</f>
        <v/>
      </c>
      <c r="H716" s="17" t="str">
        <f>IFERROR(IF([2]对账明细接口!$H$716=0,"",[2]对账明细接口!$H$716),"")</f>
        <v/>
      </c>
      <c r="I716" s="16" t="str">
        <f>IFERROR(IF([2]对账明细接口!$I$716=0,"",[2]对账明细接口!$I$716),"")</f>
        <v/>
      </c>
      <c r="J716" s="18" t="str">
        <f>IFERROR(IF([2]对账明细接口!$J$716=0,"",[2]对账明细接口!$J$716),"")</f>
        <v/>
      </c>
      <c r="K716" s="18" t="str">
        <f>IFERROR(IF([2]对账明细接口!$K$716=0,"",[2]对账明细接口!$K$716),"")</f>
        <v/>
      </c>
      <c r="L716" s="16" t="str">
        <f>IFERROR(IF([2]对账明细接口!$L$716=0,"",[2]对账明细接口!$L$716),"")</f>
        <v/>
      </c>
      <c r="M716" s="16" t="str">
        <f>IFERROR(IF([2]对账明细接口!$M$716=0,"",[2]对账明细接口!$M$716),"")</f>
        <v/>
      </c>
      <c r="N716" s="19">
        <f t="shared" si="66"/>
        <v>0</v>
      </c>
      <c r="O716" s="19">
        <f t="shared" si="67"/>
        <v>165</v>
      </c>
      <c r="S716" s="20" t="str">
        <f>IFERROR(IF([2]对账明细接口!$N716=0,"",[2]对账明细接口!$N716),"")</f>
        <v/>
      </c>
      <c r="T716" s="21" t="str">
        <f>IFERROR(IF([2]对账明细接口!$O716=0,"",[2]对账明细接口!$O716),"")</f>
        <v/>
      </c>
      <c r="U716" s="21" t="str">
        <f>IFERROR(IF([2]对账明细接口!$P716=0,"",[2]对账明细接口!$P716),"")</f>
        <v/>
      </c>
      <c r="V716" s="21" t="str">
        <f>IFERROR(IF([2]对账明细接口!$Q716=0,"",[2]对账明细接口!$Q716),"")</f>
        <v/>
      </c>
      <c r="W716" s="20" t="str">
        <f>IFERROR(IF([2]对账明细接口!$R716=0,"",[2]对账明细接口!$R716),"")</f>
        <v/>
      </c>
      <c r="X716" s="20" t="str">
        <f>IFERROR(IF([2]对账明细接口!$S716=0,"",[2]对账明细接口!$S716),"")</f>
        <v/>
      </c>
      <c r="Y716" s="20" t="str">
        <f t="shared" si="68"/>
        <v/>
      </c>
      <c r="Z716" s="20" t="str">
        <f t="shared" si="69"/>
        <v/>
      </c>
      <c r="AA716" s="20" t="str">
        <f t="shared" si="70"/>
        <v/>
      </c>
      <c r="AB716" s="20" t="str">
        <f t="shared" si="71"/>
        <v/>
      </c>
    </row>
    <row r="717" customHeight="1" spans="1:28">
      <c r="A717" s="14">
        <v>717</v>
      </c>
      <c r="B717" s="15" t="str">
        <f>IFERROR(IF([2]对账明细接口!$B$717=0,"",[2]对账明细接口!$B$717),"")</f>
        <v/>
      </c>
      <c r="C717" s="16" t="str">
        <f>IFERROR(IF([2]对账明细接口!$C$717=0,"",[2]对账明细接口!$C$717),"")</f>
        <v/>
      </c>
      <c r="D717" s="16" t="str">
        <f>IFERROR(IF([2]对账明细接口!$D$717=0,"",[2]对账明细接口!$D$717),"")</f>
        <v/>
      </c>
      <c r="E717" s="16" t="str">
        <f>IFERROR(IF([2]对账明细接口!$E$717=0,"",[2]对账明细接口!$E$717),"")</f>
        <v/>
      </c>
      <c r="F717" s="16" t="str">
        <f>IFERROR(IF([2]对账明细接口!$F$717=0,"",[2]对账明细接口!$F$717),"")</f>
        <v/>
      </c>
      <c r="G717" s="16" t="str">
        <f>IFERROR(IF([2]对账明细接口!$G$717=0,"",[2]对账明细接口!$G$717),"")</f>
        <v/>
      </c>
      <c r="H717" s="17" t="str">
        <f>IFERROR(IF([2]对账明细接口!$H$717=0,"",[2]对账明细接口!$H$717),"")</f>
        <v/>
      </c>
      <c r="I717" s="16" t="str">
        <f>IFERROR(IF([2]对账明细接口!$I$717=0,"",[2]对账明细接口!$I$717),"")</f>
        <v/>
      </c>
      <c r="J717" s="18" t="str">
        <f>IFERROR(IF([2]对账明细接口!$J$717=0,"",[2]对账明细接口!$J$717),"")</f>
        <v/>
      </c>
      <c r="K717" s="18" t="str">
        <f>IFERROR(IF([2]对账明细接口!$K$717=0,"",[2]对账明细接口!$K$717),"")</f>
        <v/>
      </c>
      <c r="L717" s="16" t="str">
        <f>IFERROR(IF([2]对账明细接口!$L$717=0,"",[2]对账明细接口!$L$717),"")</f>
        <v/>
      </c>
      <c r="M717" s="16" t="str">
        <f>IFERROR(IF([2]对账明细接口!$M$717=0,"",[2]对账明细接口!$M$717),"")</f>
        <v/>
      </c>
      <c r="N717" s="19">
        <f t="shared" si="66"/>
        <v>0</v>
      </c>
      <c r="O717" s="19">
        <f t="shared" si="67"/>
        <v>165</v>
      </c>
      <c r="S717" s="20" t="str">
        <f>IFERROR(IF([2]对账明细接口!$N717=0,"",[2]对账明细接口!$N717),"")</f>
        <v/>
      </c>
      <c r="T717" s="21" t="str">
        <f>IFERROR(IF([2]对账明细接口!$O717=0,"",[2]对账明细接口!$O717),"")</f>
        <v/>
      </c>
      <c r="U717" s="21" t="str">
        <f>IFERROR(IF([2]对账明细接口!$P717=0,"",[2]对账明细接口!$P717),"")</f>
        <v/>
      </c>
      <c r="V717" s="21" t="str">
        <f>IFERROR(IF([2]对账明细接口!$Q717=0,"",[2]对账明细接口!$Q717),"")</f>
        <v/>
      </c>
      <c r="W717" s="20" t="str">
        <f>IFERROR(IF([2]对账明细接口!$R717=0,"",[2]对账明细接口!$R717),"")</f>
        <v/>
      </c>
      <c r="X717" s="20" t="str">
        <f>IFERROR(IF([2]对账明细接口!$S717=0,"",[2]对账明细接口!$S717),"")</f>
        <v/>
      </c>
      <c r="Y717" s="20" t="str">
        <f t="shared" si="68"/>
        <v/>
      </c>
      <c r="Z717" s="20" t="str">
        <f t="shared" si="69"/>
        <v/>
      </c>
      <c r="AA717" s="20" t="str">
        <f t="shared" si="70"/>
        <v/>
      </c>
      <c r="AB717" s="20" t="str">
        <f t="shared" si="71"/>
        <v/>
      </c>
    </row>
    <row r="718" customHeight="1" spans="1:28">
      <c r="A718" s="14">
        <v>718</v>
      </c>
      <c r="B718" s="15" t="str">
        <f>IFERROR(IF([2]对账明细接口!$B$718=0,"",[2]对账明细接口!$B$718),"")</f>
        <v/>
      </c>
      <c r="C718" s="16" t="str">
        <f>IFERROR(IF([2]对账明细接口!$C$718=0,"",[2]对账明细接口!$C$718),"")</f>
        <v/>
      </c>
      <c r="D718" s="16" t="str">
        <f>IFERROR(IF([2]对账明细接口!$D$718=0,"",[2]对账明细接口!$D$718),"")</f>
        <v/>
      </c>
      <c r="E718" s="16" t="str">
        <f>IFERROR(IF([2]对账明细接口!$E$718=0,"",[2]对账明细接口!$E$718),"")</f>
        <v/>
      </c>
      <c r="F718" s="16" t="str">
        <f>IFERROR(IF([2]对账明细接口!$F$718=0,"",[2]对账明细接口!$F$718),"")</f>
        <v/>
      </c>
      <c r="G718" s="16" t="str">
        <f>IFERROR(IF([2]对账明细接口!$G$718=0,"",[2]对账明细接口!$G$718),"")</f>
        <v/>
      </c>
      <c r="H718" s="17" t="str">
        <f>IFERROR(IF([2]对账明细接口!$H$718=0,"",[2]对账明细接口!$H$718),"")</f>
        <v/>
      </c>
      <c r="I718" s="16" t="str">
        <f>IFERROR(IF([2]对账明细接口!$I$718=0,"",[2]对账明细接口!$I$718),"")</f>
        <v/>
      </c>
      <c r="J718" s="18" t="str">
        <f>IFERROR(IF([2]对账明细接口!$J$718=0,"",[2]对账明细接口!$J$718),"")</f>
        <v/>
      </c>
      <c r="K718" s="18" t="str">
        <f>IFERROR(IF([2]对账明细接口!$K$718=0,"",[2]对账明细接口!$K$718),"")</f>
        <v/>
      </c>
      <c r="L718" s="16" t="str">
        <f>IFERROR(IF([2]对账明细接口!$L$718=0,"",[2]对账明细接口!$L$718),"")</f>
        <v/>
      </c>
      <c r="M718" s="16" t="str">
        <f>IFERROR(IF([2]对账明细接口!$M$718=0,"",[2]对账明细接口!$M$718),"")</f>
        <v/>
      </c>
      <c r="N718" s="19">
        <f t="shared" si="66"/>
        <v>0</v>
      </c>
      <c r="O718" s="19">
        <f t="shared" si="67"/>
        <v>165</v>
      </c>
      <c r="S718" s="20" t="str">
        <f>IFERROR(IF([2]对账明细接口!$N718=0,"",[2]对账明细接口!$N718),"")</f>
        <v/>
      </c>
      <c r="T718" s="21" t="str">
        <f>IFERROR(IF([2]对账明细接口!$O718=0,"",[2]对账明细接口!$O718),"")</f>
        <v/>
      </c>
      <c r="U718" s="21" t="str">
        <f>IFERROR(IF([2]对账明细接口!$P718=0,"",[2]对账明细接口!$P718),"")</f>
        <v/>
      </c>
      <c r="V718" s="21" t="str">
        <f>IFERROR(IF([2]对账明细接口!$Q718=0,"",[2]对账明细接口!$Q718),"")</f>
        <v/>
      </c>
      <c r="W718" s="20" t="str">
        <f>IFERROR(IF([2]对账明细接口!$R718=0,"",[2]对账明细接口!$R718),"")</f>
        <v/>
      </c>
      <c r="X718" s="20" t="str">
        <f>IFERROR(IF([2]对账明细接口!$S718=0,"",[2]对账明细接口!$S718),"")</f>
        <v/>
      </c>
      <c r="Y718" s="20" t="str">
        <f t="shared" si="68"/>
        <v/>
      </c>
      <c r="Z718" s="20" t="str">
        <f t="shared" si="69"/>
        <v/>
      </c>
      <c r="AA718" s="20" t="str">
        <f t="shared" si="70"/>
        <v/>
      </c>
      <c r="AB718" s="20" t="str">
        <f t="shared" si="71"/>
        <v/>
      </c>
    </row>
    <row r="719" customHeight="1" spans="1:28">
      <c r="A719" s="14">
        <v>719</v>
      </c>
      <c r="B719" s="15" t="str">
        <f>IFERROR(IF([2]对账明细接口!$B$719=0,"",[2]对账明细接口!$B$719),"")</f>
        <v/>
      </c>
      <c r="C719" s="16" t="str">
        <f>IFERROR(IF([2]对账明细接口!$C$719=0,"",[2]对账明细接口!$C$719),"")</f>
        <v/>
      </c>
      <c r="D719" s="16" t="str">
        <f>IFERROR(IF([2]对账明细接口!$D$719=0,"",[2]对账明细接口!$D$719),"")</f>
        <v/>
      </c>
      <c r="E719" s="16" t="str">
        <f>IFERROR(IF([2]对账明细接口!$E$719=0,"",[2]对账明细接口!$E$719),"")</f>
        <v/>
      </c>
      <c r="F719" s="16" t="str">
        <f>IFERROR(IF([2]对账明细接口!$F$719=0,"",[2]对账明细接口!$F$719),"")</f>
        <v/>
      </c>
      <c r="G719" s="16" t="str">
        <f>IFERROR(IF([2]对账明细接口!$G$719=0,"",[2]对账明细接口!$G$719),"")</f>
        <v/>
      </c>
      <c r="H719" s="17" t="str">
        <f>IFERROR(IF([2]对账明细接口!$H$719=0,"",[2]对账明细接口!$H$719),"")</f>
        <v/>
      </c>
      <c r="I719" s="16" t="str">
        <f>IFERROR(IF([2]对账明细接口!$I$719=0,"",[2]对账明细接口!$I$719),"")</f>
        <v/>
      </c>
      <c r="J719" s="18" t="str">
        <f>IFERROR(IF([2]对账明细接口!$J$719=0,"",[2]对账明细接口!$J$719),"")</f>
        <v/>
      </c>
      <c r="K719" s="18" t="str">
        <f>IFERROR(IF([2]对账明细接口!$K$719=0,"",[2]对账明细接口!$K$719),"")</f>
        <v/>
      </c>
      <c r="L719" s="16" t="str">
        <f>IFERROR(IF([2]对账明细接口!$L$719=0,"",[2]对账明细接口!$L$719),"")</f>
        <v/>
      </c>
      <c r="M719" s="16" t="str">
        <f>IFERROR(IF([2]对账明细接口!$M$719=0,"",[2]对账明细接口!$M$719),"")</f>
        <v/>
      </c>
      <c r="N719" s="19">
        <f t="shared" si="66"/>
        <v>0</v>
      </c>
      <c r="O719" s="19">
        <f t="shared" si="67"/>
        <v>165</v>
      </c>
      <c r="S719" s="20" t="str">
        <f>IFERROR(IF([2]对账明细接口!$N719=0,"",[2]对账明细接口!$N719),"")</f>
        <v/>
      </c>
      <c r="T719" s="21" t="str">
        <f>IFERROR(IF([2]对账明细接口!$O719=0,"",[2]对账明细接口!$O719),"")</f>
        <v/>
      </c>
      <c r="U719" s="21" t="str">
        <f>IFERROR(IF([2]对账明细接口!$P719=0,"",[2]对账明细接口!$P719),"")</f>
        <v/>
      </c>
      <c r="V719" s="21" t="str">
        <f>IFERROR(IF([2]对账明细接口!$Q719=0,"",[2]对账明细接口!$Q719),"")</f>
        <v/>
      </c>
      <c r="W719" s="20" t="str">
        <f>IFERROR(IF([2]对账明细接口!$R719=0,"",[2]对账明细接口!$R719),"")</f>
        <v/>
      </c>
      <c r="X719" s="20" t="str">
        <f>IFERROR(IF([2]对账明细接口!$S719=0,"",[2]对账明细接口!$S719),"")</f>
        <v/>
      </c>
      <c r="Y719" s="20" t="str">
        <f t="shared" si="68"/>
        <v/>
      </c>
      <c r="Z719" s="20" t="str">
        <f t="shared" si="69"/>
        <v/>
      </c>
      <c r="AA719" s="20" t="str">
        <f t="shared" si="70"/>
        <v/>
      </c>
      <c r="AB719" s="20" t="str">
        <f t="shared" si="71"/>
        <v/>
      </c>
    </row>
    <row r="720" customHeight="1" spans="1:28">
      <c r="A720" s="14">
        <v>720</v>
      </c>
      <c r="B720" s="15" t="str">
        <f>IFERROR(IF([2]对账明细接口!$B$720=0,"",[2]对账明细接口!$B$720),"")</f>
        <v/>
      </c>
      <c r="C720" s="16" t="str">
        <f>IFERROR(IF([2]对账明细接口!$C$720=0,"",[2]对账明细接口!$C$720),"")</f>
        <v/>
      </c>
      <c r="D720" s="16" t="str">
        <f>IFERROR(IF([2]对账明细接口!$D$720=0,"",[2]对账明细接口!$D$720),"")</f>
        <v/>
      </c>
      <c r="E720" s="16" t="str">
        <f>IFERROR(IF([2]对账明细接口!$E$720=0,"",[2]对账明细接口!$E$720),"")</f>
        <v/>
      </c>
      <c r="F720" s="16" t="str">
        <f>IFERROR(IF([2]对账明细接口!$F$720=0,"",[2]对账明细接口!$F$720),"")</f>
        <v/>
      </c>
      <c r="G720" s="16" t="str">
        <f>IFERROR(IF([2]对账明细接口!$G$720=0,"",[2]对账明细接口!$G$720),"")</f>
        <v/>
      </c>
      <c r="H720" s="17" t="str">
        <f>IFERROR(IF([2]对账明细接口!$H$720=0,"",[2]对账明细接口!$H$720),"")</f>
        <v/>
      </c>
      <c r="I720" s="16" t="str">
        <f>IFERROR(IF([2]对账明细接口!$I$720=0,"",[2]对账明细接口!$I$720),"")</f>
        <v/>
      </c>
      <c r="J720" s="18" t="str">
        <f>IFERROR(IF([2]对账明细接口!$J$720=0,"",[2]对账明细接口!$J$720),"")</f>
        <v/>
      </c>
      <c r="K720" s="18" t="str">
        <f>IFERROR(IF([2]对账明细接口!$K$720=0,"",[2]对账明细接口!$K$720),"")</f>
        <v/>
      </c>
      <c r="L720" s="16" t="str">
        <f>IFERROR(IF([2]对账明细接口!$L$720=0,"",[2]对账明细接口!$L$720),"")</f>
        <v/>
      </c>
      <c r="M720" s="16" t="str">
        <f>IFERROR(IF([2]对账明细接口!$M$720=0,"",[2]对账明细接口!$M$720),"")</f>
        <v/>
      </c>
      <c r="N720" s="19">
        <f t="shared" si="66"/>
        <v>0</v>
      </c>
      <c r="O720" s="19">
        <f t="shared" si="67"/>
        <v>165</v>
      </c>
      <c r="S720" s="20" t="str">
        <f>IFERROR(IF([2]对账明细接口!$N720=0,"",[2]对账明细接口!$N720),"")</f>
        <v/>
      </c>
      <c r="T720" s="21" t="str">
        <f>IFERROR(IF([2]对账明细接口!$O720=0,"",[2]对账明细接口!$O720),"")</f>
        <v/>
      </c>
      <c r="U720" s="21" t="str">
        <f>IFERROR(IF([2]对账明细接口!$P720=0,"",[2]对账明细接口!$P720),"")</f>
        <v/>
      </c>
      <c r="V720" s="21" t="str">
        <f>IFERROR(IF([2]对账明细接口!$Q720=0,"",[2]对账明细接口!$Q720),"")</f>
        <v/>
      </c>
      <c r="W720" s="20" t="str">
        <f>IFERROR(IF([2]对账明细接口!$R720=0,"",[2]对账明细接口!$R720),"")</f>
        <v/>
      </c>
      <c r="X720" s="20" t="str">
        <f>IFERROR(IF([2]对账明细接口!$S720=0,"",[2]对账明细接口!$S720),"")</f>
        <v/>
      </c>
      <c r="Y720" s="20" t="str">
        <f t="shared" si="68"/>
        <v/>
      </c>
      <c r="Z720" s="20" t="str">
        <f t="shared" si="69"/>
        <v/>
      </c>
      <c r="AA720" s="20" t="str">
        <f t="shared" si="70"/>
        <v/>
      </c>
      <c r="AB720" s="20" t="str">
        <f t="shared" si="71"/>
        <v/>
      </c>
    </row>
    <row r="721" customHeight="1" spans="1:28">
      <c r="A721" s="14">
        <v>721</v>
      </c>
      <c r="B721" s="15" t="str">
        <f>IFERROR(IF([2]对账明细接口!$B$721=0,"",[2]对账明细接口!$B$721),"")</f>
        <v/>
      </c>
      <c r="C721" s="16" t="str">
        <f>IFERROR(IF([2]对账明细接口!$C$721=0,"",[2]对账明细接口!$C$721),"")</f>
        <v/>
      </c>
      <c r="D721" s="16" t="str">
        <f>IFERROR(IF([2]对账明细接口!$D$721=0,"",[2]对账明细接口!$D$721),"")</f>
        <v/>
      </c>
      <c r="E721" s="16" t="str">
        <f>IFERROR(IF([2]对账明细接口!$E$721=0,"",[2]对账明细接口!$E$721),"")</f>
        <v/>
      </c>
      <c r="F721" s="16" t="str">
        <f>IFERROR(IF([2]对账明细接口!$F$721=0,"",[2]对账明细接口!$F$721),"")</f>
        <v/>
      </c>
      <c r="G721" s="16" t="str">
        <f>IFERROR(IF([2]对账明细接口!$G$721=0,"",[2]对账明细接口!$G$721),"")</f>
        <v/>
      </c>
      <c r="H721" s="17" t="str">
        <f>IFERROR(IF([2]对账明细接口!$H$721=0,"",[2]对账明细接口!$H$721),"")</f>
        <v/>
      </c>
      <c r="I721" s="16" t="str">
        <f>IFERROR(IF([2]对账明细接口!$I$721=0,"",[2]对账明细接口!$I$721),"")</f>
        <v/>
      </c>
      <c r="J721" s="18" t="str">
        <f>IFERROR(IF([2]对账明细接口!$J$721=0,"",[2]对账明细接口!$J$721),"")</f>
        <v/>
      </c>
      <c r="K721" s="18" t="str">
        <f>IFERROR(IF([2]对账明细接口!$K$721=0,"",[2]对账明细接口!$K$721),"")</f>
        <v/>
      </c>
      <c r="L721" s="16" t="str">
        <f>IFERROR(IF([2]对账明细接口!$L$721=0,"",[2]对账明细接口!$L$721),"")</f>
        <v/>
      </c>
      <c r="M721" s="16" t="str">
        <f>IFERROR(IF([2]对账明细接口!$M$721=0,"",[2]对账明细接口!$M$721),"")</f>
        <v/>
      </c>
      <c r="N721" s="19">
        <f t="shared" si="66"/>
        <v>0</v>
      </c>
      <c r="O721" s="19">
        <f t="shared" si="67"/>
        <v>165</v>
      </c>
      <c r="S721" s="20" t="str">
        <f>IFERROR(IF([2]对账明细接口!$N721=0,"",[2]对账明细接口!$N721),"")</f>
        <v/>
      </c>
      <c r="T721" s="21" t="str">
        <f>IFERROR(IF([2]对账明细接口!$O721=0,"",[2]对账明细接口!$O721),"")</f>
        <v/>
      </c>
      <c r="U721" s="21" t="str">
        <f>IFERROR(IF([2]对账明细接口!$P721=0,"",[2]对账明细接口!$P721),"")</f>
        <v/>
      </c>
      <c r="V721" s="21" t="str">
        <f>IFERROR(IF([2]对账明细接口!$Q721=0,"",[2]对账明细接口!$Q721),"")</f>
        <v/>
      </c>
      <c r="W721" s="20" t="str">
        <f>IFERROR(IF([2]对账明细接口!$R721=0,"",[2]对账明细接口!$R721),"")</f>
        <v/>
      </c>
      <c r="X721" s="20" t="str">
        <f>IFERROR(IF([2]对账明细接口!$S721=0,"",[2]对账明细接口!$S721),"")</f>
        <v/>
      </c>
      <c r="Y721" s="20" t="str">
        <f t="shared" si="68"/>
        <v/>
      </c>
      <c r="Z721" s="20" t="str">
        <f t="shared" si="69"/>
        <v/>
      </c>
      <c r="AA721" s="20" t="str">
        <f t="shared" si="70"/>
        <v/>
      </c>
      <c r="AB721" s="20" t="str">
        <f t="shared" si="71"/>
        <v/>
      </c>
    </row>
    <row r="722" customHeight="1" spans="1:28">
      <c r="A722" s="14">
        <v>722</v>
      </c>
      <c r="B722" s="15" t="str">
        <f>IFERROR(IF([2]对账明细接口!$B$722=0,"",[2]对账明细接口!$B$722),"")</f>
        <v/>
      </c>
      <c r="C722" s="16" t="str">
        <f>IFERROR(IF([2]对账明细接口!$C$722=0,"",[2]对账明细接口!$C$722),"")</f>
        <v/>
      </c>
      <c r="D722" s="16" t="str">
        <f>IFERROR(IF([2]对账明细接口!$D$722=0,"",[2]对账明细接口!$D$722),"")</f>
        <v/>
      </c>
      <c r="E722" s="16" t="str">
        <f>IFERROR(IF([2]对账明细接口!$E$722=0,"",[2]对账明细接口!$E$722),"")</f>
        <v/>
      </c>
      <c r="F722" s="16" t="str">
        <f>IFERROR(IF([2]对账明细接口!$F$722=0,"",[2]对账明细接口!$F$722),"")</f>
        <v/>
      </c>
      <c r="G722" s="16" t="str">
        <f>IFERROR(IF([2]对账明细接口!$G$722=0,"",[2]对账明细接口!$G$722),"")</f>
        <v/>
      </c>
      <c r="H722" s="17" t="str">
        <f>IFERROR(IF([2]对账明细接口!$H$722=0,"",[2]对账明细接口!$H$722),"")</f>
        <v/>
      </c>
      <c r="I722" s="16" t="str">
        <f>IFERROR(IF([2]对账明细接口!$I$722=0,"",[2]对账明细接口!$I$722),"")</f>
        <v/>
      </c>
      <c r="J722" s="18" t="str">
        <f>IFERROR(IF([2]对账明细接口!$J$722=0,"",[2]对账明细接口!$J$722),"")</f>
        <v/>
      </c>
      <c r="K722" s="18" t="str">
        <f>IFERROR(IF([2]对账明细接口!$K$722=0,"",[2]对账明细接口!$K$722),"")</f>
        <v/>
      </c>
      <c r="L722" s="16" t="str">
        <f>IFERROR(IF([2]对账明细接口!$L$722=0,"",[2]对账明细接口!$L$722),"")</f>
        <v/>
      </c>
      <c r="M722" s="16" t="str">
        <f>IFERROR(IF([2]对账明细接口!$M$722=0,"",[2]对账明细接口!$M$722),"")</f>
        <v/>
      </c>
      <c r="N722" s="19">
        <f t="shared" si="66"/>
        <v>0</v>
      </c>
      <c r="O722" s="19">
        <f t="shared" si="67"/>
        <v>165</v>
      </c>
      <c r="S722" s="20" t="str">
        <f>IFERROR(IF([2]对账明细接口!$N722=0,"",[2]对账明细接口!$N722),"")</f>
        <v/>
      </c>
      <c r="T722" s="21" t="str">
        <f>IFERROR(IF([2]对账明细接口!$O722=0,"",[2]对账明细接口!$O722),"")</f>
        <v/>
      </c>
      <c r="U722" s="21" t="str">
        <f>IFERROR(IF([2]对账明细接口!$P722=0,"",[2]对账明细接口!$P722),"")</f>
        <v/>
      </c>
      <c r="V722" s="21" t="str">
        <f>IFERROR(IF([2]对账明细接口!$Q722=0,"",[2]对账明细接口!$Q722),"")</f>
        <v/>
      </c>
      <c r="W722" s="20" t="str">
        <f>IFERROR(IF([2]对账明细接口!$R722=0,"",[2]对账明细接口!$R722),"")</f>
        <v/>
      </c>
      <c r="X722" s="20" t="str">
        <f>IFERROR(IF([2]对账明细接口!$S722=0,"",[2]对账明细接口!$S722),"")</f>
        <v/>
      </c>
      <c r="Y722" s="20" t="str">
        <f t="shared" si="68"/>
        <v/>
      </c>
      <c r="Z722" s="20" t="str">
        <f t="shared" si="69"/>
        <v/>
      </c>
      <c r="AA722" s="20" t="str">
        <f t="shared" si="70"/>
        <v/>
      </c>
      <c r="AB722" s="20" t="str">
        <f t="shared" si="71"/>
        <v/>
      </c>
    </row>
    <row r="723" customHeight="1" spans="1:28">
      <c r="A723" s="14">
        <v>723</v>
      </c>
      <c r="B723" s="15" t="str">
        <f>IFERROR(IF([2]对账明细接口!$B$723=0,"",[2]对账明细接口!$B$723),"")</f>
        <v/>
      </c>
      <c r="C723" s="16" t="str">
        <f>IFERROR(IF([2]对账明细接口!$C$723=0,"",[2]对账明细接口!$C$723),"")</f>
        <v/>
      </c>
      <c r="D723" s="16" t="str">
        <f>IFERROR(IF([2]对账明细接口!$D$723=0,"",[2]对账明细接口!$D$723),"")</f>
        <v/>
      </c>
      <c r="E723" s="16" t="str">
        <f>IFERROR(IF([2]对账明细接口!$E$723=0,"",[2]对账明细接口!$E$723),"")</f>
        <v/>
      </c>
      <c r="F723" s="16" t="str">
        <f>IFERROR(IF([2]对账明细接口!$F$723=0,"",[2]对账明细接口!$F$723),"")</f>
        <v/>
      </c>
      <c r="G723" s="16" t="str">
        <f>IFERROR(IF([2]对账明细接口!$G$723=0,"",[2]对账明细接口!$G$723),"")</f>
        <v/>
      </c>
      <c r="H723" s="17" t="str">
        <f>IFERROR(IF([2]对账明细接口!$H$723=0,"",[2]对账明细接口!$H$723),"")</f>
        <v/>
      </c>
      <c r="I723" s="16" t="str">
        <f>IFERROR(IF([2]对账明细接口!$I$723=0,"",[2]对账明细接口!$I$723),"")</f>
        <v/>
      </c>
      <c r="J723" s="18" t="str">
        <f>IFERROR(IF([2]对账明细接口!$J$723=0,"",[2]对账明细接口!$J$723),"")</f>
        <v/>
      </c>
      <c r="K723" s="18" t="str">
        <f>IFERROR(IF([2]对账明细接口!$K$723=0,"",[2]对账明细接口!$K$723),"")</f>
        <v/>
      </c>
      <c r="L723" s="16" t="str">
        <f>IFERROR(IF([2]对账明细接口!$L$723=0,"",[2]对账明细接口!$L$723),"")</f>
        <v/>
      </c>
      <c r="M723" s="16" t="str">
        <f>IFERROR(IF([2]对账明细接口!$M$723=0,"",[2]对账明细接口!$M$723),"")</f>
        <v/>
      </c>
      <c r="N723" s="19">
        <f t="shared" si="66"/>
        <v>0</v>
      </c>
      <c r="O723" s="19">
        <f t="shared" si="67"/>
        <v>165</v>
      </c>
      <c r="S723" s="20" t="str">
        <f>IFERROR(IF([2]对账明细接口!$N723=0,"",[2]对账明细接口!$N723),"")</f>
        <v/>
      </c>
      <c r="T723" s="21" t="str">
        <f>IFERROR(IF([2]对账明细接口!$O723=0,"",[2]对账明细接口!$O723),"")</f>
        <v/>
      </c>
      <c r="U723" s="21" t="str">
        <f>IFERROR(IF([2]对账明细接口!$P723=0,"",[2]对账明细接口!$P723),"")</f>
        <v/>
      </c>
      <c r="V723" s="21" t="str">
        <f>IFERROR(IF([2]对账明细接口!$Q723=0,"",[2]对账明细接口!$Q723),"")</f>
        <v/>
      </c>
      <c r="W723" s="20" t="str">
        <f>IFERROR(IF([2]对账明细接口!$R723=0,"",[2]对账明细接口!$R723),"")</f>
        <v/>
      </c>
      <c r="X723" s="20" t="str">
        <f>IFERROR(IF([2]对账明细接口!$S723=0,"",[2]对账明细接口!$S723),"")</f>
        <v/>
      </c>
      <c r="Y723" s="20" t="str">
        <f t="shared" si="68"/>
        <v/>
      </c>
      <c r="Z723" s="20" t="str">
        <f t="shared" si="69"/>
        <v/>
      </c>
      <c r="AA723" s="20" t="str">
        <f t="shared" si="70"/>
        <v/>
      </c>
      <c r="AB723" s="20" t="str">
        <f t="shared" si="71"/>
        <v/>
      </c>
    </row>
    <row r="724" customHeight="1" spans="1:28">
      <c r="A724" s="14">
        <v>724</v>
      </c>
      <c r="B724" s="15" t="str">
        <f>IFERROR(IF([2]对账明细接口!$B$724=0,"",[2]对账明细接口!$B$724),"")</f>
        <v/>
      </c>
      <c r="C724" s="16" t="str">
        <f>IFERROR(IF([2]对账明细接口!$C$724=0,"",[2]对账明细接口!$C$724),"")</f>
        <v/>
      </c>
      <c r="D724" s="16" t="str">
        <f>IFERROR(IF([2]对账明细接口!$D$724=0,"",[2]对账明细接口!$D$724),"")</f>
        <v/>
      </c>
      <c r="E724" s="16" t="str">
        <f>IFERROR(IF([2]对账明细接口!$E$724=0,"",[2]对账明细接口!$E$724),"")</f>
        <v/>
      </c>
      <c r="F724" s="16" t="str">
        <f>IFERROR(IF([2]对账明细接口!$F$724=0,"",[2]对账明细接口!$F$724),"")</f>
        <v/>
      </c>
      <c r="G724" s="16" t="str">
        <f>IFERROR(IF([2]对账明细接口!$G$724=0,"",[2]对账明细接口!$G$724),"")</f>
        <v/>
      </c>
      <c r="H724" s="17" t="str">
        <f>IFERROR(IF([2]对账明细接口!$H$724=0,"",[2]对账明细接口!$H$724),"")</f>
        <v/>
      </c>
      <c r="I724" s="16" t="str">
        <f>IFERROR(IF([2]对账明细接口!$I$724=0,"",[2]对账明细接口!$I$724),"")</f>
        <v/>
      </c>
      <c r="J724" s="18" t="str">
        <f>IFERROR(IF([2]对账明细接口!$J$724=0,"",[2]对账明细接口!$J$724),"")</f>
        <v/>
      </c>
      <c r="K724" s="18" t="str">
        <f>IFERROR(IF([2]对账明细接口!$K$724=0,"",[2]对账明细接口!$K$724),"")</f>
        <v/>
      </c>
      <c r="L724" s="16" t="str">
        <f>IFERROR(IF([2]对账明细接口!$L$724=0,"",[2]对账明细接口!$L$724),"")</f>
        <v/>
      </c>
      <c r="M724" s="16" t="str">
        <f>IFERROR(IF([2]对账明细接口!$M$724=0,"",[2]对账明细接口!$M$724),"")</f>
        <v/>
      </c>
      <c r="N724" s="19">
        <f t="shared" si="66"/>
        <v>0</v>
      </c>
      <c r="O724" s="19">
        <f t="shared" si="67"/>
        <v>165</v>
      </c>
      <c r="S724" s="20" t="str">
        <f>IFERROR(IF([2]对账明细接口!$N724=0,"",[2]对账明细接口!$N724),"")</f>
        <v/>
      </c>
      <c r="T724" s="21" t="str">
        <f>IFERROR(IF([2]对账明细接口!$O724=0,"",[2]对账明细接口!$O724),"")</f>
        <v/>
      </c>
      <c r="U724" s="21" t="str">
        <f>IFERROR(IF([2]对账明细接口!$P724=0,"",[2]对账明细接口!$P724),"")</f>
        <v/>
      </c>
      <c r="V724" s="21" t="str">
        <f>IFERROR(IF([2]对账明细接口!$Q724=0,"",[2]对账明细接口!$Q724),"")</f>
        <v/>
      </c>
      <c r="W724" s="20" t="str">
        <f>IFERROR(IF([2]对账明细接口!$R724=0,"",[2]对账明细接口!$R724),"")</f>
        <v/>
      </c>
      <c r="X724" s="20" t="str">
        <f>IFERROR(IF([2]对账明细接口!$S724=0,"",[2]对账明细接口!$S724),"")</f>
        <v/>
      </c>
      <c r="Y724" s="20" t="str">
        <f t="shared" si="68"/>
        <v/>
      </c>
      <c r="Z724" s="20" t="str">
        <f t="shared" si="69"/>
        <v/>
      </c>
      <c r="AA724" s="20" t="str">
        <f t="shared" si="70"/>
        <v/>
      </c>
      <c r="AB724" s="20" t="str">
        <f t="shared" si="71"/>
        <v/>
      </c>
    </row>
    <row r="725" customHeight="1" spans="1:28">
      <c r="A725" s="14">
        <v>725</v>
      </c>
      <c r="B725" s="15" t="str">
        <f>IFERROR(IF([2]对账明细接口!$B$725=0,"",[2]对账明细接口!$B$725),"")</f>
        <v/>
      </c>
      <c r="C725" s="16" t="str">
        <f>IFERROR(IF([2]对账明细接口!$C$725=0,"",[2]对账明细接口!$C$725),"")</f>
        <v/>
      </c>
      <c r="D725" s="16" t="str">
        <f>IFERROR(IF([2]对账明细接口!$D$725=0,"",[2]对账明细接口!$D$725),"")</f>
        <v/>
      </c>
      <c r="E725" s="16" t="str">
        <f>IFERROR(IF([2]对账明细接口!$E$725=0,"",[2]对账明细接口!$E$725),"")</f>
        <v/>
      </c>
      <c r="F725" s="16" t="str">
        <f>IFERROR(IF([2]对账明细接口!$F$725=0,"",[2]对账明细接口!$F$725),"")</f>
        <v/>
      </c>
      <c r="G725" s="16" t="str">
        <f>IFERROR(IF([2]对账明细接口!$G$725=0,"",[2]对账明细接口!$G$725),"")</f>
        <v/>
      </c>
      <c r="H725" s="17" t="str">
        <f>IFERROR(IF([2]对账明细接口!$H$725=0,"",[2]对账明细接口!$H$725),"")</f>
        <v/>
      </c>
      <c r="I725" s="16" t="str">
        <f>IFERROR(IF([2]对账明细接口!$I$725=0,"",[2]对账明细接口!$I$725),"")</f>
        <v/>
      </c>
      <c r="J725" s="18" t="str">
        <f>IFERROR(IF([2]对账明细接口!$J$725=0,"",[2]对账明细接口!$J$725),"")</f>
        <v/>
      </c>
      <c r="K725" s="18" t="str">
        <f>IFERROR(IF([2]对账明细接口!$K$725=0,"",[2]对账明细接口!$K$725),"")</f>
        <v/>
      </c>
      <c r="L725" s="16" t="str">
        <f>IFERROR(IF([2]对账明细接口!$L$725=0,"",[2]对账明细接口!$L$725),"")</f>
        <v/>
      </c>
      <c r="M725" s="16" t="str">
        <f>IFERROR(IF([2]对账明细接口!$M$725=0,"",[2]对账明细接口!$M$725),"")</f>
        <v/>
      </c>
      <c r="N725" s="19">
        <f t="shared" si="66"/>
        <v>0</v>
      </c>
      <c r="O725" s="19">
        <f t="shared" si="67"/>
        <v>165</v>
      </c>
      <c r="S725" s="20" t="str">
        <f>IFERROR(IF([2]对账明细接口!$N725=0,"",[2]对账明细接口!$N725),"")</f>
        <v/>
      </c>
      <c r="T725" s="21" t="str">
        <f>IFERROR(IF([2]对账明细接口!$O725=0,"",[2]对账明细接口!$O725),"")</f>
        <v/>
      </c>
      <c r="U725" s="21" t="str">
        <f>IFERROR(IF([2]对账明细接口!$P725=0,"",[2]对账明细接口!$P725),"")</f>
        <v/>
      </c>
      <c r="V725" s="21" t="str">
        <f>IFERROR(IF([2]对账明细接口!$Q725=0,"",[2]对账明细接口!$Q725),"")</f>
        <v/>
      </c>
      <c r="W725" s="20" t="str">
        <f>IFERROR(IF([2]对账明细接口!$R725=0,"",[2]对账明细接口!$R725),"")</f>
        <v/>
      </c>
      <c r="X725" s="20" t="str">
        <f>IFERROR(IF([2]对账明细接口!$S725=0,"",[2]对账明细接口!$S725),"")</f>
        <v/>
      </c>
      <c r="Y725" s="20" t="str">
        <f t="shared" si="68"/>
        <v/>
      </c>
      <c r="Z725" s="20" t="str">
        <f t="shared" si="69"/>
        <v/>
      </c>
      <c r="AA725" s="20" t="str">
        <f t="shared" si="70"/>
        <v/>
      </c>
      <c r="AB725" s="20" t="str">
        <f t="shared" si="71"/>
        <v/>
      </c>
    </row>
    <row r="726" customHeight="1" spans="1:28">
      <c r="A726" s="14">
        <v>726</v>
      </c>
      <c r="B726" s="15" t="str">
        <f>IFERROR(IF([2]对账明细接口!$B$726=0,"",[2]对账明细接口!$B$726),"")</f>
        <v/>
      </c>
      <c r="C726" s="16" t="str">
        <f>IFERROR(IF([2]对账明细接口!$C$726=0,"",[2]对账明细接口!$C$726),"")</f>
        <v/>
      </c>
      <c r="D726" s="16" t="str">
        <f>IFERROR(IF([2]对账明细接口!$D$726=0,"",[2]对账明细接口!$D$726),"")</f>
        <v/>
      </c>
      <c r="E726" s="16" t="str">
        <f>IFERROR(IF([2]对账明细接口!$E$726=0,"",[2]对账明细接口!$E$726),"")</f>
        <v/>
      </c>
      <c r="F726" s="16" t="str">
        <f>IFERROR(IF([2]对账明细接口!$F$726=0,"",[2]对账明细接口!$F$726),"")</f>
        <v/>
      </c>
      <c r="G726" s="16" t="str">
        <f>IFERROR(IF([2]对账明细接口!$G$726=0,"",[2]对账明细接口!$G$726),"")</f>
        <v/>
      </c>
      <c r="H726" s="17" t="str">
        <f>IFERROR(IF([2]对账明细接口!$H$726=0,"",[2]对账明细接口!$H$726),"")</f>
        <v/>
      </c>
      <c r="I726" s="16" t="str">
        <f>IFERROR(IF([2]对账明细接口!$I$726=0,"",[2]对账明细接口!$I$726),"")</f>
        <v/>
      </c>
      <c r="J726" s="18" t="str">
        <f>IFERROR(IF([2]对账明细接口!$J$726=0,"",[2]对账明细接口!$J$726),"")</f>
        <v/>
      </c>
      <c r="K726" s="18" t="str">
        <f>IFERROR(IF([2]对账明细接口!$K$726=0,"",[2]对账明细接口!$K$726),"")</f>
        <v/>
      </c>
      <c r="L726" s="16" t="str">
        <f>IFERROR(IF([2]对账明细接口!$L$726=0,"",[2]对账明细接口!$L$726),"")</f>
        <v/>
      </c>
      <c r="M726" s="16" t="str">
        <f>IFERROR(IF([2]对账明细接口!$M$726=0,"",[2]对账明细接口!$M$726),"")</f>
        <v/>
      </c>
      <c r="N726" s="19">
        <f t="shared" si="66"/>
        <v>0</v>
      </c>
      <c r="O726" s="19">
        <f t="shared" si="67"/>
        <v>165</v>
      </c>
      <c r="S726" s="20" t="str">
        <f>IFERROR(IF([2]对账明细接口!$N726=0,"",[2]对账明细接口!$N726),"")</f>
        <v/>
      </c>
      <c r="T726" s="21" t="str">
        <f>IFERROR(IF([2]对账明细接口!$O726=0,"",[2]对账明细接口!$O726),"")</f>
        <v/>
      </c>
      <c r="U726" s="21" t="str">
        <f>IFERROR(IF([2]对账明细接口!$P726=0,"",[2]对账明细接口!$P726),"")</f>
        <v/>
      </c>
      <c r="V726" s="21" t="str">
        <f>IFERROR(IF([2]对账明细接口!$Q726=0,"",[2]对账明细接口!$Q726),"")</f>
        <v/>
      </c>
      <c r="W726" s="20" t="str">
        <f>IFERROR(IF([2]对账明细接口!$R726=0,"",[2]对账明细接口!$R726),"")</f>
        <v/>
      </c>
      <c r="X726" s="20" t="str">
        <f>IFERROR(IF([2]对账明细接口!$S726=0,"",[2]对账明细接口!$S726),"")</f>
        <v/>
      </c>
      <c r="Y726" s="20" t="str">
        <f t="shared" si="68"/>
        <v/>
      </c>
      <c r="Z726" s="20" t="str">
        <f t="shared" si="69"/>
        <v/>
      </c>
      <c r="AA726" s="20" t="str">
        <f t="shared" si="70"/>
        <v/>
      </c>
      <c r="AB726" s="20" t="str">
        <f t="shared" si="71"/>
        <v/>
      </c>
    </row>
    <row r="727" customHeight="1" spans="1:28">
      <c r="A727" s="14">
        <v>727</v>
      </c>
      <c r="B727" s="15" t="str">
        <f>IFERROR(IF([2]对账明细接口!$B$727=0,"",[2]对账明细接口!$B$727),"")</f>
        <v/>
      </c>
      <c r="C727" s="16" t="str">
        <f>IFERROR(IF([2]对账明细接口!$C$727=0,"",[2]对账明细接口!$C$727),"")</f>
        <v/>
      </c>
      <c r="D727" s="16" t="str">
        <f>IFERROR(IF([2]对账明细接口!$D$727=0,"",[2]对账明细接口!$D$727),"")</f>
        <v/>
      </c>
      <c r="E727" s="16" t="str">
        <f>IFERROR(IF([2]对账明细接口!$E$727=0,"",[2]对账明细接口!$E$727),"")</f>
        <v/>
      </c>
      <c r="F727" s="16" t="str">
        <f>IFERROR(IF([2]对账明细接口!$F$727=0,"",[2]对账明细接口!$F$727),"")</f>
        <v/>
      </c>
      <c r="G727" s="16" t="str">
        <f>IFERROR(IF([2]对账明细接口!$G$727=0,"",[2]对账明细接口!$G$727),"")</f>
        <v/>
      </c>
      <c r="H727" s="17" t="str">
        <f>IFERROR(IF([2]对账明细接口!$H$727=0,"",[2]对账明细接口!$H$727),"")</f>
        <v/>
      </c>
      <c r="I727" s="16" t="str">
        <f>IFERROR(IF([2]对账明细接口!$I$727=0,"",[2]对账明细接口!$I$727),"")</f>
        <v/>
      </c>
      <c r="J727" s="18" t="str">
        <f>IFERROR(IF([2]对账明细接口!$J$727=0,"",[2]对账明细接口!$J$727),"")</f>
        <v/>
      </c>
      <c r="K727" s="18" t="str">
        <f>IFERROR(IF([2]对账明细接口!$K$727=0,"",[2]对账明细接口!$K$727),"")</f>
        <v/>
      </c>
      <c r="L727" s="16" t="str">
        <f>IFERROR(IF([2]对账明细接口!$L$727=0,"",[2]对账明细接口!$L$727),"")</f>
        <v/>
      </c>
      <c r="M727" s="16" t="str">
        <f>IFERROR(IF([2]对账明细接口!$M$727=0,"",[2]对账明细接口!$M$727),"")</f>
        <v/>
      </c>
      <c r="N727" s="19">
        <f t="shared" si="66"/>
        <v>0</v>
      </c>
      <c r="O727" s="19">
        <f t="shared" si="67"/>
        <v>165</v>
      </c>
      <c r="S727" s="20" t="str">
        <f>IFERROR(IF([2]对账明细接口!$N727=0,"",[2]对账明细接口!$N727),"")</f>
        <v/>
      </c>
      <c r="T727" s="21" t="str">
        <f>IFERROR(IF([2]对账明细接口!$O727=0,"",[2]对账明细接口!$O727),"")</f>
        <v/>
      </c>
      <c r="U727" s="21" t="str">
        <f>IFERROR(IF([2]对账明细接口!$P727=0,"",[2]对账明细接口!$P727),"")</f>
        <v/>
      </c>
      <c r="V727" s="21" t="str">
        <f>IFERROR(IF([2]对账明细接口!$Q727=0,"",[2]对账明细接口!$Q727),"")</f>
        <v/>
      </c>
      <c r="W727" s="20" t="str">
        <f>IFERROR(IF([2]对账明细接口!$R727=0,"",[2]对账明细接口!$R727),"")</f>
        <v/>
      </c>
      <c r="X727" s="20" t="str">
        <f>IFERROR(IF([2]对账明细接口!$S727=0,"",[2]对账明细接口!$S727),"")</f>
        <v/>
      </c>
      <c r="Y727" s="20" t="str">
        <f t="shared" si="68"/>
        <v/>
      </c>
      <c r="Z727" s="20" t="str">
        <f t="shared" si="69"/>
        <v/>
      </c>
      <c r="AA727" s="20" t="str">
        <f t="shared" si="70"/>
        <v/>
      </c>
      <c r="AB727" s="20" t="str">
        <f t="shared" si="71"/>
        <v/>
      </c>
    </row>
    <row r="728" customHeight="1" spans="1:28">
      <c r="A728" s="14">
        <v>728</v>
      </c>
      <c r="B728" s="15" t="str">
        <f>IFERROR(IF([2]对账明细接口!$B$728=0,"",[2]对账明细接口!$B$728),"")</f>
        <v/>
      </c>
      <c r="C728" s="16" t="str">
        <f>IFERROR(IF([2]对账明细接口!$C$728=0,"",[2]对账明细接口!$C$728),"")</f>
        <v/>
      </c>
      <c r="D728" s="16" t="str">
        <f>IFERROR(IF([2]对账明细接口!$D$728=0,"",[2]对账明细接口!$D$728),"")</f>
        <v/>
      </c>
      <c r="E728" s="16" t="str">
        <f>IFERROR(IF([2]对账明细接口!$E$728=0,"",[2]对账明细接口!$E$728),"")</f>
        <v/>
      </c>
      <c r="F728" s="16" t="str">
        <f>IFERROR(IF([2]对账明细接口!$F$728=0,"",[2]对账明细接口!$F$728),"")</f>
        <v/>
      </c>
      <c r="G728" s="16" t="str">
        <f>IFERROR(IF([2]对账明细接口!$G$728=0,"",[2]对账明细接口!$G$728),"")</f>
        <v/>
      </c>
      <c r="H728" s="17" t="str">
        <f>IFERROR(IF([2]对账明细接口!$H$728=0,"",[2]对账明细接口!$H$728),"")</f>
        <v/>
      </c>
      <c r="I728" s="16" t="str">
        <f>IFERROR(IF([2]对账明细接口!$I$728=0,"",[2]对账明细接口!$I$728),"")</f>
        <v/>
      </c>
      <c r="J728" s="18" t="str">
        <f>IFERROR(IF([2]对账明细接口!$J$728=0,"",[2]对账明细接口!$J$728),"")</f>
        <v/>
      </c>
      <c r="K728" s="18" t="str">
        <f>IFERROR(IF([2]对账明细接口!$K$728=0,"",[2]对账明细接口!$K$728),"")</f>
        <v/>
      </c>
      <c r="L728" s="16" t="str">
        <f>IFERROR(IF([2]对账明细接口!$L$728=0,"",[2]对账明细接口!$L$728),"")</f>
        <v/>
      </c>
      <c r="M728" s="16" t="str">
        <f>IFERROR(IF([2]对账明细接口!$M$728=0,"",[2]对账明细接口!$M$728),"")</f>
        <v/>
      </c>
      <c r="N728" s="19">
        <f t="shared" si="66"/>
        <v>0</v>
      </c>
      <c r="O728" s="19">
        <f t="shared" si="67"/>
        <v>165</v>
      </c>
      <c r="S728" s="20" t="str">
        <f>IFERROR(IF([2]对账明细接口!$N728=0,"",[2]对账明细接口!$N728),"")</f>
        <v/>
      </c>
      <c r="T728" s="21" t="str">
        <f>IFERROR(IF([2]对账明细接口!$O728=0,"",[2]对账明细接口!$O728),"")</f>
        <v/>
      </c>
      <c r="U728" s="21" t="str">
        <f>IFERROR(IF([2]对账明细接口!$P728=0,"",[2]对账明细接口!$P728),"")</f>
        <v/>
      </c>
      <c r="V728" s="21" t="str">
        <f>IFERROR(IF([2]对账明细接口!$Q728=0,"",[2]对账明细接口!$Q728),"")</f>
        <v/>
      </c>
      <c r="W728" s="20" t="str">
        <f>IFERROR(IF([2]对账明细接口!$R728=0,"",[2]对账明细接口!$R728),"")</f>
        <v/>
      </c>
      <c r="X728" s="20" t="str">
        <f>IFERROR(IF([2]对账明细接口!$S728=0,"",[2]对账明细接口!$S728),"")</f>
        <v/>
      </c>
      <c r="Y728" s="20" t="str">
        <f t="shared" si="68"/>
        <v/>
      </c>
      <c r="Z728" s="20" t="str">
        <f t="shared" si="69"/>
        <v/>
      </c>
      <c r="AA728" s="20" t="str">
        <f t="shared" si="70"/>
        <v/>
      </c>
      <c r="AB728" s="20" t="str">
        <f t="shared" si="71"/>
        <v/>
      </c>
    </row>
    <row r="729" customHeight="1" spans="1:28">
      <c r="A729" s="14">
        <v>729</v>
      </c>
      <c r="B729" s="15" t="str">
        <f>IFERROR(IF([2]对账明细接口!$B$729=0,"",[2]对账明细接口!$B$729),"")</f>
        <v/>
      </c>
      <c r="C729" s="16" t="str">
        <f>IFERROR(IF([2]对账明细接口!$C$729=0,"",[2]对账明细接口!$C$729),"")</f>
        <v/>
      </c>
      <c r="D729" s="16" t="str">
        <f>IFERROR(IF([2]对账明细接口!$D$729=0,"",[2]对账明细接口!$D$729),"")</f>
        <v/>
      </c>
      <c r="E729" s="16" t="str">
        <f>IFERROR(IF([2]对账明细接口!$E$729=0,"",[2]对账明细接口!$E$729),"")</f>
        <v/>
      </c>
      <c r="F729" s="16" t="str">
        <f>IFERROR(IF([2]对账明细接口!$F$729=0,"",[2]对账明细接口!$F$729),"")</f>
        <v/>
      </c>
      <c r="G729" s="16" t="str">
        <f>IFERROR(IF([2]对账明细接口!$G$729=0,"",[2]对账明细接口!$G$729),"")</f>
        <v/>
      </c>
      <c r="H729" s="17" t="str">
        <f>IFERROR(IF([2]对账明细接口!$H$729=0,"",[2]对账明细接口!$H$729),"")</f>
        <v/>
      </c>
      <c r="I729" s="16" t="str">
        <f>IFERROR(IF([2]对账明细接口!$I$729=0,"",[2]对账明细接口!$I$729),"")</f>
        <v/>
      </c>
      <c r="J729" s="18" t="str">
        <f>IFERROR(IF([2]对账明细接口!$J$729=0,"",[2]对账明细接口!$J$729),"")</f>
        <v/>
      </c>
      <c r="K729" s="18" t="str">
        <f>IFERROR(IF([2]对账明细接口!$K$729=0,"",[2]对账明细接口!$K$729),"")</f>
        <v/>
      </c>
      <c r="L729" s="16" t="str">
        <f>IFERROR(IF([2]对账明细接口!$L$729=0,"",[2]对账明细接口!$L$729),"")</f>
        <v/>
      </c>
      <c r="M729" s="16" t="str">
        <f>IFERROR(IF([2]对账明细接口!$M$729=0,"",[2]对账明细接口!$M$729),"")</f>
        <v/>
      </c>
      <c r="N729" s="19">
        <f t="shared" si="66"/>
        <v>0</v>
      </c>
      <c r="O729" s="19">
        <f t="shared" si="67"/>
        <v>165</v>
      </c>
      <c r="S729" s="20" t="str">
        <f>IFERROR(IF([2]对账明细接口!$N729=0,"",[2]对账明细接口!$N729),"")</f>
        <v/>
      </c>
      <c r="T729" s="21" t="str">
        <f>IFERROR(IF([2]对账明细接口!$O729=0,"",[2]对账明细接口!$O729),"")</f>
        <v/>
      </c>
      <c r="U729" s="21" t="str">
        <f>IFERROR(IF([2]对账明细接口!$P729=0,"",[2]对账明细接口!$P729),"")</f>
        <v/>
      </c>
      <c r="V729" s="21" t="str">
        <f>IFERROR(IF([2]对账明细接口!$Q729=0,"",[2]对账明细接口!$Q729),"")</f>
        <v/>
      </c>
      <c r="W729" s="20" t="str">
        <f>IFERROR(IF([2]对账明细接口!$R729=0,"",[2]对账明细接口!$R729),"")</f>
        <v/>
      </c>
      <c r="X729" s="20" t="str">
        <f>IFERROR(IF([2]对账明细接口!$S729=0,"",[2]对账明细接口!$S729),"")</f>
        <v/>
      </c>
      <c r="Y729" s="20" t="str">
        <f t="shared" si="68"/>
        <v/>
      </c>
      <c r="Z729" s="20" t="str">
        <f t="shared" si="69"/>
        <v/>
      </c>
      <c r="AA729" s="20" t="str">
        <f t="shared" si="70"/>
        <v/>
      </c>
      <c r="AB729" s="20" t="str">
        <f t="shared" si="71"/>
        <v/>
      </c>
    </row>
    <row r="730" customHeight="1" spans="1:28">
      <c r="A730" s="14">
        <v>730</v>
      </c>
      <c r="B730" s="15" t="str">
        <f>IFERROR(IF([2]对账明细接口!$B$730=0,"",[2]对账明细接口!$B$730),"")</f>
        <v/>
      </c>
      <c r="C730" s="16" t="str">
        <f>IFERROR(IF([2]对账明细接口!$C$730=0,"",[2]对账明细接口!$C$730),"")</f>
        <v/>
      </c>
      <c r="D730" s="16" t="str">
        <f>IFERROR(IF([2]对账明细接口!$D$730=0,"",[2]对账明细接口!$D$730),"")</f>
        <v/>
      </c>
      <c r="E730" s="16" t="str">
        <f>IFERROR(IF([2]对账明细接口!$E$730=0,"",[2]对账明细接口!$E$730),"")</f>
        <v/>
      </c>
      <c r="F730" s="16" t="str">
        <f>IFERROR(IF([2]对账明细接口!$F$730=0,"",[2]对账明细接口!$F$730),"")</f>
        <v/>
      </c>
      <c r="G730" s="16" t="str">
        <f>IFERROR(IF([2]对账明细接口!$G$730=0,"",[2]对账明细接口!$G$730),"")</f>
        <v/>
      </c>
      <c r="H730" s="17" t="str">
        <f>IFERROR(IF([2]对账明细接口!$H$730=0,"",[2]对账明细接口!$H$730),"")</f>
        <v/>
      </c>
      <c r="I730" s="16" t="str">
        <f>IFERROR(IF([2]对账明细接口!$I$730=0,"",[2]对账明细接口!$I$730),"")</f>
        <v/>
      </c>
      <c r="J730" s="18" t="str">
        <f>IFERROR(IF([2]对账明细接口!$J$730=0,"",[2]对账明细接口!$J$730),"")</f>
        <v/>
      </c>
      <c r="K730" s="18" t="str">
        <f>IFERROR(IF([2]对账明细接口!$K$730=0,"",[2]对账明细接口!$K$730),"")</f>
        <v/>
      </c>
      <c r="L730" s="16" t="str">
        <f>IFERROR(IF([2]对账明细接口!$L$730=0,"",[2]对账明细接口!$L$730),"")</f>
        <v/>
      </c>
      <c r="M730" s="16" t="str">
        <f>IFERROR(IF([2]对账明细接口!$M$730=0,"",[2]对账明细接口!$M$730),"")</f>
        <v/>
      </c>
      <c r="N730" s="19">
        <f t="shared" si="66"/>
        <v>0</v>
      </c>
      <c r="O730" s="19">
        <f t="shared" si="67"/>
        <v>165</v>
      </c>
      <c r="S730" s="20" t="str">
        <f>IFERROR(IF([2]对账明细接口!$N730=0,"",[2]对账明细接口!$N730),"")</f>
        <v/>
      </c>
      <c r="T730" s="21" t="str">
        <f>IFERROR(IF([2]对账明细接口!$O730=0,"",[2]对账明细接口!$O730),"")</f>
        <v/>
      </c>
      <c r="U730" s="21" t="str">
        <f>IFERROR(IF([2]对账明细接口!$P730=0,"",[2]对账明细接口!$P730),"")</f>
        <v/>
      </c>
      <c r="V730" s="21" t="str">
        <f>IFERROR(IF([2]对账明细接口!$Q730=0,"",[2]对账明细接口!$Q730),"")</f>
        <v/>
      </c>
      <c r="W730" s="20" t="str">
        <f>IFERROR(IF([2]对账明细接口!$R730=0,"",[2]对账明细接口!$R730),"")</f>
        <v/>
      </c>
      <c r="X730" s="20" t="str">
        <f>IFERROR(IF([2]对账明细接口!$S730=0,"",[2]对账明细接口!$S730),"")</f>
        <v/>
      </c>
      <c r="Y730" s="20" t="str">
        <f t="shared" si="68"/>
        <v/>
      </c>
      <c r="Z730" s="20" t="str">
        <f t="shared" si="69"/>
        <v/>
      </c>
      <c r="AA730" s="20" t="str">
        <f t="shared" si="70"/>
        <v/>
      </c>
      <c r="AB730" s="20" t="str">
        <f t="shared" si="71"/>
        <v/>
      </c>
    </row>
    <row r="731" customHeight="1" spans="1:28">
      <c r="A731" s="14">
        <v>731</v>
      </c>
      <c r="B731" s="15" t="str">
        <f>IFERROR(IF([2]对账明细接口!$B$731=0,"",[2]对账明细接口!$B$731),"")</f>
        <v/>
      </c>
      <c r="C731" s="16" t="str">
        <f>IFERROR(IF([2]对账明细接口!$C$731=0,"",[2]对账明细接口!$C$731),"")</f>
        <v/>
      </c>
      <c r="D731" s="16" t="str">
        <f>IFERROR(IF([2]对账明细接口!$D$731=0,"",[2]对账明细接口!$D$731),"")</f>
        <v/>
      </c>
      <c r="E731" s="16" t="str">
        <f>IFERROR(IF([2]对账明细接口!$E$731=0,"",[2]对账明细接口!$E$731),"")</f>
        <v/>
      </c>
      <c r="F731" s="16" t="str">
        <f>IFERROR(IF([2]对账明细接口!$F$731=0,"",[2]对账明细接口!$F$731),"")</f>
        <v/>
      </c>
      <c r="G731" s="16" t="str">
        <f>IFERROR(IF([2]对账明细接口!$G$731=0,"",[2]对账明细接口!$G$731),"")</f>
        <v/>
      </c>
      <c r="H731" s="17" t="str">
        <f>IFERROR(IF([2]对账明细接口!$H$731=0,"",[2]对账明细接口!$H$731),"")</f>
        <v/>
      </c>
      <c r="I731" s="16" t="str">
        <f>IFERROR(IF([2]对账明细接口!$I$731=0,"",[2]对账明细接口!$I$731),"")</f>
        <v/>
      </c>
      <c r="J731" s="18" t="str">
        <f>IFERROR(IF([2]对账明细接口!$J$731=0,"",[2]对账明细接口!$J$731),"")</f>
        <v/>
      </c>
      <c r="K731" s="18" t="str">
        <f>IFERROR(IF([2]对账明细接口!$K$731=0,"",[2]对账明细接口!$K$731),"")</f>
        <v/>
      </c>
      <c r="L731" s="16" t="str">
        <f>IFERROR(IF([2]对账明细接口!$L$731=0,"",[2]对账明细接口!$L$731),"")</f>
        <v/>
      </c>
      <c r="M731" s="16" t="str">
        <f>IFERROR(IF([2]对账明细接口!$M$731=0,"",[2]对账明细接口!$M$731),"")</f>
        <v/>
      </c>
      <c r="N731" s="19">
        <f t="shared" si="66"/>
        <v>0</v>
      </c>
      <c r="O731" s="19">
        <f t="shared" si="67"/>
        <v>165</v>
      </c>
      <c r="S731" s="20" t="str">
        <f>IFERROR(IF([2]对账明细接口!$N731=0,"",[2]对账明细接口!$N731),"")</f>
        <v/>
      </c>
      <c r="T731" s="21" t="str">
        <f>IFERROR(IF([2]对账明细接口!$O731=0,"",[2]对账明细接口!$O731),"")</f>
        <v/>
      </c>
      <c r="U731" s="21" t="str">
        <f>IFERROR(IF([2]对账明细接口!$P731=0,"",[2]对账明细接口!$P731),"")</f>
        <v/>
      </c>
      <c r="V731" s="21" t="str">
        <f>IFERROR(IF([2]对账明细接口!$Q731=0,"",[2]对账明细接口!$Q731),"")</f>
        <v/>
      </c>
      <c r="W731" s="20" t="str">
        <f>IFERROR(IF([2]对账明细接口!$R731=0,"",[2]对账明细接口!$R731),"")</f>
        <v/>
      </c>
      <c r="X731" s="20" t="str">
        <f>IFERROR(IF([2]对账明细接口!$S731=0,"",[2]对账明细接口!$S731),"")</f>
        <v/>
      </c>
      <c r="Y731" s="20" t="str">
        <f t="shared" si="68"/>
        <v/>
      </c>
      <c r="Z731" s="20" t="str">
        <f t="shared" si="69"/>
        <v/>
      </c>
      <c r="AA731" s="20" t="str">
        <f t="shared" si="70"/>
        <v/>
      </c>
      <c r="AB731" s="20" t="str">
        <f t="shared" si="71"/>
        <v/>
      </c>
    </row>
    <row r="732" customHeight="1" spans="1:28">
      <c r="A732" s="14">
        <v>732</v>
      </c>
      <c r="B732" s="15" t="str">
        <f>IFERROR(IF([2]对账明细接口!$B$732=0,"",[2]对账明细接口!$B$732),"")</f>
        <v/>
      </c>
      <c r="C732" s="16" t="str">
        <f>IFERROR(IF([2]对账明细接口!$C$732=0,"",[2]对账明细接口!$C$732),"")</f>
        <v/>
      </c>
      <c r="D732" s="16" t="str">
        <f>IFERROR(IF([2]对账明细接口!$D$732=0,"",[2]对账明细接口!$D$732),"")</f>
        <v/>
      </c>
      <c r="E732" s="16" t="str">
        <f>IFERROR(IF([2]对账明细接口!$E$732=0,"",[2]对账明细接口!$E$732),"")</f>
        <v/>
      </c>
      <c r="F732" s="16" t="str">
        <f>IFERROR(IF([2]对账明细接口!$F$732=0,"",[2]对账明细接口!$F$732),"")</f>
        <v/>
      </c>
      <c r="G732" s="16" t="str">
        <f>IFERROR(IF([2]对账明细接口!$G$732=0,"",[2]对账明细接口!$G$732),"")</f>
        <v/>
      </c>
      <c r="H732" s="17" t="str">
        <f>IFERROR(IF([2]对账明细接口!$H$732=0,"",[2]对账明细接口!$H$732),"")</f>
        <v/>
      </c>
      <c r="I732" s="16" t="str">
        <f>IFERROR(IF([2]对账明细接口!$I$732=0,"",[2]对账明细接口!$I$732),"")</f>
        <v/>
      </c>
      <c r="J732" s="18" t="str">
        <f>IFERROR(IF([2]对账明细接口!$J$732=0,"",[2]对账明细接口!$J$732),"")</f>
        <v/>
      </c>
      <c r="K732" s="18" t="str">
        <f>IFERROR(IF([2]对账明细接口!$K$732=0,"",[2]对账明细接口!$K$732),"")</f>
        <v/>
      </c>
      <c r="L732" s="16" t="str">
        <f>IFERROR(IF([2]对账明细接口!$L$732=0,"",[2]对账明细接口!$L$732),"")</f>
        <v/>
      </c>
      <c r="M732" s="16" t="str">
        <f>IFERROR(IF([2]对账明细接口!$M$732=0,"",[2]对账明细接口!$M$732),"")</f>
        <v/>
      </c>
      <c r="N732" s="19">
        <f t="shared" si="66"/>
        <v>0</v>
      </c>
      <c r="O732" s="19">
        <f t="shared" si="67"/>
        <v>165</v>
      </c>
      <c r="S732" s="20" t="str">
        <f>IFERROR(IF([2]对账明细接口!$N732=0,"",[2]对账明细接口!$N732),"")</f>
        <v/>
      </c>
      <c r="T732" s="21" t="str">
        <f>IFERROR(IF([2]对账明细接口!$O732=0,"",[2]对账明细接口!$O732),"")</f>
        <v/>
      </c>
      <c r="U732" s="21" t="str">
        <f>IFERROR(IF([2]对账明细接口!$P732=0,"",[2]对账明细接口!$P732),"")</f>
        <v/>
      </c>
      <c r="V732" s="21" t="str">
        <f>IFERROR(IF([2]对账明细接口!$Q732=0,"",[2]对账明细接口!$Q732),"")</f>
        <v/>
      </c>
      <c r="W732" s="20" t="str">
        <f>IFERROR(IF([2]对账明细接口!$R732=0,"",[2]对账明细接口!$R732),"")</f>
        <v/>
      </c>
      <c r="X732" s="20" t="str">
        <f>IFERROR(IF([2]对账明细接口!$S732=0,"",[2]对账明细接口!$S732),"")</f>
        <v/>
      </c>
      <c r="Y732" s="20" t="str">
        <f t="shared" si="68"/>
        <v/>
      </c>
      <c r="Z732" s="20" t="str">
        <f t="shared" si="69"/>
        <v/>
      </c>
      <c r="AA732" s="20" t="str">
        <f t="shared" si="70"/>
        <v/>
      </c>
      <c r="AB732" s="20" t="str">
        <f t="shared" si="71"/>
        <v/>
      </c>
    </row>
    <row r="733" customHeight="1" spans="1:28">
      <c r="A733" s="14">
        <v>733</v>
      </c>
      <c r="B733" s="15" t="str">
        <f>IFERROR(IF([2]对账明细接口!$B$733=0,"",[2]对账明细接口!$B$733),"")</f>
        <v/>
      </c>
      <c r="C733" s="16" t="str">
        <f>IFERROR(IF([2]对账明细接口!$C$733=0,"",[2]对账明细接口!$C$733),"")</f>
        <v/>
      </c>
      <c r="D733" s="16" t="str">
        <f>IFERROR(IF([2]对账明细接口!$D$733=0,"",[2]对账明细接口!$D$733),"")</f>
        <v/>
      </c>
      <c r="E733" s="16" t="str">
        <f>IFERROR(IF([2]对账明细接口!$E$733=0,"",[2]对账明细接口!$E$733),"")</f>
        <v/>
      </c>
      <c r="F733" s="16" t="str">
        <f>IFERROR(IF([2]对账明细接口!$F$733=0,"",[2]对账明细接口!$F$733),"")</f>
        <v/>
      </c>
      <c r="G733" s="16" t="str">
        <f>IFERROR(IF([2]对账明细接口!$G$733=0,"",[2]对账明细接口!$G$733),"")</f>
        <v/>
      </c>
      <c r="H733" s="17" t="str">
        <f>IFERROR(IF([2]对账明细接口!$H$733=0,"",[2]对账明细接口!$H$733),"")</f>
        <v/>
      </c>
      <c r="I733" s="16" t="str">
        <f>IFERROR(IF([2]对账明细接口!$I$733=0,"",[2]对账明细接口!$I$733),"")</f>
        <v/>
      </c>
      <c r="J733" s="18" t="str">
        <f>IFERROR(IF([2]对账明细接口!$J$733=0,"",[2]对账明细接口!$J$733),"")</f>
        <v/>
      </c>
      <c r="K733" s="18" t="str">
        <f>IFERROR(IF([2]对账明细接口!$K$733=0,"",[2]对账明细接口!$K$733),"")</f>
        <v/>
      </c>
      <c r="L733" s="16" t="str">
        <f>IFERROR(IF([2]对账明细接口!$L$733=0,"",[2]对账明细接口!$L$733),"")</f>
        <v/>
      </c>
      <c r="M733" s="16" t="str">
        <f>IFERROR(IF([2]对账明细接口!$M$733=0,"",[2]对账明细接口!$M$733),"")</f>
        <v/>
      </c>
      <c r="N733" s="19">
        <f t="shared" si="66"/>
        <v>0</v>
      </c>
      <c r="O733" s="19">
        <f t="shared" si="67"/>
        <v>165</v>
      </c>
      <c r="S733" s="20" t="str">
        <f>IFERROR(IF([2]对账明细接口!$N733=0,"",[2]对账明细接口!$N733),"")</f>
        <v/>
      </c>
      <c r="T733" s="21" t="str">
        <f>IFERROR(IF([2]对账明细接口!$O733=0,"",[2]对账明细接口!$O733),"")</f>
        <v/>
      </c>
      <c r="U733" s="21" t="str">
        <f>IFERROR(IF([2]对账明细接口!$P733=0,"",[2]对账明细接口!$P733),"")</f>
        <v/>
      </c>
      <c r="V733" s="21" t="str">
        <f>IFERROR(IF([2]对账明细接口!$Q733=0,"",[2]对账明细接口!$Q733),"")</f>
        <v/>
      </c>
      <c r="W733" s="20" t="str">
        <f>IFERROR(IF([2]对账明细接口!$R733=0,"",[2]对账明细接口!$R733),"")</f>
        <v/>
      </c>
      <c r="X733" s="20" t="str">
        <f>IFERROR(IF([2]对账明细接口!$S733=0,"",[2]对账明细接口!$S733),"")</f>
        <v/>
      </c>
      <c r="Y733" s="20" t="str">
        <f t="shared" si="68"/>
        <v/>
      </c>
      <c r="Z733" s="20" t="str">
        <f t="shared" si="69"/>
        <v/>
      </c>
      <c r="AA733" s="20" t="str">
        <f t="shared" si="70"/>
        <v/>
      </c>
      <c r="AB733" s="20" t="str">
        <f t="shared" si="71"/>
        <v/>
      </c>
    </row>
    <row r="734" customHeight="1" spans="1:28">
      <c r="A734" s="14">
        <v>734</v>
      </c>
      <c r="B734" s="15" t="str">
        <f>IFERROR(IF([2]对账明细接口!$B$734=0,"",[2]对账明细接口!$B$734),"")</f>
        <v/>
      </c>
      <c r="C734" s="16" t="str">
        <f>IFERROR(IF([2]对账明细接口!$C$734=0,"",[2]对账明细接口!$C$734),"")</f>
        <v/>
      </c>
      <c r="D734" s="16" t="str">
        <f>IFERROR(IF([2]对账明细接口!$D$734=0,"",[2]对账明细接口!$D$734),"")</f>
        <v/>
      </c>
      <c r="E734" s="16" t="str">
        <f>IFERROR(IF([2]对账明细接口!$E$734=0,"",[2]对账明细接口!$E$734),"")</f>
        <v/>
      </c>
      <c r="F734" s="16" t="str">
        <f>IFERROR(IF([2]对账明细接口!$F$734=0,"",[2]对账明细接口!$F$734),"")</f>
        <v/>
      </c>
      <c r="G734" s="16" t="str">
        <f>IFERROR(IF([2]对账明细接口!$G$734=0,"",[2]对账明细接口!$G$734),"")</f>
        <v/>
      </c>
      <c r="H734" s="17" t="str">
        <f>IFERROR(IF([2]对账明细接口!$H$734=0,"",[2]对账明细接口!$H$734),"")</f>
        <v/>
      </c>
      <c r="I734" s="16" t="str">
        <f>IFERROR(IF([2]对账明细接口!$I$734=0,"",[2]对账明细接口!$I$734),"")</f>
        <v/>
      </c>
      <c r="J734" s="18" t="str">
        <f>IFERROR(IF([2]对账明细接口!$J$734=0,"",[2]对账明细接口!$J$734),"")</f>
        <v/>
      </c>
      <c r="K734" s="18" t="str">
        <f>IFERROR(IF([2]对账明细接口!$K$734=0,"",[2]对账明细接口!$K$734),"")</f>
        <v/>
      </c>
      <c r="L734" s="16" t="str">
        <f>IFERROR(IF([2]对账明细接口!$L$734=0,"",[2]对账明细接口!$L$734),"")</f>
        <v/>
      </c>
      <c r="M734" s="16" t="str">
        <f>IFERROR(IF([2]对账明细接口!$M$734=0,"",[2]对账明细接口!$M$734),"")</f>
        <v/>
      </c>
      <c r="N734" s="19">
        <f t="shared" si="66"/>
        <v>0</v>
      </c>
      <c r="O734" s="19">
        <f t="shared" si="67"/>
        <v>165</v>
      </c>
      <c r="S734" s="20" t="str">
        <f>IFERROR(IF([2]对账明细接口!$N734=0,"",[2]对账明细接口!$N734),"")</f>
        <v/>
      </c>
      <c r="T734" s="21" t="str">
        <f>IFERROR(IF([2]对账明细接口!$O734=0,"",[2]对账明细接口!$O734),"")</f>
        <v/>
      </c>
      <c r="U734" s="21" t="str">
        <f>IFERROR(IF([2]对账明细接口!$P734=0,"",[2]对账明细接口!$P734),"")</f>
        <v/>
      </c>
      <c r="V734" s="21" t="str">
        <f>IFERROR(IF([2]对账明细接口!$Q734=0,"",[2]对账明细接口!$Q734),"")</f>
        <v/>
      </c>
      <c r="W734" s="20" t="str">
        <f>IFERROR(IF([2]对账明细接口!$R734=0,"",[2]对账明细接口!$R734),"")</f>
        <v/>
      </c>
      <c r="X734" s="20" t="str">
        <f>IFERROR(IF([2]对账明细接口!$S734=0,"",[2]对账明细接口!$S734),"")</f>
        <v/>
      </c>
      <c r="Y734" s="20" t="str">
        <f t="shared" si="68"/>
        <v/>
      </c>
      <c r="Z734" s="20" t="str">
        <f t="shared" si="69"/>
        <v/>
      </c>
      <c r="AA734" s="20" t="str">
        <f t="shared" si="70"/>
        <v/>
      </c>
      <c r="AB734" s="20" t="str">
        <f t="shared" si="71"/>
        <v/>
      </c>
    </row>
    <row r="735" customHeight="1" spans="1:28">
      <c r="A735" s="14">
        <v>735</v>
      </c>
      <c r="B735" s="15" t="str">
        <f>IFERROR(IF([2]对账明细接口!$B$735=0,"",[2]对账明细接口!$B$735),"")</f>
        <v/>
      </c>
      <c r="C735" s="16" t="str">
        <f>IFERROR(IF([2]对账明细接口!$C$735=0,"",[2]对账明细接口!$C$735),"")</f>
        <v/>
      </c>
      <c r="D735" s="16" t="str">
        <f>IFERROR(IF([2]对账明细接口!$D$735=0,"",[2]对账明细接口!$D$735),"")</f>
        <v/>
      </c>
      <c r="E735" s="16" t="str">
        <f>IFERROR(IF([2]对账明细接口!$E$735=0,"",[2]对账明细接口!$E$735),"")</f>
        <v/>
      </c>
      <c r="F735" s="16" t="str">
        <f>IFERROR(IF([2]对账明细接口!$F$735=0,"",[2]对账明细接口!$F$735),"")</f>
        <v/>
      </c>
      <c r="G735" s="16" t="str">
        <f>IFERROR(IF([2]对账明细接口!$G$735=0,"",[2]对账明细接口!$G$735),"")</f>
        <v/>
      </c>
      <c r="H735" s="17" t="str">
        <f>IFERROR(IF([2]对账明细接口!$H$735=0,"",[2]对账明细接口!$H$735),"")</f>
        <v/>
      </c>
      <c r="I735" s="16" t="str">
        <f>IFERROR(IF([2]对账明细接口!$I$735=0,"",[2]对账明细接口!$I$735),"")</f>
        <v/>
      </c>
      <c r="J735" s="18" t="str">
        <f>IFERROR(IF([2]对账明细接口!$J$735=0,"",[2]对账明细接口!$J$735),"")</f>
        <v/>
      </c>
      <c r="K735" s="18" t="str">
        <f>IFERROR(IF([2]对账明细接口!$K$735=0,"",[2]对账明细接口!$K$735),"")</f>
        <v/>
      </c>
      <c r="L735" s="16" t="str">
        <f>IFERROR(IF([2]对账明细接口!$L$735=0,"",[2]对账明细接口!$L$735),"")</f>
        <v/>
      </c>
      <c r="M735" s="16" t="str">
        <f>IFERROR(IF([2]对账明细接口!$M$735=0,"",[2]对账明细接口!$M$735),"")</f>
        <v/>
      </c>
      <c r="N735" s="19">
        <f t="shared" si="66"/>
        <v>0</v>
      </c>
      <c r="O735" s="19">
        <f t="shared" si="67"/>
        <v>165</v>
      </c>
      <c r="S735" s="20" t="str">
        <f>IFERROR(IF([2]对账明细接口!$N735=0,"",[2]对账明细接口!$N735),"")</f>
        <v/>
      </c>
      <c r="T735" s="21" t="str">
        <f>IFERROR(IF([2]对账明细接口!$O735=0,"",[2]对账明细接口!$O735),"")</f>
        <v/>
      </c>
      <c r="U735" s="21" t="str">
        <f>IFERROR(IF([2]对账明细接口!$P735=0,"",[2]对账明细接口!$P735),"")</f>
        <v/>
      </c>
      <c r="V735" s="21" t="str">
        <f>IFERROR(IF([2]对账明细接口!$Q735=0,"",[2]对账明细接口!$Q735),"")</f>
        <v/>
      </c>
      <c r="W735" s="20" t="str">
        <f>IFERROR(IF([2]对账明细接口!$R735=0,"",[2]对账明细接口!$R735),"")</f>
        <v/>
      </c>
      <c r="X735" s="20" t="str">
        <f>IFERROR(IF([2]对账明细接口!$S735=0,"",[2]对账明细接口!$S735),"")</f>
        <v/>
      </c>
      <c r="Y735" s="20" t="str">
        <f t="shared" si="68"/>
        <v/>
      </c>
      <c r="Z735" s="20" t="str">
        <f t="shared" si="69"/>
        <v/>
      </c>
      <c r="AA735" s="20" t="str">
        <f t="shared" si="70"/>
        <v/>
      </c>
      <c r="AB735" s="20" t="str">
        <f t="shared" si="71"/>
        <v/>
      </c>
    </row>
    <row r="736" customHeight="1" spans="1:28">
      <c r="A736" s="14">
        <v>736</v>
      </c>
      <c r="B736" s="15" t="str">
        <f>IFERROR(IF([2]对账明细接口!$B$736=0,"",[2]对账明细接口!$B$736),"")</f>
        <v/>
      </c>
      <c r="C736" s="16" t="str">
        <f>IFERROR(IF([2]对账明细接口!$C$736=0,"",[2]对账明细接口!$C$736),"")</f>
        <v/>
      </c>
      <c r="D736" s="16" t="str">
        <f>IFERROR(IF([2]对账明细接口!$D$736=0,"",[2]对账明细接口!$D$736),"")</f>
        <v/>
      </c>
      <c r="E736" s="16" t="str">
        <f>IFERROR(IF([2]对账明细接口!$E$736=0,"",[2]对账明细接口!$E$736),"")</f>
        <v/>
      </c>
      <c r="F736" s="16" t="str">
        <f>IFERROR(IF([2]对账明细接口!$F$736=0,"",[2]对账明细接口!$F$736),"")</f>
        <v/>
      </c>
      <c r="G736" s="16" t="str">
        <f>IFERROR(IF([2]对账明细接口!$G$736=0,"",[2]对账明细接口!$G$736),"")</f>
        <v/>
      </c>
      <c r="H736" s="17" t="str">
        <f>IFERROR(IF([2]对账明细接口!$H$736=0,"",[2]对账明细接口!$H$736),"")</f>
        <v/>
      </c>
      <c r="I736" s="16" t="str">
        <f>IFERROR(IF([2]对账明细接口!$I$736=0,"",[2]对账明细接口!$I$736),"")</f>
        <v/>
      </c>
      <c r="J736" s="18" t="str">
        <f>IFERROR(IF([2]对账明细接口!$J$736=0,"",[2]对账明细接口!$J$736),"")</f>
        <v/>
      </c>
      <c r="K736" s="18" t="str">
        <f>IFERROR(IF([2]对账明细接口!$K$736=0,"",[2]对账明细接口!$K$736),"")</f>
        <v/>
      </c>
      <c r="L736" s="16" t="str">
        <f>IFERROR(IF([2]对账明细接口!$L$736=0,"",[2]对账明细接口!$L$736),"")</f>
        <v/>
      </c>
      <c r="M736" s="16" t="str">
        <f>IFERROR(IF([2]对账明细接口!$M$736=0,"",[2]对账明细接口!$M$736),"")</f>
        <v/>
      </c>
      <c r="N736" s="19">
        <f t="shared" si="66"/>
        <v>0</v>
      </c>
      <c r="O736" s="19">
        <f t="shared" si="67"/>
        <v>165</v>
      </c>
      <c r="S736" s="20" t="str">
        <f>IFERROR(IF([2]对账明细接口!$N736=0,"",[2]对账明细接口!$N736),"")</f>
        <v/>
      </c>
      <c r="T736" s="21" t="str">
        <f>IFERROR(IF([2]对账明细接口!$O736=0,"",[2]对账明细接口!$O736),"")</f>
        <v/>
      </c>
      <c r="U736" s="21" t="str">
        <f>IFERROR(IF([2]对账明细接口!$P736=0,"",[2]对账明细接口!$P736),"")</f>
        <v/>
      </c>
      <c r="V736" s="21" t="str">
        <f>IFERROR(IF([2]对账明细接口!$Q736=0,"",[2]对账明细接口!$Q736),"")</f>
        <v/>
      </c>
      <c r="W736" s="20" t="str">
        <f>IFERROR(IF([2]对账明细接口!$R736=0,"",[2]对账明细接口!$R736),"")</f>
        <v/>
      </c>
      <c r="X736" s="20" t="str">
        <f>IFERROR(IF([2]对账明细接口!$S736=0,"",[2]对账明细接口!$S736),"")</f>
        <v/>
      </c>
      <c r="Y736" s="20" t="str">
        <f t="shared" si="68"/>
        <v/>
      </c>
      <c r="Z736" s="20" t="str">
        <f t="shared" si="69"/>
        <v/>
      </c>
      <c r="AA736" s="20" t="str">
        <f t="shared" si="70"/>
        <v/>
      </c>
      <c r="AB736" s="20" t="str">
        <f t="shared" si="71"/>
        <v/>
      </c>
    </row>
    <row r="737" customHeight="1" spans="1:28">
      <c r="A737" s="14">
        <v>737</v>
      </c>
      <c r="B737" s="15" t="str">
        <f>IFERROR(IF([2]对账明细接口!$B$737=0,"",[2]对账明细接口!$B$737),"")</f>
        <v/>
      </c>
      <c r="C737" s="16" t="str">
        <f>IFERROR(IF([2]对账明细接口!$C$737=0,"",[2]对账明细接口!$C$737),"")</f>
        <v/>
      </c>
      <c r="D737" s="16" t="str">
        <f>IFERROR(IF([2]对账明细接口!$D$737=0,"",[2]对账明细接口!$D$737),"")</f>
        <v/>
      </c>
      <c r="E737" s="16" t="str">
        <f>IFERROR(IF([2]对账明细接口!$E$737=0,"",[2]对账明细接口!$E$737),"")</f>
        <v/>
      </c>
      <c r="F737" s="16" t="str">
        <f>IFERROR(IF([2]对账明细接口!$F$737=0,"",[2]对账明细接口!$F$737),"")</f>
        <v/>
      </c>
      <c r="G737" s="16" t="str">
        <f>IFERROR(IF([2]对账明细接口!$G$737=0,"",[2]对账明细接口!$G$737),"")</f>
        <v/>
      </c>
      <c r="H737" s="17" t="str">
        <f>IFERROR(IF([2]对账明细接口!$H$737=0,"",[2]对账明细接口!$H$737),"")</f>
        <v/>
      </c>
      <c r="I737" s="16" t="str">
        <f>IFERROR(IF([2]对账明细接口!$I$737=0,"",[2]对账明细接口!$I$737),"")</f>
        <v/>
      </c>
      <c r="J737" s="18" t="str">
        <f>IFERROR(IF([2]对账明细接口!$J$737=0,"",[2]对账明细接口!$J$737),"")</f>
        <v/>
      </c>
      <c r="K737" s="18" t="str">
        <f>IFERROR(IF([2]对账明细接口!$K$737=0,"",[2]对账明细接口!$K$737),"")</f>
        <v/>
      </c>
      <c r="L737" s="16" t="str">
        <f>IFERROR(IF([2]对账明细接口!$L$737=0,"",[2]对账明细接口!$L$737),"")</f>
        <v/>
      </c>
      <c r="M737" s="16" t="str">
        <f>IFERROR(IF([2]对账明细接口!$M$737=0,"",[2]对账明细接口!$M$737),"")</f>
        <v/>
      </c>
      <c r="N737" s="19">
        <f t="shared" si="66"/>
        <v>0</v>
      </c>
      <c r="O737" s="19">
        <f t="shared" si="67"/>
        <v>165</v>
      </c>
      <c r="S737" s="20" t="str">
        <f>IFERROR(IF([2]对账明细接口!$N737=0,"",[2]对账明细接口!$N737),"")</f>
        <v/>
      </c>
      <c r="T737" s="21" t="str">
        <f>IFERROR(IF([2]对账明细接口!$O737=0,"",[2]对账明细接口!$O737),"")</f>
        <v/>
      </c>
      <c r="U737" s="21" t="str">
        <f>IFERROR(IF([2]对账明细接口!$P737=0,"",[2]对账明细接口!$P737),"")</f>
        <v/>
      </c>
      <c r="V737" s="21" t="str">
        <f>IFERROR(IF([2]对账明细接口!$Q737=0,"",[2]对账明细接口!$Q737),"")</f>
        <v/>
      </c>
      <c r="W737" s="20" t="str">
        <f>IFERROR(IF([2]对账明细接口!$R737=0,"",[2]对账明细接口!$R737),"")</f>
        <v/>
      </c>
      <c r="X737" s="20" t="str">
        <f>IFERROR(IF([2]对账明细接口!$S737=0,"",[2]对账明细接口!$S737),"")</f>
        <v/>
      </c>
      <c r="Y737" s="20" t="str">
        <f t="shared" si="68"/>
        <v/>
      </c>
      <c r="Z737" s="20" t="str">
        <f t="shared" si="69"/>
        <v/>
      </c>
      <c r="AA737" s="20" t="str">
        <f t="shared" si="70"/>
        <v/>
      </c>
      <c r="AB737" s="20" t="str">
        <f t="shared" si="71"/>
        <v/>
      </c>
    </row>
    <row r="738" customHeight="1" spans="1:28">
      <c r="A738" s="14">
        <v>738</v>
      </c>
      <c r="B738" s="15" t="str">
        <f>IFERROR(IF([2]对账明细接口!$B$738=0,"",[2]对账明细接口!$B$738),"")</f>
        <v/>
      </c>
      <c r="C738" s="16" t="str">
        <f>IFERROR(IF([2]对账明细接口!$C$738=0,"",[2]对账明细接口!$C$738),"")</f>
        <v/>
      </c>
      <c r="D738" s="16" t="str">
        <f>IFERROR(IF([2]对账明细接口!$D$738=0,"",[2]对账明细接口!$D$738),"")</f>
        <v/>
      </c>
      <c r="E738" s="16" t="str">
        <f>IFERROR(IF([2]对账明细接口!$E$738=0,"",[2]对账明细接口!$E$738),"")</f>
        <v/>
      </c>
      <c r="F738" s="16" t="str">
        <f>IFERROR(IF([2]对账明细接口!$F$738=0,"",[2]对账明细接口!$F$738),"")</f>
        <v/>
      </c>
      <c r="G738" s="16" t="str">
        <f>IFERROR(IF([2]对账明细接口!$G$738=0,"",[2]对账明细接口!$G$738),"")</f>
        <v/>
      </c>
      <c r="H738" s="17" t="str">
        <f>IFERROR(IF([2]对账明细接口!$H$738=0,"",[2]对账明细接口!$H$738),"")</f>
        <v/>
      </c>
      <c r="I738" s="16" t="str">
        <f>IFERROR(IF([2]对账明细接口!$I$738=0,"",[2]对账明细接口!$I$738),"")</f>
        <v/>
      </c>
      <c r="J738" s="18" t="str">
        <f>IFERROR(IF([2]对账明细接口!$J$738=0,"",[2]对账明细接口!$J$738),"")</f>
        <v/>
      </c>
      <c r="K738" s="18" t="str">
        <f>IFERROR(IF([2]对账明细接口!$K$738=0,"",[2]对账明细接口!$K$738),"")</f>
        <v/>
      </c>
      <c r="L738" s="16" t="str">
        <f>IFERROR(IF([2]对账明细接口!$L$738=0,"",[2]对账明细接口!$L$738),"")</f>
        <v/>
      </c>
      <c r="M738" s="16" t="str">
        <f>IFERROR(IF([2]对账明细接口!$M$738=0,"",[2]对账明细接口!$M$738),"")</f>
        <v/>
      </c>
      <c r="N738" s="19">
        <f t="shared" si="66"/>
        <v>0</v>
      </c>
      <c r="O738" s="19">
        <f t="shared" si="67"/>
        <v>165</v>
      </c>
      <c r="S738" s="20" t="str">
        <f>IFERROR(IF([2]对账明细接口!$N738=0,"",[2]对账明细接口!$N738),"")</f>
        <v/>
      </c>
      <c r="T738" s="21" t="str">
        <f>IFERROR(IF([2]对账明细接口!$O738=0,"",[2]对账明细接口!$O738),"")</f>
        <v/>
      </c>
      <c r="U738" s="21" t="str">
        <f>IFERROR(IF([2]对账明细接口!$P738=0,"",[2]对账明细接口!$P738),"")</f>
        <v/>
      </c>
      <c r="V738" s="21" t="str">
        <f>IFERROR(IF([2]对账明细接口!$Q738=0,"",[2]对账明细接口!$Q738),"")</f>
        <v/>
      </c>
      <c r="W738" s="20" t="str">
        <f>IFERROR(IF([2]对账明细接口!$R738=0,"",[2]对账明细接口!$R738),"")</f>
        <v/>
      </c>
      <c r="X738" s="20" t="str">
        <f>IFERROR(IF([2]对账明细接口!$S738=0,"",[2]对账明细接口!$S738),"")</f>
        <v/>
      </c>
      <c r="Y738" s="20" t="str">
        <f t="shared" si="68"/>
        <v/>
      </c>
      <c r="Z738" s="20" t="str">
        <f t="shared" si="69"/>
        <v/>
      </c>
      <c r="AA738" s="20" t="str">
        <f t="shared" si="70"/>
        <v/>
      </c>
      <c r="AB738" s="20" t="str">
        <f t="shared" si="71"/>
        <v/>
      </c>
    </row>
    <row r="739" customHeight="1" spans="1:28">
      <c r="A739" s="14">
        <v>739</v>
      </c>
      <c r="B739" s="15" t="str">
        <f>IFERROR(IF([2]对账明细接口!$B$739=0,"",[2]对账明细接口!$B$739),"")</f>
        <v/>
      </c>
      <c r="C739" s="16" t="str">
        <f>IFERROR(IF([2]对账明细接口!$C$739=0,"",[2]对账明细接口!$C$739),"")</f>
        <v/>
      </c>
      <c r="D739" s="16" t="str">
        <f>IFERROR(IF([2]对账明细接口!$D$739=0,"",[2]对账明细接口!$D$739),"")</f>
        <v/>
      </c>
      <c r="E739" s="16" t="str">
        <f>IFERROR(IF([2]对账明细接口!$E$739=0,"",[2]对账明细接口!$E$739),"")</f>
        <v/>
      </c>
      <c r="F739" s="16" t="str">
        <f>IFERROR(IF([2]对账明细接口!$F$739=0,"",[2]对账明细接口!$F$739),"")</f>
        <v/>
      </c>
      <c r="G739" s="16" t="str">
        <f>IFERROR(IF([2]对账明细接口!$G$739=0,"",[2]对账明细接口!$G$739),"")</f>
        <v/>
      </c>
      <c r="H739" s="17" t="str">
        <f>IFERROR(IF([2]对账明细接口!$H$739=0,"",[2]对账明细接口!$H$739),"")</f>
        <v/>
      </c>
      <c r="I739" s="16" t="str">
        <f>IFERROR(IF([2]对账明细接口!$I$739=0,"",[2]对账明细接口!$I$739),"")</f>
        <v/>
      </c>
      <c r="J739" s="18" t="str">
        <f>IFERROR(IF([2]对账明细接口!$J$739=0,"",[2]对账明细接口!$J$739),"")</f>
        <v/>
      </c>
      <c r="K739" s="18" t="str">
        <f>IFERROR(IF([2]对账明细接口!$K$739=0,"",[2]对账明细接口!$K$739),"")</f>
        <v/>
      </c>
      <c r="L739" s="16" t="str">
        <f>IFERROR(IF([2]对账明细接口!$L$739=0,"",[2]对账明细接口!$L$739),"")</f>
        <v/>
      </c>
      <c r="M739" s="16" t="str">
        <f>IFERROR(IF([2]对账明细接口!$M$739=0,"",[2]对账明细接口!$M$739),"")</f>
        <v/>
      </c>
      <c r="N739" s="19">
        <f t="shared" si="66"/>
        <v>0</v>
      </c>
      <c r="O739" s="19">
        <f t="shared" si="67"/>
        <v>165</v>
      </c>
      <c r="S739" s="20" t="str">
        <f>IFERROR(IF([2]对账明细接口!$N739=0,"",[2]对账明细接口!$N739),"")</f>
        <v/>
      </c>
      <c r="T739" s="21" t="str">
        <f>IFERROR(IF([2]对账明细接口!$O739=0,"",[2]对账明细接口!$O739),"")</f>
        <v/>
      </c>
      <c r="U739" s="21" t="str">
        <f>IFERROR(IF([2]对账明细接口!$P739=0,"",[2]对账明细接口!$P739),"")</f>
        <v/>
      </c>
      <c r="V739" s="21" t="str">
        <f>IFERROR(IF([2]对账明细接口!$Q739=0,"",[2]对账明细接口!$Q739),"")</f>
        <v/>
      </c>
      <c r="W739" s="20" t="str">
        <f>IFERROR(IF([2]对账明细接口!$R739=0,"",[2]对账明细接口!$R739),"")</f>
        <v/>
      </c>
      <c r="X739" s="20" t="str">
        <f>IFERROR(IF([2]对账明细接口!$S739=0,"",[2]对账明细接口!$S739),"")</f>
        <v/>
      </c>
      <c r="Y739" s="20" t="str">
        <f t="shared" si="68"/>
        <v/>
      </c>
      <c r="Z739" s="20" t="str">
        <f t="shared" si="69"/>
        <v/>
      </c>
      <c r="AA739" s="20" t="str">
        <f t="shared" si="70"/>
        <v/>
      </c>
      <c r="AB739" s="20" t="str">
        <f t="shared" si="71"/>
        <v/>
      </c>
    </row>
    <row r="740" customHeight="1" spans="1:28">
      <c r="A740" s="14">
        <v>740</v>
      </c>
      <c r="B740" s="15" t="str">
        <f>IFERROR(IF([2]对账明细接口!$B$740=0,"",[2]对账明细接口!$B$740),"")</f>
        <v/>
      </c>
      <c r="C740" s="16" t="str">
        <f>IFERROR(IF([2]对账明细接口!$C$740=0,"",[2]对账明细接口!$C$740),"")</f>
        <v/>
      </c>
      <c r="D740" s="16" t="str">
        <f>IFERROR(IF([2]对账明细接口!$D$740=0,"",[2]对账明细接口!$D$740),"")</f>
        <v/>
      </c>
      <c r="E740" s="16" t="str">
        <f>IFERROR(IF([2]对账明细接口!$E$740=0,"",[2]对账明细接口!$E$740),"")</f>
        <v/>
      </c>
      <c r="F740" s="16" t="str">
        <f>IFERROR(IF([2]对账明细接口!$F$740=0,"",[2]对账明细接口!$F$740),"")</f>
        <v/>
      </c>
      <c r="G740" s="16" t="str">
        <f>IFERROR(IF([2]对账明细接口!$G$740=0,"",[2]对账明细接口!$G$740),"")</f>
        <v/>
      </c>
      <c r="H740" s="17" t="str">
        <f>IFERROR(IF([2]对账明细接口!$H$740=0,"",[2]对账明细接口!$H$740),"")</f>
        <v/>
      </c>
      <c r="I740" s="16" t="str">
        <f>IFERROR(IF([2]对账明细接口!$I$740=0,"",[2]对账明细接口!$I$740),"")</f>
        <v/>
      </c>
      <c r="J740" s="18" t="str">
        <f>IFERROR(IF([2]对账明细接口!$J$740=0,"",[2]对账明细接口!$J$740),"")</f>
        <v/>
      </c>
      <c r="K740" s="18" t="str">
        <f>IFERROR(IF([2]对账明细接口!$K$740=0,"",[2]对账明细接口!$K$740),"")</f>
        <v/>
      </c>
      <c r="L740" s="16" t="str">
        <f>IFERROR(IF([2]对账明细接口!$L$740=0,"",[2]对账明细接口!$L$740),"")</f>
        <v/>
      </c>
      <c r="M740" s="16" t="str">
        <f>IFERROR(IF([2]对账明细接口!$M$740=0,"",[2]对账明细接口!$M$740),"")</f>
        <v/>
      </c>
      <c r="N740" s="19">
        <f t="shared" si="66"/>
        <v>0</v>
      </c>
      <c r="O740" s="19">
        <f t="shared" si="67"/>
        <v>165</v>
      </c>
      <c r="S740" s="20" t="str">
        <f>IFERROR(IF([2]对账明细接口!$N740=0,"",[2]对账明细接口!$N740),"")</f>
        <v/>
      </c>
      <c r="T740" s="21" t="str">
        <f>IFERROR(IF([2]对账明细接口!$O740=0,"",[2]对账明细接口!$O740),"")</f>
        <v/>
      </c>
      <c r="U740" s="21" t="str">
        <f>IFERROR(IF([2]对账明细接口!$P740=0,"",[2]对账明细接口!$P740),"")</f>
        <v/>
      </c>
      <c r="V740" s="21" t="str">
        <f>IFERROR(IF([2]对账明细接口!$Q740=0,"",[2]对账明细接口!$Q740),"")</f>
        <v/>
      </c>
      <c r="W740" s="20" t="str">
        <f>IFERROR(IF([2]对账明细接口!$R740=0,"",[2]对账明细接口!$R740),"")</f>
        <v/>
      </c>
      <c r="X740" s="20" t="str">
        <f>IFERROR(IF([2]对账明细接口!$S740=0,"",[2]对账明细接口!$S740),"")</f>
        <v/>
      </c>
      <c r="Y740" s="20" t="str">
        <f t="shared" si="68"/>
        <v/>
      </c>
      <c r="Z740" s="20" t="str">
        <f t="shared" si="69"/>
        <v/>
      </c>
      <c r="AA740" s="20" t="str">
        <f t="shared" si="70"/>
        <v/>
      </c>
      <c r="AB740" s="20" t="str">
        <f t="shared" si="71"/>
        <v/>
      </c>
    </row>
    <row r="741" customHeight="1" spans="1:28">
      <c r="A741" s="14">
        <v>741</v>
      </c>
      <c r="B741" s="15" t="str">
        <f>IFERROR(IF([2]对账明细接口!$B$741=0,"",[2]对账明细接口!$B$741),"")</f>
        <v/>
      </c>
      <c r="C741" s="16" t="str">
        <f>IFERROR(IF([2]对账明细接口!$C$741=0,"",[2]对账明细接口!$C$741),"")</f>
        <v/>
      </c>
      <c r="D741" s="16" t="str">
        <f>IFERROR(IF([2]对账明细接口!$D$741=0,"",[2]对账明细接口!$D$741),"")</f>
        <v/>
      </c>
      <c r="E741" s="16" t="str">
        <f>IFERROR(IF([2]对账明细接口!$E$741=0,"",[2]对账明细接口!$E$741),"")</f>
        <v/>
      </c>
      <c r="F741" s="16" t="str">
        <f>IFERROR(IF([2]对账明细接口!$F$741=0,"",[2]对账明细接口!$F$741),"")</f>
        <v/>
      </c>
      <c r="G741" s="16" t="str">
        <f>IFERROR(IF([2]对账明细接口!$G$741=0,"",[2]对账明细接口!$G$741),"")</f>
        <v/>
      </c>
      <c r="H741" s="17" t="str">
        <f>IFERROR(IF([2]对账明细接口!$H$741=0,"",[2]对账明细接口!$H$741),"")</f>
        <v/>
      </c>
      <c r="I741" s="16" t="str">
        <f>IFERROR(IF([2]对账明细接口!$I$741=0,"",[2]对账明细接口!$I$741),"")</f>
        <v/>
      </c>
      <c r="J741" s="18" t="str">
        <f>IFERROR(IF([2]对账明细接口!$J$741=0,"",[2]对账明细接口!$J$741),"")</f>
        <v/>
      </c>
      <c r="K741" s="18" t="str">
        <f>IFERROR(IF([2]对账明细接口!$K$741=0,"",[2]对账明细接口!$K$741),"")</f>
        <v/>
      </c>
      <c r="L741" s="16" t="str">
        <f>IFERROR(IF([2]对账明细接口!$L$741=0,"",[2]对账明细接口!$L$741),"")</f>
        <v/>
      </c>
      <c r="M741" s="16" t="str">
        <f>IFERROR(IF([2]对账明细接口!$M$741=0,"",[2]对账明细接口!$M$741),"")</f>
        <v/>
      </c>
      <c r="N741" s="19">
        <f t="shared" si="66"/>
        <v>0</v>
      </c>
      <c r="O741" s="19">
        <f t="shared" si="67"/>
        <v>165</v>
      </c>
      <c r="S741" s="20" t="str">
        <f>IFERROR(IF([2]对账明细接口!$N741=0,"",[2]对账明细接口!$N741),"")</f>
        <v/>
      </c>
      <c r="T741" s="21" t="str">
        <f>IFERROR(IF([2]对账明细接口!$O741=0,"",[2]对账明细接口!$O741),"")</f>
        <v/>
      </c>
      <c r="U741" s="21" t="str">
        <f>IFERROR(IF([2]对账明细接口!$P741=0,"",[2]对账明细接口!$P741),"")</f>
        <v/>
      </c>
      <c r="V741" s="21" t="str">
        <f>IFERROR(IF([2]对账明细接口!$Q741=0,"",[2]对账明细接口!$Q741),"")</f>
        <v/>
      </c>
      <c r="W741" s="20" t="str">
        <f>IFERROR(IF([2]对账明细接口!$R741=0,"",[2]对账明细接口!$R741),"")</f>
        <v/>
      </c>
      <c r="X741" s="20" t="str">
        <f>IFERROR(IF([2]对账明细接口!$S741=0,"",[2]对账明细接口!$S741),"")</f>
        <v/>
      </c>
      <c r="Y741" s="20" t="str">
        <f t="shared" si="68"/>
        <v/>
      </c>
      <c r="Z741" s="20" t="str">
        <f t="shared" si="69"/>
        <v/>
      </c>
      <c r="AA741" s="20" t="str">
        <f t="shared" si="70"/>
        <v/>
      </c>
      <c r="AB741" s="20" t="str">
        <f t="shared" si="71"/>
        <v/>
      </c>
    </row>
    <row r="742" customHeight="1" spans="1:28">
      <c r="A742" s="14">
        <v>742</v>
      </c>
      <c r="B742" s="15" t="str">
        <f>IFERROR(IF([2]对账明细接口!$B$742=0,"",[2]对账明细接口!$B$742),"")</f>
        <v/>
      </c>
      <c r="C742" s="16" t="str">
        <f>IFERROR(IF([2]对账明细接口!$C$742=0,"",[2]对账明细接口!$C$742),"")</f>
        <v/>
      </c>
      <c r="D742" s="16" t="str">
        <f>IFERROR(IF([2]对账明细接口!$D$742=0,"",[2]对账明细接口!$D$742),"")</f>
        <v/>
      </c>
      <c r="E742" s="16" t="str">
        <f>IFERROR(IF([2]对账明细接口!$E$742=0,"",[2]对账明细接口!$E$742),"")</f>
        <v/>
      </c>
      <c r="F742" s="16" t="str">
        <f>IFERROR(IF([2]对账明细接口!$F$742=0,"",[2]对账明细接口!$F$742),"")</f>
        <v/>
      </c>
      <c r="G742" s="16" t="str">
        <f>IFERROR(IF([2]对账明细接口!$G$742=0,"",[2]对账明细接口!$G$742),"")</f>
        <v/>
      </c>
      <c r="H742" s="17" t="str">
        <f>IFERROR(IF([2]对账明细接口!$H$742=0,"",[2]对账明细接口!$H$742),"")</f>
        <v/>
      </c>
      <c r="I742" s="16" t="str">
        <f>IFERROR(IF([2]对账明细接口!$I$742=0,"",[2]对账明细接口!$I$742),"")</f>
        <v/>
      </c>
      <c r="J742" s="18" t="str">
        <f>IFERROR(IF([2]对账明细接口!$J$742=0,"",[2]对账明细接口!$J$742),"")</f>
        <v/>
      </c>
      <c r="K742" s="18" t="str">
        <f>IFERROR(IF([2]对账明细接口!$K$742=0,"",[2]对账明细接口!$K$742),"")</f>
        <v/>
      </c>
      <c r="L742" s="16" t="str">
        <f>IFERROR(IF([2]对账明细接口!$L$742=0,"",[2]对账明细接口!$L$742),"")</f>
        <v/>
      </c>
      <c r="M742" s="16" t="str">
        <f>IFERROR(IF([2]对账明细接口!$M$742=0,"",[2]对账明细接口!$M$742),"")</f>
        <v/>
      </c>
      <c r="N742" s="19">
        <f t="shared" si="66"/>
        <v>0</v>
      </c>
      <c r="O742" s="19">
        <f t="shared" si="67"/>
        <v>165</v>
      </c>
      <c r="S742" s="20" t="str">
        <f>IFERROR(IF([2]对账明细接口!$N742=0,"",[2]对账明细接口!$N742),"")</f>
        <v/>
      </c>
      <c r="T742" s="21" t="str">
        <f>IFERROR(IF([2]对账明细接口!$O742=0,"",[2]对账明细接口!$O742),"")</f>
        <v/>
      </c>
      <c r="U742" s="21" t="str">
        <f>IFERROR(IF([2]对账明细接口!$P742=0,"",[2]对账明细接口!$P742),"")</f>
        <v/>
      </c>
      <c r="V742" s="21" t="str">
        <f>IFERROR(IF([2]对账明细接口!$Q742=0,"",[2]对账明细接口!$Q742),"")</f>
        <v/>
      </c>
      <c r="W742" s="20" t="str">
        <f>IFERROR(IF([2]对账明细接口!$R742=0,"",[2]对账明细接口!$R742),"")</f>
        <v/>
      </c>
      <c r="X742" s="20" t="str">
        <f>IFERROR(IF([2]对账明细接口!$S742=0,"",[2]对账明细接口!$S742),"")</f>
        <v/>
      </c>
      <c r="Y742" s="20" t="str">
        <f t="shared" si="68"/>
        <v/>
      </c>
      <c r="Z742" s="20" t="str">
        <f t="shared" si="69"/>
        <v/>
      </c>
      <c r="AA742" s="20" t="str">
        <f t="shared" si="70"/>
        <v/>
      </c>
      <c r="AB742" s="20" t="str">
        <f t="shared" si="71"/>
        <v/>
      </c>
    </row>
    <row r="743" customHeight="1" spans="1:28">
      <c r="A743" s="14">
        <v>743</v>
      </c>
      <c r="B743" s="15" t="str">
        <f>IFERROR(IF([2]对账明细接口!$B$743=0,"",[2]对账明细接口!$B$743),"")</f>
        <v/>
      </c>
      <c r="C743" s="16" t="str">
        <f>IFERROR(IF([2]对账明细接口!$C$743=0,"",[2]对账明细接口!$C$743),"")</f>
        <v/>
      </c>
      <c r="D743" s="16" t="str">
        <f>IFERROR(IF([2]对账明细接口!$D$743=0,"",[2]对账明细接口!$D$743),"")</f>
        <v/>
      </c>
      <c r="E743" s="16" t="str">
        <f>IFERROR(IF([2]对账明细接口!$E$743=0,"",[2]对账明细接口!$E$743),"")</f>
        <v/>
      </c>
      <c r="F743" s="16" t="str">
        <f>IFERROR(IF([2]对账明细接口!$F$743=0,"",[2]对账明细接口!$F$743),"")</f>
        <v/>
      </c>
      <c r="G743" s="16" t="str">
        <f>IFERROR(IF([2]对账明细接口!$G$743=0,"",[2]对账明细接口!$G$743),"")</f>
        <v/>
      </c>
      <c r="H743" s="17" t="str">
        <f>IFERROR(IF([2]对账明细接口!$H$743=0,"",[2]对账明细接口!$H$743),"")</f>
        <v/>
      </c>
      <c r="I743" s="16" t="str">
        <f>IFERROR(IF([2]对账明细接口!$I$743=0,"",[2]对账明细接口!$I$743),"")</f>
        <v/>
      </c>
      <c r="J743" s="18" t="str">
        <f>IFERROR(IF([2]对账明细接口!$J$743=0,"",[2]对账明细接口!$J$743),"")</f>
        <v/>
      </c>
      <c r="K743" s="18" t="str">
        <f>IFERROR(IF([2]对账明细接口!$K$743=0,"",[2]对账明细接口!$K$743),"")</f>
        <v/>
      </c>
      <c r="L743" s="16" t="str">
        <f>IFERROR(IF([2]对账明细接口!$L$743=0,"",[2]对账明细接口!$L$743),"")</f>
        <v/>
      </c>
      <c r="M743" s="16" t="str">
        <f>IFERROR(IF([2]对账明细接口!$M$743=0,"",[2]对账明细接口!$M$743),"")</f>
        <v/>
      </c>
      <c r="N743" s="19">
        <f t="shared" si="66"/>
        <v>0</v>
      </c>
      <c r="O743" s="19">
        <f t="shared" si="67"/>
        <v>165</v>
      </c>
      <c r="S743" s="20" t="str">
        <f>IFERROR(IF([2]对账明细接口!$N743=0,"",[2]对账明细接口!$N743),"")</f>
        <v/>
      </c>
      <c r="T743" s="21" t="str">
        <f>IFERROR(IF([2]对账明细接口!$O743=0,"",[2]对账明细接口!$O743),"")</f>
        <v/>
      </c>
      <c r="U743" s="21" t="str">
        <f>IFERROR(IF([2]对账明细接口!$P743=0,"",[2]对账明细接口!$P743),"")</f>
        <v/>
      </c>
      <c r="V743" s="21" t="str">
        <f>IFERROR(IF([2]对账明细接口!$Q743=0,"",[2]对账明细接口!$Q743),"")</f>
        <v/>
      </c>
      <c r="W743" s="20" t="str">
        <f>IFERROR(IF([2]对账明细接口!$R743=0,"",[2]对账明细接口!$R743),"")</f>
        <v/>
      </c>
      <c r="X743" s="20" t="str">
        <f>IFERROR(IF([2]对账明细接口!$S743=0,"",[2]对账明细接口!$S743),"")</f>
        <v/>
      </c>
      <c r="Y743" s="20" t="str">
        <f t="shared" si="68"/>
        <v/>
      </c>
      <c r="Z743" s="20" t="str">
        <f t="shared" si="69"/>
        <v/>
      </c>
      <c r="AA743" s="20" t="str">
        <f t="shared" si="70"/>
        <v/>
      </c>
      <c r="AB743" s="20" t="str">
        <f t="shared" si="71"/>
        <v/>
      </c>
    </row>
    <row r="744" customHeight="1" spans="1:28">
      <c r="A744" s="14">
        <v>744</v>
      </c>
      <c r="B744" s="15" t="str">
        <f>IFERROR(IF([2]对账明细接口!$B$744=0,"",[2]对账明细接口!$B$744),"")</f>
        <v/>
      </c>
      <c r="C744" s="16" t="str">
        <f>IFERROR(IF([2]对账明细接口!$C$744=0,"",[2]对账明细接口!$C$744),"")</f>
        <v/>
      </c>
      <c r="D744" s="16" t="str">
        <f>IFERROR(IF([2]对账明细接口!$D$744=0,"",[2]对账明细接口!$D$744),"")</f>
        <v/>
      </c>
      <c r="E744" s="16" t="str">
        <f>IFERROR(IF([2]对账明细接口!$E$744=0,"",[2]对账明细接口!$E$744),"")</f>
        <v/>
      </c>
      <c r="F744" s="16" t="str">
        <f>IFERROR(IF([2]对账明细接口!$F$744=0,"",[2]对账明细接口!$F$744),"")</f>
        <v/>
      </c>
      <c r="G744" s="16" t="str">
        <f>IFERROR(IF([2]对账明细接口!$G$744=0,"",[2]对账明细接口!$G$744),"")</f>
        <v/>
      </c>
      <c r="H744" s="17" t="str">
        <f>IFERROR(IF([2]对账明细接口!$H$744=0,"",[2]对账明细接口!$H$744),"")</f>
        <v/>
      </c>
      <c r="I744" s="16" t="str">
        <f>IFERROR(IF([2]对账明细接口!$I$744=0,"",[2]对账明细接口!$I$744),"")</f>
        <v/>
      </c>
      <c r="J744" s="18" t="str">
        <f>IFERROR(IF([2]对账明细接口!$J$744=0,"",[2]对账明细接口!$J$744),"")</f>
        <v/>
      </c>
      <c r="K744" s="18" t="str">
        <f>IFERROR(IF([2]对账明细接口!$K$744=0,"",[2]对账明细接口!$K$744),"")</f>
        <v/>
      </c>
      <c r="L744" s="16" t="str">
        <f>IFERROR(IF([2]对账明细接口!$L$744=0,"",[2]对账明细接口!$L$744),"")</f>
        <v/>
      </c>
      <c r="M744" s="16" t="str">
        <f>IFERROR(IF([2]对账明细接口!$M$744=0,"",[2]对账明细接口!$M$744),"")</f>
        <v/>
      </c>
      <c r="N744" s="19">
        <f t="shared" si="66"/>
        <v>0</v>
      </c>
      <c r="O744" s="19">
        <f t="shared" si="67"/>
        <v>165</v>
      </c>
      <c r="S744" s="20" t="str">
        <f>IFERROR(IF([2]对账明细接口!$N744=0,"",[2]对账明细接口!$N744),"")</f>
        <v/>
      </c>
      <c r="T744" s="21" t="str">
        <f>IFERROR(IF([2]对账明细接口!$O744=0,"",[2]对账明细接口!$O744),"")</f>
        <v/>
      </c>
      <c r="U744" s="21" t="str">
        <f>IFERROR(IF([2]对账明细接口!$P744=0,"",[2]对账明细接口!$P744),"")</f>
        <v/>
      </c>
      <c r="V744" s="21" t="str">
        <f>IFERROR(IF([2]对账明细接口!$Q744=0,"",[2]对账明细接口!$Q744),"")</f>
        <v/>
      </c>
      <c r="W744" s="20" t="str">
        <f>IFERROR(IF([2]对账明细接口!$R744=0,"",[2]对账明细接口!$R744),"")</f>
        <v/>
      </c>
      <c r="X744" s="20" t="str">
        <f>IFERROR(IF([2]对账明细接口!$S744=0,"",[2]对账明细接口!$S744),"")</f>
        <v/>
      </c>
      <c r="Y744" s="20" t="str">
        <f t="shared" si="68"/>
        <v/>
      </c>
      <c r="Z744" s="20" t="str">
        <f t="shared" si="69"/>
        <v/>
      </c>
      <c r="AA744" s="20" t="str">
        <f t="shared" si="70"/>
        <v/>
      </c>
      <c r="AB744" s="20" t="str">
        <f t="shared" si="71"/>
        <v/>
      </c>
    </row>
    <row r="745" customHeight="1" spans="1:28">
      <c r="A745" s="14">
        <v>745</v>
      </c>
      <c r="B745" s="15" t="str">
        <f>IFERROR(IF([2]对账明细接口!$B$745=0,"",[2]对账明细接口!$B$745),"")</f>
        <v/>
      </c>
      <c r="C745" s="16" t="str">
        <f>IFERROR(IF([2]对账明细接口!$C$745=0,"",[2]对账明细接口!$C$745),"")</f>
        <v/>
      </c>
      <c r="D745" s="16" t="str">
        <f>IFERROR(IF([2]对账明细接口!$D$745=0,"",[2]对账明细接口!$D$745),"")</f>
        <v/>
      </c>
      <c r="E745" s="16" t="str">
        <f>IFERROR(IF([2]对账明细接口!$E$745=0,"",[2]对账明细接口!$E$745),"")</f>
        <v/>
      </c>
      <c r="F745" s="16" t="str">
        <f>IFERROR(IF([2]对账明细接口!$F$745=0,"",[2]对账明细接口!$F$745),"")</f>
        <v/>
      </c>
      <c r="G745" s="16" t="str">
        <f>IFERROR(IF([2]对账明细接口!$G$745=0,"",[2]对账明细接口!$G$745),"")</f>
        <v/>
      </c>
      <c r="H745" s="17" t="str">
        <f>IFERROR(IF([2]对账明细接口!$H$745=0,"",[2]对账明细接口!$H$745),"")</f>
        <v/>
      </c>
      <c r="I745" s="16" t="str">
        <f>IFERROR(IF([2]对账明细接口!$I$745=0,"",[2]对账明细接口!$I$745),"")</f>
        <v/>
      </c>
      <c r="J745" s="18" t="str">
        <f>IFERROR(IF([2]对账明细接口!$J$745=0,"",[2]对账明细接口!$J$745),"")</f>
        <v/>
      </c>
      <c r="K745" s="18" t="str">
        <f>IFERROR(IF([2]对账明细接口!$K$745=0,"",[2]对账明细接口!$K$745),"")</f>
        <v/>
      </c>
      <c r="L745" s="16" t="str">
        <f>IFERROR(IF([2]对账明细接口!$L$745=0,"",[2]对账明细接口!$L$745),"")</f>
        <v/>
      </c>
      <c r="M745" s="16" t="str">
        <f>IFERROR(IF([2]对账明细接口!$M$745=0,"",[2]对账明细接口!$M$745),"")</f>
        <v/>
      </c>
      <c r="N745" s="19">
        <f t="shared" si="66"/>
        <v>0</v>
      </c>
      <c r="O745" s="19">
        <f t="shared" si="67"/>
        <v>165</v>
      </c>
      <c r="S745" s="20" t="str">
        <f>IFERROR(IF([2]对账明细接口!$N745=0,"",[2]对账明细接口!$N745),"")</f>
        <v/>
      </c>
      <c r="T745" s="21" t="str">
        <f>IFERROR(IF([2]对账明细接口!$O745=0,"",[2]对账明细接口!$O745),"")</f>
        <v/>
      </c>
      <c r="U745" s="21" t="str">
        <f>IFERROR(IF([2]对账明细接口!$P745=0,"",[2]对账明细接口!$P745),"")</f>
        <v/>
      </c>
      <c r="V745" s="21" t="str">
        <f>IFERROR(IF([2]对账明细接口!$Q745=0,"",[2]对账明细接口!$Q745),"")</f>
        <v/>
      </c>
      <c r="W745" s="20" t="str">
        <f>IFERROR(IF([2]对账明细接口!$R745=0,"",[2]对账明细接口!$R745),"")</f>
        <v/>
      </c>
      <c r="X745" s="20" t="str">
        <f>IFERROR(IF([2]对账明细接口!$S745=0,"",[2]对账明细接口!$S745),"")</f>
        <v/>
      </c>
      <c r="Y745" s="20" t="str">
        <f t="shared" si="68"/>
        <v/>
      </c>
      <c r="Z745" s="20" t="str">
        <f t="shared" si="69"/>
        <v/>
      </c>
      <c r="AA745" s="20" t="str">
        <f t="shared" si="70"/>
        <v/>
      </c>
      <c r="AB745" s="20" t="str">
        <f t="shared" si="71"/>
        <v/>
      </c>
    </row>
    <row r="746" customHeight="1" spans="1:28">
      <c r="A746" s="14">
        <v>746</v>
      </c>
      <c r="B746" s="15" t="str">
        <f>IFERROR(IF([2]对账明细接口!$B$746=0,"",[2]对账明细接口!$B$746),"")</f>
        <v/>
      </c>
      <c r="C746" s="16" t="str">
        <f>IFERROR(IF([2]对账明细接口!$C$746=0,"",[2]对账明细接口!$C$746),"")</f>
        <v/>
      </c>
      <c r="D746" s="16" t="str">
        <f>IFERROR(IF([2]对账明细接口!$D$746=0,"",[2]对账明细接口!$D$746),"")</f>
        <v/>
      </c>
      <c r="E746" s="16" t="str">
        <f>IFERROR(IF([2]对账明细接口!$E$746=0,"",[2]对账明细接口!$E$746),"")</f>
        <v/>
      </c>
      <c r="F746" s="16" t="str">
        <f>IFERROR(IF([2]对账明细接口!$F$746=0,"",[2]对账明细接口!$F$746),"")</f>
        <v/>
      </c>
      <c r="G746" s="16" t="str">
        <f>IFERROR(IF([2]对账明细接口!$G$746=0,"",[2]对账明细接口!$G$746),"")</f>
        <v/>
      </c>
      <c r="H746" s="17" t="str">
        <f>IFERROR(IF([2]对账明细接口!$H$746=0,"",[2]对账明细接口!$H$746),"")</f>
        <v/>
      </c>
      <c r="I746" s="16" t="str">
        <f>IFERROR(IF([2]对账明细接口!$I$746=0,"",[2]对账明细接口!$I$746),"")</f>
        <v/>
      </c>
      <c r="J746" s="18" t="str">
        <f>IFERROR(IF([2]对账明细接口!$J$746=0,"",[2]对账明细接口!$J$746),"")</f>
        <v/>
      </c>
      <c r="K746" s="18" t="str">
        <f>IFERROR(IF([2]对账明细接口!$K$746=0,"",[2]对账明细接口!$K$746),"")</f>
        <v/>
      </c>
      <c r="L746" s="16" t="str">
        <f>IFERROR(IF([2]对账明细接口!$L$746=0,"",[2]对账明细接口!$L$746),"")</f>
        <v/>
      </c>
      <c r="M746" s="16" t="str">
        <f>IFERROR(IF([2]对账明细接口!$M$746=0,"",[2]对账明细接口!$M$746),"")</f>
        <v/>
      </c>
      <c r="N746" s="19">
        <f t="shared" si="66"/>
        <v>0</v>
      </c>
      <c r="O746" s="19">
        <f t="shared" si="67"/>
        <v>165</v>
      </c>
      <c r="S746" s="20" t="str">
        <f>IFERROR(IF([2]对账明细接口!$N746=0,"",[2]对账明细接口!$N746),"")</f>
        <v/>
      </c>
      <c r="T746" s="21" t="str">
        <f>IFERROR(IF([2]对账明细接口!$O746=0,"",[2]对账明细接口!$O746),"")</f>
        <v/>
      </c>
      <c r="U746" s="21" t="str">
        <f>IFERROR(IF([2]对账明细接口!$P746=0,"",[2]对账明细接口!$P746),"")</f>
        <v/>
      </c>
      <c r="V746" s="21" t="str">
        <f>IFERROR(IF([2]对账明细接口!$Q746=0,"",[2]对账明细接口!$Q746),"")</f>
        <v/>
      </c>
      <c r="W746" s="20" t="str">
        <f>IFERROR(IF([2]对账明细接口!$R746=0,"",[2]对账明细接口!$R746),"")</f>
        <v/>
      </c>
      <c r="X746" s="20" t="str">
        <f>IFERROR(IF([2]对账明细接口!$S746=0,"",[2]对账明细接口!$S746),"")</f>
        <v/>
      </c>
      <c r="Y746" s="20" t="str">
        <f t="shared" si="68"/>
        <v/>
      </c>
      <c r="Z746" s="20" t="str">
        <f t="shared" si="69"/>
        <v/>
      </c>
      <c r="AA746" s="20" t="str">
        <f t="shared" si="70"/>
        <v/>
      </c>
      <c r="AB746" s="20" t="str">
        <f t="shared" si="71"/>
        <v/>
      </c>
    </row>
    <row r="747" customHeight="1" spans="1:28">
      <c r="A747" s="14">
        <v>747</v>
      </c>
      <c r="B747" s="15" t="str">
        <f>IFERROR(IF([2]对账明细接口!$B$747=0,"",[2]对账明细接口!$B$747),"")</f>
        <v/>
      </c>
      <c r="C747" s="16" t="str">
        <f>IFERROR(IF([2]对账明细接口!$C$747=0,"",[2]对账明细接口!$C$747),"")</f>
        <v/>
      </c>
      <c r="D747" s="16" t="str">
        <f>IFERROR(IF([2]对账明细接口!$D$747=0,"",[2]对账明细接口!$D$747),"")</f>
        <v/>
      </c>
      <c r="E747" s="16" t="str">
        <f>IFERROR(IF([2]对账明细接口!$E$747=0,"",[2]对账明细接口!$E$747),"")</f>
        <v/>
      </c>
      <c r="F747" s="16" t="str">
        <f>IFERROR(IF([2]对账明细接口!$F$747=0,"",[2]对账明细接口!$F$747),"")</f>
        <v/>
      </c>
      <c r="G747" s="16" t="str">
        <f>IFERROR(IF([2]对账明细接口!$G$747=0,"",[2]对账明细接口!$G$747),"")</f>
        <v/>
      </c>
      <c r="H747" s="17" t="str">
        <f>IFERROR(IF([2]对账明细接口!$H$747=0,"",[2]对账明细接口!$H$747),"")</f>
        <v/>
      </c>
      <c r="I747" s="16" t="str">
        <f>IFERROR(IF([2]对账明细接口!$I$747=0,"",[2]对账明细接口!$I$747),"")</f>
        <v/>
      </c>
      <c r="J747" s="18" t="str">
        <f>IFERROR(IF([2]对账明细接口!$J$747=0,"",[2]对账明细接口!$J$747),"")</f>
        <v/>
      </c>
      <c r="K747" s="18" t="str">
        <f>IFERROR(IF([2]对账明细接口!$K$747=0,"",[2]对账明细接口!$K$747),"")</f>
        <v/>
      </c>
      <c r="L747" s="16" t="str">
        <f>IFERROR(IF([2]对账明细接口!$L$747=0,"",[2]对账明细接口!$L$747),"")</f>
        <v/>
      </c>
      <c r="M747" s="16" t="str">
        <f>IFERROR(IF([2]对账明细接口!$M$747=0,"",[2]对账明细接口!$M$747),"")</f>
        <v/>
      </c>
      <c r="N747" s="19">
        <f t="shared" si="66"/>
        <v>0</v>
      </c>
      <c r="O747" s="19">
        <f t="shared" si="67"/>
        <v>165</v>
      </c>
      <c r="S747" s="20" t="str">
        <f>IFERROR(IF([2]对账明细接口!$N747=0,"",[2]对账明细接口!$N747),"")</f>
        <v/>
      </c>
      <c r="T747" s="21" t="str">
        <f>IFERROR(IF([2]对账明细接口!$O747=0,"",[2]对账明细接口!$O747),"")</f>
        <v/>
      </c>
      <c r="U747" s="21" t="str">
        <f>IFERROR(IF([2]对账明细接口!$P747=0,"",[2]对账明细接口!$P747),"")</f>
        <v/>
      </c>
      <c r="V747" s="21" t="str">
        <f>IFERROR(IF([2]对账明细接口!$Q747=0,"",[2]对账明细接口!$Q747),"")</f>
        <v/>
      </c>
      <c r="W747" s="20" t="str">
        <f>IFERROR(IF([2]对账明细接口!$R747=0,"",[2]对账明细接口!$R747),"")</f>
        <v/>
      </c>
      <c r="X747" s="20" t="str">
        <f>IFERROR(IF([2]对账明细接口!$S747=0,"",[2]对账明细接口!$S747),"")</f>
        <v/>
      </c>
      <c r="Y747" s="20" t="str">
        <f t="shared" si="68"/>
        <v/>
      </c>
      <c r="Z747" s="20" t="str">
        <f t="shared" si="69"/>
        <v/>
      </c>
      <c r="AA747" s="20" t="str">
        <f t="shared" si="70"/>
        <v/>
      </c>
      <c r="AB747" s="20" t="str">
        <f t="shared" si="71"/>
        <v/>
      </c>
    </row>
    <row r="748" customHeight="1" spans="1:28">
      <c r="A748" s="14">
        <v>748</v>
      </c>
      <c r="B748" s="15" t="str">
        <f>IFERROR(IF([2]对账明细接口!$B$748=0,"",[2]对账明细接口!$B$748),"")</f>
        <v/>
      </c>
      <c r="C748" s="16" t="str">
        <f>IFERROR(IF([2]对账明细接口!$C$748=0,"",[2]对账明细接口!$C$748),"")</f>
        <v/>
      </c>
      <c r="D748" s="16" t="str">
        <f>IFERROR(IF([2]对账明细接口!$D$748=0,"",[2]对账明细接口!$D$748),"")</f>
        <v/>
      </c>
      <c r="E748" s="16" t="str">
        <f>IFERROR(IF([2]对账明细接口!$E$748=0,"",[2]对账明细接口!$E$748),"")</f>
        <v/>
      </c>
      <c r="F748" s="16" t="str">
        <f>IFERROR(IF([2]对账明细接口!$F$748=0,"",[2]对账明细接口!$F$748),"")</f>
        <v/>
      </c>
      <c r="G748" s="16" t="str">
        <f>IFERROR(IF([2]对账明细接口!$G$748=0,"",[2]对账明细接口!$G$748),"")</f>
        <v/>
      </c>
      <c r="H748" s="17" t="str">
        <f>IFERROR(IF([2]对账明细接口!$H$748=0,"",[2]对账明细接口!$H$748),"")</f>
        <v/>
      </c>
      <c r="I748" s="16" t="str">
        <f>IFERROR(IF([2]对账明细接口!$I$748=0,"",[2]对账明细接口!$I$748),"")</f>
        <v/>
      </c>
      <c r="J748" s="18" t="str">
        <f>IFERROR(IF([2]对账明细接口!$J$748=0,"",[2]对账明细接口!$J$748),"")</f>
        <v/>
      </c>
      <c r="K748" s="18" t="str">
        <f>IFERROR(IF([2]对账明细接口!$K$748=0,"",[2]对账明细接口!$K$748),"")</f>
        <v/>
      </c>
      <c r="L748" s="16" t="str">
        <f>IFERROR(IF([2]对账明细接口!$L$748=0,"",[2]对账明细接口!$L$748),"")</f>
        <v/>
      </c>
      <c r="M748" s="16" t="str">
        <f>IFERROR(IF([2]对账明细接口!$M$748=0,"",[2]对账明细接口!$M$748),"")</f>
        <v/>
      </c>
      <c r="N748" s="19">
        <f t="shared" si="66"/>
        <v>0</v>
      </c>
      <c r="O748" s="19">
        <f t="shared" si="67"/>
        <v>165</v>
      </c>
      <c r="S748" s="20" t="str">
        <f>IFERROR(IF([2]对账明细接口!$N748=0,"",[2]对账明细接口!$N748),"")</f>
        <v/>
      </c>
      <c r="T748" s="21" t="str">
        <f>IFERROR(IF([2]对账明细接口!$O748=0,"",[2]对账明细接口!$O748),"")</f>
        <v/>
      </c>
      <c r="U748" s="21" t="str">
        <f>IFERROR(IF([2]对账明细接口!$P748=0,"",[2]对账明细接口!$P748),"")</f>
        <v/>
      </c>
      <c r="V748" s="21" t="str">
        <f>IFERROR(IF([2]对账明细接口!$Q748=0,"",[2]对账明细接口!$Q748),"")</f>
        <v/>
      </c>
      <c r="W748" s="20" t="str">
        <f>IFERROR(IF([2]对账明细接口!$R748=0,"",[2]对账明细接口!$R748),"")</f>
        <v/>
      </c>
      <c r="X748" s="20" t="str">
        <f>IFERROR(IF([2]对账明细接口!$S748=0,"",[2]对账明细接口!$S748),"")</f>
        <v/>
      </c>
      <c r="Y748" s="20" t="str">
        <f t="shared" si="68"/>
        <v/>
      </c>
      <c r="Z748" s="20" t="str">
        <f t="shared" si="69"/>
        <v/>
      </c>
      <c r="AA748" s="20" t="str">
        <f t="shared" si="70"/>
        <v/>
      </c>
      <c r="AB748" s="20" t="str">
        <f t="shared" si="71"/>
        <v/>
      </c>
    </row>
    <row r="749" customHeight="1" spans="1:28">
      <c r="A749" s="14">
        <v>749</v>
      </c>
      <c r="B749" s="15" t="str">
        <f>IFERROR(IF([2]对账明细接口!$B$749=0,"",[2]对账明细接口!$B$749),"")</f>
        <v/>
      </c>
      <c r="C749" s="16" t="str">
        <f>IFERROR(IF([2]对账明细接口!$C$749=0,"",[2]对账明细接口!$C$749),"")</f>
        <v/>
      </c>
      <c r="D749" s="16" t="str">
        <f>IFERROR(IF([2]对账明细接口!$D$749=0,"",[2]对账明细接口!$D$749),"")</f>
        <v/>
      </c>
      <c r="E749" s="16" t="str">
        <f>IFERROR(IF([2]对账明细接口!$E$749=0,"",[2]对账明细接口!$E$749),"")</f>
        <v/>
      </c>
      <c r="F749" s="16" t="str">
        <f>IFERROR(IF([2]对账明细接口!$F$749=0,"",[2]对账明细接口!$F$749),"")</f>
        <v/>
      </c>
      <c r="G749" s="16" t="str">
        <f>IFERROR(IF([2]对账明细接口!$G$749=0,"",[2]对账明细接口!$G$749),"")</f>
        <v/>
      </c>
      <c r="H749" s="17" t="str">
        <f>IFERROR(IF([2]对账明细接口!$H$749=0,"",[2]对账明细接口!$H$749),"")</f>
        <v/>
      </c>
      <c r="I749" s="16" t="str">
        <f>IFERROR(IF([2]对账明细接口!$I$749=0,"",[2]对账明细接口!$I$749),"")</f>
        <v/>
      </c>
      <c r="J749" s="18" t="str">
        <f>IFERROR(IF([2]对账明细接口!$J$749=0,"",[2]对账明细接口!$J$749),"")</f>
        <v/>
      </c>
      <c r="K749" s="18" t="str">
        <f>IFERROR(IF([2]对账明细接口!$K$749=0,"",[2]对账明细接口!$K$749),"")</f>
        <v/>
      </c>
      <c r="L749" s="16" t="str">
        <f>IFERROR(IF([2]对账明细接口!$L$749=0,"",[2]对账明细接口!$L$749),"")</f>
        <v/>
      </c>
      <c r="M749" s="16" t="str">
        <f>IFERROR(IF([2]对账明细接口!$M$749=0,"",[2]对账明细接口!$M$749),"")</f>
        <v/>
      </c>
      <c r="N749" s="19">
        <f t="shared" si="66"/>
        <v>0</v>
      </c>
      <c r="O749" s="19">
        <f t="shared" si="67"/>
        <v>165</v>
      </c>
      <c r="S749" s="20" t="str">
        <f>IFERROR(IF([2]对账明细接口!$N749=0,"",[2]对账明细接口!$N749),"")</f>
        <v/>
      </c>
      <c r="T749" s="21" t="str">
        <f>IFERROR(IF([2]对账明细接口!$O749=0,"",[2]对账明细接口!$O749),"")</f>
        <v/>
      </c>
      <c r="U749" s="21" t="str">
        <f>IFERROR(IF([2]对账明细接口!$P749=0,"",[2]对账明细接口!$P749),"")</f>
        <v/>
      </c>
      <c r="V749" s="21" t="str">
        <f>IFERROR(IF([2]对账明细接口!$Q749=0,"",[2]对账明细接口!$Q749),"")</f>
        <v/>
      </c>
      <c r="W749" s="20" t="str">
        <f>IFERROR(IF([2]对账明细接口!$R749=0,"",[2]对账明细接口!$R749),"")</f>
        <v/>
      </c>
      <c r="X749" s="20" t="str">
        <f>IFERROR(IF([2]对账明细接口!$S749=0,"",[2]对账明细接口!$S749),"")</f>
        <v/>
      </c>
      <c r="Y749" s="20" t="str">
        <f t="shared" si="68"/>
        <v/>
      </c>
      <c r="Z749" s="20" t="str">
        <f t="shared" si="69"/>
        <v/>
      </c>
      <c r="AA749" s="20" t="str">
        <f t="shared" si="70"/>
        <v/>
      </c>
      <c r="AB749" s="20" t="str">
        <f t="shared" si="71"/>
        <v/>
      </c>
    </row>
    <row r="750" customHeight="1" spans="1:28">
      <c r="A750" s="14">
        <v>750</v>
      </c>
      <c r="B750" s="15" t="str">
        <f>IFERROR(IF([2]对账明细接口!$B$750=0,"",[2]对账明细接口!$B$750),"")</f>
        <v/>
      </c>
      <c r="C750" s="16" t="str">
        <f>IFERROR(IF([2]对账明细接口!$C$750=0,"",[2]对账明细接口!$C$750),"")</f>
        <v/>
      </c>
      <c r="D750" s="16" t="str">
        <f>IFERROR(IF([2]对账明细接口!$D$750=0,"",[2]对账明细接口!$D$750),"")</f>
        <v/>
      </c>
      <c r="E750" s="16" t="str">
        <f>IFERROR(IF([2]对账明细接口!$E$750=0,"",[2]对账明细接口!$E$750),"")</f>
        <v/>
      </c>
      <c r="F750" s="16" t="str">
        <f>IFERROR(IF([2]对账明细接口!$F$750=0,"",[2]对账明细接口!$F$750),"")</f>
        <v/>
      </c>
      <c r="G750" s="16" t="str">
        <f>IFERROR(IF([2]对账明细接口!$G$750=0,"",[2]对账明细接口!$G$750),"")</f>
        <v/>
      </c>
      <c r="H750" s="17" t="str">
        <f>IFERROR(IF([2]对账明细接口!$H$750=0,"",[2]对账明细接口!$H$750),"")</f>
        <v/>
      </c>
      <c r="I750" s="16" t="str">
        <f>IFERROR(IF([2]对账明细接口!$I$750=0,"",[2]对账明细接口!$I$750),"")</f>
        <v/>
      </c>
      <c r="J750" s="18" t="str">
        <f>IFERROR(IF([2]对账明细接口!$J$750=0,"",[2]对账明细接口!$J$750),"")</f>
        <v/>
      </c>
      <c r="K750" s="18" t="str">
        <f>IFERROR(IF([2]对账明细接口!$K$750=0,"",[2]对账明细接口!$K$750),"")</f>
        <v/>
      </c>
      <c r="L750" s="16" t="str">
        <f>IFERROR(IF([2]对账明细接口!$L$750=0,"",[2]对账明细接口!$L$750),"")</f>
        <v/>
      </c>
      <c r="M750" s="16" t="str">
        <f>IFERROR(IF([2]对账明细接口!$M$750=0,"",[2]对账明细接口!$M$750),"")</f>
        <v/>
      </c>
      <c r="N750" s="19">
        <f t="shared" si="66"/>
        <v>0</v>
      </c>
      <c r="O750" s="19">
        <f t="shared" si="67"/>
        <v>165</v>
      </c>
      <c r="S750" s="20" t="str">
        <f>IFERROR(IF([2]对账明细接口!$N750=0,"",[2]对账明细接口!$N750),"")</f>
        <v/>
      </c>
      <c r="T750" s="21" t="str">
        <f>IFERROR(IF([2]对账明细接口!$O750=0,"",[2]对账明细接口!$O750),"")</f>
        <v/>
      </c>
      <c r="U750" s="21" t="str">
        <f>IFERROR(IF([2]对账明细接口!$P750=0,"",[2]对账明细接口!$P750),"")</f>
        <v/>
      </c>
      <c r="V750" s="21" t="str">
        <f>IFERROR(IF([2]对账明细接口!$Q750=0,"",[2]对账明细接口!$Q750),"")</f>
        <v/>
      </c>
      <c r="W750" s="20" t="str">
        <f>IFERROR(IF([2]对账明细接口!$R750=0,"",[2]对账明细接口!$R750),"")</f>
        <v/>
      </c>
      <c r="X750" s="20" t="str">
        <f>IFERROR(IF([2]对账明细接口!$S750=0,"",[2]对账明细接口!$S750),"")</f>
        <v/>
      </c>
      <c r="Y750" s="20" t="str">
        <f t="shared" si="68"/>
        <v/>
      </c>
      <c r="Z750" s="20" t="str">
        <f t="shared" si="69"/>
        <v/>
      </c>
      <c r="AA750" s="20" t="str">
        <f t="shared" si="70"/>
        <v/>
      </c>
      <c r="AB750" s="20" t="str">
        <f t="shared" si="71"/>
        <v/>
      </c>
    </row>
    <row r="751" customHeight="1" spans="1:28">
      <c r="A751" s="14">
        <v>751</v>
      </c>
      <c r="B751" s="15" t="str">
        <f>IFERROR(IF([2]对账明细接口!$B$751=0,"",[2]对账明细接口!$B$751),"")</f>
        <v/>
      </c>
      <c r="C751" s="16" t="str">
        <f>IFERROR(IF([2]对账明细接口!$C$751=0,"",[2]对账明细接口!$C$751),"")</f>
        <v/>
      </c>
      <c r="D751" s="16" t="str">
        <f>IFERROR(IF([2]对账明细接口!$D$751=0,"",[2]对账明细接口!$D$751),"")</f>
        <v/>
      </c>
      <c r="E751" s="16" t="str">
        <f>IFERROR(IF([2]对账明细接口!$E$751=0,"",[2]对账明细接口!$E$751),"")</f>
        <v/>
      </c>
      <c r="F751" s="16" t="str">
        <f>IFERROR(IF([2]对账明细接口!$F$751=0,"",[2]对账明细接口!$F$751),"")</f>
        <v/>
      </c>
      <c r="G751" s="16" t="str">
        <f>IFERROR(IF([2]对账明细接口!$G$751=0,"",[2]对账明细接口!$G$751),"")</f>
        <v/>
      </c>
      <c r="H751" s="17" t="str">
        <f>IFERROR(IF([2]对账明细接口!$H$751=0,"",[2]对账明细接口!$H$751),"")</f>
        <v/>
      </c>
      <c r="I751" s="16" t="str">
        <f>IFERROR(IF([2]对账明细接口!$I$751=0,"",[2]对账明细接口!$I$751),"")</f>
        <v/>
      </c>
      <c r="J751" s="18" t="str">
        <f>IFERROR(IF([2]对账明细接口!$J$751=0,"",[2]对账明细接口!$J$751),"")</f>
        <v/>
      </c>
      <c r="K751" s="18" t="str">
        <f>IFERROR(IF([2]对账明细接口!$K$751=0,"",[2]对账明细接口!$K$751),"")</f>
        <v/>
      </c>
      <c r="L751" s="16" t="str">
        <f>IFERROR(IF([2]对账明细接口!$L$751=0,"",[2]对账明细接口!$L$751),"")</f>
        <v/>
      </c>
      <c r="M751" s="16" t="str">
        <f>IFERROR(IF([2]对账明细接口!$M$751=0,"",[2]对账明细接口!$M$751),"")</f>
        <v/>
      </c>
      <c r="N751" s="19">
        <f t="shared" si="66"/>
        <v>0</v>
      </c>
      <c r="O751" s="19">
        <f t="shared" si="67"/>
        <v>165</v>
      </c>
      <c r="S751" s="20" t="str">
        <f>IFERROR(IF([2]对账明细接口!$N751=0,"",[2]对账明细接口!$N751),"")</f>
        <v/>
      </c>
      <c r="T751" s="21" t="str">
        <f>IFERROR(IF([2]对账明细接口!$O751=0,"",[2]对账明细接口!$O751),"")</f>
        <v/>
      </c>
      <c r="U751" s="21" t="str">
        <f>IFERROR(IF([2]对账明细接口!$P751=0,"",[2]对账明细接口!$P751),"")</f>
        <v/>
      </c>
      <c r="V751" s="21" t="str">
        <f>IFERROR(IF([2]对账明细接口!$Q751=0,"",[2]对账明细接口!$Q751),"")</f>
        <v/>
      </c>
      <c r="W751" s="20" t="str">
        <f>IFERROR(IF([2]对账明细接口!$R751=0,"",[2]对账明细接口!$R751),"")</f>
        <v/>
      </c>
      <c r="X751" s="20" t="str">
        <f>IFERROR(IF([2]对账明细接口!$S751=0,"",[2]对账明细接口!$S751),"")</f>
        <v/>
      </c>
      <c r="Y751" s="20" t="str">
        <f t="shared" si="68"/>
        <v/>
      </c>
      <c r="Z751" s="20" t="str">
        <f t="shared" si="69"/>
        <v/>
      </c>
      <c r="AA751" s="20" t="str">
        <f t="shared" si="70"/>
        <v/>
      </c>
      <c r="AB751" s="20" t="str">
        <f t="shared" si="71"/>
        <v/>
      </c>
    </row>
    <row r="752" customHeight="1" spans="1:28">
      <c r="A752" s="14">
        <v>752</v>
      </c>
      <c r="B752" s="15" t="str">
        <f>IFERROR(IF([2]对账明细接口!$B$752=0,"",[2]对账明细接口!$B$752),"")</f>
        <v/>
      </c>
      <c r="C752" s="16" t="str">
        <f>IFERROR(IF([2]对账明细接口!$C$752=0,"",[2]对账明细接口!$C$752),"")</f>
        <v/>
      </c>
      <c r="D752" s="16" t="str">
        <f>IFERROR(IF([2]对账明细接口!$D$752=0,"",[2]对账明细接口!$D$752),"")</f>
        <v/>
      </c>
      <c r="E752" s="16" t="str">
        <f>IFERROR(IF([2]对账明细接口!$E$752=0,"",[2]对账明细接口!$E$752),"")</f>
        <v/>
      </c>
      <c r="F752" s="16" t="str">
        <f>IFERROR(IF([2]对账明细接口!$F$752=0,"",[2]对账明细接口!$F$752),"")</f>
        <v/>
      </c>
      <c r="G752" s="16" t="str">
        <f>IFERROR(IF([2]对账明细接口!$G$752=0,"",[2]对账明细接口!$G$752),"")</f>
        <v/>
      </c>
      <c r="H752" s="17" t="str">
        <f>IFERROR(IF([2]对账明细接口!$H$752=0,"",[2]对账明细接口!$H$752),"")</f>
        <v/>
      </c>
      <c r="I752" s="16" t="str">
        <f>IFERROR(IF([2]对账明细接口!$I$752=0,"",[2]对账明细接口!$I$752),"")</f>
        <v/>
      </c>
      <c r="J752" s="18" t="str">
        <f>IFERROR(IF([2]对账明细接口!$J$752=0,"",[2]对账明细接口!$J$752),"")</f>
        <v/>
      </c>
      <c r="K752" s="18" t="str">
        <f>IFERROR(IF([2]对账明细接口!$K$752=0,"",[2]对账明细接口!$K$752),"")</f>
        <v/>
      </c>
      <c r="L752" s="16" t="str">
        <f>IFERROR(IF([2]对账明细接口!$L$752=0,"",[2]对账明细接口!$L$752),"")</f>
        <v/>
      </c>
      <c r="M752" s="16" t="str">
        <f>IFERROR(IF([2]对账明细接口!$M$752=0,"",[2]对账明细接口!$M$752),"")</f>
        <v/>
      </c>
      <c r="N752" s="19">
        <f t="shared" si="66"/>
        <v>0</v>
      </c>
      <c r="O752" s="19">
        <f t="shared" si="67"/>
        <v>165</v>
      </c>
      <c r="S752" s="20" t="str">
        <f>IFERROR(IF([2]对账明细接口!$N752=0,"",[2]对账明细接口!$N752),"")</f>
        <v/>
      </c>
      <c r="T752" s="21" t="str">
        <f>IFERROR(IF([2]对账明细接口!$O752=0,"",[2]对账明细接口!$O752),"")</f>
        <v/>
      </c>
      <c r="U752" s="21" t="str">
        <f>IFERROR(IF([2]对账明细接口!$P752=0,"",[2]对账明细接口!$P752),"")</f>
        <v/>
      </c>
      <c r="V752" s="21" t="str">
        <f>IFERROR(IF([2]对账明细接口!$Q752=0,"",[2]对账明细接口!$Q752),"")</f>
        <v/>
      </c>
      <c r="W752" s="20" t="str">
        <f>IFERROR(IF([2]对账明细接口!$R752=0,"",[2]对账明细接口!$R752),"")</f>
        <v/>
      </c>
      <c r="X752" s="20" t="str">
        <f>IFERROR(IF([2]对账明细接口!$S752=0,"",[2]对账明细接口!$S752),"")</f>
        <v/>
      </c>
      <c r="Y752" s="20" t="str">
        <f t="shared" si="68"/>
        <v/>
      </c>
      <c r="Z752" s="20" t="str">
        <f t="shared" si="69"/>
        <v/>
      </c>
      <c r="AA752" s="20" t="str">
        <f t="shared" si="70"/>
        <v/>
      </c>
      <c r="AB752" s="20" t="str">
        <f t="shared" si="71"/>
        <v/>
      </c>
    </row>
    <row r="753" customHeight="1" spans="1:28">
      <c r="A753" s="14">
        <v>753</v>
      </c>
      <c r="B753" s="15" t="str">
        <f>IFERROR(IF([2]对账明细接口!$B$753=0,"",[2]对账明细接口!$B$753),"")</f>
        <v/>
      </c>
      <c r="C753" s="16" t="str">
        <f>IFERROR(IF([2]对账明细接口!$C$753=0,"",[2]对账明细接口!$C$753),"")</f>
        <v/>
      </c>
      <c r="D753" s="16" t="str">
        <f>IFERROR(IF([2]对账明细接口!$D$753=0,"",[2]对账明细接口!$D$753),"")</f>
        <v/>
      </c>
      <c r="E753" s="16" t="str">
        <f>IFERROR(IF([2]对账明细接口!$E$753=0,"",[2]对账明细接口!$E$753),"")</f>
        <v/>
      </c>
      <c r="F753" s="16" t="str">
        <f>IFERROR(IF([2]对账明细接口!$F$753=0,"",[2]对账明细接口!$F$753),"")</f>
        <v/>
      </c>
      <c r="G753" s="16" t="str">
        <f>IFERROR(IF([2]对账明细接口!$G$753=0,"",[2]对账明细接口!$G$753),"")</f>
        <v/>
      </c>
      <c r="H753" s="17" t="str">
        <f>IFERROR(IF([2]对账明细接口!$H$753=0,"",[2]对账明细接口!$H$753),"")</f>
        <v/>
      </c>
      <c r="I753" s="16" t="str">
        <f>IFERROR(IF([2]对账明细接口!$I$753=0,"",[2]对账明细接口!$I$753),"")</f>
        <v/>
      </c>
      <c r="J753" s="18" t="str">
        <f>IFERROR(IF([2]对账明细接口!$J$753=0,"",[2]对账明细接口!$J$753),"")</f>
        <v/>
      </c>
      <c r="K753" s="18" t="str">
        <f>IFERROR(IF([2]对账明细接口!$K$753=0,"",[2]对账明细接口!$K$753),"")</f>
        <v/>
      </c>
      <c r="L753" s="16" t="str">
        <f>IFERROR(IF([2]对账明细接口!$L$753=0,"",[2]对账明细接口!$L$753),"")</f>
        <v/>
      </c>
      <c r="M753" s="16" t="str">
        <f>IFERROR(IF([2]对账明细接口!$M$753=0,"",[2]对账明细接口!$M$753),"")</f>
        <v/>
      </c>
      <c r="N753" s="19">
        <f t="shared" si="66"/>
        <v>0</v>
      </c>
      <c r="O753" s="19">
        <f t="shared" si="67"/>
        <v>165</v>
      </c>
      <c r="S753" s="20" t="str">
        <f>IFERROR(IF([2]对账明细接口!$N753=0,"",[2]对账明细接口!$N753),"")</f>
        <v/>
      </c>
      <c r="T753" s="21" t="str">
        <f>IFERROR(IF([2]对账明细接口!$O753=0,"",[2]对账明细接口!$O753),"")</f>
        <v/>
      </c>
      <c r="U753" s="21" t="str">
        <f>IFERROR(IF([2]对账明细接口!$P753=0,"",[2]对账明细接口!$P753),"")</f>
        <v/>
      </c>
      <c r="V753" s="21" t="str">
        <f>IFERROR(IF([2]对账明细接口!$Q753=0,"",[2]对账明细接口!$Q753),"")</f>
        <v/>
      </c>
      <c r="W753" s="20" t="str">
        <f>IFERROR(IF([2]对账明细接口!$R753=0,"",[2]对账明细接口!$R753),"")</f>
        <v/>
      </c>
      <c r="X753" s="20" t="str">
        <f>IFERROR(IF([2]对账明细接口!$S753=0,"",[2]对账明细接口!$S753),"")</f>
        <v/>
      </c>
      <c r="Y753" s="20" t="str">
        <f t="shared" si="68"/>
        <v/>
      </c>
      <c r="Z753" s="20" t="str">
        <f t="shared" si="69"/>
        <v/>
      </c>
      <c r="AA753" s="20" t="str">
        <f t="shared" si="70"/>
        <v/>
      </c>
      <c r="AB753" s="20" t="str">
        <f t="shared" si="71"/>
        <v/>
      </c>
    </row>
    <row r="754" customHeight="1" spans="1:28">
      <c r="A754" s="14">
        <v>754</v>
      </c>
      <c r="B754" s="15" t="str">
        <f>IFERROR(IF([2]对账明细接口!$B$754=0,"",[2]对账明细接口!$B$754),"")</f>
        <v/>
      </c>
      <c r="C754" s="16" t="str">
        <f>IFERROR(IF([2]对账明细接口!$C$754=0,"",[2]对账明细接口!$C$754),"")</f>
        <v/>
      </c>
      <c r="D754" s="16" t="str">
        <f>IFERROR(IF([2]对账明细接口!$D$754=0,"",[2]对账明细接口!$D$754),"")</f>
        <v/>
      </c>
      <c r="E754" s="16" t="str">
        <f>IFERROR(IF([2]对账明细接口!$E$754=0,"",[2]对账明细接口!$E$754),"")</f>
        <v/>
      </c>
      <c r="F754" s="16" t="str">
        <f>IFERROR(IF([2]对账明细接口!$F$754=0,"",[2]对账明细接口!$F$754),"")</f>
        <v/>
      </c>
      <c r="G754" s="16" t="str">
        <f>IFERROR(IF([2]对账明细接口!$G$754=0,"",[2]对账明细接口!$G$754),"")</f>
        <v/>
      </c>
      <c r="H754" s="17" t="str">
        <f>IFERROR(IF([2]对账明细接口!$H$754=0,"",[2]对账明细接口!$H$754),"")</f>
        <v/>
      </c>
      <c r="I754" s="16" t="str">
        <f>IFERROR(IF([2]对账明细接口!$I$754=0,"",[2]对账明细接口!$I$754),"")</f>
        <v/>
      </c>
      <c r="J754" s="18" t="str">
        <f>IFERROR(IF([2]对账明细接口!$J$754=0,"",[2]对账明细接口!$J$754),"")</f>
        <v/>
      </c>
      <c r="K754" s="18" t="str">
        <f>IFERROR(IF([2]对账明细接口!$K$754=0,"",[2]对账明细接口!$K$754),"")</f>
        <v/>
      </c>
      <c r="L754" s="16" t="str">
        <f>IFERROR(IF([2]对账明细接口!$L$754=0,"",[2]对账明细接口!$L$754),"")</f>
        <v/>
      </c>
      <c r="M754" s="16" t="str">
        <f>IFERROR(IF([2]对账明细接口!$M$754=0,"",[2]对账明细接口!$M$754),"")</f>
        <v/>
      </c>
      <c r="N754" s="19">
        <f t="shared" si="66"/>
        <v>0</v>
      </c>
      <c r="O754" s="19">
        <f t="shared" si="67"/>
        <v>165</v>
      </c>
      <c r="S754" s="20" t="str">
        <f>IFERROR(IF([2]对账明细接口!$N754=0,"",[2]对账明细接口!$N754),"")</f>
        <v/>
      </c>
      <c r="T754" s="21" t="str">
        <f>IFERROR(IF([2]对账明细接口!$O754=0,"",[2]对账明细接口!$O754),"")</f>
        <v/>
      </c>
      <c r="U754" s="21" t="str">
        <f>IFERROR(IF([2]对账明细接口!$P754=0,"",[2]对账明细接口!$P754),"")</f>
        <v/>
      </c>
      <c r="V754" s="21" t="str">
        <f>IFERROR(IF([2]对账明细接口!$Q754=0,"",[2]对账明细接口!$Q754),"")</f>
        <v/>
      </c>
      <c r="W754" s="20" t="str">
        <f>IFERROR(IF([2]对账明细接口!$R754=0,"",[2]对账明细接口!$R754),"")</f>
        <v/>
      </c>
      <c r="X754" s="20" t="str">
        <f>IFERROR(IF([2]对账明细接口!$S754=0,"",[2]对账明细接口!$S754),"")</f>
        <v/>
      </c>
      <c r="Y754" s="20" t="str">
        <f t="shared" si="68"/>
        <v/>
      </c>
      <c r="Z754" s="20" t="str">
        <f t="shared" si="69"/>
        <v/>
      </c>
      <c r="AA754" s="20" t="str">
        <f t="shared" si="70"/>
        <v/>
      </c>
      <c r="AB754" s="20" t="str">
        <f t="shared" si="71"/>
        <v/>
      </c>
    </row>
    <row r="755" customHeight="1" spans="1:28">
      <c r="A755" s="14">
        <v>755</v>
      </c>
      <c r="B755" s="15" t="str">
        <f>IFERROR(IF([2]对账明细接口!$B$755=0,"",[2]对账明细接口!$B$755),"")</f>
        <v/>
      </c>
      <c r="C755" s="16" t="str">
        <f>IFERROR(IF([2]对账明细接口!$C$755=0,"",[2]对账明细接口!$C$755),"")</f>
        <v/>
      </c>
      <c r="D755" s="16" t="str">
        <f>IFERROR(IF([2]对账明细接口!$D$755=0,"",[2]对账明细接口!$D$755),"")</f>
        <v/>
      </c>
      <c r="E755" s="16" t="str">
        <f>IFERROR(IF([2]对账明细接口!$E$755=0,"",[2]对账明细接口!$E$755),"")</f>
        <v/>
      </c>
      <c r="F755" s="16" t="str">
        <f>IFERROR(IF([2]对账明细接口!$F$755=0,"",[2]对账明细接口!$F$755),"")</f>
        <v/>
      </c>
      <c r="G755" s="16" t="str">
        <f>IFERROR(IF([2]对账明细接口!$G$755=0,"",[2]对账明细接口!$G$755),"")</f>
        <v/>
      </c>
      <c r="H755" s="17" t="str">
        <f>IFERROR(IF([2]对账明细接口!$H$755=0,"",[2]对账明细接口!$H$755),"")</f>
        <v/>
      </c>
      <c r="I755" s="16" t="str">
        <f>IFERROR(IF([2]对账明细接口!$I$755=0,"",[2]对账明细接口!$I$755),"")</f>
        <v/>
      </c>
      <c r="J755" s="18" t="str">
        <f>IFERROR(IF([2]对账明细接口!$J$755=0,"",[2]对账明细接口!$J$755),"")</f>
        <v/>
      </c>
      <c r="K755" s="18" t="str">
        <f>IFERROR(IF([2]对账明细接口!$K$755=0,"",[2]对账明细接口!$K$755),"")</f>
        <v/>
      </c>
      <c r="L755" s="16" t="str">
        <f>IFERROR(IF([2]对账明细接口!$L$755=0,"",[2]对账明细接口!$L$755),"")</f>
        <v/>
      </c>
      <c r="M755" s="16" t="str">
        <f>IFERROR(IF([2]对账明细接口!$M$755=0,"",[2]对账明细接口!$M$755),"")</f>
        <v/>
      </c>
      <c r="N755" s="19">
        <f t="shared" si="66"/>
        <v>0</v>
      </c>
      <c r="O755" s="19">
        <f t="shared" si="67"/>
        <v>165</v>
      </c>
      <c r="S755" s="20" t="str">
        <f>IFERROR(IF([2]对账明细接口!$N755=0,"",[2]对账明细接口!$N755),"")</f>
        <v/>
      </c>
      <c r="T755" s="21" t="str">
        <f>IFERROR(IF([2]对账明细接口!$O755=0,"",[2]对账明细接口!$O755),"")</f>
        <v/>
      </c>
      <c r="U755" s="21" t="str">
        <f>IFERROR(IF([2]对账明细接口!$P755=0,"",[2]对账明细接口!$P755),"")</f>
        <v/>
      </c>
      <c r="V755" s="21" t="str">
        <f>IFERROR(IF([2]对账明细接口!$Q755=0,"",[2]对账明细接口!$Q755),"")</f>
        <v/>
      </c>
      <c r="W755" s="20" t="str">
        <f>IFERROR(IF([2]对账明细接口!$R755=0,"",[2]对账明细接口!$R755),"")</f>
        <v/>
      </c>
      <c r="X755" s="20" t="str">
        <f>IFERROR(IF([2]对账明细接口!$S755=0,"",[2]对账明细接口!$S755),"")</f>
        <v/>
      </c>
      <c r="Y755" s="20" t="str">
        <f t="shared" si="68"/>
        <v/>
      </c>
      <c r="Z755" s="20" t="str">
        <f t="shared" si="69"/>
        <v/>
      </c>
      <c r="AA755" s="20" t="str">
        <f t="shared" si="70"/>
        <v/>
      </c>
      <c r="AB755" s="20" t="str">
        <f t="shared" si="71"/>
        <v/>
      </c>
    </row>
    <row r="756" customHeight="1" spans="1:28">
      <c r="A756" s="14">
        <v>756</v>
      </c>
      <c r="B756" s="15" t="str">
        <f>IFERROR(IF([2]对账明细接口!$B$756=0,"",[2]对账明细接口!$B$756),"")</f>
        <v/>
      </c>
      <c r="C756" s="16" t="str">
        <f>IFERROR(IF([2]对账明细接口!$C$756=0,"",[2]对账明细接口!$C$756),"")</f>
        <v/>
      </c>
      <c r="D756" s="16" t="str">
        <f>IFERROR(IF([2]对账明细接口!$D$756=0,"",[2]对账明细接口!$D$756),"")</f>
        <v/>
      </c>
      <c r="E756" s="16" t="str">
        <f>IFERROR(IF([2]对账明细接口!$E$756=0,"",[2]对账明细接口!$E$756),"")</f>
        <v/>
      </c>
      <c r="F756" s="16" t="str">
        <f>IFERROR(IF([2]对账明细接口!$F$756=0,"",[2]对账明细接口!$F$756),"")</f>
        <v/>
      </c>
      <c r="G756" s="16" t="str">
        <f>IFERROR(IF([2]对账明细接口!$G$756=0,"",[2]对账明细接口!$G$756),"")</f>
        <v/>
      </c>
      <c r="H756" s="17" t="str">
        <f>IFERROR(IF([2]对账明细接口!$H$756=0,"",[2]对账明细接口!$H$756),"")</f>
        <v/>
      </c>
      <c r="I756" s="16" t="str">
        <f>IFERROR(IF([2]对账明细接口!$I$756=0,"",[2]对账明细接口!$I$756),"")</f>
        <v/>
      </c>
      <c r="J756" s="18" t="str">
        <f>IFERROR(IF([2]对账明细接口!$J$756=0,"",[2]对账明细接口!$J$756),"")</f>
        <v/>
      </c>
      <c r="K756" s="18" t="str">
        <f>IFERROR(IF([2]对账明细接口!$K$756=0,"",[2]对账明细接口!$K$756),"")</f>
        <v/>
      </c>
      <c r="L756" s="16" t="str">
        <f>IFERROR(IF([2]对账明细接口!$L$756=0,"",[2]对账明细接口!$L$756),"")</f>
        <v/>
      </c>
      <c r="M756" s="16" t="str">
        <f>IFERROR(IF([2]对账明细接口!$M$756=0,"",[2]对账明细接口!$M$756),"")</f>
        <v/>
      </c>
      <c r="N756" s="19">
        <f t="shared" si="66"/>
        <v>0</v>
      </c>
      <c r="O756" s="19">
        <f t="shared" si="67"/>
        <v>165</v>
      </c>
      <c r="S756" s="20" t="str">
        <f>IFERROR(IF([2]对账明细接口!$N756=0,"",[2]对账明细接口!$N756),"")</f>
        <v/>
      </c>
      <c r="T756" s="21" t="str">
        <f>IFERROR(IF([2]对账明细接口!$O756=0,"",[2]对账明细接口!$O756),"")</f>
        <v/>
      </c>
      <c r="U756" s="21" t="str">
        <f>IFERROR(IF([2]对账明细接口!$P756=0,"",[2]对账明细接口!$P756),"")</f>
        <v/>
      </c>
      <c r="V756" s="21" t="str">
        <f>IFERROR(IF([2]对账明细接口!$Q756=0,"",[2]对账明细接口!$Q756),"")</f>
        <v/>
      </c>
      <c r="W756" s="20" t="str">
        <f>IFERROR(IF([2]对账明细接口!$R756=0,"",[2]对账明细接口!$R756),"")</f>
        <v/>
      </c>
      <c r="X756" s="20" t="str">
        <f>IFERROR(IF([2]对账明细接口!$S756=0,"",[2]对账明细接口!$S756),"")</f>
        <v/>
      </c>
      <c r="Y756" s="20" t="str">
        <f t="shared" si="68"/>
        <v/>
      </c>
      <c r="Z756" s="20" t="str">
        <f t="shared" si="69"/>
        <v/>
      </c>
      <c r="AA756" s="20" t="str">
        <f t="shared" si="70"/>
        <v/>
      </c>
      <c r="AB756" s="20" t="str">
        <f t="shared" si="71"/>
        <v/>
      </c>
    </row>
    <row r="757" customHeight="1" spans="1:28">
      <c r="A757" s="14">
        <v>757</v>
      </c>
      <c r="B757" s="15" t="str">
        <f>IFERROR(IF([2]对账明细接口!$B$757=0,"",[2]对账明细接口!$B$757),"")</f>
        <v/>
      </c>
      <c r="C757" s="16" t="str">
        <f>IFERROR(IF([2]对账明细接口!$C$757=0,"",[2]对账明细接口!$C$757),"")</f>
        <v/>
      </c>
      <c r="D757" s="16" t="str">
        <f>IFERROR(IF([2]对账明细接口!$D$757=0,"",[2]对账明细接口!$D$757),"")</f>
        <v/>
      </c>
      <c r="E757" s="16" t="str">
        <f>IFERROR(IF([2]对账明细接口!$E$757=0,"",[2]对账明细接口!$E$757),"")</f>
        <v/>
      </c>
      <c r="F757" s="16" t="str">
        <f>IFERROR(IF([2]对账明细接口!$F$757=0,"",[2]对账明细接口!$F$757),"")</f>
        <v/>
      </c>
      <c r="G757" s="16" t="str">
        <f>IFERROR(IF([2]对账明细接口!$G$757=0,"",[2]对账明细接口!$G$757),"")</f>
        <v/>
      </c>
      <c r="H757" s="17" t="str">
        <f>IFERROR(IF([2]对账明细接口!$H$757=0,"",[2]对账明细接口!$H$757),"")</f>
        <v/>
      </c>
      <c r="I757" s="16" t="str">
        <f>IFERROR(IF([2]对账明细接口!$I$757=0,"",[2]对账明细接口!$I$757),"")</f>
        <v/>
      </c>
      <c r="J757" s="18" t="str">
        <f>IFERROR(IF([2]对账明细接口!$J$757=0,"",[2]对账明细接口!$J$757),"")</f>
        <v/>
      </c>
      <c r="K757" s="18" t="str">
        <f>IFERROR(IF([2]对账明细接口!$K$757=0,"",[2]对账明细接口!$K$757),"")</f>
        <v/>
      </c>
      <c r="L757" s="16" t="str">
        <f>IFERROR(IF([2]对账明细接口!$L$757=0,"",[2]对账明细接口!$L$757),"")</f>
        <v/>
      </c>
      <c r="M757" s="16" t="str">
        <f>IFERROR(IF([2]对账明细接口!$M$757=0,"",[2]对账明细接口!$M$757),"")</f>
        <v/>
      </c>
      <c r="N757" s="19">
        <f t="shared" si="66"/>
        <v>0</v>
      </c>
      <c r="O757" s="19">
        <f t="shared" si="67"/>
        <v>165</v>
      </c>
      <c r="S757" s="20" t="str">
        <f>IFERROR(IF([2]对账明细接口!$N757=0,"",[2]对账明细接口!$N757),"")</f>
        <v/>
      </c>
      <c r="T757" s="21" t="str">
        <f>IFERROR(IF([2]对账明细接口!$O757=0,"",[2]对账明细接口!$O757),"")</f>
        <v/>
      </c>
      <c r="U757" s="21" t="str">
        <f>IFERROR(IF([2]对账明细接口!$P757=0,"",[2]对账明细接口!$P757),"")</f>
        <v/>
      </c>
      <c r="V757" s="21" t="str">
        <f>IFERROR(IF([2]对账明细接口!$Q757=0,"",[2]对账明细接口!$Q757),"")</f>
        <v/>
      </c>
      <c r="W757" s="20" t="str">
        <f>IFERROR(IF([2]对账明细接口!$R757=0,"",[2]对账明细接口!$R757),"")</f>
        <v/>
      </c>
      <c r="X757" s="20" t="str">
        <f>IFERROR(IF([2]对账明细接口!$S757=0,"",[2]对账明细接口!$S757),"")</f>
        <v/>
      </c>
      <c r="Y757" s="20" t="str">
        <f t="shared" si="68"/>
        <v/>
      </c>
      <c r="Z757" s="20" t="str">
        <f t="shared" si="69"/>
        <v/>
      </c>
      <c r="AA757" s="20" t="str">
        <f t="shared" si="70"/>
        <v/>
      </c>
      <c r="AB757" s="20" t="str">
        <f t="shared" si="71"/>
        <v/>
      </c>
    </row>
    <row r="758" customHeight="1" spans="1:28">
      <c r="A758" s="14">
        <v>758</v>
      </c>
      <c r="B758" s="15" t="str">
        <f>IFERROR(IF([2]对账明细接口!$B$758=0,"",[2]对账明细接口!$B$758),"")</f>
        <v/>
      </c>
      <c r="C758" s="16" t="str">
        <f>IFERROR(IF([2]对账明细接口!$C$758=0,"",[2]对账明细接口!$C$758),"")</f>
        <v/>
      </c>
      <c r="D758" s="16" t="str">
        <f>IFERROR(IF([2]对账明细接口!$D$758=0,"",[2]对账明细接口!$D$758),"")</f>
        <v/>
      </c>
      <c r="E758" s="16" t="str">
        <f>IFERROR(IF([2]对账明细接口!$E$758=0,"",[2]对账明细接口!$E$758),"")</f>
        <v/>
      </c>
      <c r="F758" s="16" t="str">
        <f>IFERROR(IF([2]对账明细接口!$F$758=0,"",[2]对账明细接口!$F$758),"")</f>
        <v/>
      </c>
      <c r="G758" s="16" t="str">
        <f>IFERROR(IF([2]对账明细接口!$G$758=0,"",[2]对账明细接口!$G$758),"")</f>
        <v/>
      </c>
      <c r="H758" s="17" t="str">
        <f>IFERROR(IF([2]对账明细接口!$H$758=0,"",[2]对账明细接口!$H$758),"")</f>
        <v/>
      </c>
      <c r="I758" s="16" t="str">
        <f>IFERROR(IF([2]对账明细接口!$I$758=0,"",[2]对账明细接口!$I$758),"")</f>
        <v/>
      </c>
      <c r="J758" s="18" t="str">
        <f>IFERROR(IF([2]对账明细接口!$J$758=0,"",[2]对账明细接口!$J$758),"")</f>
        <v/>
      </c>
      <c r="K758" s="18" t="str">
        <f>IFERROR(IF([2]对账明细接口!$K$758=0,"",[2]对账明细接口!$K$758),"")</f>
        <v/>
      </c>
      <c r="L758" s="16" t="str">
        <f>IFERROR(IF([2]对账明细接口!$L$758=0,"",[2]对账明细接口!$L$758),"")</f>
        <v/>
      </c>
      <c r="M758" s="16" t="str">
        <f>IFERROR(IF([2]对账明细接口!$M$758=0,"",[2]对账明细接口!$M$758),"")</f>
        <v/>
      </c>
      <c r="N758" s="19">
        <f t="shared" si="66"/>
        <v>0</v>
      </c>
      <c r="O758" s="19">
        <f t="shared" si="67"/>
        <v>165</v>
      </c>
      <c r="S758" s="20" t="str">
        <f>IFERROR(IF([2]对账明细接口!$N758=0,"",[2]对账明细接口!$N758),"")</f>
        <v/>
      </c>
      <c r="T758" s="21" t="str">
        <f>IFERROR(IF([2]对账明细接口!$O758=0,"",[2]对账明细接口!$O758),"")</f>
        <v/>
      </c>
      <c r="U758" s="21" t="str">
        <f>IFERROR(IF([2]对账明细接口!$P758=0,"",[2]对账明细接口!$P758),"")</f>
        <v/>
      </c>
      <c r="V758" s="21" t="str">
        <f>IFERROR(IF([2]对账明细接口!$Q758=0,"",[2]对账明细接口!$Q758),"")</f>
        <v/>
      </c>
      <c r="W758" s="20" t="str">
        <f>IFERROR(IF([2]对账明细接口!$R758=0,"",[2]对账明细接口!$R758),"")</f>
        <v/>
      </c>
      <c r="X758" s="20" t="str">
        <f>IFERROR(IF([2]对账明细接口!$S758=0,"",[2]对账明细接口!$S758),"")</f>
        <v/>
      </c>
      <c r="Y758" s="20" t="str">
        <f t="shared" si="68"/>
        <v/>
      </c>
      <c r="Z758" s="20" t="str">
        <f t="shared" si="69"/>
        <v/>
      </c>
      <c r="AA758" s="20" t="str">
        <f t="shared" si="70"/>
        <v/>
      </c>
      <c r="AB758" s="20" t="str">
        <f t="shared" si="71"/>
        <v/>
      </c>
    </row>
    <row r="759" customHeight="1" spans="1:28">
      <c r="A759" s="14">
        <v>759</v>
      </c>
      <c r="B759" s="15" t="str">
        <f>IFERROR(IF([2]对账明细接口!$B$759=0,"",[2]对账明细接口!$B$759),"")</f>
        <v/>
      </c>
      <c r="C759" s="16" t="str">
        <f>IFERROR(IF([2]对账明细接口!$C$759=0,"",[2]对账明细接口!$C$759),"")</f>
        <v/>
      </c>
      <c r="D759" s="16" t="str">
        <f>IFERROR(IF([2]对账明细接口!$D$759=0,"",[2]对账明细接口!$D$759),"")</f>
        <v/>
      </c>
      <c r="E759" s="16" t="str">
        <f>IFERROR(IF([2]对账明细接口!$E$759=0,"",[2]对账明细接口!$E$759),"")</f>
        <v/>
      </c>
      <c r="F759" s="16" t="str">
        <f>IFERROR(IF([2]对账明细接口!$F$759=0,"",[2]对账明细接口!$F$759),"")</f>
        <v/>
      </c>
      <c r="G759" s="16" t="str">
        <f>IFERROR(IF([2]对账明细接口!$G$759=0,"",[2]对账明细接口!$G$759),"")</f>
        <v/>
      </c>
      <c r="H759" s="17" t="str">
        <f>IFERROR(IF([2]对账明细接口!$H$759=0,"",[2]对账明细接口!$H$759),"")</f>
        <v/>
      </c>
      <c r="I759" s="16" t="str">
        <f>IFERROR(IF([2]对账明细接口!$I$759=0,"",[2]对账明细接口!$I$759),"")</f>
        <v/>
      </c>
      <c r="J759" s="18" t="str">
        <f>IFERROR(IF([2]对账明细接口!$J$759=0,"",[2]对账明细接口!$J$759),"")</f>
        <v/>
      </c>
      <c r="K759" s="18" t="str">
        <f>IFERROR(IF([2]对账明细接口!$K$759=0,"",[2]对账明细接口!$K$759),"")</f>
        <v/>
      </c>
      <c r="L759" s="16" t="str">
        <f>IFERROR(IF([2]对账明细接口!$L$759=0,"",[2]对账明细接口!$L$759),"")</f>
        <v/>
      </c>
      <c r="M759" s="16" t="str">
        <f>IFERROR(IF([2]对账明细接口!$M$759=0,"",[2]对账明细接口!$M$759),"")</f>
        <v/>
      </c>
      <c r="N759" s="19">
        <f t="shared" si="66"/>
        <v>0</v>
      </c>
      <c r="O759" s="19">
        <f t="shared" si="67"/>
        <v>165</v>
      </c>
      <c r="S759" s="20" t="str">
        <f>IFERROR(IF([2]对账明细接口!$N759=0,"",[2]对账明细接口!$N759),"")</f>
        <v/>
      </c>
      <c r="T759" s="21" t="str">
        <f>IFERROR(IF([2]对账明细接口!$O759=0,"",[2]对账明细接口!$O759),"")</f>
        <v/>
      </c>
      <c r="U759" s="21" t="str">
        <f>IFERROR(IF([2]对账明细接口!$P759=0,"",[2]对账明细接口!$P759),"")</f>
        <v/>
      </c>
      <c r="V759" s="21" t="str">
        <f>IFERROR(IF([2]对账明细接口!$Q759=0,"",[2]对账明细接口!$Q759),"")</f>
        <v/>
      </c>
      <c r="W759" s="20" t="str">
        <f>IFERROR(IF([2]对账明细接口!$R759=0,"",[2]对账明细接口!$R759),"")</f>
        <v/>
      </c>
      <c r="X759" s="20" t="str">
        <f>IFERROR(IF([2]对账明细接口!$S759=0,"",[2]对账明细接口!$S759),"")</f>
        <v/>
      </c>
      <c r="Y759" s="20" t="str">
        <f t="shared" si="68"/>
        <v/>
      </c>
      <c r="Z759" s="20" t="str">
        <f t="shared" si="69"/>
        <v/>
      </c>
      <c r="AA759" s="20" t="str">
        <f t="shared" si="70"/>
        <v/>
      </c>
      <c r="AB759" s="20" t="str">
        <f t="shared" si="71"/>
        <v/>
      </c>
    </row>
    <row r="760" customHeight="1" spans="1:28">
      <c r="A760" s="14">
        <v>760</v>
      </c>
      <c r="B760" s="15" t="str">
        <f>IFERROR(IF([2]对账明细接口!$B$760=0,"",[2]对账明细接口!$B$760),"")</f>
        <v/>
      </c>
      <c r="C760" s="16" t="str">
        <f>IFERROR(IF([2]对账明细接口!$C$760=0,"",[2]对账明细接口!$C$760),"")</f>
        <v/>
      </c>
      <c r="D760" s="16" t="str">
        <f>IFERROR(IF([2]对账明细接口!$D$760=0,"",[2]对账明细接口!$D$760),"")</f>
        <v/>
      </c>
      <c r="E760" s="16" t="str">
        <f>IFERROR(IF([2]对账明细接口!$E$760=0,"",[2]对账明细接口!$E$760),"")</f>
        <v/>
      </c>
      <c r="F760" s="16" t="str">
        <f>IFERROR(IF([2]对账明细接口!$F$760=0,"",[2]对账明细接口!$F$760),"")</f>
        <v/>
      </c>
      <c r="G760" s="16" t="str">
        <f>IFERROR(IF([2]对账明细接口!$G$760=0,"",[2]对账明细接口!$G$760),"")</f>
        <v/>
      </c>
      <c r="H760" s="17" t="str">
        <f>IFERROR(IF([2]对账明细接口!$H$760=0,"",[2]对账明细接口!$H$760),"")</f>
        <v/>
      </c>
      <c r="I760" s="16" t="str">
        <f>IFERROR(IF([2]对账明细接口!$I$760=0,"",[2]对账明细接口!$I$760),"")</f>
        <v/>
      </c>
      <c r="J760" s="18" t="str">
        <f>IFERROR(IF([2]对账明细接口!$J$760=0,"",[2]对账明细接口!$J$760),"")</f>
        <v/>
      </c>
      <c r="K760" s="18" t="str">
        <f>IFERROR(IF([2]对账明细接口!$K$760=0,"",[2]对账明细接口!$K$760),"")</f>
        <v/>
      </c>
      <c r="L760" s="16" t="str">
        <f>IFERROR(IF([2]对账明细接口!$L$760=0,"",[2]对账明细接口!$L$760),"")</f>
        <v/>
      </c>
      <c r="M760" s="16" t="str">
        <f>IFERROR(IF([2]对账明细接口!$M$760=0,"",[2]对账明细接口!$M$760),"")</f>
        <v/>
      </c>
      <c r="N760" s="19">
        <f t="shared" si="66"/>
        <v>0</v>
      </c>
      <c r="O760" s="19">
        <f t="shared" si="67"/>
        <v>165</v>
      </c>
      <c r="S760" s="20" t="str">
        <f>IFERROR(IF([2]对账明细接口!$N760=0,"",[2]对账明细接口!$N760),"")</f>
        <v/>
      </c>
      <c r="T760" s="21" t="str">
        <f>IFERROR(IF([2]对账明细接口!$O760=0,"",[2]对账明细接口!$O760),"")</f>
        <v/>
      </c>
      <c r="U760" s="21" t="str">
        <f>IFERROR(IF([2]对账明细接口!$P760=0,"",[2]对账明细接口!$P760),"")</f>
        <v/>
      </c>
      <c r="V760" s="21" t="str">
        <f>IFERROR(IF([2]对账明细接口!$Q760=0,"",[2]对账明细接口!$Q760),"")</f>
        <v/>
      </c>
      <c r="W760" s="20" t="str">
        <f>IFERROR(IF([2]对账明细接口!$R760=0,"",[2]对账明细接口!$R760),"")</f>
        <v/>
      </c>
      <c r="X760" s="20" t="str">
        <f>IFERROR(IF([2]对账明细接口!$S760=0,"",[2]对账明细接口!$S760),"")</f>
        <v/>
      </c>
      <c r="Y760" s="20" t="str">
        <f t="shared" si="68"/>
        <v/>
      </c>
      <c r="Z760" s="20" t="str">
        <f t="shared" si="69"/>
        <v/>
      </c>
      <c r="AA760" s="20" t="str">
        <f t="shared" si="70"/>
        <v/>
      </c>
      <c r="AB760" s="20" t="str">
        <f t="shared" si="71"/>
        <v/>
      </c>
    </row>
    <row r="761" customHeight="1" spans="1:28">
      <c r="A761" s="14">
        <v>761</v>
      </c>
      <c r="B761" s="15" t="str">
        <f>IFERROR(IF([2]对账明细接口!$B$761=0,"",[2]对账明细接口!$B$761),"")</f>
        <v/>
      </c>
      <c r="C761" s="16" t="str">
        <f>IFERROR(IF([2]对账明细接口!$C$761=0,"",[2]对账明细接口!$C$761),"")</f>
        <v/>
      </c>
      <c r="D761" s="16" t="str">
        <f>IFERROR(IF([2]对账明细接口!$D$761=0,"",[2]对账明细接口!$D$761),"")</f>
        <v/>
      </c>
      <c r="E761" s="16" t="str">
        <f>IFERROR(IF([2]对账明细接口!$E$761=0,"",[2]对账明细接口!$E$761),"")</f>
        <v/>
      </c>
      <c r="F761" s="16" t="str">
        <f>IFERROR(IF([2]对账明细接口!$F$761=0,"",[2]对账明细接口!$F$761),"")</f>
        <v/>
      </c>
      <c r="G761" s="16" t="str">
        <f>IFERROR(IF([2]对账明细接口!$G$761=0,"",[2]对账明细接口!$G$761),"")</f>
        <v/>
      </c>
      <c r="H761" s="17" t="str">
        <f>IFERROR(IF([2]对账明细接口!$H$761=0,"",[2]对账明细接口!$H$761),"")</f>
        <v/>
      </c>
      <c r="I761" s="16" t="str">
        <f>IFERROR(IF([2]对账明细接口!$I$761=0,"",[2]对账明细接口!$I$761),"")</f>
        <v/>
      </c>
      <c r="J761" s="18" t="str">
        <f>IFERROR(IF([2]对账明细接口!$J$761=0,"",[2]对账明细接口!$J$761),"")</f>
        <v/>
      </c>
      <c r="K761" s="18" t="str">
        <f>IFERROR(IF([2]对账明细接口!$K$761=0,"",[2]对账明细接口!$K$761),"")</f>
        <v/>
      </c>
      <c r="L761" s="16" t="str">
        <f>IFERROR(IF([2]对账明细接口!$L$761=0,"",[2]对账明细接口!$L$761),"")</f>
        <v/>
      </c>
      <c r="M761" s="16" t="str">
        <f>IFERROR(IF([2]对账明细接口!$M$761=0,"",[2]对账明细接口!$M$761),"")</f>
        <v/>
      </c>
      <c r="N761" s="19">
        <f t="shared" si="66"/>
        <v>0</v>
      </c>
      <c r="O761" s="19">
        <f t="shared" si="67"/>
        <v>165</v>
      </c>
      <c r="S761" s="20" t="str">
        <f>IFERROR(IF([2]对账明细接口!$N761=0,"",[2]对账明细接口!$N761),"")</f>
        <v/>
      </c>
      <c r="T761" s="21" t="str">
        <f>IFERROR(IF([2]对账明细接口!$O761=0,"",[2]对账明细接口!$O761),"")</f>
        <v/>
      </c>
      <c r="U761" s="21" t="str">
        <f>IFERROR(IF([2]对账明细接口!$P761=0,"",[2]对账明细接口!$P761),"")</f>
        <v/>
      </c>
      <c r="V761" s="21" t="str">
        <f>IFERROR(IF([2]对账明细接口!$Q761=0,"",[2]对账明细接口!$Q761),"")</f>
        <v/>
      </c>
      <c r="W761" s="20" t="str">
        <f>IFERROR(IF([2]对账明细接口!$R761=0,"",[2]对账明细接口!$R761),"")</f>
        <v/>
      </c>
      <c r="X761" s="20" t="str">
        <f>IFERROR(IF([2]对账明细接口!$S761=0,"",[2]对账明细接口!$S761),"")</f>
        <v/>
      </c>
      <c r="Y761" s="20" t="str">
        <f t="shared" si="68"/>
        <v/>
      </c>
      <c r="Z761" s="20" t="str">
        <f t="shared" si="69"/>
        <v/>
      </c>
      <c r="AA761" s="20" t="str">
        <f t="shared" si="70"/>
        <v/>
      </c>
      <c r="AB761" s="20" t="str">
        <f t="shared" si="71"/>
        <v/>
      </c>
    </row>
    <row r="762" customHeight="1" spans="1:28">
      <c r="A762" s="14">
        <v>762</v>
      </c>
      <c r="B762" s="15" t="str">
        <f>IFERROR(IF([2]对账明细接口!$B$762=0,"",[2]对账明细接口!$B$762),"")</f>
        <v/>
      </c>
      <c r="C762" s="16" t="str">
        <f>IFERROR(IF([2]对账明细接口!$C$762=0,"",[2]对账明细接口!$C$762),"")</f>
        <v/>
      </c>
      <c r="D762" s="16" t="str">
        <f>IFERROR(IF([2]对账明细接口!$D$762=0,"",[2]对账明细接口!$D$762),"")</f>
        <v/>
      </c>
      <c r="E762" s="16" t="str">
        <f>IFERROR(IF([2]对账明细接口!$E$762=0,"",[2]对账明细接口!$E$762),"")</f>
        <v/>
      </c>
      <c r="F762" s="16" t="str">
        <f>IFERROR(IF([2]对账明细接口!$F$762=0,"",[2]对账明细接口!$F$762),"")</f>
        <v/>
      </c>
      <c r="G762" s="16" t="str">
        <f>IFERROR(IF([2]对账明细接口!$G$762=0,"",[2]对账明细接口!$G$762),"")</f>
        <v/>
      </c>
      <c r="H762" s="17" t="str">
        <f>IFERROR(IF([2]对账明细接口!$H$762=0,"",[2]对账明细接口!$H$762),"")</f>
        <v/>
      </c>
      <c r="I762" s="16" t="str">
        <f>IFERROR(IF([2]对账明细接口!$I$762=0,"",[2]对账明细接口!$I$762),"")</f>
        <v/>
      </c>
      <c r="J762" s="18" t="str">
        <f>IFERROR(IF([2]对账明细接口!$J$762=0,"",[2]对账明细接口!$J$762),"")</f>
        <v/>
      </c>
      <c r="K762" s="18" t="str">
        <f>IFERROR(IF([2]对账明细接口!$K$762=0,"",[2]对账明细接口!$K$762),"")</f>
        <v/>
      </c>
      <c r="L762" s="16" t="str">
        <f>IFERROR(IF([2]对账明细接口!$L$762=0,"",[2]对账明细接口!$L$762),"")</f>
        <v/>
      </c>
      <c r="M762" s="16" t="str">
        <f>IFERROR(IF([2]对账明细接口!$M$762=0,"",[2]对账明细接口!$M$762),"")</f>
        <v/>
      </c>
      <c r="N762" s="19">
        <f t="shared" si="66"/>
        <v>0</v>
      </c>
      <c r="O762" s="19">
        <f t="shared" si="67"/>
        <v>165</v>
      </c>
      <c r="S762" s="20" t="str">
        <f>IFERROR(IF([2]对账明细接口!$N762=0,"",[2]对账明细接口!$N762),"")</f>
        <v/>
      </c>
      <c r="T762" s="21" t="str">
        <f>IFERROR(IF([2]对账明细接口!$O762=0,"",[2]对账明细接口!$O762),"")</f>
        <v/>
      </c>
      <c r="U762" s="21" t="str">
        <f>IFERROR(IF([2]对账明细接口!$P762=0,"",[2]对账明细接口!$P762),"")</f>
        <v/>
      </c>
      <c r="V762" s="21" t="str">
        <f>IFERROR(IF([2]对账明细接口!$Q762=0,"",[2]对账明细接口!$Q762),"")</f>
        <v/>
      </c>
      <c r="W762" s="20" t="str">
        <f>IFERROR(IF([2]对账明细接口!$R762=0,"",[2]对账明细接口!$R762),"")</f>
        <v/>
      </c>
      <c r="X762" s="20" t="str">
        <f>IFERROR(IF([2]对账明细接口!$S762=0,"",[2]对账明细接口!$S762),"")</f>
        <v/>
      </c>
      <c r="Y762" s="20" t="str">
        <f t="shared" si="68"/>
        <v/>
      </c>
      <c r="Z762" s="20" t="str">
        <f t="shared" si="69"/>
        <v/>
      </c>
      <c r="AA762" s="20" t="str">
        <f t="shared" si="70"/>
        <v/>
      </c>
      <c r="AB762" s="20" t="str">
        <f t="shared" si="71"/>
        <v/>
      </c>
    </row>
    <row r="763" customHeight="1" spans="1:28">
      <c r="A763" s="14">
        <v>763</v>
      </c>
      <c r="B763" s="15" t="str">
        <f>IFERROR(IF([2]对账明细接口!$B$763=0,"",[2]对账明细接口!$B$763),"")</f>
        <v/>
      </c>
      <c r="C763" s="16" t="str">
        <f>IFERROR(IF([2]对账明细接口!$C$763=0,"",[2]对账明细接口!$C$763),"")</f>
        <v/>
      </c>
      <c r="D763" s="16" t="str">
        <f>IFERROR(IF([2]对账明细接口!$D$763=0,"",[2]对账明细接口!$D$763),"")</f>
        <v/>
      </c>
      <c r="E763" s="16" t="str">
        <f>IFERROR(IF([2]对账明细接口!$E$763=0,"",[2]对账明细接口!$E$763),"")</f>
        <v/>
      </c>
      <c r="F763" s="16" t="str">
        <f>IFERROR(IF([2]对账明细接口!$F$763=0,"",[2]对账明细接口!$F$763),"")</f>
        <v/>
      </c>
      <c r="G763" s="16" t="str">
        <f>IFERROR(IF([2]对账明细接口!$G$763=0,"",[2]对账明细接口!$G$763),"")</f>
        <v/>
      </c>
      <c r="H763" s="17" t="str">
        <f>IFERROR(IF([2]对账明细接口!$H$763=0,"",[2]对账明细接口!$H$763),"")</f>
        <v/>
      </c>
      <c r="I763" s="16" t="str">
        <f>IFERROR(IF([2]对账明细接口!$I$763=0,"",[2]对账明细接口!$I$763),"")</f>
        <v/>
      </c>
      <c r="J763" s="18" t="str">
        <f>IFERROR(IF([2]对账明细接口!$J$763=0,"",[2]对账明细接口!$J$763),"")</f>
        <v/>
      </c>
      <c r="K763" s="18" t="str">
        <f>IFERROR(IF([2]对账明细接口!$K$763=0,"",[2]对账明细接口!$K$763),"")</f>
        <v/>
      </c>
      <c r="L763" s="16" t="str">
        <f>IFERROR(IF([2]对账明细接口!$L$763=0,"",[2]对账明细接口!$L$763),"")</f>
        <v/>
      </c>
      <c r="M763" s="16" t="str">
        <f>IFERROR(IF([2]对账明细接口!$M$763=0,"",[2]对账明细接口!$M$763),"")</f>
        <v/>
      </c>
      <c r="N763" s="19">
        <f t="shared" si="66"/>
        <v>0</v>
      </c>
      <c r="O763" s="19">
        <f t="shared" si="67"/>
        <v>165</v>
      </c>
      <c r="S763" s="20" t="str">
        <f>IFERROR(IF([2]对账明细接口!$N763=0,"",[2]对账明细接口!$N763),"")</f>
        <v/>
      </c>
      <c r="T763" s="21" t="str">
        <f>IFERROR(IF([2]对账明细接口!$O763=0,"",[2]对账明细接口!$O763),"")</f>
        <v/>
      </c>
      <c r="U763" s="21" t="str">
        <f>IFERROR(IF([2]对账明细接口!$P763=0,"",[2]对账明细接口!$P763),"")</f>
        <v/>
      </c>
      <c r="V763" s="21" t="str">
        <f>IFERROR(IF([2]对账明细接口!$Q763=0,"",[2]对账明细接口!$Q763),"")</f>
        <v/>
      </c>
      <c r="W763" s="20" t="str">
        <f>IFERROR(IF([2]对账明细接口!$R763=0,"",[2]对账明细接口!$R763),"")</f>
        <v/>
      </c>
      <c r="X763" s="20" t="str">
        <f>IFERROR(IF([2]对账明细接口!$S763=0,"",[2]对账明细接口!$S763),"")</f>
        <v/>
      </c>
      <c r="Y763" s="20" t="str">
        <f t="shared" si="68"/>
        <v/>
      </c>
      <c r="Z763" s="20" t="str">
        <f t="shared" si="69"/>
        <v/>
      </c>
      <c r="AA763" s="20" t="str">
        <f t="shared" si="70"/>
        <v/>
      </c>
      <c r="AB763" s="20" t="str">
        <f t="shared" si="71"/>
        <v/>
      </c>
    </row>
    <row r="764" customHeight="1" spans="1:28">
      <c r="A764" s="14">
        <v>764</v>
      </c>
      <c r="B764" s="15" t="str">
        <f>IFERROR(IF([2]对账明细接口!$B$764=0,"",[2]对账明细接口!$B$764),"")</f>
        <v/>
      </c>
      <c r="C764" s="16" t="str">
        <f>IFERROR(IF([2]对账明细接口!$C$764=0,"",[2]对账明细接口!$C$764),"")</f>
        <v/>
      </c>
      <c r="D764" s="16" t="str">
        <f>IFERROR(IF([2]对账明细接口!$D$764=0,"",[2]对账明细接口!$D$764),"")</f>
        <v/>
      </c>
      <c r="E764" s="16" t="str">
        <f>IFERROR(IF([2]对账明细接口!$E$764=0,"",[2]对账明细接口!$E$764),"")</f>
        <v/>
      </c>
      <c r="F764" s="16" t="str">
        <f>IFERROR(IF([2]对账明细接口!$F$764=0,"",[2]对账明细接口!$F$764),"")</f>
        <v/>
      </c>
      <c r="G764" s="16" t="str">
        <f>IFERROR(IF([2]对账明细接口!$G$764=0,"",[2]对账明细接口!$G$764),"")</f>
        <v/>
      </c>
      <c r="H764" s="17" t="str">
        <f>IFERROR(IF([2]对账明细接口!$H$764=0,"",[2]对账明细接口!$H$764),"")</f>
        <v/>
      </c>
      <c r="I764" s="16" t="str">
        <f>IFERROR(IF([2]对账明细接口!$I$764=0,"",[2]对账明细接口!$I$764),"")</f>
        <v/>
      </c>
      <c r="J764" s="18" t="str">
        <f>IFERROR(IF([2]对账明细接口!$J$764=0,"",[2]对账明细接口!$J$764),"")</f>
        <v/>
      </c>
      <c r="K764" s="18" t="str">
        <f>IFERROR(IF([2]对账明细接口!$K$764=0,"",[2]对账明细接口!$K$764),"")</f>
        <v/>
      </c>
      <c r="L764" s="16" t="str">
        <f>IFERROR(IF([2]对账明细接口!$L$764=0,"",[2]对账明细接口!$L$764),"")</f>
        <v/>
      </c>
      <c r="M764" s="16" t="str">
        <f>IFERROR(IF([2]对账明细接口!$M$764=0,"",[2]对账明细接口!$M$764),"")</f>
        <v/>
      </c>
      <c r="N764" s="19">
        <f t="shared" si="66"/>
        <v>0</v>
      </c>
      <c r="O764" s="19">
        <f t="shared" si="67"/>
        <v>165</v>
      </c>
      <c r="S764" s="20" t="str">
        <f>IFERROR(IF([2]对账明细接口!$N764=0,"",[2]对账明细接口!$N764),"")</f>
        <v/>
      </c>
      <c r="T764" s="21" t="str">
        <f>IFERROR(IF([2]对账明细接口!$O764=0,"",[2]对账明细接口!$O764),"")</f>
        <v/>
      </c>
      <c r="U764" s="21" t="str">
        <f>IFERROR(IF([2]对账明细接口!$P764=0,"",[2]对账明细接口!$P764),"")</f>
        <v/>
      </c>
      <c r="V764" s="21" t="str">
        <f>IFERROR(IF([2]对账明细接口!$Q764=0,"",[2]对账明细接口!$Q764),"")</f>
        <v/>
      </c>
      <c r="W764" s="20" t="str">
        <f>IFERROR(IF([2]对账明细接口!$R764=0,"",[2]对账明细接口!$R764),"")</f>
        <v/>
      </c>
      <c r="X764" s="20" t="str">
        <f>IFERROR(IF([2]对账明细接口!$S764=0,"",[2]对账明细接口!$S764),"")</f>
        <v/>
      </c>
      <c r="Y764" s="20" t="str">
        <f t="shared" si="68"/>
        <v/>
      </c>
      <c r="Z764" s="20" t="str">
        <f t="shared" si="69"/>
        <v/>
      </c>
      <c r="AA764" s="20" t="str">
        <f t="shared" si="70"/>
        <v/>
      </c>
      <c r="AB764" s="20" t="str">
        <f t="shared" si="71"/>
        <v/>
      </c>
    </row>
    <row r="765" customHeight="1" spans="1:28">
      <c r="A765" s="14">
        <v>765</v>
      </c>
      <c r="B765" s="15" t="str">
        <f>IFERROR(IF([2]对账明细接口!$B$765=0,"",[2]对账明细接口!$B$765),"")</f>
        <v/>
      </c>
      <c r="C765" s="16" t="str">
        <f>IFERROR(IF([2]对账明细接口!$C$765=0,"",[2]对账明细接口!$C$765),"")</f>
        <v/>
      </c>
      <c r="D765" s="16" t="str">
        <f>IFERROR(IF([2]对账明细接口!$D$765=0,"",[2]对账明细接口!$D$765),"")</f>
        <v/>
      </c>
      <c r="E765" s="16" t="str">
        <f>IFERROR(IF([2]对账明细接口!$E$765=0,"",[2]对账明细接口!$E$765),"")</f>
        <v/>
      </c>
      <c r="F765" s="16" t="str">
        <f>IFERROR(IF([2]对账明细接口!$F$765=0,"",[2]对账明细接口!$F$765),"")</f>
        <v/>
      </c>
      <c r="G765" s="16" t="str">
        <f>IFERROR(IF([2]对账明细接口!$G$765=0,"",[2]对账明细接口!$G$765),"")</f>
        <v/>
      </c>
      <c r="H765" s="17" t="str">
        <f>IFERROR(IF([2]对账明细接口!$H$765=0,"",[2]对账明细接口!$H$765),"")</f>
        <v/>
      </c>
      <c r="I765" s="16" t="str">
        <f>IFERROR(IF([2]对账明细接口!$I$765=0,"",[2]对账明细接口!$I$765),"")</f>
        <v/>
      </c>
      <c r="J765" s="18" t="str">
        <f>IFERROR(IF([2]对账明细接口!$J$765=0,"",[2]对账明细接口!$J$765),"")</f>
        <v/>
      </c>
      <c r="K765" s="18" t="str">
        <f>IFERROR(IF([2]对账明细接口!$K$765=0,"",[2]对账明细接口!$K$765),"")</f>
        <v/>
      </c>
      <c r="L765" s="16" t="str">
        <f>IFERROR(IF([2]对账明细接口!$L$765=0,"",[2]对账明细接口!$L$765),"")</f>
        <v/>
      </c>
      <c r="M765" s="16" t="str">
        <f>IFERROR(IF([2]对账明细接口!$M$765=0,"",[2]对账明细接口!$M$765),"")</f>
        <v/>
      </c>
      <c r="N765" s="19">
        <f t="shared" si="66"/>
        <v>0</v>
      </c>
      <c r="O765" s="19">
        <f t="shared" si="67"/>
        <v>165</v>
      </c>
      <c r="S765" s="20" t="str">
        <f>IFERROR(IF([2]对账明细接口!$N765=0,"",[2]对账明细接口!$N765),"")</f>
        <v/>
      </c>
      <c r="T765" s="21" t="str">
        <f>IFERROR(IF([2]对账明细接口!$O765=0,"",[2]对账明细接口!$O765),"")</f>
        <v/>
      </c>
      <c r="U765" s="21" t="str">
        <f>IFERROR(IF([2]对账明细接口!$P765=0,"",[2]对账明细接口!$P765),"")</f>
        <v/>
      </c>
      <c r="V765" s="21" t="str">
        <f>IFERROR(IF([2]对账明细接口!$Q765=0,"",[2]对账明细接口!$Q765),"")</f>
        <v/>
      </c>
      <c r="W765" s="20" t="str">
        <f>IFERROR(IF([2]对账明细接口!$R765=0,"",[2]对账明细接口!$R765),"")</f>
        <v/>
      </c>
      <c r="X765" s="20" t="str">
        <f>IFERROR(IF([2]对账明细接口!$S765=0,"",[2]对账明细接口!$S765),"")</f>
        <v/>
      </c>
      <c r="Y765" s="20" t="str">
        <f t="shared" si="68"/>
        <v/>
      </c>
      <c r="Z765" s="20" t="str">
        <f t="shared" si="69"/>
        <v/>
      </c>
      <c r="AA765" s="20" t="str">
        <f t="shared" si="70"/>
        <v/>
      </c>
      <c r="AB765" s="20" t="str">
        <f t="shared" si="71"/>
        <v/>
      </c>
    </row>
    <row r="766" customHeight="1" spans="1:28">
      <c r="A766" s="14">
        <v>766</v>
      </c>
      <c r="B766" s="15" t="str">
        <f>IFERROR(IF([2]对账明细接口!$B$766=0,"",[2]对账明细接口!$B$766),"")</f>
        <v/>
      </c>
      <c r="C766" s="16" t="str">
        <f>IFERROR(IF([2]对账明细接口!$C$766=0,"",[2]对账明细接口!$C$766),"")</f>
        <v/>
      </c>
      <c r="D766" s="16" t="str">
        <f>IFERROR(IF([2]对账明细接口!$D$766=0,"",[2]对账明细接口!$D$766),"")</f>
        <v/>
      </c>
      <c r="E766" s="16" t="str">
        <f>IFERROR(IF([2]对账明细接口!$E$766=0,"",[2]对账明细接口!$E$766),"")</f>
        <v/>
      </c>
      <c r="F766" s="16" t="str">
        <f>IFERROR(IF([2]对账明细接口!$F$766=0,"",[2]对账明细接口!$F$766),"")</f>
        <v/>
      </c>
      <c r="G766" s="16" t="str">
        <f>IFERROR(IF([2]对账明细接口!$G$766=0,"",[2]对账明细接口!$G$766),"")</f>
        <v/>
      </c>
      <c r="H766" s="17" t="str">
        <f>IFERROR(IF([2]对账明细接口!$H$766=0,"",[2]对账明细接口!$H$766),"")</f>
        <v/>
      </c>
      <c r="I766" s="16" t="str">
        <f>IFERROR(IF([2]对账明细接口!$I$766=0,"",[2]对账明细接口!$I$766),"")</f>
        <v/>
      </c>
      <c r="J766" s="18" t="str">
        <f>IFERROR(IF([2]对账明细接口!$J$766=0,"",[2]对账明细接口!$J$766),"")</f>
        <v/>
      </c>
      <c r="K766" s="18" t="str">
        <f>IFERROR(IF([2]对账明细接口!$K$766=0,"",[2]对账明细接口!$K$766),"")</f>
        <v/>
      </c>
      <c r="L766" s="16" t="str">
        <f>IFERROR(IF([2]对账明细接口!$L$766=0,"",[2]对账明细接口!$L$766),"")</f>
        <v/>
      </c>
      <c r="M766" s="16" t="str">
        <f>IFERROR(IF([2]对账明细接口!$M$766=0,"",[2]对账明细接口!$M$766),"")</f>
        <v/>
      </c>
      <c r="N766" s="19">
        <f t="shared" si="66"/>
        <v>0</v>
      </c>
      <c r="O766" s="19">
        <f t="shared" si="67"/>
        <v>165</v>
      </c>
      <c r="S766" s="20" t="str">
        <f>IFERROR(IF([2]对账明细接口!$N766=0,"",[2]对账明细接口!$N766),"")</f>
        <v/>
      </c>
      <c r="T766" s="21" t="str">
        <f>IFERROR(IF([2]对账明细接口!$O766=0,"",[2]对账明细接口!$O766),"")</f>
        <v/>
      </c>
      <c r="U766" s="21" t="str">
        <f>IFERROR(IF([2]对账明细接口!$P766=0,"",[2]对账明细接口!$P766),"")</f>
        <v/>
      </c>
      <c r="V766" s="21" t="str">
        <f>IFERROR(IF([2]对账明细接口!$Q766=0,"",[2]对账明细接口!$Q766),"")</f>
        <v/>
      </c>
      <c r="W766" s="20" t="str">
        <f>IFERROR(IF([2]对账明细接口!$R766=0,"",[2]对账明细接口!$R766),"")</f>
        <v/>
      </c>
      <c r="X766" s="20" t="str">
        <f>IFERROR(IF([2]对账明细接口!$S766=0,"",[2]对账明细接口!$S766),"")</f>
        <v/>
      </c>
      <c r="Y766" s="20" t="str">
        <f t="shared" si="68"/>
        <v/>
      </c>
      <c r="Z766" s="20" t="str">
        <f t="shared" si="69"/>
        <v/>
      </c>
      <c r="AA766" s="20" t="str">
        <f t="shared" si="70"/>
        <v/>
      </c>
      <c r="AB766" s="20" t="str">
        <f t="shared" si="71"/>
        <v/>
      </c>
    </row>
    <row r="767" customHeight="1" spans="1:28">
      <c r="A767" s="14">
        <v>767</v>
      </c>
      <c r="B767" s="15" t="str">
        <f>IFERROR(IF([2]对账明细接口!$B$767=0,"",[2]对账明细接口!$B$767),"")</f>
        <v/>
      </c>
      <c r="C767" s="16" t="str">
        <f>IFERROR(IF([2]对账明细接口!$C$767=0,"",[2]对账明细接口!$C$767),"")</f>
        <v/>
      </c>
      <c r="D767" s="16" t="str">
        <f>IFERROR(IF([2]对账明细接口!$D$767=0,"",[2]对账明细接口!$D$767),"")</f>
        <v/>
      </c>
      <c r="E767" s="16" t="str">
        <f>IFERROR(IF([2]对账明细接口!$E$767=0,"",[2]对账明细接口!$E$767),"")</f>
        <v/>
      </c>
      <c r="F767" s="16" t="str">
        <f>IFERROR(IF([2]对账明细接口!$F$767=0,"",[2]对账明细接口!$F$767),"")</f>
        <v/>
      </c>
      <c r="G767" s="16" t="str">
        <f>IFERROR(IF([2]对账明细接口!$G$767=0,"",[2]对账明细接口!$G$767),"")</f>
        <v/>
      </c>
      <c r="H767" s="17" t="str">
        <f>IFERROR(IF([2]对账明细接口!$H$767=0,"",[2]对账明细接口!$H$767),"")</f>
        <v/>
      </c>
      <c r="I767" s="16" t="str">
        <f>IFERROR(IF([2]对账明细接口!$I$767=0,"",[2]对账明细接口!$I$767),"")</f>
        <v/>
      </c>
      <c r="J767" s="18" t="str">
        <f>IFERROR(IF([2]对账明细接口!$J$767=0,"",[2]对账明细接口!$J$767),"")</f>
        <v/>
      </c>
      <c r="K767" s="18" t="str">
        <f>IFERROR(IF([2]对账明细接口!$K$767=0,"",[2]对账明细接口!$K$767),"")</f>
        <v/>
      </c>
      <c r="L767" s="16" t="str">
        <f>IFERROR(IF([2]对账明细接口!$L$767=0,"",[2]对账明细接口!$L$767),"")</f>
        <v/>
      </c>
      <c r="M767" s="16" t="str">
        <f>IFERROR(IF([2]对账明细接口!$M$767=0,"",[2]对账明细接口!$M$767),"")</f>
        <v/>
      </c>
      <c r="N767" s="19">
        <f t="shared" si="66"/>
        <v>0</v>
      </c>
      <c r="O767" s="19">
        <f t="shared" si="67"/>
        <v>165</v>
      </c>
      <c r="S767" s="20" t="str">
        <f>IFERROR(IF([2]对账明细接口!$N767=0,"",[2]对账明细接口!$N767),"")</f>
        <v/>
      </c>
      <c r="T767" s="21" t="str">
        <f>IFERROR(IF([2]对账明细接口!$O767=0,"",[2]对账明细接口!$O767),"")</f>
        <v/>
      </c>
      <c r="U767" s="21" t="str">
        <f>IFERROR(IF([2]对账明细接口!$P767=0,"",[2]对账明细接口!$P767),"")</f>
        <v/>
      </c>
      <c r="V767" s="21" t="str">
        <f>IFERROR(IF([2]对账明细接口!$Q767=0,"",[2]对账明细接口!$Q767),"")</f>
        <v/>
      </c>
      <c r="W767" s="20" t="str">
        <f>IFERROR(IF([2]对账明细接口!$R767=0,"",[2]对账明细接口!$R767),"")</f>
        <v/>
      </c>
      <c r="X767" s="20" t="str">
        <f>IFERROR(IF([2]对账明细接口!$S767=0,"",[2]对账明细接口!$S767),"")</f>
        <v/>
      </c>
      <c r="Y767" s="20" t="str">
        <f t="shared" si="68"/>
        <v/>
      </c>
      <c r="Z767" s="20" t="str">
        <f t="shared" si="69"/>
        <v/>
      </c>
      <c r="AA767" s="20" t="str">
        <f t="shared" si="70"/>
        <v/>
      </c>
      <c r="AB767" s="20" t="str">
        <f t="shared" si="71"/>
        <v/>
      </c>
    </row>
    <row r="768" customHeight="1" spans="1:28">
      <c r="A768" s="14">
        <v>768</v>
      </c>
      <c r="B768" s="15" t="str">
        <f>IFERROR(IF([2]对账明细接口!$B$768=0,"",[2]对账明细接口!$B$768),"")</f>
        <v/>
      </c>
      <c r="C768" s="16" t="str">
        <f>IFERROR(IF([2]对账明细接口!$C$768=0,"",[2]对账明细接口!$C$768),"")</f>
        <v/>
      </c>
      <c r="D768" s="16" t="str">
        <f>IFERROR(IF([2]对账明细接口!$D$768=0,"",[2]对账明细接口!$D$768),"")</f>
        <v/>
      </c>
      <c r="E768" s="16" t="str">
        <f>IFERROR(IF([2]对账明细接口!$E$768=0,"",[2]对账明细接口!$E$768),"")</f>
        <v/>
      </c>
      <c r="F768" s="16" t="str">
        <f>IFERROR(IF([2]对账明细接口!$F$768=0,"",[2]对账明细接口!$F$768),"")</f>
        <v/>
      </c>
      <c r="G768" s="16" t="str">
        <f>IFERROR(IF([2]对账明细接口!$G$768=0,"",[2]对账明细接口!$G$768),"")</f>
        <v/>
      </c>
      <c r="H768" s="17" t="str">
        <f>IFERROR(IF([2]对账明细接口!$H$768=0,"",[2]对账明细接口!$H$768),"")</f>
        <v/>
      </c>
      <c r="I768" s="16" t="str">
        <f>IFERROR(IF([2]对账明细接口!$I$768=0,"",[2]对账明细接口!$I$768),"")</f>
        <v/>
      </c>
      <c r="J768" s="18" t="str">
        <f>IFERROR(IF([2]对账明细接口!$J$768=0,"",[2]对账明细接口!$J$768),"")</f>
        <v/>
      </c>
      <c r="K768" s="18" t="str">
        <f>IFERROR(IF([2]对账明细接口!$K$768=0,"",[2]对账明细接口!$K$768),"")</f>
        <v/>
      </c>
      <c r="L768" s="16" t="str">
        <f>IFERROR(IF([2]对账明细接口!$L$768=0,"",[2]对账明细接口!$L$768),"")</f>
        <v/>
      </c>
      <c r="M768" s="16" t="str">
        <f>IFERROR(IF([2]对账明细接口!$M$768=0,"",[2]对账明细接口!$M$768),"")</f>
        <v/>
      </c>
      <c r="N768" s="19">
        <f t="shared" si="66"/>
        <v>0</v>
      </c>
      <c r="O768" s="19">
        <f t="shared" si="67"/>
        <v>165</v>
      </c>
      <c r="S768" s="20" t="str">
        <f>IFERROR(IF([2]对账明细接口!$N768=0,"",[2]对账明细接口!$N768),"")</f>
        <v/>
      </c>
      <c r="T768" s="21" t="str">
        <f>IFERROR(IF([2]对账明细接口!$O768=0,"",[2]对账明细接口!$O768),"")</f>
        <v/>
      </c>
      <c r="U768" s="21" t="str">
        <f>IFERROR(IF([2]对账明细接口!$P768=0,"",[2]对账明细接口!$P768),"")</f>
        <v/>
      </c>
      <c r="V768" s="21" t="str">
        <f>IFERROR(IF([2]对账明细接口!$Q768=0,"",[2]对账明细接口!$Q768),"")</f>
        <v/>
      </c>
      <c r="W768" s="20" t="str">
        <f>IFERROR(IF([2]对账明细接口!$R768=0,"",[2]对账明细接口!$R768),"")</f>
        <v/>
      </c>
      <c r="X768" s="20" t="str">
        <f>IFERROR(IF([2]对账明细接口!$S768=0,"",[2]对账明细接口!$S768),"")</f>
        <v/>
      </c>
      <c r="Y768" s="20" t="str">
        <f t="shared" si="68"/>
        <v/>
      </c>
      <c r="Z768" s="20" t="str">
        <f t="shared" si="69"/>
        <v/>
      </c>
      <c r="AA768" s="20" t="str">
        <f t="shared" si="70"/>
        <v/>
      </c>
      <c r="AB768" s="20" t="str">
        <f t="shared" si="71"/>
        <v/>
      </c>
    </row>
    <row r="769" customHeight="1" spans="1:28">
      <c r="A769" s="14">
        <v>769</v>
      </c>
      <c r="B769" s="15" t="str">
        <f>IFERROR(IF([2]对账明细接口!$B$769=0,"",[2]对账明细接口!$B$769),"")</f>
        <v/>
      </c>
      <c r="C769" s="16" t="str">
        <f>IFERROR(IF([2]对账明细接口!$C$769=0,"",[2]对账明细接口!$C$769),"")</f>
        <v/>
      </c>
      <c r="D769" s="16" t="str">
        <f>IFERROR(IF([2]对账明细接口!$D$769=0,"",[2]对账明细接口!$D$769),"")</f>
        <v/>
      </c>
      <c r="E769" s="16" t="str">
        <f>IFERROR(IF([2]对账明细接口!$E$769=0,"",[2]对账明细接口!$E$769),"")</f>
        <v/>
      </c>
      <c r="F769" s="16" t="str">
        <f>IFERROR(IF([2]对账明细接口!$F$769=0,"",[2]对账明细接口!$F$769),"")</f>
        <v/>
      </c>
      <c r="G769" s="16" t="str">
        <f>IFERROR(IF([2]对账明细接口!$G$769=0,"",[2]对账明细接口!$G$769),"")</f>
        <v/>
      </c>
      <c r="H769" s="17" t="str">
        <f>IFERROR(IF([2]对账明细接口!$H$769=0,"",[2]对账明细接口!$H$769),"")</f>
        <v/>
      </c>
      <c r="I769" s="16" t="str">
        <f>IFERROR(IF([2]对账明细接口!$I$769=0,"",[2]对账明细接口!$I$769),"")</f>
        <v/>
      </c>
      <c r="J769" s="18" t="str">
        <f>IFERROR(IF([2]对账明细接口!$J$769=0,"",[2]对账明细接口!$J$769),"")</f>
        <v/>
      </c>
      <c r="K769" s="18" t="str">
        <f>IFERROR(IF([2]对账明细接口!$K$769=0,"",[2]对账明细接口!$K$769),"")</f>
        <v/>
      </c>
      <c r="L769" s="16" t="str">
        <f>IFERROR(IF([2]对账明细接口!$L$769=0,"",[2]对账明细接口!$L$769),"")</f>
        <v/>
      </c>
      <c r="M769" s="16" t="str">
        <f>IFERROR(IF([2]对账明细接口!$M$769=0,"",[2]对账明细接口!$M$769),"")</f>
        <v/>
      </c>
      <c r="N769" s="19">
        <f t="shared" si="66"/>
        <v>0</v>
      </c>
      <c r="O769" s="19">
        <f t="shared" si="67"/>
        <v>165</v>
      </c>
      <c r="S769" s="20" t="str">
        <f>IFERROR(IF([2]对账明细接口!$N769=0,"",[2]对账明细接口!$N769),"")</f>
        <v/>
      </c>
      <c r="T769" s="21" t="str">
        <f>IFERROR(IF([2]对账明细接口!$O769=0,"",[2]对账明细接口!$O769),"")</f>
        <v/>
      </c>
      <c r="U769" s="21" t="str">
        <f>IFERROR(IF([2]对账明细接口!$P769=0,"",[2]对账明细接口!$P769),"")</f>
        <v/>
      </c>
      <c r="V769" s="21" t="str">
        <f>IFERROR(IF([2]对账明细接口!$Q769=0,"",[2]对账明细接口!$Q769),"")</f>
        <v/>
      </c>
      <c r="W769" s="20" t="str">
        <f>IFERROR(IF([2]对账明细接口!$R769=0,"",[2]对账明细接口!$R769),"")</f>
        <v/>
      </c>
      <c r="X769" s="20" t="str">
        <f>IFERROR(IF([2]对账明细接口!$S769=0,"",[2]对账明细接口!$S769),"")</f>
        <v/>
      </c>
      <c r="Y769" s="20" t="str">
        <f t="shared" si="68"/>
        <v/>
      </c>
      <c r="Z769" s="20" t="str">
        <f t="shared" si="69"/>
        <v/>
      </c>
      <c r="AA769" s="20" t="str">
        <f t="shared" si="70"/>
        <v/>
      </c>
      <c r="AB769" s="20" t="str">
        <f t="shared" si="71"/>
        <v/>
      </c>
    </row>
    <row r="770" customHeight="1" spans="1:28">
      <c r="A770" s="14">
        <v>770</v>
      </c>
      <c r="B770" s="15" t="str">
        <f>IFERROR(IF([2]对账明细接口!$B$770=0,"",[2]对账明细接口!$B$770),"")</f>
        <v/>
      </c>
      <c r="C770" s="16" t="str">
        <f>IFERROR(IF([2]对账明细接口!$C$770=0,"",[2]对账明细接口!$C$770),"")</f>
        <v/>
      </c>
      <c r="D770" s="16" t="str">
        <f>IFERROR(IF([2]对账明细接口!$D$770=0,"",[2]对账明细接口!$D$770),"")</f>
        <v/>
      </c>
      <c r="E770" s="16" t="str">
        <f>IFERROR(IF([2]对账明细接口!$E$770=0,"",[2]对账明细接口!$E$770),"")</f>
        <v/>
      </c>
      <c r="F770" s="16" t="str">
        <f>IFERROR(IF([2]对账明细接口!$F$770=0,"",[2]对账明细接口!$F$770),"")</f>
        <v/>
      </c>
      <c r="G770" s="16" t="str">
        <f>IFERROR(IF([2]对账明细接口!$G$770=0,"",[2]对账明细接口!$G$770),"")</f>
        <v/>
      </c>
      <c r="H770" s="17" t="str">
        <f>IFERROR(IF([2]对账明细接口!$H$770=0,"",[2]对账明细接口!$H$770),"")</f>
        <v/>
      </c>
      <c r="I770" s="16" t="str">
        <f>IFERROR(IF([2]对账明细接口!$I$770=0,"",[2]对账明细接口!$I$770),"")</f>
        <v/>
      </c>
      <c r="J770" s="18" t="str">
        <f>IFERROR(IF([2]对账明细接口!$J$770=0,"",[2]对账明细接口!$J$770),"")</f>
        <v/>
      </c>
      <c r="K770" s="18" t="str">
        <f>IFERROR(IF([2]对账明细接口!$K$770=0,"",[2]对账明细接口!$K$770),"")</f>
        <v/>
      </c>
      <c r="L770" s="16" t="str">
        <f>IFERROR(IF([2]对账明细接口!$L$770=0,"",[2]对账明细接口!$L$770),"")</f>
        <v/>
      </c>
      <c r="M770" s="16" t="str">
        <f>IFERROR(IF([2]对账明细接口!$M$770=0,"",[2]对账明细接口!$M$770),"")</f>
        <v/>
      </c>
      <c r="N770" s="19">
        <f t="shared" si="66"/>
        <v>0</v>
      </c>
      <c r="O770" s="19">
        <f t="shared" si="67"/>
        <v>165</v>
      </c>
      <c r="S770" s="20" t="str">
        <f>IFERROR(IF([2]对账明细接口!$N770=0,"",[2]对账明细接口!$N770),"")</f>
        <v/>
      </c>
      <c r="T770" s="21" t="str">
        <f>IFERROR(IF([2]对账明细接口!$O770=0,"",[2]对账明细接口!$O770),"")</f>
        <v/>
      </c>
      <c r="U770" s="21" t="str">
        <f>IFERROR(IF([2]对账明细接口!$P770=0,"",[2]对账明细接口!$P770),"")</f>
        <v/>
      </c>
      <c r="V770" s="21" t="str">
        <f>IFERROR(IF([2]对账明细接口!$Q770=0,"",[2]对账明细接口!$Q770),"")</f>
        <v/>
      </c>
      <c r="W770" s="20" t="str">
        <f>IFERROR(IF([2]对账明细接口!$R770=0,"",[2]对账明细接口!$R770),"")</f>
        <v/>
      </c>
      <c r="X770" s="20" t="str">
        <f>IFERROR(IF([2]对账明细接口!$S770=0,"",[2]对账明细接口!$S770),"")</f>
        <v/>
      </c>
      <c r="Y770" s="20" t="str">
        <f t="shared" si="68"/>
        <v/>
      </c>
      <c r="Z770" s="20" t="str">
        <f t="shared" si="69"/>
        <v/>
      </c>
      <c r="AA770" s="20" t="str">
        <f t="shared" si="70"/>
        <v/>
      </c>
      <c r="AB770" s="20" t="str">
        <f t="shared" si="71"/>
        <v/>
      </c>
    </row>
    <row r="771" customHeight="1" spans="1:28">
      <c r="A771" s="14">
        <v>771</v>
      </c>
      <c r="B771" s="15" t="str">
        <f>IFERROR(IF([2]对账明细接口!$B$771=0,"",[2]对账明细接口!$B$771),"")</f>
        <v/>
      </c>
      <c r="C771" s="16" t="str">
        <f>IFERROR(IF([2]对账明细接口!$C$771=0,"",[2]对账明细接口!$C$771),"")</f>
        <v/>
      </c>
      <c r="D771" s="16" t="str">
        <f>IFERROR(IF([2]对账明细接口!$D$771=0,"",[2]对账明细接口!$D$771),"")</f>
        <v/>
      </c>
      <c r="E771" s="16" t="str">
        <f>IFERROR(IF([2]对账明细接口!$E$771=0,"",[2]对账明细接口!$E$771),"")</f>
        <v/>
      </c>
      <c r="F771" s="16" t="str">
        <f>IFERROR(IF([2]对账明细接口!$F$771=0,"",[2]对账明细接口!$F$771),"")</f>
        <v/>
      </c>
      <c r="G771" s="16" t="str">
        <f>IFERROR(IF([2]对账明细接口!$G$771=0,"",[2]对账明细接口!$G$771),"")</f>
        <v/>
      </c>
      <c r="H771" s="17" t="str">
        <f>IFERROR(IF([2]对账明细接口!$H$771=0,"",[2]对账明细接口!$H$771),"")</f>
        <v/>
      </c>
      <c r="I771" s="16" t="str">
        <f>IFERROR(IF([2]对账明细接口!$I$771=0,"",[2]对账明细接口!$I$771),"")</f>
        <v/>
      </c>
      <c r="J771" s="18" t="str">
        <f>IFERROR(IF([2]对账明细接口!$J$771=0,"",[2]对账明细接口!$J$771),"")</f>
        <v/>
      </c>
      <c r="K771" s="18" t="str">
        <f>IFERROR(IF([2]对账明细接口!$K$771=0,"",[2]对账明细接口!$K$771),"")</f>
        <v/>
      </c>
      <c r="L771" s="16" t="str">
        <f>IFERROR(IF([2]对账明细接口!$L$771=0,"",[2]对账明细接口!$L$771),"")</f>
        <v/>
      </c>
      <c r="M771" s="16" t="str">
        <f>IFERROR(IF([2]对账明细接口!$M$771=0,"",[2]对账明细接口!$M$771),"")</f>
        <v/>
      </c>
      <c r="N771" s="19">
        <f t="shared" si="66"/>
        <v>0</v>
      </c>
      <c r="O771" s="19">
        <f t="shared" si="67"/>
        <v>165</v>
      </c>
      <c r="S771" s="20" t="str">
        <f>IFERROR(IF([2]对账明细接口!$N771=0,"",[2]对账明细接口!$N771),"")</f>
        <v/>
      </c>
      <c r="T771" s="21" t="str">
        <f>IFERROR(IF([2]对账明细接口!$O771=0,"",[2]对账明细接口!$O771),"")</f>
        <v/>
      </c>
      <c r="U771" s="21" t="str">
        <f>IFERROR(IF([2]对账明细接口!$P771=0,"",[2]对账明细接口!$P771),"")</f>
        <v/>
      </c>
      <c r="V771" s="21" t="str">
        <f>IFERROR(IF([2]对账明细接口!$Q771=0,"",[2]对账明细接口!$Q771),"")</f>
        <v/>
      </c>
      <c r="W771" s="20" t="str">
        <f>IFERROR(IF([2]对账明细接口!$R771=0,"",[2]对账明细接口!$R771),"")</f>
        <v/>
      </c>
      <c r="X771" s="20" t="str">
        <f>IFERROR(IF([2]对账明细接口!$S771=0,"",[2]对账明细接口!$S771),"")</f>
        <v/>
      </c>
      <c r="Y771" s="20" t="str">
        <f t="shared" si="68"/>
        <v/>
      </c>
      <c r="Z771" s="20" t="str">
        <f t="shared" si="69"/>
        <v/>
      </c>
      <c r="AA771" s="20" t="str">
        <f t="shared" si="70"/>
        <v/>
      </c>
      <c r="AB771" s="20" t="str">
        <f t="shared" si="71"/>
        <v/>
      </c>
    </row>
    <row r="772" customHeight="1" spans="1:28">
      <c r="A772" s="14">
        <v>772</v>
      </c>
      <c r="B772" s="15" t="str">
        <f>IFERROR(IF([2]对账明细接口!$B$772=0,"",[2]对账明细接口!$B$772),"")</f>
        <v/>
      </c>
      <c r="C772" s="16" t="str">
        <f>IFERROR(IF([2]对账明细接口!$C$772=0,"",[2]对账明细接口!$C$772),"")</f>
        <v/>
      </c>
      <c r="D772" s="16" t="str">
        <f>IFERROR(IF([2]对账明细接口!$D$772=0,"",[2]对账明细接口!$D$772),"")</f>
        <v/>
      </c>
      <c r="E772" s="16" t="str">
        <f>IFERROR(IF([2]对账明细接口!$E$772=0,"",[2]对账明细接口!$E$772),"")</f>
        <v/>
      </c>
      <c r="F772" s="16" t="str">
        <f>IFERROR(IF([2]对账明细接口!$F$772=0,"",[2]对账明细接口!$F$772),"")</f>
        <v/>
      </c>
      <c r="G772" s="16" t="str">
        <f>IFERROR(IF([2]对账明细接口!$G$772=0,"",[2]对账明细接口!$G$772),"")</f>
        <v/>
      </c>
      <c r="H772" s="17" t="str">
        <f>IFERROR(IF([2]对账明细接口!$H$772=0,"",[2]对账明细接口!$H$772),"")</f>
        <v/>
      </c>
      <c r="I772" s="16" t="str">
        <f>IFERROR(IF([2]对账明细接口!$I$772=0,"",[2]对账明细接口!$I$772),"")</f>
        <v/>
      </c>
      <c r="J772" s="18" t="str">
        <f>IFERROR(IF([2]对账明细接口!$J$772=0,"",[2]对账明细接口!$J$772),"")</f>
        <v/>
      </c>
      <c r="K772" s="18" t="str">
        <f>IFERROR(IF([2]对账明细接口!$K$772=0,"",[2]对账明细接口!$K$772),"")</f>
        <v/>
      </c>
      <c r="L772" s="16" t="str">
        <f>IFERROR(IF([2]对账明细接口!$L$772=0,"",[2]对账明细接口!$L$772),"")</f>
        <v/>
      </c>
      <c r="M772" s="16" t="str">
        <f>IFERROR(IF([2]对账明细接口!$M$772=0,"",[2]对账明细接口!$M$772),"")</f>
        <v/>
      </c>
      <c r="N772" s="19">
        <f t="shared" ref="N772:N835" si="72">IF($C772="",0,1)</f>
        <v>0</v>
      </c>
      <c r="O772" s="19">
        <f t="shared" ref="O772:O835" si="73">N(O771)+$N772</f>
        <v>165</v>
      </c>
      <c r="S772" s="20" t="str">
        <f>IFERROR(IF([2]对账明细接口!$N772=0,"",[2]对账明细接口!$N772),"")</f>
        <v/>
      </c>
      <c r="T772" s="21" t="str">
        <f>IFERROR(IF([2]对账明细接口!$O772=0,"",[2]对账明细接口!$O772),"")</f>
        <v/>
      </c>
      <c r="U772" s="21" t="str">
        <f>IFERROR(IF([2]对账明细接口!$P772=0,"",[2]对账明细接口!$P772),"")</f>
        <v/>
      </c>
      <c r="V772" s="21" t="str">
        <f>IFERROR(IF([2]对账明细接口!$Q772=0,"",[2]对账明细接口!$Q772),"")</f>
        <v/>
      </c>
      <c r="W772" s="20" t="str">
        <f>IFERROR(IF([2]对账明细接口!$R772=0,"",[2]对账明细接口!$R772),"")</f>
        <v/>
      </c>
      <c r="X772" s="20" t="str">
        <f>IFERROR(IF([2]对账明细接口!$S772=0,"",[2]对账明细接口!$S772),"")</f>
        <v/>
      </c>
      <c r="Y772" s="20" t="str">
        <f t="shared" ref="Y772:Y835" si="74">""</f>
        <v/>
      </c>
      <c r="Z772" s="20" t="str">
        <f t="shared" ref="Z772:Z835" si="75">""</f>
        <v/>
      </c>
      <c r="AA772" s="20" t="str">
        <f t="shared" ref="AA772:AA835" si="76">""</f>
        <v/>
      </c>
      <c r="AB772" s="20" t="str">
        <f t="shared" ref="AB772:AB835" si="77">""</f>
        <v/>
      </c>
    </row>
    <row r="773" customHeight="1" spans="1:28">
      <c r="A773" s="14">
        <v>773</v>
      </c>
      <c r="B773" s="15" t="str">
        <f>IFERROR(IF([2]对账明细接口!$B$773=0,"",[2]对账明细接口!$B$773),"")</f>
        <v/>
      </c>
      <c r="C773" s="16" t="str">
        <f>IFERROR(IF([2]对账明细接口!$C$773=0,"",[2]对账明细接口!$C$773),"")</f>
        <v/>
      </c>
      <c r="D773" s="16" t="str">
        <f>IFERROR(IF([2]对账明细接口!$D$773=0,"",[2]对账明细接口!$D$773),"")</f>
        <v/>
      </c>
      <c r="E773" s="16" t="str">
        <f>IFERROR(IF([2]对账明细接口!$E$773=0,"",[2]对账明细接口!$E$773),"")</f>
        <v/>
      </c>
      <c r="F773" s="16" t="str">
        <f>IFERROR(IF([2]对账明细接口!$F$773=0,"",[2]对账明细接口!$F$773),"")</f>
        <v/>
      </c>
      <c r="G773" s="16" t="str">
        <f>IFERROR(IF([2]对账明细接口!$G$773=0,"",[2]对账明细接口!$G$773),"")</f>
        <v/>
      </c>
      <c r="H773" s="17" t="str">
        <f>IFERROR(IF([2]对账明细接口!$H$773=0,"",[2]对账明细接口!$H$773),"")</f>
        <v/>
      </c>
      <c r="I773" s="16" t="str">
        <f>IFERROR(IF([2]对账明细接口!$I$773=0,"",[2]对账明细接口!$I$773),"")</f>
        <v/>
      </c>
      <c r="J773" s="18" t="str">
        <f>IFERROR(IF([2]对账明细接口!$J$773=0,"",[2]对账明细接口!$J$773),"")</f>
        <v/>
      </c>
      <c r="K773" s="18" t="str">
        <f>IFERROR(IF([2]对账明细接口!$K$773=0,"",[2]对账明细接口!$K$773),"")</f>
        <v/>
      </c>
      <c r="L773" s="16" t="str">
        <f>IFERROR(IF([2]对账明细接口!$L$773=0,"",[2]对账明细接口!$L$773),"")</f>
        <v/>
      </c>
      <c r="M773" s="16" t="str">
        <f>IFERROR(IF([2]对账明细接口!$M$773=0,"",[2]对账明细接口!$M$773),"")</f>
        <v/>
      </c>
      <c r="N773" s="19">
        <f t="shared" si="72"/>
        <v>0</v>
      </c>
      <c r="O773" s="19">
        <f t="shared" si="73"/>
        <v>165</v>
      </c>
      <c r="S773" s="20" t="str">
        <f>IFERROR(IF([2]对账明细接口!$N773=0,"",[2]对账明细接口!$N773),"")</f>
        <v/>
      </c>
      <c r="T773" s="21" t="str">
        <f>IFERROR(IF([2]对账明细接口!$O773=0,"",[2]对账明细接口!$O773),"")</f>
        <v/>
      </c>
      <c r="U773" s="21" t="str">
        <f>IFERROR(IF([2]对账明细接口!$P773=0,"",[2]对账明细接口!$P773),"")</f>
        <v/>
      </c>
      <c r="V773" s="21" t="str">
        <f>IFERROR(IF([2]对账明细接口!$Q773=0,"",[2]对账明细接口!$Q773),"")</f>
        <v/>
      </c>
      <c r="W773" s="20" t="str">
        <f>IFERROR(IF([2]对账明细接口!$R773=0,"",[2]对账明细接口!$R773),"")</f>
        <v/>
      </c>
      <c r="X773" s="20" t="str">
        <f>IFERROR(IF([2]对账明细接口!$S773=0,"",[2]对账明细接口!$S773),"")</f>
        <v/>
      </c>
      <c r="Y773" s="20" t="str">
        <f t="shared" si="74"/>
        <v/>
      </c>
      <c r="Z773" s="20" t="str">
        <f t="shared" si="75"/>
        <v/>
      </c>
      <c r="AA773" s="20" t="str">
        <f t="shared" si="76"/>
        <v/>
      </c>
      <c r="AB773" s="20" t="str">
        <f t="shared" si="77"/>
        <v/>
      </c>
    </row>
    <row r="774" customHeight="1" spans="1:28">
      <c r="A774" s="14">
        <v>774</v>
      </c>
      <c r="B774" s="15" t="str">
        <f>IFERROR(IF([2]对账明细接口!$B$774=0,"",[2]对账明细接口!$B$774),"")</f>
        <v/>
      </c>
      <c r="C774" s="16" t="str">
        <f>IFERROR(IF([2]对账明细接口!$C$774=0,"",[2]对账明细接口!$C$774),"")</f>
        <v/>
      </c>
      <c r="D774" s="16" t="str">
        <f>IFERROR(IF([2]对账明细接口!$D$774=0,"",[2]对账明细接口!$D$774),"")</f>
        <v/>
      </c>
      <c r="E774" s="16" t="str">
        <f>IFERROR(IF([2]对账明细接口!$E$774=0,"",[2]对账明细接口!$E$774),"")</f>
        <v/>
      </c>
      <c r="F774" s="16" t="str">
        <f>IFERROR(IF([2]对账明细接口!$F$774=0,"",[2]对账明细接口!$F$774),"")</f>
        <v/>
      </c>
      <c r="G774" s="16" t="str">
        <f>IFERROR(IF([2]对账明细接口!$G$774=0,"",[2]对账明细接口!$G$774),"")</f>
        <v/>
      </c>
      <c r="H774" s="17" t="str">
        <f>IFERROR(IF([2]对账明细接口!$H$774=0,"",[2]对账明细接口!$H$774),"")</f>
        <v/>
      </c>
      <c r="I774" s="16" t="str">
        <f>IFERROR(IF([2]对账明细接口!$I$774=0,"",[2]对账明细接口!$I$774),"")</f>
        <v/>
      </c>
      <c r="J774" s="18" t="str">
        <f>IFERROR(IF([2]对账明细接口!$J$774=0,"",[2]对账明细接口!$J$774),"")</f>
        <v/>
      </c>
      <c r="K774" s="18" t="str">
        <f>IFERROR(IF([2]对账明细接口!$K$774=0,"",[2]对账明细接口!$K$774),"")</f>
        <v/>
      </c>
      <c r="L774" s="16" t="str">
        <f>IFERROR(IF([2]对账明细接口!$L$774=0,"",[2]对账明细接口!$L$774),"")</f>
        <v/>
      </c>
      <c r="M774" s="16" t="str">
        <f>IFERROR(IF([2]对账明细接口!$M$774=0,"",[2]对账明细接口!$M$774),"")</f>
        <v/>
      </c>
      <c r="N774" s="19">
        <f t="shared" si="72"/>
        <v>0</v>
      </c>
      <c r="O774" s="19">
        <f t="shared" si="73"/>
        <v>165</v>
      </c>
      <c r="S774" s="20" t="str">
        <f>IFERROR(IF([2]对账明细接口!$N774=0,"",[2]对账明细接口!$N774),"")</f>
        <v/>
      </c>
      <c r="T774" s="21" t="str">
        <f>IFERROR(IF([2]对账明细接口!$O774=0,"",[2]对账明细接口!$O774),"")</f>
        <v/>
      </c>
      <c r="U774" s="21" t="str">
        <f>IFERROR(IF([2]对账明细接口!$P774=0,"",[2]对账明细接口!$P774),"")</f>
        <v/>
      </c>
      <c r="V774" s="21" t="str">
        <f>IFERROR(IF([2]对账明细接口!$Q774=0,"",[2]对账明细接口!$Q774),"")</f>
        <v/>
      </c>
      <c r="W774" s="20" t="str">
        <f>IFERROR(IF([2]对账明细接口!$R774=0,"",[2]对账明细接口!$R774),"")</f>
        <v/>
      </c>
      <c r="X774" s="20" t="str">
        <f>IFERROR(IF([2]对账明细接口!$S774=0,"",[2]对账明细接口!$S774),"")</f>
        <v/>
      </c>
      <c r="Y774" s="20" t="str">
        <f t="shared" si="74"/>
        <v/>
      </c>
      <c r="Z774" s="20" t="str">
        <f t="shared" si="75"/>
        <v/>
      </c>
      <c r="AA774" s="20" t="str">
        <f t="shared" si="76"/>
        <v/>
      </c>
      <c r="AB774" s="20" t="str">
        <f t="shared" si="77"/>
        <v/>
      </c>
    </row>
    <row r="775" customHeight="1" spans="1:28">
      <c r="A775" s="14">
        <v>775</v>
      </c>
      <c r="B775" s="15" t="str">
        <f>IFERROR(IF([2]对账明细接口!$B$775=0,"",[2]对账明细接口!$B$775),"")</f>
        <v/>
      </c>
      <c r="C775" s="16" t="str">
        <f>IFERROR(IF([2]对账明细接口!$C$775=0,"",[2]对账明细接口!$C$775),"")</f>
        <v/>
      </c>
      <c r="D775" s="16" t="str">
        <f>IFERROR(IF([2]对账明细接口!$D$775=0,"",[2]对账明细接口!$D$775),"")</f>
        <v/>
      </c>
      <c r="E775" s="16" t="str">
        <f>IFERROR(IF([2]对账明细接口!$E$775=0,"",[2]对账明细接口!$E$775),"")</f>
        <v/>
      </c>
      <c r="F775" s="16" t="str">
        <f>IFERROR(IF([2]对账明细接口!$F$775=0,"",[2]对账明细接口!$F$775),"")</f>
        <v/>
      </c>
      <c r="G775" s="16" t="str">
        <f>IFERROR(IF([2]对账明细接口!$G$775=0,"",[2]对账明细接口!$G$775),"")</f>
        <v/>
      </c>
      <c r="H775" s="17" t="str">
        <f>IFERROR(IF([2]对账明细接口!$H$775=0,"",[2]对账明细接口!$H$775),"")</f>
        <v/>
      </c>
      <c r="I775" s="16" t="str">
        <f>IFERROR(IF([2]对账明细接口!$I$775=0,"",[2]对账明细接口!$I$775),"")</f>
        <v/>
      </c>
      <c r="J775" s="18" t="str">
        <f>IFERROR(IF([2]对账明细接口!$J$775=0,"",[2]对账明细接口!$J$775),"")</f>
        <v/>
      </c>
      <c r="K775" s="18" t="str">
        <f>IFERROR(IF([2]对账明细接口!$K$775=0,"",[2]对账明细接口!$K$775),"")</f>
        <v/>
      </c>
      <c r="L775" s="16" t="str">
        <f>IFERROR(IF([2]对账明细接口!$L$775=0,"",[2]对账明细接口!$L$775),"")</f>
        <v/>
      </c>
      <c r="M775" s="16" t="str">
        <f>IFERROR(IF([2]对账明细接口!$M$775=0,"",[2]对账明细接口!$M$775),"")</f>
        <v/>
      </c>
      <c r="N775" s="19">
        <f t="shared" si="72"/>
        <v>0</v>
      </c>
      <c r="O775" s="19">
        <f t="shared" si="73"/>
        <v>165</v>
      </c>
      <c r="S775" s="20" t="str">
        <f>IFERROR(IF([2]对账明细接口!$N775=0,"",[2]对账明细接口!$N775),"")</f>
        <v/>
      </c>
      <c r="T775" s="21" t="str">
        <f>IFERROR(IF([2]对账明细接口!$O775=0,"",[2]对账明细接口!$O775),"")</f>
        <v/>
      </c>
      <c r="U775" s="21" t="str">
        <f>IFERROR(IF([2]对账明细接口!$P775=0,"",[2]对账明细接口!$P775),"")</f>
        <v/>
      </c>
      <c r="V775" s="21" t="str">
        <f>IFERROR(IF([2]对账明细接口!$Q775=0,"",[2]对账明细接口!$Q775),"")</f>
        <v/>
      </c>
      <c r="W775" s="20" t="str">
        <f>IFERROR(IF([2]对账明细接口!$R775=0,"",[2]对账明细接口!$R775),"")</f>
        <v/>
      </c>
      <c r="X775" s="20" t="str">
        <f>IFERROR(IF([2]对账明细接口!$S775=0,"",[2]对账明细接口!$S775),"")</f>
        <v/>
      </c>
      <c r="Y775" s="20" t="str">
        <f t="shared" si="74"/>
        <v/>
      </c>
      <c r="Z775" s="20" t="str">
        <f t="shared" si="75"/>
        <v/>
      </c>
      <c r="AA775" s="20" t="str">
        <f t="shared" si="76"/>
        <v/>
      </c>
      <c r="AB775" s="20" t="str">
        <f t="shared" si="77"/>
        <v/>
      </c>
    </row>
    <row r="776" customHeight="1" spans="1:28">
      <c r="A776" s="14">
        <v>776</v>
      </c>
      <c r="B776" s="15" t="str">
        <f>IFERROR(IF([2]对账明细接口!$B$776=0,"",[2]对账明细接口!$B$776),"")</f>
        <v/>
      </c>
      <c r="C776" s="16" t="str">
        <f>IFERROR(IF([2]对账明细接口!$C$776=0,"",[2]对账明细接口!$C$776),"")</f>
        <v/>
      </c>
      <c r="D776" s="16" t="str">
        <f>IFERROR(IF([2]对账明细接口!$D$776=0,"",[2]对账明细接口!$D$776),"")</f>
        <v/>
      </c>
      <c r="E776" s="16" t="str">
        <f>IFERROR(IF([2]对账明细接口!$E$776=0,"",[2]对账明细接口!$E$776),"")</f>
        <v/>
      </c>
      <c r="F776" s="16" t="str">
        <f>IFERROR(IF([2]对账明细接口!$F$776=0,"",[2]对账明细接口!$F$776),"")</f>
        <v/>
      </c>
      <c r="G776" s="16" t="str">
        <f>IFERROR(IF([2]对账明细接口!$G$776=0,"",[2]对账明细接口!$G$776),"")</f>
        <v/>
      </c>
      <c r="H776" s="17" t="str">
        <f>IFERROR(IF([2]对账明细接口!$H$776=0,"",[2]对账明细接口!$H$776),"")</f>
        <v/>
      </c>
      <c r="I776" s="16" t="str">
        <f>IFERROR(IF([2]对账明细接口!$I$776=0,"",[2]对账明细接口!$I$776),"")</f>
        <v/>
      </c>
      <c r="J776" s="18" t="str">
        <f>IFERROR(IF([2]对账明细接口!$J$776=0,"",[2]对账明细接口!$J$776),"")</f>
        <v/>
      </c>
      <c r="K776" s="18" t="str">
        <f>IFERROR(IF([2]对账明细接口!$K$776=0,"",[2]对账明细接口!$K$776),"")</f>
        <v/>
      </c>
      <c r="L776" s="16" t="str">
        <f>IFERROR(IF([2]对账明细接口!$L$776=0,"",[2]对账明细接口!$L$776),"")</f>
        <v/>
      </c>
      <c r="M776" s="16" t="str">
        <f>IFERROR(IF([2]对账明细接口!$M$776=0,"",[2]对账明细接口!$M$776),"")</f>
        <v/>
      </c>
      <c r="N776" s="19">
        <f t="shared" si="72"/>
        <v>0</v>
      </c>
      <c r="O776" s="19">
        <f t="shared" si="73"/>
        <v>165</v>
      </c>
      <c r="S776" s="20" t="str">
        <f>IFERROR(IF([2]对账明细接口!$N776=0,"",[2]对账明细接口!$N776),"")</f>
        <v/>
      </c>
      <c r="T776" s="21" t="str">
        <f>IFERROR(IF([2]对账明细接口!$O776=0,"",[2]对账明细接口!$O776),"")</f>
        <v/>
      </c>
      <c r="U776" s="21" t="str">
        <f>IFERROR(IF([2]对账明细接口!$P776=0,"",[2]对账明细接口!$P776),"")</f>
        <v/>
      </c>
      <c r="V776" s="21" t="str">
        <f>IFERROR(IF([2]对账明细接口!$Q776=0,"",[2]对账明细接口!$Q776),"")</f>
        <v/>
      </c>
      <c r="W776" s="20" t="str">
        <f>IFERROR(IF([2]对账明细接口!$R776=0,"",[2]对账明细接口!$R776),"")</f>
        <v/>
      </c>
      <c r="X776" s="20" t="str">
        <f>IFERROR(IF([2]对账明细接口!$S776=0,"",[2]对账明细接口!$S776),"")</f>
        <v/>
      </c>
      <c r="Y776" s="20" t="str">
        <f t="shared" si="74"/>
        <v/>
      </c>
      <c r="Z776" s="20" t="str">
        <f t="shared" si="75"/>
        <v/>
      </c>
      <c r="AA776" s="20" t="str">
        <f t="shared" si="76"/>
        <v/>
      </c>
      <c r="AB776" s="20" t="str">
        <f t="shared" si="77"/>
        <v/>
      </c>
    </row>
    <row r="777" customHeight="1" spans="1:28">
      <c r="A777" s="14">
        <v>777</v>
      </c>
      <c r="B777" s="15" t="str">
        <f>IFERROR(IF([2]对账明细接口!$B$777=0,"",[2]对账明细接口!$B$777),"")</f>
        <v/>
      </c>
      <c r="C777" s="16" t="str">
        <f>IFERROR(IF([2]对账明细接口!$C$777=0,"",[2]对账明细接口!$C$777),"")</f>
        <v/>
      </c>
      <c r="D777" s="16" t="str">
        <f>IFERROR(IF([2]对账明细接口!$D$777=0,"",[2]对账明细接口!$D$777),"")</f>
        <v/>
      </c>
      <c r="E777" s="16" t="str">
        <f>IFERROR(IF([2]对账明细接口!$E$777=0,"",[2]对账明细接口!$E$777),"")</f>
        <v/>
      </c>
      <c r="F777" s="16" t="str">
        <f>IFERROR(IF([2]对账明细接口!$F$777=0,"",[2]对账明细接口!$F$777),"")</f>
        <v/>
      </c>
      <c r="G777" s="16" t="str">
        <f>IFERROR(IF([2]对账明细接口!$G$777=0,"",[2]对账明细接口!$G$777),"")</f>
        <v/>
      </c>
      <c r="H777" s="17" t="str">
        <f>IFERROR(IF([2]对账明细接口!$H$777=0,"",[2]对账明细接口!$H$777),"")</f>
        <v/>
      </c>
      <c r="I777" s="16" t="str">
        <f>IFERROR(IF([2]对账明细接口!$I$777=0,"",[2]对账明细接口!$I$777),"")</f>
        <v/>
      </c>
      <c r="J777" s="18" t="str">
        <f>IFERROR(IF([2]对账明细接口!$J$777=0,"",[2]对账明细接口!$J$777),"")</f>
        <v/>
      </c>
      <c r="K777" s="18" t="str">
        <f>IFERROR(IF([2]对账明细接口!$K$777=0,"",[2]对账明细接口!$K$777),"")</f>
        <v/>
      </c>
      <c r="L777" s="16" t="str">
        <f>IFERROR(IF([2]对账明细接口!$L$777=0,"",[2]对账明细接口!$L$777),"")</f>
        <v/>
      </c>
      <c r="M777" s="16" t="str">
        <f>IFERROR(IF([2]对账明细接口!$M$777=0,"",[2]对账明细接口!$M$777),"")</f>
        <v/>
      </c>
      <c r="N777" s="19">
        <f t="shared" si="72"/>
        <v>0</v>
      </c>
      <c r="O777" s="19">
        <f t="shared" si="73"/>
        <v>165</v>
      </c>
      <c r="S777" s="20" t="str">
        <f>IFERROR(IF([2]对账明细接口!$N777=0,"",[2]对账明细接口!$N777),"")</f>
        <v/>
      </c>
      <c r="T777" s="21" t="str">
        <f>IFERROR(IF([2]对账明细接口!$O777=0,"",[2]对账明细接口!$O777),"")</f>
        <v/>
      </c>
      <c r="U777" s="21" t="str">
        <f>IFERROR(IF([2]对账明细接口!$P777=0,"",[2]对账明细接口!$P777),"")</f>
        <v/>
      </c>
      <c r="V777" s="21" t="str">
        <f>IFERROR(IF([2]对账明细接口!$Q777=0,"",[2]对账明细接口!$Q777),"")</f>
        <v/>
      </c>
      <c r="W777" s="20" t="str">
        <f>IFERROR(IF([2]对账明细接口!$R777=0,"",[2]对账明细接口!$R777),"")</f>
        <v/>
      </c>
      <c r="X777" s="20" t="str">
        <f>IFERROR(IF([2]对账明细接口!$S777=0,"",[2]对账明细接口!$S777),"")</f>
        <v/>
      </c>
      <c r="Y777" s="20" t="str">
        <f t="shared" si="74"/>
        <v/>
      </c>
      <c r="Z777" s="20" t="str">
        <f t="shared" si="75"/>
        <v/>
      </c>
      <c r="AA777" s="20" t="str">
        <f t="shared" si="76"/>
        <v/>
      </c>
      <c r="AB777" s="20" t="str">
        <f t="shared" si="77"/>
        <v/>
      </c>
    </row>
    <row r="778" customHeight="1" spans="1:28">
      <c r="A778" s="14">
        <v>778</v>
      </c>
      <c r="B778" s="15" t="str">
        <f>IFERROR(IF([2]对账明细接口!$B$778=0,"",[2]对账明细接口!$B$778),"")</f>
        <v/>
      </c>
      <c r="C778" s="16" t="str">
        <f>IFERROR(IF([2]对账明细接口!$C$778=0,"",[2]对账明细接口!$C$778),"")</f>
        <v/>
      </c>
      <c r="D778" s="16" t="str">
        <f>IFERROR(IF([2]对账明细接口!$D$778=0,"",[2]对账明细接口!$D$778),"")</f>
        <v/>
      </c>
      <c r="E778" s="16" t="str">
        <f>IFERROR(IF([2]对账明细接口!$E$778=0,"",[2]对账明细接口!$E$778),"")</f>
        <v/>
      </c>
      <c r="F778" s="16" t="str">
        <f>IFERROR(IF([2]对账明细接口!$F$778=0,"",[2]对账明细接口!$F$778),"")</f>
        <v/>
      </c>
      <c r="G778" s="16" t="str">
        <f>IFERROR(IF([2]对账明细接口!$G$778=0,"",[2]对账明细接口!$G$778),"")</f>
        <v/>
      </c>
      <c r="H778" s="17" t="str">
        <f>IFERROR(IF([2]对账明细接口!$H$778=0,"",[2]对账明细接口!$H$778),"")</f>
        <v/>
      </c>
      <c r="I778" s="16" t="str">
        <f>IFERROR(IF([2]对账明细接口!$I$778=0,"",[2]对账明细接口!$I$778),"")</f>
        <v/>
      </c>
      <c r="J778" s="18" t="str">
        <f>IFERROR(IF([2]对账明细接口!$J$778=0,"",[2]对账明细接口!$J$778),"")</f>
        <v/>
      </c>
      <c r="K778" s="18" t="str">
        <f>IFERROR(IF([2]对账明细接口!$K$778=0,"",[2]对账明细接口!$K$778),"")</f>
        <v/>
      </c>
      <c r="L778" s="16" t="str">
        <f>IFERROR(IF([2]对账明细接口!$L$778=0,"",[2]对账明细接口!$L$778),"")</f>
        <v/>
      </c>
      <c r="M778" s="16" t="str">
        <f>IFERROR(IF([2]对账明细接口!$M$778=0,"",[2]对账明细接口!$M$778),"")</f>
        <v/>
      </c>
      <c r="N778" s="19">
        <f t="shared" si="72"/>
        <v>0</v>
      </c>
      <c r="O778" s="19">
        <f t="shared" si="73"/>
        <v>165</v>
      </c>
      <c r="S778" s="20" t="str">
        <f>IFERROR(IF([2]对账明细接口!$N778=0,"",[2]对账明细接口!$N778),"")</f>
        <v/>
      </c>
      <c r="T778" s="21" t="str">
        <f>IFERROR(IF([2]对账明细接口!$O778=0,"",[2]对账明细接口!$O778),"")</f>
        <v/>
      </c>
      <c r="U778" s="21" t="str">
        <f>IFERROR(IF([2]对账明细接口!$P778=0,"",[2]对账明细接口!$P778),"")</f>
        <v/>
      </c>
      <c r="V778" s="21" t="str">
        <f>IFERROR(IF([2]对账明细接口!$Q778=0,"",[2]对账明细接口!$Q778),"")</f>
        <v/>
      </c>
      <c r="W778" s="20" t="str">
        <f>IFERROR(IF([2]对账明细接口!$R778=0,"",[2]对账明细接口!$R778),"")</f>
        <v/>
      </c>
      <c r="X778" s="20" t="str">
        <f>IFERROR(IF([2]对账明细接口!$S778=0,"",[2]对账明细接口!$S778),"")</f>
        <v/>
      </c>
      <c r="Y778" s="20" t="str">
        <f t="shared" si="74"/>
        <v/>
      </c>
      <c r="Z778" s="20" t="str">
        <f t="shared" si="75"/>
        <v/>
      </c>
      <c r="AA778" s="20" t="str">
        <f t="shared" si="76"/>
        <v/>
      </c>
      <c r="AB778" s="20" t="str">
        <f t="shared" si="77"/>
        <v/>
      </c>
    </row>
    <row r="779" customHeight="1" spans="1:28">
      <c r="A779" s="14">
        <v>779</v>
      </c>
      <c r="B779" s="15" t="str">
        <f>IFERROR(IF([2]对账明细接口!$B$779=0,"",[2]对账明细接口!$B$779),"")</f>
        <v/>
      </c>
      <c r="C779" s="16" t="str">
        <f>IFERROR(IF([2]对账明细接口!$C$779=0,"",[2]对账明细接口!$C$779),"")</f>
        <v/>
      </c>
      <c r="D779" s="16" t="str">
        <f>IFERROR(IF([2]对账明细接口!$D$779=0,"",[2]对账明细接口!$D$779),"")</f>
        <v/>
      </c>
      <c r="E779" s="16" t="str">
        <f>IFERROR(IF([2]对账明细接口!$E$779=0,"",[2]对账明细接口!$E$779),"")</f>
        <v/>
      </c>
      <c r="F779" s="16" t="str">
        <f>IFERROR(IF([2]对账明细接口!$F$779=0,"",[2]对账明细接口!$F$779),"")</f>
        <v/>
      </c>
      <c r="G779" s="16" t="str">
        <f>IFERROR(IF([2]对账明细接口!$G$779=0,"",[2]对账明细接口!$G$779),"")</f>
        <v/>
      </c>
      <c r="H779" s="17" t="str">
        <f>IFERROR(IF([2]对账明细接口!$H$779=0,"",[2]对账明细接口!$H$779),"")</f>
        <v/>
      </c>
      <c r="I779" s="16" t="str">
        <f>IFERROR(IF([2]对账明细接口!$I$779=0,"",[2]对账明细接口!$I$779),"")</f>
        <v/>
      </c>
      <c r="J779" s="18" t="str">
        <f>IFERROR(IF([2]对账明细接口!$J$779=0,"",[2]对账明细接口!$J$779),"")</f>
        <v/>
      </c>
      <c r="K779" s="18" t="str">
        <f>IFERROR(IF([2]对账明细接口!$K$779=0,"",[2]对账明细接口!$K$779),"")</f>
        <v/>
      </c>
      <c r="L779" s="16" t="str">
        <f>IFERROR(IF([2]对账明细接口!$L$779=0,"",[2]对账明细接口!$L$779),"")</f>
        <v/>
      </c>
      <c r="M779" s="16" t="str">
        <f>IFERROR(IF([2]对账明细接口!$M$779=0,"",[2]对账明细接口!$M$779),"")</f>
        <v/>
      </c>
      <c r="N779" s="19">
        <f t="shared" si="72"/>
        <v>0</v>
      </c>
      <c r="O779" s="19">
        <f t="shared" si="73"/>
        <v>165</v>
      </c>
      <c r="S779" s="20" t="str">
        <f>IFERROR(IF([2]对账明细接口!$N779=0,"",[2]对账明细接口!$N779),"")</f>
        <v/>
      </c>
      <c r="T779" s="21" t="str">
        <f>IFERROR(IF([2]对账明细接口!$O779=0,"",[2]对账明细接口!$O779),"")</f>
        <v/>
      </c>
      <c r="U779" s="21" t="str">
        <f>IFERROR(IF([2]对账明细接口!$P779=0,"",[2]对账明细接口!$P779),"")</f>
        <v/>
      </c>
      <c r="V779" s="21" t="str">
        <f>IFERROR(IF([2]对账明细接口!$Q779=0,"",[2]对账明细接口!$Q779),"")</f>
        <v/>
      </c>
      <c r="W779" s="20" t="str">
        <f>IFERROR(IF([2]对账明细接口!$R779=0,"",[2]对账明细接口!$R779),"")</f>
        <v/>
      </c>
      <c r="X779" s="20" t="str">
        <f>IFERROR(IF([2]对账明细接口!$S779=0,"",[2]对账明细接口!$S779),"")</f>
        <v/>
      </c>
      <c r="Y779" s="20" t="str">
        <f t="shared" si="74"/>
        <v/>
      </c>
      <c r="Z779" s="20" t="str">
        <f t="shared" si="75"/>
        <v/>
      </c>
      <c r="AA779" s="20" t="str">
        <f t="shared" si="76"/>
        <v/>
      </c>
      <c r="AB779" s="20" t="str">
        <f t="shared" si="77"/>
        <v/>
      </c>
    </row>
    <row r="780" customHeight="1" spans="1:28">
      <c r="A780" s="14">
        <v>780</v>
      </c>
      <c r="B780" s="15" t="str">
        <f>IFERROR(IF([2]对账明细接口!$B$780=0,"",[2]对账明细接口!$B$780),"")</f>
        <v/>
      </c>
      <c r="C780" s="16" t="str">
        <f>IFERROR(IF([2]对账明细接口!$C$780=0,"",[2]对账明细接口!$C$780),"")</f>
        <v/>
      </c>
      <c r="D780" s="16" t="str">
        <f>IFERROR(IF([2]对账明细接口!$D$780=0,"",[2]对账明细接口!$D$780),"")</f>
        <v/>
      </c>
      <c r="E780" s="16" t="str">
        <f>IFERROR(IF([2]对账明细接口!$E$780=0,"",[2]对账明细接口!$E$780),"")</f>
        <v/>
      </c>
      <c r="F780" s="16" t="str">
        <f>IFERROR(IF([2]对账明细接口!$F$780=0,"",[2]对账明细接口!$F$780),"")</f>
        <v/>
      </c>
      <c r="G780" s="16" t="str">
        <f>IFERROR(IF([2]对账明细接口!$G$780=0,"",[2]对账明细接口!$G$780),"")</f>
        <v/>
      </c>
      <c r="H780" s="17" t="str">
        <f>IFERROR(IF([2]对账明细接口!$H$780=0,"",[2]对账明细接口!$H$780),"")</f>
        <v/>
      </c>
      <c r="I780" s="16" t="str">
        <f>IFERROR(IF([2]对账明细接口!$I$780=0,"",[2]对账明细接口!$I$780),"")</f>
        <v/>
      </c>
      <c r="J780" s="18" t="str">
        <f>IFERROR(IF([2]对账明细接口!$J$780=0,"",[2]对账明细接口!$J$780),"")</f>
        <v/>
      </c>
      <c r="K780" s="18" t="str">
        <f>IFERROR(IF([2]对账明细接口!$K$780=0,"",[2]对账明细接口!$K$780),"")</f>
        <v/>
      </c>
      <c r="L780" s="16" t="str">
        <f>IFERROR(IF([2]对账明细接口!$L$780=0,"",[2]对账明细接口!$L$780),"")</f>
        <v/>
      </c>
      <c r="M780" s="16" t="str">
        <f>IFERROR(IF([2]对账明细接口!$M$780=0,"",[2]对账明细接口!$M$780),"")</f>
        <v/>
      </c>
      <c r="N780" s="19">
        <f t="shared" si="72"/>
        <v>0</v>
      </c>
      <c r="O780" s="19">
        <f t="shared" si="73"/>
        <v>165</v>
      </c>
      <c r="S780" s="20" t="str">
        <f>IFERROR(IF([2]对账明细接口!$N780=0,"",[2]对账明细接口!$N780),"")</f>
        <v/>
      </c>
      <c r="T780" s="21" t="str">
        <f>IFERROR(IF([2]对账明细接口!$O780=0,"",[2]对账明细接口!$O780),"")</f>
        <v/>
      </c>
      <c r="U780" s="21" t="str">
        <f>IFERROR(IF([2]对账明细接口!$P780=0,"",[2]对账明细接口!$P780),"")</f>
        <v/>
      </c>
      <c r="V780" s="21" t="str">
        <f>IFERROR(IF([2]对账明细接口!$Q780=0,"",[2]对账明细接口!$Q780),"")</f>
        <v/>
      </c>
      <c r="W780" s="20" t="str">
        <f>IFERROR(IF([2]对账明细接口!$R780=0,"",[2]对账明细接口!$R780),"")</f>
        <v/>
      </c>
      <c r="X780" s="20" t="str">
        <f>IFERROR(IF([2]对账明细接口!$S780=0,"",[2]对账明细接口!$S780),"")</f>
        <v/>
      </c>
      <c r="Y780" s="20" t="str">
        <f t="shared" si="74"/>
        <v/>
      </c>
      <c r="Z780" s="20" t="str">
        <f t="shared" si="75"/>
        <v/>
      </c>
      <c r="AA780" s="20" t="str">
        <f t="shared" si="76"/>
        <v/>
      </c>
      <c r="AB780" s="20" t="str">
        <f t="shared" si="77"/>
        <v/>
      </c>
    </row>
    <row r="781" customHeight="1" spans="1:28">
      <c r="A781" s="14">
        <v>781</v>
      </c>
      <c r="B781" s="15" t="str">
        <f>IFERROR(IF([2]对账明细接口!$B$781=0,"",[2]对账明细接口!$B$781),"")</f>
        <v/>
      </c>
      <c r="C781" s="16" t="str">
        <f>IFERROR(IF([2]对账明细接口!$C$781=0,"",[2]对账明细接口!$C$781),"")</f>
        <v/>
      </c>
      <c r="D781" s="16" t="str">
        <f>IFERROR(IF([2]对账明细接口!$D$781=0,"",[2]对账明细接口!$D$781),"")</f>
        <v/>
      </c>
      <c r="E781" s="16" t="str">
        <f>IFERROR(IF([2]对账明细接口!$E$781=0,"",[2]对账明细接口!$E$781),"")</f>
        <v/>
      </c>
      <c r="F781" s="16" t="str">
        <f>IFERROR(IF([2]对账明细接口!$F$781=0,"",[2]对账明细接口!$F$781),"")</f>
        <v/>
      </c>
      <c r="G781" s="16" t="str">
        <f>IFERROR(IF([2]对账明细接口!$G$781=0,"",[2]对账明细接口!$G$781),"")</f>
        <v/>
      </c>
      <c r="H781" s="17" t="str">
        <f>IFERROR(IF([2]对账明细接口!$H$781=0,"",[2]对账明细接口!$H$781),"")</f>
        <v/>
      </c>
      <c r="I781" s="16" t="str">
        <f>IFERROR(IF([2]对账明细接口!$I$781=0,"",[2]对账明细接口!$I$781),"")</f>
        <v/>
      </c>
      <c r="J781" s="18" t="str">
        <f>IFERROR(IF([2]对账明细接口!$J$781=0,"",[2]对账明细接口!$J$781),"")</f>
        <v/>
      </c>
      <c r="K781" s="18" t="str">
        <f>IFERROR(IF([2]对账明细接口!$K$781=0,"",[2]对账明细接口!$K$781),"")</f>
        <v/>
      </c>
      <c r="L781" s="16" t="str">
        <f>IFERROR(IF([2]对账明细接口!$L$781=0,"",[2]对账明细接口!$L$781),"")</f>
        <v/>
      </c>
      <c r="M781" s="16" t="str">
        <f>IFERROR(IF([2]对账明细接口!$M$781=0,"",[2]对账明细接口!$M$781),"")</f>
        <v/>
      </c>
      <c r="N781" s="19">
        <f t="shared" si="72"/>
        <v>0</v>
      </c>
      <c r="O781" s="19">
        <f t="shared" si="73"/>
        <v>165</v>
      </c>
      <c r="S781" s="20" t="str">
        <f>IFERROR(IF([2]对账明细接口!$N781=0,"",[2]对账明细接口!$N781),"")</f>
        <v/>
      </c>
      <c r="T781" s="21" t="str">
        <f>IFERROR(IF([2]对账明细接口!$O781=0,"",[2]对账明细接口!$O781),"")</f>
        <v/>
      </c>
      <c r="U781" s="21" t="str">
        <f>IFERROR(IF([2]对账明细接口!$P781=0,"",[2]对账明细接口!$P781),"")</f>
        <v/>
      </c>
      <c r="V781" s="21" t="str">
        <f>IFERROR(IF([2]对账明细接口!$Q781=0,"",[2]对账明细接口!$Q781),"")</f>
        <v/>
      </c>
      <c r="W781" s="20" t="str">
        <f>IFERROR(IF([2]对账明细接口!$R781=0,"",[2]对账明细接口!$R781),"")</f>
        <v/>
      </c>
      <c r="X781" s="20" t="str">
        <f>IFERROR(IF([2]对账明细接口!$S781=0,"",[2]对账明细接口!$S781),"")</f>
        <v/>
      </c>
      <c r="Y781" s="20" t="str">
        <f t="shared" si="74"/>
        <v/>
      </c>
      <c r="Z781" s="20" t="str">
        <f t="shared" si="75"/>
        <v/>
      </c>
      <c r="AA781" s="20" t="str">
        <f t="shared" si="76"/>
        <v/>
      </c>
      <c r="AB781" s="20" t="str">
        <f t="shared" si="77"/>
        <v/>
      </c>
    </row>
    <row r="782" customHeight="1" spans="1:28">
      <c r="A782" s="14">
        <v>782</v>
      </c>
      <c r="B782" s="15" t="str">
        <f>IFERROR(IF([2]对账明细接口!$B$782=0,"",[2]对账明细接口!$B$782),"")</f>
        <v/>
      </c>
      <c r="C782" s="16" t="str">
        <f>IFERROR(IF([2]对账明细接口!$C$782=0,"",[2]对账明细接口!$C$782),"")</f>
        <v/>
      </c>
      <c r="D782" s="16" t="str">
        <f>IFERROR(IF([2]对账明细接口!$D$782=0,"",[2]对账明细接口!$D$782),"")</f>
        <v/>
      </c>
      <c r="E782" s="16" t="str">
        <f>IFERROR(IF([2]对账明细接口!$E$782=0,"",[2]对账明细接口!$E$782),"")</f>
        <v/>
      </c>
      <c r="F782" s="16" t="str">
        <f>IFERROR(IF([2]对账明细接口!$F$782=0,"",[2]对账明细接口!$F$782),"")</f>
        <v/>
      </c>
      <c r="G782" s="16" t="str">
        <f>IFERROR(IF([2]对账明细接口!$G$782=0,"",[2]对账明细接口!$G$782),"")</f>
        <v/>
      </c>
      <c r="H782" s="17" t="str">
        <f>IFERROR(IF([2]对账明细接口!$H$782=0,"",[2]对账明细接口!$H$782),"")</f>
        <v/>
      </c>
      <c r="I782" s="16" t="str">
        <f>IFERROR(IF([2]对账明细接口!$I$782=0,"",[2]对账明细接口!$I$782),"")</f>
        <v/>
      </c>
      <c r="J782" s="18" t="str">
        <f>IFERROR(IF([2]对账明细接口!$J$782=0,"",[2]对账明细接口!$J$782),"")</f>
        <v/>
      </c>
      <c r="K782" s="18" t="str">
        <f>IFERROR(IF([2]对账明细接口!$K$782=0,"",[2]对账明细接口!$K$782),"")</f>
        <v/>
      </c>
      <c r="L782" s="16" t="str">
        <f>IFERROR(IF([2]对账明细接口!$L$782=0,"",[2]对账明细接口!$L$782),"")</f>
        <v/>
      </c>
      <c r="M782" s="16" t="str">
        <f>IFERROR(IF([2]对账明细接口!$M$782=0,"",[2]对账明细接口!$M$782),"")</f>
        <v/>
      </c>
      <c r="N782" s="19">
        <f t="shared" si="72"/>
        <v>0</v>
      </c>
      <c r="O782" s="19">
        <f t="shared" si="73"/>
        <v>165</v>
      </c>
      <c r="S782" s="20" t="str">
        <f>IFERROR(IF([2]对账明细接口!$N782=0,"",[2]对账明细接口!$N782),"")</f>
        <v/>
      </c>
      <c r="T782" s="21" t="str">
        <f>IFERROR(IF([2]对账明细接口!$O782=0,"",[2]对账明细接口!$O782),"")</f>
        <v/>
      </c>
      <c r="U782" s="21" t="str">
        <f>IFERROR(IF([2]对账明细接口!$P782=0,"",[2]对账明细接口!$P782),"")</f>
        <v/>
      </c>
      <c r="V782" s="21" t="str">
        <f>IFERROR(IF([2]对账明细接口!$Q782=0,"",[2]对账明细接口!$Q782),"")</f>
        <v/>
      </c>
      <c r="W782" s="20" t="str">
        <f>IFERROR(IF([2]对账明细接口!$R782=0,"",[2]对账明细接口!$R782),"")</f>
        <v/>
      </c>
      <c r="X782" s="20" t="str">
        <f>IFERROR(IF([2]对账明细接口!$S782=0,"",[2]对账明细接口!$S782),"")</f>
        <v/>
      </c>
      <c r="Y782" s="20" t="str">
        <f t="shared" si="74"/>
        <v/>
      </c>
      <c r="Z782" s="20" t="str">
        <f t="shared" si="75"/>
        <v/>
      </c>
      <c r="AA782" s="20" t="str">
        <f t="shared" si="76"/>
        <v/>
      </c>
      <c r="AB782" s="20" t="str">
        <f t="shared" si="77"/>
        <v/>
      </c>
    </row>
    <row r="783" customHeight="1" spans="1:28">
      <c r="A783" s="14">
        <v>783</v>
      </c>
      <c r="B783" s="15" t="str">
        <f>IFERROR(IF([2]对账明细接口!$B$783=0,"",[2]对账明细接口!$B$783),"")</f>
        <v/>
      </c>
      <c r="C783" s="16" t="str">
        <f>IFERROR(IF([2]对账明细接口!$C$783=0,"",[2]对账明细接口!$C$783),"")</f>
        <v/>
      </c>
      <c r="D783" s="16" t="str">
        <f>IFERROR(IF([2]对账明细接口!$D$783=0,"",[2]对账明细接口!$D$783),"")</f>
        <v/>
      </c>
      <c r="E783" s="16" t="str">
        <f>IFERROR(IF([2]对账明细接口!$E$783=0,"",[2]对账明细接口!$E$783),"")</f>
        <v/>
      </c>
      <c r="F783" s="16" t="str">
        <f>IFERROR(IF([2]对账明细接口!$F$783=0,"",[2]对账明细接口!$F$783),"")</f>
        <v/>
      </c>
      <c r="G783" s="16" t="str">
        <f>IFERROR(IF([2]对账明细接口!$G$783=0,"",[2]对账明细接口!$G$783),"")</f>
        <v/>
      </c>
      <c r="H783" s="17" t="str">
        <f>IFERROR(IF([2]对账明细接口!$H$783=0,"",[2]对账明细接口!$H$783),"")</f>
        <v/>
      </c>
      <c r="I783" s="16" t="str">
        <f>IFERROR(IF([2]对账明细接口!$I$783=0,"",[2]对账明细接口!$I$783),"")</f>
        <v/>
      </c>
      <c r="J783" s="18" t="str">
        <f>IFERROR(IF([2]对账明细接口!$J$783=0,"",[2]对账明细接口!$J$783),"")</f>
        <v/>
      </c>
      <c r="K783" s="18" t="str">
        <f>IFERROR(IF([2]对账明细接口!$K$783=0,"",[2]对账明细接口!$K$783),"")</f>
        <v/>
      </c>
      <c r="L783" s="16" t="str">
        <f>IFERROR(IF([2]对账明细接口!$L$783=0,"",[2]对账明细接口!$L$783),"")</f>
        <v/>
      </c>
      <c r="M783" s="16" t="str">
        <f>IFERROR(IF([2]对账明细接口!$M$783=0,"",[2]对账明细接口!$M$783),"")</f>
        <v/>
      </c>
      <c r="N783" s="19">
        <f t="shared" si="72"/>
        <v>0</v>
      </c>
      <c r="O783" s="19">
        <f t="shared" si="73"/>
        <v>165</v>
      </c>
      <c r="S783" s="20" t="str">
        <f>IFERROR(IF([2]对账明细接口!$N783=0,"",[2]对账明细接口!$N783),"")</f>
        <v/>
      </c>
      <c r="T783" s="21" t="str">
        <f>IFERROR(IF([2]对账明细接口!$O783=0,"",[2]对账明细接口!$O783),"")</f>
        <v/>
      </c>
      <c r="U783" s="21" t="str">
        <f>IFERROR(IF([2]对账明细接口!$P783=0,"",[2]对账明细接口!$P783),"")</f>
        <v/>
      </c>
      <c r="V783" s="21" t="str">
        <f>IFERROR(IF([2]对账明细接口!$Q783=0,"",[2]对账明细接口!$Q783),"")</f>
        <v/>
      </c>
      <c r="W783" s="20" t="str">
        <f>IFERROR(IF([2]对账明细接口!$R783=0,"",[2]对账明细接口!$R783),"")</f>
        <v/>
      </c>
      <c r="X783" s="20" t="str">
        <f>IFERROR(IF([2]对账明细接口!$S783=0,"",[2]对账明细接口!$S783),"")</f>
        <v/>
      </c>
      <c r="Y783" s="20" t="str">
        <f t="shared" si="74"/>
        <v/>
      </c>
      <c r="Z783" s="20" t="str">
        <f t="shared" si="75"/>
        <v/>
      </c>
      <c r="AA783" s="20" t="str">
        <f t="shared" si="76"/>
        <v/>
      </c>
      <c r="AB783" s="20" t="str">
        <f t="shared" si="77"/>
        <v/>
      </c>
    </row>
    <row r="784" customHeight="1" spans="1:28">
      <c r="A784" s="14">
        <v>784</v>
      </c>
      <c r="B784" s="15" t="str">
        <f>IFERROR(IF([2]对账明细接口!$B$784=0,"",[2]对账明细接口!$B$784),"")</f>
        <v/>
      </c>
      <c r="C784" s="16" t="str">
        <f>IFERROR(IF([2]对账明细接口!$C$784=0,"",[2]对账明细接口!$C$784),"")</f>
        <v/>
      </c>
      <c r="D784" s="16" t="str">
        <f>IFERROR(IF([2]对账明细接口!$D$784=0,"",[2]对账明细接口!$D$784),"")</f>
        <v/>
      </c>
      <c r="E784" s="16" t="str">
        <f>IFERROR(IF([2]对账明细接口!$E$784=0,"",[2]对账明细接口!$E$784),"")</f>
        <v/>
      </c>
      <c r="F784" s="16" t="str">
        <f>IFERROR(IF([2]对账明细接口!$F$784=0,"",[2]对账明细接口!$F$784),"")</f>
        <v/>
      </c>
      <c r="G784" s="16" t="str">
        <f>IFERROR(IF([2]对账明细接口!$G$784=0,"",[2]对账明细接口!$G$784),"")</f>
        <v/>
      </c>
      <c r="H784" s="17" t="str">
        <f>IFERROR(IF([2]对账明细接口!$H$784=0,"",[2]对账明细接口!$H$784),"")</f>
        <v/>
      </c>
      <c r="I784" s="16" t="str">
        <f>IFERROR(IF([2]对账明细接口!$I$784=0,"",[2]对账明细接口!$I$784),"")</f>
        <v/>
      </c>
      <c r="J784" s="18" t="str">
        <f>IFERROR(IF([2]对账明细接口!$J$784=0,"",[2]对账明细接口!$J$784),"")</f>
        <v/>
      </c>
      <c r="K784" s="18" t="str">
        <f>IFERROR(IF([2]对账明细接口!$K$784=0,"",[2]对账明细接口!$K$784),"")</f>
        <v/>
      </c>
      <c r="L784" s="16" t="str">
        <f>IFERROR(IF([2]对账明细接口!$L$784=0,"",[2]对账明细接口!$L$784),"")</f>
        <v/>
      </c>
      <c r="M784" s="16" t="str">
        <f>IFERROR(IF([2]对账明细接口!$M$784=0,"",[2]对账明细接口!$M$784),"")</f>
        <v/>
      </c>
      <c r="N784" s="19">
        <f t="shared" si="72"/>
        <v>0</v>
      </c>
      <c r="O784" s="19">
        <f t="shared" si="73"/>
        <v>165</v>
      </c>
      <c r="S784" s="20" t="str">
        <f>IFERROR(IF([2]对账明细接口!$N784=0,"",[2]对账明细接口!$N784),"")</f>
        <v/>
      </c>
      <c r="T784" s="21" t="str">
        <f>IFERROR(IF([2]对账明细接口!$O784=0,"",[2]对账明细接口!$O784),"")</f>
        <v/>
      </c>
      <c r="U784" s="21" t="str">
        <f>IFERROR(IF([2]对账明细接口!$P784=0,"",[2]对账明细接口!$P784),"")</f>
        <v/>
      </c>
      <c r="V784" s="21" t="str">
        <f>IFERROR(IF([2]对账明细接口!$Q784=0,"",[2]对账明细接口!$Q784),"")</f>
        <v/>
      </c>
      <c r="W784" s="20" t="str">
        <f>IFERROR(IF([2]对账明细接口!$R784=0,"",[2]对账明细接口!$R784),"")</f>
        <v/>
      </c>
      <c r="X784" s="20" t="str">
        <f>IFERROR(IF([2]对账明细接口!$S784=0,"",[2]对账明细接口!$S784),"")</f>
        <v/>
      </c>
      <c r="Y784" s="20" t="str">
        <f t="shared" si="74"/>
        <v/>
      </c>
      <c r="Z784" s="20" t="str">
        <f t="shared" si="75"/>
        <v/>
      </c>
      <c r="AA784" s="20" t="str">
        <f t="shared" si="76"/>
        <v/>
      </c>
      <c r="AB784" s="20" t="str">
        <f t="shared" si="77"/>
        <v/>
      </c>
    </row>
    <row r="785" customHeight="1" spans="1:28">
      <c r="A785" s="14">
        <v>785</v>
      </c>
      <c r="B785" s="15" t="str">
        <f>IFERROR(IF([2]对账明细接口!$B$785=0,"",[2]对账明细接口!$B$785),"")</f>
        <v/>
      </c>
      <c r="C785" s="16" t="str">
        <f>IFERROR(IF([2]对账明细接口!$C$785=0,"",[2]对账明细接口!$C$785),"")</f>
        <v/>
      </c>
      <c r="D785" s="16" t="str">
        <f>IFERROR(IF([2]对账明细接口!$D$785=0,"",[2]对账明细接口!$D$785),"")</f>
        <v/>
      </c>
      <c r="E785" s="16" t="str">
        <f>IFERROR(IF([2]对账明细接口!$E$785=0,"",[2]对账明细接口!$E$785),"")</f>
        <v/>
      </c>
      <c r="F785" s="16" t="str">
        <f>IFERROR(IF([2]对账明细接口!$F$785=0,"",[2]对账明细接口!$F$785),"")</f>
        <v/>
      </c>
      <c r="G785" s="16" t="str">
        <f>IFERROR(IF([2]对账明细接口!$G$785=0,"",[2]对账明细接口!$G$785),"")</f>
        <v/>
      </c>
      <c r="H785" s="17" t="str">
        <f>IFERROR(IF([2]对账明细接口!$H$785=0,"",[2]对账明细接口!$H$785),"")</f>
        <v/>
      </c>
      <c r="I785" s="16" t="str">
        <f>IFERROR(IF([2]对账明细接口!$I$785=0,"",[2]对账明细接口!$I$785),"")</f>
        <v/>
      </c>
      <c r="J785" s="18" t="str">
        <f>IFERROR(IF([2]对账明细接口!$J$785=0,"",[2]对账明细接口!$J$785),"")</f>
        <v/>
      </c>
      <c r="K785" s="18" t="str">
        <f>IFERROR(IF([2]对账明细接口!$K$785=0,"",[2]对账明细接口!$K$785),"")</f>
        <v/>
      </c>
      <c r="L785" s="16" t="str">
        <f>IFERROR(IF([2]对账明细接口!$L$785=0,"",[2]对账明细接口!$L$785),"")</f>
        <v/>
      </c>
      <c r="M785" s="16" t="str">
        <f>IFERROR(IF([2]对账明细接口!$M$785=0,"",[2]对账明细接口!$M$785),"")</f>
        <v/>
      </c>
      <c r="N785" s="19">
        <f t="shared" si="72"/>
        <v>0</v>
      </c>
      <c r="O785" s="19">
        <f t="shared" si="73"/>
        <v>165</v>
      </c>
      <c r="S785" s="20" t="str">
        <f>IFERROR(IF([2]对账明细接口!$N785=0,"",[2]对账明细接口!$N785),"")</f>
        <v/>
      </c>
      <c r="T785" s="21" t="str">
        <f>IFERROR(IF([2]对账明细接口!$O785=0,"",[2]对账明细接口!$O785),"")</f>
        <v/>
      </c>
      <c r="U785" s="21" t="str">
        <f>IFERROR(IF([2]对账明细接口!$P785=0,"",[2]对账明细接口!$P785),"")</f>
        <v/>
      </c>
      <c r="V785" s="21" t="str">
        <f>IFERROR(IF([2]对账明细接口!$Q785=0,"",[2]对账明细接口!$Q785),"")</f>
        <v/>
      </c>
      <c r="W785" s="20" t="str">
        <f>IFERROR(IF([2]对账明细接口!$R785=0,"",[2]对账明细接口!$R785),"")</f>
        <v/>
      </c>
      <c r="X785" s="20" t="str">
        <f>IFERROR(IF([2]对账明细接口!$S785=0,"",[2]对账明细接口!$S785),"")</f>
        <v/>
      </c>
      <c r="Y785" s="20" t="str">
        <f t="shared" si="74"/>
        <v/>
      </c>
      <c r="Z785" s="20" t="str">
        <f t="shared" si="75"/>
        <v/>
      </c>
      <c r="AA785" s="20" t="str">
        <f t="shared" si="76"/>
        <v/>
      </c>
      <c r="AB785" s="20" t="str">
        <f t="shared" si="77"/>
        <v/>
      </c>
    </row>
    <row r="786" customHeight="1" spans="1:28">
      <c r="A786" s="14">
        <v>786</v>
      </c>
      <c r="B786" s="15" t="str">
        <f>IFERROR(IF([2]对账明细接口!$B$786=0,"",[2]对账明细接口!$B$786),"")</f>
        <v/>
      </c>
      <c r="C786" s="16" t="str">
        <f>IFERROR(IF([2]对账明细接口!$C$786=0,"",[2]对账明细接口!$C$786),"")</f>
        <v/>
      </c>
      <c r="D786" s="16" t="str">
        <f>IFERROR(IF([2]对账明细接口!$D$786=0,"",[2]对账明细接口!$D$786),"")</f>
        <v/>
      </c>
      <c r="E786" s="16" t="str">
        <f>IFERROR(IF([2]对账明细接口!$E$786=0,"",[2]对账明细接口!$E$786),"")</f>
        <v/>
      </c>
      <c r="F786" s="16" t="str">
        <f>IFERROR(IF([2]对账明细接口!$F$786=0,"",[2]对账明细接口!$F$786),"")</f>
        <v/>
      </c>
      <c r="G786" s="16" t="str">
        <f>IFERROR(IF([2]对账明细接口!$G$786=0,"",[2]对账明细接口!$G$786),"")</f>
        <v/>
      </c>
      <c r="H786" s="17" t="str">
        <f>IFERROR(IF([2]对账明细接口!$H$786=0,"",[2]对账明细接口!$H$786),"")</f>
        <v/>
      </c>
      <c r="I786" s="16" t="str">
        <f>IFERROR(IF([2]对账明细接口!$I$786=0,"",[2]对账明细接口!$I$786),"")</f>
        <v/>
      </c>
      <c r="J786" s="18" t="str">
        <f>IFERROR(IF([2]对账明细接口!$J$786=0,"",[2]对账明细接口!$J$786),"")</f>
        <v/>
      </c>
      <c r="K786" s="18" t="str">
        <f>IFERROR(IF([2]对账明细接口!$K$786=0,"",[2]对账明细接口!$K$786),"")</f>
        <v/>
      </c>
      <c r="L786" s="16" t="str">
        <f>IFERROR(IF([2]对账明细接口!$L$786=0,"",[2]对账明细接口!$L$786),"")</f>
        <v/>
      </c>
      <c r="M786" s="16" t="str">
        <f>IFERROR(IF([2]对账明细接口!$M$786=0,"",[2]对账明细接口!$M$786),"")</f>
        <v/>
      </c>
      <c r="N786" s="19">
        <f t="shared" si="72"/>
        <v>0</v>
      </c>
      <c r="O786" s="19">
        <f t="shared" si="73"/>
        <v>165</v>
      </c>
      <c r="S786" s="20" t="str">
        <f>IFERROR(IF([2]对账明细接口!$N786=0,"",[2]对账明细接口!$N786),"")</f>
        <v/>
      </c>
      <c r="T786" s="21" t="str">
        <f>IFERROR(IF([2]对账明细接口!$O786=0,"",[2]对账明细接口!$O786),"")</f>
        <v/>
      </c>
      <c r="U786" s="21" t="str">
        <f>IFERROR(IF([2]对账明细接口!$P786=0,"",[2]对账明细接口!$P786),"")</f>
        <v/>
      </c>
      <c r="V786" s="21" t="str">
        <f>IFERROR(IF([2]对账明细接口!$Q786=0,"",[2]对账明细接口!$Q786),"")</f>
        <v/>
      </c>
      <c r="W786" s="20" t="str">
        <f>IFERROR(IF([2]对账明细接口!$R786=0,"",[2]对账明细接口!$R786),"")</f>
        <v/>
      </c>
      <c r="X786" s="20" t="str">
        <f>IFERROR(IF([2]对账明细接口!$S786=0,"",[2]对账明细接口!$S786),"")</f>
        <v/>
      </c>
      <c r="Y786" s="20" t="str">
        <f t="shared" si="74"/>
        <v/>
      </c>
      <c r="Z786" s="20" t="str">
        <f t="shared" si="75"/>
        <v/>
      </c>
      <c r="AA786" s="20" t="str">
        <f t="shared" si="76"/>
        <v/>
      </c>
      <c r="AB786" s="20" t="str">
        <f t="shared" si="77"/>
        <v/>
      </c>
    </row>
    <row r="787" customHeight="1" spans="1:28">
      <c r="A787" s="14">
        <v>787</v>
      </c>
      <c r="B787" s="15" t="str">
        <f>IFERROR(IF([2]对账明细接口!$B$787=0,"",[2]对账明细接口!$B$787),"")</f>
        <v/>
      </c>
      <c r="C787" s="16" t="str">
        <f>IFERROR(IF([2]对账明细接口!$C$787=0,"",[2]对账明细接口!$C$787),"")</f>
        <v/>
      </c>
      <c r="D787" s="16" t="str">
        <f>IFERROR(IF([2]对账明细接口!$D$787=0,"",[2]对账明细接口!$D$787),"")</f>
        <v/>
      </c>
      <c r="E787" s="16" t="str">
        <f>IFERROR(IF([2]对账明细接口!$E$787=0,"",[2]对账明细接口!$E$787),"")</f>
        <v/>
      </c>
      <c r="F787" s="16" t="str">
        <f>IFERROR(IF([2]对账明细接口!$F$787=0,"",[2]对账明细接口!$F$787),"")</f>
        <v/>
      </c>
      <c r="G787" s="16" t="str">
        <f>IFERROR(IF([2]对账明细接口!$G$787=0,"",[2]对账明细接口!$G$787),"")</f>
        <v/>
      </c>
      <c r="H787" s="17" t="str">
        <f>IFERROR(IF([2]对账明细接口!$H$787=0,"",[2]对账明细接口!$H$787),"")</f>
        <v/>
      </c>
      <c r="I787" s="16" t="str">
        <f>IFERROR(IF([2]对账明细接口!$I$787=0,"",[2]对账明细接口!$I$787),"")</f>
        <v/>
      </c>
      <c r="J787" s="18" t="str">
        <f>IFERROR(IF([2]对账明细接口!$J$787=0,"",[2]对账明细接口!$J$787),"")</f>
        <v/>
      </c>
      <c r="K787" s="18" t="str">
        <f>IFERROR(IF([2]对账明细接口!$K$787=0,"",[2]对账明细接口!$K$787),"")</f>
        <v/>
      </c>
      <c r="L787" s="16" t="str">
        <f>IFERROR(IF([2]对账明细接口!$L$787=0,"",[2]对账明细接口!$L$787),"")</f>
        <v/>
      </c>
      <c r="M787" s="16" t="str">
        <f>IFERROR(IF([2]对账明细接口!$M$787=0,"",[2]对账明细接口!$M$787),"")</f>
        <v/>
      </c>
      <c r="N787" s="19">
        <f t="shared" si="72"/>
        <v>0</v>
      </c>
      <c r="O787" s="19">
        <f t="shared" si="73"/>
        <v>165</v>
      </c>
      <c r="S787" s="20" t="str">
        <f>IFERROR(IF([2]对账明细接口!$N787=0,"",[2]对账明细接口!$N787),"")</f>
        <v/>
      </c>
      <c r="T787" s="21" t="str">
        <f>IFERROR(IF([2]对账明细接口!$O787=0,"",[2]对账明细接口!$O787),"")</f>
        <v/>
      </c>
      <c r="U787" s="21" t="str">
        <f>IFERROR(IF([2]对账明细接口!$P787=0,"",[2]对账明细接口!$P787),"")</f>
        <v/>
      </c>
      <c r="V787" s="21" t="str">
        <f>IFERROR(IF([2]对账明细接口!$Q787=0,"",[2]对账明细接口!$Q787),"")</f>
        <v/>
      </c>
      <c r="W787" s="20" t="str">
        <f>IFERROR(IF([2]对账明细接口!$R787=0,"",[2]对账明细接口!$R787),"")</f>
        <v/>
      </c>
      <c r="X787" s="20" t="str">
        <f>IFERROR(IF([2]对账明细接口!$S787=0,"",[2]对账明细接口!$S787),"")</f>
        <v/>
      </c>
      <c r="Y787" s="20" t="str">
        <f t="shared" si="74"/>
        <v/>
      </c>
      <c r="Z787" s="20" t="str">
        <f t="shared" si="75"/>
        <v/>
      </c>
      <c r="AA787" s="20" t="str">
        <f t="shared" si="76"/>
        <v/>
      </c>
      <c r="AB787" s="20" t="str">
        <f t="shared" si="77"/>
        <v/>
      </c>
    </row>
    <row r="788" customHeight="1" spans="1:28">
      <c r="A788" s="14">
        <v>788</v>
      </c>
      <c r="B788" s="15" t="str">
        <f>IFERROR(IF([2]对账明细接口!$B$788=0,"",[2]对账明细接口!$B$788),"")</f>
        <v/>
      </c>
      <c r="C788" s="16" t="str">
        <f>IFERROR(IF([2]对账明细接口!$C$788=0,"",[2]对账明细接口!$C$788),"")</f>
        <v/>
      </c>
      <c r="D788" s="16" t="str">
        <f>IFERROR(IF([2]对账明细接口!$D$788=0,"",[2]对账明细接口!$D$788),"")</f>
        <v/>
      </c>
      <c r="E788" s="16" t="str">
        <f>IFERROR(IF([2]对账明细接口!$E$788=0,"",[2]对账明细接口!$E$788),"")</f>
        <v/>
      </c>
      <c r="F788" s="16" t="str">
        <f>IFERROR(IF([2]对账明细接口!$F$788=0,"",[2]对账明细接口!$F$788),"")</f>
        <v/>
      </c>
      <c r="G788" s="16" t="str">
        <f>IFERROR(IF([2]对账明细接口!$G$788=0,"",[2]对账明细接口!$G$788),"")</f>
        <v/>
      </c>
      <c r="H788" s="17" t="str">
        <f>IFERROR(IF([2]对账明细接口!$H$788=0,"",[2]对账明细接口!$H$788),"")</f>
        <v/>
      </c>
      <c r="I788" s="16" t="str">
        <f>IFERROR(IF([2]对账明细接口!$I$788=0,"",[2]对账明细接口!$I$788),"")</f>
        <v/>
      </c>
      <c r="J788" s="18" t="str">
        <f>IFERROR(IF([2]对账明细接口!$J$788=0,"",[2]对账明细接口!$J$788),"")</f>
        <v/>
      </c>
      <c r="K788" s="18" t="str">
        <f>IFERROR(IF([2]对账明细接口!$K$788=0,"",[2]对账明细接口!$K$788),"")</f>
        <v/>
      </c>
      <c r="L788" s="16" t="str">
        <f>IFERROR(IF([2]对账明细接口!$L$788=0,"",[2]对账明细接口!$L$788),"")</f>
        <v/>
      </c>
      <c r="M788" s="16" t="str">
        <f>IFERROR(IF([2]对账明细接口!$M$788=0,"",[2]对账明细接口!$M$788),"")</f>
        <v/>
      </c>
      <c r="N788" s="19">
        <f t="shared" si="72"/>
        <v>0</v>
      </c>
      <c r="O788" s="19">
        <f t="shared" si="73"/>
        <v>165</v>
      </c>
      <c r="S788" s="20" t="str">
        <f>IFERROR(IF([2]对账明细接口!$N788=0,"",[2]对账明细接口!$N788),"")</f>
        <v/>
      </c>
      <c r="T788" s="21" t="str">
        <f>IFERROR(IF([2]对账明细接口!$O788=0,"",[2]对账明细接口!$O788),"")</f>
        <v/>
      </c>
      <c r="U788" s="21" t="str">
        <f>IFERROR(IF([2]对账明细接口!$P788=0,"",[2]对账明细接口!$P788),"")</f>
        <v/>
      </c>
      <c r="V788" s="21" t="str">
        <f>IFERROR(IF([2]对账明细接口!$Q788=0,"",[2]对账明细接口!$Q788),"")</f>
        <v/>
      </c>
      <c r="W788" s="20" t="str">
        <f>IFERROR(IF([2]对账明细接口!$R788=0,"",[2]对账明细接口!$R788),"")</f>
        <v/>
      </c>
      <c r="X788" s="20" t="str">
        <f>IFERROR(IF([2]对账明细接口!$S788=0,"",[2]对账明细接口!$S788),"")</f>
        <v/>
      </c>
      <c r="Y788" s="20" t="str">
        <f t="shared" si="74"/>
        <v/>
      </c>
      <c r="Z788" s="20" t="str">
        <f t="shared" si="75"/>
        <v/>
      </c>
      <c r="AA788" s="20" t="str">
        <f t="shared" si="76"/>
        <v/>
      </c>
      <c r="AB788" s="20" t="str">
        <f t="shared" si="77"/>
        <v/>
      </c>
    </row>
    <row r="789" customHeight="1" spans="1:28">
      <c r="A789" s="14">
        <v>789</v>
      </c>
      <c r="B789" s="15" t="str">
        <f>IFERROR(IF([2]对账明细接口!$B$789=0,"",[2]对账明细接口!$B$789),"")</f>
        <v/>
      </c>
      <c r="C789" s="16" t="str">
        <f>IFERROR(IF([2]对账明细接口!$C$789=0,"",[2]对账明细接口!$C$789),"")</f>
        <v/>
      </c>
      <c r="D789" s="16" t="str">
        <f>IFERROR(IF([2]对账明细接口!$D$789=0,"",[2]对账明细接口!$D$789),"")</f>
        <v/>
      </c>
      <c r="E789" s="16" t="str">
        <f>IFERROR(IF([2]对账明细接口!$E$789=0,"",[2]对账明细接口!$E$789),"")</f>
        <v/>
      </c>
      <c r="F789" s="16" t="str">
        <f>IFERROR(IF([2]对账明细接口!$F$789=0,"",[2]对账明细接口!$F$789),"")</f>
        <v/>
      </c>
      <c r="G789" s="16" t="str">
        <f>IFERROR(IF([2]对账明细接口!$G$789=0,"",[2]对账明细接口!$G$789),"")</f>
        <v/>
      </c>
      <c r="H789" s="17" t="str">
        <f>IFERROR(IF([2]对账明细接口!$H$789=0,"",[2]对账明细接口!$H$789),"")</f>
        <v/>
      </c>
      <c r="I789" s="16" t="str">
        <f>IFERROR(IF([2]对账明细接口!$I$789=0,"",[2]对账明细接口!$I$789),"")</f>
        <v/>
      </c>
      <c r="J789" s="18" t="str">
        <f>IFERROR(IF([2]对账明细接口!$J$789=0,"",[2]对账明细接口!$J$789),"")</f>
        <v/>
      </c>
      <c r="K789" s="18" t="str">
        <f>IFERROR(IF([2]对账明细接口!$K$789=0,"",[2]对账明细接口!$K$789),"")</f>
        <v/>
      </c>
      <c r="L789" s="16" t="str">
        <f>IFERROR(IF([2]对账明细接口!$L$789=0,"",[2]对账明细接口!$L$789),"")</f>
        <v/>
      </c>
      <c r="M789" s="16" t="str">
        <f>IFERROR(IF([2]对账明细接口!$M$789=0,"",[2]对账明细接口!$M$789),"")</f>
        <v/>
      </c>
      <c r="N789" s="19">
        <f t="shared" si="72"/>
        <v>0</v>
      </c>
      <c r="O789" s="19">
        <f t="shared" si="73"/>
        <v>165</v>
      </c>
      <c r="S789" s="20" t="str">
        <f>IFERROR(IF([2]对账明细接口!$N789=0,"",[2]对账明细接口!$N789),"")</f>
        <v/>
      </c>
      <c r="T789" s="21" t="str">
        <f>IFERROR(IF([2]对账明细接口!$O789=0,"",[2]对账明细接口!$O789),"")</f>
        <v/>
      </c>
      <c r="U789" s="21" t="str">
        <f>IFERROR(IF([2]对账明细接口!$P789=0,"",[2]对账明细接口!$P789),"")</f>
        <v/>
      </c>
      <c r="V789" s="21" t="str">
        <f>IFERROR(IF([2]对账明细接口!$Q789=0,"",[2]对账明细接口!$Q789),"")</f>
        <v/>
      </c>
      <c r="W789" s="20" t="str">
        <f>IFERROR(IF([2]对账明细接口!$R789=0,"",[2]对账明细接口!$R789),"")</f>
        <v/>
      </c>
      <c r="X789" s="20" t="str">
        <f>IFERROR(IF([2]对账明细接口!$S789=0,"",[2]对账明细接口!$S789),"")</f>
        <v/>
      </c>
      <c r="Y789" s="20" t="str">
        <f t="shared" si="74"/>
        <v/>
      </c>
      <c r="Z789" s="20" t="str">
        <f t="shared" si="75"/>
        <v/>
      </c>
      <c r="AA789" s="20" t="str">
        <f t="shared" si="76"/>
        <v/>
      </c>
      <c r="AB789" s="20" t="str">
        <f t="shared" si="77"/>
        <v/>
      </c>
    </row>
    <row r="790" customHeight="1" spans="1:28">
      <c r="A790" s="14">
        <v>790</v>
      </c>
      <c r="B790" s="15" t="str">
        <f>IFERROR(IF([2]对账明细接口!$B$790=0,"",[2]对账明细接口!$B$790),"")</f>
        <v/>
      </c>
      <c r="C790" s="16" t="str">
        <f>IFERROR(IF([2]对账明细接口!$C$790=0,"",[2]对账明细接口!$C$790),"")</f>
        <v/>
      </c>
      <c r="D790" s="16" t="str">
        <f>IFERROR(IF([2]对账明细接口!$D$790=0,"",[2]对账明细接口!$D$790),"")</f>
        <v/>
      </c>
      <c r="E790" s="16" t="str">
        <f>IFERROR(IF([2]对账明细接口!$E$790=0,"",[2]对账明细接口!$E$790),"")</f>
        <v/>
      </c>
      <c r="F790" s="16" t="str">
        <f>IFERROR(IF([2]对账明细接口!$F$790=0,"",[2]对账明细接口!$F$790),"")</f>
        <v/>
      </c>
      <c r="G790" s="16" t="str">
        <f>IFERROR(IF([2]对账明细接口!$G$790=0,"",[2]对账明细接口!$G$790),"")</f>
        <v/>
      </c>
      <c r="H790" s="17" t="str">
        <f>IFERROR(IF([2]对账明细接口!$H$790=0,"",[2]对账明细接口!$H$790),"")</f>
        <v/>
      </c>
      <c r="I790" s="16" t="str">
        <f>IFERROR(IF([2]对账明细接口!$I$790=0,"",[2]对账明细接口!$I$790),"")</f>
        <v/>
      </c>
      <c r="J790" s="18" t="str">
        <f>IFERROR(IF([2]对账明细接口!$J$790=0,"",[2]对账明细接口!$J$790),"")</f>
        <v/>
      </c>
      <c r="K790" s="18" t="str">
        <f>IFERROR(IF([2]对账明细接口!$K$790=0,"",[2]对账明细接口!$K$790),"")</f>
        <v/>
      </c>
      <c r="L790" s="16" t="str">
        <f>IFERROR(IF([2]对账明细接口!$L$790=0,"",[2]对账明细接口!$L$790),"")</f>
        <v/>
      </c>
      <c r="M790" s="16" t="str">
        <f>IFERROR(IF([2]对账明细接口!$M$790=0,"",[2]对账明细接口!$M$790),"")</f>
        <v/>
      </c>
      <c r="N790" s="19">
        <f t="shared" si="72"/>
        <v>0</v>
      </c>
      <c r="O790" s="19">
        <f t="shared" si="73"/>
        <v>165</v>
      </c>
      <c r="S790" s="20" t="str">
        <f>IFERROR(IF([2]对账明细接口!$N790=0,"",[2]对账明细接口!$N790),"")</f>
        <v/>
      </c>
      <c r="T790" s="21" t="str">
        <f>IFERROR(IF([2]对账明细接口!$O790=0,"",[2]对账明细接口!$O790),"")</f>
        <v/>
      </c>
      <c r="U790" s="21" t="str">
        <f>IFERROR(IF([2]对账明细接口!$P790=0,"",[2]对账明细接口!$P790),"")</f>
        <v/>
      </c>
      <c r="V790" s="21" t="str">
        <f>IFERROR(IF([2]对账明细接口!$Q790=0,"",[2]对账明细接口!$Q790),"")</f>
        <v/>
      </c>
      <c r="W790" s="20" t="str">
        <f>IFERROR(IF([2]对账明细接口!$R790=0,"",[2]对账明细接口!$R790),"")</f>
        <v/>
      </c>
      <c r="X790" s="20" t="str">
        <f>IFERROR(IF([2]对账明细接口!$S790=0,"",[2]对账明细接口!$S790),"")</f>
        <v/>
      </c>
      <c r="Y790" s="20" t="str">
        <f t="shared" si="74"/>
        <v/>
      </c>
      <c r="Z790" s="20" t="str">
        <f t="shared" si="75"/>
        <v/>
      </c>
      <c r="AA790" s="20" t="str">
        <f t="shared" si="76"/>
        <v/>
      </c>
      <c r="AB790" s="20" t="str">
        <f t="shared" si="77"/>
        <v/>
      </c>
    </row>
    <row r="791" customHeight="1" spans="1:28">
      <c r="A791" s="14">
        <v>791</v>
      </c>
      <c r="B791" s="15" t="str">
        <f>IFERROR(IF([2]对账明细接口!$B$791=0,"",[2]对账明细接口!$B$791),"")</f>
        <v/>
      </c>
      <c r="C791" s="16" t="str">
        <f>IFERROR(IF([2]对账明细接口!$C$791=0,"",[2]对账明细接口!$C$791),"")</f>
        <v/>
      </c>
      <c r="D791" s="16" t="str">
        <f>IFERROR(IF([2]对账明细接口!$D$791=0,"",[2]对账明细接口!$D$791),"")</f>
        <v/>
      </c>
      <c r="E791" s="16" t="str">
        <f>IFERROR(IF([2]对账明细接口!$E$791=0,"",[2]对账明细接口!$E$791),"")</f>
        <v/>
      </c>
      <c r="F791" s="16" t="str">
        <f>IFERROR(IF([2]对账明细接口!$F$791=0,"",[2]对账明细接口!$F$791),"")</f>
        <v/>
      </c>
      <c r="G791" s="16" t="str">
        <f>IFERROR(IF([2]对账明细接口!$G$791=0,"",[2]对账明细接口!$G$791),"")</f>
        <v/>
      </c>
      <c r="H791" s="17" t="str">
        <f>IFERROR(IF([2]对账明细接口!$H$791=0,"",[2]对账明细接口!$H$791),"")</f>
        <v/>
      </c>
      <c r="I791" s="16" t="str">
        <f>IFERROR(IF([2]对账明细接口!$I$791=0,"",[2]对账明细接口!$I$791),"")</f>
        <v/>
      </c>
      <c r="J791" s="18" t="str">
        <f>IFERROR(IF([2]对账明细接口!$J$791=0,"",[2]对账明细接口!$J$791),"")</f>
        <v/>
      </c>
      <c r="K791" s="18" t="str">
        <f>IFERROR(IF([2]对账明细接口!$K$791=0,"",[2]对账明细接口!$K$791),"")</f>
        <v/>
      </c>
      <c r="L791" s="16" t="str">
        <f>IFERROR(IF([2]对账明细接口!$L$791=0,"",[2]对账明细接口!$L$791),"")</f>
        <v/>
      </c>
      <c r="M791" s="16" t="str">
        <f>IFERROR(IF([2]对账明细接口!$M$791=0,"",[2]对账明细接口!$M$791),"")</f>
        <v/>
      </c>
      <c r="N791" s="19">
        <f t="shared" si="72"/>
        <v>0</v>
      </c>
      <c r="O791" s="19">
        <f t="shared" si="73"/>
        <v>165</v>
      </c>
      <c r="S791" s="20" t="str">
        <f>IFERROR(IF([2]对账明细接口!$N791=0,"",[2]对账明细接口!$N791),"")</f>
        <v/>
      </c>
      <c r="T791" s="21" t="str">
        <f>IFERROR(IF([2]对账明细接口!$O791=0,"",[2]对账明细接口!$O791),"")</f>
        <v/>
      </c>
      <c r="U791" s="21" t="str">
        <f>IFERROR(IF([2]对账明细接口!$P791=0,"",[2]对账明细接口!$P791),"")</f>
        <v/>
      </c>
      <c r="V791" s="21" t="str">
        <f>IFERROR(IF([2]对账明细接口!$Q791=0,"",[2]对账明细接口!$Q791),"")</f>
        <v/>
      </c>
      <c r="W791" s="20" t="str">
        <f>IFERROR(IF([2]对账明细接口!$R791=0,"",[2]对账明细接口!$R791),"")</f>
        <v/>
      </c>
      <c r="X791" s="20" t="str">
        <f>IFERROR(IF([2]对账明细接口!$S791=0,"",[2]对账明细接口!$S791),"")</f>
        <v/>
      </c>
      <c r="Y791" s="20" t="str">
        <f t="shared" si="74"/>
        <v/>
      </c>
      <c r="Z791" s="20" t="str">
        <f t="shared" si="75"/>
        <v/>
      </c>
      <c r="AA791" s="20" t="str">
        <f t="shared" si="76"/>
        <v/>
      </c>
      <c r="AB791" s="20" t="str">
        <f t="shared" si="77"/>
        <v/>
      </c>
    </row>
    <row r="792" customHeight="1" spans="1:28">
      <c r="A792" s="14">
        <v>792</v>
      </c>
      <c r="B792" s="15" t="str">
        <f>IFERROR(IF([2]对账明细接口!$B$792=0,"",[2]对账明细接口!$B$792),"")</f>
        <v/>
      </c>
      <c r="C792" s="16" t="str">
        <f>IFERROR(IF([2]对账明细接口!$C$792=0,"",[2]对账明细接口!$C$792),"")</f>
        <v/>
      </c>
      <c r="D792" s="16" t="str">
        <f>IFERROR(IF([2]对账明细接口!$D$792=0,"",[2]对账明细接口!$D$792),"")</f>
        <v/>
      </c>
      <c r="E792" s="16" t="str">
        <f>IFERROR(IF([2]对账明细接口!$E$792=0,"",[2]对账明细接口!$E$792),"")</f>
        <v/>
      </c>
      <c r="F792" s="16" t="str">
        <f>IFERROR(IF([2]对账明细接口!$F$792=0,"",[2]对账明细接口!$F$792),"")</f>
        <v/>
      </c>
      <c r="G792" s="16" t="str">
        <f>IFERROR(IF([2]对账明细接口!$G$792=0,"",[2]对账明细接口!$G$792),"")</f>
        <v/>
      </c>
      <c r="H792" s="17" t="str">
        <f>IFERROR(IF([2]对账明细接口!$H$792=0,"",[2]对账明细接口!$H$792),"")</f>
        <v/>
      </c>
      <c r="I792" s="16" t="str">
        <f>IFERROR(IF([2]对账明细接口!$I$792=0,"",[2]对账明细接口!$I$792),"")</f>
        <v/>
      </c>
      <c r="J792" s="18" t="str">
        <f>IFERROR(IF([2]对账明细接口!$J$792=0,"",[2]对账明细接口!$J$792),"")</f>
        <v/>
      </c>
      <c r="K792" s="18" t="str">
        <f>IFERROR(IF([2]对账明细接口!$K$792=0,"",[2]对账明细接口!$K$792),"")</f>
        <v/>
      </c>
      <c r="L792" s="16" t="str">
        <f>IFERROR(IF([2]对账明细接口!$L$792=0,"",[2]对账明细接口!$L$792),"")</f>
        <v/>
      </c>
      <c r="M792" s="16" t="str">
        <f>IFERROR(IF([2]对账明细接口!$M$792=0,"",[2]对账明细接口!$M$792),"")</f>
        <v/>
      </c>
      <c r="N792" s="19">
        <f t="shared" si="72"/>
        <v>0</v>
      </c>
      <c r="O792" s="19">
        <f t="shared" si="73"/>
        <v>165</v>
      </c>
      <c r="S792" s="20" t="str">
        <f>IFERROR(IF([2]对账明细接口!$N792=0,"",[2]对账明细接口!$N792),"")</f>
        <v/>
      </c>
      <c r="T792" s="21" t="str">
        <f>IFERROR(IF([2]对账明细接口!$O792=0,"",[2]对账明细接口!$O792),"")</f>
        <v/>
      </c>
      <c r="U792" s="21" t="str">
        <f>IFERROR(IF([2]对账明细接口!$P792=0,"",[2]对账明细接口!$P792),"")</f>
        <v/>
      </c>
      <c r="V792" s="21" t="str">
        <f>IFERROR(IF([2]对账明细接口!$Q792=0,"",[2]对账明细接口!$Q792),"")</f>
        <v/>
      </c>
      <c r="W792" s="20" t="str">
        <f>IFERROR(IF([2]对账明细接口!$R792=0,"",[2]对账明细接口!$R792),"")</f>
        <v/>
      </c>
      <c r="X792" s="20" t="str">
        <f>IFERROR(IF([2]对账明细接口!$S792=0,"",[2]对账明细接口!$S792),"")</f>
        <v/>
      </c>
      <c r="Y792" s="20" t="str">
        <f t="shared" si="74"/>
        <v/>
      </c>
      <c r="Z792" s="20" t="str">
        <f t="shared" si="75"/>
        <v/>
      </c>
      <c r="AA792" s="20" t="str">
        <f t="shared" si="76"/>
        <v/>
      </c>
      <c r="AB792" s="20" t="str">
        <f t="shared" si="77"/>
        <v/>
      </c>
    </row>
    <row r="793" customHeight="1" spans="1:28">
      <c r="A793" s="14">
        <v>793</v>
      </c>
      <c r="B793" s="15" t="str">
        <f>IFERROR(IF([2]对账明细接口!$B$793=0,"",[2]对账明细接口!$B$793),"")</f>
        <v/>
      </c>
      <c r="C793" s="16" t="str">
        <f>IFERROR(IF([2]对账明细接口!$C$793=0,"",[2]对账明细接口!$C$793),"")</f>
        <v/>
      </c>
      <c r="D793" s="16" t="str">
        <f>IFERROR(IF([2]对账明细接口!$D$793=0,"",[2]对账明细接口!$D$793),"")</f>
        <v/>
      </c>
      <c r="E793" s="16" t="str">
        <f>IFERROR(IF([2]对账明细接口!$E$793=0,"",[2]对账明细接口!$E$793),"")</f>
        <v/>
      </c>
      <c r="F793" s="16" t="str">
        <f>IFERROR(IF([2]对账明细接口!$F$793=0,"",[2]对账明细接口!$F$793),"")</f>
        <v/>
      </c>
      <c r="G793" s="16" t="str">
        <f>IFERROR(IF([2]对账明细接口!$G$793=0,"",[2]对账明细接口!$G$793),"")</f>
        <v/>
      </c>
      <c r="H793" s="17" t="str">
        <f>IFERROR(IF([2]对账明细接口!$H$793=0,"",[2]对账明细接口!$H$793),"")</f>
        <v/>
      </c>
      <c r="I793" s="16" t="str">
        <f>IFERROR(IF([2]对账明细接口!$I$793=0,"",[2]对账明细接口!$I$793),"")</f>
        <v/>
      </c>
      <c r="J793" s="18" t="str">
        <f>IFERROR(IF([2]对账明细接口!$J$793=0,"",[2]对账明细接口!$J$793),"")</f>
        <v/>
      </c>
      <c r="K793" s="18" t="str">
        <f>IFERROR(IF([2]对账明细接口!$K$793=0,"",[2]对账明细接口!$K$793),"")</f>
        <v/>
      </c>
      <c r="L793" s="16" t="str">
        <f>IFERROR(IF([2]对账明细接口!$L$793=0,"",[2]对账明细接口!$L$793),"")</f>
        <v/>
      </c>
      <c r="M793" s="16" t="str">
        <f>IFERROR(IF([2]对账明细接口!$M$793=0,"",[2]对账明细接口!$M$793),"")</f>
        <v/>
      </c>
      <c r="N793" s="19">
        <f t="shared" si="72"/>
        <v>0</v>
      </c>
      <c r="O793" s="19">
        <f t="shared" si="73"/>
        <v>165</v>
      </c>
      <c r="S793" s="20" t="str">
        <f>IFERROR(IF([2]对账明细接口!$N793=0,"",[2]对账明细接口!$N793),"")</f>
        <v/>
      </c>
      <c r="T793" s="21" t="str">
        <f>IFERROR(IF([2]对账明细接口!$O793=0,"",[2]对账明细接口!$O793),"")</f>
        <v/>
      </c>
      <c r="U793" s="21" t="str">
        <f>IFERROR(IF([2]对账明细接口!$P793=0,"",[2]对账明细接口!$P793),"")</f>
        <v/>
      </c>
      <c r="V793" s="21" t="str">
        <f>IFERROR(IF([2]对账明细接口!$Q793=0,"",[2]对账明细接口!$Q793),"")</f>
        <v/>
      </c>
      <c r="W793" s="20" t="str">
        <f>IFERROR(IF([2]对账明细接口!$R793=0,"",[2]对账明细接口!$R793),"")</f>
        <v/>
      </c>
      <c r="X793" s="20" t="str">
        <f>IFERROR(IF([2]对账明细接口!$S793=0,"",[2]对账明细接口!$S793),"")</f>
        <v/>
      </c>
      <c r="Y793" s="20" t="str">
        <f t="shared" si="74"/>
        <v/>
      </c>
      <c r="Z793" s="20" t="str">
        <f t="shared" si="75"/>
        <v/>
      </c>
      <c r="AA793" s="20" t="str">
        <f t="shared" si="76"/>
        <v/>
      </c>
      <c r="AB793" s="20" t="str">
        <f t="shared" si="77"/>
        <v/>
      </c>
    </row>
    <row r="794" customHeight="1" spans="1:28">
      <c r="A794" s="14">
        <v>794</v>
      </c>
      <c r="B794" s="15" t="str">
        <f>IFERROR(IF([2]对账明细接口!$B$794=0,"",[2]对账明细接口!$B$794),"")</f>
        <v/>
      </c>
      <c r="C794" s="16" t="str">
        <f>IFERROR(IF([2]对账明细接口!$C$794=0,"",[2]对账明细接口!$C$794),"")</f>
        <v/>
      </c>
      <c r="D794" s="16" t="str">
        <f>IFERROR(IF([2]对账明细接口!$D$794=0,"",[2]对账明细接口!$D$794),"")</f>
        <v/>
      </c>
      <c r="E794" s="16" t="str">
        <f>IFERROR(IF([2]对账明细接口!$E$794=0,"",[2]对账明细接口!$E$794),"")</f>
        <v/>
      </c>
      <c r="F794" s="16" t="str">
        <f>IFERROR(IF([2]对账明细接口!$F$794=0,"",[2]对账明细接口!$F$794),"")</f>
        <v/>
      </c>
      <c r="G794" s="16" t="str">
        <f>IFERROR(IF([2]对账明细接口!$G$794=0,"",[2]对账明细接口!$G$794),"")</f>
        <v/>
      </c>
      <c r="H794" s="17" t="str">
        <f>IFERROR(IF([2]对账明细接口!$H$794=0,"",[2]对账明细接口!$H$794),"")</f>
        <v/>
      </c>
      <c r="I794" s="16" t="str">
        <f>IFERROR(IF([2]对账明细接口!$I$794=0,"",[2]对账明细接口!$I$794),"")</f>
        <v/>
      </c>
      <c r="J794" s="18" t="str">
        <f>IFERROR(IF([2]对账明细接口!$J$794=0,"",[2]对账明细接口!$J$794),"")</f>
        <v/>
      </c>
      <c r="K794" s="18" t="str">
        <f>IFERROR(IF([2]对账明细接口!$K$794=0,"",[2]对账明细接口!$K$794),"")</f>
        <v/>
      </c>
      <c r="L794" s="16" t="str">
        <f>IFERROR(IF([2]对账明细接口!$L$794=0,"",[2]对账明细接口!$L$794),"")</f>
        <v/>
      </c>
      <c r="M794" s="16" t="str">
        <f>IFERROR(IF([2]对账明细接口!$M$794=0,"",[2]对账明细接口!$M$794),"")</f>
        <v/>
      </c>
      <c r="N794" s="19">
        <f t="shared" si="72"/>
        <v>0</v>
      </c>
      <c r="O794" s="19">
        <f t="shared" si="73"/>
        <v>165</v>
      </c>
      <c r="S794" s="20" t="str">
        <f>IFERROR(IF([2]对账明细接口!$N794=0,"",[2]对账明细接口!$N794),"")</f>
        <v/>
      </c>
      <c r="T794" s="21" t="str">
        <f>IFERROR(IF([2]对账明细接口!$O794=0,"",[2]对账明细接口!$O794),"")</f>
        <v/>
      </c>
      <c r="U794" s="21" t="str">
        <f>IFERROR(IF([2]对账明细接口!$P794=0,"",[2]对账明细接口!$P794),"")</f>
        <v/>
      </c>
      <c r="V794" s="21" t="str">
        <f>IFERROR(IF([2]对账明细接口!$Q794=0,"",[2]对账明细接口!$Q794),"")</f>
        <v/>
      </c>
      <c r="W794" s="20" t="str">
        <f>IFERROR(IF([2]对账明细接口!$R794=0,"",[2]对账明细接口!$R794),"")</f>
        <v/>
      </c>
      <c r="X794" s="20" t="str">
        <f>IFERROR(IF([2]对账明细接口!$S794=0,"",[2]对账明细接口!$S794),"")</f>
        <v/>
      </c>
      <c r="Y794" s="20" t="str">
        <f t="shared" si="74"/>
        <v/>
      </c>
      <c r="Z794" s="20" t="str">
        <f t="shared" si="75"/>
        <v/>
      </c>
      <c r="AA794" s="20" t="str">
        <f t="shared" si="76"/>
        <v/>
      </c>
      <c r="AB794" s="20" t="str">
        <f t="shared" si="77"/>
        <v/>
      </c>
    </row>
    <row r="795" customHeight="1" spans="1:28">
      <c r="A795" s="14">
        <v>795</v>
      </c>
      <c r="B795" s="15" t="str">
        <f>IFERROR(IF([2]对账明细接口!$B$795=0,"",[2]对账明细接口!$B$795),"")</f>
        <v/>
      </c>
      <c r="C795" s="16" t="str">
        <f>IFERROR(IF([2]对账明细接口!$C$795=0,"",[2]对账明细接口!$C$795),"")</f>
        <v/>
      </c>
      <c r="D795" s="16" t="str">
        <f>IFERROR(IF([2]对账明细接口!$D$795=0,"",[2]对账明细接口!$D$795),"")</f>
        <v/>
      </c>
      <c r="E795" s="16" t="str">
        <f>IFERROR(IF([2]对账明细接口!$E$795=0,"",[2]对账明细接口!$E$795),"")</f>
        <v/>
      </c>
      <c r="F795" s="16" t="str">
        <f>IFERROR(IF([2]对账明细接口!$F$795=0,"",[2]对账明细接口!$F$795),"")</f>
        <v/>
      </c>
      <c r="G795" s="16" t="str">
        <f>IFERROR(IF([2]对账明细接口!$G$795=0,"",[2]对账明细接口!$G$795),"")</f>
        <v/>
      </c>
      <c r="H795" s="17" t="str">
        <f>IFERROR(IF([2]对账明细接口!$H$795=0,"",[2]对账明细接口!$H$795),"")</f>
        <v/>
      </c>
      <c r="I795" s="16" t="str">
        <f>IFERROR(IF([2]对账明细接口!$I$795=0,"",[2]对账明细接口!$I$795),"")</f>
        <v/>
      </c>
      <c r="J795" s="18" t="str">
        <f>IFERROR(IF([2]对账明细接口!$J$795=0,"",[2]对账明细接口!$J$795),"")</f>
        <v/>
      </c>
      <c r="K795" s="18" t="str">
        <f>IFERROR(IF([2]对账明细接口!$K$795=0,"",[2]对账明细接口!$K$795),"")</f>
        <v/>
      </c>
      <c r="L795" s="16" t="str">
        <f>IFERROR(IF([2]对账明细接口!$L$795=0,"",[2]对账明细接口!$L$795),"")</f>
        <v/>
      </c>
      <c r="M795" s="16" t="str">
        <f>IFERROR(IF([2]对账明细接口!$M$795=0,"",[2]对账明细接口!$M$795),"")</f>
        <v/>
      </c>
      <c r="N795" s="19">
        <f t="shared" si="72"/>
        <v>0</v>
      </c>
      <c r="O795" s="19">
        <f t="shared" si="73"/>
        <v>165</v>
      </c>
      <c r="S795" s="20" t="str">
        <f>IFERROR(IF([2]对账明细接口!$N795=0,"",[2]对账明细接口!$N795),"")</f>
        <v/>
      </c>
      <c r="T795" s="21" t="str">
        <f>IFERROR(IF([2]对账明细接口!$O795=0,"",[2]对账明细接口!$O795),"")</f>
        <v/>
      </c>
      <c r="U795" s="21" t="str">
        <f>IFERROR(IF([2]对账明细接口!$P795=0,"",[2]对账明细接口!$P795),"")</f>
        <v/>
      </c>
      <c r="V795" s="21" t="str">
        <f>IFERROR(IF([2]对账明细接口!$Q795=0,"",[2]对账明细接口!$Q795),"")</f>
        <v/>
      </c>
      <c r="W795" s="20" t="str">
        <f>IFERROR(IF([2]对账明细接口!$R795=0,"",[2]对账明细接口!$R795),"")</f>
        <v/>
      </c>
      <c r="X795" s="20" t="str">
        <f>IFERROR(IF([2]对账明细接口!$S795=0,"",[2]对账明细接口!$S795),"")</f>
        <v/>
      </c>
      <c r="Y795" s="20" t="str">
        <f t="shared" si="74"/>
        <v/>
      </c>
      <c r="Z795" s="20" t="str">
        <f t="shared" si="75"/>
        <v/>
      </c>
      <c r="AA795" s="20" t="str">
        <f t="shared" si="76"/>
        <v/>
      </c>
      <c r="AB795" s="20" t="str">
        <f t="shared" si="77"/>
        <v/>
      </c>
    </row>
    <row r="796" customHeight="1" spans="1:28">
      <c r="A796" s="14">
        <v>796</v>
      </c>
      <c r="B796" s="15" t="str">
        <f>IFERROR(IF([2]对账明细接口!$B$796=0,"",[2]对账明细接口!$B$796),"")</f>
        <v/>
      </c>
      <c r="C796" s="16" t="str">
        <f>IFERROR(IF([2]对账明细接口!$C$796=0,"",[2]对账明细接口!$C$796),"")</f>
        <v/>
      </c>
      <c r="D796" s="16" t="str">
        <f>IFERROR(IF([2]对账明细接口!$D$796=0,"",[2]对账明细接口!$D$796),"")</f>
        <v/>
      </c>
      <c r="E796" s="16" t="str">
        <f>IFERROR(IF([2]对账明细接口!$E$796=0,"",[2]对账明细接口!$E$796),"")</f>
        <v/>
      </c>
      <c r="F796" s="16" t="str">
        <f>IFERROR(IF([2]对账明细接口!$F$796=0,"",[2]对账明细接口!$F$796),"")</f>
        <v/>
      </c>
      <c r="G796" s="16" t="str">
        <f>IFERROR(IF([2]对账明细接口!$G$796=0,"",[2]对账明细接口!$G$796),"")</f>
        <v/>
      </c>
      <c r="H796" s="17" t="str">
        <f>IFERROR(IF([2]对账明细接口!$H$796=0,"",[2]对账明细接口!$H$796),"")</f>
        <v/>
      </c>
      <c r="I796" s="16" t="str">
        <f>IFERROR(IF([2]对账明细接口!$I$796=0,"",[2]对账明细接口!$I$796),"")</f>
        <v/>
      </c>
      <c r="J796" s="18" t="str">
        <f>IFERROR(IF([2]对账明细接口!$J$796=0,"",[2]对账明细接口!$J$796),"")</f>
        <v/>
      </c>
      <c r="K796" s="18" t="str">
        <f>IFERROR(IF([2]对账明细接口!$K$796=0,"",[2]对账明细接口!$K$796),"")</f>
        <v/>
      </c>
      <c r="L796" s="16" t="str">
        <f>IFERROR(IF([2]对账明细接口!$L$796=0,"",[2]对账明细接口!$L$796),"")</f>
        <v/>
      </c>
      <c r="M796" s="16" t="str">
        <f>IFERROR(IF([2]对账明细接口!$M$796=0,"",[2]对账明细接口!$M$796),"")</f>
        <v/>
      </c>
      <c r="N796" s="19">
        <f t="shared" si="72"/>
        <v>0</v>
      </c>
      <c r="O796" s="19">
        <f t="shared" si="73"/>
        <v>165</v>
      </c>
      <c r="S796" s="20" t="str">
        <f>IFERROR(IF([2]对账明细接口!$N796=0,"",[2]对账明细接口!$N796),"")</f>
        <v/>
      </c>
      <c r="T796" s="21" t="str">
        <f>IFERROR(IF([2]对账明细接口!$O796=0,"",[2]对账明细接口!$O796),"")</f>
        <v/>
      </c>
      <c r="U796" s="21" t="str">
        <f>IFERROR(IF([2]对账明细接口!$P796=0,"",[2]对账明细接口!$P796),"")</f>
        <v/>
      </c>
      <c r="V796" s="21" t="str">
        <f>IFERROR(IF([2]对账明细接口!$Q796=0,"",[2]对账明细接口!$Q796),"")</f>
        <v/>
      </c>
      <c r="W796" s="20" t="str">
        <f>IFERROR(IF([2]对账明细接口!$R796=0,"",[2]对账明细接口!$R796),"")</f>
        <v/>
      </c>
      <c r="X796" s="20" t="str">
        <f>IFERROR(IF([2]对账明细接口!$S796=0,"",[2]对账明细接口!$S796),"")</f>
        <v/>
      </c>
      <c r="Y796" s="20" t="str">
        <f t="shared" si="74"/>
        <v/>
      </c>
      <c r="Z796" s="20" t="str">
        <f t="shared" si="75"/>
        <v/>
      </c>
      <c r="AA796" s="20" t="str">
        <f t="shared" si="76"/>
        <v/>
      </c>
      <c r="AB796" s="20" t="str">
        <f t="shared" si="77"/>
        <v/>
      </c>
    </row>
    <row r="797" customHeight="1" spans="1:28">
      <c r="A797" s="14">
        <v>797</v>
      </c>
      <c r="B797" s="15" t="str">
        <f>IFERROR(IF([2]对账明细接口!$B$797=0,"",[2]对账明细接口!$B$797),"")</f>
        <v/>
      </c>
      <c r="C797" s="16" t="str">
        <f>IFERROR(IF([2]对账明细接口!$C$797=0,"",[2]对账明细接口!$C$797),"")</f>
        <v/>
      </c>
      <c r="D797" s="16" t="str">
        <f>IFERROR(IF([2]对账明细接口!$D$797=0,"",[2]对账明细接口!$D$797),"")</f>
        <v/>
      </c>
      <c r="E797" s="16" t="str">
        <f>IFERROR(IF([2]对账明细接口!$E$797=0,"",[2]对账明细接口!$E$797),"")</f>
        <v/>
      </c>
      <c r="F797" s="16" t="str">
        <f>IFERROR(IF([2]对账明细接口!$F$797=0,"",[2]对账明细接口!$F$797),"")</f>
        <v/>
      </c>
      <c r="G797" s="16" t="str">
        <f>IFERROR(IF([2]对账明细接口!$G$797=0,"",[2]对账明细接口!$G$797),"")</f>
        <v/>
      </c>
      <c r="H797" s="17" t="str">
        <f>IFERROR(IF([2]对账明细接口!$H$797=0,"",[2]对账明细接口!$H$797),"")</f>
        <v/>
      </c>
      <c r="I797" s="16" t="str">
        <f>IFERROR(IF([2]对账明细接口!$I$797=0,"",[2]对账明细接口!$I$797),"")</f>
        <v/>
      </c>
      <c r="J797" s="18" t="str">
        <f>IFERROR(IF([2]对账明细接口!$J$797=0,"",[2]对账明细接口!$J$797),"")</f>
        <v/>
      </c>
      <c r="K797" s="18" t="str">
        <f>IFERROR(IF([2]对账明细接口!$K$797=0,"",[2]对账明细接口!$K$797),"")</f>
        <v/>
      </c>
      <c r="L797" s="16" t="str">
        <f>IFERROR(IF([2]对账明细接口!$L$797=0,"",[2]对账明细接口!$L$797),"")</f>
        <v/>
      </c>
      <c r="M797" s="16" t="str">
        <f>IFERROR(IF([2]对账明细接口!$M$797=0,"",[2]对账明细接口!$M$797),"")</f>
        <v/>
      </c>
      <c r="N797" s="19">
        <f t="shared" si="72"/>
        <v>0</v>
      </c>
      <c r="O797" s="19">
        <f t="shared" si="73"/>
        <v>165</v>
      </c>
      <c r="S797" s="20" t="str">
        <f>IFERROR(IF([2]对账明细接口!$N797=0,"",[2]对账明细接口!$N797),"")</f>
        <v/>
      </c>
      <c r="T797" s="21" t="str">
        <f>IFERROR(IF([2]对账明细接口!$O797=0,"",[2]对账明细接口!$O797),"")</f>
        <v/>
      </c>
      <c r="U797" s="21" t="str">
        <f>IFERROR(IF([2]对账明细接口!$P797=0,"",[2]对账明细接口!$P797),"")</f>
        <v/>
      </c>
      <c r="V797" s="21" t="str">
        <f>IFERROR(IF([2]对账明细接口!$Q797=0,"",[2]对账明细接口!$Q797),"")</f>
        <v/>
      </c>
      <c r="W797" s="20" t="str">
        <f>IFERROR(IF([2]对账明细接口!$R797=0,"",[2]对账明细接口!$R797),"")</f>
        <v/>
      </c>
      <c r="X797" s="20" t="str">
        <f>IFERROR(IF([2]对账明细接口!$S797=0,"",[2]对账明细接口!$S797),"")</f>
        <v/>
      </c>
      <c r="Y797" s="20" t="str">
        <f t="shared" si="74"/>
        <v/>
      </c>
      <c r="Z797" s="20" t="str">
        <f t="shared" si="75"/>
        <v/>
      </c>
      <c r="AA797" s="20" t="str">
        <f t="shared" si="76"/>
        <v/>
      </c>
      <c r="AB797" s="20" t="str">
        <f t="shared" si="77"/>
        <v/>
      </c>
    </row>
    <row r="798" customHeight="1" spans="1:28">
      <c r="A798" s="14">
        <v>798</v>
      </c>
      <c r="B798" s="15" t="str">
        <f>IFERROR(IF([2]对账明细接口!$B$798=0,"",[2]对账明细接口!$B$798),"")</f>
        <v/>
      </c>
      <c r="C798" s="16" t="str">
        <f>IFERROR(IF([2]对账明细接口!$C$798=0,"",[2]对账明细接口!$C$798),"")</f>
        <v/>
      </c>
      <c r="D798" s="16" t="str">
        <f>IFERROR(IF([2]对账明细接口!$D$798=0,"",[2]对账明细接口!$D$798),"")</f>
        <v/>
      </c>
      <c r="E798" s="16" t="str">
        <f>IFERROR(IF([2]对账明细接口!$E$798=0,"",[2]对账明细接口!$E$798),"")</f>
        <v/>
      </c>
      <c r="F798" s="16" t="str">
        <f>IFERROR(IF([2]对账明细接口!$F$798=0,"",[2]对账明细接口!$F$798),"")</f>
        <v/>
      </c>
      <c r="G798" s="16" t="str">
        <f>IFERROR(IF([2]对账明细接口!$G$798=0,"",[2]对账明细接口!$G$798),"")</f>
        <v/>
      </c>
      <c r="H798" s="17" t="str">
        <f>IFERROR(IF([2]对账明细接口!$H$798=0,"",[2]对账明细接口!$H$798),"")</f>
        <v/>
      </c>
      <c r="I798" s="16" t="str">
        <f>IFERROR(IF([2]对账明细接口!$I$798=0,"",[2]对账明细接口!$I$798),"")</f>
        <v/>
      </c>
      <c r="J798" s="18" t="str">
        <f>IFERROR(IF([2]对账明细接口!$J$798=0,"",[2]对账明细接口!$J$798),"")</f>
        <v/>
      </c>
      <c r="K798" s="18" t="str">
        <f>IFERROR(IF([2]对账明细接口!$K$798=0,"",[2]对账明细接口!$K$798),"")</f>
        <v/>
      </c>
      <c r="L798" s="16" t="str">
        <f>IFERROR(IF([2]对账明细接口!$L$798=0,"",[2]对账明细接口!$L$798),"")</f>
        <v/>
      </c>
      <c r="M798" s="16" t="str">
        <f>IFERROR(IF([2]对账明细接口!$M$798=0,"",[2]对账明细接口!$M$798),"")</f>
        <v/>
      </c>
      <c r="N798" s="19">
        <f t="shared" si="72"/>
        <v>0</v>
      </c>
      <c r="O798" s="19">
        <f t="shared" si="73"/>
        <v>165</v>
      </c>
      <c r="S798" s="20" t="str">
        <f>IFERROR(IF([2]对账明细接口!$N798=0,"",[2]对账明细接口!$N798),"")</f>
        <v/>
      </c>
      <c r="T798" s="21" t="str">
        <f>IFERROR(IF([2]对账明细接口!$O798=0,"",[2]对账明细接口!$O798),"")</f>
        <v/>
      </c>
      <c r="U798" s="21" t="str">
        <f>IFERROR(IF([2]对账明细接口!$P798=0,"",[2]对账明细接口!$P798),"")</f>
        <v/>
      </c>
      <c r="V798" s="21" t="str">
        <f>IFERROR(IF([2]对账明细接口!$Q798=0,"",[2]对账明细接口!$Q798),"")</f>
        <v/>
      </c>
      <c r="W798" s="20" t="str">
        <f>IFERROR(IF([2]对账明细接口!$R798=0,"",[2]对账明细接口!$R798),"")</f>
        <v/>
      </c>
      <c r="X798" s="20" t="str">
        <f>IFERROR(IF([2]对账明细接口!$S798=0,"",[2]对账明细接口!$S798),"")</f>
        <v/>
      </c>
      <c r="Y798" s="20" t="str">
        <f t="shared" si="74"/>
        <v/>
      </c>
      <c r="Z798" s="20" t="str">
        <f t="shared" si="75"/>
        <v/>
      </c>
      <c r="AA798" s="20" t="str">
        <f t="shared" si="76"/>
        <v/>
      </c>
      <c r="AB798" s="20" t="str">
        <f t="shared" si="77"/>
        <v/>
      </c>
    </row>
    <row r="799" customHeight="1" spans="1:28">
      <c r="A799" s="14">
        <v>799</v>
      </c>
      <c r="B799" s="15" t="str">
        <f>IFERROR(IF([2]对账明细接口!$B$799=0,"",[2]对账明细接口!$B$799),"")</f>
        <v/>
      </c>
      <c r="C799" s="16" t="str">
        <f>IFERROR(IF([2]对账明细接口!$C$799=0,"",[2]对账明细接口!$C$799),"")</f>
        <v/>
      </c>
      <c r="D799" s="16" t="str">
        <f>IFERROR(IF([2]对账明细接口!$D$799=0,"",[2]对账明细接口!$D$799),"")</f>
        <v/>
      </c>
      <c r="E799" s="16" t="str">
        <f>IFERROR(IF([2]对账明细接口!$E$799=0,"",[2]对账明细接口!$E$799),"")</f>
        <v/>
      </c>
      <c r="F799" s="16" t="str">
        <f>IFERROR(IF([2]对账明细接口!$F$799=0,"",[2]对账明细接口!$F$799),"")</f>
        <v/>
      </c>
      <c r="G799" s="16" t="str">
        <f>IFERROR(IF([2]对账明细接口!$G$799=0,"",[2]对账明细接口!$G$799),"")</f>
        <v/>
      </c>
      <c r="H799" s="17" t="str">
        <f>IFERROR(IF([2]对账明细接口!$H$799=0,"",[2]对账明细接口!$H$799),"")</f>
        <v/>
      </c>
      <c r="I799" s="16" t="str">
        <f>IFERROR(IF([2]对账明细接口!$I$799=0,"",[2]对账明细接口!$I$799),"")</f>
        <v/>
      </c>
      <c r="J799" s="18" t="str">
        <f>IFERROR(IF([2]对账明细接口!$J$799=0,"",[2]对账明细接口!$J$799),"")</f>
        <v/>
      </c>
      <c r="K799" s="18" t="str">
        <f>IFERROR(IF([2]对账明细接口!$K$799=0,"",[2]对账明细接口!$K$799),"")</f>
        <v/>
      </c>
      <c r="L799" s="16" t="str">
        <f>IFERROR(IF([2]对账明细接口!$L$799=0,"",[2]对账明细接口!$L$799),"")</f>
        <v/>
      </c>
      <c r="M799" s="16" t="str">
        <f>IFERROR(IF([2]对账明细接口!$M$799=0,"",[2]对账明细接口!$M$799),"")</f>
        <v/>
      </c>
      <c r="N799" s="19">
        <f t="shared" si="72"/>
        <v>0</v>
      </c>
      <c r="O799" s="19">
        <f t="shared" si="73"/>
        <v>165</v>
      </c>
      <c r="S799" s="20" t="str">
        <f>IFERROR(IF([2]对账明细接口!$N799=0,"",[2]对账明细接口!$N799),"")</f>
        <v/>
      </c>
      <c r="T799" s="21" t="str">
        <f>IFERROR(IF([2]对账明细接口!$O799=0,"",[2]对账明细接口!$O799),"")</f>
        <v/>
      </c>
      <c r="U799" s="21" t="str">
        <f>IFERROR(IF([2]对账明细接口!$P799=0,"",[2]对账明细接口!$P799),"")</f>
        <v/>
      </c>
      <c r="V799" s="21" t="str">
        <f>IFERROR(IF([2]对账明细接口!$Q799=0,"",[2]对账明细接口!$Q799),"")</f>
        <v/>
      </c>
      <c r="W799" s="20" t="str">
        <f>IFERROR(IF([2]对账明细接口!$R799=0,"",[2]对账明细接口!$R799),"")</f>
        <v/>
      </c>
      <c r="X799" s="20" t="str">
        <f>IFERROR(IF([2]对账明细接口!$S799=0,"",[2]对账明细接口!$S799),"")</f>
        <v/>
      </c>
      <c r="Y799" s="20" t="str">
        <f t="shared" si="74"/>
        <v/>
      </c>
      <c r="Z799" s="20" t="str">
        <f t="shared" si="75"/>
        <v/>
      </c>
      <c r="AA799" s="20" t="str">
        <f t="shared" si="76"/>
        <v/>
      </c>
      <c r="AB799" s="20" t="str">
        <f t="shared" si="77"/>
        <v/>
      </c>
    </row>
    <row r="800" customHeight="1" spans="1:28">
      <c r="A800" s="14">
        <v>800</v>
      </c>
      <c r="B800" s="15" t="str">
        <f>IFERROR(IF([2]对账明细接口!$B$800=0,"",[2]对账明细接口!$B$800),"")</f>
        <v/>
      </c>
      <c r="C800" s="16" t="str">
        <f>IFERROR(IF([2]对账明细接口!$C$800=0,"",[2]对账明细接口!$C$800),"")</f>
        <v/>
      </c>
      <c r="D800" s="16" t="str">
        <f>IFERROR(IF([2]对账明细接口!$D$800=0,"",[2]对账明细接口!$D$800),"")</f>
        <v/>
      </c>
      <c r="E800" s="16" t="str">
        <f>IFERROR(IF([2]对账明细接口!$E$800=0,"",[2]对账明细接口!$E$800),"")</f>
        <v/>
      </c>
      <c r="F800" s="16" t="str">
        <f>IFERROR(IF([2]对账明细接口!$F$800=0,"",[2]对账明细接口!$F$800),"")</f>
        <v/>
      </c>
      <c r="G800" s="16" t="str">
        <f>IFERROR(IF([2]对账明细接口!$G$800=0,"",[2]对账明细接口!$G$800),"")</f>
        <v/>
      </c>
      <c r="H800" s="17" t="str">
        <f>IFERROR(IF([2]对账明细接口!$H$800=0,"",[2]对账明细接口!$H$800),"")</f>
        <v/>
      </c>
      <c r="I800" s="16" t="str">
        <f>IFERROR(IF([2]对账明细接口!$I$800=0,"",[2]对账明细接口!$I$800),"")</f>
        <v/>
      </c>
      <c r="J800" s="18" t="str">
        <f>IFERROR(IF([2]对账明细接口!$J$800=0,"",[2]对账明细接口!$J$800),"")</f>
        <v/>
      </c>
      <c r="K800" s="18" t="str">
        <f>IFERROR(IF([2]对账明细接口!$K$800=0,"",[2]对账明细接口!$K$800),"")</f>
        <v/>
      </c>
      <c r="L800" s="16" t="str">
        <f>IFERROR(IF([2]对账明细接口!$L$800=0,"",[2]对账明细接口!$L$800),"")</f>
        <v/>
      </c>
      <c r="M800" s="16" t="str">
        <f>IFERROR(IF([2]对账明细接口!$M$800=0,"",[2]对账明细接口!$M$800),"")</f>
        <v/>
      </c>
      <c r="N800" s="19">
        <f t="shared" si="72"/>
        <v>0</v>
      </c>
      <c r="O800" s="19">
        <f t="shared" si="73"/>
        <v>165</v>
      </c>
      <c r="S800" s="20" t="str">
        <f>IFERROR(IF([2]对账明细接口!$N800=0,"",[2]对账明细接口!$N800),"")</f>
        <v/>
      </c>
      <c r="T800" s="21" t="str">
        <f>IFERROR(IF([2]对账明细接口!$O800=0,"",[2]对账明细接口!$O800),"")</f>
        <v/>
      </c>
      <c r="U800" s="21" t="str">
        <f>IFERROR(IF([2]对账明细接口!$P800=0,"",[2]对账明细接口!$P800),"")</f>
        <v/>
      </c>
      <c r="V800" s="21" t="str">
        <f>IFERROR(IF([2]对账明细接口!$Q800=0,"",[2]对账明细接口!$Q800),"")</f>
        <v/>
      </c>
      <c r="W800" s="20" t="str">
        <f>IFERROR(IF([2]对账明细接口!$R800=0,"",[2]对账明细接口!$R800),"")</f>
        <v/>
      </c>
      <c r="X800" s="20" t="str">
        <f>IFERROR(IF([2]对账明细接口!$S800=0,"",[2]对账明细接口!$S800),"")</f>
        <v/>
      </c>
      <c r="Y800" s="20" t="str">
        <f t="shared" si="74"/>
        <v/>
      </c>
      <c r="Z800" s="20" t="str">
        <f t="shared" si="75"/>
        <v/>
      </c>
      <c r="AA800" s="20" t="str">
        <f t="shared" si="76"/>
        <v/>
      </c>
      <c r="AB800" s="20" t="str">
        <f t="shared" si="77"/>
        <v/>
      </c>
    </row>
    <row r="801" customHeight="1" spans="1:28">
      <c r="A801" s="14">
        <v>801</v>
      </c>
      <c r="B801" s="15" t="str">
        <f>IFERROR(IF([2]对账明细接口!$B$801=0,"",[2]对账明细接口!$B$801),"")</f>
        <v/>
      </c>
      <c r="C801" s="16" t="str">
        <f>IFERROR(IF([2]对账明细接口!$C$801=0,"",[2]对账明细接口!$C$801),"")</f>
        <v/>
      </c>
      <c r="D801" s="16" t="str">
        <f>IFERROR(IF([2]对账明细接口!$D$801=0,"",[2]对账明细接口!$D$801),"")</f>
        <v/>
      </c>
      <c r="E801" s="16" t="str">
        <f>IFERROR(IF([2]对账明细接口!$E$801=0,"",[2]对账明细接口!$E$801),"")</f>
        <v/>
      </c>
      <c r="F801" s="16" t="str">
        <f>IFERROR(IF([2]对账明细接口!$F$801=0,"",[2]对账明细接口!$F$801),"")</f>
        <v/>
      </c>
      <c r="G801" s="16" t="str">
        <f>IFERROR(IF([2]对账明细接口!$G$801=0,"",[2]对账明细接口!$G$801),"")</f>
        <v/>
      </c>
      <c r="H801" s="17" t="str">
        <f>IFERROR(IF([2]对账明细接口!$H$801=0,"",[2]对账明细接口!$H$801),"")</f>
        <v/>
      </c>
      <c r="I801" s="16" t="str">
        <f>IFERROR(IF([2]对账明细接口!$I$801=0,"",[2]对账明细接口!$I$801),"")</f>
        <v/>
      </c>
      <c r="J801" s="18" t="str">
        <f>IFERROR(IF([2]对账明细接口!$J$801=0,"",[2]对账明细接口!$J$801),"")</f>
        <v/>
      </c>
      <c r="K801" s="18" t="str">
        <f>IFERROR(IF([2]对账明细接口!$K$801=0,"",[2]对账明细接口!$K$801),"")</f>
        <v/>
      </c>
      <c r="L801" s="16" t="str">
        <f>IFERROR(IF([2]对账明细接口!$L$801=0,"",[2]对账明细接口!$L$801),"")</f>
        <v/>
      </c>
      <c r="M801" s="16" t="str">
        <f>IFERROR(IF([2]对账明细接口!$M$801=0,"",[2]对账明细接口!$M$801),"")</f>
        <v/>
      </c>
      <c r="N801" s="19">
        <f t="shared" si="72"/>
        <v>0</v>
      </c>
      <c r="O801" s="19">
        <f t="shared" si="73"/>
        <v>165</v>
      </c>
      <c r="S801" s="20" t="str">
        <f>IFERROR(IF([2]对账明细接口!$N801=0,"",[2]对账明细接口!$N801),"")</f>
        <v/>
      </c>
      <c r="T801" s="21" t="str">
        <f>IFERROR(IF([2]对账明细接口!$O801=0,"",[2]对账明细接口!$O801),"")</f>
        <v/>
      </c>
      <c r="U801" s="21" t="str">
        <f>IFERROR(IF([2]对账明细接口!$P801=0,"",[2]对账明细接口!$P801),"")</f>
        <v/>
      </c>
      <c r="V801" s="21" t="str">
        <f>IFERROR(IF([2]对账明细接口!$Q801=0,"",[2]对账明细接口!$Q801),"")</f>
        <v/>
      </c>
      <c r="W801" s="20" t="str">
        <f>IFERROR(IF([2]对账明细接口!$R801=0,"",[2]对账明细接口!$R801),"")</f>
        <v/>
      </c>
      <c r="X801" s="20" t="str">
        <f>IFERROR(IF([2]对账明细接口!$S801=0,"",[2]对账明细接口!$S801),"")</f>
        <v/>
      </c>
      <c r="Y801" s="20" t="str">
        <f t="shared" si="74"/>
        <v/>
      </c>
      <c r="Z801" s="20" t="str">
        <f t="shared" si="75"/>
        <v/>
      </c>
      <c r="AA801" s="20" t="str">
        <f t="shared" si="76"/>
        <v/>
      </c>
      <c r="AB801" s="20" t="str">
        <f t="shared" si="77"/>
        <v/>
      </c>
    </row>
    <row r="802" customHeight="1" spans="1:28">
      <c r="A802" s="14">
        <v>802</v>
      </c>
      <c r="B802" s="15" t="str">
        <f>IFERROR(IF([2]对账明细接口!$B$802=0,"",[2]对账明细接口!$B$802),"")</f>
        <v/>
      </c>
      <c r="C802" s="16" t="str">
        <f>IFERROR(IF([2]对账明细接口!$C$802=0,"",[2]对账明细接口!$C$802),"")</f>
        <v/>
      </c>
      <c r="D802" s="16" t="str">
        <f>IFERROR(IF([2]对账明细接口!$D$802=0,"",[2]对账明细接口!$D$802),"")</f>
        <v/>
      </c>
      <c r="E802" s="16" t="str">
        <f>IFERROR(IF([2]对账明细接口!$E$802=0,"",[2]对账明细接口!$E$802),"")</f>
        <v/>
      </c>
      <c r="F802" s="16" t="str">
        <f>IFERROR(IF([2]对账明细接口!$F$802=0,"",[2]对账明细接口!$F$802),"")</f>
        <v/>
      </c>
      <c r="G802" s="16" t="str">
        <f>IFERROR(IF([2]对账明细接口!$G$802=0,"",[2]对账明细接口!$G$802),"")</f>
        <v/>
      </c>
      <c r="H802" s="17" t="str">
        <f>IFERROR(IF([2]对账明细接口!$H$802=0,"",[2]对账明细接口!$H$802),"")</f>
        <v/>
      </c>
      <c r="I802" s="16" t="str">
        <f>IFERROR(IF([2]对账明细接口!$I$802=0,"",[2]对账明细接口!$I$802),"")</f>
        <v/>
      </c>
      <c r="J802" s="18" t="str">
        <f>IFERROR(IF([2]对账明细接口!$J$802=0,"",[2]对账明细接口!$J$802),"")</f>
        <v/>
      </c>
      <c r="K802" s="18" t="str">
        <f>IFERROR(IF([2]对账明细接口!$K$802=0,"",[2]对账明细接口!$K$802),"")</f>
        <v/>
      </c>
      <c r="L802" s="16" t="str">
        <f>IFERROR(IF([2]对账明细接口!$L$802=0,"",[2]对账明细接口!$L$802),"")</f>
        <v/>
      </c>
      <c r="M802" s="16" t="str">
        <f>IFERROR(IF([2]对账明细接口!$M$802=0,"",[2]对账明细接口!$M$802),"")</f>
        <v/>
      </c>
      <c r="N802" s="19">
        <f t="shared" si="72"/>
        <v>0</v>
      </c>
      <c r="O802" s="19">
        <f t="shared" si="73"/>
        <v>165</v>
      </c>
      <c r="S802" s="20" t="str">
        <f>IFERROR(IF([2]对账明细接口!$N802=0,"",[2]对账明细接口!$N802),"")</f>
        <v/>
      </c>
      <c r="T802" s="21" t="str">
        <f>IFERROR(IF([2]对账明细接口!$O802=0,"",[2]对账明细接口!$O802),"")</f>
        <v/>
      </c>
      <c r="U802" s="21" t="str">
        <f>IFERROR(IF([2]对账明细接口!$P802=0,"",[2]对账明细接口!$P802),"")</f>
        <v/>
      </c>
      <c r="V802" s="21" t="str">
        <f>IFERROR(IF([2]对账明细接口!$Q802=0,"",[2]对账明细接口!$Q802),"")</f>
        <v/>
      </c>
      <c r="W802" s="20" t="str">
        <f>IFERROR(IF([2]对账明细接口!$R802=0,"",[2]对账明细接口!$R802),"")</f>
        <v/>
      </c>
      <c r="X802" s="20" t="str">
        <f>IFERROR(IF([2]对账明细接口!$S802=0,"",[2]对账明细接口!$S802),"")</f>
        <v/>
      </c>
      <c r="Y802" s="20" t="str">
        <f t="shared" si="74"/>
        <v/>
      </c>
      <c r="Z802" s="20" t="str">
        <f t="shared" si="75"/>
        <v/>
      </c>
      <c r="AA802" s="20" t="str">
        <f t="shared" si="76"/>
        <v/>
      </c>
      <c r="AB802" s="20" t="str">
        <f t="shared" si="77"/>
        <v/>
      </c>
    </row>
    <row r="803" customHeight="1" spans="1:28">
      <c r="A803" s="14">
        <v>803</v>
      </c>
      <c r="B803" s="15" t="str">
        <f>IFERROR(IF([2]对账明细接口!$B$803=0,"",[2]对账明细接口!$B$803),"")</f>
        <v/>
      </c>
      <c r="C803" s="16" t="str">
        <f>IFERROR(IF([2]对账明细接口!$C$803=0,"",[2]对账明细接口!$C$803),"")</f>
        <v/>
      </c>
      <c r="D803" s="16" t="str">
        <f>IFERROR(IF([2]对账明细接口!$D$803=0,"",[2]对账明细接口!$D$803),"")</f>
        <v/>
      </c>
      <c r="E803" s="16" t="str">
        <f>IFERROR(IF([2]对账明细接口!$E$803=0,"",[2]对账明细接口!$E$803),"")</f>
        <v/>
      </c>
      <c r="F803" s="16" t="str">
        <f>IFERROR(IF([2]对账明细接口!$F$803=0,"",[2]对账明细接口!$F$803),"")</f>
        <v/>
      </c>
      <c r="G803" s="16" t="str">
        <f>IFERROR(IF([2]对账明细接口!$G$803=0,"",[2]对账明细接口!$G$803),"")</f>
        <v/>
      </c>
      <c r="H803" s="17" t="str">
        <f>IFERROR(IF([2]对账明细接口!$H$803=0,"",[2]对账明细接口!$H$803),"")</f>
        <v/>
      </c>
      <c r="I803" s="16" t="str">
        <f>IFERROR(IF([2]对账明细接口!$I$803=0,"",[2]对账明细接口!$I$803),"")</f>
        <v/>
      </c>
      <c r="J803" s="18" t="str">
        <f>IFERROR(IF([2]对账明细接口!$J$803=0,"",[2]对账明细接口!$J$803),"")</f>
        <v/>
      </c>
      <c r="K803" s="18" t="str">
        <f>IFERROR(IF([2]对账明细接口!$K$803=0,"",[2]对账明细接口!$K$803),"")</f>
        <v/>
      </c>
      <c r="L803" s="16" t="str">
        <f>IFERROR(IF([2]对账明细接口!$L$803=0,"",[2]对账明细接口!$L$803),"")</f>
        <v/>
      </c>
      <c r="M803" s="16" t="str">
        <f>IFERROR(IF([2]对账明细接口!$M$803=0,"",[2]对账明细接口!$M$803),"")</f>
        <v/>
      </c>
      <c r="N803" s="19">
        <f t="shared" si="72"/>
        <v>0</v>
      </c>
      <c r="O803" s="19">
        <f t="shared" si="73"/>
        <v>165</v>
      </c>
      <c r="S803" s="20" t="str">
        <f>IFERROR(IF([2]对账明细接口!$N803=0,"",[2]对账明细接口!$N803),"")</f>
        <v/>
      </c>
      <c r="T803" s="21" t="str">
        <f>IFERROR(IF([2]对账明细接口!$O803=0,"",[2]对账明细接口!$O803),"")</f>
        <v/>
      </c>
      <c r="U803" s="21" t="str">
        <f>IFERROR(IF([2]对账明细接口!$P803=0,"",[2]对账明细接口!$P803),"")</f>
        <v/>
      </c>
      <c r="V803" s="21" t="str">
        <f>IFERROR(IF([2]对账明细接口!$Q803=0,"",[2]对账明细接口!$Q803),"")</f>
        <v/>
      </c>
      <c r="W803" s="20" t="str">
        <f>IFERROR(IF([2]对账明细接口!$R803=0,"",[2]对账明细接口!$R803),"")</f>
        <v/>
      </c>
      <c r="X803" s="20" t="str">
        <f>IFERROR(IF([2]对账明细接口!$S803=0,"",[2]对账明细接口!$S803),"")</f>
        <v/>
      </c>
      <c r="Y803" s="20" t="str">
        <f t="shared" si="74"/>
        <v/>
      </c>
      <c r="Z803" s="20" t="str">
        <f t="shared" si="75"/>
        <v/>
      </c>
      <c r="AA803" s="20" t="str">
        <f t="shared" si="76"/>
        <v/>
      </c>
      <c r="AB803" s="20" t="str">
        <f t="shared" si="77"/>
        <v/>
      </c>
    </row>
    <row r="804" customHeight="1" spans="1:28">
      <c r="A804" s="14">
        <v>804</v>
      </c>
      <c r="B804" s="15" t="str">
        <f>IFERROR(IF([2]对账明细接口!$B$804=0,"",[2]对账明细接口!$B$804),"")</f>
        <v/>
      </c>
      <c r="C804" s="16" t="str">
        <f>IFERROR(IF([2]对账明细接口!$C$804=0,"",[2]对账明细接口!$C$804),"")</f>
        <v/>
      </c>
      <c r="D804" s="16" t="str">
        <f>IFERROR(IF([2]对账明细接口!$D$804=0,"",[2]对账明细接口!$D$804),"")</f>
        <v/>
      </c>
      <c r="E804" s="16" t="str">
        <f>IFERROR(IF([2]对账明细接口!$E$804=0,"",[2]对账明细接口!$E$804),"")</f>
        <v/>
      </c>
      <c r="F804" s="16" t="str">
        <f>IFERROR(IF([2]对账明细接口!$F$804=0,"",[2]对账明细接口!$F$804),"")</f>
        <v/>
      </c>
      <c r="G804" s="16" t="str">
        <f>IFERROR(IF([2]对账明细接口!$G$804=0,"",[2]对账明细接口!$G$804),"")</f>
        <v/>
      </c>
      <c r="H804" s="17" t="str">
        <f>IFERROR(IF([2]对账明细接口!$H$804=0,"",[2]对账明细接口!$H$804),"")</f>
        <v/>
      </c>
      <c r="I804" s="16" t="str">
        <f>IFERROR(IF([2]对账明细接口!$I$804=0,"",[2]对账明细接口!$I$804),"")</f>
        <v/>
      </c>
      <c r="J804" s="18" t="str">
        <f>IFERROR(IF([2]对账明细接口!$J$804=0,"",[2]对账明细接口!$J$804),"")</f>
        <v/>
      </c>
      <c r="K804" s="18" t="str">
        <f>IFERROR(IF([2]对账明细接口!$K$804=0,"",[2]对账明细接口!$K$804),"")</f>
        <v/>
      </c>
      <c r="L804" s="16" t="str">
        <f>IFERROR(IF([2]对账明细接口!$L$804=0,"",[2]对账明细接口!$L$804),"")</f>
        <v/>
      </c>
      <c r="M804" s="16" t="str">
        <f>IFERROR(IF([2]对账明细接口!$M$804=0,"",[2]对账明细接口!$M$804),"")</f>
        <v/>
      </c>
      <c r="N804" s="19">
        <f t="shared" si="72"/>
        <v>0</v>
      </c>
      <c r="O804" s="19">
        <f t="shared" si="73"/>
        <v>165</v>
      </c>
      <c r="S804" s="20" t="str">
        <f>IFERROR(IF([2]对账明细接口!$N804=0,"",[2]对账明细接口!$N804),"")</f>
        <v/>
      </c>
      <c r="T804" s="21" t="str">
        <f>IFERROR(IF([2]对账明细接口!$O804=0,"",[2]对账明细接口!$O804),"")</f>
        <v/>
      </c>
      <c r="U804" s="21" t="str">
        <f>IFERROR(IF([2]对账明细接口!$P804=0,"",[2]对账明细接口!$P804),"")</f>
        <v/>
      </c>
      <c r="V804" s="21" t="str">
        <f>IFERROR(IF([2]对账明细接口!$Q804=0,"",[2]对账明细接口!$Q804),"")</f>
        <v/>
      </c>
      <c r="W804" s="20" t="str">
        <f>IFERROR(IF([2]对账明细接口!$R804=0,"",[2]对账明细接口!$R804),"")</f>
        <v/>
      </c>
      <c r="X804" s="20" t="str">
        <f>IFERROR(IF([2]对账明细接口!$S804=0,"",[2]对账明细接口!$S804),"")</f>
        <v/>
      </c>
      <c r="Y804" s="20" t="str">
        <f t="shared" si="74"/>
        <v/>
      </c>
      <c r="Z804" s="20" t="str">
        <f t="shared" si="75"/>
        <v/>
      </c>
      <c r="AA804" s="20" t="str">
        <f t="shared" si="76"/>
        <v/>
      </c>
      <c r="AB804" s="20" t="str">
        <f t="shared" si="77"/>
        <v/>
      </c>
    </row>
    <row r="805" customHeight="1" spans="1:28">
      <c r="A805" s="14">
        <v>805</v>
      </c>
      <c r="B805" s="15" t="str">
        <f>IFERROR(IF([2]对账明细接口!$B$805=0,"",[2]对账明细接口!$B$805),"")</f>
        <v/>
      </c>
      <c r="C805" s="16" t="str">
        <f>IFERROR(IF([2]对账明细接口!$C$805=0,"",[2]对账明细接口!$C$805),"")</f>
        <v/>
      </c>
      <c r="D805" s="16" t="str">
        <f>IFERROR(IF([2]对账明细接口!$D$805=0,"",[2]对账明细接口!$D$805),"")</f>
        <v/>
      </c>
      <c r="E805" s="16" t="str">
        <f>IFERROR(IF([2]对账明细接口!$E$805=0,"",[2]对账明细接口!$E$805),"")</f>
        <v/>
      </c>
      <c r="F805" s="16" t="str">
        <f>IFERROR(IF([2]对账明细接口!$F$805=0,"",[2]对账明细接口!$F$805),"")</f>
        <v/>
      </c>
      <c r="G805" s="16" t="str">
        <f>IFERROR(IF([2]对账明细接口!$G$805=0,"",[2]对账明细接口!$G$805),"")</f>
        <v/>
      </c>
      <c r="H805" s="17" t="str">
        <f>IFERROR(IF([2]对账明细接口!$H$805=0,"",[2]对账明细接口!$H$805),"")</f>
        <v/>
      </c>
      <c r="I805" s="16" t="str">
        <f>IFERROR(IF([2]对账明细接口!$I$805=0,"",[2]对账明细接口!$I$805),"")</f>
        <v/>
      </c>
      <c r="J805" s="18" t="str">
        <f>IFERROR(IF([2]对账明细接口!$J$805=0,"",[2]对账明细接口!$J$805),"")</f>
        <v/>
      </c>
      <c r="K805" s="18" t="str">
        <f>IFERROR(IF([2]对账明细接口!$K$805=0,"",[2]对账明细接口!$K$805),"")</f>
        <v/>
      </c>
      <c r="L805" s="16" t="str">
        <f>IFERROR(IF([2]对账明细接口!$L$805=0,"",[2]对账明细接口!$L$805),"")</f>
        <v/>
      </c>
      <c r="M805" s="16" t="str">
        <f>IFERROR(IF([2]对账明细接口!$M$805=0,"",[2]对账明细接口!$M$805),"")</f>
        <v/>
      </c>
      <c r="N805" s="19">
        <f t="shared" si="72"/>
        <v>0</v>
      </c>
      <c r="O805" s="19">
        <f t="shared" si="73"/>
        <v>165</v>
      </c>
      <c r="S805" s="20" t="str">
        <f>IFERROR(IF([2]对账明细接口!$N805=0,"",[2]对账明细接口!$N805),"")</f>
        <v/>
      </c>
      <c r="T805" s="21" t="str">
        <f>IFERROR(IF([2]对账明细接口!$O805=0,"",[2]对账明细接口!$O805),"")</f>
        <v/>
      </c>
      <c r="U805" s="21" t="str">
        <f>IFERROR(IF([2]对账明细接口!$P805=0,"",[2]对账明细接口!$P805),"")</f>
        <v/>
      </c>
      <c r="V805" s="21" t="str">
        <f>IFERROR(IF([2]对账明细接口!$Q805=0,"",[2]对账明细接口!$Q805),"")</f>
        <v/>
      </c>
      <c r="W805" s="20" t="str">
        <f>IFERROR(IF([2]对账明细接口!$R805=0,"",[2]对账明细接口!$R805),"")</f>
        <v/>
      </c>
      <c r="X805" s="20" t="str">
        <f>IFERROR(IF([2]对账明细接口!$S805=0,"",[2]对账明细接口!$S805),"")</f>
        <v/>
      </c>
      <c r="Y805" s="20" t="str">
        <f t="shared" si="74"/>
        <v/>
      </c>
      <c r="Z805" s="20" t="str">
        <f t="shared" si="75"/>
        <v/>
      </c>
      <c r="AA805" s="20" t="str">
        <f t="shared" si="76"/>
        <v/>
      </c>
      <c r="AB805" s="20" t="str">
        <f t="shared" si="77"/>
        <v/>
      </c>
    </row>
    <row r="806" customHeight="1" spans="1:28">
      <c r="A806" s="14">
        <v>806</v>
      </c>
      <c r="B806" s="15" t="str">
        <f>IFERROR(IF([2]对账明细接口!$B$806=0,"",[2]对账明细接口!$B$806),"")</f>
        <v/>
      </c>
      <c r="C806" s="16" t="str">
        <f>IFERROR(IF([2]对账明细接口!$C$806=0,"",[2]对账明细接口!$C$806),"")</f>
        <v/>
      </c>
      <c r="D806" s="16" t="str">
        <f>IFERROR(IF([2]对账明细接口!$D$806=0,"",[2]对账明细接口!$D$806),"")</f>
        <v/>
      </c>
      <c r="E806" s="16" t="str">
        <f>IFERROR(IF([2]对账明细接口!$E$806=0,"",[2]对账明细接口!$E$806),"")</f>
        <v/>
      </c>
      <c r="F806" s="16" t="str">
        <f>IFERROR(IF([2]对账明细接口!$F$806=0,"",[2]对账明细接口!$F$806),"")</f>
        <v/>
      </c>
      <c r="G806" s="16" t="str">
        <f>IFERROR(IF([2]对账明细接口!$G$806=0,"",[2]对账明细接口!$G$806),"")</f>
        <v/>
      </c>
      <c r="H806" s="17" t="str">
        <f>IFERROR(IF([2]对账明细接口!$H$806=0,"",[2]对账明细接口!$H$806),"")</f>
        <v/>
      </c>
      <c r="I806" s="16" t="str">
        <f>IFERROR(IF([2]对账明细接口!$I$806=0,"",[2]对账明细接口!$I$806),"")</f>
        <v/>
      </c>
      <c r="J806" s="18" t="str">
        <f>IFERROR(IF([2]对账明细接口!$J$806=0,"",[2]对账明细接口!$J$806),"")</f>
        <v/>
      </c>
      <c r="K806" s="18" t="str">
        <f>IFERROR(IF([2]对账明细接口!$K$806=0,"",[2]对账明细接口!$K$806),"")</f>
        <v/>
      </c>
      <c r="L806" s="16" t="str">
        <f>IFERROR(IF([2]对账明细接口!$L$806=0,"",[2]对账明细接口!$L$806),"")</f>
        <v/>
      </c>
      <c r="M806" s="16" t="str">
        <f>IFERROR(IF([2]对账明细接口!$M$806=0,"",[2]对账明细接口!$M$806),"")</f>
        <v/>
      </c>
      <c r="N806" s="19">
        <f t="shared" si="72"/>
        <v>0</v>
      </c>
      <c r="O806" s="19">
        <f t="shared" si="73"/>
        <v>165</v>
      </c>
      <c r="S806" s="20" t="str">
        <f>IFERROR(IF([2]对账明细接口!$N806=0,"",[2]对账明细接口!$N806),"")</f>
        <v/>
      </c>
      <c r="T806" s="21" t="str">
        <f>IFERROR(IF([2]对账明细接口!$O806=0,"",[2]对账明细接口!$O806),"")</f>
        <v/>
      </c>
      <c r="U806" s="21" t="str">
        <f>IFERROR(IF([2]对账明细接口!$P806=0,"",[2]对账明细接口!$P806),"")</f>
        <v/>
      </c>
      <c r="V806" s="21" t="str">
        <f>IFERROR(IF([2]对账明细接口!$Q806=0,"",[2]对账明细接口!$Q806),"")</f>
        <v/>
      </c>
      <c r="W806" s="20" t="str">
        <f>IFERROR(IF([2]对账明细接口!$R806=0,"",[2]对账明细接口!$R806),"")</f>
        <v/>
      </c>
      <c r="X806" s="20" t="str">
        <f>IFERROR(IF([2]对账明细接口!$S806=0,"",[2]对账明细接口!$S806),"")</f>
        <v/>
      </c>
      <c r="Y806" s="20" t="str">
        <f t="shared" si="74"/>
        <v/>
      </c>
      <c r="Z806" s="20" t="str">
        <f t="shared" si="75"/>
        <v/>
      </c>
      <c r="AA806" s="20" t="str">
        <f t="shared" si="76"/>
        <v/>
      </c>
      <c r="AB806" s="20" t="str">
        <f t="shared" si="77"/>
        <v/>
      </c>
    </row>
    <row r="807" customHeight="1" spans="1:28">
      <c r="A807" s="14">
        <v>807</v>
      </c>
      <c r="B807" s="15" t="str">
        <f>IFERROR(IF([2]对账明细接口!$B$807=0,"",[2]对账明细接口!$B$807),"")</f>
        <v/>
      </c>
      <c r="C807" s="16" t="str">
        <f>IFERROR(IF([2]对账明细接口!$C$807=0,"",[2]对账明细接口!$C$807),"")</f>
        <v/>
      </c>
      <c r="D807" s="16" t="str">
        <f>IFERROR(IF([2]对账明细接口!$D$807=0,"",[2]对账明细接口!$D$807),"")</f>
        <v/>
      </c>
      <c r="E807" s="16" t="str">
        <f>IFERROR(IF([2]对账明细接口!$E$807=0,"",[2]对账明细接口!$E$807),"")</f>
        <v/>
      </c>
      <c r="F807" s="16" t="str">
        <f>IFERROR(IF([2]对账明细接口!$F$807=0,"",[2]对账明细接口!$F$807),"")</f>
        <v/>
      </c>
      <c r="G807" s="16" t="str">
        <f>IFERROR(IF([2]对账明细接口!$G$807=0,"",[2]对账明细接口!$G$807),"")</f>
        <v/>
      </c>
      <c r="H807" s="17" t="str">
        <f>IFERROR(IF([2]对账明细接口!$H$807=0,"",[2]对账明细接口!$H$807),"")</f>
        <v/>
      </c>
      <c r="I807" s="16" t="str">
        <f>IFERROR(IF([2]对账明细接口!$I$807=0,"",[2]对账明细接口!$I$807),"")</f>
        <v/>
      </c>
      <c r="J807" s="18" t="str">
        <f>IFERROR(IF([2]对账明细接口!$J$807=0,"",[2]对账明细接口!$J$807),"")</f>
        <v/>
      </c>
      <c r="K807" s="18" t="str">
        <f>IFERROR(IF([2]对账明细接口!$K$807=0,"",[2]对账明细接口!$K$807),"")</f>
        <v/>
      </c>
      <c r="L807" s="16" t="str">
        <f>IFERROR(IF([2]对账明细接口!$L$807=0,"",[2]对账明细接口!$L$807),"")</f>
        <v/>
      </c>
      <c r="M807" s="16" t="str">
        <f>IFERROR(IF([2]对账明细接口!$M$807=0,"",[2]对账明细接口!$M$807),"")</f>
        <v/>
      </c>
      <c r="N807" s="19">
        <f t="shared" si="72"/>
        <v>0</v>
      </c>
      <c r="O807" s="19">
        <f t="shared" si="73"/>
        <v>165</v>
      </c>
      <c r="S807" s="20" t="str">
        <f>IFERROR(IF([2]对账明细接口!$N807=0,"",[2]对账明细接口!$N807),"")</f>
        <v/>
      </c>
      <c r="T807" s="21" t="str">
        <f>IFERROR(IF([2]对账明细接口!$O807=0,"",[2]对账明细接口!$O807),"")</f>
        <v/>
      </c>
      <c r="U807" s="21" t="str">
        <f>IFERROR(IF([2]对账明细接口!$P807=0,"",[2]对账明细接口!$P807),"")</f>
        <v/>
      </c>
      <c r="V807" s="21" t="str">
        <f>IFERROR(IF([2]对账明细接口!$Q807=0,"",[2]对账明细接口!$Q807),"")</f>
        <v/>
      </c>
      <c r="W807" s="20" t="str">
        <f>IFERROR(IF([2]对账明细接口!$R807=0,"",[2]对账明细接口!$R807),"")</f>
        <v/>
      </c>
      <c r="X807" s="20" t="str">
        <f>IFERROR(IF([2]对账明细接口!$S807=0,"",[2]对账明细接口!$S807),"")</f>
        <v/>
      </c>
      <c r="Y807" s="20" t="str">
        <f t="shared" si="74"/>
        <v/>
      </c>
      <c r="Z807" s="20" t="str">
        <f t="shared" si="75"/>
        <v/>
      </c>
      <c r="AA807" s="20" t="str">
        <f t="shared" si="76"/>
        <v/>
      </c>
      <c r="AB807" s="20" t="str">
        <f t="shared" si="77"/>
        <v/>
      </c>
    </row>
    <row r="808" customHeight="1" spans="1:28">
      <c r="A808" s="14">
        <v>808</v>
      </c>
      <c r="B808" s="15" t="str">
        <f>IFERROR(IF([2]对账明细接口!$B$808=0,"",[2]对账明细接口!$B$808),"")</f>
        <v/>
      </c>
      <c r="C808" s="16" t="str">
        <f>IFERROR(IF([2]对账明细接口!$C$808=0,"",[2]对账明细接口!$C$808),"")</f>
        <v/>
      </c>
      <c r="D808" s="16" t="str">
        <f>IFERROR(IF([2]对账明细接口!$D$808=0,"",[2]对账明细接口!$D$808),"")</f>
        <v/>
      </c>
      <c r="E808" s="16" t="str">
        <f>IFERROR(IF([2]对账明细接口!$E$808=0,"",[2]对账明细接口!$E$808),"")</f>
        <v/>
      </c>
      <c r="F808" s="16" t="str">
        <f>IFERROR(IF([2]对账明细接口!$F$808=0,"",[2]对账明细接口!$F$808),"")</f>
        <v/>
      </c>
      <c r="G808" s="16" t="str">
        <f>IFERROR(IF([2]对账明细接口!$G$808=0,"",[2]对账明细接口!$G$808),"")</f>
        <v/>
      </c>
      <c r="H808" s="17" t="str">
        <f>IFERROR(IF([2]对账明细接口!$H$808=0,"",[2]对账明细接口!$H$808),"")</f>
        <v/>
      </c>
      <c r="I808" s="16" t="str">
        <f>IFERROR(IF([2]对账明细接口!$I$808=0,"",[2]对账明细接口!$I$808),"")</f>
        <v/>
      </c>
      <c r="J808" s="18" t="str">
        <f>IFERROR(IF([2]对账明细接口!$J$808=0,"",[2]对账明细接口!$J$808),"")</f>
        <v/>
      </c>
      <c r="K808" s="18" t="str">
        <f>IFERROR(IF([2]对账明细接口!$K$808=0,"",[2]对账明细接口!$K$808),"")</f>
        <v/>
      </c>
      <c r="L808" s="16" t="str">
        <f>IFERROR(IF([2]对账明细接口!$L$808=0,"",[2]对账明细接口!$L$808),"")</f>
        <v/>
      </c>
      <c r="M808" s="16" t="str">
        <f>IFERROR(IF([2]对账明细接口!$M$808=0,"",[2]对账明细接口!$M$808),"")</f>
        <v/>
      </c>
      <c r="N808" s="19">
        <f t="shared" si="72"/>
        <v>0</v>
      </c>
      <c r="O808" s="19">
        <f t="shared" si="73"/>
        <v>165</v>
      </c>
      <c r="S808" s="20" t="str">
        <f>IFERROR(IF([2]对账明细接口!$N808=0,"",[2]对账明细接口!$N808),"")</f>
        <v/>
      </c>
      <c r="T808" s="21" t="str">
        <f>IFERROR(IF([2]对账明细接口!$O808=0,"",[2]对账明细接口!$O808),"")</f>
        <v/>
      </c>
      <c r="U808" s="21" t="str">
        <f>IFERROR(IF([2]对账明细接口!$P808=0,"",[2]对账明细接口!$P808),"")</f>
        <v/>
      </c>
      <c r="V808" s="21" t="str">
        <f>IFERROR(IF([2]对账明细接口!$Q808=0,"",[2]对账明细接口!$Q808),"")</f>
        <v/>
      </c>
      <c r="W808" s="20" t="str">
        <f>IFERROR(IF([2]对账明细接口!$R808=0,"",[2]对账明细接口!$R808),"")</f>
        <v/>
      </c>
      <c r="X808" s="20" t="str">
        <f>IFERROR(IF([2]对账明细接口!$S808=0,"",[2]对账明细接口!$S808),"")</f>
        <v/>
      </c>
      <c r="Y808" s="20" t="str">
        <f t="shared" si="74"/>
        <v/>
      </c>
      <c r="Z808" s="20" t="str">
        <f t="shared" si="75"/>
        <v/>
      </c>
      <c r="AA808" s="20" t="str">
        <f t="shared" si="76"/>
        <v/>
      </c>
      <c r="AB808" s="20" t="str">
        <f t="shared" si="77"/>
        <v/>
      </c>
    </row>
    <row r="809" customHeight="1" spans="1:28">
      <c r="A809" s="14">
        <v>809</v>
      </c>
      <c r="B809" s="15" t="str">
        <f>IFERROR(IF([2]对账明细接口!$B$809=0,"",[2]对账明细接口!$B$809),"")</f>
        <v/>
      </c>
      <c r="C809" s="16" t="str">
        <f>IFERROR(IF([2]对账明细接口!$C$809=0,"",[2]对账明细接口!$C$809),"")</f>
        <v/>
      </c>
      <c r="D809" s="16" t="str">
        <f>IFERROR(IF([2]对账明细接口!$D$809=0,"",[2]对账明细接口!$D$809),"")</f>
        <v/>
      </c>
      <c r="E809" s="16" t="str">
        <f>IFERROR(IF([2]对账明细接口!$E$809=0,"",[2]对账明细接口!$E$809),"")</f>
        <v/>
      </c>
      <c r="F809" s="16" t="str">
        <f>IFERROR(IF([2]对账明细接口!$F$809=0,"",[2]对账明细接口!$F$809),"")</f>
        <v/>
      </c>
      <c r="G809" s="16" t="str">
        <f>IFERROR(IF([2]对账明细接口!$G$809=0,"",[2]对账明细接口!$G$809),"")</f>
        <v/>
      </c>
      <c r="H809" s="17" t="str">
        <f>IFERROR(IF([2]对账明细接口!$H$809=0,"",[2]对账明细接口!$H$809),"")</f>
        <v/>
      </c>
      <c r="I809" s="16" t="str">
        <f>IFERROR(IF([2]对账明细接口!$I$809=0,"",[2]对账明细接口!$I$809),"")</f>
        <v/>
      </c>
      <c r="J809" s="18" t="str">
        <f>IFERROR(IF([2]对账明细接口!$J$809=0,"",[2]对账明细接口!$J$809),"")</f>
        <v/>
      </c>
      <c r="K809" s="18" t="str">
        <f>IFERROR(IF([2]对账明细接口!$K$809=0,"",[2]对账明细接口!$K$809),"")</f>
        <v/>
      </c>
      <c r="L809" s="16" t="str">
        <f>IFERROR(IF([2]对账明细接口!$L$809=0,"",[2]对账明细接口!$L$809),"")</f>
        <v/>
      </c>
      <c r="M809" s="16" t="str">
        <f>IFERROR(IF([2]对账明细接口!$M$809=0,"",[2]对账明细接口!$M$809),"")</f>
        <v/>
      </c>
      <c r="N809" s="19">
        <f t="shared" si="72"/>
        <v>0</v>
      </c>
      <c r="O809" s="19">
        <f t="shared" si="73"/>
        <v>165</v>
      </c>
      <c r="S809" s="20" t="str">
        <f>IFERROR(IF([2]对账明细接口!$N809=0,"",[2]对账明细接口!$N809),"")</f>
        <v/>
      </c>
      <c r="T809" s="21" t="str">
        <f>IFERROR(IF([2]对账明细接口!$O809=0,"",[2]对账明细接口!$O809),"")</f>
        <v/>
      </c>
      <c r="U809" s="21" t="str">
        <f>IFERROR(IF([2]对账明细接口!$P809=0,"",[2]对账明细接口!$P809),"")</f>
        <v/>
      </c>
      <c r="V809" s="21" t="str">
        <f>IFERROR(IF([2]对账明细接口!$Q809=0,"",[2]对账明细接口!$Q809),"")</f>
        <v/>
      </c>
      <c r="W809" s="20" t="str">
        <f>IFERROR(IF([2]对账明细接口!$R809=0,"",[2]对账明细接口!$R809),"")</f>
        <v/>
      </c>
      <c r="X809" s="20" t="str">
        <f>IFERROR(IF([2]对账明细接口!$S809=0,"",[2]对账明细接口!$S809),"")</f>
        <v/>
      </c>
      <c r="Y809" s="20" t="str">
        <f t="shared" si="74"/>
        <v/>
      </c>
      <c r="Z809" s="20" t="str">
        <f t="shared" si="75"/>
        <v/>
      </c>
      <c r="AA809" s="20" t="str">
        <f t="shared" si="76"/>
        <v/>
      </c>
      <c r="AB809" s="20" t="str">
        <f t="shared" si="77"/>
        <v/>
      </c>
    </row>
    <row r="810" customHeight="1" spans="1:28">
      <c r="A810" s="14">
        <v>810</v>
      </c>
      <c r="B810" s="15" t="str">
        <f>IFERROR(IF([2]对账明细接口!$B$810=0,"",[2]对账明细接口!$B$810),"")</f>
        <v/>
      </c>
      <c r="C810" s="16" t="str">
        <f>IFERROR(IF([2]对账明细接口!$C$810=0,"",[2]对账明细接口!$C$810),"")</f>
        <v/>
      </c>
      <c r="D810" s="16" t="str">
        <f>IFERROR(IF([2]对账明细接口!$D$810=0,"",[2]对账明细接口!$D$810),"")</f>
        <v/>
      </c>
      <c r="E810" s="16" t="str">
        <f>IFERROR(IF([2]对账明细接口!$E$810=0,"",[2]对账明细接口!$E$810),"")</f>
        <v/>
      </c>
      <c r="F810" s="16" t="str">
        <f>IFERROR(IF([2]对账明细接口!$F$810=0,"",[2]对账明细接口!$F$810),"")</f>
        <v/>
      </c>
      <c r="G810" s="16" t="str">
        <f>IFERROR(IF([2]对账明细接口!$G$810=0,"",[2]对账明细接口!$G$810),"")</f>
        <v/>
      </c>
      <c r="H810" s="17" t="str">
        <f>IFERROR(IF([2]对账明细接口!$H$810=0,"",[2]对账明细接口!$H$810),"")</f>
        <v/>
      </c>
      <c r="I810" s="16" t="str">
        <f>IFERROR(IF([2]对账明细接口!$I$810=0,"",[2]对账明细接口!$I$810),"")</f>
        <v/>
      </c>
      <c r="J810" s="18" t="str">
        <f>IFERROR(IF([2]对账明细接口!$J$810=0,"",[2]对账明细接口!$J$810),"")</f>
        <v/>
      </c>
      <c r="K810" s="18" t="str">
        <f>IFERROR(IF([2]对账明细接口!$K$810=0,"",[2]对账明细接口!$K$810),"")</f>
        <v/>
      </c>
      <c r="L810" s="16" t="str">
        <f>IFERROR(IF([2]对账明细接口!$L$810=0,"",[2]对账明细接口!$L$810),"")</f>
        <v/>
      </c>
      <c r="M810" s="16" t="str">
        <f>IFERROR(IF([2]对账明细接口!$M$810=0,"",[2]对账明细接口!$M$810),"")</f>
        <v/>
      </c>
      <c r="N810" s="19">
        <f t="shared" si="72"/>
        <v>0</v>
      </c>
      <c r="O810" s="19">
        <f t="shared" si="73"/>
        <v>165</v>
      </c>
      <c r="S810" s="20" t="str">
        <f>IFERROR(IF([2]对账明细接口!$N810=0,"",[2]对账明细接口!$N810),"")</f>
        <v/>
      </c>
      <c r="T810" s="21" t="str">
        <f>IFERROR(IF([2]对账明细接口!$O810=0,"",[2]对账明细接口!$O810),"")</f>
        <v/>
      </c>
      <c r="U810" s="21" t="str">
        <f>IFERROR(IF([2]对账明细接口!$P810=0,"",[2]对账明细接口!$P810),"")</f>
        <v/>
      </c>
      <c r="V810" s="21" t="str">
        <f>IFERROR(IF([2]对账明细接口!$Q810=0,"",[2]对账明细接口!$Q810),"")</f>
        <v/>
      </c>
      <c r="W810" s="20" t="str">
        <f>IFERROR(IF([2]对账明细接口!$R810=0,"",[2]对账明细接口!$R810),"")</f>
        <v/>
      </c>
      <c r="X810" s="20" t="str">
        <f>IFERROR(IF([2]对账明细接口!$S810=0,"",[2]对账明细接口!$S810),"")</f>
        <v/>
      </c>
      <c r="Y810" s="20" t="str">
        <f t="shared" si="74"/>
        <v/>
      </c>
      <c r="Z810" s="20" t="str">
        <f t="shared" si="75"/>
        <v/>
      </c>
      <c r="AA810" s="20" t="str">
        <f t="shared" si="76"/>
        <v/>
      </c>
      <c r="AB810" s="20" t="str">
        <f t="shared" si="77"/>
        <v/>
      </c>
    </row>
    <row r="811" customHeight="1" spans="1:28">
      <c r="A811" s="14">
        <v>811</v>
      </c>
      <c r="B811" s="15" t="str">
        <f>IFERROR(IF([2]对账明细接口!$B$811=0,"",[2]对账明细接口!$B$811),"")</f>
        <v/>
      </c>
      <c r="C811" s="16" t="str">
        <f>IFERROR(IF([2]对账明细接口!$C$811=0,"",[2]对账明细接口!$C$811),"")</f>
        <v/>
      </c>
      <c r="D811" s="16" t="str">
        <f>IFERROR(IF([2]对账明细接口!$D$811=0,"",[2]对账明细接口!$D$811),"")</f>
        <v/>
      </c>
      <c r="E811" s="16" t="str">
        <f>IFERROR(IF([2]对账明细接口!$E$811=0,"",[2]对账明细接口!$E$811),"")</f>
        <v/>
      </c>
      <c r="F811" s="16" t="str">
        <f>IFERROR(IF([2]对账明细接口!$F$811=0,"",[2]对账明细接口!$F$811),"")</f>
        <v/>
      </c>
      <c r="G811" s="16" t="str">
        <f>IFERROR(IF([2]对账明细接口!$G$811=0,"",[2]对账明细接口!$G$811),"")</f>
        <v/>
      </c>
      <c r="H811" s="17" t="str">
        <f>IFERROR(IF([2]对账明细接口!$H$811=0,"",[2]对账明细接口!$H$811),"")</f>
        <v/>
      </c>
      <c r="I811" s="16" t="str">
        <f>IFERROR(IF([2]对账明细接口!$I$811=0,"",[2]对账明细接口!$I$811),"")</f>
        <v/>
      </c>
      <c r="J811" s="18" t="str">
        <f>IFERROR(IF([2]对账明细接口!$J$811=0,"",[2]对账明细接口!$J$811),"")</f>
        <v/>
      </c>
      <c r="K811" s="18" t="str">
        <f>IFERROR(IF([2]对账明细接口!$K$811=0,"",[2]对账明细接口!$K$811),"")</f>
        <v/>
      </c>
      <c r="L811" s="16" t="str">
        <f>IFERROR(IF([2]对账明细接口!$L$811=0,"",[2]对账明细接口!$L$811),"")</f>
        <v/>
      </c>
      <c r="M811" s="16" t="str">
        <f>IFERROR(IF([2]对账明细接口!$M$811=0,"",[2]对账明细接口!$M$811),"")</f>
        <v/>
      </c>
      <c r="N811" s="19">
        <f t="shared" si="72"/>
        <v>0</v>
      </c>
      <c r="O811" s="19">
        <f t="shared" si="73"/>
        <v>165</v>
      </c>
      <c r="S811" s="20" t="str">
        <f>IFERROR(IF([2]对账明细接口!$N811=0,"",[2]对账明细接口!$N811),"")</f>
        <v/>
      </c>
      <c r="T811" s="21" t="str">
        <f>IFERROR(IF([2]对账明细接口!$O811=0,"",[2]对账明细接口!$O811),"")</f>
        <v/>
      </c>
      <c r="U811" s="21" t="str">
        <f>IFERROR(IF([2]对账明细接口!$P811=0,"",[2]对账明细接口!$P811),"")</f>
        <v/>
      </c>
      <c r="V811" s="21" t="str">
        <f>IFERROR(IF([2]对账明细接口!$Q811=0,"",[2]对账明细接口!$Q811),"")</f>
        <v/>
      </c>
      <c r="W811" s="20" t="str">
        <f>IFERROR(IF([2]对账明细接口!$R811=0,"",[2]对账明细接口!$R811),"")</f>
        <v/>
      </c>
      <c r="X811" s="20" t="str">
        <f>IFERROR(IF([2]对账明细接口!$S811=0,"",[2]对账明细接口!$S811),"")</f>
        <v/>
      </c>
      <c r="Y811" s="20" t="str">
        <f t="shared" si="74"/>
        <v/>
      </c>
      <c r="Z811" s="20" t="str">
        <f t="shared" si="75"/>
        <v/>
      </c>
      <c r="AA811" s="20" t="str">
        <f t="shared" si="76"/>
        <v/>
      </c>
      <c r="AB811" s="20" t="str">
        <f t="shared" si="77"/>
        <v/>
      </c>
    </row>
    <row r="812" customHeight="1" spans="1:28">
      <c r="A812" s="14">
        <v>812</v>
      </c>
      <c r="B812" s="15" t="str">
        <f>IFERROR(IF([2]对账明细接口!$B$812=0,"",[2]对账明细接口!$B$812),"")</f>
        <v/>
      </c>
      <c r="C812" s="16" t="str">
        <f>IFERROR(IF([2]对账明细接口!$C$812=0,"",[2]对账明细接口!$C$812),"")</f>
        <v/>
      </c>
      <c r="D812" s="16" t="str">
        <f>IFERROR(IF([2]对账明细接口!$D$812=0,"",[2]对账明细接口!$D$812),"")</f>
        <v/>
      </c>
      <c r="E812" s="16" t="str">
        <f>IFERROR(IF([2]对账明细接口!$E$812=0,"",[2]对账明细接口!$E$812),"")</f>
        <v/>
      </c>
      <c r="F812" s="16" t="str">
        <f>IFERROR(IF([2]对账明细接口!$F$812=0,"",[2]对账明细接口!$F$812),"")</f>
        <v/>
      </c>
      <c r="G812" s="16" t="str">
        <f>IFERROR(IF([2]对账明细接口!$G$812=0,"",[2]对账明细接口!$G$812),"")</f>
        <v/>
      </c>
      <c r="H812" s="17" t="str">
        <f>IFERROR(IF([2]对账明细接口!$H$812=0,"",[2]对账明细接口!$H$812),"")</f>
        <v/>
      </c>
      <c r="I812" s="16" t="str">
        <f>IFERROR(IF([2]对账明细接口!$I$812=0,"",[2]对账明细接口!$I$812),"")</f>
        <v/>
      </c>
      <c r="J812" s="18" t="str">
        <f>IFERROR(IF([2]对账明细接口!$J$812=0,"",[2]对账明细接口!$J$812),"")</f>
        <v/>
      </c>
      <c r="K812" s="18" t="str">
        <f>IFERROR(IF([2]对账明细接口!$K$812=0,"",[2]对账明细接口!$K$812),"")</f>
        <v/>
      </c>
      <c r="L812" s="16" t="str">
        <f>IFERROR(IF([2]对账明细接口!$L$812=0,"",[2]对账明细接口!$L$812),"")</f>
        <v/>
      </c>
      <c r="M812" s="16" t="str">
        <f>IFERROR(IF([2]对账明细接口!$M$812=0,"",[2]对账明细接口!$M$812),"")</f>
        <v/>
      </c>
      <c r="N812" s="19">
        <f t="shared" si="72"/>
        <v>0</v>
      </c>
      <c r="O812" s="19">
        <f t="shared" si="73"/>
        <v>165</v>
      </c>
      <c r="S812" s="20" t="str">
        <f>IFERROR(IF([2]对账明细接口!$N812=0,"",[2]对账明细接口!$N812),"")</f>
        <v/>
      </c>
      <c r="T812" s="21" t="str">
        <f>IFERROR(IF([2]对账明细接口!$O812=0,"",[2]对账明细接口!$O812),"")</f>
        <v/>
      </c>
      <c r="U812" s="21" t="str">
        <f>IFERROR(IF([2]对账明细接口!$P812=0,"",[2]对账明细接口!$P812),"")</f>
        <v/>
      </c>
      <c r="V812" s="21" t="str">
        <f>IFERROR(IF([2]对账明细接口!$Q812=0,"",[2]对账明细接口!$Q812),"")</f>
        <v/>
      </c>
      <c r="W812" s="20" t="str">
        <f>IFERROR(IF([2]对账明细接口!$R812=0,"",[2]对账明细接口!$R812),"")</f>
        <v/>
      </c>
      <c r="X812" s="20" t="str">
        <f>IFERROR(IF([2]对账明细接口!$S812=0,"",[2]对账明细接口!$S812),"")</f>
        <v/>
      </c>
      <c r="Y812" s="20" t="str">
        <f t="shared" si="74"/>
        <v/>
      </c>
      <c r="Z812" s="20" t="str">
        <f t="shared" si="75"/>
        <v/>
      </c>
      <c r="AA812" s="20" t="str">
        <f t="shared" si="76"/>
        <v/>
      </c>
      <c r="AB812" s="20" t="str">
        <f t="shared" si="77"/>
        <v/>
      </c>
    </row>
    <row r="813" customHeight="1" spans="1:28">
      <c r="A813" s="14">
        <v>813</v>
      </c>
      <c r="B813" s="15" t="str">
        <f>IFERROR(IF([2]对账明细接口!$B$813=0,"",[2]对账明细接口!$B$813),"")</f>
        <v/>
      </c>
      <c r="C813" s="16" t="str">
        <f>IFERROR(IF([2]对账明细接口!$C$813=0,"",[2]对账明细接口!$C$813),"")</f>
        <v/>
      </c>
      <c r="D813" s="16" t="str">
        <f>IFERROR(IF([2]对账明细接口!$D$813=0,"",[2]对账明细接口!$D$813),"")</f>
        <v/>
      </c>
      <c r="E813" s="16" t="str">
        <f>IFERROR(IF([2]对账明细接口!$E$813=0,"",[2]对账明细接口!$E$813),"")</f>
        <v/>
      </c>
      <c r="F813" s="16" t="str">
        <f>IFERROR(IF([2]对账明细接口!$F$813=0,"",[2]对账明细接口!$F$813),"")</f>
        <v/>
      </c>
      <c r="G813" s="16" t="str">
        <f>IFERROR(IF([2]对账明细接口!$G$813=0,"",[2]对账明细接口!$G$813),"")</f>
        <v/>
      </c>
      <c r="H813" s="17" t="str">
        <f>IFERROR(IF([2]对账明细接口!$H$813=0,"",[2]对账明细接口!$H$813),"")</f>
        <v/>
      </c>
      <c r="I813" s="16" t="str">
        <f>IFERROR(IF([2]对账明细接口!$I$813=0,"",[2]对账明细接口!$I$813),"")</f>
        <v/>
      </c>
      <c r="J813" s="18" t="str">
        <f>IFERROR(IF([2]对账明细接口!$J$813=0,"",[2]对账明细接口!$J$813),"")</f>
        <v/>
      </c>
      <c r="K813" s="18" t="str">
        <f>IFERROR(IF([2]对账明细接口!$K$813=0,"",[2]对账明细接口!$K$813),"")</f>
        <v/>
      </c>
      <c r="L813" s="16" t="str">
        <f>IFERROR(IF([2]对账明细接口!$L$813=0,"",[2]对账明细接口!$L$813),"")</f>
        <v/>
      </c>
      <c r="M813" s="16" t="str">
        <f>IFERROR(IF([2]对账明细接口!$M$813=0,"",[2]对账明细接口!$M$813),"")</f>
        <v/>
      </c>
      <c r="N813" s="19">
        <f t="shared" si="72"/>
        <v>0</v>
      </c>
      <c r="O813" s="19">
        <f t="shared" si="73"/>
        <v>165</v>
      </c>
      <c r="S813" s="20" t="str">
        <f>IFERROR(IF([2]对账明细接口!$N813=0,"",[2]对账明细接口!$N813),"")</f>
        <v/>
      </c>
      <c r="T813" s="21" t="str">
        <f>IFERROR(IF([2]对账明细接口!$O813=0,"",[2]对账明细接口!$O813),"")</f>
        <v/>
      </c>
      <c r="U813" s="21" t="str">
        <f>IFERROR(IF([2]对账明细接口!$P813=0,"",[2]对账明细接口!$P813),"")</f>
        <v/>
      </c>
      <c r="V813" s="21" t="str">
        <f>IFERROR(IF([2]对账明细接口!$Q813=0,"",[2]对账明细接口!$Q813),"")</f>
        <v/>
      </c>
      <c r="W813" s="20" t="str">
        <f>IFERROR(IF([2]对账明细接口!$R813=0,"",[2]对账明细接口!$R813),"")</f>
        <v/>
      </c>
      <c r="X813" s="20" t="str">
        <f>IFERROR(IF([2]对账明细接口!$S813=0,"",[2]对账明细接口!$S813),"")</f>
        <v/>
      </c>
      <c r="Y813" s="20" t="str">
        <f t="shared" si="74"/>
        <v/>
      </c>
      <c r="Z813" s="20" t="str">
        <f t="shared" si="75"/>
        <v/>
      </c>
      <c r="AA813" s="20" t="str">
        <f t="shared" si="76"/>
        <v/>
      </c>
      <c r="AB813" s="20" t="str">
        <f t="shared" si="77"/>
        <v/>
      </c>
    </row>
    <row r="814" customHeight="1" spans="1:28">
      <c r="A814" s="14">
        <v>814</v>
      </c>
      <c r="B814" s="15" t="str">
        <f>IFERROR(IF([2]对账明细接口!$B$814=0,"",[2]对账明细接口!$B$814),"")</f>
        <v/>
      </c>
      <c r="C814" s="16" t="str">
        <f>IFERROR(IF([2]对账明细接口!$C$814=0,"",[2]对账明细接口!$C$814),"")</f>
        <v/>
      </c>
      <c r="D814" s="16" t="str">
        <f>IFERROR(IF([2]对账明细接口!$D$814=0,"",[2]对账明细接口!$D$814),"")</f>
        <v/>
      </c>
      <c r="E814" s="16" t="str">
        <f>IFERROR(IF([2]对账明细接口!$E$814=0,"",[2]对账明细接口!$E$814),"")</f>
        <v/>
      </c>
      <c r="F814" s="16" t="str">
        <f>IFERROR(IF([2]对账明细接口!$F$814=0,"",[2]对账明细接口!$F$814),"")</f>
        <v/>
      </c>
      <c r="G814" s="16" t="str">
        <f>IFERROR(IF([2]对账明细接口!$G$814=0,"",[2]对账明细接口!$G$814),"")</f>
        <v/>
      </c>
      <c r="H814" s="17" t="str">
        <f>IFERROR(IF([2]对账明细接口!$H$814=0,"",[2]对账明细接口!$H$814),"")</f>
        <v/>
      </c>
      <c r="I814" s="16" t="str">
        <f>IFERROR(IF([2]对账明细接口!$I$814=0,"",[2]对账明细接口!$I$814),"")</f>
        <v/>
      </c>
      <c r="J814" s="18" t="str">
        <f>IFERROR(IF([2]对账明细接口!$J$814=0,"",[2]对账明细接口!$J$814),"")</f>
        <v/>
      </c>
      <c r="K814" s="18" t="str">
        <f>IFERROR(IF([2]对账明细接口!$K$814=0,"",[2]对账明细接口!$K$814),"")</f>
        <v/>
      </c>
      <c r="L814" s="16" t="str">
        <f>IFERROR(IF([2]对账明细接口!$L$814=0,"",[2]对账明细接口!$L$814),"")</f>
        <v/>
      </c>
      <c r="M814" s="16" t="str">
        <f>IFERROR(IF([2]对账明细接口!$M$814=0,"",[2]对账明细接口!$M$814),"")</f>
        <v/>
      </c>
      <c r="N814" s="19">
        <f t="shared" si="72"/>
        <v>0</v>
      </c>
      <c r="O814" s="19">
        <f t="shared" si="73"/>
        <v>165</v>
      </c>
      <c r="S814" s="20" t="str">
        <f>IFERROR(IF([2]对账明细接口!$N814=0,"",[2]对账明细接口!$N814),"")</f>
        <v/>
      </c>
      <c r="T814" s="21" t="str">
        <f>IFERROR(IF([2]对账明细接口!$O814=0,"",[2]对账明细接口!$O814),"")</f>
        <v/>
      </c>
      <c r="U814" s="21" t="str">
        <f>IFERROR(IF([2]对账明细接口!$P814=0,"",[2]对账明细接口!$P814),"")</f>
        <v/>
      </c>
      <c r="V814" s="21" t="str">
        <f>IFERROR(IF([2]对账明细接口!$Q814=0,"",[2]对账明细接口!$Q814),"")</f>
        <v/>
      </c>
      <c r="W814" s="20" t="str">
        <f>IFERROR(IF([2]对账明细接口!$R814=0,"",[2]对账明细接口!$R814),"")</f>
        <v/>
      </c>
      <c r="X814" s="20" t="str">
        <f>IFERROR(IF([2]对账明细接口!$S814=0,"",[2]对账明细接口!$S814),"")</f>
        <v/>
      </c>
      <c r="Y814" s="20" t="str">
        <f t="shared" si="74"/>
        <v/>
      </c>
      <c r="Z814" s="20" t="str">
        <f t="shared" si="75"/>
        <v/>
      </c>
      <c r="AA814" s="20" t="str">
        <f t="shared" si="76"/>
        <v/>
      </c>
      <c r="AB814" s="20" t="str">
        <f t="shared" si="77"/>
        <v/>
      </c>
    </row>
    <row r="815" customHeight="1" spans="1:28">
      <c r="A815" s="14">
        <v>815</v>
      </c>
      <c r="B815" s="15" t="str">
        <f>IFERROR(IF([2]对账明细接口!$B$815=0,"",[2]对账明细接口!$B$815),"")</f>
        <v/>
      </c>
      <c r="C815" s="16" t="str">
        <f>IFERROR(IF([2]对账明细接口!$C$815=0,"",[2]对账明细接口!$C$815),"")</f>
        <v/>
      </c>
      <c r="D815" s="16" t="str">
        <f>IFERROR(IF([2]对账明细接口!$D$815=0,"",[2]对账明细接口!$D$815),"")</f>
        <v/>
      </c>
      <c r="E815" s="16" t="str">
        <f>IFERROR(IF([2]对账明细接口!$E$815=0,"",[2]对账明细接口!$E$815),"")</f>
        <v/>
      </c>
      <c r="F815" s="16" t="str">
        <f>IFERROR(IF([2]对账明细接口!$F$815=0,"",[2]对账明细接口!$F$815),"")</f>
        <v/>
      </c>
      <c r="G815" s="16" t="str">
        <f>IFERROR(IF([2]对账明细接口!$G$815=0,"",[2]对账明细接口!$G$815),"")</f>
        <v/>
      </c>
      <c r="H815" s="17" t="str">
        <f>IFERROR(IF([2]对账明细接口!$H$815=0,"",[2]对账明细接口!$H$815),"")</f>
        <v/>
      </c>
      <c r="I815" s="16" t="str">
        <f>IFERROR(IF([2]对账明细接口!$I$815=0,"",[2]对账明细接口!$I$815),"")</f>
        <v/>
      </c>
      <c r="J815" s="18" t="str">
        <f>IFERROR(IF([2]对账明细接口!$J$815=0,"",[2]对账明细接口!$J$815),"")</f>
        <v/>
      </c>
      <c r="K815" s="18" t="str">
        <f>IFERROR(IF([2]对账明细接口!$K$815=0,"",[2]对账明细接口!$K$815),"")</f>
        <v/>
      </c>
      <c r="L815" s="16" t="str">
        <f>IFERROR(IF([2]对账明细接口!$L$815=0,"",[2]对账明细接口!$L$815),"")</f>
        <v/>
      </c>
      <c r="M815" s="16" t="str">
        <f>IFERROR(IF([2]对账明细接口!$M$815=0,"",[2]对账明细接口!$M$815),"")</f>
        <v/>
      </c>
      <c r="N815" s="19">
        <f t="shared" si="72"/>
        <v>0</v>
      </c>
      <c r="O815" s="19">
        <f t="shared" si="73"/>
        <v>165</v>
      </c>
      <c r="S815" s="20" t="str">
        <f>IFERROR(IF([2]对账明细接口!$N815=0,"",[2]对账明细接口!$N815),"")</f>
        <v/>
      </c>
      <c r="T815" s="21" t="str">
        <f>IFERROR(IF([2]对账明细接口!$O815=0,"",[2]对账明细接口!$O815),"")</f>
        <v/>
      </c>
      <c r="U815" s="21" t="str">
        <f>IFERROR(IF([2]对账明细接口!$P815=0,"",[2]对账明细接口!$P815),"")</f>
        <v/>
      </c>
      <c r="V815" s="21" t="str">
        <f>IFERROR(IF([2]对账明细接口!$Q815=0,"",[2]对账明细接口!$Q815),"")</f>
        <v/>
      </c>
      <c r="W815" s="20" t="str">
        <f>IFERROR(IF([2]对账明细接口!$R815=0,"",[2]对账明细接口!$R815),"")</f>
        <v/>
      </c>
      <c r="X815" s="20" t="str">
        <f>IFERROR(IF([2]对账明细接口!$S815=0,"",[2]对账明细接口!$S815),"")</f>
        <v/>
      </c>
      <c r="Y815" s="20" t="str">
        <f t="shared" si="74"/>
        <v/>
      </c>
      <c r="Z815" s="20" t="str">
        <f t="shared" si="75"/>
        <v/>
      </c>
      <c r="AA815" s="20" t="str">
        <f t="shared" si="76"/>
        <v/>
      </c>
      <c r="AB815" s="20" t="str">
        <f t="shared" si="77"/>
        <v/>
      </c>
    </row>
    <row r="816" customHeight="1" spans="1:28">
      <c r="A816" s="14">
        <v>816</v>
      </c>
      <c r="B816" s="15" t="str">
        <f>IFERROR(IF([2]对账明细接口!$B$816=0,"",[2]对账明细接口!$B$816),"")</f>
        <v/>
      </c>
      <c r="C816" s="16" t="str">
        <f>IFERROR(IF([2]对账明细接口!$C$816=0,"",[2]对账明细接口!$C$816),"")</f>
        <v/>
      </c>
      <c r="D816" s="16" t="str">
        <f>IFERROR(IF([2]对账明细接口!$D$816=0,"",[2]对账明细接口!$D$816),"")</f>
        <v/>
      </c>
      <c r="E816" s="16" t="str">
        <f>IFERROR(IF([2]对账明细接口!$E$816=0,"",[2]对账明细接口!$E$816),"")</f>
        <v/>
      </c>
      <c r="F816" s="16" t="str">
        <f>IFERROR(IF([2]对账明细接口!$F$816=0,"",[2]对账明细接口!$F$816),"")</f>
        <v/>
      </c>
      <c r="G816" s="16" t="str">
        <f>IFERROR(IF([2]对账明细接口!$G$816=0,"",[2]对账明细接口!$G$816),"")</f>
        <v/>
      </c>
      <c r="H816" s="17" t="str">
        <f>IFERROR(IF([2]对账明细接口!$H$816=0,"",[2]对账明细接口!$H$816),"")</f>
        <v/>
      </c>
      <c r="I816" s="16" t="str">
        <f>IFERROR(IF([2]对账明细接口!$I$816=0,"",[2]对账明细接口!$I$816),"")</f>
        <v/>
      </c>
      <c r="J816" s="18" t="str">
        <f>IFERROR(IF([2]对账明细接口!$J$816=0,"",[2]对账明细接口!$J$816),"")</f>
        <v/>
      </c>
      <c r="K816" s="18" t="str">
        <f>IFERROR(IF([2]对账明细接口!$K$816=0,"",[2]对账明细接口!$K$816),"")</f>
        <v/>
      </c>
      <c r="L816" s="16" t="str">
        <f>IFERROR(IF([2]对账明细接口!$L$816=0,"",[2]对账明细接口!$L$816),"")</f>
        <v/>
      </c>
      <c r="M816" s="16" t="str">
        <f>IFERROR(IF([2]对账明细接口!$M$816=0,"",[2]对账明细接口!$M$816),"")</f>
        <v/>
      </c>
      <c r="N816" s="19">
        <f t="shared" si="72"/>
        <v>0</v>
      </c>
      <c r="O816" s="19">
        <f t="shared" si="73"/>
        <v>165</v>
      </c>
      <c r="S816" s="20" t="str">
        <f>IFERROR(IF([2]对账明细接口!$N816=0,"",[2]对账明细接口!$N816),"")</f>
        <v/>
      </c>
      <c r="T816" s="21" t="str">
        <f>IFERROR(IF([2]对账明细接口!$O816=0,"",[2]对账明细接口!$O816),"")</f>
        <v/>
      </c>
      <c r="U816" s="21" t="str">
        <f>IFERROR(IF([2]对账明细接口!$P816=0,"",[2]对账明细接口!$P816),"")</f>
        <v/>
      </c>
      <c r="V816" s="21" t="str">
        <f>IFERROR(IF([2]对账明细接口!$Q816=0,"",[2]对账明细接口!$Q816),"")</f>
        <v/>
      </c>
      <c r="W816" s="20" t="str">
        <f>IFERROR(IF([2]对账明细接口!$R816=0,"",[2]对账明细接口!$R816),"")</f>
        <v/>
      </c>
      <c r="X816" s="20" t="str">
        <f>IFERROR(IF([2]对账明细接口!$S816=0,"",[2]对账明细接口!$S816),"")</f>
        <v/>
      </c>
      <c r="Y816" s="20" t="str">
        <f t="shared" si="74"/>
        <v/>
      </c>
      <c r="Z816" s="20" t="str">
        <f t="shared" si="75"/>
        <v/>
      </c>
      <c r="AA816" s="20" t="str">
        <f t="shared" si="76"/>
        <v/>
      </c>
      <c r="AB816" s="20" t="str">
        <f t="shared" si="77"/>
        <v/>
      </c>
    </row>
    <row r="817" customHeight="1" spans="1:28">
      <c r="A817" s="14">
        <v>817</v>
      </c>
      <c r="B817" s="15" t="str">
        <f>IFERROR(IF([2]对账明细接口!$B$817=0,"",[2]对账明细接口!$B$817),"")</f>
        <v/>
      </c>
      <c r="C817" s="16" t="str">
        <f>IFERROR(IF([2]对账明细接口!$C$817=0,"",[2]对账明细接口!$C$817),"")</f>
        <v/>
      </c>
      <c r="D817" s="16" t="str">
        <f>IFERROR(IF([2]对账明细接口!$D$817=0,"",[2]对账明细接口!$D$817),"")</f>
        <v/>
      </c>
      <c r="E817" s="16" t="str">
        <f>IFERROR(IF([2]对账明细接口!$E$817=0,"",[2]对账明细接口!$E$817),"")</f>
        <v/>
      </c>
      <c r="F817" s="16" t="str">
        <f>IFERROR(IF([2]对账明细接口!$F$817=0,"",[2]对账明细接口!$F$817),"")</f>
        <v/>
      </c>
      <c r="G817" s="16" t="str">
        <f>IFERROR(IF([2]对账明细接口!$G$817=0,"",[2]对账明细接口!$G$817),"")</f>
        <v/>
      </c>
      <c r="H817" s="17" t="str">
        <f>IFERROR(IF([2]对账明细接口!$H$817=0,"",[2]对账明细接口!$H$817),"")</f>
        <v/>
      </c>
      <c r="I817" s="16" t="str">
        <f>IFERROR(IF([2]对账明细接口!$I$817=0,"",[2]对账明细接口!$I$817),"")</f>
        <v/>
      </c>
      <c r="J817" s="18" t="str">
        <f>IFERROR(IF([2]对账明细接口!$J$817=0,"",[2]对账明细接口!$J$817),"")</f>
        <v/>
      </c>
      <c r="K817" s="18" t="str">
        <f>IFERROR(IF([2]对账明细接口!$K$817=0,"",[2]对账明细接口!$K$817),"")</f>
        <v/>
      </c>
      <c r="L817" s="16" t="str">
        <f>IFERROR(IF([2]对账明细接口!$L$817=0,"",[2]对账明细接口!$L$817),"")</f>
        <v/>
      </c>
      <c r="M817" s="16" t="str">
        <f>IFERROR(IF([2]对账明细接口!$M$817=0,"",[2]对账明细接口!$M$817),"")</f>
        <v/>
      </c>
      <c r="N817" s="19">
        <f t="shared" si="72"/>
        <v>0</v>
      </c>
      <c r="O817" s="19">
        <f t="shared" si="73"/>
        <v>165</v>
      </c>
      <c r="S817" s="20" t="str">
        <f>IFERROR(IF([2]对账明细接口!$N817=0,"",[2]对账明细接口!$N817),"")</f>
        <v/>
      </c>
      <c r="T817" s="21" t="str">
        <f>IFERROR(IF([2]对账明细接口!$O817=0,"",[2]对账明细接口!$O817),"")</f>
        <v/>
      </c>
      <c r="U817" s="21" t="str">
        <f>IFERROR(IF([2]对账明细接口!$P817=0,"",[2]对账明细接口!$P817),"")</f>
        <v/>
      </c>
      <c r="V817" s="21" t="str">
        <f>IFERROR(IF([2]对账明细接口!$Q817=0,"",[2]对账明细接口!$Q817),"")</f>
        <v/>
      </c>
      <c r="W817" s="20" t="str">
        <f>IFERROR(IF([2]对账明细接口!$R817=0,"",[2]对账明细接口!$R817),"")</f>
        <v/>
      </c>
      <c r="X817" s="20" t="str">
        <f>IFERROR(IF([2]对账明细接口!$S817=0,"",[2]对账明细接口!$S817),"")</f>
        <v/>
      </c>
      <c r="Y817" s="20" t="str">
        <f t="shared" si="74"/>
        <v/>
      </c>
      <c r="Z817" s="20" t="str">
        <f t="shared" si="75"/>
        <v/>
      </c>
      <c r="AA817" s="20" t="str">
        <f t="shared" si="76"/>
        <v/>
      </c>
      <c r="AB817" s="20" t="str">
        <f t="shared" si="77"/>
        <v/>
      </c>
    </row>
    <row r="818" customHeight="1" spans="1:28">
      <c r="A818" s="14">
        <v>818</v>
      </c>
      <c r="B818" s="15" t="str">
        <f>IFERROR(IF([2]对账明细接口!$B$818=0,"",[2]对账明细接口!$B$818),"")</f>
        <v/>
      </c>
      <c r="C818" s="16" t="str">
        <f>IFERROR(IF([2]对账明细接口!$C$818=0,"",[2]对账明细接口!$C$818),"")</f>
        <v/>
      </c>
      <c r="D818" s="16" t="str">
        <f>IFERROR(IF([2]对账明细接口!$D$818=0,"",[2]对账明细接口!$D$818),"")</f>
        <v/>
      </c>
      <c r="E818" s="16" t="str">
        <f>IFERROR(IF([2]对账明细接口!$E$818=0,"",[2]对账明细接口!$E$818),"")</f>
        <v/>
      </c>
      <c r="F818" s="16" t="str">
        <f>IFERROR(IF([2]对账明细接口!$F$818=0,"",[2]对账明细接口!$F$818),"")</f>
        <v/>
      </c>
      <c r="G818" s="16" t="str">
        <f>IFERROR(IF([2]对账明细接口!$G$818=0,"",[2]对账明细接口!$G$818),"")</f>
        <v/>
      </c>
      <c r="H818" s="17" t="str">
        <f>IFERROR(IF([2]对账明细接口!$H$818=0,"",[2]对账明细接口!$H$818),"")</f>
        <v/>
      </c>
      <c r="I818" s="16" t="str">
        <f>IFERROR(IF([2]对账明细接口!$I$818=0,"",[2]对账明细接口!$I$818),"")</f>
        <v/>
      </c>
      <c r="J818" s="18" t="str">
        <f>IFERROR(IF([2]对账明细接口!$J$818=0,"",[2]对账明细接口!$J$818),"")</f>
        <v/>
      </c>
      <c r="K818" s="18" t="str">
        <f>IFERROR(IF([2]对账明细接口!$K$818=0,"",[2]对账明细接口!$K$818),"")</f>
        <v/>
      </c>
      <c r="L818" s="16" t="str">
        <f>IFERROR(IF([2]对账明细接口!$L$818=0,"",[2]对账明细接口!$L$818),"")</f>
        <v/>
      </c>
      <c r="M818" s="16" t="str">
        <f>IFERROR(IF([2]对账明细接口!$M$818=0,"",[2]对账明细接口!$M$818),"")</f>
        <v/>
      </c>
      <c r="N818" s="19">
        <f t="shared" si="72"/>
        <v>0</v>
      </c>
      <c r="O818" s="19">
        <f t="shared" si="73"/>
        <v>165</v>
      </c>
      <c r="S818" s="20" t="str">
        <f>IFERROR(IF([2]对账明细接口!$N818=0,"",[2]对账明细接口!$N818),"")</f>
        <v/>
      </c>
      <c r="T818" s="21" t="str">
        <f>IFERROR(IF([2]对账明细接口!$O818=0,"",[2]对账明细接口!$O818),"")</f>
        <v/>
      </c>
      <c r="U818" s="21" t="str">
        <f>IFERROR(IF([2]对账明细接口!$P818=0,"",[2]对账明细接口!$P818),"")</f>
        <v/>
      </c>
      <c r="V818" s="21" t="str">
        <f>IFERROR(IF([2]对账明细接口!$Q818=0,"",[2]对账明细接口!$Q818),"")</f>
        <v/>
      </c>
      <c r="W818" s="20" t="str">
        <f>IFERROR(IF([2]对账明细接口!$R818=0,"",[2]对账明细接口!$R818),"")</f>
        <v/>
      </c>
      <c r="X818" s="20" t="str">
        <f>IFERROR(IF([2]对账明细接口!$S818=0,"",[2]对账明细接口!$S818),"")</f>
        <v/>
      </c>
      <c r="Y818" s="20" t="str">
        <f t="shared" si="74"/>
        <v/>
      </c>
      <c r="Z818" s="20" t="str">
        <f t="shared" si="75"/>
        <v/>
      </c>
      <c r="AA818" s="20" t="str">
        <f t="shared" si="76"/>
        <v/>
      </c>
      <c r="AB818" s="20" t="str">
        <f t="shared" si="77"/>
        <v/>
      </c>
    </row>
    <row r="819" customHeight="1" spans="1:28">
      <c r="A819" s="14">
        <v>819</v>
      </c>
      <c r="B819" s="15" t="str">
        <f>IFERROR(IF([2]对账明细接口!$B$819=0,"",[2]对账明细接口!$B$819),"")</f>
        <v/>
      </c>
      <c r="C819" s="16" t="str">
        <f>IFERROR(IF([2]对账明细接口!$C$819=0,"",[2]对账明细接口!$C$819),"")</f>
        <v/>
      </c>
      <c r="D819" s="16" t="str">
        <f>IFERROR(IF([2]对账明细接口!$D$819=0,"",[2]对账明细接口!$D$819),"")</f>
        <v/>
      </c>
      <c r="E819" s="16" t="str">
        <f>IFERROR(IF([2]对账明细接口!$E$819=0,"",[2]对账明细接口!$E$819),"")</f>
        <v/>
      </c>
      <c r="F819" s="16" t="str">
        <f>IFERROR(IF([2]对账明细接口!$F$819=0,"",[2]对账明细接口!$F$819),"")</f>
        <v/>
      </c>
      <c r="G819" s="16" t="str">
        <f>IFERROR(IF([2]对账明细接口!$G$819=0,"",[2]对账明细接口!$G$819),"")</f>
        <v/>
      </c>
      <c r="H819" s="17" t="str">
        <f>IFERROR(IF([2]对账明细接口!$H$819=0,"",[2]对账明细接口!$H$819),"")</f>
        <v/>
      </c>
      <c r="I819" s="16" t="str">
        <f>IFERROR(IF([2]对账明细接口!$I$819=0,"",[2]对账明细接口!$I$819),"")</f>
        <v/>
      </c>
      <c r="J819" s="18" t="str">
        <f>IFERROR(IF([2]对账明细接口!$J$819=0,"",[2]对账明细接口!$J$819),"")</f>
        <v/>
      </c>
      <c r="K819" s="18" t="str">
        <f>IFERROR(IF([2]对账明细接口!$K$819=0,"",[2]对账明细接口!$K$819),"")</f>
        <v/>
      </c>
      <c r="L819" s="16" t="str">
        <f>IFERROR(IF([2]对账明细接口!$L$819=0,"",[2]对账明细接口!$L$819),"")</f>
        <v/>
      </c>
      <c r="M819" s="16" t="str">
        <f>IFERROR(IF([2]对账明细接口!$M$819=0,"",[2]对账明细接口!$M$819),"")</f>
        <v/>
      </c>
      <c r="N819" s="19">
        <f t="shared" si="72"/>
        <v>0</v>
      </c>
      <c r="O819" s="19">
        <f t="shared" si="73"/>
        <v>165</v>
      </c>
      <c r="S819" s="20" t="str">
        <f>IFERROR(IF([2]对账明细接口!$N819=0,"",[2]对账明细接口!$N819),"")</f>
        <v/>
      </c>
      <c r="T819" s="21" t="str">
        <f>IFERROR(IF([2]对账明细接口!$O819=0,"",[2]对账明细接口!$O819),"")</f>
        <v/>
      </c>
      <c r="U819" s="21" t="str">
        <f>IFERROR(IF([2]对账明细接口!$P819=0,"",[2]对账明细接口!$P819),"")</f>
        <v/>
      </c>
      <c r="V819" s="21" t="str">
        <f>IFERROR(IF([2]对账明细接口!$Q819=0,"",[2]对账明细接口!$Q819),"")</f>
        <v/>
      </c>
      <c r="W819" s="20" t="str">
        <f>IFERROR(IF([2]对账明细接口!$R819=0,"",[2]对账明细接口!$R819),"")</f>
        <v/>
      </c>
      <c r="X819" s="20" t="str">
        <f>IFERROR(IF([2]对账明细接口!$S819=0,"",[2]对账明细接口!$S819),"")</f>
        <v/>
      </c>
      <c r="Y819" s="20" t="str">
        <f t="shared" si="74"/>
        <v/>
      </c>
      <c r="Z819" s="20" t="str">
        <f t="shared" si="75"/>
        <v/>
      </c>
      <c r="AA819" s="20" t="str">
        <f t="shared" si="76"/>
        <v/>
      </c>
      <c r="AB819" s="20" t="str">
        <f t="shared" si="77"/>
        <v/>
      </c>
    </row>
    <row r="820" customHeight="1" spans="1:28">
      <c r="A820" s="14">
        <v>820</v>
      </c>
      <c r="B820" s="15" t="str">
        <f>IFERROR(IF([2]对账明细接口!$B$820=0,"",[2]对账明细接口!$B$820),"")</f>
        <v/>
      </c>
      <c r="C820" s="16" t="str">
        <f>IFERROR(IF([2]对账明细接口!$C$820=0,"",[2]对账明细接口!$C$820),"")</f>
        <v/>
      </c>
      <c r="D820" s="16" t="str">
        <f>IFERROR(IF([2]对账明细接口!$D$820=0,"",[2]对账明细接口!$D$820),"")</f>
        <v/>
      </c>
      <c r="E820" s="16" t="str">
        <f>IFERROR(IF([2]对账明细接口!$E$820=0,"",[2]对账明细接口!$E$820),"")</f>
        <v/>
      </c>
      <c r="F820" s="16" t="str">
        <f>IFERROR(IF([2]对账明细接口!$F$820=0,"",[2]对账明细接口!$F$820),"")</f>
        <v/>
      </c>
      <c r="G820" s="16" t="str">
        <f>IFERROR(IF([2]对账明细接口!$G$820=0,"",[2]对账明细接口!$G$820),"")</f>
        <v/>
      </c>
      <c r="H820" s="17" t="str">
        <f>IFERROR(IF([2]对账明细接口!$H$820=0,"",[2]对账明细接口!$H$820),"")</f>
        <v/>
      </c>
      <c r="I820" s="16" t="str">
        <f>IFERROR(IF([2]对账明细接口!$I$820=0,"",[2]对账明细接口!$I$820),"")</f>
        <v/>
      </c>
      <c r="J820" s="18" t="str">
        <f>IFERROR(IF([2]对账明细接口!$J$820=0,"",[2]对账明细接口!$J$820),"")</f>
        <v/>
      </c>
      <c r="K820" s="18" t="str">
        <f>IFERROR(IF([2]对账明细接口!$K$820=0,"",[2]对账明细接口!$K$820),"")</f>
        <v/>
      </c>
      <c r="L820" s="16" t="str">
        <f>IFERROR(IF([2]对账明细接口!$L$820=0,"",[2]对账明细接口!$L$820),"")</f>
        <v/>
      </c>
      <c r="M820" s="16" t="str">
        <f>IFERROR(IF([2]对账明细接口!$M$820=0,"",[2]对账明细接口!$M$820),"")</f>
        <v/>
      </c>
      <c r="N820" s="19">
        <f t="shared" si="72"/>
        <v>0</v>
      </c>
      <c r="O820" s="19">
        <f t="shared" si="73"/>
        <v>165</v>
      </c>
      <c r="S820" s="20" t="str">
        <f>IFERROR(IF([2]对账明细接口!$N820=0,"",[2]对账明细接口!$N820),"")</f>
        <v/>
      </c>
      <c r="T820" s="21" t="str">
        <f>IFERROR(IF([2]对账明细接口!$O820=0,"",[2]对账明细接口!$O820),"")</f>
        <v/>
      </c>
      <c r="U820" s="21" t="str">
        <f>IFERROR(IF([2]对账明细接口!$P820=0,"",[2]对账明细接口!$P820),"")</f>
        <v/>
      </c>
      <c r="V820" s="21" t="str">
        <f>IFERROR(IF([2]对账明细接口!$Q820=0,"",[2]对账明细接口!$Q820),"")</f>
        <v/>
      </c>
      <c r="W820" s="20" t="str">
        <f>IFERROR(IF([2]对账明细接口!$R820=0,"",[2]对账明细接口!$R820),"")</f>
        <v/>
      </c>
      <c r="X820" s="20" t="str">
        <f>IFERROR(IF([2]对账明细接口!$S820=0,"",[2]对账明细接口!$S820),"")</f>
        <v/>
      </c>
      <c r="Y820" s="20" t="str">
        <f t="shared" si="74"/>
        <v/>
      </c>
      <c r="Z820" s="20" t="str">
        <f t="shared" si="75"/>
        <v/>
      </c>
      <c r="AA820" s="20" t="str">
        <f t="shared" si="76"/>
        <v/>
      </c>
      <c r="AB820" s="20" t="str">
        <f t="shared" si="77"/>
        <v/>
      </c>
    </row>
    <row r="821" customHeight="1" spans="1:28">
      <c r="A821" s="14">
        <v>821</v>
      </c>
      <c r="B821" s="15" t="str">
        <f>IFERROR(IF([2]对账明细接口!$B$821=0,"",[2]对账明细接口!$B$821),"")</f>
        <v/>
      </c>
      <c r="C821" s="16" t="str">
        <f>IFERROR(IF([2]对账明细接口!$C$821=0,"",[2]对账明细接口!$C$821),"")</f>
        <v/>
      </c>
      <c r="D821" s="16" t="str">
        <f>IFERROR(IF([2]对账明细接口!$D$821=0,"",[2]对账明细接口!$D$821),"")</f>
        <v/>
      </c>
      <c r="E821" s="16" t="str">
        <f>IFERROR(IF([2]对账明细接口!$E$821=0,"",[2]对账明细接口!$E$821),"")</f>
        <v/>
      </c>
      <c r="F821" s="16" t="str">
        <f>IFERROR(IF([2]对账明细接口!$F$821=0,"",[2]对账明细接口!$F$821),"")</f>
        <v/>
      </c>
      <c r="G821" s="16" t="str">
        <f>IFERROR(IF([2]对账明细接口!$G$821=0,"",[2]对账明细接口!$G$821),"")</f>
        <v/>
      </c>
      <c r="H821" s="17" t="str">
        <f>IFERROR(IF([2]对账明细接口!$H$821=0,"",[2]对账明细接口!$H$821),"")</f>
        <v/>
      </c>
      <c r="I821" s="16" t="str">
        <f>IFERROR(IF([2]对账明细接口!$I$821=0,"",[2]对账明细接口!$I$821),"")</f>
        <v/>
      </c>
      <c r="J821" s="18" t="str">
        <f>IFERROR(IF([2]对账明细接口!$J$821=0,"",[2]对账明细接口!$J$821),"")</f>
        <v/>
      </c>
      <c r="K821" s="18" t="str">
        <f>IFERROR(IF([2]对账明细接口!$K$821=0,"",[2]对账明细接口!$K$821),"")</f>
        <v/>
      </c>
      <c r="L821" s="16" t="str">
        <f>IFERROR(IF([2]对账明细接口!$L$821=0,"",[2]对账明细接口!$L$821),"")</f>
        <v/>
      </c>
      <c r="M821" s="16" t="str">
        <f>IFERROR(IF([2]对账明细接口!$M$821=0,"",[2]对账明细接口!$M$821),"")</f>
        <v/>
      </c>
      <c r="N821" s="19">
        <f t="shared" si="72"/>
        <v>0</v>
      </c>
      <c r="O821" s="19">
        <f t="shared" si="73"/>
        <v>165</v>
      </c>
      <c r="S821" s="20" t="str">
        <f>IFERROR(IF([2]对账明细接口!$N821=0,"",[2]对账明细接口!$N821),"")</f>
        <v/>
      </c>
      <c r="T821" s="21" t="str">
        <f>IFERROR(IF([2]对账明细接口!$O821=0,"",[2]对账明细接口!$O821),"")</f>
        <v/>
      </c>
      <c r="U821" s="21" t="str">
        <f>IFERROR(IF([2]对账明细接口!$P821=0,"",[2]对账明细接口!$P821),"")</f>
        <v/>
      </c>
      <c r="V821" s="21" t="str">
        <f>IFERROR(IF([2]对账明细接口!$Q821=0,"",[2]对账明细接口!$Q821),"")</f>
        <v/>
      </c>
      <c r="W821" s="20" t="str">
        <f>IFERROR(IF([2]对账明细接口!$R821=0,"",[2]对账明细接口!$R821),"")</f>
        <v/>
      </c>
      <c r="X821" s="20" t="str">
        <f>IFERROR(IF([2]对账明细接口!$S821=0,"",[2]对账明细接口!$S821),"")</f>
        <v/>
      </c>
      <c r="Y821" s="20" t="str">
        <f t="shared" si="74"/>
        <v/>
      </c>
      <c r="Z821" s="20" t="str">
        <f t="shared" si="75"/>
        <v/>
      </c>
      <c r="AA821" s="20" t="str">
        <f t="shared" si="76"/>
        <v/>
      </c>
      <c r="AB821" s="20" t="str">
        <f t="shared" si="77"/>
        <v/>
      </c>
    </row>
    <row r="822" customHeight="1" spans="1:28">
      <c r="A822" s="14">
        <v>822</v>
      </c>
      <c r="B822" s="15" t="str">
        <f>IFERROR(IF([2]对账明细接口!$B$822=0,"",[2]对账明细接口!$B$822),"")</f>
        <v/>
      </c>
      <c r="C822" s="16" t="str">
        <f>IFERROR(IF([2]对账明细接口!$C$822=0,"",[2]对账明细接口!$C$822),"")</f>
        <v/>
      </c>
      <c r="D822" s="16" t="str">
        <f>IFERROR(IF([2]对账明细接口!$D$822=0,"",[2]对账明细接口!$D$822),"")</f>
        <v/>
      </c>
      <c r="E822" s="16" t="str">
        <f>IFERROR(IF([2]对账明细接口!$E$822=0,"",[2]对账明细接口!$E$822),"")</f>
        <v/>
      </c>
      <c r="F822" s="16" t="str">
        <f>IFERROR(IF([2]对账明细接口!$F$822=0,"",[2]对账明细接口!$F$822),"")</f>
        <v/>
      </c>
      <c r="G822" s="16" t="str">
        <f>IFERROR(IF([2]对账明细接口!$G$822=0,"",[2]对账明细接口!$G$822),"")</f>
        <v/>
      </c>
      <c r="H822" s="17" t="str">
        <f>IFERROR(IF([2]对账明细接口!$H$822=0,"",[2]对账明细接口!$H$822),"")</f>
        <v/>
      </c>
      <c r="I822" s="16" t="str">
        <f>IFERROR(IF([2]对账明细接口!$I$822=0,"",[2]对账明细接口!$I$822),"")</f>
        <v/>
      </c>
      <c r="J822" s="18" t="str">
        <f>IFERROR(IF([2]对账明细接口!$J$822=0,"",[2]对账明细接口!$J$822),"")</f>
        <v/>
      </c>
      <c r="K822" s="18" t="str">
        <f>IFERROR(IF([2]对账明细接口!$K$822=0,"",[2]对账明细接口!$K$822),"")</f>
        <v/>
      </c>
      <c r="L822" s="16" t="str">
        <f>IFERROR(IF([2]对账明细接口!$L$822=0,"",[2]对账明细接口!$L$822),"")</f>
        <v/>
      </c>
      <c r="M822" s="16" t="str">
        <f>IFERROR(IF([2]对账明细接口!$M$822=0,"",[2]对账明细接口!$M$822),"")</f>
        <v/>
      </c>
      <c r="N822" s="19">
        <f t="shared" si="72"/>
        <v>0</v>
      </c>
      <c r="O822" s="19">
        <f t="shared" si="73"/>
        <v>165</v>
      </c>
      <c r="S822" s="20" t="str">
        <f>IFERROR(IF([2]对账明细接口!$N822=0,"",[2]对账明细接口!$N822),"")</f>
        <v/>
      </c>
      <c r="T822" s="21" t="str">
        <f>IFERROR(IF([2]对账明细接口!$O822=0,"",[2]对账明细接口!$O822),"")</f>
        <v/>
      </c>
      <c r="U822" s="21" t="str">
        <f>IFERROR(IF([2]对账明细接口!$P822=0,"",[2]对账明细接口!$P822),"")</f>
        <v/>
      </c>
      <c r="V822" s="21" t="str">
        <f>IFERROR(IF([2]对账明细接口!$Q822=0,"",[2]对账明细接口!$Q822),"")</f>
        <v/>
      </c>
      <c r="W822" s="20" t="str">
        <f>IFERROR(IF([2]对账明细接口!$R822=0,"",[2]对账明细接口!$R822),"")</f>
        <v/>
      </c>
      <c r="X822" s="20" t="str">
        <f>IFERROR(IF([2]对账明细接口!$S822=0,"",[2]对账明细接口!$S822),"")</f>
        <v/>
      </c>
      <c r="Y822" s="20" t="str">
        <f t="shared" si="74"/>
        <v/>
      </c>
      <c r="Z822" s="20" t="str">
        <f t="shared" si="75"/>
        <v/>
      </c>
      <c r="AA822" s="20" t="str">
        <f t="shared" si="76"/>
        <v/>
      </c>
      <c r="AB822" s="20" t="str">
        <f t="shared" si="77"/>
        <v/>
      </c>
    </row>
    <row r="823" customHeight="1" spans="1:28">
      <c r="A823" s="14">
        <v>823</v>
      </c>
      <c r="B823" s="15" t="str">
        <f>IFERROR(IF([2]对账明细接口!$B$823=0,"",[2]对账明细接口!$B$823),"")</f>
        <v/>
      </c>
      <c r="C823" s="16" t="str">
        <f>IFERROR(IF([2]对账明细接口!$C$823=0,"",[2]对账明细接口!$C$823),"")</f>
        <v/>
      </c>
      <c r="D823" s="16" t="str">
        <f>IFERROR(IF([2]对账明细接口!$D$823=0,"",[2]对账明细接口!$D$823),"")</f>
        <v/>
      </c>
      <c r="E823" s="16" t="str">
        <f>IFERROR(IF([2]对账明细接口!$E$823=0,"",[2]对账明细接口!$E$823),"")</f>
        <v/>
      </c>
      <c r="F823" s="16" t="str">
        <f>IFERROR(IF([2]对账明细接口!$F$823=0,"",[2]对账明细接口!$F$823),"")</f>
        <v/>
      </c>
      <c r="G823" s="16" t="str">
        <f>IFERROR(IF([2]对账明细接口!$G$823=0,"",[2]对账明细接口!$G$823),"")</f>
        <v/>
      </c>
      <c r="H823" s="17" t="str">
        <f>IFERROR(IF([2]对账明细接口!$H$823=0,"",[2]对账明细接口!$H$823),"")</f>
        <v/>
      </c>
      <c r="I823" s="16" t="str">
        <f>IFERROR(IF([2]对账明细接口!$I$823=0,"",[2]对账明细接口!$I$823),"")</f>
        <v/>
      </c>
      <c r="J823" s="18" t="str">
        <f>IFERROR(IF([2]对账明细接口!$J$823=0,"",[2]对账明细接口!$J$823),"")</f>
        <v/>
      </c>
      <c r="K823" s="18" t="str">
        <f>IFERROR(IF([2]对账明细接口!$K$823=0,"",[2]对账明细接口!$K$823),"")</f>
        <v/>
      </c>
      <c r="L823" s="16" t="str">
        <f>IFERROR(IF([2]对账明细接口!$L$823=0,"",[2]对账明细接口!$L$823),"")</f>
        <v/>
      </c>
      <c r="M823" s="16" t="str">
        <f>IFERROR(IF([2]对账明细接口!$M$823=0,"",[2]对账明细接口!$M$823),"")</f>
        <v/>
      </c>
      <c r="N823" s="19">
        <f t="shared" si="72"/>
        <v>0</v>
      </c>
      <c r="O823" s="19">
        <f t="shared" si="73"/>
        <v>165</v>
      </c>
      <c r="S823" s="20" t="str">
        <f>IFERROR(IF([2]对账明细接口!$N823=0,"",[2]对账明细接口!$N823),"")</f>
        <v/>
      </c>
      <c r="T823" s="21" t="str">
        <f>IFERROR(IF([2]对账明细接口!$O823=0,"",[2]对账明细接口!$O823),"")</f>
        <v/>
      </c>
      <c r="U823" s="21" t="str">
        <f>IFERROR(IF([2]对账明细接口!$P823=0,"",[2]对账明细接口!$P823),"")</f>
        <v/>
      </c>
      <c r="V823" s="21" t="str">
        <f>IFERROR(IF([2]对账明细接口!$Q823=0,"",[2]对账明细接口!$Q823),"")</f>
        <v/>
      </c>
      <c r="W823" s="20" t="str">
        <f>IFERROR(IF([2]对账明细接口!$R823=0,"",[2]对账明细接口!$R823),"")</f>
        <v/>
      </c>
      <c r="X823" s="20" t="str">
        <f>IFERROR(IF([2]对账明细接口!$S823=0,"",[2]对账明细接口!$S823),"")</f>
        <v/>
      </c>
      <c r="Y823" s="20" t="str">
        <f t="shared" si="74"/>
        <v/>
      </c>
      <c r="Z823" s="20" t="str">
        <f t="shared" si="75"/>
        <v/>
      </c>
      <c r="AA823" s="20" t="str">
        <f t="shared" si="76"/>
        <v/>
      </c>
      <c r="AB823" s="20" t="str">
        <f t="shared" si="77"/>
        <v/>
      </c>
    </row>
    <row r="824" customHeight="1" spans="1:28">
      <c r="A824" s="14">
        <v>824</v>
      </c>
      <c r="B824" s="15" t="str">
        <f>IFERROR(IF([2]对账明细接口!$B$824=0,"",[2]对账明细接口!$B$824),"")</f>
        <v/>
      </c>
      <c r="C824" s="16" t="str">
        <f>IFERROR(IF([2]对账明细接口!$C$824=0,"",[2]对账明细接口!$C$824),"")</f>
        <v/>
      </c>
      <c r="D824" s="16" t="str">
        <f>IFERROR(IF([2]对账明细接口!$D$824=0,"",[2]对账明细接口!$D$824),"")</f>
        <v/>
      </c>
      <c r="E824" s="16" t="str">
        <f>IFERROR(IF([2]对账明细接口!$E$824=0,"",[2]对账明细接口!$E$824),"")</f>
        <v/>
      </c>
      <c r="F824" s="16" t="str">
        <f>IFERROR(IF([2]对账明细接口!$F$824=0,"",[2]对账明细接口!$F$824),"")</f>
        <v/>
      </c>
      <c r="G824" s="16" t="str">
        <f>IFERROR(IF([2]对账明细接口!$G$824=0,"",[2]对账明细接口!$G$824),"")</f>
        <v/>
      </c>
      <c r="H824" s="17" t="str">
        <f>IFERROR(IF([2]对账明细接口!$H$824=0,"",[2]对账明细接口!$H$824),"")</f>
        <v/>
      </c>
      <c r="I824" s="16" t="str">
        <f>IFERROR(IF([2]对账明细接口!$I$824=0,"",[2]对账明细接口!$I$824),"")</f>
        <v/>
      </c>
      <c r="J824" s="18" t="str">
        <f>IFERROR(IF([2]对账明细接口!$J$824=0,"",[2]对账明细接口!$J$824),"")</f>
        <v/>
      </c>
      <c r="K824" s="18" t="str">
        <f>IFERROR(IF([2]对账明细接口!$K$824=0,"",[2]对账明细接口!$K$824),"")</f>
        <v/>
      </c>
      <c r="L824" s="16" t="str">
        <f>IFERROR(IF([2]对账明细接口!$L$824=0,"",[2]对账明细接口!$L$824),"")</f>
        <v/>
      </c>
      <c r="M824" s="16" t="str">
        <f>IFERROR(IF([2]对账明细接口!$M$824=0,"",[2]对账明细接口!$M$824),"")</f>
        <v/>
      </c>
      <c r="N824" s="19">
        <f t="shared" si="72"/>
        <v>0</v>
      </c>
      <c r="O824" s="19">
        <f t="shared" si="73"/>
        <v>165</v>
      </c>
      <c r="S824" s="20" t="str">
        <f>IFERROR(IF([2]对账明细接口!$N824=0,"",[2]对账明细接口!$N824),"")</f>
        <v/>
      </c>
      <c r="T824" s="21" t="str">
        <f>IFERROR(IF([2]对账明细接口!$O824=0,"",[2]对账明细接口!$O824),"")</f>
        <v/>
      </c>
      <c r="U824" s="21" t="str">
        <f>IFERROR(IF([2]对账明细接口!$P824=0,"",[2]对账明细接口!$P824),"")</f>
        <v/>
      </c>
      <c r="V824" s="21" t="str">
        <f>IFERROR(IF([2]对账明细接口!$Q824=0,"",[2]对账明细接口!$Q824),"")</f>
        <v/>
      </c>
      <c r="W824" s="20" t="str">
        <f>IFERROR(IF([2]对账明细接口!$R824=0,"",[2]对账明细接口!$R824),"")</f>
        <v/>
      </c>
      <c r="X824" s="20" t="str">
        <f>IFERROR(IF([2]对账明细接口!$S824=0,"",[2]对账明细接口!$S824),"")</f>
        <v/>
      </c>
      <c r="Y824" s="20" t="str">
        <f t="shared" si="74"/>
        <v/>
      </c>
      <c r="Z824" s="20" t="str">
        <f t="shared" si="75"/>
        <v/>
      </c>
      <c r="AA824" s="20" t="str">
        <f t="shared" si="76"/>
        <v/>
      </c>
      <c r="AB824" s="20" t="str">
        <f t="shared" si="77"/>
        <v/>
      </c>
    </row>
    <row r="825" customHeight="1" spans="1:28">
      <c r="A825" s="14">
        <v>825</v>
      </c>
      <c r="B825" s="15" t="str">
        <f>IFERROR(IF([2]对账明细接口!$B$825=0,"",[2]对账明细接口!$B$825),"")</f>
        <v/>
      </c>
      <c r="C825" s="16" t="str">
        <f>IFERROR(IF([2]对账明细接口!$C$825=0,"",[2]对账明细接口!$C$825),"")</f>
        <v/>
      </c>
      <c r="D825" s="16" t="str">
        <f>IFERROR(IF([2]对账明细接口!$D$825=0,"",[2]对账明细接口!$D$825),"")</f>
        <v/>
      </c>
      <c r="E825" s="16" t="str">
        <f>IFERROR(IF([2]对账明细接口!$E$825=0,"",[2]对账明细接口!$E$825),"")</f>
        <v/>
      </c>
      <c r="F825" s="16" t="str">
        <f>IFERROR(IF([2]对账明细接口!$F$825=0,"",[2]对账明细接口!$F$825),"")</f>
        <v/>
      </c>
      <c r="G825" s="16" t="str">
        <f>IFERROR(IF([2]对账明细接口!$G$825=0,"",[2]对账明细接口!$G$825),"")</f>
        <v/>
      </c>
      <c r="H825" s="17" t="str">
        <f>IFERROR(IF([2]对账明细接口!$H$825=0,"",[2]对账明细接口!$H$825),"")</f>
        <v/>
      </c>
      <c r="I825" s="16" t="str">
        <f>IFERROR(IF([2]对账明细接口!$I$825=0,"",[2]对账明细接口!$I$825),"")</f>
        <v/>
      </c>
      <c r="J825" s="18" t="str">
        <f>IFERROR(IF([2]对账明细接口!$J$825=0,"",[2]对账明细接口!$J$825),"")</f>
        <v/>
      </c>
      <c r="K825" s="18" t="str">
        <f>IFERROR(IF([2]对账明细接口!$K$825=0,"",[2]对账明细接口!$K$825),"")</f>
        <v/>
      </c>
      <c r="L825" s="16" t="str">
        <f>IFERROR(IF([2]对账明细接口!$L$825=0,"",[2]对账明细接口!$L$825),"")</f>
        <v/>
      </c>
      <c r="M825" s="16" t="str">
        <f>IFERROR(IF([2]对账明细接口!$M$825=0,"",[2]对账明细接口!$M$825),"")</f>
        <v/>
      </c>
      <c r="N825" s="19">
        <f t="shared" si="72"/>
        <v>0</v>
      </c>
      <c r="O825" s="19">
        <f t="shared" si="73"/>
        <v>165</v>
      </c>
      <c r="S825" s="20" t="str">
        <f>IFERROR(IF([2]对账明细接口!$N825=0,"",[2]对账明细接口!$N825),"")</f>
        <v/>
      </c>
      <c r="T825" s="21" t="str">
        <f>IFERROR(IF([2]对账明细接口!$O825=0,"",[2]对账明细接口!$O825),"")</f>
        <v/>
      </c>
      <c r="U825" s="21" t="str">
        <f>IFERROR(IF([2]对账明细接口!$P825=0,"",[2]对账明细接口!$P825),"")</f>
        <v/>
      </c>
      <c r="V825" s="21" t="str">
        <f>IFERROR(IF([2]对账明细接口!$Q825=0,"",[2]对账明细接口!$Q825),"")</f>
        <v/>
      </c>
      <c r="W825" s="20" t="str">
        <f>IFERROR(IF([2]对账明细接口!$R825=0,"",[2]对账明细接口!$R825),"")</f>
        <v/>
      </c>
      <c r="X825" s="20" t="str">
        <f>IFERROR(IF([2]对账明细接口!$S825=0,"",[2]对账明细接口!$S825),"")</f>
        <v/>
      </c>
      <c r="Y825" s="20" t="str">
        <f t="shared" si="74"/>
        <v/>
      </c>
      <c r="Z825" s="20" t="str">
        <f t="shared" si="75"/>
        <v/>
      </c>
      <c r="AA825" s="20" t="str">
        <f t="shared" si="76"/>
        <v/>
      </c>
      <c r="AB825" s="20" t="str">
        <f t="shared" si="77"/>
        <v/>
      </c>
    </row>
    <row r="826" customHeight="1" spans="1:28">
      <c r="A826" s="14">
        <v>826</v>
      </c>
      <c r="B826" s="15" t="str">
        <f>IFERROR(IF([2]对账明细接口!$B$826=0,"",[2]对账明细接口!$B$826),"")</f>
        <v/>
      </c>
      <c r="C826" s="16" t="str">
        <f>IFERROR(IF([2]对账明细接口!$C$826=0,"",[2]对账明细接口!$C$826),"")</f>
        <v/>
      </c>
      <c r="D826" s="16" t="str">
        <f>IFERROR(IF([2]对账明细接口!$D$826=0,"",[2]对账明细接口!$D$826),"")</f>
        <v/>
      </c>
      <c r="E826" s="16" t="str">
        <f>IFERROR(IF([2]对账明细接口!$E$826=0,"",[2]对账明细接口!$E$826),"")</f>
        <v/>
      </c>
      <c r="F826" s="16" t="str">
        <f>IFERROR(IF([2]对账明细接口!$F$826=0,"",[2]对账明细接口!$F$826),"")</f>
        <v/>
      </c>
      <c r="G826" s="16" t="str">
        <f>IFERROR(IF([2]对账明细接口!$G$826=0,"",[2]对账明细接口!$G$826),"")</f>
        <v/>
      </c>
      <c r="H826" s="17" t="str">
        <f>IFERROR(IF([2]对账明细接口!$H$826=0,"",[2]对账明细接口!$H$826),"")</f>
        <v/>
      </c>
      <c r="I826" s="16" t="str">
        <f>IFERROR(IF([2]对账明细接口!$I$826=0,"",[2]对账明细接口!$I$826),"")</f>
        <v/>
      </c>
      <c r="J826" s="18" t="str">
        <f>IFERROR(IF([2]对账明细接口!$J$826=0,"",[2]对账明细接口!$J$826),"")</f>
        <v/>
      </c>
      <c r="K826" s="18" t="str">
        <f>IFERROR(IF([2]对账明细接口!$K$826=0,"",[2]对账明细接口!$K$826),"")</f>
        <v/>
      </c>
      <c r="L826" s="16" t="str">
        <f>IFERROR(IF([2]对账明细接口!$L$826=0,"",[2]对账明细接口!$L$826),"")</f>
        <v/>
      </c>
      <c r="M826" s="16" t="str">
        <f>IFERROR(IF([2]对账明细接口!$M$826=0,"",[2]对账明细接口!$M$826),"")</f>
        <v/>
      </c>
      <c r="N826" s="19">
        <f t="shared" si="72"/>
        <v>0</v>
      </c>
      <c r="O826" s="19">
        <f t="shared" si="73"/>
        <v>165</v>
      </c>
      <c r="S826" s="20" t="str">
        <f>IFERROR(IF([2]对账明细接口!$N826=0,"",[2]对账明细接口!$N826),"")</f>
        <v/>
      </c>
      <c r="T826" s="21" t="str">
        <f>IFERROR(IF([2]对账明细接口!$O826=0,"",[2]对账明细接口!$O826),"")</f>
        <v/>
      </c>
      <c r="U826" s="21" t="str">
        <f>IFERROR(IF([2]对账明细接口!$P826=0,"",[2]对账明细接口!$P826),"")</f>
        <v/>
      </c>
      <c r="V826" s="21" t="str">
        <f>IFERROR(IF([2]对账明细接口!$Q826=0,"",[2]对账明细接口!$Q826),"")</f>
        <v/>
      </c>
      <c r="W826" s="20" t="str">
        <f>IFERROR(IF([2]对账明细接口!$R826=0,"",[2]对账明细接口!$R826),"")</f>
        <v/>
      </c>
      <c r="X826" s="20" t="str">
        <f>IFERROR(IF([2]对账明细接口!$S826=0,"",[2]对账明细接口!$S826),"")</f>
        <v/>
      </c>
      <c r="Y826" s="20" t="str">
        <f t="shared" si="74"/>
        <v/>
      </c>
      <c r="Z826" s="20" t="str">
        <f t="shared" si="75"/>
        <v/>
      </c>
      <c r="AA826" s="20" t="str">
        <f t="shared" si="76"/>
        <v/>
      </c>
      <c r="AB826" s="20" t="str">
        <f t="shared" si="77"/>
        <v/>
      </c>
    </row>
    <row r="827" customHeight="1" spans="1:28">
      <c r="A827" s="14">
        <v>827</v>
      </c>
      <c r="B827" s="15" t="str">
        <f>IFERROR(IF([2]对账明细接口!$B$827=0,"",[2]对账明细接口!$B$827),"")</f>
        <v/>
      </c>
      <c r="C827" s="16" t="str">
        <f>IFERROR(IF([2]对账明细接口!$C$827=0,"",[2]对账明细接口!$C$827),"")</f>
        <v/>
      </c>
      <c r="D827" s="16" t="str">
        <f>IFERROR(IF([2]对账明细接口!$D$827=0,"",[2]对账明细接口!$D$827),"")</f>
        <v/>
      </c>
      <c r="E827" s="16" t="str">
        <f>IFERROR(IF([2]对账明细接口!$E$827=0,"",[2]对账明细接口!$E$827),"")</f>
        <v/>
      </c>
      <c r="F827" s="16" t="str">
        <f>IFERROR(IF([2]对账明细接口!$F$827=0,"",[2]对账明细接口!$F$827),"")</f>
        <v/>
      </c>
      <c r="G827" s="16" t="str">
        <f>IFERROR(IF([2]对账明细接口!$G$827=0,"",[2]对账明细接口!$G$827),"")</f>
        <v/>
      </c>
      <c r="H827" s="17" t="str">
        <f>IFERROR(IF([2]对账明细接口!$H$827=0,"",[2]对账明细接口!$H$827),"")</f>
        <v/>
      </c>
      <c r="I827" s="16" t="str">
        <f>IFERROR(IF([2]对账明细接口!$I$827=0,"",[2]对账明细接口!$I$827),"")</f>
        <v/>
      </c>
      <c r="J827" s="18" t="str">
        <f>IFERROR(IF([2]对账明细接口!$J$827=0,"",[2]对账明细接口!$J$827),"")</f>
        <v/>
      </c>
      <c r="K827" s="18" t="str">
        <f>IFERROR(IF([2]对账明细接口!$K$827=0,"",[2]对账明细接口!$K$827),"")</f>
        <v/>
      </c>
      <c r="L827" s="16" t="str">
        <f>IFERROR(IF([2]对账明细接口!$L$827=0,"",[2]对账明细接口!$L$827),"")</f>
        <v/>
      </c>
      <c r="M827" s="16" t="str">
        <f>IFERROR(IF([2]对账明细接口!$M$827=0,"",[2]对账明细接口!$M$827),"")</f>
        <v/>
      </c>
      <c r="N827" s="19">
        <f t="shared" si="72"/>
        <v>0</v>
      </c>
      <c r="O827" s="19">
        <f t="shared" si="73"/>
        <v>165</v>
      </c>
      <c r="S827" s="20" t="str">
        <f>IFERROR(IF([2]对账明细接口!$N827=0,"",[2]对账明细接口!$N827),"")</f>
        <v/>
      </c>
      <c r="T827" s="21" t="str">
        <f>IFERROR(IF([2]对账明细接口!$O827=0,"",[2]对账明细接口!$O827),"")</f>
        <v/>
      </c>
      <c r="U827" s="21" t="str">
        <f>IFERROR(IF([2]对账明细接口!$P827=0,"",[2]对账明细接口!$P827),"")</f>
        <v/>
      </c>
      <c r="V827" s="21" t="str">
        <f>IFERROR(IF([2]对账明细接口!$Q827=0,"",[2]对账明细接口!$Q827),"")</f>
        <v/>
      </c>
      <c r="W827" s="20" t="str">
        <f>IFERROR(IF([2]对账明细接口!$R827=0,"",[2]对账明细接口!$R827),"")</f>
        <v/>
      </c>
      <c r="X827" s="20" t="str">
        <f>IFERROR(IF([2]对账明细接口!$S827=0,"",[2]对账明细接口!$S827),"")</f>
        <v/>
      </c>
      <c r="Y827" s="20" t="str">
        <f t="shared" si="74"/>
        <v/>
      </c>
      <c r="Z827" s="20" t="str">
        <f t="shared" si="75"/>
        <v/>
      </c>
      <c r="AA827" s="20" t="str">
        <f t="shared" si="76"/>
        <v/>
      </c>
      <c r="AB827" s="20" t="str">
        <f t="shared" si="77"/>
        <v/>
      </c>
    </row>
    <row r="828" customHeight="1" spans="1:28">
      <c r="A828" s="14">
        <v>828</v>
      </c>
      <c r="B828" s="15" t="str">
        <f>IFERROR(IF([2]对账明细接口!$B$828=0,"",[2]对账明细接口!$B$828),"")</f>
        <v/>
      </c>
      <c r="C828" s="16" t="str">
        <f>IFERROR(IF([2]对账明细接口!$C$828=0,"",[2]对账明细接口!$C$828),"")</f>
        <v/>
      </c>
      <c r="D828" s="16" t="str">
        <f>IFERROR(IF([2]对账明细接口!$D$828=0,"",[2]对账明细接口!$D$828),"")</f>
        <v/>
      </c>
      <c r="E828" s="16" t="str">
        <f>IFERROR(IF([2]对账明细接口!$E$828=0,"",[2]对账明细接口!$E$828),"")</f>
        <v/>
      </c>
      <c r="F828" s="16" t="str">
        <f>IFERROR(IF([2]对账明细接口!$F$828=0,"",[2]对账明细接口!$F$828),"")</f>
        <v/>
      </c>
      <c r="G828" s="16" t="str">
        <f>IFERROR(IF([2]对账明细接口!$G$828=0,"",[2]对账明细接口!$G$828),"")</f>
        <v/>
      </c>
      <c r="H828" s="17" t="str">
        <f>IFERROR(IF([2]对账明细接口!$H$828=0,"",[2]对账明细接口!$H$828),"")</f>
        <v/>
      </c>
      <c r="I828" s="16" t="str">
        <f>IFERROR(IF([2]对账明细接口!$I$828=0,"",[2]对账明细接口!$I$828),"")</f>
        <v/>
      </c>
      <c r="J828" s="18" t="str">
        <f>IFERROR(IF([2]对账明细接口!$J$828=0,"",[2]对账明细接口!$J$828),"")</f>
        <v/>
      </c>
      <c r="K828" s="18" t="str">
        <f>IFERROR(IF([2]对账明细接口!$K$828=0,"",[2]对账明细接口!$K$828),"")</f>
        <v/>
      </c>
      <c r="L828" s="16" t="str">
        <f>IFERROR(IF([2]对账明细接口!$L$828=0,"",[2]对账明细接口!$L$828),"")</f>
        <v/>
      </c>
      <c r="M828" s="16" t="str">
        <f>IFERROR(IF([2]对账明细接口!$M$828=0,"",[2]对账明细接口!$M$828),"")</f>
        <v/>
      </c>
      <c r="N828" s="19">
        <f t="shared" si="72"/>
        <v>0</v>
      </c>
      <c r="O828" s="19">
        <f t="shared" si="73"/>
        <v>165</v>
      </c>
      <c r="S828" s="20" t="str">
        <f>IFERROR(IF([2]对账明细接口!$N828=0,"",[2]对账明细接口!$N828),"")</f>
        <v/>
      </c>
      <c r="T828" s="21" t="str">
        <f>IFERROR(IF([2]对账明细接口!$O828=0,"",[2]对账明细接口!$O828),"")</f>
        <v/>
      </c>
      <c r="U828" s="21" t="str">
        <f>IFERROR(IF([2]对账明细接口!$P828=0,"",[2]对账明细接口!$P828),"")</f>
        <v/>
      </c>
      <c r="V828" s="21" t="str">
        <f>IFERROR(IF([2]对账明细接口!$Q828=0,"",[2]对账明细接口!$Q828),"")</f>
        <v/>
      </c>
      <c r="W828" s="20" t="str">
        <f>IFERROR(IF([2]对账明细接口!$R828=0,"",[2]对账明细接口!$R828),"")</f>
        <v/>
      </c>
      <c r="X828" s="20" t="str">
        <f>IFERROR(IF([2]对账明细接口!$S828=0,"",[2]对账明细接口!$S828),"")</f>
        <v/>
      </c>
      <c r="Y828" s="20" t="str">
        <f t="shared" si="74"/>
        <v/>
      </c>
      <c r="Z828" s="20" t="str">
        <f t="shared" si="75"/>
        <v/>
      </c>
      <c r="AA828" s="20" t="str">
        <f t="shared" si="76"/>
        <v/>
      </c>
      <c r="AB828" s="20" t="str">
        <f t="shared" si="77"/>
        <v/>
      </c>
    </row>
    <row r="829" customHeight="1" spans="1:28">
      <c r="A829" s="14">
        <v>829</v>
      </c>
      <c r="B829" s="15" t="str">
        <f>IFERROR(IF([2]对账明细接口!$B$829=0,"",[2]对账明细接口!$B$829),"")</f>
        <v/>
      </c>
      <c r="C829" s="16" t="str">
        <f>IFERROR(IF([2]对账明细接口!$C$829=0,"",[2]对账明细接口!$C$829),"")</f>
        <v/>
      </c>
      <c r="D829" s="16" t="str">
        <f>IFERROR(IF([2]对账明细接口!$D$829=0,"",[2]对账明细接口!$D$829),"")</f>
        <v/>
      </c>
      <c r="E829" s="16" t="str">
        <f>IFERROR(IF([2]对账明细接口!$E$829=0,"",[2]对账明细接口!$E$829),"")</f>
        <v/>
      </c>
      <c r="F829" s="16" t="str">
        <f>IFERROR(IF([2]对账明细接口!$F$829=0,"",[2]对账明细接口!$F$829),"")</f>
        <v/>
      </c>
      <c r="G829" s="16" t="str">
        <f>IFERROR(IF([2]对账明细接口!$G$829=0,"",[2]对账明细接口!$G$829),"")</f>
        <v/>
      </c>
      <c r="H829" s="17" t="str">
        <f>IFERROR(IF([2]对账明细接口!$H$829=0,"",[2]对账明细接口!$H$829),"")</f>
        <v/>
      </c>
      <c r="I829" s="16" t="str">
        <f>IFERROR(IF([2]对账明细接口!$I$829=0,"",[2]对账明细接口!$I$829),"")</f>
        <v/>
      </c>
      <c r="J829" s="18" t="str">
        <f>IFERROR(IF([2]对账明细接口!$J$829=0,"",[2]对账明细接口!$J$829),"")</f>
        <v/>
      </c>
      <c r="K829" s="18" t="str">
        <f>IFERROR(IF([2]对账明细接口!$K$829=0,"",[2]对账明细接口!$K$829),"")</f>
        <v/>
      </c>
      <c r="L829" s="16" t="str">
        <f>IFERROR(IF([2]对账明细接口!$L$829=0,"",[2]对账明细接口!$L$829),"")</f>
        <v/>
      </c>
      <c r="M829" s="16" t="str">
        <f>IFERROR(IF([2]对账明细接口!$M$829=0,"",[2]对账明细接口!$M$829),"")</f>
        <v/>
      </c>
      <c r="N829" s="19">
        <f t="shared" si="72"/>
        <v>0</v>
      </c>
      <c r="O829" s="19">
        <f t="shared" si="73"/>
        <v>165</v>
      </c>
      <c r="S829" s="20" t="str">
        <f>IFERROR(IF([2]对账明细接口!$N829=0,"",[2]对账明细接口!$N829),"")</f>
        <v/>
      </c>
      <c r="T829" s="21" t="str">
        <f>IFERROR(IF([2]对账明细接口!$O829=0,"",[2]对账明细接口!$O829),"")</f>
        <v/>
      </c>
      <c r="U829" s="21" t="str">
        <f>IFERROR(IF([2]对账明细接口!$P829=0,"",[2]对账明细接口!$P829),"")</f>
        <v/>
      </c>
      <c r="V829" s="21" t="str">
        <f>IFERROR(IF([2]对账明细接口!$Q829=0,"",[2]对账明细接口!$Q829),"")</f>
        <v/>
      </c>
      <c r="W829" s="20" t="str">
        <f>IFERROR(IF([2]对账明细接口!$R829=0,"",[2]对账明细接口!$R829),"")</f>
        <v/>
      </c>
      <c r="X829" s="20" t="str">
        <f>IFERROR(IF([2]对账明细接口!$S829=0,"",[2]对账明细接口!$S829),"")</f>
        <v/>
      </c>
      <c r="Y829" s="20" t="str">
        <f t="shared" si="74"/>
        <v/>
      </c>
      <c r="Z829" s="20" t="str">
        <f t="shared" si="75"/>
        <v/>
      </c>
      <c r="AA829" s="20" t="str">
        <f t="shared" si="76"/>
        <v/>
      </c>
      <c r="AB829" s="20" t="str">
        <f t="shared" si="77"/>
        <v/>
      </c>
    </row>
    <row r="830" customHeight="1" spans="1:28">
      <c r="A830" s="14">
        <v>830</v>
      </c>
      <c r="B830" s="15" t="str">
        <f>IFERROR(IF([2]对账明细接口!$B$830=0,"",[2]对账明细接口!$B$830),"")</f>
        <v/>
      </c>
      <c r="C830" s="16" t="str">
        <f>IFERROR(IF([2]对账明细接口!$C$830=0,"",[2]对账明细接口!$C$830),"")</f>
        <v/>
      </c>
      <c r="D830" s="16" t="str">
        <f>IFERROR(IF([2]对账明细接口!$D$830=0,"",[2]对账明细接口!$D$830),"")</f>
        <v/>
      </c>
      <c r="E830" s="16" t="str">
        <f>IFERROR(IF([2]对账明细接口!$E$830=0,"",[2]对账明细接口!$E$830),"")</f>
        <v/>
      </c>
      <c r="F830" s="16" t="str">
        <f>IFERROR(IF([2]对账明细接口!$F$830=0,"",[2]对账明细接口!$F$830),"")</f>
        <v/>
      </c>
      <c r="G830" s="16" t="str">
        <f>IFERROR(IF([2]对账明细接口!$G$830=0,"",[2]对账明细接口!$G$830),"")</f>
        <v/>
      </c>
      <c r="H830" s="17" t="str">
        <f>IFERROR(IF([2]对账明细接口!$H$830=0,"",[2]对账明细接口!$H$830),"")</f>
        <v/>
      </c>
      <c r="I830" s="16" t="str">
        <f>IFERROR(IF([2]对账明细接口!$I$830=0,"",[2]对账明细接口!$I$830),"")</f>
        <v/>
      </c>
      <c r="J830" s="18" t="str">
        <f>IFERROR(IF([2]对账明细接口!$J$830=0,"",[2]对账明细接口!$J$830),"")</f>
        <v/>
      </c>
      <c r="K830" s="18" t="str">
        <f>IFERROR(IF([2]对账明细接口!$K$830=0,"",[2]对账明细接口!$K$830),"")</f>
        <v/>
      </c>
      <c r="L830" s="16" t="str">
        <f>IFERROR(IF([2]对账明细接口!$L$830=0,"",[2]对账明细接口!$L$830),"")</f>
        <v/>
      </c>
      <c r="M830" s="16" t="str">
        <f>IFERROR(IF([2]对账明细接口!$M$830=0,"",[2]对账明细接口!$M$830),"")</f>
        <v/>
      </c>
      <c r="N830" s="19">
        <f t="shared" si="72"/>
        <v>0</v>
      </c>
      <c r="O830" s="19">
        <f t="shared" si="73"/>
        <v>165</v>
      </c>
      <c r="S830" s="20" t="str">
        <f>IFERROR(IF([2]对账明细接口!$N830=0,"",[2]对账明细接口!$N830),"")</f>
        <v/>
      </c>
      <c r="T830" s="21" t="str">
        <f>IFERROR(IF([2]对账明细接口!$O830=0,"",[2]对账明细接口!$O830),"")</f>
        <v/>
      </c>
      <c r="U830" s="21" t="str">
        <f>IFERROR(IF([2]对账明细接口!$P830=0,"",[2]对账明细接口!$P830),"")</f>
        <v/>
      </c>
      <c r="V830" s="21" t="str">
        <f>IFERROR(IF([2]对账明细接口!$Q830=0,"",[2]对账明细接口!$Q830),"")</f>
        <v/>
      </c>
      <c r="W830" s="20" t="str">
        <f>IFERROR(IF([2]对账明细接口!$R830=0,"",[2]对账明细接口!$R830),"")</f>
        <v/>
      </c>
      <c r="X830" s="20" t="str">
        <f>IFERROR(IF([2]对账明细接口!$S830=0,"",[2]对账明细接口!$S830),"")</f>
        <v/>
      </c>
      <c r="Y830" s="20" t="str">
        <f t="shared" si="74"/>
        <v/>
      </c>
      <c r="Z830" s="20" t="str">
        <f t="shared" si="75"/>
        <v/>
      </c>
      <c r="AA830" s="20" t="str">
        <f t="shared" si="76"/>
        <v/>
      </c>
      <c r="AB830" s="20" t="str">
        <f t="shared" si="77"/>
        <v/>
      </c>
    </row>
    <row r="831" customHeight="1" spans="1:28">
      <c r="A831" s="14">
        <v>831</v>
      </c>
      <c r="B831" s="15" t="str">
        <f>IFERROR(IF([2]对账明细接口!$B$831=0,"",[2]对账明细接口!$B$831),"")</f>
        <v/>
      </c>
      <c r="C831" s="16" t="str">
        <f>IFERROR(IF([2]对账明细接口!$C$831=0,"",[2]对账明细接口!$C$831),"")</f>
        <v/>
      </c>
      <c r="D831" s="16" t="str">
        <f>IFERROR(IF([2]对账明细接口!$D$831=0,"",[2]对账明细接口!$D$831),"")</f>
        <v/>
      </c>
      <c r="E831" s="16" t="str">
        <f>IFERROR(IF([2]对账明细接口!$E$831=0,"",[2]对账明细接口!$E$831),"")</f>
        <v/>
      </c>
      <c r="F831" s="16" t="str">
        <f>IFERROR(IF([2]对账明细接口!$F$831=0,"",[2]对账明细接口!$F$831),"")</f>
        <v/>
      </c>
      <c r="G831" s="16" t="str">
        <f>IFERROR(IF([2]对账明细接口!$G$831=0,"",[2]对账明细接口!$G$831),"")</f>
        <v/>
      </c>
      <c r="H831" s="17" t="str">
        <f>IFERROR(IF([2]对账明细接口!$H$831=0,"",[2]对账明细接口!$H$831),"")</f>
        <v/>
      </c>
      <c r="I831" s="16" t="str">
        <f>IFERROR(IF([2]对账明细接口!$I$831=0,"",[2]对账明细接口!$I$831),"")</f>
        <v/>
      </c>
      <c r="J831" s="18" t="str">
        <f>IFERROR(IF([2]对账明细接口!$J$831=0,"",[2]对账明细接口!$J$831),"")</f>
        <v/>
      </c>
      <c r="K831" s="18" t="str">
        <f>IFERROR(IF([2]对账明细接口!$K$831=0,"",[2]对账明细接口!$K$831),"")</f>
        <v/>
      </c>
      <c r="L831" s="16" t="str">
        <f>IFERROR(IF([2]对账明细接口!$L$831=0,"",[2]对账明细接口!$L$831),"")</f>
        <v/>
      </c>
      <c r="M831" s="16" t="str">
        <f>IFERROR(IF([2]对账明细接口!$M$831=0,"",[2]对账明细接口!$M$831),"")</f>
        <v/>
      </c>
      <c r="N831" s="19">
        <f t="shared" si="72"/>
        <v>0</v>
      </c>
      <c r="O831" s="19">
        <f t="shared" si="73"/>
        <v>165</v>
      </c>
      <c r="S831" s="20" t="str">
        <f>IFERROR(IF([2]对账明细接口!$N831=0,"",[2]对账明细接口!$N831),"")</f>
        <v/>
      </c>
      <c r="T831" s="21" t="str">
        <f>IFERROR(IF([2]对账明细接口!$O831=0,"",[2]对账明细接口!$O831),"")</f>
        <v/>
      </c>
      <c r="U831" s="21" t="str">
        <f>IFERROR(IF([2]对账明细接口!$P831=0,"",[2]对账明细接口!$P831),"")</f>
        <v/>
      </c>
      <c r="V831" s="21" t="str">
        <f>IFERROR(IF([2]对账明细接口!$Q831=0,"",[2]对账明细接口!$Q831),"")</f>
        <v/>
      </c>
      <c r="W831" s="20" t="str">
        <f>IFERROR(IF([2]对账明细接口!$R831=0,"",[2]对账明细接口!$R831),"")</f>
        <v/>
      </c>
      <c r="X831" s="20" t="str">
        <f>IFERROR(IF([2]对账明细接口!$S831=0,"",[2]对账明细接口!$S831),"")</f>
        <v/>
      </c>
      <c r="Y831" s="20" t="str">
        <f t="shared" si="74"/>
        <v/>
      </c>
      <c r="Z831" s="20" t="str">
        <f t="shared" si="75"/>
        <v/>
      </c>
      <c r="AA831" s="20" t="str">
        <f t="shared" si="76"/>
        <v/>
      </c>
      <c r="AB831" s="20" t="str">
        <f t="shared" si="77"/>
        <v/>
      </c>
    </row>
    <row r="832" customHeight="1" spans="1:28">
      <c r="A832" s="14">
        <v>832</v>
      </c>
      <c r="B832" s="15" t="str">
        <f>IFERROR(IF([2]对账明细接口!$B$832=0,"",[2]对账明细接口!$B$832),"")</f>
        <v/>
      </c>
      <c r="C832" s="16" t="str">
        <f>IFERROR(IF([2]对账明细接口!$C$832=0,"",[2]对账明细接口!$C$832),"")</f>
        <v/>
      </c>
      <c r="D832" s="16" t="str">
        <f>IFERROR(IF([2]对账明细接口!$D$832=0,"",[2]对账明细接口!$D$832),"")</f>
        <v/>
      </c>
      <c r="E832" s="16" t="str">
        <f>IFERROR(IF([2]对账明细接口!$E$832=0,"",[2]对账明细接口!$E$832),"")</f>
        <v/>
      </c>
      <c r="F832" s="16" t="str">
        <f>IFERROR(IF([2]对账明细接口!$F$832=0,"",[2]对账明细接口!$F$832),"")</f>
        <v/>
      </c>
      <c r="G832" s="16" t="str">
        <f>IFERROR(IF([2]对账明细接口!$G$832=0,"",[2]对账明细接口!$G$832),"")</f>
        <v/>
      </c>
      <c r="H832" s="17" t="str">
        <f>IFERROR(IF([2]对账明细接口!$H$832=0,"",[2]对账明细接口!$H$832),"")</f>
        <v/>
      </c>
      <c r="I832" s="16" t="str">
        <f>IFERROR(IF([2]对账明细接口!$I$832=0,"",[2]对账明细接口!$I$832),"")</f>
        <v/>
      </c>
      <c r="J832" s="18" t="str">
        <f>IFERROR(IF([2]对账明细接口!$J$832=0,"",[2]对账明细接口!$J$832),"")</f>
        <v/>
      </c>
      <c r="K832" s="18" t="str">
        <f>IFERROR(IF([2]对账明细接口!$K$832=0,"",[2]对账明细接口!$K$832),"")</f>
        <v/>
      </c>
      <c r="L832" s="16" t="str">
        <f>IFERROR(IF([2]对账明细接口!$L$832=0,"",[2]对账明细接口!$L$832),"")</f>
        <v/>
      </c>
      <c r="M832" s="16" t="str">
        <f>IFERROR(IF([2]对账明细接口!$M$832=0,"",[2]对账明细接口!$M$832),"")</f>
        <v/>
      </c>
      <c r="N832" s="19">
        <f t="shared" si="72"/>
        <v>0</v>
      </c>
      <c r="O832" s="19">
        <f t="shared" si="73"/>
        <v>165</v>
      </c>
      <c r="S832" s="20" t="str">
        <f>IFERROR(IF([2]对账明细接口!$N832=0,"",[2]对账明细接口!$N832),"")</f>
        <v/>
      </c>
      <c r="T832" s="21" t="str">
        <f>IFERROR(IF([2]对账明细接口!$O832=0,"",[2]对账明细接口!$O832),"")</f>
        <v/>
      </c>
      <c r="U832" s="21" t="str">
        <f>IFERROR(IF([2]对账明细接口!$P832=0,"",[2]对账明细接口!$P832),"")</f>
        <v/>
      </c>
      <c r="V832" s="21" t="str">
        <f>IFERROR(IF([2]对账明细接口!$Q832=0,"",[2]对账明细接口!$Q832),"")</f>
        <v/>
      </c>
      <c r="W832" s="20" t="str">
        <f>IFERROR(IF([2]对账明细接口!$R832=0,"",[2]对账明细接口!$R832),"")</f>
        <v/>
      </c>
      <c r="X832" s="20" t="str">
        <f>IFERROR(IF([2]对账明细接口!$S832=0,"",[2]对账明细接口!$S832),"")</f>
        <v/>
      </c>
      <c r="Y832" s="20" t="str">
        <f t="shared" si="74"/>
        <v/>
      </c>
      <c r="Z832" s="20" t="str">
        <f t="shared" si="75"/>
        <v/>
      </c>
      <c r="AA832" s="20" t="str">
        <f t="shared" si="76"/>
        <v/>
      </c>
      <c r="AB832" s="20" t="str">
        <f t="shared" si="77"/>
        <v/>
      </c>
    </row>
    <row r="833" customHeight="1" spans="1:28">
      <c r="A833" s="14">
        <v>833</v>
      </c>
      <c r="B833" s="15" t="str">
        <f>IFERROR(IF([2]对账明细接口!$B$833=0,"",[2]对账明细接口!$B$833),"")</f>
        <v/>
      </c>
      <c r="C833" s="16" t="str">
        <f>IFERROR(IF([2]对账明细接口!$C$833=0,"",[2]对账明细接口!$C$833),"")</f>
        <v/>
      </c>
      <c r="D833" s="16" t="str">
        <f>IFERROR(IF([2]对账明细接口!$D$833=0,"",[2]对账明细接口!$D$833),"")</f>
        <v/>
      </c>
      <c r="E833" s="16" t="str">
        <f>IFERROR(IF([2]对账明细接口!$E$833=0,"",[2]对账明细接口!$E$833),"")</f>
        <v/>
      </c>
      <c r="F833" s="16" t="str">
        <f>IFERROR(IF([2]对账明细接口!$F$833=0,"",[2]对账明细接口!$F$833),"")</f>
        <v/>
      </c>
      <c r="G833" s="16" t="str">
        <f>IFERROR(IF([2]对账明细接口!$G$833=0,"",[2]对账明细接口!$G$833),"")</f>
        <v/>
      </c>
      <c r="H833" s="17" t="str">
        <f>IFERROR(IF([2]对账明细接口!$H$833=0,"",[2]对账明细接口!$H$833),"")</f>
        <v/>
      </c>
      <c r="I833" s="16" t="str">
        <f>IFERROR(IF([2]对账明细接口!$I$833=0,"",[2]对账明细接口!$I$833),"")</f>
        <v/>
      </c>
      <c r="J833" s="18" t="str">
        <f>IFERROR(IF([2]对账明细接口!$J$833=0,"",[2]对账明细接口!$J$833),"")</f>
        <v/>
      </c>
      <c r="K833" s="18" t="str">
        <f>IFERROR(IF([2]对账明细接口!$K$833=0,"",[2]对账明细接口!$K$833),"")</f>
        <v/>
      </c>
      <c r="L833" s="16" t="str">
        <f>IFERROR(IF([2]对账明细接口!$L$833=0,"",[2]对账明细接口!$L$833),"")</f>
        <v/>
      </c>
      <c r="M833" s="16" t="str">
        <f>IFERROR(IF([2]对账明细接口!$M$833=0,"",[2]对账明细接口!$M$833),"")</f>
        <v/>
      </c>
      <c r="N833" s="19">
        <f t="shared" si="72"/>
        <v>0</v>
      </c>
      <c r="O833" s="19">
        <f t="shared" si="73"/>
        <v>165</v>
      </c>
      <c r="S833" s="20" t="str">
        <f>IFERROR(IF([2]对账明细接口!$N833=0,"",[2]对账明细接口!$N833),"")</f>
        <v/>
      </c>
      <c r="T833" s="21" t="str">
        <f>IFERROR(IF([2]对账明细接口!$O833=0,"",[2]对账明细接口!$O833),"")</f>
        <v/>
      </c>
      <c r="U833" s="21" t="str">
        <f>IFERROR(IF([2]对账明细接口!$P833=0,"",[2]对账明细接口!$P833),"")</f>
        <v/>
      </c>
      <c r="V833" s="21" t="str">
        <f>IFERROR(IF([2]对账明细接口!$Q833=0,"",[2]对账明细接口!$Q833),"")</f>
        <v/>
      </c>
      <c r="W833" s="20" t="str">
        <f>IFERROR(IF([2]对账明细接口!$R833=0,"",[2]对账明细接口!$R833),"")</f>
        <v/>
      </c>
      <c r="X833" s="20" t="str">
        <f>IFERROR(IF([2]对账明细接口!$S833=0,"",[2]对账明细接口!$S833),"")</f>
        <v/>
      </c>
      <c r="Y833" s="20" t="str">
        <f t="shared" si="74"/>
        <v/>
      </c>
      <c r="Z833" s="20" t="str">
        <f t="shared" si="75"/>
        <v/>
      </c>
      <c r="AA833" s="20" t="str">
        <f t="shared" si="76"/>
        <v/>
      </c>
      <c r="AB833" s="20" t="str">
        <f t="shared" si="77"/>
        <v/>
      </c>
    </row>
    <row r="834" customHeight="1" spans="1:28">
      <c r="A834" s="14">
        <v>834</v>
      </c>
      <c r="B834" s="15" t="str">
        <f>IFERROR(IF([2]对账明细接口!$B$834=0,"",[2]对账明细接口!$B$834),"")</f>
        <v/>
      </c>
      <c r="C834" s="16" t="str">
        <f>IFERROR(IF([2]对账明细接口!$C$834=0,"",[2]对账明细接口!$C$834),"")</f>
        <v/>
      </c>
      <c r="D834" s="16" t="str">
        <f>IFERROR(IF([2]对账明细接口!$D$834=0,"",[2]对账明细接口!$D$834),"")</f>
        <v/>
      </c>
      <c r="E834" s="16" t="str">
        <f>IFERROR(IF([2]对账明细接口!$E$834=0,"",[2]对账明细接口!$E$834),"")</f>
        <v/>
      </c>
      <c r="F834" s="16" t="str">
        <f>IFERROR(IF([2]对账明细接口!$F$834=0,"",[2]对账明细接口!$F$834),"")</f>
        <v/>
      </c>
      <c r="G834" s="16" t="str">
        <f>IFERROR(IF([2]对账明细接口!$G$834=0,"",[2]对账明细接口!$G$834),"")</f>
        <v/>
      </c>
      <c r="H834" s="17" t="str">
        <f>IFERROR(IF([2]对账明细接口!$H$834=0,"",[2]对账明细接口!$H$834),"")</f>
        <v/>
      </c>
      <c r="I834" s="16" t="str">
        <f>IFERROR(IF([2]对账明细接口!$I$834=0,"",[2]对账明细接口!$I$834),"")</f>
        <v/>
      </c>
      <c r="J834" s="18" t="str">
        <f>IFERROR(IF([2]对账明细接口!$J$834=0,"",[2]对账明细接口!$J$834),"")</f>
        <v/>
      </c>
      <c r="K834" s="18" t="str">
        <f>IFERROR(IF([2]对账明细接口!$K$834=0,"",[2]对账明细接口!$K$834),"")</f>
        <v/>
      </c>
      <c r="L834" s="16" t="str">
        <f>IFERROR(IF([2]对账明细接口!$L$834=0,"",[2]对账明细接口!$L$834),"")</f>
        <v/>
      </c>
      <c r="M834" s="16" t="str">
        <f>IFERROR(IF([2]对账明细接口!$M$834=0,"",[2]对账明细接口!$M$834),"")</f>
        <v/>
      </c>
      <c r="N834" s="19">
        <f t="shared" si="72"/>
        <v>0</v>
      </c>
      <c r="O834" s="19">
        <f t="shared" si="73"/>
        <v>165</v>
      </c>
      <c r="S834" s="20" t="str">
        <f>IFERROR(IF([2]对账明细接口!$N834=0,"",[2]对账明细接口!$N834),"")</f>
        <v/>
      </c>
      <c r="T834" s="21" t="str">
        <f>IFERROR(IF([2]对账明细接口!$O834=0,"",[2]对账明细接口!$O834),"")</f>
        <v/>
      </c>
      <c r="U834" s="21" t="str">
        <f>IFERROR(IF([2]对账明细接口!$P834=0,"",[2]对账明细接口!$P834),"")</f>
        <v/>
      </c>
      <c r="V834" s="21" t="str">
        <f>IFERROR(IF([2]对账明细接口!$Q834=0,"",[2]对账明细接口!$Q834),"")</f>
        <v/>
      </c>
      <c r="W834" s="20" t="str">
        <f>IFERROR(IF([2]对账明细接口!$R834=0,"",[2]对账明细接口!$R834),"")</f>
        <v/>
      </c>
      <c r="X834" s="20" t="str">
        <f>IFERROR(IF([2]对账明细接口!$S834=0,"",[2]对账明细接口!$S834),"")</f>
        <v/>
      </c>
      <c r="Y834" s="20" t="str">
        <f t="shared" si="74"/>
        <v/>
      </c>
      <c r="Z834" s="20" t="str">
        <f t="shared" si="75"/>
        <v/>
      </c>
      <c r="AA834" s="20" t="str">
        <f t="shared" si="76"/>
        <v/>
      </c>
      <c r="AB834" s="20" t="str">
        <f t="shared" si="77"/>
        <v/>
      </c>
    </row>
    <row r="835" customHeight="1" spans="1:28">
      <c r="A835" s="14">
        <v>835</v>
      </c>
      <c r="B835" s="15" t="str">
        <f>IFERROR(IF([2]对账明细接口!$B$835=0,"",[2]对账明细接口!$B$835),"")</f>
        <v/>
      </c>
      <c r="C835" s="16" t="str">
        <f>IFERROR(IF([2]对账明细接口!$C$835=0,"",[2]对账明细接口!$C$835),"")</f>
        <v/>
      </c>
      <c r="D835" s="16" t="str">
        <f>IFERROR(IF([2]对账明细接口!$D$835=0,"",[2]对账明细接口!$D$835),"")</f>
        <v/>
      </c>
      <c r="E835" s="16" t="str">
        <f>IFERROR(IF([2]对账明细接口!$E$835=0,"",[2]对账明细接口!$E$835),"")</f>
        <v/>
      </c>
      <c r="F835" s="16" t="str">
        <f>IFERROR(IF([2]对账明细接口!$F$835=0,"",[2]对账明细接口!$F$835),"")</f>
        <v/>
      </c>
      <c r="G835" s="16" t="str">
        <f>IFERROR(IF([2]对账明细接口!$G$835=0,"",[2]对账明细接口!$G$835),"")</f>
        <v/>
      </c>
      <c r="H835" s="17" t="str">
        <f>IFERROR(IF([2]对账明细接口!$H$835=0,"",[2]对账明细接口!$H$835),"")</f>
        <v/>
      </c>
      <c r="I835" s="16" t="str">
        <f>IFERROR(IF([2]对账明细接口!$I$835=0,"",[2]对账明细接口!$I$835),"")</f>
        <v/>
      </c>
      <c r="J835" s="18" t="str">
        <f>IFERROR(IF([2]对账明细接口!$J$835=0,"",[2]对账明细接口!$J$835),"")</f>
        <v/>
      </c>
      <c r="K835" s="18" t="str">
        <f>IFERROR(IF([2]对账明细接口!$K$835=0,"",[2]对账明细接口!$K$835),"")</f>
        <v/>
      </c>
      <c r="L835" s="16" t="str">
        <f>IFERROR(IF([2]对账明细接口!$L$835=0,"",[2]对账明细接口!$L$835),"")</f>
        <v/>
      </c>
      <c r="M835" s="16" t="str">
        <f>IFERROR(IF([2]对账明细接口!$M$835=0,"",[2]对账明细接口!$M$835),"")</f>
        <v/>
      </c>
      <c r="N835" s="19">
        <f t="shared" si="72"/>
        <v>0</v>
      </c>
      <c r="O835" s="19">
        <f t="shared" si="73"/>
        <v>165</v>
      </c>
      <c r="S835" s="20" t="str">
        <f>IFERROR(IF([2]对账明细接口!$N835=0,"",[2]对账明细接口!$N835),"")</f>
        <v/>
      </c>
      <c r="T835" s="21" t="str">
        <f>IFERROR(IF([2]对账明细接口!$O835=0,"",[2]对账明细接口!$O835),"")</f>
        <v/>
      </c>
      <c r="U835" s="21" t="str">
        <f>IFERROR(IF([2]对账明细接口!$P835=0,"",[2]对账明细接口!$P835),"")</f>
        <v/>
      </c>
      <c r="V835" s="21" t="str">
        <f>IFERROR(IF([2]对账明细接口!$Q835=0,"",[2]对账明细接口!$Q835),"")</f>
        <v/>
      </c>
      <c r="W835" s="20" t="str">
        <f>IFERROR(IF([2]对账明细接口!$R835=0,"",[2]对账明细接口!$R835),"")</f>
        <v/>
      </c>
      <c r="X835" s="20" t="str">
        <f>IFERROR(IF([2]对账明细接口!$S835=0,"",[2]对账明细接口!$S835),"")</f>
        <v/>
      </c>
      <c r="Y835" s="20" t="str">
        <f t="shared" si="74"/>
        <v/>
      </c>
      <c r="Z835" s="20" t="str">
        <f t="shared" si="75"/>
        <v/>
      </c>
      <c r="AA835" s="20" t="str">
        <f t="shared" si="76"/>
        <v/>
      </c>
      <c r="AB835" s="20" t="str">
        <f t="shared" si="77"/>
        <v/>
      </c>
    </row>
    <row r="836" customHeight="1" spans="1:28">
      <c r="A836" s="14">
        <v>836</v>
      </c>
      <c r="B836" s="15" t="str">
        <f>IFERROR(IF([2]对账明细接口!$B$836=0,"",[2]对账明细接口!$B$836),"")</f>
        <v/>
      </c>
      <c r="C836" s="16" t="str">
        <f>IFERROR(IF([2]对账明细接口!$C$836=0,"",[2]对账明细接口!$C$836),"")</f>
        <v/>
      </c>
      <c r="D836" s="16" t="str">
        <f>IFERROR(IF([2]对账明细接口!$D$836=0,"",[2]对账明细接口!$D$836),"")</f>
        <v/>
      </c>
      <c r="E836" s="16" t="str">
        <f>IFERROR(IF([2]对账明细接口!$E$836=0,"",[2]对账明细接口!$E$836),"")</f>
        <v/>
      </c>
      <c r="F836" s="16" t="str">
        <f>IFERROR(IF([2]对账明细接口!$F$836=0,"",[2]对账明细接口!$F$836),"")</f>
        <v/>
      </c>
      <c r="G836" s="16" t="str">
        <f>IFERROR(IF([2]对账明细接口!$G$836=0,"",[2]对账明细接口!$G$836),"")</f>
        <v/>
      </c>
      <c r="H836" s="17" t="str">
        <f>IFERROR(IF([2]对账明细接口!$H$836=0,"",[2]对账明细接口!$H$836),"")</f>
        <v/>
      </c>
      <c r="I836" s="16" t="str">
        <f>IFERROR(IF([2]对账明细接口!$I$836=0,"",[2]对账明细接口!$I$836),"")</f>
        <v/>
      </c>
      <c r="J836" s="18" t="str">
        <f>IFERROR(IF([2]对账明细接口!$J$836=0,"",[2]对账明细接口!$J$836),"")</f>
        <v/>
      </c>
      <c r="K836" s="18" t="str">
        <f>IFERROR(IF([2]对账明细接口!$K$836=0,"",[2]对账明细接口!$K$836),"")</f>
        <v/>
      </c>
      <c r="L836" s="16" t="str">
        <f>IFERROR(IF([2]对账明细接口!$L$836=0,"",[2]对账明细接口!$L$836),"")</f>
        <v/>
      </c>
      <c r="M836" s="16" t="str">
        <f>IFERROR(IF([2]对账明细接口!$M$836=0,"",[2]对账明细接口!$M$836),"")</f>
        <v/>
      </c>
      <c r="N836" s="19">
        <f t="shared" ref="N836:N899" si="78">IF($C836="",0,1)</f>
        <v>0</v>
      </c>
      <c r="O836" s="19">
        <f t="shared" ref="O836:O899" si="79">N(O835)+$N836</f>
        <v>165</v>
      </c>
      <c r="S836" s="20" t="str">
        <f>IFERROR(IF([2]对账明细接口!$N836=0,"",[2]对账明细接口!$N836),"")</f>
        <v/>
      </c>
      <c r="T836" s="21" t="str">
        <f>IFERROR(IF([2]对账明细接口!$O836=0,"",[2]对账明细接口!$O836),"")</f>
        <v/>
      </c>
      <c r="U836" s="21" t="str">
        <f>IFERROR(IF([2]对账明细接口!$P836=0,"",[2]对账明细接口!$P836),"")</f>
        <v/>
      </c>
      <c r="V836" s="21" t="str">
        <f>IFERROR(IF([2]对账明细接口!$Q836=0,"",[2]对账明细接口!$Q836),"")</f>
        <v/>
      </c>
      <c r="W836" s="20" t="str">
        <f>IFERROR(IF([2]对账明细接口!$R836=0,"",[2]对账明细接口!$R836),"")</f>
        <v/>
      </c>
      <c r="X836" s="20" t="str">
        <f>IFERROR(IF([2]对账明细接口!$S836=0,"",[2]对账明细接口!$S836),"")</f>
        <v/>
      </c>
      <c r="Y836" s="20" t="str">
        <f t="shared" ref="Y836:Y899" si="80">""</f>
        <v/>
      </c>
      <c r="Z836" s="20" t="str">
        <f t="shared" ref="Z836:Z899" si="81">""</f>
        <v/>
      </c>
      <c r="AA836" s="20" t="str">
        <f t="shared" ref="AA836:AA899" si="82">""</f>
        <v/>
      </c>
      <c r="AB836" s="20" t="str">
        <f t="shared" ref="AB836:AB899" si="83">""</f>
        <v/>
      </c>
    </row>
    <row r="837" customHeight="1" spans="1:28">
      <c r="A837" s="14">
        <v>837</v>
      </c>
      <c r="B837" s="15" t="str">
        <f>IFERROR(IF([2]对账明细接口!$B$837=0,"",[2]对账明细接口!$B$837),"")</f>
        <v/>
      </c>
      <c r="C837" s="16" t="str">
        <f>IFERROR(IF([2]对账明细接口!$C$837=0,"",[2]对账明细接口!$C$837),"")</f>
        <v/>
      </c>
      <c r="D837" s="16" t="str">
        <f>IFERROR(IF([2]对账明细接口!$D$837=0,"",[2]对账明细接口!$D$837),"")</f>
        <v/>
      </c>
      <c r="E837" s="16" t="str">
        <f>IFERROR(IF([2]对账明细接口!$E$837=0,"",[2]对账明细接口!$E$837),"")</f>
        <v/>
      </c>
      <c r="F837" s="16" t="str">
        <f>IFERROR(IF([2]对账明细接口!$F$837=0,"",[2]对账明细接口!$F$837),"")</f>
        <v/>
      </c>
      <c r="G837" s="16" t="str">
        <f>IFERROR(IF([2]对账明细接口!$G$837=0,"",[2]对账明细接口!$G$837),"")</f>
        <v/>
      </c>
      <c r="H837" s="17" t="str">
        <f>IFERROR(IF([2]对账明细接口!$H$837=0,"",[2]对账明细接口!$H$837),"")</f>
        <v/>
      </c>
      <c r="I837" s="16" t="str">
        <f>IFERROR(IF([2]对账明细接口!$I$837=0,"",[2]对账明细接口!$I$837),"")</f>
        <v/>
      </c>
      <c r="J837" s="18" t="str">
        <f>IFERROR(IF([2]对账明细接口!$J$837=0,"",[2]对账明细接口!$J$837),"")</f>
        <v/>
      </c>
      <c r="K837" s="18" t="str">
        <f>IFERROR(IF([2]对账明细接口!$K$837=0,"",[2]对账明细接口!$K$837),"")</f>
        <v/>
      </c>
      <c r="L837" s="16" t="str">
        <f>IFERROR(IF([2]对账明细接口!$L$837=0,"",[2]对账明细接口!$L$837),"")</f>
        <v/>
      </c>
      <c r="M837" s="16" t="str">
        <f>IFERROR(IF([2]对账明细接口!$M$837=0,"",[2]对账明细接口!$M$837),"")</f>
        <v/>
      </c>
      <c r="N837" s="19">
        <f t="shared" si="78"/>
        <v>0</v>
      </c>
      <c r="O837" s="19">
        <f t="shared" si="79"/>
        <v>165</v>
      </c>
      <c r="S837" s="20" t="str">
        <f>IFERROR(IF([2]对账明细接口!$N837=0,"",[2]对账明细接口!$N837),"")</f>
        <v/>
      </c>
      <c r="T837" s="21" t="str">
        <f>IFERROR(IF([2]对账明细接口!$O837=0,"",[2]对账明细接口!$O837),"")</f>
        <v/>
      </c>
      <c r="U837" s="21" t="str">
        <f>IFERROR(IF([2]对账明细接口!$P837=0,"",[2]对账明细接口!$P837),"")</f>
        <v/>
      </c>
      <c r="V837" s="21" t="str">
        <f>IFERROR(IF([2]对账明细接口!$Q837=0,"",[2]对账明细接口!$Q837),"")</f>
        <v/>
      </c>
      <c r="W837" s="20" t="str">
        <f>IFERROR(IF([2]对账明细接口!$R837=0,"",[2]对账明细接口!$R837),"")</f>
        <v/>
      </c>
      <c r="X837" s="20" t="str">
        <f>IFERROR(IF([2]对账明细接口!$S837=0,"",[2]对账明细接口!$S837),"")</f>
        <v/>
      </c>
      <c r="Y837" s="20" t="str">
        <f t="shared" si="80"/>
        <v/>
      </c>
      <c r="Z837" s="20" t="str">
        <f t="shared" si="81"/>
        <v/>
      </c>
      <c r="AA837" s="20" t="str">
        <f t="shared" si="82"/>
        <v/>
      </c>
      <c r="AB837" s="20" t="str">
        <f t="shared" si="83"/>
        <v/>
      </c>
    </row>
    <row r="838" customHeight="1" spans="1:28">
      <c r="A838" s="14">
        <v>838</v>
      </c>
      <c r="B838" s="15" t="str">
        <f>IFERROR(IF([2]对账明细接口!$B$838=0,"",[2]对账明细接口!$B$838),"")</f>
        <v/>
      </c>
      <c r="C838" s="16" t="str">
        <f>IFERROR(IF([2]对账明细接口!$C$838=0,"",[2]对账明细接口!$C$838),"")</f>
        <v/>
      </c>
      <c r="D838" s="16" t="str">
        <f>IFERROR(IF([2]对账明细接口!$D$838=0,"",[2]对账明细接口!$D$838),"")</f>
        <v/>
      </c>
      <c r="E838" s="16" t="str">
        <f>IFERROR(IF([2]对账明细接口!$E$838=0,"",[2]对账明细接口!$E$838),"")</f>
        <v/>
      </c>
      <c r="F838" s="16" t="str">
        <f>IFERROR(IF([2]对账明细接口!$F$838=0,"",[2]对账明细接口!$F$838),"")</f>
        <v/>
      </c>
      <c r="G838" s="16" t="str">
        <f>IFERROR(IF([2]对账明细接口!$G$838=0,"",[2]对账明细接口!$G$838),"")</f>
        <v/>
      </c>
      <c r="H838" s="17" t="str">
        <f>IFERROR(IF([2]对账明细接口!$H$838=0,"",[2]对账明细接口!$H$838),"")</f>
        <v/>
      </c>
      <c r="I838" s="16" t="str">
        <f>IFERROR(IF([2]对账明细接口!$I$838=0,"",[2]对账明细接口!$I$838),"")</f>
        <v/>
      </c>
      <c r="J838" s="18" t="str">
        <f>IFERROR(IF([2]对账明细接口!$J$838=0,"",[2]对账明细接口!$J$838),"")</f>
        <v/>
      </c>
      <c r="K838" s="18" t="str">
        <f>IFERROR(IF([2]对账明细接口!$K$838=0,"",[2]对账明细接口!$K$838),"")</f>
        <v/>
      </c>
      <c r="L838" s="16" t="str">
        <f>IFERROR(IF([2]对账明细接口!$L$838=0,"",[2]对账明细接口!$L$838),"")</f>
        <v/>
      </c>
      <c r="M838" s="16" t="str">
        <f>IFERROR(IF([2]对账明细接口!$M$838=0,"",[2]对账明细接口!$M$838),"")</f>
        <v/>
      </c>
      <c r="N838" s="19">
        <f t="shared" si="78"/>
        <v>0</v>
      </c>
      <c r="O838" s="19">
        <f t="shared" si="79"/>
        <v>165</v>
      </c>
      <c r="S838" s="20" t="str">
        <f>IFERROR(IF([2]对账明细接口!$N838=0,"",[2]对账明细接口!$N838),"")</f>
        <v/>
      </c>
      <c r="T838" s="21" t="str">
        <f>IFERROR(IF([2]对账明细接口!$O838=0,"",[2]对账明细接口!$O838),"")</f>
        <v/>
      </c>
      <c r="U838" s="21" t="str">
        <f>IFERROR(IF([2]对账明细接口!$P838=0,"",[2]对账明细接口!$P838),"")</f>
        <v/>
      </c>
      <c r="V838" s="21" t="str">
        <f>IFERROR(IF([2]对账明细接口!$Q838=0,"",[2]对账明细接口!$Q838),"")</f>
        <v/>
      </c>
      <c r="W838" s="20" t="str">
        <f>IFERROR(IF([2]对账明细接口!$R838=0,"",[2]对账明细接口!$R838),"")</f>
        <v/>
      </c>
      <c r="X838" s="20" t="str">
        <f>IFERROR(IF([2]对账明细接口!$S838=0,"",[2]对账明细接口!$S838),"")</f>
        <v/>
      </c>
      <c r="Y838" s="20" t="str">
        <f t="shared" si="80"/>
        <v/>
      </c>
      <c r="Z838" s="20" t="str">
        <f t="shared" si="81"/>
        <v/>
      </c>
      <c r="AA838" s="20" t="str">
        <f t="shared" si="82"/>
        <v/>
      </c>
      <c r="AB838" s="20" t="str">
        <f t="shared" si="83"/>
        <v/>
      </c>
    </row>
    <row r="839" customHeight="1" spans="1:28">
      <c r="A839" s="14">
        <v>839</v>
      </c>
      <c r="B839" s="15" t="str">
        <f>IFERROR(IF([2]对账明细接口!$B$839=0,"",[2]对账明细接口!$B$839),"")</f>
        <v/>
      </c>
      <c r="C839" s="16" t="str">
        <f>IFERROR(IF([2]对账明细接口!$C$839=0,"",[2]对账明细接口!$C$839),"")</f>
        <v/>
      </c>
      <c r="D839" s="16" t="str">
        <f>IFERROR(IF([2]对账明细接口!$D$839=0,"",[2]对账明细接口!$D$839),"")</f>
        <v/>
      </c>
      <c r="E839" s="16" t="str">
        <f>IFERROR(IF([2]对账明细接口!$E$839=0,"",[2]对账明细接口!$E$839),"")</f>
        <v/>
      </c>
      <c r="F839" s="16" t="str">
        <f>IFERROR(IF([2]对账明细接口!$F$839=0,"",[2]对账明细接口!$F$839),"")</f>
        <v/>
      </c>
      <c r="G839" s="16" t="str">
        <f>IFERROR(IF([2]对账明细接口!$G$839=0,"",[2]对账明细接口!$G$839),"")</f>
        <v/>
      </c>
      <c r="H839" s="17" t="str">
        <f>IFERROR(IF([2]对账明细接口!$H$839=0,"",[2]对账明细接口!$H$839),"")</f>
        <v/>
      </c>
      <c r="I839" s="16" t="str">
        <f>IFERROR(IF([2]对账明细接口!$I$839=0,"",[2]对账明细接口!$I$839),"")</f>
        <v/>
      </c>
      <c r="J839" s="18" t="str">
        <f>IFERROR(IF([2]对账明细接口!$J$839=0,"",[2]对账明细接口!$J$839),"")</f>
        <v/>
      </c>
      <c r="K839" s="18" t="str">
        <f>IFERROR(IF([2]对账明细接口!$K$839=0,"",[2]对账明细接口!$K$839),"")</f>
        <v/>
      </c>
      <c r="L839" s="16" t="str">
        <f>IFERROR(IF([2]对账明细接口!$L$839=0,"",[2]对账明细接口!$L$839),"")</f>
        <v/>
      </c>
      <c r="M839" s="16" t="str">
        <f>IFERROR(IF([2]对账明细接口!$M$839=0,"",[2]对账明细接口!$M$839),"")</f>
        <v/>
      </c>
      <c r="N839" s="19">
        <f t="shared" si="78"/>
        <v>0</v>
      </c>
      <c r="O839" s="19">
        <f t="shared" si="79"/>
        <v>165</v>
      </c>
      <c r="S839" s="20" t="str">
        <f>IFERROR(IF([2]对账明细接口!$N839=0,"",[2]对账明细接口!$N839),"")</f>
        <v/>
      </c>
      <c r="T839" s="21" t="str">
        <f>IFERROR(IF([2]对账明细接口!$O839=0,"",[2]对账明细接口!$O839),"")</f>
        <v/>
      </c>
      <c r="U839" s="21" t="str">
        <f>IFERROR(IF([2]对账明细接口!$P839=0,"",[2]对账明细接口!$P839),"")</f>
        <v/>
      </c>
      <c r="V839" s="21" t="str">
        <f>IFERROR(IF([2]对账明细接口!$Q839=0,"",[2]对账明细接口!$Q839),"")</f>
        <v/>
      </c>
      <c r="W839" s="20" t="str">
        <f>IFERROR(IF([2]对账明细接口!$R839=0,"",[2]对账明细接口!$R839),"")</f>
        <v/>
      </c>
      <c r="X839" s="20" t="str">
        <f>IFERROR(IF([2]对账明细接口!$S839=0,"",[2]对账明细接口!$S839),"")</f>
        <v/>
      </c>
      <c r="Y839" s="20" t="str">
        <f t="shared" si="80"/>
        <v/>
      </c>
      <c r="Z839" s="20" t="str">
        <f t="shared" si="81"/>
        <v/>
      </c>
      <c r="AA839" s="20" t="str">
        <f t="shared" si="82"/>
        <v/>
      </c>
      <c r="AB839" s="20" t="str">
        <f t="shared" si="83"/>
        <v/>
      </c>
    </row>
    <row r="840" customHeight="1" spans="1:28">
      <c r="A840" s="14">
        <v>840</v>
      </c>
      <c r="B840" s="15" t="str">
        <f>IFERROR(IF([2]对账明细接口!$B$840=0,"",[2]对账明细接口!$B$840),"")</f>
        <v/>
      </c>
      <c r="C840" s="16" t="str">
        <f>IFERROR(IF([2]对账明细接口!$C$840=0,"",[2]对账明细接口!$C$840),"")</f>
        <v/>
      </c>
      <c r="D840" s="16" t="str">
        <f>IFERROR(IF([2]对账明细接口!$D$840=0,"",[2]对账明细接口!$D$840),"")</f>
        <v/>
      </c>
      <c r="E840" s="16" t="str">
        <f>IFERROR(IF([2]对账明细接口!$E$840=0,"",[2]对账明细接口!$E$840),"")</f>
        <v/>
      </c>
      <c r="F840" s="16" t="str">
        <f>IFERROR(IF([2]对账明细接口!$F$840=0,"",[2]对账明细接口!$F$840),"")</f>
        <v/>
      </c>
      <c r="G840" s="16" t="str">
        <f>IFERROR(IF([2]对账明细接口!$G$840=0,"",[2]对账明细接口!$G$840),"")</f>
        <v/>
      </c>
      <c r="H840" s="17" t="str">
        <f>IFERROR(IF([2]对账明细接口!$H$840=0,"",[2]对账明细接口!$H$840),"")</f>
        <v/>
      </c>
      <c r="I840" s="16" t="str">
        <f>IFERROR(IF([2]对账明细接口!$I$840=0,"",[2]对账明细接口!$I$840),"")</f>
        <v/>
      </c>
      <c r="J840" s="18" t="str">
        <f>IFERROR(IF([2]对账明细接口!$J$840=0,"",[2]对账明细接口!$J$840),"")</f>
        <v/>
      </c>
      <c r="K840" s="18" t="str">
        <f>IFERROR(IF([2]对账明细接口!$K$840=0,"",[2]对账明细接口!$K$840),"")</f>
        <v/>
      </c>
      <c r="L840" s="16" t="str">
        <f>IFERROR(IF([2]对账明细接口!$L$840=0,"",[2]对账明细接口!$L$840),"")</f>
        <v/>
      </c>
      <c r="M840" s="16" t="str">
        <f>IFERROR(IF([2]对账明细接口!$M$840=0,"",[2]对账明细接口!$M$840),"")</f>
        <v/>
      </c>
      <c r="N840" s="19">
        <f t="shared" si="78"/>
        <v>0</v>
      </c>
      <c r="O840" s="19">
        <f t="shared" si="79"/>
        <v>165</v>
      </c>
      <c r="S840" s="20" t="str">
        <f>IFERROR(IF([2]对账明细接口!$N840=0,"",[2]对账明细接口!$N840),"")</f>
        <v/>
      </c>
      <c r="T840" s="21" t="str">
        <f>IFERROR(IF([2]对账明细接口!$O840=0,"",[2]对账明细接口!$O840),"")</f>
        <v/>
      </c>
      <c r="U840" s="21" t="str">
        <f>IFERROR(IF([2]对账明细接口!$P840=0,"",[2]对账明细接口!$P840),"")</f>
        <v/>
      </c>
      <c r="V840" s="21" t="str">
        <f>IFERROR(IF([2]对账明细接口!$Q840=0,"",[2]对账明细接口!$Q840),"")</f>
        <v/>
      </c>
      <c r="W840" s="20" t="str">
        <f>IFERROR(IF([2]对账明细接口!$R840=0,"",[2]对账明细接口!$R840),"")</f>
        <v/>
      </c>
      <c r="X840" s="20" t="str">
        <f>IFERROR(IF([2]对账明细接口!$S840=0,"",[2]对账明细接口!$S840),"")</f>
        <v/>
      </c>
      <c r="Y840" s="20" t="str">
        <f t="shared" si="80"/>
        <v/>
      </c>
      <c r="Z840" s="20" t="str">
        <f t="shared" si="81"/>
        <v/>
      </c>
      <c r="AA840" s="20" t="str">
        <f t="shared" si="82"/>
        <v/>
      </c>
      <c r="AB840" s="20" t="str">
        <f t="shared" si="83"/>
        <v/>
      </c>
    </row>
    <row r="841" customHeight="1" spans="1:28">
      <c r="A841" s="14">
        <v>841</v>
      </c>
      <c r="B841" s="15" t="str">
        <f>IFERROR(IF([2]对账明细接口!$B$841=0,"",[2]对账明细接口!$B$841),"")</f>
        <v/>
      </c>
      <c r="C841" s="16" t="str">
        <f>IFERROR(IF([2]对账明细接口!$C$841=0,"",[2]对账明细接口!$C$841),"")</f>
        <v/>
      </c>
      <c r="D841" s="16" t="str">
        <f>IFERROR(IF([2]对账明细接口!$D$841=0,"",[2]对账明细接口!$D$841),"")</f>
        <v/>
      </c>
      <c r="E841" s="16" t="str">
        <f>IFERROR(IF([2]对账明细接口!$E$841=0,"",[2]对账明细接口!$E$841),"")</f>
        <v/>
      </c>
      <c r="F841" s="16" t="str">
        <f>IFERROR(IF([2]对账明细接口!$F$841=0,"",[2]对账明细接口!$F$841),"")</f>
        <v/>
      </c>
      <c r="G841" s="16" t="str">
        <f>IFERROR(IF([2]对账明细接口!$G$841=0,"",[2]对账明细接口!$G$841),"")</f>
        <v/>
      </c>
      <c r="H841" s="17" t="str">
        <f>IFERROR(IF([2]对账明细接口!$H$841=0,"",[2]对账明细接口!$H$841),"")</f>
        <v/>
      </c>
      <c r="I841" s="16" t="str">
        <f>IFERROR(IF([2]对账明细接口!$I$841=0,"",[2]对账明细接口!$I$841),"")</f>
        <v/>
      </c>
      <c r="J841" s="18" t="str">
        <f>IFERROR(IF([2]对账明细接口!$J$841=0,"",[2]对账明细接口!$J$841),"")</f>
        <v/>
      </c>
      <c r="K841" s="18" t="str">
        <f>IFERROR(IF([2]对账明细接口!$K$841=0,"",[2]对账明细接口!$K$841),"")</f>
        <v/>
      </c>
      <c r="L841" s="16" t="str">
        <f>IFERROR(IF([2]对账明细接口!$L$841=0,"",[2]对账明细接口!$L$841),"")</f>
        <v/>
      </c>
      <c r="M841" s="16" t="str">
        <f>IFERROR(IF([2]对账明细接口!$M$841=0,"",[2]对账明细接口!$M$841),"")</f>
        <v/>
      </c>
      <c r="N841" s="19">
        <f t="shared" si="78"/>
        <v>0</v>
      </c>
      <c r="O841" s="19">
        <f t="shared" si="79"/>
        <v>165</v>
      </c>
      <c r="S841" s="20" t="str">
        <f>IFERROR(IF([2]对账明细接口!$N841=0,"",[2]对账明细接口!$N841),"")</f>
        <v/>
      </c>
      <c r="T841" s="21" t="str">
        <f>IFERROR(IF([2]对账明细接口!$O841=0,"",[2]对账明细接口!$O841),"")</f>
        <v/>
      </c>
      <c r="U841" s="21" t="str">
        <f>IFERROR(IF([2]对账明细接口!$P841=0,"",[2]对账明细接口!$P841),"")</f>
        <v/>
      </c>
      <c r="V841" s="21" t="str">
        <f>IFERROR(IF([2]对账明细接口!$Q841=0,"",[2]对账明细接口!$Q841),"")</f>
        <v/>
      </c>
      <c r="W841" s="20" t="str">
        <f>IFERROR(IF([2]对账明细接口!$R841=0,"",[2]对账明细接口!$R841),"")</f>
        <v/>
      </c>
      <c r="X841" s="20" t="str">
        <f>IFERROR(IF([2]对账明细接口!$S841=0,"",[2]对账明细接口!$S841),"")</f>
        <v/>
      </c>
      <c r="Y841" s="20" t="str">
        <f t="shared" si="80"/>
        <v/>
      </c>
      <c r="Z841" s="20" t="str">
        <f t="shared" si="81"/>
        <v/>
      </c>
      <c r="AA841" s="20" t="str">
        <f t="shared" si="82"/>
        <v/>
      </c>
      <c r="AB841" s="20" t="str">
        <f t="shared" si="83"/>
        <v/>
      </c>
    </row>
    <row r="842" customHeight="1" spans="1:28">
      <c r="A842" s="14">
        <v>842</v>
      </c>
      <c r="B842" s="15" t="str">
        <f>IFERROR(IF([2]对账明细接口!$B$842=0,"",[2]对账明细接口!$B$842),"")</f>
        <v/>
      </c>
      <c r="C842" s="16" t="str">
        <f>IFERROR(IF([2]对账明细接口!$C$842=0,"",[2]对账明细接口!$C$842),"")</f>
        <v/>
      </c>
      <c r="D842" s="16" t="str">
        <f>IFERROR(IF([2]对账明细接口!$D$842=0,"",[2]对账明细接口!$D$842),"")</f>
        <v/>
      </c>
      <c r="E842" s="16" t="str">
        <f>IFERROR(IF([2]对账明细接口!$E$842=0,"",[2]对账明细接口!$E$842),"")</f>
        <v/>
      </c>
      <c r="F842" s="16" t="str">
        <f>IFERROR(IF([2]对账明细接口!$F$842=0,"",[2]对账明细接口!$F$842),"")</f>
        <v/>
      </c>
      <c r="G842" s="16" t="str">
        <f>IFERROR(IF([2]对账明细接口!$G$842=0,"",[2]对账明细接口!$G$842),"")</f>
        <v/>
      </c>
      <c r="H842" s="17" t="str">
        <f>IFERROR(IF([2]对账明细接口!$H$842=0,"",[2]对账明细接口!$H$842),"")</f>
        <v/>
      </c>
      <c r="I842" s="16" t="str">
        <f>IFERROR(IF([2]对账明细接口!$I$842=0,"",[2]对账明细接口!$I$842),"")</f>
        <v/>
      </c>
      <c r="J842" s="18" t="str">
        <f>IFERROR(IF([2]对账明细接口!$J$842=0,"",[2]对账明细接口!$J$842),"")</f>
        <v/>
      </c>
      <c r="K842" s="18" t="str">
        <f>IFERROR(IF([2]对账明细接口!$K$842=0,"",[2]对账明细接口!$K$842),"")</f>
        <v/>
      </c>
      <c r="L842" s="16" t="str">
        <f>IFERROR(IF([2]对账明细接口!$L$842=0,"",[2]对账明细接口!$L$842),"")</f>
        <v/>
      </c>
      <c r="M842" s="16" t="str">
        <f>IFERROR(IF([2]对账明细接口!$M$842=0,"",[2]对账明细接口!$M$842),"")</f>
        <v/>
      </c>
      <c r="N842" s="19">
        <f t="shared" si="78"/>
        <v>0</v>
      </c>
      <c r="O842" s="19">
        <f t="shared" si="79"/>
        <v>165</v>
      </c>
      <c r="S842" s="20" t="str">
        <f>IFERROR(IF([2]对账明细接口!$N842=0,"",[2]对账明细接口!$N842),"")</f>
        <v/>
      </c>
      <c r="T842" s="21" t="str">
        <f>IFERROR(IF([2]对账明细接口!$O842=0,"",[2]对账明细接口!$O842),"")</f>
        <v/>
      </c>
      <c r="U842" s="21" t="str">
        <f>IFERROR(IF([2]对账明细接口!$P842=0,"",[2]对账明细接口!$P842),"")</f>
        <v/>
      </c>
      <c r="V842" s="21" t="str">
        <f>IFERROR(IF([2]对账明细接口!$Q842=0,"",[2]对账明细接口!$Q842),"")</f>
        <v/>
      </c>
      <c r="W842" s="20" t="str">
        <f>IFERROR(IF([2]对账明细接口!$R842=0,"",[2]对账明细接口!$R842),"")</f>
        <v/>
      </c>
      <c r="X842" s="20" t="str">
        <f>IFERROR(IF([2]对账明细接口!$S842=0,"",[2]对账明细接口!$S842),"")</f>
        <v/>
      </c>
      <c r="Y842" s="20" t="str">
        <f t="shared" si="80"/>
        <v/>
      </c>
      <c r="Z842" s="20" t="str">
        <f t="shared" si="81"/>
        <v/>
      </c>
      <c r="AA842" s="20" t="str">
        <f t="shared" si="82"/>
        <v/>
      </c>
      <c r="AB842" s="20" t="str">
        <f t="shared" si="83"/>
        <v/>
      </c>
    </row>
    <row r="843" customHeight="1" spans="1:28">
      <c r="A843" s="14">
        <v>843</v>
      </c>
      <c r="B843" s="15" t="str">
        <f>IFERROR(IF([2]对账明细接口!$B$843=0,"",[2]对账明细接口!$B$843),"")</f>
        <v/>
      </c>
      <c r="C843" s="16" t="str">
        <f>IFERROR(IF([2]对账明细接口!$C$843=0,"",[2]对账明细接口!$C$843),"")</f>
        <v/>
      </c>
      <c r="D843" s="16" t="str">
        <f>IFERROR(IF([2]对账明细接口!$D$843=0,"",[2]对账明细接口!$D$843),"")</f>
        <v/>
      </c>
      <c r="E843" s="16" t="str">
        <f>IFERROR(IF([2]对账明细接口!$E$843=0,"",[2]对账明细接口!$E$843),"")</f>
        <v/>
      </c>
      <c r="F843" s="16" t="str">
        <f>IFERROR(IF([2]对账明细接口!$F$843=0,"",[2]对账明细接口!$F$843),"")</f>
        <v/>
      </c>
      <c r="G843" s="16" t="str">
        <f>IFERROR(IF([2]对账明细接口!$G$843=0,"",[2]对账明细接口!$G$843),"")</f>
        <v/>
      </c>
      <c r="H843" s="17" t="str">
        <f>IFERROR(IF([2]对账明细接口!$H$843=0,"",[2]对账明细接口!$H$843),"")</f>
        <v/>
      </c>
      <c r="I843" s="16" t="str">
        <f>IFERROR(IF([2]对账明细接口!$I$843=0,"",[2]对账明细接口!$I$843),"")</f>
        <v/>
      </c>
      <c r="J843" s="18" t="str">
        <f>IFERROR(IF([2]对账明细接口!$J$843=0,"",[2]对账明细接口!$J$843),"")</f>
        <v/>
      </c>
      <c r="K843" s="18" t="str">
        <f>IFERROR(IF([2]对账明细接口!$K$843=0,"",[2]对账明细接口!$K$843),"")</f>
        <v/>
      </c>
      <c r="L843" s="16" t="str">
        <f>IFERROR(IF([2]对账明细接口!$L$843=0,"",[2]对账明细接口!$L$843),"")</f>
        <v/>
      </c>
      <c r="M843" s="16" t="str">
        <f>IFERROR(IF([2]对账明细接口!$M$843=0,"",[2]对账明细接口!$M$843),"")</f>
        <v/>
      </c>
      <c r="N843" s="19">
        <f t="shared" si="78"/>
        <v>0</v>
      </c>
      <c r="O843" s="19">
        <f t="shared" si="79"/>
        <v>165</v>
      </c>
      <c r="S843" s="20" t="str">
        <f>IFERROR(IF([2]对账明细接口!$N843=0,"",[2]对账明细接口!$N843),"")</f>
        <v/>
      </c>
      <c r="T843" s="21" t="str">
        <f>IFERROR(IF([2]对账明细接口!$O843=0,"",[2]对账明细接口!$O843),"")</f>
        <v/>
      </c>
      <c r="U843" s="21" t="str">
        <f>IFERROR(IF([2]对账明细接口!$P843=0,"",[2]对账明细接口!$P843),"")</f>
        <v/>
      </c>
      <c r="V843" s="21" t="str">
        <f>IFERROR(IF([2]对账明细接口!$Q843=0,"",[2]对账明细接口!$Q843),"")</f>
        <v/>
      </c>
      <c r="W843" s="20" t="str">
        <f>IFERROR(IF([2]对账明细接口!$R843=0,"",[2]对账明细接口!$R843),"")</f>
        <v/>
      </c>
      <c r="X843" s="20" t="str">
        <f>IFERROR(IF([2]对账明细接口!$S843=0,"",[2]对账明细接口!$S843),"")</f>
        <v/>
      </c>
      <c r="Y843" s="20" t="str">
        <f t="shared" si="80"/>
        <v/>
      </c>
      <c r="Z843" s="20" t="str">
        <f t="shared" si="81"/>
        <v/>
      </c>
      <c r="AA843" s="20" t="str">
        <f t="shared" si="82"/>
        <v/>
      </c>
      <c r="AB843" s="20" t="str">
        <f t="shared" si="83"/>
        <v/>
      </c>
    </row>
    <row r="844" customHeight="1" spans="1:28">
      <c r="A844" s="14">
        <v>844</v>
      </c>
      <c r="B844" s="15" t="str">
        <f>IFERROR(IF([2]对账明细接口!$B$844=0,"",[2]对账明细接口!$B$844),"")</f>
        <v/>
      </c>
      <c r="C844" s="16" t="str">
        <f>IFERROR(IF([2]对账明细接口!$C$844=0,"",[2]对账明细接口!$C$844),"")</f>
        <v/>
      </c>
      <c r="D844" s="16" t="str">
        <f>IFERROR(IF([2]对账明细接口!$D$844=0,"",[2]对账明细接口!$D$844),"")</f>
        <v/>
      </c>
      <c r="E844" s="16" t="str">
        <f>IFERROR(IF([2]对账明细接口!$E$844=0,"",[2]对账明细接口!$E$844),"")</f>
        <v/>
      </c>
      <c r="F844" s="16" t="str">
        <f>IFERROR(IF([2]对账明细接口!$F$844=0,"",[2]对账明细接口!$F$844),"")</f>
        <v/>
      </c>
      <c r="G844" s="16" t="str">
        <f>IFERROR(IF([2]对账明细接口!$G$844=0,"",[2]对账明细接口!$G$844),"")</f>
        <v/>
      </c>
      <c r="H844" s="17" t="str">
        <f>IFERROR(IF([2]对账明细接口!$H$844=0,"",[2]对账明细接口!$H$844),"")</f>
        <v/>
      </c>
      <c r="I844" s="16" t="str">
        <f>IFERROR(IF([2]对账明细接口!$I$844=0,"",[2]对账明细接口!$I$844),"")</f>
        <v/>
      </c>
      <c r="J844" s="18" t="str">
        <f>IFERROR(IF([2]对账明细接口!$J$844=0,"",[2]对账明细接口!$J$844),"")</f>
        <v/>
      </c>
      <c r="K844" s="18" t="str">
        <f>IFERROR(IF([2]对账明细接口!$K$844=0,"",[2]对账明细接口!$K$844),"")</f>
        <v/>
      </c>
      <c r="L844" s="16" t="str">
        <f>IFERROR(IF([2]对账明细接口!$L$844=0,"",[2]对账明细接口!$L$844),"")</f>
        <v/>
      </c>
      <c r="M844" s="16" t="str">
        <f>IFERROR(IF([2]对账明细接口!$M$844=0,"",[2]对账明细接口!$M$844),"")</f>
        <v/>
      </c>
      <c r="N844" s="19">
        <f t="shared" si="78"/>
        <v>0</v>
      </c>
      <c r="O844" s="19">
        <f t="shared" si="79"/>
        <v>165</v>
      </c>
      <c r="S844" s="20" t="str">
        <f>IFERROR(IF([2]对账明细接口!$N844=0,"",[2]对账明细接口!$N844),"")</f>
        <v/>
      </c>
      <c r="T844" s="21" t="str">
        <f>IFERROR(IF([2]对账明细接口!$O844=0,"",[2]对账明细接口!$O844),"")</f>
        <v/>
      </c>
      <c r="U844" s="21" t="str">
        <f>IFERROR(IF([2]对账明细接口!$P844=0,"",[2]对账明细接口!$P844),"")</f>
        <v/>
      </c>
      <c r="V844" s="21" t="str">
        <f>IFERROR(IF([2]对账明细接口!$Q844=0,"",[2]对账明细接口!$Q844),"")</f>
        <v/>
      </c>
      <c r="W844" s="20" t="str">
        <f>IFERROR(IF([2]对账明细接口!$R844=0,"",[2]对账明细接口!$R844),"")</f>
        <v/>
      </c>
      <c r="X844" s="20" t="str">
        <f>IFERROR(IF([2]对账明细接口!$S844=0,"",[2]对账明细接口!$S844),"")</f>
        <v/>
      </c>
      <c r="Y844" s="20" t="str">
        <f t="shared" si="80"/>
        <v/>
      </c>
      <c r="Z844" s="20" t="str">
        <f t="shared" si="81"/>
        <v/>
      </c>
      <c r="AA844" s="20" t="str">
        <f t="shared" si="82"/>
        <v/>
      </c>
      <c r="AB844" s="20" t="str">
        <f t="shared" si="83"/>
        <v/>
      </c>
    </row>
    <row r="845" customHeight="1" spans="1:28">
      <c r="A845" s="14">
        <v>845</v>
      </c>
      <c r="B845" s="15" t="str">
        <f>IFERROR(IF([2]对账明细接口!$B$845=0,"",[2]对账明细接口!$B$845),"")</f>
        <v/>
      </c>
      <c r="C845" s="16" t="str">
        <f>IFERROR(IF([2]对账明细接口!$C$845=0,"",[2]对账明细接口!$C$845),"")</f>
        <v/>
      </c>
      <c r="D845" s="16" t="str">
        <f>IFERROR(IF([2]对账明细接口!$D$845=0,"",[2]对账明细接口!$D$845),"")</f>
        <v/>
      </c>
      <c r="E845" s="16" t="str">
        <f>IFERROR(IF([2]对账明细接口!$E$845=0,"",[2]对账明细接口!$E$845),"")</f>
        <v/>
      </c>
      <c r="F845" s="16" t="str">
        <f>IFERROR(IF([2]对账明细接口!$F$845=0,"",[2]对账明细接口!$F$845),"")</f>
        <v/>
      </c>
      <c r="G845" s="16" t="str">
        <f>IFERROR(IF([2]对账明细接口!$G$845=0,"",[2]对账明细接口!$G$845),"")</f>
        <v/>
      </c>
      <c r="H845" s="17" t="str">
        <f>IFERROR(IF([2]对账明细接口!$H$845=0,"",[2]对账明细接口!$H$845),"")</f>
        <v/>
      </c>
      <c r="I845" s="16" t="str">
        <f>IFERROR(IF([2]对账明细接口!$I$845=0,"",[2]对账明细接口!$I$845),"")</f>
        <v/>
      </c>
      <c r="J845" s="18" t="str">
        <f>IFERROR(IF([2]对账明细接口!$J$845=0,"",[2]对账明细接口!$J$845),"")</f>
        <v/>
      </c>
      <c r="K845" s="18" t="str">
        <f>IFERROR(IF([2]对账明细接口!$K$845=0,"",[2]对账明细接口!$K$845),"")</f>
        <v/>
      </c>
      <c r="L845" s="16" t="str">
        <f>IFERROR(IF([2]对账明细接口!$L$845=0,"",[2]对账明细接口!$L$845),"")</f>
        <v/>
      </c>
      <c r="M845" s="16" t="str">
        <f>IFERROR(IF([2]对账明细接口!$M$845=0,"",[2]对账明细接口!$M$845),"")</f>
        <v/>
      </c>
      <c r="N845" s="19">
        <f t="shared" si="78"/>
        <v>0</v>
      </c>
      <c r="O845" s="19">
        <f t="shared" si="79"/>
        <v>165</v>
      </c>
      <c r="S845" s="20" t="str">
        <f>IFERROR(IF([2]对账明细接口!$N845=0,"",[2]对账明细接口!$N845),"")</f>
        <v/>
      </c>
      <c r="T845" s="21" t="str">
        <f>IFERROR(IF([2]对账明细接口!$O845=0,"",[2]对账明细接口!$O845),"")</f>
        <v/>
      </c>
      <c r="U845" s="21" t="str">
        <f>IFERROR(IF([2]对账明细接口!$P845=0,"",[2]对账明细接口!$P845),"")</f>
        <v/>
      </c>
      <c r="V845" s="21" t="str">
        <f>IFERROR(IF([2]对账明细接口!$Q845=0,"",[2]对账明细接口!$Q845),"")</f>
        <v/>
      </c>
      <c r="W845" s="20" t="str">
        <f>IFERROR(IF([2]对账明细接口!$R845=0,"",[2]对账明细接口!$R845),"")</f>
        <v/>
      </c>
      <c r="X845" s="20" t="str">
        <f>IFERROR(IF([2]对账明细接口!$S845=0,"",[2]对账明细接口!$S845),"")</f>
        <v/>
      </c>
      <c r="Y845" s="20" t="str">
        <f t="shared" si="80"/>
        <v/>
      </c>
      <c r="Z845" s="20" t="str">
        <f t="shared" si="81"/>
        <v/>
      </c>
      <c r="AA845" s="20" t="str">
        <f t="shared" si="82"/>
        <v/>
      </c>
      <c r="AB845" s="20" t="str">
        <f t="shared" si="83"/>
        <v/>
      </c>
    </row>
    <row r="846" customHeight="1" spans="1:28">
      <c r="A846" s="14">
        <v>846</v>
      </c>
      <c r="B846" s="15" t="str">
        <f>IFERROR(IF([2]对账明细接口!$B$846=0,"",[2]对账明细接口!$B$846),"")</f>
        <v/>
      </c>
      <c r="C846" s="16" t="str">
        <f>IFERROR(IF([2]对账明细接口!$C$846=0,"",[2]对账明细接口!$C$846),"")</f>
        <v/>
      </c>
      <c r="D846" s="16" t="str">
        <f>IFERROR(IF([2]对账明细接口!$D$846=0,"",[2]对账明细接口!$D$846),"")</f>
        <v/>
      </c>
      <c r="E846" s="16" t="str">
        <f>IFERROR(IF([2]对账明细接口!$E$846=0,"",[2]对账明细接口!$E$846),"")</f>
        <v/>
      </c>
      <c r="F846" s="16" t="str">
        <f>IFERROR(IF([2]对账明细接口!$F$846=0,"",[2]对账明细接口!$F$846),"")</f>
        <v/>
      </c>
      <c r="G846" s="16" t="str">
        <f>IFERROR(IF([2]对账明细接口!$G$846=0,"",[2]对账明细接口!$G$846),"")</f>
        <v/>
      </c>
      <c r="H846" s="17" t="str">
        <f>IFERROR(IF([2]对账明细接口!$H$846=0,"",[2]对账明细接口!$H$846),"")</f>
        <v/>
      </c>
      <c r="I846" s="16" t="str">
        <f>IFERROR(IF([2]对账明细接口!$I$846=0,"",[2]对账明细接口!$I$846),"")</f>
        <v/>
      </c>
      <c r="J846" s="18" t="str">
        <f>IFERROR(IF([2]对账明细接口!$J$846=0,"",[2]对账明细接口!$J$846),"")</f>
        <v/>
      </c>
      <c r="K846" s="18" t="str">
        <f>IFERROR(IF([2]对账明细接口!$K$846=0,"",[2]对账明细接口!$K$846),"")</f>
        <v/>
      </c>
      <c r="L846" s="16" t="str">
        <f>IFERROR(IF([2]对账明细接口!$L$846=0,"",[2]对账明细接口!$L$846),"")</f>
        <v/>
      </c>
      <c r="M846" s="16" t="str">
        <f>IFERROR(IF([2]对账明细接口!$M$846=0,"",[2]对账明细接口!$M$846),"")</f>
        <v/>
      </c>
      <c r="N846" s="19">
        <f t="shared" si="78"/>
        <v>0</v>
      </c>
      <c r="O846" s="19">
        <f t="shared" si="79"/>
        <v>165</v>
      </c>
      <c r="S846" s="20" t="str">
        <f>IFERROR(IF([2]对账明细接口!$N846=0,"",[2]对账明细接口!$N846),"")</f>
        <v/>
      </c>
      <c r="T846" s="21" t="str">
        <f>IFERROR(IF([2]对账明细接口!$O846=0,"",[2]对账明细接口!$O846),"")</f>
        <v/>
      </c>
      <c r="U846" s="21" t="str">
        <f>IFERROR(IF([2]对账明细接口!$P846=0,"",[2]对账明细接口!$P846),"")</f>
        <v/>
      </c>
      <c r="V846" s="21" t="str">
        <f>IFERROR(IF([2]对账明细接口!$Q846=0,"",[2]对账明细接口!$Q846),"")</f>
        <v/>
      </c>
      <c r="W846" s="20" t="str">
        <f>IFERROR(IF([2]对账明细接口!$R846=0,"",[2]对账明细接口!$R846),"")</f>
        <v/>
      </c>
      <c r="X846" s="20" t="str">
        <f>IFERROR(IF([2]对账明细接口!$S846=0,"",[2]对账明细接口!$S846),"")</f>
        <v/>
      </c>
      <c r="Y846" s="20" t="str">
        <f t="shared" si="80"/>
        <v/>
      </c>
      <c r="Z846" s="20" t="str">
        <f t="shared" si="81"/>
        <v/>
      </c>
      <c r="AA846" s="20" t="str">
        <f t="shared" si="82"/>
        <v/>
      </c>
      <c r="AB846" s="20" t="str">
        <f t="shared" si="83"/>
        <v/>
      </c>
    </row>
    <row r="847" customHeight="1" spans="1:28">
      <c r="A847" s="14">
        <v>847</v>
      </c>
      <c r="B847" s="15" t="str">
        <f>IFERROR(IF([2]对账明细接口!$B$847=0,"",[2]对账明细接口!$B$847),"")</f>
        <v/>
      </c>
      <c r="C847" s="16" t="str">
        <f>IFERROR(IF([2]对账明细接口!$C$847=0,"",[2]对账明细接口!$C$847),"")</f>
        <v/>
      </c>
      <c r="D847" s="16" t="str">
        <f>IFERROR(IF([2]对账明细接口!$D$847=0,"",[2]对账明细接口!$D$847),"")</f>
        <v/>
      </c>
      <c r="E847" s="16" t="str">
        <f>IFERROR(IF([2]对账明细接口!$E$847=0,"",[2]对账明细接口!$E$847),"")</f>
        <v/>
      </c>
      <c r="F847" s="16" t="str">
        <f>IFERROR(IF([2]对账明细接口!$F$847=0,"",[2]对账明细接口!$F$847),"")</f>
        <v/>
      </c>
      <c r="G847" s="16" t="str">
        <f>IFERROR(IF([2]对账明细接口!$G$847=0,"",[2]对账明细接口!$G$847),"")</f>
        <v/>
      </c>
      <c r="H847" s="17" t="str">
        <f>IFERROR(IF([2]对账明细接口!$H$847=0,"",[2]对账明细接口!$H$847),"")</f>
        <v/>
      </c>
      <c r="I847" s="16" t="str">
        <f>IFERROR(IF([2]对账明细接口!$I$847=0,"",[2]对账明细接口!$I$847),"")</f>
        <v/>
      </c>
      <c r="J847" s="18" t="str">
        <f>IFERROR(IF([2]对账明细接口!$J$847=0,"",[2]对账明细接口!$J$847),"")</f>
        <v/>
      </c>
      <c r="K847" s="18" t="str">
        <f>IFERROR(IF([2]对账明细接口!$K$847=0,"",[2]对账明细接口!$K$847),"")</f>
        <v/>
      </c>
      <c r="L847" s="16" t="str">
        <f>IFERROR(IF([2]对账明细接口!$L$847=0,"",[2]对账明细接口!$L$847),"")</f>
        <v/>
      </c>
      <c r="M847" s="16" t="str">
        <f>IFERROR(IF([2]对账明细接口!$M$847=0,"",[2]对账明细接口!$M$847),"")</f>
        <v/>
      </c>
      <c r="N847" s="19">
        <f t="shared" si="78"/>
        <v>0</v>
      </c>
      <c r="O847" s="19">
        <f t="shared" si="79"/>
        <v>165</v>
      </c>
      <c r="S847" s="20" t="str">
        <f>IFERROR(IF([2]对账明细接口!$N847=0,"",[2]对账明细接口!$N847),"")</f>
        <v/>
      </c>
      <c r="T847" s="21" t="str">
        <f>IFERROR(IF([2]对账明细接口!$O847=0,"",[2]对账明细接口!$O847),"")</f>
        <v/>
      </c>
      <c r="U847" s="21" t="str">
        <f>IFERROR(IF([2]对账明细接口!$P847=0,"",[2]对账明细接口!$P847),"")</f>
        <v/>
      </c>
      <c r="V847" s="21" t="str">
        <f>IFERROR(IF([2]对账明细接口!$Q847=0,"",[2]对账明细接口!$Q847),"")</f>
        <v/>
      </c>
      <c r="W847" s="20" t="str">
        <f>IFERROR(IF([2]对账明细接口!$R847=0,"",[2]对账明细接口!$R847),"")</f>
        <v/>
      </c>
      <c r="X847" s="20" t="str">
        <f>IFERROR(IF([2]对账明细接口!$S847=0,"",[2]对账明细接口!$S847),"")</f>
        <v/>
      </c>
      <c r="Y847" s="20" t="str">
        <f t="shared" si="80"/>
        <v/>
      </c>
      <c r="Z847" s="20" t="str">
        <f t="shared" si="81"/>
        <v/>
      </c>
      <c r="AA847" s="20" t="str">
        <f t="shared" si="82"/>
        <v/>
      </c>
      <c r="AB847" s="20" t="str">
        <f t="shared" si="83"/>
        <v/>
      </c>
    </row>
    <row r="848" customHeight="1" spans="1:28">
      <c r="A848" s="14">
        <v>848</v>
      </c>
      <c r="B848" s="15" t="str">
        <f>IFERROR(IF([2]对账明细接口!$B$848=0,"",[2]对账明细接口!$B$848),"")</f>
        <v/>
      </c>
      <c r="C848" s="16" t="str">
        <f>IFERROR(IF([2]对账明细接口!$C$848=0,"",[2]对账明细接口!$C$848),"")</f>
        <v/>
      </c>
      <c r="D848" s="16" t="str">
        <f>IFERROR(IF([2]对账明细接口!$D$848=0,"",[2]对账明细接口!$D$848),"")</f>
        <v/>
      </c>
      <c r="E848" s="16" t="str">
        <f>IFERROR(IF([2]对账明细接口!$E$848=0,"",[2]对账明细接口!$E$848),"")</f>
        <v/>
      </c>
      <c r="F848" s="16" t="str">
        <f>IFERROR(IF([2]对账明细接口!$F$848=0,"",[2]对账明细接口!$F$848),"")</f>
        <v/>
      </c>
      <c r="G848" s="16" t="str">
        <f>IFERROR(IF([2]对账明细接口!$G$848=0,"",[2]对账明细接口!$G$848),"")</f>
        <v/>
      </c>
      <c r="H848" s="17" t="str">
        <f>IFERROR(IF([2]对账明细接口!$H$848=0,"",[2]对账明细接口!$H$848),"")</f>
        <v/>
      </c>
      <c r="I848" s="16" t="str">
        <f>IFERROR(IF([2]对账明细接口!$I$848=0,"",[2]对账明细接口!$I$848),"")</f>
        <v/>
      </c>
      <c r="J848" s="18" t="str">
        <f>IFERROR(IF([2]对账明细接口!$J$848=0,"",[2]对账明细接口!$J$848),"")</f>
        <v/>
      </c>
      <c r="K848" s="18" t="str">
        <f>IFERROR(IF([2]对账明细接口!$K$848=0,"",[2]对账明细接口!$K$848),"")</f>
        <v/>
      </c>
      <c r="L848" s="16" t="str">
        <f>IFERROR(IF([2]对账明细接口!$L$848=0,"",[2]对账明细接口!$L$848),"")</f>
        <v/>
      </c>
      <c r="M848" s="16" t="str">
        <f>IFERROR(IF([2]对账明细接口!$M$848=0,"",[2]对账明细接口!$M$848),"")</f>
        <v/>
      </c>
      <c r="N848" s="19">
        <f t="shared" si="78"/>
        <v>0</v>
      </c>
      <c r="O848" s="19">
        <f t="shared" si="79"/>
        <v>165</v>
      </c>
      <c r="S848" s="20" t="str">
        <f>IFERROR(IF([2]对账明细接口!$N848=0,"",[2]对账明细接口!$N848),"")</f>
        <v/>
      </c>
      <c r="T848" s="21" t="str">
        <f>IFERROR(IF([2]对账明细接口!$O848=0,"",[2]对账明细接口!$O848),"")</f>
        <v/>
      </c>
      <c r="U848" s="21" t="str">
        <f>IFERROR(IF([2]对账明细接口!$P848=0,"",[2]对账明细接口!$P848),"")</f>
        <v/>
      </c>
      <c r="V848" s="21" t="str">
        <f>IFERROR(IF([2]对账明细接口!$Q848=0,"",[2]对账明细接口!$Q848),"")</f>
        <v/>
      </c>
      <c r="W848" s="20" t="str">
        <f>IFERROR(IF([2]对账明细接口!$R848=0,"",[2]对账明细接口!$R848),"")</f>
        <v/>
      </c>
      <c r="X848" s="20" t="str">
        <f>IFERROR(IF([2]对账明细接口!$S848=0,"",[2]对账明细接口!$S848),"")</f>
        <v/>
      </c>
      <c r="Y848" s="20" t="str">
        <f t="shared" si="80"/>
        <v/>
      </c>
      <c r="Z848" s="20" t="str">
        <f t="shared" si="81"/>
        <v/>
      </c>
      <c r="AA848" s="20" t="str">
        <f t="shared" si="82"/>
        <v/>
      </c>
      <c r="AB848" s="20" t="str">
        <f t="shared" si="83"/>
        <v/>
      </c>
    </row>
    <row r="849" customHeight="1" spans="1:28">
      <c r="A849" s="14">
        <v>849</v>
      </c>
      <c r="B849" s="15" t="str">
        <f>IFERROR(IF([2]对账明细接口!$B$849=0,"",[2]对账明细接口!$B$849),"")</f>
        <v/>
      </c>
      <c r="C849" s="16" t="str">
        <f>IFERROR(IF([2]对账明细接口!$C$849=0,"",[2]对账明细接口!$C$849),"")</f>
        <v/>
      </c>
      <c r="D849" s="16" t="str">
        <f>IFERROR(IF([2]对账明细接口!$D$849=0,"",[2]对账明细接口!$D$849),"")</f>
        <v/>
      </c>
      <c r="E849" s="16" t="str">
        <f>IFERROR(IF([2]对账明细接口!$E$849=0,"",[2]对账明细接口!$E$849),"")</f>
        <v/>
      </c>
      <c r="F849" s="16" t="str">
        <f>IFERROR(IF([2]对账明细接口!$F$849=0,"",[2]对账明细接口!$F$849),"")</f>
        <v/>
      </c>
      <c r="G849" s="16" t="str">
        <f>IFERROR(IF([2]对账明细接口!$G$849=0,"",[2]对账明细接口!$G$849),"")</f>
        <v/>
      </c>
      <c r="H849" s="17" t="str">
        <f>IFERROR(IF([2]对账明细接口!$H$849=0,"",[2]对账明细接口!$H$849),"")</f>
        <v/>
      </c>
      <c r="I849" s="16" t="str">
        <f>IFERROR(IF([2]对账明细接口!$I$849=0,"",[2]对账明细接口!$I$849),"")</f>
        <v/>
      </c>
      <c r="J849" s="18" t="str">
        <f>IFERROR(IF([2]对账明细接口!$J$849=0,"",[2]对账明细接口!$J$849),"")</f>
        <v/>
      </c>
      <c r="K849" s="18" t="str">
        <f>IFERROR(IF([2]对账明细接口!$K$849=0,"",[2]对账明细接口!$K$849),"")</f>
        <v/>
      </c>
      <c r="L849" s="16" t="str">
        <f>IFERROR(IF([2]对账明细接口!$L$849=0,"",[2]对账明细接口!$L$849),"")</f>
        <v/>
      </c>
      <c r="M849" s="16" t="str">
        <f>IFERROR(IF([2]对账明细接口!$M$849=0,"",[2]对账明细接口!$M$849),"")</f>
        <v/>
      </c>
      <c r="N849" s="19">
        <f t="shared" si="78"/>
        <v>0</v>
      </c>
      <c r="O849" s="19">
        <f t="shared" si="79"/>
        <v>165</v>
      </c>
      <c r="S849" s="20" t="str">
        <f>IFERROR(IF([2]对账明细接口!$N849=0,"",[2]对账明细接口!$N849),"")</f>
        <v/>
      </c>
      <c r="T849" s="21" t="str">
        <f>IFERROR(IF([2]对账明细接口!$O849=0,"",[2]对账明细接口!$O849),"")</f>
        <v/>
      </c>
      <c r="U849" s="21" t="str">
        <f>IFERROR(IF([2]对账明细接口!$P849=0,"",[2]对账明细接口!$P849),"")</f>
        <v/>
      </c>
      <c r="V849" s="21" t="str">
        <f>IFERROR(IF([2]对账明细接口!$Q849=0,"",[2]对账明细接口!$Q849),"")</f>
        <v/>
      </c>
      <c r="W849" s="20" t="str">
        <f>IFERROR(IF([2]对账明细接口!$R849=0,"",[2]对账明细接口!$R849),"")</f>
        <v/>
      </c>
      <c r="X849" s="20" t="str">
        <f>IFERROR(IF([2]对账明细接口!$S849=0,"",[2]对账明细接口!$S849),"")</f>
        <v/>
      </c>
      <c r="Y849" s="20" t="str">
        <f t="shared" si="80"/>
        <v/>
      </c>
      <c r="Z849" s="20" t="str">
        <f t="shared" si="81"/>
        <v/>
      </c>
      <c r="AA849" s="20" t="str">
        <f t="shared" si="82"/>
        <v/>
      </c>
      <c r="AB849" s="20" t="str">
        <f t="shared" si="83"/>
        <v/>
      </c>
    </row>
    <row r="850" customHeight="1" spans="1:28">
      <c r="A850" s="14">
        <v>850</v>
      </c>
      <c r="B850" s="15" t="str">
        <f>IFERROR(IF([2]对账明细接口!$B$850=0,"",[2]对账明细接口!$B$850),"")</f>
        <v/>
      </c>
      <c r="C850" s="16" t="str">
        <f>IFERROR(IF([2]对账明细接口!$C$850=0,"",[2]对账明细接口!$C$850),"")</f>
        <v/>
      </c>
      <c r="D850" s="16" t="str">
        <f>IFERROR(IF([2]对账明细接口!$D$850=0,"",[2]对账明细接口!$D$850),"")</f>
        <v/>
      </c>
      <c r="E850" s="16" t="str">
        <f>IFERROR(IF([2]对账明细接口!$E$850=0,"",[2]对账明细接口!$E$850),"")</f>
        <v/>
      </c>
      <c r="F850" s="16" t="str">
        <f>IFERROR(IF([2]对账明细接口!$F$850=0,"",[2]对账明细接口!$F$850),"")</f>
        <v/>
      </c>
      <c r="G850" s="16" t="str">
        <f>IFERROR(IF([2]对账明细接口!$G$850=0,"",[2]对账明细接口!$G$850),"")</f>
        <v/>
      </c>
      <c r="H850" s="17" t="str">
        <f>IFERROR(IF([2]对账明细接口!$H$850=0,"",[2]对账明细接口!$H$850),"")</f>
        <v/>
      </c>
      <c r="I850" s="16" t="str">
        <f>IFERROR(IF([2]对账明细接口!$I$850=0,"",[2]对账明细接口!$I$850),"")</f>
        <v/>
      </c>
      <c r="J850" s="18" t="str">
        <f>IFERROR(IF([2]对账明细接口!$J$850=0,"",[2]对账明细接口!$J$850),"")</f>
        <v/>
      </c>
      <c r="K850" s="18" t="str">
        <f>IFERROR(IF([2]对账明细接口!$K$850=0,"",[2]对账明细接口!$K$850),"")</f>
        <v/>
      </c>
      <c r="L850" s="16" t="str">
        <f>IFERROR(IF([2]对账明细接口!$L$850=0,"",[2]对账明细接口!$L$850),"")</f>
        <v/>
      </c>
      <c r="M850" s="16" t="str">
        <f>IFERROR(IF([2]对账明细接口!$M$850=0,"",[2]对账明细接口!$M$850),"")</f>
        <v/>
      </c>
      <c r="N850" s="19">
        <f t="shared" si="78"/>
        <v>0</v>
      </c>
      <c r="O850" s="19">
        <f t="shared" si="79"/>
        <v>165</v>
      </c>
      <c r="S850" s="20" t="str">
        <f>IFERROR(IF([2]对账明细接口!$N850=0,"",[2]对账明细接口!$N850),"")</f>
        <v/>
      </c>
      <c r="T850" s="21" t="str">
        <f>IFERROR(IF([2]对账明细接口!$O850=0,"",[2]对账明细接口!$O850),"")</f>
        <v/>
      </c>
      <c r="U850" s="21" t="str">
        <f>IFERROR(IF([2]对账明细接口!$P850=0,"",[2]对账明细接口!$P850),"")</f>
        <v/>
      </c>
      <c r="V850" s="21" t="str">
        <f>IFERROR(IF([2]对账明细接口!$Q850=0,"",[2]对账明细接口!$Q850),"")</f>
        <v/>
      </c>
      <c r="W850" s="20" t="str">
        <f>IFERROR(IF([2]对账明细接口!$R850=0,"",[2]对账明细接口!$R850),"")</f>
        <v/>
      </c>
      <c r="X850" s="20" t="str">
        <f>IFERROR(IF([2]对账明细接口!$S850=0,"",[2]对账明细接口!$S850),"")</f>
        <v/>
      </c>
      <c r="Y850" s="20" t="str">
        <f t="shared" si="80"/>
        <v/>
      </c>
      <c r="Z850" s="20" t="str">
        <f t="shared" si="81"/>
        <v/>
      </c>
      <c r="AA850" s="20" t="str">
        <f t="shared" si="82"/>
        <v/>
      </c>
      <c r="AB850" s="20" t="str">
        <f t="shared" si="83"/>
        <v/>
      </c>
    </row>
    <row r="851" customHeight="1" spans="1:28">
      <c r="A851" s="14">
        <v>851</v>
      </c>
      <c r="B851" s="15" t="str">
        <f>IFERROR(IF([2]对账明细接口!$B$851=0,"",[2]对账明细接口!$B$851),"")</f>
        <v/>
      </c>
      <c r="C851" s="16" t="str">
        <f>IFERROR(IF([2]对账明细接口!$C$851=0,"",[2]对账明细接口!$C$851),"")</f>
        <v/>
      </c>
      <c r="D851" s="16" t="str">
        <f>IFERROR(IF([2]对账明细接口!$D$851=0,"",[2]对账明细接口!$D$851),"")</f>
        <v/>
      </c>
      <c r="E851" s="16" t="str">
        <f>IFERROR(IF([2]对账明细接口!$E$851=0,"",[2]对账明细接口!$E$851),"")</f>
        <v/>
      </c>
      <c r="F851" s="16" t="str">
        <f>IFERROR(IF([2]对账明细接口!$F$851=0,"",[2]对账明细接口!$F$851),"")</f>
        <v/>
      </c>
      <c r="G851" s="16" t="str">
        <f>IFERROR(IF([2]对账明细接口!$G$851=0,"",[2]对账明细接口!$G$851),"")</f>
        <v/>
      </c>
      <c r="H851" s="17" t="str">
        <f>IFERROR(IF([2]对账明细接口!$H$851=0,"",[2]对账明细接口!$H$851),"")</f>
        <v/>
      </c>
      <c r="I851" s="16" t="str">
        <f>IFERROR(IF([2]对账明细接口!$I$851=0,"",[2]对账明细接口!$I$851),"")</f>
        <v/>
      </c>
      <c r="J851" s="18" t="str">
        <f>IFERROR(IF([2]对账明细接口!$J$851=0,"",[2]对账明细接口!$J$851),"")</f>
        <v/>
      </c>
      <c r="K851" s="18" t="str">
        <f>IFERROR(IF([2]对账明细接口!$K$851=0,"",[2]对账明细接口!$K$851),"")</f>
        <v/>
      </c>
      <c r="L851" s="16" t="str">
        <f>IFERROR(IF([2]对账明细接口!$L$851=0,"",[2]对账明细接口!$L$851),"")</f>
        <v/>
      </c>
      <c r="M851" s="16" t="str">
        <f>IFERROR(IF([2]对账明细接口!$M$851=0,"",[2]对账明细接口!$M$851),"")</f>
        <v/>
      </c>
      <c r="N851" s="19">
        <f t="shared" si="78"/>
        <v>0</v>
      </c>
      <c r="O851" s="19">
        <f t="shared" si="79"/>
        <v>165</v>
      </c>
      <c r="S851" s="20" t="str">
        <f>IFERROR(IF([2]对账明细接口!$N851=0,"",[2]对账明细接口!$N851),"")</f>
        <v/>
      </c>
      <c r="T851" s="21" t="str">
        <f>IFERROR(IF([2]对账明细接口!$O851=0,"",[2]对账明细接口!$O851),"")</f>
        <v/>
      </c>
      <c r="U851" s="21" t="str">
        <f>IFERROR(IF([2]对账明细接口!$P851=0,"",[2]对账明细接口!$P851),"")</f>
        <v/>
      </c>
      <c r="V851" s="21" t="str">
        <f>IFERROR(IF([2]对账明细接口!$Q851=0,"",[2]对账明细接口!$Q851),"")</f>
        <v/>
      </c>
      <c r="W851" s="20" t="str">
        <f>IFERROR(IF([2]对账明细接口!$R851=0,"",[2]对账明细接口!$R851),"")</f>
        <v/>
      </c>
      <c r="X851" s="20" t="str">
        <f>IFERROR(IF([2]对账明细接口!$S851=0,"",[2]对账明细接口!$S851),"")</f>
        <v/>
      </c>
      <c r="Y851" s="20" t="str">
        <f t="shared" si="80"/>
        <v/>
      </c>
      <c r="Z851" s="20" t="str">
        <f t="shared" si="81"/>
        <v/>
      </c>
      <c r="AA851" s="20" t="str">
        <f t="shared" si="82"/>
        <v/>
      </c>
      <c r="AB851" s="20" t="str">
        <f t="shared" si="83"/>
        <v/>
      </c>
    </row>
    <row r="852" customHeight="1" spans="1:28">
      <c r="A852" s="14">
        <v>852</v>
      </c>
      <c r="B852" s="15" t="str">
        <f>IFERROR(IF([2]对账明细接口!$B$852=0,"",[2]对账明细接口!$B$852),"")</f>
        <v/>
      </c>
      <c r="C852" s="16" t="str">
        <f>IFERROR(IF([2]对账明细接口!$C$852=0,"",[2]对账明细接口!$C$852),"")</f>
        <v/>
      </c>
      <c r="D852" s="16" t="str">
        <f>IFERROR(IF([2]对账明细接口!$D$852=0,"",[2]对账明细接口!$D$852),"")</f>
        <v/>
      </c>
      <c r="E852" s="16" t="str">
        <f>IFERROR(IF([2]对账明细接口!$E$852=0,"",[2]对账明细接口!$E$852),"")</f>
        <v/>
      </c>
      <c r="F852" s="16" t="str">
        <f>IFERROR(IF([2]对账明细接口!$F$852=0,"",[2]对账明细接口!$F$852),"")</f>
        <v/>
      </c>
      <c r="G852" s="16" t="str">
        <f>IFERROR(IF([2]对账明细接口!$G$852=0,"",[2]对账明细接口!$G$852),"")</f>
        <v/>
      </c>
      <c r="H852" s="17" t="str">
        <f>IFERROR(IF([2]对账明细接口!$H$852=0,"",[2]对账明细接口!$H$852),"")</f>
        <v/>
      </c>
      <c r="I852" s="16" t="str">
        <f>IFERROR(IF([2]对账明细接口!$I$852=0,"",[2]对账明细接口!$I$852),"")</f>
        <v/>
      </c>
      <c r="J852" s="18" t="str">
        <f>IFERROR(IF([2]对账明细接口!$J$852=0,"",[2]对账明细接口!$J$852),"")</f>
        <v/>
      </c>
      <c r="K852" s="18" t="str">
        <f>IFERROR(IF([2]对账明细接口!$K$852=0,"",[2]对账明细接口!$K$852),"")</f>
        <v/>
      </c>
      <c r="L852" s="16" t="str">
        <f>IFERROR(IF([2]对账明细接口!$L$852=0,"",[2]对账明细接口!$L$852),"")</f>
        <v/>
      </c>
      <c r="M852" s="16" t="str">
        <f>IFERROR(IF([2]对账明细接口!$M$852=0,"",[2]对账明细接口!$M$852),"")</f>
        <v/>
      </c>
      <c r="N852" s="19">
        <f t="shared" si="78"/>
        <v>0</v>
      </c>
      <c r="O852" s="19">
        <f t="shared" si="79"/>
        <v>165</v>
      </c>
      <c r="S852" s="20" t="str">
        <f>IFERROR(IF([2]对账明细接口!$N852=0,"",[2]对账明细接口!$N852),"")</f>
        <v/>
      </c>
      <c r="T852" s="21" t="str">
        <f>IFERROR(IF([2]对账明细接口!$O852=0,"",[2]对账明细接口!$O852),"")</f>
        <v/>
      </c>
      <c r="U852" s="21" t="str">
        <f>IFERROR(IF([2]对账明细接口!$P852=0,"",[2]对账明细接口!$P852),"")</f>
        <v/>
      </c>
      <c r="V852" s="21" t="str">
        <f>IFERROR(IF([2]对账明细接口!$Q852=0,"",[2]对账明细接口!$Q852),"")</f>
        <v/>
      </c>
      <c r="W852" s="20" t="str">
        <f>IFERROR(IF([2]对账明细接口!$R852=0,"",[2]对账明细接口!$R852),"")</f>
        <v/>
      </c>
      <c r="X852" s="20" t="str">
        <f>IFERROR(IF([2]对账明细接口!$S852=0,"",[2]对账明细接口!$S852),"")</f>
        <v/>
      </c>
      <c r="Y852" s="20" t="str">
        <f t="shared" si="80"/>
        <v/>
      </c>
      <c r="Z852" s="20" t="str">
        <f t="shared" si="81"/>
        <v/>
      </c>
      <c r="AA852" s="20" t="str">
        <f t="shared" si="82"/>
        <v/>
      </c>
      <c r="AB852" s="20" t="str">
        <f t="shared" si="83"/>
        <v/>
      </c>
    </row>
    <row r="853" customHeight="1" spans="1:28">
      <c r="A853" s="14">
        <v>853</v>
      </c>
      <c r="B853" s="15" t="str">
        <f>IFERROR(IF([2]对账明细接口!$B$853=0,"",[2]对账明细接口!$B$853),"")</f>
        <v/>
      </c>
      <c r="C853" s="16" t="str">
        <f>IFERROR(IF([2]对账明细接口!$C$853=0,"",[2]对账明细接口!$C$853),"")</f>
        <v/>
      </c>
      <c r="D853" s="16" t="str">
        <f>IFERROR(IF([2]对账明细接口!$D$853=0,"",[2]对账明细接口!$D$853),"")</f>
        <v/>
      </c>
      <c r="E853" s="16" t="str">
        <f>IFERROR(IF([2]对账明细接口!$E$853=0,"",[2]对账明细接口!$E$853),"")</f>
        <v/>
      </c>
      <c r="F853" s="16" t="str">
        <f>IFERROR(IF([2]对账明细接口!$F$853=0,"",[2]对账明细接口!$F$853),"")</f>
        <v/>
      </c>
      <c r="G853" s="16" t="str">
        <f>IFERROR(IF([2]对账明细接口!$G$853=0,"",[2]对账明细接口!$G$853),"")</f>
        <v/>
      </c>
      <c r="H853" s="17" t="str">
        <f>IFERROR(IF([2]对账明细接口!$H$853=0,"",[2]对账明细接口!$H$853),"")</f>
        <v/>
      </c>
      <c r="I853" s="16" t="str">
        <f>IFERROR(IF([2]对账明细接口!$I$853=0,"",[2]对账明细接口!$I$853),"")</f>
        <v/>
      </c>
      <c r="J853" s="18" t="str">
        <f>IFERROR(IF([2]对账明细接口!$J$853=0,"",[2]对账明细接口!$J$853),"")</f>
        <v/>
      </c>
      <c r="K853" s="18" t="str">
        <f>IFERROR(IF([2]对账明细接口!$K$853=0,"",[2]对账明细接口!$K$853),"")</f>
        <v/>
      </c>
      <c r="L853" s="16" t="str">
        <f>IFERROR(IF([2]对账明细接口!$L$853=0,"",[2]对账明细接口!$L$853),"")</f>
        <v/>
      </c>
      <c r="M853" s="16" t="str">
        <f>IFERROR(IF([2]对账明细接口!$M$853=0,"",[2]对账明细接口!$M$853),"")</f>
        <v/>
      </c>
      <c r="N853" s="19">
        <f t="shared" si="78"/>
        <v>0</v>
      </c>
      <c r="O853" s="19">
        <f t="shared" si="79"/>
        <v>165</v>
      </c>
      <c r="S853" s="20" t="str">
        <f>IFERROR(IF([2]对账明细接口!$N853=0,"",[2]对账明细接口!$N853),"")</f>
        <v/>
      </c>
      <c r="T853" s="21" t="str">
        <f>IFERROR(IF([2]对账明细接口!$O853=0,"",[2]对账明细接口!$O853),"")</f>
        <v/>
      </c>
      <c r="U853" s="21" t="str">
        <f>IFERROR(IF([2]对账明细接口!$P853=0,"",[2]对账明细接口!$P853),"")</f>
        <v/>
      </c>
      <c r="V853" s="21" t="str">
        <f>IFERROR(IF([2]对账明细接口!$Q853=0,"",[2]对账明细接口!$Q853),"")</f>
        <v/>
      </c>
      <c r="W853" s="20" t="str">
        <f>IFERROR(IF([2]对账明细接口!$R853=0,"",[2]对账明细接口!$R853),"")</f>
        <v/>
      </c>
      <c r="X853" s="20" t="str">
        <f>IFERROR(IF([2]对账明细接口!$S853=0,"",[2]对账明细接口!$S853),"")</f>
        <v/>
      </c>
      <c r="Y853" s="20" t="str">
        <f t="shared" si="80"/>
        <v/>
      </c>
      <c r="Z853" s="20" t="str">
        <f t="shared" si="81"/>
        <v/>
      </c>
      <c r="AA853" s="20" t="str">
        <f t="shared" si="82"/>
        <v/>
      </c>
      <c r="AB853" s="20" t="str">
        <f t="shared" si="83"/>
        <v/>
      </c>
    </row>
    <row r="854" customHeight="1" spans="1:28">
      <c r="A854" s="14">
        <v>854</v>
      </c>
      <c r="B854" s="15" t="str">
        <f>IFERROR(IF([2]对账明细接口!$B$854=0,"",[2]对账明细接口!$B$854),"")</f>
        <v/>
      </c>
      <c r="C854" s="16" t="str">
        <f>IFERROR(IF([2]对账明细接口!$C$854=0,"",[2]对账明细接口!$C$854),"")</f>
        <v/>
      </c>
      <c r="D854" s="16" t="str">
        <f>IFERROR(IF([2]对账明细接口!$D$854=0,"",[2]对账明细接口!$D$854),"")</f>
        <v/>
      </c>
      <c r="E854" s="16" t="str">
        <f>IFERROR(IF([2]对账明细接口!$E$854=0,"",[2]对账明细接口!$E$854),"")</f>
        <v/>
      </c>
      <c r="F854" s="16" t="str">
        <f>IFERROR(IF([2]对账明细接口!$F$854=0,"",[2]对账明细接口!$F$854),"")</f>
        <v/>
      </c>
      <c r="G854" s="16" t="str">
        <f>IFERROR(IF([2]对账明细接口!$G$854=0,"",[2]对账明细接口!$G$854),"")</f>
        <v/>
      </c>
      <c r="H854" s="17" t="str">
        <f>IFERROR(IF([2]对账明细接口!$H$854=0,"",[2]对账明细接口!$H$854),"")</f>
        <v/>
      </c>
      <c r="I854" s="16" t="str">
        <f>IFERROR(IF([2]对账明细接口!$I$854=0,"",[2]对账明细接口!$I$854),"")</f>
        <v/>
      </c>
      <c r="J854" s="18" t="str">
        <f>IFERROR(IF([2]对账明细接口!$J$854=0,"",[2]对账明细接口!$J$854),"")</f>
        <v/>
      </c>
      <c r="K854" s="18" t="str">
        <f>IFERROR(IF([2]对账明细接口!$K$854=0,"",[2]对账明细接口!$K$854),"")</f>
        <v/>
      </c>
      <c r="L854" s="16" t="str">
        <f>IFERROR(IF([2]对账明细接口!$L$854=0,"",[2]对账明细接口!$L$854),"")</f>
        <v/>
      </c>
      <c r="M854" s="16" t="str">
        <f>IFERROR(IF([2]对账明细接口!$M$854=0,"",[2]对账明细接口!$M$854),"")</f>
        <v/>
      </c>
      <c r="N854" s="19">
        <f t="shared" si="78"/>
        <v>0</v>
      </c>
      <c r="O854" s="19">
        <f t="shared" si="79"/>
        <v>165</v>
      </c>
      <c r="S854" s="20" t="str">
        <f>IFERROR(IF([2]对账明细接口!$N854=0,"",[2]对账明细接口!$N854),"")</f>
        <v/>
      </c>
      <c r="T854" s="21" t="str">
        <f>IFERROR(IF([2]对账明细接口!$O854=0,"",[2]对账明细接口!$O854),"")</f>
        <v/>
      </c>
      <c r="U854" s="21" t="str">
        <f>IFERROR(IF([2]对账明细接口!$P854=0,"",[2]对账明细接口!$P854),"")</f>
        <v/>
      </c>
      <c r="V854" s="21" t="str">
        <f>IFERROR(IF([2]对账明细接口!$Q854=0,"",[2]对账明细接口!$Q854),"")</f>
        <v/>
      </c>
      <c r="W854" s="20" t="str">
        <f>IFERROR(IF([2]对账明细接口!$R854=0,"",[2]对账明细接口!$R854),"")</f>
        <v/>
      </c>
      <c r="X854" s="20" t="str">
        <f>IFERROR(IF([2]对账明细接口!$S854=0,"",[2]对账明细接口!$S854),"")</f>
        <v/>
      </c>
      <c r="Y854" s="20" t="str">
        <f t="shared" si="80"/>
        <v/>
      </c>
      <c r="Z854" s="20" t="str">
        <f t="shared" si="81"/>
        <v/>
      </c>
      <c r="AA854" s="20" t="str">
        <f t="shared" si="82"/>
        <v/>
      </c>
      <c r="AB854" s="20" t="str">
        <f t="shared" si="83"/>
        <v/>
      </c>
    </row>
    <row r="855" customHeight="1" spans="1:28">
      <c r="A855" s="14">
        <v>855</v>
      </c>
      <c r="B855" s="15" t="str">
        <f>IFERROR(IF([2]对账明细接口!$B$855=0,"",[2]对账明细接口!$B$855),"")</f>
        <v/>
      </c>
      <c r="C855" s="16" t="str">
        <f>IFERROR(IF([2]对账明细接口!$C$855=0,"",[2]对账明细接口!$C$855),"")</f>
        <v/>
      </c>
      <c r="D855" s="16" t="str">
        <f>IFERROR(IF([2]对账明细接口!$D$855=0,"",[2]对账明细接口!$D$855),"")</f>
        <v/>
      </c>
      <c r="E855" s="16" t="str">
        <f>IFERROR(IF([2]对账明细接口!$E$855=0,"",[2]对账明细接口!$E$855),"")</f>
        <v/>
      </c>
      <c r="F855" s="16" t="str">
        <f>IFERROR(IF([2]对账明细接口!$F$855=0,"",[2]对账明细接口!$F$855),"")</f>
        <v/>
      </c>
      <c r="G855" s="16" t="str">
        <f>IFERROR(IF([2]对账明细接口!$G$855=0,"",[2]对账明细接口!$G$855),"")</f>
        <v/>
      </c>
      <c r="H855" s="17" t="str">
        <f>IFERROR(IF([2]对账明细接口!$H$855=0,"",[2]对账明细接口!$H$855),"")</f>
        <v/>
      </c>
      <c r="I855" s="16" t="str">
        <f>IFERROR(IF([2]对账明细接口!$I$855=0,"",[2]对账明细接口!$I$855),"")</f>
        <v/>
      </c>
      <c r="J855" s="18" t="str">
        <f>IFERROR(IF([2]对账明细接口!$J$855=0,"",[2]对账明细接口!$J$855),"")</f>
        <v/>
      </c>
      <c r="K855" s="18" t="str">
        <f>IFERROR(IF([2]对账明细接口!$K$855=0,"",[2]对账明细接口!$K$855),"")</f>
        <v/>
      </c>
      <c r="L855" s="16" t="str">
        <f>IFERROR(IF([2]对账明细接口!$L$855=0,"",[2]对账明细接口!$L$855),"")</f>
        <v/>
      </c>
      <c r="M855" s="16" t="str">
        <f>IFERROR(IF([2]对账明细接口!$M$855=0,"",[2]对账明细接口!$M$855),"")</f>
        <v/>
      </c>
      <c r="N855" s="19">
        <f t="shared" si="78"/>
        <v>0</v>
      </c>
      <c r="O855" s="19">
        <f t="shared" si="79"/>
        <v>165</v>
      </c>
      <c r="S855" s="20" t="str">
        <f>IFERROR(IF([2]对账明细接口!$N855=0,"",[2]对账明细接口!$N855),"")</f>
        <v/>
      </c>
      <c r="T855" s="21" t="str">
        <f>IFERROR(IF([2]对账明细接口!$O855=0,"",[2]对账明细接口!$O855),"")</f>
        <v/>
      </c>
      <c r="U855" s="21" t="str">
        <f>IFERROR(IF([2]对账明细接口!$P855=0,"",[2]对账明细接口!$P855),"")</f>
        <v/>
      </c>
      <c r="V855" s="21" t="str">
        <f>IFERROR(IF([2]对账明细接口!$Q855=0,"",[2]对账明细接口!$Q855),"")</f>
        <v/>
      </c>
      <c r="W855" s="20" t="str">
        <f>IFERROR(IF([2]对账明细接口!$R855=0,"",[2]对账明细接口!$R855),"")</f>
        <v/>
      </c>
      <c r="X855" s="20" t="str">
        <f>IFERROR(IF([2]对账明细接口!$S855=0,"",[2]对账明细接口!$S855),"")</f>
        <v/>
      </c>
      <c r="Y855" s="20" t="str">
        <f t="shared" si="80"/>
        <v/>
      </c>
      <c r="Z855" s="20" t="str">
        <f t="shared" si="81"/>
        <v/>
      </c>
      <c r="AA855" s="20" t="str">
        <f t="shared" si="82"/>
        <v/>
      </c>
      <c r="AB855" s="20" t="str">
        <f t="shared" si="83"/>
        <v/>
      </c>
    </row>
    <row r="856" customHeight="1" spans="1:28">
      <c r="A856" s="14">
        <v>856</v>
      </c>
      <c r="B856" s="15" t="str">
        <f>IFERROR(IF([2]对账明细接口!$B$856=0,"",[2]对账明细接口!$B$856),"")</f>
        <v/>
      </c>
      <c r="C856" s="16" t="str">
        <f>IFERROR(IF([2]对账明细接口!$C$856=0,"",[2]对账明细接口!$C$856),"")</f>
        <v/>
      </c>
      <c r="D856" s="16" t="str">
        <f>IFERROR(IF([2]对账明细接口!$D$856=0,"",[2]对账明细接口!$D$856),"")</f>
        <v/>
      </c>
      <c r="E856" s="16" t="str">
        <f>IFERROR(IF([2]对账明细接口!$E$856=0,"",[2]对账明细接口!$E$856),"")</f>
        <v/>
      </c>
      <c r="F856" s="16" t="str">
        <f>IFERROR(IF([2]对账明细接口!$F$856=0,"",[2]对账明细接口!$F$856),"")</f>
        <v/>
      </c>
      <c r="G856" s="16" t="str">
        <f>IFERROR(IF([2]对账明细接口!$G$856=0,"",[2]对账明细接口!$G$856),"")</f>
        <v/>
      </c>
      <c r="H856" s="17" t="str">
        <f>IFERROR(IF([2]对账明细接口!$H$856=0,"",[2]对账明细接口!$H$856),"")</f>
        <v/>
      </c>
      <c r="I856" s="16" t="str">
        <f>IFERROR(IF([2]对账明细接口!$I$856=0,"",[2]对账明细接口!$I$856),"")</f>
        <v/>
      </c>
      <c r="J856" s="18" t="str">
        <f>IFERROR(IF([2]对账明细接口!$J$856=0,"",[2]对账明细接口!$J$856),"")</f>
        <v/>
      </c>
      <c r="K856" s="18" t="str">
        <f>IFERROR(IF([2]对账明细接口!$K$856=0,"",[2]对账明细接口!$K$856),"")</f>
        <v/>
      </c>
      <c r="L856" s="16" t="str">
        <f>IFERROR(IF([2]对账明细接口!$L$856=0,"",[2]对账明细接口!$L$856),"")</f>
        <v/>
      </c>
      <c r="M856" s="16" t="str">
        <f>IFERROR(IF([2]对账明细接口!$M$856=0,"",[2]对账明细接口!$M$856),"")</f>
        <v/>
      </c>
      <c r="N856" s="19">
        <f t="shared" si="78"/>
        <v>0</v>
      </c>
      <c r="O856" s="19">
        <f t="shared" si="79"/>
        <v>165</v>
      </c>
      <c r="S856" s="20" t="str">
        <f>IFERROR(IF([2]对账明细接口!$N856=0,"",[2]对账明细接口!$N856),"")</f>
        <v/>
      </c>
      <c r="T856" s="21" t="str">
        <f>IFERROR(IF([2]对账明细接口!$O856=0,"",[2]对账明细接口!$O856),"")</f>
        <v/>
      </c>
      <c r="U856" s="21" t="str">
        <f>IFERROR(IF([2]对账明细接口!$P856=0,"",[2]对账明细接口!$P856),"")</f>
        <v/>
      </c>
      <c r="V856" s="21" t="str">
        <f>IFERROR(IF([2]对账明细接口!$Q856=0,"",[2]对账明细接口!$Q856),"")</f>
        <v/>
      </c>
      <c r="W856" s="20" t="str">
        <f>IFERROR(IF([2]对账明细接口!$R856=0,"",[2]对账明细接口!$R856),"")</f>
        <v/>
      </c>
      <c r="X856" s="20" t="str">
        <f>IFERROR(IF([2]对账明细接口!$S856=0,"",[2]对账明细接口!$S856),"")</f>
        <v/>
      </c>
      <c r="Y856" s="20" t="str">
        <f t="shared" si="80"/>
        <v/>
      </c>
      <c r="Z856" s="20" t="str">
        <f t="shared" si="81"/>
        <v/>
      </c>
      <c r="AA856" s="20" t="str">
        <f t="shared" si="82"/>
        <v/>
      </c>
      <c r="AB856" s="20" t="str">
        <f t="shared" si="83"/>
        <v/>
      </c>
    </row>
    <row r="857" customHeight="1" spans="1:28">
      <c r="A857" s="14">
        <v>857</v>
      </c>
      <c r="B857" s="15" t="str">
        <f>IFERROR(IF([2]对账明细接口!$B$857=0,"",[2]对账明细接口!$B$857),"")</f>
        <v/>
      </c>
      <c r="C857" s="16" t="str">
        <f>IFERROR(IF([2]对账明细接口!$C$857=0,"",[2]对账明细接口!$C$857),"")</f>
        <v/>
      </c>
      <c r="D857" s="16" t="str">
        <f>IFERROR(IF([2]对账明细接口!$D$857=0,"",[2]对账明细接口!$D$857),"")</f>
        <v/>
      </c>
      <c r="E857" s="16" t="str">
        <f>IFERROR(IF([2]对账明细接口!$E$857=0,"",[2]对账明细接口!$E$857),"")</f>
        <v/>
      </c>
      <c r="F857" s="16" t="str">
        <f>IFERROR(IF([2]对账明细接口!$F$857=0,"",[2]对账明细接口!$F$857),"")</f>
        <v/>
      </c>
      <c r="G857" s="16" t="str">
        <f>IFERROR(IF([2]对账明细接口!$G$857=0,"",[2]对账明细接口!$G$857),"")</f>
        <v/>
      </c>
      <c r="H857" s="17" t="str">
        <f>IFERROR(IF([2]对账明细接口!$H$857=0,"",[2]对账明细接口!$H$857),"")</f>
        <v/>
      </c>
      <c r="I857" s="16" t="str">
        <f>IFERROR(IF([2]对账明细接口!$I$857=0,"",[2]对账明细接口!$I$857),"")</f>
        <v/>
      </c>
      <c r="J857" s="18" t="str">
        <f>IFERROR(IF([2]对账明细接口!$J$857=0,"",[2]对账明细接口!$J$857),"")</f>
        <v/>
      </c>
      <c r="K857" s="18" t="str">
        <f>IFERROR(IF([2]对账明细接口!$K$857=0,"",[2]对账明细接口!$K$857),"")</f>
        <v/>
      </c>
      <c r="L857" s="16" t="str">
        <f>IFERROR(IF([2]对账明细接口!$L$857=0,"",[2]对账明细接口!$L$857),"")</f>
        <v/>
      </c>
      <c r="M857" s="16" t="str">
        <f>IFERROR(IF([2]对账明细接口!$M$857=0,"",[2]对账明细接口!$M$857),"")</f>
        <v/>
      </c>
      <c r="N857" s="19">
        <f t="shared" si="78"/>
        <v>0</v>
      </c>
      <c r="O857" s="19">
        <f t="shared" si="79"/>
        <v>165</v>
      </c>
      <c r="S857" s="20" t="str">
        <f>IFERROR(IF([2]对账明细接口!$N857=0,"",[2]对账明细接口!$N857),"")</f>
        <v/>
      </c>
      <c r="T857" s="21" t="str">
        <f>IFERROR(IF([2]对账明细接口!$O857=0,"",[2]对账明细接口!$O857),"")</f>
        <v/>
      </c>
      <c r="U857" s="21" t="str">
        <f>IFERROR(IF([2]对账明细接口!$P857=0,"",[2]对账明细接口!$P857),"")</f>
        <v/>
      </c>
      <c r="V857" s="21" t="str">
        <f>IFERROR(IF([2]对账明细接口!$Q857=0,"",[2]对账明细接口!$Q857),"")</f>
        <v/>
      </c>
      <c r="W857" s="20" t="str">
        <f>IFERROR(IF([2]对账明细接口!$R857=0,"",[2]对账明细接口!$R857),"")</f>
        <v/>
      </c>
      <c r="X857" s="20" t="str">
        <f>IFERROR(IF([2]对账明细接口!$S857=0,"",[2]对账明细接口!$S857),"")</f>
        <v/>
      </c>
      <c r="Y857" s="20" t="str">
        <f t="shared" si="80"/>
        <v/>
      </c>
      <c r="Z857" s="20" t="str">
        <f t="shared" si="81"/>
        <v/>
      </c>
      <c r="AA857" s="20" t="str">
        <f t="shared" si="82"/>
        <v/>
      </c>
      <c r="AB857" s="20" t="str">
        <f t="shared" si="83"/>
        <v/>
      </c>
    </row>
    <row r="858" customHeight="1" spans="1:28">
      <c r="A858" s="14">
        <v>858</v>
      </c>
      <c r="B858" s="15" t="str">
        <f>IFERROR(IF([2]对账明细接口!$B$858=0,"",[2]对账明细接口!$B$858),"")</f>
        <v/>
      </c>
      <c r="C858" s="16" t="str">
        <f>IFERROR(IF([2]对账明细接口!$C$858=0,"",[2]对账明细接口!$C$858),"")</f>
        <v/>
      </c>
      <c r="D858" s="16" t="str">
        <f>IFERROR(IF([2]对账明细接口!$D$858=0,"",[2]对账明细接口!$D$858),"")</f>
        <v/>
      </c>
      <c r="E858" s="16" t="str">
        <f>IFERROR(IF([2]对账明细接口!$E$858=0,"",[2]对账明细接口!$E$858),"")</f>
        <v/>
      </c>
      <c r="F858" s="16" t="str">
        <f>IFERROR(IF([2]对账明细接口!$F$858=0,"",[2]对账明细接口!$F$858),"")</f>
        <v/>
      </c>
      <c r="G858" s="16" t="str">
        <f>IFERROR(IF([2]对账明细接口!$G$858=0,"",[2]对账明细接口!$G$858),"")</f>
        <v/>
      </c>
      <c r="H858" s="17" t="str">
        <f>IFERROR(IF([2]对账明细接口!$H$858=0,"",[2]对账明细接口!$H$858),"")</f>
        <v/>
      </c>
      <c r="I858" s="16" t="str">
        <f>IFERROR(IF([2]对账明细接口!$I$858=0,"",[2]对账明细接口!$I$858),"")</f>
        <v/>
      </c>
      <c r="J858" s="18" t="str">
        <f>IFERROR(IF([2]对账明细接口!$J$858=0,"",[2]对账明细接口!$J$858),"")</f>
        <v/>
      </c>
      <c r="K858" s="18" t="str">
        <f>IFERROR(IF([2]对账明细接口!$K$858=0,"",[2]对账明细接口!$K$858),"")</f>
        <v/>
      </c>
      <c r="L858" s="16" t="str">
        <f>IFERROR(IF([2]对账明细接口!$L$858=0,"",[2]对账明细接口!$L$858),"")</f>
        <v/>
      </c>
      <c r="M858" s="16" t="str">
        <f>IFERROR(IF([2]对账明细接口!$M$858=0,"",[2]对账明细接口!$M$858),"")</f>
        <v/>
      </c>
      <c r="N858" s="19">
        <f t="shared" si="78"/>
        <v>0</v>
      </c>
      <c r="O858" s="19">
        <f t="shared" si="79"/>
        <v>165</v>
      </c>
      <c r="S858" s="20" t="str">
        <f>IFERROR(IF([2]对账明细接口!$N858=0,"",[2]对账明细接口!$N858),"")</f>
        <v/>
      </c>
      <c r="T858" s="21" t="str">
        <f>IFERROR(IF([2]对账明细接口!$O858=0,"",[2]对账明细接口!$O858),"")</f>
        <v/>
      </c>
      <c r="U858" s="21" t="str">
        <f>IFERROR(IF([2]对账明细接口!$P858=0,"",[2]对账明细接口!$P858),"")</f>
        <v/>
      </c>
      <c r="V858" s="21" t="str">
        <f>IFERROR(IF([2]对账明细接口!$Q858=0,"",[2]对账明细接口!$Q858),"")</f>
        <v/>
      </c>
      <c r="W858" s="20" t="str">
        <f>IFERROR(IF([2]对账明细接口!$R858=0,"",[2]对账明细接口!$R858),"")</f>
        <v/>
      </c>
      <c r="X858" s="20" t="str">
        <f>IFERROR(IF([2]对账明细接口!$S858=0,"",[2]对账明细接口!$S858),"")</f>
        <v/>
      </c>
      <c r="Y858" s="20" t="str">
        <f t="shared" si="80"/>
        <v/>
      </c>
      <c r="Z858" s="20" t="str">
        <f t="shared" si="81"/>
        <v/>
      </c>
      <c r="AA858" s="20" t="str">
        <f t="shared" si="82"/>
        <v/>
      </c>
      <c r="AB858" s="20" t="str">
        <f t="shared" si="83"/>
        <v/>
      </c>
    </row>
    <row r="859" customHeight="1" spans="1:28">
      <c r="A859" s="14">
        <v>859</v>
      </c>
      <c r="B859" s="15" t="str">
        <f>IFERROR(IF([2]对账明细接口!$B$859=0,"",[2]对账明细接口!$B$859),"")</f>
        <v/>
      </c>
      <c r="C859" s="16" t="str">
        <f>IFERROR(IF([2]对账明细接口!$C$859=0,"",[2]对账明细接口!$C$859),"")</f>
        <v/>
      </c>
      <c r="D859" s="16" t="str">
        <f>IFERROR(IF([2]对账明细接口!$D$859=0,"",[2]对账明细接口!$D$859),"")</f>
        <v/>
      </c>
      <c r="E859" s="16" t="str">
        <f>IFERROR(IF([2]对账明细接口!$E$859=0,"",[2]对账明细接口!$E$859),"")</f>
        <v/>
      </c>
      <c r="F859" s="16" t="str">
        <f>IFERROR(IF([2]对账明细接口!$F$859=0,"",[2]对账明细接口!$F$859),"")</f>
        <v/>
      </c>
      <c r="G859" s="16" t="str">
        <f>IFERROR(IF([2]对账明细接口!$G$859=0,"",[2]对账明细接口!$G$859),"")</f>
        <v/>
      </c>
      <c r="H859" s="17" t="str">
        <f>IFERROR(IF([2]对账明细接口!$H$859=0,"",[2]对账明细接口!$H$859),"")</f>
        <v/>
      </c>
      <c r="I859" s="16" t="str">
        <f>IFERROR(IF([2]对账明细接口!$I$859=0,"",[2]对账明细接口!$I$859),"")</f>
        <v/>
      </c>
      <c r="J859" s="18" t="str">
        <f>IFERROR(IF([2]对账明细接口!$J$859=0,"",[2]对账明细接口!$J$859),"")</f>
        <v/>
      </c>
      <c r="K859" s="18" t="str">
        <f>IFERROR(IF([2]对账明细接口!$K$859=0,"",[2]对账明细接口!$K$859),"")</f>
        <v/>
      </c>
      <c r="L859" s="16" t="str">
        <f>IFERROR(IF([2]对账明细接口!$L$859=0,"",[2]对账明细接口!$L$859),"")</f>
        <v/>
      </c>
      <c r="M859" s="16" t="str">
        <f>IFERROR(IF([2]对账明细接口!$M$859=0,"",[2]对账明细接口!$M$859),"")</f>
        <v/>
      </c>
      <c r="N859" s="19">
        <f t="shared" si="78"/>
        <v>0</v>
      </c>
      <c r="O859" s="19">
        <f t="shared" si="79"/>
        <v>165</v>
      </c>
      <c r="S859" s="20" t="str">
        <f>IFERROR(IF([2]对账明细接口!$N859=0,"",[2]对账明细接口!$N859),"")</f>
        <v/>
      </c>
      <c r="T859" s="21" t="str">
        <f>IFERROR(IF([2]对账明细接口!$O859=0,"",[2]对账明细接口!$O859),"")</f>
        <v/>
      </c>
      <c r="U859" s="21" t="str">
        <f>IFERROR(IF([2]对账明细接口!$P859=0,"",[2]对账明细接口!$P859),"")</f>
        <v/>
      </c>
      <c r="V859" s="21" t="str">
        <f>IFERROR(IF([2]对账明细接口!$Q859=0,"",[2]对账明细接口!$Q859),"")</f>
        <v/>
      </c>
      <c r="W859" s="20" t="str">
        <f>IFERROR(IF([2]对账明细接口!$R859=0,"",[2]对账明细接口!$R859),"")</f>
        <v/>
      </c>
      <c r="X859" s="20" t="str">
        <f>IFERROR(IF([2]对账明细接口!$S859=0,"",[2]对账明细接口!$S859),"")</f>
        <v/>
      </c>
      <c r="Y859" s="20" t="str">
        <f t="shared" si="80"/>
        <v/>
      </c>
      <c r="Z859" s="20" t="str">
        <f t="shared" si="81"/>
        <v/>
      </c>
      <c r="AA859" s="20" t="str">
        <f t="shared" si="82"/>
        <v/>
      </c>
      <c r="AB859" s="20" t="str">
        <f t="shared" si="83"/>
        <v/>
      </c>
    </row>
    <row r="860" customHeight="1" spans="1:28">
      <c r="A860" s="14">
        <v>860</v>
      </c>
      <c r="B860" s="15" t="str">
        <f>IFERROR(IF([2]对账明细接口!$B$860=0,"",[2]对账明细接口!$B$860),"")</f>
        <v/>
      </c>
      <c r="C860" s="16" t="str">
        <f>IFERROR(IF([2]对账明细接口!$C$860=0,"",[2]对账明细接口!$C$860),"")</f>
        <v/>
      </c>
      <c r="D860" s="16" t="str">
        <f>IFERROR(IF([2]对账明细接口!$D$860=0,"",[2]对账明细接口!$D$860),"")</f>
        <v/>
      </c>
      <c r="E860" s="16" t="str">
        <f>IFERROR(IF([2]对账明细接口!$E$860=0,"",[2]对账明细接口!$E$860),"")</f>
        <v/>
      </c>
      <c r="F860" s="16" t="str">
        <f>IFERROR(IF([2]对账明细接口!$F$860=0,"",[2]对账明细接口!$F$860),"")</f>
        <v/>
      </c>
      <c r="G860" s="16" t="str">
        <f>IFERROR(IF([2]对账明细接口!$G$860=0,"",[2]对账明细接口!$G$860),"")</f>
        <v/>
      </c>
      <c r="H860" s="17" t="str">
        <f>IFERROR(IF([2]对账明细接口!$H$860=0,"",[2]对账明细接口!$H$860),"")</f>
        <v/>
      </c>
      <c r="I860" s="16" t="str">
        <f>IFERROR(IF([2]对账明细接口!$I$860=0,"",[2]对账明细接口!$I$860),"")</f>
        <v/>
      </c>
      <c r="J860" s="18" t="str">
        <f>IFERROR(IF([2]对账明细接口!$J$860=0,"",[2]对账明细接口!$J$860),"")</f>
        <v/>
      </c>
      <c r="K860" s="18" t="str">
        <f>IFERROR(IF([2]对账明细接口!$K$860=0,"",[2]对账明细接口!$K$860),"")</f>
        <v/>
      </c>
      <c r="L860" s="16" t="str">
        <f>IFERROR(IF([2]对账明细接口!$L$860=0,"",[2]对账明细接口!$L$860),"")</f>
        <v/>
      </c>
      <c r="M860" s="16" t="str">
        <f>IFERROR(IF([2]对账明细接口!$M$860=0,"",[2]对账明细接口!$M$860),"")</f>
        <v/>
      </c>
      <c r="N860" s="19">
        <f t="shared" si="78"/>
        <v>0</v>
      </c>
      <c r="O860" s="19">
        <f t="shared" si="79"/>
        <v>165</v>
      </c>
      <c r="S860" s="20" t="str">
        <f>IFERROR(IF([2]对账明细接口!$N860=0,"",[2]对账明细接口!$N860),"")</f>
        <v/>
      </c>
      <c r="T860" s="21" t="str">
        <f>IFERROR(IF([2]对账明细接口!$O860=0,"",[2]对账明细接口!$O860),"")</f>
        <v/>
      </c>
      <c r="U860" s="21" t="str">
        <f>IFERROR(IF([2]对账明细接口!$P860=0,"",[2]对账明细接口!$P860),"")</f>
        <v/>
      </c>
      <c r="V860" s="21" t="str">
        <f>IFERROR(IF([2]对账明细接口!$Q860=0,"",[2]对账明细接口!$Q860),"")</f>
        <v/>
      </c>
      <c r="W860" s="20" t="str">
        <f>IFERROR(IF([2]对账明细接口!$R860=0,"",[2]对账明细接口!$R860),"")</f>
        <v/>
      </c>
      <c r="X860" s="20" t="str">
        <f>IFERROR(IF([2]对账明细接口!$S860=0,"",[2]对账明细接口!$S860),"")</f>
        <v/>
      </c>
      <c r="Y860" s="20" t="str">
        <f t="shared" si="80"/>
        <v/>
      </c>
      <c r="Z860" s="20" t="str">
        <f t="shared" si="81"/>
        <v/>
      </c>
      <c r="AA860" s="20" t="str">
        <f t="shared" si="82"/>
        <v/>
      </c>
      <c r="AB860" s="20" t="str">
        <f t="shared" si="83"/>
        <v/>
      </c>
    </row>
    <row r="861" customHeight="1" spans="1:28">
      <c r="A861" s="14">
        <v>861</v>
      </c>
      <c r="B861" s="15" t="str">
        <f>IFERROR(IF([2]对账明细接口!$B$861=0,"",[2]对账明细接口!$B$861),"")</f>
        <v/>
      </c>
      <c r="C861" s="16" t="str">
        <f>IFERROR(IF([2]对账明细接口!$C$861=0,"",[2]对账明细接口!$C$861),"")</f>
        <v/>
      </c>
      <c r="D861" s="16" t="str">
        <f>IFERROR(IF([2]对账明细接口!$D$861=0,"",[2]对账明细接口!$D$861),"")</f>
        <v/>
      </c>
      <c r="E861" s="16" t="str">
        <f>IFERROR(IF([2]对账明细接口!$E$861=0,"",[2]对账明细接口!$E$861),"")</f>
        <v/>
      </c>
      <c r="F861" s="16" t="str">
        <f>IFERROR(IF([2]对账明细接口!$F$861=0,"",[2]对账明细接口!$F$861),"")</f>
        <v/>
      </c>
      <c r="G861" s="16" t="str">
        <f>IFERROR(IF([2]对账明细接口!$G$861=0,"",[2]对账明细接口!$G$861),"")</f>
        <v/>
      </c>
      <c r="H861" s="17" t="str">
        <f>IFERROR(IF([2]对账明细接口!$H$861=0,"",[2]对账明细接口!$H$861),"")</f>
        <v/>
      </c>
      <c r="I861" s="16" t="str">
        <f>IFERROR(IF([2]对账明细接口!$I$861=0,"",[2]对账明细接口!$I$861),"")</f>
        <v/>
      </c>
      <c r="J861" s="18" t="str">
        <f>IFERROR(IF([2]对账明细接口!$J$861=0,"",[2]对账明细接口!$J$861),"")</f>
        <v/>
      </c>
      <c r="K861" s="18" t="str">
        <f>IFERROR(IF([2]对账明细接口!$K$861=0,"",[2]对账明细接口!$K$861),"")</f>
        <v/>
      </c>
      <c r="L861" s="16" t="str">
        <f>IFERROR(IF([2]对账明细接口!$L$861=0,"",[2]对账明细接口!$L$861),"")</f>
        <v/>
      </c>
      <c r="M861" s="16" t="str">
        <f>IFERROR(IF([2]对账明细接口!$M$861=0,"",[2]对账明细接口!$M$861),"")</f>
        <v/>
      </c>
      <c r="N861" s="19">
        <f t="shared" si="78"/>
        <v>0</v>
      </c>
      <c r="O861" s="19">
        <f t="shared" si="79"/>
        <v>165</v>
      </c>
      <c r="S861" s="20" t="str">
        <f>IFERROR(IF([2]对账明细接口!$N861=0,"",[2]对账明细接口!$N861),"")</f>
        <v/>
      </c>
      <c r="T861" s="21" t="str">
        <f>IFERROR(IF([2]对账明细接口!$O861=0,"",[2]对账明细接口!$O861),"")</f>
        <v/>
      </c>
      <c r="U861" s="21" t="str">
        <f>IFERROR(IF([2]对账明细接口!$P861=0,"",[2]对账明细接口!$P861),"")</f>
        <v/>
      </c>
      <c r="V861" s="21" t="str">
        <f>IFERROR(IF([2]对账明细接口!$Q861=0,"",[2]对账明细接口!$Q861),"")</f>
        <v/>
      </c>
      <c r="W861" s="20" t="str">
        <f>IFERROR(IF([2]对账明细接口!$R861=0,"",[2]对账明细接口!$R861),"")</f>
        <v/>
      </c>
      <c r="X861" s="20" t="str">
        <f>IFERROR(IF([2]对账明细接口!$S861=0,"",[2]对账明细接口!$S861),"")</f>
        <v/>
      </c>
      <c r="Y861" s="20" t="str">
        <f t="shared" si="80"/>
        <v/>
      </c>
      <c r="Z861" s="20" t="str">
        <f t="shared" si="81"/>
        <v/>
      </c>
      <c r="AA861" s="20" t="str">
        <f t="shared" si="82"/>
        <v/>
      </c>
      <c r="AB861" s="20" t="str">
        <f t="shared" si="83"/>
        <v/>
      </c>
    </row>
    <row r="862" customHeight="1" spans="1:28">
      <c r="A862" s="14">
        <v>862</v>
      </c>
      <c r="B862" s="15" t="str">
        <f>IFERROR(IF([2]对账明细接口!$B$862=0,"",[2]对账明细接口!$B$862),"")</f>
        <v/>
      </c>
      <c r="C862" s="16" t="str">
        <f>IFERROR(IF([2]对账明细接口!$C$862=0,"",[2]对账明细接口!$C$862),"")</f>
        <v/>
      </c>
      <c r="D862" s="16" t="str">
        <f>IFERROR(IF([2]对账明细接口!$D$862=0,"",[2]对账明细接口!$D$862),"")</f>
        <v/>
      </c>
      <c r="E862" s="16" t="str">
        <f>IFERROR(IF([2]对账明细接口!$E$862=0,"",[2]对账明细接口!$E$862),"")</f>
        <v/>
      </c>
      <c r="F862" s="16" t="str">
        <f>IFERROR(IF([2]对账明细接口!$F$862=0,"",[2]对账明细接口!$F$862),"")</f>
        <v/>
      </c>
      <c r="G862" s="16" t="str">
        <f>IFERROR(IF([2]对账明细接口!$G$862=0,"",[2]对账明细接口!$G$862),"")</f>
        <v/>
      </c>
      <c r="H862" s="17" t="str">
        <f>IFERROR(IF([2]对账明细接口!$H$862=0,"",[2]对账明细接口!$H$862),"")</f>
        <v/>
      </c>
      <c r="I862" s="16" t="str">
        <f>IFERROR(IF([2]对账明细接口!$I$862=0,"",[2]对账明细接口!$I$862),"")</f>
        <v/>
      </c>
      <c r="J862" s="18" t="str">
        <f>IFERROR(IF([2]对账明细接口!$J$862=0,"",[2]对账明细接口!$J$862),"")</f>
        <v/>
      </c>
      <c r="K862" s="18" t="str">
        <f>IFERROR(IF([2]对账明细接口!$K$862=0,"",[2]对账明细接口!$K$862),"")</f>
        <v/>
      </c>
      <c r="L862" s="16" t="str">
        <f>IFERROR(IF([2]对账明细接口!$L$862=0,"",[2]对账明细接口!$L$862),"")</f>
        <v/>
      </c>
      <c r="M862" s="16" t="str">
        <f>IFERROR(IF([2]对账明细接口!$M$862=0,"",[2]对账明细接口!$M$862),"")</f>
        <v/>
      </c>
      <c r="N862" s="19">
        <f t="shared" si="78"/>
        <v>0</v>
      </c>
      <c r="O862" s="19">
        <f t="shared" si="79"/>
        <v>165</v>
      </c>
      <c r="S862" s="20" t="str">
        <f>IFERROR(IF([2]对账明细接口!$N862=0,"",[2]对账明细接口!$N862),"")</f>
        <v/>
      </c>
      <c r="T862" s="21" t="str">
        <f>IFERROR(IF([2]对账明细接口!$O862=0,"",[2]对账明细接口!$O862),"")</f>
        <v/>
      </c>
      <c r="U862" s="21" t="str">
        <f>IFERROR(IF([2]对账明细接口!$P862=0,"",[2]对账明细接口!$P862),"")</f>
        <v/>
      </c>
      <c r="V862" s="21" t="str">
        <f>IFERROR(IF([2]对账明细接口!$Q862=0,"",[2]对账明细接口!$Q862),"")</f>
        <v/>
      </c>
      <c r="W862" s="20" t="str">
        <f>IFERROR(IF([2]对账明细接口!$R862=0,"",[2]对账明细接口!$R862),"")</f>
        <v/>
      </c>
      <c r="X862" s="20" t="str">
        <f>IFERROR(IF([2]对账明细接口!$S862=0,"",[2]对账明细接口!$S862),"")</f>
        <v/>
      </c>
      <c r="Y862" s="20" t="str">
        <f t="shared" si="80"/>
        <v/>
      </c>
      <c r="Z862" s="20" t="str">
        <f t="shared" si="81"/>
        <v/>
      </c>
      <c r="AA862" s="20" t="str">
        <f t="shared" si="82"/>
        <v/>
      </c>
      <c r="AB862" s="20" t="str">
        <f t="shared" si="83"/>
        <v/>
      </c>
    </row>
    <row r="863" customHeight="1" spans="1:28">
      <c r="A863" s="14">
        <v>863</v>
      </c>
      <c r="B863" s="15" t="str">
        <f>IFERROR(IF([2]对账明细接口!$B$863=0,"",[2]对账明细接口!$B$863),"")</f>
        <v/>
      </c>
      <c r="C863" s="16" t="str">
        <f>IFERROR(IF([2]对账明细接口!$C$863=0,"",[2]对账明细接口!$C$863),"")</f>
        <v/>
      </c>
      <c r="D863" s="16" t="str">
        <f>IFERROR(IF([2]对账明细接口!$D$863=0,"",[2]对账明细接口!$D$863),"")</f>
        <v/>
      </c>
      <c r="E863" s="16" t="str">
        <f>IFERROR(IF([2]对账明细接口!$E$863=0,"",[2]对账明细接口!$E$863),"")</f>
        <v/>
      </c>
      <c r="F863" s="16" t="str">
        <f>IFERROR(IF([2]对账明细接口!$F$863=0,"",[2]对账明细接口!$F$863),"")</f>
        <v/>
      </c>
      <c r="G863" s="16" t="str">
        <f>IFERROR(IF([2]对账明细接口!$G$863=0,"",[2]对账明细接口!$G$863),"")</f>
        <v/>
      </c>
      <c r="H863" s="17" t="str">
        <f>IFERROR(IF([2]对账明细接口!$H$863=0,"",[2]对账明细接口!$H$863),"")</f>
        <v/>
      </c>
      <c r="I863" s="16" t="str">
        <f>IFERROR(IF([2]对账明细接口!$I$863=0,"",[2]对账明细接口!$I$863),"")</f>
        <v/>
      </c>
      <c r="J863" s="18" t="str">
        <f>IFERROR(IF([2]对账明细接口!$J$863=0,"",[2]对账明细接口!$J$863),"")</f>
        <v/>
      </c>
      <c r="K863" s="18" t="str">
        <f>IFERROR(IF([2]对账明细接口!$K$863=0,"",[2]对账明细接口!$K$863),"")</f>
        <v/>
      </c>
      <c r="L863" s="16" t="str">
        <f>IFERROR(IF([2]对账明细接口!$L$863=0,"",[2]对账明细接口!$L$863),"")</f>
        <v/>
      </c>
      <c r="M863" s="16" t="str">
        <f>IFERROR(IF([2]对账明细接口!$M$863=0,"",[2]对账明细接口!$M$863),"")</f>
        <v/>
      </c>
      <c r="N863" s="19">
        <f t="shared" si="78"/>
        <v>0</v>
      </c>
      <c r="O863" s="19">
        <f t="shared" si="79"/>
        <v>165</v>
      </c>
      <c r="S863" s="20" t="str">
        <f>IFERROR(IF([2]对账明细接口!$N863=0,"",[2]对账明细接口!$N863),"")</f>
        <v/>
      </c>
      <c r="T863" s="21" t="str">
        <f>IFERROR(IF([2]对账明细接口!$O863=0,"",[2]对账明细接口!$O863),"")</f>
        <v/>
      </c>
      <c r="U863" s="21" t="str">
        <f>IFERROR(IF([2]对账明细接口!$P863=0,"",[2]对账明细接口!$P863),"")</f>
        <v/>
      </c>
      <c r="V863" s="21" t="str">
        <f>IFERROR(IF([2]对账明细接口!$Q863=0,"",[2]对账明细接口!$Q863),"")</f>
        <v/>
      </c>
      <c r="W863" s="20" t="str">
        <f>IFERROR(IF([2]对账明细接口!$R863=0,"",[2]对账明细接口!$R863),"")</f>
        <v/>
      </c>
      <c r="X863" s="20" t="str">
        <f>IFERROR(IF([2]对账明细接口!$S863=0,"",[2]对账明细接口!$S863),"")</f>
        <v/>
      </c>
      <c r="Y863" s="20" t="str">
        <f t="shared" si="80"/>
        <v/>
      </c>
      <c r="Z863" s="20" t="str">
        <f t="shared" si="81"/>
        <v/>
      </c>
      <c r="AA863" s="20" t="str">
        <f t="shared" si="82"/>
        <v/>
      </c>
      <c r="AB863" s="20" t="str">
        <f t="shared" si="83"/>
        <v/>
      </c>
    </row>
    <row r="864" customHeight="1" spans="1:28">
      <c r="A864" s="14">
        <v>864</v>
      </c>
      <c r="B864" s="15" t="str">
        <f>IFERROR(IF([2]对账明细接口!$B$864=0,"",[2]对账明细接口!$B$864),"")</f>
        <v/>
      </c>
      <c r="C864" s="16" t="str">
        <f>IFERROR(IF([2]对账明细接口!$C$864=0,"",[2]对账明细接口!$C$864),"")</f>
        <v/>
      </c>
      <c r="D864" s="16" t="str">
        <f>IFERROR(IF([2]对账明细接口!$D$864=0,"",[2]对账明细接口!$D$864),"")</f>
        <v/>
      </c>
      <c r="E864" s="16" t="str">
        <f>IFERROR(IF([2]对账明细接口!$E$864=0,"",[2]对账明细接口!$E$864),"")</f>
        <v/>
      </c>
      <c r="F864" s="16" t="str">
        <f>IFERROR(IF([2]对账明细接口!$F$864=0,"",[2]对账明细接口!$F$864),"")</f>
        <v/>
      </c>
      <c r="G864" s="16" t="str">
        <f>IFERROR(IF([2]对账明细接口!$G$864=0,"",[2]对账明细接口!$G$864),"")</f>
        <v/>
      </c>
      <c r="H864" s="17" t="str">
        <f>IFERROR(IF([2]对账明细接口!$H$864=0,"",[2]对账明细接口!$H$864),"")</f>
        <v/>
      </c>
      <c r="I864" s="16" t="str">
        <f>IFERROR(IF([2]对账明细接口!$I$864=0,"",[2]对账明细接口!$I$864),"")</f>
        <v/>
      </c>
      <c r="J864" s="18" t="str">
        <f>IFERROR(IF([2]对账明细接口!$J$864=0,"",[2]对账明细接口!$J$864),"")</f>
        <v/>
      </c>
      <c r="K864" s="18" t="str">
        <f>IFERROR(IF([2]对账明细接口!$K$864=0,"",[2]对账明细接口!$K$864),"")</f>
        <v/>
      </c>
      <c r="L864" s="16" t="str">
        <f>IFERROR(IF([2]对账明细接口!$L$864=0,"",[2]对账明细接口!$L$864),"")</f>
        <v/>
      </c>
      <c r="M864" s="16" t="str">
        <f>IFERROR(IF([2]对账明细接口!$M$864=0,"",[2]对账明细接口!$M$864),"")</f>
        <v/>
      </c>
      <c r="N864" s="19">
        <f t="shared" si="78"/>
        <v>0</v>
      </c>
      <c r="O864" s="19">
        <f t="shared" si="79"/>
        <v>165</v>
      </c>
      <c r="S864" s="20" t="str">
        <f>IFERROR(IF([2]对账明细接口!$N864=0,"",[2]对账明细接口!$N864),"")</f>
        <v/>
      </c>
      <c r="T864" s="21" t="str">
        <f>IFERROR(IF([2]对账明细接口!$O864=0,"",[2]对账明细接口!$O864),"")</f>
        <v/>
      </c>
      <c r="U864" s="21" t="str">
        <f>IFERROR(IF([2]对账明细接口!$P864=0,"",[2]对账明细接口!$P864),"")</f>
        <v/>
      </c>
      <c r="V864" s="21" t="str">
        <f>IFERROR(IF([2]对账明细接口!$Q864=0,"",[2]对账明细接口!$Q864),"")</f>
        <v/>
      </c>
      <c r="W864" s="20" t="str">
        <f>IFERROR(IF([2]对账明细接口!$R864=0,"",[2]对账明细接口!$R864),"")</f>
        <v/>
      </c>
      <c r="X864" s="20" t="str">
        <f>IFERROR(IF([2]对账明细接口!$S864=0,"",[2]对账明细接口!$S864),"")</f>
        <v/>
      </c>
      <c r="Y864" s="20" t="str">
        <f t="shared" si="80"/>
        <v/>
      </c>
      <c r="Z864" s="20" t="str">
        <f t="shared" si="81"/>
        <v/>
      </c>
      <c r="AA864" s="20" t="str">
        <f t="shared" si="82"/>
        <v/>
      </c>
      <c r="AB864" s="20" t="str">
        <f t="shared" si="83"/>
        <v/>
      </c>
    </row>
    <row r="865" customHeight="1" spans="1:28">
      <c r="A865" s="14">
        <v>865</v>
      </c>
      <c r="B865" s="15" t="str">
        <f>IFERROR(IF([2]对账明细接口!$B$865=0,"",[2]对账明细接口!$B$865),"")</f>
        <v/>
      </c>
      <c r="C865" s="16" t="str">
        <f>IFERROR(IF([2]对账明细接口!$C$865=0,"",[2]对账明细接口!$C$865),"")</f>
        <v/>
      </c>
      <c r="D865" s="16" t="str">
        <f>IFERROR(IF([2]对账明细接口!$D$865=0,"",[2]对账明细接口!$D$865),"")</f>
        <v/>
      </c>
      <c r="E865" s="16" t="str">
        <f>IFERROR(IF([2]对账明细接口!$E$865=0,"",[2]对账明细接口!$E$865),"")</f>
        <v/>
      </c>
      <c r="F865" s="16" t="str">
        <f>IFERROR(IF([2]对账明细接口!$F$865=0,"",[2]对账明细接口!$F$865),"")</f>
        <v/>
      </c>
      <c r="G865" s="16" t="str">
        <f>IFERROR(IF([2]对账明细接口!$G$865=0,"",[2]对账明细接口!$G$865),"")</f>
        <v/>
      </c>
      <c r="H865" s="17" t="str">
        <f>IFERROR(IF([2]对账明细接口!$H$865=0,"",[2]对账明细接口!$H$865),"")</f>
        <v/>
      </c>
      <c r="I865" s="16" t="str">
        <f>IFERROR(IF([2]对账明细接口!$I$865=0,"",[2]对账明细接口!$I$865),"")</f>
        <v/>
      </c>
      <c r="J865" s="18" t="str">
        <f>IFERROR(IF([2]对账明细接口!$J$865=0,"",[2]对账明细接口!$J$865),"")</f>
        <v/>
      </c>
      <c r="K865" s="18" t="str">
        <f>IFERROR(IF([2]对账明细接口!$K$865=0,"",[2]对账明细接口!$K$865),"")</f>
        <v/>
      </c>
      <c r="L865" s="16" t="str">
        <f>IFERROR(IF([2]对账明细接口!$L$865=0,"",[2]对账明细接口!$L$865),"")</f>
        <v/>
      </c>
      <c r="M865" s="16" t="str">
        <f>IFERROR(IF([2]对账明细接口!$M$865=0,"",[2]对账明细接口!$M$865),"")</f>
        <v/>
      </c>
      <c r="N865" s="19">
        <f t="shared" si="78"/>
        <v>0</v>
      </c>
      <c r="O865" s="19">
        <f t="shared" si="79"/>
        <v>165</v>
      </c>
      <c r="S865" s="20" t="str">
        <f>IFERROR(IF([2]对账明细接口!$N865=0,"",[2]对账明细接口!$N865),"")</f>
        <v/>
      </c>
      <c r="T865" s="21" t="str">
        <f>IFERROR(IF([2]对账明细接口!$O865=0,"",[2]对账明细接口!$O865),"")</f>
        <v/>
      </c>
      <c r="U865" s="21" t="str">
        <f>IFERROR(IF([2]对账明细接口!$P865=0,"",[2]对账明细接口!$P865),"")</f>
        <v/>
      </c>
      <c r="V865" s="21" t="str">
        <f>IFERROR(IF([2]对账明细接口!$Q865=0,"",[2]对账明细接口!$Q865),"")</f>
        <v/>
      </c>
      <c r="W865" s="20" t="str">
        <f>IFERROR(IF([2]对账明细接口!$R865=0,"",[2]对账明细接口!$R865),"")</f>
        <v/>
      </c>
      <c r="X865" s="20" t="str">
        <f>IFERROR(IF([2]对账明细接口!$S865=0,"",[2]对账明细接口!$S865),"")</f>
        <v/>
      </c>
      <c r="Y865" s="20" t="str">
        <f t="shared" si="80"/>
        <v/>
      </c>
      <c r="Z865" s="20" t="str">
        <f t="shared" si="81"/>
        <v/>
      </c>
      <c r="AA865" s="20" t="str">
        <f t="shared" si="82"/>
        <v/>
      </c>
      <c r="AB865" s="20" t="str">
        <f t="shared" si="83"/>
        <v/>
      </c>
    </row>
    <row r="866" customHeight="1" spans="1:28">
      <c r="A866" s="14">
        <v>866</v>
      </c>
      <c r="B866" s="15" t="str">
        <f>IFERROR(IF([2]对账明细接口!$B$866=0,"",[2]对账明细接口!$B$866),"")</f>
        <v/>
      </c>
      <c r="C866" s="16" t="str">
        <f>IFERROR(IF([2]对账明细接口!$C$866=0,"",[2]对账明细接口!$C$866),"")</f>
        <v/>
      </c>
      <c r="D866" s="16" t="str">
        <f>IFERROR(IF([2]对账明细接口!$D$866=0,"",[2]对账明细接口!$D$866),"")</f>
        <v/>
      </c>
      <c r="E866" s="16" t="str">
        <f>IFERROR(IF([2]对账明细接口!$E$866=0,"",[2]对账明细接口!$E$866),"")</f>
        <v/>
      </c>
      <c r="F866" s="16" t="str">
        <f>IFERROR(IF([2]对账明细接口!$F$866=0,"",[2]对账明细接口!$F$866),"")</f>
        <v/>
      </c>
      <c r="G866" s="16" t="str">
        <f>IFERROR(IF([2]对账明细接口!$G$866=0,"",[2]对账明细接口!$G$866),"")</f>
        <v/>
      </c>
      <c r="H866" s="17" t="str">
        <f>IFERROR(IF([2]对账明细接口!$H$866=0,"",[2]对账明细接口!$H$866),"")</f>
        <v/>
      </c>
      <c r="I866" s="16" t="str">
        <f>IFERROR(IF([2]对账明细接口!$I$866=0,"",[2]对账明细接口!$I$866),"")</f>
        <v/>
      </c>
      <c r="J866" s="18" t="str">
        <f>IFERROR(IF([2]对账明细接口!$J$866=0,"",[2]对账明细接口!$J$866),"")</f>
        <v/>
      </c>
      <c r="K866" s="18" t="str">
        <f>IFERROR(IF([2]对账明细接口!$K$866=0,"",[2]对账明细接口!$K$866),"")</f>
        <v/>
      </c>
      <c r="L866" s="16" t="str">
        <f>IFERROR(IF([2]对账明细接口!$L$866=0,"",[2]对账明细接口!$L$866),"")</f>
        <v/>
      </c>
      <c r="M866" s="16" t="str">
        <f>IFERROR(IF([2]对账明细接口!$M$866=0,"",[2]对账明细接口!$M$866),"")</f>
        <v/>
      </c>
      <c r="N866" s="19">
        <f t="shared" si="78"/>
        <v>0</v>
      </c>
      <c r="O866" s="19">
        <f t="shared" si="79"/>
        <v>165</v>
      </c>
      <c r="S866" s="20" t="str">
        <f>IFERROR(IF([2]对账明细接口!$N866=0,"",[2]对账明细接口!$N866),"")</f>
        <v/>
      </c>
      <c r="T866" s="21" t="str">
        <f>IFERROR(IF([2]对账明细接口!$O866=0,"",[2]对账明细接口!$O866),"")</f>
        <v/>
      </c>
      <c r="U866" s="21" t="str">
        <f>IFERROR(IF([2]对账明细接口!$P866=0,"",[2]对账明细接口!$P866),"")</f>
        <v/>
      </c>
      <c r="V866" s="21" t="str">
        <f>IFERROR(IF([2]对账明细接口!$Q866=0,"",[2]对账明细接口!$Q866),"")</f>
        <v/>
      </c>
      <c r="W866" s="20" t="str">
        <f>IFERROR(IF([2]对账明细接口!$R866=0,"",[2]对账明细接口!$R866),"")</f>
        <v/>
      </c>
      <c r="X866" s="20" t="str">
        <f>IFERROR(IF([2]对账明细接口!$S866=0,"",[2]对账明细接口!$S866),"")</f>
        <v/>
      </c>
      <c r="Y866" s="20" t="str">
        <f t="shared" si="80"/>
        <v/>
      </c>
      <c r="Z866" s="20" t="str">
        <f t="shared" si="81"/>
        <v/>
      </c>
      <c r="AA866" s="20" t="str">
        <f t="shared" si="82"/>
        <v/>
      </c>
      <c r="AB866" s="20" t="str">
        <f t="shared" si="83"/>
        <v/>
      </c>
    </row>
    <row r="867" customHeight="1" spans="1:28">
      <c r="A867" s="14">
        <v>867</v>
      </c>
      <c r="B867" s="15" t="str">
        <f>IFERROR(IF([2]对账明细接口!$B$867=0,"",[2]对账明细接口!$B$867),"")</f>
        <v/>
      </c>
      <c r="C867" s="16" t="str">
        <f>IFERROR(IF([2]对账明细接口!$C$867=0,"",[2]对账明细接口!$C$867),"")</f>
        <v/>
      </c>
      <c r="D867" s="16" t="str">
        <f>IFERROR(IF([2]对账明细接口!$D$867=0,"",[2]对账明细接口!$D$867),"")</f>
        <v/>
      </c>
      <c r="E867" s="16" t="str">
        <f>IFERROR(IF([2]对账明细接口!$E$867=0,"",[2]对账明细接口!$E$867),"")</f>
        <v/>
      </c>
      <c r="F867" s="16" t="str">
        <f>IFERROR(IF([2]对账明细接口!$F$867=0,"",[2]对账明细接口!$F$867),"")</f>
        <v/>
      </c>
      <c r="G867" s="16" t="str">
        <f>IFERROR(IF([2]对账明细接口!$G$867=0,"",[2]对账明细接口!$G$867),"")</f>
        <v/>
      </c>
      <c r="H867" s="17" t="str">
        <f>IFERROR(IF([2]对账明细接口!$H$867=0,"",[2]对账明细接口!$H$867),"")</f>
        <v/>
      </c>
      <c r="I867" s="16" t="str">
        <f>IFERROR(IF([2]对账明细接口!$I$867=0,"",[2]对账明细接口!$I$867),"")</f>
        <v/>
      </c>
      <c r="J867" s="18" t="str">
        <f>IFERROR(IF([2]对账明细接口!$J$867=0,"",[2]对账明细接口!$J$867),"")</f>
        <v/>
      </c>
      <c r="K867" s="18" t="str">
        <f>IFERROR(IF([2]对账明细接口!$K$867=0,"",[2]对账明细接口!$K$867),"")</f>
        <v/>
      </c>
      <c r="L867" s="16" t="str">
        <f>IFERROR(IF([2]对账明细接口!$L$867=0,"",[2]对账明细接口!$L$867),"")</f>
        <v/>
      </c>
      <c r="M867" s="16" t="str">
        <f>IFERROR(IF([2]对账明细接口!$M$867=0,"",[2]对账明细接口!$M$867),"")</f>
        <v/>
      </c>
      <c r="N867" s="19">
        <f t="shared" si="78"/>
        <v>0</v>
      </c>
      <c r="O867" s="19">
        <f t="shared" si="79"/>
        <v>165</v>
      </c>
      <c r="S867" s="20" t="str">
        <f>IFERROR(IF([2]对账明细接口!$N867=0,"",[2]对账明细接口!$N867),"")</f>
        <v/>
      </c>
      <c r="T867" s="21" t="str">
        <f>IFERROR(IF([2]对账明细接口!$O867=0,"",[2]对账明细接口!$O867),"")</f>
        <v/>
      </c>
      <c r="U867" s="21" t="str">
        <f>IFERROR(IF([2]对账明细接口!$P867=0,"",[2]对账明细接口!$P867),"")</f>
        <v/>
      </c>
      <c r="V867" s="21" t="str">
        <f>IFERROR(IF([2]对账明细接口!$Q867=0,"",[2]对账明细接口!$Q867),"")</f>
        <v/>
      </c>
      <c r="W867" s="20" t="str">
        <f>IFERROR(IF([2]对账明细接口!$R867=0,"",[2]对账明细接口!$R867),"")</f>
        <v/>
      </c>
      <c r="X867" s="20" t="str">
        <f>IFERROR(IF([2]对账明细接口!$S867=0,"",[2]对账明细接口!$S867),"")</f>
        <v/>
      </c>
      <c r="Y867" s="20" t="str">
        <f t="shared" si="80"/>
        <v/>
      </c>
      <c r="Z867" s="20" t="str">
        <f t="shared" si="81"/>
        <v/>
      </c>
      <c r="AA867" s="20" t="str">
        <f t="shared" si="82"/>
        <v/>
      </c>
      <c r="AB867" s="20" t="str">
        <f t="shared" si="83"/>
        <v/>
      </c>
    </row>
    <row r="868" customHeight="1" spans="1:28">
      <c r="A868" s="14">
        <v>868</v>
      </c>
      <c r="B868" s="15" t="str">
        <f>IFERROR(IF([2]对账明细接口!$B$868=0,"",[2]对账明细接口!$B$868),"")</f>
        <v/>
      </c>
      <c r="C868" s="16" t="str">
        <f>IFERROR(IF([2]对账明细接口!$C$868=0,"",[2]对账明细接口!$C$868),"")</f>
        <v/>
      </c>
      <c r="D868" s="16" t="str">
        <f>IFERROR(IF([2]对账明细接口!$D$868=0,"",[2]对账明细接口!$D$868),"")</f>
        <v/>
      </c>
      <c r="E868" s="16" t="str">
        <f>IFERROR(IF([2]对账明细接口!$E$868=0,"",[2]对账明细接口!$E$868),"")</f>
        <v/>
      </c>
      <c r="F868" s="16" t="str">
        <f>IFERROR(IF([2]对账明细接口!$F$868=0,"",[2]对账明细接口!$F$868),"")</f>
        <v/>
      </c>
      <c r="G868" s="16" t="str">
        <f>IFERROR(IF([2]对账明细接口!$G$868=0,"",[2]对账明细接口!$G$868),"")</f>
        <v/>
      </c>
      <c r="H868" s="17" t="str">
        <f>IFERROR(IF([2]对账明细接口!$H$868=0,"",[2]对账明细接口!$H$868),"")</f>
        <v/>
      </c>
      <c r="I868" s="16" t="str">
        <f>IFERROR(IF([2]对账明细接口!$I$868=0,"",[2]对账明细接口!$I$868),"")</f>
        <v/>
      </c>
      <c r="J868" s="18" t="str">
        <f>IFERROR(IF([2]对账明细接口!$J$868=0,"",[2]对账明细接口!$J$868),"")</f>
        <v/>
      </c>
      <c r="K868" s="18" t="str">
        <f>IFERROR(IF([2]对账明细接口!$K$868=0,"",[2]对账明细接口!$K$868),"")</f>
        <v/>
      </c>
      <c r="L868" s="16" t="str">
        <f>IFERROR(IF([2]对账明细接口!$L$868=0,"",[2]对账明细接口!$L$868),"")</f>
        <v/>
      </c>
      <c r="M868" s="16" t="str">
        <f>IFERROR(IF([2]对账明细接口!$M$868=0,"",[2]对账明细接口!$M$868),"")</f>
        <v/>
      </c>
      <c r="N868" s="19">
        <f t="shared" si="78"/>
        <v>0</v>
      </c>
      <c r="O868" s="19">
        <f t="shared" si="79"/>
        <v>165</v>
      </c>
      <c r="S868" s="20" t="str">
        <f>IFERROR(IF([2]对账明细接口!$N868=0,"",[2]对账明细接口!$N868),"")</f>
        <v/>
      </c>
      <c r="T868" s="21" t="str">
        <f>IFERROR(IF([2]对账明细接口!$O868=0,"",[2]对账明细接口!$O868),"")</f>
        <v/>
      </c>
      <c r="U868" s="21" t="str">
        <f>IFERROR(IF([2]对账明细接口!$P868=0,"",[2]对账明细接口!$P868),"")</f>
        <v/>
      </c>
      <c r="V868" s="21" t="str">
        <f>IFERROR(IF([2]对账明细接口!$Q868=0,"",[2]对账明细接口!$Q868),"")</f>
        <v/>
      </c>
      <c r="W868" s="20" t="str">
        <f>IFERROR(IF([2]对账明细接口!$R868=0,"",[2]对账明细接口!$R868),"")</f>
        <v/>
      </c>
      <c r="X868" s="20" t="str">
        <f>IFERROR(IF([2]对账明细接口!$S868=0,"",[2]对账明细接口!$S868),"")</f>
        <v/>
      </c>
      <c r="Y868" s="20" t="str">
        <f t="shared" si="80"/>
        <v/>
      </c>
      <c r="Z868" s="20" t="str">
        <f t="shared" si="81"/>
        <v/>
      </c>
      <c r="AA868" s="20" t="str">
        <f t="shared" si="82"/>
        <v/>
      </c>
      <c r="AB868" s="20" t="str">
        <f t="shared" si="83"/>
        <v/>
      </c>
    </row>
    <row r="869" customHeight="1" spans="1:28">
      <c r="A869" s="14">
        <v>869</v>
      </c>
      <c r="B869" s="15" t="str">
        <f>IFERROR(IF([2]对账明细接口!$B$869=0,"",[2]对账明细接口!$B$869),"")</f>
        <v/>
      </c>
      <c r="C869" s="16" t="str">
        <f>IFERROR(IF([2]对账明细接口!$C$869=0,"",[2]对账明细接口!$C$869),"")</f>
        <v/>
      </c>
      <c r="D869" s="16" t="str">
        <f>IFERROR(IF([2]对账明细接口!$D$869=0,"",[2]对账明细接口!$D$869),"")</f>
        <v/>
      </c>
      <c r="E869" s="16" t="str">
        <f>IFERROR(IF([2]对账明细接口!$E$869=0,"",[2]对账明细接口!$E$869),"")</f>
        <v/>
      </c>
      <c r="F869" s="16" t="str">
        <f>IFERROR(IF([2]对账明细接口!$F$869=0,"",[2]对账明细接口!$F$869),"")</f>
        <v/>
      </c>
      <c r="G869" s="16" t="str">
        <f>IFERROR(IF([2]对账明细接口!$G$869=0,"",[2]对账明细接口!$G$869),"")</f>
        <v/>
      </c>
      <c r="H869" s="17" t="str">
        <f>IFERROR(IF([2]对账明细接口!$H$869=0,"",[2]对账明细接口!$H$869),"")</f>
        <v/>
      </c>
      <c r="I869" s="16" t="str">
        <f>IFERROR(IF([2]对账明细接口!$I$869=0,"",[2]对账明细接口!$I$869),"")</f>
        <v/>
      </c>
      <c r="J869" s="18" t="str">
        <f>IFERROR(IF([2]对账明细接口!$J$869=0,"",[2]对账明细接口!$J$869),"")</f>
        <v/>
      </c>
      <c r="K869" s="18" t="str">
        <f>IFERROR(IF([2]对账明细接口!$K$869=0,"",[2]对账明细接口!$K$869),"")</f>
        <v/>
      </c>
      <c r="L869" s="16" t="str">
        <f>IFERROR(IF([2]对账明细接口!$L$869=0,"",[2]对账明细接口!$L$869),"")</f>
        <v/>
      </c>
      <c r="M869" s="16" t="str">
        <f>IFERROR(IF([2]对账明细接口!$M$869=0,"",[2]对账明细接口!$M$869),"")</f>
        <v/>
      </c>
      <c r="N869" s="19">
        <f t="shared" si="78"/>
        <v>0</v>
      </c>
      <c r="O869" s="19">
        <f t="shared" si="79"/>
        <v>165</v>
      </c>
      <c r="S869" s="20" t="str">
        <f>IFERROR(IF([2]对账明细接口!$N869=0,"",[2]对账明细接口!$N869),"")</f>
        <v/>
      </c>
      <c r="T869" s="21" t="str">
        <f>IFERROR(IF([2]对账明细接口!$O869=0,"",[2]对账明细接口!$O869),"")</f>
        <v/>
      </c>
      <c r="U869" s="21" t="str">
        <f>IFERROR(IF([2]对账明细接口!$P869=0,"",[2]对账明细接口!$P869),"")</f>
        <v/>
      </c>
      <c r="V869" s="21" t="str">
        <f>IFERROR(IF([2]对账明细接口!$Q869=0,"",[2]对账明细接口!$Q869),"")</f>
        <v/>
      </c>
      <c r="W869" s="20" t="str">
        <f>IFERROR(IF([2]对账明细接口!$R869=0,"",[2]对账明细接口!$R869),"")</f>
        <v/>
      </c>
      <c r="X869" s="20" t="str">
        <f>IFERROR(IF([2]对账明细接口!$S869=0,"",[2]对账明细接口!$S869),"")</f>
        <v/>
      </c>
      <c r="Y869" s="20" t="str">
        <f t="shared" si="80"/>
        <v/>
      </c>
      <c r="Z869" s="20" t="str">
        <f t="shared" si="81"/>
        <v/>
      </c>
      <c r="AA869" s="20" t="str">
        <f t="shared" si="82"/>
        <v/>
      </c>
      <c r="AB869" s="20" t="str">
        <f t="shared" si="83"/>
        <v/>
      </c>
    </row>
    <row r="870" customHeight="1" spans="1:28">
      <c r="A870" s="14">
        <v>870</v>
      </c>
      <c r="B870" s="15" t="str">
        <f>IFERROR(IF([2]对账明细接口!$B$870=0,"",[2]对账明细接口!$B$870),"")</f>
        <v/>
      </c>
      <c r="C870" s="16" t="str">
        <f>IFERROR(IF([2]对账明细接口!$C$870=0,"",[2]对账明细接口!$C$870),"")</f>
        <v/>
      </c>
      <c r="D870" s="16" t="str">
        <f>IFERROR(IF([2]对账明细接口!$D$870=0,"",[2]对账明细接口!$D$870),"")</f>
        <v/>
      </c>
      <c r="E870" s="16" t="str">
        <f>IFERROR(IF([2]对账明细接口!$E$870=0,"",[2]对账明细接口!$E$870),"")</f>
        <v/>
      </c>
      <c r="F870" s="16" t="str">
        <f>IFERROR(IF([2]对账明细接口!$F$870=0,"",[2]对账明细接口!$F$870),"")</f>
        <v/>
      </c>
      <c r="G870" s="16" t="str">
        <f>IFERROR(IF([2]对账明细接口!$G$870=0,"",[2]对账明细接口!$G$870),"")</f>
        <v/>
      </c>
      <c r="H870" s="17" t="str">
        <f>IFERROR(IF([2]对账明细接口!$H$870=0,"",[2]对账明细接口!$H$870),"")</f>
        <v/>
      </c>
      <c r="I870" s="16" t="str">
        <f>IFERROR(IF([2]对账明细接口!$I$870=0,"",[2]对账明细接口!$I$870),"")</f>
        <v/>
      </c>
      <c r="J870" s="18" t="str">
        <f>IFERROR(IF([2]对账明细接口!$J$870=0,"",[2]对账明细接口!$J$870),"")</f>
        <v/>
      </c>
      <c r="K870" s="18" t="str">
        <f>IFERROR(IF([2]对账明细接口!$K$870=0,"",[2]对账明细接口!$K$870),"")</f>
        <v/>
      </c>
      <c r="L870" s="16" t="str">
        <f>IFERROR(IF([2]对账明细接口!$L$870=0,"",[2]对账明细接口!$L$870),"")</f>
        <v/>
      </c>
      <c r="M870" s="16" t="str">
        <f>IFERROR(IF([2]对账明细接口!$M$870=0,"",[2]对账明细接口!$M$870),"")</f>
        <v/>
      </c>
      <c r="N870" s="19">
        <f t="shared" si="78"/>
        <v>0</v>
      </c>
      <c r="O870" s="19">
        <f t="shared" si="79"/>
        <v>165</v>
      </c>
      <c r="S870" s="20" t="str">
        <f>IFERROR(IF([2]对账明细接口!$N870=0,"",[2]对账明细接口!$N870),"")</f>
        <v/>
      </c>
      <c r="T870" s="21" t="str">
        <f>IFERROR(IF([2]对账明细接口!$O870=0,"",[2]对账明细接口!$O870),"")</f>
        <v/>
      </c>
      <c r="U870" s="21" t="str">
        <f>IFERROR(IF([2]对账明细接口!$P870=0,"",[2]对账明细接口!$P870),"")</f>
        <v/>
      </c>
      <c r="V870" s="21" t="str">
        <f>IFERROR(IF([2]对账明细接口!$Q870=0,"",[2]对账明细接口!$Q870),"")</f>
        <v/>
      </c>
      <c r="W870" s="20" t="str">
        <f>IFERROR(IF([2]对账明细接口!$R870=0,"",[2]对账明细接口!$R870),"")</f>
        <v/>
      </c>
      <c r="X870" s="20" t="str">
        <f>IFERROR(IF([2]对账明细接口!$S870=0,"",[2]对账明细接口!$S870),"")</f>
        <v/>
      </c>
      <c r="Y870" s="20" t="str">
        <f t="shared" si="80"/>
        <v/>
      </c>
      <c r="Z870" s="20" t="str">
        <f t="shared" si="81"/>
        <v/>
      </c>
      <c r="AA870" s="20" t="str">
        <f t="shared" si="82"/>
        <v/>
      </c>
      <c r="AB870" s="20" t="str">
        <f t="shared" si="83"/>
        <v/>
      </c>
    </row>
    <row r="871" customHeight="1" spans="1:28">
      <c r="A871" s="14">
        <v>871</v>
      </c>
      <c r="B871" s="15" t="str">
        <f>IFERROR(IF([2]对账明细接口!$B$871=0,"",[2]对账明细接口!$B$871),"")</f>
        <v/>
      </c>
      <c r="C871" s="16" t="str">
        <f>IFERROR(IF([2]对账明细接口!$C$871=0,"",[2]对账明细接口!$C$871),"")</f>
        <v/>
      </c>
      <c r="D871" s="16" t="str">
        <f>IFERROR(IF([2]对账明细接口!$D$871=0,"",[2]对账明细接口!$D$871),"")</f>
        <v/>
      </c>
      <c r="E871" s="16" t="str">
        <f>IFERROR(IF([2]对账明细接口!$E$871=0,"",[2]对账明细接口!$E$871),"")</f>
        <v/>
      </c>
      <c r="F871" s="16" t="str">
        <f>IFERROR(IF([2]对账明细接口!$F$871=0,"",[2]对账明细接口!$F$871),"")</f>
        <v/>
      </c>
      <c r="G871" s="16" t="str">
        <f>IFERROR(IF([2]对账明细接口!$G$871=0,"",[2]对账明细接口!$G$871),"")</f>
        <v/>
      </c>
      <c r="H871" s="17" t="str">
        <f>IFERROR(IF([2]对账明细接口!$H$871=0,"",[2]对账明细接口!$H$871),"")</f>
        <v/>
      </c>
      <c r="I871" s="16" t="str">
        <f>IFERROR(IF([2]对账明细接口!$I$871=0,"",[2]对账明细接口!$I$871),"")</f>
        <v/>
      </c>
      <c r="J871" s="18" t="str">
        <f>IFERROR(IF([2]对账明细接口!$J$871=0,"",[2]对账明细接口!$J$871),"")</f>
        <v/>
      </c>
      <c r="K871" s="18" t="str">
        <f>IFERROR(IF([2]对账明细接口!$K$871=0,"",[2]对账明细接口!$K$871),"")</f>
        <v/>
      </c>
      <c r="L871" s="16" t="str">
        <f>IFERROR(IF([2]对账明细接口!$L$871=0,"",[2]对账明细接口!$L$871),"")</f>
        <v/>
      </c>
      <c r="M871" s="16" t="str">
        <f>IFERROR(IF([2]对账明细接口!$M$871=0,"",[2]对账明细接口!$M$871),"")</f>
        <v/>
      </c>
      <c r="N871" s="19">
        <f t="shared" si="78"/>
        <v>0</v>
      </c>
      <c r="O871" s="19">
        <f t="shared" si="79"/>
        <v>165</v>
      </c>
      <c r="S871" s="20" t="str">
        <f>IFERROR(IF([2]对账明细接口!$N871=0,"",[2]对账明细接口!$N871),"")</f>
        <v/>
      </c>
      <c r="T871" s="21" t="str">
        <f>IFERROR(IF([2]对账明细接口!$O871=0,"",[2]对账明细接口!$O871),"")</f>
        <v/>
      </c>
      <c r="U871" s="21" t="str">
        <f>IFERROR(IF([2]对账明细接口!$P871=0,"",[2]对账明细接口!$P871),"")</f>
        <v/>
      </c>
      <c r="V871" s="21" t="str">
        <f>IFERROR(IF([2]对账明细接口!$Q871=0,"",[2]对账明细接口!$Q871),"")</f>
        <v/>
      </c>
      <c r="W871" s="20" t="str">
        <f>IFERROR(IF([2]对账明细接口!$R871=0,"",[2]对账明细接口!$R871),"")</f>
        <v/>
      </c>
      <c r="X871" s="20" t="str">
        <f>IFERROR(IF([2]对账明细接口!$S871=0,"",[2]对账明细接口!$S871),"")</f>
        <v/>
      </c>
      <c r="Y871" s="20" t="str">
        <f t="shared" si="80"/>
        <v/>
      </c>
      <c r="Z871" s="20" t="str">
        <f t="shared" si="81"/>
        <v/>
      </c>
      <c r="AA871" s="20" t="str">
        <f t="shared" si="82"/>
        <v/>
      </c>
      <c r="AB871" s="20" t="str">
        <f t="shared" si="83"/>
        <v/>
      </c>
    </row>
    <row r="872" customHeight="1" spans="1:28">
      <c r="A872" s="14">
        <v>872</v>
      </c>
      <c r="B872" s="15" t="str">
        <f>IFERROR(IF([2]对账明细接口!$B$872=0,"",[2]对账明细接口!$B$872),"")</f>
        <v/>
      </c>
      <c r="C872" s="16" t="str">
        <f>IFERROR(IF([2]对账明细接口!$C$872=0,"",[2]对账明细接口!$C$872),"")</f>
        <v/>
      </c>
      <c r="D872" s="16" t="str">
        <f>IFERROR(IF([2]对账明细接口!$D$872=0,"",[2]对账明细接口!$D$872),"")</f>
        <v/>
      </c>
      <c r="E872" s="16" t="str">
        <f>IFERROR(IF([2]对账明细接口!$E$872=0,"",[2]对账明细接口!$E$872),"")</f>
        <v/>
      </c>
      <c r="F872" s="16" t="str">
        <f>IFERROR(IF([2]对账明细接口!$F$872=0,"",[2]对账明细接口!$F$872),"")</f>
        <v/>
      </c>
      <c r="G872" s="16" t="str">
        <f>IFERROR(IF([2]对账明细接口!$G$872=0,"",[2]对账明细接口!$G$872),"")</f>
        <v/>
      </c>
      <c r="H872" s="17" t="str">
        <f>IFERROR(IF([2]对账明细接口!$H$872=0,"",[2]对账明细接口!$H$872),"")</f>
        <v/>
      </c>
      <c r="I872" s="16" t="str">
        <f>IFERROR(IF([2]对账明细接口!$I$872=0,"",[2]对账明细接口!$I$872),"")</f>
        <v/>
      </c>
      <c r="J872" s="18" t="str">
        <f>IFERROR(IF([2]对账明细接口!$J$872=0,"",[2]对账明细接口!$J$872),"")</f>
        <v/>
      </c>
      <c r="K872" s="18" t="str">
        <f>IFERROR(IF([2]对账明细接口!$K$872=0,"",[2]对账明细接口!$K$872),"")</f>
        <v/>
      </c>
      <c r="L872" s="16" t="str">
        <f>IFERROR(IF([2]对账明细接口!$L$872=0,"",[2]对账明细接口!$L$872),"")</f>
        <v/>
      </c>
      <c r="M872" s="16" t="str">
        <f>IFERROR(IF([2]对账明细接口!$M$872=0,"",[2]对账明细接口!$M$872),"")</f>
        <v/>
      </c>
      <c r="N872" s="19">
        <f t="shared" si="78"/>
        <v>0</v>
      </c>
      <c r="O872" s="19">
        <f t="shared" si="79"/>
        <v>165</v>
      </c>
      <c r="S872" s="20" t="str">
        <f>IFERROR(IF([2]对账明细接口!$N872=0,"",[2]对账明细接口!$N872),"")</f>
        <v/>
      </c>
      <c r="T872" s="21" t="str">
        <f>IFERROR(IF([2]对账明细接口!$O872=0,"",[2]对账明细接口!$O872),"")</f>
        <v/>
      </c>
      <c r="U872" s="21" t="str">
        <f>IFERROR(IF([2]对账明细接口!$P872=0,"",[2]对账明细接口!$P872),"")</f>
        <v/>
      </c>
      <c r="V872" s="21" t="str">
        <f>IFERROR(IF([2]对账明细接口!$Q872=0,"",[2]对账明细接口!$Q872),"")</f>
        <v/>
      </c>
      <c r="W872" s="20" t="str">
        <f>IFERROR(IF([2]对账明细接口!$R872=0,"",[2]对账明细接口!$R872),"")</f>
        <v/>
      </c>
      <c r="X872" s="20" t="str">
        <f>IFERROR(IF([2]对账明细接口!$S872=0,"",[2]对账明细接口!$S872),"")</f>
        <v/>
      </c>
      <c r="Y872" s="20" t="str">
        <f t="shared" si="80"/>
        <v/>
      </c>
      <c r="Z872" s="20" t="str">
        <f t="shared" si="81"/>
        <v/>
      </c>
      <c r="AA872" s="20" t="str">
        <f t="shared" si="82"/>
        <v/>
      </c>
      <c r="AB872" s="20" t="str">
        <f t="shared" si="83"/>
        <v/>
      </c>
    </row>
    <row r="873" customHeight="1" spans="1:28">
      <c r="A873" s="14">
        <v>873</v>
      </c>
      <c r="B873" s="15" t="str">
        <f>IFERROR(IF([2]对账明细接口!$B$873=0,"",[2]对账明细接口!$B$873),"")</f>
        <v/>
      </c>
      <c r="C873" s="16" t="str">
        <f>IFERROR(IF([2]对账明细接口!$C$873=0,"",[2]对账明细接口!$C$873),"")</f>
        <v/>
      </c>
      <c r="D873" s="16" t="str">
        <f>IFERROR(IF([2]对账明细接口!$D$873=0,"",[2]对账明细接口!$D$873),"")</f>
        <v/>
      </c>
      <c r="E873" s="16" t="str">
        <f>IFERROR(IF([2]对账明细接口!$E$873=0,"",[2]对账明细接口!$E$873),"")</f>
        <v/>
      </c>
      <c r="F873" s="16" t="str">
        <f>IFERROR(IF([2]对账明细接口!$F$873=0,"",[2]对账明细接口!$F$873),"")</f>
        <v/>
      </c>
      <c r="G873" s="16" t="str">
        <f>IFERROR(IF([2]对账明细接口!$G$873=0,"",[2]对账明细接口!$G$873),"")</f>
        <v/>
      </c>
      <c r="H873" s="17" t="str">
        <f>IFERROR(IF([2]对账明细接口!$H$873=0,"",[2]对账明细接口!$H$873),"")</f>
        <v/>
      </c>
      <c r="I873" s="16" t="str">
        <f>IFERROR(IF([2]对账明细接口!$I$873=0,"",[2]对账明细接口!$I$873),"")</f>
        <v/>
      </c>
      <c r="J873" s="18" t="str">
        <f>IFERROR(IF([2]对账明细接口!$J$873=0,"",[2]对账明细接口!$J$873),"")</f>
        <v/>
      </c>
      <c r="K873" s="18" t="str">
        <f>IFERROR(IF([2]对账明细接口!$K$873=0,"",[2]对账明细接口!$K$873),"")</f>
        <v/>
      </c>
      <c r="L873" s="16" t="str">
        <f>IFERROR(IF([2]对账明细接口!$L$873=0,"",[2]对账明细接口!$L$873),"")</f>
        <v/>
      </c>
      <c r="M873" s="16" t="str">
        <f>IFERROR(IF([2]对账明细接口!$M$873=0,"",[2]对账明细接口!$M$873),"")</f>
        <v/>
      </c>
      <c r="N873" s="19">
        <f t="shared" si="78"/>
        <v>0</v>
      </c>
      <c r="O873" s="19">
        <f t="shared" si="79"/>
        <v>165</v>
      </c>
      <c r="S873" s="20" t="str">
        <f>IFERROR(IF([2]对账明细接口!$N873=0,"",[2]对账明细接口!$N873),"")</f>
        <v/>
      </c>
      <c r="T873" s="21" t="str">
        <f>IFERROR(IF([2]对账明细接口!$O873=0,"",[2]对账明细接口!$O873),"")</f>
        <v/>
      </c>
      <c r="U873" s="21" t="str">
        <f>IFERROR(IF([2]对账明细接口!$P873=0,"",[2]对账明细接口!$P873),"")</f>
        <v/>
      </c>
      <c r="V873" s="21" t="str">
        <f>IFERROR(IF([2]对账明细接口!$Q873=0,"",[2]对账明细接口!$Q873),"")</f>
        <v/>
      </c>
      <c r="W873" s="20" t="str">
        <f>IFERROR(IF([2]对账明细接口!$R873=0,"",[2]对账明细接口!$R873),"")</f>
        <v/>
      </c>
      <c r="X873" s="20" t="str">
        <f>IFERROR(IF([2]对账明细接口!$S873=0,"",[2]对账明细接口!$S873),"")</f>
        <v/>
      </c>
      <c r="Y873" s="20" t="str">
        <f t="shared" si="80"/>
        <v/>
      </c>
      <c r="Z873" s="20" t="str">
        <f t="shared" si="81"/>
        <v/>
      </c>
      <c r="AA873" s="20" t="str">
        <f t="shared" si="82"/>
        <v/>
      </c>
      <c r="AB873" s="20" t="str">
        <f t="shared" si="83"/>
        <v/>
      </c>
    </row>
    <row r="874" customHeight="1" spans="1:28">
      <c r="A874" s="14">
        <v>874</v>
      </c>
      <c r="B874" s="15" t="str">
        <f>IFERROR(IF([2]对账明细接口!$B$874=0,"",[2]对账明细接口!$B$874),"")</f>
        <v/>
      </c>
      <c r="C874" s="16" t="str">
        <f>IFERROR(IF([2]对账明细接口!$C$874=0,"",[2]对账明细接口!$C$874),"")</f>
        <v/>
      </c>
      <c r="D874" s="16" t="str">
        <f>IFERROR(IF([2]对账明细接口!$D$874=0,"",[2]对账明细接口!$D$874),"")</f>
        <v/>
      </c>
      <c r="E874" s="16" t="str">
        <f>IFERROR(IF([2]对账明细接口!$E$874=0,"",[2]对账明细接口!$E$874),"")</f>
        <v/>
      </c>
      <c r="F874" s="16" t="str">
        <f>IFERROR(IF([2]对账明细接口!$F$874=0,"",[2]对账明细接口!$F$874),"")</f>
        <v/>
      </c>
      <c r="G874" s="16" t="str">
        <f>IFERROR(IF([2]对账明细接口!$G$874=0,"",[2]对账明细接口!$G$874),"")</f>
        <v/>
      </c>
      <c r="H874" s="17" t="str">
        <f>IFERROR(IF([2]对账明细接口!$H$874=0,"",[2]对账明细接口!$H$874),"")</f>
        <v/>
      </c>
      <c r="I874" s="16" t="str">
        <f>IFERROR(IF([2]对账明细接口!$I$874=0,"",[2]对账明细接口!$I$874),"")</f>
        <v/>
      </c>
      <c r="J874" s="18" t="str">
        <f>IFERROR(IF([2]对账明细接口!$J$874=0,"",[2]对账明细接口!$J$874),"")</f>
        <v/>
      </c>
      <c r="K874" s="18" t="str">
        <f>IFERROR(IF([2]对账明细接口!$K$874=0,"",[2]对账明细接口!$K$874),"")</f>
        <v/>
      </c>
      <c r="L874" s="16" t="str">
        <f>IFERROR(IF([2]对账明细接口!$L$874=0,"",[2]对账明细接口!$L$874),"")</f>
        <v/>
      </c>
      <c r="M874" s="16" t="str">
        <f>IFERROR(IF([2]对账明细接口!$M$874=0,"",[2]对账明细接口!$M$874),"")</f>
        <v/>
      </c>
      <c r="N874" s="19">
        <f t="shared" si="78"/>
        <v>0</v>
      </c>
      <c r="O874" s="19">
        <f t="shared" si="79"/>
        <v>165</v>
      </c>
      <c r="S874" s="20" t="str">
        <f>IFERROR(IF([2]对账明细接口!$N874=0,"",[2]对账明细接口!$N874),"")</f>
        <v/>
      </c>
      <c r="T874" s="21" t="str">
        <f>IFERROR(IF([2]对账明细接口!$O874=0,"",[2]对账明细接口!$O874),"")</f>
        <v/>
      </c>
      <c r="U874" s="21" t="str">
        <f>IFERROR(IF([2]对账明细接口!$P874=0,"",[2]对账明细接口!$P874),"")</f>
        <v/>
      </c>
      <c r="V874" s="21" t="str">
        <f>IFERROR(IF([2]对账明细接口!$Q874=0,"",[2]对账明细接口!$Q874),"")</f>
        <v/>
      </c>
      <c r="W874" s="20" t="str">
        <f>IFERROR(IF([2]对账明细接口!$R874=0,"",[2]对账明细接口!$R874),"")</f>
        <v/>
      </c>
      <c r="X874" s="20" t="str">
        <f>IFERROR(IF([2]对账明细接口!$S874=0,"",[2]对账明细接口!$S874),"")</f>
        <v/>
      </c>
      <c r="Y874" s="20" t="str">
        <f t="shared" si="80"/>
        <v/>
      </c>
      <c r="Z874" s="20" t="str">
        <f t="shared" si="81"/>
        <v/>
      </c>
      <c r="AA874" s="20" t="str">
        <f t="shared" si="82"/>
        <v/>
      </c>
      <c r="AB874" s="20" t="str">
        <f t="shared" si="83"/>
        <v/>
      </c>
    </row>
    <row r="875" customHeight="1" spans="1:28">
      <c r="A875" s="14">
        <v>875</v>
      </c>
      <c r="B875" s="15" t="str">
        <f>IFERROR(IF([2]对账明细接口!$B$875=0,"",[2]对账明细接口!$B$875),"")</f>
        <v/>
      </c>
      <c r="C875" s="16" t="str">
        <f>IFERROR(IF([2]对账明细接口!$C$875=0,"",[2]对账明细接口!$C$875),"")</f>
        <v/>
      </c>
      <c r="D875" s="16" t="str">
        <f>IFERROR(IF([2]对账明细接口!$D$875=0,"",[2]对账明细接口!$D$875),"")</f>
        <v/>
      </c>
      <c r="E875" s="16" t="str">
        <f>IFERROR(IF([2]对账明细接口!$E$875=0,"",[2]对账明细接口!$E$875),"")</f>
        <v/>
      </c>
      <c r="F875" s="16" t="str">
        <f>IFERROR(IF([2]对账明细接口!$F$875=0,"",[2]对账明细接口!$F$875),"")</f>
        <v/>
      </c>
      <c r="G875" s="16" t="str">
        <f>IFERROR(IF([2]对账明细接口!$G$875=0,"",[2]对账明细接口!$G$875),"")</f>
        <v/>
      </c>
      <c r="H875" s="17" t="str">
        <f>IFERROR(IF([2]对账明细接口!$H$875=0,"",[2]对账明细接口!$H$875),"")</f>
        <v/>
      </c>
      <c r="I875" s="16" t="str">
        <f>IFERROR(IF([2]对账明细接口!$I$875=0,"",[2]对账明细接口!$I$875),"")</f>
        <v/>
      </c>
      <c r="J875" s="18" t="str">
        <f>IFERROR(IF([2]对账明细接口!$J$875=0,"",[2]对账明细接口!$J$875),"")</f>
        <v/>
      </c>
      <c r="K875" s="18" t="str">
        <f>IFERROR(IF([2]对账明细接口!$K$875=0,"",[2]对账明细接口!$K$875),"")</f>
        <v/>
      </c>
      <c r="L875" s="16" t="str">
        <f>IFERROR(IF([2]对账明细接口!$L$875=0,"",[2]对账明细接口!$L$875),"")</f>
        <v/>
      </c>
      <c r="M875" s="16" t="str">
        <f>IFERROR(IF([2]对账明细接口!$M$875=0,"",[2]对账明细接口!$M$875),"")</f>
        <v/>
      </c>
      <c r="N875" s="19">
        <f t="shared" si="78"/>
        <v>0</v>
      </c>
      <c r="O875" s="19">
        <f t="shared" si="79"/>
        <v>165</v>
      </c>
      <c r="S875" s="20" t="str">
        <f>IFERROR(IF([2]对账明细接口!$N875=0,"",[2]对账明细接口!$N875),"")</f>
        <v/>
      </c>
      <c r="T875" s="21" t="str">
        <f>IFERROR(IF([2]对账明细接口!$O875=0,"",[2]对账明细接口!$O875),"")</f>
        <v/>
      </c>
      <c r="U875" s="21" t="str">
        <f>IFERROR(IF([2]对账明细接口!$P875=0,"",[2]对账明细接口!$P875),"")</f>
        <v/>
      </c>
      <c r="V875" s="21" t="str">
        <f>IFERROR(IF([2]对账明细接口!$Q875=0,"",[2]对账明细接口!$Q875),"")</f>
        <v/>
      </c>
      <c r="W875" s="20" t="str">
        <f>IFERROR(IF([2]对账明细接口!$R875=0,"",[2]对账明细接口!$R875),"")</f>
        <v/>
      </c>
      <c r="X875" s="20" t="str">
        <f>IFERROR(IF([2]对账明细接口!$S875=0,"",[2]对账明细接口!$S875),"")</f>
        <v/>
      </c>
      <c r="Y875" s="20" t="str">
        <f t="shared" si="80"/>
        <v/>
      </c>
      <c r="Z875" s="20" t="str">
        <f t="shared" si="81"/>
        <v/>
      </c>
      <c r="AA875" s="20" t="str">
        <f t="shared" si="82"/>
        <v/>
      </c>
      <c r="AB875" s="20" t="str">
        <f t="shared" si="83"/>
        <v/>
      </c>
    </row>
    <row r="876" customHeight="1" spans="1:28">
      <c r="A876" s="14">
        <v>876</v>
      </c>
      <c r="B876" s="15" t="str">
        <f>IFERROR(IF([2]对账明细接口!$B$876=0,"",[2]对账明细接口!$B$876),"")</f>
        <v/>
      </c>
      <c r="C876" s="16" t="str">
        <f>IFERROR(IF([2]对账明细接口!$C$876=0,"",[2]对账明细接口!$C$876),"")</f>
        <v/>
      </c>
      <c r="D876" s="16" t="str">
        <f>IFERROR(IF([2]对账明细接口!$D$876=0,"",[2]对账明细接口!$D$876),"")</f>
        <v/>
      </c>
      <c r="E876" s="16" t="str">
        <f>IFERROR(IF([2]对账明细接口!$E$876=0,"",[2]对账明细接口!$E$876),"")</f>
        <v/>
      </c>
      <c r="F876" s="16" t="str">
        <f>IFERROR(IF([2]对账明细接口!$F$876=0,"",[2]对账明细接口!$F$876),"")</f>
        <v/>
      </c>
      <c r="G876" s="16" t="str">
        <f>IFERROR(IF([2]对账明细接口!$G$876=0,"",[2]对账明细接口!$G$876),"")</f>
        <v/>
      </c>
      <c r="H876" s="17" t="str">
        <f>IFERROR(IF([2]对账明细接口!$H$876=0,"",[2]对账明细接口!$H$876),"")</f>
        <v/>
      </c>
      <c r="I876" s="16" t="str">
        <f>IFERROR(IF([2]对账明细接口!$I$876=0,"",[2]对账明细接口!$I$876),"")</f>
        <v/>
      </c>
      <c r="J876" s="18" t="str">
        <f>IFERROR(IF([2]对账明细接口!$J$876=0,"",[2]对账明细接口!$J$876),"")</f>
        <v/>
      </c>
      <c r="K876" s="18" t="str">
        <f>IFERROR(IF([2]对账明细接口!$K$876=0,"",[2]对账明细接口!$K$876),"")</f>
        <v/>
      </c>
      <c r="L876" s="16" t="str">
        <f>IFERROR(IF([2]对账明细接口!$L$876=0,"",[2]对账明细接口!$L$876),"")</f>
        <v/>
      </c>
      <c r="M876" s="16" t="str">
        <f>IFERROR(IF([2]对账明细接口!$M$876=0,"",[2]对账明细接口!$M$876),"")</f>
        <v/>
      </c>
      <c r="N876" s="19">
        <f t="shared" si="78"/>
        <v>0</v>
      </c>
      <c r="O876" s="19">
        <f t="shared" si="79"/>
        <v>165</v>
      </c>
      <c r="S876" s="20" t="str">
        <f>IFERROR(IF([2]对账明细接口!$N876=0,"",[2]对账明细接口!$N876),"")</f>
        <v/>
      </c>
      <c r="T876" s="21" t="str">
        <f>IFERROR(IF([2]对账明细接口!$O876=0,"",[2]对账明细接口!$O876),"")</f>
        <v/>
      </c>
      <c r="U876" s="21" t="str">
        <f>IFERROR(IF([2]对账明细接口!$P876=0,"",[2]对账明细接口!$P876),"")</f>
        <v/>
      </c>
      <c r="V876" s="21" t="str">
        <f>IFERROR(IF([2]对账明细接口!$Q876=0,"",[2]对账明细接口!$Q876),"")</f>
        <v/>
      </c>
      <c r="W876" s="20" t="str">
        <f>IFERROR(IF([2]对账明细接口!$R876=0,"",[2]对账明细接口!$R876),"")</f>
        <v/>
      </c>
      <c r="X876" s="20" t="str">
        <f>IFERROR(IF([2]对账明细接口!$S876=0,"",[2]对账明细接口!$S876),"")</f>
        <v/>
      </c>
      <c r="Y876" s="20" t="str">
        <f t="shared" si="80"/>
        <v/>
      </c>
      <c r="Z876" s="20" t="str">
        <f t="shared" si="81"/>
        <v/>
      </c>
      <c r="AA876" s="20" t="str">
        <f t="shared" si="82"/>
        <v/>
      </c>
      <c r="AB876" s="20" t="str">
        <f t="shared" si="83"/>
        <v/>
      </c>
    </row>
    <row r="877" customHeight="1" spans="1:28">
      <c r="A877" s="14">
        <v>877</v>
      </c>
      <c r="B877" s="15" t="str">
        <f>IFERROR(IF([2]对账明细接口!$B$877=0,"",[2]对账明细接口!$B$877),"")</f>
        <v/>
      </c>
      <c r="C877" s="16" t="str">
        <f>IFERROR(IF([2]对账明细接口!$C$877=0,"",[2]对账明细接口!$C$877),"")</f>
        <v/>
      </c>
      <c r="D877" s="16" t="str">
        <f>IFERROR(IF([2]对账明细接口!$D$877=0,"",[2]对账明细接口!$D$877),"")</f>
        <v/>
      </c>
      <c r="E877" s="16" t="str">
        <f>IFERROR(IF([2]对账明细接口!$E$877=0,"",[2]对账明细接口!$E$877),"")</f>
        <v/>
      </c>
      <c r="F877" s="16" t="str">
        <f>IFERROR(IF([2]对账明细接口!$F$877=0,"",[2]对账明细接口!$F$877),"")</f>
        <v/>
      </c>
      <c r="G877" s="16" t="str">
        <f>IFERROR(IF([2]对账明细接口!$G$877=0,"",[2]对账明细接口!$G$877),"")</f>
        <v/>
      </c>
      <c r="H877" s="17" t="str">
        <f>IFERROR(IF([2]对账明细接口!$H$877=0,"",[2]对账明细接口!$H$877),"")</f>
        <v/>
      </c>
      <c r="I877" s="16" t="str">
        <f>IFERROR(IF([2]对账明细接口!$I$877=0,"",[2]对账明细接口!$I$877),"")</f>
        <v/>
      </c>
      <c r="J877" s="18" t="str">
        <f>IFERROR(IF([2]对账明细接口!$J$877=0,"",[2]对账明细接口!$J$877),"")</f>
        <v/>
      </c>
      <c r="K877" s="18" t="str">
        <f>IFERROR(IF([2]对账明细接口!$K$877=0,"",[2]对账明细接口!$K$877),"")</f>
        <v/>
      </c>
      <c r="L877" s="16" t="str">
        <f>IFERROR(IF([2]对账明细接口!$L$877=0,"",[2]对账明细接口!$L$877),"")</f>
        <v/>
      </c>
      <c r="M877" s="16" t="str">
        <f>IFERROR(IF([2]对账明细接口!$M$877=0,"",[2]对账明细接口!$M$877),"")</f>
        <v/>
      </c>
      <c r="N877" s="19">
        <f t="shared" si="78"/>
        <v>0</v>
      </c>
      <c r="O877" s="19">
        <f t="shared" si="79"/>
        <v>165</v>
      </c>
      <c r="S877" s="20" t="str">
        <f>IFERROR(IF([2]对账明细接口!$N877=0,"",[2]对账明细接口!$N877),"")</f>
        <v/>
      </c>
      <c r="T877" s="21" t="str">
        <f>IFERROR(IF([2]对账明细接口!$O877=0,"",[2]对账明细接口!$O877),"")</f>
        <v/>
      </c>
      <c r="U877" s="21" t="str">
        <f>IFERROR(IF([2]对账明细接口!$P877=0,"",[2]对账明细接口!$P877),"")</f>
        <v/>
      </c>
      <c r="V877" s="21" t="str">
        <f>IFERROR(IF([2]对账明细接口!$Q877=0,"",[2]对账明细接口!$Q877),"")</f>
        <v/>
      </c>
      <c r="W877" s="20" t="str">
        <f>IFERROR(IF([2]对账明细接口!$R877=0,"",[2]对账明细接口!$R877),"")</f>
        <v/>
      </c>
      <c r="X877" s="20" t="str">
        <f>IFERROR(IF([2]对账明细接口!$S877=0,"",[2]对账明细接口!$S877),"")</f>
        <v/>
      </c>
      <c r="Y877" s="20" t="str">
        <f t="shared" si="80"/>
        <v/>
      </c>
      <c r="Z877" s="20" t="str">
        <f t="shared" si="81"/>
        <v/>
      </c>
      <c r="AA877" s="20" t="str">
        <f t="shared" si="82"/>
        <v/>
      </c>
      <c r="AB877" s="20" t="str">
        <f t="shared" si="83"/>
        <v/>
      </c>
    </row>
    <row r="878" customHeight="1" spans="1:28">
      <c r="A878" s="14">
        <v>878</v>
      </c>
      <c r="B878" s="15" t="str">
        <f>IFERROR(IF([2]对账明细接口!$B$878=0,"",[2]对账明细接口!$B$878),"")</f>
        <v/>
      </c>
      <c r="C878" s="16" t="str">
        <f>IFERROR(IF([2]对账明细接口!$C$878=0,"",[2]对账明细接口!$C$878),"")</f>
        <v/>
      </c>
      <c r="D878" s="16" t="str">
        <f>IFERROR(IF([2]对账明细接口!$D$878=0,"",[2]对账明细接口!$D$878),"")</f>
        <v/>
      </c>
      <c r="E878" s="16" t="str">
        <f>IFERROR(IF([2]对账明细接口!$E$878=0,"",[2]对账明细接口!$E$878),"")</f>
        <v/>
      </c>
      <c r="F878" s="16" t="str">
        <f>IFERROR(IF([2]对账明细接口!$F$878=0,"",[2]对账明细接口!$F$878),"")</f>
        <v/>
      </c>
      <c r="G878" s="16" t="str">
        <f>IFERROR(IF([2]对账明细接口!$G$878=0,"",[2]对账明细接口!$G$878),"")</f>
        <v/>
      </c>
      <c r="H878" s="17" t="str">
        <f>IFERROR(IF([2]对账明细接口!$H$878=0,"",[2]对账明细接口!$H$878),"")</f>
        <v/>
      </c>
      <c r="I878" s="16" t="str">
        <f>IFERROR(IF([2]对账明细接口!$I$878=0,"",[2]对账明细接口!$I$878),"")</f>
        <v/>
      </c>
      <c r="J878" s="18" t="str">
        <f>IFERROR(IF([2]对账明细接口!$J$878=0,"",[2]对账明细接口!$J$878),"")</f>
        <v/>
      </c>
      <c r="K878" s="18" t="str">
        <f>IFERROR(IF([2]对账明细接口!$K$878=0,"",[2]对账明细接口!$K$878),"")</f>
        <v/>
      </c>
      <c r="L878" s="16" t="str">
        <f>IFERROR(IF([2]对账明细接口!$L$878=0,"",[2]对账明细接口!$L$878),"")</f>
        <v/>
      </c>
      <c r="M878" s="16" t="str">
        <f>IFERROR(IF([2]对账明细接口!$M$878=0,"",[2]对账明细接口!$M$878),"")</f>
        <v/>
      </c>
      <c r="N878" s="19">
        <f t="shared" si="78"/>
        <v>0</v>
      </c>
      <c r="O878" s="19">
        <f t="shared" si="79"/>
        <v>165</v>
      </c>
      <c r="S878" s="20" t="str">
        <f>IFERROR(IF([2]对账明细接口!$N878=0,"",[2]对账明细接口!$N878),"")</f>
        <v/>
      </c>
      <c r="T878" s="21" t="str">
        <f>IFERROR(IF([2]对账明细接口!$O878=0,"",[2]对账明细接口!$O878),"")</f>
        <v/>
      </c>
      <c r="U878" s="21" t="str">
        <f>IFERROR(IF([2]对账明细接口!$P878=0,"",[2]对账明细接口!$P878),"")</f>
        <v/>
      </c>
      <c r="V878" s="21" t="str">
        <f>IFERROR(IF([2]对账明细接口!$Q878=0,"",[2]对账明细接口!$Q878),"")</f>
        <v/>
      </c>
      <c r="W878" s="20" t="str">
        <f>IFERROR(IF([2]对账明细接口!$R878=0,"",[2]对账明细接口!$R878),"")</f>
        <v/>
      </c>
      <c r="X878" s="20" t="str">
        <f>IFERROR(IF([2]对账明细接口!$S878=0,"",[2]对账明细接口!$S878),"")</f>
        <v/>
      </c>
      <c r="Y878" s="20" t="str">
        <f t="shared" si="80"/>
        <v/>
      </c>
      <c r="Z878" s="20" t="str">
        <f t="shared" si="81"/>
        <v/>
      </c>
      <c r="AA878" s="20" t="str">
        <f t="shared" si="82"/>
        <v/>
      </c>
      <c r="AB878" s="20" t="str">
        <f t="shared" si="83"/>
        <v/>
      </c>
    </row>
    <row r="879" customHeight="1" spans="1:28">
      <c r="A879" s="14">
        <v>879</v>
      </c>
      <c r="B879" s="15" t="str">
        <f>IFERROR(IF([2]对账明细接口!$B$879=0,"",[2]对账明细接口!$B$879),"")</f>
        <v/>
      </c>
      <c r="C879" s="16" t="str">
        <f>IFERROR(IF([2]对账明细接口!$C$879=0,"",[2]对账明细接口!$C$879),"")</f>
        <v/>
      </c>
      <c r="D879" s="16" t="str">
        <f>IFERROR(IF([2]对账明细接口!$D$879=0,"",[2]对账明细接口!$D$879),"")</f>
        <v/>
      </c>
      <c r="E879" s="16" t="str">
        <f>IFERROR(IF([2]对账明细接口!$E$879=0,"",[2]对账明细接口!$E$879),"")</f>
        <v/>
      </c>
      <c r="F879" s="16" t="str">
        <f>IFERROR(IF([2]对账明细接口!$F$879=0,"",[2]对账明细接口!$F$879),"")</f>
        <v/>
      </c>
      <c r="G879" s="16" t="str">
        <f>IFERROR(IF([2]对账明细接口!$G$879=0,"",[2]对账明细接口!$G$879),"")</f>
        <v/>
      </c>
      <c r="H879" s="17" t="str">
        <f>IFERROR(IF([2]对账明细接口!$H$879=0,"",[2]对账明细接口!$H$879),"")</f>
        <v/>
      </c>
      <c r="I879" s="16" t="str">
        <f>IFERROR(IF([2]对账明细接口!$I$879=0,"",[2]对账明细接口!$I$879),"")</f>
        <v/>
      </c>
      <c r="J879" s="18" t="str">
        <f>IFERROR(IF([2]对账明细接口!$J$879=0,"",[2]对账明细接口!$J$879),"")</f>
        <v/>
      </c>
      <c r="K879" s="18" t="str">
        <f>IFERROR(IF([2]对账明细接口!$K$879=0,"",[2]对账明细接口!$K$879),"")</f>
        <v/>
      </c>
      <c r="L879" s="16" t="str">
        <f>IFERROR(IF([2]对账明细接口!$L$879=0,"",[2]对账明细接口!$L$879),"")</f>
        <v/>
      </c>
      <c r="M879" s="16" t="str">
        <f>IFERROR(IF([2]对账明细接口!$M$879=0,"",[2]对账明细接口!$M$879),"")</f>
        <v/>
      </c>
      <c r="N879" s="19">
        <f t="shared" si="78"/>
        <v>0</v>
      </c>
      <c r="O879" s="19">
        <f t="shared" si="79"/>
        <v>165</v>
      </c>
      <c r="S879" s="20" t="str">
        <f>IFERROR(IF([2]对账明细接口!$N879=0,"",[2]对账明细接口!$N879),"")</f>
        <v/>
      </c>
      <c r="T879" s="21" t="str">
        <f>IFERROR(IF([2]对账明细接口!$O879=0,"",[2]对账明细接口!$O879),"")</f>
        <v/>
      </c>
      <c r="U879" s="21" t="str">
        <f>IFERROR(IF([2]对账明细接口!$P879=0,"",[2]对账明细接口!$P879),"")</f>
        <v/>
      </c>
      <c r="V879" s="21" t="str">
        <f>IFERROR(IF([2]对账明细接口!$Q879=0,"",[2]对账明细接口!$Q879),"")</f>
        <v/>
      </c>
      <c r="W879" s="20" t="str">
        <f>IFERROR(IF([2]对账明细接口!$R879=0,"",[2]对账明细接口!$R879),"")</f>
        <v/>
      </c>
      <c r="X879" s="20" t="str">
        <f>IFERROR(IF([2]对账明细接口!$S879=0,"",[2]对账明细接口!$S879),"")</f>
        <v/>
      </c>
      <c r="Y879" s="20" t="str">
        <f t="shared" si="80"/>
        <v/>
      </c>
      <c r="Z879" s="20" t="str">
        <f t="shared" si="81"/>
        <v/>
      </c>
      <c r="AA879" s="20" t="str">
        <f t="shared" si="82"/>
        <v/>
      </c>
      <c r="AB879" s="20" t="str">
        <f t="shared" si="83"/>
        <v/>
      </c>
    </row>
    <row r="880" customHeight="1" spans="1:28">
      <c r="A880" s="14">
        <v>880</v>
      </c>
      <c r="B880" s="15" t="str">
        <f>IFERROR(IF([2]对账明细接口!$B$880=0,"",[2]对账明细接口!$B$880),"")</f>
        <v/>
      </c>
      <c r="C880" s="16" t="str">
        <f>IFERROR(IF([2]对账明细接口!$C$880=0,"",[2]对账明细接口!$C$880),"")</f>
        <v/>
      </c>
      <c r="D880" s="16" t="str">
        <f>IFERROR(IF([2]对账明细接口!$D$880=0,"",[2]对账明细接口!$D$880),"")</f>
        <v/>
      </c>
      <c r="E880" s="16" t="str">
        <f>IFERROR(IF([2]对账明细接口!$E$880=0,"",[2]对账明细接口!$E$880),"")</f>
        <v/>
      </c>
      <c r="F880" s="16" t="str">
        <f>IFERROR(IF([2]对账明细接口!$F$880=0,"",[2]对账明细接口!$F$880),"")</f>
        <v/>
      </c>
      <c r="G880" s="16" t="str">
        <f>IFERROR(IF([2]对账明细接口!$G$880=0,"",[2]对账明细接口!$G$880),"")</f>
        <v/>
      </c>
      <c r="H880" s="17" t="str">
        <f>IFERROR(IF([2]对账明细接口!$H$880=0,"",[2]对账明细接口!$H$880),"")</f>
        <v/>
      </c>
      <c r="I880" s="16" t="str">
        <f>IFERROR(IF([2]对账明细接口!$I$880=0,"",[2]对账明细接口!$I$880),"")</f>
        <v/>
      </c>
      <c r="J880" s="18" t="str">
        <f>IFERROR(IF([2]对账明细接口!$J$880=0,"",[2]对账明细接口!$J$880),"")</f>
        <v/>
      </c>
      <c r="K880" s="18" t="str">
        <f>IFERROR(IF([2]对账明细接口!$K$880=0,"",[2]对账明细接口!$K$880),"")</f>
        <v/>
      </c>
      <c r="L880" s="16" t="str">
        <f>IFERROR(IF([2]对账明细接口!$L$880=0,"",[2]对账明细接口!$L$880),"")</f>
        <v/>
      </c>
      <c r="M880" s="16" t="str">
        <f>IFERROR(IF([2]对账明细接口!$M$880=0,"",[2]对账明细接口!$M$880),"")</f>
        <v/>
      </c>
      <c r="N880" s="19">
        <f t="shared" si="78"/>
        <v>0</v>
      </c>
      <c r="O880" s="19">
        <f t="shared" si="79"/>
        <v>165</v>
      </c>
      <c r="S880" s="20" t="str">
        <f>IFERROR(IF([2]对账明细接口!$N880=0,"",[2]对账明细接口!$N880),"")</f>
        <v/>
      </c>
      <c r="T880" s="21" t="str">
        <f>IFERROR(IF([2]对账明细接口!$O880=0,"",[2]对账明细接口!$O880),"")</f>
        <v/>
      </c>
      <c r="U880" s="21" t="str">
        <f>IFERROR(IF([2]对账明细接口!$P880=0,"",[2]对账明细接口!$P880),"")</f>
        <v/>
      </c>
      <c r="V880" s="21" t="str">
        <f>IFERROR(IF([2]对账明细接口!$Q880=0,"",[2]对账明细接口!$Q880),"")</f>
        <v/>
      </c>
      <c r="W880" s="20" t="str">
        <f>IFERROR(IF([2]对账明细接口!$R880=0,"",[2]对账明细接口!$R880),"")</f>
        <v/>
      </c>
      <c r="X880" s="20" t="str">
        <f>IFERROR(IF([2]对账明细接口!$S880=0,"",[2]对账明细接口!$S880),"")</f>
        <v/>
      </c>
      <c r="Y880" s="20" t="str">
        <f t="shared" si="80"/>
        <v/>
      </c>
      <c r="Z880" s="20" t="str">
        <f t="shared" si="81"/>
        <v/>
      </c>
      <c r="AA880" s="20" t="str">
        <f t="shared" si="82"/>
        <v/>
      </c>
      <c r="AB880" s="20" t="str">
        <f t="shared" si="83"/>
        <v/>
      </c>
    </row>
    <row r="881" customHeight="1" spans="1:28">
      <c r="A881" s="14">
        <v>881</v>
      </c>
      <c r="B881" s="15" t="str">
        <f>IFERROR(IF([2]对账明细接口!$B$881=0,"",[2]对账明细接口!$B$881),"")</f>
        <v/>
      </c>
      <c r="C881" s="16" t="str">
        <f>IFERROR(IF([2]对账明细接口!$C$881=0,"",[2]对账明细接口!$C$881),"")</f>
        <v/>
      </c>
      <c r="D881" s="16" t="str">
        <f>IFERROR(IF([2]对账明细接口!$D$881=0,"",[2]对账明细接口!$D$881),"")</f>
        <v/>
      </c>
      <c r="E881" s="16" t="str">
        <f>IFERROR(IF([2]对账明细接口!$E$881=0,"",[2]对账明细接口!$E$881),"")</f>
        <v/>
      </c>
      <c r="F881" s="16" t="str">
        <f>IFERROR(IF([2]对账明细接口!$F$881=0,"",[2]对账明细接口!$F$881),"")</f>
        <v/>
      </c>
      <c r="G881" s="16" t="str">
        <f>IFERROR(IF([2]对账明细接口!$G$881=0,"",[2]对账明细接口!$G$881),"")</f>
        <v/>
      </c>
      <c r="H881" s="17" t="str">
        <f>IFERROR(IF([2]对账明细接口!$H$881=0,"",[2]对账明细接口!$H$881),"")</f>
        <v/>
      </c>
      <c r="I881" s="16" t="str">
        <f>IFERROR(IF([2]对账明细接口!$I$881=0,"",[2]对账明细接口!$I$881),"")</f>
        <v/>
      </c>
      <c r="J881" s="18" t="str">
        <f>IFERROR(IF([2]对账明细接口!$J$881=0,"",[2]对账明细接口!$J$881),"")</f>
        <v/>
      </c>
      <c r="K881" s="18" t="str">
        <f>IFERROR(IF([2]对账明细接口!$K$881=0,"",[2]对账明细接口!$K$881),"")</f>
        <v/>
      </c>
      <c r="L881" s="16" t="str">
        <f>IFERROR(IF([2]对账明细接口!$L$881=0,"",[2]对账明细接口!$L$881),"")</f>
        <v/>
      </c>
      <c r="M881" s="16" t="str">
        <f>IFERROR(IF([2]对账明细接口!$M$881=0,"",[2]对账明细接口!$M$881),"")</f>
        <v/>
      </c>
      <c r="N881" s="19">
        <f t="shared" si="78"/>
        <v>0</v>
      </c>
      <c r="O881" s="19">
        <f t="shared" si="79"/>
        <v>165</v>
      </c>
      <c r="S881" s="20" t="str">
        <f>IFERROR(IF([2]对账明细接口!$N881=0,"",[2]对账明细接口!$N881),"")</f>
        <v/>
      </c>
      <c r="T881" s="21" t="str">
        <f>IFERROR(IF([2]对账明细接口!$O881=0,"",[2]对账明细接口!$O881),"")</f>
        <v/>
      </c>
      <c r="U881" s="21" t="str">
        <f>IFERROR(IF([2]对账明细接口!$P881=0,"",[2]对账明细接口!$P881),"")</f>
        <v/>
      </c>
      <c r="V881" s="21" t="str">
        <f>IFERROR(IF([2]对账明细接口!$Q881=0,"",[2]对账明细接口!$Q881),"")</f>
        <v/>
      </c>
      <c r="W881" s="20" t="str">
        <f>IFERROR(IF([2]对账明细接口!$R881=0,"",[2]对账明细接口!$R881),"")</f>
        <v/>
      </c>
      <c r="X881" s="20" t="str">
        <f>IFERROR(IF([2]对账明细接口!$S881=0,"",[2]对账明细接口!$S881),"")</f>
        <v/>
      </c>
      <c r="Y881" s="20" t="str">
        <f t="shared" si="80"/>
        <v/>
      </c>
      <c r="Z881" s="20" t="str">
        <f t="shared" si="81"/>
        <v/>
      </c>
      <c r="AA881" s="20" t="str">
        <f t="shared" si="82"/>
        <v/>
      </c>
      <c r="AB881" s="20" t="str">
        <f t="shared" si="83"/>
        <v/>
      </c>
    </row>
    <row r="882" customHeight="1" spans="1:28">
      <c r="A882" s="14">
        <v>882</v>
      </c>
      <c r="B882" s="15" t="str">
        <f>IFERROR(IF([2]对账明细接口!$B$882=0,"",[2]对账明细接口!$B$882),"")</f>
        <v/>
      </c>
      <c r="C882" s="16" t="str">
        <f>IFERROR(IF([2]对账明细接口!$C$882=0,"",[2]对账明细接口!$C$882),"")</f>
        <v/>
      </c>
      <c r="D882" s="16" t="str">
        <f>IFERROR(IF([2]对账明细接口!$D$882=0,"",[2]对账明细接口!$D$882),"")</f>
        <v/>
      </c>
      <c r="E882" s="16" t="str">
        <f>IFERROR(IF([2]对账明细接口!$E$882=0,"",[2]对账明细接口!$E$882),"")</f>
        <v/>
      </c>
      <c r="F882" s="16" t="str">
        <f>IFERROR(IF([2]对账明细接口!$F$882=0,"",[2]对账明细接口!$F$882),"")</f>
        <v/>
      </c>
      <c r="G882" s="16" t="str">
        <f>IFERROR(IF([2]对账明细接口!$G$882=0,"",[2]对账明细接口!$G$882),"")</f>
        <v/>
      </c>
      <c r="H882" s="17" t="str">
        <f>IFERROR(IF([2]对账明细接口!$H$882=0,"",[2]对账明细接口!$H$882),"")</f>
        <v/>
      </c>
      <c r="I882" s="16" t="str">
        <f>IFERROR(IF([2]对账明细接口!$I$882=0,"",[2]对账明细接口!$I$882),"")</f>
        <v/>
      </c>
      <c r="J882" s="18" t="str">
        <f>IFERROR(IF([2]对账明细接口!$J$882=0,"",[2]对账明细接口!$J$882),"")</f>
        <v/>
      </c>
      <c r="K882" s="18" t="str">
        <f>IFERROR(IF([2]对账明细接口!$K$882=0,"",[2]对账明细接口!$K$882),"")</f>
        <v/>
      </c>
      <c r="L882" s="16" t="str">
        <f>IFERROR(IF([2]对账明细接口!$L$882=0,"",[2]对账明细接口!$L$882),"")</f>
        <v/>
      </c>
      <c r="M882" s="16" t="str">
        <f>IFERROR(IF([2]对账明细接口!$M$882=0,"",[2]对账明细接口!$M$882),"")</f>
        <v/>
      </c>
      <c r="N882" s="19">
        <f t="shared" si="78"/>
        <v>0</v>
      </c>
      <c r="O882" s="19">
        <f t="shared" si="79"/>
        <v>165</v>
      </c>
      <c r="S882" s="20" t="str">
        <f>IFERROR(IF([2]对账明细接口!$N882=0,"",[2]对账明细接口!$N882),"")</f>
        <v/>
      </c>
      <c r="T882" s="21" t="str">
        <f>IFERROR(IF([2]对账明细接口!$O882=0,"",[2]对账明细接口!$O882),"")</f>
        <v/>
      </c>
      <c r="U882" s="21" t="str">
        <f>IFERROR(IF([2]对账明细接口!$P882=0,"",[2]对账明细接口!$P882),"")</f>
        <v/>
      </c>
      <c r="V882" s="21" t="str">
        <f>IFERROR(IF([2]对账明细接口!$Q882=0,"",[2]对账明细接口!$Q882),"")</f>
        <v/>
      </c>
      <c r="W882" s="20" t="str">
        <f>IFERROR(IF([2]对账明细接口!$R882=0,"",[2]对账明细接口!$R882),"")</f>
        <v/>
      </c>
      <c r="X882" s="20" t="str">
        <f>IFERROR(IF([2]对账明细接口!$S882=0,"",[2]对账明细接口!$S882),"")</f>
        <v/>
      </c>
      <c r="Y882" s="20" t="str">
        <f t="shared" si="80"/>
        <v/>
      </c>
      <c r="Z882" s="20" t="str">
        <f t="shared" si="81"/>
        <v/>
      </c>
      <c r="AA882" s="20" t="str">
        <f t="shared" si="82"/>
        <v/>
      </c>
      <c r="AB882" s="20" t="str">
        <f t="shared" si="83"/>
        <v/>
      </c>
    </row>
    <row r="883" customHeight="1" spans="1:28">
      <c r="A883" s="14">
        <v>883</v>
      </c>
      <c r="B883" s="15" t="str">
        <f>IFERROR(IF([2]对账明细接口!$B$883=0,"",[2]对账明细接口!$B$883),"")</f>
        <v/>
      </c>
      <c r="C883" s="16" t="str">
        <f>IFERROR(IF([2]对账明细接口!$C$883=0,"",[2]对账明细接口!$C$883),"")</f>
        <v/>
      </c>
      <c r="D883" s="16" t="str">
        <f>IFERROR(IF([2]对账明细接口!$D$883=0,"",[2]对账明细接口!$D$883),"")</f>
        <v/>
      </c>
      <c r="E883" s="16" t="str">
        <f>IFERROR(IF([2]对账明细接口!$E$883=0,"",[2]对账明细接口!$E$883),"")</f>
        <v/>
      </c>
      <c r="F883" s="16" t="str">
        <f>IFERROR(IF([2]对账明细接口!$F$883=0,"",[2]对账明细接口!$F$883),"")</f>
        <v/>
      </c>
      <c r="G883" s="16" t="str">
        <f>IFERROR(IF([2]对账明细接口!$G$883=0,"",[2]对账明细接口!$G$883),"")</f>
        <v/>
      </c>
      <c r="H883" s="17" t="str">
        <f>IFERROR(IF([2]对账明细接口!$H$883=0,"",[2]对账明细接口!$H$883),"")</f>
        <v/>
      </c>
      <c r="I883" s="16" t="str">
        <f>IFERROR(IF([2]对账明细接口!$I$883=0,"",[2]对账明细接口!$I$883),"")</f>
        <v/>
      </c>
      <c r="J883" s="18" t="str">
        <f>IFERROR(IF([2]对账明细接口!$J$883=0,"",[2]对账明细接口!$J$883),"")</f>
        <v/>
      </c>
      <c r="K883" s="18" t="str">
        <f>IFERROR(IF([2]对账明细接口!$K$883=0,"",[2]对账明细接口!$K$883),"")</f>
        <v/>
      </c>
      <c r="L883" s="16" t="str">
        <f>IFERROR(IF([2]对账明细接口!$L$883=0,"",[2]对账明细接口!$L$883),"")</f>
        <v/>
      </c>
      <c r="M883" s="16" t="str">
        <f>IFERROR(IF([2]对账明细接口!$M$883=0,"",[2]对账明细接口!$M$883),"")</f>
        <v/>
      </c>
      <c r="N883" s="19">
        <f t="shared" si="78"/>
        <v>0</v>
      </c>
      <c r="O883" s="19">
        <f t="shared" si="79"/>
        <v>165</v>
      </c>
      <c r="S883" s="20" t="str">
        <f>IFERROR(IF([2]对账明细接口!$N883=0,"",[2]对账明细接口!$N883),"")</f>
        <v/>
      </c>
      <c r="T883" s="21" t="str">
        <f>IFERROR(IF([2]对账明细接口!$O883=0,"",[2]对账明细接口!$O883),"")</f>
        <v/>
      </c>
      <c r="U883" s="21" t="str">
        <f>IFERROR(IF([2]对账明细接口!$P883=0,"",[2]对账明细接口!$P883),"")</f>
        <v/>
      </c>
      <c r="V883" s="21" t="str">
        <f>IFERROR(IF([2]对账明细接口!$Q883=0,"",[2]对账明细接口!$Q883),"")</f>
        <v/>
      </c>
      <c r="W883" s="20" t="str">
        <f>IFERROR(IF([2]对账明细接口!$R883=0,"",[2]对账明细接口!$R883),"")</f>
        <v/>
      </c>
      <c r="X883" s="20" t="str">
        <f>IFERROR(IF([2]对账明细接口!$S883=0,"",[2]对账明细接口!$S883),"")</f>
        <v/>
      </c>
      <c r="Y883" s="20" t="str">
        <f t="shared" si="80"/>
        <v/>
      </c>
      <c r="Z883" s="20" t="str">
        <f t="shared" si="81"/>
        <v/>
      </c>
      <c r="AA883" s="20" t="str">
        <f t="shared" si="82"/>
        <v/>
      </c>
      <c r="AB883" s="20" t="str">
        <f t="shared" si="83"/>
        <v/>
      </c>
    </row>
    <row r="884" customHeight="1" spans="1:28">
      <c r="A884" s="14">
        <v>884</v>
      </c>
      <c r="B884" s="15" t="str">
        <f>IFERROR(IF([2]对账明细接口!$B$884=0,"",[2]对账明细接口!$B$884),"")</f>
        <v/>
      </c>
      <c r="C884" s="16" t="str">
        <f>IFERROR(IF([2]对账明细接口!$C$884=0,"",[2]对账明细接口!$C$884),"")</f>
        <v/>
      </c>
      <c r="D884" s="16" t="str">
        <f>IFERROR(IF([2]对账明细接口!$D$884=0,"",[2]对账明细接口!$D$884),"")</f>
        <v/>
      </c>
      <c r="E884" s="16" t="str">
        <f>IFERROR(IF([2]对账明细接口!$E$884=0,"",[2]对账明细接口!$E$884),"")</f>
        <v/>
      </c>
      <c r="F884" s="16" t="str">
        <f>IFERROR(IF([2]对账明细接口!$F$884=0,"",[2]对账明细接口!$F$884),"")</f>
        <v/>
      </c>
      <c r="G884" s="16" t="str">
        <f>IFERROR(IF([2]对账明细接口!$G$884=0,"",[2]对账明细接口!$G$884),"")</f>
        <v/>
      </c>
      <c r="H884" s="17" t="str">
        <f>IFERROR(IF([2]对账明细接口!$H$884=0,"",[2]对账明细接口!$H$884),"")</f>
        <v/>
      </c>
      <c r="I884" s="16" t="str">
        <f>IFERROR(IF([2]对账明细接口!$I$884=0,"",[2]对账明细接口!$I$884),"")</f>
        <v/>
      </c>
      <c r="J884" s="18" t="str">
        <f>IFERROR(IF([2]对账明细接口!$J$884=0,"",[2]对账明细接口!$J$884),"")</f>
        <v/>
      </c>
      <c r="K884" s="18" t="str">
        <f>IFERROR(IF([2]对账明细接口!$K$884=0,"",[2]对账明细接口!$K$884),"")</f>
        <v/>
      </c>
      <c r="L884" s="16" t="str">
        <f>IFERROR(IF([2]对账明细接口!$L$884=0,"",[2]对账明细接口!$L$884),"")</f>
        <v/>
      </c>
      <c r="M884" s="16" t="str">
        <f>IFERROR(IF([2]对账明细接口!$M$884=0,"",[2]对账明细接口!$M$884),"")</f>
        <v/>
      </c>
      <c r="N884" s="19">
        <f t="shared" si="78"/>
        <v>0</v>
      </c>
      <c r="O884" s="19">
        <f t="shared" si="79"/>
        <v>165</v>
      </c>
      <c r="S884" s="20" t="str">
        <f>IFERROR(IF([2]对账明细接口!$N884=0,"",[2]对账明细接口!$N884),"")</f>
        <v/>
      </c>
      <c r="T884" s="21" t="str">
        <f>IFERROR(IF([2]对账明细接口!$O884=0,"",[2]对账明细接口!$O884),"")</f>
        <v/>
      </c>
      <c r="U884" s="21" t="str">
        <f>IFERROR(IF([2]对账明细接口!$P884=0,"",[2]对账明细接口!$P884),"")</f>
        <v/>
      </c>
      <c r="V884" s="21" t="str">
        <f>IFERROR(IF([2]对账明细接口!$Q884=0,"",[2]对账明细接口!$Q884),"")</f>
        <v/>
      </c>
      <c r="W884" s="20" t="str">
        <f>IFERROR(IF([2]对账明细接口!$R884=0,"",[2]对账明细接口!$R884),"")</f>
        <v/>
      </c>
      <c r="X884" s="20" t="str">
        <f>IFERROR(IF([2]对账明细接口!$S884=0,"",[2]对账明细接口!$S884),"")</f>
        <v/>
      </c>
      <c r="Y884" s="20" t="str">
        <f t="shared" si="80"/>
        <v/>
      </c>
      <c r="Z884" s="20" t="str">
        <f t="shared" si="81"/>
        <v/>
      </c>
      <c r="AA884" s="20" t="str">
        <f t="shared" si="82"/>
        <v/>
      </c>
      <c r="AB884" s="20" t="str">
        <f t="shared" si="83"/>
        <v/>
      </c>
    </row>
    <row r="885" customHeight="1" spans="1:28">
      <c r="A885" s="14">
        <v>885</v>
      </c>
      <c r="B885" s="15" t="str">
        <f>IFERROR(IF([2]对账明细接口!$B$885=0,"",[2]对账明细接口!$B$885),"")</f>
        <v/>
      </c>
      <c r="C885" s="16" t="str">
        <f>IFERROR(IF([2]对账明细接口!$C$885=0,"",[2]对账明细接口!$C$885),"")</f>
        <v/>
      </c>
      <c r="D885" s="16" t="str">
        <f>IFERROR(IF([2]对账明细接口!$D$885=0,"",[2]对账明细接口!$D$885),"")</f>
        <v/>
      </c>
      <c r="E885" s="16" t="str">
        <f>IFERROR(IF([2]对账明细接口!$E$885=0,"",[2]对账明细接口!$E$885),"")</f>
        <v/>
      </c>
      <c r="F885" s="16" t="str">
        <f>IFERROR(IF([2]对账明细接口!$F$885=0,"",[2]对账明细接口!$F$885),"")</f>
        <v/>
      </c>
      <c r="G885" s="16" t="str">
        <f>IFERROR(IF([2]对账明细接口!$G$885=0,"",[2]对账明细接口!$G$885),"")</f>
        <v/>
      </c>
      <c r="H885" s="17" t="str">
        <f>IFERROR(IF([2]对账明细接口!$H$885=0,"",[2]对账明细接口!$H$885),"")</f>
        <v/>
      </c>
      <c r="I885" s="16" t="str">
        <f>IFERROR(IF([2]对账明细接口!$I$885=0,"",[2]对账明细接口!$I$885),"")</f>
        <v/>
      </c>
      <c r="J885" s="18" t="str">
        <f>IFERROR(IF([2]对账明细接口!$J$885=0,"",[2]对账明细接口!$J$885),"")</f>
        <v/>
      </c>
      <c r="K885" s="18" t="str">
        <f>IFERROR(IF([2]对账明细接口!$K$885=0,"",[2]对账明细接口!$K$885),"")</f>
        <v/>
      </c>
      <c r="L885" s="16" t="str">
        <f>IFERROR(IF([2]对账明细接口!$L$885=0,"",[2]对账明细接口!$L$885),"")</f>
        <v/>
      </c>
      <c r="M885" s="16" t="str">
        <f>IFERROR(IF([2]对账明细接口!$M$885=0,"",[2]对账明细接口!$M$885),"")</f>
        <v/>
      </c>
      <c r="N885" s="19">
        <f t="shared" si="78"/>
        <v>0</v>
      </c>
      <c r="O885" s="19">
        <f t="shared" si="79"/>
        <v>165</v>
      </c>
      <c r="S885" s="20" t="str">
        <f>IFERROR(IF([2]对账明细接口!$N885=0,"",[2]对账明细接口!$N885),"")</f>
        <v/>
      </c>
      <c r="T885" s="21" t="str">
        <f>IFERROR(IF([2]对账明细接口!$O885=0,"",[2]对账明细接口!$O885),"")</f>
        <v/>
      </c>
      <c r="U885" s="21" t="str">
        <f>IFERROR(IF([2]对账明细接口!$P885=0,"",[2]对账明细接口!$P885),"")</f>
        <v/>
      </c>
      <c r="V885" s="21" t="str">
        <f>IFERROR(IF([2]对账明细接口!$Q885=0,"",[2]对账明细接口!$Q885),"")</f>
        <v/>
      </c>
      <c r="W885" s="20" t="str">
        <f>IFERROR(IF([2]对账明细接口!$R885=0,"",[2]对账明细接口!$R885),"")</f>
        <v/>
      </c>
      <c r="X885" s="20" t="str">
        <f>IFERROR(IF([2]对账明细接口!$S885=0,"",[2]对账明细接口!$S885),"")</f>
        <v/>
      </c>
      <c r="Y885" s="20" t="str">
        <f t="shared" si="80"/>
        <v/>
      </c>
      <c r="Z885" s="20" t="str">
        <f t="shared" si="81"/>
        <v/>
      </c>
      <c r="AA885" s="20" t="str">
        <f t="shared" si="82"/>
        <v/>
      </c>
      <c r="AB885" s="20" t="str">
        <f t="shared" si="83"/>
        <v/>
      </c>
    </row>
    <row r="886" customHeight="1" spans="1:28">
      <c r="A886" s="14">
        <v>886</v>
      </c>
      <c r="B886" s="15" t="str">
        <f>IFERROR(IF([2]对账明细接口!$B$886=0,"",[2]对账明细接口!$B$886),"")</f>
        <v/>
      </c>
      <c r="C886" s="16" t="str">
        <f>IFERROR(IF([2]对账明细接口!$C$886=0,"",[2]对账明细接口!$C$886),"")</f>
        <v/>
      </c>
      <c r="D886" s="16" t="str">
        <f>IFERROR(IF([2]对账明细接口!$D$886=0,"",[2]对账明细接口!$D$886),"")</f>
        <v/>
      </c>
      <c r="E886" s="16" t="str">
        <f>IFERROR(IF([2]对账明细接口!$E$886=0,"",[2]对账明细接口!$E$886),"")</f>
        <v/>
      </c>
      <c r="F886" s="16" t="str">
        <f>IFERROR(IF([2]对账明细接口!$F$886=0,"",[2]对账明细接口!$F$886),"")</f>
        <v/>
      </c>
      <c r="G886" s="16" t="str">
        <f>IFERROR(IF([2]对账明细接口!$G$886=0,"",[2]对账明细接口!$G$886),"")</f>
        <v/>
      </c>
      <c r="H886" s="17" t="str">
        <f>IFERROR(IF([2]对账明细接口!$H$886=0,"",[2]对账明细接口!$H$886),"")</f>
        <v/>
      </c>
      <c r="I886" s="16" t="str">
        <f>IFERROR(IF([2]对账明细接口!$I$886=0,"",[2]对账明细接口!$I$886),"")</f>
        <v/>
      </c>
      <c r="J886" s="18" t="str">
        <f>IFERROR(IF([2]对账明细接口!$J$886=0,"",[2]对账明细接口!$J$886),"")</f>
        <v/>
      </c>
      <c r="K886" s="18" t="str">
        <f>IFERROR(IF([2]对账明细接口!$K$886=0,"",[2]对账明细接口!$K$886),"")</f>
        <v/>
      </c>
      <c r="L886" s="16" t="str">
        <f>IFERROR(IF([2]对账明细接口!$L$886=0,"",[2]对账明细接口!$L$886),"")</f>
        <v/>
      </c>
      <c r="M886" s="16" t="str">
        <f>IFERROR(IF([2]对账明细接口!$M$886=0,"",[2]对账明细接口!$M$886),"")</f>
        <v/>
      </c>
      <c r="N886" s="19">
        <f t="shared" si="78"/>
        <v>0</v>
      </c>
      <c r="O886" s="19">
        <f t="shared" si="79"/>
        <v>165</v>
      </c>
      <c r="S886" s="20" t="str">
        <f>IFERROR(IF([2]对账明细接口!$N886=0,"",[2]对账明细接口!$N886),"")</f>
        <v/>
      </c>
      <c r="T886" s="21" t="str">
        <f>IFERROR(IF([2]对账明细接口!$O886=0,"",[2]对账明细接口!$O886),"")</f>
        <v/>
      </c>
      <c r="U886" s="21" t="str">
        <f>IFERROR(IF([2]对账明细接口!$P886=0,"",[2]对账明细接口!$P886),"")</f>
        <v/>
      </c>
      <c r="V886" s="21" t="str">
        <f>IFERROR(IF([2]对账明细接口!$Q886=0,"",[2]对账明细接口!$Q886),"")</f>
        <v/>
      </c>
      <c r="W886" s="20" t="str">
        <f>IFERROR(IF([2]对账明细接口!$R886=0,"",[2]对账明细接口!$R886),"")</f>
        <v/>
      </c>
      <c r="X886" s="20" t="str">
        <f>IFERROR(IF([2]对账明细接口!$S886=0,"",[2]对账明细接口!$S886),"")</f>
        <v/>
      </c>
      <c r="Y886" s="20" t="str">
        <f t="shared" si="80"/>
        <v/>
      </c>
      <c r="Z886" s="20" t="str">
        <f t="shared" si="81"/>
        <v/>
      </c>
      <c r="AA886" s="20" t="str">
        <f t="shared" si="82"/>
        <v/>
      </c>
      <c r="AB886" s="20" t="str">
        <f t="shared" si="83"/>
        <v/>
      </c>
    </row>
    <row r="887" customHeight="1" spans="1:28">
      <c r="A887" s="14">
        <v>887</v>
      </c>
      <c r="B887" s="15" t="str">
        <f>IFERROR(IF([2]对账明细接口!$B$887=0,"",[2]对账明细接口!$B$887),"")</f>
        <v/>
      </c>
      <c r="C887" s="16" t="str">
        <f>IFERROR(IF([2]对账明细接口!$C$887=0,"",[2]对账明细接口!$C$887),"")</f>
        <v/>
      </c>
      <c r="D887" s="16" t="str">
        <f>IFERROR(IF([2]对账明细接口!$D$887=0,"",[2]对账明细接口!$D$887),"")</f>
        <v/>
      </c>
      <c r="E887" s="16" t="str">
        <f>IFERROR(IF([2]对账明细接口!$E$887=0,"",[2]对账明细接口!$E$887),"")</f>
        <v/>
      </c>
      <c r="F887" s="16" t="str">
        <f>IFERROR(IF([2]对账明细接口!$F$887=0,"",[2]对账明细接口!$F$887),"")</f>
        <v/>
      </c>
      <c r="G887" s="16" t="str">
        <f>IFERROR(IF([2]对账明细接口!$G$887=0,"",[2]对账明细接口!$G$887),"")</f>
        <v/>
      </c>
      <c r="H887" s="17" t="str">
        <f>IFERROR(IF([2]对账明细接口!$H$887=0,"",[2]对账明细接口!$H$887),"")</f>
        <v/>
      </c>
      <c r="I887" s="16" t="str">
        <f>IFERROR(IF([2]对账明细接口!$I$887=0,"",[2]对账明细接口!$I$887),"")</f>
        <v/>
      </c>
      <c r="J887" s="18" t="str">
        <f>IFERROR(IF([2]对账明细接口!$J$887=0,"",[2]对账明细接口!$J$887),"")</f>
        <v/>
      </c>
      <c r="K887" s="18" t="str">
        <f>IFERROR(IF([2]对账明细接口!$K$887=0,"",[2]对账明细接口!$K$887),"")</f>
        <v/>
      </c>
      <c r="L887" s="16" t="str">
        <f>IFERROR(IF([2]对账明细接口!$L$887=0,"",[2]对账明细接口!$L$887),"")</f>
        <v/>
      </c>
      <c r="M887" s="16" t="str">
        <f>IFERROR(IF([2]对账明细接口!$M$887=0,"",[2]对账明细接口!$M$887),"")</f>
        <v/>
      </c>
      <c r="N887" s="19">
        <f t="shared" si="78"/>
        <v>0</v>
      </c>
      <c r="O887" s="19">
        <f t="shared" si="79"/>
        <v>165</v>
      </c>
      <c r="S887" s="20" t="str">
        <f>IFERROR(IF([2]对账明细接口!$N887=0,"",[2]对账明细接口!$N887),"")</f>
        <v/>
      </c>
      <c r="T887" s="21" t="str">
        <f>IFERROR(IF([2]对账明细接口!$O887=0,"",[2]对账明细接口!$O887),"")</f>
        <v/>
      </c>
      <c r="U887" s="21" t="str">
        <f>IFERROR(IF([2]对账明细接口!$P887=0,"",[2]对账明细接口!$P887),"")</f>
        <v/>
      </c>
      <c r="V887" s="21" t="str">
        <f>IFERROR(IF([2]对账明细接口!$Q887=0,"",[2]对账明细接口!$Q887),"")</f>
        <v/>
      </c>
      <c r="W887" s="20" t="str">
        <f>IFERROR(IF([2]对账明细接口!$R887=0,"",[2]对账明细接口!$R887),"")</f>
        <v/>
      </c>
      <c r="X887" s="20" t="str">
        <f>IFERROR(IF([2]对账明细接口!$S887=0,"",[2]对账明细接口!$S887),"")</f>
        <v/>
      </c>
      <c r="Y887" s="20" t="str">
        <f t="shared" si="80"/>
        <v/>
      </c>
      <c r="Z887" s="20" t="str">
        <f t="shared" si="81"/>
        <v/>
      </c>
      <c r="AA887" s="20" t="str">
        <f t="shared" si="82"/>
        <v/>
      </c>
      <c r="AB887" s="20" t="str">
        <f t="shared" si="83"/>
        <v/>
      </c>
    </row>
    <row r="888" customHeight="1" spans="1:28">
      <c r="A888" s="14">
        <v>888</v>
      </c>
      <c r="B888" s="15" t="str">
        <f>IFERROR(IF([2]对账明细接口!$B$888=0,"",[2]对账明细接口!$B$888),"")</f>
        <v/>
      </c>
      <c r="C888" s="16" t="str">
        <f>IFERROR(IF([2]对账明细接口!$C$888=0,"",[2]对账明细接口!$C$888),"")</f>
        <v/>
      </c>
      <c r="D888" s="16" t="str">
        <f>IFERROR(IF([2]对账明细接口!$D$888=0,"",[2]对账明细接口!$D$888),"")</f>
        <v/>
      </c>
      <c r="E888" s="16" t="str">
        <f>IFERROR(IF([2]对账明细接口!$E$888=0,"",[2]对账明细接口!$E$888),"")</f>
        <v/>
      </c>
      <c r="F888" s="16" t="str">
        <f>IFERROR(IF([2]对账明细接口!$F$888=0,"",[2]对账明细接口!$F$888),"")</f>
        <v/>
      </c>
      <c r="G888" s="16" t="str">
        <f>IFERROR(IF([2]对账明细接口!$G$888=0,"",[2]对账明细接口!$G$888),"")</f>
        <v/>
      </c>
      <c r="H888" s="17" t="str">
        <f>IFERROR(IF([2]对账明细接口!$H$888=0,"",[2]对账明细接口!$H$888),"")</f>
        <v/>
      </c>
      <c r="I888" s="16" t="str">
        <f>IFERROR(IF([2]对账明细接口!$I$888=0,"",[2]对账明细接口!$I$888),"")</f>
        <v/>
      </c>
      <c r="J888" s="18" t="str">
        <f>IFERROR(IF([2]对账明细接口!$J$888=0,"",[2]对账明细接口!$J$888),"")</f>
        <v/>
      </c>
      <c r="K888" s="18" t="str">
        <f>IFERROR(IF([2]对账明细接口!$K$888=0,"",[2]对账明细接口!$K$888),"")</f>
        <v/>
      </c>
      <c r="L888" s="16" t="str">
        <f>IFERROR(IF([2]对账明细接口!$L$888=0,"",[2]对账明细接口!$L$888),"")</f>
        <v/>
      </c>
      <c r="M888" s="16" t="str">
        <f>IFERROR(IF([2]对账明细接口!$M$888=0,"",[2]对账明细接口!$M$888),"")</f>
        <v/>
      </c>
      <c r="N888" s="19">
        <f t="shared" si="78"/>
        <v>0</v>
      </c>
      <c r="O888" s="19">
        <f t="shared" si="79"/>
        <v>165</v>
      </c>
      <c r="S888" s="20" t="str">
        <f>IFERROR(IF([2]对账明细接口!$N888=0,"",[2]对账明细接口!$N888),"")</f>
        <v/>
      </c>
      <c r="T888" s="21" t="str">
        <f>IFERROR(IF([2]对账明细接口!$O888=0,"",[2]对账明细接口!$O888),"")</f>
        <v/>
      </c>
      <c r="U888" s="21" t="str">
        <f>IFERROR(IF([2]对账明细接口!$P888=0,"",[2]对账明细接口!$P888),"")</f>
        <v/>
      </c>
      <c r="V888" s="21" t="str">
        <f>IFERROR(IF([2]对账明细接口!$Q888=0,"",[2]对账明细接口!$Q888),"")</f>
        <v/>
      </c>
      <c r="W888" s="20" t="str">
        <f>IFERROR(IF([2]对账明细接口!$R888=0,"",[2]对账明细接口!$R888),"")</f>
        <v/>
      </c>
      <c r="X888" s="20" t="str">
        <f>IFERROR(IF([2]对账明细接口!$S888=0,"",[2]对账明细接口!$S888),"")</f>
        <v/>
      </c>
      <c r="Y888" s="20" t="str">
        <f t="shared" si="80"/>
        <v/>
      </c>
      <c r="Z888" s="20" t="str">
        <f t="shared" si="81"/>
        <v/>
      </c>
      <c r="AA888" s="20" t="str">
        <f t="shared" si="82"/>
        <v/>
      </c>
      <c r="AB888" s="20" t="str">
        <f t="shared" si="83"/>
        <v/>
      </c>
    </row>
    <row r="889" customHeight="1" spans="1:28">
      <c r="A889" s="14">
        <v>889</v>
      </c>
      <c r="B889" s="15" t="str">
        <f>IFERROR(IF([2]对账明细接口!$B$889=0,"",[2]对账明细接口!$B$889),"")</f>
        <v/>
      </c>
      <c r="C889" s="16" t="str">
        <f>IFERROR(IF([2]对账明细接口!$C$889=0,"",[2]对账明细接口!$C$889),"")</f>
        <v/>
      </c>
      <c r="D889" s="16" t="str">
        <f>IFERROR(IF([2]对账明细接口!$D$889=0,"",[2]对账明细接口!$D$889),"")</f>
        <v/>
      </c>
      <c r="E889" s="16" t="str">
        <f>IFERROR(IF([2]对账明细接口!$E$889=0,"",[2]对账明细接口!$E$889),"")</f>
        <v/>
      </c>
      <c r="F889" s="16" t="str">
        <f>IFERROR(IF([2]对账明细接口!$F$889=0,"",[2]对账明细接口!$F$889),"")</f>
        <v/>
      </c>
      <c r="G889" s="16" t="str">
        <f>IFERROR(IF([2]对账明细接口!$G$889=0,"",[2]对账明细接口!$G$889),"")</f>
        <v/>
      </c>
      <c r="H889" s="17" t="str">
        <f>IFERROR(IF([2]对账明细接口!$H$889=0,"",[2]对账明细接口!$H$889),"")</f>
        <v/>
      </c>
      <c r="I889" s="16" t="str">
        <f>IFERROR(IF([2]对账明细接口!$I$889=0,"",[2]对账明细接口!$I$889),"")</f>
        <v/>
      </c>
      <c r="J889" s="18" t="str">
        <f>IFERROR(IF([2]对账明细接口!$J$889=0,"",[2]对账明细接口!$J$889),"")</f>
        <v/>
      </c>
      <c r="K889" s="18" t="str">
        <f>IFERROR(IF([2]对账明细接口!$K$889=0,"",[2]对账明细接口!$K$889),"")</f>
        <v/>
      </c>
      <c r="L889" s="16" t="str">
        <f>IFERROR(IF([2]对账明细接口!$L$889=0,"",[2]对账明细接口!$L$889),"")</f>
        <v/>
      </c>
      <c r="M889" s="16" t="str">
        <f>IFERROR(IF([2]对账明细接口!$M$889=0,"",[2]对账明细接口!$M$889),"")</f>
        <v/>
      </c>
      <c r="N889" s="19">
        <f t="shared" si="78"/>
        <v>0</v>
      </c>
      <c r="O889" s="19">
        <f t="shared" si="79"/>
        <v>165</v>
      </c>
      <c r="S889" s="20" t="str">
        <f>IFERROR(IF([2]对账明细接口!$N889=0,"",[2]对账明细接口!$N889),"")</f>
        <v/>
      </c>
      <c r="T889" s="21" t="str">
        <f>IFERROR(IF([2]对账明细接口!$O889=0,"",[2]对账明细接口!$O889),"")</f>
        <v/>
      </c>
      <c r="U889" s="21" t="str">
        <f>IFERROR(IF([2]对账明细接口!$P889=0,"",[2]对账明细接口!$P889),"")</f>
        <v/>
      </c>
      <c r="V889" s="21" t="str">
        <f>IFERROR(IF([2]对账明细接口!$Q889=0,"",[2]对账明细接口!$Q889),"")</f>
        <v/>
      </c>
      <c r="W889" s="20" t="str">
        <f>IFERROR(IF([2]对账明细接口!$R889=0,"",[2]对账明细接口!$R889),"")</f>
        <v/>
      </c>
      <c r="X889" s="20" t="str">
        <f>IFERROR(IF([2]对账明细接口!$S889=0,"",[2]对账明细接口!$S889),"")</f>
        <v/>
      </c>
      <c r="Y889" s="20" t="str">
        <f t="shared" si="80"/>
        <v/>
      </c>
      <c r="Z889" s="20" t="str">
        <f t="shared" si="81"/>
        <v/>
      </c>
      <c r="AA889" s="20" t="str">
        <f t="shared" si="82"/>
        <v/>
      </c>
      <c r="AB889" s="20" t="str">
        <f t="shared" si="83"/>
        <v/>
      </c>
    </row>
    <row r="890" customHeight="1" spans="1:28">
      <c r="A890" s="14">
        <v>890</v>
      </c>
      <c r="B890" s="15" t="str">
        <f>IFERROR(IF([2]对账明细接口!$B$890=0,"",[2]对账明细接口!$B$890),"")</f>
        <v/>
      </c>
      <c r="C890" s="16" t="str">
        <f>IFERROR(IF([2]对账明细接口!$C$890=0,"",[2]对账明细接口!$C$890),"")</f>
        <v/>
      </c>
      <c r="D890" s="16" t="str">
        <f>IFERROR(IF([2]对账明细接口!$D$890=0,"",[2]对账明细接口!$D$890),"")</f>
        <v/>
      </c>
      <c r="E890" s="16" t="str">
        <f>IFERROR(IF([2]对账明细接口!$E$890=0,"",[2]对账明细接口!$E$890),"")</f>
        <v/>
      </c>
      <c r="F890" s="16" t="str">
        <f>IFERROR(IF([2]对账明细接口!$F$890=0,"",[2]对账明细接口!$F$890),"")</f>
        <v/>
      </c>
      <c r="G890" s="16" t="str">
        <f>IFERROR(IF([2]对账明细接口!$G$890=0,"",[2]对账明细接口!$G$890),"")</f>
        <v/>
      </c>
      <c r="H890" s="17" t="str">
        <f>IFERROR(IF([2]对账明细接口!$H$890=0,"",[2]对账明细接口!$H$890),"")</f>
        <v/>
      </c>
      <c r="I890" s="16" t="str">
        <f>IFERROR(IF([2]对账明细接口!$I$890=0,"",[2]对账明细接口!$I$890),"")</f>
        <v/>
      </c>
      <c r="J890" s="18" t="str">
        <f>IFERROR(IF([2]对账明细接口!$J$890=0,"",[2]对账明细接口!$J$890),"")</f>
        <v/>
      </c>
      <c r="K890" s="18" t="str">
        <f>IFERROR(IF([2]对账明细接口!$K$890=0,"",[2]对账明细接口!$K$890),"")</f>
        <v/>
      </c>
      <c r="L890" s="16" t="str">
        <f>IFERROR(IF([2]对账明细接口!$L$890=0,"",[2]对账明细接口!$L$890),"")</f>
        <v/>
      </c>
      <c r="M890" s="16" t="str">
        <f>IFERROR(IF([2]对账明细接口!$M$890=0,"",[2]对账明细接口!$M$890),"")</f>
        <v/>
      </c>
      <c r="N890" s="19">
        <f t="shared" si="78"/>
        <v>0</v>
      </c>
      <c r="O890" s="19">
        <f t="shared" si="79"/>
        <v>165</v>
      </c>
      <c r="S890" s="20" t="str">
        <f>IFERROR(IF([2]对账明细接口!$N890=0,"",[2]对账明细接口!$N890),"")</f>
        <v/>
      </c>
      <c r="T890" s="21" t="str">
        <f>IFERROR(IF([2]对账明细接口!$O890=0,"",[2]对账明细接口!$O890),"")</f>
        <v/>
      </c>
      <c r="U890" s="21" t="str">
        <f>IFERROR(IF([2]对账明细接口!$P890=0,"",[2]对账明细接口!$P890),"")</f>
        <v/>
      </c>
      <c r="V890" s="21" t="str">
        <f>IFERROR(IF([2]对账明细接口!$Q890=0,"",[2]对账明细接口!$Q890),"")</f>
        <v/>
      </c>
      <c r="W890" s="20" t="str">
        <f>IFERROR(IF([2]对账明细接口!$R890=0,"",[2]对账明细接口!$R890),"")</f>
        <v/>
      </c>
      <c r="X890" s="20" t="str">
        <f>IFERROR(IF([2]对账明细接口!$S890=0,"",[2]对账明细接口!$S890),"")</f>
        <v/>
      </c>
      <c r="Y890" s="20" t="str">
        <f t="shared" si="80"/>
        <v/>
      </c>
      <c r="Z890" s="20" t="str">
        <f t="shared" si="81"/>
        <v/>
      </c>
      <c r="AA890" s="20" t="str">
        <f t="shared" si="82"/>
        <v/>
      </c>
      <c r="AB890" s="20" t="str">
        <f t="shared" si="83"/>
        <v/>
      </c>
    </row>
    <row r="891" customHeight="1" spans="1:28">
      <c r="A891" s="14">
        <v>891</v>
      </c>
      <c r="B891" s="15" t="str">
        <f>IFERROR(IF([2]对账明细接口!$B$891=0,"",[2]对账明细接口!$B$891),"")</f>
        <v/>
      </c>
      <c r="C891" s="16" t="str">
        <f>IFERROR(IF([2]对账明细接口!$C$891=0,"",[2]对账明细接口!$C$891),"")</f>
        <v/>
      </c>
      <c r="D891" s="16" t="str">
        <f>IFERROR(IF([2]对账明细接口!$D$891=0,"",[2]对账明细接口!$D$891),"")</f>
        <v/>
      </c>
      <c r="E891" s="16" t="str">
        <f>IFERROR(IF([2]对账明细接口!$E$891=0,"",[2]对账明细接口!$E$891),"")</f>
        <v/>
      </c>
      <c r="F891" s="16" t="str">
        <f>IFERROR(IF([2]对账明细接口!$F$891=0,"",[2]对账明细接口!$F$891),"")</f>
        <v/>
      </c>
      <c r="G891" s="16" t="str">
        <f>IFERROR(IF([2]对账明细接口!$G$891=0,"",[2]对账明细接口!$G$891),"")</f>
        <v/>
      </c>
      <c r="H891" s="17" t="str">
        <f>IFERROR(IF([2]对账明细接口!$H$891=0,"",[2]对账明细接口!$H$891),"")</f>
        <v/>
      </c>
      <c r="I891" s="16" t="str">
        <f>IFERROR(IF([2]对账明细接口!$I$891=0,"",[2]对账明细接口!$I$891),"")</f>
        <v/>
      </c>
      <c r="J891" s="18" t="str">
        <f>IFERROR(IF([2]对账明细接口!$J$891=0,"",[2]对账明细接口!$J$891),"")</f>
        <v/>
      </c>
      <c r="K891" s="18" t="str">
        <f>IFERROR(IF([2]对账明细接口!$K$891=0,"",[2]对账明细接口!$K$891),"")</f>
        <v/>
      </c>
      <c r="L891" s="16" t="str">
        <f>IFERROR(IF([2]对账明细接口!$L$891=0,"",[2]对账明细接口!$L$891),"")</f>
        <v/>
      </c>
      <c r="M891" s="16" t="str">
        <f>IFERROR(IF([2]对账明细接口!$M$891=0,"",[2]对账明细接口!$M$891),"")</f>
        <v/>
      </c>
      <c r="N891" s="19">
        <f t="shared" si="78"/>
        <v>0</v>
      </c>
      <c r="O891" s="19">
        <f t="shared" si="79"/>
        <v>165</v>
      </c>
      <c r="S891" s="20" t="str">
        <f>IFERROR(IF([2]对账明细接口!$N891=0,"",[2]对账明细接口!$N891),"")</f>
        <v/>
      </c>
      <c r="T891" s="21" t="str">
        <f>IFERROR(IF([2]对账明细接口!$O891=0,"",[2]对账明细接口!$O891),"")</f>
        <v/>
      </c>
      <c r="U891" s="21" t="str">
        <f>IFERROR(IF([2]对账明细接口!$P891=0,"",[2]对账明细接口!$P891),"")</f>
        <v/>
      </c>
      <c r="V891" s="21" t="str">
        <f>IFERROR(IF([2]对账明细接口!$Q891=0,"",[2]对账明细接口!$Q891),"")</f>
        <v/>
      </c>
      <c r="W891" s="20" t="str">
        <f>IFERROR(IF([2]对账明细接口!$R891=0,"",[2]对账明细接口!$R891),"")</f>
        <v/>
      </c>
      <c r="X891" s="20" t="str">
        <f>IFERROR(IF([2]对账明细接口!$S891=0,"",[2]对账明细接口!$S891),"")</f>
        <v/>
      </c>
      <c r="Y891" s="20" t="str">
        <f t="shared" si="80"/>
        <v/>
      </c>
      <c r="Z891" s="20" t="str">
        <f t="shared" si="81"/>
        <v/>
      </c>
      <c r="AA891" s="20" t="str">
        <f t="shared" si="82"/>
        <v/>
      </c>
      <c r="AB891" s="20" t="str">
        <f t="shared" si="83"/>
        <v/>
      </c>
    </row>
    <row r="892" customHeight="1" spans="1:28">
      <c r="A892" s="14">
        <v>892</v>
      </c>
      <c r="B892" s="15" t="str">
        <f>IFERROR(IF([2]对账明细接口!$B$892=0,"",[2]对账明细接口!$B$892),"")</f>
        <v/>
      </c>
      <c r="C892" s="16" t="str">
        <f>IFERROR(IF([2]对账明细接口!$C$892=0,"",[2]对账明细接口!$C$892),"")</f>
        <v/>
      </c>
      <c r="D892" s="16" t="str">
        <f>IFERROR(IF([2]对账明细接口!$D$892=0,"",[2]对账明细接口!$D$892),"")</f>
        <v/>
      </c>
      <c r="E892" s="16" t="str">
        <f>IFERROR(IF([2]对账明细接口!$E$892=0,"",[2]对账明细接口!$E$892),"")</f>
        <v/>
      </c>
      <c r="F892" s="16" t="str">
        <f>IFERROR(IF([2]对账明细接口!$F$892=0,"",[2]对账明细接口!$F$892),"")</f>
        <v/>
      </c>
      <c r="G892" s="16" t="str">
        <f>IFERROR(IF([2]对账明细接口!$G$892=0,"",[2]对账明细接口!$G$892),"")</f>
        <v/>
      </c>
      <c r="H892" s="17" t="str">
        <f>IFERROR(IF([2]对账明细接口!$H$892=0,"",[2]对账明细接口!$H$892),"")</f>
        <v/>
      </c>
      <c r="I892" s="16" t="str">
        <f>IFERROR(IF([2]对账明细接口!$I$892=0,"",[2]对账明细接口!$I$892),"")</f>
        <v/>
      </c>
      <c r="J892" s="18" t="str">
        <f>IFERROR(IF([2]对账明细接口!$J$892=0,"",[2]对账明细接口!$J$892),"")</f>
        <v/>
      </c>
      <c r="K892" s="18" t="str">
        <f>IFERROR(IF([2]对账明细接口!$K$892=0,"",[2]对账明细接口!$K$892),"")</f>
        <v/>
      </c>
      <c r="L892" s="16" t="str">
        <f>IFERROR(IF([2]对账明细接口!$L$892=0,"",[2]对账明细接口!$L$892),"")</f>
        <v/>
      </c>
      <c r="M892" s="16" t="str">
        <f>IFERROR(IF([2]对账明细接口!$M$892=0,"",[2]对账明细接口!$M$892),"")</f>
        <v/>
      </c>
      <c r="N892" s="19">
        <f t="shared" si="78"/>
        <v>0</v>
      </c>
      <c r="O892" s="19">
        <f t="shared" si="79"/>
        <v>165</v>
      </c>
      <c r="S892" s="20" t="str">
        <f>IFERROR(IF([2]对账明细接口!$N892=0,"",[2]对账明细接口!$N892),"")</f>
        <v/>
      </c>
      <c r="T892" s="21" t="str">
        <f>IFERROR(IF([2]对账明细接口!$O892=0,"",[2]对账明细接口!$O892),"")</f>
        <v/>
      </c>
      <c r="U892" s="21" t="str">
        <f>IFERROR(IF([2]对账明细接口!$P892=0,"",[2]对账明细接口!$P892),"")</f>
        <v/>
      </c>
      <c r="V892" s="21" t="str">
        <f>IFERROR(IF([2]对账明细接口!$Q892=0,"",[2]对账明细接口!$Q892),"")</f>
        <v/>
      </c>
      <c r="W892" s="20" t="str">
        <f>IFERROR(IF([2]对账明细接口!$R892=0,"",[2]对账明细接口!$R892),"")</f>
        <v/>
      </c>
      <c r="X892" s="20" t="str">
        <f>IFERROR(IF([2]对账明细接口!$S892=0,"",[2]对账明细接口!$S892),"")</f>
        <v/>
      </c>
      <c r="Y892" s="20" t="str">
        <f t="shared" si="80"/>
        <v/>
      </c>
      <c r="Z892" s="20" t="str">
        <f t="shared" si="81"/>
        <v/>
      </c>
      <c r="AA892" s="20" t="str">
        <f t="shared" si="82"/>
        <v/>
      </c>
      <c r="AB892" s="20" t="str">
        <f t="shared" si="83"/>
        <v/>
      </c>
    </row>
    <row r="893" customHeight="1" spans="1:28">
      <c r="A893" s="14">
        <v>893</v>
      </c>
      <c r="B893" s="15" t="str">
        <f>IFERROR(IF([2]对账明细接口!$B$893=0,"",[2]对账明细接口!$B$893),"")</f>
        <v/>
      </c>
      <c r="C893" s="16" t="str">
        <f>IFERROR(IF([2]对账明细接口!$C$893=0,"",[2]对账明细接口!$C$893),"")</f>
        <v/>
      </c>
      <c r="D893" s="16" t="str">
        <f>IFERROR(IF([2]对账明细接口!$D$893=0,"",[2]对账明细接口!$D$893),"")</f>
        <v/>
      </c>
      <c r="E893" s="16" t="str">
        <f>IFERROR(IF([2]对账明细接口!$E$893=0,"",[2]对账明细接口!$E$893),"")</f>
        <v/>
      </c>
      <c r="F893" s="16" t="str">
        <f>IFERROR(IF([2]对账明细接口!$F$893=0,"",[2]对账明细接口!$F$893),"")</f>
        <v/>
      </c>
      <c r="G893" s="16" t="str">
        <f>IFERROR(IF([2]对账明细接口!$G$893=0,"",[2]对账明细接口!$G$893),"")</f>
        <v/>
      </c>
      <c r="H893" s="17" t="str">
        <f>IFERROR(IF([2]对账明细接口!$H$893=0,"",[2]对账明细接口!$H$893),"")</f>
        <v/>
      </c>
      <c r="I893" s="16" t="str">
        <f>IFERROR(IF([2]对账明细接口!$I$893=0,"",[2]对账明细接口!$I$893),"")</f>
        <v/>
      </c>
      <c r="J893" s="18" t="str">
        <f>IFERROR(IF([2]对账明细接口!$J$893=0,"",[2]对账明细接口!$J$893),"")</f>
        <v/>
      </c>
      <c r="K893" s="18" t="str">
        <f>IFERROR(IF([2]对账明细接口!$K$893=0,"",[2]对账明细接口!$K$893),"")</f>
        <v/>
      </c>
      <c r="L893" s="16" t="str">
        <f>IFERROR(IF([2]对账明细接口!$L$893=0,"",[2]对账明细接口!$L$893),"")</f>
        <v/>
      </c>
      <c r="M893" s="16" t="str">
        <f>IFERROR(IF([2]对账明细接口!$M$893=0,"",[2]对账明细接口!$M$893),"")</f>
        <v/>
      </c>
      <c r="N893" s="19">
        <f t="shared" si="78"/>
        <v>0</v>
      </c>
      <c r="O893" s="19">
        <f t="shared" si="79"/>
        <v>165</v>
      </c>
      <c r="S893" s="20" t="str">
        <f>IFERROR(IF([2]对账明细接口!$N893=0,"",[2]对账明细接口!$N893),"")</f>
        <v/>
      </c>
      <c r="T893" s="21" t="str">
        <f>IFERROR(IF([2]对账明细接口!$O893=0,"",[2]对账明细接口!$O893),"")</f>
        <v/>
      </c>
      <c r="U893" s="21" t="str">
        <f>IFERROR(IF([2]对账明细接口!$P893=0,"",[2]对账明细接口!$P893),"")</f>
        <v/>
      </c>
      <c r="V893" s="21" t="str">
        <f>IFERROR(IF([2]对账明细接口!$Q893=0,"",[2]对账明细接口!$Q893),"")</f>
        <v/>
      </c>
      <c r="W893" s="20" t="str">
        <f>IFERROR(IF([2]对账明细接口!$R893=0,"",[2]对账明细接口!$R893),"")</f>
        <v/>
      </c>
      <c r="X893" s="20" t="str">
        <f>IFERROR(IF([2]对账明细接口!$S893=0,"",[2]对账明细接口!$S893),"")</f>
        <v/>
      </c>
      <c r="Y893" s="20" t="str">
        <f t="shared" si="80"/>
        <v/>
      </c>
      <c r="Z893" s="20" t="str">
        <f t="shared" si="81"/>
        <v/>
      </c>
      <c r="AA893" s="20" t="str">
        <f t="shared" si="82"/>
        <v/>
      </c>
      <c r="AB893" s="20" t="str">
        <f t="shared" si="83"/>
        <v/>
      </c>
    </row>
    <row r="894" customHeight="1" spans="1:28">
      <c r="A894" s="14">
        <v>894</v>
      </c>
      <c r="B894" s="15" t="str">
        <f>IFERROR(IF([2]对账明细接口!$B$894=0,"",[2]对账明细接口!$B$894),"")</f>
        <v/>
      </c>
      <c r="C894" s="16" t="str">
        <f>IFERROR(IF([2]对账明细接口!$C$894=0,"",[2]对账明细接口!$C$894),"")</f>
        <v/>
      </c>
      <c r="D894" s="16" t="str">
        <f>IFERROR(IF([2]对账明细接口!$D$894=0,"",[2]对账明细接口!$D$894),"")</f>
        <v/>
      </c>
      <c r="E894" s="16" t="str">
        <f>IFERROR(IF([2]对账明细接口!$E$894=0,"",[2]对账明细接口!$E$894),"")</f>
        <v/>
      </c>
      <c r="F894" s="16" t="str">
        <f>IFERROR(IF([2]对账明细接口!$F$894=0,"",[2]对账明细接口!$F$894),"")</f>
        <v/>
      </c>
      <c r="G894" s="16" t="str">
        <f>IFERROR(IF([2]对账明细接口!$G$894=0,"",[2]对账明细接口!$G$894),"")</f>
        <v/>
      </c>
      <c r="H894" s="17" t="str">
        <f>IFERROR(IF([2]对账明细接口!$H$894=0,"",[2]对账明细接口!$H$894),"")</f>
        <v/>
      </c>
      <c r="I894" s="16" t="str">
        <f>IFERROR(IF([2]对账明细接口!$I$894=0,"",[2]对账明细接口!$I$894),"")</f>
        <v/>
      </c>
      <c r="J894" s="18" t="str">
        <f>IFERROR(IF([2]对账明细接口!$J$894=0,"",[2]对账明细接口!$J$894),"")</f>
        <v/>
      </c>
      <c r="K894" s="18" t="str">
        <f>IFERROR(IF([2]对账明细接口!$K$894=0,"",[2]对账明细接口!$K$894),"")</f>
        <v/>
      </c>
      <c r="L894" s="16" t="str">
        <f>IFERROR(IF([2]对账明细接口!$L$894=0,"",[2]对账明细接口!$L$894),"")</f>
        <v/>
      </c>
      <c r="M894" s="16" t="str">
        <f>IFERROR(IF([2]对账明细接口!$M$894=0,"",[2]对账明细接口!$M$894),"")</f>
        <v/>
      </c>
      <c r="N894" s="19">
        <f t="shared" si="78"/>
        <v>0</v>
      </c>
      <c r="O894" s="19">
        <f t="shared" si="79"/>
        <v>165</v>
      </c>
      <c r="S894" s="20" t="str">
        <f>IFERROR(IF([2]对账明细接口!$N894=0,"",[2]对账明细接口!$N894),"")</f>
        <v/>
      </c>
      <c r="T894" s="21" t="str">
        <f>IFERROR(IF([2]对账明细接口!$O894=0,"",[2]对账明细接口!$O894),"")</f>
        <v/>
      </c>
      <c r="U894" s="21" t="str">
        <f>IFERROR(IF([2]对账明细接口!$P894=0,"",[2]对账明细接口!$P894),"")</f>
        <v/>
      </c>
      <c r="V894" s="21" t="str">
        <f>IFERROR(IF([2]对账明细接口!$Q894=0,"",[2]对账明细接口!$Q894),"")</f>
        <v/>
      </c>
      <c r="W894" s="20" t="str">
        <f>IFERROR(IF([2]对账明细接口!$R894=0,"",[2]对账明细接口!$R894),"")</f>
        <v/>
      </c>
      <c r="X894" s="20" t="str">
        <f>IFERROR(IF([2]对账明细接口!$S894=0,"",[2]对账明细接口!$S894),"")</f>
        <v/>
      </c>
      <c r="Y894" s="20" t="str">
        <f t="shared" si="80"/>
        <v/>
      </c>
      <c r="Z894" s="20" t="str">
        <f t="shared" si="81"/>
        <v/>
      </c>
      <c r="AA894" s="20" t="str">
        <f t="shared" si="82"/>
        <v/>
      </c>
      <c r="AB894" s="20" t="str">
        <f t="shared" si="83"/>
        <v/>
      </c>
    </row>
    <row r="895" customHeight="1" spans="1:28">
      <c r="A895" s="14">
        <v>895</v>
      </c>
      <c r="B895" s="15" t="str">
        <f>IFERROR(IF([2]对账明细接口!$B$895=0,"",[2]对账明细接口!$B$895),"")</f>
        <v/>
      </c>
      <c r="C895" s="16" t="str">
        <f>IFERROR(IF([2]对账明细接口!$C$895=0,"",[2]对账明细接口!$C$895),"")</f>
        <v/>
      </c>
      <c r="D895" s="16" t="str">
        <f>IFERROR(IF([2]对账明细接口!$D$895=0,"",[2]对账明细接口!$D$895),"")</f>
        <v/>
      </c>
      <c r="E895" s="16" t="str">
        <f>IFERROR(IF([2]对账明细接口!$E$895=0,"",[2]对账明细接口!$E$895),"")</f>
        <v/>
      </c>
      <c r="F895" s="16" t="str">
        <f>IFERROR(IF([2]对账明细接口!$F$895=0,"",[2]对账明细接口!$F$895),"")</f>
        <v/>
      </c>
      <c r="G895" s="16" t="str">
        <f>IFERROR(IF([2]对账明细接口!$G$895=0,"",[2]对账明细接口!$G$895),"")</f>
        <v/>
      </c>
      <c r="H895" s="17" t="str">
        <f>IFERROR(IF([2]对账明细接口!$H$895=0,"",[2]对账明细接口!$H$895),"")</f>
        <v/>
      </c>
      <c r="I895" s="16" t="str">
        <f>IFERROR(IF([2]对账明细接口!$I$895=0,"",[2]对账明细接口!$I$895),"")</f>
        <v/>
      </c>
      <c r="J895" s="18" t="str">
        <f>IFERROR(IF([2]对账明细接口!$J$895=0,"",[2]对账明细接口!$J$895),"")</f>
        <v/>
      </c>
      <c r="K895" s="18" t="str">
        <f>IFERROR(IF([2]对账明细接口!$K$895=0,"",[2]对账明细接口!$K$895),"")</f>
        <v/>
      </c>
      <c r="L895" s="16" t="str">
        <f>IFERROR(IF([2]对账明细接口!$L$895=0,"",[2]对账明细接口!$L$895),"")</f>
        <v/>
      </c>
      <c r="M895" s="16" t="str">
        <f>IFERROR(IF([2]对账明细接口!$M$895=0,"",[2]对账明细接口!$M$895),"")</f>
        <v/>
      </c>
      <c r="N895" s="19">
        <f t="shared" si="78"/>
        <v>0</v>
      </c>
      <c r="O895" s="19">
        <f t="shared" si="79"/>
        <v>165</v>
      </c>
      <c r="S895" s="20" t="str">
        <f>IFERROR(IF([2]对账明细接口!$N895=0,"",[2]对账明细接口!$N895),"")</f>
        <v/>
      </c>
      <c r="T895" s="21" t="str">
        <f>IFERROR(IF([2]对账明细接口!$O895=0,"",[2]对账明细接口!$O895),"")</f>
        <v/>
      </c>
      <c r="U895" s="21" t="str">
        <f>IFERROR(IF([2]对账明细接口!$P895=0,"",[2]对账明细接口!$P895),"")</f>
        <v/>
      </c>
      <c r="V895" s="21" t="str">
        <f>IFERROR(IF([2]对账明细接口!$Q895=0,"",[2]对账明细接口!$Q895),"")</f>
        <v/>
      </c>
      <c r="W895" s="20" t="str">
        <f>IFERROR(IF([2]对账明细接口!$R895=0,"",[2]对账明细接口!$R895),"")</f>
        <v/>
      </c>
      <c r="X895" s="20" t="str">
        <f>IFERROR(IF([2]对账明细接口!$S895=0,"",[2]对账明细接口!$S895),"")</f>
        <v/>
      </c>
      <c r="Y895" s="20" t="str">
        <f t="shared" si="80"/>
        <v/>
      </c>
      <c r="Z895" s="20" t="str">
        <f t="shared" si="81"/>
        <v/>
      </c>
      <c r="AA895" s="20" t="str">
        <f t="shared" si="82"/>
        <v/>
      </c>
      <c r="AB895" s="20" t="str">
        <f t="shared" si="83"/>
        <v/>
      </c>
    </row>
    <row r="896" customHeight="1" spans="1:28">
      <c r="A896" s="14">
        <v>896</v>
      </c>
      <c r="B896" s="15" t="str">
        <f>IFERROR(IF([2]对账明细接口!$B$896=0,"",[2]对账明细接口!$B$896),"")</f>
        <v/>
      </c>
      <c r="C896" s="16" t="str">
        <f>IFERROR(IF([2]对账明细接口!$C$896=0,"",[2]对账明细接口!$C$896),"")</f>
        <v/>
      </c>
      <c r="D896" s="16" t="str">
        <f>IFERROR(IF([2]对账明细接口!$D$896=0,"",[2]对账明细接口!$D$896),"")</f>
        <v/>
      </c>
      <c r="E896" s="16" t="str">
        <f>IFERROR(IF([2]对账明细接口!$E$896=0,"",[2]对账明细接口!$E$896),"")</f>
        <v/>
      </c>
      <c r="F896" s="16" t="str">
        <f>IFERROR(IF([2]对账明细接口!$F$896=0,"",[2]对账明细接口!$F$896),"")</f>
        <v/>
      </c>
      <c r="G896" s="16" t="str">
        <f>IFERROR(IF([2]对账明细接口!$G$896=0,"",[2]对账明细接口!$G$896),"")</f>
        <v/>
      </c>
      <c r="H896" s="17" t="str">
        <f>IFERROR(IF([2]对账明细接口!$H$896=0,"",[2]对账明细接口!$H$896),"")</f>
        <v/>
      </c>
      <c r="I896" s="16" t="str">
        <f>IFERROR(IF([2]对账明细接口!$I$896=0,"",[2]对账明细接口!$I$896),"")</f>
        <v/>
      </c>
      <c r="J896" s="18" t="str">
        <f>IFERROR(IF([2]对账明细接口!$J$896=0,"",[2]对账明细接口!$J$896),"")</f>
        <v/>
      </c>
      <c r="K896" s="18" t="str">
        <f>IFERROR(IF([2]对账明细接口!$K$896=0,"",[2]对账明细接口!$K$896),"")</f>
        <v/>
      </c>
      <c r="L896" s="16" t="str">
        <f>IFERROR(IF([2]对账明细接口!$L$896=0,"",[2]对账明细接口!$L$896),"")</f>
        <v/>
      </c>
      <c r="M896" s="16" t="str">
        <f>IFERROR(IF([2]对账明细接口!$M$896=0,"",[2]对账明细接口!$M$896),"")</f>
        <v/>
      </c>
      <c r="N896" s="19">
        <f t="shared" si="78"/>
        <v>0</v>
      </c>
      <c r="O896" s="19">
        <f t="shared" si="79"/>
        <v>165</v>
      </c>
      <c r="S896" s="20" t="str">
        <f>IFERROR(IF([2]对账明细接口!$N896=0,"",[2]对账明细接口!$N896),"")</f>
        <v/>
      </c>
      <c r="T896" s="21" t="str">
        <f>IFERROR(IF([2]对账明细接口!$O896=0,"",[2]对账明细接口!$O896),"")</f>
        <v/>
      </c>
      <c r="U896" s="21" t="str">
        <f>IFERROR(IF([2]对账明细接口!$P896=0,"",[2]对账明细接口!$P896),"")</f>
        <v/>
      </c>
      <c r="V896" s="21" t="str">
        <f>IFERROR(IF([2]对账明细接口!$Q896=0,"",[2]对账明细接口!$Q896),"")</f>
        <v/>
      </c>
      <c r="W896" s="20" t="str">
        <f>IFERROR(IF([2]对账明细接口!$R896=0,"",[2]对账明细接口!$R896),"")</f>
        <v/>
      </c>
      <c r="X896" s="20" t="str">
        <f>IFERROR(IF([2]对账明细接口!$S896=0,"",[2]对账明细接口!$S896),"")</f>
        <v/>
      </c>
      <c r="Y896" s="20" t="str">
        <f t="shared" si="80"/>
        <v/>
      </c>
      <c r="Z896" s="20" t="str">
        <f t="shared" si="81"/>
        <v/>
      </c>
      <c r="AA896" s="20" t="str">
        <f t="shared" si="82"/>
        <v/>
      </c>
      <c r="AB896" s="20" t="str">
        <f t="shared" si="83"/>
        <v/>
      </c>
    </row>
    <row r="897" customHeight="1" spans="1:28">
      <c r="A897" s="14">
        <v>897</v>
      </c>
      <c r="B897" s="15" t="str">
        <f>IFERROR(IF([2]对账明细接口!$B$897=0,"",[2]对账明细接口!$B$897),"")</f>
        <v/>
      </c>
      <c r="C897" s="16" t="str">
        <f>IFERROR(IF([2]对账明细接口!$C$897=0,"",[2]对账明细接口!$C$897),"")</f>
        <v/>
      </c>
      <c r="D897" s="16" t="str">
        <f>IFERROR(IF([2]对账明细接口!$D$897=0,"",[2]对账明细接口!$D$897),"")</f>
        <v/>
      </c>
      <c r="E897" s="16" t="str">
        <f>IFERROR(IF([2]对账明细接口!$E$897=0,"",[2]对账明细接口!$E$897),"")</f>
        <v/>
      </c>
      <c r="F897" s="16" t="str">
        <f>IFERROR(IF([2]对账明细接口!$F$897=0,"",[2]对账明细接口!$F$897),"")</f>
        <v/>
      </c>
      <c r="G897" s="16" t="str">
        <f>IFERROR(IF([2]对账明细接口!$G$897=0,"",[2]对账明细接口!$G$897),"")</f>
        <v/>
      </c>
      <c r="H897" s="17" t="str">
        <f>IFERROR(IF([2]对账明细接口!$H$897=0,"",[2]对账明细接口!$H$897),"")</f>
        <v/>
      </c>
      <c r="I897" s="16" t="str">
        <f>IFERROR(IF([2]对账明细接口!$I$897=0,"",[2]对账明细接口!$I$897),"")</f>
        <v/>
      </c>
      <c r="J897" s="18" t="str">
        <f>IFERROR(IF([2]对账明细接口!$J$897=0,"",[2]对账明细接口!$J$897),"")</f>
        <v/>
      </c>
      <c r="K897" s="18" t="str">
        <f>IFERROR(IF([2]对账明细接口!$K$897=0,"",[2]对账明细接口!$K$897),"")</f>
        <v/>
      </c>
      <c r="L897" s="16" t="str">
        <f>IFERROR(IF([2]对账明细接口!$L$897=0,"",[2]对账明细接口!$L$897),"")</f>
        <v/>
      </c>
      <c r="M897" s="16" t="str">
        <f>IFERROR(IF([2]对账明细接口!$M$897=0,"",[2]对账明细接口!$M$897),"")</f>
        <v/>
      </c>
      <c r="N897" s="19">
        <f t="shared" si="78"/>
        <v>0</v>
      </c>
      <c r="O897" s="19">
        <f t="shared" si="79"/>
        <v>165</v>
      </c>
      <c r="S897" s="20" t="str">
        <f>IFERROR(IF([2]对账明细接口!$N897=0,"",[2]对账明细接口!$N897),"")</f>
        <v/>
      </c>
      <c r="T897" s="21" t="str">
        <f>IFERROR(IF([2]对账明细接口!$O897=0,"",[2]对账明细接口!$O897),"")</f>
        <v/>
      </c>
      <c r="U897" s="21" t="str">
        <f>IFERROR(IF([2]对账明细接口!$P897=0,"",[2]对账明细接口!$P897),"")</f>
        <v/>
      </c>
      <c r="V897" s="21" t="str">
        <f>IFERROR(IF([2]对账明细接口!$Q897=0,"",[2]对账明细接口!$Q897),"")</f>
        <v/>
      </c>
      <c r="W897" s="20" t="str">
        <f>IFERROR(IF([2]对账明细接口!$R897=0,"",[2]对账明细接口!$R897),"")</f>
        <v/>
      </c>
      <c r="X897" s="20" t="str">
        <f>IFERROR(IF([2]对账明细接口!$S897=0,"",[2]对账明细接口!$S897),"")</f>
        <v/>
      </c>
      <c r="Y897" s="20" t="str">
        <f t="shared" si="80"/>
        <v/>
      </c>
      <c r="Z897" s="20" t="str">
        <f t="shared" si="81"/>
        <v/>
      </c>
      <c r="AA897" s="20" t="str">
        <f t="shared" si="82"/>
        <v/>
      </c>
      <c r="AB897" s="20" t="str">
        <f t="shared" si="83"/>
        <v/>
      </c>
    </row>
    <row r="898" customHeight="1" spans="1:28">
      <c r="A898" s="14">
        <v>898</v>
      </c>
      <c r="B898" s="15" t="str">
        <f>IFERROR(IF([2]对账明细接口!$B$898=0,"",[2]对账明细接口!$B$898),"")</f>
        <v/>
      </c>
      <c r="C898" s="16" t="str">
        <f>IFERROR(IF([2]对账明细接口!$C$898=0,"",[2]对账明细接口!$C$898),"")</f>
        <v/>
      </c>
      <c r="D898" s="16" t="str">
        <f>IFERROR(IF([2]对账明细接口!$D$898=0,"",[2]对账明细接口!$D$898),"")</f>
        <v/>
      </c>
      <c r="E898" s="16" t="str">
        <f>IFERROR(IF([2]对账明细接口!$E$898=0,"",[2]对账明细接口!$E$898),"")</f>
        <v/>
      </c>
      <c r="F898" s="16" t="str">
        <f>IFERROR(IF([2]对账明细接口!$F$898=0,"",[2]对账明细接口!$F$898),"")</f>
        <v/>
      </c>
      <c r="G898" s="16" t="str">
        <f>IFERROR(IF([2]对账明细接口!$G$898=0,"",[2]对账明细接口!$G$898),"")</f>
        <v/>
      </c>
      <c r="H898" s="17" t="str">
        <f>IFERROR(IF([2]对账明细接口!$H$898=0,"",[2]对账明细接口!$H$898),"")</f>
        <v/>
      </c>
      <c r="I898" s="16" t="str">
        <f>IFERROR(IF([2]对账明细接口!$I$898=0,"",[2]对账明细接口!$I$898),"")</f>
        <v/>
      </c>
      <c r="J898" s="18" t="str">
        <f>IFERROR(IF([2]对账明细接口!$J$898=0,"",[2]对账明细接口!$J$898),"")</f>
        <v/>
      </c>
      <c r="K898" s="18" t="str">
        <f>IFERROR(IF([2]对账明细接口!$K$898=0,"",[2]对账明细接口!$K$898),"")</f>
        <v/>
      </c>
      <c r="L898" s="16" t="str">
        <f>IFERROR(IF([2]对账明细接口!$L$898=0,"",[2]对账明细接口!$L$898),"")</f>
        <v/>
      </c>
      <c r="M898" s="16" t="str">
        <f>IFERROR(IF([2]对账明细接口!$M$898=0,"",[2]对账明细接口!$M$898),"")</f>
        <v/>
      </c>
      <c r="N898" s="19">
        <f t="shared" si="78"/>
        <v>0</v>
      </c>
      <c r="O898" s="19">
        <f t="shared" si="79"/>
        <v>165</v>
      </c>
      <c r="S898" s="20" t="str">
        <f>IFERROR(IF([2]对账明细接口!$N898=0,"",[2]对账明细接口!$N898),"")</f>
        <v/>
      </c>
      <c r="T898" s="21" t="str">
        <f>IFERROR(IF([2]对账明细接口!$O898=0,"",[2]对账明细接口!$O898),"")</f>
        <v/>
      </c>
      <c r="U898" s="21" t="str">
        <f>IFERROR(IF([2]对账明细接口!$P898=0,"",[2]对账明细接口!$P898),"")</f>
        <v/>
      </c>
      <c r="V898" s="21" t="str">
        <f>IFERROR(IF([2]对账明细接口!$Q898=0,"",[2]对账明细接口!$Q898),"")</f>
        <v/>
      </c>
      <c r="W898" s="20" t="str">
        <f>IFERROR(IF([2]对账明细接口!$R898=0,"",[2]对账明细接口!$R898),"")</f>
        <v/>
      </c>
      <c r="X898" s="20" t="str">
        <f>IFERROR(IF([2]对账明细接口!$S898=0,"",[2]对账明细接口!$S898),"")</f>
        <v/>
      </c>
      <c r="Y898" s="20" t="str">
        <f t="shared" si="80"/>
        <v/>
      </c>
      <c r="Z898" s="20" t="str">
        <f t="shared" si="81"/>
        <v/>
      </c>
      <c r="AA898" s="20" t="str">
        <f t="shared" si="82"/>
        <v/>
      </c>
      <c r="AB898" s="20" t="str">
        <f t="shared" si="83"/>
        <v/>
      </c>
    </row>
    <row r="899" customHeight="1" spans="1:28">
      <c r="A899" s="14">
        <v>899</v>
      </c>
      <c r="B899" s="15" t="str">
        <f>IFERROR(IF([2]对账明细接口!$B$899=0,"",[2]对账明细接口!$B$899),"")</f>
        <v/>
      </c>
      <c r="C899" s="16" t="str">
        <f>IFERROR(IF([2]对账明细接口!$C$899=0,"",[2]对账明细接口!$C$899),"")</f>
        <v/>
      </c>
      <c r="D899" s="16" t="str">
        <f>IFERROR(IF([2]对账明细接口!$D$899=0,"",[2]对账明细接口!$D$899),"")</f>
        <v/>
      </c>
      <c r="E899" s="16" t="str">
        <f>IFERROR(IF([2]对账明细接口!$E$899=0,"",[2]对账明细接口!$E$899),"")</f>
        <v/>
      </c>
      <c r="F899" s="16" t="str">
        <f>IFERROR(IF([2]对账明细接口!$F$899=0,"",[2]对账明细接口!$F$899),"")</f>
        <v/>
      </c>
      <c r="G899" s="16" t="str">
        <f>IFERROR(IF([2]对账明细接口!$G$899=0,"",[2]对账明细接口!$G$899),"")</f>
        <v/>
      </c>
      <c r="H899" s="17" t="str">
        <f>IFERROR(IF([2]对账明细接口!$H$899=0,"",[2]对账明细接口!$H$899),"")</f>
        <v/>
      </c>
      <c r="I899" s="16" t="str">
        <f>IFERROR(IF([2]对账明细接口!$I$899=0,"",[2]对账明细接口!$I$899),"")</f>
        <v/>
      </c>
      <c r="J899" s="18" t="str">
        <f>IFERROR(IF([2]对账明细接口!$J$899=0,"",[2]对账明细接口!$J$899),"")</f>
        <v/>
      </c>
      <c r="K899" s="18" t="str">
        <f>IFERROR(IF([2]对账明细接口!$K$899=0,"",[2]对账明细接口!$K$899),"")</f>
        <v/>
      </c>
      <c r="L899" s="16" t="str">
        <f>IFERROR(IF([2]对账明细接口!$L$899=0,"",[2]对账明细接口!$L$899),"")</f>
        <v/>
      </c>
      <c r="M899" s="16" t="str">
        <f>IFERROR(IF([2]对账明细接口!$M$899=0,"",[2]对账明细接口!$M$899),"")</f>
        <v/>
      </c>
      <c r="N899" s="19">
        <f t="shared" si="78"/>
        <v>0</v>
      </c>
      <c r="O899" s="19">
        <f t="shared" si="79"/>
        <v>165</v>
      </c>
      <c r="S899" s="20" t="str">
        <f>IFERROR(IF([2]对账明细接口!$N899=0,"",[2]对账明细接口!$N899),"")</f>
        <v/>
      </c>
      <c r="T899" s="21" t="str">
        <f>IFERROR(IF([2]对账明细接口!$O899=0,"",[2]对账明细接口!$O899),"")</f>
        <v/>
      </c>
      <c r="U899" s="21" t="str">
        <f>IFERROR(IF([2]对账明细接口!$P899=0,"",[2]对账明细接口!$P899),"")</f>
        <v/>
      </c>
      <c r="V899" s="21" t="str">
        <f>IFERROR(IF([2]对账明细接口!$Q899=0,"",[2]对账明细接口!$Q899),"")</f>
        <v/>
      </c>
      <c r="W899" s="20" t="str">
        <f>IFERROR(IF([2]对账明细接口!$R899=0,"",[2]对账明细接口!$R899),"")</f>
        <v/>
      </c>
      <c r="X899" s="20" t="str">
        <f>IFERROR(IF([2]对账明细接口!$S899=0,"",[2]对账明细接口!$S899),"")</f>
        <v/>
      </c>
      <c r="Y899" s="20" t="str">
        <f t="shared" si="80"/>
        <v/>
      </c>
      <c r="Z899" s="20" t="str">
        <f t="shared" si="81"/>
        <v/>
      </c>
      <c r="AA899" s="20" t="str">
        <f t="shared" si="82"/>
        <v/>
      </c>
      <c r="AB899" s="20" t="str">
        <f t="shared" si="83"/>
        <v/>
      </c>
    </row>
    <row r="900" customHeight="1" spans="1:28">
      <c r="A900" s="14">
        <v>900</v>
      </c>
      <c r="B900" s="15" t="str">
        <f>IFERROR(IF([2]对账明细接口!$B$900=0,"",[2]对账明细接口!$B$900),"")</f>
        <v/>
      </c>
      <c r="C900" s="16" t="str">
        <f>IFERROR(IF([2]对账明细接口!$C$900=0,"",[2]对账明细接口!$C$900),"")</f>
        <v/>
      </c>
      <c r="D900" s="16" t="str">
        <f>IFERROR(IF([2]对账明细接口!$D$900=0,"",[2]对账明细接口!$D$900),"")</f>
        <v/>
      </c>
      <c r="E900" s="16" t="str">
        <f>IFERROR(IF([2]对账明细接口!$E$900=0,"",[2]对账明细接口!$E$900),"")</f>
        <v/>
      </c>
      <c r="F900" s="16" t="str">
        <f>IFERROR(IF([2]对账明细接口!$F$900=0,"",[2]对账明细接口!$F$900),"")</f>
        <v/>
      </c>
      <c r="G900" s="16" t="str">
        <f>IFERROR(IF([2]对账明细接口!$G$900=0,"",[2]对账明细接口!$G$900),"")</f>
        <v/>
      </c>
      <c r="H900" s="17" t="str">
        <f>IFERROR(IF([2]对账明细接口!$H$900=0,"",[2]对账明细接口!$H$900),"")</f>
        <v/>
      </c>
      <c r="I900" s="16" t="str">
        <f>IFERROR(IF([2]对账明细接口!$I$900=0,"",[2]对账明细接口!$I$900),"")</f>
        <v/>
      </c>
      <c r="J900" s="18" t="str">
        <f>IFERROR(IF([2]对账明细接口!$J$900=0,"",[2]对账明细接口!$J$900),"")</f>
        <v/>
      </c>
      <c r="K900" s="18" t="str">
        <f>IFERROR(IF([2]对账明细接口!$K$900=0,"",[2]对账明细接口!$K$900),"")</f>
        <v/>
      </c>
      <c r="L900" s="16" t="str">
        <f>IFERROR(IF([2]对账明细接口!$L$900=0,"",[2]对账明细接口!$L$900),"")</f>
        <v/>
      </c>
      <c r="M900" s="16" t="str">
        <f>IFERROR(IF([2]对账明细接口!$M$900=0,"",[2]对账明细接口!$M$900),"")</f>
        <v/>
      </c>
      <c r="N900" s="19">
        <f t="shared" ref="N900:N963" si="84">IF($C900="",0,1)</f>
        <v>0</v>
      </c>
      <c r="O900" s="19">
        <f t="shared" ref="O900:O963" si="85">N(O899)+$N900</f>
        <v>165</v>
      </c>
      <c r="S900" s="20" t="str">
        <f>IFERROR(IF([2]对账明细接口!$N900=0,"",[2]对账明细接口!$N900),"")</f>
        <v/>
      </c>
      <c r="T900" s="21" t="str">
        <f>IFERROR(IF([2]对账明细接口!$O900=0,"",[2]对账明细接口!$O900),"")</f>
        <v/>
      </c>
      <c r="U900" s="21" t="str">
        <f>IFERROR(IF([2]对账明细接口!$P900=0,"",[2]对账明细接口!$P900),"")</f>
        <v/>
      </c>
      <c r="V900" s="21" t="str">
        <f>IFERROR(IF([2]对账明细接口!$Q900=0,"",[2]对账明细接口!$Q900),"")</f>
        <v/>
      </c>
      <c r="W900" s="20" t="str">
        <f>IFERROR(IF([2]对账明细接口!$R900=0,"",[2]对账明细接口!$R900),"")</f>
        <v/>
      </c>
      <c r="X900" s="20" t="str">
        <f>IFERROR(IF([2]对账明细接口!$S900=0,"",[2]对账明细接口!$S900),"")</f>
        <v/>
      </c>
      <c r="Y900" s="20" t="str">
        <f t="shared" ref="Y900:Y963" si="86">""</f>
        <v/>
      </c>
      <c r="Z900" s="20" t="str">
        <f t="shared" ref="Z900:Z963" si="87">""</f>
        <v/>
      </c>
      <c r="AA900" s="20" t="str">
        <f t="shared" ref="AA900:AA963" si="88">""</f>
        <v/>
      </c>
      <c r="AB900" s="20" t="str">
        <f t="shared" ref="AB900:AB963" si="89">""</f>
        <v/>
      </c>
    </row>
    <row r="901" customHeight="1" spans="1:28">
      <c r="A901" s="14">
        <v>901</v>
      </c>
      <c r="B901" s="15" t="str">
        <f>IFERROR(IF([2]对账明细接口!$B$901=0,"",[2]对账明细接口!$B$901),"")</f>
        <v/>
      </c>
      <c r="C901" s="16" t="str">
        <f>IFERROR(IF([2]对账明细接口!$C$901=0,"",[2]对账明细接口!$C$901),"")</f>
        <v/>
      </c>
      <c r="D901" s="16" t="str">
        <f>IFERROR(IF([2]对账明细接口!$D$901=0,"",[2]对账明细接口!$D$901),"")</f>
        <v/>
      </c>
      <c r="E901" s="16" t="str">
        <f>IFERROR(IF([2]对账明细接口!$E$901=0,"",[2]对账明细接口!$E$901),"")</f>
        <v/>
      </c>
      <c r="F901" s="16" t="str">
        <f>IFERROR(IF([2]对账明细接口!$F$901=0,"",[2]对账明细接口!$F$901),"")</f>
        <v/>
      </c>
      <c r="G901" s="16" t="str">
        <f>IFERROR(IF([2]对账明细接口!$G$901=0,"",[2]对账明细接口!$G$901),"")</f>
        <v/>
      </c>
      <c r="H901" s="17" t="str">
        <f>IFERROR(IF([2]对账明细接口!$H$901=0,"",[2]对账明细接口!$H$901),"")</f>
        <v/>
      </c>
      <c r="I901" s="16" t="str">
        <f>IFERROR(IF([2]对账明细接口!$I$901=0,"",[2]对账明细接口!$I$901),"")</f>
        <v/>
      </c>
      <c r="J901" s="18" t="str">
        <f>IFERROR(IF([2]对账明细接口!$J$901=0,"",[2]对账明细接口!$J$901),"")</f>
        <v/>
      </c>
      <c r="K901" s="18" t="str">
        <f>IFERROR(IF([2]对账明细接口!$K$901=0,"",[2]对账明细接口!$K$901),"")</f>
        <v/>
      </c>
      <c r="L901" s="16" t="str">
        <f>IFERROR(IF([2]对账明细接口!$L$901=0,"",[2]对账明细接口!$L$901),"")</f>
        <v/>
      </c>
      <c r="M901" s="16" t="str">
        <f>IFERROR(IF([2]对账明细接口!$M$901=0,"",[2]对账明细接口!$M$901),"")</f>
        <v/>
      </c>
      <c r="N901" s="19">
        <f t="shared" si="84"/>
        <v>0</v>
      </c>
      <c r="O901" s="19">
        <f t="shared" si="85"/>
        <v>165</v>
      </c>
      <c r="S901" s="20" t="str">
        <f>IFERROR(IF([2]对账明细接口!$N901=0,"",[2]对账明细接口!$N901),"")</f>
        <v/>
      </c>
      <c r="T901" s="21" t="str">
        <f>IFERROR(IF([2]对账明细接口!$O901=0,"",[2]对账明细接口!$O901),"")</f>
        <v/>
      </c>
      <c r="U901" s="21" t="str">
        <f>IFERROR(IF([2]对账明细接口!$P901=0,"",[2]对账明细接口!$P901),"")</f>
        <v/>
      </c>
      <c r="V901" s="21" t="str">
        <f>IFERROR(IF([2]对账明细接口!$Q901=0,"",[2]对账明细接口!$Q901),"")</f>
        <v/>
      </c>
      <c r="W901" s="20" t="str">
        <f>IFERROR(IF([2]对账明细接口!$R901=0,"",[2]对账明细接口!$R901),"")</f>
        <v/>
      </c>
      <c r="X901" s="20" t="str">
        <f>IFERROR(IF([2]对账明细接口!$S901=0,"",[2]对账明细接口!$S901),"")</f>
        <v/>
      </c>
      <c r="Y901" s="20" t="str">
        <f t="shared" si="86"/>
        <v/>
      </c>
      <c r="Z901" s="20" t="str">
        <f t="shared" si="87"/>
        <v/>
      </c>
      <c r="AA901" s="20" t="str">
        <f t="shared" si="88"/>
        <v/>
      </c>
      <c r="AB901" s="20" t="str">
        <f t="shared" si="89"/>
        <v/>
      </c>
    </row>
    <row r="902" customHeight="1" spans="1:28">
      <c r="A902" s="14">
        <v>902</v>
      </c>
      <c r="B902" s="15" t="str">
        <f>IFERROR(IF([2]对账明细接口!$B$902=0,"",[2]对账明细接口!$B$902),"")</f>
        <v/>
      </c>
      <c r="C902" s="16" t="str">
        <f>IFERROR(IF([2]对账明细接口!$C$902=0,"",[2]对账明细接口!$C$902),"")</f>
        <v/>
      </c>
      <c r="D902" s="16" t="str">
        <f>IFERROR(IF([2]对账明细接口!$D$902=0,"",[2]对账明细接口!$D$902),"")</f>
        <v/>
      </c>
      <c r="E902" s="16" t="str">
        <f>IFERROR(IF([2]对账明细接口!$E$902=0,"",[2]对账明细接口!$E$902),"")</f>
        <v/>
      </c>
      <c r="F902" s="16" t="str">
        <f>IFERROR(IF([2]对账明细接口!$F$902=0,"",[2]对账明细接口!$F$902),"")</f>
        <v/>
      </c>
      <c r="G902" s="16" t="str">
        <f>IFERROR(IF([2]对账明细接口!$G$902=0,"",[2]对账明细接口!$G$902),"")</f>
        <v/>
      </c>
      <c r="H902" s="17" t="str">
        <f>IFERROR(IF([2]对账明细接口!$H$902=0,"",[2]对账明细接口!$H$902),"")</f>
        <v/>
      </c>
      <c r="I902" s="16" t="str">
        <f>IFERROR(IF([2]对账明细接口!$I$902=0,"",[2]对账明细接口!$I$902),"")</f>
        <v/>
      </c>
      <c r="J902" s="18" t="str">
        <f>IFERROR(IF([2]对账明细接口!$J$902=0,"",[2]对账明细接口!$J$902),"")</f>
        <v/>
      </c>
      <c r="K902" s="18" t="str">
        <f>IFERROR(IF([2]对账明细接口!$K$902=0,"",[2]对账明细接口!$K$902),"")</f>
        <v/>
      </c>
      <c r="L902" s="16" t="str">
        <f>IFERROR(IF([2]对账明细接口!$L$902=0,"",[2]对账明细接口!$L$902),"")</f>
        <v/>
      </c>
      <c r="M902" s="16" t="str">
        <f>IFERROR(IF([2]对账明细接口!$M$902=0,"",[2]对账明细接口!$M$902),"")</f>
        <v/>
      </c>
      <c r="N902" s="19">
        <f t="shared" si="84"/>
        <v>0</v>
      </c>
      <c r="O902" s="19">
        <f t="shared" si="85"/>
        <v>165</v>
      </c>
      <c r="S902" s="20" t="str">
        <f>IFERROR(IF([2]对账明细接口!$N902=0,"",[2]对账明细接口!$N902),"")</f>
        <v/>
      </c>
      <c r="T902" s="21" t="str">
        <f>IFERROR(IF([2]对账明细接口!$O902=0,"",[2]对账明细接口!$O902),"")</f>
        <v/>
      </c>
      <c r="U902" s="21" t="str">
        <f>IFERROR(IF([2]对账明细接口!$P902=0,"",[2]对账明细接口!$P902),"")</f>
        <v/>
      </c>
      <c r="V902" s="21" t="str">
        <f>IFERROR(IF([2]对账明细接口!$Q902=0,"",[2]对账明细接口!$Q902),"")</f>
        <v/>
      </c>
      <c r="W902" s="20" t="str">
        <f>IFERROR(IF([2]对账明细接口!$R902=0,"",[2]对账明细接口!$R902),"")</f>
        <v/>
      </c>
      <c r="X902" s="20" t="str">
        <f>IFERROR(IF([2]对账明细接口!$S902=0,"",[2]对账明细接口!$S902),"")</f>
        <v/>
      </c>
      <c r="Y902" s="20" t="str">
        <f t="shared" si="86"/>
        <v/>
      </c>
      <c r="Z902" s="20" t="str">
        <f t="shared" si="87"/>
        <v/>
      </c>
      <c r="AA902" s="20" t="str">
        <f t="shared" si="88"/>
        <v/>
      </c>
      <c r="AB902" s="20" t="str">
        <f t="shared" si="89"/>
        <v/>
      </c>
    </row>
    <row r="903" customHeight="1" spans="1:28">
      <c r="A903" s="14">
        <v>903</v>
      </c>
      <c r="B903" s="15" t="str">
        <f>IFERROR(IF([2]对账明细接口!$B$903=0,"",[2]对账明细接口!$B$903),"")</f>
        <v/>
      </c>
      <c r="C903" s="16" t="str">
        <f>IFERROR(IF([2]对账明细接口!$C$903=0,"",[2]对账明细接口!$C$903),"")</f>
        <v/>
      </c>
      <c r="D903" s="16" t="str">
        <f>IFERROR(IF([2]对账明细接口!$D$903=0,"",[2]对账明细接口!$D$903),"")</f>
        <v/>
      </c>
      <c r="E903" s="16" t="str">
        <f>IFERROR(IF([2]对账明细接口!$E$903=0,"",[2]对账明细接口!$E$903),"")</f>
        <v/>
      </c>
      <c r="F903" s="16" t="str">
        <f>IFERROR(IF([2]对账明细接口!$F$903=0,"",[2]对账明细接口!$F$903),"")</f>
        <v/>
      </c>
      <c r="G903" s="16" t="str">
        <f>IFERROR(IF([2]对账明细接口!$G$903=0,"",[2]对账明细接口!$G$903),"")</f>
        <v/>
      </c>
      <c r="H903" s="17" t="str">
        <f>IFERROR(IF([2]对账明细接口!$H$903=0,"",[2]对账明细接口!$H$903),"")</f>
        <v/>
      </c>
      <c r="I903" s="16" t="str">
        <f>IFERROR(IF([2]对账明细接口!$I$903=0,"",[2]对账明细接口!$I$903),"")</f>
        <v/>
      </c>
      <c r="J903" s="18" t="str">
        <f>IFERROR(IF([2]对账明细接口!$J$903=0,"",[2]对账明细接口!$J$903),"")</f>
        <v/>
      </c>
      <c r="K903" s="18" t="str">
        <f>IFERROR(IF([2]对账明细接口!$K$903=0,"",[2]对账明细接口!$K$903),"")</f>
        <v/>
      </c>
      <c r="L903" s="16" t="str">
        <f>IFERROR(IF([2]对账明细接口!$L$903=0,"",[2]对账明细接口!$L$903),"")</f>
        <v/>
      </c>
      <c r="M903" s="16" t="str">
        <f>IFERROR(IF([2]对账明细接口!$M$903=0,"",[2]对账明细接口!$M$903),"")</f>
        <v/>
      </c>
      <c r="N903" s="19">
        <f t="shared" si="84"/>
        <v>0</v>
      </c>
      <c r="O903" s="19">
        <f t="shared" si="85"/>
        <v>165</v>
      </c>
      <c r="S903" s="20" t="str">
        <f>IFERROR(IF([2]对账明细接口!$N903=0,"",[2]对账明细接口!$N903),"")</f>
        <v/>
      </c>
      <c r="T903" s="21" t="str">
        <f>IFERROR(IF([2]对账明细接口!$O903=0,"",[2]对账明细接口!$O903),"")</f>
        <v/>
      </c>
      <c r="U903" s="21" t="str">
        <f>IFERROR(IF([2]对账明细接口!$P903=0,"",[2]对账明细接口!$P903),"")</f>
        <v/>
      </c>
      <c r="V903" s="21" t="str">
        <f>IFERROR(IF([2]对账明细接口!$Q903=0,"",[2]对账明细接口!$Q903),"")</f>
        <v/>
      </c>
      <c r="W903" s="20" t="str">
        <f>IFERROR(IF([2]对账明细接口!$R903=0,"",[2]对账明细接口!$R903),"")</f>
        <v/>
      </c>
      <c r="X903" s="20" t="str">
        <f>IFERROR(IF([2]对账明细接口!$S903=0,"",[2]对账明细接口!$S903),"")</f>
        <v/>
      </c>
      <c r="Y903" s="20" t="str">
        <f t="shared" si="86"/>
        <v/>
      </c>
      <c r="Z903" s="20" t="str">
        <f t="shared" si="87"/>
        <v/>
      </c>
      <c r="AA903" s="20" t="str">
        <f t="shared" si="88"/>
        <v/>
      </c>
      <c r="AB903" s="20" t="str">
        <f t="shared" si="89"/>
        <v/>
      </c>
    </row>
    <row r="904" customHeight="1" spans="1:28">
      <c r="A904" s="14">
        <v>904</v>
      </c>
      <c r="B904" s="15" t="str">
        <f>IFERROR(IF([2]对账明细接口!$B$904=0,"",[2]对账明细接口!$B$904),"")</f>
        <v/>
      </c>
      <c r="C904" s="16" t="str">
        <f>IFERROR(IF([2]对账明细接口!$C$904=0,"",[2]对账明细接口!$C$904),"")</f>
        <v/>
      </c>
      <c r="D904" s="16" t="str">
        <f>IFERROR(IF([2]对账明细接口!$D$904=0,"",[2]对账明细接口!$D$904),"")</f>
        <v/>
      </c>
      <c r="E904" s="16" t="str">
        <f>IFERROR(IF([2]对账明细接口!$E$904=0,"",[2]对账明细接口!$E$904),"")</f>
        <v/>
      </c>
      <c r="F904" s="16" t="str">
        <f>IFERROR(IF([2]对账明细接口!$F$904=0,"",[2]对账明细接口!$F$904),"")</f>
        <v/>
      </c>
      <c r="G904" s="16" t="str">
        <f>IFERROR(IF([2]对账明细接口!$G$904=0,"",[2]对账明细接口!$G$904),"")</f>
        <v/>
      </c>
      <c r="H904" s="17" t="str">
        <f>IFERROR(IF([2]对账明细接口!$H$904=0,"",[2]对账明细接口!$H$904),"")</f>
        <v/>
      </c>
      <c r="I904" s="16" t="str">
        <f>IFERROR(IF([2]对账明细接口!$I$904=0,"",[2]对账明细接口!$I$904),"")</f>
        <v/>
      </c>
      <c r="J904" s="18" t="str">
        <f>IFERROR(IF([2]对账明细接口!$J$904=0,"",[2]对账明细接口!$J$904),"")</f>
        <v/>
      </c>
      <c r="K904" s="18" t="str">
        <f>IFERROR(IF([2]对账明细接口!$K$904=0,"",[2]对账明细接口!$K$904),"")</f>
        <v/>
      </c>
      <c r="L904" s="16" t="str">
        <f>IFERROR(IF([2]对账明细接口!$L$904=0,"",[2]对账明细接口!$L$904),"")</f>
        <v/>
      </c>
      <c r="M904" s="16" t="str">
        <f>IFERROR(IF([2]对账明细接口!$M$904=0,"",[2]对账明细接口!$M$904),"")</f>
        <v/>
      </c>
      <c r="N904" s="19">
        <f t="shared" si="84"/>
        <v>0</v>
      </c>
      <c r="O904" s="19">
        <f t="shared" si="85"/>
        <v>165</v>
      </c>
      <c r="S904" s="20" t="str">
        <f>IFERROR(IF([2]对账明细接口!$N904=0,"",[2]对账明细接口!$N904),"")</f>
        <v/>
      </c>
      <c r="T904" s="21" t="str">
        <f>IFERROR(IF([2]对账明细接口!$O904=0,"",[2]对账明细接口!$O904),"")</f>
        <v/>
      </c>
      <c r="U904" s="21" t="str">
        <f>IFERROR(IF([2]对账明细接口!$P904=0,"",[2]对账明细接口!$P904),"")</f>
        <v/>
      </c>
      <c r="V904" s="21" t="str">
        <f>IFERROR(IF([2]对账明细接口!$Q904=0,"",[2]对账明细接口!$Q904),"")</f>
        <v/>
      </c>
      <c r="W904" s="20" t="str">
        <f>IFERROR(IF([2]对账明细接口!$R904=0,"",[2]对账明细接口!$R904),"")</f>
        <v/>
      </c>
      <c r="X904" s="20" t="str">
        <f>IFERROR(IF([2]对账明细接口!$S904=0,"",[2]对账明细接口!$S904),"")</f>
        <v/>
      </c>
      <c r="Y904" s="20" t="str">
        <f t="shared" si="86"/>
        <v/>
      </c>
      <c r="Z904" s="20" t="str">
        <f t="shared" si="87"/>
        <v/>
      </c>
      <c r="AA904" s="20" t="str">
        <f t="shared" si="88"/>
        <v/>
      </c>
      <c r="AB904" s="20" t="str">
        <f t="shared" si="89"/>
        <v/>
      </c>
    </row>
    <row r="905" customHeight="1" spans="1:28">
      <c r="A905" s="14">
        <v>905</v>
      </c>
      <c r="B905" s="15" t="str">
        <f>IFERROR(IF([2]对账明细接口!$B$905=0,"",[2]对账明细接口!$B$905),"")</f>
        <v/>
      </c>
      <c r="C905" s="16" t="str">
        <f>IFERROR(IF([2]对账明细接口!$C$905=0,"",[2]对账明细接口!$C$905),"")</f>
        <v/>
      </c>
      <c r="D905" s="16" t="str">
        <f>IFERROR(IF([2]对账明细接口!$D$905=0,"",[2]对账明细接口!$D$905),"")</f>
        <v/>
      </c>
      <c r="E905" s="16" t="str">
        <f>IFERROR(IF([2]对账明细接口!$E$905=0,"",[2]对账明细接口!$E$905),"")</f>
        <v/>
      </c>
      <c r="F905" s="16" t="str">
        <f>IFERROR(IF([2]对账明细接口!$F$905=0,"",[2]对账明细接口!$F$905),"")</f>
        <v/>
      </c>
      <c r="G905" s="16" t="str">
        <f>IFERROR(IF([2]对账明细接口!$G$905=0,"",[2]对账明细接口!$G$905),"")</f>
        <v/>
      </c>
      <c r="H905" s="17" t="str">
        <f>IFERROR(IF([2]对账明细接口!$H$905=0,"",[2]对账明细接口!$H$905),"")</f>
        <v/>
      </c>
      <c r="I905" s="16" t="str">
        <f>IFERROR(IF([2]对账明细接口!$I$905=0,"",[2]对账明细接口!$I$905),"")</f>
        <v/>
      </c>
      <c r="J905" s="18" t="str">
        <f>IFERROR(IF([2]对账明细接口!$J$905=0,"",[2]对账明细接口!$J$905),"")</f>
        <v/>
      </c>
      <c r="K905" s="18" t="str">
        <f>IFERROR(IF([2]对账明细接口!$K$905=0,"",[2]对账明细接口!$K$905),"")</f>
        <v/>
      </c>
      <c r="L905" s="16" t="str">
        <f>IFERROR(IF([2]对账明细接口!$L$905=0,"",[2]对账明细接口!$L$905),"")</f>
        <v/>
      </c>
      <c r="M905" s="16" t="str">
        <f>IFERROR(IF([2]对账明细接口!$M$905=0,"",[2]对账明细接口!$M$905),"")</f>
        <v/>
      </c>
      <c r="N905" s="19">
        <f t="shared" si="84"/>
        <v>0</v>
      </c>
      <c r="O905" s="19">
        <f t="shared" si="85"/>
        <v>165</v>
      </c>
      <c r="S905" s="20" t="str">
        <f>IFERROR(IF([2]对账明细接口!$N905=0,"",[2]对账明细接口!$N905),"")</f>
        <v/>
      </c>
      <c r="T905" s="21" t="str">
        <f>IFERROR(IF([2]对账明细接口!$O905=0,"",[2]对账明细接口!$O905),"")</f>
        <v/>
      </c>
      <c r="U905" s="21" t="str">
        <f>IFERROR(IF([2]对账明细接口!$P905=0,"",[2]对账明细接口!$P905),"")</f>
        <v/>
      </c>
      <c r="V905" s="21" t="str">
        <f>IFERROR(IF([2]对账明细接口!$Q905=0,"",[2]对账明细接口!$Q905),"")</f>
        <v/>
      </c>
      <c r="W905" s="20" t="str">
        <f>IFERROR(IF([2]对账明细接口!$R905=0,"",[2]对账明细接口!$R905),"")</f>
        <v/>
      </c>
      <c r="X905" s="20" t="str">
        <f>IFERROR(IF([2]对账明细接口!$S905=0,"",[2]对账明细接口!$S905),"")</f>
        <v/>
      </c>
      <c r="Y905" s="20" t="str">
        <f t="shared" si="86"/>
        <v/>
      </c>
      <c r="Z905" s="20" t="str">
        <f t="shared" si="87"/>
        <v/>
      </c>
      <c r="AA905" s="20" t="str">
        <f t="shared" si="88"/>
        <v/>
      </c>
      <c r="AB905" s="20" t="str">
        <f t="shared" si="89"/>
        <v/>
      </c>
    </row>
    <row r="906" customHeight="1" spans="1:28">
      <c r="A906" s="14">
        <v>906</v>
      </c>
      <c r="B906" s="15" t="str">
        <f>IFERROR(IF([2]对账明细接口!$B$906=0,"",[2]对账明细接口!$B$906),"")</f>
        <v/>
      </c>
      <c r="C906" s="16" t="str">
        <f>IFERROR(IF([2]对账明细接口!$C$906=0,"",[2]对账明细接口!$C$906),"")</f>
        <v/>
      </c>
      <c r="D906" s="16" t="str">
        <f>IFERROR(IF([2]对账明细接口!$D$906=0,"",[2]对账明细接口!$D$906),"")</f>
        <v/>
      </c>
      <c r="E906" s="16" t="str">
        <f>IFERROR(IF([2]对账明细接口!$E$906=0,"",[2]对账明细接口!$E$906),"")</f>
        <v/>
      </c>
      <c r="F906" s="16" t="str">
        <f>IFERROR(IF([2]对账明细接口!$F$906=0,"",[2]对账明细接口!$F$906),"")</f>
        <v/>
      </c>
      <c r="G906" s="16" t="str">
        <f>IFERROR(IF([2]对账明细接口!$G$906=0,"",[2]对账明细接口!$G$906),"")</f>
        <v/>
      </c>
      <c r="H906" s="17" t="str">
        <f>IFERROR(IF([2]对账明细接口!$H$906=0,"",[2]对账明细接口!$H$906),"")</f>
        <v/>
      </c>
      <c r="I906" s="16" t="str">
        <f>IFERROR(IF([2]对账明细接口!$I$906=0,"",[2]对账明细接口!$I$906),"")</f>
        <v/>
      </c>
      <c r="J906" s="18" t="str">
        <f>IFERROR(IF([2]对账明细接口!$J$906=0,"",[2]对账明细接口!$J$906),"")</f>
        <v/>
      </c>
      <c r="K906" s="18" t="str">
        <f>IFERROR(IF([2]对账明细接口!$K$906=0,"",[2]对账明细接口!$K$906),"")</f>
        <v/>
      </c>
      <c r="L906" s="16" t="str">
        <f>IFERROR(IF([2]对账明细接口!$L$906=0,"",[2]对账明细接口!$L$906),"")</f>
        <v/>
      </c>
      <c r="M906" s="16" t="str">
        <f>IFERROR(IF([2]对账明细接口!$M$906=0,"",[2]对账明细接口!$M$906),"")</f>
        <v/>
      </c>
      <c r="N906" s="19">
        <f t="shared" si="84"/>
        <v>0</v>
      </c>
      <c r="O906" s="19">
        <f t="shared" si="85"/>
        <v>165</v>
      </c>
      <c r="S906" s="20" t="str">
        <f>IFERROR(IF([2]对账明细接口!$N906=0,"",[2]对账明细接口!$N906),"")</f>
        <v/>
      </c>
      <c r="T906" s="21" t="str">
        <f>IFERROR(IF([2]对账明细接口!$O906=0,"",[2]对账明细接口!$O906),"")</f>
        <v/>
      </c>
      <c r="U906" s="21" t="str">
        <f>IFERROR(IF([2]对账明细接口!$P906=0,"",[2]对账明细接口!$P906),"")</f>
        <v/>
      </c>
      <c r="V906" s="21" t="str">
        <f>IFERROR(IF([2]对账明细接口!$Q906=0,"",[2]对账明细接口!$Q906),"")</f>
        <v/>
      </c>
      <c r="W906" s="20" t="str">
        <f>IFERROR(IF([2]对账明细接口!$R906=0,"",[2]对账明细接口!$R906),"")</f>
        <v/>
      </c>
      <c r="X906" s="20" t="str">
        <f>IFERROR(IF([2]对账明细接口!$S906=0,"",[2]对账明细接口!$S906),"")</f>
        <v/>
      </c>
      <c r="Y906" s="20" t="str">
        <f t="shared" si="86"/>
        <v/>
      </c>
      <c r="Z906" s="20" t="str">
        <f t="shared" si="87"/>
        <v/>
      </c>
      <c r="AA906" s="20" t="str">
        <f t="shared" si="88"/>
        <v/>
      </c>
      <c r="AB906" s="20" t="str">
        <f t="shared" si="89"/>
        <v/>
      </c>
    </row>
    <row r="907" customHeight="1" spans="1:28">
      <c r="A907" s="14">
        <v>907</v>
      </c>
      <c r="B907" s="15" t="str">
        <f>IFERROR(IF([2]对账明细接口!$B$907=0,"",[2]对账明细接口!$B$907),"")</f>
        <v/>
      </c>
      <c r="C907" s="16" t="str">
        <f>IFERROR(IF([2]对账明细接口!$C$907=0,"",[2]对账明细接口!$C$907),"")</f>
        <v/>
      </c>
      <c r="D907" s="16" t="str">
        <f>IFERROR(IF([2]对账明细接口!$D$907=0,"",[2]对账明细接口!$D$907),"")</f>
        <v/>
      </c>
      <c r="E907" s="16" t="str">
        <f>IFERROR(IF([2]对账明细接口!$E$907=0,"",[2]对账明细接口!$E$907),"")</f>
        <v/>
      </c>
      <c r="F907" s="16" t="str">
        <f>IFERROR(IF([2]对账明细接口!$F$907=0,"",[2]对账明细接口!$F$907),"")</f>
        <v/>
      </c>
      <c r="G907" s="16" t="str">
        <f>IFERROR(IF([2]对账明细接口!$G$907=0,"",[2]对账明细接口!$G$907),"")</f>
        <v/>
      </c>
      <c r="H907" s="17" t="str">
        <f>IFERROR(IF([2]对账明细接口!$H$907=0,"",[2]对账明细接口!$H$907),"")</f>
        <v/>
      </c>
      <c r="I907" s="16" t="str">
        <f>IFERROR(IF([2]对账明细接口!$I$907=0,"",[2]对账明细接口!$I$907),"")</f>
        <v/>
      </c>
      <c r="J907" s="18" t="str">
        <f>IFERROR(IF([2]对账明细接口!$J$907=0,"",[2]对账明细接口!$J$907),"")</f>
        <v/>
      </c>
      <c r="K907" s="18" t="str">
        <f>IFERROR(IF([2]对账明细接口!$K$907=0,"",[2]对账明细接口!$K$907),"")</f>
        <v/>
      </c>
      <c r="L907" s="16" t="str">
        <f>IFERROR(IF([2]对账明细接口!$L$907=0,"",[2]对账明细接口!$L$907),"")</f>
        <v/>
      </c>
      <c r="M907" s="16" t="str">
        <f>IFERROR(IF([2]对账明细接口!$M$907=0,"",[2]对账明细接口!$M$907),"")</f>
        <v/>
      </c>
      <c r="N907" s="19">
        <f t="shared" si="84"/>
        <v>0</v>
      </c>
      <c r="O907" s="19">
        <f t="shared" si="85"/>
        <v>165</v>
      </c>
      <c r="S907" s="20" t="str">
        <f>IFERROR(IF([2]对账明细接口!$N907=0,"",[2]对账明细接口!$N907),"")</f>
        <v/>
      </c>
      <c r="T907" s="21" t="str">
        <f>IFERROR(IF([2]对账明细接口!$O907=0,"",[2]对账明细接口!$O907),"")</f>
        <v/>
      </c>
      <c r="U907" s="21" t="str">
        <f>IFERROR(IF([2]对账明细接口!$P907=0,"",[2]对账明细接口!$P907),"")</f>
        <v/>
      </c>
      <c r="V907" s="21" t="str">
        <f>IFERROR(IF([2]对账明细接口!$Q907=0,"",[2]对账明细接口!$Q907),"")</f>
        <v/>
      </c>
      <c r="W907" s="20" t="str">
        <f>IFERROR(IF([2]对账明细接口!$R907=0,"",[2]对账明细接口!$R907),"")</f>
        <v/>
      </c>
      <c r="X907" s="20" t="str">
        <f>IFERROR(IF([2]对账明细接口!$S907=0,"",[2]对账明细接口!$S907),"")</f>
        <v/>
      </c>
      <c r="Y907" s="20" t="str">
        <f t="shared" si="86"/>
        <v/>
      </c>
      <c r="Z907" s="20" t="str">
        <f t="shared" si="87"/>
        <v/>
      </c>
      <c r="AA907" s="20" t="str">
        <f t="shared" si="88"/>
        <v/>
      </c>
      <c r="AB907" s="20" t="str">
        <f t="shared" si="89"/>
        <v/>
      </c>
    </row>
    <row r="908" customHeight="1" spans="1:28">
      <c r="A908" s="14">
        <v>908</v>
      </c>
      <c r="B908" s="15" t="str">
        <f>IFERROR(IF([2]对账明细接口!$B$908=0,"",[2]对账明细接口!$B$908),"")</f>
        <v/>
      </c>
      <c r="C908" s="16" t="str">
        <f>IFERROR(IF([2]对账明细接口!$C$908=0,"",[2]对账明细接口!$C$908),"")</f>
        <v/>
      </c>
      <c r="D908" s="16" t="str">
        <f>IFERROR(IF([2]对账明细接口!$D$908=0,"",[2]对账明细接口!$D$908),"")</f>
        <v/>
      </c>
      <c r="E908" s="16" t="str">
        <f>IFERROR(IF([2]对账明细接口!$E$908=0,"",[2]对账明细接口!$E$908),"")</f>
        <v/>
      </c>
      <c r="F908" s="16" t="str">
        <f>IFERROR(IF([2]对账明细接口!$F$908=0,"",[2]对账明细接口!$F$908),"")</f>
        <v/>
      </c>
      <c r="G908" s="16" t="str">
        <f>IFERROR(IF([2]对账明细接口!$G$908=0,"",[2]对账明细接口!$G$908),"")</f>
        <v/>
      </c>
      <c r="H908" s="17" t="str">
        <f>IFERROR(IF([2]对账明细接口!$H$908=0,"",[2]对账明细接口!$H$908),"")</f>
        <v/>
      </c>
      <c r="I908" s="16" t="str">
        <f>IFERROR(IF([2]对账明细接口!$I$908=0,"",[2]对账明细接口!$I$908),"")</f>
        <v/>
      </c>
      <c r="J908" s="18" t="str">
        <f>IFERROR(IF([2]对账明细接口!$J$908=0,"",[2]对账明细接口!$J$908),"")</f>
        <v/>
      </c>
      <c r="K908" s="18" t="str">
        <f>IFERROR(IF([2]对账明细接口!$K$908=0,"",[2]对账明细接口!$K$908),"")</f>
        <v/>
      </c>
      <c r="L908" s="16" t="str">
        <f>IFERROR(IF([2]对账明细接口!$L$908=0,"",[2]对账明细接口!$L$908),"")</f>
        <v/>
      </c>
      <c r="M908" s="16" t="str">
        <f>IFERROR(IF([2]对账明细接口!$M$908=0,"",[2]对账明细接口!$M$908),"")</f>
        <v/>
      </c>
      <c r="N908" s="19">
        <f t="shared" si="84"/>
        <v>0</v>
      </c>
      <c r="O908" s="19">
        <f t="shared" si="85"/>
        <v>165</v>
      </c>
      <c r="S908" s="20" t="str">
        <f>IFERROR(IF([2]对账明细接口!$N908=0,"",[2]对账明细接口!$N908),"")</f>
        <v/>
      </c>
      <c r="T908" s="21" t="str">
        <f>IFERROR(IF([2]对账明细接口!$O908=0,"",[2]对账明细接口!$O908),"")</f>
        <v/>
      </c>
      <c r="U908" s="21" t="str">
        <f>IFERROR(IF([2]对账明细接口!$P908=0,"",[2]对账明细接口!$P908),"")</f>
        <v/>
      </c>
      <c r="V908" s="21" t="str">
        <f>IFERROR(IF([2]对账明细接口!$Q908=0,"",[2]对账明细接口!$Q908),"")</f>
        <v/>
      </c>
      <c r="W908" s="20" t="str">
        <f>IFERROR(IF([2]对账明细接口!$R908=0,"",[2]对账明细接口!$R908),"")</f>
        <v/>
      </c>
      <c r="X908" s="20" t="str">
        <f>IFERROR(IF([2]对账明细接口!$S908=0,"",[2]对账明细接口!$S908),"")</f>
        <v/>
      </c>
      <c r="Y908" s="20" t="str">
        <f t="shared" si="86"/>
        <v/>
      </c>
      <c r="Z908" s="20" t="str">
        <f t="shared" si="87"/>
        <v/>
      </c>
      <c r="AA908" s="20" t="str">
        <f t="shared" si="88"/>
        <v/>
      </c>
      <c r="AB908" s="20" t="str">
        <f t="shared" si="89"/>
        <v/>
      </c>
    </row>
    <row r="909" customHeight="1" spans="1:28">
      <c r="A909" s="14">
        <v>909</v>
      </c>
      <c r="B909" s="15" t="str">
        <f>IFERROR(IF([2]对账明细接口!$B$909=0,"",[2]对账明细接口!$B$909),"")</f>
        <v/>
      </c>
      <c r="C909" s="16" t="str">
        <f>IFERROR(IF([2]对账明细接口!$C$909=0,"",[2]对账明细接口!$C$909),"")</f>
        <v/>
      </c>
      <c r="D909" s="16" t="str">
        <f>IFERROR(IF([2]对账明细接口!$D$909=0,"",[2]对账明细接口!$D$909),"")</f>
        <v/>
      </c>
      <c r="E909" s="16" t="str">
        <f>IFERROR(IF([2]对账明细接口!$E$909=0,"",[2]对账明细接口!$E$909),"")</f>
        <v/>
      </c>
      <c r="F909" s="16" t="str">
        <f>IFERROR(IF([2]对账明细接口!$F$909=0,"",[2]对账明细接口!$F$909),"")</f>
        <v/>
      </c>
      <c r="G909" s="16" t="str">
        <f>IFERROR(IF([2]对账明细接口!$G$909=0,"",[2]对账明细接口!$G$909),"")</f>
        <v/>
      </c>
      <c r="H909" s="17" t="str">
        <f>IFERROR(IF([2]对账明细接口!$H$909=0,"",[2]对账明细接口!$H$909),"")</f>
        <v/>
      </c>
      <c r="I909" s="16" t="str">
        <f>IFERROR(IF([2]对账明细接口!$I$909=0,"",[2]对账明细接口!$I$909),"")</f>
        <v/>
      </c>
      <c r="J909" s="18" t="str">
        <f>IFERROR(IF([2]对账明细接口!$J$909=0,"",[2]对账明细接口!$J$909),"")</f>
        <v/>
      </c>
      <c r="K909" s="18" t="str">
        <f>IFERROR(IF([2]对账明细接口!$K$909=0,"",[2]对账明细接口!$K$909),"")</f>
        <v/>
      </c>
      <c r="L909" s="16" t="str">
        <f>IFERROR(IF([2]对账明细接口!$L$909=0,"",[2]对账明细接口!$L$909),"")</f>
        <v/>
      </c>
      <c r="M909" s="16" t="str">
        <f>IFERROR(IF([2]对账明细接口!$M$909=0,"",[2]对账明细接口!$M$909),"")</f>
        <v/>
      </c>
      <c r="N909" s="19">
        <f t="shared" si="84"/>
        <v>0</v>
      </c>
      <c r="O909" s="19">
        <f t="shared" si="85"/>
        <v>165</v>
      </c>
      <c r="S909" s="20" t="str">
        <f>IFERROR(IF([2]对账明细接口!$N909=0,"",[2]对账明细接口!$N909),"")</f>
        <v/>
      </c>
      <c r="T909" s="21" t="str">
        <f>IFERROR(IF([2]对账明细接口!$O909=0,"",[2]对账明细接口!$O909),"")</f>
        <v/>
      </c>
      <c r="U909" s="21" t="str">
        <f>IFERROR(IF([2]对账明细接口!$P909=0,"",[2]对账明细接口!$P909),"")</f>
        <v/>
      </c>
      <c r="V909" s="21" t="str">
        <f>IFERROR(IF([2]对账明细接口!$Q909=0,"",[2]对账明细接口!$Q909),"")</f>
        <v/>
      </c>
      <c r="W909" s="20" t="str">
        <f>IFERROR(IF([2]对账明细接口!$R909=0,"",[2]对账明细接口!$R909),"")</f>
        <v/>
      </c>
      <c r="X909" s="20" t="str">
        <f>IFERROR(IF([2]对账明细接口!$S909=0,"",[2]对账明细接口!$S909),"")</f>
        <v/>
      </c>
      <c r="Y909" s="20" t="str">
        <f t="shared" si="86"/>
        <v/>
      </c>
      <c r="Z909" s="20" t="str">
        <f t="shared" si="87"/>
        <v/>
      </c>
      <c r="AA909" s="20" t="str">
        <f t="shared" si="88"/>
        <v/>
      </c>
      <c r="AB909" s="20" t="str">
        <f t="shared" si="89"/>
        <v/>
      </c>
    </row>
    <row r="910" customHeight="1" spans="1:28">
      <c r="A910" s="14">
        <v>910</v>
      </c>
      <c r="B910" s="15" t="str">
        <f>IFERROR(IF([2]对账明细接口!$B$910=0,"",[2]对账明细接口!$B$910),"")</f>
        <v/>
      </c>
      <c r="C910" s="16" t="str">
        <f>IFERROR(IF([2]对账明细接口!$C$910=0,"",[2]对账明细接口!$C$910),"")</f>
        <v/>
      </c>
      <c r="D910" s="16" t="str">
        <f>IFERROR(IF([2]对账明细接口!$D$910=0,"",[2]对账明细接口!$D$910),"")</f>
        <v/>
      </c>
      <c r="E910" s="16" t="str">
        <f>IFERROR(IF([2]对账明细接口!$E$910=0,"",[2]对账明细接口!$E$910),"")</f>
        <v/>
      </c>
      <c r="F910" s="16" t="str">
        <f>IFERROR(IF([2]对账明细接口!$F$910=0,"",[2]对账明细接口!$F$910),"")</f>
        <v/>
      </c>
      <c r="G910" s="16" t="str">
        <f>IFERROR(IF([2]对账明细接口!$G$910=0,"",[2]对账明细接口!$G$910),"")</f>
        <v/>
      </c>
      <c r="H910" s="17" t="str">
        <f>IFERROR(IF([2]对账明细接口!$H$910=0,"",[2]对账明细接口!$H$910),"")</f>
        <v/>
      </c>
      <c r="I910" s="16" t="str">
        <f>IFERROR(IF([2]对账明细接口!$I$910=0,"",[2]对账明细接口!$I$910),"")</f>
        <v/>
      </c>
      <c r="J910" s="18" t="str">
        <f>IFERROR(IF([2]对账明细接口!$J$910=0,"",[2]对账明细接口!$J$910),"")</f>
        <v/>
      </c>
      <c r="K910" s="18" t="str">
        <f>IFERROR(IF([2]对账明细接口!$K$910=0,"",[2]对账明细接口!$K$910),"")</f>
        <v/>
      </c>
      <c r="L910" s="16" t="str">
        <f>IFERROR(IF([2]对账明细接口!$L$910=0,"",[2]对账明细接口!$L$910),"")</f>
        <v/>
      </c>
      <c r="M910" s="16" t="str">
        <f>IFERROR(IF([2]对账明细接口!$M$910=0,"",[2]对账明细接口!$M$910),"")</f>
        <v/>
      </c>
      <c r="N910" s="19">
        <f t="shared" si="84"/>
        <v>0</v>
      </c>
      <c r="O910" s="19">
        <f t="shared" si="85"/>
        <v>165</v>
      </c>
      <c r="S910" s="20" t="str">
        <f>IFERROR(IF([2]对账明细接口!$N910=0,"",[2]对账明细接口!$N910),"")</f>
        <v/>
      </c>
      <c r="T910" s="21" t="str">
        <f>IFERROR(IF([2]对账明细接口!$O910=0,"",[2]对账明细接口!$O910),"")</f>
        <v/>
      </c>
      <c r="U910" s="21" t="str">
        <f>IFERROR(IF([2]对账明细接口!$P910=0,"",[2]对账明细接口!$P910),"")</f>
        <v/>
      </c>
      <c r="V910" s="21" t="str">
        <f>IFERROR(IF([2]对账明细接口!$Q910=0,"",[2]对账明细接口!$Q910),"")</f>
        <v/>
      </c>
      <c r="W910" s="20" t="str">
        <f>IFERROR(IF([2]对账明细接口!$R910=0,"",[2]对账明细接口!$R910),"")</f>
        <v/>
      </c>
      <c r="X910" s="20" t="str">
        <f>IFERROR(IF([2]对账明细接口!$S910=0,"",[2]对账明细接口!$S910),"")</f>
        <v/>
      </c>
      <c r="Y910" s="20" t="str">
        <f t="shared" si="86"/>
        <v/>
      </c>
      <c r="Z910" s="20" t="str">
        <f t="shared" si="87"/>
        <v/>
      </c>
      <c r="AA910" s="20" t="str">
        <f t="shared" si="88"/>
        <v/>
      </c>
      <c r="AB910" s="20" t="str">
        <f t="shared" si="89"/>
        <v/>
      </c>
    </row>
    <row r="911" customHeight="1" spans="1:28">
      <c r="A911" s="14">
        <v>911</v>
      </c>
      <c r="B911" s="15" t="str">
        <f>IFERROR(IF([2]对账明细接口!$B$911=0,"",[2]对账明细接口!$B$911),"")</f>
        <v/>
      </c>
      <c r="C911" s="16" t="str">
        <f>IFERROR(IF([2]对账明细接口!$C$911=0,"",[2]对账明细接口!$C$911),"")</f>
        <v/>
      </c>
      <c r="D911" s="16" t="str">
        <f>IFERROR(IF([2]对账明细接口!$D$911=0,"",[2]对账明细接口!$D$911),"")</f>
        <v/>
      </c>
      <c r="E911" s="16" t="str">
        <f>IFERROR(IF([2]对账明细接口!$E$911=0,"",[2]对账明细接口!$E$911),"")</f>
        <v/>
      </c>
      <c r="F911" s="16" t="str">
        <f>IFERROR(IF([2]对账明细接口!$F$911=0,"",[2]对账明细接口!$F$911),"")</f>
        <v/>
      </c>
      <c r="G911" s="16" t="str">
        <f>IFERROR(IF([2]对账明细接口!$G$911=0,"",[2]对账明细接口!$G$911),"")</f>
        <v/>
      </c>
      <c r="H911" s="17" t="str">
        <f>IFERROR(IF([2]对账明细接口!$H$911=0,"",[2]对账明细接口!$H$911),"")</f>
        <v/>
      </c>
      <c r="I911" s="16" t="str">
        <f>IFERROR(IF([2]对账明细接口!$I$911=0,"",[2]对账明细接口!$I$911),"")</f>
        <v/>
      </c>
      <c r="J911" s="18" t="str">
        <f>IFERROR(IF([2]对账明细接口!$J$911=0,"",[2]对账明细接口!$J$911),"")</f>
        <v/>
      </c>
      <c r="K911" s="18" t="str">
        <f>IFERROR(IF([2]对账明细接口!$K$911=0,"",[2]对账明细接口!$K$911),"")</f>
        <v/>
      </c>
      <c r="L911" s="16" t="str">
        <f>IFERROR(IF([2]对账明细接口!$L$911=0,"",[2]对账明细接口!$L$911),"")</f>
        <v/>
      </c>
      <c r="M911" s="16" t="str">
        <f>IFERROR(IF([2]对账明细接口!$M$911=0,"",[2]对账明细接口!$M$911),"")</f>
        <v/>
      </c>
      <c r="N911" s="19">
        <f t="shared" si="84"/>
        <v>0</v>
      </c>
      <c r="O911" s="19">
        <f t="shared" si="85"/>
        <v>165</v>
      </c>
      <c r="S911" s="20" t="str">
        <f>IFERROR(IF([2]对账明细接口!$N911=0,"",[2]对账明细接口!$N911),"")</f>
        <v/>
      </c>
      <c r="T911" s="21" t="str">
        <f>IFERROR(IF([2]对账明细接口!$O911=0,"",[2]对账明细接口!$O911),"")</f>
        <v/>
      </c>
      <c r="U911" s="21" t="str">
        <f>IFERROR(IF([2]对账明细接口!$P911=0,"",[2]对账明细接口!$P911),"")</f>
        <v/>
      </c>
      <c r="V911" s="21" t="str">
        <f>IFERROR(IF([2]对账明细接口!$Q911=0,"",[2]对账明细接口!$Q911),"")</f>
        <v/>
      </c>
      <c r="W911" s="20" t="str">
        <f>IFERROR(IF([2]对账明细接口!$R911=0,"",[2]对账明细接口!$R911),"")</f>
        <v/>
      </c>
      <c r="X911" s="20" t="str">
        <f>IFERROR(IF([2]对账明细接口!$S911=0,"",[2]对账明细接口!$S911),"")</f>
        <v/>
      </c>
      <c r="Y911" s="20" t="str">
        <f t="shared" si="86"/>
        <v/>
      </c>
      <c r="Z911" s="20" t="str">
        <f t="shared" si="87"/>
        <v/>
      </c>
      <c r="AA911" s="20" t="str">
        <f t="shared" si="88"/>
        <v/>
      </c>
      <c r="AB911" s="20" t="str">
        <f t="shared" si="89"/>
        <v/>
      </c>
    </row>
    <row r="912" customHeight="1" spans="1:28">
      <c r="A912" s="14">
        <v>912</v>
      </c>
      <c r="B912" s="15" t="str">
        <f>IFERROR(IF([2]对账明细接口!$B$912=0,"",[2]对账明细接口!$B$912),"")</f>
        <v/>
      </c>
      <c r="C912" s="16" t="str">
        <f>IFERROR(IF([2]对账明细接口!$C$912=0,"",[2]对账明细接口!$C$912),"")</f>
        <v/>
      </c>
      <c r="D912" s="16" t="str">
        <f>IFERROR(IF([2]对账明细接口!$D$912=0,"",[2]对账明细接口!$D$912),"")</f>
        <v/>
      </c>
      <c r="E912" s="16" t="str">
        <f>IFERROR(IF([2]对账明细接口!$E$912=0,"",[2]对账明细接口!$E$912),"")</f>
        <v/>
      </c>
      <c r="F912" s="16" t="str">
        <f>IFERROR(IF([2]对账明细接口!$F$912=0,"",[2]对账明细接口!$F$912),"")</f>
        <v/>
      </c>
      <c r="G912" s="16" t="str">
        <f>IFERROR(IF([2]对账明细接口!$G$912=0,"",[2]对账明细接口!$G$912),"")</f>
        <v/>
      </c>
      <c r="H912" s="17" t="str">
        <f>IFERROR(IF([2]对账明细接口!$H$912=0,"",[2]对账明细接口!$H$912),"")</f>
        <v/>
      </c>
      <c r="I912" s="16" t="str">
        <f>IFERROR(IF([2]对账明细接口!$I$912=0,"",[2]对账明细接口!$I$912),"")</f>
        <v/>
      </c>
      <c r="J912" s="18" t="str">
        <f>IFERROR(IF([2]对账明细接口!$J$912=0,"",[2]对账明细接口!$J$912),"")</f>
        <v/>
      </c>
      <c r="K912" s="18" t="str">
        <f>IFERROR(IF([2]对账明细接口!$K$912=0,"",[2]对账明细接口!$K$912),"")</f>
        <v/>
      </c>
      <c r="L912" s="16" t="str">
        <f>IFERROR(IF([2]对账明细接口!$L$912=0,"",[2]对账明细接口!$L$912),"")</f>
        <v/>
      </c>
      <c r="M912" s="16" t="str">
        <f>IFERROR(IF([2]对账明细接口!$M$912=0,"",[2]对账明细接口!$M$912),"")</f>
        <v/>
      </c>
      <c r="N912" s="19">
        <f t="shared" si="84"/>
        <v>0</v>
      </c>
      <c r="O912" s="19">
        <f t="shared" si="85"/>
        <v>165</v>
      </c>
      <c r="S912" s="20" t="str">
        <f>IFERROR(IF([2]对账明细接口!$N912=0,"",[2]对账明细接口!$N912),"")</f>
        <v/>
      </c>
      <c r="T912" s="21" t="str">
        <f>IFERROR(IF([2]对账明细接口!$O912=0,"",[2]对账明细接口!$O912),"")</f>
        <v/>
      </c>
      <c r="U912" s="21" t="str">
        <f>IFERROR(IF([2]对账明细接口!$P912=0,"",[2]对账明细接口!$P912),"")</f>
        <v/>
      </c>
      <c r="V912" s="21" t="str">
        <f>IFERROR(IF([2]对账明细接口!$Q912=0,"",[2]对账明细接口!$Q912),"")</f>
        <v/>
      </c>
      <c r="W912" s="20" t="str">
        <f>IFERROR(IF([2]对账明细接口!$R912=0,"",[2]对账明细接口!$R912),"")</f>
        <v/>
      </c>
      <c r="X912" s="20" t="str">
        <f>IFERROR(IF([2]对账明细接口!$S912=0,"",[2]对账明细接口!$S912),"")</f>
        <v/>
      </c>
      <c r="Y912" s="20" t="str">
        <f t="shared" si="86"/>
        <v/>
      </c>
      <c r="Z912" s="20" t="str">
        <f t="shared" si="87"/>
        <v/>
      </c>
      <c r="AA912" s="20" t="str">
        <f t="shared" si="88"/>
        <v/>
      </c>
      <c r="AB912" s="20" t="str">
        <f t="shared" si="89"/>
        <v/>
      </c>
    </row>
    <row r="913" customHeight="1" spans="1:28">
      <c r="A913" s="14">
        <v>913</v>
      </c>
      <c r="B913" s="15" t="str">
        <f>IFERROR(IF([2]对账明细接口!$B$913=0,"",[2]对账明细接口!$B$913),"")</f>
        <v/>
      </c>
      <c r="C913" s="16" t="str">
        <f>IFERROR(IF([2]对账明细接口!$C$913=0,"",[2]对账明细接口!$C$913),"")</f>
        <v/>
      </c>
      <c r="D913" s="16" t="str">
        <f>IFERROR(IF([2]对账明细接口!$D$913=0,"",[2]对账明细接口!$D$913),"")</f>
        <v/>
      </c>
      <c r="E913" s="16" t="str">
        <f>IFERROR(IF([2]对账明细接口!$E$913=0,"",[2]对账明细接口!$E$913),"")</f>
        <v/>
      </c>
      <c r="F913" s="16" t="str">
        <f>IFERROR(IF([2]对账明细接口!$F$913=0,"",[2]对账明细接口!$F$913),"")</f>
        <v/>
      </c>
      <c r="G913" s="16" t="str">
        <f>IFERROR(IF([2]对账明细接口!$G$913=0,"",[2]对账明细接口!$G$913),"")</f>
        <v/>
      </c>
      <c r="H913" s="17" t="str">
        <f>IFERROR(IF([2]对账明细接口!$H$913=0,"",[2]对账明细接口!$H$913),"")</f>
        <v/>
      </c>
      <c r="I913" s="16" t="str">
        <f>IFERROR(IF([2]对账明细接口!$I$913=0,"",[2]对账明细接口!$I$913),"")</f>
        <v/>
      </c>
      <c r="J913" s="18" t="str">
        <f>IFERROR(IF([2]对账明细接口!$J$913=0,"",[2]对账明细接口!$J$913),"")</f>
        <v/>
      </c>
      <c r="K913" s="18" t="str">
        <f>IFERROR(IF([2]对账明细接口!$K$913=0,"",[2]对账明细接口!$K$913),"")</f>
        <v/>
      </c>
      <c r="L913" s="16" t="str">
        <f>IFERROR(IF([2]对账明细接口!$L$913=0,"",[2]对账明细接口!$L$913),"")</f>
        <v/>
      </c>
      <c r="M913" s="16" t="str">
        <f>IFERROR(IF([2]对账明细接口!$M$913=0,"",[2]对账明细接口!$M$913),"")</f>
        <v/>
      </c>
      <c r="N913" s="19">
        <f t="shared" si="84"/>
        <v>0</v>
      </c>
      <c r="O913" s="19">
        <f t="shared" si="85"/>
        <v>165</v>
      </c>
      <c r="S913" s="20" t="str">
        <f>IFERROR(IF([2]对账明细接口!$N913=0,"",[2]对账明细接口!$N913),"")</f>
        <v/>
      </c>
      <c r="T913" s="21" t="str">
        <f>IFERROR(IF([2]对账明细接口!$O913=0,"",[2]对账明细接口!$O913),"")</f>
        <v/>
      </c>
      <c r="U913" s="21" t="str">
        <f>IFERROR(IF([2]对账明细接口!$P913=0,"",[2]对账明细接口!$P913),"")</f>
        <v/>
      </c>
      <c r="V913" s="21" t="str">
        <f>IFERROR(IF([2]对账明细接口!$Q913=0,"",[2]对账明细接口!$Q913),"")</f>
        <v/>
      </c>
      <c r="W913" s="20" t="str">
        <f>IFERROR(IF([2]对账明细接口!$R913=0,"",[2]对账明细接口!$R913),"")</f>
        <v/>
      </c>
      <c r="X913" s="20" t="str">
        <f>IFERROR(IF([2]对账明细接口!$S913=0,"",[2]对账明细接口!$S913),"")</f>
        <v/>
      </c>
      <c r="Y913" s="20" t="str">
        <f t="shared" si="86"/>
        <v/>
      </c>
      <c r="Z913" s="20" t="str">
        <f t="shared" si="87"/>
        <v/>
      </c>
      <c r="AA913" s="20" t="str">
        <f t="shared" si="88"/>
        <v/>
      </c>
      <c r="AB913" s="20" t="str">
        <f t="shared" si="89"/>
        <v/>
      </c>
    </row>
    <row r="914" customHeight="1" spans="1:28">
      <c r="A914" s="14">
        <v>914</v>
      </c>
      <c r="B914" s="15" t="str">
        <f>IFERROR(IF([2]对账明细接口!$B$914=0,"",[2]对账明细接口!$B$914),"")</f>
        <v/>
      </c>
      <c r="C914" s="16" t="str">
        <f>IFERROR(IF([2]对账明细接口!$C$914=0,"",[2]对账明细接口!$C$914),"")</f>
        <v/>
      </c>
      <c r="D914" s="16" t="str">
        <f>IFERROR(IF([2]对账明细接口!$D$914=0,"",[2]对账明细接口!$D$914),"")</f>
        <v/>
      </c>
      <c r="E914" s="16" t="str">
        <f>IFERROR(IF([2]对账明细接口!$E$914=0,"",[2]对账明细接口!$E$914),"")</f>
        <v/>
      </c>
      <c r="F914" s="16" t="str">
        <f>IFERROR(IF([2]对账明细接口!$F$914=0,"",[2]对账明细接口!$F$914),"")</f>
        <v/>
      </c>
      <c r="G914" s="16" t="str">
        <f>IFERROR(IF([2]对账明细接口!$G$914=0,"",[2]对账明细接口!$G$914),"")</f>
        <v/>
      </c>
      <c r="H914" s="17" t="str">
        <f>IFERROR(IF([2]对账明细接口!$H$914=0,"",[2]对账明细接口!$H$914),"")</f>
        <v/>
      </c>
      <c r="I914" s="16" t="str">
        <f>IFERROR(IF([2]对账明细接口!$I$914=0,"",[2]对账明细接口!$I$914),"")</f>
        <v/>
      </c>
      <c r="J914" s="18" t="str">
        <f>IFERROR(IF([2]对账明细接口!$J$914=0,"",[2]对账明细接口!$J$914),"")</f>
        <v/>
      </c>
      <c r="K914" s="18" t="str">
        <f>IFERROR(IF([2]对账明细接口!$K$914=0,"",[2]对账明细接口!$K$914),"")</f>
        <v/>
      </c>
      <c r="L914" s="16" t="str">
        <f>IFERROR(IF([2]对账明细接口!$L$914=0,"",[2]对账明细接口!$L$914),"")</f>
        <v/>
      </c>
      <c r="M914" s="16" t="str">
        <f>IFERROR(IF([2]对账明细接口!$M$914=0,"",[2]对账明细接口!$M$914),"")</f>
        <v/>
      </c>
      <c r="N914" s="19">
        <f t="shared" si="84"/>
        <v>0</v>
      </c>
      <c r="O914" s="19">
        <f t="shared" si="85"/>
        <v>165</v>
      </c>
      <c r="S914" s="20" t="str">
        <f>IFERROR(IF([2]对账明细接口!$N914=0,"",[2]对账明细接口!$N914),"")</f>
        <v/>
      </c>
      <c r="T914" s="21" t="str">
        <f>IFERROR(IF([2]对账明细接口!$O914=0,"",[2]对账明细接口!$O914),"")</f>
        <v/>
      </c>
      <c r="U914" s="21" t="str">
        <f>IFERROR(IF([2]对账明细接口!$P914=0,"",[2]对账明细接口!$P914),"")</f>
        <v/>
      </c>
      <c r="V914" s="21" t="str">
        <f>IFERROR(IF([2]对账明细接口!$Q914=0,"",[2]对账明细接口!$Q914),"")</f>
        <v/>
      </c>
      <c r="W914" s="20" t="str">
        <f>IFERROR(IF([2]对账明细接口!$R914=0,"",[2]对账明细接口!$R914),"")</f>
        <v/>
      </c>
      <c r="X914" s="20" t="str">
        <f>IFERROR(IF([2]对账明细接口!$S914=0,"",[2]对账明细接口!$S914),"")</f>
        <v/>
      </c>
      <c r="Y914" s="20" t="str">
        <f t="shared" si="86"/>
        <v/>
      </c>
      <c r="Z914" s="20" t="str">
        <f t="shared" si="87"/>
        <v/>
      </c>
      <c r="AA914" s="20" t="str">
        <f t="shared" si="88"/>
        <v/>
      </c>
      <c r="AB914" s="20" t="str">
        <f t="shared" si="89"/>
        <v/>
      </c>
    </row>
    <row r="915" customHeight="1" spans="1:28">
      <c r="A915" s="14">
        <v>915</v>
      </c>
      <c r="B915" s="15" t="str">
        <f>IFERROR(IF([2]对账明细接口!$B$915=0,"",[2]对账明细接口!$B$915),"")</f>
        <v/>
      </c>
      <c r="C915" s="16" t="str">
        <f>IFERROR(IF([2]对账明细接口!$C$915=0,"",[2]对账明细接口!$C$915),"")</f>
        <v/>
      </c>
      <c r="D915" s="16" t="str">
        <f>IFERROR(IF([2]对账明细接口!$D$915=0,"",[2]对账明细接口!$D$915),"")</f>
        <v/>
      </c>
      <c r="E915" s="16" t="str">
        <f>IFERROR(IF([2]对账明细接口!$E$915=0,"",[2]对账明细接口!$E$915),"")</f>
        <v/>
      </c>
      <c r="F915" s="16" t="str">
        <f>IFERROR(IF([2]对账明细接口!$F$915=0,"",[2]对账明细接口!$F$915),"")</f>
        <v/>
      </c>
      <c r="G915" s="16" t="str">
        <f>IFERROR(IF([2]对账明细接口!$G$915=0,"",[2]对账明细接口!$G$915),"")</f>
        <v/>
      </c>
      <c r="H915" s="17" t="str">
        <f>IFERROR(IF([2]对账明细接口!$H$915=0,"",[2]对账明细接口!$H$915),"")</f>
        <v/>
      </c>
      <c r="I915" s="16" t="str">
        <f>IFERROR(IF([2]对账明细接口!$I$915=0,"",[2]对账明细接口!$I$915),"")</f>
        <v/>
      </c>
      <c r="J915" s="18" t="str">
        <f>IFERROR(IF([2]对账明细接口!$J$915=0,"",[2]对账明细接口!$J$915),"")</f>
        <v/>
      </c>
      <c r="K915" s="18" t="str">
        <f>IFERROR(IF([2]对账明细接口!$K$915=0,"",[2]对账明细接口!$K$915),"")</f>
        <v/>
      </c>
      <c r="L915" s="16" t="str">
        <f>IFERROR(IF([2]对账明细接口!$L$915=0,"",[2]对账明细接口!$L$915),"")</f>
        <v/>
      </c>
      <c r="M915" s="16" t="str">
        <f>IFERROR(IF([2]对账明细接口!$M$915=0,"",[2]对账明细接口!$M$915),"")</f>
        <v/>
      </c>
      <c r="N915" s="19">
        <f t="shared" si="84"/>
        <v>0</v>
      </c>
      <c r="O915" s="19">
        <f t="shared" si="85"/>
        <v>165</v>
      </c>
      <c r="S915" s="20" t="str">
        <f>IFERROR(IF([2]对账明细接口!$N915=0,"",[2]对账明细接口!$N915),"")</f>
        <v/>
      </c>
      <c r="T915" s="21" t="str">
        <f>IFERROR(IF([2]对账明细接口!$O915=0,"",[2]对账明细接口!$O915),"")</f>
        <v/>
      </c>
      <c r="U915" s="21" t="str">
        <f>IFERROR(IF([2]对账明细接口!$P915=0,"",[2]对账明细接口!$P915),"")</f>
        <v/>
      </c>
      <c r="V915" s="21" t="str">
        <f>IFERROR(IF([2]对账明细接口!$Q915=0,"",[2]对账明细接口!$Q915),"")</f>
        <v/>
      </c>
      <c r="W915" s="20" t="str">
        <f>IFERROR(IF([2]对账明细接口!$R915=0,"",[2]对账明细接口!$R915),"")</f>
        <v/>
      </c>
      <c r="X915" s="20" t="str">
        <f>IFERROR(IF([2]对账明细接口!$S915=0,"",[2]对账明细接口!$S915),"")</f>
        <v/>
      </c>
      <c r="Y915" s="20" t="str">
        <f t="shared" si="86"/>
        <v/>
      </c>
      <c r="Z915" s="20" t="str">
        <f t="shared" si="87"/>
        <v/>
      </c>
      <c r="AA915" s="20" t="str">
        <f t="shared" si="88"/>
        <v/>
      </c>
      <c r="AB915" s="20" t="str">
        <f t="shared" si="89"/>
        <v/>
      </c>
    </row>
    <row r="916" customHeight="1" spans="1:28">
      <c r="A916" s="14">
        <v>916</v>
      </c>
      <c r="B916" s="15" t="str">
        <f>IFERROR(IF([2]对账明细接口!$B$916=0,"",[2]对账明细接口!$B$916),"")</f>
        <v/>
      </c>
      <c r="C916" s="16" t="str">
        <f>IFERROR(IF([2]对账明细接口!$C$916=0,"",[2]对账明细接口!$C$916),"")</f>
        <v/>
      </c>
      <c r="D916" s="16" t="str">
        <f>IFERROR(IF([2]对账明细接口!$D$916=0,"",[2]对账明细接口!$D$916),"")</f>
        <v/>
      </c>
      <c r="E916" s="16" t="str">
        <f>IFERROR(IF([2]对账明细接口!$E$916=0,"",[2]对账明细接口!$E$916),"")</f>
        <v/>
      </c>
      <c r="F916" s="16" t="str">
        <f>IFERROR(IF([2]对账明细接口!$F$916=0,"",[2]对账明细接口!$F$916),"")</f>
        <v/>
      </c>
      <c r="G916" s="16" t="str">
        <f>IFERROR(IF([2]对账明细接口!$G$916=0,"",[2]对账明细接口!$G$916),"")</f>
        <v/>
      </c>
      <c r="H916" s="17" t="str">
        <f>IFERROR(IF([2]对账明细接口!$H$916=0,"",[2]对账明细接口!$H$916),"")</f>
        <v/>
      </c>
      <c r="I916" s="16" t="str">
        <f>IFERROR(IF([2]对账明细接口!$I$916=0,"",[2]对账明细接口!$I$916),"")</f>
        <v/>
      </c>
      <c r="J916" s="18" t="str">
        <f>IFERROR(IF([2]对账明细接口!$J$916=0,"",[2]对账明细接口!$J$916),"")</f>
        <v/>
      </c>
      <c r="K916" s="18" t="str">
        <f>IFERROR(IF([2]对账明细接口!$K$916=0,"",[2]对账明细接口!$K$916),"")</f>
        <v/>
      </c>
      <c r="L916" s="16" t="str">
        <f>IFERROR(IF([2]对账明细接口!$L$916=0,"",[2]对账明细接口!$L$916),"")</f>
        <v/>
      </c>
      <c r="M916" s="16" t="str">
        <f>IFERROR(IF([2]对账明细接口!$M$916=0,"",[2]对账明细接口!$M$916),"")</f>
        <v/>
      </c>
      <c r="N916" s="19">
        <f t="shared" si="84"/>
        <v>0</v>
      </c>
      <c r="O916" s="19">
        <f t="shared" si="85"/>
        <v>165</v>
      </c>
      <c r="S916" s="20" t="str">
        <f>IFERROR(IF([2]对账明细接口!$N916=0,"",[2]对账明细接口!$N916),"")</f>
        <v/>
      </c>
      <c r="T916" s="21" t="str">
        <f>IFERROR(IF([2]对账明细接口!$O916=0,"",[2]对账明细接口!$O916),"")</f>
        <v/>
      </c>
      <c r="U916" s="21" t="str">
        <f>IFERROR(IF([2]对账明细接口!$P916=0,"",[2]对账明细接口!$P916),"")</f>
        <v/>
      </c>
      <c r="V916" s="21" t="str">
        <f>IFERROR(IF([2]对账明细接口!$Q916=0,"",[2]对账明细接口!$Q916),"")</f>
        <v/>
      </c>
      <c r="W916" s="20" t="str">
        <f>IFERROR(IF([2]对账明细接口!$R916=0,"",[2]对账明细接口!$R916),"")</f>
        <v/>
      </c>
      <c r="X916" s="20" t="str">
        <f>IFERROR(IF([2]对账明细接口!$S916=0,"",[2]对账明细接口!$S916),"")</f>
        <v/>
      </c>
      <c r="Y916" s="20" t="str">
        <f t="shared" si="86"/>
        <v/>
      </c>
      <c r="Z916" s="20" t="str">
        <f t="shared" si="87"/>
        <v/>
      </c>
      <c r="AA916" s="20" t="str">
        <f t="shared" si="88"/>
        <v/>
      </c>
      <c r="AB916" s="20" t="str">
        <f t="shared" si="89"/>
        <v/>
      </c>
    </row>
    <row r="917" customHeight="1" spans="1:28">
      <c r="A917" s="14">
        <v>917</v>
      </c>
      <c r="B917" s="15" t="str">
        <f>IFERROR(IF([2]对账明细接口!$B$917=0,"",[2]对账明细接口!$B$917),"")</f>
        <v/>
      </c>
      <c r="C917" s="16" t="str">
        <f>IFERROR(IF([2]对账明细接口!$C$917=0,"",[2]对账明细接口!$C$917),"")</f>
        <v/>
      </c>
      <c r="D917" s="16" t="str">
        <f>IFERROR(IF([2]对账明细接口!$D$917=0,"",[2]对账明细接口!$D$917),"")</f>
        <v/>
      </c>
      <c r="E917" s="16" t="str">
        <f>IFERROR(IF([2]对账明细接口!$E$917=0,"",[2]对账明细接口!$E$917),"")</f>
        <v/>
      </c>
      <c r="F917" s="16" t="str">
        <f>IFERROR(IF([2]对账明细接口!$F$917=0,"",[2]对账明细接口!$F$917),"")</f>
        <v/>
      </c>
      <c r="G917" s="16" t="str">
        <f>IFERROR(IF([2]对账明细接口!$G$917=0,"",[2]对账明细接口!$G$917),"")</f>
        <v/>
      </c>
      <c r="H917" s="17" t="str">
        <f>IFERROR(IF([2]对账明细接口!$H$917=0,"",[2]对账明细接口!$H$917),"")</f>
        <v/>
      </c>
      <c r="I917" s="16" t="str">
        <f>IFERROR(IF([2]对账明细接口!$I$917=0,"",[2]对账明细接口!$I$917),"")</f>
        <v/>
      </c>
      <c r="J917" s="18" t="str">
        <f>IFERROR(IF([2]对账明细接口!$J$917=0,"",[2]对账明细接口!$J$917),"")</f>
        <v/>
      </c>
      <c r="K917" s="18" t="str">
        <f>IFERROR(IF([2]对账明细接口!$K$917=0,"",[2]对账明细接口!$K$917),"")</f>
        <v/>
      </c>
      <c r="L917" s="16" t="str">
        <f>IFERROR(IF([2]对账明细接口!$L$917=0,"",[2]对账明细接口!$L$917),"")</f>
        <v/>
      </c>
      <c r="M917" s="16" t="str">
        <f>IFERROR(IF([2]对账明细接口!$M$917=0,"",[2]对账明细接口!$M$917),"")</f>
        <v/>
      </c>
      <c r="N917" s="19">
        <f t="shared" si="84"/>
        <v>0</v>
      </c>
      <c r="O917" s="19">
        <f t="shared" si="85"/>
        <v>165</v>
      </c>
      <c r="S917" s="20" t="str">
        <f>IFERROR(IF([2]对账明细接口!$N917=0,"",[2]对账明细接口!$N917),"")</f>
        <v/>
      </c>
      <c r="T917" s="21" t="str">
        <f>IFERROR(IF([2]对账明细接口!$O917=0,"",[2]对账明细接口!$O917),"")</f>
        <v/>
      </c>
      <c r="U917" s="21" t="str">
        <f>IFERROR(IF([2]对账明细接口!$P917=0,"",[2]对账明细接口!$P917),"")</f>
        <v/>
      </c>
      <c r="V917" s="21" t="str">
        <f>IFERROR(IF([2]对账明细接口!$Q917=0,"",[2]对账明细接口!$Q917),"")</f>
        <v/>
      </c>
      <c r="W917" s="20" t="str">
        <f>IFERROR(IF([2]对账明细接口!$R917=0,"",[2]对账明细接口!$R917),"")</f>
        <v/>
      </c>
      <c r="X917" s="20" t="str">
        <f>IFERROR(IF([2]对账明细接口!$S917=0,"",[2]对账明细接口!$S917),"")</f>
        <v/>
      </c>
      <c r="Y917" s="20" t="str">
        <f t="shared" si="86"/>
        <v/>
      </c>
      <c r="Z917" s="20" t="str">
        <f t="shared" si="87"/>
        <v/>
      </c>
      <c r="AA917" s="20" t="str">
        <f t="shared" si="88"/>
        <v/>
      </c>
      <c r="AB917" s="20" t="str">
        <f t="shared" si="89"/>
        <v/>
      </c>
    </row>
    <row r="918" customHeight="1" spans="1:28">
      <c r="A918" s="14">
        <v>918</v>
      </c>
      <c r="B918" s="15" t="str">
        <f>IFERROR(IF([2]对账明细接口!$B$918=0,"",[2]对账明细接口!$B$918),"")</f>
        <v/>
      </c>
      <c r="C918" s="16" t="str">
        <f>IFERROR(IF([2]对账明细接口!$C$918=0,"",[2]对账明细接口!$C$918),"")</f>
        <v/>
      </c>
      <c r="D918" s="16" t="str">
        <f>IFERROR(IF([2]对账明细接口!$D$918=0,"",[2]对账明细接口!$D$918),"")</f>
        <v/>
      </c>
      <c r="E918" s="16" t="str">
        <f>IFERROR(IF([2]对账明细接口!$E$918=0,"",[2]对账明细接口!$E$918),"")</f>
        <v/>
      </c>
      <c r="F918" s="16" t="str">
        <f>IFERROR(IF([2]对账明细接口!$F$918=0,"",[2]对账明细接口!$F$918),"")</f>
        <v/>
      </c>
      <c r="G918" s="16" t="str">
        <f>IFERROR(IF([2]对账明细接口!$G$918=0,"",[2]对账明细接口!$G$918),"")</f>
        <v/>
      </c>
      <c r="H918" s="17" t="str">
        <f>IFERROR(IF([2]对账明细接口!$H$918=0,"",[2]对账明细接口!$H$918),"")</f>
        <v/>
      </c>
      <c r="I918" s="16" t="str">
        <f>IFERROR(IF([2]对账明细接口!$I$918=0,"",[2]对账明细接口!$I$918),"")</f>
        <v/>
      </c>
      <c r="J918" s="18" t="str">
        <f>IFERROR(IF([2]对账明细接口!$J$918=0,"",[2]对账明细接口!$J$918),"")</f>
        <v/>
      </c>
      <c r="K918" s="18" t="str">
        <f>IFERROR(IF([2]对账明细接口!$K$918=0,"",[2]对账明细接口!$K$918),"")</f>
        <v/>
      </c>
      <c r="L918" s="16" t="str">
        <f>IFERROR(IF([2]对账明细接口!$L$918=0,"",[2]对账明细接口!$L$918),"")</f>
        <v/>
      </c>
      <c r="M918" s="16" t="str">
        <f>IFERROR(IF([2]对账明细接口!$M$918=0,"",[2]对账明细接口!$M$918),"")</f>
        <v/>
      </c>
      <c r="N918" s="19">
        <f t="shared" si="84"/>
        <v>0</v>
      </c>
      <c r="O918" s="19">
        <f t="shared" si="85"/>
        <v>165</v>
      </c>
      <c r="S918" s="20" t="str">
        <f>IFERROR(IF([2]对账明细接口!$N918=0,"",[2]对账明细接口!$N918),"")</f>
        <v/>
      </c>
      <c r="T918" s="21" t="str">
        <f>IFERROR(IF([2]对账明细接口!$O918=0,"",[2]对账明细接口!$O918),"")</f>
        <v/>
      </c>
      <c r="U918" s="21" t="str">
        <f>IFERROR(IF([2]对账明细接口!$P918=0,"",[2]对账明细接口!$P918),"")</f>
        <v/>
      </c>
      <c r="V918" s="21" t="str">
        <f>IFERROR(IF([2]对账明细接口!$Q918=0,"",[2]对账明细接口!$Q918),"")</f>
        <v/>
      </c>
      <c r="W918" s="20" t="str">
        <f>IFERROR(IF([2]对账明细接口!$R918=0,"",[2]对账明细接口!$R918),"")</f>
        <v/>
      </c>
      <c r="X918" s="20" t="str">
        <f>IFERROR(IF([2]对账明细接口!$S918=0,"",[2]对账明细接口!$S918),"")</f>
        <v/>
      </c>
      <c r="Y918" s="20" t="str">
        <f t="shared" si="86"/>
        <v/>
      </c>
      <c r="Z918" s="20" t="str">
        <f t="shared" si="87"/>
        <v/>
      </c>
      <c r="AA918" s="20" t="str">
        <f t="shared" si="88"/>
        <v/>
      </c>
      <c r="AB918" s="20" t="str">
        <f t="shared" si="89"/>
        <v/>
      </c>
    </row>
    <row r="919" customHeight="1" spans="1:28">
      <c r="A919" s="14">
        <v>919</v>
      </c>
      <c r="B919" s="15" t="str">
        <f>IFERROR(IF([2]对账明细接口!$B$919=0,"",[2]对账明细接口!$B$919),"")</f>
        <v/>
      </c>
      <c r="C919" s="16" t="str">
        <f>IFERROR(IF([2]对账明细接口!$C$919=0,"",[2]对账明细接口!$C$919),"")</f>
        <v/>
      </c>
      <c r="D919" s="16" t="str">
        <f>IFERROR(IF([2]对账明细接口!$D$919=0,"",[2]对账明细接口!$D$919),"")</f>
        <v/>
      </c>
      <c r="E919" s="16" t="str">
        <f>IFERROR(IF([2]对账明细接口!$E$919=0,"",[2]对账明细接口!$E$919),"")</f>
        <v/>
      </c>
      <c r="F919" s="16" t="str">
        <f>IFERROR(IF([2]对账明细接口!$F$919=0,"",[2]对账明细接口!$F$919),"")</f>
        <v/>
      </c>
      <c r="G919" s="16" t="str">
        <f>IFERROR(IF([2]对账明细接口!$G$919=0,"",[2]对账明细接口!$G$919),"")</f>
        <v/>
      </c>
      <c r="H919" s="17" t="str">
        <f>IFERROR(IF([2]对账明细接口!$H$919=0,"",[2]对账明细接口!$H$919),"")</f>
        <v/>
      </c>
      <c r="I919" s="16" t="str">
        <f>IFERROR(IF([2]对账明细接口!$I$919=0,"",[2]对账明细接口!$I$919),"")</f>
        <v/>
      </c>
      <c r="J919" s="18" t="str">
        <f>IFERROR(IF([2]对账明细接口!$J$919=0,"",[2]对账明细接口!$J$919),"")</f>
        <v/>
      </c>
      <c r="K919" s="18" t="str">
        <f>IFERROR(IF([2]对账明细接口!$K$919=0,"",[2]对账明细接口!$K$919),"")</f>
        <v/>
      </c>
      <c r="L919" s="16" t="str">
        <f>IFERROR(IF([2]对账明细接口!$L$919=0,"",[2]对账明细接口!$L$919),"")</f>
        <v/>
      </c>
      <c r="M919" s="16" t="str">
        <f>IFERROR(IF([2]对账明细接口!$M$919=0,"",[2]对账明细接口!$M$919),"")</f>
        <v/>
      </c>
      <c r="N919" s="19">
        <f t="shared" si="84"/>
        <v>0</v>
      </c>
      <c r="O919" s="19">
        <f t="shared" si="85"/>
        <v>165</v>
      </c>
      <c r="S919" s="20" t="str">
        <f>IFERROR(IF([2]对账明细接口!$N919=0,"",[2]对账明细接口!$N919),"")</f>
        <v/>
      </c>
      <c r="T919" s="21" t="str">
        <f>IFERROR(IF([2]对账明细接口!$O919=0,"",[2]对账明细接口!$O919),"")</f>
        <v/>
      </c>
      <c r="U919" s="21" t="str">
        <f>IFERROR(IF([2]对账明细接口!$P919=0,"",[2]对账明细接口!$P919),"")</f>
        <v/>
      </c>
      <c r="V919" s="21" t="str">
        <f>IFERROR(IF([2]对账明细接口!$Q919=0,"",[2]对账明细接口!$Q919),"")</f>
        <v/>
      </c>
      <c r="W919" s="20" t="str">
        <f>IFERROR(IF([2]对账明细接口!$R919=0,"",[2]对账明细接口!$R919),"")</f>
        <v/>
      </c>
      <c r="X919" s="20" t="str">
        <f>IFERROR(IF([2]对账明细接口!$S919=0,"",[2]对账明细接口!$S919),"")</f>
        <v/>
      </c>
      <c r="Y919" s="20" t="str">
        <f t="shared" si="86"/>
        <v/>
      </c>
      <c r="Z919" s="20" t="str">
        <f t="shared" si="87"/>
        <v/>
      </c>
      <c r="AA919" s="20" t="str">
        <f t="shared" si="88"/>
        <v/>
      </c>
      <c r="AB919" s="20" t="str">
        <f t="shared" si="89"/>
        <v/>
      </c>
    </row>
    <row r="920" customHeight="1" spans="1:28">
      <c r="A920" s="14">
        <v>920</v>
      </c>
      <c r="B920" s="15" t="str">
        <f>IFERROR(IF([2]对账明细接口!$B$920=0,"",[2]对账明细接口!$B$920),"")</f>
        <v/>
      </c>
      <c r="C920" s="16" t="str">
        <f>IFERROR(IF([2]对账明细接口!$C$920=0,"",[2]对账明细接口!$C$920),"")</f>
        <v/>
      </c>
      <c r="D920" s="16" t="str">
        <f>IFERROR(IF([2]对账明细接口!$D$920=0,"",[2]对账明细接口!$D$920),"")</f>
        <v/>
      </c>
      <c r="E920" s="16" t="str">
        <f>IFERROR(IF([2]对账明细接口!$E$920=0,"",[2]对账明细接口!$E$920),"")</f>
        <v/>
      </c>
      <c r="F920" s="16" t="str">
        <f>IFERROR(IF([2]对账明细接口!$F$920=0,"",[2]对账明细接口!$F$920),"")</f>
        <v/>
      </c>
      <c r="G920" s="16" t="str">
        <f>IFERROR(IF([2]对账明细接口!$G$920=0,"",[2]对账明细接口!$G$920),"")</f>
        <v/>
      </c>
      <c r="H920" s="17" t="str">
        <f>IFERROR(IF([2]对账明细接口!$H$920=0,"",[2]对账明细接口!$H$920),"")</f>
        <v/>
      </c>
      <c r="I920" s="16" t="str">
        <f>IFERROR(IF([2]对账明细接口!$I$920=0,"",[2]对账明细接口!$I$920),"")</f>
        <v/>
      </c>
      <c r="J920" s="18" t="str">
        <f>IFERROR(IF([2]对账明细接口!$J$920=0,"",[2]对账明细接口!$J$920),"")</f>
        <v/>
      </c>
      <c r="K920" s="18" t="str">
        <f>IFERROR(IF([2]对账明细接口!$K$920=0,"",[2]对账明细接口!$K$920),"")</f>
        <v/>
      </c>
      <c r="L920" s="16" t="str">
        <f>IFERROR(IF([2]对账明细接口!$L$920=0,"",[2]对账明细接口!$L$920),"")</f>
        <v/>
      </c>
      <c r="M920" s="16" t="str">
        <f>IFERROR(IF([2]对账明细接口!$M$920=0,"",[2]对账明细接口!$M$920),"")</f>
        <v/>
      </c>
      <c r="N920" s="19">
        <f t="shared" si="84"/>
        <v>0</v>
      </c>
      <c r="O920" s="19">
        <f t="shared" si="85"/>
        <v>165</v>
      </c>
      <c r="S920" s="20" t="str">
        <f>IFERROR(IF([2]对账明细接口!$N920=0,"",[2]对账明细接口!$N920),"")</f>
        <v/>
      </c>
      <c r="T920" s="21" t="str">
        <f>IFERROR(IF([2]对账明细接口!$O920=0,"",[2]对账明细接口!$O920),"")</f>
        <v/>
      </c>
      <c r="U920" s="21" t="str">
        <f>IFERROR(IF([2]对账明细接口!$P920=0,"",[2]对账明细接口!$P920),"")</f>
        <v/>
      </c>
      <c r="V920" s="21" t="str">
        <f>IFERROR(IF([2]对账明细接口!$Q920=0,"",[2]对账明细接口!$Q920),"")</f>
        <v/>
      </c>
      <c r="W920" s="20" t="str">
        <f>IFERROR(IF([2]对账明细接口!$R920=0,"",[2]对账明细接口!$R920),"")</f>
        <v/>
      </c>
      <c r="X920" s="20" t="str">
        <f>IFERROR(IF([2]对账明细接口!$S920=0,"",[2]对账明细接口!$S920),"")</f>
        <v/>
      </c>
      <c r="Y920" s="20" t="str">
        <f t="shared" si="86"/>
        <v/>
      </c>
      <c r="Z920" s="20" t="str">
        <f t="shared" si="87"/>
        <v/>
      </c>
      <c r="AA920" s="20" t="str">
        <f t="shared" si="88"/>
        <v/>
      </c>
      <c r="AB920" s="20" t="str">
        <f t="shared" si="89"/>
        <v/>
      </c>
    </row>
    <row r="921" customHeight="1" spans="1:28">
      <c r="A921" s="14">
        <v>921</v>
      </c>
      <c r="B921" s="15" t="str">
        <f>IFERROR(IF([2]对账明细接口!$B$921=0,"",[2]对账明细接口!$B$921),"")</f>
        <v/>
      </c>
      <c r="C921" s="16" t="str">
        <f>IFERROR(IF([2]对账明细接口!$C$921=0,"",[2]对账明细接口!$C$921),"")</f>
        <v/>
      </c>
      <c r="D921" s="16" t="str">
        <f>IFERROR(IF([2]对账明细接口!$D$921=0,"",[2]对账明细接口!$D$921),"")</f>
        <v/>
      </c>
      <c r="E921" s="16" t="str">
        <f>IFERROR(IF([2]对账明细接口!$E$921=0,"",[2]对账明细接口!$E$921),"")</f>
        <v/>
      </c>
      <c r="F921" s="16" t="str">
        <f>IFERROR(IF([2]对账明细接口!$F$921=0,"",[2]对账明细接口!$F$921),"")</f>
        <v/>
      </c>
      <c r="G921" s="16" t="str">
        <f>IFERROR(IF([2]对账明细接口!$G$921=0,"",[2]对账明细接口!$G$921),"")</f>
        <v/>
      </c>
      <c r="H921" s="17" t="str">
        <f>IFERROR(IF([2]对账明细接口!$H$921=0,"",[2]对账明细接口!$H$921),"")</f>
        <v/>
      </c>
      <c r="I921" s="16" t="str">
        <f>IFERROR(IF([2]对账明细接口!$I$921=0,"",[2]对账明细接口!$I$921),"")</f>
        <v/>
      </c>
      <c r="J921" s="18" t="str">
        <f>IFERROR(IF([2]对账明细接口!$J$921=0,"",[2]对账明细接口!$J$921),"")</f>
        <v/>
      </c>
      <c r="K921" s="18" t="str">
        <f>IFERROR(IF([2]对账明细接口!$K$921=0,"",[2]对账明细接口!$K$921),"")</f>
        <v/>
      </c>
      <c r="L921" s="16" t="str">
        <f>IFERROR(IF([2]对账明细接口!$L$921=0,"",[2]对账明细接口!$L$921),"")</f>
        <v/>
      </c>
      <c r="M921" s="16" t="str">
        <f>IFERROR(IF([2]对账明细接口!$M$921=0,"",[2]对账明细接口!$M$921),"")</f>
        <v/>
      </c>
      <c r="N921" s="19">
        <f t="shared" si="84"/>
        <v>0</v>
      </c>
      <c r="O921" s="19">
        <f t="shared" si="85"/>
        <v>165</v>
      </c>
      <c r="S921" s="20" t="str">
        <f>IFERROR(IF([2]对账明细接口!$N921=0,"",[2]对账明细接口!$N921),"")</f>
        <v/>
      </c>
      <c r="T921" s="21" t="str">
        <f>IFERROR(IF([2]对账明细接口!$O921=0,"",[2]对账明细接口!$O921),"")</f>
        <v/>
      </c>
      <c r="U921" s="21" t="str">
        <f>IFERROR(IF([2]对账明细接口!$P921=0,"",[2]对账明细接口!$P921),"")</f>
        <v/>
      </c>
      <c r="V921" s="21" t="str">
        <f>IFERROR(IF([2]对账明细接口!$Q921=0,"",[2]对账明细接口!$Q921),"")</f>
        <v/>
      </c>
      <c r="W921" s="20" t="str">
        <f>IFERROR(IF([2]对账明细接口!$R921=0,"",[2]对账明细接口!$R921),"")</f>
        <v/>
      </c>
      <c r="X921" s="20" t="str">
        <f>IFERROR(IF([2]对账明细接口!$S921=0,"",[2]对账明细接口!$S921),"")</f>
        <v/>
      </c>
      <c r="Y921" s="20" t="str">
        <f t="shared" si="86"/>
        <v/>
      </c>
      <c r="Z921" s="20" t="str">
        <f t="shared" si="87"/>
        <v/>
      </c>
      <c r="AA921" s="20" t="str">
        <f t="shared" si="88"/>
        <v/>
      </c>
      <c r="AB921" s="20" t="str">
        <f t="shared" si="89"/>
        <v/>
      </c>
    </row>
    <row r="922" customHeight="1" spans="1:28">
      <c r="A922" s="14">
        <v>922</v>
      </c>
      <c r="B922" s="15" t="str">
        <f>IFERROR(IF([2]对账明细接口!$B$922=0,"",[2]对账明细接口!$B$922),"")</f>
        <v/>
      </c>
      <c r="C922" s="16" t="str">
        <f>IFERROR(IF([2]对账明细接口!$C$922=0,"",[2]对账明细接口!$C$922),"")</f>
        <v/>
      </c>
      <c r="D922" s="16" t="str">
        <f>IFERROR(IF([2]对账明细接口!$D$922=0,"",[2]对账明细接口!$D$922),"")</f>
        <v/>
      </c>
      <c r="E922" s="16" t="str">
        <f>IFERROR(IF([2]对账明细接口!$E$922=0,"",[2]对账明细接口!$E$922),"")</f>
        <v/>
      </c>
      <c r="F922" s="16" t="str">
        <f>IFERROR(IF([2]对账明细接口!$F$922=0,"",[2]对账明细接口!$F$922),"")</f>
        <v/>
      </c>
      <c r="G922" s="16" t="str">
        <f>IFERROR(IF([2]对账明细接口!$G$922=0,"",[2]对账明细接口!$G$922),"")</f>
        <v/>
      </c>
      <c r="H922" s="17" t="str">
        <f>IFERROR(IF([2]对账明细接口!$H$922=0,"",[2]对账明细接口!$H$922),"")</f>
        <v/>
      </c>
      <c r="I922" s="16" t="str">
        <f>IFERROR(IF([2]对账明细接口!$I$922=0,"",[2]对账明细接口!$I$922),"")</f>
        <v/>
      </c>
      <c r="J922" s="18" t="str">
        <f>IFERROR(IF([2]对账明细接口!$J$922=0,"",[2]对账明细接口!$J$922),"")</f>
        <v/>
      </c>
      <c r="K922" s="18" t="str">
        <f>IFERROR(IF([2]对账明细接口!$K$922=0,"",[2]对账明细接口!$K$922),"")</f>
        <v/>
      </c>
      <c r="L922" s="16" t="str">
        <f>IFERROR(IF([2]对账明细接口!$L$922=0,"",[2]对账明细接口!$L$922),"")</f>
        <v/>
      </c>
      <c r="M922" s="16" t="str">
        <f>IFERROR(IF([2]对账明细接口!$M$922=0,"",[2]对账明细接口!$M$922),"")</f>
        <v/>
      </c>
      <c r="N922" s="19">
        <f t="shared" si="84"/>
        <v>0</v>
      </c>
      <c r="O922" s="19">
        <f t="shared" si="85"/>
        <v>165</v>
      </c>
      <c r="S922" s="20" t="str">
        <f>IFERROR(IF([2]对账明细接口!$N922=0,"",[2]对账明细接口!$N922),"")</f>
        <v/>
      </c>
      <c r="T922" s="21" t="str">
        <f>IFERROR(IF([2]对账明细接口!$O922=0,"",[2]对账明细接口!$O922),"")</f>
        <v/>
      </c>
      <c r="U922" s="21" t="str">
        <f>IFERROR(IF([2]对账明细接口!$P922=0,"",[2]对账明细接口!$P922),"")</f>
        <v/>
      </c>
      <c r="V922" s="21" t="str">
        <f>IFERROR(IF([2]对账明细接口!$Q922=0,"",[2]对账明细接口!$Q922),"")</f>
        <v/>
      </c>
      <c r="W922" s="20" t="str">
        <f>IFERROR(IF([2]对账明细接口!$R922=0,"",[2]对账明细接口!$R922),"")</f>
        <v/>
      </c>
      <c r="X922" s="20" t="str">
        <f>IFERROR(IF([2]对账明细接口!$S922=0,"",[2]对账明细接口!$S922),"")</f>
        <v/>
      </c>
      <c r="Y922" s="20" t="str">
        <f t="shared" si="86"/>
        <v/>
      </c>
      <c r="Z922" s="20" t="str">
        <f t="shared" si="87"/>
        <v/>
      </c>
      <c r="AA922" s="20" t="str">
        <f t="shared" si="88"/>
        <v/>
      </c>
      <c r="AB922" s="20" t="str">
        <f t="shared" si="89"/>
        <v/>
      </c>
    </row>
    <row r="923" customHeight="1" spans="1:28">
      <c r="A923" s="14">
        <v>923</v>
      </c>
      <c r="B923" s="15" t="str">
        <f>IFERROR(IF([2]对账明细接口!$B$923=0,"",[2]对账明细接口!$B$923),"")</f>
        <v/>
      </c>
      <c r="C923" s="16" t="str">
        <f>IFERROR(IF([2]对账明细接口!$C$923=0,"",[2]对账明细接口!$C$923),"")</f>
        <v/>
      </c>
      <c r="D923" s="16" t="str">
        <f>IFERROR(IF([2]对账明细接口!$D$923=0,"",[2]对账明细接口!$D$923),"")</f>
        <v/>
      </c>
      <c r="E923" s="16" t="str">
        <f>IFERROR(IF([2]对账明细接口!$E$923=0,"",[2]对账明细接口!$E$923),"")</f>
        <v/>
      </c>
      <c r="F923" s="16" t="str">
        <f>IFERROR(IF([2]对账明细接口!$F$923=0,"",[2]对账明细接口!$F$923),"")</f>
        <v/>
      </c>
      <c r="G923" s="16" t="str">
        <f>IFERROR(IF([2]对账明细接口!$G$923=0,"",[2]对账明细接口!$G$923),"")</f>
        <v/>
      </c>
      <c r="H923" s="17" t="str">
        <f>IFERROR(IF([2]对账明细接口!$H$923=0,"",[2]对账明细接口!$H$923),"")</f>
        <v/>
      </c>
      <c r="I923" s="16" t="str">
        <f>IFERROR(IF([2]对账明细接口!$I$923=0,"",[2]对账明细接口!$I$923),"")</f>
        <v/>
      </c>
      <c r="J923" s="18" t="str">
        <f>IFERROR(IF([2]对账明细接口!$J$923=0,"",[2]对账明细接口!$J$923),"")</f>
        <v/>
      </c>
      <c r="K923" s="18" t="str">
        <f>IFERROR(IF([2]对账明细接口!$K$923=0,"",[2]对账明细接口!$K$923),"")</f>
        <v/>
      </c>
      <c r="L923" s="16" t="str">
        <f>IFERROR(IF([2]对账明细接口!$L$923=0,"",[2]对账明细接口!$L$923),"")</f>
        <v/>
      </c>
      <c r="M923" s="16" t="str">
        <f>IFERROR(IF([2]对账明细接口!$M$923=0,"",[2]对账明细接口!$M$923),"")</f>
        <v/>
      </c>
      <c r="N923" s="19">
        <f t="shared" si="84"/>
        <v>0</v>
      </c>
      <c r="O923" s="19">
        <f t="shared" si="85"/>
        <v>165</v>
      </c>
      <c r="S923" s="20" t="str">
        <f>IFERROR(IF([2]对账明细接口!$N923=0,"",[2]对账明细接口!$N923),"")</f>
        <v/>
      </c>
      <c r="T923" s="21" t="str">
        <f>IFERROR(IF([2]对账明细接口!$O923=0,"",[2]对账明细接口!$O923),"")</f>
        <v/>
      </c>
      <c r="U923" s="21" t="str">
        <f>IFERROR(IF([2]对账明细接口!$P923=0,"",[2]对账明细接口!$P923),"")</f>
        <v/>
      </c>
      <c r="V923" s="21" t="str">
        <f>IFERROR(IF([2]对账明细接口!$Q923=0,"",[2]对账明细接口!$Q923),"")</f>
        <v/>
      </c>
      <c r="W923" s="20" t="str">
        <f>IFERROR(IF([2]对账明细接口!$R923=0,"",[2]对账明细接口!$R923),"")</f>
        <v/>
      </c>
      <c r="X923" s="20" t="str">
        <f>IFERROR(IF([2]对账明细接口!$S923=0,"",[2]对账明细接口!$S923),"")</f>
        <v/>
      </c>
      <c r="Y923" s="20" t="str">
        <f t="shared" si="86"/>
        <v/>
      </c>
      <c r="Z923" s="20" t="str">
        <f t="shared" si="87"/>
        <v/>
      </c>
      <c r="AA923" s="20" t="str">
        <f t="shared" si="88"/>
        <v/>
      </c>
      <c r="AB923" s="20" t="str">
        <f t="shared" si="89"/>
        <v/>
      </c>
    </row>
    <row r="924" customHeight="1" spans="1:28">
      <c r="A924" s="14">
        <v>924</v>
      </c>
      <c r="B924" s="15" t="str">
        <f>IFERROR(IF([2]对账明细接口!$B$924=0,"",[2]对账明细接口!$B$924),"")</f>
        <v/>
      </c>
      <c r="C924" s="16" t="str">
        <f>IFERROR(IF([2]对账明细接口!$C$924=0,"",[2]对账明细接口!$C$924),"")</f>
        <v/>
      </c>
      <c r="D924" s="16" t="str">
        <f>IFERROR(IF([2]对账明细接口!$D$924=0,"",[2]对账明细接口!$D$924),"")</f>
        <v/>
      </c>
      <c r="E924" s="16" t="str">
        <f>IFERROR(IF([2]对账明细接口!$E$924=0,"",[2]对账明细接口!$E$924),"")</f>
        <v/>
      </c>
      <c r="F924" s="16" t="str">
        <f>IFERROR(IF([2]对账明细接口!$F$924=0,"",[2]对账明细接口!$F$924),"")</f>
        <v/>
      </c>
      <c r="G924" s="16" t="str">
        <f>IFERROR(IF([2]对账明细接口!$G$924=0,"",[2]对账明细接口!$G$924),"")</f>
        <v/>
      </c>
      <c r="H924" s="17" t="str">
        <f>IFERROR(IF([2]对账明细接口!$H$924=0,"",[2]对账明细接口!$H$924),"")</f>
        <v/>
      </c>
      <c r="I924" s="16" t="str">
        <f>IFERROR(IF([2]对账明细接口!$I$924=0,"",[2]对账明细接口!$I$924),"")</f>
        <v/>
      </c>
      <c r="J924" s="18" t="str">
        <f>IFERROR(IF([2]对账明细接口!$J$924=0,"",[2]对账明细接口!$J$924),"")</f>
        <v/>
      </c>
      <c r="K924" s="18" t="str">
        <f>IFERROR(IF([2]对账明细接口!$K$924=0,"",[2]对账明细接口!$K$924),"")</f>
        <v/>
      </c>
      <c r="L924" s="16" t="str">
        <f>IFERROR(IF([2]对账明细接口!$L$924=0,"",[2]对账明细接口!$L$924),"")</f>
        <v/>
      </c>
      <c r="M924" s="16" t="str">
        <f>IFERROR(IF([2]对账明细接口!$M$924=0,"",[2]对账明细接口!$M$924),"")</f>
        <v/>
      </c>
      <c r="N924" s="19">
        <f t="shared" si="84"/>
        <v>0</v>
      </c>
      <c r="O924" s="19">
        <f t="shared" si="85"/>
        <v>165</v>
      </c>
      <c r="S924" s="20" t="str">
        <f>IFERROR(IF([2]对账明细接口!$N924=0,"",[2]对账明细接口!$N924),"")</f>
        <v/>
      </c>
      <c r="T924" s="21" t="str">
        <f>IFERROR(IF([2]对账明细接口!$O924=0,"",[2]对账明细接口!$O924),"")</f>
        <v/>
      </c>
      <c r="U924" s="21" t="str">
        <f>IFERROR(IF([2]对账明细接口!$P924=0,"",[2]对账明细接口!$P924),"")</f>
        <v/>
      </c>
      <c r="V924" s="21" t="str">
        <f>IFERROR(IF([2]对账明细接口!$Q924=0,"",[2]对账明细接口!$Q924),"")</f>
        <v/>
      </c>
      <c r="W924" s="20" t="str">
        <f>IFERROR(IF([2]对账明细接口!$R924=0,"",[2]对账明细接口!$R924),"")</f>
        <v/>
      </c>
      <c r="X924" s="20" t="str">
        <f>IFERROR(IF([2]对账明细接口!$S924=0,"",[2]对账明细接口!$S924),"")</f>
        <v/>
      </c>
      <c r="Y924" s="20" t="str">
        <f t="shared" si="86"/>
        <v/>
      </c>
      <c r="Z924" s="20" t="str">
        <f t="shared" si="87"/>
        <v/>
      </c>
      <c r="AA924" s="20" t="str">
        <f t="shared" si="88"/>
        <v/>
      </c>
      <c r="AB924" s="20" t="str">
        <f t="shared" si="89"/>
        <v/>
      </c>
    </row>
    <row r="925" customHeight="1" spans="1:28">
      <c r="A925" s="14">
        <v>925</v>
      </c>
      <c r="B925" s="15" t="str">
        <f>IFERROR(IF([2]对账明细接口!$B$925=0,"",[2]对账明细接口!$B$925),"")</f>
        <v/>
      </c>
      <c r="C925" s="16" t="str">
        <f>IFERROR(IF([2]对账明细接口!$C$925=0,"",[2]对账明细接口!$C$925),"")</f>
        <v/>
      </c>
      <c r="D925" s="16" t="str">
        <f>IFERROR(IF([2]对账明细接口!$D$925=0,"",[2]对账明细接口!$D$925),"")</f>
        <v/>
      </c>
      <c r="E925" s="16" t="str">
        <f>IFERROR(IF([2]对账明细接口!$E$925=0,"",[2]对账明细接口!$E$925),"")</f>
        <v/>
      </c>
      <c r="F925" s="16" t="str">
        <f>IFERROR(IF([2]对账明细接口!$F$925=0,"",[2]对账明细接口!$F$925),"")</f>
        <v/>
      </c>
      <c r="G925" s="16" t="str">
        <f>IFERROR(IF([2]对账明细接口!$G$925=0,"",[2]对账明细接口!$G$925),"")</f>
        <v/>
      </c>
      <c r="H925" s="17" t="str">
        <f>IFERROR(IF([2]对账明细接口!$H$925=0,"",[2]对账明细接口!$H$925),"")</f>
        <v/>
      </c>
      <c r="I925" s="16" t="str">
        <f>IFERROR(IF([2]对账明细接口!$I$925=0,"",[2]对账明细接口!$I$925),"")</f>
        <v/>
      </c>
      <c r="J925" s="18" t="str">
        <f>IFERROR(IF([2]对账明细接口!$J$925=0,"",[2]对账明细接口!$J$925),"")</f>
        <v/>
      </c>
      <c r="K925" s="18" t="str">
        <f>IFERROR(IF([2]对账明细接口!$K$925=0,"",[2]对账明细接口!$K$925),"")</f>
        <v/>
      </c>
      <c r="L925" s="16" t="str">
        <f>IFERROR(IF([2]对账明细接口!$L$925=0,"",[2]对账明细接口!$L$925),"")</f>
        <v/>
      </c>
      <c r="M925" s="16" t="str">
        <f>IFERROR(IF([2]对账明细接口!$M$925=0,"",[2]对账明细接口!$M$925),"")</f>
        <v/>
      </c>
      <c r="N925" s="19">
        <f t="shared" si="84"/>
        <v>0</v>
      </c>
      <c r="O925" s="19">
        <f t="shared" si="85"/>
        <v>165</v>
      </c>
      <c r="S925" s="20" t="str">
        <f>IFERROR(IF([2]对账明细接口!$N925=0,"",[2]对账明细接口!$N925),"")</f>
        <v/>
      </c>
      <c r="T925" s="21" t="str">
        <f>IFERROR(IF([2]对账明细接口!$O925=0,"",[2]对账明细接口!$O925),"")</f>
        <v/>
      </c>
      <c r="U925" s="21" t="str">
        <f>IFERROR(IF([2]对账明细接口!$P925=0,"",[2]对账明细接口!$P925),"")</f>
        <v/>
      </c>
      <c r="V925" s="21" t="str">
        <f>IFERROR(IF([2]对账明细接口!$Q925=0,"",[2]对账明细接口!$Q925),"")</f>
        <v/>
      </c>
      <c r="W925" s="20" t="str">
        <f>IFERROR(IF([2]对账明细接口!$R925=0,"",[2]对账明细接口!$R925),"")</f>
        <v/>
      </c>
      <c r="X925" s="20" t="str">
        <f>IFERROR(IF([2]对账明细接口!$S925=0,"",[2]对账明细接口!$S925),"")</f>
        <v/>
      </c>
      <c r="Y925" s="20" t="str">
        <f t="shared" si="86"/>
        <v/>
      </c>
      <c r="Z925" s="20" t="str">
        <f t="shared" si="87"/>
        <v/>
      </c>
      <c r="AA925" s="20" t="str">
        <f t="shared" si="88"/>
        <v/>
      </c>
      <c r="AB925" s="20" t="str">
        <f t="shared" si="89"/>
        <v/>
      </c>
    </row>
    <row r="926" customHeight="1" spans="1:28">
      <c r="A926" s="14">
        <v>926</v>
      </c>
      <c r="B926" s="15" t="str">
        <f>IFERROR(IF([2]对账明细接口!$B$926=0,"",[2]对账明细接口!$B$926),"")</f>
        <v/>
      </c>
      <c r="C926" s="16" t="str">
        <f>IFERROR(IF([2]对账明细接口!$C$926=0,"",[2]对账明细接口!$C$926),"")</f>
        <v/>
      </c>
      <c r="D926" s="16" t="str">
        <f>IFERROR(IF([2]对账明细接口!$D$926=0,"",[2]对账明细接口!$D$926),"")</f>
        <v/>
      </c>
      <c r="E926" s="16" t="str">
        <f>IFERROR(IF([2]对账明细接口!$E$926=0,"",[2]对账明细接口!$E$926),"")</f>
        <v/>
      </c>
      <c r="F926" s="16" t="str">
        <f>IFERROR(IF([2]对账明细接口!$F$926=0,"",[2]对账明细接口!$F$926),"")</f>
        <v/>
      </c>
      <c r="G926" s="16" t="str">
        <f>IFERROR(IF([2]对账明细接口!$G$926=0,"",[2]对账明细接口!$G$926),"")</f>
        <v/>
      </c>
      <c r="H926" s="17" t="str">
        <f>IFERROR(IF([2]对账明细接口!$H$926=0,"",[2]对账明细接口!$H$926),"")</f>
        <v/>
      </c>
      <c r="I926" s="16" t="str">
        <f>IFERROR(IF([2]对账明细接口!$I$926=0,"",[2]对账明细接口!$I$926),"")</f>
        <v/>
      </c>
      <c r="J926" s="18" t="str">
        <f>IFERROR(IF([2]对账明细接口!$J$926=0,"",[2]对账明细接口!$J$926),"")</f>
        <v/>
      </c>
      <c r="K926" s="18" t="str">
        <f>IFERROR(IF([2]对账明细接口!$K$926=0,"",[2]对账明细接口!$K$926),"")</f>
        <v/>
      </c>
      <c r="L926" s="16" t="str">
        <f>IFERROR(IF([2]对账明细接口!$L$926=0,"",[2]对账明细接口!$L$926),"")</f>
        <v/>
      </c>
      <c r="M926" s="16" t="str">
        <f>IFERROR(IF([2]对账明细接口!$M$926=0,"",[2]对账明细接口!$M$926),"")</f>
        <v/>
      </c>
      <c r="N926" s="19">
        <f t="shared" si="84"/>
        <v>0</v>
      </c>
      <c r="O926" s="19">
        <f t="shared" si="85"/>
        <v>165</v>
      </c>
      <c r="S926" s="20" t="str">
        <f>IFERROR(IF([2]对账明细接口!$N926=0,"",[2]对账明细接口!$N926),"")</f>
        <v/>
      </c>
      <c r="T926" s="21" t="str">
        <f>IFERROR(IF([2]对账明细接口!$O926=0,"",[2]对账明细接口!$O926),"")</f>
        <v/>
      </c>
      <c r="U926" s="21" t="str">
        <f>IFERROR(IF([2]对账明细接口!$P926=0,"",[2]对账明细接口!$P926),"")</f>
        <v/>
      </c>
      <c r="V926" s="21" t="str">
        <f>IFERROR(IF([2]对账明细接口!$Q926=0,"",[2]对账明细接口!$Q926),"")</f>
        <v/>
      </c>
      <c r="W926" s="20" t="str">
        <f>IFERROR(IF([2]对账明细接口!$R926=0,"",[2]对账明细接口!$R926),"")</f>
        <v/>
      </c>
      <c r="X926" s="20" t="str">
        <f>IFERROR(IF([2]对账明细接口!$S926=0,"",[2]对账明细接口!$S926),"")</f>
        <v/>
      </c>
      <c r="Y926" s="20" t="str">
        <f t="shared" si="86"/>
        <v/>
      </c>
      <c r="Z926" s="20" t="str">
        <f t="shared" si="87"/>
        <v/>
      </c>
      <c r="AA926" s="20" t="str">
        <f t="shared" si="88"/>
        <v/>
      </c>
      <c r="AB926" s="20" t="str">
        <f t="shared" si="89"/>
        <v/>
      </c>
    </row>
    <row r="927" customHeight="1" spans="1:28">
      <c r="A927" s="14">
        <v>927</v>
      </c>
      <c r="B927" s="15" t="str">
        <f>IFERROR(IF([2]对账明细接口!$B$927=0,"",[2]对账明细接口!$B$927),"")</f>
        <v/>
      </c>
      <c r="C927" s="16" t="str">
        <f>IFERROR(IF([2]对账明细接口!$C$927=0,"",[2]对账明细接口!$C$927),"")</f>
        <v/>
      </c>
      <c r="D927" s="16" t="str">
        <f>IFERROR(IF([2]对账明细接口!$D$927=0,"",[2]对账明细接口!$D$927),"")</f>
        <v/>
      </c>
      <c r="E927" s="16" t="str">
        <f>IFERROR(IF([2]对账明细接口!$E$927=0,"",[2]对账明细接口!$E$927),"")</f>
        <v/>
      </c>
      <c r="F927" s="16" t="str">
        <f>IFERROR(IF([2]对账明细接口!$F$927=0,"",[2]对账明细接口!$F$927),"")</f>
        <v/>
      </c>
      <c r="G927" s="16" t="str">
        <f>IFERROR(IF([2]对账明细接口!$G$927=0,"",[2]对账明细接口!$G$927),"")</f>
        <v/>
      </c>
      <c r="H927" s="17" t="str">
        <f>IFERROR(IF([2]对账明细接口!$H$927=0,"",[2]对账明细接口!$H$927),"")</f>
        <v/>
      </c>
      <c r="I927" s="16" t="str">
        <f>IFERROR(IF([2]对账明细接口!$I$927=0,"",[2]对账明细接口!$I$927),"")</f>
        <v/>
      </c>
      <c r="J927" s="18" t="str">
        <f>IFERROR(IF([2]对账明细接口!$J$927=0,"",[2]对账明细接口!$J$927),"")</f>
        <v/>
      </c>
      <c r="K927" s="18" t="str">
        <f>IFERROR(IF([2]对账明细接口!$K$927=0,"",[2]对账明细接口!$K$927),"")</f>
        <v/>
      </c>
      <c r="L927" s="16" t="str">
        <f>IFERROR(IF([2]对账明细接口!$L$927=0,"",[2]对账明细接口!$L$927),"")</f>
        <v/>
      </c>
      <c r="M927" s="16" t="str">
        <f>IFERROR(IF([2]对账明细接口!$M$927=0,"",[2]对账明细接口!$M$927),"")</f>
        <v/>
      </c>
      <c r="N927" s="19">
        <f t="shared" si="84"/>
        <v>0</v>
      </c>
      <c r="O927" s="19">
        <f t="shared" si="85"/>
        <v>165</v>
      </c>
      <c r="S927" s="20" t="str">
        <f>IFERROR(IF([2]对账明细接口!$N927=0,"",[2]对账明细接口!$N927),"")</f>
        <v/>
      </c>
      <c r="T927" s="21" t="str">
        <f>IFERROR(IF([2]对账明细接口!$O927=0,"",[2]对账明细接口!$O927),"")</f>
        <v/>
      </c>
      <c r="U927" s="21" t="str">
        <f>IFERROR(IF([2]对账明细接口!$P927=0,"",[2]对账明细接口!$P927),"")</f>
        <v/>
      </c>
      <c r="V927" s="21" t="str">
        <f>IFERROR(IF([2]对账明细接口!$Q927=0,"",[2]对账明细接口!$Q927),"")</f>
        <v/>
      </c>
      <c r="W927" s="20" t="str">
        <f>IFERROR(IF([2]对账明细接口!$R927=0,"",[2]对账明细接口!$R927),"")</f>
        <v/>
      </c>
      <c r="X927" s="20" t="str">
        <f>IFERROR(IF([2]对账明细接口!$S927=0,"",[2]对账明细接口!$S927),"")</f>
        <v/>
      </c>
      <c r="Y927" s="20" t="str">
        <f t="shared" si="86"/>
        <v/>
      </c>
      <c r="Z927" s="20" t="str">
        <f t="shared" si="87"/>
        <v/>
      </c>
      <c r="AA927" s="20" t="str">
        <f t="shared" si="88"/>
        <v/>
      </c>
      <c r="AB927" s="20" t="str">
        <f t="shared" si="89"/>
        <v/>
      </c>
    </row>
    <row r="928" customHeight="1" spans="1:28">
      <c r="A928" s="14">
        <v>928</v>
      </c>
      <c r="B928" s="15" t="str">
        <f>IFERROR(IF([2]对账明细接口!$B$928=0,"",[2]对账明细接口!$B$928),"")</f>
        <v/>
      </c>
      <c r="C928" s="16" t="str">
        <f>IFERROR(IF([2]对账明细接口!$C$928=0,"",[2]对账明细接口!$C$928),"")</f>
        <v/>
      </c>
      <c r="D928" s="16" t="str">
        <f>IFERROR(IF([2]对账明细接口!$D$928=0,"",[2]对账明细接口!$D$928),"")</f>
        <v/>
      </c>
      <c r="E928" s="16" t="str">
        <f>IFERROR(IF([2]对账明细接口!$E$928=0,"",[2]对账明细接口!$E$928),"")</f>
        <v/>
      </c>
      <c r="F928" s="16" t="str">
        <f>IFERROR(IF([2]对账明细接口!$F$928=0,"",[2]对账明细接口!$F$928),"")</f>
        <v/>
      </c>
      <c r="G928" s="16" t="str">
        <f>IFERROR(IF([2]对账明细接口!$G$928=0,"",[2]对账明细接口!$G$928),"")</f>
        <v/>
      </c>
      <c r="H928" s="17" t="str">
        <f>IFERROR(IF([2]对账明细接口!$H$928=0,"",[2]对账明细接口!$H$928),"")</f>
        <v/>
      </c>
      <c r="I928" s="16" t="str">
        <f>IFERROR(IF([2]对账明细接口!$I$928=0,"",[2]对账明细接口!$I$928),"")</f>
        <v/>
      </c>
      <c r="J928" s="18" t="str">
        <f>IFERROR(IF([2]对账明细接口!$J$928=0,"",[2]对账明细接口!$J$928),"")</f>
        <v/>
      </c>
      <c r="K928" s="18" t="str">
        <f>IFERROR(IF([2]对账明细接口!$K$928=0,"",[2]对账明细接口!$K$928),"")</f>
        <v/>
      </c>
      <c r="L928" s="16" t="str">
        <f>IFERROR(IF([2]对账明细接口!$L$928=0,"",[2]对账明细接口!$L$928),"")</f>
        <v/>
      </c>
      <c r="M928" s="16" t="str">
        <f>IFERROR(IF([2]对账明细接口!$M$928=0,"",[2]对账明细接口!$M$928),"")</f>
        <v/>
      </c>
      <c r="N928" s="19">
        <f t="shared" si="84"/>
        <v>0</v>
      </c>
      <c r="O928" s="19">
        <f t="shared" si="85"/>
        <v>165</v>
      </c>
      <c r="S928" s="20" t="str">
        <f>IFERROR(IF([2]对账明细接口!$N928=0,"",[2]对账明细接口!$N928),"")</f>
        <v/>
      </c>
      <c r="T928" s="21" t="str">
        <f>IFERROR(IF([2]对账明细接口!$O928=0,"",[2]对账明细接口!$O928),"")</f>
        <v/>
      </c>
      <c r="U928" s="21" t="str">
        <f>IFERROR(IF([2]对账明细接口!$P928=0,"",[2]对账明细接口!$P928),"")</f>
        <v/>
      </c>
      <c r="V928" s="21" t="str">
        <f>IFERROR(IF([2]对账明细接口!$Q928=0,"",[2]对账明细接口!$Q928),"")</f>
        <v/>
      </c>
      <c r="W928" s="20" t="str">
        <f>IFERROR(IF([2]对账明细接口!$R928=0,"",[2]对账明细接口!$R928),"")</f>
        <v/>
      </c>
      <c r="X928" s="20" t="str">
        <f>IFERROR(IF([2]对账明细接口!$S928=0,"",[2]对账明细接口!$S928),"")</f>
        <v/>
      </c>
      <c r="Y928" s="20" t="str">
        <f t="shared" si="86"/>
        <v/>
      </c>
      <c r="Z928" s="20" t="str">
        <f t="shared" si="87"/>
        <v/>
      </c>
      <c r="AA928" s="20" t="str">
        <f t="shared" si="88"/>
        <v/>
      </c>
      <c r="AB928" s="20" t="str">
        <f t="shared" si="89"/>
        <v/>
      </c>
    </row>
    <row r="929" customHeight="1" spans="1:28">
      <c r="A929" s="14">
        <v>929</v>
      </c>
      <c r="B929" s="15" t="str">
        <f>IFERROR(IF([2]对账明细接口!$B$929=0,"",[2]对账明细接口!$B$929),"")</f>
        <v/>
      </c>
      <c r="C929" s="16" t="str">
        <f>IFERROR(IF([2]对账明细接口!$C$929=0,"",[2]对账明细接口!$C$929),"")</f>
        <v/>
      </c>
      <c r="D929" s="16" t="str">
        <f>IFERROR(IF([2]对账明细接口!$D$929=0,"",[2]对账明细接口!$D$929),"")</f>
        <v/>
      </c>
      <c r="E929" s="16" t="str">
        <f>IFERROR(IF([2]对账明细接口!$E$929=0,"",[2]对账明细接口!$E$929),"")</f>
        <v/>
      </c>
      <c r="F929" s="16" t="str">
        <f>IFERROR(IF([2]对账明细接口!$F$929=0,"",[2]对账明细接口!$F$929),"")</f>
        <v/>
      </c>
      <c r="G929" s="16" t="str">
        <f>IFERROR(IF([2]对账明细接口!$G$929=0,"",[2]对账明细接口!$G$929),"")</f>
        <v/>
      </c>
      <c r="H929" s="17" t="str">
        <f>IFERROR(IF([2]对账明细接口!$H$929=0,"",[2]对账明细接口!$H$929),"")</f>
        <v/>
      </c>
      <c r="I929" s="16" t="str">
        <f>IFERROR(IF([2]对账明细接口!$I$929=0,"",[2]对账明细接口!$I$929),"")</f>
        <v/>
      </c>
      <c r="J929" s="18" t="str">
        <f>IFERROR(IF([2]对账明细接口!$J$929=0,"",[2]对账明细接口!$J$929),"")</f>
        <v/>
      </c>
      <c r="K929" s="18" t="str">
        <f>IFERROR(IF([2]对账明细接口!$K$929=0,"",[2]对账明细接口!$K$929),"")</f>
        <v/>
      </c>
      <c r="L929" s="16" t="str">
        <f>IFERROR(IF([2]对账明细接口!$L$929=0,"",[2]对账明细接口!$L$929),"")</f>
        <v/>
      </c>
      <c r="M929" s="16" t="str">
        <f>IFERROR(IF([2]对账明细接口!$M$929=0,"",[2]对账明细接口!$M$929),"")</f>
        <v/>
      </c>
      <c r="N929" s="19">
        <f t="shared" si="84"/>
        <v>0</v>
      </c>
      <c r="O929" s="19">
        <f t="shared" si="85"/>
        <v>165</v>
      </c>
      <c r="S929" s="20" t="str">
        <f>IFERROR(IF([2]对账明细接口!$N929=0,"",[2]对账明细接口!$N929),"")</f>
        <v/>
      </c>
      <c r="T929" s="21" t="str">
        <f>IFERROR(IF([2]对账明细接口!$O929=0,"",[2]对账明细接口!$O929),"")</f>
        <v/>
      </c>
      <c r="U929" s="21" t="str">
        <f>IFERROR(IF([2]对账明细接口!$P929=0,"",[2]对账明细接口!$P929),"")</f>
        <v/>
      </c>
      <c r="V929" s="21" t="str">
        <f>IFERROR(IF([2]对账明细接口!$Q929=0,"",[2]对账明细接口!$Q929),"")</f>
        <v/>
      </c>
      <c r="W929" s="20" t="str">
        <f>IFERROR(IF([2]对账明细接口!$R929=0,"",[2]对账明细接口!$R929),"")</f>
        <v/>
      </c>
      <c r="X929" s="20" t="str">
        <f>IFERROR(IF([2]对账明细接口!$S929=0,"",[2]对账明细接口!$S929),"")</f>
        <v/>
      </c>
      <c r="Y929" s="20" t="str">
        <f t="shared" si="86"/>
        <v/>
      </c>
      <c r="Z929" s="20" t="str">
        <f t="shared" si="87"/>
        <v/>
      </c>
      <c r="AA929" s="20" t="str">
        <f t="shared" si="88"/>
        <v/>
      </c>
      <c r="AB929" s="20" t="str">
        <f t="shared" si="89"/>
        <v/>
      </c>
    </row>
    <row r="930" customHeight="1" spans="1:28">
      <c r="A930" s="14">
        <v>930</v>
      </c>
      <c r="B930" s="15" t="str">
        <f>IFERROR(IF([2]对账明细接口!$B$930=0,"",[2]对账明细接口!$B$930),"")</f>
        <v/>
      </c>
      <c r="C930" s="16" t="str">
        <f>IFERROR(IF([2]对账明细接口!$C$930=0,"",[2]对账明细接口!$C$930),"")</f>
        <v/>
      </c>
      <c r="D930" s="16" t="str">
        <f>IFERROR(IF([2]对账明细接口!$D$930=0,"",[2]对账明细接口!$D$930),"")</f>
        <v/>
      </c>
      <c r="E930" s="16" t="str">
        <f>IFERROR(IF([2]对账明细接口!$E$930=0,"",[2]对账明细接口!$E$930),"")</f>
        <v/>
      </c>
      <c r="F930" s="16" t="str">
        <f>IFERROR(IF([2]对账明细接口!$F$930=0,"",[2]对账明细接口!$F$930),"")</f>
        <v/>
      </c>
      <c r="G930" s="16" t="str">
        <f>IFERROR(IF([2]对账明细接口!$G$930=0,"",[2]对账明细接口!$G$930),"")</f>
        <v/>
      </c>
      <c r="H930" s="17" t="str">
        <f>IFERROR(IF([2]对账明细接口!$H$930=0,"",[2]对账明细接口!$H$930),"")</f>
        <v/>
      </c>
      <c r="I930" s="16" t="str">
        <f>IFERROR(IF([2]对账明细接口!$I$930=0,"",[2]对账明细接口!$I$930),"")</f>
        <v/>
      </c>
      <c r="J930" s="18" t="str">
        <f>IFERROR(IF([2]对账明细接口!$J$930=0,"",[2]对账明细接口!$J$930),"")</f>
        <v/>
      </c>
      <c r="K930" s="18" t="str">
        <f>IFERROR(IF([2]对账明细接口!$K$930=0,"",[2]对账明细接口!$K$930),"")</f>
        <v/>
      </c>
      <c r="L930" s="16" t="str">
        <f>IFERROR(IF([2]对账明细接口!$L$930=0,"",[2]对账明细接口!$L$930),"")</f>
        <v/>
      </c>
      <c r="M930" s="16" t="str">
        <f>IFERROR(IF([2]对账明细接口!$M$930=0,"",[2]对账明细接口!$M$930),"")</f>
        <v/>
      </c>
      <c r="N930" s="19">
        <f t="shared" si="84"/>
        <v>0</v>
      </c>
      <c r="O930" s="19">
        <f t="shared" si="85"/>
        <v>165</v>
      </c>
      <c r="S930" s="20" t="str">
        <f>IFERROR(IF([2]对账明细接口!$N930=0,"",[2]对账明细接口!$N930),"")</f>
        <v/>
      </c>
      <c r="T930" s="21" t="str">
        <f>IFERROR(IF([2]对账明细接口!$O930=0,"",[2]对账明细接口!$O930),"")</f>
        <v/>
      </c>
      <c r="U930" s="21" t="str">
        <f>IFERROR(IF([2]对账明细接口!$P930=0,"",[2]对账明细接口!$P930),"")</f>
        <v/>
      </c>
      <c r="V930" s="21" t="str">
        <f>IFERROR(IF([2]对账明细接口!$Q930=0,"",[2]对账明细接口!$Q930),"")</f>
        <v/>
      </c>
      <c r="W930" s="20" t="str">
        <f>IFERROR(IF([2]对账明细接口!$R930=0,"",[2]对账明细接口!$R930),"")</f>
        <v/>
      </c>
      <c r="X930" s="20" t="str">
        <f>IFERROR(IF([2]对账明细接口!$S930=0,"",[2]对账明细接口!$S930),"")</f>
        <v/>
      </c>
      <c r="Y930" s="20" t="str">
        <f t="shared" si="86"/>
        <v/>
      </c>
      <c r="Z930" s="20" t="str">
        <f t="shared" si="87"/>
        <v/>
      </c>
      <c r="AA930" s="20" t="str">
        <f t="shared" si="88"/>
        <v/>
      </c>
      <c r="AB930" s="20" t="str">
        <f t="shared" si="89"/>
        <v/>
      </c>
    </row>
    <row r="931" customHeight="1" spans="1:28">
      <c r="A931" s="14">
        <v>931</v>
      </c>
      <c r="B931" s="15" t="str">
        <f>IFERROR(IF([2]对账明细接口!$B$931=0,"",[2]对账明细接口!$B$931),"")</f>
        <v/>
      </c>
      <c r="C931" s="16" t="str">
        <f>IFERROR(IF([2]对账明细接口!$C$931=0,"",[2]对账明细接口!$C$931),"")</f>
        <v/>
      </c>
      <c r="D931" s="16" t="str">
        <f>IFERROR(IF([2]对账明细接口!$D$931=0,"",[2]对账明细接口!$D$931),"")</f>
        <v/>
      </c>
      <c r="E931" s="16" t="str">
        <f>IFERROR(IF([2]对账明细接口!$E$931=0,"",[2]对账明细接口!$E$931),"")</f>
        <v/>
      </c>
      <c r="F931" s="16" t="str">
        <f>IFERROR(IF([2]对账明细接口!$F$931=0,"",[2]对账明细接口!$F$931),"")</f>
        <v/>
      </c>
      <c r="G931" s="16" t="str">
        <f>IFERROR(IF([2]对账明细接口!$G$931=0,"",[2]对账明细接口!$G$931),"")</f>
        <v/>
      </c>
      <c r="H931" s="17" t="str">
        <f>IFERROR(IF([2]对账明细接口!$H$931=0,"",[2]对账明细接口!$H$931),"")</f>
        <v/>
      </c>
      <c r="I931" s="16" t="str">
        <f>IFERROR(IF([2]对账明细接口!$I$931=0,"",[2]对账明细接口!$I$931),"")</f>
        <v/>
      </c>
      <c r="J931" s="18" t="str">
        <f>IFERROR(IF([2]对账明细接口!$J$931=0,"",[2]对账明细接口!$J$931),"")</f>
        <v/>
      </c>
      <c r="K931" s="18" t="str">
        <f>IFERROR(IF([2]对账明细接口!$K$931=0,"",[2]对账明细接口!$K$931),"")</f>
        <v/>
      </c>
      <c r="L931" s="16" t="str">
        <f>IFERROR(IF([2]对账明细接口!$L$931=0,"",[2]对账明细接口!$L$931),"")</f>
        <v/>
      </c>
      <c r="M931" s="16" t="str">
        <f>IFERROR(IF([2]对账明细接口!$M$931=0,"",[2]对账明细接口!$M$931),"")</f>
        <v/>
      </c>
      <c r="N931" s="19">
        <f t="shared" si="84"/>
        <v>0</v>
      </c>
      <c r="O931" s="19">
        <f t="shared" si="85"/>
        <v>165</v>
      </c>
      <c r="S931" s="20" t="str">
        <f>IFERROR(IF([2]对账明细接口!$N931=0,"",[2]对账明细接口!$N931),"")</f>
        <v/>
      </c>
      <c r="T931" s="21" t="str">
        <f>IFERROR(IF([2]对账明细接口!$O931=0,"",[2]对账明细接口!$O931),"")</f>
        <v/>
      </c>
      <c r="U931" s="21" t="str">
        <f>IFERROR(IF([2]对账明细接口!$P931=0,"",[2]对账明细接口!$P931),"")</f>
        <v/>
      </c>
      <c r="V931" s="21" t="str">
        <f>IFERROR(IF([2]对账明细接口!$Q931=0,"",[2]对账明细接口!$Q931),"")</f>
        <v/>
      </c>
      <c r="W931" s="20" t="str">
        <f>IFERROR(IF([2]对账明细接口!$R931=0,"",[2]对账明细接口!$R931),"")</f>
        <v/>
      </c>
      <c r="X931" s="20" t="str">
        <f>IFERROR(IF([2]对账明细接口!$S931=0,"",[2]对账明细接口!$S931),"")</f>
        <v/>
      </c>
      <c r="Y931" s="20" t="str">
        <f t="shared" si="86"/>
        <v/>
      </c>
      <c r="Z931" s="20" t="str">
        <f t="shared" si="87"/>
        <v/>
      </c>
      <c r="AA931" s="20" t="str">
        <f t="shared" si="88"/>
        <v/>
      </c>
      <c r="AB931" s="20" t="str">
        <f t="shared" si="89"/>
        <v/>
      </c>
    </row>
    <row r="932" customHeight="1" spans="1:28">
      <c r="A932" s="14">
        <v>932</v>
      </c>
      <c r="B932" s="15" t="str">
        <f>IFERROR(IF([2]对账明细接口!$B$932=0,"",[2]对账明细接口!$B$932),"")</f>
        <v/>
      </c>
      <c r="C932" s="16" t="str">
        <f>IFERROR(IF([2]对账明细接口!$C$932=0,"",[2]对账明细接口!$C$932),"")</f>
        <v/>
      </c>
      <c r="D932" s="16" t="str">
        <f>IFERROR(IF([2]对账明细接口!$D$932=0,"",[2]对账明细接口!$D$932),"")</f>
        <v/>
      </c>
      <c r="E932" s="16" t="str">
        <f>IFERROR(IF([2]对账明细接口!$E$932=0,"",[2]对账明细接口!$E$932),"")</f>
        <v/>
      </c>
      <c r="F932" s="16" t="str">
        <f>IFERROR(IF([2]对账明细接口!$F$932=0,"",[2]对账明细接口!$F$932),"")</f>
        <v/>
      </c>
      <c r="G932" s="16" t="str">
        <f>IFERROR(IF([2]对账明细接口!$G$932=0,"",[2]对账明细接口!$G$932),"")</f>
        <v/>
      </c>
      <c r="H932" s="17" t="str">
        <f>IFERROR(IF([2]对账明细接口!$H$932=0,"",[2]对账明细接口!$H$932),"")</f>
        <v/>
      </c>
      <c r="I932" s="16" t="str">
        <f>IFERROR(IF([2]对账明细接口!$I$932=0,"",[2]对账明细接口!$I$932),"")</f>
        <v/>
      </c>
      <c r="J932" s="18" t="str">
        <f>IFERROR(IF([2]对账明细接口!$J$932=0,"",[2]对账明细接口!$J$932),"")</f>
        <v/>
      </c>
      <c r="K932" s="18" t="str">
        <f>IFERROR(IF([2]对账明细接口!$K$932=0,"",[2]对账明细接口!$K$932),"")</f>
        <v/>
      </c>
      <c r="L932" s="16" t="str">
        <f>IFERROR(IF([2]对账明细接口!$L$932=0,"",[2]对账明细接口!$L$932),"")</f>
        <v/>
      </c>
      <c r="M932" s="16" t="str">
        <f>IFERROR(IF([2]对账明细接口!$M$932=0,"",[2]对账明细接口!$M$932),"")</f>
        <v/>
      </c>
      <c r="N932" s="19">
        <f t="shared" si="84"/>
        <v>0</v>
      </c>
      <c r="O932" s="19">
        <f t="shared" si="85"/>
        <v>165</v>
      </c>
      <c r="S932" s="20" t="str">
        <f>IFERROR(IF([2]对账明细接口!$N932=0,"",[2]对账明细接口!$N932),"")</f>
        <v/>
      </c>
      <c r="T932" s="21" t="str">
        <f>IFERROR(IF([2]对账明细接口!$O932=0,"",[2]对账明细接口!$O932),"")</f>
        <v/>
      </c>
      <c r="U932" s="21" t="str">
        <f>IFERROR(IF([2]对账明细接口!$P932=0,"",[2]对账明细接口!$P932),"")</f>
        <v/>
      </c>
      <c r="V932" s="21" t="str">
        <f>IFERROR(IF([2]对账明细接口!$Q932=0,"",[2]对账明细接口!$Q932),"")</f>
        <v/>
      </c>
      <c r="W932" s="20" t="str">
        <f>IFERROR(IF([2]对账明细接口!$R932=0,"",[2]对账明细接口!$R932),"")</f>
        <v/>
      </c>
      <c r="X932" s="20" t="str">
        <f>IFERROR(IF([2]对账明细接口!$S932=0,"",[2]对账明细接口!$S932),"")</f>
        <v/>
      </c>
      <c r="Y932" s="20" t="str">
        <f t="shared" si="86"/>
        <v/>
      </c>
      <c r="Z932" s="20" t="str">
        <f t="shared" si="87"/>
        <v/>
      </c>
      <c r="AA932" s="20" t="str">
        <f t="shared" si="88"/>
        <v/>
      </c>
      <c r="AB932" s="20" t="str">
        <f t="shared" si="89"/>
        <v/>
      </c>
    </row>
    <row r="933" customHeight="1" spans="1:28">
      <c r="A933" s="14">
        <v>933</v>
      </c>
      <c r="B933" s="15" t="str">
        <f>IFERROR(IF([2]对账明细接口!$B$933=0,"",[2]对账明细接口!$B$933),"")</f>
        <v/>
      </c>
      <c r="C933" s="16" t="str">
        <f>IFERROR(IF([2]对账明细接口!$C$933=0,"",[2]对账明细接口!$C$933),"")</f>
        <v/>
      </c>
      <c r="D933" s="16" t="str">
        <f>IFERROR(IF([2]对账明细接口!$D$933=0,"",[2]对账明细接口!$D$933),"")</f>
        <v/>
      </c>
      <c r="E933" s="16" t="str">
        <f>IFERROR(IF([2]对账明细接口!$E$933=0,"",[2]对账明细接口!$E$933),"")</f>
        <v/>
      </c>
      <c r="F933" s="16" t="str">
        <f>IFERROR(IF([2]对账明细接口!$F$933=0,"",[2]对账明细接口!$F$933),"")</f>
        <v/>
      </c>
      <c r="G933" s="16" t="str">
        <f>IFERROR(IF([2]对账明细接口!$G$933=0,"",[2]对账明细接口!$G$933),"")</f>
        <v/>
      </c>
      <c r="H933" s="17" t="str">
        <f>IFERROR(IF([2]对账明细接口!$H$933=0,"",[2]对账明细接口!$H$933),"")</f>
        <v/>
      </c>
      <c r="I933" s="16" t="str">
        <f>IFERROR(IF([2]对账明细接口!$I$933=0,"",[2]对账明细接口!$I$933),"")</f>
        <v/>
      </c>
      <c r="J933" s="18" t="str">
        <f>IFERROR(IF([2]对账明细接口!$J$933=0,"",[2]对账明细接口!$J$933),"")</f>
        <v/>
      </c>
      <c r="K933" s="18" t="str">
        <f>IFERROR(IF([2]对账明细接口!$K$933=0,"",[2]对账明细接口!$K$933),"")</f>
        <v/>
      </c>
      <c r="L933" s="16" t="str">
        <f>IFERROR(IF([2]对账明细接口!$L$933=0,"",[2]对账明细接口!$L$933),"")</f>
        <v/>
      </c>
      <c r="M933" s="16" t="str">
        <f>IFERROR(IF([2]对账明细接口!$M$933=0,"",[2]对账明细接口!$M$933),"")</f>
        <v/>
      </c>
      <c r="N933" s="19">
        <f t="shared" si="84"/>
        <v>0</v>
      </c>
      <c r="O933" s="19">
        <f t="shared" si="85"/>
        <v>165</v>
      </c>
      <c r="S933" s="20" t="str">
        <f>IFERROR(IF([2]对账明细接口!$N933=0,"",[2]对账明细接口!$N933),"")</f>
        <v/>
      </c>
      <c r="T933" s="21" t="str">
        <f>IFERROR(IF([2]对账明细接口!$O933=0,"",[2]对账明细接口!$O933),"")</f>
        <v/>
      </c>
      <c r="U933" s="21" t="str">
        <f>IFERROR(IF([2]对账明细接口!$P933=0,"",[2]对账明细接口!$P933),"")</f>
        <v/>
      </c>
      <c r="V933" s="21" t="str">
        <f>IFERROR(IF([2]对账明细接口!$Q933=0,"",[2]对账明细接口!$Q933),"")</f>
        <v/>
      </c>
      <c r="W933" s="20" t="str">
        <f>IFERROR(IF([2]对账明细接口!$R933=0,"",[2]对账明细接口!$R933),"")</f>
        <v/>
      </c>
      <c r="X933" s="20" t="str">
        <f>IFERROR(IF([2]对账明细接口!$S933=0,"",[2]对账明细接口!$S933),"")</f>
        <v/>
      </c>
      <c r="Y933" s="20" t="str">
        <f t="shared" si="86"/>
        <v/>
      </c>
      <c r="Z933" s="20" t="str">
        <f t="shared" si="87"/>
        <v/>
      </c>
      <c r="AA933" s="20" t="str">
        <f t="shared" si="88"/>
        <v/>
      </c>
      <c r="AB933" s="20" t="str">
        <f t="shared" si="89"/>
        <v/>
      </c>
    </row>
    <row r="934" customHeight="1" spans="1:28">
      <c r="A934" s="14">
        <v>934</v>
      </c>
      <c r="B934" s="15" t="str">
        <f>IFERROR(IF([2]对账明细接口!$B$934=0,"",[2]对账明细接口!$B$934),"")</f>
        <v/>
      </c>
      <c r="C934" s="16" t="str">
        <f>IFERROR(IF([2]对账明细接口!$C$934=0,"",[2]对账明细接口!$C$934),"")</f>
        <v/>
      </c>
      <c r="D934" s="16" t="str">
        <f>IFERROR(IF([2]对账明细接口!$D$934=0,"",[2]对账明细接口!$D$934),"")</f>
        <v/>
      </c>
      <c r="E934" s="16" t="str">
        <f>IFERROR(IF([2]对账明细接口!$E$934=0,"",[2]对账明细接口!$E$934),"")</f>
        <v/>
      </c>
      <c r="F934" s="16" t="str">
        <f>IFERROR(IF([2]对账明细接口!$F$934=0,"",[2]对账明细接口!$F$934),"")</f>
        <v/>
      </c>
      <c r="G934" s="16" t="str">
        <f>IFERROR(IF([2]对账明细接口!$G$934=0,"",[2]对账明细接口!$G$934),"")</f>
        <v/>
      </c>
      <c r="H934" s="17" t="str">
        <f>IFERROR(IF([2]对账明细接口!$H$934=0,"",[2]对账明细接口!$H$934),"")</f>
        <v/>
      </c>
      <c r="I934" s="16" t="str">
        <f>IFERROR(IF([2]对账明细接口!$I$934=0,"",[2]对账明细接口!$I$934),"")</f>
        <v/>
      </c>
      <c r="J934" s="18" t="str">
        <f>IFERROR(IF([2]对账明细接口!$J$934=0,"",[2]对账明细接口!$J$934),"")</f>
        <v/>
      </c>
      <c r="K934" s="18" t="str">
        <f>IFERROR(IF([2]对账明细接口!$K$934=0,"",[2]对账明细接口!$K$934),"")</f>
        <v/>
      </c>
      <c r="L934" s="16" t="str">
        <f>IFERROR(IF([2]对账明细接口!$L$934=0,"",[2]对账明细接口!$L$934),"")</f>
        <v/>
      </c>
      <c r="M934" s="16" t="str">
        <f>IFERROR(IF([2]对账明细接口!$M$934=0,"",[2]对账明细接口!$M$934),"")</f>
        <v/>
      </c>
      <c r="N934" s="19">
        <f t="shared" si="84"/>
        <v>0</v>
      </c>
      <c r="O934" s="19">
        <f t="shared" si="85"/>
        <v>165</v>
      </c>
      <c r="S934" s="20" t="str">
        <f>IFERROR(IF([2]对账明细接口!$N934=0,"",[2]对账明细接口!$N934),"")</f>
        <v/>
      </c>
      <c r="T934" s="21" t="str">
        <f>IFERROR(IF([2]对账明细接口!$O934=0,"",[2]对账明细接口!$O934),"")</f>
        <v/>
      </c>
      <c r="U934" s="21" t="str">
        <f>IFERROR(IF([2]对账明细接口!$P934=0,"",[2]对账明细接口!$P934),"")</f>
        <v/>
      </c>
      <c r="V934" s="21" t="str">
        <f>IFERROR(IF([2]对账明细接口!$Q934=0,"",[2]对账明细接口!$Q934),"")</f>
        <v/>
      </c>
      <c r="W934" s="20" t="str">
        <f>IFERROR(IF([2]对账明细接口!$R934=0,"",[2]对账明细接口!$R934),"")</f>
        <v/>
      </c>
      <c r="X934" s="20" t="str">
        <f>IFERROR(IF([2]对账明细接口!$S934=0,"",[2]对账明细接口!$S934),"")</f>
        <v/>
      </c>
      <c r="Y934" s="20" t="str">
        <f t="shared" si="86"/>
        <v/>
      </c>
      <c r="Z934" s="20" t="str">
        <f t="shared" si="87"/>
        <v/>
      </c>
      <c r="AA934" s="20" t="str">
        <f t="shared" si="88"/>
        <v/>
      </c>
      <c r="AB934" s="20" t="str">
        <f t="shared" si="89"/>
        <v/>
      </c>
    </row>
    <row r="935" customHeight="1" spans="1:28">
      <c r="A935" s="14">
        <v>935</v>
      </c>
      <c r="B935" s="15" t="str">
        <f>IFERROR(IF([2]对账明细接口!$B$935=0,"",[2]对账明细接口!$B$935),"")</f>
        <v/>
      </c>
      <c r="C935" s="16" t="str">
        <f>IFERROR(IF([2]对账明细接口!$C$935=0,"",[2]对账明细接口!$C$935),"")</f>
        <v/>
      </c>
      <c r="D935" s="16" t="str">
        <f>IFERROR(IF([2]对账明细接口!$D$935=0,"",[2]对账明细接口!$D$935),"")</f>
        <v/>
      </c>
      <c r="E935" s="16" t="str">
        <f>IFERROR(IF([2]对账明细接口!$E$935=0,"",[2]对账明细接口!$E$935),"")</f>
        <v/>
      </c>
      <c r="F935" s="16" t="str">
        <f>IFERROR(IF([2]对账明细接口!$F$935=0,"",[2]对账明细接口!$F$935),"")</f>
        <v/>
      </c>
      <c r="G935" s="16" t="str">
        <f>IFERROR(IF([2]对账明细接口!$G$935=0,"",[2]对账明细接口!$G$935),"")</f>
        <v/>
      </c>
      <c r="H935" s="17" t="str">
        <f>IFERROR(IF([2]对账明细接口!$H$935=0,"",[2]对账明细接口!$H$935),"")</f>
        <v/>
      </c>
      <c r="I935" s="16" t="str">
        <f>IFERROR(IF([2]对账明细接口!$I$935=0,"",[2]对账明细接口!$I$935),"")</f>
        <v/>
      </c>
      <c r="J935" s="18" t="str">
        <f>IFERROR(IF([2]对账明细接口!$J$935=0,"",[2]对账明细接口!$J$935),"")</f>
        <v/>
      </c>
      <c r="K935" s="18" t="str">
        <f>IFERROR(IF([2]对账明细接口!$K$935=0,"",[2]对账明细接口!$K$935),"")</f>
        <v/>
      </c>
      <c r="L935" s="16" t="str">
        <f>IFERROR(IF([2]对账明细接口!$L$935=0,"",[2]对账明细接口!$L$935),"")</f>
        <v/>
      </c>
      <c r="M935" s="16" t="str">
        <f>IFERROR(IF([2]对账明细接口!$M$935=0,"",[2]对账明细接口!$M$935),"")</f>
        <v/>
      </c>
      <c r="N935" s="19">
        <f t="shared" si="84"/>
        <v>0</v>
      </c>
      <c r="O935" s="19">
        <f t="shared" si="85"/>
        <v>165</v>
      </c>
      <c r="S935" s="20" t="str">
        <f>IFERROR(IF([2]对账明细接口!$N935=0,"",[2]对账明细接口!$N935),"")</f>
        <v/>
      </c>
      <c r="T935" s="21" t="str">
        <f>IFERROR(IF([2]对账明细接口!$O935=0,"",[2]对账明细接口!$O935),"")</f>
        <v/>
      </c>
      <c r="U935" s="21" t="str">
        <f>IFERROR(IF([2]对账明细接口!$P935=0,"",[2]对账明细接口!$P935),"")</f>
        <v/>
      </c>
      <c r="V935" s="21" t="str">
        <f>IFERROR(IF([2]对账明细接口!$Q935=0,"",[2]对账明细接口!$Q935),"")</f>
        <v/>
      </c>
      <c r="W935" s="20" t="str">
        <f>IFERROR(IF([2]对账明细接口!$R935=0,"",[2]对账明细接口!$R935),"")</f>
        <v/>
      </c>
      <c r="X935" s="20" t="str">
        <f>IFERROR(IF([2]对账明细接口!$S935=0,"",[2]对账明细接口!$S935),"")</f>
        <v/>
      </c>
      <c r="Y935" s="20" t="str">
        <f t="shared" si="86"/>
        <v/>
      </c>
      <c r="Z935" s="20" t="str">
        <f t="shared" si="87"/>
        <v/>
      </c>
      <c r="AA935" s="20" t="str">
        <f t="shared" si="88"/>
        <v/>
      </c>
      <c r="AB935" s="20" t="str">
        <f t="shared" si="89"/>
        <v/>
      </c>
    </row>
    <row r="936" customHeight="1" spans="1:28">
      <c r="A936" s="14">
        <v>936</v>
      </c>
      <c r="B936" s="15" t="str">
        <f>IFERROR(IF([2]对账明细接口!$B$936=0,"",[2]对账明细接口!$B$936),"")</f>
        <v/>
      </c>
      <c r="C936" s="16" t="str">
        <f>IFERROR(IF([2]对账明细接口!$C$936=0,"",[2]对账明细接口!$C$936),"")</f>
        <v/>
      </c>
      <c r="D936" s="16" t="str">
        <f>IFERROR(IF([2]对账明细接口!$D$936=0,"",[2]对账明细接口!$D$936),"")</f>
        <v/>
      </c>
      <c r="E936" s="16" t="str">
        <f>IFERROR(IF([2]对账明细接口!$E$936=0,"",[2]对账明细接口!$E$936),"")</f>
        <v/>
      </c>
      <c r="F936" s="16" t="str">
        <f>IFERROR(IF([2]对账明细接口!$F$936=0,"",[2]对账明细接口!$F$936),"")</f>
        <v/>
      </c>
      <c r="G936" s="16" t="str">
        <f>IFERROR(IF([2]对账明细接口!$G$936=0,"",[2]对账明细接口!$G$936),"")</f>
        <v/>
      </c>
      <c r="H936" s="17" t="str">
        <f>IFERROR(IF([2]对账明细接口!$H$936=0,"",[2]对账明细接口!$H$936),"")</f>
        <v/>
      </c>
      <c r="I936" s="16" t="str">
        <f>IFERROR(IF([2]对账明细接口!$I$936=0,"",[2]对账明细接口!$I$936),"")</f>
        <v/>
      </c>
      <c r="J936" s="18" t="str">
        <f>IFERROR(IF([2]对账明细接口!$J$936=0,"",[2]对账明细接口!$J$936),"")</f>
        <v/>
      </c>
      <c r="K936" s="18" t="str">
        <f>IFERROR(IF([2]对账明细接口!$K$936=0,"",[2]对账明细接口!$K$936),"")</f>
        <v/>
      </c>
      <c r="L936" s="16" t="str">
        <f>IFERROR(IF([2]对账明细接口!$L$936=0,"",[2]对账明细接口!$L$936),"")</f>
        <v/>
      </c>
      <c r="M936" s="16" t="str">
        <f>IFERROR(IF([2]对账明细接口!$M$936=0,"",[2]对账明细接口!$M$936),"")</f>
        <v/>
      </c>
      <c r="N936" s="19">
        <f t="shared" si="84"/>
        <v>0</v>
      </c>
      <c r="O936" s="19">
        <f t="shared" si="85"/>
        <v>165</v>
      </c>
      <c r="S936" s="20" t="str">
        <f>IFERROR(IF([2]对账明细接口!$N936=0,"",[2]对账明细接口!$N936),"")</f>
        <v/>
      </c>
      <c r="T936" s="21" t="str">
        <f>IFERROR(IF([2]对账明细接口!$O936=0,"",[2]对账明细接口!$O936),"")</f>
        <v/>
      </c>
      <c r="U936" s="21" t="str">
        <f>IFERROR(IF([2]对账明细接口!$P936=0,"",[2]对账明细接口!$P936),"")</f>
        <v/>
      </c>
      <c r="V936" s="21" t="str">
        <f>IFERROR(IF([2]对账明细接口!$Q936=0,"",[2]对账明细接口!$Q936),"")</f>
        <v/>
      </c>
      <c r="W936" s="20" t="str">
        <f>IFERROR(IF([2]对账明细接口!$R936=0,"",[2]对账明细接口!$R936),"")</f>
        <v/>
      </c>
      <c r="X936" s="20" t="str">
        <f>IFERROR(IF([2]对账明细接口!$S936=0,"",[2]对账明细接口!$S936),"")</f>
        <v/>
      </c>
      <c r="Y936" s="20" t="str">
        <f t="shared" si="86"/>
        <v/>
      </c>
      <c r="Z936" s="20" t="str">
        <f t="shared" si="87"/>
        <v/>
      </c>
      <c r="AA936" s="20" t="str">
        <f t="shared" si="88"/>
        <v/>
      </c>
      <c r="AB936" s="20" t="str">
        <f t="shared" si="89"/>
        <v/>
      </c>
    </row>
    <row r="937" customHeight="1" spans="1:28">
      <c r="A937" s="14">
        <v>937</v>
      </c>
      <c r="B937" s="15" t="str">
        <f>IFERROR(IF([2]对账明细接口!$B$937=0,"",[2]对账明细接口!$B$937),"")</f>
        <v/>
      </c>
      <c r="C937" s="16" t="str">
        <f>IFERROR(IF([2]对账明细接口!$C$937=0,"",[2]对账明细接口!$C$937),"")</f>
        <v/>
      </c>
      <c r="D937" s="16" t="str">
        <f>IFERROR(IF([2]对账明细接口!$D$937=0,"",[2]对账明细接口!$D$937),"")</f>
        <v/>
      </c>
      <c r="E937" s="16" t="str">
        <f>IFERROR(IF([2]对账明细接口!$E$937=0,"",[2]对账明细接口!$E$937),"")</f>
        <v/>
      </c>
      <c r="F937" s="16" t="str">
        <f>IFERROR(IF([2]对账明细接口!$F$937=0,"",[2]对账明细接口!$F$937),"")</f>
        <v/>
      </c>
      <c r="G937" s="16" t="str">
        <f>IFERROR(IF([2]对账明细接口!$G$937=0,"",[2]对账明细接口!$G$937),"")</f>
        <v/>
      </c>
      <c r="H937" s="17" t="str">
        <f>IFERROR(IF([2]对账明细接口!$H$937=0,"",[2]对账明细接口!$H$937),"")</f>
        <v/>
      </c>
      <c r="I937" s="16" t="str">
        <f>IFERROR(IF([2]对账明细接口!$I$937=0,"",[2]对账明细接口!$I$937),"")</f>
        <v/>
      </c>
      <c r="J937" s="18" t="str">
        <f>IFERROR(IF([2]对账明细接口!$J$937=0,"",[2]对账明细接口!$J$937),"")</f>
        <v/>
      </c>
      <c r="K937" s="18" t="str">
        <f>IFERROR(IF([2]对账明细接口!$K$937=0,"",[2]对账明细接口!$K$937),"")</f>
        <v/>
      </c>
      <c r="L937" s="16" t="str">
        <f>IFERROR(IF([2]对账明细接口!$L$937=0,"",[2]对账明细接口!$L$937),"")</f>
        <v/>
      </c>
      <c r="M937" s="16" t="str">
        <f>IFERROR(IF([2]对账明细接口!$M$937=0,"",[2]对账明细接口!$M$937),"")</f>
        <v/>
      </c>
      <c r="N937" s="19">
        <f t="shared" si="84"/>
        <v>0</v>
      </c>
      <c r="O937" s="19">
        <f t="shared" si="85"/>
        <v>165</v>
      </c>
      <c r="S937" s="20" t="str">
        <f>IFERROR(IF([2]对账明细接口!$N937=0,"",[2]对账明细接口!$N937),"")</f>
        <v/>
      </c>
      <c r="T937" s="21" t="str">
        <f>IFERROR(IF([2]对账明细接口!$O937=0,"",[2]对账明细接口!$O937),"")</f>
        <v/>
      </c>
      <c r="U937" s="21" t="str">
        <f>IFERROR(IF([2]对账明细接口!$P937=0,"",[2]对账明细接口!$P937),"")</f>
        <v/>
      </c>
      <c r="V937" s="21" t="str">
        <f>IFERROR(IF([2]对账明细接口!$Q937=0,"",[2]对账明细接口!$Q937),"")</f>
        <v/>
      </c>
      <c r="W937" s="20" t="str">
        <f>IFERROR(IF([2]对账明细接口!$R937=0,"",[2]对账明细接口!$R937),"")</f>
        <v/>
      </c>
      <c r="X937" s="20" t="str">
        <f>IFERROR(IF([2]对账明细接口!$S937=0,"",[2]对账明细接口!$S937),"")</f>
        <v/>
      </c>
      <c r="Y937" s="20" t="str">
        <f t="shared" si="86"/>
        <v/>
      </c>
      <c r="Z937" s="20" t="str">
        <f t="shared" si="87"/>
        <v/>
      </c>
      <c r="AA937" s="20" t="str">
        <f t="shared" si="88"/>
        <v/>
      </c>
      <c r="AB937" s="20" t="str">
        <f t="shared" si="89"/>
        <v/>
      </c>
    </row>
    <row r="938" customHeight="1" spans="1:28">
      <c r="A938" s="14">
        <v>938</v>
      </c>
      <c r="B938" s="15" t="str">
        <f>IFERROR(IF([2]对账明细接口!$B$938=0,"",[2]对账明细接口!$B$938),"")</f>
        <v/>
      </c>
      <c r="C938" s="16" t="str">
        <f>IFERROR(IF([2]对账明细接口!$C$938=0,"",[2]对账明细接口!$C$938),"")</f>
        <v/>
      </c>
      <c r="D938" s="16" t="str">
        <f>IFERROR(IF([2]对账明细接口!$D$938=0,"",[2]对账明细接口!$D$938),"")</f>
        <v/>
      </c>
      <c r="E938" s="16" t="str">
        <f>IFERROR(IF([2]对账明细接口!$E$938=0,"",[2]对账明细接口!$E$938),"")</f>
        <v/>
      </c>
      <c r="F938" s="16" t="str">
        <f>IFERROR(IF([2]对账明细接口!$F$938=0,"",[2]对账明细接口!$F$938),"")</f>
        <v/>
      </c>
      <c r="G938" s="16" t="str">
        <f>IFERROR(IF([2]对账明细接口!$G$938=0,"",[2]对账明细接口!$G$938),"")</f>
        <v/>
      </c>
      <c r="H938" s="17" t="str">
        <f>IFERROR(IF([2]对账明细接口!$H$938=0,"",[2]对账明细接口!$H$938),"")</f>
        <v/>
      </c>
      <c r="I938" s="16" t="str">
        <f>IFERROR(IF([2]对账明细接口!$I$938=0,"",[2]对账明细接口!$I$938),"")</f>
        <v/>
      </c>
      <c r="J938" s="18" t="str">
        <f>IFERROR(IF([2]对账明细接口!$J$938=0,"",[2]对账明细接口!$J$938),"")</f>
        <v/>
      </c>
      <c r="K938" s="18" t="str">
        <f>IFERROR(IF([2]对账明细接口!$K$938=0,"",[2]对账明细接口!$K$938),"")</f>
        <v/>
      </c>
      <c r="L938" s="16" t="str">
        <f>IFERROR(IF([2]对账明细接口!$L$938=0,"",[2]对账明细接口!$L$938),"")</f>
        <v/>
      </c>
      <c r="M938" s="16" t="str">
        <f>IFERROR(IF([2]对账明细接口!$M$938=0,"",[2]对账明细接口!$M$938),"")</f>
        <v/>
      </c>
      <c r="N938" s="19">
        <f t="shared" si="84"/>
        <v>0</v>
      </c>
      <c r="O938" s="19">
        <f t="shared" si="85"/>
        <v>165</v>
      </c>
      <c r="S938" s="20" t="str">
        <f>IFERROR(IF([2]对账明细接口!$N938=0,"",[2]对账明细接口!$N938),"")</f>
        <v/>
      </c>
      <c r="T938" s="21" t="str">
        <f>IFERROR(IF([2]对账明细接口!$O938=0,"",[2]对账明细接口!$O938),"")</f>
        <v/>
      </c>
      <c r="U938" s="21" t="str">
        <f>IFERROR(IF([2]对账明细接口!$P938=0,"",[2]对账明细接口!$P938),"")</f>
        <v/>
      </c>
      <c r="V938" s="21" t="str">
        <f>IFERROR(IF([2]对账明细接口!$Q938=0,"",[2]对账明细接口!$Q938),"")</f>
        <v/>
      </c>
      <c r="W938" s="20" t="str">
        <f>IFERROR(IF([2]对账明细接口!$R938=0,"",[2]对账明细接口!$R938),"")</f>
        <v/>
      </c>
      <c r="X938" s="20" t="str">
        <f>IFERROR(IF([2]对账明细接口!$S938=0,"",[2]对账明细接口!$S938),"")</f>
        <v/>
      </c>
      <c r="Y938" s="20" t="str">
        <f t="shared" si="86"/>
        <v/>
      </c>
      <c r="Z938" s="20" t="str">
        <f t="shared" si="87"/>
        <v/>
      </c>
      <c r="AA938" s="20" t="str">
        <f t="shared" si="88"/>
        <v/>
      </c>
      <c r="AB938" s="20" t="str">
        <f t="shared" si="89"/>
        <v/>
      </c>
    </row>
    <row r="939" customHeight="1" spans="1:28">
      <c r="A939" s="14">
        <v>939</v>
      </c>
      <c r="B939" s="15" t="str">
        <f>IFERROR(IF([2]对账明细接口!$B$939=0,"",[2]对账明细接口!$B$939),"")</f>
        <v/>
      </c>
      <c r="C939" s="16" t="str">
        <f>IFERROR(IF([2]对账明细接口!$C$939=0,"",[2]对账明细接口!$C$939),"")</f>
        <v/>
      </c>
      <c r="D939" s="16" t="str">
        <f>IFERROR(IF([2]对账明细接口!$D$939=0,"",[2]对账明细接口!$D$939),"")</f>
        <v/>
      </c>
      <c r="E939" s="16" t="str">
        <f>IFERROR(IF([2]对账明细接口!$E$939=0,"",[2]对账明细接口!$E$939),"")</f>
        <v/>
      </c>
      <c r="F939" s="16" t="str">
        <f>IFERROR(IF([2]对账明细接口!$F$939=0,"",[2]对账明细接口!$F$939),"")</f>
        <v/>
      </c>
      <c r="G939" s="16" t="str">
        <f>IFERROR(IF([2]对账明细接口!$G$939=0,"",[2]对账明细接口!$G$939),"")</f>
        <v/>
      </c>
      <c r="H939" s="17" t="str">
        <f>IFERROR(IF([2]对账明细接口!$H$939=0,"",[2]对账明细接口!$H$939),"")</f>
        <v/>
      </c>
      <c r="I939" s="16" t="str">
        <f>IFERROR(IF([2]对账明细接口!$I$939=0,"",[2]对账明细接口!$I$939),"")</f>
        <v/>
      </c>
      <c r="J939" s="18" t="str">
        <f>IFERROR(IF([2]对账明细接口!$J$939=0,"",[2]对账明细接口!$J$939),"")</f>
        <v/>
      </c>
      <c r="K939" s="18" t="str">
        <f>IFERROR(IF([2]对账明细接口!$K$939=0,"",[2]对账明细接口!$K$939),"")</f>
        <v/>
      </c>
      <c r="L939" s="16" t="str">
        <f>IFERROR(IF([2]对账明细接口!$L$939=0,"",[2]对账明细接口!$L$939),"")</f>
        <v/>
      </c>
      <c r="M939" s="16" t="str">
        <f>IFERROR(IF([2]对账明细接口!$M$939=0,"",[2]对账明细接口!$M$939),"")</f>
        <v/>
      </c>
      <c r="N939" s="19">
        <f t="shared" si="84"/>
        <v>0</v>
      </c>
      <c r="O939" s="19">
        <f t="shared" si="85"/>
        <v>165</v>
      </c>
      <c r="S939" s="20" t="str">
        <f>IFERROR(IF([2]对账明细接口!$N939=0,"",[2]对账明细接口!$N939),"")</f>
        <v/>
      </c>
      <c r="T939" s="21" t="str">
        <f>IFERROR(IF([2]对账明细接口!$O939=0,"",[2]对账明细接口!$O939),"")</f>
        <v/>
      </c>
      <c r="U939" s="21" t="str">
        <f>IFERROR(IF([2]对账明细接口!$P939=0,"",[2]对账明细接口!$P939),"")</f>
        <v/>
      </c>
      <c r="V939" s="21" t="str">
        <f>IFERROR(IF([2]对账明细接口!$Q939=0,"",[2]对账明细接口!$Q939),"")</f>
        <v/>
      </c>
      <c r="W939" s="20" t="str">
        <f>IFERROR(IF([2]对账明细接口!$R939=0,"",[2]对账明细接口!$R939),"")</f>
        <v/>
      </c>
      <c r="X939" s="20" t="str">
        <f>IFERROR(IF([2]对账明细接口!$S939=0,"",[2]对账明细接口!$S939),"")</f>
        <v/>
      </c>
      <c r="Y939" s="20" t="str">
        <f t="shared" si="86"/>
        <v/>
      </c>
      <c r="Z939" s="20" t="str">
        <f t="shared" si="87"/>
        <v/>
      </c>
      <c r="AA939" s="20" t="str">
        <f t="shared" si="88"/>
        <v/>
      </c>
      <c r="AB939" s="20" t="str">
        <f t="shared" si="89"/>
        <v/>
      </c>
    </row>
    <row r="940" customHeight="1" spans="1:28">
      <c r="A940" s="14">
        <v>940</v>
      </c>
      <c r="B940" s="15" t="str">
        <f>IFERROR(IF([2]对账明细接口!$B$940=0,"",[2]对账明细接口!$B$940),"")</f>
        <v/>
      </c>
      <c r="C940" s="16" t="str">
        <f>IFERROR(IF([2]对账明细接口!$C$940=0,"",[2]对账明细接口!$C$940),"")</f>
        <v/>
      </c>
      <c r="D940" s="16" t="str">
        <f>IFERROR(IF([2]对账明细接口!$D$940=0,"",[2]对账明细接口!$D$940),"")</f>
        <v/>
      </c>
      <c r="E940" s="16" t="str">
        <f>IFERROR(IF([2]对账明细接口!$E$940=0,"",[2]对账明细接口!$E$940),"")</f>
        <v/>
      </c>
      <c r="F940" s="16" t="str">
        <f>IFERROR(IF([2]对账明细接口!$F$940=0,"",[2]对账明细接口!$F$940),"")</f>
        <v/>
      </c>
      <c r="G940" s="16" t="str">
        <f>IFERROR(IF([2]对账明细接口!$G$940=0,"",[2]对账明细接口!$G$940),"")</f>
        <v/>
      </c>
      <c r="H940" s="17" t="str">
        <f>IFERROR(IF([2]对账明细接口!$H$940=0,"",[2]对账明细接口!$H$940),"")</f>
        <v/>
      </c>
      <c r="I940" s="16" t="str">
        <f>IFERROR(IF([2]对账明细接口!$I$940=0,"",[2]对账明细接口!$I$940),"")</f>
        <v/>
      </c>
      <c r="J940" s="18" t="str">
        <f>IFERROR(IF([2]对账明细接口!$J$940=0,"",[2]对账明细接口!$J$940),"")</f>
        <v/>
      </c>
      <c r="K940" s="18" t="str">
        <f>IFERROR(IF([2]对账明细接口!$K$940=0,"",[2]对账明细接口!$K$940),"")</f>
        <v/>
      </c>
      <c r="L940" s="16" t="str">
        <f>IFERROR(IF([2]对账明细接口!$L$940=0,"",[2]对账明细接口!$L$940),"")</f>
        <v/>
      </c>
      <c r="M940" s="16" t="str">
        <f>IFERROR(IF([2]对账明细接口!$M$940=0,"",[2]对账明细接口!$M$940),"")</f>
        <v/>
      </c>
      <c r="N940" s="19">
        <f t="shared" si="84"/>
        <v>0</v>
      </c>
      <c r="O940" s="19">
        <f t="shared" si="85"/>
        <v>165</v>
      </c>
      <c r="S940" s="20" t="str">
        <f>IFERROR(IF([2]对账明细接口!$N940=0,"",[2]对账明细接口!$N940),"")</f>
        <v/>
      </c>
      <c r="T940" s="21" t="str">
        <f>IFERROR(IF([2]对账明细接口!$O940=0,"",[2]对账明细接口!$O940),"")</f>
        <v/>
      </c>
      <c r="U940" s="21" t="str">
        <f>IFERROR(IF([2]对账明细接口!$P940=0,"",[2]对账明细接口!$P940),"")</f>
        <v/>
      </c>
      <c r="V940" s="21" t="str">
        <f>IFERROR(IF([2]对账明细接口!$Q940=0,"",[2]对账明细接口!$Q940),"")</f>
        <v/>
      </c>
      <c r="W940" s="20" t="str">
        <f>IFERROR(IF([2]对账明细接口!$R940=0,"",[2]对账明细接口!$R940),"")</f>
        <v/>
      </c>
      <c r="X940" s="20" t="str">
        <f>IFERROR(IF([2]对账明细接口!$S940=0,"",[2]对账明细接口!$S940),"")</f>
        <v/>
      </c>
      <c r="Y940" s="20" t="str">
        <f t="shared" si="86"/>
        <v/>
      </c>
      <c r="Z940" s="20" t="str">
        <f t="shared" si="87"/>
        <v/>
      </c>
      <c r="AA940" s="20" t="str">
        <f t="shared" si="88"/>
        <v/>
      </c>
      <c r="AB940" s="20" t="str">
        <f t="shared" si="89"/>
        <v/>
      </c>
    </row>
    <row r="941" customHeight="1" spans="1:28">
      <c r="A941" s="14">
        <v>941</v>
      </c>
      <c r="B941" s="15" t="str">
        <f>IFERROR(IF([2]对账明细接口!$B$941=0,"",[2]对账明细接口!$B$941),"")</f>
        <v/>
      </c>
      <c r="C941" s="16" t="str">
        <f>IFERROR(IF([2]对账明细接口!$C$941=0,"",[2]对账明细接口!$C$941),"")</f>
        <v/>
      </c>
      <c r="D941" s="16" t="str">
        <f>IFERROR(IF([2]对账明细接口!$D$941=0,"",[2]对账明细接口!$D$941),"")</f>
        <v/>
      </c>
      <c r="E941" s="16" t="str">
        <f>IFERROR(IF([2]对账明细接口!$E$941=0,"",[2]对账明细接口!$E$941),"")</f>
        <v/>
      </c>
      <c r="F941" s="16" t="str">
        <f>IFERROR(IF([2]对账明细接口!$F$941=0,"",[2]对账明细接口!$F$941),"")</f>
        <v/>
      </c>
      <c r="G941" s="16" t="str">
        <f>IFERROR(IF([2]对账明细接口!$G$941=0,"",[2]对账明细接口!$G$941),"")</f>
        <v/>
      </c>
      <c r="H941" s="17" t="str">
        <f>IFERROR(IF([2]对账明细接口!$H$941=0,"",[2]对账明细接口!$H$941),"")</f>
        <v/>
      </c>
      <c r="I941" s="16" t="str">
        <f>IFERROR(IF([2]对账明细接口!$I$941=0,"",[2]对账明细接口!$I$941),"")</f>
        <v/>
      </c>
      <c r="J941" s="18" t="str">
        <f>IFERROR(IF([2]对账明细接口!$J$941=0,"",[2]对账明细接口!$J$941),"")</f>
        <v/>
      </c>
      <c r="K941" s="18" t="str">
        <f>IFERROR(IF([2]对账明细接口!$K$941=0,"",[2]对账明细接口!$K$941),"")</f>
        <v/>
      </c>
      <c r="L941" s="16" t="str">
        <f>IFERROR(IF([2]对账明细接口!$L$941=0,"",[2]对账明细接口!$L$941),"")</f>
        <v/>
      </c>
      <c r="M941" s="16" t="str">
        <f>IFERROR(IF([2]对账明细接口!$M$941=0,"",[2]对账明细接口!$M$941),"")</f>
        <v/>
      </c>
      <c r="N941" s="19">
        <f t="shared" si="84"/>
        <v>0</v>
      </c>
      <c r="O941" s="19">
        <f t="shared" si="85"/>
        <v>165</v>
      </c>
      <c r="S941" s="20" t="str">
        <f>IFERROR(IF([2]对账明细接口!$N941=0,"",[2]对账明细接口!$N941),"")</f>
        <v/>
      </c>
      <c r="T941" s="21" t="str">
        <f>IFERROR(IF([2]对账明细接口!$O941=0,"",[2]对账明细接口!$O941),"")</f>
        <v/>
      </c>
      <c r="U941" s="21" t="str">
        <f>IFERROR(IF([2]对账明细接口!$P941=0,"",[2]对账明细接口!$P941),"")</f>
        <v/>
      </c>
      <c r="V941" s="21" t="str">
        <f>IFERROR(IF([2]对账明细接口!$Q941=0,"",[2]对账明细接口!$Q941),"")</f>
        <v/>
      </c>
      <c r="W941" s="20" t="str">
        <f>IFERROR(IF([2]对账明细接口!$R941=0,"",[2]对账明细接口!$R941),"")</f>
        <v/>
      </c>
      <c r="X941" s="20" t="str">
        <f>IFERROR(IF([2]对账明细接口!$S941=0,"",[2]对账明细接口!$S941),"")</f>
        <v/>
      </c>
      <c r="Y941" s="20" t="str">
        <f t="shared" si="86"/>
        <v/>
      </c>
      <c r="Z941" s="20" t="str">
        <f t="shared" si="87"/>
        <v/>
      </c>
      <c r="AA941" s="20" t="str">
        <f t="shared" si="88"/>
        <v/>
      </c>
      <c r="AB941" s="20" t="str">
        <f t="shared" si="89"/>
        <v/>
      </c>
    </row>
    <row r="942" customHeight="1" spans="1:28">
      <c r="A942" s="14">
        <v>942</v>
      </c>
      <c r="B942" s="15" t="str">
        <f>IFERROR(IF([2]对账明细接口!$B$942=0,"",[2]对账明细接口!$B$942),"")</f>
        <v/>
      </c>
      <c r="C942" s="16" t="str">
        <f>IFERROR(IF([2]对账明细接口!$C$942=0,"",[2]对账明细接口!$C$942),"")</f>
        <v/>
      </c>
      <c r="D942" s="16" t="str">
        <f>IFERROR(IF([2]对账明细接口!$D$942=0,"",[2]对账明细接口!$D$942),"")</f>
        <v/>
      </c>
      <c r="E942" s="16" t="str">
        <f>IFERROR(IF([2]对账明细接口!$E$942=0,"",[2]对账明细接口!$E$942),"")</f>
        <v/>
      </c>
      <c r="F942" s="16" t="str">
        <f>IFERROR(IF([2]对账明细接口!$F$942=0,"",[2]对账明细接口!$F$942),"")</f>
        <v/>
      </c>
      <c r="G942" s="16" t="str">
        <f>IFERROR(IF([2]对账明细接口!$G$942=0,"",[2]对账明细接口!$G$942),"")</f>
        <v/>
      </c>
      <c r="H942" s="17" t="str">
        <f>IFERROR(IF([2]对账明细接口!$H$942=0,"",[2]对账明细接口!$H$942),"")</f>
        <v/>
      </c>
      <c r="I942" s="16" t="str">
        <f>IFERROR(IF([2]对账明细接口!$I$942=0,"",[2]对账明细接口!$I$942),"")</f>
        <v/>
      </c>
      <c r="J942" s="18" t="str">
        <f>IFERROR(IF([2]对账明细接口!$J$942=0,"",[2]对账明细接口!$J$942),"")</f>
        <v/>
      </c>
      <c r="K942" s="18" t="str">
        <f>IFERROR(IF([2]对账明细接口!$K$942=0,"",[2]对账明细接口!$K$942),"")</f>
        <v/>
      </c>
      <c r="L942" s="16" t="str">
        <f>IFERROR(IF([2]对账明细接口!$L$942=0,"",[2]对账明细接口!$L$942),"")</f>
        <v/>
      </c>
      <c r="M942" s="16" t="str">
        <f>IFERROR(IF([2]对账明细接口!$M$942=0,"",[2]对账明细接口!$M$942),"")</f>
        <v/>
      </c>
      <c r="N942" s="19">
        <f t="shared" si="84"/>
        <v>0</v>
      </c>
      <c r="O942" s="19">
        <f t="shared" si="85"/>
        <v>165</v>
      </c>
      <c r="S942" s="20" t="str">
        <f>IFERROR(IF([2]对账明细接口!$N942=0,"",[2]对账明细接口!$N942),"")</f>
        <v/>
      </c>
      <c r="T942" s="21" t="str">
        <f>IFERROR(IF([2]对账明细接口!$O942=0,"",[2]对账明细接口!$O942),"")</f>
        <v/>
      </c>
      <c r="U942" s="21" t="str">
        <f>IFERROR(IF([2]对账明细接口!$P942=0,"",[2]对账明细接口!$P942),"")</f>
        <v/>
      </c>
      <c r="V942" s="21" t="str">
        <f>IFERROR(IF([2]对账明细接口!$Q942=0,"",[2]对账明细接口!$Q942),"")</f>
        <v/>
      </c>
      <c r="W942" s="20" t="str">
        <f>IFERROR(IF([2]对账明细接口!$R942=0,"",[2]对账明细接口!$R942),"")</f>
        <v/>
      </c>
      <c r="X942" s="20" t="str">
        <f>IFERROR(IF([2]对账明细接口!$S942=0,"",[2]对账明细接口!$S942),"")</f>
        <v/>
      </c>
      <c r="Y942" s="20" t="str">
        <f t="shared" si="86"/>
        <v/>
      </c>
      <c r="Z942" s="20" t="str">
        <f t="shared" si="87"/>
        <v/>
      </c>
      <c r="AA942" s="20" t="str">
        <f t="shared" si="88"/>
        <v/>
      </c>
      <c r="AB942" s="20" t="str">
        <f t="shared" si="89"/>
        <v/>
      </c>
    </row>
    <row r="943" customHeight="1" spans="1:28">
      <c r="A943" s="14">
        <v>943</v>
      </c>
      <c r="B943" s="15" t="str">
        <f>IFERROR(IF([2]对账明细接口!$B$943=0,"",[2]对账明细接口!$B$943),"")</f>
        <v/>
      </c>
      <c r="C943" s="16" t="str">
        <f>IFERROR(IF([2]对账明细接口!$C$943=0,"",[2]对账明细接口!$C$943),"")</f>
        <v/>
      </c>
      <c r="D943" s="16" t="str">
        <f>IFERROR(IF([2]对账明细接口!$D$943=0,"",[2]对账明细接口!$D$943),"")</f>
        <v/>
      </c>
      <c r="E943" s="16" t="str">
        <f>IFERROR(IF([2]对账明细接口!$E$943=0,"",[2]对账明细接口!$E$943),"")</f>
        <v/>
      </c>
      <c r="F943" s="16" t="str">
        <f>IFERROR(IF([2]对账明细接口!$F$943=0,"",[2]对账明细接口!$F$943),"")</f>
        <v/>
      </c>
      <c r="G943" s="16" t="str">
        <f>IFERROR(IF([2]对账明细接口!$G$943=0,"",[2]对账明细接口!$G$943),"")</f>
        <v/>
      </c>
      <c r="H943" s="17" t="str">
        <f>IFERROR(IF([2]对账明细接口!$H$943=0,"",[2]对账明细接口!$H$943),"")</f>
        <v/>
      </c>
      <c r="I943" s="16" t="str">
        <f>IFERROR(IF([2]对账明细接口!$I$943=0,"",[2]对账明细接口!$I$943),"")</f>
        <v/>
      </c>
      <c r="J943" s="18" t="str">
        <f>IFERROR(IF([2]对账明细接口!$J$943=0,"",[2]对账明细接口!$J$943),"")</f>
        <v/>
      </c>
      <c r="K943" s="18" t="str">
        <f>IFERROR(IF([2]对账明细接口!$K$943=0,"",[2]对账明细接口!$K$943),"")</f>
        <v/>
      </c>
      <c r="L943" s="16" t="str">
        <f>IFERROR(IF([2]对账明细接口!$L$943=0,"",[2]对账明细接口!$L$943),"")</f>
        <v/>
      </c>
      <c r="M943" s="16" t="str">
        <f>IFERROR(IF([2]对账明细接口!$M$943=0,"",[2]对账明细接口!$M$943),"")</f>
        <v/>
      </c>
      <c r="N943" s="19">
        <f t="shared" si="84"/>
        <v>0</v>
      </c>
      <c r="O943" s="19">
        <f t="shared" si="85"/>
        <v>165</v>
      </c>
      <c r="S943" s="20" t="str">
        <f>IFERROR(IF([2]对账明细接口!$N943=0,"",[2]对账明细接口!$N943),"")</f>
        <v/>
      </c>
      <c r="T943" s="21" t="str">
        <f>IFERROR(IF([2]对账明细接口!$O943=0,"",[2]对账明细接口!$O943),"")</f>
        <v/>
      </c>
      <c r="U943" s="21" t="str">
        <f>IFERROR(IF([2]对账明细接口!$P943=0,"",[2]对账明细接口!$P943),"")</f>
        <v/>
      </c>
      <c r="V943" s="21" t="str">
        <f>IFERROR(IF([2]对账明细接口!$Q943=0,"",[2]对账明细接口!$Q943),"")</f>
        <v/>
      </c>
      <c r="W943" s="20" t="str">
        <f>IFERROR(IF([2]对账明细接口!$R943=0,"",[2]对账明细接口!$R943),"")</f>
        <v/>
      </c>
      <c r="X943" s="20" t="str">
        <f>IFERROR(IF([2]对账明细接口!$S943=0,"",[2]对账明细接口!$S943),"")</f>
        <v/>
      </c>
      <c r="Y943" s="20" t="str">
        <f t="shared" si="86"/>
        <v/>
      </c>
      <c r="Z943" s="20" t="str">
        <f t="shared" si="87"/>
        <v/>
      </c>
      <c r="AA943" s="20" t="str">
        <f t="shared" si="88"/>
        <v/>
      </c>
      <c r="AB943" s="20" t="str">
        <f t="shared" si="89"/>
        <v/>
      </c>
    </row>
    <row r="944" customHeight="1" spans="1:28">
      <c r="A944" s="14">
        <v>944</v>
      </c>
      <c r="B944" s="15" t="str">
        <f>IFERROR(IF([2]对账明细接口!$B$944=0,"",[2]对账明细接口!$B$944),"")</f>
        <v/>
      </c>
      <c r="C944" s="16" t="str">
        <f>IFERROR(IF([2]对账明细接口!$C$944=0,"",[2]对账明细接口!$C$944),"")</f>
        <v/>
      </c>
      <c r="D944" s="16" t="str">
        <f>IFERROR(IF([2]对账明细接口!$D$944=0,"",[2]对账明细接口!$D$944),"")</f>
        <v/>
      </c>
      <c r="E944" s="16" t="str">
        <f>IFERROR(IF([2]对账明细接口!$E$944=0,"",[2]对账明细接口!$E$944),"")</f>
        <v/>
      </c>
      <c r="F944" s="16" t="str">
        <f>IFERROR(IF([2]对账明细接口!$F$944=0,"",[2]对账明细接口!$F$944),"")</f>
        <v/>
      </c>
      <c r="G944" s="16" t="str">
        <f>IFERROR(IF([2]对账明细接口!$G$944=0,"",[2]对账明细接口!$G$944),"")</f>
        <v/>
      </c>
      <c r="H944" s="17" t="str">
        <f>IFERROR(IF([2]对账明细接口!$H$944=0,"",[2]对账明细接口!$H$944),"")</f>
        <v/>
      </c>
      <c r="I944" s="16" t="str">
        <f>IFERROR(IF([2]对账明细接口!$I$944=0,"",[2]对账明细接口!$I$944),"")</f>
        <v/>
      </c>
      <c r="J944" s="18" t="str">
        <f>IFERROR(IF([2]对账明细接口!$J$944=0,"",[2]对账明细接口!$J$944),"")</f>
        <v/>
      </c>
      <c r="K944" s="18" t="str">
        <f>IFERROR(IF([2]对账明细接口!$K$944=0,"",[2]对账明细接口!$K$944),"")</f>
        <v/>
      </c>
      <c r="L944" s="16" t="str">
        <f>IFERROR(IF([2]对账明细接口!$L$944=0,"",[2]对账明细接口!$L$944),"")</f>
        <v/>
      </c>
      <c r="M944" s="16" t="str">
        <f>IFERROR(IF([2]对账明细接口!$M$944=0,"",[2]对账明细接口!$M$944),"")</f>
        <v/>
      </c>
      <c r="N944" s="19">
        <f t="shared" si="84"/>
        <v>0</v>
      </c>
      <c r="O944" s="19">
        <f t="shared" si="85"/>
        <v>165</v>
      </c>
      <c r="S944" s="20" t="str">
        <f>IFERROR(IF([2]对账明细接口!$N944=0,"",[2]对账明细接口!$N944),"")</f>
        <v/>
      </c>
      <c r="T944" s="21" t="str">
        <f>IFERROR(IF([2]对账明细接口!$O944=0,"",[2]对账明细接口!$O944),"")</f>
        <v/>
      </c>
      <c r="U944" s="21" t="str">
        <f>IFERROR(IF([2]对账明细接口!$P944=0,"",[2]对账明细接口!$P944),"")</f>
        <v/>
      </c>
      <c r="V944" s="21" t="str">
        <f>IFERROR(IF([2]对账明细接口!$Q944=0,"",[2]对账明细接口!$Q944),"")</f>
        <v/>
      </c>
      <c r="W944" s="20" t="str">
        <f>IFERROR(IF([2]对账明细接口!$R944=0,"",[2]对账明细接口!$R944),"")</f>
        <v/>
      </c>
      <c r="X944" s="20" t="str">
        <f>IFERROR(IF([2]对账明细接口!$S944=0,"",[2]对账明细接口!$S944),"")</f>
        <v/>
      </c>
      <c r="Y944" s="20" t="str">
        <f t="shared" si="86"/>
        <v/>
      </c>
      <c r="Z944" s="20" t="str">
        <f t="shared" si="87"/>
        <v/>
      </c>
      <c r="AA944" s="20" t="str">
        <f t="shared" si="88"/>
        <v/>
      </c>
      <c r="AB944" s="20" t="str">
        <f t="shared" si="89"/>
        <v/>
      </c>
    </row>
    <row r="945" customHeight="1" spans="1:28">
      <c r="A945" s="14">
        <v>945</v>
      </c>
      <c r="B945" s="15" t="str">
        <f>IFERROR(IF([2]对账明细接口!$B$945=0,"",[2]对账明细接口!$B$945),"")</f>
        <v/>
      </c>
      <c r="C945" s="16" t="str">
        <f>IFERROR(IF([2]对账明细接口!$C$945=0,"",[2]对账明细接口!$C$945),"")</f>
        <v/>
      </c>
      <c r="D945" s="16" t="str">
        <f>IFERROR(IF([2]对账明细接口!$D$945=0,"",[2]对账明细接口!$D$945),"")</f>
        <v/>
      </c>
      <c r="E945" s="16" t="str">
        <f>IFERROR(IF([2]对账明细接口!$E$945=0,"",[2]对账明细接口!$E$945),"")</f>
        <v/>
      </c>
      <c r="F945" s="16" t="str">
        <f>IFERROR(IF([2]对账明细接口!$F$945=0,"",[2]对账明细接口!$F$945),"")</f>
        <v/>
      </c>
      <c r="G945" s="16" t="str">
        <f>IFERROR(IF([2]对账明细接口!$G$945=0,"",[2]对账明细接口!$G$945),"")</f>
        <v/>
      </c>
      <c r="H945" s="17" t="str">
        <f>IFERROR(IF([2]对账明细接口!$H$945=0,"",[2]对账明细接口!$H$945),"")</f>
        <v/>
      </c>
      <c r="I945" s="16" t="str">
        <f>IFERROR(IF([2]对账明细接口!$I$945=0,"",[2]对账明细接口!$I$945),"")</f>
        <v/>
      </c>
      <c r="J945" s="18" t="str">
        <f>IFERROR(IF([2]对账明细接口!$J$945=0,"",[2]对账明细接口!$J$945),"")</f>
        <v/>
      </c>
      <c r="K945" s="18" t="str">
        <f>IFERROR(IF([2]对账明细接口!$K$945=0,"",[2]对账明细接口!$K$945),"")</f>
        <v/>
      </c>
      <c r="L945" s="16" t="str">
        <f>IFERROR(IF([2]对账明细接口!$L$945=0,"",[2]对账明细接口!$L$945),"")</f>
        <v/>
      </c>
      <c r="M945" s="16" t="str">
        <f>IFERROR(IF([2]对账明细接口!$M$945=0,"",[2]对账明细接口!$M$945),"")</f>
        <v/>
      </c>
      <c r="N945" s="19">
        <f t="shared" si="84"/>
        <v>0</v>
      </c>
      <c r="O945" s="19">
        <f t="shared" si="85"/>
        <v>165</v>
      </c>
      <c r="S945" s="20" t="str">
        <f>IFERROR(IF([2]对账明细接口!$N945=0,"",[2]对账明细接口!$N945),"")</f>
        <v/>
      </c>
      <c r="T945" s="21" t="str">
        <f>IFERROR(IF([2]对账明细接口!$O945=0,"",[2]对账明细接口!$O945),"")</f>
        <v/>
      </c>
      <c r="U945" s="21" t="str">
        <f>IFERROR(IF([2]对账明细接口!$P945=0,"",[2]对账明细接口!$P945),"")</f>
        <v/>
      </c>
      <c r="V945" s="21" t="str">
        <f>IFERROR(IF([2]对账明细接口!$Q945=0,"",[2]对账明细接口!$Q945),"")</f>
        <v/>
      </c>
      <c r="W945" s="20" t="str">
        <f>IFERROR(IF([2]对账明细接口!$R945=0,"",[2]对账明细接口!$R945),"")</f>
        <v/>
      </c>
      <c r="X945" s="20" t="str">
        <f>IFERROR(IF([2]对账明细接口!$S945=0,"",[2]对账明细接口!$S945),"")</f>
        <v/>
      </c>
      <c r="Y945" s="20" t="str">
        <f t="shared" si="86"/>
        <v/>
      </c>
      <c r="Z945" s="20" t="str">
        <f t="shared" si="87"/>
        <v/>
      </c>
      <c r="AA945" s="20" t="str">
        <f t="shared" si="88"/>
        <v/>
      </c>
      <c r="AB945" s="20" t="str">
        <f t="shared" si="89"/>
        <v/>
      </c>
    </row>
    <row r="946" customHeight="1" spans="1:28">
      <c r="A946" s="14">
        <v>946</v>
      </c>
      <c r="B946" s="15" t="str">
        <f>IFERROR(IF([2]对账明细接口!$B$946=0,"",[2]对账明细接口!$B$946),"")</f>
        <v/>
      </c>
      <c r="C946" s="16" t="str">
        <f>IFERROR(IF([2]对账明细接口!$C$946=0,"",[2]对账明细接口!$C$946),"")</f>
        <v/>
      </c>
      <c r="D946" s="16" t="str">
        <f>IFERROR(IF([2]对账明细接口!$D$946=0,"",[2]对账明细接口!$D$946),"")</f>
        <v/>
      </c>
      <c r="E946" s="16" t="str">
        <f>IFERROR(IF([2]对账明细接口!$E$946=0,"",[2]对账明细接口!$E$946),"")</f>
        <v/>
      </c>
      <c r="F946" s="16" t="str">
        <f>IFERROR(IF([2]对账明细接口!$F$946=0,"",[2]对账明细接口!$F$946),"")</f>
        <v/>
      </c>
      <c r="G946" s="16" t="str">
        <f>IFERROR(IF([2]对账明细接口!$G$946=0,"",[2]对账明细接口!$G$946),"")</f>
        <v/>
      </c>
      <c r="H946" s="17" t="str">
        <f>IFERROR(IF([2]对账明细接口!$H$946=0,"",[2]对账明细接口!$H$946),"")</f>
        <v/>
      </c>
      <c r="I946" s="16" t="str">
        <f>IFERROR(IF([2]对账明细接口!$I$946=0,"",[2]对账明细接口!$I$946),"")</f>
        <v/>
      </c>
      <c r="J946" s="18" t="str">
        <f>IFERROR(IF([2]对账明细接口!$J$946=0,"",[2]对账明细接口!$J$946),"")</f>
        <v/>
      </c>
      <c r="K946" s="18" t="str">
        <f>IFERROR(IF([2]对账明细接口!$K$946=0,"",[2]对账明细接口!$K$946),"")</f>
        <v/>
      </c>
      <c r="L946" s="16" t="str">
        <f>IFERROR(IF([2]对账明细接口!$L$946=0,"",[2]对账明细接口!$L$946),"")</f>
        <v/>
      </c>
      <c r="M946" s="16" t="str">
        <f>IFERROR(IF([2]对账明细接口!$M$946=0,"",[2]对账明细接口!$M$946),"")</f>
        <v/>
      </c>
      <c r="N946" s="19">
        <f t="shared" si="84"/>
        <v>0</v>
      </c>
      <c r="O946" s="19">
        <f t="shared" si="85"/>
        <v>165</v>
      </c>
      <c r="S946" s="20" t="str">
        <f>IFERROR(IF([2]对账明细接口!$N946=0,"",[2]对账明细接口!$N946),"")</f>
        <v/>
      </c>
      <c r="T946" s="21" t="str">
        <f>IFERROR(IF([2]对账明细接口!$O946=0,"",[2]对账明细接口!$O946),"")</f>
        <v/>
      </c>
      <c r="U946" s="21" t="str">
        <f>IFERROR(IF([2]对账明细接口!$P946=0,"",[2]对账明细接口!$P946),"")</f>
        <v/>
      </c>
      <c r="V946" s="21" t="str">
        <f>IFERROR(IF([2]对账明细接口!$Q946=0,"",[2]对账明细接口!$Q946),"")</f>
        <v/>
      </c>
      <c r="W946" s="20" t="str">
        <f>IFERROR(IF([2]对账明细接口!$R946=0,"",[2]对账明细接口!$R946),"")</f>
        <v/>
      </c>
      <c r="X946" s="20" t="str">
        <f>IFERROR(IF([2]对账明细接口!$S946=0,"",[2]对账明细接口!$S946),"")</f>
        <v/>
      </c>
      <c r="Y946" s="20" t="str">
        <f t="shared" si="86"/>
        <v/>
      </c>
      <c r="Z946" s="20" t="str">
        <f t="shared" si="87"/>
        <v/>
      </c>
      <c r="AA946" s="20" t="str">
        <f t="shared" si="88"/>
        <v/>
      </c>
      <c r="AB946" s="20" t="str">
        <f t="shared" si="89"/>
        <v/>
      </c>
    </row>
    <row r="947" customHeight="1" spans="1:28">
      <c r="A947" s="14">
        <v>947</v>
      </c>
      <c r="B947" s="15" t="str">
        <f>IFERROR(IF([2]对账明细接口!$B$947=0,"",[2]对账明细接口!$B$947),"")</f>
        <v/>
      </c>
      <c r="C947" s="16" t="str">
        <f>IFERROR(IF([2]对账明细接口!$C$947=0,"",[2]对账明细接口!$C$947),"")</f>
        <v/>
      </c>
      <c r="D947" s="16" t="str">
        <f>IFERROR(IF([2]对账明细接口!$D$947=0,"",[2]对账明细接口!$D$947),"")</f>
        <v/>
      </c>
      <c r="E947" s="16" t="str">
        <f>IFERROR(IF([2]对账明细接口!$E$947=0,"",[2]对账明细接口!$E$947),"")</f>
        <v/>
      </c>
      <c r="F947" s="16" t="str">
        <f>IFERROR(IF([2]对账明细接口!$F$947=0,"",[2]对账明细接口!$F$947),"")</f>
        <v/>
      </c>
      <c r="G947" s="16" t="str">
        <f>IFERROR(IF([2]对账明细接口!$G$947=0,"",[2]对账明细接口!$G$947),"")</f>
        <v/>
      </c>
      <c r="H947" s="17" t="str">
        <f>IFERROR(IF([2]对账明细接口!$H$947=0,"",[2]对账明细接口!$H$947),"")</f>
        <v/>
      </c>
      <c r="I947" s="16" t="str">
        <f>IFERROR(IF([2]对账明细接口!$I$947=0,"",[2]对账明细接口!$I$947),"")</f>
        <v/>
      </c>
      <c r="J947" s="18" t="str">
        <f>IFERROR(IF([2]对账明细接口!$J$947=0,"",[2]对账明细接口!$J$947),"")</f>
        <v/>
      </c>
      <c r="K947" s="18" t="str">
        <f>IFERROR(IF([2]对账明细接口!$K$947=0,"",[2]对账明细接口!$K$947),"")</f>
        <v/>
      </c>
      <c r="L947" s="16" t="str">
        <f>IFERROR(IF([2]对账明细接口!$L$947=0,"",[2]对账明细接口!$L$947),"")</f>
        <v/>
      </c>
      <c r="M947" s="16" t="str">
        <f>IFERROR(IF([2]对账明细接口!$M$947=0,"",[2]对账明细接口!$M$947),"")</f>
        <v/>
      </c>
      <c r="N947" s="19">
        <f t="shared" si="84"/>
        <v>0</v>
      </c>
      <c r="O947" s="19">
        <f t="shared" si="85"/>
        <v>165</v>
      </c>
      <c r="S947" s="20" t="str">
        <f>IFERROR(IF([2]对账明细接口!$N947=0,"",[2]对账明细接口!$N947),"")</f>
        <v/>
      </c>
      <c r="T947" s="21" t="str">
        <f>IFERROR(IF([2]对账明细接口!$O947=0,"",[2]对账明细接口!$O947),"")</f>
        <v/>
      </c>
      <c r="U947" s="21" t="str">
        <f>IFERROR(IF([2]对账明细接口!$P947=0,"",[2]对账明细接口!$P947),"")</f>
        <v/>
      </c>
      <c r="V947" s="21" t="str">
        <f>IFERROR(IF([2]对账明细接口!$Q947=0,"",[2]对账明细接口!$Q947),"")</f>
        <v/>
      </c>
      <c r="W947" s="20" t="str">
        <f>IFERROR(IF([2]对账明细接口!$R947=0,"",[2]对账明细接口!$R947),"")</f>
        <v/>
      </c>
      <c r="X947" s="20" t="str">
        <f>IFERROR(IF([2]对账明细接口!$S947=0,"",[2]对账明细接口!$S947),"")</f>
        <v/>
      </c>
      <c r="Y947" s="20" t="str">
        <f t="shared" si="86"/>
        <v/>
      </c>
      <c r="Z947" s="20" t="str">
        <f t="shared" si="87"/>
        <v/>
      </c>
      <c r="AA947" s="20" t="str">
        <f t="shared" si="88"/>
        <v/>
      </c>
      <c r="AB947" s="20" t="str">
        <f t="shared" si="89"/>
        <v/>
      </c>
    </row>
    <row r="948" customHeight="1" spans="1:28">
      <c r="A948" s="14">
        <v>948</v>
      </c>
      <c r="B948" s="15" t="str">
        <f>IFERROR(IF([2]对账明细接口!$B$948=0,"",[2]对账明细接口!$B$948),"")</f>
        <v/>
      </c>
      <c r="C948" s="16" t="str">
        <f>IFERROR(IF([2]对账明细接口!$C$948=0,"",[2]对账明细接口!$C$948),"")</f>
        <v/>
      </c>
      <c r="D948" s="16" t="str">
        <f>IFERROR(IF([2]对账明细接口!$D$948=0,"",[2]对账明细接口!$D$948),"")</f>
        <v/>
      </c>
      <c r="E948" s="16" t="str">
        <f>IFERROR(IF([2]对账明细接口!$E$948=0,"",[2]对账明细接口!$E$948),"")</f>
        <v/>
      </c>
      <c r="F948" s="16" t="str">
        <f>IFERROR(IF([2]对账明细接口!$F$948=0,"",[2]对账明细接口!$F$948),"")</f>
        <v/>
      </c>
      <c r="G948" s="16" t="str">
        <f>IFERROR(IF([2]对账明细接口!$G$948=0,"",[2]对账明细接口!$G$948),"")</f>
        <v/>
      </c>
      <c r="H948" s="17" t="str">
        <f>IFERROR(IF([2]对账明细接口!$H$948=0,"",[2]对账明细接口!$H$948),"")</f>
        <v/>
      </c>
      <c r="I948" s="16" t="str">
        <f>IFERROR(IF([2]对账明细接口!$I$948=0,"",[2]对账明细接口!$I$948),"")</f>
        <v/>
      </c>
      <c r="J948" s="18" t="str">
        <f>IFERROR(IF([2]对账明细接口!$J$948=0,"",[2]对账明细接口!$J$948),"")</f>
        <v/>
      </c>
      <c r="K948" s="18" t="str">
        <f>IFERROR(IF([2]对账明细接口!$K$948=0,"",[2]对账明细接口!$K$948),"")</f>
        <v/>
      </c>
      <c r="L948" s="16" t="str">
        <f>IFERROR(IF([2]对账明细接口!$L$948=0,"",[2]对账明细接口!$L$948),"")</f>
        <v/>
      </c>
      <c r="M948" s="16" t="str">
        <f>IFERROR(IF([2]对账明细接口!$M$948=0,"",[2]对账明细接口!$M$948),"")</f>
        <v/>
      </c>
      <c r="N948" s="19">
        <f t="shared" si="84"/>
        <v>0</v>
      </c>
      <c r="O948" s="19">
        <f t="shared" si="85"/>
        <v>165</v>
      </c>
      <c r="S948" s="20" t="str">
        <f>IFERROR(IF([2]对账明细接口!$N948=0,"",[2]对账明细接口!$N948),"")</f>
        <v/>
      </c>
      <c r="T948" s="21" t="str">
        <f>IFERROR(IF([2]对账明细接口!$O948=0,"",[2]对账明细接口!$O948),"")</f>
        <v/>
      </c>
      <c r="U948" s="21" t="str">
        <f>IFERROR(IF([2]对账明细接口!$P948=0,"",[2]对账明细接口!$P948),"")</f>
        <v/>
      </c>
      <c r="V948" s="21" t="str">
        <f>IFERROR(IF([2]对账明细接口!$Q948=0,"",[2]对账明细接口!$Q948),"")</f>
        <v/>
      </c>
      <c r="W948" s="20" t="str">
        <f>IFERROR(IF([2]对账明细接口!$R948=0,"",[2]对账明细接口!$R948),"")</f>
        <v/>
      </c>
      <c r="X948" s="20" t="str">
        <f>IFERROR(IF([2]对账明细接口!$S948=0,"",[2]对账明细接口!$S948),"")</f>
        <v/>
      </c>
      <c r="Y948" s="20" t="str">
        <f t="shared" si="86"/>
        <v/>
      </c>
      <c r="Z948" s="20" t="str">
        <f t="shared" si="87"/>
        <v/>
      </c>
      <c r="AA948" s="20" t="str">
        <f t="shared" si="88"/>
        <v/>
      </c>
      <c r="AB948" s="20" t="str">
        <f t="shared" si="89"/>
        <v/>
      </c>
    </row>
    <row r="949" customHeight="1" spans="1:28">
      <c r="A949" s="14">
        <v>949</v>
      </c>
      <c r="B949" s="15" t="str">
        <f>IFERROR(IF([2]对账明细接口!$B$949=0,"",[2]对账明细接口!$B$949),"")</f>
        <v/>
      </c>
      <c r="C949" s="16" t="str">
        <f>IFERROR(IF([2]对账明细接口!$C$949=0,"",[2]对账明细接口!$C$949),"")</f>
        <v/>
      </c>
      <c r="D949" s="16" t="str">
        <f>IFERROR(IF([2]对账明细接口!$D$949=0,"",[2]对账明细接口!$D$949),"")</f>
        <v/>
      </c>
      <c r="E949" s="16" t="str">
        <f>IFERROR(IF([2]对账明细接口!$E$949=0,"",[2]对账明细接口!$E$949),"")</f>
        <v/>
      </c>
      <c r="F949" s="16" t="str">
        <f>IFERROR(IF([2]对账明细接口!$F$949=0,"",[2]对账明细接口!$F$949),"")</f>
        <v/>
      </c>
      <c r="G949" s="16" t="str">
        <f>IFERROR(IF([2]对账明细接口!$G$949=0,"",[2]对账明细接口!$G$949),"")</f>
        <v/>
      </c>
      <c r="H949" s="17" t="str">
        <f>IFERROR(IF([2]对账明细接口!$H$949=0,"",[2]对账明细接口!$H$949),"")</f>
        <v/>
      </c>
      <c r="I949" s="16" t="str">
        <f>IFERROR(IF([2]对账明细接口!$I$949=0,"",[2]对账明细接口!$I$949),"")</f>
        <v/>
      </c>
      <c r="J949" s="18" t="str">
        <f>IFERROR(IF([2]对账明细接口!$J$949=0,"",[2]对账明细接口!$J$949),"")</f>
        <v/>
      </c>
      <c r="K949" s="18" t="str">
        <f>IFERROR(IF([2]对账明细接口!$K$949=0,"",[2]对账明细接口!$K$949),"")</f>
        <v/>
      </c>
      <c r="L949" s="16" t="str">
        <f>IFERROR(IF([2]对账明细接口!$L$949=0,"",[2]对账明细接口!$L$949),"")</f>
        <v/>
      </c>
      <c r="M949" s="16" t="str">
        <f>IFERROR(IF([2]对账明细接口!$M$949=0,"",[2]对账明细接口!$M$949),"")</f>
        <v/>
      </c>
      <c r="N949" s="19">
        <f t="shared" si="84"/>
        <v>0</v>
      </c>
      <c r="O949" s="19">
        <f t="shared" si="85"/>
        <v>165</v>
      </c>
      <c r="S949" s="20" t="str">
        <f>IFERROR(IF([2]对账明细接口!$N949=0,"",[2]对账明细接口!$N949),"")</f>
        <v/>
      </c>
      <c r="T949" s="21" t="str">
        <f>IFERROR(IF([2]对账明细接口!$O949=0,"",[2]对账明细接口!$O949),"")</f>
        <v/>
      </c>
      <c r="U949" s="21" t="str">
        <f>IFERROR(IF([2]对账明细接口!$P949=0,"",[2]对账明细接口!$P949),"")</f>
        <v/>
      </c>
      <c r="V949" s="21" t="str">
        <f>IFERROR(IF([2]对账明细接口!$Q949=0,"",[2]对账明细接口!$Q949),"")</f>
        <v/>
      </c>
      <c r="W949" s="20" t="str">
        <f>IFERROR(IF([2]对账明细接口!$R949=0,"",[2]对账明细接口!$R949),"")</f>
        <v/>
      </c>
      <c r="X949" s="20" t="str">
        <f>IFERROR(IF([2]对账明细接口!$S949=0,"",[2]对账明细接口!$S949),"")</f>
        <v/>
      </c>
      <c r="Y949" s="20" t="str">
        <f t="shared" si="86"/>
        <v/>
      </c>
      <c r="Z949" s="20" t="str">
        <f t="shared" si="87"/>
        <v/>
      </c>
      <c r="AA949" s="20" t="str">
        <f t="shared" si="88"/>
        <v/>
      </c>
      <c r="AB949" s="20" t="str">
        <f t="shared" si="89"/>
        <v/>
      </c>
    </row>
    <row r="950" customHeight="1" spans="1:28">
      <c r="A950" s="14">
        <v>950</v>
      </c>
      <c r="B950" s="15" t="str">
        <f>IFERROR(IF([2]对账明细接口!$B$950=0,"",[2]对账明细接口!$B$950),"")</f>
        <v/>
      </c>
      <c r="C950" s="16" t="str">
        <f>IFERROR(IF([2]对账明细接口!$C$950=0,"",[2]对账明细接口!$C$950),"")</f>
        <v/>
      </c>
      <c r="D950" s="16" t="str">
        <f>IFERROR(IF([2]对账明细接口!$D$950=0,"",[2]对账明细接口!$D$950),"")</f>
        <v/>
      </c>
      <c r="E950" s="16" t="str">
        <f>IFERROR(IF([2]对账明细接口!$E$950=0,"",[2]对账明细接口!$E$950),"")</f>
        <v/>
      </c>
      <c r="F950" s="16" t="str">
        <f>IFERROR(IF([2]对账明细接口!$F$950=0,"",[2]对账明细接口!$F$950),"")</f>
        <v/>
      </c>
      <c r="G950" s="16" t="str">
        <f>IFERROR(IF([2]对账明细接口!$G$950=0,"",[2]对账明细接口!$G$950),"")</f>
        <v/>
      </c>
      <c r="H950" s="17" t="str">
        <f>IFERROR(IF([2]对账明细接口!$H$950=0,"",[2]对账明细接口!$H$950),"")</f>
        <v/>
      </c>
      <c r="I950" s="16" t="str">
        <f>IFERROR(IF([2]对账明细接口!$I$950=0,"",[2]对账明细接口!$I$950),"")</f>
        <v/>
      </c>
      <c r="J950" s="18" t="str">
        <f>IFERROR(IF([2]对账明细接口!$J$950=0,"",[2]对账明细接口!$J$950),"")</f>
        <v/>
      </c>
      <c r="K950" s="18" t="str">
        <f>IFERROR(IF([2]对账明细接口!$K$950=0,"",[2]对账明细接口!$K$950),"")</f>
        <v/>
      </c>
      <c r="L950" s="16" t="str">
        <f>IFERROR(IF([2]对账明细接口!$L$950=0,"",[2]对账明细接口!$L$950),"")</f>
        <v/>
      </c>
      <c r="M950" s="16" t="str">
        <f>IFERROR(IF([2]对账明细接口!$M$950=0,"",[2]对账明细接口!$M$950),"")</f>
        <v/>
      </c>
      <c r="N950" s="19">
        <f t="shared" si="84"/>
        <v>0</v>
      </c>
      <c r="O950" s="19">
        <f t="shared" si="85"/>
        <v>165</v>
      </c>
      <c r="S950" s="20" t="str">
        <f>IFERROR(IF([2]对账明细接口!$N950=0,"",[2]对账明细接口!$N950),"")</f>
        <v/>
      </c>
      <c r="T950" s="21" t="str">
        <f>IFERROR(IF([2]对账明细接口!$O950=0,"",[2]对账明细接口!$O950),"")</f>
        <v/>
      </c>
      <c r="U950" s="21" t="str">
        <f>IFERROR(IF([2]对账明细接口!$P950=0,"",[2]对账明细接口!$P950),"")</f>
        <v/>
      </c>
      <c r="V950" s="21" t="str">
        <f>IFERROR(IF([2]对账明细接口!$Q950=0,"",[2]对账明细接口!$Q950),"")</f>
        <v/>
      </c>
      <c r="W950" s="20" t="str">
        <f>IFERROR(IF([2]对账明细接口!$R950=0,"",[2]对账明细接口!$R950),"")</f>
        <v/>
      </c>
      <c r="X950" s="20" t="str">
        <f>IFERROR(IF([2]对账明细接口!$S950=0,"",[2]对账明细接口!$S950),"")</f>
        <v/>
      </c>
      <c r="Y950" s="20" t="str">
        <f t="shared" si="86"/>
        <v/>
      </c>
      <c r="Z950" s="20" t="str">
        <f t="shared" si="87"/>
        <v/>
      </c>
      <c r="AA950" s="20" t="str">
        <f t="shared" si="88"/>
        <v/>
      </c>
      <c r="AB950" s="20" t="str">
        <f t="shared" si="89"/>
        <v/>
      </c>
    </row>
    <row r="951" customHeight="1" spans="1:28">
      <c r="A951" s="14">
        <v>951</v>
      </c>
      <c r="B951" s="15" t="str">
        <f>IFERROR(IF([2]对账明细接口!$B$951=0,"",[2]对账明细接口!$B$951),"")</f>
        <v/>
      </c>
      <c r="C951" s="16" t="str">
        <f>IFERROR(IF([2]对账明细接口!$C$951=0,"",[2]对账明细接口!$C$951),"")</f>
        <v/>
      </c>
      <c r="D951" s="16" t="str">
        <f>IFERROR(IF([2]对账明细接口!$D$951=0,"",[2]对账明细接口!$D$951),"")</f>
        <v/>
      </c>
      <c r="E951" s="16" t="str">
        <f>IFERROR(IF([2]对账明细接口!$E$951=0,"",[2]对账明细接口!$E$951),"")</f>
        <v/>
      </c>
      <c r="F951" s="16" t="str">
        <f>IFERROR(IF([2]对账明细接口!$F$951=0,"",[2]对账明细接口!$F$951),"")</f>
        <v/>
      </c>
      <c r="G951" s="16" t="str">
        <f>IFERROR(IF([2]对账明细接口!$G$951=0,"",[2]对账明细接口!$G$951),"")</f>
        <v/>
      </c>
      <c r="H951" s="17" t="str">
        <f>IFERROR(IF([2]对账明细接口!$H$951=0,"",[2]对账明细接口!$H$951),"")</f>
        <v/>
      </c>
      <c r="I951" s="16" t="str">
        <f>IFERROR(IF([2]对账明细接口!$I$951=0,"",[2]对账明细接口!$I$951),"")</f>
        <v/>
      </c>
      <c r="J951" s="18" t="str">
        <f>IFERROR(IF([2]对账明细接口!$J$951=0,"",[2]对账明细接口!$J$951),"")</f>
        <v/>
      </c>
      <c r="K951" s="18" t="str">
        <f>IFERROR(IF([2]对账明细接口!$K$951=0,"",[2]对账明细接口!$K$951),"")</f>
        <v/>
      </c>
      <c r="L951" s="16" t="str">
        <f>IFERROR(IF([2]对账明细接口!$L$951=0,"",[2]对账明细接口!$L$951),"")</f>
        <v/>
      </c>
      <c r="M951" s="16" t="str">
        <f>IFERROR(IF([2]对账明细接口!$M$951=0,"",[2]对账明细接口!$M$951),"")</f>
        <v/>
      </c>
      <c r="N951" s="19">
        <f t="shared" si="84"/>
        <v>0</v>
      </c>
      <c r="O951" s="19">
        <f t="shared" si="85"/>
        <v>165</v>
      </c>
      <c r="S951" s="20" t="str">
        <f>IFERROR(IF([2]对账明细接口!$N951=0,"",[2]对账明细接口!$N951),"")</f>
        <v/>
      </c>
      <c r="T951" s="21" t="str">
        <f>IFERROR(IF([2]对账明细接口!$O951=0,"",[2]对账明细接口!$O951),"")</f>
        <v/>
      </c>
      <c r="U951" s="21" t="str">
        <f>IFERROR(IF([2]对账明细接口!$P951=0,"",[2]对账明细接口!$P951),"")</f>
        <v/>
      </c>
      <c r="V951" s="21" t="str">
        <f>IFERROR(IF([2]对账明细接口!$Q951=0,"",[2]对账明细接口!$Q951),"")</f>
        <v/>
      </c>
      <c r="W951" s="20" t="str">
        <f>IFERROR(IF([2]对账明细接口!$R951=0,"",[2]对账明细接口!$R951),"")</f>
        <v/>
      </c>
      <c r="X951" s="20" t="str">
        <f>IFERROR(IF([2]对账明细接口!$S951=0,"",[2]对账明细接口!$S951),"")</f>
        <v/>
      </c>
      <c r="Y951" s="20" t="str">
        <f t="shared" si="86"/>
        <v/>
      </c>
      <c r="Z951" s="20" t="str">
        <f t="shared" si="87"/>
        <v/>
      </c>
      <c r="AA951" s="20" t="str">
        <f t="shared" si="88"/>
        <v/>
      </c>
      <c r="AB951" s="20" t="str">
        <f t="shared" si="89"/>
        <v/>
      </c>
    </row>
    <row r="952" customHeight="1" spans="1:28">
      <c r="A952" s="14">
        <v>952</v>
      </c>
      <c r="B952" s="15" t="str">
        <f>IFERROR(IF([2]对账明细接口!$B$952=0,"",[2]对账明细接口!$B$952),"")</f>
        <v/>
      </c>
      <c r="C952" s="16" t="str">
        <f>IFERROR(IF([2]对账明细接口!$C$952=0,"",[2]对账明细接口!$C$952),"")</f>
        <v/>
      </c>
      <c r="D952" s="16" t="str">
        <f>IFERROR(IF([2]对账明细接口!$D$952=0,"",[2]对账明细接口!$D$952),"")</f>
        <v/>
      </c>
      <c r="E952" s="16" t="str">
        <f>IFERROR(IF([2]对账明细接口!$E$952=0,"",[2]对账明细接口!$E$952),"")</f>
        <v/>
      </c>
      <c r="F952" s="16" t="str">
        <f>IFERROR(IF([2]对账明细接口!$F$952=0,"",[2]对账明细接口!$F$952),"")</f>
        <v/>
      </c>
      <c r="G952" s="16" t="str">
        <f>IFERROR(IF([2]对账明细接口!$G$952=0,"",[2]对账明细接口!$G$952),"")</f>
        <v/>
      </c>
      <c r="H952" s="17" t="str">
        <f>IFERROR(IF([2]对账明细接口!$H$952=0,"",[2]对账明细接口!$H$952),"")</f>
        <v/>
      </c>
      <c r="I952" s="16" t="str">
        <f>IFERROR(IF([2]对账明细接口!$I$952=0,"",[2]对账明细接口!$I$952),"")</f>
        <v/>
      </c>
      <c r="J952" s="18" t="str">
        <f>IFERROR(IF([2]对账明细接口!$J$952=0,"",[2]对账明细接口!$J$952),"")</f>
        <v/>
      </c>
      <c r="K952" s="18" t="str">
        <f>IFERROR(IF([2]对账明细接口!$K$952=0,"",[2]对账明细接口!$K$952),"")</f>
        <v/>
      </c>
      <c r="L952" s="16" t="str">
        <f>IFERROR(IF([2]对账明细接口!$L$952=0,"",[2]对账明细接口!$L$952),"")</f>
        <v/>
      </c>
      <c r="M952" s="16" t="str">
        <f>IFERROR(IF([2]对账明细接口!$M$952=0,"",[2]对账明细接口!$M$952),"")</f>
        <v/>
      </c>
      <c r="N952" s="19">
        <f t="shared" si="84"/>
        <v>0</v>
      </c>
      <c r="O952" s="19">
        <f t="shared" si="85"/>
        <v>165</v>
      </c>
      <c r="S952" s="20" t="str">
        <f>IFERROR(IF([2]对账明细接口!$N952=0,"",[2]对账明细接口!$N952),"")</f>
        <v/>
      </c>
      <c r="T952" s="21" t="str">
        <f>IFERROR(IF([2]对账明细接口!$O952=0,"",[2]对账明细接口!$O952),"")</f>
        <v/>
      </c>
      <c r="U952" s="21" t="str">
        <f>IFERROR(IF([2]对账明细接口!$P952=0,"",[2]对账明细接口!$P952),"")</f>
        <v/>
      </c>
      <c r="V952" s="21" t="str">
        <f>IFERROR(IF([2]对账明细接口!$Q952=0,"",[2]对账明细接口!$Q952),"")</f>
        <v/>
      </c>
      <c r="W952" s="20" t="str">
        <f>IFERROR(IF([2]对账明细接口!$R952=0,"",[2]对账明细接口!$R952),"")</f>
        <v/>
      </c>
      <c r="X952" s="20" t="str">
        <f>IFERROR(IF([2]对账明细接口!$S952=0,"",[2]对账明细接口!$S952),"")</f>
        <v/>
      </c>
      <c r="Y952" s="20" t="str">
        <f t="shared" si="86"/>
        <v/>
      </c>
      <c r="Z952" s="20" t="str">
        <f t="shared" si="87"/>
        <v/>
      </c>
      <c r="AA952" s="20" t="str">
        <f t="shared" si="88"/>
        <v/>
      </c>
      <c r="AB952" s="20" t="str">
        <f t="shared" si="89"/>
        <v/>
      </c>
    </row>
    <row r="953" customHeight="1" spans="1:28">
      <c r="A953" s="14">
        <v>953</v>
      </c>
      <c r="B953" s="15" t="str">
        <f>IFERROR(IF([2]对账明细接口!$B$953=0,"",[2]对账明细接口!$B$953),"")</f>
        <v/>
      </c>
      <c r="C953" s="16" t="str">
        <f>IFERROR(IF([2]对账明细接口!$C$953=0,"",[2]对账明细接口!$C$953),"")</f>
        <v/>
      </c>
      <c r="D953" s="16" t="str">
        <f>IFERROR(IF([2]对账明细接口!$D$953=0,"",[2]对账明细接口!$D$953),"")</f>
        <v/>
      </c>
      <c r="E953" s="16" t="str">
        <f>IFERROR(IF([2]对账明细接口!$E$953=0,"",[2]对账明细接口!$E$953),"")</f>
        <v/>
      </c>
      <c r="F953" s="16" t="str">
        <f>IFERROR(IF([2]对账明细接口!$F$953=0,"",[2]对账明细接口!$F$953),"")</f>
        <v/>
      </c>
      <c r="G953" s="16" t="str">
        <f>IFERROR(IF([2]对账明细接口!$G$953=0,"",[2]对账明细接口!$G$953),"")</f>
        <v/>
      </c>
      <c r="H953" s="17" t="str">
        <f>IFERROR(IF([2]对账明细接口!$H$953=0,"",[2]对账明细接口!$H$953),"")</f>
        <v/>
      </c>
      <c r="I953" s="16" t="str">
        <f>IFERROR(IF([2]对账明细接口!$I$953=0,"",[2]对账明细接口!$I$953),"")</f>
        <v/>
      </c>
      <c r="J953" s="18" t="str">
        <f>IFERROR(IF([2]对账明细接口!$J$953=0,"",[2]对账明细接口!$J$953),"")</f>
        <v/>
      </c>
      <c r="K953" s="18" t="str">
        <f>IFERROR(IF([2]对账明细接口!$K$953=0,"",[2]对账明细接口!$K$953),"")</f>
        <v/>
      </c>
      <c r="L953" s="16" t="str">
        <f>IFERROR(IF([2]对账明细接口!$L$953=0,"",[2]对账明细接口!$L$953),"")</f>
        <v/>
      </c>
      <c r="M953" s="16" t="str">
        <f>IFERROR(IF([2]对账明细接口!$M$953=0,"",[2]对账明细接口!$M$953),"")</f>
        <v/>
      </c>
      <c r="N953" s="19">
        <f t="shared" si="84"/>
        <v>0</v>
      </c>
      <c r="O953" s="19">
        <f t="shared" si="85"/>
        <v>165</v>
      </c>
      <c r="S953" s="20" t="str">
        <f>IFERROR(IF([2]对账明细接口!$N953=0,"",[2]对账明细接口!$N953),"")</f>
        <v/>
      </c>
      <c r="T953" s="21" t="str">
        <f>IFERROR(IF([2]对账明细接口!$O953=0,"",[2]对账明细接口!$O953),"")</f>
        <v/>
      </c>
      <c r="U953" s="21" t="str">
        <f>IFERROR(IF([2]对账明细接口!$P953=0,"",[2]对账明细接口!$P953),"")</f>
        <v/>
      </c>
      <c r="V953" s="21" t="str">
        <f>IFERROR(IF([2]对账明细接口!$Q953=0,"",[2]对账明细接口!$Q953),"")</f>
        <v/>
      </c>
      <c r="W953" s="20" t="str">
        <f>IFERROR(IF([2]对账明细接口!$R953=0,"",[2]对账明细接口!$R953),"")</f>
        <v/>
      </c>
      <c r="X953" s="20" t="str">
        <f>IFERROR(IF([2]对账明细接口!$S953=0,"",[2]对账明细接口!$S953),"")</f>
        <v/>
      </c>
      <c r="Y953" s="20" t="str">
        <f t="shared" si="86"/>
        <v/>
      </c>
      <c r="Z953" s="20" t="str">
        <f t="shared" si="87"/>
        <v/>
      </c>
      <c r="AA953" s="20" t="str">
        <f t="shared" si="88"/>
        <v/>
      </c>
      <c r="AB953" s="20" t="str">
        <f t="shared" si="89"/>
        <v/>
      </c>
    </row>
    <row r="954" customHeight="1" spans="1:28">
      <c r="A954" s="14">
        <v>954</v>
      </c>
      <c r="B954" s="15" t="str">
        <f>IFERROR(IF([2]对账明细接口!$B$954=0,"",[2]对账明细接口!$B$954),"")</f>
        <v/>
      </c>
      <c r="C954" s="16" t="str">
        <f>IFERROR(IF([2]对账明细接口!$C$954=0,"",[2]对账明细接口!$C$954),"")</f>
        <v/>
      </c>
      <c r="D954" s="16" t="str">
        <f>IFERROR(IF([2]对账明细接口!$D$954=0,"",[2]对账明细接口!$D$954),"")</f>
        <v/>
      </c>
      <c r="E954" s="16" t="str">
        <f>IFERROR(IF([2]对账明细接口!$E$954=0,"",[2]对账明细接口!$E$954),"")</f>
        <v/>
      </c>
      <c r="F954" s="16" t="str">
        <f>IFERROR(IF([2]对账明细接口!$F$954=0,"",[2]对账明细接口!$F$954),"")</f>
        <v/>
      </c>
      <c r="G954" s="16" t="str">
        <f>IFERROR(IF([2]对账明细接口!$G$954=0,"",[2]对账明细接口!$G$954),"")</f>
        <v/>
      </c>
      <c r="H954" s="17" t="str">
        <f>IFERROR(IF([2]对账明细接口!$H$954=0,"",[2]对账明细接口!$H$954),"")</f>
        <v/>
      </c>
      <c r="I954" s="16" t="str">
        <f>IFERROR(IF([2]对账明细接口!$I$954=0,"",[2]对账明细接口!$I$954),"")</f>
        <v/>
      </c>
      <c r="J954" s="18" t="str">
        <f>IFERROR(IF([2]对账明细接口!$J$954=0,"",[2]对账明细接口!$J$954),"")</f>
        <v/>
      </c>
      <c r="K954" s="18" t="str">
        <f>IFERROR(IF([2]对账明细接口!$K$954=0,"",[2]对账明细接口!$K$954),"")</f>
        <v/>
      </c>
      <c r="L954" s="16" t="str">
        <f>IFERROR(IF([2]对账明细接口!$L$954=0,"",[2]对账明细接口!$L$954),"")</f>
        <v/>
      </c>
      <c r="M954" s="16" t="str">
        <f>IFERROR(IF([2]对账明细接口!$M$954=0,"",[2]对账明细接口!$M$954),"")</f>
        <v/>
      </c>
      <c r="N954" s="19">
        <f t="shared" si="84"/>
        <v>0</v>
      </c>
      <c r="O954" s="19">
        <f t="shared" si="85"/>
        <v>165</v>
      </c>
      <c r="S954" s="20" t="str">
        <f>IFERROR(IF([2]对账明细接口!$N954=0,"",[2]对账明细接口!$N954),"")</f>
        <v/>
      </c>
      <c r="T954" s="21" t="str">
        <f>IFERROR(IF([2]对账明细接口!$O954=0,"",[2]对账明细接口!$O954),"")</f>
        <v/>
      </c>
      <c r="U954" s="21" t="str">
        <f>IFERROR(IF([2]对账明细接口!$P954=0,"",[2]对账明细接口!$P954),"")</f>
        <v/>
      </c>
      <c r="V954" s="21" t="str">
        <f>IFERROR(IF([2]对账明细接口!$Q954=0,"",[2]对账明细接口!$Q954),"")</f>
        <v/>
      </c>
      <c r="W954" s="20" t="str">
        <f>IFERROR(IF([2]对账明细接口!$R954=0,"",[2]对账明细接口!$R954),"")</f>
        <v/>
      </c>
      <c r="X954" s="20" t="str">
        <f>IFERROR(IF([2]对账明细接口!$S954=0,"",[2]对账明细接口!$S954),"")</f>
        <v/>
      </c>
      <c r="Y954" s="20" t="str">
        <f t="shared" si="86"/>
        <v/>
      </c>
      <c r="Z954" s="20" t="str">
        <f t="shared" si="87"/>
        <v/>
      </c>
      <c r="AA954" s="20" t="str">
        <f t="shared" si="88"/>
        <v/>
      </c>
      <c r="AB954" s="20" t="str">
        <f t="shared" si="89"/>
        <v/>
      </c>
    </row>
    <row r="955" customHeight="1" spans="1:28">
      <c r="A955" s="14">
        <v>955</v>
      </c>
      <c r="B955" s="15" t="str">
        <f>IFERROR(IF([2]对账明细接口!$B$955=0,"",[2]对账明细接口!$B$955),"")</f>
        <v/>
      </c>
      <c r="C955" s="16" t="str">
        <f>IFERROR(IF([2]对账明细接口!$C$955=0,"",[2]对账明细接口!$C$955),"")</f>
        <v/>
      </c>
      <c r="D955" s="16" t="str">
        <f>IFERROR(IF([2]对账明细接口!$D$955=0,"",[2]对账明细接口!$D$955),"")</f>
        <v/>
      </c>
      <c r="E955" s="16" t="str">
        <f>IFERROR(IF([2]对账明细接口!$E$955=0,"",[2]对账明细接口!$E$955),"")</f>
        <v/>
      </c>
      <c r="F955" s="16" t="str">
        <f>IFERROR(IF([2]对账明细接口!$F$955=0,"",[2]对账明细接口!$F$955),"")</f>
        <v/>
      </c>
      <c r="G955" s="16" t="str">
        <f>IFERROR(IF([2]对账明细接口!$G$955=0,"",[2]对账明细接口!$G$955),"")</f>
        <v/>
      </c>
      <c r="H955" s="17" t="str">
        <f>IFERROR(IF([2]对账明细接口!$H$955=0,"",[2]对账明细接口!$H$955),"")</f>
        <v/>
      </c>
      <c r="I955" s="16" t="str">
        <f>IFERROR(IF([2]对账明细接口!$I$955=0,"",[2]对账明细接口!$I$955),"")</f>
        <v/>
      </c>
      <c r="J955" s="18" t="str">
        <f>IFERROR(IF([2]对账明细接口!$J$955=0,"",[2]对账明细接口!$J$955),"")</f>
        <v/>
      </c>
      <c r="K955" s="18" t="str">
        <f>IFERROR(IF([2]对账明细接口!$K$955=0,"",[2]对账明细接口!$K$955),"")</f>
        <v/>
      </c>
      <c r="L955" s="16" t="str">
        <f>IFERROR(IF([2]对账明细接口!$L$955=0,"",[2]对账明细接口!$L$955),"")</f>
        <v/>
      </c>
      <c r="M955" s="16" t="str">
        <f>IFERROR(IF([2]对账明细接口!$M$955=0,"",[2]对账明细接口!$M$955),"")</f>
        <v/>
      </c>
      <c r="N955" s="19">
        <f t="shared" si="84"/>
        <v>0</v>
      </c>
      <c r="O955" s="19">
        <f t="shared" si="85"/>
        <v>165</v>
      </c>
      <c r="S955" s="20" t="str">
        <f>IFERROR(IF([2]对账明细接口!$N955=0,"",[2]对账明细接口!$N955),"")</f>
        <v/>
      </c>
      <c r="T955" s="21" t="str">
        <f>IFERROR(IF([2]对账明细接口!$O955=0,"",[2]对账明细接口!$O955),"")</f>
        <v/>
      </c>
      <c r="U955" s="21" t="str">
        <f>IFERROR(IF([2]对账明细接口!$P955=0,"",[2]对账明细接口!$P955),"")</f>
        <v/>
      </c>
      <c r="V955" s="21" t="str">
        <f>IFERROR(IF([2]对账明细接口!$Q955=0,"",[2]对账明细接口!$Q955),"")</f>
        <v/>
      </c>
      <c r="W955" s="20" t="str">
        <f>IFERROR(IF([2]对账明细接口!$R955=0,"",[2]对账明细接口!$R955),"")</f>
        <v/>
      </c>
      <c r="X955" s="20" t="str">
        <f>IFERROR(IF([2]对账明细接口!$S955=0,"",[2]对账明细接口!$S955),"")</f>
        <v/>
      </c>
      <c r="Y955" s="20" t="str">
        <f t="shared" si="86"/>
        <v/>
      </c>
      <c r="Z955" s="20" t="str">
        <f t="shared" si="87"/>
        <v/>
      </c>
      <c r="AA955" s="20" t="str">
        <f t="shared" si="88"/>
        <v/>
      </c>
      <c r="AB955" s="20" t="str">
        <f t="shared" si="89"/>
        <v/>
      </c>
    </row>
    <row r="956" customHeight="1" spans="1:28">
      <c r="A956" s="14">
        <v>956</v>
      </c>
      <c r="B956" s="15" t="str">
        <f>IFERROR(IF([2]对账明细接口!$B$956=0,"",[2]对账明细接口!$B$956),"")</f>
        <v/>
      </c>
      <c r="C956" s="16" t="str">
        <f>IFERROR(IF([2]对账明细接口!$C$956=0,"",[2]对账明细接口!$C$956),"")</f>
        <v/>
      </c>
      <c r="D956" s="16" t="str">
        <f>IFERROR(IF([2]对账明细接口!$D$956=0,"",[2]对账明细接口!$D$956),"")</f>
        <v/>
      </c>
      <c r="E956" s="16" t="str">
        <f>IFERROR(IF([2]对账明细接口!$E$956=0,"",[2]对账明细接口!$E$956),"")</f>
        <v/>
      </c>
      <c r="F956" s="16" t="str">
        <f>IFERROR(IF([2]对账明细接口!$F$956=0,"",[2]对账明细接口!$F$956),"")</f>
        <v/>
      </c>
      <c r="G956" s="16" t="str">
        <f>IFERROR(IF([2]对账明细接口!$G$956=0,"",[2]对账明细接口!$G$956),"")</f>
        <v/>
      </c>
      <c r="H956" s="17" t="str">
        <f>IFERROR(IF([2]对账明细接口!$H$956=0,"",[2]对账明细接口!$H$956),"")</f>
        <v/>
      </c>
      <c r="I956" s="16" t="str">
        <f>IFERROR(IF([2]对账明细接口!$I$956=0,"",[2]对账明细接口!$I$956),"")</f>
        <v/>
      </c>
      <c r="J956" s="18" t="str">
        <f>IFERROR(IF([2]对账明细接口!$J$956=0,"",[2]对账明细接口!$J$956),"")</f>
        <v/>
      </c>
      <c r="K956" s="18" t="str">
        <f>IFERROR(IF([2]对账明细接口!$K$956=0,"",[2]对账明细接口!$K$956),"")</f>
        <v/>
      </c>
      <c r="L956" s="16" t="str">
        <f>IFERROR(IF([2]对账明细接口!$L$956=0,"",[2]对账明细接口!$L$956),"")</f>
        <v/>
      </c>
      <c r="M956" s="16" t="str">
        <f>IFERROR(IF([2]对账明细接口!$M$956=0,"",[2]对账明细接口!$M$956),"")</f>
        <v/>
      </c>
      <c r="N956" s="19">
        <f t="shared" si="84"/>
        <v>0</v>
      </c>
      <c r="O956" s="19">
        <f t="shared" si="85"/>
        <v>165</v>
      </c>
      <c r="S956" s="20" t="str">
        <f>IFERROR(IF([2]对账明细接口!$N956=0,"",[2]对账明细接口!$N956),"")</f>
        <v/>
      </c>
      <c r="T956" s="21" t="str">
        <f>IFERROR(IF([2]对账明细接口!$O956=0,"",[2]对账明细接口!$O956),"")</f>
        <v/>
      </c>
      <c r="U956" s="21" t="str">
        <f>IFERROR(IF([2]对账明细接口!$P956=0,"",[2]对账明细接口!$P956),"")</f>
        <v/>
      </c>
      <c r="V956" s="21" t="str">
        <f>IFERROR(IF([2]对账明细接口!$Q956=0,"",[2]对账明细接口!$Q956),"")</f>
        <v/>
      </c>
      <c r="W956" s="20" t="str">
        <f>IFERROR(IF([2]对账明细接口!$R956=0,"",[2]对账明细接口!$R956),"")</f>
        <v/>
      </c>
      <c r="X956" s="20" t="str">
        <f>IFERROR(IF([2]对账明细接口!$S956=0,"",[2]对账明细接口!$S956),"")</f>
        <v/>
      </c>
      <c r="Y956" s="20" t="str">
        <f t="shared" si="86"/>
        <v/>
      </c>
      <c r="Z956" s="20" t="str">
        <f t="shared" si="87"/>
        <v/>
      </c>
      <c r="AA956" s="20" t="str">
        <f t="shared" si="88"/>
        <v/>
      </c>
      <c r="AB956" s="20" t="str">
        <f t="shared" si="89"/>
        <v/>
      </c>
    </row>
    <row r="957" customHeight="1" spans="1:28">
      <c r="A957" s="14">
        <v>957</v>
      </c>
      <c r="B957" s="15" t="str">
        <f>IFERROR(IF([2]对账明细接口!$B$957=0,"",[2]对账明细接口!$B$957),"")</f>
        <v/>
      </c>
      <c r="C957" s="16" t="str">
        <f>IFERROR(IF([2]对账明细接口!$C$957=0,"",[2]对账明细接口!$C$957),"")</f>
        <v/>
      </c>
      <c r="D957" s="16" t="str">
        <f>IFERROR(IF([2]对账明细接口!$D$957=0,"",[2]对账明细接口!$D$957),"")</f>
        <v/>
      </c>
      <c r="E957" s="16" t="str">
        <f>IFERROR(IF([2]对账明细接口!$E$957=0,"",[2]对账明细接口!$E$957),"")</f>
        <v/>
      </c>
      <c r="F957" s="16" t="str">
        <f>IFERROR(IF([2]对账明细接口!$F$957=0,"",[2]对账明细接口!$F$957),"")</f>
        <v/>
      </c>
      <c r="G957" s="16" t="str">
        <f>IFERROR(IF([2]对账明细接口!$G$957=0,"",[2]对账明细接口!$G$957),"")</f>
        <v/>
      </c>
      <c r="H957" s="17" t="str">
        <f>IFERROR(IF([2]对账明细接口!$H$957=0,"",[2]对账明细接口!$H$957),"")</f>
        <v/>
      </c>
      <c r="I957" s="16" t="str">
        <f>IFERROR(IF([2]对账明细接口!$I$957=0,"",[2]对账明细接口!$I$957),"")</f>
        <v/>
      </c>
      <c r="J957" s="18" t="str">
        <f>IFERROR(IF([2]对账明细接口!$J$957=0,"",[2]对账明细接口!$J$957),"")</f>
        <v/>
      </c>
      <c r="K957" s="18" t="str">
        <f>IFERROR(IF([2]对账明细接口!$K$957=0,"",[2]对账明细接口!$K$957),"")</f>
        <v/>
      </c>
      <c r="L957" s="16" t="str">
        <f>IFERROR(IF([2]对账明细接口!$L$957=0,"",[2]对账明细接口!$L$957),"")</f>
        <v/>
      </c>
      <c r="M957" s="16" t="str">
        <f>IFERROR(IF([2]对账明细接口!$M$957=0,"",[2]对账明细接口!$M$957),"")</f>
        <v/>
      </c>
      <c r="N957" s="19">
        <f t="shared" si="84"/>
        <v>0</v>
      </c>
      <c r="O957" s="19">
        <f t="shared" si="85"/>
        <v>165</v>
      </c>
      <c r="S957" s="20" t="str">
        <f>IFERROR(IF([2]对账明细接口!$N957=0,"",[2]对账明细接口!$N957),"")</f>
        <v/>
      </c>
      <c r="T957" s="21" t="str">
        <f>IFERROR(IF([2]对账明细接口!$O957=0,"",[2]对账明细接口!$O957),"")</f>
        <v/>
      </c>
      <c r="U957" s="21" t="str">
        <f>IFERROR(IF([2]对账明细接口!$P957=0,"",[2]对账明细接口!$P957),"")</f>
        <v/>
      </c>
      <c r="V957" s="21" t="str">
        <f>IFERROR(IF([2]对账明细接口!$Q957=0,"",[2]对账明细接口!$Q957),"")</f>
        <v/>
      </c>
      <c r="W957" s="20" t="str">
        <f>IFERROR(IF([2]对账明细接口!$R957=0,"",[2]对账明细接口!$R957),"")</f>
        <v/>
      </c>
      <c r="X957" s="20" t="str">
        <f>IFERROR(IF([2]对账明细接口!$S957=0,"",[2]对账明细接口!$S957),"")</f>
        <v/>
      </c>
      <c r="Y957" s="20" t="str">
        <f t="shared" si="86"/>
        <v/>
      </c>
      <c r="Z957" s="20" t="str">
        <f t="shared" si="87"/>
        <v/>
      </c>
      <c r="AA957" s="20" t="str">
        <f t="shared" si="88"/>
        <v/>
      </c>
      <c r="AB957" s="20" t="str">
        <f t="shared" si="89"/>
        <v/>
      </c>
    </row>
    <row r="958" customHeight="1" spans="1:28">
      <c r="A958" s="14">
        <v>958</v>
      </c>
      <c r="B958" s="15" t="str">
        <f>IFERROR(IF([2]对账明细接口!$B$958=0,"",[2]对账明细接口!$B$958),"")</f>
        <v/>
      </c>
      <c r="C958" s="16" t="str">
        <f>IFERROR(IF([2]对账明细接口!$C$958=0,"",[2]对账明细接口!$C$958),"")</f>
        <v/>
      </c>
      <c r="D958" s="16" t="str">
        <f>IFERROR(IF([2]对账明细接口!$D$958=0,"",[2]对账明细接口!$D$958),"")</f>
        <v/>
      </c>
      <c r="E958" s="16" t="str">
        <f>IFERROR(IF([2]对账明细接口!$E$958=0,"",[2]对账明细接口!$E$958),"")</f>
        <v/>
      </c>
      <c r="F958" s="16" t="str">
        <f>IFERROR(IF([2]对账明细接口!$F$958=0,"",[2]对账明细接口!$F$958),"")</f>
        <v/>
      </c>
      <c r="G958" s="16" t="str">
        <f>IFERROR(IF([2]对账明细接口!$G$958=0,"",[2]对账明细接口!$G$958),"")</f>
        <v/>
      </c>
      <c r="H958" s="17" t="str">
        <f>IFERROR(IF([2]对账明细接口!$H$958=0,"",[2]对账明细接口!$H$958),"")</f>
        <v/>
      </c>
      <c r="I958" s="16" t="str">
        <f>IFERROR(IF([2]对账明细接口!$I$958=0,"",[2]对账明细接口!$I$958),"")</f>
        <v/>
      </c>
      <c r="J958" s="18" t="str">
        <f>IFERROR(IF([2]对账明细接口!$J$958=0,"",[2]对账明细接口!$J$958),"")</f>
        <v/>
      </c>
      <c r="K958" s="18" t="str">
        <f>IFERROR(IF([2]对账明细接口!$K$958=0,"",[2]对账明细接口!$K$958),"")</f>
        <v/>
      </c>
      <c r="L958" s="16" t="str">
        <f>IFERROR(IF([2]对账明细接口!$L$958=0,"",[2]对账明细接口!$L$958),"")</f>
        <v/>
      </c>
      <c r="M958" s="16" t="str">
        <f>IFERROR(IF([2]对账明细接口!$M$958=0,"",[2]对账明细接口!$M$958),"")</f>
        <v/>
      </c>
      <c r="N958" s="19">
        <f t="shared" si="84"/>
        <v>0</v>
      </c>
      <c r="O958" s="19">
        <f t="shared" si="85"/>
        <v>165</v>
      </c>
      <c r="S958" s="20" t="str">
        <f>IFERROR(IF([2]对账明细接口!$N958=0,"",[2]对账明细接口!$N958),"")</f>
        <v/>
      </c>
      <c r="T958" s="21" t="str">
        <f>IFERROR(IF([2]对账明细接口!$O958=0,"",[2]对账明细接口!$O958),"")</f>
        <v/>
      </c>
      <c r="U958" s="21" t="str">
        <f>IFERROR(IF([2]对账明细接口!$P958=0,"",[2]对账明细接口!$P958),"")</f>
        <v/>
      </c>
      <c r="V958" s="21" t="str">
        <f>IFERROR(IF([2]对账明细接口!$Q958=0,"",[2]对账明细接口!$Q958),"")</f>
        <v/>
      </c>
      <c r="W958" s="20" t="str">
        <f>IFERROR(IF([2]对账明细接口!$R958=0,"",[2]对账明细接口!$R958),"")</f>
        <v/>
      </c>
      <c r="X958" s="20" t="str">
        <f>IFERROR(IF([2]对账明细接口!$S958=0,"",[2]对账明细接口!$S958),"")</f>
        <v/>
      </c>
      <c r="Y958" s="20" t="str">
        <f t="shared" si="86"/>
        <v/>
      </c>
      <c r="Z958" s="20" t="str">
        <f t="shared" si="87"/>
        <v/>
      </c>
      <c r="AA958" s="20" t="str">
        <f t="shared" si="88"/>
        <v/>
      </c>
      <c r="AB958" s="20" t="str">
        <f t="shared" si="89"/>
        <v/>
      </c>
    </row>
    <row r="959" customHeight="1" spans="1:28">
      <c r="A959" s="14">
        <v>959</v>
      </c>
      <c r="B959" s="15" t="str">
        <f>IFERROR(IF([2]对账明细接口!$B$959=0,"",[2]对账明细接口!$B$959),"")</f>
        <v/>
      </c>
      <c r="C959" s="16" t="str">
        <f>IFERROR(IF([2]对账明细接口!$C$959=0,"",[2]对账明细接口!$C$959),"")</f>
        <v/>
      </c>
      <c r="D959" s="16" t="str">
        <f>IFERROR(IF([2]对账明细接口!$D$959=0,"",[2]对账明细接口!$D$959),"")</f>
        <v/>
      </c>
      <c r="E959" s="16" t="str">
        <f>IFERROR(IF([2]对账明细接口!$E$959=0,"",[2]对账明细接口!$E$959),"")</f>
        <v/>
      </c>
      <c r="F959" s="16" t="str">
        <f>IFERROR(IF([2]对账明细接口!$F$959=0,"",[2]对账明细接口!$F$959),"")</f>
        <v/>
      </c>
      <c r="G959" s="16" t="str">
        <f>IFERROR(IF([2]对账明细接口!$G$959=0,"",[2]对账明细接口!$G$959),"")</f>
        <v/>
      </c>
      <c r="H959" s="17" t="str">
        <f>IFERROR(IF([2]对账明细接口!$H$959=0,"",[2]对账明细接口!$H$959),"")</f>
        <v/>
      </c>
      <c r="I959" s="16" t="str">
        <f>IFERROR(IF([2]对账明细接口!$I$959=0,"",[2]对账明细接口!$I$959),"")</f>
        <v/>
      </c>
      <c r="J959" s="18" t="str">
        <f>IFERROR(IF([2]对账明细接口!$J$959=0,"",[2]对账明细接口!$J$959),"")</f>
        <v/>
      </c>
      <c r="K959" s="18" t="str">
        <f>IFERROR(IF([2]对账明细接口!$K$959=0,"",[2]对账明细接口!$K$959),"")</f>
        <v/>
      </c>
      <c r="L959" s="16" t="str">
        <f>IFERROR(IF([2]对账明细接口!$L$959=0,"",[2]对账明细接口!$L$959),"")</f>
        <v/>
      </c>
      <c r="M959" s="16" t="str">
        <f>IFERROR(IF([2]对账明细接口!$M$959=0,"",[2]对账明细接口!$M$959),"")</f>
        <v/>
      </c>
      <c r="N959" s="19">
        <f t="shared" si="84"/>
        <v>0</v>
      </c>
      <c r="O959" s="19">
        <f t="shared" si="85"/>
        <v>165</v>
      </c>
      <c r="S959" s="20" t="str">
        <f>IFERROR(IF([2]对账明细接口!$N959=0,"",[2]对账明细接口!$N959),"")</f>
        <v/>
      </c>
      <c r="T959" s="21" t="str">
        <f>IFERROR(IF([2]对账明细接口!$O959=0,"",[2]对账明细接口!$O959),"")</f>
        <v/>
      </c>
      <c r="U959" s="21" t="str">
        <f>IFERROR(IF([2]对账明细接口!$P959=0,"",[2]对账明细接口!$P959),"")</f>
        <v/>
      </c>
      <c r="V959" s="21" t="str">
        <f>IFERROR(IF([2]对账明细接口!$Q959=0,"",[2]对账明细接口!$Q959),"")</f>
        <v/>
      </c>
      <c r="W959" s="20" t="str">
        <f>IFERROR(IF([2]对账明细接口!$R959=0,"",[2]对账明细接口!$R959),"")</f>
        <v/>
      </c>
      <c r="X959" s="20" t="str">
        <f>IFERROR(IF([2]对账明细接口!$S959=0,"",[2]对账明细接口!$S959),"")</f>
        <v/>
      </c>
      <c r="Y959" s="20" t="str">
        <f t="shared" si="86"/>
        <v/>
      </c>
      <c r="Z959" s="20" t="str">
        <f t="shared" si="87"/>
        <v/>
      </c>
      <c r="AA959" s="20" t="str">
        <f t="shared" si="88"/>
        <v/>
      </c>
      <c r="AB959" s="20" t="str">
        <f t="shared" si="89"/>
        <v/>
      </c>
    </row>
    <row r="960" customHeight="1" spans="1:28">
      <c r="A960" s="14">
        <v>960</v>
      </c>
      <c r="B960" s="15" t="str">
        <f>IFERROR(IF([2]对账明细接口!$B$960=0,"",[2]对账明细接口!$B$960),"")</f>
        <v/>
      </c>
      <c r="C960" s="16" t="str">
        <f>IFERROR(IF([2]对账明细接口!$C$960=0,"",[2]对账明细接口!$C$960),"")</f>
        <v/>
      </c>
      <c r="D960" s="16" t="str">
        <f>IFERROR(IF([2]对账明细接口!$D$960=0,"",[2]对账明细接口!$D$960),"")</f>
        <v/>
      </c>
      <c r="E960" s="16" t="str">
        <f>IFERROR(IF([2]对账明细接口!$E$960=0,"",[2]对账明细接口!$E$960),"")</f>
        <v/>
      </c>
      <c r="F960" s="16" t="str">
        <f>IFERROR(IF([2]对账明细接口!$F$960=0,"",[2]对账明细接口!$F$960),"")</f>
        <v/>
      </c>
      <c r="G960" s="16" t="str">
        <f>IFERROR(IF([2]对账明细接口!$G$960=0,"",[2]对账明细接口!$G$960),"")</f>
        <v/>
      </c>
      <c r="H960" s="17" t="str">
        <f>IFERROR(IF([2]对账明细接口!$H$960=0,"",[2]对账明细接口!$H$960),"")</f>
        <v/>
      </c>
      <c r="I960" s="16" t="str">
        <f>IFERROR(IF([2]对账明细接口!$I$960=0,"",[2]对账明细接口!$I$960),"")</f>
        <v/>
      </c>
      <c r="J960" s="18" t="str">
        <f>IFERROR(IF([2]对账明细接口!$J$960=0,"",[2]对账明细接口!$J$960),"")</f>
        <v/>
      </c>
      <c r="K960" s="18" t="str">
        <f>IFERROR(IF([2]对账明细接口!$K$960=0,"",[2]对账明细接口!$K$960),"")</f>
        <v/>
      </c>
      <c r="L960" s="16" t="str">
        <f>IFERROR(IF([2]对账明细接口!$L$960=0,"",[2]对账明细接口!$L$960),"")</f>
        <v/>
      </c>
      <c r="M960" s="16" t="str">
        <f>IFERROR(IF([2]对账明细接口!$M$960=0,"",[2]对账明细接口!$M$960),"")</f>
        <v/>
      </c>
      <c r="N960" s="19">
        <f t="shared" si="84"/>
        <v>0</v>
      </c>
      <c r="O960" s="19">
        <f t="shared" si="85"/>
        <v>165</v>
      </c>
      <c r="S960" s="20" t="str">
        <f>IFERROR(IF([2]对账明细接口!$N960=0,"",[2]对账明细接口!$N960),"")</f>
        <v/>
      </c>
      <c r="T960" s="21" t="str">
        <f>IFERROR(IF([2]对账明细接口!$O960=0,"",[2]对账明细接口!$O960),"")</f>
        <v/>
      </c>
      <c r="U960" s="21" t="str">
        <f>IFERROR(IF([2]对账明细接口!$P960=0,"",[2]对账明细接口!$P960),"")</f>
        <v/>
      </c>
      <c r="V960" s="21" t="str">
        <f>IFERROR(IF([2]对账明细接口!$Q960=0,"",[2]对账明细接口!$Q960),"")</f>
        <v/>
      </c>
      <c r="W960" s="20" t="str">
        <f>IFERROR(IF([2]对账明细接口!$R960=0,"",[2]对账明细接口!$R960),"")</f>
        <v/>
      </c>
      <c r="X960" s="20" t="str">
        <f>IFERROR(IF([2]对账明细接口!$S960=0,"",[2]对账明细接口!$S960),"")</f>
        <v/>
      </c>
      <c r="Y960" s="20" t="str">
        <f t="shared" si="86"/>
        <v/>
      </c>
      <c r="Z960" s="20" t="str">
        <f t="shared" si="87"/>
        <v/>
      </c>
      <c r="AA960" s="20" t="str">
        <f t="shared" si="88"/>
        <v/>
      </c>
      <c r="AB960" s="20" t="str">
        <f t="shared" si="89"/>
        <v/>
      </c>
    </row>
    <row r="961" customHeight="1" spans="1:28">
      <c r="A961" s="14">
        <v>961</v>
      </c>
      <c r="B961" s="15" t="str">
        <f>IFERROR(IF([2]对账明细接口!$B$961=0,"",[2]对账明细接口!$B$961),"")</f>
        <v/>
      </c>
      <c r="C961" s="16" t="str">
        <f>IFERROR(IF([2]对账明细接口!$C$961=0,"",[2]对账明细接口!$C$961),"")</f>
        <v/>
      </c>
      <c r="D961" s="16" t="str">
        <f>IFERROR(IF([2]对账明细接口!$D$961=0,"",[2]对账明细接口!$D$961),"")</f>
        <v/>
      </c>
      <c r="E961" s="16" t="str">
        <f>IFERROR(IF([2]对账明细接口!$E$961=0,"",[2]对账明细接口!$E$961),"")</f>
        <v/>
      </c>
      <c r="F961" s="16" t="str">
        <f>IFERROR(IF([2]对账明细接口!$F$961=0,"",[2]对账明细接口!$F$961),"")</f>
        <v/>
      </c>
      <c r="G961" s="16" t="str">
        <f>IFERROR(IF([2]对账明细接口!$G$961=0,"",[2]对账明细接口!$G$961),"")</f>
        <v/>
      </c>
      <c r="H961" s="17" t="str">
        <f>IFERROR(IF([2]对账明细接口!$H$961=0,"",[2]对账明细接口!$H$961),"")</f>
        <v/>
      </c>
      <c r="I961" s="16" t="str">
        <f>IFERROR(IF([2]对账明细接口!$I$961=0,"",[2]对账明细接口!$I$961),"")</f>
        <v/>
      </c>
      <c r="J961" s="18" t="str">
        <f>IFERROR(IF([2]对账明细接口!$J$961=0,"",[2]对账明细接口!$J$961),"")</f>
        <v/>
      </c>
      <c r="K961" s="18" t="str">
        <f>IFERROR(IF([2]对账明细接口!$K$961=0,"",[2]对账明细接口!$K$961),"")</f>
        <v/>
      </c>
      <c r="L961" s="16" t="str">
        <f>IFERROR(IF([2]对账明细接口!$L$961=0,"",[2]对账明细接口!$L$961),"")</f>
        <v/>
      </c>
      <c r="M961" s="16" t="str">
        <f>IFERROR(IF([2]对账明细接口!$M$961=0,"",[2]对账明细接口!$M$961),"")</f>
        <v/>
      </c>
      <c r="N961" s="19">
        <f t="shared" si="84"/>
        <v>0</v>
      </c>
      <c r="O961" s="19">
        <f t="shared" si="85"/>
        <v>165</v>
      </c>
      <c r="S961" s="20" t="str">
        <f>IFERROR(IF([2]对账明细接口!$N961=0,"",[2]对账明细接口!$N961),"")</f>
        <v/>
      </c>
      <c r="T961" s="21" t="str">
        <f>IFERROR(IF([2]对账明细接口!$O961=0,"",[2]对账明细接口!$O961),"")</f>
        <v/>
      </c>
      <c r="U961" s="21" t="str">
        <f>IFERROR(IF([2]对账明细接口!$P961=0,"",[2]对账明细接口!$P961),"")</f>
        <v/>
      </c>
      <c r="V961" s="21" t="str">
        <f>IFERROR(IF([2]对账明细接口!$Q961=0,"",[2]对账明细接口!$Q961),"")</f>
        <v/>
      </c>
      <c r="W961" s="20" t="str">
        <f>IFERROR(IF([2]对账明细接口!$R961=0,"",[2]对账明细接口!$R961),"")</f>
        <v/>
      </c>
      <c r="X961" s="20" t="str">
        <f>IFERROR(IF([2]对账明细接口!$S961=0,"",[2]对账明细接口!$S961),"")</f>
        <v/>
      </c>
      <c r="Y961" s="20" t="str">
        <f t="shared" si="86"/>
        <v/>
      </c>
      <c r="Z961" s="20" t="str">
        <f t="shared" si="87"/>
        <v/>
      </c>
      <c r="AA961" s="20" t="str">
        <f t="shared" si="88"/>
        <v/>
      </c>
      <c r="AB961" s="20" t="str">
        <f t="shared" si="89"/>
        <v/>
      </c>
    </row>
    <row r="962" customHeight="1" spans="1:28">
      <c r="A962" s="14">
        <v>962</v>
      </c>
      <c r="B962" s="15" t="str">
        <f>IFERROR(IF([2]对账明细接口!$B$962=0,"",[2]对账明细接口!$B$962),"")</f>
        <v/>
      </c>
      <c r="C962" s="16" t="str">
        <f>IFERROR(IF([2]对账明细接口!$C$962=0,"",[2]对账明细接口!$C$962),"")</f>
        <v/>
      </c>
      <c r="D962" s="16" t="str">
        <f>IFERROR(IF([2]对账明细接口!$D$962=0,"",[2]对账明细接口!$D$962),"")</f>
        <v/>
      </c>
      <c r="E962" s="16" t="str">
        <f>IFERROR(IF([2]对账明细接口!$E$962=0,"",[2]对账明细接口!$E$962),"")</f>
        <v/>
      </c>
      <c r="F962" s="16" t="str">
        <f>IFERROR(IF([2]对账明细接口!$F$962=0,"",[2]对账明细接口!$F$962),"")</f>
        <v/>
      </c>
      <c r="G962" s="16" t="str">
        <f>IFERROR(IF([2]对账明细接口!$G$962=0,"",[2]对账明细接口!$G$962),"")</f>
        <v/>
      </c>
      <c r="H962" s="17" t="str">
        <f>IFERROR(IF([2]对账明细接口!$H$962=0,"",[2]对账明细接口!$H$962),"")</f>
        <v/>
      </c>
      <c r="I962" s="16" t="str">
        <f>IFERROR(IF([2]对账明细接口!$I$962=0,"",[2]对账明细接口!$I$962),"")</f>
        <v/>
      </c>
      <c r="J962" s="18" t="str">
        <f>IFERROR(IF([2]对账明细接口!$J$962=0,"",[2]对账明细接口!$J$962),"")</f>
        <v/>
      </c>
      <c r="K962" s="18" t="str">
        <f>IFERROR(IF([2]对账明细接口!$K$962=0,"",[2]对账明细接口!$K$962),"")</f>
        <v/>
      </c>
      <c r="L962" s="16" t="str">
        <f>IFERROR(IF([2]对账明细接口!$L$962=0,"",[2]对账明细接口!$L$962),"")</f>
        <v/>
      </c>
      <c r="M962" s="16" t="str">
        <f>IFERROR(IF([2]对账明细接口!$M$962=0,"",[2]对账明细接口!$M$962),"")</f>
        <v/>
      </c>
      <c r="N962" s="19">
        <f t="shared" si="84"/>
        <v>0</v>
      </c>
      <c r="O962" s="19">
        <f t="shared" si="85"/>
        <v>165</v>
      </c>
      <c r="S962" s="20" t="str">
        <f>IFERROR(IF([2]对账明细接口!$N962=0,"",[2]对账明细接口!$N962),"")</f>
        <v/>
      </c>
      <c r="T962" s="21" t="str">
        <f>IFERROR(IF([2]对账明细接口!$O962=0,"",[2]对账明细接口!$O962),"")</f>
        <v/>
      </c>
      <c r="U962" s="21" t="str">
        <f>IFERROR(IF([2]对账明细接口!$P962=0,"",[2]对账明细接口!$P962),"")</f>
        <v/>
      </c>
      <c r="V962" s="21" t="str">
        <f>IFERROR(IF([2]对账明细接口!$Q962=0,"",[2]对账明细接口!$Q962),"")</f>
        <v/>
      </c>
      <c r="W962" s="20" t="str">
        <f>IFERROR(IF([2]对账明细接口!$R962=0,"",[2]对账明细接口!$R962),"")</f>
        <v/>
      </c>
      <c r="X962" s="20" t="str">
        <f>IFERROR(IF([2]对账明细接口!$S962=0,"",[2]对账明细接口!$S962),"")</f>
        <v/>
      </c>
      <c r="Y962" s="20" t="str">
        <f t="shared" si="86"/>
        <v/>
      </c>
      <c r="Z962" s="20" t="str">
        <f t="shared" si="87"/>
        <v/>
      </c>
      <c r="AA962" s="20" t="str">
        <f t="shared" si="88"/>
        <v/>
      </c>
      <c r="AB962" s="20" t="str">
        <f t="shared" si="89"/>
        <v/>
      </c>
    </row>
    <row r="963" customHeight="1" spans="1:28">
      <c r="A963" s="14">
        <v>963</v>
      </c>
      <c r="B963" s="15" t="str">
        <f>IFERROR(IF([2]对账明细接口!$B$963=0,"",[2]对账明细接口!$B$963),"")</f>
        <v/>
      </c>
      <c r="C963" s="16" t="str">
        <f>IFERROR(IF([2]对账明细接口!$C$963=0,"",[2]对账明细接口!$C$963),"")</f>
        <v/>
      </c>
      <c r="D963" s="16" t="str">
        <f>IFERROR(IF([2]对账明细接口!$D$963=0,"",[2]对账明细接口!$D$963),"")</f>
        <v/>
      </c>
      <c r="E963" s="16" t="str">
        <f>IFERROR(IF([2]对账明细接口!$E$963=0,"",[2]对账明细接口!$E$963),"")</f>
        <v/>
      </c>
      <c r="F963" s="16" t="str">
        <f>IFERROR(IF([2]对账明细接口!$F$963=0,"",[2]对账明细接口!$F$963),"")</f>
        <v/>
      </c>
      <c r="G963" s="16" t="str">
        <f>IFERROR(IF([2]对账明细接口!$G$963=0,"",[2]对账明细接口!$G$963),"")</f>
        <v/>
      </c>
      <c r="H963" s="17" t="str">
        <f>IFERROR(IF([2]对账明细接口!$H$963=0,"",[2]对账明细接口!$H$963),"")</f>
        <v/>
      </c>
      <c r="I963" s="16" t="str">
        <f>IFERROR(IF([2]对账明细接口!$I$963=0,"",[2]对账明细接口!$I$963),"")</f>
        <v/>
      </c>
      <c r="J963" s="18" t="str">
        <f>IFERROR(IF([2]对账明细接口!$J$963=0,"",[2]对账明细接口!$J$963),"")</f>
        <v/>
      </c>
      <c r="K963" s="18" t="str">
        <f>IFERROR(IF([2]对账明细接口!$K$963=0,"",[2]对账明细接口!$K$963),"")</f>
        <v/>
      </c>
      <c r="L963" s="16" t="str">
        <f>IFERROR(IF([2]对账明细接口!$L$963=0,"",[2]对账明细接口!$L$963),"")</f>
        <v/>
      </c>
      <c r="M963" s="16" t="str">
        <f>IFERROR(IF([2]对账明细接口!$M$963=0,"",[2]对账明细接口!$M$963),"")</f>
        <v/>
      </c>
      <c r="N963" s="19">
        <f t="shared" si="84"/>
        <v>0</v>
      </c>
      <c r="O963" s="19">
        <f t="shared" si="85"/>
        <v>165</v>
      </c>
      <c r="S963" s="20" t="str">
        <f>IFERROR(IF([2]对账明细接口!$N963=0,"",[2]对账明细接口!$N963),"")</f>
        <v/>
      </c>
      <c r="T963" s="21" t="str">
        <f>IFERROR(IF([2]对账明细接口!$O963=0,"",[2]对账明细接口!$O963),"")</f>
        <v/>
      </c>
      <c r="U963" s="21" t="str">
        <f>IFERROR(IF([2]对账明细接口!$P963=0,"",[2]对账明细接口!$P963),"")</f>
        <v/>
      </c>
      <c r="V963" s="21" t="str">
        <f>IFERROR(IF([2]对账明细接口!$Q963=0,"",[2]对账明细接口!$Q963),"")</f>
        <v/>
      </c>
      <c r="W963" s="20" t="str">
        <f>IFERROR(IF([2]对账明细接口!$R963=0,"",[2]对账明细接口!$R963),"")</f>
        <v/>
      </c>
      <c r="X963" s="20" t="str">
        <f>IFERROR(IF([2]对账明细接口!$S963=0,"",[2]对账明细接口!$S963),"")</f>
        <v/>
      </c>
      <c r="Y963" s="20" t="str">
        <f t="shared" si="86"/>
        <v/>
      </c>
      <c r="Z963" s="20" t="str">
        <f t="shared" si="87"/>
        <v/>
      </c>
      <c r="AA963" s="20" t="str">
        <f t="shared" si="88"/>
        <v/>
      </c>
      <c r="AB963" s="20" t="str">
        <f t="shared" si="89"/>
        <v/>
      </c>
    </row>
    <row r="964" customHeight="1" spans="1:28">
      <c r="A964" s="14">
        <v>964</v>
      </c>
      <c r="B964" s="15" t="str">
        <f>IFERROR(IF([2]对账明细接口!$B$964=0,"",[2]对账明细接口!$B$964),"")</f>
        <v/>
      </c>
      <c r="C964" s="16" t="str">
        <f>IFERROR(IF([2]对账明细接口!$C$964=0,"",[2]对账明细接口!$C$964),"")</f>
        <v/>
      </c>
      <c r="D964" s="16" t="str">
        <f>IFERROR(IF([2]对账明细接口!$D$964=0,"",[2]对账明细接口!$D$964),"")</f>
        <v/>
      </c>
      <c r="E964" s="16" t="str">
        <f>IFERROR(IF([2]对账明细接口!$E$964=0,"",[2]对账明细接口!$E$964),"")</f>
        <v/>
      </c>
      <c r="F964" s="16" t="str">
        <f>IFERROR(IF([2]对账明细接口!$F$964=0,"",[2]对账明细接口!$F$964),"")</f>
        <v/>
      </c>
      <c r="G964" s="16" t="str">
        <f>IFERROR(IF([2]对账明细接口!$G$964=0,"",[2]对账明细接口!$G$964),"")</f>
        <v/>
      </c>
      <c r="H964" s="17" t="str">
        <f>IFERROR(IF([2]对账明细接口!$H$964=0,"",[2]对账明细接口!$H$964),"")</f>
        <v/>
      </c>
      <c r="I964" s="16" t="str">
        <f>IFERROR(IF([2]对账明细接口!$I$964=0,"",[2]对账明细接口!$I$964),"")</f>
        <v/>
      </c>
      <c r="J964" s="18" t="str">
        <f>IFERROR(IF([2]对账明细接口!$J$964=0,"",[2]对账明细接口!$J$964),"")</f>
        <v/>
      </c>
      <c r="K964" s="18" t="str">
        <f>IFERROR(IF([2]对账明细接口!$K$964=0,"",[2]对账明细接口!$K$964),"")</f>
        <v/>
      </c>
      <c r="L964" s="16" t="str">
        <f>IFERROR(IF([2]对账明细接口!$L$964=0,"",[2]对账明细接口!$L$964),"")</f>
        <v/>
      </c>
      <c r="M964" s="16" t="str">
        <f>IFERROR(IF([2]对账明细接口!$M$964=0,"",[2]对账明细接口!$M$964),"")</f>
        <v/>
      </c>
      <c r="N964" s="19">
        <f t="shared" ref="N964:N1027" si="90">IF($C964="",0,1)</f>
        <v>0</v>
      </c>
      <c r="O964" s="19">
        <f t="shared" ref="O964:O1027" si="91">N(O963)+$N964</f>
        <v>165</v>
      </c>
      <c r="S964" s="20" t="str">
        <f>IFERROR(IF([2]对账明细接口!$N964=0,"",[2]对账明细接口!$N964),"")</f>
        <v/>
      </c>
      <c r="T964" s="21" t="str">
        <f>IFERROR(IF([2]对账明细接口!$O964=0,"",[2]对账明细接口!$O964),"")</f>
        <v/>
      </c>
      <c r="U964" s="21" t="str">
        <f>IFERROR(IF([2]对账明细接口!$P964=0,"",[2]对账明细接口!$P964),"")</f>
        <v/>
      </c>
      <c r="V964" s="21" t="str">
        <f>IFERROR(IF([2]对账明细接口!$Q964=0,"",[2]对账明细接口!$Q964),"")</f>
        <v/>
      </c>
      <c r="W964" s="20" t="str">
        <f>IFERROR(IF([2]对账明细接口!$R964=0,"",[2]对账明细接口!$R964),"")</f>
        <v/>
      </c>
      <c r="X964" s="20" t="str">
        <f>IFERROR(IF([2]对账明细接口!$S964=0,"",[2]对账明细接口!$S964),"")</f>
        <v/>
      </c>
      <c r="Y964" s="20" t="str">
        <f t="shared" ref="Y964:Y1027" si="92">""</f>
        <v/>
      </c>
      <c r="Z964" s="20" t="str">
        <f t="shared" ref="Z964:Z1027" si="93">""</f>
        <v/>
      </c>
      <c r="AA964" s="20" t="str">
        <f t="shared" ref="AA964:AA1027" si="94">""</f>
        <v/>
      </c>
      <c r="AB964" s="20" t="str">
        <f t="shared" ref="AB964:AB1027" si="95">""</f>
        <v/>
      </c>
    </row>
    <row r="965" customHeight="1" spans="1:28">
      <c r="A965" s="14">
        <v>965</v>
      </c>
      <c r="B965" s="15" t="str">
        <f>IFERROR(IF([2]对账明细接口!$B$965=0,"",[2]对账明细接口!$B$965),"")</f>
        <v/>
      </c>
      <c r="C965" s="16" t="str">
        <f>IFERROR(IF([2]对账明细接口!$C$965=0,"",[2]对账明细接口!$C$965),"")</f>
        <v/>
      </c>
      <c r="D965" s="16" t="str">
        <f>IFERROR(IF([2]对账明细接口!$D$965=0,"",[2]对账明细接口!$D$965),"")</f>
        <v/>
      </c>
      <c r="E965" s="16" t="str">
        <f>IFERROR(IF([2]对账明细接口!$E$965=0,"",[2]对账明细接口!$E$965),"")</f>
        <v/>
      </c>
      <c r="F965" s="16" t="str">
        <f>IFERROR(IF([2]对账明细接口!$F$965=0,"",[2]对账明细接口!$F$965),"")</f>
        <v/>
      </c>
      <c r="G965" s="16" t="str">
        <f>IFERROR(IF([2]对账明细接口!$G$965=0,"",[2]对账明细接口!$G$965),"")</f>
        <v/>
      </c>
      <c r="H965" s="17" t="str">
        <f>IFERROR(IF([2]对账明细接口!$H$965=0,"",[2]对账明细接口!$H$965),"")</f>
        <v/>
      </c>
      <c r="I965" s="16" t="str">
        <f>IFERROR(IF([2]对账明细接口!$I$965=0,"",[2]对账明细接口!$I$965),"")</f>
        <v/>
      </c>
      <c r="J965" s="18" t="str">
        <f>IFERROR(IF([2]对账明细接口!$J$965=0,"",[2]对账明细接口!$J$965),"")</f>
        <v/>
      </c>
      <c r="K965" s="18" t="str">
        <f>IFERROR(IF([2]对账明细接口!$K$965=0,"",[2]对账明细接口!$K$965),"")</f>
        <v/>
      </c>
      <c r="L965" s="16" t="str">
        <f>IFERROR(IF([2]对账明细接口!$L$965=0,"",[2]对账明细接口!$L$965),"")</f>
        <v/>
      </c>
      <c r="M965" s="16" t="str">
        <f>IFERROR(IF([2]对账明细接口!$M$965=0,"",[2]对账明细接口!$M$965),"")</f>
        <v/>
      </c>
      <c r="N965" s="19">
        <f t="shared" si="90"/>
        <v>0</v>
      </c>
      <c r="O965" s="19">
        <f t="shared" si="91"/>
        <v>165</v>
      </c>
      <c r="S965" s="20" t="str">
        <f>IFERROR(IF([2]对账明细接口!$N965=0,"",[2]对账明细接口!$N965),"")</f>
        <v/>
      </c>
      <c r="T965" s="21" t="str">
        <f>IFERROR(IF([2]对账明细接口!$O965=0,"",[2]对账明细接口!$O965),"")</f>
        <v/>
      </c>
      <c r="U965" s="21" t="str">
        <f>IFERROR(IF([2]对账明细接口!$P965=0,"",[2]对账明细接口!$P965),"")</f>
        <v/>
      </c>
      <c r="V965" s="21" t="str">
        <f>IFERROR(IF([2]对账明细接口!$Q965=0,"",[2]对账明细接口!$Q965),"")</f>
        <v/>
      </c>
      <c r="W965" s="20" t="str">
        <f>IFERROR(IF([2]对账明细接口!$R965=0,"",[2]对账明细接口!$R965),"")</f>
        <v/>
      </c>
      <c r="X965" s="20" t="str">
        <f>IFERROR(IF([2]对账明细接口!$S965=0,"",[2]对账明细接口!$S965),"")</f>
        <v/>
      </c>
      <c r="Y965" s="20" t="str">
        <f t="shared" si="92"/>
        <v/>
      </c>
      <c r="Z965" s="20" t="str">
        <f t="shared" si="93"/>
        <v/>
      </c>
      <c r="AA965" s="20" t="str">
        <f t="shared" si="94"/>
        <v/>
      </c>
      <c r="AB965" s="20" t="str">
        <f t="shared" si="95"/>
        <v/>
      </c>
    </row>
    <row r="966" customHeight="1" spans="1:28">
      <c r="A966" s="14">
        <v>966</v>
      </c>
      <c r="B966" s="15" t="str">
        <f>IFERROR(IF([2]对账明细接口!$B$966=0,"",[2]对账明细接口!$B$966),"")</f>
        <v/>
      </c>
      <c r="C966" s="16" t="str">
        <f>IFERROR(IF([2]对账明细接口!$C$966=0,"",[2]对账明细接口!$C$966),"")</f>
        <v/>
      </c>
      <c r="D966" s="16" t="str">
        <f>IFERROR(IF([2]对账明细接口!$D$966=0,"",[2]对账明细接口!$D$966),"")</f>
        <v/>
      </c>
      <c r="E966" s="16" t="str">
        <f>IFERROR(IF([2]对账明细接口!$E$966=0,"",[2]对账明细接口!$E$966),"")</f>
        <v/>
      </c>
      <c r="F966" s="16" t="str">
        <f>IFERROR(IF([2]对账明细接口!$F$966=0,"",[2]对账明细接口!$F$966),"")</f>
        <v/>
      </c>
      <c r="G966" s="16" t="str">
        <f>IFERROR(IF([2]对账明细接口!$G$966=0,"",[2]对账明细接口!$G$966),"")</f>
        <v/>
      </c>
      <c r="H966" s="17" t="str">
        <f>IFERROR(IF([2]对账明细接口!$H$966=0,"",[2]对账明细接口!$H$966),"")</f>
        <v/>
      </c>
      <c r="I966" s="16" t="str">
        <f>IFERROR(IF([2]对账明细接口!$I$966=0,"",[2]对账明细接口!$I$966),"")</f>
        <v/>
      </c>
      <c r="J966" s="18" t="str">
        <f>IFERROR(IF([2]对账明细接口!$J$966=0,"",[2]对账明细接口!$J$966),"")</f>
        <v/>
      </c>
      <c r="K966" s="18" t="str">
        <f>IFERROR(IF([2]对账明细接口!$K$966=0,"",[2]对账明细接口!$K$966),"")</f>
        <v/>
      </c>
      <c r="L966" s="16" t="str">
        <f>IFERROR(IF([2]对账明细接口!$L$966=0,"",[2]对账明细接口!$L$966),"")</f>
        <v/>
      </c>
      <c r="M966" s="16" t="str">
        <f>IFERROR(IF([2]对账明细接口!$M$966=0,"",[2]对账明细接口!$M$966),"")</f>
        <v/>
      </c>
      <c r="N966" s="19">
        <f t="shared" si="90"/>
        <v>0</v>
      </c>
      <c r="O966" s="19">
        <f t="shared" si="91"/>
        <v>165</v>
      </c>
      <c r="S966" s="20" t="str">
        <f>IFERROR(IF([2]对账明细接口!$N966=0,"",[2]对账明细接口!$N966),"")</f>
        <v/>
      </c>
      <c r="T966" s="21" t="str">
        <f>IFERROR(IF([2]对账明细接口!$O966=0,"",[2]对账明细接口!$O966),"")</f>
        <v/>
      </c>
      <c r="U966" s="21" t="str">
        <f>IFERROR(IF([2]对账明细接口!$P966=0,"",[2]对账明细接口!$P966),"")</f>
        <v/>
      </c>
      <c r="V966" s="21" t="str">
        <f>IFERROR(IF([2]对账明细接口!$Q966=0,"",[2]对账明细接口!$Q966),"")</f>
        <v/>
      </c>
      <c r="W966" s="20" t="str">
        <f>IFERROR(IF([2]对账明细接口!$R966=0,"",[2]对账明细接口!$R966),"")</f>
        <v/>
      </c>
      <c r="X966" s="20" t="str">
        <f>IFERROR(IF([2]对账明细接口!$S966=0,"",[2]对账明细接口!$S966),"")</f>
        <v/>
      </c>
      <c r="Y966" s="20" t="str">
        <f t="shared" si="92"/>
        <v/>
      </c>
      <c r="Z966" s="20" t="str">
        <f t="shared" si="93"/>
        <v/>
      </c>
      <c r="AA966" s="20" t="str">
        <f t="shared" si="94"/>
        <v/>
      </c>
      <c r="AB966" s="20" t="str">
        <f t="shared" si="95"/>
        <v/>
      </c>
    </row>
    <row r="967" customHeight="1" spans="1:28">
      <c r="A967" s="14">
        <v>967</v>
      </c>
      <c r="B967" s="15" t="str">
        <f>IFERROR(IF([2]对账明细接口!$B$967=0,"",[2]对账明细接口!$B$967),"")</f>
        <v/>
      </c>
      <c r="C967" s="16" t="str">
        <f>IFERROR(IF([2]对账明细接口!$C$967=0,"",[2]对账明细接口!$C$967),"")</f>
        <v/>
      </c>
      <c r="D967" s="16" t="str">
        <f>IFERROR(IF([2]对账明细接口!$D$967=0,"",[2]对账明细接口!$D$967),"")</f>
        <v/>
      </c>
      <c r="E967" s="16" t="str">
        <f>IFERROR(IF([2]对账明细接口!$E$967=0,"",[2]对账明细接口!$E$967),"")</f>
        <v/>
      </c>
      <c r="F967" s="16" t="str">
        <f>IFERROR(IF([2]对账明细接口!$F$967=0,"",[2]对账明细接口!$F$967),"")</f>
        <v/>
      </c>
      <c r="G967" s="16" t="str">
        <f>IFERROR(IF([2]对账明细接口!$G$967=0,"",[2]对账明细接口!$G$967),"")</f>
        <v/>
      </c>
      <c r="H967" s="17" t="str">
        <f>IFERROR(IF([2]对账明细接口!$H$967=0,"",[2]对账明细接口!$H$967),"")</f>
        <v/>
      </c>
      <c r="I967" s="16" t="str">
        <f>IFERROR(IF([2]对账明细接口!$I$967=0,"",[2]对账明细接口!$I$967),"")</f>
        <v/>
      </c>
      <c r="J967" s="18" t="str">
        <f>IFERROR(IF([2]对账明细接口!$J$967=0,"",[2]对账明细接口!$J$967),"")</f>
        <v/>
      </c>
      <c r="K967" s="18" t="str">
        <f>IFERROR(IF([2]对账明细接口!$K$967=0,"",[2]对账明细接口!$K$967),"")</f>
        <v/>
      </c>
      <c r="L967" s="16" t="str">
        <f>IFERROR(IF([2]对账明细接口!$L$967=0,"",[2]对账明细接口!$L$967),"")</f>
        <v/>
      </c>
      <c r="M967" s="16" t="str">
        <f>IFERROR(IF([2]对账明细接口!$M$967=0,"",[2]对账明细接口!$M$967),"")</f>
        <v/>
      </c>
      <c r="N967" s="19">
        <f t="shared" si="90"/>
        <v>0</v>
      </c>
      <c r="O967" s="19">
        <f t="shared" si="91"/>
        <v>165</v>
      </c>
      <c r="S967" s="20" t="str">
        <f>IFERROR(IF([2]对账明细接口!$N967=0,"",[2]对账明细接口!$N967),"")</f>
        <v/>
      </c>
      <c r="T967" s="21" t="str">
        <f>IFERROR(IF([2]对账明细接口!$O967=0,"",[2]对账明细接口!$O967),"")</f>
        <v/>
      </c>
      <c r="U967" s="21" t="str">
        <f>IFERROR(IF([2]对账明细接口!$P967=0,"",[2]对账明细接口!$P967),"")</f>
        <v/>
      </c>
      <c r="V967" s="21" t="str">
        <f>IFERROR(IF([2]对账明细接口!$Q967=0,"",[2]对账明细接口!$Q967),"")</f>
        <v/>
      </c>
      <c r="W967" s="20" t="str">
        <f>IFERROR(IF([2]对账明细接口!$R967=0,"",[2]对账明细接口!$R967),"")</f>
        <v/>
      </c>
      <c r="X967" s="20" t="str">
        <f>IFERROR(IF([2]对账明细接口!$S967=0,"",[2]对账明细接口!$S967),"")</f>
        <v/>
      </c>
      <c r="Y967" s="20" t="str">
        <f t="shared" si="92"/>
        <v/>
      </c>
      <c r="Z967" s="20" t="str">
        <f t="shared" si="93"/>
        <v/>
      </c>
      <c r="AA967" s="20" t="str">
        <f t="shared" si="94"/>
        <v/>
      </c>
      <c r="AB967" s="20" t="str">
        <f t="shared" si="95"/>
        <v/>
      </c>
    </row>
    <row r="968" customHeight="1" spans="1:28">
      <c r="A968" s="14">
        <v>968</v>
      </c>
      <c r="B968" s="15" t="str">
        <f>IFERROR(IF([2]对账明细接口!$B$968=0,"",[2]对账明细接口!$B$968),"")</f>
        <v/>
      </c>
      <c r="C968" s="16" t="str">
        <f>IFERROR(IF([2]对账明细接口!$C$968=0,"",[2]对账明细接口!$C$968),"")</f>
        <v/>
      </c>
      <c r="D968" s="16" t="str">
        <f>IFERROR(IF([2]对账明细接口!$D$968=0,"",[2]对账明细接口!$D$968),"")</f>
        <v/>
      </c>
      <c r="E968" s="16" t="str">
        <f>IFERROR(IF([2]对账明细接口!$E$968=0,"",[2]对账明细接口!$E$968),"")</f>
        <v/>
      </c>
      <c r="F968" s="16" t="str">
        <f>IFERROR(IF([2]对账明细接口!$F$968=0,"",[2]对账明细接口!$F$968),"")</f>
        <v/>
      </c>
      <c r="G968" s="16" t="str">
        <f>IFERROR(IF([2]对账明细接口!$G$968=0,"",[2]对账明细接口!$G$968),"")</f>
        <v/>
      </c>
      <c r="H968" s="17" t="str">
        <f>IFERROR(IF([2]对账明细接口!$H$968=0,"",[2]对账明细接口!$H$968),"")</f>
        <v/>
      </c>
      <c r="I968" s="16" t="str">
        <f>IFERROR(IF([2]对账明细接口!$I$968=0,"",[2]对账明细接口!$I$968),"")</f>
        <v/>
      </c>
      <c r="J968" s="18" t="str">
        <f>IFERROR(IF([2]对账明细接口!$J$968=0,"",[2]对账明细接口!$J$968),"")</f>
        <v/>
      </c>
      <c r="K968" s="18" t="str">
        <f>IFERROR(IF([2]对账明细接口!$K$968=0,"",[2]对账明细接口!$K$968),"")</f>
        <v/>
      </c>
      <c r="L968" s="16" t="str">
        <f>IFERROR(IF([2]对账明细接口!$L$968=0,"",[2]对账明细接口!$L$968),"")</f>
        <v/>
      </c>
      <c r="M968" s="16" t="str">
        <f>IFERROR(IF([2]对账明细接口!$M$968=0,"",[2]对账明细接口!$M$968),"")</f>
        <v/>
      </c>
      <c r="N968" s="19">
        <f t="shared" si="90"/>
        <v>0</v>
      </c>
      <c r="O968" s="19">
        <f t="shared" si="91"/>
        <v>165</v>
      </c>
      <c r="S968" s="20" t="str">
        <f>IFERROR(IF([2]对账明细接口!$N968=0,"",[2]对账明细接口!$N968),"")</f>
        <v/>
      </c>
      <c r="T968" s="21" t="str">
        <f>IFERROR(IF([2]对账明细接口!$O968=0,"",[2]对账明细接口!$O968),"")</f>
        <v/>
      </c>
      <c r="U968" s="21" t="str">
        <f>IFERROR(IF([2]对账明细接口!$P968=0,"",[2]对账明细接口!$P968),"")</f>
        <v/>
      </c>
      <c r="V968" s="21" t="str">
        <f>IFERROR(IF([2]对账明细接口!$Q968=0,"",[2]对账明细接口!$Q968),"")</f>
        <v/>
      </c>
      <c r="W968" s="20" t="str">
        <f>IFERROR(IF([2]对账明细接口!$R968=0,"",[2]对账明细接口!$R968),"")</f>
        <v/>
      </c>
      <c r="X968" s="20" t="str">
        <f>IFERROR(IF([2]对账明细接口!$S968=0,"",[2]对账明细接口!$S968),"")</f>
        <v/>
      </c>
      <c r="Y968" s="20" t="str">
        <f t="shared" si="92"/>
        <v/>
      </c>
      <c r="Z968" s="20" t="str">
        <f t="shared" si="93"/>
        <v/>
      </c>
      <c r="AA968" s="20" t="str">
        <f t="shared" si="94"/>
        <v/>
      </c>
      <c r="AB968" s="20" t="str">
        <f t="shared" si="95"/>
        <v/>
      </c>
    </row>
    <row r="969" customHeight="1" spans="1:28">
      <c r="A969" s="14">
        <v>969</v>
      </c>
      <c r="B969" s="15" t="str">
        <f>IFERROR(IF([2]对账明细接口!$B$969=0,"",[2]对账明细接口!$B$969),"")</f>
        <v/>
      </c>
      <c r="C969" s="16" t="str">
        <f>IFERROR(IF([2]对账明细接口!$C$969=0,"",[2]对账明细接口!$C$969),"")</f>
        <v/>
      </c>
      <c r="D969" s="16" t="str">
        <f>IFERROR(IF([2]对账明细接口!$D$969=0,"",[2]对账明细接口!$D$969),"")</f>
        <v/>
      </c>
      <c r="E969" s="16" t="str">
        <f>IFERROR(IF([2]对账明细接口!$E$969=0,"",[2]对账明细接口!$E$969),"")</f>
        <v/>
      </c>
      <c r="F969" s="16" t="str">
        <f>IFERROR(IF([2]对账明细接口!$F$969=0,"",[2]对账明细接口!$F$969),"")</f>
        <v/>
      </c>
      <c r="G969" s="16" t="str">
        <f>IFERROR(IF([2]对账明细接口!$G$969=0,"",[2]对账明细接口!$G$969),"")</f>
        <v/>
      </c>
      <c r="H969" s="17" t="str">
        <f>IFERROR(IF([2]对账明细接口!$H$969=0,"",[2]对账明细接口!$H$969),"")</f>
        <v/>
      </c>
      <c r="I969" s="16" t="str">
        <f>IFERROR(IF([2]对账明细接口!$I$969=0,"",[2]对账明细接口!$I$969),"")</f>
        <v/>
      </c>
      <c r="J969" s="18" t="str">
        <f>IFERROR(IF([2]对账明细接口!$J$969=0,"",[2]对账明细接口!$J$969),"")</f>
        <v/>
      </c>
      <c r="K969" s="18" t="str">
        <f>IFERROR(IF([2]对账明细接口!$K$969=0,"",[2]对账明细接口!$K$969),"")</f>
        <v/>
      </c>
      <c r="L969" s="16" t="str">
        <f>IFERROR(IF([2]对账明细接口!$L$969=0,"",[2]对账明细接口!$L$969),"")</f>
        <v/>
      </c>
      <c r="M969" s="16" t="str">
        <f>IFERROR(IF([2]对账明细接口!$M$969=0,"",[2]对账明细接口!$M$969),"")</f>
        <v/>
      </c>
      <c r="N969" s="19">
        <f t="shared" si="90"/>
        <v>0</v>
      </c>
      <c r="O969" s="19">
        <f t="shared" si="91"/>
        <v>165</v>
      </c>
      <c r="S969" s="20" t="str">
        <f>IFERROR(IF([2]对账明细接口!$N969=0,"",[2]对账明细接口!$N969),"")</f>
        <v/>
      </c>
      <c r="T969" s="21" t="str">
        <f>IFERROR(IF([2]对账明细接口!$O969=0,"",[2]对账明细接口!$O969),"")</f>
        <v/>
      </c>
      <c r="U969" s="21" t="str">
        <f>IFERROR(IF([2]对账明细接口!$P969=0,"",[2]对账明细接口!$P969),"")</f>
        <v/>
      </c>
      <c r="V969" s="21" t="str">
        <f>IFERROR(IF([2]对账明细接口!$Q969=0,"",[2]对账明细接口!$Q969),"")</f>
        <v/>
      </c>
      <c r="W969" s="20" t="str">
        <f>IFERROR(IF([2]对账明细接口!$R969=0,"",[2]对账明细接口!$R969),"")</f>
        <v/>
      </c>
      <c r="X969" s="20" t="str">
        <f>IFERROR(IF([2]对账明细接口!$S969=0,"",[2]对账明细接口!$S969),"")</f>
        <v/>
      </c>
      <c r="Y969" s="20" t="str">
        <f t="shared" si="92"/>
        <v/>
      </c>
      <c r="Z969" s="20" t="str">
        <f t="shared" si="93"/>
        <v/>
      </c>
      <c r="AA969" s="20" t="str">
        <f t="shared" si="94"/>
        <v/>
      </c>
      <c r="AB969" s="20" t="str">
        <f t="shared" si="95"/>
        <v/>
      </c>
    </row>
    <row r="970" customHeight="1" spans="1:28">
      <c r="A970" s="14">
        <v>970</v>
      </c>
      <c r="B970" s="15" t="str">
        <f>IFERROR(IF([2]对账明细接口!$B$970=0,"",[2]对账明细接口!$B$970),"")</f>
        <v/>
      </c>
      <c r="C970" s="16" t="str">
        <f>IFERROR(IF([2]对账明细接口!$C$970=0,"",[2]对账明细接口!$C$970),"")</f>
        <v/>
      </c>
      <c r="D970" s="16" t="str">
        <f>IFERROR(IF([2]对账明细接口!$D$970=0,"",[2]对账明细接口!$D$970),"")</f>
        <v/>
      </c>
      <c r="E970" s="16" t="str">
        <f>IFERROR(IF([2]对账明细接口!$E$970=0,"",[2]对账明细接口!$E$970),"")</f>
        <v/>
      </c>
      <c r="F970" s="16" t="str">
        <f>IFERROR(IF([2]对账明细接口!$F$970=0,"",[2]对账明细接口!$F$970),"")</f>
        <v/>
      </c>
      <c r="G970" s="16" t="str">
        <f>IFERROR(IF([2]对账明细接口!$G$970=0,"",[2]对账明细接口!$G$970),"")</f>
        <v/>
      </c>
      <c r="H970" s="17" t="str">
        <f>IFERROR(IF([2]对账明细接口!$H$970=0,"",[2]对账明细接口!$H$970),"")</f>
        <v/>
      </c>
      <c r="I970" s="16" t="str">
        <f>IFERROR(IF([2]对账明细接口!$I$970=0,"",[2]对账明细接口!$I$970),"")</f>
        <v/>
      </c>
      <c r="J970" s="18" t="str">
        <f>IFERROR(IF([2]对账明细接口!$J$970=0,"",[2]对账明细接口!$J$970),"")</f>
        <v/>
      </c>
      <c r="K970" s="18" t="str">
        <f>IFERROR(IF([2]对账明细接口!$K$970=0,"",[2]对账明细接口!$K$970),"")</f>
        <v/>
      </c>
      <c r="L970" s="16" t="str">
        <f>IFERROR(IF([2]对账明细接口!$L$970=0,"",[2]对账明细接口!$L$970),"")</f>
        <v/>
      </c>
      <c r="M970" s="16" t="str">
        <f>IFERROR(IF([2]对账明细接口!$M$970=0,"",[2]对账明细接口!$M$970),"")</f>
        <v/>
      </c>
      <c r="N970" s="19">
        <f t="shared" si="90"/>
        <v>0</v>
      </c>
      <c r="O970" s="19">
        <f t="shared" si="91"/>
        <v>165</v>
      </c>
      <c r="S970" s="20" t="str">
        <f>IFERROR(IF([2]对账明细接口!$N970=0,"",[2]对账明细接口!$N970),"")</f>
        <v/>
      </c>
      <c r="T970" s="21" t="str">
        <f>IFERROR(IF([2]对账明细接口!$O970=0,"",[2]对账明细接口!$O970),"")</f>
        <v/>
      </c>
      <c r="U970" s="21" t="str">
        <f>IFERROR(IF([2]对账明细接口!$P970=0,"",[2]对账明细接口!$P970),"")</f>
        <v/>
      </c>
      <c r="V970" s="21" t="str">
        <f>IFERROR(IF([2]对账明细接口!$Q970=0,"",[2]对账明细接口!$Q970),"")</f>
        <v/>
      </c>
      <c r="W970" s="20" t="str">
        <f>IFERROR(IF([2]对账明细接口!$R970=0,"",[2]对账明细接口!$R970),"")</f>
        <v/>
      </c>
      <c r="X970" s="20" t="str">
        <f>IFERROR(IF([2]对账明细接口!$S970=0,"",[2]对账明细接口!$S970),"")</f>
        <v/>
      </c>
      <c r="Y970" s="20" t="str">
        <f t="shared" si="92"/>
        <v/>
      </c>
      <c r="Z970" s="20" t="str">
        <f t="shared" si="93"/>
        <v/>
      </c>
      <c r="AA970" s="20" t="str">
        <f t="shared" si="94"/>
        <v/>
      </c>
      <c r="AB970" s="20" t="str">
        <f t="shared" si="95"/>
        <v/>
      </c>
    </row>
    <row r="971" customHeight="1" spans="1:28">
      <c r="A971" s="14">
        <v>971</v>
      </c>
      <c r="B971" s="15" t="str">
        <f>IFERROR(IF([2]对账明细接口!$B$971=0,"",[2]对账明细接口!$B$971),"")</f>
        <v/>
      </c>
      <c r="C971" s="16" t="str">
        <f>IFERROR(IF([2]对账明细接口!$C$971=0,"",[2]对账明细接口!$C$971),"")</f>
        <v/>
      </c>
      <c r="D971" s="16" t="str">
        <f>IFERROR(IF([2]对账明细接口!$D$971=0,"",[2]对账明细接口!$D$971),"")</f>
        <v/>
      </c>
      <c r="E971" s="16" t="str">
        <f>IFERROR(IF([2]对账明细接口!$E$971=0,"",[2]对账明细接口!$E$971),"")</f>
        <v/>
      </c>
      <c r="F971" s="16" t="str">
        <f>IFERROR(IF([2]对账明细接口!$F$971=0,"",[2]对账明细接口!$F$971),"")</f>
        <v/>
      </c>
      <c r="G971" s="16" t="str">
        <f>IFERROR(IF([2]对账明细接口!$G$971=0,"",[2]对账明细接口!$G$971),"")</f>
        <v/>
      </c>
      <c r="H971" s="17" t="str">
        <f>IFERROR(IF([2]对账明细接口!$H$971=0,"",[2]对账明细接口!$H$971),"")</f>
        <v/>
      </c>
      <c r="I971" s="16" t="str">
        <f>IFERROR(IF([2]对账明细接口!$I$971=0,"",[2]对账明细接口!$I$971),"")</f>
        <v/>
      </c>
      <c r="J971" s="18" t="str">
        <f>IFERROR(IF([2]对账明细接口!$J$971=0,"",[2]对账明细接口!$J$971),"")</f>
        <v/>
      </c>
      <c r="K971" s="18" t="str">
        <f>IFERROR(IF([2]对账明细接口!$K$971=0,"",[2]对账明细接口!$K$971),"")</f>
        <v/>
      </c>
      <c r="L971" s="16" t="str">
        <f>IFERROR(IF([2]对账明细接口!$L$971=0,"",[2]对账明细接口!$L$971),"")</f>
        <v/>
      </c>
      <c r="M971" s="16" t="str">
        <f>IFERROR(IF([2]对账明细接口!$M$971=0,"",[2]对账明细接口!$M$971),"")</f>
        <v/>
      </c>
      <c r="N971" s="19">
        <f t="shared" si="90"/>
        <v>0</v>
      </c>
      <c r="O971" s="19">
        <f t="shared" si="91"/>
        <v>165</v>
      </c>
      <c r="S971" s="20" t="str">
        <f>IFERROR(IF([2]对账明细接口!$N971=0,"",[2]对账明细接口!$N971),"")</f>
        <v/>
      </c>
      <c r="T971" s="21" t="str">
        <f>IFERROR(IF([2]对账明细接口!$O971=0,"",[2]对账明细接口!$O971),"")</f>
        <v/>
      </c>
      <c r="U971" s="21" t="str">
        <f>IFERROR(IF([2]对账明细接口!$P971=0,"",[2]对账明细接口!$P971),"")</f>
        <v/>
      </c>
      <c r="V971" s="21" t="str">
        <f>IFERROR(IF([2]对账明细接口!$Q971=0,"",[2]对账明细接口!$Q971),"")</f>
        <v/>
      </c>
      <c r="W971" s="20" t="str">
        <f>IFERROR(IF([2]对账明细接口!$R971=0,"",[2]对账明细接口!$R971),"")</f>
        <v/>
      </c>
      <c r="X971" s="20" t="str">
        <f>IFERROR(IF([2]对账明细接口!$S971=0,"",[2]对账明细接口!$S971),"")</f>
        <v/>
      </c>
      <c r="Y971" s="20" t="str">
        <f t="shared" si="92"/>
        <v/>
      </c>
      <c r="Z971" s="20" t="str">
        <f t="shared" si="93"/>
        <v/>
      </c>
      <c r="AA971" s="20" t="str">
        <f t="shared" si="94"/>
        <v/>
      </c>
      <c r="AB971" s="20" t="str">
        <f t="shared" si="95"/>
        <v/>
      </c>
    </row>
    <row r="972" customHeight="1" spans="1:28">
      <c r="A972" s="14">
        <v>972</v>
      </c>
      <c r="B972" s="15" t="str">
        <f>IFERROR(IF([2]对账明细接口!$B$972=0,"",[2]对账明细接口!$B$972),"")</f>
        <v/>
      </c>
      <c r="C972" s="16" t="str">
        <f>IFERROR(IF([2]对账明细接口!$C$972=0,"",[2]对账明细接口!$C$972),"")</f>
        <v/>
      </c>
      <c r="D972" s="16" t="str">
        <f>IFERROR(IF([2]对账明细接口!$D$972=0,"",[2]对账明细接口!$D$972),"")</f>
        <v/>
      </c>
      <c r="E972" s="16" t="str">
        <f>IFERROR(IF([2]对账明细接口!$E$972=0,"",[2]对账明细接口!$E$972),"")</f>
        <v/>
      </c>
      <c r="F972" s="16" t="str">
        <f>IFERROR(IF([2]对账明细接口!$F$972=0,"",[2]对账明细接口!$F$972),"")</f>
        <v/>
      </c>
      <c r="G972" s="16" t="str">
        <f>IFERROR(IF([2]对账明细接口!$G$972=0,"",[2]对账明细接口!$G$972),"")</f>
        <v/>
      </c>
      <c r="H972" s="17" t="str">
        <f>IFERROR(IF([2]对账明细接口!$H$972=0,"",[2]对账明细接口!$H$972),"")</f>
        <v/>
      </c>
      <c r="I972" s="16" t="str">
        <f>IFERROR(IF([2]对账明细接口!$I$972=0,"",[2]对账明细接口!$I$972),"")</f>
        <v/>
      </c>
      <c r="J972" s="18" t="str">
        <f>IFERROR(IF([2]对账明细接口!$J$972=0,"",[2]对账明细接口!$J$972),"")</f>
        <v/>
      </c>
      <c r="K972" s="18" t="str">
        <f>IFERROR(IF([2]对账明细接口!$K$972=0,"",[2]对账明细接口!$K$972),"")</f>
        <v/>
      </c>
      <c r="L972" s="16" t="str">
        <f>IFERROR(IF([2]对账明细接口!$L$972=0,"",[2]对账明细接口!$L$972),"")</f>
        <v/>
      </c>
      <c r="M972" s="16" t="str">
        <f>IFERROR(IF([2]对账明细接口!$M$972=0,"",[2]对账明细接口!$M$972),"")</f>
        <v/>
      </c>
      <c r="N972" s="19">
        <f t="shared" si="90"/>
        <v>0</v>
      </c>
      <c r="O972" s="19">
        <f t="shared" si="91"/>
        <v>165</v>
      </c>
      <c r="S972" s="20" t="str">
        <f>IFERROR(IF([2]对账明细接口!$N972=0,"",[2]对账明细接口!$N972),"")</f>
        <v/>
      </c>
      <c r="T972" s="21" t="str">
        <f>IFERROR(IF([2]对账明细接口!$O972=0,"",[2]对账明细接口!$O972),"")</f>
        <v/>
      </c>
      <c r="U972" s="21" t="str">
        <f>IFERROR(IF([2]对账明细接口!$P972=0,"",[2]对账明细接口!$P972),"")</f>
        <v/>
      </c>
      <c r="V972" s="21" t="str">
        <f>IFERROR(IF([2]对账明细接口!$Q972=0,"",[2]对账明细接口!$Q972),"")</f>
        <v/>
      </c>
      <c r="W972" s="20" t="str">
        <f>IFERROR(IF([2]对账明细接口!$R972=0,"",[2]对账明细接口!$R972),"")</f>
        <v/>
      </c>
      <c r="X972" s="20" t="str">
        <f>IFERROR(IF([2]对账明细接口!$S972=0,"",[2]对账明细接口!$S972),"")</f>
        <v/>
      </c>
      <c r="Y972" s="20" t="str">
        <f t="shared" si="92"/>
        <v/>
      </c>
      <c r="Z972" s="20" t="str">
        <f t="shared" si="93"/>
        <v/>
      </c>
      <c r="AA972" s="20" t="str">
        <f t="shared" si="94"/>
        <v/>
      </c>
      <c r="AB972" s="20" t="str">
        <f t="shared" si="95"/>
        <v/>
      </c>
    </row>
    <row r="973" customHeight="1" spans="1:28">
      <c r="A973" s="14">
        <v>973</v>
      </c>
      <c r="B973" s="15" t="str">
        <f>IFERROR(IF([2]对账明细接口!$B$973=0,"",[2]对账明细接口!$B$973),"")</f>
        <v/>
      </c>
      <c r="C973" s="16" t="str">
        <f>IFERROR(IF([2]对账明细接口!$C$973=0,"",[2]对账明细接口!$C$973),"")</f>
        <v/>
      </c>
      <c r="D973" s="16" t="str">
        <f>IFERROR(IF([2]对账明细接口!$D$973=0,"",[2]对账明细接口!$D$973),"")</f>
        <v/>
      </c>
      <c r="E973" s="16" t="str">
        <f>IFERROR(IF([2]对账明细接口!$E$973=0,"",[2]对账明细接口!$E$973),"")</f>
        <v/>
      </c>
      <c r="F973" s="16" t="str">
        <f>IFERROR(IF([2]对账明细接口!$F$973=0,"",[2]对账明细接口!$F$973),"")</f>
        <v/>
      </c>
      <c r="G973" s="16" t="str">
        <f>IFERROR(IF([2]对账明细接口!$G$973=0,"",[2]对账明细接口!$G$973),"")</f>
        <v/>
      </c>
      <c r="H973" s="17" t="str">
        <f>IFERROR(IF([2]对账明细接口!$H$973=0,"",[2]对账明细接口!$H$973),"")</f>
        <v/>
      </c>
      <c r="I973" s="16" t="str">
        <f>IFERROR(IF([2]对账明细接口!$I$973=0,"",[2]对账明细接口!$I$973),"")</f>
        <v/>
      </c>
      <c r="J973" s="18" t="str">
        <f>IFERROR(IF([2]对账明细接口!$J$973=0,"",[2]对账明细接口!$J$973),"")</f>
        <v/>
      </c>
      <c r="K973" s="18" t="str">
        <f>IFERROR(IF([2]对账明细接口!$K$973=0,"",[2]对账明细接口!$K$973),"")</f>
        <v/>
      </c>
      <c r="L973" s="16" t="str">
        <f>IFERROR(IF([2]对账明细接口!$L$973=0,"",[2]对账明细接口!$L$973),"")</f>
        <v/>
      </c>
      <c r="M973" s="16" t="str">
        <f>IFERROR(IF([2]对账明细接口!$M$973=0,"",[2]对账明细接口!$M$973),"")</f>
        <v/>
      </c>
      <c r="N973" s="19">
        <f t="shared" si="90"/>
        <v>0</v>
      </c>
      <c r="O973" s="19">
        <f t="shared" si="91"/>
        <v>165</v>
      </c>
      <c r="S973" s="20" t="str">
        <f>IFERROR(IF([2]对账明细接口!$N973=0,"",[2]对账明细接口!$N973),"")</f>
        <v/>
      </c>
      <c r="T973" s="21" t="str">
        <f>IFERROR(IF([2]对账明细接口!$O973=0,"",[2]对账明细接口!$O973),"")</f>
        <v/>
      </c>
      <c r="U973" s="21" t="str">
        <f>IFERROR(IF([2]对账明细接口!$P973=0,"",[2]对账明细接口!$P973),"")</f>
        <v/>
      </c>
      <c r="V973" s="21" t="str">
        <f>IFERROR(IF([2]对账明细接口!$Q973=0,"",[2]对账明细接口!$Q973),"")</f>
        <v/>
      </c>
      <c r="W973" s="20" t="str">
        <f>IFERROR(IF([2]对账明细接口!$R973=0,"",[2]对账明细接口!$R973),"")</f>
        <v/>
      </c>
      <c r="X973" s="20" t="str">
        <f>IFERROR(IF([2]对账明细接口!$S973=0,"",[2]对账明细接口!$S973),"")</f>
        <v/>
      </c>
      <c r="Y973" s="20" t="str">
        <f t="shared" si="92"/>
        <v/>
      </c>
      <c r="Z973" s="20" t="str">
        <f t="shared" si="93"/>
        <v/>
      </c>
      <c r="AA973" s="20" t="str">
        <f t="shared" si="94"/>
        <v/>
      </c>
      <c r="AB973" s="20" t="str">
        <f t="shared" si="95"/>
        <v/>
      </c>
    </row>
    <row r="974" customHeight="1" spans="1:28">
      <c r="A974" s="14">
        <v>974</v>
      </c>
      <c r="B974" s="15" t="str">
        <f>IFERROR(IF([2]对账明细接口!$B$974=0,"",[2]对账明细接口!$B$974),"")</f>
        <v/>
      </c>
      <c r="C974" s="16" t="str">
        <f>IFERROR(IF([2]对账明细接口!$C$974=0,"",[2]对账明细接口!$C$974),"")</f>
        <v/>
      </c>
      <c r="D974" s="16" t="str">
        <f>IFERROR(IF([2]对账明细接口!$D$974=0,"",[2]对账明细接口!$D$974),"")</f>
        <v/>
      </c>
      <c r="E974" s="16" t="str">
        <f>IFERROR(IF([2]对账明细接口!$E$974=0,"",[2]对账明细接口!$E$974),"")</f>
        <v/>
      </c>
      <c r="F974" s="16" t="str">
        <f>IFERROR(IF([2]对账明细接口!$F$974=0,"",[2]对账明细接口!$F$974),"")</f>
        <v/>
      </c>
      <c r="G974" s="16" t="str">
        <f>IFERROR(IF([2]对账明细接口!$G$974=0,"",[2]对账明细接口!$G$974),"")</f>
        <v/>
      </c>
      <c r="H974" s="17" t="str">
        <f>IFERROR(IF([2]对账明细接口!$H$974=0,"",[2]对账明细接口!$H$974),"")</f>
        <v/>
      </c>
      <c r="I974" s="16" t="str">
        <f>IFERROR(IF([2]对账明细接口!$I$974=0,"",[2]对账明细接口!$I$974),"")</f>
        <v/>
      </c>
      <c r="J974" s="18" t="str">
        <f>IFERROR(IF([2]对账明细接口!$J$974=0,"",[2]对账明细接口!$J$974),"")</f>
        <v/>
      </c>
      <c r="K974" s="18" t="str">
        <f>IFERROR(IF([2]对账明细接口!$K$974=0,"",[2]对账明细接口!$K$974),"")</f>
        <v/>
      </c>
      <c r="L974" s="16" t="str">
        <f>IFERROR(IF([2]对账明细接口!$L$974=0,"",[2]对账明细接口!$L$974),"")</f>
        <v/>
      </c>
      <c r="M974" s="16" t="str">
        <f>IFERROR(IF([2]对账明细接口!$M$974=0,"",[2]对账明细接口!$M$974),"")</f>
        <v/>
      </c>
      <c r="N974" s="19">
        <f t="shared" si="90"/>
        <v>0</v>
      </c>
      <c r="O974" s="19">
        <f t="shared" si="91"/>
        <v>165</v>
      </c>
      <c r="S974" s="20" t="str">
        <f>IFERROR(IF([2]对账明细接口!$N974=0,"",[2]对账明细接口!$N974),"")</f>
        <v/>
      </c>
      <c r="T974" s="21" t="str">
        <f>IFERROR(IF([2]对账明细接口!$O974=0,"",[2]对账明细接口!$O974),"")</f>
        <v/>
      </c>
      <c r="U974" s="21" t="str">
        <f>IFERROR(IF([2]对账明细接口!$P974=0,"",[2]对账明细接口!$P974),"")</f>
        <v/>
      </c>
      <c r="V974" s="21" t="str">
        <f>IFERROR(IF([2]对账明细接口!$Q974=0,"",[2]对账明细接口!$Q974),"")</f>
        <v/>
      </c>
      <c r="W974" s="20" t="str">
        <f>IFERROR(IF([2]对账明细接口!$R974=0,"",[2]对账明细接口!$R974),"")</f>
        <v/>
      </c>
      <c r="X974" s="20" t="str">
        <f>IFERROR(IF([2]对账明细接口!$S974=0,"",[2]对账明细接口!$S974),"")</f>
        <v/>
      </c>
      <c r="Y974" s="20" t="str">
        <f t="shared" si="92"/>
        <v/>
      </c>
      <c r="Z974" s="20" t="str">
        <f t="shared" si="93"/>
        <v/>
      </c>
      <c r="AA974" s="20" t="str">
        <f t="shared" si="94"/>
        <v/>
      </c>
      <c r="AB974" s="20" t="str">
        <f t="shared" si="95"/>
        <v/>
      </c>
    </row>
    <row r="975" customHeight="1" spans="1:28">
      <c r="A975" s="14">
        <v>975</v>
      </c>
      <c r="B975" s="15" t="str">
        <f>IFERROR(IF([2]对账明细接口!$B$975=0,"",[2]对账明细接口!$B$975),"")</f>
        <v/>
      </c>
      <c r="C975" s="16" t="str">
        <f>IFERROR(IF([2]对账明细接口!$C$975=0,"",[2]对账明细接口!$C$975),"")</f>
        <v/>
      </c>
      <c r="D975" s="16" t="str">
        <f>IFERROR(IF([2]对账明细接口!$D$975=0,"",[2]对账明细接口!$D$975),"")</f>
        <v/>
      </c>
      <c r="E975" s="16" t="str">
        <f>IFERROR(IF([2]对账明细接口!$E$975=0,"",[2]对账明细接口!$E$975),"")</f>
        <v/>
      </c>
      <c r="F975" s="16" t="str">
        <f>IFERROR(IF([2]对账明细接口!$F$975=0,"",[2]对账明细接口!$F$975),"")</f>
        <v/>
      </c>
      <c r="G975" s="16" t="str">
        <f>IFERROR(IF([2]对账明细接口!$G$975=0,"",[2]对账明细接口!$G$975),"")</f>
        <v/>
      </c>
      <c r="H975" s="17" t="str">
        <f>IFERROR(IF([2]对账明细接口!$H$975=0,"",[2]对账明细接口!$H$975),"")</f>
        <v/>
      </c>
      <c r="I975" s="16" t="str">
        <f>IFERROR(IF([2]对账明细接口!$I$975=0,"",[2]对账明细接口!$I$975),"")</f>
        <v/>
      </c>
      <c r="J975" s="18" t="str">
        <f>IFERROR(IF([2]对账明细接口!$J$975=0,"",[2]对账明细接口!$J$975),"")</f>
        <v/>
      </c>
      <c r="K975" s="18" t="str">
        <f>IFERROR(IF([2]对账明细接口!$K$975=0,"",[2]对账明细接口!$K$975),"")</f>
        <v/>
      </c>
      <c r="L975" s="16" t="str">
        <f>IFERROR(IF([2]对账明细接口!$L$975=0,"",[2]对账明细接口!$L$975),"")</f>
        <v/>
      </c>
      <c r="M975" s="16" t="str">
        <f>IFERROR(IF([2]对账明细接口!$M$975=0,"",[2]对账明细接口!$M$975),"")</f>
        <v/>
      </c>
      <c r="N975" s="19">
        <f t="shared" si="90"/>
        <v>0</v>
      </c>
      <c r="O975" s="19">
        <f t="shared" si="91"/>
        <v>165</v>
      </c>
      <c r="S975" s="20" t="str">
        <f>IFERROR(IF([2]对账明细接口!$N975=0,"",[2]对账明细接口!$N975),"")</f>
        <v/>
      </c>
      <c r="T975" s="21" t="str">
        <f>IFERROR(IF([2]对账明细接口!$O975=0,"",[2]对账明细接口!$O975),"")</f>
        <v/>
      </c>
      <c r="U975" s="21" t="str">
        <f>IFERROR(IF([2]对账明细接口!$P975=0,"",[2]对账明细接口!$P975),"")</f>
        <v/>
      </c>
      <c r="V975" s="21" t="str">
        <f>IFERROR(IF([2]对账明细接口!$Q975=0,"",[2]对账明细接口!$Q975),"")</f>
        <v/>
      </c>
      <c r="W975" s="20" t="str">
        <f>IFERROR(IF([2]对账明细接口!$R975=0,"",[2]对账明细接口!$R975),"")</f>
        <v/>
      </c>
      <c r="X975" s="20" t="str">
        <f>IFERROR(IF([2]对账明细接口!$S975=0,"",[2]对账明细接口!$S975),"")</f>
        <v/>
      </c>
      <c r="Y975" s="20" t="str">
        <f t="shared" si="92"/>
        <v/>
      </c>
      <c r="Z975" s="20" t="str">
        <f t="shared" si="93"/>
        <v/>
      </c>
      <c r="AA975" s="20" t="str">
        <f t="shared" si="94"/>
        <v/>
      </c>
      <c r="AB975" s="20" t="str">
        <f t="shared" si="95"/>
        <v/>
      </c>
    </row>
    <row r="976" customHeight="1" spans="1:28">
      <c r="A976" s="14">
        <v>976</v>
      </c>
      <c r="B976" s="15" t="str">
        <f>IFERROR(IF([2]对账明细接口!$B$976=0,"",[2]对账明细接口!$B$976),"")</f>
        <v/>
      </c>
      <c r="C976" s="16" t="str">
        <f>IFERROR(IF([2]对账明细接口!$C$976=0,"",[2]对账明细接口!$C$976),"")</f>
        <v/>
      </c>
      <c r="D976" s="16" t="str">
        <f>IFERROR(IF([2]对账明细接口!$D$976=0,"",[2]对账明细接口!$D$976),"")</f>
        <v/>
      </c>
      <c r="E976" s="16" t="str">
        <f>IFERROR(IF([2]对账明细接口!$E$976=0,"",[2]对账明细接口!$E$976),"")</f>
        <v/>
      </c>
      <c r="F976" s="16" t="str">
        <f>IFERROR(IF([2]对账明细接口!$F$976=0,"",[2]对账明细接口!$F$976),"")</f>
        <v/>
      </c>
      <c r="G976" s="16" t="str">
        <f>IFERROR(IF([2]对账明细接口!$G$976=0,"",[2]对账明细接口!$G$976),"")</f>
        <v/>
      </c>
      <c r="H976" s="17" t="str">
        <f>IFERROR(IF([2]对账明细接口!$H$976=0,"",[2]对账明细接口!$H$976),"")</f>
        <v/>
      </c>
      <c r="I976" s="16" t="str">
        <f>IFERROR(IF([2]对账明细接口!$I$976=0,"",[2]对账明细接口!$I$976),"")</f>
        <v/>
      </c>
      <c r="J976" s="18" t="str">
        <f>IFERROR(IF([2]对账明细接口!$J$976=0,"",[2]对账明细接口!$J$976),"")</f>
        <v/>
      </c>
      <c r="K976" s="18" t="str">
        <f>IFERROR(IF([2]对账明细接口!$K$976=0,"",[2]对账明细接口!$K$976),"")</f>
        <v/>
      </c>
      <c r="L976" s="16" t="str">
        <f>IFERROR(IF([2]对账明细接口!$L$976=0,"",[2]对账明细接口!$L$976),"")</f>
        <v/>
      </c>
      <c r="M976" s="16" t="str">
        <f>IFERROR(IF([2]对账明细接口!$M$976=0,"",[2]对账明细接口!$M$976),"")</f>
        <v/>
      </c>
      <c r="N976" s="19">
        <f t="shared" si="90"/>
        <v>0</v>
      </c>
      <c r="O976" s="19">
        <f t="shared" si="91"/>
        <v>165</v>
      </c>
      <c r="S976" s="20" t="str">
        <f>IFERROR(IF([2]对账明细接口!$N976=0,"",[2]对账明细接口!$N976),"")</f>
        <v/>
      </c>
      <c r="T976" s="21" t="str">
        <f>IFERROR(IF([2]对账明细接口!$O976=0,"",[2]对账明细接口!$O976),"")</f>
        <v/>
      </c>
      <c r="U976" s="21" t="str">
        <f>IFERROR(IF([2]对账明细接口!$P976=0,"",[2]对账明细接口!$P976),"")</f>
        <v/>
      </c>
      <c r="V976" s="21" t="str">
        <f>IFERROR(IF([2]对账明细接口!$Q976=0,"",[2]对账明细接口!$Q976),"")</f>
        <v/>
      </c>
      <c r="W976" s="20" t="str">
        <f>IFERROR(IF([2]对账明细接口!$R976=0,"",[2]对账明细接口!$R976),"")</f>
        <v/>
      </c>
      <c r="X976" s="20" t="str">
        <f>IFERROR(IF([2]对账明细接口!$S976=0,"",[2]对账明细接口!$S976),"")</f>
        <v/>
      </c>
      <c r="Y976" s="20" t="str">
        <f t="shared" si="92"/>
        <v/>
      </c>
      <c r="Z976" s="20" t="str">
        <f t="shared" si="93"/>
        <v/>
      </c>
      <c r="AA976" s="20" t="str">
        <f t="shared" si="94"/>
        <v/>
      </c>
      <c r="AB976" s="20" t="str">
        <f t="shared" si="95"/>
        <v/>
      </c>
    </row>
    <row r="977" customHeight="1" spans="1:28">
      <c r="A977" s="14">
        <v>977</v>
      </c>
      <c r="B977" s="15" t="str">
        <f>IFERROR(IF([2]对账明细接口!$B$977=0,"",[2]对账明细接口!$B$977),"")</f>
        <v/>
      </c>
      <c r="C977" s="16" t="str">
        <f>IFERROR(IF([2]对账明细接口!$C$977=0,"",[2]对账明细接口!$C$977),"")</f>
        <v/>
      </c>
      <c r="D977" s="16" t="str">
        <f>IFERROR(IF([2]对账明细接口!$D$977=0,"",[2]对账明细接口!$D$977),"")</f>
        <v/>
      </c>
      <c r="E977" s="16" t="str">
        <f>IFERROR(IF([2]对账明细接口!$E$977=0,"",[2]对账明细接口!$E$977),"")</f>
        <v/>
      </c>
      <c r="F977" s="16" t="str">
        <f>IFERROR(IF([2]对账明细接口!$F$977=0,"",[2]对账明细接口!$F$977),"")</f>
        <v/>
      </c>
      <c r="G977" s="16" t="str">
        <f>IFERROR(IF([2]对账明细接口!$G$977=0,"",[2]对账明细接口!$G$977),"")</f>
        <v/>
      </c>
      <c r="H977" s="17" t="str">
        <f>IFERROR(IF([2]对账明细接口!$H$977=0,"",[2]对账明细接口!$H$977),"")</f>
        <v/>
      </c>
      <c r="I977" s="16" t="str">
        <f>IFERROR(IF([2]对账明细接口!$I$977=0,"",[2]对账明细接口!$I$977),"")</f>
        <v/>
      </c>
      <c r="J977" s="18" t="str">
        <f>IFERROR(IF([2]对账明细接口!$J$977=0,"",[2]对账明细接口!$J$977),"")</f>
        <v/>
      </c>
      <c r="K977" s="18" t="str">
        <f>IFERROR(IF([2]对账明细接口!$K$977=0,"",[2]对账明细接口!$K$977),"")</f>
        <v/>
      </c>
      <c r="L977" s="16" t="str">
        <f>IFERROR(IF([2]对账明细接口!$L$977=0,"",[2]对账明细接口!$L$977),"")</f>
        <v/>
      </c>
      <c r="M977" s="16" t="str">
        <f>IFERROR(IF([2]对账明细接口!$M$977=0,"",[2]对账明细接口!$M$977),"")</f>
        <v/>
      </c>
      <c r="N977" s="19">
        <f t="shared" si="90"/>
        <v>0</v>
      </c>
      <c r="O977" s="19">
        <f t="shared" si="91"/>
        <v>165</v>
      </c>
      <c r="S977" s="20" t="str">
        <f>IFERROR(IF([2]对账明细接口!$N977=0,"",[2]对账明细接口!$N977),"")</f>
        <v/>
      </c>
      <c r="T977" s="21" t="str">
        <f>IFERROR(IF([2]对账明细接口!$O977=0,"",[2]对账明细接口!$O977),"")</f>
        <v/>
      </c>
      <c r="U977" s="21" t="str">
        <f>IFERROR(IF([2]对账明细接口!$P977=0,"",[2]对账明细接口!$P977),"")</f>
        <v/>
      </c>
      <c r="V977" s="21" t="str">
        <f>IFERROR(IF([2]对账明细接口!$Q977=0,"",[2]对账明细接口!$Q977),"")</f>
        <v/>
      </c>
      <c r="W977" s="20" t="str">
        <f>IFERROR(IF([2]对账明细接口!$R977=0,"",[2]对账明细接口!$R977),"")</f>
        <v/>
      </c>
      <c r="X977" s="20" t="str">
        <f>IFERROR(IF([2]对账明细接口!$S977=0,"",[2]对账明细接口!$S977),"")</f>
        <v/>
      </c>
      <c r="Y977" s="20" t="str">
        <f t="shared" si="92"/>
        <v/>
      </c>
      <c r="Z977" s="20" t="str">
        <f t="shared" si="93"/>
        <v/>
      </c>
      <c r="AA977" s="20" t="str">
        <f t="shared" si="94"/>
        <v/>
      </c>
      <c r="AB977" s="20" t="str">
        <f t="shared" si="95"/>
        <v/>
      </c>
    </row>
    <row r="978" customHeight="1" spans="1:28">
      <c r="A978" s="14">
        <v>978</v>
      </c>
      <c r="B978" s="15" t="str">
        <f>IFERROR(IF([2]对账明细接口!$B$978=0,"",[2]对账明细接口!$B$978),"")</f>
        <v/>
      </c>
      <c r="C978" s="16" t="str">
        <f>IFERROR(IF([2]对账明细接口!$C$978=0,"",[2]对账明细接口!$C$978),"")</f>
        <v/>
      </c>
      <c r="D978" s="16" t="str">
        <f>IFERROR(IF([2]对账明细接口!$D$978=0,"",[2]对账明细接口!$D$978),"")</f>
        <v/>
      </c>
      <c r="E978" s="16" t="str">
        <f>IFERROR(IF([2]对账明细接口!$E$978=0,"",[2]对账明细接口!$E$978),"")</f>
        <v/>
      </c>
      <c r="F978" s="16" t="str">
        <f>IFERROR(IF([2]对账明细接口!$F$978=0,"",[2]对账明细接口!$F$978),"")</f>
        <v/>
      </c>
      <c r="G978" s="16" t="str">
        <f>IFERROR(IF([2]对账明细接口!$G$978=0,"",[2]对账明细接口!$G$978),"")</f>
        <v/>
      </c>
      <c r="H978" s="17" t="str">
        <f>IFERROR(IF([2]对账明细接口!$H$978=0,"",[2]对账明细接口!$H$978),"")</f>
        <v/>
      </c>
      <c r="I978" s="16" t="str">
        <f>IFERROR(IF([2]对账明细接口!$I$978=0,"",[2]对账明细接口!$I$978),"")</f>
        <v/>
      </c>
      <c r="J978" s="18" t="str">
        <f>IFERROR(IF([2]对账明细接口!$J$978=0,"",[2]对账明细接口!$J$978),"")</f>
        <v/>
      </c>
      <c r="K978" s="18" t="str">
        <f>IFERROR(IF([2]对账明细接口!$K$978=0,"",[2]对账明细接口!$K$978),"")</f>
        <v/>
      </c>
      <c r="L978" s="16" t="str">
        <f>IFERROR(IF([2]对账明细接口!$L$978=0,"",[2]对账明细接口!$L$978),"")</f>
        <v/>
      </c>
      <c r="M978" s="16" t="str">
        <f>IFERROR(IF([2]对账明细接口!$M$978=0,"",[2]对账明细接口!$M$978),"")</f>
        <v/>
      </c>
      <c r="N978" s="19">
        <f t="shared" si="90"/>
        <v>0</v>
      </c>
      <c r="O978" s="19">
        <f t="shared" si="91"/>
        <v>165</v>
      </c>
      <c r="S978" s="20" t="str">
        <f>IFERROR(IF([2]对账明细接口!$N978=0,"",[2]对账明细接口!$N978),"")</f>
        <v/>
      </c>
      <c r="T978" s="21" t="str">
        <f>IFERROR(IF([2]对账明细接口!$O978=0,"",[2]对账明细接口!$O978),"")</f>
        <v/>
      </c>
      <c r="U978" s="21" t="str">
        <f>IFERROR(IF([2]对账明细接口!$P978=0,"",[2]对账明细接口!$P978),"")</f>
        <v/>
      </c>
      <c r="V978" s="21" t="str">
        <f>IFERROR(IF([2]对账明细接口!$Q978=0,"",[2]对账明细接口!$Q978),"")</f>
        <v/>
      </c>
      <c r="W978" s="20" t="str">
        <f>IFERROR(IF([2]对账明细接口!$R978=0,"",[2]对账明细接口!$R978),"")</f>
        <v/>
      </c>
      <c r="X978" s="20" t="str">
        <f>IFERROR(IF([2]对账明细接口!$S978=0,"",[2]对账明细接口!$S978),"")</f>
        <v/>
      </c>
      <c r="Y978" s="20" t="str">
        <f t="shared" si="92"/>
        <v/>
      </c>
      <c r="Z978" s="20" t="str">
        <f t="shared" si="93"/>
        <v/>
      </c>
      <c r="AA978" s="20" t="str">
        <f t="shared" si="94"/>
        <v/>
      </c>
      <c r="AB978" s="20" t="str">
        <f t="shared" si="95"/>
        <v/>
      </c>
    </row>
    <row r="979" customHeight="1" spans="1:28">
      <c r="A979" s="14">
        <v>979</v>
      </c>
      <c r="B979" s="15" t="str">
        <f>IFERROR(IF([2]对账明细接口!$B$979=0,"",[2]对账明细接口!$B$979),"")</f>
        <v/>
      </c>
      <c r="C979" s="16" t="str">
        <f>IFERROR(IF([2]对账明细接口!$C$979=0,"",[2]对账明细接口!$C$979),"")</f>
        <v/>
      </c>
      <c r="D979" s="16" t="str">
        <f>IFERROR(IF([2]对账明细接口!$D$979=0,"",[2]对账明细接口!$D$979),"")</f>
        <v/>
      </c>
      <c r="E979" s="16" t="str">
        <f>IFERROR(IF([2]对账明细接口!$E$979=0,"",[2]对账明细接口!$E$979),"")</f>
        <v/>
      </c>
      <c r="F979" s="16" t="str">
        <f>IFERROR(IF([2]对账明细接口!$F$979=0,"",[2]对账明细接口!$F$979),"")</f>
        <v/>
      </c>
      <c r="G979" s="16" t="str">
        <f>IFERROR(IF([2]对账明细接口!$G$979=0,"",[2]对账明细接口!$G$979),"")</f>
        <v/>
      </c>
      <c r="H979" s="17" t="str">
        <f>IFERROR(IF([2]对账明细接口!$H$979=0,"",[2]对账明细接口!$H$979),"")</f>
        <v/>
      </c>
      <c r="I979" s="16" t="str">
        <f>IFERROR(IF([2]对账明细接口!$I$979=0,"",[2]对账明细接口!$I$979),"")</f>
        <v/>
      </c>
      <c r="J979" s="18" t="str">
        <f>IFERROR(IF([2]对账明细接口!$J$979=0,"",[2]对账明细接口!$J$979),"")</f>
        <v/>
      </c>
      <c r="K979" s="18" t="str">
        <f>IFERROR(IF([2]对账明细接口!$K$979=0,"",[2]对账明细接口!$K$979),"")</f>
        <v/>
      </c>
      <c r="L979" s="16" t="str">
        <f>IFERROR(IF([2]对账明细接口!$L$979=0,"",[2]对账明细接口!$L$979),"")</f>
        <v/>
      </c>
      <c r="M979" s="16" t="str">
        <f>IFERROR(IF([2]对账明细接口!$M$979=0,"",[2]对账明细接口!$M$979),"")</f>
        <v/>
      </c>
      <c r="N979" s="19">
        <f t="shared" si="90"/>
        <v>0</v>
      </c>
      <c r="O979" s="19">
        <f t="shared" si="91"/>
        <v>165</v>
      </c>
      <c r="S979" s="20" t="str">
        <f>IFERROR(IF([2]对账明细接口!$N979=0,"",[2]对账明细接口!$N979),"")</f>
        <v/>
      </c>
      <c r="T979" s="21" t="str">
        <f>IFERROR(IF([2]对账明细接口!$O979=0,"",[2]对账明细接口!$O979),"")</f>
        <v/>
      </c>
      <c r="U979" s="21" t="str">
        <f>IFERROR(IF([2]对账明细接口!$P979=0,"",[2]对账明细接口!$P979),"")</f>
        <v/>
      </c>
      <c r="V979" s="21" t="str">
        <f>IFERROR(IF([2]对账明细接口!$Q979=0,"",[2]对账明细接口!$Q979),"")</f>
        <v/>
      </c>
      <c r="W979" s="20" t="str">
        <f>IFERROR(IF([2]对账明细接口!$R979=0,"",[2]对账明细接口!$R979),"")</f>
        <v/>
      </c>
      <c r="X979" s="20" t="str">
        <f>IFERROR(IF([2]对账明细接口!$S979=0,"",[2]对账明细接口!$S979),"")</f>
        <v/>
      </c>
      <c r="Y979" s="20" t="str">
        <f t="shared" si="92"/>
        <v/>
      </c>
      <c r="Z979" s="20" t="str">
        <f t="shared" si="93"/>
        <v/>
      </c>
      <c r="AA979" s="20" t="str">
        <f t="shared" si="94"/>
        <v/>
      </c>
      <c r="AB979" s="20" t="str">
        <f t="shared" si="95"/>
        <v/>
      </c>
    </row>
    <row r="980" customHeight="1" spans="1:28">
      <c r="A980" s="14">
        <v>980</v>
      </c>
      <c r="B980" s="15" t="str">
        <f>IFERROR(IF([2]对账明细接口!$B$980=0,"",[2]对账明细接口!$B$980),"")</f>
        <v/>
      </c>
      <c r="C980" s="16" t="str">
        <f>IFERROR(IF([2]对账明细接口!$C$980=0,"",[2]对账明细接口!$C$980),"")</f>
        <v/>
      </c>
      <c r="D980" s="16" t="str">
        <f>IFERROR(IF([2]对账明细接口!$D$980=0,"",[2]对账明细接口!$D$980),"")</f>
        <v/>
      </c>
      <c r="E980" s="16" t="str">
        <f>IFERROR(IF([2]对账明细接口!$E$980=0,"",[2]对账明细接口!$E$980),"")</f>
        <v/>
      </c>
      <c r="F980" s="16" t="str">
        <f>IFERROR(IF([2]对账明细接口!$F$980=0,"",[2]对账明细接口!$F$980),"")</f>
        <v/>
      </c>
      <c r="G980" s="16" t="str">
        <f>IFERROR(IF([2]对账明细接口!$G$980=0,"",[2]对账明细接口!$G$980),"")</f>
        <v/>
      </c>
      <c r="H980" s="17" t="str">
        <f>IFERROR(IF([2]对账明细接口!$H$980=0,"",[2]对账明细接口!$H$980),"")</f>
        <v/>
      </c>
      <c r="I980" s="16" t="str">
        <f>IFERROR(IF([2]对账明细接口!$I$980=0,"",[2]对账明细接口!$I$980),"")</f>
        <v/>
      </c>
      <c r="J980" s="18" t="str">
        <f>IFERROR(IF([2]对账明细接口!$J$980=0,"",[2]对账明细接口!$J$980),"")</f>
        <v/>
      </c>
      <c r="K980" s="18" t="str">
        <f>IFERROR(IF([2]对账明细接口!$K$980=0,"",[2]对账明细接口!$K$980),"")</f>
        <v/>
      </c>
      <c r="L980" s="16" t="str">
        <f>IFERROR(IF([2]对账明细接口!$L$980=0,"",[2]对账明细接口!$L$980),"")</f>
        <v/>
      </c>
      <c r="M980" s="16" t="str">
        <f>IFERROR(IF([2]对账明细接口!$M$980=0,"",[2]对账明细接口!$M$980),"")</f>
        <v/>
      </c>
      <c r="N980" s="19">
        <f t="shared" si="90"/>
        <v>0</v>
      </c>
      <c r="O980" s="19">
        <f t="shared" si="91"/>
        <v>165</v>
      </c>
      <c r="S980" s="20" t="str">
        <f>IFERROR(IF([2]对账明细接口!$N980=0,"",[2]对账明细接口!$N980),"")</f>
        <v/>
      </c>
      <c r="T980" s="21" t="str">
        <f>IFERROR(IF([2]对账明细接口!$O980=0,"",[2]对账明细接口!$O980),"")</f>
        <v/>
      </c>
      <c r="U980" s="21" t="str">
        <f>IFERROR(IF([2]对账明细接口!$P980=0,"",[2]对账明细接口!$P980),"")</f>
        <v/>
      </c>
      <c r="V980" s="21" t="str">
        <f>IFERROR(IF([2]对账明细接口!$Q980=0,"",[2]对账明细接口!$Q980),"")</f>
        <v/>
      </c>
      <c r="W980" s="20" t="str">
        <f>IFERROR(IF([2]对账明细接口!$R980=0,"",[2]对账明细接口!$R980),"")</f>
        <v/>
      </c>
      <c r="X980" s="20" t="str">
        <f>IFERROR(IF([2]对账明细接口!$S980=0,"",[2]对账明细接口!$S980),"")</f>
        <v/>
      </c>
      <c r="Y980" s="20" t="str">
        <f t="shared" si="92"/>
        <v/>
      </c>
      <c r="Z980" s="20" t="str">
        <f t="shared" si="93"/>
        <v/>
      </c>
      <c r="AA980" s="20" t="str">
        <f t="shared" si="94"/>
        <v/>
      </c>
      <c r="AB980" s="20" t="str">
        <f t="shared" si="95"/>
        <v/>
      </c>
    </row>
    <row r="981" customHeight="1" spans="1:28">
      <c r="A981" s="14">
        <v>981</v>
      </c>
      <c r="B981" s="15" t="str">
        <f>IFERROR(IF([2]对账明细接口!$B$981=0,"",[2]对账明细接口!$B$981),"")</f>
        <v/>
      </c>
      <c r="C981" s="16" t="str">
        <f>IFERROR(IF([2]对账明细接口!$C$981=0,"",[2]对账明细接口!$C$981),"")</f>
        <v/>
      </c>
      <c r="D981" s="16" t="str">
        <f>IFERROR(IF([2]对账明细接口!$D$981=0,"",[2]对账明细接口!$D$981),"")</f>
        <v/>
      </c>
      <c r="E981" s="16" t="str">
        <f>IFERROR(IF([2]对账明细接口!$E$981=0,"",[2]对账明细接口!$E$981),"")</f>
        <v/>
      </c>
      <c r="F981" s="16" t="str">
        <f>IFERROR(IF([2]对账明细接口!$F$981=0,"",[2]对账明细接口!$F$981),"")</f>
        <v/>
      </c>
      <c r="G981" s="16" t="str">
        <f>IFERROR(IF([2]对账明细接口!$G$981=0,"",[2]对账明细接口!$G$981),"")</f>
        <v/>
      </c>
      <c r="H981" s="17" t="str">
        <f>IFERROR(IF([2]对账明细接口!$H$981=0,"",[2]对账明细接口!$H$981),"")</f>
        <v/>
      </c>
      <c r="I981" s="16" t="str">
        <f>IFERROR(IF([2]对账明细接口!$I$981=0,"",[2]对账明细接口!$I$981),"")</f>
        <v/>
      </c>
      <c r="J981" s="18" t="str">
        <f>IFERROR(IF([2]对账明细接口!$J$981=0,"",[2]对账明细接口!$J$981),"")</f>
        <v/>
      </c>
      <c r="K981" s="18" t="str">
        <f>IFERROR(IF([2]对账明细接口!$K$981=0,"",[2]对账明细接口!$K$981),"")</f>
        <v/>
      </c>
      <c r="L981" s="16" t="str">
        <f>IFERROR(IF([2]对账明细接口!$L$981=0,"",[2]对账明细接口!$L$981),"")</f>
        <v/>
      </c>
      <c r="M981" s="16" t="str">
        <f>IFERROR(IF([2]对账明细接口!$M$981=0,"",[2]对账明细接口!$M$981),"")</f>
        <v/>
      </c>
      <c r="N981" s="19">
        <f t="shared" si="90"/>
        <v>0</v>
      </c>
      <c r="O981" s="19">
        <f t="shared" si="91"/>
        <v>165</v>
      </c>
      <c r="S981" s="20" t="str">
        <f>IFERROR(IF([2]对账明细接口!$N981=0,"",[2]对账明细接口!$N981),"")</f>
        <v/>
      </c>
      <c r="T981" s="21" t="str">
        <f>IFERROR(IF([2]对账明细接口!$O981=0,"",[2]对账明细接口!$O981),"")</f>
        <v/>
      </c>
      <c r="U981" s="21" t="str">
        <f>IFERROR(IF([2]对账明细接口!$P981=0,"",[2]对账明细接口!$P981),"")</f>
        <v/>
      </c>
      <c r="V981" s="21" t="str">
        <f>IFERROR(IF([2]对账明细接口!$Q981=0,"",[2]对账明细接口!$Q981),"")</f>
        <v/>
      </c>
      <c r="W981" s="20" t="str">
        <f>IFERROR(IF([2]对账明细接口!$R981=0,"",[2]对账明细接口!$R981),"")</f>
        <v/>
      </c>
      <c r="X981" s="20" t="str">
        <f>IFERROR(IF([2]对账明细接口!$S981=0,"",[2]对账明细接口!$S981),"")</f>
        <v/>
      </c>
      <c r="Y981" s="20" t="str">
        <f t="shared" si="92"/>
        <v/>
      </c>
      <c r="Z981" s="20" t="str">
        <f t="shared" si="93"/>
        <v/>
      </c>
      <c r="AA981" s="20" t="str">
        <f t="shared" si="94"/>
        <v/>
      </c>
      <c r="AB981" s="20" t="str">
        <f t="shared" si="95"/>
        <v/>
      </c>
    </row>
    <row r="982" customHeight="1" spans="1:28">
      <c r="A982" s="14">
        <v>982</v>
      </c>
      <c r="B982" s="15" t="str">
        <f>IFERROR(IF([2]对账明细接口!$B$982=0,"",[2]对账明细接口!$B$982),"")</f>
        <v/>
      </c>
      <c r="C982" s="16" t="str">
        <f>IFERROR(IF([2]对账明细接口!$C$982=0,"",[2]对账明细接口!$C$982),"")</f>
        <v/>
      </c>
      <c r="D982" s="16" t="str">
        <f>IFERROR(IF([2]对账明细接口!$D$982=0,"",[2]对账明细接口!$D$982),"")</f>
        <v/>
      </c>
      <c r="E982" s="16" t="str">
        <f>IFERROR(IF([2]对账明细接口!$E$982=0,"",[2]对账明细接口!$E$982),"")</f>
        <v/>
      </c>
      <c r="F982" s="16" t="str">
        <f>IFERROR(IF([2]对账明细接口!$F$982=0,"",[2]对账明细接口!$F$982),"")</f>
        <v/>
      </c>
      <c r="G982" s="16" t="str">
        <f>IFERROR(IF([2]对账明细接口!$G$982=0,"",[2]对账明细接口!$G$982),"")</f>
        <v/>
      </c>
      <c r="H982" s="17" t="str">
        <f>IFERROR(IF([2]对账明细接口!$H$982=0,"",[2]对账明细接口!$H$982),"")</f>
        <v/>
      </c>
      <c r="I982" s="16" t="str">
        <f>IFERROR(IF([2]对账明细接口!$I$982=0,"",[2]对账明细接口!$I$982),"")</f>
        <v/>
      </c>
      <c r="J982" s="18" t="str">
        <f>IFERROR(IF([2]对账明细接口!$J$982=0,"",[2]对账明细接口!$J$982),"")</f>
        <v/>
      </c>
      <c r="K982" s="18" t="str">
        <f>IFERROR(IF([2]对账明细接口!$K$982=0,"",[2]对账明细接口!$K$982),"")</f>
        <v/>
      </c>
      <c r="L982" s="16" t="str">
        <f>IFERROR(IF([2]对账明细接口!$L$982=0,"",[2]对账明细接口!$L$982),"")</f>
        <v/>
      </c>
      <c r="M982" s="16" t="str">
        <f>IFERROR(IF([2]对账明细接口!$M$982=0,"",[2]对账明细接口!$M$982),"")</f>
        <v/>
      </c>
      <c r="N982" s="19">
        <f t="shared" si="90"/>
        <v>0</v>
      </c>
      <c r="O982" s="19">
        <f t="shared" si="91"/>
        <v>165</v>
      </c>
      <c r="S982" s="20" t="str">
        <f>IFERROR(IF([2]对账明细接口!$N982=0,"",[2]对账明细接口!$N982),"")</f>
        <v/>
      </c>
      <c r="T982" s="21" t="str">
        <f>IFERROR(IF([2]对账明细接口!$O982=0,"",[2]对账明细接口!$O982),"")</f>
        <v/>
      </c>
      <c r="U982" s="21" t="str">
        <f>IFERROR(IF([2]对账明细接口!$P982=0,"",[2]对账明细接口!$P982),"")</f>
        <v/>
      </c>
      <c r="V982" s="21" t="str">
        <f>IFERROR(IF([2]对账明细接口!$Q982=0,"",[2]对账明细接口!$Q982),"")</f>
        <v/>
      </c>
      <c r="W982" s="20" t="str">
        <f>IFERROR(IF([2]对账明细接口!$R982=0,"",[2]对账明细接口!$R982),"")</f>
        <v/>
      </c>
      <c r="X982" s="20" t="str">
        <f>IFERROR(IF([2]对账明细接口!$S982=0,"",[2]对账明细接口!$S982),"")</f>
        <v/>
      </c>
      <c r="Y982" s="20" t="str">
        <f t="shared" si="92"/>
        <v/>
      </c>
      <c r="Z982" s="20" t="str">
        <f t="shared" si="93"/>
        <v/>
      </c>
      <c r="AA982" s="20" t="str">
        <f t="shared" si="94"/>
        <v/>
      </c>
      <c r="AB982" s="20" t="str">
        <f t="shared" si="95"/>
        <v/>
      </c>
    </row>
    <row r="983" customHeight="1" spans="1:28">
      <c r="A983" s="14">
        <v>983</v>
      </c>
      <c r="B983" s="15" t="str">
        <f>IFERROR(IF([2]对账明细接口!$B$983=0,"",[2]对账明细接口!$B$983),"")</f>
        <v/>
      </c>
      <c r="C983" s="16" t="str">
        <f>IFERROR(IF([2]对账明细接口!$C$983=0,"",[2]对账明细接口!$C$983),"")</f>
        <v/>
      </c>
      <c r="D983" s="16" t="str">
        <f>IFERROR(IF([2]对账明细接口!$D$983=0,"",[2]对账明细接口!$D$983),"")</f>
        <v/>
      </c>
      <c r="E983" s="16" t="str">
        <f>IFERROR(IF([2]对账明细接口!$E$983=0,"",[2]对账明细接口!$E$983),"")</f>
        <v/>
      </c>
      <c r="F983" s="16" t="str">
        <f>IFERROR(IF([2]对账明细接口!$F$983=0,"",[2]对账明细接口!$F$983),"")</f>
        <v/>
      </c>
      <c r="G983" s="16" t="str">
        <f>IFERROR(IF([2]对账明细接口!$G$983=0,"",[2]对账明细接口!$G$983),"")</f>
        <v/>
      </c>
      <c r="H983" s="17" t="str">
        <f>IFERROR(IF([2]对账明细接口!$H$983=0,"",[2]对账明细接口!$H$983),"")</f>
        <v/>
      </c>
      <c r="I983" s="16" t="str">
        <f>IFERROR(IF([2]对账明细接口!$I$983=0,"",[2]对账明细接口!$I$983),"")</f>
        <v/>
      </c>
      <c r="J983" s="18" t="str">
        <f>IFERROR(IF([2]对账明细接口!$J$983=0,"",[2]对账明细接口!$J$983),"")</f>
        <v/>
      </c>
      <c r="K983" s="18" t="str">
        <f>IFERROR(IF([2]对账明细接口!$K$983=0,"",[2]对账明细接口!$K$983),"")</f>
        <v/>
      </c>
      <c r="L983" s="16" t="str">
        <f>IFERROR(IF([2]对账明细接口!$L$983=0,"",[2]对账明细接口!$L$983),"")</f>
        <v/>
      </c>
      <c r="M983" s="16" t="str">
        <f>IFERROR(IF([2]对账明细接口!$M$983=0,"",[2]对账明细接口!$M$983),"")</f>
        <v/>
      </c>
      <c r="N983" s="19">
        <f t="shared" si="90"/>
        <v>0</v>
      </c>
      <c r="O983" s="19">
        <f t="shared" si="91"/>
        <v>165</v>
      </c>
      <c r="S983" s="20" t="str">
        <f>IFERROR(IF([2]对账明细接口!$N983=0,"",[2]对账明细接口!$N983),"")</f>
        <v/>
      </c>
      <c r="T983" s="21" t="str">
        <f>IFERROR(IF([2]对账明细接口!$O983=0,"",[2]对账明细接口!$O983),"")</f>
        <v/>
      </c>
      <c r="U983" s="21" t="str">
        <f>IFERROR(IF([2]对账明细接口!$P983=0,"",[2]对账明细接口!$P983),"")</f>
        <v/>
      </c>
      <c r="V983" s="21" t="str">
        <f>IFERROR(IF([2]对账明细接口!$Q983=0,"",[2]对账明细接口!$Q983),"")</f>
        <v/>
      </c>
      <c r="W983" s="20" t="str">
        <f>IFERROR(IF([2]对账明细接口!$R983=0,"",[2]对账明细接口!$R983),"")</f>
        <v/>
      </c>
      <c r="X983" s="20" t="str">
        <f>IFERROR(IF([2]对账明细接口!$S983=0,"",[2]对账明细接口!$S983),"")</f>
        <v/>
      </c>
      <c r="Y983" s="20" t="str">
        <f t="shared" si="92"/>
        <v/>
      </c>
      <c r="Z983" s="20" t="str">
        <f t="shared" si="93"/>
        <v/>
      </c>
      <c r="AA983" s="20" t="str">
        <f t="shared" si="94"/>
        <v/>
      </c>
      <c r="AB983" s="20" t="str">
        <f t="shared" si="95"/>
        <v/>
      </c>
    </row>
    <row r="984" customHeight="1" spans="1:28">
      <c r="A984" s="14">
        <v>984</v>
      </c>
      <c r="B984" s="15" t="str">
        <f>IFERROR(IF([2]对账明细接口!$B$984=0,"",[2]对账明细接口!$B$984),"")</f>
        <v/>
      </c>
      <c r="C984" s="16" t="str">
        <f>IFERROR(IF([2]对账明细接口!$C$984=0,"",[2]对账明细接口!$C$984),"")</f>
        <v/>
      </c>
      <c r="D984" s="16" t="str">
        <f>IFERROR(IF([2]对账明细接口!$D$984=0,"",[2]对账明细接口!$D$984),"")</f>
        <v/>
      </c>
      <c r="E984" s="16" t="str">
        <f>IFERROR(IF([2]对账明细接口!$E$984=0,"",[2]对账明细接口!$E$984),"")</f>
        <v/>
      </c>
      <c r="F984" s="16" t="str">
        <f>IFERROR(IF([2]对账明细接口!$F$984=0,"",[2]对账明细接口!$F$984),"")</f>
        <v/>
      </c>
      <c r="G984" s="16" t="str">
        <f>IFERROR(IF([2]对账明细接口!$G$984=0,"",[2]对账明细接口!$G$984),"")</f>
        <v/>
      </c>
      <c r="H984" s="17" t="str">
        <f>IFERROR(IF([2]对账明细接口!$H$984=0,"",[2]对账明细接口!$H$984),"")</f>
        <v/>
      </c>
      <c r="I984" s="16" t="str">
        <f>IFERROR(IF([2]对账明细接口!$I$984=0,"",[2]对账明细接口!$I$984),"")</f>
        <v/>
      </c>
      <c r="J984" s="18" t="str">
        <f>IFERROR(IF([2]对账明细接口!$J$984=0,"",[2]对账明细接口!$J$984),"")</f>
        <v/>
      </c>
      <c r="K984" s="18" t="str">
        <f>IFERROR(IF([2]对账明细接口!$K$984=0,"",[2]对账明细接口!$K$984),"")</f>
        <v/>
      </c>
      <c r="L984" s="16" t="str">
        <f>IFERROR(IF([2]对账明细接口!$L$984=0,"",[2]对账明细接口!$L$984),"")</f>
        <v/>
      </c>
      <c r="M984" s="16" t="str">
        <f>IFERROR(IF([2]对账明细接口!$M$984=0,"",[2]对账明细接口!$M$984),"")</f>
        <v/>
      </c>
      <c r="N984" s="19">
        <f t="shared" si="90"/>
        <v>0</v>
      </c>
      <c r="O984" s="19">
        <f t="shared" si="91"/>
        <v>165</v>
      </c>
      <c r="S984" s="20" t="str">
        <f>IFERROR(IF([2]对账明细接口!$N984=0,"",[2]对账明细接口!$N984),"")</f>
        <v/>
      </c>
      <c r="T984" s="21" t="str">
        <f>IFERROR(IF([2]对账明细接口!$O984=0,"",[2]对账明细接口!$O984),"")</f>
        <v/>
      </c>
      <c r="U984" s="21" t="str">
        <f>IFERROR(IF([2]对账明细接口!$P984=0,"",[2]对账明细接口!$P984),"")</f>
        <v/>
      </c>
      <c r="V984" s="21" t="str">
        <f>IFERROR(IF([2]对账明细接口!$Q984=0,"",[2]对账明细接口!$Q984),"")</f>
        <v/>
      </c>
      <c r="W984" s="20" t="str">
        <f>IFERROR(IF([2]对账明细接口!$R984=0,"",[2]对账明细接口!$R984),"")</f>
        <v/>
      </c>
      <c r="X984" s="20" t="str">
        <f>IFERROR(IF([2]对账明细接口!$S984=0,"",[2]对账明细接口!$S984),"")</f>
        <v/>
      </c>
      <c r="Y984" s="20" t="str">
        <f t="shared" si="92"/>
        <v/>
      </c>
      <c r="Z984" s="20" t="str">
        <f t="shared" si="93"/>
        <v/>
      </c>
      <c r="AA984" s="20" t="str">
        <f t="shared" si="94"/>
        <v/>
      </c>
      <c r="AB984" s="20" t="str">
        <f t="shared" si="95"/>
        <v/>
      </c>
    </row>
    <row r="985" customHeight="1" spans="1:28">
      <c r="A985" s="14">
        <v>985</v>
      </c>
      <c r="B985" s="15" t="str">
        <f>IFERROR(IF([2]对账明细接口!$B$985=0,"",[2]对账明细接口!$B$985),"")</f>
        <v/>
      </c>
      <c r="C985" s="16" t="str">
        <f>IFERROR(IF([2]对账明细接口!$C$985=0,"",[2]对账明细接口!$C$985),"")</f>
        <v/>
      </c>
      <c r="D985" s="16" t="str">
        <f>IFERROR(IF([2]对账明细接口!$D$985=0,"",[2]对账明细接口!$D$985),"")</f>
        <v/>
      </c>
      <c r="E985" s="16" t="str">
        <f>IFERROR(IF([2]对账明细接口!$E$985=0,"",[2]对账明细接口!$E$985),"")</f>
        <v/>
      </c>
      <c r="F985" s="16" t="str">
        <f>IFERROR(IF([2]对账明细接口!$F$985=0,"",[2]对账明细接口!$F$985),"")</f>
        <v/>
      </c>
      <c r="G985" s="16" t="str">
        <f>IFERROR(IF([2]对账明细接口!$G$985=0,"",[2]对账明细接口!$G$985),"")</f>
        <v/>
      </c>
      <c r="H985" s="17" t="str">
        <f>IFERROR(IF([2]对账明细接口!$H$985=0,"",[2]对账明细接口!$H$985),"")</f>
        <v/>
      </c>
      <c r="I985" s="16" t="str">
        <f>IFERROR(IF([2]对账明细接口!$I$985=0,"",[2]对账明细接口!$I$985),"")</f>
        <v/>
      </c>
      <c r="J985" s="18" t="str">
        <f>IFERROR(IF([2]对账明细接口!$J$985=0,"",[2]对账明细接口!$J$985),"")</f>
        <v/>
      </c>
      <c r="K985" s="18" t="str">
        <f>IFERROR(IF([2]对账明细接口!$K$985=0,"",[2]对账明细接口!$K$985),"")</f>
        <v/>
      </c>
      <c r="L985" s="16" t="str">
        <f>IFERROR(IF([2]对账明细接口!$L$985=0,"",[2]对账明细接口!$L$985),"")</f>
        <v/>
      </c>
      <c r="M985" s="16" t="str">
        <f>IFERROR(IF([2]对账明细接口!$M$985=0,"",[2]对账明细接口!$M$985),"")</f>
        <v/>
      </c>
      <c r="N985" s="19">
        <f t="shared" si="90"/>
        <v>0</v>
      </c>
      <c r="O985" s="19">
        <f t="shared" si="91"/>
        <v>165</v>
      </c>
      <c r="S985" s="20" t="str">
        <f>IFERROR(IF([2]对账明细接口!$N985=0,"",[2]对账明细接口!$N985),"")</f>
        <v/>
      </c>
      <c r="T985" s="21" t="str">
        <f>IFERROR(IF([2]对账明细接口!$O985=0,"",[2]对账明细接口!$O985),"")</f>
        <v/>
      </c>
      <c r="U985" s="21" t="str">
        <f>IFERROR(IF([2]对账明细接口!$P985=0,"",[2]对账明细接口!$P985),"")</f>
        <v/>
      </c>
      <c r="V985" s="21" t="str">
        <f>IFERROR(IF([2]对账明细接口!$Q985=0,"",[2]对账明细接口!$Q985),"")</f>
        <v/>
      </c>
      <c r="W985" s="20" t="str">
        <f>IFERROR(IF([2]对账明细接口!$R985=0,"",[2]对账明细接口!$R985),"")</f>
        <v/>
      </c>
      <c r="X985" s="20" t="str">
        <f>IFERROR(IF([2]对账明细接口!$S985=0,"",[2]对账明细接口!$S985),"")</f>
        <v/>
      </c>
      <c r="Y985" s="20" t="str">
        <f t="shared" si="92"/>
        <v/>
      </c>
      <c r="Z985" s="20" t="str">
        <f t="shared" si="93"/>
        <v/>
      </c>
      <c r="AA985" s="20" t="str">
        <f t="shared" si="94"/>
        <v/>
      </c>
      <c r="AB985" s="20" t="str">
        <f t="shared" si="95"/>
        <v/>
      </c>
    </row>
    <row r="986" customHeight="1" spans="1:28">
      <c r="A986" s="14">
        <v>986</v>
      </c>
      <c r="B986" s="15" t="str">
        <f>IFERROR(IF([2]对账明细接口!$B$986=0,"",[2]对账明细接口!$B$986),"")</f>
        <v/>
      </c>
      <c r="C986" s="16" t="str">
        <f>IFERROR(IF([2]对账明细接口!$C$986=0,"",[2]对账明细接口!$C$986),"")</f>
        <v/>
      </c>
      <c r="D986" s="16" t="str">
        <f>IFERROR(IF([2]对账明细接口!$D$986=0,"",[2]对账明细接口!$D$986),"")</f>
        <v/>
      </c>
      <c r="E986" s="16" t="str">
        <f>IFERROR(IF([2]对账明细接口!$E$986=0,"",[2]对账明细接口!$E$986),"")</f>
        <v/>
      </c>
      <c r="F986" s="16" t="str">
        <f>IFERROR(IF([2]对账明细接口!$F$986=0,"",[2]对账明细接口!$F$986),"")</f>
        <v/>
      </c>
      <c r="G986" s="16" t="str">
        <f>IFERROR(IF([2]对账明细接口!$G$986=0,"",[2]对账明细接口!$G$986),"")</f>
        <v/>
      </c>
      <c r="H986" s="17" t="str">
        <f>IFERROR(IF([2]对账明细接口!$H$986=0,"",[2]对账明细接口!$H$986),"")</f>
        <v/>
      </c>
      <c r="I986" s="16" t="str">
        <f>IFERROR(IF([2]对账明细接口!$I$986=0,"",[2]对账明细接口!$I$986),"")</f>
        <v/>
      </c>
      <c r="J986" s="18" t="str">
        <f>IFERROR(IF([2]对账明细接口!$J$986=0,"",[2]对账明细接口!$J$986),"")</f>
        <v/>
      </c>
      <c r="K986" s="18" t="str">
        <f>IFERROR(IF([2]对账明细接口!$K$986=0,"",[2]对账明细接口!$K$986),"")</f>
        <v/>
      </c>
      <c r="L986" s="16" t="str">
        <f>IFERROR(IF([2]对账明细接口!$L$986=0,"",[2]对账明细接口!$L$986),"")</f>
        <v/>
      </c>
      <c r="M986" s="16" t="str">
        <f>IFERROR(IF([2]对账明细接口!$M$986=0,"",[2]对账明细接口!$M$986),"")</f>
        <v/>
      </c>
      <c r="N986" s="19">
        <f t="shared" si="90"/>
        <v>0</v>
      </c>
      <c r="O986" s="19">
        <f t="shared" si="91"/>
        <v>165</v>
      </c>
      <c r="S986" s="20" t="str">
        <f>IFERROR(IF([2]对账明细接口!$N986=0,"",[2]对账明细接口!$N986),"")</f>
        <v/>
      </c>
      <c r="T986" s="21" t="str">
        <f>IFERROR(IF([2]对账明细接口!$O986=0,"",[2]对账明细接口!$O986),"")</f>
        <v/>
      </c>
      <c r="U986" s="21" t="str">
        <f>IFERROR(IF([2]对账明细接口!$P986=0,"",[2]对账明细接口!$P986),"")</f>
        <v/>
      </c>
      <c r="V986" s="21" t="str">
        <f>IFERROR(IF([2]对账明细接口!$Q986=0,"",[2]对账明细接口!$Q986),"")</f>
        <v/>
      </c>
      <c r="W986" s="20" t="str">
        <f>IFERROR(IF([2]对账明细接口!$R986=0,"",[2]对账明细接口!$R986),"")</f>
        <v/>
      </c>
      <c r="X986" s="20" t="str">
        <f>IFERROR(IF([2]对账明细接口!$S986=0,"",[2]对账明细接口!$S986),"")</f>
        <v/>
      </c>
      <c r="Y986" s="20" t="str">
        <f t="shared" si="92"/>
        <v/>
      </c>
      <c r="Z986" s="20" t="str">
        <f t="shared" si="93"/>
        <v/>
      </c>
      <c r="AA986" s="20" t="str">
        <f t="shared" si="94"/>
        <v/>
      </c>
      <c r="AB986" s="20" t="str">
        <f t="shared" si="95"/>
        <v/>
      </c>
    </row>
    <row r="987" customHeight="1" spans="1:28">
      <c r="A987" s="14">
        <v>987</v>
      </c>
      <c r="B987" s="15" t="str">
        <f>IFERROR(IF([2]对账明细接口!$B$987=0,"",[2]对账明细接口!$B$987),"")</f>
        <v/>
      </c>
      <c r="C987" s="16" t="str">
        <f>IFERROR(IF([2]对账明细接口!$C$987=0,"",[2]对账明细接口!$C$987),"")</f>
        <v/>
      </c>
      <c r="D987" s="16" t="str">
        <f>IFERROR(IF([2]对账明细接口!$D$987=0,"",[2]对账明细接口!$D$987),"")</f>
        <v/>
      </c>
      <c r="E987" s="16" t="str">
        <f>IFERROR(IF([2]对账明细接口!$E$987=0,"",[2]对账明细接口!$E$987),"")</f>
        <v/>
      </c>
      <c r="F987" s="16" t="str">
        <f>IFERROR(IF([2]对账明细接口!$F$987=0,"",[2]对账明细接口!$F$987),"")</f>
        <v/>
      </c>
      <c r="G987" s="16" t="str">
        <f>IFERROR(IF([2]对账明细接口!$G$987=0,"",[2]对账明细接口!$G$987),"")</f>
        <v/>
      </c>
      <c r="H987" s="17" t="str">
        <f>IFERROR(IF([2]对账明细接口!$H$987=0,"",[2]对账明细接口!$H$987),"")</f>
        <v/>
      </c>
      <c r="I987" s="16" t="str">
        <f>IFERROR(IF([2]对账明细接口!$I$987=0,"",[2]对账明细接口!$I$987),"")</f>
        <v/>
      </c>
      <c r="J987" s="18" t="str">
        <f>IFERROR(IF([2]对账明细接口!$J$987=0,"",[2]对账明细接口!$J$987),"")</f>
        <v/>
      </c>
      <c r="K987" s="18" t="str">
        <f>IFERROR(IF([2]对账明细接口!$K$987=0,"",[2]对账明细接口!$K$987),"")</f>
        <v/>
      </c>
      <c r="L987" s="16" t="str">
        <f>IFERROR(IF([2]对账明细接口!$L$987=0,"",[2]对账明细接口!$L$987),"")</f>
        <v/>
      </c>
      <c r="M987" s="16" t="str">
        <f>IFERROR(IF([2]对账明细接口!$M$987=0,"",[2]对账明细接口!$M$987),"")</f>
        <v/>
      </c>
      <c r="N987" s="19">
        <f t="shared" si="90"/>
        <v>0</v>
      </c>
      <c r="O987" s="19">
        <f t="shared" si="91"/>
        <v>165</v>
      </c>
      <c r="S987" s="20" t="str">
        <f>IFERROR(IF([2]对账明细接口!$N987=0,"",[2]对账明细接口!$N987),"")</f>
        <v/>
      </c>
      <c r="T987" s="21" t="str">
        <f>IFERROR(IF([2]对账明细接口!$O987=0,"",[2]对账明细接口!$O987),"")</f>
        <v/>
      </c>
      <c r="U987" s="21" t="str">
        <f>IFERROR(IF([2]对账明细接口!$P987=0,"",[2]对账明细接口!$P987),"")</f>
        <v/>
      </c>
      <c r="V987" s="21" t="str">
        <f>IFERROR(IF([2]对账明细接口!$Q987=0,"",[2]对账明细接口!$Q987),"")</f>
        <v/>
      </c>
      <c r="W987" s="20" t="str">
        <f>IFERROR(IF([2]对账明细接口!$R987=0,"",[2]对账明细接口!$R987),"")</f>
        <v/>
      </c>
      <c r="X987" s="20" t="str">
        <f>IFERROR(IF([2]对账明细接口!$S987=0,"",[2]对账明细接口!$S987),"")</f>
        <v/>
      </c>
      <c r="Y987" s="20" t="str">
        <f t="shared" si="92"/>
        <v/>
      </c>
      <c r="Z987" s="20" t="str">
        <f t="shared" si="93"/>
        <v/>
      </c>
      <c r="AA987" s="20" t="str">
        <f t="shared" si="94"/>
        <v/>
      </c>
      <c r="AB987" s="20" t="str">
        <f t="shared" si="95"/>
        <v/>
      </c>
    </row>
    <row r="988" customHeight="1" spans="1:28">
      <c r="A988" s="14">
        <v>988</v>
      </c>
      <c r="B988" s="15" t="str">
        <f>IFERROR(IF([2]对账明细接口!$B$988=0,"",[2]对账明细接口!$B$988),"")</f>
        <v/>
      </c>
      <c r="C988" s="16" t="str">
        <f>IFERROR(IF([2]对账明细接口!$C$988=0,"",[2]对账明细接口!$C$988),"")</f>
        <v/>
      </c>
      <c r="D988" s="16" t="str">
        <f>IFERROR(IF([2]对账明细接口!$D$988=0,"",[2]对账明细接口!$D$988),"")</f>
        <v/>
      </c>
      <c r="E988" s="16" t="str">
        <f>IFERROR(IF([2]对账明细接口!$E$988=0,"",[2]对账明细接口!$E$988),"")</f>
        <v/>
      </c>
      <c r="F988" s="16" t="str">
        <f>IFERROR(IF([2]对账明细接口!$F$988=0,"",[2]对账明细接口!$F$988),"")</f>
        <v/>
      </c>
      <c r="G988" s="16" t="str">
        <f>IFERROR(IF([2]对账明细接口!$G$988=0,"",[2]对账明细接口!$G$988),"")</f>
        <v/>
      </c>
      <c r="H988" s="17" t="str">
        <f>IFERROR(IF([2]对账明细接口!$H$988=0,"",[2]对账明细接口!$H$988),"")</f>
        <v/>
      </c>
      <c r="I988" s="16" t="str">
        <f>IFERROR(IF([2]对账明细接口!$I$988=0,"",[2]对账明细接口!$I$988),"")</f>
        <v/>
      </c>
      <c r="J988" s="18" t="str">
        <f>IFERROR(IF([2]对账明细接口!$J$988=0,"",[2]对账明细接口!$J$988),"")</f>
        <v/>
      </c>
      <c r="K988" s="18" t="str">
        <f>IFERROR(IF([2]对账明细接口!$K$988=0,"",[2]对账明细接口!$K$988),"")</f>
        <v/>
      </c>
      <c r="L988" s="16" t="str">
        <f>IFERROR(IF([2]对账明细接口!$L$988=0,"",[2]对账明细接口!$L$988),"")</f>
        <v/>
      </c>
      <c r="M988" s="16" t="str">
        <f>IFERROR(IF([2]对账明细接口!$M$988=0,"",[2]对账明细接口!$M$988),"")</f>
        <v/>
      </c>
      <c r="N988" s="19">
        <f t="shared" si="90"/>
        <v>0</v>
      </c>
      <c r="O988" s="19">
        <f t="shared" si="91"/>
        <v>165</v>
      </c>
      <c r="S988" s="20" t="str">
        <f>IFERROR(IF([2]对账明细接口!$N988=0,"",[2]对账明细接口!$N988),"")</f>
        <v/>
      </c>
      <c r="T988" s="21" t="str">
        <f>IFERROR(IF([2]对账明细接口!$O988=0,"",[2]对账明细接口!$O988),"")</f>
        <v/>
      </c>
      <c r="U988" s="21" t="str">
        <f>IFERROR(IF([2]对账明细接口!$P988=0,"",[2]对账明细接口!$P988),"")</f>
        <v/>
      </c>
      <c r="V988" s="21" t="str">
        <f>IFERROR(IF([2]对账明细接口!$Q988=0,"",[2]对账明细接口!$Q988),"")</f>
        <v/>
      </c>
      <c r="W988" s="20" t="str">
        <f>IFERROR(IF([2]对账明细接口!$R988=0,"",[2]对账明细接口!$R988),"")</f>
        <v/>
      </c>
      <c r="X988" s="20" t="str">
        <f>IFERROR(IF([2]对账明细接口!$S988=0,"",[2]对账明细接口!$S988),"")</f>
        <v/>
      </c>
      <c r="Y988" s="20" t="str">
        <f t="shared" si="92"/>
        <v/>
      </c>
      <c r="Z988" s="20" t="str">
        <f t="shared" si="93"/>
        <v/>
      </c>
      <c r="AA988" s="20" t="str">
        <f t="shared" si="94"/>
        <v/>
      </c>
      <c r="AB988" s="20" t="str">
        <f t="shared" si="95"/>
        <v/>
      </c>
    </row>
    <row r="989" customHeight="1" spans="1:28">
      <c r="A989" s="14">
        <v>989</v>
      </c>
      <c r="B989" s="15" t="str">
        <f>IFERROR(IF([2]对账明细接口!$B$989=0,"",[2]对账明细接口!$B$989),"")</f>
        <v/>
      </c>
      <c r="C989" s="16" t="str">
        <f>IFERROR(IF([2]对账明细接口!$C$989=0,"",[2]对账明细接口!$C$989),"")</f>
        <v/>
      </c>
      <c r="D989" s="16" t="str">
        <f>IFERROR(IF([2]对账明细接口!$D$989=0,"",[2]对账明细接口!$D$989),"")</f>
        <v/>
      </c>
      <c r="E989" s="16" t="str">
        <f>IFERROR(IF([2]对账明细接口!$E$989=0,"",[2]对账明细接口!$E$989),"")</f>
        <v/>
      </c>
      <c r="F989" s="16" t="str">
        <f>IFERROR(IF([2]对账明细接口!$F$989=0,"",[2]对账明细接口!$F$989),"")</f>
        <v/>
      </c>
      <c r="G989" s="16" t="str">
        <f>IFERROR(IF([2]对账明细接口!$G$989=0,"",[2]对账明细接口!$G$989),"")</f>
        <v/>
      </c>
      <c r="H989" s="17" t="str">
        <f>IFERROR(IF([2]对账明细接口!$H$989=0,"",[2]对账明细接口!$H$989),"")</f>
        <v/>
      </c>
      <c r="I989" s="16" t="str">
        <f>IFERROR(IF([2]对账明细接口!$I$989=0,"",[2]对账明细接口!$I$989),"")</f>
        <v/>
      </c>
      <c r="J989" s="18" t="str">
        <f>IFERROR(IF([2]对账明细接口!$J$989=0,"",[2]对账明细接口!$J$989),"")</f>
        <v/>
      </c>
      <c r="K989" s="18" t="str">
        <f>IFERROR(IF([2]对账明细接口!$K$989=0,"",[2]对账明细接口!$K$989),"")</f>
        <v/>
      </c>
      <c r="L989" s="16" t="str">
        <f>IFERROR(IF([2]对账明细接口!$L$989=0,"",[2]对账明细接口!$L$989),"")</f>
        <v/>
      </c>
      <c r="M989" s="16" t="str">
        <f>IFERROR(IF([2]对账明细接口!$M$989=0,"",[2]对账明细接口!$M$989),"")</f>
        <v/>
      </c>
      <c r="N989" s="19">
        <f t="shared" si="90"/>
        <v>0</v>
      </c>
      <c r="O989" s="19">
        <f t="shared" si="91"/>
        <v>165</v>
      </c>
      <c r="S989" s="20" t="str">
        <f>IFERROR(IF([2]对账明细接口!$N989=0,"",[2]对账明细接口!$N989),"")</f>
        <v/>
      </c>
      <c r="T989" s="21" t="str">
        <f>IFERROR(IF([2]对账明细接口!$O989=0,"",[2]对账明细接口!$O989),"")</f>
        <v/>
      </c>
      <c r="U989" s="21" t="str">
        <f>IFERROR(IF([2]对账明细接口!$P989=0,"",[2]对账明细接口!$P989),"")</f>
        <v/>
      </c>
      <c r="V989" s="21" t="str">
        <f>IFERROR(IF([2]对账明细接口!$Q989=0,"",[2]对账明细接口!$Q989),"")</f>
        <v/>
      </c>
      <c r="W989" s="20" t="str">
        <f>IFERROR(IF([2]对账明细接口!$R989=0,"",[2]对账明细接口!$R989),"")</f>
        <v/>
      </c>
      <c r="X989" s="20" t="str">
        <f>IFERROR(IF([2]对账明细接口!$S989=0,"",[2]对账明细接口!$S989),"")</f>
        <v/>
      </c>
      <c r="Y989" s="20" t="str">
        <f t="shared" si="92"/>
        <v/>
      </c>
      <c r="Z989" s="20" t="str">
        <f t="shared" si="93"/>
        <v/>
      </c>
      <c r="AA989" s="20" t="str">
        <f t="shared" si="94"/>
        <v/>
      </c>
      <c r="AB989" s="20" t="str">
        <f t="shared" si="95"/>
        <v/>
      </c>
    </row>
    <row r="990" customHeight="1" spans="1:28">
      <c r="A990" s="14">
        <v>990</v>
      </c>
      <c r="B990" s="15" t="str">
        <f>IFERROR(IF([2]对账明细接口!$B$990=0,"",[2]对账明细接口!$B$990),"")</f>
        <v/>
      </c>
      <c r="C990" s="16" t="str">
        <f>IFERROR(IF([2]对账明细接口!$C$990=0,"",[2]对账明细接口!$C$990),"")</f>
        <v/>
      </c>
      <c r="D990" s="16" t="str">
        <f>IFERROR(IF([2]对账明细接口!$D$990=0,"",[2]对账明细接口!$D$990),"")</f>
        <v/>
      </c>
      <c r="E990" s="16" t="str">
        <f>IFERROR(IF([2]对账明细接口!$E$990=0,"",[2]对账明细接口!$E$990),"")</f>
        <v/>
      </c>
      <c r="F990" s="16" t="str">
        <f>IFERROR(IF([2]对账明细接口!$F$990=0,"",[2]对账明细接口!$F$990),"")</f>
        <v/>
      </c>
      <c r="G990" s="16" t="str">
        <f>IFERROR(IF([2]对账明细接口!$G$990=0,"",[2]对账明细接口!$G$990),"")</f>
        <v/>
      </c>
      <c r="H990" s="17" t="str">
        <f>IFERROR(IF([2]对账明细接口!$H$990=0,"",[2]对账明细接口!$H$990),"")</f>
        <v/>
      </c>
      <c r="I990" s="16" t="str">
        <f>IFERROR(IF([2]对账明细接口!$I$990=0,"",[2]对账明细接口!$I$990),"")</f>
        <v/>
      </c>
      <c r="J990" s="18" t="str">
        <f>IFERROR(IF([2]对账明细接口!$J$990=0,"",[2]对账明细接口!$J$990),"")</f>
        <v/>
      </c>
      <c r="K990" s="18" t="str">
        <f>IFERROR(IF([2]对账明细接口!$K$990=0,"",[2]对账明细接口!$K$990),"")</f>
        <v/>
      </c>
      <c r="L990" s="16" t="str">
        <f>IFERROR(IF([2]对账明细接口!$L$990=0,"",[2]对账明细接口!$L$990),"")</f>
        <v/>
      </c>
      <c r="M990" s="16" t="str">
        <f>IFERROR(IF([2]对账明细接口!$M$990=0,"",[2]对账明细接口!$M$990),"")</f>
        <v/>
      </c>
      <c r="N990" s="19">
        <f t="shared" si="90"/>
        <v>0</v>
      </c>
      <c r="O990" s="19">
        <f t="shared" si="91"/>
        <v>165</v>
      </c>
      <c r="S990" s="20" t="str">
        <f>IFERROR(IF([2]对账明细接口!$N990=0,"",[2]对账明细接口!$N990),"")</f>
        <v/>
      </c>
      <c r="T990" s="21" t="str">
        <f>IFERROR(IF([2]对账明细接口!$O990=0,"",[2]对账明细接口!$O990),"")</f>
        <v/>
      </c>
      <c r="U990" s="21" t="str">
        <f>IFERROR(IF([2]对账明细接口!$P990=0,"",[2]对账明细接口!$P990),"")</f>
        <v/>
      </c>
      <c r="V990" s="21" t="str">
        <f>IFERROR(IF([2]对账明细接口!$Q990=0,"",[2]对账明细接口!$Q990),"")</f>
        <v/>
      </c>
      <c r="W990" s="20" t="str">
        <f>IFERROR(IF([2]对账明细接口!$R990=0,"",[2]对账明细接口!$R990),"")</f>
        <v/>
      </c>
      <c r="X990" s="20" t="str">
        <f>IFERROR(IF([2]对账明细接口!$S990=0,"",[2]对账明细接口!$S990),"")</f>
        <v/>
      </c>
      <c r="Y990" s="20" t="str">
        <f t="shared" si="92"/>
        <v/>
      </c>
      <c r="Z990" s="20" t="str">
        <f t="shared" si="93"/>
        <v/>
      </c>
      <c r="AA990" s="20" t="str">
        <f t="shared" si="94"/>
        <v/>
      </c>
      <c r="AB990" s="20" t="str">
        <f t="shared" si="95"/>
        <v/>
      </c>
    </row>
    <row r="991" customHeight="1" spans="1:28">
      <c r="A991" s="14">
        <v>991</v>
      </c>
      <c r="B991" s="15" t="str">
        <f>IFERROR(IF([2]对账明细接口!$B$991=0,"",[2]对账明细接口!$B$991),"")</f>
        <v/>
      </c>
      <c r="C991" s="16" t="str">
        <f>IFERROR(IF([2]对账明细接口!$C$991=0,"",[2]对账明细接口!$C$991),"")</f>
        <v/>
      </c>
      <c r="D991" s="16" t="str">
        <f>IFERROR(IF([2]对账明细接口!$D$991=0,"",[2]对账明细接口!$D$991),"")</f>
        <v/>
      </c>
      <c r="E991" s="16" t="str">
        <f>IFERROR(IF([2]对账明细接口!$E$991=0,"",[2]对账明细接口!$E$991),"")</f>
        <v/>
      </c>
      <c r="F991" s="16" t="str">
        <f>IFERROR(IF([2]对账明细接口!$F$991=0,"",[2]对账明细接口!$F$991),"")</f>
        <v/>
      </c>
      <c r="G991" s="16" t="str">
        <f>IFERROR(IF([2]对账明细接口!$G$991=0,"",[2]对账明细接口!$G$991),"")</f>
        <v/>
      </c>
      <c r="H991" s="17" t="str">
        <f>IFERROR(IF([2]对账明细接口!$H$991=0,"",[2]对账明细接口!$H$991),"")</f>
        <v/>
      </c>
      <c r="I991" s="16" t="str">
        <f>IFERROR(IF([2]对账明细接口!$I$991=0,"",[2]对账明细接口!$I$991),"")</f>
        <v/>
      </c>
      <c r="J991" s="18" t="str">
        <f>IFERROR(IF([2]对账明细接口!$J$991=0,"",[2]对账明细接口!$J$991),"")</f>
        <v/>
      </c>
      <c r="K991" s="18" t="str">
        <f>IFERROR(IF([2]对账明细接口!$K$991=0,"",[2]对账明细接口!$K$991),"")</f>
        <v/>
      </c>
      <c r="L991" s="16" t="str">
        <f>IFERROR(IF([2]对账明细接口!$L$991=0,"",[2]对账明细接口!$L$991),"")</f>
        <v/>
      </c>
      <c r="M991" s="16" t="str">
        <f>IFERROR(IF([2]对账明细接口!$M$991=0,"",[2]对账明细接口!$M$991),"")</f>
        <v/>
      </c>
      <c r="N991" s="19">
        <f t="shared" si="90"/>
        <v>0</v>
      </c>
      <c r="O991" s="19">
        <f t="shared" si="91"/>
        <v>165</v>
      </c>
      <c r="S991" s="20" t="str">
        <f>IFERROR(IF([2]对账明细接口!$N991=0,"",[2]对账明细接口!$N991),"")</f>
        <v/>
      </c>
      <c r="T991" s="21" t="str">
        <f>IFERROR(IF([2]对账明细接口!$O991=0,"",[2]对账明细接口!$O991),"")</f>
        <v/>
      </c>
      <c r="U991" s="21" t="str">
        <f>IFERROR(IF([2]对账明细接口!$P991=0,"",[2]对账明细接口!$P991),"")</f>
        <v/>
      </c>
      <c r="V991" s="21" t="str">
        <f>IFERROR(IF([2]对账明细接口!$Q991=0,"",[2]对账明细接口!$Q991),"")</f>
        <v/>
      </c>
      <c r="W991" s="20" t="str">
        <f>IFERROR(IF([2]对账明细接口!$R991=0,"",[2]对账明细接口!$R991),"")</f>
        <v/>
      </c>
      <c r="X991" s="20" t="str">
        <f>IFERROR(IF([2]对账明细接口!$S991=0,"",[2]对账明细接口!$S991),"")</f>
        <v/>
      </c>
      <c r="Y991" s="20" t="str">
        <f t="shared" si="92"/>
        <v/>
      </c>
      <c r="Z991" s="20" t="str">
        <f t="shared" si="93"/>
        <v/>
      </c>
      <c r="AA991" s="20" t="str">
        <f t="shared" si="94"/>
        <v/>
      </c>
      <c r="AB991" s="20" t="str">
        <f t="shared" si="95"/>
        <v/>
      </c>
    </row>
    <row r="992" customHeight="1" spans="1:28">
      <c r="A992" s="14">
        <v>992</v>
      </c>
      <c r="B992" s="15" t="str">
        <f>IFERROR(IF([2]对账明细接口!$B$992=0,"",[2]对账明细接口!$B$992),"")</f>
        <v/>
      </c>
      <c r="C992" s="16" t="str">
        <f>IFERROR(IF([2]对账明细接口!$C$992=0,"",[2]对账明细接口!$C$992),"")</f>
        <v/>
      </c>
      <c r="D992" s="16" t="str">
        <f>IFERROR(IF([2]对账明细接口!$D$992=0,"",[2]对账明细接口!$D$992),"")</f>
        <v/>
      </c>
      <c r="E992" s="16" t="str">
        <f>IFERROR(IF([2]对账明细接口!$E$992=0,"",[2]对账明细接口!$E$992),"")</f>
        <v/>
      </c>
      <c r="F992" s="16" t="str">
        <f>IFERROR(IF([2]对账明细接口!$F$992=0,"",[2]对账明细接口!$F$992),"")</f>
        <v/>
      </c>
      <c r="G992" s="16" t="str">
        <f>IFERROR(IF([2]对账明细接口!$G$992=0,"",[2]对账明细接口!$G$992),"")</f>
        <v/>
      </c>
      <c r="H992" s="17" t="str">
        <f>IFERROR(IF([2]对账明细接口!$H$992=0,"",[2]对账明细接口!$H$992),"")</f>
        <v/>
      </c>
      <c r="I992" s="16" t="str">
        <f>IFERROR(IF([2]对账明细接口!$I$992=0,"",[2]对账明细接口!$I$992),"")</f>
        <v/>
      </c>
      <c r="J992" s="18" t="str">
        <f>IFERROR(IF([2]对账明细接口!$J$992=0,"",[2]对账明细接口!$J$992),"")</f>
        <v/>
      </c>
      <c r="K992" s="18" t="str">
        <f>IFERROR(IF([2]对账明细接口!$K$992=0,"",[2]对账明细接口!$K$992),"")</f>
        <v/>
      </c>
      <c r="L992" s="16" t="str">
        <f>IFERROR(IF([2]对账明细接口!$L$992=0,"",[2]对账明细接口!$L$992),"")</f>
        <v/>
      </c>
      <c r="M992" s="16" t="str">
        <f>IFERROR(IF([2]对账明细接口!$M$992=0,"",[2]对账明细接口!$M$992),"")</f>
        <v/>
      </c>
      <c r="N992" s="19">
        <f t="shared" si="90"/>
        <v>0</v>
      </c>
      <c r="O992" s="19">
        <f t="shared" si="91"/>
        <v>165</v>
      </c>
      <c r="S992" s="20" t="str">
        <f>IFERROR(IF([2]对账明细接口!$N992=0,"",[2]对账明细接口!$N992),"")</f>
        <v/>
      </c>
      <c r="T992" s="21" t="str">
        <f>IFERROR(IF([2]对账明细接口!$O992=0,"",[2]对账明细接口!$O992),"")</f>
        <v/>
      </c>
      <c r="U992" s="21" t="str">
        <f>IFERROR(IF([2]对账明细接口!$P992=0,"",[2]对账明细接口!$P992),"")</f>
        <v/>
      </c>
      <c r="V992" s="21" t="str">
        <f>IFERROR(IF([2]对账明细接口!$Q992=0,"",[2]对账明细接口!$Q992),"")</f>
        <v/>
      </c>
      <c r="W992" s="20" t="str">
        <f>IFERROR(IF([2]对账明细接口!$R992=0,"",[2]对账明细接口!$R992),"")</f>
        <v/>
      </c>
      <c r="X992" s="20" t="str">
        <f>IFERROR(IF([2]对账明细接口!$S992=0,"",[2]对账明细接口!$S992),"")</f>
        <v/>
      </c>
      <c r="Y992" s="20" t="str">
        <f t="shared" si="92"/>
        <v/>
      </c>
      <c r="Z992" s="20" t="str">
        <f t="shared" si="93"/>
        <v/>
      </c>
      <c r="AA992" s="20" t="str">
        <f t="shared" si="94"/>
        <v/>
      </c>
      <c r="AB992" s="20" t="str">
        <f t="shared" si="95"/>
        <v/>
      </c>
    </row>
    <row r="993" customHeight="1" spans="1:28">
      <c r="A993" s="14">
        <v>993</v>
      </c>
      <c r="B993" s="15" t="str">
        <f>IFERROR(IF([2]对账明细接口!$B$993=0,"",[2]对账明细接口!$B$993),"")</f>
        <v/>
      </c>
      <c r="C993" s="16" t="str">
        <f>IFERROR(IF([2]对账明细接口!$C$993=0,"",[2]对账明细接口!$C$993),"")</f>
        <v/>
      </c>
      <c r="D993" s="16" t="str">
        <f>IFERROR(IF([2]对账明细接口!$D$993=0,"",[2]对账明细接口!$D$993),"")</f>
        <v/>
      </c>
      <c r="E993" s="16" t="str">
        <f>IFERROR(IF([2]对账明细接口!$E$993=0,"",[2]对账明细接口!$E$993),"")</f>
        <v/>
      </c>
      <c r="F993" s="16" t="str">
        <f>IFERROR(IF([2]对账明细接口!$F$993=0,"",[2]对账明细接口!$F$993),"")</f>
        <v/>
      </c>
      <c r="G993" s="16" t="str">
        <f>IFERROR(IF([2]对账明细接口!$G$993=0,"",[2]对账明细接口!$G$993),"")</f>
        <v/>
      </c>
      <c r="H993" s="17" t="str">
        <f>IFERROR(IF([2]对账明细接口!$H$993=0,"",[2]对账明细接口!$H$993),"")</f>
        <v/>
      </c>
      <c r="I993" s="16" t="str">
        <f>IFERROR(IF([2]对账明细接口!$I$993=0,"",[2]对账明细接口!$I$993),"")</f>
        <v/>
      </c>
      <c r="J993" s="18" t="str">
        <f>IFERROR(IF([2]对账明细接口!$J$993=0,"",[2]对账明细接口!$J$993),"")</f>
        <v/>
      </c>
      <c r="K993" s="18" t="str">
        <f>IFERROR(IF([2]对账明细接口!$K$993=0,"",[2]对账明细接口!$K$993),"")</f>
        <v/>
      </c>
      <c r="L993" s="16" t="str">
        <f>IFERROR(IF([2]对账明细接口!$L$993=0,"",[2]对账明细接口!$L$993),"")</f>
        <v/>
      </c>
      <c r="M993" s="16" t="str">
        <f>IFERROR(IF([2]对账明细接口!$M$993=0,"",[2]对账明细接口!$M$993),"")</f>
        <v/>
      </c>
      <c r="N993" s="19">
        <f t="shared" si="90"/>
        <v>0</v>
      </c>
      <c r="O993" s="19">
        <f t="shared" si="91"/>
        <v>165</v>
      </c>
      <c r="S993" s="20" t="str">
        <f>IFERROR(IF([2]对账明细接口!$N993=0,"",[2]对账明细接口!$N993),"")</f>
        <v/>
      </c>
      <c r="T993" s="21" t="str">
        <f>IFERROR(IF([2]对账明细接口!$O993=0,"",[2]对账明细接口!$O993),"")</f>
        <v/>
      </c>
      <c r="U993" s="21" t="str">
        <f>IFERROR(IF([2]对账明细接口!$P993=0,"",[2]对账明细接口!$P993),"")</f>
        <v/>
      </c>
      <c r="V993" s="21" t="str">
        <f>IFERROR(IF([2]对账明细接口!$Q993=0,"",[2]对账明细接口!$Q993),"")</f>
        <v/>
      </c>
      <c r="W993" s="20" t="str">
        <f>IFERROR(IF([2]对账明细接口!$R993=0,"",[2]对账明细接口!$R993),"")</f>
        <v/>
      </c>
      <c r="X993" s="20" t="str">
        <f>IFERROR(IF([2]对账明细接口!$S993=0,"",[2]对账明细接口!$S993),"")</f>
        <v/>
      </c>
      <c r="Y993" s="20" t="str">
        <f t="shared" si="92"/>
        <v/>
      </c>
      <c r="Z993" s="20" t="str">
        <f t="shared" si="93"/>
        <v/>
      </c>
      <c r="AA993" s="20" t="str">
        <f t="shared" si="94"/>
        <v/>
      </c>
      <c r="AB993" s="20" t="str">
        <f t="shared" si="95"/>
        <v/>
      </c>
    </row>
    <row r="994" customHeight="1" spans="1:28">
      <c r="A994" s="14">
        <v>994</v>
      </c>
      <c r="B994" s="15" t="str">
        <f>IFERROR(IF([2]对账明细接口!$B$994=0,"",[2]对账明细接口!$B$994),"")</f>
        <v/>
      </c>
      <c r="C994" s="16" t="str">
        <f>IFERROR(IF([2]对账明细接口!$C$994=0,"",[2]对账明细接口!$C$994),"")</f>
        <v/>
      </c>
      <c r="D994" s="16" t="str">
        <f>IFERROR(IF([2]对账明细接口!$D$994=0,"",[2]对账明细接口!$D$994),"")</f>
        <v/>
      </c>
      <c r="E994" s="16" t="str">
        <f>IFERROR(IF([2]对账明细接口!$E$994=0,"",[2]对账明细接口!$E$994),"")</f>
        <v/>
      </c>
      <c r="F994" s="16" t="str">
        <f>IFERROR(IF([2]对账明细接口!$F$994=0,"",[2]对账明细接口!$F$994),"")</f>
        <v/>
      </c>
      <c r="G994" s="16" t="str">
        <f>IFERROR(IF([2]对账明细接口!$G$994=0,"",[2]对账明细接口!$G$994),"")</f>
        <v/>
      </c>
      <c r="H994" s="17" t="str">
        <f>IFERROR(IF([2]对账明细接口!$H$994=0,"",[2]对账明细接口!$H$994),"")</f>
        <v/>
      </c>
      <c r="I994" s="16" t="str">
        <f>IFERROR(IF([2]对账明细接口!$I$994=0,"",[2]对账明细接口!$I$994),"")</f>
        <v/>
      </c>
      <c r="J994" s="18" t="str">
        <f>IFERROR(IF([2]对账明细接口!$J$994=0,"",[2]对账明细接口!$J$994),"")</f>
        <v/>
      </c>
      <c r="K994" s="18" t="str">
        <f>IFERROR(IF([2]对账明细接口!$K$994=0,"",[2]对账明细接口!$K$994),"")</f>
        <v/>
      </c>
      <c r="L994" s="16" t="str">
        <f>IFERROR(IF([2]对账明细接口!$L$994=0,"",[2]对账明细接口!$L$994),"")</f>
        <v/>
      </c>
      <c r="M994" s="16" t="str">
        <f>IFERROR(IF([2]对账明细接口!$M$994=0,"",[2]对账明细接口!$M$994),"")</f>
        <v/>
      </c>
      <c r="N994" s="19">
        <f t="shared" si="90"/>
        <v>0</v>
      </c>
      <c r="O994" s="19">
        <f t="shared" si="91"/>
        <v>165</v>
      </c>
      <c r="S994" s="20" t="str">
        <f>IFERROR(IF([2]对账明细接口!$N994=0,"",[2]对账明细接口!$N994),"")</f>
        <v/>
      </c>
      <c r="T994" s="21" t="str">
        <f>IFERROR(IF([2]对账明细接口!$O994=0,"",[2]对账明细接口!$O994),"")</f>
        <v/>
      </c>
      <c r="U994" s="21" t="str">
        <f>IFERROR(IF([2]对账明细接口!$P994=0,"",[2]对账明细接口!$P994),"")</f>
        <v/>
      </c>
      <c r="V994" s="21" t="str">
        <f>IFERROR(IF([2]对账明细接口!$Q994=0,"",[2]对账明细接口!$Q994),"")</f>
        <v/>
      </c>
      <c r="W994" s="20" t="str">
        <f>IFERROR(IF([2]对账明细接口!$R994=0,"",[2]对账明细接口!$R994),"")</f>
        <v/>
      </c>
      <c r="X994" s="20" t="str">
        <f>IFERROR(IF([2]对账明细接口!$S994=0,"",[2]对账明细接口!$S994),"")</f>
        <v/>
      </c>
      <c r="Y994" s="20" t="str">
        <f t="shared" si="92"/>
        <v/>
      </c>
      <c r="Z994" s="20" t="str">
        <f t="shared" si="93"/>
        <v/>
      </c>
      <c r="AA994" s="20" t="str">
        <f t="shared" si="94"/>
        <v/>
      </c>
      <c r="AB994" s="20" t="str">
        <f t="shared" si="95"/>
        <v/>
      </c>
    </row>
    <row r="995" customHeight="1" spans="1:28">
      <c r="A995" s="14">
        <v>995</v>
      </c>
      <c r="B995" s="15" t="str">
        <f>IFERROR(IF([2]对账明细接口!$B$995=0,"",[2]对账明细接口!$B$995),"")</f>
        <v/>
      </c>
      <c r="C995" s="16" t="str">
        <f>IFERROR(IF([2]对账明细接口!$C$995=0,"",[2]对账明细接口!$C$995),"")</f>
        <v/>
      </c>
      <c r="D995" s="16" t="str">
        <f>IFERROR(IF([2]对账明细接口!$D$995=0,"",[2]对账明细接口!$D$995),"")</f>
        <v/>
      </c>
      <c r="E995" s="16" t="str">
        <f>IFERROR(IF([2]对账明细接口!$E$995=0,"",[2]对账明细接口!$E$995),"")</f>
        <v/>
      </c>
      <c r="F995" s="16" t="str">
        <f>IFERROR(IF([2]对账明细接口!$F$995=0,"",[2]对账明细接口!$F$995),"")</f>
        <v/>
      </c>
      <c r="G995" s="16" t="str">
        <f>IFERROR(IF([2]对账明细接口!$G$995=0,"",[2]对账明细接口!$G$995),"")</f>
        <v/>
      </c>
      <c r="H995" s="17" t="str">
        <f>IFERROR(IF([2]对账明细接口!$H$995=0,"",[2]对账明细接口!$H$995),"")</f>
        <v/>
      </c>
      <c r="I995" s="16" t="str">
        <f>IFERROR(IF([2]对账明细接口!$I$995=0,"",[2]对账明细接口!$I$995),"")</f>
        <v/>
      </c>
      <c r="J995" s="18" t="str">
        <f>IFERROR(IF([2]对账明细接口!$J$995=0,"",[2]对账明细接口!$J$995),"")</f>
        <v/>
      </c>
      <c r="K995" s="18" t="str">
        <f>IFERROR(IF([2]对账明细接口!$K$995=0,"",[2]对账明细接口!$K$995),"")</f>
        <v/>
      </c>
      <c r="L995" s="16" t="str">
        <f>IFERROR(IF([2]对账明细接口!$L$995=0,"",[2]对账明细接口!$L$995),"")</f>
        <v/>
      </c>
      <c r="M995" s="16" t="str">
        <f>IFERROR(IF([2]对账明细接口!$M$995=0,"",[2]对账明细接口!$M$995),"")</f>
        <v/>
      </c>
      <c r="N995" s="19">
        <f t="shared" si="90"/>
        <v>0</v>
      </c>
      <c r="O995" s="19">
        <f t="shared" si="91"/>
        <v>165</v>
      </c>
      <c r="S995" s="20" t="str">
        <f>IFERROR(IF([2]对账明细接口!$N995=0,"",[2]对账明细接口!$N995),"")</f>
        <v/>
      </c>
      <c r="T995" s="21" t="str">
        <f>IFERROR(IF([2]对账明细接口!$O995=0,"",[2]对账明细接口!$O995),"")</f>
        <v/>
      </c>
      <c r="U995" s="21" t="str">
        <f>IFERROR(IF([2]对账明细接口!$P995=0,"",[2]对账明细接口!$P995),"")</f>
        <v/>
      </c>
      <c r="V995" s="21" t="str">
        <f>IFERROR(IF([2]对账明细接口!$Q995=0,"",[2]对账明细接口!$Q995),"")</f>
        <v/>
      </c>
      <c r="W995" s="20" t="str">
        <f>IFERROR(IF([2]对账明细接口!$R995=0,"",[2]对账明细接口!$R995),"")</f>
        <v/>
      </c>
      <c r="X995" s="20" t="str">
        <f>IFERROR(IF([2]对账明细接口!$S995=0,"",[2]对账明细接口!$S995),"")</f>
        <v/>
      </c>
      <c r="Y995" s="20" t="str">
        <f t="shared" si="92"/>
        <v/>
      </c>
      <c r="Z995" s="20" t="str">
        <f t="shared" si="93"/>
        <v/>
      </c>
      <c r="AA995" s="20" t="str">
        <f t="shared" si="94"/>
        <v/>
      </c>
      <c r="AB995" s="20" t="str">
        <f t="shared" si="95"/>
        <v/>
      </c>
    </row>
    <row r="996" customHeight="1" spans="1:28">
      <c r="A996" s="14">
        <v>996</v>
      </c>
      <c r="B996" s="15" t="str">
        <f>IFERROR(IF([2]对账明细接口!$B$996=0,"",[2]对账明细接口!$B$996),"")</f>
        <v/>
      </c>
      <c r="C996" s="16" t="str">
        <f>IFERROR(IF([2]对账明细接口!$C$996=0,"",[2]对账明细接口!$C$996),"")</f>
        <v/>
      </c>
      <c r="D996" s="16" t="str">
        <f>IFERROR(IF([2]对账明细接口!$D$996=0,"",[2]对账明细接口!$D$996),"")</f>
        <v/>
      </c>
      <c r="E996" s="16" t="str">
        <f>IFERROR(IF([2]对账明细接口!$E$996=0,"",[2]对账明细接口!$E$996),"")</f>
        <v/>
      </c>
      <c r="F996" s="16" t="str">
        <f>IFERROR(IF([2]对账明细接口!$F$996=0,"",[2]对账明细接口!$F$996),"")</f>
        <v/>
      </c>
      <c r="G996" s="16" t="str">
        <f>IFERROR(IF([2]对账明细接口!$G$996=0,"",[2]对账明细接口!$G$996),"")</f>
        <v/>
      </c>
      <c r="H996" s="17" t="str">
        <f>IFERROR(IF([2]对账明细接口!$H$996=0,"",[2]对账明细接口!$H$996),"")</f>
        <v/>
      </c>
      <c r="I996" s="16" t="str">
        <f>IFERROR(IF([2]对账明细接口!$I$996=0,"",[2]对账明细接口!$I$996),"")</f>
        <v/>
      </c>
      <c r="J996" s="18" t="str">
        <f>IFERROR(IF([2]对账明细接口!$J$996=0,"",[2]对账明细接口!$J$996),"")</f>
        <v/>
      </c>
      <c r="K996" s="18" t="str">
        <f>IFERROR(IF([2]对账明细接口!$K$996=0,"",[2]对账明细接口!$K$996),"")</f>
        <v/>
      </c>
      <c r="L996" s="16" t="str">
        <f>IFERROR(IF([2]对账明细接口!$L$996=0,"",[2]对账明细接口!$L$996),"")</f>
        <v/>
      </c>
      <c r="M996" s="16" t="str">
        <f>IFERROR(IF([2]对账明细接口!$M$996=0,"",[2]对账明细接口!$M$996),"")</f>
        <v/>
      </c>
      <c r="N996" s="19">
        <f t="shared" si="90"/>
        <v>0</v>
      </c>
      <c r="O996" s="19">
        <f t="shared" si="91"/>
        <v>165</v>
      </c>
      <c r="S996" s="20" t="str">
        <f>IFERROR(IF([2]对账明细接口!$N996=0,"",[2]对账明细接口!$N996),"")</f>
        <v/>
      </c>
      <c r="T996" s="21" t="str">
        <f>IFERROR(IF([2]对账明细接口!$O996=0,"",[2]对账明细接口!$O996),"")</f>
        <v/>
      </c>
      <c r="U996" s="21" t="str">
        <f>IFERROR(IF([2]对账明细接口!$P996=0,"",[2]对账明细接口!$P996),"")</f>
        <v/>
      </c>
      <c r="V996" s="21" t="str">
        <f>IFERROR(IF([2]对账明细接口!$Q996=0,"",[2]对账明细接口!$Q996),"")</f>
        <v/>
      </c>
      <c r="W996" s="20" t="str">
        <f>IFERROR(IF([2]对账明细接口!$R996=0,"",[2]对账明细接口!$R996),"")</f>
        <v/>
      </c>
      <c r="X996" s="20" t="str">
        <f>IFERROR(IF([2]对账明细接口!$S996=0,"",[2]对账明细接口!$S996),"")</f>
        <v/>
      </c>
      <c r="Y996" s="20" t="str">
        <f t="shared" si="92"/>
        <v/>
      </c>
      <c r="Z996" s="20" t="str">
        <f t="shared" si="93"/>
        <v/>
      </c>
      <c r="AA996" s="20" t="str">
        <f t="shared" si="94"/>
        <v/>
      </c>
      <c r="AB996" s="20" t="str">
        <f t="shared" si="95"/>
        <v/>
      </c>
    </row>
    <row r="997" customHeight="1" spans="1:28">
      <c r="A997" s="14">
        <v>997</v>
      </c>
      <c r="B997" s="15" t="str">
        <f>IFERROR(IF([2]对账明细接口!$B$997=0,"",[2]对账明细接口!$B$997),"")</f>
        <v/>
      </c>
      <c r="C997" s="16" t="str">
        <f>IFERROR(IF([2]对账明细接口!$C$997=0,"",[2]对账明细接口!$C$997),"")</f>
        <v/>
      </c>
      <c r="D997" s="16" t="str">
        <f>IFERROR(IF([2]对账明细接口!$D$997=0,"",[2]对账明细接口!$D$997),"")</f>
        <v/>
      </c>
      <c r="E997" s="16" t="str">
        <f>IFERROR(IF([2]对账明细接口!$E$997=0,"",[2]对账明细接口!$E$997),"")</f>
        <v/>
      </c>
      <c r="F997" s="16" t="str">
        <f>IFERROR(IF([2]对账明细接口!$F$997=0,"",[2]对账明细接口!$F$997),"")</f>
        <v/>
      </c>
      <c r="G997" s="16" t="str">
        <f>IFERROR(IF([2]对账明细接口!$G$997=0,"",[2]对账明细接口!$G$997),"")</f>
        <v/>
      </c>
      <c r="H997" s="17" t="str">
        <f>IFERROR(IF([2]对账明细接口!$H$997=0,"",[2]对账明细接口!$H$997),"")</f>
        <v/>
      </c>
      <c r="I997" s="16" t="str">
        <f>IFERROR(IF([2]对账明细接口!$I$997=0,"",[2]对账明细接口!$I$997),"")</f>
        <v/>
      </c>
      <c r="J997" s="18" t="str">
        <f>IFERROR(IF([2]对账明细接口!$J$997=0,"",[2]对账明细接口!$J$997),"")</f>
        <v/>
      </c>
      <c r="K997" s="18" t="str">
        <f>IFERROR(IF([2]对账明细接口!$K$997=0,"",[2]对账明细接口!$K$997),"")</f>
        <v/>
      </c>
      <c r="L997" s="16" t="str">
        <f>IFERROR(IF([2]对账明细接口!$L$997=0,"",[2]对账明细接口!$L$997),"")</f>
        <v/>
      </c>
      <c r="M997" s="16" t="str">
        <f>IFERROR(IF([2]对账明细接口!$M$997=0,"",[2]对账明细接口!$M$997),"")</f>
        <v/>
      </c>
      <c r="N997" s="19">
        <f t="shared" si="90"/>
        <v>0</v>
      </c>
      <c r="O997" s="19">
        <f t="shared" si="91"/>
        <v>165</v>
      </c>
      <c r="S997" s="20" t="str">
        <f>IFERROR(IF([2]对账明细接口!$N997=0,"",[2]对账明细接口!$N997),"")</f>
        <v/>
      </c>
      <c r="T997" s="21" t="str">
        <f>IFERROR(IF([2]对账明细接口!$O997=0,"",[2]对账明细接口!$O997),"")</f>
        <v/>
      </c>
      <c r="U997" s="21" t="str">
        <f>IFERROR(IF([2]对账明细接口!$P997=0,"",[2]对账明细接口!$P997),"")</f>
        <v/>
      </c>
      <c r="V997" s="21" t="str">
        <f>IFERROR(IF([2]对账明细接口!$Q997=0,"",[2]对账明细接口!$Q997),"")</f>
        <v/>
      </c>
      <c r="W997" s="20" t="str">
        <f>IFERROR(IF([2]对账明细接口!$R997=0,"",[2]对账明细接口!$R997),"")</f>
        <v/>
      </c>
      <c r="X997" s="20" t="str">
        <f>IFERROR(IF([2]对账明细接口!$S997=0,"",[2]对账明细接口!$S997),"")</f>
        <v/>
      </c>
      <c r="Y997" s="20" t="str">
        <f t="shared" si="92"/>
        <v/>
      </c>
      <c r="Z997" s="20" t="str">
        <f t="shared" si="93"/>
        <v/>
      </c>
      <c r="AA997" s="20" t="str">
        <f t="shared" si="94"/>
        <v/>
      </c>
      <c r="AB997" s="20" t="str">
        <f t="shared" si="95"/>
        <v/>
      </c>
    </row>
    <row r="998" customHeight="1" spans="1:28">
      <c r="A998" s="14">
        <v>998</v>
      </c>
      <c r="B998" s="15" t="str">
        <f>IFERROR(IF([2]对账明细接口!$B$998=0,"",[2]对账明细接口!$B$998),"")</f>
        <v/>
      </c>
      <c r="C998" s="16" t="str">
        <f>IFERROR(IF([2]对账明细接口!$C$998=0,"",[2]对账明细接口!$C$998),"")</f>
        <v/>
      </c>
      <c r="D998" s="16" t="str">
        <f>IFERROR(IF([2]对账明细接口!$D$998=0,"",[2]对账明细接口!$D$998),"")</f>
        <v/>
      </c>
      <c r="E998" s="16" t="str">
        <f>IFERROR(IF([2]对账明细接口!$E$998=0,"",[2]对账明细接口!$E$998),"")</f>
        <v/>
      </c>
      <c r="F998" s="16" t="str">
        <f>IFERROR(IF([2]对账明细接口!$F$998=0,"",[2]对账明细接口!$F$998),"")</f>
        <v/>
      </c>
      <c r="G998" s="16" t="str">
        <f>IFERROR(IF([2]对账明细接口!$G$998=0,"",[2]对账明细接口!$G$998),"")</f>
        <v/>
      </c>
      <c r="H998" s="17" t="str">
        <f>IFERROR(IF([2]对账明细接口!$H$998=0,"",[2]对账明细接口!$H$998),"")</f>
        <v/>
      </c>
      <c r="I998" s="16" t="str">
        <f>IFERROR(IF([2]对账明细接口!$I$998=0,"",[2]对账明细接口!$I$998),"")</f>
        <v/>
      </c>
      <c r="J998" s="18" t="str">
        <f>IFERROR(IF([2]对账明细接口!$J$998=0,"",[2]对账明细接口!$J$998),"")</f>
        <v/>
      </c>
      <c r="K998" s="18" t="str">
        <f>IFERROR(IF([2]对账明细接口!$K$998=0,"",[2]对账明细接口!$K$998),"")</f>
        <v/>
      </c>
      <c r="L998" s="16" t="str">
        <f>IFERROR(IF([2]对账明细接口!$L$998=0,"",[2]对账明细接口!$L$998),"")</f>
        <v/>
      </c>
      <c r="M998" s="16" t="str">
        <f>IFERROR(IF([2]对账明细接口!$M$998=0,"",[2]对账明细接口!$M$998),"")</f>
        <v/>
      </c>
      <c r="N998" s="19">
        <f t="shared" si="90"/>
        <v>0</v>
      </c>
      <c r="O998" s="19">
        <f t="shared" si="91"/>
        <v>165</v>
      </c>
      <c r="S998" s="20" t="str">
        <f>IFERROR(IF([2]对账明细接口!$N998=0,"",[2]对账明细接口!$N998),"")</f>
        <v/>
      </c>
      <c r="T998" s="21" t="str">
        <f>IFERROR(IF([2]对账明细接口!$O998=0,"",[2]对账明细接口!$O998),"")</f>
        <v/>
      </c>
      <c r="U998" s="21" t="str">
        <f>IFERROR(IF([2]对账明细接口!$P998=0,"",[2]对账明细接口!$P998),"")</f>
        <v/>
      </c>
      <c r="V998" s="21" t="str">
        <f>IFERROR(IF([2]对账明细接口!$Q998=0,"",[2]对账明细接口!$Q998),"")</f>
        <v/>
      </c>
      <c r="W998" s="20" t="str">
        <f>IFERROR(IF([2]对账明细接口!$R998=0,"",[2]对账明细接口!$R998),"")</f>
        <v/>
      </c>
      <c r="X998" s="20" t="str">
        <f>IFERROR(IF([2]对账明细接口!$S998=0,"",[2]对账明细接口!$S998),"")</f>
        <v/>
      </c>
      <c r="Y998" s="20" t="str">
        <f t="shared" si="92"/>
        <v/>
      </c>
      <c r="Z998" s="20" t="str">
        <f t="shared" si="93"/>
        <v/>
      </c>
      <c r="AA998" s="20" t="str">
        <f t="shared" si="94"/>
        <v/>
      </c>
      <c r="AB998" s="20" t="str">
        <f t="shared" si="95"/>
        <v/>
      </c>
    </row>
    <row r="999" customHeight="1" spans="1:28">
      <c r="A999" s="14">
        <v>999</v>
      </c>
      <c r="B999" s="15" t="str">
        <f>IFERROR(IF([2]对账明细接口!$B$999=0,"",[2]对账明细接口!$B$999),"")</f>
        <v/>
      </c>
      <c r="C999" s="16" t="str">
        <f>IFERROR(IF([2]对账明细接口!$C$999=0,"",[2]对账明细接口!$C$999),"")</f>
        <v/>
      </c>
      <c r="D999" s="16" t="str">
        <f>IFERROR(IF([2]对账明细接口!$D$999=0,"",[2]对账明细接口!$D$999),"")</f>
        <v/>
      </c>
      <c r="E999" s="16" t="str">
        <f>IFERROR(IF([2]对账明细接口!$E$999=0,"",[2]对账明细接口!$E$999),"")</f>
        <v/>
      </c>
      <c r="F999" s="16" t="str">
        <f>IFERROR(IF([2]对账明细接口!$F$999=0,"",[2]对账明细接口!$F$999),"")</f>
        <v/>
      </c>
      <c r="G999" s="16" t="str">
        <f>IFERROR(IF([2]对账明细接口!$G$999=0,"",[2]对账明细接口!$G$999),"")</f>
        <v/>
      </c>
      <c r="H999" s="17" t="str">
        <f>IFERROR(IF([2]对账明细接口!$H$999=0,"",[2]对账明细接口!$H$999),"")</f>
        <v/>
      </c>
      <c r="I999" s="16" t="str">
        <f>IFERROR(IF([2]对账明细接口!$I$999=0,"",[2]对账明细接口!$I$999),"")</f>
        <v/>
      </c>
      <c r="J999" s="18" t="str">
        <f>IFERROR(IF([2]对账明细接口!$J$999=0,"",[2]对账明细接口!$J$999),"")</f>
        <v/>
      </c>
      <c r="K999" s="18" t="str">
        <f>IFERROR(IF([2]对账明细接口!$K$999=0,"",[2]对账明细接口!$K$999),"")</f>
        <v/>
      </c>
      <c r="L999" s="16" t="str">
        <f>IFERROR(IF([2]对账明细接口!$L$999=0,"",[2]对账明细接口!$L$999),"")</f>
        <v/>
      </c>
      <c r="M999" s="16" t="str">
        <f>IFERROR(IF([2]对账明细接口!$M$999=0,"",[2]对账明细接口!$M$999),"")</f>
        <v/>
      </c>
      <c r="N999" s="19">
        <f t="shared" si="90"/>
        <v>0</v>
      </c>
      <c r="O999" s="19">
        <f t="shared" si="91"/>
        <v>165</v>
      </c>
      <c r="S999" s="20" t="str">
        <f>IFERROR(IF([2]对账明细接口!$N999=0,"",[2]对账明细接口!$N999),"")</f>
        <v/>
      </c>
      <c r="T999" s="21" t="str">
        <f>IFERROR(IF([2]对账明细接口!$O999=0,"",[2]对账明细接口!$O999),"")</f>
        <v/>
      </c>
      <c r="U999" s="21" t="str">
        <f>IFERROR(IF([2]对账明细接口!$P999=0,"",[2]对账明细接口!$P999),"")</f>
        <v/>
      </c>
      <c r="V999" s="21" t="str">
        <f>IFERROR(IF([2]对账明细接口!$Q999=0,"",[2]对账明细接口!$Q999),"")</f>
        <v/>
      </c>
      <c r="W999" s="20" t="str">
        <f>IFERROR(IF([2]对账明细接口!$R999=0,"",[2]对账明细接口!$R999),"")</f>
        <v/>
      </c>
      <c r="X999" s="20" t="str">
        <f>IFERROR(IF([2]对账明细接口!$S999=0,"",[2]对账明细接口!$S999),"")</f>
        <v/>
      </c>
      <c r="Y999" s="20" t="str">
        <f t="shared" si="92"/>
        <v/>
      </c>
      <c r="Z999" s="20" t="str">
        <f t="shared" si="93"/>
        <v/>
      </c>
      <c r="AA999" s="20" t="str">
        <f t="shared" si="94"/>
        <v/>
      </c>
      <c r="AB999" s="20" t="str">
        <f t="shared" si="95"/>
        <v/>
      </c>
    </row>
    <row r="1000" customHeight="1" spans="1:28">
      <c r="A1000" s="14">
        <v>1000</v>
      </c>
      <c r="B1000" s="15" t="str">
        <f>IFERROR(IF([2]对账明细接口!$B$1000=0,"",[2]对账明细接口!$B$1000),"")</f>
        <v/>
      </c>
      <c r="C1000" s="16" t="str">
        <f>IFERROR(IF([2]对账明细接口!$C$1000=0,"",[2]对账明细接口!$C$1000),"")</f>
        <v/>
      </c>
      <c r="D1000" s="16" t="str">
        <f>IFERROR(IF([2]对账明细接口!$D$1000=0,"",[2]对账明细接口!$D$1000),"")</f>
        <v/>
      </c>
      <c r="E1000" s="16" t="str">
        <f>IFERROR(IF([2]对账明细接口!$E$1000=0,"",[2]对账明细接口!$E$1000),"")</f>
        <v/>
      </c>
      <c r="F1000" s="16" t="str">
        <f>IFERROR(IF([2]对账明细接口!$F$1000=0,"",[2]对账明细接口!$F$1000),"")</f>
        <v/>
      </c>
      <c r="G1000" s="16" t="str">
        <f>IFERROR(IF([2]对账明细接口!$G$1000=0,"",[2]对账明细接口!$G$1000),"")</f>
        <v/>
      </c>
      <c r="H1000" s="17" t="str">
        <f>IFERROR(IF([2]对账明细接口!$H$1000=0,"",[2]对账明细接口!$H$1000),"")</f>
        <v/>
      </c>
      <c r="I1000" s="16" t="str">
        <f>IFERROR(IF([2]对账明细接口!$I$1000=0,"",[2]对账明细接口!$I$1000),"")</f>
        <v/>
      </c>
      <c r="J1000" s="18" t="str">
        <f>IFERROR(IF([2]对账明细接口!$J$1000=0,"",[2]对账明细接口!$J$1000),"")</f>
        <v/>
      </c>
      <c r="K1000" s="18" t="str">
        <f>IFERROR(IF([2]对账明细接口!$K$1000=0,"",[2]对账明细接口!$K$1000),"")</f>
        <v/>
      </c>
      <c r="L1000" s="16" t="str">
        <f>IFERROR(IF([2]对账明细接口!$L$1000=0,"",[2]对账明细接口!$L$1000),"")</f>
        <v/>
      </c>
      <c r="M1000" s="16" t="str">
        <f>IFERROR(IF([2]对账明细接口!$M$1000=0,"",[2]对账明细接口!$M$1000),"")</f>
        <v/>
      </c>
      <c r="N1000" s="19">
        <f t="shared" si="90"/>
        <v>0</v>
      </c>
      <c r="O1000" s="19">
        <f t="shared" si="91"/>
        <v>165</v>
      </c>
      <c r="S1000" s="20" t="str">
        <f>IFERROR(IF([2]对账明细接口!$N1000=0,"",[2]对账明细接口!$N1000),"")</f>
        <v/>
      </c>
      <c r="T1000" s="21" t="str">
        <f>IFERROR(IF([2]对账明细接口!$O1000=0,"",[2]对账明细接口!$O1000),"")</f>
        <v/>
      </c>
      <c r="U1000" s="21" t="str">
        <f>IFERROR(IF([2]对账明细接口!$P1000=0,"",[2]对账明细接口!$P1000),"")</f>
        <v/>
      </c>
      <c r="V1000" s="21" t="str">
        <f>IFERROR(IF([2]对账明细接口!$Q1000=0,"",[2]对账明细接口!$Q1000),"")</f>
        <v/>
      </c>
      <c r="W1000" s="20" t="str">
        <f>IFERROR(IF([2]对账明细接口!$R1000=0,"",[2]对账明细接口!$R1000),"")</f>
        <v/>
      </c>
      <c r="X1000" s="20" t="str">
        <f>IFERROR(IF([2]对账明细接口!$S1000=0,"",[2]对账明细接口!$S1000),"")</f>
        <v/>
      </c>
      <c r="Y1000" s="20" t="str">
        <f t="shared" si="92"/>
        <v/>
      </c>
      <c r="Z1000" s="20" t="str">
        <f t="shared" si="93"/>
        <v/>
      </c>
      <c r="AA1000" s="20" t="str">
        <f t="shared" si="94"/>
        <v/>
      </c>
      <c r="AB1000" s="20" t="str">
        <f t="shared" si="95"/>
        <v/>
      </c>
    </row>
    <row r="1001" customHeight="1" spans="1:28">
      <c r="A1001" s="14">
        <v>1001</v>
      </c>
      <c r="B1001" s="15" t="str">
        <f>IFERROR(IF([2]对账明细接口!$B$1001=0,"",[2]对账明细接口!$B$1001),"")</f>
        <v/>
      </c>
      <c r="C1001" s="16" t="str">
        <f>IFERROR(IF([2]对账明细接口!$C$1001=0,"",[2]对账明细接口!$C$1001),"")</f>
        <v/>
      </c>
      <c r="D1001" s="16" t="str">
        <f>IFERROR(IF([2]对账明细接口!$D$1001=0,"",[2]对账明细接口!$D$1001),"")</f>
        <v/>
      </c>
      <c r="E1001" s="16" t="str">
        <f>IFERROR(IF([2]对账明细接口!$E$1001=0,"",[2]对账明细接口!$E$1001),"")</f>
        <v/>
      </c>
      <c r="F1001" s="16" t="str">
        <f>IFERROR(IF([2]对账明细接口!$F$1001=0,"",[2]对账明细接口!$F$1001),"")</f>
        <v/>
      </c>
      <c r="G1001" s="16" t="str">
        <f>IFERROR(IF([2]对账明细接口!$G$1001=0,"",[2]对账明细接口!$G$1001),"")</f>
        <v/>
      </c>
      <c r="H1001" s="17" t="str">
        <f>IFERROR(IF([2]对账明细接口!$H$1001=0,"",[2]对账明细接口!$H$1001),"")</f>
        <v/>
      </c>
      <c r="I1001" s="16" t="str">
        <f>IFERROR(IF([2]对账明细接口!$I$1001=0,"",[2]对账明细接口!$I$1001),"")</f>
        <v/>
      </c>
      <c r="J1001" s="18" t="str">
        <f>IFERROR(IF([2]对账明细接口!$J$1001=0,"",[2]对账明细接口!$J$1001),"")</f>
        <v/>
      </c>
      <c r="K1001" s="18" t="str">
        <f>IFERROR(IF([2]对账明细接口!$K$1001=0,"",[2]对账明细接口!$K$1001),"")</f>
        <v/>
      </c>
      <c r="L1001" s="16" t="str">
        <f>IFERROR(IF([2]对账明细接口!$L$1001=0,"",[2]对账明细接口!$L$1001),"")</f>
        <v/>
      </c>
      <c r="M1001" s="16" t="str">
        <f>IFERROR(IF([2]对账明细接口!$M$1001=0,"",[2]对账明细接口!$M$1001),"")</f>
        <v/>
      </c>
      <c r="N1001" s="19">
        <f t="shared" si="90"/>
        <v>0</v>
      </c>
      <c r="O1001" s="19">
        <f t="shared" si="91"/>
        <v>165</v>
      </c>
      <c r="S1001" s="20" t="str">
        <f>IFERROR(IF([2]对账明细接口!$N1001=0,"",[2]对账明细接口!$N1001),"")</f>
        <v/>
      </c>
      <c r="T1001" s="21" t="str">
        <f>IFERROR(IF([2]对账明细接口!$O1001=0,"",[2]对账明细接口!$O1001),"")</f>
        <v/>
      </c>
      <c r="U1001" s="21" t="str">
        <f>IFERROR(IF([2]对账明细接口!$P1001=0,"",[2]对账明细接口!$P1001),"")</f>
        <v/>
      </c>
      <c r="V1001" s="21" t="str">
        <f>IFERROR(IF([2]对账明细接口!$Q1001=0,"",[2]对账明细接口!$Q1001),"")</f>
        <v/>
      </c>
      <c r="W1001" s="20" t="str">
        <f>IFERROR(IF([2]对账明细接口!$R1001=0,"",[2]对账明细接口!$R1001),"")</f>
        <v/>
      </c>
      <c r="X1001" s="20" t="str">
        <f>IFERROR(IF([2]对账明细接口!$S1001=0,"",[2]对账明细接口!$S1001),"")</f>
        <v/>
      </c>
      <c r="Y1001" s="20" t="str">
        <f t="shared" si="92"/>
        <v/>
      </c>
      <c r="Z1001" s="20" t="str">
        <f t="shared" si="93"/>
        <v/>
      </c>
      <c r="AA1001" s="20" t="str">
        <f t="shared" si="94"/>
        <v/>
      </c>
      <c r="AB1001" s="20" t="str">
        <f t="shared" si="95"/>
        <v/>
      </c>
    </row>
    <row r="1002" customHeight="1" spans="1:28">
      <c r="A1002" s="14">
        <v>1002</v>
      </c>
      <c r="B1002" s="15" t="str">
        <f>IFERROR(IF([2]对账明细接口!$B$1002=0,"",[2]对账明细接口!$B$1002),"")</f>
        <v/>
      </c>
      <c r="C1002" s="16" t="str">
        <f>IFERROR(IF([2]对账明细接口!$C$1002=0,"",[2]对账明细接口!$C$1002),"")</f>
        <v/>
      </c>
      <c r="D1002" s="16" t="str">
        <f>IFERROR(IF([2]对账明细接口!$D$1002=0,"",[2]对账明细接口!$D$1002),"")</f>
        <v/>
      </c>
      <c r="E1002" s="16" t="str">
        <f>IFERROR(IF([2]对账明细接口!$E$1002=0,"",[2]对账明细接口!$E$1002),"")</f>
        <v/>
      </c>
      <c r="F1002" s="16" t="str">
        <f>IFERROR(IF([2]对账明细接口!$F$1002=0,"",[2]对账明细接口!$F$1002),"")</f>
        <v/>
      </c>
      <c r="G1002" s="16" t="str">
        <f>IFERROR(IF([2]对账明细接口!$G$1002=0,"",[2]对账明细接口!$G$1002),"")</f>
        <v/>
      </c>
      <c r="H1002" s="17" t="str">
        <f>IFERROR(IF([2]对账明细接口!$H$1002=0,"",[2]对账明细接口!$H$1002),"")</f>
        <v/>
      </c>
      <c r="I1002" s="16" t="str">
        <f>IFERROR(IF([2]对账明细接口!$I$1002=0,"",[2]对账明细接口!$I$1002),"")</f>
        <v/>
      </c>
      <c r="J1002" s="18" t="str">
        <f>IFERROR(IF([2]对账明细接口!$J$1002=0,"",[2]对账明细接口!$J$1002),"")</f>
        <v/>
      </c>
      <c r="K1002" s="18" t="str">
        <f>IFERROR(IF([2]对账明细接口!$K$1002=0,"",[2]对账明细接口!$K$1002),"")</f>
        <v/>
      </c>
      <c r="L1002" s="16" t="str">
        <f>IFERROR(IF([2]对账明细接口!$L$1002=0,"",[2]对账明细接口!$L$1002),"")</f>
        <v/>
      </c>
      <c r="M1002" s="16" t="str">
        <f>IFERROR(IF([2]对账明细接口!$M$1002=0,"",[2]对账明细接口!$M$1002),"")</f>
        <v/>
      </c>
      <c r="N1002" s="19">
        <f t="shared" si="90"/>
        <v>0</v>
      </c>
      <c r="O1002" s="19">
        <f t="shared" si="91"/>
        <v>165</v>
      </c>
      <c r="S1002" s="20" t="str">
        <f>IFERROR(IF([2]对账明细接口!$N1002=0,"",[2]对账明细接口!$N1002),"")</f>
        <v/>
      </c>
      <c r="T1002" s="21" t="str">
        <f>IFERROR(IF([2]对账明细接口!$O1002=0,"",[2]对账明细接口!$O1002),"")</f>
        <v/>
      </c>
      <c r="U1002" s="21" t="str">
        <f>IFERROR(IF([2]对账明细接口!$P1002=0,"",[2]对账明细接口!$P1002),"")</f>
        <v/>
      </c>
      <c r="V1002" s="21" t="str">
        <f>IFERROR(IF([2]对账明细接口!$Q1002=0,"",[2]对账明细接口!$Q1002),"")</f>
        <v/>
      </c>
      <c r="W1002" s="20" t="str">
        <f>IFERROR(IF([2]对账明细接口!$R1002=0,"",[2]对账明细接口!$R1002),"")</f>
        <v/>
      </c>
      <c r="X1002" s="20" t="str">
        <f>IFERROR(IF([2]对账明细接口!$S1002=0,"",[2]对账明细接口!$S1002),"")</f>
        <v/>
      </c>
      <c r="Y1002" s="20" t="str">
        <f t="shared" si="92"/>
        <v/>
      </c>
      <c r="Z1002" s="20" t="str">
        <f t="shared" si="93"/>
        <v/>
      </c>
      <c r="AA1002" s="20" t="str">
        <f t="shared" si="94"/>
        <v/>
      </c>
      <c r="AB1002" s="20" t="str">
        <f t="shared" si="95"/>
        <v/>
      </c>
    </row>
    <row r="1003" customHeight="1" spans="1:28">
      <c r="A1003" s="14">
        <v>1003</v>
      </c>
      <c r="B1003" s="15" t="str">
        <f>IFERROR(IF([2]对账明细接口!$B$1003=0,"",[2]对账明细接口!$B$1003),"")</f>
        <v/>
      </c>
      <c r="C1003" s="16" t="str">
        <f>IFERROR(IF([2]对账明细接口!$C$1003=0,"",[2]对账明细接口!$C$1003),"")</f>
        <v/>
      </c>
      <c r="D1003" s="16" t="str">
        <f>IFERROR(IF([2]对账明细接口!$D$1003=0,"",[2]对账明细接口!$D$1003),"")</f>
        <v/>
      </c>
      <c r="E1003" s="16" t="str">
        <f>IFERROR(IF([2]对账明细接口!$E$1003=0,"",[2]对账明细接口!$E$1003),"")</f>
        <v/>
      </c>
      <c r="F1003" s="16" t="str">
        <f>IFERROR(IF([2]对账明细接口!$F$1003=0,"",[2]对账明细接口!$F$1003),"")</f>
        <v/>
      </c>
      <c r="G1003" s="16" t="str">
        <f>IFERROR(IF([2]对账明细接口!$G$1003=0,"",[2]对账明细接口!$G$1003),"")</f>
        <v/>
      </c>
      <c r="H1003" s="17" t="str">
        <f>IFERROR(IF([2]对账明细接口!$H$1003=0,"",[2]对账明细接口!$H$1003),"")</f>
        <v/>
      </c>
      <c r="I1003" s="16" t="str">
        <f>IFERROR(IF([2]对账明细接口!$I$1003=0,"",[2]对账明细接口!$I$1003),"")</f>
        <v/>
      </c>
      <c r="J1003" s="18" t="str">
        <f>IFERROR(IF([2]对账明细接口!$J$1003=0,"",[2]对账明细接口!$J$1003),"")</f>
        <v/>
      </c>
      <c r="K1003" s="18" t="str">
        <f>IFERROR(IF([2]对账明细接口!$K$1003=0,"",[2]对账明细接口!$K$1003),"")</f>
        <v/>
      </c>
      <c r="L1003" s="16" t="str">
        <f>IFERROR(IF([2]对账明细接口!$L$1003=0,"",[2]对账明细接口!$L$1003),"")</f>
        <v/>
      </c>
      <c r="M1003" s="16" t="str">
        <f>IFERROR(IF([2]对账明细接口!$M$1003=0,"",[2]对账明细接口!$M$1003),"")</f>
        <v/>
      </c>
      <c r="N1003" s="19">
        <f t="shared" si="90"/>
        <v>0</v>
      </c>
      <c r="O1003" s="19">
        <f t="shared" si="91"/>
        <v>165</v>
      </c>
      <c r="S1003" s="20" t="str">
        <f>IFERROR(IF([2]对账明细接口!$N1003=0,"",[2]对账明细接口!$N1003),"")</f>
        <v/>
      </c>
      <c r="T1003" s="21" t="str">
        <f>IFERROR(IF([2]对账明细接口!$O1003=0,"",[2]对账明细接口!$O1003),"")</f>
        <v/>
      </c>
      <c r="U1003" s="21" t="str">
        <f>IFERROR(IF([2]对账明细接口!$P1003=0,"",[2]对账明细接口!$P1003),"")</f>
        <v/>
      </c>
      <c r="V1003" s="21" t="str">
        <f>IFERROR(IF([2]对账明细接口!$Q1003=0,"",[2]对账明细接口!$Q1003),"")</f>
        <v/>
      </c>
      <c r="W1003" s="20" t="str">
        <f>IFERROR(IF([2]对账明细接口!$R1003=0,"",[2]对账明细接口!$R1003),"")</f>
        <v/>
      </c>
      <c r="X1003" s="20" t="str">
        <f>IFERROR(IF([2]对账明细接口!$S1003=0,"",[2]对账明细接口!$S1003),"")</f>
        <v/>
      </c>
      <c r="Y1003" s="20" t="str">
        <f t="shared" si="92"/>
        <v/>
      </c>
      <c r="Z1003" s="20" t="str">
        <f t="shared" si="93"/>
        <v/>
      </c>
      <c r="AA1003" s="20" t="str">
        <f t="shared" si="94"/>
        <v/>
      </c>
      <c r="AB1003" s="20" t="str">
        <f t="shared" si="95"/>
        <v/>
      </c>
    </row>
    <row r="1004" customHeight="1" spans="1:28">
      <c r="A1004" s="14">
        <v>1004</v>
      </c>
      <c r="B1004" s="15" t="str">
        <f>IFERROR(IF([2]对账明细接口!$B$1004=0,"",[2]对账明细接口!$B$1004),"")</f>
        <v/>
      </c>
      <c r="C1004" s="16" t="str">
        <f>IFERROR(IF([2]对账明细接口!$C$1004=0,"",[2]对账明细接口!$C$1004),"")</f>
        <v/>
      </c>
      <c r="D1004" s="16" t="str">
        <f>IFERROR(IF([2]对账明细接口!$D$1004=0,"",[2]对账明细接口!$D$1004),"")</f>
        <v/>
      </c>
      <c r="E1004" s="16" t="str">
        <f>IFERROR(IF([2]对账明细接口!$E$1004=0,"",[2]对账明细接口!$E$1004),"")</f>
        <v/>
      </c>
      <c r="F1004" s="16" t="str">
        <f>IFERROR(IF([2]对账明细接口!$F$1004=0,"",[2]对账明细接口!$F$1004),"")</f>
        <v/>
      </c>
      <c r="G1004" s="16" t="str">
        <f>IFERROR(IF([2]对账明细接口!$G$1004=0,"",[2]对账明细接口!$G$1004),"")</f>
        <v/>
      </c>
      <c r="H1004" s="17" t="str">
        <f>IFERROR(IF([2]对账明细接口!$H$1004=0,"",[2]对账明细接口!$H$1004),"")</f>
        <v/>
      </c>
      <c r="I1004" s="16" t="str">
        <f>IFERROR(IF([2]对账明细接口!$I$1004=0,"",[2]对账明细接口!$I$1004),"")</f>
        <v/>
      </c>
      <c r="J1004" s="18" t="str">
        <f>IFERROR(IF([2]对账明细接口!$J$1004=0,"",[2]对账明细接口!$J$1004),"")</f>
        <v/>
      </c>
      <c r="K1004" s="18" t="str">
        <f>IFERROR(IF([2]对账明细接口!$K$1004=0,"",[2]对账明细接口!$K$1004),"")</f>
        <v/>
      </c>
      <c r="L1004" s="16" t="str">
        <f>IFERROR(IF([2]对账明细接口!$L$1004=0,"",[2]对账明细接口!$L$1004),"")</f>
        <v/>
      </c>
      <c r="M1004" s="16" t="str">
        <f>IFERROR(IF([2]对账明细接口!$M$1004=0,"",[2]对账明细接口!$M$1004),"")</f>
        <v/>
      </c>
      <c r="N1004" s="19">
        <f t="shared" si="90"/>
        <v>0</v>
      </c>
      <c r="O1004" s="19">
        <f t="shared" si="91"/>
        <v>165</v>
      </c>
      <c r="S1004" s="20" t="str">
        <f>IFERROR(IF([2]对账明细接口!$N1004=0,"",[2]对账明细接口!$N1004),"")</f>
        <v/>
      </c>
      <c r="T1004" s="21" t="str">
        <f>IFERROR(IF([2]对账明细接口!$O1004=0,"",[2]对账明细接口!$O1004),"")</f>
        <v/>
      </c>
      <c r="U1004" s="21" t="str">
        <f>IFERROR(IF([2]对账明细接口!$P1004=0,"",[2]对账明细接口!$P1004),"")</f>
        <v/>
      </c>
      <c r="V1004" s="21" t="str">
        <f>IFERROR(IF([2]对账明细接口!$Q1004=0,"",[2]对账明细接口!$Q1004),"")</f>
        <v/>
      </c>
      <c r="W1004" s="20" t="str">
        <f>IFERROR(IF([2]对账明细接口!$R1004=0,"",[2]对账明细接口!$R1004),"")</f>
        <v/>
      </c>
      <c r="X1004" s="20" t="str">
        <f>IFERROR(IF([2]对账明细接口!$S1004=0,"",[2]对账明细接口!$S1004),"")</f>
        <v/>
      </c>
      <c r="Y1004" s="20" t="str">
        <f t="shared" si="92"/>
        <v/>
      </c>
      <c r="Z1004" s="20" t="str">
        <f t="shared" si="93"/>
        <v/>
      </c>
      <c r="AA1004" s="20" t="str">
        <f t="shared" si="94"/>
        <v/>
      </c>
      <c r="AB1004" s="20" t="str">
        <f t="shared" si="95"/>
        <v/>
      </c>
    </row>
    <row r="1005" customHeight="1" spans="1:28">
      <c r="A1005" s="14">
        <v>1005</v>
      </c>
      <c r="B1005" s="15" t="str">
        <f>IFERROR(IF([2]对账明细接口!$B$1005=0,"",[2]对账明细接口!$B$1005),"")</f>
        <v/>
      </c>
      <c r="C1005" s="16" t="str">
        <f>IFERROR(IF([2]对账明细接口!$C$1005=0,"",[2]对账明细接口!$C$1005),"")</f>
        <v/>
      </c>
      <c r="D1005" s="16" t="str">
        <f>IFERROR(IF([2]对账明细接口!$D$1005=0,"",[2]对账明细接口!$D$1005),"")</f>
        <v/>
      </c>
      <c r="E1005" s="16" t="str">
        <f>IFERROR(IF([2]对账明细接口!$E$1005=0,"",[2]对账明细接口!$E$1005),"")</f>
        <v/>
      </c>
      <c r="F1005" s="16" t="str">
        <f>IFERROR(IF([2]对账明细接口!$F$1005=0,"",[2]对账明细接口!$F$1005),"")</f>
        <v/>
      </c>
      <c r="G1005" s="16" t="str">
        <f>IFERROR(IF([2]对账明细接口!$G$1005=0,"",[2]对账明细接口!$G$1005),"")</f>
        <v/>
      </c>
      <c r="H1005" s="17" t="str">
        <f>IFERROR(IF([2]对账明细接口!$H$1005=0,"",[2]对账明细接口!$H$1005),"")</f>
        <v/>
      </c>
      <c r="I1005" s="16" t="str">
        <f>IFERROR(IF([2]对账明细接口!$I$1005=0,"",[2]对账明细接口!$I$1005),"")</f>
        <v/>
      </c>
      <c r="J1005" s="18" t="str">
        <f>IFERROR(IF([2]对账明细接口!$J$1005=0,"",[2]对账明细接口!$J$1005),"")</f>
        <v/>
      </c>
      <c r="K1005" s="18" t="str">
        <f>IFERROR(IF([2]对账明细接口!$K$1005=0,"",[2]对账明细接口!$K$1005),"")</f>
        <v/>
      </c>
      <c r="L1005" s="16" t="str">
        <f>IFERROR(IF([2]对账明细接口!$L$1005=0,"",[2]对账明细接口!$L$1005),"")</f>
        <v/>
      </c>
      <c r="M1005" s="16" t="str">
        <f>IFERROR(IF([2]对账明细接口!$M$1005=0,"",[2]对账明细接口!$M$1005),"")</f>
        <v/>
      </c>
      <c r="N1005" s="19">
        <f t="shared" si="90"/>
        <v>0</v>
      </c>
      <c r="O1005" s="19">
        <f t="shared" si="91"/>
        <v>165</v>
      </c>
      <c r="S1005" s="20" t="str">
        <f>IFERROR(IF([2]对账明细接口!$N1005=0,"",[2]对账明细接口!$N1005),"")</f>
        <v/>
      </c>
      <c r="T1005" s="21" t="str">
        <f>IFERROR(IF([2]对账明细接口!$O1005=0,"",[2]对账明细接口!$O1005),"")</f>
        <v/>
      </c>
      <c r="U1005" s="21" t="str">
        <f>IFERROR(IF([2]对账明细接口!$P1005=0,"",[2]对账明细接口!$P1005),"")</f>
        <v/>
      </c>
      <c r="V1005" s="21" t="str">
        <f>IFERROR(IF([2]对账明细接口!$Q1005=0,"",[2]对账明细接口!$Q1005),"")</f>
        <v/>
      </c>
      <c r="W1005" s="20" t="str">
        <f>IFERROR(IF([2]对账明细接口!$R1005=0,"",[2]对账明细接口!$R1005),"")</f>
        <v/>
      </c>
      <c r="X1005" s="20" t="str">
        <f>IFERROR(IF([2]对账明细接口!$S1005=0,"",[2]对账明细接口!$S1005),"")</f>
        <v/>
      </c>
      <c r="Y1005" s="20" t="str">
        <f t="shared" si="92"/>
        <v/>
      </c>
      <c r="Z1005" s="20" t="str">
        <f t="shared" si="93"/>
        <v/>
      </c>
      <c r="AA1005" s="20" t="str">
        <f t="shared" si="94"/>
        <v/>
      </c>
      <c r="AB1005" s="20" t="str">
        <f t="shared" si="95"/>
        <v/>
      </c>
    </row>
    <row r="1006" customHeight="1" spans="1:28">
      <c r="A1006" s="14">
        <v>1006</v>
      </c>
      <c r="B1006" s="15" t="str">
        <f>IFERROR(IF([2]对账明细接口!$B$1006=0,"",[2]对账明细接口!$B$1006),"")</f>
        <v/>
      </c>
      <c r="C1006" s="16" t="str">
        <f>IFERROR(IF([2]对账明细接口!$C$1006=0,"",[2]对账明细接口!$C$1006),"")</f>
        <v/>
      </c>
      <c r="D1006" s="16" t="str">
        <f>IFERROR(IF([2]对账明细接口!$D$1006=0,"",[2]对账明细接口!$D$1006),"")</f>
        <v/>
      </c>
      <c r="E1006" s="16" t="str">
        <f>IFERROR(IF([2]对账明细接口!$E$1006=0,"",[2]对账明细接口!$E$1006),"")</f>
        <v/>
      </c>
      <c r="F1006" s="16" t="str">
        <f>IFERROR(IF([2]对账明细接口!$F$1006=0,"",[2]对账明细接口!$F$1006),"")</f>
        <v/>
      </c>
      <c r="G1006" s="16" t="str">
        <f>IFERROR(IF([2]对账明细接口!$G$1006=0,"",[2]对账明细接口!$G$1006),"")</f>
        <v/>
      </c>
      <c r="H1006" s="17" t="str">
        <f>IFERROR(IF([2]对账明细接口!$H$1006=0,"",[2]对账明细接口!$H$1006),"")</f>
        <v/>
      </c>
      <c r="I1006" s="16" t="str">
        <f>IFERROR(IF([2]对账明细接口!$I$1006=0,"",[2]对账明细接口!$I$1006),"")</f>
        <v/>
      </c>
      <c r="J1006" s="18" t="str">
        <f>IFERROR(IF([2]对账明细接口!$J$1006=0,"",[2]对账明细接口!$J$1006),"")</f>
        <v/>
      </c>
      <c r="K1006" s="18" t="str">
        <f>IFERROR(IF([2]对账明细接口!$K$1006=0,"",[2]对账明细接口!$K$1006),"")</f>
        <v/>
      </c>
      <c r="L1006" s="16" t="str">
        <f>IFERROR(IF([2]对账明细接口!$L$1006=0,"",[2]对账明细接口!$L$1006),"")</f>
        <v/>
      </c>
      <c r="M1006" s="16" t="str">
        <f>IFERROR(IF([2]对账明细接口!$M$1006=0,"",[2]对账明细接口!$M$1006),"")</f>
        <v/>
      </c>
      <c r="N1006" s="19">
        <f t="shared" si="90"/>
        <v>0</v>
      </c>
      <c r="O1006" s="19">
        <f t="shared" si="91"/>
        <v>165</v>
      </c>
      <c r="S1006" s="20" t="str">
        <f>IFERROR(IF([2]对账明细接口!$N1006=0,"",[2]对账明细接口!$N1006),"")</f>
        <v/>
      </c>
      <c r="T1006" s="21" t="str">
        <f>IFERROR(IF([2]对账明细接口!$O1006=0,"",[2]对账明细接口!$O1006),"")</f>
        <v/>
      </c>
      <c r="U1006" s="21" t="str">
        <f>IFERROR(IF([2]对账明细接口!$P1006=0,"",[2]对账明细接口!$P1006),"")</f>
        <v/>
      </c>
      <c r="V1006" s="21" t="str">
        <f>IFERROR(IF([2]对账明细接口!$Q1006=0,"",[2]对账明细接口!$Q1006),"")</f>
        <v/>
      </c>
      <c r="W1006" s="20" t="str">
        <f>IFERROR(IF([2]对账明细接口!$R1006=0,"",[2]对账明细接口!$R1006),"")</f>
        <v/>
      </c>
      <c r="X1006" s="20" t="str">
        <f>IFERROR(IF([2]对账明细接口!$S1006=0,"",[2]对账明细接口!$S1006),"")</f>
        <v/>
      </c>
      <c r="Y1006" s="20" t="str">
        <f t="shared" si="92"/>
        <v/>
      </c>
      <c r="Z1006" s="20" t="str">
        <f t="shared" si="93"/>
        <v/>
      </c>
      <c r="AA1006" s="20" t="str">
        <f t="shared" si="94"/>
        <v/>
      </c>
      <c r="AB1006" s="20" t="str">
        <f t="shared" si="95"/>
        <v/>
      </c>
    </row>
    <row r="1007" customHeight="1" spans="1:28">
      <c r="A1007" s="14">
        <v>1007</v>
      </c>
      <c r="B1007" s="15" t="str">
        <f>IFERROR(IF([2]对账明细接口!$B$1007=0,"",[2]对账明细接口!$B$1007),"")</f>
        <v/>
      </c>
      <c r="C1007" s="16" t="str">
        <f>IFERROR(IF([2]对账明细接口!$C$1007=0,"",[2]对账明细接口!$C$1007),"")</f>
        <v/>
      </c>
      <c r="D1007" s="16" t="str">
        <f>IFERROR(IF([2]对账明细接口!$D$1007=0,"",[2]对账明细接口!$D$1007),"")</f>
        <v/>
      </c>
      <c r="E1007" s="16" t="str">
        <f>IFERROR(IF([2]对账明细接口!$E$1007=0,"",[2]对账明细接口!$E$1007),"")</f>
        <v/>
      </c>
      <c r="F1007" s="16" t="str">
        <f>IFERROR(IF([2]对账明细接口!$F$1007=0,"",[2]对账明细接口!$F$1007),"")</f>
        <v/>
      </c>
      <c r="G1007" s="16" t="str">
        <f>IFERROR(IF([2]对账明细接口!$G$1007=0,"",[2]对账明细接口!$G$1007),"")</f>
        <v/>
      </c>
      <c r="H1007" s="17" t="str">
        <f>IFERROR(IF([2]对账明细接口!$H$1007=0,"",[2]对账明细接口!$H$1007),"")</f>
        <v/>
      </c>
      <c r="I1007" s="16" t="str">
        <f>IFERROR(IF([2]对账明细接口!$I$1007=0,"",[2]对账明细接口!$I$1007),"")</f>
        <v/>
      </c>
      <c r="J1007" s="18" t="str">
        <f>IFERROR(IF([2]对账明细接口!$J$1007=0,"",[2]对账明细接口!$J$1007),"")</f>
        <v/>
      </c>
      <c r="K1007" s="18" t="str">
        <f>IFERROR(IF([2]对账明细接口!$K$1007=0,"",[2]对账明细接口!$K$1007),"")</f>
        <v/>
      </c>
      <c r="L1007" s="16" t="str">
        <f>IFERROR(IF([2]对账明细接口!$L$1007=0,"",[2]对账明细接口!$L$1007),"")</f>
        <v/>
      </c>
      <c r="M1007" s="16" t="str">
        <f>IFERROR(IF([2]对账明细接口!$M$1007=0,"",[2]对账明细接口!$M$1007),"")</f>
        <v/>
      </c>
      <c r="N1007" s="19">
        <f t="shared" si="90"/>
        <v>0</v>
      </c>
      <c r="O1007" s="19">
        <f t="shared" si="91"/>
        <v>165</v>
      </c>
      <c r="S1007" s="20" t="str">
        <f>IFERROR(IF([2]对账明细接口!$N1007=0,"",[2]对账明细接口!$N1007),"")</f>
        <v/>
      </c>
      <c r="T1007" s="21" t="str">
        <f>IFERROR(IF([2]对账明细接口!$O1007=0,"",[2]对账明细接口!$O1007),"")</f>
        <v/>
      </c>
      <c r="U1007" s="21" t="str">
        <f>IFERROR(IF([2]对账明细接口!$P1007=0,"",[2]对账明细接口!$P1007),"")</f>
        <v/>
      </c>
      <c r="V1007" s="21" t="str">
        <f>IFERROR(IF([2]对账明细接口!$Q1007=0,"",[2]对账明细接口!$Q1007),"")</f>
        <v/>
      </c>
      <c r="W1007" s="20" t="str">
        <f>IFERROR(IF([2]对账明细接口!$R1007=0,"",[2]对账明细接口!$R1007),"")</f>
        <v/>
      </c>
      <c r="X1007" s="20" t="str">
        <f>IFERROR(IF([2]对账明细接口!$S1007=0,"",[2]对账明细接口!$S1007),"")</f>
        <v/>
      </c>
      <c r="Y1007" s="20" t="str">
        <f t="shared" si="92"/>
        <v/>
      </c>
      <c r="Z1007" s="20" t="str">
        <f t="shared" si="93"/>
        <v/>
      </c>
      <c r="AA1007" s="20" t="str">
        <f t="shared" si="94"/>
        <v/>
      </c>
      <c r="AB1007" s="20" t="str">
        <f t="shared" si="95"/>
        <v/>
      </c>
    </row>
    <row r="1008" customHeight="1" spans="1:28">
      <c r="A1008" s="14">
        <v>1008</v>
      </c>
      <c r="B1008" s="15" t="str">
        <f>IFERROR(IF([2]对账明细接口!$B$1008=0,"",[2]对账明细接口!$B$1008),"")</f>
        <v/>
      </c>
      <c r="C1008" s="16" t="str">
        <f>IFERROR(IF([2]对账明细接口!$C$1008=0,"",[2]对账明细接口!$C$1008),"")</f>
        <v/>
      </c>
      <c r="D1008" s="16" t="str">
        <f>IFERROR(IF([2]对账明细接口!$D$1008=0,"",[2]对账明细接口!$D$1008),"")</f>
        <v/>
      </c>
      <c r="E1008" s="16" t="str">
        <f>IFERROR(IF([2]对账明细接口!$E$1008=0,"",[2]对账明细接口!$E$1008),"")</f>
        <v/>
      </c>
      <c r="F1008" s="16" t="str">
        <f>IFERROR(IF([2]对账明细接口!$F$1008=0,"",[2]对账明细接口!$F$1008),"")</f>
        <v/>
      </c>
      <c r="G1008" s="16" t="str">
        <f>IFERROR(IF([2]对账明细接口!$G$1008=0,"",[2]对账明细接口!$G$1008),"")</f>
        <v/>
      </c>
      <c r="H1008" s="17" t="str">
        <f>IFERROR(IF([2]对账明细接口!$H$1008=0,"",[2]对账明细接口!$H$1008),"")</f>
        <v/>
      </c>
      <c r="I1008" s="16" t="str">
        <f>IFERROR(IF([2]对账明细接口!$I$1008=0,"",[2]对账明细接口!$I$1008),"")</f>
        <v/>
      </c>
      <c r="J1008" s="18" t="str">
        <f>IFERROR(IF([2]对账明细接口!$J$1008=0,"",[2]对账明细接口!$J$1008),"")</f>
        <v/>
      </c>
      <c r="K1008" s="18" t="str">
        <f>IFERROR(IF([2]对账明细接口!$K$1008=0,"",[2]对账明细接口!$K$1008),"")</f>
        <v/>
      </c>
      <c r="L1008" s="16" t="str">
        <f>IFERROR(IF([2]对账明细接口!$L$1008=0,"",[2]对账明细接口!$L$1008),"")</f>
        <v/>
      </c>
      <c r="M1008" s="16" t="str">
        <f>IFERROR(IF([2]对账明细接口!$M$1008=0,"",[2]对账明细接口!$M$1008),"")</f>
        <v/>
      </c>
      <c r="N1008" s="19">
        <f t="shared" si="90"/>
        <v>0</v>
      </c>
      <c r="O1008" s="19">
        <f t="shared" si="91"/>
        <v>165</v>
      </c>
      <c r="S1008" s="20" t="str">
        <f>IFERROR(IF([2]对账明细接口!$N1008=0,"",[2]对账明细接口!$N1008),"")</f>
        <v/>
      </c>
      <c r="T1008" s="21" t="str">
        <f>IFERROR(IF([2]对账明细接口!$O1008=0,"",[2]对账明细接口!$O1008),"")</f>
        <v/>
      </c>
      <c r="U1008" s="21" t="str">
        <f>IFERROR(IF([2]对账明细接口!$P1008=0,"",[2]对账明细接口!$P1008),"")</f>
        <v/>
      </c>
      <c r="V1008" s="21" t="str">
        <f>IFERROR(IF([2]对账明细接口!$Q1008=0,"",[2]对账明细接口!$Q1008),"")</f>
        <v/>
      </c>
      <c r="W1008" s="20" t="str">
        <f>IFERROR(IF([2]对账明细接口!$R1008=0,"",[2]对账明细接口!$R1008),"")</f>
        <v/>
      </c>
      <c r="X1008" s="20" t="str">
        <f>IFERROR(IF([2]对账明细接口!$S1008=0,"",[2]对账明细接口!$S1008),"")</f>
        <v/>
      </c>
      <c r="Y1008" s="20" t="str">
        <f t="shared" si="92"/>
        <v/>
      </c>
      <c r="Z1008" s="20" t="str">
        <f t="shared" si="93"/>
        <v/>
      </c>
      <c r="AA1008" s="20" t="str">
        <f t="shared" si="94"/>
        <v/>
      </c>
      <c r="AB1008" s="20" t="str">
        <f t="shared" si="95"/>
        <v/>
      </c>
    </row>
    <row r="1009" customHeight="1" spans="1:28">
      <c r="A1009" s="14">
        <v>1009</v>
      </c>
      <c r="B1009" s="15" t="str">
        <f>IFERROR(IF([2]对账明细接口!$B$1009=0,"",[2]对账明细接口!$B$1009),"")</f>
        <v/>
      </c>
      <c r="C1009" s="16" t="str">
        <f>IFERROR(IF([2]对账明细接口!$C$1009=0,"",[2]对账明细接口!$C$1009),"")</f>
        <v/>
      </c>
      <c r="D1009" s="16" t="str">
        <f>IFERROR(IF([2]对账明细接口!$D$1009=0,"",[2]对账明细接口!$D$1009),"")</f>
        <v/>
      </c>
      <c r="E1009" s="16" t="str">
        <f>IFERROR(IF([2]对账明细接口!$E$1009=0,"",[2]对账明细接口!$E$1009),"")</f>
        <v/>
      </c>
      <c r="F1009" s="16" t="str">
        <f>IFERROR(IF([2]对账明细接口!$F$1009=0,"",[2]对账明细接口!$F$1009),"")</f>
        <v/>
      </c>
      <c r="G1009" s="16" t="str">
        <f>IFERROR(IF([2]对账明细接口!$G$1009=0,"",[2]对账明细接口!$G$1009),"")</f>
        <v/>
      </c>
      <c r="H1009" s="17" t="str">
        <f>IFERROR(IF([2]对账明细接口!$H$1009=0,"",[2]对账明细接口!$H$1009),"")</f>
        <v/>
      </c>
      <c r="I1009" s="16" t="str">
        <f>IFERROR(IF([2]对账明细接口!$I$1009=0,"",[2]对账明细接口!$I$1009),"")</f>
        <v/>
      </c>
      <c r="J1009" s="18" t="str">
        <f>IFERROR(IF([2]对账明细接口!$J$1009=0,"",[2]对账明细接口!$J$1009),"")</f>
        <v/>
      </c>
      <c r="K1009" s="18" t="str">
        <f>IFERROR(IF([2]对账明细接口!$K$1009=0,"",[2]对账明细接口!$K$1009),"")</f>
        <v/>
      </c>
      <c r="L1009" s="16" t="str">
        <f>IFERROR(IF([2]对账明细接口!$L$1009=0,"",[2]对账明细接口!$L$1009),"")</f>
        <v/>
      </c>
      <c r="M1009" s="16" t="str">
        <f>IFERROR(IF([2]对账明细接口!$M$1009=0,"",[2]对账明细接口!$M$1009),"")</f>
        <v/>
      </c>
      <c r="N1009" s="19">
        <f t="shared" si="90"/>
        <v>0</v>
      </c>
      <c r="O1009" s="19">
        <f t="shared" si="91"/>
        <v>165</v>
      </c>
      <c r="S1009" s="20" t="str">
        <f>IFERROR(IF([2]对账明细接口!$N1009=0,"",[2]对账明细接口!$N1009),"")</f>
        <v/>
      </c>
      <c r="T1009" s="21" t="str">
        <f>IFERROR(IF([2]对账明细接口!$O1009=0,"",[2]对账明细接口!$O1009),"")</f>
        <v/>
      </c>
      <c r="U1009" s="21" t="str">
        <f>IFERROR(IF([2]对账明细接口!$P1009=0,"",[2]对账明细接口!$P1009),"")</f>
        <v/>
      </c>
      <c r="V1009" s="21" t="str">
        <f>IFERROR(IF([2]对账明细接口!$Q1009=0,"",[2]对账明细接口!$Q1009),"")</f>
        <v/>
      </c>
      <c r="W1009" s="20" t="str">
        <f>IFERROR(IF([2]对账明细接口!$R1009=0,"",[2]对账明细接口!$R1009),"")</f>
        <v/>
      </c>
      <c r="X1009" s="20" t="str">
        <f>IFERROR(IF([2]对账明细接口!$S1009=0,"",[2]对账明细接口!$S1009),"")</f>
        <v/>
      </c>
      <c r="Y1009" s="20" t="str">
        <f t="shared" si="92"/>
        <v/>
      </c>
      <c r="Z1009" s="20" t="str">
        <f t="shared" si="93"/>
        <v/>
      </c>
      <c r="AA1009" s="20" t="str">
        <f t="shared" si="94"/>
        <v/>
      </c>
      <c r="AB1009" s="20" t="str">
        <f t="shared" si="95"/>
        <v/>
      </c>
    </row>
    <row r="1010" customHeight="1" spans="1:28">
      <c r="A1010" s="14">
        <v>1010</v>
      </c>
      <c r="B1010" s="15" t="str">
        <f>IFERROR(IF([2]对账明细接口!$B$1010=0,"",[2]对账明细接口!$B$1010),"")</f>
        <v/>
      </c>
      <c r="C1010" s="16" t="str">
        <f>IFERROR(IF([2]对账明细接口!$C$1010=0,"",[2]对账明细接口!$C$1010),"")</f>
        <v/>
      </c>
      <c r="D1010" s="16" t="str">
        <f>IFERROR(IF([2]对账明细接口!$D$1010=0,"",[2]对账明细接口!$D$1010),"")</f>
        <v/>
      </c>
      <c r="E1010" s="16" t="str">
        <f>IFERROR(IF([2]对账明细接口!$E$1010=0,"",[2]对账明细接口!$E$1010),"")</f>
        <v/>
      </c>
      <c r="F1010" s="16" t="str">
        <f>IFERROR(IF([2]对账明细接口!$F$1010=0,"",[2]对账明细接口!$F$1010),"")</f>
        <v/>
      </c>
      <c r="G1010" s="16" t="str">
        <f>IFERROR(IF([2]对账明细接口!$G$1010=0,"",[2]对账明细接口!$G$1010),"")</f>
        <v/>
      </c>
      <c r="H1010" s="17" t="str">
        <f>IFERROR(IF([2]对账明细接口!$H$1010=0,"",[2]对账明细接口!$H$1010),"")</f>
        <v/>
      </c>
      <c r="I1010" s="16" t="str">
        <f>IFERROR(IF([2]对账明细接口!$I$1010=0,"",[2]对账明细接口!$I$1010),"")</f>
        <v/>
      </c>
      <c r="J1010" s="18" t="str">
        <f>IFERROR(IF([2]对账明细接口!$J$1010=0,"",[2]对账明细接口!$J$1010),"")</f>
        <v/>
      </c>
      <c r="K1010" s="18" t="str">
        <f>IFERROR(IF([2]对账明细接口!$K$1010=0,"",[2]对账明细接口!$K$1010),"")</f>
        <v/>
      </c>
      <c r="L1010" s="16" t="str">
        <f>IFERROR(IF([2]对账明细接口!$L$1010=0,"",[2]对账明细接口!$L$1010),"")</f>
        <v/>
      </c>
      <c r="M1010" s="16" t="str">
        <f>IFERROR(IF([2]对账明细接口!$M$1010=0,"",[2]对账明细接口!$M$1010),"")</f>
        <v/>
      </c>
      <c r="N1010" s="19">
        <f t="shared" si="90"/>
        <v>0</v>
      </c>
      <c r="O1010" s="19">
        <f t="shared" si="91"/>
        <v>165</v>
      </c>
      <c r="S1010" s="20" t="str">
        <f>IFERROR(IF([2]对账明细接口!$N1010=0,"",[2]对账明细接口!$N1010),"")</f>
        <v/>
      </c>
      <c r="T1010" s="21" t="str">
        <f>IFERROR(IF([2]对账明细接口!$O1010=0,"",[2]对账明细接口!$O1010),"")</f>
        <v/>
      </c>
      <c r="U1010" s="21" t="str">
        <f>IFERROR(IF([2]对账明细接口!$P1010=0,"",[2]对账明细接口!$P1010),"")</f>
        <v/>
      </c>
      <c r="V1010" s="21" t="str">
        <f>IFERROR(IF([2]对账明细接口!$Q1010=0,"",[2]对账明细接口!$Q1010),"")</f>
        <v/>
      </c>
      <c r="W1010" s="20" t="str">
        <f>IFERROR(IF([2]对账明细接口!$R1010=0,"",[2]对账明细接口!$R1010),"")</f>
        <v/>
      </c>
      <c r="X1010" s="20" t="str">
        <f>IFERROR(IF([2]对账明细接口!$S1010=0,"",[2]对账明细接口!$S1010),"")</f>
        <v/>
      </c>
      <c r="Y1010" s="20" t="str">
        <f t="shared" si="92"/>
        <v/>
      </c>
      <c r="Z1010" s="20" t="str">
        <f t="shared" si="93"/>
        <v/>
      </c>
      <c r="AA1010" s="20" t="str">
        <f t="shared" si="94"/>
        <v/>
      </c>
      <c r="AB1010" s="20" t="str">
        <f t="shared" si="95"/>
        <v/>
      </c>
    </row>
    <row r="1011" customHeight="1" spans="1:28">
      <c r="A1011" s="14">
        <v>1011</v>
      </c>
      <c r="B1011" s="15" t="str">
        <f>IFERROR(IF([2]对账明细接口!$B$1011=0,"",[2]对账明细接口!$B$1011),"")</f>
        <v/>
      </c>
      <c r="C1011" s="16" t="str">
        <f>IFERROR(IF([2]对账明细接口!$C$1011=0,"",[2]对账明细接口!$C$1011),"")</f>
        <v/>
      </c>
      <c r="D1011" s="16" t="str">
        <f>IFERROR(IF([2]对账明细接口!$D$1011=0,"",[2]对账明细接口!$D$1011),"")</f>
        <v/>
      </c>
      <c r="E1011" s="16" t="str">
        <f>IFERROR(IF([2]对账明细接口!$E$1011=0,"",[2]对账明细接口!$E$1011),"")</f>
        <v/>
      </c>
      <c r="F1011" s="16" t="str">
        <f>IFERROR(IF([2]对账明细接口!$F$1011=0,"",[2]对账明细接口!$F$1011),"")</f>
        <v/>
      </c>
      <c r="G1011" s="16" t="str">
        <f>IFERROR(IF([2]对账明细接口!$G$1011=0,"",[2]对账明细接口!$G$1011),"")</f>
        <v/>
      </c>
      <c r="H1011" s="17" t="str">
        <f>IFERROR(IF([2]对账明细接口!$H$1011=0,"",[2]对账明细接口!$H$1011),"")</f>
        <v/>
      </c>
      <c r="I1011" s="16" t="str">
        <f>IFERROR(IF([2]对账明细接口!$I$1011=0,"",[2]对账明细接口!$I$1011),"")</f>
        <v/>
      </c>
      <c r="J1011" s="18" t="str">
        <f>IFERROR(IF([2]对账明细接口!$J$1011=0,"",[2]对账明细接口!$J$1011),"")</f>
        <v/>
      </c>
      <c r="K1011" s="18" t="str">
        <f>IFERROR(IF([2]对账明细接口!$K$1011=0,"",[2]对账明细接口!$K$1011),"")</f>
        <v/>
      </c>
      <c r="L1011" s="16" t="str">
        <f>IFERROR(IF([2]对账明细接口!$L$1011=0,"",[2]对账明细接口!$L$1011),"")</f>
        <v/>
      </c>
      <c r="M1011" s="16" t="str">
        <f>IFERROR(IF([2]对账明细接口!$M$1011=0,"",[2]对账明细接口!$M$1011),"")</f>
        <v/>
      </c>
      <c r="N1011" s="19">
        <f t="shared" si="90"/>
        <v>0</v>
      </c>
      <c r="O1011" s="19">
        <f t="shared" si="91"/>
        <v>165</v>
      </c>
      <c r="S1011" s="20" t="str">
        <f>IFERROR(IF([2]对账明细接口!$N1011=0,"",[2]对账明细接口!$N1011),"")</f>
        <v/>
      </c>
      <c r="T1011" s="21" t="str">
        <f>IFERROR(IF([2]对账明细接口!$O1011=0,"",[2]对账明细接口!$O1011),"")</f>
        <v/>
      </c>
      <c r="U1011" s="21" t="str">
        <f>IFERROR(IF([2]对账明细接口!$P1011=0,"",[2]对账明细接口!$P1011),"")</f>
        <v/>
      </c>
      <c r="V1011" s="21" t="str">
        <f>IFERROR(IF([2]对账明细接口!$Q1011=0,"",[2]对账明细接口!$Q1011),"")</f>
        <v/>
      </c>
      <c r="W1011" s="20" t="str">
        <f>IFERROR(IF([2]对账明细接口!$R1011=0,"",[2]对账明细接口!$R1011),"")</f>
        <v/>
      </c>
      <c r="X1011" s="20" t="str">
        <f>IFERROR(IF([2]对账明细接口!$S1011=0,"",[2]对账明细接口!$S1011),"")</f>
        <v/>
      </c>
      <c r="Y1011" s="20" t="str">
        <f t="shared" si="92"/>
        <v/>
      </c>
      <c r="Z1011" s="20" t="str">
        <f t="shared" si="93"/>
        <v/>
      </c>
      <c r="AA1011" s="20" t="str">
        <f t="shared" si="94"/>
        <v/>
      </c>
      <c r="AB1011" s="20" t="str">
        <f t="shared" si="95"/>
        <v/>
      </c>
    </row>
    <row r="1012" customHeight="1" spans="1:28">
      <c r="A1012" s="14">
        <v>1012</v>
      </c>
      <c r="B1012" s="15" t="str">
        <f>IFERROR(IF([2]对账明细接口!$B$1012=0,"",[2]对账明细接口!$B$1012),"")</f>
        <v/>
      </c>
      <c r="C1012" s="16" t="str">
        <f>IFERROR(IF([2]对账明细接口!$C$1012=0,"",[2]对账明细接口!$C$1012),"")</f>
        <v/>
      </c>
      <c r="D1012" s="16" t="str">
        <f>IFERROR(IF([2]对账明细接口!$D$1012=0,"",[2]对账明细接口!$D$1012),"")</f>
        <v/>
      </c>
      <c r="E1012" s="16" t="str">
        <f>IFERROR(IF([2]对账明细接口!$E$1012=0,"",[2]对账明细接口!$E$1012),"")</f>
        <v/>
      </c>
      <c r="F1012" s="16" t="str">
        <f>IFERROR(IF([2]对账明细接口!$F$1012=0,"",[2]对账明细接口!$F$1012),"")</f>
        <v/>
      </c>
      <c r="G1012" s="16" t="str">
        <f>IFERROR(IF([2]对账明细接口!$G$1012=0,"",[2]对账明细接口!$G$1012),"")</f>
        <v/>
      </c>
      <c r="H1012" s="17" t="str">
        <f>IFERROR(IF([2]对账明细接口!$H$1012=0,"",[2]对账明细接口!$H$1012),"")</f>
        <v/>
      </c>
      <c r="I1012" s="16" t="str">
        <f>IFERROR(IF([2]对账明细接口!$I$1012=0,"",[2]对账明细接口!$I$1012),"")</f>
        <v/>
      </c>
      <c r="J1012" s="18" t="str">
        <f>IFERROR(IF([2]对账明细接口!$J$1012=0,"",[2]对账明细接口!$J$1012),"")</f>
        <v/>
      </c>
      <c r="K1012" s="18" t="str">
        <f>IFERROR(IF([2]对账明细接口!$K$1012=0,"",[2]对账明细接口!$K$1012),"")</f>
        <v/>
      </c>
      <c r="L1012" s="16" t="str">
        <f>IFERROR(IF([2]对账明细接口!$L$1012=0,"",[2]对账明细接口!$L$1012),"")</f>
        <v/>
      </c>
      <c r="M1012" s="16" t="str">
        <f>IFERROR(IF([2]对账明细接口!$M$1012=0,"",[2]对账明细接口!$M$1012),"")</f>
        <v/>
      </c>
      <c r="N1012" s="19">
        <f t="shared" si="90"/>
        <v>0</v>
      </c>
      <c r="O1012" s="19">
        <f t="shared" si="91"/>
        <v>165</v>
      </c>
      <c r="S1012" s="20" t="str">
        <f>IFERROR(IF([2]对账明细接口!$N1012=0,"",[2]对账明细接口!$N1012),"")</f>
        <v/>
      </c>
      <c r="T1012" s="21" t="str">
        <f>IFERROR(IF([2]对账明细接口!$O1012=0,"",[2]对账明细接口!$O1012),"")</f>
        <v/>
      </c>
      <c r="U1012" s="21" t="str">
        <f>IFERROR(IF([2]对账明细接口!$P1012=0,"",[2]对账明细接口!$P1012),"")</f>
        <v/>
      </c>
      <c r="V1012" s="21" t="str">
        <f>IFERROR(IF([2]对账明细接口!$Q1012=0,"",[2]对账明细接口!$Q1012),"")</f>
        <v/>
      </c>
      <c r="W1012" s="20" t="str">
        <f>IFERROR(IF([2]对账明细接口!$R1012=0,"",[2]对账明细接口!$R1012),"")</f>
        <v/>
      </c>
      <c r="X1012" s="20" t="str">
        <f>IFERROR(IF([2]对账明细接口!$S1012=0,"",[2]对账明细接口!$S1012),"")</f>
        <v/>
      </c>
      <c r="Y1012" s="20" t="str">
        <f t="shared" si="92"/>
        <v/>
      </c>
      <c r="Z1012" s="20" t="str">
        <f t="shared" si="93"/>
        <v/>
      </c>
      <c r="AA1012" s="20" t="str">
        <f t="shared" si="94"/>
        <v/>
      </c>
      <c r="AB1012" s="20" t="str">
        <f t="shared" si="95"/>
        <v/>
      </c>
    </row>
    <row r="1013" customHeight="1" spans="1:28">
      <c r="A1013" s="14">
        <v>1013</v>
      </c>
      <c r="B1013" s="15" t="str">
        <f>IFERROR(IF([2]对账明细接口!$B$1013=0,"",[2]对账明细接口!$B$1013),"")</f>
        <v/>
      </c>
      <c r="C1013" s="16" t="str">
        <f>IFERROR(IF([2]对账明细接口!$C$1013=0,"",[2]对账明细接口!$C$1013),"")</f>
        <v/>
      </c>
      <c r="D1013" s="16" t="str">
        <f>IFERROR(IF([2]对账明细接口!$D$1013=0,"",[2]对账明细接口!$D$1013),"")</f>
        <v/>
      </c>
      <c r="E1013" s="16" t="str">
        <f>IFERROR(IF([2]对账明细接口!$E$1013=0,"",[2]对账明细接口!$E$1013),"")</f>
        <v/>
      </c>
      <c r="F1013" s="16" t="str">
        <f>IFERROR(IF([2]对账明细接口!$F$1013=0,"",[2]对账明细接口!$F$1013),"")</f>
        <v/>
      </c>
      <c r="G1013" s="16" t="str">
        <f>IFERROR(IF([2]对账明细接口!$G$1013=0,"",[2]对账明细接口!$G$1013),"")</f>
        <v/>
      </c>
      <c r="H1013" s="17" t="str">
        <f>IFERROR(IF([2]对账明细接口!$H$1013=0,"",[2]对账明细接口!$H$1013),"")</f>
        <v/>
      </c>
      <c r="I1013" s="16" t="str">
        <f>IFERROR(IF([2]对账明细接口!$I$1013=0,"",[2]对账明细接口!$I$1013),"")</f>
        <v/>
      </c>
      <c r="J1013" s="18" t="str">
        <f>IFERROR(IF([2]对账明细接口!$J$1013=0,"",[2]对账明细接口!$J$1013),"")</f>
        <v/>
      </c>
      <c r="K1013" s="18" t="str">
        <f>IFERROR(IF([2]对账明细接口!$K$1013=0,"",[2]对账明细接口!$K$1013),"")</f>
        <v/>
      </c>
      <c r="L1013" s="16" t="str">
        <f>IFERROR(IF([2]对账明细接口!$L$1013=0,"",[2]对账明细接口!$L$1013),"")</f>
        <v/>
      </c>
      <c r="M1013" s="16" t="str">
        <f>IFERROR(IF([2]对账明细接口!$M$1013=0,"",[2]对账明细接口!$M$1013),"")</f>
        <v/>
      </c>
      <c r="N1013" s="19">
        <f t="shared" si="90"/>
        <v>0</v>
      </c>
      <c r="O1013" s="19">
        <f t="shared" si="91"/>
        <v>165</v>
      </c>
      <c r="S1013" s="20" t="str">
        <f>IFERROR(IF([2]对账明细接口!$N1013=0,"",[2]对账明细接口!$N1013),"")</f>
        <v/>
      </c>
      <c r="T1013" s="21" t="str">
        <f>IFERROR(IF([2]对账明细接口!$O1013=0,"",[2]对账明细接口!$O1013),"")</f>
        <v/>
      </c>
      <c r="U1013" s="21" t="str">
        <f>IFERROR(IF([2]对账明细接口!$P1013=0,"",[2]对账明细接口!$P1013),"")</f>
        <v/>
      </c>
      <c r="V1013" s="21" t="str">
        <f>IFERROR(IF([2]对账明细接口!$Q1013=0,"",[2]对账明细接口!$Q1013),"")</f>
        <v/>
      </c>
      <c r="W1013" s="20" t="str">
        <f>IFERROR(IF([2]对账明细接口!$R1013=0,"",[2]对账明细接口!$R1013),"")</f>
        <v/>
      </c>
      <c r="X1013" s="20" t="str">
        <f>IFERROR(IF([2]对账明细接口!$S1013=0,"",[2]对账明细接口!$S1013),"")</f>
        <v/>
      </c>
      <c r="Y1013" s="20" t="str">
        <f t="shared" si="92"/>
        <v/>
      </c>
      <c r="Z1013" s="20" t="str">
        <f t="shared" si="93"/>
        <v/>
      </c>
      <c r="AA1013" s="20" t="str">
        <f t="shared" si="94"/>
        <v/>
      </c>
      <c r="AB1013" s="20" t="str">
        <f t="shared" si="95"/>
        <v/>
      </c>
    </row>
    <row r="1014" customHeight="1" spans="1:28">
      <c r="A1014" s="14">
        <v>1014</v>
      </c>
      <c r="B1014" s="15" t="str">
        <f>IFERROR(IF([2]对账明细接口!$B$1014=0,"",[2]对账明细接口!$B$1014),"")</f>
        <v/>
      </c>
      <c r="C1014" s="16" t="str">
        <f>IFERROR(IF([2]对账明细接口!$C$1014=0,"",[2]对账明细接口!$C$1014),"")</f>
        <v/>
      </c>
      <c r="D1014" s="16" t="str">
        <f>IFERROR(IF([2]对账明细接口!$D$1014=0,"",[2]对账明细接口!$D$1014),"")</f>
        <v/>
      </c>
      <c r="E1014" s="16" t="str">
        <f>IFERROR(IF([2]对账明细接口!$E$1014=0,"",[2]对账明细接口!$E$1014),"")</f>
        <v/>
      </c>
      <c r="F1014" s="16" t="str">
        <f>IFERROR(IF([2]对账明细接口!$F$1014=0,"",[2]对账明细接口!$F$1014),"")</f>
        <v/>
      </c>
      <c r="G1014" s="16" t="str">
        <f>IFERROR(IF([2]对账明细接口!$G$1014=0,"",[2]对账明细接口!$G$1014),"")</f>
        <v/>
      </c>
      <c r="H1014" s="17" t="str">
        <f>IFERROR(IF([2]对账明细接口!$H$1014=0,"",[2]对账明细接口!$H$1014),"")</f>
        <v/>
      </c>
      <c r="I1014" s="16" t="str">
        <f>IFERROR(IF([2]对账明细接口!$I$1014=0,"",[2]对账明细接口!$I$1014),"")</f>
        <v/>
      </c>
      <c r="J1014" s="18" t="str">
        <f>IFERROR(IF([2]对账明细接口!$J$1014=0,"",[2]对账明细接口!$J$1014),"")</f>
        <v/>
      </c>
      <c r="K1014" s="18" t="str">
        <f>IFERROR(IF([2]对账明细接口!$K$1014=0,"",[2]对账明细接口!$K$1014),"")</f>
        <v/>
      </c>
      <c r="L1014" s="16" t="str">
        <f>IFERROR(IF([2]对账明细接口!$L$1014=0,"",[2]对账明细接口!$L$1014),"")</f>
        <v/>
      </c>
      <c r="M1014" s="16" t="str">
        <f>IFERROR(IF([2]对账明细接口!$M$1014=0,"",[2]对账明细接口!$M$1014),"")</f>
        <v/>
      </c>
      <c r="N1014" s="19">
        <f t="shared" si="90"/>
        <v>0</v>
      </c>
      <c r="O1014" s="19">
        <f t="shared" si="91"/>
        <v>165</v>
      </c>
      <c r="S1014" s="20" t="str">
        <f>IFERROR(IF([2]对账明细接口!$N1014=0,"",[2]对账明细接口!$N1014),"")</f>
        <v/>
      </c>
      <c r="T1014" s="21" t="str">
        <f>IFERROR(IF([2]对账明细接口!$O1014=0,"",[2]对账明细接口!$O1014),"")</f>
        <v/>
      </c>
      <c r="U1014" s="21" t="str">
        <f>IFERROR(IF([2]对账明细接口!$P1014=0,"",[2]对账明细接口!$P1014),"")</f>
        <v/>
      </c>
      <c r="V1014" s="21" t="str">
        <f>IFERROR(IF([2]对账明细接口!$Q1014=0,"",[2]对账明细接口!$Q1014),"")</f>
        <v/>
      </c>
      <c r="W1014" s="20" t="str">
        <f>IFERROR(IF([2]对账明细接口!$R1014=0,"",[2]对账明细接口!$R1014),"")</f>
        <v/>
      </c>
      <c r="X1014" s="20" t="str">
        <f>IFERROR(IF([2]对账明细接口!$S1014=0,"",[2]对账明细接口!$S1014),"")</f>
        <v/>
      </c>
      <c r="Y1014" s="20" t="str">
        <f t="shared" si="92"/>
        <v/>
      </c>
      <c r="Z1014" s="20" t="str">
        <f t="shared" si="93"/>
        <v/>
      </c>
      <c r="AA1014" s="20" t="str">
        <f t="shared" si="94"/>
        <v/>
      </c>
      <c r="AB1014" s="20" t="str">
        <f t="shared" si="95"/>
        <v/>
      </c>
    </row>
    <row r="1015" customHeight="1" spans="1:28">
      <c r="A1015" s="14">
        <v>1015</v>
      </c>
      <c r="B1015" s="15" t="str">
        <f>IFERROR(IF([2]对账明细接口!$B$1015=0,"",[2]对账明细接口!$B$1015),"")</f>
        <v/>
      </c>
      <c r="C1015" s="16" t="str">
        <f>IFERROR(IF([2]对账明细接口!$C$1015=0,"",[2]对账明细接口!$C$1015),"")</f>
        <v/>
      </c>
      <c r="D1015" s="16" t="str">
        <f>IFERROR(IF([2]对账明细接口!$D$1015=0,"",[2]对账明细接口!$D$1015),"")</f>
        <v/>
      </c>
      <c r="E1015" s="16" t="str">
        <f>IFERROR(IF([2]对账明细接口!$E$1015=0,"",[2]对账明细接口!$E$1015),"")</f>
        <v/>
      </c>
      <c r="F1015" s="16" t="str">
        <f>IFERROR(IF([2]对账明细接口!$F$1015=0,"",[2]对账明细接口!$F$1015),"")</f>
        <v/>
      </c>
      <c r="G1015" s="16" t="str">
        <f>IFERROR(IF([2]对账明细接口!$G$1015=0,"",[2]对账明细接口!$G$1015),"")</f>
        <v/>
      </c>
      <c r="H1015" s="17" t="str">
        <f>IFERROR(IF([2]对账明细接口!$H$1015=0,"",[2]对账明细接口!$H$1015),"")</f>
        <v/>
      </c>
      <c r="I1015" s="16" t="str">
        <f>IFERROR(IF([2]对账明细接口!$I$1015=0,"",[2]对账明细接口!$I$1015),"")</f>
        <v/>
      </c>
      <c r="J1015" s="18" t="str">
        <f>IFERROR(IF([2]对账明细接口!$J$1015=0,"",[2]对账明细接口!$J$1015),"")</f>
        <v/>
      </c>
      <c r="K1015" s="18" t="str">
        <f>IFERROR(IF([2]对账明细接口!$K$1015=0,"",[2]对账明细接口!$K$1015),"")</f>
        <v/>
      </c>
      <c r="L1015" s="16" t="str">
        <f>IFERROR(IF([2]对账明细接口!$L$1015=0,"",[2]对账明细接口!$L$1015),"")</f>
        <v/>
      </c>
      <c r="M1015" s="16" t="str">
        <f>IFERROR(IF([2]对账明细接口!$M$1015=0,"",[2]对账明细接口!$M$1015),"")</f>
        <v/>
      </c>
      <c r="N1015" s="19">
        <f t="shared" si="90"/>
        <v>0</v>
      </c>
      <c r="O1015" s="19">
        <f t="shared" si="91"/>
        <v>165</v>
      </c>
      <c r="S1015" s="20" t="str">
        <f>IFERROR(IF([2]对账明细接口!$N1015=0,"",[2]对账明细接口!$N1015),"")</f>
        <v/>
      </c>
      <c r="T1015" s="21" t="str">
        <f>IFERROR(IF([2]对账明细接口!$O1015=0,"",[2]对账明细接口!$O1015),"")</f>
        <v/>
      </c>
      <c r="U1015" s="21" t="str">
        <f>IFERROR(IF([2]对账明细接口!$P1015=0,"",[2]对账明细接口!$P1015),"")</f>
        <v/>
      </c>
      <c r="V1015" s="21" t="str">
        <f>IFERROR(IF([2]对账明细接口!$Q1015=0,"",[2]对账明细接口!$Q1015),"")</f>
        <v/>
      </c>
      <c r="W1015" s="20" t="str">
        <f>IFERROR(IF([2]对账明细接口!$R1015=0,"",[2]对账明细接口!$R1015),"")</f>
        <v/>
      </c>
      <c r="X1015" s="20" t="str">
        <f>IFERROR(IF([2]对账明细接口!$S1015=0,"",[2]对账明细接口!$S1015),"")</f>
        <v/>
      </c>
      <c r="Y1015" s="20" t="str">
        <f t="shared" si="92"/>
        <v/>
      </c>
      <c r="Z1015" s="20" t="str">
        <f t="shared" si="93"/>
        <v/>
      </c>
      <c r="AA1015" s="20" t="str">
        <f t="shared" si="94"/>
        <v/>
      </c>
      <c r="AB1015" s="20" t="str">
        <f t="shared" si="95"/>
        <v/>
      </c>
    </row>
    <row r="1016" customHeight="1" spans="1:28">
      <c r="A1016" s="14">
        <v>1016</v>
      </c>
      <c r="B1016" s="15" t="str">
        <f>IFERROR(IF([2]对账明细接口!$B$1016=0,"",[2]对账明细接口!$B$1016),"")</f>
        <v/>
      </c>
      <c r="C1016" s="16" t="str">
        <f>IFERROR(IF([2]对账明细接口!$C$1016=0,"",[2]对账明细接口!$C$1016),"")</f>
        <v/>
      </c>
      <c r="D1016" s="16" t="str">
        <f>IFERROR(IF([2]对账明细接口!$D$1016=0,"",[2]对账明细接口!$D$1016),"")</f>
        <v/>
      </c>
      <c r="E1016" s="16" t="str">
        <f>IFERROR(IF([2]对账明细接口!$E$1016=0,"",[2]对账明细接口!$E$1016),"")</f>
        <v/>
      </c>
      <c r="F1016" s="16" t="str">
        <f>IFERROR(IF([2]对账明细接口!$F$1016=0,"",[2]对账明细接口!$F$1016),"")</f>
        <v/>
      </c>
      <c r="G1016" s="16" t="str">
        <f>IFERROR(IF([2]对账明细接口!$G$1016=0,"",[2]对账明细接口!$G$1016),"")</f>
        <v/>
      </c>
      <c r="H1016" s="17" t="str">
        <f>IFERROR(IF([2]对账明细接口!$H$1016=0,"",[2]对账明细接口!$H$1016),"")</f>
        <v/>
      </c>
      <c r="I1016" s="16" t="str">
        <f>IFERROR(IF([2]对账明细接口!$I$1016=0,"",[2]对账明细接口!$I$1016),"")</f>
        <v/>
      </c>
      <c r="J1016" s="18" t="str">
        <f>IFERROR(IF([2]对账明细接口!$J$1016=0,"",[2]对账明细接口!$J$1016),"")</f>
        <v/>
      </c>
      <c r="K1016" s="18" t="str">
        <f>IFERROR(IF([2]对账明细接口!$K$1016=0,"",[2]对账明细接口!$K$1016),"")</f>
        <v/>
      </c>
      <c r="L1016" s="16" t="str">
        <f>IFERROR(IF([2]对账明细接口!$L$1016=0,"",[2]对账明细接口!$L$1016),"")</f>
        <v/>
      </c>
      <c r="M1016" s="16" t="str">
        <f>IFERROR(IF([2]对账明细接口!$M$1016=0,"",[2]对账明细接口!$M$1016),"")</f>
        <v/>
      </c>
      <c r="N1016" s="19">
        <f t="shared" si="90"/>
        <v>0</v>
      </c>
      <c r="O1016" s="19">
        <f t="shared" si="91"/>
        <v>165</v>
      </c>
      <c r="S1016" s="20" t="str">
        <f>IFERROR(IF([2]对账明细接口!$N1016=0,"",[2]对账明细接口!$N1016),"")</f>
        <v/>
      </c>
      <c r="T1016" s="21" t="str">
        <f>IFERROR(IF([2]对账明细接口!$O1016=0,"",[2]对账明细接口!$O1016),"")</f>
        <v/>
      </c>
      <c r="U1016" s="21" t="str">
        <f>IFERROR(IF([2]对账明细接口!$P1016=0,"",[2]对账明细接口!$P1016),"")</f>
        <v/>
      </c>
      <c r="V1016" s="21" t="str">
        <f>IFERROR(IF([2]对账明细接口!$Q1016=0,"",[2]对账明细接口!$Q1016),"")</f>
        <v/>
      </c>
      <c r="W1016" s="20" t="str">
        <f>IFERROR(IF([2]对账明细接口!$R1016=0,"",[2]对账明细接口!$R1016),"")</f>
        <v/>
      </c>
      <c r="X1016" s="20" t="str">
        <f>IFERROR(IF([2]对账明细接口!$S1016=0,"",[2]对账明细接口!$S1016),"")</f>
        <v/>
      </c>
      <c r="Y1016" s="20" t="str">
        <f t="shared" si="92"/>
        <v/>
      </c>
      <c r="Z1016" s="20" t="str">
        <f t="shared" si="93"/>
        <v/>
      </c>
      <c r="AA1016" s="20" t="str">
        <f t="shared" si="94"/>
        <v/>
      </c>
      <c r="AB1016" s="20" t="str">
        <f t="shared" si="95"/>
        <v/>
      </c>
    </row>
    <row r="1017" customHeight="1" spans="1:28">
      <c r="A1017" s="14">
        <v>1017</v>
      </c>
      <c r="B1017" s="15" t="str">
        <f>IFERROR(IF([2]对账明细接口!$B$1017=0,"",[2]对账明细接口!$B$1017),"")</f>
        <v/>
      </c>
      <c r="C1017" s="16" t="str">
        <f>IFERROR(IF([2]对账明细接口!$C$1017=0,"",[2]对账明细接口!$C$1017),"")</f>
        <v/>
      </c>
      <c r="D1017" s="16" t="str">
        <f>IFERROR(IF([2]对账明细接口!$D$1017=0,"",[2]对账明细接口!$D$1017),"")</f>
        <v/>
      </c>
      <c r="E1017" s="16" t="str">
        <f>IFERROR(IF([2]对账明细接口!$E$1017=0,"",[2]对账明细接口!$E$1017),"")</f>
        <v/>
      </c>
      <c r="F1017" s="16" t="str">
        <f>IFERROR(IF([2]对账明细接口!$F$1017=0,"",[2]对账明细接口!$F$1017),"")</f>
        <v/>
      </c>
      <c r="G1017" s="16" t="str">
        <f>IFERROR(IF([2]对账明细接口!$G$1017=0,"",[2]对账明细接口!$G$1017),"")</f>
        <v/>
      </c>
      <c r="H1017" s="17" t="str">
        <f>IFERROR(IF([2]对账明细接口!$H$1017=0,"",[2]对账明细接口!$H$1017),"")</f>
        <v/>
      </c>
      <c r="I1017" s="16" t="str">
        <f>IFERROR(IF([2]对账明细接口!$I$1017=0,"",[2]对账明细接口!$I$1017),"")</f>
        <v/>
      </c>
      <c r="J1017" s="18" t="str">
        <f>IFERROR(IF([2]对账明细接口!$J$1017=0,"",[2]对账明细接口!$J$1017),"")</f>
        <v/>
      </c>
      <c r="K1017" s="18" t="str">
        <f>IFERROR(IF([2]对账明细接口!$K$1017=0,"",[2]对账明细接口!$K$1017),"")</f>
        <v/>
      </c>
      <c r="L1017" s="16" t="str">
        <f>IFERROR(IF([2]对账明细接口!$L$1017=0,"",[2]对账明细接口!$L$1017),"")</f>
        <v/>
      </c>
      <c r="M1017" s="16" t="str">
        <f>IFERROR(IF([2]对账明细接口!$M$1017=0,"",[2]对账明细接口!$M$1017),"")</f>
        <v/>
      </c>
      <c r="N1017" s="19">
        <f t="shared" si="90"/>
        <v>0</v>
      </c>
      <c r="O1017" s="19">
        <f t="shared" si="91"/>
        <v>165</v>
      </c>
      <c r="S1017" s="20" t="str">
        <f>IFERROR(IF([2]对账明细接口!$N1017=0,"",[2]对账明细接口!$N1017),"")</f>
        <v/>
      </c>
      <c r="T1017" s="21" t="str">
        <f>IFERROR(IF([2]对账明细接口!$O1017=0,"",[2]对账明细接口!$O1017),"")</f>
        <v/>
      </c>
      <c r="U1017" s="21" t="str">
        <f>IFERROR(IF([2]对账明细接口!$P1017=0,"",[2]对账明细接口!$P1017),"")</f>
        <v/>
      </c>
      <c r="V1017" s="21" t="str">
        <f>IFERROR(IF([2]对账明细接口!$Q1017=0,"",[2]对账明细接口!$Q1017),"")</f>
        <v/>
      </c>
      <c r="W1017" s="20" t="str">
        <f>IFERROR(IF([2]对账明细接口!$R1017=0,"",[2]对账明细接口!$R1017),"")</f>
        <v/>
      </c>
      <c r="X1017" s="20" t="str">
        <f>IFERROR(IF([2]对账明细接口!$S1017=0,"",[2]对账明细接口!$S1017),"")</f>
        <v/>
      </c>
      <c r="Y1017" s="20" t="str">
        <f t="shared" si="92"/>
        <v/>
      </c>
      <c r="Z1017" s="20" t="str">
        <f t="shared" si="93"/>
        <v/>
      </c>
      <c r="AA1017" s="20" t="str">
        <f t="shared" si="94"/>
        <v/>
      </c>
      <c r="AB1017" s="20" t="str">
        <f t="shared" si="95"/>
        <v/>
      </c>
    </row>
    <row r="1018" customHeight="1" spans="1:28">
      <c r="A1018" s="14">
        <v>1018</v>
      </c>
      <c r="B1018" s="15" t="str">
        <f>IFERROR(IF([2]对账明细接口!$B$1018=0,"",[2]对账明细接口!$B$1018),"")</f>
        <v/>
      </c>
      <c r="C1018" s="16" t="str">
        <f>IFERROR(IF([2]对账明细接口!$C$1018=0,"",[2]对账明细接口!$C$1018),"")</f>
        <v/>
      </c>
      <c r="D1018" s="16" t="str">
        <f>IFERROR(IF([2]对账明细接口!$D$1018=0,"",[2]对账明细接口!$D$1018),"")</f>
        <v/>
      </c>
      <c r="E1018" s="16" t="str">
        <f>IFERROR(IF([2]对账明细接口!$E$1018=0,"",[2]对账明细接口!$E$1018),"")</f>
        <v/>
      </c>
      <c r="F1018" s="16" t="str">
        <f>IFERROR(IF([2]对账明细接口!$F$1018=0,"",[2]对账明细接口!$F$1018),"")</f>
        <v/>
      </c>
      <c r="G1018" s="16" t="str">
        <f>IFERROR(IF([2]对账明细接口!$G$1018=0,"",[2]对账明细接口!$G$1018),"")</f>
        <v/>
      </c>
      <c r="H1018" s="17" t="str">
        <f>IFERROR(IF([2]对账明细接口!$H$1018=0,"",[2]对账明细接口!$H$1018),"")</f>
        <v/>
      </c>
      <c r="I1018" s="16" t="str">
        <f>IFERROR(IF([2]对账明细接口!$I$1018=0,"",[2]对账明细接口!$I$1018),"")</f>
        <v/>
      </c>
      <c r="J1018" s="18" t="str">
        <f>IFERROR(IF([2]对账明细接口!$J$1018=0,"",[2]对账明细接口!$J$1018),"")</f>
        <v/>
      </c>
      <c r="K1018" s="18" t="str">
        <f>IFERROR(IF([2]对账明细接口!$K$1018=0,"",[2]对账明细接口!$K$1018),"")</f>
        <v/>
      </c>
      <c r="L1018" s="16" t="str">
        <f>IFERROR(IF([2]对账明细接口!$L$1018=0,"",[2]对账明细接口!$L$1018),"")</f>
        <v/>
      </c>
      <c r="M1018" s="16" t="str">
        <f>IFERROR(IF([2]对账明细接口!$M$1018=0,"",[2]对账明细接口!$M$1018),"")</f>
        <v/>
      </c>
      <c r="N1018" s="19">
        <f t="shared" si="90"/>
        <v>0</v>
      </c>
      <c r="O1018" s="19">
        <f t="shared" si="91"/>
        <v>165</v>
      </c>
      <c r="S1018" s="20" t="str">
        <f>IFERROR(IF([2]对账明细接口!$N1018=0,"",[2]对账明细接口!$N1018),"")</f>
        <v/>
      </c>
      <c r="T1018" s="21" t="str">
        <f>IFERROR(IF([2]对账明细接口!$O1018=0,"",[2]对账明细接口!$O1018),"")</f>
        <v/>
      </c>
      <c r="U1018" s="21" t="str">
        <f>IFERROR(IF([2]对账明细接口!$P1018=0,"",[2]对账明细接口!$P1018),"")</f>
        <v/>
      </c>
      <c r="V1018" s="21" t="str">
        <f>IFERROR(IF([2]对账明细接口!$Q1018=0,"",[2]对账明细接口!$Q1018),"")</f>
        <v/>
      </c>
      <c r="W1018" s="20" t="str">
        <f>IFERROR(IF([2]对账明细接口!$R1018=0,"",[2]对账明细接口!$R1018),"")</f>
        <v/>
      </c>
      <c r="X1018" s="20" t="str">
        <f>IFERROR(IF([2]对账明细接口!$S1018=0,"",[2]对账明细接口!$S1018),"")</f>
        <v/>
      </c>
      <c r="Y1018" s="20" t="str">
        <f t="shared" si="92"/>
        <v/>
      </c>
      <c r="Z1018" s="20" t="str">
        <f t="shared" si="93"/>
        <v/>
      </c>
      <c r="AA1018" s="20" t="str">
        <f t="shared" si="94"/>
        <v/>
      </c>
      <c r="AB1018" s="20" t="str">
        <f t="shared" si="95"/>
        <v/>
      </c>
    </row>
    <row r="1019" customHeight="1" spans="1:28">
      <c r="A1019" s="14">
        <v>1019</v>
      </c>
      <c r="B1019" s="15" t="str">
        <f>IFERROR(IF([2]对账明细接口!$B$1019=0,"",[2]对账明细接口!$B$1019),"")</f>
        <v/>
      </c>
      <c r="C1019" s="16" t="str">
        <f>IFERROR(IF([2]对账明细接口!$C$1019=0,"",[2]对账明细接口!$C$1019),"")</f>
        <v/>
      </c>
      <c r="D1019" s="16" t="str">
        <f>IFERROR(IF([2]对账明细接口!$D$1019=0,"",[2]对账明细接口!$D$1019),"")</f>
        <v/>
      </c>
      <c r="E1019" s="16" t="str">
        <f>IFERROR(IF([2]对账明细接口!$E$1019=0,"",[2]对账明细接口!$E$1019),"")</f>
        <v/>
      </c>
      <c r="F1019" s="16" t="str">
        <f>IFERROR(IF([2]对账明细接口!$F$1019=0,"",[2]对账明细接口!$F$1019),"")</f>
        <v/>
      </c>
      <c r="G1019" s="16" t="str">
        <f>IFERROR(IF([2]对账明细接口!$G$1019=0,"",[2]对账明细接口!$G$1019),"")</f>
        <v/>
      </c>
      <c r="H1019" s="17" t="str">
        <f>IFERROR(IF([2]对账明细接口!$H$1019=0,"",[2]对账明细接口!$H$1019),"")</f>
        <v/>
      </c>
      <c r="I1019" s="16" t="str">
        <f>IFERROR(IF([2]对账明细接口!$I$1019=0,"",[2]对账明细接口!$I$1019),"")</f>
        <v/>
      </c>
      <c r="J1019" s="18" t="str">
        <f>IFERROR(IF([2]对账明细接口!$J$1019=0,"",[2]对账明细接口!$J$1019),"")</f>
        <v/>
      </c>
      <c r="K1019" s="18" t="str">
        <f>IFERROR(IF([2]对账明细接口!$K$1019=0,"",[2]对账明细接口!$K$1019),"")</f>
        <v/>
      </c>
      <c r="L1019" s="16" t="str">
        <f>IFERROR(IF([2]对账明细接口!$L$1019=0,"",[2]对账明细接口!$L$1019),"")</f>
        <v/>
      </c>
      <c r="M1019" s="16" t="str">
        <f>IFERROR(IF([2]对账明细接口!$M$1019=0,"",[2]对账明细接口!$M$1019),"")</f>
        <v/>
      </c>
      <c r="N1019" s="19">
        <f t="shared" si="90"/>
        <v>0</v>
      </c>
      <c r="O1019" s="19">
        <f t="shared" si="91"/>
        <v>165</v>
      </c>
      <c r="S1019" s="20" t="str">
        <f>IFERROR(IF([2]对账明细接口!$N1019=0,"",[2]对账明细接口!$N1019),"")</f>
        <v/>
      </c>
      <c r="T1019" s="21" t="str">
        <f>IFERROR(IF([2]对账明细接口!$O1019=0,"",[2]对账明细接口!$O1019),"")</f>
        <v/>
      </c>
      <c r="U1019" s="21" t="str">
        <f>IFERROR(IF([2]对账明细接口!$P1019=0,"",[2]对账明细接口!$P1019),"")</f>
        <v/>
      </c>
      <c r="V1019" s="21" t="str">
        <f>IFERROR(IF([2]对账明细接口!$Q1019=0,"",[2]对账明细接口!$Q1019),"")</f>
        <v/>
      </c>
      <c r="W1019" s="20" t="str">
        <f>IFERROR(IF([2]对账明细接口!$R1019=0,"",[2]对账明细接口!$R1019),"")</f>
        <v/>
      </c>
      <c r="X1019" s="20" t="str">
        <f>IFERROR(IF([2]对账明细接口!$S1019=0,"",[2]对账明细接口!$S1019),"")</f>
        <v/>
      </c>
      <c r="Y1019" s="20" t="str">
        <f t="shared" si="92"/>
        <v/>
      </c>
      <c r="Z1019" s="20" t="str">
        <f t="shared" si="93"/>
        <v/>
      </c>
      <c r="AA1019" s="20" t="str">
        <f t="shared" si="94"/>
        <v/>
      </c>
      <c r="AB1019" s="20" t="str">
        <f t="shared" si="95"/>
        <v/>
      </c>
    </row>
    <row r="1020" customHeight="1" spans="1:28">
      <c r="A1020" s="14">
        <v>1020</v>
      </c>
      <c r="B1020" s="15" t="str">
        <f>IFERROR(IF([2]对账明细接口!$B$1020=0,"",[2]对账明细接口!$B$1020),"")</f>
        <v/>
      </c>
      <c r="C1020" s="16" t="str">
        <f>IFERROR(IF([2]对账明细接口!$C$1020=0,"",[2]对账明细接口!$C$1020),"")</f>
        <v/>
      </c>
      <c r="D1020" s="16" t="str">
        <f>IFERROR(IF([2]对账明细接口!$D$1020=0,"",[2]对账明细接口!$D$1020),"")</f>
        <v/>
      </c>
      <c r="E1020" s="16" t="str">
        <f>IFERROR(IF([2]对账明细接口!$E$1020=0,"",[2]对账明细接口!$E$1020),"")</f>
        <v/>
      </c>
      <c r="F1020" s="16" t="str">
        <f>IFERROR(IF([2]对账明细接口!$F$1020=0,"",[2]对账明细接口!$F$1020),"")</f>
        <v/>
      </c>
      <c r="G1020" s="16" t="str">
        <f>IFERROR(IF([2]对账明细接口!$G$1020=0,"",[2]对账明细接口!$G$1020),"")</f>
        <v/>
      </c>
      <c r="H1020" s="17" t="str">
        <f>IFERROR(IF([2]对账明细接口!$H$1020=0,"",[2]对账明细接口!$H$1020),"")</f>
        <v/>
      </c>
      <c r="I1020" s="16" t="str">
        <f>IFERROR(IF([2]对账明细接口!$I$1020=0,"",[2]对账明细接口!$I$1020),"")</f>
        <v/>
      </c>
      <c r="J1020" s="18" t="str">
        <f>IFERROR(IF([2]对账明细接口!$J$1020=0,"",[2]对账明细接口!$J$1020),"")</f>
        <v/>
      </c>
      <c r="K1020" s="18" t="str">
        <f>IFERROR(IF([2]对账明细接口!$K$1020=0,"",[2]对账明细接口!$K$1020),"")</f>
        <v/>
      </c>
      <c r="L1020" s="16" t="str">
        <f>IFERROR(IF([2]对账明细接口!$L$1020=0,"",[2]对账明细接口!$L$1020),"")</f>
        <v/>
      </c>
      <c r="M1020" s="16" t="str">
        <f>IFERROR(IF([2]对账明细接口!$M$1020=0,"",[2]对账明细接口!$M$1020),"")</f>
        <v/>
      </c>
      <c r="N1020" s="19">
        <f t="shared" si="90"/>
        <v>0</v>
      </c>
      <c r="O1020" s="19">
        <f t="shared" si="91"/>
        <v>165</v>
      </c>
      <c r="S1020" s="20" t="str">
        <f>IFERROR(IF([2]对账明细接口!$N1020=0,"",[2]对账明细接口!$N1020),"")</f>
        <v/>
      </c>
      <c r="T1020" s="21" t="str">
        <f>IFERROR(IF([2]对账明细接口!$O1020=0,"",[2]对账明细接口!$O1020),"")</f>
        <v/>
      </c>
      <c r="U1020" s="21" t="str">
        <f>IFERROR(IF([2]对账明细接口!$P1020=0,"",[2]对账明细接口!$P1020),"")</f>
        <v/>
      </c>
      <c r="V1020" s="21" t="str">
        <f>IFERROR(IF([2]对账明细接口!$Q1020=0,"",[2]对账明细接口!$Q1020),"")</f>
        <v/>
      </c>
      <c r="W1020" s="20" t="str">
        <f>IFERROR(IF([2]对账明细接口!$R1020=0,"",[2]对账明细接口!$R1020),"")</f>
        <v/>
      </c>
      <c r="X1020" s="20" t="str">
        <f>IFERROR(IF([2]对账明细接口!$S1020=0,"",[2]对账明细接口!$S1020),"")</f>
        <v/>
      </c>
      <c r="Y1020" s="20" t="str">
        <f t="shared" si="92"/>
        <v/>
      </c>
      <c r="Z1020" s="20" t="str">
        <f t="shared" si="93"/>
        <v/>
      </c>
      <c r="AA1020" s="20" t="str">
        <f t="shared" si="94"/>
        <v/>
      </c>
      <c r="AB1020" s="20" t="str">
        <f t="shared" si="95"/>
        <v/>
      </c>
    </row>
    <row r="1021" customHeight="1" spans="1:28">
      <c r="A1021" s="14">
        <v>1021</v>
      </c>
      <c r="B1021" s="15" t="str">
        <f>IFERROR(IF([2]对账明细接口!$B$1021=0,"",[2]对账明细接口!$B$1021),"")</f>
        <v/>
      </c>
      <c r="C1021" s="16" t="str">
        <f>IFERROR(IF([2]对账明细接口!$C$1021=0,"",[2]对账明细接口!$C$1021),"")</f>
        <v/>
      </c>
      <c r="D1021" s="16" t="str">
        <f>IFERROR(IF([2]对账明细接口!$D$1021=0,"",[2]对账明细接口!$D$1021),"")</f>
        <v/>
      </c>
      <c r="E1021" s="16" t="str">
        <f>IFERROR(IF([2]对账明细接口!$E$1021=0,"",[2]对账明细接口!$E$1021),"")</f>
        <v/>
      </c>
      <c r="F1021" s="16" t="str">
        <f>IFERROR(IF([2]对账明细接口!$F$1021=0,"",[2]对账明细接口!$F$1021),"")</f>
        <v/>
      </c>
      <c r="G1021" s="16" t="str">
        <f>IFERROR(IF([2]对账明细接口!$G$1021=0,"",[2]对账明细接口!$G$1021),"")</f>
        <v/>
      </c>
      <c r="H1021" s="17" t="str">
        <f>IFERROR(IF([2]对账明细接口!$H$1021=0,"",[2]对账明细接口!$H$1021),"")</f>
        <v/>
      </c>
      <c r="I1021" s="16" t="str">
        <f>IFERROR(IF([2]对账明细接口!$I$1021=0,"",[2]对账明细接口!$I$1021),"")</f>
        <v/>
      </c>
      <c r="J1021" s="18" t="str">
        <f>IFERROR(IF([2]对账明细接口!$J$1021=0,"",[2]对账明细接口!$J$1021),"")</f>
        <v/>
      </c>
      <c r="K1021" s="18" t="str">
        <f>IFERROR(IF([2]对账明细接口!$K$1021=0,"",[2]对账明细接口!$K$1021),"")</f>
        <v/>
      </c>
      <c r="L1021" s="16" t="str">
        <f>IFERROR(IF([2]对账明细接口!$L$1021=0,"",[2]对账明细接口!$L$1021),"")</f>
        <v/>
      </c>
      <c r="M1021" s="16" t="str">
        <f>IFERROR(IF([2]对账明细接口!$M$1021=0,"",[2]对账明细接口!$M$1021),"")</f>
        <v/>
      </c>
      <c r="N1021" s="19">
        <f t="shared" si="90"/>
        <v>0</v>
      </c>
      <c r="O1021" s="19">
        <f t="shared" si="91"/>
        <v>165</v>
      </c>
      <c r="S1021" s="20" t="str">
        <f>IFERROR(IF([2]对账明细接口!$N1021=0,"",[2]对账明细接口!$N1021),"")</f>
        <v/>
      </c>
      <c r="T1021" s="21" t="str">
        <f>IFERROR(IF([2]对账明细接口!$O1021=0,"",[2]对账明细接口!$O1021),"")</f>
        <v/>
      </c>
      <c r="U1021" s="21" t="str">
        <f>IFERROR(IF([2]对账明细接口!$P1021=0,"",[2]对账明细接口!$P1021),"")</f>
        <v/>
      </c>
      <c r="V1021" s="21" t="str">
        <f>IFERROR(IF([2]对账明细接口!$Q1021=0,"",[2]对账明细接口!$Q1021),"")</f>
        <v/>
      </c>
      <c r="W1021" s="20" t="str">
        <f>IFERROR(IF([2]对账明细接口!$R1021=0,"",[2]对账明细接口!$R1021),"")</f>
        <v/>
      </c>
      <c r="X1021" s="20" t="str">
        <f>IFERROR(IF([2]对账明细接口!$S1021=0,"",[2]对账明细接口!$S1021),"")</f>
        <v/>
      </c>
      <c r="Y1021" s="20" t="str">
        <f t="shared" si="92"/>
        <v/>
      </c>
      <c r="Z1021" s="20" t="str">
        <f t="shared" si="93"/>
        <v/>
      </c>
      <c r="AA1021" s="20" t="str">
        <f t="shared" si="94"/>
        <v/>
      </c>
      <c r="AB1021" s="20" t="str">
        <f t="shared" si="95"/>
        <v/>
      </c>
    </row>
    <row r="1022" customHeight="1" spans="1:28">
      <c r="A1022" s="14">
        <v>1022</v>
      </c>
      <c r="B1022" s="15" t="str">
        <f>IFERROR(IF([2]对账明细接口!$B$1022=0,"",[2]对账明细接口!$B$1022),"")</f>
        <v/>
      </c>
      <c r="C1022" s="16" t="str">
        <f>IFERROR(IF([2]对账明细接口!$C$1022=0,"",[2]对账明细接口!$C$1022),"")</f>
        <v/>
      </c>
      <c r="D1022" s="16" t="str">
        <f>IFERROR(IF([2]对账明细接口!$D$1022=0,"",[2]对账明细接口!$D$1022),"")</f>
        <v/>
      </c>
      <c r="E1022" s="16" t="str">
        <f>IFERROR(IF([2]对账明细接口!$E$1022=0,"",[2]对账明细接口!$E$1022),"")</f>
        <v/>
      </c>
      <c r="F1022" s="16" t="str">
        <f>IFERROR(IF([2]对账明细接口!$F$1022=0,"",[2]对账明细接口!$F$1022),"")</f>
        <v/>
      </c>
      <c r="G1022" s="16" t="str">
        <f>IFERROR(IF([2]对账明细接口!$G$1022=0,"",[2]对账明细接口!$G$1022),"")</f>
        <v/>
      </c>
      <c r="H1022" s="17" t="str">
        <f>IFERROR(IF([2]对账明细接口!$H$1022=0,"",[2]对账明细接口!$H$1022),"")</f>
        <v/>
      </c>
      <c r="I1022" s="16" t="str">
        <f>IFERROR(IF([2]对账明细接口!$I$1022=0,"",[2]对账明细接口!$I$1022),"")</f>
        <v/>
      </c>
      <c r="J1022" s="18" t="str">
        <f>IFERROR(IF([2]对账明细接口!$J$1022=0,"",[2]对账明细接口!$J$1022),"")</f>
        <v/>
      </c>
      <c r="K1022" s="18" t="str">
        <f>IFERROR(IF([2]对账明细接口!$K$1022=0,"",[2]对账明细接口!$K$1022),"")</f>
        <v/>
      </c>
      <c r="L1022" s="16" t="str">
        <f>IFERROR(IF([2]对账明细接口!$L$1022=0,"",[2]对账明细接口!$L$1022),"")</f>
        <v/>
      </c>
      <c r="M1022" s="16" t="str">
        <f>IFERROR(IF([2]对账明细接口!$M$1022=0,"",[2]对账明细接口!$M$1022),"")</f>
        <v/>
      </c>
      <c r="N1022" s="19">
        <f t="shared" si="90"/>
        <v>0</v>
      </c>
      <c r="O1022" s="19">
        <f t="shared" si="91"/>
        <v>165</v>
      </c>
      <c r="S1022" s="20" t="str">
        <f>IFERROR(IF([2]对账明细接口!$N1022=0,"",[2]对账明细接口!$N1022),"")</f>
        <v/>
      </c>
      <c r="T1022" s="21" t="str">
        <f>IFERROR(IF([2]对账明细接口!$O1022=0,"",[2]对账明细接口!$O1022),"")</f>
        <v/>
      </c>
      <c r="U1022" s="21" t="str">
        <f>IFERROR(IF([2]对账明细接口!$P1022=0,"",[2]对账明细接口!$P1022),"")</f>
        <v/>
      </c>
      <c r="V1022" s="21" t="str">
        <f>IFERROR(IF([2]对账明细接口!$Q1022=0,"",[2]对账明细接口!$Q1022),"")</f>
        <v/>
      </c>
      <c r="W1022" s="20" t="str">
        <f>IFERROR(IF([2]对账明细接口!$R1022=0,"",[2]对账明细接口!$R1022),"")</f>
        <v/>
      </c>
      <c r="X1022" s="20" t="str">
        <f>IFERROR(IF([2]对账明细接口!$S1022=0,"",[2]对账明细接口!$S1022),"")</f>
        <v/>
      </c>
      <c r="Y1022" s="20" t="str">
        <f t="shared" si="92"/>
        <v/>
      </c>
      <c r="Z1022" s="20" t="str">
        <f t="shared" si="93"/>
        <v/>
      </c>
      <c r="AA1022" s="20" t="str">
        <f t="shared" si="94"/>
        <v/>
      </c>
      <c r="AB1022" s="20" t="str">
        <f t="shared" si="95"/>
        <v/>
      </c>
    </row>
    <row r="1023" customHeight="1" spans="1:28">
      <c r="A1023" s="14">
        <v>1023</v>
      </c>
      <c r="B1023" s="15" t="str">
        <f>IFERROR(IF([2]对账明细接口!$B$1023=0,"",[2]对账明细接口!$B$1023),"")</f>
        <v/>
      </c>
      <c r="C1023" s="16" t="str">
        <f>IFERROR(IF([2]对账明细接口!$C$1023=0,"",[2]对账明细接口!$C$1023),"")</f>
        <v/>
      </c>
      <c r="D1023" s="16" t="str">
        <f>IFERROR(IF([2]对账明细接口!$D$1023=0,"",[2]对账明细接口!$D$1023),"")</f>
        <v/>
      </c>
      <c r="E1023" s="16" t="str">
        <f>IFERROR(IF([2]对账明细接口!$E$1023=0,"",[2]对账明细接口!$E$1023),"")</f>
        <v/>
      </c>
      <c r="F1023" s="16" t="str">
        <f>IFERROR(IF([2]对账明细接口!$F$1023=0,"",[2]对账明细接口!$F$1023),"")</f>
        <v/>
      </c>
      <c r="G1023" s="16" t="str">
        <f>IFERROR(IF([2]对账明细接口!$G$1023=0,"",[2]对账明细接口!$G$1023),"")</f>
        <v/>
      </c>
      <c r="H1023" s="17" t="str">
        <f>IFERROR(IF([2]对账明细接口!$H$1023=0,"",[2]对账明细接口!$H$1023),"")</f>
        <v/>
      </c>
      <c r="I1023" s="16" t="str">
        <f>IFERROR(IF([2]对账明细接口!$I$1023=0,"",[2]对账明细接口!$I$1023),"")</f>
        <v/>
      </c>
      <c r="J1023" s="18" t="str">
        <f>IFERROR(IF([2]对账明细接口!$J$1023=0,"",[2]对账明细接口!$J$1023),"")</f>
        <v/>
      </c>
      <c r="K1023" s="18" t="str">
        <f>IFERROR(IF([2]对账明细接口!$K$1023=0,"",[2]对账明细接口!$K$1023),"")</f>
        <v/>
      </c>
      <c r="L1023" s="16" t="str">
        <f>IFERROR(IF([2]对账明细接口!$L$1023=0,"",[2]对账明细接口!$L$1023),"")</f>
        <v/>
      </c>
      <c r="M1023" s="16" t="str">
        <f>IFERROR(IF([2]对账明细接口!$M$1023=0,"",[2]对账明细接口!$M$1023),"")</f>
        <v/>
      </c>
      <c r="N1023" s="19">
        <f t="shared" si="90"/>
        <v>0</v>
      </c>
      <c r="O1023" s="19">
        <f t="shared" si="91"/>
        <v>165</v>
      </c>
      <c r="S1023" s="20" t="str">
        <f>IFERROR(IF([2]对账明细接口!$N1023=0,"",[2]对账明细接口!$N1023),"")</f>
        <v/>
      </c>
      <c r="T1023" s="21" t="str">
        <f>IFERROR(IF([2]对账明细接口!$O1023=0,"",[2]对账明细接口!$O1023),"")</f>
        <v/>
      </c>
      <c r="U1023" s="21" t="str">
        <f>IFERROR(IF([2]对账明细接口!$P1023=0,"",[2]对账明细接口!$P1023),"")</f>
        <v/>
      </c>
      <c r="V1023" s="21" t="str">
        <f>IFERROR(IF([2]对账明细接口!$Q1023=0,"",[2]对账明细接口!$Q1023),"")</f>
        <v/>
      </c>
      <c r="W1023" s="20" t="str">
        <f>IFERROR(IF([2]对账明细接口!$R1023=0,"",[2]对账明细接口!$R1023),"")</f>
        <v/>
      </c>
      <c r="X1023" s="20" t="str">
        <f>IFERROR(IF([2]对账明细接口!$S1023=0,"",[2]对账明细接口!$S1023),"")</f>
        <v/>
      </c>
      <c r="Y1023" s="20" t="str">
        <f t="shared" si="92"/>
        <v/>
      </c>
      <c r="Z1023" s="20" t="str">
        <f t="shared" si="93"/>
        <v/>
      </c>
      <c r="AA1023" s="20" t="str">
        <f t="shared" si="94"/>
        <v/>
      </c>
      <c r="AB1023" s="20" t="str">
        <f t="shared" si="95"/>
        <v/>
      </c>
    </row>
    <row r="1024" customHeight="1" spans="1:28">
      <c r="A1024" s="14">
        <v>1024</v>
      </c>
      <c r="B1024" s="15" t="str">
        <f>IFERROR(IF([2]对账明细接口!$B$1024=0,"",[2]对账明细接口!$B$1024),"")</f>
        <v/>
      </c>
      <c r="C1024" s="16" t="str">
        <f>IFERROR(IF([2]对账明细接口!$C$1024=0,"",[2]对账明细接口!$C$1024),"")</f>
        <v/>
      </c>
      <c r="D1024" s="16" t="str">
        <f>IFERROR(IF([2]对账明细接口!$D$1024=0,"",[2]对账明细接口!$D$1024),"")</f>
        <v/>
      </c>
      <c r="E1024" s="16" t="str">
        <f>IFERROR(IF([2]对账明细接口!$E$1024=0,"",[2]对账明细接口!$E$1024),"")</f>
        <v/>
      </c>
      <c r="F1024" s="16" t="str">
        <f>IFERROR(IF([2]对账明细接口!$F$1024=0,"",[2]对账明细接口!$F$1024),"")</f>
        <v/>
      </c>
      <c r="G1024" s="16" t="str">
        <f>IFERROR(IF([2]对账明细接口!$G$1024=0,"",[2]对账明细接口!$G$1024),"")</f>
        <v/>
      </c>
      <c r="H1024" s="17" t="str">
        <f>IFERROR(IF([2]对账明细接口!$H$1024=0,"",[2]对账明细接口!$H$1024),"")</f>
        <v/>
      </c>
      <c r="I1024" s="16" t="str">
        <f>IFERROR(IF([2]对账明细接口!$I$1024=0,"",[2]对账明细接口!$I$1024),"")</f>
        <v/>
      </c>
      <c r="J1024" s="18" t="str">
        <f>IFERROR(IF([2]对账明细接口!$J$1024=0,"",[2]对账明细接口!$J$1024),"")</f>
        <v/>
      </c>
      <c r="K1024" s="18" t="str">
        <f>IFERROR(IF([2]对账明细接口!$K$1024=0,"",[2]对账明细接口!$K$1024),"")</f>
        <v/>
      </c>
      <c r="L1024" s="16" t="str">
        <f>IFERROR(IF([2]对账明细接口!$L$1024=0,"",[2]对账明细接口!$L$1024),"")</f>
        <v/>
      </c>
      <c r="M1024" s="16" t="str">
        <f>IFERROR(IF([2]对账明细接口!$M$1024=0,"",[2]对账明细接口!$M$1024),"")</f>
        <v/>
      </c>
      <c r="N1024" s="19">
        <f t="shared" si="90"/>
        <v>0</v>
      </c>
      <c r="O1024" s="19">
        <f t="shared" si="91"/>
        <v>165</v>
      </c>
      <c r="S1024" s="20" t="str">
        <f>IFERROR(IF([2]对账明细接口!$N1024=0,"",[2]对账明细接口!$N1024),"")</f>
        <v/>
      </c>
      <c r="T1024" s="21" t="str">
        <f>IFERROR(IF([2]对账明细接口!$O1024=0,"",[2]对账明细接口!$O1024),"")</f>
        <v/>
      </c>
      <c r="U1024" s="21" t="str">
        <f>IFERROR(IF([2]对账明细接口!$P1024=0,"",[2]对账明细接口!$P1024),"")</f>
        <v/>
      </c>
      <c r="V1024" s="21" t="str">
        <f>IFERROR(IF([2]对账明细接口!$Q1024=0,"",[2]对账明细接口!$Q1024),"")</f>
        <v/>
      </c>
      <c r="W1024" s="20" t="str">
        <f>IFERROR(IF([2]对账明细接口!$R1024=0,"",[2]对账明细接口!$R1024),"")</f>
        <v/>
      </c>
      <c r="X1024" s="20" t="str">
        <f>IFERROR(IF([2]对账明细接口!$S1024=0,"",[2]对账明细接口!$S1024),"")</f>
        <v/>
      </c>
      <c r="Y1024" s="20" t="str">
        <f t="shared" si="92"/>
        <v/>
      </c>
      <c r="Z1024" s="20" t="str">
        <f t="shared" si="93"/>
        <v/>
      </c>
      <c r="AA1024" s="20" t="str">
        <f t="shared" si="94"/>
        <v/>
      </c>
      <c r="AB1024" s="20" t="str">
        <f t="shared" si="95"/>
        <v/>
      </c>
    </row>
    <row r="1025" customHeight="1" spans="1:28">
      <c r="A1025" s="14">
        <v>1025</v>
      </c>
      <c r="B1025" s="15" t="str">
        <f>IFERROR(IF([2]对账明细接口!$B$1025=0,"",[2]对账明细接口!$B$1025),"")</f>
        <v/>
      </c>
      <c r="C1025" s="16" t="str">
        <f>IFERROR(IF([2]对账明细接口!$C$1025=0,"",[2]对账明细接口!$C$1025),"")</f>
        <v/>
      </c>
      <c r="D1025" s="16" t="str">
        <f>IFERROR(IF([2]对账明细接口!$D$1025=0,"",[2]对账明细接口!$D$1025),"")</f>
        <v/>
      </c>
      <c r="E1025" s="16" t="str">
        <f>IFERROR(IF([2]对账明细接口!$E$1025=0,"",[2]对账明细接口!$E$1025),"")</f>
        <v/>
      </c>
      <c r="F1025" s="16" t="str">
        <f>IFERROR(IF([2]对账明细接口!$F$1025=0,"",[2]对账明细接口!$F$1025),"")</f>
        <v/>
      </c>
      <c r="G1025" s="16" t="str">
        <f>IFERROR(IF([2]对账明细接口!$G$1025=0,"",[2]对账明细接口!$G$1025),"")</f>
        <v/>
      </c>
      <c r="H1025" s="17" t="str">
        <f>IFERROR(IF([2]对账明细接口!$H$1025=0,"",[2]对账明细接口!$H$1025),"")</f>
        <v/>
      </c>
      <c r="I1025" s="16" t="str">
        <f>IFERROR(IF([2]对账明细接口!$I$1025=0,"",[2]对账明细接口!$I$1025),"")</f>
        <v/>
      </c>
      <c r="J1025" s="18" t="str">
        <f>IFERROR(IF([2]对账明细接口!$J$1025=0,"",[2]对账明细接口!$J$1025),"")</f>
        <v/>
      </c>
      <c r="K1025" s="18" t="str">
        <f>IFERROR(IF([2]对账明细接口!$K$1025=0,"",[2]对账明细接口!$K$1025),"")</f>
        <v/>
      </c>
      <c r="L1025" s="16" t="str">
        <f>IFERROR(IF([2]对账明细接口!$L$1025=0,"",[2]对账明细接口!$L$1025),"")</f>
        <v/>
      </c>
      <c r="M1025" s="16" t="str">
        <f>IFERROR(IF([2]对账明细接口!$M$1025=0,"",[2]对账明细接口!$M$1025),"")</f>
        <v/>
      </c>
      <c r="N1025" s="19">
        <f t="shared" si="90"/>
        <v>0</v>
      </c>
      <c r="O1025" s="19">
        <f t="shared" si="91"/>
        <v>165</v>
      </c>
      <c r="S1025" s="20" t="str">
        <f>IFERROR(IF([2]对账明细接口!$N1025=0,"",[2]对账明细接口!$N1025),"")</f>
        <v/>
      </c>
      <c r="T1025" s="21" t="str">
        <f>IFERROR(IF([2]对账明细接口!$O1025=0,"",[2]对账明细接口!$O1025),"")</f>
        <v/>
      </c>
      <c r="U1025" s="21" t="str">
        <f>IFERROR(IF([2]对账明细接口!$P1025=0,"",[2]对账明细接口!$P1025),"")</f>
        <v/>
      </c>
      <c r="V1025" s="21" t="str">
        <f>IFERROR(IF([2]对账明细接口!$Q1025=0,"",[2]对账明细接口!$Q1025),"")</f>
        <v/>
      </c>
      <c r="W1025" s="20" t="str">
        <f>IFERROR(IF([2]对账明细接口!$R1025=0,"",[2]对账明细接口!$R1025),"")</f>
        <v/>
      </c>
      <c r="X1025" s="20" t="str">
        <f>IFERROR(IF([2]对账明细接口!$S1025=0,"",[2]对账明细接口!$S1025),"")</f>
        <v/>
      </c>
      <c r="Y1025" s="20" t="str">
        <f t="shared" si="92"/>
        <v/>
      </c>
      <c r="Z1025" s="20" t="str">
        <f t="shared" si="93"/>
        <v/>
      </c>
      <c r="AA1025" s="20" t="str">
        <f t="shared" si="94"/>
        <v/>
      </c>
      <c r="AB1025" s="20" t="str">
        <f t="shared" si="95"/>
        <v/>
      </c>
    </row>
    <row r="1026" customHeight="1" spans="1:28">
      <c r="A1026" s="14">
        <v>1026</v>
      </c>
      <c r="B1026" s="15" t="str">
        <f>IFERROR(IF([2]对账明细接口!$B$1026=0,"",[2]对账明细接口!$B$1026),"")</f>
        <v/>
      </c>
      <c r="C1026" s="16" t="str">
        <f>IFERROR(IF([2]对账明细接口!$C$1026=0,"",[2]对账明细接口!$C$1026),"")</f>
        <v/>
      </c>
      <c r="D1026" s="16" t="str">
        <f>IFERROR(IF([2]对账明细接口!$D$1026=0,"",[2]对账明细接口!$D$1026),"")</f>
        <v/>
      </c>
      <c r="E1026" s="16" t="str">
        <f>IFERROR(IF([2]对账明细接口!$E$1026=0,"",[2]对账明细接口!$E$1026),"")</f>
        <v/>
      </c>
      <c r="F1026" s="16" t="str">
        <f>IFERROR(IF([2]对账明细接口!$F$1026=0,"",[2]对账明细接口!$F$1026),"")</f>
        <v/>
      </c>
      <c r="G1026" s="16" t="str">
        <f>IFERROR(IF([2]对账明细接口!$G$1026=0,"",[2]对账明细接口!$G$1026),"")</f>
        <v/>
      </c>
      <c r="H1026" s="17" t="str">
        <f>IFERROR(IF([2]对账明细接口!$H$1026=0,"",[2]对账明细接口!$H$1026),"")</f>
        <v/>
      </c>
      <c r="I1026" s="16" t="str">
        <f>IFERROR(IF([2]对账明细接口!$I$1026=0,"",[2]对账明细接口!$I$1026),"")</f>
        <v/>
      </c>
      <c r="J1026" s="18" t="str">
        <f>IFERROR(IF([2]对账明细接口!$J$1026=0,"",[2]对账明细接口!$J$1026),"")</f>
        <v/>
      </c>
      <c r="K1026" s="18" t="str">
        <f>IFERROR(IF([2]对账明细接口!$K$1026=0,"",[2]对账明细接口!$K$1026),"")</f>
        <v/>
      </c>
      <c r="L1026" s="16" t="str">
        <f>IFERROR(IF([2]对账明细接口!$L$1026=0,"",[2]对账明细接口!$L$1026),"")</f>
        <v/>
      </c>
      <c r="M1026" s="16" t="str">
        <f>IFERROR(IF([2]对账明细接口!$M$1026=0,"",[2]对账明细接口!$M$1026),"")</f>
        <v/>
      </c>
      <c r="N1026" s="19">
        <f t="shared" si="90"/>
        <v>0</v>
      </c>
      <c r="O1026" s="19">
        <f t="shared" si="91"/>
        <v>165</v>
      </c>
      <c r="S1026" s="20" t="str">
        <f>IFERROR(IF([2]对账明细接口!$N1026=0,"",[2]对账明细接口!$N1026),"")</f>
        <v/>
      </c>
      <c r="T1026" s="21" t="str">
        <f>IFERROR(IF([2]对账明细接口!$O1026=0,"",[2]对账明细接口!$O1026),"")</f>
        <v/>
      </c>
      <c r="U1026" s="21" t="str">
        <f>IFERROR(IF([2]对账明细接口!$P1026=0,"",[2]对账明细接口!$P1026),"")</f>
        <v/>
      </c>
      <c r="V1026" s="21" t="str">
        <f>IFERROR(IF([2]对账明细接口!$Q1026=0,"",[2]对账明细接口!$Q1026),"")</f>
        <v/>
      </c>
      <c r="W1026" s="20" t="str">
        <f>IFERROR(IF([2]对账明细接口!$R1026=0,"",[2]对账明细接口!$R1026),"")</f>
        <v/>
      </c>
      <c r="X1026" s="20" t="str">
        <f>IFERROR(IF([2]对账明细接口!$S1026=0,"",[2]对账明细接口!$S1026),"")</f>
        <v/>
      </c>
      <c r="Y1026" s="20" t="str">
        <f t="shared" si="92"/>
        <v/>
      </c>
      <c r="Z1026" s="20" t="str">
        <f t="shared" si="93"/>
        <v/>
      </c>
      <c r="AA1026" s="20" t="str">
        <f t="shared" si="94"/>
        <v/>
      </c>
      <c r="AB1026" s="20" t="str">
        <f t="shared" si="95"/>
        <v/>
      </c>
    </row>
    <row r="1027" customHeight="1" spans="1:28">
      <c r="A1027" s="14">
        <v>1027</v>
      </c>
      <c r="B1027" s="15" t="str">
        <f>IFERROR(IF([2]对账明细接口!$B$1027=0,"",[2]对账明细接口!$B$1027),"")</f>
        <v/>
      </c>
      <c r="C1027" s="16" t="str">
        <f>IFERROR(IF([2]对账明细接口!$C$1027=0,"",[2]对账明细接口!$C$1027),"")</f>
        <v/>
      </c>
      <c r="D1027" s="16" t="str">
        <f>IFERROR(IF([2]对账明细接口!$D$1027=0,"",[2]对账明细接口!$D$1027),"")</f>
        <v/>
      </c>
      <c r="E1027" s="16" t="str">
        <f>IFERROR(IF([2]对账明细接口!$E$1027=0,"",[2]对账明细接口!$E$1027),"")</f>
        <v/>
      </c>
      <c r="F1027" s="16" t="str">
        <f>IFERROR(IF([2]对账明细接口!$F$1027=0,"",[2]对账明细接口!$F$1027),"")</f>
        <v/>
      </c>
      <c r="G1027" s="16" t="str">
        <f>IFERROR(IF([2]对账明细接口!$G$1027=0,"",[2]对账明细接口!$G$1027),"")</f>
        <v/>
      </c>
      <c r="H1027" s="17" t="str">
        <f>IFERROR(IF([2]对账明细接口!$H$1027=0,"",[2]对账明细接口!$H$1027),"")</f>
        <v/>
      </c>
      <c r="I1027" s="16" t="str">
        <f>IFERROR(IF([2]对账明细接口!$I$1027=0,"",[2]对账明细接口!$I$1027),"")</f>
        <v/>
      </c>
      <c r="J1027" s="18" t="str">
        <f>IFERROR(IF([2]对账明细接口!$J$1027=0,"",[2]对账明细接口!$J$1027),"")</f>
        <v/>
      </c>
      <c r="K1027" s="18" t="str">
        <f>IFERROR(IF([2]对账明细接口!$K$1027=0,"",[2]对账明细接口!$K$1027),"")</f>
        <v/>
      </c>
      <c r="L1027" s="16" t="str">
        <f>IFERROR(IF([2]对账明细接口!$L$1027=0,"",[2]对账明细接口!$L$1027),"")</f>
        <v/>
      </c>
      <c r="M1027" s="16" t="str">
        <f>IFERROR(IF([2]对账明细接口!$M$1027=0,"",[2]对账明细接口!$M$1027),"")</f>
        <v/>
      </c>
      <c r="N1027" s="19">
        <f t="shared" si="90"/>
        <v>0</v>
      </c>
      <c r="O1027" s="19">
        <f t="shared" si="91"/>
        <v>165</v>
      </c>
      <c r="S1027" s="20" t="str">
        <f>IFERROR(IF([2]对账明细接口!$N1027=0,"",[2]对账明细接口!$N1027),"")</f>
        <v/>
      </c>
      <c r="T1027" s="21" t="str">
        <f>IFERROR(IF([2]对账明细接口!$O1027=0,"",[2]对账明细接口!$O1027),"")</f>
        <v/>
      </c>
      <c r="U1027" s="21" t="str">
        <f>IFERROR(IF([2]对账明细接口!$P1027=0,"",[2]对账明细接口!$P1027),"")</f>
        <v/>
      </c>
      <c r="V1027" s="21" t="str">
        <f>IFERROR(IF([2]对账明细接口!$Q1027=0,"",[2]对账明细接口!$Q1027),"")</f>
        <v/>
      </c>
      <c r="W1027" s="20" t="str">
        <f>IFERROR(IF([2]对账明细接口!$R1027=0,"",[2]对账明细接口!$R1027),"")</f>
        <v/>
      </c>
      <c r="X1027" s="20" t="str">
        <f>IFERROR(IF([2]对账明细接口!$S1027=0,"",[2]对账明细接口!$S1027),"")</f>
        <v/>
      </c>
      <c r="Y1027" s="20" t="str">
        <f t="shared" si="92"/>
        <v/>
      </c>
      <c r="Z1027" s="20" t="str">
        <f t="shared" si="93"/>
        <v/>
      </c>
      <c r="AA1027" s="20" t="str">
        <f t="shared" si="94"/>
        <v/>
      </c>
      <c r="AB1027" s="20" t="str">
        <f t="shared" si="95"/>
        <v/>
      </c>
    </row>
    <row r="1028" customHeight="1" spans="1:28">
      <c r="A1028" s="14">
        <v>1028</v>
      </c>
      <c r="B1028" s="15" t="str">
        <f>IFERROR(IF([2]对账明细接口!$B$1028=0,"",[2]对账明细接口!$B$1028),"")</f>
        <v/>
      </c>
      <c r="C1028" s="16" t="str">
        <f>IFERROR(IF([2]对账明细接口!$C$1028=0,"",[2]对账明细接口!$C$1028),"")</f>
        <v/>
      </c>
      <c r="D1028" s="16" t="str">
        <f>IFERROR(IF([2]对账明细接口!$D$1028=0,"",[2]对账明细接口!$D$1028),"")</f>
        <v/>
      </c>
      <c r="E1028" s="16" t="str">
        <f>IFERROR(IF([2]对账明细接口!$E$1028=0,"",[2]对账明细接口!$E$1028),"")</f>
        <v/>
      </c>
      <c r="F1028" s="16" t="str">
        <f>IFERROR(IF([2]对账明细接口!$F$1028=0,"",[2]对账明细接口!$F$1028),"")</f>
        <v/>
      </c>
      <c r="G1028" s="16" t="str">
        <f>IFERROR(IF([2]对账明细接口!$G$1028=0,"",[2]对账明细接口!$G$1028),"")</f>
        <v/>
      </c>
      <c r="H1028" s="17" t="str">
        <f>IFERROR(IF([2]对账明细接口!$H$1028=0,"",[2]对账明细接口!$H$1028),"")</f>
        <v/>
      </c>
      <c r="I1028" s="16" t="str">
        <f>IFERROR(IF([2]对账明细接口!$I$1028=0,"",[2]对账明细接口!$I$1028),"")</f>
        <v/>
      </c>
      <c r="J1028" s="18" t="str">
        <f>IFERROR(IF([2]对账明细接口!$J$1028=0,"",[2]对账明细接口!$J$1028),"")</f>
        <v/>
      </c>
      <c r="K1028" s="18" t="str">
        <f>IFERROR(IF([2]对账明细接口!$K$1028=0,"",[2]对账明细接口!$K$1028),"")</f>
        <v/>
      </c>
      <c r="L1028" s="16" t="str">
        <f>IFERROR(IF([2]对账明细接口!$L$1028=0,"",[2]对账明细接口!$L$1028),"")</f>
        <v/>
      </c>
      <c r="M1028" s="16" t="str">
        <f>IFERROR(IF([2]对账明细接口!$M$1028=0,"",[2]对账明细接口!$M$1028),"")</f>
        <v/>
      </c>
      <c r="N1028" s="19">
        <f t="shared" ref="N1028:N1091" si="96">IF($C1028="",0,1)</f>
        <v>0</v>
      </c>
      <c r="O1028" s="19">
        <f t="shared" ref="O1028:O1091" si="97">N(O1027)+$N1028</f>
        <v>165</v>
      </c>
      <c r="S1028" s="20" t="str">
        <f>IFERROR(IF([2]对账明细接口!$N1028=0,"",[2]对账明细接口!$N1028),"")</f>
        <v/>
      </c>
      <c r="T1028" s="21" t="str">
        <f>IFERROR(IF([2]对账明细接口!$O1028=0,"",[2]对账明细接口!$O1028),"")</f>
        <v/>
      </c>
      <c r="U1028" s="21" t="str">
        <f>IFERROR(IF([2]对账明细接口!$P1028=0,"",[2]对账明细接口!$P1028),"")</f>
        <v/>
      </c>
      <c r="V1028" s="21" t="str">
        <f>IFERROR(IF([2]对账明细接口!$Q1028=0,"",[2]对账明细接口!$Q1028),"")</f>
        <v/>
      </c>
      <c r="W1028" s="20" t="str">
        <f>IFERROR(IF([2]对账明细接口!$R1028=0,"",[2]对账明细接口!$R1028),"")</f>
        <v/>
      </c>
      <c r="X1028" s="20" t="str">
        <f>IFERROR(IF([2]对账明细接口!$S1028=0,"",[2]对账明细接口!$S1028),"")</f>
        <v/>
      </c>
      <c r="Y1028" s="20" t="str">
        <f t="shared" ref="Y1028:Y1091" si="98">""</f>
        <v/>
      </c>
      <c r="Z1028" s="20" t="str">
        <f t="shared" ref="Z1028:Z1091" si="99">""</f>
        <v/>
      </c>
      <c r="AA1028" s="20" t="str">
        <f t="shared" ref="AA1028:AA1091" si="100">""</f>
        <v/>
      </c>
      <c r="AB1028" s="20" t="str">
        <f t="shared" ref="AB1028:AB1091" si="101">""</f>
        <v/>
      </c>
    </row>
    <row r="1029" customHeight="1" spans="1:28">
      <c r="A1029" s="14">
        <v>1029</v>
      </c>
      <c r="B1029" s="15" t="str">
        <f>IFERROR(IF([2]对账明细接口!$B$1029=0,"",[2]对账明细接口!$B$1029),"")</f>
        <v/>
      </c>
      <c r="C1029" s="16" t="str">
        <f>IFERROR(IF([2]对账明细接口!$C$1029=0,"",[2]对账明细接口!$C$1029),"")</f>
        <v/>
      </c>
      <c r="D1029" s="16" t="str">
        <f>IFERROR(IF([2]对账明细接口!$D$1029=0,"",[2]对账明细接口!$D$1029),"")</f>
        <v/>
      </c>
      <c r="E1029" s="16" t="str">
        <f>IFERROR(IF([2]对账明细接口!$E$1029=0,"",[2]对账明细接口!$E$1029),"")</f>
        <v/>
      </c>
      <c r="F1029" s="16" t="str">
        <f>IFERROR(IF([2]对账明细接口!$F$1029=0,"",[2]对账明细接口!$F$1029),"")</f>
        <v/>
      </c>
      <c r="G1029" s="16" t="str">
        <f>IFERROR(IF([2]对账明细接口!$G$1029=0,"",[2]对账明细接口!$G$1029),"")</f>
        <v/>
      </c>
      <c r="H1029" s="17" t="str">
        <f>IFERROR(IF([2]对账明细接口!$H$1029=0,"",[2]对账明细接口!$H$1029),"")</f>
        <v/>
      </c>
      <c r="I1029" s="16" t="str">
        <f>IFERROR(IF([2]对账明细接口!$I$1029=0,"",[2]对账明细接口!$I$1029),"")</f>
        <v/>
      </c>
      <c r="J1029" s="18" t="str">
        <f>IFERROR(IF([2]对账明细接口!$J$1029=0,"",[2]对账明细接口!$J$1029),"")</f>
        <v/>
      </c>
      <c r="K1029" s="18" t="str">
        <f>IFERROR(IF([2]对账明细接口!$K$1029=0,"",[2]对账明细接口!$K$1029),"")</f>
        <v/>
      </c>
      <c r="L1029" s="16" t="str">
        <f>IFERROR(IF([2]对账明细接口!$L$1029=0,"",[2]对账明细接口!$L$1029),"")</f>
        <v/>
      </c>
      <c r="M1029" s="16" t="str">
        <f>IFERROR(IF([2]对账明细接口!$M$1029=0,"",[2]对账明细接口!$M$1029),"")</f>
        <v/>
      </c>
      <c r="N1029" s="19">
        <f t="shared" si="96"/>
        <v>0</v>
      </c>
      <c r="O1029" s="19">
        <f t="shared" si="97"/>
        <v>165</v>
      </c>
      <c r="S1029" s="20" t="str">
        <f>IFERROR(IF([2]对账明细接口!$N1029=0,"",[2]对账明细接口!$N1029),"")</f>
        <v/>
      </c>
      <c r="T1029" s="21" t="str">
        <f>IFERROR(IF([2]对账明细接口!$O1029=0,"",[2]对账明细接口!$O1029),"")</f>
        <v/>
      </c>
      <c r="U1029" s="21" t="str">
        <f>IFERROR(IF([2]对账明细接口!$P1029=0,"",[2]对账明细接口!$P1029),"")</f>
        <v/>
      </c>
      <c r="V1029" s="21" t="str">
        <f>IFERROR(IF([2]对账明细接口!$Q1029=0,"",[2]对账明细接口!$Q1029),"")</f>
        <v/>
      </c>
      <c r="W1029" s="20" t="str">
        <f>IFERROR(IF([2]对账明细接口!$R1029=0,"",[2]对账明细接口!$R1029),"")</f>
        <v/>
      </c>
      <c r="X1029" s="20" t="str">
        <f>IFERROR(IF([2]对账明细接口!$S1029=0,"",[2]对账明细接口!$S1029),"")</f>
        <v/>
      </c>
      <c r="Y1029" s="20" t="str">
        <f t="shared" si="98"/>
        <v/>
      </c>
      <c r="Z1029" s="20" t="str">
        <f t="shared" si="99"/>
        <v/>
      </c>
      <c r="AA1029" s="20" t="str">
        <f t="shared" si="100"/>
        <v/>
      </c>
      <c r="AB1029" s="20" t="str">
        <f t="shared" si="101"/>
        <v/>
      </c>
    </row>
    <row r="1030" customHeight="1" spans="1:28">
      <c r="A1030" s="14">
        <v>1030</v>
      </c>
      <c r="B1030" s="15" t="str">
        <f>IFERROR(IF([2]对账明细接口!$B$1030=0,"",[2]对账明细接口!$B$1030),"")</f>
        <v/>
      </c>
      <c r="C1030" s="16" t="str">
        <f>IFERROR(IF([2]对账明细接口!$C$1030=0,"",[2]对账明细接口!$C$1030),"")</f>
        <v/>
      </c>
      <c r="D1030" s="16" t="str">
        <f>IFERROR(IF([2]对账明细接口!$D$1030=0,"",[2]对账明细接口!$D$1030),"")</f>
        <v/>
      </c>
      <c r="E1030" s="16" t="str">
        <f>IFERROR(IF([2]对账明细接口!$E$1030=0,"",[2]对账明细接口!$E$1030),"")</f>
        <v/>
      </c>
      <c r="F1030" s="16" t="str">
        <f>IFERROR(IF([2]对账明细接口!$F$1030=0,"",[2]对账明细接口!$F$1030),"")</f>
        <v/>
      </c>
      <c r="G1030" s="16" t="str">
        <f>IFERROR(IF([2]对账明细接口!$G$1030=0,"",[2]对账明细接口!$G$1030),"")</f>
        <v/>
      </c>
      <c r="H1030" s="17" t="str">
        <f>IFERROR(IF([2]对账明细接口!$H$1030=0,"",[2]对账明细接口!$H$1030),"")</f>
        <v/>
      </c>
      <c r="I1030" s="16" t="str">
        <f>IFERROR(IF([2]对账明细接口!$I$1030=0,"",[2]对账明细接口!$I$1030),"")</f>
        <v/>
      </c>
      <c r="J1030" s="18" t="str">
        <f>IFERROR(IF([2]对账明细接口!$J$1030=0,"",[2]对账明细接口!$J$1030),"")</f>
        <v/>
      </c>
      <c r="K1030" s="18" t="str">
        <f>IFERROR(IF([2]对账明细接口!$K$1030=0,"",[2]对账明细接口!$K$1030),"")</f>
        <v/>
      </c>
      <c r="L1030" s="16" t="str">
        <f>IFERROR(IF([2]对账明细接口!$L$1030=0,"",[2]对账明细接口!$L$1030),"")</f>
        <v/>
      </c>
      <c r="M1030" s="16" t="str">
        <f>IFERROR(IF([2]对账明细接口!$M$1030=0,"",[2]对账明细接口!$M$1030),"")</f>
        <v/>
      </c>
      <c r="N1030" s="19">
        <f t="shared" si="96"/>
        <v>0</v>
      </c>
      <c r="O1030" s="19">
        <f t="shared" si="97"/>
        <v>165</v>
      </c>
      <c r="S1030" s="20" t="str">
        <f>IFERROR(IF([2]对账明细接口!$N1030=0,"",[2]对账明细接口!$N1030),"")</f>
        <v/>
      </c>
      <c r="T1030" s="21" t="str">
        <f>IFERROR(IF([2]对账明细接口!$O1030=0,"",[2]对账明细接口!$O1030),"")</f>
        <v/>
      </c>
      <c r="U1030" s="21" t="str">
        <f>IFERROR(IF([2]对账明细接口!$P1030=0,"",[2]对账明细接口!$P1030),"")</f>
        <v/>
      </c>
      <c r="V1030" s="21" t="str">
        <f>IFERROR(IF([2]对账明细接口!$Q1030=0,"",[2]对账明细接口!$Q1030),"")</f>
        <v/>
      </c>
      <c r="W1030" s="20" t="str">
        <f>IFERROR(IF([2]对账明细接口!$R1030=0,"",[2]对账明细接口!$R1030),"")</f>
        <v/>
      </c>
      <c r="X1030" s="20" t="str">
        <f>IFERROR(IF([2]对账明细接口!$S1030=0,"",[2]对账明细接口!$S1030),"")</f>
        <v/>
      </c>
      <c r="Y1030" s="20" t="str">
        <f t="shared" si="98"/>
        <v/>
      </c>
      <c r="Z1030" s="20" t="str">
        <f t="shared" si="99"/>
        <v/>
      </c>
      <c r="AA1030" s="20" t="str">
        <f t="shared" si="100"/>
        <v/>
      </c>
      <c r="AB1030" s="20" t="str">
        <f t="shared" si="101"/>
        <v/>
      </c>
    </row>
    <row r="1031" customHeight="1" spans="1:28">
      <c r="A1031" s="14">
        <v>1031</v>
      </c>
      <c r="B1031" s="15" t="str">
        <f>IFERROR(IF([2]对账明细接口!$B$1031=0,"",[2]对账明细接口!$B$1031),"")</f>
        <v/>
      </c>
      <c r="C1031" s="16" t="str">
        <f>IFERROR(IF([2]对账明细接口!$C$1031=0,"",[2]对账明细接口!$C$1031),"")</f>
        <v/>
      </c>
      <c r="D1031" s="16" t="str">
        <f>IFERROR(IF([2]对账明细接口!$D$1031=0,"",[2]对账明细接口!$D$1031),"")</f>
        <v/>
      </c>
      <c r="E1031" s="16" t="str">
        <f>IFERROR(IF([2]对账明细接口!$E$1031=0,"",[2]对账明细接口!$E$1031),"")</f>
        <v/>
      </c>
      <c r="F1031" s="16" t="str">
        <f>IFERROR(IF([2]对账明细接口!$F$1031=0,"",[2]对账明细接口!$F$1031),"")</f>
        <v/>
      </c>
      <c r="G1031" s="16" t="str">
        <f>IFERROR(IF([2]对账明细接口!$G$1031=0,"",[2]对账明细接口!$G$1031),"")</f>
        <v/>
      </c>
      <c r="H1031" s="17" t="str">
        <f>IFERROR(IF([2]对账明细接口!$H$1031=0,"",[2]对账明细接口!$H$1031),"")</f>
        <v/>
      </c>
      <c r="I1031" s="16" t="str">
        <f>IFERROR(IF([2]对账明细接口!$I$1031=0,"",[2]对账明细接口!$I$1031),"")</f>
        <v/>
      </c>
      <c r="J1031" s="18" t="str">
        <f>IFERROR(IF([2]对账明细接口!$J$1031=0,"",[2]对账明细接口!$J$1031),"")</f>
        <v/>
      </c>
      <c r="K1031" s="18" t="str">
        <f>IFERROR(IF([2]对账明细接口!$K$1031=0,"",[2]对账明细接口!$K$1031),"")</f>
        <v/>
      </c>
      <c r="L1031" s="16" t="str">
        <f>IFERROR(IF([2]对账明细接口!$L$1031=0,"",[2]对账明细接口!$L$1031),"")</f>
        <v/>
      </c>
      <c r="M1031" s="16" t="str">
        <f>IFERROR(IF([2]对账明细接口!$M$1031=0,"",[2]对账明细接口!$M$1031),"")</f>
        <v/>
      </c>
      <c r="N1031" s="19">
        <f t="shared" si="96"/>
        <v>0</v>
      </c>
      <c r="O1031" s="19">
        <f t="shared" si="97"/>
        <v>165</v>
      </c>
      <c r="S1031" s="20" t="str">
        <f>IFERROR(IF([2]对账明细接口!$N1031=0,"",[2]对账明细接口!$N1031),"")</f>
        <v/>
      </c>
      <c r="T1031" s="21" t="str">
        <f>IFERROR(IF([2]对账明细接口!$O1031=0,"",[2]对账明细接口!$O1031),"")</f>
        <v/>
      </c>
      <c r="U1031" s="21" t="str">
        <f>IFERROR(IF([2]对账明细接口!$P1031=0,"",[2]对账明细接口!$P1031),"")</f>
        <v/>
      </c>
      <c r="V1031" s="21" t="str">
        <f>IFERROR(IF([2]对账明细接口!$Q1031=0,"",[2]对账明细接口!$Q1031),"")</f>
        <v/>
      </c>
      <c r="W1031" s="20" t="str">
        <f>IFERROR(IF([2]对账明细接口!$R1031=0,"",[2]对账明细接口!$R1031),"")</f>
        <v/>
      </c>
      <c r="X1031" s="20" t="str">
        <f>IFERROR(IF([2]对账明细接口!$S1031=0,"",[2]对账明细接口!$S1031),"")</f>
        <v/>
      </c>
      <c r="Y1031" s="20" t="str">
        <f t="shared" si="98"/>
        <v/>
      </c>
      <c r="Z1031" s="20" t="str">
        <f t="shared" si="99"/>
        <v/>
      </c>
      <c r="AA1031" s="20" t="str">
        <f t="shared" si="100"/>
        <v/>
      </c>
      <c r="AB1031" s="20" t="str">
        <f t="shared" si="101"/>
        <v/>
      </c>
    </row>
    <row r="1032" customHeight="1" spans="1:28">
      <c r="A1032" s="14">
        <v>1032</v>
      </c>
      <c r="B1032" s="15" t="str">
        <f>IFERROR(IF([2]对账明细接口!$B$1032=0,"",[2]对账明细接口!$B$1032),"")</f>
        <v/>
      </c>
      <c r="C1032" s="16" t="str">
        <f>IFERROR(IF([2]对账明细接口!$C$1032=0,"",[2]对账明细接口!$C$1032),"")</f>
        <v/>
      </c>
      <c r="D1032" s="16" t="str">
        <f>IFERROR(IF([2]对账明细接口!$D$1032=0,"",[2]对账明细接口!$D$1032),"")</f>
        <v/>
      </c>
      <c r="E1032" s="16" t="str">
        <f>IFERROR(IF([2]对账明细接口!$E$1032=0,"",[2]对账明细接口!$E$1032),"")</f>
        <v/>
      </c>
      <c r="F1032" s="16" t="str">
        <f>IFERROR(IF([2]对账明细接口!$F$1032=0,"",[2]对账明细接口!$F$1032),"")</f>
        <v/>
      </c>
      <c r="G1032" s="16" t="str">
        <f>IFERROR(IF([2]对账明细接口!$G$1032=0,"",[2]对账明细接口!$G$1032),"")</f>
        <v/>
      </c>
      <c r="H1032" s="17" t="str">
        <f>IFERROR(IF([2]对账明细接口!$H$1032=0,"",[2]对账明细接口!$H$1032),"")</f>
        <v/>
      </c>
      <c r="I1032" s="16" t="str">
        <f>IFERROR(IF([2]对账明细接口!$I$1032=0,"",[2]对账明细接口!$I$1032),"")</f>
        <v/>
      </c>
      <c r="J1032" s="18" t="str">
        <f>IFERROR(IF([2]对账明细接口!$J$1032=0,"",[2]对账明细接口!$J$1032),"")</f>
        <v/>
      </c>
      <c r="K1032" s="18" t="str">
        <f>IFERROR(IF([2]对账明细接口!$K$1032=0,"",[2]对账明细接口!$K$1032),"")</f>
        <v/>
      </c>
      <c r="L1032" s="16" t="str">
        <f>IFERROR(IF([2]对账明细接口!$L$1032=0,"",[2]对账明细接口!$L$1032),"")</f>
        <v/>
      </c>
      <c r="M1032" s="16" t="str">
        <f>IFERROR(IF([2]对账明细接口!$M$1032=0,"",[2]对账明细接口!$M$1032),"")</f>
        <v/>
      </c>
      <c r="N1032" s="19">
        <f t="shared" si="96"/>
        <v>0</v>
      </c>
      <c r="O1032" s="19">
        <f t="shared" si="97"/>
        <v>165</v>
      </c>
      <c r="S1032" s="20" t="str">
        <f>IFERROR(IF([2]对账明细接口!$N1032=0,"",[2]对账明细接口!$N1032),"")</f>
        <v/>
      </c>
      <c r="T1032" s="21" t="str">
        <f>IFERROR(IF([2]对账明细接口!$O1032=0,"",[2]对账明细接口!$O1032),"")</f>
        <v/>
      </c>
      <c r="U1032" s="21" t="str">
        <f>IFERROR(IF([2]对账明细接口!$P1032=0,"",[2]对账明细接口!$P1032),"")</f>
        <v/>
      </c>
      <c r="V1032" s="21" t="str">
        <f>IFERROR(IF([2]对账明细接口!$Q1032=0,"",[2]对账明细接口!$Q1032),"")</f>
        <v/>
      </c>
      <c r="W1032" s="20" t="str">
        <f>IFERROR(IF([2]对账明细接口!$R1032=0,"",[2]对账明细接口!$R1032),"")</f>
        <v/>
      </c>
      <c r="X1032" s="20" t="str">
        <f>IFERROR(IF([2]对账明细接口!$S1032=0,"",[2]对账明细接口!$S1032),"")</f>
        <v/>
      </c>
      <c r="Y1032" s="20" t="str">
        <f t="shared" si="98"/>
        <v/>
      </c>
      <c r="Z1032" s="20" t="str">
        <f t="shared" si="99"/>
        <v/>
      </c>
      <c r="AA1032" s="20" t="str">
        <f t="shared" si="100"/>
        <v/>
      </c>
      <c r="AB1032" s="20" t="str">
        <f t="shared" si="101"/>
        <v/>
      </c>
    </row>
    <row r="1033" customHeight="1" spans="1:28">
      <c r="A1033" s="14">
        <v>1033</v>
      </c>
      <c r="B1033" s="15" t="str">
        <f>IFERROR(IF([2]对账明细接口!$B$1033=0,"",[2]对账明细接口!$B$1033),"")</f>
        <v/>
      </c>
      <c r="C1033" s="16" t="str">
        <f>IFERROR(IF([2]对账明细接口!$C$1033=0,"",[2]对账明细接口!$C$1033),"")</f>
        <v/>
      </c>
      <c r="D1033" s="16" t="str">
        <f>IFERROR(IF([2]对账明细接口!$D$1033=0,"",[2]对账明细接口!$D$1033),"")</f>
        <v/>
      </c>
      <c r="E1033" s="16" t="str">
        <f>IFERROR(IF([2]对账明细接口!$E$1033=0,"",[2]对账明细接口!$E$1033),"")</f>
        <v/>
      </c>
      <c r="F1033" s="16" t="str">
        <f>IFERROR(IF([2]对账明细接口!$F$1033=0,"",[2]对账明细接口!$F$1033),"")</f>
        <v/>
      </c>
      <c r="G1033" s="16" t="str">
        <f>IFERROR(IF([2]对账明细接口!$G$1033=0,"",[2]对账明细接口!$G$1033),"")</f>
        <v/>
      </c>
      <c r="H1033" s="17" t="str">
        <f>IFERROR(IF([2]对账明细接口!$H$1033=0,"",[2]对账明细接口!$H$1033),"")</f>
        <v/>
      </c>
      <c r="I1033" s="16" t="str">
        <f>IFERROR(IF([2]对账明细接口!$I$1033=0,"",[2]对账明细接口!$I$1033),"")</f>
        <v/>
      </c>
      <c r="J1033" s="18" t="str">
        <f>IFERROR(IF([2]对账明细接口!$J$1033=0,"",[2]对账明细接口!$J$1033),"")</f>
        <v/>
      </c>
      <c r="K1033" s="18" t="str">
        <f>IFERROR(IF([2]对账明细接口!$K$1033=0,"",[2]对账明细接口!$K$1033),"")</f>
        <v/>
      </c>
      <c r="L1033" s="16" t="str">
        <f>IFERROR(IF([2]对账明细接口!$L$1033=0,"",[2]对账明细接口!$L$1033),"")</f>
        <v/>
      </c>
      <c r="M1033" s="16" t="str">
        <f>IFERROR(IF([2]对账明细接口!$M$1033=0,"",[2]对账明细接口!$M$1033),"")</f>
        <v/>
      </c>
      <c r="N1033" s="19">
        <f t="shared" si="96"/>
        <v>0</v>
      </c>
      <c r="O1033" s="19">
        <f t="shared" si="97"/>
        <v>165</v>
      </c>
      <c r="S1033" s="20" t="str">
        <f>IFERROR(IF([2]对账明细接口!$N1033=0,"",[2]对账明细接口!$N1033),"")</f>
        <v/>
      </c>
      <c r="T1033" s="21" t="str">
        <f>IFERROR(IF([2]对账明细接口!$O1033=0,"",[2]对账明细接口!$O1033),"")</f>
        <v/>
      </c>
      <c r="U1033" s="21" t="str">
        <f>IFERROR(IF([2]对账明细接口!$P1033=0,"",[2]对账明细接口!$P1033),"")</f>
        <v/>
      </c>
      <c r="V1033" s="21" t="str">
        <f>IFERROR(IF([2]对账明细接口!$Q1033=0,"",[2]对账明细接口!$Q1033),"")</f>
        <v/>
      </c>
      <c r="W1033" s="20" t="str">
        <f>IFERROR(IF([2]对账明细接口!$R1033=0,"",[2]对账明细接口!$R1033),"")</f>
        <v/>
      </c>
      <c r="X1033" s="20" t="str">
        <f>IFERROR(IF([2]对账明细接口!$S1033=0,"",[2]对账明细接口!$S1033),"")</f>
        <v/>
      </c>
      <c r="Y1033" s="20" t="str">
        <f t="shared" si="98"/>
        <v/>
      </c>
      <c r="Z1033" s="20" t="str">
        <f t="shared" si="99"/>
        <v/>
      </c>
      <c r="AA1033" s="20" t="str">
        <f t="shared" si="100"/>
        <v/>
      </c>
      <c r="AB1033" s="20" t="str">
        <f t="shared" si="101"/>
        <v/>
      </c>
    </row>
    <row r="1034" customHeight="1" spans="1:28">
      <c r="A1034" s="14">
        <v>1034</v>
      </c>
      <c r="B1034" s="15" t="str">
        <f>IFERROR(IF([2]对账明细接口!$B$1034=0,"",[2]对账明细接口!$B$1034),"")</f>
        <v/>
      </c>
      <c r="C1034" s="16" t="str">
        <f>IFERROR(IF([2]对账明细接口!$C$1034=0,"",[2]对账明细接口!$C$1034),"")</f>
        <v/>
      </c>
      <c r="D1034" s="16" t="str">
        <f>IFERROR(IF([2]对账明细接口!$D$1034=0,"",[2]对账明细接口!$D$1034),"")</f>
        <v/>
      </c>
      <c r="E1034" s="16" t="str">
        <f>IFERROR(IF([2]对账明细接口!$E$1034=0,"",[2]对账明细接口!$E$1034),"")</f>
        <v/>
      </c>
      <c r="F1034" s="16" t="str">
        <f>IFERROR(IF([2]对账明细接口!$F$1034=0,"",[2]对账明细接口!$F$1034),"")</f>
        <v/>
      </c>
      <c r="G1034" s="16" t="str">
        <f>IFERROR(IF([2]对账明细接口!$G$1034=0,"",[2]对账明细接口!$G$1034),"")</f>
        <v/>
      </c>
      <c r="H1034" s="17" t="str">
        <f>IFERROR(IF([2]对账明细接口!$H$1034=0,"",[2]对账明细接口!$H$1034),"")</f>
        <v/>
      </c>
      <c r="I1034" s="16" t="str">
        <f>IFERROR(IF([2]对账明细接口!$I$1034=0,"",[2]对账明细接口!$I$1034),"")</f>
        <v/>
      </c>
      <c r="J1034" s="18" t="str">
        <f>IFERROR(IF([2]对账明细接口!$J$1034=0,"",[2]对账明细接口!$J$1034),"")</f>
        <v/>
      </c>
      <c r="K1034" s="18" t="str">
        <f>IFERROR(IF([2]对账明细接口!$K$1034=0,"",[2]对账明细接口!$K$1034),"")</f>
        <v/>
      </c>
      <c r="L1034" s="16" t="str">
        <f>IFERROR(IF([2]对账明细接口!$L$1034=0,"",[2]对账明细接口!$L$1034),"")</f>
        <v/>
      </c>
      <c r="M1034" s="16" t="str">
        <f>IFERROR(IF([2]对账明细接口!$M$1034=0,"",[2]对账明细接口!$M$1034),"")</f>
        <v/>
      </c>
      <c r="N1034" s="19">
        <f t="shared" si="96"/>
        <v>0</v>
      </c>
      <c r="O1034" s="19">
        <f t="shared" si="97"/>
        <v>165</v>
      </c>
      <c r="S1034" s="20" t="str">
        <f>IFERROR(IF([2]对账明细接口!$N1034=0,"",[2]对账明细接口!$N1034),"")</f>
        <v/>
      </c>
      <c r="T1034" s="21" t="str">
        <f>IFERROR(IF([2]对账明细接口!$O1034=0,"",[2]对账明细接口!$O1034),"")</f>
        <v/>
      </c>
      <c r="U1034" s="21" t="str">
        <f>IFERROR(IF([2]对账明细接口!$P1034=0,"",[2]对账明细接口!$P1034),"")</f>
        <v/>
      </c>
      <c r="V1034" s="21" t="str">
        <f>IFERROR(IF([2]对账明细接口!$Q1034=0,"",[2]对账明细接口!$Q1034),"")</f>
        <v/>
      </c>
      <c r="W1034" s="20" t="str">
        <f>IFERROR(IF([2]对账明细接口!$R1034=0,"",[2]对账明细接口!$R1034),"")</f>
        <v/>
      </c>
      <c r="X1034" s="20" t="str">
        <f>IFERROR(IF([2]对账明细接口!$S1034=0,"",[2]对账明细接口!$S1034),"")</f>
        <v/>
      </c>
      <c r="Y1034" s="20" t="str">
        <f t="shared" si="98"/>
        <v/>
      </c>
      <c r="Z1034" s="20" t="str">
        <f t="shared" si="99"/>
        <v/>
      </c>
      <c r="AA1034" s="20" t="str">
        <f t="shared" si="100"/>
        <v/>
      </c>
      <c r="AB1034" s="20" t="str">
        <f t="shared" si="101"/>
        <v/>
      </c>
    </row>
    <row r="1035" customHeight="1" spans="1:28">
      <c r="A1035" s="14">
        <v>1035</v>
      </c>
      <c r="B1035" s="15" t="str">
        <f>IFERROR(IF([2]对账明细接口!$B$1035=0,"",[2]对账明细接口!$B$1035),"")</f>
        <v/>
      </c>
      <c r="C1035" s="16" t="str">
        <f>IFERROR(IF([2]对账明细接口!$C$1035=0,"",[2]对账明细接口!$C$1035),"")</f>
        <v/>
      </c>
      <c r="D1035" s="16" t="str">
        <f>IFERROR(IF([2]对账明细接口!$D$1035=0,"",[2]对账明细接口!$D$1035),"")</f>
        <v/>
      </c>
      <c r="E1035" s="16" t="str">
        <f>IFERROR(IF([2]对账明细接口!$E$1035=0,"",[2]对账明细接口!$E$1035),"")</f>
        <v/>
      </c>
      <c r="F1035" s="16" t="str">
        <f>IFERROR(IF([2]对账明细接口!$F$1035=0,"",[2]对账明细接口!$F$1035),"")</f>
        <v/>
      </c>
      <c r="G1035" s="16" t="str">
        <f>IFERROR(IF([2]对账明细接口!$G$1035=0,"",[2]对账明细接口!$G$1035),"")</f>
        <v/>
      </c>
      <c r="H1035" s="17" t="str">
        <f>IFERROR(IF([2]对账明细接口!$H$1035=0,"",[2]对账明细接口!$H$1035),"")</f>
        <v/>
      </c>
      <c r="I1035" s="16" t="str">
        <f>IFERROR(IF([2]对账明细接口!$I$1035=0,"",[2]对账明细接口!$I$1035),"")</f>
        <v/>
      </c>
      <c r="J1035" s="18" t="str">
        <f>IFERROR(IF([2]对账明细接口!$J$1035=0,"",[2]对账明细接口!$J$1035),"")</f>
        <v/>
      </c>
      <c r="K1035" s="18" t="str">
        <f>IFERROR(IF([2]对账明细接口!$K$1035=0,"",[2]对账明细接口!$K$1035),"")</f>
        <v/>
      </c>
      <c r="L1035" s="16" t="str">
        <f>IFERROR(IF([2]对账明细接口!$L$1035=0,"",[2]对账明细接口!$L$1035),"")</f>
        <v/>
      </c>
      <c r="M1035" s="16" t="str">
        <f>IFERROR(IF([2]对账明细接口!$M$1035=0,"",[2]对账明细接口!$M$1035),"")</f>
        <v/>
      </c>
      <c r="N1035" s="19">
        <f t="shared" si="96"/>
        <v>0</v>
      </c>
      <c r="O1035" s="19">
        <f t="shared" si="97"/>
        <v>165</v>
      </c>
      <c r="S1035" s="20" t="str">
        <f>IFERROR(IF([2]对账明细接口!$N1035=0,"",[2]对账明细接口!$N1035),"")</f>
        <v/>
      </c>
      <c r="T1035" s="21" t="str">
        <f>IFERROR(IF([2]对账明细接口!$O1035=0,"",[2]对账明细接口!$O1035),"")</f>
        <v/>
      </c>
      <c r="U1035" s="21" t="str">
        <f>IFERROR(IF([2]对账明细接口!$P1035=0,"",[2]对账明细接口!$P1035),"")</f>
        <v/>
      </c>
      <c r="V1035" s="21" t="str">
        <f>IFERROR(IF([2]对账明细接口!$Q1035=0,"",[2]对账明细接口!$Q1035),"")</f>
        <v/>
      </c>
      <c r="W1035" s="20" t="str">
        <f>IFERROR(IF([2]对账明细接口!$R1035=0,"",[2]对账明细接口!$R1035),"")</f>
        <v/>
      </c>
      <c r="X1035" s="20" t="str">
        <f>IFERROR(IF([2]对账明细接口!$S1035=0,"",[2]对账明细接口!$S1035),"")</f>
        <v/>
      </c>
      <c r="Y1035" s="20" t="str">
        <f t="shared" si="98"/>
        <v/>
      </c>
      <c r="Z1035" s="20" t="str">
        <f t="shared" si="99"/>
        <v/>
      </c>
      <c r="AA1035" s="20" t="str">
        <f t="shared" si="100"/>
        <v/>
      </c>
      <c r="AB1035" s="20" t="str">
        <f t="shared" si="101"/>
        <v/>
      </c>
    </row>
    <row r="1036" customHeight="1" spans="1:28">
      <c r="A1036" s="14">
        <v>1036</v>
      </c>
      <c r="B1036" s="15" t="str">
        <f>IFERROR(IF([2]对账明细接口!$B$1036=0,"",[2]对账明细接口!$B$1036),"")</f>
        <v/>
      </c>
      <c r="C1036" s="16" t="str">
        <f>IFERROR(IF([2]对账明细接口!$C$1036=0,"",[2]对账明细接口!$C$1036),"")</f>
        <v/>
      </c>
      <c r="D1036" s="16" t="str">
        <f>IFERROR(IF([2]对账明细接口!$D$1036=0,"",[2]对账明细接口!$D$1036),"")</f>
        <v/>
      </c>
      <c r="E1036" s="16" t="str">
        <f>IFERROR(IF([2]对账明细接口!$E$1036=0,"",[2]对账明细接口!$E$1036),"")</f>
        <v/>
      </c>
      <c r="F1036" s="16" t="str">
        <f>IFERROR(IF([2]对账明细接口!$F$1036=0,"",[2]对账明细接口!$F$1036),"")</f>
        <v/>
      </c>
      <c r="G1036" s="16" t="str">
        <f>IFERROR(IF([2]对账明细接口!$G$1036=0,"",[2]对账明细接口!$G$1036),"")</f>
        <v/>
      </c>
      <c r="H1036" s="17" t="str">
        <f>IFERROR(IF([2]对账明细接口!$H$1036=0,"",[2]对账明细接口!$H$1036),"")</f>
        <v/>
      </c>
      <c r="I1036" s="16" t="str">
        <f>IFERROR(IF([2]对账明细接口!$I$1036=0,"",[2]对账明细接口!$I$1036),"")</f>
        <v/>
      </c>
      <c r="J1036" s="18" t="str">
        <f>IFERROR(IF([2]对账明细接口!$J$1036=0,"",[2]对账明细接口!$J$1036),"")</f>
        <v/>
      </c>
      <c r="K1036" s="18" t="str">
        <f>IFERROR(IF([2]对账明细接口!$K$1036=0,"",[2]对账明细接口!$K$1036),"")</f>
        <v/>
      </c>
      <c r="L1036" s="16" t="str">
        <f>IFERROR(IF([2]对账明细接口!$L$1036=0,"",[2]对账明细接口!$L$1036),"")</f>
        <v/>
      </c>
      <c r="M1036" s="16" t="str">
        <f>IFERROR(IF([2]对账明细接口!$M$1036=0,"",[2]对账明细接口!$M$1036),"")</f>
        <v/>
      </c>
      <c r="N1036" s="19">
        <f t="shared" si="96"/>
        <v>0</v>
      </c>
      <c r="O1036" s="19">
        <f t="shared" si="97"/>
        <v>165</v>
      </c>
      <c r="S1036" s="20" t="str">
        <f>IFERROR(IF([2]对账明细接口!$N1036=0,"",[2]对账明细接口!$N1036),"")</f>
        <v/>
      </c>
      <c r="T1036" s="21" t="str">
        <f>IFERROR(IF([2]对账明细接口!$O1036=0,"",[2]对账明细接口!$O1036),"")</f>
        <v/>
      </c>
      <c r="U1036" s="21" t="str">
        <f>IFERROR(IF([2]对账明细接口!$P1036=0,"",[2]对账明细接口!$P1036),"")</f>
        <v/>
      </c>
      <c r="V1036" s="21" t="str">
        <f>IFERROR(IF([2]对账明细接口!$Q1036=0,"",[2]对账明细接口!$Q1036),"")</f>
        <v/>
      </c>
      <c r="W1036" s="20" t="str">
        <f>IFERROR(IF([2]对账明细接口!$R1036=0,"",[2]对账明细接口!$R1036),"")</f>
        <v/>
      </c>
      <c r="X1036" s="20" t="str">
        <f>IFERROR(IF([2]对账明细接口!$S1036=0,"",[2]对账明细接口!$S1036),"")</f>
        <v/>
      </c>
      <c r="Y1036" s="20" t="str">
        <f t="shared" si="98"/>
        <v/>
      </c>
      <c r="Z1036" s="20" t="str">
        <f t="shared" si="99"/>
        <v/>
      </c>
      <c r="AA1036" s="20" t="str">
        <f t="shared" si="100"/>
        <v/>
      </c>
      <c r="AB1036" s="20" t="str">
        <f t="shared" si="101"/>
        <v/>
      </c>
    </row>
    <row r="1037" customHeight="1" spans="1:28">
      <c r="A1037" s="14">
        <v>1037</v>
      </c>
      <c r="B1037" s="15" t="str">
        <f>IFERROR(IF([2]对账明细接口!$B$1037=0,"",[2]对账明细接口!$B$1037),"")</f>
        <v/>
      </c>
      <c r="C1037" s="16" t="str">
        <f>IFERROR(IF([2]对账明细接口!$C$1037=0,"",[2]对账明细接口!$C$1037),"")</f>
        <v/>
      </c>
      <c r="D1037" s="16" t="str">
        <f>IFERROR(IF([2]对账明细接口!$D$1037=0,"",[2]对账明细接口!$D$1037),"")</f>
        <v/>
      </c>
      <c r="E1037" s="16" t="str">
        <f>IFERROR(IF([2]对账明细接口!$E$1037=0,"",[2]对账明细接口!$E$1037),"")</f>
        <v/>
      </c>
      <c r="F1037" s="16" t="str">
        <f>IFERROR(IF([2]对账明细接口!$F$1037=0,"",[2]对账明细接口!$F$1037),"")</f>
        <v/>
      </c>
      <c r="G1037" s="16" t="str">
        <f>IFERROR(IF([2]对账明细接口!$G$1037=0,"",[2]对账明细接口!$G$1037),"")</f>
        <v/>
      </c>
      <c r="H1037" s="17" t="str">
        <f>IFERROR(IF([2]对账明细接口!$H$1037=0,"",[2]对账明细接口!$H$1037),"")</f>
        <v/>
      </c>
      <c r="I1037" s="16" t="str">
        <f>IFERROR(IF([2]对账明细接口!$I$1037=0,"",[2]对账明细接口!$I$1037),"")</f>
        <v/>
      </c>
      <c r="J1037" s="18" t="str">
        <f>IFERROR(IF([2]对账明细接口!$J$1037=0,"",[2]对账明细接口!$J$1037),"")</f>
        <v/>
      </c>
      <c r="K1037" s="18" t="str">
        <f>IFERROR(IF([2]对账明细接口!$K$1037=0,"",[2]对账明细接口!$K$1037),"")</f>
        <v/>
      </c>
      <c r="L1037" s="16" t="str">
        <f>IFERROR(IF([2]对账明细接口!$L$1037=0,"",[2]对账明细接口!$L$1037),"")</f>
        <v/>
      </c>
      <c r="M1037" s="16" t="str">
        <f>IFERROR(IF([2]对账明细接口!$M$1037=0,"",[2]对账明细接口!$M$1037),"")</f>
        <v/>
      </c>
      <c r="N1037" s="19">
        <f t="shared" si="96"/>
        <v>0</v>
      </c>
      <c r="O1037" s="19">
        <f t="shared" si="97"/>
        <v>165</v>
      </c>
      <c r="S1037" s="20" t="str">
        <f>IFERROR(IF([2]对账明细接口!$N1037=0,"",[2]对账明细接口!$N1037),"")</f>
        <v/>
      </c>
      <c r="T1037" s="21" t="str">
        <f>IFERROR(IF([2]对账明细接口!$O1037=0,"",[2]对账明细接口!$O1037),"")</f>
        <v/>
      </c>
      <c r="U1037" s="21" t="str">
        <f>IFERROR(IF([2]对账明细接口!$P1037=0,"",[2]对账明细接口!$P1037),"")</f>
        <v/>
      </c>
      <c r="V1037" s="21" t="str">
        <f>IFERROR(IF([2]对账明细接口!$Q1037=0,"",[2]对账明细接口!$Q1037),"")</f>
        <v/>
      </c>
      <c r="W1037" s="20" t="str">
        <f>IFERROR(IF([2]对账明细接口!$R1037=0,"",[2]对账明细接口!$R1037),"")</f>
        <v/>
      </c>
      <c r="X1037" s="20" t="str">
        <f>IFERROR(IF([2]对账明细接口!$S1037=0,"",[2]对账明细接口!$S1037),"")</f>
        <v/>
      </c>
      <c r="Y1037" s="20" t="str">
        <f t="shared" si="98"/>
        <v/>
      </c>
      <c r="Z1037" s="20" t="str">
        <f t="shared" si="99"/>
        <v/>
      </c>
      <c r="AA1037" s="20" t="str">
        <f t="shared" si="100"/>
        <v/>
      </c>
      <c r="AB1037" s="20" t="str">
        <f t="shared" si="101"/>
        <v/>
      </c>
    </row>
    <row r="1038" customHeight="1" spans="1:28">
      <c r="A1038" s="14">
        <v>1038</v>
      </c>
      <c r="B1038" s="15" t="str">
        <f>IFERROR(IF([2]对账明细接口!$B$1038=0,"",[2]对账明细接口!$B$1038),"")</f>
        <v/>
      </c>
      <c r="C1038" s="16" t="str">
        <f>IFERROR(IF([2]对账明细接口!$C$1038=0,"",[2]对账明细接口!$C$1038),"")</f>
        <v/>
      </c>
      <c r="D1038" s="16" t="str">
        <f>IFERROR(IF([2]对账明细接口!$D$1038=0,"",[2]对账明细接口!$D$1038),"")</f>
        <v/>
      </c>
      <c r="E1038" s="16" t="str">
        <f>IFERROR(IF([2]对账明细接口!$E$1038=0,"",[2]对账明细接口!$E$1038),"")</f>
        <v/>
      </c>
      <c r="F1038" s="16" t="str">
        <f>IFERROR(IF([2]对账明细接口!$F$1038=0,"",[2]对账明细接口!$F$1038),"")</f>
        <v/>
      </c>
      <c r="G1038" s="16" t="str">
        <f>IFERROR(IF([2]对账明细接口!$G$1038=0,"",[2]对账明细接口!$G$1038),"")</f>
        <v/>
      </c>
      <c r="H1038" s="17" t="str">
        <f>IFERROR(IF([2]对账明细接口!$H$1038=0,"",[2]对账明细接口!$H$1038),"")</f>
        <v/>
      </c>
      <c r="I1038" s="16" t="str">
        <f>IFERROR(IF([2]对账明细接口!$I$1038=0,"",[2]对账明细接口!$I$1038),"")</f>
        <v/>
      </c>
      <c r="J1038" s="18" t="str">
        <f>IFERROR(IF([2]对账明细接口!$J$1038=0,"",[2]对账明细接口!$J$1038),"")</f>
        <v/>
      </c>
      <c r="K1038" s="18" t="str">
        <f>IFERROR(IF([2]对账明细接口!$K$1038=0,"",[2]对账明细接口!$K$1038),"")</f>
        <v/>
      </c>
      <c r="L1038" s="16" t="str">
        <f>IFERROR(IF([2]对账明细接口!$L$1038=0,"",[2]对账明细接口!$L$1038),"")</f>
        <v/>
      </c>
      <c r="M1038" s="16" t="str">
        <f>IFERROR(IF([2]对账明细接口!$M$1038=0,"",[2]对账明细接口!$M$1038),"")</f>
        <v/>
      </c>
      <c r="N1038" s="19">
        <f t="shared" si="96"/>
        <v>0</v>
      </c>
      <c r="O1038" s="19">
        <f t="shared" si="97"/>
        <v>165</v>
      </c>
      <c r="S1038" s="20" t="str">
        <f>IFERROR(IF([2]对账明细接口!$N1038=0,"",[2]对账明细接口!$N1038),"")</f>
        <v/>
      </c>
      <c r="T1038" s="21" t="str">
        <f>IFERROR(IF([2]对账明细接口!$O1038=0,"",[2]对账明细接口!$O1038),"")</f>
        <v/>
      </c>
      <c r="U1038" s="21" t="str">
        <f>IFERROR(IF([2]对账明细接口!$P1038=0,"",[2]对账明细接口!$P1038),"")</f>
        <v/>
      </c>
      <c r="V1038" s="21" t="str">
        <f>IFERROR(IF([2]对账明细接口!$Q1038=0,"",[2]对账明细接口!$Q1038),"")</f>
        <v/>
      </c>
      <c r="W1038" s="20" t="str">
        <f>IFERROR(IF([2]对账明细接口!$R1038=0,"",[2]对账明细接口!$R1038),"")</f>
        <v/>
      </c>
      <c r="X1038" s="20" t="str">
        <f>IFERROR(IF([2]对账明细接口!$S1038=0,"",[2]对账明细接口!$S1038),"")</f>
        <v/>
      </c>
      <c r="Y1038" s="20" t="str">
        <f t="shared" si="98"/>
        <v/>
      </c>
      <c r="Z1038" s="20" t="str">
        <f t="shared" si="99"/>
        <v/>
      </c>
      <c r="AA1038" s="20" t="str">
        <f t="shared" si="100"/>
        <v/>
      </c>
      <c r="AB1038" s="20" t="str">
        <f t="shared" si="101"/>
        <v/>
      </c>
    </row>
    <row r="1039" customHeight="1" spans="1:28">
      <c r="A1039" s="14">
        <v>1039</v>
      </c>
      <c r="B1039" s="15" t="str">
        <f>IFERROR(IF([2]对账明细接口!$B$1039=0,"",[2]对账明细接口!$B$1039),"")</f>
        <v/>
      </c>
      <c r="C1039" s="16" t="str">
        <f>IFERROR(IF([2]对账明细接口!$C$1039=0,"",[2]对账明细接口!$C$1039),"")</f>
        <v/>
      </c>
      <c r="D1039" s="16" t="str">
        <f>IFERROR(IF([2]对账明细接口!$D$1039=0,"",[2]对账明细接口!$D$1039),"")</f>
        <v/>
      </c>
      <c r="E1039" s="16" t="str">
        <f>IFERROR(IF([2]对账明细接口!$E$1039=0,"",[2]对账明细接口!$E$1039),"")</f>
        <v/>
      </c>
      <c r="F1039" s="16" t="str">
        <f>IFERROR(IF([2]对账明细接口!$F$1039=0,"",[2]对账明细接口!$F$1039),"")</f>
        <v/>
      </c>
      <c r="G1039" s="16" t="str">
        <f>IFERROR(IF([2]对账明细接口!$G$1039=0,"",[2]对账明细接口!$G$1039),"")</f>
        <v/>
      </c>
      <c r="H1039" s="17" t="str">
        <f>IFERROR(IF([2]对账明细接口!$H$1039=0,"",[2]对账明细接口!$H$1039),"")</f>
        <v/>
      </c>
      <c r="I1039" s="16" t="str">
        <f>IFERROR(IF([2]对账明细接口!$I$1039=0,"",[2]对账明细接口!$I$1039),"")</f>
        <v/>
      </c>
      <c r="J1039" s="18" t="str">
        <f>IFERROR(IF([2]对账明细接口!$J$1039=0,"",[2]对账明细接口!$J$1039),"")</f>
        <v/>
      </c>
      <c r="K1039" s="18" t="str">
        <f>IFERROR(IF([2]对账明细接口!$K$1039=0,"",[2]对账明细接口!$K$1039),"")</f>
        <v/>
      </c>
      <c r="L1039" s="16" t="str">
        <f>IFERROR(IF([2]对账明细接口!$L$1039=0,"",[2]对账明细接口!$L$1039),"")</f>
        <v/>
      </c>
      <c r="M1039" s="16" t="str">
        <f>IFERROR(IF([2]对账明细接口!$M$1039=0,"",[2]对账明细接口!$M$1039),"")</f>
        <v/>
      </c>
      <c r="N1039" s="19">
        <f t="shared" si="96"/>
        <v>0</v>
      </c>
      <c r="O1039" s="19">
        <f t="shared" si="97"/>
        <v>165</v>
      </c>
      <c r="S1039" s="20" t="str">
        <f>IFERROR(IF([2]对账明细接口!$N1039=0,"",[2]对账明细接口!$N1039),"")</f>
        <v/>
      </c>
      <c r="T1039" s="21" t="str">
        <f>IFERROR(IF([2]对账明细接口!$O1039=0,"",[2]对账明细接口!$O1039),"")</f>
        <v/>
      </c>
      <c r="U1039" s="21" t="str">
        <f>IFERROR(IF([2]对账明细接口!$P1039=0,"",[2]对账明细接口!$P1039),"")</f>
        <v/>
      </c>
      <c r="V1039" s="21" t="str">
        <f>IFERROR(IF([2]对账明细接口!$Q1039=0,"",[2]对账明细接口!$Q1039),"")</f>
        <v/>
      </c>
      <c r="W1039" s="20" t="str">
        <f>IFERROR(IF([2]对账明细接口!$R1039=0,"",[2]对账明细接口!$R1039),"")</f>
        <v/>
      </c>
      <c r="X1039" s="20" t="str">
        <f>IFERROR(IF([2]对账明细接口!$S1039=0,"",[2]对账明细接口!$S1039),"")</f>
        <v/>
      </c>
      <c r="Y1039" s="20" t="str">
        <f t="shared" si="98"/>
        <v/>
      </c>
      <c r="Z1039" s="20" t="str">
        <f t="shared" si="99"/>
        <v/>
      </c>
      <c r="AA1039" s="20" t="str">
        <f t="shared" si="100"/>
        <v/>
      </c>
      <c r="AB1039" s="20" t="str">
        <f t="shared" si="101"/>
        <v/>
      </c>
    </row>
    <row r="1040" customHeight="1" spans="1:28">
      <c r="A1040" s="14">
        <v>1040</v>
      </c>
      <c r="B1040" s="15" t="str">
        <f>IFERROR(IF([2]对账明细接口!$B$1040=0,"",[2]对账明细接口!$B$1040),"")</f>
        <v/>
      </c>
      <c r="C1040" s="16" t="str">
        <f>IFERROR(IF([2]对账明细接口!$C$1040=0,"",[2]对账明细接口!$C$1040),"")</f>
        <v/>
      </c>
      <c r="D1040" s="16" t="str">
        <f>IFERROR(IF([2]对账明细接口!$D$1040=0,"",[2]对账明细接口!$D$1040),"")</f>
        <v/>
      </c>
      <c r="E1040" s="16" t="str">
        <f>IFERROR(IF([2]对账明细接口!$E$1040=0,"",[2]对账明细接口!$E$1040),"")</f>
        <v/>
      </c>
      <c r="F1040" s="16" t="str">
        <f>IFERROR(IF([2]对账明细接口!$F$1040=0,"",[2]对账明细接口!$F$1040),"")</f>
        <v/>
      </c>
      <c r="G1040" s="16" t="str">
        <f>IFERROR(IF([2]对账明细接口!$G$1040=0,"",[2]对账明细接口!$G$1040),"")</f>
        <v/>
      </c>
      <c r="H1040" s="17" t="str">
        <f>IFERROR(IF([2]对账明细接口!$H$1040=0,"",[2]对账明细接口!$H$1040),"")</f>
        <v/>
      </c>
      <c r="I1040" s="16" t="str">
        <f>IFERROR(IF([2]对账明细接口!$I$1040=0,"",[2]对账明细接口!$I$1040),"")</f>
        <v/>
      </c>
      <c r="J1040" s="18" t="str">
        <f>IFERROR(IF([2]对账明细接口!$J$1040=0,"",[2]对账明细接口!$J$1040),"")</f>
        <v/>
      </c>
      <c r="K1040" s="18" t="str">
        <f>IFERROR(IF([2]对账明细接口!$K$1040=0,"",[2]对账明细接口!$K$1040),"")</f>
        <v/>
      </c>
      <c r="L1040" s="16" t="str">
        <f>IFERROR(IF([2]对账明细接口!$L$1040=0,"",[2]对账明细接口!$L$1040),"")</f>
        <v/>
      </c>
      <c r="M1040" s="16" t="str">
        <f>IFERROR(IF([2]对账明细接口!$M$1040=0,"",[2]对账明细接口!$M$1040),"")</f>
        <v/>
      </c>
      <c r="N1040" s="19">
        <f t="shared" si="96"/>
        <v>0</v>
      </c>
      <c r="O1040" s="19">
        <f t="shared" si="97"/>
        <v>165</v>
      </c>
      <c r="S1040" s="20" t="str">
        <f>IFERROR(IF([2]对账明细接口!$N1040=0,"",[2]对账明细接口!$N1040),"")</f>
        <v/>
      </c>
      <c r="T1040" s="21" t="str">
        <f>IFERROR(IF([2]对账明细接口!$O1040=0,"",[2]对账明细接口!$O1040),"")</f>
        <v/>
      </c>
      <c r="U1040" s="21" t="str">
        <f>IFERROR(IF([2]对账明细接口!$P1040=0,"",[2]对账明细接口!$P1040),"")</f>
        <v/>
      </c>
      <c r="V1040" s="21" t="str">
        <f>IFERROR(IF([2]对账明细接口!$Q1040=0,"",[2]对账明细接口!$Q1040),"")</f>
        <v/>
      </c>
      <c r="W1040" s="20" t="str">
        <f>IFERROR(IF([2]对账明细接口!$R1040=0,"",[2]对账明细接口!$R1040),"")</f>
        <v/>
      </c>
      <c r="X1040" s="20" t="str">
        <f>IFERROR(IF([2]对账明细接口!$S1040=0,"",[2]对账明细接口!$S1040),"")</f>
        <v/>
      </c>
      <c r="Y1040" s="20" t="str">
        <f t="shared" si="98"/>
        <v/>
      </c>
      <c r="Z1040" s="20" t="str">
        <f t="shared" si="99"/>
        <v/>
      </c>
      <c r="AA1040" s="20" t="str">
        <f t="shared" si="100"/>
        <v/>
      </c>
      <c r="AB1040" s="20" t="str">
        <f t="shared" si="101"/>
        <v/>
      </c>
    </row>
    <row r="1041" customHeight="1" spans="1:28">
      <c r="A1041" s="14">
        <v>1041</v>
      </c>
      <c r="B1041" s="15" t="str">
        <f>IFERROR(IF([2]对账明细接口!$B$1041=0,"",[2]对账明细接口!$B$1041),"")</f>
        <v/>
      </c>
      <c r="C1041" s="16" t="str">
        <f>IFERROR(IF([2]对账明细接口!$C$1041=0,"",[2]对账明细接口!$C$1041),"")</f>
        <v/>
      </c>
      <c r="D1041" s="16" t="str">
        <f>IFERROR(IF([2]对账明细接口!$D$1041=0,"",[2]对账明细接口!$D$1041),"")</f>
        <v/>
      </c>
      <c r="E1041" s="16" t="str">
        <f>IFERROR(IF([2]对账明细接口!$E$1041=0,"",[2]对账明细接口!$E$1041),"")</f>
        <v/>
      </c>
      <c r="F1041" s="16" t="str">
        <f>IFERROR(IF([2]对账明细接口!$F$1041=0,"",[2]对账明细接口!$F$1041),"")</f>
        <v/>
      </c>
      <c r="G1041" s="16" t="str">
        <f>IFERROR(IF([2]对账明细接口!$G$1041=0,"",[2]对账明细接口!$G$1041),"")</f>
        <v/>
      </c>
      <c r="H1041" s="17" t="str">
        <f>IFERROR(IF([2]对账明细接口!$H$1041=0,"",[2]对账明细接口!$H$1041),"")</f>
        <v/>
      </c>
      <c r="I1041" s="16" t="str">
        <f>IFERROR(IF([2]对账明细接口!$I$1041=0,"",[2]对账明细接口!$I$1041),"")</f>
        <v/>
      </c>
      <c r="J1041" s="18" t="str">
        <f>IFERROR(IF([2]对账明细接口!$J$1041=0,"",[2]对账明细接口!$J$1041),"")</f>
        <v/>
      </c>
      <c r="K1041" s="18" t="str">
        <f>IFERROR(IF([2]对账明细接口!$K$1041=0,"",[2]对账明细接口!$K$1041),"")</f>
        <v/>
      </c>
      <c r="L1041" s="16" t="str">
        <f>IFERROR(IF([2]对账明细接口!$L$1041=0,"",[2]对账明细接口!$L$1041),"")</f>
        <v/>
      </c>
      <c r="M1041" s="16" t="str">
        <f>IFERROR(IF([2]对账明细接口!$M$1041=0,"",[2]对账明细接口!$M$1041),"")</f>
        <v/>
      </c>
      <c r="N1041" s="19">
        <f t="shared" si="96"/>
        <v>0</v>
      </c>
      <c r="O1041" s="19">
        <f t="shared" si="97"/>
        <v>165</v>
      </c>
      <c r="S1041" s="20" t="str">
        <f>IFERROR(IF([2]对账明细接口!$N1041=0,"",[2]对账明细接口!$N1041),"")</f>
        <v/>
      </c>
      <c r="T1041" s="21" t="str">
        <f>IFERROR(IF([2]对账明细接口!$O1041=0,"",[2]对账明细接口!$O1041),"")</f>
        <v/>
      </c>
      <c r="U1041" s="21" t="str">
        <f>IFERROR(IF([2]对账明细接口!$P1041=0,"",[2]对账明细接口!$P1041),"")</f>
        <v/>
      </c>
      <c r="V1041" s="21" t="str">
        <f>IFERROR(IF([2]对账明细接口!$Q1041=0,"",[2]对账明细接口!$Q1041),"")</f>
        <v/>
      </c>
      <c r="W1041" s="20" t="str">
        <f>IFERROR(IF([2]对账明细接口!$R1041=0,"",[2]对账明细接口!$R1041),"")</f>
        <v/>
      </c>
      <c r="X1041" s="20" t="str">
        <f>IFERROR(IF([2]对账明细接口!$S1041=0,"",[2]对账明细接口!$S1041),"")</f>
        <v/>
      </c>
      <c r="Y1041" s="20" t="str">
        <f t="shared" si="98"/>
        <v/>
      </c>
      <c r="Z1041" s="20" t="str">
        <f t="shared" si="99"/>
        <v/>
      </c>
      <c r="AA1041" s="20" t="str">
        <f t="shared" si="100"/>
        <v/>
      </c>
      <c r="AB1041" s="20" t="str">
        <f t="shared" si="101"/>
        <v/>
      </c>
    </row>
    <row r="1042" customHeight="1" spans="1:28">
      <c r="A1042" s="14">
        <v>1042</v>
      </c>
      <c r="B1042" s="15" t="str">
        <f>IFERROR(IF([2]对账明细接口!$B$1042=0,"",[2]对账明细接口!$B$1042),"")</f>
        <v/>
      </c>
      <c r="C1042" s="16" t="str">
        <f>IFERROR(IF([2]对账明细接口!$C$1042=0,"",[2]对账明细接口!$C$1042),"")</f>
        <v/>
      </c>
      <c r="D1042" s="16" t="str">
        <f>IFERROR(IF([2]对账明细接口!$D$1042=0,"",[2]对账明细接口!$D$1042),"")</f>
        <v/>
      </c>
      <c r="E1042" s="16" t="str">
        <f>IFERROR(IF([2]对账明细接口!$E$1042=0,"",[2]对账明细接口!$E$1042),"")</f>
        <v/>
      </c>
      <c r="F1042" s="16" t="str">
        <f>IFERROR(IF([2]对账明细接口!$F$1042=0,"",[2]对账明细接口!$F$1042),"")</f>
        <v/>
      </c>
      <c r="G1042" s="16" t="str">
        <f>IFERROR(IF([2]对账明细接口!$G$1042=0,"",[2]对账明细接口!$G$1042),"")</f>
        <v/>
      </c>
      <c r="H1042" s="17" t="str">
        <f>IFERROR(IF([2]对账明细接口!$H$1042=0,"",[2]对账明细接口!$H$1042),"")</f>
        <v/>
      </c>
      <c r="I1042" s="16" t="str">
        <f>IFERROR(IF([2]对账明细接口!$I$1042=0,"",[2]对账明细接口!$I$1042),"")</f>
        <v/>
      </c>
      <c r="J1042" s="18" t="str">
        <f>IFERROR(IF([2]对账明细接口!$J$1042=0,"",[2]对账明细接口!$J$1042),"")</f>
        <v/>
      </c>
      <c r="K1042" s="18" t="str">
        <f>IFERROR(IF([2]对账明细接口!$K$1042=0,"",[2]对账明细接口!$K$1042),"")</f>
        <v/>
      </c>
      <c r="L1042" s="16" t="str">
        <f>IFERROR(IF([2]对账明细接口!$L$1042=0,"",[2]对账明细接口!$L$1042),"")</f>
        <v/>
      </c>
      <c r="M1042" s="16" t="str">
        <f>IFERROR(IF([2]对账明细接口!$M$1042=0,"",[2]对账明细接口!$M$1042),"")</f>
        <v/>
      </c>
      <c r="N1042" s="19">
        <f t="shared" si="96"/>
        <v>0</v>
      </c>
      <c r="O1042" s="19">
        <f t="shared" si="97"/>
        <v>165</v>
      </c>
      <c r="S1042" s="20" t="str">
        <f>IFERROR(IF([2]对账明细接口!$N1042=0,"",[2]对账明细接口!$N1042),"")</f>
        <v/>
      </c>
      <c r="T1042" s="21" t="str">
        <f>IFERROR(IF([2]对账明细接口!$O1042=0,"",[2]对账明细接口!$O1042),"")</f>
        <v/>
      </c>
      <c r="U1042" s="21" t="str">
        <f>IFERROR(IF([2]对账明细接口!$P1042=0,"",[2]对账明细接口!$P1042),"")</f>
        <v/>
      </c>
      <c r="V1042" s="21" t="str">
        <f>IFERROR(IF([2]对账明细接口!$Q1042=0,"",[2]对账明细接口!$Q1042),"")</f>
        <v/>
      </c>
      <c r="W1042" s="20" t="str">
        <f>IFERROR(IF([2]对账明细接口!$R1042=0,"",[2]对账明细接口!$R1042),"")</f>
        <v/>
      </c>
      <c r="X1042" s="20" t="str">
        <f>IFERROR(IF([2]对账明细接口!$S1042=0,"",[2]对账明细接口!$S1042),"")</f>
        <v/>
      </c>
      <c r="Y1042" s="20" t="str">
        <f t="shared" si="98"/>
        <v/>
      </c>
      <c r="Z1042" s="20" t="str">
        <f t="shared" si="99"/>
        <v/>
      </c>
      <c r="AA1042" s="20" t="str">
        <f t="shared" si="100"/>
        <v/>
      </c>
      <c r="AB1042" s="20" t="str">
        <f t="shared" si="101"/>
        <v/>
      </c>
    </row>
    <row r="1043" customHeight="1" spans="1:28">
      <c r="A1043" s="14">
        <v>1043</v>
      </c>
      <c r="B1043" s="15" t="str">
        <f>IFERROR(IF([2]对账明细接口!$B$1043=0,"",[2]对账明细接口!$B$1043),"")</f>
        <v/>
      </c>
      <c r="C1043" s="16" t="str">
        <f>IFERROR(IF([2]对账明细接口!$C$1043=0,"",[2]对账明细接口!$C$1043),"")</f>
        <v/>
      </c>
      <c r="D1043" s="16" t="str">
        <f>IFERROR(IF([2]对账明细接口!$D$1043=0,"",[2]对账明细接口!$D$1043),"")</f>
        <v/>
      </c>
      <c r="E1043" s="16" t="str">
        <f>IFERROR(IF([2]对账明细接口!$E$1043=0,"",[2]对账明细接口!$E$1043),"")</f>
        <v/>
      </c>
      <c r="F1043" s="16" t="str">
        <f>IFERROR(IF([2]对账明细接口!$F$1043=0,"",[2]对账明细接口!$F$1043),"")</f>
        <v/>
      </c>
      <c r="G1043" s="16" t="str">
        <f>IFERROR(IF([2]对账明细接口!$G$1043=0,"",[2]对账明细接口!$G$1043),"")</f>
        <v/>
      </c>
      <c r="H1043" s="17" t="str">
        <f>IFERROR(IF([2]对账明细接口!$H$1043=0,"",[2]对账明细接口!$H$1043),"")</f>
        <v/>
      </c>
      <c r="I1043" s="16" t="str">
        <f>IFERROR(IF([2]对账明细接口!$I$1043=0,"",[2]对账明细接口!$I$1043),"")</f>
        <v/>
      </c>
      <c r="J1043" s="18" t="str">
        <f>IFERROR(IF([2]对账明细接口!$J$1043=0,"",[2]对账明细接口!$J$1043),"")</f>
        <v/>
      </c>
      <c r="K1043" s="18" t="str">
        <f>IFERROR(IF([2]对账明细接口!$K$1043=0,"",[2]对账明细接口!$K$1043),"")</f>
        <v/>
      </c>
      <c r="L1043" s="16" t="str">
        <f>IFERROR(IF([2]对账明细接口!$L$1043=0,"",[2]对账明细接口!$L$1043),"")</f>
        <v/>
      </c>
      <c r="M1043" s="16" t="str">
        <f>IFERROR(IF([2]对账明细接口!$M$1043=0,"",[2]对账明细接口!$M$1043),"")</f>
        <v/>
      </c>
      <c r="N1043" s="19">
        <f t="shared" si="96"/>
        <v>0</v>
      </c>
      <c r="O1043" s="19">
        <f t="shared" si="97"/>
        <v>165</v>
      </c>
      <c r="S1043" s="20" t="str">
        <f>IFERROR(IF([2]对账明细接口!$N1043=0,"",[2]对账明细接口!$N1043),"")</f>
        <v/>
      </c>
      <c r="T1043" s="21" t="str">
        <f>IFERROR(IF([2]对账明细接口!$O1043=0,"",[2]对账明细接口!$O1043),"")</f>
        <v/>
      </c>
      <c r="U1043" s="21" t="str">
        <f>IFERROR(IF([2]对账明细接口!$P1043=0,"",[2]对账明细接口!$P1043),"")</f>
        <v/>
      </c>
      <c r="V1043" s="21" t="str">
        <f>IFERROR(IF([2]对账明细接口!$Q1043=0,"",[2]对账明细接口!$Q1043),"")</f>
        <v/>
      </c>
      <c r="W1043" s="20" t="str">
        <f>IFERROR(IF([2]对账明细接口!$R1043=0,"",[2]对账明细接口!$R1043),"")</f>
        <v/>
      </c>
      <c r="X1043" s="20" t="str">
        <f>IFERROR(IF([2]对账明细接口!$S1043=0,"",[2]对账明细接口!$S1043),"")</f>
        <v/>
      </c>
      <c r="Y1043" s="20" t="str">
        <f t="shared" si="98"/>
        <v/>
      </c>
      <c r="Z1043" s="20" t="str">
        <f t="shared" si="99"/>
        <v/>
      </c>
      <c r="AA1043" s="20" t="str">
        <f t="shared" si="100"/>
        <v/>
      </c>
      <c r="AB1043" s="20" t="str">
        <f t="shared" si="101"/>
        <v/>
      </c>
    </row>
    <row r="1044" customHeight="1" spans="1:28">
      <c r="A1044" s="14">
        <v>1044</v>
      </c>
      <c r="B1044" s="15" t="str">
        <f>IFERROR(IF([2]对账明细接口!$B$1044=0,"",[2]对账明细接口!$B$1044),"")</f>
        <v/>
      </c>
      <c r="C1044" s="16" t="str">
        <f>IFERROR(IF([2]对账明细接口!$C$1044=0,"",[2]对账明细接口!$C$1044),"")</f>
        <v/>
      </c>
      <c r="D1044" s="16" t="str">
        <f>IFERROR(IF([2]对账明细接口!$D$1044=0,"",[2]对账明细接口!$D$1044),"")</f>
        <v/>
      </c>
      <c r="E1044" s="16" t="str">
        <f>IFERROR(IF([2]对账明细接口!$E$1044=0,"",[2]对账明细接口!$E$1044),"")</f>
        <v/>
      </c>
      <c r="F1044" s="16" t="str">
        <f>IFERROR(IF([2]对账明细接口!$F$1044=0,"",[2]对账明细接口!$F$1044),"")</f>
        <v/>
      </c>
      <c r="G1044" s="16" t="str">
        <f>IFERROR(IF([2]对账明细接口!$G$1044=0,"",[2]对账明细接口!$G$1044),"")</f>
        <v/>
      </c>
      <c r="H1044" s="17" t="str">
        <f>IFERROR(IF([2]对账明细接口!$H$1044=0,"",[2]对账明细接口!$H$1044),"")</f>
        <v/>
      </c>
      <c r="I1044" s="16" t="str">
        <f>IFERROR(IF([2]对账明细接口!$I$1044=0,"",[2]对账明细接口!$I$1044),"")</f>
        <v/>
      </c>
      <c r="J1044" s="18" t="str">
        <f>IFERROR(IF([2]对账明细接口!$J$1044=0,"",[2]对账明细接口!$J$1044),"")</f>
        <v/>
      </c>
      <c r="K1044" s="18" t="str">
        <f>IFERROR(IF([2]对账明细接口!$K$1044=0,"",[2]对账明细接口!$K$1044),"")</f>
        <v/>
      </c>
      <c r="L1044" s="16" t="str">
        <f>IFERROR(IF([2]对账明细接口!$L$1044=0,"",[2]对账明细接口!$L$1044),"")</f>
        <v/>
      </c>
      <c r="M1044" s="16" t="str">
        <f>IFERROR(IF([2]对账明细接口!$M$1044=0,"",[2]对账明细接口!$M$1044),"")</f>
        <v/>
      </c>
      <c r="N1044" s="19">
        <f t="shared" si="96"/>
        <v>0</v>
      </c>
      <c r="O1044" s="19">
        <f t="shared" si="97"/>
        <v>165</v>
      </c>
      <c r="S1044" s="20" t="str">
        <f>IFERROR(IF([2]对账明细接口!$N1044=0,"",[2]对账明细接口!$N1044),"")</f>
        <v/>
      </c>
      <c r="T1044" s="21" t="str">
        <f>IFERROR(IF([2]对账明细接口!$O1044=0,"",[2]对账明细接口!$O1044),"")</f>
        <v/>
      </c>
      <c r="U1044" s="21" t="str">
        <f>IFERROR(IF([2]对账明细接口!$P1044=0,"",[2]对账明细接口!$P1044),"")</f>
        <v/>
      </c>
      <c r="V1044" s="21" t="str">
        <f>IFERROR(IF([2]对账明细接口!$Q1044=0,"",[2]对账明细接口!$Q1044),"")</f>
        <v/>
      </c>
      <c r="W1044" s="20" t="str">
        <f>IFERROR(IF([2]对账明细接口!$R1044=0,"",[2]对账明细接口!$R1044),"")</f>
        <v/>
      </c>
      <c r="X1044" s="20" t="str">
        <f>IFERROR(IF([2]对账明细接口!$S1044=0,"",[2]对账明细接口!$S1044),"")</f>
        <v/>
      </c>
      <c r="Y1044" s="20" t="str">
        <f t="shared" si="98"/>
        <v/>
      </c>
      <c r="Z1044" s="20" t="str">
        <f t="shared" si="99"/>
        <v/>
      </c>
      <c r="AA1044" s="20" t="str">
        <f t="shared" si="100"/>
        <v/>
      </c>
      <c r="AB1044" s="20" t="str">
        <f t="shared" si="101"/>
        <v/>
      </c>
    </row>
    <row r="1045" customHeight="1" spans="1:28">
      <c r="A1045" s="14">
        <v>1045</v>
      </c>
      <c r="B1045" s="15" t="str">
        <f>IFERROR(IF([2]对账明细接口!$B$1045=0,"",[2]对账明细接口!$B$1045),"")</f>
        <v/>
      </c>
      <c r="C1045" s="16" t="str">
        <f>IFERROR(IF([2]对账明细接口!$C$1045=0,"",[2]对账明细接口!$C$1045),"")</f>
        <v/>
      </c>
      <c r="D1045" s="16" t="str">
        <f>IFERROR(IF([2]对账明细接口!$D$1045=0,"",[2]对账明细接口!$D$1045),"")</f>
        <v/>
      </c>
      <c r="E1045" s="16" t="str">
        <f>IFERROR(IF([2]对账明细接口!$E$1045=0,"",[2]对账明细接口!$E$1045),"")</f>
        <v/>
      </c>
      <c r="F1045" s="16" t="str">
        <f>IFERROR(IF([2]对账明细接口!$F$1045=0,"",[2]对账明细接口!$F$1045),"")</f>
        <v/>
      </c>
      <c r="G1045" s="16" t="str">
        <f>IFERROR(IF([2]对账明细接口!$G$1045=0,"",[2]对账明细接口!$G$1045),"")</f>
        <v/>
      </c>
      <c r="H1045" s="17" t="str">
        <f>IFERROR(IF([2]对账明细接口!$H$1045=0,"",[2]对账明细接口!$H$1045),"")</f>
        <v/>
      </c>
      <c r="I1045" s="16" t="str">
        <f>IFERROR(IF([2]对账明细接口!$I$1045=0,"",[2]对账明细接口!$I$1045),"")</f>
        <v/>
      </c>
      <c r="J1045" s="18" t="str">
        <f>IFERROR(IF([2]对账明细接口!$J$1045=0,"",[2]对账明细接口!$J$1045),"")</f>
        <v/>
      </c>
      <c r="K1045" s="18" t="str">
        <f>IFERROR(IF([2]对账明细接口!$K$1045=0,"",[2]对账明细接口!$K$1045),"")</f>
        <v/>
      </c>
      <c r="L1045" s="16" t="str">
        <f>IFERROR(IF([2]对账明细接口!$L$1045=0,"",[2]对账明细接口!$L$1045),"")</f>
        <v/>
      </c>
      <c r="M1045" s="16" t="str">
        <f>IFERROR(IF([2]对账明细接口!$M$1045=0,"",[2]对账明细接口!$M$1045),"")</f>
        <v/>
      </c>
      <c r="N1045" s="19">
        <f t="shared" si="96"/>
        <v>0</v>
      </c>
      <c r="O1045" s="19">
        <f t="shared" si="97"/>
        <v>165</v>
      </c>
      <c r="S1045" s="20" t="str">
        <f>IFERROR(IF([2]对账明细接口!$N1045=0,"",[2]对账明细接口!$N1045),"")</f>
        <v/>
      </c>
      <c r="T1045" s="21" t="str">
        <f>IFERROR(IF([2]对账明细接口!$O1045=0,"",[2]对账明细接口!$O1045),"")</f>
        <v/>
      </c>
      <c r="U1045" s="21" t="str">
        <f>IFERROR(IF([2]对账明细接口!$P1045=0,"",[2]对账明细接口!$P1045),"")</f>
        <v/>
      </c>
      <c r="V1045" s="21" t="str">
        <f>IFERROR(IF([2]对账明细接口!$Q1045=0,"",[2]对账明细接口!$Q1045),"")</f>
        <v/>
      </c>
      <c r="W1045" s="20" t="str">
        <f>IFERROR(IF([2]对账明细接口!$R1045=0,"",[2]对账明细接口!$R1045),"")</f>
        <v/>
      </c>
      <c r="X1045" s="20" t="str">
        <f>IFERROR(IF([2]对账明细接口!$S1045=0,"",[2]对账明细接口!$S1045),"")</f>
        <v/>
      </c>
      <c r="Y1045" s="20" t="str">
        <f t="shared" si="98"/>
        <v/>
      </c>
      <c r="Z1045" s="20" t="str">
        <f t="shared" si="99"/>
        <v/>
      </c>
      <c r="AA1045" s="20" t="str">
        <f t="shared" si="100"/>
        <v/>
      </c>
      <c r="AB1045" s="20" t="str">
        <f t="shared" si="101"/>
        <v/>
      </c>
    </row>
    <row r="1046" customHeight="1" spans="1:28">
      <c r="A1046" s="14">
        <v>1046</v>
      </c>
      <c r="B1046" s="15" t="str">
        <f>IFERROR(IF([2]对账明细接口!$B$1046=0,"",[2]对账明细接口!$B$1046),"")</f>
        <v/>
      </c>
      <c r="C1046" s="16" t="str">
        <f>IFERROR(IF([2]对账明细接口!$C$1046=0,"",[2]对账明细接口!$C$1046),"")</f>
        <v/>
      </c>
      <c r="D1046" s="16" t="str">
        <f>IFERROR(IF([2]对账明细接口!$D$1046=0,"",[2]对账明细接口!$D$1046),"")</f>
        <v/>
      </c>
      <c r="E1046" s="16" t="str">
        <f>IFERROR(IF([2]对账明细接口!$E$1046=0,"",[2]对账明细接口!$E$1046),"")</f>
        <v/>
      </c>
      <c r="F1046" s="16" t="str">
        <f>IFERROR(IF([2]对账明细接口!$F$1046=0,"",[2]对账明细接口!$F$1046),"")</f>
        <v/>
      </c>
      <c r="G1046" s="16" t="str">
        <f>IFERROR(IF([2]对账明细接口!$G$1046=0,"",[2]对账明细接口!$G$1046),"")</f>
        <v/>
      </c>
      <c r="H1046" s="17" t="str">
        <f>IFERROR(IF([2]对账明细接口!$H$1046=0,"",[2]对账明细接口!$H$1046),"")</f>
        <v/>
      </c>
      <c r="I1046" s="16" t="str">
        <f>IFERROR(IF([2]对账明细接口!$I$1046=0,"",[2]对账明细接口!$I$1046),"")</f>
        <v/>
      </c>
      <c r="J1046" s="18" t="str">
        <f>IFERROR(IF([2]对账明细接口!$J$1046=0,"",[2]对账明细接口!$J$1046),"")</f>
        <v/>
      </c>
      <c r="K1046" s="18" t="str">
        <f>IFERROR(IF([2]对账明细接口!$K$1046=0,"",[2]对账明细接口!$K$1046),"")</f>
        <v/>
      </c>
      <c r="L1046" s="16" t="str">
        <f>IFERROR(IF([2]对账明细接口!$L$1046=0,"",[2]对账明细接口!$L$1046),"")</f>
        <v/>
      </c>
      <c r="M1046" s="16" t="str">
        <f>IFERROR(IF([2]对账明细接口!$M$1046=0,"",[2]对账明细接口!$M$1046),"")</f>
        <v/>
      </c>
      <c r="N1046" s="19">
        <f t="shared" si="96"/>
        <v>0</v>
      </c>
      <c r="O1046" s="19">
        <f t="shared" si="97"/>
        <v>165</v>
      </c>
      <c r="S1046" s="20" t="str">
        <f>IFERROR(IF([2]对账明细接口!$N1046=0,"",[2]对账明细接口!$N1046),"")</f>
        <v/>
      </c>
      <c r="T1046" s="21" t="str">
        <f>IFERROR(IF([2]对账明细接口!$O1046=0,"",[2]对账明细接口!$O1046),"")</f>
        <v/>
      </c>
      <c r="U1046" s="21" t="str">
        <f>IFERROR(IF([2]对账明细接口!$P1046=0,"",[2]对账明细接口!$P1046),"")</f>
        <v/>
      </c>
      <c r="V1046" s="21" t="str">
        <f>IFERROR(IF([2]对账明细接口!$Q1046=0,"",[2]对账明细接口!$Q1046),"")</f>
        <v/>
      </c>
      <c r="W1046" s="20" t="str">
        <f>IFERROR(IF([2]对账明细接口!$R1046=0,"",[2]对账明细接口!$R1046),"")</f>
        <v/>
      </c>
      <c r="X1046" s="20" t="str">
        <f>IFERROR(IF([2]对账明细接口!$S1046=0,"",[2]对账明细接口!$S1046),"")</f>
        <v/>
      </c>
      <c r="Y1046" s="20" t="str">
        <f t="shared" si="98"/>
        <v/>
      </c>
      <c r="Z1046" s="20" t="str">
        <f t="shared" si="99"/>
        <v/>
      </c>
      <c r="AA1046" s="20" t="str">
        <f t="shared" si="100"/>
        <v/>
      </c>
      <c r="AB1046" s="20" t="str">
        <f t="shared" si="101"/>
        <v/>
      </c>
    </row>
    <row r="1047" customHeight="1" spans="1:28">
      <c r="A1047" s="14">
        <v>1047</v>
      </c>
      <c r="B1047" s="15" t="str">
        <f>IFERROR(IF([2]对账明细接口!$B$1047=0,"",[2]对账明细接口!$B$1047),"")</f>
        <v/>
      </c>
      <c r="C1047" s="16" t="str">
        <f>IFERROR(IF([2]对账明细接口!$C$1047=0,"",[2]对账明细接口!$C$1047),"")</f>
        <v/>
      </c>
      <c r="D1047" s="16" t="str">
        <f>IFERROR(IF([2]对账明细接口!$D$1047=0,"",[2]对账明细接口!$D$1047),"")</f>
        <v/>
      </c>
      <c r="E1047" s="16" t="str">
        <f>IFERROR(IF([2]对账明细接口!$E$1047=0,"",[2]对账明细接口!$E$1047),"")</f>
        <v/>
      </c>
      <c r="F1047" s="16" t="str">
        <f>IFERROR(IF([2]对账明细接口!$F$1047=0,"",[2]对账明细接口!$F$1047),"")</f>
        <v/>
      </c>
      <c r="G1047" s="16" t="str">
        <f>IFERROR(IF([2]对账明细接口!$G$1047=0,"",[2]对账明细接口!$G$1047),"")</f>
        <v/>
      </c>
      <c r="H1047" s="17" t="str">
        <f>IFERROR(IF([2]对账明细接口!$H$1047=0,"",[2]对账明细接口!$H$1047),"")</f>
        <v/>
      </c>
      <c r="I1047" s="16" t="str">
        <f>IFERROR(IF([2]对账明细接口!$I$1047=0,"",[2]对账明细接口!$I$1047),"")</f>
        <v/>
      </c>
      <c r="J1047" s="18" t="str">
        <f>IFERROR(IF([2]对账明细接口!$J$1047=0,"",[2]对账明细接口!$J$1047),"")</f>
        <v/>
      </c>
      <c r="K1047" s="18" t="str">
        <f>IFERROR(IF([2]对账明细接口!$K$1047=0,"",[2]对账明细接口!$K$1047),"")</f>
        <v/>
      </c>
      <c r="L1047" s="16" t="str">
        <f>IFERROR(IF([2]对账明细接口!$L$1047=0,"",[2]对账明细接口!$L$1047),"")</f>
        <v/>
      </c>
      <c r="M1047" s="16" t="str">
        <f>IFERROR(IF([2]对账明细接口!$M$1047=0,"",[2]对账明细接口!$M$1047),"")</f>
        <v/>
      </c>
      <c r="N1047" s="19">
        <f t="shared" si="96"/>
        <v>0</v>
      </c>
      <c r="O1047" s="19">
        <f t="shared" si="97"/>
        <v>165</v>
      </c>
      <c r="S1047" s="20" t="str">
        <f>IFERROR(IF([2]对账明细接口!$N1047=0,"",[2]对账明细接口!$N1047),"")</f>
        <v/>
      </c>
      <c r="T1047" s="21" t="str">
        <f>IFERROR(IF([2]对账明细接口!$O1047=0,"",[2]对账明细接口!$O1047),"")</f>
        <v/>
      </c>
      <c r="U1047" s="21" t="str">
        <f>IFERROR(IF([2]对账明细接口!$P1047=0,"",[2]对账明细接口!$P1047),"")</f>
        <v/>
      </c>
      <c r="V1047" s="21" t="str">
        <f>IFERROR(IF([2]对账明细接口!$Q1047=0,"",[2]对账明细接口!$Q1047),"")</f>
        <v/>
      </c>
      <c r="W1047" s="20" t="str">
        <f>IFERROR(IF([2]对账明细接口!$R1047=0,"",[2]对账明细接口!$R1047),"")</f>
        <v/>
      </c>
      <c r="X1047" s="20" t="str">
        <f>IFERROR(IF([2]对账明细接口!$S1047=0,"",[2]对账明细接口!$S1047),"")</f>
        <v/>
      </c>
      <c r="Y1047" s="20" t="str">
        <f t="shared" si="98"/>
        <v/>
      </c>
      <c r="Z1047" s="20" t="str">
        <f t="shared" si="99"/>
        <v/>
      </c>
      <c r="AA1047" s="20" t="str">
        <f t="shared" si="100"/>
        <v/>
      </c>
      <c r="AB1047" s="20" t="str">
        <f t="shared" si="101"/>
        <v/>
      </c>
    </row>
    <row r="1048" customHeight="1" spans="1:28">
      <c r="A1048" s="14">
        <v>1048</v>
      </c>
      <c r="B1048" s="15" t="str">
        <f>IFERROR(IF([2]对账明细接口!$B$1048=0,"",[2]对账明细接口!$B$1048),"")</f>
        <v/>
      </c>
      <c r="C1048" s="16" t="str">
        <f>IFERROR(IF([2]对账明细接口!$C$1048=0,"",[2]对账明细接口!$C$1048),"")</f>
        <v/>
      </c>
      <c r="D1048" s="16" t="str">
        <f>IFERROR(IF([2]对账明细接口!$D$1048=0,"",[2]对账明细接口!$D$1048),"")</f>
        <v/>
      </c>
      <c r="E1048" s="16" t="str">
        <f>IFERROR(IF([2]对账明细接口!$E$1048=0,"",[2]对账明细接口!$E$1048),"")</f>
        <v/>
      </c>
      <c r="F1048" s="16" t="str">
        <f>IFERROR(IF([2]对账明细接口!$F$1048=0,"",[2]对账明细接口!$F$1048),"")</f>
        <v/>
      </c>
      <c r="G1048" s="16" t="str">
        <f>IFERROR(IF([2]对账明细接口!$G$1048=0,"",[2]对账明细接口!$G$1048),"")</f>
        <v/>
      </c>
      <c r="H1048" s="17" t="str">
        <f>IFERROR(IF([2]对账明细接口!$H$1048=0,"",[2]对账明细接口!$H$1048),"")</f>
        <v/>
      </c>
      <c r="I1048" s="16" t="str">
        <f>IFERROR(IF([2]对账明细接口!$I$1048=0,"",[2]对账明细接口!$I$1048),"")</f>
        <v/>
      </c>
      <c r="J1048" s="18" t="str">
        <f>IFERROR(IF([2]对账明细接口!$J$1048=0,"",[2]对账明细接口!$J$1048),"")</f>
        <v/>
      </c>
      <c r="K1048" s="18" t="str">
        <f>IFERROR(IF([2]对账明细接口!$K$1048=0,"",[2]对账明细接口!$K$1048),"")</f>
        <v/>
      </c>
      <c r="L1048" s="16" t="str">
        <f>IFERROR(IF([2]对账明细接口!$L$1048=0,"",[2]对账明细接口!$L$1048),"")</f>
        <v/>
      </c>
      <c r="M1048" s="16" t="str">
        <f>IFERROR(IF([2]对账明细接口!$M$1048=0,"",[2]对账明细接口!$M$1048),"")</f>
        <v/>
      </c>
      <c r="N1048" s="19">
        <f t="shared" si="96"/>
        <v>0</v>
      </c>
      <c r="O1048" s="19">
        <f t="shared" si="97"/>
        <v>165</v>
      </c>
      <c r="S1048" s="20" t="str">
        <f>IFERROR(IF([2]对账明细接口!$N1048=0,"",[2]对账明细接口!$N1048),"")</f>
        <v/>
      </c>
      <c r="T1048" s="21" t="str">
        <f>IFERROR(IF([2]对账明细接口!$O1048=0,"",[2]对账明细接口!$O1048),"")</f>
        <v/>
      </c>
      <c r="U1048" s="21" t="str">
        <f>IFERROR(IF([2]对账明细接口!$P1048=0,"",[2]对账明细接口!$P1048),"")</f>
        <v/>
      </c>
      <c r="V1048" s="21" t="str">
        <f>IFERROR(IF([2]对账明细接口!$Q1048=0,"",[2]对账明细接口!$Q1048),"")</f>
        <v/>
      </c>
      <c r="W1048" s="20" t="str">
        <f>IFERROR(IF([2]对账明细接口!$R1048=0,"",[2]对账明细接口!$R1048),"")</f>
        <v/>
      </c>
      <c r="X1048" s="20" t="str">
        <f>IFERROR(IF([2]对账明细接口!$S1048=0,"",[2]对账明细接口!$S1048),"")</f>
        <v/>
      </c>
      <c r="Y1048" s="20" t="str">
        <f t="shared" si="98"/>
        <v/>
      </c>
      <c r="Z1048" s="20" t="str">
        <f t="shared" si="99"/>
        <v/>
      </c>
      <c r="AA1048" s="20" t="str">
        <f t="shared" si="100"/>
        <v/>
      </c>
      <c r="AB1048" s="20" t="str">
        <f t="shared" si="101"/>
        <v/>
      </c>
    </row>
    <row r="1049" customHeight="1" spans="1:28">
      <c r="A1049" s="14">
        <v>1049</v>
      </c>
      <c r="B1049" s="15" t="str">
        <f>IFERROR(IF([2]对账明细接口!$B$1049=0,"",[2]对账明细接口!$B$1049),"")</f>
        <v/>
      </c>
      <c r="C1049" s="16" t="str">
        <f>IFERROR(IF([2]对账明细接口!$C$1049=0,"",[2]对账明细接口!$C$1049),"")</f>
        <v/>
      </c>
      <c r="D1049" s="16" t="str">
        <f>IFERROR(IF([2]对账明细接口!$D$1049=0,"",[2]对账明细接口!$D$1049),"")</f>
        <v/>
      </c>
      <c r="E1049" s="16" t="str">
        <f>IFERROR(IF([2]对账明细接口!$E$1049=0,"",[2]对账明细接口!$E$1049),"")</f>
        <v/>
      </c>
      <c r="F1049" s="16" t="str">
        <f>IFERROR(IF([2]对账明细接口!$F$1049=0,"",[2]对账明细接口!$F$1049),"")</f>
        <v/>
      </c>
      <c r="G1049" s="16" t="str">
        <f>IFERROR(IF([2]对账明细接口!$G$1049=0,"",[2]对账明细接口!$G$1049),"")</f>
        <v/>
      </c>
      <c r="H1049" s="17" t="str">
        <f>IFERROR(IF([2]对账明细接口!$H$1049=0,"",[2]对账明细接口!$H$1049),"")</f>
        <v/>
      </c>
      <c r="I1049" s="16" t="str">
        <f>IFERROR(IF([2]对账明细接口!$I$1049=0,"",[2]对账明细接口!$I$1049),"")</f>
        <v/>
      </c>
      <c r="J1049" s="18" t="str">
        <f>IFERROR(IF([2]对账明细接口!$J$1049=0,"",[2]对账明细接口!$J$1049),"")</f>
        <v/>
      </c>
      <c r="K1049" s="18" t="str">
        <f>IFERROR(IF([2]对账明细接口!$K$1049=0,"",[2]对账明细接口!$K$1049),"")</f>
        <v/>
      </c>
      <c r="L1049" s="16" t="str">
        <f>IFERROR(IF([2]对账明细接口!$L$1049=0,"",[2]对账明细接口!$L$1049),"")</f>
        <v/>
      </c>
      <c r="M1049" s="16" t="str">
        <f>IFERROR(IF([2]对账明细接口!$M$1049=0,"",[2]对账明细接口!$M$1049),"")</f>
        <v/>
      </c>
      <c r="N1049" s="19">
        <f t="shared" si="96"/>
        <v>0</v>
      </c>
      <c r="O1049" s="19">
        <f t="shared" si="97"/>
        <v>165</v>
      </c>
      <c r="S1049" s="20" t="str">
        <f>IFERROR(IF([2]对账明细接口!$N1049=0,"",[2]对账明细接口!$N1049),"")</f>
        <v/>
      </c>
      <c r="T1049" s="21" t="str">
        <f>IFERROR(IF([2]对账明细接口!$O1049=0,"",[2]对账明细接口!$O1049),"")</f>
        <v/>
      </c>
      <c r="U1049" s="21" t="str">
        <f>IFERROR(IF([2]对账明细接口!$P1049=0,"",[2]对账明细接口!$P1049),"")</f>
        <v/>
      </c>
      <c r="V1049" s="21" t="str">
        <f>IFERROR(IF([2]对账明细接口!$Q1049=0,"",[2]对账明细接口!$Q1049),"")</f>
        <v/>
      </c>
      <c r="W1049" s="20" t="str">
        <f>IFERROR(IF([2]对账明细接口!$R1049=0,"",[2]对账明细接口!$R1049),"")</f>
        <v/>
      </c>
      <c r="X1049" s="20" t="str">
        <f>IFERROR(IF([2]对账明细接口!$S1049=0,"",[2]对账明细接口!$S1049),"")</f>
        <v/>
      </c>
      <c r="Y1049" s="20" t="str">
        <f t="shared" si="98"/>
        <v/>
      </c>
      <c r="Z1049" s="20" t="str">
        <f t="shared" si="99"/>
        <v/>
      </c>
      <c r="AA1049" s="20" t="str">
        <f t="shared" si="100"/>
        <v/>
      </c>
      <c r="AB1049" s="20" t="str">
        <f t="shared" si="101"/>
        <v/>
      </c>
    </row>
    <row r="1050" customHeight="1" spans="1:28">
      <c r="A1050" s="14">
        <v>1050</v>
      </c>
      <c r="B1050" s="15" t="str">
        <f>IFERROR(IF([2]对账明细接口!$B$1050=0,"",[2]对账明细接口!$B$1050),"")</f>
        <v/>
      </c>
      <c r="C1050" s="16" t="str">
        <f>IFERROR(IF([2]对账明细接口!$C$1050=0,"",[2]对账明细接口!$C$1050),"")</f>
        <v/>
      </c>
      <c r="D1050" s="16" t="str">
        <f>IFERROR(IF([2]对账明细接口!$D$1050=0,"",[2]对账明细接口!$D$1050),"")</f>
        <v/>
      </c>
      <c r="E1050" s="16" t="str">
        <f>IFERROR(IF([2]对账明细接口!$E$1050=0,"",[2]对账明细接口!$E$1050),"")</f>
        <v/>
      </c>
      <c r="F1050" s="16" t="str">
        <f>IFERROR(IF([2]对账明细接口!$F$1050=0,"",[2]对账明细接口!$F$1050),"")</f>
        <v/>
      </c>
      <c r="G1050" s="16" t="str">
        <f>IFERROR(IF([2]对账明细接口!$G$1050=0,"",[2]对账明细接口!$G$1050),"")</f>
        <v/>
      </c>
      <c r="H1050" s="17" t="str">
        <f>IFERROR(IF([2]对账明细接口!$H$1050=0,"",[2]对账明细接口!$H$1050),"")</f>
        <v/>
      </c>
      <c r="I1050" s="16" t="str">
        <f>IFERROR(IF([2]对账明细接口!$I$1050=0,"",[2]对账明细接口!$I$1050),"")</f>
        <v/>
      </c>
      <c r="J1050" s="18" t="str">
        <f>IFERROR(IF([2]对账明细接口!$J$1050=0,"",[2]对账明细接口!$J$1050),"")</f>
        <v/>
      </c>
      <c r="K1050" s="18" t="str">
        <f>IFERROR(IF([2]对账明细接口!$K$1050=0,"",[2]对账明细接口!$K$1050),"")</f>
        <v/>
      </c>
      <c r="L1050" s="16" t="str">
        <f>IFERROR(IF([2]对账明细接口!$L$1050=0,"",[2]对账明细接口!$L$1050),"")</f>
        <v/>
      </c>
      <c r="M1050" s="16" t="str">
        <f>IFERROR(IF([2]对账明细接口!$M$1050=0,"",[2]对账明细接口!$M$1050),"")</f>
        <v/>
      </c>
      <c r="N1050" s="19">
        <f t="shared" si="96"/>
        <v>0</v>
      </c>
      <c r="O1050" s="19">
        <f t="shared" si="97"/>
        <v>165</v>
      </c>
      <c r="S1050" s="20" t="str">
        <f>IFERROR(IF([2]对账明细接口!$N1050=0,"",[2]对账明细接口!$N1050),"")</f>
        <v/>
      </c>
      <c r="T1050" s="21" t="str">
        <f>IFERROR(IF([2]对账明细接口!$O1050=0,"",[2]对账明细接口!$O1050),"")</f>
        <v/>
      </c>
      <c r="U1050" s="21" t="str">
        <f>IFERROR(IF([2]对账明细接口!$P1050=0,"",[2]对账明细接口!$P1050),"")</f>
        <v/>
      </c>
      <c r="V1050" s="21" t="str">
        <f>IFERROR(IF([2]对账明细接口!$Q1050=0,"",[2]对账明细接口!$Q1050),"")</f>
        <v/>
      </c>
      <c r="W1050" s="20" t="str">
        <f>IFERROR(IF([2]对账明细接口!$R1050=0,"",[2]对账明细接口!$R1050),"")</f>
        <v/>
      </c>
      <c r="X1050" s="20" t="str">
        <f>IFERROR(IF([2]对账明细接口!$S1050=0,"",[2]对账明细接口!$S1050),"")</f>
        <v/>
      </c>
      <c r="Y1050" s="20" t="str">
        <f t="shared" si="98"/>
        <v/>
      </c>
      <c r="Z1050" s="20" t="str">
        <f t="shared" si="99"/>
        <v/>
      </c>
      <c r="AA1050" s="20" t="str">
        <f t="shared" si="100"/>
        <v/>
      </c>
      <c r="AB1050" s="20" t="str">
        <f t="shared" si="101"/>
        <v/>
      </c>
    </row>
    <row r="1051" customHeight="1" spans="1:28">
      <c r="A1051" s="14">
        <v>1051</v>
      </c>
      <c r="B1051" s="15" t="str">
        <f>IFERROR(IF([2]对账明细接口!$B$1051=0,"",[2]对账明细接口!$B$1051),"")</f>
        <v/>
      </c>
      <c r="C1051" s="16" t="str">
        <f>IFERROR(IF([2]对账明细接口!$C$1051=0,"",[2]对账明细接口!$C$1051),"")</f>
        <v/>
      </c>
      <c r="D1051" s="16" t="str">
        <f>IFERROR(IF([2]对账明细接口!$D$1051=0,"",[2]对账明细接口!$D$1051),"")</f>
        <v/>
      </c>
      <c r="E1051" s="16" t="str">
        <f>IFERROR(IF([2]对账明细接口!$E$1051=0,"",[2]对账明细接口!$E$1051),"")</f>
        <v/>
      </c>
      <c r="F1051" s="16" t="str">
        <f>IFERROR(IF([2]对账明细接口!$F$1051=0,"",[2]对账明细接口!$F$1051),"")</f>
        <v/>
      </c>
      <c r="G1051" s="16" t="str">
        <f>IFERROR(IF([2]对账明细接口!$G$1051=0,"",[2]对账明细接口!$G$1051),"")</f>
        <v/>
      </c>
      <c r="H1051" s="17" t="str">
        <f>IFERROR(IF([2]对账明细接口!$H$1051=0,"",[2]对账明细接口!$H$1051),"")</f>
        <v/>
      </c>
      <c r="I1051" s="16" t="str">
        <f>IFERROR(IF([2]对账明细接口!$I$1051=0,"",[2]对账明细接口!$I$1051),"")</f>
        <v/>
      </c>
      <c r="J1051" s="18" t="str">
        <f>IFERROR(IF([2]对账明细接口!$J$1051=0,"",[2]对账明细接口!$J$1051),"")</f>
        <v/>
      </c>
      <c r="K1051" s="18" t="str">
        <f>IFERROR(IF([2]对账明细接口!$K$1051=0,"",[2]对账明细接口!$K$1051),"")</f>
        <v/>
      </c>
      <c r="L1051" s="16" t="str">
        <f>IFERROR(IF([2]对账明细接口!$L$1051=0,"",[2]对账明细接口!$L$1051),"")</f>
        <v/>
      </c>
      <c r="M1051" s="16" t="str">
        <f>IFERROR(IF([2]对账明细接口!$M$1051=0,"",[2]对账明细接口!$M$1051),"")</f>
        <v/>
      </c>
      <c r="N1051" s="19">
        <f t="shared" si="96"/>
        <v>0</v>
      </c>
      <c r="O1051" s="19">
        <f t="shared" si="97"/>
        <v>165</v>
      </c>
      <c r="S1051" s="20" t="str">
        <f>IFERROR(IF([2]对账明细接口!$N1051=0,"",[2]对账明细接口!$N1051),"")</f>
        <v/>
      </c>
      <c r="T1051" s="21" t="str">
        <f>IFERROR(IF([2]对账明细接口!$O1051=0,"",[2]对账明细接口!$O1051),"")</f>
        <v/>
      </c>
      <c r="U1051" s="21" t="str">
        <f>IFERROR(IF([2]对账明细接口!$P1051=0,"",[2]对账明细接口!$P1051),"")</f>
        <v/>
      </c>
      <c r="V1051" s="21" t="str">
        <f>IFERROR(IF([2]对账明细接口!$Q1051=0,"",[2]对账明细接口!$Q1051),"")</f>
        <v/>
      </c>
      <c r="W1051" s="20" t="str">
        <f>IFERROR(IF([2]对账明细接口!$R1051=0,"",[2]对账明细接口!$R1051),"")</f>
        <v/>
      </c>
      <c r="X1051" s="20" t="str">
        <f>IFERROR(IF([2]对账明细接口!$S1051=0,"",[2]对账明细接口!$S1051),"")</f>
        <v/>
      </c>
      <c r="Y1051" s="20" t="str">
        <f t="shared" si="98"/>
        <v/>
      </c>
      <c r="Z1051" s="20" t="str">
        <f t="shared" si="99"/>
        <v/>
      </c>
      <c r="AA1051" s="20" t="str">
        <f t="shared" si="100"/>
        <v/>
      </c>
      <c r="AB1051" s="20" t="str">
        <f t="shared" si="101"/>
        <v/>
      </c>
    </row>
    <row r="1052" customHeight="1" spans="1:28">
      <c r="A1052" s="14">
        <v>1052</v>
      </c>
      <c r="B1052" s="15" t="str">
        <f>IFERROR(IF([2]对账明细接口!$B$1052=0,"",[2]对账明细接口!$B$1052),"")</f>
        <v/>
      </c>
      <c r="C1052" s="16" t="str">
        <f>IFERROR(IF([2]对账明细接口!$C$1052=0,"",[2]对账明细接口!$C$1052),"")</f>
        <v/>
      </c>
      <c r="D1052" s="16" t="str">
        <f>IFERROR(IF([2]对账明细接口!$D$1052=0,"",[2]对账明细接口!$D$1052),"")</f>
        <v/>
      </c>
      <c r="E1052" s="16" t="str">
        <f>IFERROR(IF([2]对账明细接口!$E$1052=0,"",[2]对账明细接口!$E$1052),"")</f>
        <v/>
      </c>
      <c r="F1052" s="16" t="str">
        <f>IFERROR(IF([2]对账明细接口!$F$1052=0,"",[2]对账明细接口!$F$1052),"")</f>
        <v/>
      </c>
      <c r="G1052" s="16" t="str">
        <f>IFERROR(IF([2]对账明细接口!$G$1052=0,"",[2]对账明细接口!$G$1052),"")</f>
        <v/>
      </c>
      <c r="H1052" s="17" t="str">
        <f>IFERROR(IF([2]对账明细接口!$H$1052=0,"",[2]对账明细接口!$H$1052),"")</f>
        <v/>
      </c>
      <c r="I1052" s="16" t="str">
        <f>IFERROR(IF([2]对账明细接口!$I$1052=0,"",[2]对账明细接口!$I$1052),"")</f>
        <v/>
      </c>
      <c r="J1052" s="18" t="str">
        <f>IFERROR(IF([2]对账明细接口!$J$1052=0,"",[2]对账明细接口!$J$1052),"")</f>
        <v/>
      </c>
      <c r="K1052" s="18" t="str">
        <f>IFERROR(IF([2]对账明细接口!$K$1052=0,"",[2]对账明细接口!$K$1052),"")</f>
        <v/>
      </c>
      <c r="L1052" s="16" t="str">
        <f>IFERROR(IF([2]对账明细接口!$L$1052=0,"",[2]对账明细接口!$L$1052),"")</f>
        <v/>
      </c>
      <c r="M1052" s="16" t="str">
        <f>IFERROR(IF([2]对账明细接口!$M$1052=0,"",[2]对账明细接口!$M$1052),"")</f>
        <v/>
      </c>
      <c r="N1052" s="19">
        <f t="shared" si="96"/>
        <v>0</v>
      </c>
      <c r="O1052" s="19">
        <f t="shared" si="97"/>
        <v>165</v>
      </c>
      <c r="S1052" s="20" t="str">
        <f>IFERROR(IF([2]对账明细接口!$N1052=0,"",[2]对账明细接口!$N1052),"")</f>
        <v/>
      </c>
      <c r="T1052" s="21" t="str">
        <f>IFERROR(IF([2]对账明细接口!$O1052=0,"",[2]对账明细接口!$O1052),"")</f>
        <v/>
      </c>
      <c r="U1052" s="21" t="str">
        <f>IFERROR(IF([2]对账明细接口!$P1052=0,"",[2]对账明细接口!$P1052),"")</f>
        <v/>
      </c>
      <c r="V1052" s="21" t="str">
        <f>IFERROR(IF([2]对账明细接口!$Q1052=0,"",[2]对账明细接口!$Q1052),"")</f>
        <v/>
      </c>
      <c r="W1052" s="20" t="str">
        <f>IFERROR(IF([2]对账明细接口!$R1052=0,"",[2]对账明细接口!$R1052),"")</f>
        <v/>
      </c>
      <c r="X1052" s="20" t="str">
        <f>IFERROR(IF([2]对账明细接口!$S1052=0,"",[2]对账明细接口!$S1052),"")</f>
        <v/>
      </c>
      <c r="Y1052" s="20" t="str">
        <f t="shared" si="98"/>
        <v/>
      </c>
      <c r="Z1052" s="20" t="str">
        <f t="shared" si="99"/>
        <v/>
      </c>
      <c r="AA1052" s="20" t="str">
        <f t="shared" si="100"/>
        <v/>
      </c>
      <c r="AB1052" s="20" t="str">
        <f t="shared" si="101"/>
        <v/>
      </c>
    </row>
    <row r="1053" customHeight="1" spans="1:28">
      <c r="A1053" s="14">
        <v>1053</v>
      </c>
      <c r="B1053" s="15" t="str">
        <f>IFERROR(IF([2]对账明细接口!$B$1053=0,"",[2]对账明细接口!$B$1053),"")</f>
        <v/>
      </c>
      <c r="C1053" s="16" t="str">
        <f>IFERROR(IF([2]对账明细接口!$C$1053=0,"",[2]对账明细接口!$C$1053),"")</f>
        <v/>
      </c>
      <c r="D1053" s="16" t="str">
        <f>IFERROR(IF([2]对账明细接口!$D$1053=0,"",[2]对账明细接口!$D$1053),"")</f>
        <v/>
      </c>
      <c r="E1053" s="16" t="str">
        <f>IFERROR(IF([2]对账明细接口!$E$1053=0,"",[2]对账明细接口!$E$1053),"")</f>
        <v/>
      </c>
      <c r="F1053" s="16" t="str">
        <f>IFERROR(IF([2]对账明细接口!$F$1053=0,"",[2]对账明细接口!$F$1053),"")</f>
        <v/>
      </c>
      <c r="G1053" s="16" t="str">
        <f>IFERROR(IF([2]对账明细接口!$G$1053=0,"",[2]对账明细接口!$G$1053),"")</f>
        <v/>
      </c>
      <c r="H1053" s="17" t="str">
        <f>IFERROR(IF([2]对账明细接口!$H$1053=0,"",[2]对账明细接口!$H$1053),"")</f>
        <v/>
      </c>
      <c r="I1053" s="16" t="str">
        <f>IFERROR(IF([2]对账明细接口!$I$1053=0,"",[2]对账明细接口!$I$1053),"")</f>
        <v/>
      </c>
      <c r="J1053" s="18" t="str">
        <f>IFERROR(IF([2]对账明细接口!$J$1053=0,"",[2]对账明细接口!$J$1053),"")</f>
        <v/>
      </c>
      <c r="K1053" s="18" t="str">
        <f>IFERROR(IF([2]对账明细接口!$K$1053=0,"",[2]对账明细接口!$K$1053),"")</f>
        <v/>
      </c>
      <c r="L1053" s="16" t="str">
        <f>IFERROR(IF([2]对账明细接口!$L$1053=0,"",[2]对账明细接口!$L$1053),"")</f>
        <v/>
      </c>
      <c r="M1053" s="16" t="str">
        <f>IFERROR(IF([2]对账明细接口!$M$1053=0,"",[2]对账明细接口!$M$1053),"")</f>
        <v/>
      </c>
      <c r="N1053" s="19">
        <f t="shared" si="96"/>
        <v>0</v>
      </c>
      <c r="O1053" s="19">
        <f t="shared" si="97"/>
        <v>165</v>
      </c>
      <c r="S1053" s="20" t="str">
        <f>IFERROR(IF([2]对账明细接口!$N1053=0,"",[2]对账明细接口!$N1053),"")</f>
        <v/>
      </c>
      <c r="T1053" s="21" t="str">
        <f>IFERROR(IF([2]对账明细接口!$O1053=0,"",[2]对账明细接口!$O1053),"")</f>
        <v/>
      </c>
      <c r="U1053" s="21" t="str">
        <f>IFERROR(IF([2]对账明细接口!$P1053=0,"",[2]对账明细接口!$P1053),"")</f>
        <v/>
      </c>
      <c r="V1053" s="21" t="str">
        <f>IFERROR(IF([2]对账明细接口!$Q1053=0,"",[2]对账明细接口!$Q1053),"")</f>
        <v/>
      </c>
      <c r="W1053" s="20" t="str">
        <f>IFERROR(IF([2]对账明细接口!$R1053=0,"",[2]对账明细接口!$R1053),"")</f>
        <v/>
      </c>
      <c r="X1053" s="20" t="str">
        <f>IFERROR(IF([2]对账明细接口!$S1053=0,"",[2]对账明细接口!$S1053),"")</f>
        <v/>
      </c>
      <c r="Y1053" s="20" t="str">
        <f t="shared" si="98"/>
        <v/>
      </c>
      <c r="Z1053" s="20" t="str">
        <f t="shared" si="99"/>
        <v/>
      </c>
      <c r="AA1053" s="20" t="str">
        <f t="shared" si="100"/>
        <v/>
      </c>
      <c r="AB1053" s="20" t="str">
        <f t="shared" si="101"/>
        <v/>
      </c>
    </row>
    <row r="1054" customHeight="1" spans="1:28">
      <c r="A1054" s="14">
        <v>1054</v>
      </c>
      <c r="B1054" s="15" t="str">
        <f>IFERROR(IF([2]对账明细接口!$B$1054=0,"",[2]对账明细接口!$B$1054),"")</f>
        <v/>
      </c>
      <c r="C1054" s="16" t="str">
        <f>IFERROR(IF([2]对账明细接口!$C$1054=0,"",[2]对账明细接口!$C$1054),"")</f>
        <v/>
      </c>
      <c r="D1054" s="16" t="str">
        <f>IFERROR(IF([2]对账明细接口!$D$1054=0,"",[2]对账明细接口!$D$1054),"")</f>
        <v/>
      </c>
      <c r="E1054" s="16" t="str">
        <f>IFERROR(IF([2]对账明细接口!$E$1054=0,"",[2]对账明细接口!$E$1054),"")</f>
        <v/>
      </c>
      <c r="F1054" s="16" t="str">
        <f>IFERROR(IF([2]对账明细接口!$F$1054=0,"",[2]对账明细接口!$F$1054),"")</f>
        <v/>
      </c>
      <c r="G1054" s="16" t="str">
        <f>IFERROR(IF([2]对账明细接口!$G$1054=0,"",[2]对账明细接口!$G$1054),"")</f>
        <v/>
      </c>
      <c r="H1054" s="17" t="str">
        <f>IFERROR(IF([2]对账明细接口!$H$1054=0,"",[2]对账明细接口!$H$1054),"")</f>
        <v/>
      </c>
      <c r="I1054" s="16" t="str">
        <f>IFERROR(IF([2]对账明细接口!$I$1054=0,"",[2]对账明细接口!$I$1054),"")</f>
        <v/>
      </c>
      <c r="J1054" s="18" t="str">
        <f>IFERROR(IF([2]对账明细接口!$J$1054=0,"",[2]对账明细接口!$J$1054),"")</f>
        <v/>
      </c>
      <c r="K1054" s="18" t="str">
        <f>IFERROR(IF([2]对账明细接口!$K$1054=0,"",[2]对账明细接口!$K$1054),"")</f>
        <v/>
      </c>
      <c r="L1054" s="16" t="str">
        <f>IFERROR(IF([2]对账明细接口!$L$1054=0,"",[2]对账明细接口!$L$1054),"")</f>
        <v/>
      </c>
      <c r="M1054" s="16" t="str">
        <f>IFERROR(IF([2]对账明细接口!$M$1054=0,"",[2]对账明细接口!$M$1054),"")</f>
        <v/>
      </c>
      <c r="N1054" s="19">
        <f t="shared" si="96"/>
        <v>0</v>
      </c>
      <c r="O1054" s="19">
        <f t="shared" si="97"/>
        <v>165</v>
      </c>
      <c r="S1054" s="20" t="str">
        <f>IFERROR(IF([2]对账明细接口!$N1054=0,"",[2]对账明细接口!$N1054),"")</f>
        <v/>
      </c>
      <c r="T1054" s="21" t="str">
        <f>IFERROR(IF([2]对账明细接口!$O1054=0,"",[2]对账明细接口!$O1054),"")</f>
        <v/>
      </c>
      <c r="U1054" s="21" t="str">
        <f>IFERROR(IF([2]对账明细接口!$P1054=0,"",[2]对账明细接口!$P1054),"")</f>
        <v/>
      </c>
      <c r="V1054" s="21" t="str">
        <f>IFERROR(IF([2]对账明细接口!$Q1054=0,"",[2]对账明细接口!$Q1054),"")</f>
        <v/>
      </c>
      <c r="W1054" s="20" t="str">
        <f>IFERROR(IF([2]对账明细接口!$R1054=0,"",[2]对账明细接口!$R1054),"")</f>
        <v/>
      </c>
      <c r="X1054" s="20" t="str">
        <f>IFERROR(IF([2]对账明细接口!$S1054=0,"",[2]对账明细接口!$S1054),"")</f>
        <v/>
      </c>
      <c r="Y1054" s="20" t="str">
        <f t="shared" si="98"/>
        <v/>
      </c>
      <c r="Z1054" s="20" t="str">
        <f t="shared" si="99"/>
        <v/>
      </c>
      <c r="AA1054" s="20" t="str">
        <f t="shared" si="100"/>
        <v/>
      </c>
      <c r="AB1054" s="20" t="str">
        <f t="shared" si="101"/>
        <v/>
      </c>
    </row>
    <row r="1055" customHeight="1" spans="1:28">
      <c r="A1055" s="14">
        <v>1055</v>
      </c>
      <c r="B1055" s="15" t="str">
        <f>IFERROR(IF([2]对账明细接口!$B$1055=0,"",[2]对账明细接口!$B$1055),"")</f>
        <v/>
      </c>
      <c r="C1055" s="16" t="str">
        <f>IFERROR(IF([2]对账明细接口!$C$1055=0,"",[2]对账明细接口!$C$1055),"")</f>
        <v/>
      </c>
      <c r="D1055" s="16" t="str">
        <f>IFERROR(IF([2]对账明细接口!$D$1055=0,"",[2]对账明细接口!$D$1055),"")</f>
        <v/>
      </c>
      <c r="E1055" s="16" t="str">
        <f>IFERROR(IF([2]对账明细接口!$E$1055=0,"",[2]对账明细接口!$E$1055),"")</f>
        <v/>
      </c>
      <c r="F1055" s="16" t="str">
        <f>IFERROR(IF([2]对账明细接口!$F$1055=0,"",[2]对账明细接口!$F$1055),"")</f>
        <v/>
      </c>
      <c r="G1055" s="16" t="str">
        <f>IFERROR(IF([2]对账明细接口!$G$1055=0,"",[2]对账明细接口!$G$1055),"")</f>
        <v/>
      </c>
      <c r="H1055" s="17" t="str">
        <f>IFERROR(IF([2]对账明细接口!$H$1055=0,"",[2]对账明细接口!$H$1055),"")</f>
        <v/>
      </c>
      <c r="I1055" s="16" t="str">
        <f>IFERROR(IF([2]对账明细接口!$I$1055=0,"",[2]对账明细接口!$I$1055),"")</f>
        <v/>
      </c>
      <c r="J1055" s="18" t="str">
        <f>IFERROR(IF([2]对账明细接口!$J$1055=0,"",[2]对账明细接口!$J$1055),"")</f>
        <v/>
      </c>
      <c r="K1055" s="18" t="str">
        <f>IFERROR(IF([2]对账明细接口!$K$1055=0,"",[2]对账明细接口!$K$1055),"")</f>
        <v/>
      </c>
      <c r="L1055" s="16" t="str">
        <f>IFERROR(IF([2]对账明细接口!$L$1055=0,"",[2]对账明细接口!$L$1055),"")</f>
        <v/>
      </c>
      <c r="M1055" s="16" t="str">
        <f>IFERROR(IF([2]对账明细接口!$M$1055=0,"",[2]对账明细接口!$M$1055),"")</f>
        <v/>
      </c>
      <c r="N1055" s="19">
        <f t="shared" si="96"/>
        <v>0</v>
      </c>
      <c r="O1055" s="19">
        <f t="shared" si="97"/>
        <v>165</v>
      </c>
      <c r="S1055" s="20" t="str">
        <f>IFERROR(IF([2]对账明细接口!$N1055=0,"",[2]对账明细接口!$N1055),"")</f>
        <v/>
      </c>
      <c r="T1055" s="21" t="str">
        <f>IFERROR(IF([2]对账明细接口!$O1055=0,"",[2]对账明细接口!$O1055),"")</f>
        <v/>
      </c>
      <c r="U1055" s="21" t="str">
        <f>IFERROR(IF([2]对账明细接口!$P1055=0,"",[2]对账明细接口!$P1055),"")</f>
        <v/>
      </c>
      <c r="V1055" s="21" t="str">
        <f>IFERROR(IF([2]对账明细接口!$Q1055=0,"",[2]对账明细接口!$Q1055),"")</f>
        <v/>
      </c>
      <c r="W1055" s="20" t="str">
        <f>IFERROR(IF([2]对账明细接口!$R1055=0,"",[2]对账明细接口!$R1055),"")</f>
        <v/>
      </c>
      <c r="X1055" s="20" t="str">
        <f>IFERROR(IF([2]对账明细接口!$S1055=0,"",[2]对账明细接口!$S1055),"")</f>
        <v/>
      </c>
      <c r="Y1055" s="20" t="str">
        <f t="shared" si="98"/>
        <v/>
      </c>
      <c r="Z1055" s="20" t="str">
        <f t="shared" si="99"/>
        <v/>
      </c>
      <c r="AA1055" s="20" t="str">
        <f t="shared" si="100"/>
        <v/>
      </c>
      <c r="AB1055" s="20" t="str">
        <f t="shared" si="101"/>
        <v/>
      </c>
    </row>
    <row r="1056" customHeight="1" spans="1:28">
      <c r="A1056" s="14">
        <v>1056</v>
      </c>
      <c r="B1056" s="15" t="str">
        <f>IFERROR(IF([2]对账明细接口!$B$1056=0,"",[2]对账明细接口!$B$1056),"")</f>
        <v/>
      </c>
      <c r="C1056" s="16" t="str">
        <f>IFERROR(IF([2]对账明细接口!$C$1056=0,"",[2]对账明细接口!$C$1056),"")</f>
        <v/>
      </c>
      <c r="D1056" s="16" t="str">
        <f>IFERROR(IF([2]对账明细接口!$D$1056=0,"",[2]对账明细接口!$D$1056),"")</f>
        <v/>
      </c>
      <c r="E1056" s="16" t="str">
        <f>IFERROR(IF([2]对账明细接口!$E$1056=0,"",[2]对账明细接口!$E$1056),"")</f>
        <v/>
      </c>
      <c r="F1056" s="16" t="str">
        <f>IFERROR(IF([2]对账明细接口!$F$1056=0,"",[2]对账明细接口!$F$1056),"")</f>
        <v/>
      </c>
      <c r="G1056" s="16" t="str">
        <f>IFERROR(IF([2]对账明细接口!$G$1056=0,"",[2]对账明细接口!$G$1056),"")</f>
        <v/>
      </c>
      <c r="H1056" s="17" t="str">
        <f>IFERROR(IF([2]对账明细接口!$H$1056=0,"",[2]对账明细接口!$H$1056),"")</f>
        <v/>
      </c>
      <c r="I1056" s="16" t="str">
        <f>IFERROR(IF([2]对账明细接口!$I$1056=0,"",[2]对账明细接口!$I$1056),"")</f>
        <v/>
      </c>
      <c r="J1056" s="18" t="str">
        <f>IFERROR(IF([2]对账明细接口!$J$1056=0,"",[2]对账明细接口!$J$1056),"")</f>
        <v/>
      </c>
      <c r="K1056" s="18" t="str">
        <f>IFERROR(IF([2]对账明细接口!$K$1056=0,"",[2]对账明细接口!$K$1056),"")</f>
        <v/>
      </c>
      <c r="L1056" s="16" t="str">
        <f>IFERROR(IF([2]对账明细接口!$L$1056=0,"",[2]对账明细接口!$L$1056),"")</f>
        <v/>
      </c>
      <c r="M1056" s="16" t="str">
        <f>IFERROR(IF([2]对账明细接口!$M$1056=0,"",[2]对账明细接口!$M$1056),"")</f>
        <v/>
      </c>
      <c r="N1056" s="19">
        <f t="shared" si="96"/>
        <v>0</v>
      </c>
      <c r="O1056" s="19">
        <f t="shared" si="97"/>
        <v>165</v>
      </c>
      <c r="S1056" s="20" t="str">
        <f>IFERROR(IF([2]对账明细接口!$N1056=0,"",[2]对账明细接口!$N1056),"")</f>
        <v/>
      </c>
      <c r="T1056" s="21" t="str">
        <f>IFERROR(IF([2]对账明细接口!$O1056=0,"",[2]对账明细接口!$O1056),"")</f>
        <v/>
      </c>
      <c r="U1056" s="21" t="str">
        <f>IFERROR(IF([2]对账明细接口!$P1056=0,"",[2]对账明细接口!$P1056),"")</f>
        <v/>
      </c>
      <c r="V1056" s="21" t="str">
        <f>IFERROR(IF([2]对账明细接口!$Q1056=0,"",[2]对账明细接口!$Q1056),"")</f>
        <v/>
      </c>
      <c r="W1056" s="20" t="str">
        <f>IFERROR(IF([2]对账明细接口!$R1056=0,"",[2]对账明细接口!$R1056),"")</f>
        <v/>
      </c>
      <c r="X1056" s="20" t="str">
        <f>IFERROR(IF([2]对账明细接口!$S1056=0,"",[2]对账明细接口!$S1056),"")</f>
        <v/>
      </c>
      <c r="Y1056" s="20" t="str">
        <f t="shared" si="98"/>
        <v/>
      </c>
      <c r="Z1056" s="20" t="str">
        <f t="shared" si="99"/>
        <v/>
      </c>
      <c r="AA1056" s="20" t="str">
        <f t="shared" si="100"/>
        <v/>
      </c>
      <c r="AB1056" s="20" t="str">
        <f t="shared" si="101"/>
        <v/>
      </c>
    </row>
    <row r="1057" customHeight="1" spans="1:28">
      <c r="A1057" s="14">
        <v>1057</v>
      </c>
      <c r="B1057" s="15" t="str">
        <f>IFERROR(IF([2]对账明细接口!$B$1057=0,"",[2]对账明细接口!$B$1057),"")</f>
        <v/>
      </c>
      <c r="C1057" s="16" t="str">
        <f>IFERROR(IF([2]对账明细接口!$C$1057=0,"",[2]对账明细接口!$C$1057),"")</f>
        <v/>
      </c>
      <c r="D1057" s="16" t="str">
        <f>IFERROR(IF([2]对账明细接口!$D$1057=0,"",[2]对账明细接口!$D$1057),"")</f>
        <v/>
      </c>
      <c r="E1057" s="16" t="str">
        <f>IFERROR(IF([2]对账明细接口!$E$1057=0,"",[2]对账明细接口!$E$1057),"")</f>
        <v/>
      </c>
      <c r="F1057" s="16" t="str">
        <f>IFERROR(IF([2]对账明细接口!$F$1057=0,"",[2]对账明细接口!$F$1057),"")</f>
        <v/>
      </c>
      <c r="G1057" s="16" t="str">
        <f>IFERROR(IF([2]对账明细接口!$G$1057=0,"",[2]对账明细接口!$G$1057),"")</f>
        <v/>
      </c>
      <c r="H1057" s="17" t="str">
        <f>IFERROR(IF([2]对账明细接口!$H$1057=0,"",[2]对账明细接口!$H$1057),"")</f>
        <v/>
      </c>
      <c r="I1057" s="16" t="str">
        <f>IFERROR(IF([2]对账明细接口!$I$1057=0,"",[2]对账明细接口!$I$1057),"")</f>
        <v/>
      </c>
      <c r="J1057" s="18" t="str">
        <f>IFERROR(IF([2]对账明细接口!$J$1057=0,"",[2]对账明细接口!$J$1057),"")</f>
        <v/>
      </c>
      <c r="K1057" s="18" t="str">
        <f>IFERROR(IF([2]对账明细接口!$K$1057=0,"",[2]对账明细接口!$K$1057),"")</f>
        <v/>
      </c>
      <c r="L1057" s="16" t="str">
        <f>IFERROR(IF([2]对账明细接口!$L$1057=0,"",[2]对账明细接口!$L$1057),"")</f>
        <v/>
      </c>
      <c r="M1057" s="16" t="str">
        <f>IFERROR(IF([2]对账明细接口!$M$1057=0,"",[2]对账明细接口!$M$1057),"")</f>
        <v/>
      </c>
      <c r="N1057" s="19">
        <f t="shared" si="96"/>
        <v>0</v>
      </c>
      <c r="O1057" s="19">
        <f t="shared" si="97"/>
        <v>165</v>
      </c>
      <c r="S1057" s="20" t="str">
        <f>IFERROR(IF([2]对账明细接口!$N1057=0,"",[2]对账明细接口!$N1057),"")</f>
        <v/>
      </c>
      <c r="T1057" s="21" t="str">
        <f>IFERROR(IF([2]对账明细接口!$O1057=0,"",[2]对账明细接口!$O1057),"")</f>
        <v/>
      </c>
      <c r="U1057" s="21" t="str">
        <f>IFERROR(IF([2]对账明细接口!$P1057=0,"",[2]对账明细接口!$P1057),"")</f>
        <v/>
      </c>
      <c r="V1057" s="21" t="str">
        <f>IFERROR(IF([2]对账明细接口!$Q1057=0,"",[2]对账明细接口!$Q1057),"")</f>
        <v/>
      </c>
      <c r="W1057" s="20" t="str">
        <f>IFERROR(IF([2]对账明细接口!$R1057=0,"",[2]对账明细接口!$R1057),"")</f>
        <v/>
      </c>
      <c r="X1057" s="20" t="str">
        <f>IFERROR(IF([2]对账明细接口!$S1057=0,"",[2]对账明细接口!$S1057),"")</f>
        <v/>
      </c>
      <c r="Y1057" s="20" t="str">
        <f t="shared" si="98"/>
        <v/>
      </c>
      <c r="Z1057" s="20" t="str">
        <f t="shared" si="99"/>
        <v/>
      </c>
      <c r="AA1057" s="20" t="str">
        <f t="shared" si="100"/>
        <v/>
      </c>
      <c r="AB1057" s="20" t="str">
        <f t="shared" si="101"/>
        <v/>
      </c>
    </row>
    <row r="1058" customHeight="1" spans="1:28">
      <c r="A1058" s="14">
        <v>1058</v>
      </c>
      <c r="B1058" s="15" t="str">
        <f>IFERROR(IF([2]对账明细接口!$B$1058=0,"",[2]对账明细接口!$B$1058),"")</f>
        <v/>
      </c>
      <c r="C1058" s="16" t="str">
        <f>IFERROR(IF([2]对账明细接口!$C$1058=0,"",[2]对账明细接口!$C$1058),"")</f>
        <v/>
      </c>
      <c r="D1058" s="16" t="str">
        <f>IFERROR(IF([2]对账明细接口!$D$1058=0,"",[2]对账明细接口!$D$1058),"")</f>
        <v/>
      </c>
      <c r="E1058" s="16" t="str">
        <f>IFERROR(IF([2]对账明细接口!$E$1058=0,"",[2]对账明细接口!$E$1058),"")</f>
        <v/>
      </c>
      <c r="F1058" s="16" t="str">
        <f>IFERROR(IF([2]对账明细接口!$F$1058=0,"",[2]对账明细接口!$F$1058),"")</f>
        <v/>
      </c>
      <c r="G1058" s="16" t="str">
        <f>IFERROR(IF([2]对账明细接口!$G$1058=0,"",[2]对账明细接口!$G$1058),"")</f>
        <v/>
      </c>
      <c r="H1058" s="17" t="str">
        <f>IFERROR(IF([2]对账明细接口!$H$1058=0,"",[2]对账明细接口!$H$1058),"")</f>
        <v/>
      </c>
      <c r="I1058" s="16" t="str">
        <f>IFERROR(IF([2]对账明细接口!$I$1058=0,"",[2]对账明细接口!$I$1058),"")</f>
        <v/>
      </c>
      <c r="J1058" s="18" t="str">
        <f>IFERROR(IF([2]对账明细接口!$J$1058=0,"",[2]对账明细接口!$J$1058),"")</f>
        <v/>
      </c>
      <c r="K1058" s="18" t="str">
        <f>IFERROR(IF([2]对账明细接口!$K$1058=0,"",[2]对账明细接口!$K$1058),"")</f>
        <v/>
      </c>
      <c r="L1058" s="16" t="str">
        <f>IFERROR(IF([2]对账明细接口!$L$1058=0,"",[2]对账明细接口!$L$1058),"")</f>
        <v/>
      </c>
      <c r="M1058" s="16" t="str">
        <f>IFERROR(IF([2]对账明细接口!$M$1058=0,"",[2]对账明细接口!$M$1058),"")</f>
        <v/>
      </c>
      <c r="N1058" s="19">
        <f t="shared" si="96"/>
        <v>0</v>
      </c>
      <c r="O1058" s="19">
        <f t="shared" si="97"/>
        <v>165</v>
      </c>
      <c r="S1058" s="20" t="str">
        <f>IFERROR(IF([2]对账明细接口!$N1058=0,"",[2]对账明细接口!$N1058),"")</f>
        <v/>
      </c>
      <c r="T1058" s="21" t="str">
        <f>IFERROR(IF([2]对账明细接口!$O1058=0,"",[2]对账明细接口!$O1058),"")</f>
        <v/>
      </c>
      <c r="U1058" s="21" t="str">
        <f>IFERROR(IF([2]对账明细接口!$P1058=0,"",[2]对账明细接口!$P1058),"")</f>
        <v/>
      </c>
      <c r="V1058" s="21" t="str">
        <f>IFERROR(IF([2]对账明细接口!$Q1058=0,"",[2]对账明细接口!$Q1058),"")</f>
        <v/>
      </c>
      <c r="W1058" s="20" t="str">
        <f>IFERROR(IF([2]对账明细接口!$R1058=0,"",[2]对账明细接口!$R1058),"")</f>
        <v/>
      </c>
      <c r="X1058" s="20" t="str">
        <f>IFERROR(IF([2]对账明细接口!$S1058=0,"",[2]对账明细接口!$S1058),"")</f>
        <v/>
      </c>
      <c r="Y1058" s="20" t="str">
        <f t="shared" si="98"/>
        <v/>
      </c>
      <c r="Z1058" s="20" t="str">
        <f t="shared" si="99"/>
        <v/>
      </c>
      <c r="AA1058" s="20" t="str">
        <f t="shared" si="100"/>
        <v/>
      </c>
      <c r="AB1058" s="20" t="str">
        <f t="shared" si="101"/>
        <v/>
      </c>
    </row>
    <row r="1059" customHeight="1" spans="1:28">
      <c r="A1059" s="14">
        <v>1059</v>
      </c>
      <c r="B1059" s="15" t="str">
        <f>IFERROR(IF([2]对账明细接口!$B$1059=0,"",[2]对账明细接口!$B$1059),"")</f>
        <v/>
      </c>
      <c r="C1059" s="16" t="str">
        <f>IFERROR(IF([2]对账明细接口!$C$1059=0,"",[2]对账明细接口!$C$1059),"")</f>
        <v/>
      </c>
      <c r="D1059" s="16" t="str">
        <f>IFERROR(IF([2]对账明细接口!$D$1059=0,"",[2]对账明细接口!$D$1059),"")</f>
        <v/>
      </c>
      <c r="E1059" s="16" t="str">
        <f>IFERROR(IF([2]对账明细接口!$E$1059=0,"",[2]对账明细接口!$E$1059),"")</f>
        <v/>
      </c>
      <c r="F1059" s="16" t="str">
        <f>IFERROR(IF([2]对账明细接口!$F$1059=0,"",[2]对账明细接口!$F$1059),"")</f>
        <v/>
      </c>
      <c r="G1059" s="16" t="str">
        <f>IFERROR(IF([2]对账明细接口!$G$1059=0,"",[2]对账明细接口!$G$1059),"")</f>
        <v/>
      </c>
      <c r="H1059" s="17" t="str">
        <f>IFERROR(IF([2]对账明细接口!$H$1059=0,"",[2]对账明细接口!$H$1059),"")</f>
        <v/>
      </c>
      <c r="I1059" s="16" t="str">
        <f>IFERROR(IF([2]对账明细接口!$I$1059=0,"",[2]对账明细接口!$I$1059),"")</f>
        <v/>
      </c>
      <c r="J1059" s="18" t="str">
        <f>IFERROR(IF([2]对账明细接口!$J$1059=0,"",[2]对账明细接口!$J$1059),"")</f>
        <v/>
      </c>
      <c r="K1059" s="18" t="str">
        <f>IFERROR(IF([2]对账明细接口!$K$1059=0,"",[2]对账明细接口!$K$1059),"")</f>
        <v/>
      </c>
      <c r="L1059" s="16" t="str">
        <f>IFERROR(IF([2]对账明细接口!$L$1059=0,"",[2]对账明细接口!$L$1059),"")</f>
        <v/>
      </c>
      <c r="M1059" s="16" t="str">
        <f>IFERROR(IF([2]对账明细接口!$M$1059=0,"",[2]对账明细接口!$M$1059),"")</f>
        <v/>
      </c>
      <c r="N1059" s="19">
        <f t="shared" si="96"/>
        <v>0</v>
      </c>
      <c r="O1059" s="19">
        <f t="shared" si="97"/>
        <v>165</v>
      </c>
      <c r="S1059" s="20" t="str">
        <f>IFERROR(IF([2]对账明细接口!$N1059=0,"",[2]对账明细接口!$N1059),"")</f>
        <v/>
      </c>
      <c r="T1059" s="21" t="str">
        <f>IFERROR(IF([2]对账明细接口!$O1059=0,"",[2]对账明细接口!$O1059),"")</f>
        <v/>
      </c>
      <c r="U1059" s="21" t="str">
        <f>IFERROR(IF([2]对账明细接口!$P1059=0,"",[2]对账明细接口!$P1059),"")</f>
        <v/>
      </c>
      <c r="V1059" s="21" t="str">
        <f>IFERROR(IF([2]对账明细接口!$Q1059=0,"",[2]对账明细接口!$Q1059),"")</f>
        <v/>
      </c>
      <c r="W1059" s="20" t="str">
        <f>IFERROR(IF([2]对账明细接口!$R1059=0,"",[2]对账明细接口!$R1059),"")</f>
        <v/>
      </c>
      <c r="X1059" s="20" t="str">
        <f>IFERROR(IF([2]对账明细接口!$S1059=0,"",[2]对账明细接口!$S1059),"")</f>
        <v/>
      </c>
      <c r="Y1059" s="20" t="str">
        <f t="shared" si="98"/>
        <v/>
      </c>
      <c r="Z1059" s="20" t="str">
        <f t="shared" si="99"/>
        <v/>
      </c>
      <c r="AA1059" s="20" t="str">
        <f t="shared" si="100"/>
        <v/>
      </c>
      <c r="AB1059" s="20" t="str">
        <f t="shared" si="101"/>
        <v/>
      </c>
    </row>
    <row r="1060" customHeight="1" spans="1:28">
      <c r="A1060" s="14">
        <v>1060</v>
      </c>
      <c r="B1060" s="15" t="str">
        <f>IFERROR(IF([2]对账明细接口!$B$1060=0,"",[2]对账明细接口!$B$1060),"")</f>
        <v/>
      </c>
      <c r="C1060" s="16" t="str">
        <f>IFERROR(IF([2]对账明细接口!$C$1060=0,"",[2]对账明细接口!$C$1060),"")</f>
        <v/>
      </c>
      <c r="D1060" s="16" t="str">
        <f>IFERROR(IF([2]对账明细接口!$D$1060=0,"",[2]对账明细接口!$D$1060),"")</f>
        <v/>
      </c>
      <c r="E1060" s="16" t="str">
        <f>IFERROR(IF([2]对账明细接口!$E$1060=0,"",[2]对账明细接口!$E$1060),"")</f>
        <v/>
      </c>
      <c r="F1060" s="16" t="str">
        <f>IFERROR(IF([2]对账明细接口!$F$1060=0,"",[2]对账明细接口!$F$1060),"")</f>
        <v/>
      </c>
      <c r="G1060" s="16" t="str">
        <f>IFERROR(IF([2]对账明细接口!$G$1060=0,"",[2]对账明细接口!$G$1060),"")</f>
        <v/>
      </c>
      <c r="H1060" s="17" t="str">
        <f>IFERROR(IF([2]对账明细接口!$H$1060=0,"",[2]对账明细接口!$H$1060),"")</f>
        <v/>
      </c>
      <c r="I1060" s="16" t="str">
        <f>IFERROR(IF([2]对账明细接口!$I$1060=0,"",[2]对账明细接口!$I$1060),"")</f>
        <v/>
      </c>
      <c r="J1060" s="18" t="str">
        <f>IFERROR(IF([2]对账明细接口!$J$1060=0,"",[2]对账明细接口!$J$1060),"")</f>
        <v/>
      </c>
      <c r="K1060" s="18" t="str">
        <f>IFERROR(IF([2]对账明细接口!$K$1060=0,"",[2]对账明细接口!$K$1060),"")</f>
        <v/>
      </c>
      <c r="L1060" s="16" t="str">
        <f>IFERROR(IF([2]对账明细接口!$L$1060=0,"",[2]对账明细接口!$L$1060),"")</f>
        <v/>
      </c>
      <c r="M1060" s="16" t="str">
        <f>IFERROR(IF([2]对账明细接口!$M$1060=0,"",[2]对账明细接口!$M$1060),"")</f>
        <v/>
      </c>
      <c r="N1060" s="19">
        <f t="shared" si="96"/>
        <v>0</v>
      </c>
      <c r="O1060" s="19">
        <f t="shared" si="97"/>
        <v>165</v>
      </c>
      <c r="S1060" s="20" t="str">
        <f>IFERROR(IF([2]对账明细接口!$N1060=0,"",[2]对账明细接口!$N1060),"")</f>
        <v/>
      </c>
      <c r="T1060" s="21" t="str">
        <f>IFERROR(IF([2]对账明细接口!$O1060=0,"",[2]对账明细接口!$O1060),"")</f>
        <v/>
      </c>
      <c r="U1060" s="21" t="str">
        <f>IFERROR(IF([2]对账明细接口!$P1060=0,"",[2]对账明细接口!$P1060),"")</f>
        <v/>
      </c>
      <c r="V1060" s="21" t="str">
        <f>IFERROR(IF([2]对账明细接口!$Q1060=0,"",[2]对账明细接口!$Q1060),"")</f>
        <v/>
      </c>
      <c r="W1060" s="20" t="str">
        <f>IFERROR(IF([2]对账明细接口!$R1060=0,"",[2]对账明细接口!$R1060),"")</f>
        <v/>
      </c>
      <c r="X1060" s="20" t="str">
        <f>IFERROR(IF([2]对账明细接口!$S1060=0,"",[2]对账明细接口!$S1060),"")</f>
        <v/>
      </c>
      <c r="Y1060" s="20" t="str">
        <f t="shared" si="98"/>
        <v/>
      </c>
      <c r="Z1060" s="20" t="str">
        <f t="shared" si="99"/>
        <v/>
      </c>
      <c r="AA1060" s="20" t="str">
        <f t="shared" si="100"/>
        <v/>
      </c>
      <c r="AB1060" s="20" t="str">
        <f t="shared" si="101"/>
        <v/>
      </c>
    </row>
    <row r="1061" customHeight="1" spans="1:28">
      <c r="A1061" s="14">
        <v>1061</v>
      </c>
      <c r="B1061" s="15" t="str">
        <f>IFERROR(IF([2]对账明细接口!$B$1061=0,"",[2]对账明细接口!$B$1061),"")</f>
        <v/>
      </c>
      <c r="C1061" s="16" t="str">
        <f>IFERROR(IF([2]对账明细接口!$C$1061=0,"",[2]对账明细接口!$C$1061),"")</f>
        <v/>
      </c>
      <c r="D1061" s="16" t="str">
        <f>IFERROR(IF([2]对账明细接口!$D$1061=0,"",[2]对账明细接口!$D$1061),"")</f>
        <v/>
      </c>
      <c r="E1061" s="16" t="str">
        <f>IFERROR(IF([2]对账明细接口!$E$1061=0,"",[2]对账明细接口!$E$1061),"")</f>
        <v/>
      </c>
      <c r="F1061" s="16" t="str">
        <f>IFERROR(IF([2]对账明细接口!$F$1061=0,"",[2]对账明细接口!$F$1061),"")</f>
        <v/>
      </c>
      <c r="G1061" s="16" t="str">
        <f>IFERROR(IF([2]对账明细接口!$G$1061=0,"",[2]对账明细接口!$G$1061),"")</f>
        <v/>
      </c>
      <c r="H1061" s="17" t="str">
        <f>IFERROR(IF([2]对账明细接口!$H$1061=0,"",[2]对账明细接口!$H$1061),"")</f>
        <v/>
      </c>
      <c r="I1061" s="16" t="str">
        <f>IFERROR(IF([2]对账明细接口!$I$1061=0,"",[2]对账明细接口!$I$1061),"")</f>
        <v/>
      </c>
      <c r="J1061" s="18" t="str">
        <f>IFERROR(IF([2]对账明细接口!$J$1061=0,"",[2]对账明细接口!$J$1061),"")</f>
        <v/>
      </c>
      <c r="K1061" s="18" t="str">
        <f>IFERROR(IF([2]对账明细接口!$K$1061=0,"",[2]对账明细接口!$K$1061),"")</f>
        <v/>
      </c>
      <c r="L1061" s="16" t="str">
        <f>IFERROR(IF([2]对账明细接口!$L$1061=0,"",[2]对账明细接口!$L$1061),"")</f>
        <v/>
      </c>
      <c r="M1061" s="16" t="str">
        <f>IFERROR(IF([2]对账明细接口!$M$1061=0,"",[2]对账明细接口!$M$1061),"")</f>
        <v/>
      </c>
      <c r="N1061" s="19">
        <f t="shared" si="96"/>
        <v>0</v>
      </c>
      <c r="O1061" s="19">
        <f t="shared" si="97"/>
        <v>165</v>
      </c>
      <c r="S1061" s="20" t="str">
        <f>IFERROR(IF([2]对账明细接口!$N1061=0,"",[2]对账明细接口!$N1061),"")</f>
        <v/>
      </c>
      <c r="T1061" s="21" t="str">
        <f>IFERROR(IF([2]对账明细接口!$O1061=0,"",[2]对账明细接口!$O1061),"")</f>
        <v/>
      </c>
      <c r="U1061" s="21" t="str">
        <f>IFERROR(IF([2]对账明细接口!$P1061=0,"",[2]对账明细接口!$P1061),"")</f>
        <v/>
      </c>
      <c r="V1061" s="21" t="str">
        <f>IFERROR(IF([2]对账明细接口!$Q1061=0,"",[2]对账明细接口!$Q1061),"")</f>
        <v/>
      </c>
      <c r="W1061" s="20" t="str">
        <f>IFERROR(IF([2]对账明细接口!$R1061=0,"",[2]对账明细接口!$R1061),"")</f>
        <v/>
      </c>
      <c r="X1061" s="20" t="str">
        <f>IFERROR(IF([2]对账明细接口!$S1061=0,"",[2]对账明细接口!$S1061),"")</f>
        <v/>
      </c>
      <c r="Y1061" s="20" t="str">
        <f t="shared" si="98"/>
        <v/>
      </c>
      <c r="Z1061" s="20" t="str">
        <f t="shared" si="99"/>
        <v/>
      </c>
      <c r="AA1061" s="20" t="str">
        <f t="shared" si="100"/>
        <v/>
      </c>
      <c r="AB1061" s="20" t="str">
        <f t="shared" si="101"/>
        <v/>
      </c>
    </row>
    <row r="1062" customHeight="1" spans="1:28">
      <c r="A1062" s="14">
        <v>1062</v>
      </c>
      <c r="B1062" s="15" t="str">
        <f>IFERROR(IF([2]对账明细接口!$B$1062=0,"",[2]对账明细接口!$B$1062),"")</f>
        <v/>
      </c>
      <c r="C1062" s="16" t="str">
        <f>IFERROR(IF([2]对账明细接口!$C$1062=0,"",[2]对账明细接口!$C$1062),"")</f>
        <v/>
      </c>
      <c r="D1062" s="16" t="str">
        <f>IFERROR(IF([2]对账明细接口!$D$1062=0,"",[2]对账明细接口!$D$1062),"")</f>
        <v/>
      </c>
      <c r="E1062" s="16" t="str">
        <f>IFERROR(IF([2]对账明细接口!$E$1062=0,"",[2]对账明细接口!$E$1062),"")</f>
        <v/>
      </c>
      <c r="F1062" s="16" t="str">
        <f>IFERROR(IF([2]对账明细接口!$F$1062=0,"",[2]对账明细接口!$F$1062),"")</f>
        <v/>
      </c>
      <c r="G1062" s="16" t="str">
        <f>IFERROR(IF([2]对账明细接口!$G$1062=0,"",[2]对账明细接口!$G$1062),"")</f>
        <v/>
      </c>
      <c r="H1062" s="17" t="str">
        <f>IFERROR(IF([2]对账明细接口!$H$1062=0,"",[2]对账明细接口!$H$1062),"")</f>
        <v/>
      </c>
      <c r="I1062" s="16" t="str">
        <f>IFERROR(IF([2]对账明细接口!$I$1062=0,"",[2]对账明细接口!$I$1062),"")</f>
        <v/>
      </c>
      <c r="J1062" s="18" t="str">
        <f>IFERROR(IF([2]对账明细接口!$J$1062=0,"",[2]对账明细接口!$J$1062),"")</f>
        <v/>
      </c>
      <c r="K1062" s="18" t="str">
        <f>IFERROR(IF([2]对账明细接口!$K$1062=0,"",[2]对账明细接口!$K$1062),"")</f>
        <v/>
      </c>
      <c r="L1062" s="16" t="str">
        <f>IFERROR(IF([2]对账明细接口!$L$1062=0,"",[2]对账明细接口!$L$1062),"")</f>
        <v/>
      </c>
      <c r="M1062" s="16" t="str">
        <f>IFERROR(IF([2]对账明细接口!$M$1062=0,"",[2]对账明细接口!$M$1062),"")</f>
        <v/>
      </c>
      <c r="N1062" s="19">
        <f t="shared" si="96"/>
        <v>0</v>
      </c>
      <c r="O1062" s="19">
        <f t="shared" si="97"/>
        <v>165</v>
      </c>
      <c r="S1062" s="20" t="str">
        <f>IFERROR(IF([2]对账明细接口!$N1062=0,"",[2]对账明细接口!$N1062),"")</f>
        <v/>
      </c>
      <c r="T1062" s="21" t="str">
        <f>IFERROR(IF([2]对账明细接口!$O1062=0,"",[2]对账明细接口!$O1062),"")</f>
        <v/>
      </c>
      <c r="U1062" s="21" t="str">
        <f>IFERROR(IF([2]对账明细接口!$P1062=0,"",[2]对账明细接口!$P1062),"")</f>
        <v/>
      </c>
      <c r="V1062" s="21" t="str">
        <f>IFERROR(IF([2]对账明细接口!$Q1062=0,"",[2]对账明细接口!$Q1062),"")</f>
        <v/>
      </c>
      <c r="W1062" s="20" t="str">
        <f>IFERROR(IF([2]对账明细接口!$R1062=0,"",[2]对账明细接口!$R1062),"")</f>
        <v/>
      </c>
      <c r="X1062" s="20" t="str">
        <f>IFERROR(IF([2]对账明细接口!$S1062=0,"",[2]对账明细接口!$S1062),"")</f>
        <v/>
      </c>
      <c r="Y1062" s="20" t="str">
        <f t="shared" si="98"/>
        <v/>
      </c>
      <c r="Z1062" s="20" t="str">
        <f t="shared" si="99"/>
        <v/>
      </c>
      <c r="AA1062" s="20" t="str">
        <f t="shared" si="100"/>
        <v/>
      </c>
      <c r="AB1062" s="20" t="str">
        <f t="shared" si="101"/>
        <v/>
      </c>
    </row>
    <row r="1063" customHeight="1" spans="1:28">
      <c r="A1063" s="14">
        <v>1063</v>
      </c>
      <c r="B1063" s="15" t="str">
        <f>IFERROR(IF([2]对账明细接口!$B$1063=0,"",[2]对账明细接口!$B$1063),"")</f>
        <v/>
      </c>
      <c r="C1063" s="16" t="str">
        <f>IFERROR(IF([2]对账明细接口!$C$1063=0,"",[2]对账明细接口!$C$1063),"")</f>
        <v/>
      </c>
      <c r="D1063" s="16" t="str">
        <f>IFERROR(IF([2]对账明细接口!$D$1063=0,"",[2]对账明细接口!$D$1063),"")</f>
        <v/>
      </c>
      <c r="E1063" s="16" t="str">
        <f>IFERROR(IF([2]对账明细接口!$E$1063=0,"",[2]对账明细接口!$E$1063),"")</f>
        <v/>
      </c>
      <c r="F1063" s="16" t="str">
        <f>IFERROR(IF([2]对账明细接口!$F$1063=0,"",[2]对账明细接口!$F$1063),"")</f>
        <v/>
      </c>
      <c r="G1063" s="16" t="str">
        <f>IFERROR(IF([2]对账明细接口!$G$1063=0,"",[2]对账明细接口!$G$1063),"")</f>
        <v/>
      </c>
      <c r="H1063" s="17" t="str">
        <f>IFERROR(IF([2]对账明细接口!$H$1063=0,"",[2]对账明细接口!$H$1063),"")</f>
        <v/>
      </c>
      <c r="I1063" s="16" t="str">
        <f>IFERROR(IF([2]对账明细接口!$I$1063=0,"",[2]对账明细接口!$I$1063),"")</f>
        <v/>
      </c>
      <c r="J1063" s="18" t="str">
        <f>IFERROR(IF([2]对账明细接口!$J$1063=0,"",[2]对账明细接口!$J$1063),"")</f>
        <v/>
      </c>
      <c r="K1063" s="18" t="str">
        <f>IFERROR(IF([2]对账明细接口!$K$1063=0,"",[2]对账明细接口!$K$1063),"")</f>
        <v/>
      </c>
      <c r="L1063" s="16" t="str">
        <f>IFERROR(IF([2]对账明细接口!$L$1063=0,"",[2]对账明细接口!$L$1063),"")</f>
        <v/>
      </c>
      <c r="M1063" s="16" t="str">
        <f>IFERROR(IF([2]对账明细接口!$M$1063=0,"",[2]对账明细接口!$M$1063),"")</f>
        <v/>
      </c>
      <c r="N1063" s="19">
        <f t="shared" si="96"/>
        <v>0</v>
      </c>
      <c r="O1063" s="19">
        <f t="shared" si="97"/>
        <v>165</v>
      </c>
      <c r="S1063" s="20" t="str">
        <f>IFERROR(IF([2]对账明细接口!$N1063=0,"",[2]对账明细接口!$N1063),"")</f>
        <v/>
      </c>
      <c r="T1063" s="21" t="str">
        <f>IFERROR(IF([2]对账明细接口!$O1063=0,"",[2]对账明细接口!$O1063),"")</f>
        <v/>
      </c>
      <c r="U1063" s="21" t="str">
        <f>IFERROR(IF([2]对账明细接口!$P1063=0,"",[2]对账明细接口!$P1063),"")</f>
        <v/>
      </c>
      <c r="V1063" s="21" t="str">
        <f>IFERROR(IF([2]对账明细接口!$Q1063=0,"",[2]对账明细接口!$Q1063),"")</f>
        <v/>
      </c>
      <c r="W1063" s="20" t="str">
        <f>IFERROR(IF([2]对账明细接口!$R1063=0,"",[2]对账明细接口!$R1063),"")</f>
        <v/>
      </c>
      <c r="X1063" s="20" t="str">
        <f>IFERROR(IF([2]对账明细接口!$S1063=0,"",[2]对账明细接口!$S1063),"")</f>
        <v/>
      </c>
      <c r="Y1063" s="20" t="str">
        <f t="shared" si="98"/>
        <v/>
      </c>
      <c r="Z1063" s="20" t="str">
        <f t="shared" si="99"/>
        <v/>
      </c>
      <c r="AA1063" s="20" t="str">
        <f t="shared" si="100"/>
        <v/>
      </c>
      <c r="AB1063" s="20" t="str">
        <f t="shared" si="101"/>
        <v/>
      </c>
    </row>
    <row r="1064" customHeight="1" spans="1:28">
      <c r="A1064" s="14">
        <v>1064</v>
      </c>
      <c r="B1064" s="15" t="str">
        <f>IFERROR(IF([2]对账明细接口!$B$1064=0,"",[2]对账明细接口!$B$1064),"")</f>
        <v/>
      </c>
      <c r="C1064" s="16" t="str">
        <f>IFERROR(IF([2]对账明细接口!$C$1064=0,"",[2]对账明细接口!$C$1064),"")</f>
        <v/>
      </c>
      <c r="D1064" s="16" t="str">
        <f>IFERROR(IF([2]对账明细接口!$D$1064=0,"",[2]对账明细接口!$D$1064),"")</f>
        <v/>
      </c>
      <c r="E1064" s="16" t="str">
        <f>IFERROR(IF([2]对账明细接口!$E$1064=0,"",[2]对账明细接口!$E$1064),"")</f>
        <v/>
      </c>
      <c r="F1064" s="16" t="str">
        <f>IFERROR(IF([2]对账明细接口!$F$1064=0,"",[2]对账明细接口!$F$1064),"")</f>
        <v/>
      </c>
      <c r="G1064" s="16" t="str">
        <f>IFERROR(IF([2]对账明细接口!$G$1064=0,"",[2]对账明细接口!$G$1064),"")</f>
        <v/>
      </c>
      <c r="H1064" s="17" t="str">
        <f>IFERROR(IF([2]对账明细接口!$H$1064=0,"",[2]对账明细接口!$H$1064),"")</f>
        <v/>
      </c>
      <c r="I1064" s="16" t="str">
        <f>IFERROR(IF([2]对账明细接口!$I$1064=0,"",[2]对账明细接口!$I$1064),"")</f>
        <v/>
      </c>
      <c r="J1064" s="18" t="str">
        <f>IFERROR(IF([2]对账明细接口!$J$1064=0,"",[2]对账明细接口!$J$1064),"")</f>
        <v/>
      </c>
      <c r="K1064" s="18" t="str">
        <f>IFERROR(IF([2]对账明细接口!$K$1064=0,"",[2]对账明细接口!$K$1064),"")</f>
        <v/>
      </c>
      <c r="L1064" s="16" t="str">
        <f>IFERROR(IF([2]对账明细接口!$L$1064=0,"",[2]对账明细接口!$L$1064),"")</f>
        <v/>
      </c>
      <c r="M1064" s="16" t="str">
        <f>IFERROR(IF([2]对账明细接口!$M$1064=0,"",[2]对账明细接口!$M$1064),"")</f>
        <v/>
      </c>
      <c r="N1064" s="19">
        <f t="shared" si="96"/>
        <v>0</v>
      </c>
      <c r="O1064" s="19">
        <f t="shared" si="97"/>
        <v>165</v>
      </c>
      <c r="S1064" s="20" t="str">
        <f>IFERROR(IF([2]对账明细接口!$N1064=0,"",[2]对账明细接口!$N1064),"")</f>
        <v/>
      </c>
      <c r="T1064" s="21" t="str">
        <f>IFERROR(IF([2]对账明细接口!$O1064=0,"",[2]对账明细接口!$O1064),"")</f>
        <v/>
      </c>
      <c r="U1064" s="21" t="str">
        <f>IFERROR(IF([2]对账明细接口!$P1064=0,"",[2]对账明细接口!$P1064),"")</f>
        <v/>
      </c>
      <c r="V1064" s="21" t="str">
        <f>IFERROR(IF([2]对账明细接口!$Q1064=0,"",[2]对账明细接口!$Q1064),"")</f>
        <v/>
      </c>
      <c r="W1064" s="20" t="str">
        <f>IFERROR(IF([2]对账明细接口!$R1064=0,"",[2]对账明细接口!$R1064),"")</f>
        <v/>
      </c>
      <c r="X1064" s="20" t="str">
        <f>IFERROR(IF([2]对账明细接口!$S1064=0,"",[2]对账明细接口!$S1064),"")</f>
        <v/>
      </c>
      <c r="Y1064" s="20" t="str">
        <f t="shared" si="98"/>
        <v/>
      </c>
      <c r="Z1064" s="20" t="str">
        <f t="shared" si="99"/>
        <v/>
      </c>
      <c r="AA1064" s="20" t="str">
        <f t="shared" si="100"/>
        <v/>
      </c>
      <c r="AB1064" s="20" t="str">
        <f t="shared" si="101"/>
        <v/>
      </c>
    </row>
    <row r="1065" customHeight="1" spans="1:28">
      <c r="A1065" s="14">
        <v>1065</v>
      </c>
      <c r="B1065" s="15" t="str">
        <f>IFERROR(IF([2]对账明细接口!$B$1065=0,"",[2]对账明细接口!$B$1065),"")</f>
        <v/>
      </c>
      <c r="C1065" s="16" t="str">
        <f>IFERROR(IF([2]对账明细接口!$C$1065=0,"",[2]对账明细接口!$C$1065),"")</f>
        <v/>
      </c>
      <c r="D1065" s="16" t="str">
        <f>IFERROR(IF([2]对账明细接口!$D$1065=0,"",[2]对账明细接口!$D$1065),"")</f>
        <v/>
      </c>
      <c r="E1065" s="16" t="str">
        <f>IFERROR(IF([2]对账明细接口!$E$1065=0,"",[2]对账明细接口!$E$1065),"")</f>
        <v/>
      </c>
      <c r="F1065" s="16" t="str">
        <f>IFERROR(IF([2]对账明细接口!$F$1065=0,"",[2]对账明细接口!$F$1065),"")</f>
        <v/>
      </c>
      <c r="G1065" s="16" t="str">
        <f>IFERROR(IF([2]对账明细接口!$G$1065=0,"",[2]对账明细接口!$G$1065),"")</f>
        <v/>
      </c>
      <c r="H1065" s="17" t="str">
        <f>IFERROR(IF([2]对账明细接口!$H$1065=0,"",[2]对账明细接口!$H$1065),"")</f>
        <v/>
      </c>
      <c r="I1065" s="16" t="str">
        <f>IFERROR(IF([2]对账明细接口!$I$1065=0,"",[2]对账明细接口!$I$1065),"")</f>
        <v/>
      </c>
      <c r="J1065" s="18" t="str">
        <f>IFERROR(IF([2]对账明细接口!$J$1065=0,"",[2]对账明细接口!$J$1065),"")</f>
        <v/>
      </c>
      <c r="K1065" s="18" t="str">
        <f>IFERROR(IF([2]对账明细接口!$K$1065=0,"",[2]对账明细接口!$K$1065),"")</f>
        <v/>
      </c>
      <c r="L1065" s="16" t="str">
        <f>IFERROR(IF([2]对账明细接口!$L$1065=0,"",[2]对账明细接口!$L$1065),"")</f>
        <v/>
      </c>
      <c r="M1065" s="16" t="str">
        <f>IFERROR(IF([2]对账明细接口!$M$1065=0,"",[2]对账明细接口!$M$1065),"")</f>
        <v/>
      </c>
      <c r="N1065" s="19">
        <f t="shared" si="96"/>
        <v>0</v>
      </c>
      <c r="O1065" s="19">
        <f t="shared" si="97"/>
        <v>165</v>
      </c>
      <c r="S1065" s="20" t="str">
        <f>IFERROR(IF([2]对账明细接口!$N1065=0,"",[2]对账明细接口!$N1065),"")</f>
        <v/>
      </c>
      <c r="T1065" s="21" t="str">
        <f>IFERROR(IF([2]对账明细接口!$O1065=0,"",[2]对账明细接口!$O1065),"")</f>
        <v/>
      </c>
      <c r="U1065" s="21" t="str">
        <f>IFERROR(IF([2]对账明细接口!$P1065=0,"",[2]对账明细接口!$P1065),"")</f>
        <v/>
      </c>
      <c r="V1065" s="21" t="str">
        <f>IFERROR(IF([2]对账明细接口!$Q1065=0,"",[2]对账明细接口!$Q1065),"")</f>
        <v/>
      </c>
      <c r="W1065" s="20" t="str">
        <f>IFERROR(IF([2]对账明细接口!$R1065=0,"",[2]对账明细接口!$R1065),"")</f>
        <v/>
      </c>
      <c r="X1065" s="20" t="str">
        <f>IFERROR(IF([2]对账明细接口!$S1065=0,"",[2]对账明细接口!$S1065),"")</f>
        <v/>
      </c>
      <c r="Y1065" s="20" t="str">
        <f t="shared" si="98"/>
        <v/>
      </c>
      <c r="Z1065" s="20" t="str">
        <f t="shared" si="99"/>
        <v/>
      </c>
      <c r="AA1065" s="20" t="str">
        <f t="shared" si="100"/>
        <v/>
      </c>
      <c r="AB1065" s="20" t="str">
        <f t="shared" si="101"/>
        <v/>
      </c>
    </row>
    <row r="1066" customHeight="1" spans="1:28">
      <c r="A1066" s="14">
        <v>1066</v>
      </c>
      <c r="B1066" s="15" t="str">
        <f>IFERROR(IF([2]对账明细接口!$B$1066=0,"",[2]对账明细接口!$B$1066),"")</f>
        <v/>
      </c>
      <c r="C1066" s="16" t="str">
        <f>IFERROR(IF([2]对账明细接口!$C$1066=0,"",[2]对账明细接口!$C$1066),"")</f>
        <v/>
      </c>
      <c r="D1066" s="16" t="str">
        <f>IFERROR(IF([2]对账明细接口!$D$1066=0,"",[2]对账明细接口!$D$1066),"")</f>
        <v/>
      </c>
      <c r="E1066" s="16" t="str">
        <f>IFERROR(IF([2]对账明细接口!$E$1066=0,"",[2]对账明细接口!$E$1066),"")</f>
        <v/>
      </c>
      <c r="F1066" s="16" t="str">
        <f>IFERROR(IF([2]对账明细接口!$F$1066=0,"",[2]对账明细接口!$F$1066),"")</f>
        <v/>
      </c>
      <c r="G1066" s="16" t="str">
        <f>IFERROR(IF([2]对账明细接口!$G$1066=0,"",[2]对账明细接口!$G$1066),"")</f>
        <v/>
      </c>
      <c r="H1066" s="17" t="str">
        <f>IFERROR(IF([2]对账明细接口!$H$1066=0,"",[2]对账明细接口!$H$1066),"")</f>
        <v/>
      </c>
      <c r="I1066" s="16" t="str">
        <f>IFERROR(IF([2]对账明细接口!$I$1066=0,"",[2]对账明细接口!$I$1066),"")</f>
        <v/>
      </c>
      <c r="J1066" s="18" t="str">
        <f>IFERROR(IF([2]对账明细接口!$J$1066=0,"",[2]对账明细接口!$J$1066),"")</f>
        <v/>
      </c>
      <c r="K1066" s="18" t="str">
        <f>IFERROR(IF([2]对账明细接口!$K$1066=0,"",[2]对账明细接口!$K$1066),"")</f>
        <v/>
      </c>
      <c r="L1066" s="16" t="str">
        <f>IFERROR(IF([2]对账明细接口!$L$1066=0,"",[2]对账明细接口!$L$1066),"")</f>
        <v/>
      </c>
      <c r="M1066" s="16" t="str">
        <f>IFERROR(IF([2]对账明细接口!$M$1066=0,"",[2]对账明细接口!$M$1066),"")</f>
        <v/>
      </c>
      <c r="N1066" s="19">
        <f t="shared" si="96"/>
        <v>0</v>
      </c>
      <c r="O1066" s="19">
        <f t="shared" si="97"/>
        <v>165</v>
      </c>
      <c r="S1066" s="20" t="str">
        <f>IFERROR(IF([2]对账明细接口!$N1066=0,"",[2]对账明细接口!$N1066),"")</f>
        <v/>
      </c>
      <c r="T1066" s="21" t="str">
        <f>IFERROR(IF([2]对账明细接口!$O1066=0,"",[2]对账明细接口!$O1066),"")</f>
        <v/>
      </c>
      <c r="U1066" s="21" t="str">
        <f>IFERROR(IF([2]对账明细接口!$P1066=0,"",[2]对账明细接口!$P1066),"")</f>
        <v/>
      </c>
      <c r="V1066" s="21" t="str">
        <f>IFERROR(IF([2]对账明细接口!$Q1066=0,"",[2]对账明细接口!$Q1066),"")</f>
        <v/>
      </c>
      <c r="W1066" s="20" t="str">
        <f>IFERROR(IF([2]对账明细接口!$R1066=0,"",[2]对账明细接口!$R1066),"")</f>
        <v/>
      </c>
      <c r="X1066" s="20" t="str">
        <f>IFERROR(IF([2]对账明细接口!$S1066=0,"",[2]对账明细接口!$S1066),"")</f>
        <v/>
      </c>
      <c r="Y1066" s="20" t="str">
        <f t="shared" si="98"/>
        <v/>
      </c>
      <c r="Z1066" s="20" t="str">
        <f t="shared" si="99"/>
        <v/>
      </c>
      <c r="AA1066" s="20" t="str">
        <f t="shared" si="100"/>
        <v/>
      </c>
      <c r="AB1066" s="20" t="str">
        <f t="shared" si="101"/>
        <v/>
      </c>
    </row>
    <row r="1067" customHeight="1" spans="1:28">
      <c r="A1067" s="14">
        <v>1067</v>
      </c>
      <c r="B1067" s="15" t="str">
        <f>IFERROR(IF([2]对账明细接口!$B$1067=0,"",[2]对账明细接口!$B$1067),"")</f>
        <v/>
      </c>
      <c r="C1067" s="16" t="str">
        <f>IFERROR(IF([2]对账明细接口!$C$1067=0,"",[2]对账明细接口!$C$1067),"")</f>
        <v/>
      </c>
      <c r="D1067" s="16" t="str">
        <f>IFERROR(IF([2]对账明细接口!$D$1067=0,"",[2]对账明细接口!$D$1067),"")</f>
        <v/>
      </c>
      <c r="E1067" s="16" t="str">
        <f>IFERROR(IF([2]对账明细接口!$E$1067=0,"",[2]对账明细接口!$E$1067),"")</f>
        <v/>
      </c>
      <c r="F1067" s="16" t="str">
        <f>IFERROR(IF([2]对账明细接口!$F$1067=0,"",[2]对账明细接口!$F$1067),"")</f>
        <v/>
      </c>
      <c r="G1067" s="16" t="str">
        <f>IFERROR(IF([2]对账明细接口!$G$1067=0,"",[2]对账明细接口!$G$1067),"")</f>
        <v/>
      </c>
      <c r="H1067" s="17" t="str">
        <f>IFERROR(IF([2]对账明细接口!$H$1067=0,"",[2]对账明细接口!$H$1067),"")</f>
        <v/>
      </c>
      <c r="I1067" s="16" t="str">
        <f>IFERROR(IF([2]对账明细接口!$I$1067=0,"",[2]对账明细接口!$I$1067),"")</f>
        <v/>
      </c>
      <c r="J1067" s="18" t="str">
        <f>IFERROR(IF([2]对账明细接口!$J$1067=0,"",[2]对账明细接口!$J$1067),"")</f>
        <v/>
      </c>
      <c r="K1067" s="18" t="str">
        <f>IFERROR(IF([2]对账明细接口!$K$1067=0,"",[2]对账明细接口!$K$1067),"")</f>
        <v/>
      </c>
      <c r="L1067" s="16" t="str">
        <f>IFERROR(IF([2]对账明细接口!$L$1067=0,"",[2]对账明细接口!$L$1067),"")</f>
        <v/>
      </c>
      <c r="M1067" s="16" t="str">
        <f>IFERROR(IF([2]对账明细接口!$M$1067=0,"",[2]对账明细接口!$M$1067),"")</f>
        <v/>
      </c>
      <c r="N1067" s="19">
        <f t="shared" si="96"/>
        <v>0</v>
      </c>
      <c r="O1067" s="19">
        <f t="shared" si="97"/>
        <v>165</v>
      </c>
      <c r="S1067" s="20" t="str">
        <f>IFERROR(IF([2]对账明细接口!$N1067=0,"",[2]对账明细接口!$N1067),"")</f>
        <v/>
      </c>
      <c r="T1067" s="21" t="str">
        <f>IFERROR(IF([2]对账明细接口!$O1067=0,"",[2]对账明细接口!$O1067),"")</f>
        <v/>
      </c>
      <c r="U1067" s="21" t="str">
        <f>IFERROR(IF([2]对账明细接口!$P1067=0,"",[2]对账明细接口!$P1067),"")</f>
        <v/>
      </c>
      <c r="V1067" s="21" t="str">
        <f>IFERROR(IF([2]对账明细接口!$Q1067=0,"",[2]对账明细接口!$Q1067),"")</f>
        <v/>
      </c>
      <c r="W1067" s="20" t="str">
        <f>IFERROR(IF([2]对账明细接口!$R1067=0,"",[2]对账明细接口!$R1067),"")</f>
        <v/>
      </c>
      <c r="X1067" s="20" t="str">
        <f>IFERROR(IF([2]对账明细接口!$S1067=0,"",[2]对账明细接口!$S1067),"")</f>
        <v/>
      </c>
      <c r="Y1067" s="20" t="str">
        <f t="shared" si="98"/>
        <v/>
      </c>
      <c r="Z1067" s="20" t="str">
        <f t="shared" si="99"/>
        <v/>
      </c>
      <c r="AA1067" s="20" t="str">
        <f t="shared" si="100"/>
        <v/>
      </c>
      <c r="AB1067" s="20" t="str">
        <f t="shared" si="101"/>
        <v/>
      </c>
    </row>
    <row r="1068" customHeight="1" spans="1:28">
      <c r="A1068" s="14">
        <v>1068</v>
      </c>
      <c r="B1068" s="15" t="str">
        <f>IFERROR(IF([2]对账明细接口!$B$1068=0,"",[2]对账明细接口!$B$1068),"")</f>
        <v/>
      </c>
      <c r="C1068" s="16" t="str">
        <f>IFERROR(IF([2]对账明细接口!$C$1068=0,"",[2]对账明细接口!$C$1068),"")</f>
        <v/>
      </c>
      <c r="D1068" s="16" t="str">
        <f>IFERROR(IF([2]对账明细接口!$D$1068=0,"",[2]对账明细接口!$D$1068),"")</f>
        <v/>
      </c>
      <c r="E1068" s="16" t="str">
        <f>IFERROR(IF([2]对账明细接口!$E$1068=0,"",[2]对账明细接口!$E$1068),"")</f>
        <v/>
      </c>
      <c r="F1068" s="16" t="str">
        <f>IFERROR(IF([2]对账明细接口!$F$1068=0,"",[2]对账明细接口!$F$1068),"")</f>
        <v/>
      </c>
      <c r="G1068" s="16" t="str">
        <f>IFERROR(IF([2]对账明细接口!$G$1068=0,"",[2]对账明细接口!$G$1068),"")</f>
        <v/>
      </c>
      <c r="H1068" s="17" t="str">
        <f>IFERROR(IF([2]对账明细接口!$H$1068=0,"",[2]对账明细接口!$H$1068),"")</f>
        <v/>
      </c>
      <c r="I1068" s="16" t="str">
        <f>IFERROR(IF([2]对账明细接口!$I$1068=0,"",[2]对账明细接口!$I$1068),"")</f>
        <v/>
      </c>
      <c r="J1068" s="18" t="str">
        <f>IFERROR(IF([2]对账明细接口!$J$1068=0,"",[2]对账明细接口!$J$1068),"")</f>
        <v/>
      </c>
      <c r="K1068" s="18" t="str">
        <f>IFERROR(IF([2]对账明细接口!$K$1068=0,"",[2]对账明细接口!$K$1068),"")</f>
        <v/>
      </c>
      <c r="L1068" s="16" t="str">
        <f>IFERROR(IF([2]对账明细接口!$L$1068=0,"",[2]对账明细接口!$L$1068),"")</f>
        <v/>
      </c>
      <c r="M1068" s="16" t="str">
        <f>IFERROR(IF([2]对账明细接口!$M$1068=0,"",[2]对账明细接口!$M$1068),"")</f>
        <v/>
      </c>
      <c r="N1068" s="19">
        <f t="shared" si="96"/>
        <v>0</v>
      </c>
      <c r="O1068" s="19">
        <f t="shared" si="97"/>
        <v>165</v>
      </c>
      <c r="S1068" s="20" t="str">
        <f>IFERROR(IF([2]对账明细接口!$N1068=0,"",[2]对账明细接口!$N1068),"")</f>
        <v/>
      </c>
      <c r="T1068" s="21" t="str">
        <f>IFERROR(IF([2]对账明细接口!$O1068=0,"",[2]对账明细接口!$O1068),"")</f>
        <v/>
      </c>
      <c r="U1068" s="21" t="str">
        <f>IFERROR(IF([2]对账明细接口!$P1068=0,"",[2]对账明细接口!$P1068),"")</f>
        <v/>
      </c>
      <c r="V1068" s="21" t="str">
        <f>IFERROR(IF([2]对账明细接口!$Q1068=0,"",[2]对账明细接口!$Q1068),"")</f>
        <v/>
      </c>
      <c r="W1068" s="20" t="str">
        <f>IFERROR(IF([2]对账明细接口!$R1068=0,"",[2]对账明细接口!$R1068),"")</f>
        <v/>
      </c>
      <c r="X1068" s="20" t="str">
        <f>IFERROR(IF([2]对账明细接口!$S1068=0,"",[2]对账明细接口!$S1068),"")</f>
        <v/>
      </c>
      <c r="Y1068" s="20" t="str">
        <f t="shared" si="98"/>
        <v/>
      </c>
      <c r="Z1068" s="20" t="str">
        <f t="shared" si="99"/>
        <v/>
      </c>
      <c r="AA1068" s="20" t="str">
        <f t="shared" si="100"/>
        <v/>
      </c>
      <c r="AB1068" s="20" t="str">
        <f t="shared" si="101"/>
        <v/>
      </c>
    </row>
    <row r="1069" customHeight="1" spans="1:28">
      <c r="A1069" s="14">
        <v>1069</v>
      </c>
      <c r="B1069" s="15" t="str">
        <f>IFERROR(IF([2]对账明细接口!$B$1069=0,"",[2]对账明细接口!$B$1069),"")</f>
        <v/>
      </c>
      <c r="C1069" s="16" t="str">
        <f>IFERROR(IF([2]对账明细接口!$C$1069=0,"",[2]对账明细接口!$C$1069),"")</f>
        <v/>
      </c>
      <c r="D1069" s="16" t="str">
        <f>IFERROR(IF([2]对账明细接口!$D$1069=0,"",[2]对账明细接口!$D$1069),"")</f>
        <v/>
      </c>
      <c r="E1069" s="16" t="str">
        <f>IFERROR(IF([2]对账明细接口!$E$1069=0,"",[2]对账明细接口!$E$1069),"")</f>
        <v/>
      </c>
      <c r="F1069" s="16" t="str">
        <f>IFERROR(IF([2]对账明细接口!$F$1069=0,"",[2]对账明细接口!$F$1069),"")</f>
        <v/>
      </c>
      <c r="G1069" s="16" t="str">
        <f>IFERROR(IF([2]对账明细接口!$G$1069=0,"",[2]对账明细接口!$G$1069),"")</f>
        <v/>
      </c>
      <c r="H1069" s="17" t="str">
        <f>IFERROR(IF([2]对账明细接口!$H$1069=0,"",[2]对账明细接口!$H$1069),"")</f>
        <v/>
      </c>
      <c r="I1069" s="16" t="str">
        <f>IFERROR(IF([2]对账明细接口!$I$1069=0,"",[2]对账明细接口!$I$1069),"")</f>
        <v/>
      </c>
      <c r="J1069" s="18" t="str">
        <f>IFERROR(IF([2]对账明细接口!$J$1069=0,"",[2]对账明细接口!$J$1069),"")</f>
        <v/>
      </c>
      <c r="K1069" s="18" t="str">
        <f>IFERROR(IF([2]对账明细接口!$K$1069=0,"",[2]对账明细接口!$K$1069),"")</f>
        <v/>
      </c>
      <c r="L1069" s="16" t="str">
        <f>IFERROR(IF([2]对账明细接口!$L$1069=0,"",[2]对账明细接口!$L$1069),"")</f>
        <v/>
      </c>
      <c r="M1069" s="16" t="str">
        <f>IFERROR(IF([2]对账明细接口!$M$1069=0,"",[2]对账明细接口!$M$1069),"")</f>
        <v/>
      </c>
      <c r="N1069" s="19">
        <f t="shared" si="96"/>
        <v>0</v>
      </c>
      <c r="O1069" s="19">
        <f t="shared" si="97"/>
        <v>165</v>
      </c>
      <c r="S1069" s="20" t="str">
        <f>IFERROR(IF([2]对账明细接口!$N1069=0,"",[2]对账明细接口!$N1069),"")</f>
        <v/>
      </c>
      <c r="T1069" s="21" t="str">
        <f>IFERROR(IF([2]对账明细接口!$O1069=0,"",[2]对账明细接口!$O1069),"")</f>
        <v/>
      </c>
      <c r="U1069" s="21" t="str">
        <f>IFERROR(IF([2]对账明细接口!$P1069=0,"",[2]对账明细接口!$P1069),"")</f>
        <v/>
      </c>
      <c r="V1069" s="21" t="str">
        <f>IFERROR(IF([2]对账明细接口!$Q1069=0,"",[2]对账明细接口!$Q1069),"")</f>
        <v/>
      </c>
      <c r="W1069" s="20" t="str">
        <f>IFERROR(IF([2]对账明细接口!$R1069=0,"",[2]对账明细接口!$R1069),"")</f>
        <v/>
      </c>
      <c r="X1069" s="20" t="str">
        <f>IFERROR(IF([2]对账明细接口!$S1069=0,"",[2]对账明细接口!$S1069),"")</f>
        <v/>
      </c>
      <c r="Y1069" s="20" t="str">
        <f t="shared" si="98"/>
        <v/>
      </c>
      <c r="Z1069" s="20" t="str">
        <f t="shared" si="99"/>
        <v/>
      </c>
      <c r="AA1069" s="20" t="str">
        <f t="shared" si="100"/>
        <v/>
      </c>
      <c r="AB1069" s="20" t="str">
        <f t="shared" si="101"/>
        <v/>
      </c>
    </row>
    <row r="1070" customHeight="1" spans="1:28">
      <c r="A1070" s="14">
        <v>1070</v>
      </c>
      <c r="B1070" s="15" t="str">
        <f>IFERROR(IF([2]对账明细接口!$B$1070=0,"",[2]对账明细接口!$B$1070),"")</f>
        <v/>
      </c>
      <c r="C1070" s="16" t="str">
        <f>IFERROR(IF([2]对账明细接口!$C$1070=0,"",[2]对账明细接口!$C$1070),"")</f>
        <v/>
      </c>
      <c r="D1070" s="16" t="str">
        <f>IFERROR(IF([2]对账明细接口!$D$1070=0,"",[2]对账明细接口!$D$1070),"")</f>
        <v/>
      </c>
      <c r="E1070" s="16" t="str">
        <f>IFERROR(IF([2]对账明细接口!$E$1070=0,"",[2]对账明细接口!$E$1070),"")</f>
        <v/>
      </c>
      <c r="F1070" s="16" t="str">
        <f>IFERROR(IF([2]对账明细接口!$F$1070=0,"",[2]对账明细接口!$F$1070),"")</f>
        <v/>
      </c>
      <c r="G1070" s="16" t="str">
        <f>IFERROR(IF([2]对账明细接口!$G$1070=0,"",[2]对账明细接口!$G$1070),"")</f>
        <v/>
      </c>
      <c r="H1070" s="17" t="str">
        <f>IFERROR(IF([2]对账明细接口!$H$1070=0,"",[2]对账明细接口!$H$1070),"")</f>
        <v/>
      </c>
      <c r="I1070" s="16" t="str">
        <f>IFERROR(IF([2]对账明细接口!$I$1070=0,"",[2]对账明细接口!$I$1070),"")</f>
        <v/>
      </c>
      <c r="J1070" s="18" t="str">
        <f>IFERROR(IF([2]对账明细接口!$J$1070=0,"",[2]对账明细接口!$J$1070),"")</f>
        <v/>
      </c>
      <c r="K1070" s="18" t="str">
        <f>IFERROR(IF([2]对账明细接口!$K$1070=0,"",[2]对账明细接口!$K$1070),"")</f>
        <v/>
      </c>
      <c r="L1070" s="16" t="str">
        <f>IFERROR(IF([2]对账明细接口!$L$1070=0,"",[2]对账明细接口!$L$1070),"")</f>
        <v/>
      </c>
      <c r="M1070" s="16" t="str">
        <f>IFERROR(IF([2]对账明细接口!$M$1070=0,"",[2]对账明细接口!$M$1070),"")</f>
        <v/>
      </c>
      <c r="N1070" s="19">
        <f t="shared" si="96"/>
        <v>0</v>
      </c>
      <c r="O1070" s="19">
        <f t="shared" si="97"/>
        <v>165</v>
      </c>
      <c r="S1070" s="20" t="str">
        <f>IFERROR(IF([2]对账明细接口!$N1070=0,"",[2]对账明细接口!$N1070),"")</f>
        <v/>
      </c>
      <c r="T1070" s="21" t="str">
        <f>IFERROR(IF([2]对账明细接口!$O1070=0,"",[2]对账明细接口!$O1070),"")</f>
        <v/>
      </c>
      <c r="U1070" s="21" t="str">
        <f>IFERROR(IF([2]对账明细接口!$P1070=0,"",[2]对账明细接口!$P1070),"")</f>
        <v/>
      </c>
      <c r="V1070" s="21" t="str">
        <f>IFERROR(IF([2]对账明细接口!$Q1070=0,"",[2]对账明细接口!$Q1070),"")</f>
        <v/>
      </c>
      <c r="W1070" s="20" t="str">
        <f>IFERROR(IF([2]对账明细接口!$R1070=0,"",[2]对账明细接口!$R1070),"")</f>
        <v/>
      </c>
      <c r="X1070" s="20" t="str">
        <f>IFERROR(IF([2]对账明细接口!$S1070=0,"",[2]对账明细接口!$S1070),"")</f>
        <v/>
      </c>
      <c r="Y1070" s="20" t="str">
        <f t="shared" si="98"/>
        <v/>
      </c>
      <c r="Z1070" s="20" t="str">
        <f t="shared" si="99"/>
        <v/>
      </c>
      <c r="AA1070" s="20" t="str">
        <f t="shared" si="100"/>
        <v/>
      </c>
      <c r="AB1070" s="20" t="str">
        <f t="shared" si="101"/>
        <v/>
      </c>
    </row>
    <row r="1071" customHeight="1" spans="1:28">
      <c r="A1071" s="14">
        <v>1071</v>
      </c>
      <c r="B1071" s="15" t="str">
        <f>IFERROR(IF([2]对账明细接口!$B$1071=0,"",[2]对账明细接口!$B$1071),"")</f>
        <v/>
      </c>
      <c r="C1071" s="16" t="str">
        <f>IFERROR(IF([2]对账明细接口!$C$1071=0,"",[2]对账明细接口!$C$1071),"")</f>
        <v/>
      </c>
      <c r="D1071" s="16" t="str">
        <f>IFERROR(IF([2]对账明细接口!$D$1071=0,"",[2]对账明细接口!$D$1071),"")</f>
        <v/>
      </c>
      <c r="E1071" s="16" t="str">
        <f>IFERROR(IF([2]对账明细接口!$E$1071=0,"",[2]对账明细接口!$E$1071),"")</f>
        <v/>
      </c>
      <c r="F1071" s="16" t="str">
        <f>IFERROR(IF([2]对账明细接口!$F$1071=0,"",[2]对账明细接口!$F$1071),"")</f>
        <v/>
      </c>
      <c r="G1071" s="16" t="str">
        <f>IFERROR(IF([2]对账明细接口!$G$1071=0,"",[2]对账明细接口!$G$1071),"")</f>
        <v/>
      </c>
      <c r="H1071" s="17" t="str">
        <f>IFERROR(IF([2]对账明细接口!$H$1071=0,"",[2]对账明细接口!$H$1071),"")</f>
        <v/>
      </c>
      <c r="I1071" s="16" t="str">
        <f>IFERROR(IF([2]对账明细接口!$I$1071=0,"",[2]对账明细接口!$I$1071),"")</f>
        <v/>
      </c>
      <c r="J1071" s="18" t="str">
        <f>IFERROR(IF([2]对账明细接口!$J$1071=0,"",[2]对账明细接口!$J$1071),"")</f>
        <v/>
      </c>
      <c r="K1071" s="18" t="str">
        <f>IFERROR(IF([2]对账明细接口!$K$1071=0,"",[2]对账明细接口!$K$1071),"")</f>
        <v/>
      </c>
      <c r="L1071" s="16" t="str">
        <f>IFERROR(IF([2]对账明细接口!$L$1071=0,"",[2]对账明细接口!$L$1071),"")</f>
        <v/>
      </c>
      <c r="M1071" s="16" t="str">
        <f>IFERROR(IF([2]对账明细接口!$M$1071=0,"",[2]对账明细接口!$M$1071),"")</f>
        <v/>
      </c>
      <c r="N1071" s="19">
        <f t="shared" si="96"/>
        <v>0</v>
      </c>
      <c r="O1071" s="19">
        <f t="shared" si="97"/>
        <v>165</v>
      </c>
      <c r="S1071" s="20" t="str">
        <f>IFERROR(IF([2]对账明细接口!$N1071=0,"",[2]对账明细接口!$N1071),"")</f>
        <v/>
      </c>
      <c r="T1071" s="21" t="str">
        <f>IFERROR(IF([2]对账明细接口!$O1071=0,"",[2]对账明细接口!$O1071),"")</f>
        <v/>
      </c>
      <c r="U1071" s="21" t="str">
        <f>IFERROR(IF([2]对账明细接口!$P1071=0,"",[2]对账明细接口!$P1071),"")</f>
        <v/>
      </c>
      <c r="V1071" s="21" t="str">
        <f>IFERROR(IF([2]对账明细接口!$Q1071=0,"",[2]对账明细接口!$Q1071),"")</f>
        <v/>
      </c>
      <c r="W1071" s="20" t="str">
        <f>IFERROR(IF([2]对账明细接口!$R1071=0,"",[2]对账明细接口!$R1071),"")</f>
        <v/>
      </c>
      <c r="X1071" s="20" t="str">
        <f>IFERROR(IF([2]对账明细接口!$S1071=0,"",[2]对账明细接口!$S1071),"")</f>
        <v/>
      </c>
      <c r="Y1071" s="20" t="str">
        <f t="shared" si="98"/>
        <v/>
      </c>
      <c r="Z1071" s="20" t="str">
        <f t="shared" si="99"/>
        <v/>
      </c>
      <c r="AA1071" s="20" t="str">
        <f t="shared" si="100"/>
        <v/>
      </c>
      <c r="AB1071" s="20" t="str">
        <f t="shared" si="101"/>
        <v/>
      </c>
    </row>
    <row r="1072" customHeight="1" spans="1:28">
      <c r="A1072" s="14">
        <v>1072</v>
      </c>
      <c r="B1072" s="15" t="str">
        <f>IFERROR(IF([2]对账明细接口!$B$1072=0,"",[2]对账明细接口!$B$1072),"")</f>
        <v/>
      </c>
      <c r="C1072" s="16" t="str">
        <f>IFERROR(IF([2]对账明细接口!$C$1072=0,"",[2]对账明细接口!$C$1072),"")</f>
        <v/>
      </c>
      <c r="D1072" s="16" t="str">
        <f>IFERROR(IF([2]对账明细接口!$D$1072=0,"",[2]对账明细接口!$D$1072),"")</f>
        <v/>
      </c>
      <c r="E1072" s="16" t="str">
        <f>IFERROR(IF([2]对账明细接口!$E$1072=0,"",[2]对账明细接口!$E$1072),"")</f>
        <v/>
      </c>
      <c r="F1072" s="16" t="str">
        <f>IFERROR(IF([2]对账明细接口!$F$1072=0,"",[2]对账明细接口!$F$1072),"")</f>
        <v/>
      </c>
      <c r="G1072" s="16" t="str">
        <f>IFERROR(IF([2]对账明细接口!$G$1072=0,"",[2]对账明细接口!$G$1072),"")</f>
        <v/>
      </c>
      <c r="H1072" s="17" t="str">
        <f>IFERROR(IF([2]对账明细接口!$H$1072=0,"",[2]对账明细接口!$H$1072),"")</f>
        <v/>
      </c>
      <c r="I1072" s="16" t="str">
        <f>IFERROR(IF([2]对账明细接口!$I$1072=0,"",[2]对账明细接口!$I$1072),"")</f>
        <v/>
      </c>
      <c r="J1072" s="18" t="str">
        <f>IFERROR(IF([2]对账明细接口!$J$1072=0,"",[2]对账明细接口!$J$1072),"")</f>
        <v/>
      </c>
      <c r="K1072" s="18" t="str">
        <f>IFERROR(IF([2]对账明细接口!$K$1072=0,"",[2]对账明细接口!$K$1072),"")</f>
        <v/>
      </c>
      <c r="L1072" s="16" t="str">
        <f>IFERROR(IF([2]对账明细接口!$L$1072=0,"",[2]对账明细接口!$L$1072),"")</f>
        <v/>
      </c>
      <c r="M1072" s="16" t="str">
        <f>IFERROR(IF([2]对账明细接口!$M$1072=0,"",[2]对账明细接口!$M$1072),"")</f>
        <v/>
      </c>
      <c r="N1072" s="19">
        <f t="shared" si="96"/>
        <v>0</v>
      </c>
      <c r="O1072" s="19">
        <f t="shared" si="97"/>
        <v>165</v>
      </c>
      <c r="S1072" s="20" t="str">
        <f>IFERROR(IF([2]对账明细接口!$N1072=0,"",[2]对账明细接口!$N1072),"")</f>
        <v/>
      </c>
      <c r="T1072" s="21" t="str">
        <f>IFERROR(IF([2]对账明细接口!$O1072=0,"",[2]对账明细接口!$O1072),"")</f>
        <v/>
      </c>
      <c r="U1072" s="21" t="str">
        <f>IFERROR(IF([2]对账明细接口!$P1072=0,"",[2]对账明细接口!$P1072),"")</f>
        <v/>
      </c>
      <c r="V1072" s="21" t="str">
        <f>IFERROR(IF([2]对账明细接口!$Q1072=0,"",[2]对账明细接口!$Q1072),"")</f>
        <v/>
      </c>
      <c r="W1072" s="20" t="str">
        <f>IFERROR(IF([2]对账明细接口!$R1072=0,"",[2]对账明细接口!$R1072),"")</f>
        <v/>
      </c>
      <c r="X1072" s="20" t="str">
        <f>IFERROR(IF([2]对账明细接口!$S1072=0,"",[2]对账明细接口!$S1072),"")</f>
        <v/>
      </c>
      <c r="Y1072" s="20" t="str">
        <f t="shared" si="98"/>
        <v/>
      </c>
      <c r="Z1072" s="20" t="str">
        <f t="shared" si="99"/>
        <v/>
      </c>
      <c r="AA1072" s="20" t="str">
        <f t="shared" si="100"/>
        <v/>
      </c>
      <c r="AB1072" s="20" t="str">
        <f t="shared" si="101"/>
        <v/>
      </c>
    </row>
    <row r="1073" customHeight="1" spans="1:28">
      <c r="A1073" s="14">
        <v>1073</v>
      </c>
      <c r="B1073" s="15" t="str">
        <f>IFERROR(IF([2]对账明细接口!$B$1073=0,"",[2]对账明细接口!$B$1073),"")</f>
        <v/>
      </c>
      <c r="C1073" s="16" t="str">
        <f>IFERROR(IF([2]对账明细接口!$C$1073=0,"",[2]对账明细接口!$C$1073),"")</f>
        <v/>
      </c>
      <c r="D1073" s="16" t="str">
        <f>IFERROR(IF([2]对账明细接口!$D$1073=0,"",[2]对账明细接口!$D$1073),"")</f>
        <v/>
      </c>
      <c r="E1073" s="16" t="str">
        <f>IFERROR(IF([2]对账明细接口!$E$1073=0,"",[2]对账明细接口!$E$1073),"")</f>
        <v/>
      </c>
      <c r="F1073" s="16" t="str">
        <f>IFERROR(IF([2]对账明细接口!$F$1073=0,"",[2]对账明细接口!$F$1073),"")</f>
        <v/>
      </c>
      <c r="G1073" s="16" t="str">
        <f>IFERROR(IF([2]对账明细接口!$G$1073=0,"",[2]对账明细接口!$G$1073),"")</f>
        <v/>
      </c>
      <c r="H1073" s="17" t="str">
        <f>IFERROR(IF([2]对账明细接口!$H$1073=0,"",[2]对账明细接口!$H$1073),"")</f>
        <v/>
      </c>
      <c r="I1073" s="16" t="str">
        <f>IFERROR(IF([2]对账明细接口!$I$1073=0,"",[2]对账明细接口!$I$1073),"")</f>
        <v/>
      </c>
      <c r="J1073" s="18" t="str">
        <f>IFERROR(IF([2]对账明细接口!$J$1073=0,"",[2]对账明细接口!$J$1073),"")</f>
        <v/>
      </c>
      <c r="K1073" s="18" t="str">
        <f>IFERROR(IF([2]对账明细接口!$K$1073=0,"",[2]对账明细接口!$K$1073),"")</f>
        <v/>
      </c>
      <c r="L1073" s="16" t="str">
        <f>IFERROR(IF([2]对账明细接口!$L$1073=0,"",[2]对账明细接口!$L$1073),"")</f>
        <v/>
      </c>
      <c r="M1073" s="16" t="str">
        <f>IFERROR(IF([2]对账明细接口!$M$1073=0,"",[2]对账明细接口!$M$1073),"")</f>
        <v/>
      </c>
      <c r="N1073" s="19">
        <f t="shared" si="96"/>
        <v>0</v>
      </c>
      <c r="O1073" s="19">
        <f t="shared" si="97"/>
        <v>165</v>
      </c>
      <c r="S1073" s="20" t="str">
        <f>IFERROR(IF([2]对账明细接口!$N1073=0,"",[2]对账明细接口!$N1073),"")</f>
        <v/>
      </c>
      <c r="T1073" s="21" t="str">
        <f>IFERROR(IF([2]对账明细接口!$O1073=0,"",[2]对账明细接口!$O1073),"")</f>
        <v/>
      </c>
      <c r="U1073" s="21" t="str">
        <f>IFERROR(IF([2]对账明细接口!$P1073=0,"",[2]对账明细接口!$P1073),"")</f>
        <v/>
      </c>
      <c r="V1073" s="21" t="str">
        <f>IFERROR(IF([2]对账明细接口!$Q1073=0,"",[2]对账明细接口!$Q1073),"")</f>
        <v/>
      </c>
      <c r="W1073" s="20" t="str">
        <f>IFERROR(IF([2]对账明细接口!$R1073=0,"",[2]对账明细接口!$R1073),"")</f>
        <v/>
      </c>
      <c r="X1073" s="20" t="str">
        <f>IFERROR(IF([2]对账明细接口!$S1073=0,"",[2]对账明细接口!$S1073),"")</f>
        <v/>
      </c>
      <c r="Y1073" s="20" t="str">
        <f t="shared" si="98"/>
        <v/>
      </c>
      <c r="Z1073" s="20" t="str">
        <f t="shared" si="99"/>
        <v/>
      </c>
      <c r="AA1073" s="20" t="str">
        <f t="shared" si="100"/>
        <v/>
      </c>
      <c r="AB1073" s="20" t="str">
        <f t="shared" si="101"/>
        <v/>
      </c>
    </row>
    <row r="1074" customHeight="1" spans="1:28">
      <c r="A1074" s="14">
        <v>1074</v>
      </c>
      <c r="B1074" s="15" t="str">
        <f>IFERROR(IF([2]对账明细接口!$B$1074=0,"",[2]对账明细接口!$B$1074),"")</f>
        <v/>
      </c>
      <c r="C1074" s="16" t="str">
        <f>IFERROR(IF([2]对账明细接口!$C$1074=0,"",[2]对账明细接口!$C$1074),"")</f>
        <v/>
      </c>
      <c r="D1074" s="16" t="str">
        <f>IFERROR(IF([2]对账明细接口!$D$1074=0,"",[2]对账明细接口!$D$1074),"")</f>
        <v/>
      </c>
      <c r="E1074" s="16" t="str">
        <f>IFERROR(IF([2]对账明细接口!$E$1074=0,"",[2]对账明细接口!$E$1074),"")</f>
        <v/>
      </c>
      <c r="F1074" s="16" t="str">
        <f>IFERROR(IF([2]对账明细接口!$F$1074=0,"",[2]对账明细接口!$F$1074),"")</f>
        <v/>
      </c>
      <c r="G1074" s="16" t="str">
        <f>IFERROR(IF([2]对账明细接口!$G$1074=0,"",[2]对账明细接口!$G$1074),"")</f>
        <v/>
      </c>
      <c r="H1074" s="17" t="str">
        <f>IFERROR(IF([2]对账明细接口!$H$1074=0,"",[2]对账明细接口!$H$1074),"")</f>
        <v/>
      </c>
      <c r="I1074" s="16" t="str">
        <f>IFERROR(IF([2]对账明细接口!$I$1074=0,"",[2]对账明细接口!$I$1074),"")</f>
        <v/>
      </c>
      <c r="J1074" s="18" t="str">
        <f>IFERROR(IF([2]对账明细接口!$J$1074=0,"",[2]对账明细接口!$J$1074),"")</f>
        <v/>
      </c>
      <c r="K1074" s="18" t="str">
        <f>IFERROR(IF([2]对账明细接口!$K$1074=0,"",[2]对账明细接口!$K$1074),"")</f>
        <v/>
      </c>
      <c r="L1074" s="16" t="str">
        <f>IFERROR(IF([2]对账明细接口!$L$1074=0,"",[2]对账明细接口!$L$1074),"")</f>
        <v/>
      </c>
      <c r="M1074" s="16" t="str">
        <f>IFERROR(IF([2]对账明细接口!$M$1074=0,"",[2]对账明细接口!$M$1074),"")</f>
        <v/>
      </c>
      <c r="N1074" s="19">
        <f t="shared" si="96"/>
        <v>0</v>
      </c>
      <c r="O1074" s="19">
        <f t="shared" si="97"/>
        <v>165</v>
      </c>
      <c r="S1074" s="20" t="str">
        <f>IFERROR(IF([2]对账明细接口!$N1074=0,"",[2]对账明细接口!$N1074),"")</f>
        <v/>
      </c>
      <c r="T1074" s="21" t="str">
        <f>IFERROR(IF([2]对账明细接口!$O1074=0,"",[2]对账明细接口!$O1074),"")</f>
        <v/>
      </c>
      <c r="U1074" s="21" t="str">
        <f>IFERROR(IF([2]对账明细接口!$P1074=0,"",[2]对账明细接口!$P1074),"")</f>
        <v/>
      </c>
      <c r="V1074" s="21" t="str">
        <f>IFERROR(IF([2]对账明细接口!$Q1074=0,"",[2]对账明细接口!$Q1074),"")</f>
        <v/>
      </c>
      <c r="W1074" s="20" t="str">
        <f>IFERROR(IF([2]对账明细接口!$R1074=0,"",[2]对账明细接口!$R1074),"")</f>
        <v/>
      </c>
      <c r="X1074" s="20" t="str">
        <f>IFERROR(IF([2]对账明细接口!$S1074=0,"",[2]对账明细接口!$S1074),"")</f>
        <v/>
      </c>
      <c r="Y1074" s="20" t="str">
        <f t="shared" si="98"/>
        <v/>
      </c>
      <c r="Z1074" s="20" t="str">
        <f t="shared" si="99"/>
        <v/>
      </c>
      <c r="AA1074" s="20" t="str">
        <f t="shared" si="100"/>
        <v/>
      </c>
      <c r="AB1074" s="20" t="str">
        <f t="shared" si="101"/>
        <v/>
      </c>
    </row>
    <row r="1075" customHeight="1" spans="1:28">
      <c r="A1075" s="14">
        <v>1075</v>
      </c>
      <c r="B1075" s="15" t="str">
        <f>IFERROR(IF([2]对账明细接口!$B$1075=0,"",[2]对账明细接口!$B$1075),"")</f>
        <v/>
      </c>
      <c r="C1075" s="16" t="str">
        <f>IFERROR(IF([2]对账明细接口!$C$1075=0,"",[2]对账明细接口!$C$1075),"")</f>
        <v/>
      </c>
      <c r="D1075" s="16" t="str">
        <f>IFERROR(IF([2]对账明细接口!$D$1075=0,"",[2]对账明细接口!$D$1075),"")</f>
        <v/>
      </c>
      <c r="E1075" s="16" t="str">
        <f>IFERROR(IF([2]对账明细接口!$E$1075=0,"",[2]对账明细接口!$E$1075),"")</f>
        <v/>
      </c>
      <c r="F1075" s="16" t="str">
        <f>IFERROR(IF([2]对账明细接口!$F$1075=0,"",[2]对账明细接口!$F$1075),"")</f>
        <v/>
      </c>
      <c r="G1075" s="16" t="str">
        <f>IFERROR(IF([2]对账明细接口!$G$1075=0,"",[2]对账明细接口!$G$1075),"")</f>
        <v/>
      </c>
      <c r="H1075" s="17" t="str">
        <f>IFERROR(IF([2]对账明细接口!$H$1075=0,"",[2]对账明细接口!$H$1075),"")</f>
        <v/>
      </c>
      <c r="I1075" s="16" t="str">
        <f>IFERROR(IF([2]对账明细接口!$I$1075=0,"",[2]对账明细接口!$I$1075),"")</f>
        <v/>
      </c>
      <c r="J1075" s="18" t="str">
        <f>IFERROR(IF([2]对账明细接口!$J$1075=0,"",[2]对账明细接口!$J$1075),"")</f>
        <v/>
      </c>
      <c r="K1075" s="18" t="str">
        <f>IFERROR(IF([2]对账明细接口!$K$1075=0,"",[2]对账明细接口!$K$1075),"")</f>
        <v/>
      </c>
      <c r="L1075" s="16" t="str">
        <f>IFERROR(IF([2]对账明细接口!$L$1075=0,"",[2]对账明细接口!$L$1075),"")</f>
        <v/>
      </c>
      <c r="M1075" s="16" t="str">
        <f>IFERROR(IF([2]对账明细接口!$M$1075=0,"",[2]对账明细接口!$M$1075),"")</f>
        <v/>
      </c>
      <c r="N1075" s="19">
        <f t="shared" si="96"/>
        <v>0</v>
      </c>
      <c r="O1075" s="19">
        <f t="shared" si="97"/>
        <v>165</v>
      </c>
      <c r="S1075" s="20" t="str">
        <f>IFERROR(IF([2]对账明细接口!$N1075=0,"",[2]对账明细接口!$N1075),"")</f>
        <v/>
      </c>
      <c r="T1075" s="21" t="str">
        <f>IFERROR(IF([2]对账明细接口!$O1075=0,"",[2]对账明细接口!$O1075),"")</f>
        <v/>
      </c>
      <c r="U1075" s="21" t="str">
        <f>IFERROR(IF([2]对账明细接口!$P1075=0,"",[2]对账明细接口!$P1075),"")</f>
        <v/>
      </c>
      <c r="V1075" s="21" t="str">
        <f>IFERROR(IF([2]对账明细接口!$Q1075=0,"",[2]对账明细接口!$Q1075),"")</f>
        <v/>
      </c>
      <c r="W1075" s="20" t="str">
        <f>IFERROR(IF([2]对账明细接口!$R1075=0,"",[2]对账明细接口!$R1075),"")</f>
        <v/>
      </c>
      <c r="X1075" s="20" t="str">
        <f>IFERROR(IF([2]对账明细接口!$S1075=0,"",[2]对账明细接口!$S1075),"")</f>
        <v/>
      </c>
      <c r="Y1075" s="20" t="str">
        <f t="shared" si="98"/>
        <v/>
      </c>
      <c r="Z1075" s="20" t="str">
        <f t="shared" si="99"/>
        <v/>
      </c>
      <c r="AA1075" s="20" t="str">
        <f t="shared" si="100"/>
        <v/>
      </c>
      <c r="AB1075" s="20" t="str">
        <f t="shared" si="101"/>
        <v/>
      </c>
    </row>
    <row r="1076" customHeight="1" spans="1:28">
      <c r="A1076" s="14">
        <v>1076</v>
      </c>
      <c r="B1076" s="15" t="str">
        <f>IFERROR(IF([2]对账明细接口!$B$1076=0,"",[2]对账明细接口!$B$1076),"")</f>
        <v/>
      </c>
      <c r="C1076" s="16" t="str">
        <f>IFERROR(IF([2]对账明细接口!$C$1076=0,"",[2]对账明细接口!$C$1076),"")</f>
        <v/>
      </c>
      <c r="D1076" s="16" t="str">
        <f>IFERROR(IF([2]对账明细接口!$D$1076=0,"",[2]对账明细接口!$D$1076),"")</f>
        <v/>
      </c>
      <c r="E1076" s="16" t="str">
        <f>IFERROR(IF([2]对账明细接口!$E$1076=0,"",[2]对账明细接口!$E$1076),"")</f>
        <v/>
      </c>
      <c r="F1076" s="16" t="str">
        <f>IFERROR(IF([2]对账明细接口!$F$1076=0,"",[2]对账明细接口!$F$1076),"")</f>
        <v/>
      </c>
      <c r="G1076" s="16" t="str">
        <f>IFERROR(IF([2]对账明细接口!$G$1076=0,"",[2]对账明细接口!$G$1076),"")</f>
        <v/>
      </c>
      <c r="H1076" s="17" t="str">
        <f>IFERROR(IF([2]对账明细接口!$H$1076=0,"",[2]对账明细接口!$H$1076),"")</f>
        <v/>
      </c>
      <c r="I1076" s="16" t="str">
        <f>IFERROR(IF([2]对账明细接口!$I$1076=0,"",[2]对账明细接口!$I$1076),"")</f>
        <v/>
      </c>
      <c r="J1076" s="18" t="str">
        <f>IFERROR(IF([2]对账明细接口!$J$1076=0,"",[2]对账明细接口!$J$1076),"")</f>
        <v/>
      </c>
      <c r="K1076" s="18" t="str">
        <f>IFERROR(IF([2]对账明细接口!$K$1076=0,"",[2]对账明细接口!$K$1076),"")</f>
        <v/>
      </c>
      <c r="L1076" s="16" t="str">
        <f>IFERROR(IF([2]对账明细接口!$L$1076=0,"",[2]对账明细接口!$L$1076),"")</f>
        <v/>
      </c>
      <c r="M1076" s="16" t="str">
        <f>IFERROR(IF([2]对账明细接口!$M$1076=0,"",[2]对账明细接口!$M$1076),"")</f>
        <v/>
      </c>
      <c r="N1076" s="19">
        <f t="shared" si="96"/>
        <v>0</v>
      </c>
      <c r="O1076" s="19">
        <f t="shared" si="97"/>
        <v>165</v>
      </c>
      <c r="S1076" s="20" t="str">
        <f>IFERROR(IF([2]对账明细接口!$N1076=0,"",[2]对账明细接口!$N1076),"")</f>
        <v/>
      </c>
      <c r="T1076" s="21" t="str">
        <f>IFERROR(IF([2]对账明细接口!$O1076=0,"",[2]对账明细接口!$O1076),"")</f>
        <v/>
      </c>
      <c r="U1076" s="21" t="str">
        <f>IFERROR(IF([2]对账明细接口!$P1076=0,"",[2]对账明细接口!$P1076),"")</f>
        <v/>
      </c>
      <c r="V1076" s="21" t="str">
        <f>IFERROR(IF([2]对账明细接口!$Q1076=0,"",[2]对账明细接口!$Q1076),"")</f>
        <v/>
      </c>
      <c r="W1076" s="20" t="str">
        <f>IFERROR(IF([2]对账明细接口!$R1076=0,"",[2]对账明细接口!$R1076),"")</f>
        <v/>
      </c>
      <c r="X1076" s="20" t="str">
        <f>IFERROR(IF([2]对账明细接口!$S1076=0,"",[2]对账明细接口!$S1076),"")</f>
        <v/>
      </c>
      <c r="Y1076" s="20" t="str">
        <f t="shared" si="98"/>
        <v/>
      </c>
      <c r="Z1076" s="20" t="str">
        <f t="shared" si="99"/>
        <v/>
      </c>
      <c r="AA1076" s="20" t="str">
        <f t="shared" si="100"/>
        <v/>
      </c>
      <c r="AB1076" s="20" t="str">
        <f t="shared" si="101"/>
        <v/>
      </c>
    </row>
    <row r="1077" customHeight="1" spans="1:28">
      <c r="A1077" s="14">
        <v>1077</v>
      </c>
      <c r="B1077" s="15" t="str">
        <f>IFERROR(IF([2]对账明细接口!$B$1077=0,"",[2]对账明细接口!$B$1077),"")</f>
        <v/>
      </c>
      <c r="C1077" s="16" t="str">
        <f>IFERROR(IF([2]对账明细接口!$C$1077=0,"",[2]对账明细接口!$C$1077),"")</f>
        <v/>
      </c>
      <c r="D1077" s="16" t="str">
        <f>IFERROR(IF([2]对账明细接口!$D$1077=0,"",[2]对账明细接口!$D$1077),"")</f>
        <v/>
      </c>
      <c r="E1077" s="16" t="str">
        <f>IFERROR(IF([2]对账明细接口!$E$1077=0,"",[2]对账明细接口!$E$1077),"")</f>
        <v/>
      </c>
      <c r="F1077" s="16" t="str">
        <f>IFERROR(IF([2]对账明细接口!$F$1077=0,"",[2]对账明细接口!$F$1077),"")</f>
        <v/>
      </c>
      <c r="G1077" s="16" t="str">
        <f>IFERROR(IF([2]对账明细接口!$G$1077=0,"",[2]对账明细接口!$G$1077),"")</f>
        <v/>
      </c>
      <c r="H1077" s="17" t="str">
        <f>IFERROR(IF([2]对账明细接口!$H$1077=0,"",[2]对账明细接口!$H$1077),"")</f>
        <v/>
      </c>
      <c r="I1077" s="16" t="str">
        <f>IFERROR(IF([2]对账明细接口!$I$1077=0,"",[2]对账明细接口!$I$1077),"")</f>
        <v/>
      </c>
      <c r="J1077" s="18" t="str">
        <f>IFERROR(IF([2]对账明细接口!$J$1077=0,"",[2]对账明细接口!$J$1077),"")</f>
        <v/>
      </c>
      <c r="K1077" s="18" t="str">
        <f>IFERROR(IF([2]对账明细接口!$K$1077=0,"",[2]对账明细接口!$K$1077),"")</f>
        <v/>
      </c>
      <c r="L1077" s="16" t="str">
        <f>IFERROR(IF([2]对账明细接口!$L$1077=0,"",[2]对账明细接口!$L$1077),"")</f>
        <v/>
      </c>
      <c r="M1077" s="16" t="str">
        <f>IFERROR(IF([2]对账明细接口!$M$1077=0,"",[2]对账明细接口!$M$1077),"")</f>
        <v/>
      </c>
      <c r="N1077" s="19">
        <f t="shared" si="96"/>
        <v>0</v>
      </c>
      <c r="O1077" s="19">
        <f t="shared" si="97"/>
        <v>165</v>
      </c>
      <c r="S1077" s="20" t="str">
        <f>IFERROR(IF([2]对账明细接口!$N1077=0,"",[2]对账明细接口!$N1077),"")</f>
        <v/>
      </c>
      <c r="T1077" s="21" t="str">
        <f>IFERROR(IF([2]对账明细接口!$O1077=0,"",[2]对账明细接口!$O1077),"")</f>
        <v/>
      </c>
      <c r="U1077" s="21" t="str">
        <f>IFERROR(IF([2]对账明细接口!$P1077=0,"",[2]对账明细接口!$P1077),"")</f>
        <v/>
      </c>
      <c r="V1077" s="21" t="str">
        <f>IFERROR(IF([2]对账明细接口!$Q1077=0,"",[2]对账明细接口!$Q1077),"")</f>
        <v/>
      </c>
      <c r="W1077" s="20" t="str">
        <f>IFERROR(IF([2]对账明细接口!$R1077=0,"",[2]对账明细接口!$R1077),"")</f>
        <v/>
      </c>
      <c r="X1077" s="20" t="str">
        <f>IFERROR(IF([2]对账明细接口!$S1077=0,"",[2]对账明细接口!$S1077),"")</f>
        <v/>
      </c>
      <c r="Y1077" s="20" t="str">
        <f t="shared" si="98"/>
        <v/>
      </c>
      <c r="Z1077" s="20" t="str">
        <f t="shared" si="99"/>
        <v/>
      </c>
      <c r="AA1077" s="20" t="str">
        <f t="shared" si="100"/>
        <v/>
      </c>
      <c r="AB1077" s="20" t="str">
        <f t="shared" si="101"/>
        <v/>
      </c>
    </row>
    <row r="1078" customHeight="1" spans="1:28">
      <c r="A1078" s="14">
        <v>1078</v>
      </c>
      <c r="B1078" s="15" t="str">
        <f>IFERROR(IF([2]对账明细接口!$B$1078=0,"",[2]对账明细接口!$B$1078),"")</f>
        <v/>
      </c>
      <c r="C1078" s="16" t="str">
        <f>IFERROR(IF([2]对账明细接口!$C$1078=0,"",[2]对账明细接口!$C$1078),"")</f>
        <v/>
      </c>
      <c r="D1078" s="16" t="str">
        <f>IFERROR(IF([2]对账明细接口!$D$1078=0,"",[2]对账明细接口!$D$1078),"")</f>
        <v/>
      </c>
      <c r="E1078" s="16" t="str">
        <f>IFERROR(IF([2]对账明细接口!$E$1078=0,"",[2]对账明细接口!$E$1078),"")</f>
        <v/>
      </c>
      <c r="F1078" s="16" t="str">
        <f>IFERROR(IF([2]对账明细接口!$F$1078=0,"",[2]对账明细接口!$F$1078),"")</f>
        <v/>
      </c>
      <c r="G1078" s="16" t="str">
        <f>IFERROR(IF([2]对账明细接口!$G$1078=0,"",[2]对账明细接口!$G$1078),"")</f>
        <v/>
      </c>
      <c r="H1078" s="17" t="str">
        <f>IFERROR(IF([2]对账明细接口!$H$1078=0,"",[2]对账明细接口!$H$1078),"")</f>
        <v/>
      </c>
      <c r="I1078" s="16" t="str">
        <f>IFERROR(IF([2]对账明细接口!$I$1078=0,"",[2]对账明细接口!$I$1078),"")</f>
        <v/>
      </c>
      <c r="J1078" s="18" t="str">
        <f>IFERROR(IF([2]对账明细接口!$J$1078=0,"",[2]对账明细接口!$J$1078),"")</f>
        <v/>
      </c>
      <c r="K1078" s="18" t="str">
        <f>IFERROR(IF([2]对账明细接口!$K$1078=0,"",[2]对账明细接口!$K$1078),"")</f>
        <v/>
      </c>
      <c r="L1078" s="16" t="str">
        <f>IFERROR(IF([2]对账明细接口!$L$1078=0,"",[2]对账明细接口!$L$1078),"")</f>
        <v/>
      </c>
      <c r="M1078" s="16" t="str">
        <f>IFERROR(IF([2]对账明细接口!$M$1078=0,"",[2]对账明细接口!$M$1078),"")</f>
        <v/>
      </c>
      <c r="N1078" s="19">
        <f t="shared" si="96"/>
        <v>0</v>
      </c>
      <c r="O1078" s="19">
        <f t="shared" si="97"/>
        <v>165</v>
      </c>
      <c r="S1078" s="20" t="str">
        <f>IFERROR(IF([2]对账明细接口!$N1078=0,"",[2]对账明细接口!$N1078),"")</f>
        <v/>
      </c>
      <c r="T1078" s="21" t="str">
        <f>IFERROR(IF([2]对账明细接口!$O1078=0,"",[2]对账明细接口!$O1078),"")</f>
        <v/>
      </c>
      <c r="U1078" s="21" t="str">
        <f>IFERROR(IF([2]对账明细接口!$P1078=0,"",[2]对账明细接口!$P1078),"")</f>
        <v/>
      </c>
      <c r="V1078" s="21" t="str">
        <f>IFERROR(IF([2]对账明细接口!$Q1078=0,"",[2]对账明细接口!$Q1078),"")</f>
        <v/>
      </c>
      <c r="W1078" s="20" t="str">
        <f>IFERROR(IF([2]对账明细接口!$R1078=0,"",[2]对账明细接口!$R1078),"")</f>
        <v/>
      </c>
      <c r="X1078" s="20" t="str">
        <f>IFERROR(IF([2]对账明细接口!$S1078=0,"",[2]对账明细接口!$S1078),"")</f>
        <v/>
      </c>
      <c r="Y1078" s="20" t="str">
        <f t="shared" si="98"/>
        <v/>
      </c>
      <c r="Z1078" s="20" t="str">
        <f t="shared" si="99"/>
        <v/>
      </c>
      <c r="AA1078" s="20" t="str">
        <f t="shared" si="100"/>
        <v/>
      </c>
      <c r="AB1078" s="20" t="str">
        <f t="shared" si="101"/>
        <v/>
      </c>
    </row>
    <row r="1079" customHeight="1" spans="1:28">
      <c r="A1079" s="14">
        <v>1079</v>
      </c>
      <c r="B1079" s="15" t="str">
        <f>IFERROR(IF([2]对账明细接口!$B$1079=0,"",[2]对账明细接口!$B$1079),"")</f>
        <v/>
      </c>
      <c r="C1079" s="16" t="str">
        <f>IFERROR(IF([2]对账明细接口!$C$1079=0,"",[2]对账明细接口!$C$1079),"")</f>
        <v/>
      </c>
      <c r="D1079" s="16" t="str">
        <f>IFERROR(IF([2]对账明细接口!$D$1079=0,"",[2]对账明细接口!$D$1079),"")</f>
        <v/>
      </c>
      <c r="E1079" s="16" t="str">
        <f>IFERROR(IF([2]对账明细接口!$E$1079=0,"",[2]对账明细接口!$E$1079),"")</f>
        <v/>
      </c>
      <c r="F1079" s="16" t="str">
        <f>IFERROR(IF([2]对账明细接口!$F$1079=0,"",[2]对账明细接口!$F$1079),"")</f>
        <v/>
      </c>
      <c r="G1079" s="16" t="str">
        <f>IFERROR(IF([2]对账明细接口!$G$1079=0,"",[2]对账明细接口!$G$1079),"")</f>
        <v/>
      </c>
      <c r="H1079" s="17" t="str">
        <f>IFERROR(IF([2]对账明细接口!$H$1079=0,"",[2]对账明细接口!$H$1079),"")</f>
        <v/>
      </c>
      <c r="I1079" s="16" t="str">
        <f>IFERROR(IF([2]对账明细接口!$I$1079=0,"",[2]对账明细接口!$I$1079),"")</f>
        <v/>
      </c>
      <c r="J1079" s="18" t="str">
        <f>IFERROR(IF([2]对账明细接口!$J$1079=0,"",[2]对账明细接口!$J$1079),"")</f>
        <v/>
      </c>
      <c r="K1079" s="18" t="str">
        <f>IFERROR(IF([2]对账明细接口!$K$1079=0,"",[2]对账明细接口!$K$1079),"")</f>
        <v/>
      </c>
      <c r="L1079" s="16" t="str">
        <f>IFERROR(IF([2]对账明细接口!$L$1079=0,"",[2]对账明细接口!$L$1079),"")</f>
        <v/>
      </c>
      <c r="M1079" s="16" t="str">
        <f>IFERROR(IF([2]对账明细接口!$M$1079=0,"",[2]对账明细接口!$M$1079),"")</f>
        <v/>
      </c>
      <c r="N1079" s="19">
        <f t="shared" si="96"/>
        <v>0</v>
      </c>
      <c r="O1079" s="19">
        <f t="shared" si="97"/>
        <v>165</v>
      </c>
      <c r="S1079" s="20" t="str">
        <f>IFERROR(IF([2]对账明细接口!$N1079=0,"",[2]对账明细接口!$N1079),"")</f>
        <v/>
      </c>
      <c r="T1079" s="21" t="str">
        <f>IFERROR(IF([2]对账明细接口!$O1079=0,"",[2]对账明细接口!$O1079),"")</f>
        <v/>
      </c>
      <c r="U1079" s="21" t="str">
        <f>IFERROR(IF([2]对账明细接口!$P1079=0,"",[2]对账明细接口!$P1079),"")</f>
        <v/>
      </c>
      <c r="V1079" s="21" t="str">
        <f>IFERROR(IF([2]对账明细接口!$Q1079=0,"",[2]对账明细接口!$Q1079),"")</f>
        <v/>
      </c>
      <c r="W1079" s="20" t="str">
        <f>IFERROR(IF([2]对账明细接口!$R1079=0,"",[2]对账明细接口!$R1079),"")</f>
        <v/>
      </c>
      <c r="X1079" s="20" t="str">
        <f>IFERROR(IF([2]对账明细接口!$S1079=0,"",[2]对账明细接口!$S1079),"")</f>
        <v/>
      </c>
      <c r="Y1079" s="20" t="str">
        <f t="shared" si="98"/>
        <v/>
      </c>
      <c r="Z1079" s="20" t="str">
        <f t="shared" si="99"/>
        <v/>
      </c>
      <c r="AA1079" s="20" t="str">
        <f t="shared" si="100"/>
        <v/>
      </c>
      <c r="AB1079" s="20" t="str">
        <f t="shared" si="101"/>
        <v/>
      </c>
    </row>
    <row r="1080" customHeight="1" spans="1:28">
      <c r="A1080" s="14">
        <v>1080</v>
      </c>
      <c r="B1080" s="15" t="str">
        <f>IFERROR(IF([2]对账明细接口!$B$1080=0,"",[2]对账明细接口!$B$1080),"")</f>
        <v/>
      </c>
      <c r="C1080" s="16" t="str">
        <f>IFERROR(IF([2]对账明细接口!$C$1080=0,"",[2]对账明细接口!$C$1080),"")</f>
        <v/>
      </c>
      <c r="D1080" s="16" t="str">
        <f>IFERROR(IF([2]对账明细接口!$D$1080=0,"",[2]对账明细接口!$D$1080),"")</f>
        <v/>
      </c>
      <c r="E1080" s="16" t="str">
        <f>IFERROR(IF([2]对账明细接口!$E$1080=0,"",[2]对账明细接口!$E$1080),"")</f>
        <v/>
      </c>
      <c r="F1080" s="16" t="str">
        <f>IFERROR(IF([2]对账明细接口!$F$1080=0,"",[2]对账明细接口!$F$1080),"")</f>
        <v/>
      </c>
      <c r="G1080" s="16" t="str">
        <f>IFERROR(IF([2]对账明细接口!$G$1080=0,"",[2]对账明细接口!$G$1080),"")</f>
        <v/>
      </c>
      <c r="H1080" s="17" t="str">
        <f>IFERROR(IF([2]对账明细接口!$H$1080=0,"",[2]对账明细接口!$H$1080),"")</f>
        <v/>
      </c>
      <c r="I1080" s="16" t="str">
        <f>IFERROR(IF([2]对账明细接口!$I$1080=0,"",[2]对账明细接口!$I$1080),"")</f>
        <v/>
      </c>
      <c r="J1080" s="18" t="str">
        <f>IFERROR(IF([2]对账明细接口!$J$1080=0,"",[2]对账明细接口!$J$1080),"")</f>
        <v/>
      </c>
      <c r="K1080" s="18" t="str">
        <f>IFERROR(IF([2]对账明细接口!$K$1080=0,"",[2]对账明细接口!$K$1080),"")</f>
        <v/>
      </c>
      <c r="L1080" s="16" t="str">
        <f>IFERROR(IF([2]对账明细接口!$L$1080=0,"",[2]对账明细接口!$L$1080),"")</f>
        <v/>
      </c>
      <c r="M1080" s="16" t="str">
        <f>IFERROR(IF([2]对账明细接口!$M$1080=0,"",[2]对账明细接口!$M$1080),"")</f>
        <v/>
      </c>
      <c r="N1080" s="19">
        <f t="shared" si="96"/>
        <v>0</v>
      </c>
      <c r="O1080" s="19">
        <f t="shared" si="97"/>
        <v>165</v>
      </c>
      <c r="S1080" s="20" t="str">
        <f>IFERROR(IF([2]对账明细接口!$N1080=0,"",[2]对账明细接口!$N1080),"")</f>
        <v/>
      </c>
      <c r="T1080" s="21" t="str">
        <f>IFERROR(IF([2]对账明细接口!$O1080=0,"",[2]对账明细接口!$O1080),"")</f>
        <v/>
      </c>
      <c r="U1080" s="21" t="str">
        <f>IFERROR(IF([2]对账明细接口!$P1080=0,"",[2]对账明细接口!$P1080),"")</f>
        <v/>
      </c>
      <c r="V1080" s="21" t="str">
        <f>IFERROR(IF([2]对账明细接口!$Q1080=0,"",[2]对账明细接口!$Q1080),"")</f>
        <v/>
      </c>
      <c r="W1080" s="20" t="str">
        <f>IFERROR(IF([2]对账明细接口!$R1080=0,"",[2]对账明细接口!$R1080),"")</f>
        <v/>
      </c>
      <c r="X1080" s="20" t="str">
        <f>IFERROR(IF([2]对账明细接口!$S1080=0,"",[2]对账明细接口!$S1080),"")</f>
        <v/>
      </c>
      <c r="Y1080" s="20" t="str">
        <f t="shared" si="98"/>
        <v/>
      </c>
      <c r="Z1080" s="20" t="str">
        <f t="shared" si="99"/>
        <v/>
      </c>
      <c r="AA1080" s="20" t="str">
        <f t="shared" si="100"/>
        <v/>
      </c>
      <c r="AB1080" s="20" t="str">
        <f t="shared" si="101"/>
        <v/>
      </c>
    </row>
    <row r="1081" customHeight="1" spans="1:28">
      <c r="A1081" s="14">
        <v>1081</v>
      </c>
      <c r="B1081" s="15" t="str">
        <f>IFERROR(IF([2]对账明细接口!$B$1081=0,"",[2]对账明细接口!$B$1081),"")</f>
        <v/>
      </c>
      <c r="C1081" s="16" t="str">
        <f>IFERROR(IF([2]对账明细接口!$C$1081=0,"",[2]对账明细接口!$C$1081),"")</f>
        <v/>
      </c>
      <c r="D1081" s="16" t="str">
        <f>IFERROR(IF([2]对账明细接口!$D$1081=0,"",[2]对账明细接口!$D$1081),"")</f>
        <v/>
      </c>
      <c r="E1081" s="16" t="str">
        <f>IFERROR(IF([2]对账明细接口!$E$1081=0,"",[2]对账明细接口!$E$1081),"")</f>
        <v/>
      </c>
      <c r="F1081" s="16" t="str">
        <f>IFERROR(IF([2]对账明细接口!$F$1081=0,"",[2]对账明细接口!$F$1081),"")</f>
        <v/>
      </c>
      <c r="G1081" s="16" t="str">
        <f>IFERROR(IF([2]对账明细接口!$G$1081=0,"",[2]对账明细接口!$G$1081),"")</f>
        <v/>
      </c>
      <c r="H1081" s="17" t="str">
        <f>IFERROR(IF([2]对账明细接口!$H$1081=0,"",[2]对账明细接口!$H$1081),"")</f>
        <v/>
      </c>
      <c r="I1081" s="16" t="str">
        <f>IFERROR(IF([2]对账明细接口!$I$1081=0,"",[2]对账明细接口!$I$1081),"")</f>
        <v/>
      </c>
      <c r="J1081" s="18" t="str">
        <f>IFERROR(IF([2]对账明细接口!$J$1081=0,"",[2]对账明细接口!$J$1081),"")</f>
        <v/>
      </c>
      <c r="K1081" s="18" t="str">
        <f>IFERROR(IF([2]对账明细接口!$K$1081=0,"",[2]对账明细接口!$K$1081),"")</f>
        <v/>
      </c>
      <c r="L1081" s="16" t="str">
        <f>IFERROR(IF([2]对账明细接口!$L$1081=0,"",[2]对账明细接口!$L$1081),"")</f>
        <v/>
      </c>
      <c r="M1081" s="16" t="str">
        <f>IFERROR(IF([2]对账明细接口!$M$1081=0,"",[2]对账明细接口!$M$1081),"")</f>
        <v/>
      </c>
      <c r="N1081" s="19">
        <f t="shared" si="96"/>
        <v>0</v>
      </c>
      <c r="O1081" s="19">
        <f t="shared" si="97"/>
        <v>165</v>
      </c>
      <c r="S1081" s="20" t="str">
        <f>IFERROR(IF([2]对账明细接口!$N1081=0,"",[2]对账明细接口!$N1081),"")</f>
        <v/>
      </c>
      <c r="T1081" s="21" t="str">
        <f>IFERROR(IF([2]对账明细接口!$O1081=0,"",[2]对账明细接口!$O1081),"")</f>
        <v/>
      </c>
      <c r="U1081" s="21" t="str">
        <f>IFERROR(IF([2]对账明细接口!$P1081=0,"",[2]对账明细接口!$P1081),"")</f>
        <v/>
      </c>
      <c r="V1081" s="21" t="str">
        <f>IFERROR(IF([2]对账明细接口!$Q1081=0,"",[2]对账明细接口!$Q1081),"")</f>
        <v/>
      </c>
      <c r="W1081" s="20" t="str">
        <f>IFERROR(IF([2]对账明细接口!$R1081=0,"",[2]对账明细接口!$R1081),"")</f>
        <v/>
      </c>
      <c r="X1081" s="20" t="str">
        <f>IFERROR(IF([2]对账明细接口!$S1081=0,"",[2]对账明细接口!$S1081),"")</f>
        <v/>
      </c>
      <c r="Y1081" s="20" t="str">
        <f t="shared" si="98"/>
        <v/>
      </c>
      <c r="Z1081" s="20" t="str">
        <f t="shared" si="99"/>
        <v/>
      </c>
      <c r="AA1081" s="20" t="str">
        <f t="shared" si="100"/>
        <v/>
      </c>
      <c r="AB1081" s="20" t="str">
        <f t="shared" si="101"/>
        <v/>
      </c>
    </row>
    <row r="1082" customHeight="1" spans="1:28">
      <c r="A1082" s="14">
        <v>1082</v>
      </c>
      <c r="B1082" s="15" t="str">
        <f>IFERROR(IF([2]对账明细接口!$B$1082=0,"",[2]对账明细接口!$B$1082),"")</f>
        <v/>
      </c>
      <c r="C1082" s="16" t="str">
        <f>IFERROR(IF([2]对账明细接口!$C$1082=0,"",[2]对账明细接口!$C$1082),"")</f>
        <v/>
      </c>
      <c r="D1082" s="16" t="str">
        <f>IFERROR(IF([2]对账明细接口!$D$1082=0,"",[2]对账明细接口!$D$1082),"")</f>
        <v/>
      </c>
      <c r="E1082" s="16" t="str">
        <f>IFERROR(IF([2]对账明细接口!$E$1082=0,"",[2]对账明细接口!$E$1082),"")</f>
        <v/>
      </c>
      <c r="F1082" s="16" t="str">
        <f>IFERROR(IF([2]对账明细接口!$F$1082=0,"",[2]对账明细接口!$F$1082),"")</f>
        <v/>
      </c>
      <c r="G1082" s="16" t="str">
        <f>IFERROR(IF([2]对账明细接口!$G$1082=0,"",[2]对账明细接口!$G$1082),"")</f>
        <v/>
      </c>
      <c r="H1082" s="17" t="str">
        <f>IFERROR(IF([2]对账明细接口!$H$1082=0,"",[2]对账明细接口!$H$1082),"")</f>
        <v/>
      </c>
      <c r="I1082" s="16" t="str">
        <f>IFERROR(IF([2]对账明细接口!$I$1082=0,"",[2]对账明细接口!$I$1082),"")</f>
        <v/>
      </c>
      <c r="J1082" s="18" t="str">
        <f>IFERROR(IF([2]对账明细接口!$J$1082=0,"",[2]对账明细接口!$J$1082),"")</f>
        <v/>
      </c>
      <c r="K1082" s="18" t="str">
        <f>IFERROR(IF([2]对账明细接口!$K$1082=0,"",[2]对账明细接口!$K$1082),"")</f>
        <v/>
      </c>
      <c r="L1082" s="16" t="str">
        <f>IFERROR(IF([2]对账明细接口!$L$1082=0,"",[2]对账明细接口!$L$1082),"")</f>
        <v/>
      </c>
      <c r="M1082" s="16" t="str">
        <f>IFERROR(IF([2]对账明细接口!$M$1082=0,"",[2]对账明细接口!$M$1082),"")</f>
        <v/>
      </c>
      <c r="N1082" s="19">
        <f t="shared" si="96"/>
        <v>0</v>
      </c>
      <c r="O1082" s="19">
        <f t="shared" si="97"/>
        <v>165</v>
      </c>
      <c r="S1082" s="20" t="str">
        <f>IFERROR(IF([2]对账明细接口!$N1082=0,"",[2]对账明细接口!$N1082),"")</f>
        <v/>
      </c>
      <c r="T1082" s="21" t="str">
        <f>IFERROR(IF([2]对账明细接口!$O1082=0,"",[2]对账明细接口!$O1082),"")</f>
        <v/>
      </c>
      <c r="U1082" s="21" t="str">
        <f>IFERROR(IF([2]对账明细接口!$P1082=0,"",[2]对账明细接口!$P1082),"")</f>
        <v/>
      </c>
      <c r="V1082" s="21" t="str">
        <f>IFERROR(IF([2]对账明细接口!$Q1082=0,"",[2]对账明细接口!$Q1082),"")</f>
        <v/>
      </c>
      <c r="W1082" s="20" t="str">
        <f>IFERROR(IF([2]对账明细接口!$R1082=0,"",[2]对账明细接口!$R1082),"")</f>
        <v/>
      </c>
      <c r="X1082" s="20" t="str">
        <f>IFERROR(IF([2]对账明细接口!$S1082=0,"",[2]对账明细接口!$S1082),"")</f>
        <v/>
      </c>
      <c r="Y1082" s="20" t="str">
        <f t="shared" si="98"/>
        <v/>
      </c>
      <c r="Z1082" s="20" t="str">
        <f t="shared" si="99"/>
        <v/>
      </c>
      <c r="AA1082" s="20" t="str">
        <f t="shared" si="100"/>
        <v/>
      </c>
      <c r="AB1082" s="20" t="str">
        <f t="shared" si="101"/>
        <v/>
      </c>
    </row>
    <row r="1083" customHeight="1" spans="1:28">
      <c r="A1083" s="14">
        <v>1083</v>
      </c>
      <c r="B1083" s="15" t="str">
        <f>IFERROR(IF([2]对账明细接口!$B$1083=0,"",[2]对账明细接口!$B$1083),"")</f>
        <v/>
      </c>
      <c r="C1083" s="16" t="str">
        <f>IFERROR(IF([2]对账明细接口!$C$1083=0,"",[2]对账明细接口!$C$1083),"")</f>
        <v/>
      </c>
      <c r="D1083" s="16" t="str">
        <f>IFERROR(IF([2]对账明细接口!$D$1083=0,"",[2]对账明细接口!$D$1083),"")</f>
        <v/>
      </c>
      <c r="E1083" s="16" t="str">
        <f>IFERROR(IF([2]对账明细接口!$E$1083=0,"",[2]对账明细接口!$E$1083),"")</f>
        <v/>
      </c>
      <c r="F1083" s="16" t="str">
        <f>IFERROR(IF([2]对账明细接口!$F$1083=0,"",[2]对账明细接口!$F$1083),"")</f>
        <v/>
      </c>
      <c r="G1083" s="16" t="str">
        <f>IFERROR(IF([2]对账明细接口!$G$1083=0,"",[2]对账明细接口!$G$1083),"")</f>
        <v/>
      </c>
      <c r="H1083" s="17" t="str">
        <f>IFERROR(IF([2]对账明细接口!$H$1083=0,"",[2]对账明细接口!$H$1083),"")</f>
        <v/>
      </c>
      <c r="I1083" s="16" t="str">
        <f>IFERROR(IF([2]对账明细接口!$I$1083=0,"",[2]对账明细接口!$I$1083),"")</f>
        <v/>
      </c>
      <c r="J1083" s="18" t="str">
        <f>IFERROR(IF([2]对账明细接口!$J$1083=0,"",[2]对账明细接口!$J$1083),"")</f>
        <v/>
      </c>
      <c r="K1083" s="18" t="str">
        <f>IFERROR(IF([2]对账明细接口!$K$1083=0,"",[2]对账明细接口!$K$1083),"")</f>
        <v/>
      </c>
      <c r="L1083" s="16" t="str">
        <f>IFERROR(IF([2]对账明细接口!$L$1083=0,"",[2]对账明细接口!$L$1083),"")</f>
        <v/>
      </c>
      <c r="M1083" s="16" t="str">
        <f>IFERROR(IF([2]对账明细接口!$M$1083=0,"",[2]对账明细接口!$M$1083),"")</f>
        <v/>
      </c>
      <c r="N1083" s="19">
        <f t="shared" si="96"/>
        <v>0</v>
      </c>
      <c r="O1083" s="19">
        <f t="shared" si="97"/>
        <v>165</v>
      </c>
      <c r="S1083" s="20" t="str">
        <f>IFERROR(IF([2]对账明细接口!$N1083=0,"",[2]对账明细接口!$N1083),"")</f>
        <v/>
      </c>
      <c r="T1083" s="21" t="str">
        <f>IFERROR(IF([2]对账明细接口!$O1083=0,"",[2]对账明细接口!$O1083),"")</f>
        <v/>
      </c>
      <c r="U1083" s="21" t="str">
        <f>IFERROR(IF([2]对账明细接口!$P1083=0,"",[2]对账明细接口!$P1083),"")</f>
        <v/>
      </c>
      <c r="V1083" s="21" t="str">
        <f>IFERROR(IF([2]对账明细接口!$Q1083=0,"",[2]对账明细接口!$Q1083),"")</f>
        <v/>
      </c>
      <c r="W1083" s="20" t="str">
        <f>IFERROR(IF([2]对账明细接口!$R1083=0,"",[2]对账明细接口!$R1083),"")</f>
        <v/>
      </c>
      <c r="X1083" s="20" t="str">
        <f>IFERROR(IF([2]对账明细接口!$S1083=0,"",[2]对账明细接口!$S1083),"")</f>
        <v/>
      </c>
      <c r="Y1083" s="20" t="str">
        <f t="shared" si="98"/>
        <v/>
      </c>
      <c r="Z1083" s="20" t="str">
        <f t="shared" si="99"/>
        <v/>
      </c>
      <c r="AA1083" s="20" t="str">
        <f t="shared" si="100"/>
        <v/>
      </c>
      <c r="AB1083" s="20" t="str">
        <f t="shared" si="101"/>
        <v/>
      </c>
    </row>
    <row r="1084" customHeight="1" spans="1:28">
      <c r="A1084" s="14">
        <v>1084</v>
      </c>
      <c r="B1084" s="15" t="str">
        <f>IFERROR(IF([2]对账明细接口!$B$1084=0,"",[2]对账明细接口!$B$1084),"")</f>
        <v/>
      </c>
      <c r="C1084" s="16" t="str">
        <f>IFERROR(IF([2]对账明细接口!$C$1084=0,"",[2]对账明细接口!$C$1084),"")</f>
        <v/>
      </c>
      <c r="D1084" s="16" t="str">
        <f>IFERROR(IF([2]对账明细接口!$D$1084=0,"",[2]对账明细接口!$D$1084),"")</f>
        <v/>
      </c>
      <c r="E1084" s="16" t="str">
        <f>IFERROR(IF([2]对账明细接口!$E$1084=0,"",[2]对账明细接口!$E$1084),"")</f>
        <v/>
      </c>
      <c r="F1084" s="16" t="str">
        <f>IFERROR(IF([2]对账明细接口!$F$1084=0,"",[2]对账明细接口!$F$1084),"")</f>
        <v/>
      </c>
      <c r="G1084" s="16" t="str">
        <f>IFERROR(IF([2]对账明细接口!$G$1084=0,"",[2]对账明细接口!$G$1084),"")</f>
        <v/>
      </c>
      <c r="H1084" s="17" t="str">
        <f>IFERROR(IF([2]对账明细接口!$H$1084=0,"",[2]对账明细接口!$H$1084),"")</f>
        <v/>
      </c>
      <c r="I1084" s="16" t="str">
        <f>IFERROR(IF([2]对账明细接口!$I$1084=0,"",[2]对账明细接口!$I$1084),"")</f>
        <v/>
      </c>
      <c r="J1084" s="18" t="str">
        <f>IFERROR(IF([2]对账明细接口!$J$1084=0,"",[2]对账明细接口!$J$1084),"")</f>
        <v/>
      </c>
      <c r="K1084" s="18" t="str">
        <f>IFERROR(IF([2]对账明细接口!$K$1084=0,"",[2]对账明细接口!$K$1084),"")</f>
        <v/>
      </c>
      <c r="L1084" s="16" t="str">
        <f>IFERROR(IF([2]对账明细接口!$L$1084=0,"",[2]对账明细接口!$L$1084),"")</f>
        <v/>
      </c>
      <c r="M1084" s="16" t="str">
        <f>IFERROR(IF([2]对账明细接口!$M$1084=0,"",[2]对账明细接口!$M$1084),"")</f>
        <v/>
      </c>
      <c r="N1084" s="19">
        <f t="shared" si="96"/>
        <v>0</v>
      </c>
      <c r="O1084" s="19">
        <f t="shared" si="97"/>
        <v>165</v>
      </c>
      <c r="S1084" s="20" t="str">
        <f>IFERROR(IF([2]对账明细接口!$N1084=0,"",[2]对账明细接口!$N1084),"")</f>
        <v/>
      </c>
      <c r="T1084" s="21" t="str">
        <f>IFERROR(IF([2]对账明细接口!$O1084=0,"",[2]对账明细接口!$O1084),"")</f>
        <v/>
      </c>
      <c r="U1084" s="21" t="str">
        <f>IFERROR(IF([2]对账明细接口!$P1084=0,"",[2]对账明细接口!$P1084),"")</f>
        <v/>
      </c>
      <c r="V1084" s="21" t="str">
        <f>IFERROR(IF([2]对账明细接口!$Q1084=0,"",[2]对账明细接口!$Q1084),"")</f>
        <v/>
      </c>
      <c r="W1084" s="20" t="str">
        <f>IFERROR(IF([2]对账明细接口!$R1084=0,"",[2]对账明细接口!$R1084),"")</f>
        <v/>
      </c>
      <c r="X1084" s="20" t="str">
        <f>IFERROR(IF([2]对账明细接口!$S1084=0,"",[2]对账明细接口!$S1084),"")</f>
        <v/>
      </c>
      <c r="Y1084" s="20" t="str">
        <f t="shared" si="98"/>
        <v/>
      </c>
      <c r="Z1084" s="20" t="str">
        <f t="shared" si="99"/>
        <v/>
      </c>
      <c r="AA1084" s="20" t="str">
        <f t="shared" si="100"/>
        <v/>
      </c>
      <c r="AB1084" s="20" t="str">
        <f t="shared" si="101"/>
        <v/>
      </c>
    </row>
    <row r="1085" customHeight="1" spans="1:28">
      <c r="A1085" s="14">
        <v>1085</v>
      </c>
      <c r="B1085" s="15" t="str">
        <f>IFERROR(IF([2]对账明细接口!$B$1085=0,"",[2]对账明细接口!$B$1085),"")</f>
        <v/>
      </c>
      <c r="C1085" s="16" t="str">
        <f>IFERROR(IF([2]对账明细接口!$C$1085=0,"",[2]对账明细接口!$C$1085),"")</f>
        <v/>
      </c>
      <c r="D1085" s="16" t="str">
        <f>IFERROR(IF([2]对账明细接口!$D$1085=0,"",[2]对账明细接口!$D$1085),"")</f>
        <v/>
      </c>
      <c r="E1085" s="16" t="str">
        <f>IFERROR(IF([2]对账明细接口!$E$1085=0,"",[2]对账明细接口!$E$1085),"")</f>
        <v/>
      </c>
      <c r="F1085" s="16" t="str">
        <f>IFERROR(IF([2]对账明细接口!$F$1085=0,"",[2]对账明细接口!$F$1085),"")</f>
        <v/>
      </c>
      <c r="G1085" s="16" t="str">
        <f>IFERROR(IF([2]对账明细接口!$G$1085=0,"",[2]对账明细接口!$G$1085),"")</f>
        <v/>
      </c>
      <c r="H1085" s="17" t="str">
        <f>IFERROR(IF([2]对账明细接口!$H$1085=0,"",[2]对账明细接口!$H$1085),"")</f>
        <v/>
      </c>
      <c r="I1085" s="16" t="str">
        <f>IFERROR(IF([2]对账明细接口!$I$1085=0,"",[2]对账明细接口!$I$1085),"")</f>
        <v/>
      </c>
      <c r="J1085" s="18" t="str">
        <f>IFERROR(IF([2]对账明细接口!$J$1085=0,"",[2]对账明细接口!$J$1085),"")</f>
        <v/>
      </c>
      <c r="K1085" s="18" t="str">
        <f>IFERROR(IF([2]对账明细接口!$K$1085=0,"",[2]对账明细接口!$K$1085),"")</f>
        <v/>
      </c>
      <c r="L1085" s="16" t="str">
        <f>IFERROR(IF([2]对账明细接口!$L$1085=0,"",[2]对账明细接口!$L$1085),"")</f>
        <v/>
      </c>
      <c r="M1085" s="16" t="str">
        <f>IFERROR(IF([2]对账明细接口!$M$1085=0,"",[2]对账明细接口!$M$1085),"")</f>
        <v/>
      </c>
      <c r="N1085" s="19">
        <f t="shared" si="96"/>
        <v>0</v>
      </c>
      <c r="O1085" s="19">
        <f t="shared" si="97"/>
        <v>165</v>
      </c>
      <c r="S1085" s="20" t="str">
        <f>IFERROR(IF([2]对账明细接口!$N1085=0,"",[2]对账明细接口!$N1085),"")</f>
        <v/>
      </c>
      <c r="T1085" s="21" t="str">
        <f>IFERROR(IF([2]对账明细接口!$O1085=0,"",[2]对账明细接口!$O1085),"")</f>
        <v/>
      </c>
      <c r="U1085" s="21" t="str">
        <f>IFERROR(IF([2]对账明细接口!$P1085=0,"",[2]对账明细接口!$P1085),"")</f>
        <v/>
      </c>
      <c r="V1085" s="21" t="str">
        <f>IFERROR(IF([2]对账明细接口!$Q1085=0,"",[2]对账明细接口!$Q1085),"")</f>
        <v/>
      </c>
      <c r="W1085" s="20" t="str">
        <f>IFERROR(IF([2]对账明细接口!$R1085=0,"",[2]对账明细接口!$R1085),"")</f>
        <v/>
      </c>
      <c r="X1085" s="20" t="str">
        <f>IFERROR(IF([2]对账明细接口!$S1085=0,"",[2]对账明细接口!$S1085),"")</f>
        <v/>
      </c>
      <c r="Y1085" s="20" t="str">
        <f t="shared" si="98"/>
        <v/>
      </c>
      <c r="Z1085" s="20" t="str">
        <f t="shared" si="99"/>
        <v/>
      </c>
      <c r="AA1085" s="20" t="str">
        <f t="shared" si="100"/>
        <v/>
      </c>
      <c r="AB1085" s="20" t="str">
        <f t="shared" si="101"/>
        <v/>
      </c>
    </row>
    <row r="1086" customHeight="1" spans="1:28">
      <c r="A1086" s="14">
        <v>1086</v>
      </c>
      <c r="B1086" s="15" t="str">
        <f>IFERROR(IF([2]对账明细接口!$B$1086=0,"",[2]对账明细接口!$B$1086),"")</f>
        <v/>
      </c>
      <c r="C1086" s="16" t="str">
        <f>IFERROR(IF([2]对账明细接口!$C$1086=0,"",[2]对账明细接口!$C$1086),"")</f>
        <v/>
      </c>
      <c r="D1086" s="16" t="str">
        <f>IFERROR(IF([2]对账明细接口!$D$1086=0,"",[2]对账明细接口!$D$1086),"")</f>
        <v/>
      </c>
      <c r="E1086" s="16" t="str">
        <f>IFERROR(IF([2]对账明细接口!$E$1086=0,"",[2]对账明细接口!$E$1086),"")</f>
        <v/>
      </c>
      <c r="F1086" s="16" t="str">
        <f>IFERROR(IF([2]对账明细接口!$F$1086=0,"",[2]对账明细接口!$F$1086),"")</f>
        <v/>
      </c>
      <c r="G1086" s="16" t="str">
        <f>IFERROR(IF([2]对账明细接口!$G$1086=0,"",[2]对账明细接口!$G$1086),"")</f>
        <v/>
      </c>
      <c r="H1086" s="17" t="str">
        <f>IFERROR(IF([2]对账明细接口!$H$1086=0,"",[2]对账明细接口!$H$1086),"")</f>
        <v/>
      </c>
      <c r="I1086" s="16" t="str">
        <f>IFERROR(IF([2]对账明细接口!$I$1086=0,"",[2]对账明细接口!$I$1086),"")</f>
        <v/>
      </c>
      <c r="J1086" s="18" t="str">
        <f>IFERROR(IF([2]对账明细接口!$J$1086=0,"",[2]对账明细接口!$J$1086),"")</f>
        <v/>
      </c>
      <c r="K1086" s="18" t="str">
        <f>IFERROR(IF([2]对账明细接口!$K$1086=0,"",[2]对账明细接口!$K$1086),"")</f>
        <v/>
      </c>
      <c r="L1086" s="16" t="str">
        <f>IFERROR(IF([2]对账明细接口!$L$1086=0,"",[2]对账明细接口!$L$1086),"")</f>
        <v/>
      </c>
      <c r="M1086" s="16" t="str">
        <f>IFERROR(IF([2]对账明细接口!$M$1086=0,"",[2]对账明细接口!$M$1086),"")</f>
        <v/>
      </c>
      <c r="N1086" s="19">
        <f t="shared" si="96"/>
        <v>0</v>
      </c>
      <c r="O1086" s="19">
        <f t="shared" si="97"/>
        <v>165</v>
      </c>
      <c r="S1086" s="20" t="str">
        <f>IFERROR(IF([2]对账明细接口!$N1086=0,"",[2]对账明细接口!$N1086),"")</f>
        <v/>
      </c>
      <c r="T1086" s="21" t="str">
        <f>IFERROR(IF([2]对账明细接口!$O1086=0,"",[2]对账明细接口!$O1086),"")</f>
        <v/>
      </c>
      <c r="U1086" s="21" t="str">
        <f>IFERROR(IF([2]对账明细接口!$P1086=0,"",[2]对账明细接口!$P1086),"")</f>
        <v/>
      </c>
      <c r="V1086" s="21" t="str">
        <f>IFERROR(IF([2]对账明细接口!$Q1086=0,"",[2]对账明细接口!$Q1086),"")</f>
        <v/>
      </c>
      <c r="W1086" s="20" t="str">
        <f>IFERROR(IF([2]对账明细接口!$R1086=0,"",[2]对账明细接口!$R1086),"")</f>
        <v/>
      </c>
      <c r="X1086" s="20" t="str">
        <f>IFERROR(IF([2]对账明细接口!$S1086=0,"",[2]对账明细接口!$S1086),"")</f>
        <v/>
      </c>
      <c r="Y1086" s="20" t="str">
        <f t="shared" si="98"/>
        <v/>
      </c>
      <c r="Z1086" s="20" t="str">
        <f t="shared" si="99"/>
        <v/>
      </c>
      <c r="AA1086" s="20" t="str">
        <f t="shared" si="100"/>
        <v/>
      </c>
      <c r="AB1086" s="20" t="str">
        <f t="shared" si="101"/>
        <v/>
      </c>
    </row>
    <row r="1087" customHeight="1" spans="1:28">
      <c r="A1087" s="14">
        <v>1087</v>
      </c>
      <c r="B1087" s="15" t="str">
        <f>IFERROR(IF([2]对账明细接口!$B$1087=0,"",[2]对账明细接口!$B$1087),"")</f>
        <v/>
      </c>
      <c r="C1087" s="16" t="str">
        <f>IFERROR(IF([2]对账明细接口!$C$1087=0,"",[2]对账明细接口!$C$1087),"")</f>
        <v/>
      </c>
      <c r="D1087" s="16" t="str">
        <f>IFERROR(IF([2]对账明细接口!$D$1087=0,"",[2]对账明细接口!$D$1087),"")</f>
        <v/>
      </c>
      <c r="E1087" s="16" t="str">
        <f>IFERROR(IF([2]对账明细接口!$E$1087=0,"",[2]对账明细接口!$E$1087),"")</f>
        <v/>
      </c>
      <c r="F1087" s="16" t="str">
        <f>IFERROR(IF([2]对账明细接口!$F$1087=0,"",[2]对账明细接口!$F$1087),"")</f>
        <v/>
      </c>
      <c r="G1087" s="16" t="str">
        <f>IFERROR(IF([2]对账明细接口!$G$1087=0,"",[2]对账明细接口!$G$1087),"")</f>
        <v/>
      </c>
      <c r="H1087" s="17" t="str">
        <f>IFERROR(IF([2]对账明细接口!$H$1087=0,"",[2]对账明细接口!$H$1087),"")</f>
        <v/>
      </c>
      <c r="I1087" s="16" t="str">
        <f>IFERROR(IF([2]对账明细接口!$I$1087=0,"",[2]对账明细接口!$I$1087),"")</f>
        <v/>
      </c>
      <c r="J1087" s="18" t="str">
        <f>IFERROR(IF([2]对账明细接口!$J$1087=0,"",[2]对账明细接口!$J$1087),"")</f>
        <v/>
      </c>
      <c r="K1087" s="18" t="str">
        <f>IFERROR(IF([2]对账明细接口!$K$1087=0,"",[2]对账明细接口!$K$1087),"")</f>
        <v/>
      </c>
      <c r="L1087" s="16" t="str">
        <f>IFERROR(IF([2]对账明细接口!$L$1087=0,"",[2]对账明细接口!$L$1087),"")</f>
        <v/>
      </c>
      <c r="M1087" s="16" t="str">
        <f>IFERROR(IF([2]对账明细接口!$M$1087=0,"",[2]对账明细接口!$M$1087),"")</f>
        <v/>
      </c>
      <c r="N1087" s="19">
        <f t="shared" si="96"/>
        <v>0</v>
      </c>
      <c r="O1087" s="19">
        <f t="shared" si="97"/>
        <v>165</v>
      </c>
      <c r="S1087" s="20" t="str">
        <f>IFERROR(IF([2]对账明细接口!$N1087=0,"",[2]对账明细接口!$N1087),"")</f>
        <v/>
      </c>
      <c r="T1087" s="21" t="str">
        <f>IFERROR(IF([2]对账明细接口!$O1087=0,"",[2]对账明细接口!$O1087),"")</f>
        <v/>
      </c>
      <c r="U1087" s="21" t="str">
        <f>IFERROR(IF([2]对账明细接口!$P1087=0,"",[2]对账明细接口!$P1087),"")</f>
        <v/>
      </c>
      <c r="V1087" s="21" t="str">
        <f>IFERROR(IF([2]对账明细接口!$Q1087=0,"",[2]对账明细接口!$Q1087),"")</f>
        <v/>
      </c>
      <c r="W1087" s="20" t="str">
        <f>IFERROR(IF([2]对账明细接口!$R1087=0,"",[2]对账明细接口!$R1087),"")</f>
        <v/>
      </c>
      <c r="X1087" s="20" t="str">
        <f>IFERROR(IF([2]对账明细接口!$S1087=0,"",[2]对账明细接口!$S1087),"")</f>
        <v/>
      </c>
      <c r="Y1087" s="20" t="str">
        <f t="shared" si="98"/>
        <v/>
      </c>
      <c r="Z1087" s="20" t="str">
        <f t="shared" si="99"/>
        <v/>
      </c>
      <c r="AA1087" s="20" t="str">
        <f t="shared" si="100"/>
        <v/>
      </c>
      <c r="AB1087" s="20" t="str">
        <f t="shared" si="101"/>
        <v/>
      </c>
    </row>
    <row r="1088" customHeight="1" spans="1:28">
      <c r="A1088" s="14">
        <v>1088</v>
      </c>
      <c r="B1088" s="15" t="str">
        <f>IFERROR(IF([2]对账明细接口!$B$1088=0,"",[2]对账明细接口!$B$1088),"")</f>
        <v/>
      </c>
      <c r="C1088" s="16" t="str">
        <f>IFERROR(IF([2]对账明细接口!$C$1088=0,"",[2]对账明细接口!$C$1088),"")</f>
        <v/>
      </c>
      <c r="D1088" s="16" t="str">
        <f>IFERROR(IF([2]对账明细接口!$D$1088=0,"",[2]对账明细接口!$D$1088),"")</f>
        <v/>
      </c>
      <c r="E1088" s="16" t="str">
        <f>IFERROR(IF([2]对账明细接口!$E$1088=0,"",[2]对账明细接口!$E$1088),"")</f>
        <v/>
      </c>
      <c r="F1088" s="16" t="str">
        <f>IFERROR(IF([2]对账明细接口!$F$1088=0,"",[2]对账明细接口!$F$1088),"")</f>
        <v/>
      </c>
      <c r="G1088" s="16" t="str">
        <f>IFERROR(IF([2]对账明细接口!$G$1088=0,"",[2]对账明细接口!$G$1088),"")</f>
        <v/>
      </c>
      <c r="H1088" s="17" t="str">
        <f>IFERROR(IF([2]对账明细接口!$H$1088=0,"",[2]对账明细接口!$H$1088),"")</f>
        <v/>
      </c>
      <c r="I1088" s="16" t="str">
        <f>IFERROR(IF([2]对账明细接口!$I$1088=0,"",[2]对账明细接口!$I$1088),"")</f>
        <v/>
      </c>
      <c r="J1088" s="18" t="str">
        <f>IFERROR(IF([2]对账明细接口!$J$1088=0,"",[2]对账明细接口!$J$1088),"")</f>
        <v/>
      </c>
      <c r="K1088" s="18" t="str">
        <f>IFERROR(IF([2]对账明细接口!$K$1088=0,"",[2]对账明细接口!$K$1088),"")</f>
        <v/>
      </c>
      <c r="L1088" s="16" t="str">
        <f>IFERROR(IF([2]对账明细接口!$L$1088=0,"",[2]对账明细接口!$L$1088),"")</f>
        <v/>
      </c>
      <c r="M1088" s="16" t="str">
        <f>IFERROR(IF([2]对账明细接口!$M$1088=0,"",[2]对账明细接口!$M$1088),"")</f>
        <v/>
      </c>
      <c r="N1088" s="19">
        <f t="shared" si="96"/>
        <v>0</v>
      </c>
      <c r="O1088" s="19">
        <f t="shared" si="97"/>
        <v>165</v>
      </c>
      <c r="S1088" s="20" t="str">
        <f>IFERROR(IF([2]对账明细接口!$N1088=0,"",[2]对账明细接口!$N1088),"")</f>
        <v/>
      </c>
      <c r="T1088" s="21" t="str">
        <f>IFERROR(IF([2]对账明细接口!$O1088=0,"",[2]对账明细接口!$O1088),"")</f>
        <v/>
      </c>
      <c r="U1088" s="21" t="str">
        <f>IFERROR(IF([2]对账明细接口!$P1088=0,"",[2]对账明细接口!$P1088),"")</f>
        <v/>
      </c>
      <c r="V1088" s="21" t="str">
        <f>IFERROR(IF([2]对账明细接口!$Q1088=0,"",[2]对账明细接口!$Q1088),"")</f>
        <v/>
      </c>
      <c r="W1088" s="20" t="str">
        <f>IFERROR(IF([2]对账明细接口!$R1088=0,"",[2]对账明细接口!$R1088),"")</f>
        <v/>
      </c>
      <c r="X1088" s="20" t="str">
        <f>IFERROR(IF([2]对账明细接口!$S1088=0,"",[2]对账明细接口!$S1088),"")</f>
        <v/>
      </c>
      <c r="Y1088" s="20" t="str">
        <f t="shared" si="98"/>
        <v/>
      </c>
      <c r="Z1088" s="20" t="str">
        <f t="shared" si="99"/>
        <v/>
      </c>
      <c r="AA1088" s="20" t="str">
        <f t="shared" si="100"/>
        <v/>
      </c>
      <c r="AB1088" s="20" t="str">
        <f t="shared" si="101"/>
        <v/>
      </c>
    </row>
    <row r="1089" customHeight="1" spans="1:28">
      <c r="A1089" s="14">
        <v>1089</v>
      </c>
      <c r="B1089" s="15" t="str">
        <f>IFERROR(IF([2]对账明细接口!$B$1089=0,"",[2]对账明细接口!$B$1089),"")</f>
        <v/>
      </c>
      <c r="C1089" s="16" t="str">
        <f>IFERROR(IF([2]对账明细接口!$C$1089=0,"",[2]对账明细接口!$C$1089),"")</f>
        <v/>
      </c>
      <c r="D1089" s="16" t="str">
        <f>IFERROR(IF([2]对账明细接口!$D$1089=0,"",[2]对账明细接口!$D$1089),"")</f>
        <v/>
      </c>
      <c r="E1089" s="16" t="str">
        <f>IFERROR(IF([2]对账明细接口!$E$1089=0,"",[2]对账明细接口!$E$1089),"")</f>
        <v/>
      </c>
      <c r="F1089" s="16" t="str">
        <f>IFERROR(IF([2]对账明细接口!$F$1089=0,"",[2]对账明细接口!$F$1089),"")</f>
        <v/>
      </c>
      <c r="G1089" s="16" t="str">
        <f>IFERROR(IF([2]对账明细接口!$G$1089=0,"",[2]对账明细接口!$G$1089),"")</f>
        <v/>
      </c>
      <c r="H1089" s="17" t="str">
        <f>IFERROR(IF([2]对账明细接口!$H$1089=0,"",[2]对账明细接口!$H$1089),"")</f>
        <v/>
      </c>
      <c r="I1089" s="16" t="str">
        <f>IFERROR(IF([2]对账明细接口!$I$1089=0,"",[2]对账明细接口!$I$1089),"")</f>
        <v/>
      </c>
      <c r="J1089" s="18" t="str">
        <f>IFERROR(IF([2]对账明细接口!$J$1089=0,"",[2]对账明细接口!$J$1089),"")</f>
        <v/>
      </c>
      <c r="K1089" s="18" t="str">
        <f>IFERROR(IF([2]对账明细接口!$K$1089=0,"",[2]对账明细接口!$K$1089),"")</f>
        <v/>
      </c>
      <c r="L1089" s="16" t="str">
        <f>IFERROR(IF([2]对账明细接口!$L$1089=0,"",[2]对账明细接口!$L$1089),"")</f>
        <v/>
      </c>
      <c r="M1089" s="16" t="str">
        <f>IFERROR(IF([2]对账明细接口!$M$1089=0,"",[2]对账明细接口!$M$1089),"")</f>
        <v/>
      </c>
      <c r="N1089" s="19">
        <f t="shared" si="96"/>
        <v>0</v>
      </c>
      <c r="O1089" s="19">
        <f t="shared" si="97"/>
        <v>165</v>
      </c>
      <c r="S1089" s="20" t="str">
        <f>IFERROR(IF([2]对账明细接口!$N1089=0,"",[2]对账明细接口!$N1089),"")</f>
        <v/>
      </c>
      <c r="T1089" s="21" t="str">
        <f>IFERROR(IF([2]对账明细接口!$O1089=0,"",[2]对账明细接口!$O1089),"")</f>
        <v/>
      </c>
      <c r="U1089" s="21" t="str">
        <f>IFERROR(IF([2]对账明细接口!$P1089=0,"",[2]对账明细接口!$P1089),"")</f>
        <v/>
      </c>
      <c r="V1089" s="21" t="str">
        <f>IFERROR(IF([2]对账明细接口!$Q1089=0,"",[2]对账明细接口!$Q1089),"")</f>
        <v/>
      </c>
      <c r="W1089" s="20" t="str">
        <f>IFERROR(IF([2]对账明细接口!$R1089=0,"",[2]对账明细接口!$R1089),"")</f>
        <v/>
      </c>
      <c r="X1089" s="20" t="str">
        <f>IFERROR(IF([2]对账明细接口!$S1089=0,"",[2]对账明细接口!$S1089),"")</f>
        <v/>
      </c>
      <c r="Y1089" s="20" t="str">
        <f t="shared" si="98"/>
        <v/>
      </c>
      <c r="Z1089" s="20" t="str">
        <f t="shared" si="99"/>
        <v/>
      </c>
      <c r="AA1089" s="20" t="str">
        <f t="shared" si="100"/>
        <v/>
      </c>
      <c r="AB1089" s="20" t="str">
        <f t="shared" si="101"/>
        <v/>
      </c>
    </row>
    <row r="1090" customHeight="1" spans="1:28">
      <c r="A1090" s="14">
        <v>1090</v>
      </c>
      <c r="B1090" s="15" t="str">
        <f>IFERROR(IF([2]对账明细接口!$B$1090=0,"",[2]对账明细接口!$B$1090),"")</f>
        <v/>
      </c>
      <c r="C1090" s="16" t="str">
        <f>IFERROR(IF([2]对账明细接口!$C$1090=0,"",[2]对账明细接口!$C$1090),"")</f>
        <v/>
      </c>
      <c r="D1090" s="16" t="str">
        <f>IFERROR(IF([2]对账明细接口!$D$1090=0,"",[2]对账明细接口!$D$1090),"")</f>
        <v/>
      </c>
      <c r="E1090" s="16" t="str">
        <f>IFERROR(IF([2]对账明细接口!$E$1090=0,"",[2]对账明细接口!$E$1090),"")</f>
        <v/>
      </c>
      <c r="F1090" s="16" t="str">
        <f>IFERROR(IF([2]对账明细接口!$F$1090=0,"",[2]对账明细接口!$F$1090),"")</f>
        <v/>
      </c>
      <c r="G1090" s="16" t="str">
        <f>IFERROR(IF([2]对账明细接口!$G$1090=0,"",[2]对账明细接口!$G$1090),"")</f>
        <v/>
      </c>
      <c r="H1090" s="17" t="str">
        <f>IFERROR(IF([2]对账明细接口!$H$1090=0,"",[2]对账明细接口!$H$1090),"")</f>
        <v/>
      </c>
      <c r="I1090" s="16" t="str">
        <f>IFERROR(IF([2]对账明细接口!$I$1090=0,"",[2]对账明细接口!$I$1090),"")</f>
        <v/>
      </c>
      <c r="J1090" s="18" t="str">
        <f>IFERROR(IF([2]对账明细接口!$J$1090=0,"",[2]对账明细接口!$J$1090),"")</f>
        <v/>
      </c>
      <c r="K1090" s="18" t="str">
        <f>IFERROR(IF([2]对账明细接口!$K$1090=0,"",[2]对账明细接口!$K$1090),"")</f>
        <v/>
      </c>
      <c r="L1090" s="16" t="str">
        <f>IFERROR(IF([2]对账明细接口!$L$1090=0,"",[2]对账明细接口!$L$1090),"")</f>
        <v/>
      </c>
      <c r="M1090" s="16" t="str">
        <f>IFERROR(IF([2]对账明细接口!$M$1090=0,"",[2]对账明细接口!$M$1090),"")</f>
        <v/>
      </c>
      <c r="N1090" s="19">
        <f t="shared" si="96"/>
        <v>0</v>
      </c>
      <c r="O1090" s="19">
        <f t="shared" si="97"/>
        <v>165</v>
      </c>
      <c r="S1090" s="20" t="str">
        <f>IFERROR(IF([2]对账明细接口!$N1090=0,"",[2]对账明细接口!$N1090),"")</f>
        <v/>
      </c>
      <c r="T1090" s="21" t="str">
        <f>IFERROR(IF([2]对账明细接口!$O1090=0,"",[2]对账明细接口!$O1090),"")</f>
        <v/>
      </c>
      <c r="U1090" s="21" t="str">
        <f>IFERROR(IF([2]对账明细接口!$P1090=0,"",[2]对账明细接口!$P1090),"")</f>
        <v/>
      </c>
      <c r="V1090" s="21" t="str">
        <f>IFERROR(IF([2]对账明细接口!$Q1090=0,"",[2]对账明细接口!$Q1090),"")</f>
        <v/>
      </c>
      <c r="W1090" s="20" t="str">
        <f>IFERROR(IF([2]对账明细接口!$R1090=0,"",[2]对账明细接口!$R1090),"")</f>
        <v/>
      </c>
      <c r="X1090" s="20" t="str">
        <f>IFERROR(IF([2]对账明细接口!$S1090=0,"",[2]对账明细接口!$S1090),"")</f>
        <v/>
      </c>
      <c r="Y1090" s="20" t="str">
        <f t="shared" si="98"/>
        <v/>
      </c>
      <c r="Z1090" s="20" t="str">
        <f t="shared" si="99"/>
        <v/>
      </c>
      <c r="AA1090" s="20" t="str">
        <f t="shared" si="100"/>
        <v/>
      </c>
      <c r="AB1090" s="20" t="str">
        <f t="shared" si="101"/>
        <v/>
      </c>
    </row>
    <row r="1091" customHeight="1" spans="1:28">
      <c r="A1091" s="14">
        <v>1091</v>
      </c>
      <c r="B1091" s="15" t="str">
        <f>IFERROR(IF([2]对账明细接口!$B$1091=0,"",[2]对账明细接口!$B$1091),"")</f>
        <v/>
      </c>
      <c r="C1091" s="16" t="str">
        <f>IFERROR(IF([2]对账明细接口!$C$1091=0,"",[2]对账明细接口!$C$1091),"")</f>
        <v/>
      </c>
      <c r="D1091" s="16" t="str">
        <f>IFERROR(IF([2]对账明细接口!$D$1091=0,"",[2]对账明细接口!$D$1091),"")</f>
        <v/>
      </c>
      <c r="E1091" s="16" t="str">
        <f>IFERROR(IF([2]对账明细接口!$E$1091=0,"",[2]对账明细接口!$E$1091),"")</f>
        <v/>
      </c>
      <c r="F1091" s="16" t="str">
        <f>IFERROR(IF([2]对账明细接口!$F$1091=0,"",[2]对账明细接口!$F$1091),"")</f>
        <v/>
      </c>
      <c r="G1091" s="16" t="str">
        <f>IFERROR(IF([2]对账明细接口!$G$1091=0,"",[2]对账明细接口!$G$1091),"")</f>
        <v/>
      </c>
      <c r="H1091" s="17" t="str">
        <f>IFERROR(IF([2]对账明细接口!$H$1091=0,"",[2]对账明细接口!$H$1091),"")</f>
        <v/>
      </c>
      <c r="I1091" s="16" t="str">
        <f>IFERROR(IF([2]对账明细接口!$I$1091=0,"",[2]对账明细接口!$I$1091),"")</f>
        <v/>
      </c>
      <c r="J1091" s="18" t="str">
        <f>IFERROR(IF([2]对账明细接口!$J$1091=0,"",[2]对账明细接口!$J$1091),"")</f>
        <v/>
      </c>
      <c r="K1091" s="18" t="str">
        <f>IFERROR(IF([2]对账明细接口!$K$1091=0,"",[2]对账明细接口!$K$1091),"")</f>
        <v/>
      </c>
      <c r="L1091" s="16" t="str">
        <f>IFERROR(IF([2]对账明细接口!$L$1091=0,"",[2]对账明细接口!$L$1091),"")</f>
        <v/>
      </c>
      <c r="M1091" s="16" t="str">
        <f>IFERROR(IF([2]对账明细接口!$M$1091=0,"",[2]对账明细接口!$M$1091),"")</f>
        <v/>
      </c>
      <c r="N1091" s="19">
        <f t="shared" si="96"/>
        <v>0</v>
      </c>
      <c r="O1091" s="19">
        <f t="shared" si="97"/>
        <v>165</v>
      </c>
      <c r="S1091" s="20" t="str">
        <f>IFERROR(IF([2]对账明细接口!$N1091=0,"",[2]对账明细接口!$N1091),"")</f>
        <v/>
      </c>
      <c r="T1091" s="21" t="str">
        <f>IFERROR(IF([2]对账明细接口!$O1091=0,"",[2]对账明细接口!$O1091),"")</f>
        <v/>
      </c>
      <c r="U1091" s="21" t="str">
        <f>IFERROR(IF([2]对账明细接口!$P1091=0,"",[2]对账明细接口!$P1091),"")</f>
        <v/>
      </c>
      <c r="V1091" s="21" t="str">
        <f>IFERROR(IF([2]对账明细接口!$Q1091=0,"",[2]对账明细接口!$Q1091),"")</f>
        <v/>
      </c>
      <c r="W1091" s="20" t="str">
        <f>IFERROR(IF([2]对账明细接口!$R1091=0,"",[2]对账明细接口!$R1091),"")</f>
        <v/>
      </c>
      <c r="X1091" s="20" t="str">
        <f>IFERROR(IF([2]对账明细接口!$S1091=0,"",[2]对账明细接口!$S1091),"")</f>
        <v/>
      </c>
      <c r="Y1091" s="20" t="str">
        <f t="shared" si="98"/>
        <v/>
      </c>
      <c r="Z1091" s="20" t="str">
        <f t="shared" si="99"/>
        <v/>
      </c>
      <c r="AA1091" s="20" t="str">
        <f t="shared" si="100"/>
        <v/>
      </c>
      <c r="AB1091" s="20" t="str">
        <f t="shared" si="101"/>
        <v/>
      </c>
    </row>
    <row r="1092" customHeight="1" spans="1:28">
      <c r="A1092" s="14">
        <v>1092</v>
      </c>
      <c r="B1092" s="15" t="str">
        <f>IFERROR(IF([2]对账明细接口!$B$1092=0,"",[2]对账明细接口!$B$1092),"")</f>
        <v/>
      </c>
      <c r="C1092" s="16" t="str">
        <f>IFERROR(IF([2]对账明细接口!$C$1092=0,"",[2]对账明细接口!$C$1092),"")</f>
        <v/>
      </c>
      <c r="D1092" s="16" t="str">
        <f>IFERROR(IF([2]对账明细接口!$D$1092=0,"",[2]对账明细接口!$D$1092),"")</f>
        <v/>
      </c>
      <c r="E1092" s="16" t="str">
        <f>IFERROR(IF([2]对账明细接口!$E$1092=0,"",[2]对账明细接口!$E$1092),"")</f>
        <v/>
      </c>
      <c r="F1092" s="16" t="str">
        <f>IFERROR(IF([2]对账明细接口!$F$1092=0,"",[2]对账明细接口!$F$1092),"")</f>
        <v/>
      </c>
      <c r="G1092" s="16" t="str">
        <f>IFERROR(IF([2]对账明细接口!$G$1092=0,"",[2]对账明细接口!$G$1092),"")</f>
        <v/>
      </c>
      <c r="H1092" s="17" t="str">
        <f>IFERROR(IF([2]对账明细接口!$H$1092=0,"",[2]对账明细接口!$H$1092),"")</f>
        <v/>
      </c>
      <c r="I1092" s="16" t="str">
        <f>IFERROR(IF([2]对账明细接口!$I$1092=0,"",[2]对账明细接口!$I$1092),"")</f>
        <v/>
      </c>
      <c r="J1092" s="18" t="str">
        <f>IFERROR(IF([2]对账明细接口!$J$1092=0,"",[2]对账明细接口!$J$1092),"")</f>
        <v/>
      </c>
      <c r="K1092" s="18" t="str">
        <f>IFERROR(IF([2]对账明细接口!$K$1092=0,"",[2]对账明细接口!$K$1092),"")</f>
        <v/>
      </c>
      <c r="L1092" s="16" t="str">
        <f>IFERROR(IF([2]对账明细接口!$L$1092=0,"",[2]对账明细接口!$L$1092),"")</f>
        <v/>
      </c>
      <c r="M1092" s="16" t="str">
        <f>IFERROR(IF([2]对账明细接口!$M$1092=0,"",[2]对账明细接口!$M$1092),"")</f>
        <v/>
      </c>
      <c r="N1092" s="19">
        <f t="shared" ref="N1092:N1155" si="102">IF($C1092="",0,1)</f>
        <v>0</v>
      </c>
      <c r="O1092" s="19">
        <f t="shared" ref="O1092:O1155" si="103">N(O1091)+$N1092</f>
        <v>165</v>
      </c>
      <c r="S1092" s="20" t="str">
        <f>IFERROR(IF([2]对账明细接口!$N1092=0,"",[2]对账明细接口!$N1092),"")</f>
        <v/>
      </c>
      <c r="T1092" s="21" t="str">
        <f>IFERROR(IF([2]对账明细接口!$O1092=0,"",[2]对账明细接口!$O1092),"")</f>
        <v/>
      </c>
      <c r="U1092" s="21" t="str">
        <f>IFERROR(IF([2]对账明细接口!$P1092=0,"",[2]对账明细接口!$P1092),"")</f>
        <v/>
      </c>
      <c r="V1092" s="21" t="str">
        <f>IFERROR(IF([2]对账明细接口!$Q1092=0,"",[2]对账明细接口!$Q1092),"")</f>
        <v/>
      </c>
      <c r="W1092" s="20" t="str">
        <f>IFERROR(IF([2]对账明细接口!$R1092=0,"",[2]对账明细接口!$R1092),"")</f>
        <v/>
      </c>
      <c r="X1092" s="20" t="str">
        <f>IFERROR(IF([2]对账明细接口!$S1092=0,"",[2]对账明细接口!$S1092),"")</f>
        <v/>
      </c>
      <c r="Y1092" s="20" t="str">
        <f t="shared" ref="Y1092:Y1155" si="104">""</f>
        <v/>
      </c>
      <c r="Z1092" s="20" t="str">
        <f t="shared" ref="Z1092:Z1155" si="105">""</f>
        <v/>
      </c>
      <c r="AA1092" s="20" t="str">
        <f t="shared" ref="AA1092:AA1155" si="106">""</f>
        <v/>
      </c>
      <c r="AB1092" s="20" t="str">
        <f t="shared" ref="AB1092:AB1155" si="107">""</f>
        <v/>
      </c>
    </row>
    <row r="1093" customHeight="1" spans="1:28">
      <c r="A1093" s="14">
        <v>1093</v>
      </c>
      <c r="B1093" s="15" t="str">
        <f>IFERROR(IF([2]对账明细接口!$B$1093=0,"",[2]对账明细接口!$B$1093),"")</f>
        <v/>
      </c>
      <c r="C1093" s="16" t="str">
        <f>IFERROR(IF([2]对账明细接口!$C$1093=0,"",[2]对账明细接口!$C$1093),"")</f>
        <v/>
      </c>
      <c r="D1093" s="16" t="str">
        <f>IFERROR(IF([2]对账明细接口!$D$1093=0,"",[2]对账明细接口!$D$1093),"")</f>
        <v/>
      </c>
      <c r="E1093" s="16" t="str">
        <f>IFERROR(IF([2]对账明细接口!$E$1093=0,"",[2]对账明细接口!$E$1093),"")</f>
        <v/>
      </c>
      <c r="F1093" s="16" t="str">
        <f>IFERROR(IF([2]对账明细接口!$F$1093=0,"",[2]对账明细接口!$F$1093),"")</f>
        <v/>
      </c>
      <c r="G1093" s="16" t="str">
        <f>IFERROR(IF([2]对账明细接口!$G$1093=0,"",[2]对账明细接口!$G$1093),"")</f>
        <v/>
      </c>
      <c r="H1093" s="17" t="str">
        <f>IFERROR(IF([2]对账明细接口!$H$1093=0,"",[2]对账明细接口!$H$1093),"")</f>
        <v/>
      </c>
      <c r="I1093" s="16" t="str">
        <f>IFERROR(IF([2]对账明细接口!$I$1093=0,"",[2]对账明细接口!$I$1093),"")</f>
        <v/>
      </c>
      <c r="J1093" s="18" t="str">
        <f>IFERROR(IF([2]对账明细接口!$J$1093=0,"",[2]对账明细接口!$J$1093),"")</f>
        <v/>
      </c>
      <c r="K1093" s="18" t="str">
        <f>IFERROR(IF([2]对账明细接口!$K$1093=0,"",[2]对账明细接口!$K$1093),"")</f>
        <v/>
      </c>
      <c r="L1093" s="16" t="str">
        <f>IFERROR(IF([2]对账明细接口!$L$1093=0,"",[2]对账明细接口!$L$1093),"")</f>
        <v/>
      </c>
      <c r="M1093" s="16" t="str">
        <f>IFERROR(IF([2]对账明细接口!$M$1093=0,"",[2]对账明细接口!$M$1093),"")</f>
        <v/>
      </c>
      <c r="N1093" s="19">
        <f t="shared" si="102"/>
        <v>0</v>
      </c>
      <c r="O1093" s="19">
        <f t="shared" si="103"/>
        <v>165</v>
      </c>
      <c r="S1093" s="20" t="str">
        <f>IFERROR(IF([2]对账明细接口!$N1093=0,"",[2]对账明细接口!$N1093),"")</f>
        <v/>
      </c>
      <c r="T1093" s="21" t="str">
        <f>IFERROR(IF([2]对账明细接口!$O1093=0,"",[2]对账明细接口!$O1093),"")</f>
        <v/>
      </c>
      <c r="U1093" s="21" t="str">
        <f>IFERROR(IF([2]对账明细接口!$P1093=0,"",[2]对账明细接口!$P1093),"")</f>
        <v/>
      </c>
      <c r="V1093" s="21" t="str">
        <f>IFERROR(IF([2]对账明细接口!$Q1093=0,"",[2]对账明细接口!$Q1093),"")</f>
        <v/>
      </c>
      <c r="W1093" s="20" t="str">
        <f>IFERROR(IF([2]对账明细接口!$R1093=0,"",[2]对账明细接口!$R1093),"")</f>
        <v/>
      </c>
      <c r="X1093" s="20" t="str">
        <f>IFERROR(IF([2]对账明细接口!$S1093=0,"",[2]对账明细接口!$S1093),"")</f>
        <v/>
      </c>
      <c r="Y1093" s="20" t="str">
        <f t="shared" si="104"/>
        <v/>
      </c>
      <c r="Z1093" s="20" t="str">
        <f t="shared" si="105"/>
        <v/>
      </c>
      <c r="AA1093" s="20" t="str">
        <f t="shared" si="106"/>
        <v/>
      </c>
      <c r="AB1093" s="20" t="str">
        <f t="shared" si="107"/>
        <v/>
      </c>
    </row>
    <row r="1094" customHeight="1" spans="1:28">
      <c r="A1094" s="14">
        <v>1094</v>
      </c>
      <c r="B1094" s="15" t="str">
        <f>IFERROR(IF([2]对账明细接口!$B$1094=0,"",[2]对账明细接口!$B$1094),"")</f>
        <v/>
      </c>
      <c r="C1094" s="16" t="str">
        <f>IFERROR(IF([2]对账明细接口!$C$1094=0,"",[2]对账明细接口!$C$1094),"")</f>
        <v/>
      </c>
      <c r="D1094" s="16" t="str">
        <f>IFERROR(IF([2]对账明细接口!$D$1094=0,"",[2]对账明细接口!$D$1094),"")</f>
        <v/>
      </c>
      <c r="E1094" s="16" t="str">
        <f>IFERROR(IF([2]对账明细接口!$E$1094=0,"",[2]对账明细接口!$E$1094),"")</f>
        <v/>
      </c>
      <c r="F1094" s="16" t="str">
        <f>IFERROR(IF([2]对账明细接口!$F$1094=0,"",[2]对账明细接口!$F$1094),"")</f>
        <v/>
      </c>
      <c r="G1094" s="16" t="str">
        <f>IFERROR(IF([2]对账明细接口!$G$1094=0,"",[2]对账明细接口!$G$1094),"")</f>
        <v/>
      </c>
      <c r="H1094" s="17" t="str">
        <f>IFERROR(IF([2]对账明细接口!$H$1094=0,"",[2]对账明细接口!$H$1094),"")</f>
        <v/>
      </c>
      <c r="I1094" s="16" t="str">
        <f>IFERROR(IF([2]对账明细接口!$I$1094=0,"",[2]对账明细接口!$I$1094),"")</f>
        <v/>
      </c>
      <c r="J1094" s="18" t="str">
        <f>IFERROR(IF([2]对账明细接口!$J$1094=0,"",[2]对账明细接口!$J$1094),"")</f>
        <v/>
      </c>
      <c r="K1094" s="18" t="str">
        <f>IFERROR(IF([2]对账明细接口!$K$1094=0,"",[2]对账明细接口!$K$1094),"")</f>
        <v/>
      </c>
      <c r="L1094" s="16" t="str">
        <f>IFERROR(IF([2]对账明细接口!$L$1094=0,"",[2]对账明细接口!$L$1094),"")</f>
        <v/>
      </c>
      <c r="M1094" s="16" t="str">
        <f>IFERROR(IF([2]对账明细接口!$M$1094=0,"",[2]对账明细接口!$M$1094),"")</f>
        <v/>
      </c>
      <c r="N1094" s="19">
        <f t="shared" si="102"/>
        <v>0</v>
      </c>
      <c r="O1094" s="19">
        <f t="shared" si="103"/>
        <v>165</v>
      </c>
      <c r="S1094" s="20" t="str">
        <f>IFERROR(IF([2]对账明细接口!$N1094=0,"",[2]对账明细接口!$N1094),"")</f>
        <v/>
      </c>
      <c r="T1094" s="21" t="str">
        <f>IFERROR(IF([2]对账明细接口!$O1094=0,"",[2]对账明细接口!$O1094),"")</f>
        <v/>
      </c>
      <c r="U1094" s="21" t="str">
        <f>IFERROR(IF([2]对账明细接口!$P1094=0,"",[2]对账明细接口!$P1094),"")</f>
        <v/>
      </c>
      <c r="V1094" s="21" t="str">
        <f>IFERROR(IF([2]对账明细接口!$Q1094=0,"",[2]对账明细接口!$Q1094),"")</f>
        <v/>
      </c>
      <c r="W1094" s="20" t="str">
        <f>IFERROR(IF([2]对账明细接口!$R1094=0,"",[2]对账明细接口!$R1094),"")</f>
        <v/>
      </c>
      <c r="X1094" s="20" t="str">
        <f>IFERROR(IF([2]对账明细接口!$S1094=0,"",[2]对账明细接口!$S1094),"")</f>
        <v/>
      </c>
      <c r="Y1094" s="20" t="str">
        <f t="shared" si="104"/>
        <v/>
      </c>
      <c r="Z1094" s="20" t="str">
        <f t="shared" si="105"/>
        <v/>
      </c>
      <c r="AA1094" s="20" t="str">
        <f t="shared" si="106"/>
        <v/>
      </c>
      <c r="AB1094" s="20" t="str">
        <f t="shared" si="107"/>
        <v/>
      </c>
    </row>
    <row r="1095" customHeight="1" spans="1:28">
      <c r="A1095" s="14">
        <v>1095</v>
      </c>
      <c r="B1095" s="15" t="str">
        <f>IFERROR(IF([2]对账明细接口!$B$1095=0,"",[2]对账明细接口!$B$1095),"")</f>
        <v/>
      </c>
      <c r="C1095" s="16" t="str">
        <f>IFERROR(IF([2]对账明细接口!$C$1095=0,"",[2]对账明细接口!$C$1095),"")</f>
        <v/>
      </c>
      <c r="D1095" s="16" t="str">
        <f>IFERROR(IF([2]对账明细接口!$D$1095=0,"",[2]对账明细接口!$D$1095),"")</f>
        <v/>
      </c>
      <c r="E1095" s="16" t="str">
        <f>IFERROR(IF([2]对账明细接口!$E$1095=0,"",[2]对账明细接口!$E$1095),"")</f>
        <v/>
      </c>
      <c r="F1095" s="16" t="str">
        <f>IFERROR(IF([2]对账明细接口!$F$1095=0,"",[2]对账明细接口!$F$1095),"")</f>
        <v/>
      </c>
      <c r="G1095" s="16" t="str">
        <f>IFERROR(IF([2]对账明细接口!$G$1095=0,"",[2]对账明细接口!$G$1095),"")</f>
        <v/>
      </c>
      <c r="H1095" s="17" t="str">
        <f>IFERROR(IF([2]对账明细接口!$H$1095=0,"",[2]对账明细接口!$H$1095),"")</f>
        <v/>
      </c>
      <c r="I1095" s="16" t="str">
        <f>IFERROR(IF([2]对账明细接口!$I$1095=0,"",[2]对账明细接口!$I$1095),"")</f>
        <v/>
      </c>
      <c r="J1095" s="18" t="str">
        <f>IFERROR(IF([2]对账明细接口!$J$1095=0,"",[2]对账明细接口!$J$1095),"")</f>
        <v/>
      </c>
      <c r="K1095" s="18" t="str">
        <f>IFERROR(IF([2]对账明细接口!$K$1095=0,"",[2]对账明细接口!$K$1095),"")</f>
        <v/>
      </c>
      <c r="L1095" s="16" t="str">
        <f>IFERROR(IF([2]对账明细接口!$L$1095=0,"",[2]对账明细接口!$L$1095),"")</f>
        <v/>
      </c>
      <c r="M1095" s="16" t="str">
        <f>IFERROR(IF([2]对账明细接口!$M$1095=0,"",[2]对账明细接口!$M$1095),"")</f>
        <v/>
      </c>
      <c r="N1095" s="19">
        <f t="shared" si="102"/>
        <v>0</v>
      </c>
      <c r="O1095" s="19">
        <f t="shared" si="103"/>
        <v>165</v>
      </c>
      <c r="S1095" s="20" t="str">
        <f>IFERROR(IF([2]对账明细接口!$N1095=0,"",[2]对账明细接口!$N1095),"")</f>
        <v/>
      </c>
      <c r="T1095" s="21" t="str">
        <f>IFERROR(IF([2]对账明细接口!$O1095=0,"",[2]对账明细接口!$O1095),"")</f>
        <v/>
      </c>
      <c r="U1095" s="21" t="str">
        <f>IFERROR(IF([2]对账明细接口!$P1095=0,"",[2]对账明细接口!$P1095),"")</f>
        <v/>
      </c>
      <c r="V1095" s="21" t="str">
        <f>IFERROR(IF([2]对账明细接口!$Q1095=0,"",[2]对账明细接口!$Q1095),"")</f>
        <v/>
      </c>
      <c r="W1095" s="20" t="str">
        <f>IFERROR(IF([2]对账明细接口!$R1095=0,"",[2]对账明细接口!$R1095),"")</f>
        <v/>
      </c>
      <c r="X1095" s="20" t="str">
        <f>IFERROR(IF([2]对账明细接口!$S1095=0,"",[2]对账明细接口!$S1095),"")</f>
        <v/>
      </c>
      <c r="Y1095" s="20" t="str">
        <f t="shared" si="104"/>
        <v/>
      </c>
      <c r="Z1095" s="20" t="str">
        <f t="shared" si="105"/>
        <v/>
      </c>
      <c r="AA1095" s="20" t="str">
        <f t="shared" si="106"/>
        <v/>
      </c>
      <c r="AB1095" s="20" t="str">
        <f t="shared" si="107"/>
        <v/>
      </c>
    </row>
    <row r="1096" customHeight="1" spans="1:28">
      <c r="A1096" s="14">
        <v>1096</v>
      </c>
      <c r="B1096" s="15" t="str">
        <f>IFERROR(IF([2]对账明细接口!$B$1096=0,"",[2]对账明细接口!$B$1096),"")</f>
        <v/>
      </c>
      <c r="C1096" s="16" t="str">
        <f>IFERROR(IF([2]对账明细接口!$C$1096=0,"",[2]对账明细接口!$C$1096),"")</f>
        <v/>
      </c>
      <c r="D1096" s="16" t="str">
        <f>IFERROR(IF([2]对账明细接口!$D$1096=0,"",[2]对账明细接口!$D$1096),"")</f>
        <v/>
      </c>
      <c r="E1096" s="16" t="str">
        <f>IFERROR(IF([2]对账明细接口!$E$1096=0,"",[2]对账明细接口!$E$1096),"")</f>
        <v/>
      </c>
      <c r="F1096" s="16" t="str">
        <f>IFERROR(IF([2]对账明细接口!$F$1096=0,"",[2]对账明细接口!$F$1096),"")</f>
        <v/>
      </c>
      <c r="G1096" s="16" t="str">
        <f>IFERROR(IF([2]对账明细接口!$G$1096=0,"",[2]对账明细接口!$G$1096),"")</f>
        <v/>
      </c>
      <c r="H1096" s="17" t="str">
        <f>IFERROR(IF([2]对账明细接口!$H$1096=0,"",[2]对账明细接口!$H$1096),"")</f>
        <v/>
      </c>
      <c r="I1096" s="16" t="str">
        <f>IFERROR(IF([2]对账明细接口!$I$1096=0,"",[2]对账明细接口!$I$1096),"")</f>
        <v/>
      </c>
      <c r="J1096" s="18" t="str">
        <f>IFERROR(IF([2]对账明细接口!$J$1096=0,"",[2]对账明细接口!$J$1096),"")</f>
        <v/>
      </c>
      <c r="K1096" s="18" t="str">
        <f>IFERROR(IF([2]对账明细接口!$K$1096=0,"",[2]对账明细接口!$K$1096),"")</f>
        <v/>
      </c>
      <c r="L1096" s="16" t="str">
        <f>IFERROR(IF([2]对账明细接口!$L$1096=0,"",[2]对账明细接口!$L$1096),"")</f>
        <v/>
      </c>
      <c r="M1096" s="16" t="str">
        <f>IFERROR(IF([2]对账明细接口!$M$1096=0,"",[2]对账明细接口!$M$1096),"")</f>
        <v/>
      </c>
      <c r="N1096" s="19">
        <f t="shared" si="102"/>
        <v>0</v>
      </c>
      <c r="O1096" s="19">
        <f t="shared" si="103"/>
        <v>165</v>
      </c>
      <c r="S1096" s="20" t="str">
        <f>IFERROR(IF([2]对账明细接口!$N1096=0,"",[2]对账明细接口!$N1096),"")</f>
        <v/>
      </c>
      <c r="T1096" s="21" t="str">
        <f>IFERROR(IF([2]对账明细接口!$O1096=0,"",[2]对账明细接口!$O1096),"")</f>
        <v/>
      </c>
      <c r="U1096" s="21" t="str">
        <f>IFERROR(IF([2]对账明细接口!$P1096=0,"",[2]对账明细接口!$P1096),"")</f>
        <v/>
      </c>
      <c r="V1096" s="21" t="str">
        <f>IFERROR(IF([2]对账明细接口!$Q1096=0,"",[2]对账明细接口!$Q1096),"")</f>
        <v/>
      </c>
      <c r="W1096" s="20" t="str">
        <f>IFERROR(IF([2]对账明细接口!$R1096=0,"",[2]对账明细接口!$R1096),"")</f>
        <v/>
      </c>
      <c r="X1096" s="20" t="str">
        <f>IFERROR(IF([2]对账明细接口!$S1096=0,"",[2]对账明细接口!$S1096),"")</f>
        <v/>
      </c>
      <c r="Y1096" s="20" t="str">
        <f t="shared" si="104"/>
        <v/>
      </c>
      <c r="Z1096" s="20" t="str">
        <f t="shared" si="105"/>
        <v/>
      </c>
      <c r="AA1096" s="20" t="str">
        <f t="shared" si="106"/>
        <v/>
      </c>
      <c r="AB1096" s="20" t="str">
        <f t="shared" si="107"/>
        <v/>
      </c>
    </row>
    <row r="1097" customHeight="1" spans="1:28">
      <c r="A1097" s="14">
        <v>1097</v>
      </c>
      <c r="B1097" s="15" t="str">
        <f>IFERROR(IF([2]对账明细接口!$B$1097=0,"",[2]对账明细接口!$B$1097),"")</f>
        <v/>
      </c>
      <c r="C1097" s="16" t="str">
        <f>IFERROR(IF([2]对账明细接口!$C$1097=0,"",[2]对账明细接口!$C$1097),"")</f>
        <v/>
      </c>
      <c r="D1097" s="16" t="str">
        <f>IFERROR(IF([2]对账明细接口!$D$1097=0,"",[2]对账明细接口!$D$1097),"")</f>
        <v/>
      </c>
      <c r="E1097" s="16" t="str">
        <f>IFERROR(IF([2]对账明细接口!$E$1097=0,"",[2]对账明细接口!$E$1097),"")</f>
        <v/>
      </c>
      <c r="F1097" s="16" t="str">
        <f>IFERROR(IF([2]对账明细接口!$F$1097=0,"",[2]对账明细接口!$F$1097),"")</f>
        <v/>
      </c>
      <c r="G1097" s="16" t="str">
        <f>IFERROR(IF([2]对账明细接口!$G$1097=0,"",[2]对账明细接口!$G$1097),"")</f>
        <v/>
      </c>
      <c r="H1097" s="17" t="str">
        <f>IFERROR(IF([2]对账明细接口!$H$1097=0,"",[2]对账明细接口!$H$1097),"")</f>
        <v/>
      </c>
      <c r="I1097" s="16" t="str">
        <f>IFERROR(IF([2]对账明细接口!$I$1097=0,"",[2]对账明细接口!$I$1097),"")</f>
        <v/>
      </c>
      <c r="J1097" s="18" t="str">
        <f>IFERROR(IF([2]对账明细接口!$J$1097=0,"",[2]对账明细接口!$J$1097),"")</f>
        <v/>
      </c>
      <c r="K1097" s="18" t="str">
        <f>IFERROR(IF([2]对账明细接口!$K$1097=0,"",[2]对账明细接口!$K$1097),"")</f>
        <v/>
      </c>
      <c r="L1097" s="16" t="str">
        <f>IFERROR(IF([2]对账明细接口!$L$1097=0,"",[2]对账明细接口!$L$1097),"")</f>
        <v/>
      </c>
      <c r="M1097" s="16" t="str">
        <f>IFERROR(IF([2]对账明细接口!$M$1097=0,"",[2]对账明细接口!$M$1097),"")</f>
        <v/>
      </c>
      <c r="N1097" s="19">
        <f t="shared" si="102"/>
        <v>0</v>
      </c>
      <c r="O1097" s="19">
        <f t="shared" si="103"/>
        <v>165</v>
      </c>
      <c r="S1097" s="20" t="str">
        <f>IFERROR(IF([2]对账明细接口!$N1097=0,"",[2]对账明细接口!$N1097),"")</f>
        <v/>
      </c>
      <c r="T1097" s="21" t="str">
        <f>IFERROR(IF([2]对账明细接口!$O1097=0,"",[2]对账明细接口!$O1097),"")</f>
        <v/>
      </c>
      <c r="U1097" s="21" t="str">
        <f>IFERROR(IF([2]对账明细接口!$P1097=0,"",[2]对账明细接口!$P1097),"")</f>
        <v/>
      </c>
      <c r="V1097" s="21" t="str">
        <f>IFERROR(IF([2]对账明细接口!$Q1097=0,"",[2]对账明细接口!$Q1097),"")</f>
        <v/>
      </c>
      <c r="W1097" s="20" t="str">
        <f>IFERROR(IF([2]对账明细接口!$R1097=0,"",[2]对账明细接口!$R1097),"")</f>
        <v/>
      </c>
      <c r="X1097" s="20" t="str">
        <f>IFERROR(IF([2]对账明细接口!$S1097=0,"",[2]对账明细接口!$S1097),"")</f>
        <v/>
      </c>
      <c r="Y1097" s="20" t="str">
        <f t="shared" si="104"/>
        <v/>
      </c>
      <c r="Z1097" s="20" t="str">
        <f t="shared" si="105"/>
        <v/>
      </c>
      <c r="AA1097" s="20" t="str">
        <f t="shared" si="106"/>
        <v/>
      </c>
      <c r="AB1097" s="20" t="str">
        <f t="shared" si="107"/>
        <v/>
      </c>
    </row>
    <row r="1098" customHeight="1" spans="1:28">
      <c r="A1098" s="14">
        <v>1098</v>
      </c>
      <c r="B1098" s="15" t="str">
        <f>IFERROR(IF([2]对账明细接口!$B$1098=0,"",[2]对账明细接口!$B$1098),"")</f>
        <v/>
      </c>
      <c r="C1098" s="16" t="str">
        <f>IFERROR(IF([2]对账明细接口!$C$1098=0,"",[2]对账明细接口!$C$1098),"")</f>
        <v/>
      </c>
      <c r="D1098" s="16" t="str">
        <f>IFERROR(IF([2]对账明细接口!$D$1098=0,"",[2]对账明细接口!$D$1098),"")</f>
        <v/>
      </c>
      <c r="E1098" s="16" t="str">
        <f>IFERROR(IF([2]对账明细接口!$E$1098=0,"",[2]对账明细接口!$E$1098),"")</f>
        <v/>
      </c>
      <c r="F1098" s="16" t="str">
        <f>IFERROR(IF([2]对账明细接口!$F$1098=0,"",[2]对账明细接口!$F$1098),"")</f>
        <v/>
      </c>
      <c r="G1098" s="16" t="str">
        <f>IFERROR(IF([2]对账明细接口!$G$1098=0,"",[2]对账明细接口!$G$1098),"")</f>
        <v/>
      </c>
      <c r="H1098" s="17" t="str">
        <f>IFERROR(IF([2]对账明细接口!$H$1098=0,"",[2]对账明细接口!$H$1098),"")</f>
        <v/>
      </c>
      <c r="I1098" s="16" t="str">
        <f>IFERROR(IF([2]对账明细接口!$I$1098=0,"",[2]对账明细接口!$I$1098),"")</f>
        <v/>
      </c>
      <c r="J1098" s="18" t="str">
        <f>IFERROR(IF([2]对账明细接口!$J$1098=0,"",[2]对账明细接口!$J$1098),"")</f>
        <v/>
      </c>
      <c r="K1098" s="18" t="str">
        <f>IFERROR(IF([2]对账明细接口!$K$1098=0,"",[2]对账明细接口!$K$1098),"")</f>
        <v/>
      </c>
      <c r="L1098" s="16" t="str">
        <f>IFERROR(IF([2]对账明细接口!$L$1098=0,"",[2]对账明细接口!$L$1098),"")</f>
        <v/>
      </c>
      <c r="M1098" s="16" t="str">
        <f>IFERROR(IF([2]对账明细接口!$M$1098=0,"",[2]对账明细接口!$M$1098),"")</f>
        <v/>
      </c>
      <c r="N1098" s="19">
        <f t="shared" si="102"/>
        <v>0</v>
      </c>
      <c r="O1098" s="19">
        <f t="shared" si="103"/>
        <v>165</v>
      </c>
      <c r="S1098" s="20" t="str">
        <f>IFERROR(IF([2]对账明细接口!$N1098=0,"",[2]对账明细接口!$N1098),"")</f>
        <v/>
      </c>
      <c r="T1098" s="21" t="str">
        <f>IFERROR(IF([2]对账明细接口!$O1098=0,"",[2]对账明细接口!$O1098),"")</f>
        <v/>
      </c>
      <c r="U1098" s="21" t="str">
        <f>IFERROR(IF([2]对账明细接口!$P1098=0,"",[2]对账明细接口!$P1098),"")</f>
        <v/>
      </c>
      <c r="V1098" s="21" t="str">
        <f>IFERROR(IF([2]对账明细接口!$Q1098=0,"",[2]对账明细接口!$Q1098),"")</f>
        <v/>
      </c>
      <c r="W1098" s="20" t="str">
        <f>IFERROR(IF([2]对账明细接口!$R1098=0,"",[2]对账明细接口!$R1098),"")</f>
        <v/>
      </c>
      <c r="X1098" s="20" t="str">
        <f>IFERROR(IF([2]对账明细接口!$S1098=0,"",[2]对账明细接口!$S1098),"")</f>
        <v/>
      </c>
      <c r="Y1098" s="20" t="str">
        <f t="shared" si="104"/>
        <v/>
      </c>
      <c r="Z1098" s="20" t="str">
        <f t="shared" si="105"/>
        <v/>
      </c>
      <c r="AA1098" s="20" t="str">
        <f t="shared" si="106"/>
        <v/>
      </c>
      <c r="AB1098" s="20" t="str">
        <f t="shared" si="107"/>
        <v/>
      </c>
    </row>
    <row r="1099" customHeight="1" spans="1:28">
      <c r="A1099" s="14">
        <v>1099</v>
      </c>
      <c r="B1099" s="15" t="str">
        <f>IFERROR(IF([2]对账明细接口!$B$1099=0,"",[2]对账明细接口!$B$1099),"")</f>
        <v/>
      </c>
      <c r="C1099" s="16" t="str">
        <f>IFERROR(IF([2]对账明细接口!$C$1099=0,"",[2]对账明细接口!$C$1099),"")</f>
        <v/>
      </c>
      <c r="D1099" s="16" t="str">
        <f>IFERROR(IF([2]对账明细接口!$D$1099=0,"",[2]对账明细接口!$D$1099),"")</f>
        <v/>
      </c>
      <c r="E1099" s="16" t="str">
        <f>IFERROR(IF([2]对账明细接口!$E$1099=0,"",[2]对账明细接口!$E$1099),"")</f>
        <v/>
      </c>
      <c r="F1099" s="16" t="str">
        <f>IFERROR(IF([2]对账明细接口!$F$1099=0,"",[2]对账明细接口!$F$1099),"")</f>
        <v/>
      </c>
      <c r="G1099" s="16" t="str">
        <f>IFERROR(IF([2]对账明细接口!$G$1099=0,"",[2]对账明细接口!$G$1099),"")</f>
        <v/>
      </c>
      <c r="H1099" s="17" t="str">
        <f>IFERROR(IF([2]对账明细接口!$H$1099=0,"",[2]对账明细接口!$H$1099),"")</f>
        <v/>
      </c>
      <c r="I1099" s="16" t="str">
        <f>IFERROR(IF([2]对账明细接口!$I$1099=0,"",[2]对账明细接口!$I$1099),"")</f>
        <v/>
      </c>
      <c r="J1099" s="18" t="str">
        <f>IFERROR(IF([2]对账明细接口!$J$1099=0,"",[2]对账明细接口!$J$1099),"")</f>
        <v/>
      </c>
      <c r="K1099" s="18" t="str">
        <f>IFERROR(IF([2]对账明细接口!$K$1099=0,"",[2]对账明细接口!$K$1099),"")</f>
        <v/>
      </c>
      <c r="L1099" s="16" t="str">
        <f>IFERROR(IF([2]对账明细接口!$L$1099=0,"",[2]对账明细接口!$L$1099),"")</f>
        <v/>
      </c>
      <c r="M1099" s="16" t="str">
        <f>IFERROR(IF([2]对账明细接口!$M$1099=0,"",[2]对账明细接口!$M$1099),"")</f>
        <v/>
      </c>
      <c r="N1099" s="19">
        <f t="shared" si="102"/>
        <v>0</v>
      </c>
      <c r="O1099" s="19">
        <f t="shared" si="103"/>
        <v>165</v>
      </c>
      <c r="S1099" s="20" t="str">
        <f>IFERROR(IF([2]对账明细接口!$N1099=0,"",[2]对账明细接口!$N1099),"")</f>
        <v/>
      </c>
      <c r="T1099" s="21" t="str">
        <f>IFERROR(IF([2]对账明细接口!$O1099=0,"",[2]对账明细接口!$O1099),"")</f>
        <v/>
      </c>
      <c r="U1099" s="21" t="str">
        <f>IFERROR(IF([2]对账明细接口!$P1099=0,"",[2]对账明细接口!$P1099),"")</f>
        <v/>
      </c>
      <c r="V1099" s="21" t="str">
        <f>IFERROR(IF([2]对账明细接口!$Q1099=0,"",[2]对账明细接口!$Q1099),"")</f>
        <v/>
      </c>
      <c r="W1099" s="20" t="str">
        <f>IFERROR(IF([2]对账明细接口!$R1099=0,"",[2]对账明细接口!$R1099),"")</f>
        <v/>
      </c>
      <c r="X1099" s="20" t="str">
        <f>IFERROR(IF([2]对账明细接口!$S1099=0,"",[2]对账明细接口!$S1099),"")</f>
        <v/>
      </c>
      <c r="Y1099" s="20" t="str">
        <f t="shared" si="104"/>
        <v/>
      </c>
      <c r="Z1099" s="20" t="str">
        <f t="shared" si="105"/>
        <v/>
      </c>
      <c r="AA1099" s="20" t="str">
        <f t="shared" si="106"/>
        <v/>
      </c>
      <c r="AB1099" s="20" t="str">
        <f t="shared" si="107"/>
        <v/>
      </c>
    </row>
    <row r="1100" customHeight="1" spans="1:28">
      <c r="A1100" s="14">
        <v>1100</v>
      </c>
      <c r="B1100" s="15" t="str">
        <f>IFERROR(IF([2]对账明细接口!$B$1100=0,"",[2]对账明细接口!$B$1100),"")</f>
        <v/>
      </c>
      <c r="C1100" s="16" t="str">
        <f>IFERROR(IF([2]对账明细接口!$C$1100=0,"",[2]对账明细接口!$C$1100),"")</f>
        <v/>
      </c>
      <c r="D1100" s="16" t="str">
        <f>IFERROR(IF([2]对账明细接口!$D$1100=0,"",[2]对账明细接口!$D$1100),"")</f>
        <v/>
      </c>
      <c r="E1100" s="16" t="str">
        <f>IFERROR(IF([2]对账明细接口!$E$1100=0,"",[2]对账明细接口!$E$1100),"")</f>
        <v/>
      </c>
      <c r="F1100" s="16" t="str">
        <f>IFERROR(IF([2]对账明细接口!$F$1100=0,"",[2]对账明细接口!$F$1100),"")</f>
        <v/>
      </c>
      <c r="G1100" s="16" t="str">
        <f>IFERROR(IF([2]对账明细接口!$G$1100=0,"",[2]对账明细接口!$G$1100),"")</f>
        <v/>
      </c>
      <c r="H1100" s="17" t="str">
        <f>IFERROR(IF([2]对账明细接口!$H$1100=0,"",[2]对账明细接口!$H$1100),"")</f>
        <v/>
      </c>
      <c r="I1100" s="16" t="str">
        <f>IFERROR(IF([2]对账明细接口!$I$1100=0,"",[2]对账明细接口!$I$1100),"")</f>
        <v/>
      </c>
      <c r="J1100" s="18" t="str">
        <f>IFERROR(IF([2]对账明细接口!$J$1100=0,"",[2]对账明细接口!$J$1100),"")</f>
        <v/>
      </c>
      <c r="K1100" s="18" t="str">
        <f>IFERROR(IF([2]对账明细接口!$K$1100=0,"",[2]对账明细接口!$K$1100),"")</f>
        <v/>
      </c>
      <c r="L1100" s="16" t="str">
        <f>IFERROR(IF([2]对账明细接口!$L$1100=0,"",[2]对账明细接口!$L$1100),"")</f>
        <v/>
      </c>
      <c r="M1100" s="16" t="str">
        <f>IFERROR(IF([2]对账明细接口!$M$1100=0,"",[2]对账明细接口!$M$1100),"")</f>
        <v/>
      </c>
      <c r="N1100" s="19">
        <f t="shared" si="102"/>
        <v>0</v>
      </c>
      <c r="O1100" s="19">
        <f t="shared" si="103"/>
        <v>165</v>
      </c>
      <c r="S1100" s="20" t="str">
        <f>IFERROR(IF([2]对账明细接口!$N1100=0,"",[2]对账明细接口!$N1100),"")</f>
        <v/>
      </c>
      <c r="T1100" s="21" t="str">
        <f>IFERROR(IF([2]对账明细接口!$O1100=0,"",[2]对账明细接口!$O1100),"")</f>
        <v/>
      </c>
      <c r="U1100" s="21" t="str">
        <f>IFERROR(IF([2]对账明细接口!$P1100=0,"",[2]对账明细接口!$P1100),"")</f>
        <v/>
      </c>
      <c r="V1100" s="21" t="str">
        <f>IFERROR(IF([2]对账明细接口!$Q1100=0,"",[2]对账明细接口!$Q1100),"")</f>
        <v/>
      </c>
      <c r="W1100" s="20" t="str">
        <f>IFERROR(IF([2]对账明细接口!$R1100=0,"",[2]对账明细接口!$R1100),"")</f>
        <v/>
      </c>
      <c r="X1100" s="20" t="str">
        <f>IFERROR(IF([2]对账明细接口!$S1100=0,"",[2]对账明细接口!$S1100),"")</f>
        <v/>
      </c>
      <c r="Y1100" s="20" t="str">
        <f t="shared" si="104"/>
        <v/>
      </c>
      <c r="Z1100" s="20" t="str">
        <f t="shared" si="105"/>
        <v/>
      </c>
      <c r="AA1100" s="20" t="str">
        <f t="shared" si="106"/>
        <v/>
      </c>
      <c r="AB1100" s="20" t="str">
        <f t="shared" si="107"/>
        <v/>
      </c>
    </row>
    <row r="1101" customHeight="1" spans="1:28">
      <c r="A1101" s="14">
        <v>1101</v>
      </c>
      <c r="B1101" s="15" t="str">
        <f>IFERROR(IF([2]对账明细接口!$B$1101=0,"",[2]对账明细接口!$B$1101),"")</f>
        <v/>
      </c>
      <c r="C1101" s="16" t="str">
        <f>IFERROR(IF([2]对账明细接口!$C$1101=0,"",[2]对账明细接口!$C$1101),"")</f>
        <v/>
      </c>
      <c r="D1101" s="16" t="str">
        <f>IFERROR(IF([2]对账明细接口!$D$1101=0,"",[2]对账明细接口!$D$1101),"")</f>
        <v/>
      </c>
      <c r="E1101" s="16" t="str">
        <f>IFERROR(IF([2]对账明细接口!$E$1101=0,"",[2]对账明细接口!$E$1101),"")</f>
        <v/>
      </c>
      <c r="F1101" s="16" t="str">
        <f>IFERROR(IF([2]对账明细接口!$F$1101=0,"",[2]对账明细接口!$F$1101),"")</f>
        <v/>
      </c>
      <c r="G1101" s="16" t="str">
        <f>IFERROR(IF([2]对账明细接口!$G$1101=0,"",[2]对账明细接口!$G$1101),"")</f>
        <v/>
      </c>
      <c r="H1101" s="17" t="str">
        <f>IFERROR(IF([2]对账明细接口!$H$1101=0,"",[2]对账明细接口!$H$1101),"")</f>
        <v/>
      </c>
      <c r="I1101" s="16" t="str">
        <f>IFERROR(IF([2]对账明细接口!$I$1101=0,"",[2]对账明细接口!$I$1101),"")</f>
        <v/>
      </c>
      <c r="J1101" s="18" t="str">
        <f>IFERROR(IF([2]对账明细接口!$J$1101=0,"",[2]对账明细接口!$J$1101),"")</f>
        <v/>
      </c>
      <c r="K1101" s="18" t="str">
        <f>IFERROR(IF([2]对账明细接口!$K$1101=0,"",[2]对账明细接口!$K$1101),"")</f>
        <v/>
      </c>
      <c r="L1101" s="16" t="str">
        <f>IFERROR(IF([2]对账明细接口!$L$1101=0,"",[2]对账明细接口!$L$1101),"")</f>
        <v/>
      </c>
      <c r="M1101" s="16" t="str">
        <f>IFERROR(IF([2]对账明细接口!$M$1101=0,"",[2]对账明细接口!$M$1101),"")</f>
        <v/>
      </c>
      <c r="N1101" s="19">
        <f t="shared" si="102"/>
        <v>0</v>
      </c>
      <c r="O1101" s="19">
        <f t="shared" si="103"/>
        <v>165</v>
      </c>
      <c r="S1101" s="20" t="str">
        <f>IFERROR(IF([2]对账明细接口!$N1101=0,"",[2]对账明细接口!$N1101),"")</f>
        <v/>
      </c>
      <c r="T1101" s="21" t="str">
        <f>IFERROR(IF([2]对账明细接口!$O1101=0,"",[2]对账明细接口!$O1101),"")</f>
        <v/>
      </c>
      <c r="U1101" s="21" t="str">
        <f>IFERROR(IF([2]对账明细接口!$P1101=0,"",[2]对账明细接口!$P1101),"")</f>
        <v/>
      </c>
      <c r="V1101" s="21" t="str">
        <f>IFERROR(IF([2]对账明细接口!$Q1101=0,"",[2]对账明细接口!$Q1101),"")</f>
        <v/>
      </c>
      <c r="W1101" s="20" t="str">
        <f>IFERROR(IF([2]对账明细接口!$R1101=0,"",[2]对账明细接口!$R1101),"")</f>
        <v/>
      </c>
      <c r="X1101" s="20" t="str">
        <f>IFERROR(IF([2]对账明细接口!$S1101=0,"",[2]对账明细接口!$S1101),"")</f>
        <v/>
      </c>
      <c r="Y1101" s="20" t="str">
        <f t="shared" si="104"/>
        <v/>
      </c>
      <c r="Z1101" s="20" t="str">
        <f t="shared" si="105"/>
        <v/>
      </c>
      <c r="AA1101" s="20" t="str">
        <f t="shared" si="106"/>
        <v/>
      </c>
      <c r="AB1101" s="20" t="str">
        <f t="shared" si="107"/>
        <v/>
      </c>
    </row>
    <row r="1102" customHeight="1" spans="1:28">
      <c r="A1102" s="14">
        <v>1102</v>
      </c>
      <c r="B1102" s="15" t="str">
        <f>IFERROR(IF([2]对账明细接口!$B$1102=0,"",[2]对账明细接口!$B$1102),"")</f>
        <v/>
      </c>
      <c r="C1102" s="16" t="str">
        <f>IFERROR(IF([2]对账明细接口!$C$1102=0,"",[2]对账明细接口!$C$1102),"")</f>
        <v/>
      </c>
      <c r="D1102" s="16" t="str">
        <f>IFERROR(IF([2]对账明细接口!$D$1102=0,"",[2]对账明细接口!$D$1102),"")</f>
        <v/>
      </c>
      <c r="E1102" s="16" t="str">
        <f>IFERROR(IF([2]对账明细接口!$E$1102=0,"",[2]对账明细接口!$E$1102),"")</f>
        <v/>
      </c>
      <c r="F1102" s="16" t="str">
        <f>IFERROR(IF([2]对账明细接口!$F$1102=0,"",[2]对账明细接口!$F$1102),"")</f>
        <v/>
      </c>
      <c r="G1102" s="16" t="str">
        <f>IFERROR(IF([2]对账明细接口!$G$1102=0,"",[2]对账明细接口!$G$1102),"")</f>
        <v/>
      </c>
      <c r="H1102" s="17" t="str">
        <f>IFERROR(IF([2]对账明细接口!$H$1102=0,"",[2]对账明细接口!$H$1102),"")</f>
        <v/>
      </c>
      <c r="I1102" s="16" t="str">
        <f>IFERROR(IF([2]对账明细接口!$I$1102=0,"",[2]对账明细接口!$I$1102),"")</f>
        <v/>
      </c>
      <c r="J1102" s="18" t="str">
        <f>IFERROR(IF([2]对账明细接口!$J$1102=0,"",[2]对账明细接口!$J$1102),"")</f>
        <v/>
      </c>
      <c r="K1102" s="18" t="str">
        <f>IFERROR(IF([2]对账明细接口!$K$1102=0,"",[2]对账明细接口!$K$1102),"")</f>
        <v/>
      </c>
      <c r="L1102" s="16" t="str">
        <f>IFERROR(IF([2]对账明细接口!$L$1102=0,"",[2]对账明细接口!$L$1102),"")</f>
        <v/>
      </c>
      <c r="M1102" s="16" t="str">
        <f>IFERROR(IF([2]对账明细接口!$M$1102=0,"",[2]对账明细接口!$M$1102),"")</f>
        <v/>
      </c>
      <c r="N1102" s="19">
        <f t="shared" si="102"/>
        <v>0</v>
      </c>
      <c r="O1102" s="19">
        <f t="shared" si="103"/>
        <v>165</v>
      </c>
      <c r="S1102" s="20" t="str">
        <f>IFERROR(IF([2]对账明细接口!$N1102=0,"",[2]对账明细接口!$N1102),"")</f>
        <v/>
      </c>
      <c r="T1102" s="21" t="str">
        <f>IFERROR(IF([2]对账明细接口!$O1102=0,"",[2]对账明细接口!$O1102),"")</f>
        <v/>
      </c>
      <c r="U1102" s="21" t="str">
        <f>IFERROR(IF([2]对账明细接口!$P1102=0,"",[2]对账明细接口!$P1102),"")</f>
        <v/>
      </c>
      <c r="V1102" s="21" t="str">
        <f>IFERROR(IF([2]对账明细接口!$Q1102=0,"",[2]对账明细接口!$Q1102),"")</f>
        <v/>
      </c>
      <c r="W1102" s="20" t="str">
        <f>IFERROR(IF([2]对账明细接口!$R1102=0,"",[2]对账明细接口!$R1102),"")</f>
        <v/>
      </c>
      <c r="X1102" s="20" t="str">
        <f>IFERROR(IF([2]对账明细接口!$S1102=0,"",[2]对账明细接口!$S1102),"")</f>
        <v/>
      </c>
      <c r="Y1102" s="20" t="str">
        <f t="shared" si="104"/>
        <v/>
      </c>
      <c r="Z1102" s="20" t="str">
        <f t="shared" si="105"/>
        <v/>
      </c>
      <c r="AA1102" s="20" t="str">
        <f t="shared" si="106"/>
        <v/>
      </c>
      <c r="AB1102" s="20" t="str">
        <f t="shared" si="107"/>
        <v/>
      </c>
    </row>
    <row r="1103" customHeight="1" spans="1:28">
      <c r="A1103" s="14">
        <v>1103</v>
      </c>
      <c r="B1103" s="15" t="str">
        <f>IFERROR(IF([2]对账明细接口!$B$1103=0,"",[2]对账明细接口!$B$1103),"")</f>
        <v/>
      </c>
      <c r="C1103" s="16" t="str">
        <f>IFERROR(IF([2]对账明细接口!$C$1103=0,"",[2]对账明细接口!$C$1103),"")</f>
        <v/>
      </c>
      <c r="D1103" s="16" t="str">
        <f>IFERROR(IF([2]对账明细接口!$D$1103=0,"",[2]对账明细接口!$D$1103),"")</f>
        <v/>
      </c>
      <c r="E1103" s="16" t="str">
        <f>IFERROR(IF([2]对账明细接口!$E$1103=0,"",[2]对账明细接口!$E$1103),"")</f>
        <v/>
      </c>
      <c r="F1103" s="16" t="str">
        <f>IFERROR(IF([2]对账明细接口!$F$1103=0,"",[2]对账明细接口!$F$1103),"")</f>
        <v/>
      </c>
      <c r="G1103" s="16" t="str">
        <f>IFERROR(IF([2]对账明细接口!$G$1103=0,"",[2]对账明细接口!$G$1103),"")</f>
        <v/>
      </c>
      <c r="H1103" s="17" t="str">
        <f>IFERROR(IF([2]对账明细接口!$H$1103=0,"",[2]对账明细接口!$H$1103),"")</f>
        <v/>
      </c>
      <c r="I1103" s="16" t="str">
        <f>IFERROR(IF([2]对账明细接口!$I$1103=0,"",[2]对账明细接口!$I$1103),"")</f>
        <v/>
      </c>
      <c r="J1103" s="18" t="str">
        <f>IFERROR(IF([2]对账明细接口!$J$1103=0,"",[2]对账明细接口!$J$1103),"")</f>
        <v/>
      </c>
      <c r="K1103" s="18" t="str">
        <f>IFERROR(IF([2]对账明细接口!$K$1103=0,"",[2]对账明细接口!$K$1103),"")</f>
        <v/>
      </c>
      <c r="L1103" s="16" t="str">
        <f>IFERROR(IF([2]对账明细接口!$L$1103=0,"",[2]对账明细接口!$L$1103),"")</f>
        <v/>
      </c>
      <c r="M1103" s="16" t="str">
        <f>IFERROR(IF([2]对账明细接口!$M$1103=0,"",[2]对账明细接口!$M$1103),"")</f>
        <v/>
      </c>
      <c r="N1103" s="19">
        <f t="shared" si="102"/>
        <v>0</v>
      </c>
      <c r="O1103" s="19">
        <f t="shared" si="103"/>
        <v>165</v>
      </c>
      <c r="S1103" s="20" t="str">
        <f>IFERROR(IF([2]对账明细接口!$N1103=0,"",[2]对账明细接口!$N1103),"")</f>
        <v/>
      </c>
      <c r="T1103" s="21" t="str">
        <f>IFERROR(IF([2]对账明细接口!$O1103=0,"",[2]对账明细接口!$O1103),"")</f>
        <v/>
      </c>
      <c r="U1103" s="21" t="str">
        <f>IFERROR(IF([2]对账明细接口!$P1103=0,"",[2]对账明细接口!$P1103),"")</f>
        <v/>
      </c>
      <c r="V1103" s="21" t="str">
        <f>IFERROR(IF([2]对账明细接口!$Q1103=0,"",[2]对账明细接口!$Q1103),"")</f>
        <v/>
      </c>
      <c r="W1103" s="20" t="str">
        <f>IFERROR(IF([2]对账明细接口!$R1103=0,"",[2]对账明细接口!$R1103),"")</f>
        <v/>
      </c>
      <c r="X1103" s="20" t="str">
        <f>IFERROR(IF([2]对账明细接口!$S1103=0,"",[2]对账明细接口!$S1103),"")</f>
        <v/>
      </c>
      <c r="Y1103" s="20" t="str">
        <f t="shared" si="104"/>
        <v/>
      </c>
      <c r="Z1103" s="20" t="str">
        <f t="shared" si="105"/>
        <v/>
      </c>
      <c r="AA1103" s="20" t="str">
        <f t="shared" si="106"/>
        <v/>
      </c>
      <c r="AB1103" s="20" t="str">
        <f t="shared" si="107"/>
        <v/>
      </c>
    </row>
    <row r="1104" customHeight="1" spans="1:28">
      <c r="A1104" s="14">
        <v>1104</v>
      </c>
      <c r="B1104" s="15" t="str">
        <f>IFERROR(IF([2]对账明细接口!$B$1104=0,"",[2]对账明细接口!$B$1104),"")</f>
        <v/>
      </c>
      <c r="C1104" s="16" t="str">
        <f>IFERROR(IF([2]对账明细接口!$C$1104=0,"",[2]对账明细接口!$C$1104),"")</f>
        <v/>
      </c>
      <c r="D1104" s="16" t="str">
        <f>IFERROR(IF([2]对账明细接口!$D$1104=0,"",[2]对账明细接口!$D$1104),"")</f>
        <v/>
      </c>
      <c r="E1104" s="16" t="str">
        <f>IFERROR(IF([2]对账明细接口!$E$1104=0,"",[2]对账明细接口!$E$1104),"")</f>
        <v/>
      </c>
      <c r="F1104" s="16" t="str">
        <f>IFERROR(IF([2]对账明细接口!$F$1104=0,"",[2]对账明细接口!$F$1104),"")</f>
        <v/>
      </c>
      <c r="G1104" s="16" t="str">
        <f>IFERROR(IF([2]对账明细接口!$G$1104=0,"",[2]对账明细接口!$G$1104),"")</f>
        <v/>
      </c>
      <c r="H1104" s="17" t="str">
        <f>IFERROR(IF([2]对账明细接口!$H$1104=0,"",[2]对账明细接口!$H$1104),"")</f>
        <v/>
      </c>
      <c r="I1104" s="16" t="str">
        <f>IFERROR(IF([2]对账明细接口!$I$1104=0,"",[2]对账明细接口!$I$1104),"")</f>
        <v/>
      </c>
      <c r="J1104" s="18" t="str">
        <f>IFERROR(IF([2]对账明细接口!$J$1104=0,"",[2]对账明细接口!$J$1104),"")</f>
        <v/>
      </c>
      <c r="K1104" s="18" t="str">
        <f>IFERROR(IF([2]对账明细接口!$K$1104=0,"",[2]对账明细接口!$K$1104),"")</f>
        <v/>
      </c>
      <c r="L1104" s="16" t="str">
        <f>IFERROR(IF([2]对账明细接口!$L$1104=0,"",[2]对账明细接口!$L$1104),"")</f>
        <v/>
      </c>
      <c r="M1104" s="16" t="str">
        <f>IFERROR(IF([2]对账明细接口!$M$1104=0,"",[2]对账明细接口!$M$1104),"")</f>
        <v/>
      </c>
      <c r="N1104" s="19">
        <f t="shared" si="102"/>
        <v>0</v>
      </c>
      <c r="O1104" s="19">
        <f t="shared" si="103"/>
        <v>165</v>
      </c>
      <c r="S1104" s="20" t="str">
        <f>IFERROR(IF([2]对账明细接口!$N1104=0,"",[2]对账明细接口!$N1104),"")</f>
        <v/>
      </c>
      <c r="T1104" s="21" t="str">
        <f>IFERROR(IF([2]对账明细接口!$O1104=0,"",[2]对账明细接口!$O1104),"")</f>
        <v/>
      </c>
      <c r="U1104" s="21" t="str">
        <f>IFERROR(IF([2]对账明细接口!$P1104=0,"",[2]对账明细接口!$P1104),"")</f>
        <v/>
      </c>
      <c r="V1104" s="21" t="str">
        <f>IFERROR(IF([2]对账明细接口!$Q1104=0,"",[2]对账明细接口!$Q1104),"")</f>
        <v/>
      </c>
      <c r="W1104" s="20" t="str">
        <f>IFERROR(IF([2]对账明细接口!$R1104=0,"",[2]对账明细接口!$R1104),"")</f>
        <v/>
      </c>
      <c r="X1104" s="20" t="str">
        <f>IFERROR(IF([2]对账明细接口!$S1104=0,"",[2]对账明细接口!$S1104),"")</f>
        <v/>
      </c>
      <c r="Y1104" s="20" t="str">
        <f t="shared" si="104"/>
        <v/>
      </c>
      <c r="Z1104" s="20" t="str">
        <f t="shared" si="105"/>
        <v/>
      </c>
      <c r="AA1104" s="20" t="str">
        <f t="shared" si="106"/>
        <v/>
      </c>
      <c r="AB1104" s="20" t="str">
        <f t="shared" si="107"/>
        <v/>
      </c>
    </row>
    <row r="1105" customHeight="1" spans="1:28">
      <c r="A1105" s="14">
        <v>1105</v>
      </c>
      <c r="B1105" s="15" t="str">
        <f>IFERROR(IF([2]对账明细接口!$B$1105=0,"",[2]对账明细接口!$B$1105),"")</f>
        <v/>
      </c>
      <c r="C1105" s="16" t="str">
        <f>IFERROR(IF([2]对账明细接口!$C$1105=0,"",[2]对账明细接口!$C$1105),"")</f>
        <v/>
      </c>
      <c r="D1105" s="16" t="str">
        <f>IFERROR(IF([2]对账明细接口!$D$1105=0,"",[2]对账明细接口!$D$1105),"")</f>
        <v/>
      </c>
      <c r="E1105" s="16" t="str">
        <f>IFERROR(IF([2]对账明细接口!$E$1105=0,"",[2]对账明细接口!$E$1105),"")</f>
        <v/>
      </c>
      <c r="F1105" s="16" t="str">
        <f>IFERROR(IF([2]对账明细接口!$F$1105=0,"",[2]对账明细接口!$F$1105),"")</f>
        <v/>
      </c>
      <c r="G1105" s="16" t="str">
        <f>IFERROR(IF([2]对账明细接口!$G$1105=0,"",[2]对账明细接口!$G$1105),"")</f>
        <v/>
      </c>
      <c r="H1105" s="17" t="str">
        <f>IFERROR(IF([2]对账明细接口!$H$1105=0,"",[2]对账明细接口!$H$1105),"")</f>
        <v/>
      </c>
      <c r="I1105" s="16" t="str">
        <f>IFERROR(IF([2]对账明细接口!$I$1105=0,"",[2]对账明细接口!$I$1105),"")</f>
        <v/>
      </c>
      <c r="J1105" s="18" t="str">
        <f>IFERROR(IF([2]对账明细接口!$J$1105=0,"",[2]对账明细接口!$J$1105),"")</f>
        <v/>
      </c>
      <c r="K1105" s="18" t="str">
        <f>IFERROR(IF([2]对账明细接口!$K$1105=0,"",[2]对账明细接口!$K$1105),"")</f>
        <v/>
      </c>
      <c r="L1105" s="16" t="str">
        <f>IFERROR(IF([2]对账明细接口!$L$1105=0,"",[2]对账明细接口!$L$1105),"")</f>
        <v/>
      </c>
      <c r="M1105" s="16" t="str">
        <f>IFERROR(IF([2]对账明细接口!$M$1105=0,"",[2]对账明细接口!$M$1105),"")</f>
        <v/>
      </c>
      <c r="N1105" s="19">
        <f t="shared" si="102"/>
        <v>0</v>
      </c>
      <c r="O1105" s="19">
        <f t="shared" si="103"/>
        <v>165</v>
      </c>
      <c r="S1105" s="20" t="str">
        <f>IFERROR(IF([2]对账明细接口!$N1105=0,"",[2]对账明细接口!$N1105),"")</f>
        <v/>
      </c>
      <c r="T1105" s="21" t="str">
        <f>IFERROR(IF([2]对账明细接口!$O1105=0,"",[2]对账明细接口!$O1105),"")</f>
        <v/>
      </c>
      <c r="U1105" s="21" t="str">
        <f>IFERROR(IF([2]对账明细接口!$P1105=0,"",[2]对账明细接口!$P1105),"")</f>
        <v/>
      </c>
      <c r="V1105" s="21" t="str">
        <f>IFERROR(IF([2]对账明细接口!$Q1105=0,"",[2]对账明细接口!$Q1105),"")</f>
        <v/>
      </c>
      <c r="W1105" s="20" t="str">
        <f>IFERROR(IF([2]对账明细接口!$R1105=0,"",[2]对账明细接口!$R1105),"")</f>
        <v/>
      </c>
      <c r="X1105" s="20" t="str">
        <f>IFERROR(IF([2]对账明细接口!$S1105=0,"",[2]对账明细接口!$S1105),"")</f>
        <v/>
      </c>
      <c r="Y1105" s="20" t="str">
        <f t="shared" si="104"/>
        <v/>
      </c>
      <c r="Z1105" s="20" t="str">
        <f t="shared" si="105"/>
        <v/>
      </c>
      <c r="AA1105" s="20" t="str">
        <f t="shared" si="106"/>
        <v/>
      </c>
      <c r="AB1105" s="20" t="str">
        <f t="shared" si="107"/>
        <v/>
      </c>
    </row>
    <row r="1106" customHeight="1" spans="1:28">
      <c r="A1106" s="14">
        <v>1106</v>
      </c>
      <c r="B1106" s="15" t="str">
        <f>IFERROR(IF([2]对账明细接口!$B$1106=0,"",[2]对账明细接口!$B$1106),"")</f>
        <v/>
      </c>
      <c r="C1106" s="16" t="str">
        <f>IFERROR(IF([2]对账明细接口!$C$1106=0,"",[2]对账明细接口!$C$1106),"")</f>
        <v/>
      </c>
      <c r="D1106" s="16" t="str">
        <f>IFERROR(IF([2]对账明细接口!$D$1106=0,"",[2]对账明细接口!$D$1106),"")</f>
        <v/>
      </c>
      <c r="E1106" s="16" t="str">
        <f>IFERROR(IF([2]对账明细接口!$E$1106=0,"",[2]对账明细接口!$E$1106),"")</f>
        <v/>
      </c>
      <c r="F1106" s="16" t="str">
        <f>IFERROR(IF([2]对账明细接口!$F$1106=0,"",[2]对账明细接口!$F$1106),"")</f>
        <v/>
      </c>
      <c r="G1106" s="16" t="str">
        <f>IFERROR(IF([2]对账明细接口!$G$1106=0,"",[2]对账明细接口!$G$1106),"")</f>
        <v/>
      </c>
      <c r="H1106" s="17" t="str">
        <f>IFERROR(IF([2]对账明细接口!$H$1106=0,"",[2]对账明细接口!$H$1106),"")</f>
        <v/>
      </c>
      <c r="I1106" s="16" t="str">
        <f>IFERROR(IF([2]对账明细接口!$I$1106=0,"",[2]对账明细接口!$I$1106),"")</f>
        <v/>
      </c>
      <c r="J1106" s="18" t="str">
        <f>IFERROR(IF([2]对账明细接口!$J$1106=0,"",[2]对账明细接口!$J$1106),"")</f>
        <v/>
      </c>
      <c r="K1106" s="18" t="str">
        <f>IFERROR(IF([2]对账明细接口!$K$1106=0,"",[2]对账明细接口!$K$1106),"")</f>
        <v/>
      </c>
      <c r="L1106" s="16" t="str">
        <f>IFERROR(IF([2]对账明细接口!$L$1106=0,"",[2]对账明细接口!$L$1106),"")</f>
        <v/>
      </c>
      <c r="M1106" s="16" t="str">
        <f>IFERROR(IF([2]对账明细接口!$M$1106=0,"",[2]对账明细接口!$M$1106),"")</f>
        <v/>
      </c>
      <c r="N1106" s="19">
        <f t="shared" si="102"/>
        <v>0</v>
      </c>
      <c r="O1106" s="19">
        <f t="shared" si="103"/>
        <v>165</v>
      </c>
      <c r="S1106" s="20" t="str">
        <f>IFERROR(IF([2]对账明细接口!$N1106=0,"",[2]对账明细接口!$N1106),"")</f>
        <v/>
      </c>
      <c r="T1106" s="21" t="str">
        <f>IFERROR(IF([2]对账明细接口!$O1106=0,"",[2]对账明细接口!$O1106),"")</f>
        <v/>
      </c>
      <c r="U1106" s="21" t="str">
        <f>IFERROR(IF([2]对账明细接口!$P1106=0,"",[2]对账明细接口!$P1106),"")</f>
        <v/>
      </c>
      <c r="V1106" s="21" t="str">
        <f>IFERROR(IF([2]对账明细接口!$Q1106=0,"",[2]对账明细接口!$Q1106),"")</f>
        <v/>
      </c>
      <c r="W1106" s="20" t="str">
        <f>IFERROR(IF([2]对账明细接口!$R1106=0,"",[2]对账明细接口!$R1106),"")</f>
        <v/>
      </c>
      <c r="X1106" s="20" t="str">
        <f>IFERROR(IF([2]对账明细接口!$S1106=0,"",[2]对账明细接口!$S1106),"")</f>
        <v/>
      </c>
      <c r="Y1106" s="20" t="str">
        <f t="shared" si="104"/>
        <v/>
      </c>
      <c r="Z1106" s="20" t="str">
        <f t="shared" si="105"/>
        <v/>
      </c>
      <c r="AA1106" s="20" t="str">
        <f t="shared" si="106"/>
        <v/>
      </c>
      <c r="AB1106" s="20" t="str">
        <f t="shared" si="107"/>
        <v/>
      </c>
    </row>
    <row r="1107" customHeight="1" spans="1:28">
      <c r="A1107" s="14">
        <v>1107</v>
      </c>
      <c r="B1107" s="15" t="str">
        <f>IFERROR(IF([2]对账明细接口!$B$1107=0,"",[2]对账明细接口!$B$1107),"")</f>
        <v/>
      </c>
      <c r="C1107" s="16" t="str">
        <f>IFERROR(IF([2]对账明细接口!$C$1107=0,"",[2]对账明细接口!$C$1107),"")</f>
        <v/>
      </c>
      <c r="D1107" s="16" t="str">
        <f>IFERROR(IF([2]对账明细接口!$D$1107=0,"",[2]对账明细接口!$D$1107),"")</f>
        <v/>
      </c>
      <c r="E1107" s="16" t="str">
        <f>IFERROR(IF([2]对账明细接口!$E$1107=0,"",[2]对账明细接口!$E$1107),"")</f>
        <v/>
      </c>
      <c r="F1107" s="16" t="str">
        <f>IFERROR(IF([2]对账明细接口!$F$1107=0,"",[2]对账明细接口!$F$1107),"")</f>
        <v/>
      </c>
      <c r="G1107" s="16" t="str">
        <f>IFERROR(IF([2]对账明细接口!$G$1107=0,"",[2]对账明细接口!$G$1107),"")</f>
        <v/>
      </c>
      <c r="H1107" s="17" t="str">
        <f>IFERROR(IF([2]对账明细接口!$H$1107=0,"",[2]对账明细接口!$H$1107),"")</f>
        <v/>
      </c>
      <c r="I1107" s="16" t="str">
        <f>IFERROR(IF([2]对账明细接口!$I$1107=0,"",[2]对账明细接口!$I$1107),"")</f>
        <v/>
      </c>
      <c r="J1107" s="18" t="str">
        <f>IFERROR(IF([2]对账明细接口!$J$1107=0,"",[2]对账明细接口!$J$1107),"")</f>
        <v/>
      </c>
      <c r="K1107" s="18" t="str">
        <f>IFERROR(IF([2]对账明细接口!$K$1107=0,"",[2]对账明细接口!$K$1107),"")</f>
        <v/>
      </c>
      <c r="L1107" s="16" t="str">
        <f>IFERROR(IF([2]对账明细接口!$L$1107=0,"",[2]对账明细接口!$L$1107),"")</f>
        <v/>
      </c>
      <c r="M1107" s="16" t="str">
        <f>IFERROR(IF([2]对账明细接口!$M$1107=0,"",[2]对账明细接口!$M$1107),"")</f>
        <v/>
      </c>
      <c r="N1107" s="19">
        <f t="shared" si="102"/>
        <v>0</v>
      </c>
      <c r="O1107" s="19">
        <f t="shared" si="103"/>
        <v>165</v>
      </c>
      <c r="S1107" s="20" t="str">
        <f>IFERROR(IF([2]对账明细接口!$N1107=0,"",[2]对账明细接口!$N1107),"")</f>
        <v/>
      </c>
      <c r="T1107" s="21" t="str">
        <f>IFERROR(IF([2]对账明细接口!$O1107=0,"",[2]对账明细接口!$O1107),"")</f>
        <v/>
      </c>
      <c r="U1107" s="21" t="str">
        <f>IFERROR(IF([2]对账明细接口!$P1107=0,"",[2]对账明细接口!$P1107),"")</f>
        <v/>
      </c>
      <c r="V1107" s="21" t="str">
        <f>IFERROR(IF([2]对账明细接口!$Q1107=0,"",[2]对账明细接口!$Q1107),"")</f>
        <v/>
      </c>
      <c r="W1107" s="20" t="str">
        <f>IFERROR(IF([2]对账明细接口!$R1107=0,"",[2]对账明细接口!$R1107),"")</f>
        <v/>
      </c>
      <c r="X1107" s="20" t="str">
        <f>IFERROR(IF([2]对账明细接口!$S1107=0,"",[2]对账明细接口!$S1107),"")</f>
        <v/>
      </c>
      <c r="Y1107" s="20" t="str">
        <f t="shared" si="104"/>
        <v/>
      </c>
      <c r="Z1107" s="20" t="str">
        <f t="shared" si="105"/>
        <v/>
      </c>
      <c r="AA1107" s="20" t="str">
        <f t="shared" si="106"/>
        <v/>
      </c>
      <c r="AB1107" s="20" t="str">
        <f t="shared" si="107"/>
        <v/>
      </c>
    </row>
    <row r="1108" customHeight="1" spans="1:28">
      <c r="A1108" s="14">
        <v>1108</v>
      </c>
      <c r="B1108" s="15" t="str">
        <f>IFERROR(IF([2]对账明细接口!$B$1108=0,"",[2]对账明细接口!$B$1108),"")</f>
        <v/>
      </c>
      <c r="C1108" s="16" t="str">
        <f>IFERROR(IF([2]对账明细接口!$C$1108=0,"",[2]对账明细接口!$C$1108),"")</f>
        <v/>
      </c>
      <c r="D1108" s="16" t="str">
        <f>IFERROR(IF([2]对账明细接口!$D$1108=0,"",[2]对账明细接口!$D$1108),"")</f>
        <v/>
      </c>
      <c r="E1108" s="16" t="str">
        <f>IFERROR(IF([2]对账明细接口!$E$1108=0,"",[2]对账明细接口!$E$1108),"")</f>
        <v/>
      </c>
      <c r="F1108" s="16" t="str">
        <f>IFERROR(IF([2]对账明细接口!$F$1108=0,"",[2]对账明细接口!$F$1108),"")</f>
        <v/>
      </c>
      <c r="G1108" s="16" t="str">
        <f>IFERROR(IF([2]对账明细接口!$G$1108=0,"",[2]对账明细接口!$G$1108),"")</f>
        <v/>
      </c>
      <c r="H1108" s="17" t="str">
        <f>IFERROR(IF([2]对账明细接口!$H$1108=0,"",[2]对账明细接口!$H$1108),"")</f>
        <v/>
      </c>
      <c r="I1108" s="16" t="str">
        <f>IFERROR(IF([2]对账明细接口!$I$1108=0,"",[2]对账明细接口!$I$1108),"")</f>
        <v/>
      </c>
      <c r="J1108" s="18" t="str">
        <f>IFERROR(IF([2]对账明细接口!$J$1108=0,"",[2]对账明细接口!$J$1108),"")</f>
        <v/>
      </c>
      <c r="K1108" s="18" t="str">
        <f>IFERROR(IF([2]对账明细接口!$K$1108=0,"",[2]对账明细接口!$K$1108),"")</f>
        <v/>
      </c>
      <c r="L1108" s="16" t="str">
        <f>IFERROR(IF([2]对账明细接口!$L$1108=0,"",[2]对账明细接口!$L$1108),"")</f>
        <v/>
      </c>
      <c r="M1108" s="16" t="str">
        <f>IFERROR(IF([2]对账明细接口!$M$1108=0,"",[2]对账明细接口!$M$1108),"")</f>
        <v/>
      </c>
      <c r="N1108" s="19">
        <f t="shared" si="102"/>
        <v>0</v>
      </c>
      <c r="O1108" s="19">
        <f t="shared" si="103"/>
        <v>165</v>
      </c>
      <c r="S1108" s="20" t="str">
        <f>IFERROR(IF([2]对账明细接口!$N1108=0,"",[2]对账明细接口!$N1108),"")</f>
        <v/>
      </c>
      <c r="T1108" s="21" t="str">
        <f>IFERROR(IF([2]对账明细接口!$O1108=0,"",[2]对账明细接口!$O1108),"")</f>
        <v/>
      </c>
      <c r="U1108" s="21" t="str">
        <f>IFERROR(IF([2]对账明细接口!$P1108=0,"",[2]对账明细接口!$P1108),"")</f>
        <v/>
      </c>
      <c r="V1108" s="21" t="str">
        <f>IFERROR(IF([2]对账明细接口!$Q1108=0,"",[2]对账明细接口!$Q1108),"")</f>
        <v/>
      </c>
      <c r="W1108" s="20" t="str">
        <f>IFERROR(IF([2]对账明细接口!$R1108=0,"",[2]对账明细接口!$R1108),"")</f>
        <v/>
      </c>
      <c r="X1108" s="20" t="str">
        <f>IFERROR(IF([2]对账明细接口!$S1108=0,"",[2]对账明细接口!$S1108),"")</f>
        <v/>
      </c>
      <c r="Y1108" s="20" t="str">
        <f t="shared" si="104"/>
        <v/>
      </c>
      <c r="Z1108" s="20" t="str">
        <f t="shared" si="105"/>
        <v/>
      </c>
      <c r="AA1108" s="20" t="str">
        <f t="shared" si="106"/>
        <v/>
      </c>
      <c r="AB1108" s="20" t="str">
        <f t="shared" si="107"/>
        <v/>
      </c>
    </row>
    <row r="1109" customHeight="1" spans="1:28">
      <c r="A1109" s="14">
        <v>1109</v>
      </c>
      <c r="B1109" s="15" t="str">
        <f>IFERROR(IF([2]对账明细接口!$B$1109=0,"",[2]对账明细接口!$B$1109),"")</f>
        <v/>
      </c>
      <c r="C1109" s="16" t="str">
        <f>IFERROR(IF([2]对账明细接口!$C$1109=0,"",[2]对账明细接口!$C$1109),"")</f>
        <v/>
      </c>
      <c r="D1109" s="16" t="str">
        <f>IFERROR(IF([2]对账明细接口!$D$1109=0,"",[2]对账明细接口!$D$1109),"")</f>
        <v/>
      </c>
      <c r="E1109" s="16" t="str">
        <f>IFERROR(IF([2]对账明细接口!$E$1109=0,"",[2]对账明细接口!$E$1109),"")</f>
        <v/>
      </c>
      <c r="F1109" s="16" t="str">
        <f>IFERROR(IF([2]对账明细接口!$F$1109=0,"",[2]对账明细接口!$F$1109),"")</f>
        <v/>
      </c>
      <c r="G1109" s="16" t="str">
        <f>IFERROR(IF([2]对账明细接口!$G$1109=0,"",[2]对账明细接口!$G$1109),"")</f>
        <v/>
      </c>
      <c r="H1109" s="17" t="str">
        <f>IFERROR(IF([2]对账明细接口!$H$1109=0,"",[2]对账明细接口!$H$1109),"")</f>
        <v/>
      </c>
      <c r="I1109" s="16" t="str">
        <f>IFERROR(IF([2]对账明细接口!$I$1109=0,"",[2]对账明细接口!$I$1109),"")</f>
        <v/>
      </c>
      <c r="J1109" s="18" t="str">
        <f>IFERROR(IF([2]对账明细接口!$J$1109=0,"",[2]对账明细接口!$J$1109),"")</f>
        <v/>
      </c>
      <c r="K1109" s="18" t="str">
        <f>IFERROR(IF([2]对账明细接口!$K$1109=0,"",[2]对账明细接口!$K$1109),"")</f>
        <v/>
      </c>
      <c r="L1109" s="16" t="str">
        <f>IFERROR(IF([2]对账明细接口!$L$1109=0,"",[2]对账明细接口!$L$1109),"")</f>
        <v/>
      </c>
      <c r="M1109" s="16" t="str">
        <f>IFERROR(IF([2]对账明细接口!$M$1109=0,"",[2]对账明细接口!$M$1109),"")</f>
        <v/>
      </c>
      <c r="N1109" s="19">
        <f t="shared" si="102"/>
        <v>0</v>
      </c>
      <c r="O1109" s="19">
        <f t="shared" si="103"/>
        <v>165</v>
      </c>
      <c r="S1109" s="20" t="str">
        <f>IFERROR(IF([2]对账明细接口!$N1109=0,"",[2]对账明细接口!$N1109),"")</f>
        <v/>
      </c>
      <c r="T1109" s="21" t="str">
        <f>IFERROR(IF([2]对账明细接口!$O1109=0,"",[2]对账明细接口!$O1109),"")</f>
        <v/>
      </c>
      <c r="U1109" s="21" t="str">
        <f>IFERROR(IF([2]对账明细接口!$P1109=0,"",[2]对账明细接口!$P1109),"")</f>
        <v/>
      </c>
      <c r="V1109" s="21" t="str">
        <f>IFERROR(IF([2]对账明细接口!$Q1109=0,"",[2]对账明细接口!$Q1109),"")</f>
        <v/>
      </c>
      <c r="W1109" s="20" t="str">
        <f>IFERROR(IF([2]对账明细接口!$R1109=0,"",[2]对账明细接口!$R1109),"")</f>
        <v/>
      </c>
      <c r="X1109" s="20" t="str">
        <f>IFERROR(IF([2]对账明细接口!$S1109=0,"",[2]对账明细接口!$S1109),"")</f>
        <v/>
      </c>
      <c r="Y1109" s="20" t="str">
        <f t="shared" si="104"/>
        <v/>
      </c>
      <c r="Z1109" s="20" t="str">
        <f t="shared" si="105"/>
        <v/>
      </c>
      <c r="AA1109" s="20" t="str">
        <f t="shared" si="106"/>
        <v/>
      </c>
      <c r="AB1109" s="20" t="str">
        <f t="shared" si="107"/>
        <v/>
      </c>
    </row>
    <row r="1110" customHeight="1" spans="1:28">
      <c r="A1110" s="14">
        <v>1110</v>
      </c>
      <c r="B1110" s="15" t="str">
        <f>IFERROR(IF([2]对账明细接口!$B$1110=0,"",[2]对账明细接口!$B$1110),"")</f>
        <v/>
      </c>
      <c r="C1110" s="16" t="str">
        <f>IFERROR(IF([2]对账明细接口!$C$1110=0,"",[2]对账明细接口!$C$1110),"")</f>
        <v/>
      </c>
      <c r="D1110" s="16" t="str">
        <f>IFERROR(IF([2]对账明细接口!$D$1110=0,"",[2]对账明细接口!$D$1110),"")</f>
        <v/>
      </c>
      <c r="E1110" s="16" t="str">
        <f>IFERROR(IF([2]对账明细接口!$E$1110=0,"",[2]对账明细接口!$E$1110),"")</f>
        <v/>
      </c>
      <c r="F1110" s="16" t="str">
        <f>IFERROR(IF([2]对账明细接口!$F$1110=0,"",[2]对账明细接口!$F$1110),"")</f>
        <v/>
      </c>
      <c r="G1110" s="16" t="str">
        <f>IFERROR(IF([2]对账明细接口!$G$1110=0,"",[2]对账明细接口!$G$1110),"")</f>
        <v/>
      </c>
      <c r="H1110" s="17" t="str">
        <f>IFERROR(IF([2]对账明细接口!$H$1110=0,"",[2]对账明细接口!$H$1110),"")</f>
        <v/>
      </c>
      <c r="I1110" s="16" t="str">
        <f>IFERROR(IF([2]对账明细接口!$I$1110=0,"",[2]对账明细接口!$I$1110),"")</f>
        <v/>
      </c>
      <c r="J1110" s="18" t="str">
        <f>IFERROR(IF([2]对账明细接口!$J$1110=0,"",[2]对账明细接口!$J$1110),"")</f>
        <v/>
      </c>
      <c r="K1110" s="18" t="str">
        <f>IFERROR(IF([2]对账明细接口!$K$1110=0,"",[2]对账明细接口!$K$1110),"")</f>
        <v/>
      </c>
      <c r="L1110" s="16" t="str">
        <f>IFERROR(IF([2]对账明细接口!$L$1110=0,"",[2]对账明细接口!$L$1110),"")</f>
        <v/>
      </c>
      <c r="M1110" s="16" t="str">
        <f>IFERROR(IF([2]对账明细接口!$M$1110=0,"",[2]对账明细接口!$M$1110),"")</f>
        <v/>
      </c>
      <c r="N1110" s="19">
        <f t="shared" si="102"/>
        <v>0</v>
      </c>
      <c r="O1110" s="19">
        <f t="shared" si="103"/>
        <v>165</v>
      </c>
      <c r="S1110" s="20" t="str">
        <f>IFERROR(IF([2]对账明细接口!$N1110=0,"",[2]对账明细接口!$N1110),"")</f>
        <v/>
      </c>
      <c r="T1110" s="21" t="str">
        <f>IFERROR(IF([2]对账明细接口!$O1110=0,"",[2]对账明细接口!$O1110),"")</f>
        <v/>
      </c>
      <c r="U1110" s="21" t="str">
        <f>IFERROR(IF([2]对账明细接口!$P1110=0,"",[2]对账明细接口!$P1110),"")</f>
        <v/>
      </c>
      <c r="V1110" s="21" t="str">
        <f>IFERROR(IF([2]对账明细接口!$Q1110=0,"",[2]对账明细接口!$Q1110),"")</f>
        <v/>
      </c>
      <c r="W1110" s="20" t="str">
        <f>IFERROR(IF([2]对账明细接口!$R1110=0,"",[2]对账明细接口!$R1110),"")</f>
        <v/>
      </c>
      <c r="X1110" s="20" t="str">
        <f>IFERROR(IF([2]对账明细接口!$S1110=0,"",[2]对账明细接口!$S1110),"")</f>
        <v/>
      </c>
      <c r="Y1110" s="20" t="str">
        <f t="shared" si="104"/>
        <v/>
      </c>
      <c r="Z1110" s="20" t="str">
        <f t="shared" si="105"/>
        <v/>
      </c>
      <c r="AA1110" s="20" t="str">
        <f t="shared" si="106"/>
        <v/>
      </c>
      <c r="AB1110" s="20" t="str">
        <f t="shared" si="107"/>
        <v/>
      </c>
    </row>
    <row r="1111" customHeight="1" spans="1:28">
      <c r="A1111" s="14">
        <v>1111</v>
      </c>
      <c r="B1111" s="15" t="str">
        <f>IFERROR(IF([2]对账明细接口!$B$1111=0,"",[2]对账明细接口!$B$1111),"")</f>
        <v/>
      </c>
      <c r="C1111" s="16" t="str">
        <f>IFERROR(IF([2]对账明细接口!$C$1111=0,"",[2]对账明细接口!$C$1111),"")</f>
        <v/>
      </c>
      <c r="D1111" s="16" t="str">
        <f>IFERROR(IF([2]对账明细接口!$D$1111=0,"",[2]对账明细接口!$D$1111),"")</f>
        <v/>
      </c>
      <c r="E1111" s="16" t="str">
        <f>IFERROR(IF([2]对账明细接口!$E$1111=0,"",[2]对账明细接口!$E$1111),"")</f>
        <v/>
      </c>
      <c r="F1111" s="16" t="str">
        <f>IFERROR(IF([2]对账明细接口!$F$1111=0,"",[2]对账明细接口!$F$1111),"")</f>
        <v/>
      </c>
      <c r="G1111" s="16" t="str">
        <f>IFERROR(IF([2]对账明细接口!$G$1111=0,"",[2]对账明细接口!$G$1111),"")</f>
        <v/>
      </c>
      <c r="H1111" s="17" t="str">
        <f>IFERROR(IF([2]对账明细接口!$H$1111=0,"",[2]对账明细接口!$H$1111),"")</f>
        <v/>
      </c>
      <c r="I1111" s="16" t="str">
        <f>IFERROR(IF([2]对账明细接口!$I$1111=0,"",[2]对账明细接口!$I$1111),"")</f>
        <v/>
      </c>
      <c r="J1111" s="18" t="str">
        <f>IFERROR(IF([2]对账明细接口!$J$1111=0,"",[2]对账明细接口!$J$1111),"")</f>
        <v/>
      </c>
      <c r="K1111" s="18" t="str">
        <f>IFERROR(IF([2]对账明细接口!$K$1111=0,"",[2]对账明细接口!$K$1111),"")</f>
        <v/>
      </c>
      <c r="L1111" s="16" t="str">
        <f>IFERROR(IF([2]对账明细接口!$L$1111=0,"",[2]对账明细接口!$L$1111),"")</f>
        <v/>
      </c>
      <c r="M1111" s="16" t="str">
        <f>IFERROR(IF([2]对账明细接口!$M$1111=0,"",[2]对账明细接口!$M$1111),"")</f>
        <v/>
      </c>
      <c r="N1111" s="19">
        <f t="shared" si="102"/>
        <v>0</v>
      </c>
      <c r="O1111" s="19">
        <f t="shared" si="103"/>
        <v>165</v>
      </c>
      <c r="S1111" s="20" t="str">
        <f>IFERROR(IF([2]对账明细接口!$N1111=0,"",[2]对账明细接口!$N1111),"")</f>
        <v/>
      </c>
      <c r="T1111" s="21" t="str">
        <f>IFERROR(IF([2]对账明细接口!$O1111=0,"",[2]对账明细接口!$O1111),"")</f>
        <v/>
      </c>
      <c r="U1111" s="21" t="str">
        <f>IFERROR(IF([2]对账明细接口!$P1111=0,"",[2]对账明细接口!$P1111),"")</f>
        <v/>
      </c>
      <c r="V1111" s="21" t="str">
        <f>IFERROR(IF([2]对账明细接口!$Q1111=0,"",[2]对账明细接口!$Q1111),"")</f>
        <v/>
      </c>
      <c r="W1111" s="20" t="str">
        <f>IFERROR(IF([2]对账明细接口!$R1111=0,"",[2]对账明细接口!$R1111),"")</f>
        <v/>
      </c>
      <c r="X1111" s="20" t="str">
        <f>IFERROR(IF([2]对账明细接口!$S1111=0,"",[2]对账明细接口!$S1111),"")</f>
        <v/>
      </c>
      <c r="Y1111" s="20" t="str">
        <f t="shared" si="104"/>
        <v/>
      </c>
      <c r="Z1111" s="20" t="str">
        <f t="shared" si="105"/>
        <v/>
      </c>
      <c r="AA1111" s="20" t="str">
        <f t="shared" si="106"/>
        <v/>
      </c>
      <c r="AB1111" s="20" t="str">
        <f t="shared" si="107"/>
        <v/>
      </c>
    </row>
    <row r="1112" customHeight="1" spans="1:28">
      <c r="A1112" s="14">
        <v>1112</v>
      </c>
      <c r="B1112" s="15" t="str">
        <f>IFERROR(IF([2]对账明细接口!$B$1112=0,"",[2]对账明细接口!$B$1112),"")</f>
        <v/>
      </c>
      <c r="C1112" s="16" t="str">
        <f>IFERROR(IF([2]对账明细接口!$C$1112=0,"",[2]对账明细接口!$C$1112),"")</f>
        <v/>
      </c>
      <c r="D1112" s="16" t="str">
        <f>IFERROR(IF([2]对账明细接口!$D$1112=0,"",[2]对账明细接口!$D$1112),"")</f>
        <v/>
      </c>
      <c r="E1112" s="16" t="str">
        <f>IFERROR(IF([2]对账明细接口!$E$1112=0,"",[2]对账明细接口!$E$1112),"")</f>
        <v/>
      </c>
      <c r="F1112" s="16" t="str">
        <f>IFERROR(IF([2]对账明细接口!$F$1112=0,"",[2]对账明细接口!$F$1112),"")</f>
        <v/>
      </c>
      <c r="G1112" s="16" t="str">
        <f>IFERROR(IF([2]对账明细接口!$G$1112=0,"",[2]对账明细接口!$G$1112),"")</f>
        <v/>
      </c>
      <c r="H1112" s="17" t="str">
        <f>IFERROR(IF([2]对账明细接口!$H$1112=0,"",[2]对账明细接口!$H$1112),"")</f>
        <v/>
      </c>
      <c r="I1112" s="16" t="str">
        <f>IFERROR(IF([2]对账明细接口!$I$1112=0,"",[2]对账明细接口!$I$1112),"")</f>
        <v/>
      </c>
      <c r="J1112" s="18" t="str">
        <f>IFERROR(IF([2]对账明细接口!$J$1112=0,"",[2]对账明细接口!$J$1112),"")</f>
        <v/>
      </c>
      <c r="K1112" s="18" t="str">
        <f>IFERROR(IF([2]对账明细接口!$K$1112=0,"",[2]对账明细接口!$K$1112),"")</f>
        <v/>
      </c>
      <c r="L1112" s="16" t="str">
        <f>IFERROR(IF([2]对账明细接口!$L$1112=0,"",[2]对账明细接口!$L$1112),"")</f>
        <v/>
      </c>
      <c r="M1112" s="16" t="str">
        <f>IFERROR(IF([2]对账明细接口!$M$1112=0,"",[2]对账明细接口!$M$1112),"")</f>
        <v/>
      </c>
      <c r="N1112" s="19">
        <f t="shared" si="102"/>
        <v>0</v>
      </c>
      <c r="O1112" s="19">
        <f t="shared" si="103"/>
        <v>165</v>
      </c>
      <c r="S1112" s="20" t="str">
        <f>IFERROR(IF([2]对账明细接口!$N1112=0,"",[2]对账明细接口!$N1112),"")</f>
        <v/>
      </c>
      <c r="T1112" s="21" t="str">
        <f>IFERROR(IF([2]对账明细接口!$O1112=0,"",[2]对账明细接口!$O1112),"")</f>
        <v/>
      </c>
      <c r="U1112" s="21" t="str">
        <f>IFERROR(IF([2]对账明细接口!$P1112=0,"",[2]对账明细接口!$P1112),"")</f>
        <v/>
      </c>
      <c r="V1112" s="21" t="str">
        <f>IFERROR(IF([2]对账明细接口!$Q1112=0,"",[2]对账明细接口!$Q1112),"")</f>
        <v/>
      </c>
      <c r="W1112" s="20" t="str">
        <f>IFERROR(IF([2]对账明细接口!$R1112=0,"",[2]对账明细接口!$R1112),"")</f>
        <v/>
      </c>
      <c r="X1112" s="20" t="str">
        <f>IFERROR(IF([2]对账明细接口!$S1112=0,"",[2]对账明细接口!$S1112),"")</f>
        <v/>
      </c>
      <c r="Y1112" s="20" t="str">
        <f t="shared" si="104"/>
        <v/>
      </c>
      <c r="Z1112" s="20" t="str">
        <f t="shared" si="105"/>
        <v/>
      </c>
      <c r="AA1112" s="20" t="str">
        <f t="shared" si="106"/>
        <v/>
      </c>
      <c r="AB1112" s="20" t="str">
        <f t="shared" si="107"/>
        <v/>
      </c>
    </row>
    <row r="1113" customHeight="1" spans="1:28">
      <c r="A1113" s="14">
        <v>1113</v>
      </c>
      <c r="B1113" s="15" t="str">
        <f>IFERROR(IF([2]对账明细接口!$B$1113=0,"",[2]对账明细接口!$B$1113),"")</f>
        <v/>
      </c>
      <c r="C1113" s="16" t="str">
        <f>IFERROR(IF([2]对账明细接口!$C$1113=0,"",[2]对账明细接口!$C$1113),"")</f>
        <v/>
      </c>
      <c r="D1113" s="16" t="str">
        <f>IFERROR(IF([2]对账明细接口!$D$1113=0,"",[2]对账明细接口!$D$1113),"")</f>
        <v/>
      </c>
      <c r="E1113" s="16" t="str">
        <f>IFERROR(IF([2]对账明细接口!$E$1113=0,"",[2]对账明细接口!$E$1113),"")</f>
        <v/>
      </c>
      <c r="F1113" s="16" t="str">
        <f>IFERROR(IF([2]对账明细接口!$F$1113=0,"",[2]对账明细接口!$F$1113),"")</f>
        <v/>
      </c>
      <c r="G1113" s="16" t="str">
        <f>IFERROR(IF([2]对账明细接口!$G$1113=0,"",[2]对账明细接口!$G$1113),"")</f>
        <v/>
      </c>
      <c r="H1113" s="17" t="str">
        <f>IFERROR(IF([2]对账明细接口!$H$1113=0,"",[2]对账明细接口!$H$1113),"")</f>
        <v/>
      </c>
      <c r="I1113" s="16" t="str">
        <f>IFERROR(IF([2]对账明细接口!$I$1113=0,"",[2]对账明细接口!$I$1113),"")</f>
        <v/>
      </c>
      <c r="J1113" s="18" t="str">
        <f>IFERROR(IF([2]对账明细接口!$J$1113=0,"",[2]对账明细接口!$J$1113),"")</f>
        <v/>
      </c>
      <c r="K1113" s="18" t="str">
        <f>IFERROR(IF([2]对账明细接口!$K$1113=0,"",[2]对账明细接口!$K$1113),"")</f>
        <v/>
      </c>
      <c r="L1113" s="16" t="str">
        <f>IFERROR(IF([2]对账明细接口!$L$1113=0,"",[2]对账明细接口!$L$1113),"")</f>
        <v/>
      </c>
      <c r="M1113" s="16" t="str">
        <f>IFERROR(IF([2]对账明细接口!$M$1113=0,"",[2]对账明细接口!$M$1113),"")</f>
        <v/>
      </c>
      <c r="N1113" s="19">
        <f t="shared" si="102"/>
        <v>0</v>
      </c>
      <c r="O1113" s="19">
        <f t="shared" si="103"/>
        <v>165</v>
      </c>
      <c r="S1113" s="20" t="str">
        <f>IFERROR(IF([2]对账明细接口!$N1113=0,"",[2]对账明细接口!$N1113),"")</f>
        <v/>
      </c>
      <c r="T1113" s="21" t="str">
        <f>IFERROR(IF([2]对账明细接口!$O1113=0,"",[2]对账明细接口!$O1113),"")</f>
        <v/>
      </c>
      <c r="U1113" s="21" t="str">
        <f>IFERROR(IF([2]对账明细接口!$P1113=0,"",[2]对账明细接口!$P1113),"")</f>
        <v/>
      </c>
      <c r="V1113" s="21" t="str">
        <f>IFERROR(IF([2]对账明细接口!$Q1113=0,"",[2]对账明细接口!$Q1113),"")</f>
        <v/>
      </c>
      <c r="W1113" s="20" t="str">
        <f>IFERROR(IF([2]对账明细接口!$R1113=0,"",[2]对账明细接口!$R1113),"")</f>
        <v/>
      </c>
      <c r="X1113" s="20" t="str">
        <f>IFERROR(IF([2]对账明细接口!$S1113=0,"",[2]对账明细接口!$S1113),"")</f>
        <v/>
      </c>
      <c r="Y1113" s="20" t="str">
        <f t="shared" si="104"/>
        <v/>
      </c>
      <c r="Z1113" s="20" t="str">
        <f t="shared" si="105"/>
        <v/>
      </c>
      <c r="AA1113" s="20" t="str">
        <f t="shared" si="106"/>
        <v/>
      </c>
      <c r="AB1113" s="20" t="str">
        <f t="shared" si="107"/>
        <v/>
      </c>
    </row>
    <row r="1114" customHeight="1" spans="1:28">
      <c r="A1114" s="14">
        <v>1114</v>
      </c>
      <c r="B1114" s="15" t="str">
        <f>IFERROR(IF([2]对账明细接口!$B$1114=0,"",[2]对账明细接口!$B$1114),"")</f>
        <v/>
      </c>
      <c r="C1114" s="16" t="str">
        <f>IFERROR(IF([2]对账明细接口!$C$1114=0,"",[2]对账明细接口!$C$1114),"")</f>
        <v/>
      </c>
      <c r="D1114" s="16" t="str">
        <f>IFERROR(IF([2]对账明细接口!$D$1114=0,"",[2]对账明细接口!$D$1114),"")</f>
        <v/>
      </c>
      <c r="E1114" s="16" t="str">
        <f>IFERROR(IF([2]对账明细接口!$E$1114=0,"",[2]对账明细接口!$E$1114),"")</f>
        <v/>
      </c>
      <c r="F1114" s="16" t="str">
        <f>IFERROR(IF([2]对账明细接口!$F$1114=0,"",[2]对账明细接口!$F$1114),"")</f>
        <v/>
      </c>
      <c r="G1114" s="16" t="str">
        <f>IFERROR(IF([2]对账明细接口!$G$1114=0,"",[2]对账明细接口!$G$1114),"")</f>
        <v/>
      </c>
      <c r="H1114" s="17" t="str">
        <f>IFERROR(IF([2]对账明细接口!$H$1114=0,"",[2]对账明细接口!$H$1114),"")</f>
        <v/>
      </c>
      <c r="I1114" s="16" t="str">
        <f>IFERROR(IF([2]对账明细接口!$I$1114=0,"",[2]对账明细接口!$I$1114),"")</f>
        <v/>
      </c>
      <c r="J1114" s="18" t="str">
        <f>IFERROR(IF([2]对账明细接口!$J$1114=0,"",[2]对账明细接口!$J$1114),"")</f>
        <v/>
      </c>
      <c r="K1114" s="18" t="str">
        <f>IFERROR(IF([2]对账明细接口!$K$1114=0,"",[2]对账明细接口!$K$1114),"")</f>
        <v/>
      </c>
      <c r="L1114" s="16" t="str">
        <f>IFERROR(IF([2]对账明细接口!$L$1114=0,"",[2]对账明细接口!$L$1114),"")</f>
        <v/>
      </c>
      <c r="M1114" s="16" t="str">
        <f>IFERROR(IF([2]对账明细接口!$M$1114=0,"",[2]对账明细接口!$M$1114),"")</f>
        <v/>
      </c>
      <c r="N1114" s="19">
        <f t="shared" si="102"/>
        <v>0</v>
      </c>
      <c r="O1114" s="19">
        <f t="shared" si="103"/>
        <v>165</v>
      </c>
      <c r="S1114" s="20" t="str">
        <f>IFERROR(IF([2]对账明细接口!$N1114=0,"",[2]对账明细接口!$N1114),"")</f>
        <v/>
      </c>
      <c r="T1114" s="21" t="str">
        <f>IFERROR(IF([2]对账明细接口!$O1114=0,"",[2]对账明细接口!$O1114),"")</f>
        <v/>
      </c>
      <c r="U1114" s="21" t="str">
        <f>IFERROR(IF([2]对账明细接口!$P1114=0,"",[2]对账明细接口!$P1114),"")</f>
        <v/>
      </c>
      <c r="V1114" s="21" t="str">
        <f>IFERROR(IF([2]对账明细接口!$Q1114=0,"",[2]对账明细接口!$Q1114),"")</f>
        <v/>
      </c>
      <c r="W1114" s="20" t="str">
        <f>IFERROR(IF([2]对账明细接口!$R1114=0,"",[2]对账明细接口!$R1114),"")</f>
        <v/>
      </c>
      <c r="X1114" s="20" t="str">
        <f>IFERROR(IF([2]对账明细接口!$S1114=0,"",[2]对账明细接口!$S1114),"")</f>
        <v/>
      </c>
      <c r="Y1114" s="20" t="str">
        <f t="shared" si="104"/>
        <v/>
      </c>
      <c r="Z1114" s="20" t="str">
        <f t="shared" si="105"/>
        <v/>
      </c>
      <c r="AA1114" s="20" t="str">
        <f t="shared" si="106"/>
        <v/>
      </c>
      <c r="AB1114" s="20" t="str">
        <f t="shared" si="107"/>
        <v/>
      </c>
    </row>
    <row r="1115" customHeight="1" spans="1:28">
      <c r="A1115" s="14">
        <v>1115</v>
      </c>
      <c r="B1115" s="15" t="str">
        <f>IFERROR(IF([2]对账明细接口!$B$1115=0,"",[2]对账明细接口!$B$1115),"")</f>
        <v/>
      </c>
      <c r="C1115" s="16" t="str">
        <f>IFERROR(IF([2]对账明细接口!$C$1115=0,"",[2]对账明细接口!$C$1115),"")</f>
        <v/>
      </c>
      <c r="D1115" s="16" t="str">
        <f>IFERROR(IF([2]对账明细接口!$D$1115=0,"",[2]对账明细接口!$D$1115),"")</f>
        <v/>
      </c>
      <c r="E1115" s="16" t="str">
        <f>IFERROR(IF([2]对账明细接口!$E$1115=0,"",[2]对账明细接口!$E$1115),"")</f>
        <v/>
      </c>
      <c r="F1115" s="16" t="str">
        <f>IFERROR(IF([2]对账明细接口!$F$1115=0,"",[2]对账明细接口!$F$1115),"")</f>
        <v/>
      </c>
      <c r="G1115" s="16" t="str">
        <f>IFERROR(IF([2]对账明细接口!$G$1115=0,"",[2]对账明细接口!$G$1115),"")</f>
        <v/>
      </c>
      <c r="H1115" s="17" t="str">
        <f>IFERROR(IF([2]对账明细接口!$H$1115=0,"",[2]对账明细接口!$H$1115),"")</f>
        <v/>
      </c>
      <c r="I1115" s="16" t="str">
        <f>IFERROR(IF([2]对账明细接口!$I$1115=0,"",[2]对账明细接口!$I$1115),"")</f>
        <v/>
      </c>
      <c r="J1115" s="18" t="str">
        <f>IFERROR(IF([2]对账明细接口!$J$1115=0,"",[2]对账明细接口!$J$1115),"")</f>
        <v/>
      </c>
      <c r="K1115" s="18" t="str">
        <f>IFERROR(IF([2]对账明细接口!$K$1115=0,"",[2]对账明细接口!$K$1115),"")</f>
        <v/>
      </c>
      <c r="L1115" s="16" t="str">
        <f>IFERROR(IF([2]对账明细接口!$L$1115=0,"",[2]对账明细接口!$L$1115),"")</f>
        <v/>
      </c>
      <c r="M1115" s="16" t="str">
        <f>IFERROR(IF([2]对账明细接口!$M$1115=0,"",[2]对账明细接口!$M$1115),"")</f>
        <v/>
      </c>
      <c r="N1115" s="19">
        <f t="shared" si="102"/>
        <v>0</v>
      </c>
      <c r="O1115" s="19">
        <f t="shared" si="103"/>
        <v>165</v>
      </c>
      <c r="S1115" s="20" t="str">
        <f>IFERROR(IF([2]对账明细接口!$N1115=0,"",[2]对账明细接口!$N1115),"")</f>
        <v/>
      </c>
      <c r="T1115" s="21" t="str">
        <f>IFERROR(IF([2]对账明细接口!$O1115=0,"",[2]对账明细接口!$O1115),"")</f>
        <v/>
      </c>
      <c r="U1115" s="21" t="str">
        <f>IFERROR(IF([2]对账明细接口!$P1115=0,"",[2]对账明细接口!$P1115),"")</f>
        <v/>
      </c>
      <c r="V1115" s="21" t="str">
        <f>IFERROR(IF([2]对账明细接口!$Q1115=0,"",[2]对账明细接口!$Q1115),"")</f>
        <v/>
      </c>
      <c r="W1115" s="20" t="str">
        <f>IFERROR(IF([2]对账明细接口!$R1115=0,"",[2]对账明细接口!$R1115),"")</f>
        <v/>
      </c>
      <c r="X1115" s="20" t="str">
        <f>IFERROR(IF([2]对账明细接口!$S1115=0,"",[2]对账明细接口!$S1115),"")</f>
        <v/>
      </c>
      <c r="Y1115" s="20" t="str">
        <f t="shared" si="104"/>
        <v/>
      </c>
      <c r="Z1115" s="20" t="str">
        <f t="shared" si="105"/>
        <v/>
      </c>
      <c r="AA1115" s="20" t="str">
        <f t="shared" si="106"/>
        <v/>
      </c>
      <c r="AB1115" s="20" t="str">
        <f t="shared" si="107"/>
        <v/>
      </c>
    </row>
    <row r="1116" customHeight="1" spans="1:28">
      <c r="A1116" s="14">
        <v>1116</v>
      </c>
      <c r="B1116" s="15" t="str">
        <f>IFERROR(IF([2]对账明细接口!$B$1116=0,"",[2]对账明细接口!$B$1116),"")</f>
        <v/>
      </c>
      <c r="C1116" s="16" t="str">
        <f>IFERROR(IF([2]对账明细接口!$C$1116=0,"",[2]对账明细接口!$C$1116),"")</f>
        <v/>
      </c>
      <c r="D1116" s="16" t="str">
        <f>IFERROR(IF([2]对账明细接口!$D$1116=0,"",[2]对账明细接口!$D$1116),"")</f>
        <v/>
      </c>
      <c r="E1116" s="16" t="str">
        <f>IFERROR(IF([2]对账明细接口!$E$1116=0,"",[2]对账明细接口!$E$1116),"")</f>
        <v/>
      </c>
      <c r="F1116" s="16" t="str">
        <f>IFERROR(IF([2]对账明细接口!$F$1116=0,"",[2]对账明细接口!$F$1116),"")</f>
        <v/>
      </c>
      <c r="G1116" s="16" t="str">
        <f>IFERROR(IF([2]对账明细接口!$G$1116=0,"",[2]对账明细接口!$G$1116),"")</f>
        <v/>
      </c>
      <c r="H1116" s="17" t="str">
        <f>IFERROR(IF([2]对账明细接口!$H$1116=0,"",[2]对账明细接口!$H$1116),"")</f>
        <v/>
      </c>
      <c r="I1116" s="16" t="str">
        <f>IFERROR(IF([2]对账明细接口!$I$1116=0,"",[2]对账明细接口!$I$1116),"")</f>
        <v/>
      </c>
      <c r="J1116" s="18" t="str">
        <f>IFERROR(IF([2]对账明细接口!$J$1116=0,"",[2]对账明细接口!$J$1116),"")</f>
        <v/>
      </c>
      <c r="K1116" s="18" t="str">
        <f>IFERROR(IF([2]对账明细接口!$K$1116=0,"",[2]对账明细接口!$K$1116),"")</f>
        <v/>
      </c>
      <c r="L1116" s="16" t="str">
        <f>IFERROR(IF([2]对账明细接口!$L$1116=0,"",[2]对账明细接口!$L$1116),"")</f>
        <v/>
      </c>
      <c r="M1116" s="16" t="str">
        <f>IFERROR(IF([2]对账明细接口!$M$1116=0,"",[2]对账明细接口!$M$1116),"")</f>
        <v/>
      </c>
      <c r="N1116" s="19">
        <f t="shared" si="102"/>
        <v>0</v>
      </c>
      <c r="O1116" s="19">
        <f t="shared" si="103"/>
        <v>165</v>
      </c>
      <c r="S1116" s="20" t="str">
        <f>IFERROR(IF([2]对账明细接口!$N1116=0,"",[2]对账明细接口!$N1116),"")</f>
        <v/>
      </c>
      <c r="T1116" s="21" t="str">
        <f>IFERROR(IF([2]对账明细接口!$O1116=0,"",[2]对账明细接口!$O1116),"")</f>
        <v/>
      </c>
      <c r="U1116" s="21" t="str">
        <f>IFERROR(IF([2]对账明细接口!$P1116=0,"",[2]对账明细接口!$P1116),"")</f>
        <v/>
      </c>
      <c r="V1116" s="21" t="str">
        <f>IFERROR(IF([2]对账明细接口!$Q1116=0,"",[2]对账明细接口!$Q1116),"")</f>
        <v/>
      </c>
      <c r="W1116" s="20" t="str">
        <f>IFERROR(IF([2]对账明细接口!$R1116=0,"",[2]对账明细接口!$R1116),"")</f>
        <v/>
      </c>
      <c r="X1116" s="20" t="str">
        <f>IFERROR(IF([2]对账明细接口!$S1116=0,"",[2]对账明细接口!$S1116),"")</f>
        <v/>
      </c>
      <c r="Y1116" s="20" t="str">
        <f t="shared" si="104"/>
        <v/>
      </c>
      <c r="Z1116" s="20" t="str">
        <f t="shared" si="105"/>
        <v/>
      </c>
      <c r="AA1116" s="20" t="str">
        <f t="shared" si="106"/>
        <v/>
      </c>
      <c r="AB1116" s="20" t="str">
        <f t="shared" si="107"/>
        <v/>
      </c>
    </row>
    <row r="1117" customHeight="1" spans="1:28">
      <c r="A1117" s="14">
        <v>1117</v>
      </c>
      <c r="B1117" s="15" t="str">
        <f>IFERROR(IF([2]对账明细接口!$B$1117=0,"",[2]对账明细接口!$B$1117),"")</f>
        <v/>
      </c>
      <c r="C1117" s="16" t="str">
        <f>IFERROR(IF([2]对账明细接口!$C$1117=0,"",[2]对账明细接口!$C$1117),"")</f>
        <v/>
      </c>
      <c r="D1117" s="16" t="str">
        <f>IFERROR(IF([2]对账明细接口!$D$1117=0,"",[2]对账明细接口!$D$1117),"")</f>
        <v/>
      </c>
      <c r="E1117" s="16" t="str">
        <f>IFERROR(IF([2]对账明细接口!$E$1117=0,"",[2]对账明细接口!$E$1117),"")</f>
        <v/>
      </c>
      <c r="F1117" s="16" t="str">
        <f>IFERROR(IF([2]对账明细接口!$F$1117=0,"",[2]对账明细接口!$F$1117),"")</f>
        <v/>
      </c>
      <c r="G1117" s="16" t="str">
        <f>IFERROR(IF([2]对账明细接口!$G$1117=0,"",[2]对账明细接口!$G$1117),"")</f>
        <v/>
      </c>
      <c r="H1117" s="17" t="str">
        <f>IFERROR(IF([2]对账明细接口!$H$1117=0,"",[2]对账明细接口!$H$1117),"")</f>
        <v/>
      </c>
      <c r="I1117" s="16" t="str">
        <f>IFERROR(IF([2]对账明细接口!$I$1117=0,"",[2]对账明细接口!$I$1117),"")</f>
        <v/>
      </c>
      <c r="J1117" s="18" t="str">
        <f>IFERROR(IF([2]对账明细接口!$J$1117=0,"",[2]对账明细接口!$J$1117),"")</f>
        <v/>
      </c>
      <c r="K1117" s="18" t="str">
        <f>IFERROR(IF([2]对账明细接口!$K$1117=0,"",[2]对账明细接口!$K$1117),"")</f>
        <v/>
      </c>
      <c r="L1117" s="16" t="str">
        <f>IFERROR(IF([2]对账明细接口!$L$1117=0,"",[2]对账明细接口!$L$1117),"")</f>
        <v/>
      </c>
      <c r="M1117" s="16" t="str">
        <f>IFERROR(IF([2]对账明细接口!$M$1117=0,"",[2]对账明细接口!$M$1117),"")</f>
        <v/>
      </c>
      <c r="N1117" s="19">
        <f t="shared" si="102"/>
        <v>0</v>
      </c>
      <c r="O1117" s="19">
        <f t="shared" si="103"/>
        <v>165</v>
      </c>
      <c r="S1117" s="20" t="str">
        <f>IFERROR(IF([2]对账明细接口!$N1117=0,"",[2]对账明细接口!$N1117),"")</f>
        <v/>
      </c>
      <c r="T1117" s="21" t="str">
        <f>IFERROR(IF([2]对账明细接口!$O1117=0,"",[2]对账明细接口!$O1117),"")</f>
        <v/>
      </c>
      <c r="U1117" s="21" t="str">
        <f>IFERROR(IF([2]对账明细接口!$P1117=0,"",[2]对账明细接口!$P1117),"")</f>
        <v/>
      </c>
      <c r="V1117" s="21" t="str">
        <f>IFERROR(IF([2]对账明细接口!$Q1117=0,"",[2]对账明细接口!$Q1117),"")</f>
        <v/>
      </c>
      <c r="W1117" s="20" t="str">
        <f>IFERROR(IF([2]对账明细接口!$R1117=0,"",[2]对账明细接口!$R1117),"")</f>
        <v/>
      </c>
      <c r="X1117" s="20" t="str">
        <f>IFERROR(IF([2]对账明细接口!$S1117=0,"",[2]对账明细接口!$S1117),"")</f>
        <v/>
      </c>
      <c r="Y1117" s="20" t="str">
        <f t="shared" si="104"/>
        <v/>
      </c>
      <c r="Z1117" s="20" t="str">
        <f t="shared" si="105"/>
        <v/>
      </c>
      <c r="AA1117" s="20" t="str">
        <f t="shared" si="106"/>
        <v/>
      </c>
      <c r="AB1117" s="20" t="str">
        <f t="shared" si="107"/>
        <v/>
      </c>
    </row>
    <row r="1118" customHeight="1" spans="1:28">
      <c r="A1118" s="14">
        <v>1118</v>
      </c>
      <c r="B1118" s="15" t="str">
        <f>IFERROR(IF([2]对账明细接口!$B$1118=0,"",[2]对账明细接口!$B$1118),"")</f>
        <v/>
      </c>
      <c r="C1118" s="16" t="str">
        <f>IFERROR(IF([2]对账明细接口!$C$1118=0,"",[2]对账明细接口!$C$1118),"")</f>
        <v/>
      </c>
      <c r="D1118" s="16" t="str">
        <f>IFERROR(IF([2]对账明细接口!$D$1118=0,"",[2]对账明细接口!$D$1118),"")</f>
        <v/>
      </c>
      <c r="E1118" s="16" t="str">
        <f>IFERROR(IF([2]对账明细接口!$E$1118=0,"",[2]对账明细接口!$E$1118),"")</f>
        <v/>
      </c>
      <c r="F1118" s="16" t="str">
        <f>IFERROR(IF([2]对账明细接口!$F$1118=0,"",[2]对账明细接口!$F$1118),"")</f>
        <v/>
      </c>
      <c r="G1118" s="16" t="str">
        <f>IFERROR(IF([2]对账明细接口!$G$1118=0,"",[2]对账明细接口!$G$1118),"")</f>
        <v/>
      </c>
      <c r="H1118" s="17" t="str">
        <f>IFERROR(IF([2]对账明细接口!$H$1118=0,"",[2]对账明细接口!$H$1118),"")</f>
        <v/>
      </c>
      <c r="I1118" s="16" t="str">
        <f>IFERROR(IF([2]对账明细接口!$I$1118=0,"",[2]对账明细接口!$I$1118),"")</f>
        <v/>
      </c>
      <c r="J1118" s="18" t="str">
        <f>IFERROR(IF([2]对账明细接口!$J$1118=0,"",[2]对账明细接口!$J$1118),"")</f>
        <v/>
      </c>
      <c r="K1118" s="18" t="str">
        <f>IFERROR(IF([2]对账明细接口!$K$1118=0,"",[2]对账明细接口!$K$1118),"")</f>
        <v/>
      </c>
      <c r="L1118" s="16" t="str">
        <f>IFERROR(IF([2]对账明细接口!$L$1118=0,"",[2]对账明细接口!$L$1118),"")</f>
        <v/>
      </c>
      <c r="M1118" s="16" t="str">
        <f>IFERROR(IF([2]对账明细接口!$M$1118=0,"",[2]对账明细接口!$M$1118),"")</f>
        <v/>
      </c>
      <c r="N1118" s="19">
        <f t="shared" si="102"/>
        <v>0</v>
      </c>
      <c r="O1118" s="19">
        <f t="shared" si="103"/>
        <v>165</v>
      </c>
      <c r="S1118" s="20" t="str">
        <f>IFERROR(IF([2]对账明细接口!$N1118=0,"",[2]对账明细接口!$N1118),"")</f>
        <v/>
      </c>
      <c r="T1118" s="21" t="str">
        <f>IFERROR(IF([2]对账明细接口!$O1118=0,"",[2]对账明细接口!$O1118),"")</f>
        <v/>
      </c>
      <c r="U1118" s="21" t="str">
        <f>IFERROR(IF([2]对账明细接口!$P1118=0,"",[2]对账明细接口!$P1118),"")</f>
        <v/>
      </c>
      <c r="V1118" s="21" t="str">
        <f>IFERROR(IF([2]对账明细接口!$Q1118=0,"",[2]对账明细接口!$Q1118),"")</f>
        <v/>
      </c>
      <c r="W1118" s="20" t="str">
        <f>IFERROR(IF([2]对账明细接口!$R1118=0,"",[2]对账明细接口!$R1118),"")</f>
        <v/>
      </c>
      <c r="X1118" s="20" t="str">
        <f>IFERROR(IF([2]对账明细接口!$S1118=0,"",[2]对账明细接口!$S1118),"")</f>
        <v/>
      </c>
      <c r="Y1118" s="20" t="str">
        <f t="shared" si="104"/>
        <v/>
      </c>
      <c r="Z1118" s="20" t="str">
        <f t="shared" si="105"/>
        <v/>
      </c>
      <c r="AA1118" s="20" t="str">
        <f t="shared" si="106"/>
        <v/>
      </c>
      <c r="AB1118" s="20" t="str">
        <f t="shared" si="107"/>
        <v/>
      </c>
    </row>
    <row r="1119" customHeight="1" spans="1:28">
      <c r="A1119" s="14">
        <v>1119</v>
      </c>
      <c r="B1119" s="15" t="str">
        <f>IFERROR(IF([2]对账明细接口!$B$1119=0,"",[2]对账明细接口!$B$1119),"")</f>
        <v/>
      </c>
      <c r="C1119" s="16" t="str">
        <f>IFERROR(IF([2]对账明细接口!$C$1119=0,"",[2]对账明细接口!$C$1119),"")</f>
        <v/>
      </c>
      <c r="D1119" s="16" t="str">
        <f>IFERROR(IF([2]对账明细接口!$D$1119=0,"",[2]对账明细接口!$D$1119),"")</f>
        <v/>
      </c>
      <c r="E1119" s="16" t="str">
        <f>IFERROR(IF([2]对账明细接口!$E$1119=0,"",[2]对账明细接口!$E$1119),"")</f>
        <v/>
      </c>
      <c r="F1119" s="16" t="str">
        <f>IFERROR(IF([2]对账明细接口!$F$1119=0,"",[2]对账明细接口!$F$1119),"")</f>
        <v/>
      </c>
      <c r="G1119" s="16" t="str">
        <f>IFERROR(IF([2]对账明细接口!$G$1119=0,"",[2]对账明细接口!$G$1119),"")</f>
        <v/>
      </c>
      <c r="H1119" s="17" t="str">
        <f>IFERROR(IF([2]对账明细接口!$H$1119=0,"",[2]对账明细接口!$H$1119),"")</f>
        <v/>
      </c>
      <c r="I1119" s="16" t="str">
        <f>IFERROR(IF([2]对账明细接口!$I$1119=0,"",[2]对账明细接口!$I$1119),"")</f>
        <v/>
      </c>
      <c r="J1119" s="18" t="str">
        <f>IFERROR(IF([2]对账明细接口!$J$1119=0,"",[2]对账明细接口!$J$1119),"")</f>
        <v/>
      </c>
      <c r="K1119" s="18" t="str">
        <f>IFERROR(IF([2]对账明细接口!$K$1119=0,"",[2]对账明细接口!$K$1119),"")</f>
        <v/>
      </c>
      <c r="L1119" s="16" t="str">
        <f>IFERROR(IF([2]对账明细接口!$L$1119=0,"",[2]对账明细接口!$L$1119),"")</f>
        <v/>
      </c>
      <c r="M1119" s="16" t="str">
        <f>IFERROR(IF([2]对账明细接口!$M$1119=0,"",[2]对账明细接口!$M$1119),"")</f>
        <v/>
      </c>
      <c r="N1119" s="19">
        <f t="shared" si="102"/>
        <v>0</v>
      </c>
      <c r="O1119" s="19">
        <f t="shared" si="103"/>
        <v>165</v>
      </c>
      <c r="S1119" s="20" t="str">
        <f>IFERROR(IF([2]对账明细接口!$N1119=0,"",[2]对账明细接口!$N1119),"")</f>
        <v/>
      </c>
      <c r="T1119" s="21" t="str">
        <f>IFERROR(IF([2]对账明细接口!$O1119=0,"",[2]对账明细接口!$O1119),"")</f>
        <v/>
      </c>
      <c r="U1119" s="21" t="str">
        <f>IFERROR(IF([2]对账明细接口!$P1119=0,"",[2]对账明细接口!$P1119),"")</f>
        <v/>
      </c>
      <c r="V1119" s="21" t="str">
        <f>IFERROR(IF([2]对账明细接口!$Q1119=0,"",[2]对账明细接口!$Q1119),"")</f>
        <v/>
      </c>
      <c r="W1119" s="20" t="str">
        <f>IFERROR(IF([2]对账明细接口!$R1119=0,"",[2]对账明细接口!$R1119),"")</f>
        <v/>
      </c>
      <c r="X1119" s="20" t="str">
        <f>IFERROR(IF([2]对账明细接口!$S1119=0,"",[2]对账明细接口!$S1119),"")</f>
        <v/>
      </c>
      <c r="Y1119" s="20" t="str">
        <f t="shared" si="104"/>
        <v/>
      </c>
      <c r="Z1119" s="20" t="str">
        <f t="shared" si="105"/>
        <v/>
      </c>
      <c r="AA1119" s="20" t="str">
        <f t="shared" si="106"/>
        <v/>
      </c>
      <c r="AB1119" s="20" t="str">
        <f t="shared" si="107"/>
        <v/>
      </c>
    </row>
    <row r="1120" customHeight="1" spans="1:28">
      <c r="A1120" s="14">
        <v>1120</v>
      </c>
      <c r="B1120" s="15" t="str">
        <f>IFERROR(IF([2]对账明细接口!$B$1120=0,"",[2]对账明细接口!$B$1120),"")</f>
        <v/>
      </c>
      <c r="C1120" s="16" t="str">
        <f>IFERROR(IF([2]对账明细接口!$C$1120=0,"",[2]对账明细接口!$C$1120),"")</f>
        <v/>
      </c>
      <c r="D1120" s="16" t="str">
        <f>IFERROR(IF([2]对账明细接口!$D$1120=0,"",[2]对账明细接口!$D$1120),"")</f>
        <v/>
      </c>
      <c r="E1120" s="16" t="str">
        <f>IFERROR(IF([2]对账明细接口!$E$1120=0,"",[2]对账明细接口!$E$1120),"")</f>
        <v/>
      </c>
      <c r="F1120" s="16" t="str">
        <f>IFERROR(IF([2]对账明细接口!$F$1120=0,"",[2]对账明细接口!$F$1120),"")</f>
        <v/>
      </c>
      <c r="G1120" s="16" t="str">
        <f>IFERROR(IF([2]对账明细接口!$G$1120=0,"",[2]对账明细接口!$G$1120),"")</f>
        <v/>
      </c>
      <c r="H1120" s="17" t="str">
        <f>IFERROR(IF([2]对账明细接口!$H$1120=0,"",[2]对账明细接口!$H$1120),"")</f>
        <v/>
      </c>
      <c r="I1120" s="16" t="str">
        <f>IFERROR(IF([2]对账明细接口!$I$1120=0,"",[2]对账明细接口!$I$1120),"")</f>
        <v/>
      </c>
      <c r="J1120" s="18" t="str">
        <f>IFERROR(IF([2]对账明细接口!$J$1120=0,"",[2]对账明细接口!$J$1120),"")</f>
        <v/>
      </c>
      <c r="K1120" s="18" t="str">
        <f>IFERROR(IF([2]对账明细接口!$K$1120=0,"",[2]对账明细接口!$K$1120),"")</f>
        <v/>
      </c>
      <c r="L1120" s="16" t="str">
        <f>IFERROR(IF([2]对账明细接口!$L$1120=0,"",[2]对账明细接口!$L$1120),"")</f>
        <v/>
      </c>
      <c r="M1120" s="16" t="str">
        <f>IFERROR(IF([2]对账明细接口!$M$1120=0,"",[2]对账明细接口!$M$1120),"")</f>
        <v/>
      </c>
      <c r="N1120" s="19">
        <f t="shared" si="102"/>
        <v>0</v>
      </c>
      <c r="O1120" s="19">
        <f t="shared" si="103"/>
        <v>165</v>
      </c>
      <c r="S1120" s="20" t="str">
        <f>IFERROR(IF([2]对账明细接口!$N1120=0,"",[2]对账明细接口!$N1120),"")</f>
        <v/>
      </c>
      <c r="T1120" s="21" t="str">
        <f>IFERROR(IF([2]对账明细接口!$O1120=0,"",[2]对账明细接口!$O1120),"")</f>
        <v/>
      </c>
      <c r="U1120" s="21" t="str">
        <f>IFERROR(IF([2]对账明细接口!$P1120=0,"",[2]对账明细接口!$P1120),"")</f>
        <v/>
      </c>
      <c r="V1120" s="21" t="str">
        <f>IFERROR(IF([2]对账明细接口!$Q1120=0,"",[2]对账明细接口!$Q1120),"")</f>
        <v/>
      </c>
      <c r="W1120" s="20" t="str">
        <f>IFERROR(IF([2]对账明细接口!$R1120=0,"",[2]对账明细接口!$R1120),"")</f>
        <v/>
      </c>
      <c r="X1120" s="20" t="str">
        <f>IFERROR(IF([2]对账明细接口!$S1120=0,"",[2]对账明细接口!$S1120),"")</f>
        <v/>
      </c>
      <c r="Y1120" s="20" t="str">
        <f t="shared" si="104"/>
        <v/>
      </c>
      <c r="Z1120" s="20" t="str">
        <f t="shared" si="105"/>
        <v/>
      </c>
      <c r="AA1120" s="20" t="str">
        <f t="shared" si="106"/>
        <v/>
      </c>
      <c r="AB1120" s="20" t="str">
        <f t="shared" si="107"/>
        <v/>
      </c>
    </row>
    <row r="1121" customHeight="1" spans="1:28">
      <c r="A1121" s="14">
        <v>1121</v>
      </c>
      <c r="B1121" s="15" t="str">
        <f>IFERROR(IF([2]对账明细接口!$B$1121=0,"",[2]对账明细接口!$B$1121),"")</f>
        <v/>
      </c>
      <c r="C1121" s="16" t="str">
        <f>IFERROR(IF([2]对账明细接口!$C$1121=0,"",[2]对账明细接口!$C$1121),"")</f>
        <v/>
      </c>
      <c r="D1121" s="16" t="str">
        <f>IFERROR(IF([2]对账明细接口!$D$1121=0,"",[2]对账明细接口!$D$1121),"")</f>
        <v/>
      </c>
      <c r="E1121" s="16" t="str">
        <f>IFERROR(IF([2]对账明细接口!$E$1121=0,"",[2]对账明细接口!$E$1121),"")</f>
        <v/>
      </c>
      <c r="F1121" s="16" t="str">
        <f>IFERROR(IF([2]对账明细接口!$F$1121=0,"",[2]对账明细接口!$F$1121),"")</f>
        <v/>
      </c>
      <c r="G1121" s="16" t="str">
        <f>IFERROR(IF([2]对账明细接口!$G$1121=0,"",[2]对账明细接口!$G$1121),"")</f>
        <v/>
      </c>
      <c r="H1121" s="17" t="str">
        <f>IFERROR(IF([2]对账明细接口!$H$1121=0,"",[2]对账明细接口!$H$1121),"")</f>
        <v/>
      </c>
      <c r="I1121" s="16" t="str">
        <f>IFERROR(IF([2]对账明细接口!$I$1121=0,"",[2]对账明细接口!$I$1121),"")</f>
        <v/>
      </c>
      <c r="J1121" s="18" t="str">
        <f>IFERROR(IF([2]对账明细接口!$J$1121=0,"",[2]对账明细接口!$J$1121),"")</f>
        <v/>
      </c>
      <c r="K1121" s="18" t="str">
        <f>IFERROR(IF([2]对账明细接口!$K$1121=0,"",[2]对账明细接口!$K$1121),"")</f>
        <v/>
      </c>
      <c r="L1121" s="16" t="str">
        <f>IFERROR(IF([2]对账明细接口!$L$1121=0,"",[2]对账明细接口!$L$1121),"")</f>
        <v/>
      </c>
      <c r="M1121" s="16" t="str">
        <f>IFERROR(IF([2]对账明细接口!$M$1121=0,"",[2]对账明细接口!$M$1121),"")</f>
        <v/>
      </c>
      <c r="N1121" s="19">
        <f t="shared" si="102"/>
        <v>0</v>
      </c>
      <c r="O1121" s="19">
        <f t="shared" si="103"/>
        <v>165</v>
      </c>
      <c r="S1121" s="20" t="str">
        <f>IFERROR(IF([2]对账明细接口!$N1121=0,"",[2]对账明细接口!$N1121),"")</f>
        <v/>
      </c>
      <c r="T1121" s="21" t="str">
        <f>IFERROR(IF([2]对账明细接口!$O1121=0,"",[2]对账明细接口!$O1121),"")</f>
        <v/>
      </c>
      <c r="U1121" s="21" t="str">
        <f>IFERROR(IF([2]对账明细接口!$P1121=0,"",[2]对账明细接口!$P1121),"")</f>
        <v/>
      </c>
      <c r="V1121" s="21" t="str">
        <f>IFERROR(IF([2]对账明细接口!$Q1121=0,"",[2]对账明细接口!$Q1121),"")</f>
        <v/>
      </c>
      <c r="W1121" s="20" t="str">
        <f>IFERROR(IF([2]对账明细接口!$R1121=0,"",[2]对账明细接口!$R1121),"")</f>
        <v/>
      </c>
      <c r="X1121" s="20" t="str">
        <f>IFERROR(IF([2]对账明细接口!$S1121=0,"",[2]对账明细接口!$S1121),"")</f>
        <v/>
      </c>
      <c r="Y1121" s="20" t="str">
        <f t="shared" si="104"/>
        <v/>
      </c>
      <c r="Z1121" s="20" t="str">
        <f t="shared" si="105"/>
        <v/>
      </c>
      <c r="AA1121" s="20" t="str">
        <f t="shared" si="106"/>
        <v/>
      </c>
      <c r="AB1121" s="20" t="str">
        <f t="shared" si="107"/>
        <v/>
      </c>
    </row>
    <row r="1122" customHeight="1" spans="1:28">
      <c r="A1122" s="14">
        <v>1122</v>
      </c>
      <c r="B1122" s="15" t="str">
        <f>IFERROR(IF([2]对账明细接口!$B$1122=0,"",[2]对账明细接口!$B$1122),"")</f>
        <v/>
      </c>
      <c r="C1122" s="16" t="str">
        <f>IFERROR(IF([2]对账明细接口!$C$1122=0,"",[2]对账明细接口!$C$1122),"")</f>
        <v/>
      </c>
      <c r="D1122" s="16" t="str">
        <f>IFERROR(IF([2]对账明细接口!$D$1122=0,"",[2]对账明细接口!$D$1122),"")</f>
        <v/>
      </c>
      <c r="E1122" s="16" t="str">
        <f>IFERROR(IF([2]对账明细接口!$E$1122=0,"",[2]对账明细接口!$E$1122),"")</f>
        <v/>
      </c>
      <c r="F1122" s="16" t="str">
        <f>IFERROR(IF([2]对账明细接口!$F$1122=0,"",[2]对账明细接口!$F$1122),"")</f>
        <v/>
      </c>
      <c r="G1122" s="16" t="str">
        <f>IFERROR(IF([2]对账明细接口!$G$1122=0,"",[2]对账明细接口!$G$1122),"")</f>
        <v/>
      </c>
      <c r="H1122" s="17" t="str">
        <f>IFERROR(IF([2]对账明细接口!$H$1122=0,"",[2]对账明细接口!$H$1122),"")</f>
        <v/>
      </c>
      <c r="I1122" s="16" t="str">
        <f>IFERROR(IF([2]对账明细接口!$I$1122=0,"",[2]对账明细接口!$I$1122),"")</f>
        <v/>
      </c>
      <c r="J1122" s="18" t="str">
        <f>IFERROR(IF([2]对账明细接口!$J$1122=0,"",[2]对账明细接口!$J$1122),"")</f>
        <v/>
      </c>
      <c r="K1122" s="18" t="str">
        <f>IFERROR(IF([2]对账明细接口!$K$1122=0,"",[2]对账明细接口!$K$1122),"")</f>
        <v/>
      </c>
      <c r="L1122" s="16" t="str">
        <f>IFERROR(IF([2]对账明细接口!$L$1122=0,"",[2]对账明细接口!$L$1122),"")</f>
        <v/>
      </c>
      <c r="M1122" s="16" t="str">
        <f>IFERROR(IF([2]对账明细接口!$M$1122=0,"",[2]对账明细接口!$M$1122),"")</f>
        <v/>
      </c>
      <c r="N1122" s="19">
        <f t="shared" si="102"/>
        <v>0</v>
      </c>
      <c r="O1122" s="19">
        <f t="shared" si="103"/>
        <v>165</v>
      </c>
      <c r="S1122" s="20" t="str">
        <f>IFERROR(IF([2]对账明细接口!$N1122=0,"",[2]对账明细接口!$N1122),"")</f>
        <v/>
      </c>
      <c r="T1122" s="21" t="str">
        <f>IFERROR(IF([2]对账明细接口!$O1122=0,"",[2]对账明细接口!$O1122),"")</f>
        <v/>
      </c>
      <c r="U1122" s="21" t="str">
        <f>IFERROR(IF([2]对账明细接口!$P1122=0,"",[2]对账明细接口!$P1122),"")</f>
        <v/>
      </c>
      <c r="V1122" s="21" t="str">
        <f>IFERROR(IF([2]对账明细接口!$Q1122=0,"",[2]对账明细接口!$Q1122),"")</f>
        <v/>
      </c>
      <c r="W1122" s="20" t="str">
        <f>IFERROR(IF([2]对账明细接口!$R1122=0,"",[2]对账明细接口!$R1122),"")</f>
        <v/>
      </c>
      <c r="X1122" s="20" t="str">
        <f>IFERROR(IF([2]对账明细接口!$S1122=0,"",[2]对账明细接口!$S1122),"")</f>
        <v/>
      </c>
      <c r="Y1122" s="20" t="str">
        <f t="shared" si="104"/>
        <v/>
      </c>
      <c r="Z1122" s="20" t="str">
        <f t="shared" si="105"/>
        <v/>
      </c>
      <c r="AA1122" s="20" t="str">
        <f t="shared" si="106"/>
        <v/>
      </c>
      <c r="AB1122" s="20" t="str">
        <f t="shared" si="107"/>
        <v/>
      </c>
    </row>
    <row r="1123" customHeight="1" spans="1:28">
      <c r="A1123" s="14">
        <v>1123</v>
      </c>
      <c r="B1123" s="15" t="str">
        <f>IFERROR(IF([2]对账明细接口!$B$1123=0,"",[2]对账明细接口!$B$1123),"")</f>
        <v/>
      </c>
      <c r="C1123" s="16" t="str">
        <f>IFERROR(IF([2]对账明细接口!$C$1123=0,"",[2]对账明细接口!$C$1123),"")</f>
        <v/>
      </c>
      <c r="D1123" s="16" t="str">
        <f>IFERROR(IF([2]对账明细接口!$D$1123=0,"",[2]对账明细接口!$D$1123),"")</f>
        <v/>
      </c>
      <c r="E1123" s="16" t="str">
        <f>IFERROR(IF([2]对账明细接口!$E$1123=0,"",[2]对账明细接口!$E$1123),"")</f>
        <v/>
      </c>
      <c r="F1123" s="16" t="str">
        <f>IFERROR(IF([2]对账明细接口!$F$1123=0,"",[2]对账明细接口!$F$1123),"")</f>
        <v/>
      </c>
      <c r="G1123" s="16" t="str">
        <f>IFERROR(IF([2]对账明细接口!$G$1123=0,"",[2]对账明细接口!$G$1123),"")</f>
        <v/>
      </c>
      <c r="H1123" s="17" t="str">
        <f>IFERROR(IF([2]对账明细接口!$H$1123=0,"",[2]对账明细接口!$H$1123),"")</f>
        <v/>
      </c>
      <c r="I1123" s="16" t="str">
        <f>IFERROR(IF([2]对账明细接口!$I$1123=0,"",[2]对账明细接口!$I$1123),"")</f>
        <v/>
      </c>
      <c r="J1123" s="18" t="str">
        <f>IFERROR(IF([2]对账明细接口!$J$1123=0,"",[2]对账明细接口!$J$1123),"")</f>
        <v/>
      </c>
      <c r="K1123" s="18" t="str">
        <f>IFERROR(IF([2]对账明细接口!$K$1123=0,"",[2]对账明细接口!$K$1123),"")</f>
        <v/>
      </c>
      <c r="L1123" s="16" t="str">
        <f>IFERROR(IF([2]对账明细接口!$L$1123=0,"",[2]对账明细接口!$L$1123),"")</f>
        <v/>
      </c>
      <c r="M1123" s="16" t="str">
        <f>IFERROR(IF([2]对账明细接口!$M$1123=0,"",[2]对账明细接口!$M$1123),"")</f>
        <v/>
      </c>
      <c r="N1123" s="19">
        <f t="shared" si="102"/>
        <v>0</v>
      </c>
      <c r="O1123" s="19">
        <f t="shared" si="103"/>
        <v>165</v>
      </c>
      <c r="S1123" s="20" t="str">
        <f>IFERROR(IF([2]对账明细接口!$N1123=0,"",[2]对账明细接口!$N1123),"")</f>
        <v/>
      </c>
      <c r="T1123" s="21" t="str">
        <f>IFERROR(IF([2]对账明细接口!$O1123=0,"",[2]对账明细接口!$O1123),"")</f>
        <v/>
      </c>
      <c r="U1123" s="21" t="str">
        <f>IFERROR(IF([2]对账明细接口!$P1123=0,"",[2]对账明细接口!$P1123),"")</f>
        <v/>
      </c>
      <c r="V1123" s="21" t="str">
        <f>IFERROR(IF([2]对账明细接口!$Q1123=0,"",[2]对账明细接口!$Q1123),"")</f>
        <v/>
      </c>
      <c r="W1123" s="20" t="str">
        <f>IFERROR(IF([2]对账明细接口!$R1123=0,"",[2]对账明细接口!$R1123),"")</f>
        <v/>
      </c>
      <c r="X1123" s="20" t="str">
        <f>IFERROR(IF([2]对账明细接口!$S1123=0,"",[2]对账明细接口!$S1123),"")</f>
        <v/>
      </c>
      <c r="Y1123" s="20" t="str">
        <f t="shared" si="104"/>
        <v/>
      </c>
      <c r="Z1123" s="20" t="str">
        <f t="shared" si="105"/>
        <v/>
      </c>
      <c r="AA1123" s="20" t="str">
        <f t="shared" si="106"/>
        <v/>
      </c>
      <c r="AB1123" s="20" t="str">
        <f t="shared" si="107"/>
        <v/>
      </c>
    </row>
    <row r="1124" customHeight="1" spans="1:28">
      <c r="A1124" s="14">
        <v>1124</v>
      </c>
      <c r="B1124" s="15" t="str">
        <f>IFERROR(IF([2]对账明细接口!$B$1124=0,"",[2]对账明细接口!$B$1124),"")</f>
        <v/>
      </c>
      <c r="C1124" s="16" t="str">
        <f>IFERROR(IF([2]对账明细接口!$C$1124=0,"",[2]对账明细接口!$C$1124),"")</f>
        <v/>
      </c>
      <c r="D1124" s="16" t="str">
        <f>IFERROR(IF([2]对账明细接口!$D$1124=0,"",[2]对账明细接口!$D$1124),"")</f>
        <v/>
      </c>
      <c r="E1124" s="16" t="str">
        <f>IFERROR(IF([2]对账明细接口!$E$1124=0,"",[2]对账明细接口!$E$1124),"")</f>
        <v/>
      </c>
      <c r="F1124" s="16" t="str">
        <f>IFERROR(IF([2]对账明细接口!$F$1124=0,"",[2]对账明细接口!$F$1124),"")</f>
        <v/>
      </c>
      <c r="G1124" s="16" t="str">
        <f>IFERROR(IF([2]对账明细接口!$G$1124=0,"",[2]对账明细接口!$G$1124),"")</f>
        <v/>
      </c>
      <c r="H1124" s="17" t="str">
        <f>IFERROR(IF([2]对账明细接口!$H$1124=0,"",[2]对账明细接口!$H$1124),"")</f>
        <v/>
      </c>
      <c r="I1124" s="16" t="str">
        <f>IFERROR(IF([2]对账明细接口!$I$1124=0,"",[2]对账明细接口!$I$1124),"")</f>
        <v/>
      </c>
      <c r="J1124" s="18" t="str">
        <f>IFERROR(IF([2]对账明细接口!$J$1124=0,"",[2]对账明细接口!$J$1124),"")</f>
        <v/>
      </c>
      <c r="K1124" s="18" t="str">
        <f>IFERROR(IF([2]对账明细接口!$K$1124=0,"",[2]对账明细接口!$K$1124),"")</f>
        <v/>
      </c>
      <c r="L1124" s="16" t="str">
        <f>IFERROR(IF([2]对账明细接口!$L$1124=0,"",[2]对账明细接口!$L$1124),"")</f>
        <v/>
      </c>
      <c r="M1124" s="16" t="str">
        <f>IFERROR(IF([2]对账明细接口!$M$1124=0,"",[2]对账明细接口!$M$1124),"")</f>
        <v/>
      </c>
      <c r="N1124" s="19">
        <f t="shared" si="102"/>
        <v>0</v>
      </c>
      <c r="O1124" s="19">
        <f t="shared" si="103"/>
        <v>165</v>
      </c>
      <c r="S1124" s="20" t="str">
        <f>IFERROR(IF([2]对账明细接口!$N1124=0,"",[2]对账明细接口!$N1124),"")</f>
        <v/>
      </c>
      <c r="T1124" s="21" t="str">
        <f>IFERROR(IF([2]对账明细接口!$O1124=0,"",[2]对账明细接口!$O1124),"")</f>
        <v/>
      </c>
      <c r="U1124" s="21" t="str">
        <f>IFERROR(IF([2]对账明细接口!$P1124=0,"",[2]对账明细接口!$P1124),"")</f>
        <v/>
      </c>
      <c r="V1124" s="21" t="str">
        <f>IFERROR(IF([2]对账明细接口!$Q1124=0,"",[2]对账明细接口!$Q1124),"")</f>
        <v/>
      </c>
      <c r="W1124" s="20" t="str">
        <f>IFERROR(IF([2]对账明细接口!$R1124=0,"",[2]对账明细接口!$R1124),"")</f>
        <v/>
      </c>
      <c r="X1124" s="20" t="str">
        <f>IFERROR(IF([2]对账明细接口!$S1124=0,"",[2]对账明细接口!$S1124),"")</f>
        <v/>
      </c>
      <c r="Y1124" s="20" t="str">
        <f t="shared" si="104"/>
        <v/>
      </c>
      <c r="Z1124" s="20" t="str">
        <f t="shared" si="105"/>
        <v/>
      </c>
      <c r="AA1124" s="20" t="str">
        <f t="shared" si="106"/>
        <v/>
      </c>
      <c r="AB1124" s="20" t="str">
        <f t="shared" si="107"/>
        <v/>
      </c>
    </row>
    <row r="1125" customHeight="1" spans="1:28">
      <c r="A1125" s="14">
        <v>1125</v>
      </c>
      <c r="B1125" s="15" t="str">
        <f>IFERROR(IF([2]对账明细接口!$B$1125=0,"",[2]对账明细接口!$B$1125),"")</f>
        <v/>
      </c>
      <c r="C1125" s="16" t="str">
        <f>IFERROR(IF([2]对账明细接口!$C$1125=0,"",[2]对账明细接口!$C$1125),"")</f>
        <v/>
      </c>
      <c r="D1125" s="16" t="str">
        <f>IFERROR(IF([2]对账明细接口!$D$1125=0,"",[2]对账明细接口!$D$1125),"")</f>
        <v/>
      </c>
      <c r="E1125" s="16" t="str">
        <f>IFERROR(IF([2]对账明细接口!$E$1125=0,"",[2]对账明细接口!$E$1125),"")</f>
        <v/>
      </c>
      <c r="F1125" s="16" t="str">
        <f>IFERROR(IF([2]对账明细接口!$F$1125=0,"",[2]对账明细接口!$F$1125),"")</f>
        <v/>
      </c>
      <c r="G1125" s="16" t="str">
        <f>IFERROR(IF([2]对账明细接口!$G$1125=0,"",[2]对账明细接口!$G$1125),"")</f>
        <v/>
      </c>
      <c r="H1125" s="17" t="str">
        <f>IFERROR(IF([2]对账明细接口!$H$1125=0,"",[2]对账明细接口!$H$1125),"")</f>
        <v/>
      </c>
      <c r="I1125" s="16" t="str">
        <f>IFERROR(IF([2]对账明细接口!$I$1125=0,"",[2]对账明细接口!$I$1125),"")</f>
        <v/>
      </c>
      <c r="J1125" s="18" t="str">
        <f>IFERROR(IF([2]对账明细接口!$J$1125=0,"",[2]对账明细接口!$J$1125),"")</f>
        <v/>
      </c>
      <c r="K1125" s="18" t="str">
        <f>IFERROR(IF([2]对账明细接口!$K$1125=0,"",[2]对账明细接口!$K$1125),"")</f>
        <v/>
      </c>
      <c r="L1125" s="16" t="str">
        <f>IFERROR(IF([2]对账明细接口!$L$1125=0,"",[2]对账明细接口!$L$1125),"")</f>
        <v/>
      </c>
      <c r="M1125" s="16" t="str">
        <f>IFERROR(IF([2]对账明细接口!$M$1125=0,"",[2]对账明细接口!$M$1125),"")</f>
        <v/>
      </c>
      <c r="N1125" s="19">
        <f t="shared" si="102"/>
        <v>0</v>
      </c>
      <c r="O1125" s="19">
        <f t="shared" si="103"/>
        <v>165</v>
      </c>
      <c r="S1125" s="20" t="str">
        <f>IFERROR(IF([2]对账明细接口!$N1125=0,"",[2]对账明细接口!$N1125),"")</f>
        <v/>
      </c>
      <c r="T1125" s="21" t="str">
        <f>IFERROR(IF([2]对账明细接口!$O1125=0,"",[2]对账明细接口!$O1125),"")</f>
        <v/>
      </c>
      <c r="U1125" s="21" t="str">
        <f>IFERROR(IF([2]对账明细接口!$P1125=0,"",[2]对账明细接口!$P1125),"")</f>
        <v/>
      </c>
      <c r="V1125" s="21" t="str">
        <f>IFERROR(IF([2]对账明细接口!$Q1125=0,"",[2]对账明细接口!$Q1125),"")</f>
        <v/>
      </c>
      <c r="W1125" s="20" t="str">
        <f>IFERROR(IF([2]对账明细接口!$R1125=0,"",[2]对账明细接口!$R1125),"")</f>
        <v/>
      </c>
      <c r="X1125" s="20" t="str">
        <f>IFERROR(IF([2]对账明细接口!$S1125=0,"",[2]对账明细接口!$S1125),"")</f>
        <v/>
      </c>
      <c r="Y1125" s="20" t="str">
        <f t="shared" si="104"/>
        <v/>
      </c>
      <c r="Z1125" s="20" t="str">
        <f t="shared" si="105"/>
        <v/>
      </c>
      <c r="AA1125" s="20" t="str">
        <f t="shared" si="106"/>
        <v/>
      </c>
      <c r="AB1125" s="20" t="str">
        <f t="shared" si="107"/>
        <v/>
      </c>
    </row>
    <row r="1126" customHeight="1" spans="1:28">
      <c r="A1126" s="14">
        <v>1126</v>
      </c>
      <c r="B1126" s="15" t="str">
        <f>IFERROR(IF([2]对账明细接口!$B$1126=0,"",[2]对账明细接口!$B$1126),"")</f>
        <v/>
      </c>
      <c r="C1126" s="16" t="str">
        <f>IFERROR(IF([2]对账明细接口!$C$1126=0,"",[2]对账明细接口!$C$1126),"")</f>
        <v/>
      </c>
      <c r="D1126" s="16" t="str">
        <f>IFERROR(IF([2]对账明细接口!$D$1126=0,"",[2]对账明细接口!$D$1126),"")</f>
        <v/>
      </c>
      <c r="E1126" s="16" t="str">
        <f>IFERROR(IF([2]对账明细接口!$E$1126=0,"",[2]对账明细接口!$E$1126),"")</f>
        <v/>
      </c>
      <c r="F1126" s="16" t="str">
        <f>IFERROR(IF([2]对账明细接口!$F$1126=0,"",[2]对账明细接口!$F$1126),"")</f>
        <v/>
      </c>
      <c r="G1126" s="16" t="str">
        <f>IFERROR(IF([2]对账明细接口!$G$1126=0,"",[2]对账明细接口!$G$1126),"")</f>
        <v/>
      </c>
      <c r="H1126" s="17" t="str">
        <f>IFERROR(IF([2]对账明细接口!$H$1126=0,"",[2]对账明细接口!$H$1126),"")</f>
        <v/>
      </c>
      <c r="I1126" s="16" t="str">
        <f>IFERROR(IF([2]对账明细接口!$I$1126=0,"",[2]对账明细接口!$I$1126),"")</f>
        <v/>
      </c>
      <c r="J1126" s="18" t="str">
        <f>IFERROR(IF([2]对账明细接口!$J$1126=0,"",[2]对账明细接口!$J$1126),"")</f>
        <v/>
      </c>
      <c r="K1126" s="18" t="str">
        <f>IFERROR(IF([2]对账明细接口!$K$1126=0,"",[2]对账明细接口!$K$1126),"")</f>
        <v/>
      </c>
      <c r="L1126" s="16" t="str">
        <f>IFERROR(IF([2]对账明细接口!$L$1126=0,"",[2]对账明细接口!$L$1126),"")</f>
        <v/>
      </c>
      <c r="M1126" s="16" t="str">
        <f>IFERROR(IF([2]对账明细接口!$M$1126=0,"",[2]对账明细接口!$M$1126),"")</f>
        <v/>
      </c>
      <c r="N1126" s="19">
        <f t="shared" si="102"/>
        <v>0</v>
      </c>
      <c r="O1126" s="19">
        <f t="shared" si="103"/>
        <v>165</v>
      </c>
      <c r="S1126" s="20" t="str">
        <f>IFERROR(IF([2]对账明细接口!$N1126=0,"",[2]对账明细接口!$N1126),"")</f>
        <v/>
      </c>
      <c r="T1126" s="21" t="str">
        <f>IFERROR(IF([2]对账明细接口!$O1126=0,"",[2]对账明细接口!$O1126),"")</f>
        <v/>
      </c>
      <c r="U1126" s="21" t="str">
        <f>IFERROR(IF([2]对账明细接口!$P1126=0,"",[2]对账明细接口!$P1126),"")</f>
        <v/>
      </c>
      <c r="V1126" s="21" t="str">
        <f>IFERROR(IF([2]对账明细接口!$Q1126=0,"",[2]对账明细接口!$Q1126),"")</f>
        <v/>
      </c>
      <c r="W1126" s="20" t="str">
        <f>IFERROR(IF([2]对账明细接口!$R1126=0,"",[2]对账明细接口!$R1126),"")</f>
        <v/>
      </c>
      <c r="X1126" s="20" t="str">
        <f>IFERROR(IF([2]对账明细接口!$S1126=0,"",[2]对账明细接口!$S1126),"")</f>
        <v/>
      </c>
      <c r="Y1126" s="20" t="str">
        <f t="shared" si="104"/>
        <v/>
      </c>
      <c r="Z1126" s="20" t="str">
        <f t="shared" si="105"/>
        <v/>
      </c>
      <c r="AA1126" s="20" t="str">
        <f t="shared" si="106"/>
        <v/>
      </c>
      <c r="AB1126" s="20" t="str">
        <f t="shared" si="107"/>
        <v/>
      </c>
    </row>
    <row r="1127" customHeight="1" spans="1:28">
      <c r="A1127" s="14">
        <v>1127</v>
      </c>
      <c r="B1127" s="15" t="str">
        <f>IFERROR(IF([2]对账明细接口!$B$1127=0,"",[2]对账明细接口!$B$1127),"")</f>
        <v/>
      </c>
      <c r="C1127" s="16" t="str">
        <f>IFERROR(IF([2]对账明细接口!$C$1127=0,"",[2]对账明细接口!$C$1127),"")</f>
        <v/>
      </c>
      <c r="D1127" s="16" t="str">
        <f>IFERROR(IF([2]对账明细接口!$D$1127=0,"",[2]对账明细接口!$D$1127),"")</f>
        <v/>
      </c>
      <c r="E1127" s="16" t="str">
        <f>IFERROR(IF([2]对账明细接口!$E$1127=0,"",[2]对账明细接口!$E$1127),"")</f>
        <v/>
      </c>
      <c r="F1127" s="16" t="str">
        <f>IFERROR(IF([2]对账明细接口!$F$1127=0,"",[2]对账明细接口!$F$1127),"")</f>
        <v/>
      </c>
      <c r="G1127" s="16" t="str">
        <f>IFERROR(IF([2]对账明细接口!$G$1127=0,"",[2]对账明细接口!$G$1127),"")</f>
        <v/>
      </c>
      <c r="H1127" s="17" t="str">
        <f>IFERROR(IF([2]对账明细接口!$H$1127=0,"",[2]对账明细接口!$H$1127),"")</f>
        <v/>
      </c>
      <c r="I1127" s="16" t="str">
        <f>IFERROR(IF([2]对账明细接口!$I$1127=0,"",[2]对账明细接口!$I$1127),"")</f>
        <v/>
      </c>
      <c r="J1127" s="18" t="str">
        <f>IFERROR(IF([2]对账明细接口!$J$1127=0,"",[2]对账明细接口!$J$1127),"")</f>
        <v/>
      </c>
      <c r="K1127" s="18" t="str">
        <f>IFERROR(IF([2]对账明细接口!$K$1127=0,"",[2]对账明细接口!$K$1127),"")</f>
        <v/>
      </c>
      <c r="L1127" s="16" t="str">
        <f>IFERROR(IF([2]对账明细接口!$L$1127=0,"",[2]对账明细接口!$L$1127),"")</f>
        <v/>
      </c>
      <c r="M1127" s="16" t="str">
        <f>IFERROR(IF([2]对账明细接口!$M$1127=0,"",[2]对账明细接口!$M$1127),"")</f>
        <v/>
      </c>
      <c r="N1127" s="19">
        <f t="shared" si="102"/>
        <v>0</v>
      </c>
      <c r="O1127" s="19">
        <f t="shared" si="103"/>
        <v>165</v>
      </c>
      <c r="S1127" s="20" t="str">
        <f>IFERROR(IF([2]对账明细接口!$N1127=0,"",[2]对账明细接口!$N1127),"")</f>
        <v/>
      </c>
      <c r="T1127" s="21" t="str">
        <f>IFERROR(IF([2]对账明细接口!$O1127=0,"",[2]对账明细接口!$O1127),"")</f>
        <v/>
      </c>
      <c r="U1127" s="21" t="str">
        <f>IFERROR(IF([2]对账明细接口!$P1127=0,"",[2]对账明细接口!$P1127),"")</f>
        <v/>
      </c>
      <c r="V1127" s="21" t="str">
        <f>IFERROR(IF([2]对账明细接口!$Q1127=0,"",[2]对账明细接口!$Q1127),"")</f>
        <v/>
      </c>
      <c r="W1127" s="20" t="str">
        <f>IFERROR(IF([2]对账明细接口!$R1127=0,"",[2]对账明细接口!$R1127),"")</f>
        <v/>
      </c>
      <c r="X1127" s="20" t="str">
        <f>IFERROR(IF([2]对账明细接口!$S1127=0,"",[2]对账明细接口!$S1127),"")</f>
        <v/>
      </c>
      <c r="Y1127" s="20" t="str">
        <f t="shared" si="104"/>
        <v/>
      </c>
      <c r="Z1127" s="20" t="str">
        <f t="shared" si="105"/>
        <v/>
      </c>
      <c r="AA1127" s="20" t="str">
        <f t="shared" si="106"/>
        <v/>
      </c>
      <c r="AB1127" s="20" t="str">
        <f t="shared" si="107"/>
        <v/>
      </c>
    </row>
    <row r="1128" customHeight="1" spans="1:28">
      <c r="A1128" s="14">
        <v>1128</v>
      </c>
      <c r="B1128" s="15" t="str">
        <f>IFERROR(IF([2]对账明细接口!$B$1128=0,"",[2]对账明细接口!$B$1128),"")</f>
        <v/>
      </c>
      <c r="C1128" s="16" t="str">
        <f>IFERROR(IF([2]对账明细接口!$C$1128=0,"",[2]对账明细接口!$C$1128),"")</f>
        <v/>
      </c>
      <c r="D1128" s="16" t="str">
        <f>IFERROR(IF([2]对账明细接口!$D$1128=0,"",[2]对账明细接口!$D$1128),"")</f>
        <v/>
      </c>
      <c r="E1128" s="16" t="str">
        <f>IFERROR(IF([2]对账明细接口!$E$1128=0,"",[2]对账明细接口!$E$1128),"")</f>
        <v/>
      </c>
      <c r="F1128" s="16" t="str">
        <f>IFERROR(IF([2]对账明细接口!$F$1128=0,"",[2]对账明细接口!$F$1128),"")</f>
        <v/>
      </c>
      <c r="G1128" s="16" t="str">
        <f>IFERROR(IF([2]对账明细接口!$G$1128=0,"",[2]对账明细接口!$G$1128),"")</f>
        <v/>
      </c>
      <c r="H1128" s="17" t="str">
        <f>IFERROR(IF([2]对账明细接口!$H$1128=0,"",[2]对账明细接口!$H$1128),"")</f>
        <v/>
      </c>
      <c r="I1128" s="16" t="str">
        <f>IFERROR(IF([2]对账明细接口!$I$1128=0,"",[2]对账明细接口!$I$1128),"")</f>
        <v/>
      </c>
      <c r="J1128" s="18" t="str">
        <f>IFERROR(IF([2]对账明细接口!$J$1128=0,"",[2]对账明细接口!$J$1128),"")</f>
        <v/>
      </c>
      <c r="K1128" s="18" t="str">
        <f>IFERROR(IF([2]对账明细接口!$K$1128=0,"",[2]对账明细接口!$K$1128),"")</f>
        <v/>
      </c>
      <c r="L1128" s="16" t="str">
        <f>IFERROR(IF([2]对账明细接口!$L$1128=0,"",[2]对账明细接口!$L$1128),"")</f>
        <v/>
      </c>
      <c r="M1128" s="16" t="str">
        <f>IFERROR(IF([2]对账明细接口!$M$1128=0,"",[2]对账明细接口!$M$1128),"")</f>
        <v/>
      </c>
      <c r="N1128" s="19">
        <f t="shared" si="102"/>
        <v>0</v>
      </c>
      <c r="O1128" s="19">
        <f t="shared" si="103"/>
        <v>165</v>
      </c>
      <c r="S1128" s="20" t="str">
        <f>IFERROR(IF([2]对账明细接口!$N1128=0,"",[2]对账明细接口!$N1128),"")</f>
        <v/>
      </c>
      <c r="T1128" s="21" t="str">
        <f>IFERROR(IF([2]对账明细接口!$O1128=0,"",[2]对账明细接口!$O1128),"")</f>
        <v/>
      </c>
      <c r="U1128" s="21" t="str">
        <f>IFERROR(IF([2]对账明细接口!$P1128=0,"",[2]对账明细接口!$P1128),"")</f>
        <v/>
      </c>
      <c r="V1128" s="21" t="str">
        <f>IFERROR(IF([2]对账明细接口!$Q1128=0,"",[2]对账明细接口!$Q1128),"")</f>
        <v/>
      </c>
      <c r="W1128" s="20" t="str">
        <f>IFERROR(IF([2]对账明细接口!$R1128=0,"",[2]对账明细接口!$R1128),"")</f>
        <v/>
      </c>
      <c r="X1128" s="20" t="str">
        <f>IFERROR(IF([2]对账明细接口!$S1128=0,"",[2]对账明细接口!$S1128),"")</f>
        <v/>
      </c>
      <c r="Y1128" s="20" t="str">
        <f t="shared" si="104"/>
        <v/>
      </c>
      <c r="Z1128" s="20" t="str">
        <f t="shared" si="105"/>
        <v/>
      </c>
      <c r="AA1128" s="20" t="str">
        <f t="shared" si="106"/>
        <v/>
      </c>
      <c r="AB1128" s="20" t="str">
        <f t="shared" si="107"/>
        <v/>
      </c>
    </row>
    <row r="1129" customHeight="1" spans="1:28">
      <c r="A1129" s="14">
        <v>1129</v>
      </c>
      <c r="B1129" s="15" t="str">
        <f>IFERROR(IF([2]对账明细接口!$B$1129=0,"",[2]对账明细接口!$B$1129),"")</f>
        <v/>
      </c>
      <c r="C1129" s="16" t="str">
        <f>IFERROR(IF([2]对账明细接口!$C$1129=0,"",[2]对账明细接口!$C$1129),"")</f>
        <v/>
      </c>
      <c r="D1129" s="16" t="str">
        <f>IFERROR(IF([2]对账明细接口!$D$1129=0,"",[2]对账明细接口!$D$1129),"")</f>
        <v/>
      </c>
      <c r="E1129" s="16" t="str">
        <f>IFERROR(IF([2]对账明细接口!$E$1129=0,"",[2]对账明细接口!$E$1129),"")</f>
        <v/>
      </c>
      <c r="F1129" s="16" t="str">
        <f>IFERROR(IF([2]对账明细接口!$F$1129=0,"",[2]对账明细接口!$F$1129),"")</f>
        <v/>
      </c>
      <c r="G1129" s="16" t="str">
        <f>IFERROR(IF([2]对账明细接口!$G$1129=0,"",[2]对账明细接口!$G$1129),"")</f>
        <v/>
      </c>
      <c r="H1129" s="17" t="str">
        <f>IFERROR(IF([2]对账明细接口!$H$1129=0,"",[2]对账明细接口!$H$1129),"")</f>
        <v/>
      </c>
      <c r="I1129" s="16" t="str">
        <f>IFERROR(IF([2]对账明细接口!$I$1129=0,"",[2]对账明细接口!$I$1129),"")</f>
        <v/>
      </c>
      <c r="J1129" s="18" t="str">
        <f>IFERROR(IF([2]对账明细接口!$J$1129=0,"",[2]对账明细接口!$J$1129),"")</f>
        <v/>
      </c>
      <c r="K1129" s="18" t="str">
        <f>IFERROR(IF([2]对账明细接口!$K$1129=0,"",[2]对账明细接口!$K$1129),"")</f>
        <v/>
      </c>
      <c r="L1129" s="16" t="str">
        <f>IFERROR(IF([2]对账明细接口!$L$1129=0,"",[2]对账明细接口!$L$1129),"")</f>
        <v/>
      </c>
      <c r="M1129" s="16" t="str">
        <f>IFERROR(IF([2]对账明细接口!$M$1129=0,"",[2]对账明细接口!$M$1129),"")</f>
        <v/>
      </c>
      <c r="N1129" s="19">
        <f t="shared" si="102"/>
        <v>0</v>
      </c>
      <c r="O1129" s="19">
        <f t="shared" si="103"/>
        <v>165</v>
      </c>
      <c r="S1129" s="20" t="str">
        <f>IFERROR(IF([2]对账明细接口!$N1129=0,"",[2]对账明细接口!$N1129),"")</f>
        <v/>
      </c>
      <c r="T1129" s="21" t="str">
        <f>IFERROR(IF([2]对账明细接口!$O1129=0,"",[2]对账明细接口!$O1129),"")</f>
        <v/>
      </c>
      <c r="U1129" s="21" t="str">
        <f>IFERROR(IF([2]对账明细接口!$P1129=0,"",[2]对账明细接口!$P1129),"")</f>
        <v/>
      </c>
      <c r="V1129" s="21" t="str">
        <f>IFERROR(IF([2]对账明细接口!$Q1129=0,"",[2]对账明细接口!$Q1129),"")</f>
        <v/>
      </c>
      <c r="W1129" s="20" t="str">
        <f>IFERROR(IF([2]对账明细接口!$R1129=0,"",[2]对账明细接口!$R1129),"")</f>
        <v/>
      </c>
      <c r="X1129" s="20" t="str">
        <f>IFERROR(IF([2]对账明细接口!$S1129=0,"",[2]对账明细接口!$S1129),"")</f>
        <v/>
      </c>
      <c r="Y1129" s="20" t="str">
        <f t="shared" si="104"/>
        <v/>
      </c>
      <c r="Z1129" s="20" t="str">
        <f t="shared" si="105"/>
        <v/>
      </c>
      <c r="AA1129" s="20" t="str">
        <f t="shared" si="106"/>
        <v/>
      </c>
      <c r="AB1129" s="20" t="str">
        <f t="shared" si="107"/>
        <v/>
      </c>
    </row>
    <row r="1130" customHeight="1" spans="1:28">
      <c r="A1130" s="14">
        <v>1130</v>
      </c>
      <c r="B1130" s="15" t="str">
        <f>IFERROR(IF([2]对账明细接口!$B$1130=0,"",[2]对账明细接口!$B$1130),"")</f>
        <v/>
      </c>
      <c r="C1130" s="16" t="str">
        <f>IFERROR(IF([2]对账明细接口!$C$1130=0,"",[2]对账明细接口!$C$1130),"")</f>
        <v/>
      </c>
      <c r="D1130" s="16" t="str">
        <f>IFERROR(IF([2]对账明细接口!$D$1130=0,"",[2]对账明细接口!$D$1130),"")</f>
        <v/>
      </c>
      <c r="E1130" s="16" t="str">
        <f>IFERROR(IF([2]对账明细接口!$E$1130=0,"",[2]对账明细接口!$E$1130),"")</f>
        <v/>
      </c>
      <c r="F1130" s="16" t="str">
        <f>IFERROR(IF([2]对账明细接口!$F$1130=0,"",[2]对账明细接口!$F$1130),"")</f>
        <v/>
      </c>
      <c r="G1130" s="16" t="str">
        <f>IFERROR(IF([2]对账明细接口!$G$1130=0,"",[2]对账明细接口!$G$1130),"")</f>
        <v/>
      </c>
      <c r="H1130" s="17" t="str">
        <f>IFERROR(IF([2]对账明细接口!$H$1130=0,"",[2]对账明细接口!$H$1130),"")</f>
        <v/>
      </c>
      <c r="I1130" s="16" t="str">
        <f>IFERROR(IF([2]对账明细接口!$I$1130=0,"",[2]对账明细接口!$I$1130),"")</f>
        <v/>
      </c>
      <c r="J1130" s="18" t="str">
        <f>IFERROR(IF([2]对账明细接口!$J$1130=0,"",[2]对账明细接口!$J$1130),"")</f>
        <v/>
      </c>
      <c r="K1130" s="18" t="str">
        <f>IFERROR(IF([2]对账明细接口!$K$1130=0,"",[2]对账明细接口!$K$1130),"")</f>
        <v/>
      </c>
      <c r="L1130" s="16" t="str">
        <f>IFERROR(IF([2]对账明细接口!$L$1130=0,"",[2]对账明细接口!$L$1130),"")</f>
        <v/>
      </c>
      <c r="M1130" s="16" t="str">
        <f>IFERROR(IF([2]对账明细接口!$M$1130=0,"",[2]对账明细接口!$M$1130),"")</f>
        <v/>
      </c>
      <c r="N1130" s="19">
        <f t="shared" si="102"/>
        <v>0</v>
      </c>
      <c r="O1130" s="19">
        <f t="shared" si="103"/>
        <v>165</v>
      </c>
      <c r="S1130" s="20" t="str">
        <f>IFERROR(IF([2]对账明细接口!$N1130=0,"",[2]对账明细接口!$N1130),"")</f>
        <v/>
      </c>
      <c r="T1130" s="21" t="str">
        <f>IFERROR(IF([2]对账明细接口!$O1130=0,"",[2]对账明细接口!$O1130),"")</f>
        <v/>
      </c>
      <c r="U1130" s="21" t="str">
        <f>IFERROR(IF([2]对账明细接口!$P1130=0,"",[2]对账明细接口!$P1130),"")</f>
        <v/>
      </c>
      <c r="V1130" s="21" t="str">
        <f>IFERROR(IF([2]对账明细接口!$Q1130=0,"",[2]对账明细接口!$Q1130),"")</f>
        <v/>
      </c>
      <c r="W1130" s="20" t="str">
        <f>IFERROR(IF([2]对账明细接口!$R1130=0,"",[2]对账明细接口!$R1130),"")</f>
        <v/>
      </c>
      <c r="X1130" s="20" t="str">
        <f>IFERROR(IF([2]对账明细接口!$S1130=0,"",[2]对账明细接口!$S1130),"")</f>
        <v/>
      </c>
      <c r="Y1130" s="20" t="str">
        <f t="shared" si="104"/>
        <v/>
      </c>
      <c r="Z1130" s="20" t="str">
        <f t="shared" si="105"/>
        <v/>
      </c>
      <c r="AA1130" s="20" t="str">
        <f t="shared" si="106"/>
        <v/>
      </c>
      <c r="AB1130" s="20" t="str">
        <f t="shared" si="107"/>
        <v/>
      </c>
    </row>
    <row r="1131" customHeight="1" spans="1:28">
      <c r="A1131" s="14">
        <v>1131</v>
      </c>
      <c r="B1131" s="15" t="str">
        <f>IFERROR(IF([2]对账明细接口!$B$1131=0,"",[2]对账明细接口!$B$1131),"")</f>
        <v/>
      </c>
      <c r="C1131" s="16" t="str">
        <f>IFERROR(IF([2]对账明细接口!$C$1131=0,"",[2]对账明细接口!$C$1131),"")</f>
        <v/>
      </c>
      <c r="D1131" s="16" t="str">
        <f>IFERROR(IF([2]对账明细接口!$D$1131=0,"",[2]对账明细接口!$D$1131),"")</f>
        <v/>
      </c>
      <c r="E1131" s="16" t="str">
        <f>IFERROR(IF([2]对账明细接口!$E$1131=0,"",[2]对账明细接口!$E$1131),"")</f>
        <v/>
      </c>
      <c r="F1131" s="16" t="str">
        <f>IFERROR(IF([2]对账明细接口!$F$1131=0,"",[2]对账明细接口!$F$1131),"")</f>
        <v/>
      </c>
      <c r="G1131" s="16" t="str">
        <f>IFERROR(IF([2]对账明细接口!$G$1131=0,"",[2]对账明细接口!$G$1131),"")</f>
        <v/>
      </c>
      <c r="H1131" s="17" t="str">
        <f>IFERROR(IF([2]对账明细接口!$H$1131=0,"",[2]对账明细接口!$H$1131),"")</f>
        <v/>
      </c>
      <c r="I1131" s="16" t="str">
        <f>IFERROR(IF([2]对账明细接口!$I$1131=0,"",[2]对账明细接口!$I$1131),"")</f>
        <v/>
      </c>
      <c r="J1131" s="18" t="str">
        <f>IFERROR(IF([2]对账明细接口!$J$1131=0,"",[2]对账明细接口!$J$1131),"")</f>
        <v/>
      </c>
      <c r="K1131" s="18" t="str">
        <f>IFERROR(IF([2]对账明细接口!$K$1131=0,"",[2]对账明细接口!$K$1131),"")</f>
        <v/>
      </c>
      <c r="L1131" s="16" t="str">
        <f>IFERROR(IF([2]对账明细接口!$L$1131=0,"",[2]对账明细接口!$L$1131),"")</f>
        <v/>
      </c>
      <c r="M1131" s="16" t="str">
        <f>IFERROR(IF([2]对账明细接口!$M$1131=0,"",[2]对账明细接口!$M$1131),"")</f>
        <v/>
      </c>
      <c r="N1131" s="19">
        <f t="shared" si="102"/>
        <v>0</v>
      </c>
      <c r="O1131" s="19">
        <f t="shared" si="103"/>
        <v>165</v>
      </c>
      <c r="S1131" s="20" t="str">
        <f>IFERROR(IF([2]对账明细接口!$N1131=0,"",[2]对账明细接口!$N1131),"")</f>
        <v/>
      </c>
      <c r="T1131" s="21" t="str">
        <f>IFERROR(IF([2]对账明细接口!$O1131=0,"",[2]对账明细接口!$O1131),"")</f>
        <v/>
      </c>
      <c r="U1131" s="21" t="str">
        <f>IFERROR(IF([2]对账明细接口!$P1131=0,"",[2]对账明细接口!$P1131),"")</f>
        <v/>
      </c>
      <c r="V1131" s="21" t="str">
        <f>IFERROR(IF([2]对账明细接口!$Q1131=0,"",[2]对账明细接口!$Q1131),"")</f>
        <v/>
      </c>
      <c r="W1131" s="20" t="str">
        <f>IFERROR(IF([2]对账明细接口!$R1131=0,"",[2]对账明细接口!$R1131),"")</f>
        <v/>
      </c>
      <c r="X1131" s="20" t="str">
        <f>IFERROR(IF([2]对账明细接口!$S1131=0,"",[2]对账明细接口!$S1131),"")</f>
        <v/>
      </c>
      <c r="Y1131" s="20" t="str">
        <f t="shared" si="104"/>
        <v/>
      </c>
      <c r="Z1131" s="20" t="str">
        <f t="shared" si="105"/>
        <v/>
      </c>
      <c r="AA1131" s="20" t="str">
        <f t="shared" si="106"/>
        <v/>
      </c>
      <c r="AB1131" s="20" t="str">
        <f t="shared" si="107"/>
        <v/>
      </c>
    </row>
    <row r="1132" customHeight="1" spans="1:28">
      <c r="A1132" s="14">
        <v>1132</v>
      </c>
      <c r="B1132" s="15" t="str">
        <f>IFERROR(IF([2]对账明细接口!$B$1132=0,"",[2]对账明细接口!$B$1132),"")</f>
        <v/>
      </c>
      <c r="C1132" s="16" t="str">
        <f>IFERROR(IF([2]对账明细接口!$C$1132=0,"",[2]对账明细接口!$C$1132),"")</f>
        <v/>
      </c>
      <c r="D1132" s="16" t="str">
        <f>IFERROR(IF([2]对账明细接口!$D$1132=0,"",[2]对账明细接口!$D$1132),"")</f>
        <v/>
      </c>
      <c r="E1132" s="16" t="str">
        <f>IFERROR(IF([2]对账明细接口!$E$1132=0,"",[2]对账明细接口!$E$1132),"")</f>
        <v/>
      </c>
      <c r="F1132" s="16" t="str">
        <f>IFERROR(IF([2]对账明细接口!$F$1132=0,"",[2]对账明细接口!$F$1132),"")</f>
        <v/>
      </c>
      <c r="G1132" s="16" t="str">
        <f>IFERROR(IF([2]对账明细接口!$G$1132=0,"",[2]对账明细接口!$G$1132),"")</f>
        <v/>
      </c>
      <c r="H1132" s="17" t="str">
        <f>IFERROR(IF([2]对账明细接口!$H$1132=0,"",[2]对账明细接口!$H$1132),"")</f>
        <v/>
      </c>
      <c r="I1132" s="16" t="str">
        <f>IFERROR(IF([2]对账明细接口!$I$1132=0,"",[2]对账明细接口!$I$1132),"")</f>
        <v/>
      </c>
      <c r="J1132" s="18" t="str">
        <f>IFERROR(IF([2]对账明细接口!$J$1132=0,"",[2]对账明细接口!$J$1132),"")</f>
        <v/>
      </c>
      <c r="K1132" s="18" t="str">
        <f>IFERROR(IF([2]对账明细接口!$K$1132=0,"",[2]对账明细接口!$K$1132),"")</f>
        <v/>
      </c>
      <c r="L1132" s="16" t="str">
        <f>IFERROR(IF([2]对账明细接口!$L$1132=0,"",[2]对账明细接口!$L$1132),"")</f>
        <v/>
      </c>
      <c r="M1132" s="16" t="str">
        <f>IFERROR(IF([2]对账明细接口!$M$1132=0,"",[2]对账明细接口!$M$1132),"")</f>
        <v/>
      </c>
      <c r="N1132" s="19">
        <f t="shared" si="102"/>
        <v>0</v>
      </c>
      <c r="O1132" s="19">
        <f t="shared" si="103"/>
        <v>165</v>
      </c>
      <c r="S1132" s="20" t="str">
        <f>IFERROR(IF([2]对账明细接口!$N1132=0,"",[2]对账明细接口!$N1132),"")</f>
        <v/>
      </c>
      <c r="T1132" s="21" t="str">
        <f>IFERROR(IF([2]对账明细接口!$O1132=0,"",[2]对账明细接口!$O1132),"")</f>
        <v/>
      </c>
      <c r="U1132" s="21" t="str">
        <f>IFERROR(IF([2]对账明细接口!$P1132=0,"",[2]对账明细接口!$P1132),"")</f>
        <v/>
      </c>
      <c r="V1132" s="21" t="str">
        <f>IFERROR(IF([2]对账明细接口!$Q1132=0,"",[2]对账明细接口!$Q1132),"")</f>
        <v/>
      </c>
      <c r="W1132" s="20" t="str">
        <f>IFERROR(IF([2]对账明细接口!$R1132=0,"",[2]对账明细接口!$R1132),"")</f>
        <v/>
      </c>
      <c r="X1132" s="20" t="str">
        <f>IFERROR(IF([2]对账明细接口!$S1132=0,"",[2]对账明细接口!$S1132),"")</f>
        <v/>
      </c>
      <c r="Y1132" s="20" t="str">
        <f t="shared" si="104"/>
        <v/>
      </c>
      <c r="Z1132" s="20" t="str">
        <f t="shared" si="105"/>
        <v/>
      </c>
      <c r="AA1132" s="20" t="str">
        <f t="shared" si="106"/>
        <v/>
      </c>
      <c r="AB1132" s="20" t="str">
        <f t="shared" si="107"/>
        <v/>
      </c>
    </row>
    <row r="1133" customHeight="1" spans="1:28">
      <c r="A1133" s="14">
        <v>1133</v>
      </c>
      <c r="B1133" s="15" t="str">
        <f>IFERROR(IF([2]对账明细接口!$B$1133=0,"",[2]对账明细接口!$B$1133),"")</f>
        <v/>
      </c>
      <c r="C1133" s="16" t="str">
        <f>IFERROR(IF([2]对账明细接口!$C$1133=0,"",[2]对账明细接口!$C$1133),"")</f>
        <v/>
      </c>
      <c r="D1133" s="16" t="str">
        <f>IFERROR(IF([2]对账明细接口!$D$1133=0,"",[2]对账明细接口!$D$1133),"")</f>
        <v/>
      </c>
      <c r="E1133" s="16" t="str">
        <f>IFERROR(IF([2]对账明细接口!$E$1133=0,"",[2]对账明细接口!$E$1133),"")</f>
        <v/>
      </c>
      <c r="F1133" s="16" t="str">
        <f>IFERROR(IF([2]对账明细接口!$F$1133=0,"",[2]对账明细接口!$F$1133),"")</f>
        <v/>
      </c>
      <c r="G1133" s="16" t="str">
        <f>IFERROR(IF([2]对账明细接口!$G$1133=0,"",[2]对账明细接口!$G$1133),"")</f>
        <v/>
      </c>
      <c r="H1133" s="17" t="str">
        <f>IFERROR(IF([2]对账明细接口!$H$1133=0,"",[2]对账明细接口!$H$1133),"")</f>
        <v/>
      </c>
      <c r="I1133" s="16" t="str">
        <f>IFERROR(IF([2]对账明细接口!$I$1133=0,"",[2]对账明细接口!$I$1133),"")</f>
        <v/>
      </c>
      <c r="J1133" s="18" t="str">
        <f>IFERROR(IF([2]对账明细接口!$J$1133=0,"",[2]对账明细接口!$J$1133),"")</f>
        <v/>
      </c>
      <c r="K1133" s="18" t="str">
        <f>IFERROR(IF([2]对账明细接口!$K$1133=0,"",[2]对账明细接口!$K$1133),"")</f>
        <v/>
      </c>
      <c r="L1133" s="16" t="str">
        <f>IFERROR(IF([2]对账明细接口!$L$1133=0,"",[2]对账明细接口!$L$1133),"")</f>
        <v/>
      </c>
      <c r="M1133" s="16" t="str">
        <f>IFERROR(IF([2]对账明细接口!$M$1133=0,"",[2]对账明细接口!$M$1133),"")</f>
        <v/>
      </c>
      <c r="N1133" s="19">
        <f t="shared" si="102"/>
        <v>0</v>
      </c>
      <c r="O1133" s="19">
        <f t="shared" si="103"/>
        <v>165</v>
      </c>
      <c r="S1133" s="20" t="str">
        <f>IFERROR(IF([2]对账明细接口!$N1133=0,"",[2]对账明细接口!$N1133),"")</f>
        <v/>
      </c>
      <c r="T1133" s="21" t="str">
        <f>IFERROR(IF([2]对账明细接口!$O1133=0,"",[2]对账明细接口!$O1133),"")</f>
        <v/>
      </c>
      <c r="U1133" s="21" t="str">
        <f>IFERROR(IF([2]对账明细接口!$P1133=0,"",[2]对账明细接口!$P1133),"")</f>
        <v/>
      </c>
      <c r="V1133" s="21" t="str">
        <f>IFERROR(IF([2]对账明细接口!$Q1133=0,"",[2]对账明细接口!$Q1133),"")</f>
        <v/>
      </c>
      <c r="W1133" s="20" t="str">
        <f>IFERROR(IF([2]对账明细接口!$R1133=0,"",[2]对账明细接口!$R1133),"")</f>
        <v/>
      </c>
      <c r="X1133" s="20" t="str">
        <f>IFERROR(IF([2]对账明细接口!$S1133=0,"",[2]对账明细接口!$S1133),"")</f>
        <v/>
      </c>
      <c r="Y1133" s="20" t="str">
        <f t="shared" si="104"/>
        <v/>
      </c>
      <c r="Z1133" s="20" t="str">
        <f t="shared" si="105"/>
        <v/>
      </c>
      <c r="AA1133" s="20" t="str">
        <f t="shared" si="106"/>
        <v/>
      </c>
      <c r="AB1133" s="20" t="str">
        <f t="shared" si="107"/>
        <v/>
      </c>
    </row>
    <row r="1134" customHeight="1" spans="1:28">
      <c r="A1134" s="14">
        <v>1134</v>
      </c>
      <c r="B1134" s="15" t="str">
        <f>IFERROR(IF([2]对账明细接口!$B$1134=0,"",[2]对账明细接口!$B$1134),"")</f>
        <v/>
      </c>
      <c r="C1134" s="16" t="str">
        <f>IFERROR(IF([2]对账明细接口!$C$1134=0,"",[2]对账明细接口!$C$1134),"")</f>
        <v/>
      </c>
      <c r="D1134" s="16" t="str">
        <f>IFERROR(IF([2]对账明细接口!$D$1134=0,"",[2]对账明细接口!$D$1134),"")</f>
        <v/>
      </c>
      <c r="E1134" s="16" t="str">
        <f>IFERROR(IF([2]对账明细接口!$E$1134=0,"",[2]对账明细接口!$E$1134),"")</f>
        <v/>
      </c>
      <c r="F1134" s="16" t="str">
        <f>IFERROR(IF([2]对账明细接口!$F$1134=0,"",[2]对账明细接口!$F$1134),"")</f>
        <v/>
      </c>
      <c r="G1134" s="16" t="str">
        <f>IFERROR(IF([2]对账明细接口!$G$1134=0,"",[2]对账明细接口!$G$1134),"")</f>
        <v/>
      </c>
      <c r="H1134" s="17" t="str">
        <f>IFERROR(IF([2]对账明细接口!$H$1134=0,"",[2]对账明细接口!$H$1134),"")</f>
        <v/>
      </c>
      <c r="I1134" s="16" t="str">
        <f>IFERROR(IF([2]对账明细接口!$I$1134=0,"",[2]对账明细接口!$I$1134),"")</f>
        <v/>
      </c>
      <c r="J1134" s="18" t="str">
        <f>IFERROR(IF([2]对账明细接口!$J$1134=0,"",[2]对账明细接口!$J$1134),"")</f>
        <v/>
      </c>
      <c r="K1134" s="18" t="str">
        <f>IFERROR(IF([2]对账明细接口!$K$1134=0,"",[2]对账明细接口!$K$1134),"")</f>
        <v/>
      </c>
      <c r="L1134" s="16" t="str">
        <f>IFERROR(IF([2]对账明细接口!$L$1134=0,"",[2]对账明细接口!$L$1134),"")</f>
        <v/>
      </c>
      <c r="M1134" s="16" t="str">
        <f>IFERROR(IF([2]对账明细接口!$M$1134=0,"",[2]对账明细接口!$M$1134),"")</f>
        <v/>
      </c>
      <c r="N1134" s="19">
        <f t="shared" si="102"/>
        <v>0</v>
      </c>
      <c r="O1134" s="19">
        <f t="shared" si="103"/>
        <v>165</v>
      </c>
      <c r="S1134" s="20" t="str">
        <f>IFERROR(IF([2]对账明细接口!$N1134=0,"",[2]对账明细接口!$N1134),"")</f>
        <v/>
      </c>
      <c r="T1134" s="21" t="str">
        <f>IFERROR(IF([2]对账明细接口!$O1134=0,"",[2]对账明细接口!$O1134),"")</f>
        <v/>
      </c>
      <c r="U1134" s="21" t="str">
        <f>IFERROR(IF([2]对账明细接口!$P1134=0,"",[2]对账明细接口!$P1134),"")</f>
        <v/>
      </c>
      <c r="V1134" s="21" t="str">
        <f>IFERROR(IF([2]对账明细接口!$Q1134=0,"",[2]对账明细接口!$Q1134),"")</f>
        <v/>
      </c>
      <c r="W1134" s="20" t="str">
        <f>IFERROR(IF([2]对账明细接口!$R1134=0,"",[2]对账明细接口!$R1134),"")</f>
        <v/>
      </c>
      <c r="X1134" s="20" t="str">
        <f>IFERROR(IF([2]对账明细接口!$S1134=0,"",[2]对账明细接口!$S1134),"")</f>
        <v/>
      </c>
      <c r="Y1134" s="20" t="str">
        <f t="shared" si="104"/>
        <v/>
      </c>
      <c r="Z1134" s="20" t="str">
        <f t="shared" si="105"/>
        <v/>
      </c>
      <c r="AA1134" s="20" t="str">
        <f t="shared" si="106"/>
        <v/>
      </c>
      <c r="AB1134" s="20" t="str">
        <f t="shared" si="107"/>
        <v/>
      </c>
    </row>
    <row r="1135" customHeight="1" spans="1:28">
      <c r="A1135" s="14">
        <v>1135</v>
      </c>
      <c r="B1135" s="15" t="str">
        <f>IFERROR(IF([2]对账明细接口!$B$1135=0,"",[2]对账明细接口!$B$1135),"")</f>
        <v/>
      </c>
      <c r="C1135" s="16" t="str">
        <f>IFERROR(IF([2]对账明细接口!$C$1135=0,"",[2]对账明细接口!$C$1135),"")</f>
        <v/>
      </c>
      <c r="D1135" s="16" t="str">
        <f>IFERROR(IF([2]对账明细接口!$D$1135=0,"",[2]对账明细接口!$D$1135),"")</f>
        <v/>
      </c>
      <c r="E1135" s="16" t="str">
        <f>IFERROR(IF([2]对账明细接口!$E$1135=0,"",[2]对账明细接口!$E$1135),"")</f>
        <v/>
      </c>
      <c r="F1135" s="16" t="str">
        <f>IFERROR(IF([2]对账明细接口!$F$1135=0,"",[2]对账明细接口!$F$1135),"")</f>
        <v/>
      </c>
      <c r="G1135" s="16" t="str">
        <f>IFERROR(IF([2]对账明细接口!$G$1135=0,"",[2]对账明细接口!$G$1135),"")</f>
        <v/>
      </c>
      <c r="H1135" s="17" t="str">
        <f>IFERROR(IF([2]对账明细接口!$H$1135=0,"",[2]对账明细接口!$H$1135),"")</f>
        <v/>
      </c>
      <c r="I1135" s="16" t="str">
        <f>IFERROR(IF([2]对账明细接口!$I$1135=0,"",[2]对账明细接口!$I$1135),"")</f>
        <v/>
      </c>
      <c r="J1135" s="18" t="str">
        <f>IFERROR(IF([2]对账明细接口!$J$1135=0,"",[2]对账明细接口!$J$1135),"")</f>
        <v/>
      </c>
      <c r="K1135" s="18" t="str">
        <f>IFERROR(IF([2]对账明细接口!$K$1135=0,"",[2]对账明细接口!$K$1135),"")</f>
        <v/>
      </c>
      <c r="L1135" s="16" t="str">
        <f>IFERROR(IF([2]对账明细接口!$L$1135=0,"",[2]对账明细接口!$L$1135),"")</f>
        <v/>
      </c>
      <c r="M1135" s="16" t="str">
        <f>IFERROR(IF([2]对账明细接口!$M$1135=0,"",[2]对账明细接口!$M$1135),"")</f>
        <v/>
      </c>
      <c r="N1135" s="19">
        <f t="shared" si="102"/>
        <v>0</v>
      </c>
      <c r="O1135" s="19">
        <f t="shared" si="103"/>
        <v>165</v>
      </c>
      <c r="S1135" s="20" t="str">
        <f>IFERROR(IF([2]对账明细接口!$N1135=0,"",[2]对账明细接口!$N1135),"")</f>
        <v/>
      </c>
      <c r="T1135" s="21" t="str">
        <f>IFERROR(IF([2]对账明细接口!$O1135=0,"",[2]对账明细接口!$O1135),"")</f>
        <v/>
      </c>
      <c r="U1135" s="21" t="str">
        <f>IFERROR(IF([2]对账明细接口!$P1135=0,"",[2]对账明细接口!$P1135),"")</f>
        <v/>
      </c>
      <c r="V1135" s="21" t="str">
        <f>IFERROR(IF([2]对账明细接口!$Q1135=0,"",[2]对账明细接口!$Q1135),"")</f>
        <v/>
      </c>
      <c r="W1135" s="20" t="str">
        <f>IFERROR(IF([2]对账明细接口!$R1135=0,"",[2]对账明细接口!$R1135),"")</f>
        <v/>
      </c>
      <c r="X1135" s="20" t="str">
        <f>IFERROR(IF([2]对账明细接口!$S1135=0,"",[2]对账明细接口!$S1135),"")</f>
        <v/>
      </c>
      <c r="Y1135" s="20" t="str">
        <f t="shared" si="104"/>
        <v/>
      </c>
      <c r="Z1135" s="20" t="str">
        <f t="shared" si="105"/>
        <v/>
      </c>
      <c r="AA1135" s="20" t="str">
        <f t="shared" si="106"/>
        <v/>
      </c>
      <c r="AB1135" s="20" t="str">
        <f t="shared" si="107"/>
        <v/>
      </c>
    </row>
    <row r="1136" customHeight="1" spans="1:28">
      <c r="A1136" s="14">
        <v>1136</v>
      </c>
      <c r="B1136" s="15" t="str">
        <f>IFERROR(IF([2]对账明细接口!$B$1136=0,"",[2]对账明细接口!$B$1136),"")</f>
        <v/>
      </c>
      <c r="C1136" s="16" t="str">
        <f>IFERROR(IF([2]对账明细接口!$C$1136=0,"",[2]对账明细接口!$C$1136),"")</f>
        <v/>
      </c>
      <c r="D1136" s="16" t="str">
        <f>IFERROR(IF([2]对账明细接口!$D$1136=0,"",[2]对账明细接口!$D$1136),"")</f>
        <v/>
      </c>
      <c r="E1136" s="16" t="str">
        <f>IFERROR(IF([2]对账明细接口!$E$1136=0,"",[2]对账明细接口!$E$1136),"")</f>
        <v/>
      </c>
      <c r="F1136" s="16" t="str">
        <f>IFERROR(IF([2]对账明细接口!$F$1136=0,"",[2]对账明细接口!$F$1136),"")</f>
        <v/>
      </c>
      <c r="G1136" s="16" t="str">
        <f>IFERROR(IF([2]对账明细接口!$G$1136=0,"",[2]对账明细接口!$G$1136),"")</f>
        <v/>
      </c>
      <c r="H1136" s="17" t="str">
        <f>IFERROR(IF([2]对账明细接口!$H$1136=0,"",[2]对账明细接口!$H$1136),"")</f>
        <v/>
      </c>
      <c r="I1136" s="16" t="str">
        <f>IFERROR(IF([2]对账明细接口!$I$1136=0,"",[2]对账明细接口!$I$1136),"")</f>
        <v/>
      </c>
      <c r="J1136" s="18" t="str">
        <f>IFERROR(IF([2]对账明细接口!$J$1136=0,"",[2]对账明细接口!$J$1136),"")</f>
        <v/>
      </c>
      <c r="K1136" s="18" t="str">
        <f>IFERROR(IF([2]对账明细接口!$K$1136=0,"",[2]对账明细接口!$K$1136),"")</f>
        <v/>
      </c>
      <c r="L1136" s="16" t="str">
        <f>IFERROR(IF([2]对账明细接口!$L$1136=0,"",[2]对账明细接口!$L$1136),"")</f>
        <v/>
      </c>
      <c r="M1136" s="16" t="str">
        <f>IFERROR(IF([2]对账明细接口!$M$1136=0,"",[2]对账明细接口!$M$1136),"")</f>
        <v/>
      </c>
      <c r="N1136" s="19">
        <f t="shared" si="102"/>
        <v>0</v>
      </c>
      <c r="O1136" s="19">
        <f t="shared" si="103"/>
        <v>165</v>
      </c>
      <c r="S1136" s="20" t="str">
        <f>IFERROR(IF([2]对账明细接口!$N1136=0,"",[2]对账明细接口!$N1136),"")</f>
        <v/>
      </c>
      <c r="T1136" s="21" t="str">
        <f>IFERROR(IF([2]对账明细接口!$O1136=0,"",[2]对账明细接口!$O1136),"")</f>
        <v/>
      </c>
      <c r="U1136" s="21" t="str">
        <f>IFERROR(IF([2]对账明细接口!$P1136=0,"",[2]对账明细接口!$P1136),"")</f>
        <v/>
      </c>
      <c r="V1136" s="21" t="str">
        <f>IFERROR(IF([2]对账明细接口!$Q1136=0,"",[2]对账明细接口!$Q1136),"")</f>
        <v/>
      </c>
      <c r="W1136" s="20" t="str">
        <f>IFERROR(IF([2]对账明细接口!$R1136=0,"",[2]对账明细接口!$R1136),"")</f>
        <v/>
      </c>
      <c r="X1136" s="20" t="str">
        <f>IFERROR(IF([2]对账明细接口!$S1136=0,"",[2]对账明细接口!$S1136),"")</f>
        <v/>
      </c>
      <c r="Y1136" s="20" t="str">
        <f t="shared" si="104"/>
        <v/>
      </c>
      <c r="Z1136" s="20" t="str">
        <f t="shared" si="105"/>
        <v/>
      </c>
      <c r="AA1136" s="20" t="str">
        <f t="shared" si="106"/>
        <v/>
      </c>
      <c r="AB1136" s="20" t="str">
        <f t="shared" si="107"/>
        <v/>
      </c>
    </row>
    <row r="1137" customHeight="1" spans="1:28">
      <c r="A1137" s="14">
        <v>1137</v>
      </c>
      <c r="B1137" s="15" t="str">
        <f>IFERROR(IF([2]对账明细接口!$B$1137=0,"",[2]对账明细接口!$B$1137),"")</f>
        <v/>
      </c>
      <c r="C1137" s="16" t="str">
        <f>IFERROR(IF([2]对账明细接口!$C$1137=0,"",[2]对账明细接口!$C$1137),"")</f>
        <v/>
      </c>
      <c r="D1137" s="16" t="str">
        <f>IFERROR(IF([2]对账明细接口!$D$1137=0,"",[2]对账明细接口!$D$1137),"")</f>
        <v/>
      </c>
      <c r="E1137" s="16" t="str">
        <f>IFERROR(IF([2]对账明细接口!$E$1137=0,"",[2]对账明细接口!$E$1137),"")</f>
        <v/>
      </c>
      <c r="F1137" s="16" t="str">
        <f>IFERROR(IF([2]对账明细接口!$F$1137=0,"",[2]对账明细接口!$F$1137),"")</f>
        <v/>
      </c>
      <c r="G1137" s="16" t="str">
        <f>IFERROR(IF([2]对账明细接口!$G$1137=0,"",[2]对账明细接口!$G$1137),"")</f>
        <v/>
      </c>
      <c r="H1137" s="17" t="str">
        <f>IFERROR(IF([2]对账明细接口!$H$1137=0,"",[2]对账明细接口!$H$1137),"")</f>
        <v/>
      </c>
      <c r="I1137" s="16" t="str">
        <f>IFERROR(IF([2]对账明细接口!$I$1137=0,"",[2]对账明细接口!$I$1137),"")</f>
        <v/>
      </c>
      <c r="J1137" s="18" t="str">
        <f>IFERROR(IF([2]对账明细接口!$J$1137=0,"",[2]对账明细接口!$J$1137),"")</f>
        <v/>
      </c>
      <c r="K1137" s="18" t="str">
        <f>IFERROR(IF([2]对账明细接口!$K$1137=0,"",[2]对账明细接口!$K$1137),"")</f>
        <v/>
      </c>
      <c r="L1137" s="16" t="str">
        <f>IFERROR(IF([2]对账明细接口!$L$1137=0,"",[2]对账明细接口!$L$1137),"")</f>
        <v/>
      </c>
      <c r="M1137" s="16" t="str">
        <f>IFERROR(IF([2]对账明细接口!$M$1137=0,"",[2]对账明细接口!$M$1137),"")</f>
        <v/>
      </c>
      <c r="N1137" s="19">
        <f t="shared" si="102"/>
        <v>0</v>
      </c>
      <c r="O1137" s="19">
        <f t="shared" si="103"/>
        <v>165</v>
      </c>
      <c r="S1137" s="20" t="str">
        <f>IFERROR(IF([2]对账明细接口!$N1137=0,"",[2]对账明细接口!$N1137),"")</f>
        <v/>
      </c>
      <c r="T1137" s="21" t="str">
        <f>IFERROR(IF([2]对账明细接口!$O1137=0,"",[2]对账明细接口!$O1137),"")</f>
        <v/>
      </c>
      <c r="U1137" s="21" t="str">
        <f>IFERROR(IF([2]对账明细接口!$P1137=0,"",[2]对账明细接口!$P1137),"")</f>
        <v/>
      </c>
      <c r="V1137" s="21" t="str">
        <f>IFERROR(IF([2]对账明细接口!$Q1137=0,"",[2]对账明细接口!$Q1137),"")</f>
        <v/>
      </c>
      <c r="W1137" s="20" t="str">
        <f>IFERROR(IF([2]对账明细接口!$R1137=0,"",[2]对账明细接口!$R1137),"")</f>
        <v/>
      </c>
      <c r="X1137" s="20" t="str">
        <f>IFERROR(IF([2]对账明细接口!$S1137=0,"",[2]对账明细接口!$S1137),"")</f>
        <v/>
      </c>
      <c r="Y1137" s="20" t="str">
        <f t="shared" si="104"/>
        <v/>
      </c>
      <c r="Z1137" s="20" t="str">
        <f t="shared" si="105"/>
        <v/>
      </c>
      <c r="AA1137" s="20" t="str">
        <f t="shared" si="106"/>
        <v/>
      </c>
      <c r="AB1137" s="20" t="str">
        <f t="shared" si="107"/>
        <v/>
      </c>
    </row>
    <row r="1138" customHeight="1" spans="1:28">
      <c r="A1138" s="14">
        <v>1138</v>
      </c>
      <c r="B1138" s="15" t="str">
        <f>IFERROR(IF([2]对账明细接口!$B$1138=0,"",[2]对账明细接口!$B$1138),"")</f>
        <v/>
      </c>
      <c r="C1138" s="16" t="str">
        <f>IFERROR(IF([2]对账明细接口!$C$1138=0,"",[2]对账明细接口!$C$1138),"")</f>
        <v/>
      </c>
      <c r="D1138" s="16" t="str">
        <f>IFERROR(IF([2]对账明细接口!$D$1138=0,"",[2]对账明细接口!$D$1138),"")</f>
        <v/>
      </c>
      <c r="E1138" s="16" t="str">
        <f>IFERROR(IF([2]对账明细接口!$E$1138=0,"",[2]对账明细接口!$E$1138),"")</f>
        <v/>
      </c>
      <c r="F1138" s="16" t="str">
        <f>IFERROR(IF([2]对账明细接口!$F$1138=0,"",[2]对账明细接口!$F$1138),"")</f>
        <v/>
      </c>
      <c r="G1138" s="16" t="str">
        <f>IFERROR(IF([2]对账明细接口!$G$1138=0,"",[2]对账明细接口!$G$1138),"")</f>
        <v/>
      </c>
      <c r="H1138" s="17" t="str">
        <f>IFERROR(IF([2]对账明细接口!$H$1138=0,"",[2]对账明细接口!$H$1138),"")</f>
        <v/>
      </c>
      <c r="I1138" s="16" t="str">
        <f>IFERROR(IF([2]对账明细接口!$I$1138=0,"",[2]对账明细接口!$I$1138),"")</f>
        <v/>
      </c>
      <c r="J1138" s="18" t="str">
        <f>IFERROR(IF([2]对账明细接口!$J$1138=0,"",[2]对账明细接口!$J$1138),"")</f>
        <v/>
      </c>
      <c r="K1138" s="18" t="str">
        <f>IFERROR(IF([2]对账明细接口!$K$1138=0,"",[2]对账明细接口!$K$1138),"")</f>
        <v/>
      </c>
      <c r="L1138" s="16" t="str">
        <f>IFERROR(IF([2]对账明细接口!$L$1138=0,"",[2]对账明细接口!$L$1138),"")</f>
        <v/>
      </c>
      <c r="M1138" s="16" t="str">
        <f>IFERROR(IF([2]对账明细接口!$M$1138=0,"",[2]对账明细接口!$M$1138),"")</f>
        <v/>
      </c>
      <c r="N1138" s="19">
        <f t="shared" si="102"/>
        <v>0</v>
      </c>
      <c r="O1138" s="19">
        <f t="shared" si="103"/>
        <v>165</v>
      </c>
      <c r="S1138" s="20" t="str">
        <f>IFERROR(IF([2]对账明细接口!$N1138=0,"",[2]对账明细接口!$N1138),"")</f>
        <v/>
      </c>
      <c r="T1138" s="21" t="str">
        <f>IFERROR(IF([2]对账明细接口!$O1138=0,"",[2]对账明细接口!$O1138),"")</f>
        <v/>
      </c>
      <c r="U1138" s="21" t="str">
        <f>IFERROR(IF([2]对账明细接口!$P1138=0,"",[2]对账明细接口!$P1138),"")</f>
        <v/>
      </c>
      <c r="V1138" s="21" t="str">
        <f>IFERROR(IF([2]对账明细接口!$Q1138=0,"",[2]对账明细接口!$Q1138),"")</f>
        <v/>
      </c>
      <c r="W1138" s="20" t="str">
        <f>IFERROR(IF([2]对账明细接口!$R1138=0,"",[2]对账明细接口!$R1138),"")</f>
        <v/>
      </c>
      <c r="X1138" s="20" t="str">
        <f>IFERROR(IF([2]对账明细接口!$S1138=0,"",[2]对账明细接口!$S1138),"")</f>
        <v/>
      </c>
      <c r="Y1138" s="20" t="str">
        <f t="shared" si="104"/>
        <v/>
      </c>
      <c r="Z1138" s="20" t="str">
        <f t="shared" si="105"/>
        <v/>
      </c>
      <c r="AA1138" s="20" t="str">
        <f t="shared" si="106"/>
        <v/>
      </c>
      <c r="AB1138" s="20" t="str">
        <f t="shared" si="107"/>
        <v/>
      </c>
    </row>
    <row r="1139" customHeight="1" spans="1:28">
      <c r="A1139" s="14">
        <v>1139</v>
      </c>
      <c r="B1139" s="15" t="str">
        <f>IFERROR(IF([2]对账明细接口!$B$1139=0,"",[2]对账明细接口!$B$1139),"")</f>
        <v/>
      </c>
      <c r="C1139" s="16" t="str">
        <f>IFERROR(IF([2]对账明细接口!$C$1139=0,"",[2]对账明细接口!$C$1139),"")</f>
        <v/>
      </c>
      <c r="D1139" s="16" t="str">
        <f>IFERROR(IF([2]对账明细接口!$D$1139=0,"",[2]对账明细接口!$D$1139),"")</f>
        <v/>
      </c>
      <c r="E1139" s="16" t="str">
        <f>IFERROR(IF([2]对账明细接口!$E$1139=0,"",[2]对账明细接口!$E$1139),"")</f>
        <v/>
      </c>
      <c r="F1139" s="16" t="str">
        <f>IFERROR(IF([2]对账明细接口!$F$1139=0,"",[2]对账明细接口!$F$1139),"")</f>
        <v/>
      </c>
      <c r="G1139" s="16" t="str">
        <f>IFERROR(IF([2]对账明细接口!$G$1139=0,"",[2]对账明细接口!$G$1139),"")</f>
        <v/>
      </c>
      <c r="H1139" s="17" t="str">
        <f>IFERROR(IF([2]对账明细接口!$H$1139=0,"",[2]对账明细接口!$H$1139),"")</f>
        <v/>
      </c>
      <c r="I1139" s="16" t="str">
        <f>IFERROR(IF([2]对账明细接口!$I$1139=0,"",[2]对账明细接口!$I$1139),"")</f>
        <v/>
      </c>
      <c r="J1139" s="18" t="str">
        <f>IFERROR(IF([2]对账明细接口!$J$1139=0,"",[2]对账明细接口!$J$1139),"")</f>
        <v/>
      </c>
      <c r="K1139" s="18" t="str">
        <f>IFERROR(IF([2]对账明细接口!$K$1139=0,"",[2]对账明细接口!$K$1139),"")</f>
        <v/>
      </c>
      <c r="L1139" s="16" t="str">
        <f>IFERROR(IF([2]对账明细接口!$L$1139=0,"",[2]对账明细接口!$L$1139),"")</f>
        <v/>
      </c>
      <c r="M1139" s="16" t="str">
        <f>IFERROR(IF([2]对账明细接口!$M$1139=0,"",[2]对账明细接口!$M$1139),"")</f>
        <v/>
      </c>
      <c r="N1139" s="19">
        <f t="shared" si="102"/>
        <v>0</v>
      </c>
      <c r="O1139" s="19">
        <f t="shared" si="103"/>
        <v>165</v>
      </c>
      <c r="S1139" s="20" t="str">
        <f>IFERROR(IF([2]对账明细接口!$N1139=0,"",[2]对账明细接口!$N1139),"")</f>
        <v/>
      </c>
      <c r="T1139" s="21" t="str">
        <f>IFERROR(IF([2]对账明细接口!$O1139=0,"",[2]对账明细接口!$O1139),"")</f>
        <v/>
      </c>
      <c r="U1139" s="21" t="str">
        <f>IFERROR(IF([2]对账明细接口!$P1139=0,"",[2]对账明细接口!$P1139),"")</f>
        <v/>
      </c>
      <c r="V1139" s="21" t="str">
        <f>IFERROR(IF([2]对账明细接口!$Q1139=0,"",[2]对账明细接口!$Q1139),"")</f>
        <v/>
      </c>
      <c r="W1139" s="20" t="str">
        <f>IFERROR(IF([2]对账明细接口!$R1139=0,"",[2]对账明细接口!$R1139),"")</f>
        <v/>
      </c>
      <c r="X1139" s="20" t="str">
        <f>IFERROR(IF([2]对账明细接口!$S1139=0,"",[2]对账明细接口!$S1139),"")</f>
        <v/>
      </c>
      <c r="Y1139" s="20" t="str">
        <f t="shared" si="104"/>
        <v/>
      </c>
      <c r="Z1139" s="20" t="str">
        <f t="shared" si="105"/>
        <v/>
      </c>
      <c r="AA1139" s="20" t="str">
        <f t="shared" si="106"/>
        <v/>
      </c>
      <c r="AB1139" s="20" t="str">
        <f t="shared" si="107"/>
        <v/>
      </c>
    </row>
    <row r="1140" customHeight="1" spans="1:28">
      <c r="A1140" s="14">
        <v>1140</v>
      </c>
      <c r="B1140" s="15" t="str">
        <f>IFERROR(IF([2]对账明细接口!$B$1140=0,"",[2]对账明细接口!$B$1140),"")</f>
        <v/>
      </c>
      <c r="C1140" s="16" t="str">
        <f>IFERROR(IF([2]对账明细接口!$C$1140=0,"",[2]对账明细接口!$C$1140),"")</f>
        <v/>
      </c>
      <c r="D1140" s="16" t="str">
        <f>IFERROR(IF([2]对账明细接口!$D$1140=0,"",[2]对账明细接口!$D$1140),"")</f>
        <v/>
      </c>
      <c r="E1140" s="16" t="str">
        <f>IFERROR(IF([2]对账明细接口!$E$1140=0,"",[2]对账明细接口!$E$1140),"")</f>
        <v/>
      </c>
      <c r="F1140" s="16" t="str">
        <f>IFERROR(IF([2]对账明细接口!$F$1140=0,"",[2]对账明细接口!$F$1140),"")</f>
        <v/>
      </c>
      <c r="G1140" s="16" t="str">
        <f>IFERROR(IF([2]对账明细接口!$G$1140=0,"",[2]对账明细接口!$G$1140),"")</f>
        <v/>
      </c>
      <c r="H1140" s="17" t="str">
        <f>IFERROR(IF([2]对账明细接口!$H$1140=0,"",[2]对账明细接口!$H$1140),"")</f>
        <v/>
      </c>
      <c r="I1140" s="16" t="str">
        <f>IFERROR(IF([2]对账明细接口!$I$1140=0,"",[2]对账明细接口!$I$1140),"")</f>
        <v/>
      </c>
      <c r="J1140" s="18" t="str">
        <f>IFERROR(IF([2]对账明细接口!$J$1140=0,"",[2]对账明细接口!$J$1140),"")</f>
        <v/>
      </c>
      <c r="K1140" s="18" t="str">
        <f>IFERROR(IF([2]对账明细接口!$K$1140=0,"",[2]对账明细接口!$K$1140),"")</f>
        <v/>
      </c>
      <c r="L1140" s="16" t="str">
        <f>IFERROR(IF([2]对账明细接口!$L$1140=0,"",[2]对账明细接口!$L$1140),"")</f>
        <v/>
      </c>
      <c r="M1140" s="16" t="str">
        <f>IFERROR(IF([2]对账明细接口!$M$1140=0,"",[2]对账明细接口!$M$1140),"")</f>
        <v/>
      </c>
      <c r="N1140" s="19">
        <f t="shared" si="102"/>
        <v>0</v>
      </c>
      <c r="O1140" s="19">
        <f t="shared" si="103"/>
        <v>165</v>
      </c>
      <c r="S1140" s="20" t="str">
        <f>IFERROR(IF([2]对账明细接口!$N1140=0,"",[2]对账明细接口!$N1140),"")</f>
        <v/>
      </c>
      <c r="T1140" s="21" t="str">
        <f>IFERROR(IF([2]对账明细接口!$O1140=0,"",[2]对账明细接口!$O1140),"")</f>
        <v/>
      </c>
      <c r="U1140" s="21" t="str">
        <f>IFERROR(IF([2]对账明细接口!$P1140=0,"",[2]对账明细接口!$P1140),"")</f>
        <v/>
      </c>
      <c r="V1140" s="21" t="str">
        <f>IFERROR(IF([2]对账明细接口!$Q1140=0,"",[2]对账明细接口!$Q1140),"")</f>
        <v/>
      </c>
      <c r="W1140" s="20" t="str">
        <f>IFERROR(IF([2]对账明细接口!$R1140=0,"",[2]对账明细接口!$R1140),"")</f>
        <v/>
      </c>
      <c r="X1140" s="20" t="str">
        <f>IFERROR(IF([2]对账明细接口!$S1140=0,"",[2]对账明细接口!$S1140),"")</f>
        <v/>
      </c>
      <c r="Y1140" s="20" t="str">
        <f t="shared" si="104"/>
        <v/>
      </c>
      <c r="Z1140" s="20" t="str">
        <f t="shared" si="105"/>
        <v/>
      </c>
      <c r="AA1140" s="20" t="str">
        <f t="shared" si="106"/>
        <v/>
      </c>
      <c r="AB1140" s="20" t="str">
        <f t="shared" si="107"/>
        <v/>
      </c>
    </row>
    <row r="1141" customHeight="1" spans="1:28">
      <c r="A1141" s="14">
        <v>1141</v>
      </c>
      <c r="B1141" s="15" t="str">
        <f>IFERROR(IF([2]对账明细接口!$B$1141=0,"",[2]对账明细接口!$B$1141),"")</f>
        <v/>
      </c>
      <c r="C1141" s="16" t="str">
        <f>IFERROR(IF([2]对账明细接口!$C$1141=0,"",[2]对账明细接口!$C$1141),"")</f>
        <v/>
      </c>
      <c r="D1141" s="16" t="str">
        <f>IFERROR(IF([2]对账明细接口!$D$1141=0,"",[2]对账明细接口!$D$1141),"")</f>
        <v/>
      </c>
      <c r="E1141" s="16" t="str">
        <f>IFERROR(IF([2]对账明细接口!$E$1141=0,"",[2]对账明细接口!$E$1141),"")</f>
        <v/>
      </c>
      <c r="F1141" s="16" t="str">
        <f>IFERROR(IF([2]对账明细接口!$F$1141=0,"",[2]对账明细接口!$F$1141),"")</f>
        <v/>
      </c>
      <c r="G1141" s="16" t="str">
        <f>IFERROR(IF([2]对账明细接口!$G$1141=0,"",[2]对账明细接口!$G$1141),"")</f>
        <v/>
      </c>
      <c r="H1141" s="17" t="str">
        <f>IFERROR(IF([2]对账明细接口!$H$1141=0,"",[2]对账明细接口!$H$1141),"")</f>
        <v/>
      </c>
      <c r="I1141" s="16" t="str">
        <f>IFERROR(IF([2]对账明细接口!$I$1141=0,"",[2]对账明细接口!$I$1141),"")</f>
        <v/>
      </c>
      <c r="J1141" s="18" t="str">
        <f>IFERROR(IF([2]对账明细接口!$J$1141=0,"",[2]对账明细接口!$J$1141),"")</f>
        <v/>
      </c>
      <c r="K1141" s="18" t="str">
        <f>IFERROR(IF([2]对账明细接口!$K$1141=0,"",[2]对账明细接口!$K$1141),"")</f>
        <v/>
      </c>
      <c r="L1141" s="16" t="str">
        <f>IFERROR(IF([2]对账明细接口!$L$1141=0,"",[2]对账明细接口!$L$1141),"")</f>
        <v/>
      </c>
      <c r="M1141" s="16" t="str">
        <f>IFERROR(IF([2]对账明细接口!$M$1141=0,"",[2]对账明细接口!$M$1141),"")</f>
        <v/>
      </c>
      <c r="N1141" s="19">
        <f t="shared" si="102"/>
        <v>0</v>
      </c>
      <c r="O1141" s="19">
        <f t="shared" si="103"/>
        <v>165</v>
      </c>
      <c r="S1141" s="20" t="str">
        <f>IFERROR(IF([2]对账明细接口!$N1141=0,"",[2]对账明细接口!$N1141),"")</f>
        <v/>
      </c>
      <c r="T1141" s="21" t="str">
        <f>IFERROR(IF([2]对账明细接口!$O1141=0,"",[2]对账明细接口!$O1141),"")</f>
        <v/>
      </c>
      <c r="U1141" s="21" t="str">
        <f>IFERROR(IF([2]对账明细接口!$P1141=0,"",[2]对账明细接口!$P1141),"")</f>
        <v/>
      </c>
      <c r="V1141" s="21" t="str">
        <f>IFERROR(IF([2]对账明细接口!$Q1141=0,"",[2]对账明细接口!$Q1141),"")</f>
        <v/>
      </c>
      <c r="W1141" s="20" t="str">
        <f>IFERROR(IF([2]对账明细接口!$R1141=0,"",[2]对账明细接口!$R1141),"")</f>
        <v/>
      </c>
      <c r="X1141" s="20" t="str">
        <f>IFERROR(IF([2]对账明细接口!$S1141=0,"",[2]对账明细接口!$S1141),"")</f>
        <v/>
      </c>
      <c r="Y1141" s="20" t="str">
        <f t="shared" si="104"/>
        <v/>
      </c>
      <c r="Z1141" s="20" t="str">
        <f t="shared" si="105"/>
        <v/>
      </c>
      <c r="AA1141" s="20" t="str">
        <f t="shared" si="106"/>
        <v/>
      </c>
      <c r="AB1141" s="20" t="str">
        <f t="shared" si="107"/>
        <v/>
      </c>
    </row>
    <row r="1142" customHeight="1" spans="1:28">
      <c r="A1142" s="14">
        <v>1142</v>
      </c>
      <c r="B1142" s="15" t="str">
        <f>IFERROR(IF([2]对账明细接口!$B$1142=0,"",[2]对账明细接口!$B$1142),"")</f>
        <v/>
      </c>
      <c r="C1142" s="16" t="str">
        <f>IFERROR(IF([2]对账明细接口!$C$1142=0,"",[2]对账明细接口!$C$1142),"")</f>
        <v/>
      </c>
      <c r="D1142" s="16" t="str">
        <f>IFERROR(IF([2]对账明细接口!$D$1142=0,"",[2]对账明细接口!$D$1142),"")</f>
        <v/>
      </c>
      <c r="E1142" s="16" t="str">
        <f>IFERROR(IF([2]对账明细接口!$E$1142=0,"",[2]对账明细接口!$E$1142),"")</f>
        <v/>
      </c>
      <c r="F1142" s="16" t="str">
        <f>IFERROR(IF([2]对账明细接口!$F$1142=0,"",[2]对账明细接口!$F$1142),"")</f>
        <v/>
      </c>
      <c r="G1142" s="16" t="str">
        <f>IFERROR(IF([2]对账明细接口!$G$1142=0,"",[2]对账明细接口!$G$1142),"")</f>
        <v/>
      </c>
      <c r="H1142" s="17" t="str">
        <f>IFERROR(IF([2]对账明细接口!$H$1142=0,"",[2]对账明细接口!$H$1142),"")</f>
        <v/>
      </c>
      <c r="I1142" s="16" t="str">
        <f>IFERROR(IF([2]对账明细接口!$I$1142=0,"",[2]对账明细接口!$I$1142),"")</f>
        <v/>
      </c>
      <c r="J1142" s="18" t="str">
        <f>IFERROR(IF([2]对账明细接口!$J$1142=0,"",[2]对账明细接口!$J$1142),"")</f>
        <v/>
      </c>
      <c r="K1142" s="18" t="str">
        <f>IFERROR(IF([2]对账明细接口!$K$1142=0,"",[2]对账明细接口!$K$1142),"")</f>
        <v/>
      </c>
      <c r="L1142" s="16" t="str">
        <f>IFERROR(IF([2]对账明细接口!$L$1142=0,"",[2]对账明细接口!$L$1142),"")</f>
        <v/>
      </c>
      <c r="M1142" s="16" t="str">
        <f>IFERROR(IF([2]对账明细接口!$M$1142=0,"",[2]对账明细接口!$M$1142),"")</f>
        <v/>
      </c>
      <c r="N1142" s="19">
        <f t="shared" si="102"/>
        <v>0</v>
      </c>
      <c r="O1142" s="19">
        <f t="shared" si="103"/>
        <v>165</v>
      </c>
      <c r="S1142" s="20" t="str">
        <f>IFERROR(IF([2]对账明细接口!$N1142=0,"",[2]对账明细接口!$N1142),"")</f>
        <v/>
      </c>
      <c r="T1142" s="21" t="str">
        <f>IFERROR(IF([2]对账明细接口!$O1142=0,"",[2]对账明细接口!$O1142),"")</f>
        <v/>
      </c>
      <c r="U1142" s="21" t="str">
        <f>IFERROR(IF([2]对账明细接口!$P1142=0,"",[2]对账明细接口!$P1142),"")</f>
        <v/>
      </c>
      <c r="V1142" s="21" t="str">
        <f>IFERROR(IF([2]对账明细接口!$Q1142=0,"",[2]对账明细接口!$Q1142),"")</f>
        <v/>
      </c>
      <c r="W1142" s="20" t="str">
        <f>IFERROR(IF([2]对账明细接口!$R1142=0,"",[2]对账明细接口!$R1142),"")</f>
        <v/>
      </c>
      <c r="X1142" s="20" t="str">
        <f>IFERROR(IF([2]对账明细接口!$S1142=0,"",[2]对账明细接口!$S1142),"")</f>
        <v/>
      </c>
      <c r="Y1142" s="20" t="str">
        <f t="shared" si="104"/>
        <v/>
      </c>
      <c r="Z1142" s="20" t="str">
        <f t="shared" si="105"/>
        <v/>
      </c>
      <c r="AA1142" s="20" t="str">
        <f t="shared" si="106"/>
        <v/>
      </c>
      <c r="AB1142" s="20" t="str">
        <f t="shared" si="107"/>
        <v/>
      </c>
    </row>
    <row r="1143" customHeight="1" spans="1:28">
      <c r="A1143" s="14">
        <v>1143</v>
      </c>
      <c r="B1143" s="15" t="str">
        <f>IFERROR(IF([2]对账明细接口!$B$1143=0,"",[2]对账明细接口!$B$1143),"")</f>
        <v/>
      </c>
      <c r="C1143" s="16" t="str">
        <f>IFERROR(IF([2]对账明细接口!$C$1143=0,"",[2]对账明细接口!$C$1143),"")</f>
        <v/>
      </c>
      <c r="D1143" s="16" t="str">
        <f>IFERROR(IF([2]对账明细接口!$D$1143=0,"",[2]对账明细接口!$D$1143),"")</f>
        <v/>
      </c>
      <c r="E1143" s="16" t="str">
        <f>IFERROR(IF([2]对账明细接口!$E$1143=0,"",[2]对账明细接口!$E$1143),"")</f>
        <v/>
      </c>
      <c r="F1143" s="16" t="str">
        <f>IFERROR(IF([2]对账明细接口!$F$1143=0,"",[2]对账明细接口!$F$1143),"")</f>
        <v/>
      </c>
      <c r="G1143" s="16" t="str">
        <f>IFERROR(IF([2]对账明细接口!$G$1143=0,"",[2]对账明细接口!$G$1143),"")</f>
        <v/>
      </c>
      <c r="H1143" s="17" t="str">
        <f>IFERROR(IF([2]对账明细接口!$H$1143=0,"",[2]对账明细接口!$H$1143),"")</f>
        <v/>
      </c>
      <c r="I1143" s="16" t="str">
        <f>IFERROR(IF([2]对账明细接口!$I$1143=0,"",[2]对账明细接口!$I$1143),"")</f>
        <v/>
      </c>
      <c r="J1143" s="18" t="str">
        <f>IFERROR(IF([2]对账明细接口!$J$1143=0,"",[2]对账明细接口!$J$1143),"")</f>
        <v/>
      </c>
      <c r="K1143" s="18" t="str">
        <f>IFERROR(IF([2]对账明细接口!$K$1143=0,"",[2]对账明细接口!$K$1143),"")</f>
        <v/>
      </c>
      <c r="L1143" s="16" t="str">
        <f>IFERROR(IF([2]对账明细接口!$L$1143=0,"",[2]对账明细接口!$L$1143),"")</f>
        <v/>
      </c>
      <c r="M1143" s="16" t="str">
        <f>IFERROR(IF([2]对账明细接口!$M$1143=0,"",[2]对账明细接口!$M$1143),"")</f>
        <v/>
      </c>
      <c r="N1143" s="19">
        <f t="shared" si="102"/>
        <v>0</v>
      </c>
      <c r="O1143" s="19">
        <f t="shared" si="103"/>
        <v>165</v>
      </c>
      <c r="S1143" s="20" t="str">
        <f>IFERROR(IF([2]对账明细接口!$N1143=0,"",[2]对账明细接口!$N1143),"")</f>
        <v/>
      </c>
      <c r="T1143" s="21" t="str">
        <f>IFERROR(IF([2]对账明细接口!$O1143=0,"",[2]对账明细接口!$O1143),"")</f>
        <v/>
      </c>
      <c r="U1143" s="21" t="str">
        <f>IFERROR(IF([2]对账明细接口!$P1143=0,"",[2]对账明细接口!$P1143),"")</f>
        <v/>
      </c>
      <c r="V1143" s="21" t="str">
        <f>IFERROR(IF([2]对账明细接口!$Q1143=0,"",[2]对账明细接口!$Q1143),"")</f>
        <v/>
      </c>
      <c r="W1143" s="20" t="str">
        <f>IFERROR(IF([2]对账明细接口!$R1143=0,"",[2]对账明细接口!$R1143),"")</f>
        <v/>
      </c>
      <c r="X1143" s="20" t="str">
        <f>IFERROR(IF([2]对账明细接口!$S1143=0,"",[2]对账明细接口!$S1143),"")</f>
        <v/>
      </c>
      <c r="Y1143" s="20" t="str">
        <f t="shared" si="104"/>
        <v/>
      </c>
      <c r="Z1143" s="20" t="str">
        <f t="shared" si="105"/>
        <v/>
      </c>
      <c r="AA1143" s="20" t="str">
        <f t="shared" si="106"/>
        <v/>
      </c>
      <c r="AB1143" s="20" t="str">
        <f t="shared" si="107"/>
        <v/>
      </c>
    </row>
    <row r="1144" customHeight="1" spans="1:28">
      <c r="A1144" s="14">
        <v>1144</v>
      </c>
      <c r="B1144" s="15" t="str">
        <f>IFERROR(IF([2]对账明细接口!$B$1144=0,"",[2]对账明细接口!$B$1144),"")</f>
        <v/>
      </c>
      <c r="C1144" s="16" t="str">
        <f>IFERROR(IF([2]对账明细接口!$C$1144=0,"",[2]对账明细接口!$C$1144),"")</f>
        <v/>
      </c>
      <c r="D1144" s="16" t="str">
        <f>IFERROR(IF([2]对账明细接口!$D$1144=0,"",[2]对账明细接口!$D$1144),"")</f>
        <v/>
      </c>
      <c r="E1144" s="16" t="str">
        <f>IFERROR(IF([2]对账明细接口!$E$1144=0,"",[2]对账明细接口!$E$1144),"")</f>
        <v/>
      </c>
      <c r="F1144" s="16" t="str">
        <f>IFERROR(IF([2]对账明细接口!$F$1144=0,"",[2]对账明细接口!$F$1144),"")</f>
        <v/>
      </c>
      <c r="G1144" s="16" t="str">
        <f>IFERROR(IF([2]对账明细接口!$G$1144=0,"",[2]对账明细接口!$G$1144),"")</f>
        <v/>
      </c>
      <c r="H1144" s="17" t="str">
        <f>IFERROR(IF([2]对账明细接口!$H$1144=0,"",[2]对账明细接口!$H$1144),"")</f>
        <v/>
      </c>
      <c r="I1144" s="16" t="str">
        <f>IFERROR(IF([2]对账明细接口!$I$1144=0,"",[2]对账明细接口!$I$1144),"")</f>
        <v/>
      </c>
      <c r="J1144" s="18" t="str">
        <f>IFERROR(IF([2]对账明细接口!$J$1144=0,"",[2]对账明细接口!$J$1144),"")</f>
        <v/>
      </c>
      <c r="K1144" s="18" t="str">
        <f>IFERROR(IF([2]对账明细接口!$K$1144=0,"",[2]对账明细接口!$K$1144),"")</f>
        <v/>
      </c>
      <c r="L1144" s="16" t="str">
        <f>IFERROR(IF([2]对账明细接口!$L$1144=0,"",[2]对账明细接口!$L$1144),"")</f>
        <v/>
      </c>
      <c r="M1144" s="16" t="str">
        <f>IFERROR(IF([2]对账明细接口!$M$1144=0,"",[2]对账明细接口!$M$1144),"")</f>
        <v/>
      </c>
      <c r="N1144" s="19">
        <f t="shared" si="102"/>
        <v>0</v>
      </c>
      <c r="O1144" s="19">
        <f t="shared" si="103"/>
        <v>165</v>
      </c>
      <c r="S1144" s="20" t="str">
        <f>IFERROR(IF([2]对账明细接口!$N1144=0,"",[2]对账明细接口!$N1144),"")</f>
        <v/>
      </c>
      <c r="T1144" s="21" t="str">
        <f>IFERROR(IF([2]对账明细接口!$O1144=0,"",[2]对账明细接口!$O1144),"")</f>
        <v/>
      </c>
      <c r="U1144" s="21" t="str">
        <f>IFERROR(IF([2]对账明细接口!$P1144=0,"",[2]对账明细接口!$P1144),"")</f>
        <v/>
      </c>
      <c r="V1144" s="21" t="str">
        <f>IFERROR(IF([2]对账明细接口!$Q1144=0,"",[2]对账明细接口!$Q1144),"")</f>
        <v/>
      </c>
      <c r="W1144" s="20" t="str">
        <f>IFERROR(IF([2]对账明细接口!$R1144=0,"",[2]对账明细接口!$R1144),"")</f>
        <v/>
      </c>
      <c r="X1144" s="20" t="str">
        <f>IFERROR(IF([2]对账明细接口!$S1144=0,"",[2]对账明细接口!$S1144),"")</f>
        <v/>
      </c>
      <c r="Y1144" s="20" t="str">
        <f t="shared" si="104"/>
        <v/>
      </c>
      <c r="Z1144" s="20" t="str">
        <f t="shared" si="105"/>
        <v/>
      </c>
      <c r="AA1144" s="20" t="str">
        <f t="shared" si="106"/>
        <v/>
      </c>
      <c r="AB1144" s="20" t="str">
        <f t="shared" si="107"/>
        <v/>
      </c>
    </row>
    <row r="1145" customHeight="1" spans="1:28">
      <c r="A1145" s="14">
        <v>1145</v>
      </c>
      <c r="B1145" s="15" t="str">
        <f>IFERROR(IF([2]对账明细接口!$B$1145=0,"",[2]对账明细接口!$B$1145),"")</f>
        <v/>
      </c>
      <c r="C1145" s="16" t="str">
        <f>IFERROR(IF([2]对账明细接口!$C$1145=0,"",[2]对账明细接口!$C$1145),"")</f>
        <v/>
      </c>
      <c r="D1145" s="16" t="str">
        <f>IFERROR(IF([2]对账明细接口!$D$1145=0,"",[2]对账明细接口!$D$1145),"")</f>
        <v/>
      </c>
      <c r="E1145" s="16" t="str">
        <f>IFERROR(IF([2]对账明细接口!$E$1145=0,"",[2]对账明细接口!$E$1145),"")</f>
        <v/>
      </c>
      <c r="F1145" s="16" t="str">
        <f>IFERROR(IF([2]对账明细接口!$F$1145=0,"",[2]对账明细接口!$F$1145),"")</f>
        <v/>
      </c>
      <c r="G1145" s="16" t="str">
        <f>IFERROR(IF([2]对账明细接口!$G$1145=0,"",[2]对账明细接口!$G$1145),"")</f>
        <v/>
      </c>
      <c r="H1145" s="17" t="str">
        <f>IFERROR(IF([2]对账明细接口!$H$1145=0,"",[2]对账明细接口!$H$1145),"")</f>
        <v/>
      </c>
      <c r="I1145" s="16" t="str">
        <f>IFERROR(IF([2]对账明细接口!$I$1145=0,"",[2]对账明细接口!$I$1145),"")</f>
        <v/>
      </c>
      <c r="J1145" s="18" t="str">
        <f>IFERROR(IF([2]对账明细接口!$J$1145=0,"",[2]对账明细接口!$J$1145),"")</f>
        <v/>
      </c>
      <c r="K1145" s="18" t="str">
        <f>IFERROR(IF([2]对账明细接口!$K$1145=0,"",[2]对账明细接口!$K$1145),"")</f>
        <v/>
      </c>
      <c r="L1145" s="16" t="str">
        <f>IFERROR(IF([2]对账明细接口!$L$1145=0,"",[2]对账明细接口!$L$1145),"")</f>
        <v/>
      </c>
      <c r="M1145" s="16" t="str">
        <f>IFERROR(IF([2]对账明细接口!$M$1145=0,"",[2]对账明细接口!$M$1145),"")</f>
        <v/>
      </c>
      <c r="N1145" s="19">
        <f t="shared" si="102"/>
        <v>0</v>
      </c>
      <c r="O1145" s="19">
        <f t="shared" si="103"/>
        <v>165</v>
      </c>
      <c r="S1145" s="20" t="str">
        <f>IFERROR(IF([2]对账明细接口!$N1145=0,"",[2]对账明细接口!$N1145),"")</f>
        <v/>
      </c>
      <c r="T1145" s="21" t="str">
        <f>IFERROR(IF([2]对账明细接口!$O1145=0,"",[2]对账明细接口!$O1145),"")</f>
        <v/>
      </c>
      <c r="U1145" s="21" t="str">
        <f>IFERROR(IF([2]对账明细接口!$P1145=0,"",[2]对账明细接口!$P1145),"")</f>
        <v/>
      </c>
      <c r="V1145" s="21" t="str">
        <f>IFERROR(IF([2]对账明细接口!$Q1145=0,"",[2]对账明细接口!$Q1145),"")</f>
        <v/>
      </c>
      <c r="W1145" s="20" t="str">
        <f>IFERROR(IF([2]对账明细接口!$R1145=0,"",[2]对账明细接口!$R1145),"")</f>
        <v/>
      </c>
      <c r="X1145" s="20" t="str">
        <f>IFERROR(IF([2]对账明细接口!$S1145=0,"",[2]对账明细接口!$S1145),"")</f>
        <v/>
      </c>
      <c r="Y1145" s="20" t="str">
        <f t="shared" si="104"/>
        <v/>
      </c>
      <c r="Z1145" s="20" t="str">
        <f t="shared" si="105"/>
        <v/>
      </c>
      <c r="AA1145" s="20" t="str">
        <f t="shared" si="106"/>
        <v/>
      </c>
      <c r="AB1145" s="20" t="str">
        <f t="shared" si="107"/>
        <v/>
      </c>
    </row>
    <row r="1146" customHeight="1" spans="1:28">
      <c r="A1146" s="14">
        <v>1146</v>
      </c>
      <c r="B1146" s="15" t="str">
        <f>IFERROR(IF([2]对账明细接口!$B$1146=0,"",[2]对账明细接口!$B$1146),"")</f>
        <v/>
      </c>
      <c r="C1146" s="16" t="str">
        <f>IFERROR(IF([2]对账明细接口!$C$1146=0,"",[2]对账明细接口!$C$1146),"")</f>
        <v/>
      </c>
      <c r="D1146" s="16" t="str">
        <f>IFERROR(IF([2]对账明细接口!$D$1146=0,"",[2]对账明细接口!$D$1146),"")</f>
        <v/>
      </c>
      <c r="E1146" s="16" t="str">
        <f>IFERROR(IF([2]对账明细接口!$E$1146=0,"",[2]对账明细接口!$E$1146),"")</f>
        <v/>
      </c>
      <c r="F1146" s="16" t="str">
        <f>IFERROR(IF([2]对账明细接口!$F$1146=0,"",[2]对账明细接口!$F$1146),"")</f>
        <v/>
      </c>
      <c r="G1146" s="16" t="str">
        <f>IFERROR(IF([2]对账明细接口!$G$1146=0,"",[2]对账明细接口!$G$1146),"")</f>
        <v/>
      </c>
      <c r="H1146" s="17" t="str">
        <f>IFERROR(IF([2]对账明细接口!$H$1146=0,"",[2]对账明细接口!$H$1146),"")</f>
        <v/>
      </c>
      <c r="I1146" s="16" t="str">
        <f>IFERROR(IF([2]对账明细接口!$I$1146=0,"",[2]对账明细接口!$I$1146),"")</f>
        <v/>
      </c>
      <c r="J1146" s="18" t="str">
        <f>IFERROR(IF([2]对账明细接口!$J$1146=0,"",[2]对账明细接口!$J$1146),"")</f>
        <v/>
      </c>
      <c r="K1146" s="18" t="str">
        <f>IFERROR(IF([2]对账明细接口!$K$1146=0,"",[2]对账明细接口!$K$1146),"")</f>
        <v/>
      </c>
      <c r="L1146" s="16" t="str">
        <f>IFERROR(IF([2]对账明细接口!$L$1146=0,"",[2]对账明细接口!$L$1146),"")</f>
        <v/>
      </c>
      <c r="M1146" s="16" t="str">
        <f>IFERROR(IF([2]对账明细接口!$M$1146=0,"",[2]对账明细接口!$M$1146),"")</f>
        <v/>
      </c>
      <c r="N1146" s="19">
        <f t="shared" si="102"/>
        <v>0</v>
      </c>
      <c r="O1146" s="19">
        <f t="shared" si="103"/>
        <v>165</v>
      </c>
      <c r="S1146" s="20" t="str">
        <f>IFERROR(IF([2]对账明细接口!$N1146=0,"",[2]对账明细接口!$N1146),"")</f>
        <v/>
      </c>
      <c r="T1146" s="21" t="str">
        <f>IFERROR(IF([2]对账明细接口!$O1146=0,"",[2]对账明细接口!$O1146),"")</f>
        <v/>
      </c>
      <c r="U1146" s="21" t="str">
        <f>IFERROR(IF([2]对账明细接口!$P1146=0,"",[2]对账明细接口!$P1146),"")</f>
        <v/>
      </c>
      <c r="V1146" s="21" t="str">
        <f>IFERROR(IF([2]对账明细接口!$Q1146=0,"",[2]对账明细接口!$Q1146),"")</f>
        <v/>
      </c>
      <c r="W1146" s="20" t="str">
        <f>IFERROR(IF([2]对账明细接口!$R1146=0,"",[2]对账明细接口!$R1146),"")</f>
        <v/>
      </c>
      <c r="X1146" s="20" t="str">
        <f>IFERROR(IF([2]对账明细接口!$S1146=0,"",[2]对账明细接口!$S1146),"")</f>
        <v/>
      </c>
      <c r="Y1146" s="20" t="str">
        <f t="shared" si="104"/>
        <v/>
      </c>
      <c r="Z1146" s="20" t="str">
        <f t="shared" si="105"/>
        <v/>
      </c>
      <c r="AA1146" s="20" t="str">
        <f t="shared" si="106"/>
        <v/>
      </c>
      <c r="AB1146" s="20" t="str">
        <f t="shared" si="107"/>
        <v/>
      </c>
    </row>
    <row r="1147" customHeight="1" spans="1:28">
      <c r="A1147" s="14">
        <v>1147</v>
      </c>
      <c r="B1147" s="15" t="str">
        <f>IFERROR(IF([2]对账明细接口!$B$1147=0,"",[2]对账明细接口!$B$1147),"")</f>
        <v/>
      </c>
      <c r="C1147" s="16" t="str">
        <f>IFERROR(IF([2]对账明细接口!$C$1147=0,"",[2]对账明细接口!$C$1147),"")</f>
        <v/>
      </c>
      <c r="D1147" s="16" t="str">
        <f>IFERROR(IF([2]对账明细接口!$D$1147=0,"",[2]对账明细接口!$D$1147),"")</f>
        <v/>
      </c>
      <c r="E1147" s="16" t="str">
        <f>IFERROR(IF([2]对账明细接口!$E$1147=0,"",[2]对账明细接口!$E$1147),"")</f>
        <v/>
      </c>
      <c r="F1147" s="16" t="str">
        <f>IFERROR(IF([2]对账明细接口!$F$1147=0,"",[2]对账明细接口!$F$1147),"")</f>
        <v/>
      </c>
      <c r="G1147" s="16" t="str">
        <f>IFERROR(IF([2]对账明细接口!$G$1147=0,"",[2]对账明细接口!$G$1147),"")</f>
        <v/>
      </c>
      <c r="H1147" s="17" t="str">
        <f>IFERROR(IF([2]对账明细接口!$H$1147=0,"",[2]对账明细接口!$H$1147),"")</f>
        <v/>
      </c>
      <c r="I1147" s="16" t="str">
        <f>IFERROR(IF([2]对账明细接口!$I$1147=0,"",[2]对账明细接口!$I$1147),"")</f>
        <v/>
      </c>
      <c r="J1147" s="18" t="str">
        <f>IFERROR(IF([2]对账明细接口!$J$1147=0,"",[2]对账明细接口!$J$1147),"")</f>
        <v/>
      </c>
      <c r="K1147" s="18" t="str">
        <f>IFERROR(IF([2]对账明细接口!$K$1147=0,"",[2]对账明细接口!$K$1147),"")</f>
        <v/>
      </c>
      <c r="L1147" s="16" t="str">
        <f>IFERROR(IF([2]对账明细接口!$L$1147=0,"",[2]对账明细接口!$L$1147),"")</f>
        <v/>
      </c>
      <c r="M1147" s="16" t="str">
        <f>IFERROR(IF([2]对账明细接口!$M$1147=0,"",[2]对账明细接口!$M$1147),"")</f>
        <v/>
      </c>
      <c r="N1147" s="19">
        <f t="shared" si="102"/>
        <v>0</v>
      </c>
      <c r="O1147" s="19">
        <f t="shared" si="103"/>
        <v>165</v>
      </c>
      <c r="S1147" s="20" t="str">
        <f>IFERROR(IF([2]对账明细接口!$N1147=0,"",[2]对账明细接口!$N1147),"")</f>
        <v/>
      </c>
      <c r="T1147" s="21" t="str">
        <f>IFERROR(IF([2]对账明细接口!$O1147=0,"",[2]对账明细接口!$O1147),"")</f>
        <v/>
      </c>
      <c r="U1147" s="21" t="str">
        <f>IFERROR(IF([2]对账明细接口!$P1147=0,"",[2]对账明细接口!$P1147),"")</f>
        <v/>
      </c>
      <c r="V1147" s="21" t="str">
        <f>IFERROR(IF([2]对账明细接口!$Q1147=0,"",[2]对账明细接口!$Q1147),"")</f>
        <v/>
      </c>
      <c r="W1147" s="20" t="str">
        <f>IFERROR(IF([2]对账明细接口!$R1147=0,"",[2]对账明细接口!$R1147),"")</f>
        <v/>
      </c>
      <c r="X1147" s="20" t="str">
        <f>IFERROR(IF([2]对账明细接口!$S1147=0,"",[2]对账明细接口!$S1147),"")</f>
        <v/>
      </c>
      <c r="Y1147" s="20" t="str">
        <f t="shared" si="104"/>
        <v/>
      </c>
      <c r="Z1147" s="20" t="str">
        <f t="shared" si="105"/>
        <v/>
      </c>
      <c r="AA1147" s="20" t="str">
        <f t="shared" si="106"/>
        <v/>
      </c>
      <c r="AB1147" s="20" t="str">
        <f t="shared" si="107"/>
        <v/>
      </c>
    </row>
    <row r="1148" customHeight="1" spans="1:28">
      <c r="A1148" s="14">
        <v>1148</v>
      </c>
      <c r="B1148" s="15" t="str">
        <f>IFERROR(IF([2]对账明细接口!$B$1148=0,"",[2]对账明细接口!$B$1148),"")</f>
        <v/>
      </c>
      <c r="C1148" s="16" t="str">
        <f>IFERROR(IF([2]对账明细接口!$C$1148=0,"",[2]对账明细接口!$C$1148),"")</f>
        <v/>
      </c>
      <c r="D1148" s="16" t="str">
        <f>IFERROR(IF([2]对账明细接口!$D$1148=0,"",[2]对账明细接口!$D$1148),"")</f>
        <v/>
      </c>
      <c r="E1148" s="16" t="str">
        <f>IFERROR(IF([2]对账明细接口!$E$1148=0,"",[2]对账明细接口!$E$1148),"")</f>
        <v/>
      </c>
      <c r="F1148" s="16" t="str">
        <f>IFERROR(IF([2]对账明细接口!$F$1148=0,"",[2]对账明细接口!$F$1148),"")</f>
        <v/>
      </c>
      <c r="G1148" s="16" t="str">
        <f>IFERROR(IF([2]对账明细接口!$G$1148=0,"",[2]对账明细接口!$G$1148),"")</f>
        <v/>
      </c>
      <c r="H1148" s="17" t="str">
        <f>IFERROR(IF([2]对账明细接口!$H$1148=0,"",[2]对账明细接口!$H$1148),"")</f>
        <v/>
      </c>
      <c r="I1148" s="16" t="str">
        <f>IFERROR(IF([2]对账明细接口!$I$1148=0,"",[2]对账明细接口!$I$1148),"")</f>
        <v/>
      </c>
      <c r="J1148" s="18" t="str">
        <f>IFERROR(IF([2]对账明细接口!$J$1148=0,"",[2]对账明细接口!$J$1148),"")</f>
        <v/>
      </c>
      <c r="K1148" s="18" t="str">
        <f>IFERROR(IF([2]对账明细接口!$K$1148=0,"",[2]对账明细接口!$K$1148),"")</f>
        <v/>
      </c>
      <c r="L1148" s="16" t="str">
        <f>IFERROR(IF([2]对账明细接口!$L$1148=0,"",[2]对账明细接口!$L$1148),"")</f>
        <v/>
      </c>
      <c r="M1148" s="16" t="str">
        <f>IFERROR(IF([2]对账明细接口!$M$1148=0,"",[2]对账明细接口!$M$1148),"")</f>
        <v/>
      </c>
      <c r="N1148" s="19">
        <f t="shared" si="102"/>
        <v>0</v>
      </c>
      <c r="O1148" s="19">
        <f t="shared" si="103"/>
        <v>165</v>
      </c>
      <c r="S1148" s="20" t="str">
        <f>IFERROR(IF([2]对账明细接口!$N1148=0,"",[2]对账明细接口!$N1148),"")</f>
        <v/>
      </c>
      <c r="T1148" s="21" t="str">
        <f>IFERROR(IF([2]对账明细接口!$O1148=0,"",[2]对账明细接口!$O1148),"")</f>
        <v/>
      </c>
      <c r="U1148" s="21" t="str">
        <f>IFERROR(IF([2]对账明细接口!$P1148=0,"",[2]对账明细接口!$P1148),"")</f>
        <v/>
      </c>
      <c r="V1148" s="21" t="str">
        <f>IFERROR(IF([2]对账明细接口!$Q1148=0,"",[2]对账明细接口!$Q1148),"")</f>
        <v/>
      </c>
      <c r="W1148" s="20" t="str">
        <f>IFERROR(IF([2]对账明细接口!$R1148=0,"",[2]对账明细接口!$R1148),"")</f>
        <v/>
      </c>
      <c r="X1148" s="20" t="str">
        <f>IFERROR(IF([2]对账明细接口!$S1148=0,"",[2]对账明细接口!$S1148),"")</f>
        <v/>
      </c>
      <c r="Y1148" s="20" t="str">
        <f t="shared" si="104"/>
        <v/>
      </c>
      <c r="Z1148" s="20" t="str">
        <f t="shared" si="105"/>
        <v/>
      </c>
      <c r="AA1148" s="20" t="str">
        <f t="shared" si="106"/>
        <v/>
      </c>
      <c r="AB1148" s="20" t="str">
        <f t="shared" si="107"/>
        <v/>
      </c>
    </row>
    <row r="1149" customHeight="1" spans="1:28">
      <c r="A1149" s="14">
        <v>1149</v>
      </c>
      <c r="B1149" s="15" t="str">
        <f>IFERROR(IF([2]对账明细接口!$B$1149=0,"",[2]对账明细接口!$B$1149),"")</f>
        <v/>
      </c>
      <c r="C1149" s="16" t="str">
        <f>IFERROR(IF([2]对账明细接口!$C$1149=0,"",[2]对账明细接口!$C$1149),"")</f>
        <v/>
      </c>
      <c r="D1149" s="16" t="str">
        <f>IFERROR(IF([2]对账明细接口!$D$1149=0,"",[2]对账明细接口!$D$1149),"")</f>
        <v/>
      </c>
      <c r="E1149" s="16" t="str">
        <f>IFERROR(IF([2]对账明细接口!$E$1149=0,"",[2]对账明细接口!$E$1149),"")</f>
        <v/>
      </c>
      <c r="F1149" s="16" t="str">
        <f>IFERROR(IF([2]对账明细接口!$F$1149=0,"",[2]对账明细接口!$F$1149),"")</f>
        <v/>
      </c>
      <c r="G1149" s="16" t="str">
        <f>IFERROR(IF([2]对账明细接口!$G$1149=0,"",[2]对账明细接口!$G$1149),"")</f>
        <v/>
      </c>
      <c r="H1149" s="17" t="str">
        <f>IFERROR(IF([2]对账明细接口!$H$1149=0,"",[2]对账明细接口!$H$1149),"")</f>
        <v/>
      </c>
      <c r="I1149" s="16" t="str">
        <f>IFERROR(IF([2]对账明细接口!$I$1149=0,"",[2]对账明细接口!$I$1149),"")</f>
        <v/>
      </c>
      <c r="J1149" s="18" t="str">
        <f>IFERROR(IF([2]对账明细接口!$J$1149=0,"",[2]对账明细接口!$J$1149),"")</f>
        <v/>
      </c>
      <c r="K1149" s="18" t="str">
        <f>IFERROR(IF([2]对账明细接口!$K$1149=0,"",[2]对账明细接口!$K$1149),"")</f>
        <v/>
      </c>
      <c r="L1149" s="16" t="str">
        <f>IFERROR(IF([2]对账明细接口!$L$1149=0,"",[2]对账明细接口!$L$1149),"")</f>
        <v/>
      </c>
      <c r="M1149" s="16" t="str">
        <f>IFERROR(IF([2]对账明细接口!$M$1149=0,"",[2]对账明细接口!$M$1149),"")</f>
        <v/>
      </c>
      <c r="N1149" s="19">
        <f t="shared" si="102"/>
        <v>0</v>
      </c>
      <c r="O1149" s="19">
        <f t="shared" si="103"/>
        <v>165</v>
      </c>
      <c r="S1149" s="20" t="str">
        <f>IFERROR(IF([2]对账明细接口!$N1149=0,"",[2]对账明细接口!$N1149),"")</f>
        <v/>
      </c>
      <c r="T1149" s="21" t="str">
        <f>IFERROR(IF([2]对账明细接口!$O1149=0,"",[2]对账明细接口!$O1149),"")</f>
        <v/>
      </c>
      <c r="U1149" s="21" t="str">
        <f>IFERROR(IF([2]对账明细接口!$P1149=0,"",[2]对账明细接口!$P1149),"")</f>
        <v/>
      </c>
      <c r="V1149" s="21" t="str">
        <f>IFERROR(IF([2]对账明细接口!$Q1149=0,"",[2]对账明细接口!$Q1149),"")</f>
        <v/>
      </c>
      <c r="W1149" s="20" t="str">
        <f>IFERROR(IF([2]对账明细接口!$R1149=0,"",[2]对账明细接口!$R1149),"")</f>
        <v/>
      </c>
      <c r="X1149" s="20" t="str">
        <f>IFERROR(IF([2]对账明细接口!$S1149=0,"",[2]对账明细接口!$S1149),"")</f>
        <v/>
      </c>
      <c r="Y1149" s="20" t="str">
        <f t="shared" si="104"/>
        <v/>
      </c>
      <c r="Z1149" s="20" t="str">
        <f t="shared" si="105"/>
        <v/>
      </c>
      <c r="AA1149" s="20" t="str">
        <f t="shared" si="106"/>
        <v/>
      </c>
      <c r="AB1149" s="20" t="str">
        <f t="shared" si="107"/>
        <v/>
      </c>
    </row>
    <row r="1150" customHeight="1" spans="1:28">
      <c r="A1150" s="14">
        <v>1150</v>
      </c>
      <c r="B1150" s="15" t="str">
        <f>IFERROR(IF([2]对账明细接口!$B$1150=0,"",[2]对账明细接口!$B$1150),"")</f>
        <v/>
      </c>
      <c r="C1150" s="16" t="str">
        <f>IFERROR(IF([2]对账明细接口!$C$1150=0,"",[2]对账明细接口!$C$1150),"")</f>
        <v/>
      </c>
      <c r="D1150" s="16" t="str">
        <f>IFERROR(IF([2]对账明细接口!$D$1150=0,"",[2]对账明细接口!$D$1150),"")</f>
        <v/>
      </c>
      <c r="E1150" s="16" t="str">
        <f>IFERROR(IF([2]对账明细接口!$E$1150=0,"",[2]对账明细接口!$E$1150),"")</f>
        <v/>
      </c>
      <c r="F1150" s="16" t="str">
        <f>IFERROR(IF([2]对账明细接口!$F$1150=0,"",[2]对账明细接口!$F$1150),"")</f>
        <v/>
      </c>
      <c r="G1150" s="16" t="str">
        <f>IFERROR(IF([2]对账明细接口!$G$1150=0,"",[2]对账明细接口!$G$1150),"")</f>
        <v/>
      </c>
      <c r="H1150" s="17" t="str">
        <f>IFERROR(IF([2]对账明细接口!$H$1150=0,"",[2]对账明细接口!$H$1150),"")</f>
        <v/>
      </c>
      <c r="I1150" s="16" t="str">
        <f>IFERROR(IF([2]对账明细接口!$I$1150=0,"",[2]对账明细接口!$I$1150),"")</f>
        <v/>
      </c>
      <c r="J1150" s="18" t="str">
        <f>IFERROR(IF([2]对账明细接口!$J$1150=0,"",[2]对账明细接口!$J$1150),"")</f>
        <v/>
      </c>
      <c r="K1150" s="18" t="str">
        <f>IFERROR(IF([2]对账明细接口!$K$1150=0,"",[2]对账明细接口!$K$1150),"")</f>
        <v/>
      </c>
      <c r="L1150" s="16" t="str">
        <f>IFERROR(IF([2]对账明细接口!$L$1150=0,"",[2]对账明细接口!$L$1150),"")</f>
        <v/>
      </c>
      <c r="M1150" s="16" t="str">
        <f>IFERROR(IF([2]对账明细接口!$M$1150=0,"",[2]对账明细接口!$M$1150),"")</f>
        <v/>
      </c>
      <c r="N1150" s="19">
        <f t="shared" si="102"/>
        <v>0</v>
      </c>
      <c r="O1150" s="19">
        <f t="shared" si="103"/>
        <v>165</v>
      </c>
      <c r="S1150" s="20" t="str">
        <f>IFERROR(IF([2]对账明细接口!$N1150=0,"",[2]对账明细接口!$N1150),"")</f>
        <v/>
      </c>
      <c r="T1150" s="21" t="str">
        <f>IFERROR(IF([2]对账明细接口!$O1150=0,"",[2]对账明细接口!$O1150),"")</f>
        <v/>
      </c>
      <c r="U1150" s="21" t="str">
        <f>IFERROR(IF([2]对账明细接口!$P1150=0,"",[2]对账明细接口!$P1150),"")</f>
        <v/>
      </c>
      <c r="V1150" s="21" t="str">
        <f>IFERROR(IF([2]对账明细接口!$Q1150=0,"",[2]对账明细接口!$Q1150),"")</f>
        <v/>
      </c>
      <c r="W1150" s="20" t="str">
        <f>IFERROR(IF([2]对账明细接口!$R1150=0,"",[2]对账明细接口!$R1150),"")</f>
        <v/>
      </c>
      <c r="X1150" s="20" t="str">
        <f>IFERROR(IF([2]对账明细接口!$S1150=0,"",[2]对账明细接口!$S1150),"")</f>
        <v/>
      </c>
      <c r="Y1150" s="20" t="str">
        <f t="shared" si="104"/>
        <v/>
      </c>
      <c r="Z1150" s="20" t="str">
        <f t="shared" si="105"/>
        <v/>
      </c>
      <c r="AA1150" s="20" t="str">
        <f t="shared" si="106"/>
        <v/>
      </c>
      <c r="AB1150" s="20" t="str">
        <f t="shared" si="107"/>
        <v/>
      </c>
    </row>
    <row r="1151" customHeight="1" spans="1:28">
      <c r="A1151" s="14">
        <v>1151</v>
      </c>
      <c r="B1151" s="15" t="str">
        <f>IFERROR(IF([2]对账明细接口!$B$1151=0,"",[2]对账明细接口!$B$1151),"")</f>
        <v/>
      </c>
      <c r="C1151" s="16" t="str">
        <f>IFERROR(IF([2]对账明细接口!$C$1151=0,"",[2]对账明细接口!$C$1151),"")</f>
        <v/>
      </c>
      <c r="D1151" s="16" t="str">
        <f>IFERROR(IF([2]对账明细接口!$D$1151=0,"",[2]对账明细接口!$D$1151),"")</f>
        <v/>
      </c>
      <c r="E1151" s="16" t="str">
        <f>IFERROR(IF([2]对账明细接口!$E$1151=0,"",[2]对账明细接口!$E$1151),"")</f>
        <v/>
      </c>
      <c r="F1151" s="16" t="str">
        <f>IFERROR(IF([2]对账明细接口!$F$1151=0,"",[2]对账明细接口!$F$1151),"")</f>
        <v/>
      </c>
      <c r="G1151" s="16" t="str">
        <f>IFERROR(IF([2]对账明细接口!$G$1151=0,"",[2]对账明细接口!$G$1151),"")</f>
        <v/>
      </c>
      <c r="H1151" s="17" t="str">
        <f>IFERROR(IF([2]对账明细接口!$H$1151=0,"",[2]对账明细接口!$H$1151),"")</f>
        <v/>
      </c>
      <c r="I1151" s="16" t="str">
        <f>IFERROR(IF([2]对账明细接口!$I$1151=0,"",[2]对账明细接口!$I$1151),"")</f>
        <v/>
      </c>
      <c r="J1151" s="18" t="str">
        <f>IFERROR(IF([2]对账明细接口!$J$1151=0,"",[2]对账明细接口!$J$1151),"")</f>
        <v/>
      </c>
      <c r="K1151" s="18" t="str">
        <f>IFERROR(IF([2]对账明细接口!$K$1151=0,"",[2]对账明细接口!$K$1151),"")</f>
        <v/>
      </c>
      <c r="L1151" s="16" t="str">
        <f>IFERROR(IF([2]对账明细接口!$L$1151=0,"",[2]对账明细接口!$L$1151),"")</f>
        <v/>
      </c>
      <c r="M1151" s="16" t="str">
        <f>IFERROR(IF([2]对账明细接口!$M$1151=0,"",[2]对账明细接口!$M$1151),"")</f>
        <v/>
      </c>
      <c r="N1151" s="19">
        <f t="shared" si="102"/>
        <v>0</v>
      </c>
      <c r="O1151" s="19">
        <f t="shared" si="103"/>
        <v>165</v>
      </c>
      <c r="S1151" s="20" t="str">
        <f>IFERROR(IF([2]对账明细接口!$N1151=0,"",[2]对账明细接口!$N1151),"")</f>
        <v/>
      </c>
      <c r="T1151" s="21" t="str">
        <f>IFERROR(IF([2]对账明细接口!$O1151=0,"",[2]对账明细接口!$O1151),"")</f>
        <v/>
      </c>
      <c r="U1151" s="21" t="str">
        <f>IFERROR(IF([2]对账明细接口!$P1151=0,"",[2]对账明细接口!$P1151),"")</f>
        <v/>
      </c>
      <c r="V1151" s="21" t="str">
        <f>IFERROR(IF([2]对账明细接口!$Q1151=0,"",[2]对账明细接口!$Q1151),"")</f>
        <v/>
      </c>
      <c r="W1151" s="20" t="str">
        <f>IFERROR(IF([2]对账明细接口!$R1151=0,"",[2]对账明细接口!$R1151),"")</f>
        <v/>
      </c>
      <c r="X1151" s="20" t="str">
        <f>IFERROR(IF([2]对账明细接口!$S1151=0,"",[2]对账明细接口!$S1151),"")</f>
        <v/>
      </c>
      <c r="Y1151" s="20" t="str">
        <f t="shared" si="104"/>
        <v/>
      </c>
      <c r="Z1151" s="20" t="str">
        <f t="shared" si="105"/>
        <v/>
      </c>
      <c r="AA1151" s="20" t="str">
        <f t="shared" si="106"/>
        <v/>
      </c>
      <c r="AB1151" s="20" t="str">
        <f t="shared" si="107"/>
        <v/>
      </c>
    </row>
    <row r="1152" customHeight="1" spans="1:28">
      <c r="A1152" s="14">
        <v>1152</v>
      </c>
      <c r="B1152" s="15" t="str">
        <f>IFERROR(IF([2]对账明细接口!$B$1152=0,"",[2]对账明细接口!$B$1152),"")</f>
        <v/>
      </c>
      <c r="C1152" s="16" t="str">
        <f>IFERROR(IF([2]对账明细接口!$C$1152=0,"",[2]对账明细接口!$C$1152),"")</f>
        <v/>
      </c>
      <c r="D1152" s="16" t="str">
        <f>IFERROR(IF([2]对账明细接口!$D$1152=0,"",[2]对账明细接口!$D$1152),"")</f>
        <v/>
      </c>
      <c r="E1152" s="16" t="str">
        <f>IFERROR(IF([2]对账明细接口!$E$1152=0,"",[2]对账明细接口!$E$1152),"")</f>
        <v/>
      </c>
      <c r="F1152" s="16" t="str">
        <f>IFERROR(IF([2]对账明细接口!$F$1152=0,"",[2]对账明细接口!$F$1152),"")</f>
        <v/>
      </c>
      <c r="G1152" s="16" t="str">
        <f>IFERROR(IF([2]对账明细接口!$G$1152=0,"",[2]对账明细接口!$G$1152),"")</f>
        <v/>
      </c>
      <c r="H1152" s="17" t="str">
        <f>IFERROR(IF([2]对账明细接口!$H$1152=0,"",[2]对账明细接口!$H$1152),"")</f>
        <v/>
      </c>
      <c r="I1152" s="16" t="str">
        <f>IFERROR(IF([2]对账明细接口!$I$1152=0,"",[2]对账明细接口!$I$1152),"")</f>
        <v/>
      </c>
      <c r="J1152" s="18" t="str">
        <f>IFERROR(IF([2]对账明细接口!$J$1152=0,"",[2]对账明细接口!$J$1152),"")</f>
        <v/>
      </c>
      <c r="K1152" s="18" t="str">
        <f>IFERROR(IF([2]对账明细接口!$K$1152=0,"",[2]对账明细接口!$K$1152),"")</f>
        <v/>
      </c>
      <c r="L1152" s="16" t="str">
        <f>IFERROR(IF([2]对账明细接口!$L$1152=0,"",[2]对账明细接口!$L$1152),"")</f>
        <v/>
      </c>
      <c r="M1152" s="16" t="str">
        <f>IFERROR(IF([2]对账明细接口!$M$1152=0,"",[2]对账明细接口!$M$1152),"")</f>
        <v/>
      </c>
      <c r="N1152" s="19">
        <f t="shared" si="102"/>
        <v>0</v>
      </c>
      <c r="O1152" s="19">
        <f t="shared" si="103"/>
        <v>165</v>
      </c>
      <c r="S1152" s="20" t="str">
        <f>IFERROR(IF([2]对账明细接口!$N1152=0,"",[2]对账明细接口!$N1152),"")</f>
        <v/>
      </c>
      <c r="T1152" s="21" t="str">
        <f>IFERROR(IF([2]对账明细接口!$O1152=0,"",[2]对账明细接口!$O1152),"")</f>
        <v/>
      </c>
      <c r="U1152" s="21" t="str">
        <f>IFERROR(IF([2]对账明细接口!$P1152=0,"",[2]对账明细接口!$P1152),"")</f>
        <v/>
      </c>
      <c r="V1152" s="21" t="str">
        <f>IFERROR(IF([2]对账明细接口!$Q1152=0,"",[2]对账明细接口!$Q1152),"")</f>
        <v/>
      </c>
      <c r="W1152" s="20" t="str">
        <f>IFERROR(IF([2]对账明细接口!$R1152=0,"",[2]对账明细接口!$R1152),"")</f>
        <v/>
      </c>
      <c r="X1152" s="20" t="str">
        <f>IFERROR(IF([2]对账明细接口!$S1152=0,"",[2]对账明细接口!$S1152),"")</f>
        <v/>
      </c>
      <c r="Y1152" s="20" t="str">
        <f t="shared" si="104"/>
        <v/>
      </c>
      <c r="Z1152" s="20" t="str">
        <f t="shared" si="105"/>
        <v/>
      </c>
      <c r="AA1152" s="20" t="str">
        <f t="shared" si="106"/>
        <v/>
      </c>
      <c r="AB1152" s="20" t="str">
        <f t="shared" si="107"/>
        <v/>
      </c>
    </row>
    <row r="1153" customHeight="1" spans="1:28">
      <c r="A1153" s="14">
        <v>1153</v>
      </c>
      <c r="B1153" s="15" t="str">
        <f>IFERROR(IF([2]对账明细接口!$B$1153=0,"",[2]对账明细接口!$B$1153),"")</f>
        <v/>
      </c>
      <c r="C1153" s="16" t="str">
        <f>IFERROR(IF([2]对账明细接口!$C$1153=0,"",[2]对账明细接口!$C$1153),"")</f>
        <v/>
      </c>
      <c r="D1153" s="16" t="str">
        <f>IFERROR(IF([2]对账明细接口!$D$1153=0,"",[2]对账明细接口!$D$1153),"")</f>
        <v/>
      </c>
      <c r="E1153" s="16" t="str">
        <f>IFERROR(IF([2]对账明细接口!$E$1153=0,"",[2]对账明细接口!$E$1153),"")</f>
        <v/>
      </c>
      <c r="F1153" s="16" t="str">
        <f>IFERROR(IF([2]对账明细接口!$F$1153=0,"",[2]对账明细接口!$F$1153),"")</f>
        <v/>
      </c>
      <c r="G1153" s="16" t="str">
        <f>IFERROR(IF([2]对账明细接口!$G$1153=0,"",[2]对账明细接口!$G$1153),"")</f>
        <v/>
      </c>
      <c r="H1153" s="17" t="str">
        <f>IFERROR(IF([2]对账明细接口!$H$1153=0,"",[2]对账明细接口!$H$1153),"")</f>
        <v/>
      </c>
      <c r="I1153" s="16" t="str">
        <f>IFERROR(IF([2]对账明细接口!$I$1153=0,"",[2]对账明细接口!$I$1153),"")</f>
        <v/>
      </c>
      <c r="J1153" s="18" t="str">
        <f>IFERROR(IF([2]对账明细接口!$J$1153=0,"",[2]对账明细接口!$J$1153),"")</f>
        <v/>
      </c>
      <c r="K1153" s="18" t="str">
        <f>IFERROR(IF([2]对账明细接口!$K$1153=0,"",[2]对账明细接口!$K$1153),"")</f>
        <v/>
      </c>
      <c r="L1153" s="16" t="str">
        <f>IFERROR(IF([2]对账明细接口!$L$1153=0,"",[2]对账明细接口!$L$1153),"")</f>
        <v/>
      </c>
      <c r="M1153" s="16" t="str">
        <f>IFERROR(IF([2]对账明细接口!$M$1153=0,"",[2]对账明细接口!$M$1153),"")</f>
        <v/>
      </c>
      <c r="N1153" s="19">
        <f t="shared" si="102"/>
        <v>0</v>
      </c>
      <c r="O1153" s="19">
        <f t="shared" si="103"/>
        <v>165</v>
      </c>
      <c r="S1153" s="20" t="str">
        <f>IFERROR(IF([2]对账明细接口!$N1153=0,"",[2]对账明细接口!$N1153),"")</f>
        <v/>
      </c>
      <c r="T1153" s="21" t="str">
        <f>IFERROR(IF([2]对账明细接口!$O1153=0,"",[2]对账明细接口!$O1153),"")</f>
        <v/>
      </c>
      <c r="U1153" s="21" t="str">
        <f>IFERROR(IF([2]对账明细接口!$P1153=0,"",[2]对账明细接口!$P1153),"")</f>
        <v/>
      </c>
      <c r="V1153" s="21" t="str">
        <f>IFERROR(IF([2]对账明细接口!$Q1153=0,"",[2]对账明细接口!$Q1153),"")</f>
        <v/>
      </c>
      <c r="W1153" s="20" t="str">
        <f>IFERROR(IF([2]对账明细接口!$R1153=0,"",[2]对账明细接口!$R1153),"")</f>
        <v/>
      </c>
      <c r="X1153" s="20" t="str">
        <f>IFERROR(IF([2]对账明细接口!$S1153=0,"",[2]对账明细接口!$S1153),"")</f>
        <v/>
      </c>
      <c r="Y1153" s="20" t="str">
        <f t="shared" si="104"/>
        <v/>
      </c>
      <c r="Z1153" s="20" t="str">
        <f t="shared" si="105"/>
        <v/>
      </c>
      <c r="AA1153" s="20" t="str">
        <f t="shared" si="106"/>
        <v/>
      </c>
      <c r="AB1153" s="20" t="str">
        <f t="shared" si="107"/>
        <v/>
      </c>
    </row>
    <row r="1154" customHeight="1" spans="1:28">
      <c r="A1154" s="14">
        <v>1154</v>
      </c>
      <c r="B1154" s="15" t="str">
        <f>IFERROR(IF([2]对账明细接口!$B$1154=0,"",[2]对账明细接口!$B$1154),"")</f>
        <v/>
      </c>
      <c r="C1154" s="16" t="str">
        <f>IFERROR(IF([2]对账明细接口!$C$1154=0,"",[2]对账明细接口!$C$1154),"")</f>
        <v/>
      </c>
      <c r="D1154" s="16" t="str">
        <f>IFERROR(IF([2]对账明细接口!$D$1154=0,"",[2]对账明细接口!$D$1154),"")</f>
        <v/>
      </c>
      <c r="E1154" s="16" t="str">
        <f>IFERROR(IF([2]对账明细接口!$E$1154=0,"",[2]对账明细接口!$E$1154),"")</f>
        <v/>
      </c>
      <c r="F1154" s="16" t="str">
        <f>IFERROR(IF([2]对账明细接口!$F$1154=0,"",[2]对账明细接口!$F$1154),"")</f>
        <v/>
      </c>
      <c r="G1154" s="16" t="str">
        <f>IFERROR(IF([2]对账明细接口!$G$1154=0,"",[2]对账明细接口!$G$1154),"")</f>
        <v/>
      </c>
      <c r="H1154" s="17" t="str">
        <f>IFERROR(IF([2]对账明细接口!$H$1154=0,"",[2]对账明细接口!$H$1154),"")</f>
        <v/>
      </c>
      <c r="I1154" s="16" t="str">
        <f>IFERROR(IF([2]对账明细接口!$I$1154=0,"",[2]对账明细接口!$I$1154),"")</f>
        <v/>
      </c>
      <c r="J1154" s="18" t="str">
        <f>IFERROR(IF([2]对账明细接口!$J$1154=0,"",[2]对账明细接口!$J$1154),"")</f>
        <v/>
      </c>
      <c r="K1154" s="18" t="str">
        <f>IFERROR(IF([2]对账明细接口!$K$1154=0,"",[2]对账明细接口!$K$1154),"")</f>
        <v/>
      </c>
      <c r="L1154" s="16" t="str">
        <f>IFERROR(IF([2]对账明细接口!$L$1154=0,"",[2]对账明细接口!$L$1154),"")</f>
        <v/>
      </c>
      <c r="M1154" s="16" t="str">
        <f>IFERROR(IF([2]对账明细接口!$M$1154=0,"",[2]对账明细接口!$M$1154),"")</f>
        <v/>
      </c>
      <c r="N1154" s="19">
        <f t="shared" si="102"/>
        <v>0</v>
      </c>
      <c r="O1154" s="19">
        <f t="shared" si="103"/>
        <v>165</v>
      </c>
      <c r="S1154" s="20" t="str">
        <f>IFERROR(IF([2]对账明细接口!$N1154=0,"",[2]对账明细接口!$N1154),"")</f>
        <v/>
      </c>
      <c r="T1154" s="21" t="str">
        <f>IFERROR(IF([2]对账明细接口!$O1154=0,"",[2]对账明细接口!$O1154),"")</f>
        <v/>
      </c>
      <c r="U1154" s="21" t="str">
        <f>IFERROR(IF([2]对账明细接口!$P1154=0,"",[2]对账明细接口!$P1154),"")</f>
        <v/>
      </c>
      <c r="V1154" s="21" t="str">
        <f>IFERROR(IF([2]对账明细接口!$Q1154=0,"",[2]对账明细接口!$Q1154),"")</f>
        <v/>
      </c>
      <c r="W1154" s="20" t="str">
        <f>IFERROR(IF([2]对账明细接口!$R1154=0,"",[2]对账明细接口!$R1154),"")</f>
        <v/>
      </c>
      <c r="X1154" s="20" t="str">
        <f>IFERROR(IF([2]对账明细接口!$S1154=0,"",[2]对账明细接口!$S1154),"")</f>
        <v/>
      </c>
      <c r="Y1154" s="20" t="str">
        <f t="shared" si="104"/>
        <v/>
      </c>
      <c r="Z1154" s="20" t="str">
        <f t="shared" si="105"/>
        <v/>
      </c>
      <c r="AA1154" s="20" t="str">
        <f t="shared" si="106"/>
        <v/>
      </c>
      <c r="AB1154" s="20" t="str">
        <f t="shared" si="107"/>
        <v/>
      </c>
    </row>
    <row r="1155" customHeight="1" spans="1:28">
      <c r="A1155" s="14">
        <v>1155</v>
      </c>
      <c r="B1155" s="15" t="str">
        <f>IFERROR(IF([2]对账明细接口!$B$1155=0,"",[2]对账明细接口!$B$1155),"")</f>
        <v/>
      </c>
      <c r="C1155" s="16" t="str">
        <f>IFERROR(IF([2]对账明细接口!$C$1155=0,"",[2]对账明细接口!$C$1155),"")</f>
        <v/>
      </c>
      <c r="D1155" s="16" t="str">
        <f>IFERROR(IF([2]对账明细接口!$D$1155=0,"",[2]对账明细接口!$D$1155),"")</f>
        <v/>
      </c>
      <c r="E1155" s="16" t="str">
        <f>IFERROR(IF([2]对账明细接口!$E$1155=0,"",[2]对账明细接口!$E$1155),"")</f>
        <v/>
      </c>
      <c r="F1155" s="16" t="str">
        <f>IFERROR(IF([2]对账明细接口!$F$1155=0,"",[2]对账明细接口!$F$1155),"")</f>
        <v/>
      </c>
      <c r="G1155" s="16" t="str">
        <f>IFERROR(IF([2]对账明细接口!$G$1155=0,"",[2]对账明细接口!$G$1155),"")</f>
        <v/>
      </c>
      <c r="H1155" s="17" t="str">
        <f>IFERROR(IF([2]对账明细接口!$H$1155=0,"",[2]对账明细接口!$H$1155),"")</f>
        <v/>
      </c>
      <c r="I1155" s="16" t="str">
        <f>IFERROR(IF([2]对账明细接口!$I$1155=0,"",[2]对账明细接口!$I$1155),"")</f>
        <v/>
      </c>
      <c r="J1155" s="18" t="str">
        <f>IFERROR(IF([2]对账明细接口!$J$1155=0,"",[2]对账明细接口!$J$1155),"")</f>
        <v/>
      </c>
      <c r="K1155" s="18" t="str">
        <f>IFERROR(IF([2]对账明细接口!$K$1155=0,"",[2]对账明细接口!$K$1155),"")</f>
        <v/>
      </c>
      <c r="L1155" s="16" t="str">
        <f>IFERROR(IF([2]对账明细接口!$L$1155=0,"",[2]对账明细接口!$L$1155),"")</f>
        <v/>
      </c>
      <c r="M1155" s="16" t="str">
        <f>IFERROR(IF([2]对账明细接口!$M$1155=0,"",[2]对账明细接口!$M$1155),"")</f>
        <v/>
      </c>
      <c r="N1155" s="19">
        <f t="shared" si="102"/>
        <v>0</v>
      </c>
      <c r="O1155" s="19">
        <f t="shared" si="103"/>
        <v>165</v>
      </c>
      <c r="S1155" s="20" t="str">
        <f>IFERROR(IF([2]对账明细接口!$N1155=0,"",[2]对账明细接口!$N1155),"")</f>
        <v/>
      </c>
      <c r="T1155" s="21" t="str">
        <f>IFERROR(IF([2]对账明细接口!$O1155=0,"",[2]对账明细接口!$O1155),"")</f>
        <v/>
      </c>
      <c r="U1155" s="21" t="str">
        <f>IFERROR(IF([2]对账明细接口!$P1155=0,"",[2]对账明细接口!$P1155),"")</f>
        <v/>
      </c>
      <c r="V1155" s="21" t="str">
        <f>IFERROR(IF([2]对账明细接口!$Q1155=0,"",[2]对账明细接口!$Q1155),"")</f>
        <v/>
      </c>
      <c r="W1155" s="20" t="str">
        <f>IFERROR(IF([2]对账明细接口!$R1155=0,"",[2]对账明细接口!$R1155),"")</f>
        <v/>
      </c>
      <c r="X1155" s="20" t="str">
        <f>IFERROR(IF([2]对账明细接口!$S1155=0,"",[2]对账明细接口!$S1155),"")</f>
        <v/>
      </c>
      <c r="Y1155" s="20" t="str">
        <f t="shared" si="104"/>
        <v/>
      </c>
      <c r="Z1155" s="20" t="str">
        <f t="shared" si="105"/>
        <v/>
      </c>
      <c r="AA1155" s="20" t="str">
        <f t="shared" si="106"/>
        <v/>
      </c>
      <c r="AB1155" s="20" t="str">
        <f t="shared" si="107"/>
        <v/>
      </c>
    </row>
    <row r="1156" customHeight="1" spans="1:28">
      <c r="A1156" s="14">
        <v>1156</v>
      </c>
      <c r="B1156" s="15" t="str">
        <f>IFERROR(IF([2]对账明细接口!$B$1156=0,"",[2]对账明细接口!$B$1156),"")</f>
        <v/>
      </c>
      <c r="C1156" s="16" t="str">
        <f>IFERROR(IF([2]对账明细接口!$C$1156=0,"",[2]对账明细接口!$C$1156),"")</f>
        <v/>
      </c>
      <c r="D1156" s="16" t="str">
        <f>IFERROR(IF([2]对账明细接口!$D$1156=0,"",[2]对账明细接口!$D$1156),"")</f>
        <v/>
      </c>
      <c r="E1156" s="16" t="str">
        <f>IFERROR(IF([2]对账明细接口!$E$1156=0,"",[2]对账明细接口!$E$1156),"")</f>
        <v/>
      </c>
      <c r="F1156" s="16" t="str">
        <f>IFERROR(IF([2]对账明细接口!$F$1156=0,"",[2]对账明细接口!$F$1156),"")</f>
        <v/>
      </c>
      <c r="G1156" s="16" t="str">
        <f>IFERROR(IF([2]对账明细接口!$G$1156=0,"",[2]对账明细接口!$G$1156),"")</f>
        <v/>
      </c>
      <c r="H1156" s="17" t="str">
        <f>IFERROR(IF([2]对账明细接口!$H$1156=0,"",[2]对账明细接口!$H$1156),"")</f>
        <v/>
      </c>
      <c r="I1156" s="16" t="str">
        <f>IFERROR(IF([2]对账明细接口!$I$1156=0,"",[2]对账明细接口!$I$1156),"")</f>
        <v/>
      </c>
      <c r="J1156" s="18" t="str">
        <f>IFERROR(IF([2]对账明细接口!$J$1156=0,"",[2]对账明细接口!$J$1156),"")</f>
        <v/>
      </c>
      <c r="K1156" s="18" t="str">
        <f>IFERROR(IF([2]对账明细接口!$K$1156=0,"",[2]对账明细接口!$K$1156),"")</f>
        <v/>
      </c>
      <c r="L1156" s="16" t="str">
        <f>IFERROR(IF([2]对账明细接口!$L$1156=0,"",[2]对账明细接口!$L$1156),"")</f>
        <v/>
      </c>
      <c r="M1156" s="16" t="str">
        <f>IFERROR(IF([2]对账明细接口!$M$1156=0,"",[2]对账明细接口!$M$1156),"")</f>
        <v/>
      </c>
      <c r="N1156" s="19">
        <f t="shared" ref="N1156:N1203" si="108">IF($C1156="",0,1)</f>
        <v>0</v>
      </c>
      <c r="O1156" s="19">
        <f t="shared" ref="O1156:O1203" si="109">N(O1155)+$N1156</f>
        <v>165</v>
      </c>
      <c r="S1156" s="20" t="str">
        <f>IFERROR(IF([2]对账明细接口!$N1156=0,"",[2]对账明细接口!$N1156),"")</f>
        <v/>
      </c>
      <c r="T1156" s="21" t="str">
        <f>IFERROR(IF([2]对账明细接口!$O1156=0,"",[2]对账明细接口!$O1156),"")</f>
        <v/>
      </c>
      <c r="U1156" s="21" t="str">
        <f>IFERROR(IF([2]对账明细接口!$P1156=0,"",[2]对账明细接口!$P1156),"")</f>
        <v/>
      </c>
      <c r="V1156" s="21" t="str">
        <f>IFERROR(IF([2]对账明细接口!$Q1156=0,"",[2]对账明细接口!$Q1156),"")</f>
        <v/>
      </c>
      <c r="W1156" s="20" t="str">
        <f>IFERROR(IF([2]对账明细接口!$R1156=0,"",[2]对账明细接口!$R1156),"")</f>
        <v/>
      </c>
      <c r="X1156" s="20" t="str">
        <f>IFERROR(IF([2]对账明细接口!$S1156=0,"",[2]对账明细接口!$S1156),"")</f>
        <v/>
      </c>
      <c r="Y1156" s="20" t="str">
        <f t="shared" ref="Y1156:Y1203" si="110">""</f>
        <v/>
      </c>
      <c r="Z1156" s="20" t="str">
        <f t="shared" ref="Z1156:Z1203" si="111">""</f>
        <v/>
      </c>
      <c r="AA1156" s="20" t="str">
        <f t="shared" ref="AA1156:AA1203" si="112">""</f>
        <v/>
      </c>
      <c r="AB1156" s="20" t="str">
        <f t="shared" ref="AB1156:AB1203" si="113">""</f>
        <v/>
      </c>
    </row>
    <row r="1157" customHeight="1" spans="1:28">
      <c r="A1157" s="14">
        <v>1157</v>
      </c>
      <c r="B1157" s="15" t="str">
        <f>IFERROR(IF([2]对账明细接口!$B$1157=0,"",[2]对账明细接口!$B$1157),"")</f>
        <v/>
      </c>
      <c r="C1157" s="16" t="str">
        <f>IFERROR(IF([2]对账明细接口!$C$1157=0,"",[2]对账明细接口!$C$1157),"")</f>
        <v/>
      </c>
      <c r="D1157" s="16" t="str">
        <f>IFERROR(IF([2]对账明细接口!$D$1157=0,"",[2]对账明细接口!$D$1157),"")</f>
        <v/>
      </c>
      <c r="E1157" s="16" t="str">
        <f>IFERROR(IF([2]对账明细接口!$E$1157=0,"",[2]对账明细接口!$E$1157),"")</f>
        <v/>
      </c>
      <c r="F1157" s="16" t="str">
        <f>IFERROR(IF([2]对账明细接口!$F$1157=0,"",[2]对账明细接口!$F$1157),"")</f>
        <v/>
      </c>
      <c r="G1157" s="16" t="str">
        <f>IFERROR(IF([2]对账明细接口!$G$1157=0,"",[2]对账明细接口!$G$1157),"")</f>
        <v/>
      </c>
      <c r="H1157" s="17" t="str">
        <f>IFERROR(IF([2]对账明细接口!$H$1157=0,"",[2]对账明细接口!$H$1157),"")</f>
        <v/>
      </c>
      <c r="I1157" s="16" t="str">
        <f>IFERROR(IF([2]对账明细接口!$I$1157=0,"",[2]对账明细接口!$I$1157),"")</f>
        <v/>
      </c>
      <c r="J1157" s="18" t="str">
        <f>IFERROR(IF([2]对账明细接口!$J$1157=0,"",[2]对账明细接口!$J$1157),"")</f>
        <v/>
      </c>
      <c r="K1157" s="18" t="str">
        <f>IFERROR(IF([2]对账明细接口!$K$1157=0,"",[2]对账明细接口!$K$1157),"")</f>
        <v/>
      </c>
      <c r="L1157" s="16" t="str">
        <f>IFERROR(IF([2]对账明细接口!$L$1157=0,"",[2]对账明细接口!$L$1157),"")</f>
        <v/>
      </c>
      <c r="M1157" s="16" t="str">
        <f>IFERROR(IF([2]对账明细接口!$M$1157=0,"",[2]对账明细接口!$M$1157),"")</f>
        <v/>
      </c>
      <c r="N1157" s="19">
        <f t="shared" si="108"/>
        <v>0</v>
      </c>
      <c r="O1157" s="19">
        <f t="shared" si="109"/>
        <v>165</v>
      </c>
      <c r="S1157" s="20" t="str">
        <f>IFERROR(IF([2]对账明细接口!$N1157=0,"",[2]对账明细接口!$N1157),"")</f>
        <v/>
      </c>
      <c r="T1157" s="21" t="str">
        <f>IFERROR(IF([2]对账明细接口!$O1157=0,"",[2]对账明细接口!$O1157),"")</f>
        <v/>
      </c>
      <c r="U1157" s="21" t="str">
        <f>IFERROR(IF([2]对账明细接口!$P1157=0,"",[2]对账明细接口!$P1157),"")</f>
        <v/>
      </c>
      <c r="V1157" s="21" t="str">
        <f>IFERROR(IF([2]对账明细接口!$Q1157=0,"",[2]对账明细接口!$Q1157),"")</f>
        <v/>
      </c>
      <c r="W1157" s="20" t="str">
        <f>IFERROR(IF([2]对账明细接口!$R1157=0,"",[2]对账明细接口!$R1157),"")</f>
        <v/>
      </c>
      <c r="X1157" s="20" t="str">
        <f>IFERROR(IF([2]对账明细接口!$S1157=0,"",[2]对账明细接口!$S1157),"")</f>
        <v/>
      </c>
      <c r="Y1157" s="20" t="str">
        <f t="shared" si="110"/>
        <v/>
      </c>
      <c r="Z1157" s="20" t="str">
        <f t="shared" si="111"/>
        <v/>
      </c>
      <c r="AA1157" s="20" t="str">
        <f t="shared" si="112"/>
        <v/>
      </c>
      <c r="AB1157" s="20" t="str">
        <f t="shared" si="113"/>
        <v/>
      </c>
    </row>
    <row r="1158" customHeight="1" spans="1:28">
      <c r="A1158" s="14">
        <v>1158</v>
      </c>
      <c r="B1158" s="15" t="str">
        <f>IFERROR(IF([2]对账明细接口!$B$1158=0,"",[2]对账明细接口!$B$1158),"")</f>
        <v/>
      </c>
      <c r="C1158" s="16" t="str">
        <f>IFERROR(IF([2]对账明细接口!$C$1158=0,"",[2]对账明细接口!$C$1158),"")</f>
        <v/>
      </c>
      <c r="D1158" s="16" t="str">
        <f>IFERROR(IF([2]对账明细接口!$D$1158=0,"",[2]对账明细接口!$D$1158),"")</f>
        <v/>
      </c>
      <c r="E1158" s="16" t="str">
        <f>IFERROR(IF([2]对账明细接口!$E$1158=0,"",[2]对账明细接口!$E$1158),"")</f>
        <v/>
      </c>
      <c r="F1158" s="16" t="str">
        <f>IFERROR(IF([2]对账明细接口!$F$1158=0,"",[2]对账明细接口!$F$1158),"")</f>
        <v/>
      </c>
      <c r="G1158" s="16" t="str">
        <f>IFERROR(IF([2]对账明细接口!$G$1158=0,"",[2]对账明细接口!$G$1158),"")</f>
        <v/>
      </c>
      <c r="H1158" s="17" t="str">
        <f>IFERROR(IF([2]对账明细接口!$H$1158=0,"",[2]对账明细接口!$H$1158),"")</f>
        <v/>
      </c>
      <c r="I1158" s="16" t="str">
        <f>IFERROR(IF([2]对账明细接口!$I$1158=0,"",[2]对账明细接口!$I$1158),"")</f>
        <v/>
      </c>
      <c r="J1158" s="18" t="str">
        <f>IFERROR(IF([2]对账明细接口!$J$1158=0,"",[2]对账明细接口!$J$1158),"")</f>
        <v/>
      </c>
      <c r="K1158" s="18" t="str">
        <f>IFERROR(IF([2]对账明细接口!$K$1158=0,"",[2]对账明细接口!$K$1158),"")</f>
        <v/>
      </c>
      <c r="L1158" s="16" t="str">
        <f>IFERROR(IF([2]对账明细接口!$L$1158=0,"",[2]对账明细接口!$L$1158),"")</f>
        <v/>
      </c>
      <c r="M1158" s="16" t="str">
        <f>IFERROR(IF([2]对账明细接口!$M$1158=0,"",[2]对账明细接口!$M$1158),"")</f>
        <v/>
      </c>
      <c r="N1158" s="19">
        <f t="shared" si="108"/>
        <v>0</v>
      </c>
      <c r="O1158" s="19">
        <f t="shared" si="109"/>
        <v>165</v>
      </c>
      <c r="S1158" s="20" t="str">
        <f>IFERROR(IF([2]对账明细接口!$N1158=0,"",[2]对账明细接口!$N1158),"")</f>
        <v/>
      </c>
      <c r="T1158" s="21" t="str">
        <f>IFERROR(IF([2]对账明细接口!$O1158=0,"",[2]对账明细接口!$O1158),"")</f>
        <v/>
      </c>
      <c r="U1158" s="21" t="str">
        <f>IFERROR(IF([2]对账明细接口!$P1158=0,"",[2]对账明细接口!$P1158),"")</f>
        <v/>
      </c>
      <c r="V1158" s="21" t="str">
        <f>IFERROR(IF([2]对账明细接口!$Q1158=0,"",[2]对账明细接口!$Q1158),"")</f>
        <v/>
      </c>
      <c r="W1158" s="20" t="str">
        <f>IFERROR(IF([2]对账明细接口!$R1158=0,"",[2]对账明细接口!$R1158),"")</f>
        <v/>
      </c>
      <c r="X1158" s="20" t="str">
        <f>IFERROR(IF([2]对账明细接口!$S1158=0,"",[2]对账明细接口!$S1158),"")</f>
        <v/>
      </c>
      <c r="Y1158" s="20" t="str">
        <f t="shared" si="110"/>
        <v/>
      </c>
      <c r="Z1158" s="20" t="str">
        <f t="shared" si="111"/>
        <v/>
      </c>
      <c r="AA1158" s="20" t="str">
        <f t="shared" si="112"/>
        <v/>
      </c>
      <c r="AB1158" s="20" t="str">
        <f t="shared" si="113"/>
        <v/>
      </c>
    </row>
    <row r="1159" customHeight="1" spans="1:28">
      <c r="A1159" s="14">
        <v>1159</v>
      </c>
      <c r="B1159" s="15" t="str">
        <f>IFERROR(IF([2]对账明细接口!$B$1159=0,"",[2]对账明细接口!$B$1159),"")</f>
        <v/>
      </c>
      <c r="C1159" s="16" t="str">
        <f>IFERROR(IF([2]对账明细接口!$C$1159=0,"",[2]对账明细接口!$C$1159),"")</f>
        <v/>
      </c>
      <c r="D1159" s="16" t="str">
        <f>IFERROR(IF([2]对账明细接口!$D$1159=0,"",[2]对账明细接口!$D$1159),"")</f>
        <v/>
      </c>
      <c r="E1159" s="16" t="str">
        <f>IFERROR(IF([2]对账明细接口!$E$1159=0,"",[2]对账明细接口!$E$1159),"")</f>
        <v/>
      </c>
      <c r="F1159" s="16" t="str">
        <f>IFERROR(IF([2]对账明细接口!$F$1159=0,"",[2]对账明细接口!$F$1159),"")</f>
        <v/>
      </c>
      <c r="G1159" s="16" t="str">
        <f>IFERROR(IF([2]对账明细接口!$G$1159=0,"",[2]对账明细接口!$G$1159),"")</f>
        <v/>
      </c>
      <c r="H1159" s="17" t="str">
        <f>IFERROR(IF([2]对账明细接口!$H$1159=0,"",[2]对账明细接口!$H$1159),"")</f>
        <v/>
      </c>
      <c r="I1159" s="16" t="str">
        <f>IFERROR(IF([2]对账明细接口!$I$1159=0,"",[2]对账明细接口!$I$1159),"")</f>
        <v/>
      </c>
      <c r="J1159" s="18" t="str">
        <f>IFERROR(IF([2]对账明细接口!$J$1159=0,"",[2]对账明细接口!$J$1159),"")</f>
        <v/>
      </c>
      <c r="K1159" s="18" t="str">
        <f>IFERROR(IF([2]对账明细接口!$K$1159=0,"",[2]对账明细接口!$K$1159),"")</f>
        <v/>
      </c>
      <c r="L1159" s="16" t="str">
        <f>IFERROR(IF([2]对账明细接口!$L$1159=0,"",[2]对账明细接口!$L$1159),"")</f>
        <v/>
      </c>
      <c r="M1159" s="16" t="str">
        <f>IFERROR(IF([2]对账明细接口!$M$1159=0,"",[2]对账明细接口!$M$1159),"")</f>
        <v/>
      </c>
      <c r="N1159" s="19">
        <f t="shared" si="108"/>
        <v>0</v>
      </c>
      <c r="O1159" s="19">
        <f t="shared" si="109"/>
        <v>165</v>
      </c>
      <c r="S1159" s="20" t="str">
        <f>IFERROR(IF([2]对账明细接口!$N1159=0,"",[2]对账明细接口!$N1159),"")</f>
        <v/>
      </c>
      <c r="T1159" s="21" t="str">
        <f>IFERROR(IF([2]对账明细接口!$O1159=0,"",[2]对账明细接口!$O1159),"")</f>
        <v/>
      </c>
      <c r="U1159" s="21" t="str">
        <f>IFERROR(IF([2]对账明细接口!$P1159=0,"",[2]对账明细接口!$P1159),"")</f>
        <v/>
      </c>
      <c r="V1159" s="21" t="str">
        <f>IFERROR(IF([2]对账明细接口!$Q1159=0,"",[2]对账明细接口!$Q1159),"")</f>
        <v/>
      </c>
      <c r="W1159" s="20" t="str">
        <f>IFERROR(IF([2]对账明细接口!$R1159=0,"",[2]对账明细接口!$R1159),"")</f>
        <v/>
      </c>
      <c r="X1159" s="20" t="str">
        <f>IFERROR(IF([2]对账明细接口!$S1159=0,"",[2]对账明细接口!$S1159),"")</f>
        <v/>
      </c>
      <c r="Y1159" s="20" t="str">
        <f t="shared" si="110"/>
        <v/>
      </c>
      <c r="Z1159" s="20" t="str">
        <f t="shared" si="111"/>
        <v/>
      </c>
      <c r="AA1159" s="20" t="str">
        <f t="shared" si="112"/>
        <v/>
      </c>
      <c r="AB1159" s="20" t="str">
        <f t="shared" si="113"/>
        <v/>
      </c>
    </row>
    <row r="1160" customHeight="1" spans="1:28">
      <c r="A1160" s="14">
        <v>1160</v>
      </c>
      <c r="B1160" s="15" t="str">
        <f>IFERROR(IF([2]对账明细接口!$B$1160=0,"",[2]对账明细接口!$B$1160),"")</f>
        <v/>
      </c>
      <c r="C1160" s="16" t="str">
        <f>IFERROR(IF([2]对账明细接口!$C$1160=0,"",[2]对账明细接口!$C$1160),"")</f>
        <v/>
      </c>
      <c r="D1160" s="16" t="str">
        <f>IFERROR(IF([2]对账明细接口!$D$1160=0,"",[2]对账明细接口!$D$1160),"")</f>
        <v/>
      </c>
      <c r="E1160" s="16" t="str">
        <f>IFERROR(IF([2]对账明细接口!$E$1160=0,"",[2]对账明细接口!$E$1160),"")</f>
        <v/>
      </c>
      <c r="F1160" s="16" t="str">
        <f>IFERROR(IF([2]对账明细接口!$F$1160=0,"",[2]对账明细接口!$F$1160),"")</f>
        <v/>
      </c>
      <c r="G1160" s="16" t="str">
        <f>IFERROR(IF([2]对账明细接口!$G$1160=0,"",[2]对账明细接口!$G$1160),"")</f>
        <v/>
      </c>
      <c r="H1160" s="17" t="str">
        <f>IFERROR(IF([2]对账明细接口!$H$1160=0,"",[2]对账明细接口!$H$1160),"")</f>
        <v/>
      </c>
      <c r="I1160" s="16" t="str">
        <f>IFERROR(IF([2]对账明细接口!$I$1160=0,"",[2]对账明细接口!$I$1160),"")</f>
        <v/>
      </c>
      <c r="J1160" s="18" t="str">
        <f>IFERROR(IF([2]对账明细接口!$J$1160=0,"",[2]对账明细接口!$J$1160),"")</f>
        <v/>
      </c>
      <c r="K1160" s="18" t="str">
        <f>IFERROR(IF([2]对账明细接口!$K$1160=0,"",[2]对账明细接口!$K$1160),"")</f>
        <v/>
      </c>
      <c r="L1160" s="16" t="str">
        <f>IFERROR(IF([2]对账明细接口!$L$1160=0,"",[2]对账明细接口!$L$1160),"")</f>
        <v/>
      </c>
      <c r="M1160" s="16" t="str">
        <f>IFERROR(IF([2]对账明细接口!$M$1160=0,"",[2]对账明细接口!$M$1160),"")</f>
        <v/>
      </c>
      <c r="N1160" s="19">
        <f t="shared" si="108"/>
        <v>0</v>
      </c>
      <c r="O1160" s="19">
        <f t="shared" si="109"/>
        <v>165</v>
      </c>
      <c r="S1160" s="20" t="str">
        <f>IFERROR(IF([2]对账明细接口!$N1160=0,"",[2]对账明细接口!$N1160),"")</f>
        <v/>
      </c>
      <c r="T1160" s="21" t="str">
        <f>IFERROR(IF([2]对账明细接口!$O1160=0,"",[2]对账明细接口!$O1160),"")</f>
        <v/>
      </c>
      <c r="U1160" s="21" t="str">
        <f>IFERROR(IF([2]对账明细接口!$P1160=0,"",[2]对账明细接口!$P1160),"")</f>
        <v/>
      </c>
      <c r="V1160" s="21" t="str">
        <f>IFERROR(IF([2]对账明细接口!$Q1160=0,"",[2]对账明细接口!$Q1160),"")</f>
        <v/>
      </c>
      <c r="W1160" s="20" t="str">
        <f>IFERROR(IF([2]对账明细接口!$R1160=0,"",[2]对账明细接口!$R1160),"")</f>
        <v/>
      </c>
      <c r="X1160" s="20" t="str">
        <f>IFERROR(IF([2]对账明细接口!$S1160=0,"",[2]对账明细接口!$S1160),"")</f>
        <v/>
      </c>
      <c r="Y1160" s="20" t="str">
        <f t="shared" si="110"/>
        <v/>
      </c>
      <c r="Z1160" s="20" t="str">
        <f t="shared" si="111"/>
        <v/>
      </c>
      <c r="AA1160" s="20" t="str">
        <f t="shared" si="112"/>
        <v/>
      </c>
      <c r="AB1160" s="20" t="str">
        <f t="shared" si="113"/>
        <v/>
      </c>
    </row>
    <row r="1161" customHeight="1" spans="1:28">
      <c r="A1161" s="14">
        <v>1161</v>
      </c>
      <c r="B1161" s="15" t="str">
        <f>IFERROR(IF([2]对账明细接口!$B$1161=0,"",[2]对账明细接口!$B$1161),"")</f>
        <v/>
      </c>
      <c r="C1161" s="16" t="str">
        <f>IFERROR(IF([2]对账明细接口!$C$1161=0,"",[2]对账明细接口!$C$1161),"")</f>
        <v/>
      </c>
      <c r="D1161" s="16" t="str">
        <f>IFERROR(IF([2]对账明细接口!$D$1161=0,"",[2]对账明细接口!$D$1161),"")</f>
        <v/>
      </c>
      <c r="E1161" s="16" t="str">
        <f>IFERROR(IF([2]对账明细接口!$E$1161=0,"",[2]对账明细接口!$E$1161),"")</f>
        <v/>
      </c>
      <c r="F1161" s="16" t="str">
        <f>IFERROR(IF([2]对账明细接口!$F$1161=0,"",[2]对账明细接口!$F$1161),"")</f>
        <v/>
      </c>
      <c r="G1161" s="16" t="str">
        <f>IFERROR(IF([2]对账明细接口!$G$1161=0,"",[2]对账明细接口!$G$1161),"")</f>
        <v/>
      </c>
      <c r="H1161" s="17" t="str">
        <f>IFERROR(IF([2]对账明细接口!$H$1161=0,"",[2]对账明细接口!$H$1161),"")</f>
        <v/>
      </c>
      <c r="I1161" s="16" t="str">
        <f>IFERROR(IF([2]对账明细接口!$I$1161=0,"",[2]对账明细接口!$I$1161),"")</f>
        <v/>
      </c>
      <c r="J1161" s="18" t="str">
        <f>IFERROR(IF([2]对账明细接口!$J$1161=0,"",[2]对账明细接口!$J$1161),"")</f>
        <v/>
      </c>
      <c r="K1161" s="18" t="str">
        <f>IFERROR(IF([2]对账明细接口!$K$1161=0,"",[2]对账明细接口!$K$1161),"")</f>
        <v/>
      </c>
      <c r="L1161" s="16" t="str">
        <f>IFERROR(IF([2]对账明细接口!$L$1161=0,"",[2]对账明细接口!$L$1161),"")</f>
        <v/>
      </c>
      <c r="M1161" s="16" t="str">
        <f>IFERROR(IF([2]对账明细接口!$M$1161=0,"",[2]对账明细接口!$M$1161),"")</f>
        <v/>
      </c>
      <c r="N1161" s="19">
        <f t="shared" si="108"/>
        <v>0</v>
      </c>
      <c r="O1161" s="19">
        <f t="shared" si="109"/>
        <v>165</v>
      </c>
      <c r="S1161" s="20" t="str">
        <f>IFERROR(IF([2]对账明细接口!$N1161=0,"",[2]对账明细接口!$N1161),"")</f>
        <v/>
      </c>
      <c r="T1161" s="21" t="str">
        <f>IFERROR(IF([2]对账明细接口!$O1161=0,"",[2]对账明细接口!$O1161),"")</f>
        <v/>
      </c>
      <c r="U1161" s="21" t="str">
        <f>IFERROR(IF([2]对账明细接口!$P1161=0,"",[2]对账明细接口!$P1161),"")</f>
        <v/>
      </c>
      <c r="V1161" s="21" t="str">
        <f>IFERROR(IF([2]对账明细接口!$Q1161=0,"",[2]对账明细接口!$Q1161),"")</f>
        <v/>
      </c>
      <c r="W1161" s="20" t="str">
        <f>IFERROR(IF([2]对账明细接口!$R1161=0,"",[2]对账明细接口!$R1161),"")</f>
        <v/>
      </c>
      <c r="X1161" s="20" t="str">
        <f>IFERROR(IF([2]对账明细接口!$S1161=0,"",[2]对账明细接口!$S1161),"")</f>
        <v/>
      </c>
      <c r="Y1161" s="20" t="str">
        <f t="shared" si="110"/>
        <v/>
      </c>
      <c r="Z1161" s="20" t="str">
        <f t="shared" si="111"/>
        <v/>
      </c>
      <c r="AA1161" s="20" t="str">
        <f t="shared" si="112"/>
        <v/>
      </c>
      <c r="AB1161" s="20" t="str">
        <f t="shared" si="113"/>
        <v/>
      </c>
    </row>
    <row r="1162" customHeight="1" spans="1:28">
      <c r="A1162" s="14">
        <v>1162</v>
      </c>
      <c r="B1162" s="15" t="str">
        <f>IFERROR(IF([2]对账明细接口!$B$1162=0,"",[2]对账明细接口!$B$1162),"")</f>
        <v/>
      </c>
      <c r="C1162" s="16" t="str">
        <f>IFERROR(IF([2]对账明细接口!$C$1162=0,"",[2]对账明细接口!$C$1162),"")</f>
        <v/>
      </c>
      <c r="D1162" s="16" t="str">
        <f>IFERROR(IF([2]对账明细接口!$D$1162=0,"",[2]对账明细接口!$D$1162),"")</f>
        <v/>
      </c>
      <c r="E1162" s="16" t="str">
        <f>IFERROR(IF([2]对账明细接口!$E$1162=0,"",[2]对账明细接口!$E$1162),"")</f>
        <v/>
      </c>
      <c r="F1162" s="16" t="str">
        <f>IFERROR(IF([2]对账明细接口!$F$1162=0,"",[2]对账明细接口!$F$1162),"")</f>
        <v/>
      </c>
      <c r="G1162" s="16" t="str">
        <f>IFERROR(IF([2]对账明细接口!$G$1162=0,"",[2]对账明细接口!$G$1162),"")</f>
        <v/>
      </c>
      <c r="H1162" s="17" t="str">
        <f>IFERROR(IF([2]对账明细接口!$H$1162=0,"",[2]对账明细接口!$H$1162),"")</f>
        <v/>
      </c>
      <c r="I1162" s="16" t="str">
        <f>IFERROR(IF([2]对账明细接口!$I$1162=0,"",[2]对账明细接口!$I$1162),"")</f>
        <v/>
      </c>
      <c r="J1162" s="18" t="str">
        <f>IFERROR(IF([2]对账明细接口!$J$1162=0,"",[2]对账明细接口!$J$1162),"")</f>
        <v/>
      </c>
      <c r="K1162" s="18" t="str">
        <f>IFERROR(IF([2]对账明细接口!$K$1162=0,"",[2]对账明细接口!$K$1162),"")</f>
        <v/>
      </c>
      <c r="L1162" s="16" t="str">
        <f>IFERROR(IF([2]对账明细接口!$L$1162=0,"",[2]对账明细接口!$L$1162),"")</f>
        <v/>
      </c>
      <c r="M1162" s="16" t="str">
        <f>IFERROR(IF([2]对账明细接口!$M$1162=0,"",[2]对账明细接口!$M$1162),"")</f>
        <v/>
      </c>
      <c r="N1162" s="19">
        <f t="shared" si="108"/>
        <v>0</v>
      </c>
      <c r="O1162" s="19">
        <f t="shared" si="109"/>
        <v>165</v>
      </c>
      <c r="S1162" s="20" t="str">
        <f>IFERROR(IF([2]对账明细接口!$N1162=0,"",[2]对账明细接口!$N1162),"")</f>
        <v/>
      </c>
      <c r="T1162" s="21" t="str">
        <f>IFERROR(IF([2]对账明细接口!$O1162=0,"",[2]对账明细接口!$O1162),"")</f>
        <v/>
      </c>
      <c r="U1162" s="21" t="str">
        <f>IFERROR(IF([2]对账明细接口!$P1162=0,"",[2]对账明细接口!$P1162),"")</f>
        <v/>
      </c>
      <c r="V1162" s="21" t="str">
        <f>IFERROR(IF([2]对账明细接口!$Q1162=0,"",[2]对账明细接口!$Q1162),"")</f>
        <v/>
      </c>
      <c r="W1162" s="20" t="str">
        <f>IFERROR(IF([2]对账明细接口!$R1162=0,"",[2]对账明细接口!$R1162),"")</f>
        <v/>
      </c>
      <c r="X1162" s="20" t="str">
        <f>IFERROR(IF([2]对账明细接口!$S1162=0,"",[2]对账明细接口!$S1162),"")</f>
        <v/>
      </c>
      <c r="Y1162" s="20" t="str">
        <f t="shared" si="110"/>
        <v/>
      </c>
      <c r="Z1162" s="20" t="str">
        <f t="shared" si="111"/>
        <v/>
      </c>
      <c r="AA1162" s="20" t="str">
        <f t="shared" si="112"/>
        <v/>
      </c>
      <c r="AB1162" s="20" t="str">
        <f t="shared" si="113"/>
        <v/>
      </c>
    </row>
    <row r="1163" customHeight="1" spans="1:28">
      <c r="A1163" s="14">
        <v>1163</v>
      </c>
      <c r="B1163" s="15" t="str">
        <f>IFERROR(IF([2]对账明细接口!$B$1163=0,"",[2]对账明细接口!$B$1163),"")</f>
        <v/>
      </c>
      <c r="C1163" s="16" t="str">
        <f>IFERROR(IF([2]对账明细接口!$C$1163=0,"",[2]对账明细接口!$C$1163),"")</f>
        <v/>
      </c>
      <c r="D1163" s="16" t="str">
        <f>IFERROR(IF([2]对账明细接口!$D$1163=0,"",[2]对账明细接口!$D$1163),"")</f>
        <v/>
      </c>
      <c r="E1163" s="16" t="str">
        <f>IFERROR(IF([2]对账明细接口!$E$1163=0,"",[2]对账明细接口!$E$1163),"")</f>
        <v/>
      </c>
      <c r="F1163" s="16" t="str">
        <f>IFERROR(IF([2]对账明细接口!$F$1163=0,"",[2]对账明细接口!$F$1163),"")</f>
        <v/>
      </c>
      <c r="G1163" s="16" t="str">
        <f>IFERROR(IF([2]对账明细接口!$G$1163=0,"",[2]对账明细接口!$G$1163),"")</f>
        <v/>
      </c>
      <c r="H1163" s="17" t="str">
        <f>IFERROR(IF([2]对账明细接口!$H$1163=0,"",[2]对账明细接口!$H$1163),"")</f>
        <v/>
      </c>
      <c r="I1163" s="16" t="str">
        <f>IFERROR(IF([2]对账明细接口!$I$1163=0,"",[2]对账明细接口!$I$1163),"")</f>
        <v/>
      </c>
      <c r="J1163" s="18" t="str">
        <f>IFERROR(IF([2]对账明细接口!$J$1163=0,"",[2]对账明细接口!$J$1163),"")</f>
        <v/>
      </c>
      <c r="K1163" s="18" t="str">
        <f>IFERROR(IF([2]对账明细接口!$K$1163=0,"",[2]对账明细接口!$K$1163),"")</f>
        <v/>
      </c>
      <c r="L1163" s="16" t="str">
        <f>IFERROR(IF([2]对账明细接口!$L$1163=0,"",[2]对账明细接口!$L$1163),"")</f>
        <v/>
      </c>
      <c r="M1163" s="16" t="str">
        <f>IFERROR(IF([2]对账明细接口!$M$1163=0,"",[2]对账明细接口!$M$1163),"")</f>
        <v/>
      </c>
      <c r="N1163" s="19">
        <f t="shared" si="108"/>
        <v>0</v>
      </c>
      <c r="O1163" s="19">
        <f t="shared" si="109"/>
        <v>165</v>
      </c>
      <c r="S1163" s="20" t="str">
        <f>IFERROR(IF([2]对账明细接口!$N1163=0,"",[2]对账明细接口!$N1163),"")</f>
        <v/>
      </c>
      <c r="T1163" s="21" t="str">
        <f>IFERROR(IF([2]对账明细接口!$O1163=0,"",[2]对账明细接口!$O1163),"")</f>
        <v/>
      </c>
      <c r="U1163" s="21" t="str">
        <f>IFERROR(IF([2]对账明细接口!$P1163=0,"",[2]对账明细接口!$P1163),"")</f>
        <v/>
      </c>
      <c r="V1163" s="21" t="str">
        <f>IFERROR(IF([2]对账明细接口!$Q1163=0,"",[2]对账明细接口!$Q1163),"")</f>
        <v/>
      </c>
      <c r="W1163" s="20" t="str">
        <f>IFERROR(IF([2]对账明细接口!$R1163=0,"",[2]对账明细接口!$R1163),"")</f>
        <v/>
      </c>
      <c r="X1163" s="20" t="str">
        <f>IFERROR(IF([2]对账明细接口!$S1163=0,"",[2]对账明细接口!$S1163),"")</f>
        <v/>
      </c>
      <c r="Y1163" s="20" t="str">
        <f t="shared" si="110"/>
        <v/>
      </c>
      <c r="Z1163" s="20" t="str">
        <f t="shared" si="111"/>
        <v/>
      </c>
      <c r="AA1163" s="20" t="str">
        <f t="shared" si="112"/>
        <v/>
      </c>
      <c r="AB1163" s="20" t="str">
        <f t="shared" si="113"/>
        <v/>
      </c>
    </row>
    <row r="1164" customHeight="1" spans="1:28">
      <c r="A1164" s="14">
        <v>1164</v>
      </c>
      <c r="B1164" s="15" t="str">
        <f>IFERROR(IF([2]对账明细接口!$B$1164=0,"",[2]对账明细接口!$B$1164),"")</f>
        <v/>
      </c>
      <c r="C1164" s="16" t="str">
        <f>IFERROR(IF([2]对账明细接口!$C$1164=0,"",[2]对账明细接口!$C$1164),"")</f>
        <v/>
      </c>
      <c r="D1164" s="16" t="str">
        <f>IFERROR(IF([2]对账明细接口!$D$1164=0,"",[2]对账明细接口!$D$1164),"")</f>
        <v/>
      </c>
      <c r="E1164" s="16" t="str">
        <f>IFERROR(IF([2]对账明细接口!$E$1164=0,"",[2]对账明细接口!$E$1164),"")</f>
        <v/>
      </c>
      <c r="F1164" s="16" t="str">
        <f>IFERROR(IF([2]对账明细接口!$F$1164=0,"",[2]对账明细接口!$F$1164),"")</f>
        <v/>
      </c>
      <c r="G1164" s="16" t="str">
        <f>IFERROR(IF([2]对账明细接口!$G$1164=0,"",[2]对账明细接口!$G$1164),"")</f>
        <v/>
      </c>
      <c r="H1164" s="17" t="str">
        <f>IFERROR(IF([2]对账明细接口!$H$1164=0,"",[2]对账明细接口!$H$1164),"")</f>
        <v/>
      </c>
      <c r="I1164" s="16" t="str">
        <f>IFERROR(IF([2]对账明细接口!$I$1164=0,"",[2]对账明细接口!$I$1164),"")</f>
        <v/>
      </c>
      <c r="J1164" s="18" t="str">
        <f>IFERROR(IF([2]对账明细接口!$J$1164=0,"",[2]对账明细接口!$J$1164),"")</f>
        <v/>
      </c>
      <c r="K1164" s="18" t="str">
        <f>IFERROR(IF([2]对账明细接口!$K$1164=0,"",[2]对账明细接口!$K$1164),"")</f>
        <v/>
      </c>
      <c r="L1164" s="16" t="str">
        <f>IFERROR(IF([2]对账明细接口!$L$1164=0,"",[2]对账明细接口!$L$1164),"")</f>
        <v/>
      </c>
      <c r="M1164" s="16" t="str">
        <f>IFERROR(IF([2]对账明细接口!$M$1164=0,"",[2]对账明细接口!$M$1164),"")</f>
        <v/>
      </c>
      <c r="N1164" s="19">
        <f t="shared" si="108"/>
        <v>0</v>
      </c>
      <c r="O1164" s="19">
        <f t="shared" si="109"/>
        <v>165</v>
      </c>
      <c r="S1164" s="20" t="str">
        <f>IFERROR(IF([2]对账明细接口!$N1164=0,"",[2]对账明细接口!$N1164),"")</f>
        <v/>
      </c>
      <c r="T1164" s="21" t="str">
        <f>IFERROR(IF([2]对账明细接口!$O1164=0,"",[2]对账明细接口!$O1164),"")</f>
        <v/>
      </c>
      <c r="U1164" s="21" t="str">
        <f>IFERROR(IF([2]对账明细接口!$P1164=0,"",[2]对账明细接口!$P1164),"")</f>
        <v/>
      </c>
      <c r="V1164" s="21" t="str">
        <f>IFERROR(IF([2]对账明细接口!$Q1164=0,"",[2]对账明细接口!$Q1164),"")</f>
        <v/>
      </c>
      <c r="W1164" s="20" t="str">
        <f>IFERROR(IF([2]对账明细接口!$R1164=0,"",[2]对账明细接口!$R1164),"")</f>
        <v/>
      </c>
      <c r="X1164" s="20" t="str">
        <f>IFERROR(IF([2]对账明细接口!$S1164=0,"",[2]对账明细接口!$S1164),"")</f>
        <v/>
      </c>
      <c r="Y1164" s="20" t="str">
        <f t="shared" si="110"/>
        <v/>
      </c>
      <c r="Z1164" s="20" t="str">
        <f t="shared" si="111"/>
        <v/>
      </c>
      <c r="AA1164" s="20" t="str">
        <f t="shared" si="112"/>
        <v/>
      </c>
      <c r="AB1164" s="20" t="str">
        <f t="shared" si="113"/>
        <v/>
      </c>
    </row>
    <row r="1165" customHeight="1" spans="1:28">
      <c r="A1165" s="14">
        <v>1165</v>
      </c>
      <c r="B1165" s="15" t="str">
        <f>IFERROR(IF([2]对账明细接口!$B$1165=0,"",[2]对账明细接口!$B$1165),"")</f>
        <v/>
      </c>
      <c r="C1165" s="16" t="str">
        <f>IFERROR(IF([2]对账明细接口!$C$1165=0,"",[2]对账明细接口!$C$1165),"")</f>
        <v/>
      </c>
      <c r="D1165" s="16" t="str">
        <f>IFERROR(IF([2]对账明细接口!$D$1165=0,"",[2]对账明细接口!$D$1165),"")</f>
        <v/>
      </c>
      <c r="E1165" s="16" t="str">
        <f>IFERROR(IF([2]对账明细接口!$E$1165=0,"",[2]对账明细接口!$E$1165),"")</f>
        <v/>
      </c>
      <c r="F1165" s="16" t="str">
        <f>IFERROR(IF([2]对账明细接口!$F$1165=0,"",[2]对账明细接口!$F$1165),"")</f>
        <v/>
      </c>
      <c r="G1165" s="16" t="str">
        <f>IFERROR(IF([2]对账明细接口!$G$1165=0,"",[2]对账明细接口!$G$1165),"")</f>
        <v/>
      </c>
      <c r="H1165" s="17" t="str">
        <f>IFERROR(IF([2]对账明细接口!$H$1165=0,"",[2]对账明细接口!$H$1165),"")</f>
        <v/>
      </c>
      <c r="I1165" s="16" t="str">
        <f>IFERROR(IF([2]对账明细接口!$I$1165=0,"",[2]对账明细接口!$I$1165),"")</f>
        <v/>
      </c>
      <c r="J1165" s="18" t="str">
        <f>IFERROR(IF([2]对账明细接口!$J$1165=0,"",[2]对账明细接口!$J$1165),"")</f>
        <v/>
      </c>
      <c r="K1165" s="18" t="str">
        <f>IFERROR(IF([2]对账明细接口!$K$1165=0,"",[2]对账明细接口!$K$1165),"")</f>
        <v/>
      </c>
      <c r="L1165" s="16" t="str">
        <f>IFERROR(IF([2]对账明细接口!$L$1165=0,"",[2]对账明细接口!$L$1165),"")</f>
        <v/>
      </c>
      <c r="M1165" s="16" t="str">
        <f>IFERROR(IF([2]对账明细接口!$M$1165=0,"",[2]对账明细接口!$M$1165),"")</f>
        <v/>
      </c>
      <c r="N1165" s="19">
        <f t="shared" si="108"/>
        <v>0</v>
      </c>
      <c r="O1165" s="19">
        <f t="shared" si="109"/>
        <v>165</v>
      </c>
      <c r="S1165" s="20" t="str">
        <f>IFERROR(IF([2]对账明细接口!$N1165=0,"",[2]对账明细接口!$N1165),"")</f>
        <v/>
      </c>
      <c r="T1165" s="21" t="str">
        <f>IFERROR(IF([2]对账明细接口!$O1165=0,"",[2]对账明细接口!$O1165),"")</f>
        <v/>
      </c>
      <c r="U1165" s="21" t="str">
        <f>IFERROR(IF([2]对账明细接口!$P1165=0,"",[2]对账明细接口!$P1165),"")</f>
        <v/>
      </c>
      <c r="V1165" s="21" t="str">
        <f>IFERROR(IF([2]对账明细接口!$Q1165=0,"",[2]对账明细接口!$Q1165),"")</f>
        <v/>
      </c>
      <c r="W1165" s="20" t="str">
        <f>IFERROR(IF([2]对账明细接口!$R1165=0,"",[2]对账明细接口!$R1165),"")</f>
        <v/>
      </c>
      <c r="X1165" s="20" t="str">
        <f>IFERROR(IF([2]对账明细接口!$S1165=0,"",[2]对账明细接口!$S1165),"")</f>
        <v/>
      </c>
      <c r="Y1165" s="20" t="str">
        <f t="shared" si="110"/>
        <v/>
      </c>
      <c r="Z1165" s="20" t="str">
        <f t="shared" si="111"/>
        <v/>
      </c>
      <c r="AA1165" s="20" t="str">
        <f t="shared" si="112"/>
        <v/>
      </c>
      <c r="AB1165" s="20" t="str">
        <f t="shared" si="113"/>
        <v/>
      </c>
    </row>
    <row r="1166" customHeight="1" spans="1:28">
      <c r="A1166" s="14">
        <v>1166</v>
      </c>
      <c r="B1166" s="15" t="str">
        <f>IFERROR(IF([2]对账明细接口!$B$1166=0,"",[2]对账明细接口!$B$1166),"")</f>
        <v/>
      </c>
      <c r="C1166" s="16" t="str">
        <f>IFERROR(IF([2]对账明细接口!$C$1166=0,"",[2]对账明细接口!$C$1166),"")</f>
        <v/>
      </c>
      <c r="D1166" s="16" t="str">
        <f>IFERROR(IF([2]对账明细接口!$D$1166=0,"",[2]对账明细接口!$D$1166),"")</f>
        <v/>
      </c>
      <c r="E1166" s="16" t="str">
        <f>IFERROR(IF([2]对账明细接口!$E$1166=0,"",[2]对账明细接口!$E$1166),"")</f>
        <v/>
      </c>
      <c r="F1166" s="16" t="str">
        <f>IFERROR(IF([2]对账明细接口!$F$1166=0,"",[2]对账明细接口!$F$1166),"")</f>
        <v/>
      </c>
      <c r="G1166" s="16" t="str">
        <f>IFERROR(IF([2]对账明细接口!$G$1166=0,"",[2]对账明细接口!$G$1166),"")</f>
        <v/>
      </c>
      <c r="H1166" s="17" t="str">
        <f>IFERROR(IF([2]对账明细接口!$H$1166=0,"",[2]对账明细接口!$H$1166),"")</f>
        <v/>
      </c>
      <c r="I1166" s="16" t="str">
        <f>IFERROR(IF([2]对账明细接口!$I$1166=0,"",[2]对账明细接口!$I$1166),"")</f>
        <v/>
      </c>
      <c r="J1166" s="18" t="str">
        <f>IFERROR(IF([2]对账明细接口!$J$1166=0,"",[2]对账明细接口!$J$1166),"")</f>
        <v/>
      </c>
      <c r="K1166" s="18" t="str">
        <f>IFERROR(IF([2]对账明细接口!$K$1166=0,"",[2]对账明细接口!$K$1166),"")</f>
        <v/>
      </c>
      <c r="L1166" s="16" t="str">
        <f>IFERROR(IF([2]对账明细接口!$L$1166=0,"",[2]对账明细接口!$L$1166),"")</f>
        <v/>
      </c>
      <c r="M1166" s="16" t="str">
        <f>IFERROR(IF([2]对账明细接口!$M$1166=0,"",[2]对账明细接口!$M$1166),"")</f>
        <v/>
      </c>
      <c r="N1166" s="19">
        <f t="shared" si="108"/>
        <v>0</v>
      </c>
      <c r="O1166" s="19">
        <f t="shared" si="109"/>
        <v>165</v>
      </c>
      <c r="S1166" s="20" t="str">
        <f>IFERROR(IF([2]对账明细接口!$N1166=0,"",[2]对账明细接口!$N1166),"")</f>
        <v/>
      </c>
      <c r="T1166" s="21" t="str">
        <f>IFERROR(IF([2]对账明细接口!$O1166=0,"",[2]对账明细接口!$O1166),"")</f>
        <v/>
      </c>
      <c r="U1166" s="21" t="str">
        <f>IFERROR(IF([2]对账明细接口!$P1166=0,"",[2]对账明细接口!$P1166),"")</f>
        <v/>
      </c>
      <c r="V1166" s="21" t="str">
        <f>IFERROR(IF([2]对账明细接口!$Q1166=0,"",[2]对账明细接口!$Q1166),"")</f>
        <v/>
      </c>
      <c r="W1166" s="20" t="str">
        <f>IFERROR(IF([2]对账明细接口!$R1166=0,"",[2]对账明细接口!$R1166),"")</f>
        <v/>
      </c>
      <c r="X1166" s="20" t="str">
        <f>IFERROR(IF([2]对账明细接口!$S1166=0,"",[2]对账明细接口!$S1166),"")</f>
        <v/>
      </c>
      <c r="Y1166" s="20" t="str">
        <f t="shared" si="110"/>
        <v/>
      </c>
      <c r="Z1166" s="20" t="str">
        <f t="shared" si="111"/>
        <v/>
      </c>
      <c r="AA1166" s="20" t="str">
        <f t="shared" si="112"/>
        <v/>
      </c>
      <c r="AB1166" s="20" t="str">
        <f t="shared" si="113"/>
        <v/>
      </c>
    </row>
    <row r="1167" customHeight="1" spans="1:28">
      <c r="A1167" s="14">
        <v>1167</v>
      </c>
      <c r="B1167" s="15" t="str">
        <f>IFERROR(IF([2]对账明细接口!$B$1167=0,"",[2]对账明细接口!$B$1167),"")</f>
        <v/>
      </c>
      <c r="C1167" s="16" t="str">
        <f>IFERROR(IF([2]对账明细接口!$C$1167=0,"",[2]对账明细接口!$C$1167),"")</f>
        <v/>
      </c>
      <c r="D1167" s="16" t="str">
        <f>IFERROR(IF([2]对账明细接口!$D$1167=0,"",[2]对账明细接口!$D$1167),"")</f>
        <v/>
      </c>
      <c r="E1167" s="16" t="str">
        <f>IFERROR(IF([2]对账明细接口!$E$1167=0,"",[2]对账明细接口!$E$1167),"")</f>
        <v/>
      </c>
      <c r="F1167" s="16" t="str">
        <f>IFERROR(IF([2]对账明细接口!$F$1167=0,"",[2]对账明细接口!$F$1167),"")</f>
        <v/>
      </c>
      <c r="G1167" s="16" t="str">
        <f>IFERROR(IF([2]对账明细接口!$G$1167=0,"",[2]对账明细接口!$G$1167),"")</f>
        <v/>
      </c>
      <c r="H1167" s="17" t="str">
        <f>IFERROR(IF([2]对账明细接口!$H$1167=0,"",[2]对账明细接口!$H$1167),"")</f>
        <v/>
      </c>
      <c r="I1167" s="16" t="str">
        <f>IFERROR(IF([2]对账明细接口!$I$1167=0,"",[2]对账明细接口!$I$1167),"")</f>
        <v/>
      </c>
      <c r="J1167" s="18" t="str">
        <f>IFERROR(IF([2]对账明细接口!$J$1167=0,"",[2]对账明细接口!$J$1167),"")</f>
        <v/>
      </c>
      <c r="K1167" s="18" t="str">
        <f>IFERROR(IF([2]对账明细接口!$K$1167=0,"",[2]对账明细接口!$K$1167),"")</f>
        <v/>
      </c>
      <c r="L1167" s="16" t="str">
        <f>IFERROR(IF([2]对账明细接口!$L$1167=0,"",[2]对账明细接口!$L$1167),"")</f>
        <v/>
      </c>
      <c r="M1167" s="16" t="str">
        <f>IFERROR(IF([2]对账明细接口!$M$1167=0,"",[2]对账明细接口!$M$1167),"")</f>
        <v/>
      </c>
      <c r="N1167" s="19">
        <f t="shared" si="108"/>
        <v>0</v>
      </c>
      <c r="O1167" s="19">
        <f t="shared" si="109"/>
        <v>165</v>
      </c>
      <c r="S1167" s="20" t="str">
        <f>IFERROR(IF([2]对账明细接口!$N1167=0,"",[2]对账明细接口!$N1167),"")</f>
        <v/>
      </c>
      <c r="T1167" s="21" t="str">
        <f>IFERROR(IF([2]对账明细接口!$O1167=0,"",[2]对账明细接口!$O1167),"")</f>
        <v/>
      </c>
      <c r="U1167" s="21" t="str">
        <f>IFERROR(IF([2]对账明细接口!$P1167=0,"",[2]对账明细接口!$P1167),"")</f>
        <v/>
      </c>
      <c r="V1167" s="21" t="str">
        <f>IFERROR(IF([2]对账明细接口!$Q1167=0,"",[2]对账明细接口!$Q1167),"")</f>
        <v/>
      </c>
      <c r="W1167" s="20" t="str">
        <f>IFERROR(IF([2]对账明细接口!$R1167=0,"",[2]对账明细接口!$R1167),"")</f>
        <v/>
      </c>
      <c r="X1167" s="20" t="str">
        <f>IFERROR(IF([2]对账明细接口!$S1167=0,"",[2]对账明细接口!$S1167),"")</f>
        <v/>
      </c>
      <c r="Y1167" s="20" t="str">
        <f t="shared" si="110"/>
        <v/>
      </c>
      <c r="Z1167" s="20" t="str">
        <f t="shared" si="111"/>
        <v/>
      </c>
      <c r="AA1167" s="20" t="str">
        <f t="shared" si="112"/>
        <v/>
      </c>
      <c r="AB1167" s="20" t="str">
        <f t="shared" si="113"/>
        <v/>
      </c>
    </row>
    <row r="1168" customHeight="1" spans="1:28">
      <c r="A1168" s="14">
        <v>1168</v>
      </c>
      <c r="B1168" s="15" t="str">
        <f>IFERROR(IF([2]对账明细接口!$B$1168=0,"",[2]对账明细接口!$B$1168),"")</f>
        <v/>
      </c>
      <c r="C1168" s="16" t="str">
        <f>IFERROR(IF([2]对账明细接口!$C$1168=0,"",[2]对账明细接口!$C$1168),"")</f>
        <v/>
      </c>
      <c r="D1168" s="16" t="str">
        <f>IFERROR(IF([2]对账明细接口!$D$1168=0,"",[2]对账明细接口!$D$1168),"")</f>
        <v/>
      </c>
      <c r="E1168" s="16" t="str">
        <f>IFERROR(IF([2]对账明细接口!$E$1168=0,"",[2]对账明细接口!$E$1168),"")</f>
        <v/>
      </c>
      <c r="F1168" s="16" t="str">
        <f>IFERROR(IF([2]对账明细接口!$F$1168=0,"",[2]对账明细接口!$F$1168),"")</f>
        <v/>
      </c>
      <c r="G1168" s="16" t="str">
        <f>IFERROR(IF([2]对账明细接口!$G$1168=0,"",[2]对账明细接口!$G$1168),"")</f>
        <v/>
      </c>
      <c r="H1168" s="17" t="str">
        <f>IFERROR(IF([2]对账明细接口!$H$1168=0,"",[2]对账明细接口!$H$1168),"")</f>
        <v/>
      </c>
      <c r="I1168" s="16" t="str">
        <f>IFERROR(IF([2]对账明细接口!$I$1168=0,"",[2]对账明细接口!$I$1168),"")</f>
        <v/>
      </c>
      <c r="J1168" s="18" t="str">
        <f>IFERROR(IF([2]对账明细接口!$J$1168=0,"",[2]对账明细接口!$J$1168),"")</f>
        <v/>
      </c>
      <c r="K1168" s="18" t="str">
        <f>IFERROR(IF([2]对账明细接口!$K$1168=0,"",[2]对账明细接口!$K$1168),"")</f>
        <v/>
      </c>
      <c r="L1168" s="16" t="str">
        <f>IFERROR(IF([2]对账明细接口!$L$1168=0,"",[2]对账明细接口!$L$1168),"")</f>
        <v/>
      </c>
      <c r="M1168" s="16" t="str">
        <f>IFERROR(IF([2]对账明细接口!$M$1168=0,"",[2]对账明细接口!$M$1168),"")</f>
        <v/>
      </c>
      <c r="N1168" s="19">
        <f t="shared" si="108"/>
        <v>0</v>
      </c>
      <c r="O1168" s="19">
        <f t="shared" si="109"/>
        <v>165</v>
      </c>
      <c r="S1168" s="20" t="str">
        <f>IFERROR(IF([2]对账明细接口!$N1168=0,"",[2]对账明细接口!$N1168),"")</f>
        <v/>
      </c>
      <c r="T1168" s="21" t="str">
        <f>IFERROR(IF([2]对账明细接口!$O1168=0,"",[2]对账明细接口!$O1168),"")</f>
        <v/>
      </c>
      <c r="U1168" s="21" t="str">
        <f>IFERROR(IF([2]对账明细接口!$P1168=0,"",[2]对账明细接口!$P1168),"")</f>
        <v/>
      </c>
      <c r="V1168" s="21" t="str">
        <f>IFERROR(IF([2]对账明细接口!$Q1168=0,"",[2]对账明细接口!$Q1168),"")</f>
        <v/>
      </c>
      <c r="W1168" s="20" t="str">
        <f>IFERROR(IF([2]对账明细接口!$R1168=0,"",[2]对账明细接口!$R1168),"")</f>
        <v/>
      </c>
      <c r="X1168" s="20" t="str">
        <f>IFERROR(IF([2]对账明细接口!$S1168=0,"",[2]对账明细接口!$S1168),"")</f>
        <v/>
      </c>
      <c r="Y1168" s="20" t="str">
        <f t="shared" si="110"/>
        <v/>
      </c>
      <c r="Z1168" s="20" t="str">
        <f t="shared" si="111"/>
        <v/>
      </c>
      <c r="AA1168" s="20" t="str">
        <f t="shared" si="112"/>
        <v/>
      </c>
      <c r="AB1168" s="20" t="str">
        <f t="shared" si="113"/>
        <v/>
      </c>
    </row>
    <row r="1169" customHeight="1" spans="1:28">
      <c r="A1169" s="14">
        <v>1169</v>
      </c>
      <c r="B1169" s="15" t="str">
        <f>IFERROR(IF([2]对账明细接口!$B$1169=0,"",[2]对账明细接口!$B$1169),"")</f>
        <v/>
      </c>
      <c r="C1169" s="16" t="str">
        <f>IFERROR(IF([2]对账明细接口!$C$1169=0,"",[2]对账明细接口!$C$1169),"")</f>
        <v/>
      </c>
      <c r="D1169" s="16" t="str">
        <f>IFERROR(IF([2]对账明细接口!$D$1169=0,"",[2]对账明细接口!$D$1169),"")</f>
        <v/>
      </c>
      <c r="E1169" s="16" t="str">
        <f>IFERROR(IF([2]对账明细接口!$E$1169=0,"",[2]对账明细接口!$E$1169),"")</f>
        <v/>
      </c>
      <c r="F1169" s="16" t="str">
        <f>IFERROR(IF([2]对账明细接口!$F$1169=0,"",[2]对账明细接口!$F$1169),"")</f>
        <v/>
      </c>
      <c r="G1169" s="16" t="str">
        <f>IFERROR(IF([2]对账明细接口!$G$1169=0,"",[2]对账明细接口!$G$1169),"")</f>
        <v/>
      </c>
      <c r="H1169" s="17" t="str">
        <f>IFERROR(IF([2]对账明细接口!$H$1169=0,"",[2]对账明细接口!$H$1169),"")</f>
        <v/>
      </c>
      <c r="I1169" s="16" t="str">
        <f>IFERROR(IF([2]对账明细接口!$I$1169=0,"",[2]对账明细接口!$I$1169),"")</f>
        <v/>
      </c>
      <c r="J1169" s="18" t="str">
        <f>IFERROR(IF([2]对账明细接口!$J$1169=0,"",[2]对账明细接口!$J$1169),"")</f>
        <v/>
      </c>
      <c r="K1169" s="18" t="str">
        <f>IFERROR(IF([2]对账明细接口!$K$1169=0,"",[2]对账明细接口!$K$1169),"")</f>
        <v/>
      </c>
      <c r="L1169" s="16" t="str">
        <f>IFERROR(IF([2]对账明细接口!$L$1169=0,"",[2]对账明细接口!$L$1169),"")</f>
        <v/>
      </c>
      <c r="M1169" s="16" t="str">
        <f>IFERROR(IF([2]对账明细接口!$M$1169=0,"",[2]对账明细接口!$M$1169),"")</f>
        <v/>
      </c>
      <c r="N1169" s="19">
        <f t="shared" si="108"/>
        <v>0</v>
      </c>
      <c r="O1169" s="19">
        <f t="shared" si="109"/>
        <v>165</v>
      </c>
      <c r="S1169" s="20" t="str">
        <f>IFERROR(IF([2]对账明细接口!$N1169=0,"",[2]对账明细接口!$N1169),"")</f>
        <v/>
      </c>
      <c r="T1169" s="21" t="str">
        <f>IFERROR(IF([2]对账明细接口!$O1169=0,"",[2]对账明细接口!$O1169),"")</f>
        <v/>
      </c>
      <c r="U1169" s="21" t="str">
        <f>IFERROR(IF([2]对账明细接口!$P1169=0,"",[2]对账明细接口!$P1169),"")</f>
        <v/>
      </c>
      <c r="V1169" s="21" t="str">
        <f>IFERROR(IF([2]对账明细接口!$Q1169=0,"",[2]对账明细接口!$Q1169),"")</f>
        <v/>
      </c>
      <c r="W1169" s="20" t="str">
        <f>IFERROR(IF([2]对账明细接口!$R1169=0,"",[2]对账明细接口!$R1169),"")</f>
        <v/>
      </c>
      <c r="X1169" s="20" t="str">
        <f>IFERROR(IF([2]对账明细接口!$S1169=0,"",[2]对账明细接口!$S1169),"")</f>
        <v/>
      </c>
      <c r="Y1169" s="20" t="str">
        <f t="shared" si="110"/>
        <v/>
      </c>
      <c r="Z1169" s="20" t="str">
        <f t="shared" si="111"/>
        <v/>
      </c>
      <c r="AA1169" s="20" t="str">
        <f t="shared" si="112"/>
        <v/>
      </c>
      <c r="AB1169" s="20" t="str">
        <f t="shared" si="113"/>
        <v/>
      </c>
    </row>
    <row r="1170" customHeight="1" spans="1:28">
      <c r="A1170" s="14">
        <v>1170</v>
      </c>
      <c r="B1170" s="15" t="str">
        <f>IFERROR(IF([2]对账明细接口!$B$1170=0,"",[2]对账明细接口!$B$1170),"")</f>
        <v/>
      </c>
      <c r="C1170" s="16" t="str">
        <f>IFERROR(IF([2]对账明细接口!$C$1170=0,"",[2]对账明细接口!$C$1170),"")</f>
        <v/>
      </c>
      <c r="D1170" s="16" t="str">
        <f>IFERROR(IF([2]对账明细接口!$D$1170=0,"",[2]对账明细接口!$D$1170),"")</f>
        <v/>
      </c>
      <c r="E1170" s="16" t="str">
        <f>IFERROR(IF([2]对账明细接口!$E$1170=0,"",[2]对账明细接口!$E$1170),"")</f>
        <v/>
      </c>
      <c r="F1170" s="16" t="str">
        <f>IFERROR(IF([2]对账明细接口!$F$1170=0,"",[2]对账明细接口!$F$1170),"")</f>
        <v/>
      </c>
      <c r="G1170" s="16" t="str">
        <f>IFERROR(IF([2]对账明细接口!$G$1170=0,"",[2]对账明细接口!$G$1170),"")</f>
        <v/>
      </c>
      <c r="H1170" s="17" t="str">
        <f>IFERROR(IF([2]对账明细接口!$H$1170=0,"",[2]对账明细接口!$H$1170),"")</f>
        <v/>
      </c>
      <c r="I1170" s="16" t="str">
        <f>IFERROR(IF([2]对账明细接口!$I$1170=0,"",[2]对账明细接口!$I$1170),"")</f>
        <v/>
      </c>
      <c r="J1170" s="18" t="str">
        <f>IFERROR(IF([2]对账明细接口!$J$1170=0,"",[2]对账明细接口!$J$1170),"")</f>
        <v/>
      </c>
      <c r="K1170" s="18" t="str">
        <f>IFERROR(IF([2]对账明细接口!$K$1170=0,"",[2]对账明细接口!$K$1170),"")</f>
        <v/>
      </c>
      <c r="L1170" s="16" t="str">
        <f>IFERROR(IF([2]对账明细接口!$L$1170=0,"",[2]对账明细接口!$L$1170),"")</f>
        <v/>
      </c>
      <c r="M1170" s="16" t="str">
        <f>IFERROR(IF([2]对账明细接口!$M$1170=0,"",[2]对账明细接口!$M$1170),"")</f>
        <v/>
      </c>
      <c r="N1170" s="19">
        <f t="shared" si="108"/>
        <v>0</v>
      </c>
      <c r="O1170" s="19">
        <f t="shared" si="109"/>
        <v>165</v>
      </c>
      <c r="S1170" s="20" t="str">
        <f>IFERROR(IF([2]对账明细接口!$N1170=0,"",[2]对账明细接口!$N1170),"")</f>
        <v/>
      </c>
      <c r="T1170" s="21" t="str">
        <f>IFERROR(IF([2]对账明细接口!$O1170=0,"",[2]对账明细接口!$O1170),"")</f>
        <v/>
      </c>
      <c r="U1170" s="21" t="str">
        <f>IFERROR(IF([2]对账明细接口!$P1170=0,"",[2]对账明细接口!$P1170),"")</f>
        <v/>
      </c>
      <c r="V1170" s="21" t="str">
        <f>IFERROR(IF([2]对账明细接口!$Q1170=0,"",[2]对账明细接口!$Q1170),"")</f>
        <v/>
      </c>
      <c r="W1170" s="20" t="str">
        <f>IFERROR(IF([2]对账明细接口!$R1170=0,"",[2]对账明细接口!$R1170),"")</f>
        <v/>
      </c>
      <c r="X1170" s="20" t="str">
        <f>IFERROR(IF([2]对账明细接口!$S1170=0,"",[2]对账明细接口!$S1170),"")</f>
        <v/>
      </c>
      <c r="Y1170" s="20" t="str">
        <f t="shared" si="110"/>
        <v/>
      </c>
      <c r="Z1170" s="20" t="str">
        <f t="shared" si="111"/>
        <v/>
      </c>
      <c r="AA1170" s="20" t="str">
        <f t="shared" si="112"/>
        <v/>
      </c>
      <c r="AB1170" s="20" t="str">
        <f t="shared" si="113"/>
        <v/>
      </c>
    </row>
    <row r="1171" customHeight="1" spans="1:28">
      <c r="A1171" s="14">
        <v>1171</v>
      </c>
      <c r="B1171" s="15" t="str">
        <f>IFERROR(IF([2]对账明细接口!$B$1171=0,"",[2]对账明细接口!$B$1171),"")</f>
        <v/>
      </c>
      <c r="C1171" s="16" t="str">
        <f>IFERROR(IF([2]对账明细接口!$C$1171=0,"",[2]对账明细接口!$C$1171),"")</f>
        <v/>
      </c>
      <c r="D1171" s="16" t="str">
        <f>IFERROR(IF([2]对账明细接口!$D$1171=0,"",[2]对账明细接口!$D$1171),"")</f>
        <v/>
      </c>
      <c r="E1171" s="16" t="str">
        <f>IFERROR(IF([2]对账明细接口!$E$1171=0,"",[2]对账明细接口!$E$1171),"")</f>
        <v/>
      </c>
      <c r="F1171" s="16" t="str">
        <f>IFERROR(IF([2]对账明细接口!$F$1171=0,"",[2]对账明细接口!$F$1171),"")</f>
        <v/>
      </c>
      <c r="G1171" s="16" t="str">
        <f>IFERROR(IF([2]对账明细接口!$G$1171=0,"",[2]对账明细接口!$G$1171),"")</f>
        <v/>
      </c>
      <c r="H1171" s="17" t="str">
        <f>IFERROR(IF([2]对账明细接口!$H$1171=0,"",[2]对账明细接口!$H$1171),"")</f>
        <v/>
      </c>
      <c r="I1171" s="16" t="str">
        <f>IFERROR(IF([2]对账明细接口!$I$1171=0,"",[2]对账明细接口!$I$1171),"")</f>
        <v/>
      </c>
      <c r="J1171" s="18" t="str">
        <f>IFERROR(IF([2]对账明细接口!$J$1171=0,"",[2]对账明细接口!$J$1171),"")</f>
        <v/>
      </c>
      <c r="K1171" s="18" t="str">
        <f>IFERROR(IF([2]对账明细接口!$K$1171=0,"",[2]对账明细接口!$K$1171),"")</f>
        <v/>
      </c>
      <c r="L1171" s="16" t="str">
        <f>IFERROR(IF([2]对账明细接口!$L$1171=0,"",[2]对账明细接口!$L$1171),"")</f>
        <v/>
      </c>
      <c r="M1171" s="16" t="str">
        <f>IFERROR(IF([2]对账明细接口!$M$1171=0,"",[2]对账明细接口!$M$1171),"")</f>
        <v/>
      </c>
      <c r="N1171" s="19">
        <f t="shared" si="108"/>
        <v>0</v>
      </c>
      <c r="O1171" s="19">
        <f t="shared" si="109"/>
        <v>165</v>
      </c>
      <c r="S1171" s="20" t="str">
        <f>IFERROR(IF([2]对账明细接口!$N1171=0,"",[2]对账明细接口!$N1171),"")</f>
        <v/>
      </c>
      <c r="T1171" s="21" t="str">
        <f>IFERROR(IF([2]对账明细接口!$O1171=0,"",[2]对账明细接口!$O1171),"")</f>
        <v/>
      </c>
      <c r="U1171" s="21" t="str">
        <f>IFERROR(IF([2]对账明细接口!$P1171=0,"",[2]对账明细接口!$P1171),"")</f>
        <v/>
      </c>
      <c r="V1171" s="21" t="str">
        <f>IFERROR(IF([2]对账明细接口!$Q1171=0,"",[2]对账明细接口!$Q1171),"")</f>
        <v/>
      </c>
      <c r="W1171" s="20" t="str">
        <f>IFERROR(IF([2]对账明细接口!$R1171=0,"",[2]对账明细接口!$R1171),"")</f>
        <v/>
      </c>
      <c r="X1171" s="20" t="str">
        <f>IFERROR(IF([2]对账明细接口!$S1171=0,"",[2]对账明细接口!$S1171),"")</f>
        <v/>
      </c>
      <c r="Y1171" s="20" t="str">
        <f t="shared" si="110"/>
        <v/>
      </c>
      <c r="Z1171" s="20" t="str">
        <f t="shared" si="111"/>
        <v/>
      </c>
      <c r="AA1171" s="20" t="str">
        <f t="shared" si="112"/>
        <v/>
      </c>
      <c r="AB1171" s="20" t="str">
        <f t="shared" si="113"/>
        <v/>
      </c>
    </row>
    <row r="1172" customHeight="1" spans="1:28">
      <c r="A1172" s="14">
        <v>1172</v>
      </c>
      <c r="B1172" s="15" t="str">
        <f>IFERROR(IF([2]对账明细接口!$B$1172=0,"",[2]对账明细接口!$B$1172),"")</f>
        <v/>
      </c>
      <c r="C1172" s="16" t="str">
        <f>IFERROR(IF([2]对账明细接口!$C$1172=0,"",[2]对账明细接口!$C$1172),"")</f>
        <v/>
      </c>
      <c r="D1172" s="16" t="str">
        <f>IFERROR(IF([2]对账明细接口!$D$1172=0,"",[2]对账明细接口!$D$1172),"")</f>
        <v/>
      </c>
      <c r="E1172" s="16" t="str">
        <f>IFERROR(IF([2]对账明细接口!$E$1172=0,"",[2]对账明细接口!$E$1172),"")</f>
        <v/>
      </c>
      <c r="F1172" s="16" t="str">
        <f>IFERROR(IF([2]对账明细接口!$F$1172=0,"",[2]对账明细接口!$F$1172),"")</f>
        <v/>
      </c>
      <c r="G1172" s="16" t="str">
        <f>IFERROR(IF([2]对账明细接口!$G$1172=0,"",[2]对账明细接口!$G$1172),"")</f>
        <v/>
      </c>
      <c r="H1172" s="17" t="str">
        <f>IFERROR(IF([2]对账明细接口!$H$1172=0,"",[2]对账明细接口!$H$1172),"")</f>
        <v/>
      </c>
      <c r="I1172" s="16" t="str">
        <f>IFERROR(IF([2]对账明细接口!$I$1172=0,"",[2]对账明细接口!$I$1172),"")</f>
        <v/>
      </c>
      <c r="J1172" s="18" t="str">
        <f>IFERROR(IF([2]对账明细接口!$J$1172=0,"",[2]对账明细接口!$J$1172),"")</f>
        <v/>
      </c>
      <c r="K1172" s="18" t="str">
        <f>IFERROR(IF([2]对账明细接口!$K$1172=0,"",[2]对账明细接口!$K$1172),"")</f>
        <v/>
      </c>
      <c r="L1172" s="16" t="str">
        <f>IFERROR(IF([2]对账明细接口!$L$1172=0,"",[2]对账明细接口!$L$1172),"")</f>
        <v/>
      </c>
      <c r="M1172" s="16" t="str">
        <f>IFERROR(IF([2]对账明细接口!$M$1172=0,"",[2]对账明细接口!$M$1172),"")</f>
        <v/>
      </c>
      <c r="N1172" s="19">
        <f t="shared" si="108"/>
        <v>0</v>
      </c>
      <c r="O1172" s="19">
        <f t="shared" si="109"/>
        <v>165</v>
      </c>
      <c r="S1172" s="20" t="str">
        <f>IFERROR(IF([2]对账明细接口!$N1172=0,"",[2]对账明细接口!$N1172),"")</f>
        <v/>
      </c>
      <c r="T1172" s="21" t="str">
        <f>IFERROR(IF([2]对账明细接口!$O1172=0,"",[2]对账明细接口!$O1172),"")</f>
        <v/>
      </c>
      <c r="U1172" s="21" t="str">
        <f>IFERROR(IF([2]对账明细接口!$P1172=0,"",[2]对账明细接口!$P1172),"")</f>
        <v/>
      </c>
      <c r="V1172" s="21" t="str">
        <f>IFERROR(IF([2]对账明细接口!$Q1172=0,"",[2]对账明细接口!$Q1172),"")</f>
        <v/>
      </c>
      <c r="W1172" s="20" t="str">
        <f>IFERROR(IF([2]对账明细接口!$R1172=0,"",[2]对账明细接口!$R1172),"")</f>
        <v/>
      </c>
      <c r="X1172" s="20" t="str">
        <f>IFERROR(IF([2]对账明细接口!$S1172=0,"",[2]对账明细接口!$S1172),"")</f>
        <v/>
      </c>
      <c r="Y1172" s="20" t="str">
        <f t="shared" si="110"/>
        <v/>
      </c>
      <c r="Z1172" s="20" t="str">
        <f t="shared" si="111"/>
        <v/>
      </c>
      <c r="AA1172" s="20" t="str">
        <f t="shared" si="112"/>
        <v/>
      </c>
      <c r="AB1172" s="20" t="str">
        <f t="shared" si="113"/>
        <v/>
      </c>
    </row>
    <row r="1173" customHeight="1" spans="1:28">
      <c r="A1173" s="14">
        <v>1173</v>
      </c>
      <c r="B1173" s="15" t="str">
        <f>IFERROR(IF([2]对账明细接口!$B$1173=0,"",[2]对账明细接口!$B$1173),"")</f>
        <v/>
      </c>
      <c r="C1173" s="16" t="str">
        <f>IFERROR(IF([2]对账明细接口!$C$1173=0,"",[2]对账明细接口!$C$1173),"")</f>
        <v/>
      </c>
      <c r="D1173" s="16" t="str">
        <f>IFERROR(IF([2]对账明细接口!$D$1173=0,"",[2]对账明细接口!$D$1173),"")</f>
        <v/>
      </c>
      <c r="E1173" s="16" t="str">
        <f>IFERROR(IF([2]对账明细接口!$E$1173=0,"",[2]对账明细接口!$E$1173),"")</f>
        <v/>
      </c>
      <c r="F1173" s="16" t="str">
        <f>IFERROR(IF([2]对账明细接口!$F$1173=0,"",[2]对账明细接口!$F$1173),"")</f>
        <v/>
      </c>
      <c r="G1173" s="16" t="str">
        <f>IFERROR(IF([2]对账明细接口!$G$1173=0,"",[2]对账明细接口!$G$1173),"")</f>
        <v/>
      </c>
      <c r="H1173" s="17" t="str">
        <f>IFERROR(IF([2]对账明细接口!$H$1173=0,"",[2]对账明细接口!$H$1173),"")</f>
        <v/>
      </c>
      <c r="I1173" s="16" t="str">
        <f>IFERROR(IF([2]对账明细接口!$I$1173=0,"",[2]对账明细接口!$I$1173),"")</f>
        <v/>
      </c>
      <c r="J1173" s="18" t="str">
        <f>IFERROR(IF([2]对账明细接口!$J$1173=0,"",[2]对账明细接口!$J$1173),"")</f>
        <v/>
      </c>
      <c r="K1173" s="18" t="str">
        <f>IFERROR(IF([2]对账明细接口!$K$1173=0,"",[2]对账明细接口!$K$1173),"")</f>
        <v/>
      </c>
      <c r="L1173" s="16" t="str">
        <f>IFERROR(IF([2]对账明细接口!$L$1173=0,"",[2]对账明细接口!$L$1173),"")</f>
        <v/>
      </c>
      <c r="M1173" s="16" t="str">
        <f>IFERROR(IF([2]对账明细接口!$M$1173=0,"",[2]对账明细接口!$M$1173),"")</f>
        <v/>
      </c>
      <c r="N1173" s="19">
        <f t="shared" si="108"/>
        <v>0</v>
      </c>
      <c r="O1173" s="19">
        <f t="shared" si="109"/>
        <v>165</v>
      </c>
      <c r="S1173" s="20" t="str">
        <f>IFERROR(IF([2]对账明细接口!$N1173=0,"",[2]对账明细接口!$N1173),"")</f>
        <v/>
      </c>
      <c r="T1173" s="21" t="str">
        <f>IFERROR(IF([2]对账明细接口!$O1173=0,"",[2]对账明细接口!$O1173),"")</f>
        <v/>
      </c>
      <c r="U1173" s="21" t="str">
        <f>IFERROR(IF([2]对账明细接口!$P1173=0,"",[2]对账明细接口!$P1173),"")</f>
        <v/>
      </c>
      <c r="V1173" s="21" t="str">
        <f>IFERROR(IF([2]对账明细接口!$Q1173=0,"",[2]对账明细接口!$Q1173),"")</f>
        <v/>
      </c>
      <c r="W1173" s="20" t="str">
        <f>IFERROR(IF([2]对账明细接口!$R1173=0,"",[2]对账明细接口!$R1173),"")</f>
        <v/>
      </c>
      <c r="X1173" s="20" t="str">
        <f>IFERROR(IF([2]对账明细接口!$S1173=0,"",[2]对账明细接口!$S1173),"")</f>
        <v/>
      </c>
      <c r="Y1173" s="20" t="str">
        <f t="shared" si="110"/>
        <v/>
      </c>
      <c r="Z1173" s="20" t="str">
        <f t="shared" si="111"/>
        <v/>
      </c>
      <c r="AA1173" s="20" t="str">
        <f t="shared" si="112"/>
        <v/>
      </c>
      <c r="AB1173" s="20" t="str">
        <f t="shared" si="113"/>
        <v/>
      </c>
    </row>
    <row r="1174" customHeight="1" spans="1:28">
      <c r="A1174" s="14">
        <v>1174</v>
      </c>
      <c r="B1174" s="15" t="str">
        <f>IFERROR(IF([2]对账明细接口!$B$1174=0,"",[2]对账明细接口!$B$1174),"")</f>
        <v/>
      </c>
      <c r="C1174" s="16" t="str">
        <f>IFERROR(IF([2]对账明细接口!$C$1174=0,"",[2]对账明细接口!$C$1174),"")</f>
        <v/>
      </c>
      <c r="D1174" s="16" t="str">
        <f>IFERROR(IF([2]对账明细接口!$D$1174=0,"",[2]对账明细接口!$D$1174),"")</f>
        <v/>
      </c>
      <c r="E1174" s="16" t="str">
        <f>IFERROR(IF([2]对账明细接口!$E$1174=0,"",[2]对账明细接口!$E$1174),"")</f>
        <v/>
      </c>
      <c r="F1174" s="16" t="str">
        <f>IFERROR(IF([2]对账明细接口!$F$1174=0,"",[2]对账明细接口!$F$1174),"")</f>
        <v/>
      </c>
      <c r="G1174" s="16" t="str">
        <f>IFERROR(IF([2]对账明细接口!$G$1174=0,"",[2]对账明细接口!$G$1174),"")</f>
        <v/>
      </c>
      <c r="H1174" s="17" t="str">
        <f>IFERROR(IF([2]对账明细接口!$H$1174=0,"",[2]对账明细接口!$H$1174),"")</f>
        <v/>
      </c>
      <c r="I1174" s="16" t="str">
        <f>IFERROR(IF([2]对账明细接口!$I$1174=0,"",[2]对账明细接口!$I$1174),"")</f>
        <v/>
      </c>
      <c r="J1174" s="18" t="str">
        <f>IFERROR(IF([2]对账明细接口!$J$1174=0,"",[2]对账明细接口!$J$1174),"")</f>
        <v/>
      </c>
      <c r="K1174" s="18" t="str">
        <f>IFERROR(IF([2]对账明细接口!$K$1174=0,"",[2]对账明细接口!$K$1174),"")</f>
        <v/>
      </c>
      <c r="L1174" s="16" t="str">
        <f>IFERROR(IF([2]对账明细接口!$L$1174=0,"",[2]对账明细接口!$L$1174),"")</f>
        <v/>
      </c>
      <c r="M1174" s="16" t="str">
        <f>IFERROR(IF([2]对账明细接口!$M$1174=0,"",[2]对账明细接口!$M$1174),"")</f>
        <v/>
      </c>
      <c r="N1174" s="19">
        <f t="shared" si="108"/>
        <v>0</v>
      </c>
      <c r="O1174" s="19">
        <f t="shared" si="109"/>
        <v>165</v>
      </c>
      <c r="S1174" s="20" t="str">
        <f>IFERROR(IF([2]对账明细接口!$N1174=0,"",[2]对账明细接口!$N1174),"")</f>
        <v/>
      </c>
      <c r="T1174" s="21" t="str">
        <f>IFERROR(IF([2]对账明细接口!$O1174=0,"",[2]对账明细接口!$O1174),"")</f>
        <v/>
      </c>
      <c r="U1174" s="21" t="str">
        <f>IFERROR(IF([2]对账明细接口!$P1174=0,"",[2]对账明细接口!$P1174),"")</f>
        <v/>
      </c>
      <c r="V1174" s="21" t="str">
        <f>IFERROR(IF([2]对账明细接口!$Q1174=0,"",[2]对账明细接口!$Q1174),"")</f>
        <v/>
      </c>
      <c r="W1174" s="20" t="str">
        <f>IFERROR(IF([2]对账明细接口!$R1174=0,"",[2]对账明细接口!$R1174),"")</f>
        <v/>
      </c>
      <c r="X1174" s="20" t="str">
        <f>IFERROR(IF([2]对账明细接口!$S1174=0,"",[2]对账明细接口!$S1174),"")</f>
        <v/>
      </c>
      <c r="Y1174" s="20" t="str">
        <f t="shared" si="110"/>
        <v/>
      </c>
      <c r="Z1174" s="20" t="str">
        <f t="shared" si="111"/>
        <v/>
      </c>
      <c r="AA1174" s="20" t="str">
        <f t="shared" si="112"/>
        <v/>
      </c>
      <c r="AB1174" s="20" t="str">
        <f t="shared" si="113"/>
        <v/>
      </c>
    </row>
    <row r="1175" customHeight="1" spans="1:28">
      <c r="A1175" s="14">
        <v>1175</v>
      </c>
      <c r="B1175" s="15" t="str">
        <f>IFERROR(IF([2]对账明细接口!$B$1175=0,"",[2]对账明细接口!$B$1175),"")</f>
        <v/>
      </c>
      <c r="C1175" s="16" t="str">
        <f>IFERROR(IF([2]对账明细接口!$C$1175=0,"",[2]对账明细接口!$C$1175),"")</f>
        <v/>
      </c>
      <c r="D1175" s="16" t="str">
        <f>IFERROR(IF([2]对账明细接口!$D$1175=0,"",[2]对账明细接口!$D$1175),"")</f>
        <v/>
      </c>
      <c r="E1175" s="16" t="str">
        <f>IFERROR(IF([2]对账明细接口!$E$1175=0,"",[2]对账明细接口!$E$1175),"")</f>
        <v/>
      </c>
      <c r="F1175" s="16" t="str">
        <f>IFERROR(IF([2]对账明细接口!$F$1175=0,"",[2]对账明细接口!$F$1175),"")</f>
        <v/>
      </c>
      <c r="G1175" s="16" t="str">
        <f>IFERROR(IF([2]对账明细接口!$G$1175=0,"",[2]对账明细接口!$G$1175),"")</f>
        <v/>
      </c>
      <c r="H1175" s="17" t="str">
        <f>IFERROR(IF([2]对账明细接口!$H$1175=0,"",[2]对账明细接口!$H$1175),"")</f>
        <v/>
      </c>
      <c r="I1175" s="16" t="str">
        <f>IFERROR(IF([2]对账明细接口!$I$1175=0,"",[2]对账明细接口!$I$1175),"")</f>
        <v/>
      </c>
      <c r="J1175" s="18" t="str">
        <f>IFERROR(IF([2]对账明细接口!$J$1175=0,"",[2]对账明细接口!$J$1175),"")</f>
        <v/>
      </c>
      <c r="K1175" s="18" t="str">
        <f>IFERROR(IF([2]对账明细接口!$K$1175=0,"",[2]对账明细接口!$K$1175),"")</f>
        <v/>
      </c>
      <c r="L1175" s="16" t="str">
        <f>IFERROR(IF([2]对账明细接口!$L$1175=0,"",[2]对账明细接口!$L$1175),"")</f>
        <v/>
      </c>
      <c r="M1175" s="16" t="str">
        <f>IFERROR(IF([2]对账明细接口!$M$1175=0,"",[2]对账明细接口!$M$1175),"")</f>
        <v/>
      </c>
      <c r="N1175" s="19">
        <f t="shared" si="108"/>
        <v>0</v>
      </c>
      <c r="O1175" s="19">
        <f t="shared" si="109"/>
        <v>165</v>
      </c>
      <c r="S1175" s="20" t="str">
        <f>IFERROR(IF([2]对账明细接口!$N1175=0,"",[2]对账明细接口!$N1175),"")</f>
        <v/>
      </c>
      <c r="T1175" s="21" t="str">
        <f>IFERROR(IF([2]对账明细接口!$O1175=0,"",[2]对账明细接口!$O1175),"")</f>
        <v/>
      </c>
      <c r="U1175" s="21" t="str">
        <f>IFERROR(IF([2]对账明细接口!$P1175=0,"",[2]对账明细接口!$P1175),"")</f>
        <v/>
      </c>
      <c r="V1175" s="21" t="str">
        <f>IFERROR(IF([2]对账明细接口!$Q1175=0,"",[2]对账明细接口!$Q1175),"")</f>
        <v/>
      </c>
      <c r="W1175" s="20" t="str">
        <f>IFERROR(IF([2]对账明细接口!$R1175=0,"",[2]对账明细接口!$R1175),"")</f>
        <v/>
      </c>
      <c r="X1175" s="20" t="str">
        <f>IFERROR(IF([2]对账明细接口!$S1175=0,"",[2]对账明细接口!$S1175),"")</f>
        <v/>
      </c>
      <c r="Y1175" s="20" t="str">
        <f t="shared" si="110"/>
        <v/>
      </c>
      <c r="Z1175" s="20" t="str">
        <f t="shared" si="111"/>
        <v/>
      </c>
      <c r="AA1175" s="20" t="str">
        <f t="shared" si="112"/>
        <v/>
      </c>
      <c r="AB1175" s="20" t="str">
        <f t="shared" si="113"/>
        <v/>
      </c>
    </row>
    <row r="1176" customHeight="1" spans="1:28">
      <c r="A1176" s="14">
        <v>1176</v>
      </c>
      <c r="B1176" s="15" t="str">
        <f>IFERROR(IF([2]对账明细接口!$B$1176=0,"",[2]对账明细接口!$B$1176),"")</f>
        <v/>
      </c>
      <c r="C1176" s="16" t="str">
        <f>IFERROR(IF([2]对账明细接口!$C$1176=0,"",[2]对账明细接口!$C$1176),"")</f>
        <v/>
      </c>
      <c r="D1176" s="16" t="str">
        <f>IFERROR(IF([2]对账明细接口!$D$1176=0,"",[2]对账明细接口!$D$1176),"")</f>
        <v/>
      </c>
      <c r="E1176" s="16" t="str">
        <f>IFERROR(IF([2]对账明细接口!$E$1176=0,"",[2]对账明细接口!$E$1176),"")</f>
        <v/>
      </c>
      <c r="F1176" s="16" t="str">
        <f>IFERROR(IF([2]对账明细接口!$F$1176=0,"",[2]对账明细接口!$F$1176),"")</f>
        <v/>
      </c>
      <c r="G1176" s="16" t="str">
        <f>IFERROR(IF([2]对账明细接口!$G$1176=0,"",[2]对账明细接口!$G$1176),"")</f>
        <v/>
      </c>
      <c r="H1176" s="17" t="str">
        <f>IFERROR(IF([2]对账明细接口!$H$1176=0,"",[2]对账明细接口!$H$1176),"")</f>
        <v/>
      </c>
      <c r="I1176" s="16" t="str">
        <f>IFERROR(IF([2]对账明细接口!$I$1176=0,"",[2]对账明细接口!$I$1176),"")</f>
        <v/>
      </c>
      <c r="J1176" s="18" t="str">
        <f>IFERROR(IF([2]对账明细接口!$J$1176=0,"",[2]对账明细接口!$J$1176),"")</f>
        <v/>
      </c>
      <c r="K1176" s="18" t="str">
        <f>IFERROR(IF([2]对账明细接口!$K$1176=0,"",[2]对账明细接口!$K$1176),"")</f>
        <v/>
      </c>
      <c r="L1176" s="16" t="str">
        <f>IFERROR(IF([2]对账明细接口!$L$1176=0,"",[2]对账明细接口!$L$1176),"")</f>
        <v/>
      </c>
      <c r="M1176" s="16" t="str">
        <f>IFERROR(IF([2]对账明细接口!$M$1176=0,"",[2]对账明细接口!$M$1176),"")</f>
        <v/>
      </c>
      <c r="N1176" s="19">
        <f t="shared" si="108"/>
        <v>0</v>
      </c>
      <c r="O1176" s="19">
        <f t="shared" si="109"/>
        <v>165</v>
      </c>
      <c r="S1176" s="20" t="str">
        <f>IFERROR(IF([2]对账明细接口!$N1176=0,"",[2]对账明细接口!$N1176),"")</f>
        <v/>
      </c>
      <c r="T1176" s="21" t="str">
        <f>IFERROR(IF([2]对账明细接口!$O1176=0,"",[2]对账明细接口!$O1176),"")</f>
        <v/>
      </c>
      <c r="U1176" s="21" t="str">
        <f>IFERROR(IF([2]对账明细接口!$P1176=0,"",[2]对账明细接口!$P1176),"")</f>
        <v/>
      </c>
      <c r="V1176" s="21" t="str">
        <f>IFERROR(IF([2]对账明细接口!$Q1176=0,"",[2]对账明细接口!$Q1176),"")</f>
        <v/>
      </c>
      <c r="W1176" s="20" t="str">
        <f>IFERROR(IF([2]对账明细接口!$R1176=0,"",[2]对账明细接口!$R1176),"")</f>
        <v/>
      </c>
      <c r="X1176" s="20" t="str">
        <f>IFERROR(IF([2]对账明细接口!$S1176=0,"",[2]对账明细接口!$S1176),"")</f>
        <v/>
      </c>
      <c r="Y1176" s="20" t="str">
        <f t="shared" si="110"/>
        <v/>
      </c>
      <c r="Z1176" s="20" t="str">
        <f t="shared" si="111"/>
        <v/>
      </c>
      <c r="AA1176" s="20" t="str">
        <f t="shared" si="112"/>
        <v/>
      </c>
      <c r="AB1176" s="20" t="str">
        <f t="shared" si="113"/>
        <v/>
      </c>
    </row>
    <row r="1177" customHeight="1" spans="1:28">
      <c r="A1177" s="14">
        <v>1177</v>
      </c>
      <c r="B1177" s="15" t="str">
        <f>IFERROR(IF([2]对账明细接口!$B$1177=0,"",[2]对账明细接口!$B$1177),"")</f>
        <v/>
      </c>
      <c r="C1177" s="16" t="str">
        <f>IFERROR(IF([2]对账明细接口!$C$1177=0,"",[2]对账明细接口!$C$1177),"")</f>
        <v/>
      </c>
      <c r="D1177" s="16" t="str">
        <f>IFERROR(IF([2]对账明细接口!$D$1177=0,"",[2]对账明细接口!$D$1177),"")</f>
        <v/>
      </c>
      <c r="E1177" s="16" t="str">
        <f>IFERROR(IF([2]对账明细接口!$E$1177=0,"",[2]对账明细接口!$E$1177),"")</f>
        <v/>
      </c>
      <c r="F1177" s="16" t="str">
        <f>IFERROR(IF([2]对账明细接口!$F$1177=0,"",[2]对账明细接口!$F$1177),"")</f>
        <v/>
      </c>
      <c r="G1177" s="16" t="str">
        <f>IFERROR(IF([2]对账明细接口!$G$1177=0,"",[2]对账明细接口!$G$1177),"")</f>
        <v/>
      </c>
      <c r="H1177" s="17" t="str">
        <f>IFERROR(IF([2]对账明细接口!$H$1177=0,"",[2]对账明细接口!$H$1177),"")</f>
        <v/>
      </c>
      <c r="I1177" s="16" t="str">
        <f>IFERROR(IF([2]对账明细接口!$I$1177=0,"",[2]对账明细接口!$I$1177),"")</f>
        <v/>
      </c>
      <c r="J1177" s="18" t="str">
        <f>IFERROR(IF([2]对账明细接口!$J$1177=0,"",[2]对账明细接口!$J$1177),"")</f>
        <v/>
      </c>
      <c r="K1177" s="18" t="str">
        <f>IFERROR(IF([2]对账明细接口!$K$1177=0,"",[2]对账明细接口!$K$1177),"")</f>
        <v/>
      </c>
      <c r="L1177" s="16" t="str">
        <f>IFERROR(IF([2]对账明细接口!$L$1177=0,"",[2]对账明细接口!$L$1177),"")</f>
        <v/>
      </c>
      <c r="M1177" s="16" t="str">
        <f>IFERROR(IF([2]对账明细接口!$M$1177=0,"",[2]对账明细接口!$M$1177),"")</f>
        <v/>
      </c>
      <c r="N1177" s="19">
        <f t="shared" si="108"/>
        <v>0</v>
      </c>
      <c r="O1177" s="19">
        <f t="shared" si="109"/>
        <v>165</v>
      </c>
      <c r="S1177" s="20" t="str">
        <f>IFERROR(IF([2]对账明细接口!$N1177=0,"",[2]对账明细接口!$N1177),"")</f>
        <v/>
      </c>
      <c r="T1177" s="21" t="str">
        <f>IFERROR(IF([2]对账明细接口!$O1177=0,"",[2]对账明细接口!$O1177),"")</f>
        <v/>
      </c>
      <c r="U1177" s="21" t="str">
        <f>IFERROR(IF([2]对账明细接口!$P1177=0,"",[2]对账明细接口!$P1177),"")</f>
        <v/>
      </c>
      <c r="V1177" s="21" t="str">
        <f>IFERROR(IF([2]对账明细接口!$Q1177=0,"",[2]对账明细接口!$Q1177),"")</f>
        <v/>
      </c>
      <c r="W1177" s="20" t="str">
        <f>IFERROR(IF([2]对账明细接口!$R1177=0,"",[2]对账明细接口!$R1177),"")</f>
        <v/>
      </c>
      <c r="X1177" s="20" t="str">
        <f>IFERROR(IF([2]对账明细接口!$S1177=0,"",[2]对账明细接口!$S1177),"")</f>
        <v/>
      </c>
      <c r="Y1177" s="20" t="str">
        <f t="shared" si="110"/>
        <v/>
      </c>
      <c r="Z1177" s="20" t="str">
        <f t="shared" si="111"/>
        <v/>
      </c>
      <c r="AA1177" s="20" t="str">
        <f t="shared" si="112"/>
        <v/>
      </c>
      <c r="AB1177" s="20" t="str">
        <f t="shared" si="113"/>
        <v/>
      </c>
    </row>
    <row r="1178" customHeight="1" spans="1:28">
      <c r="A1178" s="14">
        <v>1178</v>
      </c>
      <c r="B1178" s="15" t="str">
        <f>IFERROR(IF([2]对账明细接口!$B$1178=0,"",[2]对账明细接口!$B$1178),"")</f>
        <v/>
      </c>
      <c r="C1178" s="16" t="str">
        <f>IFERROR(IF([2]对账明细接口!$C$1178=0,"",[2]对账明细接口!$C$1178),"")</f>
        <v/>
      </c>
      <c r="D1178" s="16" t="str">
        <f>IFERROR(IF([2]对账明细接口!$D$1178=0,"",[2]对账明细接口!$D$1178),"")</f>
        <v/>
      </c>
      <c r="E1178" s="16" t="str">
        <f>IFERROR(IF([2]对账明细接口!$E$1178=0,"",[2]对账明细接口!$E$1178),"")</f>
        <v/>
      </c>
      <c r="F1178" s="16" t="str">
        <f>IFERROR(IF([2]对账明细接口!$F$1178=0,"",[2]对账明细接口!$F$1178),"")</f>
        <v/>
      </c>
      <c r="G1178" s="16" t="str">
        <f>IFERROR(IF([2]对账明细接口!$G$1178=0,"",[2]对账明细接口!$G$1178),"")</f>
        <v/>
      </c>
      <c r="H1178" s="17" t="str">
        <f>IFERROR(IF([2]对账明细接口!$H$1178=0,"",[2]对账明细接口!$H$1178),"")</f>
        <v/>
      </c>
      <c r="I1178" s="16" t="str">
        <f>IFERROR(IF([2]对账明细接口!$I$1178=0,"",[2]对账明细接口!$I$1178),"")</f>
        <v/>
      </c>
      <c r="J1178" s="18" t="str">
        <f>IFERROR(IF([2]对账明细接口!$J$1178=0,"",[2]对账明细接口!$J$1178),"")</f>
        <v/>
      </c>
      <c r="K1178" s="18" t="str">
        <f>IFERROR(IF([2]对账明细接口!$K$1178=0,"",[2]对账明细接口!$K$1178),"")</f>
        <v/>
      </c>
      <c r="L1178" s="16" t="str">
        <f>IFERROR(IF([2]对账明细接口!$L$1178=0,"",[2]对账明细接口!$L$1178),"")</f>
        <v/>
      </c>
      <c r="M1178" s="16" t="str">
        <f>IFERROR(IF([2]对账明细接口!$M$1178=0,"",[2]对账明细接口!$M$1178),"")</f>
        <v/>
      </c>
      <c r="N1178" s="19">
        <f t="shared" si="108"/>
        <v>0</v>
      </c>
      <c r="O1178" s="19">
        <f t="shared" si="109"/>
        <v>165</v>
      </c>
      <c r="S1178" s="20" t="str">
        <f>IFERROR(IF([2]对账明细接口!$N1178=0,"",[2]对账明细接口!$N1178),"")</f>
        <v/>
      </c>
      <c r="T1178" s="21" t="str">
        <f>IFERROR(IF([2]对账明细接口!$O1178=0,"",[2]对账明细接口!$O1178),"")</f>
        <v/>
      </c>
      <c r="U1178" s="21" t="str">
        <f>IFERROR(IF([2]对账明细接口!$P1178=0,"",[2]对账明细接口!$P1178),"")</f>
        <v/>
      </c>
      <c r="V1178" s="21" t="str">
        <f>IFERROR(IF([2]对账明细接口!$Q1178=0,"",[2]对账明细接口!$Q1178),"")</f>
        <v/>
      </c>
      <c r="W1178" s="20" t="str">
        <f>IFERROR(IF([2]对账明细接口!$R1178=0,"",[2]对账明细接口!$R1178),"")</f>
        <v/>
      </c>
      <c r="X1178" s="20" t="str">
        <f>IFERROR(IF([2]对账明细接口!$S1178=0,"",[2]对账明细接口!$S1178),"")</f>
        <v/>
      </c>
      <c r="Y1178" s="20" t="str">
        <f t="shared" si="110"/>
        <v/>
      </c>
      <c r="Z1178" s="20" t="str">
        <f t="shared" si="111"/>
        <v/>
      </c>
      <c r="AA1178" s="20" t="str">
        <f t="shared" si="112"/>
        <v/>
      </c>
      <c r="AB1178" s="20" t="str">
        <f t="shared" si="113"/>
        <v/>
      </c>
    </row>
    <row r="1179" customHeight="1" spans="1:28">
      <c r="A1179" s="14">
        <v>1179</v>
      </c>
      <c r="B1179" s="15" t="str">
        <f>IFERROR(IF([2]对账明细接口!$B$1179=0,"",[2]对账明细接口!$B$1179),"")</f>
        <v/>
      </c>
      <c r="C1179" s="16" t="str">
        <f>IFERROR(IF([2]对账明细接口!$C$1179=0,"",[2]对账明细接口!$C$1179),"")</f>
        <v/>
      </c>
      <c r="D1179" s="16" t="str">
        <f>IFERROR(IF([2]对账明细接口!$D$1179=0,"",[2]对账明细接口!$D$1179),"")</f>
        <v/>
      </c>
      <c r="E1179" s="16" t="str">
        <f>IFERROR(IF([2]对账明细接口!$E$1179=0,"",[2]对账明细接口!$E$1179),"")</f>
        <v/>
      </c>
      <c r="F1179" s="16" t="str">
        <f>IFERROR(IF([2]对账明细接口!$F$1179=0,"",[2]对账明细接口!$F$1179),"")</f>
        <v/>
      </c>
      <c r="G1179" s="16" t="str">
        <f>IFERROR(IF([2]对账明细接口!$G$1179=0,"",[2]对账明细接口!$G$1179),"")</f>
        <v/>
      </c>
      <c r="H1179" s="17" t="str">
        <f>IFERROR(IF([2]对账明细接口!$H$1179=0,"",[2]对账明细接口!$H$1179),"")</f>
        <v/>
      </c>
      <c r="I1179" s="16" t="str">
        <f>IFERROR(IF([2]对账明细接口!$I$1179=0,"",[2]对账明细接口!$I$1179),"")</f>
        <v/>
      </c>
      <c r="J1179" s="18" t="str">
        <f>IFERROR(IF([2]对账明细接口!$J$1179=0,"",[2]对账明细接口!$J$1179),"")</f>
        <v/>
      </c>
      <c r="K1179" s="18" t="str">
        <f>IFERROR(IF([2]对账明细接口!$K$1179=0,"",[2]对账明细接口!$K$1179),"")</f>
        <v/>
      </c>
      <c r="L1179" s="16" t="str">
        <f>IFERROR(IF([2]对账明细接口!$L$1179=0,"",[2]对账明细接口!$L$1179),"")</f>
        <v/>
      </c>
      <c r="M1179" s="16" t="str">
        <f>IFERROR(IF([2]对账明细接口!$M$1179=0,"",[2]对账明细接口!$M$1179),"")</f>
        <v/>
      </c>
      <c r="N1179" s="19">
        <f t="shared" si="108"/>
        <v>0</v>
      </c>
      <c r="O1179" s="19">
        <f t="shared" si="109"/>
        <v>165</v>
      </c>
      <c r="S1179" s="20" t="str">
        <f>IFERROR(IF([2]对账明细接口!$N1179=0,"",[2]对账明细接口!$N1179),"")</f>
        <v/>
      </c>
      <c r="T1179" s="21" t="str">
        <f>IFERROR(IF([2]对账明细接口!$O1179=0,"",[2]对账明细接口!$O1179),"")</f>
        <v/>
      </c>
      <c r="U1179" s="21" t="str">
        <f>IFERROR(IF([2]对账明细接口!$P1179=0,"",[2]对账明细接口!$P1179),"")</f>
        <v/>
      </c>
      <c r="V1179" s="21" t="str">
        <f>IFERROR(IF([2]对账明细接口!$Q1179=0,"",[2]对账明细接口!$Q1179),"")</f>
        <v/>
      </c>
      <c r="W1179" s="20" t="str">
        <f>IFERROR(IF([2]对账明细接口!$R1179=0,"",[2]对账明细接口!$R1179),"")</f>
        <v/>
      </c>
      <c r="X1179" s="20" t="str">
        <f>IFERROR(IF([2]对账明细接口!$S1179=0,"",[2]对账明细接口!$S1179),"")</f>
        <v/>
      </c>
      <c r="Y1179" s="20" t="str">
        <f t="shared" si="110"/>
        <v/>
      </c>
      <c r="Z1179" s="20" t="str">
        <f t="shared" si="111"/>
        <v/>
      </c>
      <c r="AA1179" s="20" t="str">
        <f t="shared" si="112"/>
        <v/>
      </c>
      <c r="AB1179" s="20" t="str">
        <f t="shared" si="113"/>
        <v/>
      </c>
    </row>
    <row r="1180" customHeight="1" spans="1:28">
      <c r="A1180" s="14">
        <v>1180</v>
      </c>
      <c r="B1180" s="15" t="str">
        <f>IFERROR(IF([2]对账明细接口!$B$1180=0,"",[2]对账明细接口!$B$1180),"")</f>
        <v/>
      </c>
      <c r="C1180" s="16" t="str">
        <f>IFERROR(IF([2]对账明细接口!$C$1180=0,"",[2]对账明细接口!$C$1180),"")</f>
        <v/>
      </c>
      <c r="D1180" s="16" t="str">
        <f>IFERROR(IF([2]对账明细接口!$D$1180=0,"",[2]对账明细接口!$D$1180),"")</f>
        <v/>
      </c>
      <c r="E1180" s="16" t="str">
        <f>IFERROR(IF([2]对账明细接口!$E$1180=0,"",[2]对账明细接口!$E$1180),"")</f>
        <v/>
      </c>
      <c r="F1180" s="16" t="str">
        <f>IFERROR(IF([2]对账明细接口!$F$1180=0,"",[2]对账明细接口!$F$1180),"")</f>
        <v/>
      </c>
      <c r="G1180" s="16" t="str">
        <f>IFERROR(IF([2]对账明细接口!$G$1180=0,"",[2]对账明细接口!$G$1180),"")</f>
        <v/>
      </c>
      <c r="H1180" s="17" t="str">
        <f>IFERROR(IF([2]对账明细接口!$H$1180=0,"",[2]对账明细接口!$H$1180),"")</f>
        <v/>
      </c>
      <c r="I1180" s="16" t="str">
        <f>IFERROR(IF([2]对账明细接口!$I$1180=0,"",[2]对账明细接口!$I$1180),"")</f>
        <v/>
      </c>
      <c r="J1180" s="18" t="str">
        <f>IFERROR(IF([2]对账明细接口!$J$1180=0,"",[2]对账明细接口!$J$1180),"")</f>
        <v/>
      </c>
      <c r="K1180" s="18" t="str">
        <f>IFERROR(IF([2]对账明细接口!$K$1180=0,"",[2]对账明细接口!$K$1180),"")</f>
        <v/>
      </c>
      <c r="L1180" s="16" t="str">
        <f>IFERROR(IF([2]对账明细接口!$L$1180=0,"",[2]对账明细接口!$L$1180),"")</f>
        <v/>
      </c>
      <c r="M1180" s="16" t="str">
        <f>IFERROR(IF([2]对账明细接口!$M$1180=0,"",[2]对账明细接口!$M$1180),"")</f>
        <v/>
      </c>
      <c r="N1180" s="19">
        <f t="shared" si="108"/>
        <v>0</v>
      </c>
      <c r="O1180" s="19">
        <f t="shared" si="109"/>
        <v>165</v>
      </c>
      <c r="S1180" s="20" t="str">
        <f>IFERROR(IF([2]对账明细接口!$N1180=0,"",[2]对账明细接口!$N1180),"")</f>
        <v/>
      </c>
      <c r="T1180" s="21" t="str">
        <f>IFERROR(IF([2]对账明细接口!$O1180=0,"",[2]对账明细接口!$O1180),"")</f>
        <v/>
      </c>
      <c r="U1180" s="21" t="str">
        <f>IFERROR(IF([2]对账明细接口!$P1180=0,"",[2]对账明细接口!$P1180),"")</f>
        <v/>
      </c>
      <c r="V1180" s="21" t="str">
        <f>IFERROR(IF([2]对账明细接口!$Q1180=0,"",[2]对账明细接口!$Q1180),"")</f>
        <v/>
      </c>
      <c r="W1180" s="20" t="str">
        <f>IFERROR(IF([2]对账明细接口!$R1180=0,"",[2]对账明细接口!$R1180),"")</f>
        <v/>
      </c>
      <c r="X1180" s="20" t="str">
        <f>IFERROR(IF([2]对账明细接口!$S1180=0,"",[2]对账明细接口!$S1180),"")</f>
        <v/>
      </c>
      <c r="Y1180" s="20" t="str">
        <f t="shared" si="110"/>
        <v/>
      </c>
      <c r="Z1180" s="20" t="str">
        <f t="shared" si="111"/>
        <v/>
      </c>
      <c r="AA1180" s="20" t="str">
        <f t="shared" si="112"/>
        <v/>
      </c>
      <c r="AB1180" s="20" t="str">
        <f t="shared" si="113"/>
        <v/>
      </c>
    </row>
    <row r="1181" customHeight="1" spans="1:28">
      <c r="A1181" s="14">
        <v>1181</v>
      </c>
      <c r="B1181" s="15" t="str">
        <f>IFERROR(IF([2]对账明细接口!$B$1181=0,"",[2]对账明细接口!$B$1181),"")</f>
        <v/>
      </c>
      <c r="C1181" s="16" t="str">
        <f>IFERROR(IF([2]对账明细接口!$C$1181=0,"",[2]对账明细接口!$C$1181),"")</f>
        <v/>
      </c>
      <c r="D1181" s="16" t="str">
        <f>IFERROR(IF([2]对账明细接口!$D$1181=0,"",[2]对账明细接口!$D$1181),"")</f>
        <v/>
      </c>
      <c r="E1181" s="16" t="str">
        <f>IFERROR(IF([2]对账明细接口!$E$1181=0,"",[2]对账明细接口!$E$1181),"")</f>
        <v/>
      </c>
      <c r="F1181" s="16" t="str">
        <f>IFERROR(IF([2]对账明细接口!$F$1181=0,"",[2]对账明细接口!$F$1181),"")</f>
        <v/>
      </c>
      <c r="G1181" s="16" t="str">
        <f>IFERROR(IF([2]对账明细接口!$G$1181=0,"",[2]对账明细接口!$G$1181),"")</f>
        <v/>
      </c>
      <c r="H1181" s="17" t="str">
        <f>IFERROR(IF([2]对账明细接口!$H$1181=0,"",[2]对账明细接口!$H$1181),"")</f>
        <v/>
      </c>
      <c r="I1181" s="16" t="str">
        <f>IFERROR(IF([2]对账明细接口!$I$1181=0,"",[2]对账明细接口!$I$1181),"")</f>
        <v/>
      </c>
      <c r="J1181" s="18" t="str">
        <f>IFERROR(IF([2]对账明细接口!$J$1181=0,"",[2]对账明细接口!$J$1181),"")</f>
        <v/>
      </c>
      <c r="K1181" s="18" t="str">
        <f>IFERROR(IF([2]对账明细接口!$K$1181=0,"",[2]对账明细接口!$K$1181),"")</f>
        <v/>
      </c>
      <c r="L1181" s="16" t="str">
        <f>IFERROR(IF([2]对账明细接口!$L$1181=0,"",[2]对账明细接口!$L$1181),"")</f>
        <v/>
      </c>
      <c r="M1181" s="16" t="str">
        <f>IFERROR(IF([2]对账明细接口!$M$1181=0,"",[2]对账明细接口!$M$1181),"")</f>
        <v/>
      </c>
      <c r="N1181" s="19">
        <f t="shared" si="108"/>
        <v>0</v>
      </c>
      <c r="O1181" s="19">
        <f t="shared" si="109"/>
        <v>165</v>
      </c>
      <c r="S1181" s="20" t="str">
        <f>IFERROR(IF([2]对账明细接口!$N1181=0,"",[2]对账明细接口!$N1181),"")</f>
        <v/>
      </c>
      <c r="T1181" s="21" t="str">
        <f>IFERROR(IF([2]对账明细接口!$O1181=0,"",[2]对账明细接口!$O1181),"")</f>
        <v/>
      </c>
      <c r="U1181" s="21" t="str">
        <f>IFERROR(IF([2]对账明细接口!$P1181=0,"",[2]对账明细接口!$P1181),"")</f>
        <v/>
      </c>
      <c r="V1181" s="21" t="str">
        <f>IFERROR(IF([2]对账明细接口!$Q1181=0,"",[2]对账明细接口!$Q1181),"")</f>
        <v/>
      </c>
      <c r="W1181" s="20" t="str">
        <f>IFERROR(IF([2]对账明细接口!$R1181=0,"",[2]对账明细接口!$R1181),"")</f>
        <v/>
      </c>
      <c r="X1181" s="20" t="str">
        <f>IFERROR(IF([2]对账明细接口!$S1181=0,"",[2]对账明细接口!$S1181),"")</f>
        <v/>
      </c>
      <c r="Y1181" s="20" t="str">
        <f t="shared" si="110"/>
        <v/>
      </c>
      <c r="Z1181" s="20" t="str">
        <f t="shared" si="111"/>
        <v/>
      </c>
      <c r="AA1181" s="20" t="str">
        <f t="shared" si="112"/>
        <v/>
      </c>
      <c r="AB1181" s="20" t="str">
        <f t="shared" si="113"/>
        <v/>
      </c>
    </row>
    <row r="1182" customHeight="1" spans="1:28">
      <c r="A1182" s="14">
        <v>1182</v>
      </c>
      <c r="B1182" s="15" t="str">
        <f>IFERROR(IF([2]对账明细接口!$B$1182=0,"",[2]对账明细接口!$B$1182),"")</f>
        <v/>
      </c>
      <c r="C1182" s="16" t="str">
        <f>IFERROR(IF([2]对账明细接口!$C$1182=0,"",[2]对账明细接口!$C$1182),"")</f>
        <v/>
      </c>
      <c r="D1182" s="16" t="str">
        <f>IFERROR(IF([2]对账明细接口!$D$1182=0,"",[2]对账明细接口!$D$1182),"")</f>
        <v/>
      </c>
      <c r="E1182" s="16" t="str">
        <f>IFERROR(IF([2]对账明细接口!$E$1182=0,"",[2]对账明细接口!$E$1182),"")</f>
        <v/>
      </c>
      <c r="F1182" s="16" t="str">
        <f>IFERROR(IF([2]对账明细接口!$F$1182=0,"",[2]对账明细接口!$F$1182),"")</f>
        <v/>
      </c>
      <c r="G1182" s="16" t="str">
        <f>IFERROR(IF([2]对账明细接口!$G$1182=0,"",[2]对账明细接口!$G$1182),"")</f>
        <v/>
      </c>
      <c r="H1182" s="17" t="str">
        <f>IFERROR(IF([2]对账明细接口!$H$1182=0,"",[2]对账明细接口!$H$1182),"")</f>
        <v/>
      </c>
      <c r="I1182" s="16" t="str">
        <f>IFERROR(IF([2]对账明细接口!$I$1182=0,"",[2]对账明细接口!$I$1182),"")</f>
        <v/>
      </c>
      <c r="J1182" s="18" t="str">
        <f>IFERROR(IF([2]对账明细接口!$J$1182=0,"",[2]对账明细接口!$J$1182),"")</f>
        <v/>
      </c>
      <c r="K1182" s="18" t="str">
        <f>IFERROR(IF([2]对账明细接口!$K$1182=0,"",[2]对账明细接口!$K$1182),"")</f>
        <v/>
      </c>
      <c r="L1182" s="16" t="str">
        <f>IFERROR(IF([2]对账明细接口!$L$1182=0,"",[2]对账明细接口!$L$1182),"")</f>
        <v/>
      </c>
      <c r="M1182" s="16" t="str">
        <f>IFERROR(IF([2]对账明细接口!$M$1182=0,"",[2]对账明细接口!$M$1182),"")</f>
        <v/>
      </c>
      <c r="N1182" s="19">
        <f t="shared" si="108"/>
        <v>0</v>
      </c>
      <c r="O1182" s="19">
        <f t="shared" si="109"/>
        <v>165</v>
      </c>
      <c r="S1182" s="20" t="str">
        <f>IFERROR(IF([2]对账明细接口!$N1182=0,"",[2]对账明细接口!$N1182),"")</f>
        <v/>
      </c>
      <c r="T1182" s="21" t="str">
        <f>IFERROR(IF([2]对账明细接口!$O1182=0,"",[2]对账明细接口!$O1182),"")</f>
        <v/>
      </c>
      <c r="U1182" s="21" t="str">
        <f>IFERROR(IF([2]对账明细接口!$P1182=0,"",[2]对账明细接口!$P1182),"")</f>
        <v/>
      </c>
      <c r="V1182" s="21" t="str">
        <f>IFERROR(IF([2]对账明细接口!$Q1182=0,"",[2]对账明细接口!$Q1182),"")</f>
        <v/>
      </c>
      <c r="W1182" s="20" t="str">
        <f>IFERROR(IF([2]对账明细接口!$R1182=0,"",[2]对账明细接口!$R1182),"")</f>
        <v/>
      </c>
      <c r="X1182" s="20" t="str">
        <f>IFERROR(IF([2]对账明细接口!$S1182=0,"",[2]对账明细接口!$S1182),"")</f>
        <v/>
      </c>
      <c r="Y1182" s="20" t="str">
        <f t="shared" si="110"/>
        <v/>
      </c>
      <c r="Z1182" s="20" t="str">
        <f t="shared" si="111"/>
        <v/>
      </c>
      <c r="AA1182" s="20" t="str">
        <f t="shared" si="112"/>
        <v/>
      </c>
      <c r="AB1182" s="20" t="str">
        <f t="shared" si="113"/>
        <v/>
      </c>
    </row>
    <row r="1183" customHeight="1" spans="1:28">
      <c r="A1183" s="14">
        <v>1183</v>
      </c>
      <c r="B1183" s="15" t="str">
        <f>IFERROR(IF([2]对账明细接口!$B$1183=0,"",[2]对账明细接口!$B$1183),"")</f>
        <v/>
      </c>
      <c r="C1183" s="16" t="str">
        <f>IFERROR(IF([2]对账明细接口!$C$1183=0,"",[2]对账明细接口!$C$1183),"")</f>
        <v/>
      </c>
      <c r="D1183" s="16" t="str">
        <f>IFERROR(IF([2]对账明细接口!$D$1183=0,"",[2]对账明细接口!$D$1183),"")</f>
        <v/>
      </c>
      <c r="E1183" s="16" t="str">
        <f>IFERROR(IF([2]对账明细接口!$E$1183=0,"",[2]对账明细接口!$E$1183),"")</f>
        <v/>
      </c>
      <c r="F1183" s="16" t="str">
        <f>IFERROR(IF([2]对账明细接口!$F$1183=0,"",[2]对账明细接口!$F$1183),"")</f>
        <v/>
      </c>
      <c r="G1183" s="16" t="str">
        <f>IFERROR(IF([2]对账明细接口!$G$1183=0,"",[2]对账明细接口!$G$1183),"")</f>
        <v/>
      </c>
      <c r="H1183" s="17" t="str">
        <f>IFERROR(IF([2]对账明细接口!$H$1183=0,"",[2]对账明细接口!$H$1183),"")</f>
        <v/>
      </c>
      <c r="I1183" s="16" t="str">
        <f>IFERROR(IF([2]对账明细接口!$I$1183=0,"",[2]对账明细接口!$I$1183),"")</f>
        <v/>
      </c>
      <c r="J1183" s="18" t="str">
        <f>IFERROR(IF([2]对账明细接口!$J$1183=0,"",[2]对账明细接口!$J$1183),"")</f>
        <v/>
      </c>
      <c r="K1183" s="18" t="str">
        <f>IFERROR(IF([2]对账明细接口!$K$1183=0,"",[2]对账明细接口!$K$1183),"")</f>
        <v/>
      </c>
      <c r="L1183" s="16" t="str">
        <f>IFERROR(IF([2]对账明细接口!$L$1183=0,"",[2]对账明细接口!$L$1183),"")</f>
        <v/>
      </c>
      <c r="M1183" s="16" t="str">
        <f>IFERROR(IF([2]对账明细接口!$M$1183=0,"",[2]对账明细接口!$M$1183),"")</f>
        <v/>
      </c>
      <c r="N1183" s="19">
        <f t="shared" si="108"/>
        <v>0</v>
      </c>
      <c r="O1183" s="19">
        <f t="shared" si="109"/>
        <v>165</v>
      </c>
      <c r="S1183" s="20" t="str">
        <f>IFERROR(IF([2]对账明细接口!$N1183=0,"",[2]对账明细接口!$N1183),"")</f>
        <v/>
      </c>
      <c r="T1183" s="21" t="str">
        <f>IFERROR(IF([2]对账明细接口!$O1183=0,"",[2]对账明细接口!$O1183),"")</f>
        <v/>
      </c>
      <c r="U1183" s="21" t="str">
        <f>IFERROR(IF([2]对账明细接口!$P1183=0,"",[2]对账明细接口!$P1183),"")</f>
        <v/>
      </c>
      <c r="V1183" s="21" t="str">
        <f>IFERROR(IF([2]对账明细接口!$Q1183=0,"",[2]对账明细接口!$Q1183),"")</f>
        <v/>
      </c>
      <c r="W1183" s="20" t="str">
        <f>IFERROR(IF([2]对账明细接口!$R1183=0,"",[2]对账明细接口!$R1183),"")</f>
        <v/>
      </c>
      <c r="X1183" s="20" t="str">
        <f>IFERROR(IF([2]对账明细接口!$S1183=0,"",[2]对账明细接口!$S1183),"")</f>
        <v/>
      </c>
      <c r="Y1183" s="20" t="str">
        <f t="shared" si="110"/>
        <v/>
      </c>
      <c r="Z1183" s="20" t="str">
        <f t="shared" si="111"/>
        <v/>
      </c>
      <c r="AA1183" s="20" t="str">
        <f t="shared" si="112"/>
        <v/>
      </c>
      <c r="AB1183" s="20" t="str">
        <f t="shared" si="113"/>
        <v/>
      </c>
    </row>
    <row r="1184" customHeight="1" spans="1:28">
      <c r="A1184" s="14">
        <v>1184</v>
      </c>
      <c r="B1184" s="15" t="str">
        <f>IFERROR(IF([2]对账明细接口!$B$1184=0,"",[2]对账明细接口!$B$1184),"")</f>
        <v/>
      </c>
      <c r="C1184" s="16" t="str">
        <f>IFERROR(IF([2]对账明细接口!$C$1184=0,"",[2]对账明细接口!$C$1184),"")</f>
        <v/>
      </c>
      <c r="D1184" s="16" t="str">
        <f>IFERROR(IF([2]对账明细接口!$D$1184=0,"",[2]对账明细接口!$D$1184),"")</f>
        <v/>
      </c>
      <c r="E1184" s="16" t="str">
        <f>IFERROR(IF([2]对账明细接口!$E$1184=0,"",[2]对账明细接口!$E$1184),"")</f>
        <v/>
      </c>
      <c r="F1184" s="16" t="str">
        <f>IFERROR(IF([2]对账明细接口!$F$1184=0,"",[2]对账明细接口!$F$1184),"")</f>
        <v/>
      </c>
      <c r="G1184" s="16" t="str">
        <f>IFERROR(IF([2]对账明细接口!$G$1184=0,"",[2]对账明细接口!$G$1184),"")</f>
        <v/>
      </c>
      <c r="H1184" s="17" t="str">
        <f>IFERROR(IF([2]对账明细接口!$H$1184=0,"",[2]对账明细接口!$H$1184),"")</f>
        <v/>
      </c>
      <c r="I1184" s="16" t="str">
        <f>IFERROR(IF([2]对账明细接口!$I$1184=0,"",[2]对账明细接口!$I$1184),"")</f>
        <v/>
      </c>
      <c r="J1184" s="18" t="str">
        <f>IFERROR(IF([2]对账明细接口!$J$1184=0,"",[2]对账明细接口!$J$1184),"")</f>
        <v/>
      </c>
      <c r="K1184" s="18" t="str">
        <f>IFERROR(IF([2]对账明细接口!$K$1184=0,"",[2]对账明细接口!$K$1184),"")</f>
        <v/>
      </c>
      <c r="L1184" s="16" t="str">
        <f>IFERROR(IF([2]对账明细接口!$L$1184=0,"",[2]对账明细接口!$L$1184),"")</f>
        <v/>
      </c>
      <c r="M1184" s="16" t="str">
        <f>IFERROR(IF([2]对账明细接口!$M$1184=0,"",[2]对账明细接口!$M$1184),"")</f>
        <v/>
      </c>
      <c r="N1184" s="19">
        <f t="shared" si="108"/>
        <v>0</v>
      </c>
      <c r="O1184" s="19">
        <f t="shared" si="109"/>
        <v>165</v>
      </c>
      <c r="S1184" s="20" t="str">
        <f>IFERROR(IF([2]对账明细接口!$N1184=0,"",[2]对账明细接口!$N1184),"")</f>
        <v/>
      </c>
      <c r="T1184" s="21" t="str">
        <f>IFERROR(IF([2]对账明细接口!$O1184=0,"",[2]对账明细接口!$O1184),"")</f>
        <v/>
      </c>
      <c r="U1184" s="21" t="str">
        <f>IFERROR(IF([2]对账明细接口!$P1184=0,"",[2]对账明细接口!$P1184),"")</f>
        <v/>
      </c>
      <c r="V1184" s="21" t="str">
        <f>IFERROR(IF([2]对账明细接口!$Q1184=0,"",[2]对账明细接口!$Q1184),"")</f>
        <v/>
      </c>
      <c r="W1184" s="20" t="str">
        <f>IFERROR(IF([2]对账明细接口!$R1184=0,"",[2]对账明细接口!$R1184),"")</f>
        <v/>
      </c>
      <c r="X1184" s="20" t="str">
        <f>IFERROR(IF([2]对账明细接口!$S1184=0,"",[2]对账明细接口!$S1184),"")</f>
        <v/>
      </c>
      <c r="Y1184" s="20" t="str">
        <f t="shared" si="110"/>
        <v/>
      </c>
      <c r="Z1184" s="20" t="str">
        <f t="shared" si="111"/>
        <v/>
      </c>
      <c r="AA1184" s="20" t="str">
        <f t="shared" si="112"/>
        <v/>
      </c>
      <c r="AB1184" s="20" t="str">
        <f t="shared" si="113"/>
        <v/>
      </c>
    </row>
    <row r="1185" customHeight="1" spans="1:28">
      <c r="A1185" s="14">
        <v>1185</v>
      </c>
      <c r="B1185" s="15" t="str">
        <f>IFERROR(IF([2]对账明细接口!$B$1185=0,"",[2]对账明细接口!$B$1185),"")</f>
        <v/>
      </c>
      <c r="C1185" s="16" t="str">
        <f>IFERROR(IF([2]对账明细接口!$C$1185=0,"",[2]对账明细接口!$C$1185),"")</f>
        <v/>
      </c>
      <c r="D1185" s="16" t="str">
        <f>IFERROR(IF([2]对账明细接口!$D$1185=0,"",[2]对账明细接口!$D$1185),"")</f>
        <v/>
      </c>
      <c r="E1185" s="16" t="str">
        <f>IFERROR(IF([2]对账明细接口!$E$1185=0,"",[2]对账明细接口!$E$1185),"")</f>
        <v/>
      </c>
      <c r="F1185" s="16" t="str">
        <f>IFERROR(IF([2]对账明细接口!$F$1185=0,"",[2]对账明细接口!$F$1185),"")</f>
        <v/>
      </c>
      <c r="G1185" s="16" t="str">
        <f>IFERROR(IF([2]对账明细接口!$G$1185=0,"",[2]对账明细接口!$G$1185),"")</f>
        <v/>
      </c>
      <c r="H1185" s="17" t="str">
        <f>IFERROR(IF([2]对账明细接口!$H$1185=0,"",[2]对账明细接口!$H$1185),"")</f>
        <v/>
      </c>
      <c r="I1185" s="16" t="str">
        <f>IFERROR(IF([2]对账明细接口!$I$1185=0,"",[2]对账明细接口!$I$1185),"")</f>
        <v/>
      </c>
      <c r="J1185" s="18" t="str">
        <f>IFERROR(IF([2]对账明细接口!$J$1185=0,"",[2]对账明细接口!$J$1185),"")</f>
        <v/>
      </c>
      <c r="K1185" s="18" t="str">
        <f>IFERROR(IF([2]对账明细接口!$K$1185=0,"",[2]对账明细接口!$K$1185),"")</f>
        <v/>
      </c>
      <c r="L1185" s="16" t="str">
        <f>IFERROR(IF([2]对账明细接口!$L$1185=0,"",[2]对账明细接口!$L$1185),"")</f>
        <v/>
      </c>
      <c r="M1185" s="16" t="str">
        <f>IFERROR(IF([2]对账明细接口!$M$1185=0,"",[2]对账明细接口!$M$1185),"")</f>
        <v/>
      </c>
      <c r="N1185" s="19">
        <f t="shared" si="108"/>
        <v>0</v>
      </c>
      <c r="O1185" s="19">
        <f t="shared" si="109"/>
        <v>165</v>
      </c>
      <c r="S1185" s="20" t="str">
        <f>IFERROR(IF([2]对账明细接口!$N1185=0,"",[2]对账明细接口!$N1185),"")</f>
        <v/>
      </c>
      <c r="T1185" s="21" t="str">
        <f>IFERROR(IF([2]对账明细接口!$O1185=0,"",[2]对账明细接口!$O1185),"")</f>
        <v/>
      </c>
      <c r="U1185" s="21" t="str">
        <f>IFERROR(IF([2]对账明细接口!$P1185=0,"",[2]对账明细接口!$P1185),"")</f>
        <v/>
      </c>
      <c r="V1185" s="21" t="str">
        <f>IFERROR(IF([2]对账明细接口!$Q1185=0,"",[2]对账明细接口!$Q1185),"")</f>
        <v/>
      </c>
      <c r="W1185" s="20" t="str">
        <f>IFERROR(IF([2]对账明细接口!$R1185=0,"",[2]对账明细接口!$R1185),"")</f>
        <v/>
      </c>
      <c r="X1185" s="20" t="str">
        <f>IFERROR(IF([2]对账明细接口!$S1185=0,"",[2]对账明细接口!$S1185),"")</f>
        <v/>
      </c>
      <c r="Y1185" s="20" t="str">
        <f t="shared" si="110"/>
        <v/>
      </c>
      <c r="Z1185" s="20" t="str">
        <f t="shared" si="111"/>
        <v/>
      </c>
      <c r="AA1185" s="20" t="str">
        <f t="shared" si="112"/>
        <v/>
      </c>
      <c r="AB1185" s="20" t="str">
        <f t="shared" si="113"/>
        <v/>
      </c>
    </row>
    <row r="1186" customHeight="1" spans="1:28">
      <c r="A1186" s="14">
        <v>1186</v>
      </c>
      <c r="B1186" s="15" t="str">
        <f>IFERROR(IF([2]对账明细接口!$B$1186=0,"",[2]对账明细接口!$B$1186),"")</f>
        <v/>
      </c>
      <c r="C1186" s="16" t="str">
        <f>IFERROR(IF([2]对账明细接口!$C$1186=0,"",[2]对账明细接口!$C$1186),"")</f>
        <v/>
      </c>
      <c r="D1186" s="16" t="str">
        <f>IFERROR(IF([2]对账明细接口!$D$1186=0,"",[2]对账明细接口!$D$1186),"")</f>
        <v/>
      </c>
      <c r="E1186" s="16" t="str">
        <f>IFERROR(IF([2]对账明细接口!$E$1186=0,"",[2]对账明细接口!$E$1186),"")</f>
        <v/>
      </c>
      <c r="F1186" s="16" t="str">
        <f>IFERROR(IF([2]对账明细接口!$F$1186=0,"",[2]对账明细接口!$F$1186),"")</f>
        <v/>
      </c>
      <c r="G1186" s="16" t="str">
        <f>IFERROR(IF([2]对账明细接口!$G$1186=0,"",[2]对账明细接口!$G$1186),"")</f>
        <v/>
      </c>
      <c r="H1186" s="17" t="str">
        <f>IFERROR(IF([2]对账明细接口!$H$1186=0,"",[2]对账明细接口!$H$1186),"")</f>
        <v/>
      </c>
      <c r="I1186" s="16" t="str">
        <f>IFERROR(IF([2]对账明细接口!$I$1186=0,"",[2]对账明细接口!$I$1186),"")</f>
        <v/>
      </c>
      <c r="J1186" s="18" t="str">
        <f>IFERROR(IF([2]对账明细接口!$J$1186=0,"",[2]对账明细接口!$J$1186),"")</f>
        <v/>
      </c>
      <c r="K1186" s="18" t="str">
        <f>IFERROR(IF([2]对账明细接口!$K$1186=0,"",[2]对账明细接口!$K$1186),"")</f>
        <v/>
      </c>
      <c r="L1186" s="16" t="str">
        <f>IFERROR(IF([2]对账明细接口!$L$1186=0,"",[2]对账明细接口!$L$1186),"")</f>
        <v/>
      </c>
      <c r="M1186" s="16" t="str">
        <f>IFERROR(IF([2]对账明细接口!$M$1186=0,"",[2]对账明细接口!$M$1186),"")</f>
        <v/>
      </c>
      <c r="N1186" s="19">
        <f t="shared" si="108"/>
        <v>0</v>
      </c>
      <c r="O1186" s="19">
        <f t="shared" si="109"/>
        <v>165</v>
      </c>
      <c r="S1186" s="20" t="str">
        <f>IFERROR(IF([2]对账明细接口!$N1186=0,"",[2]对账明细接口!$N1186),"")</f>
        <v/>
      </c>
      <c r="T1186" s="21" t="str">
        <f>IFERROR(IF([2]对账明细接口!$O1186=0,"",[2]对账明细接口!$O1186),"")</f>
        <v/>
      </c>
      <c r="U1186" s="21" t="str">
        <f>IFERROR(IF([2]对账明细接口!$P1186=0,"",[2]对账明细接口!$P1186),"")</f>
        <v/>
      </c>
      <c r="V1186" s="21" t="str">
        <f>IFERROR(IF([2]对账明细接口!$Q1186=0,"",[2]对账明细接口!$Q1186),"")</f>
        <v/>
      </c>
      <c r="W1186" s="20" t="str">
        <f>IFERROR(IF([2]对账明细接口!$R1186=0,"",[2]对账明细接口!$R1186),"")</f>
        <v/>
      </c>
      <c r="X1186" s="20" t="str">
        <f>IFERROR(IF([2]对账明细接口!$S1186=0,"",[2]对账明细接口!$S1186),"")</f>
        <v/>
      </c>
      <c r="Y1186" s="20" t="str">
        <f t="shared" si="110"/>
        <v/>
      </c>
      <c r="Z1186" s="20" t="str">
        <f t="shared" si="111"/>
        <v/>
      </c>
      <c r="AA1186" s="20" t="str">
        <f t="shared" si="112"/>
        <v/>
      </c>
      <c r="AB1186" s="20" t="str">
        <f t="shared" si="113"/>
        <v/>
      </c>
    </row>
    <row r="1187" customHeight="1" spans="1:28">
      <c r="A1187" s="14">
        <v>1187</v>
      </c>
      <c r="B1187" s="15" t="str">
        <f>IFERROR(IF([2]对账明细接口!$B$1187=0,"",[2]对账明细接口!$B$1187),"")</f>
        <v/>
      </c>
      <c r="C1187" s="16" t="str">
        <f>IFERROR(IF([2]对账明细接口!$C$1187=0,"",[2]对账明细接口!$C$1187),"")</f>
        <v/>
      </c>
      <c r="D1187" s="16" t="str">
        <f>IFERROR(IF([2]对账明细接口!$D$1187=0,"",[2]对账明细接口!$D$1187),"")</f>
        <v/>
      </c>
      <c r="E1187" s="16" t="str">
        <f>IFERROR(IF([2]对账明细接口!$E$1187=0,"",[2]对账明细接口!$E$1187),"")</f>
        <v/>
      </c>
      <c r="F1187" s="16" t="str">
        <f>IFERROR(IF([2]对账明细接口!$F$1187=0,"",[2]对账明细接口!$F$1187),"")</f>
        <v/>
      </c>
      <c r="G1187" s="16" t="str">
        <f>IFERROR(IF([2]对账明细接口!$G$1187=0,"",[2]对账明细接口!$G$1187),"")</f>
        <v/>
      </c>
      <c r="H1187" s="17" t="str">
        <f>IFERROR(IF([2]对账明细接口!$H$1187=0,"",[2]对账明细接口!$H$1187),"")</f>
        <v/>
      </c>
      <c r="I1187" s="16" t="str">
        <f>IFERROR(IF([2]对账明细接口!$I$1187=0,"",[2]对账明细接口!$I$1187),"")</f>
        <v/>
      </c>
      <c r="J1187" s="18" t="str">
        <f>IFERROR(IF([2]对账明细接口!$J$1187=0,"",[2]对账明细接口!$J$1187),"")</f>
        <v/>
      </c>
      <c r="K1187" s="18" t="str">
        <f>IFERROR(IF([2]对账明细接口!$K$1187=0,"",[2]对账明细接口!$K$1187),"")</f>
        <v/>
      </c>
      <c r="L1187" s="16" t="str">
        <f>IFERROR(IF([2]对账明细接口!$L$1187=0,"",[2]对账明细接口!$L$1187),"")</f>
        <v/>
      </c>
      <c r="M1187" s="16" t="str">
        <f>IFERROR(IF([2]对账明细接口!$M$1187=0,"",[2]对账明细接口!$M$1187),"")</f>
        <v/>
      </c>
      <c r="N1187" s="19">
        <f t="shared" si="108"/>
        <v>0</v>
      </c>
      <c r="O1187" s="19">
        <f t="shared" si="109"/>
        <v>165</v>
      </c>
      <c r="S1187" s="20" t="str">
        <f>IFERROR(IF([2]对账明细接口!$N1187=0,"",[2]对账明细接口!$N1187),"")</f>
        <v/>
      </c>
      <c r="T1187" s="21" t="str">
        <f>IFERROR(IF([2]对账明细接口!$O1187=0,"",[2]对账明细接口!$O1187),"")</f>
        <v/>
      </c>
      <c r="U1187" s="21" t="str">
        <f>IFERROR(IF([2]对账明细接口!$P1187=0,"",[2]对账明细接口!$P1187),"")</f>
        <v/>
      </c>
      <c r="V1187" s="21" t="str">
        <f>IFERROR(IF([2]对账明细接口!$Q1187=0,"",[2]对账明细接口!$Q1187),"")</f>
        <v/>
      </c>
      <c r="W1187" s="20" t="str">
        <f>IFERROR(IF([2]对账明细接口!$R1187=0,"",[2]对账明细接口!$R1187),"")</f>
        <v/>
      </c>
      <c r="X1187" s="20" t="str">
        <f>IFERROR(IF([2]对账明细接口!$S1187=0,"",[2]对账明细接口!$S1187),"")</f>
        <v/>
      </c>
      <c r="Y1187" s="20" t="str">
        <f t="shared" si="110"/>
        <v/>
      </c>
      <c r="Z1187" s="20" t="str">
        <f t="shared" si="111"/>
        <v/>
      </c>
      <c r="AA1187" s="20" t="str">
        <f t="shared" si="112"/>
        <v/>
      </c>
      <c r="AB1187" s="20" t="str">
        <f t="shared" si="113"/>
        <v/>
      </c>
    </row>
    <row r="1188" customHeight="1" spans="1:28">
      <c r="A1188" s="14">
        <v>1188</v>
      </c>
      <c r="B1188" s="15" t="str">
        <f>IFERROR(IF([2]对账明细接口!$B$1188=0,"",[2]对账明细接口!$B$1188),"")</f>
        <v/>
      </c>
      <c r="C1188" s="16" t="str">
        <f>IFERROR(IF([2]对账明细接口!$C$1188=0,"",[2]对账明细接口!$C$1188),"")</f>
        <v/>
      </c>
      <c r="D1188" s="16" t="str">
        <f>IFERROR(IF([2]对账明细接口!$D$1188=0,"",[2]对账明细接口!$D$1188),"")</f>
        <v/>
      </c>
      <c r="E1188" s="16" t="str">
        <f>IFERROR(IF([2]对账明细接口!$E$1188=0,"",[2]对账明细接口!$E$1188),"")</f>
        <v/>
      </c>
      <c r="F1188" s="16" t="str">
        <f>IFERROR(IF([2]对账明细接口!$F$1188=0,"",[2]对账明细接口!$F$1188),"")</f>
        <v/>
      </c>
      <c r="G1188" s="16" t="str">
        <f>IFERROR(IF([2]对账明细接口!$G$1188=0,"",[2]对账明细接口!$G$1188),"")</f>
        <v/>
      </c>
      <c r="H1188" s="17" t="str">
        <f>IFERROR(IF([2]对账明细接口!$H$1188=0,"",[2]对账明细接口!$H$1188),"")</f>
        <v/>
      </c>
      <c r="I1188" s="16" t="str">
        <f>IFERROR(IF([2]对账明细接口!$I$1188=0,"",[2]对账明细接口!$I$1188),"")</f>
        <v/>
      </c>
      <c r="J1188" s="18" t="str">
        <f>IFERROR(IF([2]对账明细接口!$J$1188=0,"",[2]对账明细接口!$J$1188),"")</f>
        <v/>
      </c>
      <c r="K1188" s="18" t="str">
        <f>IFERROR(IF([2]对账明细接口!$K$1188=0,"",[2]对账明细接口!$K$1188),"")</f>
        <v/>
      </c>
      <c r="L1188" s="16" t="str">
        <f>IFERROR(IF([2]对账明细接口!$L$1188=0,"",[2]对账明细接口!$L$1188),"")</f>
        <v/>
      </c>
      <c r="M1188" s="16" t="str">
        <f>IFERROR(IF([2]对账明细接口!$M$1188=0,"",[2]对账明细接口!$M$1188),"")</f>
        <v/>
      </c>
      <c r="N1188" s="19">
        <f t="shared" si="108"/>
        <v>0</v>
      </c>
      <c r="O1188" s="19">
        <f t="shared" si="109"/>
        <v>165</v>
      </c>
      <c r="S1188" s="20" t="str">
        <f>IFERROR(IF([2]对账明细接口!$N1188=0,"",[2]对账明细接口!$N1188),"")</f>
        <v/>
      </c>
      <c r="T1188" s="21" t="str">
        <f>IFERROR(IF([2]对账明细接口!$O1188=0,"",[2]对账明细接口!$O1188),"")</f>
        <v/>
      </c>
      <c r="U1188" s="21" t="str">
        <f>IFERROR(IF([2]对账明细接口!$P1188=0,"",[2]对账明细接口!$P1188),"")</f>
        <v/>
      </c>
      <c r="V1188" s="21" t="str">
        <f>IFERROR(IF([2]对账明细接口!$Q1188=0,"",[2]对账明细接口!$Q1188),"")</f>
        <v/>
      </c>
      <c r="W1188" s="20" t="str">
        <f>IFERROR(IF([2]对账明细接口!$R1188=0,"",[2]对账明细接口!$R1188),"")</f>
        <v/>
      </c>
      <c r="X1188" s="20" t="str">
        <f>IFERROR(IF([2]对账明细接口!$S1188=0,"",[2]对账明细接口!$S1188),"")</f>
        <v/>
      </c>
      <c r="Y1188" s="20" t="str">
        <f t="shared" si="110"/>
        <v/>
      </c>
      <c r="Z1188" s="20" t="str">
        <f t="shared" si="111"/>
        <v/>
      </c>
      <c r="AA1188" s="20" t="str">
        <f t="shared" si="112"/>
        <v/>
      </c>
      <c r="AB1188" s="20" t="str">
        <f t="shared" si="113"/>
        <v/>
      </c>
    </row>
    <row r="1189" customHeight="1" spans="1:28">
      <c r="A1189" s="14">
        <v>1189</v>
      </c>
      <c r="B1189" s="15" t="str">
        <f>IFERROR(IF([2]对账明细接口!$B$1189=0,"",[2]对账明细接口!$B$1189),"")</f>
        <v/>
      </c>
      <c r="C1189" s="16" t="str">
        <f>IFERROR(IF([2]对账明细接口!$C$1189=0,"",[2]对账明细接口!$C$1189),"")</f>
        <v/>
      </c>
      <c r="D1189" s="16" t="str">
        <f>IFERROR(IF([2]对账明细接口!$D$1189=0,"",[2]对账明细接口!$D$1189),"")</f>
        <v/>
      </c>
      <c r="E1189" s="16" t="str">
        <f>IFERROR(IF([2]对账明细接口!$E$1189=0,"",[2]对账明细接口!$E$1189),"")</f>
        <v/>
      </c>
      <c r="F1189" s="16" t="str">
        <f>IFERROR(IF([2]对账明细接口!$F$1189=0,"",[2]对账明细接口!$F$1189),"")</f>
        <v/>
      </c>
      <c r="G1189" s="16" t="str">
        <f>IFERROR(IF([2]对账明细接口!$G$1189=0,"",[2]对账明细接口!$G$1189),"")</f>
        <v/>
      </c>
      <c r="H1189" s="17" t="str">
        <f>IFERROR(IF([2]对账明细接口!$H$1189=0,"",[2]对账明细接口!$H$1189),"")</f>
        <v/>
      </c>
      <c r="I1189" s="16" t="str">
        <f>IFERROR(IF([2]对账明细接口!$I$1189=0,"",[2]对账明细接口!$I$1189),"")</f>
        <v/>
      </c>
      <c r="J1189" s="18" t="str">
        <f>IFERROR(IF([2]对账明细接口!$J$1189=0,"",[2]对账明细接口!$J$1189),"")</f>
        <v/>
      </c>
      <c r="K1189" s="18" t="str">
        <f>IFERROR(IF([2]对账明细接口!$K$1189=0,"",[2]对账明细接口!$K$1189),"")</f>
        <v/>
      </c>
      <c r="L1189" s="16" t="str">
        <f>IFERROR(IF([2]对账明细接口!$L$1189=0,"",[2]对账明细接口!$L$1189),"")</f>
        <v/>
      </c>
      <c r="M1189" s="16" t="str">
        <f>IFERROR(IF([2]对账明细接口!$M$1189=0,"",[2]对账明细接口!$M$1189),"")</f>
        <v/>
      </c>
      <c r="N1189" s="19">
        <f t="shared" si="108"/>
        <v>0</v>
      </c>
      <c r="O1189" s="19">
        <f t="shared" si="109"/>
        <v>165</v>
      </c>
      <c r="S1189" s="20" t="str">
        <f>IFERROR(IF([2]对账明细接口!$N1189=0,"",[2]对账明细接口!$N1189),"")</f>
        <v/>
      </c>
      <c r="T1189" s="21" t="str">
        <f>IFERROR(IF([2]对账明细接口!$O1189=0,"",[2]对账明细接口!$O1189),"")</f>
        <v/>
      </c>
      <c r="U1189" s="21" t="str">
        <f>IFERROR(IF([2]对账明细接口!$P1189=0,"",[2]对账明细接口!$P1189),"")</f>
        <v/>
      </c>
      <c r="V1189" s="21" t="str">
        <f>IFERROR(IF([2]对账明细接口!$Q1189=0,"",[2]对账明细接口!$Q1189),"")</f>
        <v/>
      </c>
      <c r="W1189" s="20" t="str">
        <f>IFERROR(IF([2]对账明细接口!$R1189=0,"",[2]对账明细接口!$R1189),"")</f>
        <v/>
      </c>
      <c r="X1189" s="20" t="str">
        <f>IFERROR(IF([2]对账明细接口!$S1189=0,"",[2]对账明细接口!$S1189),"")</f>
        <v/>
      </c>
      <c r="Y1189" s="20" t="str">
        <f t="shared" si="110"/>
        <v/>
      </c>
      <c r="Z1189" s="20" t="str">
        <f t="shared" si="111"/>
        <v/>
      </c>
      <c r="AA1189" s="20" t="str">
        <f t="shared" si="112"/>
        <v/>
      </c>
      <c r="AB1189" s="20" t="str">
        <f t="shared" si="113"/>
        <v/>
      </c>
    </row>
    <row r="1190" customHeight="1" spans="1:28">
      <c r="A1190" s="14">
        <v>1190</v>
      </c>
      <c r="B1190" s="15" t="str">
        <f>IFERROR(IF([2]对账明细接口!$B$1190=0,"",[2]对账明细接口!$B$1190),"")</f>
        <v/>
      </c>
      <c r="C1190" s="16" t="str">
        <f>IFERROR(IF([2]对账明细接口!$C$1190=0,"",[2]对账明细接口!$C$1190),"")</f>
        <v/>
      </c>
      <c r="D1190" s="16" t="str">
        <f>IFERROR(IF([2]对账明细接口!$D$1190=0,"",[2]对账明细接口!$D$1190),"")</f>
        <v/>
      </c>
      <c r="E1190" s="16" t="str">
        <f>IFERROR(IF([2]对账明细接口!$E$1190=0,"",[2]对账明细接口!$E$1190),"")</f>
        <v/>
      </c>
      <c r="F1190" s="16" t="str">
        <f>IFERROR(IF([2]对账明细接口!$F$1190=0,"",[2]对账明细接口!$F$1190),"")</f>
        <v/>
      </c>
      <c r="G1190" s="16" t="str">
        <f>IFERROR(IF([2]对账明细接口!$G$1190=0,"",[2]对账明细接口!$G$1190),"")</f>
        <v/>
      </c>
      <c r="H1190" s="17" t="str">
        <f>IFERROR(IF([2]对账明细接口!$H$1190=0,"",[2]对账明细接口!$H$1190),"")</f>
        <v/>
      </c>
      <c r="I1190" s="16" t="str">
        <f>IFERROR(IF([2]对账明细接口!$I$1190=0,"",[2]对账明细接口!$I$1190),"")</f>
        <v/>
      </c>
      <c r="J1190" s="18" t="str">
        <f>IFERROR(IF([2]对账明细接口!$J$1190=0,"",[2]对账明细接口!$J$1190),"")</f>
        <v/>
      </c>
      <c r="K1190" s="18" t="str">
        <f>IFERROR(IF([2]对账明细接口!$K$1190=0,"",[2]对账明细接口!$K$1190),"")</f>
        <v/>
      </c>
      <c r="L1190" s="16" t="str">
        <f>IFERROR(IF([2]对账明细接口!$L$1190=0,"",[2]对账明细接口!$L$1190),"")</f>
        <v/>
      </c>
      <c r="M1190" s="16" t="str">
        <f>IFERROR(IF([2]对账明细接口!$M$1190=0,"",[2]对账明细接口!$M$1190),"")</f>
        <v/>
      </c>
      <c r="N1190" s="19">
        <f t="shared" si="108"/>
        <v>0</v>
      </c>
      <c r="O1190" s="19">
        <f t="shared" si="109"/>
        <v>165</v>
      </c>
      <c r="S1190" s="20" t="str">
        <f>IFERROR(IF([2]对账明细接口!$N1190=0,"",[2]对账明细接口!$N1190),"")</f>
        <v/>
      </c>
      <c r="T1190" s="21" t="str">
        <f>IFERROR(IF([2]对账明细接口!$O1190=0,"",[2]对账明细接口!$O1190),"")</f>
        <v/>
      </c>
      <c r="U1190" s="21" t="str">
        <f>IFERROR(IF([2]对账明细接口!$P1190=0,"",[2]对账明细接口!$P1190),"")</f>
        <v/>
      </c>
      <c r="V1190" s="21" t="str">
        <f>IFERROR(IF([2]对账明细接口!$Q1190=0,"",[2]对账明细接口!$Q1190),"")</f>
        <v/>
      </c>
      <c r="W1190" s="20" t="str">
        <f>IFERROR(IF([2]对账明细接口!$R1190=0,"",[2]对账明细接口!$R1190),"")</f>
        <v/>
      </c>
      <c r="X1190" s="20" t="str">
        <f>IFERROR(IF([2]对账明细接口!$S1190=0,"",[2]对账明细接口!$S1190),"")</f>
        <v/>
      </c>
      <c r="Y1190" s="20" t="str">
        <f t="shared" si="110"/>
        <v/>
      </c>
      <c r="Z1190" s="20" t="str">
        <f t="shared" si="111"/>
        <v/>
      </c>
      <c r="AA1190" s="20" t="str">
        <f t="shared" si="112"/>
        <v/>
      </c>
      <c r="AB1190" s="20" t="str">
        <f t="shared" si="113"/>
        <v/>
      </c>
    </row>
    <row r="1191" customHeight="1" spans="1:28">
      <c r="A1191" s="14">
        <v>1191</v>
      </c>
      <c r="B1191" s="15" t="str">
        <f>IFERROR(IF([2]对账明细接口!$B$1191=0,"",[2]对账明细接口!$B$1191),"")</f>
        <v/>
      </c>
      <c r="C1191" s="16" t="str">
        <f>IFERROR(IF([2]对账明细接口!$C$1191=0,"",[2]对账明细接口!$C$1191),"")</f>
        <v/>
      </c>
      <c r="D1191" s="16" t="str">
        <f>IFERROR(IF([2]对账明细接口!$D$1191=0,"",[2]对账明细接口!$D$1191),"")</f>
        <v/>
      </c>
      <c r="E1191" s="16" t="str">
        <f>IFERROR(IF([2]对账明细接口!$E$1191=0,"",[2]对账明细接口!$E$1191),"")</f>
        <v/>
      </c>
      <c r="F1191" s="16" t="str">
        <f>IFERROR(IF([2]对账明细接口!$F$1191=0,"",[2]对账明细接口!$F$1191),"")</f>
        <v/>
      </c>
      <c r="G1191" s="16" t="str">
        <f>IFERROR(IF([2]对账明细接口!$G$1191=0,"",[2]对账明细接口!$G$1191),"")</f>
        <v/>
      </c>
      <c r="H1191" s="17" t="str">
        <f>IFERROR(IF([2]对账明细接口!$H$1191=0,"",[2]对账明细接口!$H$1191),"")</f>
        <v/>
      </c>
      <c r="I1191" s="16" t="str">
        <f>IFERROR(IF([2]对账明细接口!$I$1191=0,"",[2]对账明细接口!$I$1191),"")</f>
        <v/>
      </c>
      <c r="J1191" s="18" t="str">
        <f>IFERROR(IF([2]对账明细接口!$J$1191=0,"",[2]对账明细接口!$J$1191),"")</f>
        <v/>
      </c>
      <c r="K1191" s="18" t="str">
        <f>IFERROR(IF([2]对账明细接口!$K$1191=0,"",[2]对账明细接口!$K$1191),"")</f>
        <v/>
      </c>
      <c r="L1191" s="16" t="str">
        <f>IFERROR(IF([2]对账明细接口!$L$1191=0,"",[2]对账明细接口!$L$1191),"")</f>
        <v/>
      </c>
      <c r="M1191" s="16" t="str">
        <f>IFERROR(IF([2]对账明细接口!$M$1191=0,"",[2]对账明细接口!$M$1191),"")</f>
        <v/>
      </c>
      <c r="N1191" s="19">
        <f t="shared" si="108"/>
        <v>0</v>
      </c>
      <c r="O1191" s="19">
        <f t="shared" si="109"/>
        <v>165</v>
      </c>
      <c r="S1191" s="20" t="str">
        <f>IFERROR(IF([2]对账明细接口!$N1191=0,"",[2]对账明细接口!$N1191),"")</f>
        <v/>
      </c>
      <c r="T1191" s="21" t="str">
        <f>IFERROR(IF([2]对账明细接口!$O1191=0,"",[2]对账明细接口!$O1191),"")</f>
        <v/>
      </c>
      <c r="U1191" s="21" t="str">
        <f>IFERROR(IF([2]对账明细接口!$P1191=0,"",[2]对账明细接口!$P1191),"")</f>
        <v/>
      </c>
      <c r="V1191" s="21" t="str">
        <f>IFERROR(IF([2]对账明细接口!$Q1191=0,"",[2]对账明细接口!$Q1191),"")</f>
        <v/>
      </c>
      <c r="W1191" s="20" t="str">
        <f>IFERROR(IF([2]对账明细接口!$R1191=0,"",[2]对账明细接口!$R1191),"")</f>
        <v/>
      </c>
      <c r="X1191" s="20" t="str">
        <f>IFERROR(IF([2]对账明细接口!$S1191=0,"",[2]对账明细接口!$S1191),"")</f>
        <v/>
      </c>
      <c r="Y1191" s="20" t="str">
        <f t="shared" si="110"/>
        <v/>
      </c>
      <c r="Z1191" s="20" t="str">
        <f t="shared" si="111"/>
        <v/>
      </c>
      <c r="AA1191" s="20" t="str">
        <f t="shared" si="112"/>
        <v/>
      </c>
      <c r="AB1191" s="20" t="str">
        <f t="shared" si="113"/>
        <v/>
      </c>
    </row>
    <row r="1192" customHeight="1" spans="1:28">
      <c r="A1192" s="14">
        <v>1192</v>
      </c>
      <c r="B1192" s="15" t="str">
        <f>IFERROR(IF([2]对账明细接口!$B$1192=0,"",[2]对账明细接口!$B$1192),"")</f>
        <v/>
      </c>
      <c r="C1192" s="16" t="str">
        <f>IFERROR(IF([2]对账明细接口!$C$1192=0,"",[2]对账明细接口!$C$1192),"")</f>
        <v/>
      </c>
      <c r="D1192" s="16" t="str">
        <f>IFERROR(IF([2]对账明细接口!$D$1192=0,"",[2]对账明细接口!$D$1192),"")</f>
        <v/>
      </c>
      <c r="E1192" s="16" t="str">
        <f>IFERROR(IF([2]对账明细接口!$E$1192=0,"",[2]对账明细接口!$E$1192),"")</f>
        <v/>
      </c>
      <c r="F1192" s="16" t="str">
        <f>IFERROR(IF([2]对账明细接口!$F$1192=0,"",[2]对账明细接口!$F$1192),"")</f>
        <v/>
      </c>
      <c r="G1192" s="16" t="str">
        <f>IFERROR(IF([2]对账明细接口!$G$1192=0,"",[2]对账明细接口!$G$1192),"")</f>
        <v/>
      </c>
      <c r="H1192" s="17" t="str">
        <f>IFERROR(IF([2]对账明细接口!$H$1192=0,"",[2]对账明细接口!$H$1192),"")</f>
        <v/>
      </c>
      <c r="I1192" s="16" t="str">
        <f>IFERROR(IF([2]对账明细接口!$I$1192=0,"",[2]对账明细接口!$I$1192),"")</f>
        <v/>
      </c>
      <c r="J1192" s="18" t="str">
        <f>IFERROR(IF([2]对账明细接口!$J$1192=0,"",[2]对账明细接口!$J$1192),"")</f>
        <v/>
      </c>
      <c r="K1192" s="18" t="str">
        <f>IFERROR(IF([2]对账明细接口!$K$1192=0,"",[2]对账明细接口!$K$1192),"")</f>
        <v/>
      </c>
      <c r="L1192" s="16" t="str">
        <f>IFERROR(IF([2]对账明细接口!$L$1192=0,"",[2]对账明细接口!$L$1192),"")</f>
        <v/>
      </c>
      <c r="M1192" s="16" t="str">
        <f>IFERROR(IF([2]对账明细接口!$M$1192=0,"",[2]对账明细接口!$M$1192),"")</f>
        <v/>
      </c>
      <c r="N1192" s="19">
        <f t="shared" si="108"/>
        <v>0</v>
      </c>
      <c r="O1192" s="19">
        <f t="shared" si="109"/>
        <v>165</v>
      </c>
      <c r="S1192" s="20" t="str">
        <f>IFERROR(IF([2]对账明细接口!$N1192=0,"",[2]对账明细接口!$N1192),"")</f>
        <v/>
      </c>
      <c r="T1192" s="21" t="str">
        <f>IFERROR(IF([2]对账明细接口!$O1192=0,"",[2]对账明细接口!$O1192),"")</f>
        <v/>
      </c>
      <c r="U1192" s="21" t="str">
        <f>IFERROR(IF([2]对账明细接口!$P1192=0,"",[2]对账明细接口!$P1192),"")</f>
        <v/>
      </c>
      <c r="V1192" s="21" t="str">
        <f>IFERROR(IF([2]对账明细接口!$Q1192=0,"",[2]对账明细接口!$Q1192),"")</f>
        <v/>
      </c>
      <c r="W1192" s="20" t="str">
        <f>IFERROR(IF([2]对账明细接口!$R1192=0,"",[2]对账明细接口!$R1192),"")</f>
        <v/>
      </c>
      <c r="X1192" s="20" t="str">
        <f>IFERROR(IF([2]对账明细接口!$S1192=0,"",[2]对账明细接口!$S1192),"")</f>
        <v/>
      </c>
      <c r="Y1192" s="20" t="str">
        <f t="shared" si="110"/>
        <v/>
      </c>
      <c r="Z1192" s="20" t="str">
        <f t="shared" si="111"/>
        <v/>
      </c>
      <c r="AA1192" s="20" t="str">
        <f t="shared" si="112"/>
        <v/>
      </c>
      <c r="AB1192" s="20" t="str">
        <f t="shared" si="113"/>
        <v/>
      </c>
    </row>
    <row r="1193" customHeight="1" spans="1:28">
      <c r="A1193" s="14">
        <v>1193</v>
      </c>
      <c r="B1193" s="15" t="str">
        <f>IFERROR(IF([2]对账明细接口!$B$1193=0,"",[2]对账明细接口!$B$1193),"")</f>
        <v/>
      </c>
      <c r="C1193" s="16" t="str">
        <f>IFERROR(IF([2]对账明细接口!$C$1193=0,"",[2]对账明细接口!$C$1193),"")</f>
        <v/>
      </c>
      <c r="D1193" s="16" t="str">
        <f>IFERROR(IF([2]对账明细接口!$D$1193=0,"",[2]对账明细接口!$D$1193),"")</f>
        <v/>
      </c>
      <c r="E1193" s="16" t="str">
        <f>IFERROR(IF([2]对账明细接口!$E$1193=0,"",[2]对账明细接口!$E$1193),"")</f>
        <v/>
      </c>
      <c r="F1193" s="16" t="str">
        <f>IFERROR(IF([2]对账明细接口!$F$1193=0,"",[2]对账明细接口!$F$1193),"")</f>
        <v/>
      </c>
      <c r="G1193" s="16" t="str">
        <f>IFERROR(IF([2]对账明细接口!$G$1193=0,"",[2]对账明细接口!$G$1193),"")</f>
        <v/>
      </c>
      <c r="H1193" s="17" t="str">
        <f>IFERROR(IF([2]对账明细接口!$H$1193=0,"",[2]对账明细接口!$H$1193),"")</f>
        <v/>
      </c>
      <c r="I1193" s="16" t="str">
        <f>IFERROR(IF([2]对账明细接口!$I$1193=0,"",[2]对账明细接口!$I$1193),"")</f>
        <v/>
      </c>
      <c r="J1193" s="18" t="str">
        <f>IFERROR(IF([2]对账明细接口!$J$1193=0,"",[2]对账明细接口!$J$1193),"")</f>
        <v/>
      </c>
      <c r="K1193" s="18" t="str">
        <f>IFERROR(IF([2]对账明细接口!$K$1193=0,"",[2]对账明细接口!$K$1193),"")</f>
        <v/>
      </c>
      <c r="L1193" s="16" t="str">
        <f>IFERROR(IF([2]对账明细接口!$L$1193=0,"",[2]对账明细接口!$L$1193),"")</f>
        <v/>
      </c>
      <c r="M1193" s="16" t="str">
        <f>IFERROR(IF([2]对账明细接口!$M$1193=0,"",[2]对账明细接口!$M$1193),"")</f>
        <v/>
      </c>
      <c r="N1193" s="19">
        <f t="shared" si="108"/>
        <v>0</v>
      </c>
      <c r="O1193" s="19">
        <f t="shared" si="109"/>
        <v>165</v>
      </c>
      <c r="S1193" s="20" t="str">
        <f>IFERROR(IF([2]对账明细接口!$N1193=0,"",[2]对账明细接口!$N1193),"")</f>
        <v/>
      </c>
      <c r="T1193" s="21" t="str">
        <f>IFERROR(IF([2]对账明细接口!$O1193=0,"",[2]对账明细接口!$O1193),"")</f>
        <v/>
      </c>
      <c r="U1193" s="21" t="str">
        <f>IFERROR(IF([2]对账明细接口!$P1193=0,"",[2]对账明细接口!$P1193),"")</f>
        <v/>
      </c>
      <c r="V1193" s="21" t="str">
        <f>IFERROR(IF([2]对账明细接口!$Q1193=0,"",[2]对账明细接口!$Q1193),"")</f>
        <v/>
      </c>
      <c r="W1193" s="20" t="str">
        <f>IFERROR(IF([2]对账明细接口!$R1193=0,"",[2]对账明细接口!$R1193),"")</f>
        <v/>
      </c>
      <c r="X1193" s="20" t="str">
        <f>IFERROR(IF([2]对账明细接口!$S1193=0,"",[2]对账明细接口!$S1193),"")</f>
        <v/>
      </c>
      <c r="Y1193" s="20" t="str">
        <f t="shared" si="110"/>
        <v/>
      </c>
      <c r="Z1193" s="20" t="str">
        <f t="shared" si="111"/>
        <v/>
      </c>
      <c r="AA1193" s="20" t="str">
        <f t="shared" si="112"/>
        <v/>
      </c>
      <c r="AB1193" s="20" t="str">
        <f t="shared" si="113"/>
        <v/>
      </c>
    </row>
    <row r="1194" customHeight="1" spans="1:28">
      <c r="A1194" s="14">
        <v>1194</v>
      </c>
      <c r="B1194" s="15" t="str">
        <f>IFERROR(IF([2]对账明细接口!$B$1194=0,"",[2]对账明细接口!$B$1194),"")</f>
        <v/>
      </c>
      <c r="C1194" s="16" t="str">
        <f>IFERROR(IF([2]对账明细接口!$C$1194=0,"",[2]对账明细接口!$C$1194),"")</f>
        <v/>
      </c>
      <c r="D1194" s="16" t="str">
        <f>IFERROR(IF([2]对账明细接口!$D$1194=0,"",[2]对账明细接口!$D$1194),"")</f>
        <v/>
      </c>
      <c r="E1194" s="16" t="str">
        <f>IFERROR(IF([2]对账明细接口!$E$1194=0,"",[2]对账明细接口!$E$1194),"")</f>
        <v/>
      </c>
      <c r="F1194" s="16" t="str">
        <f>IFERROR(IF([2]对账明细接口!$F$1194=0,"",[2]对账明细接口!$F$1194),"")</f>
        <v/>
      </c>
      <c r="G1194" s="16" t="str">
        <f>IFERROR(IF([2]对账明细接口!$G$1194=0,"",[2]对账明细接口!$G$1194),"")</f>
        <v/>
      </c>
      <c r="H1194" s="17" t="str">
        <f>IFERROR(IF([2]对账明细接口!$H$1194=0,"",[2]对账明细接口!$H$1194),"")</f>
        <v/>
      </c>
      <c r="I1194" s="16" t="str">
        <f>IFERROR(IF([2]对账明细接口!$I$1194=0,"",[2]对账明细接口!$I$1194),"")</f>
        <v/>
      </c>
      <c r="J1194" s="18" t="str">
        <f>IFERROR(IF([2]对账明细接口!$J$1194=0,"",[2]对账明细接口!$J$1194),"")</f>
        <v/>
      </c>
      <c r="K1194" s="18" t="str">
        <f>IFERROR(IF([2]对账明细接口!$K$1194=0,"",[2]对账明细接口!$K$1194),"")</f>
        <v/>
      </c>
      <c r="L1194" s="16" t="str">
        <f>IFERROR(IF([2]对账明细接口!$L$1194=0,"",[2]对账明细接口!$L$1194),"")</f>
        <v/>
      </c>
      <c r="M1194" s="16" t="str">
        <f>IFERROR(IF([2]对账明细接口!$M$1194=0,"",[2]对账明细接口!$M$1194),"")</f>
        <v/>
      </c>
      <c r="N1194" s="19">
        <f t="shared" si="108"/>
        <v>0</v>
      </c>
      <c r="O1194" s="19">
        <f t="shared" si="109"/>
        <v>165</v>
      </c>
      <c r="S1194" s="20" t="str">
        <f>IFERROR(IF([2]对账明细接口!$N1194=0,"",[2]对账明细接口!$N1194),"")</f>
        <v/>
      </c>
      <c r="T1194" s="21" t="str">
        <f>IFERROR(IF([2]对账明细接口!$O1194=0,"",[2]对账明细接口!$O1194),"")</f>
        <v/>
      </c>
      <c r="U1194" s="21" t="str">
        <f>IFERROR(IF([2]对账明细接口!$P1194=0,"",[2]对账明细接口!$P1194),"")</f>
        <v/>
      </c>
      <c r="V1194" s="21" t="str">
        <f>IFERROR(IF([2]对账明细接口!$Q1194=0,"",[2]对账明细接口!$Q1194),"")</f>
        <v/>
      </c>
      <c r="W1194" s="20" t="str">
        <f>IFERROR(IF([2]对账明细接口!$R1194=0,"",[2]对账明细接口!$R1194),"")</f>
        <v/>
      </c>
      <c r="X1194" s="20" t="str">
        <f>IFERROR(IF([2]对账明细接口!$S1194=0,"",[2]对账明细接口!$S1194),"")</f>
        <v/>
      </c>
      <c r="Y1194" s="20" t="str">
        <f t="shared" si="110"/>
        <v/>
      </c>
      <c r="Z1194" s="20" t="str">
        <f t="shared" si="111"/>
        <v/>
      </c>
      <c r="AA1194" s="20" t="str">
        <f t="shared" si="112"/>
        <v/>
      </c>
      <c r="AB1194" s="20" t="str">
        <f t="shared" si="113"/>
        <v/>
      </c>
    </row>
    <row r="1195" customHeight="1" spans="1:28">
      <c r="A1195" s="14">
        <v>1195</v>
      </c>
      <c r="B1195" s="15" t="str">
        <f>IFERROR(IF([2]对账明细接口!$B$1195=0,"",[2]对账明细接口!$B$1195),"")</f>
        <v/>
      </c>
      <c r="C1195" s="16" t="str">
        <f>IFERROR(IF([2]对账明细接口!$C$1195=0,"",[2]对账明细接口!$C$1195),"")</f>
        <v/>
      </c>
      <c r="D1195" s="16" t="str">
        <f>IFERROR(IF([2]对账明细接口!$D$1195=0,"",[2]对账明细接口!$D$1195),"")</f>
        <v/>
      </c>
      <c r="E1195" s="16" t="str">
        <f>IFERROR(IF([2]对账明细接口!$E$1195=0,"",[2]对账明细接口!$E$1195),"")</f>
        <v/>
      </c>
      <c r="F1195" s="16" t="str">
        <f>IFERROR(IF([2]对账明细接口!$F$1195=0,"",[2]对账明细接口!$F$1195),"")</f>
        <v/>
      </c>
      <c r="G1195" s="16" t="str">
        <f>IFERROR(IF([2]对账明细接口!$G$1195=0,"",[2]对账明细接口!$G$1195),"")</f>
        <v/>
      </c>
      <c r="H1195" s="17" t="str">
        <f>IFERROR(IF([2]对账明细接口!$H$1195=0,"",[2]对账明细接口!$H$1195),"")</f>
        <v/>
      </c>
      <c r="I1195" s="16" t="str">
        <f>IFERROR(IF([2]对账明细接口!$I$1195=0,"",[2]对账明细接口!$I$1195),"")</f>
        <v/>
      </c>
      <c r="J1195" s="18" t="str">
        <f>IFERROR(IF([2]对账明细接口!$J$1195=0,"",[2]对账明细接口!$J$1195),"")</f>
        <v/>
      </c>
      <c r="K1195" s="18" t="str">
        <f>IFERROR(IF([2]对账明细接口!$K$1195=0,"",[2]对账明细接口!$K$1195),"")</f>
        <v/>
      </c>
      <c r="L1195" s="16" t="str">
        <f>IFERROR(IF([2]对账明细接口!$L$1195=0,"",[2]对账明细接口!$L$1195),"")</f>
        <v/>
      </c>
      <c r="M1195" s="16" t="str">
        <f>IFERROR(IF([2]对账明细接口!$M$1195=0,"",[2]对账明细接口!$M$1195),"")</f>
        <v/>
      </c>
      <c r="N1195" s="19">
        <f t="shared" si="108"/>
        <v>0</v>
      </c>
      <c r="O1195" s="19">
        <f t="shared" si="109"/>
        <v>165</v>
      </c>
      <c r="S1195" s="20" t="str">
        <f>IFERROR(IF([2]对账明细接口!$N1195=0,"",[2]对账明细接口!$N1195),"")</f>
        <v/>
      </c>
      <c r="T1195" s="21" t="str">
        <f>IFERROR(IF([2]对账明细接口!$O1195=0,"",[2]对账明细接口!$O1195),"")</f>
        <v/>
      </c>
      <c r="U1195" s="21" t="str">
        <f>IFERROR(IF([2]对账明细接口!$P1195=0,"",[2]对账明细接口!$P1195),"")</f>
        <v/>
      </c>
      <c r="V1195" s="21" t="str">
        <f>IFERROR(IF([2]对账明细接口!$Q1195=0,"",[2]对账明细接口!$Q1195),"")</f>
        <v/>
      </c>
      <c r="W1195" s="20" t="str">
        <f>IFERROR(IF([2]对账明细接口!$R1195=0,"",[2]对账明细接口!$R1195),"")</f>
        <v/>
      </c>
      <c r="X1195" s="20" t="str">
        <f>IFERROR(IF([2]对账明细接口!$S1195=0,"",[2]对账明细接口!$S1195),"")</f>
        <v/>
      </c>
      <c r="Y1195" s="20" t="str">
        <f t="shared" si="110"/>
        <v/>
      </c>
      <c r="Z1195" s="20" t="str">
        <f t="shared" si="111"/>
        <v/>
      </c>
      <c r="AA1195" s="20" t="str">
        <f t="shared" si="112"/>
        <v/>
      </c>
      <c r="AB1195" s="20" t="str">
        <f t="shared" si="113"/>
        <v/>
      </c>
    </row>
    <row r="1196" customHeight="1" spans="1:28">
      <c r="A1196" s="14">
        <v>1196</v>
      </c>
      <c r="B1196" s="15" t="str">
        <f>IFERROR(IF([2]对账明细接口!$B$1196=0,"",[2]对账明细接口!$B$1196),"")</f>
        <v/>
      </c>
      <c r="C1196" s="16" t="str">
        <f>IFERROR(IF([2]对账明细接口!$C$1196=0,"",[2]对账明细接口!$C$1196),"")</f>
        <v/>
      </c>
      <c r="D1196" s="16" t="str">
        <f>IFERROR(IF([2]对账明细接口!$D$1196=0,"",[2]对账明细接口!$D$1196),"")</f>
        <v/>
      </c>
      <c r="E1196" s="16" t="str">
        <f>IFERROR(IF([2]对账明细接口!$E$1196=0,"",[2]对账明细接口!$E$1196),"")</f>
        <v/>
      </c>
      <c r="F1196" s="16" t="str">
        <f>IFERROR(IF([2]对账明细接口!$F$1196=0,"",[2]对账明细接口!$F$1196),"")</f>
        <v/>
      </c>
      <c r="G1196" s="16" t="str">
        <f>IFERROR(IF([2]对账明细接口!$G$1196=0,"",[2]对账明细接口!$G$1196),"")</f>
        <v/>
      </c>
      <c r="H1196" s="17" t="str">
        <f>IFERROR(IF([2]对账明细接口!$H$1196=0,"",[2]对账明细接口!$H$1196),"")</f>
        <v/>
      </c>
      <c r="I1196" s="16" t="str">
        <f>IFERROR(IF([2]对账明细接口!$I$1196=0,"",[2]对账明细接口!$I$1196),"")</f>
        <v/>
      </c>
      <c r="J1196" s="18" t="str">
        <f>IFERROR(IF([2]对账明细接口!$J$1196=0,"",[2]对账明细接口!$J$1196),"")</f>
        <v/>
      </c>
      <c r="K1196" s="18" t="str">
        <f>IFERROR(IF([2]对账明细接口!$K$1196=0,"",[2]对账明细接口!$K$1196),"")</f>
        <v/>
      </c>
      <c r="L1196" s="16" t="str">
        <f>IFERROR(IF([2]对账明细接口!$L$1196=0,"",[2]对账明细接口!$L$1196),"")</f>
        <v/>
      </c>
      <c r="M1196" s="16" t="str">
        <f>IFERROR(IF([2]对账明细接口!$M$1196=0,"",[2]对账明细接口!$M$1196),"")</f>
        <v/>
      </c>
      <c r="N1196" s="19">
        <f t="shared" si="108"/>
        <v>0</v>
      </c>
      <c r="O1196" s="19">
        <f t="shared" si="109"/>
        <v>165</v>
      </c>
      <c r="S1196" s="20" t="str">
        <f>IFERROR(IF([2]对账明细接口!$N1196=0,"",[2]对账明细接口!$N1196),"")</f>
        <v/>
      </c>
      <c r="T1196" s="21" t="str">
        <f>IFERROR(IF([2]对账明细接口!$O1196=0,"",[2]对账明细接口!$O1196),"")</f>
        <v/>
      </c>
      <c r="U1196" s="21" t="str">
        <f>IFERROR(IF([2]对账明细接口!$P1196=0,"",[2]对账明细接口!$P1196),"")</f>
        <v/>
      </c>
      <c r="V1196" s="21" t="str">
        <f>IFERROR(IF([2]对账明细接口!$Q1196=0,"",[2]对账明细接口!$Q1196),"")</f>
        <v/>
      </c>
      <c r="W1196" s="20" t="str">
        <f>IFERROR(IF([2]对账明细接口!$R1196=0,"",[2]对账明细接口!$R1196),"")</f>
        <v/>
      </c>
      <c r="X1196" s="20" t="str">
        <f>IFERROR(IF([2]对账明细接口!$S1196=0,"",[2]对账明细接口!$S1196),"")</f>
        <v/>
      </c>
      <c r="Y1196" s="20" t="str">
        <f t="shared" si="110"/>
        <v/>
      </c>
      <c r="Z1196" s="20" t="str">
        <f t="shared" si="111"/>
        <v/>
      </c>
      <c r="AA1196" s="20" t="str">
        <f t="shared" si="112"/>
        <v/>
      </c>
      <c r="AB1196" s="20" t="str">
        <f t="shared" si="113"/>
        <v/>
      </c>
    </row>
    <row r="1197" customHeight="1" spans="1:28">
      <c r="A1197" s="14">
        <v>1197</v>
      </c>
      <c r="B1197" s="15" t="str">
        <f>IFERROR(IF([2]对账明细接口!$B$1197=0,"",[2]对账明细接口!$B$1197),"")</f>
        <v/>
      </c>
      <c r="C1197" s="16" t="str">
        <f>IFERROR(IF([2]对账明细接口!$C$1197=0,"",[2]对账明细接口!$C$1197),"")</f>
        <v/>
      </c>
      <c r="D1197" s="16" t="str">
        <f>IFERROR(IF([2]对账明细接口!$D$1197=0,"",[2]对账明细接口!$D$1197),"")</f>
        <v/>
      </c>
      <c r="E1197" s="16" t="str">
        <f>IFERROR(IF([2]对账明细接口!$E$1197=0,"",[2]对账明细接口!$E$1197),"")</f>
        <v/>
      </c>
      <c r="F1197" s="16" t="str">
        <f>IFERROR(IF([2]对账明细接口!$F$1197=0,"",[2]对账明细接口!$F$1197),"")</f>
        <v/>
      </c>
      <c r="G1197" s="16" t="str">
        <f>IFERROR(IF([2]对账明细接口!$G$1197=0,"",[2]对账明细接口!$G$1197),"")</f>
        <v/>
      </c>
      <c r="H1197" s="17" t="str">
        <f>IFERROR(IF([2]对账明细接口!$H$1197=0,"",[2]对账明细接口!$H$1197),"")</f>
        <v/>
      </c>
      <c r="I1197" s="16" t="str">
        <f>IFERROR(IF([2]对账明细接口!$I$1197=0,"",[2]对账明细接口!$I$1197),"")</f>
        <v/>
      </c>
      <c r="J1197" s="18" t="str">
        <f>IFERROR(IF([2]对账明细接口!$J$1197=0,"",[2]对账明细接口!$J$1197),"")</f>
        <v/>
      </c>
      <c r="K1197" s="18" t="str">
        <f>IFERROR(IF([2]对账明细接口!$K$1197=0,"",[2]对账明细接口!$K$1197),"")</f>
        <v/>
      </c>
      <c r="L1197" s="16" t="str">
        <f>IFERROR(IF([2]对账明细接口!$L$1197=0,"",[2]对账明细接口!$L$1197),"")</f>
        <v/>
      </c>
      <c r="M1197" s="16" t="str">
        <f>IFERROR(IF([2]对账明细接口!$M$1197=0,"",[2]对账明细接口!$M$1197),"")</f>
        <v/>
      </c>
      <c r="N1197" s="19">
        <f t="shared" si="108"/>
        <v>0</v>
      </c>
      <c r="O1197" s="19">
        <f t="shared" si="109"/>
        <v>165</v>
      </c>
      <c r="S1197" s="20" t="str">
        <f>IFERROR(IF([2]对账明细接口!$N1197=0,"",[2]对账明细接口!$N1197),"")</f>
        <v/>
      </c>
      <c r="T1197" s="21" t="str">
        <f>IFERROR(IF([2]对账明细接口!$O1197=0,"",[2]对账明细接口!$O1197),"")</f>
        <v/>
      </c>
      <c r="U1197" s="21" t="str">
        <f>IFERROR(IF([2]对账明细接口!$P1197=0,"",[2]对账明细接口!$P1197),"")</f>
        <v/>
      </c>
      <c r="V1197" s="21" t="str">
        <f>IFERROR(IF([2]对账明细接口!$Q1197=0,"",[2]对账明细接口!$Q1197),"")</f>
        <v/>
      </c>
      <c r="W1197" s="20" t="str">
        <f>IFERROR(IF([2]对账明细接口!$R1197=0,"",[2]对账明细接口!$R1197),"")</f>
        <v/>
      </c>
      <c r="X1197" s="20" t="str">
        <f>IFERROR(IF([2]对账明细接口!$S1197=0,"",[2]对账明细接口!$S1197),"")</f>
        <v/>
      </c>
      <c r="Y1197" s="20" t="str">
        <f t="shared" si="110"/>
        <v/>
      </c>
      <c r="Z1197" s="20" t="str">
        <f t="shared" si="111"/>
        <v/>
      </c>
      <c r="AA1197" s="20" t="str">
        <f t="shared" si="112"/>
        <v/>
      </c>
      <c r="AB1197" s="20" t="str">
        <f t="shared" si="113"/>
        <v/>
      </c>
    </row>
    <row r="1198" customHeight="1" spans="1:28">
      <c r="A1198" s="14">
        <v>1198</v>
      </c>
      <c r="B1198" s="15" t="str">
        <f>IFERROR(IF([2]对账明细接口!$B$1198=0,"",[2]对账明细接口!$B$1198),"")</f>
        <v/>
      </c>
      <c r="C1198" s="16" t="str">
        <f>IFERROR(IF([2]对账明细接口!$C$1198=0,"",[2]对账明细接口!$C$1198),"")</f>
        <v/>
      </c>
      <c r="D1198" s="16" t="str">
        <f>IFERROR(IF([2]对账明细接口!$D$1198=0,"",[2]对账明细接口!$D$1198),"")</f>
        <v/>
      </c>
      <c r="E1198" s="16" t="str">
        <f>IFERROR(IF([2]对账明细接口!$E$1198=0,"",[2]对账明细接口!$E$1198),"")</f>
        <v/>
      </c>
      <c r="F1198" s="16" t="str">
        <f>IFERROR(IF([2]对账明细接口!$F$1198=0,"",[2]对账明细接口!$F$1198),"")</f>
        <v/>
      </c>
      <c r="G1198" s="16" t="str">
        <f>IFERROR(IF([2]对账明细接口!$G$1198=0,"",[2]对账明细接口!$G$1198),"")</f>
        <v/>
      </c>
      <c r="H1198" s="17" t="str">
        <f>IFERROR(IF([2]对账明细接口!$H$1198=0,"",[2]对账明细接口!$H$1198),"")</f>
        <v/>
      </c>
      <c r="I1198" s="16" t="str">
        <f>IFERROR(IF([2]对账明细接口!$I$1198=0,"",[2]对账明细接口!$I$1198),"")</f>
        <v/>
      </c>
      <c r="J1198" s="18" t="str">
        <f>IFERROR(IF([2]对账明细接口!$J$1198=0,"",[2]对账明细接口!$J$1198),"")</f>
        <v/>
      </c>
      <c r="K1198" s="18" t="str">
        <f>IFERROR(IF([2]对账明细接口!$K$1198=0,"",[2]对账明细接口!$K$1198),"")</f>
        <v/>
      </c>
      <c r="L1198" s="16" t="str">
        <f>IFERROR(IF([2]对账明细接口!$L$1198=0,"",[2]对账明细接口!$L$1198),"")</f>
        <v/>
      </c>
      <c r="M1198" s="16" t="str">
        <f>IFERROR(IF([2]对账明细接口!$M$1198=0,"",[2]对账明细接口!$M$1198),"")</f>
        <v/>
      </c>
      <c r="N1198" s="19">
        <f t="shared" si="108"/>
        <v>0</v>
      </c>
      <c r="O1198" s="19">
        <f t="shared" si="109"/>
        <v>165</v>
      </c>
      <c r="S1198" s="20" t="str">
        <f>IFERROR(IF([2]对账明细接口!$N1198=0,"",[2]对账明细接口!$N1198),"")</f>
        <v/>
      </c>
      <c r="T1198" s="21" t="str">
        <f>IFERROR(IF([2]对账明细接口!$O1198=0,"",[2]对账明细接口!$O1198),"")</f>
        <v/>
      </c>
      <c r="U1198" s="21" t="str">
        <f>IFERROR(IF([2]对账明细接口!$P1198=0,"",[2]对账明细接口!$P1198),"")</f>
        <v/>
      </c>
      <c r="V1198" s="21" t="str">
        <f>IFERROR(IF([2]对账明细接口!$Q1198=0,"",[2]对账明细接口!$Q1198),"")</f>
        <v/>
      </c>
      <c r="W1198" s="20" t="str">
        <f>IFERROR(IF([2]对账明细接口!$R1198=0,"",[2]对账明细接口!$R1198),"")</f>
        <v/>
      </c>
      <c r="X1198" s="20" t="str">
        <f>IFERROR(IF([2]对账明细接口!$S1198=0,"",[2]对账明细接口!$S1198),"")</f>
        <v/>
      </c>
      <c r="Y1198" s="20" t="str">
        <f t="shared" si="110"/>
        <v/>
      </c>
      <c r="Z1198" s="20" t="str">
        <f t="shared" si="111"/>
        <v/>
      </c>
      <c r="AA1198" s="20" t="str">
        <f t="shared" si="112"/>
        <v/>
      </c>
      <c r="AB1198" s="20" t="str">
        <f t="shared" si="113"/>
        <v/>
      </c>
    </row>
    <row r="1199" customHeight="1" spans="1:28">
      <c r="A1199" s="14">
        <v>1199</v>
      </c>
      <c r="B1199" s="15" t="str">
        <f>IFERROR(IF([2]对账明细接口!$B$1199=0,"",[2]对账明细接口!$B$1199),"")</f>
        <v/>
      </c>
      <c r="C1199" s="16" t="str">
        <f>IFERROR(IF([2]对账明细接口!$C$1199=0,"",[2]对账明细接口!$C$1199),"")</f>
        <v/>
      </c>
      <c r="D1199" s="16" t="str">
        <f>IFERROR(IF([2]对账明细接口!$D$1199=0,"",[2]对账明细接口!$D$1199),"")</f>
        <v/>
      </c>
      <c r="E1199" s="16" t="str">
        <f>IFERROR(IF([2]对账明细接口!$E$1199=0,"",[2]对账明细接口!$E$1199),"")</f>
        <v/>
      </c>
      <c r="F1199" s="16" t="str">
        <f>IFERROR(IF([2]对账明细接口!$F$1199=0,"",[2]对账明细接口!$F$1199),"")</f>
        <v/>
      </c>
      <c r="G1199" s="16" t="str">
        <f>IFERROR(IF([2]对账明细接口!$G$1199=0,"",[2]对账明细接口!$G$1199),"")</f>
        <v/>
      </c>
      <c r="H1199" s="17" t="str">
        <f>IFERROR(IF([2]对账明细接口!$H$1199=0,"",[2]对账明细接口!$H$1199),"")</f>
        <v/>
      </c>
      <c r="I1199" s="16" t="str">
        <f>IFERROR(IF([2]对账明细接口!$I$1199=0,"",[2]对账明细接口!$I$1199),"")</f>
        <v/>
      </c>
      <c r="J1199" s="18" t="str">
        <f>IFERROR(IF([2]对账明细接口!$J$1199=0,"",[2]对账明细接口!$J$1199),"")</f>
        <v/>
      </c>
      <c r="K1199" s="18" t="str">
        <f>IFERROR(IF([2]对账明细接口!$K$1199=0,"",[2]对账明细接口!$K$1199),"")</f>
        <v/>
      </c>
      <c r="L1199" s="16" t="str">
        <f>IFERROR(IF([2]对账明细接口!$L$1199=0,"",[2]对账明细接口!$L$1199),"")</f>
        <v/>
      </c>
      <c r="M1199" s="16" t="str">
        <f>IFERROR(IF([2]对账明细接口!$M$1199=0,"",[2]对账明细接口!$M$1199),"")</f>
        <v/>
      </c>
      <c r="N1199" s="19">
        <f t="shared" si="108"/>
        <v>0</v>
      </c>
      <c r="O1199" s="19">
        <f t="shared" si="109"/>
        <v>165</v>
      </c>
      <c r="S1199" s="20" t="str">
        <f>IFERROR(IF([2]对账明细接口!$N1199=0,"",[2]对账明细接口!$N1199),"")</f>
        <v/>
      </c>
      <c r="T1199" s="21" t="str">
        <f>IFERROR(IF([2]对账明细接口!$O1199=0,"",[2]对账明细接口!$O1199),"")</f>
        <v/>
      </c>
      <c r="U1199" s="21" t="str">
        <f>IFERROR(IF([2]对账明细接口!$P1199=0,"",[2]对账明细接口!$P1199),"")</f>
        <v/>
      </c>
      <c r="V1199" s="21" t="str">
        <f>IFERROR(IF([2]对账明细接口!$Q1199=0,"",[2]对账明细接口!$Q1199),"")</f>
        <v/>
      </c>
      <c r="W1199" s="20" t="str">
        <f>IFERROR(IF([2]对账明细接口!$R1199=0,"",[2]对账明细接口!$R1199),"")</f>
        <v/>
      </c>
      <c r="X1199" s="20" t="str">
        <f>IFERROR(IF([2]对账明细接口!$S1199=0,"",[2]对账明细接口!$S1199),"")</f>
        <v/>
      </c>
      <c r="Y1199" s="20" t="str">
        <f t="shared" si="110"/>
        <v/>
      </c>
      <c r="Z1199" s="20" t="str">
        <f t="shared" si="111"/>
        <v/>
      </c>
      <c r="AA1199" s="20" t="str">
        <f t="shared" si="112"/>
        <v/>
      </c>
      <c r="AB1199" s="20" t="str">
        <f t="shared" si="113"/>
        <v/>
      </c>
    </row>
    <row r="1200" customHeight="1" spans="1:28">
      <c r="A1200" s="14">
        <v>1200</v>
      </c>
      <c r="B1200" s="15" t="str">
        <f>IFERROR(IF([2]对账明细接口!$B$1200=0,"",[2]对账明细接口!$B$1200),"")</f>
        <v/>
      </c>
      <c r="C1200" s="16" t="str">
        <f>IFERROR(IF([2]对账明细接口!$C$1200=0,"",[2]对账明细接口!$C$1200),"")</f>
        <v/>
      </c>
      <c r="D1200" s="16" t="str">
        <f>IFERROR(IF([2]对账明细接口!$D$1200=0,"",[2]对账明细接口!$D$1200),"")</f>
        <v/>
      </c>
      <c r="E1200" s="16" t="str">
        <f>IFERROR(IF([2]对账明细接口!$E$1200=0,"",[2]对账明细接口!$E$1200),"")</f>
        <v/>
      </c>
      <c r="F1200" s="16" t="str">
        <f>IFERROR(IF([2]对账明细接口!$F$1200=0,"",[2]对账明细接口!$F$1200),"")</f>
        <v/>
      </c>
      <c r="G1200" s="16" t="str">
        <f>IFERROR(IF([2]对账明细接口!$G$1200=0,"",[2]对账明细接口!$G$1200),"")</f>
        <v/>
      </c>
      <c r="H1200" s="17" t="str">
        <f>IFERROR(IF([2]对账明细接口!$H$1200=0,"",[2]对账明细接口!$H$1200),"")</f>
        <v/>
      </c>
      <c r="I1200" s="16" t="str">
        <f>IFERROR(IF([2]对账明细接口!$I$1200=0,"",[2]对账明细接口!$I$1200),"")</f>
        <v/>
      </c>
      <c r="J1200" s="18" t="str">
        <f>IFERROR(IF([2]对账明细接口!$J$1200=0,"",[2]对账明细接口!$J$1200),"")</f>
        <v/>
      </c>
      <c r="K1200" s="18" t="str">
        <f>IFERROR(IF([2]对账明细接口!$K$1200=0,"",[2]对账明细接口!$K$1200),"")</f>
        <v/>
      </c>
      <c r="L1200" s="16" t="str">
        <f>IFERROR(IF([2]对账明细接口!$L$1200=0,"",[2]对账明细接口!$L$1200),"")</f>
        <v/>
      </c>
      <c r="M1200" s="16" t="str">
        <f>IFERROR(IF([2]对账明细接口!$M$1200=0,"",[2]对账明细接口!$M$1200),"")</f>
        <v/>
      </c>
      <c r="N1200" s="19">
        <f t="shared" si="108"/>
        <v>0</v>
      </c>
      <c r="O1200" s="19">
        <f t="shared" si="109"/>
        <v>165</v>
      </c>
      <c r="S1200" s="20" t="str">
        <f>IFERROR(IF([2]对账明细接口!$N1200=0,"",[2]对账明细接口!$N1200),"")</f>
        <v/>
      </c>
      <c r="T1200" s="21" t="str">
        <f>IFERROR(IF([2]对账明细接口!$O1200=0,"",[2]对账明细接口!$O1200),"")</f>
        <v/>
      </c>
      <c r="U1200" s="21" t="str">
        <f>IFERROR(IF([2]对账明细接口!$P1200=0,"",[2]对账明细接口!$P1200),"")</f>
        <v/>
      </c>
      <c r="V1200" s="21" t="str">
        <f>IFERROR(IF([2]对账明细接口!$Q1200=0,"",[2]对账明细接口!$Q1200),"")</f>
        <v/>
      </c>
      <c r="W1200" s="20" t="str">
        <f>IFERROR(IF([2]对账明细接口!$R1200=0,"",[2]对账明细接口!$R1200),"")</f>
        <v/>
      </c>
      <c r="X1200" s="20" t="str">
        <f>IFERROR(IF([2]对账明细接口!$S1200=0,"",[2]对账明细接口!$S1200),"")</f>
        <v/>
      </c>
      <c r="Y1200" s="20" t="str">
        <f t="shared" si="110"/>
        <v/>
      </c>
      <c r="Z1200" s="20" t="str">
        <f t="shared" si="111"/>
        <v/>
      </c>
      <c r="AA1200" s="20" t="str">
        <f t="shared" si="112"/>
        <v/>
      </c>
      <c r="AB1200" s="20" t="str">
        <f t="shared" si="113"/>
        <v/>
      </c>
    </row>
    <row r="1201" customHeight="1" spans="1:28">
      <c r="A1201" s="14">
        <v>1201</v>
      </c>
      <c r="B1201" s="15" t="str">
        <f>IFERROR(IF([2]对账明细接口!$B$1201=0,"",[2]对账明细接口!$B$1201),"")</f>
        <v/>
      </c>
      <c r="C1201" s="16" t="str">
        <f>IFERROR(IF([2]对账明细接口!$C$1201=0,"",[2]对账明细接口!$C$1201),"")</f>
        <v/>
      </c>
      <c r="D1201" s="16" t="str">
        <f>IFERROR(IF([2]对账明细接口!$D$1201=0,"",[2]对账明细接口!$D$1201),"")</f>
        <v/>
      </c>
      <c r="E1201" s="16" t="str">
        <f>IFERROR(IF([2]对账明细接口!$E$1201=0,"",[2]对账明细接口!$E$1201),"")</f>
        <v/>
      </c>
      <c r="F1201" s="16" t="str">
        <f>IFERROR(IF([2]对账明细接口!$F$1201=0,"",[2]对账明细接口!$F$1201),"")</f>
        <v/>
      </c>
      <c r="G1201" s="16" t="str">
        <f>IFERROR(IF([2]对账明细接口!$G$1201=0,"",[2]对账明细接口!$G$1201),"")</f>
        <v/>
      </c>
      <c r="H1201" s="17" t="str">
        <f>IFERROR(IF([2]对账明细接口!$H$1201=0,"",[2]对账明细接口!$H$1201),"")</f>
        <v/>
      </c>
      <c r="I1201" s="16" t="str">
        <f>IFERROR(IF([2]对账明细接口!$I$1201=0,"",[2]对账明细接口!$I$1201),"")</f>
        <v/>
      </c>
      <c r="J1201" s="18" t="str">
        <f>IFERROR(IF([2]对账明细接口!$J$1201=0,"",[2]对账明细接口!$J$1201),"")</f>
        <v/>
      </c>
      <c r="K1201" s="18" t="str">
        <f>IFERROR(IF([2]对账明细接口!$K$1201=0,"",[2]对账明细接口!$K$1201),"")</f>
        <v/>
      </c>
      <c r="L1201" s="16" t="str">
        <f>IFERROR(IF([2]对账明细接口!$L$1201=0,"",[2]对账明细接口!$L$1201),"")</f>
        <v/>
      </c>
      <c r="M1201" s="16" t="str">
        <f>IFERROR(IF([2]对账明细接口!$M$1201=0,"",[2]对账明细接口!$M$1201),"")</f>
        <v/>
      </c>
      <c r="N1201" s="19">
        <f t="shared" si="108"/>
        <v>0</v>
      </c>
      <c r="O1201" s="19">
        <f t="shared" si="109"/>
        <v>165</v>
      </c>
      <c r="S1201" s="20" t="str">
        <f>IFERROR(IF([2]对账明细接口!$N1201=0,"",[2]对账明细接口!$N1201),"")</f>
        <v/>
      </c>
      <c r="T1201" s="21" t="str">
        <f>IFERROR(IF([2]对账明细接口!$O1201=0,"",[2]对账明细接口!$O1201),"")</f>
        <v/>
      </c>
      <c r="U1201" s="21" t="str">
        <f>IFERROR(IF([2]对账明细接口!$P1201=0,"",[2]对账明细接口!$P1201),"")</f>
        <v/>
      </c>
      <c r="V1201" s="21" t="str">
        <f>IFERROR(IF([2]对账明细接口!$Q1201=0,"",[2]对账明细接口!$Q1201),"")</f>
        <v/>
      </c>
      <c r="W1201" s="20" t="str">
        <f>IFERROR(IF([2]对账明细接口!$R1201=0,"",[2]对账明细接口!$R1201),"")</f>
        <v/>
      </c>
      <c r="X1201" s="20" t="str">
        <f>IFERROR(IF([2]对账明细接口!$S1201=0,"",[2]对账明细接口!$S1201),"")</f>
        <v/>
      </c>
      <c r="Y1201" s="20" t="str">
        <f t="shared" si="110"/>
        <v/>
      </c>
      <c r="Z1201" s="20" t="str">
        <f t="shared" si="111"/>
        <v/>
      </c>
      <c r="AA1201" s="20" t="str">
        <f t="shared" si="112"/>
        <v/>
      </c>
      <c r="AB1201" s="20" t="str">
        <f t="shared" si="113"/>
        <v/>
      </c>
    </row>
    <row r="1202" customHeight="1" spans="1:28">
      <c r="A1202" s="14">
        <v>1202</v>
      </c>
      <c r="B1202" s="15" t="str">
        <f>IFERROR(IF([2]对账明细接口!$B$1202=0,"",[2]对账明细接口!$B$1202),"")</f>
        <v/>
      </c>
      <c r="C1202" s="16" t="str">
        <f>IFERROR(IF([2]对账明细接口!$C$1202=0,"",[2]对账明细接口!$C$1202),"")</f>
        <v/>
      </c>
      <c r="D1202" s="16" t="str">
        <f>IFERROR(IF([2]对账明细接口!$D$1202=0,"",[2]对账明细接口!$D$1202),"")</f>
        <v/>
      </c>
      <c r="E1202" s="16" t="str">
        <f>IFERROR(IF([2]对账明细接口!$E$1202=0,"",[2]对账明细接口!$E$1202),"")</f>
        <v/>
      </c>
      <c r="F1202" s="16" t="str">
        <f>IFERROR(IF([2]对账明细接口!$F$1202=0,"",[2]对账明细接口!$F$1202),"")</f>
        <v/>
      </c>
      <c r="G1202" s="16" t="str">
        <f>IFERROR(IF([2]对账明细接口!$G$1202=0,"",[2]对账明细接口!$G$1202),"")</f>
        <v/>
      </c>
      <c r="H1202" s="17" t="str">
        <f>IFERROR(IF([2]对账明细接口!$H$1202=0,"",[2]对账明细接口!$H$1202),"")</f>
        <v/>
      </c>
      <c r="I1202" s="16" t="str">
        <f>IFERROR(IF([2]对账明细接口!$I$1202=0,"",[2]对账明细接口!$I$1202),"")</f>
        <v/>
      </c>
      <c r="J1202" s="18" t="str">
        <f>IFERROR(IF([2]对账明细接口!$J$1202=0,"",[2]对账明细接口!$J$1202),"")</f>
        <v/>
      </c>
      <c r="K1202" s="18" t="str">
        <f>IFERROR(IF([2]对账明细接口!$K$1202=0,"",[2]对账明细接口!$K$1202),"")</f>
        <v/>
      </c>
      <c r="L1202" s="16" t="str">
        <f>IFERROR(IF([2]对账明细接口!$L$1202=0,"",[2]对账明细接口!$L$1202),"")</f>
        <v/>
      </c>
      <c r="M1202" s="16" t="str">
        <f>IFERROR(IF([2]对账明细接口!$M$1202=0,"",[2]对账明细接口!$M$1202),"")</f>
        <v/>
      </c>
      <c r="N1202" s="19">
        <f t="shared" si="108"/>
        <v>0</v>
      </c>
      <c r="O1202" s="19">
        <f t="shared" si="109"/>
        <v>165</v>
      </c>
      <c r="S1202" s="20" t="str">
        <f>IFERROR(IF([2]对账明细接口!$N1202=0,"",[2]对账明细接口!$N1202),"")</f>
        <v/>
      </c>
      <c r="T1202" s="21" t="str">
        <f>IFERROR(IF([2]对账明细接口!$O1202=0,"",[2]对账明细接口!$O1202),"")</f>
        <v/>
      </c>
      <c r="U1202" s="21" t="str">
        <f>IFERROR(IF([2]对账明细接口!$P1202=0,"",[2]对账明细接口!$P1202),"")</f>
        <v/>
      </c>
      <c r="V1202" s="21" t="str">
        <f>IFERROR(IF([2]对账明细接口!$Q1202=0,"",[2]对账明细接口!$Q1202),"")</f>
        <v/>
      </c>
      <c r="W1202" s="20" t="str">
        <f>IFERROR(IF([2]对账明细接口!$R1202=0,"",[2]对账明细接口!$R1202),"")</f>
        <v/>
      </c>
      <c r="X1202" s="20" t="str">
        <f>IFERROR(IF([2]对账明细接口!$S1202=0,"",[2]对账明细接口!$S1202),"")</f>
        <v/>
      </c>
      <c r="Y1202" s="20" t="str">
        <f t="shared" si="110"/>
        <v/>
      </c>
      <c r="Z1202" s="20" t="str">
        <f t="shared" si="111"/>
        <v/>
      </c>
      <c r="AA1202" s="20" t="str">
        <f t="shared" si="112"/>
        <v/>
      </c>
      <c r="AB1202" s="20" t="str">
        <f t="shared" si="113"/>
        <v/>
      </c>
    </row>
    <row r="1203" customHeight="1" spans="1:28">
      <c r="A1203" s="14">
        <v>1203</v>
      </c>
      <c r="B1203" s="15" t="str">
        <f>IFERROR(IF([2]对账明细接口!$B$1203=0,"",[2]对账明细接口!$B$1203),"")</f>
        <v/>
      </c>
      <c r="C1203" s="16" t="str">
        <f>IFERROR(IF([2]对账明细接口!$C$1203=0,"",[2]对账明细接口!$C$1203),"")</f>
        <v/>
      </c>
      <c r="D1203" s="16" t="str">
        <f>IFERROR(IF([2]对账明细接口!$D$1203=0,"",[2]对账明细接口!$D$1203),"")</f>
        <v/>
      </c>
      <c r="E1203" s="16" t="str">
        <f>IFERROR(IF([2]对账明细接口!$E$1203=0,"",[2]对账明细接口!$E$1203),"")</f>
        <v/>
      </c>
      <c r="F1203" s="16" t="str">
        <f>IFERROR(IF([2]对账明细接口!$F$1203=0,"",[2]对账明细接口!$F$1203),"")</f>
        <v/>
      </c>
      <c r="G1203" s="16" t="str">
        <f>IFERROR(IF([2]对账明细接口!$G$1203=0,"",[2]对账明细接口!$G$1203),"")</f>
        <v/>
      </c>
      <c r="H1203" s="17" t="str">
        <f>IFERROR(IF([2]对账明细接口!$H$1203=0,"",[2]对账明细接口!$H$1203),"")</f>
        <v/>
      </c>
      <c r="I1203" s="16" t="str">
        <f>IFERROR(IF([2]对账明细接口!$I$1203=0,"",[2]对账明细接口!$I$1203),"")</f>
        <v/>
      </c>
      <c r="J1203" s="18" t="str">
        <f>IFERROR(IF([2]对账明细接口!$J$1203=0,"",[2]对账明细接口!$J$1203),"")</f>
        <v/>
      </c>
      <c r="K1203" s="18" t="str">
        <f>IFERROR(IF([2]对账明细接口!$K$1203=0,"",[2]对账明细接口!$K$1203),"")</f>
        <v/>
      </c>
      <c r="L1203" s="16" t="str">
        <f>IFERROR(IF([2]对账明细接口!$L$1203=0,"",[2]对账明细接口!$L$1203),"")</f>
        <v/>
      </c>
      <c r="M1203" s="16" t="str">
        <f>IFERROR(IF([2]对账明细接口!$M$1203=0,"",[2]对账明细接口!$M$1203),"")</f>
        <v/>
      </c>
      <c r="N1203" s="19">
        <f t="shared" si="108"/>
        <v>0</v>
      </c>
      <c r="O1203" s="19">
        <f t="shared" si="109"/>
        <v>165</v>
      </c>
      <c r="S1203" s="20" t="str">
        <f>IFERROR(IF([2]对账明细接口!$N1203=0,"",[2]对账明细接口!$N1203),"")</f>
        <v/>
      </c>
      <c r="T1203" s="21" t="str">
        <f>IFERROR(IF([2]对账明细接口!$O1203=0,"",[2]对账明细接口!$O1203),"")</f>
        <v/>
      </c>
      <c r="U1203" s="21" t="str">
        <f>IFERROR(IF([2]对账明细接口!$P1203=0,"",[2]对账明细接口!$P1203),"")</f>
        <v/>
      </c>
      <c r="V1203" s="21" t="str">
        <f>IFERROR(IF([2]对账明细接口!$Q1203=0,"",[2]对账明细接口!$Q1203),"")</f>
        <v/>
      </c>
      <c r="W1203" s="20" t="str">
        <f>IFERROR(IF([2]对账明细接口!$R1203=0,"",[2]对账明细接口!$R1203),"")</f>
        <v/>
      </c>
      <c r="X1203" s="20" t="str">
        <f>IFERROR(IF([2]对账明细接口!$S1203=0,"",[2]对账明细接口!$S1203),"")</f>
        <v/>
      </c>
      <c r="Y1203" s="20" t="str">
        <f t="shared" si="110"/>
        <v/>
      </c>
      <c r="Z1203" s="20" t="str">
        <f t="shared" si="111"/>
        <v/>
      </c>
      <c r="AA1203" s="20" t="str">
        <f t="shared" si="112"/>
        <v/>
      </c>
      <c r="AB1203" s="20" t="str">
        <f t="shared" si="113"/>
        <v/>
      </c>
    </row>
  </sheetData>
  <mergeCells count="3">
    <mergeCell ref="A1:O1"/>
    <mergeCell ref="A2:O2"/>
    <mergeCell ref="Q6:R9"/>
  </mergeCells>
  <conditionalFormatting sqref="A2">
    <cfRule type="expression" dxfId="0" priority="2">
      <formula>$R$4=0</formula>
    </cfRule>
  </conditionalFormatting>
  <conditionalFormatting sqref="Q6">
    <cfRule type="expression" dxfId="0" priority="3">
      <formula>$R$4=0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403"/>
  <sheetViews>
    <sheetView workbookViewId="0">
      <selection activeCell="A1" sqref="A1"/>
    </sheetView>
  </sheetViews>
  <sheetFormatPr defaultColWidth="9" defaultRowHeight="13.5"/>
  <cols>
    <col min="44" max="45" width="13" hidden="1" customWidth="1"/>
  </cols>
  <sheetData>
    <row r="1" customHeight="1" spans="1:45">
      <c r="A1" s="1" t="s">
        <v>222</v>
      </c>
      <c r="K1" s="2" t="str">
        <f>筐子对账单!$B$2</f>
        <v>王灵云</v>
      </c>
      <c r="L1" s="2" t="str">
        <f>自备筐对账单!$B$2</f>
        <v>贾建国</v>
      </c>
      <c r="M1" s="2" t="str">
        <f>水果对账单!$B$2</f>
        <v>吐尔洪</v>
      </c>
      <c r="N1" s="2" t="str">
        <f>物料与筐子销售对账单!$B$2</f>
        <v>吐尔洪</v>
      </c>
      <c r="P1" s="3">
        <f>MAX(Q$4:Q$2403)</f>
        <v>8</v>
      </c>
      <c r="R1" s="3">
        <f>MAX(S$4:S$2403)</f>
        <v>0</v>
      </c>
      <c r="T1" s="3">
        <f>MAX(U$4:U$2403)</f>
        <v>19</v>
      </c>
      <c r="V1" s="3">
        <f>MAX(W$4:W$2403)</f>
        <v>8</v>
      </c>
      <c r="X1" s="3">
        <f>MAX(Y$4:Y$2403)</f>
        <v>0</v>
      </c>
      <c r="Z1" s="3">
        <f>MAX(AA$4:AA$2403)</f>
        <v>24</v>
      </c>
      <c r="AB1" s="3">
        <f>MAX(AC$4:AC$2403)</f>
        <v>0</v>
      </c>
      <c r="AD1" s="3">
        <f>MAX(AE$4:AE$2403)</f>
        <v>0</v>
      </c>
      <c r="AF1" s="3">
        <f>MAX(AG$4:AG$2403)</f>
        <v>5</v>
      </c>
      <c r="AH1" s="3">
        <f>MAX(AI$4:AI$2403)</f>
        <v>0</v>
      </c>
      <c r="AJ1" s="2"/>
      <c r="AL1" s="4" t="str">
        <f>公司购买果品对账单!$B$2</f>
        <v>王照雪</v>
      </c>
      <c r="AM1" s="4">
        <f>MAX(AM$4:AM$2403)</f>
        <v>1</v>
      </c>
      <c r="AQ1" s="4">
        <f>MAX(AP$4:AP$1203)</f>
        <v>8</v>
      </c>
    </row>
    <row r="2" ht="14.25" customHeight="1" spans="1:45">
      <c r="A2" s="5" t="s">
        <v>223</v>
      </c>
      <c r="K2" s="2">
        <f>IF(筐子对账单!$F$2="",0,N(筐子对账单!$F$2))</f>
        <v>0</v>
      </c>
      <c r="L2" s="2">
        <f>IF(自备筐对账单!$F$2="",0,N(自备筐对账单!$F$2))</f>
        <v>0</v>
      </c>
      <c r="M2" s="2">
        <f>IF(水果对账单!$F$2="",0,N(水果对账单!$F$2))</f>
        <v>0</v>
      </c>
      <c r="N2" s="2">
        <f>IF(物料与筐子销售对账单!$F$2="",0,N(物料与筐子销售对账单!$F$2))</f>
        <v>0</v>
      </c>
      <c r="AJ2" s="2"/>
      <c r="AL2" s="4">
        <f>IF(公司购买果品对账单!$F$2="",0,N(公司购买果品对账单!$F$2))</f>
        <v>0</v>
      </c>
    </row>
    <row r="3" ht="33" customHeight="1" spans="1:45">
      <c r="A3" s="4" t="s">
        <v>189</v>
      </c>
      <c r="B3" s="4" t="s">
        <v>224</v>
      </c>
      <c r="C3" s="4" t="s">
        <v>209</v>
      </c>
      <c r="E3" s="4" t="s">
        <v>225</v>
      </c>
      <c r="G3" s="4"/>
      <c r="K3" s="2">
        <f>IF(筐子对账单!$H$2="",99999999,N(筐子对账单!$H$2))</f>
        <v>99999999</v>
      </c>
      <c r="L3" s="2">
        <f>IF(自备筐对账单!$H$2="",99999999,N(自备筐对账单!$H$2))</f>
        <v>99999999</v>
      </c>
      <c r="M3" s="2">
        <f>IF(水果对账单!$H$2="",99999999,N(水果对账单!$H$2))</f>
        <v>99999999</v>
      </c>
      <c r="N3" s="2">
        <f>IF(物料与筐子销售对账单!$H$2="",99999999,N(物料与筐子销售对账单!$H$2))</f>
        <v>99999999</v>
      </c>
      <c r="P3" s="4" t="s">
        <v>226</v>
      </c>
      <c r="Q3" s="4" t="s">
        <v>209</v>
      </c>
      <c r="R3" s="4" t="s">
        <v>227</v>
      </c>
      <c r="S3" s="4" t="s">
        <v>209</v>
      </c>
      <c r="T3" s="4" t="s">
        <v>228</v>
      </c>
      <c r="U3" s="4" t="s">
        <v>209</v>
      </c>
      <c r="V3" s="4" t="s">
        <v>229</v>
      </c>
      <c r="W3" s="4" t="s">
        <v>209</v>
      </c>
      <c r="X3" s="4" t="s">
        <v>230</v>
      </c>
      <c r="Y3" s="4" t="s">
        <v>209</v>
      </c>
      <c r="Z3" s="4" t="s">
        <v>231</v>
      </c>
      <c r="AA3" s="4" t="s">
        <v>209</v>
      </c>
      <c r="AB3" s="4" t="s">
        <v>232</v>
      </c>
      <c r="AC3" s="4" t="s">
        <v>209</v>
      </c>
      <c r="AD3" s="4" t="s">
        <v>233</v>
      </c>
      <c r="AE3" s="4" t="s">
        <v>209</v>
      </c>
      <c r="AF3" s="4" t="s">
        <v>234</v>
      </c>
      <c r="AG3" s="4" t="s">
        <v>209</v>
      </c>
      <c r="AH3" s="4" t="s">
        <v>235</v>
      </c>
      <c r="AI3" s="4" t="s">
        <v>209</v>
      </c>
      <c r="AJ3" s="4" t="s">
        <v>236</v>
      </c>
      <c r="AK3" s="4" t="s">
        <v>236</v>
      </c>
      <c r="AL3" s="4">
        <f>IF(公司购买果品对账单!$H$2="",99999999,N(公司购买果品对账单!$H$2))</f>
        <v>99999999</v>
      </c>
      <c r="AM3" s="4" t="s">
        <v>209</v>
      </c>
      <c r="AN3" s="4" t="s">
        <v>216</v>
      </c>
      <c r="AO3" s="4" t="s">
        <v>224</v>
      </c>
      <c r="AP3" s="4" t="s">
        <v>209</v>
      </c>
      <c r="AQ3" s="4" t="s">
        <v>237</v>
      </c>
      <c r="AR3" s="6" t="s">
        <v>238</v>
      </c>
      <c r="AS3" s="6" t="s">
        <v>209</v>
      </c>
    </row>
    <row r="4" ht="14.25" customHeight="1" spans="1:45">
      <c r="A4" s="3" t="str">
        <f>IF(对接源_01水果!$C4="","",对接源_01水果!$C4)</f>
        <v>聂新平</v>
      </c>
      <c r="B4" s="3">
        <f t="shared" ref="B4:B67" si="0">IF(A4="",0,IF(MATCH(A4,$A$4:$A$2403,0)=ROW()-3,1,0))</f>
        <v>1</v>
      </c>
      <c r="C4" s="3">
        <f t="shared" ref="C4:C67" si="1">N(C3)+B4</f>
        <v>1</v>
      </c>
      <c r="E4" s="3" t="str">
        <f t="shared" ref="E4:E67" si="2">IFERROR(INDEX($A$4:$A$2403,MATCH(ROW()-3,$C$4:$C$2403,0)),"")</f>
        <v>聂新平</v>
      </c>
      <c r="K4" s="3">
        <f>IF(OR($K$1="",对接源_01水果!$C4="",对接源_01水果!$C4&lt;&gt;$K$1,对接源_01水果!$B4=""),0,IF(OR(N(对接源_01水果!$B4)&lt;$K$2,N(对接源_01水果!$B4)&gt;$K$3),0,1))</f>
        <v>0</v>
      </c>
      <c r="L4" s="3">
        <f>IF(OR($L$1="",对接源_01水果!$C4="",对接源_01水果!$C4&lt;&gt;$L$1,对接源_01水果!$B4=""),0,IF(OR(N(对接源_01水果!$B4)&lt;$L$2,N(对接源_01水果!$B4)&gt;$L$3),0,1))</f>
        <v>0</v>
      </c>
      <c r="M4" s="3">
        <f>IF(OR($M$1="",对接源_01水果!$C4="",对接源_01水果!$C4&lt;&gt;$M$1,对接源_01水果!$B4=""),0,IF(OR(N(对接源_01水果!$B4)&lt;$M$2,N(对接源_01水果!$B4)&gt;$M$3),0,1))</f>
        <v>0</v>
      </c>
      <c r="N4" s="3">
        <f>IF(OR($N$1="",对接源_01水果!$C4="",对接源_01水果!$C4&lt;&gt;$N$1,对接源_01水果!$B4=""),0,IF(OR(N(对接源_01水果!$B4)&lt;$N$2,N(对接源_01水果!$B4)&gt;$N$3),0,1))</f>
        <v>0</v>
      </c>
      <c r="P4" s="3">
        <f>IF(AND($K4=1,AND(对接源_01水果!$X4="公司筐",N(对接源_01水果!$T4)&lt;&gt;0)),1,0)</f>
        <v>0</v>
      </c>
      <c r="Q4" s="3">
        <f t="shared" ref="Q4:Q67" si="3">N(Q3)+$P4</f>
        <v>0</v>
      </c>
      <c r="R4" s="3">
        <f>IF(AND($K4=1,AND(对接源_01水果!$X4="公司筐",N(对接源_01水果!$U4)&lt;&gt;0)),1,0)</f>
        <v>0</v>
      </c>
      <c r="S4" s="3">
        <f t="shared" ref="S4:S67" si="4">N(S3)+$R4</f>
        <v>0</v>
      </c>
      <c r="T4" s="3">
        <f>IF(AND($K4=1,AND(对接源_01水果!$X4="公司筐",N(对接源_01水果!$V4)&lt;&gt;0)),1,0)</f>
        <v>0</v>
      </c>
      <c r="U4" s="3">
        <f t="shared" ref="U4:U67" si="5">N(U3)+$T4</f>
        <v>0</v>
      </c>
      <c r="V4" s="3">
        <f>IF(AND($L4=1,AND(对接源_01水果!$X4="自备筐",N(对接源_01水果!$V4)&lt;&gt;0)),1,0)</f>
        <v>0</v>
      </c>
      <c r="W4" s="3">
        <f t="shared" ref="W4:W67" si="6">N(W3)+$V4</f>
        <v>0</v>
      </c>
      <c r="X4" s="3">
        <f>IF(AND($L4=1,AND(对接源_01水果!$X4="自备筐",N(对接源_01水果!$T4)&lt;&gt;0)),1,0)</f>
        <v>0</v>
      </c>
      <c r="Y4" s="3">
        <f t="shared" ref="Y4:Y67" si="7">N(Y3)+$X4</f>
        <v>0</v>
      </c>
      <c r="Z4" s="3">
        <f>IF(AND($M4=1,对接源_01水果!$D4="原料入库"),1,0)</f>
        <v>0</v>
      </c>
      <c r="AA4" s="3">
        <f t="shared" ref="AA4:AA67" si="8">N(AA3)+$Z4</f>
        <v>0</v>
      </c>
      <c r="AB4" s="3">
        <f>IF(AND($M4=1,LEFT(对接源_01水果!$D4,4)="原料出库"),1,0)</f>
        <v>0</v>
      </c>
      <c r="AC4" s="3">
        <f t="shared" ref="AC4:AC67" si="9">N(AC3)+$AB4</f>
        <v>0</v>
      </c>
      <c r="AD4" s="3">
        <f>IF(AND($M4=1,LEFT(对接源_01水果!$D4,4)="成品出库"),1,0)</f>
        <v>0</v>
      </c>
      <c r="AE4" s="3">
        <f t="shared" ref="AE4:AE67" si="10">N(AE3)+$AD4</f>
        <v>0</v>
      </c>
      <c r="AF4" s="3">
        <f>IF(AND($N4=1,AND(LEFT(对接源_01水果!$D4,4)="包装物料",N(对接源_01水果!$K4)&lt;&gt;0)),1,0)</f>
        <v>0</v>
      </c>
      <c r="AG4" s="3">
        <f t="shared" ref="AG4:AG67" si="11">N(AG3)+$AF4</f>
        <v>0</v>
      </c>
      <c r="AH4" s="3">
        <f>IF(AND($N4=1,AND(对接源_01水果!$D4="周转筐－销售出库",N(对接源_01水果!$K4)&lt;&gt;0)),1,0)</f>
        <v>0</v>
      </c>
      <c r="AI4" s="3">
        <f t="shared" ref="AI4:AI67" si="12">N(AI3)+$AH4</f>
        <v>0</v>
      </c>
      <c r="AJ4" s="7"/>
      <c r="AL4" s="3">
        <f>IF(OR($AL$1="",对接源_01水果!$Y4="",对接源_01水果!$Y4&lt;&gt;$AL$1,对接源_01水果!$B4="",N(对接源_01水果!$AJ4)&lt;=0),0,IF(OR(N(对接源_01水果!$B4)&lt;$AL$2,N(对接源_01水果!$B4)&gt;$AL$3),0,1))</f>
        <v>0</v>
      </c>
      <c r="AM4" s="3">
        <f t="shared" ref="AM4:AM67" si="13">N(AM3)+$AL4</f>
        <v>0</v>
      </c>
      <c r="AN4" s="3" t="str">
        <f>IF(对接源_01水果!$AC4="","",对接源_01水果!$AC4)</f>
        <v/>
      </c>
      <c r="AO4" s="3">
        <f t="shared" ref="AO4:AO67" si="14">IF(AN4="",0,IF(MATCH(AN4,$AN$4:$AN$1203,0)=ROW()-3,1,0))</f>
        <v>0</v>
      </c>
      <c r="AP4" s="3">
        <f t="shared" ref="AP4:AP67" si="15">N(AP3)+$AO4</f>
        <v>0</v>
      </c>
      <c r="AQ4" s="3" t="str">
        <f t="shared" ref="AQ4:AQ67" si="16">IFERROR(INDEX($AN$4:$AN$1203,MATCH(ROW()-3,$AP$4:$AP$1203,0)),"")</f>
        <v>电商/主播</v>
      </c>
      <c r="AR4">
        <f t="shared" ref="AR4:AR67" si="17">IF(OR($AF4=1,$AH4=1),1,0)</f>
        <v>0</v>
      </c>
      <c r="AS4">
        <f t="shared" ref="AS4:AS67" si="18">N(AS3)+$AR4</f>
        <v>0</v>
      </c>
    </row>
    <row r="5" ht="14.25" customHeight="1" spans="1:45">
      <c r="A5" s="3" t="str">
        <f>IF(对接源_01水果!$C5="","",对接源_01水果!$C5)</f>
        <v>聂新平</v>
      </c>
      <c r="B5" s="3">
        <f t="shared" si="0"/>
        <v>0</v>
      </c>
      <c r="C5" s="3">
        <f t="shared" si="1"/>
        <v>1</v>
      </c>
      <c r="E5" s="3" t="str">
        <f t="shared" si="2"/>
        <v>王照雪</v>
      </c>
      <c r="K5" s="3">
        <f>IF(OR($K$1="",对接源_01水果!$C5="",对接源_01水果!$C5&lt;&gt;$K$1,对接源_01水果!$B5=""),0,IF(OR(N(对接源_01水果!$B5)&lt;$K$2,N(对接源_01水果!$B5)&gt;$K$3),0,1))</f>
        <v>0</v>
      </c>
      <c r="L5" s="3">
        <f>IF(OR($L$1="",对接源_01水果!$C5="",对接源_01水果!$C5&lt;&gt;$L$1,对接源_01水果!$B5=""),0,IF(OR(N(对接源_01水果!$B5)&lt;$L$2,N(对接源_01水果!$B5)&gt;$L$3),0,1))</f>
        <v>0</v>
      </c>
      <c r="M5" s="3">
        <f>IF(OR($M$1="",对接源_01水果!$C5="",对接源_01水果!$C5&lt;&gt;$M$1,对接源_01水果!$B5=""),0,IF(OR(N(对接源_01水果!$B5)&lt;$M$2,N(对接源_01水果!$B5)&gt;$M$3),0,1))</f>
        <v>0</v>
      </c>
      <c r="N5" s="3">
        <f>IF(OR($N$1="",对接源_01水果!$C5="",对接源_01水果!$C5&lt;&gt;$N$1,对接源_01水果!$B5=""),0,IF(OR(N(对接源_01水果!$B5)&lt;$N$2,N(对接源_01水果!$B5)&gt;$N$3),0,1))</f>
        <v>0</v>
      </c>
      <c r="P5" s="3">
        <f>IF(AND($K5=1,AND(对接源_01水果!$X5="公司筐",N(对接源_01水果!$T5)&lt;&gt;0)),1,0)</f>
        <v>0</v>
      </c>
      <c r="Q5" s="3">
        <f t="shared" si="3"/>
        <v>0</v>
      </c>
      <c r="R5" s="3">
        <f>IF(AND($K5=1,AND(对接源_01水果!$X5="公司筐",N(对接源_01水果!$U5)&lt;&gt;0)),1,0)</f>
        <v>0</v>
      </c>
      <c r="S5" s="3">
        <f t="shared" si="4"/>
        <v>0</v>
      </c>
      <c r="T5" s="3">
        <f>IF(AND($K5=1,AND(对接源_01水果!$X5="公司筐",N(对接源_01水果!$V5)&lt;&gt;0)),1,0)</f>
        <v>0</v>
      </c>
      <c r="U5" s="3">
        <f t="shared" si="5"/>
        <v>0</v>
      </c>
      <c r="V5" s="3">
        <f>IF(AND($L5=1,AND(对接源_01水果!$X5="自备筐",N(对接源_01水果!$V5)&lt;&gt;0)),1,0)</f>
        <v>0</v>
      </c>
      <c r="W5" s="3">
        <f t="shared" si="6"/>
        <v>0</v>
      </c>
      <c r="X5" s="3">
        <f>IF(AND($L5=1,AND(对接源_01水果!$X5="自备筐",N(对接源_01水果!$T5)&lt;&gt;0)),1,0)</f>
        <v>0</v>
      </c>
      <c r="Y5" s="3">
        <f t="shared" si="7"/>
        <v>0</v>
      </c>
      <c r="Z5" s="3">
        <f>IF(AND($M5=1,对接源_01水果!$D5="原料入库"),1,0)</f>
        <v>0</v>
      </c>
      <c r="AA5" s="3">
        <f t="shared" si="8"/>
        <v>0</v>
      </c>
      <c r="AB5" s="3">
        <f>IF(AND($M5=1,LEFT(对接源_01水果!$D5,4)="原料出库"),1,0)</f>
        <v>0</v>
      </c>
      <c r="AC5" s="3">
        <f t="shared" si="9"/>
        <v>0</v>
      </c>
      <c r="AD5" s="3">
        <f>IF(AND($M5=1,LEFT(对接源_01水果!$D5,4)="成品出库"),1,0)</f>
        <v>0</v>
      </c>
      <c r="AE5" s="3">
        <f t="shared" si="10"/>
        <v>0</v>
      </c>
      <c r="AF5" s="3">
        <f>IF(AND($N5=1,AND(LEFT(对接源_01水果!$D5,4)="包装物料",N(对接源_01水果!$K5)&lt;&gt;0)),1,0)</f>
        <v>0</v>
      </c>
      <c r="AG5" s="3">
        <f t="shared" si="11"/>
        <v>0</v>
      </c>
      <c r="AH5" s="3">
        <f>IF(AND($N5=1,AND(对接源_01水果!$D5="周转筐－销售出库",N(对接源_01水果!$K5)&lt;&gt;0)),1,0)</f>
        <v>0</v>
      </c>
      <c r="AI5" s="3">
        <f t="shared" si="12"/>
        <v>0</v>
      </c>
      <c r="AJ5" s="7"/>
      <c r="AL5" s="3">
        <f>IF(OR($AL$1="",对接源_01水果!$Y5="",对接源_01水果!$Y5&lt;&gt;$AL$1,对接源_01水果!$B5="",N(对接源_01水果!$AJ5)&lt;=0),0,IF(OR(N(对接源_01水果!$B5)&lt;$AL$2,N(对接源_01水果!$B5)&gt;$AL$3),0,1))</f>
        <v>0</v>
      </c>
      <c r="AM5" s="3">
        <f t="shared" si="13"/>
        <v>0</v>
      </c>
      <c r="AN5" s="3" t="str">
        <f>IF(对接源_01水果!$AC5="","",对接源_01水果!$AC5)</f>
        <v/>
      </c>
      <c r="AO5" s="3">
        <f t="shared" si="14"/>
        <v>0</v>
      </c>
      <c r="AP5" s="3">
        <f t="shared" si="15"/>
        <v>0</v>
      </c>
      <c r="AQ5" s="3" t="str">
        <f t="shared" si="16"/>
        <v>王照雪</v>
      </c>
      <c r="AR5">
        <f t="shared" si="17"/>
        <v>0</v>
      </c>
      <c r="AS5">
        <f t="shared" si="18"/>
        <v>0</v>
      </c>
    </row>
    <row r="6" ht="14.25" customHeight="1" spans="1:45">
      <c r="A6" s="3" t="str">
        <f>IF(对接源_01水果!$C6="","",对接源_01水果!$C6)</f>
        <v>聂新平</v>
      </c>
      <c r="B6" s="3">
        <f t="shared" si="0"/>
        <v>0</v>
      </c>
      <c r="C6" s="3">
        <f t="shared" si="1"/>
        <v>1</v>
      </c>
      <c r="E6" s="3" t="str">
        <f t="shared" si="2"/>
        <v>伍元虎</v>
      </c>
      <c r="K6" s="3">
        <f>IF(OR($K$1="",对接源_01水果!$C6="",对接源_01水果!$C6&lt;&gt;$K$1,对接源_01水果!$B6=""),0,IF(OR(N(对接源_01水果!$B6)&lt;$K$2,N(对接源_01水果!$B6)&gt;$K$3),0,1))</f>
        <v>0</v>
      </c>
      <c r="L6" s="3">
        <f>IF(OR($L$1="",对接源_01水果!$C6="",对接源_01水果!$C6&lt;&gt;$L$1,对接源_01水果!$B6=""),0,IF(OR(N(对接源_01水果!$B6)&lt;$L$2,N(对接源_01水果!$B6)&gt;$L$3),0,1))</f>
        <v>0</v>
      </c>
      <c r="M6" s="3">
        <f>IF(OR($M$1="",对接源_01水果!$C6="",对接源_01水果!$C6&lt;&gt;$M$1,对接源_01水果!$B6=""),0,IF(OR(N(对接源_01水果!$B6)&lt;$M$2,N(对接源_01水果!$B6)&gt;$M$3),0,1))</f>
        <v>0</v>
      </c>
      <c r="N6" s="3">
        <f>IF(OR($N$1="",对接源_01水果!$C6="",对接源_01水果!$C6&lt;&gt;$N$1,对接源_01水果!$B6=""),0,IF(OR(N(对接源_01水果!$B6)&lt;$N$2,N(对接源_01水果!$B6)&gt;$N$3),0,1))</f>
        <v>0</v>
      </c>
      <c r="P6" s="3">
        <f>IF(AND($K6=1,AND(对接源_01水果!$X6="公司筐",N(对接源_01水果!$T6)&lt;&gt;0)),1,0)</f>
        <v>0</v>
      </c>
      <c r="Q6" s="3">
        <f t="shared" si="3"/>
        <v>0</v>
      </c>
      <c r="R6" s="3">
        <f>IF(AND($K6=1,AND(对接源_01水果!$X6="公司筐",N(对接源_01水果!$U6)&lt;&gt;0)),1,0)</f>
        <v>0</v>
      </c>
      <c r="S6" s="3">
        <f t="shared" si="4"/>
        <v>0</v>
      </c>
      <c r="T6" s="3">
        <f>IF(AND($K6=1,AND(对接源_01水果!$X6="公司筐",N(对接源_01水果!$V6)&lt;&gt;0)),1,0)</f>
        <v>0</v>
      </c>
      <c r="U6" s="3">
        <f t="shared" si="5"/>
        <v>0</v>
      </c>
      <c r="V6" s="3">
        <f>IF(AND($L6=1,AND(对接源_01水果!$X6="自备筐",N(对接源_01水果!$V6)&lt;&gt;0)),1,0)</f>
        <v>0</v>
      </c>
      <c r="W6" s="3">
        <f t="shared" si="6"/>
        <v>0</v>
      </c>
      <c r="X6" s="3">
        <f>IF(AND($L6=1,AND(对接源_01水果!$X6="自备筐",N(对接源_01水果!$T6)&lt;&gt;0)),1,0)</f>
        <v>0</v>
      </c>
      <c r="Y6" s="3">
        <f t="shared" si="7"/>
        <v>0</v>
      </c>
      <c r="Z6" s="3">
        <f>IF(AND($M6=1,对接源_01水果!$D6="原料入库"),1,0)</f>
        <v>0</v>
      </c>
      <c r="AA6" s="3">
        <f t="shared" si="8"/>
        <v>0</v>
      </c>
      <c r="AB6" s="3">
        <f>IF(AND($M6=1,LEFT(对接源_01水果!$D6,4)="原料出库"),1,0)</f>
        <v>0</v>
      </c>
      <c r="AC6" s="3">
        <f t="shared" si="9"/>
        <v>0</v>
      </c>
      <c r="AD6" s="3">
        <f>IF(AND($M6=1,LEFT(对接源_01水果!$D6,4)="成品出库"),1,0)</f>
        <v>0</v>
      </c>
      <c r="AE6" s="3">
        <f t="shared" si="10"/>
        <v>0</v>
      </c>
      <c r="AF6" s="3">
        <f>IF(AND($N6=1,AND(LEFT(对接源_01水果!$D6,4)="包装物料",N(对接源_01水果!$K6)&lt;&gt;0)),1,0)</f>
        <v>0</v>
      </c>
      <c r="AG6" s="3">
        <f t="shared" si="11"/>
        <v>0</v>
      </c>
      <c r="AH6" s="3">
        <f>IF(AND($N6=1,AND(对接源_01水果!$D6="周转筐－销售出库",N(对接源_01水果!$K6)&lt;&gt;0)),1,0)</f>
        <v>0</v>
      </c>
      <c r="AI6" s="3">
        <f t="shared" si="12"/>
        <v>0</v>
      </c>
      <c r="AJ6" s="7"/>
      <c r="AL6" s="3">
        <f>IF(OR($AL$1="",对接源_01水果!$Y6="",对接源_01水果!$Y6&lt;&gt;$AL$1,对接源_01水果!$B6="",N(对接源_01水果!$AJ6)&lt;=0),0,IF(OR(N(对接源_01水果!$B6)&lt;$AL$2,N(对接源_01水果!$B6)&gt;$AL$3),0,1))</f>
        <v>0</v>
      </c>
      <c r="AM6" s="3">
        <f t="shared" si="13"/>
        <v>0</v>
      </c>
      <c r="AN6" s="3" t="str">
        <f>IF(对接源_01水果!$AC6="","",对接源_01水果!$AC6)</f>
        <v/>
      </c>
      <c r="AO6" s="3">
        <f t="shared" si="14"/>
        <v>0</v>
      </c>
      <c r="AP6" s="3">
        <f t="shared" si="15"/>
        <v>0</v>
      </c>
      <c r="AQ6" s="3" t="str">
        <f t="shared" si="16"/>
        <v>伍元虎</v>
      </c>
      <c r="AR6">
        <f t="shared" si="17"/>
        <v>0</v>
      </c>
      <c r="AS6">
        <f t="shared" si="18"/>
        <v>0</v>
      </c>
    </row>
    <row r="7" ht="14.25" customHeight="1" spans="1:45">
      <c r="A7" s="3" t="str">
        <f>IF(对接源_01水果!$C7="","",对接源_01水果!$C7)</f>
        <v>聂新平</v>
      </c>
      <c r="B7" s="3">
        <f t="shared" si="0"/>
        <v>0</v>
      </c>
      <c r="C7" s="3">
        <f t="shared" si="1"/>
        <v>1</v>
      </c>
      <c r="E7" s="3" t="str">
        <f t="shared" si="2"/>
        <v>马锦祥</v>
      </c>
      <c r="K7" s="3">
        <f>IF(OR($K$1="",对接源_01水果!$C7="",对接源_01水果!$C7&lt;&gt;$K$1,对接源_01水果!$B7=""),0,IF(OR(N(对接源_01水果!$B7)&lt;$K$2,N(对接源_01水果!$B7)&gt;$K$3),0,1))</f>
        <v>0</v>
      </c>
      <c r="L7" s="3">
        <f>IF(OR($L$1="",对接源_01水果!$C7="",对接源_01水果!$C7&lt;&gt;$L$1,对接源_01水果!$B7=""),0,IF(OR(N(对接源_01水果!$B7)&lt;$L$2,N(对接源_01水果!$B7)&gt;$L$3),0,1))</f>
        <v>0</v>
      </c>
      <c r="M7" s="3">
        <f>IF(OR($M$1="",对接源_01水果!$C7="",对接源_01水果!$C7&lt;&gt;$M$1,对接源_01水果!$B7=""),0,IF(OR(N(对接源_01水果!$B7)&lt;$M$2,N(对接源_01水果!$B7)&gt;$M$3),0,1))</f>
        <v>0</v>
      </c>
      <c r="N7" s="3">
        <f>IF(OR($N$1="",对接源_01水果!$C7="",对接源_01水果!$C7&lt;&gt;$N$1,对接源_01水果!$B7=""),0,IF(OR(N(对接源_01水果!$B7)&lt;$N$2,N(对接源_01水果!$B7)&gt;$N$3),0,1))</f>
        <v>0</v>
      </c>
      <c r="P7" s="3">
        <f>IF(AND($K7=1,AND(对接源_01水果!$X7="公司筐",N(对接源_01水果!$T7)&lt;&gt;0)),1,0)</f>
        <v>0</v>
      </c>
      <c r="Q7" s="3">
        <f t="shared" si="3"/>
        <v>0</v>
      </c>
      <c r="R7" s="3">
        <f>IF(AND($K7=1,AND(对接源_01水果!$X7="公司筐",N(对接源_01水果!$U7)&lt;&gt;0)),1,0)</f>
        <v>0</v>
      </c>
      <c r="S7" s="3">
        <f t="shared" si="4"/>
        <v>0</v>
      </c>
      <c r="T7" s="3">
        <f>IF(AND($K7=1,AND(对接源_01水果!$X7="公司筐",N(对接源_01水果!$V7)&lt;&gt;0)),1,0)</f>
        <v>0</v>
      </c>
      <c r="U7" s="3">
        <f t="shared" si="5"/>
        <v>0</v>
      </c>
      <c r="V7" s="3">
        <f>IF(AND($L7=1,AND(对接源_01水果!$X7="自备筐",N(对接源_01水果!$V7)&lt;&gt;0)),1,0)</f>
        <v>0</v>
      </c>
      <c r="W7" s="3">
        <f t="shared" si="6"/>
        <v>0</v>
      </c>
      <c r="X7" s="3">
        <f>IF(AND($L7=1,AND(对接源_01水果!$X7="自备筐",N(对接源_01水果!$T7)&lt;&gt;0)),1,0)</f>
        <v>0</v>
      </c>
      <c r="Y7" s="3">
        <f t="shared" si="7"/>
        <v>0</v>
      </c>
      <c r="Z7" s="3">
        <f>IF(AND($M7=1,对接源_01水果!$D7="原料入库"),1,0)</f>
        <v>0</v>
      </c>
      <c r="AA7" s="3">
        <f t="shared" si="8"/>
        <v>0</v>
      </c>
      <c r="AB7" s="3">
        <f>IF(AND($M7=1,LEFT(对接源_01水果!$D7,4)="原料出库"),1,0)</f>
        <v>0</v>
      </c>
      <c r="AC7" s="3">
        <f t="shared" si="9"/>
        <v>0</v>
      </c>
      <c r="AD7" s="3">
        <f>IF(AND($M7=1,LEFT(对接源_01水果!$D7,4)="成品出库"),1,0)</f>
        <v>0</v>
      </c>
      <c r="AE7" s="3">
        <f t="shared" si="10"/>
        <v>0</v>
      </c>
      <c r="AF7" s="3">
        <f>IF(AND($N7=1,AND(LEFT(对接源_01水果!$D7,4)="包装物料",N(对接源_01水果!$K7)&lt;&gt;0)),1,0)</f>
        <v>0</v>
      </c>
      <c r="AG7" s="3">
        <f t="shared" si="11"/>
        <v>0</v>
      </c>
      <c r="AH7" s="3">
        <f>IF(AND($N7=1,AND(对接源_01水果!$D7="周转筐－销售出库",N(对接源_01水果!$K7)&lt;&gt;0)),1,0)</f>
        <v>0</v>
      </c>
      <c r="AI7" s="3">
        <f t="shared" si="12"/>
        <v>0</v>
      </c>
      <c r="AJ7" s="7"/>
      <c r="AL7" s="3">
        <f>IF(OR($AL$1="",对接源_01水果!$Y7="",对接源_01水果!$Y7&lt;&gt;$AL$1,对接源_01水果!$B7="",N(对接源_01水果!$AJ7)&lt;=0),0,IF(OR(N(对接源_01水果!$B7)&lt;$AL$2,N(对接源_01水果!$B7)&gt;$AL$3),0,1))</f>
        <v>0</v>
      </c>
      <c r="AM7" s="3">
        <f t="shared" si="13"/>
        <v>0</v>
      </c>
      <c r="AN7" s="3" t="str">
        <f>IF(对接源_01水果!$AC7="","",对接源_01水果!$AC7)</f>
        <v/>
      </c>
      <c r="AO7" s="3">
        <f t="shared" si="14"/>
        <v>0</v>
      </c>
      <c r="AP7" s="3">
        <f t="shared" si="15"/>
        <v>0</v>
      </c>
      <c r="AQ7" s="3" t="str">
        <f t="shared" si="16"/>
        <v>聂新平</v>
      </c>
      <c r="AR7">
        <f t="shared" si="17"/>
        <v>0</v>
      </c>
      <c r="AS7">
        <f t="shared" si="18"/>
        <v>0</v>
      </c>
    </row>
    <row r="8" ht="14.25" customHeight="1" spans="1:45">
      <c r="A8" s="3" t="str">
        <f>IF(对接源_01水果!$C8="","",对接源_01水果!$C8)</f>
        <v>聂新平</v>
      </c>
      <c r="B8" s="3">
        <f t="shared" si="0"/>
        <v>0</v>
      </c>
      <c r="C8" s="3">
        <f t="shared" si="1"/>
        <v>1</v>
      </c>
      <c r="E8" s="3" t="str">
        <f t="shared" si="2"/>
        <v>麦麦提</v>
      </c>
      <c r="K8" s="3">
        <f>IF(OR($K$1="",对接源_01水果!$C8="",对接源_01水果!$C8&lt;&gt;$K$1,对接源_01水果!$B8=""),0,IF(OR(N(对接源_01水果!$B8)&lt;$K$2,N(对接源_01水果!$B8)&gt;$K$3),0,1))</f>
        <v>0</v>
      </c>
      <c r="L8" s="3">
        <f>IF(OR($L$1="",对接源_01水果!$C8="",对接源_01水果!$C8&lt;&gt;$L$1,对接源_01水果!$B8=""),0,IF(OR(N(对接源_01水果!$B8)&lt;$L$2,N(对接源_01水果!$B8)&gt;$L$3),0,1))</f>
        <v>0</v>
      </c>
      <c r="M8" s="3">
        <f>IF(OR($M$1="",对接源_01水果!$C8="",对接源_01水果!$C8&lt;&gt;$M$1,对接源_01水果!$B8=""),0,IF(OR(N(对接源_01水果!$B8)&lt;$M$2,N(对接源_01水果!$B8)&gt;$M$3),0,1))</f>
        <v>0</v>
      </c>
      <c r="N8" s="3">
        <f>IF(OR($N$1="",对接源_01水果!$C8="",对接源_01水果!$C8&lt;&gt;$N$1,对接源_01水果!$B8=""),0,IF(OR(N(对接源_01水果!$B8)&lt;$N$2,N(对接源_01水果!$B8)&gt;$N$3),0,1))</f>
        <v>0</v>
      </c>
      <c r="P8" s="3">
        <f>IF(AND($K8=1,AND(对接源_01水果!$X8="公司筐",N(对接源_01水果!$T8)&lt;&gt;0)),1,0)</f>
        <v>0</v>
      </c>
      <c r="Q8" s="3">
        <f t="shared" si="3"/>
        <v>0</v>
      </c>
      <c r="R8" s="3">
        <f>IF(AND($K8=1,AND(对接源_01水果!$X8="公司筐",N(对接源_01水果!$U8)&lt;&gt;0)),1,0)</f>
        <v>0</v>
      </c>
      <c r="S8" s="3">
        <f t="shared" si="4"/>
        <v>0</v>
      </c>
      <c r="T8" s="3">
        <f>IF(AND($K8=1,AND(对接源_01水果!$X8="公司筐",N(对接源_01水果!$V8)&lt;&gt;0)),1,0)</f>
        <v>0</v>
      </c>
      <c r="U8" s="3">
        <f t="shared" si="5"/>
        <v>0</v>
      </c>
      <c r="V8" s="3">
        <f>IF(AND($L8=1,AND(对接源_01水果!$X8="自备筐",N(对接源_01水果!$V8)&lt;&gt;0)),1,0)</f>
        <v>0</v>
      </c>
      <c r="W8" s="3">
        <f t="shared" si="6"/>
        <v>0</v>
      </c>
      <c r="X8" s="3">
        <f>IF(AND($L8=1,AND(对接源_01水果!$X8="自备筐",N(对接源_01水果!$T8)&lt;&gt;0)),1,0)</f>
        <v>0</v>
      </c>
      <c r="Y8" s="3">
        <f t="shared" si="7"/>
        <v>0</v>
      </c>
      <c r="Z8" s="3">
        <f>IF(AND($M8=1,对接源_01水果!$D8="原料入库"),1,0)</f>
        <v>0</v>
      </c>
      <c r="AA8" s="3">
        <f t="shared" si="8"/>
        <v>0</v>
      </c>
      <c r="AB8" s="3">
        <f>IF(AND($M8=1,LEFT(对接源_01水果!$D8,4)="原料出库"),1,0)</f>
        <v>0</v>
      </c>
      <c r="AC8" s="3">
        <f t="shared" si="9"/>
        <v>0</v>
      </c>
      <c r="AD8" s="3">
        <f>IF(AND($M8=1,LEFT(对接源_01水果!$D8,4)="成品出库"),1,0)</f>
        <v>0</v>
      </c>
      <c r="AE8" s="3">
        <f t="shared" si="10"/>
        <v>0</v>
      </c>
      <c r="AF8" s="3">
        <f>IF(AND($N8=1,AND(LEFT(对接源_01水果!$D8,4)="包装物料",N(对接源_01水果!$K8)&lt;&gt;0)),1,0)</f>
        <v>0</v>
      </c>
      <c r="AG8" s="3">
        <f t="shared" si="11"/>
        <v>0</v>
      </c>
      <c r="AH8" s="3">
        <f>IF(AND($N8=1,AND(对接源_01水果!$D8="周转筐－销售出库",N(对接源_01水果!$K8)&lt;&gt;0)),1,0)</f>
        <v>0</v>
      </c>
      <c r="AI8" s="3">
        <f t="shared" si="12"/>
        <v>0</v>
      </c>
      <c r="AJ8" s="7"/>
      <c r="AL8" s="3">
        <f>IF(OR($AL$1="",对接源_01水果!$Y8="",对接源_01水果!$Y8&lt;&gt;$AL$1,对接源_01水果!$B8="",N(对接源_01水果!$AJ8)&lt;=0),0,IF(OR(N(对接源_01水果!$B8)&lt;$AL$2,N(对接源_01水果!$B8)&gt;$AL$3),0,1))</f>
        <v>0</v>
      </c>
      <c r="AM8" s="3">
        <f t="shared" si="13"/>
        <v>0</v>
      </c>
      <c r="AN8" s="3" t="str">
        <f>IF(对接源_01水果!$AC8="","",对接源_01水果!$AC8)</f>
        <v/>
      </c>
      <c r="AO8" s="3">
        <f t="shared" si="14"/>
        <v>0</v>
      </c>
      <c r="AP8" s="3">
        <f t="shared" si="15"/>
        <v>0</v>
      </c>
      <c r="AQ8" s="3" t="str">
        <f t="shared" si="16"/>
        <v>张三</v>
      </c>
      <c r="AR8">
        <f t="shared" si="17"/>
        <v>0</v>
      </c>
      <c r="AS8">
        <f t="shared" si="18"/>
        <v>0</v>
      </c>
    </row>
    <row r="9" ht="14.25" customHeight="1" spans="1:45">
      <c r="A9" s="3" t="str">
        <f>IF(对接源_01水果!$C9="","",对接源_01水果!$C9)</f>
        <v>聂新平</v>
      </c>
      <c r="B9" s="3">
        <f t="shared" si="0"/>
        <v>0</v>
      </c>
      <c r="C9" s="3">
        <f t="shared" si="1"/>
        <v>1</v>
      </c>
      <c r="E9" s="3" t="str">
        <f t="shared" si="2"/>
        <v>吐尔洪</v>
      </c>
      <c r="K9" s="3">
        <f>IF(OR($K$1="",对接源_01水果!$C9="",对接源_01水果!$C9&lt;&gt;$K$1,对接源_01水果!$B9=""),0,IF(OR(N(对接源_01水果!$B9)&lt;$K$2,N(对接源_01水果!$B9)&gt;$K$3),0,1))</f>
        <v>0</v>
      </c>
      <c r="L9" s="3">
        <f>IF(OR($L$1="",对接源_01水果!$C9="",对接源_01水果!$C9&lt;&gt;$L$1,对接源_01水果!$B9=""),0,IF(OR(N(对接源_01水果!$B9)&lt;$L$2,N(对接源_01水果!$B9)&gt;$L$3),0,1))</f>
        <v>0</v>
      </c>
      <c r="M9" s="3">
        <f>IF(OR($M$1="",对接源_01水果!$C9="",对接源_01水果!$C9&lt;&gt;$M$1,对接源_01水果!$B9=""),0,IF(OR(N(对接源_01水果!$B9)&lt;$M$2,N(对接源_01水果!$B9)&gt;$M$3),0,1))</f>
        <v>0</v>
      </c>
      <c r="N9" s="3">
        <f>IF(OR($N$1="",对接源_01水果!$C9="",对接源_01水果!$C9&lt;&gt;$N$1,对接源_01水果!$B9=""),0,IF(OR(N(对接源_01水果!$B9)&lt;$N$2,N(对接源_01水果!$B9)&gt;$N$3),0,1))</f>
        <v>0</v>
      </c>
      <c r="P9" s="3">
        <f>IF(AND($K9=1,AND(对接源_01水果!$X9="公司筐",N(对接源_01水果!$T9)&lt;&gt;0)),1,0)</f>
        <v>0</v>
      </c>
      <c r="Q9" s="3">
        <f t="shared" si="3"/>
        <v>0</v>
      </c>
      <c r="R9" s="3">
        <f>IF(AND($K9=1,AND(对接源_01水果!$X9="公司筐",N(对接源_01水果!$U9)&lt;&gt;0)),1,0)</f>
        <v>0</v>
      </c>
      <c r="S9" s="3">
        <f t="shared" si="4"/>
        <v>0</v>
      </c>
      <c r="T9" s="3">
        <f>IF(AND($K9=1,AND(对接源_01水果!$X9="公司筐",N(对接源_01水果!$V9)&lt;&gt;0)),1,0)</f>
        <v>0</v>
      </c>
      <c r="U9" s="3">
        <f t="shared" si="5"/>
        <v>0</v>
      </c>
      <c r="V9" s="3">
        <f>IF(AND($L9=1,AND(对接源_01水果!$X9="自备筐",N(对接源_01水果!$V9)&lt;&gt;0)),1,0)</f>
        <v>0</v>
      </c>
      <c r="W9" s="3">
        <f t="shared" si="6"/>
        <v>0</v>
      </c>
      <c r="X9" s="3">
        <f>IF(AND($L9=1,AND(对接源_01水果!$X9="自备筐",N(对接源_01水果!$T9)&lt;&gt;0)),1,0)</f>
        <v>0</v>
      </c>
      <c r="Y9" s="3">
        <f t="shared" si="7"/>
        <v>0</v>
      </c>
      <c r="Z9" s="3">
        <f>IF(AND($M9=1,对接源_01水果!$D9="原料入库"),1,0)</f>
        <v>0</v>
      </c>
      <c r="AA9" s="3">
        <f t="shared" si="8"/>
        <v>0</v>
      </c>
      <c r="AB9" s="3">
        <f>IF(AND($M9=1,LEFT(对接源_01水果!$D9,4)="原料出库"),1,0)</f>
        <v>0</v>
      </c>
      <c r="AC9" s="3">
        <f t="shared" si="9"/>
        <v>0</v>
      </c>
      <c r="AD9" s="3">
        <f>IF(AND($M9=1,LEFT(对接源_01水果!$D9,4)="成品出库"),1,0)</f>
        <v>0</v>
      </c>
      <c r="AE9" s="3">
        <f t="shared" si="10"/>
        <v>0</v>
      </c>
      <c r="AF9" s="3">
        <f>IF(AND($N9=1,AND(LEFT(对接源_01水果!$D9,4)="包装物料",N(对接源_01水果!$K9)&lt;&gt;0)),1,0)</f>
        <v>0</v>
      </c>
      <c r="AG9" s="3">
        <f t="shared" si="11"/>
        <v>0</v>
      </c>
      <c r="AH9" s="3">
        <f>IF(AND($N9=1,AND(对接源_01水果!$D9="周转筐－销售出库",N(对接源_01水果!$K9)&lt;&gt;0)),1,0)</f>
        <v>0</v>
      </c>
      <c r="AI9" s="3">
        <f t="shared" si="12"/>
        <v>0</v>
      </c>
      <c r="AJ9" s="7"/>
      <c r="AL9" s="3">
        <f>IF(OR($AL$1="",对接源_01水果!$Y9="",对接源_01水果!$Y9&lt;&gt;$AL$1,对接源_01水果!$B9="",N(对接源_01水果!$AJ9)&lt;=0),0,IF(OR(N(对接源_01水果!$B9)&lt;$AL$2,N(对接源_01水果!$B9)&gt;$AL$3),0,1))</f>
        <v>0</v>
      </c>
      <c r="AM9" s="3">
        <f t="shared" si="13"/>
        <v>0</v>
      </c>
      <c r="AN9" s="3" t="str">
        <f>IF(对接源_01水果!$AC9="","",对接源_01水果!$AC9)</f>
        <v/>
      </c>
      <c r="AO9" s="3">
        <f t="shared" si="14"/>
        <v>0</v>
      </c>
      <c r="AP9" s="3">
        <f t="shared" si="15"/>
        <v>0</v>
      </c>
      <c r="AQ9" s="3" t="str">
        <f t="shared" si="16"/>
        <v>李四</v>
      </c>
      <c r="AR9">
        <f t="shared" si="17"/>
        <v>0</v>
      </c>
      <c r="AS9">
        <f t="shared" si="18"/>
        <v>0</v>
      </c>
    </row>
    <row r="10" ht="14.25" customHeight="1" spans="1:45">
      <c r="A10" s="3" t="str">
        <f>IF(对接源_01水果!$C10="","",对接源_01水果!$C10)</f>
        <v>聂新平</v>
      </c>
      <c r="B10" s="3">
        <f t="shared" si="0"/>
        <v>0</v>
      </c>
      <c r="C10" s="3">
        <f t="shared" si="1"/>
        <v>1</v>
      </c>
      <c r="E10" s="3" t="str">
        <f t="shared" si="2"/>
        <v>热合曼</v>
      </c>
      <c r="K10" s="3">
        <f>IF(OR($K$1="",对接源_01水果!$C10="",对接源_01水果!$C10&lt;&gt;$K$1,对接源_01水果!$B10=""),0,IF(OR(N(对接源_01水果!$B10)&lt;$K$2,N(对接源_01水果!$B10)&gt;$K$3),0,1))</f>
        <v>0</v>
      </c>
      <c r="L10" s="3">
        <f>IF(OR($L$1="",对接源_01水果!$C10="",对接源_01水果!$C10&lt;&gt;$L$1,对接源_01水果!$B10=""),0,IF(OR(N(对接源_01水果!$B10)&lt;$L$2,N(对接源_01水果!$B10)&gt;$L$3),0,1))</f>
        <v>0</v>
      </c>
      <c r="M10" s="3">
        <f>IF(OR($M$1="",对接源_01水果!$C10="",对接源_01水果!$C10&lt;&gt;$M$1,对接源_01水果!$B10=""),0,IF(OR(N(对接源_01水果!$B10)&lt;$M$2,N(对接源_01水果!$B10)&gt;$M$3),0,1))</f>
        <v>0</v>
      </c>
      <c r="N10" s="3">
        <f>IF(OR($N$1="",对接源_01水果!$C10="",对接源_01水果!$C10&lt;&gt;$N$1,对接源_01水果!$B10=""),0,IF(OR(N(对接源_01水果!$B10)&lt;$N$2,N(对接源_01水果!$B10)&gt;$N$3),0,1))</f>
        <v>0</v>
      </c>
      <c r="P10" s="3">
        <f>IF(AND($K10=1,AND(对接源_01水果!$X10="公司筐",N(对接源_01水果!$T10)&lt;&gt;0)),1,0)</f>
        <v>0</v>
      </c>
      <c r="Q10" s="3">
        <f t="shared" si="3"/>
        <v>0</v>
      </c>
      <c r="R10" s="3">
        <f>IF(AND($K10=1,AND(对接源_01水果!$X10="公司筐",N(对接源_01水果!$U10)&lt;&gt;0)),1,0)</f>
        <v>0</v>
      </c>
      <c r="S10" s="3">
        <f t="shared" si="4"/>
        <v>0</v>
      </c>
      <c r="T10" s="3">
        <f>IF(AND($K10=1,AND(对接源_01水果!$X10="公司筐",N(对接源_01水果!$V10)&lt;&gt;0)),1,0)</f>
        <v>0</v>
      </c>
      <c r="U10" s="3">
        <f t="shared" si="5"/>
        <v>0</v>
      </c>
      <c r="V10" s="3">
        <f>IF(AND($L10=1,AND(对接源_01水果!$X10="自备筐",N(对接源_01水果!$V10)&lt;&gt;0)),1,0)</f>
        <v>0</v>
      </c>
      <c r="W10" s="3">
        <f t="shared" si="6"/>
        <v>0</v>
      </c>
      <c r="X10" s="3">
        <f>IF(AND($L10=1,AND(对接源_01水果!$X10="自备筐",N(对接源_01水果!$T10)&lt;&gt;0)),1,0)</f>
        <v>0</v>
      </c>
      <c r="Y10" s="3">
        <f t="shared" si="7"/>
        <v>0</v>
      </c>
      <c r="Z10" s="3">
        <f>IF(AND($M10=1,对接源_01水果!$D10="原料入库"),1,0)</f>
        <v>0</v>
      </c>
      <c r="AA10" s="3">
        <f t="shared" si="8"/>
        <v>0</v>
      </c>
      <c r="AB10" s="3">
        <f>IF(AND($M10=1,LEFT(对接源_01水果!$D10,4)="原料出库"),1,0)</f>
        <v>0</v>
      </c>
      <c r="AC10" s="3">
        <f t="shared" si="9"/>
        <v>0</v>
      </c>
      <c r="AD10" s="3">
        <f>IF(AND($M10=1,LEFT(对接源_01水果!$D10,4)="成品出库"),1,0)</f>
        <v>0</v>
      </c>
      <c r="AE10" s="3">
        <f t="shared" si="10"/>
        <v>0</v>
      </c>
      <c r="AF10" s="3">
        <f>IF(AND($N10=1,AND(LEFT(对接源_01水果!$D10,4)="包装物料",N(对接源_01水果!$K10)&lt;&gt;0)),1,0)</f>
        <v>0</v>
      </c>
      <c r="AG10" s="3">
        <f t="shared" si="11"/>
        <v>0</v>
      </c>
      <c r="AH10" s="3">
        <f>IF(AND($N10=1,AND(对接源_01水果!$D10="周转筐－销售出库",N(对接源_01水果!$K10)&lt;&gt;0)),1,0)</f>
        <v>0</v>
      </c>
      <c r="AI10" s="3">
        <f t="shared" si="12"/>
        <v>0</v>
      </c>
      <c r="AJ10" s="7"/>
      <c r="AL10" s="3">
        <f>IF(OR($AL$1="",对接源_01水果!$Y10="",对接源_01水果!$Y10&lt;&gt;$AL$1,对接源_01水果!$B10="",N(对接源_01水果!$AJ10)&lt;=0),0,IF(OR(N(对接源_01水果!$B10)&lt;$AL$2,N(对接源_01水果!$B10)&gt;$AL$3),0,1))</f>
        <v>0</v>
      </c>
      <c r="AM10" s="3">
        <f t="shared" si="13"/>
        <v>0</v>
      </c>
      <c r="AN10" s="3" t="str">
        <f>IF(对接源_01水果!$AC10="","",对接源_01水果!$AC10)</f>
        <v/>
      </c>
      <c r="AO10" s="3">
        <f t="shared" si="14"/>
        <v>0</v>
      </c>
      <c r="AP10" s="3">
        <f t="shared" si="15"/>
        <v>0</v>
      </c>
      <c r="AQ10" s="3" t="str">
        <f t="shared" si="16"/>
        <v>王二</v>
      </c>
      <c r="AR10">
        <f t="shared" si="17"/>
        <v>0</v>
      </c>
      <c r="AS10">
        <f t="shared" si="18"/>
        <v>0</v>
      </c>
    </row>
    <row r="11" ht="14.25" customHeight="1" spans="1:45">
      <c r="A11" s="3" t="str">
        <f>IF(对接源_01水果!$C11="","",对接源_01水果!$C11)</f>
        <v>聂新平</v>
      </c>
      <c r="B11" s="3">
        <f t="shared" si="0"/>
        <v>0</v>
      </c>
      <c r="C11" s="3">
        <f t="shared" si="1"/>
        <v>1</v>
      </c>
      <c r="E11" s="3" t="str">
        <f t="shared" si="2"/>
        <v>贾建国</v>
      </c>
      <c r="K11" s="3">
        <f>IF(OR($K$1="",对接源_01水果!$C11="",对接源_01水果!$C11&lt;&gt;$K$1,对接源_01水果!$B11=""),0,IF(OR(N(对接源_01水果!$B11)&lt;$K$2,N(对接源_01水果!$B11)&gt;$K$3),0,1))</f>
        <v>0</v>
      </c>
      <c r="L11" s="3">
        <f>IF(OR($L$1="",对接源_01水果!$C11="",对接源_01水果!$C11&lt;&gt;$L$1,对接源_01水果!$B11=""),0,IF(OR(N(对接源_01水果!$B11)&lt;$L$2,N(对接源_01水果!$B11)&gt;$L$3),0,1))</f>
        <v>0</v>
      </c>
      <c r="M11" s="3">
        <f>IF(OR($M$1="",对接源_01水果!$C11="",对接源_01水果!$C11&lt;&gt;$M$1,对接源_01水果!$B11=""),0,IF(OR(N(对接源_01水果!$B11)&lt;$M$2,N(对接源_01水果!$B11)&gt;$M$3),0,1))</f>
        <v>0</v>
      </c>
      <c r="N11" s="3">
        <f>IF(OR($N$1="",对接源_01水果!$C11="",对接源_01水果!$C11&lt;&gt;$N$1,对接源_01水果!$B11=""),0,IF(OR(N(对接源_01水果!$B11)&lt;$N$2,N(对接源_01水果!$B11)&gt;$N$3),0,1))</f>
        <v>0</v>
      </c>
      <c r="P11" s="3">
        <f>IF(AND($K11=1,AND(对接源_01水果!$X11="公司筐",N(对接源_01水果!$T11)&lt;&gt;0)),1,0)</f>
        <v>0</v>
      </c>
      <c r="Q11" s="3">
        <f t="shared" si="3"/>
        <v>0</v>
      </c>
      <c r="R11" s="3">
        <f>IF(AND($K11=1,AND(对接源_01水果!$X11="公司筐",N(对接源_01水果!$U11)&lt;&gt;0)),1,0)</f>
        <v>0</v>
      </c>
      <c r="S11" s="3">
        <f t="shared" si="4"/>
        <v>0</v>
      </c>
      <c r="T11" s="3">
        <f>IF(AND($K11=1,AND(对接源_01水果!$X11="公司筐",N(对接源_01水果!$V11)&lt;&gt;0)),1,0)</f>
        <v>0</v>
      </c>
      <c r="U11" s="3">
        <f t="shared" si="5"/>
        <v>0</v>
      </c>
      <c r="V11" s="3">
        <f>IF(AND($L11=1,AND(对接源_01水果!$X11="自备筐",N(对接源_01水果!$V11)&lt;&gt;0)),1,0)</f>
        <v>0</v>
      </c>
      <c r="W11" s="3">
        <f t="shared" si="6"/>
        <v>0</v>
      </c>
      <c r="X11" s="3">
        <f>IF(AND($L11=1,AND(对接源_01水果!$X11="自备筐",N(对接源_01水果!$T11)&lt;&gt;0)),1,0)</f>
        <v>0</v>
      </c>
      <c r="Y11" s="3">
        <f t="shared" si="7"/>
        <v>0</v>
      </c>
      <c r="Z11" s="3">
        <f>IF(AND($M11=1,对接源_01水果!$D11="原料入库"),1,0)</f>
        <v>0</v>
      </c>
      <c r="AA11" s="3">
        <f t="shared" si="8"/>
        <v>0</v>
      </c>
      <c r="AB11" s="3">
        <f>IF(AND($M11=1,LEFT(对接源_01水果!$D11,4)="原料出库"),1,0)</f>
        <v>0</v>
      </c>
      <c r="AC11" s="3">
        <f t="shared" si="9"/>
        <v>0</v>
      </c>
      <c r="AD11" s="3">
        <f>IF(AND($M11=1,LEFT(对接源_01水果!$D11,4)="成品出库"),1,0)</f>
        <v>0</v>
      </c>
      <c r="AE11" s="3">
        <f t="shared" si="10"/>
        <v>0</v>
      </c>
      <c r="AF11" s="3">
        <f>IF(AND($N11=1,AND(LEFT(对接源_01水果!$D11,4)="包装物料",N(对接源_01水果!$K11)&lt;&gt;0)),1,0)</f>
        <v>0</v>
      </c>
      <c r="AG11" s="3">
        <f t="shared" si="11"/>
        <v>0</v>
      </c>
      <c r="AH11" s="3">
        <f>IF(AND($N11=1,AND(对接源_01水果!$D11="周转筐－销售出库",N(对接源_01水果!$K11)&lt;&gt;0)),1,0)</f>
        <v>0</v>
      </c>
      <c r="AI11" s="3">
        <f t="shared" si="12"/>
        <v>0</v>
      </c>
      <c r="AJ11" s="7"/>
      <c r="AL11" s="3">
        <f>IF(OR($AL$1="",对接源_01水果!$Y11="",对接源_01水果!$Y11&lt;&gt;$AL$1,对接源_01水果!$B11="",N(对接源_01水果!$AJ11)&lt;=0),0,IF(OR(N(对接源_01水果!$B11)&lt;$AL$2,N(对接源_01水果!$B11)&gt;$AL$3),0,1))</f>
        <v>0</v>
      </c>
      <c r="AM11" s="3">
        <f t="shared" si="13"/>
        <v>0</v>
      </c>
      <c r="AN11" s="3" t="str">
        <f>IF(对接源_01水果!$AC11="","",对接源_01水果!$AC11)</f>
        <v/>
      </c>
      <c r="AO11" s="3">
        <f t="shared" si="14"/>
        <v>0</v>
      </c>
      <c r="AP11" s="3">
        <f t="shared" si="15"/>
        <v>0</v>
      </c>
      <c r="AQ11" s="3" t="str">
        <f t="shared" si="16"/>
        <v>赵一</v>
      </c>
      <c r="AR11">
        <f t="shared" si="17"/>
        <v>0</v>
      </c>
      <c r="AS11">
        <f t="shared" si="18"/>
        <v>0</v>
      </c>
    </row>
    <row r="12" ht="14.25" customHeight="1" spans="1:45">
      <c r="A12" s="3" t="str">
        <f>IF(对接源_01水果!$C12="","",对接源_01水果!$C12)</f>
        <v>聂新平</v>
      </c>
      <c r="B12" s="3">
        <f t="shared" si="0"/>
        <v>0</v>
      </c>
      <c r="C12" s="3">
        <f t="shared" si="1"/>
        <v>1</v>
      </c>
      <c r="E12" s="3" t="str">
        <f t="shared" si="2"/>
        <v>王灵云</v>
      </c>
      <c r="K12" s="3">
        <f>IF(OR($K$1="",对接源_01水果!$C12="",对接源_01水果!$C12&lt;&gt;$K$1,对接源_01水果!$B12=""),0,IF(OR(N(对接源_01水果!$B12)&lt;$K$2,N(对接源_01水果!$B12)&gt;$K$3),0,1))</f>
        <v>0</v>
      </c>
      <c r="L12" s="3">
        <f>IF(OR($L$1="",对接源_01水果!$C12="",对接源_01水果!$C12&lt;&gt;$L$1,对接源_01水果!$B12=""),0,IF(OR(N(对接源_01水果!$B12)&lt;$L$2,N(对接源_01水果!$B12)&gt;$L$3),0,1))</f>
        <v>0</v>
      </c>
      <c r="M12" s="3">
        <f>IF(OR($M$1="",对接源_01水果!$C12="",对接源_01水果!$C12&lt;&gt;$M$1,对接源_01水果!$B12=""),0,IF(OR(N(对接源_01水果!$B12)&lt;$M$2,N(对接源_01水果!$B12)&gt;$M$3),0,1))</f>
        <v>0</v>
      </c>
      <c r="N12" s="3">
        <f>IF(OR($N$1="",对接源_01水果!$C12="",对接源_01水果!$C12&lt;&gt;$N$1,对接源_01水果!$B12=""),0,IF(OR(N(对接源_01水果!$B12)&lt;$N$2,N(对接源_01水果!$B12)&gt;$N$3),0,1))</f>
        <v>0</v>
      </c>
      <c r="P12" s="3">
        <f>IF(AND($K12=1,AND(对接源_01水果!$X12="公司筐",N(对接源_01水果!$T12)&lt;&gt;0)),1,0)</f>
        <v>0</v>
      </c>
      <c r="Q12" s="3">
        <f t="shared" si="3"/>
        <v>0</v>
      </c>
      <c r="R12" s="3">
        <f>IF(AND($K12=1,AND(对接源_01水果!$X12="公司筐",N(对接源_01水果!$U12)&lt;&gt;0)),1,0)</f>
        <v>0</v>
      </c>
      <c r="S12" s="3">
        <f t="shared" si="4"/>
        <v>0</v>
      </c>
      <c r="T12" s="3">
        <f>IF(AND($K12=1,AND(对接源_01水果!$X12="公司筐",N(对接源_01水果!$V12)&lt;&gt;0)),1,0)</f>
        <v>0</v>
      </c>
      <c r="U12" s="3">
        <f t="shared" si="5"/>
        <v>0</v>
      </c>
      <c r="V12" s="3">
        <f>IF(AND($L12=1,AND(对接源_01水果!$X12="自备筐",N(对接源_01水果!$V12)&lt;&gt;0)),1,0)</f>
        <v>0</v>
      </c>
      <c r="W12" s="3">
        <f t="shared" si="6"/>
        <v>0</v>
      </c>
      <c r="X12" s="3">
        <f>IF(AND($L12=1,AND(对接源_01水果!$X12="自备筐",N(对接源_01水果!$T12)&lt;&gt;0)),1,0)</f>
        <v>0</v>
      </c>
      <c r="Y12" s="3">
        <f t="shared" si="7"/>
        <v>0</v>
      </c>
      <c r="Z12" s="3">
        <f>IF(AND($M12=1,对接源_01水果!$D12="原料入库"),1,0)</f>
        <v>0</v>
      </c>
      <c r="AA12" s="3">
        <f t="shared" si="8"/>
        <v>0</v>
      </c>
      <c r="AB12" s="3">
        <f>IF(AND($M12=1,LEFT(对接源_01水果!$D12,4)="原料出库"),1,0)</f>
        <v>0</v>
      </c>
      <c r="AC12" s="3">
        <f t="shared" si="9"/>
        <v>0</v>
      </c>
      <c r="AD12" s="3">
        <f>IF(AND($M12=1,LEFT(对接源_01水果!$D12,4)="成品出库"),1,0)</f>
        <v>0</v>
      </c>
      <c r="AE12" s="3">
        <f t="shared" si="10"/>
        <v>0</v>
      </c>
      <c r="AF12" s="3">
        <f>IF(AND($N12=1,AND(LEFT(对接源_01水果!$D12,4)="包装物料",N(对接源_01水果!$K12)&lt;&gt;0)),1,0)</f>
        <v>0</v>
      </c>
      <c r="AG12" s="3">
        <f t="shared" si="11"/>
        <v>0</v>
      </c>
      <c r="AH12" s="3">
        <f>IF(AND($N12=1,AND(对接源_01水果!$D12="周转筐－销售出库",N(对接源_01水果!$K12)&lt;&gt;0)),1,0)</f>
        <v>0</v>
      </c>
      <c r="AI12" s="3">
        <f t="shared" si="12"/>
        <v>0</v>
      </c>
      <c r="AJ12" s="7"/>
      <c r="AL12" s="3">
        <f>IF(OR($AL$1="",对接源_01水果!$Y12="",对接源_01水果!$Y12&lt;&gt;$AL$1,对接源_01水果!$B12="",N(对接源_01水果!$AJ12)&lt;=0),0,IF(OR(N(对接源_01水果!$B12)&lt;$AL$2,N(对接源_01水果!$B12)&gt;$AL$3),0,1))</f>
        <v>0</v>
      </c>
      <c r="AM12" s="3">
        <f t="shared" si="13"/>
        <v>0</v>
      </c>
      <c r="AN12" s="3" t="str">
        <f>IF(对接源_01水果!$AC12="","",对接源_01水果!$AC12)</f>
        <v/>
      </c>
      <c r="AO12" s="3">
        <f t="shared" si="14"/>
        <v>0</v>
      </c>
      <c r="AP12" s="3">
        <f t="shared" si="15"/>
        <v>0</v>
      </c>
      <c r="AQ12" s="3" t="str">
        <f t="shared" si="16"/>
        <v/>
      </c>
      <c r="AR12">
        <f t="shared" si="17"/>
        <v>0</v>
      </c>
      <c r="AS12">
        <f t="shared" si="18"/>
        <v>0</v>
      </c>
    </row>
    <row r="13" ht="14.25" customHeight="1" spans="1:45">
      <c r="A13" s="3" t="str">
        <f>IF(对接源_01水果!$C13="","",对接源_01水果!$C13)</f>
        <v>聂新平</v>
      </c>
      <c r="B13" s="3">
        <f t="shared" si="0"/>
        <v>0</v>
      </c>
      <c r="C13" s="3">
        <f t="shared" si="1"/>
        <v>1</v>
      </c>
      <c r="E13" s="3" t="str">
        <f t="shared" si="2"/>
        <v>杨艳玲</v>
      </c>
      <c r="K13" s="3">
        <f>IF(OR($K$1="",对接源_01水果!$C13="",对接源_01水果!$C13&lt;&gt;$K$1,对接源_01水果!$B13=""),0,IF(OR(N(对接源_01水果!$B13)&lt;$K$2,N(对接源_01水果!$B13)&gt;$K$3),0,1))</f>
        <v>0</v>
      </c>
      <c r="L13" s="3">
        <f>IF(OR($L$1="",对接源_01水果!$C13="",对接源_01水果!$C13&lt;&gt;$L$1,对接源_01水果!$B13=""),0,IF(OR(N(对接源_01水果!$B13)&lt;$L$2,N(对接源_01水果!$B13)&gt;$L$3),0,1))</f>
        <v>0</v>
      </c>
      <c r="M13" s="3">
        <f>IF(OR($M$1="",对接源_01水果!$C13="",对接源_01水果!$C13&lt;&gt;$M$1,对接源_01水果!$B13=""),0,IF(OR(N(对接源_01水果!$B13)&lt;$M$2,N(对接源_01水果!$B13)&gt;$M$3),0,1))</f>
        <v>0</v>
      </c>
      <c r="N13" s="3">
        <f>IF(OR($N$1="",对接源_01水果!$C13="",对接源_01水果!$C13&lt;&gt;$N$1,对接源_01水果!$B13=""),0,IF(OR(N(对接源_01水果!$B13)&lt;$N$2,N(对接源_01水果!$B13)&gt;$N$3),0,1))</f>
        <v>0</v>
      </c>
      <c r="P13" s="3">
        <f>IF(AND($K13=1,AND(对接源_01水果!$X13="公司筐",N(对接源_01水果!$T13)&lt;&gt;0)),1,0)</f>
        <v>0</v>
      </c>
      <c r="Q13" s="3">
        <f t="shared" si="3"/>
        <v>0</v>
      </c>
      <c r="R13" s="3">
        <f>IF(AND($K13=1,AND(对接源_01水果!$X13="公司筐",N(对接源_01水果!$U13)&lt;&gt;0)),1,0)</f>
        <v>0</v>
      </c>
      <c r="S13" s="3">
        <f t="shared" si="4"/>
        <v>0</v>
      </c>
      <c r="T13" s="3">
        <f>IF(AND($K13=1,AND(对接源_01水果!$X13="公司筐",N(对接源_01水果!$V13)&lt;&gt;0)),1,0)</f>
        <v>0</v>
      </c>
      <c r="U13" s="3">
        <f t="shared" si="5"/>
        <v>0</v>
      </c>
      <c r="V13" s="3">
        <f>IF(AND($L13=1,AND(对接源_01水果!$X13="自备筐",N(对接源_01水果!$V13)&lt;&gt;0)),1,0)</f>
        <v>0</v>
      </c>
      <c r="W13" s="3">
        <f t="shared" si="6"/>
        <v>0</v>
      </c>
      <c r="X13" s="3">
        <f>IF(AND($L13=1,AND(对接源_01水果!$X13="自备筐",N(对接源_01水果!$T13)&lt;&gt;0)),1,0)</f>
        <v>0</v>
      </c>
      <c r="Y13" s="3">
        <f t="shared" si="7"/>
        <v>0</v>
      </c>
      <c r="Z13" s="3">
        <f>IF(AND($M13=1,对接源_01水果!$D13="原料入库"),1,0)</f>
        <v>0</v>
      </c>
      <c r="AA13" s="3">
        <f t="shared" si="8"/>
        <v>0</v>
      </c>
      <c r="AB13" s="3">
        <f>IF(AND($M13=1,LEFT(对接源_01水果!$D13,4)="原料出库"),1,0)</f>
        <v>0</v>
      </c>
      <c r="AC13" s="3">
        <f t="shared" si="9"/>
        <v>0</v>
      </c>
      <c r="AD13" s="3">
        <f>IF(AND($M13=1,LEFT(对接源_01水果!$D13,4)="成品出库"),1,0)</f>
        <v>0</v>
      </c>
      <c r="AE13" s="3">
        <f t="shared" si="10"/>
        <v>0</v>
      </c>
      <c r="AF13" s="3">
        <f>IF(AND($N13=1,AND(LEFT(对接源_01水果!$D13,4)="包装物料",N(对接源_01水果!$K13)&lt;&gt;0)),1,0)</f>
        <v>0</v>
      </c>
      <c r="AG13" s="3">
        <f t="shared" si="11"/>
        <v>0</v>
      </c>
      <c r="AH13" s="3">
        <f>IF(AND($N13=1,AND(对接源_01水果!$D13="周转筐－销售出库",N(对接源_01水果!$K13)&lt;&gt;0)),1,0)</f>
        <v>0</v>
      </c>
      <c r="AI13" s="3">
        <f t="shared" si="12"/>
        <v>0</v>
      </c>
      <c r="AJ13" s="7"/>
      <c r="AL13" s="3">
        <f>IF(OR($AL$1="",对接源_01水果!$Y13="",对接源_01水果!$Y13&lt;&gt;$AL$1,对接源_01水果!$B13="",N(对接源_01水果!$AJ13)&lt;=0),0,IF(OR(N(对接源_01水果!$B13)&lt;$AL$2,N(对接源_01水果!$B13)&gt;$AL$3),0,1))</f>
        <v>0</v>
      </c>
      <c r="AM13" s="3">
        <f t="shared" si="13"/>
        <v>0</v>
      </c>
      <c r="AN13" s="3" t="str">
        <f>IF(对接源_01水果!$AC13="","",对接源_01水果!$AC13)</f>
        <v/>
      </c>
      <c r="AO13" s="3">
        <f t="shared" si="14"/>
        <v>0</v>
      </c>
      <c r="AP13" s="3">
        <f t="shared" si="15"/>
        <v>0</v>
      </c>
      <c r="AQ13" s="3" t="str">
        <f t="shared" si="16"/>
        <v/>
      </c>
      <c r="AR13">
        <f t="shared" si="17"/>
        <v>0</v>
      </c>
      <c r="AS13">
        <f t="shared" si="18"/>
        <v>0</v>
      </c>
    </row>
    <row r="14" ht="14.25" customHeight="1" spans="1:45">
      <c r="A14" s="3" t="str">
        <f>IF(对接源_01水果!$C14="","",对接源_01水果!$C14)</f>
        <v>聂新平</v>
      </c>
      <c r="B14" s="3">
        <f t="shared" si="0"/>
        <v>0</v>
      </c>
      <c r="C14" s="3">
        <f t="shared" si="1"/>
        <v>1</v>
      </c>
      <c r="E14" s="3" t="str">
        <f t="shared" si="2"/>
        <v>荆建君</v>
      </c>
      <c r="K14" s="3">
        <f>IF(OR($K$1="",对接源_01水果!$C14="",对接源_01水果!$C14&lt;&gt;$K$1,对接源_01水果!$B14=""),0,IF(OR(N(对接源_01水果!$B14)&lt;$K$2,N(对接源_01水果!$B14)&gt;$K$3),0,1))</f>
        <v>0</v>
      </c>
      <c r="L14" s="3">
        <f>IF(OR($L$1="",对接源_01水果!$C14="",对接源_01水果!$C14&lt;&gt;$L$1,对接源_01水果!$B14=""),0,IF(OR(N(对接源_01水果!$B14)&lt;$L$2,N(对接源_01水果!$B14)&gt;$L$3),0,1))</f>
        <v>0</v>
      </c>
      <c r="M14" s="3">
        <f>IF(OR($M$1="",对接源_01水果!$C14="",对接源_01水果!$C14&lt;&gt;$M$1,对接源_01水果!$B14=""),0,IF(OR(N(对接源_01水果!$B14)&lt;$M$2,N(对接源_01水果!$B14)&gt;$M$3),0,1))</f>
        <v>0</v>
      </c>
      <c r="N14" s="3">
        <f>IF(OR($N$1="",对接源_01水果!$C14="",对接源_01水果!$C14&lt;&gt;$N$1,对接源_01水果!$B14=""),0,IF(OR(N(对接源_01水果!$B14)&lt;$N$2,N(对接源_01水果!$B14)&gt;$N$3),0,1))</f>
        <v>0</v>
      </c>
      <c r="P14" s="3">
        <f>IF(AND($K14=1,AND(对接源_01水果!$X14="公司筐",N(对接源_01水果!$T14)&lt;&gt;0)),1,0)</f>
        <v>0</v>
      </c>
      <c r="Q14" s="3">
        <f t="shared" si="3"/>
        <v>0</v>
      </c>
      <c r="R14" s="3">
        <f>IF(AND($K14=1,AND(对接源_01水果!$X14="公司筐",N(对接源_01水果!$U14)&lt;&gt;0)),1,0)</f>
        <v>0</v>
      </c>
      <c r="S14" s="3">
        <f t="shared" si="4"/>
        <v>0</v>
      </c>
      <c r="T14" s="3">
        <f>IF(AND($K14=1,AND(对接源_01水果!$X14="公司筐",N(对接源_01水果!$V14)&lt;&gt;0)),1,0)</f>
        <v>0</v>
      </c>
      <c r="U14" s="3">
        <f t="shared" si="5"/>
        <v>0</v>
      </c>
      <c r="V14" s="3">
        <f>IF(AND($L14=1,AND(对接源_01水果!$X14="自备筐",N(对接源_01水果!$V14)&lt;&gt;0)),1,0)</f>
        <v>0</v>
      </c>
      <c r="W14" s="3">
        <f t="shared" si="6"/>
        <v>0</v>
      </c>
      <c r="X14" s="3">
        <f>IF(AND($L14=1,AND(对接源_01水果!$X14="自备筐",N(对接源_01水果!$T14)&lt;&gt;0)),1,0)</f>
        <v>0</v>
      </c>
      <c r="Y14" s="3">
        <f t="shared" si="7"/>
        <v>0</v>
      </c>
      <c r="Z14" s="3">
        <f>IF(AND($M14=1,对接源_01水果!$D14="原料入库"),1,0)</f>
        <v>0</v>
      </c>
      <c r="AA14" s="3">
        <f t="shared" si="8"/>
        <v>0</v>
      </c>
      <c r="AB14" s="3">
        <f>IF(AND($M14=1,LEFT(对接源_01水果!$D14,4)="原料出库"),1,0)</f>
        <v>0</v>
      </c>
      <c r="AC14" s="3">
        <f t="shared" si="9"/>
        <v>0</v>
      </c>
      <c r="AD14" s="3">
        <f>IF(AND($M14=1,LEFT(对接源_01水果!$D14,4)="成品出库"),1,0)</f>
        <v>0</v>
      </c>
      <c r="AE14" s="3">
        <f t="shared" si="10"/>
        <v>0</v>
      </c>
      <c r="AF14" s="3">
        <f>IF(AND($N14=1,AND(LEFT(对接源_01水果!$D14,4)="包装物料",N(对接源_01水果!$K14)&lt;&gt;0)),1,0)</f>
        <v>0</v>
      </c>
      <c r="AG14" s="3">
        <f t="shared" si="11"/>
        <v>0</v>
      </c>
      <c r="AH14" s="3">
        <f>IF(AND($N14=1,AND(对接源_01水果!$D14="周转筐－销售出库",N(对接源_01水果!$K14)&lt;&gt;0)),1,0)</f>
        <v>0</v>
      </c>
      <c r="AI14" s="3">
        <f t="shared" si="12"/>
        <v>0</v>
      </c>
      <c r="AJ14" s="7"/>
      <c r="AL14" s="3">
        <f>IF(OR($AL$1="",对接源_01水果!$Y14="",对接源_01水果!$Y14&lt;&gt;$AL$1,对接源_01水果!$B14="",N(对接源_01水果!$AJ14)&lt;=0),0,IF(OR(N(对接源_01水果!$B14)&lt;$AL$2,N(对接源_01水果!$B14)&gt;$AL$3),0,1))</f>
        <v>0</v>
      </c>
      <c r="AM14" s="3">
        <f t="shared" si="13"/>
        <v>0</v>
      </c>
      <c r="AN14" s="3" t="str">
        <f>IF(对接源_01水果!$AC14="","",对接源_01水果!$AC14)</f>
        <v/>
      </c>
      <c r="AO14" s="3">
        <f t="shared" si="14"/>
        <v>0</v>
      </c>
      <c r="AP14" s="3">
        <f t="shared" si="15"/>
        <v>0</v>
      </c>
      <c r="AQ14" s="3" t="str">
        <f t="shared" si="16"/>
        <v/>
      </c>
      <c r="AR14">
        <f t="shared" si="17"/>
        <v>0</v>
      </c>
      <c r="AS14">
        <f t="shared" si="18"/>
        <v>0</v>
      </c>
    </row>
    <row r="15" ht="14.25" customHeight="1" spans="1:45">
      <c r="A15" s="3" t="str">
        <f>IF(对接源_01水果!$C15="","",对接源_01水果!$C15)</f>
        <v>聂新平</v>
      </c>
      <c r="B15" s="3">
        <f t="shared" si="0"/>
        <v>0</v>
      </c>
      <c r="C15" s="3">
        <f t="shared" si="1"/>
        <v>1</v>
      </c>
      <c r="E15" s="3" t="str">
        <f t="shared" si="2"/>
        <v>努尔敦</v>
      </c>
      <c r="K15" s="3">
        <f>IF(OR($K$1="",对接源_01水果!$C15="",对接源_01水果!$C15&lt;&gt;$K$1,对接源_01水果!$B15=""),0,IF(OR(N(对接源_01水果!$B15)&lt;$K$2,N(对接源_01水果!$B15)&gt;$K$3),0,1))</f>
        <v>0</v>
      </c>
      <c r="L15" s="3">
        <f>IF(OR($L$1="",对接源_01水果!$C15="",对接源_01水果!$C15&lt;&gt;$L$1,对接源_01水果!$B15=""),0,IF(OR(N(对接源_01水果!$B15)&lt;$L$2,N(对接源_01水果!$B15)&gt;$L$3),0,1))</f>
        <v>0</v>
      </c>
      <c r="M15" s="3">
        <f>IF(OR($M$1="",对接源_01水果!$C15="",对接源_01水果!$C15&lt;&gt;$M$1,对接源_01水果!$B15=""),0,IF(OR(N(对接源_01水果!$B15)&lt;$M$2,N(对接源_01水果!$B15)&gt;$M$3),0,1))</f>
        <v>0</v>
      </c>
      <c r="N15" s="3">
        <f>IF(OR($N$1="",对接源_01水果!$C15="",对接源_01水果!$C15&lt;&gt;$N$1,对接源_01水果!$B15=""),0,IF(OR(N(对接源_01水果!$B15)&lt;$N$2,N(对接源_01水果!$B15)&gt;$N$3),0,1))</f>
        <v>0</v>
      </c>
      <c r="P15" s="3">
        <f>IF(AND($K15=1,AND(对接源_01水果!$X15="公司筐",N(对接源_01水果!$T15)&lt;&gt;0)),1,0)</f>
        <v>0</v>
      </c>
      <c r="Q15" s="3">
        <f t="shared" si="3"/>
        <v>0</v>
      </c>
      <c r="R15" s="3">
        <f>IF(AND($K15=1,AND(对接源_01水果!$X15="公司筐",N(对接源_01水果!$U15)&lt;&gt;0)),1,0)</f>
        <v>0</v>
      </c>
      <c r="S15" s="3">
        <f t="shared" si="4"/>
        <v>0</v>
      </c>
      <c r="T15" s="3">
        <f>IF(AND($K15=1,AND(对接源_01水果!$X15="公司筐",N(对接源_01水果!$V15)&lt;&gt;0)),1,0)</f>
        <v>0</v>
      </c>
      <c r="U15" s="3">
        <f t="shared" si="5"/>
        <v>0</v>
      </c>
      <c r="V15" s="3">
        <f>IF(AND($L15=1,AND(对接源_01水果!$X15="自备筐",N(对接源_01水果!$V15)&lt;&gt;0)),1,0)</f>
        <v>0</v>
      </c>
      <c r="W15" s="3">
        <f t="shared" si="6"/>
        <v>0</v>
      </c>
      <c r="X15" s="3">
        <f>IF(AND($L15=1,AND(对接源_01水果!$X15="自备筐",N(对接源_01水果!$T15)&lt;&gt;0)),1,0)</f>
        <v>0</v>
      </c>
      <c r="Y15" s="3">
        <f t="shared" si="7"/>
        <v>0</v>
      </c>
      <c r="Z15" s="3">
        <f>IF(AND($M15=1,对接源_01水果!$D15="原料入库"),1,0)</f>
        <v>0</v>
      </c>
      <c r="AA15" s="3">
        <f t="shared" si="8"/>
        <v>0</v>
      </c>
      <c r="AB15" s="3">
        <f>IF(AND($M15=1,LEFT(对接源_01水果!$D15,4)="原料出库"),1,0)</f>
        <v>0</v>
      </c>
      <c r="AC15" s="3">
        <f t="shared" si="9"/>
        <v>0</v>
      </c>
      <c r="AD15" s="3">
        <f>IF(AND($M15=1,LEFT(对接源_01水果!$D15,4)="成品出库"),1,0)</f>
        <v>0</v>
      </c>
      <c r="AE15" s="3">
        <f t="shared" si="10"/>
        <v>0</v>
      </c>
      <c r="AF15" s="3">
        <f>IF(AND($N15=1,AND(LEFT(对接源_01水果!$D15,4)="包装物料",N(对接源_01水果!$K15)&lt;&gt;0)),1,0)</f>
        <v>0</v>
      </c>
      <c r="AG15" s="3">
        <f t="shared" si="11"/>
        <v>0</v>
      </c>
      <c r="AH15" s="3">
        <f>IF(AND($N15=1,AND(对接源_01水果!$D15="周转筐－销售出库",N(对接源_01水果!$K15)&lt;&gt;0)),1,0)</f>
        <v>0</v>
      </c>
      <c r="AI15" s="3">
        <f t="shared" si="12"/>
        <v>0</v>
      </c>
      <c r="AJ15" s="7"/>
      <c r="AL15" s="3">
        <f>IF(OR($AL$1="",对接源_01水果!$Y15="",对接源_01水果!$Y15&lt;&gt;$AL$1,对接源_01水果!$B15="",N(对接源_01水果!$AJ15)&lt;=0),0,IF(OR(N(对接源_01水果!$B15)&lt;$AL$2,N(对接源_01水果!$B15)&gt;$AL$3),0,1))</f>
        <v>0</v>
      </c>
      <c r="AM15" s="3">
        <f t="shared" si="13"/>
        <v>0</v>
      </c>
      <c r="AN15" s="3" t="str">
        <f>IF(对接源_01水果!$AC15="","",对接源_01水果!$AC15)</f>
        <v/>
      </c>
      <c r="AO15" s="3">
        <f t="shared" si="14"/>
        <v>0</v>
      </c>
      <c r="AP15" s="3">
        <f t="shared" si="15"/>
        <v>0</v>
      </c>
      <c r="AQ15" s="3" t="str">
        <f t="shared" si="16"/>
        <v/>
      </c>
      <c r="AR15">
        <f t="shared" si="17"/>
        <v>0</v>
      </c>
      <c r="AS15">
        <f t="shared" si="18"/>
        <v>0</v>
      </c>
    </row>
    <row r="16" ht="14.25" customHeight="1" spans="1:45">
      <c r="A16" s="3" t="str">
        <f>IF(对接源_01水果!$C16="","",对接源_01水果!$C16)</f>
        <v>聂新平</v>
      </c>
      <c r="B16" s="3">
        <f t="shared" si="0"/>
        <v>0</v>
      </c>
      <c r="C16" s="3">
        <f t="shared" si="1"/>
        <v>1</v>
      </c>
      <c r="E16" s="3" t="str">
        <f t="shared" si="2"/>
        <v>王浩</v>
      </c>
      <c r="K16" s="3">
        <f>IF(OR($K$1="",对接源_01水果!$C16="",对接源_01水果!$C16&lt;&gt;$K$1,对接源_01水果!$B16=""),0,IF(OR(N(对接源_01水果!$B16)&lt;$K$2,N(对接源_01水果!$B16)&gt;$K$3),0,1))</f>
        <v>0</v>
      </c>
      <c r="L16" s="3">
        <f>IF(OR($L$1="",对接源_01水果!$C16="",对接源_01水果!$C16&lt;&gt;$L$1,对接源_01水果!$B16=""),0,IF(OR(N(对接源_01水果!$B16)&lt;$L$2,N(对接源_01水果!$B16)&gt;$L$3),0,1))</f>
        <v>0</v>
      </c>
      <c r="M16" s="3">
        <f>IF(OR($M$1="",对接源_01水果!$C16="",对接源_01水果!$C16&lt;&gt;$M$1,对接源_01水果!$B16=""),0,IF(OR(N(对接源_01水果!$B16)&lt;$M$2,N(对接源_01水果!$B16)&gt;$M$3),0,1))</f>
        <v>0</v>
      </c>
      <c r="N16" s="3">
        <f>IF(OR($N$1="",对接源_01水果!$C16="",对接源_01水果!$C16&lt;&gt;$N$1,对接源_01水果!$B16=""),0,IF(OR(N(对接源_01水果!$B16)&lt;$N$2,N(对接源_01水果!$B16)&gt;$N$3),0,1))</f>
        <v>0</v>
      </c>
      <c r="P16" s="3">
        <f>IF(AND($K16=1,AND(对接源_01水果!$X16="公司筐",N(对接源_01水果!$T16)&lt;&gt;0)),1,0)</f>
        <v>0</v>
      </c>
      <c r="Q16" s="3">
        <f t="shared" si="3"/>
        <v>0</v>
      </c>
      <c r="R16" s="3">
        <f>IF(AND($K16=1,AND(对接源_01水果!$X16="公司筐",N(对接源_01水果!$U16)&lt;&gt;0)),1,0)</f>
        <v>0</v>
      </c>
      <c r="S16" s="3">
        <f t="shared" si="4"/>
        <v>0</v>
      </c>
      <c r="T16" s="3">
        <f>IF(AND($K16=1,AND(对接源_01水果!$X16="公司筐",N(对接源_01水果!$V16)&lt;&gt;0)),1,0)</f>
        <v>0</v>
      </c>
      <c r="U16" s="3">
        <f t="shared" si="5"/>
        <v>0</v>
      </c>
      <c r="V16" s="3">
        <f>IF(AND($L16=1,AND(对接源_01水果!$X16="自备筐",N(对接源_01水果!$V16)&lt;&gt;0)),1,0)</f>
        <v>0</v>
      </c>
      <c r="W16" s="3">
        <f t="shared" si="6"/>
        <v>0</v>
      </c>
      <c r="X16" s="3">
        <f>IF(AND($L16=1,AND(对接源_01水果!$X16="自备筐",N(对接源_01水果!$T16)&lt;&gt;0)),1,0)</f>
        <v>0</v>
      </c>
      <c r="Y16" s="3">
        <f t="shared" si="7"/>
        <v>0</v>
      </c>
      <c r="Z16" s="3">
        <f>IF(AND($M16=1,对接源_01水果!$D16="原料入库"),1,0)</f>
        <v>0</v>
      </c>
      <c r="AA16" s="3">
        <f t="shared" si="8"/>
        <v>0</v>
      </c>
      <c r="AB16" s="3">
        <f>IF(AND($M16=1,LEFT(对接源_01水果!$D16,4)="原料出库"),1,0)</f>
        <v>0</v>
      </c>
      <c r="AC16" s="3">
        <f t="shared" si="9"/>
        <v>0</v>
      </c>
      <c r="AD16" s="3">
        <f>IF(AND($M16=1,LEFT(对接源_01水果!$D16,4)="成品出库"),1,0)</f>
        <v>0</v>
      </c>
      <c r="AE16" s="3">
        <f t="shared" si="10"/>
        <v>0</v>
      </c>
      <c r="AF16" s="3">
        <f>IF(AND($N16=1,AND(LEFT(对接源_01水果!$D16,4)="包装物料",N(对接源_01水果!$K16)&lt;&gt;0)),1,0)</f>
        <v>0</v>
      </c>
      <c r="AG16" s="3">
        <f t="shared" si="11"/>
        <v>0</v>
      </c>
      <c r="AH16" s="3">
        <f>IF(AND($N16=1,AND(对接源_01水果!$D16="周转筐－销售出库",N(对接源_01水果!$K16)&lt;&gt;0)),1,0)</f>
        <v>0</v>
      </c>
      <c r="AI16" s="3">
        <f t="shared" si="12"/>
        <v>0</v>
      </c>
      <c r="AJ16" s="7"/>
      <c r="AL16" s="3">
        <f>IF(OR($AL$1="",对接源_01水果!$Y16="",对接源_01水果!$Y16&lt;&gt;$AL$1,对接源_01水果!$B16="",N(对接源_01水果!$AJ16)&lt;=0),0,IF(OR(N(对接源_01水果!$B16)&lt;$AL$2,N(对接源_01水果!$B16)&gt;$AL$3),0,1))</f>
        <v>0</v>
      </c>
      <c r="AM16" s="3">
        <f t="shared" si="13"/>
        <v>0</v>
      </c>
      <c r="AN16" s="3" t="str">
        <f>IF(对接源_01水果!$AC16="","",对接源_01水果!$AC16)</f>
        <v/>
      </c>
      <c r="AO16" s="3">
        <f t="shared" si="14"/>
        <v>0</v>
      </c>
      <c r="AP16" s="3">
        <f t="shared" si="15"/>
        <v>0</v>
      </c>
      <c r="AQ16" s="3" t="str">
        <f t="shared" si="16"/>
        <v/>
      </c>
      <c r="AR16">
        <f t="shared" si="17"/>
        <v>0</v>
      </c>
      <c r="AS16">
        <f t="shared" si="18"/>
        <v>0</v>
      </c>
    </row>
    <row r="17" ht="14.25" customHeight="1" spans="1:45">
      <c r="A17" s="3" t="str">
        <f>IF(对接源_01水果!$C17="","",对接源_01水果!$C17)</f>
        <v>聂新平</v>
      </c>
      <c r="B17" s="3">
        <f t="shared" si="0"/>
        <v>0</v>
      </c>
      <c r="C17" s="3">
        <f t="shared" si="1"/>
        <v>1</v>
      </c>
      <c r="E17" s="3" t="str">
        <f t="shared" si="2"/>
        <v>热合曼+艾则孜</v>
      </c>
      <c r="K17" s="3">
        <f>IF(OR($K$1="",对接源_01水果!$C17="",对接源_01水果!$C17&lt;&gt;$K$1,对接源_01水果!$B17=""),0,IF(OR(N(对接源_01水果!$B17)&lt;$K$2,N(对接源_01水果!$B17)&gt;$K$3),0,1))</f>
        <v>0</v>
      </c>
      <c r="L17" s="3">
        <f>IF(OR($L$1="",对接源_01水果!$C17="",对接源_01水果!$C17&lt;&gt;$L$1,对接源_01水果!$B17=""),0,IF(OR(N(对接源_01水果!$B17)&lt;$L$2,N(对接源_01水果!$B17)&gt;$L$3),0,1))</f>
        <v>0</v>
      </c>
      <c r="M17" s="3">
        <f>IF(OR($M$1="",对接源_01水果!$C17="",对接源_01水果!$C17&lt;&gt;$M$1,对接源_01水果!$B17=""),0,IF(OR(N(对接源_01水果!$B17)&lt;$M$2,N(对接源_01水果!$B17)&gt;$M$3),0,1))</f>
        <v>0</v>
      </c>
      <c r="N17" s="3">
        <f>IF(OR($N$1="",对接源_01水果!$C17="",对接源_01水果!$C17&lt;&gt;$N$1,对接源_01水果!$B17=""),0,IF(OR(N(对接源_01水果!$B17)&lt;$N$2,N(对接源_01水果!$B17)&gt;$N$3),0,1))</f>
        <v>0</v>
      </c>
      <c r="P17" s="3">
        <f>IF(AND($K17=1,AND(对接源_01水果!$X17="公司筐",N(对接源_01水果!$T17)&lt;&gt;0)),1,0)</f>
        <v>0</v>
      </c>
      <c r="Q17" s="3">
        <f t="shared" si="3"/>
        <v>0</v>
      </c>
      <c r="R17" s="3">
        <f>IF(AND($K17=1,AND(对接源_01水果!$X17="公司筐",N(对接源_01水果!$U17)&lt;&gt;0)),1,0)</f>
        <v>0</v>
      </c>
      <c r="S17" s="3">
        <f t="shared" si="4"/>
        <v>0</v>
      </c>
      <c r="T17" s="3">
        <f>IF(AND($K17=1,AND(对接源_01水果!$X17="公司筐",N(对接源_01水果!$V17)&lt;&gt;0)),1,0)</f>
        <v>0</v>
      </c>
      <c r="U17" s="3">
        <f t="shared" si="5"/>
        <v>0</v>
      </c>
      <c r="V17" s="3">
        <f>IF(AND($L17=1,AND(对接源_01水果!$X17="自备筐",N(对接源_01水果!$V17)&lt;&gt;0)),1,0)</f>
        <v>0</v>
      </c>
      <c r="W17" s="3">
        <f t="shared" si="6"/>
        <v>0</v>
      </c>
      <c r="X17" s="3">
        <f>IF(AND($L17=1,AND(对接源_01水果!$X17="自备筐",N(对接源_01水果!$T17)&lt;&gt;0)),1,0)</f>
        <v>0</v>
      </c>
      <c r="Y17" s="3">
        <f t="shared" si="7"/>
        <v>0</v>
      </c>
      <c r="Z17" s="3">
        <f>IF(AND($M17=1,对接源_01水果!$D17="原料入库"),1,0)</f>
        <v>0</v>
      </c>
      <c r="AA17" s="3">
        <f t="shared" si="8"/>
        <v>0</v>
      </c>
      <c r="AB17" s="3">
        <f>IF(AND($M17=1,LEFT(对接源_01水果!$D17,4)="原料出库"),1,0)</f>
        <v>0</v>
      </c>
      <c r="AC17" s="3">
        <f t="shared" si="9"/>
        <v>0</v>
      </c>
      <c r="AD17" s="3">
        <f>IF(AND($M17=1,LEFT(对接源_01水果!$D17,4)="成品出库"),1,0)</f>
        <v>0</v>
      </c>
      <c r="AE17" s="3">
        <f t="shared" si="10"/>
        <v>0</v>
      </c>
      <c r="AF17" s="3">
        <f>IF(AND($N17=1,AND(LEFT(对接源_01水果!$D17,4)="包装物料",N(对接源_01水果!$K17)&lt;&gt;0)),1,0)</f>
        <v>0</v>
      </c>
      <c r="AG17" s="3">
        <f t="shared" si="11"/>
        <v>0</v>
      </c>
      <c r="AH17" s="3">
        <f>IF(AND($N17=1,AND(对接源_01水果!$D17="周转筐－销售出库",N(对接源_01水果!$K17)&lt;&gt;0)),1,0)</f>
        <v>0</v>
      </c>
      <c r="AI17" s="3">
        <f t="shared" si="12"/>
        <v>0</v>
      </c>
      <c r="AJ17" s="7"/>
      <c r="AL17" s="3">
        <f>IF(OR($AL$1="",对接源_01水果!$Y17="",对接源_01水果!$Y17&lt;&gt;$AL$1,对接源_01水果!$B17="",N(对接源_01水果!$AJ17)&lt;=0),0,IF(OR(N(对接源_01水果!$B17)&lt;$AL$2,N(对接源_01水果!$B17)&gt;$AL$3),0,1))</f>
        <v>0</v>
      </c>
      <c r="AM17" s="3">
        <f t="shared" si="13"/>
        <v>0</v>
      </c>
      <c r="AN17" s="3" t="str">
        <f>IF(对接源_01水果!$AC17="","",对接源_01水果!$AC17)</f>
        <v/>
      </c>
      <c r="AO17" s="3">
        <f t="shared" si="14"/>
        <v>0</v>
      </c>
      <c r="AP17" s="3">
        <f t="shared" si="15"/>
        <v>0</v>
      </c>
      <c r="AQ17" s="3" t="str">
        <f t="shared" si="16"/>
        <v/>
      </c>
      <c r="AR17">
        <f t="shared" si="17"/>
        <v>0</v>
      </c>
      <c r="AS17">
        <f t="shared" si="18"/>
        <v>0</v>
      </c>
    </row>
    <row r="18" ht="14.25" customHeight="1" spans="1:45">
      <c r="A18" s="3" t="str">
        <f>IF(对接源_01水果!$C18="","",对接源_01水果!$C18)</f>
        <v>王照雪</v>
      </c>
      <c r="B18" s="3">
        <f t="shared" si="0"/>
        <v>1</v>
      </c>
      <c r="C18" s="3">
        <f t="shared" si="1"/>
        <v>2</v>
      </c>
      <c r="E18" s="3" t="str">
        <f t="shared" si="2"/>
        <v>李现东</v>
      </c>
      <c r="K18" s="3">
        <f>IF(OR($K$1="",对接源_01水果!$C18="",对接源_01水果!$C18&lt;&gt;$K$1,对接源_01水果!$B18=""),0,IF(OR(N(对接源_01水果!$B18)&lt;$K$2,N(对接源_01水果!$B18)&gt;$K$3),0,1))</f>
        <v>0</v>
      </c>
      <c r="L18" s="3">
        <f>IF(OR($L$1="",对接源_01水果!$C18="",对接源_01水果!$C18&lt;&gt;$L$1,对接源_01水果!$B18=""),0,IF(OR(N(对接源_01水果!$B18)&lt;$L$2,N(对接源_01水果!$B18)&gt;$L$3),0,1))</f>
        <v>0</v>
      </c>
      <c r="M18" s="3">
        <f>IF(OR($M$1="",对接源_01水果!$C18="",对接源_01水果!$C18&lt;&gt;$M$1,对接源_01水果!$B18=""),0,IF(OR(N(对接源_01水果!$B18)&lt;$M$2,N(对接源_01水果!$B18)&gt;$M$3),0,1))</f>
        <v>0</v>
      </c>
      <c r="N18" s="3">
        <f>IF(OR($N$1="",对接源_01水果!$C18="",对接源_01水果!$C18&lt;&gt;$N$1,对接源_01水果!$B18=""),0,IF(OR(N(对接源_01水果!$B18)&lt;$N$2,N(对接源_01水果!$B18)&gt;$N$3),0,1))</f>
        <v>0</v>
      </c>
      <c r="P18" s="3">
        <f>IF(AND($K18=1,AND(对接源_01水果!$X18="公司筐",N(对接源_01水果!$T18)&lt;&gt;0)),1,0)</f>
        <v>0</v>
      </c>
      <c r="Q18" s="3">
        <f t="shared" si="3"/>
        <v>0</v>
      </c>
      <c r="R18" s="3">
        <f>IF(AND($K18=1,AND(对接源_01水果!$X18="公司筐",N(对接源_01水果!$U18)&lt;&gt;0)),1,0)</f>
        <v>0</v>
      </c>
      <c r="S18" s="3">
        <f t="shared" si="4"/>
        <v>0</v>
      </c>
      <c r="T18" s="3">
        <f>IF(AND($K18=1,AND(对接源_01水果!$X18="公司筐",N(对接源_01水果!$V18)&lt;&gt;0)),1,0)</f>
        <v>0</v>
      </c>
      <c r="U18" s="3">
        <f t="shared" si="5"/>
        <v>0</v>
      </c>
      <c r="V18" s="3">
        <f>IF(AND($L18=1,AND(对接源_01水果!$X18="自备筐",N(对接源_01水果!$V18)&lt;&gt;0)),1,0)</f>
        <v>0</v>
      </c>
      <c r="W18" s="3">
        <f t="shared" si="6"/>
        <v>0</v>
      </c>
      <c r="X18" s="3">
        <f>IF(AND($L18=1,AND(对接源_01水果!$X18="自备筐",N(对接源_01水果!$T18)&lt;&gt;0)),1,0)</f>
        <v>0</v>
      </c>
      <c r="Y18" s="3">
        <f t="shared" si="7"/>
        <v>0</v>
      </c>
      <c r="Z18" s="3">
        <f>IF(AND($M18=1,对接源_01水果!$D18="原料入库"),1,0)</f>
        <v>0</v>
      </c>
      <c r="AA18" s="3">
        <f t="shared" si="8"/>
        <v>0</v>
      </c>
      <c r="AB18" s="3">
        <f>IF(AND($M18=1,LEFT(对接源_01水果!$D18,4)="原料出库"),1,0)</f>
        <v>0</v>
      </c>
      <c r="AC18" s="3">
        <f t="shared" si="9"/>
        <v>0</v>
      </c>
      <c r="AD18" s="3">
        <f>IF(AND($M18=1,LEFT(对接源_01水果!$D18,4)="成品出库"),1,0)</f>
        <v>0</v>
      </c>
      <c r="AE18" s="3">
        <f t="shared" si="10"/>
        <v>0</v>
      </c>
      <c r="AF18" s="3">
        <f>IF(AND($N18=1,AND(LEFT(对接源_01水果!$D18,4)="包装物料",N(对接源_01水果!$K18)&lt;&gt;0)),1,0)</f>
        <v>0</v>
      </c>
      <c r="AG18" s="3">
        <f t="shared" si="11"/>
        <v>0</v>
      </c>
      <c r="AH18" s="3">
        <f>IF(AND($N18=1,AND(对接源_01水果!$D18="周转筐－销售出库",N(对接源_01水果!$K18)&lt;&gt;0)),1,0)</f>
        <v>0</v>
      </c>
      <c r="AI18" s="3">
        <f t="shared" si="12"/>
        <v>0</v>
      </c>
      <c r="AJ18" s="7"/>
      <c r="AL18" s="3">
        <f>IF(OR($AL$1="",对接源_01水果!$Y18="",对接源_01水果!$Y18&lt;&gt;$AL$1,对接源_01水果!$B18="",N(对接源_01水果!$AJ18)&lt;=0),0,IF(OR(N(对接源_01水果!$B18)&lt;$AL$2,N(对接源_01水果!$B18)&gt;$AL$3),0,1))</f>
        <v>0</v>
      </c>
      <c r="AM18" s="3">
        <f t="shared" si="13"/>
        <v>0</v>
      </c>
      <c r="AN18" s="3" t="str">
        <f>IF(对接源_01水果!$AC18="","",对接源_01水果!$AC18)</f>
        <v/>
      </c>
      <c r="AO18" s="3">
        <f t="shared" si="14"/>
        <v>0</v>
      </c>
      <c r="AP18" s="3">
        <f t="shared" si="15"/>
        <v>0</v>
      </c>
      <c r="AQ18" s="3" t="str">
        <f t="shared" si="16"/>
        <v/>
      </c>
      <c r="AR18">
        <f t="shared" si="17"/>
        <v>0</v>
      </c>
      <c r="AS18">
        <f t="shared" si="18"/>
        <v>0</v>
      </c>
    </row>
    <row r="19" ht="14.25" customHeight="1" spans="1:45">
      <c r="A19" s="3" t="str">
        <f>IF(对接源_01水果!$C19="","",对接源_01水果!$C19)</f>
        <v>王照雪</v>
      </c>
      <c r="B19" s="3">
        <f t="shared" si="0"/>
        <v>0</v>
      </c>
      <c r="C19" s="3">
        <f t="shared" si="1"/>
        <v>2</v>
      </c>
      <c r="E19" s="3" t="str">
        <f t="shared" si="2"/>
        <v>吐尔逊</v>
      </c>
      <c r="K19" s="3">
        <f>IF(OR($K$1="",对接源_01水果!$C19="",对接源_01水果!$C19&lt;&gt;$K$1,对接源_01水果!$B19=""),0,IF(OR(N(对接源_01水果!$B19)&lt;$K$2,N(对接源_01水果!$B19)&gt;$K$3),0,1))</f>
        <v>0</v>
      </c>
      <c r="L19" s="3">
        <f>IF(OR($L$1="",对接源_01水果!$C19="",对接源_01水果!$C19&lt;&gt;$L$1,对接源_01水果!$B19=""),0,IF(OR(N(对接源_01水果!$B19)&lt;$L$2,N(对接源_01水果!$B19)&gt;$L$3),0,1))</f>
        <v>0</v>
      </c>
      <c r="M19" s="3">
        <f>IF(OR($M$1="",对接源_01水果!$C19="",对接源_01水果!$C19&lt;&gt;$M$1,对接源_01水果!$B19=""),0,IF(OR(N(对接源_01水果!$B19)&lt;$M$2,N(对接源_01水果!$B19)&gt;$M$3),0,1))</f>
        <v>0</v>
      </c>
      <c r="N19" s="3">
        <f>IF(OR($N$1="",对接源_01水果!$C19="",对接源_01水果!$C19&lt;&gt;$N$1,对接源_01水果!$B19=""),0,IF(OR(N(对接源_01水果!$B19)&lt;$N$2,N(对接源_01水果!$B19)&gt;$N$3),0,1))</f>
        <v>0</v>
      </c>
      <c r="P19" s="3">
        <f>IF(AND($K19=1,AND(对接源_01水果!$X19="公司筐",N(对接源_01水果!$T19)&lt;&gt;0)),1,0)</f>
        <v>0</v>
      </c>
      <c r="Q19" s="3">
        <f t="shared" si="3"/>
        <v>0</v>
      </c>
      <c r="R19" s="3">
        <f>IF(AND($K19=1,AND(对接源_01水果!$X19="公司筐",N(对接源_01水果!$U19)&lt;&gt;0)),1,0)</f>
        <v>0</v>
      </c>
      <c r="S19" s="3">
        <f t="shared" si="4"/>
        <v>0</v>
      </c>
      <c r="T19" s="3">
        <f>IF(AND($K19=1,AND(对接源_01水果!$X19="公司筐",N(对接源_01水果!$V19)&lt;&gt;0)),1,0)</f>
        <v>0</v>
      </c>
      <c r="U19" s="3">
        <f t="shared" si="5"/>
        <v>0</v>
      </c>
      <c r="V19" s="3">
        <f>IF(AND($L19=1,AND(对接源_01水果!$X19="自备筐",N(对接源_01水果!$V19)&lt;&gt;0)),1,0)</f>
        <v>0</v>
      </c>
      <c r="W19" s="3">
        <f t="shared" si="6"/>
        <v>0</v>
      </c>
      <c r="X19" s="3">
        <f>IF(AND($L19=1,AND(对接源_01水果!$X19="自备筐",N(对接源_01水果!$T19)&lt;&gt;0)),1,0)</f>
        <v>0</v>
      </c>
      <c r="Y19" s="3">
        <f t="shared" si="7"/>
        <v>0</v>
      </c>
      <c r="Z19" s="3">
        <f>IF(AND($M19=1,对接源_01水果!$D19="原料入库"),1,0)</f>
        <v>0</v>
      </c>
      <c r="AA19" s="3">
        <f t="shared" si="8"/>
        <v>0</v>
      </c>
      <c r="AB19" s="3">
        <f>IF(AND($M19=1,LEFT(对接源_01水果!$D19,4)="原料出库"),1,0)</f>
        <v>0</v>
      </c>
      <c r="AC19" s="3">
        <f t="shared" si="9"/>
        <v>0</v>
      </c>
      <c r="AD19" s="3">
        <f>IF(AND($M19=1,LEFT(对接源_01水果!$D19,4)="成品出库"),1,0)</f>
        <v>0</v>
      </c>
      <c r="AE19" s="3">
        <f t="shared" si="10"/>
        <v>0</v>
      </c>
      <c r="AF19" s="3">
        <f>IF(AND($N19=1,AND(LEFT(对接源_01水果!$D19,4)="包装物料",N(对接源_01水果!$K19)&lt;&gt;0)),1,0)</f>
        <v>0</v>
      </c>
      <c r="AG19" s="3">
        <f t="shared" si="11"/>
        <v>0</v>
      </c>
      <c r="AH19" s="3">
        <f>IF(AND($N19=1,AND(对接源_01水果!$D19="周转筐－销售出库",N(对接源_01水果!$K19)&lt;&gt;0)),1,0)</f>
        <v>0</v>
      </c>
      <c r="AI19" s="3">
        <f t="shared" si="12"/>
        <v>0</v>
      </c>
      <c r="AJ19" s="7"/>
      <c r="AL19" s="3">
        <f>IF(OR($AL$1="",对接源_01水果!$Y19="",对接源_01水果!$Y19&lt;&gt;$AL$1,对接源_01水果!$B19="",N(对接源_01水果!$AJ19)&lt;=0),0,IF(OR(N(对接源_01水果!$B19)&lt;$AL$2,N(对接源_01水果!$B19)&gt;$AL$3),0,1))</f>
        <v>0</v>
      </c>
      <c r="AM19" s="3">
        <f t="shared" si="13"/>
        <v>0</v>
      </c>
      <c r="AN19" s="3" t="str">
        <f>IF(对接源_01水果!$AC19="","",对接源_01水果!$AC19)</f>
        <v/>
      </c>
      <c r="AO19" s="3">
        <f t="shared" si="14"/>
        <v>0</v>
      </c>
      <c r="AP19" s="3">
        <f t="shared" si="15"/>
        <v>0</v>
      </c>
      <c r="AQ19" s="3" t="str">
        <f t="shared" si="16"/>
        <v/>
      </c>
      <c r="AR19">
        <f t="shared" si="17"/>
        <v>0</v>
      </c>
      <c r="AS19">
        <f t="shared" si="18"/>
        <v>0</v>
      </c>
    </row>
    <row r="20" ht="14.25" customHeight="1" spans="1:45">
      <c r="A20" s="3" t="str">
        <f>IF(对接源_01水果!$C20="","",对接源_01水果!$C20)</f>
        <v>王照雪</v>
      </c>
      <c r="B20" s="3">
        <f t="shared" si="0"/>
        <v>0</v>
      </c>
      <c r="C20" s="3">
        <f t="shared" si="1"/>
        <v>2</v>
      </c>
      <c r="E20" s="3" t="str">
        <f t="shared" si="2"/>
        <v>阿布都</v>
      </c>
      <c r="K20" s="3">
        <f>IF(OR($K$1="",对接源_01水果!$C20="",对接源_01水果!$C20&lt;&gt;$K$1,对接源_01水果!$B20=""),0,IF(OR(N(对接源_01水果!$B20)&lt;$K$2,N(对接源_01水果!$B20)&gt;$K$3),0,1))</f>
        <v>0</v>
      </c>
      <c r="L20" s="3">
        <f>IF(OR($L$1="",对接源_01水果!$C20="",对接源_01水果!$C20&lt;&gt;$L$1,对接源_01水果!$B20=""),0,IF(OR(N(对接源_01水果!$B20)&lt;$L$2,N(对接源_01水果!$B20)&gt;$L$3),0,1))</f>
        <v>0</v>
      </c>
      <c r="M20" s="3">
        <f>IF(OR($M$1="",对接源_01水果!$C20="",对接源_01水果!$C20&lt;&gt;$M$1,对接源_01水果!$B20=""),0,IF(OR(N(对接源_01水果!$B20)&lt;$M$2,N(对接源_01水果!$B20)&gt;$M$3),0,1))</f>
        <v>0</v>
      </c>
      <c r="N20" s="3">
        <f>IF(OR($N$1="",对接源_01水果!$C20="",对接源_01水果!$C20&lt;&gt;$N$1,对接源_01水果!$B20=""),0,IF(OR(N(对接源_01水果!$B20)&lt;$N$2,N(对接源_01水果!$B20)&gt;$N$3),0,1))</f>
        <v>0</v>
      </c>
      <c r="P20" s="3">
        <f>IF(AND($K20=1,AND(对接源_01水果!$X20="公司筐",N(对接源_01水果!$T20)&lt;&gt;0)),1,0)</f>
        <v>0</v>
      </c>
      <c r="Q20" s="3">
        <f t="shared" si="3"/>
        <v>0</v>
      </c>
      <c r="R20" s="3">
        <f>IF(AND($K20=1,AND(对接源_01水果!$X20="公司筐",N(对接源_01水果!$U20)&lt;&gt;0)),1,0)</f>
        <v>0</v>
      </c>
      <c r="S20" s="3">
        <f t="shared" si="4"/>
        <v>0</v>
      </c>
      <c r="T20" s="3">
        <f>IF(AND($K20=1,AND(对接源_01水果!$X20="公司筐",N(对接源_01水果!$V20)&lt;&gt;0)),1,0)</f>
        <v>0</v>
      </c>
      <c r="U20" s="3">
        <f t="shared" si="5"/>
        <v>0</v>
      </c>
      <c r="V20" s="3">
        <f>IF(AND($L20=1,AND(对接源_01水果!$X20="自备筐",N(对接源_01水果!$V20)&lt;&gt;0)),1,0)</f>
        <v>0</v>
      </c>
      <c r="W20" s="3">
        <f t="shared" si="6"/>
        <v>0</v>
      </c>
      <c r="X20" s="3">
        <f>IF(AND($L20=1,AND(对接源_01水果!$X20="自备筐",N(对接源_01水果!$T20)&lt;&gt;0)),1,0)</f>
        <v>0</v>
      </c>
      <c r="Y20" s="3">
        <f t="shared" si="7"/>
        <v>0</v>
      </c>
      <c r="Z20" s="3">
        <f>IF(AND($M20=1,对接源_01水果!$D20="原料入库"),1,0)</f>
        <v>0</v>
      </c>
      <c r="AA20" s="3">
        <f t="shared" si="8"/>
        <v>0</v>
      </c>
      <c r="AB20" s="3">
        <f>IF(AND($M20=1,LEFT(对接源_01水果!$D20,4)="原料出库"),1,0)</f>
        <v>0</v>
      </c>
      <c r="AC20" s="3">
        <f t="shared" si="9"/>
        <v>0</v>
      </c>
      <c r="AD20" s="3">
        <f>IF(AND($M20=1,LEFT(对接源_01水果!$D20,4)="成品出库"),1,0)</f>
        <v>0</v>
      </c>
      <c r="AE20" s="3">
        <f t="shared" si="10"/>
        <v>0</v>
      </c>
      <c r="AF20" s="3">
        <f>IF(AND($N20=1,AND(LEFT(对接源_01水果!$D20,4)="包装物料",N(对接源_01水果!$K20)&lt;&gt;0)),1,0)</f>
        <v>0</v>
      </c>
      <c r="AG20" s="3">
        <f t="shared" si="11"/>
        <v>0</v>
      </c>
      <c r="AH20" s="3">
        <f>IF(AND($N20=1,AND(对接源_01水果!$D20="周转筐－销售出库",N(对接源_01水果!$K20)&lt;&gt;0)),1,0)</f>
        <v>0</v>
      </c>
      <c r="AI20" s="3">
        <f t="shared" si="12"/>
        <v>0</v>
      </c>
      <c r="AJ20" s="7"/>
      <c r="AL20" s="3">
        <f>IF(OR($AL$1="",对接源_01水果!$Y20="",对接源_01水果!$Y20&lt;&gt;$AL$1,对接源_01水果!$B20="",N(对接源_01水果!$AJ20)&lt;=0),0,IF(OR(N(对接源_01水果!$B20)&lt;$AL$2,N(对接源_01水果!$B20)&gt;$AL$3),0,1))</f>
        <v>0</v>
      </c>
      <c r="AM20" s="3">
        <f t="shared" si="13"/>
        <v>0</v>
      </c>
      <c r="AN20" s="3" t="str">
        <f>IF(对接源_01水果!$AC20="","",对接源_01水果!$AC20)</f>
        <v/>
      </c>
      <c r="AO20" s="3">
        <f t="shared" si="14"/>
        <v>0</v>
      </c>
      <c r="AP20" s="3">
        <f t="shared" si="15"/>
        <v>0</v>
      </c>
      <c r="AQ20" s="3" t="str">
        <f t="shared" si="16"/>
        <v/>
      </c>
      <c r="AR20">
        <f t="shared" si="17"/>
        <v>0</v>
      </c>
      <c r="AS20">
        <f t="shared" si="18"/>
        <v>0</v>
      </c>
    </row>
    <row r="21" ht="14.25" customHeight="1" spans="1:45">
      <c r="A21" s="3" t="str">
        <f>IF(对接源_01水果!$C21="","",对接源_01水果!$C21)</f>
        <v>聂新平</v>
      </c>
      <c r="B21" s="3">
        <f t="shared" si="0"/>
        <v>0</v>
      </c>
      <c r="C21" s="3">
        <f t="shared" si="1"/>
        <v>2</v>
      </c>
      <c r="E21" s="3" t="str">
        <f t="shared" si="2"/>
        <v>艾则孜</v>
      </c>
      <c r="K21" s="3">
        <f>IF(OR($K$1="",对接源_01水果!$C21="",对接源_01水果!$C21&lt;&gt;$K$1,对接源_01水果!$B21=""),0,IF(OR(N(对接源_01水果!$B21)&lt;$K$2,N(对接源_01水果!$B21)&gt;$K$3),0,1))</f>
        <v>0</v>
      </c>
      <c r="L21" s="3">
        <f>IF(OR($L$1="",对接源_01水果!$C21="",对接源_01水果!$C21&lt;&gt;$L$1,对接源_01水果!$B21=""),0,IF(OR(N(对接源_01水果!$B21)&lt;$L$2,N(对接源_01水果!$B21)&gt;$L$3),0,1))</f>
        <v>0</v>
      </c>
      <c r="M21" s="3">
        <f>IF(OR($M$1="",对接源_01水果!$C21="",对接源_01水果!$C21&lt;&gt;$M$1,对接源_01水果!$B21=""),0,IF(OR(N(对接源_01水果!$B21)&lt;$M$2,N(对接源_01水果!$B21)&gt;$M$3),0,1))</f>
        <v>0</v>
      </c>
      <c r="N21" s="3">
        <f>IF(OR($N$1="",对接源_01水果!$C21="",对接源_01水果!$C21&lt;&gt;$N$1,对接源_01水果!$B21=""),0,IF(OR(N(对接源_01水果!$B21)&lt;$N$2,N(对接源_01水果!$B21)&gt;$N$3),0,1))</f>
        <v>0</v>
      </c>
      <c r="P21" s="3">
        <f>IF(AND($K21=1,AND(对接源_01水果!$X21="公司筐",N(对接源_01水果!$T21)&lt;&gt;0)),1,0)</f>
        <v>0</v>
      </c>
      <c r="Q21" s="3">
        <f t="shared" si="3"/>
        <v>0</v>
      </c>
      <c r="R21" s="3">
        <f>IF(AND($K21=1,AND(对接源_01水果!$X21="公司筐",N(对接源_01水果!$U21)&lt;&gt;0)),1,0)</f>
        <v>0</v>
      </c>
      <c r="S21" s="3">
        <f t="shared" si="4"/>
        <v>0</v>
      </c>
      <c r="T21" s="3">
        <f>IF(AND($K21=1,AND(对接源_01水果!$X21="公司筐",N(对接源_01水果!$V21)&lt;&gt;0)),1,0)</f>
        <v>0</v>
      </c>
      <c r="U21" s="3">
        <f t="shared" si="5"/>
        <v>0</v>
      </c>
      <c r="V21" s="3">
        <f>IF(AND($L21=1,AND(对接源_01水果!$X21="自备筐",N(对接源_01水果!$V21)&lt;&gt;0)),1,0)</f>
        <v>0</v>
      </c>
      <c r="W21" s="3">
        <f t="shared" si="6"/>
        <v>0</v>
      </c>
      <c r="X21" s="3">
        <f>IF(AND($L21=1,AND(对接源_01水果!$X21="自备筐",N(对接源_01水果!$T21)&lt;&gt;0)),1,0)</f>
        <v>0</v>
      </c>
      <c r="Y21" s="3">
        <f t="shared" si="7"/>
        <v>0</v>
      </c>
      <c r="Z21" s="3">
        <f>IF(AND($M21=1,对接源_01水果!$D21="原料入库"),1,0)</f>
        <v>0</v>
      </c>
      <c r="AA21" s="3">
        <f t="shared" si="8"/>
        <v>0</v>
      </c>
      <c r="AB21" s="3">
        <f>IF(AND($M21=1,LEFT(对接源_01水果!$D21,4)="原料出库"),1,0)</f>
        <v>0</v>
      </c>
      <c r="AC21" s="3">
        <f t="shared" si="9"/>
        <v>0</v>
      </c>
      <c r="AD21" s="3">
        <f>IF(AND($M21=1,LEFT(对接源_01水果!$D21,4)="成品出库"),1,0)</f>
        <v>0</v>
      </c>
      <c r="AE21" s="3">
        <f t="shared" si="10"/>
        <v>0</v>
      </c>
      <c r="AF21" s="3">
        <f>IF(AND($N21=1,AND(LEFT(对接源_01水果!$D21,4)="包装物料",N(对接源_01水果!$K21)&lt;&gt;0)),1,0)</f>
        <v>0</v>
      </c>
      <c r="AG21" s="3">
        <f t="shared" si="11"/>
        <v>0</v>
      </c>
      <c r="AH21" s="3">
        <f>IF(AND($N21=1,AND(对接源_01水果!$D21="周转筐－销售出库",N(对接源_01水果!$K21)&lt;&gt;0)),1,0)</f>
        <v>0</v>
      </c>
      <c r="AI21" s="3">
        <f t="shared" si="12"/>
        <v>0</v>
      </c>
      <c r="AJ21" s="7"/>
      <c r="AL21" s="3">
        <f>IF(OR($AL$1="",对接源_01水果!$Y21="",对接源_01水果!$Y21&lt;&gt;$AL$1,对接源_01水果!$B21="",N(对接源_01水果!$AJ21)&lt;=0),0,IF(OR(N(对接源_01水果!$B21)&lt;$AL$2,N(对接源_01水果!$B21)&gt;$AL$3),0,1))</f>
        <v>0</v>
      </c>
      <c r="AM21" s="3">
        <f t="shared" si="13"/>
        <v>0</v>
      </c>
      <c r="AN21" s="3" t="str">
        <f>IF(对接源_01水果!$AC21="","",对接源_01水果!$AC21)</f>
        <v/>
      </c>
      <c r="AO21" s="3">
        <f t="shared" si="14"/>
        <v>0</v>
      </c>
      <c r="AP21" s="3">
        <f t="shared" si="15"/>
        <v>0</v>
      </c>
      <c r="AQ21" s="3" t="str">
        <f t="shared" si="16"/>
        <v/>
      </c>
      <c r="AR21">
        <f t="shared" si="17"/>
        <v>0</v>
      </c>
      <c r="AS21">
        <f t="shared" si="18"/>
        <v>0</v>
      </c>
    </row>
    <row r="22" ht="14.25" customHeight="1" spans="1:45">
      <c r="A22" s="3" t="str">
        <f>IF(对接源_01水果!$C22="","",对接源_01水果!$C22)</f>
        <v>聂新平</v>
      </c>
      <c r="B22" s="3">
        <f t="shared" si="0"/>
        <v>0</v>
      </c>
      <c r="C22" s="3">
        <f t="shared" si="1"/>
        <v>2</v>
      </c>
      <c r="E22" s="3" t="str">
        <f t="shared" si="2"/>
        <v>果然鲜</v>
      </c>
      <c r="K22" s="3">
        <f>IF(OR($K$1="",对接源_01水果!$C22="",对接源_01水果!$C22&lt;&gt;$K$1,对接源_01水果!$B22=""),0,IF(OR(N(对接源_01水果!$B22)&lt;$K$2,N(对接源_01水果!$B22)&gt;$K$3),0,1))</f>
        <v>0</v>
      </c>
      <c r="L22" s="3">
        <f>IF(OR($L$1="",对接源_01水果!$C22="",对接源_01水果!$C22&lt;&gt;$L$1,对接源_01水果!$B22=""),0,IF(OR(N(对接源_01水果!$B22)&lt;$L$2,N(对接源_01水果!$B22)&gt;$L$3),0,1))</f>
        <v>0</v>
      </c>
      <c r="M22" s="3">
        <f>IF(OR($M$1="",对接源_01水果!$C22="",对接源_01水果!$C22&lt;&gt;$M$1,对接源_01水果!$B22=""),0,IF(OR(N(对接源_01水果!$B22)&lt;$M$2,N(对接源_01水果!$B22)&gt;$M$3),0,1))</f>
        <v>0</v>
      </c>
      <c r="N22" s="3">
        <f>IF(OR($N$1="",对接源_01水果!$C22="",对接源_01水果!$C22&lt;&gt;$N$1,对接源_01水果!$B22=""),0,IF(OR(N(对接源_01水果!$B22)&lt;$N$2,N(对接源_01水果!$B22)&gt;$N$3),0,1))</f>
        <v>0</v>
      </c>
      <c r="P22" s="3">
        <f>IF(AND($K22=1,AND(对接源_01水果!$X22="公司筐",N(对接源_01水果!$T22)&lt;&gt;0)),1,0)</f>
        <v>0</v>
      </c>
      <c r="Q22" s="3">
        <f t="shared" si="3"/>
        <v>0</v>
      </c>
      <c r="R22" s="3">
        <f>IF(AND($K22=1,AND(对接源_01水果!$X22="公司筐",N(对接源_01水果!$U22)&lt;&gt;0)),1,0)</f>
        <v>0</v>
      </c>
      <c r="S22" s="3">
        <f t="shared" si="4"/>
        <v>0</v>
      </c>
      <c r="T22" s="3">
        <f>IF(AND($K22=1,AND(对接源_01水果!$X22="公司筐",N(对接源_01水果!$V22)&lt;&gt;0)),1,0)</f>
        <v>0</v>
      </c>
      <c r="U22" s="3">
        <f t="shared" si="5"/>
        <v>0</v>
      </c>
      <c r="V22" s="3">
        <f>IF(AND($L22=1,AND(对接源_01水果!$X22="自备筐",N(对接源_01水果!$V22)&lt;&gt;0)),1,0)</f>
        <v>0</v>
      </c>
      <c r="W22" s="3">
        <f t="shared" si="6"/>
        <v>0</v>
      </c>
      <c r="X22" s="3">
        <f>IF(AND($L22=1,AND(对接源_01水果!$X22="自备筐",N(对接源_01水果!$T22)&lt;&gt;0)),1,0)</f>
        <v>0</v>
      </c>
      <c r="Y22" s="3">
        <f t="shared" si="7"/>
        <v>0</v>
      </c>
      <c r="Z22" s="3">
        <f>IF(AND($M22=1,对接源_01水果!$D22="原料入库"),1,0)</f>
        <v>0</v>
      </c>
      <c r="AA22" s="3">
        <f t="shared" si="8"/>
        <v>0</v>
      </c>
      <c r="AB22" s="3">
        <f>IF(AND($M22=1,LEFT(对接源_01水果!$D22,4)="原料出库"),1,0)</f>
        <v>0</v>
      </c>
      <c r="AC22" s="3">
        <f t="shared" si="9"/>
        <v>0</v>
      </c>
      <c r="AD22" s="3">
        <f>IF(AND($M22=1,LEFT(对接源_01水果!$D22,4)="成品出库"),1,0)</f>
        <v>0</v>
      </c>
      <c r="AE22" s="3">
        <f t="shared" si="10"/>
        <v>0</v>
      </c>
      <c r="AF22" s="3">
        <f>IF(AND($N22=1,AND(LEFT(对接源_01水果!$D22,4)="包装物料",N(对接源_01水果!$K22)&lt;&gt;0)),1,0)</f>
        <v>0</v>
      </c>
      <c r="AG22" s="3">
        <f t="shared" si="11"/>
        <v>0</v>
      </c>
      <c r="AH22" s="3">
        <f>IF(AND($N22=1,AND(对接源_01水果!$D22="周转筐－销售出库",N(对接源_01水果!$K22)&lt;&gt;0)),1,0)</f>
        <v>0</v>
      </c>
      <c r="AI22" s="3">
        <f t="shared" si="12"/>
        <v>0</v>
      </c>
      <c r="AJ22" s="7"/>
      <c r="AL22" s="3">
        <f>IF(OR($AL$1="",对接源_01水果!$Y22="",对接源_01水果!$Y22&lt;&gt;$AL$1,对接源_01水果!$B22="",N(对接源_01水果!$AJ22)&lt;=0),0,IF(OR(N(对接源_01水果!$B22)&lt;$AL$2,N(对接源_01水果!$B22)&gt;$AL$3),0,1))</f>
        <v>0</v>
      </c>
      <c r="AM22" s="3">
        <f t="shared" si="13"/>
        <v>0</v>
      </c>
      <c r="AN22" s="3" t="str">
        <f>IF(对接源_01水果!$AC22="","",对接源_01水果!$AC22)</f>
        <v/>
      </c>
      <c r="AO22" s="3">
        <f t="shared" si="14"/>
        <v>0</v>
      </c>
      <c r="AP22" s="3">
        <f t="shared" si="15"/>
        <v>0</v>
      </c>
      <c r="AQ22" s="3" t="str">
        <f t="shared" si="16"/>
        <v/>
      </c>
      <c r="AR22">
        <f t="shared" si="17"/>
        <v>0</v>
      </c>
      <c r="AS22">
        <f t="shared" si="18"/>
        <v>0</v>
      </c>
    </row>
    <row r="23" ht="14.25" customHeight="1" spans="1:45">
      <c r="A23" s="3" t="str">
        <f>IF(对接源_01水果!$C23="","",对接源_01水果!$C23)</f>
        <v>伍元虎</v>
      </c>
      <c r="B23" s="3">
        <f t="shared" si="0"/>
        <v>1</v>
      </c>
      <c r="C23" s="3">
        <f t="shared" si="1"/>
        <v>3</v>
      </c>
      <c r="E23" s="3" t="str">
        <f t="shared" si="2"/>
        <v>新顺发泡网</v>
      </c>
      <c r="K23" s="3">
        <f>IF(OR($K$1="",对接源_01水果!$C23="",对接源_01水果!$C23&lt;&gt;$K$1,对接源_01水果!$B23=""),0,IF(OR(N(对接源_01水果!$B23)&lt;$K$2,N(对接源_01水果!$B23)&gt;$K$3),0,1))</f>
        <v>0</v>
      </c>
      <c r="L23" s="3">
        <f>IF(OR($L$1="",对接源_01水果!$C23="",对接源_01水果!$C23&lt;&gt;$L$1,对接源_01水果!$B23=""),0,IF(OR(N(对接源_01水果!$B23)&lt;$L$2,N(对接源_01水果!$B23)&gt;$L$3),0,1))</f>
        <v>0</v>
      </c>
      <c r="M23" s="3">
        <f>IF(OR($M$1="",对接源_01水果!$C23="",对接源_01水果!$C23&lt;&gt;$M$1,对接源_01水果!$B23=""),0,IF(OR(N(对接源_01水果!$B23)&lt;$M$2,N(对接源_01水果!$B23)&gt;$M$3),0,1))</f>
        <v>0</v>
      </c>
      <c r="N23" s="3">
        <f>IF(OR($N$1="",对接源_01水果!$C23="",对接源_01水果!$C23&lt;&gt;$N$1,对接源_01水果!$B23=""),0,IF(OR(N(对接源_01水果!$B23)&lt;$N$2,N(对接源_01水果!$B23)&gt;$N$3),0,1))</f>
        <v>0</v>
      </c>
      <c r="P23" s="3">
        <f>IF(AND($K23=1,AND(对接源_01水果!$X23="公司筐",N(对接源_01水果!$T23)&lt;&gt;0)),1,0)</f>
        <v>0</v>
      </c>
      <c r="Q23" s="3">
        <f t="shared" si="3"/>
        <v>0</v>
      </c>
      <c r="R23" s="3">
        <f>IF(AND($K23=1,AND(对接源_01水果!$X23="公司筐",N(对接源_01水果!$U23)&lt;&gt;0)),1,0)</f>
        <v>0</v>
      </c>
      <c r="S23" s="3">
        <f t="shared" si="4"/>
        <v>0</v>
      </c>
      <c r="T23" s="3">
        <f>IF(AND($K23=1,AND(对接源_01水果!$X23="公司筐",N(对接源_01水果!$V23)&lt;&gt;0)),1,0)</f>
        <v>0</v>
      </c>
      <c r="U23" s="3">
        <f t="shared" si="5"/>
        <v>0</v>
      </c>
      <c r="V23" s="3">
        <f>IF(AND($L23=1,AND(对接源_01水果!$X23="自备筐",N(对接源_01水果!$V23)&lt;&gt;0)),1,0)</f>
        <v>0</v>
      </c>
      <c r="W23" s="3">
        <f t="shared" si="6"/>
        <v>0</v>
      </c>
      <c r="X23" s="3">
        <f>IF(AND($L23=1,AND(对接源_01水果!$X23="自备筐",N(对接源_01水果!$T23)&lt;&gt;0)),1,0)</f>
        <v>0</v>
      </c>
      <c r="Y23" s="3">
        <f t="shared" si="7"/>
        <v>0</v>
      </c>
      <c r="Z23" s="3">
        <f>IF(AND($M23=1,对接源_01水果!$D23="原料入库"),1,0)</f>
        <v>0</v>
      </c>
      <c r="AA23" s="3">
        <f t="shared" si="8"/>
        <v>0</v>
      </c>
      <c r="AB23" s="3">
        <f>IF(AND($M23=1,LEFT(对接源_01水果!$D23,4)="原料出库"),1,0)</f>
        <v>0</v>
      </c>
      <c r="AC23" s="3">
        <f t="shared" si="9"/>
        <v>0</v>
      </c>
      <c r="AD23" s="3">
        <f>IF(AND($M23=1,LEFT(对接源_01水果!$D23,4)="成品出库"),1,0)</f>
        <v>0</v>
      </c>
      <c r="AE23" s="3">
        <f t="shared" si="10"/>
        <v>0</v>
      </c>
      <c r="AF23" s="3">
        <f>IF(AND($N23=1,AND(LEFT(对接源_01水果!$D23,4)="包装物料",N(对接源_01水果!$K23)&lt;&gt;0)),1,0)</f>
        <v>0</v>
      </c>
      <c r="AG23" s="3">
        <f t="shared" si="11"/>
        <v>0</v>
      </c>
      <c r="AH23" s="3">
        <f>IF(AND($N23=1,AND(对接源_01水果!$D23="周转筐－销售出库",N(对接源_01水果!$K23)&lt;&gt;0)),1,0)</f>
        <v>0</v>
      </c>
      <c r="AI23" s="3">
        <f t="shared" si="12"/>
        <v>0</v>
      </c>
      <c r="AJ23" s="7"/>
      <c r="AL23" s="3">
        <f>IF(OR($AL$1="",对接源_01水果!$Y23="",对接源_01水果!$Y23&lt;&gt;$AL$1,对接源_01水果!$B23="",N(对接源_01水果!$AJ23)&lt;=0),0,IF(OR(N(对接源_01水果!$B23)&lt;$AL$2,N(对接源_01水果!$B23)&gt;$AL$3),0,1))</f>
        <v>0</v>
      </c>
      <c r="AM23" s="3">
        <f t="shared" si="13"/>
        <v>0</v>
      </c>
      <c r="AN23" s="3" t="str">
        <f>IF(对接源_01水果!$AC23="","",对接源_01水果!$AC23)</f>
        <v/>
      </c>
      <c r="AO23" s="3">
        <f t="shared" si="14"/>
        <v>0</v>
      </c>
      <c r="AP23" s="3">
        <f t="shared" si="15"/>
        <v>0</v>
      </c>
      <c r="AQ23" s="3" t="str">
        <f t="shared" si="16"/>
        <v/>
      </c>
      <c r="AR23">
        <f t="shared" si="17"/>
        <v>0</v>
      </c>
      <c r="AS23">
        <f t="shared" si="18"/>
        <v>0</v>
      </c>
    </row>
    <row r="24" ht="14.25" customHeight="1" spans="1:45">
      <c r="A24" s="3" t="str">
        <f>IF(对接源_01水果!$C24="","",对接源_01水果!$C24)</f>
        <v>王照雪</v>
      </c>
      <c r="B24" s="3">
        <f t="shared" si="0"/>
        <v>0</v>
      </c>
      <c r="C24" s="3">
        <f t="shared" si="1"/>
        <v>3</v>
      </c>
      <c r="E24" s="3" t="str">
        <f t="shared" si="2"/>
        <v>全修塑业</v>
      </c>
      <c r="K24" s="3">
        <f>IF(OR($K$1="",对接源_01水果!$C24="",对接源_01水果!$C24&lt;&gt;$K$1,对接源_01水果!$B24=""),0,IF(OR(N(对接源_01水果!$B24)&lt;$K$2,N(对接源_01水果!$B24)&gt;$K$3),0,1))</f>
        <v>0</v>
      </c>
      <c r="L24" s="3">
        <f>IF(OR($L$1="",对接源_01水果!$C24="",对接源_01水果!$C24&lt;&gt;$L$1,对接源_01水果!$B24=""),0,IF(OR(N(对接源_01水果!$B24)&lt;$L$2,N(对接源_01水果!$B24)&gt;$L$3),0,1))</f>
        <v>0</v>
      </c>
      <c r="M24" s="3">
        <f>IF(OR($M$1="",对接源_01水果!$C24="",对接源_01水果!$C24&lt;&gt;$M$1,对接源_01水果!$B24=""),0,IF(OR(N(对接源_01水果!$B24)&lt;$M$2,N(对接源_01水果!$B24)&gt;$M$3),0,1))</f>
        <v>0</v>
      </c>
      <c r="N24" s="3">
        <f>IF(OR($N$1="",对接源_01水果!$C24="",对接源_01水果!$C24&lt;&gt;$N$1,对接源_01水果!$B24=""),0,IF(OR(N(对接源_01水果!$B24)&lt;$N$2,N(对接源_01水果!$B24)&gt;$N$3),0,1))</f>
        <v>0</v>
      </c>
      <c r="P24" s="3">
        <f>IF(AND($K24=1,AND(对接源_01水果!$X24="公司筐",N(对接源_01水果!$T24)&lt;&gt;0)),1,0)</f>
        <v>0</v>
      </c>
      <c r="Q24" s="3">
        <f t="shared" si="3"/>
        <v>0</v>
      </c>
      <c r="R24" s="3">
        <f>IF(AND($K24=1,AND(对接源_01水果!$X24="公司筐",N(对接源_01水果!$U24)&lt;&gt;0)),1,0)</f>
        <v>0</v>
      </c>
      <c r="S24" s="3">
        <f t="shared" si="4"/>
        <v>0</v>
      </c>
      <c r="T24" s="3">
        <f>IF(AND($K24=1,AND(对接源_01水果!$X24="公司筐",N(对接源_01水果!$V24)&lt;&gt;0)),1,0)</f>
        <v>0</v>
      </c>
      <c r="U24" s="3">
        <f t="shared" si="5"/>
        <v>0</v>
      </c>
      <c r="V24" s="3">
        <f>IF(AND($L24=1,AND(对接源_01水果!$X24="自备筐",N(对接源_01水果!$V24)&lt;&gt;0)),1,0)</f>
        <v>0</v>
      </c>
      <c r="W24" s="3">
        <f t="shared" si="6"/>
        <v>0</v>
      </c>
      <c r="X24" s="3">
        <f>IF(AND($L24=1,AND(对接源_01水果!$X24="自备筐",N(对接源_01水果!$T24)&lt;&gt;0)),1,0)</f>
        <v>0</v>
      </c>
      <c r="Y24" s="3">
        <f t="shared" si="7"/>
        <v>0</v>
      </c>
      <c r="Z24" s="3">
        <f>IF(AND($M24=1,对接源_01水果!$D24="原料入库"),1,0)</f>
        <v>0</v>
      </c>
      <c r="AA24" s="3">
        <f t="shared" si="8"/>
        <v>0</v>
      </c>
      <c r="AB24" s="3">
        <f>IF(AND($M24=1,LEFT(对接源_01水果!$D24,4)="原料出库"),1,0)</f>
        <v>0</v>
      </c>
      <c r="AC24" s="3">
        <f t="shared" si="9"/>
        <v>0</v>
      </c>
      <c r="AD24" s="3">
        <f>IF(AND($M24=1,LEFT(对接源_01水果!$D24,4)="成品出库"),1,0)</f>
        <v>0</v>
      </c>
      <c r="AE24" s="3">
        <f t="shared" si="10"/>
        <v>0</v>
      </c>
      <c r="AF24" s="3">
        <f>IF(AND($N24=1,AND(LEFT(对接源_01水果!$D24,4)="包装物料",N(对接源_01水果!$K24)&lt;&gt;0)),1,0)</f>
        <v>0</v>
      </c>
      <c r="AG24" s="3">
        <f t="shared" si="11"/>
        <v>0</v>
      </c>
      <c r="AH24" s="3">
        <f>IF(AND($N24=1,AND(对接源_01水果!$D24="周转筐－销售出库",N(对接源_01水果!$K24)&lt;&gt;0)),1,0)</f>
        <v>0</v>
      </c>
      <c r="AI24" s="3">
        <f t="shared" si="12"/>
        <v>0</v>
      </c>
      <c r="AJ24" s="7"/>
      <c r="AL24" s="3">
        <f>IF(OR($AL$1="",对接源_01水果!$Y24="",对接源_01水果!$Y24&lt;&gt;$AL$1,对接源_01水果!$B24="",N(对接源_01水果!$AJ24)&lt;=0),0,IF(OR(N(对接源_01水果!$B24)&lt;$AL$2,N(对接源_01水果!$B24)&gt;$AL$3),0,1))</f>
        <v>0</v>
      </c>
      <c r="AM24" s="3">
        <f t="shared" si="13"/>
        <v>0</v>
      </c>
      <c r="AN24" s="3" t="str">
        <f>IF(对接源_01水果!$AC24="","",对接源_01水果!$AC24)</f>
        <v/>
      </c>
      <c r="AO24" s="3">
        <f t="shared" si="14"/>
        <v>0</v>
      </c>
      <c r="AP24" s="3">
        <f t="shared" si="15"/>
        <v>0</v>
      </c>
      <c r="AQ24" s="3" t="str">
        <f t="shared" si="16"/>
        <v/>
      </c>
      <c r="AR24">
        <f t="shared" si="17"/>
        <v>0</v>
      </c>
      <c r="AS24">
        <f t="shared" si="18"/>
        <v>0</v>
      </c>
    </row>
    <row r="25" ht="14.25" customHeight="1" spans="1:45">
      <c r="A25" s="3" t="str">
        <f>IF(对接源_01水果!$C25="","",对接源_01水果!$C25)</f>
        <v>伍元虎</v>
      </c>
      <c r="B25" s="3">
        <f t="shared" si="0"/>
        <v>0</v>
      </c>
      <c r="C25" s="3">
        <f t="shared" si="1"/>
        <v>3</v>
      </c>
      <c r="E25" s="3" t="str">
        <f t="shared" si="2"/>
        <v/>
      </c>
      <c r="K25" s="3">
        <f>IF(OR($K$1="",对接源_01水果!$C25="",对接源_01水果!$C25&lt;&gt;$K$1,对接源_01水果!$B25=""),0,IF(OR(N(对接源_01水果!$B25)&lt;$K$2,N(对接源_01水果!$B25)&gt;$K$3),0,1))</f>
        <v>0</v>
      </c>
      <c r="L25" s="3">
        <f>IF(OR($L$1="",对接源_01水果!$C25="",对接源_01水果!$C25&lt;&gt;$L$1,对接源_01水果!$B25=""),0,IF(OR(N(对接源_01水果!$B25)&lt;$L$2,N(对接源_01水果!$B25)&gt;$L$3),0,1))</f>
        <v>0</v>
      </c>
      <c r="M25" s="3">
        <f>IF(OR($M$1="",对接源_01水果!$C25="",对接源_01水果!$C25&lt;&gt;$M$1,对接源_01水果!$B25=""),0,IF(OR(N(对接源_01水果!$B25)&lt;$M$2,N(对接源_01水果!$B25)&gt;$M$3),0,1))</f>
        <v>0</v>
      </c>
      <c r="N25" s="3">
        <f>IF(OR($N$1="",对接源_01水果!$C25="",对接源_01水果!$C25&lt;&gt;$N$1,对接源_01水果!$B25=""),0,IF(OR(N(对接源_01水果!$B25)&lt;$N$2,N(对接源_01水果!$B25)&gt;$N$3),0,1))</f>
        <v>0</v>
      </c>
      <c r="P25" s="3">
        <f>IF(AND($K25=1,AND(对接源_01水果!$X25="公司筐",N(对接源_01水果!$T25)&lt;&gt;0)),1,0)</f>
        <v>0</v>
      </c>
      <c r="Q25" s="3">
        <f t="shared" si="3"/>
        <v>0</v>
      </c>
      <c r="R25" s="3">
        <f>IF(AND($K25=1,AND(对接源_01水果!$X25="公司筐",N(对接源_01水果!$U25)&lt;&gt;0)),1,0)</f>
        <v>0</v>
      </c>
      <c r="S25" s="3">
        <f t="shared" si="4"/>
        <v>0</v>
      </c>
      <c r="T25" s="3">
        <f>IF(AND($K25=1,AND(对接源_01水果!$X25="公司筐",N(对接源_01水果!$V25)&lt;&gt;0)),1,0)</f>
        <v>0</v>
      </c>
      <c r="U25" s="3">
        <f t="shared" si="5"/>
        <v>0</v>
      </c>
      <c r="V25" s="3">
        <f>IF(AND($L25=1,AND(对接源_01水果!$X25="自备筐",N(对接源_01水果!$V25)&lt;&gt;0)),1,0)</f>
        <v>0</v>
      </c>
      <c r="W25" s="3">
        <f t="shared" si="6"/>
        <v>0</v>
      </c>
      <c r="X25" s="3">
        <f>IF(AND($L25=1,AND(对接源_01水果!$X25="自备筐",N(对接源_01水果!$T25)&lt;&gt;0)),1,0)</f>
        <v>0</v>
      </c>
      <c r="Y25" s="3">
        <f t="shared" si="7"/>
        <v>0</v>
      </c>
      <c r="Z25" s="3">
        <f>IF(AND($M25=1,对接源_01水果!$D25="原料入库"),1,0)</f>
        <v>0</v>
      </c>
      <c r="AA25" s="3">
        <f t="shared" si="8"/>
        <v>0</v>
      </c>
      <c r="AB25" s="3">
        <f>IF(AND($M25=1,LEFT(对接源_01水果!$D25,4)="原料出库"),1,0)</f>
        <v>0</v>
      </c>
      <c r="AC25" s="3">
        <f t="shared" si="9"/>
        <v>0</v>
      </c>
      <c r="AD25" s="3">
        <f>IF(AND($M25=1,LEFT(对接源_01水果!$D25,4)="成品出库"),1,0)</f>
        <v>0</v>
      </c>
      <c r="AE25" s="3">
        <f t="shared" si="10"/>
        <v>0</v>
      </c>
      <c r="AF25" s="3">
        <f>IF(AND($N25=1,AND(LEFT(对接源_01水果!$D25,4)="包装物料",N(对接源_01水果!$K25)&lt;&gt;0)),1,0)</f>
        <v>0</v>
      </c>
      <c r="AG25" s="3">
        <f t="shared" si="11"/>
        <v>0</v>
      </c>
      <c r="AH25" s="3">
        <f>IF(AND($N25=1,AND(对接源_01水果!$D25="周转筐－销售出库",N(对接源_01水果!$K25)&lt;&gt;0)),1,0)</f>
        <v>0</v>
      </c>
      <c r="AI25" s="3">
        <f t="shared" si="12"/>
        <v>0</v>
      </c>
      <c r="AJ25" s="7"/>
      <c r="AL25" s="3">
        <f>IF(OR($AL$1="",对接源_01水果!$Y25="",对接源_01水果!$Y25&lt;&gt;$AL$1,对接源_01水果!$B25="",N(对接源_01水果!$AJ25)&lt;=0),0,IF(OR(N(对接源_01水果!$B25)&lt;$AL$2,N(对接源_01水果!$B25)&gt;$AL$3),0,1))</f>
        <v>0</v>
      </c>
      <c r="AM25" s="3">
        <f t="shared" si="13"/>
        <v>0</v>
      </c>
      <c r="AN25" s="3" t="str">
        <f>IF(对接源_01水果!$AC25="","",对接源_01水果!$AC25)</f>
        <v/>
      </c>
      <c r="AO25" s="3">
        <f t="shared" si="14"/>
        <v>0</v>
      </c>
      <c r="AP25" s="3">
        <f t="shared" si="15"/>
        <v>0</v>
      </c>
      <c r="AQ25" s="3" t="str">
        <f t="shared" si="16"/>
        <v/>
      </c>
      <c r="AR25">
        <f t="shared" si="17"/>
        <v>0</v>
      </c>
      <c r="AS25">
        <f t="shared" si="18"/>
        <v>0</v>
      </c>
    </row>
    <row r="26" ht="14.25" customHeight="1" spans="1:45">
      <c r="A26" s="3" t="str">
        <f>IF(对接源_01水果!$C26="","",对接源_01水果!$C26)</f>
        <v>聂新平</v>
      </c>
      <c r="B26" s="3">
        <f t="shared" si="0"/>
        <v>0</v>
      </c>
      <c r="C26" s="3">
        <f t="shared" si="1"/>
        <v>3</v>
      </c>
      <c r="E26" s="3" t="str">
        <f t="shared" si="2"/>
        <v/>
      </c>
      <c r="K26" s="3">
        <f>IF(OR($K$1="",对接源_01水果!$C26="",对接源_01水果!$C26&lt;&gt;$K$1,对接源_01水果!$B26=""),0,IF(OR(N(对接源_01水果!$B26)&lt;$K$2,N(对接源_01水果!$B26)&gt;$K$3),0,1))</f>
        <v>0</v>
      </c>
      <c r="L26" s="3">
        <f>IF(OR($L$1="",对接源_01水果!$C26="",对接源_01水果!$C26&lt;&gt;$L$1,对接源_01水果!$B26=""),0,IF(OR(N(对接源_01水果!$B26)&lt;$L$2,N(对接源_01水果!$B26)&gt;$L$3),0,1))</f>
        <v>0</v>
      </c>
      <c r="M26" s="3">
        <f>IF(OR($M$1="",对接源_01水果!$C26="",对接源_01水果!$C26&lt;&gt;$M$1,对接源_01水果!$B26=""),0,IF(OR(N(对接源_01水果!$B26)&lt;$M$2,N(对接源_01水果!$B26)&gt;$M$3),0,1))</f>
        <v>0</v>
      </c>
      <c r="N26" s="3">
        <f>IF(OR($N$1="",对接源_01水果!$C26="",对接源_01水果!$C26&lt;&gt;$N$1,对接源_01水果!$B26=""),0,IF(OR(N(对接源_01水果!$B26)&lt;$N$2,N(对接源_01水果!$B26)&gt;$N$3),0,1))</f>
        <v>0</v>
      </c>
      <c r="P26" s="3">
        <f>IF(AND($K26=1,AND(对接源_01水果!$X26="公司筐",N(对接源_01水果!$T26)&lt;&gt;0)),1,0)</f>
        <v>0</v>
      </c>
      <c r="Q26" s="3">
        <f t="shared" si="3"/>
        <v>0</v>
      </c>
      <c r="R26" s="3">
        <f>IF(AND($K26=1,AND(对接源_01水果!$X26="公司筐",N(对接源_01水果!$U26)&lt;&gt;0)),1,0)</f>
        <v>0</v>
      </c>
      <c r="S26" s="3">
        <f t="shared" si="4"/>
        <v>0</v>
      </c>
      <c r="T26" s="3">
        <f>IF(AND($K26=1,AND(对接源_01水果!$X26="公司筐",N(对接源_01水果!$V26)&lt;&gt;0)),1,0)</f>
        <v>0</v>
      </c>
      <c r="U26" s="3">
        <f t="shared" si="5"/>
        <v>0</v>
      </c>
      <c r="V26" s="3">
        <f>IF(AND($L26=1,AND(对接源_01水果!$X26="自备筐",N(对接源_01水果!$V26)&lt;&gt;0)),1,0)</f>
        <v>0</v>
      </c>
      <c r="W26" s="3">
        <f t="shared" si="6"/>
        <v>0</v>
      </c>
      <c r="X26" s="3">
        <f>IF(AND($L26=1,AND(对接源_01水果!$X26="自备筐",N(对接源_01水果!$T26)&lt;&gt;0)),1,0)</f>
        <v>0</v>
      </c>
      <c r="Y26" s="3">
        <f t="shared" si="7"/>
        <v>0</v>
      </c>
      <c r="Z26" s="3">
        <f>IF(AND($M26=1,对接源_01水果!$D26="原料入库"),1,0)</f>
        <v>0</v>
      </c>
      <c r="AA26" s="3">
        <f t="shared" si="8"/>
        <v>0</v>
      </c>
      <c r="AB26" s="3">
        <f>IF(AND($M26=1,LEFT(对接源_01水果!$D26,4)="原料出库"),1,0)</f>
        <v>0</v>
      </c>
      <c r="AC26" s="3">
        <f t="shared" si="9"/>
        <v>0</v>
      </c>
      <c r="AD26" s="3">
        <f>IF(AND($M26=1,LEFT(对接源_01水果!$D26,4)="成品出库"),1,0)</f>
        <v>0</v>
      </c>
      <c r="AE26" s="3">
        <f t="shared" si="10"/>
        <v>0</v>
      </c>
      <c r="AF26" s="3">
        <f>IF(AND($N26=1,AND(LEFT(对接源_01水果!$D26,4)="包装物料",N(对接源_01水果!$K26)&lt;&gt;0)),1,0)</f>
        <v>0</v>
      </c>
      <c r="AG26" s="3">
        <f t="shared" si="11"/>
        <v>0</v>
      </c>
      <c r="AH26" s="3">
        <f>IF(AND($N26=1,AND(对接源_01水果!$D26="周转筐－销售出库",N(对接源_01水果!$K26)&lt;&gt;0)),1,0)</f>
        <v>0</v>
      </c>
      <c r="AI26" s="3">
        <f t="shared" si="12"/>
        <v>0</v>
      </c>
      <c r="AJ26" s="7"/>
      <c r="AL26" s="3">
        <f>IF(OR($AL$1="",对接源_01水果!$Y26="",对接源_01水果!$Y26&lt;&gt;$AL$1,对接源_01水果!$B26="",N(对接源_01水果!$AJ26)&lt;=0),0,IF(OR(N(对接源_01水果!$B26)&lt;$AL$2,N(对接源_01水果!$B26)&gt;$AL$3),0,1))</f>
        <v>0</v>
      </c>
      <c r="AM26" s="3">
        <f t="shared" si="13"/>
        <v>0</v>
      </c>
      <c r="AN26" s="3" t="str">
        <f>IF(对接源_01水果!$AC26="","",对接源_01水果!$AC26)</f>
        <v/>
      </c>
      <c r="AO26" s="3">
        <f t="shared" si="14"/>
        <v>0</v>
      </c>
      <c r="AP26" s="3">
        <f t="shared" si="15"/>
        <v>0</v>
      </c>
      <c r="AQ26" s="3" t="str">
        <f t="shared" si="16"/>
        <v/>
      </c>
      <c r="AR26">
        <f t="shared" si="17"/>
        <v>0</v>
      </c>
      <c r="AS26">
        <f t="shared" si="18"/>
        <v>0</v>
      </c>
    </row>
    <row r="27" ht="14.25" customHeight="1" spans="1:45">
      <c r="A27" s="3" t="str">
        <f>IF(对接源_01水果!$C27="","",对接源_01水果!$C27)</f>
        <v>聂新平</v>
      </c>
      <c r="B27" s="3">
        <f t="shared" si="0"/>
        <v>0</v>
      </c>
      <c r="C27" s="3">
        <f t="shared" si="1"/>
        <v>3</v>
      </c>
      <c r="E27" s="3" t="str">
        <f t="shared" si="2"/>
        <v/>
      </c>
      <c r="K27" s="3">
        <f>IF(OR($K$1="",对接源_01水果!$C27="",对接源_01水果!$C27&lt;&gt;$K$1,对接源_01水果!$B27=""),0,IF(OR(N(对接源_01水果!$B27)&lt;$K$2,N(对接源_01水果!$B27)&gt;$K$3),0,1))</f>
        <v>0</v>
      </c>
      <c r="L27" s="3">
        <f>IF(OR($L$1="",对接源_01水果!$C27="",对接源_01水果!$C27&lt;&gt;$L$1,对接源_01水果!$B27=""),0,IF(OR(N(对接源_01水果!$B27)&lt;$L$2,N(对接源_01水果!$B27)&gt;$L$3),0,1))</f>
        <v>0</v>
      </c>
      <c r="M27" s="3">
        <f>IF(OR($M$1="",对接源_01水果!$C27="",对接源_01水果!$C27&lt;&gt;$M$1,对接源_01水果!$B27=""),0,IF(OR(N(对接源_01水果!$B27)&lt;$M$2,N(对接源_01水果!$B27)&gt;$M$3),0,1))</f>
        <v>0</v>
      </c>
      <c r="N27" s="3">
        <f>IF(OR($N$1="",对接源_01水果!$C27="",对接源_01水果!$C27&lt;&gt;$N$1,对接源_01水果!$B27=""),0,IF(OR(N(对接源_01水果!$B27)&lt;$N$2,N(对接源_01水果!$B27)&gt;$N$3),0,1))</f>
        <v>0</v>
      </c>
      <c r="P27" s="3">
        <f>IF(AND($K27=1,AND(对接源_01水果!$X27="公司筐",N(对接源_01水果!$T27)&lt;&gt;0)),1,0)</f>
        <v>0</v>
      </c>
      <c r="Q27" s="3">
        <f t="shared" si="3"/>
        <v>0</v>
      </c>
      <c r="R27" s="3">
        <f>IF(AND($K27=1,AND(对接源_01水果!$X27="公司筐",N(对接源_01水果!$U27)&lt;&gt;0)),1,0)</f>
        <v>0</v>
      </c>
      <c r="S27" s="3">
        <f t="shared" si="4"/>
        <v>0</v>
      </c>
      <c r="T27" s="3">
        <f>IF(AND($K27=1,AND(对接源_01水果!$X27="公司筐",N(对接源_01水果!$V27)&lt;&gt;0)),1,0)</f>
        <v>0</v>
      </c>
      <c r="U27" s="3">
        <f t="shared" si="5"/>
        <v>0</v>
      </c>
      <c r="V27" s="3">
        <f>IF(AND($L27=1,AND(对接源_01水果!$X27="自备筐",N(对接源_01水果!$V27)&lt;&gt;0)),1,0)</f>
        <v>0</v>
      </c>
      <c r="W27" s="3">
        <f t="shared" si="6"/>
        <v>0</v>
      </c>
      <c r="X27" s="3">
        <f>IF(AND($L27=1,AND(对接源_01水果!$X27="自备筐",N(对接源_01水果!$T27)&lt;&gt;0)),1,0)</f>
        <v>0</v>
      </c>
      <c r="Y27" s="3">
        <f t="shared" si="7"/>
        <v>0</v>
      </c>
      <c r="Z27" s="3">
        <f>IF(AND($M27=1,对接源_01水果!$D27="原料入库"),1,0)</f>
        <v>0</v>
      </c>
      <c r="AA27" s="3">
        <f t="shared" si="8"/>
        <v>0</v>
      </c>
      <c r="AB27" s="3">
        <f>IF(AND($M27=1,LEFT(对接源_01水果!$D27,4)="原料出库"),1,0)</f>
        <v>0</v>
      </c>
      <c r="AC27" s="3">
        <f t="shared" si="9"/>
        <v>0</v>
      </c>
      <c r="AD27" s="3">
        <f>IF(AND($M27=1,LEFT(对接源_01水果!$D27,4)="成品出库"),1,0)</f>
        <v>0</v>
      </c>
      <c r="AE27" s="3">
        <f t="shared" si="10"/>
        <v>0</v>
      </c>
      <c r="AF27" s="3">
        <f>IF(AND($N27=1,AND(LEFT(对接源_01水果!$D27,4)="包装物料",N(对接源_01水果!$K27)&lt;&gt;0)),1,0)</f>
        <v>0</v>
      </c>
      <c r="AG27" s="3">
        <f t="shared" si="11"/>
        <v>0</v>
      </c>
      <c r="AH27" s="3">
        <f>IF(AND($N27=1,AND(对接源_01水果!$D27="周转筐－销售出库",N(对接源_01水果!$K27)&lt;&gt;0)),1,0)</f>
        <v>0</v>
      </c>
      <c r="AI27" s="3">
        <f t="shared" si="12"/>
        <v>0</v>
      </c>
      <c r="AJ27" s="7"/>
      <c r="AL27" s="3">
        <f>IF(OR($AL$1="",对接源_01水果!$Y27="",对接源_01水果!$Y27&lt;&gt;$AL$1,对接源_01水果!$B27="",N(对接源_01水果!$AJ27)&lt;=0),0,IF(OR(N(对接源_01水果!$B27)&lt;$AL$2,N(对接源_01水果!$B27)&gt;$AL$3),0,1))</f>
        <v>0</v>
      </c>
      <c r="AM27" s="3">
        <f t="shared" si="13"/>
        <v>0</v>
      </c>
      <c r="AN27" s="3" t="str">
        <f>IF(对接源_01水果!$AC27="","",对接源_01水果!$AC27)</f>
        <v/>
      </c>
      <c r="AO27" s="3">
        <f t="shared" si="14"/>
        <v>0</v>
      </c>
      <c r="AP27" s="3">
        <f t="shared" si="15"/>
        <v>0</v>
      </c>
      <c r="AQ27" s="3" t="str">
        <f t="shared" si="16"/>
        <v/>
      </c>
      <c r="AR27">
        <f t="shared" si="17"/>
        <v>0</v>
      </c>
      <c r="AS27">
        <f t="shared" si="18"/>
        <v>0</v>
      </c>
    </row>
    <row r="28" ht="14.25" customHeight="1" spans="1:45">
      <c r="A28" s="3" t="str">
        <f>IF(对接源_01水果!$C28="","",对接源_01水果!$C28)</f>
        <v>王照雪</v>
      </c>
      <c r="B28" s="3">
        <f t="shared" si="0"/>
        <v>0</v>
      </c>
      <c r="C28" s="3">
        <f t="shared" si="1"/>
        <v>3</v>
      </c>
      <c r="E28" s="3" t="str">
        <f t="shared" si="2"/>
        <v/>
      </c>
      <c r="K28" s="3">
        <f>IF(OR($K$1="",对接源_01水果!$C28="",对接源_01水果!$C28&lt;&gt;$K$1,对接源_01水果!$B28=""),0,IF(OR(N(对接源_01水果!$B28)&lt;$K$2,N(对接源_01水果!$B28)&gt;$K$3),0,1))</f>
        <v>0</v>
      </c>
      <c r="L28" s="3">
        <f>IF(OR($L$1="",对接源_01水果!$C28="",对接源_01水果!$C28&lt;&gt;$L$1,对接源_01水果!$B28=""),0,IF(OR(N(对接源_01水果!$B28)&lt;$L$2,N(对接源_01水果!$B28)&gt;$L$3),0,1))</f>
        <v>0</v>
      </c>
      <c r="M28" s="3">
        <f>IF(OR($M$1="",对接源_01水果!$C28="",对接源_01水果!$C28&lt;&gt;$M$1,对接源_01水果!$B28=""),0,IF(OR(N(对接源_01水果!$B28)&lt;$M$2,N(对接源_01水果!$B28)&gt;$M$3),0,1))</f>
        <v>0</v>
      </c>
      <c r="N28" s="3">
        <f>IF(OR($N$1="",对接源_01水果!$C28="",对接源_01水果!$C28&lt;&gt;$N$1,对接源_01水果!$B28=""),0,IF(OR(N(对接源_01水果!$B28)&lt;$N$2,N(对接源_01水果!$B28)&gt;$N$3),0,1))</f>
        <v>0</v>
      </c>
      <c r="P28" s="3">
        <f>IF(AND($K28=1,AND(对接源_01水果!$X28="公司筐",N(对接源_01水果!$T28)&lt;&gt;0)),1,0)</f>
        <v>0</v>
      </c>
      <c r="Q28" s="3">
        <f t="shared" si="3"/>
        <v>0</v>
      </c>
      <c r="R28" s="3">
        <f>IF(AND($K28=1,AND(对接源_01水果!$X28="公司筐",N(对接源_01水果!$U28)&lt;&gt;0)),1,0)</f>
        <v>0</v>
      </c>
      <c r="S28" s="3">
        <f t="shared" si="4"/>
        <v>0</v>
      </c>
      <c r="T28" s="3">
        <f>IF(AND($K28=1,AND(对接源_01水果!$X28="公司筐",N(对接源_01水果!$V28)&lt;&gt;0)),1,0)</f>
        <v>0</v>
      </c>
      <c r="U28" s="3">
        <f t="shared" si="5"/>
        <v>0</v>
      </c>
      <c r="V28" s="3">
        <f>IF(AND($L28=1,AND(对接源_01水果!$X28="自备筐",N(对接源_01水果!$V28)&lt;&gt;0)),1,0)</f>
        <v>0</v>
      </c>
      <c r="W28" s="3">
        <f t="shared" si="6"/>
        <v>0</v>
      </c>
      <c r="X28" s="3">
        <f>IF(AND($L28=1,AND(对接源_01水果!$X28="自备筐",N(对接源_01水果!$T28)&lt;&gt;0)),1,0)</f>
        <v>0</v>
      </c>
      <c r="Y28" s="3">
        <f t="shared" si="7"/>
        <v>0</v>
      </c>
      <c r="Z28" s="3">
        <f>IF(AND($M28=1,对接源_01水果!$D28="原料入库"),1,0)</f>
        <v>0</v>
      </c>
      <c r="AA28" s="3">
        <f t="shared" si="8"/>
        <v>0</v>
      </c>
      <c r="AB28" s="3">
        <f>IF(AND($M28=1,LEFT(对接源_01水果!$D28,4)="原料出库"),1,0)</f>
        <v>0</v>
      </c>
      <c r="AC28" s="3">
        <f t="shared" si="9"/>
        <v>0</v>
      </c>
      <c r="AD28" s="3">
        <f>IF(AND($M28=1,LEFT(对接源_01水果!$D28,4)="成品出库"),1,0)</f>
        <v>0</v>
      </c>
      <c r="AE28" s="3">
        <f t="shared" si="10"/>
        <v>0</v>
      </c>
      <c r="AF28" s="3">
        <f>IF(AND($N28=1,AND(LEFT(对接源_01水果!$D28,4)="包装物料",N(对接源_01水果!$K28)&lt;&gt;0)),1,0)</f>
        <v>0</v>
      </c>
      <c r="AG28" s="3">
        <f t="shared" si="11"/>
        <v>0</v>
      </c>
      <c r="AH28" s="3">
        <f>IF(AND($N28=1,AND(对接源_01水果!$D28="周转筐－销售出库",N(对接源_01水果!$K28)&lt;&gt;0)),1,0)</f>
        <v>0</v>
      </c>
      <c r="AI28" s="3">
        <f t="shared" si="12"/>
        <v>0</v>
      </c>
      <c r="AJ28" s="7"/>
      <c r="AL28" s="3">
        <f>IF(OR($AL$1="",对接源_01水果!$Y28="",对接源_01水果!$Y28&lt;&gt;$AL$1,对接源_01水果!$B28="",N(对接源_01水果!$AJ28)&lt;=0),0,IF(OR(N(对接源_01水果!$B28)&lt;$AL$2,N(对接源_01水果!$B28)&gt;$AL$3),0,1))</f>
        <v>0</v>
      </c>
      <c r="AM28" s="3">
        <f t="shared" si="13"/>
        <v>0</v>
      </c>
      <c r="AN28" s="3" t="str">
        <f>IF(对接源_01水果!$AC28="","",对接源_01水果!$AC28)</f>
        <v/>
      </c>
      <c r="AO28" s="3">
        <f t="shared" si="14"/>
        <v>0</v>
      </c>
      <c r="AP28" s="3">
        <f t="shared" si="15"/>
        <v>0</v>
      </c>
      <c r="AQ28" s="3" t="str">
        <f t="shared" si="16"/>
        <v/>
      </c>
      <c r="AR28">
        <f t="shared" si="17"/>
        <v>0</v>
      </c>
      <c r="AS28">
        <f t="shared" si="18"/>
        <v>0</v>
      </c>
    </row>
    <row r="29" ht="14.25" customHeight="1" spans="1:45">
      <c r="A29" s="3" t="str">
        <f>IF(对接源_01水果!$C29="","",对接源_01水果!$C29)</f>
        <v>聂新平</v>
      </c>
      <c r="B29" s="3">
        <f t="shared" si="0"/>
        <v>0</v>
      </c>
      <c r="C29" s="3">
        <f t="shared" si="1"/>
        <v>3</v>
      </c>
      <c r="E29" s="3" t="str">
        <f t="shared" si="2"/>
        <v/>
      </c>
      <c r="K29" s="3">
        <f>IF(OR($K$1="",对接源_01水果!$C29="",对接源_01水果!$C29&lt;&gt;$K$1,对接源_01水果!$B29=""),0,IF(OR(N(对接源_01水果!$B29)&lt;$K$2,N(对接源_01水果!$B29)&gt;$K$3),0,1))</f>
        <v>0</v>
      </c>
      <c r="L29" s="3">
        <f>IF(OR($L$1="",对接源_01水果!$C29="",对接源_01水果!$C29&lt;&gt;$L$1,对接源_01水果!$B29=""),0,IF(OR(N(对接源_01水果!$B29)&lt;$L$2,N(对接源_01水果!$B29)&gt;$L$3),0,1))</f>
        <v>0</v>
      </c>
      <c r="M29" s="3">
        <f>IF(OR($M$1="",对接源_01水果!$C29="",对接源_01水果!$C29&lt;&gt;$M$1,对接源_01水果!$B29=""),0,IF(OR(N(对接源_01水果!$B29)&lt;$M$2,N(对接源_01水果!$B29)&gt;$M$3),0,1))</f>
        <v>0</v>
      </c>
      <c r="N29" s="3">
        <f>IF(OR($N$1="",对接源_01水果!$C29="",对接源_01水果!$C29&lt;&gt;$N$1,对接源_01水果!$B29=""),0,IF(OR(N(对接源_01水果!$B29)&lt;$N$2,N(对接源_01水果!$B29)&gt;$N$3),0,1))</f>
        <v>0</v>
      </c>
      <c r="P29" s="3">
        <f>IF(AND($K29=1,AND(对接源_01水果!$X29="公司筐",N(对接源_01水果!$T29)&lt;&gt;0)),1,0)</f>
        <v>0</v>
      </c>
      <c r="Q29" s="3">
        <f t="shared" si="3"/>
        <v>0</v>
      </c>
      <c r="R29" s="3">
        <f>IF(AND($K29=1,AND(对接源_01水果!$X29="公司筐",N(对接源_01水果!$U29)&lt;&gt;0)),1,0)</f>
        <v>0</v>
      </c>
      <c r="S29" s="3">
        <f t="shared" si="4"/>
        <v>0</v>
      </c>
      <c r="T29" s="3">
        <f>IF(AND($K29=1,AND(对接源_01水果!$X29="公司筐",N(对接源_01水果!$V29)&lt;&gt;0)),1,0)</f>
        <v>0</v>
      </c>
      <c r="U29" s="3">
        <f t="shared" si="5"/>
        <v>0</v>
      </c>
      <c r="V29" s="3">
        <f>IF(AND($L29=1,AND(对接源_01水果!$X29="自备筐",N(对接源_01水果!$V29)&lt;&gt;0)),1,0)</f>
        <v>0</v>
      </c>
      <c r="W29" s="3">
        <f t="shared" si="6"/>
        <v>0</v>
      </c>
      <c r="X29" s="3">
        <f>IF(AND($L29=1,AND(对接源_01水果!$X29="自备筐",N(对接源_01水果!$T29)&lt;&gt;0)),1,0)</f>
        <v>0</v>
      </c>
      <c r="Y29" s="3">
        <f t="shared" si="7"/>
        <v>0</v>
      </c>
      <c r="Z29" s="3">
        <f>IF(AND($M29=1,对接源_01水果!$D29="原料入库"),1,0)</f>
        <v>0</v>
      </c>
      <c r="AA29" s="3">
        <f t="shared" si="8"/>
        <v>0</v>
      </c>
      <c r="AB29" s="3">
        <f>IF(AND($M29=1,LEFT(对接源_01水果!$D29,4)="原料出库"),1,0)</f>
        <v>0</v>
      </c>
      <c r="AC29" s="3">
        <f t="shared" si="9"/>
        <v>0</v>
      </c>
      <c r="AD29" s="3">
        <f>IF(AND($M29=1,LEFT(对接源_01水果!$D29,4)="成品出库"),1,0)</f>
        <v>0</v>
      </c>
      <c r="AE29" s="3">
        <f t="shared" si="10"/>
        <v>0</v>
      </c>
      <c r="AF29" s="3">
        <f>IF(AND($N29=1,AND(LEFT(对接源_01水果!$D29,4)="包装物料",N(对接源_01水果!$K29)&lt;&gt;0)),1,0)</f>
        <v>0</v>
      </c>
      <c r="AG29" s="3">
        <f t="shared" si="11"/>
        <v>0</v>
      </c>
      <c r="AH29" s="3">
        <f>IF(AND($N29=1,AND(对接源_01水果!$D29="周转筐－销售出库",N(对接源_01水果!$K29)&lt;&gt;0)),1,0)</f>
        <v>0</v>
      </c>
      <c r="AI29" s="3">
        <f t="shared" si="12"/>
        <v>0</v>
      </c>
      <c r="AJ29" s="7"/>
      <c r="AL29" s="3">
        <f>IF(OR($AL$1="",对接源_01水果!$Y29="",对接源_01水果!$Y29&lt;&gt;$AL$1,对接源_01水果!$B29="",N(对接源_01水果!$AJ29)&lt;=0),0,IF(OR(N(对接源_01水果!$B29)&lt;$AL$2,N(对接源_01水果!$B29)&gt;$AL$3),0,1))</f>
        <v>0</v>
      </c>
      <c r="AM29" s="3">
        <f t="shared" si="13"/>
        <v>0</v>
      </c>
      <c r="AN29" s="3" t="str">
        <f>IF(对接源_01水果!$AC29="","",对接源_01水果!$AC29)</f>
        <v/>
      </c>
      <c r="AO29" s="3">
        <f t="shared" si="14"/>
        <v>0</v>
      </c>
      <c r="AP29" s="3">
        <f t="shared" si="15"/>
        <v>0</v>
      </c>
      <c r="AQ29" s="3" t="str">
        <f t="shared" si="16"/>
        <v/>
      </c>
      <c r="AR29">
        <f t="shared" si="17"/>
        <v>0</v>
      </c>
      <c r="AS29">
        <f t="shared" si="18"/>
        <v>0</v>
      </c>
    </row>
    <row r="30" ht="14.25" customHeight="1" spans="1:45">
      <c r="A30" s="3" t="str">
        <f>IF(对接源_01水果!$C30="","",对接源_01水果!$C30)</f>
        <v>聂新平</v>
      </c>
      <c r="B30" s="3">
        <f t="shared" si="0"/>
        <v>0</v>
      </c>
      <c r="C30" s="3">
        <f t="shared" si="1"/>
        <v>3</v>
      </c>
      <c r="E30" s="3" t="str">
        <f t="shared" si="2"/>
        <v/>
      </c>
      <c r="K30" s="3">
        <f>IF(OR($K$1="",对接源_01水果!$C30="",对接源_01水果!$C30&lt;&gt;$K$1,对接源_01水果!$B30=""),0,IF(OR(N(对接源_01水果!$B30)&lt;$K$2,N(对接源_01水果!$B30)&gt;$K$3),0,1))</f>
        <v>0</v>
      </c>
      <c r="L30" s="3">
        <f>IF(OR($L$1="",对接源_01水果!$C30="",对接源_01水果!$C30&lt;&gt;$L$1,对接源_01水果!$B30=""),0,IF(OR(N(对接源_01水果!$B30)&lt;$L$2,N(对接源_01水果!$B30)&gt;$L$3),0,1))</f>
        <v>0</v>
      </c>
      <c r="M30" s="3">
        <f>IF(OR($M$1="",对接源_01水果!$C30="",对接源_01水果!$C30&lt;&gt;$M$1,对接源_01水果!$B30=""),0,IF(OR(N(对接源_01水果!$B30)&lt;$M$2,N(对接源_01水果!$B30)&gt;$M$3),0,1))</f>
        <v>0</v>
      </c>
      <c r="N30" s="3">
        <f>IF(OR($N$1="",对接源_01水果!$C30="",对接源_01水果!$C30&lt;&gt;$N$1,对接源_01水果!$B30=""),0,IF(OR(N(对接源_01水果!$B30)&lt;$N$2,N(对接源_01水果!$B30)&gt;$N$3),0,1))</f>
        <v>0</v>
      </c>
      <c r="P30" s="3">
        <f>IF(AND($K30=1,AND(对接源_01水果!$X30="公司筐",N(对接源_01水果!$T30)&lt;&gt;0)),1,0)</f>
        <v>0</v>
      </c>
      <c r="Q30" s="3">
        <f t="shared" si="3"/>
        <v>0</v>
      </c>
      <c r="R30" s="3">
        <f>IF(AND($K30=1,AND(对接源_01水果!$X30="公司筐",N(对接源_01水果!$U30)&lt;&gt;0)),1,0)</f>
        <v>0</v>
      </c>
      <c r="S30" s="3">
        <f t="shared" si="4"/>
        <v>0</v>
      </c>
      <c r="T30" s="3">
        <f>IF(AND($K30=1,AND(对接源_01水果!$X30="公司筐",N(对接源_01水果!$V30)&lt;&gt;0)),1,0)</f>
        <v>0</v>
      </c>
      <c r="U30" s="3">
        <f t="shared" si="5"/>
        <v>0</v>
      </c>
      <c r="V30" s="3">
        <f>IF(AND($L30=1,AND(对接源_01水果!$X30="自备筐",N(对接源_01水果!$V30)&lt;&gt;0)),1,0)</f>
        <v>0</v>
      </c>
      <c r="W30" s="3">
        <f t="shared" si="6"/>
        <v>0</v>
      </c>
      <c r="X30" s="3">
        <f>IF(AND($L30=1,AND(对接源_01水果!$X30="自备筐",N(对接源_01水果!$T30)&lt;&gt;0)),1,0)</f>
        <v>0</v>
      </c>
      <c r="Y30" s="3">
        <f t="shared" si="7"/>
        <v>0</v>
      </c>
      <c r="Z30" s="3">
        <f>IF(AND($M30=1,对接源_01水果!$D30="原料入库"),1,0)</f>
        <v>0</v>
      </c>
      <c r="AA30" s="3">
        <f t="shared" si="8"/>
        <v>0</v>
      </c>
      <c r="AB30" s="3">
        <f>IF(AND($M30=1,LEFT(对接源_01水果!$D30,4)="原料出库"),1,0)</f>
        <v>0</v>
      </c>
      <c r="AC30" s="3">
        <f t="shared" si="9"/>
        <v>0</v>
      </c>
      <c r="AD30" s="3">
        <f>IF(AND($M30=1,LEFT(对接源_01水果!$D30,4)="成品出库"),1,0)</f>
        <v>0</v>
      </c>
      <c r="AE30" s="3">
        <f t="shared" si="10"/>
        <v>0</v>
      </c>
      <c r="AF30" s="3">
        <f>IF(AND($N30=1,AND(LEFT(对接源_01水果!$D30,4)="包装物料",N(对接源_01水果!$K30)&lt;&gt;0)),1,0)</f>
        <v>0</v>
      </c>
      <c r="AG30" s="3">
        <f t="shared" si="11"/>
        <v>0</v>
      </c>
      <c r="AH30" s="3">
        <f>IF(AND($N30=1,AND(对接源_01水果!$D30="周转筐－销售出库",N(对接源_01水果!$K30)&lt;&gt;0)),1,0)</f>
        <v>0</v>
      </c>
      <c r="AI30" s="3">
        <f t="shared" si="12"/>
        <v>0</v>
      </c>
      <c r="AJ30" s="7"/>
      <c r="AL30" s="3">
        <f>IF(OR($AL$1="",对接源_01水果!$Y30="",对接源_01水果!$Y30&lt;&gt;$AL$1,对接源_01水果!$B30="",N(对接源_01水果!$AJ30)&lt;=0),0,IF(OR(N(对接源_01水果!$B30)&lt;$AL$2,N(对接源_01水果!$B30)&gt;$AL$3),0,1))</f>
        <v>0</v>
      </c>
      <c r="AM30" s="3">
        <f t="shared" si="13"/>
        <v>0</v>
      </c>
      <c r="AN30" s="3" t="str">
        <f>IF(对接源_01水果!$AC30="","",对接源_01水果!$AC30)</f>
        <v/>
      </c>
      <c r="AO30" s="3">
        <f t="shared" si="14"/>
        <v>0</v>
      </c>
      <c r="AP30" s="3">
        <f t="shared" si="15"/>
        <v>0</v>
      </c>
      <c r="AQ30" s="3" t="str">
        <f t="shared" si="16"/>
        <v/>
      </c>
      <c r="AR30">
        <f t="shared" si="17"/>
        <v>0</v>
      </c>
      <c r="AS30">
        <f t="shared" si="18"/>
        <v>0</v>
      </c>
    </row>
    <row r="31" ht="14.25" customHeight="1" spans="1:45">
      <c r="A31" s="3" t="str">
        <f>IF(对接源_01水果!$C31="","",对接源_01水果!$C31)</f>
        <v>伍元虎</v>
      </c>
      <c r="B31" s="3">
        <f t="shared" si="0"/>
        <v>0</v>
      </c>
      <c r="C31" s="3">
        <f t="shared" si="1"/>
        <v>3</v>
      </c>
      <c r="E31" s="3" t="str">
        <f t="shared" si="2"/>
        <v/>
      </c>
      <c r="K31" s="3">
        <f>IF(OR($K$1="",对接源_01水果!$C31="",对接源_01水果!$C31&lt;&gt;$K$1,对接源_01水果!$B31=""),0,IF(OR(N(对接源_01水果!$B31)&lt;$K$2,N(对接源_01水果!$B31)&gt;$K$3),0,1))</f>
        <v>0</v>
      </c>
      <c r="L31" s="3">
        <f>IF(OR($L$1="",对接源_01水果!$C31="",对接源_01水果!$C31&lt;&gt;$L$1,对接源_01水果!$B31=""),0,IF(OR(N(对接源_01水果!$B31)&lt;$L$2,N(对接源_01水果!$B31)&gt;$L$3),0,1))</f>
        <v>0</v>
      </c>
      <c r="M31" s="3">
        <f>IF(OR($M$1="",对接源_01水果!$C31="",对接源_01水果!$C31&lt;&gt;$M$1,对接源_01水果!$B31=""),0,IF(OR(N(对接源_01水果!$B31)&lt;$M$2,N(对接源_01水果!$B31)&gt;$M$3),0,1))</f>
        <v>0</v>
      </c>
      <c r="N31" s="3">
        <f>IF(OR($N$1="",对接源_01水果!$C31="",对接源_01水果!$C31&lt;&gt;$N$1,对接源_01水果!$B31=""),0,IF(OR(N(对接源_01水果!$B31)&lt;$N$2,N(对接源_01水果!$B31)&gt;$N$3),0,1))</f>
        <v>0</v>
      </c>
      <c r="P31" s="3">
        <f>IF(AND($K31=1,AND(对接源_01水果!$X31="公司筐",N(对接源_01水果!$T31)&lt;&gt;0)),1,0)</f>
        <v>0</v>
      </c>
      <c r="Q31" s="3">
        <f t="shared" si="3"/>
        <v>0</v>
      </c>
      <c r="R31" s="3">
        <f>IF(AND($K31=1,AND(对接源_01水果!$X31="公司筐",N(对接源_01水果!$U31)&lt;&gt;0)),1,0)</f>
        <v>0</v>
      </c>
      <c r="S31" s="3">
        <f t="shared" si="4"/>
        <v>0</v>
      </c>
      <c r="T31" s="3">
        <f>IF(AND($K31=1,AND(对接源_01水果!$X31="公司筐",N(对接源_01水果!$V31)&lt;&gt;0)),1,0)</f>
        <v>0</v>
      </c>
      <c r="U31" s="3">
        <f t="shared" si="5"/>
        <v>0</v>
      </c>
      <c r="V31" s="3">
        <f>IF(AND($L31=1,AND(对接源_01水果!$X31="自备筐",N(对接源_01水果!$V31)&lt;&gt;0)),1,0)</f>
        <v>0</v>
      </c>
      <c r="W31" s="3">
        <f t="shared" si="6"/>
        <v>0</v>
      </c>
      <c r="X31" s="3">
        <f>IF(AND($L31=1,AND(对接源_01水果!$X31="自备筐",N(对接源_01水果!$T31)&lt;&gt;0)),1,0)</f>
        <v>0</v>
      </c>
      <c r="Y31" s="3">
        <f t="shared" si="7"/>
        <v>0</v>
      </c>
      <c r="Z31" s="3">
        <f>IF(AND($M31=1,对接源_01水果!$D31="原料入库"),1,0)</f>
        <v>0</v>
      </c>
      <c r="AA31" s="3">
        <f t="shared" si="8"/>
        <v>0</v>
      </c>
      <c r="AB31" s="3">
        <f>IF(AND($M31=1,LEFT(对接源_01水果!$D31,4)="原料出库"),1,0)</f>
        <v>0</v>
      </c>
      <c r="AC31" s="3">
        <f t="shared" si="9"/>
        <v>0</v>
      </c>
      <c r="AD31" s="3">
        <f>IF(AND($M31=1,LEFT(对接源_01水果!$D31,4)="成品出库"),1,0)</f>
        <v>0</v>
      </c>
      <c r="AE31" s="3">
        <f t="shared" si="10"/>
        <v>0</v>
      </c>
      <c r="AF31" s="3">
        <f>IF(AND($N31=1,AND(LEFT(对接源_01水果!$D31,4)="包装物料",N(对接源_01水果!$K31)&lt;&gt;0)),1,0)</f>
        <v>0</v>
      </c>
      <c r="AG31" s="3">
        <f t="shared" si="11"/>
        <v>0</v>
      </c>
      <c r="AH31" s="3">
        <f>IF(AND($N31=1,AND(对接源_01水果!$D31="周转筐－销售出库",N(对接源_01水果!$K31)&lt;&gt;0)),1,0)</f>
        <v>0</v>
      </c>
      <c r="AI31" s="3">
        <f t="shared" si="12"/>
        <v>0</v>
      </c>
      <c r="AJ31" s="7"/>
      <c r="AL31" s="3">
        <f>IF(OR($AL$1="",对接源_01水果!$Y31="",对接源_01水果!$Y31&lt;&gt;$AL$1,对接源_01水果!$B31="",N(对接源_01水果!$AJ31)&lt;=0),0,IF(OR(N(对接源_01水果!$B31)&lt;$AL$2,N(对接源_01水果!$B31)&gt;$AL$3),0,1))</f>
        <v>0</v>
      </c>
      <c r="AM31" s="3">
        <f t="shared" si="13"/>
        <v>0</v>
      </c>
      <c r="AN31" s="3" t="str">
        <f>IF(对接源_01水果!$AC31="","",对接源_01水果!$AC31)</f>
        <v/>
      </c>
      <c r="AO31" s="3">
        <f t="shared" si="14"/>
        <v>0</v>
      </c>
      <c r="AP31" s="3">
        <f t="shared" si="15"/>
        <v>0</v>
      </c>
      <c r="AQ31" s="3" t="str">
        <f t="shared" si="16"/>
        <v/>
      </c>
      <c r="AR31">
        <f t="shared" si="17"/>
        <v>0</v>
      </c>
      <c r="AS31">
        <f t="shared" si="18"/>
        <v>0</v>
      </c>
    </row>
    <row r="32" ht="14.25" customHeight="1" spans="1:45">
      <c r="A32" s="3" t="str">
        <f>IF(对接源_01水果!$C32="","",对接源_01水果!$C32)</f>
        <v>聂新平</v>
      </c>
      <c r="B32" s="3">
        <f t="shared" si="0"/>
        <v>0</v>
      </c>
      <c r="C32" s="3">
        <f t="shared" si="1"/>
        <v>3</v>
      </c>
      <c r="E32" s="3" t="str">
        <f t="shared" si="2"/>
        <v/>
      </c>
      <c r="K32" s="3">
        <f>IF(OR($K$1="",对接源_01水果!$C32="",对接源_01水果!$C32&lt;&gt;$K$1,对接源_01水果!$B32=""),0,IF(OR(N(对接源_01水果!$B32)&lt;$K$2,N(对接源_01水果!$B32)&gt;$K$3),0,1))</f>
        <v>0</v>
      </c>
      <c r="L32" s="3">
        <f>IF(OR($L$1="",对接源_01水果!$C32="",对接源_01水果!$C32&lt;&gt;$L$1,对接源_01水果!$B32=""),0,IF(OR(N(对接源_01水果!$B32)&lt;$L$2,N(对接源_01水果!$B32)&gt;$L$3),0,1))</f>
        <v>0</v>
      </c>
      <c r="M32" s="3">
        <f>IF(OR($M$1="",对接源_01水果!$C32="",对接源_01水果!$C32&lt;&gt;$M$1,对接源_01水果!$B32=""),0,IF(OR(N(对接源_01水果!$B32)&lt;$M$2,N(对接源_01水果!$B32)&gt;$M$3),0,1))</f>
        <v>0</v>
      </c>
      <c r="N32" s="3">
        <f>IF(OR($N$1="",对接源_01水果!$C32="",对接源_01水果!$C32&lt;&gt;$N$1,对接源_01水果!$B32=""),0,IF(OR(N(对接源_01水果!$B32)&lt;$N$2,N(对接源_01水果!$B32)&gt;$N$3),0,1))</f>
        <v>0</v>
      </c>
      <c r="P32" s="3">
        <f>IF(AND($K32=1,AND(对接源_01水果!$X32="公司筐",N(对接源_01水果!$T32)&lt;&gt;0)),1,0)</f>
        <v>0</v>
      </c>
      <c r="Q32" s="3">
        <f t="shared" si="3"/>
        <v>0</v>
      </c>
      <c r="R32" s="3">
        <f>IF(AND($K32=1,AND(对接源_01水果!$X32="公司筐",N(对接源_01水果!$U32)&lt;&gt;0)),1,0)</f>
        <v>0</v>
      </c>
      <c r="S32" s="3">
        <f t="shared" si="4"/>
        <v>0</v>
      </c>
      <c r="T32" s="3">
        <f>IF(AND($K32=1,AND(对接源_01水果!$X32="公司筐",N(对接源_01水果!$V32)&lt;&gt;0)),1,0)</f>
        <v>0</v>
      </c>
      <c r="U32" s="3">
        <f t="shared" si="5"/>
        <v>0</v>
      </c>
      <c r="V32" s="3">
        <f>IF(AND($L32=1,AND(对接源_01水果!$X32="自备筐",N(对接源_01水果!$V32)&lt;&gt;0)),1,0)</f>
        <v>0</v>
      </c>
      <c r="W32" s="3">
        <f t="shared" si="6"/>
        <v>0</v>
      </c>
      <c r="X32" s="3">
        <f>IF(AND($L32=1,AND(对接源_01水果!$X32="自备筐",N(对接源_01水果!$T32)&lt;&gt;0)),1,0)</f>
        <v>0</v>
      </c>
      <c r="Y32" s="3">
        <f t="shared" si="7"/>
        <v>0</v>
      </c>
      <c r="Z32" s="3">
        <f>IF(AND($M32=1,对接源_01水果!$D32="原料入库"),1,0)</f>
        <v>0</v>
      </c>
      <c r="AA32" s="3">
        <f t="shared" si="8"/>
        <v>0</v>
      </c>
      <c r="AB32" s="3">
        <f>IF(AND($M32=1,LEFT(对接源_01水果!$D32,4)="原料出库"),1,0)</f>
        <v>0</v>
      </c>
      <c r="AC32" s="3">
        <f t="shared" si="9"/>
        <v>0</v>
      </c>
      <c r="AD32" s="3">
        <f>IF(AND($M32=1,LEFT(对接源_01水果!$D32,4)="成品出库"),1,0)</f>
        <v>0</v>
      </c>
      <c r="AE32" s="3">
        <f t="shared" si="10"/>
        <v>0</v>
      </c>
      <c r="AF32" s="3">
        <f>IF(AND($N32=1,AND(LEFT(对接源_01水果!$D32,4)="包装物料",N(对接源_01水果!$K32)&lt;&gt;0)),1,0)</f>
        <v>0</v>
      </c>
      <c r="AG32" s="3">
        <f t="shared" si="11"/>
        <v>0</v>
      </c>
      <c r="AH32" s="3">
        <f>IF(AND($N32=1,AND(对接源_01水果!$D32="周转筐－销售出库",N(对接源_01水果!$K32)&lt;&gt;0)),1,0)</f>
        <v>0</v>
      </c>
      <c r="AI32" s="3">
        <f t="shared" si="12"/>
        <v>0</v>
      </c>
      <c r="AJ32" s="7"/>
      <c r="AL32" s="3">
        <f>IF(OR($AL$1="",对接源_01水果!$Y32="",对接源_01水果!$Y32&lt;&gt;$AL$1,对接源_01水果!$B32="",N(对接源_01水果!$AJ32)&lt;=0),0,IF(OR(N(对接源_01水果!$B32)&lt;$AL$2,N(对接源_01水果!$B32)&gt;$AL$3),0,1))</f>
        <v>0</v>
      </c>
      <c r="AM32" s="3">
        <f t="shared" si="13"/>
        <v>0</v>
      </c>
      <c r="AN32" s="3" t="str">
        <f>IF(对接源_01水果!$AC32="","",对接源_01水果!$AC32)</f>
        <v/>
      </c>
      <c r="AO32" s="3">
        <f t="shared" si="14"/>
        <v>0</v>
      </c>
      <c r="AP32" s="3">
        <f t="shared" si="15"/>
        <v>0</v>
      </c>
      <c r="AQ32" s="3" t="str">
        <f t="shared" si="16"/>
        <v/>
      </c>
      <c r="AR32">
        <f t="shared" si="17"/>
        <v>0</v>
      </c>
      <c r="AS32">
        <f t="shared" si="18"/>
        <v>0</v>
      </c>
    </row>
    <row r="33" ht="14.25" customHeight="1" spans="1:45">
      <c r="A33" s="3" t="str">
        <f>IF(对接源_01水果!$C33="","",对接源_01水果!$C33)</f>
        <v>聂新平</v>
      </c>
      <c r="B33" s="3">
        <f t="shared" si="0"/>
        <v>0</v>
      </c>
      <c r="C33" s="3">
        <f t="shared" si="1"/>
        <v>3</v>
      </c>
      <c r="E33" s="3" t="str">
        <f t="shared" si="2"/>
        <v/>
      </c>
      <c r="K33" s="3">
        <f>IF(OR($K$1="",对接源_01水果!$C33="",对接源_01水果!$C33&lt;&gt;$K$1,对接源_01水果!$B33=""),0,IF(OR(N(对接源_01水果!$B33)&lt;$K$2,N(对接源_01水果!$B33)&gt;$K$3),0,1))</f>
        <v>0</v>
      </c>
      <c r="L33" s="3">
        <f>IF(OR($L$1="",对接源_01水果!$C33="",对接源_01水果!$C33&lt;&gt;$L$1,对接源_01水果!$B33=""),0,IF(OR(N(对接源_01水果!$B33)&lt;$L$2,N(对接源_01水果!$B33)&gt;$L$3),0,1))</f>
        <v>0</v>
      </c>
      <c r="M33" s="3">
        <f>IF(OR($M$1="",对接源_01水果!$C33="",对接源_01水果!$C33&lt;&gt;$M$1,对接源_01水果!$B33=""),0,IF(OR(N(对接源_01水果!$B33)&lt;$M$2,N(对接源_01水果!$B33)&gt;$M$3),0,1))</f>
        <v>0</v>
      </c>
      <c r="N33" s="3">
        <f>IF(OR($N$1="",对接源_01水果!$C33="",对接源_01水果!$C33&lt;&gt;$N$1,对接源_01水果!$B33=""),0,IF(OR(N(对接源_01水果!$B33)&lt;$N$2,N(对接源_01水果!$B33)&gt;$N$3),0,1))</f>
        <v>0</v>
      </c>
      <c r="P33" s="3">
        <f>IF(AND($K33=1,AND(对接源_01水果!$X33="公司筐",N(对接源_01水果!$T33)&lt;&gt;0)),1,0)</f>
        <v>0</v>
      </c>
      <c r="Q33" s="3">
        <f t="shared" si="3"/>
        <v>0</v>
      </c>
      <c r="R33" s="3">
        <f>IF(AND($K33=1,AND(对接源_01水果!$X33="公司筐",N(对接源_01水果!$U33)&lt;&gt;0)),1,0)</f>
        <v>0</v>
      </c>
      <c r="S33" s="3">
        <f t="shared" si="4"/>
        <v>0</v>
      </c>
      <c r="T33" s="3">
        <f>IF(AND($K33=1,AND(对接源_01水果!$X33="公司筐",N(对接源_01水果!$V33)&lt;&gt;0)),1,0)</f>
        <v>0</v>
      </c>
      <c r="U33" s="3">
        <f t="shared" si="5"/>
        <v>0</v>
      </c>
      <c r="V33" s="3">
        <f>IF(AND($L33=1,AND(对接源_01水果!$X33="自备筐",N(对接源_01水果!$V33)&lt;&gt;0)),1,0)</f>
        <v>0</v>
      </c>
      <c r="W33" s="3">
        <f t="shared" si="6"/>
        <v>0</v>
      </c>
      <c r="X33" s="3">
        <f>IF(AND($L33=1,AND(对接源_01水果!$X33="自备筐",N(对接源_01水果!$T33)&lt;&gt;0)),1,0)</f>
        <v>0</v>
      </c>
      <c r="Y33" s="3">
        <f t="shared" si="7"/>
        <v>0</v>
      </c>
      <c r="Z33" s="3">
        <f>IF(AND($M33=1,对接源_01水果!$D33="原料入库"),1,0)</f>
        <v>0</v>
      </c>
      <c r="AA33" s="3">
        <f t="shared" si="8"/>
        <v>0</v>
      </c>
      <c r="AB33" s="3">
        <f>IF(AND($M33=1,LEFT(对接源_01水果!$D33,4)="原料出库"),1,0)</f>
        <v>0</v>
      </c>
      <c r="AC33" s="3">
        <f t="shared" si="9"/>
        <v>0</v>
      </c>
      <c r="AD33" s="3">
        <f>IF(AND($M33=1,LEFT(对接源_01水果!$D33,4)="成品出库"),1,0)</f>
        <v>0</v>
      </c>
      <c r="AE33" s="3">
        <f t="shared" si="10"/>
        <v>0</v>
      </c>
      <c r="AF33" s="3">
        <f>IF(AND($N33=1,AND(LEFT(对接源_01水果!$D33,4)="包装物料",N(对接源_01水果!$K33)&lt;&gt;0)),1,0)</f>
        <v>0</v>
      </c>
      <c r="AG33" s="3">
        <f t="shared" si="11"/>
        <v>0</v>
      </c>
      <c r="AH33" s="3">
        <f>IF(AND($N33=1,AND(对接源_01水果!$D33="周转筐－销售出库",N(对接源_01水果!$K33)&lt;&gt;0)),1,0)</f>
        <v>0</v>
      </c>
      <c r="AI33" s="3">
        <f t="shared" si="12"/>
        <v>0</v>
      </c>
      <c r="AJ33" s="7"/>
      <c r="AL33" s="3">
        <f>IF(OR($AL$1="",对接源_01水果!$Y33="",对接源_01水果!$Y33&lt;&gt;$AL$1,对接源_01水果!$B33="",N(对接源_01水果!$AJ33)&lt;=0),0,IF(OR(N(对接源_01水果!$B33)&lt;$AL$2,N(对接源_01水果!$B33)&gt;$AL$3),0,1))</f>
        <v>0</v>
      </c>
      <c r="AM33" s="3">
        <f t="shared" si="13"/>
        <v>0</v>
      </c>
      <c r="AN33" s="3" t="str">
        <f>IF(对接源_01水果!$AC33="","",对接源_01水果!$AC33)</f>
        <v/>
      </c>
      <c r="AO33" s="3">
        <f t="shared" si="14"/>
        <v>0</v>
      </c>
      <c r="AP33" s="3">
        <f t="shared" si="15"/>
        <v>0</v>
      </c>
      <c r="AQ33" s="3" t="str">
        <f t="shared" si="16"/>
        <v/>
      </c>
      <c r="AR33">
        <f t="shared" si="17"/>
        <v>0</v>
      </c>
      <c r="AS33">
        <f t="shared" si="18"/>
        <v>0</v>
      </c>
    </row>
    <row r="34" ht="14.25" customHeight="1" spans="1:45">
      <c r="A34" s="3" t="str">
        <f>IF(对接源_01水果!$C34="","",对接源_01水果!$C34)</f>
        <v>聂新平</v>
      </c>
      <c r="B34" s="3">
        <f t="shared" si="0"/>
        <v>0</v>
      </c>
      <c r="C34" s="3">
        <f t="shared" si="1"/>
        <v>3</v>
      </c>
      <c r="E34" s="3" t="str">
        <f t="shared" si="2"/>
        <v/>
      </c>
      <c r="K34" s="3">
        <f>IF(OR($K$1="",对接源_01水果!$C34="",对接源_01水果!$C34&lt;&gt;$K$1,对接源_01水果!$B34=""),0,IF(OR(N(对接源_01水果!$B34)&lt;$K$2,N(对接源_01水果!$B34)&gt;$K$3),0,1))</f>
        <v>0</v>
      </c>
      <c r="L34" s="3">
        <f>IF(OR($L$1="",对接源_01水果!$C34="",对接源_01水果!$C34&lt;&gt;$L$1,对接源_01水果!$B34=""),0,IF(OR(N(对接源_01水果!$B34)&lt;$L$2,N(对接源_01水果!$B34)&gt;$L$3),0,1))</f>
        <v>0</v>
      </c>
      <c r="M34" s="3">
        <f>IF(OR($M$1="",对接源_01水果!$C34="",对接源_01水果!$C34&lt;&gt;$M$1,对接源_01水果!$B34=""),0,IF(OR(N(对接源_01水果!$B34)&lt;$M$2,N(对接源_01水果!$B34)&gt;$M$3),0,1))</f>
        <v>0</v>
      </c>
      <c r="N34" s="3">
        <f>IF(OR($N$1="",对接源_01水果!$C34="",对接源_01水果!$C34&lt;&gt;$N$1,对接源_01水果!$B34=""),0,IF(OR(N(对接源_01水果!$B34)&lt;$N$2,N(对接源_01水果!$B34)&gt;$N$3),0,1))</f>
        <v>0</v>
      </c>
      <c r="P34" s="3">
        <f>IF(AND($K34=1,AND(对接源_01水果!$X34="公司筐",N(对接源_01水果!$T34)&lt;&gt;0)),1,0)</f>
        <v>0</v>
      </c>
      <c r="Q34" s="3">
        <f t="shared" si="3"/>
        <v>0</v>
      </c>
      <c r="R34" s="3">
        <f>IF(AND($K34=1,AND(对接源_01水果!$X34="公司筐",N(对接源_01水果!$U34)&lt;&gt;0)),1,0)</f>
        <v>0</v>
      </c>
      <c r="S34" s="3">
        <f t="shared" si="4"/>
        <v>0</v>
      </c>
      <c r="T34" s="3">
        <f>IF(AND($K34=1,AND(对接源_01水果!$X34="公司筐",N(对接源_01水果!$V34)&lt;&gt;0)),1,0)</f>
        <v>0</v>
      </c>
      <c r="U34" s="3">
        <f t="shared" si="5"/>
        <v>0</v>
      </c>
      <c r="V34" s="3">
        <f>IF(AND($L34=1,AND(对接源_01水果!$X34="自备筐",N(对接源_01水果!$V34)&lt;&gt;0)),1,0)</f>
        <v>0</v>
      </c>
      <c r="W34" s="3">
        <f t="shared" si="6"/>
        <v>0</v>
      </c>
      <c r="X34" s="3">
        <f>IF(AND($L34=1,AND(对接源_01水果!$X34="自备筐",N(对接源_01水果!$T34)&lt;&gt;0)),1,0)</f>
        <v>0</v>
      </c>
      <c r="Y34" s="3">
        <f t="shared" si="7"/>
        <v>0</v>
      </c>
      <c r="Z34" s="3">
        <f>IF(AND($M34=1,对接源_01水果!$D34="原料入库"),1,0)</f>
        <v>0</v>
      </c>
      <c r="AA34" s="3">
        <f t="shared" si="8"/>
        <v>0</v>
      </c>
      <c r="AB34" s="3">
        <f>IF(AND($M34=1,LEFT(对接源_01水果!$D34,4)="原料出库"),1,0)</f>
        <v>0</v>
      </c>
      <c r="AC34" s="3">
        <f t="shared" si="9"/>
        <v>0</v>
      </c>
      <c r="AD34" s="3">
        <f>IF(AND($M34=1,LEFT(对接源_01水果!$D34,4)="成品出库"),1,0)</f>
        <v>0</v>
      </c>
      <c r="AE34" s="3">
        <f t="shared" si="10"/>
        <v>0</v>
      </c>
      <c r="AF34" s="3">
        <f>IF(AND($N34=1,AND(LEFT(对接源_01水果!$D34,4)="包装物料",N(对接源_01水果!$K34)&lt;&gt;0)),1,0)</f>
        <v>0</v>
      </c>
      <c r="AG34" s="3">
        <f t="shared" si="11"/>
        <v>0</v>
      </c>
      <c r="AH34" s="3">
        <f>IF(AND($N34=1,AND(对接源_01水果!$D34="周转筐－销售出库",N(对接源_01水果!$K34)&lt;&gt;0)),1,0)</f>
        <v>0</v>
      </c>
      <c r="AI34" s="3">
        <f t="shared" si="12"/>
        <v>0</v>
      </c>
      <c r="AJ34" s="7"/>
      <c r="AL34" s="3">
        <f>IF(OR($AL$1="",对接源_01水果!$Y34="",对接源_01水果!$Y34&lt;&gt;$AL$1,对接源_01水果!$B34="",N(对接源_01水果!$AJ34)&lt;=0),0,IF(OR(N(对接源_01水果!$B34)&lt;$AL$2,N(对接源_01水果!$B34)&gt;$AL$3),0,1))</f>
        <v>0</v>
      </c>
      <c r="AM34" s="3">
        <f t="shared" si="13"/>
        <v>0</v>
      </c>
      <c r="AN34" s="3" t="str">
        <f>IF(对接源_01水果!$AC34="","",对接源_01水果!$AC34)</f>
        <v/>
      </c>
      <c r="AO34" s="3">
        <f t="shared" si="14"/>
        <v>0</v>
      </c>
      <c r="AP34" s="3">
        <f t="shared" si="15"/>
        <v>0</v>
      </c>
      <c r="AQ34" s="3" t="str">
        <f t="shared" si="16"/>
        <v/>
      </c>
      <c r="AR34">
        <f t="shared" si="17"/>
        <v>0</v>
      </c>
      <c r="AS34">
        <f t="shared" si="18"/>
        <v>0</v>
      </c>
    </row>
    <row r="35" ht="14.25" customHeight="1" spans="1:45">
      <c r="A35" s="3" t="str">
        <f>IF(对接源_01水果!$C35="","",对接源_01水果!$C35)</f>
        <v>聂新平</v>
      </c>
      <c r="B35" s="3">
        <f t="shared" si="0"/>
        <v>0</v>
      </c>
      <c r="C35" s="3">
        <f t="shared" si="1"/>
        <v>3</v>
      </c>
      <c r="E35" s="3" t="str">
        <f t="shared" si="2"/>
        <v/>
      </c>
      <c r="K35" s="3">
        <f>IF(OR($K$1="",对接源_01水果!$C35="",对接源_01水果!$C35&lt;&gt;$K$1,对接源_01水果!$B35=""),0,IF(OR(N(对接源_01水果!$B35)&lt;$K$2,N(对接源_01水果!$B35)&gt;$K$3),0,1))</f>
        <v>0</v>
      </c>
      <c r="L35" s="3">
        <f>IF(OR($L$1="",对接源_01水果!$C35="",对接源_01水果!$C35&lt;&gt;$L$1,对接源_01水果!$B35=""),0,IF(OR(N(对接源_01水果!$B35)&lt;$L$2,N(对接源_01水果!$B35)&gt;$L$3),0,1))</f>
        <v>0</v>
      </c>
      <c r="M35" s="3">
        <f>IF(OR($M$1="",对接源_01水果!$C35="",对接源_01水果!$C35&lt;&gt;$M$1,对接源_01水果!$B35=""),0,IF(OR(N(对接源_01水果!$B35)&lt;$M$2,N(对接源_01水果!$B35)&gt;$M$3),0,1))</f>
        <v>0</v>
      </c>
      <c r="N35" s="3">
        <f>IF(OR($N$1="",对接源_01水果!$C35="",对接源_01水果!$C35&lt;&gt;$N$1,对接源_01水果!$B35=""),0,IF(OR(N(对接源_01水果!$B35)&lt;$N$2,N(对接源_01水果!$B35)&gt;$N$3),0,1))</f>
        <v>0</v>
      </c>
      <c r="P35" s="3">
        <f>IF(AND($K35=1,AND(对接源_01水果!$X35="公司筐",N(对接源_01水果!$T35)&lt;&gt;0)),1,0)</f>
        <v>0</v>
      </c>
      <c r="Q35" s="3">
        <f t="shared" si="3"/>
        <v>0</v>
      </c>
      <c r="R35" s="3">
        <f>IF(AND($K35=1,AND(对接源_01水果!$X35="公司筐",N(对接源_01水果!$U35)&lt;&gt;0)),1,0)</f>
        <v>0</v>
      </c>
      <c r="S35" s="3">
        <f t="shared" si="4"/>
        <v>0</v>
      </c>
      <c r="T35" s="3">
        <f>IF(AND($K35=1,AND(对接源_01水果!$X35="公司筐",N(对接源_01水果!$V35)&lt;&gt;0)),1,0)</f>
        <v>0</v>
      </c>
      <c r="U35" s="3">
        <f t="shared" si="5"/>
        <v>0</v>
      </c>
      <c r="V35" s="3">
        <f>IF(AND($L35=1,AND(对接源_01水果!$X35="自备筐",N(对接源_01水果!$V35)&lt;&gt;0)),1,0)</f>
        <v>0</v>
      </c>
      <c r="W35" s="3">
        <f t="shared" si="6"/>
        <v>0</v>
      </c>
      <c r="X35" s="3">
        <f>IF(AND($L35=1,AND(对接源_01水果!$X35="自备筐",N(对接源_01水果!$T35)&lt;&gt;0)),1,0)</f>
        <v>0</v>
      </c>
      <c r="Y35" s="3">
        <f t="shared" si="7"/>
        <v>0</v>
      </c>
      <c r="Z35" s="3">
        <f>IF(AND($M35=1,对接源_01水果!$D35="原料入库"),1,0)</f>
        <v>0</v>
      </c>
      <c r="AA35" s="3">
        <f t="shared" si="8"/>
        <v>0</v>
      </c>
      <c r="AB35" s="3">
        <f>IF(AND($M35=1,LEFT(对接源_01水果!$D35,4)="原料出库"),1,0)</f>
        <v>0</v>
      </c>
      <c r="AC35" s="3">
        <f t="shared" si="9"/>
        <v>0</v>
      </c>
      <c r="AD35" s="3">
        <f>IF(AND($M35=1,LEFT(对接源_01水果!$D35,4)="成品出库"),1,0)</f>
        <v>0</v>
      </c>
      <c r="AE35" s="3">
        <f t="shared" si="10"/>
        <v>0</v>
      </c>
      <c r="AF35" s="3">
        <f>IF(AND($N35=1,AND(LEFT(对接源_01水果!$D35,4)="包装物料",N(对接源_01水果!$K35)&lt;&gt;0)),1,0)</f>
        <v>0</v>
      </c>
      <c r="AG35" s="3">
        <f t="shared" si="11"/>
        <v>0</v>
      </c>
      <c r="AH35" s="3">
        <f>IF(AND($N35=1,AND(对接源_01水果!$D35="周转筐－销售出库",N(对接源_01水果!$K35)&lt;&gt;0)),1,0)</f>
        <v>0</v>
      </c>
      <c r="AI35" s="3">
        <f t="shared" si="12"/>
        <v>0</v>
      </c>
      <c r="AJ35" s="7"/>
      <c r="AL35" s="3">
        <f>IF(OR($AL$1="",对接源_01水果!$Y35="",对接源_01水果!$Y35&lt;&gt;$AL$1,对接源_01水果!$B35="",N(对接源_01水果!$AJ35)&lt;=0),0,IF(OR(N(对接源_01水果!$B35)&lt;$AL$2,N(对接源_01水果!$B35)&gt;$AL$3),0,1))</f>
        <v>0</v>
      </c>
      <c r="AM35" s="3">
        <f t="shared" si="13"/>
        <v>0</v>
      </c>
      <c r="AN35" s="3" t="str">
        <f>IF(对接源_01水果!$AC35="","",对接源_01水果!$AC35)</f>
        <v/>
      </c>
      <c r="AO35" s="3">
        <f t="shared" si="14"/>
        <v>0</v>
      </c>
      <c r="AP35" s="3">
        <f t="shared" si="15"/>
        <v>0</v>
      </c>
      <c r="AQ35" s="3" t="str">
        <f t="shared" si="16"/>
        <v/>
      </c>
      <c r="AR35">
        <f t="shared" si="17"/>
        <v>0</v>
      </c>
      <c r="AS35">
        <f t="shared" si="18"/>
        <v>0</v>
      </c>
    </row>
    <row r="36" ht="14.25" customHeight="1" spans="1:45">
      <c r="A36" s="3" t="str">
        <f>IF(对接源_01水果!$C36="","",对接源_01水果!$C36)</f>
        <v>聂新平</v>
      </c>
      <c r="B36" s="3">
        <f t="shared" si="0"/>
        <v>0</v>
      </c>
      <c r="C36" s="3">
        <f t="shared" si="1"/>
        <v>3</v>
      </c>
      <c r="E36" s="3" t="str">
        <f t="shared" si="2"/>
        <v/>
      </c>
      <c r="K36" s="3">
        <f>IF(OR($K$1="",对接源_01水果!$C36="",对接源_01水果!$C36&lt;&gt;$K$1,对接源_01水果!$B36=""),0,IF(OR(N(对接源_01水果!$B36)&lt;$K$2,N(对接源_01水果!$B36)&gt;$K$3),0,1))</f>
        <v>0</v>
      </c>
      <c r="L36" s="3">
        <f>IF(OR($L$1="",对接源_01水果!$C36="",对接源_01水果!$C36&lt;&gt;$L$1,对接源_01水果!$B36=""),0,IF(OR(N(对接源_01水果!$B36)&lt;$L$2,N(对接源_01水果!$B36)&gt;$L$3),0,1))</f>
        <v>0</v>
      </c>
      <c r="M36" s="3">
        <f>IF(OR($M$1="",对接源_01水果!$C36="",对接源_01水果!$C36&lt;&gt;$M$1,对接源_01水果!$B36=""),0,IF(OR(N(对接源_01水果!$B36)&lt;$M$2,N(对接源_01水果!$B36)&gt;$M$3),0,1))</f>
        <v>0</v>
      </c>
      <c r="N36" s="3">
        <f>IF(OR($N$1="",对接源_01水果!$C36="",对接源_01水果!$C36&lt;&gt;$N$1,对接源_01水果!$B36=""),0,IF(OR(N(对接源_01水果!$B36)&lt;$N$2,N(对接源_01水果!$B36)&gt;$N$3),0,1))</f>
        <v>0</v>
      </c>
      <c r="P36" s="3">
        <f>IF(AND($K36=1,AND(对接源_01水果!$X36="公司筐",N(对接源_01水果!$T36)&lt;&gt;0)),1,0)</f>
        <v>0</v>
      </c>
      <c r="Q36" s="3">
        <f t="shared" si="3"/>
        <v>0</v>
      </c>
      <c r="R36" s="3">
        <f>IF(AND($K36=1,AND(对接源_01水果!$X36="公司筐",N(对接源_01水果!$U36)&lt;&gt;0)),1,0)</f>
        <v>0</v>
      </c>
      <c r="S36" s="3">
        <f t="shared" si="4"/>
        <v>0</v>
      </c>
      <c r="T36" s="3">
        <f>IF(AND($K36=1,AND(对接源_01水果!$X36="公司筐",N(对接源_01水果!$V36)&lt;&gt;0)),1,0)</f>
        <v>0</v>
      </c>
      <c r="U36" s="3">
        <f t="shared" si="5"/>
        <v>0</v>
      </c>
      <c r="V36" s="3">
        <f>IF(AND($L36=1,AND(对接源_01水果!$X36="自备筐",N(对接源_01水果!$V36)&lt;&gt;0)),1,0)</f>
        <v>0</v>
      </c>
      <c r="W36" s="3">
        <f t="shared" si="6"/>
        <v>0</v>
      </c>
      <c r="X36" s="3">
        <f>IF(AND($L36=1,AND(对接源_01水果!$X36="自备筐",N(对接源_01水果!$T36)&lt;&gt;0)),1,0)</f>
        <v>0</v>
      </c>
      <c r="Y36" s="3">
        <f t="shared" si="7"/>
        <v>0</v>
      </c>
      <c r="Z36" s="3">
        <f>IF(AND($M36=1,对接源_01水果!$D36="原料入库"),1,0)</f>
        <v>0</v>
      </c>
      <c r="AA36" s="3">
        <f t="shared" si="8"/>
        <v>0</v>
      </c>
      <c r="AB36" s="3">
        <f>IF(AND($M36=1,LEFT(对接源_01水果!$D36,4)="原料出库"),1,0)</f>
        <v>0</v>
      </c>
      <c r="AC36" s="3">
        <f t="shared" si="9"/>
        <v>0</v>
      </c>
      <c r="AD36" s="3">
        <f>IF(AND($M36=1,LEFT(对接源_01水果!$D36,4)="成品出库"),1,0)</f>
        <v>0</v>
      </c>
      <c r="AE36" s="3">
        <f t="shared" si="10"/>
        <v>0</v>
      </c>
      <c r="AF36" s="3">
        <f>IF(AND($N36=1,AND(LEFT(对接源_01水果!$D36,4)="包装物料",N(对接源_01水果!$K36)&lt;&gt;0)),1,0)</f>
        <v>0</v>
      </c>
      <c r="AG36" s="3">
        <f t="shared" si="11"/>
        <v>0</v>
      </c>
      <c r="AH36" s="3">
        <f>IF(AND($N36=1,AND(对接源_01水果!$D36="周转筐－销售出库",N(对接源_01水果!$K36)&lt;&gt;0)),1,0)</f>
        <v>0</v>
      </c>
      <c r="AI36" s="3">
        <f t="shared" si="12"/>
        <v>0</v>
      </c>
      <c r="AJ36" s="7"/>
      <c r="AL36" s="3">
        <f>IF(OR($AL$1="",对接源_01水果!$Y36="",对接源_01水果!$Y36&lt;&gt;$AL$1,对接源_01水果!$B36="",N(对接源_01水果!$AJ36)&lt;=0),0,IF(OR(N(对接源_01水果!$B36)&lt;$AL$2,N(对接源_01水果!$B36)&gt;$AL$3),0,1))</f>
        <v>0</v>
      </c>
      <c r="AM36" s="3">
        <f t="shared" si="13"/>
        <v>0</v>
      </c>
      <c r="AN36" s="3" t="str">
        <f>IF(对接源_01水果!$AC36="","",对接源_01水果!$AC36)</f>
        <v/>
      </c>
      <c r="AO36" s="3">
        <f t="shared" si="14"/>
        <v>0</v>
      </c>
      <c r="AP36" s="3">
        <f t="shared" si="15"/>
        <v>0</v>
      </c>
      <c r="AQ36" s="3" t="str">
        <f t="shared" si="16"/>
        <v/>
      </c>
      <c r="AR36">
        <f t="shared" si="17"/>
        <v>0</v>
      </c>
      <c r="AS36">
        <f t="shared" si="18"/>
        <v>0</v>
      </c>
    </row>
    <row r="37" ht="14.25" customHeight="1" spans="1:45">
      <c r="A37" s="3" t="str">
        <f>IF(对接源_01水果!$C37="","",对接源_01水果!$C37)</f>
        <v>王照雪</v>
      </c>
      <c r="B37" s="3">
        <f t="shared" si="0"/>
        <v>0</v>
      </c>
      <c r="C37" s="3">
        <f t="shared" si="1"/>
        <v>3</v>
      </c>
      <c r="E37" s="3" t="str">
        <f t="shared" si="2"/>
        <v/>
      </c>
      <c r="K37" s="3">
        <f>IF(OR($K$1="",对接源_01水果!$C37="",对接源_01水果!$C37&lt;&gt;$K$1,对接源_01水果!$B37=""),0,IF(OR(N(对接源_01水果!$B37)&lt;$K$2,N(对接源_01水果!$B37)&gt;$K$3),0,1))</f>
        <v>0</v>
      </c>
      <c r="L37" s="3">
        <f>IF(OR($L$1="",对接源_01水果!$C37="",对接源_01水果!$C37&lt;&gt;$L$1,对接源_01水果!$B37=""),0,IF(OR(N(对接源_01水果!$B37)&lt;$L$2,N(对接源_01水果!$B37)&gt;$L$3),0,1))</f>
        <v>0</v>
      </c>
      <c r="M37" s="3">
        <f>IF(OR($M$1="",对接源_01水果!$C37="",对接源_01水果!$C37&lt;&gt;$M$1,对接源_01水果!$B37=""),0,IF(OR(N(对接源_01水果!$B37)&lt;$M$2,N(对接源_01水果!$B37)&gt;$M$3),0,1))</f>
        <v>0</v>
      </c>
      <c r="N37" s="3">
        <f>IF(OR($N$1="",对接源_01水果!$C37="",对接源_01水果!$C37&lt;&gt;$N$1,对接源_01水果!$B37=""),0,IF(OR(N(对接源_01水果!$B37)&lt;$N$2,N(对接源_01水果!$B37)&gt;$N$3),0,1))</f>
        <v>0</v>
      </c>
      <c r="P37" s="3">
        <f>IF(AND($K37=1,AND(对接源_01水果!$X37="公司筐",N(对接源_01水果!$T37)&lt;&gt;0)),1,0)</f>
        <v>0</v>
      </c>
      <c r="Q37" s="3">
        <f t="shared" si="3"/>
        <v>0</v>
      </c>
      <c r="R37" s="3">
        <f>IF(AND($K37=1,AND(对接源_01水果!$X37="公司筐",N(对接源_01水果!$U37)&lt;&gt;0)),1,0)</f>
        <v>0</v>
      </c>
      <c r="S37" s="3">
        <f t="shared" si="4"/>
        <v>0</v>
      </c>
      <c r="T37" s="3">
        <f>IF(AND($K37=1,AND(对接源_01水果!$X37="公司筐",N(对接源_01水果!$V37)&lt;&gt;0)),1,0)</f>
        <v>0</v>
      </c>
      <c r="U37" s="3">
        <f t="shared" si="5"/>
        <v>0</v>
      </c>
      <c r="V37" s="3">
        <f>IF(AND($L37=1,AND(对接源_01水果!$X37="自备筐",N(对接源_01水果!$V37)&lt;&gt;0)),1,0)</f>
        <v>0</v>
      </c>
      <c r="W37" s="3">
        <f t="shared" si="6"/>
        <v>0</v>
      </c>
      <c r="X37" s="3">
        <f>IF(AND($L37=1,AND(对接源_01水果!$X37="自备筐",N(对接源_01水果!$T37)&lt;&gt;0)),1,0)</f>
        <v>0</v>
      </c>
      <c r="Y37" s="3">
        <f t="shared" si="7"/>
        <v>0</v>
      </c>
      <c r="Z37" s="3">
        <f>IF(AND($M37=1,对接源_01水果!$D37="原料入库"),1,0)</f>
        <v>0</v>
      </c>
      <c r="AA37" s="3">
        <f t="shared" si="8"/>
        <v>0</v>
      </c>
      <c r="AB37" s="3">
        <f>IF(AND($M37=1,LEFT(对接源_01水果!$D37,4)="原料出库"),1,0)</f>
        <v>0</v>
      </c>
      <c r="AC37" s="3">
        <f t="shared" si="9"/>
        <v>0</v>
      </c>
      <c r="AD37" s="3">
        <f>IF(AND($M37=1,LEFT(对接源_01水果!$D37,4)="成品出库"),1,0)</f>
        <v>0</v>
      </c>
      <c r="AE37" s="3">
        <f t="shared" si="10"/>
        <v>0</v>
      </c>
      <c r="AF37" s="3">
        <f>IF(AND($N37=1,AND(LEFT(对接源_01水果!$D37,4)="包装物料",N(对接源_01水果!$K37)&lt;&gt;0)),1,0)</f>
        <v>0</v>
      </c>
      <c r="AG37" s="3">
        <f t="shared" si="11"/>
        <v>0</v>
      </c>
      <c r="AH37" s="3">
        <f>IF(AND($N37=1,AND(对接源_01水果!$D37="周转筐－销售出库",N(对接源_01水果!$K37)&lt;&gt;0)),1,0)</f>
        <v>0</v>
      </c>
      <c r="AI37" s="3">
        <f t="shared" si="12"/>
        <v>0</v>
      </c>
      <c r="AJ37" s="7"/>
      <c r="AL37" s="3">
        <f>IF(OR($AL$1="",对接源_01水果!$Y37="",对接源_01水果!$Y37&lt;&gt;$AL$1,对接源_01水果!$B37="",N(对接源_01水果!$AJ37)&lt;=0),0,IF(OR(N(对接源_01水果!$B37)&lt;$AL$2,N(对接源_01水果!$B37)&gt;$AL$3),0,1))</f>
        <v>0</v>
      </c>
      <c r="AM37" s="3">
        <f t="shared" si="13"/>
        <v>0</v>
      </c>
      <c r="AN37" s="3" t="str">
        <f>IF(对接源_01水果!$AC37="","",对接源_01水果!$AC37)</f>
        <v/>
      </c>
      <c r="AO37" s="3">
        <f t="shared" si="14"/>
        <v>0</v>
      </c>
      <c r="AP37" s="3">
        <f t="shared" si="15"/>
        <v>0</v>
      </c>
      <c r="AQ37" s="3" t="str">
        <f t="shared" si="16"/>
        <v/>
      </c>
      <c r="AR37">
        <f t="shared" si="17"/>
        <v>0</v>
      </c>
      <c r="AS37">
        <f t="shared" si="18"/>
        <v>0</v>
      </c>
    </row>
    <row r="38" ht="14.25" customHeight="1" spans="1:45">
      <c r="A38" s="3" t="str">
        <f>IF(对接源_01水果!$C38="","",对接源_01水果!$C38)</f>
        <v>王照雪</v>
      </c>
      <c r="B38" s="3">
        <f t="shared" si="0"/>
        <v>0</v>
      </c>
      <c r="C38" s="3">
        <f t="shared" si="1"/>
        <v>3</v>
      </c>
      <c r="E38" s="3" t="str">
        <f t="shared" si="2"/>
        <v/>
      </c>
      <c r="K38" s="3">
        <f>IF(OR($K$1="",对接源_01水果!$C38="",对接源_01水果!$C38&lt;&gt;$K$1,对接源_01水果!$B38=""),0,IF(OR(N(对接源_01水果!$B38)&lt;$K$2,N(对接源_01水果!$B38)&gt;$K$3),0,1))</f>
        <v>0</v>
      </c>
      <c r="L38" s="3">
        <f>IF(OR($L$1="",对接源_01水果!$C38="",对接源_01水果!$C38&lt;&gt;$L$1,对接源_01水果!$B38=""),0,IF(OR(N(对接源_01水果!$B38)&lt;$L$2,N(对接源_01水果!$B38)&gt;$L$3),0,1))</f>
        <v>0</v>
      </c>
      <c r="M38" s="3">
        <f>IF(OR($M$1="",对接源_01水果!$C38="",对接源_01水果!$C38&lt;&gt;$M$1,对接源_01水果!$B38=""),0,IF(OR(N(对接源_01水果!$B38)&lt;$M$2,N(对接源_01水果!$B38)&gt;$M$3),0,1))</f>
        <v>0</v>
      </c>
      <c r="N38" s="3">
        <f>IF(OR($N$1="",对接源_01水果!$C38="",对接源_01水果!$C38&lt;&gt;$N$1,对接源_01水果!$B38=""),0,IF(OR(N(对接源_01水果!$B38)&lt;$N$2,N(对接源_01水果!$B38)&gt;$N$3),0,1))</f>
        <v>0</v>
      </c>
      <c r="P38" s="3">
        <f>IF(AND($K38=1,AND(对接源_01水果!$X38="公司筐",N(对接源_01水果!$T38)&lt;&gt;0)),1,0)</f>
        <v>0</v>
      </c>
      <c r="Q38" s="3">
        <f t="shared" si="3"/>
        <v>0</v>
      </c>
      <c r="R38" s="3">
        <f>IF(AND($K38=1,AND(对接源_01水果!$X38="公司筐",N(对接源_01水果!$U38)&lt;&gt;0)),1,0)</f>
        <v>0</v>
      </c>
      <c r="S38" s="3">
        <f t="shared" si="4"/>
        <v>0</v>
      </c>
      <c r="T38" s="3">
        <f>IF(AND($K38=1,AND(对接源_01水果!$X38="公司筐",N(对接源_01水果!$V38)&lt;&gt;0)),1,0)</f>
        <v>0</v>
      </c>
      <c r="U38" s="3">
        <f t="shared" si="5"/>
        <v>0</v>
      </c>
      <c r="V38" s="3">
        <f>IF(AND($L38=1,AND(对接源_01水果!$X38="自备筐",N(对接源_01水果!$V38)&lt;&gt;0)),1,0)</f>
        <v>0</v>
      </c>
      <c r="W38" s="3">
        <f t="shared" si="6"/>
        <v>0</v>
      </c>
      <c r="X38" s="3">
        <f>IF(AND($L38=1,AND(对接源_01水果!$X38="自备筐",N(对接源_01水果!$T38)&lt;&gt;0)),1,0)</f>
        <v>0</v>
      </c>
      <c r="Y38" s="3">
        <f t="shared" si="7"/>
        <v>0</v>
      </c>
      <c r="Z38" s="3">
        <f>IF(AND($M38=1,对接源_01水果!$D38="原料入库"),1,0)</f>
        <v>0</v>
      </c>
      <c r="AA38" s="3">
        <f t="shared" si="8"/>
        <v>0</v>
      </c>
      <c r="AB38" s="3">
        <f>IF(AND($M38=1,LEFT(对接源_01水果!$D38,4)="原料出库"),1,0)</f>
        <v>0</v>
      </c>
      <c r="AC38" s="3">
        <f t="shared" si="9"/>
        <v>0</v>
      </c>
      <c r="AD38" s="3">
        <f>IF(AND($M38=1,LEFT(对接源_01水果!$D38,4)="成品出库"),1,0)</f>
        <v>0</v>
      </c>
      <c r="AE38" s="3">
        <f t="shared" si="10"/>
        <v>0</v>
      </c>
      <c r="AF38" s="3">
        <f>IF(AND($N38=1,AND(LEFT(对接源_01水果!$D38,4)="包装物料",N(对接源_01水果!$K38)&lt;&gt;0)),1,0)</f>
        <v>0</v>
      </c>
      <c r="AG38" s="3">
        <f t="shared" si="11"/>
        <v>0</v>
      </c>
      <c r="AH38" s="3">
        <f>IF(AND($N38=1,AND(对接源_01水果!$D38="周转筐－销售出库",N(对接源_01水果!$K38)&lt;&gt;0)),1,0)</f>
        <v>0</v>
      </c>
      <c r="AI38" s="3">
        <f t="shared" si="12"/>
        <v>0</v>
      </c>
      <c r="AJ38" s="7"/>
      <c r="AL38" s="3">
        <f>IF(OR($AL$1="",对接源_01水果!$Y38="",对接源_01水果!$Y38&lt;&gt;$AL$1,对接源_01水果!$B38="",N(对接源_01水果!$AJ38)&lt;=0),0,IF(OR(N(对接源_01水果!$B38)&lt;$AL$2,N(对接源_01水果!$B38)&gt;$AL$3),0,1))</f>
        <v>0</v>
      </c>
      <c r="AM38" s="3">
        <f t="shared" si="13"/>
        <v>0</v>
      </c>
      <c r="AN38" s="3" t="str">
        <f>IF(对接源_01水果!$AC38="","",对接源_01水果!$AC38)</f>
        <v/>
      </c>
      <c r="AO38" s="3">
        <f t="shared" si="14"/>
        <v>0</v>
      </c>
      <c r="AP38" s="3">
        <f t="shared" si="15"/>
        <v>0</v>
      </c>
      <c r="AQ38" s="3" t="str">
        <f t="shared" si="16"/>
        <v/>
      </c>
      <c r="AR38">
        <f t="shared" si="17"/>
        <v>0</v>
      </c>
      <c r="AS38">
        <f t="shared" si="18"/>
        <v>0</v>
      </c>
    </row>
    <row r="39" ht="14.25" customHeight="1" spans="1:45">
      <c r="A39" s="3" t="str">
        <f>IF(对接源_01水果!$C39="","",对接源_01水果!$C39)</f>
        <v>王照雪</v>
      </c>
      <c r="B39" s="3">
        <f t="shared" si="0"/>
        <v>0</v>
      </c>
      <c r="C39" s="3">
        <f t="shared" si="1"/>
        <v>3</v>
      </c>
      <c r="E39" s="3" t="str">
        <f t="shared" si="2"/>
        <v/>
      </c>
      <c r="K39" s="3">
        <f>IF(OR($K$1="",对接源_01水果!$C39="",对接源_01水果!$C39&lt;&gt;$K$1,对接源_01水果!$B39=""),0,IF(OR(N(对接源_01水果!$B39)&lt;$K$2,N(对接源_01水果!$B39)&gt;$K$3),0,1))</f>
        <v>0</v>
      </c>
      <c r="L39" s="3">
        <f>IF(OR($L$1="",对接源_01水果!$C39="",对接源_01水果!$C39&lt;&gt;$L$1,对接源_01水果!$B39=""),0,IF(OR(N(对接源_01水果!$B39)&lt;$L$2,N(对接源_01水果!$B39)&gt;$L$3),0,1))</f>
        <v>0</v>
      </c>
      <c r="M39" s="3">
        <f>IF(OR($M$1="",对接源_01水果!$C39="",对接源_01水果!$C39&lt;&gt;$M$1,对接源_01水果!$B39=""),0,IF(OR(N(对接源_01水果!$B39)&lt;$M$2,N(对接源_01水果!$B39)&gt;$M$3),0,1))</f>
        <v>0</v>
      </c>
      <c r="N39" s="3">
        <f>IF(OR($N$1="",对接源_01水果!$C39="",对接源_01水果!$C39&lt;&gt;$N$1,对接源_01水果!$B39=""),0,IF(OR(N(对接源_01水果!$B39)&lt;$N$2,N(对接源_01水果!$B39)&gt;$N$3),0,1))</f>
        <v>0</v>
      </c>
      <c r="P39" s="3">
        <f>IF(AND($K39=1,AND(对接源_01水果!$X39="公司筐",N(对接源_01水果!$T39)&lt;&gt;0)),1,0)</f>
        <v>0</v>
      </c>
      <c r="Q39" s="3">
        <f t="shared" si="3"/>
        <v>0</v>
      </c>
      <c r="R39" s="3">
        <f>IF(AND($K39=1,AND(对接源_01水果!$X39="公司筐",N(对接源_01水果!$U39)&lt;&gt;0)),1,0)</f>
        <v>0</v>
      </c>
      <c r="S39" s="3">
        <f t="shared" si="4"/>
        <v>0</v>
      </c>
      <c r="T39" s="3">
        <f>IF(AND($K39=1,AND(对接源_01水果!$X39="公司筐",N(对接源_01水果!$V39)&lt;&gt;0)),1,0)</f>
        <v>0</v>
      </c>
      <c r="U39" s="3">
        <f t="shared" si="5"/>
        <v>0</v>
      </c>
      <c r="V39" s="3">
        <f>IF(AND($L39=1,AND(对接源_01水果!$X39="自备筐",N(对接源_01水果!$V39)&lt;&gt;0)),1,0)</f>
        <v>0</v>
      </c>
      <c r="W39" s="3">
        <f t="shared" si="6"/>
        <v>0</v>
      </c>
      <c r="X39" s="3">
        <f>IF(AND($L39=1,AND(对接源_01水果!$X39="自备筐",N(对接源_01水果!$T39)&lt;&gt;0)),1,0)</f>
        <v>0</v>
      </c>
      <c r="Y39" s="3">
        <f t="shared" si="7"/>
        <v>0</v>
      </c>
      <c r="Z39" s="3">
        <f>IF(AND($M39=1,对接源_01水果!$D39="原料入库"),1,0)</f>
        <v>0</v>
      </c>
      <c r="AA39" s="3">
        <f t="shared" si="8"/>
        <v>0</v>
      </c>
      <c r="AB39" s="3">
        <f>IF(AND($M39=1,LEFT(对接源_01水果!$D39,4)="原料出库"),1,0)</f>
        <v>0</v>
      </c>
      <c r="AC39" s="3">
        <f t="shared" si="9"/>
        <v>0</v>
      </c>
      <c r="AD39" s="3">
        <f>IF(AND($M39=1,LEFT(对接源_01水果!$D39,4)="成品出库"),1,0)</f>
        <v>0</v>
      </c>
      <c r="AE39" s="3">
        <f t="shared" si="10"/>
        <v>0</v>
      </c>
      <c r="AF39" s="3">
        <f>IF(AND($N39=1,AND(LEFT(对接源_01水果!$D39,4)="包装物料",N(对接源_01水果!$K39)&lt;&gt;0)),1,0)</f>
        <v>0</v>
      </c>
      <c r="AG39" s="3">
        <f t="shared" si="11"/>
        <v>0</v>
      </c>
      <c r="AH39" s="3">
        <f>IF(AND($N39=1,AND(对接源_01水果!$D39="周转筐－销售出库",N(对接源_01水果!$K39)&lt;&gt;0)),1,0)</f>
        <v>0</v>
      </c>
      <c r="AI39" s="3">
        <f t="shared" si="12"/>
        <v>0</v>
      </c>
      <c r="AJ39" s="7"/>
      <c r="AL39" s="3">
        <f>IF(OR($AL$1="",对接源_01水果!$Y39="",对接源_01水果!$Y39&lt;&gt;$AL$1,对接源_01水果!$B39="",N(对接源_01水果!$AJ39)&lt;=0),0,IF(OR(N(对接源_01水果!$B39)&lt;$AL$2,N(对接源_01水果!$B39)&gt;$AL$3),0,1))</f>
        <v>0</v>
      </c>
      <c r="AM39" s="3">
        <f t="shared" si="13"/>
        <v>0</v>
      </c>
      <c r="AN39" s="3" t="str">
        <f>IF(对接源_01水果!$AC39="","",对接源_01水果!$AC39)</f>
        <v/>
      </c>
      <c r="AO39" s="3">
        <f t="shared" si="14"/>
        <v>0</v>
      </c>
      <c r="AP39" s="3">
        <f t="shared" si="15"/>
        <v>0</v>
      </c>
      <c r="AQ39" s="3" t="str">
        <f t="shared" si="16"/>
        <v/>
      </c>
      <c r="AR39">
        <f t="shared" si="17"/>
        <v>0</v>
      </c>
      <c r="AS39">
        <f t="shared" si="18"/>
        <v>0</v>
      </c>
    </row>
    <row r="40" ht="14.25" customHeight="1" spans="1:45">
      <c r="A40" s="3" t="str">
        <f>IF(对接源_01水果!$C40="","",对接源_01水果!$C40)</f>
        <v>聂新平</v>
      </c>
      <c r="B40" s="3">
        <f t="shared" si="0"/>
        <v>0</v>
      </c>
      <c r="C40" s="3">
        <f t="shared" si="1"/>
        <v>3</v>
      </c>
      <c r="E40" s="3" t="str">
        <f t="shared" si="2"/>
        <v/>
      </c>
      <c r="K40" s="3">
        <f>IF(OR($K$1="",对接源_01水果!$C40="",对接源_01水果!$C40&lt;&gt;$K$1,对接源_01水果!$B40=""),0,IF(OR(N(对接源_01水果!$B40)&lt;$K$2,N(对接源_01水果!$B40)&gt;$K$3),0,1))</f>
        <v>0</v>
      </c>
      <c r="L40" s="3">
        <f>IF(OR($L$1="",对接源_01水果!$C40="",对接源_01水果!$C40&lt;&gt;$L$1,对接源_01水果!$B40=""),0,IF(OR(N(对接源_01水果!$B40)&lt;$L$2,N(对接源_01水果!$B40)&gt;$L$3),0,1))</f>
        <v>0</v>
      </c>
      <c r="M40" s="3">
        <f>IF(OR($M$1="",对接源_01水果!$C40="",对接源_01水果!$C40&lt;&gt;$M$1,对接源_01水果!$B40=""),0,IF(OR(N(对接源_01水果!$B40)&lt;$M$2,N(对接源_01水果!$B40)&gt;$M$3),0,1))</f>
        <v>0</v>
      </c>
      <c r="N40" s="3">
        <f>IF(OR($N$1="",对接源_01水果!$C40="",对接源_01水果!$C40&lt;&gt;$N$1,对接源_01水果!$B40=""),0,IF(OR(N(对接源_01水果!$B40)&lt;$N$2,N(对接源_01水果!$B40)&gt;$N$3),0,1))</f>
        <v>0</v>
      </c>
      <c r="P40" s="3">
        <f>IF(AND($K40=1,AND(对接源_01水果!$X40="公司筐",N(对接源_01水果!$T40)&lt;&gt;0)),1,0)</f>
        <v>0</v>
      </c>
      <c r="Q40" s="3">
        <f t="shared" si="3"/>
        <v>0</v>
      </c>
      <c r="R40" s="3">
        <f>IF(AND($K40=1,AND(对接源_01水果!$X40="公司筐",N(对接源_01水果!$U40)&lt;&gt;0)),1,0)</f>
        <v>0</v>
      </c>
      <c r="S40" s="3">
        <f t="shared" si="4"/>
        <v>0</v>
      </c>
      <c r="T40" s="3">
        <f>IF(AND($K40=1,AND(对接源_01水果!$X40="公司筐",N(对接源_01水果!$V40)&lt;&gt;0)),1,0)</f>
        <v>0</v>
      </c>
      <c r="U40" s="3">
        <f t="shared" si="5"/>
        <v>0</v>
      </c>
      <c r="V40" s="3">
        <f>IF(AND($L40=1,AND(对接源_01水果!$X40="自备筐",N(对接源_01水果!$V40)&lt;&gt;0)),1,0)</f>
        <v>0</v>
      </c>
      <c r="W40" s="3">
        <f t="shared" si="6"/>
        <v>0</v>
      </c>
      <c r="X40" s="3">
        <f>IF(AND($L40=1,AND(对接源_01水果!$X40="自备筐",N(对接源_01水果!$T40)&lt;&gt;0)),1,0)</f>
        <v>0</v>
      </c>
      <c r="Y40" s="3">
        <f t="shared" si="7"/>
        <v>0</v>
      </c>
      <c r="Z40" s="3">
        <f>IF(AND($M40=1,对接源_01水果!$D40="原料入库"),1,0)</f>
        <v>0</v>
      </c>
      <c r="AA40" s="3">
        <f t="shared" si="8"/>
        <v>0</v>
      </c>
      <c r="AB40" s="3">
        <f>IF(AND($M40=1,LEFT(对接源_01水果!$D40,4)="原料出库"),1,0)</f>
        <v>0</v>
      </c>
      <c r="AC40" s="3">
        <f t="shared" si="9"/>
        <v>0</v>
      </c>
      <c r="AD40" s="3">
        <f>IF(AND($M40=1,LEFT(对接源_01水果!$D40,4)="成品出库"),1,0)</f>
        <v>0</v>
      </c>
      <c r="AE40" s="3">
        <f t="shared" si="10"/>
        <v>0</v>
      </c>
      <c r="AF40" s="3">
        <f>IF(AND($N40=1,AND(LEFT(对接源_01水果!$D40,4)="包装物料",N(对接源_01水果!$K40)&lt;&gt;0)),1,0)</f>
        <v>0</v>
      </c>
      <c r="AG40" s="3">
        <f t="shared" si="11"/>
        <v>0</v>
      </c>
      <c r="AH40" s="3">
        <f>IF(AND($N40=1,AND(对接源_01水果!$D40="周转筐－销售出库",N(对接源_01水果!$K40)&lt;&gt;0)),1,0)</f>
        <v>0</v>
      </c>
      <c r="AI40" s="3">
        <f t="shared" si="12"/>
        <v>0</v>
      </c>
      <c r="AJ40" s="7"/>
      <c r="AL40" s="3">
        <f>IF(OR($AL$1="",对接源_01水果!$Y40="",对接源_01水果!$Y40&lt;&gt;$AL$1,对接源_01水果!$B40="",N(对接源_01水果!$AJ40)&lt;=0),0,IF(OR(N(对接源_01水果!$B40)&lt;$AL$2,N(对接源_01水果!$B40)&gt;$AL$3),0,1))</f>
        <v>0</v>
      </c>
      <c r="AM40" s="3">
        <f t="shared" si="13"/>
        <v>0</v>
      </c>
      <c r="AN40" s="3" t="str">
        <f>IF(对接源_01水果!$AC40="","",对接源_01水果!$AC40)</f>
        <v/>
      </c>
      <c r="AO40" s="3">
        <f t="shared" si="14"/>
        <v>0</v>
      </c>
      <c r="AP40" s="3">
        <f t="shared" si="15"/>
        <v>0</v>
      </c>
      <c r="AQ40" s="3" t="str">
        <f t="shared" si="16"/>
        <v/>
      </c>
      <c r="AR40">
        <f t="shared" si="17"/>
        <v>0</v>
      </c>
      <c r="AS40">
        <f t="shared" si="18"/>
        <v>0</v>
      </c>
    </row>
    <row r="41" ht="14.25" customHeight="1" spans="1:45">
      <c r="A41" s="3" t="str">
        <f>IF(对接源_01水果!$C41="","",对接源_01水果!$C41)</f>
        <v>聂新平</v>
      </c>
      <c r="B41" s="3">
        <f t="shared" si="0"/>
        <v>0</v>
      </c>
      <c r="C41" s="3">
        <f t="shared" si="1"/>
        <v>3</v>
      </c>
      <c r="E41" s="3" t="str">
        <f t="shared" si="2"/>
        <v/>
      </c>
      <c r="K41" s="3">
        <f>IF(OR($K$1="",对接源_01水果!$C41="",对接源_01水果!$C41&lt;&gt;$K$1,对接源_01水果!$B41=""),0,IF(OR(N(对接源_01水果!$B41)&lt;$K$2,N(对接源_01水果!$B41)&gt;$K$3),0,1))</f>
        <v>0</v>
      </c>
      <c r="L41" s="3">
        <f>IF(OR($L$1="",对接源_01水果!$C41="",对接源_01水果!$C41&lt;&gt;$L$1,对接源_01水果!$B41=""),0,IF(OR(N(对接源_01水果!$B41)&lt;$L$2,N(对接源_01水果!$B41)&gt;$L$3),0,1))</f>
        <v>0</v>
      </c>
      <c r="M41" s="3">
        <f>IF(OR($M$1="",对接源_01水果!$C41="",对接源_01水果!$C41&lt;&gt;$M$1,对接源_01水果!$B41=""),0,IF(OR(N(对接源_01水果!$B41)&lt;$M$2,N(对接源_01水果!$B41)&gt;$M$3),0,1))</f>
        <v>0</v>
      </c>
      <c r="N41" s="3">
        <f>IF(OR($N$1="",对接源_01水果!$C41="",对接源_01水果!$C41&lt;&gt;$N$1,对接源_01水果!$B41=""),0,IF(OR(N(对接源_01水果!$B41)&lt;$N$2,N(对接源_01水果!$B41)&gt;$N$3),0,1))</f>
        <v>0</v>
      </c>
      <c r="P41" s="3">
        <f>IF(AND($K41=1,AND(对接源_01水果!$X41="公司筐",N(对接源_01水果!$T41)&lt;&gt;0)),1,0)</f>
        <v>0</v>
      </c>
      <c r="Q41" s="3">
        <f t="shared" si="3"/>
        <v>0</v>
      </c>
      <c r="R41" s="3">
        <f>IF(AND($K41=1,AND(对接源_01水果!$X41="公司筐",N(对接源_01水果!$U41)&lt;&gt;0)),1,0)</f>
        <v>0</v>
      </c>
      <c r="S41" s="3">
        <f t="shared" si="4"/>
        <v>0</v>
      </c>
      <c r="T41" s="3">
        <f>IF(AND($K41=1,AND(对接源_01水果!$X41="公司筐",N(对接源_01水果!$V41)&lt;&gt;0)),1,0)</f>
        <v>0</v>
      </c>
      <c r="U41" s="3">
        <f t="shared" si="5"/>
        <v>0</v>
      </c>
      <c r="V41" s="3">
        <f>IF(AND($L41=1,AND(对接源_01水果!$X41="自备筐",N(对接源_01水果!$V41)&lt;&gt;0)),1,0)</f>
        <v>0</v>
      </c>
      <c r="W41" s="3">
        <f t="shared" si="6"/>
        <v>0</v>
      </c>
      <c r="X41" s="3">
        <f>IF(AND($L41=1,AND(对接源_01水果!$X41="自备筐",N(对接源_01水果!$T41)&lt;&gt;0)),1,0)</f>
        <v>0</v>
      </c>
      <c r="Y41" s="3">
        <f t="shared" si="7"/>
        <v>0</v>
      </c>
      <c r="Z41" s="3">
        <f>IF(AND($M41=1,对接源_01水果!$D41="原料入库"),1,0)</f>
        <v>0</v>
      </c>
      <c r="AA41" s="3">
        <f t="shared" si="8"/>
        <v>0</v>
      </c>
      <c r="AB41" s="3">
        <f>IF(AND($M41=1,LEFT(对接源_01水果!$D41,4)="原料出库"),1,0)</f>
        <v>0</v>
      </c>
      <c r="AC41" s="3">
        <f t="shared" si="9"/>
        <v>0</v>
      </c>
      <c r="AD41" s="3">
        <f>IF(AND($M41=1,LEFT(对接源_01水果!$D41,4)="成品出库"),1,0)</f>
        <v>0</v>
      </c>
      <c r="AE41" s="3">
        <f t="shared" si="10"/>
        <v>0</v>
      </c>
      <c r="AF41" s="3">
        <f>IF(AND($N41=1,AND(LEFT(对接源_01水果!$D41,4)="包装物料",N(对接源_01水果!$K41)&lt;&gt;0)),1,0)</f>
        <v>0</v>
      </c>
      <c r="AG41" s="3">
        <f t="shared" si="11"/>
        <v>0</v>
      </c>
      <c r="AH41" s="3">
        <f>IF(AND($N41=1,AND(对接源_01水果!$D41="周转筐－销售出库",N(对接源_01水果!$K41)&lt;&gt;0)),1,0)</f>
        <v>0</v>
      </c>
      <c r="AI41" s="3">
        <f t="shared" si="12"/>
        <v>0</v>
      </c>
      <c r="AJ41" s="7"/>
      <c r="AL41" s="3">
        <f>IF(OR($AL$1="",对接源_01水果!$Y41="",对接源_01水果!$Y41&lt;&gt;$AL$1,对接源_01水果!$B41="",N(对接源_01水果!$AJ41)&lt;=0),0,IF(OR(N(对接源_01水果!$B41)&lt;$AL$2,N(对接源_01水果!$B41)&gt;$AL$3),0,1))</f>
        <v>0</v>
      </c>
      <c r="AM41" s="3">
        <f t="shared" si="13"/>
        <v>0</v>
      </c>
      <c r="AN41" s="3" t="str">
        <f>IF(对接源_01水果!$AC41="","",对接源_01水果!$AC41)</f>
        <v/>
      </c>
      <c r="AO41" s="3">
        <f t="shared" si="14"/>
        <v>0</v>
      </c>
      <c r="AP41" s="3">
        <f t="shared" si="15"/>
        <v>0</v>
      </c>
      <c r="AQ41" s="3" t="str">
        <f t="shared" si="16"/>
        <v/>
      </c>
      <c r="AR41">
        <f t="shared" si="17"/>
        <v>0</v>
      </c>
      <c r="AS41">
        <f t="shared" si="18"/>
        <v>0</v>
      </c>
    </row>
    <row r="42" ht="14.25" customHeight="1" spans="1:45">
      <c r="A42" s="3" t="str">
        <f>IF(对接源_01水果!$C42="","",对接源_01水果!$C42)</f>
        <v>聂新平</v>
      </c>
      <c r="B42" s="3">
        <f t="shared" si="0"/>
        <v>0</v>
      </c>
      <c r="C42" s="3">
        <f t="shared" si="1"/>
        <v>3</v>
      </c>
      <c r="E42" s="3" t="str">
        <f t="shared" si="2"/>
        <v/>
      </c>
      <c r="K42" s="3">
        <f>IF(OR($K$1="",对接源_01水果!$C42="",对接源_01水果!$C42&lt;&gt;$K$1,对接源_01水果!$B42=""),0,IF(OR(N(对接源_01水果!$B42)&lt;$K$2,N(对接源_01水果!$B42)&gt;$K$3),0,1))</f>
        <v>0</v>
      </c>
      <c r="L42" s="3">
        <f>IF(OR($L$1="",对接源_01水果!$C42="",对接源_01水果!$C42&lt;&gt;$L$1,对接源_01水果!$B42=""),0,IF(OR(N(对接源_01水果!$B42)&lt;$L$2,N(对接源_01水果!$B42)&gt;$L$3),0,1))</f>
        <v>0</v>
      </c>
      <c r="M42" s="3">
        <f>IF(OR($M$1="",对接源_01水果!$C42="",对接源_01水果!$C42&lt;&gt;$M$1,对接源_01水果!$B42=""),0,IF(OR(N(对接源_01水果!$B42)&lt;$M$2,N(对接源_01水果!$B42)&gt;$M$3),0,1))</f>
        <v>0</v>
      </c>
      <c r="N42" s="3">
        <f>IF(OR($N$1="",对接源_01水果!$C42="",对接源_01水果!$C42&lt;&gt;$N$1,对接源_01水果!$B42=""),0,IF(OR(N(对接源_01水果!$B42)&lt;$N$2,N(对接源_01水果!$B42)&gt;$N$3),0,1))</f>
        <v>0</v>
      </c>
      <c r="P42" s="3">
        <f>IF(AND($K42=1,AND(对接源_01水果!$X42="公司筐",N(对接源_01水果!$T42)&lt;&gt;0)),1,0)</f>
        <v>0</v>
      </c>
      <c r="Q42" s="3">
        <f t="shared" si="3"/>
        <v>0</v>
      </c>
      <c r="R42" s="3">
        <f>IF(AND($K42=1,AND(对接源_01水果!$X42="公司筐",N(对接源_01水果!$U42)&lt;&gt;0)),1,0)</f>
        <v>0</v>
      </c>
      <c r="S42" s="3">
        <f t="shared" si="4"/>
        <v>0</v>
      </c>
      <c r="T42" s="3">
        <f>IF(AND($K42=1,AND(对接源_01水果!$X42="公司筐",N(对接源_01水果!$V42)&lt;&gt;0)),1,0)</f>
        <v>0</v>
      </c>
      <c r="U42" s="3">
        <f t="shared" si="5"/>
        <v>0</v>
      </c>
      <c r="V42" s="3">
        <f>IF(AND($L42=1,AND(对接源_01水果!$X42="自备筐",N(对接源_01水果!$V42)&lt;&gt;0)),1,0)</f>
        <v>0</v>
      </c>
      <c r="W42" s="3">
        <f t="shared" si="6"/>
        <v>0</v>
      </c>
      <c r="X42" s="3">
        <f>IF(AND($L42=1,AND(对接源_01水果!$X42="自备筐",N(对接源_01水果!$T42)&lt;&gt;0)),1,0)</f>
        <v>0</v>
      </c>
      <c r="Y42" s="3">
        <f t="shared" si="7"/>
        <v>0</v>
      </c>
      <c r="Z42" s="3">
        <f>IF(AND($M42=1,对接源_01水果!$D42="原料入库"),1,0)</f>
        <v>0</v>
      </c>
      <c r="AA42" s="3">
        <f t="shared" si="8"/>
        <v>0</v>
      </c>
      <c r="AB42" s="3">
        <f>IF(AND($M42=1,LEFT(对接源_01水果!$D42,4)="原料出库"),1,0)</f>
        <v>0</v>
      </c>
      <c r="AC42" s="3">
        <f t="shared" si="9"/>
        <v>0</v>
      </c>
      <c r="AD42" s="3">
        <f>IF(AND($M42=1,LEFT(对接源_01水果!$D42,4)="成品出库"),1,0)</f>
        <v>0</v>
      </c>
      <c r="AE42" s="3">
        <f t="shared" si="10"/>
        <v>0</v>
      </c>
      <c r="AF42" s="3">
        <f>IF(AND($N42=1,AND(LEFT(对接源_01水果!$D42,4)="包装物料",N(对接源_01水果!$K42)&lt;&gt;0)),1,0)</f>
        <v>0</v>
      </c>
      <c r="AG42" s="3">
        <f t="shared" si="11"/>
        <v>0</v>
      </c>
      <c r="AH42" s="3">
        <f>IF(AND($N42=1,AND(对接源_01水果!$D42="周转筐－销售出库",N(对接源_01水果!$K42)&lt;&gt;0)),1,0)</f>
        <v>0</v>
      </c>
      <c r="AI42" s="3">
        <f t="shared" si="12"/>
        <v>0</v>
      </c>
      <c r="AJ42" s="7"/>
      <c r="AL42" s="3">
        <f>IF(OR($AL$1="",对接源_01水果!$Y42="",对接源_01水果!$Y42&lt;&gt;$AL$1,对接源_01水果!$B42="",N(对接源_01水果!$AJ42)&lt;=0),0,IF(OR(N(对接源_01水果!$B42)&lt;$AL$2,N(对接源_01水果!$B42)&gt;$AL$3),0,1))</f>
        <v>0</v>
      </c>
      <c r="AM42" s="3">
        <f t="shared" si="13"/>
        <v>0</v>
      </c>
      <c r="AN42" s="3" t="str">
        <f>IF(对接源_01水果!$AC42="","",对接源_01水果!$AC42)</f>
        <v/>
      </c>
      <c r="AO42" s="3">
        <f t="shared" si="14"/>
        <v>0</v>
      </c>
      <c r="AP42" s="3">
        <f t="shared" si="15"/>
        <v>0</v>
      </c>
      <c r="AQ42" s="3" t="str">
        <f t="shared" si="16"/>
        <v/>
      </c>
      <c r="AR42">
        <f t="shared" si="17"/>
        <v>0</v>
      </c>
      <c r="AS42">
        <f t="shared" si="18"/>
        <v>0</v>
      </c>
    </row>
    <row r="43" ht="14.25" customHeight="1" spans="1:45">
      <c r="A43" s="3" t="str">
        <f>IF(对接源_01水果!$C43="","",对接源_01水果!$C43)</f>
        <v>聂新平</v>
      </c>
      <c r="B43" s="3">
        <f t="shared" si="0"/>
        <v>0</v>
      </c>
      <c r="C43" s="3">
        <f t="shared" si="1"/>
        <v>3</v>
      </c>
      <c r="E43" s="3" t="str">
        <f t="shared" si="2"/>
        <v/>
      </c>
      <c r="K43" s="3">
        <f>IF(OR($K$1="",对接源_01水果!$C43="",对接源_01水果!$C43&lt;&gt;$K$1,对接源_01水果!$B43=""),0,IF(OR(N(对接源_01水果!$B43)&lt;$K$2,N(对接源_01水果!$B43)&gt;$K$3),0,1))</f>
        <v>0</v>
      </c>
      <c r="L43" s="3">
        <f>IF(OR($L$1="",对接源_01水果!$C43="",对接源_01水果!$C43&lt;&gt;$L$1,对接源_01水果!$B43=""),0,IF(OR(N(对接源_01水果!$B43)&lt;$L$2,N(对接源_01水果!$B43)&gt;$L$3),0,1))</f>
        <v>0</v>
      </c>
      <c r="M43" s="3">
        <f>IF(OR($M$1="",对接源_01水果!$C43="",对接源_01水果!$C43&lt;&gt;$M$1,对接源_01水果!$B43=""),0,IF(OR(N(对接源_01水果!$B43)&lt;$M$2,N(对接源_01水果!$B43)&gt;$M$3),0,1))</f>
        <v>0</v>
      </c>
      <c r="N43" s="3">
        <f>IF(OR($N$1="",对接源_01水果!$C43="",对接源_01水果!$C43&lt;&gt;$N$1,对接源_01水果!$B43=""),0,IF(OR(N(对接源_01水果!$B43)&lt;$N$2,N(对接源_01水果!$B43)&gt;$N$3),0,1))</f>
        <v>0</v>
      </c>
      <c r="P43" s="3">
        <f>IF(AND($K43=1,AND(对接源_01水果!$X43="公司筐",N(对接源_01水果!$T43)&lt;&gt;0)),1,0)</f>
        <v>0</v>
      </c>
      <c r="Q43" s="3">
        <f t="shared" si="3"/>
        <v>0</v>
      </c>
      <c r="R43" s="3">
        <f>IF(AND($K43=1,AND(对接源_01水果!$X43="公司筐",N(对接源_01水果!$U43)&lt;&gt;0)),1,0)</f>
        <v>0</v>
      </c>
      <c r="S43" s="3">
        <f t="shared" si="4"/>
        <v>0</v>
      </c>
      <c r="T43" s="3">
        <f>IF(AND($K43=1,AND(对接源_01水果!$X43="公司筐",N(对接源_01水果!$V43)&lt;&gt;0)),1,0)</f>
        <v>0</v>
      </c>
      <c r="U43" s="3">
        <f t="shared" si="5"/>
        <v>0</v>
      </c>
      <c r="V43" s="3">
        <f>IF(AND($L43=1,AND(对接源_01水果!$X43="自备筐",N(对接源_01水果!$V43)&lt;&gt;0)),1,0)</f>
        <v>0</v>
      </c>
      <c r="W43" s="3">
        <f t="shared" si="6"/>
        <v>0</v>
      </c>
      <c r="X43" s="3">
        <f>IF(AND($L43=1,AND(对接源_01水果!$X43="自备筐",N(对接源_01水果!$T43)&lt;&gt;0)),1,0)</f>
        <v>0</v>
      </c>
      <c r="Y43" s="3">
        <f t="shared" si="7"/>
        <v>0</v>
      </c>
      <c r="Z43" s="3">
        <f>IF(AND($M43=1,对接源_01水果!$D43="原料入库"),1,0)</f>
        <v>0</v>
      </c>
      <c r="AA43" s="3">
        <f t="shared" si="8"/>
        <v>0</v>
      </c>
      <c r="AB43" s="3">
        <f>IF(AND($M43=1,LEFT(对接源_01水果!$D43,4)="原料出库"),1,0)</f>
        <v>0</v>
      </c>
      <c r="AC43" s="3">
        <f t="shared" si="9"/>
        <v>0</v>
      </c>
      <c r="AD43" s="3">
        <f>IF(AND($M43=1,LEFT(对接源_01水果!$D43,4)="成品出库"),1,0)</f>
        <v>0</v>
      </c>
      <c r="AE43" s="3">
        <f t="shared" si="10"/>
        <v>0</v>
      </c>
      <c r="AF43" s="3">
        <f>IF(AND($N43=1,AND(LEFT(对接源_01水果!$D43,4)="包装物料",N(对接源_01水果!$K43)&lt;&gt;0)),1,0)</f>
        <v>0</v>
      </c>
      <c r="AG43" s="3">
        <f t="shared" si="11"/>
        <v>0</v>
      </c>
      <c r="AH43" s="3">
        <f>IF(AND($N43=1,AND(对接源_01水果!$D43="周转筐－销售出库",N(对接源_01水果!$K43)&lt;&gt;0)),1,0)</f>
        <v>0</v>
      </c>
      <c r="AI43" s="3">
        <f t="shared" si="12"/>
        <v>0</v>
      </c>
      <c r="AJ43" s="7"/>
      <c r="AL43" s="3">
        <f>IF(OR($AL$1="",对接源_01水果!$Y43="",对接源_01水果!$Y43&lt;&gt;$AL$1,对接源_01水果!$B43="",N(对接源_01水果!$AJ43)&lt;=0),0,IF(OR(N(对接源_01水果!$B43)&lt;$AL$2,N(对接源_01水果!$B43)&gt;$AL$3),0,1))</f>
        <v>0</v>
      </c>
      <c r="AM43" s="3">
        <f t="shared" si="13"/>
        <v>0</v>
      </c>
      <c r="AN43" s="3" t="str">
        <f>IF(对接源_01水果!$AC43="","",对接源_01水果!$AC43)</f>
        <v/>
      </c>
      <c r="AO43" s="3">
        <f t="shared" si="14"/>
        <v>0</v>
      </c>
      <c r="AP43" s="3">
        <f t="shared" si="15"/>
        <v>0</v>
      </c>
      <c r="AQ43" s="3" t="str">
        <f t="shared" si="16"/>
        <v/>
      </c>
      <c r="AR43">
        <f t="shared" si="17"/>
        <v>0</v>
      </c>
      <c r="AS43">
        <f t="shared" si="18"/>
        <v>0</v>
      </c>
    </row>
    <row r="44" ht="14.25" customHeight="1" spans="1:45">
      <c r="A44" s="3" t="str">
        <f>IF(对接源_01水果!$C44="","",对接源_01水果!$C44)</f>
        <v>聂新平</v>
      </c>
      <c r="B44" s="3">
        <f t="shared" si="0"/>
        <v>0</v>
      </c>
      <c r="C44" s="3">
        <f t="shared" si="1"/>
        <v>3</v>
      </c>
      <c r="E44" s="3" t="str">
        <f t="shared" si="2"/>
        <v/>
      </c>
      <c r="K44" s="3">
        <f>IF(OR($K$1="",对接源_01水果!$C44="",对接源_01水果!$C44&lt;&gt;$K$1,对接源_01水果!$B44=""),0,IF(OR(N(对接源_01水果!$B44)&lt;$K$2,N(对接源_01水果!$B44)&gt;$K$3),0,1))</f>
        <v>0</v>
      </c>
      <c r="L44" s="3">
        <f>IF(OR($L$1="",对接源_01水果!$C44="",对接源_01水果!$C44&lt;&gt;$L$1,对接源_01水果!$B44=""),0,IF(OR(N(对接源_01水果!$B44)&lt;$L$2,N(对接源_01水果!$B44)&gt;$L$3),0,1))</f>
        <v>0</v>
      </c>
      <c r="M44" s="3">
        <f>IF(OR($M$1="",对接源_01水果!$C44="",对接源_01水果!$C44&lt;&gt;$M$1,对接源_01水果!$B44=""),0,IF(OR(N(对接源_01水果!$B44)&lt;$M$2,N(对接源_01水果!$B44)&gt;$M$3),0,1))</f>
        <v>0</v>
      </c>
      <c r="N44" s="3">
        <f>IF(OR($N$1="",对接源_01水果!$C44="",对接源_01水果!$C44&lt;&gt;$N$1,对接源_01水果!$B44=""),0,IF(OR(N(对接源_01水果!$B44)&lt;$N$2,N(对接源_01水果!$B44)&gt;$N$3),0,1))</f>
        <v>0</v>
      </c>
      <c r="P44" s="3">
        <f>IF(AND($K44=1,AND(对接源_01水果!$X44="公司筐",N(对接源_01水果!$T44)&lt;&gt;0)),1,0)</f>
        <v>0</v>
      </c>
      <c r="Q44" s="3">
        <f t="shared" si="3"/>
        <v>0</v>
      </c>
      <c r="R44" s="3">
        <f>IF(AND($K44=1,AND(对接源_01水果!$X44="公司筐",N(对接源_01水果!$U44)&lt;&gt;0)),1,0)</f>
        <v>0</v>
      </c>
      <c r="S44" s="3">
        <f t="shared" si="4"/>
        <v>0</v>
      </c>
      <c r="T44" s="3">
        <f>IF(AND($K44=1,AND(对接源_01水果!$X44="公司筐",N(对接源_01水果!$V44)&lt;&gt;0)),1,0)</f>
        <v>0</v>
      </c>
      <c r="U44" s="3">
        <f t="shared" si="5"/>
        <v>0</v>
      </c>
      <c r="V44" s="3">
        <f>IF(AND($L44=1,AND(对接源_01水果!$X44="自备筐",N(对接源_01水果!$V44)&lt;&gt;0)),1,0)</f>
        <v>0</v>
      </c>
      <c r="W44" s="3">
        <f t="shared" si="6"/>
        <v>0</v>
      </c>
      <c r="X44" s="3">
        <f>IF(AND($L44=1,AND(对接源_01水果!$X44="自备筐",N(对接源_01水果!$T44)&lt;&gt;0)),1,0)</f>
        <v>0</v>
      </c>
      <c r="Y44" s="3">
        <f t="shared" si="7"/>
        <v>0</v>
      </c>
      <c r="Z44" s="3">
        <f>IF(AND($M44=1,对接源_01水果!$D44="原料入库"),1,0)</f>
        <v>0</v>
      </c>
      <c r="AA44" s="3">
        <f t="shared" si="8"/>
        <v>0</v>
      </c>
      <c r="AB44" s="3">
        <f>IF(AND($M44=1,LEFT(对接源_01水果!$D44,4)="原料出库"),1,0)</f>
        <v>0</v>
      </c>
      <c r="AC44" s="3">
        <f t="shared" si="9"/>
        <v>0</v>
      </c>
      <c r="AD44" s="3">
        <f>IF(AND($M44=1,LEFT(对接源_01水果!$D44,4)="成品出库"),1,0)</f>
        <v>0</v>
      </c>
      <c r="AE44" s="3">
        <f t="shared" si="10"/>
        <v>0</v>
      </c>
      <c r="AF44" s="3">
        <f>IF(AND($N44=1,AND(LEFT(对接源_01水果!$D44,4)="包装物料",N(对接源_01水果!$K44)&lt;&gt;0)),1,0)</f>
        <v>0</v>
      </c>
      <c r="AG44" s="3">
        <f t="shared" si="11"/>
        <v>0</v>
      </c>
      <c r="AH44" s="3">
        <f>IF(AND($N44=1,AND(对接源_01水果!$D44="周转筐－销售出库",N(对接源_01水果!$K44)&lt;&gt;0)),1,0)</f>
        <v>0</v>
      </c>
      <c r="AI44" s="3">
        <f t="shared" si="12"/>
        <v>0</v>
      </c>
      <c r="AJ44" s="7"/>
      <c r="AL44" s="3">
        <f>IF(OR($AL$1="",对接源_01水果!$Y44="",对接源_01水果!$Y44&lt;&gt;$AL$1,对接源_01水果!$B44="",N(对接源_01水果!$AJ44)&lt;=0),0,IF(OR(N(对接源_01水果!$B44)&lt;$AL$2,N(对接源_01水果!$B44)&gt;$AL$3),0,1))</f>
        <v>0</v>
      </c>
      <c r="AM44" s="3">
        <f t="shared" si="13"/>
        <v>0</v>
      </c>
      <c r="AN44" s="3" t="str">
        <f>IF(对接源_01水果!$AC44="","",对接源_01水果!$AC44)</f>
        <v/>
      </c>
      <c r="AO44" s="3">
        <f t="shared" si="14"/>
        <v>0</v>
      </c>
      <c r="AP44" s="3">
        <f t="shared" si="15"/>
        <v>0</v>
      </c>
      <c r="AQ44" s="3" t="str">
        <f t="shared" si="16"/>
        <v/>
      </c>
      <c r="AR44">
        <f t="shared" si="17"/>
        <v>0</v>
      </c>
      <c r="AS44">
        <f t="shared" si="18"/>
        <v>0</v>
      </c>
    </row>
    <row r="45" ht="14.25" customHeight="1" spans="1:45">
      <c r="A45" s="3" t="str">
        <f>IF(对接源_01水果!$C45="","",对接源_01水果!$C45)</f>
        <v>聂新平</v>
      </c>
      <c r="B45" s="3">
        <f t="shared" si="0"/>
        <v>0</v>
      </c>
      <c r="C45" s="3">
        <f t="shared" si="1"/>
        <v>3</v>
      </c>
      <c r="E45" s="3" t="str">
        <f t="shared" si="2"/>
        <v/>
      </c>
      <c r="K45" s="3">
        <f>IF(OR($K$1="",对接源_01水果!$C45="",对接源_01水果!$C45&lt;&gt;$K$1,对接源_01水果!$B45=""),0,IF(OR(N(对接源_01水果!$B45)&lt;$K$2,N(对接源_01水果!$B45)&gt;$K$3),0,1))</f>
        <v>0</v>
      </c>
      <c r="L45" s="3">
        <f>IF(OR($L$1="",对接源_01水果!$C45="",对接源_01水果!$C45&lt;&gt;$L$1,对接源_01水果!$B45=""),0,IF(OR(N(对接源_01水果!$B45)&lt;$L$2,N(对接源_01水果!$B45)&gt;$L$3),0,1))</f>
        <v>0</v>
      </c>
      <c r="M45" s="3">
        <f>IF(OR($M$1="",对接源_01水果!$C45="",对接源_01水果!$C45&lt;&gt;$M$1,对接源_01水果!$B45=""),0,IF(OR(N(对接源_01水果!$B45)&lt;$M$2,N(对接源_01水果!$B45)&gt;$M$3),0,1))</f>
        <v>0</v>
      </c>
      <c r="N45" s="3">
        <f>IF(OR($N$1="",对接源_01水果!$C45="",对接源_01水果!$C45&lt;&gt;$N$1,对接源_01水果!$B45=""),0,IF(OR(N(对接源_01水果!$B45)&lt;$N$2,N(对接源_01水果!$B45)&gt;$N$3),0,1))</f>
        <v>0</v>
      </c>
      <c r="P45" s="3">
        <f>IF(AND($K45=1,AND(对接源_01水果!$X45="公司筐",N(对接源_01水果!$T45)&lt;&gt;0)),1,0)</f>
        <v>0</v>
      </c>
      <c r="Q45" s="3">
        <f t="shared" si="3"/>
        <v>0</v>
      </c>
      <c r="R45" s="3">
        <f>IF(AND($K45=1,AND(对接源_01水果!$X45="公司筐",N(对接源_01水果!$U45)&lt;&gt;0)),1,0)</f>
        <v>0</v>
      </c>
      <c r="S45" s="3">
        <f t="shared" si="4"/>
        <v>0</v>
      </c>
      <c r="T45" s="3">
        <f>IF(AND($K45=1,AND(对接源_01水果!$X45="公司筐",N(对接源_01水果!$V45)&lt;&gt;0)),1,0)</f>
        <v>0</v>
      </c>
      <c r="U45" s="3">
        <f t="shared" si="5"/>
        <v>0</v>
      </c>
      <c r="V45" s="3">
        <f>IF(AND($L45=1,AND(对接源_01水果!$X45="自备筐",N(对接源_01水果!$V45)&lt;&gt;0)),1,0)</f>
        <v>0</v>
      </c>
      <c r="W45" s="3">
        <f t="shared" si="6"/>
        <v>0</v>
      </c>
      <c r="X45" s="3">
        <f>IF(AND($L45=1,AND(对接源_01水果!$X45="自备筐",N(对接源_01水果!$T45)&lt;&gt;0)),1,0)</f>
        <v>0</v>
      </c>
      <c r="Y45" s="3">
        <f t="shared" si="7"/>
        <v>0</v>
      </c>
      <c r="Z45" s="3">
        <f>IF(AND($M45=1,对接源_01水果!$D45="原料入库"),1,0)</f>
        <v>0</v>
      </c>
      <c r="AA45" s="3">
        <f t="shared" si="8"/>
        <v>0</v>
      </c>
      <c r="AB45" s="3">
        <f>IF(AND($M45=1,LEFT(对接源_01水果!$D45,4)="原料出库"),1,0)</f>
        <v>0</v>
      </c>
      <c r="AC45" s="3">
        <f t="shared" si="9"/>
        <v>0</v>
      </c>
      <c r="AD45" s="3">
        <f>IF(AND($M45=1,LEFT(对接源_01水果!$D45,4)="成品出库"),1,0)</f>
        <v>0</v>
      </c>
      <c r="AE45" s="3">
        <f t="shared" si="10"/>
        <v>0</v>
      </c>
      <c r="AF45" s="3">
        <f>IF(AND($N45=1,AND(LEFT(对接源_01水果!$D45,4)="包装物料",N(对接源_01水果!$K45)&lt;&gt;0)),1,0)</f>
        <v>0</v>
      </c>
      <c r="AG45" s="3">
        <f t="shared" si="11"/>
        <v>0</v>
      </c>
      <c r="AH45" s="3">
        <f>IF(AND($N45=1,AND(对接源_01水果!$D45="周转筐－销售出库",N(对接源_01水果!$K45)&lt;&gt;0)),1,0)</f>
        <v>0</v>
      </c>
      <c r="AI45" s="3">
        <f t="shared" si="12"/>
        <v>0</v>
      </c>
      <c r="AJ45" s="7"/>
      <c r="AL45" s="3">
        <f>IF(OR($AL$1="",对接源_01水果!$Y45="",对接源_01水果!$Y45&lt;&gt;$AL$1,对接源_01水果!$B45="",N(对接源_01水果!$AJ45)&lt;=0),0,IF(OR(N(对接源_01水果!$B45)&lt;$AL$2,N(对接源_01水果!$B45)&gt;$AL$3),0,1))</f>
        <v>0</v>
      </c>
      <c r="AM45" s="3">
        <f t="shared" si="13"/>
        <v>0</v>
      </c>
      <c r="AN45" s="3" t="str">
        <f>IF(对接源_01水果!$AC45="","",对接源_01水果!$AC45)</f>
        <v/>
      </c>
      <c r="AO45" s="3">
        <f t="shared" si="14"/>
        <v>0</v>
      </c>
      <c r="AP45" s="3">
        <f t="shared" si="15"/>
        <v>0</v>
      </c>
      <c r="AQ45" s="3" t="str">
        <f t="shared" si="16"/>
        <v/>
      </c>
      <c r="AR45">
        <f t="shared" si="17"/>
        <v>0</v>
      </c>
      <c r="AS45">
        <f t="shared" si="18"/>
        <v>0</v>
      </c>
    </row>
    <row r="46" ht="14.25" customHeight="1" spans="1:45">
      <c r="A46" s="3" t="str">
        <f>IF(对接源_01水果!$C46="","",对接源_01水果!$C46)</f>
        <v>王照雪</v>
      </c>
      <c r="B46" s="3">
        <f t="shared" si="0"/>
        <v>0</v>
      </c>
      <c r="C46" s="3">
        <f t="shared" si="1"/>
        <v>3</v>
      </c>
      <c r="E46" s="3" t="str">
        <f t="shared" si="2"/>
        <v/>
      </c>
      <c r="K46" s="3">
        <f>IF(OR($K$1="",对接源_01水果!$C46="",对接源_01水果!$C46&lt;&gt;$K$1,对接源_01水果!$B46=""),0,IF(OR(N(对接源_01水果!$B46)&lt;$K$2,N(对接源_01水果!$B46)&gt;$K$3),0,1))</f>
        <v>0</v>
      </c>
      <c r="L46" s="3">
        <f>IF(OR($L$1="",对接源_01水果!$C46="",对接源_01水果!$C46&lt;&gt;$L$1,对接源_01水果!$B46=""),0,IF(OR(N(对接源_01水果!$B46)&lt;$L$2,N(对接源_01水果!$B46)&gt;$L$3),0,1))</f>
        <v>0</v>
      </c>
      <c r="M46" s="3">
        <f>IF(OR($M$1="",对接源_01水果!$C46="",对接源_01水果!$C46&lt;&gt;$M$1,对接源_01水果!$B46=""),0,IF(OR(N(对接源_01水果!$B46)&lt;$M$2,N(对接源_01水果!$B46)&gt;$M$3),0,1))</f>
        <v>0</v>
      </c>
      <c r="N46" s="3">
        <f>IF(OR($N$1="",对接源_01水果!$C46="",对接源_01水果!$C46&lt;&gt;$N$1,对接源_01水果!$B46=""),0,IF(OR(N(对接源_01水果!$B46)&lt;$N$2,N(对接源_01水果!$B46)&gt;$N$3),0,1))</f>
        <v>0</v>
      </c>
      <c r="P46" s="3">
        <f>IF(AND($K46=1,AND(对接源_01水果!$X46="公司筐",N(对接源_01水果!$T46)&lt;&gt;0)),1,0)</f>
        <v>0</v>
      </c>
      <c r="Q46" s="3">
        <f t="shared" si="3"/>
        <v>0</v>
      </c>
      <c r="R46" s="3">
        <f>IF(AND($K46=1,AND(对接源_01水果!$X46="公司筐",N(对接源_01水果!$U46)&lt;&gt;0)),1,0)</f>
        <v>0</v>
      </c>
      <c r="S46" s="3">
        <f t="shared" si="4"/>
        <v>0</v>
      </c>
      <c r="T46" s="3">
        <f>IF(AND($K46=1,AND(对接源_01水果!$X46="公司筐",N(对接源_01水果!$V46)&lt;&gt;0)),1,0)</f>
        <v>0</v>
      </c>
      <c r="U46" s="3">
        <f t="shared" si="5"/>
        <v>0</v>
      </c>
      <c r="V46" s="3">
        <f>IF(AND($L46=1,AND(对接源_01水果!$X46="自备筐",N(对接源_01水果!$V46)&lt;&gt;0)),1,0)</f>
        <v>0</v>
      </c>
      <c r="W46" s="3">
        <f t="shared" si="6"/>
        <v>0</v>
      </c>
      <c r="X46" s="3">
        <f>IF(AND($L46=1,AND(对接源_01水果!$X46="自备筐",N(对接源_01水果!$T46)&lt;&gt;0)),1,0)</f>
        <v>0</v>
      </c>
      <c r="Y46" s="3">
        <f t="shared" si="7"/>
        <v>0</v>
      </c>
      <c r="Z46" s="3">
        <f>IF(AND($M46=1,对接源_01水果!$D46="原料入库"),1,0)</f>
        <v>0</v>
      </c>
      <c r="AA46" s="3">
        <f t="shared" si="8"/>
        <v>0</v>
      </c>
      <c r="AB46" s="3">
        <f>IF(AND($M46=1,LEFT(对接源_01水果!$D46,4)="原料出库"),1,0)</f>
        <v>0</v>
      </c>
      <c r="AC46" s="3">
        <f t="shared" si="9"/>
        <v>0</v>
      </c>
      <c r="AD46" s="3">
        <f>IF(AND($M46=1,LEFT(对接源_01水果!$D46,4)="成品出库"),1,0)</f>
        <v>0</v>
      </c>
      <c r="AE46" s="3">
        <f t="shared" si="10"/>
        <v>0</v>
      </c>
      <c r="AF46" s="3">
        <f>IF(AND($N46=1,AND(LEFT(对接源_01水果!$D46,4)="包装物料",N(对接源_01水果!$K46)&lt;&gt;0)),1,0)</f>
        <v>0</v>
      </c>
      <c r="AG46" s="3">
        <f t="shared" si="11"/>
        <v>0</v>
      </c>
      <c r="AH46" s="3">
        <f>IF(AND($N46=1,AND(对接源_01水果!$D46="周转筐－销售出库",N(对接源_01水果!$K46)&lt;&gt;0)),1,0)</f>
        <v>0</v>
      </c>
      <c r="AI46" s="3">
        <f t="shared" si="12"/>
        <v>0</v>
      </c>
      <c r="AJ46" s="7"/>
      <c r="AL46" s="3">
        <f>IF(OR($AL$1="",对接源_01水果!$Y46="",对接源_01水果!$Y46&lt;&gt;$AL$1,对接源_01水果!$B46="",N(对接源_01水果!$AJ46)&lt;=0),0,IF(OR(N(对接源_01水果!$B46)&lt;$AL$2,N(对接源_01水果!$B46)&gt;$AL$3),0,1))</f>
        <v>0</v>
      </c>
      <c r="AM46" s="3">
        <f t="shared" si="13"/>
        <v>0</v>
      </c>
      <c r="AN46" s="3" t="str">
        <f>IF(对接源_01水果!$AC46="","",对接源_01水果!$AC46)</f>
        <v/>
      </c>
      <c r="AO46" s="3">
        <f t="shared" si="14"/>
        <v>0</v>
      </c>
      <c r="AP46" s="3">
        <f t="shared" si="15"/>
        <v>0</v>
      </c>
      <c r="AQ46" s="3" t="str">
        <f t="shared" si="16"/>
        <v/>
      </c>
      <c r="AR46">
        <f t="shared" si="17"/>
        <v>0</v>
      </c>
      <c r="AS46">
        <f t="shared" si="18"/>
        <v>0</v>
      </c>
    </row>
    <row r="47" ht="14.25" customHeight="1" spans="1:45">
      <c r="A47" s="3" t="str">
        <f>IF(对接源_01水果!$C47="","",对接源_01水果!$C47)</f>
        <v>王照雪</v>
      </c>
      <c r="B47" s="3">
        <f t="shared" si="0"/>
        <v>0</v>
      </c>
      <c r="C47" s="3">
        <f t="shared" si="1"/>
        <v>3</v>
      </c>
      <c r="E47" s="3" t="str">
        <f t="shared" si="2"/>
        <v/>
      </c>
      <c r="K47" s="3">
        <f>IF(OR($K$1="",对接源_01水果!$C47="",对接源_01水果!$C47&lt;&gt;$K$1,对接源_01水果!$B47=""),0,IF(OR(N(对接源_01水果!$B47)&lt;$K$2,N(对接源_01水果!$B47)&gt;$K$3),0,1))</f>
        <v>0</v>
      </c>
      <c r="L47" s="3">
        <f>IF(OR($L$1="",对接源_01水果!$C47="",对接源_01水果!$C47&lt;&gt;$L$1,对接源_01水果!$B47=""),0,IF(OR(N(对接源_01水果!$B47)&lt;$L$2,N(对接源_01水果!$B47)&gt;$L$3),0,1))</f>
        <v>0</v>
      </c>
      <c r="M47" s="3">
        <f>IF(OR($M$1="",对接源_01水果!$C47="",对接源_01水果!$C47&lt;&gt;$M$1,对接源_01水果!$B47=""),0,IF(OR(N(对接源_01水果!$B47)&lt;$M$2,N(对接源_01水果!$B47)&gt;$M$3),0,1))</f>
        <v>0</v>
      </c>
      <c r="N47" s="3">
        <f>IF(OR($N$1="",对接源_01水果!$C47="",对接源_01水果!$C47&lt;&gt;$N$1,对接源_01水果!$B47=""),0,IF(OR(N(对接源_01水果!$B47)&lt;$N$2,N(对接源_01水果!$B47)&gt;$N$3),0,1))</f>
        <v>0</v>
      </c>
      <c r="P47" s="3">
        <f>IF(AND($K47=1,AND(对接源_01水果!$X47="公司筐",N(对接源_01水果!$T47)&lt;&gt;0)),1,0)</f>
        <v>0</v>
      </c>
      <c r="Q47" s="3">
        <f t="shared" si="3"/>
        <v>0</v>
      </c>
      <c r="R47" s="3">
        <f>IF(AND($K47=1,AND(对接源_01水果!$X47="公司筐",N(对接源_01水果!$U47)&lt;&gt;0)),1,0)</f>
        <v>0</v>
      </c>
      <c r="S47" s="3">
        <f t="shared" si="4"/>
        <v>0</v>
      </c>
      <c r="T47" s="3">
        <f>IF(AND($K47=1,AND(对接源_01水果!$X47="公司筐",N(对接源_01水果!$V47)&lt;&gt;0)),1,0)</f>
        <v>0</v>
      </c>
      <c r="U47" s="3">
        <f t="shared" si="5"/>
        <v>0</v>
      </c>
      <c r="V47" s="3">
        <f>IF(AND($L47=1,AND(对接源_01水果!$X47="自备筐",N(对接源_01水果!$V47)&lt;&gt;0)),1,0)</f>
        <v>0</v>
      </c>
      <c r="W47" s="3">
        <f t="shared" si="6"/>
        <v>0</v>
      </c>
      <c r="X47" s="3">
        <f>IF(AND($L47=1,AND(对接源_01水果!$X47="自备筐",N(对接源_01水果!$T47)&lt;&gt;0)),1,0)</f>
        <v>0</v>
      </c>
      <c r="Y47" s="3">
        <f t="shared" si="7"/>
        <v>0</v>
      </c>
      <c r="Z47" s="3">
        <f>IF(AND($M47=1,对接源_01水果!$D47="原料入库"),1,0)</f>
        <v>0</v>
      </c>
      <c r="AA47" s="3">
        <f t="shared" si="8"/>
        <v>0</v>
      </c>
      <c r="AB47" s="3">
        <f>IF(AND($M47=1,LEFT(对接源_01水果!$D47,4)="原料出库"),1,0)</f>
        <v>0</v>
      </c>
      <c r="AC47" s="3">
        <f t="shared" si="9"/>
        <v>0</v>
      </c>
      <c r="AD47" s="3">
        <f>IF(AND($M47=1,LEFT(对接源_01水果!$D47,4)="成品出库"),1,0)</f>
        <v>0</v>
      </c>
      <c r="AE47" s="3">
        <f t="shared" si="10"/>
        <v>0</v>
      </c>
      <c r="AF47" s="3">
        <f>IF(AND($N47=1,AND(LEFT(对接源_01水果!$D47,4)="包装物料",N(对接源_01水果!$K47)&lt;&gt;0)),1,0)</f>
        <v>0</v>
      </c>
      <c r="AG47" s="3">
        <f t="shared" si="11"/>
        <v>0</v>
      </c>
      <c r="AH47" s="3">
        <f>IF(AND($N47=1,AND(对接源_01水果!$D47="周转筐－销售出库",N(对接源_01水果!$K47)&lt;&gt;0)),1,0)</f>
        <v>0</v>
      </c>
      <c r="AI47" s="3">
        <f t="shared" si="12"/>
        <v>0</v>
      </c>
      <c r="AJ47" s="7"/>
      <c r="AL47" s="3">
        <f>IF(OR($AL$1="",对接源_01水果!$Y47="",对接源_01水果!$Y47&lt;&gt;$AL$1,对接源_01水果!$B47="",N(对接源_01水果!$AJ47)&lt;=0),0,IF(OR(N(对接源_01水果!$B47)&lt;$AL$2,N(对接源_01水果!$B47)&gt;$AL$3),0,1))</f>
        <v>0</v>
      </c>
      <c r="AM47" s="3">
        <f t="shared" si="13"/>
        <v>0</v>
      </c>
      <c r="AN47" s="3" t="str">
        <f>IF(对接源_01水果!$AC47="","",对接源_01水果!$AC47)</f>
        <v/>
      </c>
      <c r="AO47" s="3">
        <f t="shared" si="14"/>
        <v>0</v>
      </c>
      <c r="AP47" s="3">
        <f t="shared" si="15"/>
        <v>0</v>
      </c>
      <c r="AQ47" s="3" t="str">
        <f t="shared" si="16"/>
        <v/>
      </c>
      <c r="AR47">
        <f t="shared" si="17"/>
        <v>0</v>
      </c>
      <c r="AS47">
        <f t="shared" si="18"/>
        <v>0</v>
      </c>
    </row>
    <row r="48" ht="14.25" customHeight="1" spans="1:45">
      <c r="A48" s="3" t="str">
        <f>IF(对接源_01水果!$C48="","",对接源_01水果!$C48)</f>
        <v>王照雪</v>
      </c>
      <c r="B48" s="3">
        <f t="shared" si="0"/>
        <v>0</v>
      </c>
      <c r="C48" s="3">
        <f t="shared" si="1"/>
        <v>3</v>
      </c>
      <c r="E48" s="3" t="str">
        <f t="shared" si="2"/>
        <v/>
      </c>
      <c r="K48" s="3">
        <f>IF(OR($K$1="",对接源_01水果!$C48="",对接源_01水果!$C48&lt;&gt;$K$1,对接源_01水果!$B48=""),0,IF(OR(N(对接源_01水果!$B48)&lt;$K$2,N(对接源_01水果!$B48)&gt;$K$3),0,1))</f>
        <v>0</v>
      </c>
      <c r="L48" s="3">
        <f>IF(OR($L$1="",对接源_01水果!$C48="",对接源_01水果!$C48&lt;&gt;$L$1,对接源_01水果!$B48=""),0,IF(OR(N(对接源_01水果!$B48)&lt;$L$2,N(对接源_01水果!$B48)&gt;$L$3),0,1))</f>
        <v>0</v>
      </c>
      <c r="M48" s="3">
        <f>IF(OR($M$1="",对接源_01水果!$C48="",对接源_01水果!$C48&lt;&gt;$M$1,对接源_01水果!$B48=""),0,IF(OR(N(对接源_01水果!$B48)&lt;$M$2,N(对接源_01水果!$B48)&gt;$M$3),0,1))</f>
        <v>0</v>
      </c>
      <c r="N48" s="3">
        <f>IF(OR($N$1="",对接源_01水果!$C48="",对接源_01水果!$C48&lt;&gt;$N$1,对接源_01水果!$B48=""),0,IF(OR(N(对接源_01水果!$B48)&lt;$N$2,N(对接源_01水果!$B48)&gt;$N$3),0,1))</f>
        <v>0</v>
      </c>
      <c r="P48" s="3">
        <f>IF(AND($K48=1,AND(对接源_01水果!$X48="公司筐",N(对接源_01水果!$T48)&lt;&gt;0)),1,0)</f>
        <v>0</v>
      </c>
      <c r="Q48" s="3">
        <f t="shared" si="3"/>
        <v>0</v>
      </c>
      <c r="R48" s="3">
        <f>IF(AND($K48=1,AND(对接源_01水果!$X48="公司筐",N(对接源_01水果!$U48)&lt;&gt;0)),1,0)</f>
        <v>0</v>
      </c>
      <c r="S48" s="3">
        <f t="shared" si="4"/>
        <v>0</v>
      </c>
      <c r="T48" s="3">
        <f>IF(AND($K48=1,AND(对接源_01水果!$X48="公司筐",N(对接源_01水果!$V48)&lt;&gt;0)),1,0)</f>
        <v>0</v>
      </c>
      <c r="U48" s="3">
        <f t="shared" si="5"/>
        <v>0</v>
      </c>
      <c r="V48" s="3">
        <f>IF(AND($L48=1,AND(对接源_01水果!$X48="自备筐",N(对接源_01水果!$V48)&lt;&gt;0)),1,0)</f>
        <v>0</v>
      </c>
      <c r="W48" s="3">
        <f t="shared" si="6"/>
        <v>0</v>
      </c>
      <c r="X48" s="3">
        <f>IF(AND($L48=1,AND(对接源_01水果!$X48="自备筐",N(对接源_01水果!$T48)&lt;&gt;0)),1,0)</f>
        <v>0</v>
      </c>
      <c r="Y48" s="3">
        <f t="shared" si="7"/>
        <v>0</v>
      </c>
      <c r="Z48" s="3">
        <f>IF(AND($M48=1,对接源_01水果!$D48="原料入库"),1,0)</f>
        <v>0</v>
      </c>
      <c r="AA48" s="3">
        <f t="shared" si="8"/>
        <v>0</v>
      </c>
      <c r="AB48" s="3">
        <f>IF(AND($M48=1,LEFT(对接源_01水果!$D48,4)="原料出库"),1,0)</f>
        <v>0</v>
      </c>
      <c r="AC48" s="3">
        <f t="shared" si="9"/>
        <v>0</v>
      </c>
      <c r="AD48" s="3">
        <f>IF(AND($M48=1,LEFT(对接源_01水果!$D48,4)="成品出库"),1,0)</f>
        <v>0</v>
      </c>
      <c r="AE48" s="3">
        <f t="shared" si="10"/>
        <v>0</v>
      </c>
      <c r="AF48" s="3">
        <f>IF(AND($N48=1,AND(LEFT(对接源_01水果!$D48,4)="包装物料",N(对接源_01水果!$K48)&lt;&gt;0)),1,0)</f>
        <v>0</v>
      </c>
      <c r="AG48" s="3">
        <f t="shared" si="11"/>
        <v>0</v>
      </c>
      <c r="AH48" s="3">
        <f>IF(AND($N48=1,AND(对接源_01水果!$D48="周转筐－销售出库",N(对接源_01水果!$K48)&lt;&gt;0)),1,0)</f>
        <v>0</v>
      </c>
      <c r="AI48" s="3">
        <f t="shared" si="12"/>
        <v>0</v>
      </c>
      <c r="AJ48" s="7"/>
      <c r="AL48" s="3">
        <f>IF(OR($AL$1="",对接源_01水果!$Y48="",对接源_01水果!$Y48&lt;&gt;$AL$1,对接源_01水果!$B48="",N(对接源_01水果!$AJ48)&lt;=0),0,IF(OR(N(对接源_01水果!$B48)&lt;$AL$2,N(对接源_01水果!$B48)&gt;$AL$3),0,1))</f>
        <v>0</v>
      </c>
      <c r="AM48" s="3">
        <f t="shared" si="13"/>
        <v>0</v>
      </c>
      <c r="AN48" s="3" t="str">
        <f>IF(对接源_01水果!$AC48="","",对接源_01水果!$AC48)</f>
        <v/>
      </c>
      <c r="AO48" s="3">
        <f t="shared" si="14"/>
        <v>0</v>
      </c>
      <c r="AP48" s="3">
        <f t="shared" si="15"/>
        <v>0</v>
      </c>
      <c r="AQ48" s="3" t="str">
        <f t="shared" si="16"/>
        <v/>
      </c>
      <c r="AR48">
        <f t="shared" si="17"/>
        <v>0</v>
      </c>
      <c r="AS48">
        <f t="shared" si="18"/>
        <v>0</v>
      </c>
    </row>
    <row r="49" ht="14.25" customHeight="1" spans="1:45">
      <c r="A49" s="3" t="str">
        <f>IF(对接源_01水果!$C49="","",对接源_01水果!$C49)</f>
        <v>马锦祥</v>
      </c>
      <c r="B49" s="3">
        <f t="shared" si="0"/>
        <v>1</v>
      </c>
      <c r="C49" s="3">
        <f t="shared" si="1"/>
        <v>4</v>
      </c>
      <c r="E49" s="3" t="str">
        <f t="shared" si="2"/>
        <v/>
      </c>
      <c r="K49" s="3">
        <f>IF(OR($K$1="",对接源_01水果!$C49="",对接源_01水果!$C49&lt;&gt;$K$1,对接源_01水果!$B49=""),0,IF(OR(N(对接源_01水果!$B49)&lt;$K$2,N(对接源_01水果!$B49)&gt;$K$3),0,1))</f>
        <v>0</v>
      </c>
      <c r="L49" s="3">
        <f>IF(OR($L$1="",对接源_01水果!$C49="",对接源_01水果!$C49&lt;&gt;$L$1,对接源_01水果!$B49=""),0,IF(OR(N(对接源_01水果!$B49)&lt;$L$2,N(对接源_01水果!$B49)&gt;$L$3),0,1))</f>
        <v>0</v>
      </c>
      <c r="M49" s="3">
        <f>IF(OR($M$1="",对接源_01水果!$C49="",对接源_01水果!$C49&lt;&gt;$M$1,对接源_01水果!$B49=""),0,IF(OR(N(对接源_01水果!$B49)&lt;$M$2,N(对接源_01水果!$B49)&gt;$M$3),0,1))</f>
        <v>0</v>
      </c>
      <c r="N49" s="3">
        <f>IF(OR($N$1="",对接源_01水果!$C49="",对接源_01水果!$C49&lt;&gt;$N$1,对接源_01水果!$B49=""),0,IF(OR(N(对接源_01水果!$B49)&lt;$N$2,N(对接源_01水果!$B49)&gt;$N$3),0,1))</f>
        <v>0</v>
      </c>
      <c r="P49" s="3">
        <f>IF(AND($K49=1,AND(对接源_01水果!$X49="公司筐",N(对接源_01水果!$T49)&lt;&gt;0)),1,0)</f>
        <v>0</v>
      </c>
      <c r="Q49" s="3">
        <f t="shared" si="3"/>
        <v>0</v>
      </c>
      <c r="R49" s="3">
        <f>IF(AND($K49=1,AND(对接源_01水果!$X49="公司筐",N(对接源_01水果!$U49)&lt;&gt;0)),1,0)</f>
        <v>0</v>
      </c>
      <c r="S49" s="3">
        <f t="shared" si="4"/>
        <v>0</v>
      </c>
      <c r="T49" s="3">
        <f>IF(AND($K49=1,AND(对接源_01水果!$X49="公司筐",N(对接源_01水果!$V49)&lt;&gt;0)),1,0)</f>
        <v>0</v>
      </c>
      <c r="U49" s="3">
        <f t="shared" si="5"/>
        <v>0</v>
      </c>
      <c r="V49" s="3">
        <f>IF(AND($L49=1,AND(对接源_01水果!$X49="自备筐",N(对接源_01水果!$V49)&lt;&gt;0)),1,0)</f>
        <v>0</v>
      </c>
      <c r="W49" s="3">
        <f t="shared" si="6"/>
        <v>0</v>
      </c>
      <c r="X49" s="3">
        <f>IF(AND($L49=1,AND(对接源_01水果!$X49="自备筐",N(对接源_01水果!$T49)&lt;&gt;0)),1,0)</f>
        <v>0</v>
      </c>
      <c r="Y49" s="3">
        <f t="shared" si="7"/>
        <v>0</v>
      </c>
      <c r="Z49" s="3">
        <f>IF(AND($M49=1,对接源_01水果!$D49="原料入库"),1,0)</f>
        <v>0</v>
      </c>
      <c r="AA49" s="3">
        <f t="shared" si="8"/>
        <v>0</v>
      </c>
      <c r="AB49" s="3">
        <f>IF(AND($M49=1,LEFT(对接源_01水果!$D49,4)="原料出库"),1,0)</f>
        <v>0</v>
      </c>
      <c r="AC49" s="3">
        <f t="shared" si="9"/>
        <v>0</v>
      </c>
      <c r="AD49" s="3">
        <f>IF(AND($M49=1,LEFT(对接源_01水果!$D49,4)="成品出库"),1,0)</f>
        <v>0</v>
      </c>
      <c r="AE49" s="3">
        <f t="shared" si="10"/>
        <v>0</v>
      </c>
      <c r="AF49" s="3">
        <f>IF(AND($N49=1,AND(LEFT(对接源_01水果!$D49,4)="包装物料",N(对接源_01水果!$K49)&lt;&gt;0)),1,0)</f>
        <v>0</v>
      </c>
      <c r="AG49" s="3">
        <f t="shared" si="11"/>
        <v>0</v>
      </c>
      <c r="AH49" s="3">
        <f>IF(AND($N49=1,AND(对接源_01水果!$D49="周转筐－销售出库",N(对接源_01水果!$K49)&lt;&gt;0)),1,0)</f>
        <v>0</v>
      </c>
      <c r="AI49" s="3">
        <f t="shared" si="12"/>
        <v>0</v>
      </c>
      <c r="AJ49" s="7"/>
      <c r="AL49" s="3">
        <f>IF(OR($AL$1="",对接源_01水果!$Y49="",对接源_01水果!$Y49&lt;&gt;$AL$1,对接源_01水果!$B49="",N(对接源_01水果!$AJ49)&lt;=0),0,IF(OR(N(对接源_01水果!$B49)&lt;$AL$2,N(对接源_01水果!$B49)&gt;$AL$3),0,1))</f>
        <v>0</v>
      </c>
      <c r="AM49" s="3">
        <f t="shared" si="13"/>
        <v>0</v>
      </c>
      <c r="AN49" s="3" t="str">
        <f>IF(对接源_01水果!$AC49="","",对接源_01水果!$AC49)</f>
        <v/>
      </c>
      <c r="AO49" s="3">
        <f t="shared" si="14"/>
        <v>0</v>
      </c>
      <c r="AP49" s="3">
        <f t="shared" si="15"/>
        <v>0</v>
      </c>
      <c r="AQ49" s="3" t="str">
        <f t="shared" si="16"/>
        <v/>
      </c>
      <c r="AR49">
        <f t="shared" si="17"/>
        <v>0</v>
      </c>
      <c r="AS49">
        <f t="shared" si="18"/>
        <v>0</v>
      </c>
    </row>
    <row r="50" ht="14.25" customHeight="1" spans="1:45">
      <c r="A50" s="3" t="str">
        <f>IF(对接源_01水果!$C50="","",对接源_01水果!$C50)</f>
        <v>聂新平</v>
      </c>
      <c r="B50" s="3">
        <f t="shared" si="0"/>
        <v>0</v>
      </c>
      <c r="C50" s="3">
        <f t="shared" si="1"/>
        <v>4</v>
      </c>
      <c r="E50" s="3" t="str">
        <f t="shared" si="2"/>
        <v/>
      </c>
      <c r="K50" s="3">
        <f>IF(OR($K$1="",对接源_01水果!$C50="",对接源_01水果!$C50&lt;&gt;$K$1,对接源_01水果!$B50=""),0,IF(OR(N(对接源_01水果!$B50)&lt;$K$2,N(对接源_01水果!$B50)&gt;$K$3),0,1))</f>
        <v>0</v>
      </c>
      <c r="L50" s="3">
        <f>IF(OR($L$1="",对接源_01水果!$C50="",对接源_01水果!$C50&lt;&gt;$L$1,对接源_01水果!$B50=""),0,IF(OR(N(对接源_01水果!$B50)&lt;$L$2,N(对接源_01水果!$B50)&gt;$L$3),0,1))</f>
        <v>0</v>
      </c>
      <c r="M50" s="3">
        <f>IF(OR($M$1="",对接源_01水果!$C50="",对接源_01水果!$C50&lt;&gt;$M$1,对接源_01水果!$B50=""),0,IF(OR(N(对接源_01水果!$B50)&lt;$M$2,N(对接源_01水果!$B50)&gt;$M$3),0,1))</f>
        <v>0</v>
      </c>
      <c r="N50" s="3">
        <f>IF(OR($N$1="",对接源_01水果!$C50="",对接源_01水果!$C50&lt;&gt;$N$1,对接源_01水果!$B50=""),0,IF(OR(N(对接源_01水果!$B50)&lt;$N$2,N(对接源_01水果!$B50)&gt;$N$3),0,1))</f>
        <v>0</v>
      </c>
      <c r="P50" s="3">
        <f>IF(AND($K50=1,AND(对接源_01水果!$X50="公司筐",N(对接源_01水果!$T50)&lt;&gt;0)),1,0)</f>
        <v>0</v>
      </c>
      <c r="Q50" s="3">
        <f t="shared" si="3"/>
        <v>0</v>
      </c>
      <c r="R50" s="3">
        <f>IF(AND($K50=1,AND(对接源_01水果!$X50="公司筐",N(对接源_01水果!$U50)&lt;&gt;0)),1,0)</f>
        <v>0</v>
      </c>
      <c r="S50" s="3">
        <f t="shared" si="4"/>
        <v>0</v>
      </c>
      <c r="T50" s="3">
        <f>IF(AND($K50=1,AND(对接源_01水果!$X50="公司筐",N(对接源_01水果!$V50)&lt;&gt;0)),1,0)</f>
        <v>0</v>
      </c>
      <c r="U50" s="3">
        <f t="shared" si="5"/>
        <v>0</v>
      </c>
      <c r="V50" s="3">
        <f>IF(AND($L50=1,AND(对接源_01水果!$X50="自备筐",N(对接源_01水果!$V50)&lt;&gt;0)),1,0)</f>
        <v>0</v>
      </c>
      <c r="W50" s="3">
        <f t="shared" si="6"/>
        <v>0</v>
      </c>
      <c r="X50" s="3">
        <f>IF(AND($L50=1,AND(对接源_01水果!$X50="自备筐",N(对接源_01水果!$T50)&lt;&gt;0)),1,0)</f>
        <v>0</v>
      </c>
      <c r="Y50" s="3">
        <f t="shared" si="7"/>
        <v>0</v>
      </c>
      <c r="Z50" s="3">
        <f>IF(AND($M50=1,对接源_01水果!$D50="原料入库"),1,0)</f>
        <v>0</v>
      </c>
      <c r="AA50" s="3">
        <f t="shared" si="8"/>
        <v>0</v>
      </c>
      <c r="AB50" s="3">
        <f>IF(AND($M50=1,LEFT(对接源_01水果!$D50,4)="原料出库"),1,0)</f>
        <v>0</v>
      </c>
      <c r="AC50" s="3">
        <f t="shared" si="9"/>
        <v>0</v>
      </c>
      <c r="AD50" s="3">
        <f>IF(AND($M50=1,LEFT(对接源_01水果!$D50,4)="成品出库"),1,0)</f>
        <v>0</v>
      </c>
      <c r="AE50" s="3">
        <f t="shared" si="10"/>
        <v>0</v>
      </c>
      <c r="AF50" s="3">
        <f>IF(AND($N50=1,AND(LEFT(对接源_01水果!$D50,4)="包装物料",N(对接源_01水果!$K50)&lt;&gt;0)),1,0)</f>
        <v>0</v>
      </c>
      <c r="AG50" s="3">
        <f t="shared" si="11"/>
        <v>0</v>
      </c>
      <c r="AH50" s="3">
        <f>IF(AND($N50=1,AND(对接源_01水果!$D50="周转筐－销售出库",N(对接源_01水果!$K50)&lt;&gt;0)),1,0)</f>
        <v>0</v>
      </c>
      <c r="AI50" s="3">
        <f t="shared" si="12"/>
        <v>0</v>
      </c>
      <c r="AJ50" s="7"/>
      <c r="AL50" s="3">
        <f>IF(OR($AL$1="",对接源_01水果!$Y50="",对接源_01水果!$Y50&lt;&gt;$AL$1,对接源_01水果!$B50="",N(对接源_01水果!$AJ50)&lt;=0),0,IF(OR(N(对接源_01水果!$B50)&lt;$AL$2,N(对接源_01水果!$B50)&gt;$AL$3),0,1))</f>
        <v>0</v>
      </c>
      <c r="AM50" s="3">
        <f t="shared" si="13"/>
        <v>0</v>
      </c>
      <c r="AN50" s="3" t="str">
        <f>IF(对接源_01水果!$AC50="","",对接源_01水果!$AC50)</f>
        <v/>
      </c>
      <c r="AO50" s="3">
        <f t="shared" si="14"/>
        <v>0</v>
      </c>
      <c r="AP50" s="3">
        <f t="shared" si="15"/>
        <v>0</v>
      </c>
      <c r="AQ50" s="3" t="str">
        <f t="shared" si="16"/>
        <v/>
      </c>
      <c r="AR50">
        <f t="shared" si="17"/>
        <v>0</v>
      </c>
      <c r="AS50">
        <f t="shared" si="18"/>
        <v>0</v>
      </c>
    </row>
    <row r="51" ht="14.25" customHeight="1" spans="1:45">
      <c r="A51" s="3" t="str">
        <f>IF(对接源_01水果!$C51="","",对接源_01水果!$C51)</f>
        <v>聂新平</v>
      </c>
      <c r="B51" s="3">
        <f t="shared" si="0"/>
        <v>0</v>
      </c>
      <c r="C51" s="3">
        <f t="shared" si="1"/>
        <v>4</v>
      </c>
      <c r="E51" s="3" t="str">
        <f t="shared" si="2"/>
        <v/>
      </c>
      <c r="K51" s="3">
        <f>IF(OR($K$1="",对接源_01水果!$C51="",对接源_01水果!$C51&lt;&gt;$K$1,对接源_01水果!$B51=""),0,IF(OR(N(对接源_01水果!$B51)&lt;$K$2,N(对接源_01水果!$B51)&gt;$K$3),0,1))</f>
        <v>0</v>
      </c>
      <c r="L51" s="3">
        <f>IF(OR($L$1="",对接源_01水果!$C51="",对接源_01水果!$C51&lt;&gt;$L$1,对接源_01水果!$B51=""),0,IF(OR(N(对接源_01水果!$B51)&lt;$L$2,N(对接源_01水果!$B51)&gt;$L$3),0,1))</f>
        <v>0</v>
      </c>
      <c r="M51" s="3">
        <f>IF(OR($M$1="",对接源_01水果!$C51="",对接源_01水果!$C51&lt;&gt;$M$1,对接源_01水果!$B51=""),0,IF(OR(N(对接源_01水果!$B51)&lt;$M$2,N(对接源_01水果!$B51)&gt;$M$3),0,1))</f>
        <v>0</v>
      </c>
      <c r="N51" s="3">
        <f>IF(OR($N$1="",对接源_01水果!$C51="",对接源_01水果!$C51&lt;&gt;$N$1,对接源_01水果!$B51=""),0,IF(OR(N(对接源_01水果!$B51)&lt;$N$2,N(对接源_01水果!$B51)&gt;$N$3),0,1))</f>
        <v>0</v>
      </c>
      <c r="P51" s="3">
        <f>IF(AND($K51=1,AND(对接源_01水果!$X51="公司筐",N(对接源_01水果!$T51)&lt;&gt;0)),1,0)</f>
        <v>0</v>
      </c>
      <c r="Q51" s="3">
        <f t="shared" si="3"/>
        <v>0</v>
      </c>
      <c r="R51" s="3">
        <f>IF(AND($K51=1,AND(对接源_01水果!$X51="公司筐",N(对接源_01水果!$U51)&lt;&gt;0)),1,0)</f>
        <v>0</v>
      </c>
      <c r="S51" s="3">
        <f t="shared" si="4"/>
        <v>0</v>
      </c>
      <c r="T51" s="3">
        <f>IF(AND($K51=1,AND(对接源_01水果!$X51="公司筐",N(对接源_01水果!$V51)&lt;&gt;0)),1,0)</f>
        <v>0</v>
      </c>
      <c r="U51" s="3">
        <f t="shared" si="5"/>
        <v>0</v>
      </c>
      <c r="V51" s="3">
        <f>IF(AND($L51=1,AND(对接源_01水果!$X51="自备筐",N(对接源_01水果!$V51)&lt;&gt;0)),1,0)</f>
        <v>0</v>
      </c>
      <c r="W51" s="3">
        <f t="shared" si="6"/>
        <v>0</v>
      </c>
      <c r="X51" s="3">
        <f>IF(AND($L51=1,AND(对接源_01水果!$X51="自备筐",N(对接源_01水果!$T51)&lt;&gt;0)),1,0)</f>
        <v>0</v>
      </c>
      <c r="Y51" s="3">
        <f t="shared" si="7"/>
        <v>0</v>
      </c>
      <c r="Z51" s="3">
        <f>IF(AND($M51=1,对接源_01水果!$D51="原料入库"),1,0)</f>
        <v>0</v>
      </c>
      <c r="AA51" s="3">
        <f t="shared" si="8"/>
        <v>0</v>
      </c>
      <c r="AB51" s="3">
        <f>IF(AND($M51=1,LEFT(对接源_01水果!$D51,4)="原料出库"),1,0)</f>
        <v>0</v>
      </c>
      <c r="AC51" s="3">
        <f t="shared" si="9"/>
        <v>0</v>
      </c>
      <c r="AD51" s="3">
        <f>IF(AND($M51=1,LEFT(对接源_01水果!$D51,4)="成品出库"),1,0)</f>
        <v>0</v>
      </c>
      <c r="AE51" s="3">
        <f t="shared" si="10"/>
        <v>0</v>
      </c>
      <c r="AF51" s="3">
        <f>IF(AND($N51=1,AND(LEFT(对接源_01水果!$D51,4)="包装物料",N(对接源_01水果!$K51)&lt;&gt;0)),1,0)</f>
        <v>0</v>
      </c>
      <c r="AG51" s="3">
        <f t="shared" si="11"/>
        <v>0</v>
      </c>
      <c r="AH51" s="3">
        <f>IF(AND($N51=1,AND(对接源_01水果!$D51="周转筐－销售出库",N(对接源_01水果!$K51)&lt;&gt;0)),1,0)</f>
        <v>0</v>
      </c>
      <c r="AI51" s="3">
        <f t="shared" si="12"/>
        <v>0</v>
      </c>
      <c r="AJ51" s="7"/>
      <c r="AL51" s="3">
        <f>IF(OR($AL$1="",对接源_01水果!$Y51="",对接源_01水果!$Y51&lt;&gt;$AL$1,对接源_01水果!$B51="",N(对接源_01水果!$AJ51)&lt;=0),0,IF(OR(N(对接源_01水果!$B51)&lt;$AL$2,N(对接源_01水果!$B51)&gt;$AL$3),0,1))</f>
        <v>0</v>
      </c>
      <c r="AM51" s="3">
        <f t="shared" si="13"/>
        <v>0</v>
      </c>
      <c r="AN51" s="3" t="str">
        <f>IF(对接源_01水果!$AC51="","",对接源_01水果!$AC51)</f>
        <v/>
      </c>
      <c r="AO51" s="3">
        <f t="shared" si="14"/>
        <v>0</v>
      </c>
      <c r="AP51" s="3">
        <f t="shared" si="15"/>
        <v>0</v>
      </c>
      <c r="AQ51" s="3" t="str">
        <f t="shared" si="16"/>
        <v/>
      </c>
      <c r="AR51">
        <f t="shared" si="17"/>
        <v>0</v>
      </c>
      <c r="AS51">
        <f t="shared" si="18"/>
        <v>0</v>
      </c>
    </row>
    <row r="52" ht="14.25" customHeight="1" spans="1:45">
      <c r="A52" s="3" t="str">
        <f>IF(对接源_01水果!$C52="","",对接源_01水果!$C52)</f>
        <v>王照雪</v>
      </c>
      <c r="B52" s="3">
        <f t="shared" si="0"/>
        <v>0</v>
      </c>
      <c r="C52" s="3">
        <f t="shared" si="1"/>
        <v>4</v>
      </c>
      <c r="E52" s="3" t="str">
        <f t="shared" si="2"/>
        <v/>
      </c>
      <c r="K52" s="3">
        <f>IF(OR($K$1="",对接源_01水果!$C52="",对接源_01水果!$C52&lt;&gt;$K$1,对接源_01水果!$B52=""),0,IF(OR(N(对接源_01水果!$B52)&lt;$K$2,N(对接源_01水果!$B52)&gt;$K$3),0,1))</f>
        <v>0</v>
      </c>
      <c r="L52" s="3">
        <f>IF(OR($L$1="",对接源_01水果!$C52="",对接源_01水果!$C52&lt;&gt;$L$1,对接源_01水果!$B52=""),0,IF(OR(N(对接源_01水果!$B52)&lt;$L$2,N(对接源_01水果!$B52)&gt;$L$3),0,1))</f>
        <v>0</v>
      </c>
      <c r="M52" s="3">
        <f>IF(OR($M$1="",对接源_01水果!$C52="",对接源_01水果!$C52&lt;&gt;$M$1,对接源_01水果!$B52=""),0,IF(OR(N(对接源_01水果!$B52)&lt;$M$2,N(对接源_01水果!$B52)&gt;$M$3),0,1))</f>
        <v>0</v>
      </c>
      <c r="N52" s="3">
        <f>IF(OR($N$1="",对接源_01水果!$C52="",对接源_01水果!$C52&lt;&gt;$N$1,对接源_01水果!$B52=""),0,IF(OR(N(对接源_01水果!$B52)&lt;$N$2,N(对接源_01水果!$B52)&gt;$N$3),0,1))</f>
        <v>0</v>
      </c>
      <c r="P52" s="3">
        <f>IF(AND($K52=1,AND(对接源_01水果!$X52="公司筐",N(对接源_01水果!$T52)&lt;&gt;0)),1,0)</f>
        <v>0</v>
      </c>
      <c r="Q52" s="3">
        <f t="shared" si="3"/>
        <v>0</v>
      </c>
      <c r="R52" s="3">
        <f>IF(AND($K52=1,AND(对接源_01水果!$X52="公司筐",N(对接源_01水果!$U52)&lt;&gt;0)),1,0)</f>
        <v>0</v>
      </c>
      <c r="S52" s="3">
        <f t="shared" si="4"/>
        <v>0</v>
      </c>
      <c r="T52" s="3">
        <f>IF(AND($K52=1,AND(对接源_01水果!$X52="公司筐",N(对接源_01水果!$V52)&lt;&gt;0)),1,0)</f>
        <v>0</v>
      </c>
      <c r="U52" s="3">
        <f t="shared" si="5"/>
        <v>0</v>
      </c>
      <c r="V52" s="3">
        <f>IF(AND($L52=1,AND(对接源_01水果!$X52="自备筐",N(对接源_01水果!$V52)&lt;&gt;0)),1,0)</f>
        <v>0</v>
      </c>
      <c r="W52" s="3">
        <f t="shared" si="6"/>
        <v>0</v>
      </c>
      <c r="X52" s="3">
        <f>IF(AND($L52=1,AND(对接源_01水果!$X52="自备筐",N(对接源_01水果!$T52)&lt;&gt;0)),1,0)</f>
        <v>0</v>
      </c>
      <c r="Y52" s="3">
        <f t="shared" si="7"/>
        <v>0</v>
      </c>
      <c r="Z52" s="3">
        <f>IF(AND($M52=1,对接源_01水果!$D52="原料入库"),1,0)</f>
        <v>0</v>
      </c>
      <c r="AA52" s="3">
        <f t="shared" si="8"/>
        <v>0</v>
      </c>
      <c r="AB52" s="3">
        <f>IF(AND($M52=1,LEFT(对接源_01水果!$D52,4)="原料出库"),1,0)</f>
        <v>0</v>
      </c>
      <c r="AC52" s="3">
        <f t="shared" si="9"/>
        <v>0</v>
      </c>
      <c r="AD52" s="3">
        <f>IF(AND($M52=1,LEFT(对接源_01水果!$D52,4)="成品出库"),1,0)</f>
        <v>0</v>
      </c>
      <c r="AE52" s="3">
        <f t="shared" si="10"/>
        <v>0</v>
      </c>
      <c r="AF52" s="3">
        <f>IF(AND($N52=1,AND(LEFT(对接源_01水果!$D52,4)="包装物料",N(对接源_01水果!$K52)&lt;&gt;0)),1,0)</f>
        <v>0</v>
      </c>
      <c r="AG52" s="3">
        <f t="shared" si="11"/>
        <v>0</v>
      </c>
      <c r="AH52" s="3">
        <f>IF(AND($N52=1,AND(对接源_01水果!$D52="周转筐－销售出库",N(对接源_01水果!$K52)&lt;&gt;0)),1,0)</f>
        <v>0</v>
      </c>
      <c r="AI52" s="3">
        <f t="shared" si="12"/>
        <v>0</v>
      </c>
      <c r="AJ52" s="7"/>
      <c r="AL52" s="3">
        <f>IF(OR($AL$1="",对接源_01水果!$Y52="",对接源_01水果!$Y52&lt;&gt;$AL$1,对接源_01水果!$B52="",N(对接源_01水果!$AJ52)&lt;=0),0,IF(OR(N(对接源_01水果!$B52)&lt;$AL$2,N(对接源_01水果!$B52)&gt;$AL$3),0,1))</f>
        <v>0</v>
      </c>
      <c r="AM52" s="3">
        <f t="shared" si="13"/>
        <v>0</v>
      </c>
      <c r="AN52" s="3" t="str">
        <f>IF(对接源_01水果!$AC52="","",对接源_01水果!$AC52)</f>
        <v/>
      </c>
      <c r="AO52" s="3">
        <f t="shared" si="14"/>
        <v>0</v>
      </c>
      <c r="AP52" s="3">
        <f t="shared" si="15"/>
        <v>0</v>
      </c>
      <c r="AQ52" s="3" t="str">
        <f t="shared" si="16"/>
        <v/>
      </c>
      <c r="AR52">
        <f t="shared" si="17"/>
        <v>0</v>
      </c>
      <c r="AS52">
        <f t="shared" si="18"/>
        <v>0</v>
      </c>
    </row>
    <row r="53" ht="14.25" customHeight="1" spans="1:45">
      <c r="A53" s="3" t="str">
        <f>IF(对接源_01水果!$C53="","",对接源_01水果!$C53)</f>
        <v>王照雪</v>
      </c>
      <c r="B53" s="3">
        <f t="shared" si="0"/>
        <v>0</v>
      </c>
      <c r="C53" s="3">
        <f t="shared" si="1"/>
        <v>4</v>
      </c>
      <c r="E53" s="3" t="str">
        <f t="shared" si="2"/>
        <v/>
      </c>
      <c r="K53" s="3">
        <f>IF(OR($K$1="",对接源_01水果!$C53="",对接源_01水果!$C53&lt;&gt;$K$1,对接源_01水果!$B53=""),0,IF(OR(N(对接源_01水果!$B53)&lt;$K$2,N(对接源_01水果!$B53)&gt;$K$3),0,1))</f>
        <v>0</v>
      </c>
      <c r="L53" s="3">
        <f>IF(OR($L$1="",对接源_01水果!$C53="",对接源_01水果!$C53&lt;&gt;$L$1,对接源_01水果!$B53=""),0,IF(OR(N(对接源_01水果!$B53)&lt;$L$2,N(对接源_01水果!$B53)&gt;$L$3),0,1))</f>
        <v>0</v>
      </c>
      <c r="M53" s="3">
        <f>IF(OR($M$1="",对接源_01水果!$C53="",对接源_01水果!$C53&lt;&gt;$M$1,对接源_01水果!$B53=""),0,IF(OR(N(对接源_01水果!$B53)&lt;$M$2,N(对接源_01水果!$B53)&gt;$M$3),0,1))</f>
        <v>0</v>
      </c>
      <c r="N53" s="3">
        <f>IF(OR($N$1="",对接源_01水果!$C53="",对接源_01水果!$C53&lt;&gt;$N$1,对接源_01水果!$B53=""),0,IF(OR(N(对接源_01水果!$B53)&lt;$N$2,N(对接源_01水果!$B53)&gt;$N$3),0,1))</f>
        <v>0</v>
      </c>
      <c r="P53" s="3">
        <f>IF(AND($K53=1,AND(对接源_01水果!$X53="公司筐",N(对接源_01水果!$T53)&lt;&gt;0)),1,0)</f>
        <v>0</v>
      </c>
      <c r="Q53" s="3">
        <f t="shared" si="3"/>
        <v>0</v>
      </c>
      <c r="R53" s="3">
        <f>IF(AND($K53=1,AND(对接源_01水果!$X53="公司筐",N(对接源_01水果!$U53)&lt;&gt;0)),1,0)</f>
        <v>0</v>
      </c>
      <c r="S53" s="3">
        <f t="shared" si="4"/>
        <v>0</v>
      </c>
      <c r="T53" s="3">
        <f>IF(AND($K53=1,AND(对接源_01水果!$X53="公司筐",N(对接源_01水果!$V53)&lt;&gt;0)),1,0)</f>
        <v>0</v>
      </c>
      <c r="U53" s="3">
        <f t="shared" si="5"/>
        <v>0</v>
      </c>
      <c r="V53" s="3">
        <f>IF(AND($L53=1,AND(对接源_01水果!$X53="自备筐",N(对接源_01水果!$V53)&lt;&gt;0)),1,0)</f>
        <v>0</v>
      </c>
      <c r="W53" s="3">
        <f t="shared" si="6"/>
        <v>0</v>
      </c>
      <c r="X53" s="3">
        <f>IF(AND($L53=1,AND(对接源_01水果!$X53="自备筐",N(对接源_01水果!$T53)&lt;&gt;0)),1,0)</f>
        <v>0</v>
      </c>
      <c r="Y53" s="3">
        <f t="shared" si="7"/>
        <v>0</v>
      </c>
      <c r="Z53" s="3">
        <f>IF(AND($M53=1,对接源_01水果!$D53="原料入库"),1,0)</f>
        <v>0</v>
      </c>
      <c r="AA53" s="3">
        <f t="shared" si="8"/>
        <v>0</v>
      </c>
      <c r="AB53" s="3">
        <f>IF(AND($M53=1,LEFT(对接源_01水果!$D53,4)="原料出库"),1,0)</f>
        <v>0</v>
      </c>
      <c r="AC53" s="3">
        <f t="shared" si="9"/>
        <v>0</v>
      </c>
      <c r="AD53" s="3">
        <f>IF(AND($M53=1,LEFT(对接源_01水果!$D53,4)="成品出库"),1,0)</f>
        <v>0</v>
      </c>
      <c r="AE53" s="3">
        <f t="shared" si="10"/>
        <v>0</v>
      </c>
      <c r="AF53" s="3">
        <f>IF(AND($N53=1,AND(LEFT(对接源_01水果!$D53,4)="包装物料",N(对接源_01水果!$K53)&lt;&gt;0)),1,0)</f>
        <v>0</v>
      </c>
      <c r="AG53" s="3">
        <f t="shared" si="11"/>
        <v>0</v>
      </c>
      <c r="AH53" s="3">
        <f>IF(AND($N53=1,AND(对接源_01水果!$D53="周转筐－销售出库",N(对接源_01水果!$K53)&lt;&gt;0)),1,0)</f>
        <v>0</v>
      </c>
      <c r="AI53" s="3">
        <f t="shared" si="12"/>
        <v>0</v>
      </c>
      <c r="AJ53" s="7"/>
      <c r="AL53" s="3">
        <f>IF(OR($AL$1="",对接源_01水果!$Y53="",对接源_01水果!$Y53&lt;&gt;$AL$1,对接源_01水果!$B53="",N(对接源_01水果!$AJ53)&lt;=0),0,IF(OR(N(对接源_01水果!$B53)&lt;$AL$2,N(对接源_01水果!$B53)&gt;$AL$3),0,1))</f>
        <v>0</v>
      </c>
      <c r="AM53" s="3">
        <f t="shared" si="13"/>
        <v>0</v>
      </c>
      <c r="AN53" s="3" t="str">
        <f>IF(对接源_01水果!$AC53="","",对接源_01水果!$AC53)</f>
        <v/>
      </c>
      <c r="AO53" s="3">
        <f t="shared" si="14"/>
        <v>0</v>
      </c>
      <c r="AP53" s="3">
        <f t="shared" si="15"/>
        <v>0</v>
      </c>
      <c r="AQ53" s="3" t="str">
        <f t="shared" si="16"/>
        <v/>
      </c>
      <c r="AR53">
        <f t="shared" si="17"/>
        <v>0</v>
      </c>
      <c r="AS53">
        <f t="shared" si="18"/>
        <v>0</v>
      </c>
    </row>
    <row r="54" ht="14.25" customHeight="1" spans="1:45">
      <c r="A54" s="3" t="str">
        <f>IF(对接源_01水果!$C54="","",对接源_01水果!$C54)</f>
        <v>王照雪</v>
      </c>
      <c r="B54" s="3">
        <f t="shared" si="0"/>
        <v>0</v>
      </c>
      <c r="C54" s="3">
        <f t="shared" si="1"/>
        <v>4</v>
      </c>
      <c r="E54" s="3" t="str">
        <f t="shared" si="2"/>
        <v/>
      </c>
      <c r="K54" s="3">
        <f>IF(OR($K$1="",对接源_01水果!$C54="",对接源_01水果!$C54&lt;&gt;$K$1,对接源_01水果!$B54=""),0,IF(OR(N(对接源_01水果!$B54)&lt;$K$2,N(对接源_01水果!$B54)&gt;$K$3),0,1))</f>
        <v>0</v>
      </c>
      <c r="L54" s="3">
        <f>IF(OR($L$1="",对接源_01水果!$C54="",对接源_01水果!$C54&lt;&gt;$L$1,对接源_01水果!$B54=""),0,IF(OR(N(对接源_01水果!$B54)&lt;$L$2,N(对接源_01水果!$B54)&gt;$L$3),0,1))</f>
        <v>0</v>
      </c>
      <c r="M54" s="3">
        <f>IF(OR($M$1="",对接源_01水果!$C54="",对接源_01水果!$C54&lt;&gt;$M$1,对接源_01水果!$B54=""),0,IF(OR(N(对接源_01水果!$B54)&lt;$M$2,N(对接源_01水果!$B54)&gt;$M$3),0,1))</f>
        <v>0</v>
      </c>
      <c r="N54" s="3">
        <f>IF(OR($N$1="",对接源_01水果!$C54="",对接源_01水果!$C54&lt;&gt;$N$1,对接源_01水果!$B54=""),0,IF(OR(N(对接源_01水果!$B54)&lt;$N$2,N(对接源_01水果!$B54)&gt;$N$3),0,1))</f>
        <v>0</v>
      </c>
      <c r="P54" s="3">
        <f>IF(AND($K54=1,AND(对接源_01水果!$X54="公司筐",N(对接源_01水果!$T54)&lt;&gt;0)),1,0)</f>
        <v>0</v>
      </c>
      <c r="Q54" s="3">
        <f t="shared" si="3"/>
        <v>0</v>
      </c>
      <c r="R54" s="3">
        <f>IF(AND($K54=1,AND(对接源_01水果!$X54="公司筐",N(对接源_01水果!$U54)&lt;&gt;0)),1,0)</f>
        <v>0</v>
      </c>
      <c r="S54" s="3">
        <f t="shared" si="4"/>
        <v>0</v>
      </c>
      <c r="T54" s="3">
        <f>IF(AND($K54=1,AND(对接源_01水果!$X54="公司筐",N(对接源_01水果!$V54)&lt;&gt;0)),1,0)</f>
        <v>0</v>
      </c>
      <c r="U54" s="3">
        <f t="shared" si="5"/>
        <v>0</v>
      </c>
      <c r="V54" s="3">
        <f>IF(AND($L54=1,AND(对接源_01水果!$X54="自备筐",N(对接源_01水果!$V54)&lt;&gt;0)),1,0)</f>
        <v>0</v>
      </c>
      <c r="W54" s="3">
        <f t="shared" si="6"/>
        <v>0</v>
      </c>
      <c r="X54" s="3">
        <f>IF(AND($L54=1,AND(对接源_01水果!$X54="自备筐",N(对接源_01水果!$T54)&lt;&gt;0)),1,0)</f>
        <v>0</v>
      </c>
      <c r="Y54" s="3">
        <f t="shared" si="7"/>
        <v>0</v>
      </c>
      <c r="Z54" s="3">
        <f>IF(AND($M54=1,对接源_01水果!$D54="原料入库"),1,0)</f>
        <v>0</v>
      </c>
      <c r="AA54" s="3">
        <f t="shared" si="8"/>
        <v>0</v>
      </c>
      <c r="AB54" s="3">
        <f>IF(AND($M54=1,LEFT(对接源_01水果!$D54,4)="原料出库"),1,0)</f>
        <v>0</v>
      </c>
      <c r="AC54" s="3">
        <f t="shared" si="9"/>
        <v>0</v>
      </c>
      <c r="AD54" s="3">
        <f>IF(AND($M54=1,LEFT(对接源_01水果!$D54,4)="成品出库"),1,0)</f>
        <v>0</v>
      </c>
      <c r="AE54" s="3">
        <f t="shared" si="10"/>
        <v>0</v>
      </c>
      <c r="AF54" s="3">
        <f>IF(AND($N54=1,AND(LEFT(对接源_01水果!$D54,4)="包装物料",N(对接源_01水果!$K54)&lt;&gt;0)),1,0)</f>
        <v>0</v>
      </c>
      <c r="AG54" s="3">
        <f t="shared" si="11"/>
        <v>0</v>
      </c>
      <c r="AH54" s="3">
        <f>IF(AND($N54=1,AND(对接源_01水果!$D54="周转筐－销售出库",N(对接源_01水果!$K54)&lt;&gt;0)),1,0)</f>
        <v>0</v>
      </c>
      <c r="AI54" s="3">
        <f t="shared" si="12"/>
        <v>0</v>
      </c>
      <c r="AJ54" s="7"/>
      <c r="AL54" s="3">
        <f>IF(OR($AL$1="",对接源_01水果!$Y54="",对接源_01水果!$Y54&lt;&gt;$AL$1,对接源_01水果!$B54="",N(对接源_01水果!$AJ54)&lt;=0),0,IF(OR(N(对接源_01水果!$B54)&lt;$AL$2,N(对接源_01水果!$B54)&gt;$AL$3),0,1))</f>
        <v>0</v>
      </c>
      <c r="AM54" s="3">
        <f t="shared" si="13"/>
        <v>0</v>
      </c>
      <c r="AN54" s="3" t="str">
        <f>IF(对接源_01水果!$AC54="","",对接源_01水果!$AC54)</f>
        <v/>
      </c>
      <c r="AO54" s="3">
        <f t="shared" si="14"/>
        <v>0</v>
      </c>
      <c r="AP54" s="3">
        <f t="shared" si="15"/>
        <v>0</v>
      </c>
      <c r="AQ54" s="3" t="str">
        <f t="shared" si="16"/>
        <v/>
      </c>
      <c r="AR54">
        <f t="shared" si="17"/>
        <v>0</v>
      </c>
      <c r="AS54">
        <f t="shared" si="18"/>
        <v>0</v>
      </c>
    </row>
    <row r="55" ht="14.25" customHeight="1" spans="1:45">
      <c r="A55" s="3" t="str">
        <f>IF(对接源_01水果!$C55="","",对接源_01水果!$C55)</f>
        <v>聂新平</v>
      </c>
      <c r="B55" s="3">
        <f t="shared" si="0"/>
        <v>0</v>
      </c>
      <c r="C55" s="3">
        <f t="shared" si="1"/>
        <v>4</v>
      </c>
      <c r="E55" s="3" t="str">
        <f t="shared" si="2"/>
        <v/>
      </c>
      <c r="K55" s="3">
        <f>IF(OR($K$1="",对接源_01水果!$C55="",对接源_01水果!$C55&lt;&gt;$K$1,对接源_01水果!$B55=""),0,IF(OR(N(对接源_01水果!$B55)&lt;$K$2,N(对接源_01水果!$B55)&gt;$K$3),0,1))</f>
        <v>0</v>
      </c>
      <c r="L55" s="3">
        <f>IF(OR($L$1="",对接源_01水果!$C55="",对接源_01水果!$C55&lt;&gt;$L$1,对接源_01水果!$B55=""),0,IF(OR(N(对接源_01水果!$B55)&lt;$L$2,N(对接源_01水果!$B55)&gt;$L$3),0,1))</f>
        <v>0</v>
      </c>
      <c r="M55" s="3">
        <f>IF(OR($M$1="",对接源_01水果!$C55="",对接源_01水果!$C55&lt;&gt;$M$1,对接源_01水果!$B55=""),0,IF(OR(N(对接源_01水果!$B55)&lt;$M$2,N(对接源_01水果!$B55)&gt;$M$3),0,1))</f>
        <v>0</v>
      </c>
      <c r="N55" s="3">
        <f>IF(OR($N$1="",对接源_01水果!$C55="",对接源_01水果!$C55&lt;&gt;$N$1,对接源_01水果!$B55=""),0,IF(OR(N(对接源_01水果!$B55)&lt;$N$2,N(对接源_01水果!$B55)&gt;$N$3),0,1))</f>
        <v>0</v>
      </c>
      <c r="P55" s="3">
        <f>IF(AND($K55=1,AND(对接源_01水果!$X55="公司筐",N(对接源_01水果!$T55)&lt;&gt;0)),1,0)</f>
        <v>0</v>
      </c>
      <c r="Q55" s="3">
        <f t="shared" si="3"/>
        <v>0</v>
      </c>
      <c r="R55" s="3">
        <f>IF(AND($K55=1,AND(对接源_01水果!$X55="公司筐",N(对接源_01水果!$U55)&lt;&gt;0)),1,0)</f>
        <v>0</v>
      </c>
      <c r="S55" s="3">
        <f t="shared" si="4"/>
        <v>0</v>
      </c>
      <c r="T55" s="3">
        <f>IF(AND($K55=1,AND(对接源_01水果!$X55="公司筐",N(对接源_01水果!$V55)&lt;&gt;0)),1,0)</f>
        <v>0</v>
      </c>
      <c r="U55" s="3">
        <f t="shared" si="5"/>
        <v>0</v>
      </c>
      <c r="V55" s="3">
        <f>IF(AND($L55=1,AND(对接源_01水果!$X55="自备筐",N(对接源_01水果!$V55)&lt;&gt;0)),1,0)</f>
        <v>0</v>
      </c>
      <c r="W55" s="3">
        <f t="shared" si="6"/>
        <v>0</v>
      </c>
      <c r="X55" s="3">
        <f>IF(AND($L55=1,AND(对接源_01水果!$X55="自备筐",N(对接源_01水果!$T55)&lt;&gt;0)),1,0)</f>
        <v>0</v>
      </c>
      <c r="Y55" s="3">
        <f t="shared" si="7"/>
        <v>0</v>
      </c>
      <c r="Z55" s="3">
        <f>IF(AND($M55=1,对接源_01水果!$D55="原料入库"),1,0)</f>
        <v>0</v>
      </c>
      <c r="AA55" s="3">
        <f t="shared" si="8"/>
        <v>0</v>
      </c>
      <c r="AB55" s="3">
        <f>IF(AND($M55=1,LEFT(对接源_01水果!$D55,4)="原料出库"),1,0)</f>
        <v>0</v>
      </c>
      <c r="AC55" s="3">
        <f t="shared" si="9"/>
        <v>0</v>
      </c>
      <c r="AD55" s="3">
        <f>IF(AND($M55=1,LEFT(对接源_01水果!$D55,4)="成品出库"),1,0)</f>
        <v>0</v>
      </c>
      <c r="AE55" s="3">
        <f t="shared" si="10"/>
        <v>0</v>
      </c>
      <c r="AF55" s="3">
        <f>IF(AND($N55=1,AND(LEFT(对接源_01水果!$D55,4)="包装物料",N(对接源_01水果!$K55)&lt;&gt;0)),1,0)</f>
        <v>0</v>
      </c>
      <c r="AG55" s="3">
        <f t="shared" si="11"/>
        <v>0</v>
      </c>
      <c r="AH55" s="3">
        <f>IF(AND($N55=1,AND(对接源_01水果!$D55="周转筐－销售出库",N(对接源_01水果!$K55)&lt;&gt;0)),1,0)</f>
        <v>0</v>
      </c>
      <c r="AI55" s="3">
        <f t="shared" si="12"/>
        <v>0</v>
      </c>
      <c r="AJ55" s="7"/>
      <c r="AL55" s="3">
        <f>IF(OR($AL$1="",对接源_01水果!$Y55="",对接源_01水果!$Y55&lt;&gt;$AL$1,对接源_01水果!$B55="",N(对接源_01水果!$AJ55)&lt;=0),0,IF(OR(N(对接源_01水果!$B55)&lt;$AL$2,N(对接源_01水果!$B55)&gt;$AL$3),0,1))</f>
        <v>0</v>
      </c>
      <c r="AM55" s="3">
        <f t="shared" si="13"/>
        <v>0</v>
      </c>
      <c r="AN55" s="3" t="str">
        <f>IF(对接源_01水果!$AC55="","",对接源_01水果!$AC55)</f>
        <v/>
      </c>
      <c r="AO55" s="3">
        <f t="shared" si="14"/>
        <v>0</v>
      </c>
      <c r="AP55" s="3">
        <f t="shared" si="15"/>
        <v>0</v>
      </c>
      <c r="AQ55" s="3" t="str">
        <f t="shared" si="16"/>
        <v/>
      </c>
      <c r="AR55">
        <f t="shared" si="17"/>
        <v>0</v>
      </c>
      <c r="AS55">
        <f t="shared" si="18"/>
        <v>0</v>
      </c>
    </row>
    <row r="56" ht="14.25" customHeight="1" spans="1:45">
      <c r="A56" s="3" t="str">
        <f>IF(对接源_01水果!$C56="","",对接源_01水果!$C56)</f>
        <v>聂新平</v>
      </c>
      <c r="B56" s="3">
        <f t="shared" si="0"/>
        <v>0</v>
      </c>
      <c r="C56" s="3">
        <f t="shared" si="1"/>
        <v>4</v>
      </c>
      <c r="E56" s="3" t="str">
        <f t="shared" si="2"/>
        <v/>
      </c>
      <c r="K56" s="3">
        <f>IF(OR($K$1="",对接源_01水果!$C56="",对接源_01水果!$C56&lt;&gt;$K$1,对接源_01水果!$B56=""),0,IF(OR(N(对接源_01水果!$B56)&lt;$K$2,N(对接源_01水果!$B56)&gt;$K$3),0,1))</f>
        <v>0</v>
      </c>
      <c r="L56" s="3">
        <f>IF(OR($L$1="",对接源_01水果!$C56="",对接源_01水果!$C56&lt;&gt;$L$1,对接源_01水果!$B56=""),0,IF(OR(N(对接源_01水果!$B56)&lt;$L$2,N(对接源_01水果!$B56)&gt;$L$3),0,1))</f>
        <v>0</v>
      </c>
      <c r="M56" s="3">
        <f>IF(OR($M$1="",对接源_01水果!$C56="",对接源_01水果!$C56&lt;&gt;$M$1,对接源_01水果!$B56=""),0,IF(OR(N(对接源_01水果!$B56)&lt;$M$2,N(对接源_01水果!$B56)&gt;$M$3),0,1))</f>
        <v>0</v>
      </c>
      <c r="N56" s="3">
        <f>IF(OR($N$1="",对接源_01水果!$C56="",对接源_01水果!$C56&lt;&gt;$N$1,对接源_01水果!$B56=""),0,IF(OR(N(对接源_01水果!$B56)&lt;$N$2,N(对接源_01水果!$B56)&gt;$N$3),0,1))</f>
        <v>0</v>
      </c>
      <c r="P56" s="3">
        <f>IF(AND($K56=1,AND(对接源_01水果!$X56="公司筐",N(对接源_01水果!$T56)&lt;&gt;0)),1,0)</f>
        <v>0</v>
      </c>
      <c r="Q56" s="3">
        <f t="shared" si="3"/>
        <v>0</v>
      </c>
      <c r="R56" s="3">
        <f>IF(AND($K56=1,AND(对接源_01水果!$X56="公司筐",N(对接源_01水果!$U56)&lt;&gt;0)),1,0)</f>
        <v>0</v>
      </c>
      <c r="S56" s="3">
        <f t="shared" si="4"/>
        <v>0</v>
      </c>
      <c r="T56" s="3">
        <f>IF(AND($K56=1,AND(对接源_01水果!$X56="公司筐",N(对接源_01水果!$V56)&lt;&gt;0)),1,0)</f>
        <v>0</v>
      </c>
      <c r="U56" s="3">
        <f t="shared" si="5"/>
        <v>0</v>
      </c>
      <c r="V56" s="3">
        <f>IF(AND($L56=1,AND(对接源_01水果!$X56="自备筐",N(对接源_01水果!$V56)&lt;&gt;0)),1,0)</f>
        <v>0</v>
      </c>
      <c r="W56" s="3">
        <f t="shared" si="6"/>
        <v>0</v>
      </c>
      <c r="X56" s="3">
        <f>IF(AND($L56=1,AND(对接源_01水果!$X56="自备筐",N(对接源_01水果!$T56)&lt;&gt;0)),1,0)</f>
        <v>0</v>
      </c>
      <c r="Y56" s="3">
        <f t="shared" si="7"/>
        <v>0</v>
      </c>
      <c r="Z56" s="3">
        <f>IF(AND($M56=1,对接源_01水果!$D56="原料入库"),1,0)</f>
        <v>0</v>
      </c>
      <c r="AA56" s="3">
        <f t="shared" si="8"/>
        <v>0</v>
      </c>
      <c r="AB56" s="3">
        <f>IF(AND($M56=1,LEFT(对接源_01水果!$D56,4)="原料出库"),1,0)</f>
        <v>0</v>
      </c>
      <c r="AC56" s="3">
        <f t="shared" si="9"/>
        <v>0</v>
      </c>
      <c r="AD56" s="3">
        <f>IF(AND($M56=1,LEFT(对接源_01水果!$D56,4)="成品出库"),1,0)</f>
        <v>0</v>
      </c>
      <c r="AE56" s="3">
        <f t="shared" si="10"/>
        <v>0</v>
      </c>
      <c r="AF56" s="3">
        <f>IF(AND($N56=1,AND(LEFT(对接源_01水果!$D56,4)="包装物料",N(对接源_01水果!$K56)&lt;&gt;0)),1,0)</f>
        <v>0</v>
      </c>
      <c r="AG56" s="3">
        <f t="shared" si="11"/>
        <v>0</v>
      </c>
      <c r="AH56" s="3">
        <f>IF(AND($N56=1,AND(对接源_01水果!$D56="周转筐－销售出库",N(对接源_01水果!$K56)&lt;&gt;0)),1,0)</f>
        <v>0</v>
      </c>
      <c r="AI56" s="3">
        <f t="shared" si="12"/>
        <v>0</v>
      </c>
      <c r="AJ56" s="7"/>
      <c r="AL56" s="3">
        <f>IF(OR($AL$1="",对接源_01水果!$Y56="",对接源_01水果!$Y56&lt;&gt;$AL$1,对接源_01水果!$B56="",N(对接源_01水果!$AJ56)&lt;=0),0,IF(OR(N(对接源_01水果!$B56)&lt;$AL$2,N(对接源_01水果!$B56)&gt;$AL$3),0,1))</f>
        <v>0</v>
      </c>
      <c r="AM56" s="3">
        <f t="shared" si="13"/>
        <v>0</v>
      </c>
      <c r="AN56" s="3" t="str">
        <f>IF(对接源_01水果!$AC56="","",对接源_01水果!$AC56)</f>
        <v/>
      </c>
      <c r="AO56" s="3">
        <f t="shared" si="14"/>
        <v>0</v>
      </c>
      <c r="AP56" s="3">
        <f t="shared" si="15"/>
        <v>0</v>
      </c>
      <c r="AQ56" s="3" t="str">
        <f t="shared" si="16"/>
        <v/>
      </c>
      <c r="AR56">
        <f t="shared" si="17"/>
        <v>0</v>
      </c>
      <c r="AS56">
        <f t="shared" si="18"/>
        <v>0</v>
      </c>
    </row>
    <row r="57" ht="14.25" customHeight="1" spans="1:45">
      <c r="A57" s="3" t="str">
        <f>IF(对接源_01水果!$C57="","",对接源_01水果!$C57)</f>
        <v>聂新平</v>
      </c>
      <c r="B57" s="3">
        <f t="shared" si="0"/>
        <v>0</v>
      </c>
      <c r="C57" s="3">
        <f t="shared" si="1"/>
        <v>4</v>
      </c>
      <c r="E57" s="3" t="str">
        <f t="shared" si="2"/>
        <v/>
      </c>
      <c r="K57" s="3">
        <f>IF(OR($K$1="",对接源_01水果!$C57="",对接源_01水果!$C57&lt;&gt;$K$1,对接源_01水果!$B57=""),0,IF(OR(N(对接源_01水果!$B57)&lt;$K$2,N(对接源_01水果!$B57)&gt;$K$3),0,1))</f>
        <v>0</v>
      </c>
      <c r="L57" s="3">
        <f>IF(OR($L$1="",对接源_01水果!$C57="",对接源_01水果!$C57&lt;&gt;$L$1,对接源_01水果!$B57=""),0,IF(OR(N(对接源_01水果!$B57)&lt;$L$2,N(对接源_01水果!$B57)&gt;$L$3),0,1))</f>
        <v>0</v>
      </c>
      <c r="M57" s="3">
        <f>IF(OR($M$1="",对接源_01水果!$C57="",对接源_01水果!$C57&lt;&gt;$M$1,对接源_01水果!$B57=""),0,IF(OR(N(对接源_01水果!$B57)&lt;$M$2,N(对接源_01水果!$B57)&gt;$M$3),0,1))</f>
        <v>0</v>
      </c>
      <c r="N57" s="3">
        <f>IF(OR($N$1="",对接源_01水果!$C57="",对接源_01水果!$C57&lt;&gt;$N$1,对接源_01水果!$B57=""),0,IF(OR(N(对接源_01水果!$B57)&lt;$N$2,N(对接源_01水果!$B57)&gt;$N$3),0,1))</f>
        <v>0</v>
      </c>
      <c r="P57" s="3">
        <f>IF(AND($K57=1,AND(对接源_01水果!$X57="公司筐",N(对接源_01水果!$T57)&lt;&gt;0)),1,0)</f>
        <v>0</v>
      </c>
      <c r="Q57" s="3">
        <f t="shared" si="3"/>
        <v>0</v>
      </c>
      <c r="R57" s="3">
        <f>IF(AND($K57=1,AND(对接源_01水果!$X57="公司筐",N(对接源_01水果!$U57)&lt;&gt;0)),1,0)</f>
        <v>0</v>
      </c>
      <c r="S57" s="3">
        <f t="shared" si="4"/>
        <v>0</v>
      </c>
      <c r="T57" s="3">
        <f>IF(AND($K57=1,AND(对接源_01水果!$X57="公司筐",N(对接源_01水果!$V57)&lt;&gt;0)),1,0)</f>
        <v>0</v>
      </c>
      <c r="U57" s="3">
        <f t="shared" si="5"/>
        <v>0</v>
      </c>
      <c r="V57" s="3">
        <f>IF(AND($L57=1,AND(对接源_01水果!$X57="自备筐",N(对接源_01水果!$V57)&lt;&gt;0)),1,0)</f>
        <v>0</v>
      </c>
      <c r="W57" s="3">
        <f t="shared" si="6"/>
        <v>0</v>
      </c>
      <c r="X57" s="3">
        <f>IF(AND($L57=1,AND(对接源_01水果!$X57="自备筐",N(对接源_01水果!$T57)&lt;&gt;0)),1,0)</f>
        <v>0</v>
      </c>
      <c r="Y57" s="3">
        <f t="shared" si="7"/>
        <v>0</v>
      </c>
      <c r="Z57" s="3">
        <f>IF(AND($M57=1,对接源_01水果!$D57="原料入库"),1,0)</f>
        <v>0</v>
      </c>
      <c r="AA57" s="3">
        <f t="shared" si="8"/>
        <v>0</v>
      </c>
      <c r="AB57" s="3">
        <f>IF(AND($M57=1,LEFT(对接源_01水果!$D57,4)="原料出库"),1,0)</f>
        <v>0</v>
      </c>
      <c r="AC57" s="3">
        <f t="shared" si="9"/>
        <v>0</v>
      </c>
      <c r="AD57" s="3">
        <f>IF(AND($M57=1,LEFT(对接源_01水果!$D57,4)="成品出库"),1,0)</f>
        <v>0</v>
      </c>
      <c r="AE57" s="3">
        <f t="shared" si="10"/>
        <v>0</v>
      </c>
      <c r="AF57" s="3">
        <f>IF(AND($N57=1,AND(LEFT(对接源_01水果!$D57,4)="包装物料",N(对接源_01水果!$K57)&lt;&gt;0)),1,0)</f>
        <v>0</v>
      </c>
      <c r="AG57" s="3">
        <f t="shared" si="11"/>
        <v>0</v>
      </c>
      <c r="AH57" s="3">
        <f>IF(AND($N57=1,AND(对接源_01水果!$D57="周转筐－销售出库",N(对接源_01水果!$K57)&lt;&gt;0)),1,0)</f>
        <v>0</v>
      </c>
      <c r="AI57" s="3">
        <f t="shared" si="12"/>
        <v>0</v>
      </c>
      <c r="AJ57" s="7"/>
      <c r="AL57" s="3">
        <f>IF(OR($AL$1="",对接源_01水果!$Y57="",对接源_01水果!$Y57&lt;&gt;$AL$1,对接源_01水果!$B57="",N(对接源_01水果!$AJ57)&lt;=0),0,IF(OR(N(对接源_01水果!$B57)&lt;$AL$2,N(对接源_01水果!$B57)&gt;$AL$3),0,1))</f>
        <v>0</v>
      </c>
      <c r="AM57" s="3">
        <f t="shared" si="13"/>
        <v>0</v>
      </c>
      <c r="AN57" s="3" t="str">
        <f>IF(对接源_01水果!$AC57="","",对接源_01水果!$AC57)</f>
        <v/>
      </c>
      <c r="AO57" s="3">
        <f t="shared" si="14"/>
        <v>0</v>
      </c>
      <c r="AP57" s="3">
        <f t="shared" si="15"/>
        <v>0</v>
      </c>
      <c r="AQ57" s="3" t="str">
        <f t="shared" si="16"/>
        <v/>
      </c>
      <c r="AR57">
        <f t="shared" si="17"/>
        <v>0</v>
      </c>
      <c r="AS57">
        <f t="shared" si="18"/>
        <v>0</v>
      </c>
    </row>
    <row r="58" ht="14.25" customHeight="1" spans="1:45">
      <c r="A58" s="3" t="str">
        <f>IF(对接源_01水果!$C58="","",对接源_01水果!$C58)</f>
        <v>王照雪</v>
      </c>
      <c r="B58" s="3">
        <f t="shared" si="0"/>
        <v>0</v>
      </c>
      <c r="C58" s="3">
        <f t="shared" si="1"/>
        <v>4</v>
      </c>
      <c r="E58" s="3" t="str">
        <f t="shared" si="2"/>
        <v/>
      </c>
      <c r="K58" s="3">
        <f>IF(OR($K$1="",对接源_01水果!$C58="",对接源_01水果!$C58&lt;&gt;$K$1,对接源_01水果!$B58=""),0,IF(OR(N(对接源_01水果!$B58)&lt;$K$2,N(对接源_01水果!$B58)&gt;$K$3),0,1))</f>
        <v>0</v>
      </c>
      <c r="L58" s="3">
        <f>IF(OR($L$1="",对接源_01水果!$C58="",对接源_01水果!$C58&lt;&gt;$L$1,对接源_01水果!$B58=""),0,IF(OR(N(对接源_01水果!$B58)&lt;$L$2,N(对接源_01水果!$B58)&gt;$L$3),0,1))</f>
        <v>0</v>
      </c>
      <c r="M58" s="3">
        <f>IF(OR($M$1="",对接源_01水果!$C58="",对接源_01水果!$C58&lt;&gt;$M$1,对接源_01水果!$B58=""),0,IF(OR(N(对接源_01水果!$B58)&lt;$M$2,N(对接源_01水果!$B58)&gt;$M$3),0,1))</f>
        <v>0</v>
      </c>
      <c r="N58" s="3">
        <f>IF(OR($N$1="",对接源_01水果!$C58="",对接源_01水果!$C58&lt;&gt;$N$1,对接源_01水果!$B58=""),0,IF(OR(N(对接源_01水果!$B58)&lt;$N$2,N(对接源_01水果!$B58)&gt;$N$3),0,1))</f>
        <v>0</v>
      </c>
      <c r="P58" s="3">
        <f>IF(AND($K58=1,AND(对接源_01水果!$X58="公司筐",N(对接源_01水果!$T58)&lt;&gt;0)),1,0)</f>
        <v>0</v>
      </c>
      <c r="Q58" s="3">
        <f t="shared" si="3"/>
        <v>0</v>
      </c>
      <c r="R58" s="3">
        <f>IF(AND($K58=1,AND(对接源_01水果!$X58="公司筐",N(对接源_01水果!$U58)&lt;&gt;0)),1,0)</f>
        <v>0</v>
      </c>
      <c r="S58" s="3">
        <f t="shared" si="4"/>
        <v>0</v>
      </c>
      <c r="T58" s="3">
        <f>IF(AND($K58=1,AND(对接源_01水果!$X58="公司筐",N(对接源_01水果!$V58)&lt;&gt;0)),1,0)</f>
        <v>0</v>
      </c>
      <c r="U58" s="3">
        <f t="shared" si="5"/>
        <v>0</v>
      </c>
      <c r="V58" s="3">
        <f>IF(AND($L58=1,AND(对接源_01水果!$X58="自备筐",N(对接源_01水果!$V58)&lt;&gt;0)),1,0)</f>
        <v>0</v>
      </c>
      <c r="W58" s="3">
        <f t="shared" si="6"/>
        <v>0</v>
      </c>
      <c r="X58" s="3">
        <f>IF(AND($L58=1,AND(对接源_01水果!$X58="自备筐",N(对接源_01水果!$T58)&lt;&gt;0)),1,0)</f>
        <v>0</v>
      </c>
      <c r="Y58" s="3">
        <f t="shared" si="7"/>
        <v>0</v>
      </c>
      <c r="Z58" s="3">
        <f>IF(AND($M58=1,对接源_01水果!$D58="原料入库"),1,0)</f>
        <v>0</v>
      </c>
      <c r="AA58" s="3">
        <f t="shared" si="8"/>
        <v>0</v>
      </c>
      <c r="AB58" s="3">
        <f>IF(AND($M58=1,LEFT(对接源_01水果!$D58,4)="原料出库"),1,0)</f>
        <v>0</v>
      </c>
      <c r="AC58" s="3">
        <f t="shared" si="9"/>
        <v>0</v>
      </c>
      <c r="AD58" s="3">
        <f>IF(AND($M58=1,LEFT(对接源_01水果!$D58,4)="成品出库"),1,0)</f>
        <v>0</v>
      </c>
      <c r="AE58" s="3">
        <f t="shared" si="10"/>
        <v>0</v>
      </c>
      <c r="AF58" s="3">
        <f>IF(AND($N58=1,AND(LEFT(对接源_01水果!$D58,4)="包装物料",N(对接源_01水果!$K58)&lt;&gt;0)),1,0)</f>
        <v>0</v>
      </c>
      <c r="AG58" s="3">
        <f t="shared" si="11"/>
        <v>0</v>
      </c>
      <c r="AH58" s="3">
        <f>IF(AND($N58=1,AND(对接源_01水果!$D58="周转筐－销售出库",N(对接源_01水果!$K58)&lt;&gt;0)),1,0)</f>
        <v>0</v>
      </c>
      <c r="AI58" s="3">
        <f t="shared" si="12"/>
        <v>0</v>
      </c>
      <c r="AJ58" s="7"/>
      <c r="AL58" s="3">
        <f>IF(OR($AL$1="",对接源_01水果!$Y58="",对接源_01水果!$Y58&lt;&gt;$AL$1,对接源_01水果!$B58="",N(对接源_01水果!$AJ58)&lt;=0),0,IF(OR(N(对接源_01水果!$B58)&lt;$AL$2,N(对接源_01水果!$B58)&gt;$AL$3),0,1))</f>
        <v>0</v>
      </c>
      <c r="AM58" s="3">
        <f t="shared" si="13"/>
        <v>0</v>
      </c>
      <c r="AN58" s="3" t="str">
        <f>IF(对接源_01水果!$AC58="","",对接源_01水果!$AC58)</f>
        <v/>
      </c>
      <c r="AO58" s="3">
        <f t="shared" si="14"/>
        <v>0</v>
      </c>
      <c r="AP58" s="3">
        <f t="shared" si="15"/>
        <v>0</v>
      </c>
      <c r="AQ58" s="3" t="str">
        <f t="shared" si="16"/>
        <v/>
      </c>
      <c r="AR58">
        <f t="shared" si="17"/>
        <v>0</v>
      </c>
      <c r="AS58">
        <f t="shared" si="18"/>
        <v>0</v>
      </c>
    </row>
    <row r="59" ht="14.25" customHeight="1" spans="1:45">
      <c r="A59" s="3" t="str">
        <f>IF(对接源_01水果!$C59="","",对接源_01水果!$C59)</f>
        <v>王照雪</v>
      </c>
      <c r="B59" s="3">
        <f t="shared" si="0"/>
        <v>0</v>
      </c>
      <c r="C59" s="3">
        <f t="shared" si="1"/>
        <v>4</v>
      </c>
      <c r="E59" s="3" t="str">
        <f t="shared" si="2"/>
        <v/>
      </c>
      <c r="K59" s="3">
        <f>IF(OR($K$1="",对接源_01水果!$C59="",对接源_01水果!$C59&lt;&gt;$K$1,对接源_01水果!$B59=""),0,IF(OR(N(对接源_01水果!$B59)&lt;$K$2,N(对接源_01水果!$B59)&gt;$K$3),0,1))</f>
        <v>0</v>
      </c>
      <c r="L59" s="3">
        <f>IF(OR($L$1="",对接源_01水果!$C59="",对接源_01水果!$C59&lt;&gt;$L$1,对接源_01水果!$B59=""),0,IF(OR(N(对接源_01水果!$B59)&lt;$L$2,N(对接源_01水果!$B59)&gt;$L$3),0,1))</f>
        <v>0</v>
      </c>
      <c r="M59" s="3">
        <f>IF(OR($M$1="",对接源_01水果!$C59="",对接源_01水果!$C59&lt;&gt;$M$1,对接源_01水果!$B59=""),0,IF(OR(N(对接源_01水果!$B59)&lt;$M$2,N(对接源_01水果!$B59)&gt;$M$3),0,1))</f>
        <v>0</v>
      </c>
      <c r="N59" s="3">
        <f>IF(OR($N$1="",对接源_01水果!$C59="",对接源_01水果!$C59&lt;&gt;$N$1,对接源_01水果!$B59=""),0,IF(OR(N(对接源_01水果!$B59)&lt;$N$2,N(对接源_01水果!$B59)&gt;$N$3),0,1))</f>
        <v>0</v>
      </c>
      <c r="P59" s="3">
        <f>IF(AND($K59=1,AND(对接源_01水果!$X59="公司筐",N(对接源_01水果!$T59)&lt;&gt;0)),1,0)</f>
        <v>0</v>
      </c>
      <c r="Q59" s="3">
        <f t="shared" si="3"/>
        <v>0</v>
      </c>
      <c r="R59" s="3">
        <f>IF(AND($K59=1,AND(对接源_01水果!$X59="公司筐",N(对接源_01水果!$U59)&lt;&gt;0)),1,0)</f>
        <v>0</v>
      </c>
      <c r="S59" s="3">
        <f t="shared" si="4"/>
        <v>0</v>
      </c>
      <c r="T59" s="3">
        <f>IF(AND($K59=1,AND(对接源_01水果!$X59="公司筐",N(对接源_01水果!$V59)&lt;&gt;0)),1,0)</f>
        <v>0</v>
      </c>
      <c r="U59" s="3">
        <f t="shared" si="5"/>
        <v>0</v>
      </c>
      <c r="V59" s="3">
        <f>IF(AND($L59=1,AND(对接源_01水果!$X59="自备筐",N(对接源_01水果!$V59)&lt;&gt;0)),1,0)</f>
        <v>0</v>
      </c>
      <c r="W59" s="3">
        <f t="shared" si="6"/>
        <v>0</v>
      </c>
      <c r="X59" s="3">
        <f>IF(AND($L59=1,AND(对接源_01水果!$X59="自备筐",N(对接源_01水果!$T59)&lt;&gt;0)),1,0)</f>
        <v>0</v>
      </c>
      <c r="Y59" s="3">
        <f t="shared" si="7"/>
        <v>0</v>
      </c>
      <c r="Z59" s="3">
        <f>IF(AND($M59=1,对接源_01水果!$D59="原料入库"),1,0)</f>
        <v>0</v>
      </c>
      <c r="AA59" s="3">
        <f t="shared" si="8"/>
        <v>0</v>
      </c>
      <c r="AB59" s="3">
        <f>IF(AND($M59=1,LEFT(对接源_01水果!$D59,4)="原料出库"),1,0)</f>
        <v>0</v>
      </c>
      <c r="AC59" s="3">
        <f t="shared" si="9"/>
        <v>0</v>
      </c>
      <c r="AD59" s="3">
        <f>IF(AND($M59=1,LEFT(对接源_01水果!$D59,4)="成品出库"),1,0)</f>
        <v>0</v>
      </c>
      <c r="AE59" s="3">
        <f t="shared" si="10"/>
        <v>0</v>
      </c>
      <c r="AF59" s="3">
        <f>IF(AND($N59=1,AND(LEFT(对接源_01水果!$D59,4)="包装物料",N(对接源_01水果!$K59)&lt;&gt;0)),1,0)</f>
        <v>0</v>
      </c>
      <c r="AG59" s="3">
        <f t="shared" si="11"/>
        <v>0</v>
      </c>
      <c r="AH59" s="3">
        <f>IF(AND($N59=1,AND(对接源_01水果!$D59="周转筐－销售出库",N(对接源_01水果!$K59)&lt;&gt;0)),1,0)</f>
        <v>0</v>
      </c>
      <c r="AI59" s="3">
        <f t="shared" si="12"/>
        <v>0</v>
      </c>
      <c r="AJ59" s="7"/>
      <c r="AL59" s="3">
        <f>IF(OR($AL$1="",对接源_01水果!$Y59="",对接源_01水果!$Y59&lt;&gt;$AL$1,对接源_01水果!$B59="",N(对接源_01水果!$AJ59)&lt;=0),0,IF(OR(N(对接源_01水果!$B59)&lt;$AL$2,N(对接源_01水果!$B59)&gt;$AL$3),0,1))</f>
        <v>0</v>
      </c>
      <c r="AM59" s="3">
        <f t="shared" si="13"/>
        <v>0</v>
      </c>
      <c r="AN59" s="3" t="str">
        <f>IF(对接源_01水果!$AC59="","",对接源_01水果!$AC59)</f>
        <v/>
      </c>
      <c r="AO59" s="3">
        <f t="shared" si="14"/>
        <v>0</v>
      </c>
      <c r="AP59" s="3">
        <f t="shared" si="15"/>
        <v>0</v>
      </c>
      <c r="AQ59" s="3" t="str">
        <f t="shared" si="16"/>
        <v/>
      </c>
      <c r="AR59">
        <f t="shared" si="17"/>
        <v>0</v>
      </c>
      <c r="AS59">
        <f t="shared" si="18"/>
        <v>0</v>
      </c>
    </row>
    <row r="60" ht="14.25" customHeight="1" spans="1:45">
      <c r="A60" s="3" t="str">
        <f>IF(对接源_01水果!$C60="","",对接源_01水果!$C60)</f>
        <v>王照雪</v>
      </c>
      <c r="B60" s="3">
        <f t="shared" si="0"/>
        <v>0</v>
      </c>
      <c r="C60" s="3">
        <f t="shared" si="1"/>
        <v>4</v>
      </c>
      <c r="E60" s="3" t="str">
        <f t="shared" si="2"/>
        <v/>
      </c>
      <c r="K60" s="3">
        <f>IF(OR($K$1="",对接源_01水果!$C60="",对接源_01水果!$C60&lt;&gt;$K$1,对接源_01水果!$B60=""),0,IF(OR(N(对接源_01水果!$B60)&lt;$K$2,N(对接源_01水果!$B60)&gt;$K$3),0,1))</f>
        <v>0</v>
      </c>
      <c r="L60" s="3">
        <f>IF(OR($L$1="",对接源_01水果!$C60="",对接源_01水果!$C60&lt;&gt;$L$1,对接源_01水果!$B60=""),0,IF(OR(N(对接源_01水果!$B60)&lt;$L$2,N(对接源_01水果!$B60)&gt;$L$3),0,1))</f>
        <v>0</v>
      </c>
      <c r="M60" s="3">
        <f>IF(OR($M$1="",对接源_01水果!$C60="",对接源_01水果!$C60&lt;&gt;$M$1,对接源_01水果!$B60=""),0,IF(OR(N(对接源_01水果!$B60)&lt;$M$2,N(对接源_01水果!$B60)&gt;$M$3),0,1))</f>
        <v>0</v>
      </c>
      <c r="N60" s="3">
        <f>IF(OR($N$1="",对接源_01水果!$C60="",对接源_01水果!$C60&lt;&gt;$N$1,对接源_01水果!$B60=""),0,IF(OR(N(对接源_01水果!$B60)&lt;$N$2,N(对接源_01水果!$B60)&gt;$N$3),0,1))</f>
        <v>0</v>
      </c>
      <c r="P60" s="3">
        <f>IF(AND($K60=1,AND(对接源_01水果!$X60="公司筐",N(对接源_01水果!$T60)&lt;&gt;0)),1,0)</f>
        <v>0</v>
      </c>
      <c r="Q60" s="3">
        <f t="shared" si="3"/>
        <v>0</v>
      </c>
      <c r="R60" s="3">
        <f>IF(AND($K60=1,AND(对接源_01水果!$X60="公司筐",N(对接源_01水果!$U60)&lt;&gt;0)),1,0)</f>
        <v>0</v>
      </c>
      <c r="S60" s="3">
        <f t="shared" si="4"/>
        <v>0</v>
      </c>
      <c r="T60" s="3">
        <f>IF(AND($K60=1,AND(对接源_01水果!$X60="公司筐",N(对接源_01水果!$V60)&lt;&gt;0)),1,0)</f>
        <v>0</v>
      </c>
      <c r="U60" s="3">
        <f t="shared" si="5"/>
        <v>0</v>
      </c>
      <c r="V60" s="3">
        <f>IF(AND($L60=1,AND(对接源_01水果!$X60="自备筐",N(对接源_01水果!$V60)&lt;&gt;0)),1,0)</f>
        <v>0</v>
      </c>
      <c r="W60" s="3">
        <f t="shared" si="6"/>
        <v>0</v>
      </c>
      <c r="X60" s="3">
        <f>IF(AND($L60=1,AND(对接源_01水果!$X60="自备筐",N(对接源_01水果!$T60)&lt;&gt;0)),1,0)</f>
        <v>0</v>
      </c>
      <c r="Y60" s="3">
        <f t="shared" si="7"/>
        <v>0</v>
      </c>
      <c r="Z60" s="3">
        <f>IF(AND($M60=1,对接源_01水果!$D60="原料入库"),1,0)</f>
        <v>0</v>
      </c>
      <c r="AA60" s="3">
        <f t="shared" si="8"/>
        <v>0</v>
      </c>
      <c r="AB60" s="3">
        <f>IF(AND($M60=1,LEFT(对接源_01水果!$D60,4)="原料出库"),1,0)</f>
        <v>0</v>
      </c>
      <c r="AC60" s="3">
        <f t="shared" si="9"/>
        <v>0</v>
      </c>
      <c r="AD60" s="3">
        <f>IF(AND($M60=1,LEFT(对接源_01水果!$D60,4)="成品出库"),1,0)</f>
        <v>0</v>
      </c>
      <c r="AE60" s="3">
        <f t="shared" si="10"/>
        <v>0</v>
      </c>
      <c r="AF60" s="3">
        <f>IF(AND($N60=1,AND(LEFT(对接源_01水果!$D60,4)="包装物料",N(对接源_01水果!$K60)&lt;&gt;0)),1,0)</f>
        <v>0</v>
      </c>
      <c r="AG60" s="3">
        <f t="shared" si="11"/>
        <v>0</v>
      </c>
      <c r="AH60" s="3">
        <f>IF(AND($N60=1,AND(对接源_01水果!$D60="周转筐－销售出库",N(对接源_01水果!$K60)&lt;&gt;0)),1,0)</f>
        <v>0</v>
      </c>
      <c r="AI60" s="3">
        <f t="shared" si="12"/>
        <v>0</v>
      </c>
      <c r="AJ60" s="7"/>
      <c r="AL60" s="3">
        <f>IF(OR($AL$1="",对接源_01水果!$Y60="",对接源_01水果!$Y60&lt;&gt;$AL$1,对接源_01水果!$B60="",N(对接源_01水果!$AJ60)&lt;=0),0,IF(OR(N(对接源_01水果!$B60)&lt;$AL$2,N(对接源_01水果!$B60)&gt;$AL$3),0,1))</f>
        <v>0</v>
      </c>
      <c r="AM60" s="3">
        <f t="shared" si="13"/>
        <v>0</v>
      </c>
      <c r="AN60" s="3" t="str">
        <f>IF(对接源_01水果!$AC60="","",对接源_01水果!$AC60)</f>
        <v/>
      </c>
      <c r="AO60" s="3">
        <f t="shared" si="14"/>
        <v>0</v>
      </c>
      <c r="AP60" s="3">
        <f t="shared" si="15"/>
        <v>0</v>
      </c>
      <c r="AQ60" s="3" t="str">
        <f t="shared" si="16"/>
        <v/>
      </c>
      <c r="AR60">
        <f t="shared" si="17"/>
        <v>0</v>
      </c>
      <c r="AS60">
        <f t="shared" si="18"/>
        <v>0</v>
      </c>
    </row>
    <row r="61" ht="14.25" customHeight="1" spans="1:45">
      <c r="A61" s="3" t="str">
        <f>IF(对接源_01水果!$C61="","",对接源_01水果!$C61)</f>
        <v>聂新平</v>
      </c>
      <c r="B61" s="3">
        <f t="shared" si="0"/>
        <v>0</v>
      </c>
      <c r="C61" s="3">
        <f t="shared" si="1"/>
        <v>4</v>
      </c>
      <c r="E61" s="3" t="str">
        <f t="shared" si="2"/>
        <v/>
      </c>
      <c r="K61" s="3">
        <f>IF(OR($K$1="",对接源_01水果!$C61="",对接源_01水果!$C61&lt;&gt;$K$1,对接源_01水果!$B61=""),0,IF(OR(N(对接源_01水果!$B61)&lt;$K$2,N(对接源_01水果!$B61)&gt;$K$3),0,1))</f>
        <v>0</v>
      </c>
      <c r="L61" s="3">
        <f>IF(OR($L$1="",对接源_01水果!$C61="",对接源_01水果!$C61&lt;&gt;$L$1,对接源_01水果!$B61=""),0,IF(OR(N(对接源_01水果!$B61)&lt;$L$2,N(对接源_01水果!$B61)&gt;$L$3),0,1))</f>
        <v>0</v>
      </c>
      <c r="M61" s="3">
        <f>IF(OR($M$1="",对接源_01水果!$C61="",对接源_01水果!$C61&lt;&gt;$M$1,对接源_01水果!$B61=""),0,IF(OR(N(对接源_01水果!$B61)&lt;$M$2,N(对接源_01水果!$B61)&gt;$M$3),0,1))</f>
        <v>0</v>
      </c>
      <c r="N61" s="3">
        <f>IF(OR($N$1="",对接源_01水果!$C61="",对接源_01水果!$C61&lt;&gt;$N$1,对接源_01水果!$B61=""),0,IF(OR(N(对接源_01水果!$B61)&lt;$N$2,N(对接源_01水果!$B61)&gt;$N$3),0,1))</f>
        <v>0</v>
      </c>
      <c r="P61" s="3">
        <f>IF(AND($K61=1,AND(对接源_01水果!$X61="公司筐",N(对接源_01水果!$T61)&lt;&gt;0)),1,0)</f>
        <v>0</v>
      </c>
      <c r="Q61" s="3">
        <f t="shared" si="3"/>
        <v>0</v>
      </c>
      <c r="R61" s="3">
        <f>IF(AND($K61=1,AND(对接源_01水果!$X61="公司筐",N(对接源_01水果!$U61)&lt;&gt;0)),1,0)</f>
        <v>0</v>
      </c>
      <c r="S61" s="3">
        <f t="shared" si="4"/>
        <v>0</v>
      </c>
      <c r="T61" s="3">
        <f>IF(AND($K61=1,AND(对接源_01水果!$X61="公司筐",N(对接源_01水果!$V61)&lt;&gt;0)),1,0)</f>
        <v>0</v>
      </c>
      <c r="U61" s="3">
        <f t="shared" si="5"/>
        <v>0</v>
      </c>
      <c r="V61" s="3">
        <f>IF(AND($L61=1,AND(对接源_01水果!$X61="自备筐",N(对接源_01水果!$V61)&lt;&gt;0)),1,0)</f>
        <v>0</v>
      </c>
      <c r="W61" s="3">
        <f t="shared" si="6"/>
        <v>0</v>
      </c>
      <c r="X61" s="3">
        <f>IF(AND($L61=1,AND(对接源_01水果!$X61="自备筐",N(对接源_01水果!$T61)&lt;&gt;0)),1,0)</f>
        <v>0</v>
      </c>
      <c r="Y61" s="3">
        <f t="shared" si="7"/>
        <v>0</v>
      </c>
      <c r="Z61" s="3">
        <f>IF(AND($M61=1,对接源_01水果!$D61="原料入库"),1,0)</f>
        <v>0</v>
      </c>
      <c r="AA61" s="3">
        <f t="shared" si="8"/>
        <v>0</v>
      </c>
      <c r="AB61" s="3">
        <f>IF(AND($M61=1,LEFT(对接源_01水果!$D61,4)="原料出库"),1,0)</f>
        <v>0</v>
      </c>
      <c r="AC61" s="3">
        <f t="shared" si="9"/>
        <v>0</v>
      </c>
      <c r="AD61" s="3">
        <f>IF(AND($M61=1,LEFT(对接源_01水果!$D61,4)="成品出库"),1,0)</f>
        <v>0</v>
      </c>
      <c r="AE61" s="3">
        <f t="shared" si="10"/>
        <v>0</v>
      </c>
      <c r="AF61" s="3">
        <f>IF(AND($N61=1,AND(LEFT(对接源_01水果!$D61,4)="包装物料",N(对接源_01水果!$K61)&lt;&gt;0)),1,0)</f>
        <v>0</v>
      </c>
      <c r="AG61" s="3">
        <f t="shared" si="11"/>
        <v>0</v>
      </c>
      <c r="AH61" s="3">
        <f>IF(AND($N61=1,AND(对接源_01水果!$D61="周转筐－销售出库",N(对接源_01水果!$K61)&lt;&gt;0)),1,0)</f>
        <v>0</v>
      </c>
      <c r="AI61" s="3">
        <f t="shared" si="12"/>
        <v>0</v>
      </c>
      <c r="AJ61" s="7"/>
      <c r="AL61" s="3">
        <f>IF(OR($AL$1="",对接源_01水果!$Y61="",对接源_01水果!$Y61&lt;&gt;$AL$1,对接源_01水果!$B61="",N(对接源_01水果!$AJ61)&lt;=0),0,IF(OR(N(对接源_01水果!$B61)&lt;$AL$2,N(对接源_01水果!$B61)&gt;$AL$3),0,1))</f>
        <v>0</v>
      </c>
      <c r="AM61" s="3">
        <f t="shared" si="13"/>
        <v>0</v>
      </c>
      <c r="AN61" s="3" t="str">
        <f>IF(对接源_01水果!$AC61="","",对接源_01水果!$AC61)</f>
        <v/>
      </c>
      <c r="AO61" s="3">
        <f t="shared" si="14"/>
        <v>0</v>
      </c>
      <c r="AP61" s="3">
        <f t="shared" si="15"/>
        <v>0</v>
      </c>
      <c r="AQ61" s="3" t="str">
        <f t="shared" si="16"/>
        <v/>
      </c>
      <c r="AR61">
        <f t="shared" si="17"/>
        <v>0</v>
      </c>
      <c r="AS61">
        <f t="shared" si="18"/>
        <v>0</v>
      </c>
    </row>
    <row r="62" ht="14.25" customHeight="1" spans="1:45">
      <c r="A62" s="3" t="str">
        <f>IF(对接源_01水果!$C62="","",对接源_01水果!$C62)</f>
        <v>聂新平</v>
      </c>
      <c r="B62" s="3">
        <f t="shared" si="0"/>
        <v>0</v>
      </c>
      <c r="C62" s="3">
        <f t="shared" si="1"/>
        <v>4</v>
      </c>
      <c r="E62" s="3" t="str">
        <f t="shared" si="2"/>
        <v/>
      </c>
      <c r="K62" s="3">
        <f>IF(OR($K$1="",对接源_01水果!$C62="",对接源_01水果!$C62&lt;&gt;$K$1,对接源_01水果!$B62=""),0,IF(OR(N(对接源_01水果!$B62)&lt;$K$2,N(对接源_01水果!$B62)&gt;$K$3),0,1))</f>
        <v>0</v>
      </c>
      <c r="L62" s="3">
        <f>IF(OR($L$1="",对接源_01水果!$C62="",对接源_01水果!$C62&lt;&gt;$L$1,对接源_01水果!$B62=""),0,IF(OR(N(对接源_01水果!$B62)&lt;$L$2,N(对接源_01水果!$B62)&gt;$L$3),0,1))</f>
        <v>0</v>
      </c>
      <c r="M62" s="3">
        <f>IF(OR($M$1="",对接源_01水果!$C62="",对接源_01水果!$C62&lt;&gt;$M$1,对接源_01水果!$B62=""),0,IF(OR(N(对接源_01水果!$B62)&lt;$M$2,N(对接源_01水果!$B62)&gt;$M$3),0,1))</f>
        <v>0</v>
      </c>
      <c r="N62" s="3">
        <f>IF(OR($N$1="",对接源_01水果!$C62="",对接源_01水果!$C62&lt;&gt;$N$1,对接源_01水果!$B62=""),0,IF(OR(N(对接源_01水果!$B62)&lt;$N$2,N(对接源_01水果!$B62)&gt;$N$3),0,1))</f>
        <v>0</v>
      </c>
      <c r="P62" s="3">
        <f>IF(AND($K62=1,AND(对接源_01水果!$X62="公司筐",N(对接源_01水果!$T62)&lt;&gt;0)),1,0)</f>
        <v>0</v>
      </c>
      <c r="Q62" s="3">
        <f t="shared" si="3"/>
        <v>0</v>
      </c>
      <c r="R62" s="3">
        <f>IF(AND($K62=1,AND(对接源_01水果!$X62="公司筐",N(对接源_01水果!$U62)&lt;&gt;0)),1,0)</f>
        <v>0</v>
      </c>
      <c r="S62" s="3">
        <f t="shared" si="4"/>
        <v>0</v>
      </c>
      <c r="T62" s="3">
        <f>IF(AND($K62=1,AND(对接源_01水果!$X62="公司筐",N(对接源_01水果!$V62)&lt;&gt;0)),1,0)</f>
        <v>0</v>
      </c>
      <c r="U62" s="3">
        <f t="shared" si="5"/>
        <v>0</v>
      </c>
      <c r="V62" s="3">
        <f>IF(AND($L62=1,AND(对接源_01水果!$X62="自备筐",N(对接源_01水果!$V62)&lt;&gt;0)),1,0)</f>
        <v>0</v>
      </c>
      <c r="W62" s="3">
        <f t="shared" si="6"/>
        <v>0</v>
      </c>
      <c r="X62" s="3">
        <f>IF(AND($L62=1,AND(对接源_01水果!$X62="自备筐",N(对接源_01水果!$T62)&lt;&gt;0)),1,0)</f>
        <v>0</v>
      </c>
      <c r="Y62" s="3">
        <f t="shared" si="7"/>
        <v>0</v>
      </c>
      <c r="Z62" s="3">
        <f>IF(AND($M62=1,对接源_01水果!$D62="原料入库"),1,0)</f>
        <v>0</v>
      </c>
      <c r="AA62" s="3">
        <f t="shared" si="8"/>
        <v>0</v>
      </c>
      <c r="AB62" s="3">
        <f>IF(AND($M62=1,LEFT(对接源_01水果!$D62,4)="原料出库"),1,0)</f>
        <v>0</v>
      </c>
      <c r="AC62" s="3">
        <f t="shared" si="9"/>
        <v>0</v>
      </c>
      <c r="AD62" s="3">
        <f>IF(AND($M62=1,LEFT(对接源_01水果!$D62,4)="成品出库"),1,0)</f>
        <v>0</v>
      </c>
      <c r="AE62" s="3">
        <f t="shared" si="10"/>
        <v>0</v>
      </c>
      <c r="AF62" s="3">
        <f>IF(AND($N62=1,AND(LEFT(对接源_01水果!$D62,4)="包装物料",N(对接源_01水果!$K62)&lt;&gt;0)),1,0)</f>
        <v>0</v>
      </c>
      <c r="AG62" s="3">
        <f t="shared" si="11"/>
        <v>0</v>
      </c>
      <c r="AH62" s="3">
        <f>IF(AND($N62=1,AND(对接源_01水果!$D62="周转筐－销售出库",N(对接源_01水果!$K62)&lt;&gt;0)),1,0)</f>
        <v>0</v>
      </c>
      <c r="AI62" s="3">
        <f t="shared" si="12"/>
        <v>0</v>
      </c>
      <c r="AJ62" s="7"/>
      <c r="AL62" s="3">
        <f>IF(OR($AL$1="",对接源_01水果!$Y62="",对接源_01水果!$Y62&lt;&gt;$AL$1,对接源_01水果!$B62="",N(对接源_01水果!$AJ62)&lt;=0),0,IF(OR(N(对接源_01水果!$B62)&lt;$AL$2,N(对接源_01水果!$B62)&gt;$AL$3),0,1))</f>
        <v>0</v>
      </c>
      <c r="AM62" s="3">
        <f t="shared" si="13"/>
        <v>0</v>
      </c>
      <c r="AN62" s="3" t="str">
        <f>IF(对接源_01水果!$AC62="","",对接源_01水果!$AC62)</f>
        <v/>
      </c>
      <c r="AO62" s="3">
        <f t="shared" si="14"/>
        <v>0</v>
      </c>
      <c r="AP62" s="3">
        <f t="shared" si="15"/>
        <v>0</v>
      </c>
      <c r="AQ62" s="3" t="str">
        <f t="shared" si="16"/>
        <v/>
      </c>
      <c r="AR62">
        <f t="shared" si="17"/>
        <v>0</v>
      </c>
      <c r="AS62">
        <f t="shared" si="18"/>
        <v>0</v>
      </c>
    </row>
    <row r="63" ht="14.25" customHeight="1" spans="1:45">
      <c r="A63" s="3" t="str">
        <f>IF(对接源_01水果!$C63="","",对接源_01水果!$C63)</f>
        <v>聂新平</v>
      </c>
      <c r="B63" s="3">
        <f t="shared" si="0"/>
        <v>0</v>
      </c>
      <c r="C63" s="3">
        <f t="shared" si="1"/>
        <v>4</v>
      </c>
      <c r="E63" s="3" t="str">
        <f t="shared" si="2"/>
        <v/>
      </c>
      <c r="K63" s="3">
        <f>IF(OR($K$1="",对接源_01水果!$C63="",对接源_01水果!$C63&lt;&gt;$K$1,对接源_01水果!$B63=""),0,IF(OR(N(对接源_01水果!$B63)&lt;$K$2,N(对接源_01水果!$B63)&gt;$K$3),0,1))</f>
        <v>0</v>
      </c>
      <c r="L63" s="3">
        <f>IF(OR($L$1="",对接源_01水果!$C63="",对接源_01水果!$C63&lt;&gt;$L$1,对接源_01水果!$B63=""),0,IF(OR(N(对接源_01水果!$B63)&lt;$L$2,N(对接源_01水果!$B63)&gt;$L$3),0,1))</f>
        <v>0</v>
      </c>
      <c r="M63" s="3">
        <f>IF(OR($M$1="",对接源_01水果!$C63="",对接源_01水果!$C63&lt;&gt;$M$1,对接源_01水果!$B63=""),0,IF(OR(N(对接源_01水果!$B63)&lt;$M$2,N(对接源_01水果!$B63)&gt;$M$3),0,1))</f>
        <v>0</v>
      </c>
      <c r="N63" s="3">
        <f>IF(OR($N$1="",对接源_01水果!$C63="",对接源_01水果!$C63&lt;&gt;$N$1,对接源_01水果!$B63=""),0,IF(OR(N(对接源_01水果!$B63)&lt;$N$2,N(对接源_01水果!$B63)&gt;$N$3),0,1))</f>
        <v>0</v>
      </c>
      <c r="P63" s="3">
        <f>IF(AND($K63=1,AND(对接源_01水果!$X63="公司筐",N(对接源_01水果!$T63)&lt;&gt;0)),1,0)</f>
        <v>0</v>
      </c>
      <c r="Q63" s="3">
        <f t="shared" si="3"/>
        <v>0</v>
      </c>
      <c r="R63" s="3">
        <f>IF(AND($K63=1,AND(对接源_01水果!$X63="公司筐",N(对接源_01水果!$U63)&lt;&gt;0)),1,0)</f>
        <v>0</v>
      </c>
      <c r="S63" s="3">
        <f t="shared" si="4"/>
        <v>0</v>
      </c>
      <c r="T63" s="3">
        <f>IF(AND($K63=1,AND(对接源_01水果!$X63="公司筐",N(对接源_01水果!$V63)&lt;&gt;0)),1,0)</f>
        <v>0</v>
      </c>
      <c r="U63" s="3">
        <f t="shared" si="5"/>
        <v>0</v>
      </c>
      <c r="V63" s="3">
        <f>IF(AND($L63=1,AND(对接源_01水果!$X63="自备筐",N(对接源_01水果!$V63)&lt;&gt;0)),1,0)</f>
        <v>0</v>
      </c>
      <c r="W63" s="3">
        <f t="shared" si="6"/>
        <v>0</v>
      </c>
      <c r="X63" s="3">
        <f>IF(AND($L63=1,AND(对接源_01水果!$X63="自备筐",N(对接源_01水果!$T63)&lt;&gt;0)),1,0)</f>
        <v>0</v>
      </c>
      <c r="Y63" s="3">
        <f t="shared" si="7"/>
        <v>0</v>
      </c>
      <c r="Z63" s="3">
        <f>IF(AND($M63=1,对接源_01水果!$D63="原料入库"),1,0)</f>
        <v>0</v>
      </c>
      <c r="AA63" s="3">
        <f t="shared" si="8"/>
        <v>0</v>
      </c>
      <c r="AB63" s="3">
        <f>IF(AND($M63=1,LEFT(对接源_01水果!$D63,4)="原料出库"),1,0)</f>
        <v>0</v>
      </c>
      <c r="AC63" s="3">
        <f t="shared" si="9"/>
        <v>0</v>
      </c>
      <c r="AD63" s="3">
        <f>IF(AND($M63=1,LEFT(对接源_01水果!$D63,4)="成品出库"),1,0)</f>
        <v>0</v>
      </c>
      <c r="AE63" s="3">
        <f t="shared" si="10"/>
        <v>0</v>
      </c>
      <c r="AF63" s="3">
        <f>IF(AND($N63=1,AND(LEFT(对接源_01水果!$D63,4)="包装物料",N(对接源_01水果!$K63)&lt;&gt;0)),1,0)</f>
        <v>0</v>
      </c>
      <c r="AG63" s="3">
        <f t="shared" si="11"/>
        <v>0</v>
      </c>
      <c r="AH63" s="3">
        <f>IF(AND($N63=1,AND(对接源_01水果!$D63="周转筐－销售出库",N(对接源_01水果!$K63)&lt;&gt;0)),1,0)</f>
        <v>0</v>
      </c>
      <c r="AI63" s="3">
        <f t="shared" si="12"/>
        <v>0</v>
      </c>
      <c r="AJ63" s="7"/>
      <c r="AL63" s="3">
        <f>IF(OR($AL$1="",对接源_01水果!$Y63="",对接源_01水果!$Y63&lt;&gt;$AL$1,对接源_01水果!$B63="",N(对接源_01水果!$AJ63)&lt;=0),0,IF(OR(N(对接源_01水果!$B63)&lt;$AL$2,N(对接源_01水果!$B63)&gt;$AL$3),0,1))</f>
        <v>0</v>
      </c>
      <c r="AM63" s="3">
        <f t="shared" si="13"/>
        <v>0</v>
      </c>
      <c r="AN63" s="3" t="str">
        <f>IF(对接源_01水果!$AC63="","",对接源_01水果!$AC63)</f>
        <v/>
      </c>
      <c r="AO63" s="3">
        <f t="shared" si="14"/>
        <v>0</v>
      </c>
      <c r="AP63" s="3">
        <f t="shared" si="15"/>
        <v>0</v>
      </c>
      <c r="AQ63" s="3" t="str">
        <f t="shared" si="16"/>
        <v/>
      </c>
      <c r="AR63">
        <f t="shared" si="17"/>
        <v>0</v>
      </c>
      <c r="AS63">
        <f t="shared" si="18"/>
        <v>0</v>
      </c>
    </row>
    <row r="64" ht="14.25" customHeight="1" spans="1:45">
      <c r="A64" s="3" t="str">
        <f>IF(对接源_01水果!$C64="","",对接源_01水果!$C64)</f>
        <v>王照雪</v>
      </c>
      <c r="B64" s="3">
        <f t="shared" si="0"/>
        <v>0</v>
      </c>
      <c r="C64" s="3">
        <f t="shared" si="1"/>
        <v>4</v>
      </c>
      <c r="E64" s="3" t="str">
        <f t="shared" si="2"/>
        <v/>
      </c>
      <c r="K64" s="3">
        <f>IF(OR($K$1="",对接源_01水果!$C64="",对接源_01水果!$C64&lt;&gt;$K$1,对接源_01水果!$B64=""),0,IF(OR(N(对接源_01水果!$B64)&lt;$K$2,N(对接源_01水果!$B64)&gt;$K$3),0,1))</f>
        <v>0</v>
      </c>
      <c r="L64" s="3">
        <f>IF(OR($L$1="",对接源_01水果!$C64="",对接源_01水果!$C64&lt;&gt;$L$1,对接源_01水果!$B64=""),0,IF(OR(N(对接源_01水果!$B64)&lt;$L$2,N(对接源_01水果!$B64)&gt;$L$3),0,1))</f>
        <v>0</v>
      </c>
      <c r="M64" s="3">
        <f>IF(OR($M$1="",对接源_01水果!$C64="",对接源_01水果!$C64&lt;&gt;$M$1,对接源_01水果!$B64=""),0,IF(OR(N(对接源_01水果!$B64)&lt;$M$2,N(对接源_01水果!$B64)&gt;$M$3),0,1))</f>
        <v>0</v>
      </c>
      <c r="N64" s="3">
        <f>IF(OR($N$1="",对接源_01水果!$C64="",对接源_01水果!$C64&lt;&gt;$N$1,对接源_01水果!$B64=""),0,IF(OR(N(对接源_01水果!$B64)&lt;$N$2,N(对接源_01水果!$B64)&gt;$N$3),0,1))</f>
        <v>0</v>
      </c>
      <c r="P64" s="3">
        <f>IF(AND($K64=1,AND(对接源_01水果!$X64="公司筐",N(对接源_01水果!$T64)&lt;&gt;0)),1,0)</f>
        <v>0</v>
      </c>
      <c r="Q64" s="3">
        <f t="shared" si="3"/>
        <v>0</v>
      </c>
      <c r="R64" s="3">
        <f>IF(AND($K64=1,AND(对接源_01水果!$X64="公司筐",N(对接源_01水果!$U64)&lt;&gt;0)),1,0)</f>
        <v>0</v>
      </c>
      <c r="S64" s="3">
        <f t="shared" si="4"/>
        <v>0</v>
      </c>
      <c r="T64" s="3">
        <f>IF(AND($K64=1,AND(对接源_01水果!$X64="公司筐",N(对接源_01水果!$V64)&lt;&gt;0)),1,0)</f>
        <v>0</v>
      </c>
      <c r="U64" s="3">
        <f t="shared" si="5"/>
        <v>0</v>
      </c>
      <c r="V64" s="3">
        <f>IF(AND($L64=1,AND(对接源_01水果!$X64="自备筐",N(对接源_01水果!$V64)&lt;&gt;0)),1,0)</f>
        <v>0</v>
      </c>
      <c r="W64" s="3">
        <f t="shared" si="6"/>
        <v>0</v>
      </c>
      <c r="X64" s="3">
        <f>IF(AND($L64=1,AND(对接源_01水果!$X64="自备筐",N(对接源_01水果!$T64)&lt;&gt;0)),1,0)</f>
        <v>0</v>
      </c>
      <c r="Y64" s="3">
        <f t="shared" si="7"/>
        <v>0</v>
      </c>
      <c r="Z64" s="3">
        <f>IF(AND($M64=1,对接源_01水果!$D64="原料入库"),1,0)</f>
        <v>0</v>
      </c>
      <c r="AA64" s="3">
        <f t="shared" si="8"/>
        <v>0</v>
      </c>
      <c r="AB64" s="3">
        <f>IF(AND($M64=1,LEFT(对接源_01水果!$D64,4)="原料出库"),1,0)</f>
        <v>0</v>
      </c>
      <c r="AC64" s="3">
        <f t="shared" si="9"/>
        <v>0</v>
      </c>
      <c r="AD64" s="3">
        <f>IF(AND($M64=1,LEFT(对接源_01水果!$D64,4)="成品出库"),1,0)</f>
        <v>0</v>
      </c>
      <c r="AE64" s="3">
        <f t="shared" si="10"/>
        <v>0</v>
      </c>
      <c r="AF64" s="3">
        <f>IF(AND($N64=1,AND(LEFT(对接源_01水果!$D64,4)="包装物料",N(对接源_01水果!$K64)&lt;&gt;0)),1,0)</f>
        <v>0</v>
      </c>
      <c r="AG64" s="3">
        <f t="shared" si="11"/>
        <v>0</v>
      </c>
      <c r="AH64" s="3">
        <f>IF(AND($N64=1,AND(对接源_01水果!$D64="周转筐－销售出库",N(对接源_01水果!$K64)&lt;&gt;0)),1,0)</f>
        <v>0</v>
      </c>
      <c r="AI64" s="3">
        <f t="shared" si="12"/>
        <v>0</v>
      </c>
      <c r="AJ64" s="7"/>
      <c r="AL64" s="3">
        <f>IF(OR($AL$1="",对接源_01水果!$Y64="",对接源_01水果!$Y64&lt;&gt;$AL$1,对接源_01水果!$B64="",N(对接源_01水果!$AJ64)&lt;=0),0,IF(OR(N(对接源_01水果!$B64)&lt;$AL$2,N(对接源_01水果!$B64)&gt;$AL$3),0,1))</f>
        <v>0</v>
      </c>
      <c r="AM64" s="3">
        <f t="shared" si="13"/>
        <v>0</v>
      </c>
      <c r="AN64" s="3" t="str">
        <f>IF(对接源_01水果!$AC64="","",对接源_01水果!$AC64)</f>
        <v/>
      </c>
      <c r="AO64" s="3">
        <f t="shared" si="14"/>
        <v>0</v>
      </c>
      <c r="AP64" s="3">
        <f t="shared" si="15"/>
        <v>0</v>
      </c>
      <c r="AQ64" s="3" t="str">
        <f t="shared" si="16"/>
        <v/>
      </c>
      <c r="AR64">
        <f t="shared" si="17"/>
        <v>0</v>
      </c>
      <c r="AS64">
        <f t="shared" si="18"/>
        <v>0</v>
      </c>
    </row>
    <row r="65" ht="14.25" customHeight="1" spans="1:45">
      <c r="A65" s="3" t="str">
        <f>IF(对接源_01水果!$C65="","",对接源_01水果!$C65)</f>
        <v>王照雪</v>
      </c>
      <c r="B65" s="3">
        <f t="shared" si="0"/>
        <v>0</v>
      </c>
      <c r="C65" s="3">
        <f t="shared" si="1"/>
        <v>4</v>
      </c>
      <c r="E65" s="3" t="str">
        <f t="shared" si="2"/>
        <v/>
      </c>
      <c r="K65" s="3">
        <f>IF(OR($K$1="",对接源_01水果!$C65="",对接源_01水果!$C65&lt;&gt;$K$1,对接源_01水果!$B65=""),0,IF(OR(N(对接源_01水果!$B65)&lt;$K$2,N(对接源_01水果!$B65)&gt;$K$3),0,1))</f>
        <v>0</v>
      </c>
      <c r="L65" s="3">
        <f>IF(OR($L$1="",对接源_01水果!$C65="",对接源_01水果!$C65&lt;&gt;$L$1,对接源_01水果!$B65=""),0,IF(OR(N(对接源_01水果!$B65)&lt;$L$2,N(对接源_01水果!$B65)&gt;$L$3),0,1))</f>
        <v>0</v>
      </c>
      <c r="M65" s="3">
        <f>IF(OR($M$1="",对接源_01水果!$C65="",对接源_01水果!$C65&lt;&gt;$M$1,对接源_01水果!$B65=""),0,IF(OR(N(对接源_01水果!$B65)&lt;$M$2,N(对接源_01水果!$B65)&gt;$M$3),0,1))</f>
        <v>0</v>
      </c>
      <c r="N65" s="3">
        <f>IF(OR($N$1="",对接源_01水果!$C65="",对接源_01水果!$C65&lt;&gt;$N$1,对接源_01水果!$B65=""),0,IF(OR(N(对接源_01水果!$B65)&lt;$N$2,N(对接源_01水果!$B65)&gt;$N$3),0,1))</f>
        <v>0</v>
      </c>
      <c r="P65" s="3">
        <f>IF(AND($K65=1,AND(对接源_01水果!$X65="公司筐",N(对接源_01水果!$T65)&lt;&gt;0)),1,0)</f>
        <v>0</v>
      </c>
      <c r="Q65" s="3">
        <f t="shared" si="3"/>
        <v>0</v>
      </c>
      <c r="R65" s="3">
        <f>IF(AND($K65=1,AND(对接源_01水果!$X65="公司筐",N(对接源_01水果!$U65)&lt;&gt;0)),1,0)</f>
        <v>0</v>
      </c>
      <c r="S65" s="3">
        <f t="shared" si="4"/>
        <v>0</v>
      </c>
      <c r="T65" s="3">
        <f>IF(AND($K65=1,AND(对接源_01水果!$X65="公司筐",N(对接源_01水果!$V65)&lt;&gt;0)),1,0)</f>
        <v>0</v>
      </c>
      <c r="U65" s="3">
        <f t="shared" si="5"/>
        <v>0</v>
      </c>
      <c r="V65" s="3">
        <f>IF(AND($L65=1,AND(对接源_01水果!$X65="自备筐",N(对接源_01水果!$V65)&lt;&gt;0)),1,0)</f>
        <v>0</v>
      </c>
      <c r="W65" s="3">
        <f t="shared" si="6"/>
        <v>0</v>
      </c>
      <c r="X65" s="3">
        <f>IF(AND($L65=1,AND(对接源_01水果!$X65="自备筐",N(对接源_01水果!$T65)&lt;&gt;0)),1,0)</f>
        <v>0</v>
      </c>
      <c r="Y65" s="3">
        <f t="shared" si="7"/>
        <v>0</v>
      </c>
      <c r="Z65" s="3">
        <f>IF(AND($M65=1,对接源_01水果!$D65="原料入库"),1,0)</f>
        <v>0</v>
      </c>
      <c r="AA65" s="3">
        <f t="shared" si="8"/>
        <v>0</v>
      </c>
      <c r="AB65" s="3">
        <f>IF(AND($M65=1,LEFT(对接源_01水果!$D65,4)="原料出库"),1,0)</f>
        <v>0</v>
      </c>
      <c r="AC65" s="3">
        <f t="shared" si="9"/>
        <v>0</v>
      </c>
      <c r="AD65" s="3">
        <f>IF(AND($M65=1,LEFT(对接源_01水果!$D65,4)="成品出库"),1,0)</f>
        <v>0</v>
      </c>
      <c r="AE65" s="3">
        <f t="shared" si="10"/>
        <v>0</v>
      </c>
      <c r="AF65" s="3">
        <f>IF(AND($N65=1,AND(LEFT(对接源_01水果!$D65,4)="包装物料",N(对接源_01水果!$K65)&lt;&gt;0)),1,0)</f>
        <v>0</v>
      </c>
      <c r="AG65" s="3">
        <f t="shared" si="11"/>
        <v>0</v>
      </c>
      <c r="AH65" s="3">
        <f>IF(AND($N65=1,AND(对接源_01水果!$D65="周转筐－销售出库",N(对接源_01水果!$K65)&lt;&gt;0)),1,0)</f>
        <v>0</v>
      </c>
      <c r="AI65" s="3">
        <f t="shared" si="12"/>
        <v>0</v>
      </c>
      <c r="AJ65" s="7"/>
      <c r="AL65" s="3">
        <f>IF(OR($AL$1="",对接源_01水果!$Y65="",对接源_01水果!$Y65&lt;&gt;$AL$1,对接源_01水果!$B65="",N(对接源_01水果!$AJ65)&lt;=0),0,IF(OR(N(对接源_01水果!$B65)&lt;$AL$2,N(对接源_01水果!$B65)&gt;$AL$3),0,1))</f>
        <v>0</v>
      </c>
      <c r="AM65" s="3">
        <f t="shared" si="13"/>
        <v>0</v>
      </c>
      <c r="AN65" s="3" t="str">
        <f>IF(对接源_01水果!$AC65="","",对接源_01水果!$AC65)</f>
        <v/>
      </c>
      <c r="AO65" s="3">
        <f t="shared" si="14"/>
        <v>0</v>
      </c>
      <c r="AP65" s="3">
        <f t="shared" si="15"/>
        <v>0</v>
      </c>
      <c r="AQ65" s="3" t="str">
        <f t="shared" si="16"/>
        <v/>
      </c>
      <c r="AR65">
        <f t="shared" si="17"/>
        <v>0</v>
      </c>
      <c r="AS65">
        <f t="shared" si="18"/>
        <v>0</v>
      </c>
    </row>
    <row r="66" ht="14.25" customHeight="1" spans="1:45">
      <c r="A66" s="3" t="str">
        <f>IF(对接源_01水果!$C66="","",对接源_01水果!$C66)</f>
        <v>王照雪</v>
      </c>
      <c r="B66" s="3">
        <f t="shared" si="0"/>
        <v>0</v>
      </c>
      <c r="C66" s="3">
        <f t="shared" si="1"/>
        <v>4</v>
      </c>
      <c r="E66" s="3" t="str">
        <f t="shared" si="2"/>
        <v/>
      </c>
      <c r="K66" s="3">
        <f>IF(OR($K$1="",对接源_01水果!$C66="",对接源_01水果!$C66&lt;&gt;$K$1,对接源_01水果!$B66=""),0,IF(OR(N(对接源_01水果!$B66)&lt;$K$2,N(对接源_01水果!$B66)&gt;$K$3),0,1))</f>
        <v>0</v>
      </c>
      <c r="L66" s="3">
        <f>IF(OR($L$1="",对接源_01水果!$C66="",对接源_01水果!$C66&lt;&gt;$L$1,对接源_01水果!$B66=""),0,IF(OR(N(对接源_01水果!$B66)&lt;$L$2,N(对接源_01水果!$B66)&gt;$L$3),0,1))</f>
        <v>0</v>
      </c>
      <c r="M66" s="3">
        <f>IF(OR($M$1="",对接源_01水果!$C66="",对接源_01水果!$C66&lt;&gt;$M$1,对接源_01水果!$B66=""),0,IF(OR(N(对接源_01水果!$B66)&lt;$M$2,N(对接源_01水果!$B66)&gt;$M$3),0,1))</f>
        <v>0</v>
      </c>
      <c r="N66" s="3">
        <f>IF(OR($N$1="",对接源_01水果!$C66="",对接源_01水果!$C66&lt;&gt;$N$1,对接源_01水果!$B66=""),0,IF(OR(N(对接源_01水果!$B66)&lt;$N$2,N(对接源_01水果!$B66)&gt;$N$3),0,1))</f>
        <v>0</v>
      </c>
      <c r="P66" s="3">
        <f>IF(AND($K66=1,AND(对接源_01水果!$X66="公司筐",N(对接源_01水果!$T66)&lt;&gt;0)),1,0)</f>
        <v>0</v>
      </c>
      <c r="Q66" s="3">
        <f t="shared" si="3"/>
        <v>0</v>
      </c>
      <c r="R66" s="3">
        <f>IF(AND($K66=1,AND(对接源_01水果!$X66="公司筐",N(对接源_01水果!$U66)&lt;&gt;0)),1,0)</f>
        <v>0</v>
      </c>
      <c r="S66" s="3">
        <f t="shared" si="4"/>
        <v>0</v>
      </c>
      <c r="T66" s="3">
        <f>IF(AND($K66=1,AND(对接源_01水果!$X66="公司筐",N(对接源_01水果!$V66)&lt;&gt;0)),1,0)</f>
        <v>0</v>
      </c>
      <c r="U66" s="3">
        <f t="shared" si="5"/>
        <v>0</v>
      </c>
      <c r="V66" s="3">
        <f>IF(AND($L66=1,AND(对接源_01水果!$X66="自备筐",N(对接源_01水果!$V66)&lt;&gt;0)),1,0)</f>
        <v>0</v>
      </c>
      <c r="W66" s="3">
        <f t="shared" si="6"/>
        <v>0</v>
      </c>
      <c r="X66" s="3">
        <f>IF(AND($L66=1,AND(对接源_01水果!$X66="自备筐",N(对接源_01水果!$T66)&lt;&gt;0)),1,0)</f>
        <v>0</v>
      </c>
      <c r="Y66" s="3">
        <f t="shared" si="7"/>
        <v>0</v>
      </c>
      <c r="Z66" s="3">
        <f>IF(AND($M66=1,对接源_01水果!$D66="原料入库"),1,0)</f>
        <v>0</v>
      </c>
      <c r="AA66" s="3">
        <f t="shared" si="8"/>
        <v>0</v>
      </c>
      <c r="AB66" s="3">
        <f>IF(AND($M66=1,LEFT(对接源_01水果!$D66,4)="原料出库"),1,0)</f>
        <v>0</v>
      </c>
      <c r="AC66" s="3">
        <f t="shared" si="9"/>
        <v>0</v>
      </c>
      <c r="AD66" s="3">
        <f>IF(AND($M66=1,LEFT(对接源_01水果!$D66,4)="成品出库"),1,0)</f>
        <v>0</v>
      </c>
      <c r="AE66" s="3">
        <f t="shared" si="10"/>
        <v>0</v>
      </c>
      <c r="AF66" s="3">
        <f>IF(AND($N66=1,AND(LEFT(对接源_01水果!$D66,4)="包装物料",N(对接源_01水果!$K66)&lt;&gt;0)),1,0)</f>
        <v>0</v>
      </c>
      <c r="AG66" s="3">
        <f t="shared" si="11"/>
        <v>0</v>
      </c>
      <c r="AH66" s="3">
        <f>IF(AND($N66=1,AND(对接源_01水果!$D66="周转筐－销售出库",N(对接源_01水果!$K66)&lt;&gt;0)),1,0)</f>
        <v>0</v>
      </c>
      <c r="AI66" s="3">
        <f t="shared" si="12"/>
        <v>0</v>
      </c>
      <c r="AJ66" s="7"/>
      <c r="AL66" s="3">
        <f>IF(OR($AL$1="",对接源_01水果!$Y66="",对接源_01水果!$Y66&lt;&gt;$AL$1,对接源_01水果!$B66="",N(对接源_01水果!$AJ66)&lt;=0),0,IF(OR(N(对接源_01水果!$B66)&lt;$AL$2,N(对接源_01水果!$B66)&gt;$AL$3),0,1))</f>
        <v>0</v>
      </c>
      <c r="AM66" s="3">
        <f t="shared" si="13"/>
        <v>0</v>
      </c>
      <c r="AN66" s="3" t="str">
        <f>IF(对接源_01水果!$AC66="","",对接源_01水果!$AC66)</f>
        <v/>
      </c>
      <c r="AO66" s="3">
        <f t="shared" si="14"/>
        <v>0</v>
      </c>
      <c r="AP66" s="3">
        <f t="shared" si="15"/>
        <v>0</v>
      </c>
      <c r="AQ66" s="3" t="str">
        <f t="shared" si="16"/>
        <v/>
      </c>
      <c r="AR66">
        <f t="shared" si="17"/>
        <v>0</v>
      </c>
      <c r="AS66">
        <f t="shared" si="18"/>
        <v>0</v>
      </c>
    </row>
    <row r="67" ht="14.25" customHeight="1" spans="1:45">
      <c r="A67" s="3" t="str">
        <f>IF(对接源_01水果!$C67="","",对接源_01水果!$C67)</f>
        <v>聂新平</v>
      </c>
      <c r="B67" s="3">
        <f t="shared" si="0"/>
        <v>0</v>
      </c>
      <c r="C67" s="3">
        <f t="shared" si="1"/>
        <v>4</v>
      </c>
      <c r="E67" s="3" t="str">
        <f t="shared" si="2"/>
        <v/>
      </c>
      <c r="K67" s="3">
        <f>IF(OR($K$1="",对接源_01水果!$C67="",对接源_01水果!$C67&lt;&gt;$K$1,对接源_01水果!$B67=""),0,IF(OR(N(对接源_01水果!$B67)&lt;$K$2,N(对接源_01水果!$B67)&gt;$K$3),0,1))</f>
        <v>0</v>
      </c>
      <c r="L67" s="3">
        <f>IF(OR($L$1="",对接源_01水果!$C67="",对接源_01水果!$C67&lt;&gt;$L$1,对接源_01水果!$B67=""),0,IF(OR(N(对接源_01水果!$B67)&lt;$L$2,N(对接源_01水果!$B67)&gt;$L$3),0,1))</f>
        <v>0</v>
      </c>
      <c r="M67" s="3">
        <f>IF(OR($M$1="",对接源_01水果!$C67="",对接源_01水果!$C67&lt;&gt;$M$1,对接源_01水果!$B67=""),0,IF(OR(N(对接源_01水果!$B67)&lt;$M$2,N(对接源_01水果!$B67)&gt;$M$3),0,1))</f>
        <v>0</v>
      </c>
      <c r="N67" s="3">
        <f>IF(OR($N$1="",对接源_01水果!$C67="",对接源_01水果!$C67&lt;&gt;$N$1,对接源_01水果!$B67=""),0,IF(OR(N(对接源_01水果!$B67)&lt;$N$2,N(对接源_01水果!$B67)&gt;$N$3),0,1))</f>
        <v>0</v>
      </c>
      <c r="P67" s="3">
        <f>IF(AND($K67=1,AND(对接源_01水果!$X67="公司筐",N(对接源_01水果!$T67)&lt;&gt;0)),1,0)</f>
        <v>0</v>
      </c>
      <c r="Q67" s="3">
        <f t="shared" si="3"/>
        <v>0</v>
      </c>
      <c r="R67" s="3">
        <f>IF(AND($K67=1,AND(对接源_01水果!$X67="公司筐",N(对接源_01水果!$U67)&lt;&gt;0)),1,0)</f>
        <v>0</v>
      </c>
      <c r="S67" s="3">
        <f t="shared" si="4"/>
        <v>0</v>
      </c>
      <c r="T67" s="3">
        <f>IF(AND($K67=1,AND(对接源_01水果!$X67="公司筐",N(对接源_01水果!$V67)&lt;&gt;0)),1,0)</f>
        <v>0</v>
      </c>
      <c r="U67" s="3">
        <f t="shared" si="5"/>
        <v>0</v>
      </c>
      <c r="V67" s="3">
        <f>IF(AND($L67=1,AND(对接源_01水果!$X67="自备筐",N(对接源_01水果!$V67)&lt;&gt;0)),1,0)</f>
        <v>0</v>
      </c>
      <c r="W67" s="3">
        <f t="shared" si="6"/>
        <v>0</v>
      </c>
      <c r="X67" s="3">
        <f>IF(AND($L67=1,AND(对接源_01水果!$X67="自备筐",N(对接源_01水果!$T67)&lt;&gt;0)),1,0)</f>
        <v>0</v>
      </c>
      <c r="Y67" s="3">
        <f t="shared" si="7"/>
        <v>0</v>
      </c>
      <c r="Z67" s="3">
        <f>IF(AND($M67=1,对接源_01水果!$D67="原料入库"),1,0)</f>
        <v>0</v>
      </c>
      <c r="AA67" s="3">
        <f t="shared" si="8"/>
        <v>0</v>
      </c>
      <c r="AB67" s="3">
        <f>IF(AND($M67=1,LEFT(对接源_01水果!$D67,4)="原料出库"),1,0)</f>
        <v>0</v>
      </c>
      <c r="AC67" s="3">
        <f t="shared" si="9"/>
        <v>0</v>
      </c>
      <c r="AD67" s="3">
        <f>IF(AND($M67=1,LEFT(对接源_01水果!$D67,4)="成品出库"),1,0)</f>
        <v>0</v>
      </c>
      <c r="AE67" s="3">
        <f t="shared" si="10"/>
        <v>0</v>
      </c>
      <c r="AF67" s="3">
        <f>IF(AND($N67=1,AND(LEFT(对接源_01水果!$D67,4)="包装物料",N(对接源_01水果!$K67)&lt;&gt;0)),1,0)</f>
        <v>0</v>
      </c>
      <c r="AG67" s="3">
        <f t="shared" si="11"/>
        <v>0</v>
      </c>
      <c r="AH67" s="3">
        <f>IF(AND($N67=1,AND(对接源_01水果!$D67="周转筐－销售出库",N(对接源_01水果!$K67)&lt;&gt;0)),1,0)</f>
        <v>0</v>
      </c>
      <c r="AI67" s="3">
        <f t="shared" si="12"/>
        <v>0</v>
      </c>
      <c r="AJ67" s="7"/>
      <c r="AL67" s="3">
        <f>IF(OR($AL$1="",对接源_01水果!$Y67="",对接源_01水果!$Y67&lt;&gt;$AL$1,对接源_01水果!$B67="",N(对接源_01水果!$AJ67)&lt;=0),0,IF(OR(N(对接源_01水果!$B67)&lt;$AL$2,N(对接源_01水果!$B67)&gt;$AL$3),0,1))</f>
        <v>0</v>
      </c>
      <c r="AM67" s="3">
        <f t="shared" si="13"/>
        <v>0</v>
      </c>
      <c r="AN67" s="3" t="str">
        <f>IF(对接源_01水果!$AC67="","",对接源_01水果!$AC67)</f>
        <v/>
      </c>
      <c r="AO67" s="3">
        <f t="shared" si="14"/>
        <v>0</v>
      </c>
      <c r="AP67" s="3">
        <f t="shared" si="15"/>
        <v>0</v>
      </c>
      <c r="AQ67" s="3" t="str">
        <f t="shared" si="16"/>
        <v/>
      </c>
      <c r="AR67">
        <f t="shared" si="17"/>
        <v>0</v>
      </c>
      <c r="AS67">
        <f t="shared" si="18"/>
        <v>0</v>
      </c>
    </row>
    <row r="68" ht="14.25" customHeight="1" spans="1:45">
      <c r="A68" s="3" t="str">
        <f>IF(对接源_01水果!$C68="","",对接源_01水果!$C68)</f>
        <v>聂新平</v>
      </c>
      <c r="B68" s="3">
        <f t="shared" ref="B68:B131" si="19">IF(A68="",0,IF(MATCH(A68,$A$4:$A$2403,0)=ROW()-3,1,0))</f>
        <v>0</v>
      </c>
      <c r="C68" s="3">
        <f t="shared" ref="C68:C131" si="20">N(C67)+B68</f>
        <v>4</v>
      </c>
      <c r="E68" s="3" t="str">
        <f t="shared" ref="E68:E131" si="21">IFERROR(INDEX($A$4:$A$2403,MATCH(ROW()-3,$C$4:$C$2403,0)),"")</f>
        <v/>
      </c>
      <c r="K68" s="3">
        <f>IF(OR($K$1="",对接源_01水果!$C68="",对接源_01水果!$C68&lt;&gt;$K$1,对接源_01水果!$B68=""),0,IF(OR(N(对接源_01水果!$B68)&lt;$K$2,N(对接源_01水果!$B68)&gt;$K$3),0,1))</f>
        <v>0</v>
      </c>
      <c r="L68" s="3">
        <f>IF(OR($L$1="",对接源_01水果!$C68="",对接源_01水果!$C68&lt;&gt;$L$1,对接源_01水果!$B68=""),0,IF(OR(N(对接源_01水果!$B68)&lt;$L$2,N(对接源_01水果!$B68)&gt;$L$3),0,1))</f>
        <v>0</v>
      </c>
      <c r="M68" s="3">
        <f>IF(OR($M$1="",对接源_01水果!$C68="",对接源_01水果!$C68&lt;&gt;$M$1,对接源_01水果!$B68=""),0,IF(OR(N(对接源_01水果!$B68)&lt;$M$2,N(对接源_01水果!$B68)&gt;$M$3),0,1))</f>
        <v>0</v>
      </c>
      <c r="N68" s="3">
        <f>IF(OR($N$1="",对接源_01水果!$C68="",对接源_01水果!$C68&lt;&gt;$N$1,对接源_01水果!$B68=""),0,IF(OR(N(对接源_01水果!$B68)&lt;$N$2,N(对接源_01水果!$B68)&gt;$N$3),0,1))</f>
        <v>0</v>
      </c>
      <c r="P68" s="3">
        <f>IF(AND($K68=1,AND(对接源_01水果!$X68="公司筐",N(对接源_01水果!$T68)&lt;&gt;0)),1,0)</f>
        <v>0</v>
      </c>
      <c r="Q68" s="3">
        <f t="shared" ref="Q68:Q131" si="22">N(Q67)+$P68</f>
        <v>0</v>
      </c>
      <c r="R68" s="3">
        <f>IF(AND($K68=1,AND(对接源_01水果!$X68="公司筐",N(对接源_01水果!$U68)&lt;&gt;0)),1,0)</f>
        <v>0</v>
      </c>
      <c r="S68" s="3">
        <f t="shared" ref="S68:S131" si="23">N(S67)+$R68</f>
        <v>0</v>
      </c>
      <c r="T68" s="3">
        <f>IF(AND($K68=1,AND(对接源_01水果!$X68="公司筐",N(对接源_01水果!$V68)&lt;&gt;0)),1,0)</f>
        <v>0</v>
      </c>
      <c r="U68" s="3">
        <f t="shared" ref="U68:U131" si="24">N(U67)+$T68</f>
        <v>0</v>
      </c>
      <c r="V68" s="3">
        <f>IF(AND($L68=1,AND(对接源_01水果!$X68="自备筐",N(对接源_01水果!$V68)&lt;&gt;0)),1,0)</f>
        <v>0</v>
      </c>
      <c r="W68" s="3">
        <f t="shared" ref="W68:W131" si="25">N(W67)+$V68</f>
        <v>0</v>
      </c>
      <c r="X68" s="3">
        <f>IF(AND($L68=1,AND(对接源_01水果!$X68="自备筐",N(对接源_01水果!$T68)&lt;&gt;0)),1,0)</f>
        <v>0</v>
      </c>
      <c r="Y68" s="3">
        <f t="shared" ref="Y68:Y131" si="26">N(Y67)+$X68</f>
        <v>0</v>
      </c>
      <c r="Z68" s="3">
        <f>IF(AND($M68=1,对接源_01水果!$D68="原料入库"),1,0)</f>
        <v>0</v>
      </c>
      <c r="AA68" s="3">
        <f t="shared" ref="AA68:AA131" si="27">N(AA67)+$Z68</f>
        <v>0</v>
      </c>
      <c r="AB68" s="3">
        <f>IF(AND($M68=1,LEFT(对接源_01水果!$D68,4)="原料出库"),1,0)</f>
        <v>0</v>
      </c>
      <c r="AC68" s="3">
        <f t="shared" ref="AC68:AC131" si="28">N(AC67)+$AB68</f>
        <v>0</v>
      </c>
      <c r="AD68" s="3">
        <f>IF(AND($M68=1,LEFT(对接源_01水果!$D68,4)="成品出库"),1,0)</f>
        <v>0</v>
      </c>
      <c r="AE68" s="3">
        <f t="shared" ref="AE68:AE131" si="29">N(AE67)+$AD68</f>
        <v>0</v>
      </c>
      <c r="AF68" s="3">
        <f>IF(AND($N68=1,AND(LEFT(对接源_01水果!$D68,4)="包装物料",N(对接源_01水果!$K68)&lt;&gt;0)),1,0)</f>
        <v>0</v>
      </c>
      <c r="AG68" s="3">
        <f t="shared" ref="AG68:AG131" si="30">N(AG67)+$AF68</f>
        <v>0</v>
      </c>
      <c r="AH68" s="3">
        <f>IF(AND($N68=1,AND(对接源_01水果!$D68="周转筐－销售出库",N(对接源_01水果!$K68)&lt;&gt;0)),1,0)</f>
        <v>0</v>
      </c>
      <c r="AI68" s="3">
        <f t="shared" ref="AI68:AI131" si="31">N(AI67)+$AH68</f>
        <v>0</v>
      </c>
      <c r="AJ68" s="7"/>
      <c r="AL68" s="3">
        <f>IF(OR($AL$1="",对接源_01水果!$Y68="",对接源_01水果!$Y68&lt;&gt;$AL$1,对接源_01水果!$B68="",N(对接源_01水果!$AJ68)&lt;=0),0,IF(OR(N(对接源_01水果!$B68)&lt;$AL$2,N(对接源_01水果!$B68)&gt;$AL$3),0,1))</f>
        <v>0</v>
      </c>
      <c r="AM68" s="3">
        <f t="shared" ref="AM68:AM131" si="32">N(AM67)+$AL68</f>
        <v>0</v>
      </c>
      <c r="AN68" s="3" t="str">
        <f>IF(对接源_01水果!$AC68="","",对接源_01水果!$AC68)</f>
        <v/>
      </c>
      <c r="AO68" s="3">
        <f t="shared" ref="AO68:AO131" si="33">IF(AN68="",0,IF(MATCH(AN68,$AN$4:$AN$1203,0)=ROW()-3,1,0))</f>
        <v>0</v>
      </c>
      <c r="AP68" s="3">
        <f t="shared" ref="AP68:AP131" si="34">N(AP67)+$AO68</f>
        <v>0</v>
      </c>
      <c r="AQ68" s="3" t="str">
        <f t="shared" ref="AQ68:AQ131" si="35">IFERROR(INDEX($AN$4:$AN$1203,MATCH(ROW()-3,$AP$4:$AP$1203,0)),"")</f>
        <v/>
      </c>
      <c r="AR68">
        <f t="shared" ref="AR68:AR131" si="36">IF(OR($AF68=1,$AH68=1),1,0)</f>
        <v>0</v>
      </c>
      <c r="AS68">
        <f t="shared" ref="AS68:AS131" si="37">N(AS67)+$AR68</f>
        <v>0</v>
      </c>
    </row>
    <row r="69" ht="14.25" customHeight="1" spans="1:45">
      <c r="A69" s="3" t="str">
        <f>IF(对接源_01水果!$C69="","",对接源_01水果!$C69)</f>
        <v>聂新平</v>
      </c>
      <c r="B69" s="3">
        <f t="shared" si="19"/>
        <v>0</v>
      </c>
      <c r="C69" s="3">
        <f t="shared" si="20"/>
        <v>4</v>
      </c>
      <c r="E69" s="3" t="str">
        <f t="shared" si="21"/>
        <v/>
      </c>
      <c r="K69" s="3">
        <f>IF(OR($K$1="",对接源_01水果!$C69="",对接源_01水果!$C69&lt;&gt;$K$1,对接源_01水果!$B69=""),0,IF(OR(N(对接源_01水果!$B69)&lt;$K$2,N(对接源_01水果!$B69)&gt;$K$3),0,1))</f>
        <v>0</v>
      </c>
      <c r="L69" s="3">
        <f>IF(OR($L$1="",对接源_01水果!$C69="",对接源_01水果!$C69&lt;&gt;$L$1,对接源_01水果!$B69=""),0,IF(OR(N(对接源_01水果!$B69)&lt;$L$2,N(对接源_01水果!$B69)&gt;$L$3),0,1))</f>
        <v>0</v>
      </c>
      <c r="M69" s="3">
        <f>IF(OR($M$1="",对接源_01水果!$C69="",对接源_01水果!$C69&lt;&gt;$M$1,对接源_01水果!$B69=""),0,IF(OR(N(对接源_01水果!$B69)&lt;$M$2,N(对接源_01水果!$B69)&gt;$M$3),0,1))</f>
        <v>0</v>
      </c>
      <c r="N69" s="3">
        <f>IF(OR($N$1="",对接源_01水果!$C69="",对接源_01水果!$C69&lt;&gt;$N$1,对接源_01水果!$B69=""),0,IF(OR(N(对接源_01水果!$B69)&lt;$N$2,N(对接源_01水果!$B69)&gt;$N$3),0,1))</f>
        <v>0</v>
      </c>
      <c r="P69" s="3">
        <f>IF(AND($K69=1,AND(对接源_01水果!$X69="公司筐",N(对接源_01水果!$T69)&lt;&gt;0)),1,0)</f>
        <v>0</v>
      </c>
      <c r="Q69" s="3">
        <f t="shared" si="22"/>
        <v>0</v>
      </c>
      <c r="R69" s="3">
        <f>IF(AND($K69=1,AND(对接源_01水果!$X69="公司筐",N(对接源_01水果!$U69)&lt;&gt;0)),1,0)</f>
        <v>0</v>
      </c>
      <c r="S69" s="3">
        <f t="shared" si="23"/>
        <v>0</v>
      </c>
      <c r="T69" s="3">
        <f>IF(AND($K69=1,AND(对接源_01水果!$X69="公司筐",N(对接源_01水果!$V69)&lt;&gt;0)),1,0)</f>
        <v>0</v>
      </c>
      <c r="U69" s="3">
        <f t="shared" si="24"/>
        <v>0</v>
      </c>
      <c r="V69" s="3">
        <f>IF(AND($L69=1,AND(对接源_01水果!$X69="自备筐",N(对接源_01水果!$V69)&lt;&gt;0)),1,0)</f>
        <v>0</v>
      </c>
      <c r="W69" s="3">
        <f t="shared" si="25"/>
        <v>0</v>
      </c>
      <c r="X69" s="3">
        <f>IF(AND($L69=1,AND(对接源_01水果!$X69="自备筐",N(对接源_01水果!$T69)&lt;&gt;0)),1,0)</f>
        <v>0</v>
      </c>
      <c r="Y69" s="3">
        <f t="shared" si="26"/>
        <v>0</v>
      </c>
      <c r="Z69" s="3">
        <f>IF(AND($M69=1,对接源_01水果!$D69="原料入库"),1,0)</f>
        <v>0</v>
      </c>
      <c r="AA69" s="3">
        <f t="shared" si="27"/>
        <v>0</v>
      </c>
      <c r="AB69" s="3">
        <f>IF(AND($M69=1,LEFT(对接源_01水果!$D69,4)="原料出库"),1,0)</f>
        <v>0</v>
      </c>
      <c r="AC69" s="3">
        <f t="shared" si="28"/>
        <v>0</v>
      </c>
      <c r="AD69" s="3">
        <f>IF(AND($M69=1,LEFT(对接源_01水果!$D69,4)="成品出库"),1,0)</f>
        <v>0</v>
      </c>
      <c r="AE69" s="3">
        <f t="shared" si="29"/>
        <v>0</v>
      </c>
      <c r="AF69" s="3">
        <f>IF(AND($N69=1,AND(LEFT(对接源_01水果!$D69,4)="包装物料",N(对接源_01水果!$K69)&lt;&gt;0)),1,0)</f>
        <v>0</v>
      </c>
      <c r="AG69" s="3">
        <f t="shared" si="30"/>
        <v>0</v>
      </c>
      <c r="AH69" s="3">
        <f>IF(AND($N69=1,AND(对接源_01水果!$D69="周转筐－销售出库",N(对接源_01水果!$K69)&lt;&gt;0)),1,0)</f>
        <v>0</v>
      </c>
      <c r="AI69" s="3">
        <f t="shared" si="31"/>
        <v>0</v>
      </c>
      <c r="AJ69" s="7"/>
      <c r="AL69" s="3">
        <f>IF(OR($AL$1="",对接源_01水果!$Y69="",对接源_01水果!$Y69&lt;&gt;$AL$1,对接源_01水果!$B69="",N(对接源_01水果!$AJ69)&lt;=0),0,IF(OR(N(对接源_01水果!$B69)&lt;$AL$2,N(对接源_01水果!$B69)&gt;$AL$3),0,1))</f>
        <v>0</v>
      </c>
      <c r="AM69" s="3">
        <f t="shared" si="32"/>
        <v>0</v>
      </c>
      <c r="AN69" s="3" t="str">
        <f>IF(对接源_01水果!$AC69="","",对接源_01水果!$AC69)</f>
        <v/>
      </c>
      <c r="AO69" s="3">
        <f t="shared" si="33"/>
        <v>0</v>
      </c>
      <c r="AP69" s="3">
        <f t="shared" si="34"/>
        <v>0</v>
      </c>
      <c r="AQ69" s="3" t="str">
        <f t="shared" si="35"/>
        <v/>
      </c>
      <c r="AR69">
        <f t="shared" si="36"/>
        <v>0</v>
      </c>
      <c r="AS69">
        <f t="shared" si="37"/>
        <v>0</v>
      </c>
    </row>
    <row r="70" ht="14.25" customHeight="1" spans="1:45">
      <c r="A70" s="3" t="str">
        <f>IF(对接源_01水果!$C70="","",对接源_01水果!$C70)</f>
        <v>聂新平</v>
      </c>
      <c r="B70" s="3">
        <f t="shared" si="19"/>
        <v>0</v>
      </c>
      <c r="C70" s="3">
        <f t="shared" si="20"/>
        <v>4</v>
      </c>
      <c r="E70" s="3" t="str">
        <f t="shared" si="21"/>
        <v/>
      </c>
      <c r="K70" s="3">
        <f>IF(OR($K$1="",对接源_01水果!$C70="",对接源_01水果!$C70&lt;&gt;$K$1,对接源_01水果!$B70=""),0,IF(OR(N(对接源_01水果!$B70)&lt;$K$2,N(对接源_01水果!$B70)&gt;$K$3),0,1))</f>
        <v>0</v>
      </c>
      <c r="L70" s="3">
        <f>IF(OR($L$1="",对接源_01水果!$C70="",对接源_01水果!$C70&lt;&gt;$L$1,对接源_01水果!$B70=""),0,IF(OR(N(对接源_01水果!$B70)&lt;$L$2,N(对接源_01水果!$B70)&gt;$L$3),0,1))</f>
        <v>0</v>
      </c>
      <c r="M70" s="3">
        <f>IF(OR($M$1="",对接源_01水果!$C70="",对接源_01水果!$C70&lt;&gt;$M$1,对接源_01水果!$B70=""),0,IF(OR(N(对接源_01水果!$B70)&lt;$M$2,N(对接源_01水果!$B70)&gt;$M$3),0,1))</f>
        <v>0</v>
      </c>
      <c r="N70" s="3">
        <f>IF(OR($N$1="",对接源_01水果!$C70="",对接源_01水果!$C70&lt;&gt;$N$1,对接源_01水果!$B70=""),0,IF(OR(N(对接源_01水果!$B70)&lt;$N$2,N(对接源_01水果!$B70)&gt;$N$3),0,1))</f>
        <v>0</v>
      </c>
      <c r="P70" s="3">
        <f>IF(AND($K70=1,AND(对接源_01水果!$X70="公司筐",N(对接源_01水果!$T70)&lt;&gt;0)),1,0)</f>
        <v>0</v>
      </c>
      <c r="Q70" s="3">
        <f t="shared" si="22"/>
        <v>0</v>
      </c>
      <c r="R70" s="3">
        <f>IF(AND($K70=1,AND(对接源_01水果!$X70="公司筐",N(对接源_01水果!$U70)&lt;&gt;0)),1,0)</f>
        <v>0</v>
      </c>
      <c r="S70" s="3">
        <f t="shared" si="23"/>
        <v>0</v>
      </c>
      <c r="T70" s="3">
        <f>IF(AND($K70=1,AND(对接源_01水果!$X70="公司筐",N(对接源_01水果!$V70)&lt;&gt;0)),1,0)</f>
        <v>0</v>
      </c>
      <c r="U70" s="3">
        <f t="shared" si="24"/>
        <v>0</v>
      </c>
      <c r="V70" s="3">
        <f>IF(AND($L70=1,AND(对接源_01水果!$X70="自备筐",N(对接源_01水果!$V70)&lt;&gt;0)),1,0)</f>
        <v>0</v>
      </c>
      <c r="W70" s="3">
        <f t="shared" si="25"/>
        <v>0</v>
      </c>
      <c r="X70" s="3">
        <f>IF(AND($L70=1,AND(对接源_01水果!$X70="自备筐",N(对接源_01水果!$T70)&lt;&gt;0)),1,0)</f>
        <v>0</v>
      </c>
      <c r="Y70" s="3">
        <f t="shared" si="26"/>
        <v>0</v>
      </c>
      <c r="Z70" s="3">
        <f>IF(AND($M70=1,对接源_01水果!$D70="原料入库"),1,0)</f>
        <v>0</v>
      </c>
      <c r="AA70" s="3">
        <f t="shared" si="27"/>
        <v>0</v>
      </c>
      <c r="AB70" s="3">
        <f>IF(AND($M70=1,LEFT(对接源_01水果!$D70,4)="原料出库"),1,0)</f>
        <v>0</v>
      </c>
      <c r="AC70" s="3">
        <f t="shared" si="28"/>
        <v>0</v>
      </c>
      <c r="AD70" s="3">
        <f>IF(AND($M70=1,LEFT(对接源_01水果!$D70,4)="成品出库"),1,0)</f>
        <v>0</v>
      </c>
      <c r="AE70" s="3">
        <f t="shared" si="29"/>
        <v>0</v>
      </c>
      <c r="AF70" s="3">
        <f>IF(AND($N70=1,AND(LEFT(对接源_01水果!$D70,4)="包装物料",N(对接源_01水果!$K70)&lt;&gt;0)),1,0)</f>
        <v>0</v>
      </c>
      <c r="AG70" s="3">
        <f t="shared" si="30"/>
        <v>0</v>
      </c>
      <c r="AH70" s="3">
        <f>IF(AND($N70=1,AND(对接源_01水果!$D70="周转筐－销售出库",N(对接源_01水果!$K70)&lt;&gt;0)),1,0)</f>
        <v>0</v>
      </c>
      <c r="AI70" s="3">
        <f t="shared" si="31"/>
        <v>0</v>
      </c>
      <c r="AJ70" s="7"/>
      <c r="AL70" s="3">
        <f>IF(OR($AL$1="",对接源_01水果!$Y70="",对接源_01水果!$Y70&lt;&gt;$AL$1,对接源_01水果!$B70="",N(对接源_01水果!$AJ70)&lt;=0),0,IF(OR(N(对接源_01水果!$B70)&lt;$AL$2,N(对接源_01水果!$B70)&gt;$AL$3),0,1))</f>
        <v>0</v>
      </c>
      <c r="AM70" s="3">
        <f t="shared" si="32"/>
        <v>0</v>
      </c>
      <c r="AN70" s="3" t="str">
        <f>IF(对接源_01水果!$AC70="","",对接源_01水果!$AC70)</f>
        <v/>
      </c>
      <c r="AO70" s="3">
        <f t="shared" si="33"/>
        <v>0</v>
      </c>
      <c r="AP70" s="3">
        <f t="shared" si="34"/>
        <v>0</v>
      </c>
      <c r="AQ70" s="3" t="str">
        <f t="shared" si="35"/>
        <v/>
      </c>
      <c r="AR70">
        <f t="shared" si="36"/>
        <v>0</v>
      </c>
      <c r="AS70">
        <f t="shared" si="37"/>
        <v>0</v>
      </c>
    </row>
    <row r="71" ht="14.25" customHeight="1" spans="1:45">
      <c r="A71" s="3" t="str">
        <f>IF(对接源_01水果!$C71="","",对接源_01水果!$C71)</f>
        <v>聂新平</v>
      </c>
      <c r="B71" s="3">
        <f t="shared" si="19"/>
        <v>0</v>
      </c>
      <c r="C71" s="3">
        <f t="shared" si="20"/>
        <v>4</v>
      </c>
      <c r="E71" s="3" t="str">
        <f t="shared" si="21"/>
        <v/>
      </c>
      <c r="K71" s="3">
        <f>IF(OR($K$1="",对接源_01水果!$C71="",对接源_01水果!$C71&lt;&gt;$K$1,对接源_01水果!$B71=""),0,IF(OR(N(对接源_01水果!$B71)&lt;$K$2,N(对接源_01水果!$B71)&gt;$K$3),0,1))</f>
        <v>0</v>
      </c>
      <c r="L71" s="3">
        <f>IF(OR($L$1="",对接源_01水果!$C71="",对接源_01水果!$C71&lt;&gt;$L$1,对接源_01水果!$B71=""),0,IF(OR(N(对接源_01水果!$B71)&lt;$L$2,N(对接源_01水果!$B71)&gt;$L$3),0,1))</f>
        <v>0</v>
      </c>
      <c r="M71" s="3">
        <f>IF(OR($M$1="",对接源_01水果!$C71="",对接源_01水果!$C71&lt;&gt;$M$1,对接源_01水果!$B71=""),0,IF(OR(N(对接源_01水果!$B71)&lt;$M$2,N(对接源_01水果!$B71)&gt;$M$3),0,1))</f>
        <v>0</v>
      </c>
      <c r="N71" s="3">
        <f>IF(OR($N$1="",对接源_01水果!$C71="",对接源_01水果!$C71&lt;&gt;$N$1,对接源_01水果!$B71=""),0,IF(OR(N(对接源_01水果!$B71)&lt;$N$2,N(对接源_01水果!$B71)&gt;$N$3),0,1))</f>
        <v>0</v>
      </c>
      <c r="P71" s="3">
        <f>IF(AND($K71=1,AND(对接源_01水果!$X71="公司筐",N(对接源_01水果!$T71)&lt;&gt;0)),1,0)</f>
        <v>0</v>
      </c>
      <c r="Q71" s="3">
        <f t="shared" si="22"/>
        <v>0</v>
      </c>
      <c r="R71" s="3">
        <f>IF(AND($K71=1,AND(对接源_01水果!$X71="公司筐",N(对接源_01水果!$U71)&lt;&gt;0)),1,0)</f>
        <v>0</v>
      </c>
      <c r="S71" s="3">
        <f t="shared" si="23"/>
        <v>0</v>
      </c>
      <c r="T71" s="3">
        <f>IF(AND($K71=1,AND(对接源_01水果!$X71="公司筐",N(对接源_01水果!$V71)&lt;&gt;0)),1,0)</f>
        <v>0</v>
      </c>
      <c r="U71" s="3">
        <f t="shared" si="24"/>
        <v>0</v>
      </c>
      <c r="V71" s="3">
        <f>IF(AND($L71=1,AND(对接源_01水果!$X71="自备筐",N(对接源_01水果!$V71)&lt;&gt;0)),1,0)</f>
        <v>0</v>
      </c>
      <c r="W71" s="3">
        <f t="shared" si="25"/>
        <v>0</v>
      </c>
      <c r="X71" s="3">
        <f>IF(AND($L71=1,AND(对接源_01水果!$X71="自备筐",N(对接源_01水果!$T71)&lt;&gt;0)),1,0)</f>
        <v>0</v>
      </c>
      <c r="Y71" s="3">
        <f t="shared" si="26"/>
        <v>0</v>
      </c>
      <c r="Z71" s="3">
        <f>IF(AND($M71=1,对接源_01水果!$D71="原料入库"),1,0)</f>
        <v>0</v>
      </c>
      <c r="AA71" s="3">
        <f t="shared" si="27"/>
        <v>0</v>
      </c>
      <c r="AB71" s="3">
        <f>IF(AND($M71=1,LEFT(对接源_01水果!$D71,4)="原料出库"),1,0)</f>
        <v>0</v>
      </c>
      <c r="AC71" s="3">
        <f t="shared" si="28"/>
        <v>0</v>
      </c>
      <c r="AD71" s="3">
        <f>IF(AND($M71=1,LEFT(对接源_01水果!$D71,4)="成品出库"),1,0)</f>
        <v>0</v>
      </c>
      <c r="AE71" s="3">
        <f t="shared" si="29"/>
        <v>0</v>
      </c>
      <c r="AF71" s="3">
        <f>IF(AND($N71=1,AND(LEFT(对接源_01水果!$D71,4)="包装物料",N(对接源_01水果!$K71)&lt;&gt;0)),1,0)</f>
        <v>0</v>
      </c>
      <c r="AG71" s="3">
        <f t="shared" si="30"/>
        <v>0</v>
      </c>
      <c r="AH71" s="3">
        <f>IF(AND($N71=1,AND(对接源_01水果!$D71="周转筐－销售出库",N(对接源_01水果!$K71)&lt;&gt;0)),1,0)</f>
        <v>0</v>
      </c>
      <c r="AI71" s="3">
        <f t="shared" si="31"/>
        <v>0</v>
      </c>
      <c r="AJ71" s="7"/>
      <c r="AL71" s="3">
        <f>IF(OR($AL$1="",对接源_01水果!$Y71="",对接源_01水果!$Y71&lt;&gt;$AL$1,对接源_01水果!$B71="",N(对接源_01水果!$AJ71)&lt;=0),0,IF(OR(N(对接源_01水果!$B71)&lt;$AL$2,N(对接源_01水果!$B71)&gt;$AL$3),0,1))</f>
        <v>0</v>
      </c>
      <c r="AM71" s="3">
        <f t="shared" si="32"/>
        <v>0</v>
      </c>
      <c r="AN71" s="3" t="str">
        <f>IF(对接源_01水果!$AC71="","",对接源_01水果!$AC71)</f>
        <v/>
      </c>
      <c r="AO71" s="3">
        <f t="shared" si="33"/>
        <v>0</v>
      </c>
      <c r="AP71" s="3">
        <f t="shared" si="34"/>
        <v>0</v>
      </c>
      <c r="AQ71" s="3" t="str">
        <f t="shared" si="35"/>
        <v/>
      </c>
      <c r="AR71">
        <f t="shared" si="36"/>
        <v>0</v>
      </c>
      <c r="AS71">
        <f t="shared" si="37"/>
        <v>0</v>
      </c>
    </row>
    <row r="72" ht="14.25" customHeight="1" spans="1:45">
      <c r="A72" s="3" t="str">
        <f>IF(对接源_01水果!$C72="","",对接源_01水果!$C72)</f>
        <v>聂新平</v>
      </c>
      <c r="B72" s="3">
        <f t="shared" si="19"/>
        <v>0</v>
      </c>
      <c r="C72" s="3">
        <f t="shared" si="20"/>
        <v>4</v>
      </c>
      <c r="E72" s="3" t="str">
        <f t="shared" si="21"/>
        <v/>
      </c>
      <c r="K72" s="3">
        <f>IF(OR($K$1="",对接源_01水果!$C72="",对接源_01水果!$C72&lt;&gt;$K$1,对接源_01水果!$B72=""),0,IF(OR(N(对接源_01水果!$B72)&lt;$K$2,N(对接源_01水果!$B72)&gt;$K$3),0,1))</f>
        <v>0</v>
      </c>
      <c r="L72" s="3">
        <f>IF(OR($L$1="",对接源_01水果!$C72="",对接源_01水果!$C72&lt;&gt;$L$1,对接源_01水果!$B72=""),0,IF(OR(N(对接源_01水果!$B72)&lt;$L$2,N(对接源_01水果!$B72)&gt;$L$3),0,1))</f>
        <v>0</v>
      </c>
      <c r="M72" s="3">
        <f>IF(OR($M$1="",对接源_01水果!$C72="",对接源_01水果!$C72&lt;&gt;$M$1,对接源_01水果!$B72=""),0,IF(OR(N(对接源_01水果!$B72)&lt;$M$2,N(对接源_01水果!$B72)&gt;$M$3),0,1))</f>
        <v>0</v>
      </c>
      <c r="N72" s="3">
        <f>IF(OR($N$1="",对接源_01水果!$C72="",对接源_01水果!$C72&lt;&gt;$N$1,对接源_01水果!$B72=""),0,IF(OR(N(对接源_01水果!$B72)&lt;$N$2,N(对接源_01水果!$B72)&gt;$N$3),0,1))</f>
        <v>0</v>
      </c>
      <c r="P72" s="3">
        <f>IF(AND($K72=1,AND(对接源_01水果!$X72="公司筐",N(对接源_01水果!$T72)&lt;&gt;0)),1,0)</f>
        <v>0</v>
      </c>
      <c r="Q72" s="3">
        <f t="shared" si="22"/>
        <v>0</v>
      </c>
      <c r="R72" s="3">
        <f>IF(AND($K72=1,AND(对接源_01水果!$X72="公司筐",N(对接源_01水果!$U72)&lt;&gt;0)),1,0)</f>
        <v>0</v>
      </c>
      <c r="S72" s="3">
        <f t="shared" si="23"/>
        <v>0</v>
      </c>
      <c r="T72" s="3">
        <f>IF(AND($K72=1,AND(对接源_01水果!$X72="公司筐",N(对接源_01水果!$V72)&lt;&gt;0)),1,0)</f>
        <v>0</v>
      </c>
      <c r="U72" s="3">
        <f t="shared" si="24"/>
        <v>0</v>
      </c>
      <c r="V72" s="3">
        <f>IF(AND($L72=1,AND(对接源_01水果!$X72="自备筐",N(对接源_01水果!$V72)&lt;&gt;0)),1,0)</f>
        <v>0</v>
      </c>
      <c r="W72" s="3">
        <f t="shared" si="25"/>
        <v>0</v>
      </c>
      <c r="X72" s="3">
        <f>IF(AND($L72=1,AND(对接源_01水果!$X72="自备筐",N(对接源_01水果!$T72)&lt;&gt;0)),1,0)</f>
        <v>0</v>
      </c>
      <c r="Y72" s="3">
        <f t="shared" si="26"/>
        <v>0</v>
      </c>
      <c r="Z72" s="3">
        <f>IF(AND($M72=1,对接源_01水果!$D72="原料入库"),1,0)</f>
        <v>0</v>
      </c>
      <c r="AA72" s="3">
        <f t="shared" si="27"/>
        <v>0</v>
      </c>
      <c r="AB72" s="3">
        <f>IF(AND($M72=1,LEFT(对接源_01水果!$D72,4)="原料出库"),1,0)</f>
        <v>0</v>
      </c>
      <c r="AC72" s="3">
        <f t="shared" si="28"/>
        <v>0</v>
      </c>
      <c r="AD72" s="3">
        <f>IF(AND($M72=1,LEFT(对接源_01水果!$D72,4)="成品出库"),1,0)</f>
        <v>0</v>
      </c>
      <c r="AE72" s="3">
        <f t="shared" si="29"/>
        <v>0</v>
      </c>
      <c r="AF72" s="3">
        <f>IF(AND($N72=1,AND(LEFT(对接源_01水果!$D72,4)="包装物料",N(对接源_01水果!$K72)&lt;&gt;0)),1,0)</f>
        <v>0</v>
      </c>
      <c r="AG72" s="3">
        <f t="shared" si="30"/>
        <v>0</v>
      </c>
      <c r="AH72" s="3">
        <f>IF(AND($N72=1,AND(对接源_01水果!$D72="周转筐－销售出库",N(对接源_01水果!$K72)&lt;&gt;0)),1,0)</f>
        <v>0</v>
      </c>
      <c r="AI72" s="3">
        <f t="shared" si="31"/>
        <v>0</v>
      </c>
      <c r="AJ72" s="7"/>
      <c r="AL72" s="3">
        <f>IF(OR($AL$1="",对接源_01水果!$Y72="",对接源_01水果!$Y72&lt;&gt;$AL$1,对接源_01水果!$B72="",N(对接源_01水果!$AJ72)&lt;=0),0,IF(OR(N(对接源_01水果!$B72)&lt;$AL$2,N(对接源_01水果!$B72)&gt;$AL$3),0,1))</f>
        <v>0</v>
      </c>
      <c r="AM72" s="3">
        <f t="shared" si="32"/>
        <v>0</v>
      </c>
      <c r="AN72" s="3" t="str">
        <f>IF(对接源_01水果!$AC72="","",对接源_01水果!$AC72)</f>
        <v/>
      </c>
      <c r="AO72" s="3">
        <f t="shared" si="33"/>
        <v>0</v>
      </c>
      <c r="AP72" s="3">
        <f t="shared" si="34"/>
        <v>0</v>
      </c>
      <c r="AQ72" s="3" t="str">
        <f t="shared" si="35"/>
        <v/>
      </c>
      <c r="AR72">
        <f t="shared" si="36"/>
        <v>0</v>
      </c>
      <c r="AS72">
        <f t="shared" si="37"/>
        <v>0</v>
      </c>
    </row>
    <row r="73" ht="14.25" customHeight="1" spans="1:45">
      <c r="A73" s="3" t="str">
        <f>IF(对接源_01水果!$C73="","",对接源_01水果!$C73)</f>
        <v>聂新平</v>
      </c>
      <c r="B73" s="3">
        <f t="shared" si="19"/>
        <v>0</v>
      </c>
      <c r="C73" s="3">
        <f t="shared" si="20"/>
        <v>4</v>
      </c>
      <c r="E73" s="3" t="str">
        <f t="shared" si="21"/>
        <v/>
      </c>
      <c r="K73" s="3">
        <f>IF(OR($K$1="",对接源_01水果!$C73="",对接源_01水果!$C73&lt;&gt;$K$1,对接源_01水果!$B73=""),0,IF(OR(N(对接源_01水果!$B73)&lt;$K$2,N(对接源_01水果!$B73)&gt;$K$3),0,1))</f>
        <v>0</v>
      </c>
      <c r="L73" s="3">
        <f>IF(OR($L$1="",对接源_01水果!$C73="",对接源_01水果!$C73&lt;&gt;$L$1,对接源_01水果!$B73=""),0,IF(OR(N(对接源_01水果!$B73)&lt;$L$2,N(对接源_01水果!$B73)&gt;$L$3),0,1))</f>
        <v>0</v>
      </c>
      <c r="M73" s="3">
        <f>IF(OR($M$1="",对接源_01水果!$C73="",对接源_01水果!$C73&lt;&gt;$M$1,对接源_01水果!$B73=""),0,IF(OR(N(对接源_01水果!$B73)&lt;$M$2,N(对接源_01水果!$B73)&gt;$M$3),0,1))</f>
        <v>0</v>
      </c>
      <c r="N73" s="3">
        <f>IF(OR($N$1="",对接源_01水果!$C73="",对接源_01水果!$C73&lt;&gt;$N$1,对接源_01水果!$B73=""),0,IF(OR(N(对接源_01水果!$B73)&lt;$N$2,N(对接源_01水果!$B73)&gt;$N$3),0,1))</f>
        <v>0</v>
      </c>
      <c r="P73" s="3">
        <f>IF(AND($K73=1,AND(对接源_01水果!$X73="公司筐",N(对接源_01水果!$T73)&lt;&gt;0)),1,0)</f>
        <v>0</v>
      </c>
      <c r="Q73" s="3">
        <f t="shared" si="22"/>
        <v>0</v>
      </c>
      <c r="R73" s="3">
        <f>IF(AND($K73=1,AND(对接源_01水果!$X73="公司筐",N(对接源_01水果!$U73)&lt;&gt;0)),1,0)</f>
        <v>0</v>
      </c>
      <c r="S73" s="3">
        <f t="shared" si="23"/>
        <v>0</v>
      </c>
      <c r="T73" s="3">
        <f>IF(AND($K73=1,AND(对接源_01水果!$X73="公司筐",N(对接源_01水果!$V73)&lt;&gt;0)),1,0)</f>
        <v>0</v>
      </c>
      <c r="U73" s="3">
        <f t="shared" si="24"/>
        <v>0</v>
      </c>
      <c r="V73" s="3">
        <f>IF(AND($L73=1,AND(对接源_01水果!$X73="自备筐",N(对接源_01水果!$V73)&lt;&gt;0)),1,0)</f>
        <v>0</v>
      </c>
      <c r="W73" s="3">
        <f t="shared" si="25"/>
        <v>0</v>
      </c>
      <c r="X73" s="3">
        <f>IF(AND($L73=1,AND(对接源_01水果!$X73="自备筐",N(对接源_01水果!$T73)&lt;&gt;0)),1,0)</f>
        <v>0</v>
      </c>
      <c r="Y73" s="3">
        <f t="shared" si="26"/>
        <v>0</v>
      </c>
      <c r="Z73" s="3">
        <f>IF(AND($M73=1,对接源_01水果!$D73="原料入库"),1,0)</f>
        <v>0</v>
      </c>
      <c r="AA73" s="3">
        <f t="shared" si="27"/>
        <v>0</v>
      </c>
      <c r="AB73" s="3">
        <f>IF(AND($M73=1,LEFT(对接源_01水果!$D73,4)="原料出库"),1,0)</f>
        <v>0</v>
      </c>
      <c r="AC73" s="3">
        <f t="shared" si="28"/>
        <v>0</v>
      </c>
      <c r="AD73" s="3">
        <f>IF(AND($M73=1,LEFT(对接源_01水果!$D73,4)="成品出库"),1,0)</f>
        <v>0</v>
      </c>
      <c r="AE73" s="3">
        <f t="shared" si="29"/>
        <v>0</v>
      </c>
      <c r="AF73" s="3">
        <f>IF(AND($N73=1,AND(LEFT(对接源_01水果!$D73,4)="包装物料",N(对接源_01水果!$K73)&lt;&gt;0)),1,0)</f>
        <v>0</v>
      </c>
      <c r="AG73" s="3">
        <f t="shared" si="30"/>
        <v>0</v>
      </c>
      <c r="AH73" s="3">
        <f>IF(AND($N73=1,AND(对接源_01水果!$D73="周转筐－销售出库",N(对接源_01水果!$K73)&lt;&gt;0)),1,0)</f>
        <v>0</v>
      </c>
      <c r="AI73" s="3">
        <f t="shared" si="31"/>
        <v>0</v>
      </c>
      <c r="AJ73" s="7"/>
      <c r="AL73" s="3">
        <f>IF(OR($AL$1="",对接源_01水果!$Y73="",对接源_01水果!$Y73&lt;&gt;$AL$1,对接源_01水果!$B73="",N(对接源_01水果!$AJ73)&lt;=0),0,IF(OR(N(对接源_01水果!$B73)&lt;$AL$2,N(对接源_01水果!$B73)&gt;$AL$3),0,1))</f>
        <v>0</v>
      </c>
      <c r="AM73" s="3">
        <f t="shared" si="32"/>
        <v>0</v>
      </c>
      <c r="AN73" s="3" t="str">
        <f>IF(对接源_01水果!$AC73="","",对接源_01水果!$AC73)</f>
        <v/>
      </c>
      <c r="AO73" s="3">
        <f t="shared" si="33"/>
        <v>0</v>
      </c>
      <c r="AP73" s="3">
        <f t="shared" si="34"/>
        <v>0</v>
      </c>
      <c r="AQ73" s="3" t="str">
        <f t="shared" si="35"/>
        <v/>
      </c>
      <c r="AR73">
        <f t="shared" si="36"/>
        <v>0</v>
      </c>
      <c r="AS73">
        <f t="shared" si="37"/>
        <v>0</v>
      </c>
    </row>
    <row r="74" ht="14.25" customHeight="1" spans="1:45">
      <c r="A74" s="3" t="str">
        <f>IF(对接源_01水果!$C74="","",对接源_01水果!$C74)</f>
        <v>聂新平</v>
      </c>
      <c r="B74" s="3">
        <f t="shared" si="19"/>
        <v>0</v>
      </c>
      <c r="C74" s="3">
        <f t="shared" si="20"/>
        <v>4</v>
      </c>
      <c r="E74" s="3" t="str">
        <f t="shared" si="21"/>
        <v/>
      </c>
      <c r="K74" s="3">
        <f>IF(OR($K$1="",对接源_01水果!$C74="",对接源_01水果!$C74&lt;&gt;$K$1,对接源_01水果!$B74=""),0,IF(OR(N(对接源_01水果!$B74)&lt;$K$2,N(对接源_01水果!$B74)&gt;$K$3),0,1))</f>
        <v>0</v>
      </c>
      <c r="L74" s="3">
        <f>IF(OR($L$1="",对接源_01水果!$C74="",对接源_01水果!$C74&lt;&gt;$L$1,对接源_01水果!$B74=""),0,IF(OR(N(对接源_01水果!$B74)&lt;$L$2,N(对接源_01水果!$B74)&gt;$L$3),0,1))</f>
        <v>0</v>
      </c>
      <c r="M74" s="3">
        <f>IF(OR($M$1="",对接源_01水果!$C74="",对接源_01水果!$C74&lt;&gt;$M$1,对接源_01水果!$B74=""),0,IF(OR(N(对接源_01水果!$B74)&lt;$M$2,N(对接源_01水果!$B74)&gt;$M$3),0,1))</f>
        <v>0</v>
      </c>
      <c r="N74" s="3">
        <f>IF(OR($N$1="",对接源_01水果!$C74="",对接源_01水果!$C74&lt;&gt;$N$1,对接源_01水果!$B74=""),0,IF(OR(N(对接源_01水果!$B74)&lt;$N$2,N(对接源_01水果!$B74)&gt;$N$3),0,1))</f>
        <v>0</v>
      </c>
      <c r="P74" s="3">
        <f>IF(AND($K74=1,AND(对接源_01水果!$X74="公司筐",N(对接源_01水果!$T74)&lt;&gt;0)),1,0)</f>
        <v>0</v>
      </c>
      <c r="Q74" s="3">
        <f t="shared" si="22"/>
        <v>0</v>
      </c>
      <c r="R74" s="3">
        <f>IF(AND($K74=1,AND(对接源_01水果!$X74="公司筐",N(对接源_01水果!$U74)&lt;&gt;0)),1,0)</f>
        <v>0</v>
      </c>
      <c r="S74" s="3">
        <f t="shared" si="23"/>
        <v>0</v>
      </c>
      <c r="T74" s="3">
        <f>IF(AND($K74=1,AND(对接源_01水果!$X74="公司筐",N(对接源_01水果!$V74)&lt;&gt;0)),1,0)</f>
        <v>0</v>
      </c>
      <c r="U74" s="3">
        <f t="shared" si="24"/>
        <v>0</v>
      </c>
      <c r="V74" s="3">
        <f>IF(AND($L74=1,AND(对接源_01水果!$X74="自备筐",N(对接源_01水果!$V74)&lt;&gt;0)),1,0)</f>
        <v>0</v>
      </c>
      <c r="W74" s="3">
        <f t="shared" si="25"/>
        <v>0</v>
      </c>
      <c r="X74" s="3">
        <f>IF(AND($L74=1,AND(对接源_01水果!$X74="自备筐",N(对接源_01水果!$T74)&lt;&gt;0)),1,0)</f>
        <v>0</v>
      </c>
      <c r="Y74" s="3">
        <f t="shared" si="26"/>
        <v>0</v>
      </c>
      <c r="Z74" s="3">
        <f>IF(AND($M74=1,对接源_01水果!$D74="原料入库"),1,0)</f>
        <v>0</v>
      </c>
      <c r="AA74" s="3">
        <f t="shared" si="27"/>
        <v>0</v>
      </c>
      <c r="AB74" s="3">
        <f>IF(AND($M74=1,LEFT(对接源_01水果!$D74,4)="原料出库"),1,0)</f>
        <v>0</v>
      </c>
      <c r="AC74" s="3">
        <f t="shared" si="28"/>
        <v>0</v>
      </c>
      <c r="AD74" s="3">
        <f>IF(AND($M74=1,LEFT(对接源_01水果!$D74,4)="成品出库"),1,0)</f>
        <v>0</v>
      </c>
      <c r="AE74" s="3">
        <f t="shared" si="29"/>
        <v>0</v>
      </c>
      <c r="AF74" s="3">
        <f>IF(AND($N74=1,AND(LEFT(对接源_01水果!$D74,4)="包装物料",N(对接源_01水果!$K74)&lt;&gt;0)),1,0)</f>
        <v>0</v>
      </c>
      <c r="AG74" s="3">
        <f t="shared" si="30"/>
        <v>0</v>
      </c>
      <c r="AH74" s="3">
        <f>IF(AND($N74=1,AND(对接源_01水果!$D74="周转筐－销售出库",N(对接源_01水果!$K74)&lt;&gt;0)),1,0)</f>
        <v>0</v>
      </c>
      <c r="AI74" s="3">
        <f t="shared" si="31"/>
        <v>0</v>
      </c>
      <c r="AJ74" s="7"/>
      <c r="AL74" s="3">
        <f>IF(OR($AL$1="",对接源_01水果!$Y74="",对接源_01水果!$Y74&lt;&gt;$AL$1,对接源_01水果!$B74="",N(对接源_01水果!$AJ74)&lt;=0),0,IF(OR(N(对接源_01水果!$B74)&lt;$AL$2,N(对接源_01水果!$B74)&gt;$AL$3),0,1))</f>
        <v>0</v>
      </c>
      <c r="AM74" s="3">
        <f t="shared" si="32"/>
        <v>0</v>
      </c>
      <c r="AN74" s="3" t="str">
        <f>IF(对接源_01水果!$AC74="","",对接源_01水果!$AC74)</f>
        <v/>
      </c>
      <c r="AO74" s="3">
        <f t="shared" si="33"/>
        <v>0</v>
      </c>
      <c r="AP74" s="3">
        <f t="shared" si="34"/>
        <v>0</v>
      </c>
      <c r="AQ74" s="3" t="str">
        <f t="shared" si="35"/>
        <v/>
      </c>
      <c r="AR74">
        <f t="shared" si="36"/>
        <v>0</v>
      </c>
      <c r="AS74">
        <f t="shared" si="37"/>
        <v>0</v>
      </c>
    </row>
    <row r="75" ht="14.25" customHeight="1" spans="1:45">
      <c r="A75" s="3" t="str">
        <f>IF(对接源_01水果!$C75="","",对接源_01水果!$C75)</f>
        <v>聂新平</v>
      </c>
      <c r="B75" s="3">
        <f t="shared" si="19"/>
        <v>0</v>
      </c>
      <c r="C75" s="3">
        <f t="shared" si="20"/>
        <v>4</v>
      </c>
      <c r="E75" s="3" t="str">
        <f t="shared" si="21"/>
        <v/>
      </c>
      <c r="K75" s="3">
        <f>IF(OR($K$1="",对接源_01水果!$C75="",对接源_01水果!$C75&lt;&gt;$K$1,对接源_01水果!$B75=""),0,IF(OR(N(对接源_01水果!$B75)&lt;$K$2,N(对接源_01水果!$B75)&gt;$K$3),0,1))</f>
        <v>0</v>
      </c>
      <c r="L75" s="3">
        <f>IF(OR($L$1="",对接源_01水果!$C75="",对接源_01水果!$C75&lt;&gt;$L$1,对接源_01水果!$B75=""),0,IF(OR(N(对接源_01水果!$B75)&lt;$L$2,N(对接源_01水果!$B75)&gt;$L$3),0,1))</f>
        <v>0</v>
      </c>
      <c r="M75" s="3">
        <f>IF(OR($M$1="",对接源_01水果!$C75="",对接源_01水果!$C75&lt;&gt;$M$1,对接源_01水果!$B75=""),0,IF(OR(N(对接源_01水果!$B75)&lt;$M$2,N(对接源_01水果!$B75)&gt;$M$3),0,1))</f>
        <v>0</v>
      </c>
      <c r="N75" s="3">
        <f>IF(OR($N$1="",对接源_01水果!$C75="",对接源_01水果!$C75&lt;&gt;$N$1,对接源_01水果!$B75=""),0,IF(OR(N(对接源_01水果!$B75)&lt;$N$2,N(对接源_01水果!$B75)&gt;$N$3),0,1))</f>
        <v>0</v>
      </c>
      <c r="P75" s="3">
        <f>IF(AND($K75=1,AND(对接源_01水果!$X75="公司筐",N(对接源_01水果!$T75)&lt;&gt;0)),1,0)</f>
        <v>0</v>
      </c>
      <c r="Q75" s="3">
        <f t="shared" si="22"/>
        <v>0</v>
      </c>
      <c r="R75" s="3">
        <f>IF(AND($K75=1,AND(对接源_01水果!$X75="公司筐",N(对接源_01水果!$U75)&lt;&gt;0)),1,0)</f>
        <v>0</v>
      </c>
      <c r="S75" s="3">
        <f t="shared" si="23"/>
        <v>0</v>
      </c>
      <c r="T75" s="3">
        <f>IF(AND($K75=1,AND(对接源_01水果!$X75="公司筐",N(对接源_01水果!$V75)&lt;&gt;0)),1,0)</f>
        <v>0</v>
      </c>
      <c r="U75" s="3">
        <f t="shared" si="24"/>
        <v>0</v>
      </c>
      <c r="V75" s="3">
        <f>IF(AND($L75=1,AND(对接源_01水果!$X75="自备筐",N(对接源_01水果!$V75)&lt;&gt;0)),1,0)</f>
        <v>0</v>
      </c>
      <c r="W75" s="3">
        <f t="shared" si="25"/>
        <v>0</v>
      </c>
      <c r="X75" s="3">
        <f>IF(AND($L75=1,AND(对接源_01水果!$X75="自备筐",N(对接源_01水果!$T75)&lt;&gt;0)),1,0)</f>
        <v>0</v>
      </c>
      <c r="Y75" s="3">
        <f t="shared" si="26"/>
        <v>0</v>
      </c>
      <c r="Z75" s="3">
        <f>IF(AND($M75=1,对接源_01水果!$D75="原料入库"),1,0)</f>
        <v>0</v>
      </c>
      <c r="AA75" s="3">
        <f t="shared" si="27"/>
        <v>0</v>
      </c>
      <c r="AB75" s="3">
        <f>IF(AND($M75=1,LEFT(对接源_01水果!$D75,4)="原料出库"),1,0)</f>
        <v>0</v>
      </c>
      <c r="AC75" s="3">
        <f t="shared" si="28"/>
        <v>0</v>
      </c>
      <c r="AD75" s="3">
        <f>IF(AND($M75=1,LEFT(对接源_01水果!$D75,4)="成品出库"),1,0)</f>
        <v>0</v>
      </c>
      <c r="AE75" s="3">
        <f t="shared" si="29"/>
        <v>0</v>
      </c>
      <c r="AF75" s="3">
        <f>IF(AND($N75=1,AND(LEFT(对接源_01水果!$D75,4)="包装物料",N(对接源_01水果!$K75)&lt;&gt;0)),1,0)</f>
        <v>0</v>
      </c>
      <c r="AG75" s="3">
        <f t="shared" si="30"/>
        <v>0</v>
      </c>
      <c r="AH75" s="3">
        <f>IF(AND($N75=1,AND(对接源_01水果!$D75="周转筐－销售出库",N(对接源_01水果!$K75)&lt;&gt;0)),1,0)</f>
        <v>0</v>
      </c>
      <c r="AI75" s="3">
        <f t="shared" si="31"/>
        <v>0</v>
      </c>
      <c r="AJ75" s="7"/>
      <c r="AL75" s="3">
        <f>IF(OR($AL$1="",对接源_01水果!$Y75="",对接源_01水果!$Y75&lt;&gt;$AL$1,对接源_01水果!$B75="",N(对接源_01水果!$AJ75)&lt;=0),0,IF(OR(N(对接源_01水果!$B75)&lt;$AL$2,N(对接源_01水果!$B75)&gt;$AL$3),0,1))</f>
        <v>0</v>
      </c>
      <c r="AM75" s="3">
        <f t="shared" si="32"/>
        <v>0</v>
      </c>
      <c r="AN75" s="3" t="str">
        <f>IF(对接源_01水果!$AC75="","",对接源_01水果!$AC75)</f>
        <v/>
      </c>
      <c r="AO75" s="3">
        <f t="shared" si="33"/>
        <v>0</v>
      </c>
      <c r="AP75" s="3">
        <f t="shared" si="34"/>
        <v>0</v>
      </c>
      <c r="AQ75" s="3" t="str">
        <f t="shared" si="35"/>
        <v/>
      </c>
      <c r="AR75">
        <f t="shared" si="36"/>
        <v>0</v>
      </c>
      <c r="AS75">
        <f t="shared" si="37"/>
        <v>0</v>
      </c>
    </row>
    <row r="76" ht="14.25" customHeight="1" spans="1:45">
      <c r="A76" s="3" t="str">
        <f>IF(对接源_01水果!$C76="","",对接源_01水果!$C76)</f>
        <v>聂新平</v>
      </c>
      <c r="B76" s="3">
        <f t="shared" si="19"/>
        <v>0</v>
      </c>
      <c r="C76" s="3">
        <f t="shared" si="20"/>
        <v>4</v>
      </c>
      <c r="E76" s="3" t="str">
        <f t="shared" si="21"/>
        <v/>
      </c>
      <c r="K76" s="3">
        <f>IF(OR($K$1="",对接源_01水果!$C76="",对接源_01水果!$C76&lt;&gt;$K$1,对接源_01水果!$B76=""),0,IF(OR(N(对接源_01水果!$B76)&lt;$K$2,N(对接源_01水果!$B76)&gt;$K$3),0,1))</f>
        <v>0</v>
      </c>
      <c r="L76" s="3">
        <f>IF(OR($L$1="",对接源_01水果!$C76="",对接源_01水果!$C76&lt;&gt;$L$1,对接源_01水果!$B76=""),0,IF(OR(N(对接源_01水果!$B76)&lt;$L$2,N(对接源_01水果!$B76)&gt;$L$3),0,1))</f>
        <v>0</v>
      </c>
      <c r="M76" s="3">
        <f>IF(OR($M$1="",对接源_01水果!$C76="",对接源_01水果!$C76&lt;&gt;$M$1,对接源_01水果!$B76=""),0,IF(OR(N(对接源_01水果!$B76)&lt;$M$2,N(对接源_01水果!$B76)&gt;$M$3),0,1))</f>
        <v>0</v>
      </c>
      <c r="N76" s="3">
        <f>IF(OR($N$1="",对接源_01水果!$C76="",对接源_01水果!$C76&lt;&gt;$N$1,对接源_01水果!$B76=""),0,IF(OR(N(对接源_01水果!$B76)&lt;$N$2,N(对接源_01水果!$B76)&gt;$N$3),0,1))</f>
        <v>0</v>
      </c>
      <c r="P76" s="3">
        <f>IF(AND($K76=1,AND(对接源_01水果!$X76="公司筐",N(对接源_01水果!$T76)&lt;&gt;0)),1,0)</f>
        <v>0</v>
      </c>
      <c r="Q76" s="3">
        <f t="shared" si="22"/>
        <v>0</v>
      </c>
      <c r="R76" s="3">
        <f>IF(AND($K76=1,AND(对接源_01水果!$X76="公司筐",N(对接源_01水果!$U76)&lt;&gt;0)),1,0)</f>
        <v>0</v>
      </c>
      <c r="S76" s="3">
        <f t="shared" si="23"/>
        <v>0</v>
      </c>
      <c r="T76" s="3">
        <f>IF(AND($K76=1,AND(对接源_01水果!$X76="公司筐",N(对接源_01水果!$V76)&lt;&gt;0)),1,0)</f>
        <v>0</v>
      </c>
      <c r="U76" s="3">
        <f t="shared" si="24"/>
        <v>0</v>
      </c>
      <c r="V76" s="3">
        <f>IF(AND($L76=1,AND(对接源_01水果!$X76="自备筐",N(对接源_01水果!$V76)&lt;&gt;0)),1,0)</f>
        <v>0</v>
      </c>
      <c r="W76" s="3">
        <f t="shared" si="25"/>
        <v>0</v>
      </c>
      <c r="X76" s="3">
        <f>IF(AND($L76=1,AND(对接源_01水果!$X76="自备筐",N(对接源_01水果!$T76)&lt;&gt;0)),1,0)</f>
        <v>0</v>
      </c>
      <c r="Y76" s="3">
        <f t="shared" si="26"/>
        <v>0</v>
      </c>
      <c r="Z76" s="3">
        <f>IF(AND($M76=1,对接源_01水果!$D76="原料入库"),1,0)</f>
        <v>0</v>
      </c>
      <c r="AA76" s="3">
        <f t="shared" si="27"/>
        <v>0</v>
      </c>
      <c r="AB76" s="3">
        <f>IF(AND($M76=1,LEFT(对接源_01水果!$D76,4)="原料出库"),1,0)</f>
        <v>0</v>
      </c>
      <c r="AC76" s="3">
        <f t="shared" si="28"/>
        <v>0</v>
      </c>
      <c r="AD76" s="3">
        <f>IF(AND($M76=1,LEFT(对接源_01水果!$D76,4)="成品出库"),1,0)</f>
        <v>0</v>
      </c>
      <c r="AE76" s="3">
        <f t="shared" si="29"/>
        <v>0</v>
      </c>
      <c r="AF76" s="3">
        <f>IF(AND($N76=1,AND(LEFT(对接源_01水果!$D76,4)="包装物料",N(对接源_01水果!$K76)&lt;&gt;0)),1,0)</f>
        <v>0</v>
      </c>
      <c r="AG76" s="3">
        <f t="shared" si="30"/>
        <v>0</v>
      </c>
      <c r="AH76" s="3">
        <f>IF(AND($N76=1,AND(对接源_01水果!$D76="周转筐－销售出库",N(对接源_01水果!$K76)&lt;&gt;0)),1,0)</f>
        <v>0</v>
      </c>
      <c r="AI76" s="3">
        <f t="shared" si="31"/>
        <v>0</v>
      </c>
      <c r="AJ76" s="7"/>
      <c r="AL76" s="3">
        <f>IF(OR($AL$1="",对接源_01水果!$Y76="",对接源_01水果!$Y76&lt;&gt;$AL$1,对接源_01水果!$B76="",N(对接源_01水果!$AJ76)&lt;=0),0,IF(OR(N(对接源_01水果!$B76)&lt;$AL$2,N(对接源_01水果!$B76)&gt;$AL$3),0,1))</f>
        <v>0</v>
      </c>
      <c r="AM76" s="3">
        <f t="shared" si="32"/>
        <v>0</v>
      </c>
      <c r="AN76" s="3" t="str">
        <f>IF(对接源_01水果!$AC76="","",对接源_01水果!$AC76)</f>
        <v/>
      </c>
      <c r="AO76" s="3">
        <f t="shared" si="33"/>
        <v>0</v>
      </c>
      <c r="AP76" s="3">
        <f t="shared" si="34"/>
        <v>0</v>
      </c>
      <c r="AQ76" s="3" t="str">
        <f t="shared" si="35"/>
        <v/>
      </c>
      <c r="AR76">
        <f t="shared" si="36"/>
        <v>0</v>
      </c>
      <c r="AS76">
        <f t="shared" si="37"/>
        <v>0</v>
      </c>
    </row>
    <row r="77" ht="14.25" customHeight="1" spans="1:45">
      <c r="A77" s="3" t="str">
        <f>IF(对接源_01水果!$C77="","",对接源_01水果!$C77)</f>
        <v>聂新平</v>
      </c>
      <c r="B77" s="3">
        <f t="shared" si="19"/>
        <v>0</v>
      </c>
      <c r="C77" s="3">
        <f t="shared" si="20"/>
        <v>4</v>
      </c>
      <c r="E77" s="3" t="str">
        <f t="shared" si="21"/>
        <v/>
      </c>
      <c r="K77" s="3">
        <f>IF(OR($K$1="",对接源_01水果!$C77="",对接源_01水果!$C77&lt;&gt;$K$1,对接源_01水果!$B77=""),0,IF(OR(N(对接源_01水果!$B77)&lt;$K$2,N(对接源_01水果!$B77)&gt;$K$3),0,1))</f>
        <v>0</v>
      </c>
      <c r="L77" s="3">
        <f>IF(OR($L$1="",对接源_01水果!$C77="",对接源_01水果!$C77&lt;&gt;$L$1,对接源_01水果!$B77=""),0,IF(OR(N(对接源_01水果!$B77)&lt;$L$2,N(对接源_01水果!$B77)&gt;$L$3),0,1))</f>
        <v>0</v>
      </c>
      <c r="M77" s="3">
        <f>IF(OR($M$1="",对接源_01水果!$C77="",对接源_01水果!$C77&lt;&gt;$M$1,对接源_01水果!$B77=""),0,IF(OR(N(对接源_01水果!$B77)&lt;$M$2,N(对接源_01水果!$B77)&gt;$M$3),0,1))</f>
        <v>0</v>
      </c>
      <c r="N77" s="3">
        <f>IF(OR($N$1="",对接源_01水果!$C77="",对接源_01水果!$C77&lt;&gt;$N$1,对接源_01水果!$B77=""),0,IF(OR(N(对接源_01水果!$B77)&lt;$N$2,N(对接源_01水果!$B77)&gt;$N$3),0,1))</f>
        <v>0</v>
      </c>
      <c r="P77" s="3">
        <f>IF(AND($K77=1,AND(对接源_01水果!$X77="公司筐",N(对接源_01水果!$T77)&lt;&gt;0)),1,0)</f>
        <v>0</v>
      </c>
      <c r="Q77" s="3">
        <f t="shared" si="22"/>
        <v>0</v>
      </c>
      <c r="R77" s="3">
        <f>IF(AND($K77=1,AND(对接源_01水果!$X77="公司筐",N(对接源_01水果!$U77)&lt;&gt;0)),1,0)</f>
        <v>0</v>
      </c>
      <c r="S77" s="3">
        <f t="shared" si="23"/>
        <v>0</v>
      </c>
      <c r="T77" s="3">
        <f>IF(AND($K77=1,AND(对接源_01水果!$X77="公司筐",N(对接源_01水果!$V77)&lt;&gt;0)),1,0)</f>
        <v>0</v>
      </c>
      <c r="U77" s="3">
        <f t="shared" si="24"/>
        <v>0</v>
      </c>
      <c r="V77" s="3">
        <f>IF(AND($L77=1,AND(对接源_01水果!$X77="自备筐",N(对接源_01水果!$V77)&lt;&gt;0)),1,0)</f>
        <v>0</v>
      </c>
      <c r="W77" s="3">
        <f t="shared" si="25"/>
        <v>0</v>
      </c>
      <c r="X77" s="3">
        <f>IF(AND($L77=1,AND(对接源_01水果!$X77="自备筐",N(对接源_01水果!$T77)&lt;&gt;0)),1,0)</f>
        <v>0</v>
      </c>
      <c r="Y77" s="3">
        <f t="shared" si="26"/>
        <v>0</v>
      </c>
      <c r="Z77" s="3">
        <f>IF(AND($M77=1,对接源_01水果!$D77="原料入库"),1,0)</f>
        <v>0</v>
      </c>
      <c r="AA77" s="3">
        <f t="shared" si="27"/>
        <v>0</v>
      </c>
      <c r="AB77" s="3">
        <f>IF(AND($M77=1,LEFT(对接源_01水果!$D77,4)="原料出库"),1,0)</f>
        <v>0</v>
      </c>
      <c r="AC77" s="3">
        <f t="shared" si="28"/>
        <v>0</v>
      </c>
      <c r="AD77" s="3">
        <f>IF(AND($M77=1,LEFT(对接源_01水果!$D77,4)="成品出库"),1,0)</f>
        <v>0</v>
      </c>
      <c r="AE77" s="3">
        <f t="shared" si="29"/>
        <v>0</v>
      </c>
      <c r="AF77" s="3">
        <f>IF(AND($N77=1,AND(LEFT(对接源_01水果!$D77,4)="包装物料",N(对接源_01水果!$K77)&lt;&gt;0)),1,0)</f>
        <v>0</v>
      </c>
      <c r="AG77" s="3">
        <f t="shared" si="30"/>
        <v>0</v>
      </c>
      <c r="AH77" s="3">
        <f>IF(AND($N77=1,AND(对接源_01水果!$D77="周转筐－销售出库",N(对接源_01水果!$K77)&lt;&gt;0)),1,0)</f>
        <v>0</v>
      </c>
      <c r="AI77" s="3">
        <f t="shared" si="31"/>
        <v>0</v>
      </c>
      <c r="AJ77" s="7"/>
      <c r="AL77" s="3">
        <f>IF(OR($AL$1="",对接源_01水果!$Y77="",对接源_01水果!$Y77&lt;&gt;$AL$1,对接源_01水果!$B77="",N(对接源_01水果!$AJ77)&lt;=0),0,IF(OR(N(对接源_01水果!$B77)&lt;$AL$2,N(对接源_01水果!$B77)&gt;$AL$3),0,1))</f>
        <v>0</v>
      </c>
      <c r="AM77" s="3">
        <f t="shared" si="32"/>
        <v>0</v>
      </c>
      <c r="AN77" s="3" t="str">
        <f>IF(对接源_01水果!$AC77="","",对接源_01水果!$AC77)</f>
        <v/>
      </c>
      <c r="AO77" s="3">
        <f t="shared" si="33"/>
        <v>0</v>
      </c>
      <c r="AP77" s="3">
        <f t="shared" si="34"/>
        <v>0</v>
      </c>
      <c r="AQ77" s="3" t="str">
        <f t="shared" si="35"/>
        <v/>
      </c>
      <c r="AR77">
        <f t="shared" si="36"/>
        <v>0</v>
      </c>
      <c r="AS77">
        <f t="shared" si="37"/>
        <v>0</v>
      </c>
    </row>
    <row r="78" ht="14.25" customHeight="1" spans="1:45">
      <c r="A78" s="3" t="str">
        <f>IF(对接源_01水果!$C78="","",对接源_01水果!$C78)</f>
        <v>聂新平</v>
      </c>
      <c r="B78" s="3">
        <f t="shared" si="19"/>
        <v>0</v>
      </c>
      <c r="C78" s="3">
        <f t="shared" si="20"/>
        <v>4</v>
      </c>
      <c r="E78" s="3" t="str">
        <f t="shared" si="21"/>
        <v/>
      </c>
      <c r="K78" s="3">
        <f>IF(OR($K$1="",对接源_01水果!$C78="",对接源_01水果!$C78&lt;&gt;$K$1,对接源_01水果!$B78=""),0,IF(OR(N(对接源_01水果!$B78)&lt;$K$2,N(对接源_01水果!$B78)&gt;$K$3),0,1))</f>
        <v>0</v>
      </c>
      <c r="L78" s="3">
        <f>IF(OR($L$1="",对接源_01水果!$C78="",对接源_01水果!$C78&lt;&gt;$L$1,对接源_01水果!$B78=""),0,IF(OR(N(对接源_01水果!$B78)&lt;$L$2,N(对接源_01水果!$B78)&gt;$L$3),0,1))</f>
        <v>0</v>
      </c>
      <c r="M78" s="3">
        <f>IF(OR($M$1="",对接源_01水果!$C78="",对接源_01水果!$C78&lt;&gt;$M$1,对接源_01水果!$B78=""),0,IF(OR(N(对接源_01水果!$B78)&lt;$M$2,N(对接源_01水果!$B78)&gt;$M$3),0,1))</f>
        <v>0</v>
      </c>
      <c r="N78" s="3">
        <f>IF(OR($N$1="",对接源_01水果!$C78="",对接源_01水果!$C78&lt;&gt;$N$1,对接源_01水果!$B78=""),0,IF(OR(N(对接源_01水果!$B78)&lt;$N$2,N(对接源_01水果!$B78)&gt;$N$3),0,1))</f>
        <v>0</v>
      </c>
      <c r="P78" s="3">
        <f>IF(AND($K78=1,AND(对接源_01水果!$X78="公司筐",N(对接源_01水果!$T78)&lt;&gt;0)),1,0)</f>
        <v>0</v>
      </c>
      <c r="Q78" s="3">
        <f t="shared" si="22"/>
        <v>0</v>
      </c>
      <c r="R78" s="3">
        <f>IF(AND($K78=1,AND(对接源_01水果!$X78="公司筐",N(对接源_01水果!$U78)&lt;&gt;0)),1,0)</f>
        <v>0</v>
      </c>
      <c r="S78" s="3">
        <f t="shared" si="23"/>
        <v>0</v>
      </c>
      <c r="T78" s="3">
        <f>IF(AND($K78=1,AND(对接源_01水果!$X78="公司筐",N(对接源_01水果!$V78)&lt;&gt;0)),1,0)</f>
        <v>0</v>
      </c>
      <c r="U78" s="3">
        <f t="shared" si="24"/>
        <v>0</v>
      </c>
      <c r="V78" s="3">
        <f>IF(AND($L78=1,AND(对接源_01水果!$X78="自备筐",N(对接源_01水果!$V78)&lt;&gt;0)),1,0)</f>
        <v>0</v>
      </c>
      <c r="W78" s="3">
        <f t="shared" si="25"/>
        <v>0</v>
      </c>
      <c r="X78" s="3">
        <f>IF(AND($L78=1,AND(对接源_01水果!$X78="自备筐",N(对接源_01水果!$T78)&lt;&gt;0)),1,0)</f>
        <v>0</v>
      </c>
      <c r="Y78" s="3">
        <f t="shared" si="26"/>
        <v>0</v>
      </c>
      <c r="Z78" s="3">
        <f>IF(AND($M78=1,对接源_01水果!$D78="原料入库"),1,0)</f>
        <v>0</v>
      </c>
      <c r="AA78" s="3">
        <f t="shared" si="27"/>
        <v>0</v>
      </c>
      <c r="AB78" s="3">
        <f>IF(AND($M78=1,LEFT(对接源_01水果!$D78,4)="原料出库"),1,0)</f>
        <v>0</v>
      </c>
      <c r="AC78" s="3">
        <f t="shared" si="28"/>
        <v>0</v>
      </c>
      <c r="AD78" s="3">
        <f>IF(AND($M78=1,LEFT(对接源_01水果!$D78,4)="成品出库"),1,0)</f>
        <v>0</v>
      </c>
      <c r="AE78" s="3">
        <f t="shared" si="29"/>
        <v>0</v>
      </c>
      <c r="AF78" s="3">
        <f>IF(AND($N78=1,AND(LEFT(对接源_01水果!$D78,4)="包装物料",N(对接源_01水果!$K78)&lt;&gt;0)),1,0)</f>
        <v>0</v>
      </c>
      <c r="AG78" s="3">
        <f t="shared" si="30"/>
        <v>0</v>
      </c>
      <c r="AH78" s="3">
        <f>IF(AND($N78=1,AND(对接源_01水果!$D78="周转筐－销售出库",N(对接源_01水果!$K78)&lt;&gt;0)),1,0)</f>
        <v>0</v>
      </c>
      <c r="AI78" s="3">
        <f t="shared" si="31"/>
        <v>0</v>
      </c>
      <c r="AJ78" s="7"/>
      <c r="AL78" s="3">
        <f>IF(OR($AL$1="",对接源_01水果!$Y78="",对接源_01水果!$Y78&lt;&gt;$AL$1,对接源_01水果!$B78="",N(对接源_01水果!$AJ78)&lt;=0),0,IF(OR(N(对接源_01水果!$B78)&lt;$AL$2,N(对接源_01水果!$B78)&gt;$AL$3),0,1))</f>
        <v>0</v>
      </c>
      <c r="AM78" s="3">
        <f t="shared" si="32"/>
        <v>0</v>
      </c>
      <c r="AN78" s="3" t="str">
        <f>IF(对接源_01水果!$AC78="","",对接源_01水果!$AC78)</f>
        <v/>
      </c>
      <c r="AO78" s="3">
        <f t="shared" si="33"/>
        <v>0</v>
      </c>
      <c r="AP78" s="3">
        <f t="shared" si="34"/>
        <v>0</v>
      </c>
      <c r="AQ78" s="3" t="str">
        <f t="shared" si="35"/>
        <v/>
      </c>
      <c r="AR78">
        <f t="shared" si="36"/>
        <v>0</v>
      </c>
      <c r="AS78">
        <f t="shared" si="37"/>
        <v>0</v>
      </c>
    </row>
    <row r="79" ht="14.25" customHeight="1" spans="1:45">
      <c r="A79" s="3" t="str">
        <f>IF(对接源_01水果!$C79="","",对接源_01水果!$C79)</f>
        <v>聂新平</v>
      </c>
      <c r="B79" s="3">
        <f t="shared" si="19"/>
        <v>0</v>
      </c>
      <c r="C79" s="3">
        <f t="shared" si="20"/>
        <v>4</v>
      </c>
      <c r="E79" s="3" t="str">
        <f t="shared" si="21"/>
        <v/>
      </c>
      <c r="K79" s="3">
        <f>IF(OR($K$1="",对接源_01水果!$C79="",对接源_01水果!$C79&lt;&gt;$K$1,对接源_01水果!$B79=""),0,IF(OR(N(对接源_01水果!$B79)&lt;$K$2,N(对接源_01水果!$B79)&gt;$K$3),0,1))</f>
        <v>0</v>
      </c>
      <c r="L79" s="3">
        <f>IF(OR($L$1="",对接源_01水果!$C79="",对接源_01水果!$C79&lt;&gt;$L$1,对接源_01水果!$B79=""),0,IF(OR(N(对接源_01水果!$B79)&lt;$L$2,N(对接源_01水果!$B79)&gt;$L$3),0,1))</f>
        <v>0</v>
      </c>
      <c r="M79" s="3">
        <f>IF(OR($M$1="",对接源_01水果!$C79="",对接源_01水果!$C79&lt;&gt;$M$1,对接源_01水果!$B79=""),0,IF(OR(N(对接源_01水果!$B79)&lt;$M$2,N(对接源_01水果!$B79)&gt;$M$3),0,1))</f>
        <v>0</v>
      </c>
      <c r="N79" s="3">
        <f>IF(OR($N$1="",对接源_01水果!$C79="",对接源_01水果!$C79&lt;&gt;$N$1,对接源_01水果!$B79=""),0,IF(OR(N(对接源_01水果!$B79)&lt;$N$2,N(对接源_01水果!$B79)&gt;$N$3),0,1))</f>
        <v>0</v>
      </c>
      <c r="P79" s="3">
        <f>IF(AND($K79=1,AND(对接源_01水果!$X79="公司筐",N(对接源_01水果!$T79)&lt;&gt;0)),1,0)</f>
        <v>0</v>
      </c>
      <c r="Q79" s="3">
        <f t="shared" si="22"/>
        <v>0</v>
      </c>
      <c r="R79" s="3">
        <f>IF(AND($K79=1,AND(对接源_01水果!$X79="公司筐",N(对接源_01水果!$U79)&lt;&gt;0)),1,0)</f>
        <v>0</v>
      </c>
      <c r="S79" s="3">
        <f t="shared" si="23"/>
        <v>0</v>
      </c>
      <c r="T79" s="3">
        <f>IF(AND($K79=1,AND(对接源_01水果!$X79="公司筐",N(对接源_01水果!$V79)&lt;&gt;0)),1,0)</f>
        <v>0</v>
      </c>
      <c r="U79" s="3">
        <f t="shared" si="24"/>
        <v>0</v>
      </c>
      <c r="V79" s="3">
        <f>IF(AND($L79=1,AND(对接源_01水果!$X79="自备筐",N(对接源_01水果!$V79)&lt;&gt;0)),1,0)</f>
        <v>0</v>
      </c>
      <c r="W79" s="3">
        <f t="shared" si="25"/>
        <v>0</v>
      </c>
      <c r="X79" s="3">
        <f>IF(AND($L79=1,AND(对接源_01水果!$X79="自备筐",N(对接源_01水果!$T79)&lt;&gt;0)),1,0)</f>
        <v>0</v>
      </c>
      <c r="Y79" s="3">
        <f t="shared" si="26"/>
        <v>0</v>
      </c>
      <c r="Z79" s="3">
        <f>IF(AND($M79=1,对接源_01水果!$D79="原料入库"),1,0)</f>
        <v>0</v>
      </c>
      <c r="AA79" s="3">
        <f t="shared" si="27"/>
        <v>0</v>
      </c>
      <c r="AB79" s="3">
        <f>IF(AND($M79=1,LEFT(对接源_01水果!$D79,4)="原料出库"),1,0)</f>
        <v>0</v>
      </c>
      <c r="AC79" s="3">
        <f t="shared" si="28"/>
        <v>0</v>
      </c>
      <c r="AD79" s="3">
        <f>IF(AND($M79=1,LEFT(对接源_01水果!$D79,4)="成品出库"),1,0)</f>
        <v>0</v>
      </c>
      <c r="AE79" s="3">
        <f t="shared" si="29"/>
        <v>0</v>
      </c>
      <c r="AF79" s="3">
        <f>IF(AND($N79=1,AND(LEFT(对接源_01水果!$D79,4)="包装物料",N(对接源_01水果!$K79)&lt;&gt;0)),1,0)</f>
        <v>0</v>
      </c>
      <c r="AG79" s="3">
        <f t="shared" si="30"/>
        <v>0</v>
      </c>
      <c r="AH79" s="3">
        <f>IF(AND($N79=1,AND(对接源_01水果!$D79="周转筐－销售出库",N(对接源_01水果!$K79)&lt;&gt;0)),1,0)</f>
        <v>0</v>
      </c>
      <c r="AI79" s="3">
        <f t="shared" si="31"/>
        <v>0</v>
      </c>
      <c r="AJ79" s="7"/>
      <c r="AL79" s="3">
        <f>IF(OR($AL$1="",对接源_01水果!$Y79="",对接源_01水果!$Y79&lt;&gt;$AL$1,对接源_01水果!$B79="",N(对接源_01水果!$AJ79)&lt;=0),0,IF(OR(N(对接源_01水果!$B79)&lt;$AL$2,N(对接源_01水果!$B79)&gt;$AL$3),0,1))</f>
        <v>0</v>
      </c>
      <c r="AM79" s="3">
        <f t="shared" si="32"/>
        <v>0</v>
      </c>
      <c r="AN79" s="3" t="str">
        <f>IF(对接源_01水果!$AC79="","",对接源_01水果!$AC79)</f>
        <v/>
      </c>
      <c r="AO79" s="3">
        <f t="shared" si="33"/>
        <v>0</v>
      </c>
      <c r="AP79" s="3">
        <f t="shared" si="34"/>
        <v>0</v>
      </c>
      <c r="AQ79" s="3" t="str">
        <f t="shared" si="35"/>
        <v/>
      </c>
      <c r="AR79">
        <f t="shared" si="36"/>
        <v>0</v>
      </c>
      <c r="AS79">
        <f t="shared" si="37"/>
        <v>0</v>
      </c>
    </row>
    <row r="80" ht="14.25" customHeight="1" spans="1:45">
      <c r="A80" s="3" t="str">
        <f>IF(对接源_01水果!$C80="","",对接源_01水果!$C80)</f>
        <v>聂新平</v>
      </c>
      <c r="B80" s="3">
        <f t="shared" si="19"/>
        <v>0</v>
      </c>
      <c r="C80" s="3">
        <f t="shared" si="20"/>
        <v>4</v>
      </c>
      <c r="E80" s="3" t="str">
        <f t="shared" si="21"/>
        <v/>
      </c>
      <c r="K80" s="3">
        <f>IF(OR($K$1="",对接源_01水果!$C80="",对接源_01水果!$C80&lt;&gt;$K$1,对接源_01水果!$B80=""),0,IF(OR(N(对接源_01水果!$B80)&lt;$K$2,N(对接源_01水果!$B80)&gt;$K$3),0,1))</f>
        <v>0</v>
      </c>
      <c r="L80" s="3">
        <f>IF(OR($L$1="",对接源_01水果!$C80="",对接源_01水果!$C80&lt;&gt;$L$1,对接源_01水果!$B80=""),0,IF(OR(N(对接源_01水果!$B80)&lt;$L$2,N(对接源_01水果!$B80)&gt;$L$3),0,1))</f>
        <v>0</v>
      </c>
      <c r="M80" s="3">
        <f>IF(OR($M$1="",对接源_01水果!$C80="",对接源_01水果!$C80&lt;&gt;$M$1,对接源_01水果!$B80=""),0,IF(OR(N(对接源_01水果!$B80)&lt;$M$2,N(对接源_01水果!$B80)&gt;$M$3),0,1))</f>
        <v>0</v>
      </c>
      <c r="N80" s="3">
        <f>IF(OR($N$1="",对接源_01水果!$C80="",对接源_01水果!$C80&lt;&gt;$N$1,对接源_01水果!$B80=""),0,IF(OR(N(对接源_01水果!$B80)&lt;$N$2,N(对接源_01水果!$B80)&gt;$N$3),0,1))</f>
        <v>0</v>
      </c>
      <c r="P80" s="3">
        <f>IF(AND($K80=1,AND(对接源_01水果!$X80="公司筐",N(对接源_01水果!$T80)&lt;&gt;0)),1,0)</f>
        <v>0</v>
      </c>
      <c r="Q80" s="3">
        <f t="shared" si="22"/>
        <v>0</v>
      </c>
      <c r="R80" s="3">
        <f>IF(AND($K80=1,AND(对接源_01水果!$X80="公司筐",N(对接源_01水果!$U80)&lt;&gt;0)),1,0)</f>
        <v>0</v>
      </c>
      <c r="S80" s="3">
        <f t="shared" si="23"/>
        <v>0</v>
      </c>
      <c r="T80" s="3">
        <f>IF(AND($K80=1,AND(对接源_01水果!$X80="公司筐",N(对接源_01水果!$V80)&lt;&gt;0)),1,0)</f>
        <v>0</v>
      </c>
      <c r="U80" s="3">
        <f t="shared" si="24"/>
        <v>0</v>
      </c>
      <c r="V80" s="3">
        <f>IF(AND($L80=1,AND(对接源_01水果!$X80="自备筐",N(对接源_01水果!$V80)&lt;&gt;0)),1,0)</f>
        <v>0</v>
      </c>
      <c r="W80" s="3">
        <f t="shared" si="25"/>
        <v>0</v>
      </c>
      <c r="X80" s="3">
        <f>IF(AND($L80=1,AND(对接源_01水果!$X80="自备筐",N(对接源_01水果!$T80)&lt;&gt;0)),1,0)</f>
        <v>0</v>
      </c>
      <c r="Y80" s="3">
        <f t="shared" si="26"/>
        <v>0</v>
      </c>
      <c r="Z80" s="3">
        <f>IF(AND($M80=1,对接源_01水果!$D80="原料入库"),1,0)</f>
        <v>0</v>
      </c>
      <c r="AA80" s="3">
        <f t="shared" si="27"/>
        <v>0</v>
      </c>
      <c r="AB80" s="3">
        <f>IF(AND($M80=1,LEFT(对接源_01水果!$D80,4)="原料出库"),1,0)</f>
        <v>0</v>
      </c>
      <c r="AC80" s="3">
        <f t="shared" si="28"/>
        <v>0</v>
      </c>
      <c r="AD80" s="3">
        <f>IF(AND($M80=1,LEFT(对接源_01水果!$D80,4)="成品出库"),1,0)</f>
        <v>0</v>
      </c>
      <c r="AE80" s="3">
        <f t="shared" si="29"/>
        <v>0</v>
      </c>
      <c r="AF80" s="3">
        <f>IF(AND($N80=1,AND(LEFT(对接源_01水果!$D80,4)="包装物料",N(对接源_01水果!$K80)&lt;&gt;0)),1,0)</f>
        <v>0</v>
      </c>
      <c r="AG80" s="3">
        <f t="shared" si="30"/>
        <v>0</v>
      </c>
      <c r="AH80" s="3">
        <f>IF(AND($N80=1,AND(对接源_01水果!$D80="周转筐－销售出库",N(对接源_01水果!$K80)&lt;&gt;0)),1,0)</f>
        <v>0</v>
      </c>
      <c r="AI80" s="3">
        <f t="shared" si="31"/>
        <v>0</v>
      </c>
      <c r="AJ80" s="7"/>
      <c r="AL80" s="3">
        <f>IF(OR($AL$1="",对接源_01水果!$Y80="",对接源_01水果!$Y80&lt;&gt;$AL$1,对接源_01水果!$B80="",N(对接源_01水果!$AJ80)&lt;=0),0,IF(OR(N(对接源_01水果!$B80)&lt;$AL$2,N(对接源_01水果!$B80)&gt;$AL$3),0,1))</f>
        <v>0</v>
      </c>
      <c r="AM80" s="3">
        <f t="shared" si="32"/>
        <v>0</v>
      </c>
      <c r="AN80" s="3" t="str">
        <f>IF(对接源_01水果!$AC80="","",对接源_01水果!$AC80)</f>
        <v/>
      </c>
      <c r="AO80" s="3">
        <f t="shared" si="33"/>
        <v>0</v>
      </c>
      <c r="AP80" s="3">
        <f t="shared" si="34"/>
        <v>0</v>
      </c>
      <c r="AQ80" s="3" t="str">
        <f t="shared" si="35"/>
        <v/>
      </c>
      <c r="AR80">
        <f t="shared" si="36"/>
        <v>0</v>
      </c>
      <c r="AS80">
        <f t="shared" si="37"/>
        <v>0</v>
      </c>
    </row>
    <row r="81" ht="14.25" customHeight="1" spans="1:45">
      <c r="A81" s="3" t="str">
        <f>IF(对接源_01水果!$C81="","",对接源_01水果!$C81)</f>
        <v>聂新平</v>
      </c>
      <c r="B81" s="3">
        <f t="shared" si="19"/>
        <v>0</v>
      </c>
      <c r="C81" s="3">
        <f t="shared" si="20"/>
        <v>4</v>
      </c>
      <c r="E81" s="3" t="str">
        <f t="shared" si="21"/>
        <v/>
      </c>
      <c r="K81" s="3">
        <f>IF(OR($K$1="",对接源_01水果!$C81="",对接源_01水果!$C81&lt;&gt;$K$1,对接源_01水果!$B81=""),0,IF(OR(N(对接源_01水果!$B81)&lt;$K$2,N(对接源_01水果!$B81)&gt;$K$3),0,1))</f>
        <v>0</v>
      </c>
      <c r="L81" s="3">
        <f>IF(OR($L$1="",对接源_01水果!$C81="",对接源_01水果!$C81&lt;&gt;$L$1,对接源_01水果!$B81=""),0,IF(OR(N(对接源_01水果!$B81)&lt;$L$2,N(对接源_01水果!$B81)&gt;$L$3),0,1))</f>
        <v>0</v>
      </c>
      <c r="M81" s="3">
        <f>IF(OR($M$1="",对接源_01水果!$C81="",对接源_01水果!$C81&lt;&gt;$M$1,对接源_01水果!$B81=""),0,IF(OR(N(对接源_01水果!$B81)&lt;$M$2,N(对接源_01水果!$B81)&gt;$M$3),0,1))</f>
        <v>0</v>
      </c>
      <c r="N81" s="3">
        <f>IF(OR($N$1="",对接源_01水果!$C81="",对接源_01水果!$C81&lt;&gt;$N$1,对接源_01水果!$B81=""),0,IF(OR(N(对接源_01水果!$B81)&lt;$N$2,N(对接源_01水果!$B81)&gt;$N$3),0,1))</f>
        <v>0</v>
      </c>
      <c r="P81" s="3">
        <f>IF(AND($K81=1,AND(对接源_01水果!$X81="公司筐",N(对接源_01水果!$T81)&lt;&gt;0)),1,0)</f>
        <v>0</v>
      </c>
      <c r="Q81" s="3">
        <f t="shared" si="22"/>
        <v>0</v>
      </c>
      <c r="R81" s="3">
        <f>IF(AND($K81=1,AND(对接源_01水果!$X81="公司筐",N(对接源_01水果!$U81)&lt;&gt;0)),1,0)</f>
        <v>0</v>
      </c>
      <c r="S81" s="3">
        <f t="shared" si="23"/>
        <v>0</v>
      </c>
      <c r="T81" s="3">
        <f>IF(AND($K81=1,AND(对接源_01水果!$X81="公司筐",N(对接源_01水果!$V81)&lt;&gt;0)),1,0)</f>
        <v>0</v>
      </c>
      <c r="U81" s="3">
        <f t="shared" si="24"/>
        <v>0</v>
      </c>
      <c r="V81" s="3">
        <f>IF(AND($L81=1,AND(对接源_01水果!$X81="自备筐",N(对接源_01水果!$V81)&lt;&gt;0)),1,0)</f>
        <v>0</v>
      </c>
      <c r="W81" s="3">
        <f t="shared" si="25"/>
        <v>0</v>
      </c>
      <c r="X81" s="3">
        <f>IF(AND($L81=1,AND(对接源_01水果!$X81="自备筐",N(对接源_01水果!$T81)&lt;&gt;0)),1,0)</f>
        <v>0</v>
      </c>
      <c r="Y81" s="3">
        <f t="shared" si="26"/>
        <v>0</v>
      </c>
      <c r="Z81" s="3">
        <f>IF(AND($M81=1,对接源_01水果!$D81="原料入库"),1,0)</f>
        <v>0</v>
      </c>
      <c r="AA81" s="3">
        <f t="shared" si="27"/>
        <v>0</v>
      </c>
      <c r="AB81" s="3">
        <f>IF(AND($M81=1,LEFT(对接源_01水果!$D81,4)="原料出库"),1,0)</f>
        <v>0</v>
      </c>
      <c r="AC81" s="3">
        <f t="shared" si="28"/>
        <v>0</v>
      </c>
      <c r="AD81" s="3">
        <f>IF(AND($M81=1,LEFT(对接源_01水果!$D81,4)="成品出库"),1,0)</f>
        <v>0</v>
      </c>
      <c r="AE81" s="3">
        <f t="shared" si="29"/>
        <v>0</v>
      </c>
      <c r="AF81" s="3">
        <f>IF(AND($N81=1,AND(LEFT(对接源_01水果!$D81,4)="包装物料",N(对接源_01水果!$K81)&lt;&gt;0)),1,0)</f>
        <v>0</v>
      </c>
      <c r="AG81" s="3">
        <f t="shared" si="30"/>
        <v>0</v>
      </c>
      <c r="AH81" s="3">
        <f>IF(AND($N81=1,AND(对接源_01水果!$D81="周转筐－销售出库",N(对接源_01水果!$K81)&lt;&gt;0)),1,0)</f>
        <v>0</v>
      </c>
      <c r="AI81" s="3">
        <f t="shared" si="31"/>
        <v>0</v>
      </c>
      <c r="AJ81" s="7"/>
      <c r="AL81" s="3">
        <f>IF(OR($AL$1="",对接源_01水果!$Y81="",对接源_01水果!$Y81&lt;&gt;$AL$1,对接源_01水果!$B81="",N(对接源_01水果!$AJ81)&lt;=0),0,IF(OR(N(对接源_01水果!$B81)&lt;$AL$2,N(对接源_01水果!$B81)&gt;$AL$3),0,1))</f>
        <v>0</v>
      </c>
      <c r="AM81" s="3">
        <f t="shared" si="32"/>
        <v>0</v>
      </c>
      <c r="AN81" s="3" t="str">
        <f>IF(对接源_01水果!$AC81="","",对接源_01水果!$AC81)</f>
        <v/>
      </c>
      <c r="AO81" s="3">
        <f t="shared" si="33"/>
        <v>0</v>
      </c>
      <c r="AP81" s="3">
        <f t="shared" si="34"/>
        <v>0</v>
      </c>
      <c r="AQ81" s="3" t="str">
        <f t="shared" si="35"/>
        <v/>
      </c>
      <c r="AR81">
        <f t="shared" si="36"/>
        <v>0</v>
      </c>
      <c r="AS81">
        <f t="shared" si="37"/>
        <v>0</v>
      </c>
    </row>
    <row r="82" ht="14.25" customHeight="1" spans="1:45">
      <c r="A82" s="3" t="str">
        <f>IF(对接源_01水果!$C82="","",对接源_01水果!$C82)</f>
        <v>聂新平</v>
      </c>
      <c r="B82" s="3">
        <f t="shared" si="19"/>
        <v>0</v>
      </c>
      <c r="C82" s="3">
        <f t="shared" si="20"/>
        <v>4</v>
      </c>
      <c r="E82" s="3" t="str">
        <f t="shared" si="21"/>
        <v/>
      </c>
      <c r="K82" s="3">
        <f>IF(OR($K$1="",对接源_01水果!$C82="",对接源_01水果!$C82&lt;&gt;$K$1,对接源_01水果!$B82=""),0,IF(OR(N(对接源_01水果!$B82)&lt;$K$2,N(对接源_01水果!$B82)&gt;$K$3),0,1))</f>
        <v>0</v>
      </c>
      <c r="L82" s="3">
        <f>IF(OR($L$1="",对接源_01水果!$C82="",对接源_01水果!$C82&lt;&gt;$L$1,对接源_01水果!$B82=""),0,IF(OR(N(对接源_01水果!$B82)&lt;$L$2,N(对接源_01水果!$B82)&gt;$L$3),0,1))</f>
        <v>0</v>
      </c>
      <c r="M82" s="3">
        <f>IF(OR($M$1="",对接源_01水果!$C82="",对接源_01水果!$C82&lt;&gt;$M$1,对接源_01水果!$B82=""),0,IF(OR(N(对接源_01水果!$B82)&lt;$M$2,N(对接源_01水果!$B82)&gt;$M$3),0,1))</f>
        <v>0</v>
      </c>
      <c r="N82" s="3">
        <f>IF(OR($N$1="",对接源_01水果!$C82="",对接源_01水果!$C82&lt;&gt;$N$1,对接源_01水果!$B82=""),0,IF(OR(N(对接源_01水果!$B82)&lt;$N$2,N(对接源_01水果!$B82)&gt;$N$3),0,1))</f>
        <v>0</v>
      </c>
      <c r="P82" s="3">
        <f>IF(AND($K82=1,AND(对接源_01水果!$X82="公司筐",N(对接源_01水果!$T82)&lt;&gt;0)),1,0)</f>
        <v>0</v>
      </c>
      <c r="Q82" s="3">
        <f t="shared" si="22"/>
        <v>0</v>
      </c>
      <c r="R82" s="3">
        <f>IF(AND($K82=1,AND(对接源_01水果!$X82="公司筐",N(对接源_01水果!$U82)&lt;&gt;0)),1,0)</f>
        <v>0</v>
      </c>
      <c r="S82" s="3">
        <f t="shared" si="23"/>
        <v>0</v>
      </c>
      <c r="T82" s="3">
        <f>IF(AND($K82=1,AND(对接源_01水果!$X82="公司筐",N(对接源_01水果!$V82)&lt;&gt;0)),1,0)</f>
        <v>0</v>
      </c>
      <c r="U82" s="3">
        <f t="shared" si="24"/>
        <v>0</v>
      </c>
      <c r="V82" s="3">
        <f>IF(AND($L82=1,AND(对接源_01水果!$X82="自备筐",N(对接源_01水果!$V82)&lt;&gt;0)),1,0)</f>
        <v>0</v>
      </c>
      <c r="W82" s="3">
        <f t="shared" si="25"/>
        <v>0</v>
      </c>
      <c r="X82" s="3">
        <f>IF(AND($L82=1,AND(对接源_01水果!$X82="自备筐",N(对接源_01水果!$T82)&lt;&gt;0)),1,0)</f>
        <v>0</v>
      </c>
      <c r="Y82" s="3">
        <f t="shared" si="26"/>
        <v>0</v>
      </c>
      <c r="Z82" s="3">
        <f>IF(AND($M82=1,对接源_01水果!$D82="原料入库"),1,0)</f>
        <v>0</v>
      </c>
      <c r="AA82" s="3">
        <f t="shared" si="27"/>
        <v>0</v>
      </c>
      <c r="AB82" s="3">
        <f>IF(AND($M82=1,LEFT(对接源_01水果!$D82,4)="原料出库"),1,0)</f>
        <v>0</v>
      </c>
      <c r="AC82" s="3">
        <f t="shared" si="28"/>
        <v>0</v>
      </c>
      <c r="AD82" s="3">
        <f>IF(AND($M82=1,LEFT(对接源_01水果!$D82,4)="成品出库"),1,0)</f>
        <v>0</v>
      </c>
      <c r="AE82" s="3">
        <f t="shared" si="29"/>
        <v>0</v>
      </c>
      <c r="AF82" s="3">
        <f>IF(AND($N82=1,AND(LEFT(对接源_01水果!$D82,4)="包装物料",N(对接源_01水果!$K82)&lt;&gt;0)),1,0)</f>
        <v>0</v>
      </c>
      <c r="AG82" s="3">
        <f t="shared" si="30"/>
        <v>0</v>
      </c>
      <c r="AH82" s="3">
        <f>IF(AND($N82=1,AND(对接源_01水果!$D82="周转筐－销售出库",N(对接源_01水果!$K82)&lt;&gt;0)),1,0)</f>
        <v>0</v>
      </c>
      <c r="AI82" s="3">
        <f t="shared" si="31"/>
        <v>0</v>
      </c>
      <c r="AJ82" s="7"/>
      <c r="AL82" s="3">
        <f>IF(OR($AL$1="",对接源_01水果!$Y82="",对接源_01水果!$Y82&lt;&gt;$AL$1,对接源_01水果!$B82="",N(对接源_01水果!$AJ82)&lt;=0),0,IF(OR(N(对接源_01水果!$B82)&lt;$AL$2,N(对接源_01水果!$B82)&gt;$AL$3),0,1))</f>
        <v>0</v>
      </c>
      <c r="AM82" s="3">
        <f t="shared" si="32"/>
        <v>0</v>
      </c>
      <c r="AN82" s="3" t="str">
        <f>IF(对接源_01水果!$AC82="","",对接源_01水果!$AC82)</f>
        <v/>
      </c>
      <c r="AO82" s="3">
        <f t="shared" si="33"/>
        <v>0</v>
      </c>
      <c r="AP82" s="3">
        <f t="shared" si="34"/>
        <v>0</v>
      </c>
      <c r="AQ82" s="3" t="str">
        <f t="shared" si="35"/>
        <v/>
      </c>
      <c r="AR82">
        <f t="shared" si="36"/>
        <v>0</v>
      </c>
      <c r="AS82">
        <f t="shared" si="37"/>
        <v>0</v>
      </c>
    </row>
    <row r="83" ht="14.25" customHeight="1" spans="1:45">
      <c r="A83" s="3" t="str">
        <f>IF(对接源_01水果!$C83="","",对接源_01水果!$C83)</f>
        <v>聂新平</v>
      </c>
      <c r="B83" s="3">
        <f t="shared" si="19"/>
        <v>0</v>
      </c>
      <c r="C83" s="3">
        <f t="shared" si="20"/>
        <v>4</v>
      </c>
      <c r="E83" s="3" t="str">
        <f t="shared" si="21"/>
        <v/>
      </c>
      <c r="K83" s="3">
        <f>IF(OR($K$1="",对接源_01水果!$C83="",对接源_01水果!$C83&lt;&gt;$K$1,对接源_01水果!$B83=""),0,IF(OR(N(对接源_01水果!$B83)&lt;$K$2,N(对接源_01水果!$B83)&gt;$K$3),0,1))</f>
        <v>0</v>
      </c>
      <c r="L83" s="3">
        <f>IF(OR($L$1="",对接源_01水果!$C83="",对接源_01水果!$C83&lt;&gt;$L$1,对接源_01水果!$B83=""),0,IF(OR(N(对接源_01水果!$B83)&lt;$L$2,N(对接源_01水果!$B83)&gt;$L$3),0,1))</f>
        <v>0</v>
      </c>
      <c r="M83" s="3">
        <f>IF(OR($M$1="",对接源_01水果!$C83="",对接源_01水果!$C83&lt;&gt;$M$1,对接源_01水果!$B83=""),0,IF(OR(N(对接源_01水果!$B83)&lt;$M$2,N(对接源_01水果!$B83)&gt;$M$3),0,1))</f>
        <v>0</v>
      </c>
      <c r="N83" s="3">
        <f>IF(OR($N$1="",对接源_01水果!$C83="",对接源_01水果!$C83&lt;&gt;$N$1,对接源_01水果!$B83=""),0,IF(OR(N(对接源_01水果!$B83)&lt;$N$2,N(对接源_01水果!$B83)&gt;$N$3),0,1))</f>
        <v>0</v>
      </c>
      <c r="P83" s="3">
        <f>IF(AND($K83=1,AND(对接源_01水果!$X83="公司筐",N(对接源_01水果!$T83)&lt;&gt;0)),1,0)</f>
        <v>0</v>
      </c>
      <c r="Q83" s="3">
        <f t="shared" si="22"/>
        <v>0</v>
      </c>
      <c r="R83" s="3">
        <f>IF(AND($K83=1,AND(对接源_01水果!$X83="公司筐",N(对接源_01水果!$U83)&lt;&gt;0)),1,0)</f>
        <v>0</v>
      </c>
      <c r="S83" s="3">
        <f t="shared" si="23"/>
        <v>0</v>
      </c>
      <c r="T83" s="3">
        <f>IF(AND($K83=1,AND(对接源_01水果!$X83="公司筐",N(对接源_01水果!$V83)&lt;&gt;0)),1,0)</f>
        <v>0</v>
      </c>
      <c r="U83" s="3">
        <f t="shared" si="24"/>
        <v>0</v>
      </c>
      <c r="V83" s="3">
        <f>IF(AND($L83=1,AND(对接源_01水果!$X83="自备筐",N(对接源_01水果!$V83)&lt;&gt;0)),1,0)</f>
        <v>0</v>
      </c>
      <c r="W83" s="3">
        <f t="shared" si="25"/>
        <v>0</v>
      </c>
      <c r="X83" s="3">
        <f>IF(AND($L83=1,AND(对接源_01水果!$X83="自备筐",N(对接源_01水果!$T83)&lt;&gt;0)),1,0)</f>
        <v>0</v>
      </c>
      <c r="Y83" s="3">
        <f t="shared" si="26"/>
        <v>0</v>
      </c>
      <c r="Z83" s="3">
        <f>IF(AND($M83=1,对接源_01水果!$D83="原料入库"),1,0)</f>
        <v>0</v>
      </c>
      <c r="AA83" s="3">
        <f t="shared" si="27"/>
        <v>0</v>
      </c>
      <c r="AB83" s="3">
        <f>IF(AND($M83=1,LEFT(对接源_01水果!$D83,4)="原料出库"),1,0)</f>
        <v>0</v>
      </c>
      <c r="AC83" s="3">
        <f t="shared" si="28"/>
        <v>0</v>
      </c>
      <c r="AD83" s="3">
        <f>IF(AND($M83=1,LEFT(对接源_01水果!$D83,4)="成品出库"),1,0)</f>
        <v>0</v>
      </c>
      <c r="AE83" s="3">
        <f t="shared" si="29"/>
        <v>0</v>
      </c>
      <c r="AF83" s="3">
        <f>IF(AND($N83=1,AND(LEFT(对接源_01水果!$D83,4)="包装物料",N(对接源_01水果!$K83)&lt;&gt;0)),1,0)</f>
        <v>0</v>
      </c>
      <c r="AG83" s="3">
        <f t="shared" si="30"/>
        <v>0</v>
      </c>
      <c r="AH83" s="3">
        <f>IF(AND($N83=1,AND(对接源_01水果!$D83="周转筐－销售出库",N(对接源_01水果!$K83)&lt;&gt;0)),1,0)</f>
        <v>0</v>
      </c>
      <c r="AI83" s="3">
        <f t="shared" si="31"/>
        <v>0</v>
      </c>
      <c r="AJ83" s="7"/>
      <c r="AL83" s="3">
        <f>IF(OR($AL$1="",对接源_01水果!$Y83="",对接源_01水果!$Y83&lt;&gt;$AL$1,对接源_01水果!$B83="",N(对接源_01水果!$AJ83)&lt;=0),0,IF(OR(N(对接源_01水果!$B83)&lt;$AL$2,N(对接源_01水果!$B83)&gt;$AL$3),0,1))</f>
        <v>0</v>
      </c>
      <c r="AM83" s="3">
        <f t="shared" si="32"/>
        <v>0</v>
      </c>
      <c r="AN83" s="3" t="str">
        <f>IF(对接源_01水果!$AC83="","",对接源_01水果!$AC83)</f>
        <v/>
      </c>
      <c r="AO83" s="3">
        <f t="shared" si="33"/>
        <v>0</v>
      </c>
      <c r="AP83" s="3">
        <f t="shared" si="34"/>
        <v>0</v>
      </c>
      <c r="AQ83" s="3" t="str">
        <f t="shared" si="35"/>
        <v/>
      </c>
      <c r="AR83">
        <f t="shared" si="36"/>
        <v>0</v>
      </c>
      <c r="AS83">
        <f t="shared" si="37"/>
        <v>0</v>
      </c>
    </row>
    <row r="84" ht="14.25" customHeight="1" spans="1:45">
      <c r="A84" s="3" t="str">
        <f>IF(对接源_01水果!$C84="","",对接源_01水果!$C84)</f>
        <v>聂新平</v>
      </c>
      <c r="B84" s="3">
        <f t="shared" si="19"/>
        <v>0</v>
      </c>
      <c r="C84" s="3">
        <f t="shared" si="20"/>
        <v>4</v>
      </c>
      <c r="E84" s="3" t="str">
        <f t="shared" si="21"/>
        <v/>
      </c>
      <c r="K84" s="3">
        <f>IF(OR($K$1="",对接源_01水果!$C84="",对接源_01水果!$C84&lt;&gt;$K$1,对接源_01水果!$B84=""),0,IF(OR(N(对接源_01水果!$B84)&lt;$K$2,N(对接源_01水果!$B84)&gt;$K$3),0,1))</f>
        <v>0</v>
      </c>
      <c r="L84" s="3">
        <f>IF(OR($L$1="",对接源_01水果!$C84="",对接源_01水果!$C84&lt;&gt;$L$1,对接源_01水果!$B84=""),0,IF(OR(N(对接源_01水果!$B84)&lt;$L$2,N(对接源_01水果!$B84)&gt;$L$3),0,1))</f>
        <v>0</v>
      </c>
      <c r="M84" s="3">
        <f>IF(OR($M$1="",对接源_01水果!$C84="",对接源_01水果!$C84&lt;&gt;$M$1,对接源_01水果!$B84=""),0,IF(OR(N(对接源_01水果!$B84)&lt;$M$2,N(对接源_01水果!$B84)&gt;$M$3),0,1))</f>
        <v>0</v>
      </c>
      <c r="N84" s="3">
        <f>IF(OR($N$1="",对接源_01水果!$C84="",对接源_01水果!$C84&lt;&gt;$N$1,对接源_01水果!$B84=""),0,IF(OR(N(对接源_01水果!$B84)&lt;$N$2,N(对接源_01水果!$B84)&gt;$N$3),0,1))</f>
        <v>0</v>
      </c>
      <c r="P84" s="3">
        <f>IF(AND($K84=1,AND(对接源_01水果!$X84="公司筐",N(对接源_01水果!$T84)&lt;&gt;0)),1,0)</f>
        <v>0</v>
      </c>
      <c r="Q84" s="3">
        <f t="shared" si="22"/>
        <v>0</v>
      </c>
      <c r="R84" s="3">
        <f>IF(AND($K84=1,AND(对接源_01水果!$X84="公司筐",N(对接源_01水果!$U84)&lt;&gt;0)),1,0)</f>
        <v>0</v>
      </c>
      <c r="S84" s="3">
        <f t="shared" si="23"/>
        <v>0</v>
      </c>
      <c r="T84" s="3">
        <f>IF(AND($K84=1,AND(对接源_01水果!$X84="公司筐",N(对接源_01水果!$V84)&lt;&gt;0)),1,0)</f>
        <v>0</v>
      </c>
      <c r="U84" s="3">
        <f t="shared" si="24"/>
        <v>0</v>
      </c>
      <c r="V84" s="3">
        <f>IF(AND($L84=1,AND(对接源_01水果!$X84="自备筐",N(对接源_01水果!$V84)&lt;&gt;0)),1,0)</f>
        <v>0</v>
      </c>
      <c r="W84" s="3">
        <f t="shared" si="25"/>
        <v>0</v>
      </c>
      <c r="X84" s="3">
        <f>IF(AND($L84=1,AND(对接源_01水果!$X84="自备筐",N(对接源_01水果!$T84)&lt;&gt;0)),1,0)</f>
        <v>0</v>
      </c>
      <c r="Y84" s="3">
        <f t="shared" si="26"/>
        <v>0</v>
      </c>
      <c r="Z84" s="3">
        <f>IF(AND($M84=1,对接源_01水果!$D84="原料入库"),1,0)</f>
        <v>0</v>
      </c>
      <c r="AA84" s="3">
        <f t="shared" si="27"/>
        <v>0</v>
      </c>
      <c r="AB84" s="3">
        <f>IF(AND($M84=1,LEFT(对接源_01水果!$D84,4)="原料出库"),1,0)</f>
        <v>0</v>
      </c>
      <c r="AC84" s="3">
        <f t="shared" si="28"/>
        <v>0</v>
      </c>
      <c r="AD84" s="3">
        <f>IF(AND($M84=1,LEFT(对接源_01水果!$D84,4)="成品出库"),1,0)</f>
        <v>0</v>
      </c>
      <c r="AE84" s="3">
        <f t="shared" si="29"/>
        <v>0</v>
      </c>
      <c r="AF84" s="3">
        <f>IF(AND($N84=1,AND(LEFT(对接源_01水果!$D84,4)="包装物料",N(对接源_01水果!$K84)&lt;&gt;0)),1,0)</f>
        <v>0</v>
      </c>
      <c r="AG84" s="3">
        <f t="shared" si="30"/>
        <v>0</v>
      </c>
      <c r="AH84" s="3">
        <f>IF(AND($N84=1,AND(对接源_01水果!$D84="周转筐－销售出库",N(对接源_01水果!$K84)&lt;&gt;0)),1,0)</f>
        <v>0</v>
      </c>
      <c r="AI84" s="3">
        <f t="shared" si="31"/>
        <v>0</v>
      </c>
      <c r="AJ84" s="7"/>
      <c r="AL84" s="3">
        <f>IF(OR($AL$1="",对接源_01水果!$Y84="",对接源_01水果!$Y84&lt;&gt;$AL$1,对接源_01水果!$B84="",N(对接源_01水果!$AJ84)&lt;=0),0,IF(OR(N(对接源_01水果!$B84)&lt;$AL$2,N(对接源_01水果!$B84)&gt;$AL$3),0,1))</f>
        <v>0</v>
      </c>
      <c r="AM84" s="3">
        <f t="shared" si="32"/>
        <v>0</v>
      </c>
      <c r="AN84" s="3" t="str">
        <f>IF(对接源_01水果!$AC84="","",对接源_01水果!$AC84)</f>
        <v/>
      </c>
      <c r="AO84" s="3">
        <f t="shared" si="33"/>
        <v>0</v>
      </c>
      <c r="AP84" s="3">
        <f t="shared" si="34"/>
        <v>0</v>
      </c>
      <c r="AQ84" s="3" t="str">
        <f t="shared" si="35"/>
        <v/>
      </c>
      <c r="AR84">
        <f t="shared" si="36"/>
        <v>0</v>
      </c>
      <c r="AS84">
        <f t="shared" si="37"/>
        <v>0</v>
      </c>
    </row>
    <row r="85" ht="14.25" customHeight="1" spans="1:45">
      <c r="A85" s="3" t="str">
        <f>IF(对接源_01水果!$C85="","",对接源_01水果!$C85)</f>
        <v>聂新平</v>
      </c>
      <c r="B85" s="3">
        <f t="shared" si="19"/>
        <v>0</v>
      </c>
      <c r="C85" s="3">
        <f t="shared" si="20"/>
        <v>4</v>
      </c>
      <c r="E85" s="3" t="str">
        <f t="shared" si="21"/>
        <v/>
      </c>
      <c r="K85" s="3">
        <f>IF(OR($K$1="",对接源_01水果!$C85="",对接源_01水果!$C85&lt;&gt;$K$1,对接源_01水果!$B85=""),0,IF(OR(N(对接源_01水果!$B85)&lt;$K$2,N(对接源_01水果!$B85)&gt;$K$3),0,1))</f>
        <v>0</v>
      </c>
      <c r="L85" s="3">
        <f>IF(OR($L$1="",对接源_01水果!$C85="",对接源_01水果!$C85&lt;&gt;$L$1,对接源_01水果!$B85=""),0,IF(OR(N(对接源_01水果!$B85)&lt;$L$2,N(对接源_01水果!$B85)&gt;$L$3),0,1))</f>
        <v>0</v>
      </c>
      <c r="M85" s="3">
        <f>IF(OR($M$1="",对接源_01水果!$C85="",对接源_01水果!$C85&lt;&gt;$M$1,对接源_01水果!$B85=""),0,IF(OR(N(对接源_01水果!$B85)&lt;$M$2,N(对接源_01水果!$B85)&gt;$M$3),0,1))</f>
        <v>0</v>
      </c>
      <c r="N85" s="3">
        <f>IF(OR($N$1="",对接源_01水果!$C85="",对接源_01水果!$C85&lt;&gt;$N$1,对接源_01水果!$B85=""),0,IF(OR(N(对接源_01水果!$B85)&lt;$N$2,N(对接源_01水果!$B85)&gt;$N$3),0,1))</f>
        <v>0</v>
      </c>
      <c r="P85" s="3">
        <f>IF(AND($K85=1,AND(对接源_01水果!$X85="公司筐",N(对接源_01水果!$T85)&lt;&gt;0)),1,0)</f>
        <v>0</v>
      </c>
      <c r="Q85" s="3">
        <f t="shared" si="22"/>
        <v>0</v>
      </c>
      <c r="R85" s="3">
        <f>IF(AND($K85=1,AND(对接源_01水果!$X85="公司筐",N(对接源_01水果!$U85)&lt;&gt;0)),1,0)</f>
        <v>0</v>
      </c>
      <c r="S85" s="3">
        <f t="shared" si="23"/>
        <v>0</v>
      </c>
      <c r="T85" s="3">
        <f>IF(AND($K85=1,AND(对接源_01水果!$X85="公司筐",N(对接源_01水果!$V85)&lt;&gt;0)),1,0)</f>
        <v>0</v>
      </c>
      <c r="U85" s="3">
        <f t="shared" si="24"/>
        <v>0</v>
      </c>
      <c r="V85" s="3">
        <f>IF(AND($L85=1,AND(对接源_01水果!$X85="自备筐",N(对接源_01水果!$V85)&lt;&gt;0)),1,0)</f>
        <v>0</v>
      </c>
      <c r="W85" s="3">
        <f t="shared" si="25"/>
        <v>0</v>
      </c>
      <c r="X85" s="3">
        <f>IF(AND($L85=1,AND(对接源_01水果!$X85="自备筐",N(对接源_01水果!$T85)&lt;&gt;0)),1,0)</f>
        <v>0</v>
      </c>
      <c r="Y85" s="3">
        <f t="shared" si="26"/>
        <v>0</v>
      </c>
      <c r="Z85" s="3">
        <f>IF(AND($M85=1,对接源_01水果!$D85="原料入库"),1,0)</f>
        <v>0</v>
      </c>
      <c r="AA85" s="3">
        <f t="shared" si="27"/>
        <v>0</v>
      </c>
      <c r="AB85" s="3">
        <f>IF(AND($M85=1,LEFT(对接源_01水果!$D85,4)="原料出库"),1,0)</f>
        <v>0</v>
      </c>
      <c r="AC85" s="3">
        <f t="shared" si="28"/>
        <v>0</v>
      </c>
      <c r="AD85" s="3">
        <f>IF(AND($M85=1,LEFT(对接源_01水果!$D85,4)="成品出库"),1,0)</f>
        <v>0</v>
      </c>
      <c r="AE85" s="3">
        <f t="shared" si="29"/>
        <v>0</v>
      </c>
      <c r="AF85" s="3">
        <f>IF(AND($N85=1,AND(LEFT(对接源_01水果!$D85,4)="包装物料",N(对接源_01水果!$K85)&lt;&gt;0)),1,0)</f>
        <v>0</v>
      </c>
      <c r="AG85" s="3">
        <f t="shared" si="30"/>
        <v>0</v>
      </c>
      <c r="AH85" s="3">
        <f>IF(AND($N85=1,AND(对接源_01水果!$D85="周转筐－销售出库",N(对接源_01水果!$K85)&lt;&gt;0)),1,0)</f>
        <v>0</v>
      </c>
      <c r="AI85" s="3">
        <f t="shared" si="31"/>
        <v>0</v>
      </c>
      <c r="AJ85" s="7"/>
      <c r="AL85" s="3">
        <f>IF(OR($AL$1="",对接源_01水果!$Y85="",对接源_01水果!$Y85&lt;&gt;$AL$1,对接源_01水果!$B85="",N(对接源_01水果!$AJ85)&lt;=0),0,IF(OR(N(对接源_01水果!$B85)&lt;$AL$2,N(对接源_01水果!$B85)&gt;$AL$3),0,1))</f>
        <v>0</v>
      </c>
      <c r="AM85" s="3">
        <f t="shared" si="32"/>
        <v>0</v>
      </c>
      <c r="AN85" s="3" t="str">
        <f>IF(对接源_01水果!$AC85="","",对接源_01水果!$AC85)</f>
        <v/>
      </c>
      <c r="AO85" s="3">
        <f t="shared" si="33"/>
        <v>0</v>
      </c>
      <c r="AP85" s="3">
        <f t="shared" si="34"/>
        <v>0</v>
      </c>
      <c r="AQ85" s="3" t="str">
        <f t="shared" si="35"/>
        <v/>
      </c>
      <c r="AR85">
        <f t="shared" si="36"/>
        <v>0</v>
      </c>
      <c r="AS85">
        <f t="shared" si="37"/>
        <v>0</v>
      </c>
    </row>
    <row r="86" ht="14.25" customHeight="1" spans="1:45">
      <c r="A86" s="3" t="str">
        <f>IF(对接源_01水果!$C86="","",对接源_01水果!$C86)</f>
        <v>聂新平</v>
      </c>
      <c r="B86" s="3">
        <f t="shared" si="19"/>
        <v>0</v>
      </c>
      <c r="C86" s="3">
        <f t="shared" si="20"/>
        <v>4</v>
      </c>
      <c r="E86" s="3" t="str">
        <f t="shared" si="21"/>
        <v/>
      </c>
      <c r="K86" s="3">
        <f>IF(OR($K$1="",对接源_01水果!$C86="",对接源_01水果!$C86&lt;&gt;$K$1,对接源_01水果!$B86=""),0,IF(OR(N(对接源_01水果!$B86)&lt;$K$2,N(对接源_01水果!$B86)&gt;$K$3),0,1))</f>
        <v>0</v>
      </c>
      <c r="L86" s="3">
        <f>IF(OR($L$1="",对接源_01水果!$C86="",对接源_01水果!$C86&lt;&gt;$L$1,对接源_01水果!$B86=""),0,IF(OR(N(对接源_01水果!$B86)&lt;$L$2,N(对接源_01水果!$B86)&gt;$L$3),0,1))</f>
        <v>0</v>
      </c>
      <c r="M86" s="3">
        <f>IF(OR($M$1="",对接源_01水果!$C86="",对接源_01水果!$C86&lt;&gt;$M$1,对接源_01水果!$B86=""),0,IF(OR(N(对接源_01水果!$B86)&lt;$M$2,N(对接源_01水果!$B86)&gt;$M$3),0,1))</f>
        <v>0</v>
      </c>
      <c r="N86" s="3">
        <f>IF(OR($N$1="",对接源_01水果!$C86="",对接源_01水果!$C86&lt;&gt;$N$1,对接源_01水果!$B86=""),0,IF(OR(N(对接源_01水果!$B86)&lt;$N$2,N(对接源_01水果!$B86)&gt;$N$3),0,1))</f>
        <v>0</v>
      </c>
      <c r="P86" s="3">
        <f>IF(AND($K86=1,AND(对接源_01水果!$X86="公司筐",N(对接源_01水果!$T86)&lt;&gt;0)),1,0)</f>
        <v>0</v>
      </c>
      <c r="Q86" s="3">
        <f t="shared" si="22"/>
        <v>0</v>
      </c>
      <c r="R86" s="3">
        <f>IF(AND($K86=1,AND(对接源_01水果!$X86="公司筐",N(对接源_01水果!$U86)&lt;&gt;0)),1,0)</f>
        <v>0</v>
      </c>
      <c r="S86" s="3">
        <f t="shared" si="23"/>
        <v>0</v>
      </c>
      <c r="T86" s="3">
        <f>IF(AND($K86=1,AND(对接源_01水果!$X86="公司筐",N(对接源_01水果!$V86)&lt;&gt;0)),1,0)</f>
        <v>0</v>
      </c>
      <c r="U86" s="3">
        <f t="shared" si="24"/>
        <v>0</v>
      </c>
      <c r="V86" s="3">
        <f>IF(AND($L86=1,AND(对接源_01水果!$X86="自备筐",N(对接源_01水果!$V86)&lt;&gt;0)),1,0)</f>
        <v>0</v>
      </c>
      <c r="W86" s="3">
        <f t="shared" si="25"/>
        <v>0</v>
      </c>
      <c r="X86" s="3">
        <f>IF(AND($L86=1,AND(对接源_01水果!$X86="自备筐",N(对接源_01水果!$T86)&lt;&gt;0)),1,0)</f>
        <v>0</v>
      </c>
      <c r="Y86" s="3">
        <f t="shared" si="26"/>
        <v>0</v>
      </c>
      <c r="Z86" s="3">
        <f>IF(AND($M86=1,对接源_01水果!$D86="原料入库"),1,0)</f>
        <v>0</v>
      </c>
      <c r="AA86" s="3">
        <f t="shared" si="27"/>
        <v>0</v>
      </c>
      <c r="AB86" s="3">
        <f>IF(AND($M86=1,LEFT(对接源_01水果!$D86,4)="原料出库"),1,0)</f>
        <v>0</v>
      </c>
      <c r="AC86" s="3">
        <f t="shared" si="28"/>
        <v>0</v>
      </c>
      <c r="AD86" s="3">
        <f>IF(AND($M86=1,LEFT(对接源_01水果!$D86,4)="成品出库"),1,0)</f>
        <v>0</v>
      </c>
      <c r="AE86" s="3">
        <f t="shared" si="29"/>
        <v>0</v>
      </c>
      <c r="AF86" s="3">
        <f>IF(AND($N86=1,AND(LEFT(对接源_01水果!$D86,4)="包装物料",N(对接源_01水果!$K86)&lt;&gt;0)),1,0)</f>
        <v>0</v>
      </c>
      <c r="AG86" s="3">
        <f t="shared" si="30"/>
        <v>0</v>
      </c>
      <c r="AH86" s="3">
        <f>IF(AND($N86=1,AND(对接源_01水果!$D86="周转筐－销售出库",N(对接源_01水果!$K86)&lt;&gt;0)),1,0)</f>
        <v>0</v>
      </c>
      <c r="AI86" s="3">
        <f t="shared" si="31"/>
        <v>0</v>
      </c>
      <c r="AJ86" s="7"/>
      <c r="AL86" s="3">
        <f>IF(OR($AL$1="",对接源_01水果!$Y86="",对接源_01水果!$Y86&lt;&gt;$AL$1,对接源_01水果!$B86="",N(对接源_01水果!$AJ86)&lt;=0),0,IF(OR(N(对接源_01水果!$B86)&lt;$AL$2,N(对接源_01水果!$B86)&gt;$AL$3),0,1))</f>
        <v>0</v>
      </c>
      <c r="AM86" s="3">
        <f t="shared" si="32"/>
        <v>0</v>
      </c>
      <c r="AN86" s="3" t="str">
        <f>IF(对接源_01水果!$AC86="","",对接源_01水果!$AC86)</f>
        <v/>
      </c>
      <c r="AO86" s="3">
        <f t="shared" si="33"/>
        <v>0</v>
      </c>
      <c r="AP86" s="3">
        <f t="shared" si="34"/>
        <v>0</v>
      </c>
      <c r="AQ86" s="3" t="str">
        <f t="shared" si="35"/>
        <v/>
      </c>
      <c r="AR86">
        <f t="shared" si="36"/>
        <v>0</v>
      </c>
      <c r="AS86">
        <f t="shared" si="37"/>
        <v>0</v>
      </c>
    </row>
    <row r="87" ht="14.25" customHeight="1" spans="1:45">
      <c r="A87" s="3" t="str">
        <f>IF(对接源_01水果!$C87="","",对接源_01水果!$C87)</f>
        <v>聂新平</v>
      </c>
      <c r="B87" s="3">
        <f t="shared" si="19"/>
        <v>0</v>
      </c>
      <c r="C87" s="3">
        <f t="shared" si="20"/>
        <v>4</v>
      </c>
      <c r="E87" s="3" t="str">
        <f t="shared" si="21"/>
        <v/>
      </c>
      <c r="K87" s="3">
        <f>IF(OR($K$1="",对接源_01水果!$C87="",对接源_01水果!$C87&lt;&gt;$K$1,对接源_01水果!$B87=""),0,IF(OR(N(对接源_01水果!$B87)&lt;$K$2,N(对接源_01水果!$B87)&gt;$K$3),0,1))</f>
        <v>0</v>
      </c>
      <c r="L87" s="3">
        <f>IF(OR($L$1="",对接源_01水果!$C87="",对接源_01水果!$C87&lt;&gt;$L$1,对接源_01水果!$B87=""),0,IF(OR(N(对接源_01水果!$B87)&lt;$L$2,N(对接源_01水果!$B87)&gt;$L$3),0,1))</f>
        <v>0</v>
      </c>
      <c r="M87" s="3">
        <f>IF(OR($M$1="",对接源_01水果!$C87="",对接源_01水果!$C87&lt;&gt;$M$1,对接源_01水果!$B87=""),0,IF(OR(N(对接源_01水果!$B87)&lt;$M$2,N(对接源_01水果!$B87)&gt;$M$3),0,1))</f>
        <v>0</v>
      </c>
      <c r="N87" s="3">
        <f>IF(OR($N$1="",对接源_01水果!$C87="",对接源_01水果!$C87&lt;&gt;$N$1,对接源_01水果!$B87=""),0,IF(OR(N(对接源_01水果!$B87)&lt;$N$2,N(对接源_01水果!$B87)&gt;$N$3),0,1))</f>
        <v>0</v>
      </c>
      <c r="P87" s="3">
        <f>IF(AND($K87=1,AND(对接源_01水果!$X87="公司筐",N(对接源_01水果!$T87)&lt;&gt;0)),1,0)</f>
        <v>0</v>
      </c>
      <c r="Q87" s="3">
        <f t="shared" si="22"/>
        <v>0</v>
      </c>
      <c r="R87" s="3">
        <f>IF(AND($K87=1,AND(对接源_01水果!$X87="公司筐",N(对接源_01水果!$U87)&lt;&gt;0)),1,0)</f>
        <v>0</v>
      </c>
      <c r="S87" s="3">
        <f t="shared" si="23"/>
        <v>0</v>
      </c>
      <c r="T87" s="3">
        <f>IF(AND($K87=1,AND(对接源_01水果!$X87="公司筐",N(对接源_01水果!$V87)&lt;&gt;0)),1,0)</f>
        <v>0</v>
      </c>
      <c r="U87" s="3">
        <f t="shared" si="24"/>
        <v>0</v>
      </c>
      <c r="V87" s="3">
        <f>IF(AND($L87=1,AND(对接源_01水果!$X87="自备筐",N(对接源_01水果!$V87)&lt;&gt;0)),1,0)</f>
        <v>0</v>
      </c>
      <c r="W87" s="3">
        <f t="shared" si="25"/>
        <v>0</v>
      </c>
      <c r="X87" s="3">
        <f>IF(AND($L87=1,AND(对接源_01水果!$X87="自备筐",N(对接源_01水果!$T87)&lt;&gt;0)),1,0)</f>
        <v>0</v>
      </c>
      <c r="Y87" s="3">
        <f t="shared" si="26"/>
        <v>0</v>
      </c>
      <c r="Z87" s="3">
        <f>IF(AND($M87=1,对接源_01水果!$D87="原料入库"),1,0)</f>
        <v>0</v>
      </c>
      <c r="AA87" s="3">
        <f t="shared" si="27"/>
        <v>0</v>
      </c>
      <c r="AB87" s="3">
        <f>IF(AND($M87=1,LEFT(对接源_01水果!$D87,4)="原料出库"),1,0)</f>
        <v>0</v>
      </c>
      <c r="AC87" s="3">
        <f t="shared" si="28"/>
        <v>0</v>
      </c>
      <c r="AD87" s="3">
        <f>IF(AND($M87=1,LEFT(对接源_01水果!$D87,4)="成品出库"),1,0)</f>
        <v>0</v>
      </c>
      <c r="AE87" s="3">
        <f t="shared" si="29"/>
        <v>0</v>
      </c>
      <c r="AF87" s="3">
        <f>IF(AND($N87=1,AND(LEFT(对接源_01水果!$D87,4)="包装物料",N(对接源_01水果!$K87)&lt;&gt;0)),1,0)</f>
        <v>0</v>
      </c>
      <c r="AG87" s="3">
        <f t="shared" si="30"/>
        <v>0</v>
      </c>
      <c r="AH87" s="3">
        <f>IF(AND($N87=1,AND(对接源_01水果!$D87="周转筐－销售出库",N(对接源_01水果!$K87)&lt;&gt;0)),1,0)</f>
        <v>0</v>
      </c>
      <c r="AI87" s="3">
        <f t="shared" si="31"/>
        <v>0</v>
      </c>
      <c r="AJ87" s="7"/>
      <c r="AL87" s="3">
        <f>IF(OR($AL$1="",对接源_01水果!$Y87="",对接源_01水果!$Y87&lt;&gt;$AL$1,对接源_01水果!$B87="",N(对接源_01水果!$AJ87)&lt;=0),0,IF(OR(N(对接源_01水果!$B87)&lt;$AL$2,N(对接源_01水果!$B87)&gt;$AL$3),0,1))</f>
        <v>0</v>
      </c>
      <c r="AM87" s="3">
        <f t="shared" si="32"/>
        <v>0</v>
      </c>
      <c r="AN87" s="3" t="str">
        <f>IF(对接源_01水果!$AC87="","",对接源_01水果!$AC87)</f>
        <v/>
      </c>
      <c r="AO87" s="3">
        <f t="shared" si="33"/>
        <v>0</v>
      </c>
      <c r="AP87" s="3">
        <f t="shared" si="34"/>
        <v>0</v>
      </c>
      <c r="AQ87" s="3" t="str">
        <f t="shared" si="35"/>
        <v/>
      </c>
      <c r="AR87">
        <f t="shared" si="36"/>
        <v>0</v>
      </c>
      <c r="AS87">
        <f t="shared" si="37"/>
        <v>0</v>
      </c>
    </row>
    <row r="88" ht="14.25" customHeight="1" spans="1:45">
      <c r="A88" s="3" t="str">
        <f>IF(对接源_01水果!$C88="","",对接源_01水果!$C88)</f>
        <v>聂新平</v>
      </c>
      <c r="B88" s="3">
        <f t="shared" si="19"/>
        <v>0</v>
      </c>
      <c r="C88" s="3">
        <f t="shared" si="20"/>
        <v>4</v>
      </c>
      <c r="E88" s="3" t="str">
        <f t="shared" si="21"/>
        <v/>
      </c>
      <c r="K88" s="3">
        <f>IF(OR($K$1="",对接源_01水果!$C88="",对接源_01水果!$C88&lt;&gt;$K$1,对接源_01水果!$B88=""),0,IF(OR(N(对接源_01水果!$B88)&lt;$K$2,N(对接源_01水果!$B88)&gt;$K$3),0,1))</f>
        <v>0</v>
      </c>
      <c r="L88" s="3">
        <f>IF(OR($L$1="",对接源_01水果!$C88="",对接源_01水果!$C88&lt;&gt;$L$1,对接源_01水果!$B88=""),0,IF(OR(N(对接源_01水果!$B88)&lt;$L$2,N(对接源_01水果!$B88)&gt;$L$3),0,1))</f>
        <v>0</v>
      </c>
      <c r="M88" s="3">
        <f>IF(OR($M$1="",对接源_01水果!$C88="",对接源_01水果!$C88&lt;&gt;$M$1,对接源_01水果!$B88=""),0,IF(OR(N(对接源_01水果!$B88)&lt;$M$2,N(对接源_01水果!$B88)&gt;$M$3),0,1))</f>
        <v>0</v>
      </c>
      <c r="N88" s="3">
        <f>IF(OR($N$1="",对接源_01水果!$C88="",对接源_01水果!$C88&lt;&gt;$N$1,对接源_01水果!$B88=""),0,IF(OR(N(对接源_01水果!$B88)&lt;$N$2,N(对接源_01水果!$B88)&gt;$N$3),0,1))</f>
        <v>0</v>
      </c>
      <c r="P88" s="3">
        <f>IF(AND($K88=1,AND(对接源_01水果!$X88="公司筐",N(对接源_01水果!$T88)&lt;&gt;0)),1,0)</f>
        <v>0</v>
      </c>
      <c r="Q88" s="3">
        <f t="shared" si="22"/>
        <v>0</v>
      </c>
      <c r="R88" s="3">
        <f>IF(AND($K88=1,AND(对接源_01水果!$X88="公司筐",N(对接源_01水果!$U88)&lt;&gt;0)),1,0)</f>
        <v>0</v>
      </c>
      <c r="S88" s="3">
        <f t="shared" si="23"/>
        <v>0</v>
      </c>
      <c r="T88" s="3">
        <f>IF(AND($K88=1,AND(对接源_01水果!$X88="公司筐",N(对接源_01水果!$V88)&lt;&gt;0)),1,0)</f>
        <v>0</v>
      </c>
      <c r="U88" s="3">
        <f t="shared" si="24"/>
        <v>0</v>
      </c>
      <c r="V88" s="3">
        <f>IF(AND($L88=1,AND(对接源_01水果!$X88="自备筐",N(对接源_01水果!$V88)&lt;&gt;0)),1,0)</f>
        <v>0</v>
      </c>
      <c r="W88" s="3">
        <f t="shared" si="25"/>
        <v>0</v>
      </c>
      <c r="X88" s="3">
        <f>IF(AND($L88=1,AND(对接源_01水果!$X88="自备筐",N(对接源_01水果!$T88)&lt;&gt;0)),1,0)</f>
        <v>0</v>
      </c>
      <c r="Y88" s="3">
        <f t="shared" si="26"/>
        <v>0</v>
      </c>
      <c r="Z88" s="3">
        <f>IF(AND($M88=1,对接源_01水果!$D88="原料入库"),1,0)</f>
        <v>0</v>
      </c>
      <c r="AA88" s="3">
        <f t="shared" si="27"/>
        <v>0</v>
      </c>
      <c r="AB88" s="3">
        <f>IF(AND($M88=1,LEFT(对接源_01水果!$D88,4)="原料出库"),1,0)</f>
        <v>0</v>
      </c>
      <c r="AC88" s="3">
        <f t="shared" si="28"/>
        <v>0</v>
      </c>
      <c r="AD88" s="3">
        <f>IF(AND($M88=1,LEFT(对接源_01水果!$D88,4)="成品出库"),1,0)</f>
        <v>0</v>
      </c>
      <c r="AE88" s="3">
        <f t="shared" si="29"/>
        <v>0</v>
      </c>
      <c r="AF88" s="3">
        <f>IF(AND($N88=1,AND(LEFT(对接源_01水果!$D88,4)="包装物料",N(对接源_01水果!$K88)&lt;&gt;0)),1,0)</f>
        <v>0</v>
      </c>
      <c r="AG88" s="3">
        <f t="shared" si="30"/>
        <v>0</v>
      </c>
      <c r="AH88" s="3">
        <f>IF(AND($N88=1,AND(对接源_01水果!$D88="周转筐－销售出库",N(对接源_01水果!$K88)&lt;&gt;0)),1,0)</f>
        <v>0</v>
      </c>
      <c r="AI88" s="3">
        <f t="shared" si="31"/>
        <v>0</v>
      </c>
      <c r="AJ88" s="7"/>
      <c r="AL88" s="3">
        <f>IF(OR($AL$1="",对接源_01水果!$Y88="",对接源_01水果!$Y88&lt;&gt;$AL$1,对接源_01水果!$B88="",N(对接源_01水果!$AJ88)&lt;=0),0,IF(OR(N(对接源_01水果!$B88)&lt;$AL$2,N(对接源_01水果!$B88)&gt;$AL$3),0,1))</f>
        <v>0</v>
      </c>
      <c r="AM88" s="3">
        <f t="shared" si="32"/>
        <v>0</v>
      </c>
      <c r="AN88" s="3" t="str">
        <f>IF(对接源_01水果!$AC88="","",对接源_01水果!$AC88)</f>
        <v/>
      </c>
      <c r="AO88" s="3">
        <f t="shared" si="33"/>
        <v>0</v>
      </c>
      <c r="AP88" s="3">
        <f t="shared" si="34"/>
        <v>0</v>
      </c>
      <c r="AQ88" s="3" t="str">
        <f t="shared" si="35"/>
        <v/>
      </c>
      <c r="AR88">
        <f t="shared" si="36"/>
        <v>0</v>
      </c>
      <c r="AS88">
        <f t="shared" si="37"/>
        <v>0</v>
      </c>
    </row>
    <row r="89" ht="14.25" customHeight="1" spans="1:45">
      <c r="A89" s="3" t="str">
        <f>IF(对接源_01水果!$C89="","",对接源_01水果!$C89)</f>
        <v>聂新平</v>
      </c>
      <c r="B89" s="3">
        <f t="shared" si="19"/>
        <v>0</v>
      </c>
      <c r="C89" s="3">
        <f t="shared" si="20"/>
        <v>4</v>
      </c>
      <c r="E89" s="3" t="str">
        <f t="shared" si="21"/>
        <v/>
      </c>
      <c r="K89" s="3">
        <f>IF(OR($K$1="",对接源_01水果!$C89="",对接源_01水果!$C89&lt;&gt;$K$1,对接源_01水果!$B89=""),0,IF(OR(N(对接源_01水果!$B89)&lt;$K$2,N(对接源_01水果!$B89)&gt;$K$3),0,1))</f>
        <v>0</v>
      </c>
      <c r="L89" s="3">
        <f>IF(OR($L$1="",对接源_01水果!$C89="",对接源_01水果!$C89&lt;&gt;$L$1,对接源_01水果!$B89=""),0,IF(OR(N(对接源_01水果!$B89)&lt;$L$2,N(对接源_01水果!$B89)&gt;$L$3),0,1))</f>
        <v>0</v>
      </c>
      <c r="M89" s="3">
        <f>IF(OR($M$1="",对接源_01水果!$C89="",对接源_01水果!$C89&lt;&gt;$M$1,对接源_01水果!$B89=""),0,IF(OR(N(对接源_01水果!$B89)&lt;$M$2,N(对接源_01水果!$B89)&gt;$M$3),0,1))</f>
        <v>0</v>
      </c>
      <c r="N89" s="3">
        <f>IF(OR($N$1="",对接源_01水果!$C89="",对接源_01水果!$C89&lt;&gt;$N$1,对接源_01水果!$B89=""),0,IF(OR(N(对接源_01水果!$B89)&lt;$N$2,N(对接源_01水果!$B89)&gt;$N$3),0,1))</f>
        <v>0</v>
      </c>
      <c r="P89" s="3">
        <f>IF(AND($K89=1,AND(对接源_01水果!$X89="公司筐",N(对接源_01水果!$T89)&lt;&gt;0)),1,0)</f>
        <v>0</v>
      </c>
      <c r="Q89" s="3">
        <f t="shared" si="22"/>
        <v>0</v>
      </c>
      <c r="R89" s="3">
        <f>IF(AND($K89=1,AND(对接源_01水果!$X89="公司筐",N(对接源_01水果!$U89)&lt;&gt;0)),1,0)</f>
        <v>0</v>
      </c>
      <c r="S89" s="3">
        <f t="shared" si="23"/>
        <v>0</v>
      </c>
      <c r="T89" s="3">
        <f>IF(AND($K89=1,AND(对接源_01水果!$X89="公司筐",N(对接源_01水果!$V89)&lt;&gt;0)),1,0)</f>
        <v>0</v>
      </c>
      <c r="U89" s="3">
        <f t="shared" si="24"/>
        <v>0</v>
      </c>
      <c r="V89" s="3">
        <f>IF(AND($L89=1,AND(对接源_01水果!$X89="自备筐",N(对接源_01水果!$V89)&lt;&gt;0)),1,0)</f>
        <v>0</v>
      </c>
      <c r="W89" s="3">
        <f t="shared" si="25"/>
        <v>0</v>
      </c>
      <c r="X89" s="3">
        <f>IF(AND($L89=1,AND(对接源_01水果!$X89="自备筐",N(对接源_01水果!$T89)&lt;&gt;0)),1,0)</f>
        <v>0</v>
      </c>
      <c r="Y89" s="3">
        <f t="shared" si="26"/>
        <v>0</v>
      </c>
      <c r="Z89" s="3">
        <f>IF(AND($M89=1,对接源_01水果!$D89="原料入库"),1,0)</f>
        <v>0</v>
      </c>
      <c r="AA89" s="3">
        <f t="shared" si="27"/>
        <v>0</v>
      </c>
      <c r="AB89" s="3">
        <f>IF(AND($M89=1,LEFT(对接源_01水果!$D89,4)="原料出库"),1,0)</f>
        <v>0</v>
      </c>
      <c r="AC89" s="3">
        <f t="shared" si="28"/>
        <v>0</v>
      </c>
      <c r="AD89" s="3">
        <f>IF(AND($M89=1,LEFT(对接源_01水果!$D89,4)="成品出库"),1,0)</f>
        <v>0</v>
      </c>
      <c r="AE89" s="3">
        <f t="shared" si="29"/>
        <v>0</v>
      </c>
      <c r="AF89" s="3">
        <f>IF(AND($N89=1,AND(LEFT(对接源_01水果!$D89,4)="包装物料",N(对接源_01水果!$K89)&lt;&gt;0)),1,0)</f>
        <v>0</v>
      </c>
      <c r="AG89" s="3">
        <f t="shared" si="30"/>
        <v>0</v>
      </c>
      <c r="AH89" s="3">
        <f>IF(AND($N89=1,AND(对接源_01水果!$D89="周转筐－销售出库",N(对接源_01水果!$K89)&lt;&gt;0)),1,0)</f>
        <v>0</v>
      </c>
      <c r="AI89" s="3">
        <f t="shared" si="31"/>
        <v>0</v>
      </c>
      <c r="AJ89" s="7"/>
      <c r="AL89" s="3">
        <f>IF(OR($AL$1="",对接源_01水果!$Y89="",对接源_01水果!$Y89&lt;&gt;$AL$1,对接源_01水果!$B89="",N(对接源_01水果!$AJ89)&lt;=0),0,IF(OR(N(对接源_01水果!$B89)&lt;$AL$2,N(对接源_01水果!$B89)&gt;$AL$3),0,1))</f>
        <v>0</v>
      </c>
      <c r="AM89" s="3">
        <f t="shared" si="32"/>
        <v>0</v>
      </c>
      <c r="AN89" s="3" t="str">
        <f>IF(对接源_01水果!$AC89="","",对接源_01水果!$AC89)</f>
        <v/>
      </c>
      <c r="AO89" s="3">
        <f t="shared" si="33"/>
        <v>0</v>
      </c>
      <c r="AP89" s="3">
        <f t="shared" si="34"/>
        <v>0</v>
      </c>
      <c r="AQ89" s="3" t="str">
        <f t="shared" si="35"/>
        <v/>
      </c>
      <c r="AR89">
        <f t="shared" si="36"/>
        <v>0</v>
      </c>
      <c r="AS89">
        <f t="shared" si="37"/>
        <v>0</v>
      </c>
    </row>
    <row r="90" ht="14.25" customHeight="1" spans="1:45">
      <c r="A90" s="3" t="str">
        <f>IF(对接源_01水果!$C90="","",对接源_01水果!$C90)</f>
        <v>聂新平</v>
      </c>
      <c r="B90" s="3">
        <f t="shared" si="19"/>
        <v>0</v>
      </c>
      <c r="C90" s="3">
        <f t="shared" si="20"/>
        <v>4</v>
      </c>
      <c r="E90" s="3" t="str">
        <f t="shared" si="21"/>
        <v/>
      </c>
      <c r="K90" s="3">
        <f>IF(OR($K$1="",对接源_01水果!$C90="",对接源_01水果!$C90&lt;&gt;$K$1,对接源_01水果!$B90=""),0,IF(OR(N(对接源_01水果!$B90)&lt;$K$2,N(对接源_01水果!$B90)&gt;$K$3),0,1))</f>
        <v>0</v>
      </c>
      <c r="L90" s="3">
        <f>IF(OR($L$1="",对接源_01水果!$C90="",对接源_01水果!$C90&lt;&gt;$L$1,对接源_01水果!$B90=""),0,IF(OR(N(对接源_01水果!$B90)&lt;$L$2,N(对接源_01水果!$B90)&gt;$L$3),0,1))</f>
        <v>0</v>
      </c>
      <c r="M90" s="3">
        <f>IF(OR($M$1="",对接源_01水果!$C90="",对接源_01水果!$C90&lt;&gt;$M$1,对接源_01水果!$B90=""),0,IF(OR(N(对接源_01水果!$B90)&lt;$M$2,N(对接源_01水果!$B90)&gt;$M$3),0,1))</f>
        <v>0</v>
      </c>
      <c r="N90" s="3">
        <f>IF(OR($N$1="",对接源_01水果!$C90="",对接源_01水果!$C90&lt;&gt;$N$1,对接源_01水果!$B90=""),0,IF(OR(N(对接源_01水果!$B90)&lt;$N$2,N(对接源_01水果!$B90)&gt;$N$3),0,1))</f>
        <v>0</v>
      </c>
      <c r="P90" s="3">
        <f>IF(AND($K90=1,AND(对接源_01水果!$X90="公司筐",N(对接源_01水果!$T90)&lt;&gt;0)),1,0)</f>
        <v>0</v>
      </c>
      <c r="Q90" s="3">
        <f t="shared" si="22"/>
        <v>0</v>
      </c>
      <c r="R90" s="3">
        <f>IF(AND($K90=1,AND(对接源_01水果!$X90="公司筐",N(对接源_01水果!$U90)&lt;&gt;0)),1,0)</f>
        <v>0</v>
      </c>
      <c r="S90" s="3">
        <f t="shared" si="23"/>
        <v>0</v>
      </c>
      <c r="T90" s="3">
        <f>IF(AND($K90=1,AND(对接源_01水果!$X90="公司筐",N(对接源_01水果!$V90)&lt;&gt;0)),1,0)</f>
        <v>0</v>
      </c>
      <c r="U90" s="3">
        <f t="shared" si="24"/>
        <v>0</v>
      </c>
      <c r="V90" s="3">
        <f>IF(AND($L90=1,AND(对接源_01水果!$X90="自备筐",N(对接源_01水果!$V90)&lt;&gt;0)),1,0)</f>
        <v>0</v>
      </c>
      <c r="W90" s="3">
        <f t="shared" si="25"/>
        <v>0</v>
      </c>
      <c r="X90" s="3">
        <f>IF(AND($L90=1,AND(对接源_01水果!$X90="自备筐",N(对接源_01水果!$T90)&lt;&gt;0)),1,0)</f>
        <v>0</v>
      </c>
      <c r="Y90" s="3">
        <f t="shared" si="26"/>
        <v>0</v>
      </c>
      <c r="Z90" s="3">
        <f>IF(AND($M90=1,对接源_01水果!$D90="原料入库"),1,0)</f>
        <v>0</v>
      </c>
      <c r="AA90" s="3">
        <f t="shared" si="27"/>
        <v>0</v>
      </c>
      <c r="AB90" s="3">
        <f>IF(AND($M90=1,LEFT(对接源_01水果!$D90,4)="原料出库"),1,0)</f>
        <v>0</v>
      </c>
      <c r="AC90" s="3">
        <f t="shared" si="28"/>
        <v>0</v>
      </c>
      <c r="AD90" s="3">
        <f>IF(AND($M90=1,LEFT(对接源_01水果!$D90,4)="成品出库"),1,0)</f>
        <v>0</v>
      </c>
      <c r="AE90" s="3">
        <f t="shared" si="29"/>
        <v>0</v>
      </c>
      <c r="AF90" s="3">
        <f>IF(AND($N90=1,AND(LEFT(对接源_01水果!$D90,4)="包装物料",N(对接源_01水果!$K90)&lt;&gt;0)),1,0)</f>
        <v>0</v>
      </c>
      <c r="AG90" s="3">
        <f t="shared" si="30"/>
        <v>0</v>
      </c>
      <c r="AH90" s="3">
        <f>IF(AND($N90=1,AND(对接源_01水果!$D90="周转筐－销售出库",N(对接源_01水果!$K90)&lt;&gt;0)),1,0)</f>
        <v>0</v>
      </c>
      <c r="AI90" s="3">
        <f t="shared" si="31"/>
        <v>0</v>
      </c>
      <c r="AJ90" s="7"/>
      <c r="AL90" s="3">
        <f>IF(OR($AL$1="",对接源_01水果!$Y90="",对接源_01水果!$Y90&lt;&gt;$AL$1,对接源_01水果!$B90="",N(对接源_01水果!$AJ90)&lt;=0),0,IF(OR(N(对接源_01水果!$B90)&lt;$AL$2,N(对接源_01水果!$B90)&gt;$AL$3),0,1))</f>
        <v>0</v>
      </c>
      <c r="AM90" s="3">
        <f t="shared" si="32"/>
        <v>0</v>
      </c>
      <c r="AN90" s="3" t="str">
        <f>IF(对接源_01水果!$AC90="","",对接源_01水果!$AC90)</f>
        <v/>
      </c>
      <c r="AO90" s="3">
        <f t="shared" si="33"/>
        <v>0</v>
      </c>
      <c r="AP90" s="3">
        <f t="shared" si="34"/>
        <v>0</v>
      </c>
      <c r="AQ90" s="3" t="str">
        <f t="shared" si="35"/>
        <v/>
      </c>
      <c r="AR90">
        <f t="shared" si="36"/>
        <v>0</v>
      </c>
      <c r="AS90">
        <f t="shared" si="37"/>
        <v>0</v>
      </c>
    </row>
    <row r="91" ht="14.25" customHeight="1" spans="1:45">
      <c r="A91" s="3" t="str">
        <f>IF(对接源_01水果!$C91="","",对接源_01水果!$C91)</f>
        <v>聂新平</v>
      </c>
      <c r="B91" s="3">
        <f t="shared" si="19"/>
        <v>0</v>
      </c>
      <c r="C91" s="3">
        <f t="shared" si="20"/>
        <v>4</v>
      </c>
      <c r="E91" s="3" t="str">
        <f t="shared" si="21"/>
        <v/>
      </c>
      <c r="K91" s="3">
        <f>IF(OR($K$1="",对接源_01水果!$C91="",对接源_01水果!$C91&lt;&gt;$K$1,对接源_01水果!$B91=""),0,IF(OR(N(对接源_01水果!$B91)&lt;$K$2,N(对接源_01水果!$B91)&gt;$K$3),0,1))</f>
        <v>0</v>
      </c>
      <c r="L91" s="3">
        <f>IF(OR($L$1="",对接源_01水果!$C91="",对接源_01水果!$C91&lt;&gt;$L$1,对接源_01水果!$B91=""),0,IF(OR(N(对接源_01水果!$B91)&lt;$L$2,N(对接源_01水果!$B91)&gt;$L$3),0,1))</f>
        <v>0</v>
      </c>
      <c r="M91" s="3">
        <f>IF(OR($M$1="",对接源_01水果!$C91="",对接源_01水果!$C91&lt;&gt;$M$1,对接源_01水果!$B91=""),0,IF(OR(N(对接源_01水果!$B91)&lt;$M$2,N(对接源_01水果!$B91)&gt;$M$3),0,1))</f>
        <v>0</v>
      </c>
      <c r="N91" s="3">
        <f>IF(OR($N$1="",对接源_01水果!$C91="",对接源_01水果!$C91&lt;&gt;$N$1,对接源_01水果!$B91=""),0,IF(OR(N(对接源_01水果!$B91)&lt;$N$2,N(对接源_01水果!$B91)&gt;$N$3),0,1))</f>
        <v>0</v>
      </c>
      <c r="P91" s="3">
        <f>IF(AND($K91=1,AND(对接源_01水果!$X91="公司筐",N(对接源_01水果!$T91)&lt;&gt;0)),1,0)</f>
        <v>0</v>
      </c>
      <c r="Q91" s="3">
        <f t="shared" si="22"/>
        <v>0</v>
      </c>
      <c r="R91" s="3">
        <f>IF(AND($K91=1,AND(对接源_01水果!$X91="公司筐",N(对接源_01水果!$U91)&lt;&gt;0)),1,0)</f>
        <v>0</v>
      </c>
      <c r="S91" s="3">
        <f t="shared" si="23"/>
        <v>0</v>
      </c>
      <c r="T91" s="3">
        <f>IF(AND($K91=1,AND(对接源_01水果!$X91="公司筐",N(对接源_01水果!$V91)&lt;&gt;0)),1,0)</f>
        <v>0</v>
      </c>
      <c r="U91" s="3">
        <f t="shared" si="24"/>
        <v>0</v>
      </c>
      <c r="V91" s="3">
        <f>IF(AND($L91=1,AND(对接源_01水果!$X91="自备筐",N(对接源_01水果!$V91)&lt;&gt;0)),1,0)</f>
        <v>0</v>
      </c>
      <c r="W91" s="3">
        <f t="shared" si="25"/>
        <v>0</v>
      </c>
      <c r="X91" s="3">
        <f>IF(AND($L91=1,AND(对接源_01水果!$X91="自备筐",N(对接源_01水果!$T91)&lt;&gt;0)),1,0)</f>
        <v>0</v>
      </c>
      <c r="Y91" s="3">
        <f t="shared" si="26"/>
        <v>0</v>
      </c>
      <c r="Z91" s="3">
        <f>IF(AND($M91=1,对接源_01水果!$D91="原料入库"),1,0)</f>
        <v>0</v>
      </c>
      <c r="AA91" s="3">
        <f t="shared" si="27"/>
        <v>0</v>
      </c>
      <c r="AB91" s="3">
        <f>IF(AND($M91=1,LEFT(对接源_01水果!$D91,4)="原料出库"),1,0)</f>
        <v>0</v>
      </c>
      <c r="AC91" s="3">
        <f t="shared" si="28"/>
        <v>0</v>
      </c>
      <c r="AD91" s="3">
        <f>IF(AND($M91=1,LEFT(对接源_01水果!$D91,4)="成品出库"),1,0)</f>
        <v>0</v>
      </c>
      <c r="AE91" s="3">
        <f t="shared" si="29"/>
        <v>0</v>
      </c>
      <c r="AF91" s="3">
        <f>IF(AND($N91=1,AND(LEFT(对接源_01水果!$D91,4)="包装物料",N(对接源_01水果!$K91)&lt;&gt;0)),1,0)</f>
        <v>0</v>
      </c>
      <c r="AG91" s="3">
        <f t="shared" si="30"/>
        <v>0</v>
      </c>
      <c r="AH91" s="3">
        <f>IF(AND($N91=1,AND(对接源_01水果!$D91="周转筐－销售出库",N(对接源_01水果!$K91)&lt;&gt;0)),1,0)</f>
        <v>0</v>
      </c>
      <c r="AI91" s="3">
        <f t="shared" si="31"/>
        <v>0</v>
      </c>
      <c r="AJ91" s="7"/>
      <c r="AL91" s="3">
        <f>IF(OR($AL$1="",对接源_01水果!$Y91="",对接源_01水果!$Y91&lt;&gt;$AL$1,对接源_01水果!$B91="",N(对接源_01水果!$AJ91)&lt;=0),0,IF(OR(N(对接源_01水果!$B91)&lt;$AL$2,N(对接源_01水果!$B91)&gt;$AL$3),0,1))</f>
        <v>0</v>
      </c>
      <c r="AM91" s="3">
        <f t="shared" si="32"/>
        <v>0</v>
      </c>
      <c r="AN91" s="3" t="str">
        <f>IF(对接源_01水果!$AC91="","",对接源_01水果!$AC91)</f>
        <v/>
      </c>
      <c r="AO91" s="3">
        <f t="shared" si="33"/>
        <v>0</v>
      </c>
      <c r="AP91" s="3">
        <f t="shared" si="34"/>
        <v>0</v>
      </c>
      <c r="AQ91" s="3" t="str">
        <f t="shared" si="35"/>
        <v/>
      </c>
      <c r="AR91">
        <f t="shared" si="36"/>
        <v>0</v>
      </c>
      <c r="AS91">
        <f t="shared" si="37"/>
        <v>0</v>
      </c>
    </row>
    <row r="92" ht="14.25" customHeight="1" spans="1:45">
      <c r="A92" s="3" t="str">
        <f>IF(对接源_01水果!$C92="","",对接源_01水果!$C92)</f>
        <v>聂新平</v>
      </c>
      <c r="B92" s="3">
        <f t="shared" si="19"/>
        <v>0</v>
      </c>
      <c r="C92" s="3">
        <f t="shared" si="20"/>
        <v>4</v>
      </c>
      <c r="E92" s="3" t="str">
        <f t="shared" si="21"/>
        <v/>
      </c>
      <c r="K92" s="3">
        <f>IF(OR($K$1="",对接源_01水果!$C92="",对接源_01水果!$C92&lt;&gt;$K$1,对接源_01水果!$B92=""),0,IF(OR(N(对接源_01水果!$B92)&lt;$K$2,N(对接源_01水果!$B92)&gt;$K$3),0,1))</f>
        <v>0</v>
      </c>
      <c r="L92" s="3">
        <f>IF(OR($L$1="",对接源_01水果!$C92="",对接源_01水果!$C92&lt;&gt;$L$1,对接源_01水果!$B92=""),0,IF(OR(N(对接源_01水果!$B92)&lt;$L$2,N(对接源_01水果!$B92)&gt;$L$3),0,1))</f>
        <v>0</v>
      </c>
      <c r="M92" s="3">
        <f>IF(OR($M$1="",对接源_01水果!$C92="",对接源_01水果!$C92&lt;&gt;$M$1,对接源_01水果!$B92=""),0,IF(OR(N(对接源_01水果!$B92)&lt;$M$2,N(对接源_01水果!$B92)&gt;$M$3),0,1))</f>
        <v>0</v>
      </c>
      <c r="N92" s="3">
        <f>IF(OR($N$1="",对接源_01水果!$C92="",对接源_01水果!$C92&lt;&gt;$N$1,对接源_01水果!$B92=""),0,IF(OR(N(对接源_01水果!$B92)&lt;$N$2,N(对接源_01水果!$B92)&gt;$N$3),0,1))</f>
        <v>0</v>
      </c>
      <c r="P92" s="3">
        <f>IF(AND($K92=1,AND(对接源_01水果!$X92="公司筐",N(对接源_01水果!$T92)&lt;&gt;0)),1,0)</f>
        <v>0</v>
      </c>
      <c r="Q92" s="3">
        <f t="shared" si="22"/>
        <v>0</v>
      </c>
      <c r="R92" s="3">
        <f>IF(AND($K92=1,AND(对接源_01水果!$X92="公司筐",N(对接源_01水果!$U92)&lt;&gt;0)),1,0)</f>
        <v>0</v>
      </c>
      <c r="S92" s="3">
        <f t="shared" si="23"/>
        <v>0</v>
      </c>
      <c r="T92" s="3">
        <f>IF(AND($K92=1,AND(对接源_01水果!$X92="公司筐",N(对接源_01水果!$V92)&lt;&gt;0)),1,0)</f>
        <v>0</v>
      </c>
      <c r="U92" s="3">
        <f t="shared" si="24"/>
        <v>0</v>
      </c>
      <c r="V92" s="3">
        <f>IF(AND($L92=1,AND(对接源_01水果!$X92="自备筐",N(对接源_01水果!$V92)&lt;&gt;0)),1,0)</f>
        <v>0</v>
      </c>
      <c r="W92" s="3">
        <f t="shared" si="25"/>
        <v>0</v>
      </c>
      <c r="X92" s="3">
        <f>IF(AND($L92=1,AND(对接源_01水果!$X92="自备筐",N(对接源_01水果!$T92)&lt;&gt;0)),1,0)</f>
        <v>0</v>
      </c>
      <c r="Y92" s="3">
        <f t="shared" si="26"/>
        <v>0</v>
      </c>
      <c r="Z92" s="3">
        <f>IF(AND($M92=1,对接源_01水果!$D92="原料入库"),1,0)</f>
        <v>0</v>
      </c>
      <c r="AA92" s="3">
        <f t="shared" si="27"/>
        <v>0</v>
      </c>
      <c r="AB92" s="3">
        <f>IF(AND($M92=1,LEFT(对接源_01水果!$D92,4)="原料出库"),1,0)</f>
        <v>0</v>
      </c>
      <c r="AC92" s="3">
        <f t="shared" si="28"/>
        <v>0</v>
      </c>
      <c r="AD92" s="3">
        <f>IF(AND($M92=1,LEFT(对接源_01水果!$D92,4)="成品出库"),1,0)</f>
        <v>0</v>
      </c>
      <c r="AE92" s="3">
        <f t="shared" si="29"/>
        <v>0</v>
      </c>
      <c r="AF92" s="3">
        <f>IF(AND($N92=1,AND(LEFT(对接源_01水果!$D92,4)="包装物料",N(对接源_01水果!$K92)&lt;&gt;0)),1,0)</f>
        <v>0</v>
      </c>
      <c r="AG92" s="3">
        <f t="shared" si="30"/>
        <v>0</v>
      </c>
      <c r="AH92" s="3">
        <f>IF(AND($N92=1,AND(对接源_01水果!$D92="周转筐－销售出库",N(对接源_01水果!$K92)&lt;&gt;0)),1,0)</f>
        <v>0</v>
      </c>
      <c r="AI92" s="3">
        <f t="shared" si="31"/>
        <v>0</v>
      </c>
      <c r="AJ92" s="7"/>
      <c r="AL92" s="3">
        <f>IF(OR($AL$1="",对接源_01水果!$Y92="",对接源_01水果!$Y92&lt;&gt;$AL$1,对接源_01水果!$B92="",N(对接源_01水果!$AJ92)&lt;=0),0,IF(OR(N(对接源_01水果!$B92)&lt;$AL$2,N(对接源_01水果!$B92)&gt;$AL$3),0,1))</f>
        <v>0</v>
      </c>
      <c r="AM92" s="3">
        <f t="shared" si="32"/>
        <v>0</v>
      </c>
      <c r="AN92" s="3" t="str">
        <f>IF(对接源_01水果!$AC92="","",对接源_01水果!$AC92)</f>
        <v/>
      </c>
      <c r="AO92" s="3">
        <f t="shared" si="33"/>
        <v>0</v>
      </c>
      <c r="AP92" s="3">
        <f t="shared" si="34"/>
        <v>0</v>
      </c>
      <c r="AQ92" s="3" t="str">
        <f t="shared" si="35"/>
        <v/>
      </c>
      <c r="AR92">
        <f t="shared" si="36"/>
        <v>0</v>
      </c>
      <c r="AS92">
        <f t="shared" si="37"/>
        <v>0</v>
      </c>
    </row>
    <row r="93" ht="14.25" customHeight="1" spans="1:45">
      <c r="A93" s="3" t="str">
        <f>IF(对接源_01水果!$C93="","",对接源_01水果!$C93)</f>
        <v>聂新平</v>
      </c>
      <c r="B93" s="3">
        <f t="shared" si="19"/>
        <v>0</v>
      </c>
      <c r="C93" s="3">
        <f t="shared" si="20"/>
        <v>4</v>
      </c>
      <c r="E93" s="3" t="str">
        <f t="shared" si="21"/>
        <v/>
      </c>
      <c r="K93" s="3">
        <f>IF(OR($K$1="",对接源_01水果!$C93="",对接源_01水果!$C93&lt;&gt;$K$1,对接源_01水果!$B93=""),0,IF(OR(N(对接源_01水果!$B93)&lt;$K$2,N(对接源_01水果!$B93)&gt;$K$3),0,1))</f>
        <v>0</v>
      </c>
      <c r="L93" s="3">
        <f>IF(OR($L$1="",对接源_01水果!$C93="",对接源_01水果!$C93&lt;&gt;$L$1,对接源_01水果!$B93=""),0,IF(OR(N(对接源_01水果!$B93)&lt;$L$2,N(对接源_01水果!$B93)&gt;$L$3),0,1))</f>
        <v>0</v>
      </c>
      <c r="M93" s="3">
        <f>IF(OR($M$1="",对接源_01水果!$C93="",对接源_01水果!$C93&lt;&gt;$M$1,对接源_01水果!$B93=""),0,IF(OR(N(对接源_01水果!$B93)&lt;$M$2,N(对接源_01水果!$B93)&gt;$M$3),0,1))</f>
        <v>0</v>
      </c>
      <c r="N93" s="3">
        <f>IF(OR($N$1="",对接源_01水果!$C93="",对接源_01水果!$C93&lt;&gt;$N$1,对接源_01水果!$B93=""),0,IF(OR(N(对接源_01水果!$B93)&lt;$N$2,N(对接源_01水果!$B93)&gt;$N$3),0,1))</f>
        <v>0</v>
      </c>
      <c r="P93" s="3">
        <f>IF(AND($K93=1,AND(对接源_01水果!$X93="公司筐",N(对接源_01水果!$T93)&lt;&gt;0)),1,0)</f>
        <v>0</v>
      </c>
      <c r="Q93" s="3">
        <f t="shared" si="22"/>
        <v>0</v>
      </c>
      <c r="R93" s="3">
        <f>IF(AND($K93=1,AND(对接源_01水果!$X93="公司筐",N(对接源_01水果!$U93)&lt;&gt;0)),1,0)</f>
        <v>0</v>
      </c>
      <c r="S93" s="3">
        <f t="shared" si="23"/>
        <v>0</v>
      </c>
      <c r="T93" s="3">
        <f>IF(AND($K93=1,AND(对接源_01水果!$X93="公司筐",N(对接源_01水果!$V93)&lt;&gt;0)),1,0)</f>
        <v>0</v>
      </c>
      <c r="U93" s="3">
        <f t="shared" si="24"/>
        <v>0</v>
      </c>
      <c r="V93" s="3">
        <f>IF(AND($L93=1,AND(对接源_01水果!$X93="自备筐",N(对接源_01水果!$V93)&lt;&gt;0)),1,0)</f>
        <v>0</v>
      </c>
      <c r="W93" s="3">
        <f t="shared" si="25"/>
        <v>0</v>
      </c>
      <c r="X93" s="3">
        <f>IF(AND($L93=1,AND(对接源_01水果!$X93="自备筐",N(对接源_01水果!$T93)&lt;&gt;0)),1,0)</f>
        <v>0</v>
      </c>
      <c r="Y93" s="3">
        <f t="shared" si="26"/>
        <v>0</v>
      </c>
      <c r="Z93" s="3">
        <f>IF(AND($M93=1,对接源_01水果!$D93="原料入库"),1,0)</f>
        <v>0</v>
      </c>
      <c r="AA93" s="3">
        <f t="shared" si="27"/>
        <v>0</v>
      </c>
      <c r="AB93" s="3">
        <f>IF(AND($M93=1,LEFT(对接源_01水果!$D93,4)="原料出库"),1,0)</f>
        <v>0</v>
      </c>
      <c r="AC93" s="3">
        <f t="shared" si="28"/>
        <v>0</v>
      </c>
      <c r="AD93" s="3">
        <f>IF(AND($M93=1,LEFT(对接源_01水果!$D93,4)="成品出库"),1,0)</f>
        <v>0</v>
      </c>
      <c r="AE93" s="3">
        <f t="shared" si="29"/>
        <v>0</v>
      </c>
      <c r="AF93" s="3">
        <f>IF(AND($N93=1,AND(LEFT(对接源_01水果!$D93,4)="包装物料",N(对接源_01水果!$K93)&lt;&gt;0)),1,0)</f>
        <v>0</v>
      </c>
      <c r="AG93" s="3">
        <f t="shared" si="30"/>
        <v>0</v>
      </c>
      <c r="AH93" s="3">
        <f>IF(AND($N93=1,AND(对接源_01水果!$D93="周转筐－销售出库",N(对接源_01水果!$K93)&lt;&gt;0)),1,0)</f>
        <v>0</v>
      </c>
      <c r="AI93" s="3">
        <f t="shared" si="31"/>
        <v>0</v>
      </c>
      <c r="AJ93" s="7"/>
      <c r="AL93" s="3">
        <f>IF(OR($AL$1="",对接源_01水果!$Y93="",对接源_01水果!$Y93&lt;&gt;$AL$1,对接源_01水果!$B93="",N(对接源_01水果!$AJ93)&lt;=0),0,IF(OR(N(对接源_01水果!$B93)&lt;$AL$2,N(对接源_01水果!$B93)&gt;$AL$3),0,1))</f>
        <v>0</v>
      </c>
      <c r="AM93" s="3">
        <f t="shared" si="32"/>
        <v>0</v>
      </c>
      <c r="AN93" s="3" t="str">
        <f>IF(对接源_01水果!$AC93="","",对接源_01水果!$AC93)</f>
        <v/>
      </c>
      <c r="AO93" s="3">
        <f t="shared" si="33"/>
        <v>0</v>
      </c>
      <c r="AP93" s="3">
        <f t="shared" si="34"/>
        <v>0</v>
      </c>
      <c r="AQ93" s="3" t="str">
        <f t="shared" si="35"/>
        <v/>
      </c>
      <c r="AR93">
        <f t="shared" si="36"/>
        <v>0</v>
      </c>
      <c r="AS93">
        <f t="shared" si="37"/>
        <v>0</v>
      </c>
    </row>
    <row r="94" ht="14.25" customHeight="1" spans="1:45">
      <c r="A94" s="3" t="str">
        <f>IF(对接源_01水果!$C94="","",对接源_01水果!$C94)</f>
        <v>聂新平</v>
      </c>
      <c r="B94" s="3">
        <f t="shared" si="19"/>
        <v>0</v>
      </c>
      <c r="C94" s="3">
        <f t="shared" si="20"/>
        <v>4</v>
      </c>
      <c r="E94" s="3" t="str">
        <f t="shared" si="21"/>
        <v/>
      </c>
      <c r="K94" s="3">
        <f>IF(OR($K$1="",对接源_01水果!$C94="",对接源_01水果!$C94&lt;&gt;$K$1,对接源_01水果!$B94=""),0,IF(OR(N(对接源_01水果!$B94)&lt;$K$2,N(对接源_01水果!$B94)&gt;$K$3),0,1))</f>
        <v>0</v>
      </c>
      <c r="L94" s="3">
        <f>IF(OR($L$1="",对接源_01水果!$C94="",对接源_01水果!$C94&lt;&gt;$L$1,对接源_01水果!$B94=""),0,IF(OR(N(对接源_01水果!$B94)&lt;$L$2,N(对接源_01水果!$B94)&gt;$L$3),0,1))</f>
        <v>0</v>
      </c>
      <c r="M94" s="3">
        <f>IF(OR($M$1="",对接源_01水果!$C94="",对接源_01水果!$C94&lt;&gt;$M$1,对接源_01水果!$B94=""),0,IF(OR(N(对接源_01水果!$B94)&lt;$M$2,N(对接源_01水果!$B94)&gt;$M$3),0,1))</f>
        <v>0</v>
      </c>
      <c r="N94" s="3">
        <f>IF(OR($N$1="",对接源_01水果!$C94="",对接源_01水果!$C94&lt;&gt;$N$1,对接源_01水果!$B94=""),0,IF(OR(N(对接源_01水果!$B94)&lt;$N$2,N(对接源_01水果!$B94)&gt;$N$3),0,1))</f>
        <v>0</v>
      </c>
      <c r="P94" s="3">
        <f>IF(AND($K94=1,AND(对接源_01水果!$X94="公司筐",N(对接源_01水果!$T94)&lt;&gt;0)),1,0)</f>
        <v>0</v>
      </c>
      <c r="Q94" s="3">
        <f t="shared" si="22"/>
        <v>0</v>
      </c>
      <c r="R94" s="3">
        <f>IF(AND($K94=1,AND(对接源_01水果!$X94="公司筐",N(对接源_01水果!$U94)&lt;&gt;0)),1,0)</f>
        <v>0</v>
      </c>
      <c r="S94" s="3">
        <f t="shared" si="23"/>
        <v>0</v>
      </c>
      <c r="T94" s="3">
        <f>IF(AND($K94=1,AND(对接源_01水果!$X94="公司筐",N(对接源_01水果!$V94)&lt;&gt;0)),1,0)</f>
        <v>0</v>
      </c>
      <c r="U94" s="3">
        <f t="shared" si="24"/>
        <v>0</v>
      </c>
      <c r="V94" s="3">
        <f>IF(AND($L94=1,AND(对接源_01水果!$X94="自备筐",N(对接源_01水果!$V94)&lt;&gt;0)),1,0)</f>
        <v>0</v>
      </c>
      <c r="W94" s="3">
        <f t="shared" si="25"/>
        <v>0</v>
      </c>
      <c r="X94" s="3">
        <f>IF(AND($L94=1,AND(对接源_01水果!$X94="自备筐",N(对接源_01水果!$T94)&lt;&gt;0)),1,0)</f>
        <v>0</v>
      </c>
      <c r="Y94" s="3">
        <f t="shared" si="26"/>
        <v>0</v>
      </c>
      <c r="Z94" s="3">
        <f>IF(AND($M94=1,对接源_01水果!$D94="原料入库"),1,0)</f>
        <v>0</v>
      </c>
      <c r="AA94" s="3">
        <f t="shared" si="27"/>
        <v>0</v>
      </c>
      <c r="AB94" s="3">
        <f>IF(AND($M94=1,LEFT(对接源_01水果!$D94,4)="原料出库"),1,0)</f>
        <v>0</v>
      </c>
      <c r="AC94" s="3">
        <f t="shared" si="28"/>
        <v>0</v>
      </c>
      <c r="AD94" s="3">
        <f>IF(AND($M94=1,LEFT(对接源_01水果!$D94,4)="成品出库"),1,0)</f>
        <v>0</v>
      </c>
      <c r="AE94" s="3">
        <f t="shared" si="29"/>
        <v>0</v>
      </c>
      <c r="AF94" s="3">
        <f>IF(AND($N94=1,AND(LEFT(对接源_01水果!$D94,4)="包装物料",N(对接源_01水果!$K94)&lt;&gt;0)),1,0)</f>
        <v>0</v>
      </c>
      <c r="AG94" s="3">
        <f t="shared" si="30"/>
        <v>0</v>
      </c>
      <c r="AH94" s="3">
        <f>IF(AND($N94=1,AND(对接源_01水果!$D94="周转筐－销售出库",N(对接源_01水果!$K94)&lt;&gt;0)),1,0)</f>
        <v>0</v>
      </c>
      <c r="AI94" s="3">
        <f t="shared" si="31"/>
        <v>0</v>
      </c>
      <c r="AJ94" s="7"/>
      <c r="AL94" s="3">
        <f>IF(OR($AL$1="",对接源_01水果!$Y94="",对接源_01水果!$Y94&lt;&gt;$AL$1,对接源_01水果!$B94="",N(对接源_01水果!$AJ94)&lt;=0),0,IF(OR(N(对接源_01水果!$B94)&lt;$AL$2,N(对接源_01水果!$B94)&gt;$AL$3),0,1))</f>
        <v>0</v>
      </c>
      <c r="AM94" s="3">
        <f t="shared" si="32"/>
        <v>0</v>
      </c>
      <c r="AN94" s="3" t="str">
        <f>IF(对接源_01水果!$AC94="","",对接源_01水果!$AC94)</f>
        <v/>
      </c>
      <c r="AO94" s="3">
        <f t="shared" si="33"/>
        <v>0</v>
      </c>
      <c r="AP94" s="3">
        <f t="shared" si="34"/>
        <v>0</v>
      </c>
      <c r="AQ94" s="3" t="str">
        <f t="shared" si="35"/>
        <v/>
      </c>
      <c r="AR94">
        <f t="shared" si="36"/>
        <v>0</v>
      </c>
      <c r="AS94">
        <f t="shared" si="37"/>
        <v>0</v>
      </c>
    </row>
    <row r="95" ht="14.25" customHeight="1" spans="1:45">
      <c r="A95" s="3" t="str">
        <f>IF(对接源_01水果!$C95="","",对接源_01水果!$C95)</f>
        <v>聂新平</v>
      </c>
      <c r="B95" s="3">
        <f t="shared" si="19"/>
        <v>0</v>
      </c>
      <c r="C95" s="3">
        <f t="shared" si="20"/>
        <v>4</v>
      </c>
      <c r="E95" s="3" t="str">
        <f t="shared" si="21"/>
        <v/>
      </c>
      <c r="K95" s="3">
        <f>IF(OR($K$1="",对接源_01水果!$C95="",对接源_01水果!$C95&lt;&gt;$K$1,对接源_01水果!$B95=""),0,IF(OR(N(对接源_01水果!$B95)&lt;$K$2,N(对接源_01水果!$B95)&gt;$K$3),0,1))</f>
        <v>0</v>
      </c>
      <c r="L95" s="3">
        <f>IF(OR($L$1="",对接源_01水果!$C95="",对接源_01水果!$C95&lt;&gt;$L$1,对接源_01水果!$B95=""),0,IF(OR(N(对接源_01水果!$B95)&lt;$L$2,N(对接源_01水果!$B95)&gt;$L$3),0,1))</f>
        <v>0</v>
      </c>
      <c r="M95" s="3">
        <f>IF(OR($M$1="",对接源_01水果!$C95="",对接源_01水果!$C95&lt;&gt;$M$1,对接源_01水果!$B95=""),0,IF(OR(N(对接源_01水果!$B95)&lt;$M$2,N(对接源_01水果!$B95)&gt;$M$3),0,1))</f>
        <v>0</v>
      </c>
      <c r="N95" s="3">
        <f>IF(OR($N$1="",对接源_01水果!$C95="",对接源_01水果!$C95&lt;&gt;$N$1,对接源_01水果!$B95=""),0,IF(OR(N(对接源_01水果!$B95)&lt;$N$2,N(对接源_01水果!$B95)&gt;$N$3),0,1))</f>
        <v>0</v>
      </c>
      <c r="P95" s="3">
        <f>IF(AND($K95=1,AND(对接源_01水果!$X95="公司筐",N(对接源_01水果!$T95)&lt;&gt;0)),1,0)</f>
        <v>0</v>
      </c>
      <c r="Q95" s="3">
        <f t="shared" si="22"/>
        <v>0</v>
      </c>
      <c r="R95" s="3">
        <f>IF(AND($K95=1,AND(对接源_01水果!$X95="公司筐",N(对接源_01水果!$U95)&lt;&gt;0)),1,0)</f>
        <v>0</v>
      </c>
      <c r="S95" s="3">
        <f t="shared" si="23"/>
        <v>0</v>
      </c>
      <c r="T95" s="3">
        <f>IF(AND($K95=1,AND(对接源_01水果!$X95="公司筐",N(对接源_01水果!$V95)&lt;&gt;0)),1,0)</f>
        <v>0</v>
      </c>
      <c r="U95" s="3">
        <f t="shared" si="24"/>
        <v>0</v>
      </c>
      <c r="V95" s="3">
        <f>IF(AND($L95=1,AND(对接源_01水果!$X95="自备筐",N(对接源_01水果!$V95)&lt;&gt;0)),1,0)</f>
        <v>0</v>
      </c>
      <c r="W95" s="3">
        <f t="shared" si="25"/>
        <v>0</v>
      </c>
      <c r="X95" s="3">
        <f>IF(AND($L95=1,AND(对接源_01水果!$X95="自备筐",N(对接源_01水果!$T95)&lt;&gt;0)),1,0)</f>
        <v>0</v>
      </c>
      <c r="Y95" s="3">
        <f t="shared" si="26"/>
        <v>0</v>
      </c>
      <c r="Z95" s="3">
        <f>IF(AND($M95=1,对接源_01水果!$D95="原料入库"),1,0)</f>
        <v>0</v>
      </c>
      <c r="AA95" s="3">
        <f t="shared" si="27"/>
        <v>0</v>
      </c>
      <c r="AB95" s="3">
        <f>IF(AND($M95=1,LEFT(对接源_01水果!$D95,4)="原料出库"),1,0)</f>
        <v>0</v>
      </c>
      <c r="AC95" s="3">
        <f t="shared" si="28"/>
        <v>0</v>
      </c>
      <c r="AD95" s="3">
        <f>IF(AND($M95=1,LEFT(对接源_01水果!$D95,4)="成品出库"),1,0)</f>
        <v>0</v>
      </c>
      <c r="AE95" s="3">
        <f t="shared" si="29"/>
        <v>0</v>
      </c>
      <c r="AF95" s="3">
        <f>IF(AND($N95=1,AND(LEFT(对接源_01水果!$D95,4)="包装物料",N(对接源_01水果!$K95)&lt;&gt;0)),1,0)</f>
        <v>0</v>
      </c>
      <c r="AG95" s="3">
        <f t="shared" si="30"/>
        <v>0</v>
      </c>
      <c r="AH95" s="3">
        <f>IF(AND($N95=1,AND(对接源_01水果!$D95="周转筐－销售出库",N(对接源_01水果!$K95)&lt;&gt;0)),1,0)</f>
        <v>0</v>
      </c>
      <c r="AI95" s="3">
        <f t="shared" si="31"/>
        <v>0</v>
      </c>
      <c r="AJ95" s="7"/>
      <c r="AL95" s="3">
        <f>IF(OR($AL$1="",对接源_01水果!$Y95="",对接源_01水果!$Y95&lt;&gt;$AL$1,对接源_01水果!$B95="",N(对接源_01水果!$AJ95)&lt;=0),0,IF(OR(N(对接源_01水果!$B95)&lt;$AL$2,N(对接源_01水果!$B95)&gt;$AL$3),0,1))</f>
        <v>0</v>
      </c>
      <c r="AM95" s="3">
        <f t="shared" si="32"/>
        <v>0</v>
      </c>
      <c r="AN95" s="3" t="str">
        <f>IF(对接源_01水果!$AC95="","",对接源_01水果!$AC95)</f>
        <v/>
      </c>
      <c r="AO95" s="3">
        <f t="shared" si="33"/>
        <v>0</v>
      </c>
      <c r="AP95" s="3">
        <f t="shared" si="34"/>
        <v>0</v>
      </c>
      <c r="AQ95" s="3" t="str">
        <f t="shared" si="35"/>
        <v/>
      </c>
      <c r="AR95">
        <f t="shared" si="36"/>
        <v>0</v>
      </c>
      <c r="AS95">
        <f t="shared" si="37"/>
        <v>0</v>
      </c>
    </row>
    <row r="96" ht="14.25" customHeight="1" spans="1:45">
      <c r="A96" s="3" t="str">
        <f>IF(对接源_01水果!$C96="","",对接源_01水果!$C96)</f>
        <v>聂新平</v>
      </c>
      <c r="B96" s="3">
        <f t="shared" si="19"/>
        <v>0</v>
      </c>
      <c r="C96" s="3">
        <f t="shared" si="20"/>
        <v>4</v>
      </c>
      <c r="E96" s="3" t="str">
        <f t="shared" si="21"/>
        <v/>
      </c>
      <c r="K96" s="3">
        <f>IF(OR($K$1="",对接源_01水果!$C96="",对接源_01水果!$C96&lt;&gt;$K$1,对接源_01水果!$B96=""),0,IF(OR(N(对接源_01水果!$B96)&lt;$K$2,N(对接源_01水果!$B96)&gt;$K$3),0,1))</f>
        <v>0</v>
      </c>
      <c r="L96" s="3">
        <f>IF(OR($L$1="",对接源_01水果!$C96="",对接源_01水果!$C96&lt;&gt;$L$1,对接源_01水果!$B96=""),0,IF(OR(N(对接源_01水果!$B96)&lt;$L$2,N(对接源_01水果!$B96)&gt;$L$3),0,1))</f>
        <v>0</v>
      </c>
      <c r="M96" s="3">
        <f>IF(OR($M$1="",对接源_01水果!$C96="",对接源_01水果!$C96&lt;&gt;$M$1,对接源_01水果!$B96=""),0,IF(OR(N(对接源_01水果!$B96)&lt;$M$2,N(对接源_01水果!$B96)&gt;$M$3),0,1))</f>
        <v>0</v>
      </c>
      <c r="N96" s="3">
        <f>IF(OR($N$1="",对接源_01水果!$C96="",对接源_01水果!$C96&lt;&gt;$N$1,对接源_01水果!$B96=""),0,IF(OR(N(对接源_01水果!$B96)&lt;$N$2,N(对接源_01水果!$B96)&gt;$N$3),0,1))</f>
        <v>0</v>
      </c>
      <c r="P96" s="3">
        <f>IF(AND($K96=1,AND(对接源_01水果!$X96="公司筐",N(对接源_01水果!$T96)&lt;&gt;0)),1,0)</f>
        <v>0</v>
      </c>
      <c r="Q96" s="3">
        <f t="shared" si="22"/>
        <v>0</v>
      </c>
      <c r="R96" s="3">
        <f>IF(AND($K96=1,AND(对接源_01水果!$X96="公司筐",N(对接源_01水果!$U96)&lt;&gt;0)),1,0)</f>
        <v>0</v>
      </c>
      <c r="S96" s="3">
        <f t="shared" si="23"/>
        <v>0</v>
      </c>
      <c r="T96" s="3">
        <f>IF(AND($K96=1,AND(对接源_01水果!$X96="公司筐",N(对接源_01水果!$V96)&lt;&gt;0)),1,0)</f>
        <v>0</v>
      </c>
      <c r="U96" s="3">
        <f t="shared" si="24"/>
        <v>0</v>
      </c>
      <c r="V96" s="3">
        <f>IF(AND($L96=1,AND(对接源_01水果!$X96="自备筐",N(对接源_01水果!$V96)&lt;&gt;0)),1,0)</f>
        <v>0</v>
      </c>
      <c r="W96" s="3">
        <f t="shared" si="25"/>
        <v>0</v>
      </c>
      <c r="X96" s="3">
        <f>IF(AND($L96=1,AND(对接源_01水果!$X96="自备筐",N(对接源_01水果!$T96)&lt;&gt;0)),1,0)</f>
        <v>0</v>
      </c>
      <c r="Y96" s="3">
        <f t="shared" si="26"/>
        <v>0</v>
      </c>
      <c r="Z96" s="3">
        <f>IF(AND($M96=1,对接源_01水果!$D96="原料入库"),1,0)</f>
        <v>0</v>
      </c>
      <c r="AA96" s="3">
        <f t="shared" si="27"/>
        <v>0</v>
      </c>
      <c r="AB96" s="3">
        <f>IF(AND($M96=1,LEFT(对接源_01水果!$D96,4)="原料出库"),1,0)</f>
        <v>0</v>
      </c>
      <c r="AC96" s="3">
        <f t="shared" si="28"/>
        <v>0</v>
      </c>
      <c r="AD96" s="3">
        <f>IF(AND($M96=1,LEFT(对接源_01水果!$D96,4)="成品出库"),1,0)</f>
        <v>0</v>
      </c>
      <c r="AE96" s="3">
        <f t="shared" si="29"/>
        <v>0</v>
      </c>
      <c r="AF96" s="3">
        <f>IF(AND($N96=1,AND(LEFT(对接源_01水果!$D96,4)="包装物料",N(对接源_01水果!$K96)&lt;&gt;0)),1,0)</f>
        <v>0</v>
      </c>
      <c r="AG96" s="3">
        <f t="shared" si="30"/>
        <v>0</v>
      </c>
      <c r="AH96" s="3">
        <f>IF(AND($N96=1,AND(对接源_01水果!$D96="周转筐－销售出库",N(对接源_01水果!$K96)&lt;&gt;0)),1,0)</f>
        <v>0</v>
      </c>
      <c r="AI96" s="3">
        <f t="shared" si="31"/>
        <v>0</v>
      </c>
      <c r="AJ96" s="7"/>
      <c r="AL96" s="3">
        <f>IF(OR($AL$1="",对接源_01水果!$Y96="",对接源_01水果!$Y96&lt;&gt;$AL$1,对接源_01水果!$B96="",N(对接源_01水果!$AJ96)&lt;=0),0,IF(OR(N(对接源_01水果!$B96)&lt;$AL$2,N(对接源_01水果!$B96)&gt;$AL$3),0,1))</f>
        <v>0</v>
      </c>
      <c r="AM96" s="3">
        <f t="shared" si="32"/>
        <v>0</v>
      </c>
      <c r="AN96" s="3" t="str">
        <f>IF(对接源_01水果!$AC96="","",对接源_01水果!$AC96)</f>
        <v/>
      </c>
      <c r="AO96" s="3">
        <f t="shared" si="33"/>
        <v>0</v>
      </c>
      <c r="AP96" s="3">
        <f t="shared" si="34"/>
        <v>0</v>
      </c>
      <c r="AQ96" s="3" t="str">
        <f t="shared" si="35"/>
        <v/>
      </c>
      <c r="AR96">
        <f t="shared" si="36"/>
        <v>0</v>
      </c>
      <c r="AS96">
        <f t="shared" si="37"/>
        <v>0</v>
      </c>
    </row>
    <row r="97" ht="14.25" customHeight="1" spans="1:45">
      <c r="A97" s="3" t="str">
        <f>IF(对接源_01水果!$C97="","",对接源_01水果!$C97)</f>
        <v>聂新平</v>
      </c>
      <c r="B97" s="3">
        <f t="shared" si="19"/>
        <v>0</v>
      </c>
      <c r="C97" s="3">
        <f t="shared" si="20"/>
        <v>4</v>
      </c>
      <c r="E97" s="3" t="str">
        <f t="shared" si="21"/>
        <v/>
      </c>
      <c r="K97" s="3">
        <f>IF(OR($K$1="",对接源_01水果!$C97="",对接源_01水果!$C97&lt;&gt;$K$1,对接源_01水果!$B97=""),0,IF(OR(N(对接源_01水果!$B97)&lt;$K$2,N(对接源_01水果!$B97)&gt;$K$3),0,1))</f>
        <v>0</v>
      </c>
      <c r="L97" s="3">
        <f>IF(OR($L$1="",对接源_01水果!$C97="",对接源_01水果!$C97&lt;&gt;$L$1,对接源_01水果!$B97=""),0,IF(OR(N(对接源_01水果!$B97)&lt;$L$2,N(对接源_01水果!$B97)&gt;$L$3),0,1))</f>
        <v>0</v>
      </c>
      <c r="M97" s="3">
        <f>IF(OR($M$1="",对接源_01水果!$C97="",对接源_01水果!$C97&lt;&gt;$M$1,对接源_01水果!$B97=""),0,IF(OR(N(对接源_01水果!$B97)&lt;$M$2,N(对接源_01水果!$B97)&gt;$M$3),0,1))</f>
        <v>0</v>
      </c>
      <c r="N97" s="3">
        <f>IF(OR($N$1="",对接源_01水果!$C97="",对接源_01水果!$C97&lt;&gt;$N$1,对接源_01水果!$B97=""),0,IF(OR(N(对接源_01水果!$B97)&lt;$N$2,N(对接源_01水果!$B97)&gt;$N$3),0,1))</f>
        <v>0</v>
      </c>
      <c r="P97" s="3">
        <f>IF(AND($K97=1,AND(对接源_01水果!$X97="公司筐",N(对接源_01水果!$T97)&lt;&gt;0)),1,0)</f>
        <v>0</v>
      </c>
      <c r="Q97" s="3">
        <f t="shared" si="22"/>
        <v>0</v>
      </c>
      <c r="R97" s="3">
        <f>IF(AND($K97=1,AND(对接源_01水果!$X97="公司筐",N(对接源_01水果!$U97)&lt;&gt;0)),1,0)</f>
        <v>0</v>
      </c>
      <c r="S97" s="3">
        <f t="shared" si="23"/>
        <v>0</v>
      </c>
      <c r="T97" s="3">
        <f>IF(AND($K97=1,AND(对接源_01水果!$X97="公司筐",N(对接源_01水果!$V97)&lt;&gt;0)),1,0)</f>
        <v>0</v>
      </c>
      <c r="U97" s="3">
        <f t="shared" si="24"/>
        <v>0</v>
      </c>
      <c r="V97" s="3">
        <f>IF(AND($L97=1,AND(对接源_01水果!$X97="自备筐",N(对接源_01水果!$V97)&lt;&gt;0)),1,0)</f>
        <v>0</v>
      </c>
      <c r="W97" s="3">
        <f t="shared" si="25"/>
        <v>0</v>
      </c>
      <c r="X97" s="3">
        <f>IF(AND($L97=1,AND(对接源_01水果!$X97="自备筐",N(对接源_01水果!$T97)&lt;&gt;0)),1,0)</f>
        <v>0</v>
      </c>
      <c r="Y97" s="3">
        <f t="shared" si="26"/>
        <v>0</v>
      </c>
      <c r="Z97" s="3">
        <f>IF(AND($M97=1,对接源_01水果!$D97="原料入库"),1,0)</f>
        <v>0</v>
      </c>
      <c r="AA97" s="3">
        <f t="shared" si="27"/>
        <v>0</v>
      </c>
      <c r="AB97" s="3">
        <f>IF(AND($M97=1,LEFT(对接源_01水果!$D97,4)="原料出库"),1,0)</f>
        <v>0</v>
      </c>
      <c r="AC97" s="3">
        <f t="shared" si="28"/>
        <v>0</v>
      </c>
      <c r="AD97" s="3">
        <f>IF(AND($M97=1,LEFT(对接源_01水果!$D97,4)="成品出库"),1,0)</f>
        <v>0</v>
      </c>
      <c r="AE97" s="3">
        <f t="shared" si="29"/>
        <v>0</v>
      </c>
      <c r="AF97" s="3">
        <f>IF(AND($N97=1,AND(LEFT(对接源_01水果!$D97,4)="包装物料",N(对接源_01水果!$K97)&lt;&gt;0)),1,0)</f>
        <v>0</v>
      </c>
      <c r="AG97" s="3">
        <f t="shared" si="30"/>
        <v>0</v>
      </c>
      <c r="AH97" s="3">
        <f>IF(AND($N97=1,AND(对接源_01水果!$D97="周转筐－销售出库",N(对接源_01水果!$K97)&lt;&gt;0)),1,0)</f>
        <v>0</v>
      </c>
      <c r="AI97" s="3">
        <f t="shared" si="31"/>
        <v>0</v>
      </c>
      <c r="AJ97" s="7"/>
      <c r="AL97" s="3">
        <f>IF(OR($AL$1="",对接源_01水果!$Y97="",对接源_01水果!$Y97&lt;&gt;$AL$1,对接源_01水果!$B97="",N(对接源_01水果!$AJ97)&lt;=0),0,IF(OR(N(对接源_01水果!$B97)&lt;$AL$2,N(对接源_01水果!$B97)&gt;$AL$3),0,1))</f>
        <v>0</v>
      </c>
      <c r="AM97" s="3">
        <f t="shared" si="32"/>
        <v>0</v>
      </c>
      <c r="AN97" s="3" t="str">
        <f>IF(对接源_01水果!$AC97="","",对接源_01水果!$AC97)</f>
        <v/>
      </c>
      <c r="AO97" s="3">
        <f t="shared" si="33"/>
        <v>0</v>
      </c>
      <c r="AP97" s="3">
        <f t="shared" si="34"/>
        <v>0</v>
      </c>
      <c r="AQ97" s="3" t="str">
        <f t="shared" si="35"/>
        <v/>
      </c>
      <c r="AR97">
        <f t="shared" si="36"/>
        <v>0</v>
      </c>
      <c r="AS97">
        <f t="shared" si="37"/>
        <v>0</v>
      </c>
    </row>
    <row r="98" ht="14.25" customHeight="1" spans="1:45">
      <c r="A98" s="3" t="str">
        <f>IF(对接源_01水果!$C98="","",对接源_01水果!$C98)</f>
        <v>聂新平</v>
      </c>
      <c r="B98" s="3">
        <f t="shared" si="19"/>
        <v>0</v>
      </c>
      <c r="C98" s="3">
        <f t="shared" si="20"/>
        <v>4</v>
      </c>
      <c r="E98" s="3" t="str">
        <f t="shared" si="21"/>
        <v/>
      </c>
      <c r="K98" s="3">
        <f>IF(OR($K$1="",对接源_01水果!$C98="",对接源_01水果!$C98&lt;&gt;$K$1,对接源_01水果!$B98=""),0,IF(OR(N(对接源_01水果!$B98)&lt;$K$2,N(对接源_01水果!$B98)&gt;$K$3),0,1))</f>
        <v>0</v>
      </c>
      <c r="L98" s="3">
        <f>IF(OR($L$1="",对接源_01水果!$C98="",对接源_01水果!$C98&lt;&gt;$L$1,对接源_01水果!$B98=""),0,IF(OR(N(对接源_01水果!$B98)&lt;$L$2,N(对接源_01水果!$B98)&gt;$L$3),0,1))</f>
        <v>0</v>
      </c>
      <c r="M98" s="3">
        <f>IF(OR($M$1="",对接源_01水果!$C98="",对接源_01水果!$C98&lt;&gt;$M$1,对接源_01水果!$B98=""),0,IF(OR(N(对接源_01水果!$B98)&lt;$M$2,N(对接源_01水果!$B98)&gt;$M$3),0,1))</f>
        <v>0</v>
      </c>
      <c r="N98" s="3">
        <f>IF(OR($N$1="",对接源_01水果!$C98="",对接源_01水果!$C98&lt;&gt;$N$1,对接源_01水果!$B98=""),0,IF(OR(N(对接源_01水果!$B98)&lt;$N$2,N(对接源_01水果!$B98)&gt;$N$3),0,1))</f>
        <v>0</v>
      </c>
      <c r="P98" s="3">
        <f>IF(AND($K98=1,AND(对接源_01水果!$X98="公司筐",N(对接源_01水果!$T98)&lt;&gt;0)),1,0)</f>
        <v>0</v>
      </c>
      <c r="Q98" s="3">
        <f t="shared" si="22"/>
        <v>0</v>
      </c>
      <c r="R98" s="3">
        <f>IF(AND($K98=1,AND(对接源_01水果!$X98="公司筐",N(对接源_01水果!$U98)&lt;&gt;0)),1,0)</f>
        <v>0</v>
      </c>
      <c r="S98" s="3">
        <f t="shared" si="23"/>
        <v>0</v>
      </c>
      <c r="T98" s="3">
        <f>IF(AND($K98=1,AND(对接源_01水果!$X98="公司筐",N(对接源_01水果!$V98)&lt;&gt;0)),1,0)</f>
        <v>0</v>
      </c>
      <c r="U98" s="3">
        <f t="shared" si="24"/>
        <v>0</v>
      </c>
      <c r="V98" s="3">
        <f>IF(AND($L98=1,AND(对接源_01水果!$X98="自备筐",N(对接源_01水果!$V98)&lt;&gt;0)),1,0)</f>
        <v>0</v>
      </c>
      <c r="W98" s="3">
        <f t="shared" si="25"/>
        <v>0</v>
      </c>
      <c r="X98" s="3">
        <f>IF(AND($L98=1,AND(对接源_01水果!$X98="自备筐",N(对接源_01水果!$T98)&lt;&gt;0)),1,0)</f>
        <v>0</v>
      </c>
      <c r="Y98" s="3">
        <f t="shared" si="26"/>
        <v>0</v>
      </c>
      <c r="Z98" s="3">
        <f>IF(AND($M98=1,对接源_01水果!$D98="原料入库"),1,0)</f>
        <v>0</v>
      </c>
      <c r="AA98" s="3">
        <f t="shared" si="27"/>
        <v>0</v>
      </c>
      <c r="AB98" s="3">
        <f>IF(AND($M98=1,LEFT(对接源_01水果!$D98,4)="原料出库"),1,0)</f>
        <v>0</v>
      </c>
      <c r="AC98" s="3">
        <f t="shared" si="28"/>
        <v>0</v>
      </c>
      <c r="AD98" s="3">
        <f>IF(AND($M98=1,LEFT(对接源_01水果!$D98,4)="成品出库"),1,0)</f>
        <v>0</v>
      </c>
      <c r="AE98" s="3">
        <f t="shared" si="29"/>
        <v>0</v>
      </c>
      <c r="AF98" s="3">
        <f>IF(AND($N98=1,AND(LEFT(对接源_01水果!$D98,4)="包装物料",N(对接源_01水果!$K98)&lt;&gt;0)),1,0)</f>
        <v>0</v>
      </c>
      <c r="AG98" s="3">
        <f t="shared" si="30"/>
        <v>0</v>
      </c>
      <c r="AH98" s="3">
        <f>IF(AND($N98=1,AND(对接源_01水果!$D98="周转筐－销售出库",N(对接源_01水果!$K98)&lt;&gt;0)),1,0)</f>
        <v>0</v>
      </c>
      <c r="AI98" s="3">
        <f t="shared" si="31"/>
        <v>0</v>
      </c>
      <c r="AJ98" s="7"/>
      <c r="AL98" s="3">
        <f>IF(OR($AL$1="",对接源_01水果!$Y98="",对接源_01水果!$Y98&lt;&gt;$AL$1,对接源_01水果!$B98="",N(对接源_01水果!$AJ98)&lt;=0),0,IF(OR(N(对接源_01水果!$B98)&lt;$AL$2,N(对接源_01水果!$B98)&gt;$AL$3),0,1))</f>
        <v>0</v>
      </c>
      <c r="AM98" s="3">
        <f t="shared" si="32"/>
        <v>0</v>
      </c>
      <c r="AN98" s="3" t="str">
        <f>IF(对接源_01水果!$AC98="","",对接源_01水果!$AC98)</f>
        <v/>
      </c>
      <c r="AO98" s="3">
        <f t="shared" si="33"/>
        <v>0</v>
      </c>
      <c r="AP98" s="3">
        <f t="shared" si="34"/>
        <v>0</v>
      </c>
      <c r="AQ98" s="3" t="str">
        <f t="shared" si="35"/>
        <v/>
      </c>
      <c r="AR98">
        <f t="shared" si="36"/>
        <v>0</v>
      </c>
      <c r="AS98">
        <f t="shared" si="37"/>
        <v>0</v>
      </c>
    </row>
    <row r="99" ht="14.25" customHeight="1" spans="1:45">
      <c r="A99" s="3" t="str">
        <f>IF(对接源_01水果!$C99="","",对接源_01水果!$C99)</f>
        <v>聂新平</v>
      </c>
      <c r="B99" s="3">
        <f t="shared" si="19"/>
        <v>0</v>
      </c>
      <c r="C99" s="3">
        <f t="shared" si="20"/>
        <v>4</v>
      </c>
      <c r="E99" s="3" t="str">
        <f t="shared" si="21"/>
        <v/>
      </c>
      <c r="K99" s="3">
        <f>IF(OR($K$1="",对接源_01水果!$C99="",对接源_01水果!$C99&lt;&gt;$K$1,对接源_01水果!$B99=""),0,IF(OR(N(对接源_01水果!$B99)&lt;$K$2,N(对接源_01水果!$B99)&gt;$K$3),0,1))</f>
        <v>0</v>
      </c>
      <c r="L99" s="3">
        <f>IF(OR($L$1="",对接源_01水果!$C99="",对接源_01水果!$C99&lt;&gt;$L$1,对接源_01水果!$B99=""),0,IF(OR(N(对接源_01水果!$B99)&lt;$L$2,N(对接源_01水果!$B99)&gt;$L$3),0,1))</f>
        <v>0</v>
      </c>
      <c r="M99" s="3">
        <f>IF(OR($M$1="",对接源_01水果!$C99="",对接源_01水果!$C99&lt;&gt;$M$1,对接源_01水果!$B99=""),0,IF(OR(N(对接源_01水果!$B99)&lt;$M$2,N(对接源_01水果!$B99)&gt;$M$3),0,1))</f>
        <v>0</v>
      </c>
      <c r="N99" s="3">
        <f>IF(OR($N$1="",对接源_01水果!$C99="",对接源_01水果!$C99&lt;&gt;$N$1,对接源_01水果!$B99=""),0,IF(OR(N(对接源_01水果!$B99)&lt;$N$2,N(对接源_01水果!$B99)&gt;$N$3),0,1))</f>
        <v>0</v>
      </c>
      <c r="P99" s="3">
        <f>IF(AND($K99=1,AND(对接源_01水果!$X99="公司筐",N(对接源_01水果!$T99)&lt;&gt;0)),1,0)</f>
        <v>0</v>
      </c>
      <c r="Q99" s="3">
        <f t="shared" si="22"/>
        <v>0</v>
      </c>
      <c r="R99" s="3">
        <f>IF(AND($K99=1,AND(对接源_01水果!$X99="公司筐",N(对接源_01水果!$U99)&lt;&gt;0)),1,0)</f>
        <v>0</v>
      </c>
      <c r="S99" s="3">
        <f t="shared" si="23"/>
        <v>0</v>
      </c>
      <c r="T99" s="3">
        <f>IF(AND($K99=1,AND(对接源_01水果!$X99="公司筐",N(对接源_01水果!$V99)&lt;&gt;0)),1,0)</f>
        <v>0</v>
      </c>
      <c r="U99" s="3">
        <f t="shared" si="24"/>
        <v>0</v>
      </c>
      <c r="V99" s="3">
        <f>IF(AND($L99=1,AND(对接源_01水果!$X99="自备筐",N(对接源_01水果!$V99)&lt;&gt;0)),1,0)</f>
        <v>0</v>
      </c>
      <c r="W99" s="3">
        <f t="shared" si="25"/>
        <v>0</v>
      </c>
      <c r="X99" s="3">
        <f>IF(AND($L99=1,AND(对接源_01水果!$X99="自备筐",N(对接源_01水果!$T99)&lt;&gt;0)),1,0)</f>
        <v>0</v>
      </c>
      <c r="Y99" s="3">
        <f t="shared" si="26"/>
        <v>0</v>
      </c>
      <c r="Z99" s="3">
        <f>IF(AND($M99=1,对接源_01水果!$D99="原料入库"),1,0)</f>
        <v>0</v>
      </c>
      <c r="AA99" s="3">
        <f t="shared" si="27"/>
        <v>0</v>
      </c>
      <c r="AB99" s="3">
        <f>IF(AND($M99=1,LEFT(对接源_01水果!$D99,4)="原料出库"),1,0)</f>
        <v>0</v>
      </c>
      <c r="AC99" s="3">
        <f t="shared" si="28"/>
        <v>0</v>
      </c>
      <c r="AD99" s="3">
        <f>IF(AND($M99=1,LEFT(对接源_01水果!$D99,4)="成品出库"),1,0)</f>
        <v>0</v>
      </c>
      <c r="AE99" s="3">
        <f t="shared" si="29"/>
        <v>0</v>
      </c>
      <c r="AF99" s="3">
        <f>IF(AND($N99=1,AND(LEFT(对接源_01水果!$D99,4)="包装物料",N(对接源_01水果!$K99)&lt;&gt;0)),1,0)</f>
        <v>0</v>
      </c>
      <c r="AG99" s="3">
        <f t="shared" si="30"/>
        <v>0</v>
      </c>
      <c r="AH99" s="3">
        <f>IF(AND($N99=1,AND(对接源_01水果!$D99="周转筐－销售出库",N(对接源_01水果!$K99)&lt;&gt;0)),1,0)</f>
        <v>0</v>
      </c>
      <c r="AI99" s="3">
        <f t="shared" si="31"/>
        <v>0</v>
      </c>
      <c r="AJ99" s="7"/>
      <c r="AL99" s="3">
        <f>IF(OR($AL$1="",对接源_01水果!$Y99="",对接源_01水果!$Y99&lt;&gt;$AL$1,对接源_01水果!$B99="",N(对接源_01水果!$AJ99)&lt;=0),0,IF(OR(N(对接源_01水果!$B99)&lt;$AL$2,N(对接源_01水果!$B99)&gt;$AL$3),0,1))</f>
        <v>0</v>
      </c>
      <c r="AM99" s="3">
        <f t="shared" si="32"/>
        <v>0</v>
      </c>
      <c r="AN99" s="3" t="str">
        <f>IF(对接源_01水果!$AC99="","",对接源_01水果!$AC99)</f>
        <v/>
      </c>
      <c r="AO99" s="3">
        <f t="shared" si="33"/>
        <v>0</v>
      </c>
      <c r="AP99" s="3">
        <f t="shared" si="34"/>
        <v>0</v>
      </c>
      <c r="AQ99" s="3" t="str">
        <f t="shared" si="35"/>
        <v/>
      </c>
      <c r="AR99">
        <f t="shared" si="36"/>
        <v>0</v>
      </c>
      <c r="AS99">
        <f t="shared" si="37"/>
        <v>0</v>
      </c>
    </row>
    <row r="100" ht="14.25" customHeight="1" spans="1:45">
      <c r="A100" s="3" t="str">
        <f>IF(对接源_01水果!$C100="","",对接源_01水果!$C100)</f>
        <v>聂新平</v>
      </c>
      <c r="B100" s="3">
        <f t="shared" si="19"/>
        <v>0</v>
      </c>
      <c r="C100" s="3">
        <f t="shared" si="20"/>
        <v>4</v>
      </c>
      <c r="E100" s="3" t="str">
        <f t="shared" si="21"/>
        <v/>
      </c>
      <c r="K100" s="3">
        <f>IF(OR($K$1="",对接源_01水果!$C100="",对接源_01水果!$C100&lt;&gt;$K$1,对接源_01水果!$B100=""),0,IF(OR(N(对接源_01水果!$B100)&lt;$K$2,N(对接源_01水果!$B100)&gt;$K$3),0,1))</f>
        <v>0</v>
      </c>
      <c r="L100" s="3">
        <f>IF(OR($L$1="",对接源_01水果!$C100="",对接源_01水果!$C100&lt;&gt;$L$1,对接源_01水果!$B100=""),0,IF(OR(N(对接源_01水果!$B100)&lt;$L$2,N(对接源_01水果!$B100)&gt;$L$3),0,1))</f>
        <v>0</v>
      </c>
      <c r="M100" s="3">
        <f>IF(OR($M$1="",对接源_01水果!$C100="",对接源_01水果!$C100&lt;&gt;$M$1,对接源_01水果!$B100=""),0,IF(OR(N(对接源_01水果!$B100)&lt;$M$2,N(对接源_01水果!$B100)&gt;$M$3),0,1))</f>
        <v>0</v>
      </c>
      <c r="N100" s="3">
        <f>IF(OR($N$1="",对接源_01水果!$C100="",对接源_01水果!$C100&lt;&gt;$N$1,对接源_01水果!$B100=""),0,IF(OR(N(对接源_01水果!$B100)&lt;$N$2,N(对接源_01水果!$B100)&gt;$N$3),0,1))</f>
        <v>0</v>
      </c>
      <c r="P100" s="3">
        <f>IF(AND($K100=1,AND(对接源_01水果!$X100="公司筐",N(对接源_01水果!$T100)&lt;&gt;0)),1,0)</f>
        <v>0</v>
      </c>
      <c r="Q100" s="3">
        <f t="shared" si="22"/>
        <v>0</v>
      </c>
      <c r="R100" s="3">
        <f>IF(AND($K100=1,AND(对接源_01水果!$X100="公司筐",N(对接源_01水果!$U100)&lt;&gt;0)),1,0)</f>
        <v>0</v>
      </c>
      <c r="S100" s="3">
        <f t="shared" si="23"/>
        <v>0</v>
      </c>
      <c r="T100" s="3">
        <f>IF(AND($K100=1,AND(对接源_01水果!$X100="公司筐",N(对接源_01水果!$V100)&lt;&gt;0)),1,0)</f>
        <v>0</v>
      </c>
      <c r="U100" s="3">
        <f t="shared" si="24"/>
        <v>0</v>
      </c>
      <c r="V100" s="3">
        <f>IF(AND($L100=1,AND(对接源_01水果!$X100="自备筐",N(对接源_01水果!$V100)&lt;&gt;0)),1,0)</f>
        <v>0</v>
      </c>
      <c r="W100" s="3">
        <f t="shared" si="25"/>
        <v>0</v>
      </c>
      <c r="X100" s="3">
        <f>IF(AND($L100=1,AND(对接源_01水果!$X100="自备筐",N(对接源_01水果!$T100)&lt;&gt;0)),1,0)</f>
        <v>0</v>
      </c>
      <c r="Y100" s="3">
        <f t="shared" si="26"/>
        <v>0</v>
      </c>
      <c r="Z100" s="3">
        <f>IF(AND($M100=1,对接源_01水果!$D100="原料入库"),1,0)</f>
        <v>0</v>
      </c>
      <c r="AA100" s="3">
        <f t="shared" si="27"/>
        <v>0</v>
      </c>
      <c r="AB100" s="3">
        <f>IF(AND($M100=1,LEFT(对接源_01水果!$D100,4)="原料出库"),1,0)</f>
        <v>0</v>
      </c>
      <c r="AC100" s="3">
        <f t="shared" si="28"/>
        <v>0</v>
      </c>
      <c r="AD100" s="3">
        <f>IF(AND($M100=1,LEFT(对接源_01水果!$D100,4)="成品出库"),1,0)</f>
        <v>0</v>
      </c>
      <c r="AE100" s="3">
        <f t="shared" si="29"/>
        <v>0</v>
      </c>
      <c r="AF100" s="3">
        <f>IF(AND($N100=1,AND(LEFT(对接源_01水果!$D100,4)="包装物料",N(对接源_01水果!$K100)&lt;&gt;0)),1,0)</f>
        <v>0</v>
      </c>
      <c r="AG100" s="3">
        <f t="shared" si="30"/>
        <v>0</v>
      </c>
      <c r="AH100" s="3">
        <f>IF(AND($N100=1,AND(对接源_01水果!$D100="周转筐－销售出库",N(对接源_01水果!$K100)&lt;&gt;0)),1,0)</f>
        <v>0</v>
      </c>
      <c r="AI100" s="3">
        <f t="shared" si="31"/>
        <v>0</v>
      </c>
      <c r="AJ100" s="7"/>
      <c r="AL100" s="3">
        <f>IF(OR($AL$1="",对接源_01水果!$Y100="",对接源_01水果!$Y100&lt;&gt;$AL$1,对接源_01水果!$B100="",N(对接源_01水果!$AJ100)&lt;=0),0,IF(OR(N(对接源_01水果!$B100)&lt;$AL$2,N(对接源_01水果!$B100)&gt;$AL$3),0,1))</f>
        <v>0</v>
      </c>
      <c r="AM100" s="3">
        <f t="shared" si="32"/>
        <v>0</v>
      </c>
      <c r="AN100" s="3" t="str">
        <f>IF(对接源_01水果!$AC100="","",对接源_01水果!$AC100)</f>
        <v/>
      </c>
      <c r="AO100" s="3">
        <f t="shared" si="33"/>
        <v>0</v>
      </c>
      <c r="AP100" s="3">
        <f t="shared" si="34"/>
        <v>0</v>
      </c>
      <c r="AQ100" s="3" t="str">
        <f t="shared" si="35"/>
        <v/>
      </c>
      <c r="AR100">
        <f t="shared" si="36"/>
        <v>0</v>
      </c>
      <c r="AS100">
        <f t="shared" si="37"/>
        <v>0</v>
      </c>
    </row>
    <row r="101" ht="14.25" customHeight="1" spans="1:45">
      <c r="A101" s="3" t="str">
        <f>IF(对接源_01水果!$C101="","",对接源_01水果!$C101)</f>
        <v>聂新平</v>
      </c>
      <c r="B101" s="3">
        <f t="shared" si="19"/>
        <v>0</v>
      </c>
      <c r="C101" s="3">
        <f t="shared" si="20"/>
        <v>4</v>
      </c>
      <c r="E101" s="3" t="str">
        <f t="shared" si="21"/>
        <v/>
      </c>
      <c r="K101" s="3">
        <f>IF(OR($K$1="",对接源_01水果!$C101="",对接源_01水果!$C101&lt;&gt;$K$1,对接源_01水果!$B101=""),0,IF(OR(N(对接源_01水果!$B101)&lt;$K$2,N(对接源_01水果!$B101)&gt;$K$3),0,1))</f>
        <v>0</v>
      </c>
      <c r="L101" s="3">
        <f>IF(OR($L$1="",对接源_01水果!$C101="",对接源_01水果!$C101&lt;&gt;$L$1,对接源_01水果!$B101=""),0,IF(OR(N(对接源_01水果!$B101)&lt;$L$2,N(对接源_01水果!$B101)&gt;$L$3),0,1))</f>
        <v>0</v>
      </c>
      <c r="M101" s="3">
        <f>IF(OR($M$1="",对接源_01水果!$C101="",对接源_01水果!$C101&lt;&gt;$M$1,对接源_01水果!$B101=""),0,IF(OR(N(对接源_01水果!$B101)&lt;$M$2,N(对接源_01水果!$B101)&gt;$M$3),0,1))</f>
        <v>0</v>
      </c>
      <c r="N101" s="3">
        <f>IF(OR($N$1="",对接源_01水果!$C101="",对接源_01水果!$C101&lt;&gt;$N$1,对接源_01水果!$B101=""),0,IF(OR(N(对接源_01水果!$B101)&lt;$N$2,N(对接源_01水果!$B101)&gt;$N$3),0,1))</f>
        <v>0</v>
      </c>
      <c r="P101" s="3">
        <f>IF(AND($K101=1,AND(对接源_01水果!$X101="公司筐",N(对接源_01水果!$T101)&lt;&gt;0)),1,0)</f>
        <v>0</v>
      </c>
      <c r="Q101" s="3">
        <f t="shared" si="22"/>
        <v>0</v>
      </c>
      <c r="R101" s="3">
        <f>IF(AND($K101=1,AND(对接源_01水果!$X101="公司筐",N(对接源_01水果!$U101)&lt;&gt;0)),1,0)</f>
        <v>0</v>
      </c>
      <c r="S101" s="3">
        <f t="shared" si="23"/>
        <v>0</v>
      </c>
      <c r="T101" s="3">
        <f>IF(AND($K101=1,AND(对接源_01水果!$X101="公司筐",N(对接源_01水果!$V101)&lt;&gt;0)),1,0)</f>
        <v>0</v>
      </c>
      <c r="U101" s="3">
        <f t="shared" si="24"/>
        <v>0</v>
      </c>
      <c r="V101" s="3">
        <f>IF(AND($L101=1,AND(对接源_01水果!$X101="自备筐",N(对接源_01水果!$V101)&lt;&gt;0)),1,0)</f>
        <v>0</v>
      </c>
      <c r="W101" s="3">
        <f t="shared" si="25"/>
        <v>0</v>
      </c>
      <c r="X101" s="3">
        <f>IF(AND($L101=1,AND(对接源_01水果!$X101="自备筐",N(对接源_01水果!$T101)&lt;&gt;0)),1,0)</f>
        <v>0</v>
      </c>
      <c r="Y101" s="3">
        <f t="shared" si="26"/>
        <v>0</v>
      </c>
      <c r="Z101" s="3">
        <f>IF(AND($M101=1,对接源_01水果!$D101="原料入库"),1,0)</f>
        <v>0</v>
      </c>
      <c r="AA101" s="3">
        <f t="shared" si="27"/>
        <v>0</v>
      </c>
      <c r="AB101" s="3">
        <f>IF(AND($M101=1,LEFT(对接源_01水果!$D101,4)="原料出库"),1,0)</f>
        <v>0</v>
      </c>
      <c r="AC101" s="3">
        <f t="shared" si="28"/>
        <v>0</v>
      </c>
      <c r="AD101" s="3">
        <f>IF(AND($M101=1,LEFT(对接源_01水果!$D101,4)="成品出库"),1,0)</f>
        <v>0</v>
      </c>
      <c r="AE101" s="3">
        <f t="shared" si="29"/>
        <v>0</v>
      </c>
      <c r="AF101" s="3">
        <f>IF(AND($N101=1,AND(LEFT(对接源_01水果!$D101,4)="包装物料",N(对接源_01水果!$K101)&lt;&gt;0)),1,0)</f>
        <v>0</v>
      </c>
      <c r="AG101" s="3">
        <f t="shared" si="30"/>
        <v>0</v>
      </c>
      <c r="AH101" s="3">
        <f>IF(AND($N101=1,AND(对接源_01水果!$D101="周转筐－销售出库",N(对接源_01水果!$K101)&lt;&gt;0)),1,0)</f>
        <v>0</v>
      </c>
      <c r="AI101" s="3">
        <f t="shared" si="31"/>
        <v>0</v>
      </c>
      <c r="AJ101" s="7"/>
      <c r="AL101" s="3">
        <f>IF(OR($AL$1="",对接源_01水果!$Y101="",对接源_01水果!$Y101&lt;&gt;$AL$1,对接源_01水果!$B101="",N(对接源_01水果!$AJ101)&lt;=0),0,IF(OR(N(对接源_01水果!$B101)&lt;$AL$2,N(对接源_01水果!$B101)&gt;$AL$3),0,1))</f>
        <v>0</v>
      </c>
      <c r="AM101" s="3">
        <f t="shared" si="32"/>
        <v>0</v>
      </c>
      <c r="AN101" s="3" t="str">
        <f>IF(对接源_01水果!$AC101="","",对接源_01水果!$AC101)</f>
        <v/>
      </c>
      <c r="AO101" s="3">
        <f t="shared" si="33"/>
        <v>0</v>
      </c>
      <c r="AP101" s="3">
        <f t="shared" si="34"/>
        <v>0</v>
      </c>
      <c r="AQ101" s="3" t="str">
        <f t="shared" si="35"/>
        <v/>
      </c>
      <c r="AR101">
        <f t="shared" si="36"/>
        <v>0</v>
      </c>
      <c r="AS101">
        <f t="shared" si="37"/>
        <v>0</v>
      </c>
    </row>
    <row r="102" ht="14.25" customHeight="1" spans="1:45">
      <c r="A102" s="3" t="str">
        <f>IF(对接源_01水果!$C102="","",对接源_01水果!$C102)</f>
        <v>聂新平</v>
      </c>
      <c r="B102" s="3">
        <f t="shared" si="19"/>
        <v>0</v>
      </c>
      <c r="C102" s="3">
        <f t="shared" si="20"/>
        <v>4</v>
      </c>
      <c r="E102" s="3" t="str">
        <f t="shared" si="21"/>
        <v/>
      </c>
      <c r="K102" s="3">
        <f>IF(OR($K$1="",对接源_01水果!$C102="",对接源_01水果!$C102&lt;&gt;$K$1,对接源_01水果!$B102=""),0,IF(OR(N(对接源_01水果!$B102)&lt;$K$2,N(对接源_01水果!$B102)&gt;$K$3),0,1))</f>
        <v>0</v>
      </c>
      <c r="L102" s="3">
        <f>IF(OR($L$1="",对接源_01水果!$C102="",对接源_01水果!$C102&lt;&gt;$L$1,对接源_01水果!$B102=""),0,IF(OR(N(对接源_01水果!$B102)&lt;$L$2,N(对接源_01水果!$B102)&gt;$L$3),0,1))</f>
        <v>0</v>
      </c>
      <c r="M102" s="3">
        <f>IF(OR($M$1="",对接源_01水果!$C102="",对接源_01水果!$C102&lt;&gt;$M$1,对接源_01水果!$B102=""),0,IF(OR(N(对接源_01水果!$B102)&lt;$M$2,N(对接源_01水果!$B102)&gt;$M$3),0,1))</f>
        <v>0</v>
      </c>
      <c r="N102" s="3">
        <f>IF(OR($N$1="",对接源_01水果!$C102="",对接源_01水果!$C102&lt;&gt;$N$1,对接源_01水果!$B102=""),0,IF(OR(N(对接源_01水果!$B102)&lt;$N$2,N(对接源_01水果!$B102)&gt;$N$3),0,1))</f>
        <v>0</v>
      </c>
      <c r="P102" s="3">
        <f>IF(AND($K102=1,AND(对接源_01水果!$X102="公司筐",N(对接源_01水果!$T102)&lt;&gt;0)),1,0)</f>
        <v>0</v>
      </c>
      <c r="Q102" s="3">
        <f t="shared" si="22"/>
        <v>0</v>
      </c>
      <c r="R102" s="3">
        <f>IF(AND($K102=1,AND(对接源_01水果!$X102="公司筐",N(对接源_01水果!$U102)&lt;&gt;0)),1,0)</f>
        <v>0</v>
      </c>
      <c r="S102" s="3">
        <f t="shared" si="23"/>
        <v>0</v>
      </c>
      <c r="T102" s="3">
        <f>IF(AND($K102=1,AND(对接源_01水果!$X102="公司筐",N(对接源_01水果!$V102)&lt;&gt;0)),1,0)</f>
        <v>0</v>
      </c>
      <c r="U102" s="3">
        <f t="shared" si="24"/>
        <v>0</v>
      </c>
      <c r="V102" s="3">
        <f>IF(AND($L102=1,AND(对接源_01水果!$X102="自备筐",N(对接源_01水果!$V102)&lt;&gt;0)),1,0)</f>
        <v>0</v>
      </c>
      <c r="W102" s="3">
        <f t="shared" si="25"/>
        <v>0</v>
      </c>
      <c r="X102" s="3">
        <f>IF(AND($L102=1,AND(对接源_01水果!$X102="自备筐",N(对接源_01水果!$T102)&lt;&gt;0)),1,0)</f>
        <v>0</v>
      </c>
      <c r="Y102" s="3">
        <f t="shared" si="26"/>
        <v>0</v>
      </c>
      <c r="Z102" s="3">
        <f>IF(AND($M102=1,对接源_01水果!$D102="原料入库"),1,0)</f>
        <v>0</v>
      </c>
      <c r="AA102" s="3">
        <f t="shared" si="27"/>
        <v>0</v>
      </c>
      <c r="AB102" s="3">
        <f>IF(AND($M102=1,LEFT(对接源_01水果!$D102,4)="原料出库"),1,0)</f>
        <v>0</v>
      </c>
      <c r="AC102" s="3">
        <f t="shared" si="28"/>
        <v>0</v>
      </c>
      <c r="AD102" s="3">
        <f>IF(AND($M102=1,LEFT(对接源_01水果!$D102,4)="成品出库"),1,0)</f>
        <v>0</v>
      </c>
      <c r="AE102" s="3">
        <f t="shared" si="29"/>
        <v>0</v>
      </c>
      <c r="AF102" s="3">
        <f>IF(AND($N102=1,AND(LEFT(对接源_01水果!$D102,4)="包装物料",N(对接源_01水果!$K102)&lt;&gt;0)),1,0)</f>
        <v>0</v>
      </c>
      <c r="AG102" s="3">
        <f t="shared" si="30"/>
        <v>0</v>
      </c>
      <c r="AH102" s="3">
        <f>IF(AND($N102=1,AND(对接源_01水果!$D102="周转筐－销售出库",N(对接源_01水果!$K102)&lt;&gt;0)),1,0)</f>
        <v>0</v>
      </c>
      <c r="AI102" s="3">
        <f t="shared" si="31"/>
        <v>0</v>
      </c>
      <c r="AJ102" s="7"/>
      <c r="AL102" s="3">
        <f>IF(OR($AL$1="",对接源_01水果!$Y102="",对接源_01水果!$Y102&lt;&gt;$AL$1,对接源_01水果!$B102="",N(对接源_01水果!$AJ102)&lt;=0),0,IF(OR(N(对接源_01水果!$B102)&lt;$AL$2,N(对接源_01水果!$B102)&gt;$AL$3),0,1))</f>
        <v>0</v>
      </c>
      <c r="AM102" s="3">
        <f t="shared" si="32"/>
        <v>0</v>
      </c>
      <c r="AN102" s="3" t="str">
        <f>IF(对接源_01水果!$AC102="","",对接源_01水果!$AC102)</f>
        <v/>
      </c>
      <c r="AO102" s="3">
        <f t="shared" si="33"/>
        <v>0</v>
      </c>
      <c r="AP102" s="3">
        <f t="shared" si="34"/>
        <v>0</v>
      </c>
      <c r="AQ102" s="3" t="str">
        <f t="shared" si="35"/>
        <v/>
      </c>
      <c r="AR102">
        <f t="shared" si="36"/>
        <v>0</v>
      </c>
      <c r="AS102">
        <f t="shared" si="37"/>
        <v>0</v>
      </c>
    </row>
    <row r="103" ht="14.25" customHeight="1" spans="1:45">
      <c r="A103" s="3" t="str">
        <f>IF(对接源_01水果!$C103="","",对接源_01水果!$C103)</f>
        <v>聂新平</v>
      </c>
      <c r="B103" s="3">
        <f t="shared" si="19"/>
        <v>0</v>
      </c>
      <c r="C103" s="3">
        <f t="shared" si="20"/>
        <v>4</v>
      </c>
      <c r="E103" s="3" t="str">
        <f t="shared" si="21"/>
        <v/>
      </c>
      <c r="K103" s="3">
        <f>IF(OR($K$1="",对接源_01水果!$C103="",对接源_01水果!$C103&lt;&gt;$K$1,对接源_01水果!$B103=""),0,IF(OR(N(对接源_01水果!$B103)&lt;$K$2,N(对接源_01水果!$B103)&gt;$K$3),0,1))</f>
        <v>0</v>
      </c>
      <c r="L103" s="3">
        <f>IF(OR($L$1="",对接源_01水果!$C103="",对接源_01水果!$C103&lt;&gt;$L$1,对接源_01水果!$B103=""),0,IF(OR(N(对接源_01水果!$B103)&lt;$L$2,N(对接源_01水果!$B103)&gt;$L$3),0,1))</f>
        <v>0</v>
      </c>
      <c r="M103" s="3">
        <f>IF(OR($M$1="",对接源_01水果!$C103="",对接源_01水果!$C103&lt;&gt;$M$1,对接源_01水果!$B103=""),0,IF(OR(N(对接源_01水果!$B103)&lt;$M$2,N(对接源_01水果!$B103)&gt;$M$3),0,1))</f>
        <v>0</v>
      </c>
      <c r="N103" s="3">
        <f>IF(OR($N$1="",对接源_01水果!$C103="",对接源_01水果!$C103&lt;&gt;$N$1,对接源_01水果!$B103=""),0,IF(OR(N(对接源_01水果!$B103)&lt;$N$2,N(对接源_01水果!$B103)&gt;$N$3),0,1))</f>
        <v>0</v>
      </c>
      <c r="P103" s="3">
        <f>IF(AND($K103=1,AND(对接源_01水果!$X103="公司筐",N(对接源_01水果!$T103)&lt;&gt;0)),1,0)</f>
        <v>0</v>
      </c>
      <c r="Q103" s="3">
        <f t="shared" si="22"/>
        <v>0</v>
      </c>
      <c r="R103" s="3">
        <f>IF(AND($K103=1,AND(对接源_01水果!$X103="公司筐",N(对接源_01水果!$U103)&lt;&gt;0)),1,0)</f>
        <v>0</v>
      </c>
      <c r="S103" s="3">
        <f t="shared" si="23"/>
        <v>0</v>
      </c>
      <c r="T103" s="3">
        <f>IF(AND($K103=1,AND(对接源_01水果!$X103="公司筐",N(对接源_01水果!$V103)&lt;&gt;0)),1,0)</f>
        <v>0</v>
      </c>
      <c r="U103" s="3">
        <f t="shared" si="24"/>
        <v>0</v>
      </c>
      <c r="V103" s="3">
        <f>IF(AND($L103=1,AND(对接源_01水果!$X103="自备筐",N(对接源_01水果!$V103)&lt;&gt;0)),1,0)</f>
        <v>0</v>
      </c>
      <c r="W103" s="3">
        <f t="shared" si="25"/>
        <v>0</v>
      </c>
      <c r="X103" s="3">
        <f>IF(AND($L103=1,AND(对接源_01水果!$X103="自备筐",N(对接源_01水果!$T103)&lt;&gt;0)),1,0)</f>
        <v>0</v>
      </c>
      <c r="Y103" s="3">
        <f t="shared" si="26"/>
        <v>0</v>
      </c>
      <c r="Z103" s="3">
        <f>IF(AND($M103=1,对接源_01水果!$D103="原料入库"),1,0)</f>
        <v>0</v>
      </c>
      <c r="AA103" s="3">
        <f t="shared" si="27"/>
        <v>0</v>
      </c>
      <c r="AB103" s="3">
        <f>IF(AND($M103=1,LEFT(对接源_01水果!$D103,4)="原料出库"),1,0)</f>
        <v>0</v>
      </c>
      <c r="AC103" s="3">
        <f t="shared" si="28"/>
        <v>0</v>
      </c>
      <c r="AD103" s="3">
        <f>IF(AND($M103=1,LEFT(对接源_01水果!$D103,4)="成品出库"),1,0)</f>
        <v>0</v>
      </c>
      <c r="AE103" s="3">
        <f t="shared" si="29"/>
        <v>0</v>
      </c>
      <c r="AF103" s="3">
        <f>IF(AND($N103=1,AND(LEFT(对接源_01水果!$D103,4)="包装物料",N(对接源_01水果!$K103)&lt;&gt;0)),1,0)</f>
        <v>0</v>
      </c>
      <c r="AG103" s="3">
        <f t="shared" si="30"/>
        <v>0</v>
      </c>
      <c r="AH103" s="3">
        <f>IF(AND($N103=1,AND(对接源_01水果!$D103="周转筐－销售出库",N(对接源_01水果!$K103)&lt;&gt;0)),1,0)</f>
        <v>0</v>
      </c>
      <c r="AI103" s="3">
        <f t="shared" si="31"/>
        <v>0</v>
      </c>
      <c r="AJ103" s="7"/>
      <c r="AL103" s="3">
        <f>IF(OR($AL$1="",对接源_01水果!$Y103="",对接源_01水果!$Y103&lt;&gt;$AL$1,对接源_01水果!$B103="",N(对接源_01水果!$AJ103)&lt;=0),0,IF(OR(N(对接源_01水果!$B103)&lt;$AL$2,N(对接源_01水果!$B103)&gt;$AL$3),0,1))</f>
        <v>0</v>
      </c>
      <c r="AM103" s="3">
        <f t="shared" si="32"/>
        <v>0</v>
      </c>
      <c r="AN103" s="3" t="str">
        <f>IF(对接源_01水果!$AC103="","",对接源_01水果!$AC103)</f>
        <v/>
      </c>
      <c r="AO103" s="3">
        <f t="shared" si="33"/>
        <v>0</v>
      </c>
      <c r="AP103" s="3">
        <f t="shared" si="34"/>
        <v>0</v>
      </c>
      <c r="AQ103" s="3" t="str">
        <f t="shared" si="35"/>
        <v/>
      </c>
      <c r="AR103">
        <f t="shared" si="36"/>
        <v>0</v>
      </c>
      <c r="AS103">
        <f t="shared" si="37"/>
        <v>0</v>
      </c>
    </row>
    <row r="104" ht="14.25" customHeight="1" spans="1:45">
      <c r="A104" s="3" t="str">
        <f>IF(对接源_01水果!$C104="","",对接源_01水果!$C104)</f>
        <v>聂新平</v>
      </c>
      <c r="B104" s="3">
        <f t="shared" si="19"/>
        <v>0</v>
      </c>
      <c r="C104" s="3">
        <f t="shared" si="20"/>
        <v>4</v>
      </c>
      <c r="E104" s="3" t="str">
        <f t="shared" si="21"/>
        <v/>
      </c>
      <c r="K104" s="3">
        <f>IF(OR($K$1="",对接源_01水果!$C104="",对接源_01水果!$C104&lt;&gt;$K$1,对接源_01水果!$B104=""),0,IF(OR(N(对接源_01水果!$B104)&lt;$K$2,N(对接源_01水果!$B104)&gt;$K$3),0,1))</f>
        <v>0</v>
      </c>
      <c r="L104" s="3">
        <f>IF(OR($L$1="",对接源_01水果!$C104="",对接源_01水果!$C104&lt;&gt;$L$1,对接源_01水果!$B104=""),0,IF(OR(N(对接源_01水果!$B104)&lt;$L$2,N(对接源_01水果!$B104)&gt;$L$3),0,1))</f>
        <v>0</v>
      </c>
      <c r="M104" s="3">
        <f>IF(OR($M$1="",对接源_01水果!$C104="",对接源_01水果!$C104&lt;&gt;$M$1,对接源_01水果!$B104=""),0,IF(OR(N(对接源_01水果!$B104)&lt;$M$2,N(对接源_01水果!$B104)&gt;$M$3),0,1))</f>
        <v>0</v>
      </c>
      <c r="N104" s="3">
        <f>IF(OR($N$1="",对接源_01水果!$C104="",对接源_01水果!$C104&lt;&gt;$N$1,对接源_01水果!$B104=""),0,IF(OR(N(对接源_01水果!$B104)&lt;$N$2,N(对接源_01水果!$B104)&gt;$N$3),0,1))</f>
        <v>0</v>
      </c>
      <c r="P104" s="3">
        <f>IF(AND($K104=1,AND(对接源_01水果!$X104="公司筐",N(对接源_01水果!$T104)&lt;&gt;0)),1,0)</f>
        <v>0</v>
      </c>
      <c r="Q104" s="3">
        <f t="shared" si="22"/>
        <v>0</v>
      </c>
      <c r="R104" s="3">
        <f>IF(AND($K104=1,AND(对接源_01水果!$X104="公司筐",N(对接源_01水果!$U104)&lt;&gt;0)),1,0)</f>
        <v>0</v>
      </c>
      <c r="S104" s="3">
        <f t="shared" si="23"/>
        <v>0</v>
      </c>
      <c r="T104" s="3">
        <f>IF(AND($K104=1,AND(对接源_01水果!$X104="公司筐",N(对接源_01水果!$V104)&lt;&gt;0)),1,0)</f>
        <v>0</v>
      </c>
      <c r="U104" s="3">
        <f t="shared" si="24"/>
        <v>0</v>
      </c>
      <c r="V104" s="3">
        <f>IF(AND($L104=1,AND(对接源_01水果!$X104="自备筐",N(对接源_01水果!$V104)&lt;&gt;0)),1,0)</f>
        <v>0</v>
      </c>
      <c r="W104" s="3">
        <f t="shared" si="25"/>
        <v>0</v>
      </c>
      <c r="X104" s="3">
        <f>IF(AND($L104=1,AND(对接源_01水果!$X104="自备筐",N(对接源_01水果!$T104)&lt;&gt;0)),1,0)</f>
        <v>0</v>
      </c>
      <c r="Y104" s="3">
        <f t="shared" si="26"/>
        <v>0</v>
      </c>
      <c r="Z104" s="3">
        <f>IF(AND($M104=1,对接源_01水果!$D104="原料入库"),1,0)</f>
        <v>0</v>
      </c>
      <c r="AA104" s="3">
        <f t="shared" si="27"/>
        <v>0</v>
      </c>
      <c r="AB104" s="3">
        <f>IF(AND($M104=1,LEFT(对接源_01水果!$D104,4)="原料出库"),1,0)</f>
        <v>0</v>
      </c>
      <c r="AC104" s="3">
        <f t="shared" si="28"/>
        <v>0</v>
      </c>
      <c r="AD104" s="3">
        <f>IF(AND($M104=1,LEFT(对接源_01水果!$D104,4)="成品出库"),1,0)</f>
        <v>0</v>
      </c>
      <c r="AE104" s="3">
        <f t="shared" si="29"/>
        <v>0</v>
      </c>
      <c r="AF104" s="3">
        <f>IF(AND($N104=1,AND(LEFT(对接源_01水果!$D104,4)="包装物料",N(对接源_01水果!$K104)&lt;&gt;0)),1,0)</f>
        <v>0</v>
      </c>
      <c r="AG104" s="3">
        <f t="shared" si="30"/>
        <v>0</v>
      </c>
      <c r="AH104" s="3">
        <f>IF(AND($N104=1,AND(对接源_01水果!$D104="周转筐－销售出库",N(对接源_01水果!$K104)&lt;&gt;0)),1,0)</f>
        <v>0</v>
      </c>
      <c r="AI104" s="3">
        <f t="shared" si="31"/>
        <v>0</v>
      </c>
      <c r="AJ104" s="7"/>
      <c r="AL104" s="3">
        <f>IF(OR($AL$1="",对接源_01水果!$Y104="",对接源_01水果!$Y104&lt;&gt;$AL$1,对接源_01水果!$B104="",N(对接源_01水果!$AJ104)&lt;=0),0,IF(OR(N(对接源_01水果!$B104)&lt;$AL$2,N(对接源_01水果!$B104)&gt;$AL$3),0,1))</f>
        <v>0</v>
      </c>
      <c r="AM104" s="3">
        <f t="shared" si="32"/>
        <v>0</v>
      </c>
      <c r="AN104" s="3" t="str">
        <f>IF(对接源_01水果!$AC104="","",对接源_01水果!$AC104)</f>
        <v/>
      </c>
      <c r="AO104" s="3">
        <f t="shared" si="33"/>
        <v>0</v>
      </c>
      <c r="AP104" s="3">
        <f t="shared" si="34"/>
        <v>0</v>
      </c>
      <c r="AQ104" s="3" t="str">
        <f t="shared" si="35"/>
        <v/>
      </c>
      <c r="AR104">
        <f t="shared" si="36"/>
        <v>0</v>
      </c>
      <c r="AS104">
        <f t="shared" si="37"/>
        <v>0</v>
      </c>
    </row>
    <row r="105" ht="14.25" customHeight="1" spans="1:45">
      <c r="A105" s="3" t="str">
        <f>IF(对接源_01水果!$C105="","",对接源_01水果!$C105)</f>
        <v>聂新平</v>
      </c>
      <c r="B105" s="3">
        <f t="shared" si="19"/>
        <v>0</v>
      </c>
      <c r="C105" s="3">
        <f t="shared" si="20"/>
        <v>4</v>
      </c>
      <c r="E105" s="3" t="str">
        <f t="shared" si="21"/>
        <v/>
      </c>
      <c r="K105" s="3">
        <f>IF(OR($K$1="",对接源_01水果!$C105="",对接源_01水果!$C105&lt;&gt;$K$1,对接源_01水果!$B105=""),0,IF(OR(N(对接源_01水果!$B105)&lt;$K$2,N(对接源_01水果!$B105)&gt;$K$3),0,1))</f>
        <v>0</v>
      </c>
      <c r="L105" s="3">
        <f>IF(OR($L$1="",对接源_01水果!$C105="",对接源_01水果!$C105&lt;&gt;$L$1,对接源_01水果!$B105=""),0,IF(OR(N(对接源_01水果!$B105)&lt;$L$2,N(对接源_01水果!$B105)&gt;$L$3),0,1))</f>
        <v>0</v>
      </c>
      <c r="M105" s="3">
        <f>IF(OR($M$1="",对接源_01水果!$C105="",对接源_01水果!$C105&lt;&gt;$M$1,对接源_01水果!$B105=""),0,IF(OR(N(对接源_01水果!$B105)&lt;$M$2,N(对接源_01水果!$B105)&gt;$M$3),0,1))</f>
        <v>0</v>
      </c>
      <c r="N105" s="3">
        <f>IF(OR($N$1="",对接源_01水果!$C105="",对接源_01水果!$C105&lt;&gt;$N$1,对接源_01水果!$B105=""),0,IF(OR(N(对接源_01水果!$B105)&lt;$N$2,N(对接源_01水果!$B105)&gt;$N$3),0,1))</f>
        <v>0</v>
      </c>
      <c r="P105" s="3">
        <f>IF(AND($K105=1,AND(对接源_01水果!$X105="公司筐",N(对接源_01水果!$T105)&lt;&gt;0)),1,0)</f>
        <v>0</v>
      </c>
      <c r="Q105" s="3">
        <f t="shared" si="22"/>
        <v>0</v>
      </c>
      <c r="R105" s="3">
        <f>IF(AND($K105=1,AND(对接源_01水果!$X105="公司筐",N(对接源_01水果!$U105)&lt;&gt;0)),1,0)</f>
        <v>0</v>
      </c>
      <c r="S105" s="3">
        <f t="shared" si="23"/>
        <v>0</v>
      </c>
      <c r="T105" s="3">
        <f>IF(AND($K105=1,AND(对接源_01水果!$X105="公司筐",N(对接源_01水果!$V105)&lt;&gt;0)),1,0)</f>
        <v>0</v>
      </c>
      <c r="U105" s="3">
        <f t="shared" si="24"/>
        <v>0</v>
      </c>
      <c r="V105" s="3">
        <f>IF(AND($L105=1,AND(对接源_01水果!$X105="自备筐",N(对接源_01水果!$V105)&lt;&gt;0)),1,0)</f>
        <v>0</v>
      </c>
      <c r="W105" s="3">
        <f t="shared" si="25"/>
        <v>0</v>
      </c>
      <c r="X105" s="3">
        <f>IF(AND($L105=1,AND(对接源_01水果!$X105="自备筐",N(对接源_01水果!$T105)&lt;&gt;0)),1,0)</f>
        <v>0</v>
      </c>
      <c r="Y105" s="3">
        <f t="shared" si="26"/>
        <v>0</v>
      </c>
      <c r="Z105" s="3">
        <f>IF(AND($M105=1,对接源_01水果!$D105="原料入库"),1,0)</f>
        <v>0</v>
      </c>
      <c r="AA105" s="3">
        <f t="shared" si="27"/>
        <v>0</v>
      </c>
      <c r="AB105" s="3">
        <f>IF(AND($M105=1,LEFT(对接源_01水果!$D105,4)="原料出库"),1,0)</f>
        <v>0</v>
      </c>
      <c r="AC105" s="3">
        <f t="shared" si="28"/>
        <v>0</v>
      </c>
      <c r="AD105" s="3">
        <f>IF(AND($M105=1,LEFT(对接源_01水果!$D105,4)="成品出库"),1,0)</f>
        <v>0</v>
      </c>
      <c r="AE105" s="3">
        <f t="shared" si="29"/>
        <v>0</v>
      </c>
      <c r="AF105" s="3">
        <f>IF(AND($N105=1,AND(LEFT(对接源_01水果!$D105,4)="包装物料",N(对接源_01水果!$K105)&lt;&gt;0)),1,0)</f>
        <v>0</v>
      </c>
      <c r="AG105" s="3">
        <f t="shared" si="30"/>
        <v>0</v>
      </c>
      <c r="AH105" s="3">
        <f>IF(AND($N105=1,AND(对接源_01水果!$D105="周转筐－销售出库",N(对接源_01水果!$K105)&lt;&gt;0)),1,0)</f>
        <v>0</v>
      </c>
      <c r="AI105" s="3">
        <f t="shared" si="31"/>
        <v>0</v>
      </c>
      <c r="AJ105" s="7"/>
      <c r="AL105" s="3">
        <f>IF(OR($AL$1="",对接源_01水果!$Y105="",对接源_01水果!$Y105&lt;&gt;$AL$1,对接源_01水果!$B105="",N(对接源_01水果!$AJ105)&lt;=0),0,IF(OR(N(对接源_01水果!$B105)&lt;$AL$2,N(对接源_01水果!$B105)&gt;$AL$3),0,1))</f>
        <v>0</v>
      </c>
      <c r="AM105" s="3">
        <f t="shared" si="32"/>
        <v>0</v>
      </c>
      <c r="AN105" s="3" t="str">
        <f>IF(对接源_01水果!$AC105="","",对接源_01水果!$AC105)</f>
        <v/>
      </c>
      <c r="AO105" s="3">
        <f t="shared" si="33"/>
        <v>0</v>
      </c>
      <c r="AP105" s="3">
        <f t="shared" si="34"/>
        <v>0</v>
      </c>
      <c r="AQ105" s="3" t="str">
        <f t="shared" si="35"/>
        <v/>
      </c>
      <c r="AR105">
        <f t="shared" si="36"/>
        <v>0</v>
      </c>
      <c r="AS105">
        <f t="shared" si="37"/>
        <v>0</v>
      </c>
    </row>
    <row r="106" ht="14.25" customHeight="1" spans="1:45">
      <c r="A106" s="3" t="str">
        <f>IF(对接源_01水果!$C106="","",对接源_01水果!$C106)</f>
        <v>聂新平</v>
      </c>
      <c r="B106" s="3">
        <f t="shared" si="19"/>
        <v>0</v>
      </c>
      <c r="C106" s="3">
        <f t="shared" si="20"/>
        <v>4</v>
      </c>
      <c r="E106" s="3" t="str">
        <f t="shared" si="21"/>
        <v/>
      </c>
      <c r="K106" s="3">
        <f>IF(OR($K$1="",对接源_01水果!$C106="",对接源_01水果!$C106&lt;&gt;$K$1,对接源_01水果!$B106=""),0,IF(OR(N(对接源_01水果!$B106)&lt;$K$2,N(对接源_01水果!$B106)&gt;$K$3),0,1))</f>
        <v>0</v>
      </c>
      <c r="L106" s="3">
        <f>IF(OR($L$1="",对接源_01水果!$C106="",对接源_01水果!$C106&lt;&gt;$L$1,对接源_01水果!$B106=""),0,IF(OR(N(对接源_01水果!$B106)&lt;$L$2,N(对接源_01水果!$B106)&gt;$L$3),0,1))</f>
        <v>0</v>
      </c>
      <c r="M106" s="3">
        <f>IF(OR($M$1="",对接源_01水果!$C106="",对接源_01水果!$C106&lt;&gt;$M$1,对接源_01水果!$B106=""),0,IF(OR(N(对接源_01水果!$B106)&lt;$M$2,N(对接源_01水果!$B106)&gt;$M$3),0,1))</f>
        <v>0</v>
      </c>
      <c r="N106" s="3">
        <f>IF(OR($N$1="",对接源_01水果!$C106="",对接源_01水果!$C106&lt;&gt;$N$1,对接源_01水果!$B106=""),0,IF(OR(N(对接源_01水果!$B106)&lt;$N$2,N(对接源_01水果!$B106)&gt;$N$3),0,1))</f>
        <v>0</v>
      </c>
      <c r="P106" s="3">
        <f>IF(AND($K106=1,AND(对接源_01水果!$X106="公司筐",N(对接源_01水果!$T106)&lt;&gt;0)),1,0)</f>
        <v>0</v>
      </c>
      <c r="Q106" s="3">
        <f t="shared" si="22"/>
        <v>0</v>
      </c>
      <c r="R106" s="3">
        <f>IF(AND($K106=1,AND(对接源_01水果!$X106="公司筐",N(对接源_01水果!$U106)&lt;&gt;0)),1,0)</f>
        <v>0</v>
      </c>
      <c r="S106" s="3">
        <f t="shared" si="23"/>
        <v>0</v>
      </c>
      <c r="T106" s="3">
        <f>IF(AND($K106=1,AND(对接源_01水果!$X106="公司筐",N(对接源_01水果!$V106)&lt;&gt;0)),1,0)</f>
        <v>0</v>
      </c>
      <c r="U106" s="3">
        <f t="shared" si="24"/>
        <v>0</v>
      </c>
      <c r="V106" s="3">
        <f>IF(AND($L106=1,AND(对接源_01水果!$X106="自备筐",N(对接源_01水果!$V106)&lt;&gt;0)),1,0)</f>
        <v>0</v>
      </c>
      <c r="W106" s="3">
        <f t="shared" si="25"/>
        <v>0</v>
      </c>
      <c r="X106" s="3">
        <f>IF(AND($L106=1,AND(对接源_01水果!$X106="自备筐",N(对接源_01水果!$T106)&lt;&gt;0)),1,0)</f>
        <v>0</v>
      </c>
      <c r="Y106" s="3">
        <f t="shared" si="26"/>
        <v>0</v>
      </c>
      <c r="Z106" s="3">
        <f>IF(AND($M106=1,对接源_01水果!$D106="原料入库"),1,0)</f>
        <v>0</v>
      </c>
      <c r="AA106" s="3">
        <f t="shared" si="27"/>
        <v>0</v>
      </c>
      <c r="AB106" s="3">
        <f>IF(AND($M106=1,LEFT(对接源_01水果!$D106,4)="原料出库"),1,0)</f>
        <v>0</v>
      </c>
      <c r="AC106" s="3">
        <f t="shared" si="28"/>
        <v>0</v>
      </c>
      <c r="AD106" s="3">
        <f>IF(AND($M106=1,LEFT(对接源_01水果!$D106,4)="成品出库"),1,0)</f>
        <v>0</v>
      </c>
      <c r="AE106" s="3">
        <f t="shared" si="29"/>
        <v>0</v>
      </c>
      <c r="AF106" s="3">
        <f>IF(AND($N106=1,AND(LEFT(对接源_01水果!$D106,4)="包装物料",N(对接源_01水果!$K106)&lt;&gt;0)),1,0)</f>
        <v>0</v>
      </c>
      <c r="AG106" s="3">
        <f t="shared" si="30"/>
        <v>0</v>
      </c>
      <c r="AH106" s="3">
        <f>IF(AND($N106=1,AND(对接源_01水果!$D106="周转筐－销售出库",N(对接源_01水果!$K106)&lt;&gt;0)),1,0)</f>
        <v>0</v>
      </c>
      <c r="AI106" s="3">
        <f t="shared" si="31"/>
        <v>0</v>
      </c>
      <c r="AJ106" s="7"/>
      <c r="AL106" s="3">
        <f>IF(OR($AL$1="",对接源_01水果!$Y106="",对接源_01水果!$Y106&lt;&gt;$AL$1,对接源_01水果!$B106="",N(对接源_01水果!$AJ106)&lt;=0),0,IF(OR(N(对接源_01水果!$B106)&lt;$AL$2,N(对接源_01水果!$B106)&gt;$AL$3),0,1))</f>
        <v>0</v>
      </c>
      <c r="AM106" s="3">
        <f t="shared" si="32"/>
        <v>0</v>
      </c>
      <c r="AN106" s="3" t="str">
        <f>IF(对接源_01水果!$AC106="","",对接源_01水果!$AC106)</f>
        <v/>
      </c>
      <c r="AO106" s="3">
        <f t="shared" si="33"/>
        <v>0</v>
      </c>
      <c r="AP106" s="3">
        <f t="shared" si="34"/>
        <v>0</v>
      </c>
      <c r="AQ106" s="3" t="str">
        <f t="shared" si="35"/>
        <v/>
      </c>
      <c r="AR106">
        <f t="shared" si="36"/>
        <v>0</v>
      </c>
      <c r="AS106">
        <f t="shared" si="37"/>
        <v>0</v>
      </c>
    </row>
    <row r="107" ht="14.25" customHeight="1" spans="1:45">
      <c r="A107" s="3" t="str">
        <f>IF(对接源_01水果!$C107="","",对接源_01水果!$C107)</f>
        <v>聂新平</v>
      </c>
      <c r="B107" s="3">
        <f t="shared" si="19"/>
        <v>0</v>
      </c>
      <c r="C107" s="3">
        <f t="shared" si="20"/>
        <v>4</v>
      </c>
      <c r="E107" s="3" t="str">
        <f t="shared" si="21"/>
        <v/>
      </c>
      <c r="K107" s="3">
        <f>IF(OR($K$1="",对接源_01水果!$C107="",对接源_01水果!$C107&lt;&gt;$K$1,对接源_01水果!$B107=""),0,IF(OR(N(对接源_01水果!$B107)&lt;$K$2,N(对接源_01水果!$B107)&gt;$K$3),0,1))</f>
        <v>0</v>
      </c>
      <c r="L107" s="3">
        <f>IF(OR($L$1="",对接源_01水果!$C107="",对接源_01水果!$C107&lt;&gt;$L$1,对接源_01水果!$B107=""),0,IF(OR(N(对接源_01水果!$B107)&lt;$L$2,N(对接源_01水果!$B107)&gt;$L$3),0,1))</f>
        <v>0</v>
      </c>
      <c r="M107" s="3">
        <f>IF(OR($M$1="",对接源_01水果!$C107="",对接源_01水果!$C107&lt;&gt;$M$1,对接源_01水果!$B107=""),0,IF(OR(N(对接源_01水果!$B107)&lt;$M$2,N(对接源_01水果!$B107)&gt;$M$3),0,1))</f>
        <v>0</v>
      </c>
      <c r="N107" s="3">
        <f>IF(OR($N$1="",对接源_01水果!$C107="",对接源_01水果!$C107&lt;&gt;$N$1,对接源_01水果!$B107=""),0,IF(OR(N(对接源_01水果!$B107)&lt;$N$2,N(对接源_01水果!$B107)&gt;$N$3),0,1))</f>
        <v>0</v>
      </c>
      <c r="P107" s="3">
        <f>IF(AND($K107=1,AND(对接源_01水果!$X107="公司筐",N(对接源_01水果!$T107)&lt;&gt;0)),1,0)</f>
        <v>0</v>
      </c>
      <c r="Q107" s="3">
        <f t="shared" si="22"/>
        <v>0</v>
      </c>
      <c r="R107" s="3">
        <f>IF(AND($K107=1,AND(对接源_01水果!$X107="公司筐",N(对接源_01水果!$U107)&lt;&gt;0)),1,0)</f>
        <v>0</v>
      </c>
      <c r="S107" s="3">
        <f t="shared" si="23"/>
        <v>0</v>
      </c>
      <c r="T107" s="3">
        <f>IF(AND($K107=1,AND(对接源_01水果!$X107="公司筐",N(对接源_01水果!$V107)&lt;&gt;0)),1,0)</f>
        <v>0</v>
      </c>
      <c r="U107" s="3">
        <f t="shared" si="24"/>
        <v>0</v>
      </c>
      <c r="V107" s="3">
        <f>IF(AND($L107=1,AND(对接源_01水果!$X107="自备筐",N(对接源_01水果!$V107)&lt;&gt;0)),1,0)</f>
        <v>0</v>
      </c>
      <c r="W107" s="3">
        <f t="shared" si="25"/>
        <v>0</v>
      </c>
      <c r="X107" s="3">
        <f>IF(AND($L107=1,AND(对接源_01水果!$X107="自备筐",N(对接源_01水果!$T107)&lt;&gt;0)),1,0)</f>
        <v>0</v>
      </c>
      <c r="Y107" s="3">
        <f t="shared" si="26"/>
        <v>0</v>
      </c>
      <c r="Z107" s="3">
        <f>IF(AND($M107=1,对接源_01水果!$D107="原料入库"),1,0)</f>
        <v>0</v>
      </c>
      <c r="AA107" s="3">
        <f t="shared" si="27"/>
        <v>0</v>
      </c>
      <c r="AB107" s="3">
        <f>IF(AND($M107=1,LEFT(对接源_01水果!$D107,4)="原料出库"),1,0)</f>
        <v>0</v>
      </c>
      <c r="AC107" s="3">
        <f t="shared" si="28"/>
        <v>0</v>
      </c>
      <c r="AD107" s="3">
        <f>IF(AND($M107=1,LEFT(对接源_01水果!$D107,4)="成品出库"),1,0)</f>
        <v>0</v>
      </c>
      <c r="AE107" s="3">
        <f t="shared" si="29"/>
        <v>0</v>
      </c>
      <c r="AF107" s="3">
        <f>IF(AND($N107=1,AND(LEFT(对接源_01水果!$D107,4)="包装物料",N(对接源_01水果!$K107)&lt;&gt;0)),1,0)</f>
        <v>0</v>
      </c>
      <c r="AG107" s="3">
        <f t="shared" si="30"/>
        <v>0</v>
      </c>
      <c r="AH107" s="3">
        <f>IF(AND($N107=1,AND(对接源_01水果!$D107="周转筐－销售出库",N(对接源_01水果!$K107)&lt;&gt;0)),1,0)</f>
        <v>0</v>
      </c>
      <c r="AI107" s="3">
        <f t="shared" si="31"/>
        <v>0</v>
      </c>
      <c r="AJ107" s="7"/>
      <c r="AL107" s="3">
        <f>IF(OR($AL$1="",对接源_01水果!$Y107="",对接源_01水果!$Y107&lt;&gt;$AL$1,对接源_01水果!$B107="",N(对接源_01水果!$AJ107)&lt;=0),0,IF(OR(N(对接源_01水果!$B107)&lt;$AL$2,N(对接源_01水果!$B107)&gt;$AL$3),0,1))</f>
        <v>0</v>
      </c>
      <c r="AM107" s="3">
        <f t="shared" si="32"/>
        <v>0</v>
      </c>
      <c r="AN107" s="3" t="str">
        <f>IF(对接源_01水果!$AC107="","",对接源_01水果!$AC107)</f>
        <v/>
      </c>
      <c r="AO107" s="3">
        <f t="shared" si="33"/>
        <v>0</v>
      </c>
      <c r="AP107" s="3">
        <f t="shared" si="34"/>
        <v>0</v>
      </c>
      <c r="AQ107" s="3" t="str">
        <f t="shared" si="35"/>
        <v/>
      </c>
      <c r="AR107">
        <f t="shared" si="36"/>
        <v>0</v>
      </c>
      <c r="AS107">
        <f t="shared" si="37"/>
        <v>0</v>
      </c>
    </row>
    <row r="108" ht="14.25" customHeight="1" spans="1:45">
      <c r="A108" s="3" t="str">
        <f>IF(对接源_01水果!$C108="","",对接源_01水果!$C108)</f>
        <v>聂新平</v>
      </c>
      <c r="B108" s="3">
        <f t="shared" si="19"/>
        <v>0</v>
      </c>
      <c r="C108" s="3">
        <f t="shared" si="20"/>
        <v>4</v>
      </c>
      <c r="E108" s="3" t="str">
        <f t="shared" si="21"/>
        <v/>
      </c>
      <c r="K108" s="3">
        <f>IF(OR($K$1="",对接源_01水果!$C108="",对接源_01水果!$C108&lt;&gt;$K$1,对接源_01水果!$B108=""),0,IF(OR(N(对接源_01水果!$B108)&lt;$K$2,N(对接源_01水果!$B108)&gt;$K$3),0,1))</f>
        <v>0</v>
      </c>
      <c r="L108" s="3">
        <f>IF(OR($L$1="",对接源_01水果!$C108="",对接源_01水果!$C108&lt;&gt;$L$1,对接源_01水果!$B108=""),0,IF(OR(N(对接源_01水果!$B108)&lt;$L$2,N(对接源_01水果!$B108)&gt;$L$3),0,1))</f>
        <v>0</v>
      </c>
      <c r="M108" s="3">
        <f>IF(OR($M$1="",对接源_01水果!$C108="",对接源_01水果!$C108&lt;&gt;$M$1,对接源_01水果!$B108=""),0,IF(OR(N(对接源_01水果!$B108)&lt;$M$2,N(对接源_01水果!$B108)&gt;$M$3),0,1))</f>
        <v>0</v>
      </c>
      <c r="N108" s="3">
        <f>IF(OR($N$1="",对接源_01水果!$C108="",对接源_01水果!$C108&lt;&gt;$N$1,对接源_01水果!$B108=""),0,IF(OR(N(对接源_01水果!$B108)&lt;$N$2,N(对接源_01水果!$B108)&gt;$N$3),0,1))</f>
        <v>0</v>
      </c>
      <c r="P108" s="3">
        <f>IF(AND($K108=1,AND(对接源_01水果!$X108="公司筐",N(对接源_01水果!$T108)&lt;&gt;0)),1,0)</f>
        <v>0</v>
      </c>
      <c r="Q108" s="3">
        <f t="shared" si="22"/>
        <v>0</v>
      </c>
      <c r="R108" s="3">
        <f>IF(AND($K108=1,AND(对接源_01水果!$X108="公司筐",N(对接源_01水果!$U108)&lt;&gt;0)),1,0)</f>
        <v>0</v>
      </c>
      <c r="S108" s="3">
        <f t="shared" si="23"/>
        <v>0</v>
      </c>
      <c r="T108" s="3">
        <f>IF(AND($K108=1,AND(对接源_01水果!$X108="公司筐",N(对接源_01水果!$V108)&lt;&gt;0)),1,0)</f>
        <v>0</v>
      </c>
      <c r="U108" s="3">
        <f t="shared" si="24"/>
        <v>0</v>
      </c>
      <c r="V108" s="3">
        <f>IF(AND($L108=1,AND(对接源_01水果!$X108="自备筐",N(对接源_01水果!$V108)&lt;&gt;0)),1,0)</f>
        <v>0</v>
      </c>
      <c r="W108" s="3">
        <f t="shared" si="25"/>
        <v>0</v>
      </c>
      <c r="X108" s="3">
        <f>IF(AND($L108=1,AND(对接源_01水果!$X108="自备筐",N(对接源_01水果!$T108)&lt;&gt;0)),1,0)</f>
        <v>0</v>
      </c>
      <c r="Y108" s="3">
        <f t="shared" si="26"/>
        <v>0</v>
      </c>
      <c r="Z108" s="3">
        <f>IF(AND($M108=1,对接源_01水果!$D108="原料入库"),1,0)</f>
        <v>0</v>
      </c>
      <c r="AA108" s="3">
        <f t="shared" si="27"/>
        <v>0</v>
      </c>
      <c r="AB108" s="3">
        <f>IF(AND($M108=1,LEFT(对接源_01水果!$D108,4)="原料出库"),1,0)</f>
        <v>0</v>
      </c>
      <c r="AC108" s="3">
        <f t="shared" si="28"/>
        <v>0</v>
      </c>
      <c r="AD108" s="3">
        <f>IF(AND($M108=1,LEFT(对接源_01水果!$D108,4)="成品出库"),1,0)</f>
        <v>0</v>
      </c>
      <c r="AE108" s="3">
        <f t="shared" si="29"/>
        <v>0</v>
      </c>
      <c r="AF108" s="3">
        <f>IF(AND($N108=1,AND(LEFT(对接源_01水果!$D108,4)="包装物料",N(对接源_01水果!$K108)&lt;&gt;0)),1,0)</f>
        <v>0</v>
      </c>
      <c r="AG108" s="3">
        <f t="shared" si="30"/>
        <v>0</v>
      </c>
      <c r="AH108" s="3">
        <f>IF(AND($N108=1,AND(对接源_01水果!$D108="周转筐－销售出库",N(对接源_01水果!$K108)&lt;&gt;0)),1,0)</f>
        <v>0</v>
      </c>
      <c r="AI108" s="3">
        <f t="shared" si="31"/>
        <v>0</v>
      </c>
      <c r="AJ108" s="7"/>
      <c r="AL108" s="3">
        <f>IF(OR($AL$1="",对接源_01水果!$Y108="",对接源_01水果!$Y108&lt;&gt;$AL$1,对接源_01水果!$B108="",N(对接源_01水果!$AJ108)&lt;=0),0,IF(OR(N(对接源_01水果!$B108)&lt;$AL$2,N(对接源_01水果!$B108)&gt;$AL$3),0,1))</f>
        <v>0</v>
      </c>
      <c r="AM108" s="3">
        <f t="shared" si="32"/>
        <v>0</v>
      </c>
      <c r="AN108" s="3" t="str">
        <f>IF(对接源_01水果!$AC108="","",对接源_01水果!$AC108)</f>
        <v/>
      </c>
      <c r="AO108" s="3">
        <f t="shared" si="33"/>
        <v>0</v>
      </c>
      <c r="AP108" s="3">
        <f t="shared" si="34"/>
        <v>0</v>
      </c>
      <c r="AQ108" s="3" t="str">
        <f t="shared" si="35"/>
        <v/>
      </c>
      <c r="AR108">
        <f t="shared" si="36"/>
        <v>0</v>
      </c>
      <c r="AS108">
        <f t="shared" si="37"/>
        <v>0</v>
      </c>
    </row>
    <row r="109" ht="14.25" customHeight="1" spans="1:45">
      <c r="A109" s="3" t="str">
        <f>IF(对接源_01水果!$C109="","",对接源_01水果!$C109)</f>
        <v>聂新平</v>
      </c>
      <c r="B109" s="3">
        <f t="shared" si="19"/>
        <v>0</v>
      </c>
      <c r="C109" s="3">
        <f t="shared" si="20"/>
        <v>4</v>
      </c>
      <c r="E109" s="3" t="str">
        <f t="shared" si="21"/>
        <v/>
      </c>
      <c r="K109" s="3">
        <f>IF(OR($K$1="",对接源_01水果!$C109="",对接源_01水果!$C109&lt;&gt;$K$1,对接源_01水果!$B109=""),0,IF(OR(N(对接源_01水果!$B109)&lt;$K$2,N(对接源_01水果!$B109)&gt;$K$3),0,1))</f>
        <v>0</v>
      </c>
      <c r="L109" s="3">
        <f>IF(OR($L$1="",对接源_01水果!$C109="",对接源_01水果!$C109&lt;&gt;$L$1,对接源_01水果!$B109=""),0,IF(OR(N(对接源_01水果!$B109)&lt;$L$2,N(对接源_01水果!$B109)&gt;$L$3),0,1))</f>
        <v>0</v>
      </c>
      <c r="M109" s="3">
        <f>IF(OR($M$1="",对接源_01水果!$C109="",对接源_01水果!$C109&lt;&gt;$M$1,对接源_01水果!$B109=""),0,IF(OR(N(对接源_01水果!$B109)&lt;$M$2,N(对接源_01水果!$B109)&gt;$M$3),0,1))</f>
        <v>0</v>
      </c>
      <c r="N109" s="3">
        <f>IF(OR($N$1="",对接源_01水果!$C109="",对接源_01水果!$C109&lt;&gt;$N$1,对接源_01水果!$B109=""),0,IF(OR(N(对接源_01水果!$B109)&lt;$N$2,N(对接源_01水果!$B109)&gt;$N$3),0,1))</f>
        <v>0</v>
      </c>
      <c r="P109" s="3">
        <f>IF(AND($K109=1,AND(对接源_01水果!$X109="公司筐",N(对接源_01水果!$T109)&lt;&gt;0)),1,0)</f>
        <v>0</v>
      </c>
      <c r="Q109" s="3">
        <f t="shared" si="22"/>
        <v>0</v>
      </c>
      <c r="R109" s="3">
        <f>IF(AND($K109=1,AND(对接源_01水果!$X109="公司筐",N(对接源_01水果!$U109)&lt;&gt;0)),1,0)</f>
        <v>0</v>
      </c>
      <c r="S109" s="3">
        <f t="shared" si="23"/>
        <v>0</v>
      </c>
      <c r="T109" s="3">
        <f>IF(AND($K109=1,AND(对接源_01水果!$X109="公司筐",N(对接源_01水果!$V109)&lt;&gt;0)),1,0)</f>
        <v>0</v>
      </c>
      <c r="U109" s="3">
        <f t="shared" si="24"/>
        <v>0</v>
      </c>
      <c r="V109" s="3">
        <f>IF(AND($L109=1,AND(对接源_01水果!$X109="自备筐",N(对接源_01水果!$V109)&lt;&gt;0)),1,0)</f>
        <v>0</v>
      </c>
      <c r="W109" s="3">
        <f t="shared" si="25"/>
        <v>0</v>
      </c>
      <c r="X109" s="3">
        <f>IF(AND($L109=1,AND(对接源_01水果!$X109="自备筐",N(对接源_01水果!$T109)&lt;&gt;0)),1,0)</f>
        <v>0</v>
      </c>
      <c r="Y109" s="3">
        <f t="shared" si="26"/>
        <v>0</v>
      </c>
      <c r="Z109" s="3">
        <f>IF(AND($M109=1,对接源_01水果!$D109="原料入库"),1,0)</f>
        <v>0</v>
      </c>
      <c r="AA109" s="3">
        <f t="shared" si="27"/>
        <v>0</v>
      </c>
      <c r="AB109" s="3">
        <f>IF(AND($M109=1,LEFT(对接源_01水果!$D109,4)="原料出库"),1,0)</f>
        <v>0</v>
      </c>
      <c r="AC109" s="3">
        <f t="shared" si="28"/>
        <v>0</v>
      </c>
      <c r="AD109" s="3">
        <f>IF(AND($M109=1,LEFT(对接源_01水果!$D109,4)="成品出库"),1,0)</f>
        <v>0</v>
      </c>
      <c r="AE109" s="3">
        <f t="shared" si="29"/>
        <v>0</v>
      </c>
      <c r="AF109" s="3">
        <f>IF(AND($N109=1,AND(LEFT(对接源_01水果!$D109,4)="包装物料",N(对接源_01水果!$K109)&lt;&gt;0)),1,0)</f>
        <v>0</v>
      </c>
      <c r="AG109" s="3">
        <f t="shared" si="30"/>
        <v>0</v>
      </c>
      <c r="AH109" s="3">
        <f>IF(AND($N109=1,AND(对接源_01水果!$D109="周转筐－销售出库",N(对接源_01水果!$K109)&lt;&gt;0)),1,0)</f>
        <v>0</v>
      </c>
      <c r="AI109" s="3">
        <f t="shared" si="31"/>
        <v>0</v>
      </c>
      <c r="AJ109" s="7"/>
      <c r="AL109" s="3">
        <f>IF(OR($AL$1="",对接源_01水果!$Y109="",对接源_01水果!$Y109&lt;&gt;$AL$1,对接源_01水果!$B109="",N(对接源_01水果!$AJ109)&lt;=0),0,IF(OR(N(对接源_01水果!$B109)&lt;$AL$2,N(对接源_01水果!$B109)&gt;$AL$3),0,1))</f>
        <v>0</v>
      </c>
      <c r="AM109" s="3">
        <f t="shared" si="32"/>
        <v>0</v>
      </c>
      <c r="AN109" s="3" t="str">
        <f>IF(对接源_01水果!$AC109="","",对接源_01水果!$AC109)</f>
        <v/>
      </c>
      <c r="AO109" s="3">
        <f t="shared" si="33"/>
        <v>0</v>
      </c>
      <c r="AP109" s="3">
        <f t="shared" si="34"/>
        <v>0</v>
      </c>
      <c r="AQ109" s="3" t="str">
        <f t="shared" si="35"/>
        <v/>
      </c>
      <c r="AR109">
        <f t="shared" si="36"/>
        <v>0</v>
      </c>
      <c r="AS109">
        <f t="shared" si="37"/>
        <v>0</v>
      </c>
    </row>
    <row r="110" ht="14.25" customHeight="1" spans="1:45">
      <c r="A110" s="3" t="str">
        <f>IF(对接源_01水果!$C110="","",对接源_01水果!$C110)</f>
        <v>聂新平</v>
      </c>
      <c r="B110" s="3">
        <f t="shared" si="19"/>
        <v>0</v>
      </c>
      <c r="C110" s="3">
        <f t="shared" si="20"/>
        <v>4</v>
      </c>
      <c r="E110" s="3" t="str">
        <f t="shared" si="21"/>
        <v/>
      </c>
      <c r="K110" s="3">
        <f>IF(OR($K$1="",对接源_01水果!$C110="",对接源_01水果!$C110&lt;&gt;$K$1,对接源_01水果!$B110=""),0,IF(OR(N(对接源_01水果!$B110)&lt;$K$2,N(对接源_01水果!$B110)&gt;$K$3),0,1))</f>
        <v>0</v>
      </c>
      <c r="L110" s="3">
        <f>IF(OR($L$1="",对接源_01水果!$C110="",对接源_01水果!$C110&lt;&gt;$L$1,对接源_01水果!$B110=""),0,IF(OR(N(对接源_01水果!$B110)&lt;$L$2,N(对接源_01水果!$B110)&gt;$L$3),0,1))</f>
        <v>0</v>
      </c>
      <c r="M110" s="3">
        <f>IF(OR($M$1="",对接源_01水果!$C110="",对接源_01水果!$C110&lt;&gt;$M$1,对接源_01水果!$B110=""),0,IF(OR(N(对接源_01水果!$B110)&lt;$M$2,N(对接源_01水果!$B110)&gt;$M$3),0,1))</f>
        <v>0</v>
      </c>
      <c r="N110" s="3">
        <f>IF(OR($N$1="",对接源_01水果!$C110="",对接源_01水果!$C110&lt;&gt;$N$1,对接源_01水果!$B110=""),0,IF(OR(N(对接源_01水果!$B110)&lt;$N$2,N(对接源_01水果!$B110)&gt;$N$3),0,1))</f>
        <v>0</v>
      </c>
      <c r="P110" s="3">
        <f>IF(AND($K110=1,AND(对接源_01水果!$X110="公司筐",N(对接源_01水果!$T110)&lt;&gt;0)),1,0)</f>
        <v>0</v>
      </c>
      <c r="Q110" s="3">
        <f t="shared" si="22"/>
        <v>0</v>
      </c>
      <c r="R110" s="3">
        <f>IF(AND($K110=1,AND(对接源_01水果!$X110="公司筐",N(对接源_01水果!$U110)&lt;&gt;0)),1,0)</f>
        <v>0</v>
      </c>
      <c r="S110" s="3">
        <f t="shared" si="23"/>
        <v>0</v>
      </c>
      <c r="T110" s="3">
        <f>IF(AND($K110=1,AND(对接源_01水果!$X110="公司筐",N(对接源_01水果!$V110)&lt;&gt;0)),1,0)</f>
        <v>0</v>
      </c>
      <c r="U110" s="3">
        <f t="shared" si="24"/>
        <v>0</v>
      </c>
      <c r="V110" s="3">
        <f>IF(AND($L110=1,AND(对接源_01水果!$X110="自备筐",N(对接源_01水果!$V110)&lt;&gt;0)),1,0)</f>
        <v>0</v>
      </c>
      <c r="W110" s="3">
        <f t="shared" si="25"/>
        <v>0</v>
      </c>
      <c r="X110" s="3">
        <f>IF(AND($L110=1,AND(对接源_01水果!$X110="自备筐",N(对接源_01水果!$T110)&lt;&gt;0)),1,0)</f>
        <v>0</v>
      </c>
      <c r="Y110" s="3">
        <f t="shared" si="26"/>
        <v>0</v>
      </c>
      <c r="Z110" s="3">
        <f>IF(AND($M110=1,对接源_01水果!$D110="原料入库"),1,0)</f>
        <v>0</v>
      </c>
      <c r="AA110" s="3">
        <f t="shared" si="27"/>
        <v>0</v>
      </c>
      <c r="AB110" s="3">
        <f>IF(AND($M110=1,LEFT(对接源_01水果!$D110,4)="原料出库"),1,0)</f>
        <v>0</v>
      </c>
      <c r="AC110" s="3">
        <f t="shared" si="28"/>
        <v>0</v>
      </c>
      <c r="AD110" s="3">
        <f>IF(AND($M110=1,LEFT(对接源_01水果!$D110,4)="成品出库"),1,0)</f>
        <v>0</v>
      </c>
      <c r="AE110" s="3">
        <f t="shared" si="29"/>
        <v>0</v>
      </c>
      <c r="AF110" s="3">
        <f>IF(AND($N110=1,AND(LEFT(对接源_01水果!$D110,4)="包装物料",N(对接源_01水果!$K110)&lt;&gt;0)),1,0)</f>
        <v>0</v>
      </c>
      <c r="AG110" s="3">
        <f t="shared" si="30"/>
        <v>0</v>
      </c>
      <c r="AH110" s="3">
        <f>IF(AND($N110=1,AND(对接源_01水果!$D110="周转筐－销售出库",N(对接源_01水果!$K110)&lt;&gt;0)),1,0)</f>
        <v>0</v>
      </c>
      <c r="AI110" s="3">
        <f t="shared" si="31"/>
        <v>0</v>
      </c>
      <c r="AJ110" s="7"/>
      <c r="AL110" s="3">
        <f>IF(OR($AL$1="",对接源_01水果!$Y110="",对接源_01水果!$Y110&lt;&gt;$AL$1,对接源_01水果!$B110="",N(对接源_01水果!$AJ110)&lt;=0),0,IF(OR(N(对接源_01水果!$B110)&lt;$AL$2,N(对接源_01水果!$B110)&gt;$AL$3),0,1))</f>
        <v>0</v>
      </c>
      <c r="AM110" s="3">
        <f t="shared" si="32"/>
        <v>0</v>
      </c>
      <c r="AN110" s="3" t="str">
        <f>IF(对接源_01水果!$AC110="","",对接源_01水果!$AC110)</f>
        <v/>
      </c>
      <c r="AO110" s="3">
        <f t="shared" si="33"/>
        <v>0</v>
      </c>
      <c r="AP110" s="3">
        <f t="shared" si="34"/>
        <v>0</v>
      </c>
      <c r="AQ110" s="3" t="str">
        <f t="shared" si="35"/>
        <v/>
      </c>
      <c r="AR110">
        <f t="shared" si="36"/>
        <v>0</v>
      </c>
      <c r="AS110">
        <f t="shared" si="37"/>
        <v>0</v>
      </c>
    </row>
    <row r="111" ht="14.25" customHeight="1" spans="1:45">
      <c r="A111" s="3" t="str">
        <f>IF(对接源_01水果!$C111="","",对接源_01水果!$C111)</f>
        <v>聂新平</v>
      </c>
      <c r="B111" s="3">
        <f t="shared" si="19"/>
        <v>0</v>
      </c>
      <c r="C111" s="3">
        <f t="shared" si="20"/>
        <v>4</v>
      </c>
      <c r="E111" s="3" t="str">
        <f t="shared" si="21"/>
        <v/>
      </c>
      <c r="K111" s="3">
        <f>IF(OR($K$1="",对接源_01水果!$C111="",对接源_01水果!$C111&lt;&gt;$K$1,对接源_01水果!$B111=""),0,IF(OR(N(对接源_01水果!$B111)&lt;$K$2,N(对接源_01水果!$B111)&gt;$K$3),0,1))</f>
        <v>0</v>
      </c>
      <c r="L111" s="3">
        <f>IF(OR($L$1="",对接源_01水果!$C111="",对接源_01水果!$C111&lt;&gt;$L$1,对接源_01水果!$B111=""),0,IF(OR(N(对接源_01水果!$B111)&lt;$L$2,N(对接源_01水果!$B111)&gt;$L$3),0,1))</f>
        <v>0</v>
      </c>
      <c r="M111" s="3">
        <f>IF(OR($M$1="",对接源_01水果!$C111="",对接源_01水果!$C111&lt;&gt;$M$1,对接源_01水果!$B111=""),0,IF(OR(N(对接源_01水果!$B111)&lt;$M$2,N(对接源_01水果!$B111)&gt;$M$3),0,1))</f>
        <v>0</v>
      </c>
      <c r="N111" s="3">
        <f>IF(OR($N$1="",对接源_01水果!$C111="",对接源_01水果!$C111&lt;&gt;$N$1,对接源_01水果!$B111=""),0,IF(OR(N(对接源_01水果!$B111)&lt;$N$2,N(对接源_01水果!$B111)&gt;$N$3),0,1))</f>
        <v>0</v>
      </c>
      <c r="P111" s="3">
        <f>IF(AND($K111=1,AND(对接源_01水果!$X111="公司筐",N(对接源_01水果!$T111)&lt;&gt;0)),1,0)</f>
        <v>0</v>
      </c>
      <c r="Q111" s="3">
        <f t="shared" si="22"/>
        <v>0</v>
      </c>
      <c r="R111" s="3">
        <f>IF(AND($K111=1,AND(对接源_01水果!$X111="公司筐",N(对接源_01水果!$U111)&lt;&gt;0)),1,0)</f>
        <v>0</v>
      </c>
      <c r="S111" s="3">
        <f t="shared" si="23"/>
        <v>0</v>
      </c>
      <c r="T111" s="3">
        <f>IF(AND($K111=1,AND(对接源_01水果!$X111="公司筐",N(对接源_01水果!$V111)&lt;&gt;0)),1,0)</f>
        <v>0</v>
      </c>
      <c r="U111" s="3">
        <f t="shared" si="24"/>
        <v>0</v>
      </c>
      <c r="V111" s="3">
        <f>IF(AND($L111=1,AND(对接源_01水果!$X111="自备筐",N(对接源_01水果!$V111)&lt;&gt;0)),1,0)</f>
        <v>0</v>
      </c>
      <c r="W111" s="3">
        <f t="shared" si="25"/>
        <v>0</v>
      </c>
      <c r="X111" s="3">
        <f>IF(AND($L111=1,AND(对接源_01水果!$X111="自备筐",N(对接源_01水果!$T111)&lt;&gt;0)),1,0)</f>
        <v>0</v>
      </c>
      <c r="Y111" s="3">
        <f t="shared" si="26"/>
        <v>0</v>
      </c>
      <c r="Z111" s="3">
        <f>IF(AND($M111=1,对接源_01水果!$D111="原料入库"),1,0)</f>
        <v>0</v>
      </c>
      <c r="AA111" s="3">
        <f t="shared" si="27"/>
        <v>0</v>
      </c>
      <c r="AB111" s="3">
        <f>IF(AND($M111=1,LEFT(对接源_01水果!$D111,4)="原料出库"),1,0)</f>
        <v>0</v>
      </c>
      <c r="AC111" s="3">
        <f t="shared" si="28"/>
        <v>0</v>
      </c>
      <c r="AD111" s="3">
        <f>IF(AND($M111=1,LEFT(对接源_01水果!$D111,4)="成品出库"),1,0)</f>
        <v>0</v>
      </c>
      <c r="AE111" s="3">
        <f t="shared" si="29"/>
        <v>0</v>
      </c>
      <c r="AF111" s="3">
        <f>IF(AND($N111=1,AND(LEFT(对接源_01水果!$D111,4)="包装物料",N(对接源_01水果!$K111)&lt;&gt;0)),1,0)</f>
        <v>0</v>
      </c>
      <c r="AG111" s="3">
        <f t="shared" si="30"/>
        <v>0</v>
      </c>
      <c r="AH111" s="3">
        <f>IF(AND($N111=1,AND(对接源_01水果!$D111="周转筐－销售出库",N(对接源_01水果!$K111)&lt;&gt;0)),1,0)</f>
        <v>0</v>
      </c>
      <c r="AI111" s="3">
        <f t="shared" si="31"/>
        <v>0</v>
      </c>
      <c r="AJ111" s="7"/>
      <c r="AL111" s="3">
        <f>IF(OR($AL$1="",对接源_01水果!$Y111="",对接源_01水果!$Y111&lt;&gt;$AL$1,对接源_01水果!$B111="",N(对接源_01水果!$AJ111)&lt;=0),0,IF(OR(N(对接源_01水果!$B111)&lt;$AL$2,N(对接源_01水果!$B111)&gt;$AL$3),0,1))</f>
        <v>0</v>
      </c>
      <c r="AM111" s="3">
        <f t="shared" si="32"/>
        <v>0</v>
      </c>
      <c r="AN111" s="3" t="str">
        <f>IF(对接源_01水果!$AC111="","",对接源_01水果!$AC111)</f>
        <v/>
      </c>
      <c r="AO111" s="3">
        <f t="shared" si="33"/>
        <v>0</v>
      </c>
      <c r="AP111" s="3">
        <f t="shared" si="34"/>
        <v>0</v>
      </c>
      <c r="AQ111" s="3" t="str">
        <f t="shared" si="35"/>
        <v/>
      </c>
      <c r="AR111">
        <f t="shared" si="36"/>
        <v>0</v>
      </c>
      <c r="AS111">
        <f t="shared" si="37"/>
        <v>0</v>
      </c>
    </row>
    <row r="112" ht="14.25" customHeight="1" spans="1:45">
      <c r="A112" s="3" t="str">
        <f>IF(对接源_01水果!$C112="","",对接源_01水果!$C112)</f>
        <v>聂新平</v>
      </c>
      <c r="B112" s="3">
        <f t="shared" si="19"/>
        <v>0</v>
      </c>
      <c r="C112" s="3">
        <f t="shared" si="20"/>
        <v>4</v>
      </c>
      <c r="E112" s="3" t="str">
        <f t="shared" si="21"/>
        <v/>
      </c>
      <c r="K112" s="3">
        <f>IF(OR($K$1="",对接源_01水果!$C112="",对接源_01水果!$C112&lt;&gt;$K$1,对接源_01水果!$B112=""),0,IF(OR(N(对接源_01水果!$B112)&lt;$K$2,N(对接源_01水果!$B112)&gt;$K$3),0,1))</f>
        <v>0</v>
      </c>
      <c r="L112" s="3">
        <f>IF(OR($L$1="",对接源_01水果!$C112="",对接源_01水果!$C112&lt;&gt;$L$1,对接源_01水果!$B112=""),0,IF(OR(N(对接源_01水果!$B112)&lt;$L$2,N(对接源_01水果!$B112)&gt;$L$3),0,1))</f>
        <v>0</v>
      </c>
      <c r="M112" s="3">
        <f>IF(OR($M$1="",对接源_01水果!$C112="",对接源_01水果!$C112&lt;&gt;$M$1,对接源_01水果!$B112=""),0,IF(OR(N(对接源_01水果!$B112)&lt;$M$2,N(对接源_01水果!$B112)&gt;$M$3),0,1))</f>
        <v>0</v>
      </c>
      <c r="N112" s="3">
        <f>IF(OR($N$1="",对接源_01水果!$C112="",对接源_01水果!$C112&lt;&gt;$N$1,对接源_01水果!$B112=""),0,IF(OR(N(对接源_01水果!$B112)&lt;$N$2,N(对接源_01水果!$B112)&gt;$N$3),0,1))</f>
        <v>0</v>
      </c>
      <c r="P112" s="3">
        <f>IF(AND($K112=1,AND(对接源_01水果!$X112="公司筐",N(对接源_01水果!$T112)&lt;&gt;0)),1,0)</f>
        <v>0</v>
      </c>
      <c r="Q112" s="3">
        <f t="shared" si="22"/>
        <v>0</v>
      </c>
      <c r="R112" s="3">
        <f>IF(AND($K112=1,AND(对接源_01水果!$X112="公司筐",N(对接源_01水果!$U112)&lt;&gt;0)),1,0)</f>
        <v>0</v>
      </c>
      <c r="S112" s="3">
        <f t="shared" si="23"/>
        <v>0</v>
      </c>
      <c r="T112" s="3">
        <f>IF(AND($K112=1,AND(对接源_01水果!$X112="公司筐",N(对接源_01水果!$V112)&lt;&gt;0)),1,0)</f>
        <v>0</v>
      </c>
      <c r="U112" s="3">
        <f t="shared" si="24"/>
        <v>0</v>
      </c>
      <c r="V112" s="3">
        <f>IF(AND($L112=1,AND(对接源_01水果!$X112="自备筐",N(对接源_01水果!$V112)&lt;&gt;0)),1,0)</f>
        <v>0</v>
      </c>
      <c r="W112" s="3">
        <f t="shared" si="25"/>
        <v>0</v>
      </c>
      <c r="X112" s="3">
        <f>IF(AND($L112=1,AND(对接源_01水果!$X112="自备筐",N(对接源_01水果!$T112)&lt;&gt;0)),1,0)</f>
        <v>0</v>
      </c>
      <c r="Y112" s="3">
        <f t="shared" si="26"/>
        <v>0</v>
      </c>
      <c r="Z112" s="3">
        <f>IF(AND($M112=1,对接源_01水果!$D112="原料入库"),1,0)</f>
        <v>0</v>
      </c>
      <c r="AA112" s="3">
        <f t="shared" si="27"/>
        <v>0</v>
      </c>
      <c r="AB112" s="3">
        <f>IF(AND($M112=1,LEFT(对接源_01水果!$D112,4)="原料出库"),1,0)</f>
        <v>0</v>
      </c>
      <c r="AC112" s="3">
        <f t="shared" si="28"/>
        <v>0</v>
      </c>
      <c r="AD112" s="3">
        <f>IF(AND($M112=1,LEFT(对接源_01水果!$D112,4)="成品出库"),1,0)</f>
        <v>0</v>
      </c>
      <c r="AE112" s="3">
        <f t="shared" si="29"/>
        <v>0</v>
      </c>
      <c r="AF112" s="3">
        <f>IF(AND($N112=1,AND(LEFT(对接源_01水果!$D112,4)="包装物料",N(对接源_01水果!$K112)&lt;&gt;0)),1,0)</f>
        <v>0</v>
      </c>
      <c r="AG112" s="3">
        <f t="shared" si="30"/>
        <v>0</v>
      </c>
      <c r="AH112" s="3">
        <f>IF(AND($N112=1,AND(对接源_01水果!$D112="周转筐－销售出库",N(对接源_01水果!$K112)&lt;&gt;0)),1,0)</f>
        <v>0</v>
      </c>
      <c r="AI112" s="3">
        <f t="shared" si="31"/>
        <v>0</v>
      </c>
      <c r="AJ112" s="7"/>
      <c r="AL112" s="3">
        <f>IF(OR($AL$1="",对接源_01水果!$Y112="",对接源_01水果!$Y112&lt;&gt;$AL$1,对接源_01水果!$B112="",N(对接源_01水果!$AJ112)&lt;=0),0,IF(OR(N(对接源_01水果!$B112)&lt;$AL$2,N(对接源_01水果!$B112)&gt;$AL$3),0,1))</f>
        <v>0</v>
      </c>
      <c r="AM112" s="3">
        <f t="shared" si="32"/>
        <v>0</v>
      </c>
      <c r="AN112" s="3" t="str">
        <f>IF(对接源_01水果!$AC112="","",对接源_01水果!$AC112)</f>
        <v/>
      </c>
      <c r="AO112" s="3">
        <f t="shared" si="33"/>
        <v>0</v>
      </c>
      <c r="AP112" s="3">
        <f t="shared" si="34"/>
        <v>0</v>
      </c>
      <c r="AQ112" s="3" t="str">
        <f t="shared" si="35"/>
        <v/>
      </c>
      <c r="AR112">
        <f t="shared" si="36"/>
        <v>0</v>
      </c>
      <c r="AS112">
        <f t="shared" si="37"/>
        <v>0</v>
      </c>
    </row>
    <row r="113" ht="14.25" customHeight="1" spans="1:45">
      <c r="A113" s="3" t="str">
        <f>IF(对接源_01水果!$C113="","",对接源_01水果!$C113)</f>
        <v>聂新平</v>
      </c>
      <c r="B113" s="3">
        <f t="shared" si="19"/>
        <v>0</v>
      </c>
      <c r="C113" s="3">
        <f t="shared" si="20"/>
        <v>4</v>
      </c>
      <c r="E113" s="3" t="str">
        <f t="shared" si="21"/>
        <v/>
      </c>
      <c r="K113" s="3">
        <f>IF(OR($K$1="",对接源_01水果!$C113="",对接源_01水果!$C113&lt;&gt;$K$1,对接源_01水果!$B113=""),0,IF(OR(N(对接源_01水果!$B113)&lt;$K$2,N(对接源_01水果!$B113)&gt;$K$3),0,1))</f>
        <v>0</v>
      </c>
      <c r="L113" s="3">
        <f>IF(OR($L$1="",对接源_01水果!$C113="",对接源_01水果!$C113&lt;&gt;$L$1,对接源_01水果!$B113=""),0,IF(OR(N(对接源_01水果!$B113)&lt;$L$2,N(对接源_01水果!$B113)&gt;$L$3),0,1))</f>
        <v>0</v>
      </c>
      <c r="M113" s="3">
        <f>IF(OR($M$1="",对接源_01水果!$C113="",对接源_01水果!$C113&lt;&gt;$M$1,对接源_01水果!$B113=""),0,IF(OR(N(对接源_01水果!$B113)&lt;$M$2,N(对接源_01水果!$B113)&gt;$M$3),0,1))</f>
        <v>0</v>
      </c>
      <c r="N113" s="3">
        <f>IF(OR($N$1="",对接源_01水果!$C113="",对接源_01水果!$C113&lt;&gt;$N$1,对接源_01水果!$B113=""),0,IF(OR(N(对接源_01水果!$B113)&lt;$N$2,N(对接源_01水果!$B113)&gt;$N$3),0,1))</f>
        <v>0</v>
      </c>
      <c r="P113" s="3">
        <f>IF(AND($K113=1,AND(对接源_01水果!$X113="公司筐",N(对接源_01水果!$T113)&lt;&gt;0)),1,0)</f>
        <v>0</v>
      </c>
      <c r="Q113" s="3">
        <f t="shared" si="22"/>
        <v>0</v>
      </c>
      <c r="R113" s="3">
        <f>IF(AND($K113=1,AND(对接源_01水果!$X113="公司筐",N(对接源_01水果!$U113)&lt;&gt;0)),1,0)</f>
        <v>0</v>
      </c>
      <c r="S113" s="3">
        <f t="shared" si="23"/>
        <v>0</v>
      </c>
      <c r="T113" s="3">
        <f>IF(AND($K113=1,AND(对接源_01水果!$X113="公司筐",N(对接源_01水果!$V113)&lt;&gt;0)),1,0)</f>
        <v>0</v>
      </c>
      <c r="U113" s="3">
        <f t="shared" si="24"/>
        <v>0</v>
      </c>
      <c r="V113" s="3">
        <f>IF(AND($L113=1,AND(对接源_01水果!$X113="自备筐",N(对接源_01水果!$V113)&lt;&gt;0)),1,0)</f>
        <v>0</v>
      </c>
      <c r="W113" s="3">
        <f t="shared" si="25"/>
        <v>0</v>
      </c>
      <c r="X113" s="3">
        <f>IF(AND($L113=1,AND(对接源_01水果!$X113="自备筐",N(对接源_01水果!$T113)&lt;&gt;0)),1,0)</f>
        <v>0</v>
      </c>
      <c r="Y113" s="3">
        <f t="shared" si="26"/>
        <v>0</v>
      </c>
      <c r="Z113" s="3">
        <f>IF(AND($M113=1,对接源_01水果!$D113="原料入库"),1,0)</f>
        <v>0</v>
      </c>
      <c r="AA113" s="3">
        <f t="shared" si="27"/>
        <v>0</v>
      </c>
      <c r="AB113" s="3">
        <f>IF(AND($M113=1,LEFT(对接源_01水果!$D113,4)="原料出库"),1,0)</f>
        <v>0</v>
      </c>
      <c r="AC113" s="3">
        <f t="shared" si="28"/>
        <v>0</v>
      </c>
      <c r="AD113" s="3">
        <f>IF(AND($M113=1,LEFT(对接源_01水果!$D113,4)="成品出库"),1,0)</f>
        <v>0</v>
      </c>
      <c r="AE113" s="3">
        <f t="shared" si="29"/>
        <v>0</v>
      </c>
      <c r="AF113" s="3">
        <f>IF(AND($N113=1,AND(LEFT(对接源_01水果!$D113,4)="包装物料",N(对接源_01水果!$K113)&lt;&gt;0)),1,0)</f>
        <v>0</v>
      </c>
      <c r="AG113" s="3">
        <f t="shared" si="30"/>
        <v>0</v>
      </c>
      <c r="AH113" s="3">
        <f>IF(AND($N113=1,AND(对接源_01水果!$D113="周转筐－销售出库",N(对接源_01水果!$K113)&lt;&gt;0)),1,0)</f>
        <v>0</v>
      </c>
      <c r="AI113" s="3">
        <f t="shared" si="31"/>
        <v>0</v>
      </c>
      <c r="AJ113" s="7"/>
      <c r="AL113" s="3">
        <f>IF(OR($AL$1="",对接源_01水果!$Y113="",对接源_01水果!$Y113&lt;&gt;$AL$1,对接源_01水果!$B113="",N(对接源_01水果!$AJ113)&lt;=0),0,IF(OR(N(对接源_01水果!$B113)&lt;$AL$2,N(对接源_01水果!$B113)&gt;$AL$3),0,1))</f>
        <v>0</v>
      </c>
      <c r="AM113" s="3">
        <f t="shared" si="32"/>
        <v>0</v>
      </c>
      <c r="AN113" s="3" t="str">
        <f>IF(对接源_01水果!$AC113="","",对接源_01水果!$AC113)</f>
        <v/>
      </c>
      <c r="AO113" s="3">
        <f t="shared" si="33"/>
        <v>0</v>
      </c>
      <c r="AP113" s="3">
        <f t="shared" si="34"/>
        <v>0</v>
      </c>
      <c r="AQ113" s="3" t="str">
        <f t="shared" si="35"/>
        <v/>
      </c>
      <c r="AR113">
        <f t="shared" si="36"/>
        <v>0</v>
      </c>
      <c r="AS113">
        <f t="shared" si="37"/>
        <v>0</v>
      </c>
    </row>
    <row r="114" ht="14.25" customHeight="1" spans="1:45">
      <c r="A114" s="3" t="str">
        <f>IF(对接源_01水果!$C114="","",对接源_01水果!$C114)</f>
        <v>聂新平</v>
      </c>
      <c r="B114" s="3">
        <f t="shared" si="19"/>
        <v>0</v>
      </c>
      <c r="C114" s="3">
        <f t="shared" si="20"/>
        <v>4</v>
      </c>
      <c r="E114" s="3" t="str">
        <f t="shared" si="21"/>
        <v/>
      </c>
      <c r="K114" s="3">
        <f>IF(OR($K$1="",对接源_01水果!$C114="",对接源_01水果!$C114&lt;&gt;$K$1,对接源_01水果!$B114=""),0,IF(OR(N(对接源_01水果!$B114)&lt;$K$2,N(对接源_01水果!$B114)&gt;$K$3),0,1))</f>
        <v>0</v>
      </c>
      <c r="L114" s="3">
        <f>IF(OR($L$1="",对接源_01水果!$C114="",对接源_01水果!$C114&lt;&gt;$L$1,对接源_01水果!$B114=""),0,IF(OR(N(对接源_01水果!$B114)&lt;$L$2,N(对接源_01水果!$B114)&gt;$L$3),0,1))</f>
        <v>0</v>
      </c>
      <c r="M114" s="3">
        <f>IF(OR($M$1="",对接源_01水果!$C114="",对接源_01水果!$C114&lt;&gt;$M$1,对接源_01水果!$B114=""),0,IF(OR(N(对接源_01水果!$B114)&lt;$M$2,N(对接源_01水果!$B114)&gt;$M$3),0,1))</f>
        <v>0</v>
      </c>
      <c r="N114" s="3">
        <f>IF(OR($N$1="",对接源_01水果!$C114="",对接源_01水果!$C114&lt;&gt;$N$1,对接源_01水果!$B114=""),0,IF(OR(N(对接源_01水果!$B114)&lt;$N$2,N(对接源_01水果!$B114)&gt;$N$3),0,1))</f>
        <v>0</v>
      </c>
      <c r="P114" s="3">
        <f>IF(AND($K114=1,AND(对接源_01水果!$X114="公司筐",N(对接源_01水果!$T114)&lt;&gt;0)),1,0)</f>
        <v>0</v>
      </c>
      <c r="Q114" s="3">
        <f t="shared" si="22"/>
        <v>0</v>
      </c>
      <c r="R114" s="3">
        <f>IF(AND($K114=1,AND(对接源_01水果!$X114="公司筐",N(对接源_01水果!$U114)&lt;&gt;0)),1,0)</f>
        <v>0</v>
      </c>
      <c r="S114" s="3">
        <f t="shared" si="23"/>
        <v>0</v>
      </c>
      <c r="T114" s="3">
        <f>IF(AND($K114=1,AND(对接源_01水果!$X114="公司筐",N(对接源_01水果!$V114)&lt;&gt;0)),1,0)</f>
        <v>0</v>
      </c>
      <c r="U114" s="3">
        <f t="shared" si="24"/>
        <v>0</v>
      </c>
      <c r="V114" s="3">
        <f>IF(AND($L114=1,AND(对接源_01水果!$X114="自备筐",N(对接源_01水果!$V114)&lt;&gt;0)),1,0)</f>
        <v>0</v>
      </c>
      <c r="W114" s="3">
        <f t="shared" si="25"/>
        <v>0</v>
      </c>
      <c r="X114" s="3">
        <f>IF(AND($L114=1,AND(对接源_01水果!$X114="自备筐",N(对接源_01水果!$T114)&lt;&gt;0)),1,0)</f>
        <v>0</v>
      </c>
      <c r="Y114" s="3">
        <f t="shared" si="26"/>
        <v>0</v>
      </c>
      <c r="Z114" s="3">
        <f>IF(AND($M114=1,对接源_01水果!$D114="原料入库"),1,0)</f>
        <v>0</v>
      </c>
      <c r="AA114" s="3">
        <f t="shared" si="27"/>
        <v>0</v>
      </c>
      <c r="AB114" s="3">
        <f>IF(AND($M114=1,LEFT(对接源_01水果!$D114,4)="原料出库"),1,0)</f>
        <v>0</v>
      </c>
      <c r="AC114" s="3">
        <f t="shared" si="28"/>
        <v>0</v>
      </c>
      <c r="AD114" s="3">
        <f>IF(AND($M114=1,LEFT(对接源_01水果!$D114,4)="成品出库"),1,0)</f>
        <v>0</v>
      </c>
      <c r="AE114" s="3">
        <f t="shared" si="29"/>
        <v>0</v>
      </c>
      <c r="AF114" s="3">
        <f>IF(AND($N114=1,AND(LEFT(对接源_01水果!$D114,4)="包装物料",N(对接源_01水果!$K114)&lt;&gt;0)),1,0)</f>
        <v>0</v>
      </c>
      <c r="AG114" s="3">
        <f t="shared" si="30"/>
        <v>0</v>
      </c>
      <c r="AH114" s="3">
        <f>IF(AND($N114=1,AND(对接源_01水果!$D114="周转筐－销售出库",N(对接源_01水果!$K114)&lt;&gt;0)),1,0)</f>
        <v>0</v>
      </c>
      <c r="AI114" s="3">
        <f t="shared" si="31"/>
        <v>0</v>
      </c>
      <c r="AJ114" s="7"/>
      <c r="AL114" s="3">
        <f>IF(OR($AL$1="",对接源_01水果!$Y114="",对接源_01水果!$Y114&lt;&gt;$AL$1,对接源_01水果!$B114="",N(对接源_01水果!$AJ114)&lt;=0),0,IF(OR(N(对接源_01水果!$B114)&lt;$AL$2,N(对接源_01水果!$B114)&gt;$AL$3),0,1))</f>
        <v>0</v>
      </c>
      <c r="AM114" s="3">
        <f t="shared" si="32"/>
        <v>0</v>
      </c>
      <c r="AN114" s="3" t="str">
        <f>IF(对接源_01水果!$AC114="","",对接源_01水果!$AC114)</f>
        <v/>
      </c>
      <c r="AO114" s="3">
        <f t="shared" si="33"/>
        <v>0</v>
      </c>
      <c r="AP114" s="3">
        <f t="shared" si="34"/>
        <v>0</v>
      </c>
      <c r="AQ114" s="3" t="str">
        <f t="shared" si="35"/>
        <v/>
      </c>
      <c r="AR114">
        <f t="shared" si="36"/>
        <v>0</v>
      </c>
      <c r="AS114">
        <f t="shared" si="37"/>
        <v>0</v>
      </c>
    </row>
    <row r="115" ht="14.25" customHeight="1" spans="1:45">
      <c r="A115" s="3" t="str">
        <f>IF(对接源_01水果!$C115="","",对接源_01水果!$C115)</f>
        <v>聂新平</v>
      </c>
      <c r="B115" s="3">
        <f t="shared" si="19"/>
        <v>0</v>
      </c>
      <c r="C115" s="3">
        <f t="shared" si="20"/>
        <v>4</v>
      </c>
      <c r="E115" s="3" t="str">
        <f t="shared" si="21"/>
        <v/>
      </c>
      <c r="K115" s="3">
        <f>IF(OR($K$1="",对接源_01水果!$C115="",对接源_01水果!$C115&lt;&gt;$K$1,对接源_01水果!$B115=""),0,IF(OR(N(对接源_01水果!$B115)&lt;$K$2,N(对接源_01水果!$B115)&gt;$K$3),0,1))</f>
        <v>0</v>
      </c>
      <c r="L115" s="3">
        <f>IF(OR($L$1="",对接源_01水果!$C115="",对接源_01水果!$C115&lt;&gt;$L$1,对接源_01水果!$B115=""),0,IF(OR(N(对接源_01水果!$B115)&lt;$L$2,N(对接源_01水果!$B115)&gt;$L$3),0,1))</f>
        <v>0</v>
      </c>
      <c r="M115" s="3">
        <f>IF(OR($M$1="",对接源_01水果!$C115="",对接源_01水果!$C115&lt;&gt;$M$1,对接源_01水果!$B115=""),0,IF(OR(N(对接源_01水果!$B115)&lt;$M$2,N(对接源_01水果!$B115)&gt;$M$3),0,1))</f>
        <v>0</v>
      </c>
      <c r="N115" s="3">
        <f>IF(OR($N$1="",对接源_01水果!$C115="",对接源_01水果!$C115&lt;&gt;$N$1,对接源_01水果!$B115=""),0,IF(OR(N(对接源_01水果!$B115)&lt;$N$2,N(对接源_01水果!$B115)&gt;$N$3),0,1))</f>
        <v>0</v>
      </c>
      <c r="P115" s="3">
        <f>IF(AND($K115=1,AND(对接源_01水果!$X115="公司筐",N(对接源_01水果!$T115)&lt;&gt;0)),1,0)</f>
        <v>0</v>
      </c>
      <c r="Q115" s="3">
        <f t="shared" si="22"/>
        <v>0</v>
      </c>
      <c r="R115" s="3">
        <f>IF(AND($K115=1,AND(对接源_01水果!$X115="公司筐",N(对接源_01水果!$U115)&lt;&gt;0)),1,0)</f>
        <v>0</v>
      </c>
      <c r="S115" s="3">
        <f t="shared" si="23"/>
        <v>0</v>
      </c>
      <c r="T115" s="3">
        <f>IF(AND($K115=1,AND(对接源_01水果!$X115="公司筐",N(对接源_01水果!$V115)&lt;&gt;0)),1,0)</f>
        <v>0</v>
      </c>
      <c r="U115" s="3">
        <f t="shared" si="24"/>
        <v>0</v>
      </c>
      <c r="V115" s="3">
        <f>IF(AND($L115=1,AND(对接源_01水果!$X115="自备筐",N(对接源_01水果!$V115)&lt;&gt;0)),1,0)</f>
        <v>0</v>
      </c>
      <c r="W115" s="3">
        <f t="shared" si="25"/>
        <v>0</v>
      </c>
      <c r="X115" s="3">
        <f>IF(AND($L115=1,AND(对接源_01水果!$X115="自备筐",N(对接源_01水果!$T115)&lt;&gt;0)),1,0)</f>
        <v>0</v>
      </c>
      <c r="Y115" s="3">
        <f t="shared" si="26"/>
        <v>0</v>
      </c>
      <c r="Z115" s="3">
        <f>IF(AND($M115=1,对接源_01水果!$D115="原料入库"),1,0)</f>
        <v>0</v>
      </c>
      <c r="AA115" s="3">
        <f t="shared" si="27"/>
        <v>0</v>
      </c>
      <c r="AB115" s="3">
        <f>IF(AND($M115=1,LEFT(对接源_01水果!$D115,4)="原料出库"),1,0)</f>
        <v>0</v>
      </c>
      <c r="AC115" s="3">
        <f t="shared" si="28"/>
        <v>0</v>
      </c>
      <c r="AD115" s="3">
        <f>IF(AND($M115=1,LEFT(对接源_01水果!$D115,4)="成品出库"),1,0)</f>
        <v>0</v>
      </c>
      <c r="AE115" s="3">
        <f t="shared" si="29"/>
        <v>0</v>
      </c>
      <c r="AF115" s="3">
        <f>IF(AND($N115=1,AND(LEFT(对接源_01水果!$D115,4)="包装物料",N(对接源_01水果!$K115)&lt;&gt;0)),1,0)</f>
        <v>0</v>
      </c>
      <c r="AG115" s="3">
        <f t="shared" si="30"/>
        <v>0</v>
      </c>
      <c r="AH115" s="3">
        <f>IF(AND($N115=1,AND(对接源_01水果!$D115="周转筐－销售出库",N(对接源_01水果!$K115)&lt;&gt;0)),1,0)</f>
        <v>0</v>
      </c>
      <c r="AI115" s="3">
        <f t="shared" si="31"/>
        <v>0</v>
      </c>
      <c r="AJ115" s="7"/>
      <c r="AL115" s="3">
        <f>IF(OR($AL$1="",对接源_01水果!$Y115="",对接源_01水果!$Y115&lt;&gt;$AL$1,对接源_01水果!$B115="",N(对接源_01水果!$AJ115)&lt;=0),0,IF(OR(N(对接源_01水果!$B115)&lt;$AL$2,N(对接源_01水果!$B115)&gt;$AL$3),0,1))</f>
        <v>0</v>
      </c>
      <c r="AM115" s="3">
        <f t="shared" si="32"/>
        <v>0</v>
      </c>
      <c r="AN115" s="3" t="str">
        <f>IF(对接源_01水果!$AC115="","",对接源_01水果!$AC115)</f>
        <v/>
      </c>
      <c r="AO115" s="3">
        <f t="shared" si="33"/>
        <v>0</v>
      </c>
      <c r="AP115" s="3">
        <f t="shared" si="34"/>
        <v>0</v>
      </c>
      <c r="AQ115" s="3" t="str">
        <f t="shared" si="35"/>
        <v/>
      </c>
      <c r="AR115">
        <f t="shared" si="36"/>
        <v>0</v>
      </c>
      <c r="AS115">
        <f t="shared" si="37"/>
        <v>0</v>
      </c>
    </row>
    <row r="116" ht="14.25" customHeight="1" spans="1:45">
      <c r="A116" s="3" t="str">
        <f>IF(对接源_01水果!$C116="","",对接源_01水果!$C116)</f>
        <v>聂新平</v>
      </c>
      <c r="B116" s="3">
        <f t="shared" si="19"/>
        <v>0</v>
      </c>
      <c r="C116" s="3">
        <f t="shared" si="20"/>
        <v>4</v>
      </c>
      <c r="E116" s="3" t="str">
        <f t="shared" si="21"/>
        <v/>
      </c>
      <c r="K116" s="3">
        <f>IF(OR($K$1="",对接源_01水果!$C116="",对接源_01水果!$C116&lt;&gt;$K$1,对接源_01水果!$B116=""),0,IF(OR(N(对接源_01水果!$B116)&lt;$K$2,N(对接源_01水果!$B116)&gt;$K$3),0,1))</f>
        <v>0</v>
      </c>
      <c r="L116" s="3">
        <f>IF(OR($L$1="",对接源_01水果!$C116="",对接源_01水果!$C116&lt;&gt;$L$1,对接源_01水果!$B116=""),0,IF(OR(N(对接源_01水果!$B116)&lt;$L$2,N(对接源_01水果!$B116)&gt;$L$3),0,1))</f>
        <v>0</v>
      </c>
      <c r="M116" s="3">
        <f>IF(OR($M$1="",对接源_01水果!$C116="",对接源_01水果!$C116&lt;&gt;$M$1,对接源_01水果!$B116=""),0,IF(OR(N(对接源_01水果!$B116)&lt;$M$2,N(对接源_01水果!$B116)&gt;$M$3),0,1))</f>
        <v>0</v>
      </c>
      <c r="N116" s="3">
        <f>IF(OR($N$1="",对接源_01水果!$C116="",对接源_01水果!$C116&lt;&gt;$N$1,对接源_01水果!$B116=""),0,IF(OR(N(对接源_01水果!$B116)&lt;$N$2,N(对接源_01水果!$B116)&gt;$N$3),0,1))</f>
        <v>0</v>
      </c>
      <c r="P116" s="3">
        <f>IF(AND($K116=1,AND(对接源_01水果!$X116="公司筐",N(对接源_01水果!$T116)&lt;&gt;0)),1,0)</f>
        <v>0</v>
      </c>
      <c r="Q116" s="3">
        <f t="shared" si="22"/>
        <v>0</v>
      </c>
      <c r="R116" s="3">
        <f>IF(AND($K116=1,AND(对接源_01水果!$X116="公司筐",N(对接源_01水果!$U116)&lt;&gt;0)),1,0)</f>
        <v>0</v>
      </c>
      <c r="S116" s="3">
        <f t="shared" si="23"/>
        <v>0</v>
      </c>
      <c r="T116" s="3">
        <f>IF(AND($K116=1,AND(对接源_01水果!$X116="公司筐",N(对接源_01水果!$V116)&lt;&gt;0)),1,0)</f>
        <v>0</v>
      </c>
      <c r="U116" s="3">
        <f t="shared" si="24"/>
        <v>0</v>
      </c>
      <c r="V116" s="3">
        <f>IF(AND($L116=1,AND(对接源_01水果!$X116="自备筐",N(对接源_01水果!$V116)&lt;&gt;0)),1,0)</f>
        <v>0</v>
      </c>
      <c r="W116" s="3">
        <f t="shared" si="25"/>
        <v>0</v>
      </c>
      <c r="X116" s="3">
        <f>IF(AND($L116=1,AND(对接源_01水果!$X116="自备筐",N(对接源_01水果!$T116)&lt;&gt;0)),1,0)</f>
        <v>0</v>
      </c>
      <c r="Y116" s="3">
        <f t="shared" si="26"/>
        <v>0</v>
      </c>
      <c r="Z116" s="3">
        <f>IF(AND($M116=1,对接源_01水果!$D116="原料入库"),1,0)</f>
        <v>0</v>
      </c>
      <c r="AA116" s="3">
        <f t="shared" si="27"/>
        <v>0</v>
      </c>
      <c r="AB116" s="3">
        <f>IF(AND($M116=1,LEFT(对接源_01水果!$D116,4)="原料出库"),1,0)</f>
        <v>0</v>
      </c>
      <c r="AC116" s="3">
        <f t="shared" si="28"/>
        <v>0</v>
      </c>
      <c r="AD116" s="3">
        <f>IF(AND($M116=1,LEFT(对接源_01水果!$D116,4)="成品出库"),1,0)</f>
        <v>0</v>
      </c>
      <c r="AE116" s="3">
        <f t="shared" si="29"/>
        <v>0</v>
      </c>
      <c r="AF116" s="3">
        <f>IF(AND($N116=1,AND(LEFT(对接源_01水果!$D116,4)="包装物料",N(对接源_01水果!$K116)&lt;&gt;0)),1,0)</f>
        <v>0</v>
      </c>
      <c r="AG116" s="3">
        <f t="shared" si="30"/>
        <v>0</v>
      </c>
      <c r="AH116" s="3">
        <f>IF(AND($N116=1,AND(对接源_01水果!$D116="周转筐－销售出库",N(对接源_01水果!$K116)&lt;&gt;0)),1,0)</f>
        <v>0</v>
      </c>
      <c r="AI116" s="3">
        <f t="shared" si="31"/>
        <v>0</v>
      </c>
      <c r="AJ116" s="7"/>
      <c r="AL116" s="3">
        <f>IF(OR($AL$1="",对接源_01水果!$Y116="",对接源_01水果!$Y116&lt;&gt;$AL$1,对接源_01水果!$B116="",N(对接源_01水果!$AJ116)&lt;=0),0,IF(OR(N(对接源_01水果!$B116)&lt;$AL$2,N(对接源_01水果!$B116)&gt;$AL$3),0,1))</f>
        <v>0</v>
      </c>
      <c r="AM116" s="3">
        <f t="shared" si="32"/>
        <v>0</v>
      </c>
      <c r="AN116" s="3" t="str">
        <f>IF(对接源_01水果!$AC116="","",对接源_01水果!$AC116)</f>
        <v/>
      </c>
      <c r="AO116" s="3">
        <f t="shared" si="33"/>
        <v>0</v>
      </c>
      <c r="AP116" s="3">
        <f t="shared" si="34"/>
        <v>0</v>
      </c>
      <c r="AQ116" s="3" t="str">
        <f t="shared" si="35"/>
        <v/>
      </c>
      <c r="AR116">
        <f t="shared" si="36"/>
        <v>0</v>
      </c>
      <c r="AS116">
        <f t="shared" si="37"/>
        <v>0</v>
      </c>
    </row>
    <row r="117" ht="14.25" customHeight="1" spans="1:45">
      <c r="A117" s="3" t="str">
        <f>IF(对接源_01水果!$C117="","",对接源_01水果!$C117)</f>
        <v>聂新平</v>
      </c>
      <c r="B117" s="3">
        <f t="shared" si="19"/>
        <v>0</v>
      </c>
      <c r="C117" s="3">
        <f t="shared" si="20"/>
        <v>4</v>
      </c>
      <c r="E117" s="3" t="str">
        <f t="shared" si="21"/>
        <v/>
      </c>
      <c r="K117" s="3">
        <f>IF(OR($K$1="",对接源_01水果!$C117="",对接源_01水果!$C117&lt;&gt;$K$1,对接源_01水果!$B117=""),0,IF(OR(N(对接源_01水果!$B117)&lt;$K$2,N(对接源_01水果!$B117)&gt;$K$3),0,1))</f>
        <v>0</v>
      </c>
      <c r="L117" s="3">
        <f>IF(OR($L$1="",对接源_01水果!$C117="",对接源_01水果!$C117&lt;&gt;$L$1,对接源_01水果!$B117=""),0,IF(OR(N(对接源_01水果!$B117)&lt;$L$2,N(对接源_01水果!$B117)&gt;$L$3),0,1))</f>
        <v>0</v>
      </c>
      <c r="M117" s="3">
        <f>IF(OR($M$1="",对接源_01水果!$C117="",对接源_01水果!$C117&lt;&gt;$M$1,对接源_01水果!$B117=""),0,IF(OR(N(对接源_01水果!$B117)&lt;$M$2,N(对接源_01水果!$B117)&gt;$M$3),0,1))</f>
        <v>0</v>
      </c>
      <c r="N117" s="3">
        <f>IF(OR($N$1="",对接源_01水果!$C117="",对接源_01水果!$C117&lt;&gt;$N$1,对接源_01水果!$B117=""),0,IF(OR(N(对接源_01水果!$B117)&lt;$N$2,N(对接源_01水果!$B117)&gt;$N$3),0,1))</f>
        <v>0</v>
      </c>
      <c r="P117" s="3">
        <f>IF(AND($K117=1,AND(对接源_01水果!$X117="公司筐",N(对接源_01水果!$T117)&lt;&gt;0)),1,0)</f>
        <v>0</v>
      </c>
      <c r="Q117" s="3">
        <f t="shared" si="22"/>
        <v>0</v>
      </c>
      <c r="R117" s="3">
        <f>IF(AND($K117=1,AND(对接源_01水果!$X117="公司筐",N(对接源_01水果!$U117)&lt;&gt;0)),1,0)</f>
        <v>0</v>
      </c>
      <c r="S117" s="3">
        <f t="shared" si="23"/>
        <v>0</v>
      </c>
      <c r="T117" s="3">
        <f>IF(AND($K117=1,AND(对接源_01水果!$X117="公司筐",N(对接源_01水果!$V117)&lt;&gt;0)),1,0)</f>
        <v>0</v>
      </c>
      <c r="U117" s="3">
        <f t="shared" si="24"/>
        <v>0</v>
      </c>
      <c r="V117" s="3">
        <f>IF(AND($L117=1,AND(对接源_01水果!$X117="自备筐",N(对接源_01水果!$V117)&lt;&gt;0)),1,0)</f>
        <v>0</v>
      </c>
      <c r="W117" s="3">
        <f t="shared" si="25"/>
        <v>0</v>
      </c>
      <c r="X117" s="3">
        <f>IF(AND($L117=1,AND(对接源_01水果!$X117="自备筐",N(对接源_01水果!$T117)&lt;&gt;0)),1,0)</f>
        <v>0</v>
      </c>
      <c r="Y117" s="3">
        <f t="shared" si="26"/>
        <v>0</v>
      </c>
      <c r="Z117" s="3">
        <f>IF(AND($M117=1,对接源_01水果!$D117="原料入库"),1,0)</f>
        <v>0</v>
      </c>
      <c r="AA117" s="3">
        <f t="shared" si="27"/>
        <v>0</v>
      </c>
      <c r="AB117" s="3">
        <f>IF(AND($M117=1,LEFT(对接源_01水果!$D117,4)="原料出库"),1,0)</f>
        <v>0</v>
      </c>
      <c r="AC117" s="3">
        <f t="shared" si="28"/>
        <v>0</v>
      </c>
      <c r="AD117" s="3">
        <f>IF(AND($M117=1,LEFT(对接源_01水果!$D117,4)="成品出库"),1,0)</f>
        <v>0</v>
      </c>
      <c r="AE117" s="3">
        <f t="shared" si="29"/>
        <v>0</v>
      </c>
      <c r="AF117" s="3">
        <f>IF(AND($N117=1,AND(LEFT(对接源_01水果!$D117,4)="包装物料",N(对接源_01水果!$K117)&lt;&gt;0)),1,0)</f>
        <v>0</v>
      </c>
      <c r="AG117" s="3">
        <f t="shared" si="30"/>
        <v>0</v>
      </c>
      <c r="AH117" s="3">
        <f>IF(AND($N117=1,AND(对接源_01水果!$D117="周转筐－销售出库",N(对接源_01水果!$K117)&lt;&gt;0)),1,0)</f>
        <v>0</v>
      </c>
      <c r="AI117" s="3">
        <f t="shared" si="31"/>
        <v>0</v>
      </c>
      <c r="AJ117" s="7"/>
      <c r="AL117" s="3">
        <f>IF(OR($AL$1="",对接源_01水果!$Y117="",对接源_01水果!$Y117&lt;&gt;$AL$1,对接源_01水果!$B117="",N(对接源_01水果!$AJ117)&lt;=0),0,IF(OR(N(对接源_01水果!$B117)&lt;$AL$2,N(对接源_01水果!$B117)&gt;$AL$3),0,1))</f>
        <v>0</v>
      </c>
      <c r="AM117" s="3">
        <f t="shared" si="32"/>
        <v>0</v>
      </c>
      <c r="AN117" s="3" t="str">
        <f>IF(对接源_01水果!$AC117="","",对接源_01水果!$AC117)</f>
        <v/>
      </c>
      <c r="AO117" s="3">
        <f t="shared" si="33"/>
        <v>0</v>
      </c>
      <c r="AP117" s="3">
        <f t="shared" si="34"/>
        <v>0</v>
      </c>
      <c r="AQ117" s="3" t="str">
        <f t="shared" si="35"/>
        <v/>
      </c>
      <c r="AR117">
        <f t="shared" si="36"/>
        <v>0</v>
      </c>
      <c r="AS117">
        <f t="shared" si="37"/>
        <v>0</v>
      </c>
    </row>
    <row r="118" ht="14.25" customHeight="1" spans="1:45">
      <c r="A118" s="3" t="str">
        <f>IF(对接源_01水果!$C118="","",对接源_01水果!$C118)</f>
        <v>聂新平</v>
      </c>
      <c r="B118" s="3">
        <f t="shared" si="19"/>
        <v>0</v>
      </c>
      <c r="C118" s="3">
        <f t="shared" si="20"/>
        <v>4</v>
      </c>
      <c r="E118" s="3" t="str">
        <f t="shared" si="21"/>
        <v/>
      </c>
      <c r="K118" s="3">
        <f>IF(OR($K$1="",对接源_01水果!$C118="",对接源_01水果!$C118&lt;&gt;$K$1,对接源_01水果!$B118=""),0,IF(OR(N(对接源_01水果!$B118)&lt;$K$2,N(对接源_01水果!$B118)&gt;$K$3),0,1))</f>
        <v>0</v>
      </c>
      <c r="L118" s="3">
        <f>IF(OR($L$1="",对接源_01水果!$C118="",对接源_01水果!$C118&lt;&gt;$L$1,对接源_01水果!$B118=""),0,IF(OR(N(对接源_01水果!$B118)&lt;$L$2,N(对接源_01水果!$B118)&gt;$L$3),0,1))</f>
        <v>0</v>
      </c>
      <c r="M118" s="3">
        <f>IF(OR($M$1="",对接源_01水果!$C118="",对接源_01水果!$C118&lt;&gt;$M$1,对接源_01水果!$B118=""),0,IF(OR(N(对接源_01水果!$B118)&lt;$M$2,N(对接源_01水果!$B118)&gt;$M$3),0,1))</f>
        <v>0</v>
      </c>
      <c r="N118" s="3">
        <f>IF(OR($N$1="",对接源_01水果!$C118="",对接源_01水果!$C118&lt;&gt;$N$1,对接源_01水果!$B118=""),0,IF(OR(N(对接源_01水果!$B118)&lt;$N$2,N(对接源_01水果!$B118)&gt;$N$3),0,1))</f>
        <v>0</v>
      </c>
      <c r="P118" s="3">
        <f>IF(AND($K118=1,AND(对接源_01水果!$X118="公司筐",N(对接源_01水果!$T118)&lt;&gt;0)),1,0)</f>
        <v>0</v>
      </c>
      <c r="Q118" s="3">
        <f t="shared" si="22"/>
        <v>0</v>
      </c>
      <c r="R118" s="3">
        <f>IF(AND($K118=1,AND(对接源_01水果!$X118="公司筐",N(对接源_01水果!$U118)&lt;&gt;0)),1,0)</f>
        <v>0</v>
      </c>
      <c r="S118" s="3">
        <f t="shared" si="23"/>
        <v>0</v>
      </c>
      <c r="T118" s="3">
        <f>IF(AND($K118=1,AND(对接源_01水果!$X118="公司筐",N(对接源_01水果!$V118)&lt;&gt;0)),1,0)</f>
        <v>0</v>
      </c>
      <c r="U118" s="3">
        <f t="shared" si="24"/>
        <v>0</v>
      </c>
      <c r="V118" s="3">
        <f>IF(AND($L118=1,AND(对接源_01水果!$X118="自备筐",N(对接源_01水果!$V118)&lt;&gt;0)),1,0)</f>
        <v>0</v>
      </c>
      <c r="W118" s="3">
        <f t="shared" si="25"/>
        <v>0</v>
      </c>
      <c r="X118" s="3">
        <f>IF(AND($L118=1,AND(对接源_01水果!$X118="自备筐",N(对接源_01水果!$T118)&lt;&gt;0)),1,0)</f>
        <v>0</v>
      </c>
      <c r="Y118" s="3">
        <f t="shared" si="26"/>
        <v>0</v>
      </c>
      <c r="Z118" s="3">
        <f>IF(AND($M118=1,对接源_01水果!$D118="原料入库"),1,0)</f>
        <v>0</v>
      </c>
      <c r="AA118" s="3">
        <f t="shared" si="27"/>
        <v>0</v>
      </c>
      <c r="AB118" s="3">
        <f>IF(AND($M118=1,LEFT(对接源_01水果!$D118,4)="原料出库"),1,0)</f>
        <v>0</v>
      </c>
      <c r="AC118" s="3">
        <f t="shared" si="28"/>
        <v>0</v>
      </c>
      <c r="AD118" s="3">
        <f>IF(AND($M118=1,LEFT(对接源_01水果!$D118,4)="成品出库"),1,0)</f>
        <v>0</v>
      </c>
      <c r="AE118" s="3">
        <f t="shared" si="29"/>
        <v>0</v>
      </c>
      <c r="AF118" s="3">
        <f>IF(AND($N118=1,AND(LEFT(对接源_01水果!$D118,4)="包装物料",N(对接源_01水果!$K118)&lt;&gt;0)),1,0)</f>
        <v>0</v>
      </c>
      <c r="AG118" s="3">
        <f t="shared" si="30"/>
        <v>0</v>
      </c>
      <c r="AH118" s="3">
        <f>IF(AND($N118=1,AND(对接源_01水果!$D118="周转筐－销售出库",N(对接源_01水果!$K118)&lt;&gt;0)),1,0)</f>
        <v>0</v>
      </c>
      <c r="AI118" s="3">
        <f t="shared" si="31"/>
        <v>0</v>
      </c>
      <c r="AJ118" s="7"/>
      <c r="AL118" s="3">
        <f>IF(OR($AL$1="",对接源_01水果!$Y118="",对接源_01水果!$Y118&lt;&gt;$AL$1,对接源_01水果!$B118="",N(对接源_01水果!$AJ118)&lt;=0),0,IF(OR(N(对接源_01水果!$B118)&lt;$AL$2,N(对接源_01水果!$B118)&gt;$AL$3),0,1))</f>
        <v>0</v>
      </c>
      <c r="AM118" s="3">
        <f t="shared" si="32"/>
        <v>0</v>
      </c>
      <c r="AN118" s="3" t="str">
        <f>IF(对接源_01水果!$AC118="","",对接源_01水果!$AC118)</f>
        <v/>
      </c>
      <c r="AO118" s="3">
        <f t="shared" si="33"/>
        <v>0</v>
      </c>
      <c r="AP118" s="3">
        <f t="shared" si="34"/>
        <v>0</v>
      </c>
      <c r="AQ118" s="3" t="str">
        <f t="shared" si="35"/>
        <v/>
      </c>
      <c r="AR118">
        <f t="shared" si="36"/>
        <v>0</v>
      </c>
      <c r="AS118">
        <f t="shared" si="37"/>
        <v>0</v>
      </c>
    </row>
    <row r="119" ht="14.25" customHeight="1" spans="1:45">
      <c r="A119" s="3" t="str">
        <f>IF(对接源_01水果!$C119="","",对接源_01水果!$C119)</f>
        <v>聂新平</v>
      </c>
      <c r="B119" s="3">
        <f t="shared" si="19"/>
        <v>0</v>
      </c>
      <c r="C119" s="3">
        <f t="shared" si="20"/>
        <v>4</v>
      </c>
      <c r="E119" s="3" t="str">
        <f t="shared" si="21"/>
        <v/>
      </c>
      <c r="K119" s="3">
        <f>IF(OR($K$1="",对接源_01水果!$C119="",对接源_01水果!$C119&lt;&gt;$K$1,对接源_01水果!$B119=""),0,IF(OR(N(对接源_01水果!$B119)&lt;$K$2,N(对接源_01水果!$B119)&gt;$K$3),0,1))</f>
        <v>0</v>
      </c>
      <c r="L119" s="3">
        <f>IF(OR($L$1="",对接源_01水果!$C119="",对接源_01水果!$C119&lt;&gt;$L$1,对接源_01水果!$B119=""),0,IF(OR(N(对接源_01水果!$B119)&lt;$L$2,N(对接源_01水果!$B119)&gt;$L$3),0,1))</f>
        <v>0</v>
      </c>
      <c r="M119" s="3">
        <f>IF(OR($M$1="",对接源_01水果!$C119="",对接源_01水果!$C119&lt;&gt;$M$1,对接源_01水果!$B119=""),0,IF(OR(N(对接源_01水果!$B119)&lt;$M$2,N(对接源_01水果!$B119)&gt;$M$3),0,1))</f>
        <v>0</v>
      </c>
      <c r="N119" s="3">
        <f>IF(OR($N$1="",对接源_01水果!$C119="",对接源_01水果!$C119&lt;&gt;$N$1,对接源_01水果!$B119=""),0,IF(OR(N(对接源_01水果!$B119)&lt;$N$2,N(对接源_01水果!$B119)&gt;$N$3),0,1))</f>
        <v>0</v>
      </c>
      <c r="P119" s="3">
        <f>IF(AND($K119=1,AND(对接源_01水果!$X119="公司筐",N(对接源_01水果!$T119)&lt;&gt;0)),1,0)</f>
        <v>0</v>
      </c>
      <c r="Q119" s="3">
        <f t="shared" si="22"/>
        <v>0</v>
      </c>
      <c r="R119" s="3">
        <f>IF(AND($K119=1,AND(对接源_01水果!$X119="公司筐",N(对接源_01水果!$U119)&lt;&gt;0)),1,0)</f>
        <v>0</v>
      </c>
      <c r="S119" s="3">
        <f t="shared" si="23"/>
        <v>0</v>
      </c>
      <c r="T119" s="3">
        <f>IF(AND($K119=1,AND(对接源_01水果!$X119="公司筐",N(对接源_01水果!$V119)&lt;&gt;0)),1,0)</f>
        <v>0</v>
      </c>
      <c r="U119" s="3">
        <f t="shared" si="24"/>
        <v>0</v>
      </c>
      <c r="V119" s="3">
        <f>IF(AND($L119=1,AND(对接源_01水果!$X119="自备筐",N(对接源_01水果!$V119)&lt;&gt;0)),1,0)</f>
        <v>0</v>
      </c>
      <c r="W119" s="3">
        <f t="shared" si="25"/>
        <v>0</v>
      </c>
      <c r="X119" s="3">
        <f>IF(AND($L119=1,AND(对接源_01水果!$X119="自备筐",N(对接源_01水果!$T119)&lt;&gt;0)),1,0)</f>
        <v>0</v>
      </c>
      <c r="Y119" s="3">
        <f t="shared" si="26"/>
        <v>0</v>
      </c>
      <c r="Z119" s="3">
        <f>IF(AND($M119=1,对接源_01水果!$D119="原料入库"),1,0)</f>
        <v>0</v>
      </c>
      <c r="AA119" s="3">
        <f t="shared" si="27"/>
        <v>0</v>
      </c>
      <c r="AB119" s="3">
        <f>IF(AND($M119=1,LEFT(对接源_01水果!$D119,4)="原料出库"),1,0)</f>
        <v>0</v>
      </c>
      <c r="AC119" s="3">
        <f t="shared" si="28"/>
        <v>0</v>
      </c>
      <c r="AD119" s="3">
        <f>IF(AND($M119=1,LEFT(对接源_01水果!$D119,4)="成品出库"),1,0)</f>
        <v>0</v>
      </c>
      <c r="AE119" s="3">
        <f t="shared" si="29"/>
        <v>0</v>
      </c>
      <c r="AF119" s="3">
        <f>IF(AND($N119=1,AND(LEFT(对接源_01水果!$D119,4)="包装物料",N(对接源_01水果!$K119)&lt;&gt;0)),1,0)</f>
        <v>0</v>
      </c>
      <c r="AG119" s="3">
        <f t="shared" si="30"/>
        <v>0</v>
      </c>
      <c r="AH119" s="3">
        <f>IF(AND($N119=1,AND(对接源_01水果!$D119="周转筐－销售出库",N(对接源_01水果!$K119)&lt;&gt;0)),1,0)</f>
        <v>0</v>
      </c>
      <c r="AI119" s="3">
        <f t="shared" si="31"/>
        <v>0</v>
      </c>
      <c r="AJ119" s="7"/>
      <c r="AL119" s="3">
        <f>IF(OR($AL$1="",对接源_01水果!$Y119="",对接源_01水果!$Y119&lt;&gt;$AL$1,对接源_01水果!$B119="",N(对接源_01水果!$AJ119)&lt;=0),0,IF(OR(N(对接源_01水果!$B119)&lt;$AL$2,N(对接源_01水果!$B119)&gt;$AL$3),0,1))</f>
        <v>0</v>
      </c>
      <c r="AM119" s="3">
        <f t="shared" si="32"/>
        <v>0</v>
      </c>
      <c r="AN119" s="3" t="str">
        <f>IF(对接源_01水果!$AC119="","",对接源_01水果!$AC119)</f>
        <v/>
      </c>
      <c r="AO119" s="3">
        <f t="shared" si="33"/>
        <v>0</v>
      </c>
      <c r="AP119" s="3">
        <f t="shared" si="34"/>
        <v>0</v>
      </c>
      <c r="AQ119" s="3" t="str">
        <f t="shared" si="35"/>
        <v/>
      </c>
      <c r="AR119">
        <f t="shared" si="36"/>
        <v>0</v>
      </c>
      <c r="AS119">
        <f t="shared" si="37"/>
        <v>0</v>
      </c>
    </row>
    <row r="120" ht="14.25" customHeight="1" spans="1:45">
      <c r="A120" s="3" t="str">
        <f>IF(对接源_01水果!$C120="","",对接源_01水果!$C120)</f>
        <v>聂新平</v>
      </c>
      <c r="B120" s="3">
        <f t="shared" si="19"/>
        <v>0</v>
      </c>
      <c r="C120" s="3">
        <f t="shared" si="20"/>
        <v>4</v>
      </c>
      <c r="E120" s="3" t="str">
        <f t="shared" si="21"/>
        <v/>
      </c>
      <c r="K120" s="3">
        <f>IF(OR($K$1="",对接源_01水果!$C120="",对接源_01水果!$C120&lt;&gt;$K$1,对接源_01水果!$B120=""),0,IF(OR(N(对接源_01水果!$B120)&lt;$K$2,N(对接源_01水果!$B120)&gt;$K$3),0,1))</f>
        <v>0</v>
      </c>
      <c r="L120" s="3">
        <f>IF(OR($L$1="",对接源_01水果!$C120="",对接源_01水果!$C120&lt;&gt;$L$1,对接源_01水果!$B120=""),0,IF(OR(N(对接源_01水果!$B120)&lt;$L$2,N(对接源_01水果!$B120)&gt;$L$3),0,1))</f>
        <v>0</v>
      </c>
      <c r="M120" s="3">
        <f>IF(OR($M$1="",对接源_01水果!$C120="",对接源_01水果!$C120&lt;&gt;$M$1,对接源_01水果!$B120=""),0,IF(OR(N(对接源_01水果!$B120)&lt;$M$2,N(对接源_01水果!$B120)&gt;$M$3),0,1))</f>
        <v>0</v>
      </c>
      <c r="N120" s="3">
        <f>IF(OR($N$1="",对接源_01水果!$C120="",对接源_01水果!$C120&lt;&gt;$N$1,对接源_01水果!$B120=""),0,IF(OR(N(对接源_01水果!$B120)&lt;$N$2,N(对接源_01水果!$B120)&gt;$N$3),0,1))</f>
        <v>0</v>
      </c>
      <c r="P120" s="3">
        <f>IF(AND($K120=1,AND(对接源_01水果!$X120="公司筐",N(对接源_01水果!$T120)&lt;&gt;0)),1,0)</f>
        <v>0</v>
      </c>
      <c r="Q120" s="3">
        <f t="shared" si="22"/>
        <v>0</v>
      </c>
      <c r="R120" s="3">
        <f>IF(AND($K120=1,AND(对接源_01水果!$X120="公司筐",N(对接源_01水果!$U120)&lt;&gt;0)),1,0)</f>
        <v>0</v>
      </c>
      <c r="S120" s="3">
        <f t="shared" si="23"/>
        <v>0</v>
      </c>
      <c r="T120" s="3">
        <f>IF(AND($K120=1,AND(对接源_01水果!$X120="公司筐",N(对接源_01水果!$V120)&lt;&gt;0)),1,0)</f>
        <v>0</v>
      </c>
      <c r="U120" s="3">
        <f t="shared" si="24"/>
        <v>0</v>
      </c>
      <c r="V120" s="3">
        <f>IF(AND($L120=1,AND(对接源_01水果!$X120="自备筐",N(对接源_01水果!$V120)&lt;&gt;0)),1,0)</f>
        <v>0</v>
      </c>
      <c r="W120" s="3">
        <f t="shared" si="25"/>
        <v>0</v>
      </c>
      <c r="X120" s="3">
        <f>IF(AND($L120=1,AND(对接源_01水果!$X120="自备筐",N(对接源_01水果!$T120)&lt;&gt;0)),1,0)</f>
        <v>0</v>
      </c>
      <c r="Y120" s="3">
        <f t="shared" si="26"/>
        <v>0</v>
      </c>
      <c r="Z120" s="3">
        <f>IF(AND($M120=1,对接源_01水果!$D120="原料入库"),1,0)</f>
        <v>0</v>
      </c>
      <c r="AA120" s="3">
        <f t="shared" si="27"/>
        <v>0</v>
      </c>
      <c r="AB120" s="3">
        <f>IF(AND($M120=1,LEFT(对接源_01水果!$D120,4)="原料出库"),1,0)</f>
        <v>0</v>
      </c>
      <c r="AC120" s="3">
        <f t="shared" si="28"/>
        <v>0</v>
      </c>
      <c r="AD120" s="3">
        <f>IF(AND($M120=1,LEFT(对接源_01水果!$D120,4)="成品出库"),1,0)</f>
        <v>0</v>
      </c>
      <c r="AE120" s="3">
        <f t="shared" si="29"/>
        <v>0</v>
      </c>
      <c r="AF120" s="3">
        <f>IF(AND($N120=1,AND(LEFT(对接源_01水果!$D120,4)="包装物料",N(对接源_01水果!$K120)&lt;&gt;0)),1,0)</f>
        <v>0</v>
      </c>
      <c r="AG120" s="3">
        <f t="shared" si="30"/>
        <v>0</v>
      </c>
      <c r="AH120" s="3">
        <f>IF(AND($N120=1,AND(对接源_01水果!$D120="周转筐－销售出库",N(对接源_01水果!$K120)&lt;&gt;0)),1,0)</f>
        <v>0</v>
      </c>
      <c r="AI120" s="3">
        <f t="shared" si="31"/>
        <v>0</v>
      </c>
      <c r="AJ120" s="7"/>
      <c r="AL120" s="3">
        <f>IF(OR($AL$1="",对接源_01水果!$Y120="",对接源_01水果!$Y120&lt;&gt;$AL$1,对接源_01水果!$B120="",N(对接源_01水果!$AJ120)&lt;=0),0,IF(OR(N(对接源_01水果!$B120)&lt;$AL$2,N(对接源_01水果!$B120)&gt;$AL$3),0,1))</f>
        <v>0</v>
      </c>
      <c r="AM120" s="3">
        <f t="shared" si="32"/>
        <v>0</v>
      </c>
      <c r="AN120" s="3" t="str">
        <f>IF(对接源_01水果!$AC120="","",对接源_01水果!$AC120)</f>
        <v/>
      </c>
      <c r="AO120" s="3">
        <f t="shared" si="33"/>
        <v>0</v>
      </c>
      <c r="AP120" s="3">
        <f t="shared" si="34"/>
        <v>0</v>
      </c>
      <c r="AQ120" s="3" t="str">
        <f t="shared" si="35"/>
        <v/>
      </c>
      <c r="AR120">
        <f t="shared" si="36"/>
        <v>0</v>
      </c>
      <c r="AS120">
        <f t="shared" si="37"/>
        <v>0</v>
      </c>
    </row>
    <row r="121" ht="14.25" customHeight="1" spans="1:45">
      <c r="A121" s="3" t="str">
        <f>IF(对接源_01水果!$C121="","",对接源_01水果!$C121)</f>
        <v>聂新平</v>
      </c>
      <c r="B121" s="3">
        <f t="shared" si="19"/>
        <v>0</v>
      </c>
      <c r="C121" s="3">
        <f t="shared" si="20"/>
        <v>4</v>
      </c>
      <c r="E121" s="3" t="str">
        <f t="shared" si="21"/>
        <v/>
      </c>
      <c r="K121" s="3">
        <f>IF(OR($K$1="",对接源_01水果!$C121="",对接源_01水果!$C121&lt;&gt;$K$1,对接源_01水果!$B121=""),0,IF(OR(N(对接源_01水果!$B121)&lt;$K$2,N(对接源_01水果!$B121)&gt;$K$3),0,1))</f>
        <v>0</v>
      </c>
      <c r="L121" s="3">
        <f>IF(OR($L$1="",对接源_01水果!$C121="",对接源_01水果!$C121&lt;&gt;$L$1,对接源_01水果!$B121=""),0,IF(OR(N(对接源_01水果!$B121)&lt;$L$2,N(对接源_01水果!$B121)&gt;$L$3),0,1))</f>
        <v>0</v>
      </c>
      <c r="M121" s="3">
        <f>IF(OR($M$1="",对接源_01水果!$C121="",对接源_01水果!$C121&lt;&gt;$M$1,对接源_01水果!$B121=""),0,IF(OR(N(对接源_01水果!$B121)&lt;$M$2,N(对接源_01水果!$B121)&gt;$M$3),0,1))</f>
        <v>0</v>
      </c>
      <c r="N121" s="3">
        <f>IF(OR($N$1="",对接源_01水果!$C121="",对接源_01水果!$C121&lt;&gt;$N$1,对接源_01水果!$B121=""),0,IF(OR(N(对接源_01水果!$B121)&lt;$N$2,N(对接源_01水果!$B121)&gt;$N$3),0,1))</f>
        <v>0</v>
      </c>
      <c r="P121" s="3">
        <f>IF(AND($K121=1,AND(对接源_01水果!$X121="公司筐",N(对接源_01水果!$T121)&lt;&gt;0)),1,0)</f>
        <v>0</v>
      </c>
      <c r="Q121" s="3">
        <f t="shared" si="22"/>
        <v>0</v>
      </c>
      <c r="R121" s="3">
        <f>IF(AND($K121=1,AND(对接源_01水果!$X121="公司筐",N(对接源_01水果!$U121)&lt;&gt;0)),1,0)</f>
        <v>0</v>
      </c>
      <c r="S121" s="3">
        <f t="shared" si="23"/>
        <v>0</v>
      </c>
      <c r="T121" s="3">
        <f>IF(AND($K121=1,AND(对接源_01水果!$X121="公司筐",N(对接源_01水果!$V121)&lt;&gt;0)),1,0)</f>
        <v>0</v>
      </c>
      <c r="U121" s="3">
        <f t="shared" si="24"/>
        <v>0</v>
      </c>
      <c r="V121" s="3">
        <f>IF(AND($L121=1,AND(对接源_01水果!$X121="自备筐",N(对接源_01水果!$V121)&lt;&gt;0)),1,0)</f>
        <v>0</v>
      </c>
      <c r="W121" s="3">
        <f t="shared" si="25"/>
        <v>0</v>
      </c>
      <c r="X121" s="3">
        <f>IF(AND($L121=1,AND(对接源_01水果!$X121="自备筐",N(对接源_01水果!$T121)&lt;&gt;0)),1,0)</f>
        <v>0</v>
      </c>
      <c r="Y121" s="3">
        <f t="shared" si="26"/>
        <v>0</v>
      </c>
      <c r="Z121" s="3">
        <f>IF(AND($M121=1,对接源_01水果!$D121="原料入库"),1,0)</f>
        <v>0</v>
      </c>
      <c r="AA121" s="3">
        <f t="shared" si="27"/>
        <v>0</v>
      </c>
      <c r="AB121" s="3">
        <f>IF(AND($M121=1,LEFT(对接源_01水果!$D121,4)="原料出库"),1,0)</f>
        <v>0</v>
      </c>
      <c r="AC121" s="3">
        <f t="shared" si="28"/>
        <v>0</v>
      </c>
      <c r="AD121" s="3">
        <f>IF(AND($M121=1,LEFT(对接源_01水果!$D121,4)="成品出库"),1,0)</f>
        <v>0</v>
      </c>
      <c r="AE121" s="3">
        <f t="shared" si="29"/>
        <v>0</v>
      </c>
      <c r="AF121" s="3">
        <f>IF(AND($N121=1,AND(LEFT(对接源_01水果!$D121,4)="包装物料",N(对接源_01水果!$K121)&lt;&gt;0)),1,0)</f>
        <v>0</v>
      </c>
      <c r="AG121" s="3">
        <f t="shared" si="30"/>
        <v>0</v>
      </c>
      <c r="AH121" s="3">
        <f>IF(AND($N121=1,AND(对接源_01水果!$D121="周转筐－销售出库",N(对接源_01水果!$K121)&lt;&gt;0)),1,0)</f>
        <v>0</v>
      </c>
      <c r="AI121" s="3">
        <f t="shared" si="31"/>
        <v>0</v>
      </c>
      <c r="AJ121" s="7"/>
      <c r="AL121" s="3">
        <f>IF(OR($AL$1="",对接源_01水果!$Y121="",对接源_01水果!$Y121&lt;&gt;$AL$1,对接源_01水果!$B121="",N(对接源_01水果!$AJ121)&lt;=0),0,IF(OR(N(对接源_01水果!$B121)&lt;$AL$2,N(对接源_01水果!$B121)&gt;$AL$3),0,1))</f>
        <v>0</v>
      </c>
      <c r="AM121" s="3">
        <f t="shared" si="32"/>
        <v>0</v>
      </c>
      <c r="AN121" s="3" t="str">
        <f>IF(对接源_01水果!$AC121="","",对接源_01水果!$AC121)</f>
        <v/>
      </c>
      <c r="AO121" s="3">
        <f t="shared" si="33"/>
        <v>0</v>
      </c>
      <c r="AP121" s="3">
        <f t="shared" si="34"/>
        <v>0</v>
      </c>
      <c r="AQ121" s="3" t="str">
        <f t="shared" si="35"/>
        <v/>
      </c>
      <c r="AR121">
        <f t="shared" si="36"/>
        <v>0</v>
      </c>
      <c r="AS121">
        <f t="shared" si="37"/>
        <v>0</v>
      </c>
    </row>
    <row r="122" ht="14.25" customHeight="1" spans="1:45">
      <c r="A122" s="3" t="str">
        <f>IF(对接源_01水果!$C122="","",对接源_01水果!$C122)</f>
        <v>聂新平</v>
      </c>
      <c r="B122" s="3">
        <f t="shared" si="19"/>
        <v>0</v>
      </c>
      <c r="C122" s="3">
        <f t="shared" si="20"/>
        <v>4</v>
      </c>
      <c r="E122" s="3" t="str">
        <f t="shared" si="21"/>
        <v/>
      </c>
      <c r="K122" s="3">
        <f>IF(OR($K$1="",对接源_01水果!$C122="",对接源_01水果!$C122&lt;&gt;$K$1,对接源_01水果!$B122=""),0,IF(OR(N(对接源_01水果!$B122)&lt;$K$2,N(对接源_01水果!$B122)&gt;$K$3),0,1))</f>
        <v>0</v>
      </c>
      <c r="L122" s="3">
        <f>IF(OR($L$1="",对接源_01水果!$C122="",对接源_01水果!$C122&lt;&gt;$L$1,对接源_01水果!$B122=""),0,IF(OR(N(对接源_01水果!$B122)&lt;$L$2,N(对接源_01水果!$B122)&gt;$L$3),0,1))</f>
        <v>0</v>
      </c>
      <c r="M122" s="3">
        <f>IF(OR($M$1="",对接源_01水果!$C122="",对接源_01水果!$C122&lt;&gt;$M$1,对接源_01水果!$B122=""),0,IF(OR(N(对接源_01水果!$B122)&lt;$M$2,N(对接源_01水果!$B122)&gt;$M$3),0,1))</f>
        <v>0</v>
      </c>
      <c r="N122" s="3">
        <f>IF(OR($N$1="",对接源_01水果!$C122="",对接源_01水果!$C122&lt;&gt;$N$1,对接源_01水果!$B122=""),0,IF(OR(N(对接源_01水果!$B122)&lt;$N$2,N(对接源_01水果!$B122)&gt;$N$3),0,1))</f>
        <v>0</v>
      </c>
      <c r="P122" s="3">
        <f>IF(AND($K122=1,AND(对接源_01水果!$X122="公司筐",N(对接源_01水果!$T122)&lt;&gt;0)),1,0)</f>
        <v>0</v>
      </c>
      <c r="Q122" s="3">
        <f t="shared" si="22"/>
        <v>0</v>
      </c>
      <c r="R122" s="3">
        <f>IF(AND($K122=1,AND(对接源_01水果!$X122="公司筐",N(对接源_01水果!$U122)&lt;&gt;0)),1,0)</f>
        <v>0</v>
      </c>
      <c r="S122" s="3">
        <f t="shared" si="23"/>
        <v>0</v>
      </c>
      <c r="T122" s="3">
        <f>IF(AND($K122=1,AND(对接源_01水果!$X122="公司筐",N(对接源_01水果!$V122)&lt;&gt;0)),1,0)</f>
        <v>0</v>
      </c>
      <c r="U122" s="3">
        <f t="shared" si="24"/>
        <v>0</v>
      </c>
      <c r="V122" s="3">
        <f>IF(AND($L122=1,AND(对接源_01水果!$X122="自备筐",N(对接源_01水果!$V122)&lt;&gt;0)),1,0)</f>
        <v>0</v>
      </c>
      <c r="W122" s="3">
        <f t="shared" si="25"/>
        <v>0</v>
      </c>
      <c r="X122" s="3">
        <f>IF(AND($L122=1,AND(对接源_01水果!$X122="自备筐",N(对接源_01水果!$T122)&lt;&gt;0)),1,0)</f>
        <v>0</v>
      </c>
      <c r="Y122" s="3">
        <f t="shared" si="26"/>
        <v>0</v>
      </c>
      <c r="Z122" s="3">
        <f>IF(AND($M122=1,对接源_01水果!$D122="原料入库"),1,0)</f>
        <v>0</v>
      </c>
      <c r="AA122" s="3">
        <f t="shared" si="27"/>
        <v>0</v>
      </c>
      <c r="AB122" s="3">
        <f>IF(AND($M122=1,LEFT(对接源_01水果!$D122,4)="原料出库"),1,0)</f>
        <v>0</v>
      </c>
      <c r="AC122" s="3">
        <f t="shared" si="28"/>
        <v>0</v>
      </c>
      <c r="AD122" s="3">
        <f>IF(AND($M122=1,LEFT(对接源_01水果!$D122,4)="成品出库"),1,0)</f>
        <v>0</v>
      </c>
      <c r="AE122" s="3">
        <f t="shared" si="29"/>
        <v>0</v>
      </c>
      <c r="AF122" s="3">
        <f>IF(AND($N122=1,AND(LEFT(对接源_01水果!$D122,4)="包装物料",N(对接源_01水果!$K122)&lt;&gt;0)),1,0)</f>
        <v>0</v>
      </c>
      <c r="AG122" s="3">
        <f t="shared" si="30"/>
        <v>0</v>
      </c>
      <c r="AH122" s="3">
        <f>IF(AND($N122=1,AND(对接源_01水果!$D122="周转筐－销售出库",N(对接源_01水果!$K122)&lt;&gt;0)),1,0)</f>
        <v>0</v>
      </c>
      <c r="AI122" s="3">
        <f t="shared" si="31"/>
        <v>0</v>
      </c>
      <c r="AJ122" s="7"/>
      <c r="AL122" s="3">
        <f>IF(OR($AL$1="",对接源_01水果!$Y122="",对接源_01水果!$Y122&lt;&gt;$AL$1,对接源_01水果!$B122="",N(对接源_01水果!$AJ122)&lt;=0),0,IF(OR(N(对接源_01水果!$B122)&lt;$AL$2,N(对接源_01水果!$B122)&gt;$AL$3),0,1))</f>
        <v>0</v>
      </c>
      <c r="AM122" s="3">
        <f t="shared" si="32"/>
        <v>0</v>
      </c>
      <c r="AN122" s="3" t="str">
        <f>IF(对接源_01水果!$AC122="","",对接源_01水果!$AC122)</f>
        <v/>
      </c>
      <c r="AO122" s="3">
        <f t="shared" si="33"/>
        <v>0</v>
      </c>
      <c r="AP122" s="3">
        <f t="shared" si="34"/>
        <v>0</v>
      </c>
      <c r="AQ122" s="3" t="str">
        <f t="shared" si="35"/>
        <v/>
      </c>
      <c r="AR122">
        <f t="shared" si="36"/>
        <v>0</v>
      </c>
      <c r="AS122">
        <f t="shared" si="37"/>
        <v>0</v>
      </c>
    </row>
    <row r="123" ht="14.25" customHeight="1" spans="1:45">
      <c r="A123" s="3" t="str">
        <f>IF(对接源_01水果!$C123="","",对接源_01水果!$C123)</f>
        <v>聂新平</v>
      </c>
      <c r="B123" s="3">
        <f t="shared" si="19"/>
        <v>0</v>
      </c>
      <c r="C123" s="3">
        <f t="shared" si="20"/>
        <v>4</v>
      </c>
      <c r="E123" s="3" t="str">
        <f t="shared" si="21"/>
        <v/>
      </c>
      <c r="K123" s="3">
        <f>IF(OR($K$1="",对接源_01水果!$C123="",对接源_01水果!$C123&lt;&gt;$K$1,对接源_01水果!$B123=""),0,IF(OR(N(对接源_01水果!$B123)&lt;$K$2,N(对接源_01水果!$B123)&gt;$K$3),0,1))</f>
        <v>0</v>
      </c>
      <c r="L123" s="3">
        <f>IF(OR($L$1="",对接源_01水果!$C123="",对接源_01水果!$C123&lt;&gt;$L$1,对接源_01水果!$B123=""),0,IF(OR(N(对接源_01水果!$B123)&lt;$L$2,N(对接源_01水果!$B123)&gt;$L$3),0,1))</f>
        <v>0</v>
      </c>
      <c r="M123" s="3">
        <f>IF(OR($M$1="",对接源_01水果!$C123="",对接源_01水果!$C123&lt;&gt;$M$1,对接源_01水果!$B123=""),0,IF(OR(N(对接源_01水果!$B123)&lt;$M$2,N(对接源_01水果!$B123)&gt;$M$3),0,1))</f>
        <v>0</v>
      </c>
      <c r="N123" s="3">
        <f>IF(OR($N$1="",对接源_01水果!$C123="",对接源_01水果!$C123&lt;&gt;$N$1,对接源_01水果!$B123=""),0,IF(OR(N(对接源_01水果!$B123)&lt;$N$2,N(对接源_01水果!$B123)&gt;$N$3),0,1))</f>
        <v>0</v>
      </c>
      <c r="P123" s="3">
        <f>IF(AND($K123=1,AND(对接源_01水果!$X123="公司筐",N(对接源_01水果!$T123)&lt;&gt;0)),1,0)</f>
        <v>0</v>
      </c>
      <c r="Q123" s="3">
        <f t="shared" si="22"/>
        <v>0</v>
      </c>
      <c r="R123" s="3">
        <f>IF(AND($K123=1,AND(对接源_01水果!$X123="公司筐",N(对接源_01水果!$U123)&lt;&gt;0)),1,0)</f>
        <v>0</v>
      </c>
      <c r="S123" s="3">
        <f t="shared" si="23"/>
        <v>0</v>
      </c>
      <c r="T123" s="3">
        <f>IF(AND($K123=1,AND(对接源_01水果!$X123="公司筐",N(对接源_01水果!$V123)&lt;&gt;0)),1,0)</f>
        <v>0</v>
      </c>
      <c r="U123" s="3">
        <f t="shared" si="24"/>
        <v>0</v>
      </c>
      <c r="V123" s="3">
        <f>IF(AND($L123=1,AND(对接源_01水果!$X123="自备筐",N(对接源_01水果!$V123)&lt;&gt;0)),1,0)</f>
        <v>0</v>
      </c>
      <c r="W123" s="3">
        <f t="shared" si="25"/>
        <v>0</v>
      </c>
      <c r="X123" s="3">
        <f>IF(AND($L123=1,AND(对接源_01水果!$X123="自备筐",N(对接源_01水果!$T123)&lt;&gt;0)),1,0)</f>
        <v>0</v>
      </c>
      <c r="Y123" s="3">
        <f t="shared" si="26"/>
        <v>0</v>
      </c>
      <c r="Z123" s="3">
        <f>IF(AND($M123=1,对接源_01水果!$D123="原料入库"),1,0)</f>
        <v>0</v>
      </c>
      <c r="AA123" s="3">
        <f t="shared" si="27"/>
        <v>0</v>
      </c>
      <c r="AB123" s="3">
        <f>IF(AND($M123=1,LEFT(对接源_01水果!$D123,4)="原料出库"),1,0)</f>
        <v>0</v>
      </c>
      <c r="AC123" s="3">
        <f t="shared" si="28"/>
        <v>0</v>
      </c>
      <c r="AD123" s="3">
        <f>IF(AND($M123=1,LEFT(对接源_01水果!$D123,4)="成品出库"),1,0)</f>
        <v>0</v>
      </c>
      <c r="AE123" s="3">
        <f t="shared" si="29"/>
        <v>0</v>
      </c>
      <c r="AF123" s="3">
        <f>IF(AND($N123=1,AND(LEFT(对接源_01水果!$D123,4)="包装物料",N(对接源_01水果!$K123)&lt;&gt;0)),1,0)</f>
        <v>0</v>
      </c>
      <c r="AG123" s="3">
        <f t="shared" si="30"/>
        <v>0</v>
      </c>
      <c r="AH123" s="3">
        <f>IF(AND($N123=1,AND(对接源_01水果!$D123="周转筐－销售出库",N(对接源_01水果!$K123)&lt;&gt;0)),1,0)</f>
        <v>0</v>
      </c>
      <c r="AI123" s="3">
        <f t="shared" si="31"/>
        <v>0</v>
      </c>
      <c r="AJ123" s="7"/>
      <c r="AL123" s="3">
        <f>IF(OR($AL$1="",对接源_01水果!$Y123="",对接源_01水果!$Y123&lt;&gt;$AL$1,对接源_01水果!$B123="",N(对接源_01水果!$AJ123)&lt;=0),0,IF(OR(N(对接源_01水果!$B123)&lt;$AL$2,N(对接源_01水果!$B123)&gt;$AL$3),0,1))</f>
        <v>0</v>
      </c>
      <c r="AM123" s="3">
        <f t="shared" si="32"/>
        <v>0</v>
      </c>
      <c r="AN123" s="3" t="str">
        <f>IF(对接源_01水果!$AC123="","",对接源_01水果!$AC123)</f>
        <v/>
      </c>
      <c r="AO123" s="3">
        <f t="shared" si="33"/>
        <v>0</v>
      </c>
      <c r="AP123" s="3">
        <f t="shared" si="34"/>
        <v>0</v>
      </c>
      <c r="AQ123" s="3" t="str">
        <f t="shared" si="35"/>
        <v/>
      </c>
      <c r="AR123">
        <f t="shared" si="36"/>
        <v>0</v>
      </c>
      <c r="AS123">
        <f t="shared" si="37"/>
        <v>0</v>
      </c>
    </row>
    <row r="124" ht="14.25" customHeight="1" spans="1:45">
      <c r="A124" s="3" t="str">
        <f>IF(对接源_01水果!$C124="","",对接源_01水果!$C124)</f>
        <v>聂新平</v>
      </c>
      <c r="B124" s="3">
        <f t="shared" si="19"/>
        <v>0</v>
      </c>
      <c r="C124" s="3">
        <f t="shared" si="20"/>
        <v>4</v>
      </c>
      <c r="E124" s="3" t="str">
        <f t="shared" si="21"/>
        <v/>
      </c>
      <c r="K124" s="3">
        <f>IF(OR($K$1="",对接源_01水果!$C124="",对接源_01水果!$C124&lt;&gt;$K$1,对接源_01水果!$B124=""),0,IF(OR(N(对接源_01水果!$B124)&lt;$K$2,N(对接源_01水果!$B124)&gt;$K$3),0,1))</f>
        <v>0</v>
      </c>
      <c r="L124" s="3">
        <f>IF(OR($L$1="",对接源_01水果!$C124="",对接源_01水果!$C124&lt;&gt;$L$1,对接源_01水果!$B124=""),0,IF(OR(N(对接源_01水果!$B124)&lt;$L$2,N(对接源_01水果!$B124)&gt;$L$3),0,1))</f>
        <v>0</v>
      </c>
      <c r="M124" s="3">
        <f>IF(OR($M$1="",对接源_01水果!$C124="",对接源_01水果!$C124&lt;&gt;$M$1,对接源_01水果!$B124=""),0,IF(OR(N(对接源_01水果!$B124)&lt;$M$2,N(对接源_01水果!$B124)&gt;$M$3),0,1))</f>
        <v>0</v>
      </c>
      <c r="N124" s="3">
        <f>IF(OR($N$1="",对接源_01水果!$C124="",对接源_01水果!$C124&lt;&gt;$N$1,对接源_01水果!$B124=""),0,IF(OR(N(对接源_01水果!$B124)&lt;$N$2,N(对接源_01水果!$B124)&gt;$N$3),0,1))</f>
        <v>0</v>
      </c>
      <c r="P124" s="3">
        <f>IF(AND($K124=1,AND(对接源_01水果!$X124="公司筐",N(对接源_01水果!$T124)&lt;&gt;0)),1,0)</f>
        <v>0</v>
      </c>
      <c r="Q124" s="3">
        <f t="shared" si="22"/>
        <v>0</v>
      </c>
      <c r="R124" s="3">
        <f>IF(AND($K124=1,AND(对接源_01水果!$X124="公司筐",N(对接源_01水果!$U124)&lt;&gt;0)),1,0)</f>
        <v>0</v>
      </c>
      <c r="S124" s="3">
        <f t="shared" si="23"/>
        <v>0</v>
      </c>
      <c r="T124" s="3">
        <f>IF(AND($K124=1,AND(对接源_01水果!$X124="公司筐",N(对接源_01水果!$V124)&lt;&gt;0)),1,0)</f>
        <v>0</v>
      </c>
      <c r="U124" s="3">
        <f t="shared" si="24"/>
        <v>0</v>
      </c>
      <c r="V124" s="3">
        <f>IF(AND($L124=1,AND(对接源_01水果!$X124="自备筐",N(对接源_01水果!$V124)&lt;&gt;0)),1,0)</f>
        <v>0</v>
      </c>
      <c r="W124" s="3">
        <f t="shared" si="25"/>
        <v>0</v>
      </c>
      <c r="X124" s="3">
        <f>IF(AND($L124=1,AND(对接源_01水果!$X124="自备筐",N(对接源_01水果!$T124)&lt;&gt;0)),1,0)</f>
        <v>0</v>
      </c>
      <c r="Y124" s="3">
        <f t="shared" si="26"/>
        <v>0</v>
      </c>
      <c r="Z124" s="3">
        <f>IF(AND($M124=1,对接源_01水果!$D124="原料入库"),1,0)</f>
        <v>0</v>
      </c>
      <c r="AA124" s="3">
        <f t="shared" si="27"/>
        <v>0</v>
      </c>
      <c r="AB124" s="3">
        <f>IF(AND($M124=1,LEFT(对接源_01水果!$D124,4)="原料出库"),1,0)</f>
        <v>0</v>
      </c>
      <c r="AC124" s="3">
        <f t="shared" si="28"/>
        <v>0</v>
      </c>
      <c r="AD124" s="3">
        <f>IF(AND($M124=1,LEFT(对接源_01水果!$D124,4)="成品出库"),1,0)</f>
        <v>0</v>
      </c>
      <c r="AE124" s="3">
        <f t="shared" si="29"/>
        <v>0</v>
      </c>
      <c r="AF124" s="3">
        <f>IF(AND($N124=1,AND(LEFT(对接源_01水果!$D124,4)="包装物料",N(对接源_01水果!$K124)&lt;&gt;0)),1,0)</f>
        <v>0</v>
      </c>
      <c r="AG124" s="3">
        <f t="shared" si="30"/>
        <v>0</v>
      </c>
      <c r="AH124" s="3">
        <f>IF(AND($N124=1,AND(对接源_01水果!$D124="周转筐－销售出库",N(对接源_01水果!$K124)&lt;&gt;0)),1,0)</f>
        <v>0</v>
      </c>
      <c r="AI124" s="3">
        <f t="shared" si="31"/>
        <v>0</v>
      </c>
      <c r="AJ124" s="7"/>
      <c r="AL124" s="3">
        <f>IF(OR($AL$1="",对接源_01水果!$Y124="",对接源_01水果!$Y124&lt;&gt;$AL$1,对接源_01水果!$B124="",N(对接源_01水果!$AJ124)&lt;=0),0,IF(OR(N(对接源_01水果!$B124)&lt;$AL$2,N(对接源_01水果!$B124)&gt;$AL$3),0,1))</f>
        <v>0</v>
      </c>
      <c r="AM124" s="3">
        <f t="shared" si="32"/>
        <v>0</v>
      </c>
      <c r="AN124" s="3" t="str">
        <f>IF(对接源_01水果!$AC124="","",对接源_01水果!$AC124)</f>
        <v/>
      </c>
      <c r="AO124" s="3">
        <f t="shared" si="33"/>
        <v>0</v>
      </c>
      <c r="AP124" s="3">
        <f t="shared" si="34"/>
        <v>0</v>
      </c>
      <c r="AQ124" s="3" t="str">
        <f t="shared" si="35"/>
        <v/>
      </c>
      <c r="AR124">
        <f t="shared" si="36"/>
        <v>0</v>
      </c>
      <c r="AS124">
        <f t="shared" si="37"/>
        <v>0</v>
      </c>
    </row>
    <row r="125" ht="14.25" customHeight="1" spans="1:45">
      <c r="A125" s="3" t="str">
        <f>IF(对接源_01水果!$C125="","",对接源_01水果!$C125)</f>
        <v>聂新平</v>
      </c>
      <c r="B125" s="3">
        <f t="shared" si="19"/>
        <v>0</v>
      </c>
      <c r="C125" s="3">
        <f t="shared" si="20"/>
        <v>4</v>
      </c>
      <c r="E125" s="3" t="str">
        <f t="shared" si="21"/>
        <v/>
      </c>
      <c r="K125" s="3">
        <f>IF(OR($K$1="",对接源_01水果!$C125="",对接源_01水果!$C125&lt;&gt;$K$1,对接源_01水果!$B125=""),0,IF(OR(N(对接源_01水果!$B125)&lt;$K$2,N(对接源_01水果!$B125)&gt;$K$3),0,1))</f>
        <v>0</v>
      </c>
      <c r="L125" s="3">
        <f>IF(OR($L$1="",对接源_01水果!$C125="",对接源_01水果!$C125&lt;&gt;$L$1,对接源_01水果!$B125=""),0,IF(OR(N(对接源_01水果!$B125)&lt;$L$2,N(对接源_01水果!$B125)&gt;$L$3),0,1))</f>
        <v>0</v>
      </c>
      <c r="M125" s="3">
        <f>IF(OR($M$1="",对接源_01水果!$C125="",对接源_01水果!$C125&lt;&gt;$M$1,对接源_01水果!$B125=""),0,IF(OR(N(对接源_01水果!$B125)&lt;$M$2,N(对接源_01水果!$B125)&gt;$M$3),0,1))</f>
        <v>0</v>
      </c>
      <c r="N125" s="3">
        <f>IF(OR($N$1="",对接源_01水果!$C125="",对接源_01水果!$C125&lt;&gt;$N$1,对接源_01水果!$B125=""),0,IF(OR(N(对接源_01水果!$B125)&lt;$N$2,N(对接源_01水果!$B125)&gt;$N$3),0,1))</f>
        <v>0</v>
      </c>
      <c r="P125" s="3">
        <f>IF(AND($K125=1,AND(对接源_01水果!$X125="公司筐",N(对接源_01水果!$T125)&lt;&gt;0)),1,0)</f>
        <v>0</v>
      </c>
      <c r="Q125" s="3">
        <f t="shared" si="22"/>
        <v>0</v>
      </c>
      <c r="R125" s="3">
        <f>IF(AND($K125=1,AND(对接源_01水果!$X125="公司筐",N(对接源_01水果!$U125)&lt;&gt;0)),1,0)</f>
        <v>0</v>
      </c>
      <c r="S125" s="3">
        <f t="shared" si="23"/>
        <v>0</v>
      </c>
      <c r="T125" s="3">
        <f>IF(AND($K125=1,AND(对接源_01水果!$X125="公司筐",N(对接源_01水果!$V125)&lt;&gt;0)),1,0)</f>
        <v>0</v>
      </c>
      <c r="U125" s="3">
        <f t="shared" si="24"/>
        <v>0</v>
      </c>
      <c r="V125" s="3">
        <f>IF(AND($L125=1,AND(对接源_01水果!$X125="自备筐",N(对接源_01水果!$V125)&lt;&gt;0)),1,0)</f>
        <v>0</v>
      </c>
      <c r="W125" s="3">
        <f t="shared" si="25"/>
        <v>0</v>
      </c>
      <c r="X125" s="3">
        <f>IF(AND($L125=1,AND(对接源_01水果!$X125="自备筐",N(对接源_01水果!$T125)&lt;&gt;0)),1,0)</f>
        <v>0</v>
      </c>
      <c r="Y125" s="3">
        <f t="shared" si="26"/>
        <v>0</v>
      </c>
      <c r="Z125" s="3">
        <f>IF(AND($M125=1,对接源_01水果!$D125="原料入库"),1,0)</f>
        <v>0</v>
      </c>
      <c r="AA125" s="3">
        <f t="shared" si="27"/>
        <v>0</v>
      </c>
      <c r="AB125" s="3">
        <f>IF(AND($M125=1,LEFT(对接源_01水果!$D125,4)="原料出库"),1,0)</f>
        <v>0</v>
      </c>
      <c r="AC125" s="3">
        <f t="shared" si="28"/>
        <v>0</v>
      </c>
      <c r="AD125" s="3">
        <f>IF(AND($M125=1,LEFT(对接源_01水果!$D125,4)="成品出库"),1,0)</f>
        <v>0</v>
      </c>
      <c r="AE125" s="3">
        <f t="shared" si="29"/>
        <v>0</v>
      </c>
      <c r="AF125" s="3">
        <f>IF(AND($N125=1,AND(LEFT(对接源_01水果!$D125,4)="包装物料",N(对接源_01水果!$K125)&lt;&gt;0)),1,0)</f>
        <v>0</v>
      </c>
      <c r="AG125" s="3">
        <f t="shared" si="30"/>
        <v>0</v>
      </c>
      <c r="AH125" s="3">
        <f>IF(AND($N125=1,AND(对接源_01水果!$D125="周转筐－销售出库",N(对接源_01水果!$K125)&lt;&gt;0)),1,0)</f>
        <v>0</v>
      </c>
      <c r="AI125" s="3">
        <f t="shared" si="31"/>
        <v>0</v>
      </c>
      <c r="AJ125" s="7"/>
      <c r="AL125" s="3">
        <f>IF(OR($AL$1="",对接源_01水果!$Y125="",对接源_01水果!$Y125&lt;&gt;$AL$1,对接源_01水果!$B125="",N(对接源_01水果!$AJ125)&lt;=0),0,IF(OR(N(对接源_01水果!$B125)&lt;$AL$2,N(对接源_01水果!$B125)&gt;$AL$3),0,1))</f>
        <v>0</v>
      </c>
      <c r="AM125" s="3">
        <f t="shared" si="32"/>
        <v>0</v>
      </c>
      <c r="AN125" s="3" t="str">
        <f>IF(对接源_01水果!$AC125="","",对接源_01水果!$AC125)</f>
        <v/>
      </c>
      <c r="AO125" s="3">
        <f t="shared" si="33"/>
        <v>0</v>
      </c>
      <c r="AP125" s="3">
        <f t="shared" si="34"/>
        <v>0</v>
      </c>
      <c r="AQ125" s="3" t="str">
        <f t="shared" si="35"/>
        <v/>
      </c>
      <c r="AR125">
        <f t="shared" si="36"/>
        <v>0</v>
      </c>
      <c r="AS125">
        <f t="shared" si="37"/>
        <v>0</v>
      </c>
    </row>
    <row r="126" ht="14.25" customHeight="1" spans="1:45">
      <c r="A126" s="3" t="str">
        <f>IF(对接源_01水果!$C126="","",对接源_01水果!$C126)</f>
        <v>聂新平</v>
      </c>
      <c r="B126" s="3">
        <f t="shared" si="19"/>
        <v>0</v>
      </c>
      <c r="C126" s="3">
        <f t="shared" si="20"/>
        <v>4</v>
      </c>
      <c r="E126" s="3" t="str">
        <f t="shared" si="21"/>
        <v/>
      </c>
      <c r="K126" s="3">
        <f>IF(OR($K$1="",对接源_01水果!$C126="",对接源_01水果!$C126&lt;&gt;$K$1,对接源_01水果!$B126=""),0,IF(OR(N(对接源_01水果!$B126)&lt;$K$2,N(对接源_01水果!$B126)&gt;$K$3),0,1))</f>
        <v>0</v>
      </c>
      <c r="L126" s="3">
        <f>IF(OR($L$1="",对接源_01水果!$C126="",对接源_01水果!$C126&lt;&gt;$L$1,对接源_01水果!$B126=""),0,IF(OR(N(对接源_01水果!$B126)&lt;$L$2,N(对接源_01水果!$B126)&gt;$L$3),0,1))</f>
        <v>0</v>
      </c>
      <c r="M126" s="3">
        <f>IF(OR($M$1="",对接源_01水果!$C126="",对接源_01水果!$C126&lt;&gt;$M$1,对接源_01水果!$B126=""),0,IF(OR(N(对接源_01水果!$B126)&lt;$M$2,N(对接源_01水果!$B126)&gt;$M$3),0,1))</f>
        <v>0</v>
      </c>
      <c r="N126" s="3">
        <f>IF(OR($N$1="",对接源_01水果!$C126="",对接源_01水果!$C126&lt;&gt;$N$1,对接源_01水果!$B126=""),0,IF(OR(N(对接源_01水果!$B126)&lt;$N$2,N(对接源_01水果!$B126)&gt;$N$3),0,1))</f>
        <v>0</v>
      </c>
      <c r="P126" s="3">
        <f>IF(AND($K126=1,AND(对接源_01水果!$X126="公司筐",N(对接源_01水果!$T126)&lt;&gt;0)),1,0)</f>
        <v>0</v>
      </c>
      <c r="Q126" s="3">
        <f t="shared" si="22"/>
        <v>0</v>
      </c>
      <c r="R126" s="3">
        <f>IF(AND($K126=1,AND(对接源_01水果!$X126="公司筐",N(对接源_01水果!$U126)&lt;&gt;0)),1,0)</f>
        <v>0</v>
      </c>
      <c r="S126" s="3">
        <f t="shared" si="23"/>
        <v>0</v>
      </c>
      <c r="T126" s="3">
        <f>IF(AND($K126=1,AND(对接源_01水果!$X126="公司筐",N(对接源_01水果!$V126)&lt;&gt;0)),1,0)</f>
        <v>0</v>
      </c>
      <c r="U126" s="3">
        <f t="shared" si="24"/>
        <v>0</v>
      </c>
      <c r="V126" s="3">
        <f>IF(AND($L126=1,AND(对接源_01水果!$X126="自备筐",N(对接源_01水果!$V126)&lt;&gt;0)),1,0)</f>
        <v>0</v>
      </c>
      <c r="W126" s="3">
        <f t="shared" si="25"/>
        <v>0</v>
      </c>
      <c r="X126" s="3">
        <f>IF(AND($L126=1,AND(对接源_01水果!$X126="自备筐",N(对接源_01水果!$T126)&lt;&gt;0)),1,0)</f>
        <v>0</v>
      </c>
      <c r="Y126" s="3">
        <f t="shared" si="26"/>
        <v>0</v>
      </c>
      <c r="Z126" s="3">
        <f>IF(AND($M126=1,对接源_01水果!$D126="原料入库"),1,0)</f>
        <v>0</v>
      </c>
      <c r="AA126" s="3">
        <f t="shared" si="27"/>
        <v>0</v>
      </c>
      <c r="AB126" s="3">
        <f>IF(AND($M126=1,LEFT(对接源_01水果!$D126,4)="原料出库"),1,0)</f>
        <v>0</v>
      </c>
      <c r="AC126" s="3">
        <f t="shared" si="28"/>
        <v>0</v>
      </c>
      <c r="AD126" s="3">
        <f>IF(AND($M126=1,LEFT(对接源_01水果!$D126,4)="成品出库"),1,0)</f>
        <v>0</v>
      </c>
      <c r="AE126" s="3">
        <f t="shared" si="29"/>
        <v>0</v>
      </c>
      <c r="AF126" s="3">
        <f>IF(AND($N126=1,AND(LEFT(对接源_01水果!$D126,4)="包装物料",N(对接源_01水果!$K126)&lt;&gt;0)),1,0)</f>
        <v>0</v>
      </c>
      <c r="AG126" s="3">
        <f t="shared" si="30"/>
        <v>0</v>
      </c>
      <c r="AH126" s="3">
        <f>IF(AND($N126=1,AND(对接源_01水果!$D126="周转筐－销售出库",N(对接源_01水果!$K126)&lt;&gt;0)),1,0)</f>
        <v>0</v>
      </c>
      <c r="AI126" s="3">
        <f t="shared" si="31"/>
        <v>0</v>
      </c>
      <c r="AJ126" s="7"/>
      <c r="AL126" s="3">
        <f>IF(OR($AL$1="",对接源_01水果!$Y126="",对接源_01水果!$Y126&lt;&gt;$AL$1,对接源_01水果!$B126="",N(对接源_01水果!$AJ126)&lt;=0),0,IF(OR(N(对接源_01水果!$B126)&lt;$AL$2,N(对接源_01水果!$B126)&gt;$AL$3),0,1))</f>
        <v>0</v>
      </c>
      <c r="AM126" s="3">
        <f t="shared" si="32"/>
        <v>0</v>
      </c>
      <c r="AN126" s="3" t="str">
        <f>IF(对接源_01水果!$AC126="","",对接源_01水果!$AC126)</f>
        <v/>
      </c>
      <c r="AO126" s="3">
        <f t="shared" si="33"/>
        <v>0</v>
      </c>
      <c r="AP126" s="3">
        <f t="shared" si="34"/>
        <v>0</v>
      </c>
      <c r="AQ126" s="3" t="str">
        <f t="shared" si="35"/>
        <v/>
      </c>
      <c r="AR126">
        <f t="shared" si="36"/>
        <v>0</v>
      </c>
      <c r="AS126">
        <f t="shared" si="37"/>
        <v>0</v>
      </c>
    </row>
    <row r="127" ht="14.25" customHeight="1" spans="1:45">
      <c r="A127" s="3" t="str">
        <f>IF(对接源_01水果!$C127="","",对接源_01水果!$C127)</f>
        <v>聂新平</v>
      </c>
      <c r="B127" s="3">
        <f t="shared" si="19"/>
        <v>0</v>
      </c>
      <c r="C127" s="3">
        <f t="shared" si="20"/>
        <v>4</v>
      </c>
      <c r="E127" s="3" t="str">
        <f t="shared" si="21"/>
        <v/>
      </c>
      <c r="K127" s="3">
        <f>IF(OR($K$1="",对接源_01水果!$C127="",对接源_01水果!$C127&lt;&gt;$K$1,对接源_01水果!$B127=""),0,IF(OR(N(对接源_01水果!$B127)&lt;$K$2,N(对接源_01水果!$B127)&gt;$K$3),0,1))</f>
        <v>0</v>
      </c>
      <c r="L127" s="3">
        <f>IF(OR($L$1="",对接源_01水果!$C127="",对接源_01水果!$C127&lt;&gt;$L$1,对接源_01水果!$B127=""),0,IF(OR(N(对接源_01水果!$B127)&lt;$L$2,N(对接源_01水果!$B127)&gt;$L$3),0,1))</f>
        <v>0</v>
      </c>
      <c r="M127" s="3">
        <f>IF(OR($M$1="",对接源_01水果!$C127="",对接源_01水果!$C127&lt;&gt;$M$1,对接源_01水果!$B127=""),0,IF(OR(N(对接源_01水果!$B127)&lt;$M$2,N(对接源_01水果!$B127)&gt;$M$3),0,1))</f>
        <v>0</v>
      </c>
      <c r="N127" s="3">
        <f>IF(OR($N$1="",对接源_01水果!$C127="",对接源_01水果!$C127&lt;&gt;$N$1,对接源_01水果!$B127=""),0,IF(OR(N(对接源_01水果!$B127)&lt;$N$2,N(对接源_01水果!$B127)&gt;$N$3),0,1))</f>
        <v>0</v>
      </c>
      <c r="P127" s="3">
        <f>IF(AND($K127=1,AND(对接源_01水果!$X127="公司筐",N(对接源_01水果!$T127)&lt;&gt;0)),1,0)</f>
        <v>0</v>
      </c>
      <c r="Q127" s="3">
        <f t="shared" si="22"/>
        <v>0</v>
      </c>
      <c r="R127" s="3">
        <f>IF(AND($K127=1,AND(对接源_01水果!$X127="公司筐",N(对接源_01水果!$U127)&lt;&gt;0)),1,0)</f>
        <v>0</v>
      </c>
      <c r="S127" s="3">
        <f t="shared" si="23"/>
        <v>0</v>
      </c>
      <c r="T127" s="3">
        <f>IF(AND($K127=1,AND(对接源_01水果!$X127="公司筐",N(对接源_01水果!$V127)&lt;&gt;0)),1,0)</f>
        <v>0</v>
      </c>
      <c r="U127" s="3">
        <f t="shared" si="24"/>
        <v>0</v>
      </c>
      <c r="V127" s="3">
        <f>IF(AND($L127=1,AND(对接源_01水果!$X127="自备筐",N(对接源_01水果!$V127)&lt;&gt;0)),1,0)</f>
        <v>0</v>
      </c>
      <c r="W127" s="3">
        <f t="shared" si="25"/>
        <v>0</v>
      </c>
      <c r="X127" s="3">
        <f>IF(AND($L127=1,AND(对接源_01水果!$X127="自备筐",N(对接源_01水果!$T127)&lt;&gt;0)),1,0)</f>
        <v>0</v>
      </c>
      <c r="Y127" s="3">
        <f t="shared" si="26"/>
        <v>0</v>
      </c>
      <c r="Z127" s="3">
        <f>IF(AND($M127=1,对接源_01水果!$D127="原料入库"),1,0)</f>
        <v>0</v>
      </c>
      <c r="AA127" s="3">
        <f t="shared" si="27"/>
        <v>0</v>
      </c>
      <c r="AB127" s="3">
        <f>IF(AND($M127=1,LEFT(对接源_01水果!$D127,4)="原料出库"),1,0)</f>
        <v>0</v>
      </c>
      <c r="AC127" s="3">
        <f t="shared" si="28"/>
        <v>0</v>
      </c>
      <c r="AD127" s="3">
        <f>IF(AND($M127=1,LEFT(对接源_01水果!$D127,4)="成品出库"),1,0)</f>
        <v>0</v>
      </c>
      <c r="AE127" s="3">
        <f t="shared" si="29"/>
        <v>0</v>
      </c>
      <c r="AF127" s="3">
        <f>IF(AND($N127=1,AND(LEFT(对接源_01水果!$D127,4)="包装物料",N(对接源_01水果!$K127)&lt;&gt;0)),1,0)</f>
        <v>0</v>
      </c>
      <c r="AG127" s="3">
        <f t="shared" si="30"/>
        <v>0</v>
      </c>
      <c r="AH127" s="3">
        <f>IF(AND($N127=1,AND(对接源_01水果!$D127="周转筐－销售出库",N(对接源_01水果!$K127)&lt;&gt;0)),1,0)</f>
        <v>0</v>
      </c>
      <c r="AI127" s="3">
        <f t="shared" si="31"/>
        <v>0</v>
      </c>
      <c r="AJ127" s="7"/>
      <c r="AL127" s="3">
        <f>IF(OR($AL$1="",对接源_01水果!$Y127="",对接源_01水果!$Y127&lt;&gt;$AL$1,对接源_01水果!$B127="",N(对接源_01水果!$AJ127)&lt;=0),0,IF(OR(N(对接源_01水果!$B127)&lt;$AL$2,N(对接源_01水果!$B127)&gt;$AL$3),0,1))</f>
        <v>0</v>
      </c>
      <c r="AM127" s="3">
        <f t="shared" si="32"/>
        <v>0</v>
      </c>
      <c r="AN127" s="3" t="str">
        <f>IF(对接源_01水果!$AC127="","",对接源_01水果!$AC127)</f>
        <v/>
      </c>
      <c r="AO127" s="3">
        <f t="shared" si="33"/>
        <v>0</v>
      </c>
      <c r="AP127" s="3">
        <f t="shared" si="34"/>
        <v>0</v>
      </c>
      <c r="AQ127" s="3" t="str">
        <f t="shared" si="35"/>
        <v/>
      </c>
      <c r="AR127">
        <f t="shared" si="36"/>
        <v>0</v>
      </c>
      <c r="AS127">
        <f t="shared" si="37"/>
        <v>0</v>
      </c>
    </row>
    <row r="128" ht="14.25" customHeight="1" spans="1:45">
      <c r="A128" s="3" t="str">
        <f>IF(对接源_01水果!$C128="","",对接源_01水果!$C128)</f>
        <v>聂新平</v>
      </c>
      <c r="B128" s="3">
        <f t="shared" si="19"/>
        <v>0</v>
      </c>
      <c r="C128" s="3">
        <f t="shared" si="20"/>
        <v>4</v>
      </c>
      <c r="E128" s="3" t="str">
        <f t="shared" si="21"/>
        <v/>
      </c>
      <c r="K128" s="3">
        <f>IF(OR($K$1="",对接源_01水果!$C128="",对接源_01水果!$C128&lt;&gt;$K$1,对接源_01水果!$B128=""),0,IF(OR(N(对接源_01水果!$B128)&lt;$K$2,N(对接源_01水果!$B128)&gt;$K$3),0,1))</f>
        <v>0</v>
      </c>
      <c r="L128" s="3">
        <f>IF(OR($L$1="",对接源_01水果!$C128="",对接源_01水果!$C128&lt;&gt;$L$1,对接源_01水果!$B128=""),0,IF(OR(N(对接源_01水果!$B128)&lt;$L$2,N(对接源_01水果!$B128)&gt;$L$3),0,1))</f>
        <v>0</v>
      </c>
      <c r="M128" s="3">
        <f>IF(OR($M$1="",对接源_01水果!$C128="",对接源_01水果!$C128&lt;&gt;$M$1,对接源_01水果!$B128=""),0,IF(OR(N(对接源_01水果!$B128)&lt;$M$2,N(对接源_01水果!$B128)&gt;$M$3),0,1))</f>
        <v>0</v>
      </c>
      <c r="N128" s="3">
        <f>IF(OR($N$1="",对接源_01水果!$C128="",对接源_01水果!$C128&lt;&gt;$N$1,对接源_01水果!$B128=""),0,IF(OR(N(对接源_01水果!$B128)&lt;$N$2,N(对接源_01水果!$B128)&gt;$N$3),0,1))</f>
        <v>0</v>
      </c>
      <c r="P128" s="3">
        <f>IF(AND($K128=1,AND(对接源_01水果!$X128="公司筐",N(对接源_01水果!$T128)&lt;&gt;0)),1,0)</f>
        <v>0</v>
      </c>
      <c r="Q128" s="3">
        <f t="shared" si="22"/>
        <v>0</v>
      </c>
      <c r="R128" s="3">
        <f>IF(AND($K128=1,AND(对接源_01水果!$X128="公司筐",N(对接源_01水果!$U128)&lt;&gt;0)),1,0)</f>
        <v>0</v>
      </c>
      <c r="S128" s="3">
        <f t="shared" si="23"/>
        <v>0</v>
      </c>
      <c r="T128" s="3">
        <f>IF(AND($K128=1,AND(对接源_01水果!$X128="公司筐",N(对接源_01水果!$V128)&lt;&gt;0)),1,0)</f>
        <v>0</v>
      </c>
      <c r="U128" s="3">
        <f t="shared" si="24"/>
        <v>0</v>
      </c>
      <c r="V128" s="3">
        <f>IF(AND($L128=1,AND(对接源_01水果!$X128="自备筐",N(对接源_01水果!$V128)&lt;&gt;0)),1,0)</f>
        <v>0</v>
      </c>
      <c r="W128" s="3">
        <f t="shared" si="25"/>
        <v>0</v>
      </c>
      <c r="X128" s="3">
        <f>IF(AND($L128=1,AND(对接源_01水果!$X128="自备筐",N(对接源_01水果!$T128)&lt;&gt;0)),1,0)</f>
        <v>0</v>
      </c>
      <c r="Y128" s="3">
        <f t="shared" si="26"/>
        <v>0</v>
      </c>
      <c r="Z128" s="3">
        <f>IF(AND($M128=1,对接源_01水果!$D128="原料入库"),1,0)</f>
        <v>0</v>
      </c>
      <c r="AA128" s="3">
        <f t="shared" si="27"/>
        <v>0</v>
      </c>
      <c r="AB128" s="3">
        <f>IF(AND($M128=1,LEFT(对接源_01水果!$D128,4)="原料出库"),1,0)</f>
        <v>0</v>
      </c>
      <c r="AC128" s="3">
        <f t="shared" si="28"/>
        <v>0</v>
      </c>
      <c r="AD128" s="3">
        <f>IF(AND($M128=1,LEFT(对接源_01水果!$D128,4)="成品出库"),1,0)</f>
        <v>0</v>
      </c>
      <c r="AE128" s="3">
        <f t="shared" si="29"/>
        <v>0</v>
      </c>
      <c r="AF128" s="3">
        <f>IF(AND($N128=1,AND(LEFT(对接源_01水果!$D128,4)="包装物料",N(对接源_01水果!$K128)&lt;&gt;0)),1,0)</f>
        <v>0</v>
      </c>
      <c r="AG128" s="3">
        <f t="shared" si="30"/>
        <v>0</v>
      </c>
      <c r="AH128" s="3">
        <f>IF(AND($N128=1,AND(对接源_01水果!$D128="周转筐－销售出库",N(对接源_01水果!$K128)&lt;&gt;0)),1,0)</f>
        <v>0</v>
      </c>
      <c r="AI128" s="3">
        <f t="shared" si="31"/>
        <v>0</v>
      </c>
      <c r="AJ128" s="7"/>
      <c r="AL128" s="3">
        <f>IF(OR($AL$1="",对接源_01水果!$Y128="",对接源_01水果!$Y128&lt;&gt;$AL$1,对接源_01水果!$B128="",N(对接源_01水果!$AJ128)&lt;=0),0,IF(OR(N(对接源_01水果!$B128)&lt;$AL$2,N(对接源_01水果!$B128)&gt;$AL$3),0,1))</f>
        <v>0</v>
      </c>
      <c r="AM128" s="3">
        <f t="shared" si="32"/>
        <v>0</v>
      </c>
      <c r="AN128" s="3" t="str">
        <f>IF(对接源_01水果!$AC128="","",对接源_01水果!$AC128)</f>
        <v/>
      </c>
      <c r="AO128" s="3">
        <f t="shared" si="33"/>
        <v>0</v>
      </c>
      <c r="AP128" s="3">
        <f t="shared" si="34"/>
        <v>0</v>
      </c>
      <c r="AQ128" s="3" t="str">
        <f t="shared" si="35"/>
        <v/>
      </c>
      <c r="AR128">
        <f t="shared" si="36"/>
        <v>0</v>
      </c>
      <c r="AS128">
        <f t="shared" si="37"/>
        <v>0</v>
      </c>
    </row>
    <row r="129" ht="14.25" customHeight="1" spans="1:45">
      <c r="A129" s="3" t="str">
        <f>IF(对接源_01水果!$C129="","",对接源_01水果!$C129)</f>
        <v>聂新平</v>
      </c>
      <c r="B129" s="3">
        <f t="shared" si="19"/>
        <v>0</v>
      </c>
      <c r="C129" s="3">
        <f t="shared" si="20"/>
        <v>4</v>
      </c>
      <c r="E129" s="3" t="str">
        <f t="shared" si="21"/>
        <v/>
      </c>
      <c r="K129" s="3">
        <f>IF(OR($K$1="",对接源_01水果!$C129="",对接源_01水果!$C129&lt;&gt;$K$1,对接源_01水果!$B129=""),0,IF(OR(N(对接源_01水果!$B129)&lt;$K$2,N(对接源_01水果!$B129)&gt;$K$3),0,1))</f>
        <v>0</v>
      </c>
      <c r="L129" s="3">
        <f>IF(OR($L$1="",对接源_01水果!$C129="",对接源_01水果!$C129&lt;&gt;$L$1,对接源_01水果!$B129=""),0,IF(OR(N(对接源_01水果!$B129)&lt;$L$2,N(对接源_01水果!$B129)&gt;$L$3),0,1))</f>
        <v>0</v>
      </c>
      <c r="M129" s="3">
        <f>IF(OR($M$1="",对接源_01水果!$C129="",对接源_01水果!$C129&lt;&gt;$M$1,对接源_01水果!$B129=""),0,IF(OR(N(对接源_01水果!$B129)&lt;$M$2,N(对接源_01水果!$B129)&gt;$M$3),0,1))</f>
        <v>0</v>
      </c>
      <c r="N129" s="3">
        <f>IF(OR($N$1="",对接源_01水果!$C129="",对接源_01水果!$C129&lt;&gt;$N$1,对接源_01水果!$B129=""),0,IF(OR(N(对接源_01水果!$B129)&lt;$N$2,N(对接源_01水果!$B129)&gt;$N$3),0,1))</f>
        <v>0</v>
      </c>
      <c r="P129" s="3">
        <f>IF(AND($K129=1,AND(对接源_01水果!$X129="公司筐",N(对接源_01水果!$T129)&lt;&gt;0)),1,0)</f>
        <v>0</v>
      </c>
      <c r="Q129" s="3">
        <f t="shared" si="22"/>
        <v>0</v>
      </c>
      <c r="R129" s="3">
        <f>IF(AND($K129=1,AND(对接源_01水果!$X129="公司筐",N(对接源_01水果!$U129)&lt;&gt;0)),1,0)</f>
        <v>0</v>
      </c>
      <c r="S129" s="3">
        <f t="shared" si="23"/>
        <v>0</v>
      </c>
      <c r="T129" s="3">
        <f>IF(AND($K129=1,AND(对接源_01水果!$X129="公司筐",N(对接源_01水果!$V129)&lt;&gt;0)),1,0)</f>
        <v>0</v>
      </c>
      <c r="U129" s="3">
        <f t="shared" si="24"/>
        <v>0</v>
      </c>
      <c r="V129" s="3">
        <f>IF(AND($L129=1,AND(对接源_01水果!$X129="自备筐",N(对接源_01水果!$V129)&lt;&gt;0)),1,0)</f>
        <v>0</v>
      </c>
      <c r="W129" s="3">
        <f t="shared" si="25"/>
        <v>0</v>
      </c>
      <c r="X129" s="3">
        <f>IF(AND($L129=1,AND(对接源_01水果!$X129="自备筐",N(对接源_01水果!$T129)&lt;&gt;0)),1,0)</f>
        <v>0</v>
      </c>
      <c r="Y129" s="3">
        <f t="shared" si="26"/>
        <v>0</v>
      </c>
      <c r="Z129" s="3">
        <f>IF(AND($M129=1,对接源_01水果!$D129="原料入库"),1,0)</f>
        <v>0</v>
      </c>
      <c r="AA129" s="3">
        <f t="shared" si="27"/>
        <v>0</v>
      </c>
      <c r="AB129" s="3">
        <f>IF(AND($M129=1,LEFT(对接源_01水果!$D129,4)="原料出库"),1,0)</f>
        <v>0</v>
      </c>
      <c r="AC129" s="3">
        <f t="shared" si="28"/>
        <v>0</v>
      </c>
      <c r="AD129" s="3">
        <f>IF(AND($M129=1,LEFT(对接源_01水果!$D129,4)="成品出库"),1,0)</f>
        <v>0</v>
      </c>
      <c r="AE129" s="3">
        <f t="shared" si="29"/>
        <v>0</v>
      </c>
      <c r="AF129" s="3">
        <f>IF(AND($N129=1,AND(LEFT(对接源_01水果!$D129,4)="包装物料",N(对接源_01水果!$K129)&lt;&gt;0)),1,0)</f>
        <v>0</v>
      </c>
      <c r="AG129" s="3">
        <f t="shared" si="30"/>
        <v>0</v>
      </c>
      <c r="AH129" s="3">
        <f>IF(AND($N129=1,AND(对接源_01水果!$D129="周转筐－销售出库",N(对接源_01水果!$K129)&lt;&gt;0)),1,0)</f>
        <v>0</v>
      </c>
      <c r="AI129" s="3">
        <f t="shared" si="31"/>
        <v>0</v>
      </c>
      <c r="AJ129" s="7"/>
      <c r="AL129" s="3">
        <f>IF(OR($AL$1="",对接源_01水果!$Y129="",对接源_01水果!$Y129&lt;&gt;$AL$1,对接源_01水果!$B129="",N(对接源_01水果!$AJ129)&lt;=0),0,IF(OR(N(对接源_01水果!$B129)&lt;$AL$2,N(对接源_01水果!$B129)&gt;$AL$3),0,1))</f>
        <v>0</v>
      </c>
      <c r="AM129" s="3">
        <f t="shared" si="32"/>
        <v>0</v>
      </c>
      <c r="AN129" s="3" t="str">
        <f>IF(对接源_01水果!$AC129="","",对接源_01水果!$AC129)</f>
        <v/>
      </c>
      <c r="AO129" s="3">
        <f t="shared" si="33"/>
        <v>0</v>
      </c>
      <c r="AP129" s="3">
        <f t="shared" si="34"/>
        <v>0</v>
      </c>
      <c r="AQ129" s="3" t="str">
        <f t="shared" si="35"/>
        <v/>
      </c>
      <c r="AR129">
        <f t="shared" si="36"/>
        <v>0</v>
      </c>
      <c r="AS129">
        <f t="shared" si="37"/>
        <v>0</v>
      </c>
    </row>
    <row r="130" ht="14.25" customHeight="1" spans="1:45">
      <c r="A130" s="3" t="str">
        <f>IF(对接源_01水果!$C130="","",对接源_01水果!$C130)</f>
        <v>聂新平</v>
      </c>
      <c r="B130" s="3">
        <f t="shared" si="19"/>
        <v>0</v>
      </c>
      <c r="C130" s="3">
        <f t="shared" si="20"/>
        <v>4</v>
      </c>
      <c r="E130" s="3" t="str">
        <f t="shared" si="21"/>
        <v/>
      </c>
      <c r="K130" s="3">
        <f>IF(OR($K$1="",对接源_01水果!$C130="",对接源_01水果!$C130&lt;&gt;$K$1,对接源_01水果!$B130=""),0,IF(OR(N(对接源_01水果!$B130)&lt;$K$2,N(对接源_01水果!$B130)&gt;$K$3),0,1))</f>
        <v>0</v>
      </c>
      <c r="L130" s="3">
        <f>IF(OR($L$1="",对接源_01水果!$C130="",对接源_01水果!$C130&lt;&gt;$L$1,对接源_01水果!$B130=""),0,IF(OR(N(对接源_01水果!$B130)&lt;$L$2,N(对接源_01水果!$B130)&gt;$L$3),0,1))</f>
        <v>0</v>
      </c>
      <c r="M130" s="3">
        <f>IF(OR($M$1="",对接源_01水果!$C130="",对接源_01水果!$C130&lt;&gt;$M$1,对接源_01水果!$B130=""),0,IF(OR(N(对接源_01水果!$B130)&lt;$M$2,N(对接源_01水果!$B130)&gt;$M$3),0,1))</f>
        <v>0</v>
      </c>
      <c r="N130" s="3">
        <f>IF(OR($N$1="",对接源_01水果!$C130="",对接源_01水果!$C130&lt;&gt;$N$1,对接源_01水果!$B130=""),0,IF(OR(N(对接源_01水果!$B130)&lt;$N$2,N(对接源_01水果!$B130)&gt;$N$3),0,1))</f>
        <v>0</v>
      </c>
      <c r="P130" s="3">
        <f>IF(AND($K130=1,AND(对接源_01水果!$X130="公司筐",N(对接源_01水果!$T130)&lt;&gt;0)),1,0)</f>
        <v>0</v>
      </c>
      <c r="Q130" s="3">
        <f t="shared" si="22"/>
        <v>0</v>
      </c>
      <c r="R130" s="3">
        <f>IF(AND($K130=1,AND(对接源_01水果!$X130="公司筐",N(对接源_01水果!$U130)&lt;&gt;0)),1,0)</f>
        <v>0</v>
      </c>
      <c r="S130" s="3">
        <f t="shared" si="23"/>
        <v>0</v>
      </c>
      <c r="T130" s="3">
        <f>IF(AND($K130=1,AND(对接源_01水果!$X130="公司筐",N(对接源_01水果!$V130)&lt;&gt;0)),1,0)</f>
        <v>0</v>
      </c>
      <c r="U130" s="3">
        <f t="shared" si="24"/>
        <v>0</v>
      </c>
      <c r="V130" s="3">
        <f>IF(AND($L130=1,AND(对接源_01水果!$X130="自备筐",N(对接源_01水果!$V130)&lt;&gt;0)),1,0)</f>
        <v>0</v>
      </c>
      <c r="W130" s="3">
        <f t="shared" si="25"/>
        <v>0</v>
      </c>
      <c r="X130" s="3">
        <f>IF(AND($L130=1,AND(对接源_01水果!$X130="自备筐",N(对接源_01水果!$T130)&lt;&gt;0)),1,0)</f>
        <v>0</v>
      </c>
      <c r="Y130" s="3">
        <f t="shared" si="26"/>
        <v>0</v>
      </c>
      <c r="Z130" s="3">
        <f>IF(AND($M130=1,对接源_01水果!$D130="原料入库"),1,0)</f>
        <v>0</v>
      </c>
      <c r="AA130" s="3">
        <f t="shared" si="27"/>
        <v>0</v>
      </c>
      <c r="AB130" s="3">
        <f>IF(AND($M130=1,LEFT(对接源_01水果!$D130,4)="原料出库"),1,0)</f>
        <v>0</v>
      </c>
      <c r="AC130" s="3">
        <f t="shared" si="28"/>
        <v>0</v>
      </c>
      <c r="AD130" s="3">
        <f>IF(AND($M130=1,LEFT(对接源_01水果!$D130,4)="成品出库"),1,0)</f>
        <v>0</v>
      </c>
      <c r="AE130" s="3">
        <f t="shared" si="29"/>
        <v>0</v>
      </c>
      <c r="AF130" s="3">
        <f>IF(AND($N130=1,AND(LEFT(对接源_01水果!$D130,4)="包装物料",N(对接源_01水果!$K130)&lt;&gt;0)),1,0)</f>
        <v>0</v>
      </c>
      <c r="AG130" s="3">
        <f t="shared" si="30"/>
        <v>0</v>
      </c>
      <c r="AH130" s="3">
        <f>IF(AND($N130=1,AND(对接源_01水果!$D130="周转筐－销售出库",N(对接源_01水果!$K130)&lt;&gt;0)),1,0)</f>
        <v>0</v>
      </c>
      <c r="AI130" s="3">
        <f t="shared" si="31"/>
        <v>0</v>
      </c>
      <c r="AJ130" s="7"/>
      <c r="AL130" s="3">
        <f>IF(OR($AL$1="",对接源_01水果!$Y130="",对接源_01水果!$Y130&lt;&gt;$AL$1,对接源_01水果!$B130="",N(对接源_01水果!$AJ130)&lt;=0),0,IF(OR(N(对接源_01水果!$B130)&lt;$AL$2,N(对接源_01水果!$B130)&gt;$AL$3),0,1))</f>
        <v>0</v>
      </c>
      <c r="AM130" s="3">
        <f t="shared" si="32"/>
        <v>0</v>
      </c>
      <c r="AN130" s="3" t="str">
        <f>IF(对接源_01水果!$AC130="","",对接源_01水果!$AC130)</f>
        <v/>
      </c>
      <c r="AO130" s="3">
        <f t="shared" si="33"/>
        <v>0</v>
      </c>
      <c r="AP130" s="3">
        <f t="shared" si="34"/>
        <v>0</v>
      </c>
      <c r="AQ130" s="3" t="str">
        <f t="shared" si="35"/>
        <v/>
      </c>
      <c r="AR130">
        <f t="shared" si="36"/>
        <v>0</v>
      </c>
      <c r="AS130">
        <f t="shared" si="37"/>
        <v>0</v>
      </c>
    </row>
    <row r="131" ht="14.25" customHeight="1" spans="1:45">
      <c r="A131" s="3" t="str">
        <f>IF(对接源_01水果!$C131="","",对接源_01水果!$C131)</f>
        <v>聂新平</v>
      </c>
      <c r="B131" s="3">
        <f t="shared" si="19"/>
        <v>0</v>
      </c>
      <c r="C131" s="3">
        <f t="shared" si="20"/>
        <v>4</v>
      </c>
      <c r="E131" s="3" t="str">
        <f t="shared" si="21"/>
        <v/>
      </c>
      <c r="K131" s="3">
        <f>IF(OR($K$1="",对接源_01水果!$C131="",对接源_01水果!$C131&lt;&gt;$K$1,对接源_01水果!$B131=""),0,IF(OR(N(对接源_01水果!$B131)&lt;$K$2,N(对接源_01水果!$B131)&gt;$K$3),0,1))</f>
        <v>0</v>
      </c>
      <c r="L131" s="3">
        <f>IF(OR($L$1="",对接源_01水果!$C131="",对接源_01水果!$C131&lt;&gt;$L$1,对接源_01水果!$B131=""),0,IF(OR(N(对接源_01水果!$B131)&lt;$L$2,N(对接源_01水果!$B131)&gt;$L$3),0,1))</f>
        <v>0</v>
      </c>
      <c r="M131" s="3">
        <f>IF(OR($M$1="",对接源_01水果!$C131="",对接源_01水果!$C131&lt;&gt;$M$1,对接源_01水果!$B131=""),0,IF(OR(N(对接源_01水果!$B131)&lt;$M$2,N(对接源_01水果!$B131)&gt;$M$3),0,1))</f>
        <v>0</v>
      </c>
      <c r="N131" s="3">
        <f>IF(OR($N$1="",对接源_01水果!$C131="",对接源_01水果!$C131&lt;&gt;$N$1,对接源_01水果!$B131=""),0,IF(OR(N(对接源_01水果!$B131)&lt;$N$2,N(对接源_01水果!$B131)&gt;$N$3),0,1))</f>
        <v>0</v>
      </c>
      <c r="P131" s="3">
        <f>IF(AND($K131=1,AND(对接源_01水果!$X131="公司筐",N(对接源_01水果!$T131)&lt;&gt;0)),1,0)</f>
        <v>0</v>
      </c>
      <c r="Q131" s="3">
        <f t="shared" si="22"/>
        <v>0</v>
      </c>
      <c r="R131" s="3">
        <f>IF(AND($K131=1,AND(对接源_01水果!$X131="公司筐",N(对接源_01水果!$U131)&lt;&gt;0)),1,0)</f>
        <v>0</v>
      </c>
      <c r="S131" s="3">
        <f t="shared" si="23"/>
        <v>0</v>
      </c>
      <c r="T131" s="3">
        <f>IF(AND($K131=1,AND(对接源_01水果!$X131="公司筐",N(对接源_01水果!$V131)&lt;&gt;0)),1,0)</f>
        <v>0</v>
      </c>
      <c r="U131" s="3">
        <f t="shared" si="24"/>
        <v>0</v>
      </c>
      <c r="V131" s="3">
        <f>IF(AND($L131=1,AND(对接源_01水果!$X131="自备筐",N(对接源_01水果!$V131)&lt;&gt;0)),1,0)</f>
        <v>0</v>
      </c>
      <c r="W131" s="3">
        <f t="shared" si="25"/>
        <v>0</v>
      </c>
      <c r="X131" s="3">
        <f>IF(AND($L131=1,AND(对接源_01水果!$X131="自备筐",N(对接源_01水果!$T131)&lt;&gt;0)),1,0)</f>
        <v>0</v>
      </c>
      <c r="Y131" s="3">
        <f t="shared" si="26"/>
        <v>0</v>
      </c>
      <c r="Z131" s="3">
        <f>IF(AND($M131=1,对接源_01水果!$D131="原料入库"),1,0)</f>
        <v>0</v>
      </c>
      <c r="AA131" s="3">
        <f t="shared" si="27"/>
        <v>0</v>
      </c>
      <c r="AB131" s="3">
        <f>IF(AND($M131=1,LEFT(对接源_01水果!$D131,4)="原料出库"),1,0)</f>
        <v>0</v>
      </c>
      <c r="AC131" s="3">
        <f t="shared" si="28"/>
        <v>0</v>
      </c>
      <c r="AD131" s="3">
        <f>IF(AND($M131=1,LEFT(对接源_01水果!$D131,4)="成品出库"),1,0)</f>
        <v>0</v>
      </c>
      <c r="AE131" s="3">
        <f t="shared" si="29"/>
        <v>0</v>
      </c>
      <c r="AF131" s="3">
        <f>IF(AND($N131=1,AND(LEFT(对接源_01水果!$D131,4)="包装物料",N(对接源_01水果!$K131)&lt;&gt;0)),1,0)</f>
        <v>0</v>
      </c>
      <c r="AG131" s="3">
        <f t="shared" si="30"/>
        <v>0</v>
      </c>
      <c r="AH131" s="3">
        <f>IF(AND($N131=1,AND(对接源_01水果!$D131="周转筐－销售出库",N(对接源_01水果!$K131)&lt;&gt;0)),1,0)</f>
        <v>0</v>
      </c>
      <c r="AI131" s="3">
        <f t="shared" si="31"/>
        <v>0</v>
      </c>
      <c r="AJ131" s="7"/>
      <c r="AL131" s="3">
        <f>IF(OR($AL$1="",对接源_01水果!$Y131="",对接源_01水果!$Y131&lt;&gt;$AL$1,对接源_01水果!$B131="",N(对接源_01水果!$AJ131)&lt;=0),0,IF(OR(N(对接源_01水果!$B131)&lt;$AL$2,N(对接源_01水果!$B131)&gt;$AL$3),0,1))</f>
        <v>0</v>
      </c>
      <c r="AM131" s="3">
        <f t="shared" si="32"/>
        <v>0</v>
      </c>
      <c r="AN131" s="3" t="str">
        <f>IF(对接源_01水果!$AC131="","",对接源_01水果!$AC131)</f>
        <v/>
      </c>
      <c r="AO131" s="3">
        <f t="shared" si="33"/>
        <v>0</v>
      </c>
      <c r="AP131" s="3">
        <f t="shared" si="34"/>
        <v>0</v>
      </c>
      <c r="AQ131" s="3" t="str">
        <f t="shared" si="35"/>
        <v/>
      </c>
      <c r="AR131">
        <f t="shared" si="36"/>
        <v>0</v>
      </c>
      <c r="AS131">
        <f t="shared" si="37"/>
        <v>0</v>
      </c>
    </row>
    <row r="132" ht="14.25" customHeight="1" spans="1:45">
      <c r="A132" s="3" t="str">
        <f>IF(对接源_01水果!$C132="","",对接源_01水果!$C132)</f>
        <v>聂新平</v>
      </c>
      <c r="B132" s="3">
        <f t="shared" ref="B132:B195" si="38">IF(A132="",0,IF(MATCH(A132,$A$4:$A$2403,0)=ROW()-3,1,0))</f>
        <v>0</v>
      </c>
      <c r="C132" s="3">
        <f t="shared" ref="C132:C195" si="39">N(C131)+B132</f>
        <v>4</v>
      </c>
      <c r="E132" s="3" t="str">
        <f t="shared" ref="E132:E195" si="40">IFERROR(INDEX($A$4:$A$2403,MATCH(ROW()-3,$C$4:$C$2403,0)),"")</f>
        <v/>
      </c>
      <c r="K132" s="3">
        <f>IF(OR($K$1="",对接源_01水果!$C132="",对接源_01水果!$C132&lt;&gt;$K$1,对接源_01水果!$B132=""),0,IF(OR(N(对接源_01水果!$B132)&lt;$K$2,N(对接源_01水果!$B132)&gt;$K$3),0,1))</f>
        <v>0</v>
      </c>
      <c r="L132" s="3">
        <f>IF(OR($L$1="",对接源_01水果!$C132="",对接源_01水果!$C132&lt;&gt;$L$1,对接源_01水果!$B132=""),0,IF(OR(N(对接源_01水果!$B132)&lt;$L$2,N(对接源_01水果!$B132)&gt;$L$3),0,1))</f>
        <v>0</v>
      </c>
      <c r="M132" s="3">
        <f>IF(OR($M$1="",对接源_01水果!$C132="",对接源_01水果!$C132&lt;&gt;$M$1,对接源_01水果!$B132=""),0,IF(OR(N(对接源_01水果!$B132)&lt;$M$2,N(对接源_01水果!$B132)&gt;$M$3),0,1))</f>
        <v>0</v>
      </c>
      <c r="N132" s="3">
        <f>IF(OR($N$1="",对接源_01水果!$C132="",对接源_01水果!$C132&lt;&gt;$N$1,对接源_01水果!$B132=""),0,IF(OR(N(对接源_01水果!$B132)&lt;$N$2,N(对接源_01水果!$B132)&gt;$N$3),0,1))</f>
        <v>0</v>
      </c>
      <c r="P132" s="3">
        <f>IF(AND($K132=1,AND(对接源_01水果!$X132="公司筐",N(对接源_01水果!$T132)&lt;&gt;0)),1,0)</f>
        <v>0</v>
      </c>
      <c r="Q132" s="3">
        <f t="shared" ref="Q132:Q195" si="41">N(Q131)+$P132</f>
        <v>0</v>
      </c>
      <c r="R132" s="3">
        <f>IF(AND($K132=1,AND(对接源_01水果!$X132="公司筐",N(对接源_01水果!$U132)&lt;&gt;0)),1,0)</f>
        <v>0</v>
      </c>
      <c r="S132" s="3">
        <f t="shared" ref="S132:S195" si="42">N(S131)+$R132</f>
        <v>0</v>
      </c>
      <c r="T132" s="3">
        <f>IF(AND($K132=1,AND(对接源_01水果!$X132="公司筐",N(对接源_01水果!$V132)&lt;&gt;0)),1,0)</f>
        <v>0</v>
      </c>
      <c r="U132" s="3">
        <f t="shared" ref="U132:U195" si="43">N(U131)+$T132</f>
        <v>0</v>
      </c>
      <c r="V132" s="3">
        <f>IF(AND($L132=1,AND(对接源_01水果!$X132="自备筐",N(对接源_01水果!$V132)&lt;&gt;0)),1,0)</f>
        <v>0</v>
      </c>
      <c r="W132" s="3">
        <f t="shared" ref="W132:W195" si="44">N(W131)+$V132</f>
        <v>0</v>
      </c>
      <c r="X132" s="3">
        <f>IF(AND($L132=1,AND(对接源_01水果!$X132="自备筐",N(对接源_01水果!$T132)&lt;&gt;0)),1,0)</f>
        <v>0</v>
      </c>
      <c r="Y132" s="3">
        <f t="shared" ref="Y132:Y195" si="45">N(Y131)+$X132</f>
        <v>0</v>
      </c>
      <c r="Z132" s="3">
        <f>IF(AND($M132=1,对接源_01水果!$D132="原料入库"),1,0)</f>
        <v>0</v>
      </c>
      <c r="AA132" s="3">
        <f t="shared" ref="AA132:AA195" si="46">N(AA131)+$Z132</f>
        <v>0</v>
      </c>
      <c r="AB132" s="3">
        <f>IF(AND($M132=1,LEFT(对接源_01水果!$D132,4)="原料出库"),1,0)</f>
        <v>0</v>
      </c>
      <c r="AC132" s="3">
        <f t="shared" ref="AC132:AC195" si="47">N(AC131)+$AB132</f>
        <v>0</v>
      </c>
      <c r="AD132" s="3">
        <f>IF(AND($M132=1,LEFT(对接源_01水果!$D132,4)="成品出库"),1,0)</f>
        <v>0</v>
      </c>
      <c r="AE132" s="3">
        <f t="shared" ref="AE132:AE195" si="48">N(AE131)+$AD132</f>
        <v>0</v>
      </c>
      <c r="AF132" s="3">
        <f>IF(AND($N132=1,AND(LEFT(对接源_01水果!$D132,4)="包装物料",N(对接源_01水果!$K132)&lt;&gt;0)),1,0)</f>
        <v>0</v>
      </c>
      <c r="AG132" s="3">
        <f t="shared" ref="AG132:AG195" si="49">N(AG131)+$AF132</f>
        <v>0</v>
      </c>
      <c r="AH132" s="3">
        <f>IF(AND($N132=1,AND(对接源_01水果!$D132="周转筐－销售出库",N(对接源_01水果!$K132)&lt;&gt;0)),1,0)</f>
        <v>0</v>
      </c>
      <c r="AI132" s="3">
        <f t="shared" ref="AI132:AI195" si="50">N(AI131)+$AH132</f>
        <v>0</v>
      </c>
      <c r="AJ132" s="7"/>
      <c r="AL132" s="3">
        <f>IF(OR($AL$1="",对接源_01水果!$Y132="",对接源_01水果!$Y132&lt;&gt;$AL$1,对接源_01水果!$B132="",N(对接源_01水果!$AJ132)&lt;=0),0,IF(OR(N(对接源_01水果!$B132)&lt;$AL$2,N(对接源_01水果!$B132)&gt;$AL$3),0,1))</f>
        <v>0</v>
      </c>
      <c r="AM132" s="3">
        <f t="shared" ref="AM132:AM195" si="51">N(AM131)+$AL132</f>
        <v>0</v>
      </c>
      <c r="AN132" s="3" t="str">
        <f>IF(对接源_01水果!$AC132="","",对接源_01水果!$AC132)</f>
        <v/>
      </c>
      <c r="AO132" s="3">
        <f t="shared" ref="AO132:AO195" si="52">IF(AN132="",0,IF(MATCH(AN132,$AN$4:$AN$1203,0)=ROW()-3,1,0))</f>
        <v>0</v>
      </c>
      <c r="AP132" s="3">
        <f t="shared" ref="AP132:AP195" si="53">N(AP131)+$AO132</f>
        <v>0</v>
      </c>
      <c r="AQ132" s="3" t="str">
        <f t="shared" ref="AQ132:AQ195" si="54">IFERROR(INDEX($AN$4:$AN$1203,MATCH(ROW()-3,$AP$4:$AP$1203,0)),"")</f>
        <v/>
      </c>
      <c r="AR132">
        <f t="shared" ref="AR132:AR195" si="55">IF(OR($AF132=1,$AH132=1),1,0)</f>
        <v>0</v>
      </c>
      <c r="AS132">
        <f t="shared" ref="AS132:AS195" si="56">N(AS131)+$AR132</f>
        <v>0</v>
      </c>
    </row>
    <row r="133" ht="14.25" customHeight="1" spans="1:45">
      <c r="A133" s="3" t="str">
        <f>IF(对接源_01水果!$C133="","",对接源_01水果!$C133)</f>
        <v>聂新平</v>
      </c>
      <c r="B133" s="3">
        <f t="shared" si="38"/>
        <v>0</v>
      </c>
      <c r="C133" s="3">
        <f t="shared" si="39"/>
        <v>4</v>
      </c>
      <c r="E133" s="3" t="str">
        <f t="shared" si="40"/>
        <v/>
      </c>
      <c r="K133" s="3">
        <f>IF(OR($K$1="",对接源_01水果!$C133="",对接源_01水果!$C133&lt;&gt;$K$1,对接源_01水果!$B133=""),0,IF(OR(N(对接源_01水果!$B133)&lt;$K$2,N(对接源_01水果!$B133)&gt;$K$3),0,1))</f>
        <v>0</v>
      </c>
      <c r="L133" s="3">
        <f>IF(OR($L$1="",对接源_01水果!$C133="",对接源_01水果!$C133&lt;&gt;$L$1,对接源_01水果!$B133=""),0,IF(OR(N(对接源_01水果!$B133)&lt;$L$2,N(对接源_01水果!$B133)&gt;$L$3),0,1))</f>
        <v>0</v>
      </c>
      <c r="M133" s="3">
        <f>IF(OR($M$1="",对接源_01水果!$C133="",对接源_01水果!$C133&lt;&gt;$M$1,对接源_01水果!$B133=""),0,IF(OR(N(对接源_01水果!$B133)&lt;$M$2,N(对接源_01水果!$B133)&gt;$M$3),0,1))</f>
        <v>0</v>
      </c>
      <c r="N133" s="3">
        <f>IF(OR($N$1="",对接源_01水果!$C133="",对接源_01水果!$C133&lt;&gt;$N$1,对接源_01水果!$B133=""),0,IF(OR(N(对接源_01水果!$B133)&lt;$N$2,N(对接源_01水果!$B133)&gt;$N$3),0,1))</f>
        <v>0</v>
      </c>
      <c r="P133" s="3">
        <f>IF(AND($K133=1,AND(对接源_01水果!$X133="公司筐",N(对接源_01水果!$T133)&lt;&gt;0)),1,0)</f>
        <v>0</v>
      </c>
      <c r="Q133" s="3">
        <f t="shared" si="41"/>
        <v>0</v>
      </c>
      <c r="R133" s="3">
        <f>IF(AND($K133=1,AND(对接源_01水果!$X133="公司筐",N(对接源_01水果!$U133)&lt;&gt;0)),1,0)</f>
        <v>0</v>
      </c>
      <c r="S133" s="3">
        <f t="shared" si="42"/>
        <v>0</v>
      </c>
      <c r="T133" s="3">
        <f>IF(AND($K133=1,AND(对接源_01水果!$X133="公司筐",N(对接源_01水果!$V133)&lt;&gt;0)),1,0)</f>
        <v>0</v>
      </c>
      <c r="U133" s="3">
        <f t="shared" si="43"/>
        <v>0</v>
      </c>
      <c r="V133" s="3">
        <f>IF(AND($L133=1,AND(对接源_01水果!$X133="自备筐",N(对接源_01水果!$V133)&lt;&gt;0)),1,0)</f>
        <v>0</v>
      </c>
      <c r="W133" s="3">
        <f t="shared" si="44"/>
        <v>0</v>
      </c>
      <c r="X133" s="3">
        <f>IF(AND($L133=1,AND(对接源_01水果!$X133="自备筐",N(对接源_01水果!$T133)&lt;&gt;0)),1,0)</f>
        <v>0</v>
      </c>
      <c r="Y133" s="3">
        <f t="shared" si="45"/>
        <v>0</v>
      </c>
      <c r="Z133" s="3">
        <f>IF(AND($M133=1,对接源_01水果!$D133="原料入库"),1,0)</f>
        <v>0</v>
      </c>
      <c r="AA133" s="3">
        <f t="shared" si="46"/>
        <v>0</v>
      </c>
      <c r="AB133" s="3">
        <f>IF(AND($M133=1,LEFT(对接源_01水果!$D133,4)="原料出库"),1,0)</f>
        <v>0</v>
      </c>
      <c r="AC133" s="3">
        <f t="shared" si="47"/>
        <v>0</v>
      </c>
      <c r="AD133" s="3">
        <f>IF(AND($M133=1,LEFT(对接源_01水果!$D133,4)="成品出库"),1,0)</f>
        <v>0</v>
      </c>
      <c r="AE133" s="3">
        <f t="shared" si="48"/>
        <v>0</v>
      </c>
      <c r="AF133" s="3">
        <f>IF(AND($N133=1,AND(LEFT(对接源_01水果!$D133,4)="包装物料",N(对接源_01水果!$K133)&lt;&gt;0)),1,0)</f>
        <v>0</v>
      </c>
      <c r="AG133" s="3">
        <f t="shared" si="49"/>
        <v>0</v>
      </c>
      <c r="AH133" s="3">
        <f>IF(AND($N133=1,AND(对接源_01水果!$D133="周转筐－销售出库",N(对接源_01水果!$K133)&lt;&gt;0)),1,0)</f>
        <v>0</v>
      </c>
      <c r="AI133" s="3">
        <f t="shared" si="50"/>
        <v>0</v>
      </c>
      <c r="AJ133" s="7"/>
      <c r="AL133" s="3">
        <f>IF(OR($AL$1="",对接源_01水果!$Y133="",对接源_01水果!$Y133&lt;&gt;$AL$1,对接源_01水果!$B133="",N(对接源_01水果!$AJ133)&lt;=0),0,IF(OR(N(对接源_01水果!$B133)&lt;$AL$2,N(对接源_01水果!$B133)&gt;$AL$3),0,1))</f>
        <v>0</v>
      </c>
      <c r="AM133" s="3">
        <f t="shared" si="51"/>
        <v>0</v>
      </c>
      <c r="AN133" s="3" t="str">
        <f>IF(对接源_01水果!$AC133="","",对接源_01水果!$AC133)</f>
        <v/>
      </c>
      <c r="AO133" s="3">
        <f t="shared" si="52"/>
        <v>0</v>
      </c>
      <c r="AP133" s="3">
        <f t="shared" si="53"/>
        <v>0</v>
      </c>
      <c r="AQ133" s="3" t="str">
        <f t="shared" si="54"/>
        <v/>
      </c>
      <c r="AR133">
        <f t="shared" si="55"/>
        <v>0</v>
      </c>
      <c r="AS133">
        <f t="shared" si="56"/>
        <v>0</v>
      </c>
    </row>
    <row r="134" ht="14.25" customHeight="1" spans="1:45">
      <c r="A134" s="3" t="str">
        <f>IF(对接源_01水果!$C134="","",对接源_01水果!$C134)</f>
        <v>聂新平</v>
      </c>
      <c r="B134" s="3">
        <f t="shared" si="38"/>
        <v>0</v>
      </c>
      <c r="C134" s="3">
        <f t="shared" si="39"/>
        <v>4</v>
      </c>
      <c r="E134" s="3" t="str">
        <f t="shared" si="40"/>
        <v/>
      </c>
      <c r="K134" s="3">
        <f>IF(OR($K$1="",对接源_01水果!$C134="",对接源_01水果!$C134&lt;&gt;$K$1,对接源_01水果!$B134=""),0,IF(OR(N(对接源_01水果!$B134)&lt;$K$2,N(对接源_01水果!$B134)&gt;$K$3),0,1))</f>
        <v>0</v>
      </c>
      <c r="L134" s="3">
        <f>IF(OR($L$1="",对接源_01水果!$C134="",对接源_01水果!$C134&lt;&gt;$L$1,对接源_01水果!$B134=""),0,IF(OR(N(对接源_01水果!$B134)&lt;$L$2,N(对接源_01水果!$B134)&gt;$L$3),0,1))</f>
        <v>0</v>
      </c>
      <c r="M134" s="3">
        <f>IF(OR($M$1="",对接源_01水果!$C134="",对接源_01水果!$C134&lt;&gt;$M$1,对接源_01水果!$B134=""),0,IF(OR(N(对接源_01水果!$B134)&lt;$M$2,N(对接源_01水果!$B134)&gt;$M$3),0,1))</f>
        <v>0</v>
      </c>
      <c r="N134" s="3">
        <f>IF(OR($N$1="",对接源_01水果!$C134="",对接源_01水果!$C134&lt;&gt;$N$1,对接源_01水果!$B134=""),0,IF(OR(N(对接源_01水果!$B134)&lt;$N$2,N(对接源_01水果!$B134)&gt;$N$3),0,1))</f>
        <v>0</v>
      </c>
      <c r="P134" s="3">
        <f>IF(AND($K134=1,AND(对接源_01水果!$X134="公司筐",N(对接源_01水果!$T134)&lt;&gt;0)),1,0)</f>
        <v>0</v>
      </c>
      <c r="Q134" s="3">
        <f t="shared" si="41"/>
        <v>0</v>
      </c>
      <c r="R134" s="3">
        <f>IF(AND($K134=1,AND(对接源_01水果!$X134="公司筐",N(对接源_01水果!$U134)&lt;&gt;0)),1,0)</f>
        <v>0</v>
      </c>
      <c r="S134" s="3">
        <f t="shared" si="42"/>
        <v>0</v>
      </c>
      <c r="T134" s="3">
        <f>IF(AND($K134=1,AND(对接源_01水果!$X134="公司筐",N(对接源_01水果!$V134)&lt;&gt;0)),1,0)</f>
        <v>0</v>
      </c>
      <c r="U134" s="3">
        <f t="shared" si="43"/>
        <v>0</v>
      </c>
      <c r="V134" s="3">
        <f>IF(AND($L134=1,AND(对接源_01水果!$X134="自备筐",N(对接源_01水果!$V134)&lt;&gt;0)),1,0)</f>
        <v>0</v>
      </c>
      <c r="W134" s="3">
        <f t="shared" si="44"/>
        <v>0</v>
      </c>
      <c r="X134" s="3">
        <f>IF(AND($L134=1,AND(对接源_01水果!$X134="自备筐",N(对接源_01水果!$T134)&lt;&gt;0)),1,0)</f>
        <v>0</v>
      </c>
      <c r="Y134" s="3">
        <f t="shared" si="45"/>
        <v>0</v>
      </c>
      <c r="Z134" s="3">
        <f>IF(AND($M134=1,对接源_01水果!$D134="原料入库"),1,0)</f>
        <v>0</v>
      </c>
      <c r="AA134" s="3">
        <f t="shared" si="46"/>
        <v>0</v>
      </c>
      <c r="AB134" s="3">
        <f>IF(AND($M134=1,LEFT(对接源_01水果!$D134,4)="原料出库"),1,0)</f>
        <v>0</v>
      </c>
      <c r="AC134" s="3">
        <f t="shared" si="47"/>
        <v>0</v>
      </c>
      <c r="AD134" s="3">
        <f>IF(AND($M134=1,LEFT(对接源_01水果!$D134,4)="成品出库"),1,0)</f>
        <v>0</v>
      </c>
      <c r="AE134" s="3">
        <f t="shared" si="48"/>
        <v>0</v>
      </c>
      <c r="AF134" s="3">
        <f>IF(AND($N134=1,AND(LEFT(对接源_01水果!$D134,4)="包装物料",N(对接源_01水果!$K134)&lt;&gt;0)),1,0)</f>
        <v>0</v>
      </c>
      <c r="AG134" s="3">
        <f t="shared" si="49"/>
        <v>0</v>
      </c>
      <c r="AH134" s="3">
        <f>IF(AND($N134=1,AND(对接源_01水果!$D134="周转筐－销售出库",N(对接源_01水果!$K134)&lt;&gt;0)),1,0)</f>
        <v>0</v>
      </c>
      <c r="AI134" s="3">
        <f t="shared" si="50"/>
        <v>0</v>
      </c>
      <c r="AJ134" s="7"/>
      <c r="AL134" s="3">
        <f>IF(OR($AL$1="",对接源_01水果!$Y134="",对接源_01水果!$Y134&lt;&gt;$AL$1,对接源_01水果!$B134="",N(对接源_01水果!$AJ134)&lt;=0),0,IF(OR(N(对接源_01水果!$B134)&lt;$AL$2,N(对接源_01水果!$B134)&gt;$AL$3),0,1))</f>
        <v>0</v>
      </c>
      <c r="AM134" s="3">
        <f t="shared" si="51"/>
        <v>0</v>
      </c>
      <c r="AN134" s="3" t="str">
        <f>IF(对接源_01水果!$AC134="","",对接源_01水果!$AC134)</f>
        <v/>
      </c>
      <c r="AO134" s="3">
        <f t="shared" si="52"/>
        <v>0</v>
      </c>
      <c r="AP134" s="3">
        <f t="shared" si="53"/>
        <v>0</v>
      </c>
      <c r="AQ134" s="3" t="str">
        <f t="shared" si="54"/>
        <v/>
      </c>
      <c r="AR134">
        <f t="shared" si="55"/>
        <v>0</v>
      </c>
      <c r="AS134">
        <f t="shared" si="56"/>
        <v>0</v>
      </c>
    </row>
    <row r="135" ht="14.25" customHeight="1" spans="1:45">
      <c r="A135" s="3" t="str">
        <f>IF(对接源_01水果!$C135="","",对接源_01水果!$C135)</f>
        <v>聂新平</v>
      </c>
      <c r="B135" s="3">
        <f t="shared" si="38"/>
        <v>0</v>
      </c>
      <c r="C135" s="3">
        <f t="shared" si="39"/>
        <v>4</v>
      </c>
      <c r="E135" s="3" t="str">
        <f t="shared" si="40"/>
        <v/>
      </c>
      <c r="K135" s="3">
        <f>IF(OR($K$1="",对接源_01水果!$C135="",对接源_01水果!$C135&lt;&gt;$K$1,对接源_01水果!$B135=""),0,IF(OR(N(对接源_01水果!$B135)&lt;$K$2,N(对接源_01水果!$B135)&gt;$K$3),0,1))</f>
        <v>0</v>
      </c>
      <c r="L135" s="3">
        <f>IF(OR($L$1="",对接源_01水果!$C135="",对接源_01水果!$C135&lt;&gt;$L$1,对接源_01水果!$B135=""),0,IF(OR(N(对接源_01水果!$B135)&lt;$L$2,N(对接源_01水果!$B135)&gt;$L$3),0,1))</f>
        <v>0</v>
      </c>
      <c r="M135" s="3">
        <f>IF(OR($M$1="",对接源_01水果!$C135="",对接源_01水果!$C135&lt;&gt;$M$1,对接源_01水果!$B135=""),0,IF(OR(N(对接源_01水果!$B135)&lt;$M$2,N(对接源_01水果!$B135)&gt;$M$3),0,1))</f>
        <v>0</v>
      </c>
      <c r="N135" s="3">
        <f>IF(OR($N$1="",对接源_01水果!$C135="",对接源_01水果!$C135&lt;&gt;$N$1,对接源_01水果!$B135=""),0,IF(OR(N(对接源_01水果!$B135)&lt;$N$2,N(对接源_01水果!$B135)&gt;$N$3),0,1))</f>
        <v>0</v>
      </c>
      <c r="P135" s="3">
        <f>IF(AND($K135=1,AND(对接源_01水果!$X135="公司筐",N(对接源_01水果!$T135)&lt;&gt;0)),1,0)</f>
        <v>0</v>
      </c>
      <c r="Q135" s="3">
        <f t="shared" si="41"/>
        <v>0</v>
      </c>
      <c r="R135" s="3">
        <f>IF(AND($K135=1,AND(对接源_01水果!$X135="公司筐",N(对接源_01水果!$U135)&lt;&gt;0)),1,0)</f>
        <v>0</v>
      </c>
      <c r="S135" s="3">
        <f t="shared" si="42"/>
        <v>0</v>
      </c>
      <c r="T135" s="3">
        <f>IF(AND($K135=1,AND(对接源_01水果!$X135="公司筐",N(对接源_01水果!$V135)&lt;&gt;0)),1,0)</f>
        <v>0</v>
      </c>
      <c r="U135" s="3">
        <f t="shared" si="43"/>
        <v>0</v>
      </c>
      <c r="V135" s="3">
        <f>IF(AND($L135=1,AND(对接源_01水果!$X135="自备筐",N(对接源_01水果!$V135)&lt;&gt;0)),1,0)</f>
        <v>0</v>
      </c>
      <c r="W135" s="3">
        <f t="shared" si="44"/>
        <v>0</v>
      </c>
      <c r="X135" s="3">
        <f>IF(AND($L135=1,AND(对接源_01水果!$X135="自备筐",N(对接源_01水果!$T135)&lt;&gt;0)),1,0)</f>
        <v>0</v>
      </c>
      <c r="Y135" s="3">
        <f t="shared" si="45"/>
        <v>0</v>
      </c>
      <c r="Z135" s="3">
        <f>IF(AND($M135=1,对接源_01水果!$D135="原料入库"),1,0)</f>
        <v>0</v>
      </c>
      <c r="AA135" s="3">
        <f t="shared" si="46"/>
        <v>0</v>
      </c>
      <c r="AB135" s="3">
        <f>IF(AND($M135=1,LEFT(对接源_01水果!$D135,4)="原料出库"),1,0)</f>
        <v>0</v>
      </c>
      <c r="AC135" s="3">
        <f t="shared" si="47"/>
        <v>0</v>
      </c>
      <c r="AD135" s="3">
        <f>IF(AND($M135=1,LEFT(对接源_01水果!$D135,4)="成品出库"),1,0)</f>
        <v>0</v>
      </c>
      <c r="AE135" s="3">
        <f t="shared" si="48"/>
        <v>0</v>
      </c>
      <c r="AF135" s="3">
        <f>IF(AND($N135=1,AND(LEFT(对接源_01水果!$D135,4)="包装物料",N(对接源_01水果!$K135)&lt;&gt;0)),1,0)</f>
        <v>0</v>
      </c>
      <c r="AG135" s="3">
        <f t="shared" si="49"/>
        <v>0</v>
      </c>
      <c r="AH135" s="3">
        <f>IF(AND($N135=1,AND(对接源_01水果!$D135="周转筐－销售出库",N(对接源_01水果!$K135)&lt;&gt;0)),1,0)</f>
        <v>0</v>
      </c>
      <c r="AI135" s="3">
        <f t="shared" si="50"/>
        <v>0</v>
      </c>
      <c r="AJ135" s="7"/>
      <c r="AL135" s="3">
        <f>IF(OR($AL$1="",对接源_01水果!$Y135="",对接源_01水果!$Y135&lt;&gt;$AL$1,对接源_01水果!$B135="",N(对接源_01水果!$AJ135)&lt;=0),0,IF(OR(N(对接源_01水果!$B135)&lt;$AL$2,N(对接源_01水果!$B135)&gt;$AL$3),0,1))</f>
        <v>0</v>
      </c>
      <c r="AM135" s="3">
        <f t="shared" si="51"/>
        <v>0</v>
      </c>
      <c r="AN135" s="3" t="str">
        <f>IF(对接源_01水果!$AC135="","",对接源_01水果!$AC135)</f>
        <v/>
      </c>
      <c r="AO135" s="3">
        <f t="shared" si="52"/>
        <v>0</v>
      </c>
      <c r="AP135" s="3">
        <f t="shared" si="53"/>
        <v>0</v>
      </c>
      <c r="AQ135" s="3" t="str">
        <f t="shared" si="54"/>
        <v/>
      </c>
      <c r="AR135">
        <f t="shared" si="55"/>
        <v>0</v>
      </c>
      <c r="AS135">
        <f t="shared" si="56"/>
        <v>0</v>
      </c>
    </row>
    <row r="136" ht="14.25" customHeight="1" spans="1:45">
      <c r="A136" s="3" t="str">
        <f>IF(对接源_01水果!$C136="","",对接源_01水果!$C136)</f>
        <v>聂新平</v>
      </c>
      <c r="B136" s="3">
        <f t="shared" si="38"/>
        <v>0</v>
      </c>
      <c r="C136" s="3">
        <f t="shared" si="39"/>
        <v>4</v>
      </c>
      <c r="E136" s="3" t="str">
        <f t="shared" si="40"/>
        <v/>
      </c>
      <c r="K136" s="3">
        <f>IF(OR($K$1="",对接源_01水果!$C136="",对接源_01水果!$C136&lt;&gt;$K$1,对接源_01水果!$B136=""),0,IF(OR(N(对接源_01水果!$B136)&lt;$K$2,N(对接源_01水果!$B136)&gt;$K$3),0,1))</f>
        <v>0</v>
      </c>
      <c r="L136" s="3">
        <f>IF(OR($L$1="",对接源_01水果!$C136="",对接源_01水果!$C136&lt;&gt;$L$1,对接源_01水果!$B136=""),0,IF(OR(N(对接源_01水果!$B136)&lt;$L$2,N(对接源_01水果!$B136)&gt;$L$3),0,1))</f>
        <v>0</v>
      </c>
      <c r="M136" s="3">
        <f>IF(OR($M$1="",对接源_01水果!$C136="",对接源_01水果!$C136&lt;&gt;$M$1,对接源_01水果!$B136=""),0,IF(OR(N(对接源_01水果!$B136)&lt;$M$2,N(对接源_01水果!$B136)&gt;$M$3),0,1))</f>
        <v>0</v>
      </c>
      <c r="N136" s="3">
        <f>IF(OR($N$1="",对接源_01水果!$C136="",对接源_01水果!$C136&lt;&gt;$N$1,对接源_01水果!$B136=""),0,IF(OR(N(对接源_01水果!$B136)&lt;$N$2,N(对接源_01水果!$B136)&gt;$N$3),0,1))</f>
        <v>0</v>
      </c>
      <c r="P136" s="3">
        <f>IF(AND($K136=1,AND(对接源_01水果!$X136="公司筐",N(对接源_01水果!$T136)&lt;&gt;0)),1,0)</f>
        <v>0</v>
      </c>
      <c r="Q136" s="3">
        <f t="shared" si="41"/>
        <v>0</v>
      </c>
      <c r="R136" s="3">
        <f>IF(AND($K136=1,AND(对接源_01水果!$X136="公司筐",N(对接源_01水果!$U136)&lt;&gt;0)),1,0)</f>
        <v>0</v>
      </c>
      <c r="S136" s="3">
        <f t="shared" si="42"/>
        <v>0</v>
      </c>
      <c r="T136" s="3">
        <f>IF(AND($K136=1,AND(对接源_01水果!$X136="公司筐",N(对接源_01水果!$V136)&lt;&gt;0)),1,0)</f>
        <v>0</v>
      </c>
      <c r="U136" s="3">
        <f t="shared" si="43"/>
        <v>0</v>
      </c>
      <c r="V136" s="3">
        <f>IF(AND($L136=1,AND(对接源_01水果!$X136="自备筐",N(对接源_01水果!$V136)&lt;&gt;0)),1,0)</f>
        <v>0</v>
      </c>
      <c r="W136" s="3">
        <f t="shared" si="44"/>
        <v>0</v>
      </c>
      <c r="X136" s="3">
        <f>IF(AND($L136=1,AND(对接源_01水果!$X136="自备筐",N(对接源_01水果!$T136)&lt;&gt;0)),1,0)</f>
        <v>0</v>
      </c>
      <c r="Y136" s="3">
        <f t="shared" si="45"/>
        <v>0</v>
      </c>
      <c r="Z136" s="3">
        <f>IF(AND($M136=1,对接源_01水果!$D136="原料入库"),1,0)</f>
        <v>0</v>
      </c>
      <c r="AA136" s="3">
        <f t="shared" si="46"/>
        <v>0</v>
      </c>
      <c r="AB136" s="3">
        <f>IF(AND($M136=1,LEFT(对接源_01水果!$D136,4)="原料出库"),1,0)</f>
        <v>0</v>
      </c>
      <c r="AC136" s="3">
        <f t="shared" si="47"/>
        <v>0</v>
      </c>
      <c r="AD136" s="3">
        <f>IF(AND($M136=1,LEFT(对接源_01水果!$D136,4)="成品出库"),1,0)</f>
        <v>0</v>
      </c>
      <c r="AE136" s="3">
        <f t="shared" si="48"/>
        <v>0</v>
      </c>
      <c r="AF136" s="3">
        <f>IF(AND($N136=1,AND(LEFT(对接源_01水果!$D136,4)="包装物料",N(对接源_01水果!$K136)&lt;&gt;0)),1,0)</f>
        <v>0</v>
      </c>
      <c r="AG136" s="3">
        <f t="shared" si="49"/>
        <v>0</v>
      </c>
      <c r="AH136" s="3">
        <f>IF(AND($N136=1,AND(对接源_01水果!$D136="周转筐－销售出库",N(对接源_01水果!$K136)&lt;&gt;0)),1,0)</f>
        <v>0</v>
      </c>
      <c r="AI136" s="3">
        <f t="shared" si="50"/>
        <v>0</v>
      </c>
      <c r="AJ136" s="7"/>
      <c r="AL136" s="3">
        <f>IF(OR($AL$1="",对接源_01水果!$Y136="",对接源_01水果!$Y136&lt;&gt;$AL$1,对接源_01水果!$B136="",N(对接源_01水果!$AJ136)&lt;=0),0,IF(OR(N(对接源_01水果!$B136)&lt;$AL$2,N(对接源_01水果!$B136)&gt;$AL$3),0,1))</f>
        <v>0</v>
      </c>
      <c r="AM136" s="3">
        <f t="shared" si="51"/>
        <v>0</v>
      </c>
      <c r="AN136" s="3" t="str">
        <f>IF(对接源_01水果!$AC136="","",对接源_01水果!$AC136)</f>
        <v/>
      </c>
      <c r="AO136" s="3">
        <f t="shared" si="52"/>
        <v>0</v>
      </c>
      <c r="AP136" s="3">
        <f t="shared" si="53"/>
        <v>0</v>
      </c>
      <c r="AQ136" s="3" t="str">
        <f t="shared" si="54"/>
        <v/>
      </c>
      <c r="AR136">
        <f t="shared" si="55"/>
        <v>0</v>
      </c>
      <c r="AS136">
        <f t="shared" si="56"/>
        <v>0</v>
      </c>
    </row>
    <row r="137" ht="14.25" customHeight="1" spans="1:45">
      <c r="A137" s="3" t="str">
        <f>IF(对接源_01水果!$C137="","",对接源_01水果!$C137)</f>
        <v>聂新平</v>
      </c>
      <c r="B137" s="3">
        <f t="shared" si="38"/>
        <v>0</v>
      </c>
      <c r="C137" s="3">
        <f t="shared" si="39"/>
        <v>4</v>
      </c>
      <c r="E137" s="3" t="str">
        <f t="shared" si="40"/>
        <v/>
      </c>
      <c r="K137" s="3">
        <f>IF(OR($K$1="",对接源_01水果!$C137="",对接源_01水果!$C137&lt;&gt;$K$1,对接源_01水果!$B137=""),0,IF(OR(N(对接源_01水果!$B137)&lt;$K$2,N(对接源_01水果!$B137)&gt;$K$3),0,1))</f>
        <v>0</v>
      </c>
      <c r="L137" s="3">
        <f>IF(OR($L$1="",对接源_01水果!$C137="",对接源_01水果!$C137&lt;&gt;$L$1,对接源_01水果!$B137=""),0,IF(OR(N(对接源_01水果!$B137)&lt;$L$2,N(对接源_01水果!$B137)&gt;$L$3),0,1))</f>
        <v>0</v>
      </c>
      <c r="M137" s="3">
        <f>IF(OR($M$1="",对接源_01水果!$C137="",对接源_01水果!$C137&lt;&gt;$M$1,对接源_01水果!$B137=""),0,IF(OR(N(对接源_01水果!$B137)&lt;$M$2,N(对接源_01水果!$B137)&gt;$M$3),0,1))</f>
        <v>0</v>
      </c>
      <c r="N137" s="3">
        <f>IF(OR($N$1="",对接源_01水果!$C137="",对接源_01水果!$C137&lt;&gt;$N$1,对接源_01水果!$B137=""),0,IF(OR(N(对接源_01水果!$B137)&lt;$N$2,N(对接源_01水果!$B137)&gt;$N$3),0,1))</f>
        <v>0</v>
      </c>
      <c r="P137" s="3">
        <f>IF(AND($K137=1,AND(对接源_01水果!$X137="公司筐",N(对接源_01水果!$T137)&lt;&gt;0)),1,0)</f>
        <v>0</v>
      </c>
      <c r="Q137" s="3">
        <f t="shared" si="41"/>
        <v>0</v>
      </c>
      <c r="R137" s="3">
        <f>IF(AND($K137=1,AND(对接源_01水果!$X137="公司筐",N(对接源_01水果!$U137)&lt;&gt;0)),1,0)</f>
        <v>0</v>
      </c>
      <c r="S137" s="3">
        <f t="shared" si="42"/>
        <v>0</v>
      </c>
      <c r="T137" s="3">
        <f>IF(AND($K137=1,AND(对接源_01水果!$X137="公司筐",N(对接源_01水果!$V137)&lt;&gt;0)),1,0)</f>
        <v>0</v>
      </c>
      <c r="U137" s="3">
        <f t="shared" si="43"/>
        <v>0</v>
      </c>
      <c r="V137" s="3">
        <f>IF(AND($L137=1,AND(对接源_01水果!$X137="自备筐",N(对接源_01水果!$V137)&lt;&gt;0)),1,0)</f>
        <v>0</v>
      </c>
      <c r="W137" s="3">
        <f t="shared" si="44"/>
        <v>0</v>
      </c>
      <c r="X137" s="3">
        <f>IF(AND($L137=1,AND(对接源_01水果!$X137="自备筐",N(对接源_01水果!$T137)&lt;&gt;0)),1,0)</f>
        <v>0</v>
      </c>
      <c r="Y137" s="3">
        <f t="shared" si="45"/>
        <v>0</v>
      </c>
      <c r="Z137" s="3">
        <f>IF(AND($M137=1,对接源_01水果!$D137="原料入库"),1,0)</f>
        <v>0</v>
      </c>
      <c r="AA137" s="3">
        <f t="shared" si="46"/>
        <v>0</v>
      </c>
      <c r="AB137" s="3">
        <f>IF(AND($M137=1,LEFT(对接源_01水果!$D137,4)="原料出库"),1,0)</f>
        <v>0</v>
      </c>
      <c r="AC137" s="3">
        <f t="shared" si="47"/>
        <v>0</v>
      </c>
      <c r="AD137" s="3">
        <f>IF(AND($M137=1,LEFT(对接源_01水果!$D137,4)="成品出库"),1,0)</f>
        <v>0</v>
      </c>
      <c r="AE137" s="3">
        <f t="shared" si="48"/>
        <v>0</v>
      </c>
      <c r="AF137" s="3">
        <f>IF(AND($N137=1,AND(LEFT(对接源_01水果!$D137,4)="包装物料",N(对接源_01水果!$K137)&lt;&gt;0)),1,0)</f>
        <v>0</v>
      </c>
      <c r="AG137" s="3">
        <f t="shared" si="49"/>
        <v>0</v>
      </c>
      <c r="AH137" s="3">
        <f>IF(AND($N137=1,AND(对接源_01水果!$D137="周转筐－销售出库",N(对接源_01水果!$K137)&lt;&gt;0)),1,0)</f>
        <v>0</v>
      </c>
      <c r="AI137" s="3">
        <f t="shared" si="50"/>
        <v>0</v>
      </c>
      <c r="AJ137" s="7"/>
      <c r="AL137" s="3">
        <f>IF(OR($AL$1="",对接源_01水果!$Y137="",对接源_01水果!$Y137&lt;&gt;$AL$1,对接源_01水果!$B137="",N(对接源_01水果!$AJ137)&lt;=0),0,IF(OR(N(对接源_01水果!$B137)&lt;$AL$2,N(对接源_01水果!$B137)&gt;$AL$3),0,1))</f>
        <v>0</v>
      </c>
      <c r="AM137" s="3">
        <f t="shared" si="51"/>
        <v>0</v>
      </c>
      <c r="AN137" s="3" t="str">
        <f>IF(对接源_01水果!$AC137="","",对接源_01水果!$AC137)</f>
        <v/>
      </c>
      <c r="AO137" s="3">
        <f t="shared" si="52"/>
        <v>0</v>
      </c>
      <c r="AP137" s="3">
        <f t="shared" si="53"/>
        <v>0</v>
      </c>
      <c r="AQ137" s="3" t="str">
        <f t="shared" si="54"/>
        <v/>
      </c>
      <c r="AR137">
        <f t="shared" si="55"/>
        <v>0</v>
      </c>
      <c r="AS137">
        <f t="shared" si="56"/>
        <v>0</v>
      </c>
    </row>
    <row r="138" ht="14.25" customHeight="1" spans="1:45">
      <c r="A138" s="3" t="str">
        <f>IF(对接源_01水果!$C138="","",对接源_01水果!$C138)</f>
        <v>聂新平</v>
      </c>
      <c r="B138" s="3">
        <f t="shared" si="38"/>
        <v>0</v>
      </c>
      <c r="C138" s="3">
        <f t="shared" si="39"/>
        <v>4</v>
      </c>
      <c r="E138" s="3" t="str">
        <f t="shared" si="40"/>
        <v/>
      </c>
      <c r="K138" s="3">
        <f>IF(OR($K$1="",对接源_01水果!$C138="",对接源_01水果!$C138&lt;&gt;$K$1,对接源_01水果!$B138=""),0,IF(OR(N(对接源_01水果!$B138)&lt;$K$2,N(对接源_01水果!$B138)&gt;$K$3),0,1))</f>
        <v>0</v>
      </c>
      <c r="L138" s="3">
        <f>IF(OR($L$1="",对接源_01水果!$C138="",对接源_01水果!$C138&lt;&gt;$L$1,对接源_01水果!$B138=""),0,IF(OR(N(对接源_01水果!$B138)&lt;$L$2,N(对接源_01水果!$B138)&gt;$L$3),0,1))</f>
        <v>0</v>
      </c>
      <c r="M138" s="3">
        <f>IF(OR($M$1="",对接源_01水果!$C138="",对接源_01水果!$C138&lt;&gt;$M$1,对接源_01水果!$B138=""),0,IF(OR(N(对接源_01水果!$B138)&lt;$M$2,N(对接源_01水果!$B138)&gt;$M$3),0,1))</f>
        <v>0</v>
      </c>
      <c r="N138" s="3">
        <f>IF(OR($N$1="",对接源_01水果!$C138="",对接源_01水果!$C138&lt;&gt;$N$1,对接源_01水果!$B138=""),0,IF(OR(N(对接源_01水果!$B138)&lt;$N$2,N(对接源_01水果!$B138)&gt;$N$3),0,1))</f>
        <v>0</v>
      </c>
      <c r="P138" s="3">
        <f>IF(AND($K138=1,AND(对接源_01水果!$X138="公司筐",N(对接源_01水果!$T138)&lt;&gt;0)),1,0)</f>
        <v>0</v>
      </c>
      <c r="Q138" s="3">
        <f t="shared" si="41"/>
        <v>0</v>
      </c>
      <c r="R138" s="3">
        <f>IF(AND($K138=1,AND(对接源_01水果!$X138="公司筐",N(对接源_01水果!$U138)&lt;&gt;0)),1,0)</f>
        <v>0</v>
      </c>
      <c r="S138" s="3">
        <f t="shared" si="42"/>
        <v>0</v>
      </c>
      <c r="T138" s="3">
        <f>IF(AND($K138=1,AND(对接源_01水果!$X138="公司筐",N(对接源_01水果!$V138)&lt;&gt;0)),1,0)</f>
        <v>0</v>
      </c>
      <c r="U138" s="3">
        <f t="shared" si="43"/>
        <v>0</v>
      </c>
      <c r="V138" s="3">
        <f>IF(AND($L138=1,AND(对接源_01水果!$X138="自备筐",N(对接源_01水果!$V138)&lt;&gt;0)),1,0)</f>
        <v>0</v>
      </c>
      <c r="W138" s="3">
        <f t="shared" si="44"/>
        <v>0</v>
      </c>
      <c r="X138" s="3">
        <f>IF(AND($L138=1,AND(对接源_01水果!$X138="自备筐",N(对接源_01水果!$T138)&lt;&gt;0)),1,0)</f>
        <v>0</v>
      </c>
      <c r="Y138" s="3">
        <f t="shared" si="45"/>
        <v>0</v>
      </c>
      <c r="Z138" s="3">
        <f>IF(AND($M138=1,对接源_01水果!$D138="原料入库"),1,0)</f>
        <v>0</v>
      </c>
      <c r="AA138" s="3">
        <f t="shared" si="46"/>
        <v>0</v>
      </c>
      <c r="AB138" s="3">
        <f>IF(AND($M138=1,LEFT(对接源_01水果!$D138,4)="原料出库"),1,0)</f>
        <v>0</v>
      </c>
      <c r="AC138" s="3">
        <f t="shared" si="47"/>
        <v>0</v>
      </c>
      <c r="AD138" s="3">
        <f>IF(AND($M138=1,LEFT(对接源_01水果!$D138,4)="成品出库"),1,0)</f>
        <v>0</v>
      </c>
      <c r="AE138" s="3">
        <f t="shared" si="48"/>
        <v>0</v>
      </c>
      <c r="AF138" s="3">
        <f>IF(AND($N138=1,AND(LEFT(对接源_01水果!$D138,4)="包装物料",N(对接源_01水果!$K138)&lt;&gt;0)),1,0)</f>
        <v>0</v>
      </c>
      <c r="AG138" s="3">
        <f t="shared" si="49"/>
        <v>0</v>
      </c>
      <c r="AH138" s="3">
        <f>IF(AND($N138=1,AND(对接源_01水果!$D138="周转筐－销售出库",N(对接源_01水果!$K138)&lt;&gt;0)),1,0)</f>
        <v>0</v>
      </c>
      <c r="AI138" s="3">
        <f t="shared" si="50"/>
        <v>0</v>
      </c>
      <c r="AJ138" s="7"/>
      <c r="AL138" s="3">
        <f>IF(OR($AL$1="",对接源_01水果!$Y138="",对接源_01水果!$Y138&lt;&gt;$AL$1,对接源_01水果!$B138="",N(对接源_01水果!$AJ138)&lt;=0),0,IF(OR(N(对接源_01水果!$B138)&lt;$AL$2,N(对接源_01水果!$B138)&gt;$AL$3),0,1))</f>
        <v>0</v>
      </c>
      <c r="AM138" s="3">
        <f t="shared" si="51"/>
        <v>0</v>
      </c>
      <c r="AN138" s="3" t="str">
        <f>IF(对接源_01水果!$AC138="","",对接源_01水果!$AC138)</f>
        <v/>
      </c>
      <c r="AO138" s="3">
        <f t="shared" si="52"/>
        <v>0</v>
      </c>
      <c r="AP138" s="3">
        <f t="shared" si="53"/>
        <v>0</v>
      </c>
      <c r="AQ138" s="3" t="str">
        <f t="shared" si="54"/>
        <v/>
      </c>
      <c r="AR138">
        <f t="shared" si="55"/>
        <v>0</v>
      </c>
      <c r="AS138">
        <f t="shared" si="56"/>
        <v>0</v>
      </c>
    </row>
    <row r="139" ht="14.25" customHeight="1" spans="1:45">
      <c r="A139" s="3" t="str">
        <f>IF(对接源_01水果!$C139="","",对接源_01水果!$C139)</f>
        <v>聂新平</v>
      </c>
      <c r="B139" s="3">
        <f t="shared" si="38"/>
        <v>0</v>
      </c>
      <c r="C139" s="3">
        <f t="shared" si="39"/>
        <v>4</v>
      </c>
      <c r="E139" s="3" t="str">
        <f t="shared" si="40"/>
        <v/>
      </c>
      <c r="K139" s="3">
        <f>IF(OR($K$1="",对接源_01水果!$C139="",对接源_01水果!$C139&lt;&gt;$K$1,对接源_01水果!$B139=""),0,IF(OR(N(对接源_01水果!$B139)&lt;$K$2,N(对接源_01水果!$B139)&gt;$K$3),0,1))</f>
        <v>0</v>
      </c>
      <c r="L139" s="3">
        <f>IF(OR($L$1="",对接源_01水果!$C139="",对接源_01水果!$C139&lt;&gt;$L$1,对接源_01水果!$B139=""),0,IF(OR(N(对接源_01水果!$B139)&lt;$L$2,N(对接源_01水果!$B139)&gt;$L$3),0,1))</f>
        <v>0</v>
      </c>
      <c r="M139" s="3">
        <f>IF(OR($M$1="",对接源_01水果!$C139="",对接源_01水果!$C139&lt;&gt;$M$1,对接源_01水果!$B139=""),0,IF(OR(N(对接源_01水果!$B139)&lt;$M$2,N(对接源_01水果!$B139)&gt;$M$3),0,1))</f>
        <v>0</v>
      </c>
      <c r="N139" s="3">
        <f>IF(OR($N$1="",对接源_01水果!$C139="",对接源_01水果!$C139&lt;&gt;$N$1,对接源_01水果!$B139=""),0,IF(OR(N(对接源_01水果!$B139)&lt;$N$2,N(对接源_01水果!$B139)&gt;$N$3),0,1))</f>
        <v>0</v>
      </c>
      <c r="P139" s="3">
        <f>IF(AND($K139=1,AND(对接源_01水果!$X139="公司筐",N(对接源_01水果!$T139)&lt;&gt;0)),1,0)</f>
        <v>0</v>
      </c>
      <c r="Q139" s="3">
        <f t="shared" si="41"/>
        <v>0</v>
      </c>
      <c r="R139" s="3">
        <f>IF(AND($K139=1,AND(对接源_01水果!$X139="公司筐",N(对接源_01水果!$U139)&lt;&gt;0)),1,0)</f>
        <v>0</v>
      </c>
      <c r="S139" s="3">
        <f t="shared" si="42"/>
        <v>0</v>
      </c>
      <c r="T139" s="3">
        <f>IF(AND($K139=1,AND(对接源_01水果!$X139="公司筐",N(对接源_01水果!$V139)&lt;&gt;0)),1,0)</f>
        <v>0</v>
      </c>
      <c r="U139" s="3">
        <f t="shared" si="43"/>
        <v>0</v>
      </c>
      <c r="V139" s="3">
        <f>IF(AND($L139=1,AND(对接源_01水果!$X139="自备筐",N(对接源_01水果!$V139)&lt;&gt;0)),1,0)</f>
        <v>0</v>
      </c>
      <c r="W139" s="3">
        <f t="shared" si="44"/>
        <v>0</v>
      </c>
      <c r="X139" s="3">
        <f>IF(AND($L139=1,AND(对接源_01水果!$X139="自备筐",N(对接源_01水果!$T139)&lt;&gt;0)),1,0)</f>
        <v>0</v>
      </c>
      <c r="Y139" s="3">
        <f t="shared" si="45"/>
        <v>0</v>
      </c>
      <c r="Z139" s="3">
        <f>IF(AND($M139=1,对接源_01水果!$D139="原料入库"),1,0)</f>
        <v>0</v>
      </c>
      <c r="AA139" s="3">
        <f t="shared" si="46"/>
        <v>0</v>
      </c>
      <c r="AB139" s="3">
        <f>IF(AND($M139=1,LEFT(对接源_01水果!$D139,4)="原料出库"),1,0)</f>
        <v>0</v>
      </c>
      <c r="AC139" s="3">
        <f t="shared" si="47"/>
        <v>0</v>
      </c>
      <c r="AD139" s="3">
        <f>IF(AND($M139=1,LEFT(对接源_01水果!$D139,4)="成品出库"),1,0)</f>
        <v>0</v>
      </c>
      <c r="AE139" s="3">
        <f t="shared" si="48"/>
        <v>0</v>
      </c>
      <c r="AF139" s="3">
        <f>IF(AND($N139=1,AND(LEFT(对接源_01水果!$D139,4)="包装物料",N(对接源_01水果!$K139)&lt;&gt;0)),1,0)</f>
        <v>0</v>
      </c>
      <c r="AG139" s="3">
        <f t="shared" si="49"/>
        <v>0</v>
      </c>
      <c r="AH139" s="3">
        <f>IF(AND($N139=1,AND(对接源_01水果!$D139="周转筐－销售出库",N(对接源_01水果!$K139)&lt;&gt;0)),1,0)</f>
        <v>0</v>
      </c>
      <c r="AI139" s="3">
        <f t="shared" si="50"/>
        <v>0</v>
      </c>
      <c r="AJ139" s="7"/>
      <c r="AL139" s="3">
        <f>IF(OR($AL$1="",对接源_01水果!$Y139="",对接源_01水果!$Y139&lt;&gt;$AL$1,对接源_01水果!$B139="",N(对接源_01水果!$AJ139)&lt;=0),0,IF(OR(N(对接源_01水果!$B139)&lt;$AL$2,N(对接源_01水果!$B139)&gt;$AL$3),0,1))</f>
        <v>0</v>
      </c>
      <c r="AM139" s="3">
        <f t="shared" si="51"/>
        <v>0</v>
      </c>
      <c r="AN139" s="3" t="str">
        <f>IF(对接源_01水果!$AC139="","",对接源_01水果!$AC139)</f>
        <v/>
      </c>
      <c r="AO139" s="3">
        <f t="shared" si="52"/>
        <v>0</v>
      </c>
      <c r="AP139" s="3">
        <f t="shared" si="53"/>
        <v>0</v>
      </c>
      <c r="AQ139" s="3" t="str">
        <f t="shared" si="54"/>
        <v/>
      </c>
      <c r="AR139">
        <f t="shared" si="55"/>
        <v>0</v>
      </c>
      <c r="AS139">
        <f t="shared" si="56"/>
        <v>0</v>
      </c>
    </row>
    <row r="140" ht="14.25" customHeight="1" spans="1:45">
      <c r="A140" s="3" t="str">
        <f>IF(对接源_01水果!$C140="","",对接源_01水果!$C140)</f>
        <v>聂新平</v>
      </c>
      <c r="B140" s="3">
        <f t="shared" si="38"/>
        <v>0</v>
      </c>
      <c r="C140" s="3">
        <f t="shared" si="39"/>
        <v>4</v>
      </c>
      <c r="E140" s="3" t="str">
        <f t="shared" si="40"/>
        <v/>
      </c>
      <c r="K140" s="3">
        <f>IF(OR($K$1="",对接源_01水果!$C140="",对接源_01水果!$C140&lt;&gt;$K$1,对接源_01水果!$B140=""),0,IF(OR(N(对接源_01水果!$B140)&lt;$K$2,N(对接源_01水果!$B140)&gt;$K$3),0,1))</f>
        <v>0</v>
      </c>
      <c r="L140" s="3">
        <f>IF(OR($L$1="",对接源_01水果!$C140="",对接源_01水果!$C140&lt;&gt;$L$1,对接源_01水果!$B140=""),0,IF(OR(N(对接源_01水果!$B140)&lt;$L$2,N(对接源_01水果!$B140)&gt;$L$3),0,1))</f>
        <v>0</v>
      </c>
      <c r="M140" s="3">
        <f>IF(OR($M$1="",对接源_01水果!$C140="",对接源_01水果!$C140&lt;&gt;$M$1,对接源_01水果!$B140=""),0,IF(OR(N(对接源_01水果!$B140)&lt;$M$2,N(对接源_01水果!$B140)&gt;$M$3),0,1))</f>
        <v>0</v>
      </c>
      <c r="N140" s="3">
        <f>IF(OR($N$1="",对接源_01水果!$C140="",对接源_01水果!$C140&lt;&gt;$N$1,对接源_01水果!$B140=""),0,IF(OR(N(对接源_01水果!$B140)&lt;$N$2,N(对接源_01水果!$B140)&gt;$N$3),0,1))</f>
        <v>0</v>
      </c>
      <c r="P140" s="3">
        <f>IF(AND($K140=1,AND(对接源_01水果!$X140="公司筐",N(对接源_01水果!$T140)&lt;&gt;0)),1,0)</f>
        <v>0</v>
      </c>
      <c r="Q140" s="3">
        <f t="shared" si="41"/>
        <v>0</v>
      </c>
      <c r="R140" s="3">
        <f>IF(AND($K140=1,AND(对接源_01水果!$X140="公司筐",N(对接源_01水果!$U140)&lt;&gt;0)),1,0)</f>
        <v>0</v>
      </c>
      <c r="S140" s="3">
        <f t="shared" si="42"/>
        <v>0</v>
      </c>
      <c r="T140" s="3">
        <f>IF(AND($K140=1,AND(对接源_01水果!$X140="公司筐",N(对接源_01水果!$V140)&lt;&gt;0)),1,0)</f>
        <v>0</v>
      </c>
      <c r="U140" s="3">
        <f t="shared" si="43"/>
        <v>0</v>
      </c>
      <c r="V140" s="3">
        <f>IF(AND($L140=1,AND(对接源_01水果!$X140="自备筐",N(对接源_01水果!$V140)&lt;&gt;0)),1,0)</f>
        <v>0</v>
      </c>
      <c r="W140" s="3">
        <f t="shared" si="44"/>
        <v>0</v>
      </c>
      <c r="X140" s="3">
        <f>IF(AND($L140=1,AND(对接源_01水果!$X140="自备筐",N(对接源_01水果!$T140)&lt;&gt;0)),1,0)</f>
        <v>0</v>
      </c>
      <c r="Y140" s="3">
        <f t="shared" si="45"/>
        <v>0</v>
      </c>
      <c r="Z140" s="3">
        <f>IF(AND($M140=1,对接源_01水果!$D140="原料入库"),1,0)</f>
        <v>0</v>
      </c>
      <c r="AA140" s="3">
        <f t="shared" si="46"/>
        <v>0</v>
      </c>
      <c r="AB140" s="3">
        <f>IF(AND($M140=1,LEFT(对接源_01水果!$D140,4)="原料出库"),1,0)</f>
        <v>0</v>
      </c>
      <c r="AC140" s="3">
        <f t="shared" si="47"/>
        <v>0</v>
      </c>
      <c r="AD140" s="3">
        <f>IF(AND($M140=1,LEFT(对接源_01水果!$D140,4)="成品出库"),1,0)</f>
        <v>0</v>
      </c>
      <c r="AE140" s="3">
        <f t="shared" si="48"/>
        <v>0</v>
      </c>
      <c r="AF140" s="3">
        <f>IF(AND($N140=1,AND(LEFT(对接源_01水果!$D140,4)="包装物料",N(对接源_01水果!$K140)&lt;&gt;0)),1,0)</f>
        <v>0</v>
      </c>
      <c r="AG140" s="3">
        <f t="shared" si="49"/>
        <v>0</v>
      </c>
      <c r="AH140" s="3">
        <f>IF(AND($N140=1,AND(对接源_01水果!$D140="周转筐－销售出库",N(对接源_01水果!$K140)&lt;&gt;0)),1,0)</f>
        <v>0</v>
      </c>
      <c r="AI140" s="3">
        <f t="shared" si="50"/>
        <v>0</v>
      </c>
      <c r="AJ140" s="7"/>
      <c r="AL140" s="3">
        <f>IF(OR($AL$1="",对接源_01水果!$Y140="",对接源_01水果!$Y140&lt;&gt;$AL$1,对接源_01水果!$B140="",N(对接源_01水果!$AJ140)&lt;=0),0,IF(OR(N(对接源_01水果!$B140)&lt;$AL$2,N(对接源_01水果!$B140)&gt;$AL$3),0,1))</f>
        <v>0</v>
      </c>
      <c r="AM140" s="3">
        <f t="shared" si="51"/>
        <v>0</v>
      </c>
      <c r="AN140" s="3" t="str">
        <f>IF(对接源_01水果!$AC140="","",对接源_01水果!$AC140)</f>
        <v/>
      </c>
      <c r="AO140" s="3">
        <f t="shared" si="52"/>
        <v>0</v>
      </c>
      <c r="AP140" s="3">
        <f t="shared" si="53"/>
        <v>0</v>
      </c>
      <c r="AQ140" s="3" t="str">
        <f t="shared" si="54"/>
        <v/>
      </c>
      <c r="AR140">
        <f t="shared" si="55"/>
        <v>0</v>
      </c>
      <c r="AS140">
        <f t="shared" si="56"/>
        <v>0</v>
      </c>
    </row>
    <row r="141" ht="14.25" customHeight="1" spans="1:45">
      <c r="A141" s="3" t="str">
        <f>IF(对接源_01水果!$C141="","",对接源_01水果!$C141)</f>
        <v>聂新平</v>
      </c>
      <c r="B141" s="3">
        <f t="shared" si="38"/>
        <v>0</v>
      </c>
      <c r="C141" s="3">
        <f t="shared" si="39"/>
        <v>4</v>
      </c>
      <c r="E141" s="3" t="str">
        <f t="shared" si="40"/>
        <v/>
      </c>
      <c r="K141" s="3">
        <f>IF(OR($K$1="",对接源_01水果!$C141="",对接源_01水果!$C141&lt;&gt;$K$1,对接源_01水果!$B141=""),0,IF(OR(N(对接源_01水果!$B141)&lt;$K$2,N(对接源_01水果!$B141)&gt;$K$3),0,1))</f>
        <v>0</v>
      </c>
      <c r="L141" s="3">
        <f>IF(OR($L$1="",对接源_01水果!$C141="",对接源_01水果!$C141&lt;&gt;$L$1,对接源_01水果!$B141=""),0,IF(OR(N(对接源_01水果!$B141)&lt;$L$2,N(对接源_01水果!$B141)&gt;$L$3),0,1))</f>
        <v>0</v>
      </c>
      <c r="M141" s="3">
        <f>IF(OR($M$1="",对接源_01水果!$C141="",对接源_01水果!$C141&lt;&gt;$M$1,对接源_01水果!$B141=""),0,IF(OR(N(对接源_01水果!$B141)&lt;$M$2,N(对接源_01水果!$B141)&gt;$M$3),0,1))</f>
        <v>0</v>
      </c>
      <c r="N141" s="3">
        <f>IF(OR($N$1="",对接源_01水果!$C141="",对接源_01水果!$C141&lt;&gt;$N$1,对接源_01水果!$B141=""),0,IF(OR(N(对接源_01水果!$B141)&lt;$N$2,N(对接源_01水果!$B141)&gt;$N$3),0,1))</f>
        <v>0</v>
      </c>
      <c r="P141" s="3">
        <f>IF(AND($K141=1,AND(对接源_01水果!$X141="公司筐",N(对接源_01水果!$T141)&lt;&gt;0)),1,0)</f>
        <v>0</v>
      </c>
      <c r="Q141" s="3">
        <f t="shared" si="41"/>
        <v>0</v>
      </c>
      <c r="R141" s="3">
        <f>IF(AND($K141=1,AND(对接源_01水果!$X141="公司筐",N(对接源_01水果!$U141)&lt;&gt;0)),1,0)</f>
        <v>0</v>
      </c>
      <c r="S141" s="3">
        <f t="shared" si="42"/>
        <v>0</v>
      </c>
      <c r="T141" s="3">
        <f>IF(AND($K141=1,AND(对接源_01水果!$X141="公司筐",N(对接源_01水果!$V141)&lt;&gt;0)),1,0)</f>
        <v>0</v>
      </c>
      <c r="U141" s="3">
        <f t="shared" si="43"/>
        <v>0</v>
      </c>
      <c r="V141" s="3">
        <f>IF(AND($L141=1,AND(对接源_01水果!$X141="自备筐",N(对接源_01水果!$V141)&lt;&gt;0)),1,0)</f>
        <v>0</v>
      </c>
      <c r="W141" s="3">
        <f t="shared" si="44"/>
        <v>0</v>
      </c>
      <c r="X141" s="3">
        <f>IF(AND($L141=1,AND(对接源_01水果!$X141="自备筐",N(对接源_01水果!$T141)&lt;&gt;0)),1,0)</f>
        <v>0</v>
      </c>
      <c r="Y141" s="3">
        <f t="shared" si="45"/>
        <v>0</v>
      </c>
      <c r="Z141" s="3">
        <f>IF(AND($M141=1,对接源_01水果!$D141="原料入库"),1,0)</f>
        <v>0</v>
      </c>
      <c r="AA141" s="3">
        <f t="shared" si="46"/>
        <v>0</v>
      </c>
      <c r="AB141" s="3">
        <f>IF(AND($M141=1,LEFT(对接源_01水果!$D141,4)="原料出库"),1,0)</f>
        <v>0</v>
      </c>
      <c r="AC141" s="3">
        <f t="shared" si="47"/>
        <v>0</v>
      </c>
      <c r="AD141" s="3">
        <f>IF(AND($M141=1,LEFT(对接源_01水果!$D141,4)="成品出库"),1,0)</f>
        <v>0</v>
      </c>
      <c r="AE141" s="3">
        <f t="shared" si="48"/>
        <v>0</v>
      </c>
      <c r="AF141" s="3">
        <f>IF(AND($N141=1,AND(LEFT(对接源_01水果!$D141,4)="包装物料",N(对接源_01水果!$K141)&lt;&gt;0)),1,0)</f>
        <v>0</v>
      </c>
      <c r="AG141" s="3">
        <f t="shared" si="49"/>
        <v>0</v>
      </c>
      <c r="AH141" s="3">
        <f>IF(AND($N141=1,AND(对接源_01水果!$D141="周转筐－销售出库",N(对接源_01水果!$K141)&lt;&gt;0)),1,0)</f>
        <v>0</v>
      </c>
      <c r="AI141" s="3">
        <f t="shared" si="50"/>
        <v>0</v>
      </c>
      <c r="AJ141" s="7"/>
      <c r="AL141" s="3">
        <f>IF(OR($AL$1="",对接源_01水果!$Y141="",对接源_01水果!$Y141&lt;&gt;$AL$1,对接源_01水果!$B141="",N(对接源_01水果!$AJ141)&lt;=0),0,IF(OR(N(对接源_01水果!$B141)&lt;$AL$2,N(对接源_01水果!$B141)&gt;$AL$3),0,1))</f>
        <v>0</v>
      </c>
      <c r="AM141" s="3">
        <f t="shared" si="51"/>
        <v>0</v>
      </c>
      <c r="AN141" s="3" t="str">
        <f>IF(对接源_01水果!$AC141="","",对接源_01水果!$AC141)</f>
        <v/>
      </c>
      <c r="AO141" s="3">
        <f t="shared" si="52"/>
        <v>0</v>
      </c>
      <c r="AP141" s="3">
        <f t="shared" si="53"/>
        <v>0</v>
      </c>
      <c r="AQ141" s="3" t="str">
        <f t="shared" si="54"/>
        <v/>
      </c>
      <c r="AR141">
        <f t="shared" si="55"/>
        <v>0</v>
      </c>
      <c r="AS141">
        <f t="shared" si="56"/>
        <v>0</v>
      </c>
    </row>
    <row r="142" ht="14.25" customHeight="1" spans="1:45">
      <c r="A142" s="3" t="str">
        <f>IF(对接源_01水果!$C142="","",对接源_01水果!$C142)</f>
        <v>马锦祥</v>
      </c>
      <c r="B142" s="3">
        <f t="shared" si="38"/>
        <v>0</v>
      </c>
      <c r="C142" s="3">
        <f t="shared" si="39"/>
        <v>4</v>
      </c>
      <c r="E142" s="3" t="str">
        <f t="shared" si="40"/>
        <v/>
      </c>
      <c r="K142" s="3">
        <f>IF(OR($K$1="",对接源_01水果!$C142="",对接源_01水果!$C142&lt;&gt;$K$1,对接源_01水果!$B142=""),0,IF(OR(N(对接源_01水果!$B142)&lt;$K$2,N(对接源_01水果!$B142)&gt;$K$3),0,1))</f>
        <v>0</v>
      </c>
      <c r="L142" s="3">
        <f>IF(OR($L$1="",对接源_01水果!$C142="",对接源_01水果!$C142&lt;&gt;$L$1,对接源_01水果!$B142=""),0,IF(OR(N(对接源_01水果!$B142)&lt;$L$2,N(对接源_01水果!$B142)&gt;$L$3),0,1))</f>
        <v>0</v>
      </c>
      <c r="M142" s="3">
        <f>IF(OR($M$1="",对接源_01水果!$C142="",对接源_01水果!$C142&lt;&gt;$M$1,对接源_01水果!$B142=""),0,IF(OR(N(对接源_01水果!$B142)&lt;$M$2,N(对接源_01水果!$B142)&gt;$M$3),0,1))</f>
        <v>0</v>
      </c>
      <c r="N142" s="3">
        <f>IF(OR($N$1="",对接源_01水果!$C142="",对接源_01水果!$C142&lt;&gt;$N$1,对接源_01水果!$B142=""),0,IF(OR(N(对接源_01水果!$B142)&lt;$N$2,N(对接源_01水果!$B142)&gt;$N$3),0,1))</f>
        <v>0</v>
      </c>
      <c r="P142" s="3">
        <f>IF(AND($K142=1,AND(对接源_01水果!$X142="公司筐",N(对接源_01水果!$T142)&lt;&gt;0)),1,0)</f>
        <v>0</v>
      </c>
      <c r="Q142" s="3">
        <f t="shared" si="41"/>
        <v>0</v>
      </c>
      <c r="R142" s="3">
        <f>IF(AND($K142=1,AND(对接源_01水果!$X142="公司筐",N(对接源_01水果!$U142)&lt;&gt;0)),1,0)</f>
        <v>0</v>
      </c>
      <c r="S142" s="3">
        <f t="shared" si="42"/>
        <v>0</v>
      </c>
      <c r="T142" s="3">
        <f>IF(AND($K142=1,AND(对接源_01水果!$X142="公司筐",N(对接源_01水果!$V142)&lt;&gt;0)),1,0)</f>
        <v>0</v>
      </c>
      <c r="U142" s="3">
        <f t="shared" si="43"/>
        <v>0</v>
      </c>
      <c r="V142" s="3">
        <f>IF(AND($L142=1,AND(对接源_01水果!$X142="自备筐",N(对接源_01水果!$V142)&lt;&gt;0)),1,0)</f>
        <v>0</v>
      </c>
      <c r="W142" s="3">
        <f t="shared" si="44"/>
        <v>0</v>
      </c>
      <c r="X142" s="3">
        <f>IF(AND($L142=1,AND(对接源_01水果!$X142="自备筐",N(对接源_01水果!$T142)&lt;&gt;0)),1,0)</f>
        <v>0</v>
      </c>
      <c r="Y142" s="3">
        <f t="shared" si="45"/>
        <v>0</v>
      </c>
      <c r="Z142" s="3">
        <f>IF(AND($M142=1,对接源_01水果!$D142="原料入库"),1,0)</f>
        <v>0</v>
      </c>
      <c r="AA142" s="3">
        <f t="shared" si="46"/>
        <v>0</v>
      </c>
      <c r="AB142" s="3">
        <f>IF(AND($M142=1,LEFT(对接源_01水果!$D142,4)="原料出库"),1,0)</f>
        <v>0</v>
      </c>
      <c r="AC142" s="3">
        <f t="shared" si="47"/>
        <v>0</v>
      </c>
      <c r="AD142" s="3">
        <f>IF(AND($M142=1,LEFT(对接源_01水果!$D142,4)="成品出库"),1,0)</f>
        <v>0</v>
      </c>
      <c r="AE142" s="3">
        <f t="shared" si="48"/>
        <v>0</v>
      </c>
      <c r="AF142" s="3">
        <f>IF(AND($N142=1,AND(LEFT(对接源_01水果!$D142,4)="包装物料",N(对接源_01水果!$K142)&lt;&gt;0)),1,0)</f>
        <v>0</v>
      </c>
      <c r="AG142" s="3">
        <f t="shared" si="49"/>
        <v>0</v>
      </c>
      <c r="AH142" s="3">
        <f>IF(AND($N142=1,AND(对接源_01水果!$D142="周转筐－销售出库",N(对接源_01水果!$K142)&lt;&gt;0)),1,0)</f>
        <v>0</v>
      </c>
      <c r="AI142" s="3">
        <f t="shared" si="50"/>
        <v>0</v>
      </c>
      <c r="AJ142" s="7"/>
      <c r="AL142" s="3">
        <f>IF(OR($AL$1="",对接源_01水果!$Y142="",对接源_01水果!$Y142&lt;&gt;$AL$1,对接源_01水果!$B142="",N(对接源_01水果!$AJ142)&lt;=0),0,IF(OR(N(对接源_01水果!$B142)&lt;$AL$2,N(对接源_01水果!$B142)&gt;$AL$3),0,1))</f>
        <v>0</v>
      </c>
      <c r="AM142" s="3">
        <f t="shared" si="51"/>
        <v>0</v>
      </c>
      <c r="AN142" s="3" t="str">
        <f>IF(对接源_01水果!$AC142="","",对接源_01水果!$AC142)</f>
        <v/>
      </c>
      <c r="AO142" s="3">
        <f t="shared" si="52"/>
        <v>0</v>
      </c>
      <c r="AP142" s="3">
        <f t="shared" si="53"/>
        <v>0</v>
      </c>
      <c r="AQ142" s="3" t="str">
        <f t="shared" si="54"/>
        <v/>
      </c>
      <c r="AR142">
        <f t="shared" si="55"/>
        <v>0</v>
      </c>
      <c r="AS142">
        <f t="shared" si="56"/>
        <v>0</v>
      </c>
    </row>
    <row r="143" ht="14.25" customHeight="1" spans="1:45">
      <c r="A143" s="3" t="str">
        <f>IF(对接源_01水果!$C143="","",对接源_01水果!$C143)</f>
        <v>马锦祥</v>
      </c>
      <c r="B143" s="3">
        <f t="shared" si="38"/>
        <v>0</v>
      </c>
      <c r="C143" s="3">
        <f t="shared" si="39"/>
        <v>4</v>
      </c>
      <c r="E143" s="3" t="str">
        <f t="shared" si="40"/>
        <v/>
      </c>
      <c r="K143" s="3">
        <f>IF(OR($K$1="",对接源_01水果!$C143="",对接源_01水果!$C143&lt;&gt;$K$1,对接源_01水果!$B143=""),0,IF(OR(N(对接源_01水果!$B143)&lt;$K$2,N(对接源_01水果!$B143)&gt;$K$3),0,1))</f>
        <v>0</v>
      </c>
      <c r="L143" s="3">
        <f>IF(OR($L$1="",对接源_01水果!$C143="",对接源_01水果!$C143&lt;&gt;$L$1,对接源_01水果!$B143=""),0,IF(OR(N(对接源_01水果!$B143)&lt;$L$2,N(对接源_01水果!$B143)&gt;$L$3),0,1))</f>
        <v>0</v>
      </c>
      <c r="M143" s="3">
        <f>IF(OR($M$1="",对接源_01水果!$C143="",对接源_01水果!$C143&lt;&gt;$M$1,对接源_01水果!$B143=""),0,IF(OR(N(对接源_01水果!$B143)&lt;$M$2,N(对接源_01水果!$B143)&gt;$M$3),0,1))</f>
        <v>0</v>
      </c>
      <c r="N143" s="3">
        <f>IF(OR($N$1="",对接源_01水果!$C143="",对接源_01水果!$C143&lt;&gt;$N$1,对接源_01水果!$B143=""),0,IF(OR(N(对接源_01水果!$B143)&lt;$N$2,N(对接源_01水果!$B143)&gt;$N$3),0,1))</f>
        <v>0</v>
      </c>
      <c r="P143" s="3">
        <f>IF(AND($K143=1,AND(对接源_01水果!$X143="公司筐",N(对接源_01水果!$T143)&lt;&gt;0)),1,0)</f>
        <v>0</v>
      </c>
      <c r="Q143" s="3">
        <f t="shared" si="41"/>
        <v>0</v>
      </c>
      <c r="R143" s="3">
        <f>IF(AND($K143=1,AND(对接源_01水果!$X143="公司筐",N(对接源_01水果!$U143)&lt;&gt;0)),1,0)</f>
        <v>0</v>
      </c>
      <c r="S143" s="3">
        <f t="shared" si="42"/>
        <v>0</v>
      </c>
      <c r="T143" s="3">
        <f>IF(AND($K143=1,AND(对接源_01水果!$X143="公司筐",N(对接源_01水果!$V143)&lt;&gt;0)),1,0)</f>
        <v>0</v>
      </c>
      <c r="U143" s="3">
        <f t="shared" si="43"/>
        <v>0</v>
      </c>
      <c r="V143" s="3">
        <f>IF(AND($L143=1,AND(对接源_01水果!$X143="自备筐",N(对接源_01水果!$V143)&lt;&gt;0)),1,0)</f>
        <v>0</v>
      </c>
      <c r="W143" s="3">
        <f t="shared" si="44"/>
        <v>0</v>
      </c>
      <c r="X143" s="3">
        <f>IF(AND($L143=1,AND(对接源_01水果!$X143="自备筐",N(对接源_01水果!$T143)&lt;&gt;0)),1,0)</f>
        <v>0</v>
      </c>
      <c r="Y143" s="3">
        <f t="shared" si="45"/>
        <v>0</v>
      </c>
      <c r="Z143" s="3">
        <f>IF(AND($M143=1,对接源_01水果!$D143="原料入库"),1,0)</f>
        <v>0</v>
      </c>
      <c r="AA143" s="3">
        <f t="shared" si="46"/>
        <v>0</v>
      </c>
      <c r="AB143" s="3">
        <f>IF(AND($M143=1,LEFT(对接源_01水果!$D143,4)="原料出库"),1,0)</f>
        <v>0</v>
      </c>
      <c r="AC143" s="3">
        <f t="shared" si="47"/>
        <v>0</v>
      </c>
      <c r="AD143" s="3">
        <f>IF(AND($M143=1,LEFT(对接源_01水果!$D143,4)="成品出库"),1,0)</f>
        <v>0</v>
      </c>
      <c r="AE143" s="3">
        <f t="shared" si="48"/>
        <v>0</v>
      </c>
      <c r="AF143" s="3">
        <f>IF(AND($N143=1,AND(LEFT(对接源_01水果!$D143,4)="包装物料",N(对接源_01水果!$K143)&lt;&gt;0)),1,0)</f>
        <v>0</v>
      </c>
      <c r="AG143" s="3">
        <f t="shared" si="49"/>
        <v>0</v>
      </c>
      <c r="AH143" s="3">
        <f>IF(AND($N143=1,AND(对接源_01水果!$D143="周转筐－销售出库",N(对接源_01水果!$K143)&lt;&gt;0)),1,0)</f>
        <v>0</v>
      </c>
      <c r="AI143" s="3">
        <f t="shared" si="50"/>
        <v>0</v>
      </c>
      <c r="AJ143" s="7"/>
      <c r="AL143" s="3">
        <f>IF(OR($AL$1="",对接源_01水果!$Y143="",对接源_01水果!$Y143&lt;&gt;$AL$1,对接源_01水果!$B143="",N(对接源_01水果!$AJ143)&lt;=0),0,IF(OR(N(对接源_01水果!$B143)&lt;$AL$2,N(对接源_01水果!$B143)&gt;$AL$3),0,1))</f>
        <v>0</v>
      </c>
      <c r="AM143" s="3">
        <f t="shared" si="51"/>
        <v>0</v>
      </c>
      <c r="AN143" s="3" t="str">
        <f>IF(对接源_01水果!$AC143="","",对接源_01水果!$AC143)</f>
        <v/>
      </c>
      <c r="AO143" s="3">
        <f t="shared" si="52"/>
        <v>0</v>
      </c>
      <c r="AP143" s="3">
        <f t="shared" si="53"/>
        <v>0</v>
      </c>
      <c r="AQ143" s="3" t="str">
        <f t="shared" si="54"/>
        <v/>
      </c>
      <c r="AR143">
        <f t="shared" si="55"/>
        <v>0</v>
      </c>
      <c r="AS143">
        <f t="shared" si="56"/>
        <v>0</v>
      </c>
    </row>
    <row r="144" ht="14.25" customHeight="1" spans="1:45">
      <c r="A144" s="3" t="str">
        <f>IF(对接源_01水果!$C144="","",对接源_01水果!$C144)</f>
        <v>马锦祥</v>
      </c>
      <c r="B144" s="3">
        <f t="shared" si="38"/>
        <v>0</v>
      </c>
      <c r="C144" s="3">
        <f t="shared" si="39"/>
        <v>4</v>
      </c>
      <c r="E144" s="3" t="str">
        <f t="shared" si="40"/>
        <v/>
      </c>
      <c r="K144" s="3">
        <f>IF(OR($K$1="",对接源_01水果!$C144="",对接源_01水果!$C144&lt;&gt;$K$1,对接源_01水果!$B144=""),0,IF(OR(N(对接源_01水果!$B144)&lt;$K$2,N(对接源_01水果!$B144)&gt;$K$3),0,1))</f>
        <v>0</v>
      </c>
      <c r="L144" s="3">
        <f>IF(OR($L$1="",对接源_01水果!$C144="",对接源_01水果!$C144&lt;&gt;$L$1,对接源_01水果!$B144=""),0,IF(OR(N(对接源_01水果!$B144)&lt;$L$2,N(对接源_01水果!$B144)&gt;$L$3),0,1))</f>
        <v>0</v>
      </c>
      <c r="M144" s="3">
        <f>IF(OR($M$1="",对接源_01水果!$C144="",对接源_01水果!$C144&lt;&gt;$M$1,对接源_01水果!$B144=""),0,IF(OR(N(对接源_01水果!$B144)&lt;$M$2,N(对接源_01水果!$B144)&gt;$M$3),0,1))</f>
        <v>0</v>
      </c>
      <c r="N144" s="3">
        <f>IF(OR($N$1="",对接源_01水果!$C144="",对接源_01水果!$C144&lt;&gt;$N$1,对接源_01水果!$B144=""),0,IF(OR(N(对接源_01水果!$B144)&lt;$N$2,N(对接源_01水果!$B144)&gt;$N$3),0,1))</f>
        <v>0</v>
      </c>
      <c r="P144" s="3">
        <f>IF(AND($K144=1,AND(对接源_01水果!$X144="公司筐",N(对接源_01水果!$T144)&lt;&gt;0)),1,0)</f>
        <v>0</v>
      </c>
      <c r="Q144" s="3">
        <f t="shared" si="41"/>
        <v>0</v>
      </c>
      <c r="R144" s="3">
        <f>IF(AND($K144=1,AND(对接源_01水果!$X144="公司筐",N(对接源_01水果!$U144)&lt;&gt;0)),1,0)</f>
        <v>0</v>
      </c>
      <c r="S144" s="3">
        <f t="shared" si="42"/>
        <v>0</v>
      </c>
      <c r="T144" s="3">
        <f>IF(AND($K144=1,AND(对接源_01水果!$X144="公司筐",N(对接源_01水果!$V144)&lt;&gt;0)),1,0)</f>
        <v>0</v>
      </c>
      <c r="U144" s="3">
        <f t="shared" si="43"/>
        <v>0</v>
      </c>
      <c r="V144" s="3">
        <f>IF(AND($L144=1,AND(对接源_01水果!$X144="自备筐",N(对接源_01水果!$V144)&lt;&gt;0)),1,0)</f>
        <v>0</v>
      </c>
      <c r="W144" s="3">
        <f t="shared" si="44"/>
        <v>0</v>
      </c>
      <c r="X144" s="3">
        <f>IF(AND($L144=1,AND(对接源_01水果!$X144="自备筐",N(对接源_01水果!$T144)&lt;&gt;0)),1,0)</f>
        <v>0</v>
      </c>
      <c r="Y144" s="3">
        <f t="shared" si="45"/>
        <v>0</v>
      </c>
      <c r="Z144" s="3">
        <f>IF(AND($M144=1,对接源_01水果!$D144="原料入库"),1,0)</f>
        <v>0</v>
      </c>
      <c r="AA144" s="3">
        <f t="shared" si="46"/>
        <v>0</v>
      </c>
      <c r="AB144" s="3">
        <f>IF(AND($M144=1,LEFT(对接源_01水果!$D144,4)="原料出库"),1,0)</f>
        <v>0</v>
      </c>
      <c r="AC144" s="3">
        <f t="shared" si="47"/>
        <v>0</v>
      </c>
      <c r="AD144" s="3">
        <f>IF(AND($M144=1,LEFT(对接源_01水果!$D144,4)="成品出库"),1,0)</f>
        <v>0</v>
      </c>
      <c r="AE144" s="3">
        <f t="shared" si="48"/>
        <v>0</v>
      </c>
      <c r="AF144" s="3">
        <f>IF(AND($N144=1,AND(LEFT(对接源_01水果!$D144,4)="包装物料",N(对接源_01水果!$K144)&lt;&gt;0)),1,0)</f>
        <v>0</v>
      </c>
      <c r="AG144" s="3">
        <f t="shared" si="49"/>
        <v>0</v>
      </c>
      <c r="AH144" s="3">
        <f>IF(AND($N144=1,AND(对接源_01水果!$D144="周转筐－销售出库",N(对接源_01水果!$K144)&lt;&gt;0)),1,0)</f>
        <v>0</v>
      </c>
      <c r="AI144" s="3">
        <f t="shared" si="50"/>
        <v>0</v>
      </c>
      <c r="AJ144" s="7"/>
      <c r="AL144" s="3">
        <f>IF(OR($AL$1="",对接源_01水果!$Y144="",对接源_01水果!$Y144&lt;&gt;$AL$1,对接源_01水果!$B144="",N(对接源_01水果!$AJ144)&lt;=0),0,IF(OR(N(对接源_01水果!$B144)&lt;$AL$2,N(对接源_01水果!$B144)&gt;$AL$3),0,1))</f>
        <v>0</v>
      </c>
      <c r="AM144" s="3">
        <f t="shared" si="51"/>
        <v>0</v>
      </c>
      <c r="AN144" s="3" t="str">
        <f>IF(对接源_01水果!$AC144="","",对接源_01水果!$AC144)</f>
        <v/>
      </c>
      <c r="AO144" s="3">
        <f t="shared" si="52"/>
        <v>0</v>
      </c>
      <c r="AP144" s="3">
        <f t="shared" si="53"/>
        <v>0</v>
      </c>
      <c r="AQ144" s="3" t="str">
        <f t="shared" si="54"/>
        <v/>
      </c>
      <c r="AR144">
        <f t="shared" si="55"/>
        <v>0</v>
      </c>
      <c r="AS144">
        <f t="shared" si="56"/>
        <v>0</v>
      </c>
    </row>
    <row r="145" ht="14.25" customHeight="1" spans="1:45">
      <c r="A145" s="3" t="str">
        <f>IF(对接源_01水果!$C145="","",对接源_01水果!$C145)</f>
        <v>麦麦提</v>
      </c>
      <c r="B145" s="3">
        <f t="shared" si="38"/>
        <v>1</v>
      </c>
      <c r="C145" s="3">
        <f t="shared" si="39"/>
        <v>5</v>
      </c>
      <c r="E145" s="3" t="str">
        <f t="shared" si="40"/>
        <v/>
      </c>
      <c r="K145" s="3">
        <f>IF(OR($K$1="",对接源_01水果!$C145="",对接源_01水果!$C145&lt;&gt;$K$1,对接源_01水果!$B145=""),0,IF(OR(N(对接源_01水果!$B145)&lt;$K$2,N(对接源_01水果!$B145)&gt;$K$3),0,1))</f>
        <v>0</v>
      </c>
      <c r="L145" s="3">
        <f>IF(OR($L$1="",对接源_01水果!$C145="",对接源_01水果!$C145&lt;&gt;$L$1,对接源_01水果!$B145=""),0,IF(OR(N(对接源_01水果!$B145)&lt;$L$2,N(对接源_01水果!$B145)&gt;$L$3),0,1))</f>
        <v>0</v>
      </c>
      <c r="M145" s="3">
        <f>IF(OR($M$1="",对接源_01水果!$C145="",对接源_01水果!$C145&lt;&gt;$M$1,对接源_01水果!$B145=""),0,IF(OR(N(对接源_01水果!$B145)&lt;$M$2,N(对接源_01水果!$B145)&gt;$M$3),0,1))</f>
        <v>0</v>
      </c>
      <c r="N145" s="3">
        <f>IF(OR($N$1="",对接源_01水果!$C145="",对接源_01水果!$C145&lt;&gt;$N$1,对接源_01水果!$B145=""),0,IF(OR(N(对接源_01水果!$B145)&lt;$N$2,N(对接源_01水果!$B145)&gt;$N$3),0,1))</f>
        <v>0</v>
      </c>
      <c r="P145" s="3">
        <f>IF(AND($K145=1,AND(对接源_01水果!$X145="公司筐",N(对接源_01水果!$T145)&lt;&gt;0)),1,0)</f>
        <v>0</v>
      </c>
      <c r="Q145" s="3">
        <f t="shared" si="41"/>
        <v>0</v>
      </c>
      <c r="R145" s="3">
        <f>IF(AND($K145=1,AND(对接源_01水果!$X145="公司筐",N(对接源_01水果!$U145)&lt;&gt;0)),1,0)</f>
        <v>0</v>
      </c>
      <c r="S145" s="3">
        <f t="shared" si="42"/>
        <v>0</v>
      </c>
      <c r="T145" s="3">
        <f>IF(AND($K145=1,AND(对接源_01水果!$X145="公司筐",N(对接源_01水果!$V145)&lt;&gt;0)),1,0)</f>
        <v>0</v>
      </c>
      <c r="U145" s="3">
        <f t="shared" si="43"/>
        <v>0</v>
      </c>
      <c r="V145" s="3">
        <f>IF(AND($L145=1,AND(对接源_01水果!$X145="自备筐",N(对接源_01水果!$V145)&lt;&gt;0)),1,0)</f>
        <v>0</v>
      </c>
      <c r="W145" s="3">
        <f t="shared" si="44"/>
        <v>0</v>
      </c>
      <c r="X145" s="3">
        <f>IF(AND($L145=1,AND(对接源_01水果!$X145="自备筐",N(对接源_01水果!$T145)&lt;&gt;0)),1,0)</f>
        <v>0</v>
      </c>
      <c r="Y145" s="3">
        <f t="shared" si="45"/>
        <v>0</v>
      </c>
      <c r="Z145" s="3">
        <f>IF(AND($M145=1,对接源_01水果!$D145="原料入库"),1,0)</f>
        <v>0</v>
      </c>
      <c r="AA145" s="3">
        <f t="shared" si="46"/>
        <v>0</v>
      </c>
      <c r="AB145" s="3">
        <f>IF(AND($M145=1,LEFT(对接源_01水果!$D145,4)="原料出库"),1,0)</f>
        <v>0</v>
      </c>
      <c r="AC145" s="3">
        <f t="shared" si="47"/>
        <v>0</v>
      </c>
      <c r="AD145" s="3">
        <f>IF(AND($M145=1,LEFT(对接源_01水果!$D145,4)="成品出库"),1,0)</f>
        <v>0</v>
      </c>
      <c r="AE145" s="3">
        <f t="shared" si="48"/>
        <v>0</v>
      </c>
      <c r="AF145" s="3">
        <f>IF(AND($N145=1,AND(LEFT(对接源_01水果!$D145,4)="包装物料",N(对接源_01水果!$K145)&lt;&gt;0)),1,0)</f>
        <v>0</v>
      </c>
      <c r="AG145" s="3">
        <f t="shared" si="49"/>
        <v>0</v>
      </c>
      <c r="AH145" s="3">
        <f>IF(AND($N145=1,AND(对接源_01水果!$D145="周转筐－销售出库",N(对接源_01水果!$K145)&lt;&gt;0)),1,0)</f>
        <v>0</v>
      </c>
      <c r="AI145" s="3">
        <f t="shared" si="50"/>
        <v>0</v>
      </c>
      <c r="AJ145" s="7"/>
      <c r="AL145" s="3">
        <f>IF(OR($AL$1="",对接源_01水果!$Y145="",对接源_01水果!$Y145&lt;&gt;$AL$1,对接源_01水果!$B145="",N(对接源_01水果!$AJ145)&lt;=0),0,IF(OR(N(对接源_01水果!$B145)&lt;$AL$2,N(对接源_01水果!$B145)&gt;$AL$3),0,1))</f>
        <v>0</v>
      </c>
      <c r="AM145" s="3">
        <f t="shared" si="51"/>
        <v>0</v>
      </c>
      <c r="AN145" s="3" t="str">
        <f>IF(对接源_01水果!$AC145="","",对接源_01水果!$AC145)</f>
        <v/>
      </c>
      <c r="AO145" s="3">
        <f t="shared" si="52"/>
        <v>0</v>
      </c>
      <c r="AP145" s="3">
        <f t="shared" si="53"/>
        <v>0</v>
      </c>
      <c r="AQ145" s="3" t="str">
        <f t="shared" si="54"/>
        <v/>
      </c>
      <c r="AR145">
        <f t="shared" si="55"/>
        <v>0</v>
      </c>
      <c r="AS145">
        <f t="shared" si="56"/>
        <v>0</v>
      </c>
    </row>
    <row r="146" ht="14.25" customHeight="1" spans="1:45">
      <c r="A146" s="3" t="str">
        <f>IF(对接源_01水果!$C146="","",对接源_01水果!$C146)</f>
        <v>麦麦提</v>
      </c>
      <c r="B146" s="3">
        <f t="shared" si="38"/>
        <v>0</v>
      </c>
      <c r="C146" s="3">
        <f t="shared" si="39"/>
        <v>5</v>
      </c>
      <c r="E146" s="3" t="str">
        <f t="shared" si="40"/>
        <v/>
      </c>
      <c r="K146" s="3">
        <f>IF(OR($K$1="",对接源_01水果!$C146="",对接源_01水果!$C146&lt;&gt;$K$1,对接源_01水果!$B146=""),0,IF(OR(N(对接源_01水果!$B146)&lt;$K$2,N(对接源_01水果!$B146)&gt;$K$3),0,1))</f>
        <v>0</v>
      </c>
      <c r="L146" s="3">
        <f>IF(OR($L$1="",对接源_01水果!$C146="",对接源_01水果!$C146&lt;&gt;$L$1,对接源_01水果!$B146=""),0,IF(OR(N(对接源_01水果!$B146)&lt;$L$2,N(对接源_01水果!$B146)&gt;$L$3),0,1))</f>
        <v>0</v>
      </c>
      <c r="M146" s="3">
        <f>IF(OR($M$1="",对接源_01水果!$C146="",对接源_01水果!$C146&lt;&gt;$M$1,对接源_01水果!$B146=""),0,IF(OR(N(对接源_01水果!$B146)&lt;$M$2,N(对接源_01水果!$B146)&gt;$M$3),0,1))</f>
        <v>0</v>
      </c>
      <c r="N146" s="3">
        <f>IF(OR($N$1="",对接源_01水果!$C146="",对接源_01水果!$C146&lt;&gt;$N$1,对接源_01水果!$B146=""),0,IF(OR(N(对接源_01水果!$B146)&lt;$N$2,N(对接源_01水果!$B146)&gt;$N$3),0,1))</f>
        <v>0</v>
      </c>
      <c r="P146" s="3">
        <f>IF(AND($K146=1,AND(对接源_01水果!$X146="公司筐",N(对接源_01水果!$T146)&lt;&gt;0)),1,0)</f>
        <v>0</v>
      </c>
      <c r="Q146" s="3">
        <f t="shared" si="41"/>
        <v>0</v>
      </c>
      <c r="R146" s="3">
        <f>IF(AND($K146=1,AND(对接源_01水果!$X146="公司筐",N(对接源_01水果!$U146)&lt;&gt;0)),1,0)</f>
        <v>0</v>
      </c>
      <c r="S146" s="3">
        <f t="shared" si="42"/>
        <v>0</v>
      </c>
      <c r="T146" s="3">
        <f>IF(AND($K146=1,AND(对接源_01水果!$X146="公司筐",N(对接源_01水果!$V146)&lt;&gt;0)),1,0)</f>
        <v>0</v>
      </c>
      <c r="U146" s="3">
        <f t="shared" si="43"/>
        <v>0</v>
      </c>
      <c r="V146" s="3">
        <f>IF(AND($L146=1,AND(对接源_01水果!$X146="自备筐",N(对接源_01水果!$V146)&lt;&gt;0)),1,0)</f>
        <v>0</v>
      </c>
      <c r="W146" s="3">
        <f t="shared" si="44"/>
        <v>0</v>
      </c>
      <c r="X146" s="3">
        <f>IF(AND($L146=1,AND(对接源_01水果!$X146="自备筐",N(对接源_01水果!$T146)&lt;&gt;0)),1,0)</f>
        <v>0</v>
      </c>
      <c r="Y146" s="3">
        <f t="shared" si="45"/>
        <v>0</v>
      </c>
      <c r="Z146" s="3">
        <f>IF(AND($M146=1,对接源_01水果!$D146="原料入库"),1,0)</f>
        <v>0</v>
      </c>
      <c r="AA146" s="3">
        <f t="shared" si="46"/>
        <v>0</v>
      </c>
      <c r="AB146" s="3">
        <f>IF(AND($M146=1,LEFT(对接源_01水果!$D146,4)="原料出库"),1,0)</f>
        <v>0</v>
      </c>
      <c r="AC146" s="3">
        <f t="shared" si="47"/>
        <v>0</v>
      </c>
      <c r="AD146" s="3">
        <f>IF(AND($M146=1,LEFT(对接源_01水果!$D146,4)="成品出库"),1,0)</f>
        <v>0</v>
      </c>
      <c r="AE146" s="3">
        <f t="shared" si="48"/>
        <v>0</v>
      </c>
      <c r="AF146" s="3">
        <f>IF(AND($N146=1,AND(LEFT(对接源_01水果!$D146,4)="包装物料",N(对接源_01水果!$K146)&lt;&gt;0)),1,0)</f>
        <v>0</v>
      </c>
      <c r="AG146" s="3">
        <f t="shared" si="49"/>
        <v>0</v>
      </c>
      <c r="AH146" s="3">
        <f>IF(AND($N146=1,AND(对接源_01水果!$D146="周转筐－销售出库",N(对接源_01水果!$K146)&lt;&gt;0)),1,0)</f>
        <v>0</v>
      </c>
      <c r="AI146" s="3">
        <f t="shared" si="50"/>
        <v>0</v>
      </c>
      <c r="AJ146" s="7"/>
      <c r="AL146" s="3">
        <f>IF(OR($AL$1="",对接源_01水果!$Y146="",对接源_01水果!$Y146&lt;&gt;$AL$1,对接源_01水果!$B146="",N(对接源_01水果!$AJ146)&lt;=0),0,IF(OR(N(对接源_01水果!$B146)&lt;$AL$2,N(对接源_01水果!$B146)&gt;$AL$3),0,1))</f>
        <v>0</v>
      </c>
      <c r="AM146" s="3">
        <f t="shared" si="51"/>
        <v>0</v>
      </c>
      <c r="AN146" s="3" t="str">
        <f>IF(对接源_01水果!$AC146="","",对接源_01水果!$AC146)</f>
        <v/>
      </c>
      <c r="AO146" s="3">
        <f t="shared" si="52"/>
        <v>0</v>
      </c>
      <c r="AP146" s="3">
        <f t="shared" si="53"/>
        <v>0</v>
      </c>
      <c r="AQ146" s="3" t="str">
        <f t="shared" si="54"/>
        <v/>
      </c>
      <c r="AR146">
        <f t="shared" si="55"/>
        <v>0</v>
      </c>
      <c r="AS146">
        <f t="shared" si="56"/>
        <v>0</v>
      </c>
    </row>
    <row r="147" ht="14.25" customHeight="1" spans="1:45">
      <c r="A147" s="3" t="str">
        <f>IF(对接源_01水果!$C147="","",对接源_01水果!$C147)</f>
        <v>麦麦提</v>
      </c>
      <c r="B147" s="3">
        <f t="shared" si="38"/>
        <v>0</v>
      </c>
      <c r="C147" s="3">
        <f t="shared" si="39"/>
        <v>5</v>
      </c>
      <c r="E147" s="3" t="str">
        <f t="shared" si="40"/>
        <v/>
      </c>
      <c r="K147" s="3">
        <f>IF(OR($K$1="",对接源_01水果!$C147="",对接源_01水果!$C147&lt;&gt;$K$1,对接源_01水果!$B147=""),0,IF(OR(N(对接源_01水果!$B147)&lt;$K$2,N(对接源_01水果!$B147)&gt;$K$3),0,1))</f>
        <v>0</v>
      </c>
      <c r="L147" s="3">
        <f>IF(OR($L$1="",对接源_01水果!$C147="",对接源_01水果!$C147&lt;&gt;$L$1,对接源_01水果!$B147=""),0,IF(OR(N(对接源_01水果!$B147)&lt;$L$2,N(对接源_01水果!$B147)&gt;$L$3),0,1))</f>
        <v>0</v>
      </c>
      <c r="M147" s="3">
        <f>IF(OR($M$1="",对接源_01水果!$C147="",对接源_01水果!$C147&lt;&gt;$M$1,对接源_01水果!$B147=""),0,IF(OR(N(对接源_01水果!$B147)&lt;$M$2,N(对接源_01水果!$B147)&gt;$M$3),0,1))</f>
        <v>0</v>
      </c>
      <c r="N147" s="3">
        <f>IF(OR($N$1="",对接源_01水果!$C147="",对接源_01水果!$C147&lt;&gt;$N$1,对接源_01水果!$B147=""),0,IF(OR(N(对接源_01水果!$B147)&lt;$N$2,N(对接源_01水果!$B147)&gt;$N$3),0,1))</f>
        <v>0</v>
      </c>
      <c r="P147" s="3">
        <f>IF(AND($K147=1,AND(对接源_01水果!$X147="公司筐",N(对接源_01水果!$T147)&lt;&gt;0)),1,0)</f>
        <v>0</v>
      </c>
      <c r="Q147" s="3">
        <f t="shared" si="41"/>
        <v>0</v>
      </c>
      <c r="R147" s="3">
        <f>IF(AND($K147=1,AND(对接源_01水果!$X147="公司筐",N(对接源_01水果!$U147)&lt;&gt;0)),1,0)</f>
        <v>0</v>
      </c>
      <c r="S147" s="3">
        <f t="shared" si="42"/>
        <v>0</v>
      </c>
      <c r="T147" s="3">
        <f>IF(AND($K147=1,AND(对接源_01水果!$X147="公司筐",N(对接源_01水果!$V147)&lt;&gt;0)),1,0)</f>
        <v>0</v>
      </c>
      <c r="U147" s="3">
        <f t="shared" si="43"/>
        <v>0</v>
      </c>
      <c r="V147" s="3">
        <f>IF(AND($L147=1,AND(对接源_01水果!$X147="自备筐",N(对接源_01水果!$V147)&lt;&gt;0)),1,0)</f>
        <v>0</v>
      </c>
      <c r="W147" s="3">
        <f t="shared" si="44"/>
        <v>0</v>
      </c>
      <c r="X147" s="3">
        <f>IF(AND($L147=1,AND(对接源_01水果!$X147="自备筐",N(对接源_01水果!$T147)&lt;&gt;0)),1,0)</f>
        <v>0</v>
      </c>
      <c r="Y147" s="3">
        <f t="shared" si="45"/>
        <v>0</v>
      </c>
      <c r="Z147" s="3">
        <f>IF(AND($M147=1,对接源_01水果!$D147="原料入库"),1,0)</f>
        <v>0</v>
      </c>
      <c r="AA147" s="3">
        <f t="shared" si="46"/>
        <v>0</v>
      </c>
      <c r="AB147" s="3">
        <f>IF(AND($M147=1,LEFT(对接源_01水果!$D147,4)="原料出库"),1,0)</f>
        <v>0</v>
      </c>
      <c r="AC147" s="3">
        <f t="shared" si="47"/>
        <v>0</v>
      </c>
      <c r="AD147" s="3">
        <f>IF(AND($M147=1,LEFT(对接源_01水果!$D147,4)="成品出库"),1,0)</f>
        <v>0</v>
      </c>
      <c r="AE147" s="3">
        <f t="shared" si="48"/>
        <v>0</v>
      </c>
      <c r="AF147" s="3">
        <f>IF(AND($N147=1,AND(LEFT(对接源_01水果!$D147,4)="包装物料",N(对接源_01水果!$K147)&lt;&gt;0)),1,0)</f>
        <v>0</v>
      </c>
      <c r="AG147" s="3">
        <f t="shared" si="49"/>
        <v>0</v>
      </c>
      <c r="AH147" s="3">
        <f>IF(AND($N147=1,AND(对接源_01水果!$D147="周转筐－销售出库",N(对接源_01水果!$K147)&lt;&gt;0)),1,0)</f>
        <v>0</v>
      </c>
      <c r="AI147" s="3">
        <f t="shared" si="50"/>
        <v>0</v>
      </c>
      <c r="AJ147" s="7"/>
      <c r="AL147" s="3">
        <f>IF(OR($AL$1="",对接源_01水果!$Y147="",对接源_01水果!$Y147&lt;&gt;$AL$1,对接源_01水果!$B147="",N(对接源_01水果!$AJ147)&lt;=0),0,IF(OR(N(对接源_01水果!$B147)&lt;$AL$2,N(对接源_01水果!$B147)&gt;$AL$3),0,1))</f>
        <v>0</v>
      </c>
      <c r="AM147" s="3">
        <f t="shared" si="51"/>
        <v>0</v>
      </c>
      <c r="AN147" s="3" t="str">
        <f>IF(对接源_01水果!$AC147="","",对接源_01水果!$AC147)</f>
        <v/>
      </c>
      <c r="AO147" s="3">
        <f t="shared" si="52"/>
        <v>0</v>
      </c>
      <c r="AP147" s="3">
        <f t="shared" si="53"/>
        <v>0</v>
      </c>
      <c r="AQ147" s="3" t="str">
        <f t="shared" si="54"/>
        <v/>
      </c>
      <c r="AR147">
        <f t="shared" si="55"/>
        <v>0</v>
      </c>
      <c r="AS147">
        <f t="shared" si="56"/>
        <v>0</v>
      </c>
    </row>
    <row r="148" ht="14.25" customHeight="1" spans="1:45">
      <c r="A148" s="3" t="str">
        <f>IF(对接源_01水果!$C148="","",对接源_01水果!$C148)</f>
        <v>吐尔洪</v>
      </c>
      <c r="B148" s="3">
        <f t="shared" si="38"/>
        <v>1</v>
      </c>
      <c r="C148" s="3">
        <f t="shared" si="39"/>
        <v>6</v>
      </c>
      <c r="E148" s="3" t="str">
        <f t="shared" si="40"/>
        <v/>
      </c>
      <c r="K148" s="3">
        <f>IF(OR($K$1="",对接源_01水果!$C148="",对接源_01水果!$C148&lt;&gt;$K$1,对接源_01水果!$B148=""),0,IF(OR(N(对接源_01水果!$B148)&lt;$K$2,N(对接源_01水果!$B148)&gt;$K$3),0,1))</f>
        <v>0</v>
      </c>
      <c r="L148" s="3">
        <f>IF(OR($L$1="",对接源_01水果!$C148="",对接源_01水果!$C148&lt;&gt;$L$1,对接源_01水果!$B148=""),0,IF(OR(N(对接源_01水果!$B148)&lt;$L$2,N(对接源_01水果!$B148)&gt;$L$3),0,1))</f>
        <v>0</v>
      </c>
      <c r="M148" s="3">
        <f>IF(OR($M$1="",对接源_01水果!$C148="",对接源_01水果!$C148&lt;&gt;$M$1,对接源_01水果!$B148=""),0,IF(OR(N(对接源_01水果!$B148)&lt;$M$2,N(对接源_01水果!$B148)&gt;$M$3),0,1))</f>
        <v>1</v>
      </c>
      <c r="N148" s="3">
        <f>IF(OR($N$1="",对接源_01水果!$C148="",对接源_01水果!$C148&lt;&gt;$N$1,对接源_01水果!$B148=""),0,IF(OR(N(对接源_01水果!$B148)&lt;$N$2,N(对接源_01水果!$B148)&gt;$N$3),0,1))</f>
        <v>1</v>
      </c>
      <c r="P148" s="3">
        <f>IF(AND($K148=1,AND(对接源_01水果!$X148="公司筐",N(对接源_01水果!$T148)&lt;&gt;0)),1,0)</f>
        <v>0</v>
      </c>
      <c r="Q148" s="3">
        <f t="shared" si="41"/>
        <v>0</v>
      </c>
      <c r="R148" s="3">
        <f>IF(AND($K148=1,AND(对接源_01水果!$X148="公司筐",N(对接源_01水果!$U148)&lt;&gt;0)),1,0)</f>
        <v>0</v>
      </c>
      <c r="S148" s="3">
        <f t="shared" si="42"/>
        <v>0</v>
      </c>
      <c r="T148" s="3">
        <f>IF(AND($K148=1,AND(对接源_01水果!$X148="公司筐",N(对接源_01水果!$V148)&lt;&gt;0)),1,0)</f>
        <v>0</v>
      </c>
      <c r="U148" s="3">
        <f t="shared" si="43"/>
        <v>0</v>
      </c>
      <c r="V148" s="3">
        <f>IF(AND($L148=1,AND(对接源_01水果!$X148="自备筐",N(对接源_01水果!$V148)&lt;&gt;0)),1,0)</f>
        <v>0</v>
      </c>
      <c r="W148" s="3">
        <f t="shared" si="44"/>
        <v>0</v>
      </c>
      <c r="X148" s="3">
        <f>IF(AND($L148=1,AND(对接源_01水果!$X148="自备筐",N(对接源_01水果!$T148)&lt;&gt;0)),1,0)</f>
        <v>0</v>
      </c>
      <c r="Y148" s="3">
        <f t="shared" si="45"/>
        <v>0</v>
      </c>
      <c r="Z148" s="3">
        <f>IF(AND($M148=1,对接源_01水果!$D148="原料入库"),1,0)</f>
        <v>1</v>
      </c>
      <c r="AA148" s="3">
        <f t="shared" si="46"/>
        <v>1</v>
      </c>
      <c r="AB148" s="3">
        <f>IF(AND($M148=1,LEFT(对接源_01水果!$D148,4)="原料出库"),1,0)</f>
        <v>0</v>
      </c>
      <c r="AC148" s="3">
        <f t="shared" si="47"/>
        <v>0</v>
      </c>
      <c r="AD148" s="3">
        <f>IF(AND($M148=1,LEFT(对接源_01水果!$D148,4)="成品出库"),1,0)</f>
        <v>0</v>
      </c>
      <c r="AE148" s="3">
        <f t="shared" si="48"/>
        <v>0</v>
      </c>
      <c r="AF148" s="3">
        <f>IF(AND($N148=1,AND(LEFT(对接源_01水果!$D148,4)="包装物料",N(对接源_01水果!$K148)&lt;&gt;0)),1,0)</f>
        <v>0</v>
      </c>
      <c r="AG148" s="3">
        <f t="shared" si="49"/>
        <v>0</v>
      </c>
      <c r="AH148" s="3">
        <f>IF(AND($N148=1,AND(对接源_01水果!$D148="周转筐－销售出库",N(对接源_01水果!$K148)&lt;&gt;0)),1,0)</f>
        <v>0</v>
      </c>
      <c r="AI148" s="3">
        <f t="shared" si="50"/>
        <v>0</v>
      </c>
      <c r="AJ148" s="7"/>
      <c r="AL148" s="3">
        <f>IF(OR($AL$1="",对接源_01水果!$Y148="",对接源_01水果!$Y148&lt;&gt;$AL$1,对接源_01水果!$B148="",N(对接源_01水果!$AJ148)&lt;=0),0,IF(OR(N(对接源_01水果!$B148)&lt;$AL$2,N(对接源_01水果!$B148)&gt;$AL$3),0,1))</f>
        <v>0</v>
      </c>
      <c r="AM148" s="3">
        <f t="shared" si="51"/>
        <v>0</v>
      </c>
      <c r="AN148" s="3" t="str">
        <f>IF(对接源_01水果!$AC148="","",对接源_01水果!$AC148)</f>
        <v/>
      </c>
      <c r="AO148" s="3">
        <f t="shared" si="52"/>
        <v>0</v>
      </c>
      <c r="AP148" s="3">
        <f t="shared" si="53"/>
        <v>0</v>
      </c>
      <c r="AQ148" s="3" t="str">
        <f t="shared" si="54"/>
        <v/>
      </c>
      <c r="AR148">
        <f t="shared" si="55"/>
        <v>0</v>
      </c>
      <c r="AS148">
        <f t="shared" si="56"/>
        <v>0</v>
      </c>
    </row>
    <row r="149" ht="14.25" customHeight="1" spans="1:45">
      <c r="A149" s="3" t="str">
        <f>IF(对接源_01水果!$C149="","",对接源_01水果!$C149)</f>
        <v>吐尔洪</v>
      </c>
      <c r="B149" s="3">
        <f t="shared" si="38"/>
        <v>0</v>
      </c>
      <c r="C149" s="3">
        <f t="shared" si="39"/>
        <v>6</v>
      </c>
      <c r="E149" s="3" t="str">
        <f t="shared" si="40"/>
        <v/>
      </c>
      <c r="K149" s="3">
        <f>IF(OR($K$1="",对接源_01水果!$C149="",对接源_01水果!$C149&lt;&gt;$K$1,对接源_01水果!$B149=""),0,IF(OR(N(对接源_01水果!$B149)&lt;$K$2,N(对接源_01水果!$B149)&gt;$K$3),0,1))</f>
        <v>0</v>
      </c>
      <c r="L149" s="3">
        <f>IF(OR($L$1="",对接源_01水果!$C149="",对接源_01水果!$C149&lt;&gt;$L$1,对接源_01水果!$B149=""),0,IF(OR(N(对接源_01水果!$B149)&lt;$L$2,N(对接源_01水果!$B149)&gt;$L$3),0,1))</f>
        <v>0</v>
      </c>
      <c r="M149" s="3">
        <f>IF(OR($M$1="",对接源_01水果!$C149="",对接源_01水果!$C149&lt;&gt;$M$1,对接源_01水果!$B149=""),0,IF(OR(N(对接源_01水果!$B149)&lt;$M$2,N(对接源_01水果!$B149)&gt;$M$3),0,1))</f>
        <v>1</v>
      </c>
      <c r="N149" s="3">
        <f>IF(OR($N$1="",对接源_01水果!$C149="",对接源_01水果!$C149&lt;&gt;$N$1,对接源_01水果!$B149=""),0,IF(OR(N(对接源_01水果!$B149)&lt;$N$2,N(对接源_01水果!$B149)&gt;$N$3),0,1))</f>
        <v>1</v>
      </c>
      <c r="P149" s="3">
        <f>IF(AND($K149=1,AND(对接源_01水果!$X149="公司筐",N(对接源_01水果!$T149)&lt;&gt;0)),1,0)</f>
        <v>0</v>
      </c>
      <c r="Q149" s="3">
        <f t="shared" si="41"/>
        <v>0</v>
      </c>
      <c r="R149" s="3">
        <f>IF(AND($K149=1,AND(对接源_01水果!$X149="公司筐",N(对接源_01水果!$U149)&lt;&gt;0)),1,0)</f>
        <v>0</v>
      </c>
      <c r="S149" s="3">
        <f t="shared" si="42"/>
        <v>0</v>
      </c>
      <c r="T149" s="3">
        <f>IF(AND($K149=1,AND(对接源_01水果!$X149="公司筐",N(对接源_01水果!$V149)&lt;&gt;0)),1,0)</f>
        <v>0</v>
      </c>
      <c r="U149" s="3">
        <f t="shared" si="43"/>
        <v>0</v>
      </c>
      <c r="V149" s="3">
        <f>IF(AND($L149=1,AND(对接源_01水果!$X149="自备筐",N(对接源_01水果!$V149)&lt;&gt;0)),1,0)</f>
        <v>0</v>
      </c>
      <c r="W149" s="3">
        <f t="shared" si="44"/>
        <v>0</v>
      </c>
      <c r="X149" s="3">
        <f>IF(AND($L149=1,AND(对接源_01水果!$X149="自备筐",N(对接源_01水果!$T149)&lt;&gt;0)),1,0)</f>
        <v>0</v>
      </c>
      <c r="Y149" s="3">
        <f t="shared" si="45"/>
        <v>0</v>
      </c>
      <c r="Z149" s="3">
        <f>IF(AND($M149=1,对接源_01水果!$D149="原料入库"),1,0)</f>
        <v>1</v>
      </c>
      <c r="AA149" s="3">
        <f t="shared" si="46"/>
        <v>2</v>
      </c>
      <c r="AB149" s="3">
        <f>IF(AND($M149=1,LEFT(对接源_01水果!$D149,4)="原料出库"),1,0)</f>
        <v>0</v>
      </c>
      <c r="AC149" s="3">
        <f t="shared" si="47"/>
        <v>0</v>
      </c>
      <c r="AD149" s="3">
        <f>IF(AND($M149=1,LEFT(对接源_01水果!$D149,4)="成品出库"),1,0)</f>
        <v>0</v>
      </c>
      <c r="AE149" s="3">
        <f t="shared" si="48"/>
        <v>0</v>
      </c>
      <c r="AF149" s="3">
        <f>IF(AND($N149=1,AND(LEFT(对接源_01水果!$D149,4)="包装物料",N(对接源_01水果!$K149)&lt;&gt;0)),1,0)</f>
        <v>0</v>
      </c>
      <c r="AG149" s="3">
        <f t="shared" si="49"/>
        <v>0</v>
      </c>
      <c r="AH149" s="3">
        <f>IF(AND($N149=1,AND(对接源_01水果!$D149="周转筐－销售出库",N(对接源_01水果!$K149)&lt;&gt;0)),1,0)</f>
        <v>0</v>
      </c>
      <c r="AI149" s="3">
        <f t="shared" si="50"/>
        <v>0</v>
      </c>
      <c r="AJ149" s="7"/>
      <c r="AL149" s="3">
        <f>IF(OR($AL$1="",对接源_01水果!$Y149="",对接源_01水果!$Y149&lt;&gt;$AL$1,对接源_01水果!$B149="",N(对接源_01水果!$AJ149)&lt;=0),0,IF(OR(N(对接源_01水果!$B149)&lt;$AL$2,N(对接源_01水果!$B149)&gt;$AL$3),0,1))</f>
        <v>0</v>
      </c>
      <c r="AM149" s="3">
        <f t="shared" si="51"/>
        <v>0</v>
      </c>
      <c r="AN149" s="3" t="str">
        <f>IF(对接源_01水果!$AC149="","",对接源_01水果!$AC149)</f>
        <v/>
      </c>
      <c r="AO149" s="3">
        <f t="shared" si="52"/>
        <v>0</v>
      </c>
      <c r="AP149" s="3">
        <f t="shared" si="53"/>
        <v>0</v>
      </c>
      <c r="AQ149" s="3" t="str">
        <f t="shared" si="54"/>
        <v/>
      </c>
      <c r="AR149">
        <f t="shared" si="55"/>
        <v>0</v>
      </c>
      <c r="AS149">
        <f t="shared" si="56"/>
        <v>0</v>
      </c>
    </row>
    <row r="150" ht="14.25" customHeight="1" spans="1:45">
      <c r="A150" s="3" t="str">
        <f>IF(对接源_01水果!$C150="","",对接源_01水果!$C150)</f>
        <v>吐尔洪</v>
      </c>
      <c r="B150" s="3">
        <f t="shared" si="38"/>
        <v>0</v>
      </c>
      <c r="C150" s="3">
        <f t="shared" si="39"/>
        <v>6</v>
      </c>
      <c r="E150" s="3" t="str">
        <f t="shared" si="40"/>
        <v/>
      </c>
      <c r="K150" s="3">
        <f>IF(OR($K$1="",对接源_01水果!$C150="",对接源_01水果!$C150&lt;&gt;$K$1,对接源_01水果!$B150=""),0,IF(OR(N(对接源_01水果!$B150)&lt;$K$2,N(对接源_01水果!$B150)&gt;$K$3),0,1))</f>
        <v>0</v>
      </c>
      <c r="L150" s="3">
        <f>IF(OR($L$1="",对接源_01水果!$C150="",对接源_01水果!$C150&lt;&gt;$L$1,对接源_01水果!$B150=""),0,IF(OR(N(对接源_01水果!$B150)&lt;$L$2,N(对接源_01水果!$B150)&gt;$L$3),0,1))</f>
        <v>0</v>
      </c>
      <c r="M150" s="3">
        <f>IF(OR($M$1="",对接源_01水果!$C150="",对接源_01水果!$C150&lt;&gt;$M$1,对接源_01水果!$B150=""),0,IF(OR(N(对接源_01水果!$B150)&lt;$M$2,N(对接源_01水果!$B150)&gt;$M$3),0,1))</f>
        <v>1</v>
      </c>
      <c r="N150" s="3">
        <f>IF(OR($N$1="",对接源_01水果!$C150="",对接源_01水果!$C150&lt;&gt;$N$1,对接源_01水果!$B150=""),0,IF(OR(N(对接源_01水果!$B150)&lt;$N$2,N(对接源_01水果!$B150)&gt;$N$3),0,1))</f>
        <v>1</v>
      </c>
      <c r="P150" s="3">
        <f>IF(AND($K150=1,AND(对接源_01水果!$X150="公司筐",N(对接源_01水果!$T150)&lt;&gt;0)),1,0)</f>
        <v>0</v>
      </c>
      <c r="Q150" s="3">
        <f t="shared" si="41"/>
        <v>0</v>
      </c>
      <c r="R150" s="3">
        <f>IF(AND($K150=1,AND(对接源_01水果!$X150="公司筐",N(对接源_01水果!$U150)&lt;&gt;0)),1,0)</f>
        <v>0</v>
      </c>
      <c r="S150" s="3">
        <f t="shared" si="42"/>
        <v>0</v>
      </c>
      <c r="T150" s="3">
        <f>IF(AND($K150=1,AND(对接源_01水果!$X150="公司筐",N(对接源_01水果!$V150)&lt;&gt;0)),1,0)</f>
        <v>0</v>
      </c>
      <c r="U150" s="3">
        <f t="shared" si="43"/>
        <v>0</v>
      </c>
      <c r="V150" s="3">
        <f>IF(AND($L150=1,AND(对接源_01水果!$X150="自备筐",N(对接源_01水果!$V150)&lt;&gt;0)),1,0)</f>
        <v>0</v>
      </c>
      <c r="W150" s="3">
        <f t="shared" si="44"/>
        <v>0</v>
      </c>
      <c r="X150" s="3">
        <f>IF(AND($L150=1,AND(对接源_01水果!$X150="自备筐",N(对接源_01水果!$T150)&lt;&gt;0)),1,0)</f>
        <v>0</v>
      </c>
      <c r="Y150" s="3">
        <f t="shared" si="45"/>
        <v>0</v>
      </c>
      <c r="Z150" s="3">
        <f>IF(AND($M150=1,对接源_01水果!$D150="原料入库"),1,0)</f>
        <v>1</v>
      </c>
      <c r="AA150" s="3">
        <f t="shared" si="46"/>
        <v>3</v>
      </c>
      <c r="AB150" s="3">
        <f>IF(AND($M150=1,LEFT(对接源_01水果!$D150,4)="原料出库"),1,0)</f>
        <v>0</v>
      </c>
      <c r="AC150" s="3">
        <f t="shared" si="47"/>
        <v>0</v>
      </c>
      <c r="AD150" s="3">
        <f>IF(AND($M150=1,LEFT(对接源_01水果!$D150,4)="成品出库"),1,0)</f>
        <v>0</v>
      </c>
      <c r="AE150" s="3">
        <f t="shared" si="48"/>
        <v>0</v>
      </c>
      <c r="AF150" s="3">
        <f>IF(AND($N150=1,AND(LEFT(对接源_01水果!$D150,4)="包装物料",N(对接源_01水果!$K150)&lt;&gt;0)),1,0)</f>
        <v>0</v>
      </c>
      <c r="AG150" s="3">
        <f t="shared" si="49"/>
        <v>0</v>
      </c>
      <c r="AH150" s="3">
        <f>IF(AND($N150=1,AND(对接源_01水果!$D150="周转筐－销售出库",N(对接源_01水果!$K150)&lt;&gt;0)),1,0)</f>
        <v>0</v>
      </c>
      <c r="AI150" s="3">
        <f t="shared" si="50"/>
        <v>0</v>
      </c>
      <c r="AJ150" s="7"/>
      <c r="AL150" s="3">
        <f>IF(OR($AL$1="",对接源_01水果!$Y150="",对接源_01水果!$Y150&lt;&gt;$AL$1,对接源_01水果!$B150="",N(对接源_01水果!$AJ150)&lt;=0),0,IF(OR(N(对接源_01水果!$B150)&lt;$AL$2,N(对接源_01水果!$B150)&gt;$AL$3),0,1))</f>
        <v>0</v>
      </c>
      <c r="AM150" s="3">
        <f t="shared" si="51"/>
        <v>0</v>
      </c>
      <c r="AN150" s="3" t="str">
        <f>IF(对接源_01水果!$AC150="","",对接源_01水果!$AC150)</f>
        <v/>
      </c>
      <c r="AO150" s="3">
        <f t="shared" si="52"/>
        <v>0</v>
      </c>
      <c r="AP150" s="3">
        <f t="shared" si="53"/>
        <v>0</v>
      </c>
      <c r="AQ150" s="3" t="str">
        <f t="shared" si="54"/>
        <v/>
      </c>
      <c r="AR150">
        <f t="shared" si="55"/>
        <v>0</v>
      </c>
      <c r="AS150">
        <f t="shared" si="56"/>
        <v>0</v>
      </c>
    </row>
    <row r="151" ht="14.25" customHeight="1" spans="1:45">
      <c r="A151" s="3" t="str">
        <f>IF(对接源_01水果!$C151="","",对接源_01水果!$C151)</f>
        <v>马锦祥</v>
      </c>
      <c r="B151" s="3">
        <f t="shared" si="38"/>
        <v>0</v>
      </c>
      <c r="C151" s="3">
        <f t="shared" si="39"/>
        <v>6</v>
      </c>
      <c r="E151" s="3" t="str">
        <f t="shared" si="40"/>
        <v/>
      </c>
      <c r="K151" s="3">
        <f>IF(OR($K$1="",对接源_01水果!$C151="",对接源_01水果!$C151&lt;&gt;$K$1,对接源_01水果!$B151=""),0,IF(OR(N(对接源_01水果!$B151)&lt;$K$2,N(对接源_01水果!$B151)&gt;$K$3),0,1))</f>
        <v>0</v>
      </c>
      <c r="L151" s="3">
        <f>IF(OR($L$1="",对接源_01水果!$C151="",对接源_01水果!$C151&lt;&gt;$L$1,对接源_01水果!$B151=""),0,IF(OR(N(对接源_01水果!$B151)&lt;$L$2,N(对接源_01水果!$B151)&gt;$L$3),0,1))</f>
        <v>0</v>
      </c>
      <c r="M151" s="3">
        <f>IF(OR($M$1="",对接源_01水果!$C151="",对接源_01水果!$C151&lt;&gt;$M$1,对接源_01水果!$B151=""),0,IF(OR(N(对接源_01水果!$B151)&lt;$M$2,N(对接源_01水果!$B151)&gt;$M$3),0,1))</f>
        <v>0</v>
      </c>
      <c r="N151" s="3">
        <f>IF(OR($N$1="",对接源_01水果!$C151="",对接源_01水果!$C151&lt;&gt;$N$1,对接源_01水果!$B151=""),0,IF(OR(N(对接源_01水果!$B151)&lt;$N$2,N(对接源_01水果!$B151)&gt;$N$3),0,1))</f>
        <v>0</v>
      </c>
      <c r="P151" s="3">
        <f>IF(AND($K151=1,AND(对接源_01水果!$X151="公司筐",N(对接源_01水果!$T151)&lt;&gt;0)),1,0)</f>
        <v>0</v>
      </c>
      <c r="Q151" s="3">
        <f t="shared" si="41"/>
        <v>0</v>
      </c>
      <c r="R151" s="3">
        <f>IF(AND($K151=1,AND(对接源_01水果!$X151="公司筐",N(对接源_01水果!$U151)&lt;&gt;0)),1,0)</f>
        <v>0</v>
      </c>
      <c r="S151" s="3">
        <f t="shared" si="42"/>
        <v>0</v>
      </c>
      <c r="T151" s="3">
        <f>IF(AND($K151=1,AND(对接源_01水果!$X151="公司筐",N(对接源_01水果!$V151)&lt;&gt;0)),1,0)</f>
        <v>0</v>
      </c>
      <c r="U151" s="3">
        <f t="shared" si="43"/>
        <v>0</v>
      </c>
      <c r="V151" s="3">
        <f>IF(AND($L151=1,AND(对接源_01水果!$X151="自备筐",N(对接源_01水果!$V151)&lt;&gt;0)),1,0)</f>
        <v>0</v>
      </c>
      <c r="W151" s="3">
        <f t="shared" si="44"/>
        <v>0</v>
      </c>
      <c r="X151" s="3">
        <f>IF(AND($L151=1,AND(对接源_01水果!$X151="自备筐",N(对接源_01水果!$T151)&lt;&gt;0)),1,0)</f>
        <v>0</v>
      </c>
      <c r="Y151" s="3">
        <f t="shared" si="45"/>
        <v>0</v>
      </c>
      <c r="Z151" s="3">
        <f>IF(AND($M151=1,对接源_01水果!$D151="原料入库"),1,0)</f>
        <v>0</v>
      </c>
      <c r="AA151" s="3">
        <f t="shared" si="46"/>
        <v>3</v>
      </c>
      <c r="AB151" s="3">
        <f>IF(AND($M151=1,LEFT(对接源_01水果!$D151,4)="原料出库"),1,0)</f>
        <v>0</v>
      </c>
      <c r="AC151" s="3">
        <f t="shared" si="47"/>
        <v>0</v>
      </c>
      <c r="AD151" s="3">
        <f>IF(AND($M151=1,LEFT(对接源_01水果!$D151,4)="成品出库"),1,0)</f>
        <v>0</v>
      </c>
      <c r="AE151" s="3">
        <f t="shared" si="48"/>
        <v>0</v>
      </c>
      <c r="AF151" s="3">
        <f>IF(AND($N151=1,AND(LEFT(对接源_01水果!$D151,4)="包装物料",N(对接源_01水果!$K151)&lt;&gt;0)),1,0)</f>
        <v>0</v>
      </c>
      <c r="AG151" s="3">
        <f t="shared" si="49"/>
        <v>0</v>
      </c>
      <c r="AH151" s="3">
        <f>IF(AND($N151=1,AND(对接源_01水果!$D151="周转筐－销售出库",N(对接源_01水果!$K151)&lt;&gt;0)),1,0)</f>
        <v>0</v>
      </c>
      <c r="AI151" s="3">
        <f t="shared" si="50"/>
        <v>0</v>
      </c>
      <c r="AJ151" s="7"/>
      <c r="AL151" s="3">
        <f>IF(OR($AL$1="",对接源_01水果!$Y151="",对接源_01水果!$Y151&lt;&gt;$AL$1,对接源_01水果!$B151="",N(对接源_01水果!$AJ151)&lt;=0),0,IF(OR(N(对接源_01水果!$B151)&lt;$AL$2,N(对接源_01水果!$B151)&gt;$AL$3),0,1))</f>
        <v>0</v>
      </c>
      <c r="AM151" s="3">
        <f t="shared" si="51"/>
        <v>0</v>
      </c>
      <c r="AN151" s="3" t="str">
        <f>IF(对接源_01水果!$AC151="","",对接源_01水果!$AC151)</f>
        <v/>
      </c>
      <c r="AO151" s="3">
        <f t="shared" si="52"/>
        <v>0</v>
      </c>
      <c r="AP151" s="3">
        <f t="shared" si="53"/>
        <v>0</v>
      </c>
      <c r="AQ151" s="3" t="str">
        <f t="shared" si="54"/>
        <v/>
      </c>
      <c r="AR151">
        <f t="shared" si="55"/>
        <v>0</v>
      </c>
      <c r="AS151">
        <f t="shared" si="56"/>
        <v>0</v>
      </c>
    </row>
    <row r="152" ht="14.25" customHeight="1" spans="1:45">
      <c r="A152" s="3" t="str">
        <f>IF(对接源_01水果!$C152="","",对接源_01水果!$C152)</f>
        <v>马锦祥</v>
      </c>
      <c r="B152" s="3">
        <f t="shared" si="38"/>
        <v>0</v>
      </c>
      <c r="C152" s="3">
        <f t="shared" si="39"/>
        <v>6</v>
      </c>
      <c r="E152" s="3" t="str">
        <f t="shared" si="40"/>
        <v/>
      </c>
      <c r="K152" s="3">
        <f>IF(OR($K$1="",对接源_01水果!$C152="",对接源_01水果!$C152&lt;&gt;$K$1,对接源_01水果!$B152=""),0,IF(OR(N(对接源_01水果!$B152)&lt;$K$2,N(对接源_01水果!$B152)&gt;$K$3),0,1))</f>
        <v>0</v>
      </c>
      <c r="L152" s="3">
        <f>IF(OR($L$1="",对接源_01水果!$C152="",对接源_01水果!$C152&lt;&gt;$L$1,对接源_01水果!$B152=""),0,IF(OR(N(对接源_01水果!$B152)&lt;$L$2,N(对接源_01水果!$B152)&gt;$L$3),0,1))</f>
        <v>0</v>
      </c>
      <c r="M152" s="3">
        <f>IF(OR($M$1="",对接源_01水果!$C152="",对接源_01水果!$C152&lt;&gt;$M$1,对接源_01水果!$B152=""),0,IF(OR(N(对接源_01水果!$B152)&lt;$M$2,N(对接源_01水果!$B152)&gt;$M$3),0,1))</f>
        <v>0</v>
      </c>
      <c r="N152" s="3">
        <f>IF(OR($N$1="",对接源_01水果!$C152="",对接源_01水果!$C152&lt;&gt;$N$1,对接源_01水果!$B152=""),0,IF(OR(N(对接源_01水果!$B152)&lt;$N$2,N(对接源_01水果!$B152)&gt;$N$3),0,1))</f>
        <v>0</v>
      </c>
      <c r="P152" s="3">
        <f>IF(AND($K152=1,AND(对接源_01水果!$X152="公司筐",N(对接源_01水果!$T152)&lt;&gt;0)),1,0)</f>
        <v>0</v>
      </c>
      <c r="Q152" s="3">
        <f t="shared" si="41"/>
        <v>0</v>
      </c>
      <c r="R152" s="3">
        <f>IF(AND($K152=1,AND(对接源_01水果!$X152="公司筐",N(对接源_01水果!$U152)&lt;&gt;0)),1,0)</f>
        <v>0</v>
      </c>
      <c r="S152" s="3">
        <f t="shared" si="42"/>
        <v>0</v>
      </c>
      <c r="T152" s="3">
        <f>IF(AND($K152=1,AND(对接源_01水果!$X152="公司筐",N(对接源_01水果!$V152)&lt;&gt;0)),1,0)</f>
        <v>0</v>
      </c>
      <c r="U152" s="3">
        <f t="shared" si="43"/>
        <v>0</v>
      </c>
      <c r="V152" s="3">
        <f>IF(AND($L152=1,AND(对接源_01水果!$X152="自备筐",N(对接源_01水果!$V152)&lt;&gt;0)),1,0)</f>
        <v>0</v>
      </c>
      <c r="W152" s="3">
        <f t="shared" si="44"/>
        <v>0</v>
      </c>
      <c r="X152" s="3">
        <f>IF(AND($L152=1,AND(对接源_01水果!$X152="自备筐",N(对接源_01水果!$T152)&lt;&gt;0)),1,0)</f>
        <v>0</v>
      </c>
      <c r="Y152" s="3">
        <f t="shared" si="45"/>
        <v>0</v>
      </c>
      <c r="Z152" s="3">
        <f>IF(AND($M152=1,对接源_01水果!$D152="原料入库"),1,0)</f>
        <v>0</v>
      </c>
      <c r="AA152" s="3">
        <f t="shared" si="46"/>
        <v>3</v>
      </c>
      <c r="AB152" s="3">
        <f>IF(AND($M152=1,LEFT(对接源_01水果!$D152,4)="原料出库"),1,0)</f>
        <v>0</v>
      </c>
      <c r="AC152" s="3">
        <f t="shared" si="47"/>
        <v>0</v>
      </c>
      <c r="AD152" s="3">
        <f>IF(AND($M152=1,LEFT(对接源_01水果!$D152,4)="成品出库"),1,0)</f>
        <v>0</v>
      </c>
      <c r="AE152" s="3">
        <f t="shared" si="48"/>
        <v>0</v>
      </c>
      <c r="AF152" s="3">
        <f>IF(AND($N152=1,AND(LEFT(对接源_01水果!$D152,4)="包装物料",N(对接源_01水果!$K152)&lt;&gt;0)),1,0)</f>
        <v>0</v>
      </c>
      <c r="AG152" s="3">
        <f t="shared" si="49"/>
        <v>0</v>
      </c>
      <c r="AH152" s="3">
        <f>IF(AND($N152=1,AND(对接源_01水果!$D152="周转筐－销售出库",N(对接源_01水果!$K152)&lt;&gt;0)),1,0)</f>
        <v>0</v>
      </c>
      <c r="AI152" s="3">
        <f t="shared" si="50"/>
        <v>0</v>
      </c>
      <c r="AJ152" s="7"/>
      <c r="AL152" s="3">
        <f>IF(OR($AL$1="",对接源_01水果!$Y152="",对接源_01水果!$Y152&lt;&gt;$AL$1,对接源_01水果!$B152="",N(对接源_01水果!$AJ152)&lt;=0),0,IF(OR(N(对接源_01水果!$B152)&lt;$AL$2,N(对接源_01水果!$B152)&gt;$AL$3),0,1))</f>
        <v>0</v>
      </c>
      <c r="AM152" s="3">
        <f t="shared" si="51"/>
        <v>0</v>
      </c>
      <c r="AN152" s="3" t="str">
        <f>IF(对接源_01水果!$AC152="","",对接源_01水果!$AC152)</f>
        <v/>
      </c>
      <c r="AO152" s="3">
        <f t="shared" si="52"/>
        <v>0</v>
      </c>
      <c r="AP152" s="3">
        <f t="shared" si="53"/>
        <v>0</v>
      </c>
      <c r="AQ152" s="3" t="str">
        <f t="shared" si="54"/>
        <v/>
      </c>
      <c r="AR152">
        <f t="shared" si="55"/>
        <v>0</v>
      </c>
      <c r="AS152">
        <f t="shared" si="56"/>
        <v>0</v>
      </c>
    </row>
    <row r="153" ht="14.25" customHeight="1" spans="1:45">
      <c r="A153" s="3" t="str">
        <f>IF(对接源_01水果!$C153="","",对接源_01水果!$C153)</f>
        <v>马锦祥</v>
      </c>
      <c r="B153" s="3">
        <f t="shared" si="38"/>
        <v>0</v>
      </c>
      <c r="C153" s="3">
        <f t="shared" si="39"/>
        <v>6</v>
      </c>
      <c r="E153" s="3" t="str">
        <f t="shared" si="40"/>
        <v/>
      </c>
      <c r="K153" s="3">
        <f>IF(OR($K$1="",对接源_01水果!$C153="",对接源_01水果!$C153&lt;&gt;$K$1,对接源_01水果!$B153=""),0,IF(OR(N(对接源_01水果!$B153)&lt;$K$2,N(对接源_01水果!$B153)&gt;$K$3),0,1))</f>
        <v>0</v>
      </c>
      <c r="L153" s="3">
        <f>IF(OR($L$1="",对接源_01水果!$C153="",对接源_01水果!$C153&lt;&gt;$L$1,对接源_01水果!$B153=""),0,IF(OR(N(对接源_01水果!$B153)&lt;$L$2,N(对接源_01水果!$B153)&gt;$L$3),0,1))</f>
        <v>0</v>
      </c>
      <c r="M153" s="3">
        <f>IF(OR($M$1="",对接源_01水果!$C153="",对接源_01水果!$C153&lt;&gt;$M$1,对接源_01水果!$B153=""),0,IF(OR(N(对接源_01水果!$B153)&lt;$M$2,N(对接源_01水果!$B153)&gt;$M$3),0,1))</f>
        <v>0</v>
      </c>
      <c r="N153" s="3">
        <f>IF(OR($N$1="",对接源_01水果!$C153="",对接源_01水果!$C153&lt;&gt;$N$1,对接源_01水果!$B153=""),0,IF(OR(N(对接源_01水果!$B153)&lt;$N$2,N(对接源_01水果!$B153)&gt;$N$3),0,1))</f>
        <v>0</v>
      </c>
      <c r="P153" s="3">
        <f>IF(AND($K153=1,AND(对接源_01水果!$X153="公司筐",N(对接源_01水果!$T153)&lt;&gt;0)),1,0)</f>
        <v>0</v>
      </c>
      <c r="Q153" s="3">
        <f t="shared" si="41"/>
        <v>0</v>
      </c>
      <c r="R153" s="3">
        <f>IF(AND($K153=1,AND(对接源_01水果!$X153="公司筐",N(对接源_01水果!$U153)&lt;&gt;0)),1,0)</f>
        <v>0</v>
      </c>
      <c r="S153" s="3">
        <f t="shared" si="42"/>
        <v>0</v>
      </c>
      <c r="T153" s="3">
        <f>IF(AND($K153=1,AND(对接源_01水果!$X153="公司筐",N(对接源_01水果!$V153)&lt;&gt;0)),1,0)</f>
        <v>0</v>
      </c>
      <c r="U153" s="3">
        <f t="shared" si="43"/>
        <v>0</v>
      </c>
      <c r="V153" s="3">
        <f>IF(AND($L153=1,AND(对接源_01水果!$X153="自备筐",N(对接源_01水果!$V153)&lt;&gt;0)),1,0)</f>
        <v>0</v>
      </c>
      <c r="W153" s="3">
        <f t="shared" si="44"/>
        <v>0</v>
      </c>
      <c r="X153" s="3">
        <f>IF(AND($L153=1,AND(对接源_01水果!$X153="自备筐",N(对接源_01水果!$T153)&lt;&gt;0)),1,0)</f>
        <v>0</v>
      </c>
      <c r="Y153" s="3">
        <f t="shared" si="45"/>
        <v>0</v>
      </c>
      <c r="Z153" s="3">
        <f>IF(AND($M153=1,对接源_01水果!$D153="原料入库"),1,0)</f>
        <v>0</v>
      </c>
      <c r="AA153" s="3">
        <f t="shared" si="46"/>
        <v>3</v>
      </c>
      <c r="AB153" s="3">
        <f>IF(AND($M153=1,LEFT(对接源_01水果!$D153,4)="原料出库"),1,0)</f>
        <v>0</v>
      </c>
      <c r="AC153" s="3">
        <f t="shared" si="47"/>
        <v>0</v>
      </c>
      <c r="AD153" s="3">
        <f>IF(AND($M153=1,LEFT(对接源_01水果!$D153,4)="成品出库"),1,0)</f>
        <v>0</v>
      </c>
      <c r="AE153" s="3">
        <f t="shared" si="48"/>
        <v>0</v>
      </c>
      <c r="AF153" s="3">
        <f>IF(AND($N153=1,AND(LEFT(对接源_01水果!$D153,4)="包装物料",N(对接源_01水果!$K153)&lt;&gt;0)),1,0)</f>
        <v>0</v>
      </c>
      <c r="AG153" s="3">
        <f t="shared" si="49"/>
        <v>0</v>
      </c>
      <c r="AH153" s="3">
        <f>IF(AND($N153=1,AND(对接源_01水果!$D153="周转筐－销售出库",N(对接源_01水果!$K153)&lt;&gt;0)),1,0)</f>
        <v>0</v>
      </c>
      <c r="AI153" s="3">
        <f t="shared" si="50"/>
        <v>0</v>
      </c>
      <c r="AJ153" s="7"/>
      <c r="AL153" s="3">
        <f>IF(OR($AL$1="",对接源_01水果!$Y153="",对接源_01水果!$Y153&lt;&gt;$AL$1,对接源_01水果!$B153="",N(对接源_01水果!$AJ153)&lt;=0),0,IF(OR(N(对接源_01水果!$B153)&lt;$AL$2,N(对接源_01水果!$B153)&gt;$AL$3),0,1))</f>
        <v>0</v>
      </c>
      <c r="AM153" s="3">
        <f t="shared" si="51"/>
        <v>0</v>
      </c>
      <c r="AN153" s="3" t="str">
        <f>IF(对接源_01水果!$AC153="","",对接源_01水果!$AC153)</f>
        <v/>
      </c>
      <c r="AO153" s="3">
        <f t="shared" si="52"/>
        <v>0</v>
      </c>
      <c r="AP153" s="3">
        <f t="shared" si="53"/>
        <v>0</v>
      </c>
      <c r="AQ153" s="3" t="str">
        <f t="shared" si="54"/>
        <v/>
      </c>
      <c r="AR153">
        <f t="shared" si="55"/>
        <v>0</v>
      </c>
      <c r="AS153">
        <f t="shared" si="56"/>
        <v>0</v>
      </c>
    </row>
    <row r="154" ht="14.25" customHeight="1" spans="1:45">
      <c r="A154" s="3" t="str">
        <f>IF(对接源_01水果!$C154="","",对接源_01水果!$C154)</f>
        <v>热合曼</v>
      </c>
      <c r="B154" s="3">
        <f t="shared" si="38"/>
        <v>1</v>
      </c>
      <c r="C154" s="3">
        <f t="shared" si="39"/>
        <v>7</v>
      </c>
      <c r="E154" s="3" t="str">
        <f t="shared" si="40"/>
        <v/>
      </c>
      <c r="K154" s="3">
        <f>IF(OR($K$1="",对接源_01水果!$C154="",对接源_01水果!$C154&lt;&gt;$K$1,对接源_01水果!$B154=""),0,IF(OR(N(对接源_01水果!$B154)&lt;$K$2,N(对接源_01水果!$B154)&gt;$K$3),0,1))</f>
        <v>0</v>
      </c>
      <c r="L154" s="3">
        <f>IF(OR($L$1="",对接源_01水果!$C154="",对接源_01水果!$C154&lt;&gt;$L$1,对接源_01水果!$B154=""),0,IF(OR(N(对接源_01水果!$B154)&lt;$L$2,N(对接源_01水果!$B154)&gt;$L$3),0,1))</f>
        <v>0</v>
      </c>
      <c r="M154" s="3">
        <f>IF(OR($M$1="",对接源_01水果!$C154="",对接源_01水果!$C154&lt;&gt;$M$1,对接源_01水果!$B154=""),0,IF(OR(N(对接源_01水果!$B154)&lt;$M$2,N(对接源_01水果!$B154)&gt;$M$3),0,1))</f>
        <v>0</v>
      </c>
      <c r="N154" s="3">
        <f>IF(OR($N$1="",对接源_01水果!$C154="",对接源_01水果!$C154&lt;&gt;$N$1,对接源_01水果!$B154=""),0,IF(OR(N(对接源_01水果!$B154)&lt;$N$2,N(对接源_01水果!$B154)&gt;$N$3),0,1))</f>
        <v>0</v>
      </c>
      <c r="P154" s="3">
        <f>IF(AND($K154=1,AND(对接源_01水果!$X154="公司筐",N(对接源_01水果!$T154)&lt;&gt;0)),1,0)</f>
        <v>0</v>
      </c>
      <c r="Q154" s="3">
        <f t="shared" si="41"/>
        <v>0</v>
      </c>
      <c r="R154" s="3">
        <f>IF(AND($K154=1,AND(对接源_01水果!$X154="公司筐",N(对接源_01水果!$U154)&lt;&gt;0)),1,0)</f>
        <v>0</v>
      </c>
      <c r="S154" s="3">
        <f t="shared" si="42"/>
        <v>0</v>
      </c>
      <c r="T154" s="3">
        <f>IF(AND($K154=1,AND(对接源_01水果!$X154="公司筐",N(对接源_01水果!$V154)&lt;&gt;0)),1,0)</f>
        <v>0</v>
      </c>
      <c r="U154" s="3">
        <f t="shared" si="43"/>
        <v>0</v>
      </c>
      <c r="V154" s="3">
        <f>IF(AND($L154=1,AND(对接源_01水果!$X154="自备筐",N(对接源_01水果!$V154)&lt;&gt;0)),1,0)</f>
        <v>0</v>
      </c>
      <c r="W154" s="3">
        <f t="shared" si="44"/>
        <v>0</v>
      </c>
      <c r="X154" s="3">
        <f>IF(AND($L154=1,AND(对接源_01水果!$X154="自备筐",N(对接源_01水果!$T154)&lt;&gt;0)),1,0)</f>
        <v>0</v>
      </c>
      <c r="Y154" s="3">
        <f t="shared" si="45"/>
        <v>0</v>
      </c>
      <c r="Z154" s="3">
        <f>IF(AND($M154=1,对接源_01水果!$D154="原料入库"),1,0)</f>
        <v>0</v>
      </c>
      <c r="AA154" s="3">
        <f t="shared" si="46"/>
        <v>3</v>
      </c>
      <c r="AB154" s="3">
        <f>IF(AND($M154=1,LEFT(对接源_01水果!$D154,4)="原料出库"),1,0)</f>
        <v>0</v>
      </c>
      <c r="AC154" s="3">
        <f t="shared" si="47"/>
        <v>0</v>
      </c>
      <c r="AD154" s="3">
        <f>IF(AND($M154=1,LEFT(对接源_01水果!$D154,4)="成品出库"),1,0)</f>
        <v>0</v>
      </c>
      <c r="AE154" s="3">
        <f t="shared" si="48"/>
        <v>0</v>
      </c>
      <c r="AF154" s="3">
        <f>IF(AND($N154=1,AND(LEFT(对接源_01水果!$D154,4)="包装物料",N(对接源_01水果!$K154)&lt;&gt;0)),1,0)</f>
        <v>0</v>
      </c>
      <c r="AG154" s="3">
        <f t="shared" si="49"/>
        <v>0</v>
      </c>
      <c r="AH154" s="3">
        <f>IF(AND($N154=1,AND(对接源_01水果!$D154="周转筐－销售出库",N(对接源_01水果!$K154)&lt;&gt;0)),1,0)</f>
        <v>0</v>
      </c>
      <c r="AI154" s="3">
        <f t="shared" si="50"/>
        <v>0</v>
      </c>
      <c r="AJ154" s="7"/>
      <c r="AL154" s="3">
        <f>IF(OR($AL$1="",对接源_01水果!$Y154="",对接源_01水果!$Y154&lt;&gt;$AL$1,对接源_01水果!$B154="",N(对接源_01水果!$AJ154)&lt;=0),0,IF(OR(N(对接源_01水果!$B154)&lt;$AL$2,N(对接源_01水果!$B154)&gt;$AL$3),0,1))</f>
        <v>0</v>
      </c>
      <c r="AM154" s="3">
        <f t="shared" si="51"/>
        <v>0</v>
      </c>
      <c r="AN154" s="3" t="str">
        <f>IF(对接源_01水果!$AC154="","",对接源_01水果!$AC154)</f>
        <v/>
      </c>
      <c r="AO154" s="3">
        <f t="shared" si="52"/>
        <v>0</v>
      </c>
      <c r="AP154" s="3">
        <f t="shared" si="53"/>
        <v>0</v>
      </c>
      <c r="AQ154" s="3" t="str">
        <f t="shared" si="54"/>
        <v/>
      </c>
      <c r="AR154">
        <f t="shared" si="55"/>
        <v>0</v>
      </c>
      <c r="AS154">
        <f t="shared" si="56"/>
        <v>0</v>
      </c>
    </row>
    <row r="155" ht="14.25" customHeight="1" spans="1:45">
      <c r="A155" s="3" t="str">
        <f>IF(对接源_01水果!$C155="","",对接源_01水果!$C155)</f>
        <v>热合曼</v>
      </c>
      <c r="B155" s="3">
        <f t="shared" si="38"/>
        <v>0</v>
      </c>
      <c r="C155" s="3">
        <f t="shared" si="39"/>
        <v>7</v>
      </c>
      <c r="E155" s="3" t="str">
        <f t="shared" si="40"/>
        <v/>
      </c>
      <c r="K155" s="3">
        <f>IF(OR($K$1="",对接源_01水果!$C155="",对接源_01水果!$C155&lt;&gt;$K$1,对接源_01水果!$B155=""),0,IF(OR(N(对接源_01水果!$B155)&lt;$K$2,N(对接源_01水果!$B155)&gt;$K$3),0,1))</f>
        <v>0</v>
      </c>
      <c r="L155" s="3">
        <f>IF(OR($L$1="",对接源_01水果!$C155="",对接源_01水果!$C155&lt;&gt;$L$1,对接源_01水果!$B155=""),0,IF(OR(N(对接源_01水果!$B155)&lt;$L$2,N(对接源_01水果!$B155)&gt;$L$3),0,1))</f>
        <v>0</v>
      </c>
      <c r="M155" s="3">
        <f>IF(OR($M$1="",对接源_01水果!$C155="",对接源_01水果!$C155&lt;&gt;$M$1,对接源_01水果!$B155=""),0,IF(OR(N(对接源_01水果!$B155)&lt;$M$2,N(对接源_01水果!$B155)&gt;$M$3),0,1))</f>
        <v>0</v>
      </c>
      <c r="N155" s="3">
        <f>IF(OR($N$1="",对接源_01水果!$C155="",对接源_01水果!$C155&lt;&gt;$N$1,对接源_01水果!$B155=""),0,IF(OR(N(对接源_01水果!$B155)&lt;$N$2,N(对接源_01水果!$B155)&gt;$N$3),0,1))</f>
        <v>0</v>
      </c>
      <c r="P155" s="3">
        <f>IF(AND($K155=1,AND(对接源_01水果!$X155="公司筐",N(对接源_01水果!$T155)&lt;&gt;0)),1,0)</f>
        <v>0</v>
      </c>
      <c r="Q155" s="3">
        <f t="shared" si="41"/>
        <v>0</v>
      </c>
      <c r="R155" s="3">
        <f>IF(AND($K155=1,AND(对接源_01水果!$X155="公司筐",N(对接源_01水果!$U155)&lt;&gt;0)),1,0)</f>
        <v>0</v>
      </c>
      <c r="S155" s="3">
        <f t="shared" si="42"/>
        <v>0</v>
      </c>
      <c r="T155" s="3">
        <f>IF(AND($K155=1,AND(对接源_01水果!$X155="公司筐",N(对接源_01水果!$V155)&lt;&gt;0)),1,0)</f>
        <v>0</v>
      </c>
      <c r="U155" s="3">
        <f t="shared" si="43"/>
        <v>0</v>
      </c>
      <c r="V155" s="3">
        <f>IF(AND($L155=1,AND(对接源_01水果!$X155="自备筐",N(对接源_01水果!$V155)&lt;&gt;0)),1,0)</f>
        <v>0</v>
      </c>
      <c r="W155" s="3">
        <f t="shared" si="44"/>
        <v>0</v>
      </c>
      <c r="X155" s="3">
        <f>IF(AND($L155=1,AND(对接源_01水果!$X155="自备筐",N(对接源_01水果!$T155)&lt;&gt;0)),1,0)</f>
        <v>0</v>
      </c>
      <c r="Y155" s="3">
        <f t="shared" si="45"/>
        <v>0</v>
      </c>
      <c r="Z155" s="3">
        <f>IF(AND($M155=1,对接源_01水果!$D155="原料入库"),1,0)</f>
        <v>0</v>
      </c>
      <c r="AA155" s="3">
        <f t="shared" si="46"/>
        <v>3</v>
      </c>
      <c r="AB155" s="3">
        <f>IF(AND($M155=1,LEFT(对接源_01水果!$D155,4)="原料出库"),1,0)</f>
        <v>0</v>
      </c>
      <c r="AC155" s="3">
        <f t="shared" si="47"/>
        <v>0</v>
      </c>
      <c r="AD155" s="3">
        <f>IF(AND($M155=1,LEFT(对接源_01水果!$D155,4)="成品出库"),1,0)</f>
        <v>0</v>
      </c>
      <c r="AE155" s="3">
        <f t="shared" si="48"/>
        <v>0</v>
      </c>
      <c r="AF155" s="3">
        <f>IF(AND($N155=1,AND(LEFT(对接源_01水果!$D155,4)="包装物料",N(对接源_01水果!$K155)&lt;&gt;0)),1,0)</f>
        <v>0</v>
      </c>
      <c r="AG155" s="3">
        <f t="shared" si="49"/>
        <v>0</v>
      </c>
      <c r="AH155" s="3">
        <f>IF(AND($N155=1,AND(对接源_01水果!$D155="周转筐－销售出库",N(对接源_01水果!$K155)&lt;&gt;0)),1,0)</f>
        <v>0</v>
      </c>
      <c r="AI155" s="3">
        <f t="shared" si="50"/>
        <v>0</v>
      </c>
      <c r="AJ155" s="7"/>
      <c r="AL155" s="3">
        <f>IF(OR($AL$1="",对接源_01水果!$Y155="",对接源_01水果!$Y155&lt;&gt;$AL$1,对接源_01水果!$B155="",N(对接源_01水果!$AJ155)&lt;=0),0,IF(OR(N(对接源_01水果!$B155)&lt;$AL$2,N(对接源_01水果!$B155)&gt;$AL$3),0,1))</f>
        <v>0</v>
      </c>
      <c r="AM155" s="3">
        <f t="shared" si="51"/>
        <v>0</v>
      </c>
      <c r="AN155" s="3" t="str">
        <f>IF(对接源_01水果!$AC155="","",对接源_01水果!$AC155)</f>
        <v/>
      </c>
      <c r="AO155" s="3">
        <f t="shared" si="52"/>
        <v>0</v>
      </c>
      <c r="AP155" s="3">
        <f t="shared" si="53"/>
        <v>0</v>
      </c>
      <c r="AQ155" s="3" t="str">
        <f t="shared" si="54"/>
        <v/>
      </c>
      <c r="AR155">
        <f t="shared" si="55"/>
        <v>0</v>
      </c>
      <c r="AS155">
        <f t="shared" si="56"/>
        <v>0</v>
      </c>
    </row>
    <row r="156" ht="14.25" customHeight="1" spans="1:45">
      <c r="A156" s="3" t="str">
        <f>IF(对接源_01水果!$C156="","",对接源_01水果!$C156)</f>
        <v>热合曼</v>
      </c>
      <c r="B156" s="3">
        <f t="shared" si="38"/>
        <v>0</v>
      </c>
      <c r="C156" s="3">
        <f t="shared" si="39"/>
        <v>7</v>
      </c>
      <c r="E156" s="3" t="str">
        <f t="shared" si="40"/>
        <v/>
      </c>
      <c r="K156" s="3">
        <f>IF(OR($K$1="",对接源_01水果!$C156="",对接源_01水果!$C156&lt;&gt;$K$1,对接源_01水果!$B156=""),0,IF(OR(N(对接源_01水果!$B156)&lt;$K$2,N(对接源_01水果!$B156)&gt;$K$3),0,1))</f>
        <v>0</v>
      </c>
      <c r="L156" s="3">
        <f>IF(OR($L$1="",对接源_01水果!$C156="",对接源_01水果!$C156&lt;&gt;$L$1,对接源_01水果!$B156=""),0,IF(OR(N(对接源_01水果!$B156)&lt;$L$2,N(对接源_01水果!$B156)&gt;$L$3),0,1))</f>
        <v>0</v>
      </c>
      <c r="M156" s="3">
        <f>IF(OR($M$1="",对接源_01水果!$C156="",对接源_01水果!$C156&lt;&gt;$M$1,对接源_01水果!$B156=""),0,IF(OR(N(对接源_01水果!$B156)&lt;$M$2,N(对接源_01水果!$B156)&gt;$M$3),0,1))</f>
        <v>0</v>
      </c>
      <c r="N156" s="3">
        <f>IF(OR($N$1="",对接源_01水果!$C156="",对接源_01水果!$C156&lt;&gt;$N$1,对接源_01水果!$B156=""),0,IF(OR(N(对接源_01水果!$B156)&lt;$N$2,N(对接源_01水果!$B156)&gt;$N$3),0,1))</f>
        <v>0</v>
      </c>
      <c r="P156" s="3">
        <f>IF(AND($K156=1,AND(对接源_01水果!$X156="公司筐",N(对接源_01水果!$T156)&lt;&gt;0)),1,0)</f>
        <v>0</v>
      </c>
      <c r="Q156" s="3">
        <f t="shared" si="41"/>
        <v>0</v>
      </c>
      <c r="R156" s="3">
        <f>IF(AND($K156=1,AND(对接源_01水果!$X156="公司筐",N(对接源_01水果!$U156)&lt;&gt;0)),1,0)</f>
        <v>0</v>
      </c>
      <c r="S156" s="3">
        <f t="shared" si="42"/>
        <v>0</v>
      </c>
      <c r="T156" s="3">
        <f>IF(AND($K156=1,AND(对接源_01水果!$X156="公司筐",N(对接源_01水果!$V156)&lt;&gt;0)),1,0)</f>
        <v>0</v>
      </c>
      <c r="U156" s="3">
        <f t="shared" si="43"/>
        <v>0</v>
      </c>
      <c r="V156" s="3">
        <f>IF(AND($L156=1,AND(对接源_01水果!$X156="自备筐",N(对接源_01水果!$V156)&lt;&gt;0)),1,0)</f>
        <v>0</v>
      </c>
      <c r="W156" s="3">
        <f t="shared" si="44"/>
        <v>0</v>
      </c>
      <c r="X156" s="3">
        <f>IF(AND($L156=1,AND(对接源_01水果!$X156="自备筐",N(对接源_01水果!$T156)&lt;&gt;0)),1,0)</f>
        <v>0</v>
      </c>
      <c r="Y156" s="3">
        <f t="shared" si="45"/>
        <v>0</v>
      </c>
      <c r="Z156" s="3">
        <f>IF(AND($M156=1,对接源_01水果!$D156="原料入库"),1,0)</f>
        <v>0</v>
      </c>
      <c r="AA156" s="3">
        <f t="shared" si="46"/>
        <v>3</v>
      </c>
      <c r="AB156" s="3">
        <f>IF(AND($M156=1,LEFT(对接源_01水果!$D156,4)="原料出库"),1,0)</f>
        <v>0</v>
      </c>
      <c r="AC156" s="3">
        <f t="shared" si="47"/>
        <v>0</v>
      </c>
      <c r="AD156" s="3">
        <f>IF(AND($M156=1,LEFT(对接源_01水果!$D156,4)="成品出库"),1,0)</f>
        <v>0</v>
      </c>
      <c r="AE156" s="3">
        <f t="shared" si="48"/>
        <v>0</v>
      </c>
      <c r="AF156" s="3">
        <f>IF(AND($N156=1,AND(LEFT(对接源_01水果!$D156,4)="包装物料",N(对接源_01水果!$K156)&lt;&gt;0)),1,0)</f>
        <v>0</v>
      </c>
      <c r="AG156" s="3">
        <f t="shared" si="49"/>
        <v>0</v>
      </c>
      <c r="AH156" s="3">
        <f>IF(AND($N156=1,AND(对接源_01水果!$D156="周转筐－销售出库",N(对接源_01水果!$K156)&lt;&gt;0)),1,0)</f>
        <v>0</v>
      </c>
      <c r="AI156" s="3">
        <f t="shared" si="50"/>
        <v>0</v>
      </c>
      <c r="AJ156" s="7"/>
      <c r="AL156" s="3">
        <f>IF(OR($AL$1="",对接源_01水果!$Y156="",对接源_01水果!$Y156&lt;&gt;$AL$1,对接源_01水果!$B156="",N(对接源_01水果!$AJ156)&lt;=0),0,IF(OR(N(对接源_01水果!$B156)&lt;$AL$2,N(对接源_01水果!$B156)&gt;$AL$3),0,1))</f>
        <v>0</v>
      </c>
      <c r="AM156" s="3">
        <f t="shared" si="51"/>
        <v>0</v>
      </c>
      <c r="AN156" s="3" t="str">
        <f>IF(对接源_01水果!$AC156="","",对接源_01水果!$AC156)</f>
        <v/>
      </c>
      <c r="AO156" s="3">
        <f t="shared" si="52"/>
        <v>0</v>
      </c>
      <c r="AP156" s="3">
        <f t="shared" si="53"/>
        <v>0</v>
      </c>
      <c r="AQ156" s="3" t="str">
        <f t="shared" si="54"/>
        <v/>
      </c>
      <c r="AR156">
        <f t="shared" si="55"/>
        <v>0</v>
      </c>
      <c r="AS156">
        <f t="shared" si="56"/>
        <v>0</v>
      </c>
    </row>
    <row r="157" ht="14.25" customHeight="1" spans="1:45">
      <c r="A157" s="3" t="str">
        <f>IF(对接源_01水果!$C157="","",对接源_01水果!$C157)</f>
        <v>贾建国</v>
      </c>
      <c r="B157" s="3">
        <f t="shared" si="38"/>
        <v>1</v>
      </c>
      <c r="C157" s="3">
        <f t="shared" si="39"/>
        <v>8</v>
      </c>
      <c r="E157" s="3" t="str">
        <f t="shared" si="40"/>
        <v/>
      </c>
      <c r="K157" s="3">
        <f>IF(OR($K$1="",对接源_01水果!$C157="",对接源_01水果!$C157&lt;&gt;$K$1,对接源_01水果!$B157=""),0,IF(OR(N(对接源_01水果!$B157)&lt;$K$2,N(对接源_01水果!$B157)&gt;$K$3),0,1))</f>
        <v>0</v>
      </c>
      <c r="L157" s="3">
        <f>IF(OR($L$1="",对接源_01水果!$C157="",对接源_01水果!$C157&lt;&gt;$L$1,对接源_01水果!$B157=""),0,IF(OR(N(对接源_01水果!$B157)&lt;$L$2,N(对接源_01水果!$B157)&gt;$L$3),0,1))</f>
        <v>1</v>
      </c>
      <c r="M157" s="3">
        <f>IF(OR($M$1="",对接源_01水果!$C157="",对接源_01水果!$C157&lt;&gt;$M$1,对接源_01水果!$B157=""),0,IF(OR(N(对接源_01水果!$B157)&lt;$M$2,N(对接源_01水果!$B157)&gt;$M$3),0,1))</f>
        <v>0</v>
      </c>
      <c r="N157" s="3">
        <f>IF(OR($N$1="",对接源_01水果!$C157="",对接源_01水果!$C157&lt;&gt;$N$1,对接源_01水果!$B157=""),0,IF(OR(N(对接源_01水果!$B157)&lt;$N$2,N(对接源_01水果!$B157)&gt;$N$3),0,1))</f>
        <v>0</v>
      </c>
      <c r="P157" s="3">
        <f>IF(AND($K157=1,AND(对接源_01水果!$X157="公司筐",N(对接源_01水果!$T157)&lt;&gt;0)),1,0)</f>
        <v>0</v>
      </c>
      <c r="Q157" s="3">
        <f t="shared" si="41"/>
        <v>0</v>
      </c>
      <c r="R157" s="3">
        <f>IF(AND($K157=1,AND(对接源_01水果!$X157="公司筐",N(对接源_01水果!$U157)&lt;&gt;0)),1,0)</f>
        <v>0</v>
      </c>
      <c r="S157" s="3">
        <f t="shared" si="42"/>
        <v>0</v>
      </c>
      <c r="T157" s="3">
        <f>IF(AND($K157=1,AND(对接源_01水果!$X157="公司筐",N(对接源_01水果!$V157)&lt;&gt;0)),1,0)</f>
        <v>0</v>
      </c>
      <c r="U157" s="3">
        <f t="shared" si="43"/>
        <v>0</v>
      </c>
      <c r="V157" s="3">
        <f>IF(AND($L157=1,AND(对接源_01水果!$X157="自备筐",N(对接源_01水果!$V157)&lt;&gt;0)),1,0)</f>
        <v>1</v>
      </c>
      <c r="W157" s="3">
        <f t="shared" si="44"/>
        <v>1</v>
      </c>
      <c r="X157" s="3">
        <f>IF(AND($L157=1,AND(对接源_01水果!$X157="自备筐",N(对接源_01水果!$T157)&lt;&gt;0)),1,0)</f>
        <v>0</v>
      </c>
      <c r="Y157" s="3">
        <f t="shared" si="45"/>
        <v>0</v>
      </c>
      <c r="Z157" s="3">
        <f>IF(AND($M157=1,对接源_01水果!$D157="原料入库"),1,0)</f>
        <v>0</v>
      </c>
      <c r="AA157" s="3">
        <f t="shared" si="46"/>
        <v>3</v>
      </c>
      <c r="AB157" s="3">
        <f>IF(AND($M157=1,LEFT(对接源_01水果!$D157,4)="原料出库"),1,0)</f>
        <v>0</v>
      </c>
      <c r="AC157" s="3">
        <f t="shared" si="47"/>
        <v>0</v>
      </c>
      <c r="AD157" s="3">
        <f>IF(AND($M157=1,LEFT(对接源_01水果!$D157,4)="成品出库"),1,0)</f>
        <v>0</v>
      </c>
      <c r="AE157" s="3">
        <f t="shared" si="48"/>
        <v>0</v>
      </c>
      <c r="AF157" s="3">
        <f>IF(AND($N157=1,AND(LEFT(对接源_01水果!$D157,4)="包装物料",N(对接源_01水果!$K157)&lt;&gt;0)),1,0)</f>
        <v>0</v>
      </c>
      <c r="AG157" s="3">
        <f t="shared" si="49"/>
        <v>0</v>
      </c>
      <c r="AH157" s="3">
        <f>IF(AND($N157=1,AND(对接源_01水果!$D157="周转筐－销售出库",N(对接源_01水果!$K157)&lt;&gt;0)),1,0)</f>
        <v>0</v>
      </c>
      <c r="AI157" s="3">
        <f t="shared" si="50"/>
        <v>0</v>
      </c>
      <c r="AJ157" s="7"/>
      <c r="AL157" s="3">
        <f>IF(OR($AL$1="",对接源_01水果!$Y157="",对接源_01水果!$Y157&lt;&gt;$AL$1,对接源_01水果!$B157="",N(对接源_01水果!$AJ157)&lt;=0),0,IF(OR(N(对接源_01水果!$B157)&lt;$AL$2,N(对接源_01水果!$B157)&gt;$AL$3),0,1))</f>
        <v>0</v>
      </c>
      <c r="AM157" s="3">
        <f t="shared" si="51"/>
        <v>0</v>
      </c>
      <c r="AN157" s="3" t="str">
        <f>IF(对接源_01水果!$AC157="","",对接源_01水果!$AC157)</f>
        <v/>
      </c>
      <c r="AO157" s="3">
        <f t="shared" si="52"/>
        <v>0</v>
      </c>
      <c r="AP157" s="3">
        <f t="shared" si="53"/>
        <v>0</v>
      </c>
      <c r="AQ157" s="3" t="str">
        <f t="shared" si="54"/>
        <v/>
      </c>
      <c r="AR157">
        <f t="shared" si="55"/>
        <v>0</v>
      </c>
      <c r="AS157">
        <f t="shared" si="56"/>
        <v>0</v>
      </c>
    </row>
    <row r="158" ht="14.25" customHeight="1" spans="1:45">
      <c r="A158" s="3" t="str">
        <f>IF(对接源_01水果!$C158="","",对接源_01水果!$C158)</f>
        <v>贾建国</v>
      </c>
      <c r="B158" s="3">
        <f t="shared" si="38"/>
        <v>0</v>
      </c>
      <c r="C158" s="3">
        <f t="shared" si="39"/>
        <v>8</v>
      </c>
      <c r="E158" s="3" t="str">
        <f t="shared" si="40"/>
        <v/>
      </c>
      <c r="K158" s="3">
        <f>IF(OR($K$1="",对接源_01水果!$C158="",对接源_01水果!$C158&lt;&gt;$K$1,对接源_01水果!$B158=""),0,IF(OR(N(对接源_01水果!$B158)&lt;$K$2,N(对接源_01水果!$B158)&gt;$K$3),0,1))</f>
        <v>0</v>
      </c>
      <c r="L158" s="3">
        <f>IF(OR($L$1="",对接源_01水果!$C158="",对接源_01水果!$C158&lt;&gt;$L$1,对接源_01水果!$B158=""),0,IF(OR(N(对接源_01水果!$B158)&lt;$L$2,N(对接源_01水果!$B158)&gt;$L$3),0,1))</f>
        <v>1</v>
      </c>
      <c r="M158" s="3">
        <f>IF(OR($M$1="",对接源_01水果!$C158="",对接源_01水果!$C158&lt;&gt;$M$1,对接源_01水果!$B158=""),0,IF(OR(N(对接源_01水果!$B158)&lt;$M$2,N(对接源_01水果!$B158)&gt;$M$3),0,1))</f>
        <v>0</v>
      </c>
      <c r="N158" s="3">
        <f>IF(OR($N$1="",对接源_01水果!$C158="",对接源_01水果!$C158&lt;&gt;$N$1,对接源_01水果!$B158=""),0,IF(OR(N(对接源_01水果!$B158)&lt;$N$2,N(对接源_01水果!$B158)&gt;$N$3),0,1))</f>
        <v>0</v>
      </c>
      <c r="P158" s="3">
        <f>IF(AND($K158=1,AND(对接源_01水果!$X158="公司筐",N(对接源_01水果!$T158)&lt;&gt;0)),1,0)</f>
        <v>0</v>
      </c>
      <c r="Q158" s="3">
        <f t="shared" si="41"/>
        <v>0</v>
      </c>
      <c r="R158" s="3">
        <f>IF(AND($K158=1,AND(对接源_01水果!$X158="公司筐",N(对接源_01水果!$U158)&lt;&gt;0)),1,0)</f>
        <v>0</v>
      </c>
      <c r="S158" s="3">
        <f t="shared" si="42"/>
        <v>0</v>
      </c>
      <c r="T158" s="3">
        <f>IF(AND($K158=1,AND(对接源_01水果!$X158="公司筐",N(对接源_01水果!$V158)&lt;&gt;0)),1,0)</f>
        <v>0</v>
      </c>
      <c r="U158" s="3">
        <f t="shared" si="43"/>
        <v>0</v>
      </c>
      <c r="V158" s="3">
        <f>IF(AND($L158=1,AND(对接源_01水果!$X158="自备筐",N(对接源_01水果!$V158)&lt;&gt;0)),1,0)</f>
        <v>1</v>
      </c>
      <c r="W158" s="3">
        <f t="shared" si="44"/>
        <v>2</v>
      </c>
      <c r="X158" s="3">
        <f>IF(AND($L158=1,AND(对接源_01水果!$X158="自备筐",N(对接源_01水果!$T158)&lt;&gt;0)),1,0)</f>
        <v>0</v>
      </c>
      <c r="Y158" s="3">
        <f t="shared" si="45"/>
        <v>0</v>
      </c>
      <c r="Z158" s="3">
        <f>IF(AND($M158=1,对接源_01水果!$D158="原料入库"),1,0)</f>
        <v>0</v>
      </c>
      <c r="AA158" s="3">
        <f t="shared" si="46"/>
        <v>3</v>
      </c>
      <c r="AB158" s="3">
        <f>IF(AND($M158=1,LEFT(对接源_01水果!$D158,4)="原料出库"),1,0)</f>
        <v>0</v>
      </c>
      <c r="AC158" s="3">
        <f t="shared" si="47"/>
        <v>0</v>
      </c>
      <c r="AD158" s="3">
        <f>IF(AND($M158=1,LEFT(对接源_01水果!$D158,4)="成品出库"),1,0)</f>
        <v>0</v>
      </c>
      <c r="AE158" s="3">
        <f t="shared" si="48"/>
        <v>0</v>
      </c>
      <c r="AF158" s="3">
        <f>IF(AND($N158=1,AND(LEFT(对接源_01水果!$D158,4)="包装物料",N(对接源_01水果!$K158)&lt;&gt;0)),1,0)</f>
        <v>0</v>
      </c>
      <c r="AG158" s="3">
        <f t="shared" si="49"/>
        <v>0</v>
      </c>
      <c r="AH158" s="3">
        <f>IF(AND($N158=1,AND(对接源_01水果!$D158="周转筐－销售出库",N(对接源_01水果!$K158)&lt;&gt;0)),1,0)</f>
        <v>0</v>
      </c>
      <c r="AI158" s="3">
        <f t="shared" si="50"/>
        <v>0</v>
      </c>
      <c r="AJ158" s="7"/>
      <c r="AL158" s="3">
        <f>IF(OR($AL$1="",对接源_01水果!$Y158="",对接源_01水果!$Y158&lt;&gt;$AL$1,对接源_01水果!$B158="",N(对接源_01水果!$AJ158)&lt;=0),0,IF(OR(N(对接源_01水果!$B158)&lt;$AL$2,N(对接源_01水果!$B158)&gt;$AL$3),0,1))</f>
        <v>0</v>
      </c>
      <c r="AM158" s="3">
        <f t="shared" si="51"/>
        <v>0</v>
      </c>
      <c r="AN158" s="3" t="str">
        <f>IF(对接源_01水果!$AC158="","",对接源_01水果!$AC158)</f>
        <v/>
      </c>
      <c r="AO158" s="3">
        <f t="shared" si="52"/>
        <v>0</v>
      </c>
      <c r="AP158" s="3">
        <f t="shared" si="53"/>
        <v>0</v>
      </c>
      <c r="AQ158" s="3" t="str">
        <f t="shared" si="54"/>
        <v/>
      </c>
      <c r="AR158">
        <f t="shared" si="55"/>
        <v>0</v>
      </c>
      <c r="AS158">
        <f t="shared" si="56"/>
        <v>0</v>
      </c>
    </row>
    <row r="159" ht="14.25" customHeight="1" spans="1:45">
      <c r="A159" s="3" t="str">
        <f>IF(对接源_01水果!$C159="","",对接源_01水果!$C159)</f>
        <v>吐尔洪</v>
      </c>
      <c r="B159" s="3">
        <f t="shared" si="38"/>
        <v>0</v>
      </c>
      <c r="C159" s="3">
        <f t="shared" si="39"/>
        <v>8</v>
      </c>
      <c r="E159" s="3" t="str">
        <f t="shared" si="40"/>
        <v/>
      </c>
      <c r="K159" s="3">
        <f>IF(OR($K$1="",对接源_01水果!$C159="",对接源_01水果!$C159&lt;&gt;$K$1,对接源_01水果!$B159=""),0,IF(OR(N(对接源_01水果!$B159)&lt;$K$2,N(对接源_01水果!$B159)&gt;$K$3),0,1))</f>
        <v>0</v>
      </c>
      <c r="L159" s="3">
        <f>IF(OR($L$1="",对接源_01水果!$C159="",对接源_01水果!$C159&lt;&gt;$L$1,对接源_01水果!$B159=""),0,IF(OR(N(对接源_01水果!$B159)&lt;$L$2,N(对接源_01水果!$B159)&gt;$L$3),0,1))</f>
        <v>0</v>
      </c>
      <c r="M159" s="3">
        <f>IF(OR($M$1="",对接源_01水果!$C159="",对接源_01水果!$C159&lt;&gt;$M$1,对接源_01水果!$B159=""),0,IF(OR(N(对接源_01水果!$B159)&lt;$M$2,N(对接源_01水果!$B159)&gt;$M$3),0,1))</f>
        <v>1</v>
      </c>
      <c r="N159" s="3">
        <f>IF(OR($N$1="",对接源_01水果!$C159="",对接源_01水果!$C159&lt;&gt;$N$1,对接源_01水果!$B159=""),0,IF(OR(N(对接源_01水果!$B159)&lt;$N$2,N(对接源_01水果!$B159)&gt;$N$3),0,1))</f>
        <v>1</v>
      </c>
      <c r="P159" s="3">
        <f>IF(AND($K159=1,AND(对接源_01水果!$X159="公司筐",N(对接源_01水果!$T159)&lt;&gt;0)),1,0)</f>
        <v>0</v>
      </c>
      <c r="Q159" s="3">
        <f t="shared" si="41"/>
        <v>0</v>
      </c>
      <c r="R159" s="3">
        <f>IF(AND($K159=1,AND(对接源_01水果!$X159="公司筐",N(对接源_01水果!$U159)&lt;&gt;0)),1,0)</f>
        <v>0</v>
      </c>
      <c r="S159" s="3">
        <f t="shared" si="42"/>
        <v>0</v>
      </c>
      <c r="T159" s="3">
        <f>IF(AND($K159=1,AND(对接源_01水果!$X159="公司筐",N(对接源_01水果!$V159)&lt;&gt;0)),1,0)</f>
        <v>0</v>
      </c>
      <c r="U159" s="3">
        <f t="shared" si="43"/>
        <v>0</v>
      </c>
      <c r="V159" s="3">
        <f>IF(AND($L159=1,AND(对接源_01水果!$X159="自备筐",N(对接源_01水果!$V159)&lt;&gt;0)),1,0)</f>
        <v>0</v>
      </c>
      <c r="W159" s="3">
        <f t="shared" si="44"/>
        <v>2</v>
      </c>
      <c r="X159" s="3">
        <f>IF(AND($L159=1,AND(对接源_01水果!$X159="自备筐",N(对接源_01水果!$T159)&lt;&gt;0)),1,0)</f>
        <v>0</v>
      </c>
      <c r="Y159" s="3">
        <f t="shared" si="45"/>
        <v>0</v>
      </c>
      <c r="Z159" s="3">
        <f>IF(AND($M159=1,对接源_01水果!$D159="原料入库"),1,0)</f>
        <v>1</v>
      </c>
      <c r="AA159" s="3">
        <f t="shared" si="46"/>
        <v>4</v>
      </c>
      <c r="AB159" s="3">
        <f>IF(AND($M159=1,LEFT(对接源_01水果!$D159,4)="原料出库"),1,0)</f>
        <v>0</v>
      </c>
      <c r="AC159" s="3">
        <f t="shared" si="47"/>
        <v>0</v>
      </c>
      <c r="AD159" s="3">
        <f>IF(AND($M159=1,LEFT(对接源_01水果!$D159,4)="成品出库"),1,0)</f>
        <v>0</v>
      </c>
      <c r="AE159" s="3">
        <f t="shared" si="48"/>
        <v>0</v>
      </c>
      <c r="AF159" s="3">
        <f>IF(AND($N159=1,AND(LEFT(对接源_01水果!$D159,4)="包装物料",N(对接源_01水果!$K159)&lt;&gt;0)),1,0)</f>
        <v>0</v>
      </c>
      <c r="AG159" s="3">
        <f t="shared" si="49"/>
        <v>0</v>
      </c>
      <c r="AH159" s="3">
        <f>IF(AND($N159=1,AND(对接源_01水果!$D159="周转筐－销售出库",N(对接源_01水果!$K159)&lt;&gt;0)),1,0)</f>
        <v>0</v>
      </c>
      <c r="AI159" s="3">
        <f t="shared" si="50"/>
        <v>0</v>
      </c>
      <c r="AJ159" s="7"/>
      <c r="AL159" s="3">
        <f>IF(OR($AL$1="",对接源_01水果!$Y159="",对接源_01水果!$Y159&lt;&gt;$AL$1,对接源_01水果!$B159="",N(对接源_01水果!$AJ159)&lt;=0),0,IF(OR(N(对接源_01水果!$B159)&lt;$AL$2,N(对接源_01水果!$B159)&gt;$AL$3),0,1))</f>
        <v>0</v>
      </c>
      <c r="AM159" s="3">
        <f t="shared" si="51"/>
        <v>0</v>
      </c>
      <c r="AN159" s="3" t="str">
        <f>IF(对接源_01水果!$AC159="","",对接源_01水果!$AC159)</f>
        <v/>
      </c>
      <c r="AO159" s="3">
        <f t="shared" si="52"/>
        <v>0</v>
      </c>
      <c r="AP159" s="3">
        <f t="shared" si="53"/>
        <v>0</v>
      </c>
      <c r="AQ159" s="3" t="str">
        <f t="shared" si="54"/>
        <v/>
      </c>
      <c r="AR159">
        <f t="shared" si="55"/>
        <v>0</v>
      </c>
      <c r="AS159">
        <f t="shared" si="56"/>
        <v>0</v>
      </c>
    </row>
    <row r="160" ht="14.25" customHeight="1" spans="1:45">
      <c r="A160" s="3" t="str">
        <f>IF(对接源_01水果!$C160="","",对接源_01水果!$C160)</f>
        <v>吐尔洪</v>
      </c>
      <c r="B160" s="3">
        <f t="shared" si="38"/>
        <v>0</v>
      </c>
      <c r="C160" s="3">
        <f t="shared" si="39"/>
        <v>8</v>
      </c>
      <c r="E160" s="3" t="str">
        <f t="shared" si="40"/>
        <v/>
      </c>
      <c r="K160" s="3">
        <f>IF(OR($K$1="",对接源_01水果!$C160="",对接源_01水果!$C160&lt;&gt;$K$1,对接源_01水果!$B160=""),0,IF(OR(N(对接源_01水果!$B160)&lt;$K$2,N(对接源_01水果!$B160)&gt;$K$3),0,1))</f>
        <v>0</v>
      </c>
      <c r="L160" s="3">
        <f>IF(OR($L$1="",对接源_01水果!$C160="",对接源_01水果!$C160&lt;&gt;$L$1,对接源_01水果!$B160=""),0,IF(OR(N(对接源_01水果!$B160)&lt;$L$2,N(对接源_01水果!$B160)&gt;$L$3),0,1))</f>
        <v>0</v>
      </c>
      <c r="M160" s="3">
        <f>IF(OR($M$1="",对接源_01水果!$C160="",对接源_01水果!$C160&lt;&gt;$M$1,对接源_01水果!$B160=""),0,IF(OR(N(对接源_01水果!$B160)&lt;$M$2,N(对接源_01水果!$B160)&gt;$M$3),0,1))</f>
        <v>1</v>
      </c>
      <c r="N160" s="3">
        <f>IF(OR($N$1="",对接源_01水果!$C160="",对接源_01水果!$C160&lt;&gt;$N$1,对接源_01水果!$B160=""),0,IF(OR(N(对接源_01水果!$B160)&lt;$N$2,N(对接源_01水果!$B160)&gt;$N$3),0,1))</f>
        <v>1</v>
      </c>
      <c r="P160" s="3">
        <f>IF(AND($K160=1,AND(对接源_01水果!$X160="公司筐",N(对接源_01水果!$T160)&lt;&gt;0)),1,0)</f>
        <v>0</v>
      </c>
      <c r="Q160" s="3">
        <f t="shared" si="41"/>
        <v>0</v>
      </c>
      <c r="R160" s="3">
        <f>IF(AND($K160=1,AND(对接源_01水果!$X160="公司筐",N(对接源_01水果!$U160)&lt;&gt;0)),1,0)</f>
        <v>0</v>
      </c>
      <c r="S160" s="3">
        <f t="shared" si="42"/>
        <v>0</v>
      </c>
      <c r="T160" s="3">
        <f>IF(AND($K160=1,AND(对接源_01水果!$X160="公司筐",N(对接源_01水果!$V160)&lt;&gt;0)),1,0)</f>
        <v>0</v>
      </c>
      <c r="U160" s="3">
        <f t="shared" si="43"/>
        <v>0</v>
      </c>
      <c r="V160" s="3">
        <f>IF(AND($L160=1,AND(对接源_01水果!$X160="自备筐",N(对接源_01水果!$V160)&lt;&gt;0)),1,0)</f>
        <v>0</v>
      </c>
      <c r="W160" s="3">
        <f t="shared" si="44"/>
        <v>2</v>
      </c>
      <c r="X160" s="3">
        <f>IF(AND($L160=1,AND(对接源_01水果!$X160="自备筐",N(对接源_01水果!$T160)&lt;&gt;0)),1,0)</f>
        <v>0</v>
      </c>
      <c r="Y160" s="3">
        <f t="shared" si="45"/>
        <v>0</v>
      </c>
      <c r="Z160" s="3">
        <f>IF(AND($M160=1,对接源_01水果!$D160="原料入库"),1,0)</f>
        <v>1</v>
      </c>
      <c r="AA160" s="3">
        <f t="shared" si="46"/>
        <v>5</v>
      </c>
      <c r="AB160" s="3">
        <f>IF(AND($M160=1,LEFT(对接源_01水果!$D160,4)="原料出库"),1,0)</f>
        <v>0</v>
      </c>
      <c r="AC160" s="3">
        <f t="shared" si="47"/>
        <v>0</v>
      </c>
      <c r="AD160" s="3">
        <f>IF(AND($M160=1,LEFT(对接源_01水果!$D160,4)="成品出库"),1,0)</f>
        <v>0</v>
      </c>
      <c r="AE160" s="3">
        <f t="shared" si="48"/>
        <v>0</v>
      </c>
      <c r="AF160" s="3">
        <f>IF(AND($N160=1,AND(LEFT(对接源_01水果!$D160,4)="包装物料",N(对接源_01水果!$K160)&lt;&gt;0)),1,0)</f>
        <v>0</v>
      </c>
      <c r="AG160" s="3">
        <f t="shared" si="49"/>
        <v>0</v>
      </c>
      <c r="AH160" s="3">
        <f>IF(AND($N160=1,AND(对接源_01水果!$D160="周转筐－销售出库",N(对接源_01水果!$K160)&lt;&gt;0)),1,0)</f>
        <v>0</v>
      </c>
      <c r="AI160" s="3">
        <f t="shared" si="50"/>
        <v>0</v>
      </c>
      <c r="AJ160" s="7"/>
      <c r="AL160" s="3">
        <f>IF(OR($AL$1="",对接源_01水果!$Y160="",对接源_01水果!$Y160&lt;&gt;$AL$1,对接源_01水果!$B160="",N(对接源_01水果!$AJ160)&lt;=0),0,IF(OR(N(对接源_01水果!$B160)&lt;$AL$2,N(对接源_01水果!$B160)&gt;$AL$3),0,1))</f>
        <v>0</v>
      </c>
      <c r="AM160" s="3">
        <f t="shared" si="51"/>
        <v>0</v>
      </c>
      <c r="AN160" s="3" t="str">
        <f>IF(对接源_01水果!$AC160="","",对接源_01水果!$AC160)</f>
        <v/>
      </c>
      <c r="AO160" s="3">
        <f t="shared" si="52"/>
        <v>0</v>
      </c>
      <c r="AP160" s="3">
        <f t="shared" si="53"/>
        <v>0</v>
      </c>
      <c r="AQ160" s="3" t="str">
        <f t="shared" si="54"/>
        <v/>
      </c>
      <c r="AR160">
        <f t="shared" si="55"/>
        <v>0</v>
      </c>
      <c r="AS160">
        <f t="shared" si="56"/>
        <v>0</v>
      </c>
    </row>
    <row r="161" ht="14.25" customHeight="1" spans="1:45">
      <c r="A161" s="3" t="str">
        <f>IF(对接源_01水果!$C161="","",对接源_01水果!$C161)</f>
        <v>吐尔洪</v>
      </c>
      <c r="B161" s="3">
        <f t="shared" si="38"/>
        <v>0</v>
      </c>
      <c r="C161" s="3">
        <f t="shared" si="39"/>
        <v>8</v>
      </c>
      <c r="E161" s="3" t="str">
        <f t="shared" si="40"/>
        <v/>
      </c>
      <c r="K161" s="3">
        <f>IF(OR($K$1="",对接源_01水果!$C161="",对接源_01水果!$C161&lt;&gt;$K$1,对接源_01水果!$B161=""),0,IF(OR(N(对接源_01水果!$B161)&lt;$K$2,N(对接源_01水果!$B161)&gt;$K$3),0,1))</f>
        <v>0</v>
      </c>
      <c r="L161" s="3">
        <f>IF(OR($L$1="",对接源_01水果!$C161="",对接源_01水果!$C161&lt;&gt;$L$1,对接源_01水果!$B161=""),0,IF(OR(N(对接源_01水果!$B161)&lt;$L$2,N(对接源_01水果!$B161)&gt;$L$3),0,1))</f>
        <v>0</v>
      </c>
      <c r="M161" s="3">
        <f>IF(OR($M$1="",对接源_01水果!$C161="",对接源_01水果!$C161&lt;&gt;$M$1,对接源_01水果!$B161=""),0,IF(OR(N(对接源_01水果!$B161)&lt;$M$2,N(对接源_01水果!$B161)&gt;$M$3),0,1))</f>
        <v>1</v>
      </c>
      <c r="N161" s="3">
        <f>IF(OR($N$1="",对接源_01水果!$C161="",对接源_01水果!$C161&lt;&gt;$N$1,对接源_01水果!$B161=""),0,IF(OR(N(对接源_01水果!$B161)&lt;$N$2,N(对接源_01水果!$B161)&gt;$N$3),0,1))</f>
        <v>1</v>
      </c>
      <c r="P161" s="3">
        <f>IF(AND($K161=1,AND(对接源_01水果!$X161="公司筐",N(对接源_01水果!$T161)&lt;&gt;0)),1,0)</f>
        <v>0</v>
      </c>
      <c r="Q161" s="3">
        <f t="shared" si="41"/>
        <v>0</v>
      </c>
      <c r="R161" s="3">
        <f>IF(AND($K161=1,AND(对接源_01水果!$X161="公司筐",N(对接源_01水果!$U161)&lt;&gt;0)),1,0)</f>
        <v>0</v>
      </c>
      <c r="S161" s="3">
        <f t="shared" si="42"/>
        <v>0</v>
      </c>
      <c r="T161" s="3">
        <f>IF(AND($K161=1,AND(对接源_01水果!$X161="公司筐",N(对接源_01水果!$V161)&lt;&gt;0)),1,0)</f>
        <v>0</v>
      </c>
      <c r="U161" s="3">
        <f t="shared" si="43"/>
        <v>0</v>
      </c>
      <c r="V161" s="3">
        <f>IF(AND($L161=1,AND(对接源_01水果!$X161="自备筐",N(对接源_01水果!$V161)&lt;&gt;0)),1,0)</f>
        <v>0</v>
      </c>
      <c r="W161" s="3">
        <f t="shared" si="44"/>
        <v>2</v>
      </c>
      <c r="X161" s="3">
        <f>IF(AND($L161=1,AND(对接源_01水果!$X161="自备筐",N(对接源_01水果!$T161)&lt;&gt;0)),1,0)</f>
        <v>0</v>
      </c>
      <c r="Y161" s="3">
        <f t="shared" si="45"/>
        <v>0</v>
      </c>
      <c r="Z161" s="3">
        <f>IF(AND($M161=1,对接源_01水果!$D161="原料入库"),1,0)</f>
        <v>1</v>
      </c>
      <c r="AA161" s="3">
        <f t="shared" si="46"/>
        <v>6</v>
      </c>
      <c r="AB161" s="3">
        <f>IF(AND($M161=1,LEFT(对接源_01水果!$D161,4)="原料出库"),1,0)</f>
        <v>0</v>
      </c>
      <c r="AC161" s="3">
        <f t="shared" si="47"/>
        <v>0</v>
      </c>
      <c r="AD161" s="3">
        <f>IF(AND($M161=1,LEFT(对接源_01水果!$D161,4)="成品出库"),1,0)</f>
        <v>0</v>
      </c>
      <c r="AE161" s="3">
        <f t="shared" si="48"/>
        <v>0</v>
      </c>
      <c r="AF161" s="3">
        <f>IF(AND($N161=1,AND(LEFT(对接源_01水果!$D161,4)="包装物料",N(对接源_01水果!$K161)&lt;&gt;0)),1,0)</f>
        <v>0</v>
      </c>
      <c r="AG161" s="3">
        <f t="shared" si="49"/>
        <v>0</v>
      </c>
      <c r="AH161" s="3">
        <f>IF(AND($N161=1,AND(对接源_01水果!$D161="周转筐－销售出库",N(对接源_01水果!$K161)&lt;&gt;0)),1,0)</f>
        <v>0</v>
      </c>
      <c r="AI161" s="3">
        <f t="shared" si="50"/>
        <v>0</v>
      </c>
      <c r="AJ161" s="7"/>
      <c r="AL161" s="3">
        <f>IF(OR($AL$1="",对接源_01水果!$Y161="",对接源_01水果!$Y161&lt;&gt;$AL$1,对接源_01水果!$B161="",N(对接源_01水果!$AJ161)&lt;=0),0,IF(OR(N(对接源_01水果!$B161)&lt;$AL$2,N(对接源_01水果!$B161)&gt;$AL$3),0,1))</f>
        <v>0</v>
      </c>
      <c r="AM161" s="3">
        <f t="shared" si="51"/>
        <v>0</v>
      </c>
      <c r="AN161" s="3" t="str">
        <f>IF(对接源_01水果!$AC161="","",对接源_01水果!$AC161)</f>
        <v/>
      </c>
      <c r="AO161" s="3">
        <f t="shared" si="52"/>
        <v>0</v>
      </c>
      <c r="AP161" s="3">
        <f t="shared" si="53"/>
        <v>0</v>
      </c>
      <c r="AQ161" s="3" t="str">
        <f t="shared" si="54"/>
        <v/>
      </c>
      <c r="AR161">
        <f t="shared" si="55"/>
        <v>0</v>
      </c>
      <c r="AS161">
        <f t="shared" si="56"/>
        <v>0</v>
      </c>
    </row>
    <row r="162" ht="14.25" customHeight="1" spans="1:45">
      <c r="A162" s="3" t="str">
        <f>IF(对接源_01水果!$C162="","",对接源_01水果!$C162)</f>
        <v>麦麦提</v>
      </c>
      <c r="B162" s="3">
        <f t="shared" si="38"/>
        <v>0</v>
      </c>
      <c r="C162" s="3">
        <f t="shared" si="39"/>
        <v>8</v>
      </c>
      <c r="E162" s="3" t="str">
        <f t="shared" si="40"/>
        <v/>
      </c>
      <c r="K162" s="3">
        <f>IF(OR($K$1="",对接源_01水果!$C162="",对接源_01水果!$C162&lt;&gt;$K$1,对接源_01水果!$B162=""),0,IF(OR(N(对接源_01水果!$B162)&lt;$K$2,N(对接源_01水果!$B162)&gt;$K$3),0,1))</f>
        <v>0</v>
      </c>
      <c r="L162" s="3">
        <f>IF(OR($L$1="",对接源_01水果!$C162="",对接源_01水果!$C162&lt;&gt;$L$1,对接源_01水果!$B162=""),0,IF(OR(N(对接源_01水果!$B162)&lt;$L$2,N(对接源_01水果!$B162)&gt;$L$3),0,1))</f>
        <v>0</v>
      </c>
      <c r="M162" s="3">
        <f>IF(OR($M$1="",对接源_01水果!$C162="",对接源_01水果!$C162&lt;&gt;$M$1,对接源_01水果!$B162=""),0,IF(OR(N(对接源_01水果!$B162)&lt;$M$2,N(对接源_01水果!$B162)&gt;$M$3),0,1))</f>
        <v>0</v>
      </c>
      <c r="N162" s="3">
        <f>IF(OR($N$1="",对接源_01水果!$C162="",对接源_01水果!$C162&lt;&gt;$N$1,对接源_01水果!$B162=""),0,IF(OR(N(对接源_01水果!$B162)&lt;$N$2,N(对接源_01水果!$B162)&gt;$N$3),0,1))</f>
        <v>0</v>
      </c>
      <c r="P162" s="3">
        <f>IF(AND($K162=1,AND(对接源_01水果!$X162="公司筐",N(对接源_01水果!$T162)&lt;&gt;0)),1,0)</f>
        <v>0</v>
      </c>
      <c r="Q162" s="3">
        <f t="shared" si="41"/>
        <v>0</v>
      </c>
      <c r="R162" s="3">
        <f>IF(AND($K162=1,AND(对接源_01水果!$X162="公司筐",N(对接源_01水果!$U162)&lt;&gt;0)),1,0)</f>
        <v>0</v>
      </c>
      <c r="S162" s="3">
        <f t="shared" si="42"/>
        <v>0</v>
      </c>
      <c r="T162" s="3">
        <f>IF(AND($K162=1,AND(对接源_01水果!$X162="公司筐",N(对接源_01水果!$V162)&lt;&gt;0)),1,0)</f>
        <v>0</v>
      </c>
      <c r="U162" s="3">
        <f t="shared" si="43"/>
        <v>0</v>
      </c>
      <c r="V162" s="3">
        <f>IF(AND($L162=1,AND(对接源_01水果!$X162="自备筐",N(对接源_01水果!$V162)&lt;&gt;0)),1,0)</f>
        <v>0</v>
      </c>
      <c r="W162" s="3">
        <f t="shared" si="44"/>
        <v>2</v>
      </c>
      <c r="X162" s="3">
        <f>IF(AND($L162=1,AND(对接源_01水果!$X162="自备筐",N(对接源_01水果!$T162)&lt;&gt;0)),1,0)</f>
        <v>0</v>
      </c>
      <c r="Y162" s="3">
        <f t="shared" si="45"/>
        <v>0</v>
      </c>
      <c r="Z162" s="3">
        <f>IF(AND($M162=1,对接源_01水果!$D162="原料入库"),1,0)</f>
        <v>0</v>
      </c>
      <c r="AA162" s="3">
        <f t="shared" si="46"/>
        <v>6</v>
      </c>
      <c r="AB162" s="3">
        <f>IF(AND($M162=1,LEFT(对接源_01水果!$D162,4)="原料出库"),1,0)</f>
        <v>0</v>
      </c>
      <c r="AC162" s="3">
        <f t="shared" si="47"/>
        <v>0</v>
      </c>
      <c r="AD162" s="3">
        <f>IF(AND($M162=1,LEFT(对接源_01水果!$D162,4)="成品出库"),1,0)</f>
        <v>0</v>
      </c>
      <c r="AE162" s="3">
        <f t="shared" si="48"/>
        <v>0</v>
      </c>
      <c r="AF162" s="3">
        <f>IF(AND($N162=1,AND(LEFT(对接源_01水果!$D162,4)="包装物料",N(对接源_01水果!$K162)&lt;&gt;0)),1,0)</f>
        <v>0</v>
      </c>
      <c r="AG162" s="3">
        <f t="shared" si="49"/>
        <v>0</v>
      </c>
      <c r="AH162" s="3">
        <f>IF(AND($N162=1,AND(对接源_01水果!$D162="周转筐－销售出库",N(对接源_01水果!$K162)&lt;&gt;0)),1,0)</f>
        <v>0</v>
      </c>
      <c r="AI162" s="3">
        <f t="shared" si="50"/>
        <v>0</v>
      </c>
      <c r="AJ162" s="7"/>
      <c r="AL162" s="3">
        <f>IF(OR($AL$1="",对接源_01水果!$Y162="",对接源_01水果!$Y162&lt;&gt;$AL$1,对接源_01水果!$B162="",N(对接源_01水果!$AJ162)&lt;=0),0,IF(OR(N(对接源_01水果!$B162)&lt;$AL$2,N(对接源_01水果!$B162)&gt;$AL$3),0,1))</f>
        <v>0</v>
      </c>
      <c r="AM162" s="3">
        <f t="shared" si="51"/>
        <v>0</v>
      </c>
      <c r="AN162" s="3" t="str">
        <f>IF(对接源_01水果!$AC162="","",对接源_01水果!$AC162)</f>
        <v/>
      </c>
      <c r="AO162" s="3">
        <f t="shared" si="52"/>
        <v>0</v>
      </c>
      <c r="AP162" s="3">
        <f t="shared" si="53"/>
        <v>0</v>
      </c>
      <c r="AQ162" s="3" t="str">
        <f t="shared" si="54"/>
        <v/>
      </c>
      <c r="AR162">
        <f t="shared" si="55"/>
        <v>0</v>
      </c>
      <c r="AS162">
        <f t="shared" si="56"/>
        <v>0</v>
      </c>
    </row>
    <row r="163" ht="14.25" customHeight="1" spans="1:45">
      <c r="A163" s="3" t="str">
        <f>IF(对接源_01水果!$C163="","",对接源_01水果!$C163)</f>
        <v>麦麦提</v>
      </c>
      <c r="B163" s="3">
        <f t="shared" si="38"/>
        <v>0</v>
      </c>
      <c r="C163" s="3">
        <f t="shared" si="39"/>
        <v>8</v>
      </c>
      <c r="E163" s="3" t="str">
        <f t="shared" si="40"/>
        <v/>
      </c>
      <c r="K163" s="3">
        <f>IF(OR($K$1="",对接源_01水果!$C163="",对接源_01水果!$C163&lt;&gt;$K$1,对接源_01水果!$B163=""),0,IF(OR(N(对接源_01水果!$B163)&lt;$K$2,N(对接源_01水果!$B163)&gt;$K$3),0,1))</f>
        <v>0</v>
      </c>
      <c r="L163" s="3">
        <f>IF(OR($L$1="",对接源_01水果!$C163="",对接源_01水果!$C163&lt;&gt;$L$1,对接源_01水果!$B163=""),0,IF(OR(N(对接源_01水果!$B163)&lt;$L$2,N(对接源_01水果!$B163)&gt;$L$3),0,1))</f>
        <v>0</v>
      </c>
      <c r="M163" s="3">
        <f>IF(OR($M$1="",对接源_01水果!$C163="",对接源_01水果!$C163&lt;&gt;$M$1,对接源_01水果!$B163=""),0,IF(OR(N(对接源_01水果!$B163)&lt;$M$2,N(对接源_01水果!$B163)&gt;$M$3),0,1))</f>
        <v>0</v>
      </c>
      <c r="N163" s="3">
        <f>IF(OR($N$1="",对接源_01水果!$C163="",对接源_01水果!$C163&lt;&gt;$N$1,对接源_01水果!$B163=""),0,IF(OR(N(对接源_01水果!$B163)&lt;$N$2,N(对接源_01水果!$B163)&gt;$N$3),0,1))</f>
        <v>0</v>
      </c>
      <c r="P163" s="3">
        <f>IF(AND($K163=1,AND(对接源_01水果!$X163="公司筐",N(对接源_01水果!$T163)&lt;&gt;0)),1,0)</f>
        <v>0</v>
      </c>
      <c r="Q163" s="3">
        <f t="shared" si="41"/>
        <v>0</v>
      </c>
      <c r="R163" s="3">
        <f>IF(AND($K163=1,AND(对接源_01水果!$X163="公司筐",N(对接源_01水果!$U163)&lt;&gt;0)),1,0)</f>
        <v>0</v>
      </c>
      <c r="S163" s="3">
        <f t="shared" si="42"/>
        <v>0</v>
      </c>
      <c r="T163" s="3">
        <f>IF(AND($K163=1,AND(对接源_01水果!$X163="公司筐",N(对接源_01水果!$V163)&lt;&gt;0)),1,0)</f>
        <v>0</v>
      </c>
      <c r="U163" s="3">
        <f t="shared" si="43"/>
        <v>0</v>
      </c>
      <c r="V163" s="3">
        <f>IF(AND($L163=1,AND(对接源_01水果!$X163="自备筐",N(对接源_01水果!$V163)&lt;&gt;0)),1,0)</f>
        <v>0</v>
      </c>
      <c r="W163" s="3">
        <f t="shared" si="44"/>
        <v>2</v>
      </c>
      <c r="X163" s="3">
        <f>IF(AND($L163=1,AND(对接源_01水果!$X163="自备筐",N(对接源_01水果!$T163)&lt;&gt;0)),1,0)</f>
        <v>0</v>
      </c>
      <c r="Y163" s="3">
        <f t="shared" si="45"/>
        <v>0</v>
      </c>
      <c r="Z163" s="3">
        <f>IF(AND($M163=1,对接源_01水果!$D163="原料入库"),1,0)</f>
        <v>0</v>
      </c>
      <c r="AA163" s="3">
        <f t="shared" si="46"/>
        <v>6</v>
      </c>
      <c r="AB163" s="3">
        <f>IF(AND($M163=1,LEFT(对接源_01水果!$D163,4)="原料出库"),1,0)</f>
        <v>0</v>
      </c>
      <c r="AC163" s="3">
        <f t="shared" si="47"/>
        <v>0</v>
      </c>
      <c r="AD163" s="3">
        <f>IF(AND($M163=1,LEFT(对接源_01水果!$D163,4)="成品出库"),1,0)</f>
        <v>0</v>
      </c>
      <c r="AE163" s="3">
        <f t="shared" si="48"/>
        <v>0</v>
      </c>
      <c r="AF163" s="3">
        <f>IF(AND($N163=1,AND(LEFT(对接源_01水果!$D163,4)="包装物料",N(对接源_01水果!$K163)&lt;&gt;0)),1,0)</f>
        <v>0</v>
      </c>
      <c r="AG163" s="3">
        <f t="shared" si="49"/>
        <v>0</v>
      </c>
      <c r="AH163" s="3">
        <f>IF(AND($N163=1,AND(对接源_01水果!$D163="周转筐－销售出库",N(对接源_01水果!$K163)&lt;&gt;0)),1,0)</f>
        <v>0</v>
      </c>
      <c r="AI163" s="3">
        <f t="shared" si="50"/>
        <v>0</v>
      </c>
      <c r="AJ163" s="7"/>
      <c r="AL163" s="3">
        <f>IF(OR($AL$1="",对接源_01水果!$Y163="",对接源_01水果!$Y163&lt;&gt;$AL$1,对接源_01水果!$B163="",N(对接源_01水果!$AJ163)&lt;=0),0,IF(OR(N(对接源_01水果!$B163)&lt;$AL$2,N(对接源_01水果!$B163)&gt;$AL$3),0,1))</f>
        <v>0</v>
      </c>
      <c r="AM163" s="3">
        <f t="shared" si="51"/>
        <v>0</v>
      </c>
      <c r="AN163" s="3" t="str">
        <f>IF(对接源_01水果!$AC163="","",对接源_01水果!$AC163)</f>
        <v/>
      </c>
      <c r="AO163" s="3">
        <f t="shared" si="52"/>
        <v>0</v>
      </c>
      <c r="AP163" s="3">
        <f t="shared" si="53"/>
        <v>0</v>
      </c>
      <c r="AQ163" s="3" t="str">
        <f t="shared" si="54"/>
        <v/>
      </c>
      <c r="AR163">
        <f t="shared" si="55"/>
        <v>0</v>
      </c>
      <c r="AS163">
        <f t="shared" si="56"/>
        <v>0</v>
      </c>
    </row>
    <row r="164" ht="14.25" customHeight="1" spans="1:45">
      <c r="A164" s="3" t="str">
        <f>IF(对接源_01水果!$C164="","",对接源_01水果!$C164)</f>
        <v>麦麦提</v>
      </c>
      <c r="B164" s="3">
        <f t="shared" si="38"/>
        <v>0</v>
      </c>
      <c r="C164" s="3">
        <f t="shared" si="39"/>
        <v>8</v>
      </c>
      <c r="E164" s="3" t="str">
        <f t="shared" si="40"/>
        <v/>
      </c>
      <c r="K164" s="3">
        <f>IF(OR($K$1="",对接源_01水果!$C164="",对接源_01水果!$C164&lt;&gt;$K$1,对接源_01水果!$B164=""),0,IF(OR(N(对接源_01水果!$B164)&lt;$K$2,N(对接源_01水果!$B164)&gt;$K$3),0,1))</f>
        <v>0</v>
      </c>
      <c r="L164" s="3">
        <f>IF(OR($L$1="",对接源_01水果!$C164="",对接源_01水果!$C164&lt;&gt;$L$1,对接源_01水果!$B164=""),0,IF(OR(N(对接源_01水果!$B164)&lt;$L$2,N(对接源_01水果!$B164)&gt;$L$3),0,1))</f>
        <v>0</v>
      </c>
      <c r="M164" s="3">
        <f>IF(OR($M$1="",对接源_01水果!$C164="",对接源_01水果!$C164&lt;&gt;$M$1,对接源_01水果!$B164=""),0,IF(OR(N(对接源_01水果!$B164)&lt;$M$2,N(对接源_01水果!$B164)&gt;$M$3),0,1))</f>
        <v>0</v>
      </c>
      <c r="N164" s="3">
        <f>IF(OR($N$1="",对接源_01水果!$C164="",对接源_01水果!$C164&lt;&gt;$N$1,对接源_01水果!$B164=""),0,IF(OR(N(对接源_01水果!$B164)&lt;$N$2,N(对接源_01水果!$B164)&gt;$N$3),0,1))</f>
        <v>0</v>
      </c>
      <c r="P164" s="3">
        <f>IF(AND($K164=1,AND(对接源_01水果!$X164="公司筐",N(对接源_01水果!$T164)&lt;&gt;0)),1,0)</f>
        <v>0</v>
      </c>
      <c r="Q164" s="3">
        <f t="shared" si="41"/>
        <v>0</v>
      </c>
      <c r="R164" s="3">
        <f>IF(AND($K164=1,AND(对接源_01水果!$X164="公司筐",N(对接源_01水果!$U164)&lt;&gt;0)),1,0)</f>
        <v>0</v>
      </c>
      <c r="S164" s="3">
        <f t="shared" si="42"/>
        <v>0</v>
      </c>
      <c r="T164" s="3">
        <f>IF(AND($K164=1,AND(对接源_01水果!$X164="公司筐",N(对接源_01水果!$V164)&lt;&gt;0)),1,0)</f>
        <v>0</v>
      </c>
      <c r="U164" s="3">
        <f t="shared" si="43"/>
        <v>0</v>
      </c>
      <c r="V164" s="3">
        <f>IF(AND($L164=1,AND(对接源_01水果!$X164="自备筐",N(对接源_01水果!$V164)&lt;&gt;0)),1,0)</f>
        <v>0</v>
      </c>
      <c r="W164" s="3">
        <f t="shared" si="44"/>
        <v>2</v>
      </c>
      <c r="X164" s="3">
        <f>IF(AND($L164=1,AND(对接源_01水果!$X164="自备筐",N(对接源_01水果!$T164)&lt;&gt;0)),1,0)</f>
        <v>0</v>
      </c>
      <c r="Y164" s="3">
        <f t="shared" si="45"/>
        <v>0</v>
      </c>
      <c r="Z164" s="3">
        <f>IF(AND($M164=1,对接源_01水果!$D164="原料入库"),1,0)</f>
        <v>0</v>
      </c>
      <c r="AA164" s="3">
        <f t="shared" si="46"/>
        <v>6</v>
      </c>
      <c r="AB164" s="3">
        <f>IF(AND($M164=1,LEFT(对接源_01水果!$D164,4)="原料出库"),1,0)</f>
        <v>0</v>
      </c>
      <c r="AC164" s="3">
        <f t="shared" si="47"/>
        <v>0</v>
      </c>
      <c r="AD164" s="3">
        <f>IF(AND($M164=1,LEFT(对接源_01水果!$D164,4)="成品出库"),1,0)</f>
        <v>0</v>
      </c>
      <c r="AE164" s="3">
        <f t="shared" si="48"/>
        <v>0</v>
      </c>
      <c r="AF164" s="3">
        <f>IF(AND($N164=1,AND(LEFT(对接源_01水果!$D164,4)="包装物料",N(对接源_01水果!$K164)&lt;&gt;0)),1,0)</f>
        <v>0</v>
      </c>
      <c r="AG164" s="3">
        <f t="shared" si="49"/>
        <v>0</v>
      </c>
      <c r="AH164" s="3">
        <f>IF(AND($N164=1,AND(对接源_01水果!$D164="周转筐－销售出库",N(对接源_01水果!$K164)&lt;&gt;0)),1,0)</f>
        <v>0</v>
      </c>
      <c r="AI164" s="3">
        <f t="shared" si="50"/>
        <v>0</v>
      </c>
      <c r="AJ164" s="7"/>
      <c r="AL164" s="3">
        <f>IF(OR($AL$1="",对接源_01水果!$Y164="",对接源_01水果!$Y164&lt;&gt;$AL$1,对接源_01水果!$B164="",N(对接源_01水果!$AJ164)&lt;=0),0,IF(OR(N(对接源_01水果!$B164)&lt;$AL$2,N(对接源_01水果!$B164)&gt;$AL$3),0,1))</f>
        <v>0</v>
      </c>
      <c r="AM164" s="3">
        <f t="shared" si="51"/>
        <v>0</v>
      </c>
      <c r="AN164" s="3" t="str">
        <f>IF(对接源_01水果!$AC164="","",对接源_01水果!$AC164)</f>
        <v/>
      </c>
      <c r="AO164" s="3">
        <f t="shared" si="52"/>
        <v>0</v>
      </c>
      <c r="AP164" s="3">
        <f t="shared" si="53"/>
        <v>0</v>
      </c>
      <c r="AQ164" s="3" t="str">
        <f t="shared" si="54"/>
        <v/>
      </c>
      <c r="AR164">
        <f t="shared" si="55"/>
        <v>0</v>
      </c>
      <c r="AS164">
        <f t="shared" si="56"/>
        <v>0</v>
      </c>
    </row>
    <row r="165" ht="14.25" customHeight="1" spans="1:45">
      <c r="A165" s="3" t="str">
        <f>IF(对接源_01水果!$C165="","",对接源_01水果!$C165)</f>
        <v>贾建国</v>
      </c>
      <c r="B165" s="3">
        <f t="shared" si="38"/>
        <v>0</v>
      </c>
      <c r="C165" s="3">
        <f t="shared" si="39"/>
        <v>8</v>
      </c>
      <c r="E165" s="3" t="str">
        <f t="shared" si="40"/>
        <v/>
      </c>
      <c r="K165" s="3">
        <f>IF(OR($K$1="",对接源_01水果!$C165="",对接源_01水果!$C165&lt;&gt;$K$1,对接源_01水果!$B165=""),0,IF(OR(N(对接源_01水果!$B165)&lt;$K$2,N(对接源_01水果!$B165)&gt;$K$3),0,1))</f>
        <v>0</v>
      </c>
      <c r="L165" s="3">
        <f>IF(OR($L$1="",对接源_01水果!$C165="",对接源_01水果!$C165&lt;&gt;$L$1,对接源_01水果!$B165=""),0,IF(OR(N(对接源_01水果!$B165)&lt;$L$2,N(对接源_01水果!$B165)&gt;$L$3),0,1))</f>
        <v>1</v>
      </c>
      <c r="M165" s="3">
        <f>IF(OR($M$1="",对接源_01水果!$C165="",对接源_01水果!$C165&lt;&gt;$M$1,对接源_01水果!$B165=""),0,IF(OR(N(对接源_01水果!$B165)&lt;$M$2,N(对接源_01水果!$B165)&gt;$M$3),0,1))</f>
        <v>0</v>
      </c>
      <c r="N165" s="3">
        <f>IF(OR($N$1="",对接源_01水果!$C165="",对接源_01水果!$C165&lt;&gt;$N$1,对接源_01水果!$B165=""),0,IF(OR(N(对接源_01水果!$B165)&lt;$N$2,N(对接源_01水果!$B165)&gt;$N$3),0,1))</f>
        <v>0</v>
      </c>
      <c r="P165" s="3">
        <f>IF(AND($K165=1,AND(对接源_01水果!$X165="公司筐",N(对接源_01水果!$T165)&lt;&gt;0)),1,0)</f>
        <v>0</v>
      </c>
      <c r="Q165" s="3">
        <f t="shared" si="41"/>
        <v>0</v>
      </c>
      <c r="R165" s="3">
        <f>IF(AND($K165=1,AND(对接源_01水果!$X165="公司筐",N(对接源_01水果!$U165)&lt;&gt;0)),1,0)</f>
        <v>0</v>
      </c>
      <c r="S165" s="3">
        <f t="shared" si="42"/>
        <v>0</v>
      </c>
      <c r="T165" s="3">
        <f>IF(AND($K165=1,AND(对接源_01水果!$X165="公司筐",N(对接源_01水果!$V165)&lt;&gt;0)),1,0)</f>
        <v>0</v>
      </c>
      <c r="U165" s="3">
        <f t="shared" si="43"/>
        <v>0</v>
      </c>
      <c r="V165" s="3">
        <f>IF(AND($L165=1,AND(对接源_01水果!$X165="自备筐",N(对接源_01水果!$V165)&lt;&gt;0)),1,0)</f>
        <v>1</v>
      </c>
      <c r="W165" s="3">
        <f t="shared" si="44"/>
        <v>3</v>
      </c>
      <c r="X165" s="3">
        <f>IF(AND($L165=1,AND(对接源_01水果!$X165="自备筐",N(对接源_01水果!$T165)&lt;&gt;0)),1,0)</f>
        <v>0</v>
      </c>
      <c r="Y165" s="3">
        <f t="shared" si="45"/>
        <v>0</v>
      </c>
      <c r="Z165" s="3">
        <f>IF(AND($M165=1,对接源_01水果!$D165="原料入库"),1,0)</f>
        <v>0</v>
      </c>
      <c r="AA165" s="3">
        <f t="shared" si="46"/>
        <v>6</v>
      </c>
      <c r="AB165" s="3">
        <f>IF(AND($M165=1,LEFT(对接源_01水果!$D165,4)="原料出库"),1,0)</f>
        <v>0</v>
      </c>
      <c r="AC165" s="3">
        <f t="shared" si="47"/>
        <v>0</v>
      </c>
      <c r="AD165" s="3">
        <f>IF(AND($M165=1,LEFT(对接源_01水果!$D165,4)="成品出库"),1,0)</f>
        <v>0</v>
      </c>
      <c r="AE165" s="3">
        <f t="shared" si="48"/>
        <v>0</v>
      </c>
      <c r="AF165" s="3">
        <f>IF(AND($N165=1,AND(LEFT(对接源_01水果!$D165,4)="包装物料",N(对接源_01水果!$K165)&lt;&gt;0)),1,0)</f>
        <v>0</v>
      </c>
      <c r="AG165" s="3">
        <f t="shared" si="49"/>
        <v>0</v>
      </c>
      <c r="AH165" s="3">
        <f>IF(AND($N165=1,AND(对接源_01水果!$D165="周转筐－销售出库",N(对接源_01水果!$K165)&lt;&gt;0)),1,0)</f>
        <v>0</v>
      </c>
      <c r="AI165" s="3">
        <f t="shared" si="50"/>
        <v>0</v>
      </c>
      <c r="AJ165" s="7"/>
      <c r="AL165" s="3">
        <f>IF(OR($AL$1="",对接源_01水果!$Y165="",对接源_01水果!$Y165&lt;&gt;$AL$1,对接源_01水果!$B165="",N(对接源_01水果!$AJ165)&lt;=0),0,IF(OR(N(对接源_01水果!$B165)&lt;$AL$2,N(对接源_01水果!$B165)&gt;$AL$3),0,1))</f>
        <v>0</v>
      </c>
      <c r="AM165" s="3">
        <f t="shared" si="51"/>
        <v>0</v>
      </c>
      <c r="AN165" s="3" t="str">
        <f>IF(对接源_01水果!$AC165="","",对接源_01水果!$AC165)</f>
        <v/>
      </c>
      <c r="AO165" s="3">
        <f t="shared" si="52"/>
        <v>0</v>
      </c>
      <c r="AP165" s="3">
        <f t="shared" si="53"/>
        <v>0</v>
      </c>
      <c r="AQ165" s="3" t="str">
        <f t="shared" si="54"/>
        <v/>
      </c>
      <c r="AR165">
        <f t="shared" si="55"/>
        <v>0</v>
      </c>
      <c r="AS165">
        <f t="shared" si="56"/>
        <v>0</v>
      </c>
    </row>
    <row r="166" ht="14.25" customHeight="1" spans="1:45">
      <c r="A166" s="3" t="str">
        <f>IF(对接源_01水果!$C166="","",对接源_01水果!$C166)</f>
        <v>贾建国</v>
      </c>
      <c r="B166" s="3">
        <f t="shared" si="38"/>
        <v>0</v>
      </c>
      <c r="C166" s="3">
        <f t="shared" si="39"/>
        <v>8</v>
      </c>
      <c r="E166" s="3" t="str">
        <f t="shared" si="40"/>
        <v/>
      </c>
      <c r="K166" s="3">
        <f>IF(OR($K$1="",对接源_01水果!$C166="",对接源_01水果!$C166&lt;&gt;$K$1,对接源_01水果!$B166=""),0,IF(OR(N(对接源_01水果!$B166)&lt;$K$2,N(对接源_01水果!$B166)&gt;$K$3),0,1))</f>
        <v>0</v>
      </c>
      <c r="L166" s="3">
        <f>IF(OR($L$1="",对接源_01水果!$C166="",对接源_01水果!$C166&lt;&gt;$L$1,对接源_01水果!$B166=""),0,IF(OR(N(对接源_01水果!$B166)&lt;$L$2,N(对接源_01水果!$B166)&gt;$L$3),0,1))</f>
        <v>1</v>
      </c>
      <c r="M166" s="3">
        <f>IF(OR($M$1="",对接源_01水果!$C166="",对接源_01水果!$C166&lt;&gt;$M$1,对接源_01水果!$B166=""),0,IF(OR(N(对接源_01水果!$B166)&lt;$M$2,N(对接源_01水果!$B166)&gt;$M$3),0,1))</f>
        <v>0</v>
      </c>
      <c r="N166" s="3">
        <f>IF(OR($N$1="",对接源_01水果!$C166="",对接源_01水果!$C166&lt;&gt;$N$1,对接源_01水果!$B166=""),0,IF(OR(N(对接源_01水果!$B166)&lt;$N$2,N(对接源_01水果!$B166)&gt;$N$3),0,1))</f>
        <v>0</v>
      </c>
      <c r="P166" s="3">
        <f>IF(AND($K166=1,AND(对接源_01水果!$X166="公司筐",N(对接源_01水果!$T166)&lt;&gt;0)),1,0)</f>
        <v>0</v>
      </c>
      <c r="Q166" s="3">
        <f t="shared" si="41"/>
        <v>0</v>
      </c>
      <c r="R166" s="3">
        <f>IF(AND($K166=1,AND(对接源_01水果!$X166="公司筐",N(对接源_01水果!$U166)&lt;&gt;0)),1,0)</f>
        <v>0</v>
      </c>
      <c r="S166" s="3">
        <f t="shared" si="42"/>
        <v>0</v>
      </c>
      <c r="T166" s="3">
        <f>IF(AND($K166=1,AND(对接源_01水果!$X166="公司筐",N(对接源_01水果!$V166)&lt;&gt;0)),1,0)</f>
        <v>0</v>
      </c>
      <c r="U166" s="3">
        <f t="shared" si="43"/>
        <v>0</v>
      </c>
      <c r="V166" s="3">
        <f>IF(AND($L166=1,AND(对接源_01水果!$X166="自备筐",N(对接源_01水果!$V166)&lt;&gt;0)),1,0)</f>
        <v>1</v>
      </c>
      <c r="W166" s="3">
        <f t="shared" si="44"/>
        <v>4</v>
      </c>
      <c r="X166" s="3">
        <f>IF(AND($L166=1,AND(对接源_01水果!$X166="自备筐",N(对接源_01水果!$T166)&lt;&gt;0)),1,0)</f>
        <v>0</v>
      </c>
      <c r="Y166" s="3">
        <f t="shared" si="45"/>
        <v>0</v>
      </c>
      <c r="Z166" s="3">
        <f>IF(AND($M166=1,对接源_01水果!$D166="原料入库"),1,0)</f>
        <v>0</v>
      </c>
      <c r="AA166" s="3">
        <f t="shared" si="46"/>
        <v>6</v>
      </c>
      <c r="AB166" s="3">
        <f>IF(AND($M166=1,LEFT(对接源_01水果!$D166,4)="原料出库"),1,0)</f>
        <v>0</v>
      </c>
      <c r="AC166" s="3">
        <f t="shared" si="47"/>
        <v>0</v>
      </c>
      <c r="AD166" s="3">
        <f>IF(AND($M166=1,LEFT(对接源_01水果!$D166,4)="成品出库"),1,0)</f>
        <v>0</v>
      </c>
      <c r="AE166" s="3">
        <f t="shared" si="48"/>
        <v>0</v>
      </c>
      <c r="AF166" s="3">
        <f>IF(AND($N166=1,AND(LEFT(对接源_01水果!$D166,4)="包装物料",N(对接源_01水果!$K166)&lt;&gt;0)),1,0)</f>
        <v>0</v>
      </c>
      <c r="AG166" s="3">
        <f t="shared" si="49"/>
        <v>0</v>
      </c>
      <c r="AH166" s="3">
        <f>IF(AND($N166=1,AND(对接源_01水果!$D166="周转筐－销售出库",N(对接源_01水果!$K166)&lt;&gt;0)),1,0)</f>
        <v>0</v>
      </c>
      <c r="AI166" s="3">
        <f t="shared" si="50"/>
        <v>0</v>
      </c>
      <c r="AJ166" s="7"/>
      <c r="AL166" s="3">
        <f>IF(OR($AL$1="",对接源_01水果!$Y166="",对接源_01水果!$Y166&lt;&gt;$AL$1,对接源_01水果!$B166="",N(对接源_01水果!$AJ166)&lt;=0),0,IF(OR(N(对接源_01水果!$B166)&lt;$AL$2,N(对接源_01水果!$B166)&gt;$AL$3),0,1))</f>
        <v>0</v>
      </c>
      <c r="AM166" s="3">
        <f t="shared" si="51"/>
        <v>0</v>
      </c>
      <c r="AN166" s="3" t="str">
        <f>IF(对接源_01水果!$AC166="","",对接源_01水果!$AC166)</f>
        <v/>
      </c>
      <c r="AO166" s="3">
        <f t="shared" si="52"/>
        <v>0</v>
      </c>
      <c r="AP166" s="3">
        <f t="shared" si="53"/>
        <v>0</v>
      </c>
      <c r="AQ166" s="3" t="str">
        <f t="shared" si="54"/>
        <v/>
      </c>
      <c r="AR166">
        <f t="shared" si="55"/>
        <v>0</v>
      </c>
      <c r="AS166">
        <f t="shared" si="56"/>
        <v>0</v>
      </c>
    </row>
    <row r="167" ht="14.25" customHeight="1" spans="1:45">
      <c r="A167" s="3" t="str">
        <f>IF(对接源_01水果!$C167="","",对接源_01水果!$C167)</f>
        <v>王灵云</v>
      </c>
      <c r="B167" s="3">
        <f t="shared" si="38"/>
        <v>1</v>
      </c>
      <c r="C167" s="3">
        <f t="shared" si="39"/>
        <v>9</v>
      </c>
      <c r="E167" s="3" t="str">
        <f t="shared" si="40"/>
        <v/>
      </c>
      <c r="K167" s="3">
        <f>IF(OR($K$1="",对接源_01水果!$C167="",对接源_01水果!$C167&lt;&gt;$K$1,对接源_01水果!$B167=""),0,IF(OR(N(对接源_01水果!$B167)&lt;$K$2,N(对接源_01水果!$B167)&gt;$K$3),0,1))</f>
        <v>1</v>
      </c>
      <c r="L167" s="3">
        <f>IF(OR($L$1="",对接源_01水果!$C167="",对接源_01水果!$C167&lt;&gt;$L$1,对接源_01水果!$B167=""),0,IF(OR(N(对接源_01水果!$B167)&lt;$L$2,N(对接源_01水果!$B167)&gt;$L$3),0,1))</f>
        <v>0</v>
      </c>
      <c r="M167" s="3">
        <f>IF(OR($M$1="",对接源_01水果!$C167="",对接源_01水果!$C167&lt;&gt;$M$1,对接源_01水果!$B167=""),0,IF(OR(N(对接源_01水果!$B167)&lt;$M$2,N(对接源_01水果!$B167)&gt;$M$3),0,1))</f>
        <v>0</v>
      </c>
      <c r="N167" s="3">
        <f>IF(OR($N$1="",对接源_01水果!$C167="",对接源_01水果!$C167&lt;&gt;$N$1,对接源_01水果!$B167=""),0,IF(OR(N(对接源_01水果!$B167)&lt;$N$2,N(对接源_01水果!$B167)&gt;$N$3),0,1))</f>
        <v>0</v>
      </c>
      <c r="P167" s="3">
        <f>IF(AND($K167=1,AND(对接源_01水果!$X167="公司筐",N(对接源_01水果!$T167)&lt;&gt;0)),1,0)</f>
        <v>0</v>
      </c>
      <c r="Q167" s="3">
        <f t="shared" si="41"/>
        <v>0</v>
      </c>
      <c r="R167" s="3">
        <f>IF(AND($K167=1,AND(对接源_01水果!$X167="公司筐",N(对接源_01水果!$U167)&lt;&gt;0)),1,0)</f>
        <v>0</v>
      </c>
      <c r="S167" s="3">
        <f t="shared" si="42"/>
        <v>0</v>
      </c>
      <c r="T167" s="3">
        <f>IF(AND($K167=1,AND(对接源_01水果!$X167="公司筐",N(对接源_01水果!$V167)&lt;&gt;0)),1,0)</f>
        <v>1</v>
      </c>
      <c r="U167" s="3">
        <f t="shared" si="43"/>
        <v>1</v>
      </c>
      <c r="V167" s="3">
        <f>IF(AND($L167=1,AND(对接源_01水果!$X167="自备筐",N(对接源_01水果!$V167)&lt;&gt;0)),1,0)</f>
        <v>0</v>
      </c>
      <c r="W167" s="3">
        <f t="shared" si="44"/>
        <v>4</v>
      </c>
      <c r="X167" s="3">
        <f>IF(AND($L167=1,AND(对接源_01水果!$X167="自备筐",N(对接源_01水果!$T167)&lt;&gt;0)),1,0)</f>
        <v>0</v>
      </c>
      <c r="Y167" s="3">
        <f t="shared" si="45"/>
        <v>0</v>
      </c>
      <c r="Z167" s="3">
        <f>IF(AND($M167=1,对接源_01水果!$D167="原料入库"),1,0)</f>
        <v>0</v>
      </c>
      <c r="AA167" s="3">
        <f t="shared" si="46"/>
        <v>6</v>
      </c>
      <c r="AB167" s="3">
        <f>IF(AND($M167=1,LEFT(对接源_01水果!$D167,4)="原料出库"),1,0)</f>
        <v>0</v>
      </c>
      <c r="AC167" s="3">
        <f t="shared" si="47"/>
        <v>0</v>
      </c>
      <c r="AD167" s="3">
        <f>IF(AND($M167=1,LEFT(对接源_01水果!$D167,4)="成品出库"),1,0)</f>
        <v>0</v>
      </c>
      <c r="AE167" s="3">
        <f t="shared" si="48"/>
        <v>0</v>
      </c>
      <c r="AF167" s="3">
        <f>IF(AND($N167=1,AND(LEFT(对接源_01水果!$D167,4)="包装物料",N(对接源_01水果!$K167)&lt;&gt;0)),1,0)</f>
        <v>0</v>
      </c>
      <c r="AG167" s="3">
        <f t="shared" si="49"/>
        <v>0</v>
      </c>
      <c r="AH167" s="3">
        <f>IF(AND($N167=1,AND(对接源_01水果!$D167="周转筐－销售出库",N(对接源_01水果!$K167)&lt;&gt;0)),1,0)</f>
        <v>0</v>
      </c>
      <c r="AI167" s="3">
        <f t="shared" si="50"/>
        <v>0</v>
      </c>
      <c r="AJ167" s="7"/>
      <c r="AL167" s="3">
        <f>IF(OR($AL$1="",对接源_01水果!$Y167="",对接源_01水果!$Y167&lt;&gt;$AL$1,对接源_01水果!$B167="",N(对接源_01水果!$AJ167)&lt;=0),0,IF(OR(N(对接源_01水果!$B167)&lt;$AL$2,N(对接源_01水果!$B167)&gt;$AL$3),0,1))</f>
        <v>0</v>
      </c>
      <c r="AM167" s="3">
        <f t="shared" si="51"/>
        <v>0</v>
      </c>
      <c r="AN167" s="3" t="str">
        <f>IF(对接源_01水果!$AC167="","",对接源_01水果!$AC167)</f>
        <v/>
      </c>
      <c r="AO167" s="3">
        <f t="shared" si="52"/>
        <v>0</v>
      </c>
      <c r="AP167" s="3">
        <f t="shared" si="53"/>
        <v>0</v>
      </c>
      <c r="AQ167" s="3" t="str">
        <f t="shared" si="54"/>
        <v/>
      </c>
      <c r="AR167">
        <f t="shared" si="55"/>
        <v>0</v>
      </c>
      <c r="AS167">
        <f t="shared" si="56"/>
        <v>0</v>
      </c>
    </row>
    <row r="168" ht="14.25" customHeight="1" spans="1:45">
      <c r="A168" s="3" t="str">
        <f>IF(对接源_01水果!$C168="","",对接源_01水果!$C168)</f>
        <v>王灵云</v>
      </c>
      <c r="B168" s="3">
        <f t="shared" si="38"/>
        <v>0</v>
      </c>
      <c r="C168" s="3">
        <f t="shared" si="39"/>
        <v>9</v>
      </c>
      <c r="E168" s="3" t="str">
        <f t="shared" si="40"/>
        <v/>
      </c>
      <c r="K168" s="3">
        <f>IF(OR($K$1="",对接源_01水果!$C168="",对接源_01水果!$C168&lt;&gt;$K$1,对接源_01水果!$B168=""),0,IF(OR(N(对接源_01水果!$B168)&lt;$K$2,N(对接源_01水果!$B168)&gt;$K$3),0,1))</f>
        <v>1</v>
      </c>
      <c r="L168" s="3">
        <f>IF(OR($L$1="",对接源_01水果!$C168="",对接源_01水果!$C168&lt;&gt;$L$1,对接源_01水果!$B168=""),0,IF(OR(N(对接源_01水果!$B168)&lt;$L$2,N(对接源_01水果!$B168)&gt;$L$3),0,1))</f>
        <v>0</v>
      </c>
      <c r="M168" s="3">
        <f>IF(OR($M$1="",对接源_01水果!$C168="",对接源_01水果!$C168&lt;&gt;$M$1,对接源_01水果!$B168=""),0,IF(OR(N(对接源_01水果!$B168)&lt;$M$2,N(对接源_01水果!$B168)&gt;$M$3),0,1))</f>
        <v>0</v>
      </c>
      <c r="N168" s="3">
        <f>IF(OR($N$1="",对接源_01水果!$C168="",对接源_01水果!$C168&lt;&gt;$N$1,对接源_01水果!$B168=""),0,IF(OR(N(对接源_01水果!$B168)&lt;$N$2,N(对接源_01水果!$B168)&gt;$N$3),0,1))</f>
        <v>0</v>
      </c>
      <c r="P168" s="3">
        <f>IF(AND($K168=1,AND(对接源_01水果!$X168="公司筐",N(对接源_01水果!$T168)&lt;&gt;0)),1,0)</f>
        <v>0</v>
      </c>
      <c r="Q168" s="3">
        <f t="shared" si="41"/>
        <v>0</v>
      </c>
      <c r="R168" s="3">
        <f>IF(AND($K168=1,AND(对接源_01水果!$X168="公司筐",N(对接源_01水果!$U168)&lt;&gt;0)),1,0)</f>
        <v>0</v>
      </c>
      <c r="S168" s="3">
        <f t="shared" si="42"/>
        <v>0</v>
      </c>
      <c r="T168" s="3">
        <f>IF(AND($K168=1,AND(对接源_01水果!$X168="公司筐",N(对接源_01水果!$V168)&lt;&gt;0)),1,0)</f>
        <v>1</v>
      </c>
      <c r="U168" s="3">
        <f t="shared" si="43"/>
        <v>2</v>
      </c>
      <c r="V168" s="3">
        <f>IF(AND($L168=1,AND(对接源_01水果!$X168="自备筐",N(对接源_01水果!$V168)&lt;&gt;0)),1,0)</f>
        <v>0</v>
      </c>
      <c r="W168" s="3">
        <f t="shared" si="44"/>
        <v>4</v>
      </c>
      <c r="X168" s="3">
        <f>IF(AND($L168=1,AND(对接源_01水果!$X168="自备筐",N(对接源_01水果!$T168)&lt;&gt;0)),1,0)</f>
        <v>0</v>
      </c>
      <c r="Y168" s="3">
        <f t="shared" si="45"/>
        <v>0</v>
      </c>
      <c r="Z168" s="3">
        <f>IF(AND($M168=1,对接源_01水果!$D168="原料入库"),1,0)</f>
        <v>0</v>
      </c>
      <c r="AA168" s="3">
        <f t="shared" si="46"/>
        <v>6</v>
      </c>
      <c r="AB168" s="3">
        <f>IF(AND($M168=1,LEFT(对接源_01水果!$D168,4)="原料出库"),1,0)</f>
        <v>0</v>
      </c>
      <c r="AC168" s="3">
        <f t="shared" si="47"/>
        <v>0</v>
      </c>
      <c r="AD168" s="3">
        <f>IF(AND($M168=1,LEFT(对接源_01水果!$D168,4)="成品出库"),1,0)</f>
        <v>0</v>
      </c>
      <c r="AE168" s="3">
        <f t="shared" si="48"/>
        <v>0</v>
      </c>
      <c r="AF168" s="3">
        <f>IF(AND($N168=1,AND(LEFT(对接源_01水果!$D168,4)="包装物料",N(对接源_01水果!$K168)&lt;&gt;0)),1,0)</f>
        <v>0</v>
      </c>
      <c r="AG168" s="3">
        <f t="shared" si="49"/>
        <v>0</v>
      </c>
      <c r="AH168" s="3">
        <f>IF(AND($N168=1,AND(对接源_01水果!$D168="周转筐－销售出库",N(对接源_01水果!$K168)&lt;&gt;0)),1,0)</f>
        <v>0</v>
      </c>
      <c r="AI168" s="3">
        <f t="shared" si="50"/>
        <v>0</v>
      </c>
      <c r="AJ168" s="7"/>
      <c r="AL168" s="3">
        <f>IF(OR($AL$1="",对接源_01水果!$Y168="",对接源_01水果!$Y168&lt;&gt;$AL$1,对接源_01水果!$B168="",N(对接源_01水果!$AJ168)&lt;=0),0,IF(OR(N(对接源_01水果!$B168)&lt;$AL$2,N(对接源_01水果!$B168)&gt;$AL$3),0,1))</f>
        <v>0</v>
      </c>
      <c r="AM168" s="3">
        <f t="shared" si="51"/>
        <v>0</v>
      </c>
      <c r="AN168" s="3" t="str">
        <f>IF(对接源_01水果!$AC168="","",对接源_01水果!$AC168)</f>
        <v/>
      </c>
      <c r="AO168" s="3">
        <f t="shared" si="52"/>
        <v>0</v>
      </c>
      <c r="AP168" s="3">
        <f t="shared" si="53"/>
        <v>0</v>
      </c>
      <c r="AQ168" s="3" t="str">
        <f t="shared" si="54"/>
        <v/>
      </c>
      <c r="AR168">
        <f t="shared" si="55"/>
        <v>0</v>
      </c>
      <c r="AS168">
        <f t="shared" si="56"/>
        <v>0</v>
      </c>
    </row>
    <row r="169" ht="14.25" customHeight="1" spans="1:45">
      <c r="A169" s="3" t="str">
        <f>IF(对接源_01水果!$C169="","",对接源_01水果!$C169)</f>
        <v>王灵云</v>
      </c>
      <c r="B169" s="3">
        <f t="shared" si="38"/>
        <v>0</v>
      </c>
      <c r="C169" s="3">
        <f t="shared" si="39"/>
        <v>9</v>
      </c>
      <c r="E169" s="3" t="str">
        <f t="shared" si="40"/>
        <v/>
      </c>
      <c r="K169" s="3">
        <f>IF(OR($K$1="",对接源_01水果!$C169="",对接源_01水果!$C169&lt;&gt;$K$1,对接源_01水果!$B169=""),0,IF(OR(N(对接源_01水果!$B169)&lt;$K$2,N(对接源_01水果!$B169)&gt;$K$3),0,1))</f>
        <v>1</v>
      </c>
      <c r="L169" s="3">
        <f>IF(OR($L$1="",对接源_01水果!$C169="",对接源_01水果!$C169&lt;&gt;$L$1,对接源_01水果!$B169=""),0,IF(OR(N(对接源_01水果!$B169)&lt;$L$2,N(对接源_01水果!$B169)&gt;$L$3),0,1))</f>
        <v>0</v>
      </c>
      <c r="M169" s="3">
        <f>IF(OR($M$1="",对接源_01水果!$C169="",对接源_01水果!$C169&lt;&gt;$M$1,对接源_01水果!$B169=""),0,IF(OR(N(对接源_01水果!$B169)&lt;$M$2,N(对接源_01水果!$B169)&gt;$M$3),0,1))</f>
        <v>0</v>
      </c>
      <c r="N169" s="3">
        <f>IF(OR($N$1="",对接源_01水果!$C169="",对接源_01水果!$C169&lt;&gt;$N$1,对接源_01水果!$B169=""),0,IF(OR(N(对接源_01水果!$B169)&lt;$N$2,N(对接源_01水果!$B169)&gt;$N$3),0,1))</f>
        <v>0</v>
      </c>
      <c r="P169" s="3">
        <f>IF(AND($K169=1,AND(对接源_01水果!$X169="公司筐",N(对接源_01水果!$T169)&lt;&gt;0)),1,0)</f>
        <v>0</v>
      </c>
      <c r="Q169" s="3">
        <f t="shared" si="41"/>
        <v>0</v>
      </c>
      <c r="R169" s="3">
        <f>IF(AND($K169=1,AND(对接源_01水果!$X169="公司筐",N(对接源_01水果!$U169)&lt;&gt;0)),1,0)</f>
        <v>0</v>
      </c>
      <c r="S169" s="3">
        <f t="shared" si="42"/>
        <v>0</v>
      </c>
      <c r="T169" s="3">
        <f>IF(AND($K169=1,AND(对接源_01水果!$X169="公司筐",N(对接源_01水果!$V169)&lt;&gt;0)),1,0)</f>
        <v>1</v>
      </c>
      <c r="U169" s="3">
        <f t="shared" si="43"/>
        <v>3</v>
      </c>
      <c r="V169" s="3">
        <f>IF(AND($L169=1,AND(对接源_01水果!$X169="自备筐",N(对接源_01水果!$V169)&lt;&gt;0)),1,0)</f>
        <v>0</v>
      </c>
      <c r="W169" s="3">
        <f t="shared" si="44"/>
        <v>4</v>
      </c>
      <c r="X169" s="3">
        <f>IF(AND($L169=1,AND(对接源_01水果!$X169="自备筐",N(对接源_01水果!$T169)&lt;&gt;0)),1,0)</f>
        <v>0</v>
      </c>
      <c r="Y169" s="3">
        <f t="shared" si="45"/>
        <v>0</v>
      </c>
      <c r="Z169" s="3">
        <f>IF(AND($M169=1,对接源_01水果!$D169="原料入库"),1,0)</f>
        <v>0</v>
      </c>
      <c r="AA169" s="3">
        <f t="shared" si="46"/>
        <v>6</v>
      </c>
      <c r="AB169" s="3">
        <f>IF(AND($M169=1,LEFT(对接源_01水果!$D169,4)="原料出库"),1,0)</f>
        <v>0</v>
      </c>
      <c r="AC169" s="3">
        <f t="shared" si="47"/>
        <v>0</v>
      </c>
      <c r="AD169" s="3">
        <f>IF(AND($M169=1,LEFT(对接源_01水果!$D169,4)="成品出库"),1,0)</f>
        <v>0</v>
      </c>
      <c r="AE169" s="3">
        <f t="shared" si="48"/>
        <v>0</v>
      </c>
      <c r="AF169" s="3">
        <f>IF(AND($N169=1,AND(LEFT(对接源_01水果!$D169,4)="包装物料",N(对接源_01水果!$K169)&lt;&gt;0)),1,0)</f>
        <v>0</v>
      </c>
      <c r="AG169" s="3">
        <f t="shared" si="49"/>
        <v>0</v>
      </c>
      <c r="AH169" s="3">
        <f>IF(AND($N169=1,AND(对接源_01水果!$D169="周转筐－销售出库",N(对接源_01水果!$K169)&lt;&gt;0)),1,0)</f>
        <v>0</v>
      </c>
      <c r="AI169" s="3">
        <f t="shared" si="50"/>
        <v>0</v>
      </c>
      <c r="AJ169" s="7"/>
      <c r="AL169" s="3">
        <f>IF(OR($AL$1="",对接源_01水果!$Y169="",对接源_01水果!$Y169&lt;&gt;$AL$1,对接源_01水果!$B169="",N(对接源_01水果!$AJ169)&lt;=0),0,IF(OR(N(对接源_01水果!$B169)&lt;$AL$2,N(对接源_01水果!$B169)&gt;$AL$3),0,1))</f>
        <v>0</v>
      </c>
      <c r="AM169" s="3">
        <f t="shared" si="51"/>
        <v>0</v>
      </c>
      <c r="AN169" s="3" t="str">
        <f>IF(对接源_01水果!$AC169="","",对接源_01水果!$AC169)</f>
        <v/>
      </c>
      <c r="AO169" s="3">
        <f t="shared" si="52"/>
        <v>0</v>
      </c>
      <c r="AP169" s="3">
        <f t="shared" si="53"/>
        <v>0</v>
      </c>
      <c r="AQ169" s="3" t="str">
        <f t="shared" si="54"/>
        <v/>
      </c>
      <c r="AR169">
        <f t="shared" si="55"/>
        <v>0</v>
      </c>
      <c r="AS169">
        <f t="shared" si="56"/>
        <v>0</v>
      </c>
    </row>
    <row r="170" ht="14.25" customHeight="1" spans="1:45">
      <c r="A170" s="3" t="str">
        <f>IF(对接源_01水果!$C170="","",对接源_01水果!$C170)</f>
        <v>杨艳玲</v>
      </c>
      <c r="B170" s="3">
        <f t="shared" si="38"/>
        <v>1</v>
      </c>
      <c r="C170" s="3">
        <f t="shared" si="39"/>
        <v>10</v>
      </c>
      <c r="E170" s="3" t="str">
        <f t="shared" si="40"/>
        <v/>
      </c>
      <c r="K170" s="3">
        <f>IF(OR($K$1="",对接源_01水果!$C170="",对接源_01水果!$C170&lt;&gt;$K$1,对接源_01水果!$B170=""),0,IF(OR(N(对接源_01水果!$B170)&lt;$K$2,N(对接源_01水果!$B170)&gt;$K$3),0,1))</f>
        <v>0</v>
      </c>
      <c r="L170" s="3">
        <f>IF(OR($L$1="",对接源_01水果!$C170="",对接源_01水果!$C170&lt;&gt;$L$1,对接源_01水果!$B170=""),0,IF(OR(N(对接源_01水果!$B170)&lt;$L$2,N(对接源_01水果!$B170)&gt;$L$3),0,1))</f>
        <v>0</v>
      </c>
      <c r="M170" s="3">
        <f>IF(OR($M$1="",对接源_01水果!$C170="",对接源_01水果!$C170&lt;&gt;$M$1,对接源_01水果!$B170=""),0,IF(OR(N(对接源_01水果!$B170)&lt;$M$2,N(对接源_01水果!$B170)&gt;$M$3),0,1))</f>
        <v>0</v>
      </c>
      <c r="N170" s="3">
        <f>IF(OR($N$1="",对接源_01水果!$C170="",对接源_01水果!$C170&lt;&gt;$N$1,对接源_01水果!$B170=""),0,IF(OR(N(对接源_01水果!$B170)&lt;$N$2,N(对接源_01水果!$B170)&gt;$N$3),0,1))</f>
        <v>0</v>
      </c>
      <c r="P170" s="3">
        <f>IF(AND($K170=1,AND(对接源_01水果!$X170="公司筐",N(对接源_01水果!$T170)&lt;&gt;0)),1,0)</f>
        <v>0</v>
      </c>
      <c r="Q170" s="3">
        <f t="shared" si="41"/>
        <v>0</v>
      </c>
      <c r="R170" s="3">
        <f>IF(AND($K170=1,AND(对接源_01水果!$X170="公司筐",N(对接源_01水果!$U170)&lt;&gt;0)),1,0)</f>
        <v>0</v>
      </c>
      <c r="S170" s="3">
        <f t="shared" si="42"/>
        <v>0</v>
      </c>
      <c r="T170" s="3">
        <f>IF(AND($K170=1,AND(对接源_01水果!$X170="公司筐",N(对接源_01水果!$V170)&lt;&gt;0)),1,0)</f>
        <v>0</v>
      </c>
      <c r="U170" s="3">
        <f t="shared" si="43"/>
        <v>3</v>
      </c>
      <c r="V170" s="3">
        <f>IF(AND($L170=1,AND(对接源_01水果!$X170="自备筐",N(对接源_01水果!$V170)&lt;&gt;0)),1,0)</f>
        <v>0</v>
      </c>
      <c r="W170" s="3">
        <f t="shared" si="44"/>
        <v>4</v>
      </c>
      <c r="X170" s="3">
        <f>IF(AND($L170=1,AND(对接源_01水果!$X170="自备筐",N(对接源_01水果!$T170)&lt;&gt;0)),1,0)</f>
        <v>0</v>
      </c>
      <c r="Y170" s="3">
        <f t="shared" si="45"/>
        <v>0</v>
      </c>
      <c r="Z170" s="3">
        <f>IF(AND($M170=1,对接源_01水果!$D170="原料入库"),1,0)</f>
        <v>0</v>
      </c>
      <c r="AA170" s="3">
        <f t="shared" si="46"/>
        <v>6</v>
      </c>
      <c r="AB170" s="3">
        <f>IF(AND($M170=1,LEFT(对接源_01水果!$D170,4)="原料出库"),1,0)</f>
        <v>0</v>
      </c>
      <c r="AC170" s="3">
        <f t="shared" si="47"/>
        <v>0</v>
      </c>
      <c r="AD170" s="3">
        <f>IF(AND($M170=1,LEFT(对接源_01水果!$D170,4)="成品出库"),1,0)</f>
        <v>0</v>
      </c>
      <c r="AE170" s="3">
        <f t="shared" si="48"/>
        <v>0</v>
      </c>
      <c r="AF170" s="3">
        <f>IF(AND($N170=1,AND(LEFT(对接源_01水果!$D170,4)="包装物料",N(对接源_01水果!$K170)&lt;&gt;0)),1,0)</f>
        <v>0</v>
      </c>
      <c r="AG170" s="3">
        <f t="shared" si="49"/>
        <v>0</v>
      </c>
      <c r="AH170" s="3">
        <f>IF(AND($N170=1,AND(对接源_01水果!$D170="周转筐－销售出库",N(对接源_01水果!$K170)&lt;&gt;0)),1,0)</f>
        <v>0</v>
      </c>
      <c r="AI170" s="3">
        <f t="shared" si="50"/>
        <v>0</v>
      </c>
      <c r="AJ170" s="7"/>
      <c r="AL170" s="3">
        <f>IF(OR($AL$1="",对接源_01水果!$Y170="",对接源_01水果!$Y170&lt;&gt;$AL$1,对接源_01水果!$B170="",N(对接源_01水果!$AJ170)&lt;=0),0,IF(OR(N(对接源_01水果!$B170)&lt;$AL$2,N(对接源_01水果!$B170)&gt;$AL$3),0,1))</f>
        <v>0</v>
      </c>
      <c r="AM170" s="3">
        <f t="shared" si="51"/>
        <v>0</v>
      </c>
      <c r="AN170" s="3" t="str">
        <f>IF(对接源_01水果!$AC170="","",对接源_01水果!$AC170)</f>
        <v/>
      </c>
      <c r="AO170" s="3">
        <f t="shared" si="52"/>
        <v>0</v>
      </c>
      <c r="AP170" s="3">
        <f t="shared" si="53"/>
        <v>0</v>
      </c>
      <c r="AQ170" s="3" t="str">
        <f t="shared" si="54"/>
        <v/>
      </c>
      <c r="AR170">
        <f t="shared" si="55"/>
        <v>0</v>
      </c>
      <c r="AS170">
        <f t="shared" si="56"/>
        <v>0</v>
      </c>
    </row>
    <row r="171" ht="14.25" customHeight="1" spans="1:45">
      <c r="A171" s="3" t="str">
        <f>IF(对接源_01水果!$C171="","",对接源_01水果!$C171)</f>
        <v>荆建君</v>
      </c>
      <c r="B171" s="3">
        <f t="shared" si="38"/>
        <v>1</v>
      </c>
      <c r="C171" s="3">
        <f t="shared" si="39"/>
        <v>11</v>
      </c>
      <c r="E171" s="3" t="str">
        <f t="shared" si="40"/>
        <v/>
      </c>
      <c r="K171" s="3">
        <f>IF(OR($K$1="",对接源_01水果!$C171="",对接源_01水果!$C171&lt;&gt;$K$1,对接源_01水果!$B171=""),0,IF(OR(N(对接源_01水果!$B171)&lt;$K$2,N(对接源_01水果!$B171)&gt;$K$3),0,1))</f>
        <v>0</v>
      </c>
      <c r="L171" s="3">
        <f>IF(OR($L$1="",对接源_01水果!$C171="",对接源_01水果!$C171&lt;&gt;$L$1,对接源_01水果!$B171=""),0,IF(OR(N(对接源_01水果!$B171)&lt;$L$2,N(对接源_01水果!$B171)&gt;$L$3),0,1))</f>
        <v>0</v>
      </c>
      <c r="M171" s="3">
        <f>IF(OR($M$1="",对接源_01水果!$C171="",对接源_01水果!$C171&lt;&gt;$M$1,对接源_01水果!$B171=""),0,IF(OR(N(对接源_01水果!$B171)&lt;$M$2,N(对接源_01水果!$B171)&gt;$M$3),0,1))</f>
        <v>0</v>
      </c>
      <c r="N171" s="3">
        <f>IF(OR($N$1="",对接源_01水果!$C171="",对接源_01水果!$C171&lt;&gt;$N$1,对接源_01水果!$B171=""),0,IF(OR(N(对接源_01水果!$B171)&lt;$N$2,N(对接源_01水果!$B171)&gt;$N$3),0,1))</f>
        <v>0</v>
      </c>
      <c r="P171" s="3">
        <f>IF(AND($K171=1,AND(对接源_01水果!$X171="公司筐",N(对接源_01水果!$T171)&lt;&gt;0)),1,0)</f>
        <v>0</v>
      </c>
      <c r="Q171" s="3">
        <f t="shared" si="41"/>
        <v>0</v>
      </c>
      <c r="R171" s="3">
        <f>IF(AND($K171=1,AND(对接源_01水果!$X171="公司筐",N(对接源_01水果!$U171)&lt;&gt;0)),1,0)</f>
        <v>0</v>
      </c>
      <c r="S171" s="3">
        <f t="shared" si="42"/>
        <v>0</v>
      </c>
      <c r="T171" s="3">
        <f>IF(AND($K171=1,AND(对接源_01水果!$X171="公司筐",N(对接源_01水果!$V171)&lt;&gt;0)),1,0)</f>
        <v>0</v>
      </c>
      <c r="U171" s="3">
        <f t="shared" si="43"/>
        <v>3</v>
      </c>
      <c r="V171" s="3">
        <f>IF(AND($L171=1,AND(对接源_01水果!$X171="自备筐",N(对接源_01水果!$V171)&lt;&gt;0)),1,0)</f>
        <v>0</v>
      </c>
      <c r="W171" s="3">
        <f t="shared" si="44"/>
        <v>4</v>
      </c>
      <c r="X171" s="3">
        <f>IF(AND($L171=1,AND(对接源_01水果!$X171="自备筐",N(对接源_01水果!$T171)&lt;&gt;0)),1,0)</f>
        <v>0</v>
      </c>
      <c r="Y171" s="3">
        <f t="shared" si="45"/>
        <v>0</v>
      </c>
      <c r="Z171" s="3">
        <f>IF(AND($M171=1,对接源_01水果!$D171="原料入库"),1,0)</f>
        <v>0</v>
      </c>
      <c r="AA171" s="3">
        <f t="shared" si="46"/>
        <v>6</v>
      </c>
      <c r="AB171" s="3">
        <f>IF(AND($M171=1,LEFT(对接源_01水果!$D171,4)="原料出库"),1,0)</f>
        <v>0</v>
      </c>
      <c r="AC171" s="3">
        <f t="shared" si="47"/>
        <v>0</v>
      </c>
      <c r="AD171" s="3">
        <f>IF(AND($M171=1,LEFT(对接源_01水果!$D171,4)="成品出库"),1,0)</f>
        <v>0</v>
      </c>
      <c r="AE171" s="3">
        <f t="shared" si="48"/>
        <v>0</v>
      </c>
      <c r="AF171" s="3">
        <f>IF(AND($N171=1,AND(LEFT(对接源_01水果!$D171,4)="包装物料",N(对接源_01水果!$K171)&lt;&gt;0)),1,0)</f>
        <v>0</v>
      </c>
      <c r="AG171" s="3">
        <f t="shared" si="49"/>
        <v>0</v>
      </c>
      <c r="AH171" s="3">
        <f>IF(AND($N171=1,AND(对接源_01水果!$D171="周转筐－销售出库",N(对接源_01水果!$K171)&lt;&gt;0)),1,0)</f>
        <v>0</v>
      </c>
      <c r="AI171" s="3">
        <f t="shared" si="50"/>
        <v>0</v>
      </c>
      <c r="AJ171" s="7"/>
      <c r="AL171" s="3">
        <f>IF(OR($AL$1="",对接源_01水果!$Y171="",对接源_01水果!$Y171&lt;&gt;$AL$1,对接源_01水果!$B171="",N(对接源_01水果!$AJ171)&lt;=0),0,IF(OR(N(对接源_01水果!$B171)&lt;$AL$2,N(对接源_01水果!$B171)&gt;$AL$3),0,1))</f>
        <v>0</v>
      </c>
      <c r="AM171" s="3">
        <f t="shared" si="51"/>
        <v>0</v>
      </c>
      <c r="AN171" s="3" t="str">
        <f>IF(对接源_01水果!$AC171="","",对接源_01水果!$AC171)</f>
        <v/>
      </c>
      <c r="AO171" s="3">
        <f t="shared" si="52"/>
        <v>0</v>
      </c>
      <c r="AP171" s="3">
        <f t="shared" si="53"/>
        <v>0</v>
      </c>
      <c r="AQ171" s="3" t="str">
        <f t="shared" si="54"/>
        <v/>
      </c>
      <c r="AR171">
        <f t="shared" si="55"/>
        <v>0</v>
      </c>
      <c r="AS171">
        <f t="shared" si="56"/>
        <v>0</v>
      </c>
    </row>
    <row r="172" ht="14.25" customHeight="1" spans="1:45">
      <c r="A172" s="3" t="str">
        <f>IF(对接源_01水果!$C172="","",对接源_01水果!$C172)</f>
        <v>荆建君</v>
      </c>
      <c r="B172" s="3">
        <f t="shared" si="38"/>
        <v>0</v>
      </c>
      <c r="C172" s="3">
        <f t="shared" si="39"/>
        <v>11</v>
      </c>
      <c r="E172" s="3" t="str">
        <f t="shared" si="40"/>
        <v/>
      </c>
      <c r="K172" s="3">
        <f>IF(OR($K$1="",对接源_01水果!$C172="",对接源_01水果!$C172&lt;&gt;$K$1,对接源_01水果!$B172=""),0,IF(OR(N(对接源_01水果!$B172)&lt;$K$2,N(对接源_01水果!$B172)&gt;$K$3),0,1))</f>
        <v>0</v>
      </c>
      <c r="L172" s="3">
        <f>IF(OR($L$1="",对接源_01水果!$C172="",对接源_01水果!$C172&lt;&gt;$L$1,对接源_01水果!$B172=""),0,IF(OR(N(对接源_01水果!$B172)&lt;$L$2,N(对接源_01水果!$B172)&gt;$L$3),0,1))</f>
        <v>0</v>
      </c>
      <c r="M172" s="3">
        <f>IF(OR($M$1="",对接源_01水果!$C172="",对接源_01水果!$C172&lt;&gt;$M$1,对接源_01水果!$B172=""),0,IF(OR(N(对接源_01水果!$B172)&lt;$M$2,N(对接源_01水果!$B172)&gt;$M$3),0,1))</f>
        <v>0</v>
      </c>
      <c r="N172" s="3">
        <f>IF(OR($N$1="",对接源_01水果!$C172="",对接源_01水果!$C172&lt;&gt;$N$1,对接源_01水果!$B172=""),0,IF(OR(N(对接源_01水果!$B172)&lt;$N$2,N(对接源_01水果!$B172)&gt;$N$3),0,1))</f>
        <v>0</v>
      </c>
      <c r="P172" s="3">
        <f>IF(AND($K172=1,AND(对接源_01水果!$X172="公司筐",N(对接源_01水果!$T172)&lt;&gt;0)),1,0)</f>
        <v>0</v>
      </c>
      <c r="Q172" s="3">
        <f t="shared" si="41"/>
        <v>0</v>
      </c>
      <c r="R172" s="3">
        <f>IF(AND($K172=1,AND(对接源_01水果!$X172="公司筐",N(对接源_01水果!$U172)&lt;&gt;0)),1,0)</f>
        <v>0</v>
      </c>
      <c r="S172" s="3">
        <f t="shared" si="42"/>
        <v>0</v>
      </c>
      <c r="T172" s="3">
        <f>IF(AND($K172=1,AND(对接源_01水果!$X172="公司筐",N(对接源_01水果!$V172)&lt;&gt;0)),1,0)</f>
        <v>0</v>
      </c>
      <c r="U172" s="3">
        <f t="shared" si="43"/>
        <v>3</v>
      </c>
      <c r="V172" s="3">
        <f>IF(AND($L172=1,AND(对接源_01水果!$X172="自备筐",N(对接源_01水果!$V172)&lt;&gt;0)),1,0)</f>
        <v>0</v>
      </c>
      <c r="W172" s="3">
        <f t="shared" si="44"/>
        <v>4</v>
      </c>
      <c r="X172" s="3">
        <f>IF(AND($L172=1,AND(对接源_01水果!$X172="自备筐",N(对接源_01水果!$T172)&lt;&gt;0)),1,0)</f>
        <v>0</v>
      </c>
      <c r="Y172" s="3">
        <f t="shared" si="45"/>
        <v>0</v>
      </c>
      <c r="Z172" s="3">
        <f>IF(AND($M172=1,对接源_01水果!$D172="原料入库"),1,0)</f>
        <v>0</v>
      </c>
      <c r="AA172" s="3">
        <f t="shared" si="46"/>
        <v>6</v>
      </c>
      <c r="AB172" s="3">
        <f>IF(AND($M172=1,LEFT(对接源_01水果!$D172,4)="原料出库"),1,0)</f>
        <v>0</v>
      </c>
      <c r="AC172" s="3">
        <f t="shared" si="47"/>
        <v>0</v>
      </c>
      <c r="AD172" s="3">
        <f>IF(AND($M172=1,LEFT(对接源_01水果!$D172,4)="成品出库"),1,0)</f>
        <v>0</v>
      </c>
      <c r="AE172" s="3">
        <f t="shared" si="48"/>
        <v>0</v>
      </c>
      <c r="AF172" s="3">
        <f>IF(AND($N172=1,AND(LEFT(对接源_01水果!$D172,4)="包装物料",N(对接源_01水果!$K172)&lt;&gt;0)),1,0)</f>
        <v>0</v>
      </c>
      <c r="AG172" s="3">
        <f t="shared" si="49"/>
        <v>0</v>
      </c>
      <c r="AH172" s="3">
        <f>IF(AND($N172=1,AND(对接源_01水果!$D172="周转筐－销售出库",N(对接源_01水果!$K172)&lt;&gt;0)),1,0)</f>
        <v>0</v>
      </c>
      <c r="AI172" s="3">
        <f t="shared" si="50"/>
        <v>0</v>
      </c>
      <c r="AJ172" s="7"/>
      <c r="AL172" s="3">
        <f>IF(OR($AL$1="",对接源_01水果!$Y172="",对接源_01水果!$Y172&lt;&gt;$AL$1,对接源_01水果!$B172="",N(对接源_01水果!$AJ172)&lt;=0),0,IF(OR(N(对接源_01水果!$B172)&lt;$AL$2,N(对接源_01水果!$B172)&gt;$AL$3),0,1))</f>
        <v>0</v>
      </c>
      <c r="AM172" s="3">
        <f t="shared" si="51"/>
        <v>0</v>
      </c>
      <c r="AN172" s="3" t="str">
        <f>IF(对接源_01水果!$AC172="","",对接源_01水果!$AC172)</f>
        <v/>
      </c>
      <c r="AO172" s="3">
        <f t="shared" si="52"/>
        <v>0</v>
      </c>
      <c r="AP172" s="3">
        <f t="shared" si="53"/>
        <v>0</v>
      </c>
      <c r="AQ172" s="3" t="str">
        <f t="shared" si="54"/>
        <v/>
      </c>
      <c r="AR172">
        <f t="shared" si="55"/>
        <v>0</v>
      </c>
      <c r="AS172">
        <f t="shared" si="56"/>
        <v>0</v>
      </c>
    </row>
    <row r="173" ht="14.25" customHeight="1" spans="1:45">
      <c r="A173" s="3" t="str">
        <f>IF(对接源_01水果!$C173="","",对接源_01水果!$C173)</f>
        <v>贾建国</v>
      </c>
      <c r="B173" s="3">
        <f t="shared" si="38"/>
        <v>0</v>
      </c>
      <c r="C173" s="3">
        <f t="shared" si="39"/>
        <v>11</v>
      </c>
      <c r="E173" s="3" t="str">
        <f t="shared" si="40"/>
        <v/>
      </c>
      <c r="K173" s="3">
        <f>IF(OR($K$1="",对接源_01水果!$C173="",对接源_01水果!$C173&lt;&gt;$K$1,对接源_01水果!$B173=""),0,IF(OR(N(对接源_01水果!$B173)&lt;$K$2,N(对接源_01水果!$B173)&gt;$K$3),0,1))</f>
        <v>0</v>
      </c>
      <c r="L173" s="3">
        <f>IF(OR($L$1="",对接源_01水果!$C173="",对接源_01水果!$C173&lt;&gt;$L$1,对接源_01水果!$B173=""),0,IF(OR(N(对接源_01水果!$B173)&lt;$L$2,N(对接源_01水果!$B173)&gt;$L$3),0,1))</f>
        <v>1</v>
      </c>
      <c r="M173" s="3">
        <f>IF(OR($M$1="",对接源_01水果!$C173="",对接源_01水果!$C173&lt;&gt;$M$1,对接源_01水果!$B173=""),0,IF(OR(N(对接源_01水果!$B173)&lt;$M$2,N(对接源_01水果!$B173)&gt;$M$3),0,1))</f>
        <v>0</v>
      </c>
      <c r="N173" s="3">
        <f>IF(OR($N$1="",对接源_01水果!$C173="",对接源_01水果!$C173&lt;&gt;$N$1,对接源_01水果!$B173=""),0,IF(OR(N(对接源_01水果!$B173)&lt;$N$2,N(对接源_01水果!$B173)&gt;$N$3),0,1))</f>
        <v>0</v>
      </c>
      <c r="P173" s="3">
        <f>IF(AND($K173=1,AND(对接源_01水果!$X173="公司筐",N(对接源_01水果!$T173)&lt;&gt;0)),1,0)</f>
        <v>0</v>
      </c>
      <c r="Q173" s="3">
        <f t="shared" si="41"/>
        <v>0</v>
      </c>
      <c r="R173" s="3">
        <f>IF(AND($K173=1,AND(对接源_01水果!$X173="公司筐",N(对接源_01水果!$U173)&lt;&gt;0)),1,0)</f>
        <v>0</v>
      </c>
      <c r="S173" s="3">
        <f t="shared" si="42"/>
        <v>0</v>
      </c>
      <c r="T173" s="3">
        <f>IF(AND($K173=1,AND(对接源_01水果!$X173="公司筐",N(对接源_01水果!$V173)&lt;&gt;0)),1,0)</f>
        <v>0</v>
      </c>
      <c r="U173" s="3">
        <f t="shared" si="43"/>
        <v>3</v>
      </c>
      <c r="V173" s="3">
        <f>IF(AND($L173=1,AND(对接源_01水果!$X173="自备筐",N(对接源_01水果!$V173)&lt;&gt;0)),1,0)</f>
        <v>0</v>
      </c>
      <c r="W173" s="3">
        <f t="shared" si="44"/>
        <v>4</v>
      </c>
      <c r="X173" s="3">
        <f>IF(AND($L173=1,AND(对接源_01水果!$X173="自备筐",N(对接源_01水果!$T173)&lt;&gt;0)),1,0)</f>
        <v>0</v>
      </c>
      <c r="Y173" s="3">
        <f t="shared" si="45"/>
        <v>0</v>
      </c>
      <c r="Z173" s="3">
        <f>IF(AND($M173=1,对接源_01水果!$D173="原料入库"),1,0)</f>
        <v>0</v>
      </c>
      <c r="AA173" s="3">
        <f t="shared" si="46"/>
        <v>6</v>
      </c>
      <c r="AB173" s="3">
        <f>IF(AND($M173=1,LEFT(对接源_01水果!$D173,4)="原料出库"),1,0)</f>
        <v>0</v>
      </c>
      <c r="AC173" s="3">
        <f t="shared" si="47"/>
        <v>0</v>
      </c>
      <c r="AD173" s="3">
        <f>IF(AND($M173=1,LEFT(对接源_01水果!$D173,4)="成品出库"),1,0)</f>
        <v>0</v>
      </c>
      <c r="AE173" s="3">
        <f t="shared" si="48"/>
        <v>0</v>
      </c>
      <c r="AF173" s="3">
        <f>IF(AND($N173=1,AND(LEFT(对接源_01水果!$D173,4)="包装物料",N(对接源_01水果!$K173)&lt;&gt;0)),1,0)</f>
        <v>0</v>
      </c>
      <c r="AG173" s="3">
        <f t="shared" si="49"/>
        <v>0</v>
      </c>
      <c r="AH173" s="3">
        <f>IF(AND($N173=1,AND(对接源_01水果!$D173="周转筐－销售出库",N(对接源_01水果!$K173)&lt;&gt;0)),1,0)</f>
        <v>0</v>
      </c>
      <c r="AI173" s="3">
        <f t="shared" si="50"/>
        <v>0</v>
      </c>
      <c r="AJ173" s="7"/>
      <c r="AL173" s="3">
        <f>IF(OR($AL$1="",对接源_01水果!$Y173="",对接源_01水果!$Y173&lt;&gt;$AL$1,对接源_01水果!$B173="",N(对接源_01水果!$AJ173)&lt;=0),0,IF(OR(N(对接源_01水果!$B173)&lt;$AL$2,N(对接源_01水果!$B173)&gt;$AL$3),0,1))</f>
        <v>0</v>
      </c>
      <c r="AM173" s="3">
        <f t="shared" si="51"/>
        <v>0</v>
      </c>
      <c r="AN173" s="3" t="str">
        <f>IF(对接源_01水果!$AC173="","",对接源_01水果!$AC173)</f>
        <v/>
      </c>
      <c r="AO173" s="3">
        <f t="shared" si="52"/>
        <v>0</v>
      </c>
      <c r="AP173" s="3">
        <f t="shared" si="53"/>
        <v>0</v>
      </c>
      <c r="AQ173" s="3" t="str">
        <f t="shared" si="54"/>
        <v/>
      </c>
      <c r="AR173">
        <f t="shared" si="55"/>
        <v>0</v>
      </c>
      <c r="AS173">
        <f t="shared" si="56"/>
        <v>0</v>
      </c>
    </row>
    <row r="174" ht="14.25" customHeight="1" spans="1:45">
      <c r="A174" s="3" t="str">
        <f>IF(对接源_01水果!$C174="","",对接源_01水果!$C174)</f>
        <v>吐尔洪</v>
      </c>
      <c r="B174" s="3">
        <f t="shared" si="38"/>
        <v>0</v>
      </c>
      <c r="C174" s="3">
        <f t="shared" si="39"/>
        <v>11</v>
      </c>
      <c r="E174" s="3" t="str">
        <f t="shared" si="40"/>
        <v/>
      </c>
      <c r="K174" s="3">
        <f>IF(OR($K$1="",对接源_01水果!$C174="",对接源_01水果!$C174&lt;&gt;$K$1,对接源_01水果!$B174=""),0,IF(OR(N(对接源_01水果!$B174)&lt;$K$2,N(对接源_01水果!$B174)&gt;$K$3),0,1))</f>
        <v>0</v>
      </c>
      <c r="L174" s="3">
        <f>IF(OR($L$1="",对接源_01水果!$C174="",对接源_01水果!$C174&lt;&gt;$L$1,对接源_01水果!$B174=""),0,IF(OR(N(对接源_01水果!$B174)&lt;$L$2,N(对接源_01水果!$B174)&gt;$L$3),0,1))</f>
        <v>0</v>
      </c>
      <c r="M174" s="3">
        <f>IF(OR($M$1="",对接源_01水果!$C174="",对接源_01水果!$C174&lt;&gt;$M$1,对接源_01水果!$B174=""),0,IF(OR(N(对接源_01水果!$B174)&lt;$M$2,N(对接源_01水果!$B174)&gt;$M$3),0,1))</f>
        <v>1</v>
      </c>
      <c r="N174" s="3">
        <f>IF(OR($N$1="",对接源_01水果!$C174="",对接源_01水果!$C174&lt;&gt;$N$1,对接源_01水果!$B174=""),0,IF(OR(N(对接源_01水果!$B174)&lt;$N$2,N(对接源_01水果!$B174)&gt;$N$3),0,1))</f>
        <v>1</v>
      </c>
      <c r="P174" s="3">
        <f>IF(AND($K174=1,AND(对接源_01水果!$X174="公司筐",N(对接源_01水果!$T174)&lt;&gt;0)),1,0)</f>
        <v>0</v>
      </c>
      <c r="Q174" s="3">
        <f t="shared" si="41"/>
        <v>0</v>
      </c>
      <c r="R174" s="3">
        <f>IF(AND($K174=1,AND(对接源_01水果!$X174="公司筐",N(对接源_01水果!$U174)&lt;&gt;0)),1,0)</f>
        <v>0</v>
      </c>
      <c r="S174" s="3">
        <f t="shared" si="42"/>
        <v>0</v>
      </c>
      <c r="T174" s="3">
        <f>IF(AND($K174=1,AND(对接源_01水果!$X174="公司筐",N(对接源_01水果!$V174)&lt;&gt;0)),1,0)</f>
        <v>0</v>
      </c>
      <c r="U174" s="3">
        <f t="shared" si="43"/>
        <v>3</v>
      </c>
      <c r="V174" s="3">
        <f>IF(AND($L174=1,AND(对接源_01水果!$X174="自备筐",N(对接源_01水果!$V174)&lt;&gt;0)),1,0)</f>
        <v>0</v>
      </c>
      <c r="W174" s="3">
        <f t="shared" si="44"/>
        <v>4</v>
      </c>
      <c r="X174" s="3">
        <f>IF(AND($L174=1,AND(对接源_01水果!$X174="自备筐",N(对接源_01水果!$T174)&lt;&gt;0)),1,0)</f>
        <v>0</v>
      </c>
      <c r="Y174" s="3">
        <f t="shared" si="45"/>
        <v>0</v>
      </c>
      <c r="Z174" s="3">
        <f>IF(AND($M174=1,对接源_01水果!$D174="原料入库"),1,0)</f>
        <v>1</v>
      </c>
      <c r="AA174" s="3">
        <f t="shared" si="46"/>
        <v>7</v>
      </c>
      <c r="AB174" s="3">
        <f>IF(AND($M174=1,LEFT(对接源_01水果!$D174,4)="原料出库"),1,0)</f>
        <v>0</v>
      </c>
      <c r="AC174" s="3">
        <f t="shared" si="47"/>
        <v>0</v>
      </c>
      <c r="AD174" s="3">
        <f>IF(AND($M174=1,LEFT(对接源_01水果!$D174,4)="成品出库"),1,0)</f>
        <v>0</v>
      </c>
      <c r="AE174" s="3">
        <f t="shared" si="48"/>
        <v>0</v>
      </c>
      <c r="AF174" s="3">
        <f>IF(AND($N174=1,AND(LEFT(对接源_01水果!$D174,4)="包装物料",N(对接源_01水果!$K174)&lt;&gt;0)),1,0)</f>
        <v>0</v>
      </c>
      <c r="AG174" s="3">
        <f t="shared" si="49"/>
        <v>0</v>
      </c>
      <c r="AH174" s="3">
        <f>IF(AND($N174=1,AND(对接源_01水果!$D174="周转筐－销售出库",N(对接源_01水果!$K174)&lt;&gt;0)),1,0)</f>
        <v>0</v>
      </c>
      <c r="AI174" s="3">
        <f t="shared" si="50"/>
        <v>0</v>
      </c>
      <c r="AJ174" s="7"/>
      <c r="AL174" s="3">
        <f>IF(OR($AL$1="",对接源_01水果!$Y174="",对接源_01水果!$Y174&lt;&gt;$AL$1,对接源_01水果!$B174="",N(对接源_01水果!$AJ174)&lt;=0),0,IF(OR(N(对接源_01水果!$B174)&lt;$AL$2,N(对接源_01水果!$B174)&gt;$AL$3),0,1))</f>
        <v>0</v>
      </c>
      <c r="AM174" s="3">
        <f t="shared" si="51"/>
        <v>0</v>
      </c>
      <c r="AN174" s="3" t="str">
        <f>IF(对接源_01水果!$AC174="","",对接源_01水果!$AC174)</f>
        <v/>
      </c>
      <c r="AO174" s="3">
        <f t="shared" si="52"/>
        <v>0</v>
      </c>
      <c r="AP174" s="3">
        <f t="shared" si="53"/>
        <v>0</v>
      </c>
      <c r="AQ174" s="3" t="str">
        <f t="shared" si="54"/>
        <v/>
      </c>
      <c r="AR174">
        <f t="shared" si="55"/>
        <v>0</v>
      </c>
      <c r="AS174">
        <f t="shared" si="56"/>
        <v>0</v>
      </c>
    </row>
    <row r="175" ht="14.25" customHeight="1" spans="1:45">
      <c r="A175" s="3" t="str">
        <f>IF(对接源_01水果!$C175="","",对接源_01水果!$C175)</f>
        <v>吐尔洪</v>
      </c>
      <c r="B175" s="3">
        <f t="shared" si="38"/>
        <v>0</v>
      </c>
      <c r="C175" s="3">
        <f t="shared" si="39"/>
        <v>11</v>
      </c>
      <c r="E175" s="3" t="str">
        <f t="shared" si="40"/>
        <v/>
      </c>
      <c r="K175" s="3">
        <f>IF(OR($K$1="",对接源_01水果!$C175="",对接源_01水果!$C175&lt;&gt;$K$1,对接源_01水果!$B175=""),0,IF(OR(N(对接源_01水果!$B175)&lt;$K$2,N(对接源_01水果!$B175)&gt;$K$3),0,1))</f>
        <v>0</v>
      </c>
      <c r="L175" s="3">
        <f>IF(OR($L$1="",对接源_01水果!$C175="",对接源_01水果!$C175&lt;&gt;$L$1,对接源_01水果!$B175=""),0,IF(OR(N(对接源_01水果!$B175)&lt;$L$2,N(对接源_01水果!$B175)&gt;$L$3),0,1))</f>
        <v>0</v>
      </c>
      <c r="M175" s="3">
        <f>IF(OR($M$1="",对接源_01水果!$C175="",对接源_01水果!$C175&lt;&gt;$M$1,对接源_01水果!$B175=""),0,IF(OR(N(对接源_01水果!$B175)&lt;$M$2,N(对接源_01水果!$B175)&gt;$M$3),0,1))</f>
        <v>1</v>
      </c>
      <c r="N175" s="3">
        <f>IF(OR($N$1="",对接源_01水果!$C175="",对接源_01水果!$C175&lt;&gt;$N$1,对接源_01水果!$B175=""),0,IF(OR(N(对接源_01水果!$B175)&lt;$N$2,N(对接源_01水果!$B175)&gt;$N$3),0,1))</f>
        <v>1</v>
      </c>
      <c r="P175" s="3">
        <f>IF(AND($K175=1,AND(对接源_01水果!$X175="公司筐",N(对接源_01水果!$T175)&lt;&gt;0)),1,0)</f>
        <v>0</v>
      </c>
      <c r="Q175" s="3">
        <f t="shared" si="41"/>
        <v>0</v>
      </c>
      <c r="R175" s="3">
        <f>IF(AND($K175=1,AND(对接源_01水果!$X175="公司筐",N(对接源_01水果!$U175)&lt;&gt;0)),1,0)</f>
        <v>0</v>
      </c>
      <c r="S175" s="3">
        <f t="shared" si="42"/>
        <v>0</v>
      </c>
      <c r="T175" s="3">
        <f>IF(AND($K175=1,AND(对接源_01水果!$X175="公司筐",N(对接源_01水果!$V175)&lt;&gt;0)),1,0)</f>
        <v>0</v>
      </c>
      <c r="U175" s="3">
        <f t="shared" si="43"/>
        <v>3</v>
      </c>
      <c r="V175" s="3">
        <f>IF(AND($L175=1,AND(对接源_01水果!$X175="自备筐",N(对接源_01水果!$V175)&lt;&gt;0)),1,0)</f>
        <v>0</v>
      </c>
      <c r="W175" s="3">
        <f t="shared" si="44"/>
        <v>4</v>
      </c>
      <c r="X175" s="3">
        <f>IF(AND($L175=1,AND(对接源_01水果!$X175="自备筐",N(对接源_01水果!$T175)&lt;&gt;0)),1,0)</f>
        <v>0</v>
      </c>
      <c r="Y175" s="3">
        <f t="shared" si="45"/>
        <v>0</v>
      </c>
      <c r="Z175" s="3">
        <f>IF(AND($M175=1,对接源_01水果!$D175="原料入库"),1,0)</f>
        <v>1</v>
      </c>
      <c r="AA175" s="3">
        <f t="shared" si="46"/>
        <v>8</v>
      </c>
      <c r="AB175" s="3">
        <f>IF(AND($M175=1,LEFT(对接源_01水果!$D175,4)="原料出库"),1,0)</f>
        <v>0</v>
      </c>
      <c r="AC175" s="3">
        <f t="shared" si="47"/>
        <v>0</v>
      </c>
      <c r="AD175" s="3">
        <f>IF(AND($M175=1,LEFT(对接源_01水果!$D175,4)="成品出库"),1,0)</f>
        <v>0</v>
      </c>
      <c r="AE175" s="3">
        <f t="shared" si="48"/>
        <v>0</v>
      </c>
      <c r="AF175" s="3">
        <f>IF(AND($N175=1,AND(LEFT(对接源_01水果!$D175,4)="包装物料",N(对接源_01水果!$K175)&lt;&gt;0)),1,0)</f>
        <v>0</v>
      </c>
      <c r="AG175" s="3">
        <f t="shared" si="49"/>
        <v>0</v>
      </c>
      <c r="AH175" s="3">
        <f>IF(AND($N175=1,AND(对接源_01水果!$D175="周转筐－销售出库",N(对接源_01水果!$K175)&lt;&gt;0)),1,0)</f>
        <v>0</v>
      </c>
      <c r="AI175" s="3">
        <f t="shared" si="50"/>
        <v>0</v>
      </c>
      <c r="AJ175" s="7"/>
      <c r="AL175" s="3">
        <f>IF(OR($AL$1="",对接源_01水果!$Y175="",对接源_01水果!$Y175&lt;&gt;$AL$1,对接源_01水果!$B175="",N(对接源_01水果!$AJ175)&lt;=0),0,IF(OR(N(对接源_01水果!$B175)&lt;$AL$2,N(对接源_01水果!$B175)&gt;$AL$3),0,1))</f>
        <v>0</v>
      </c>
      <c r="AM175" s="3">
        <f t="shared" si="51"/>
        <v>0</v>
      </c>
      <c r="AN175" s="3" t="str">
        <f>IF(对接源_01水果!$AC175="","",对接源_01水果!$AC175)</f>
        <v/>
      </c>
      <c r="AO175" s="3">
        <f t="shared" si="52"/>
        <v>0</v>
      </c>
      <c r="AP175" s="3">
        <f t="shared" si="53"/>
        <v>0</v>
      </c>
      <c r="AQ175" s="3" t="str">
        <f t="shared" si="54"/>
        <v/>
      </c>
      <c r="AR175">
        <f t="shared" si="55"/>
        <v>0</v>
      </c>
      <c r="AS175">
        <f t="shared" si="56"/>
        <v>0</v>
      </c>
    </row>
    <row r="176" ht="14.25" customHeight="1" spans="1:45">
      <c r="A176" s="3" t="str">
        <f>IF(对接源_01水果!$C176="","",对接源_01水果!$C176)</f>
        <v>吐尔洪</v>
      </c>
      <c r="B176" s="3">
        <f t="shared" si="38"/>
        <v>0</v>
      </c>
      <c r="C176" s="3">
        <f t="shared" si="39"/>
        <v>11</v>
      </c>
      <c r="E176" s="3" t="str">
        <f t="shared" si="40"/>
        <v/>
      </c>
      <c r="K176" s="3">
        <f>IF(OR($K$1="",对接源_01水果!$C176="",对接源_01水果!$C176&lt;&gt;$K$1,对接源_01水果!$B176=""),0,IF(OR(N(对接源_01水果!$B176)&lt;$K$2,N(对接源_01水果!$B176)&gt;$K$3),0,1))</f>
        <v>0</v>
      </c>
      <c r="L176" s="3">
        <f>IF(OR($L$1="",对接源_01水果!$C176="",对接源_01水果!$C176&lt;&gt;$L$1,对接源_01水果!$B176=""),0,IF(OR(N(对接源_01水果!$B176)&lt;$L$2,N(对接源_01水果!$B176)&gt;$L$3),0,1))</f>
        <v>0</v>
      </c>
      <c r="M176" s="3">
        <f>IF(OR($M$1="",对接源_01水果!$C176="",对接源_01水果!$C176&lt;&gt;$M$1,对接源_01水果!$B176=""),0,IF(OR(N(对接源_01水果!$B176)&lt;$M$2,N(对接源_01水果!$B176)&gt;$M$3),0,1))</f>
        <v>1</v>
      </c>
      <c r="N176" s="3">
        <f>IF(OR($N$1="",对接源_01水果!$C176="",对接源_01水果!$C176&lt;&gt;$N$1,对接源_01水果!$B176=""),0,IF(OR(N(对接源_01水果!$B176)&lt;$N$2,N(对接源_01水果!$B176)&gt;$N$3),0,1))</f>
        <v>1</v>
      </c>
      <c r="P176" s="3">
        <f>IF(AND($K176=1,AND(对接源_01水果!$X176="公司筐",N(对接源_01水果!$T176)&lt;&gt;0)),1,0)</f>
        <v>0</v>
      </c>
      <c r="Q176" s="3">
        <f t="shared" si="41"/>
        <v>0</v>
      </c>
      <c r="R176" s="3">
        <f>IF(AND($K176=1,AND(对接源_01水果!$X176="公司筐",N(对接源_01水果!$U176)&lt;&gt;0)),1,0)</f>
        <v>0</v>
      </c>
      <c r="S176" s="3">
        <f t="shared" si="42"/>
        <v>0</v>
      </c>
      <c r="T176" s="3">
        <f>IF(AND($K176=1,AND(对接源_01水果!$X176="公司筐",N(对接源_01水果!$V176)&lt;&gt;0)),1,0)</f>
        <v>0</v>
      </c>
      <c r="U176" s="3">
        <f t="shared" si="43"/>
        <v>3</v>
      </c>
      <c r="V176" s="3">
        <f>IF(AND($L176=1,AND(对接源_01水果!$X176="自备筐",N(对接源_01水果!$V176)&lt;&gt;0)),1,0)</f>
        <v>0</v>
      </c>
      <c r="W176" s="3">
        <f t="shared" si="44"/>
        <v>4</v>
      </c>
      <c r="X176" s="3">
        <f>IF(AND($L176=1,AND(对接源_01水果!$X176="自备筐",N(对接源_01水果!$T176)&lt;&gt;0)),1,0)</f>
        <v>0</v>
      </c>
      <c r="Y176" s="3">
        <f t="shared" si="45"/>
        <v>0</v>
      </c>
      <c r="Z176" s="3">
        <f>IF(AND($M176=1,对接源_01水果!$D176="原料入库"),1,0)</f>
        <v>1</v>
      </c>
      <c r="AA176" s="3">
        <f t="shared" si="46"/>
        <v>9</v>
      </c>
      <c r="AB176" s="3">
        <f>IF(AND($M176=1,LEFT(对接源_01水果!$D176,4)="原料出库"),1,0)</f>
        <v>0</v>
      </c>
      <c r="AC176" s="3">
        <f t="shared" si="47"/>
        <v>0</v>
      </c>
      <c r="AD176" s="3">
        <f>IF(AND($M176=1,LEFT(对接源_01水果!$D176,4)="成品出库"),1,0)</f>
        <v>0</v>
      </c>
      <c r="AE176" s="3">
        <f t="shared" si="48"/>
        <v>0</v>
      </c>
      <c r="AF176" s="3">
        <f>IF(AND($N176=1,AND(LEFT(对接源_01水果!$D176,4)="包装物料",N(对接源_01水果!$K176)&lt;&gt;0)),1,0)</f>
        <v>0</v>
      </c>
      <c r="AG176" s="3">
        <f t="shared" si="49"/>
        <v>0</v>
      </c>
      <c r="AH176" s="3">
        <f>IF(AND($N176=1,AND(对接源_01水果!$D176="周转筐－销售出库",N(对接源_01水果!$K176)&lt;&gt;0)),1,0)</f>
        <v>0</v>
      </c>
      <c r="AI176" s="3">
        <f t="shared" si="50"/>
        <v>0</v>
      </c>
      <c r="AJ176" s="7"/>
      <c r="AL176" s="3">
        <f>IF(OR($AL$1="",对接源_01水果!$Y176="",对接源_01水果!$Y176&lt;&gt;$AL$1,对接源_01水果!$B176="",N(对接源_01水果!$AJ176)&lt;=0),0,IF(OR(N(对接源_01水果!$B176)&lt;$AL$2,N(对接源_01水果!$B176)&gt;$AL$3),0,1))</f>
        <v>0</v>
      </c>
      <c r="AM176" s="3">
        <f t="shared" si="51"/>
        <v>0</v>
      </c>
      <c r="AN176" s="3" t="str">
        <f>IF(对接源_01水果!$AC176="","",对接源_01水果!$AC176)</f>
        <v/>
      </c>
      <c r="AO176" s="3">
        <f t="shared" si="52"/>
        <v>0</v>
      </c>
      <c r="AP176" s="3">
        <f t="shared" si="53"/>
        <v>0</v>
      </c>
      <c r="AQ176" s="3" t="str">
        <f t="shared" si="54"/>
        <v/>
      </c>
      <c r="AR176">
        <f t="shared" si="55"/>
        <v>0</v>
      </c>
      <c r="AS176">
        <f t="shared" si="56"/>
        <v>0</v>
      </c>
    </row>
    <row r="177" ht="14.25" customHeight="1" spans="1:45">
      <c r="A177" s="3" t="str">
        <f>IF(对接源_01水果!$C177="","",对接源_01水果!$C177)</f>
        <v>王照雪</v>
      </c>
      <c r="B177" s="3">
        <f t="shared" si="38"/>
        <v>0</v>
      </c>
      <c r="C177" s="3">
        <f t="shared" si="39"/>
        <v>11</v>
      </c>
      <c r="E177" s="3" t="str">
        <f t="shared" si="40"/>
        <v/>
      </c>
      <c r="K177" s="3">
        <f>IF(OR($K$1="",对接源_01水果!$C177="",对接源_01水果!$C177&lt;&gt;$K$1,对接源_01水果!$B177=""),0,IF(OR(N(对接源_01水果!$B177)&lt;$K$2,N(对接源_01水果!$B177)&gt;$K$3),0,1))</f>
        <v>0</v>
      </c>
      <c r="L177" s="3">
        <f>IF(OR($L$1="",对接源_01水果!$C177="",对接源_01水果!$C177&lt;&gt;$L$1,对接源_01水果!$B177=""),0,IF(OR(N(对接源_01水果!$B177)&lt;$L$2,N(对接源_01水果!$B177)&gt;$L$3),0,1))</f>
        <v>0</v>
      </c>
      <c r="M177" s="3">
        <f>IF(OR($M$1="",对接源_01水果!$C177="",对接源_01水果!$C177&lt;&gt;$M$1,对接源_01水果!$B177=""),0,IF(OR(N(对接源_01水果!$B177)&lt;$M$2,N(对接源_01水果!$B177)&gt;$M$3),0,1))</f>
        <v>0</v>
      </c>
      <c r="N177" s="3">
        <f>IF(OR($N$1="",对接源_01水果!$C177="",对接源_01水果!$C177&lt;&gt;$N$1,对接源_01水果!$B177=""),0,IF(OR(N(对接源_01水果!$B177)&lt;$N$2,N(对接源_01水果!$B177)&gt;$N$3),0,1))</f>
        <v>0</v>
      </c>
      <c r="P177" s="3">
        <f>IF(AND($K177=1,AND(对接源_01水果!$X177="公司筐",N(对接源_01水果!$T177)&lt;&gt;0)),1,0)</f>
        <v>0</v>
      </c>
      <c r="Q177" s="3">
        <f t="shared" si="41"/>
        <v>0</v>
      </c>
      <c r="R177" s="3">
        <f>IF(AND($K177=1,AND(对接源_01水果!$X177="公司筐",N(对接源_01水果!$U177)&lt;&gt;0)),1,0)</f>
        <v>0</v>
      </c>
      <c r="S177" s="3">
        <f t="shared" si="42"/>
        <v>0</v>
      </c>
      <c r="T177" s="3">
        <f>IF(AND($K177=1,AND(对接源_01水果!$X177="公司筐",N(对接源_01水果!$V177)&lt;&gt;0)),1,0)</f>
        <v>0</v>
      </c>
      <c r="U177" s="3">
        <f t="shared" si="43"/>
        <v>3</v>
      </c>
      <c r="V177" s="3">
        <f>IF(AND($L177=1,AND(对接源_01水果!$X177="自备筐",N(对接源_01水果!$V177)&lt;&gt;0)),1,0)</f>
        <v>0</v>
      </c>
      <c r="W177" s="3">
        <f t="shared" si="44"/>
        <v>4</v>
      </c>
      <c r="X177" s="3">
        <f>IF(AND($L177=1,AND(对接源_01水果!$X177="自备筐",N(对接源_01水果!$T177)&lt;&gt;0)),1,0)</f>
        <v>0</v>
      </c>
      <c r="Y177" s="3">
        <f t="shared" si="45"/>
        <v>0</v>
      </c>
      <c r="Z177" s="3">
        <f>IF(AND($M177=1,对接源_01水果!$D177="原料入库"),1,0)</f>
        <v>0</v>
      </c>
      <c r="AA177" s="3">
        <f t="shared" si="46"/>
        <v>9</v>
      </c>
      <c r="AB177" s="3">
        <f>IF(AND($M177=1,LEFT(对接源_01水果!$D177,4)="原料出库"),1,0)</f>
        <v>0</v>
      </c>
      <c r="AC177" s="3">
        <f t="shared" si="47"/>
        <v>0</v>
      </c>
      <c r="AD177" s="3">
        <f>IF(AND($M177=1,LEFT(对接源_01水果!$D177,4)="成品出库"),1,0)</f>
        <v>0</v>
      </c>
      <c r="AE177" s="3">
        <f t="shared" si="48"/>
        <v>0</v>
      </c>
      <c r="AF177" s="3">
        <f>IF(AND($N177=1,AND(LEFT(对接源_01水果!$D177,4)="包装物料",N(对接源_01水果!$K177)&lt;&gt;0)),1,0)</f>
        <v>0</v>
      </c>
      <c r="AG177" s="3">
        <f t="shared" si="49"/>
        <v>0</v>
      </c>
      <c r="AH177" s="3">
        <f>IF(AND($N177=1,AND(对接源_01水果!$D177="周转筐－销售出库",N(对接源_01水果!$K177)&lt;&gt;0)),1,0)</f>
        <v>0</v>
      </c>
      <c r="AI177" s="3">
        <f t="shared" si="50"/>
        <v>0</v>
      </c>
      <c r="AJ177" s="7"/>
      <c r="AL177" s="3">
        <f>IF(OR($AL$1="",对接源_01水果!$Y177="",对接源_01水果!$Y177&lt;&gt;$AL$1,对接源_01水果!$B177="",N(对接源_01水果!$AJ177)&lt;=0),0,IF(OR(N(对接源_01水果!$B177)&lt;$AL$2,N(对接源_01水果!$B177)&gt;$AL$3),0,1))</f>
        <v>0</v>
      </c>
      <c r="AM177" s="3">
        <f t="shared" si="51"/>
        <v>0</v>
      </c>
      <c r="AN177" s="3" t="str">
        <f>IF(对接源_01水果!$AC177="","",对接源_01水果!$AC177)</f>
        <v/>
      </c>
      <c r="AO177" s="3">
        <f t="shared" si="52"/>
        <v>0</v>
      </c>
      <c r="AP177" s="3">
        <f t="shared" si="53"/>
        <v>0</v>
      </c>
      <c r="AQ177" s="3" t="str">
        <f t="shared" si="54"/>
        <v/>
      </c>
      <c r="AR177">
        <f t="shared" si="55"/>
        <v>0</v>
      </c>
      <c r="AS177">
        <f t="shared" si="56"/>
        <v>0</v>
      </c>
    </row>
    <row r="178" ht="14.25" customHeight="1" spans="1:45">
      <c r="A178" s="3" t="str">
        <f>IF(对接源_01水果!$C178="","",对接源_01水果!$C178)</f>
        <v>王照雪</v>
      </c>
      <c r="B178" s="3">
        <f t="shared" si="38"/>
        <v>0</v>
      </c>
      <c r="C178" s="3">
        <f t="shared" si="39"/>
        <v>11</v>
      </c>
      <c r="E178" s="3" t="str">
        <f t="shared" si="40"/>
        <v/>
      </c>
      <c r="K178" s="3">
        <f>IF(OR($K$1="",对接源_01水果!$C178="",对接源_01水果!$C178&lt;&gt;$K$1,对接源_01水果!$B178=""),0,IF(OR(N(对接源_01水果!$B178)&lt;$K$2,N(对接源_01水果!$B178)&gt;$K$3),0,1))</f>
        <v>0</v>
      </c>
      <c r="L178" s="3">
        <f>IF(OR($L$1="",对接源_01水果!$C178="",对接源_01水果!$C178&lt;&gt;$L$1,对接源_01水果!$B178=""),0,IF(OR(N(对接源_01水果!$B178)&lt;$L$2,N(对接源_01水果!$B178)&gt;$L$3),0,1))</f>
        <v>0</v>
      </c>
      <c r="M178" s="3">
        <f>IF(OR($M$1="",对接源_01水果!$C178="",对接源_01水果!$C178&lt;&gt;$M$1,对接源_01水果!$B178=""),0,IF(OR(N(对接源_01水果!$B178)&lt;$M$2,N(对接源_01水果!$B178)&gt;$M$3),0,1))</f>
        <v>0</v>
      </c>
      <c r="N178" s="3">
        <f>IF(OR($N$1="",对接源_01水果!$C178="",对接源_01水果!$C178&lt;&gt;$N$1,对接源_01水果!$B178=""),0,IF(OR(N(对接源_01水果!$B178)&lt;$N$2,N(对接源_01水果!$B178)&gt;$N$3),0,1))</f>
        <v>0</v>
      </c>
      <c r="P178" s="3">
        <f>IF(AND($K178=1,AND(对接源_01水果!$X178="公司筐",N(对接源_01水果!$T178)&lt;&gt;0)),1,0)</f>
        <v>0</v>
      </c>
      <c r="Q178" s="3">
        <f t="shared" si="41"/>
        <v>0</v>
      </c>
      <c r="R178" s="3">
        <f>IF(AND($K178=1,AND(对接源_01水果!$X178="公司筐",N(对接源_01水果!$U178)&lt;&gt;0)),1,0)</f>
        <v>0</v>
      </c>
      <c r="S178" s="3">
        <f t="shared" si="42"/>
        <v>0</v>
      </c>
      <c r="T178" s="3">
        <f>IF(AND($K178=1,AND(对接源_01水果!$X178="公司筐",N(对接源_01水果!$V178)&lt;&gt;0)),1,0)</f>
        <v>0</v>
      </c>
      <c r="U178" s="3">
        <f t="shared" si="43"/>
        <v>3</v>
      </c>
      <c r="V178" s="3">
        <f>IF(AND($L178=1,AND(对接源_01水果!$X178="自备筐",N(对接源_01水果!$V178)&lt;&gt;0)),1,0)</f>
        <v>0</v>
      </c>
      <c r="W178" s="3">
        <f t="shared" si="44"/>
        <v>4</v>
      </c>
      <c r="X178" s="3">
        <f>IF(AND($L178=1,AND(对接源_01水果!$X178="自备筐",N(对接源_01水果!$T178)&lt;&gt;0)),1,0)</f>
        <v>0</v>
      </c>
      <c r="Y178" s="3">
        <f t="shared" si="45"/>
        <v>0</v>
      </c>
      <c r="Z178" s="3">
        <f>IF(AND($M178=1,对接源_01水果!$D178="原料入库"),1,0)</f>
        <v>0</v>
      </c>
      <c r="AA178" s="3">
        <f t="shared" si="46"/>
        <v>9</v>
      </c>
      <c r="AB178" s="3">
        <f>IF(AND($M178=1,LEFT(对接源_01水果!$D178,4)="原料出库"),1,0)</f>
        <v>0</v>
      </c>
      <c r="AC178" s="3">
        <f t="shared" si="47"/>
        <v>0</v>
      </c>
      <c r="AD178" s="3">
        <f>IF(AND($M178=1,LEFT(对接源_01水果!$D178,4)="成品出库"),1,0)</f>
        <v>0</v>
      </c>
      <c r="AE178" s="3">
        <f t="shared" si="48"/>
        <v>0</v>
      </c>
      <c r="AF178" s="3">
        <f>IF(AND($N178=1,AND(LEFT(对接源_01水果!$D178,4)="包装物料",N(对接源_01水果!$K178)&lt;&gt;0)),1,0)</f>
        <v>0</v>
      </c>
      <c r="AG178" s="3">
        <f t="shared" si="49"/>
        <v>0</v>
      </c>
      <c r="AH178" s="3">
        <f>IF(AND($N178=1,AND(对接源_01水果!$D178="周转筐－销售出库",N(对接源_01水果!$K178)&lt;&gt;0)),1,0)</f>
        <v>0</v>
      </c>
      <c r="AI178" s="3">
        <f t="shared" si="50"/>
        <v>0</v>
      </c>
      <c r="AJ178" s="7"/>
      <c r="AL178" s="3">
        <f>IF(OR($AL$1="",对接源_01水果!$Y178="",对接源_01水果!$Y178&lt;&gt;$AL$1,对接源_01水果!$B178="",N(对接源_01水果!$AJ178)&lt;=0),0,IF(OR(N(对接源_01水果!$B178)&lt;$AL$2,N(对接源_01水果!$B178)&gt;$AL$3),0,1))</f>
        <v>0</v>
      </c>
      <c r="AM178" s="3">
        <f t="shared" si="51"/>
        <v>0</v>
      </c>
      <c r="AN178" s="3" t="str">
        <f>IF(对接源_01水果!$AC178="","",对接源_01水果!$AC178)</f>
        <v/>
      </c>
      <c r="AO178" s="3">
        <f t="shared" si="52"/>
        <v>0</v>
      </c>
      <c r="AP178" s="3">
        <f t="shared" si="53"/>
        <v>0</v>
      </c>
      <c r="AQ178" s="3" t="str">
        <f t="shared" si="54"/>
        <v/>
      </c>
      <c r="AR178">
        <f t="shared" si="55"/>
        <v>0</v>
      </c>
      <c r="AS178">
        <f t="shared" si="56"/>
        <v>0</v>
      </c>
    </row>
    <row r="179" ht="14.25" customHeight="1" spans="1:45">
      <c r="A179" s="3" t="str">
        <f>IF(对接源_01水果!$C179="","",对接源_01水果!$C179)</f>
        <v>热合曼</v>
      </c>
      <c r="B179" s="3">
        <f t="shared" si="38"/>
        <v>0</v>
      </c>
      <c r="C179" s="3">
        <f t="shared" si="39"/>
        <v>11</v>
      </c>
      <c r="E179" s="3" t="str">
        <f t="shared" si="40"/>
        <v/>
      </c>
      <c r="K179" s="3">
        <f>IF(OR($K$1="",对接源_01水果!$C179="",对接源_01水果!$C179&lt;&gt;$K$1,对接源_01水果!$B179=""),0,IF(OR(N(对接源_01水果!$B179)&lt;$K$2,N(对接源_01水果!$B179)&gt;$K$3),0,1))</f>
        <v>0</v>
      </c>
      <c r="L179" s="3">
        <f>IF(OR($L$1="",对接源_01水果!$C179="",对接源_01水果!$C179&lt;&gt;$L$1,对接源_01水果!$B179=""),0,IF(OR(N(对接源_01水果!$B179)&lt;$L$2,N(对接源_01水果!$B179)&gt;$L$3),0,1))</f>
        <v>0</v>
      </c>
      <c r="M179" s="3">
        <f>IF(OR($M$1="",对接源_01水果!$C179="",对接源_01水果!$C179&lt;&gt;$M$1,对接源_01水果!$B179=""),0,IF(OR(N(对接源_01水果!$B179)&lt;$M$2,N(对接源_01水果!$B179)&gt;$M$3),0,1))</f>
        <v>0</v>
      </c>
      <c r="N179" s="3">
        <f>IF(OR($N$1="",对接源_01水果!$C179="",对接源_01水果!$C179&lt;&gt;$N$1,对接源_01水果!$B179=""),0,IF(OR(N(对接源_01水果!$B179)&lt;$N$2,N(对接源_01水果!$B179)&gt;$N$3),0,1))</f>
        <v>0</v>
      </c>
      <c r="P179" s="3">
        <f>IF(AND($K179=1,AND(对接源_01水果!$X179="公司筐",N(对接源_01水果!$T179)&lt;&gt;0)),1,0)</f>
        <v>0</v>
      </c>
      <c r="Q179" s="3">
        <f t="shared" si="41"/>
        <v>0</v>
      </c>
      <c r="R179" s="3">
        <f>IF(AND($K179=1,AND(对接源_01水果!$X179="公司筐",N(对接源_01水果!$U179)&lt;&gt;0)),1,0)</f>
        <v>0</v>
      </c>
      <c r="S179" s="3">
        <f t="shared" si="42"/>
        <v>0</v>
      </c>
      <c r="T179" s="3">
        <f>IF(AND($K179=1,AND(对接源_01水果!$X179="公司筐",N(对接源_01水果!$V179)&lt;&gt;0)),1,0)</f>
        <v>0</v>
      </c>
      <c r="U179" s="3">
        <f t="shared" si="43"/>
        <v>3</v>
      </c>
      <c r="V179" s="3">
        <f>IF(AND($L179=1,AND(对接源_01水果!$X179="自备筐",N(对接源_01水果!$V179)&lt;&gt;0)),1,0)</f>
        <v>0</v>
      </c>
      <c r="W179" s="3">
        <f t="shared" si="44"/>
        <v>4</v>
      </c>
      <c r="X179" s="3">
        <f>IF(AND($L179=1,AND(对接源_01水果!$X179="自备筐",N(对接源_01水果!$T179)&lt;&gt;0)),1,0)</f>
        <v>0</v>
      </c>
      <c r="Y179" s="3">
        <f t="shared" si="45"/>
        <v>0</v>
      </c>
      <c r="Z179" s="3">
        <f>IF(AND($M179=1,对接源_01水果!$D179="原料入库"),1,0)</f>
        <v>0</v>
      </c>
      <c r="AA179" s="3">
        <f t="shared" si="46"/>
        <v>9</v>
      </c>
      <c r="AB179" s="3">
        <f>IF(AND($M179=1,LEFT(对接源_01水果!$D179,4)="原料出库"),1,0)</f>
        <v>0</v>
      </c>
      <c r="AC179" s="3">
        <f t="shared" si="47"/>
        <v>0</v>
      </c>
      <c r="AD179" s="3">
        <f>IF(AND($M179=1,LEFT(对接源_01水果!$D179,4)="成品出库"),1,0)</f>
        <v>0</v>
      </c>
      <c r="AE179" s="3">
        <f t="shared" si="48"/>
        <v>0</v>
      </c>
      <c r="AF179" s="3">
        <f>IF(AND($N179=1,AND(LEFT(对接源_01水果!$D179,4)="包装物料",N(对接源_01水果!$K179)&lt;&gt;0)),1,0)</f>
        <v>0</v>
      </c>
      <c r="AG179" s="3">
        <f t="shared" si="49"/>
        <v>0</v>
      </c>
      <c r="AH179" s="3">
        <f>IF(AND($N179=1,AND(对接源_01水果!$D179="周转筐－销售出库",N(对接源_01水果!$K179)&lt;&gt;0)),1,0)</f>
        <v>0</v>
      </c>
      <c r="AI179" s="3">
        <f t="shared" si="50"/>
        <v>0</v>
      </c>
      <c r="AJ179" s="7"/>
      <c r="AL179" s="3">
        <f>IF(OR($AL$1="",对接源_01水果!$Y179="",对接源_01水果!$Y179&lt;&gt;$AL$1,对接源_01水果!$B179="",N(对接源_01水果!$AJ179)&lt;=0),0,IF(OR(N(对接源_01水果!$B179)&lt;$AL$2,N(对接源_01水果!$B179)&gt;$AL$3),0,1))</f>
        <v>0</v>
      </c>
      <c r="AM179" s="3">
        <f t="shared" si="51"/>
        <v>0</v>
      </c>
      <c r="AN179" s="3" t="str">
        <f>IF(对接源_01水果!$AC179="","",对接源_01水果!$AC179)</f>
        <v/>
      </c>
      <c r="AO179" s="3">
        <f t="shared" si="52"/>
        <v>0</v>
      </c>
      <c r="AP179" s="3">
        <f t="shared" si="53"/>
        <v>0</v>
      </c>
      <c r="AQ179" s="3" t="str">
        <f t="shared" si="54"/>
        <v/>
      </c>
      <c r="AR179">
        <f t="shared" si="55"/>
        <v>0</v>
      </c>
      <c r="AS179">
        <f t="shared" si="56"/>
        <v>0</v>
      </c>
    </row>
    <row r="180" ht="14.25" customHeight="1" spans="1:45">
      <c r="A180" s="3" t="str">
        <f>IF(对接源_01水果!$C180="","",对接源_01水果!$C180)</f>
        <v>热合曼</v>
      </c>
      <c r="B180" s="3">
        <f t="shared" si="38"/>
        <v>0</v>
      </c>
      <c r="C180" s="3">
        <f t="shared" si="39"/>
        <v>11</v>
      </c>
      <c r="E180" s="3" t="str">
        <f t="shared" si="40"/>
        <v/>
      </c>
      <c r="K180" s="3">
        <f>IF(OR($K$1="",对接源_01水果!$C180="",对接源_01水果!$C180&lt;&gt;$K$1,对接源_01水果!$B180=""),0,IF(OR(N(对接源_01水果!$B180)&lt;$K$2,N(对接源_01水果!$B180)&gt;$K$3),0,1))</f>
        <v>0</v>
      </c>
      <c r="L180" s="3">
        <f>IF(OR($L$1="",对接源_01水果!$C180="",对接源_01水果!$C180&lt;&gt;$L$1,对接源_01水果!$B180=""),0,IF(OR(N(对接源_01水果!$B180)&lt;$L$2,N(对接源_01水果!$B180)&gt;$L$3),0,1))</f>
        <v>0</v>
      </c>
      <c r="M180" s="3">
        <f>IF(OR($M$1="",对接源_01水果!$C180="",对接源_01水果!$C180&lt;&gt;$M$1,对接源_01水果!$B180=""),0,IF(OR(N(对接源_01水果!$B180)&lt;$M$2,N(对接源_01水果!$B180)&gt;$M$3),0,1))</f>
        <v>0</v>
      </c>
      <c r="N180" s="3">
        <f>IF(OR($N$1="",对接源_01水果!$C180="",对接源_01水果!$C180&lt;&gt;$N$1,对接源_01水果!$B180=""),0,IF(OR(N(对接源_01水果!$B180)&lt;$N$2,N(对接源_01水果!$B180)&gt;$N$3),0,1))</f>
        <v>0</v>
      </c>
      <c r="P180" s="3">
        <f>IF(AND($K180=1,AND(对接源_01水果!$X180="公司筐",N(对接源_01水果!$T180)&lt;&gt;0)),1,0)</f>
        <v>0</v>
      </c>
      <c r="Q180" s="3">
        <f t="shared" si="41"/>
        <v>0</v>
      </c>
      <c r="R180" s="3">
        <f>IF(AND($K180=1,AND(对接源_01水果!$X180="公司筐",N(对接源_01水果!$U180)&lt;&gt;0)),1,0)</f>
        <v>0</v>
      </c>
      <c r="S180" s="3">
        <f t="shared" si="42"/>
        <v>0</v>
      </c>
      <c r="T180" s="3">
        <f>IF(AND($K180=1,AND(对接源_01水果!$X180="公司筐",N(对接源_01水果!$V180)&lt;&gt;0)),1,0)</f>
        <v>0</v>
      </c>
      <c r="U180" s="3">
        <f t="shared" si="43"/>
        <v>3</v>
      </c>
      <c r="V180" s="3">
        <f>IF(AND($L180=1,AND(对接源_01水果!$X180="自备筐",N(对接源_01水果!$V180)&lt;&gt;0)),1,0)</f>
        <v>0</v>
      </c>
      <c r="W180" s="3">
        <f t="shared" si="44"/>
        <v>4</v>
      </c>
      <c r="X180" s="3">
        <f>IF(AND($L180=1,AND(对接源_01水果!$X180="自备筐",N(对接源_01水果!$T180)&lt;&gt;0)),1,0)</f>
        <v>0</v>
      </c>
      <c r="Y180" s="3">
        <f t="shared" si="45"/>
        <v>0</v>
      </c>
      <c r="Z180" s="3">
        <f>IF(AND($M180=1,对接源_01水果!$D180="原料入库"),1,0)</f>
        <v>0</v>
      </c>
      <c r="AA180" s="3">
        <f t="shared" si="46"/>
        <v>9</v>
      </c>
      <c r="AB180" s="3">
        <f>IF(AND($M180=1,LEFT(对接源_01水果!$D180,4)="原料出库"),1,0)</f>
        <v>0</v>
      </c>
      <c r="AC180" s="3">
        <f t="shared" si="47"/>
        <v>0</v>
      </c>
      <c r="AD180" s="3">
        <f>IF(AND($M180=1,LEFT(对接源_01水果!$D180,4)="成品出库"),1,0)</f>
        <v>0</v>
      </c>
      <c r="AE180" s="3">
        <f t="shared" si="48"/>
        <v>0</v>
      </c>
      <c r="AF180" s="3">
        <f>IF(AND($N180=1,AND(LEFT(对接源_01水果!$D180,4)="包装物料",N(对接源_01水果!$K180)&lt;&gt;0)),1,0)</f>
        <v>0</v>
      </c>
      <c r="AG180" s="3">
        <f t="shared" si="49"/>
        <v>0</v>
      </c>
      <c r="AH180" s="3">
        <f>IF(AND($N180=1,AND(对接源_01水果!$D180="周转筐－销售出库",N(对接源_01水果!$K180)&lt;&gt;0)),1,0)</f>
        <v>0</v>
      </c>
      <c r="AI180" s="3">
        <f t="shared" si="50"/>
        <v>0</v>
      </c>
      <c r="AJ180" s="7"/>
      <c r="AL180" s="3">
        <f>IF(OR($AL$1="",对接源_01水果!$Y180="",对接源_01水果!$Y180&lt;&gt;$AL$1,对接源_01水果!$B180="",N(对接源_01水果!$AJ180)&lt;=0),0,IF(OR(N(对接源_01水果!$B180)&lt;$AL$2,N(对接源_01水果!$B180)&gt;$AL$3),0,1))</f>
        <v>0</v>
      </c>
      <c r="AM180" s="3">
        <f t="shared" si="51"/>
        <v>0</v>
      </c>
      <c r="AN180" s="3" t="str">
        <f>IF(对接源_01水果!$AC180="","",对接源_01水果!$AC180)</f>
        <v/>
      </c>
      <c r="AO180" s="3">
        <f t="shared" si="52"/>
        <v>0</v>
      </c>
      <c r="AP180" s="3">
        <f t="shared" si="53"/>
        <v>0</v>
      </c>
      <c r="AQ180" s="3" t="str">
        <f t="shared" si="54"/>
        <v/>
      </c>
      <c r="AR180">
        <f t="shared" si="55"/>
        <v>0</v>
      </c>
      <c r="AS180">
        <f t="shared" si="56"/>
        <v>0</v>
      </c>
    </row>
    <row r="181" ht="14.25" customHeight="1" spans="1:45">
      <c r="A181" s="3" t="str">
        <f>IF(对接源_01水果!$C181="","",对接源_01水果!$C181)</f>
        <v>热合曼</v>
      </c>
      <c r="B181" s="3">
        <f t="shared" si="38"/>
        <v>0</v>
      </c>
      <c r="C181" s="3">
        <f t="shared" si="39"/>
        <v>11</v>
      </c>
      <c r="E181" s="3" t="str">
        <f t="shared" si="40"/>
        <v/>
      </c>
      <c r="K181" s="3">
        <f>IF(OR($K$1="",对接源_01水果!$C181="",对接源_01水果!$C181&lt;&gt;$K$1,对接源_01水果!$B181=""),0,IF(OR(N(对接源_01水果!$B181)&lt;$K$2,N(对接源_01水果!$B181)&gt;$K$3),0,1))</f>
        <v>0</v>
      </c>
      <c r="L181" s="3">
        <f>IF(OR($L$1="",对接源_01水果!$C181="",对接源_01水果!$C181&lt;&gt;$L$1,对接源_01水果!$B181=""),0,IF(OR(N(对接源_01水果!$B181)&lt;$L$2,N(对接源_01水果!$B181)&gt;$L$3),0,1))</f>
        <v>0</v>
      </c>
      <c r="M181" s="3">
        <f>IF(OR($M$1="",对接源_01水果!$C181="",对接源_01水果!$C181&lt;&gt;$M$1,对接源_01水果!$B181=""),0,IF(OR(N(对接源_01水果!$B181)&lt;$M$2,N(对接源_01水果!$B181)&gt;$M$3),0,1))</f>
        <v>0</v>
      </c>
      <c r="N181" s="3">
        <f>IF(OR($N$1="",对接源_01水果!$C181="",对接源_01水果!$C181&lt;&gt;$N$1,对接源_01水果!$B181=""),0,IF(OR(N(对接源_01水果!$B181)&lt;$N$2,N(对接源_01水果!$B181)&gt;$N$3),0,1))</f>
        <v>0</v>
      </c>
      <c r="P181" s="3">
        <f>IF(AND($K181=1,AND(对接源_01水果!$X181="公司筐",N(对接源_01水果!$T181)&lt;&gt;0)),1,0)</f>
        <v>0</v>
      </c>
      <c r="Q181" s="3">
        <f t="shared" si="41"/>
        <v>0</v>
      </c>
      <c r="R181" s="3">
        <f>IF(AND($K181=1,AND(对接源_01水果!$X181="公司筐",N(对接源_01水果!$U181)&lt;&gt;0)),1,0)</f>
        <v>0</v>
      </c>
      <c r="S181" s="3">
        <f t="shared" si="42"/>
        <v>0</v>
      </c>
      <c r="T181" s="3">
        <f>IF(AND($K181=1,AND(对接源_01水果!$X181="公司筐",N(对接源_01水果!$V181)&lt;&gt;0)),1,0)</f>
        <v>0</v>
      </c>
      <c r="U181" s="3">
        <f t="shared" si="43"/>
        <v>3</v>
      </c>
      <c r="V181" s="3">
        <f>IF(AND($L181=1,AND(对接源_01水果!$X181="自备筐",N(对接源_01水果!$V181)&lt;&gt;0)),1,0)</f>
        <v>0</v>
      </c>
      <c r="W181" s="3">
        <f t="shared" si="44"/>
        <v>4</v>
      </c>
      <c r="X181" s="3">
        <f>IF(AND($L181=1,AND(对接源_01水果!$X181="自备筐",N(对接源_01水果!$T181)&lt;&gt;0)),1,0)</f>
        <v>0</v>
      </c>
      <c r="Y181" s="3">
        <f t="shared" si="45"/>
        <v>0</v>
      </c>
      <c r="Z181" s="3">
        <f>IF(AND($M181=1,对接源_01水果!$D181="原料入库"),1,0)</f>
        <v>0</v>
      </c>
      <c r="AA181" s="3">
        <f t="shared" si="46"/>
        <v>9</v>
      </c>
      <c r="AB181" s="3">
        <f>IF(AND($M181=1,LEFT(对接源_01水果!$D181,4)="原料出库"),1,0)</f>
        <v>0</v>
      </c>
      <c r="AC181" s="3">
        <f t="shared" si="47"/>
        <v>0</v>
      </c>
      <c r="AD181" s="3">
        <f>IF(AND($M181=1,LEFT(对接源_01水果!$D181,4)="成品出库"),1,0)</f>
        <v>0</v>
      </c>
      <c r="AE181" s="3">
        <f t="shared" si="48"/>
        <v>0</v>
      </c>
      <c r="AF181" s="3">
        <f>IF(AND($N181=1,AND(LEFT(对接源_01水果!$D181,4)="包装物料",N(对接源_01水果!$K181)&lt;&gt;0)),1,0)</f>
        <v>0</v>
      </c>
      <c r="AG181" s="3">
        <f t="shared" si="49"/>
        <v>0</v>
      </c>
      <c r="AH181" s="3">
        <f>IF(AND($N181=1,AND(对接源_01水果!$D181="周转筐－销售出库",N(对接源_01水果!$K181)&lt;&gt;0)),1,0)</f>
        <v>0</v>
      </c>
      <c r="AI181" s="3">
        <f t="shared" si="50"/>
        <v>0</v>
      </c>
      <c r="AJ181" s="7"/>
      <c r="AL181" s="3">
        <f>IF(OR($AL$1="",对接源_01水果!$Y181="",对接源_01水果!$Y181&lt;&gt;$AL$1,对接源_01水果!$B181="",N(对接源_01水果!$AJ181)&lt;=0),0,IF(OR(N(对接源_01水果!$B181)&lt;$AL$2,N(对接源_01水果!$B181)&gt;$AL$3),0,1))</f>
        <v>0</v>
      </c>
      <c r="AM181" s="3">
        <f t="shared" si="51"/>
        <v>0</v>
      </c>
      <c r="AN181" s="3" t="str">
        <f>IF(对接源_01水果!$AC181="","",对接源_01水果!$AC181)</f>
        <v/>
      </c>
      <c r="AO181" s="3">
        <f t="shared" si="52"/>
        <v>0</v>
      </c>
      <c r="AP181" s="3">
        <f t="shared" si="53"/>
        <v>0</v>
      </c>
      <c r="AQ181" s="3" t="str">
        <f t="shared" si="54"/>
        <v/>
      </c>
      <c r="AR181">
        <f t="shared" si="55"/>
        <v>0</v>
      </c>
      <c r="AS181">
        <f t="shared" si="56"/>
        <v>0</v>
      </c>
    </row>
    <row r="182" ht="14.25" customHeight="1" spans="1:45">
      <c r="A182" s="3" t="str">
        <f>IF(对接源_01水果!$C182="","",对接源_01水果!$C182)</f>
        <v>马锦祥</v>
      </c>
      <c r="B182" s="3">
        <f t="shared" si="38"/>
        <v>0</v>
      </c>
      <c r="C182" s="3">
        <f t="shared" si="39"/>
        <v>11</v>
      </c>
      <c r="E182" s="3" t="str">
        <f t="shared" si="40"/>
        <v/>
      </c>
      <c r="K182" s="3">
        <f>IF(OR($K$1="",对接源_01水果!$C182="",对接源_01水果!$C182&lt;&gt;$K$1,对接源_01水果!$B182=""),0,IF(OR(N(对接源_01水果!$B182)&lt;$K$2,N(对接源_01水果!$B182)&gt;$K$3),0,1))</f>
        <v>0</v>
      </c>
      <c r="L182" s="3">
        <f>IF(OR($L$1="",对接源_01水果!$C182="",对接源_01水果!$C182&lt;&gt;$L$1,对接源_01水果!$B182=""),0,IF(OR(N(对接源_01水果!$B182)&lt;$L$2,N(对接源_01水果!$B182)&gt;$L$3),0,1))</f>
        <v>0</v>
      </c>
      <c r="M182" s="3">
        <f>IF(OR($M$1="",对接源_01水果!$C182="",对接源_01水果!$C182&lt;&gt;$M$1,对接源_01水果!$B182=""),0,IF(OR(N(对接源_01水果!$B182)&lt;$M$2,N(对接源_01水果!$B182)&gt;$M$3),0,1))</f>
        <v>0</v>
      </c>
      <c r="N182" s="3">
        <f>IF(OR($N$1="",对接源_01水果!$C182="",对接源_01水果!$C182&lt;&gt;$N$1,对接源_01水果!$B182=""),0,IF(OR(N(对接源_01水果!$B182)&lt;$N$2,N(对接源_01水果!$B182)&gt;$N$3),0,1))</f>
        <v>0</v>
      </c>
      <c r="P182" s="3">
        <f>IF(AND($K182=1,AND(对接源_01水果!$X182="公司筐",N(对接源_01水果!$T182)&lt;&gt;0)),1,0)</f>
        <v>0</v>
      </c>
      <c r="Q182" s="3">
        <f t="shared" si="41"/>
        <v>0</v>
      </c>
      <c r="R182" s="3">
        <f>IF(AND($K182=1,AND(对接源_01水果!$X182="公司筐",N(对接源_01水果!$U182)&lt;&gt;0)),1,0)</f>
        <v>0</v>
      </c>
      <c r="S182" s="3">
        <f t="shared" si="42"/>
        <v>0</v>
      </c>
      <c r="T182" s="3">
        <f>IF(AND($K182=1,AND(对接源_01水果!$X182="公司筐",N(对接源_01水果!$V182)&lt;&gt;0)),1,0)</f>
        <v>0</v>
      </c>
      <c r="U182" s="3">
        <f t="shared" si="43"/>
        <v>3</v>
      </c>
      <c r="V182" s="3">
        <f>IF(AND($L182=1,AND(对接源_01水果!$X182="自备筐",N(对接源_01水果!$V182)&lt;&gt;0)),1,0)</f>
        <v>0</v>
      </c>
      <c r="W182" s="3">
        <f t="shared" si="44"/>
        <v>4</v>
      </c>
      <c r="X182" s="3">
        <f>IF(AND($L182=1,AND(对接源_01水果!$X182="自备筐",N(对接源_01水果!$T182)&lt;&gt;0)),1,0)</f>
        <v>0</v>
      </c>
      <c r="Y182" s="3">
        <f t="shared" si="45"/>
        <v>0</v>
      </c>
      <c r="Z182" s="3">
        <f>IF(AND($M182=1,对接源_01水果!$D182="原料入库"),1,0)</f>
        <v>0</v>
      </c>
      <c r="AA182" s="3">
        <f t="shared" si="46"/>
        <v>9</v>
      </c>
      <c r="AB182" s="3">
        <f>IF(AND($M182=1,LEFT(对接源_01水果!$D182,4)="原料出库"),1,0)</f>
        <v>0</v>
      </c>
      <c r="AC182" s="3">
        <f t="shared" si="47"/>
        <v>0</v>
      </c>
      <c r="AD182" s="3">
        <f>IF(AND($M182=1,LEFT(对接源_01水果!$D182,4)="成品出库"),1,0)</f>
        <v>0</v>
      </c>
      <c r="AE182" s="3">
        <f t="shared" si="48"/>
        <v>0</v>
      </c>
      <c r="AF182" s="3">
        <f>IF(AND($N182=1,AND(LEFT(对接源_01水果!$D182,4)="包装物料",N(对接源_01水果!$K182)&lt;&gt;0)),1,0)</f>
        <v>0</v>
      </c>
      <c r="AG182" s="3">
        <f t="shared" si="49"/>
        <v>0</v>
      </c>
      <c r="AH182" s="3">
        <f>IF(AND($N182=1,AND(对接源_01水果!$D182="周转筐－销售出库",N(对接源_01水果!$K182)&lt;&gt;0)),1,0)</f>
        <v>0</v>
      </c>
      <c r="AI182" s="3">
        <f t="shared" si="50"/>
        <v>0</v>
      </c>
      <c r="AJ182" s="7"/>
      <c r="AL182" s="3">
        <f>IF(OR($AL$1="",对接源_01水果!$Y182="",对接源_01水果!$Y182&lt;&gt;$AL$1,对接源_01水果!$B182="",N(对接源_01水果!$AJ182)&lt;=0),0,IF(OR(N(对接源_01水果!$B182)&lt;$AL$2,N(对接源_01水果!$B182)&gt;$AL$3),0,1))</f>
        <v>0</v>
      </c>
      <c r="AM182" s="3">
        <f t="shared" si="51"/>
        <v>0</v>
      </c>
      <c r="AN182" s="3" t="str">
        <f>IF(对接源_01水果!$AC182="","",对接源_01水果!$AC182)</f>
        <v/>
      </c>
      <c r="AO182" s="3">
        <f t="shared" si="52"/>
        <v>0</v>
      </c>
      <c r="AP182" s="3">
        <f t="shared" si="53"/>
        <v>0</v>
      </c>
      <c r="AQ182" s="3" t="str">
        <f t="shared" si="54"/>
        <v/>
      </c>
      <c r="AR182">
        <f t="shared" si="55"/>
        <v>0</v>
      </c>
      <c r="AS182">
        <f t="shared" si="56"/>
        <v>0</v>
      </c>
    </row>
    <row r="183" ht="14.25" customHeight="1" spans="1:45">
      <c r="A183" s="3" t="str">
        <f>IF(对接源_01水果!$C183="","",对接源_01水果!$C183)</f>
        <v>马锦祥</v>
      </c>
      <c r="B183" s="3">
        <f t="shared" si="38"/>
        <v>0</v>
      </c>
      <c r="C183" s="3">
        <f t="shared" si="39"/>
        <v>11</v>
      </c>
      <c r="E183" s="3" t="str">
        <f t="shared" si="40"/>
        <v/>
      </c>
      <c r="K183" s="3">
        <f>IF(OR($K$1="",对接源_01水果!$C183="",对接源_01水果!$C183&lt;&gt;$K$1,对接源_01水果!$B183=""),0,IF(OR(N(对接源_01水果!$B183)&lt;$K$2,N(对接源_01水果!$B183)&gt;$K$3),0,1))</f>
        <v>0</v>
      </c>
      <c r="L183" s="3">
        <f>IF(OR($L$1="",对接源_01水果!$C183="",对接源_01水果!$C183&lt;&gt;$L$1,对接源_01水果!$B183=""),0,IF(OR(N(对接源_01水果!$B183)&lt;$L$2,N(对接源_01水果!$B183)&gt;$L$3),0,1))</f>
        <v>0</v>
      </c>
      <c r="M183" s="3">
        <f>IF(OR($M$1="",对接源_01水果!$C183="",对接源_01水果!$C183&lt;&gt;$M$1,对接源_01水果!$B183=""),0,IF(OR(N(对接源_01水果!$B183)&lt;$M$2,N(对接源_01水果!$B183)&gt;$M$3),0,1))</f>
        <v>0</v>
      </c>
      <c r="N183" s="3">
        <f>IF(OR($N$1="",对接源_01水果!$C183="",对接源_01水果!$C183&lt;&gt;$N$1,对接源_01水果!$B183=""),0,IF(OR(N(对接源_01水果!$B183)&lt;$N$2,N(对接源_01水果!$B183)&gt;$N$3),0,1))</f>
        <v>0</v>
      </c>
      <c r="P183" s="3">
        <f>IF(AND($K183=1,AND(对接源_01水果!$X183="公司筐",N(对接源_01水果!$T183)&lt;&gt;0)),1,0)</f>
        <v>0</v>
      </c>
      <c r="Q183" s="3">
        <f t="shared" si="41"/>
        <v>0</v>
      </c>
      <c r="R183" s="3">
        <f>IF(AND($K183=1,AND(对接源_01水果!$X183="公司筐",N(对接源_01水果!$U183)&lt;&gt;0)),1,0)</f>
        <v>0</v>
      </c>
      <c r="S183" s="3">
        <f t="shared" si="42"/>
        <v>0</v>
      </c>
      <c r="T183" s="3">
        <f>IF(AND($K183=1,AND(对接源_01水果!$X183="公司筐",N(对接源_01水果!$V183)&lt;&gt;0)),1,0)</f>
        <v>0</v>
      </c>
      <c r="U183" s="3">
        <f t="shared" si="43"/>
        <v>3</v>
      </c>
      <c r="V183" s="3">
        <f>IF(AND($L183=1,AND(对接源_01水果!$X183="自备筐",N(对接源_01水果!$V183)&lt;&gt;0)),1,0)</f>
        <v>0</v>
      </c>
      <c r="W183" s="3">
        <f t="shared" si="44"/>
        <v>4</v>
      </c>
      <c r="X183" s="3">
        <f>IF(AND($L183=1,AND(对接源_01水果!$X183="自备筐",N(对接源_01水果!$T183)&lt;&gt;0)),1,0)</f>
        <v>0</v>
      </c>
      <c r="Y183" s="3">
        <f t="shared" si="45"/>
        <v>0</v>
      </c>
      <c r="Z183" s="3">
        <f>IF(AND($M183=1,对接源_01水果!$D183="原料入库"),1,0)</f>
        <v>0</v>
      </c>
      <c r="AA183" s="3">
        <f t="shared" si="46"/>
        <v>9</v>
      </c>
      <c r="AB183" s="3">
        <f>IF(AND($M183=1,LEFT(对接源_01水果!$D183,4)="原料出库"),1,0)</f>
        <v>0</v>
      </c>
      <c r="AC183" s="3">
        <f t="shared" si="47"/>
        <v>0</v>
      </c>
      <c r="AD183" s="3">
        <f>IF(AND($M183=1,LEFT(对接源_01水果!$D183,4)="成品出库"),1,0)</f>
        <v>0</v>
      </c>
      <c r="AE183" s="3">
        <f t="shared" si="48"/>
        <v>0</v>
      </c>
      <c r="AF183" s="3">
        <f>IF(AND($N183=1,AND(LEFT(对接源_01水果!$D183,4)="包装物料",N(对接源_01水果!$K183)&lt;&gt;0)),1,0)</f>
        <v>0</v>
      </c>
      <c r="AG183" s="3">
        <f t="shared" si="49"/>
        <v>0</v>
      </c>
      <c r="AH183" s="3">
        <f>IF(AND($N183=1,AND(对接源_01水果!$D183="周转筐－销售出库",N(对接源_01水果!$K183)&lt;&gt;0)),1,0)</f>
        <v>0</v>
      </c>
      <c r="AI183" s="3">
        <f t="shared" si="50"/>
        <v>0</v>
      </c>
      <c r="AJ183" s="7"/>
      <c r="AL183" s="3">
        <f>IF(OR($AL$1="",对接源_01水果!$Y183="",对接源_01水果!$Y183&lt;&gt;$AL$1,对接源_01水果!$B183="",N(对接源_01水果!$AJ183)&lt;=0),0,IF(OR(N(对接源_01水果!$B183)&lt;$AL$2,N(对接源_01水果!$B183)&gt;$AL$3),0,1))</f>
        <v>0</v>
      </c>
      <c r="AM183" s="3">
        <f t="shared" si="51"/>
        <v>0</v>
      </c>
      <c r="AN183" s="3" t="str">
        <f>IF(对接源_01水果!$AC183="","",对接源_01水果!$AC183)</f>
        <v/>
      </c>
      <c r="AO183" s="3">
        <f t="shared" si="52"/>
        <v>0</v>
      </c>
      <c r="AP183" s="3">
        <f t="shared" si="53"/>
        <v>0</v>
      </c>
      <c r="AQ183" s="3" t="str">
        <f t="shared" si="54"/>
        <v/>
      </c>
      <c r="AR183">
        <f t="shared" si="55"/>
        <v>0</v>
      </c>
      <c r="AS183">
        <f t="shared" si="56"/>
        <v>0</v>
      </c>
    </row>
    <row r="184" ht="14.25" customHeight="1" spans="1:45">
      <c r="A184" s="3" t="str">
        <f>IF(对接源_01水果!$C184="","",对接源_01水果!$C184)</f>
        <v>马锦祥</v>
      </c>
      <c r="B184" s="3">
        <f t="shared" si="38"/>
        <v>0</v>
      </c>
      <c r="C184" s="3">
        <f t="shared" si="39"/>
        <v>11</v>
      </c>
      <c r="E184" s="3" t="str">
        <f t="shared" si="40"/>
        <v/>
      </c>
      <c r="K184" s="3">
        <f>IF(OR($K$1="",对接源_01水果!$C184="",对接源_01水果!$C184&lt;&gt;$K$1,对接源_01水果!$B184=""),0,IF(OR(N(对接源_01水果!$B184)&lt;$K$2,N(对接源_01水果!$B184)&gt;$K$3),0,1))</f>
        <v>0</v>
      </c>
      <c r="L184" s="3">
        <f>IF(OR($L$1="",对接源_01水果!$C184="",对接源_01水果!$C184&lt;&gt;$L$1,对接源_01水果!$B184=""),0,IF(OR(N(对接源_01水果!$B184)&lt;$L$2,N(对接源_01水果!$B184)&gt;$L$3),0,1))</f>
        <v>0</v>
      </c>
      <c r="M184" s="3">
        <f>IF(OR($M$1="",对接源_01水果!$C184="",对接源_01水果!$C184&lt;&gt;$M$1,对接源_01水果!$B184=""),0,IF(OR(N(对接源_01水果!$B184)&lt;$M$2,N(对接源_01水果!$B184)&gt;$M$3),0,1))</f>
        <v>0</v>
      </c>
      <c r="N184" s="3">
        <f>IF(OR($N$1="",对接源_01水果!$C184="",对接源_01水果!$C184&lt;&gt;$N$1,对接源_01水果!$B184=""),0,IF(OR(N(对接源_01水果!$B184)&lt;$N$2,N(对接源_01水果!$B184)&gt;$N$3),0,1))</f>
        <v>0</v>
      </c>
      <c r="P184" s="3">
        <f>IF(AND($K184=1,AND(对接源_01水果!$X184="公司筐",N(对接源_01水果!$T184)&lt;&gt;0)),1,0)</f>
        <v>0</v>
      </c>
      <c r="Q184" s="3">
        <f t="shared" si="41"/>
        <v>0</v>
      </c>
      <c r="R184" s="3">
        <f>IF(AND($K184=1,AND(对接源_01水果!$X184="公司筐",N(对接源_01水果!$U184)&lt;&gt;0)),1,0)</f>
        <v>0</v>
      </c>
      <c r="S184" s="3">
        <f t="shared" si="42"/>
        <v>0</v>
      </c>
      <c r="T184" s="3">
        <f>IF(AND($K184=1,AND(对接源_01水果!$X184="公司筐",N(对接源_01水果!$V184)&lt;&gt;0)),1,0)</f>
        <v>0</v>
      </c>
      <c r="U184" s="3">
        <f t="shared" si="43"/>
        <v>3</v>
      </c>
      <c r="V184" s="3">
        <f>IF(AND($L184=1,AND(对接源_01水果!$X184="自备筐",N(对接源_01水果!$V184)&lt;&gt;0)),1,0)</f>
        <v>0</v>
      </c>
      <c r="W184" s="3">
        <f t="shared" si="44"/>
        <v>4</v>
      </c>
      <c r="X184" s="3">
        <f>IF(AND($L184=1,AND(对接源_01水果!$X184="自备筐",N(对接源_01水果!$T184)&lt;&gt;0)),1,0)</f>
        <v>0</v>
      </c>
      <c r="Y184" s="3">
        <f t="shared" si="45"/>
        <v>0</v>
      </c>
      <c r="Z184" s="3">
        <f>IF(AND($M184=1,对接源_01水果!$D184="原料入库"),1,0)</f>
        <v>0</v>
      </c>
      <c r="AA184" s="3">
        <f t="shared" si="46"/>
        <v>9</v>
      </c>
      <c r="AB184" s="3">
        <f>IF(AND($M184=1,LEFT(对接源_01水果!$D184,4)="原料出库"),1,0)</f>
        <v>0</v>
      </c>
      <c r="AC184" s="3">
        <f t="shared" si="47"/>
        <v>0</v>
      </c>
      <c r="AD184" s="3">
        <f>IF(AND($M184=1,LEFT(对接源_01水果!$D184,4)="成品出库"),1,0)</f>
        <v>0</v>
      </c>
      <c r="AE184" s="3">
        <f t="shared" si="48"/>
        <v>0</v>
      </c>
      <c r="AF184" s="3">
        <f>IF(AND($N184=1,AND(LEFT(对接源_01水果!$D184,4)="包装物料",N(对接源_01水果!$K184)&lt;&gt;0)),1,0)</f>
        <v>0</v>
      </c>
      <c r="AG184" s="3">
        <f t="shared" si="49"/>
        <v>0</v>
      </c>
      <c r="AH184" s="3">
        <f>IF(AND($N184=1,AND(对接源_01水果!$D184="周转筐－销售出库",N(对接源_01水果!$K184)&lt;&gt;0)),1,0)</f>
        <v>0</v>
      </c>
      <c r="AI184" s="3">
        <f t="shared" si="50"/>
        <v>0</v>
      </c>
      <c r="AJ184" s="7"/>
      <c r="AL184" s="3">
        <f>IF(OR($AL$1="",对接源_01水果!$Y184="",对接源_01水果!$Y184&lt;&gt;$AL$1,对接源_01水果!$B184="",N(对接源_01水果!$AJ184)&lt;=0),0,IF(OR(N(对接源_01水果!$B184)&lt;$AL$2,N(对接源_01水果!$B184)&gt;$AL$3),0,1))</f>
        <v>0</v>
      </c>
      <c r="AM184" s="3">
        <f t="shared" si="51"/>
        <v>0</v>
      </c>
      <c r="AN184" s="3" t="str">
        <f>IF(对接源_01水果!$AC184="","",对接源_01水果!$AC184)</f>
        <v/>
      </c>
      <c r="AO184" s="3">
        <f t="shared" si="52"/>
        <v>0</v>
      </c>
      <c r="AP184" s="3">
        <f t="shared" si="53"/>
        <v>0</v>
      </c>
      <c r="AQ184" s="3" t="str">
        <f t="shared" si="54"/>
        <v/>
      </c>
      <c r="AR184">
        <f t="shared" si="55"/>
        <v>0</v>
      </c>
      <c r="AS184">
        <f t="shared" si="56"/>
        <v>0</v>
      </c>
    </row>
    <row r="185" ht="14.25" customHeight="1" spans="1:45">
      <c r="A185" s="3" t="str">
        <f>IF(对接源_01水果!$C185="","",对接源_01水果!$C185)</f>
        <v>努尔敦</v>
      </c>
      <c r="B185" s="3">
        <f t="shared" si="38"/>
        <v>1</v>
      </c>
      <c r="C185" s="3">
        <f t="shared" si="39"/>
        <v>12</v>
      </c>
      <c r="E185" s="3" t="str">
        <f t="shared" si="40"/>
        <v/>
      </c>
      <c r="K185" s="3">
        <f>IF(OR($K$1="",对接源_01水果!$C185="",对接源_01水果!$C185&lt;&gt;$K$1,对接源_01水果!$B185=""),0,IF(OR(N(对接源_01水果!$B185)&lt;$K$2,N(对接源_01水果!$B185)&gt;$K$3),0,1))</f>
        <v>0</v>
      </c>
      <c r="L185" s="3">
        <f>IF(OR($L$1="",对接源_01水果!$C185="",对接源_01水果!$C185&lt;&gt;$L$1,对接源_01水果!$B185=""),0,IF(OR(N(对接源_01水果!$B185)&lt;$L$2,N(对接源_01水果!$B185)&gt;$L$3),0,1))</f>
        <v>0</v>
      </c>
      <c r="M185" s="3">
        <f>IF(OR($M$1="",对接源_01水果!$C185="",对接源_01水果!$C185&lt;&gt;$M$1,对接源_01水果!$B185=""),0,IF(OR(N(对接源_01水果!$B185)&lt;$M$2,N(对接源_01水果!$B185)&gt;$M$3),0,1))</f>
        <v>0</v>
      </c>
      <c r="N185" s="3">
        <f>IF(OR($N$1="",对接源_01水果!$C185="",对接源_01水果!$C185&lt;&gt;$N$1,对接源_01水果!$B185=""),0,IF(OR(N(对接源_01水果!$B185)&lt;$N$2,N(对接源_01水果!$B185)&gt;$N$3),0,1))</f>
        <v>0</v>
      </c>
      <c r="P185" s="3">
        <f>IF(AND($K185=1,AND(对接源_01水果!$X185="公司筐",N(对接源_01水果!$T185)&lt;&gt;0)),1,0)</f>
        <v>0</v>
      </c>
      <c r="Q185" s="3">
        <f t="shared" si="41"/>
        <v>0</v>
      </c>
      <c r="R185" s="3">
        <f>IF(AND($K185=1,AND(对接源_01水果!$X185="公司筐",N(对接源_01水果!$U185)&lt;&gt;0)),1,0)</f>
        <v>0</v>
      </c>
      <c r="S185" s="3">
        <f t="shared" si="42"/>
        <v>0</v>
      </c>
      <c r="T185" s="3">
        <f>IF(AND($K185=1,AND(对接源_01水果!$X185="公司筐",N(对接源_01水果!$V185)&lt;&gt;0)),1,0)</f>
        <v>0</v>
      </c>
      <c r="U185" s="3">
        <f t="shared" si="43"/>
        <v>3</v>
      </c>
      <c r="V185" s="3">
        <f>IF(AND($L185=1,AND(对接源_01水果!$X185="自备筐",N(对接源_01水果!$V185)&lt;&gt;0)),1,0)</f>
        <v>0</v>
      </c>
      <c r="W185" s="3">
        <f t="shared" si="44"/>
        <v>4</v>
      </c>
      <c r="X185" s="3">
        <f>IF(AND($L185=1,AND(对接源_01水果!$X185="自备筐",N(对接源_01水果!$T185)&lt;&gt;0)),1,0)</f>
        <v>0</v>
      </c>
      <c r="Y185" s="3">
        <f t="shared" si="45"/>
        <v>0</v>
      </c>
      <c r="Z185" s="3">
        <f>IF(AND($M185=1,对接源_01水果!$D185="原料入库"),1,0)</f>
        <v>0</v>
      </c>
      <c r="AA185" s="3">
        <f t="shared" si="46"/>
        <v>9</v>
      </c>
      <c r="AB185" s="3">
        <f>IF(AND($M185=1,LEFT(对接源_01水果!$D185,4)="原料出库"),1,0)</f>
        <v>0</v>
      </c>
      <c r="AC185" s="3">
        <f t="shared" si="47"/>
        <v>0</v>
      </c>
      <c r="AD185" s="3">
        <f>IF(AND($M185=1,LEFT(对接源_01水果!$D185,4)="成品出库"),1,0)</f>
        <v>0</v>
      </c>
      <c r="AE185" s="3">
        <f t="shared" si="48"/>
        <v>0</v>
      </c>
      <c r="AF185" s="3">
        <f>IF(AND($N185=1,AND(LEFT(对接源_01水果!$D185,4)="包装物料",N(对接源_01水果!$K185)&lt;&gt;0)),1,0)</f>
        <v>0</v>
      </c>
      <c r="AG185" s="3">
        <f t="shared" si="49"/>
        <v>0</v>
      </c>
      <c r="AH185" s="3">
        <f>IF(AND($N185=1,AND(对接源_01水果!$D185="周转筐－销售出库",N(对接源_01水果!$K185)&lt;&gt;0)),1,0)</f>
        <v>0</v>
      </c>
      <c r="AI185" s="3">
        <f t="shared" si="50"/>
        <v>0</v>
      </c>
      <c r="AJ185" s="7"/>
      <c r="AL185" s="3">
        <f>IF(OR($AL$1="",对接源_01水果!$Y185="",对接源_01水果!$Y185&lt;&gt;$AL$1,对接源_01水果!$B185="",N(对接源_01水果!$AJ185)&lt;=0),0,IF(OR(N(对接源_01水果!$B185)&lt;$AL$2,N(对接源_01水果!$B185)&gt;$AL$3),0,1))</f>
        <v>0</v>
      </c>
      <c r="AM185" s="3">
        <f t="shared" si="51"/>
        <v>0</v>
      </c>
      <c r="AN185" s="3" t="str">
        <f>IF(对接源_01水果!$AC185="","",对接源_01水果!$AC185)</f>
        <v/>
      </c>
      <c r="AO185" s="3">
        <f t="shared" si="52"/>
        <v>0</v>
      </c>
      <c r="AP185" s="3">
        <f t="shared" si="53"/>
        <v>0</v>
      </c>
      <c r="AQ185" s="3" t="str">
        <f t="shared" si="54"/>
        <v/>
      </c>
      <c r="AR185">
        <f t="shared" si="55"/>
        <v>0</v>
      </c>
      <c r="AS185">
        <f t="shared" si="56"/>
        <v>0</v>
      </c>
    </row>
    <row r="186" ht="14.25" customHeight="1" spans="1:45">
      <c r="A186" s="3" t="str">
        <f>IF(对接源_01水果!$C186="","",对接源_01水果!$C186)</f>
        <v>努尔敦</v>
      </c>
      <c r="B186" s="3">
        <f t="shared" si="38"/>
        <v>0</v>
      </c>
      <c r="C186" s="3">
        <f t="shared" si="39"/>
        <v>12</v>
      </c>
      <c r="E186" s="3" t="str">
        <f t="shared" si="40"/>
        <v/>
      </c>
      <c r="K186" s="3">
        <f>IF(OR($K$1="",对接源_01水果!$C186="",对接源_01水果!$C186&lt;&gt;$K$1,对接源_01水果!$B186=""),0,IF(OR(N(对接源_01水果!$B186)&lt;$K$2,N(对接源_01水果!$B186)&gt;$K$3),0,1))</f>
        <v>0</v>
      </c>
      <c r="L186" s="3">
        <f>IF(OR($L$1="",对接源_01水果!$C186="",对接源_01水果!$C186&lt;&gt;$L$1,对接源_01水果!$B186=""),0,IF(OR(N(对接源_01水果!$B186)&lt;$L$2,N(对接源_01水果!$B186)&gt;$L$3),0,1))</f>
        <v>0</v>
      </c>
      <c r="M186" s="3">
        <f>IF(OR($M$1="",对接源_01水果!$C186="",对接源_01水果!$C186&lt;&gt;$M$1,对接源_01水果!$B186=""),0,IF(OR(N(对接源_01水果!$B186)&lt;$M$2,N(对接源_01水果!$B186)&gt;$M$3),0,1))</f>
        <v>0</v>
      </c>
      <c r="N186" s="3">
        <f>IF(OR($N$1="",对接源_01水果!$C186="",对接源_01水果!$C186&lt;&gt;$N$1,对接源_01水果!$B186=""),0,IF(OR(N(对接源_01水果!$B186)&lt;$N$2,N(对接源_01水果!$B186)&gt;$N$3),0,1))</f>
        <v>0</v>
      </c>
      <c r="P186" s="3">
        <f>IF(AND($K186=1,AND(对接源_01水果!$X186="公司筐",N(对接源_01水果!$T186)&lt;&gt;0)),1,0)</f>
        <v>0</v>
      </c>
      <c r="Q186" s="3">
        <f t="shared" si="41"/>
        <v>0</v>
      </c>
      <c r="R186" s="3">
        <f>IF(AND($K186=1,AND(对接源_01水果!$X186="公司筐",N(对接源_01水果!$U186)&lt;&gt;0)),1,0)</f>
        <v>0</v>
      </c>
      <c r="S186" s="3">
        <f t="shared" si="42"/>
        <v>0</v>
      </c>
      <c r="T186" s="3">
        <f>IF(AND($K186=1,AND(对接源_01水果!$X186="公司筐",N(对接源_01水果!$V186)&lt;&gt;0)),1,0)</f>
        <v>0</v>
      </c>
      <c r="U186" s="3">
        <f t="shared" si="43"/>
        <v>3</v>
      </c>
      <c r="V186" s="3">
        <f>IF(AND($L186=1,AND(对接源_01水果!$X186="自备筐",N(对接源_01水果!$V186)&lt;&gt;0)),1,0)</f>
        <v>0</v>
      </c>
      <c r="W186" s="3">
        <f t="shared" si="44"/>
        <v>4</v>
      </c>
      <c r="X186" s="3">
        <f>IF(AND($L186=1,AND(对接源_01水果!$X186="自备筐",N(对接源_01水果!$T186)&lt;&gt;0)),1,0)</f>
        <v>0</v>
      </c>
      <c r="Y186" s="3">
        <f t="shared" si="45"/>
        <v>0</v>
      </c>
      <c r="Z186" s="3">
        <f>IF(AND($M186=1,对接源_01水果!$D186="原料入库"),1,0)</f>
        <v>0</v>
      </c>
      <c r="AA186" s="3">
        <f t="shared" si="46"/>
        <v>9</v>
      </c>
      <c r="AB186" s="3">
        <f>IF(AND($M186=1,LEFT(对接源_01水果!$D186,4)="原料出库"),1,0)</f>
        <v>0</v>
      </c>
      <c r="AC186" s="3">
        <f t="shared" si="47"/>
        <v>0</v>
      </c>
      <c r="AD186" s="3">
        <f>IF(AND($M186=1,LEFT(对接源_01水果!$D186,4)="成品出库"),1,0)</f>
        <v>0</v>
      </c>
      <c r="AE186" s="3">
        <f t="shared" si="48"/>
        <v>0</v>
      </c>
      <c r="AF186" s="3">
        <f>IF(AND($N186=1,AND(LEFT(对接源_01水果!$D186,4)="包装物料",N(对接源_01水果!$K186)&lt;&gt;0)),1,0)</f>
        <v>0</v>
      </c>
      <c r="AG186" s="3">
        <f t="shared" si="49"/>
        <v>0</v>
      </c>
      <c r="AH186" s="3">
        <f>IF(AND($N186=1,AND(对接源_01水果!$D186="周转筐－销售出库",N(对接源_01水果!$K186)&lt;&gt;0)),1,0)</f>
        <v>0</v>
      </c>
      <c r="AI186" s="3">
        <f t="shared" si="50"/>
        <v>0</v>
      </c>
      <c r="AJ186" s="7"/>
      <c r="AL186" s="3">
        <f>IF(OR($AL$1="",对接源_01水果!$Y186="",对接源_01水果!$Y186&lt;&gt;$AL$1,对接源_01水果!$B186="",N(对接源_01水果!$AJ186)&lt;=0),0,IF(OR(N(对接源_01水果!$B186)&lt;$AL$2,N(对接源_01水果!$B186)&gt;$AL$3),0,1))</f>
        <v>0</v>
      </c>
      <c r="AM186" s="3">
        <f t="shared" si="51"/>
        <v>0</v>
      </c>
      <c r="AN186" s="3" t="str">
        <f>IF(对接源_01水果!$AC186="","",对接源_01水果!$AC186)</f>
        <v/>
      </c>
      <c r="AO186" s="3">
        <f t="shared" si="52"/>
        <v>0</v>
      </c>
      <c r="AP186" s="3">
        <f t="shared" si="53"/>
        <v>0</v>
      </c>
      <c r="AQ186" s="3" t="str">
        <f t="shared" si="54"/>
        <v/>
      </c>
      <c r="AR186">
        <f t="shared" si="55"/>
        <v>0</v>
      </c>
      <c r="AS186">
        <f t="shared" si="56"/>
        <v>0</v>
      </c>
    </row>
    <row r="187" ht="14.25" customHeight="1" spans="1:45">
      <c r="A187" s="3" t="str">
        <f>IF(对接源_01水果!$C187="","",对接源_01水果!$C187)</f>
        <v>努尔敦</v>
      </c>
      <c r="B187" s="3">
        <f t="shared" si="38"/>
        <v>0</v>
      </c>
      <c r="C187" s="3">
        <f t="shared" si="39"/>
        <v>12</v>
      </c>
      <c r="E187" s="3" t="str">
        <f t="shared" si="40"/>
        <v/>
      </c>
      <c r="K187" s="3">
        <f>IF(OR($K$1="",对接源_01水果!$C187="",对接源_01水果!$C187&lt;&gt;$K$1,对接源_01水果!$B187=""),0,IF(OR(N(对接源_01水果!$B187)&lt;$K$2,N(对接源_01水果!$B187)&gt;$K$3),0,1))</f>
        <v>0</v>
      </c>
      <c r="L187" s="3">
        <f>IF(OR($L$1="",对接源_01水果!$C187="",对接源_01水果!$C187&lt;&gt;$L$1,对接源_01水果!$B187=""),0,IF(OR(N(对接源_01水果!$B187)&lt;$L$2,N(对接源_01水果!$B187)&gt;$L$3),0,1))</f>
        <v>0</v>
      </c>
      <c r="M187" s="3">
        <f>IF(OR($M$1="",对接源_01水果!$C187="",对接源_01水果!$C187&lt;&gt;$M$1,对接源_01水果!$B187=""),0,IF(OR(N(对接源_01水果!$B187)&lt;$M$2,N(对接源_01水果!$B187)&gt;$M$3),0,1))</f>
        <v>0</v>
      </c>
      <c r="N187" s="3">
        <f>IF(OR($N$1="",对接源_01水果!$C187="",对接源_01水果!$C187&lt;&gt;$N$1,对接源_01水果!$B187=""),0,IF(OR(N(对接源_01水果!$B187)&lt;$N$2,N(对接源_01水果!$B187)&gt;$N$3),0,1))</f>
        <v>0</v>
      </c>
      <c r="P187" s="3">
        <f>IF(AND($K187=1,AND(对接源_01水果!$X187="公司筐",N(对接源_01水果!$T187)&lt;&gt;0)),1,0)</f>
        <v>0</v>
      </c>
      <c r="Q187" s="3">
        <f t="shared" si="41"/>
        <v>0</v>
      </c>
      <c r="R187" s="3">
        <f>IF(AND($K187=1,AND(对接源_01水果!$X187="公司筐",N(对接源_01水果!$U187)&lt;&gt;0)),1,0)</f>
        <v>0</v>
      </c>
      <c r="S187" s="3">
        <f t="shared" si="42"/>
        <v>0</v>
      </c>
      <c r="T187" s="3">
        <f>IF(AND($K187=1,AND(对接源_01水果!$X187="公司筐",N(对接源_01水果!$V187)&lt;&gt;0)),1,0)</f>
        <v>0</v>
      </c>
      <c r="U187" s="3">
        <f t="shared" si="43"/>
        <v>3</v>
      </c>
      <c r="V187" s="3">
        <f>IF(AND($L187=1,AND(对接源_01水果!$X187="自备筐",N(对接源_01水果!$V187)&lt;&gt;0)),1,0)</f>
        <v>0</v>
      </c>
      <c r="W187" s="3">
        <f t="shared" si="44"/>
        <v>4</v>
      </c>
      <c r="X187" s="3">
        <f>IF(AND($L187=1,AND(对接源_01水果!$X187="自备筐",N(对接源_01水果!$T187)&lt;&gt;0)),1,0)</f>
        <v>0</v>
      </c>
      <c r="Y187" s="3">
        <f t="shared" si="45"/>
        <v>0</v>
      </c>
      <c r="Z187" s="3">
        <f>IF(AND($M187=1,对接源_01水果!$D187="原料入库"),1,0)</f>
        <v>0</v>
      </c>
      <c r="AA187" s="3">
        <f t="shared" si="46"/>
        <v>9</v>
      </c>
      <c r="AB187" s="3">
        <f>IF(AND($M187=1,LEFT(对接源_01水果!$D187,4)="原料出库"),1,0)</f>
        <v>0</v>
      </c>
      <c r="AC187" s="3">
        <f t="shared" si="47"/>
        <v>0</v>
      </c>
      <c r="AD187" s="3">
        <f>IF(AND($M187=1,LEFT(对接源_01水果!$D187,4)="成品出库"),1,0)</f>
        <v>0</v>
      </c>
      <c r="AE187" s="3">
        <f t="shared" si="48"/>
        <v>0</v>
      </c>
      <c r="AF187" s="3">
        <f>IF(AND($N187=1,AND(LEFT(对接源_01水果!$D187,4)="包装物料",N(对接源_01水果!$K187)&lt;&gt;0)),1,0)</f>
        <v>0</v>
      </c>
      <c r="AG187" s="3">
        <f t="shared" si="49"/>
        <v>0</v>
      </c>
      <c r="AH187" s="3">
        <f>IF(AND($N187=1,AND(对接源_01水果!$D187="周转筐－销售出库",N(对接源_01水果!$K187)&lt;&gt;0)),1,0)</f>
        <v>0</v>
      </c>
      <c r="AI187" s="3">
        <f t="shared" si="50"/>
        <v>0</v>
      </c>
      <c r="AJ187" s="7"/>
      <c r="AL187" s="3">
        <f>IF(OR($AL$1="",对接源_01水果!$Y187="",对接源_01水果!$Y187&lt;&gt;$AL$1,对接源_01水果!$B187="",N(对接源_01水果!$AJ187)&lt;=0),0,IF(OR(N(对接源_01水果!$B187)&lt;$AL$2,N(对接源_01水果!$B187)&gt;$AL$3),0,1))</f>
        <v>0</v>
      </c>
      <c r="AM187" s="3">
        <f t="shared" si="51"/>
        <v>0</v>
      </c>
      <c r="AN187" s="3" t="str">
        <f>IF(对接源_01水果!$AC187="","",对接源_01水果!$AC187)</f>
        <v/>
      </c>
      <c r="AO187" s="3">
        <f t="shared" si="52"/>
        <v>0</v>
      </c>
      <c r="AP187" s="3">
        <f t="shared" si="53"/>
        <v>0</v>
      </c>
      <c r="AQ187" s="3" t="str">
        <f t="shared" si="54"/>
        <v/>
      </c>
      <c r="AR187">
        <f t="shared" si="55"/>
        <v>0</v>
      </c>
      <c r="AS187">
        <f t="shared" si="56"/>
        <v>0</v>
      </c>
    </row>
    <row r="188" ht="14.25" customHeight="1" spans="1:45">
      <c r="A188" s="3" t="str">
        <f>IF(对接源_01水果!$C188="","",对接源_01水果!$C188)</f>
        <v>麦麦提</v>
      </c>
      <c r="B188" s="3">
        <f t="shared" si="38"/>
        <v>0</v>
      </c>
      <c r="C188" s="3">
        <f t="shared" si="39"/>
        <v>12</v>
      </c>
      <c r="E188" s="3" t="str">
        <f t="shared" si="40"/>
        <v/>
      </c>
      <c r="K188" s="3">
        <f>IF(OR($K$1="",对接源_01水果!$C188="",对接源_01水果!$C188&lt;&gt;$K$1,对接源_01水果!$B188=""),0,IF(OR(N(对接源_01水果!$B188)&lt;$K$2,N(对接源_01水果!$B188)&gt;$K$3),0,1))</f>
        <v>0</v>
      </c>
      <c r="L188" s="3">
        <f>IF(OR($L$1="",对接源_01水果!$C188="",对接源_01水果!$C188&lt;&gt;$L$1,对接源_01水果!$B188=""),0,IF(OR(N(对接源_01水果!$B188)&lt;$L$2,N(对接源_01水果!$B188)&gt;$L$3),0,1))</f>
        <v>0</v>
      </c>
      <c r="M188" s="3">
        <f>IF(OR($M$1="",对接源_01水果!$C188="",对接源_01水果!$C188&lt;&gt;$M$1,对接源_01水果!$B188=""),0,IF(OR(N(对接源_01水果!$B188)&lt;$M$2,N(对接源_01水果!$B188)&gt;$M$3),0,1))</f>
        <v>0</v>
      </c>
      <c r="N188" s="3">
        <f>IF(OR($N$1="",对接源_01水果!$C188="",对接源_01水果!$C188&lt;&gt;$N$1,对接源_01水果!$B188=""),0,IF(OR(N(对接源_01水果!$B188)&lt;$N$2,N(对接源_01水果!$B188)&gt;$N$3),0,1))</f>
        <v>0</v>
      </c>
      <c r="P188" s="3">
        <f>IF(AND($K188=1,AND(对接源_01水果!$X188="公司筐",N(对接源_01水果!$T188)&lt;&gt;0)),1,0)</f>
        <v>0</v>
      </c>
      <c r="Q188" s="3">
        <f t="shared" si="41"/>
        <v>0</v>
      </c>
      <c r="R188" s="3">
        <f>IF(AND($K188=1,AND(对接源_01水果!$X188="公司筐",N(对接源_01水果!$U188)&lt;&gt;0)),1,0)</f>
        <v>0</v>
      </c>
      <c r="S188" s="3">
        <f t="shared" si="42"/>
        <v>0</v>
      </c>
      <c r="T188" s="3">
        <f>IF(AND($K188=1,AND(对接源_01水果!$X188="公司筐",N(对接源_01水果!$V188)&lt;&gt;0)),1,0)</f>
        <v>0</v>
      </c>
      <c r="U188" s="3">
        <f t="shared" si="43"/>
        <v>3</v>
      </c>
      <c r="V188" s="3">
        <f>IF(AND($L188=1,AND(对接源_01水果!$X188="自备筐",N(对接源_01水果!$V188)&lt;&gt;0)),1,0)</f>
        <v>0</v>
      </c>
      <c r="W188" s="3">
        <f t="shared" si="44"/>
        <v>4</v>
      </c>
      <c r="X188" s="3">
        <f>IF(AND($L188=1,AND(对接源_01水果!$X188="自备筐",N(对接源_01水果!$T188)&lt;&gt;0)),1,0)</f>
        <v>0</v>
      </c>
      <c r="Y188" s="3">
        <f t="shared" si="45"/>
        <v>0</v>
      </c>
      <c r="Z188" s="3">
        <f>IF(AND($M188=1,对接源_01水果!$D188="原料入库"),1,0)</f>
        <v>0</v>
      </c>
      <c r="AA188" s="3">
        <f t="shared" si="46"/>
        <v>9</v>
      </c>
      <c r="AB188" s="3">
        <f>IF(AND($M188=1,LEFT(对接源_01水果!$D188,4)="原料出库"),1,0)</f>
        <v>0</v>
      </c>
      <c r="AC188" s="3">
        <f t="shared" si="47"/>
        <v>0</v>
      </c>
      <c r="AD188" s="3">
        <f>IF(AND($M188=1,LEFT(对接源_01水果!$D188,4)="成品出库"),1,0)</f>
        <v>0</v>
      </c>
      <c r="AE188" s="3">
        <f t="shared" si="48"/>
        <v>0</v>
      </c>
      <c r="AF188" s="3">
        <f>IF(AND($N188=1,AND(LEFT(对接源_01水果!$D188,4)="包装物料",N(对接源_01水果!$K188)&lt;&gt;0)),1,0)</f>
        <v>0</v>
      </c>
      <c r="AG188" s="3">
        <f t="shared" si="49"/>
        <v>0</v>
      </c>
      <c r="AH188" s="3">
        <f>IF(AND($N188=1,AND(对接源_01水果!$D188="周转筐－销售出库",N(对接源_01水果!$K188)&lt;&gt;0)),1,0)</f>
        <v>0</v>
      </c>
      <c r="AI188" s="3">
        <f t="shared" si="50"/>
        <v>0</v>
      </c>
      <c r="AJ188" s="7"/>
      <c r="AL188" s="3">
        <f>IF(OR($AL$1="",对接源_01水果!$Y188="",对接源_01水果!$Y188&lt;&gt;$AL$1,对接源_01水果!$B188="",N(对接源_01水果!$AJ188)&lt;=0),0,IF(OR(N(对接源_01水果!$B188)&lt;$AL$2,N(对接源_01水果!$B188)&gt;$AL$3),0,1))</f>
        <v>0</v>
      </c>
      <c r="AM188" s="3">
        <f t="shared" si="51"/>
        <v>0</v>
      </c>
      <c r="AN188" s="3" t="str">
        <f>IF(对接源_01水果!$AC188="","",对接源_01水果!$AC188)</f>
        <v/>
      </c>
      <c r="AO188" s="3">
        <f t="shared" si="52"/>
        <v>0</v>
      </c>
      <c r="AP188" s="3">
        <f t="shared" si="53"/>
        <v>0</v>
      </c>
      <c r="AQ188" s="3" t="str">
        <f t="shared" si="54"/>
        <v/>
      </c>
      <c r="AR188">
        <f t="shared" si="55"/>
        <v>0</v>
      </c>
      <c r="AS188">
        <f t="shared" si="56"/>
        <v>0</v>
      </c>
    </row>
    <row r="189" ht="14.25" customHeight="1" spans="1:45">
      <c r="A189" s="3" t="str">
        <f>IF(对接源_01水果!$C189="","",对接源_01水果!$C189)</f>
        <v>麦麦提</v>
      </c>
      <c r="B189" s="3">
        <f t="shared" si="38"/>
        <v>0</v>
      </c>
      <c r="C189" s="3">
        <f t="shared" si="39"/>
        <v>12</v>
      </c>
      <c r="E189" s="3" t="str">
        <f t="shared" si="40"/>
        <v/>
      </c>
      <c r="K189" s="3">
        <f>IF(OR($K$1="",对接源_01水果!$C189="",对接源_01水果!$C189&lt;&gt;$K$1,对接源_01水果!$B189=""),0,IF(OR(N(对接源_01水果!$B189)&lt;$K$2,N(对接源_01水果!$B189)&gt;$K$3),0,1))</f>
        <v>0</v>
      </c>
      <c r="L189" s="3">
        <f>IF(OR($L$1="",对接源_01水果!$C189="",对接源_01水果!$C189&lt;&gt;$L$1,对接源_01水果!$B189=""),0,IF(OR(N(对接源_01水果!$B189)&lt;$L$2,N(对接源_01水果!$B189)&gt;$L$3),0,1))</f>
        <v>0</v>
      </c>
      <c r="M189" s="3">
        <f>IF(OR($M$1="",对接源_01水果!$C189="",对接源_01水果!$C189&lt;&gt;$M$1,对接源_01水果!$B189=""),0,IF(OR(N(对接源_01水果!$B189)&lt;$M$2,N(对接源_01水果!$B189)&gt;$M$3),0,1))</f>
        <v>0</v>
      </c>
      <c r="N189" s="3">
        <f>IF(OR($N$1="",对接源_01水果!$C189="",对接源_01水果!$C189&lt;&gt;$N$1,对接源_01水果!$B189=""),0,IF(OR(N(对接源_01水果!$B189)&lt;$N$2,N(对接源_01水果!$B189)&gt;$N$3),0,1))</f>
        <v>0</v>
      </c>
      <c r="P189" s="3">
        <f>IF(AND($K189=1,AND(对接源_01水果!$X189="公司筐",N(对接源_01水果!$T189)&lt;&gt;0)),1,0)</f>
        <v>0</v>
      </c>
      <c r="Q189" s="3">
        <f t="shared" si="41"/>
        <v>0</v>
      </c>
      <c r="R189" s="3">
        <f>IF(AND($K189=1,AND(对接源_01水果!$X189="公司筐",N(对接源_01水果!$U189)&lt;&gt;0)),1,0)</f>
        <v>0</v>
      </c>
      <c r="S189" s="3">
        <f t="shared" si="42"/>
        <v>0</v>
      </c>
      <c r="T189" s="3">
        <f>IF(AND($K189=1,AND(对接源_01水果!$X189="公司筐",N(对接源_01水果!$V189)&lt;&gt;0)),1,0)</f>
        <v>0</v>
      </c>
      <c r="U189" s="3">
        <f t="shared" si="43"/>
        <v>3</v>
      </c>
      <c r="V189" s="3">
        <f>IF(AND($L189=1,AND(对接源_01水果!$X189="自备筐",N(对接源_01水果!$V189)&lt;&gt;0)),1,0)</f>
        <v>0</v>
      </c>
      <c r="W189" s="3">
        <f t="shared" si="44"/>
        <v>4</v>
      </c>
      <c r="X189" s="3">
        <f>IF(AND($L189=1,AND(对接源_01水果!$X189="自备筐",N(对接源_01水果!$T189)&lt;&gt;0)),1,0)</f>
        <v>0</v>
      </c>
      <c r="Y189" s="3">
        <f t="shared" si="45"/>
        <v>0</v>
      </c>
      <c r="Z189" s="3">
        <f>IF(AND($M189=1,对接源_01水果!$D189="原料入库"),1,0)</f>
        <v>0</v>
      </c>
      <c r="AA189" s="3">
        <f t="shared" si="46"/>
        <v>9</v>
      </c>
      <c r="AB189" s="3">
        <f>IF(AND($M189=1,LEFT(对接源_01水果!$D189,4)="原料出库"),1,0)</f>
        <v>0</v>
      </c>
      <c r="AC189" s="3">
        <f t="shared" si="47"/>
        <v>0</v>
      </c>
      <c r="AD189" s="3">
        <f>IF(AND($M189=1,LEFT(对接源_01水果!$D189,4)="成品出库"),1,0)</f>
        <v>0</v>
      </c>
      <c r="AE189" s="3">
        <f t="shared" si="48"/>
        <v>0</v>
      </c>
      <c r="AF189" s="3">
        <f>IF(AND($N189=1,AND(LEFT(对接源_01水果!$D189,4)="包装物料",N(对接源_01水果!$K189)&lt;&gt;0)),1,0)</f>
        <v>0</v>
      </c>
      <c r="AG189" s="3">
        <f t="shared" si="49"/>
        <v>0</v>
      </c>
      <c r="AH189" s="3">
        <f>IF(AND($N189=1,AND(对接源_01水果!$D189="周转筐－销售出库",N(对接源_01水果!$K189)&lt;&gt;0)),1,0)</f>
        <v>0</v>
      </c>
      <c r="AI189" s="3">
        <f t="shared" si="50"/>
        <v>0</v>
      </c>
      <c r="AJ189" s="7"/>
      <c r="AL189" s="3">
        <f>IF(OR($AL$1="",对接源_01水果!$Y189="",对接源_01水果!$Y189&lt;&gt;$AL$1,对接源_01水果!$B189="",N(对接源_01水果!$AJ189)&lt;=0),0,IF(OR(N(对接源_01水果!$B189)&lt;$AL$2,N(对接源_01水果!$B189)&gt;$AL$3),0,1))</f>
        <v>0</v>
      </c>
      <c r="AM189" s="3">
        <f t="shared" si="51"/>
        <v>0</v>
      </c>
      <c r="AN189" s="3" t="str">
        <f>IF(对接源_01水果!$AC189="","",对接源_01水果!$AC189)</f>
        <v/>
      </c>
      <c r="AO189" s="3">
        <f t="shared" si="52"/>
        <v>0</v>
      </c>
      <c r="AP189" s="3">
        <f t="shared" si="53"/>
        <v>0</v>
      </c>
      <c r="AQ189" s="3" t="str">
        <f t="shared" si="54"/>
        <v/>
      </c>
      <c r="AR189">
        <f t="shared" si="55"/>
        <v>0</v>
      </c>
      <c r="AS189">
        <f t="shared" si="56"/>
        <v>0</v>
      </c>
    </row>
    <row r="190" ht="14.25" customHeight="1" spans="1:45">
      <c r="A190" s="3" t="str">
        <f>IF(对接源_01水果!$C190="","",对接源_01水果!$C190)</f>
        <v>麦麦提</v>
      </c>
      <c r="B190" s="3">
        <f t="shared" si="38"/>
        <v>0</v>
      </c>
      <c r="C190" s="3">
        <f t="shared" si="39"/>
        <v>12</v>
      </c>
      <c r="E190" s="3" t="str">
        <f t="shared" si="40"/>
        <v/>
      </c>
      <c r="K190" s="3">
        <f>IF(OR($K$1="",对接源_01水果!$C190="",对接源_01水果!$C190&lt;&gt;$K$1,对接源_01水果!$B190=""),0,IF(OR(N(对接源_01水果!$B190)&lt;$K$2,N(对接源_01水果!$B190)&gt;$K$3),0,1))</f>
        <v>0</v>
      </c>
      <c r="L190" s="3">
        <f>IF(OR($L$1="",对接源_01水果!$C190="",对接源_01水果!$C190&lt;&gt;$L$1,对接源_01水果!$B190=""),0,IF(OR(N(对接源_01水果!$B190)&lt;$L$2,N(对接源_01水果!$B190)&gt;$L$3),0,1))</f>
        <v>0</v>
      </c>
      <c r="M190" s="3">
        <f>IF(OR($M$1="",对接源_01水果!$C190="",对接源_01水果!$C190&lt;&gt;$M$1,对接源_01水果!$B190=""),0,IF(OR(N(对接源_01水果!$B190)&lt;$M$2,N(对接源_01水果!$B190)&gt;$M$3),0,1))</f>
        <v>0</v>
      </c>
      <c r="N190" s="3">
        <f>IF(OR($N$1="",对接源_01水果!$C190="",对接源_01水果!$C190&lt;&gt;$N$1,对接源_01水果!$B190=""),0,IF(OR(N(对接源_01水果!$B190)&lt;$N$2,N(对接源_01水果!$B190)&gt;$N$3),0,1))</f>
        <v>0</v>
      </c>
      <c r="P190" s="3">
        <f>IF(AND($K190=1,AND(对接源_01水果!$X190="公司筐",N(对接源_01水果!$T190)&lt;&gt;0)),1,0)</f>
        <v>0</v>
      </c>
      <c r="Q190" s="3">
        <f t="shared" si="41"/>
        <v>0</v>
      </c>
      <c r="R190" s="3">
        <f>IF(AND($K190=1,AND(对接源_01水果!$X190="公司筐",N(对接源_01水果!$U190)&lt;&gt;0)),1,0)</f>
        <v>0</v>
      </c>
      <c r="S190" s="3">
        <f t="shared" si="42"/>
        <v>0</v>
      </c>
      <c r="T190" s="3">
        <f>IF(AND($K190=1,AND(对接源_01水果!$X190="公司筐",N(对接源_01水果!$V190)&lt;&gt;0)),1,0)</f>
        <v>0</v>
      </c>
      <c r="U190" s="3">
        <f t="shared" si="43"/>
        <v>3</v>
      </c>
      <c r="V190" s="3">
        <f>IF(AND($L190=1,AND(对接源_01水果!$X190="自备筐",N(对接源_01水果!$V190)&lt;&gt;0)),1,0)</f>
        <v>0</v>
      </c>
      <c r="W190" s="3">
        <f t="shared" si="44"/>
        <v>4</v>
      </c>
      <c r="X190" s="3">
        <f>IF(AND($L190=1,AND(对接源_01水果!$X190="自备筐",N(对接源_01水果!$T190)&lt;&gt;0)),1,0)</f>
        <v>0</v>
      </c>
      <c r="Y190" s="3">
        <f t="shared" si="45"/>
        <v>0</v>
      </c>
      <c r="Z190" s="3">
        <f>IF(AND($M190=1,对接源_01水果!$D190="原料入库"),1,0)</f>
        <v>0</v>
      </c>
      <c r="AA190" s="3">
        <f t="shared" si="46"/>
        <v>9</v>
      </c>
      <c r="AB190" s="3">
        <f>IF(AND($M190=1,LEFT(对接源_01水果!$D190,4)="原料出库"),1,0)</f>
        <v>0</v>
      </c>
      <c r="AC190" s="3">
        <f t="shared" si="47"/>
        <v>0</v>
      </c>
      <c r="AD190" s="3">
        <f>IF(AND($M190=1,LEFT(对接源_01水果!$D190,4)="成品出库"),1,0)</f>
        <v>0</v>
      </c>
      <c r="AE190" s="3">
        <f t="shared" si="48"/>
        <v>0</v>
      </c>
      <c r="AF190" s="3">
        <f>IF(AND($N190=1,AND(LEFT(对接源_01水果!$D190,4)="包装物料",N(对接源_01水果!$K190)&lt;&gt;0)),1,0)</f>
        <v>0</v>
      </c>
      <c r="AG190" s="3">
        <f t="shared" si="49"/>
        <v>0</v>
      </c>
      <c r="AH190" s="3">
        <f>IF(AND($N190=1,AND(对接源_01水果!$D190="周转筐－销售出库",N(对接源_01水果!$K190)&lt;&gt;0)),1,0)</f>
        <v>0</v>
      </c>
      <c r="AI190" s="3">
        <f t="shared" si="50"/>
        <v>0</v>
      </c>
      <c r="AJ190" s="7"/>
      <c r="AL190" s="3">
        <f>IF(OR($AL$1="",对接源_01水果!$Y190="",对接源_01水果!$Y190&lt;&gt;$AL$1,对接源_01水果!$B190="",N(对接源_01水果!$AJ190)&lt;=0),0,IF(OR(N(对接源_01水果!$B190)&lt;$AL$2,N(对接源_01水果!$B190)&gt;$AL$3),0,1))</f>
        <v>0</v>
      </c>
      <c r="AM190" s="3">
        <f t="shared" si="51"/>
        <v>0</v>
      </c>
      <c r="AN190" s="3" t="str">
        <f>IF(对接源_01水果!$AC190="","",对接源_01水果!$AC190)</f>
        <v/>
      </c>
      <c r="AO190" s="3">
        <f t="shared" si="52"/>
        <v>0</v>
      </c>
      <c r="AP190" s="3">
        <f t="shared" si="53"/>
        <v>0</v>
      </c>
      <c r="AQ190" s="3" t="str">
        <f t="shared" si="54"/>
        <v/>
      </c>
      <c r="AR190">
        <f t="shared" si="55"/>
        <v>0</v>
      </c>
      <c r="AS190">
        <f t="shared" si="56"/>
        <v>0</v>
      </c>
    </row>
    <row r="191" ht="14.25" customHeight="1" spans="1:45">
      <c r="A191" s="3" t="str">
        <f>IF(对接源_01水果!$C191="","",对接源_01水果!$C191)</f>
        <v>王浩</v>
      </c>
      <c r="B191" s="3">
        <f t="shared" si="38"/>
        <v>1</v>
      </c>
      <c r="C191" s="3">
        <f t="shared" si="39"/>
        <v>13</v>
      </c>
      <c r="E191" s="3" t="str">
        <f t="shared" si="40"/>
        <v/>
      </c>
      <c r="K191" s="3">
        <f>IF(OR($K$1="",对接源_01水果!$C191="",对接源_01水果!$C191&lt;&gt;$K$1,对接源_01水果!$B191=""),0,IF(OR(N(对接源_01水果!$B191)&lt;$K$2,N(对接源_01水果!$B191)&gt;$K$3),0,1))</f>
        <v>0</v>
      </c>
      <c r="L191" s="3">
        <f>IF(OR($L$1="",对接源_01水果!$C191="",对接源_01水果!$C191&lt;&gt;$L$1,对接源_01水果!$B191=""),0,IF(OR(N(对接源_01水果!$B191)&lt;$L$2,N(对接源_01水果!$B191)&gt;$L$3),0,1))</f>
        <v>0</v>
      </c>
      <c r="M191" s="3">
        <f>IF(OR($M$1="",对接源_01水果!$C191="",对接源_01水果!$C191&lt;&gt;$M$1,对接源_01水果!$B191=""),0,IF(OR(N(对接源_01水果!$B191)&lt;$M$2,N(对接源_01水果!$B191)&gt;$M$3),0,1))</f>
        <v>0</v>
      </c>
      <c r="N191" s="3">
        <f>IF(OR($N$1="",对接源_01水果!$C191="",对接源_01水果!$C191&lt;&gt;$N$1,对接源_01水果!$B191=""),0,IF(OR(N(对接源_01水果!$B191)&lt;$N$2,N(对接源_01水果!$B191)&gt;$N$3),0,1))</f>
        <v>0</v>
      </c>
      <c r="P191" s="3">
        <f>IF(AND($K191=1,AND(对接源_01水果!$X191="公司筐",N(对接源_01水果!$T191)&lt;&gt;0)),1,0)</f>
        <v>0</v>
      </c>
      <c r="Q191" s="3">
        <f t="shared" si="41"/>
        <v>0</v>
      </c>
      <c r="R191" s="3">
        <f>IF(AND($K191=1,AND(对接源_01水果!$X191="公司筐",N(对接源_01水果!$U191)&lt;&gt;0)),1,0)</f>
        <v>0</v>
      </c>
      <c r="S191" s="3">
        <f t="shared" si="42"/>
        <v>0</v>
      </c>
      <c r="T191" s="3">
        <f>IF(AND($K191=1,AND(对接源_01水果!$X191="公司筐",N(对接源_01水果!$V191)&lt;&gt;0)),1,0)</f>
        <v>0</v>
      </c>
      <c r="U191" s="3">
        <f t="shared" si="43"/>
        <v>3</v>
      </c>
      <c r="V191" s="3">
        <f>IF(AND($L191=1,AND(对接源_01水果!$X191="自备筐",N(对接源_01水果!$V191)&lt;&gt;0)),1,0)</f>
        <v>0</v>
      </c>
      <c r="W191" s="3">
        <f t="shared" si="44"/>
        <v>4</v>
      </c>
      <c r="X191" s="3">
        <f>IF(AND($L191=1,AND(对接源_01水果!$X191="自备筐",N(对接源_01水果!$T191)&lt;&gt;0)),1,0)</f>
        <v>0</v>
      </c>
      <c r="Y191" s="3">
        <f t="shared" si="45"/>
        <v>0</v>
      </c>
      <c r="Z191" s="3">
        <f>IF(AND($M191=1,对接源_01水果!$D191="原料入库"),1,0)</f>
        <v>0</v>
      </c>
      <c r="AA191" s="3">
        <f t="shared" si="46"/>
        <v>9</v>
      </c>
      <c r="AB191" s="3">
        <f>IF(AND($M191=1,LEFT(对接源_01水果!$D191,4)="原料出库"),1,0)</f>
        <v>0</v>
      </c>
      <c r="AC191" s="3">
        <f t="shared" si="47"/>
        <v>0</v>
      </c>
      <c r="AD191" s="3">
        <f>IF(AND($M191=1,LEFT(对接源_01水果!$D191,4)="成品出库"),1,0)</f>
        <v>0</v>
      </c>
      <c r="AE191" s="3">
        <f t="shared" si="48"/>
        <v>0</v>
      </c>
      <c r="AF191" s="3">
        <f>IF(AND($N191=1,AND(LEFT(对接源_01水果!$D191,4)="包装物料",N(对接源_01水果!$K191)&lt;&gt;0)),1,0)</f>
        <v>0</v>
      </c>
      <c r="AG191" s="3">
        <f t="shared" si="49"/>
        <v>0</v>
      </c>
      <c r="AH191" s="3">
        <f>IF(AND($N191=1,AND(对接源_01水果!$D191="周转筐－销售出库",N(对接源_01水果!$K191)&lt;&gt;0)),1,0)</f>
        <v>0</v>
      </c>
      <c r="AI191" s="3">
        <f t="shared" si="50"/>
        <v>0</v>
      </c>
      <c r="AJ191" s="7"/>
      <c r="AL191" s="3">
        <f>IF(OR($AL$1="",对接源_01水果!$Y191="",对接源_01水果!$Y191&lt;&gt;$AL$1,对接源_01水果!$B191="",N(对接源_01水果!$AJ191)&lt;=0),0,IF(OR(N(对接源_01水果!$B191)&lt;$AL$2,N(对接源_01水果!$B191)&gt;$AL$3),0,1))</f>
        <v>0</v>
      </c>
      <c r="AM191" s="3">
        <f t="shared" si="51"/>
        <v>0</v>
      </c>
      <c r="AN191" s="3" t="str">
        <f>IF(对接源_01水果!$AC191="","",对接源_01水果!$AC191)</f>
        <v/>
      </c>
      <c r="AO191" s="3">
        <f t="shared" si="52"/>
        <v>0</v>
      </c>
      <c r="AP191" s="3">
        <f t="shared" si="53"/>
        <v>0</v>
      </c>
      <c r="AQ191" s="3" t="str">
        <f t="shared" si="54"/>
        <v/>
      </c>
      <c r="AR191">
        <f t="shared" si="55"/>
        <v>0</v>
      </c>
      <c r="AS191">
        <f t="shared" si="56"/>
        <v>0</v>
      </c>
    </row>
    <row r="192" ht="14.25" customHeight="1" spans="1:45">
      <c r="A192" s="3" t="str">
        <f>IF(对接源_01水果!$C192="","",对接源_01水果!$C192)</f>
        <v>吐尔洪</v>
      </c>
      <c r="B192" s="3">
        <f t="shared" si="38"/>
        <v>0</v>
      </c>
      <c r="C192" s="3">
        <f t="shared" si="39"/>
        <v>13</v>
      </c>
      <c r="E192" s="3" t="str">
        <f t="shared" si="40"/>
        <v/>
      </c>
      <c r="K192" s="3">
        <f>IF(OR($K$1="",对接源_01水果!$C192="",对接源_01水果!$C192&lt;&gt;$K$1,对接源_01水果!$B192=""),0,IF(OR(N(对接源_01水果!$B192)&lt;$K$2,N(对接源_01水果!$B192)&gt;$K$3),0,1))</f>
        <v>0</v>
      </c>
      <c r="L192" s="3">
        <f>IF(OR($L$1="",对接源_01水果!$C192="",对接源_01水果!$C192&lt;&gt;$L$1,对接源_01水果!$B192=""),0,IF(OR(N(对接源_01水果!$B192)&lt;$L$2,N(对接源_01水果!$B192)&gt;$L$3),0,1))</f>
        <v>0</v>
      </c>
      <c r="M192" s="3">
        <f>IF(OR($M$1="",对接源_01水果!$C192="",对接源_01水果!$C192&lt;&gt;$M$1,对接源_01水果!$B192=""),0,IF(OR(N(对接源_01水果!$B192)&lt;$M$2,N(对接源_01水果!$B192)&gt;$M$3),0,1))</f>
        <v>1</v>
      </c>
      <c r="N192" s="3">
        <f>IF(OR($N$1="",对接源_01水果!$C192="",对接源_01水果!$C192&lt;&gt;$N$1,对接源_01水果!$B192=""),0,IF(OR(N(对接源_01水果!$B192)&lt;$N$2,N(对接源_01水果!$B192)&gt;$N$3),0,1))</f>
        <v>1</v>
      </c>
      <c r="P192" s="3">
        <f>IF(AND($K192=1,AND(对接源_01水果!$X192="公司筐",N(对接源_01水果!$T192)&lt;&gt;0)),1,0)</f>
        <v>0</v>
      </c>
      <c r="Q192" s="3">
        <f t="shared" si="41"/>
        <v>0</v>
      </c>
      <c r="R192" s="3">
        <f>IF(AND($K192=1,AND(对接源_01水果!$X192="公司筐",N(对接源_01水果!$U192)&lt;&gt;0)),1,0)</f>
        <v>0</v>
      </c>
      <c r="S192" s="3">
        <f t="shared" si="42"/>
        <v>0</v>
      </c>
      <c r="T192" s="3">
        <f>IF(AND($K192=1,AND(对接源_01水果!$X192="公司筐",N(对接源_01水果!$V192)&lt;&gt;0)),1,0)</f>
        <v>0</v>
      </c>
      <c r="U192" s="3">
        <f t="shared" si="43"/>
        <v>3</v>
      </c>
      <c r="V192" s="3">
        <f>IF(AND($L192=1,AND(对接源_01水果!$X192="自备筐",N(对接源_01水果!$V192)&lt;&gt;0)),1,0)</f>
        <v>0</v>
      </c>
      <c r="W192" s="3">
        <f t="shared" si="44"/>
        <v>4</v>
      </c>
      <c r="X192" s="3">
        <f>IF(AND($L192=1,AND(对接源_01水果!$X192="自备筐",N(对接源_01水果!$T192)&lt;&gt;0)),1,0)</f>
        <v>0</v>
      </c>
      <c r="Y192" s="3">
        <f t="shared" si="45"/>
        <v>0</v>
      </c>
      <c r="Z192" s="3">
        <f>IF(AND($M192=1,对接源_01水果!$D192="原料入库"),1,0)</f>
        <v>1</v>
      </c>
      <c r="AA192" s="3">
        <f t="shared" si="46"/>
        <v>10</v>
      </c>
      <c r="AB192" s="3">
        <f>IF(AND($M192=1,LEFT(对接源_01水果!$D192,4)="原料出库"),1,0)</f>
        <v>0</v>
      </c>
      <c r="AC192" s="3">
        <f t="shared" si="47"/>
        <v>0</v>
      </c>
      <c r="AD192" s="3">
        <f>IF(AND($M192=1,LEFT(对接源_01水果!$D192,4)="成品出库"),1,0)</f>
        <v>0</v>
      </c>
      <c r="AE192" s="3">
        <f t="shared" si="48"/>
        <v>0</v>
      </c>
      <c r="AF192" s="3">
        <f>IF(AND($N192=1,AND(LEFT(对接源_01水果!$D192,4)="包装物料",N(对接源_01水果!$K192)&lt;&gt;0)),1,0)</f>
        <v>0</v>
      </c>
      <c r="AG192" s="3">
        <f t="shared" si="49"/>
        <v>0</v>
      </c>
      <c r="AH192" s="3">
        <f>IF(AND($N192=1,AND(对接源_01水果!$D192="周转筐－销售出库",N(对接源_01水果!$K192)&lt;&gt;0)),1,0)</f>
        <v>0</v>
      </c>
      <c r="AI192" s="3">
        <f t="shared" si="50"/>
        <v>0</v>
      </c>
      <c r="AJ192" s="7"/>
      <c r="AL192" s="3">
        <f>IF(OR($AL$1="",对接源_01水果!$Y192="",对接源_01水果!$Y192&lt;&gt;$AL$1,对接源_01水果!$B192="",N(对接源_01水果!$AJ192)&lt;=0),0,IF(OR(N(对接源_01水果!$B192)&lt;$AL$2,N(对接源_01水果!$B192)&gt;$AL$3),0,1))</f>
        <v>0</v>
      </c>
      <c r="AM192" s="3">
        <f t="shared" si="51"/>
        <v>0</v>
      </c>
      <c r="AN192" s="3" t="str">
        <f>IF(对接源_01水果!$AC192="","",对接源_01水果!$AC192)</f>
        <v/>
      </c>
      <c r="AO192" s="3">
        <f t="shared" si="52"/>
        <v>0</v>
      </c>
      <c r="AP192" s="3">
        <f t="shared" si="53"/>
        <v>0</v>
      </c>
      <c r="AQ192" s="3" t="str">
        <f t="shared" si="54"/>
        <v/>
      </c>
      <c r="AR192">
        <f t="shared" si="55"/>
        <v>0</v>
      </c>
      <c r="AS192">
        <f t="shared" si="56"/>
        <v>0</v>
      </c>
    </row>
    <row r="193" ht="14.25" customHeight="1" spans="1:45">
      <c r="A193" s="3" t="str">
        <f>IF(对接源_01水果!$C193="","",对接源_01水果!$C193)</f>
        <v>吐尔洪</v>
      </c>
      <c r="B193" s="3">
        <f t="shared" si="38"/>
        <v>0</v>
      </c>
      <c r="C193" s="3">
        <f t="shared" si="39"/>
        <v>13</v>
      </c>
      <c r="E193" s="3" t="str">
        <f t="shared" si="40"/>
        <v/>
      </c>
      <c r="K193" s="3">
        <f>IF(OR($K$1="",对接源_01水果!$C193="",对接源_01水果!$C193&lt;&gt;$K$1,对接源_01水果!$B193=""),0,IF(OR(N(对接源_01水果!$B193)&lt;$K$2,N(对接源_01水果!$B193)&gt;$K$3),0,1))</f>
        <v>0</v>
      </c>
      <c r="L193" s="3">
        <f>IF(OR($L$1="",对接源_01水果!$C193="",对接源_01水果!$C193&lt;&gt;$L$1,对接源_01水果!$B193=""),0,IF(OR(N(对接源_01水果!$B193)&lt;$L$2,N(对接源_01水果!$B193)&gt;$L$3),0,1))</f>
        <v>0</v>
      </c>
      <c r="M193" s="3">
        <f>IF(OR($M$1="",对接源_01水果!$C193="",对接源_01水果!$C193&lt;&gt;$M$1,对接源_01水果!$B193=""),0,IF(OR(N(对接源_01水果!$B193)&lt;$M$2,N(对接源_01水果!$B193)&gt;$M$3),0,1))</f>
        <v>1</v>
      </c>
      <c r="N193" s="3">
        <f>IF(OR($N$1="",对接源_01水果!$C193="",对接源_01水果!$C193&lt;&gt;$N$1,对接源_01水果!$B193=""),0,IF(OR(N(对接源_01水果!$B193)&lt;$N$2,N(对接源_01水果!$B193)&gt;$N$3),0,1))</f>
        <v>1</v>
      </c>
      <c r="P193" s="3">
        <f>IF(AND($K193=1,AND(对接源_01水果!$X193="公司筐",N(对接源_01水果!$T193)&lt;&gt;0)),1,0)</f>
        <v>0</v>
      </c>
      <c r="Q193" s="3">
        <f t="shared" si="41"/>
        <v>0</v>
      </c>
      <c r="R193" s="3">
        <f>IF(AND($K193=1,AND(对接源_01水果!$X193="公司筐",N(对接源_01水果!$U193)&lt;&gt;0)),1,0)</f>
        <v>0</v>
      </c>
      <c r="S193" s="3">
        <f t="shared" si="42"/>
        <v>0</v>
      </c>
      <c r="T193" s="3">
        <f>IF(AND($K193=1,AND(对接源_01水果!$X193="公司筐",N(对接源_01水果!$V193)&lt;&gt;0)),1,0)</f>
        <v>0</v>
      </c>
      <c r="U193" s="3">
        <f t="shared" si="43"/>
        <v>3</v>
      </c>
      <c r="V193" s="3">
        <f>IF(AND($L193=1,AND(对接源_01水果!$X193="自备筐",N(对接源_01水果!$V193)&lt;&gt;0)),1,0)</f>
        <v>0</v>
      </c>
      <c r="W193" s="3">
        <f t="shared" si="44"/>
        <v>4</v>
      </c>
      <c r="X193" s="3">
        <f>IF(AND($L193=1,AND(对接源_01水果!$X193="自备筐",N(对接源_01水果!$T193)&lt;&gt;0)),1,0)</f>
        <v>0</v>
      </c>
      <c r="Y193" s="3">
        <f t="shared" si="45"/>
        <v>0</v>
      </c>
      <c r="Z193" s="3">
        <f>IF(AND($M193=1,对接源_01水果!$D193="原料入库"),1,0)</f>
        <v>1</v>
      </c>
      <c r="AA193" s="3">
        <f t="shared" si="46"/>
        <v>11</v>
      </c>
      <c r="AB193" s="3">
        <f>IF(AND($M193=1,LEFT(对接源_01水果!$D193,4)="原料出库"),1,0)</f>
        <v>0</v>
      </c>
      <c r="AC193" s="3">
        <f t="shared" si="47"/>
        <v>0</v>
      </c>
      <c r="AD193" s="3">
        <f>IF(AND($M193=1,LEFT(对接源_01水果!$D193,4)="成品出库"),1,0)</f>
        <v>0</v>
      </c>
      <c r="AE193" s="3">
        <f t="shared" si="48"/>
        <v>0</v>
      </c>
      <c r="AF193" s="3">
        <f>IF(AND($N193=1,AND(LEFT(对接源_01水果!$D193,4)="包装物料",N(对接源_01水果!$K193)&lt;&gt;0)),1,0)</f>
        <v>0</v>
      </c>
      <c r="AG193" s="3">
        <f t="shared" si="49"/>
        <v>0</v>
      </c>
      <c r="AH193" s="3">
        <f>IF(AND($N193=1,AND(对接源_01水果!$D193="周转筐－销售出库",N(对接源_01水果!$K193)&lt;&gt;0)),1,0)</f>
        <v>0</v>
      </c>
      <c r="AI193" s="3">
        <f t="shared" si="50"/>
        <v>0</v>
      </c>
      <c r="AJ193" s="7"/>
      <c r="AL193" s="3">
        <f>IF(OR($AL$1="",对接源_01水果!$Y193="",对接源_01水果!$Y193&lt;&gt;$AL$1,对接源_01水果!$B193="",N(对接源_01水果!$AJ193)&lt;=0),0,IF(OR(N(对接源_01水果!$B193)&lt;$AL$2,N(对接源_01水果!$B193)&gt;$AL$3),0,1))</f>
        <v>0</v>
      </c>
      <c r="AM193" s="3">
        <f t="shared" si="51"/>
        <v>0</v>
      </c>
      <c r="AN193" s="3" t="str">
        <f>IF(对接源_01水果!$AC193="","",对接源_01水果!$AC193)</f>
        <v/>
      </c>
      <c r="AO193" s="3">
        <f t="shared" si="52"/>
        <v>0</v>
      </c>
      <c r="AP193" s="3">
        <f t="shared" si="53"/>
        <v>0</v>
      </c>
      <c r="AQ193" s="3" t="str">
        <f t="shared" si="54"/>
        <v/>
      </c>
      <c r="AR193">
        <f t="shared" si="55"/>
        <v>0</v>
      </c>
      <c r="AS193">
        <f t="shared" si="56"/>
        <v>0</v>
      </c>
    </row>
    <row r="194" ht="14.25" customHeight="1" spans="1:45">
      <c r="A194" s="3" t="str">
        <f>IF(对接源_01水果!$C194="","",对接源_01水果!$C194)</f>
        <v>吐尔洪</v>
      </c>
      <c r="B194" s="3">
        <f t="shared" si="38"/>
        <v>0</v>
      </c>
      <c r="C194" s="3">
        <f t="shared" si="39"/>
        <v>13</v>
      </c>
      <c r="E194" s="3" t="str">
        <f t="shared" si="40"/>
        <v/>
      </c>
      <c r="K194" s="3">
        <f>IF(OR($K$1="",对接源_01水果!$C194="",对接源_01水果!$C194&lt;&gt;$K$1,对接源_01水果!$B194=""),0,IF(OR(N(对接源_01水果!$B194)&lt;$K$2,N(对接源_01水果!$B194)&gt;$K$3),0,1))</f>
        <v>0</v>
      </c>
      <c r="L194" s="3">
        <f>IF(OR($L$1="",对接源_01水果!$C194="",对接源_01水果!$C194&lt;&gt;$L$1,对接源_01水果!$B194=""),0,IF(OR(N(对接源_01水果!$B194)&lt;$L$2,N(对接源_01水果!$B194)&gt;$L$3),0,1))</f>
        <v>0</v>
      </c>
      <c r="M194" s="3">
        <f>IF(OR($M$1="",对接源_01水果!$C194="",对接源_01水果!$C194&lt;&gt;$M$1,对接源_01水果!$B194=""),0,IF(OR(N(对接源_01水果!$B194)&lt;$M$2,N(对接源_01水果!$B194)&gt;$M$3),0,1))</f>
        <v>1</v>
      </c>
      <c r="N194" s="3">
        <f>IF(OR($N$1="",对接源_01水果!$C194="",对接源_01水果!$C194&lt;&gt;$N$1,对接源_01水果!$B194=""),0,IF(OR(N(对接源_01水果!$B194)&lt;$N$2,N(对接源_01水果!$B194)&gt;$N$3),0,1))</f>
        <v>1</v>
      </c>
      <c r="P194" s="3">
        <f>IF(AND($K194=1,AND(对接源_01水果!$X194="公司筐",N(对接源_01水果!$T194)&lt;&gt;0)),1,0)</f>
        <v>0</v>
      </c>
      <c r="Q194" s="3">
        <f t="shared" si="41"/>
        <v>0</v>
      </c>
      <c r="R194" s="3">
        <f>IF(AND($K194=1,AND(对接源_01水果!$X194="公司筐",N(对接源_01水果!$U194)&lt;&gt;0)),1,0)</f>
        <v>0</v>
      </c>
      <c r="S194" s="3">
        <f t="shared" si="42"/>
        <v>0</v>
      </c>
      <c r="T194" s="3">
        <f>IF(AND($K194=1,AND(对接源_01水果!$X194="公司筐",N(对接源_01水果!$V194)&lt;&gt;0)),1,0)</f>
        <v>0</v>
      </c>
      <c r="U194" s="3">
        <f t="shared" si="43"/>
        <v>3</v>
      </c>
      <c r="V194" s="3">
        <f>IF(AND($L194=1,AND(对接源_01水果!$X194="自备筐",N(对接源_01水果!$V194)&lt;&gt;0)),1,0)</f>
        <v>0</v>
      </c>
      <c r="W194" s="3">
        <f t="shared" si="44"/>
        <v>4</v>
      </c>
      <c r="X194" s="3">
        <f>IF(AND($L194=1,AND(对接源_01水果!$X194="自备筐",N(对接源_01水果!$T194)&lt;&gt;0)),1,0)</f>
        <v>0</v>
      </c>
      <c r="Y194" s="3">
        <f t="shared" si="45"/>
        <v>0</v>
      </c>
      <c r="Z194" s="3">
        <f>IF(AND($M194=1,对接源_01水果!$D194="原料入库"),1,0)</f>
        <v>1</v>
      </c>
      <c r="AA194" s="3">
        <f t="shared" si="46"/>
        <v>12</v>
      </c>
      <c r="AB194" s="3">
        <f>IF(AND($M194=1,LEFT(对接源_01水果!$D194,4)="原料出库"),1,0)</f>
        <v>0</v>
      </c>
      <c r="AC194" s="3">
        <f t="shared" si="47"/>
        <v>0</v>
      </c>
      <c r="AD194" s="3">
        <f>IF(AND($M194=1,LEFT(对接源_01水果!$D194,4)="成品出库"),1,0)</f>
        <v>0</v>
      </c>
      <c r="AE194" s="3">
        <f t="shared" si="48"/>
        <v>0</v>
      </c>
      <c r="AF194" s="3">
        <f>IF(AND($N194=1,AND(LEFT(对接源_01水果!$D194,4)="包装物料",N(对接源_01水果!$K194)&lt;&gt;0)),1,0)</f>
        <v>0</v>
      </c>
      <c r="AG194" s="3">
        <f t="shared" si="49"/>
        <v>0</v>
      </c>
      <c r="AH194" s="3">
        <f>IF(AND($N194=1,AND(对接源_01水果!$D194="周转筐－销售出库",N(对接源_01水果!$K194)&lt;&gt;0)),1,0)</f>
        <v>0</v>
      </c>
      <c r="AI194" s="3">
        <f t="shared" si="50"/>
        <v>0</v>
      </c>
      <c r="AJ194" s="7"/>
      <c r="AL194" s="3">
        <f>IF(OR($AL$1="",对接源_01水果!$Y194="",对接源_01水果!$Y194&lt;&gt;$AL$1,对接源_01水果!$B194="",N(对接源_01水果!$AJ194)&lt;=0),0,IF(OR(N(对接源_01水果!$B194)&lt;$AL$2,N(对接源_01水果!$B194)&gt;$AL$3),0,1))</f>
        <v>0</v>
      </c>
      <c r="AM194" s="3">
        <f t="shared" si="51"/>
        <v>0</v>
      </c>
      <c r="AN194" s="3" t="str">
        <f>IF(对接源_01水果!$AC194="","",对接源_01水果!$AC194)</f>
        <v/>
      </c>
      <c r="AO194" s="3">
        <f t="shared" si="52"/>
        <v>0</v>
      </c>
      <c r="AP194" s="3">
        <f t="shared" si="53"/>
        <v>0</v>
      </c>
      <c r="AQ194" s="3" t="str">
        <f t="shared" si="54"/>
        <v/>
      </c>
      <c r="AR194">
        <f t="shared" si="55"/>
        <v>0</v>
      </c>
      <c r="AS194">
        <f t="shared" si="56"/>
        <v>0</v>
      </c>
    </row>
    <row r="195" ht="14.25" customHeight="1" spans="1:45">
      <c r="A195" s="3" t="str">
        <f>IF(对接源_01水果!$C195="","",对接源_01水果!$C195)</f>
        <v>贾建国</v>
      </c>
      <c r="B195" s="3">
        <f t="shared" si="38"/>
        <v>0</v>
      </c>
      <c r="C195" s="3">
        <f t="shared" si="39"/>
        <v>13</v>
      </c>
      <c r="E195" s="3" t="str">
        <f t="shared" si="40"/>
        <v/>
      </c>
      <c r="K195" s="3">
        <f>IF(OR($K$1="",对接源_01水果!$C195="",对接源_01水果!$C195&lt;&gt;$K$1,对接源_01水果!$B195=""),0,IF(OR(N(对接源_01水果!$B195)&lt;$K$2,N(对接源_01水果!$B195)&gt;$K$3),0,1))</f>
        <v>0</v>
      </c>
      <c r="L195" s="3">
        <f>IF(OR($L$1="",对接源_01水果!$C195="",对接源_01水果!$C195&lt;&gt;$L$1,对接源_01水果!$B195=""),0,IF(OR(N(对接源_01水果!$B195)&lt;$L$2,N(对接源_01水果!$B195)&gt;$L$3),0,1))</f>
        <v>1</v>
      </c>
      <c r="M195" s="3">
        <f>IF(OR($M$1="",对接源_01水果!$C195="",对接源_01水果!$C195&lt;&gt;$M$1,对接源_01水果!$B195=""),0,IF(OR(N(对接源_01水果!$B195)&lt;$M$2,N(对接源_01水果!$B195)&gt;$M$3),0,1))</f>
        <v>0</v>
      </c>
      <c r="N195" s="3">
        <f>IF(OR($N$1="",对接源_01水果!$C195="",对接源_01水果!$C195&lt;&gt;$N$1,对接源_01水果!$B195=""),0,IF(OR(N(对接源_01水果!$B195)&lt;$N$2,N(对接源_01水果!$B195)&gt;$N$3),0,1))</f>
        <v>0</v>
      </c>
      <c r="P195" s="3">
        <f>IF(AND($K195=1,AND(对接源_01水果!$X195="公司筐",N(对接源_01水果!$T195)&lt;&gt;0)),1,0)</f>
        <v>0</v>
      </c>
      <c r="Q195" s="3">
        <f t="shared" si="41"/>
        <v>0</v>
      </c>
      <c r="R195" s="3">
        <f>IF(AND($K195=1,AND(对接源_01水果!$X195="公司筐",N(对接源_01水果!$U195)&lt;&gt;0)),1,0)</f>
        <v>0</v>
      </c>
      <c r="S195" s="3">
        <f t="shared" si="42"/>
        <v>0</v>
      </c>
      <c r="T195" s="3">
        <f>IF(AND($K195=1,AND(对接源_01水果!$X195="公司筐",N(对接源_01水果!$V195)&lt;&gt;0)),1,0)</f>
        <v>0</v>
      </c>
      <c r="U195" s="3">
        <f t="shared" si="43"/>
        <v>3</v>
      </c>
      <c r="V195" s="3">
        <f>IF(AND($L195=1,AND(对接源_01水果!$X195="自备筐",N(对接源_01水果!$V195)&lt;&gt;0)),1,0)</f>
        <v>1</v>
      </c>
      <c r="W195" s="3">
        <f t="shared" si="44"/>
        <v>5</v>
      </c>
      <c r="X195" s="3">
        <f>IF(AND($L195=1,AND(对接源_01水果!$X195="自备筐",N(对接源_01水果!$T195)&lt;&gt;0)),1,0)</f>
        <v>0</v>
      </c>
      <c r="Y195" s="3">
        <f t="shared" si="45"/>
        <v>0</v>
      </c>
      <c r="Z195" s="3">
        <f>IF(AND($M195=1,对接源_01水果!$D195="原料入库"),1,0)</f>
        <v>0</v>
      </c>
      <c r="AA195" s="3">
        <f t="shared" si="46"/>
        <v>12</v>
      </c>
      <c r="AB195" s="3">
        <f>IF(AND($M195=1,LEFT(对接源_01水果!$D195,4)="原料出库"),1,0)</f>
        <v>0</v>
      </c>
      <c r="AC195" s="3">
        <f t="shared" si="47"/>
        <v>0</v>
      </c>
      <c r="AD195" s="3">
        <f>IF(AND($M195=1,LEFT(对接源_01水果!$D195,4)="成品出库"),1,0)</f>
        <v>0</v>
      </c>
      <c r="AE195" s="3">
        <f t="shared" si="48"/>
        <v>0</v>
      </c>
      <c r="AF195" s="3">
        <f>IF(AND($N195=1,AND(LEFT(对接源_01水果!$D195,4)="包装物料",N(对接源_01水果!$K195)&lt;&gt;0)),1,0)</f>
        <v>0</v>
      </c>
      <c r="AG195" s="3">
        <f t="shared" si="49"/>
        <v>0</v>
      </c>
      <c r="AH195" s="3">
        <f>IF(AND($N195=1,AND(对接源_01水果!$D195="周转筐－销售出库",N(对接源_01水果!$K195)&lt;&gt;0)),1,0)</f>
        <v>0</v>
      </c>
      <c r="AI195" s="3">
        <f t="shared" si="50"/>
        <v>0</v>
      </c>
      <c r="AJ195" s="7"/>
      <c r="AL195" s="3">
        <f>IF(OR($AL$1="",对接源_01水果!$Y195="",对接源_01水果!$Y195&lt;&gt;$AL$1,对接源_01水果!$B195="",N(对接源_01水果!$AJ195)&lt;=0),0,IF(OR(N(对接源_01水果!$B195)&lt;$AL$2,N(对接源_01水果!$B195)&gt;$AL$3),0,1))</f>
        <v>0</v>
      </c>
      <c r="AM195" s="3">
        <f t="shared" si="51"/>
        <v>0</v>
      </c>
      <c r="AN195" s="3" t="str">
        <f>IF(对接源_01水果!$AC195="","",对接源_01水果!$AC195)</f>
        <v/>
      </c>
      <c r="AO195" s="3">
        <f t="shared" si="52"/>
        <v>0</v>
      </c>
      <c r="AP195" s="3">
        <f t="shared" si="53"/>
        <v>0</v>
      </c>
      <c r="AQ195" s="3" t="str">
        <f t="shared" si="54"/>
        <v/>
      </c>
      <c r="AR195">
        <f t="shared" si="55"/>
        <v>0</v>
      </c>
      <c r="AS195">
        <f t="shared" si="56"/>
        <v>0</v>
      </c>
    </row>
    <row r="196" ht="14.25" customHeight="1" spans="1:45">
      <c r="A196" s="3" t="str">
        <f>IF(对接源_01水果!$C196="","",对接源_01水果!$C196)</f>
        <v>贾建国</v>
      </c>
      <c r="B196" s="3">
        <f t="shared" ref="B196:B259" si="57">IF(A196="",0,IF(MATCH(A196,$A$4:$A$2403,0)=ROW()-3,1,0))</f>
        <v>0</v>
      </c>
      <c r="C196" s="3">
        <f t="shared" ref="C196:C259" si="58">N(C195)+B196</f>
        <v>13</v>
      </c>
      <c r="E196" s="3" t="str">
        <f t="shared" ref="E196:E259" si="59">IFERROR(INDEX($A$4:$A$2403,MATCH(ROW()-3,$C$4:$C$2403,0)),"")</f>
        <v/>
      </c>
      <c r="K196" s="3">
        <f>IF(OR($K$1="",对接源_01水果!$C196="",对接源_01水果!$C196&lt;&gt;$K$1,对接源_01水果!$B196=""),0,IF(OR(N(对接源_01水果!$B196)&lt;$K$2,N(对接源_01水果!$B196)&gt;$K$3),0,1))</f>
        <v>0</v>
      </c>
      <c r="L196" s="3">
        <f>IF(OR($L$1="",对接源_01水果!$C196="",对接源_01水果!$C196&lt;&gt;$L$1,对接源_01水果!$B196=""),0,IF(OR(N(对接源_01水果!$B196)&lt;$L$2,N(对接源_01水果!$B196)&gt;$L$3),0,1))</f>
        <v>1</v>
      </c>
      <c r="M196" s="3">
        <f>IF(OR($M$1="",对接源_01水果!$C196="",对接源_01水果!$C196&lt;&gt;$M$1,对接源_01水果!$B196=""),0,IF(OR(N(对接源_01水果!$B196)&lt;$M$2,N(对接源_01水果!$B196)&gt;$M$3),0,1))</f>
        <v>0</v>
      </c>
      <c r="N196" s="3">
        <f>IF(OR($N$1="",对接源_01水果!$C196="",对接源_01水果!$C196&lt;&gt;$N$1,对接源_01水果!$B196=""),0,IF(OR(N(对接源_01水果!$B196)&lt;$N$2,N(对接源_01水果!$B196)&gt;$N$3),0,1))</f>
        <v>0</v>
      </c>
      <c r="P196" s="3">
        <f>IF(AND($K196=1,AND(对接源_01水果!$X196="公司筐",N(对接源_01水果!$T196)&lt;&gt;0)),1,0)</f>
        <v>0</v>
      </c>
      <c r="Q196" s="3">
        <f t="shared" ref="Q196:Q259" si="60">N(Q195)+$P196</f>
        <v>0</v>
      </c>
      <c r="R196" s="3">
        <f>IF(AND($K196=1,AND(对接源_01水果!$X196="公司筐",N(对接源_01水果!$U196)&lt;&gt;0)),1,0)</f>
        <v>0</v>
      </c>
      <c r="S196" s="3">
        <f t="shared" ref="S196:S259" si="61">N(S195)+$R196</f>
        <v>0</v>
      </c>
      <c r="T196" s="3">
        <f>IF(AND($K196=1,AND(对接源_01水果!$X196="公司筐",N(对接源_01水果!$V196)&lt;&gt;0)),1,0)</f>
        <v>0</v>
      </c>
      <c r="U196" s="3">
        <f t="shared" ref="U196:U259" si="62">N(U195)+$T196</f>
        <v>3</v>
      </c>
      <c r="V196" s="3">
        <f>IF(AND($L196=1,AND(对接源_01水果!$X196="自备筐",N(对接源_01水果!$V196)&lt;&gt;0)),1,0)</f>
        <v>0</v>
      </c>
      <c r="W196" s="3">
        <f t="shared" ref="W196:W259" si="63">N(W195)+$V196</f>
        <v>5</v>
      </c>
      <c r="X196" s="3">
        <f>IF(AND($L196=1,AND(对接源_01水果!$X196="自备筐",N(对接源_01水果!$T196)&lt;&gt;0)),1,0)</f>
        <v>0</v>
      </c>
      <c r="Y196" s="3">
        <f t="shared" ref="Y196:Y259" si="64">N(Y195)+$X196</f>
        <v>0</v>
      </c>
      <c r="Z196" s="3">
        <f>IF(AND($M196=1,对接源_01水果!$D196="原料入库"),1,0)</f>
        <v>0</v>
      </c>
      <c r="AA196" s="3">
        <f t="shared" ref="AA196:AA259" si="65">N(AA195)+$Z196</f>
        <v>12</v>
      </c>
      <c r="AB196" s="3">
        <f>IF(AND($M196=1,LEFT(对接源_01水果!$D196,4)="原料出库"),1,0)</f>
        <v>0</v>
      </c>
      <c r="AC196" s="3">
        <f t="shared" ref="AC196:AC259" si="66">N(AC195)+$AB196</f>
        <v>0</v>
      </c>
      <c r="AD196" s="3">
        <f>IF(AND($M196=1,LEFT(对接源_01水果!$D196,4)="成品出库"),1,0)</f>
        <v>0</v>
      </c>
      <c r="AE196" s="3">
        <f t="shared" ref="AE196:AE259" si="67">N(AE195)+$AD196</f>
        <v>0</v>
      </c>
      <c r="AF196" s="3">
        <f>IF(AND($N196=1,AND(LEFT(对接源_01水果!$D196,4)="包装物料",N(对接源_01水果!$K196)&lt;&gt;0)),1,0)</f>
        <v>0</v>
      </c>
      <c r="AG196" s="3">
        <f t="shared" ref="AG196:AG259" si="68">N(AG195)+$AF196</f>
        <v>0</v>
      </c>
      <c r="AH196" s="3">
        <f>IF(AND($N196=1,AND(对接源_01水果!$D196="周转筐－销售出库",N(对接源_01水果!$K196)&lt;&gt;0)),1,0)</f>
        <v>0</v>
      </c>
      <c r="AI196" s="3">
        <f t="shared" ref="AI196:AI259" si="69">N(AI195)+$AH196</f>
        <v>0</v>
      </c>
      <c r="AJ196" s="7"/>
      <c r="AL196" s="3">
        <f>IF(OR($AL$1="",对接源_01水果!$Y196="",对接源_01水果!$Y196&lt;&gt;$AL$1,对接源_01水果!$B196="",N(对接源_01水果!$AJ196)&lt;=0),0,IF(OR(N(对接源_01水果!$B196)&lt;$AL$2,N(对接源_01水果!$B196)&gt;$AL$3),0,1))</f>
        <v>0</v>
      </c>
      <c r="AM196" s="3">
        <f t="shared" ref="AM196:AM259" si="70">N(AM195)+$AL196</f>
        <v>0</v>
      </c>
      <c r="AN196" s="3" t="str">
        <f>IF(对接源_01水果!$AC196="","",对接源_01水果!$AC196)</f>
        <v/>
      </c>
      <c r="AO196" s="3">
        <f t="shared" ref="AO196:AO259" si="71">IF(AN196="",0,IF(MATCH(AN196,$AN$4:$AN$1203,0)=ROW()-3,1,0))</f>
        <v>0</v>
      </c>
      <c r="AP196" s="3">
        <f t="shared" ref="AP196:AP259" si="72">N(AP195)+$AO196</f>
        <v>0</v>
      </c>
      <c r="AQ196" s="3" t="str">
        <f t="shared" ref="AQ196:AQ203" si="73">IFERROR(INDEX($AN$4:$AN$1203,MATCH(ROW()-3,$AP$4:$AP$1203,0)),"")</f>
        <v/>
      </c>
      <c r="AR196">
        <f t="shared" ref="AR196:AR259" si="74">IF(OR($AF196=1,$AH196=1),1,0)</f>
        <v>0</v>
      </c>
      <c r="AS196">
        <f t="shared" ref="AS196:AS259" si="75">N(AS195)+$AR196</f>
        <v>0</v>
      </c>
    </row>
    <row r="197" ht="14.25" customHeight="1" spans="1:45">
      <c r="A197" s="3" t="str">
        <f>IF(对接源_01水果!$C197="","",对接源_01水果!$C197)</f>
        <v>王照雪</v>
      </c>
      <c r="B197" s="3">
        <f t="shared" si="57"/>
        <v>0</v>
      </c>
      <c r="C197" s="3">
        <f t="shared" si="58"/>
        <v>13</v>
      </c>
      <c r="E197" s="3" t="str">
        <f t="shared" si="59"/>
        <v/>
      </c>
      <c r="K197" s="3">
        <f>IF(OR($K$1="",对接源_01水果!$C197="",对接源_01水果!$C197&lt;&gt;$K$1,对接源_01水果!$B197=""),0,IF(OR(N(对接源_01水果!$B197)&lt;$K$2,N(对接源_01水果!$B197)&gt;$K$3),0,1))</f>
        <v>0</v>
      </c>
      <c r="L197" s="3">
        <f>IF(OR($L$1="",对接源_01水果!$C197="",对接源_01水果!$C197&lt;&gt;$L$1,对接源_01水果!$B197=""),0,IF(OR(N(对接源_01水果!$B197)&lt;$L$2,N(对接源_01水果!$B197)&gt;$L$3),0,1))</f>
        <v>0</v>
      </c>
      <c r="M197" s="3">
        <f>IF(OR($M$1="",对接源_01水果!$C197="",对接源_01水果!$C197&lt;&gt;$M$1,对接源_01水果!$B197=""),0,IF(OR(N(对接源_01水果!$B197)&lt;$M$2,N(对接源_01水果!$B197)&gt;$M$3),0,1))</f>
        <v>0</v>
      </c>
      <c r="N197" s="3">
        <f>IF(OR($N$1="",对接源_01水果!$C197="",对接源_01水果!$C197&lt;&gt;$N$1,对接源_01水果!$B197=""),0,IF(OR(N(对接源_01水果!$B197)&lt;$N$2,N(对接源_01水果!$B197)&gt;$N$3),0,1))</f>
        <v>0</v>
      </c>
      <c r="P197" s="3">
        <f>IF(AND($K197=1,AND(对接源_01水果!$X197="公司筐",N(对接源_01水果!$T197)&lt;&gt;0)),1,0)</f>
        <v>0</v>
      </c>
      <c r="Q197" s="3">
        <f t="shared" si="60"/>
        <v>0</v>
      </c>
      <c r="R197" s="3">
        <f>IF(AND($K197=1,AND(对接源_01水果!$X197="公司筐",N(对接源_01水果!$U197)&lt;&gt;0)),1,0)</f>
        <v>0</v>
      </c>
      <c r="S197" s="3">
        <f t="shared" si="61"/>
        <v>0</v>
      </c>
      <c r="T197" s="3">
        <f>IF(AND($K197=1,AND(对接源_01水果!$X197="公司筐",N(对接源_01水果!$V197)&lt;&gt;0)),1,0)</f>
        <v>0</v>
      </c>
      <c r="U197" s="3">
        <f t="shared" si="62"/>
        <v>3</v>
      </c>
      <c r="V197" s="3">
        <f>IF(AND($L197=1,AND(对接源_01水果!$X197="自备筐",N(对接源_01水果!$V197)&lt;&gt;0)),1,0)</f>
        <v>0</v>
      </c>
      <c r="W197" s="3">
        <f t="shared" si="63"/>
        <v>5</v>
      </c>
      <c r="X197" s="3">
        <f>IF(AND($L197=1,AND(对接源_01水果!$X197="自备筐",N(对接源_01水果!$T197)&lt;&gt;0)),1,0)</f>
        <v>0</v>
      </c>
      <c r="Y197" s="3">
        <f t="shared" si="64"/>
        <v>0</v>
      </c>
      <c r="Z197" s="3">
        <f>IF(AND($M197=1,对接源_01水果!$D197="原料入库"),1,0)</f>
        <v>0</v>
      </c>
      <c r="AA197" s="3">
        <f t="shared" si="65"/>
        <v>12</v>
      </c>
      <c r="AB197" s="3">
        <f>IF(AND($M197=1,LEFT(对接源_01水果!$D197,4)="原料出库"),1,0)</f>
        <v>0</v>
      </c>
      <c r="AC197" s="3">
        <f t="shared" si="66"/>
        <v>0</v>
      </c>
      <c r="AD197" s="3">
        <f>IF(AND($M197=1,LEFT(对接源_01水果!$D197,4)="成品出库"),1,0)</f>
        <v>0</v>
      </c>
      <c r="AE197" s="3">
        <f t="shared" si="67"/>
        <v>0</v>
      </c>
      <c r="AF197" s="3">
        <f>IF(AND($N197=1,AND(LEFT(对接源_01水果!$D197,4)="包装物料",N(对接源_01水果!$K197)&lt;&gt;0)),1,0)</f>
        <v>0</v>
      </c>
      <c r="AG197" s="3">
        <f t="shared" si="68"/>
        <v>0</v>
      </c>
      <c r="AH197" s="3">
        <f>IF(AND($N197=1,AND(对接源_01水果!$D197="周转筐－销售出库",N(对接源_01水果!$K197)&lt;&gt;0)),1,0)</f>
        <v>0</v>
      </c>
      <c r="AI197" s="3">
        <f t="shared" si="69"/>
        <v>0</v>
      </c>
      <c r="AJ197" s="7"/>
      <c r="AL197" s="3">
        <f>IF(OR($AL$1="",对接源_01水果!$Y197="",对接源_01水果!$Y197&lt;&gt;$AL$1,对接源_01水果!$B197="",N(对接源_01水果!$AJ197)&lt;=0),0,IF(OR(N(对接源_01水果!$B197)&lt;$AL$2,N(对接源_01水果!$B197)&gt;$AL$3),0,1))</f>
        <v>0</v>
      </c>
      <c r="AM197" s="3">
        <f t="shared" si="70"/>
        <v>0</v>
      </c>
      <c r="AN197" s="3" t="str">
        <f>IF(对接源_01水果!$AC197="","",对接源_01水果!$AC197)</f>
        <v/>
      </c>
      <c r="AO197" s="3">
        <f t="shared" si="71"/>
        <v>0</v>
      </c>
      <c r="AP197" s="3">
        <f t="shared" si="72"/>
        <v>0</v>
      </c>
      <c r="AQ197" s="3" t="str">
        <f t="shared" si="73"/>
        <v/>
      </c>
      <c r="AR197">
        <f t="shared" si="74"/>
        <v>0</v>
      </c>
      <c r="AS197">
        <f t="shared" si="75"/>
        <v>0</v>
      </c>
    </row>
    <row r="198" ht="14.25" customHeight="1" spans="1:45">
      <c r="A198" s="3" t="str">
        <f>IF(对接源_01水果!$C198="","",对接源_01水果!$C198)</f>
        <v>王照雪</v>
      </c>
      <c r="B198" s="3">
        <f t="shared" si="57"/>
        <v>0</v>
      </c>
      <c r="C198" s="3">
        <f t="shared" si="58"/>
        <v>13</v>
      </c>
      <c r="E198" s="3" t="str">
        <f t="shared" si="59"/>
        <v/>
      </c>
      <c r="K198" s="3">
        <f>IF(OR($K$1="",对接源_01水果!$C198="",对接源_01水果!$C198&lt;&gt;$K$1,对接源_01水果!$B198=""),0,IF(OR(N(对接源_01水果!$B198)&lt;$K$2,N(对接源_01水果!$B198)&gt;$K$3),0,1))</f>
        <v>0</v>
      </c>
      <c r="L198" s="3">
        <f>IF(OR($L$1="",对接源_01水果!$C198="",对接源_01水果!$C198&lt;&gt;$L$1,对接源_01水果!$B198=""),0,IF(OR(N(对接源_01水果!$B198)&lt;$L$2,N(对接源_01水果!$B198)&gt;$L$3),0,1))</f>
        <v>0</v>
      </c>
      <c r="M198" s="3">
        <f>IF(OR($M$1="",对接源_01水果!$C198="",对接源_01水果!$C198&lt;&gt;$M$1,对接源_01水果!$B198=""),0,IF(OR(N(对接源_01水果!$B198)&lt;$M$2,N(对接源_01水果!$B198)&gt;$M$3),0,1))</f>
        <v>0</v>
      </c>
      <c r="N198" s="3">
        <f>IF(OR($N$1="",对接源_01水果!$C198="",对接源_01水果!$C198&lt;&gt;$N$1,对接源_01水果!$B198=""),0,IF(OR(N(对接源_01水果!$B198)&lt;$N$2,N(对接源_01水果!$B198)&gt;$N$3),0,1))</f>
        <v>0</v>
      </c>
      <c r="P198" s="3">
        <f>IF(AND($K198=1,AND(对接源_01水果!$X198="公司筐",N(对接源_01水果!$T198)&lt;&gt;0)),1,0)</f>
        <v>0</v>
      </c>
      <c r="Q198" s="3">
        <f t="shared" si="60"/>
        <v>0</v>
      </c>
      <c r="R198" s="3">
        <f>IF(AND($K198=1,AND(对接源_01水果!$X198="公司筐",N(对接源_01水果!$U198)&lt;&gt;0)),1,0)</f>
        <v>0</v>
      </c>
      <c r="S198" s="3">
        <f t="shared" si="61"/>
        <v>0</v>
      </c>
      <c r="T198" s="3">
        <f>IF(AND($K198=1,AND(对接源_01水果!$X198="公司筐",N(对接源_01水果!$V198)&lt;&gt;0)),1,0)</f>
        <v>0</v>
      </c>
      <c r="U198" s="3">
        <f t="shared" si="62"/>
        <v>3</v>
      </c>
      <c r="V198" s="3">
        <f>IF(AND($L198=1,AND(对接源_01水果!$X198="自备筐",N(对接源_01水果!$V198)&lt;&gt;0)),1,0)</f>
        <v>0</v>
      </c>
      <c r="W198" s="3">
        <f t="shared" si="63"/>
        <v>5</v>
      </c>
      <c r="X198" s="3">
        <f>IF(AND($L198=1,AND(对接源_01水果!$X198="自备筐",N(对接源_01水果!$T198)&lt;&gt;0)),1,0)</f>
        <v>0</v>
      </c>
      <c r="Y198" s="3">
        <f t="shared" si="64"/>
        <v>0</v>
      </c>
      <c r="Z198" s="3">
        <f>IF(AND($M198=1,对接源_01水果!$D198="原料入库"),1,0)</f>
        <v>0</v>
      </c>
      <c r="AA198" s="3">
        <f t="shared" si="65"/>
        <v>12</v>
      </c>
      <c r="AB198" s="3">
        <f>IF(AND($M198=1,LEFT(对接源_01水果!$D198,4)="原料出库"),1,0)</f>
        <v>0</v>
      </c>
      <c r="AC198" s="3">
        <f t="shared" si="66"/>
        <v>0</v>
      </c>
      <c r="AD198" s="3">
        <f>IF(AND($M198=1,LEFT(对接源_01水果!$D198,4)="成品出库"),1,0)</f>
        <v>0</v>
      </c>
      <c r="AE198" s="3">
        <f t="shared" si="67"/>
        <v>0</v>
      </c>
      <c r="AF198" s="3">
        <f>IF(AND($N198=1,AND(LEFT(对接源_01水果!$D198,4)="包装物料",N(对接源_01水果!$K198)&lt;&gt;0)),1,0)</f>
        <v>0</v>
      </c>
      <c r="AG198" s="3">
        <f t="shared" si="68"/>
        <v>0</v>
      </c>
      <c r="AH198" s="3">
        <f>IF(AND($N198=1,AND(对接源_01水果!$D198="周转筐－销售出库",N(对接源_01水果!$K198)&lt;&gt;0)),1,0)</f>
        <v>0</v>
      </c>
      <c r="AI198" s="3">
        <f t="shared" si="69"/>
        <v>0</v>
      </c>
      <c r="AJ198" s="7"/>
      <c r="AL198" s="3">
        <f>IF(OR($AL$1="",对接源_01水果!$Y198="",对接源_01水果!$Y198&lt;&gt;$AL$1,对接源_01水果!$B198="",N(对接源_01水果!$AJ198)&lt;=0),0,IF(OR(N(对接源_01水果!$B198)&lt;$AL$2,N(对接源_01水果!$B198)&gt;$AL$3),0,1))</f>
        <v>0</v>
      </c>
      <c r="AM198" s="3">
        <f t="shared" si="70"/>
        <v>0</v>
      </c>
      <c r="AN198" s="3" t="str">
        <f>IF(对接源_01水果!$AC198="","",对接源_01水果!$AC198)</f>
        <v/>
      </c>
      <c r="AO198" s="3">
        <f t="shared" si="71"/>
        <v>0</v>
      </c>
      <c r="AP198" s="3">
        <f t="shared" si="72"/>
        <v>0</v>
      </c>
      <c r="AQ198" s="3" t="str">
        <f t="shared" si="73"/>
        <v/>
      </c>
      <c r="AR198">
        <f t="shared" si="74"/>
        <v>0</v>
      </c>
      <c r="AS198">
        <f t="shared" si="75"/>
        <v>0</v>
      </c>
    </row>
    <row r="199" ht="14.25" customHeight="1" spans="1:45">
      <c r="A199" s="3" t="str">
        <f>IF(对接源_01水果!$C199="","",对接源_01水果!$C199)</f>
        <v>王照雪</v>
      </c>
      <c r="B199" s="3">
        <f t="shared" si="57"/>
        <v>0</v>
      </c>
      <c r="C199" s="3">
        <f t="shared" si="58"/>
        <v>13</v>
      </c>
      <c r="E199" s="3" t="str">
        <f t="shared" si="59"/>
        <v/>
      </c>
      <c r="K199" s="3">
        <f>IF(OR($K$1="",对接源_01水果!$C199="",对接源_01水果!$C199&lt;&gt;$K$1,对接源_01水果!$B199=""),0,IF(OR(N(对接源_01水果!$B199)&lt;$K$2,N(对接源_01水果!$B199)&gt;$K$3),0,1))</f>
        <v>0</v>
      </c>
      <c r="L199" s="3">
        <f>IF(OR($L$1="",对接源_01水果!$C199="",对接源_01水果!$C199&lt;&gt;$L$1,对接源_01水果!$B199=""),0,IF(OR(N(对接源_01水果!$B199)&lt;$L$2,N(对接源_01水果!$B199)&gt;$L$3),0,1))</f>
        <v>0</v>
      </c>
      <c r="M199" s="3">
        <f>IF(OR($M$1="",对接源_01水果!$C199="",对接源_01水果!$C199&lt;&gt;$M$1,对接源_01水果!$B199=""),0,IF(OR(N(对接源_01水果!$B199)&lt;$M$2,N(对接源_01水果!$B199)&gt;$M$3),0,1))</f>
        <v>0</v>
      </c>
      <c r="N199" s="3">
        <f>IF(OR($N$1="",对接源_01水果!$C199="",对接源_01水果!$C199&lt;&gt;$N$1,对接源_01水果!$B199=""),0,IF(OR(N(对接源_01水果!$B199)&lt;$N$2,N(对接源_01水果!$B199)&gt;$N$3),0,1))</f>
        <v>0</v>
      </c>
      <c r="P199" s="3">
        <f>IF(AND($K199=1,AND(对接源_01水果!$X199="公司筐",N(对接源_01水果!$T199)&lt;&gt;0)),1,0)</f>
        <v>0</v>
      </c>
      <c r="Q199" s="3">
        <f t="shared" si="60"/>
        <v>0</v>
      </c>
      <c r="R199" s="3">
        <f>IF(AND($K199=1,AND(对接源_01水果!$X199="公司筐",N(对接源_01水果!$U199)&lt;&gt;0)),1,0)</f>
        <v>0</v>
      </c>
      <c r="S199" s="3">
        <f t="shared" si="61"/>
        <v>0</v>
      </c>
      <c r="T199" s="3">
        <f>IF(AND($K199=1,AND(对接源_01水果!$X199="公司筐",N(对接源_01水果!$V199)&lt;&gt;0)),1,0)</f>
        <v>0</v>
      </c>
      <c r="U199" s="3">
        <f t="shared" si="62"/>
        <v>3</v>
      </c>
      <c r="V199" s="3">
        <f>IF(AND($L199=1,AND(对接源_01水果!$X199="自备筐",N(对接源_01水果!$V199)&lt;&gt;0)),1,0)</f>
        <v>0</v>
      </c>
      <c r="W199" s="3">
        <f t="shared" si="63"/>
        <v>5</v>
      </c>
      <c r="X199" s="3">
        <f>IF(AND($L199=1,AND(对接源_01水果!$X199="自备筐",N(对接源_01水果!$T199)&lt;&gt;0)),1,0)</f>
        <v>0</v>
      </c>
      <c r="Y199" s="3">
        <f t="shared" si="64"/>
        <v>0</v>
      </c>
      <c r="Z199" s="3">
        <f>IF(AND($M199=1,对接源_01水果!$D199="原料入库"),1,0)</f>
        <v>0</v>
      </c>
      <c r="AA199" s="3">
        <f t="shared" si="65"/>
        <v>12</v>
      </c>
      <c r="AB199" s="3">
        <f>IF(AND($M199=1,LEFT(对接源_01水果!$D199,4)="原料出库"),1,0)</f>
        <v>0</v>
      </c>
      <c r="AC199" s="3">
        <f t="shared" si="66"/>
        <v>0</v>
      </c>
      <c r="AD199" s="3">
        <f>IF(AND($M199=1,LEFT(对接源_01水果!$D199,4)="成品出库"),1,0)</f>
        <v>0</v>
      </c>
      <c r="AE199" s="3">
        <f t="shared" si="67"/>
        <v>0</v>
      </c>
      <c r="AF199" s="3">
        <f>IF(AND($N199=1,AND(LEFT(对接源_01水果!$D199,4)="包装物料",N(对接源_01水果!$K199)&lt;&gt;0)),1,0)</f>
        <v>0</v>
      </c>
      <c r="AG199" s="3">
        <f t="shared" si="68"/>
        <v>0</v>
      </c>
      <c r="AH199" s="3">
        <f>IF(AND($N199=1,AND(对接源_01水果!$D199="周转筐－销售出库",N(对接源_01水果!$K199)&lt;&gt;0)),1,0)</f>
        <v>0</v>
      </c>
      <c r="AI199" s="3">
        <f t="shared" si="69"/>
        <v>0</v>
      </c>
      <c r="AJ199" s="7"/>
      <c r="AL199" s="3">
        <f>IF(OR($AL$1="",对接源_01水果!$Y199="",对接源_01水果!$Y199&lt;&gt;$AL$1,对接源_01水果!$B199="",N(对接源_01水果!$AJ199)&lt;=0),0,IF(OR(N(对接源_01水果!$B199)&lt;$AL$2,N(对接源_01水果!$B199)&gt;$AL$3),0,1))</f>
        <v>0</v>
      </c>
      <c r="AM199" s="3">
        <f t="shared" si="70"/>
        <v>0</v>
      </c>
      <c r="AN199" s="3" t="str">
        <f>IF(对接源_01水果!$AC199="","",对接源_01水果!$AC199)</f>
        <v/>
      </c>
      <c r="AO199" s="3">
        <f t="shared" si="71"/>
        <v>0</v>
      </c>
      <c r="AP199" s="3">
        <f t="shared" si="72"/>
        <v>0</v>
      </c>
      <c r="AQ199" s="3" t="str">
        <f t="shared" si="73"/>
        <v/>
      </c>
      <c r="AR199">
        <f t="shared" si="74"/>
        <v>0</v>
      </c>
      <c r="AS199">
        <f t="shared" si="75"/>
        <v>0</v>
      </c>
    </row>
    <row r="200" ht="14.25" customHeight="1" spans="1:45">
      <c r="A200" s="3" t="str">
        <f>IF(对接源_01水果!$C200="","",对接源_01水果!$C200)</f>
        <v>马锦祥</v>
      </c>
      <c r="B200" s="3">
        <f t="shared" si="57"/>
        <v>0</v>
      </c>
      <c r="C200" s="3">
        <f t="shared" si="58"/>
        <v>13</v>
      </c>
      <c r="E200" s="3" t="str">
        <f t="shared" si="59"/>
        <v/>
      </c>
      <c r="K200" s="3">
        <f>IF(OR($K$1="",对接源_01水果!$C200="",对接源_01水果!$C200&lt;&gt;$K$1,对接源_01水果!$B200=""),0,IF(OR(N(对接源_01水果!$B200)&lt;$K$2,N(对接源_01水果!$B200)&gt;$K$3),0,1))</f>
        <v>0</v>
      </c>
      <c r="L200" s="3">
        <f>IF(OR($L$1="",对接源_01水果!$C200="",对接源_01水果!$C200&lt;&gt;$L$1,对接源_01水果!$B200=""),0,IF(OR(N(对接源_01水果!$B200)&lt;$L$2,N(对接源_01水果!$B200)&gt;$L$3),0,1))</f>
        <v>0</v>
      </c>
      <c r="M200" s="3">
        <f>IF(OR($M$1="",对接源_01水果!$C200="",对接源_01水果!$C200&lt;&gt;$M$1,对接源_01水果!$B200=""),0,IF(OR(N(对接源_01水果!$B200)&lt;$M$2,N(对接源_01水果!$B200)&gt;$M$3),0,1))</f>
        <v>0</v>
      </c>
      <c r="N200" s="3">
        <f>IF(OR($N$1="",对接源_01水果!$C200="",对接源_01水果!$C200&lt;&gt;$N$1,对接源_01水果!$B200=""),0,IF(OR(N(对接源_01水果!$B200)&lt;$N$2,N(对接源_01水果!$B200)&gt;$N$3),0,1))</f>
        <v>0</v>
      </c>
      <c r="P200" s="3">
        <f>IF(AND($K200=1,AND(对接源_01水果!$X200="公司筐",N(对接源_01水果!$T200)&lt;&gt;0)),1,0)</f>
        <v>0</v>
      </c>
      <c r="Q200" s="3">
        <f t="shared" si="60"/>
        <v>0</v>
      </c>
      <c r="R200" s="3">
        <f>IF(AND($K200=1,AND(对接源_01水果!$X200="公司筐",N(对接源_01水果!$U200)&lt;&gt;0)),1,0)</f>
        <v>0</v>
      </c>
      <c r="S200" s="3">
        <f t="shared" si="61"/>
        <v>0</v>
      </c>
      <c r="T200" s="3">
        <f>IF(AND($K200=1,AND(对接源_01水果!$X200="公司筐",N(对接源_01水果!$V200)&lt;&gt;0)),1,0)</f>
        <v>0</v>
      </c>
      <c r="U200" s="3">
        <f t="shared" si="62"/>
        <v>3</v>
      </c>
      <c r="V200" s="3">
        <f>IF(AND($L200=1,AND(对接源_01水果!$X200="自备筐",N(对接源_01水果!$V200)&lt;&gt;0)),1,0)</f>
        <v>0</v>
      </c>
      <c r="W200" s="3">
        <f t="shared" si="63"/>
        <v>5</v>
      </c>
      <c r="X200" s="3">
        <f>IF(AND($L200=1,AND(对接源_01水果!$X200="自备筐",N(对接源_01水果!$T200)&lt;&gt;0)),1,0)</f>
        <v>0</v>
      </c>
      <c r="Y200" s="3">
        <f t="shared" si="64"/>
        <v>0</v>
      </c>
      <c r="Z200" s="3">
        <f>IF(AND($M200=1,对接源_01水果!$D200="原料入库"),1,0)</f>
        <v>0</v>
      </c>
      <c r="AA200" s="3">
        <f t="shared" si="65"/>
        <v>12</v>
      </c>
      <c r="AB200" s="3">
        <f>IF(AND($M200=1,LEFT(对接源_01水果!$D200,4)="原料出库"),1,0)</f>
        <v>0</v>
      </c>
      <c r="AC200" s="3">
        <f t="shared" si="66"/>
        <v>0</v>
      </c>
      <c r="AD200" s="3">
        <f>IF(AND($M200=1,LEFT(对接源_01水果!$D200,4)="成品出库"),1,0)</f>
        <v>0</v>
      </c>
      <c r="AE200" s="3">
        <f t="shared" si="67"/>
        <v>0</v>
      </c>
      <c r="AF200" s="3">
        <f>IF(AND($N200=1,AND(LEFT(对接源_01水果!$D200,4)="包装物料",N(对接源_01水果!$K200)&lt;&gt;0)),1,0)</f>
        <v>0</v>
      </c>
      <c r="AG200" s="3">
        <f t="shared" si="68"/>
        <v>0</v>
      </c>
      <c r="AH200" s="3">
        <f>IF(AND($N200=1,AND(对接源_01水果!$D200="周转筐－销售出库",N(对接源_01水果!$K200)&lt;&gt;0)),1,0)</f>
        <v>0</v>
      </c>
      <c r="AI200" s="3">
        <f t="shared" si="69"/>
        <v>0</v>
      </c>
      <c r="AJ200" s="7"/>
      <c r="AL200" s="3">
        <f>IF(OR($AL$1="",对接源_01水果!$Y200="",对接源_01水果!$Y200&lt;&gt;$AL$1,对接源_01水果!$B200="",N(对接源_01水果!$AJ200)&lt;=0),0,IF(OR(N(对接源_01水果!$B200)&lt;$AL$2,N(对接源_01水果!$B200)&gt;$AL$3),0,1))</f>
        <v>0</v>
      </c>
      <c r="AM200" s="3">
        <f t="shared" si="70"/>
        <v>0</v>
      </c>
      <c r="AN200" s="3" t="str">
        <f>IF(对接源_01水果!$AC200="","",对接源_01水果!$AC200)</f>
        <v/>
      </c>
      <c r="AO200" s="3">
        <f t="shared" si="71"/>
        <v>0</v>
      </c>
      <c r="AP200" s="3">
        <f t="shared" si="72"/>
        <v>0</v>
      </c>
      <c r="AQ200" s="3" t="str">
        <f t="shared" si="73"/>
        <v/>
      </c>
      <c r="AR200">
        <f t="shared" si="74"/>
        <v>0</v>
      </c>
      <c r="AS200">
        <f t="shared" si="75"/>
        <v>0</v>
      </c>
    </row>
    <row r="201" ht="14.25" customHeight="1" spans="1:45">
      <c r="A201" s="3" t="str">
        <f>IF(对接源_01水果!$C201="","",对接源_01水果!$C201)</f>
        <v>马锦祥</v>
      </c>
      <c r="B201" s="3">
        <f t="shared" si="57"/>
        <v>0</v>
      </c>
      <c r="C201" s="3">
        <f t="shared" si="58"/>
        <v>13</v>
      </c>
      <c r="E201" s="3" t="str">
        <f t="shared" si="59"/>
        <v/>
      </c>
      <c r="K201" s="3">
        <f>IF(OR($K$1="",对接源_01水果!$C201="",对接源_01水果!$C201&lt;&gt;$K$1,对接源_01水果!$B201=""),0,IF(OR(N(对接源_01水果!$B201)&lt;$K$2,N(对接源_01水果!$B201)&gt;$K$3),0,1))</f>
        <v>0</v>
      </c>
      <c r="L201" s="3">
        <f>IF(OR($L$1="",对接源_01水果!$C201="",对接源_01水果!$C201&lt;&gt;$L$1,对接源_01水果!$B201=""),0,IF(OR(N(对接源_01水果!$B201)&lt;$L$2,N(对接源_01水果!$B201)&gt;$L$3),0,1))</f>
        <v>0</v>
      </c>
      <c r="M201" s="3">
        <f>IF(OR($M$1="",对接源_01水果!$C201="",对接源_01水果!$C201&lt;&gt;$M$1,对接源_01水果!$B201=""),0,IF(OR(N(对接源_01水果!$B201)&lt;$M$2,N(对接源_01水果!$B201)&gt;$M$3),0,1))</f>
        <v>0</v>
      </c>
      <c r="N201" s="3">
        <f>IF(OR($N$1="",对接源_01水果!$C201="",对接源_01水果!$C201&lt;&gt;$N$1,对接源_01水果!$B201=""),0,IF(OR(N(对接源_01水果!$B201)&lt;$N$2,N(对接源_01水果!$B201)&gt;$N$3),0,1))</f>
        <v>0</v>
      </c>
      <c r="P201" s="3">
        <f>IF(AND($K201=1,AND(对接源_01水果!$X201="公司筐",N(对接源_01水果!$T201)&lt;&gt;0)),1,0)</f>
        <v>0</v>
      </c>
      <c r="Q201" s="3">
        <f t="shared" si="60"/>
        <v>0</v>
      </c>
      <c r="R201" s="3">
        <f>IF(AND($K201=1,AND(对接源_01水果!$X201="公司筐",N(对接源_01水果!$U201)&lt;&gt;0)),1,0)</f>
        <v>0</v>
      </c>
      <c r="S201" s="3">
        <f t="shared" si="61"/>
        <v>0</v>
      </c>
      <c r="T201" s="3">
        <f>IF(AND($K201=1,AND(对接源_01水果!$X201="公司筐",N(对接源_01水果!$V201)&lt;&gt;0)),1,0)</f>
        <v>0</v>
      </c>
      <c r="U201" s="3">
        <f t="shared" si="62"/>
        <v>3</v>
      </c>
      <c r="V201" s="3">
        <f>IF(AND($L201=1,AND(对接源_01水果!$X201="自备筐",N(对接源_01水果!$V201)&lt;&gt;0)),1,0)</f>
        <v>0</v>
      </c>
      <c r="W201" s="3">
        <f t="shared" si="63"/>
        <v>5</v>
      </c>
      <c r="X201" s="3">
        <f>IF(AND($L201=1,AND(对接源_01水果!$X201="自备筐",N(对接源_01水果!$T201)&lt;&gt;0)),1,0)</f>
        <v>0</v>
      </c>
      <c r="Y201" s="3">
        <f t="shared" si="64"/>
        <v>0</v>
      </c>
      <c r="Z201" s="3">
        <f>IF(AND($M201=1,对接源_01水果!$D201="原料入库"),1,0)</f>
        <v>0</v>
      </c>
      <c r="AA201" s="3">
        <f t="shared" si="65"/>
        <v>12</v>
      </c>
      <c r="AB201" s="3">
        <f>IF(AND($M201=1,LEFT(对接源_01水果!$D201,4)="原料出库"),1,0)</f>
        <v>0</v>
      </c>
      <c r="AC201" s="3">
        <f t="shared" si="66"/>
        <v>0</v>
      </c>
      <c r="AD201" s="3">
        <f>IF(AND($M201=1,LEFT(对接源_01水果!$D201,4)="成品出库"),1,0)</f>
        <v>0</v>
      </c>
      <c r="AE201" s="3">
        <f t="shared" si="67"/>
        <v>0</v>
      </c>
      <c r="AF201" s="3">
        <f>IF(AND($N201=1,AND(LEFT(对接源_01水果!$D201,4)="包装物料",N(对接源_01水果!$K201)&lt;&gt;0)),1,0)</f>
        <v>0</v>
      </c>
      <c r="AG201" s="3">
        <f t="shared" si="68"/>
        <v>0</v>
      </c>
      <c r="AH201" s="3">
        <f>IF(AND($N201=1,AND(对接源_01水果!$D201="周转筐－销售出库",N(对接源_01水果!$K201)&lt;&gt;0)),1,0)</f>
        <v>0</v>
      </c>
      <c r="AI201" s="3">
        <f t="shared" si="69"/>
        <v>0</v>
      </c>
      <c r="AJ201" s="7"/>
      <c r="AL201" s="3">
        <f>IF(OR($AL$1="",对接源_01水果!$Y201="",对接源_01水果!$Y201&lt;&gt;$AL$1,对接源_01水果!$B201="",N(对接源_01水果!$AJ201)&lt;=0),0,IF(OR(N(对接源_01水果!$B201)&lt;$AL$2,N(对接源_01水果!$B201)&gt;$AL$3),0,1))</f>
        <v>0</v>
      </c>
      <c r="AM201" s="3">
        <f t="shared" si="70"/>
        <v>0</v>
      </c>
      <c r="AN201" s="3" t="str">
        <f>IF(对接源_01水果!$AC201="","",对接源_01水果!$AC201)</f>
        <v/>
      </c>
      <c r="AO201" s="3">
        <f t="shared" si="71"/>
        <v>0</v>
      </c>
      <c r="AP201" s="3">
        <f t="shared" si="72"/>
        <v>0</v>
      </c>
      <c r="AQ201" s="3" t="str">
        <f t="shared" si="73"/>
        <v/>
      </c>
      <c r="AR201">
        <f t="shared" si="74"/>
        <v>0</v>
      </c>
      <c r="AS201">
        <f t="shared" si="75"/>
        <v>0</v>
      </c>
    </row>
    <row r="202" ht="14.25" customHeight="1" spans="1:45">
      <c r="A202" s="3" t="str">
        <f>IF(对接源_01水果!$C202="","",对接源_01水果!$C202)</f>
        <v>马锦祥</v>
      </c>
      <c r="B202" s="3">
        <f t="shared" si="57"/>
        <v>0</v>
      </c>
      <c r="C202" s="3">
        <f t="shared" si="58"/>
        <v>13</v>
      </c>
      <c r="E202" s="3" t="str">
        <f t="shared" si="59"/>
        <v/>
      </c>
      <c r="K202" s="3">
        <f>IF(OR($K$1="",对接源_01水果!$C202="",对接源_01水果!$C202&lt;&gt;$K$1,对接源_01水果!$B202=""),0,IF(OR(N(对接源_01水果!$B202)&lt;$K$2,N(对接源_01水果!$B202)&gt;$K$3),0,1))</f>
        <v>0</v>
      </c>
      <c r="L202" s="3">
        <f>IF(OR($L$1="",对接源_01水果!$C202="",对接源_01水果!$C202&lt;&gt;$L$1,对接源_01水果!$B202=""),0,IF(OR(N(对接源_01水果!$B202)&lt;$L$2,N(对接源_01水果!$B202)&gt;$L$3),0,1))</f>
        <v>0</v>
      </c>
      <c r="M202" s="3">
        <f>IF(OR($M$1="",对接源_01水果!$C202="",对接源_01水果!$C202&lt;&gt;$M$1,对接源_01水果!$B202=""),0,IF(OR(N(对接源_01水果!$B202)&lt;$M$2,N(对接源_01水果!$B202)&gt;$M$3),0,1))</f>
        <v>0</v>
      </c>
      <c r="N202" s="3">
        <f>IF(OR($N$1="",对接源_01水果!$C202="",对接源_01水果!$C202&lt;&gt;$N$1,对接源_01水果!$B202=""),0,IF(OR(N(对接源_01水果!$B202)&lt;$N$2,N(对接源_01水果!$B202)&gt;$N$3),0,1))</f>
        <v>0</v>
      </c>
      <c r="P202" s="3">
        <f>IF(AND($K202=1,AND(对接源_01水果!$X202="公司筐",N(对接源_01水果!$T202)&lt;&gt;0)),1,0)</f>
        <v>0</v>
      </c>
      <c r="Q202" s="3">
        <f t="shared" si="60"/>
        <v>0</v>
      </c>
      <c r="R202" s="3">
        <f>IF(AND($K202=1,AND(对接源_01水果!$X202="公司筐",N(对接源_01水果!$U202)&lt;&gt;0)),1,0)</f>
        <v>0</v>
      </c>
      <c r="S202" s="3">
        <f t="shared" si="61"/>
        <v>0</v>
      </c>
      <c r="T202" s="3">
        <f>IF(AND($K202=1,AND(对接源_01水果!$X202="公司筐",N(对接源_01水果!$V202)&lt;&gt;0)),1,0)</f>
        <v>0</v>
      </c>
      <c r="U202" s="3">
        <f t="shared" si="62"/>
        <v>3</v>
      </c>
      <c r="V202" s="3">
        <f>IF(AND($L202=1,AND(对接源_01水果!$X202="自备筐",N(对接源_01水果!$V202)&lt;&gt;0)),1,0)</f>
        <v>0</v>
      </c>
      <c r="W202" s="3">
        <f t="shared" si="63"/>
        <v>5</v>
      </c>
      <c r="X202" s="3">
        <f>IF(AND($L202=1,AND(对接源_01水果!$X202="自备筐",N(对接源_01水果!$T202)&lt;&gt;0)),1,0)</f>
        <v>0</v>
      </c>
      <c r="Y202" s="3">
        <f t="shared" si="64"/>
        <v>0</v>
      </c>
      <c r="Z202" s="3">
        <f>IF(AND($M202=1,对接源_01水果!$D202="原料入库"),1,0)</f>
        <v>0</v>
      </c>
      <c r="AA202" s="3">
        <f t="shared" si="65"/>
        <v>12</v>
      </c>
      <c r="AB202" s="3">
        <f>IF(AND($M202=1,LEFT(对接源_01水果!$D202,4)="原料出库"),1,0)</f>
        <v>0</v>
      </c>
      <c r="AC202" s="3">
        <f t="shared" si="66"/>
        <v>0</v>
      </c>
      <c r="AD202" s="3">
        <f>IF(AND($M202=1,LEFT(对接源_01水果!$D202,4)="成品出库"),1,0)</f>
        <v>0</v>
      </c>
      <c r="AE202" s="3">
        <f t="shared" si="67"/>
        <v>0</v>
      </c>
      <c r="AF202" s="3">
        <f>IF(AND($N202=1,AND(LEFT(对接源_01水果!$D202,4)="包装物料",N(对接源_01水果!$K202)&lt;&gt;0)),1,0)</f>
        <v>0</v>
      </c>
      <c r="AG202" s="3">
        <f t="shared" si="68"/>
        <v>0</v>
      </c>
      <c r="AH202" s="3">
        <f>IF(AND($N202=1,AND(对接源_01水果!$D202="周转筐－销售出库",N(对接源_01水果!$K202)&lt;&gt;0)),1,0)</f>
        <v>0</v>
      </c>
      <c r="AI202" s="3">
        <f t="shared" si="69"/>
        <v>0</v>
      </c>
      <c r="AJ202" s="7"/>
      <c r="AL202" s="3">
        <f>IF(OR($AL$1="",对接源_01水果!$Y202="",对接源_01水果!$Y202&lt;&gt;$AL$1,对接源_01水果!$B202="",N(对接源_01水果!$AJ202)&lt;=0),0,IF(OR(N(对接源_01水果!$B202)&lt;$AL$2,N(对接源_01水果!$B202)&gt;$AL$3),0,1))</f>
        <v>0</v>
      </c>
      <c r="AM202" s="3">
        <f t="shared" si="70"/>
        <v>0</v>
      </c>
      <c r="AN202" s="3" t="str">
        <f>IF(对接源_01水果!$AC202="","",对接源_01水果!$AC202)</f>
        <v/>
      </c>
      <c r="AO202" s="3">
        <f t="shared" si="71"/>
        <v>0</v>
      </c>
      <c r="AP202" s="3">
        <f t="shared" si="72"/>
        <v>0</v>
      </c>
      <c r="AQ202" s="3" t="str">
        <f t="shared" si="73"/>
        <v/>
      </c>
      <c r="AR202">
        <f t="shared" si="74"/>
        <v>0</v>
      </c>
      <c r="AS202">
        <f t="shared" si="75"/>
        <v>0</v>
      </c>
    </row>
    <row r="203" ht="14.25" customHeight="1" spans="1:45">
      <c r="A203" s="3" t="str">
        <f>IF(对接源_01水果!$C203="","",对接源_01水果!$C203)</f>
        <v>王照雪</v>
      </c>
      <c r="B203" s="3">
        <f t="shared" si="57"/>
        <v>0</v>
      </c>
      <c r="C203" s="3">
        <f t="shared" si="58"/>
        <v>13</v>
      </c>
      <c r="E203" s="3" t="str">
        <f t="shared" si="59"/>
        <v/>
      </c>
      <c r="K203" s="3">
        <f>IF(OR($K$1="",对接源_01水果!$C203="",对接源_01水果!$C203&lt;&gt;$K$1,对接源_01水果!$B203=""),0,IF(OR(N(对接源_01水果!$B203)&lt;$K$2,N(对接源_01水果!$B203)&gt;$K$3),0,1))</f>
        <v>0</v>
      </c>
      <c r="L203" s="3">
        <f>IF(OR($L$1="",对接源_01水果!$C203="",对接源_01水果!$C203&lt;&gt;$L$1,对接源_01水果!$B203=""),0,IF(OR(N(对接源_01水果!$B203)&lt;$L$2,N(对接源_01水果!$B203)&gt;$L$3),0,1))</f>
        <v>0</v>
      </c>
      <c r="M203" s="3">
        <f>IF(OR($M$1="",对接源_01水果!$C203="",对接源_01水果!$C203&lt;&gt;$M$1,对接源_01水果!$B203=""),0,IF(OR(N(对接源_01水果!$B203)&lt;$M$2,N(对接源_01水果!$B203)&gt;$M$3),0,1))</f>
        <v>0</v>
      </c>
      <c r="N203" s="3">
        <f>IF(OR($N$1="",对接源_01水果!$C203="",对接源_01水果!$C203&lt;&gt;$N$1,对接源_01水果!$B203=""),0,IF(OR(N(对接源_01水果!$B203)&lt;$N$2,N(对接源_01水果!$B203)&gt;$N$3),0,1))</f>
        <v>0</v>
      </c>
      <c r="P203" s="3">
        <f>IF(AND($K203=1,AND(对接源_01水果!$X203="公司筐",N(对接源_01水果!$T203)&lt;&gt;0)),1,0)</f>
        <v>0</v>
      </c>
      <c r="Q203" s="3">
        <f t="shared" si="60"/>
        <v>0</v>
      </c>
      <c r="R203" s="3">
        <f>IF(AND($K203=1,AND(对接源_01水果!$X203="公司筐",N(对接源_01水果!$U203)&lt;&gt;0)),1,0)</f>
        <v>0</v>
      </c>
      <c r="S203" s="3">
        <f t="shared" si="61"/>
        <v>0</v>
      </c>
      <c r="T203" s="3">
        <f>IF(AND($K203=1,AND(对接源_01水果!$X203="公司筐",N(对接源_01水果!$V203)&lt;&gt;0)),1,0)</f>
        <v>0</v>
      </c>
      <c r="U203" s="3">
        <f t="shared" si="62"/>
        <v>3</v>
      </c>
      <c r="V203" s="3">
        <f>IF(AND($L203=1,AND(对接源_01水果!$X203="自备筐",N(对接源_01水果!$V203)&lt;&gt;0)),1,0)</f>
        <v>0</v>
      </c>
      <c r="W203" s="3">
        <f t="shared" si="63"/>
        <v>5</v>
      </c>
      <c r="X203" s="3">
        <f>IF(AND($L203=1,AND(对接源_01水果!$X203="自备筐",N(对接源_01水果!$T203)&lt;&gt;0)),1,0)</f>
        <v>0</v>
      </c>
      <c r="Y203" s="3">
        <f t="shared" si="64"/>
        <v>0</v>
      </c>
      <c r="Z203" s="3">
        <f>IF(AND($M203=1,对接源_01水果!$D203="原料入库"),1,0)</f>
        <v>0</v>
      </c>
      <c r="AA203" s="3">
        <f t="shared" si="65"/>
        <v>12</v>
      </c>
      <c r="AB203" s="3">
        <f>IF(AND($M203=1,LEFT(对接源_01水果!$D203,4)="原料出库"),1,0)</f>
        <v>0</v>
      </c>
      <c r="AC203" s="3">
        <f t="shared" si="66"/>
        <v>0</v>
      </c>
      <c r="AD203" s="3">
        <f>IF(AND($M203=1,LEFT(对接源_01水果!$D203,4)="成品出库"),1,0)</f>
        <v>0</v>
      </c>
      <c r="AE203" s="3">
        <f t="shared" si="67"/>
        <v>0</v>
      </c>
      <c r="AF203" s="3">
        <f>IF(AND($N203=1,AND(LEFT(对接源_01水果!$D203,4)="包装物料",N(对接源_01水果!$K203)&lt;&gt;0)),1,0)</f>
        <v>0</v>
      </c>
      <c r="AG203" s="3">
        <f t="shared" si="68"/>
        <v>0</v>
      </c>
      <c r="AH203" s="3">
        <f>IF(AND($N203=1,AND(对接源_01水果!$D203="周转筐－销售出库",N(对接源_01水果!$K203)&lt;&gt;0)),1,0)</f>
        <v>0</v>
      </c>
      <c r="AI203" s="3">
        <f t="shared" si="69"/>
        <v>0</v>
      </c>
      <c r="AJ203" s="7"/>
      <c r="AL203" s="3">
        <f>IF(OR($AL$1="",对接源_01水果!$Y203="",对接源_01水果!$Y203&lt;&gt;$AL$1,对接源_01水果!$B203="",N(对接源_01水果!$AJ203)&lt;=0),0,IF(OR(N(对接源_01水果!$B203)&lt;$AL$2,N(对接源_01水果!$B203)&gt;$AL$3),0,1))</f>
        <v>0</v>
      </c>
      <c r="AM203" s="3">
        <f t="shared" si="70"/>
        <v>0</v>
      </c>
      <c r="AN203" s="3" t="str">
        <f>IF(对接源_01水果!$AC203="","",对接源_01水果!$AC203)</f>
        <v/>
      </c>
      <c r="AO203" s="3">
        <f t="shared" si="71"/>
        <v>0</v>
      </c>
      <c r="AP203" s="3">
        <f t="shared" si="72"/>
        <v>0</v>
      </c>
      <c r="AQ203" s="3" t="str">
        <f t="shared" si="73"/>
        <v/>
      </c>
      <c r="AR203">
        <f t="shared" si="74"/>
        <v>0</v>
      </c>
      <c r="AS203">
        <f t="shared" si="75"/>
        <v>0</v>
      </c>
    </row>
    <row r="204" ht="14.25" customHeight="1" spans="1:45">
      <c r="A204" s="3" t="str">
        <f>IF(对接源_01水果!$C204="","",对接源_01水果!$C204)</f>
        <v>王照雪</v>
      </c>
      <c r="B204" s="3">
        <f t="shared" si="57"/>
        <v>0</v>
      </c>
      <c r="C204" s="3">
        <f t="shared" si="58"/>
        <v>13</v>
      </c>
      <c r="E204" s="3" t="str">
        <f t="shared" si="59"/>
        <v/>
      </c>
      <c r="K204" s="3">
        <f>IF(OR($K$1="",对接源_01水果!$C204="",对接源_01水果!$C204&lt;&gt;$K$1,对接源_01水果!$B204=""),0,IF(OR(N(对接源_01水果!$B204)&lt;$K$2,N(对接源_01水果!$B204)&gt;$K$3),0,1))</f>
        <v>0</v>
      </c>
      <c r="L204" s="3">
        <f>IF(OR($L$1="",对接源_01水果!$C204="",对接源_01水果!$C204&lt;&gt;$L$1,对接源_01水果!$B204=""),0,IF(OR(N(对接源_01水果!$B204)&lt;$L$2,N(对接源_01水果!$B204)&gt;$L$3),0,1))</f>
        <v>0</v>
      </c>
      <c r="M204" s="3">
        <f>IF(OR($M$1="",对接源_01水果!$C204="",对接源_01水果!$C204&lt;&gt;$M$1,对接源_01水果!$B204=""),0,IF(OR(N(对接源_01水果!$B204)&lt;$M$2,N(对接源_01水果!$B204)&gt;$M$3),0,1))</f>
        <v>0</v>
      </c>
      <c r="N204" s="3">
        <f>IF(OR($N$1="",对接源_01水果!$C204="",对接源_01水果!$C204&lt;&gt;$N$1,对接源_01水果!$B204=""),0,IF(OR(N(对接源_01水果!$B204)&lt;$N$2,N(对接源_01水果!$B204)&gt;$N$3),0,1))</f>
        <v>0</v>
      </c>
      <c r="P204" s="3">
        <f>IF(AND($K204=1,AND(对接源_01水果!$X204="公司筐",N(对接源_01水果!$T204)&lt;&gt;0)),1,0)</f>
        <v>0</v>
      </c>
      <c r="Q204" s="3">
        <f t="shared" si="60"/>
        <v>0</v>
      </c>
      <c r="R204" s="3">
        <f>IF(AND($K204=1,AND(对接源_01水果!$X204="公司筐",N(对接源_01水果!$U204)&lt;&gt;0)),1,0)</f>
        <v>0</v>
      </c>
      <c r="S204" s="3">
        <f t="shared" si="61"/>
        <v>0</v>
      </c>
      <c r="T204" s="3">
        <f>IF(AND($K204=1,AND(对接源_01水果!$X204="公司筐",N(对接源_01水果!$V204)&lt;&gt;0)),1,0)</f>
        <v>0</v>
      </c>
      <c r="U204" s="3">
        <f t="shared" si="62"/>
        <v>3</v>
      </c>
      <c r="V204" s="3">
        <f>IF(AND($L204=1,AND(对接源_01水果!$X204="自备筐",N(对接源_01水果!$V204)&lt;&gt;0)),1,0)</f>
        <v>0</v>
      </c>
      <c r="W204" s="3">
        <f t="shared" si="63"/>
        <v>5</v>
      </c>
      <c r="X204" s="3">
        <f>IF(AND($L204=1,AND(对接源_01水果!$X204="自备筐",N(对接源_01水果!$T204)&lt;&gt;0)),1,0)</f>
        <v>0</v>
      </c>
      <c r="Y204" s="3">
        <f t="shared" si="64"/>
        <v>0</v>
      </c>
      <c r="Z204" s="3">
        <f>IF(AND($M204=1,对接源_01水果!$D204="原料入库"),1,0)</f>
        <v>0</v>
      </c>
      <c r="AA204" s="3">
        <f t="shared" si="65"/>
        <v>12</v>
      </c>
      <c r="AB204" s="3">
        <f>IF(AND($M204=1,LEFT(对接源_01水果!$D204,4)="原料出库"),1,0)</f>
        <v>0</v>
      </c>
      <c r="AC204" s="3">
        <f t="shared" si="66"/>
        <v>0</v>
      </c>
      <c r="AD204" s="3">
        <f>IF(AND($M204=1,LEFT(对接源_01水果!$D204,4)="成品出库"),1,0)</f>
        <v>0</v>
      </c>
      <c r="AE204" s="3">
        <f t="shared" si="67"/>
        <v>0</v>
      </c>
      <c r="AF204" s="3">
        <f>IF(AND($N204=1,AND(LEFT(对接源_01水果!$D204,4)="包装物料",N(对接源_01水果!$K204)&lt;&gt;0)),1,0)</f>
        <v>0</v>
      </c>
      <c r="AG204" s="3">
        <f t="shared" si="68"/>
        <v>0</v>
      </c>
      <c r="AH204" s="3">
        <f>IF(AND($N204=1,AND(对接源_01水果!$D204="周转筐－销售出库",N(对接源_01水果!$K204)&lt;&gt;0)),1,0)</f>
        <v>0</v>
      </c>
      <c r="AI204" s="3">
        <f t="shared" si="69"/>
        <v>0</v>
      </c>
      <c r="AJ204" s="7"/>
      <c r="AL204" s="3">
        <f>IF(OR($AL$1="",对接源_01水果!$Y204="",对接源_01水果!$Y204&lt;&gt;$AL$1,对接源_01水果!$B204="",N(对接源_01水果!$AJ204)&lt;=0),0,IF(OR(N(对接源_01水果!$B204)&lt;$AL$2,N(对接源_01水果!$B204)&gt;$AL$3),0,1))</f>
        <v>0</v>
      </c>
      <c r="AM204" s="3">
        <f t="shared" si="70"/>
        <v>0</v>
      </c>
      <c r="AN204" s="3" t="str">
        <f>IF(对接源_01水果!$AC204="","",对接源_01水果!$AC204)</f>
        <v/>
      </c>
      <c r="AO204" s="3">
        <f t="shared" si="71"/>
        <v>0</v>
      </c>
      <c r="AP204" s="3">
        <f t="shared" si="72"/>
        <v>0</v>
      </c>
      <c r="AR204">
        <f t="shared" si="74"/>
        <v>0</v>
      </c>
      <c r="AS204">
        <f t="shared" si="75"/>
        <v>0</v>
      </c>
    </row>
    <row r="205" ht="14.25" customHeight="1" spans="1:45">
      <c r="A205" s="3" t="str">
        <f>IF(对接源_01水果!$C205="","",对接源_01水果!$C205)</f>
        <v>麦麦提</v>
      </c>
      <c r="B205" s="3">
        <f t="shared" si="57"/>
        <v>0</v>
      </c>
      <c r="C205" s="3">
        <f t="shared" si="58"/>
        <v>13</v>
      </c>
      <c r="E205" s="3" t="str">
        <f t="shared" si="59"/>
        <v/>
      </c>
      <c r="K205" s="3">
        <f>IF(OR($K$1="",对接源_01水果!$C205="",对接源_01水果!$C205&lt;&gt;$K$1,对接源_01水果!$B205=""),0,IF(OR(N(对接源_01水果!$B205)&lt;$K$2,N(对接源_01水果!$B205)&gt;$K$3),0,1))</f>
        <v>0</v>
      </c>
      <c r="L205" s="3">
        <f>IF(OR($L$1="",对接源_01水果!$C205="",对接源_01水果!$C205&lt;&gt;$L$1,对接源_01水果!$B205=""),0,IF(OR(N(对接源_01水果!$B205)&lt;$L$2,N(对接源_01水果!$B205)&gt;$L$3),0,1))</f>
        <v>0</v>
      </c>
      <c r="M205" s="3">
        <f>IF(OR($M$1="",对接源_01水果!$C205="",对接源_01水果!$C205&lt;&gt;$M$1,对接源_01水果!$B205=""),0,IF(OR(N(对接源_01水果!$B205)&lt;$M$2,N(对接源_01水果!$B205)&gt;$M$3),0,1))</f>
        <v>0</v>
      </c>
      <c r="N205" s="3">
        <f>IF(OR($N$1="",对接源_01水果!$C205="",对接源_01水果!$C205&lt;&gt;$N$1,对接源_01水果!$B205=""),0,IF(OR(N(对接源_01水果!$B205)&lt;$N$2,N(对接源_01水果!$B205)&gt;$N$3),0,1))</f>
        <v>0</v>
      </c>
      <c r="P205" s="3">
        <f>IF(AND($K205=1,AND(对接源_01水果!$X205="公司筐",N(对接源_01水果!$T205)&lt;&gt;0)),1,0)</f>
        <v>0</v>
      </c>
      <c r="Q205" s="3">
        <f t="shared" si="60"/>
        <v>0</v>
      </c>
      <c r="R205" s="3">
        <f>IF(AND($K205=1,AND(对接源_01水果!$X205="公司筐",N(对接源_01水果!$U205)&lt;&gt;0)),1,0)</f>
        <v>0</v>
      </c>
      <c r="S205" s="3">
        <f t="shared" si="61"/>
        <v>0</v>
      </c>
      <c r="T205" s="3">
        <f>IF(AND($K205=1,AND(对接源_01水果!$X205="公司筐",N(对接源_01水果!$V205)&lt;&gt;0)),1,0)</f>
        <v>0</v>
      </c>
      <c r="U205" s="3">
        <f t="shared" si="62"/>
        <v>3</v>
      </c>
      <c r="V205" s="3">
        <f>IF(AND($L205=1,AND(对接源_01水果!$X205="自备筐",N(对接源_01水果!$V205)&lt;&gt;0)),1,0)</f>
        <v>0</v>
      </c>
      <c r="W205" s="3">
        <f t="shared" si="63"/>
        <v>5</v>
      </c>
      <c r="X205" s="3">
        <f>IF(AND($L205=1,AND(对接源_01水果!$X205="自备筐",N(对接源_01水果!$T205)&lt;&gt;0)),1,0)</f>
        <v>0</v>
      </c>
      <c r="Y205" s="3">
        <f t="shared" si="64"/>
        <v>0</v>
      </c>
      <c r="Z205" s="3">
        <f>IF(AND($M205=1,对接源_01水果!$D205="原料入库"),1,0)</f>
        <v>0</v>
      </c>
      <c r="AA205" s="3">
        <f t="shared" si="65"/>
        <v>12</v>
      </c>
      <c r="AB205" s="3">
        <f>IF(AND($M205=1,LEFT(对接源_01水果!$D205,4)="原料出库"),1,0)</f>
        <v>0</v>
      </c>
      <c r="AC205" s="3">
        <f t="shared" si="66"/>
        <v>0</v>
      </c>
      <c r="AD205" s="3">
        <f>IF(AND($M205=1,LEFT(对接源_01水果!$D205,4)="成品出库"),1,0)</f>
        <v>0</v>
      </c>
      <c r="AE205" s="3">
        <f t="shared" si="67"/>
        <v>0</v>
      </c>
      <c r="AF205" s="3">
        <f>IF(AND($N205=1,AND(LEFT(对接源_01水果!$D205,4)="包装物料",N(对接源_01水果!$K205)&lt;&gt;0)),1,0)</f>
        <v>0</v>
      </c>
      <c r="AG205" s="3">
        <f t="shared" si="68"/>
        <v>0</v>
      </c>
      <c r="AH205" s="3">
        <f>IF(AND($N205=1,AND(对接源_01水果!$D205="周转筐－销售出库",N(对接源_01水果!$K205)&lt;&gt;0)),1,0)</f>
        <v>0</v>
      </c>
      <c r="AI205" s="3">
        <f t="shared" si="69"/>
        <v>0</v>
      </c>
      <c r="AJ205" s="7"/>
      <c r="AL205" s="3">
        <f>IF(OR($AL$1="",对接源_01水果!$Y205="",对接源_01水果!$Y205&lt;&gt;$AL$1,对接源_01水果!$B205="",N(对接源_01水果!$AJ205)&lt;=0),0,IF(OR(N(对接源_01水果!$B205)&lt;$AL$2,N(对接源_01水果!$B205)&gt;$AL$3),0,1))</f>
        <v>0</v>
      </c>
      <c r="AM205" s="3">
        <f t="shared" si="70"/>
        <v>0</v>
      </c>
      <c r="AN205" s="3" t="str">
        <f>IF(对接源_01水果!$AC205="","",对接源_01水果!$AC205)</f>
        <v/>
      </c>
      <c r="AO205" s="3">
        <f t="shared" si="71"/>
        <v>0</v>
      </c>
      <c r="AP205" s="3">
        <f t="shared" si="72"/>
        <v>0</v>
      </c>
      <c r="AR205">
        <f t="shared" si="74"/>
        <v>0</v>
      </c>
      <c r="AS205">
        <f t="shared" si="75"/>
        <v>0</v>
      </c>
    </row>
    <row r="206" ht="14.25" customHeight="1" spans="1:45">
      <c r="A206" s="3" t="str">
        <f>IF(对接源_01水果!$C206="","",对接源_01水果!$C206)</f>
        <v>麦麦提</v>
      </c>
      <c r="B206" s="3">
        <f t="shared" si="57"/>
        <v>0</v>
      </c>
      <c r="C206" s="3">
        <f t="shared" si="58"/>
        <v>13</v>
      </c>
      <c r="E206" s="3" t="str">
        <f t="shared" si="59"/>
        <v/>
      </c>
      <c r="K206" s="3">
        <f>IF(OR($K$1="",对接源_01水果!$C206="",对接源_01水果!$C206&lt;&gt;$K$1,对接源_01水果!$B206=""),0,IF(OR(N(对接源_01水果!$B206)&lt;$K$2,N(对接源_01水果!$B206)&gt;$K$3),0,1))</f>
        <v>0</v>
      </c>
      <c r="L206" s="3">
        <f>IF(OR($L$1="",对接源_01水果!$C206="",对接源_01水果!$C206&lt;&gt;$L$1,对接源_01水果!$B206=""),0,IF(OR(N(对接源_01水果!$B206)&lt;$L$2,N(对接源_01水果!$B206)&gt;$L$3),0,1))</f>
        <v>0</v>
      </c>
      <c r="M206" s="3">
        <f>IF(OR($M$1="",对接源_01水果!$C206="",对接源_01水果!$C206&lt;&gt;$M$1,对接源_01水果!$B206=""),0,IF(OR(N(对接源_01水果!$B206)&lt;$M$2,N(对接源_01水果!$B206)&gt;$M$3),0,1))</f>
        <v>0</v>
      </c>
      <c r="N206" s="3">
        <f>IF(OR($N$1="",对接源_01水果!$C206="",对接源_01水果!$C206&lt;&gt;$N$1,对接源_01水果!$B206=""),0,IF(OR(N(对接源_01水果!$B206)&lt;$N$2,N(对接源_01水果!$B206)&gt;$N$3),0,1))</f>
        <v>0</v>
      </c>
      <c r="P206" s="3">
        <f>IF(AND($K206=1,AND(对接源_01水果!$X206="公司筐",N(对接源_01水果!$T206)&lt;&gt;0)),1,0)</f>
        <v>0</v>
      </c>
      <c r="Q206" s="3">
        <f t="shared" si="60"/>
        <v>0</v>
      </c>
      <c r="R206" s="3">
        <f>IF(AND($K206=1,AND(对接源_01水果!$X206="公司筐",N(对接源_01水果!$U206)&lt;&gt;0)),1,0)</f>
        <v>0</v>
      </c>
      <c r="S206" s="3">
        <f t="shared" si="61"/>
        <v>0</v>
      </c>
      <c r="T206" s="3">
        <f>IF(AND($K206=1,AND(对接源_01水果!$X206="公司筐",N(对接源_01水果!$V206)&lt;&gt;0)),1,0)</f>
        <v>0</v>
      </c>
      <c r="U206" s="3">
        <f t="shared" si="62"/>
        <v>3</v>
      </c>
      <c r="V206" s="3">
        <f>IF(AND($L206=1,AND(对接源_01水果!$X206="自备筐",N(对接源_01水果!$V206)&lt;&gt;0)),1,0)</f>
        <v>0</v>
      </c>
      <c r="W206" s="3">
        <f t="shared" si="63"/>
        <v>5</v>
      </c>
      <c r="X206" s="3">
        <f>IF(AND($L206=1,AND(对接源_01水果!$X206="自备筐",N(对接源_01水果!$T206)&lt;&gt;0)),1,0)</f>
        <v>0</v>
      </c>
      <c r="Y206" s="3">
        <f t="shared" si="64"/>
        <v>0</v>
      </c>
      <c r="Z206" s="3">
        <f>IF(AND($M206=1,对接源_01水果!$D206="原料入库"),1,0)</f>
        <v>0</v>
      </c>
      <c r="AA206" s="3">
        <f t="shared" si="65"/>
        <v>12</v>
      </c>
      <c r="AB206" s="3">
        <f>IF(AND($M206=1,LEFT(对接源_01水果!$D206,4)="原料出库"),1,0)</f>
        <v>0</v>
      </c>
      <c r="AC206" s="3">
        <f t="shared" si="66"/>
        <v>0</v>
      </c>
      <c r="AD206" s="3">
        <f>IF(AND($M206=1,LEFT(对接源_01水果!$D206,4)="成品出库"),1,0)</f>
        <v>0</v>
      </c>
      <c r="AE206" s="3">
        <f t="shared" si="67"/>
        <v>0</v>
      </c>
      <c r="AF206" s="3">
        <f>IF(AND($N206=1,AND(LEFT(对接源_01水果!$D206,4)="包装物料",N(对接源_01水果!$K206)&lt;&gt;0)),1,0)</f>
        <v>0</v>
      </c>
      <c r="AG206" s="3">
        <f t="shared" si="68"/>
        <v>0</v>
      </c>
      <c r="AH206" s="3">
        <f>IF(AND($N206=1,AND(对接源_01水果!$D206="周转筐－销售出库",N(对接源_01水果!$K206)&lt;&gt;0)),1,0)</f>
        <v>0</v>
      </c>
      <c r="AI206" s="3">
        <f t="shared" si="69"/>
        <v>0</v>
      </c>
      <c r="AJ206" s="7"/>
      <c r="AL206" s="3">
        <f>IF(OR($AL$1="",对接源_01水果!$Y206="",对接源_01水果!$Y206&lt;&gt;$AL$1,对接源_01水果!$B206="",N(对接源_01水果!$AJ206)&lt;=0),0,IF(OR(N(对接源_01水果!$B206)&lt;$AL$2,N(对接源_01水果!$B206)&gt;$AL$3),0,1))</f>
        <v>0</v>
      </c>
      <c r="AM206" s="3">
        <f t="shared" si="70"/>
        <v>0</v>
      </c>
      <c r="AN206" s="3" t="str">
        <f>IF(对接源_01水果!$AC206="","",对接源_01水果!$AC206)</f>
        <v/>
      </c>
      <c r="AO206" s="3">
        <f t="shared" si="71"/>
        <v>0</v>
      </c>
      <c r="AP206" s="3">
        <f t="shared" si="72"/>
        <v>0</v>
      </c>
      <c r="AR206">
        <f t="shared" si="74"/>
        <v>0</v>
      </c>
      <c r="AS206">
        <f t="shared" si="75"/>
        <v>0</v>
      </c>
    </row>
    <row r="207" ht="14.25" customHeight="1" spans="1:45">
      <c r="A207" s="3" t="str">
        <f>IF(对接源_01水果!$C207="","",对接源_01水果!$C207)</f>
        <v>麦麦提</v>
      </c>
      <c r="B207" s="3">
        <f t="shared" si="57"/>
        <v>0</v>
      </c>
      <c r="C207" s="3">
        <f t="shared" si="58"/>
        <v>13</v>
      </c>
      <c r="E207" s="3" t="str">
        <f t="shared" si="59"/>
        <v/>
      </c>
      <c r="K207" s="3">
        <f>IF(OR($K$1="",对接源_01水果!$C207="",对接源_01水果!$C207&lt;&gt;$K$1,对接源_01水果!$B207=""),0,IF(OR(N(对接源_01水果!$B207)&lt;$K$2,N(对接源_01水果!$B207)&gt;$K$3),0,1))</f>
        <v>0</v>
      </c>
      <c r="L207" s="3">
        <f>IF(OR($L$1="",对接源_01水果!$C207="",对接源_01水果!$C207&lt;&gt;$L$1,对接源_01水果!$B207=""),0,IF(OR(N(对接源_01水果!$B207)&lt;$L$2,N(对接源_01水果!$B207)&gt;$L$3),0,1))</f>
        <v>0</v>
      </c>
      <c r="M207" s="3">
        <f>IF(OR($M$1="",对接源_01水果!$C207="",对接源_01水果!$C207&lt;&gt;$M$1,对接源_01水果!$B207=""),0,IF(OR(N(对接源_01水果!$B207)&lt;$M$2,N(对接源_01水果!$B207)&gt;$M$3),0,1))</f>
        <v>0</v>
      </c>
      <c r="N207" s="3">
        <f>IF(OR($N$1="",对接源_01水果!$C207="",对接源_01水果!$C207&lt;&gt;$N$1,对接源_01水果!$B207=""),0,IF(OR(N(对接源_01水果!$B207)&lt;$N$2,N(对接源_01水果!$B207)&gt;$N$3),0,1))</f>
        <v>0</v>
      </c>
      <c r="P207" s="3">
        <f>IF(AND($K207=1,AND(对接源_01水果!$X207="公司筐",N(对接源_01水果!$T207)&lt;&gt;0)),1,0)</f>
        <v>0</v>
      </c>
      <c r="Q207" s="3">
        <f t="shared" si="60"/>
        <v>0</v>
      </c>
      <c r="R207" s="3">
        <f>IF(AND($K207=1,AND(对接源_01水果!$X207="公司筐",N(对接源_01水果!$U207)&lt;&gt;0)),1,0)</f>
        <v>0</v>
      </c>
      <c r="S207" s="3">
        <f t="shared" si="61"/>
        <v>0</v>
      </c>
      <c r="T207" s="3">
        <f>IF(AND($K207=1,AND(对接源_01水果!$X207="公司筐",N(对接源_01水果!$V207)&lt;&gt;0)),1,0)</f>
        <v>0</v>
      </c>
      <c r="U207" s="3">
        <f t="shared" si="62"/>
        <v>3</v>
      </c>
      <c r="V207" s="3">
        <f>IF(AND($L207=1,AND(对接源_01水果!$X207="自备筐",N(对接源_01水果!$V207)&lt;&gt;0)),1,0)</f>
        <v>0</v>
      </c>
      <c r="W207" s="3">
        <f t="shared" si="63"/>
        <v>5</v>
      </c>
      <c r="X207" s="3">
        <f>IF(AND($L207=1,AND(对接源_01水果!$X207="自备筐",N(对接源_01水果!$T207)&lt;&gt;0)),1,0)</f>
        <v>0</v>
      </c>
      <c r="Y207" s="3">
        <f t="shared" si="64"/>
        <v>0</v>
      </c>
      <c r="Z207" s="3">
        <f>IF(AND($M207=1,对接源_01水果!$D207="原料入库"),1,0)</f>
        <v>0</v>
      </c>
      <c r="AA207" s="3">
        <f t="shared" si="65"/>
        <v>12</v>
      </c>
      <c r="AB207" s="3">
        <f>IF(AND($M207=1,LEFT(对接源_01水果!$D207,4)="原料出库"),1,0)</f>
        <v>0</v>
      </c>
      <c r="AC207" s="3">
        <f t="shared" si="66"/>
        <v>0</v>
      </c>
      <c r="AD207" s="3">
        <f>IF(AND($M207=1,LEFT(对接源_01水果!$D207,4)="成品出库"),1,0)</f>
        <v>0</v>
      </c>
      <c r="AE207" s="3">
        <f t="shared" si="67"/>
        <v>0</v>
      </c>
      <c r="AF207" s="3">
        <f>IF(AND($N207=1,AND(LEFT(对接源_01水果!$D207,4)="包装物料",N(对接源_01水果!$K207)&lt;&gt;0)),1,0)</f>
        <v>0</v>
      </c>
      <c r="AG207" s="3">
        <f t="shared" si="68"/>
        <v>0</v>
      </c>
      <c r="AH207" s="3">
        <f>IF(AND($N207=1,AND(对接源_01水果!$D207="周转筐－销售出库",N(对接源_01水果!$K207)&lt;&gt;0)),1,0)</f>
        <v>0</v>
      </c>
      <c r="AI207" s="3">
        <f t="shared" si="69"/>
        <v>0</v>
      </c>
      <c r="AJ207" s="7"/>
      <c r="AL207" s="3">
        <f>IF(OR($AL$1="",对接源_01水果!$Y207="",对接源_01水果!$Y207&lt;&gt;$AL$1,对接源_01水果!$B207="",N(对接源_01水果!$AJ207)&lt;=0),0,IF(OR(N(对接源_01水果!$B207)&lt;$AL$2,N(对接源_01水果!$B207)&gt;$AL$3),0,1))</f>
        <v>0</v>
      </c>
      <c r="AM207" s="3">
        <f t="shared" si="70"/>
        <v>0</v>
      </c>
      <c r="AN207" s="3" t="str">
        <f>IF(对接源_01水果!$AC207="","",对接源_01水果!$AC207)</f>
        <v/>
      </c>
      <c r="AO207" s="3">
        <f t="shared" si="71"/>
        <v>0</v>
      </c>
      <c r="AP207" s="3">
        <f t="shared" si="72"/>
        <v>0</v>
      </c>
      <c r="AR207">
        <f t="shared" si="74"/>
        <v>0</v>
      </c>
      <c r="AS207">
        <f t="shared" si="75"/>
        <v>0</v>
      </c>
    </row>
    <row r="208" ht="14.25" customHeight="1" spans="1:45">
      <c r="A208" s="3" t="str">
        <f>IF(对接源_01水果!$C208="","",对接源_01水果!$C208)</f>
        <v>王灵云</v>
      </c>
      <c r="B208" s="3">
        <f t="shared" si="57"/>
        <v>0</v>
      </c>
      <c r="C208" s="3">
        <f t="shared" si="58"/>
        <v>13</v>
      </c>
      <c r="E208" s="3" t="str">
        <f t="shared" si="59"/>
        <v/>
      </c>
      <c r="K208" s="3">
        <f>IF(OR($K$1="",对接源_01水果!$C208="",对接源_01水果!$C208&lt;&gt;$K$1,对接源_01水果!$B208=""),0,IF(OR(N(对接源_01水果!$B208)&lt;$K$2,N(对接源_01水果!$B208)&gt;$K$3),0,1))</f>
        <v>1</v>
      </c>
      <c r="L208" s="3">
        <f>IF(OR($L$1="",对接源_01水果!$C208="",对接源_01水果!$C208&lt;&gt;$L$1,对接源_01水果!$B208=""),0,IF(OR(N(对接源_01水果!$B208)&lt;$L$2,N(对接源_01水果!$B208)&gt;$L$3),0,1))</f>
        <v>0</v>
      </c>
      <c r="M208" s="3">
        <f>IF(OR($M$1="",对接源_01水果!$C208="",对接源_01水果!$C208&lt;&gt;$M$1,对接源_01水果!$B208=""),0,IF(OR(N(对接源_01水果!$B208)&lt;$M$2,N(对接源_01水果!$B208)&gt;$M$3),0,1))</f>
        <v>0</v>
      </c>
      <c r="N208" s="3">
        <f>IF(OR($N$1="",对接源_01水果!$C208="",对接源_01水果!$C208&lt;&gt;$N$1,对接源_01水果!$B208=""),0,IF(OR(N(对接源_01水果!$B208)&lt;$N$2,N(对接源_01水果!$B208)&gt;$N$3),0,1))</f>
        <v>0</v>
      </c>
      <c r="P208" s="3">
        <f>IF(AND($K208=1,AND(对接源_01水果!$X208="公司筐",N(对接源_01水果!$T208)&lt;&gt;0)),1,0)</f>
        <v>0</v>
      </c>
      <c r="Q208" s="3">
        <f t="shared" si="60"/>
        <v>0</v>
      </c>
      <c r="R208" s="3">
        <f>IF(AND($K208=1,AND(对接源_01水果!$X208="公司筐",N(对接源_01水果!$U208)&lt;&gt;0)),1,0)</f>
        <v>0</v>
      </c>
      <c r="S208" s="3">
        <f t="shared" si="61"/>
        <v>0</v>
      </c>
      <c r="T208" s="3">
        <f>IF(AND($K208=1,AND(对接源_01水果!$X208="公司筐",N(对接源_01水果!$V208)&lt;&gt;0)),1,0)</f>
        <v>1</v>
      </c>
      <c r="U208" s="3">
        <f t="shared" si="62"/>
        <v>4</v>
      </c>
      <c r="V208" s="3">
        <f>IF(AND($L208=1,AND(对接源_01水果!$X208="自备筐",N(对接源_01水果!$V208)&lt;&gt;0)),1,0)</f>
        <v>0</v>
      </c>
      <c r="W208" s="3">
        <f t="shared" si="63"/>
        <v>5</v>
      </c>
      <c r="X208" s="3">
        <f>IF(AND($L208=1,AND(对接源_01水果!$X208="自备筐",N(对接源_01水果!$T208)&lt;&gt;0)),1,0)</f>
        <v>0</v>
      </c>
      <c r="Y208" s="3">
        <f t="shared" si="64"/>
        <v>0</v>
      </c>
      <c r="Z208" s="3">
        <f>IF(AND($M208=1,对接源_01水果!$D208="原料入库"),1,0)</f>
        <v>0</v>
      </c>
      <c r="AA208" s="3">
        <f t="shared" si="65"/>
        <v>12</v>
      </c>
      <c r="AB208" s="3">
        <f>IF(AND($M208=1,LEFT(对接源_01水果!$D208,4)="原料出库"),1,0)</f>
        <v>0</v>
      </c>
      <c r="AC208" s="3">
        <f t="shared" si="66"/>
        <v>0</v>
      </c>
      <c r="AD208" s="3">
        <f>IF(AND($M208=1,LEFT(对接源_01水果!$D208,4)="成品出库"),1,0)</f>
        <v>0</v>
      </c>
      <c r="AE208" s="3">
        <f t="shared" si="67"/>
        <v>0</v>
      </c>
      <c r="AF208" s="3">
        <f>IF(AND($N208=1,AND(LEFT(对接源_01水果!$D208,4)="包装物料",N(对接源_01水果!$K208)&lt;&gt;0)),1,0)</f>
        <v>0</v>
      </c>
      <c r="AG208" s="3">
        <f t="shared" si="68"/>
        <v>0</v>
      </c>
      <c r="AH208" s="3">
        <f>IF(AND($N208=1,AND(对接源_01水果!$D208="周转筐－销售出库",N(对接源_01水果!$K208)&lt;&gt;0)),1,0)</f>
        <v>0</v>
      </c>
      <c r="AI208" s="3">
        <f t="shared" si="69"/>
        <v>0</v>
      </c>
      <c r="AJ208" s="7"/>
      <c r="AL208" s="3">
        <f>IF(OR($AL$1="",对接源_01水果!$Y208="",对接源_01水果!$Y208&lt;&gt;$AL$1,对接源_01水果!$B208="",N(对接源_01水果!$AJ208)&lt;=0),0,IF(OR(N(对接源_01水果!$B208)&lt;$AL$2,N(对接源_01水果!$B208)&gt;$AL$3),0,1))</f>
        <v>0</v>
      </c>
      <c r="AM208" s="3">
        <f t="shared" si="70"/>
        <v>0</v>
      </c>
      <c r="AN208" s="3" t="str">
        <f>IF(对接源_01水果!$AC208="","",对接源_01水果!$AC208)</f>
        <v/>
      </c>
      <c r="AO208" s="3">
        <f t="shared" si="71"/>
        <v>0</v>
      </c>
      <c r="AP208" s="3">
        <f t="shared" si="72"/>
        <v>0</v>
      </c>
      <c r="AR208">
        <f t="shared" si="74"/>
        <v>0</v>
      </c>
      <c r="AS208">
        <f t="shared" si="75"/>
        <v>0</v>
      </c>
    </row>
    <row r="209" ht="14.25" customHeight="1" spans="1:45">
      <c r="A209" s="3" t="str">
        <f>IF(对接源_01水果!$C209="","",对接源_01水果!$C209)</f>
        <v>王灵云</v>
      </c>
      <c r="B209" s="3">
        <f t="shared" si="57"/>
        <v>0</v>
      </c>
      <c r="C209" s="3">
        <f t="shared" si="58"/>
        <v>13</v>
      </c>
      <c r="E209" s="3" t="str">
        <f t="shared" si="59"/>
        <v/>
      </c>
      <c r="K209" s="3">
        <f>IF(OR($K$1="",对接源_01水果!$C209="",对接源_01水果!$C209&lt;&gt;$K$1,对接源_01水果!$B209=""),0,IF(OR(N(对接源_01水果!$B209)&lt;$K$2,N(对接源_01水果!$B209)&gt;$K$3),0,1))</f>
        <v>1</v>
      </c>
      <c r="L209" s="3">
        <f>IF(OR($L$1="",对接源_01水果!$C209="",对接源_01水果!$C209&lt;&gt;$L$1,对接源_01水果!$B209=""),0,IF(OR(N(对接源_01水果!$B209)&lt;$L$2,N(对接源_01水果!$B209)&gt;$L$3),0,1))</f>
        <v>0</v>
      </c>
      <c r="M209" s="3">
        <f>IF(OR($M$1="",对接源_01水果!$C209="",对接源_01水果!$C209&lt;&gt;$M$1,对接源_01水果!$B209=""),0,IF(OR(N(对接源_01水果!$B209)&lt;$M$2,N(对接源_01水果!$B209)&gt;$M$3),0,1))</f>
        <v>0</v>
      </c>
      <c r="N209" s="3">
        <f>IF(OR($N$1="",对接源_01水果!$C209="",对接源_01水果!$C209&lt;&gt;$N$1,对接源_01水果!$B209=""),0,IF(OR(N(对接源_01水果!$B209)&lt;$N$2,N(对接源_01水果!$B209)&gt;$N$3),0,1))</f>
        <v>0</v>
      </c>
      <c r="P209" s="3">
        <f>IF(AND($K209=1,AND(对接源_01水果!$X209="公司筐",N(对接源_01水果!$T209)&lt;&gt;0)),1,0)</f>
        <v>0</v>
      </c>
      <c r="Q209" s="3">
        <f t="shared" si="60"/>
        <v>0</v>
      </c>
      <c r="R209" s="3">
        <f>IF(AND($K209=1,AND(对接源_01水果!$X209="公司筐",N(对接源_01水果!$U209)&lt;&gt;0)),1,0)</f>
        <v>0</v>
      </c>
      <c r="S209" s="3">
        <f t="shared" si="61"/>
        <v>0</v>
      </c>
      <c r="T209" s="3">
        <f>IF(AND($K209=1,AND(对接源_01水果!$X209="公司筐",N(对接源_01水果!$V209)&lt;&gt;0)),1,0)</f>
        <v>1</v>
      </c>
      <c r="U209" s="3">
        <f t="shared" si="62"/>
        <v>5</v>
      </c>
      <c r="V209" s="3">
        <f>IF(AND($L209=1,AND(对接源_01水果!$X209="自备筐",N(对接源_01水果!$V209)&lt;&gt;0)),1,0)</f>
        <v>0</v>
      </c>
      <c r="W209" s="3">
        <f t="shared" si="63"/>
        <v>5</v>
      </c>
      <c r="X209" s="3">
        <f>IF(AND($L209=1,AND(对接源_01水果!$X209="自备筐",N(对接源_01水果!$T209)&lt;&gt;0)),1,0)</f>
        <v>0</v>
      </c>
      <c r="Y209" s="3">
        <f t="shared" si="64"/>
        <v>0</v>
      </c>
      <c r="Z209" s="3">
        <f>IF(AND($M209=1,对接源_01水果!$D209="原料入库"),1,0)</f>
        <v>0</v>
      </c>
      <c r="AA209" s="3">
        <f t="shared" si="65"/>
        <v>12</v>
      </c>
      <c r="AB209" s="3">
        <f>IF(AND($M209=1,LEFT(对接源_01水果!$D209,4)="原料出库"),1,0)</f>
        <v>0</v>
      </c>
      <c r="AC209" s="3">
        <f t="shared" si="66"/>
        <v>0</v>
      </c>
      <c r="AD209" s="3">
        <f>IF(AND($M209=1,LEFT(对接源_01水果!$D209,4)="成品出库"),1,0)</f>
        <v>0</v>
      </c>
      <c r="AE209" s="3">
        <f t="shared" si="67"/>
        <v>0</v>
      </c>
      <c r="AF209" s="3">
        <f>IF(AND($N209=1,AND(LEFT(对接源_01水果!$D209,4)="包装物料",N(对接源_01水果!$K209)&lt;&gt;0)),1,0)</f>
        <v>0</v>
      </c>
      <c r="AG209" s="3">
        <f t="shared" si="68"/>
        <v>0</v>
      </c>
      <c r="AH209" s="3">
        <f>IF(AND($N209=1,AND(对接源_01水果!$D209="周转筐－销售出库",N(对接源_01水果!$K209)&lt;&gt;0)),1,0)</f>
        <v>0</v>
      </c>
      <c r="AI209" s="3">
        <f t="shared" si="69"/>
        <v>0</v>
      </c>
      <c r="AJ209" s="7"/>
      <c r="AL209" s="3">
        <f>IF(OR($AL$1="",对接源_01水果!$Y209="",对接源_01水果!$Y209&lt;&gt;$AL$1,对接源_01水果!$B209="",N(对接源_01水果!$AJ209)&lt;=0),0,IF(OR(N(对接源_01水果!$B209)&lt;$AL$2,N(对接源_01水果!$B209)&gt;$AL$3),0,1))</f>
        <v>0</v>
      </c>
      <c r="AM209" s="3">
        <f t="shared" si="70"/>
        <v>0</v>
      </c>
      <c r="AN209" s="3" t="str">
        <f>IF(对接源_01水果!$AC209="","",对接源_01水果!$AC209)</f>
        <v/>
      </c>
      <c r="AO209" s="3">
        <f t="shared" si="71"/>
        <v>0</v>
      </c>
      <c r="AP209" s="3">
        <f t="shared" si="72"/>
        <v>0</v>
      </c>
      <c r="AR209">
        <f t="shared" si="74"/>
        <v>0</v>
      </c>
      <c r="AS209">
        <f t="shared" si="75"/>
        <v>0</v>
      </c>
    </row>
    <row r="210" ht="14.25" customHeight="1" spans="1:45">
      <c r="A210" s="3" t="str">
        <f>IF(对接源_01水果!$C210="","",对接源_01水果!$C210)</f>
        <v>王灵云</v>
      </c>
      <c r="B210" s="3">
        <f t="shared" si="57"/>
        <v>0</v>
      </c>
      <c r="C210" s="3">
        <f t="shared" si="58"/>
        <v>13</v>
      </c>
      <c r="E210" s="3" t="str">
        <f t="shared" si="59"/>
        <v/>
      </c>
      <c r="K210" s="3">
        <f>IF(OR($K$1="",对接源_01水果!$C210="",对接源_01水果!$C210&lt;&gt;$K$1,对接源_01水果!$B210=""),0,IF(OR(N(对接源_01水果!$B210)&lt;$K$2,N(对接源_01水果!$B210)&gt;$K$3),0,1))</f>
        <v>1</v>
      </c>
      <c r="L210" s="3">
        <f>IF(OR($L$1="",对接源_01水果!$C210="",对接源_01水果!$C210&lt;&gt;$L$1,对接源_01水果!$B210=""),0,IF(OR(N(对接源_01水果!$B210)&lt;$L$2,N(对接源_01水果!$B210)&gt;$L$3),0,1))</f>
        <v>0</v>
      </c>
      <c r="M210" s="3">
        <f>IF(OR($M$1="",对接源_01水果!$C210="",对接源_01水果!$C210&lt;&gt;$M$1,对接源_01水果!$B210=""),0,IF(OR(N(对接源_01水果!$B210)&lt;$M$2,N(对接源_01水果!$B210)&gt;$M$3),0,1))</f>
        <v>0</v>
      </c>
      <c r="N210" s="3">
        <f>IF(OR($N$1="",对接源_01水果!$C210="",对接源_01水果!$C210&lt;&gt;$N$1,对接源_01水果!$B210=""),0,IF(OR(N(对接源_01水果!$B210)&lt;$N$2,N(对接源_01水果!$B210)&gt;$N$3),0,1))</f>
        <v>0</v>
      </c>
      <c r="P210" s="3">
        <f>IF(AND($K210=1,AND(对接源_01水果!$X210="公司筐",N(对接源_01水果!$T210)&lt;&gt;0)),1,0)</f>
        <v>0</v>
      </c>
      <c r="Q210" s="3">
        <f t="shared" si="60"/>
        <v>0</v>
      </c>
      <c r="R210" s="3">
        <f>IF(AND($K210=1,AND(对接源_01水果!$X210="公司筐",N(对接源_01水果!$U210)&lt;&gt;0)),1,0)</f>
        <v>0</v>
      </c>
      <c r="S210" s="3">
        <f t="shared" si="61"/>
        <v>0</v>
      </c>
      <c r="T210" s="3">
        <f>IF(AND($K210=1,AND(对接源_01水果!$X210="公司筐",N(对接源_01水果!$V210)&lt;&gt;0)),1,0)</f>
        <v>1</v>
      </c>
      <c r="U210" s="3">
        <f t="shared" si="62"/>
        <v>6</v>
      </c>
      <c r="V210" s="3">
        <f>IF(AND($L210=1,AND(对接源_01水果!$X210="自备筐",N(对接源_01水果!$V210)&lt;&gt;0)),1,0)</f>
        <v>0</v>
      </c>
      <c r="W210" s="3">
        <f t="shared" si="63"/>
        <v>5</v>
      </c>
      <c r="X210" s="3">
        <f>IF(AND($L210=1,AND(对接源_01水果!$X210="自备筐",N(对接源_01水果!$T210)&lt;&gt;0)),1,0)</f>
        <v>0</v>
      </c>
      <c r="Y210" s="3">
        <f t="shared" si="64"/>
        <v>0</v>
      </c>
      <c r="Z210" s="3">
        <f>IF(AND($M210=1,对接源_01水果!$D210="原料入库"),1,0)</f>
        <v>0</v>
      </c>
      <c r="AA210" s="3">
        <f t="shared" si="65"/>
        <v>12</v>
      </c>
      <c r="AB210" s="3">
        <f>IF(AND($M210=1,LEFT(对接源_01水果!$D210,4)="原料出库"),1,0)</f>
        <v>0</v>
      </c>
      <c r="AC210" s="3">
        <f t="shared" si="66"/>
        <v>0</v>
      </c>
      <c r="AD210" s="3">
        <f>IF(AND($M210=1,LEFT(对接源_01水果!$D210,4)="成品出库"),1,0)</f>
        <v>0</v>
      </c>
      <c r="AE210" s="3">
        <f t="shared" si="67"/>
        <v>0</v>
      </c>
      <c r="AF210" s="3">
        <f>IF(AND($N210=1,AND(LEFT(对接源_01水果!$D210,4)="包装物料",N(对接源_01水果!$K210)&lt;&gt;0)),1,0)</f>
        <v>0</v>
      </c>
      <c r="AG210" s="3">
        <f t="shared" si="68"/>
        <v>0</v>
      </c>
      <c r="AH210" s="3">
        <f>IF(AND($N210=1,AND(对接源_01水果!$D210="周转筐－销售出库",N(对接源_01水果!$K210)&lt;&gt;0)),1,0)</f>
        <v>0</v>
      </c>
      <c r="AI210" s="3">
        <f t="shared" si="69"/>
        <v>0</v>
      </c>
      <c r="AJ210" s="7"/>
      <c r="AL210" s="3">
        <f>IF(OR($AL$1="",对接源_01水果!$Y210="",对接源_01水果!$Y210&lt;&gt;$AL$1,对接源_01水果!$B210="",N(对接源_01水果!$AJ210)&lt;=0),0,IF(OR(N(对接源_01水果!$B210)&lt;$AL$2,N(对接源_01水果!$B210)&gt;$AL$3),0,1))</f>
        <v>0</v>
      </c>
      <c r="AM210" s="3">
        <f t="shared" si="70"/>
        <v>0</v>
      </c>
      <c r="AN210" s="3" t="str">
        <f>IF(对接源_01水果!$AC210="","",对接源_01水果!$AC210)</f>
        <v/>
      </c>
      <c r="AO210" s="3">
        <f t="shared" si="71"/>
        <v>0</v>
      </c>
      <c r="AP210" s="3">
        <f t="shared" si="72"/>
        <v>0</v>
      </c>
      <c r="AR210">
        <f t="shared" si="74"/>
        <v>0</v>
      </c>
      <c r="AS210">
        <f t="shared" si="75"/>
        <v>0</v>
      </c>
    </row>
    <row r="211" ht="14.25" customHeight="1" spans="1:45">
      <c r="A211" s="3" t="str">
        <f>IF(对接源_01水果!$C211="","",对接源_01水果!$C211)</f>
        <v>贾建国</v>
      </c>
      <c r="B211" s="3">
        <f t="shared" si="57"/>
        <v>0</v>
      </c>
      <c r="C211" s="3">
        <f t="shared" si="58"/>
        <v>13</v>
      </c>
      <c r="E211" s="3" t="str">
        <f t="shared" si="59"/>
        <v/>
      </c>
      <c r="K211" s="3">
        <f>IF(OR($K$1="",对接源_01水果!$C211="",对接源_01水果!$C211&lt;&gt;$K$1,对接源_01水果!$B211=""),0,IF(OR(N(对接源_01水果!$B211)&lt;$K$2,N(对接源_01水果!$B211)&gt;$K$3),0,1))</f>
        <v>0</v>
      </c>
      <c r="L211" s="3">
        <f>IF(OR($L$1="",对接源_01水果!$C211="",对接源_01水果!$C211&lt;&gt;$L$1,对接源_01水果!$B211=""),0,IF(OR(N(对接源_01水果!$B211)&lt;$L$2,N(对接源_01水果!$B211)&gt;$L$3),0,1))</f>
        <v>1</v>
      </c>
      <c r="M211" s="3">
        <f>IF(OR($M$1="",对接源_01水果!$C211="",对接源_01水果!$C211&lt;&gt;$M$1,对接源_01水果!$B211=""),0,IF(OR(N(对接源_01水果!$B211)&lt;$M$2,N(对接源_01水果!$B211)&gt;$M$3),0,1))</f>
        <v>0</v>
      </c>
      <c r="N211" s="3">
        <f>IF(OR($N$1="",对接源_01水果!$C211="",对接源_01水果!$C211&lt;&gt;$N$1,对接源_01水果!$B211=""),0,IF(OR(N(对接源_01水果!$B211)&lt;$N$2,N(对接源_01水果!$B211)&gt;$N$3),0,1))</f>
        <v>0</v>
      </c>
      <c r="P211" s="3">
        <f>IF(AND($K211=1,AND(对接源_01水果!$X211="公司筐",N(对接源_01水果!$T211)&lt;&gt;0)),1,0)</f>
        <v>0</v>
      </c>
      <c r="Q211" s="3">
        <f t="shared" si="60"/>
        <v>0</v>
      </c>
      <c r="R211" s="3">
        <f>IF(AND($K211=1,AND(对接源_01水果!$X211="公司筐",N(对接源_01水果!$U211)&lt;&gt;0)),1,0)</f>
        <v>0</v>
      </c>
      <c r="S211" s="3">
        <f t="shared" si="61"/>
        <v>0</v>
      </c>
      <c r="T211" s="3">
        <f>IF(AND($K211=1,AND(对接源_01水果!$X211="公司筐",N(对接源_01水果!$V211)&lt;&gt;0)),1,0)</f>
        <v>0</v>
      </c>
      <c r="U211" s="3">
        <f t="shared" si="62"/>
        <v>6</v>
      </c>
      <c r="V211" s="3">
        <f>IF(AND($L211=1,AND(对接源_01水果!$X211="自备筐",N(对接源_01水果!$V211)&lt;&gt;0)),1,0)</f>
        <v>1</v>
      </c>
      <c r="W211" s="3">
        <f t="shared" si="63"/>
        <v>6</v>
      </c>
      <c r="X211" s="3">
        <f>IF(AND($L211=1,AND(对接源_01水果!$X211="自备筐",N(对接源_01水果!$T211)&lt;&gt;0)),1,0)</f>
        <v>0</v>
      </c>
      <c r="Y211" s="3">
        <f t="shared" si="64"/>
        <v>0</v>
      </c>
      <c r="Z211" s="3">
        <f>IF(AND($M211=1,对接源_01水果!$D211="原料入库"),1,0)</f>
        <v>0</v>
      </c>
      <c r="AA211" s="3">
        <f t="shared" si="65"/>
        <v>12</v>
      </c>
      <c r="AB211" s="3">
        <f>IF(AND($M211=1,LEFT(对接源_01水果!$D211,4)="原料出库"),1,0)</f>
        <v>0</v>
      </c>
      <c r="AC211" s="3">
        <f t="shared" si="66"/>
        <v>0</v>
      </c>
      <c r="AD211" s="3">
        <f>IF(AND($M211=1,LEFT(对接源_01水果!$D211,4)="成品出库"),1,0)</f>
        <v>0</v>
      </c>
      <c r="AE211" s="3">
        <f t="shared" si="67"/>
        <v>0</v>
      </c>
      <c r="AF211" s="3">
        <f>IF(AND($N211=1,AND(LEFT(对接源_01水果!$D211,4)="包装物料",N(对接源_01水果!$K211)&lt;&gt;0)),1,0)</f>
        <v>0</v>
      </c>
      <c r="AG211" s="3">
        <f t="shared" si="68"/>
        <v>0</v>
      </c>
      <c r="AH211" s="3">
        <f>IF(AND($N211=1,AND(对接源_01水果!$D211="周转筐－销售出库",N(对接源_01水果!$K211)&lt;&gt;0)),1,0)</f>
        <v>0</v>
      </c>
      <c r="AI211" s="3">
        <f t="shared" si="69"/>
        <v>0</v>
      </c>
      <c r="AJ211" s="7"/>
      <c r="AL211" s="3">
        <f>IF(OR($AL$1="",对接源_01水果!$Y211="",对接源_01水果!$Y211&lt;&gt;$AL$1,对接源_01水果!$B211="",N(对接源_01水果!$AJ211)&lt;=0),0,IF(OR(N(对接源_01水果!$B211)&lt;$AL$2,N(对接源_01水果!$B211)&gt;$AL$3),0,1))</f>
        <v>0</v>
      </c>
      <c r="AM211" s="3">
        <f t="shared" si="70"/>
        <v>0</v>
      </c>
      <c r="AN211" s="3" t="str">
        <f>IF(对接源_01水果!$AC211="","",对接源_01水果!$AC211)</f>
        <v/>
      </c>
      <c r="AO211" s="3">
        <f t="shared" si="71"/>
        <v>0</v>
      </c>
      <c r="AP211" s="3">
        <f t="shared" si="72"/>
        <v>0</v>
      </c>
      <c r="AR211">
        <f t="shared" si="74"/>
        <v>0</v>
      </c>
      <c r="AS211">
        <f t="shared" si="75"/>
        <v>0</v>
      </c>
    </row>
    <row r="212" ht="14.25" customHeight="1" spans="1:45">
      <c r="A212" s="3" t="str">
        <f>IF(对接源_01水果!$C212="","",对接源_01水果!$C212)</f>
        <v>贾建国</v>
      </c>
      <c r="B212" s="3">
        <f t="shared" si="57"/>
        <v>0</v>
      </c>
      <c r="C212" s="3">
        <f t="shared" si="58"/>
        <v>13</v>
      </c>
      <c r="E212" s="3" t="str">
        <f t="shared" si="59"/>
        <v/>
      </c>
      <c r="K212" s="3">
        <f>IF(OR($K$1="",对接源_01水果!$C212="",对接源_01水果!$C212&lt;&gt;$K$1,对接源_01水果!$B212=""),0,IF(OR(N(对接源_01水果!$B212)&lt;$K$2,N(对接源_01水果!$B212)&gt;$K$3),0,1))</f>
        <v>0</v>
      </c>
      <c r="L212" s="3">
        <f>IF(OR($L$1="",对接源_01水果!$C212="",对接源_01水果!$C212&lt;&gt;$L$1,对接源_01水果!$B212=""),0,IF(OR(N(对接源_01水果!$B212)&lt;$L$2,N(对接源_01水果!$B212)&gt;$L$3),0,1))</f>
        <v>1</v>
      </c>
      <c r="M212" s="3">
        <f>IF(OR($M$1="",对接源_01水果!$C212="",对接源_01水果!$C212&lt;&gt;$M$1,对接源_01水果!$B212=""),0,IF(OR(N(对接源_01水果!$B212)&lt;$M$2,N(对接源_01水果!$B212)&gt;$M$3),0,1))</f>
        <v>0</v>
      </c>
      <c r="N212" s="3">
        <f>IF(OR($N$1="",对接源_01水果!$C212="",对接源_01水果!$C212&lt;&gt;$N$1,对接源_01水果!$B212=""),0,IF(OR(N(对接源_01水果!$B212)&lt;$N$2,N(对接源_01水果!$B212)&gt;$N$3),0,1))</f>
        <v>0</v>
      </c>
      <c r="P212" s="3">
        <f>IF(AND($K212=1,AND(对接源_01水果!$X212="公司筐",N(对接源_01水果!$T212)&lt;&gt;0)),1,0)</f>
        <v>0</v>
      </c>
      <c r="Q212" s="3">
        <f t="shared" si="60"/>
        <v>0</v>
      </c>
      <c r="R212" s="3">
        <f>IF(AND($K212=1,AND(对接源_01水果!$X212="公司筐",N(对接源_01水果!$U212)&lt;&gt;0)),1,0)</f>
        <v>0</v>
      </c>
      <c r="S212" s="3">
        <f t="shared" si="61"/>
        <v>0</v>
      </c>
      <c r="T212" s="3">
        <f>IF(AND($K212=1,AND(对接源_01水果!$X212="公司筐",N(对接源_01水果!$V212)&lt;&gt;0)),1,0)</f>
        <v>0</v>
      </c>
      <c r="U212" s="3">
        <f t="shared" si="62"/>
        <v>6</v>
      </c>
      <c r="V212" s="3">
        <f>IF(AND($L212=1,AND(对接源_01水果!$X212="自备筐",N(对接源_01水果!$V212)&lt;&gt;0)),1,0)</f>
        <v>1</v>
      </c>
      <c r="W212" s="3">
        <f t="shared" si="63"/>
        <v>7</v>
      </c>
      <c r="X212" s="3">
        <f>IF(AND($L212=1,AND(对接源_01水果!$X212="自备筐",N(对接源_01水果!$T212)&lt;&gt;0)),1,0)</f>
        <v>0</v>
      </c>
      <c r="Y212" s="3">
        <f t="shared" si="64"/>
        <v>0</v>
      </c>
      <c r="Z212" s="3">
        <f>IF(AND($M212=1,对接源_01水果!$D212="原料入库"),1,0)</f>
        <v>0</v>
      </c>
      <c r="AA212" s="3">
        <f t="shared" si="65"/>
        <v>12</v>
      </c>
      <c r="AB212" s="3">
        <f>IF(AND($M212=1,LEFT(对接源_01水果!$D212,4)="原料出库"),1,0)</f>
        <v>0</v>
      </c>
      <c r="AC212" s="3">
        <f t="shared" si="66"/>
        <v>0</v>
      </c>
      <c r="AD212" s="3">
        <f>IF(AND($M212=1,LEFT(对接源_01水果!$D212,4)="成品出库"),1,0)</f>
        <v>0</v>
      </c>
      <c r="AE212" s="3">
        <f t="shared" si="67"/>
        <v>0</v>
      </c>
      <c r="AF212" s="3">
        <f>IF(AND($N212=1,AND(LEFT(对接源_01水果!$D212,4)="包装物料",N(对接源_01水果!$K212)&lt;&gt;0)),1,0)</f>
        <v>0</v>
      </c>
      <c r="AG212" s="3">
        <f t="shared" si="68"/>
        <v>0</v>
      </c>
      <c r="AH212" s="3">
        <f>IF(AND($N212=1,AND(对接源_01水果!$D212="周转筐－销售出库",N(对接源_01水果!$K212)&lt;&gt;0)),1,0)</f>
        <v>0</v>
      </c>
      <c r="AI212" s="3">
        <f t="shared" si="69"/>
        <v>0</v>
      </c>
      <c r="AJ212" s="7"/>
      <c r="AL212" s="3">
        <f>IF(OR($AL$1="",对接源_01水果!$Y212="",对接源_01水果!$Y212&lt;&gt;$AL$1,对接源_01水果!$B212="",N(对接源_01水果!$AJ212)&lt;=0),0,IF(OR(N(对接源_01水果!$B212)&lt;$AL$2,N(对接源_01水果!$B212)&gt;$AL$3),0,1))</f>
        <v>0</v>
      </c>
      <c r="AM212" s="3">
        <f t="shared" si="70"/>
        <v>0</v>
      </c>
      <c r="AN212" s="3" t="str">
        <f>IF(对接源_01水果!$AC212="","",对接源_01水果!$AC212)</f>
        <v/>
      </c>
      <c r="AO212" s="3">
        <f t="shared" si="71"/>
        <v>0</v>
      </c>
      <c r="AP212" s="3">
        <f t="shared" si="72"/>
        <v>0</v>
      </c>
      <c r="AR212">
        <f t="shared" si="74"/>
        <v>0</v>
      </c>
      <c r="AS212">
        <f t="shared" si="75"/>
        <v>0</v>
      </c>
    </row>
    <row r="213" ht="14.25" customHeight="1" spans="1:45">
      <c r="A213" s="3" t="str">
        <f>IF(对接源_01水果!$C213="","",对接源_01水果!$C213)</f>
        <v>贾建国</v>
      </c>
      <c r="B213" s="3">
        <f t="shared" si="57"/>
        <v>0</v>
      </c>
      <c r="C213" s="3">
        <f t="shared" si="58"/>
        <v>13</v>
      </c>
      <c r="E213" s="3" t="str">
        <f t="shared" si="59"/>
        <v/>
      </c>
      <c r="K213" s="3">
        <f>IF(OR($K$1="",对接源_01水果!$C213="",对接源_01水果!$C213&lt;&gt;$K$1,对接源_01水果!$B213=""),0,IF(OR(N(对接源_01水果!$B213)&lt;$K$2,N(对接源_01水果!$B213)&gt;$K$3),0,1))</f>
        <v>0</v>
      </c>
      <c r="L213" s="3">
        <f>IF(OR($L$1="",对接源_01水果!$C213="",对接源_01水果!$C213&lt;&gt;$L$1,对接源_01水果!$B213=""),0,IF(OR(N(对接源_01水果!$B213)&lt;$L$2,N(对接源_01水果!$B213)&gt;$L$3),0,1))</f>
        <v>1</v>
      </c>
      <c r="M213" s="3">
        <f>IF(OR($M$1="",对接源_01水果!$C213="",对接源_01水果!$C213&lt;&gt;$M$1,对接源_01水果!$B213=""),0,IF(OR(N(对接源_01水果!$B213)&lt;$M$2,N(对接源_01水果!$B213)&gt;$M$3),0,1))</f>
        <v>0</v>
      </c>
      <c r="N213" s="3">
        <f>IF(OR($N$1="",对接源_01水果!$C213="",对接源_01水果!$C213&lt;&gt;$N$1,对接源_01水果!$B213=""),0,IF(OR(N(对接源_01水果!$B213)&lt;$N$2,N(对接源_01水果!$B213)&gt;$N$3),0,1))</f>
        <v>0</v>
      </c>
      <c r="P213" s="3">
        <f>IF(AND($K213=1,AND(对接源_01水果!$X213="公司筐",N(对接源_01水果!$T213)&lt;&gt;0)),1,0)</f>
        <v>0</v>
      </c>
      <c r="Q213" s="3">
        <f t="shared" si="60"/>
        <v>0</v>
      </c>
      <c r="R213" s="3">
        <f>IF(AND($K213=1,AND(对接源_01水果!$X213="公司筐",N(对接源_01水果!$U213)&lt;&gt;0)),1,0)</f>
        <v>0</v>
      </c>
      <c r="S213" s="3">
        <f t="shared" si="61"/>
        <v>0</v>
      </c>
      <c r="T213" s="3">
        <f>IF(AND($K213=1,AND(对接源_01水果!$X213="公司筐",N(对接源_01水果!$V213)&lt;&gt;0)),1,0)</f>
        <v>0</v>
      </c>
      <c r="U213" s="3">
        <f t="shared" si="62"/>
        <v>6</v>
      </c>
      <c r="V213" s="3">
        <f>IF(AND($L213=1,AND(对接源_01水果!$X213="自备筐",N(对接源_01水果!$V213)&lt;&gt;0)),1,0)</f>
        <v>0</v>
      </c>
      <c r="W213" s="3">
        <f t="shared" si="63"/>
        <v>7</v>
      </c>
      <c r="X213" s="3">
        <f>IF(AND($L213=1,AND(对接源_01水果!$X213="自备筐",N(对接源_01水果!$T213)&lt;&gt;0)),1,0)</f>
        <v>0</v>
      </c>
      <c r="Y213" s="3">
        <f t="shared" si="64"/>
        <v>0</v>
      </c>
      <c r="Z213" s="3">
        <f>IF(AND($M213=1,对接源_01水果!$D213="原料入库"),1,0)</f>
        <v>0</v>
      </c>
      <c r="AA213" s="3">
        <f t="shared" si="65"/>
        <v>12</v>
      </c>
      <c r="AB213" s="3">
        <f>IF(AND($M213=1,LEFT(对接源_01水果!$D213,4)="原料出库"),1,0)</f>
        <v>0</v>
      </c>
      <c r="AC213" s="3">
        <f t="shared" si="66"/>
        <v>0</v>
      </c>
      <c r="AD213" s="3">
        <f>IF(AND($M213=1,LEFT(对接源_01水果!$D213,4)="成品出库"),1,0)</f>
        <v>0</v>
      </c>
      <c r="AE213" s="3">
        <f t="shared" si="67"/>
        <v>0</v>
      </c>
      <c r="AF213" s="3">
        <f>IF(AND($N213=1,AND(LEFT(对接源_01水果!$D213,4)="包装物料",N(对接源_01水果!$K213)&lt;&gt;0)),1,0)</f>
        <v>0</v>
      </c>
      <c r="AG213" s="3">
        <f t="shared" si="68"/>
        <v>0</v>
      </c>
      <c r="AH213" s="3">
        <f>IF(AND($N213=1,AND(对接源_01水果!$D213="周转筐－销售出库",N(对接源_01水果!$K213)&lt;&gt;0)),1,0)</f>
        <v>0</v>
      </c>
      <c r="AI213" s="3">
        <f t="shared" si="69"/>
        <v>0</v>
      </c>
      <c r="AJ213" s="7"/>
      <c r="AL213" s="3">
        <f>IF(OR($AL$1="",对接源_01水果!$Y213="",对接源_01水果!$Y213&lt;&gt;$AL$1,对接源_01水果!$B213="",N(对接源_01水果!$AJ213)&lt;=0),0,IF(OR(N(对接源_01水果!$B213)&lt;$AL$2,N(对接源_01水果!$B213)&gt;$AL$3),0,1))</f>
        <v>0</v>
      </c>
      <c r="AM213" s="3">
        <f t="shared" si="70"/>
        <v>0</v>
      </c>
      <c r="AN213" s="3" t="str">
        <f>IF(对接源_01水果!$AC213="","",对接源_01水果!$AC213)</f>
        <v/>
      </c>
      <c r="AO213" s="3">
        <f t="shared" si="71"/>
        <v>0</v>
      </c>
      <c r="AP213" s="3">
        <f t="shared" si="72"/>
        <v>0</v>
      </c>
      <c r="AR213">
        <f t="shared" si="74"/>
        <v>0</v>
      </c>
      <c r="AS213">
        <f t="shared" si="75"/>
        <v>0</v>
      </c>
    </row>
    <row r="214" ht="14.25" customHeight="1" spans="1:45">
      <c r="A214" s="3" t="str">
        <f>IF(对接源_01水果!$C214="","",对接源_01水果!$C214)</f>
        <v>吐尔洪</v>
      </c>
      <c r="B214" s="3">
        <f t="shared" si="57"/>
        <v>0</v>
      </c>
      <c r="C214" s="3">
        <f t="shared" si="58"/>
        <v>13</v>
      </c>
      <c r="E214" s="3" t="str">
        <f t="shared" si="59"/>
        <v/>
      </c>
      <c r="K214" s="3">
        <f>IF(OR($K$1="",对接源_01水果!$C214="",对接源_01水果!$C214&lt;&gt;$K$1,对接源_01水果!$B214=""),0,IF(OR(N(对接源_01水果!$B214)&lt;$K$2,N(对接源_01水果!$B214)&gt;$K$3),0,1))</f>
        <v>0</v>
      </c>
      <c r="L214" s="3">
        <f>IF(OR($L$1="",对接源_01水果!$C214="",对接源_01水果!$C214&lt;&gt;$L$1,对接源_01水果!$B214=""),0,IF(OR(N(对接源_01水果!$B214)&lt;$L$2,N(对接源_01水果!$B214)&gt;$L$3),0,1))</f>
        <v>0</v>
      </c>
      <c r="M214" s="3">
        <f>IF(OR($M$1="",对接源_01水果!$C214="",对接源_01水果!$C214&lt;&gt;$M$1,对接源_01水果!$B214=""),0,IF(OR(N(对接源_01水果!$B214)&lt;$M$2,N(对接源_01水果!$B214)&gt;$M$3),0,1))</f>
        <v>1</v>
      </c>
      <c r="N214" s="3">
        <f>IF(OR($N$1="",对接源_01水果!$C214="",对接源_01水果!$C214&lt;&gt;$N$1,对接源_01水果!$B214=""),0,IF(OR(N(对接源_01水果!$B214)&lt;$N$2,N(对接源_01水果!$B214)&gt;$N$3),0,1))</f>
        <v>1</v>
      </c>
      <c r="P214" s="3">
        <f>IF(AND($K214=1,AND(对接源_01水果!$X214="公司筐",N(对接源_01水果!$T214)&lt;&gt;0)),1,0)</f>
        <v>0</v>
      </c>
      <c r="Q214" s="3">
        <f t="shared" si="60"/>
        <v>0</v>
      </c>
      <c r="R214" s="3">
        <f>IF(AND($K214=1,AND(对接源_01水果!$X214="公司筐",N(对接源_01水果!$U214)&lt;&gt;0)),1,0)</f>
        <v>0</v>
      </c>
      <c r="S214" s="3">
        <f t="shared" si="61"/>
        <v>0</v>
      </c>
      <c r="T214" s="3">
        <f>IF(AND($K214=1,AND(对接源_01水果!$X214="公司筐",N(对接源_01水果!$V214)&lt;&gt;0)),1,0)</f>
        <v>0</v>
      </c>
      <c r="U214" s="3">
        <f t="shared" si="62"/>
        <v>6</v>
      </c>
      <c r="V214" s="3">
        <f>IF(AND($L214=1,AND(对接源_01水果!$X214="自备筐",N(对接源_01水果!$V214)&lt;&gt;0)),1,0)</f>
        <v>0</v>
      </c>
      <c r="W214" s="3">
        <f t="shared" si="63"/>
        <v>7</v>
      </c>
      <c r="X214" s="3">
        <f>IF(AND($L214=1,AND(对接源_01水果!$X214="自备筐",N(对接源_01水果!$T214)&lt;&gt;0)),1,0)</f>
        <v>0</v>
      </c>
      <c r="Y214" s="3">
        <f t="shared" si="64"/>
        <v>0</v>
      </c>
      <c r="Z214" s="3">
        <f>IF(AND($M214=1,对接源_01水果!$D214="原料入库"),1,0)</f>
        <v>1</v>
      </c>
      <c r="AA214" s="3">
        <f t="shared" si="65"/>
        <v>13</v>
      </c>
      <c r="AB214" s="3">
        <f>IF(AND($M214=1,LEFT(对接源_01水果!$D214,4)="原料出库"),1,0)</f>
        <v>0</v>
      </c>
      <c r="AC214" s="3">
        <f t="shared" si="66"/>
        <v>0</v>
      </c>
      <c r="AD214" s="3">
        <f>IF(AND($M214=1,LEFT(对接源_01水果!$D214,4)="成品出库"),1,0)</f>
        <v>0</v>
      </c>
      <c r="AE214" s="3">
        <f t="shared" si="67"/>
        <v>0</v>
      </c>
      <c r="AF214" s="3">
        <f>IF(AND($N214=1,AND(LEFT(对接源_01水果!$D214,4)="包装物料",N(对接源_01水果!$K214)&lt;&gt;0)),1,0)</f>
        <v>0</v>
      </c>
      <c r="AG214" s="3">
        <f t="shared" si="68"/>
        <v>0</v>
      </c>
      <c r="AH214" s="3">
        <f>IF(AND($N214=1,AND(对接源_01水果!$D214="周转筐－销售出库",N(对接源_01水果!$K214)&lt;&gt;0)),1,0)</f>
        <v>0</v>
      </c>
      <c r="AI214" s="3">
        <f t="shared" si="69"/>
        <v>0</v>
      </c>
      <c r="AJ214" s="7"/>
      <c r="AL214" s="3">
        <f>IF(OR($AL$1="",对接源_01水果!$Y214="",对接源_01水果!$Y214&lt;&gt;$AL$1,对接源_01水果!$B214="",N(对接源_01水果!$AJ214)&lt;=0),0,IF(OR(N(对接源_01水果!$B214)&lt;$AL$2,N(对接源_01水果!$B214)&gt;$AL$3),0,1))</f>
        <v>0</v>
      </c>
      <c r="AM214" s="3">
        <f t="shared" si="70"/>
        <v>0</v>
      </c>
      <c r="AN214" s="3" t="str">
        <f>IF(对接源_01水果!$AC214="","",对接源_01水果!$AC214)</f>
        <v/>
      </c>
      <c r="AO214" s="3">
        <f t="shared" si="71"/>
        <v>0</v>
      </c>
      <c r="AP214" s="3">
        <f t="shared" si="72"/>
        <v>0</v>
      </c>
      <c r="AR214">
        <f t="shared" si="74"/>
        <v>0</v>
      </c>
      <c r="AS214">
        <f t="shared" si="75"/>
        <v>0</v>
      </c>
    </row>
    <row r="215" ht="14.25" customHeight="1" spans="1:45">
      <c r="A215" s="3" t="str">
        <f>IF(对接源_01水果!$C215="","",对接源_01水果!$C215)</f>
        <v>吐尔洪</v>
      </c>
      <c r="B215" s="3">
        <f t="shared" si="57"/>
        <v>0</v>
      </c>
      <c r="C215" s="3">
        <f t="shared" si="58"/>
        <v>13</v>
      </c>
      <c r="E215" s="3" t="str">
        <f t="shared" si="59"/>
        <v/>
      </c>
      <c r="K215" s="3">
        <f>IF(OR($K$1="",对接源_01水果!$C215="",对接源_01水果!$C215&lt;&gt;$K$1,对接源_01水果!$B215=""),0,IF(OR(N(对接源_01水果!$B215)&lt;$K$2,N(对接源_01水果!$B215)&gt;$K$3),0,1))</f>
        <v>0</v>
      </c>
      <c r="L215" s="3">
        <f>IF(OR($L$1="",对接源_01水果!$C215="",对接源_01水果!$C215&lt;&gt;$L$1,对接源_01水果!$B215=""),0,IF(OR(N(对接源_01水果!$B215)&lt;$L$2,N(对接源_01水果!$B215)&gt;$L$3),0,1))</f>
        <v>0</v>
      </c>
      <c r="M215" s="3">
        <f>IF(OR($M$1="",对接源_01水果!$C215="",对接源_01水果!$C215&lt;&gt;$M$1,对接源_01水果!$B215=""),0,IF(OR(N(对接源_01水果!$B215)&lt;$M$2,N(对接源_01水果!$B215)&gt;$M$3),0,1))</f>
        <v>1</v>
      </c>
      <c r="N215" s="3">
        <f>IF(OR($N$1="",对接源_01水果!$C215="",对接源_01水果!$C215&lt;&gt;$N$1,对接源_01水果!$B215=""),0,IF(OR(N(对接源_01水果!$B215)&lt;$N$2,N(对接源_01水果!$B215)&gt;$N$3),0,1))</f>
        <v>1</v>
      </c>
      <c r="P215" s="3">
        <f>IF(AND($K215=1,AND(对接源_01水果!$X215="公司筐",N(对接源_01水果!$T215)&lt;&gt;0)),1,0)</f>
        <v>0</v>
      </c>
      <c r="Q215" s="3">
        <f t="shared" si="60"/>
        <v>0</v>
      </c>
      <c r="R215" s="3">
        <f>IF(AND($K215=1,AND(对接源_01水果!$X215="公司筐",N(对接源_01水果!$U215)&lt;&gt;0)),1,0)</f>
        <v>0</v>
      </c>
      <c r="S215" s="3">
        <f t="shared" si="61"/>
        <v>0</v>
      </c>
      <c r="T215" s="3">
        <f>IF(AND($K215=1,AND(对接源_01水果!$X215="公司筐",N(对接源_01水果!$V215)&lt;&gt;0)),1,0)</f>
        <v>0</v>
      </c>
      <c r="U215" s="3">
        <f t="shared" si="62"/>
        <v>6</v>
      </c>
      <c r="V215" s="3">
        <f>IF(AND($L215=1,AND(对接源_01水果!$X215="自备筐",N(对接源_01水果!$V215)&lt;&gt;0)),1,0)</f>
        <v>0</v>
      </c>
      <c r="W215" s="3">
        <f t="shared" si="63"/>
        <v>7</v>
      </c>
      <c r="X215" s="3">
        <f>IF(AND($L215=1,AND(对接源_01水果!$X215="自备筐",N(对接源_01水果!$T215)&lt;&gt;0)),1,0)</f>
        <v>0</v>
      </c>
      <c r="Y215" s="3">
        <f t="shared" si="64"/>
        <v>0</v>
      </c>
      <c r="Z215" s="3">
        <f>IF(AND($M215=1,对接源_01水果!$D215="原料入库"),1,0)</f>
        <v>1</v>
      </c>
      <c r="AA215" s="3">
        <f t="shared" si="65"/>
        <v>14</v>
      </c>
      <c r="AB215" s="3">
        <f>IF(AND($M215=1,LEFT(对接源_01水果!$D215,4)="原料出库"),1,0)</f>
        <v>0</v>
      </c>
      <c r="AC215" s="3">
        <f t="shared" si="66"/>
        <v>0</v>
      </c>
      <c r="AD215" s="3">
        <f>IF(AND($M215=1,LEFT(对接源_01水果!$D215,4)="成品出库"),1,0)</f>
        <v>0</v>
      </c>
      <c r="AE215" s="3">
        <f t="shared" si="67"/>
        <v>0</v>
      </c>
      <c r="AF215" s="3">
        <f>IF(AND($N215=1,AND(LEFT(对接源_01水果!$D215,4)="包装物料",N(对接源_01水果!$K215)&lt;&gt;0)),1,0)</f>
        <v>0</v>
      </c>
      <c r="AG215" s="3">
        <f t="shared" si="68"/>
        <v>0</v>
      </c>
      <c r="AH215" s="3">
        <f>IF(AND($N215=1,AND(对接源_01水果!$D215="周转筐－销售出库",N(对接源_01水果!$K215)&lt;&gt;0)),1,0)</f>
        <v>0</v>
      </c>
      <c r="AI215" s="3">
        <f t="shared" si="69"/>
        <v>0</v>
      </c>
      <c r="AJ215" s="7"/>
      <c r="AL215" s="3">
        <f>IF(OR($AL$1="",对接源_01水果!$Y215="",对接源_01水果!$Y215&lt;&gt;$AL$1,对接源_01水果!$B215="",N(对接源_01水果!$AJ215)&lt;=0),0,IF(OR(N(对接源_01水果!$B215)&lt;$AL$2,N(对接源_01水果!$B215)&gt;$AL$3),0,1))</f>
        <v>0</v>
      </c>
      <c r="AM215" s="3">
        <f t="shared" si="70"/>
        <v>0</v>
      </c>
      <c r="AN215" s="3" t="str">
        <f>IF(对接源_01水果!$AC215="","",对接源_01水果!$AC215)</f>
        <v/>
      </c>
      <c r="AO215" s="3">
        <f t="shared" si="71"/>
        <v>0</v>
      </c>
      <c r="AP215" s="3">
        <f t="shared" si="72"/>
        <v>0</v>
      </c>
      <c r="AR215">
        <f t="shared" si="74"/>
        <v>0</v>
      </c>
      <c r="AS215">
        <f t="shared" si="75"/>
        <v>0</v>
      </c>
    </row>
    <row r="216" ht="14.25" customHeight="1" spans="1:45">
      <c r="A216" s="3" t="str">
        <f>IF(对接源_01水果!$C216="","",对接源_01水果!$C216)</f>
        <v>吐尔洪</v>
      </c>
      <c r="B216" s="3">
        <f t="shared" si="57"/>
        <v>0</v>
      </c>
      <c r="C216" s="3">
        <f t="shared" si="58"/>
        <v>13</v>
      </c>
      <c r="E216" s="3" t="str">
        <f t="shared" si="59"/>
        <v/>
      </c>
      <c r="K216" s="3">
        <f>IF(OR($K$1="",对接源_01水果!$C216="",对接源_01水果!$C216&lt;&gt;$K$1,对接源_01水果!$B216=""),0,IF(OR(N(对接源_01水果!$B216)&lt;$K$2,N(对接源_01水果!$B216)&gt;$K$3),0,1))</f>
        <v>0</v>
      </c>
      <c r="L216" s="3">
        <f>IF(OR($L$1="",对接源_01水果!$C216="",对接源_01水果!$C216&lt;&gt;$L$1,对接源_01水果!$B216=""),0,IF(OR(N(对接源_01水果!$B216)&lt;$L$2,N(对接源_01水果!$B216)&gt;$L$3),0,1))</f>
        <v>0</v>
      </c>
      <c r="M216" s="3">
        <f>IF(OR($M$1="",对接源_01水果!$C216="",对接源_01水果!$C216&lt;&gt;$M$1,对接源_01水果!$B216=""),0,IF(OR(N(对接源_01水果!$B216)&lt;$M$2,N(对接源_01水果!$B216)&gt;$M$3),0,1))</f>
        <v>1</v>
      </c>
      <c r="N216" s="3">
        <f>IF(OR($N$1="",对接源_01水果!$C216="",对接源_01水果!$C216&lt;&gt;$N$1,对接源_01水果!$B216=""),0,IF(OR(N(对接源_01水果!$B216)&lt;$N$2,N(对接源_01水果!$B216)&gt;$N$3),0,1))</f>
        <v>1</v>
      </c>
      <c r="P216" s="3">
        <f>IF(AND($K216=1,AND(对接源_01水果!$X216="公司筐",N(对接源_01水果!$T216)&lt;&gt;0)),1,0)</f>
        <v>0</v>
      </c>
      <c r="Q216" s="3">
        <f t="shared" si="60"/>
        <v>0</v>
      </c>
      <c r="R216" s="3">
        <f>IF(AND($K216=1,AND(对接源_01水果!$X216="公司筐",N(对接源_01水果!$U216)&lt;&gt;0)),1,0)</f>
        <v>0</v>
      </c>
      <c r="S216" s="3">
        <f t="shared" si="61"/>
        <v>0</v>
      </c>
      <c r="T216" s="3">
        <f>IF(AND($K216=1,AND(对接源_01水果!$X216="公司筐",N(对接源_01水果!$V216)&lt;&gt;0)),1,0)</f>
        <v>0</v>
      </c>
      <c r="U216" s="3">
        <f t="shared" si="62"/>
        <v>6</v>
      </c>
      <c r="V216" s="3">
        <f>IF(AND($L216=1,AND(对接源_01水果!$X216="自备筐",N(对接源_01水果!$V216)&lt;&gt;0)),1,0)</f>
        <v>0</v>
      </c>
      <c r="W216" s="3">
        <f t="shared" si="63"/>
        <v>7</v>
      </c>
      <c r="X216" s="3">
        <f>IF(AND($L216=1,AND(对接源_01水果!$X216="自备筐",N(对接源_01水果!$T216)&lt;&gt;0)),1,0)</f>
        <v>0</v>
      </c>
      <c r="Y216" s="3">
        <f t="shared" si="64"/>
        <v>0</v>
      </c>
      <c r="Z216" s="3">
        <f>IF(AND($M216=1,对接源_01水果!$D216="原料入库"),1,0)</f>
        <v>1</v>
      </c>
      <c r="AA216" s="3">
        <f t="shared" si="65"/>
        <v>15</v>
      </c>
      <c r="AB216" s="3">
        <f>IF(AND($M216=1,LEFT(对接源_01水果!$D216,4)="原料出库"),1,0)</f>
        <v>0</v>
      </c>
      <c r="AC216" s="3">
        <f t="shared" si="66"/>
        <v>0</v>
      </c>
      <c r="AD216" s="3">
        <f>IF(AND($M216=1,LEFT(对接源_01水果!$D216,4)="成品出库"),1,0)</f>
        <v>0</v>
      </c>
      <c r="AE216" s="3">
        <f t="shared" si="67"/>
        <v>0</v>
      </c>
      <c r="AF216" s="3">
        <f>IF(AND($N216=1,AND(LEFT(对接源_01水果!$D216,4)="包装物料",N(对接源_01水果!$K216)&lt;&gt;0)),1,0)</f>
        <v>0</v>
      </c>
      <c r="AG216" s="3">
        <f t="shared" si="68"/>
        <v>0</v>
      </c>
      <c r="AH216" s="3">
        <f>IF(AND($N216=1,AND(对接源_01水果!$D216="周转筐－销售出库",N(对接源_01水果!$K216)&lt;&gt;0)),1,0)</f>
        <v>0</v>
      </c>
      <c r="AI216" s="3">
        <f t="shared" si="69"/>
        <v>0</v>
      </c>
      <c r="AJ216" s="7"/>
      <c r="AL216" s="3">
        <f>IF(OR($AL$1="",对接源_01水果!$Y216="",对接源_01水果!$Y216&lt;&gt;$AL$1,对接源_01水果!$B216="",N(对接源_01水果!$AJ216)&lt;=0),0,IF(OR(N(对接源_01水果!$B216)&lt;$AL$2,N(对接源_01水果!$B216)&gt;$AL$3),0,1))</f>
        <v>0</v>
      </c>
      <c r="AM216" s="3">
        <f t="shared" si="70"/>
        <v>0</v>
      </c>
      <c r="AN216" s="3" t="str">
        <f>IF(对接源_01水果!$AC216="","",对接源_01水果!$AC216)</f>
        <v/>
      </c>
      <c r="AO216" s="3">
        <f t="shared" si="71"/>
        <v>0</v>
      </c>
      <c r="AP216" s="3">
        <f t="shared" si="72"/>
        <v>0</v>
      </c>
      <c r="AR216">
        <f t="shared" si="74"/>
        <v>0</v>
      </c>
      <c r="AS216">
        <f t="shared" si="75"/>
        <v>0</v>
      </c>
    </row>
    <row r="217" ht="14.25" customHeight="1" spans="1:45">
      <c r="A217" s="3" t="str">
        <f>IF(对接源_01水果!$C217="","",对接源_01水果!$C217)</f>
        <v>热合曼</v>
      </c>
      <c r="B217" s="3">
        <f t="shared" si="57"/>
        <v>0</v>
      </c>
      <c r="C217" s="3">
        <f t="shared" si="58"/>
        <v>13</v>
      </c>
      <c r="E217" s="3" t="str">
        <f t="shared" si="59"/>
        <v/>
      </c>
      <c r="K217" s="3">
        <f>IF(OR($K$1="",对接源_01水果!$C217="",对接源_01水果!$C217&lt;&gt;$K$1,对接源_01水果!$B217=""),0,IF(OR(N(对接源_01水果!$B217)&lt;$K$2,N(对接源_01水果!$B217)&gt;$K$3),0,1))</f>
        <v>0</v>
      </c>
      <c r="L217" s="3">
        <f>IF(OR($L$1="",对接源_01水果!$C217="",对接源_01水果!$C217&lt;&gt;$L$1,对接源_01水果!$B217=""),0,IF(OR(N(对接源_01水果!$B217)&lt;$L$2,N(对接源_01水果!$B217)&gt;$L$3),0,1))</f>
        <v>0</v>
      </c>
      <c r="M217" s="3">
        <f>IF(OR($M$1="",对接源_01水果!$C217="",对接源_01水果!$C217&lt;&gt;$M$1,对接源_01水果!$B217=""),0,IF(OR(N(对接源_01水果!$B217)&lt;$M$2,N(对接源_01水果!$B217)&gt;$M$3),0,1))</f>
        <v>0</v>
      </c>
      <c r="N217" s="3">
        <f>IF(OR($N$1="",对接源_01水果!$C217="",对接源_01水果!$C217&lt;&gt;$N$1,对接源_01水果!$B217=""),0,IF(OR(N(对接源_01水果!$B217)&lt;$N$2,N(对接源_01水果!$B217)&gt;$N$3),0,1))</f>
        <v>0</v>
      </c>
      <c r="P217" s="3">
        <f>IF(AND($K217=1,AND(对接源_01水果!$X217="公司筐",N(对接源_01水果!$T217)&lt;&gt;0)),1,0)</f>
        <v>0</v>
      </c>
      <c r="Q217" s="3">
        <f t="shared" si="60"/>
        <v>0</v>
      </c>
      <c r="R217" s="3">
        <f>IF(AND($K217=1,AND(对接源_01水果!$X217="公司筐",N(对接源_01水果!$U217)&lt;&gt;0)),1,0)</f>
        <v>0</v>
      </c>
      <c r="S217" s="3">
        <f t="shared" si="61"/>
        <v>0</v>
      </c>
      <c r="T217" s="3">
        <f>IF(AND($K217=1,AND(对接源_01水果!$X217="公司筐",N(对接源_01水果!$V217)&lt;&gt;0)),1,0)</f>
        <v>0</v>
      </c>
      <c r="U217" s="3">
        <f t="shared" si="62"/>
        <v>6</v>
      </c>
      <c r="V217" s="3">
        <f>IF(AND($L217=1,AND(对接源_01水果!$X217="自备筐",N(对接源_01水果!$V217)&lt;&gt;0)),1,0)</f>
        <v>0</v>
      </c>
      <c r="W217" s="3">
        <f t="shared" si="63"/>
        <v>7</v>
      </c>
      <c r="X217" s="3">
        <f>IF(AND($L217=1,AND(对接源_01水果!$X217="自备筐",N(对接源_01水果!$T217)&lt;&gt;0)),1,0)</f>
        <v>0</v>
      </c>
      <c r="Y217" s="3">
        <f t="shared" si="64"/>
        <v>0</v>
      </c>
      <c r="Z217" s="3">
        <f>IF(AND($M217=1,对接源_01水果!$D217="原料入库"),1,0)</f>
        <v>0</v>
      </c>
      <c r="AA217" s="3">
        <f t="shared" si="65"/>
        <v>15</v>
      </c>
      <c r="AB217" s="3">
        <f>IF(AND($M217=1,LEFT(对接源_01水果!$D217,4)="原料出库"),1,0)</f>
        <v>0</v>
      </c>
      <c r="AC217" s="3">
        <f t="shared" si="66"/>
        <v>0</v>
      </c>
      <c r="AD217" s="3">
        <f>IF(AND($M217=1,LEFT(对接源_01水果!$D217,4)="成品出库"),1,0)</f>
        <v>0</v>
      </c>
      <c r="AE217" s="3">
        <f t="shared" si="67"/>
        <v>0</v>
      </c>
      <c r="AF217" s="3">
        <f>IF(AND($N217=1,AND(LEFT(对接源_01水果!$D217,4)="包装物料",N(对接源_01水果!$K217)&lt;&gt;0)),1,0)</f>
        <v>0</v>
      </c>
      <c r="AG217" s="3">
        <f t="shared" si="68"/>
        <v>0</v>
      </c>
      <c r="AH217" s="3">
        <f>IF(AND($N217=1,AND(对接源_01水果!$D217="周转筐－销售出库",N(对接源_01水果!$K217)&lt;&gt;0)),1,0)</f>
        <v>0</v>
      </c>
      <c r="AI217" s="3">
        <f t="shared" si="69"/>
        <v>0</v>
      </c>
      <c r="AJ217" s="7"/>
      <c r="AL217" s="3">
        <f>IF(OR($AL$1="",对接源_01水果!$Y217="",对接源_01水果!$Y217&lt;&gt;$AL$1,对接源_01水果!$B217="",N(对接源_01水果!$AJ217)&lt;=0),0,IF(OR(N(对接源_01水果!$B217)&lt;$AL$2,N(对接源_01水果!$B217)&gt;$AL$3),0,1))</f>
        <v>0</v>
      </c>
      <c r="AM217" s="3">
        <f t="shared" si="70"/>
        <v>0</v>
      </c>
      <c r="AN217" s="3" t="str">
        <f>IF(对接源_01水果!$AC217="","",对接源_01水果!$AC217)</f>
        <v/>
      </c>
      <c r="AO217" s="3">
        <f t="shared" si="71"/>
        <v>0</v>
      </c>
      <c r="AP217" s="3">
        <f t="shared" si="72"/>
        <v>0</v>
      </c>
      <c r="AR217">
        <f t="shared" si="74"/>
        <v>0</v>
      </c>
      <c r="AS217">
        <f t="shared" si="75"/>
        <v>0</v>
      </c>
    </row>
    <row r="218" ht="14.25" customHeight="1" spans="1:45">
      <c r="A218" s="3" t="str">
        <f>IF(对接源_01水果!$C218="","",对接源_01水果!$C218)</f>
        <v>热合曼</v>
      </c>
      <c r="B218" s="3">
        <f t="shared" si="57"/>
        <v>0</v>
      </c>
      <c r="C218" s="3">
        <f t="shared" si="58"/>
        <v>13</v>
      </c>
      <c r="E218" s="3" t="str">
        <f t="shared" si="59"/>
        <v/>
      </c>
      <c r="K218" s="3">
        <f>IF(OR($K$1="",对接源_01水果!$C218="",对接源_01水果!$C218&lt;&gt;$K$1,对接源_01水果!$B218=""),0,IF(OR(N(对接源_01水果!$B218)&lt;$K$2,N(对接源_01水果!$B218)&gt;$K$3),0,1))</f>
        <v>0</v>
      </c>
      <c r="L218" s="3">
        <f>IF(OR($L$1="",对接源_01水果!$C218="",对接源_01水果!$C218&lt;&gt;$L$1,对接源_01水果!$B218=""),0,IF(OR(N(对接源_01水果!$B218)&lt;$L$2,N(对接源_01水果!$B218)&gt;$L$3),0,1))</f>
        <v>0</v>
      </c>
      <c r="M218" s="3">
        <f>IF(OR($M$1="",对接源_01水果!$C218="",对接源_01水果!$C218&lt;&gt;$M$1,对接源_01水果!$B218=""),0,IF(OR(N(对接源_01水果!$B218)&lt;$M$2,N(对接源_01水果!$B218)&gt;$M$3),0,1))</f>
        <v>0</v>
      </c>
      <c r="N218" s="3">
        <f>IF(OR($N$1="",对接源_01水果!$C218="",对接源_01水果!$C218&lt;&gt;$N$1,对接源_01水果!$B218=""),0,IF(OR(N(对接源_01水果!$B218)&lt;$N$2,N(对接源_01水果!$B218)&gt;$N$3),0,1))</f>
        <v>0</v>
      </c>
      <c r="P218" s="3">
        <f>IF(AND($K218=1,AND(对接源_01水果!$X218="公司筐",N(对接源_01水果!$T218)&lt;&gt;0)),1,0)</f>
        <v>0</v>
      </c>
      <c r="Q218" s="3">
        <f t="shared" si="60"/>
        <v>0</v>
      </c>
      <c r="R218" s="3">
        <f>IF(AND($K218=1,AND(对接源_01水果!$X218="公司筐",N(对接源_01水果!$U218)&lt;&gt;0)),1,0)</f>
        <v>0</v>
      </c>
      <c r="S218" s="3">
        <f t="shared" si="61"/>
        <v>0</v>
      </c>
      <c r="T218" s="3">
        <f>IF(AND($K218=1,AND(对接源_01水果!$X218="公司筐",N(对接源_01水果!$V218)&lt;&gt;0)),1,0)</f>
        <v>0</v>
      </c>
      <c r="U218" s="3">
        <f t="shared" si="62"/>
        <v>6</v>
      </c>
      <c r="V218" s="3">
        <f>IF(AND($L218=1,AND(对接源_01水果!$X218="自备筐",N(对接源_01水果!$V218)&lt;&gt;0)),1,0)</f>
        <v>0</v>
      </c>
      <c r="W218" s="3">
        <f t="shared" si="63"/>
        <v>7</v>
      </c>
      <c r="X218" s="3">
        <f>IF(AND($L218=1,AND(对接源_01水果!$X218="自备筐",N(对接源_01水果!$T218)&lt;&gt;0)),1,0)</f>
        <v>0</v>
      </c>
      <c r="Y218" s="3">
        <f t="shared" si="64"/>
        <v>0</v>
      </c>
      <c r="Z218" s="3">
        <f>IF(AND($M218=1,对接源_01水果!$D218="原料入库"),1,0)</f>
        <v>0</v>
      </c>
      <c r="AA218" s="3">
        <f t="shared" si="65"/>
        <v>15</v>
      </c>
      <c r="AB218" s="3">
        <f>IF(AND($M218=1,LEFT(对接源_01水果!$D218,4)="原料出库"),1,0)</f>
        <v>0</v>
      </c>
      <c r="AC218" s="3">
        <f t="shared" si="66"/>
        <v>0</v>
      </c>
      <c r="AD218" s="3">
        <f>IF(AND($M218=1,LEFT(对接源_01水果!$D218,4)="成品出库"),1,0)</f>
        <v>0</v>
      </c>
      <c r="AE218" s="3">
        <f t="shared" si="67"/>
        <v>0</v>
      </c>
      <c r="AF218" s="3">
        <f>IF(AND($N218=1,AND(LEFT(对接源_01水果!$D218,4)="包装物料",N(对接源_01水果!$K218)&lt;&gt;0)),1,0)</f>
        <v>0</v>
      </c>
      <c r="AG218" s="3">
        <f t="shared" si="68"/>
        <v>0</v>
      </c>
      <c r="AH218" s="3">
        <f>IF(AND($N218=1,AND(对接源_01水果!$D218="周转筐－销售出库",N(对接源_01水果!$K218)&lt;&gt;0)),1,0)</f>
        <v>0</v>
      </c>
      <c r="AI218" s="3">
        <f t="shared" si="69"/>
        <v>0</v>
      </c>
      <c r="AJ218" s="7"/>
      <c r="AL218" s="3">
        <f>IF(OR($AL$1="",对接源_01水果!$Y218="",对接源_01水果!$Y218&lt;&gt;$AL$1,对接源_01水果!$B218="",N(对接源_01水果!$AJ218)&lt;=0),0,IF(OR(N(对接源_01水果!$B218)&lt;$AL$2,N(对接源_01水果!$B218)&gt;$AL$3),0,1))</f>
        <v>0</v>
      </c>
      <c r="AM218" s="3">
        <f t="shared" si="70"/>
        <v>0</v>
      </c>
      <c r="AN218" s="3" t="str">
        <f>IF(对接源_01水果!$AC218="","",对接源_01水果!$AC218)</f>
        <v/>
      </c>
      <c r="AO218" s="3">
        <f t="shared" si="71"/>
        <v>0</v>
      </c>
      <c r="AP218" s="3">
        <f t="shared" si="72"/>
        <v>0</v>
      </c>
      <c r="AR218">
        <f t="shared" si="74"/>
        <v>0</v>
      </c>
      <c r="AS218">
        <f t="shared" si="75"/>
        <v>0</v>
      </c>
    </row>
    <row r="219" ht="14.25" customHeight="1" spans="1:45">
      <c r="A219" s="3" t="str">
        <f>IF(对接源_01水果!$C219="","",对接源_01水果!$C219)</f>
        <v>热合曼</v>
      </c>
      <c r="B219" s="3">
        <f t="shared" si="57"/>
        <v>0</v>
      </c>
      <c r="C219" s="3">
        <f t="shared" si="58"/>
        <v>13</v>
      </c>
      <c r="E219" s="3" t="str">
        <f t="shared" si="59"/>
        <v/>
      </c>
      <c r="K219" s="3">
        <f>IF(OR($K$1="",对接源_01水果!$C219="",对接源_01水果!$C219&lt;&gt;$K$1,对接源_01水果!$B219=""),0,IF(OR(N(对接源_01水果!$B219)&lt;$K$2,N(对接源_01水果!$B219)&gt;$K$3),0,1))</f>
        <v>0</v>
      </c>
      <c r="L219" s="3">
        <f>IF(OR($L$1="",对接源_01水果!$C219="",对接源_01水果!$C219&lt;&gt;$L$1,对接源_01水果!$B219=""),0,IF(OR(N(对接源_01水果!$B219)&lt;$L$2,N(对接源_01水果!$B219)&gt;$L$3),0,1))</f>
        <v>0</v>
      </c>
      <c r="M219" s="3">
        <f>IF(OR($M$1="",对接源_01水果!$C219="",对接源_01水果!$C219&lt;&gt;$M$1,对接源_01水果!$B219=""),0,IF(OR(N(对接源_01水果!$B219)&lt;$M$2,N(对接源_01水果!$B219)&gt;$M$3),0,1))</f>
        <v>0</v>
      </c>
      <c r="N219" s="3">
        <f>IF(OR($N$1="",对接源_01水果!$C219="",对接源_01水果!$C219&lt;&gt;$N$1,对接源_01水果!$B219=""),0,IF(OR(N(对接源_01水果!$B219)&lt;$N$2,N(对接源_01水果!$B219)&gt;$N$3),0,1))</f>
        <v>0</v>
      </c>
      <c r="P219" s="3">
        <f>IF(AND($K219=1,AND(对接源_01水果!$X219="公司筐",N(对接源_01水果!$T219)&lt;&gt;0)),1,0)</f>
        <v>0</v>
      </c>
      <c r="Q219" s="3">
        <f t="shared" si="60"/>
        <v>0</v>
      </c>
      <c r="R219" s="3">
        <f>IF(AND($K219=1,AND(对接源_01水果!$X219="公司筐",N(对接源_01水果!$U219)&lt;&gt;0)),1,0)</f>
        <v>0</v>
      </c>
      <c r="S219" s="3">
        <f t="shared" si="61"/>
        <v>0</v>
      </c>
      <c r="T219" s="3">
        <f>IF(AND($K219=1,AND(对接源_01水果!$X219="公司筐",N(对接源_01水果!$V219)&lt;&gt;0)),1,0)</f>
        <v>0</v>
      </c>
      <c r="U219" s="3">
        <f t="shared" si="62"/>
        <v>6</v>
      </c>
      <c r="V219" s="3">
        <f>IF(AND($L219=1,AND(对接源_01水果!$X219="自备筐",N(对接源_01水果!$V219)&lt;&gt;0)),1,0)</f>
        <v>0</v>
      </c>
      <c r="W219" s="3">
        <f t="shared" si="63"/>
        <v>7</v>
      </c>
      <c r="X219" s="3">
        <f>IF(AND($L219=1,AND(对接源_01水果!$X219="自备筐",N(对接源_01水果!$T219)&lt;&gt;0)),1,0)</f>
        <v>0</v>
      </c>
      <c r="Y219" s="3">
        <f t="shared" si="64"/>
        <v>0</v>
      </c>
      <c r="Z219" s="3">
        <f>IF(AND($M219=1,对接源_01水果!$D219="原料入库"),1,0)</f>
        <v>0</v>
      </c>
      <c r="AA219" s="3">
        <f t="shared" si="65"/>
        <v>15</v>
      </c>
      <c r="AB219" s="3">
        <f>IF(AND($M219=1,LEFT(对接源_01水果!$D219,4)="原料出库"),1,0)</f>
        <v>0</v>
      </c>
      <c r="AC219" s="3">
        <f t="shared" si="66"/>
        <v>0</v>
      </c>
      <c r="AD219" s="3">
        <f>IF(AND($M219=1,LEFT(对接源_01水果!$D219,4)="成品出库"),1,0)</f>
        <v>0</v>
      </c>
      <c r="AE219" s="3">
        <f t="shared" si="67"/>
        <v>0</v>
      </c>
      <c r="AF219" s="3">
        <f>IF(AND($N219=1,AND(LEFT(对接源_01水果!$D219,4)="包装物料",N(对接源_01水果!$K219)&lt;&gt;0)),1,0)</f>
        <v>0</v>
      </c>
      <c r="AG219" s="3">
        <f t="shared" si="68"/>
        <v>0</v>
      </c>
      <c r="AH219" s="3">
        <f>IF(AND($N219=1,AND(对接源_01水果!$D219="周转筐－销售出库",N(对接源_01水果!$K219)&lt;&gt;0)),1,0)</f>
        <v>0</v>
      </c>
      <c r="AI219" s="3">
        <f t="shared" si="69"/>
        <v>0</v>
      </c>
      <c r="AJ219" s="7"/>
      <c r="AL219" s="3">
        <f>IF(OR($AL$1="",对接源_01水果!$Y219="",对接源_01水果!$Y219&lt;&gt;$AL$1,对接源_01水果!$B219="",N(对接源_01水果!$AJ219)&lt;=0),0,IF(OR(N(对接源_01水果!$B219)&lt;$AL$2,N(对接源_01水果!$B219)&gt;$AL$3),0,1))</f>
        <v>0</v>
      </c>
      <c r="AM219" s="3">
        <f t="shared" si="70"/>
        <v>0</v>
      </c>
      <c r="AN219" s="3" t="str">
        <f>IF(对接源_01水果!$AC219="","",对接源_01水果!$AC219)</f>
        <v/>
      </c>
      <c r="AO219" s="3">
        <f t="shared" si="71"/>
        <v>0</v>
      </c>
      <c r="AP219" s="3">
        <f t="shared" si="72"/>
        <v>0</v>
      </c>
      <c r="AR219">
        <f t="shared" si="74"/>
        <v>0</v>
      </c>
      <c r="AS219">
        <f t="shared" si="75"/>
        <v>0</v>
      </c>
    </row>
    <row r="220" ht="14.25" customHeight="1" spans="1:45">
      <c r="A220" s="3" t="str">
        <f>IF(对接源_01水果!$C220="","",对接源_01水果!$C220)</f>
        <v>努尔敦</v>
      </c>
      <c r="B220" s="3">
        <f t="shared" si="57"/>
        <v>0</v>
      </c>
      <c r="C220" s="3">
        <f t="shared" si="58"/>
        <v>13</v>
      </c>
      <c r="E220" s="3" t="str">
        <f t="shared" si="59"/>
        <v/>
      </c>
      <c r="K220" s="3">
        <f>IF(OR($K$1="",对接源_01水果!$C220="",对接源_01水果!$C220&lt;&gt;$K$1,对接源_01水果!$B220=""),0,IF(OR(N(对接源_01水果!$B220)&lt;$K$2,N(对接源_01水果!$B220)&gt;$K$3),0,1))</f>
        <v>0</v>
      </c>
      <c r="L220" s="3">
        <f>IF(OR($L$1="",对接源_01水果!$C220="",对接源_01水果!$C220&lt;&gt;$L$1,对接源_01水果!$B220=""),0,IF(OR(N(对接源_01水果!$B220)&lt;$L$2,N(对接源_01水果!$B220)&gt;$L$3),0,1))</f>
        <v>0</v>
      </c>
      <c r="M220" s="3">
        <f>IF(OR($M$1="",对接源_01水果!$C220="",对接源_01水果!$C220&lt;&gt;$M$1,对接源_01水果!$B220=""),0,IF(OR(N(对接源_01水果!$B220)&lt;$M$2,N(对接源_01水果!$B220)&gt;$M$3),0,1))</f>
        <v>0</v>
      </c>
      <c r="N220" s="3">
        <f>IF(OR($N$1="",对接源_01水果!$C220="",对接源_01水果!$C220&lt;&gt;$N$1,对接源_01水果!$B220=""),0,IF(OR(N(对接源_01水果!$B220)&lt;$N$2,N(对接源_01水果!$B220)&gt;$N$3),0,1))</f>
        <v>0</v>
      </c>
      <c r="P220" s="3">
        <f>IF(AND($K220=1,AND(对接源_01水果!$X220="公司筐",N(对接源_01水果!$T220)&lt;&gt;0)),1,0)</f>
        <v>0</v>
      </c>
      <c r="Q220" s="3">
        <f t="shared" si="60"/>
        <v>0</v>
      </c>
      <c r="R220" s="3">
        <f>IF(AND($K220=1,AND(对接源_01水果!$X220="公司筐",N(对接源_01水果!$U220)&lt;&gt;0)),1,0)</f>
        <v>0</v>
      </c>
      <c r="S220" s="3">
        <f t="shared" si="61"/>
        <v>0</v>
      </c>
      <c r="T220" s="3">
        <f>IF(AND($K220=1,AND(对接源_01水果!$X220="公司筐",N(对接源_01水果!$V220)&lt;&gt;0)),1,0)</f>
        <v>0</v>
      </c>
      <c r="U220" s="3">
        <f t="shared" si="62"/>
        <v>6</v>
      </c>
      <c r="V220" s="3">
        <f>IF(AND($L220=1,AND(对接源_01水果!$X220="自备筐",N(对接源_01水果!$V220)&lt;&gt;0)),1,0)</f>
        <v>0</v>
      </c>
      <c r="W220" s="3">
        <f t="shared" si="63"/>
        <v>7</v>
      </c>
      <c r="X220" s="3">
        <f>IF(AND($L220=1,AND(对接源_01水果!$X220="自备筐",N(对接源_01水果!$T220)&lt;&gt;0)),1,0)</f>
        <v>0</v>
      </c>
      <c r="Y220" s="3">
        <f t="shared" si="64"/>
        <v>0</v>
      </c>
      <c r="Z220" s="3">
        <f>IF(AND($M220=1,对接源_01水果!$D220="原料入库"),1,0)</f>
        <v>0</v>
      </c>
      <c r="AA220" s="3">
        <f t="shared" si="65"/>
        <v>15</v>
      </c>
      <c r="AB220" s="3">
        <f>IF(AND($M220=1,LEFT(对接源_01水果!$D220,4)="原料出库"),1,0)</f>
        <v>0</v>
      </c>
      <c r="AC220" s="3">
        <f t="shared" si="66"/>
        <v>0</v>
      </c>
      <c r="AD220" s="3">
        <f>IF(AND($M220=1,LEFT(对接源_01水果!$D220,4)="成品出库"),1,0)</f>
        <v>0</v>
      </c>
      <c r="AE220" s="3">
        <f t="shared" si="67"/>
        <v>0</v>
      </c>
      <c r="AF220" s="3">
        <f>IF(AND($N220=1,AND(LEFT(对接源_01水果!$D220,4)="包装物料",N(对接源_01水果!$K220)&lt;&gt;0)),1,0)</f>
        <v>0</v>
      </c>
      <c r="AG220" s="3">
        <f t="shared" si="68"/>
        <v>0</v>
      </c>
      <c r="AH220" s="3">
        <f>IF(AND($N220=1,AND(对接源_01水果!$D220="周转筐－销售出库",N(对接源_01水果!$K220)&lt;&gt;0)),1,0)</f>
        <v>0</v>
      </c>
      <c r="AI220" s="3">
        <f t="shared" si="69"/>
        <v>0</v>
      </c>
      <c r="AJ220" s="7"/>
      <c r="AL220" s="3">
        <f>IF(OR($AL$1="",对接源_01水果!$Y220="",对接源_01水果!$Y220&lt;&gt;$AL$1,对接源_01水果!$B220="",N(对接源_01水果!$AJ220)&lt;=0),0,IF(OR(N(对接源_01水果!$B220)&lt;$AL$2,N(对接源_01水果!$B220)&gt;$AL$3),0,1))</f>
        <v>0</v>
      </c>
      <c r="AM220" s="3">
        <f t="shared" si="70"/>
        <v>0</v>
      </c>
      <c r="AN220" s="3" t="str">
        <f>IF(对接源_01水果!$AC220="","",对接源_01水果!$AC220)</f>
        <v/>
      </c>
      <c r="AO220" s="3">
        <f t="shared" si="71"/>
        <v>0</v>
      </c>
      <c r="AP220" s="3">
        <f t="shared" si="72"/>
        <v>0</v>
      </c>
      <c r="AR220">
        <f t="shared" si="74"/>
        <v>0</v>
      </c>
      <c r="AS220">
        <f t="shared" si="75"/>
        <v>0</v>
      </c>
    </row>
    <row r="221" ht="14.25" customHeight="1" spans="1:45">
      <c r="A221" s="3" t="str">
        <f>IF(对接源_01水果!$C221="","",对接源_01水果!$C221)</f>
        <v>努尔敦</v>
      </c>
      <c r="B221" s="3">
        <f t="shared" si="57"/>
        <v>0</v>
      </c>
      <c r="C221" s="3">
        <f t="shared" si="58"/>
        <v>13</v>
      </c>
      <c r="E221" s="3" t="str">
        <f t="shared" si="59"/>
        <v/>
      </c>
      <c r="K221" s="3">
        <f>IF(OR($K$1="",对接源_01水果!$C221="",对接源_01水果!$C221&lt;&gt;$K$1,对接源_01水果!$B221=""),0,IF(OR(N(对接源_01水果!$B221)&lt;$K$2,N(对接源_01水果!$B221)&gt;$K$3),0,1))</f>
        <v>0</v>
      </c>
      <c r="L221" s="3">
        <f>IF(OR($L$1="",对接源_01水果!$C221="",对接源_01水果!$C221&lt;&gt;$L$1,对接源_01水果!$B221=""),0,IF(OR(N(对接源_01水果!$B221)&lt;$L$2,N(对接源_01水果!$B221)&gt;$L$3),0,1))</f>
        <v>0</v>
      </c>
      <c r="M221" s="3">
        <f>IF(OR($M$1="",对接源_01水果!$C221="",对接源_01水果!$C221&lt;&gt;$M$1,对接源_01水果!$B221=""),0,IF(OR(N(对接源_01水果!$B221)&lt;$M$2,N(对接源_01水果!$B221)&gt;$M$3),0,1))</f>
        <v>0</v>
      </c>
      <c r="N221" s="3">
        <f>IF(OR($N$1="",对接源_01水果!$C221="",对接源_01水果!$C221&lt;&gt;$N$1,对接源_01水果!$B221=""),0,IF(OR(N(对接源_01水果!$B221)&lt;$N$2,N(对接源_01水果!$B221)&gt;$N$3),0,1))</f>
        <v>0</v>
      </c>
      <c r="P221" s="3">
        <f>IF(AND($K221=1,AND(对接源_01水果!$X221="公司筐",N(对接源_01水果!$T221)&lt;&gt;0)),1,0)</f>
        <v>0</v>
      </c>
      <c r="Q221" s="3">
        <f t="shared" si="60"/>
        <v>0</v>
      </c>
      <c r="R221" s="3">
        <f>IF(AND($K221=1,AND(对接源_01水果!$X221="公司筐",N(对接源_01水果!$U221)&lt;&gt;0)),1,0)</f>
        <v>0</v>
      </c>
      <c r="S221" s="3">
        <f t="shared" si="61"/>
        <v>0</v>
      </c>
      <c r="T221" s="3">
        <f>IF(AND($K221=1,AND(对接源_01水果!$X221="公司筐",N(对接源_01水果!$V221)&lt;&gt;0)),1,0)</f>
        <v>0</v>
      </c>
      <c r="U221" s="3">
        <f t="shared" si="62"/>
        <v>6</v>
      </c>
      <c r="V221" s="3">
        <f>IF(AND($L221=1,AND(对接源_01水果!$X221="自备筐",N(对接源_01水果!$V221)&lt;&gt;0)),1,0)</f>
        <v>0</v>
      </c>
      <c r="W221" s="3">
        <f t="shared" si="63"/>
        <v>7</v>
      </c>
      <c r="X221" s="3">
        <f>IF(AND($L221=1,AND(对接源_01水果!$X221="自备筐",N(对接源_01水果!$T221)&lt;&gt;0)),1,0)</f>
        <v>0</v>
      </c>
      <c r="Y221" s="3">
        <f t="shared" si="64"/>
        <v>0</v>
      </c>
      <c r="Z221" s="3">
        <f>IF(AND($M221=1,对接源_01水果!$D221="原料入库"),1,0)</f>
        <v>0</v>
      </c>
      <c r="AA221" s="3">
        <f t="shared" si="65"/>
        <v>15</v>
      </c>
      <c r="AB221" s="3">
        <f>IF(AND($M221=1,LEFT(对接源_01水果!$D221,4)="原料出库"),1,0)</f>
        <v>0</v>
      </c>
      <c r="AC221" s="3">
        <f t="shared" si="66"/>
        <v>0</v>
      </c>
      <c r="AD221" s="3">
        <f>IF(AND($M221=1,LEFT(对接源_01水果!$D221,4)="成品出库"),1,0)</f>
        <v>0</v>
      </c>
      <c r="AE221" s="3">
        <f t="shared" si="67"/>
        <v>0</v>
      </c>
      <c r="AF221" s="3">
        <f>IF(AND($N221=1,AND(LEFT(对接源_01水果!$D221,4)="包装物料",N(对接源_01水果!$K221)&lt;&gt;0)),1,0)</f>
        <v>0</v>
      </c>
      <c r="AG221" s="3">
        <f t="shared" si="68"/>
        <v>0</v>
      </c>
      <c r="AH221" s="3">
        <f>IF(AND($N221=1,AND(对接源_01水果!$D221="周转筐－销售出库",N(对接源_01水果!$K221)&lt;&gt;0)),1,0)</f>
        <v>0</v>
      </c>
      <c r="AI221" s="3">
        <f t="shared" si="69"/>
        <v>0</v>
      </c>
      <c r="AJ221" s="7"/>
      <c r="AL221" s="3">
        <f>IF(OR($AL$1="",对接源_01水果!$Y221="",对接源_01水果!$Y221&lt;&gt;$AL$1,对接源_01水果!$B221="",N(对接源_01水果!$AJ221)&lt;=0),0,IF(OR(N(对接源_01水果!$B221)&lt;$AL$2,N(对接源_01水果!$B221)&gt;$AL$3),0,1))</f>
        <v>0</v>
      </c>
      <c r="AM221" s="3">
        <f t="shared" si="70"/>
        <v>0</v>
      </c>
      <c r="AN221" s="3" t="str">
        <f>IF(对接源_01水果!$AC221="","",对接源_01水果!$AC221)</f>
        <v/>
      </c>
      <c r="AO221" s="3">
        <f t="shared" si="71"/>
        <v>0</v>
      </c>
      <c r="AP221" s="3">
        <f t="shared" si="72"/>
        <v>0</v>
      </c>
      <c r="AR221">
        <f t="shared" si="74"/>
        <v>0</v>
      </c>
      <c r="AS221">
        <f t="shared" si="75"/>
        <v>0</v>
      </c>
    </row>
    <row r="222" ht="14.25" customHeight="1" spans="1:45">
      <c r="A222" s="3" t="str">
        <f>IF(对接源_01水果!$C222="","",对接源_01水果!$C222)</f>
        <v>努尔敦</v>
      </c>
      <c r="B222" s="3">
        <f t="shared" si="57"/>
        <v>0</v>
      </c>
      <c r="C222" s="3">
        <f t="shared" si="58"/>
        <v>13</v>
      </c>
      <c r="E222" s="3" t="str">
        <f t="shared" si="59"/>
        <v/>
      </c>
      <c r="K222" s="3">
        <f>IF(OR($K$1="",对接源_01水果!$C222="",对接源_01水果!$C222&lt;&gt;$K$1,对接源_01水果!$B222=""),0,IF(OR(N(对接源_01水果!$B222)&lt;$K$2,N(对接源_01水果!$B222)&gt;$K$3),0,1))</f>
        <v>0</v>
      </c>
      <c r="L222" s="3">
        <f>IF(OR($L$1="",对接源_01水果!$C222="",对接源_01水果!$C222&lt;&gt;$L$1,对接源_01水果!$B222=""),0,IF(OR(N(对接源_01水果!$B222)&lt;$L$2,N(对接源_01水果!$B222)&gt;$L$3),0,1))</f>
        <v>0</v>
      </c>
      <c r="M222" s="3">
        <f>IF(OR($M$1="",对接源_01水果!$C222="",对接源_01水果!$C222&lt;&gt;$M$1,对接源_01水果!$B222=""),0,IF(OR(N(对接源_01水果!$B222)&lt;$M$2,N(对接源_01水果!$B222)&gt;$M$3),0,1))</f>
        <v>0</v>
      </c>
      <c r="N222" s="3">
        <f>IF(OR($N$1="",对接源_01水果!$C222="",对接源_01水果!$C222&lt;&gt;$N$1,对接源_01水果!$B222=""),0,IF(OR(N(对接源_01水果!$B222)&lt;$N$2,N(对接源_01水果!$B222)&gt;$N$3),0,1))</f>
        <v>0</v>
      </c>
      <c r="P222" s="3">
        <f>IF(AND($K222=1,AND(对接源_01水果!$X222="公司筐",N(对接源_01水果!$T222)&lt;&gt;0)),1,0)</f>
        <v>0</v>
      </c>
      <c r="Q222" s="3">
        <f t="shared" si="60"/>
        <v>0</v>
      </c>
      <c r="R222" s="3">
        <f>IF(AND($K222=1,AND(对接源_01水果!$X222="公司筐",N(对接源_01水果!$U222)&lt;&gt;0)),1,0)</f>
        <v>0</v>
      </c>
      <c r="S222" s="3">
        <f t="shared" si="61"/>
        <v>0</v>
      </c>
      <c r="T222" s="3">
        <f>IF(AND($K222=1,AND(对接源_01水果!$X222="公司筐",N(对接源_01水果!$V222)&lt;&gt;0)),1,0)</f>
        <v>0</v>
      </c>
      <c r="U222" s="3">
        <f t="shared" si="62"/>
        <v>6</v>
      </c>
      <c r="V222" s="3">
        <f>IF(AND($L222=1,AND(对接源_01水果!$X222="自备筐",N(对接源_01水果!$V222)&lt;&gt;0)),1,0)</f>
        <v>0</v>
      </c>
      <c r="W222" s="3">
        <f t="shared" si="63"/>
        <v>7</v>
      </c>
      <c r="X222" s="3">
        <f>IF(AND($L222=1,AND(对接源_01水果!$X222="自备筐",N(对接源_01水果!$T222)&lt;&gt;0)),1,0)</f>
        <v>0</v>
      </c>
      <c r="Y222" s="3">
        <f t="shared" si="64"/>
        <v>0</v>
      </c>
      <c r="Z222" s="3">
        <f>IF(AND($M222=1,对接源_01水果!$D222="原料入库"),1,0)</f>
        <v>0</v>
      </c>
      <c r="AA222" s="3">
        <f t="shared" si="65"/>
        <v>15</v>
      </c>
      <c r="AB222" s="3">
        <f>IF(AND($M222=1,LEFT(对接源_01水果!$D222,4)="原料出库"),1,0)</f>
        <v>0</v>
      </c>
      <c r="AC222" s="3">
        <f t="shared" si="66"/>
        <v>0</v>
      </c>
      <c r="AD222" s="3">
        <f>IF(AND($M222=1,LEFT(对接源_01水果!$D222,4)="成品出库"),1,0)</f>
        <v>0</v>
      </c>
      <c r="AE222" s="3">
        <f t="shared" si="67"/>
        <v>0</v>
      </c>
      <c r="AF222" s="3">
        <f>IF(AND($N222=1,AND(LEFT(对接源_01水果!$D222,4)="包装物料",N(对接源_01水果!$K222)&lt;&gt;0)),1,0)</f>
        <v>0</v>
      </c>
      <c r="AG222" s="3">
        <f t="shared" si="68"/>
        <v>0</v>
      </c>
      <c r="AH222" s="3">
        <f>IF(AND($N222=1,AND(对接源_01水果!$D222="周转筐－销售出库",N(对接源_01水果!$K222)&lt;&gt;0)),1,0)</f>
        <v>0</v>
      </c>
      <c r="AI222" s="3">
        <f t="shared" si="69"/>
        <v>0</v>
      </c>
      <c r="AJ222" s="7"/>
      <c r="AL222" s="3">
        <f>IF(OR($AL$1="",对接源_01水果!$Y222="",对接源_01水果!$Y222&lt;&gt;$AL$1,对接源_01水果!$B222="",N(对接源_01水果!$AJ222)&lt;=0),0,IF(OR(N(对接源_01水果!$B222)&lt;$AL$2,N(对接源_01水果!$B222)&gt;$AL$3),0,1))</f>
        <v>0</v>
      </c>
      <c r="AM222" s="3">
        <f t="shared" si="70"/>
        <v>0</v>
      </c>
      <c r="AN222" s="3" t="str">
        <f>IF(对接源_01水果!$AC222="","",对接源_01水果!$AC222)</f>
        <v/>
      </c>
      <c r="AO222" s="3">
        <f t="shared" si="71"/>
        <v>0</v>
      </c>
      <c r="AP222" s="3">
        <f t="shared" si="72"/>
        <v>0</v>
      </c>
      <c r="AR222">
        <f t="shared" si="74"/>
        <v>0</v>
      </c>
      <c r="AS222">
        <f t="shared" si="75"/>
        <v>0</v>
      </c>
    </row>
    <row r="223" ht="14.25" customHeight="1" spans="1:45">
      <c r="A223" s="3" t="str">
        <f>IF(对接源_01水果!$C223="","",对接源_01水果!$C223)</f>
        <v>马锦祥</v>
      </c>
      <c r="B223" s="3">
        <f t="shared" si="57"/>
        <v>0</v>
      </c>
      <c r="C223" s="3">
        <f t="shared" si="58"/>
        <v>13</v>
      </c>
      <c r="E223" s="3" t="str">
        <f t="shared" si="59"/>
        <v/>
      </c>
      <c r="K223" s="3">
        <f>IF(OR($K$1="",对接源_01水果!$C223="",对接源_01水果!$C223&lt;&gt;$K$1,对接源_01水果!$B223=""),0,IF(OR(N(对接源_01水果!$B223)&lt;$K$2,N(对接源_01水果!$B223)&gt;$K$3),0,1))</f>
        <v>0</v>
      </c>
      <c r="L223" s="3">
        <f>IF(OR($L$1="",对接源_01水果!$C223="",对接源_01水果!$C223&lt;&gt;$L$1,对接源_01水果!$B223=""),0,IF(OR(N(对接源_01水果!$B223)&lt;$L$2,N(对接源_01水果!$B223)&gt;$L$3),0,1))</f>
        <v>0</v>
      </c>
      <c r="M223" s="3">
        <f>IF(OR($M$1="",对接源_01水果!$C223="",对接源_01水果!$C223&lt;&gt;$M$1,对接源_01水果!$B223=""),0,IF(OR(N(对接源_01水果!$B223)&lt;$M$2,N(对接源_01水果!$B223)&gt;$M$3),0,1))</f>
        <v>0</v>
      </c>
      <c r="N223" s="3">
        <f>IF(OR($N$1="",对接源_01水果!$C223="",对接源_01水果!$C223&lt;&gt;$N$1,对接源_01水果!$B223=""),0,IF(OR(N(对接源_01水果!$B223)&lt;$N$2,N(对接源_01水果!$B223)&gt;$N$3),0,1))</f>
        <v>0</v>
      </c>
      <c r="P223" s="3">
        <f>IF(AND($K223=1,AND(对接源_01水果!$X223="公司筐",N(对接源_01水果!$T223)&lt;&gt;0)),1,0)</f>
        <v>0</v>
      </c>
      <c r="Q223" s="3">
        <f t="shared" si="60"/>
        <v>0</v>
      </c>
      <c r="R223" s="3">
        <f>IF(AND($K223=1,AND(对接源_01水果!$X223="公司筐",N(对接源_01水果!$U223)&lt;&gt;0)),1,0)</f>
        <v>0</v>
      </c>
      <c r="S223" s="3">
        <f t="shared" si="61"/>
        <v>0</v>
      </c>
      <c r="T223" s="3">
        <f>IF(AND($K223=1,AND(对接源_01水果!$X223="公司筐",N(对接源_01水果!$V223)&lt;&gt;0)),1,0)</f>
        <v>0</v>
      </c>
      <c r="U223" s="3">
        <f t="shared" si="62"/>
        <v>6</v>
      </c>
      <c r="V223" s="3">
        <f>IF(AND($L223=1,AND(对接源_01水果!$X223="自备筐",N(对接源_01水果!$V223)&lt;&gt;0)),1,0)</f>
        <v>0</v>
      </c>
      <c r="W223" s="3">
        <f t="shared" si="63"/>
        <v>7</v>
      </c>
      <c r="X223" s="3">
        <f>IF(AND($L223=1,AND(对接源_01水果!$X223="自备筐",N(对接源_01水果!$T223)&lt;&gt;0)),1,0)</f>
        <v>0</v>
      </c>
      <c r="Y223" s="3">
        <f t="shared" si="64"/>
        <v>0</v>
      </c>
      <c r="Z223" s="3">
        <f>IF(AND($M223=1,对接源_01水果!$D223="原料入库"),1,0)</f>
        <v>0</v>
      </c>
      <c r="AA223" s="3">
        <f t="shared" si="65"/>
        <v>15</v>
      </c>
      <c r="AB223" s="3">
        <f>IF(AND($M223=1,LEFT(对接源_01水果!$D223,4)="原料出库"),1,0)</f>
        <v>0</v>
      </c>
      <c r="AC223" s="3">
        <f t="shared" si="66"/>
        <v>0</v>
      </c>
      <c r="AD223" s="3">
        <f>IF(AND($M223=1,LEFT(对接源_01水果!$D223,4)="成品出库"),1,0)</f>
        <v>0</v>
      </c>
      <c r="AE223" s="3">
        <f t="shared" si="67"/>
        <v>0</v>
      </c>
      <c r="AF223" s="3">
        <f>IF(AND($N223=1,AND(LEFT(对接源_01水果!$D223,4)="包装物料",N(对接源_01水果!$K223)&lt;&gt;0)),1,0)</f>
        <v>0</v>
      </c>
      <c r="AG223" s="3">
        <f t="shared" si="68"/>
        <v>0</v>
      </c>
      <c r="AH223" s="3">
        <f>IF(AND($N223=1,AND(对接源_01水果!$D223="周转筐－销售出库",N(对接源_01水果!$K223)&lt;&gt;0)),1,0)</f>
        <v>0</v>
      </c>
      <c r="AI223" s="3">
        <f t="shared" si="69"/>
        <v>0</v>
      </c>
      <c r="AJ223" s="7"/>
      <c r="AL223" s="3">
        <f>IF(OR($AL$1="",对接源_01水果!$Y223="",对接源_01水果!$Y223&lt;&gt;$AL$1,对接源_01水果!$B223="",N(对接源_01水果!$AJ223)&lt;=0),0,IF(OR(N(对接源_01水果!$B223)&lt;$AL$2,N(对接源_01水果!$B223)&gt;$AL$3),0,1))</f>
        <v>0</v>
      </c>
      <c r="AM223" s="3">
        <f t="shared" si="70"/>
        <v>0</v>
      </c>
      <c r="AN223" s="3" t="str">
        <f>IF(对接源_01水果!$AC223="","",对接源_01水果!$AC223)</f>
        <v/>
      </c>
      <c r="AO223" s="3">
        <f t="shared" si="71"/>
        <v>0</v>
      </c>
      <c r="AP223" s="3">
        <f t="shared" si="72"/>
        <v>0</v>
      </c>
      <c r="AR223">
        <f t="shared" si="74"/>
        <v>0</v>
      </c>
      <c r="AS223">
        <f t="shared" si="75"/>
        <v>0</v>
      </c>
    </row>
    <row r="224" ht="14.25" customHeight="1" spans="1:45">
      <c r="A224" s="3" t="str">
        <f>IF(对接源_01水果!$C224="","",对接源_01水果!$C224)</f>
        <v>马锦祥</v>
      </c>
      <c r="B224" s="3">
        <f t="shared" si="57"/>
        <v>0</v>
      </c>
      <c r="C224" s="3">
        <f t="shared" si="58"/>
        <v>13</v>
      </c>
      <c r="E224" s="3" t="str">
        <f t="shared" si="59"/>
        <v/>
      </c>
      <c r="K224" s="3">
        <f>IF(OR($K$1="",对接源_01水果!$C224="",对接源_01水果!$C224&lt;&gt;$K$1,对接源_01水果!$B224=""),0,IF(OR(N(对接源_01水果!$B224)&lt;$K$2,N(对接源_01水果!$B224)&gt;$K$3),0,1))</f>
        <v>0</v>
      </c>
      <c r="L224" s="3">
        <f>IF(OR($L$1="",对接源_01水果!$C224="",对接源_01水果!$C224&lt;&gt;$L$1,对接源_01水果!$B224=""),0,IF(OR(N(对接源_01水果!$B224)&lt;$L$2,N(对接源_01水果!$B224)&gt;$L$3),0,1))</f>
        <v>0</v>
      </c>
      <c r="M224" s="3">
        <f>IF(OR($M$1="",对接源_01水果!$C224="",对接源_01水果!$C224&lt;&gt;$M$1,对接源_01水果!$B224=""),0,IF(OR(N(对接源_01水果!$B224)&lt;$M$2,N(对接源_01水果!$B224)&gt;$M$3),0,1))</f>
        <v>0</v>
      </c>
      <c r="N224" s="3">
        <f>IF(OR($N$1="",对接源_01水果!$C224="",对接源_01水果!$C224&lt;&gt;$N$1,对接源_01水果!$B224=""),0,IF(OR(N(对接源_01水果!$B224)&lt;$N$2,N(对接源_01水果!$B224)&gt;$N$3),0,1))</f>
        <v>0</v>
      </c>
      <c r="P224" s="3">
        <f>IF(AND($K224=1,AND(对接源_01水果!$X224="公司筐",N(对接源_01水果!$T224)&lt;&gt;0)),1,0)</f>
        <v>0</v>
      </c>
      <c r="Q224" s="3">
        <f t="shared" si="60"/>
        <v>0</v>
      </c>
      <c r="R224" s="3">
        <f>IF(AND($K224=1,AND(对接源_01水果!$X224="公司筐",N(对接源_01水果!$U224)&lt;&gt;0)),1,0)</f>
        <v>0</v>
      </c>
      <c r="S224" s="3">
        <f t="shared" si="61"/>
        <v>0</v>
      </c>
      <c r="T224" s="3">
        <f>IF(AND($K224=1,AND(对接源_01水果!$X224="公司筐",N(对接源_01水果!$V224)&lt;&gt;0)),1,0)</f>
        <v>0</v>
      </c>
      <c r="U224" s="3">
        <f t="shared" si="62"/>
        <v>6</v>
      </c>
      <c r="V224" s="3">
        <f>IF(AND($L224=1,AND(对接源_01水果!$X224="自备筐",N(对接源_01水果!$V224)&lt;&gt;0)),1,0)</f>
        <v>0</v>
      </c>
      <c r="W224" s="3">
        <f t="shared" si="63"/>
        <v>7</v>
      </c>
      <c r="X224" s="3">
        <f>IF(AND($L224=1,AND(对接源_01水果!$X224="自备筐",N(对接源_01水果!$T224)&lt;&gt;0)),1,0)</f>
        <v>0</v>
      </c>
      <c r="Y224" s="3">
        <f t="shared" si="64"/>
        <v>0</v>
      </c>
      <c r="Z224" s="3">
        <f>IF(AND($M224=1,对接源_01水果!$D224="原料入库"),1,0)</f>
        <v>0</v>
      </c>
      <c r="AA224" s="3">
        <f t="shared" si="65"/>
        <v>15</v>
      </c>
      <c r="AB224" s="3">
        <f>IF(AND($M224=1,LEFT(对接源_01水果!$D224,4)="原料出库"),1,0)</f>
        <v>0</v>
      </c>
      <c r="AC224" s="3">
        <f t="shared" si="66"/>
        <v>0</v>
      </c>
      <c r="AD224" s="3">
        <f>IF(AND($M224=1,LEFT(对接源_01水果!$D224,4)="成品出库"),1,0)</f>
        <v>0</v>
      </c>
      <c r="AE224" s="3">
        <f t="shared" si="67"/>
        <v>0</v>
      </c>
      <c r="AF224" s="3">
        <f>IF(AND($N224=1,AND(LEFT(对接源_01水果!$D224,4)="包装物料",N(对接源_01水果!$K224)&lt;&gt;0)),1,0)</f>
        <v>0</v>
      </c>
      <c r="AG224" s="3">
        <f t="shared" si="68"/>
        <v>0</v>
      </c>
      <c r="AH224" s="3">
        <f>IF(AND($N224=1,AND(对接源_01水果!$D224="周转筐－销售出库",N(对接源_01水果!$K224)&lt;&gt;0)),1,0)</f>
        <v>0</v>
      </c>
      <c r="AI224" s="3">
        <f t="shared" si="69"/>
        <v>0</v>
      </c>
      <c r="AJ224" s="7"/>
      <c r="AL224" s="3">
        <f>IF(OR($AL$1="",对接源_01水果!$Y224="",对接源_01水果!$Y224&lt;&gt;$AL$1,对接源_01水果!$B224="",N(对接源_01水果!$AJ224)&lt;=0),0,IF(OR(N(对接源_01水果!$B224)&lt;$AL$2,N(对接源_01水果!$B224)&gt;$AL$3),0,1))</f>
        <v>0</v>
      </c>
      <c r="AM224" s="3">
        <f t="shared" si="70"/>
        <v>0</v>
      </c>
      <c r="AN224" s="3" t="str">
        <f>IF(对接源_01水果!$AC224="","",对接源_01水果!$AC224)</f>
        <v/>
      </c>
      <c r="AO224" s="3">
        <f t="shared" si="71"/>
        <v>0</v>
      </c>
      <c r="AP224" s="3">
        <f t="shared" si="72"/>
        <v>0</v>
      </c>
      <c r="AR224">
        <f t="shared" si="74"/>
        <v>0</v>
      </c>
      <c r="AS224">
        <f t="shared" si="75"/>
        <v>0</v>
      </c>
    </row>
    <row r="225" ht="14.25" customHeight="1" spans="1:45">
      <c r="A225" s="3" t="str">
        <f>IF(对接源_01水果!$C225="","",对接源_01水果!$C225)</f>
        <v>马锦祥</v>
      </c>
      <c r="B225" s="3">
        <f t="shared" si="57"/>
        <v>0</v>
      </c>
      <c r="C225" s="3">
        <f t="shared" si="58"/>
        <v>13</v>
      </c>
      <c r="E225" s="3" t="str">
        <f t="shared" si="59"/>
        <v/>
      </c>
      <c r="K225" s="3">
        <f>IF(OR($K$1="",对接源_01水果!$C225="",对接源_01水果!$C225&lt;&gt;$K$1,对接源_01水果!$B225=""),0,IF(OR(N(对接源_01水果!$B225)&lt;$K$2,N(对接源_01水果!$B225)&gt;$K$3),0,1))</f>
        <v>0</v>
      </c>
      <c r="L225" s="3">
        <f>IF(OR($L$1="",对接源_01水果!$C225="",对接源_01水果!$C225&lt;&gt;$L$1,对接源_01水果!$B225=""),0,IF(OR(N(对接源_01水果!$B225)&lt;$L$2,N(对接源_01水果!$B225)&gt;$L$3),0,1))</f>
        <v>0</v>
      </c>
      <c r="M225" s="3">
        <f>IF(OR($M$1="",对接源_01水果!$C225="",对接源_01水果!$C225&lt;&gt;$M$1,对接源_01水果!$B225=""),0,IF(OR(N(对接源_01水果!$B225)&lt;$M$2,N(对接源_01水果!$B225)&gt;$M$3),0,1))</f>
        <v>0</v>
      </c>
      <c r="N225" s="3">
        <f>IF(OR($N$1="",对接源_01水果!$C225="",对接源_01水果!$C225&lt;&gt;$N$1,对接源_01水果!$B225=""),0,IF(OR(N(对接源_01水果!$B225)&lt;$N$2,N(对接源_01水果!$B225)&gt;$N$3),0,1))</f>
        <v>0</v>
      </c>
      <c r="P225" s="3">
        <f>IF(AND($K225=1,AND(对接源_01水果!$X225="公司筐",N(对接源_01水果!$T225)&lt;&gt;0)),1,0)</f>
        <v>0</v>
      </c>
      <c r="Q225" s="3">
        <f t="shared" si="60"/>
        <v>0</v>
      </c>
      <c r="R225" s="3">
        <f>IF(AND($K225=1,AND(对接源_01水果!$X225="公司筐",N(对接源_01水果!$U225)&lt;&gt;0)),1,0)</f>
        <v>0</v>
      </c>
      <c r="S225" s="3">
        <f t="shared" si="61"/>
        <v>0</v>
      </c>
      <c r="T225" s="3">
        <f>IF(AND($K225=1,AND(对接源_01水果!$X225="公司筐",N(对接源_01水果!$V225)&lt;&gt;0)),1,0)</f>
        <v>0</v>
      </c>
      <c r="U225" s="3">
        <f t="shared" si="62"/>
        <v>6</v>
      </c>
      <c r="V225" s="3">
        <f>IF(AND($L225=1,AND(对接源_01水果!$X225="自备筐",N(对接源_01水果!$V225)&lt;&gt;0)),1,0)</f>
        <v>0</v>
      </c>
      <c r="W225" s="3">
        <f t="shared" si="63"/>
        <v>7</v>
      </c>
      <c r="X225" s="3">
        <f>IF(AND($L225=1,AND(对接源_01水果!$X225="自备筐",N(对接源_01水果!$T225)&lt;&gt;0)),1,0)</f>
        <v>0</v>
      </c>
      <c r="Y225" s="3">
        <f t="shared" si="64"/>
        <v>0</v>
      </c>
      <c r="Z225" s="3">
        <f>IF(AND($M225=1,对接源_01水果!$D225="原料入库"),1,0)</f>
        <v>0</v>
      </c>
      <c r="AA225" s="3">
        <f t="shared" si="65"/>
        <v>15</v>
      </c>
      <c r="AB225" s="3">
        <f>IF(AND($M225=1,LEFT(对接源_01水果!$D225,4)="原料出库"),1,0)</f>
        <v>0</v>
      </c>
      <c r="AC225" s="3">
        <f t="shared" si="66"/>
        <v>0</v>
      </c>
      <c r="AD225" s="3">
        <f>IF(AND($M225=1,LEFT(对接源_01水果!$D225,4)="成品出库"),1,0)</f>
        <v>0</v>
      </c>
      <c r="AE225" s="3">
        <f t="shared" si="67"/>
        <v>0</v>
      </c>
      <c r="AF225" s="3">
        <f>IF(AND($N225=1,AND(LEFT(对接源_01水果!$D225,4)="包装物料",N(对接源_01水果!$K225)&lt;&gt;0)),1,0)</f>
        <v>0</v>
      </c>
      <c r="AG225" s="3">
        <f t="shared" si="68"/>
        <v>0</v>
      </c>
      <c r="AH225" s="3">
        <f>IF(AND($N225=1,AND(对接源_01水果!$D225="周转筐－销售出库",N(对接源_01水果!$K225)&lt;&gt;0)),1,0)</f>
        <v>0</v>
      </c>
      <c r="AI225" s="3">
        <f t="shared" si="69"/>
        <v>0</v>
      </c>
      <c r="AJ225" s="7"/>
      <c r="AL225" s="3">
        <f>IF(OR($AL$1="",对接源_01水果!$Y225="",对接源_01水果!$Y225&lt;&gt;$AL$1,对接源_01水果!$B225="",N(对接源_01水果!$AJ225)&lt;=0),0,IF(OR(N(对接源_01水果!$B225)&lt;$AL$2,N(对接源_01水果!$B225)&gt;$AL$3),0,1))</f>
        <v>0</v>
      </c>
      <c r="AM225" s="3">
        <f t="shared" si="70"/>
        <v>0</v>
      </c>
      <c r="AN225" s="3" t="str">
        <f>IF(对接源_01水果!$AC225="","",对接源_01水果!$AC225)</f>
        <v/>
      </c>
      <c r="AO225" s="3">
        <f t="shared" si="71"/>
        <v>0</v>
      </c>
      <c r="AP225" s="3">
        <f t="shared" si="72"/>
        <v>0</v>
      </c>
      <c r="AR225">
        <f t="shared" si="74"/>
        <v>0</v>
      </c>
      <c r="AS225">
        <f t="shared" si="75"/>
        <v>0</v>
      </c>
    </row>
    <row r="226" ht="14.25" customHeight="1" spans="1:45">
      <c r="A226" s="3" t="str">
        <f>IF(对接源_01水果!$C226="","",对接源_01水果!$C226)</f>
        <v>荆建君</v>
      </c>
      <c r="B226" s="3">
        <f t="shared" si="57"/>
        <v>0</v>
      </c>
      <c r="C226" s="3">
        <f t="shared" si="58"/>
        <v>13</v>
      </c>
      <c r="E226" s="3" t="str">
        <f t="shared" si="59"/>
        <v/>
      </c>
      <c r="K226" s="3">
        <f>IF(OR($K$1="",对接源_01水果!$C226="",对接源_01水果!$C226&lt;&gt;$K$1,对接源_01水果!$B226=""),0,IF(OR(N(对接源_01水果!$B226)&lt;$K$2,N(对接源_01水果!$B226)&gt;$K$3),0,1))</f>
        <v>0</v>
      </c>
      <c r="L226" s="3">
        <f>IF(OR($L$1="",对接源_01水果!$C226="",对接源_01水果!$C226&lt;&gt;$L$1,对接源_01水果!$B226=""),0,IF(OR(N(对接源_01水果!$B226)&lt;$L$2,N(对接源_01水果!$B226)&gt;$L$3),0,1))</f>
        <v>0</v>
      </c>
      <c r="M226" s="3">
        <f>IF(OR($M$1="",对接源_01水果!$C226="",对接源_01水果!$C226&lt;&gt;$M$1,对接源_01水果!$B226=""),0,IF(OR(N(对接源_01水果!$B226)&lt;$M$2,N(对接源_01水果!$B226)&gt;$M$3),0,1))</f>
        <v>0</v>
      </c>
      <c r="N226" s="3">
        <f>IF(OR($N$1="",对接源_01水果!$C226="",对接源_01水果!$C226&lt;&gt;$N$1,对接源_01水果!$B226=""),0,IF(OR(N(对接源_01水果!$B226)&lt;$N$2,N(对接源_01水果!$B226)&gt;$N$3),0,1))</f>
        <v>0</v>
      </c>
      <c r="P226" s="3">
        <f>IF(AND($K226=1,AND(对接源_01水果!$X226="公司筐",N(对接源_01水果!$T226)&lt;&gt;0)),1,0)</f>
        <v>0</v>
      </c>
      <c r="Q226" s="3">
        <f t="shared" si="60"/>
        <v>0</v>
      </c>
      <c r="R226" s="3">
        <f>IF(AND($K226=1,AND(对接源_01水果!$X226="公司筐",N(对接源_01水果!$U226)&lt;&gt;0)),1,0)</f>
        <v>0</v>
      </c>
      <c r="S226" s="3">
        <f t="shared" si="61"/>
        <v>0</v>
      </c>
      <c r="T226" s="3">
        <f>IF(AND($K226=1,AND(对接源_01水果!$X226="公司筐",N(对接源_01水果!$V226)&lt;&gt;0)),1,0)</f>
        <v>0</v>
      </c>
      <c r="U226" s="3">
        <f t="shared" si="62"/>
        <v>6</v>
      </c>
      <c r="V226" s="3">
        <f>IF(AND($L226=1,AND(对接源_01水果!$X226="自备筐",N(对接源_01水果!$V226)&lt;&gt;0)),1,0)</f>
        <v>0</v>
      </c>
      <c r="W226" s="3">
        <f t="shared" si="63"/>
        <v>7</v>
      </c>
      <c r="X226" s="3">
        <f>IF(AND($L226=1,AND(对接源_01水果!$X226="自备筐",N(对接源_01水果!$T226)&lt;&gt;0)),1,0)</f>
        <v>0</v>
      </c>
      <c r="Y226" s="3">
        <f t="shared" si="64"/>
        <v>0</v>
      </c>
      <c r="Z226" s="3">
        <f>IF(AND($M226=1,对接源_01水果!$D226="原料入库"),1,0)</f>
        <v>0</v>
      </c>
      <c r="AA226" s="3">
        <f t="shared" si="65"/>
        <v>15</v>
      </c>
      <c r="AB226" s="3">
        <f>IF(AND($M226=1,LEFT(对接源_01水果!$D226,4)="原料出库"),1,0)</f>
        <v>0</v>
      </c>
      <c r="AC226" s="3">
        <f t="shared" si="66"/>
        <v>0</v>
      </c>
      <c r="AD226" s="3">
        <f>IF(AND($M226=1,LEFT(对接源_01水果!$D226,4)="成品出库"),1,0)</f>
        <v>0</v>
      </c>
      <c r="AE226" s="3">
        <f t="shared" si="67"/>
        <v>0</v>
      </c>
      <c r="AF226" s="3">
        <f>IF(AND($N226=1,AND(LEFT(对接源_01水果!$D226,4)="包装物料",N(对接源_01水果!$K226)&lt;&gt;0)),1,0)</f>
        <v>0</v>
      </c>
      <c r="AG226" s="3">
        <f t="shared" si="68"/>
        <v>0</v>
      </c>
      <c r="AH226" s="3">
        <f>IF(AND($N226=1,AND(对接源_01水果!$D226="周转筐－销售出库",N(对接源_01水果!$K226)&lt;&gt;0)),1,0)</f>
        <v>0</v>
      </c>
      <c r="AI226" s="3">
        <f t="shared" si="69"/>
        <v>0</v>
      </c>
      <c r="AJ226" s="7"/>
      <c r="AL226" s="3">
        <f>IF(OR($AL$1="",对接源_01水果!$Y226="",对接源_01水果!$Y226&lt;&gt;$AL$1,对接源_01水果!$B226="",N(对接源_01水果!$AJ226)&lt;=0),0,IF(OR(N(对接源_01水果!$B226)&lt;$AL$2,N(对接源_01水果!$B226)&gt;$AL$3),0,1))</f>
        <v>0</v>
      </c>
      <c r="AM226" s="3">
        <f t="shared" si="70"/>
        <v>0</v>
      </c>
      <c r="AN226" s="3" t="str">
        <f>IF(对接源_01水果!$AC226="","",对接源_01水果!$AC226)</f>
        <v/>
      </c>
      <c r="AO226" s="3">
        <f t="shared" si="71"/>
        <v>0</v>
      </c>
      <c r="AP226" s="3">
        <f t="shared" si="72"/>
        <v>0</v>
      </c>
      <c r="AR226">
        <f t="shared" si="74"/>
        <v>0</v>
      </c>
      <c r="AS226">
        <f t="shared" si="75"/>
        <v>0</v>
      </c>
    </row>
    <row r="227" ht="14.25" customHeight="1" spans="1:45">
      <c r="A227" s="3" t="str">
        <f>IF(对接源_01水果!$C227="","",对接源_01水果!$C227)</f>
        <v>荆建君</v>
      </c>
      <c r="B227" s="3">
        <f t="shared" si="57"/>
        <v>0</v>
      </c>
      <c r="C227" s="3">
        <f t="shared" si="58"/>
        <v>13</v>
      </c>
      <c r="E227" s="3" t="str">
        <f t="shared" si="59"/>
        <v/>
      </c>
      <c r="K227" s="3">
        <f>IF(OR($K$1="",对接源_01水果!$C227="",对接源_01水果!$C227&lt;&gt;$K$1,对接源_01水果!$B227=""),0,IF(OR(N(对接源_01水果!$B227)&lt;$K$2,N(对接源_01水果!$B227)&gt;$K$3),0,1))</f>
        <v>0</v>
      </c>
      <c r="L227" s="3">
        <f>IF(OR($L$1="",对接源_01水果!$C227="",对接源_01水果!$C227&lt;&gt;$L$1,对接源_01水果!$B227=""),0,IF(OR(N(对接源_01水果!$B227)&lt;$L$2,N(对接源_01水果!$B227)&gt;$L$3),0,1))</f>
        <v>0</v>
      </c>
      <c r="M227" s="3">
        <f>IF(OR($M$1="",对接源_01水果!$C227="",对接源_01水果!$C227&lt;&gt;$M$1,对接源_01水果!$B227=""),0,IF(OR(N(对接源_01水果!$B227)&lt;$M$2,N(对接源_01水果!$B227)&gt;$M$3),0,1))</f>
        <v>0</v>
      </c>
      <c r="N227" s="3">
        <f>IF(OR($N$1="",对接源_01水果!$C227="",对接源_01水果!$C227&lt;&gt;$N$1,对接源_01水果!$B227=""),0,IF(OR(N(对接源_01水果!$B227)&lt;$N$2,N(对接源_01水果!$B227)&gt;$N$3),0,1))</f>
        <v>0</v>
      </c>
      <c r="P227" s="3">
        <f>IF(AND($K227=1,AND(对接源_01水果!$X227="公司筐",N(对接源_01水果!$T227)&lt;&gt;0)),1,0)</f>
        <v>0</v>
      </c>
      <c r="Q227" s="3">
        <f t="shared" si="60"/>
        <v>0</v>
      </c>
      <c r="R227" s="3">
        <f>IF(AND($K227=1,AND(对接源_01水果!$X227="公司筐",N(对接源_01水果!$U227)&lt;&gt;0)),1,0)</f>
        <v>0</v>
      </c>
      <c r="S227" s="3">
        <f t="shared" si="61"/>
        <v>0</v>
      </c>
      <c r="T227" s="3">
        <f>IF(AND($K227=1,AND(对接源_01水果!$X227="公司筐",N(对接源_01水果!$V227)&lt;&gt;0)),1,0)</f>
        <v>0</v>
      </c>
      <c r="U227" s="3">
        <f t="shared" si="62"/>
        <v>6</v>
      </c>
      <c r="V227" s="3">
        <f>IF(AND($L227=1,AND(对接源_01水果!$X227="自备筐",N(对接源_01水果!$V227)&lt;&gt;0)),1,0)</f>
        <v>0</v>
      </c>
      <c r="W227" s="3">
        <f t="shared" si="63"/>
        <v>7</v>
      </c>
      <c r="X227" s="3">
        <f>IF(AND($L227=1,AND(对接源_01水果!$X227="自备筐",N(对接源_01水果!$T227)&lt;&gt;0)),1,0)</f>
        <v>0</v>
      </c>
      <c r="Y227" s="3">
        <f t="shared" si="64"/>
        <v>0</v>
      </c>
      <c r="Z227" s="3">
        <f>IF(AND($M227=1,对接源_01水果!$D227="原料入库"),1,0)</f>
        <v>0</v>
      </c>
      <c r="AA227" s="3">
        <f t="shared" si="65"/>
        <v>15</v>
      </c>
      <c r="AB227" s="3">
        <f>IF(AND($M227=1,LEFT(对接源_01水果!$D227,4)="原料出库"),1,0)</f>
        <v>0</v>
      </c>
      <c r="AC227" s="3">
        <f t="shared" si="66"/>
        <v>0</v>
      </c>
      <c r="AD227" s="3">
        <f>IF(AND($M227=1,LEFT(对接源_01水果!$D227,4)="成品出库"),1,0)</f>
        <v>0</v>
      </c>
      <c r="AE227" s="3">
        <f t="shared" si="67"/>
        <v>0</v>
      </c>
      <c r="AF227" s="3">
        <f>IF(AND($N227=1,AND(LEFT(对接源_01水果!$D227,4)="包装物料",N(对接源_01水果!$K227)&lt;&gt;0)),1,0)</f>
        <v>0</v>
      </c>
      <c r="AG227" s="3">
        <f t="shared" si="68"/>
        <v>0</v>
      </c>
      <c r="AH227" s="3">
        <f>IF(AND($N227=1,AND(对接源_01水果!$D227="周转筐－销售出库",N(对接源_01水果!$K227)&lt;&gt;0)),1,0)</f>
        <v>0</v>
      </c>
      <c r="AI227" s="3">
        <f t="shared" si="69"/>
        <v>0</v>
      </c>
      <c r="AJ227" s="7"/>
      <c r="AL227" s="3">
        <f>IF(OR($AL$1="",对接源_01水果!$Y227="",对接源_01水果!$Y227&lt;&gt;$AL$1,对接源_01水果!$B227="",N(对接源_01水果!$AJ227)&lt;=0),0,IF(OR(N(对接源_01水果!$B227)&lt;$AL$2,N(对接源_01水果!$B227)&gt;$AL$3),0,1))</f>
        <v>0</v>
      </c>
      <c r="AM227" s="3">
        <f t="shared" si="70"/>
        <v>0</v>
      </c>
      <c r="AN227" s="3" t="str">
        <f>IF(对接源_01水果!$AC227="","",对接源_01水果!$AC227)</f>
        <v/>
      </c>
      <c r="AO227" s="3">
        <f t="shared" si="71"/>
        <v>0</v>
      </c>
      <c r="AP227" s="3">
        <f t="shared" si="72"/>
        <v>0</v>
      </c>
      <c r="AR227">
        <f t="shared" si="74"/>
        <v>0</v>
      </c>
      <c r="AS227">
        <f t="shared" si="75"/>
        <v>0</v>
      </c>
    </row>
    <row r="228" ht="14.25" customHeight="1" spans="1:45">
      <c r="A228" s="3" t="str">
        <f>IF(对接源_01水果!$C228="","",对接源_01水果!$C228)</f>
        <v>王照雪</v>
      </c>
      <c r="B228" s="3">
        <f t="shared" si="57"/>
        <v>0</v>
      </c>
      <c r="C228" s="3">
        <f t="shared" si="58"/>
        <v>13</v>
      </c>
      <c r="E228" s="3" t="str">
        <f t="shared" si="59"/>
        <v/>
      </c>
      <c r="K228" s="3">
        <f>IF(OR($K$1="",对接源_01水果!$C228="",对接源_01水果!$C228&lt;&gt;$K$1,对接源_01水果!$B228=""),0,IF(OR(N(对接源_01水果!$B228)&lt;$K$2,N(对接源_01水果!$B228)&gt;$K$3),0,1))</f>
        <v>0</v>
      </c>
      <c r="L228" s="3">
        <f>IF(OR($L$1="",对接源_01水果!$C228="",对接源_01水果!$C228&lt;&gt;$L$1,对接源_01水果!$B228=""),0,IF(OR(N(对接源_01水果!$B228)&lt;$L$2,N(对接源_01水果!$B228)&gt;$L$3),0,1))</f>
        <v>0</v>
      </c>
      <c r="M228" s="3">
        <f>IF(OR($M$1="",对接源_01水果!$C228="",对接源_01水果!$C228&lt;&gt;$M$1,对接源_01水果!$B228=""),0,IF(OR(N(对接源_01水果!$B228)&lt;$M$2,N(对接源_01水果!$B228)&gt;$M$3),0,1))</f>
        <v>0</v>
      </c>
      <c r="N228" s="3">
        <f>IF(OR($N$1="",对接源_01水果!$C228="",对接源_01水果!$C228&lt;&gt;$N$1,对接源_01水果!$B228=""),0,IF(OR(N(对接源_01水果!$B228)&lt;$N$2,N(对接源_01水果!$B228)&gt;$N$3),0,1))</f>
        <v>0</v>
      </c>
      <c r="P228" s="3">
        <f>IF(AND($K228=1,AND(对接源_01水果!$X228="公司筐",N(对接源_01水果!$T228)&lt;&gt;0)),1,0)</f>
        <v>0</v>
      </c>
      <c r="Q228" s="3">
        <f t="shared" si="60"/>
        <v>0</v>
      </c>
      <c r="R228" s="3">
        <f>IF(AND($K228=1,AND(对接源_01水果!$X228="公司筐",N(对接源_01水果!$U228)&lt;&gt;0)),1,0)</f>
        <v>0</v>
      </c>
      <c r="S228" s="3">
        <f t="shared" si="61"/>
        <v>0</v>
      </c>
      <c r="T228" s="3">
        <f>IF(AND($K228=1,AND(对接源_01水果!$X228="公司筐",N(对接源_01水果!$V228)&lt;&gt;0)),1,0)</f>
        <v>0</v>
      </c>
      <c r="U228" s="3">
        <f t="shared" si="62"/>
        <v>6</v>
      </c>
      <c r="V228" s="3">
        <f>IF(AND($L228=1,AND(对接源_01水果!$X228="自备筐",N(对接源_01水果!$V228)&lt;&gt;0)),1,0)</f>
        <v>0</v>
      </c>
      <c r="W228" s="3">
        <f t="shared" si="63"/>
        <v>7</v>
      </c>
      <c r="X228" s="3">
        <f>IF(AND($L228=1,AND(对接源_01水果!$X228="自备筐",N(对接源_01水果!$T228)&lt;&gt;0)),1,0)</f>
        <v>0</v>
      </c>
      <c r="Y228" s="3">
        <f t="shared" si="64"/>
        <v>0</v>
      </c>
      <c r="Z228" s="3">
        <f>IF(AND($M228=1,对接源_01水果!$D228="原料入库"),1,0)</f>
        <v>0</v>
      </c>
      <c r="AA228" s="3">
        <f t="shared" si="65"/>
        <v>15</v>
      </c>
      <c r="AB228" s="3">
        <f>IF(AND($M228=1,LEFT(对接源_01水果!$D228,4)="原料出库"),1,0)</f>
        <v>0</v>
      </c>
      <c r="AC228" s="3">
        <f t="shared" si="66"/>
        <v>0</v>
      </c>
      <c r="AD228" s="3">
        <f>IF(AND($M228=1,LEFT(对接源_01水果!$D228,4)="成品出库"),1,0)</f>
        <v>0</v>
      </c>
      <c r="AE228" s="3">
        <f t="shared" si="67"/>
        <v>0</v>
      </c>
      <c r="AF228" s="3">
        <f>IF(AND($N228=1,AND(LEFT(对接源_01水果!$D228,4)="包装物料",N(对接源_01水果!$K228)&lt;&gt;0)),1,0)</f>
        <v>0</v>
      </c>
      <c r="AG228" s="3">
        <f t="shared" si="68"/>
        <v>0</v>
      </c>
      <c r="AH228" s="3">
        <f>IF(AND($N228=1,AND(对接源_01水果!$D228="周转筐－销售出库",N(对接源_01水果!$K228)&lt;&gt;0)),1,0)</f>
        <v>0</v>
      </c>
      <c r="AI228" s="3">
        <f t="shared" si="69"/>
        <v>0</v>
      </c>
      <c r="AJ228" s="7"/>
      <c r="AL228" s="3">
        <f>IF(OR($AL$1="",对接源_01水果!$Y228="",对接源_01水果!$Y228&lt;&gt;$AL$1,对接源_01水果!$B228="",N(对接源_01水果!$AJ228)&lt;=0),0,IF(OR(N(对接源_01水果!$B228)&lt;$AL$2,N(对接源_01水果!$B228)&gt;$AL$3),0,1))</f>
        <v>0</v>
      </c>
      <c r="AM228" s="3">
        <f t="shared" si="70"/>
        <v>0</v>
      </c>
      <c r="AN228" s="3" t="str">
        <f>IF(对接源_01水果!$AC228="","",对接源_01水果!$AC228)</f>
        <v/>
      </c>
      <c r="AO228" s="3">
        <f t="shared" si="71"/>
        <v>0</v>
      </c>
      <c r="AP228" s="3">
        <f t="shared" si="72"/>
        <v>0</v>
      </c>
      <c r="AR228">
        <f t="shared" si="74"/>
        <v>0</v>
      </c>
      <c r="AS228">
        <f t="shared" si="75"/>
        <v>0</v>
      </c>
    </row>
    <row r="229" ht="14.25" customHeight="1" spans="1:45">
      <c r="A229" s="3" t="str">
        <f>IF(对接源_01水果!$C229="","",对接源_01水果!$C229)</f>
        <v>王照雪</v>
      </c>
      <c r="B229" s="3">
        <f t="shared" si="57"/>
        <v>0</v>
      </c>
      <c r="C229" s="3">
        <f t="shared" si="58"/>
        <v>13</v>
      </c>
      <c r="E229" s="3" t="str">
        <f t="shared" si="59"/>
        <v/>
      </c>
      <c r="K229" s="3">
        <f>IF(OR($K$1="",对接源_01水果!$C229="",对接源_01水果!$C229&lt;&gt;$K$1,对接源_01水果!$B229=""),0,IF(OR(N(对接源_01水果!$B229)&lt;$K$2,N(对接源_01水果!$B229)&gt;$K$3),0,1))</f>
        <v>0</v>
      </c>
      <c r="L229" s="3">
        <f>IF(OR($L$1="",对接源_01水果!$C229="",对接源_01水果!$C229&lt;&gt;$L$1,对接源_01水果!$B229=""),0,IF(OR(N(对接源_01水果!$B229)&lt;$L$2,N(对接源_01水果!$B229)&gt;$L$3),0,1))</f>
        <v>0</v>
      </c>
      <c r="M229" s="3">
        <f>IF(OR($M$1="",对接源_01水果!$C229="",对接源_01水果!$C229&lt;&gt;$M$1,对接源_01水果!$B229=""),0,IF(OR(N(对接源_01水果!$B229)&lt;$M$2,N(对接源_01水果!$B229)&gt;$M$3),0,1))</f>
        <v>0</v>
      </c>
      <c r="N229" s="3">
        <f>IF(OR($N$1="",对接源_01水果!$C229="",对接源_01水果!$C229&lt;&gt;$N$1,对接源_01水果!$B229=""),0,IF(OR(N(对接源_01水果!$B229)&lt;$N$2,N(对接源_01水果!$B229)&gt;$N$3),0,1))</f>
        <v>0</v>
      </c>
      <c r="P229" s="3">
        <f>IF(AND($K229=1,AND(对接源_01水果!$X229="公司筐",N(对接源_01水果!$T229)&lt;&gt;0)),1,0)</f>
        <v>0</v>
      </c>
      <c r="Q229" s="3">
        <f t="shared" si="60"/>
        <v>0</v>
      </c>
      <c r="R229" s="3">
        <f>IF(AND($K229=1,AND(对接源_01水果!$X229="公司筐",N(对接源_01水果!$U229)&lt;&gt;0)),1,0)</f>
        <v>0</v>
      </c>
      <c r="S229" s="3">
        <f t="shared" si="61"/>
        <v>0</v>
      </c>
      <c r="T229" s="3">
        <f>IF(AND($K229=1,AND(对接源_01水果!$X229="公司筐",N(对接源_01水果!$V229)&lt;&gt;0)),1,0)</f>
        <v>0</v>
      </c>
      <c r="U229" s="3">
        <f t="shared" si="62"/>
        <v>6</v>
      </c>
      <c r="V229" s="3">
        <f>IF(AND($L229=1,AND(对接源_01水果!$X229="自备筐",N(对接源_01水果!$V229)&lt;&gt;0)),1,0)</f>
        <v>0</v>
      </c>
      <c r="W229" s="3">
        <f t="shared" si="63"/>
        <v>7</v>
      </c>
      <c r="X229" s="3">
        <f>IF(AND($L229=1,AND(对接源_01水果!$X229="自备筐",N(对接源_01水果!$T229)&lt;&gt;0)),1,0)</f>
        <v>0</v>
      </c>
      <c r="Y229" s="3">
        <f t="shared" si="64"/>
        <v>0</v>
      </c>
      <c r="Z229" s="3">
        <f>IF(AND($M229=1,对接源_01水果!$D229="原料入库"),1,0)</f>
        <v>0</v>
      </c>
      <c r="AA229" s="3">
        <f t="shared" si="65"/>
        <v>15</v>
      </c>
      <c r="AB229" s="3">
        <f>IF(AND($M229=1,LEFT(对接源_01水果!$D229,4)="原料出库"),1,0)</f>
        <v>0</v>
      </c>
      <c r="AC229" s="3">
        <f t="shared" si="66"/>
        <v>0</v>
      </c>
      <c r="AD229" s="3">
        <f>IF(AND($M229=1,LEFT(对接源_01水果!$D229,4)="成品出库"),1,0)</f>
        <v>0</v>
      </c>
      <c r="AE229" s="3">
        <f t="shared" si="67"/>
        <v>0</v>
      </c>
      <c r="AF229" s="3">
        <f>IF(AND($N229=1,AND(LEFT(对接源_01水果!$D229,4)="包装物料",N(对接源_01水果!$K229)&lt;&gt;0)),1,0)</f>
        <v>0</v>
      </c>
      <c r="AG229" s="3">
        <f t="shared" si="68"/>
        <v>0</v>
      </c>
      <c r="AH229" s="3">
        <f>IF(AND($N229=1,AND(对接源_01水果!$D229="周转筐－销售出库",N(对接源_01水果!$K229)&lt;&gt;0)),1,0)</f>
        <v>0</v>
      </c>
      <c r="AI229" s="3">
        <f t="shared" si="69"/>
        <v>0</v>
      </c>
      <c r="AJ229" s="7"/>
      <c r="AL229" s="3">
        <f>IF(OR($AL$1="",对接源_01水果!$Y229="",对接源_01水果!$Y229&lt;&gt;$AL$1,对接源_01水果!$B229="",N(对接源_01水果!$AJ229)&lt;=0),0,IF(OR(N(对接源_01水果!$B229)&lt;$AL$2,N(对接源_01水果!$B229)&gt;$AL$3),0,1))</f>
        <v>0</v>
      </c>
      <c r="AM229" s="3">
        <f t="shared" si="70"/>
        <v>0</v>
      </c>
      <c r="AN229" s="3" t="str">
        <f>IF(对接源_01水果!$AC229="","",对接源_01水果!$AC229)</f>
        <v/>
      </c>
      <c r="AO229" s="3">
        <f t="shared" si="71"/>
        <v>0</v>
      </c>
      <c r="AP229" s="3">
        <f t="shared" si="72"/>
        <v>0</v>
      </c>
      <c r="AR229">
        <f t="shared" si="74"/>
        <v>0</v>
      </c>
      <c r="AS229">
        <f t="shared" si="75"/>
        <v>0</v>
      </c>
    </row>
    <row r="230" ht="14.25" customHeight="1" spans="1:45">
      <c r="A230" s="3" t="str">
        <f>IF(对接源_01水果!$C230="","",对接源_01水果!$C230)</f>
        <v>王照雪</v>
      </c>
      <c r="B230" s="3">
        <f t="shared" si="57"/>
        <v>0</v>
      </c>
      <c r="C230" s="3">
        <f t="shared" si="58"/>
        <v>13</v>
      </c>
      <c r="E230" s="3" t="str">
        <f t="shared" si="59"/>
        <v/>
      </c>
      <c r="K230" s="3">
        <f>IF(OR($K$1="",对接源_01水果!$C230="",对接源_01水果!$C230&lt;&gt;$K$1,对接源_01水果!$B230=""),0,IF(OR(N(对接源_01水果!$B230)&lt;$K$2,N(对接源_01水果!$B230)&gt;$K$3),0,1))</f>
        <v>0</v>
      </c>
      <c r="L230" s="3">
        <f>IF(OR($L$1="",对接源_01水果!$C230="",对接源_01水果!$C230&lt;&gt;$L$1,对接源_01水果!$B230=""),0,IF(OR(N(对接源_01水果!$B230)&lt;$L$2,N(对接源_01水果!$B230)&gt;$L$3),0,1))</f>
        <v>0</v>
      </c>
      <c r="M230" s="3">
        <f>IF(OR($M$1="",对接源_01水果!$C230="",对接源_01水果!$C230&lt;&gt;$M$1,对接源_01水果!$B230=""),0,IF(OR(N(对接源_01水果!$B230)&lt;$M$2,N(对接源_01水果!$B230)&gt;$M$3),0,1))</f>
        <v>0</v>
      </c>
      <c r="N230" s="3">
        <f>IF(OR($N$1="",对接源_01水果!$C230="",对接源_01水果!$C230&lt;&gt;$N$1,对接源_01水果!$B230=""),0,IF(OR(N(对接源_01水果!$B230)&lt;$N$2,N(对接源_01水果!$B230)&gt;$N$3),0,1))</f>
        <v>0</v>
      </c>
      <c r="P230" s="3">
        <f>IF(AND($K230=1,AND(对接源_01水果!$X230="公司筐",N(对接源_01水果!$T230)&lt;&gt;0)),1,0)</f>
        <v>0</v>
      </c>
      <c r="Q230" s="3">
        <f t="shared" si="60"/>
        <v>0</v>
      </c>
      <c r="R230" s="3">
        <f>IF(AND($K230=1,AND(对接源_01水果!$X230="公司筐",N(对接源_01水果!$U230)&lt;&gt;0)),1,0)</f>
        <v>0</v>
      </c>
      <c r="S230" s="3">
        <f t="shared" si="61"/>
        <v>0</v>
      </c>
      <c r="T230" s="3">
        <f>IF(AND($K230=1,AND(对接源_01水果!$X230="公司筐",N(对接源_01水果!$V230)&lt;&gt;0)),1,0)</f>
        <v>0</v>
      </c>
      <c r="U230" s="3">
        <f t="shared" si="62"/>
        <v>6</v>
      </c>
      <c r="V230" s="3">
        <f>IF(AND($L230=1,AND(对接源_01水果!$X230="自备筐",N(对接源_01水果!$V230)&lt;&gt;0)),1,0)</f>
        <v>0</v>
      </c>
      <c r="W230" s="3">
        <f t="shared" si="63"/>
        <v>7</v>
      </c>
      <c r="X230" s="3">
        <f>IF(AND($L230=1,AND(对接源_01水果!$X230="自备筐",N(对接源_01水果!$T230)&lt;&gt;0)),1,0)</f>
        <v>0</v>
      </c>
      <c r="Y230" s="3">
        <f t="shared" si="64"/>
        <v>0</v>
      </c>
      <c r="Z230" s="3">
        <f>IF(AND($M230=1,对接源_01水果!$D230="原料入库"),1,0)</f>
        <v>0</v>
      </c>
      <c r="AA230" s="3">
        <f t="shared" si="65"/>
        <v>15</v>
      </c>
      <c r="AB230" s="3">
        <f>IF(AND($M230=1,LEFT(对接源_01水果!$D230,4)="原料出库"),1,0)</f>
        <v>0</v>
      </c>
      <c r="AC230" s="3">
        <f t="shared" si="66"/>
        <v>0</v>
      </c>
      <c r="AD230" s="3">
        <f>IF(AND($M230=1,LEFT(对接源_01水果!$D230,4)="成品出库"),1,0)</f>
        <v>0</v>
      </c>
      <c r="AE230" s="3">
        <f t="shared" si="67"/>
        <v>0</v>
      </c>
      <c r="AF230" s="3">
        <f>IF(AND($N230=1,AND(LEFT(对接源_01水果!$D230,4)="包装物料",N(对接源_01水果!$K230)&lt;&gt;0)),1,0)</f>
        <v>0</v>
      </c>
      <c r="AG230" s="3">
        <f t="shared" si="68"/>
        <v>0</v>
      </c>
      <c r="AH230" s="3">
        <f>IF(AND($N230=1,AND(对接源_01水果!$D230="周转筐－销售出库",N(对接源_01水果!$K230)&lt;&gt;0)),1,0)</f>
        <v>0</v>
      </c>
      <c r="AI230" s="3">
        <f t="shared" si="69"/>
        <v>0</v>
      </c>
      <c r="AJ230" s="7"/>
      <c r="AL230" s="3">
        <f>IF(OR($AL$1="",对接源_01水果!$Y230="",对接源_01水果!$Y230&lt;&gt;$AL$1,对接源_01水果!$B230="",N(对接源_01水果!$AJ230)&lt;=0),0,IF(OR(N(对接源_01水果!$B230)&lt;$AL$2,N(对接源_01水果!$B230)&gt;$AL$3),0,1))</f>
        <v>0</v>
      </c>
      <c r="AM230" s="3">
        <f t="shared" si="70"/>
        <v>0</v>
      </c>
      <c r="AN230" s="3" t="str">
        <f>IF(对接源_01水果!$AC230="","",对接源_01水果!$AC230)</f>
        <v/>
      </c>
      <c r="AO230" s="3">
        <f t="shared" si="71"/>
        <v>0</v>
      </c>
      <c r="AP230" s="3">
        <f t="shared" si="72"/>
        <v>0</v>
      </c>
      <c r="AR230">
        <f t="shared" si="74"/>
        <v>0</v>
      </c>
      <c r="AS230">
        <f t="shared" si="75"/>
        <v>0</v>
      </c>
    </row>
    <row r="231" ht="14.25" customHeight="1" spans="1:45">
      <c r="A231" s="3" t="str">
        <f>IF(对接源_01水果!$C231="","",对接源_01水果!$C231)</f>
        <v>麦麦提</v>
      </c>
      <c r="B231" s="3">
        <f t="shared" si="57"/>
        <v>0</v>
      </c>
      <c r="C231" s="3">
        <f t="shared" si="58"/>
        <v>13</v>
      </c>
      <c r="E231" s="3" t="str">
        <f t="shared" si="59"/>
        <v/>
      </c>
      <c r="K231" s="3">
        <f>IF(OR($K$1="",对接源_01水果!$C231="",对接源_01水果!$C231&lt;&gt;$K$1,对接源_01水果!$B231=""),0,IF(OR(N(对接源_01水果!$B231)&lt;$K$2,N(对接源_01水果!$B231)&gt;$K$3),0,1))</f>
        <v>0</v>
      </c>
      <c r="L231" s="3">
        <f>IF(OR($L$1="",对接源_01水果!$C231="",对接源_01水果!$C231&lt;&gt;$L$1,对接源_01水果!$B231=""),0,IF(OR(N(对接源_01水果!$B231)&lt;$L$2,N(对接源_01水果!$B231)&gt;$L$3),0,1))</f>
        <v>0</v>
      </c>
      <c r="M231" s="3">
        <f>IF(OR($M$1="",对接源_01水果!$C231="",对接源_01水果!$C231&lt;&gt;$M$1,对接源_01水果!$B231=""),0,IF(OR(N(对接源_01水果!$B231)&lt;$M$2,N(对接源_01水果!$B231)&gt;$M$3),0,1))</f>
        <v>0</v>
      </c>
      <c r="N231" s="3">
        <f>IF(OR($N$1="",对接源_01水果!$C231="",对接源_01水果!$C231&lt;&gt;$N$1,对接源_01水果!$B231=""),0,IF(OR(N(对接源_01水果!$B231)&lt;$N$2,N(对接源_01水果!$B231)&gt;$N$3),0,1))</f>
        <v>0</v>
      </c>
      <c r="P231" s="3">
        <f>IF(AND($K231=1,AND(对接源_01水果!$X231="公司筐",N(对接源_01水果!$T231)&lt;&gt;0)),1,0)</f>
        <v>0</v>
      </c>
      <c r="Q231" s="3">
        <f t="shared" si="60"/>
        <v>0</v>
      </c>
      <c r="R231" s="3">
        <f>IF(AND($K231=1,AND(对接源_01水果!$X231="公司筐",N(对接源_01水果!$U231)&lt;&gt;0)),1,0)</f>
        <v>0</v>
      </c>
      <c r="S231" s="3">
        <f t="shared" si="61"/>
        <v>0</v>
      </c>
      <c r="T231" s="3">
        <f>IF(AND($K231=1,AND(对接源_01水果!$X231="公司筐",N(对接源_01水果!$V231)&lt;&gt;0)),1,0)</f>
        <v>0</v>
      </c>
      <c r="U231" s="3">
        <f t="shared" si="62"/>
        <v>6</v>
      </c>
      <c r="V231" s="3">
        <f>IF(AND($L231=1,AND(对接源_01水果!$X231="自备筐",N(对接源_01水果!$V231)&lt;&gt;0)),1,0)</f>
        <v>0</v>
      </c>
      <c r="W231" s="3">
        <f t="shared" si="63"/>
        <v>7</v>
      </c>
      <c r="X231" s="3">
        <f>IF(AND($L231=1,AND(对接源_01水果!$X231="自备筐",N(对接源_01水果!$T231)&lt;&gt;0)),1,0)</f>
        <v>0</v>
      </c>
      <c r="Y231" s="3">
        <f t="shared" si="64"/>
        <v>0</v>
      </c>
      <c r="Z231" s="3">
        <f>IF(AND($M231=1,对接源_01水果!$D231="原料入库"),1,0)</f>
        <v>0</v>
      </c>
      <c r="AA231" s="3">
        <f t="shared" si="65"/>
        <v>15</v>
      </c>
      <c r="AB231" s="3">
        <f>IF(AND($M231=1,LEFT(对接源_01水果!$D231,4)="原料出库"),1,0)</f>
        <v>0</v>
      </c>
      <c r="AC231" s="3">
        <f t="shared" si="66"/>
        <v>0</v>
      </c>
      <c r="AD231" s="3">
        <f>IF(AND($M231=1,LEFT(对接源_01水果!$D231,4)="成品出库"),1,0)</f>
        <v>0</v>
      </c>
      <c r="AE231" s="3">
        <f t="shared" si="67"/>
        <v>0</v>
      </c>
      <c r="AF231" s="3">
        <f>IF(AND($N231=1,AND(LEFT(对接源_01水果!$D231,4)="包装物料",N(对接源_01水果!$K231)&lt;&gt;0)),1,0)</f>
        <v>0</v>
      </c>
      <c r="AG231" s="3">
        <f t="shared" si="68"/>
        <v>0</v>
      </c>
      <c r="AH231" s="3">
        <f>IF(AND($N231=1,AND(对接源_01水果!$D231="周转筐－销售出库",N(对接源_01水果!$K231)&lt;&gt;0)),1,0)</f>
        <v>0</v>
      </c>
      <c r="AI231" s="3">
        <f t="shared" si="69"/>
        <v>0</v>
      </c>
      <c r="AJ231" s="7"/>
      <c r="AL231" s="3">
        <f>IF(OR($AL$1="",对接源_01水果!$Y231="",对接源_01水果!$Y231&lt;&gt;$AL$1,对接源_01水果!$B231="",N(对接源_01水果!$AJ231)&lt;=0),0,IF(OR(N(对接源_01水果!$B231)&lt;$AL$2,N(对接源_01水果!$B231)&gt;$AL$3),0,1))</f>
        <v>0</v>
      </c>
      <c r="AM231" s="3">
        <f t="shared" si="70"/>
        <v>0</v>
      </c>
      <c r="AN231" s="3" t="str">
        <f>IF(对接源_01水果!$AC231="","",对接源_01水果!$AC231)</f>
        <v/>
      </c>
      <c r="AO231" s="3">
        <f t="shared" si="71"/>
        <v>0</v>
      </c>
      <c r="AP231" s="3">
        <f t="shared" si="72"/>
        <v>0</v>
      </c>
      <c r="AR231">
        <f t="shared" si="74"/>
        <v>0</v>
      </c>
      <c r="AS231">
        <f t="shared" si="75"/>
        <v>0</v>
      </c>
    </row>
    <row r="232" ht="14.25" customHeight="1" spans="1:45">
      <c r="A232" s="3" t="str">
        <f>IF(对接源_01水果!$C232="","",对接源_01水果!$C232)</f>
        <v>麦麦提</v>
      </c>
      <c r="B232" s="3">
        <f t="shared" si="57"/>
        <v>0</v>
      </c>
      <c r="C232" s="3">
        <f t="shared" si="58"/>
        <v>13</v>
      </c>
      <c r="E232" s="3" t="str">
        <f t="shared" si="59"/>
        <v/>
      </c>
      <c r="K232" s="3">
        <f>IF(OR($K$1="",对接源_01水果!$C232="",对接源_01水果!$C232&lt;&gt;$K$1,对接源_01水果!$B232=""),0,IF(OR(N(对接源_01水果!$B232)&lt;$K$2,N(对接源_01水果!$B232)&gt;$K$3),0,1))</f>
        <v>0</v>
      </c>
      <c r="L232" s="3">
        <f>IF(OR($L$1="",对接源_01水果!$C232="",对接源_01水果!$C232&lt;&gt;$L$1,对接源_01水果!$B232=""),0,IF(OR(N(对接源_01水果!$B232)&lt;$L$2,N(对接源_01水果!$B232)&gt;$L$3),0,1))</f>
        <v>0</v>
      </c>
      <c r="M232" s="3">
        <f>IF(OR($M$1="",对接源_01水果!$C232="",对接源_01水果!$C232&lt;&gt;$M$1,对接源_01水果!$B232=""),0,IF(OR(N(对接源_01水果!$B232)&lt;$M$2,N(对接源_01水果!$B232)&gt;$M$3),0,1))</f>
        <v>0</v>
      </c>
      <c r="N232" s="3">
        <f>IF(OR($N$1="",对接源_01水果!$C232="",对接源_01水果!$C232&lt;&gt;$N$1,对接源_01水果!$B232=""),0,IF(OR(N(对接源_01水果!$B232)&lt;$N$2,N(对接源_01水果!$B232)&gt;$N$3),0,1))</f>
        <v>0</v>
      </c>
      <c r="P232" s="3">
        <f>IF(AND($K232=1,AND(对接源_01水果!$X232="公司筐",N(对接源_01水果!$T232)&lt;&gt;0)),1,0)</f>
        <v>0</v>
      </c>
      <c r="Q232" s="3">
        <f t="shared" si="60"/>
        <v>0</v>
      </c>
      <c r="R232" s="3">
        <f>IF(AND($K232=1,AND(对接源_01水果!$X232="公司筐",N(对接源_01水果!$U232)&lt;&gt;0)),1,0)</f>
        <v>0</v>
      </c>
      <c r="S232" s="3">
        <f t="shared" si="61"/>
        <v>0</v>
      </c>
      <c r="T232" s="3">
        <f>IF(AND($K232=1,AND(对接源_01水果!$X232="公司筐",N(对接源_01水果!$V232)&lt;&gt;0)),1,0)</f>
        <v>0</v>
      </c>
      <c r="U232" s="3">
        <f t="shared" si="62"/>
        <v>6</v>
      </c>
      <c r="V232" s="3">
        <f>IF(AND($L232=1,AND(对接源_01水果!$X232="自备筐",N(对接源_01水果!$V232)&lt;&gt;0)),1,0)</f>
        <v>0</v>
      </c>
      <c r="W232" s="3">
        <f t="shared" si="63"/>
        <v>7</v>
      </c>
      <c r="X232" s="3">
        <f>IF(AND($L232=1,AND(对接源_01水果!$X232="自备筐",N(对接源_01水果!$T232)&lt;&gt;0)),1,0)</f>
        <v>0</v>
      </c>
      <c r="Y232" s="3">
        <f t="shared" si="64"/>
        <v>0</v>
      </c>
      <c r="Z232" s="3">
        <f>IF(AND($M232=1,对接源_01水果!$D232="原料入库"),1,0)</f>
        <v>0</v>
      </c>
      <c r="AA232" s="3">
        <f t="shared" si="65"/>
        <v>15</v>
      </c>
      <c r="AB232" s="3">
        <f>IF(AND($M232=1,LEFT(对接源_01水果!$D232,4)="原料出库"),1,0)</f>
        <v>0</v>
      </c>
      <c r="AC232" s="3">
        <f t="shared" si="66"/>
        <v>0</v>
      </c>
      <c r="AD232" s="3">
        <f>IF(AND($M232=1,LEFT(对接源_01水果!$D232,4)="成品出库"),1,0)</f>
        <v>0</v>
      </c>
      <c r="AE232" s="3">
        <f t="shared" si="67"/>
        <v>0</v>
      </c>
      <c r="AF232" s="3">
        <f>IF(AND($N232=1,AND(LEFT(对接源_01水果!$D232,4)="包装物料",N(对接源_01水果!$K232)&lt;&gt;0)),1,0)</f>
        <v>0</v>
      </c>
      <c r="AG232" s="3">
        <f t="shared" si="68"/>
        <v>0</v>
      </c>
      <c r="AH232" s="3">
        <f>IF(AND($N232=1,AND(对接源_01水果!$D232="周转筐－销售出库",N(对接源_01水果!$K232)&lt;&gt;0)),1,0)</f>
        <v>0</v>
      </c>
      <c r="AI232" s="3">
        <f t="shared" si="69"/>
        <v>0</v>
      </c>
      <c r="AJ232" s="7"/>
      <c r="AL232" s="3">
        <f>IF(OR($AL$1="",对接源_01水果!$Y232="",对接源_01水果!$Y232&lt;&gt;$AL$1,对接源_01水果!$B232="",N(对接源_01水果!$AJ232)&lt;=0),0,IF(OR(N(对接源_01水果!$B232)&lt;$AL$2,N(对接源_01水果!$B232)&gt;$AL$3),0,1))</f>
        <v>0</v>
      </c>
      <c r="AM232" s="3">
        <f t="shared" si="70"/>
        <v>0</v>
      </c>
      <c r="AN232" s="3" t="str">
        <f>IF(对接源_01水果!$AC232="","",对接源_01水果!$AC232)</f>
        <v/>
      </c>
      <c r="AO232" s="3">
        <f t="shared" si="71"/>
        <v>0</v>
      </c>
      <c r="AP232" s="3">
        <f t="shared" si="72"/>
        <v>0</v>
      </c>
      <c r="AR232">
        <f t="shared" si="74"/>
        <v>0</v>
      </c>
      <c r="AS232">
        <f t="shared" si="75"/>
        <v>0</v>
      </c>
    </row>
    <row r="233" ht="14.25" customHeight="1" spans="1:45">
      <c r="A233" s="3" t="str">
        <f>IF(对接源_01水果!$C233="","",对接源_01水果!$C233)</f>
        <v>麦麦提</v>
      </c>
      <c r="B233" s="3">
        <f t="shared" si="57"/>
        <v>0</v>
      </c>
      <c r="C233" s="3">
        <f t="shared" si="58"/>
        <v>13</v>
      </c>
      <c r="E233" s="3" t="str">
        <f t="shared" si="59"/>
        <v/>
      </c>
      <c r="K233" s="3">
        <f>IF(OR($K$1="",对接源_01水果!$C233="",对接源_01水果!$C233&lt;&gt;$K$1,对接源_01水果!$B233=""),0,IF(OR(N(对接源_01水果!$B233)&lt;$K$2,N(对接源_01水果!$B233)&gt;$K$3),0,1))</f>
        <v>0</v>
      </c>
      <c r="L233" s="3">
        <f>IF(OR($L$1="",对接源_01水果!$C233="",对接源_01水果!$C233&lt;&gt;$L$1,对接源_01水果!$B233=""),0,IF(OR(N(对接源_01水果!$B233)&lt;$L$2,N(对接源_01水果!$B233)&gt;$L$3),0,1))</f>
        <v>0</v>
      </c>
      <c r="M233" s="3">
        <f>IF(OR($M$1="",对接源_01水果!$C233="",对接源_01水果!$C233&lt;&gt;$M$1,对接源_01水果!$B233=""),0,IF(OR(N(对接源_01水果!$B233)&lt;$M$2,N(对接源_01水果!$B233)&gt;$M$3),0,1))</f>
        <v>0</v>
      </c>
      <c r="N233" s="3">
        <f>IF(OR($N$1="",对接源_01水果!$C233="",对接源_01水果!$C233&lt;&gt;$N$1,对接源_01水果!$B233=""),0,IF(OR(N(对接源_01水果!$B233)&lt;$N$2,N(对接源_01水果!$B233)&gt;$N$3),0,1))</f>
        <v>0</v>
      </c>
      <c r="P233" s="3">
        <f>IF(AND($K233=1,AND(对接源_01水果!$X233="公司筐",N(对接源_01水果!$T233)&lt;&gt;0)),1,0)</f>
        <v>0</v>
      </c>
      <c r="Q233" s="3">
        <f t="shared" si="60"/>
        <v>0</v>
      </c>
      <c r="R233" s="3">
        <f>IF(AND($K233=1,AND(对接源_01水果!$X233="公司筐",N(对接源_01水果!$U233)&lt;&gt;0)),1,0)</f>
        <v>0</v>
      </c>
      <c r="S233" s="3">
        <f t="shared" si="61"/>
        <v>0</v>
      </c>
      <c r="T233" s="3">
        <f>IF(AND($K233=1,AND(对接源_01水果!$X233="公司筐",N(对接源_01水果!$V233)&lt;&gt;0)),1,0)</f>
        <v>0</v>
      </c>
      <c r="U233" s="3">
        <f t="shared" si="62"/>
        <v>6</v>
      </c>
      <c r="V233" s="3">
        <f>IF(AND($L233=1,AND(对接源_01水果!$X233="自备筐",N(对接源_01水果!$V233)&lt;&gt;0)),1,0)</f>
        <v>0</v>
      </c>
      <c r="W233" s="3">
        <f t="shared" si="63"/>
        <v>7</v>
      </c>
      <c r="X233" s="3">
        <f>IF(AND($L233=1,AND(对接源_01水果!$X233="自备筐",N(对接源_01水果!$T233)&lt;&gt;0)),1,0)</f>
        <v>0</v>
      </c>
      <c r="Y233" s="3">
        <f t="shared" si="64"/>
        <v>0</v>
      </c>
      <c r="Z233" s="3">
        <f>IF(AND($M233=1,对接源_01水果!$D233="原料入库"),1,0)</f>
        <v>0</v>
      </c>
      <c r="AA233" s="3">
        <f t="shared" si="65"/>
        <v>15</v>
      </c>
      <c r="AB233" s="3">
        <f>IF(AND($M233=1,LEFT(对接源_01水果!$D233,4)="原料出库"),1,0)</f>
        <v>0</v>
      </c>
      <c r="AC233" s="3">
        <f t="shared" si="66"/>
        <v>0</v>
      </c>
      <c r="AD233" s="3">
        <f>IF(AND($M233=1,LEFT(对接源_01水果!$D233,4)="成品出库"),1,0)</f>
        <v>0</v>
      </c>
      <c r="AE233" s="3">
        <f t="shared" si="67"/>
        <v>0</v>
      </c>
      <c r="AF233" s="3">
        <f>IF(AND($N233=1,AND(LEFT(对接源_01水果!$D233,4)="包装物料",N(对接源_01水果!$K233)&lt;&gt;0)),1,0)</f>
        <v>0</v>
      </c>
      <c r="AG233" s="3">
        <f t="shared" si="68"/>
        <v>0</v>
      </c>
      <c r="AH233" s="3">
        <f>IF(AND($N233=1,AND(对接源_01水果!$D233="周转筐－销售出库",N(对接源_01水果!$K233)&lt;&gt;0)),1,0)</f>
        <v>0</v>
      </c>
      <c r="AI233" s="3">
        <f t="shared" si="69"/>
        <v>0</v>
      </c>
      <c r="AJ233" s="7"/>
      <c r="AL233" s="3">
        <f>IF(OR($AL$1="",对接源_01水果!$Y233="",对接源_01水果!$Y233&lt;&gt;$AL$1,对接源_01水果!$B233="",N(对接源_01水果!$AJ233)&lt;=0),0,IF(OR(N(对接源_01水果!$B233)&lt;$AL$2,N(对接源_01水果!$B233)&gt;$AL$3),0,1))</f>
        <v>0</v>
      </c>
      <c r="AM233" s="3">
        <f t="shared" si="70"/>
        <v>0</v>
      </c>
      <c r="AN233" s="3" t="str">
        <f>IF(对接源_01水果!$AC233="","",对接源_01水果!$AC233)</f>
        <v/>
      </c>
      <c r="AO233" s="3">
        <f t="shared" si="71"/>
        <v>0</v>
      </c>
      <c r="AP233" s="3">
        <f t="shared" si="72"/>
        <v>0</v>
      </c>
      <c r="AR233">
        <f t="shared" si="74"/>
        <v>0</v>
      </c>
      <c r="AS233">
        <f t="shared" si="75"/>
        <v>0</v>
      </c>
    </row>
    <row r="234" ht="14.25" customHeight="1" spans="1:45">
      <c r="A234" s="3" t="str">
        <f>IF(对接源_01水果!$C234="","",对接源_01水果!$C234)</f>
        <v>贾建国</v>
      </c>
      <c r="B234" s="3">
        <f t="shared" si="57"/>
        <v>0</v>
      </c>
      <c r="C234" s="3">
        <f t="shared" si="58"/>
        <v>13</v>
      </c>
      <c r="E234" s="3" t="str">
        <f t="shared" si="59"/>
        <v/>
      </c>
      <c r="K234" s="3">
        <f>IF(OR($K$1="",对接源_01水果!$C234="",对接源_01水果!$C234&lt;&gt;$K$1,对接源_01水果!$B234=""),0,IF(OR(N(对接源_01水果!$B234)&lt;$K$2,N(对接源_01水果!$B234)&gt;$K$3),0,1))</f>
        <v>0</v>
      </c>
      <c r="L234" s="3">
        <f>IF(OR($L$1="",对接源_01水果!$C234="",对接源_01水果!$C234&lt;&gt;$L$1,对接源_01水果!$B234=""),0,IF(OR(N(对接源_01水果!$B234)&lt;$L$2,N(对接源_01水果!$B234)&gt;$L$3),0,1))</f>
        <v>1</v>
      </c>
      <c r="M234" s="3">
        <f>IF(OR($M$1="",对接源_01水果!$C234="",对接源_01水果!$C234&lt;&gt;$M$1,对接源_01水果!$B234=""),0,IF(OR(N(对接源_01水果!$B234)&lt;$M$2,N(对接源_01水果!$B234)&gt;$M$3),0,1))</f>
        <v>0</v>
      </c>
      <c r="N234" s="3">
        <f>IF(OR($N$1="",对接源_01水果!$C234="",对接源_01水果!$C234&lt;&gt;$N$1,对接源_01水果!$B234=""),0,IF(OR(N(对接源_01水果!$B234)&lt;$N$2,N(对接源_01水果!$B234)&gt;$N$3),0,1))</f>
        <v>0</v>
      </c>
      <c r="P234" s="3">
        <f>IF(AND($K234=1,AND(对接源_01水果!$X234="公司筐",N(对接源_01水果!$T234)&lt;&gt;0)),1,0)</f>
        <v>0</v>
      </c>
      <c r="Q234" s="3">
        <f t="shared" si="60"/>
        <v>0</v>
      </c>
      <c r="R234" s="3">
        <f>IF(AND($K234=1,AND(对接源_01水果!$X234="公司筐",N(对接源_01水果!$U234)&lt;&gt;0)),1,0)</f>
        <v>0</v>
      </c>
      <c r="S234" s="3">
        <f t="shared" si="61"/>
        <v>0</v>
      </c>
      <c r="T234" s="3">
        <f>IF(AND($K234=1,AND(对接源_01水果!$X234="公司筐",N(对接源_01水果!$V234)&lt;&gt;0)),1,0)</f>
        <v>0</v>
      </c>
      <c r="U234" s="3">
        <f t="shared" si="62"/>
        <v>6</v>
      </c>
      <c r="V234" s="3">
        <f>IF(AND($L234=1,AND(对接源_01水果!$X234="自备筐",N(对接源_01水果!$V234)&lt;&gt;0)),1,0)</f>
        <v>1</v>
      </c>
      <c r="W234" s="3">
        <f t="shared" si="63"/>
        <v>8</v>
      </c>
      <c r="X234" s="3">
        <f>IF(AND($L234=1,AND(对接源_01水果!$X234="自备筐",N(对接源_01水果!$T234)&lt;&gt;0)),1,0)</f>
        <v>0</v>
      </c>
      <c r="Y234" s="3">
        <f t="shared" si="64"/>
        <v>0</v>
      </c>
      <c r="Z234" s="3">
        <f>IF(AND($M234=1,对接源_01水果!$D234="原料入库"),1,0)</f>
        <v>0</v>
      </c>
      <c r="AA234" s="3">
        <f t="shared" si="65"/>
        <v>15</v>
      </c>
      <c r="AB234" s="3">
        <f>IF(AND($M234=1,LEFT(对接源_01水果!$D234,4)="原料出库"),1,0)</f>
        <v>0</v>
      </c>
      <c r="AC234" s="3">
        <f t="shared" si="66"/>
        <v>0</v>
      </c>
      <c r="AD234" s="3">
        <f>IF(AND($M234=1,LEFT(对接源_01水果!$D234,4)="成品出库"),1,0)</f>
        <v>0</v>
      </c>
      <c r="AE234" s="3">
        <f t="shared" si="67"/>
        <v>0</v>
      </c>
      <c r="AF234" s="3">
        <f>IF(AND($N234=1,AND(LEFT(对接源_01水果!$D234,4)="包装物料",N(对接源_01水果!$K234)&lt;&gt;0)),1,0)</f>
        <v>0</v>
      </c>
      <c r="AG234" s="3">
        <f t="shared" si="68"/>
        <v>0</v>
      </c>
      <c r="AH234" s="3">
        <f>IF(AND($N234=1,AND(对接源_01水果!$D234="周转筐－销售出库",N(对接源_01水果!$K234)&lt;&gt;0)),1,0)</f>
        <v>0</v>
      </c>
      <c r="AI234" s="3">
        <f t="shared" si="69"/>
        <v>0</v>
      </c>
      <c r="AJ234" s="7"/>
      <c r="AL234" s="3">
        <f>IF(OR($AL$1="",对接源_01水果!$Y234="",对接源_01水果!$Y234&lt;&gt;$AL$1,对接源_01水果!$B234="",N(对接源_01水果!$AJ234)&lt;=0),0,IF(OR(N(对接源_01水果!$B234)&lt;$AL$2,N(对接源_01水果!$B234)&gt;$AL$3),0,1))</f>
        <v>0</v>
      </c>
      <c r="AM234" s="3">
        <f t="shared" si="70"/>
        <v>0</v>
      </c>
      <c r="AN234" s="3" t="str">
        <f>IF(对接源_01水果!$AC234="","",对接源_01水果!$AC234)</f>
        <v/>
      </c>
      <c r="AO234" s="3">
        <f t="shared" si="71"/>
        <v>0</v>
      </c>
      <c r="AP234" s="3">
        <f t="shared" si="72"/>
        <v>0</v>
      </c>
      <c r="AR234">
        <f t="shared" si="74"/>
        <v>0</v>
      </c>
      <c r="AS234">
        <f t="shared" si="75"/>
        <v>0</v>
      </c>
    </row>
    <row r="235" ht="14.25" customHeight="1" spans="1:45">
      <c r="A235" s="3" t="str">
        <f>IF(对接源_01水果!$C235="","",对接源_01水果!$C235)</f>
        <v>王灵云</v>
      </c>
      <c r="B235" s="3">
        <f t="shared" si="57"/>
        <v>0</v>
      </c>
      <c r="C235" s="3">
        <f t="shared" si="58"/>
        <v>13</v>
      </c>
      <c r="E235" s="3" t="str">
        <f t="shared" si="59"/>
        <v/>
      </c>
      <c r="K235" s="3">
        <f>IF(OR($K$1="",对接源_01水果!$C235="",对接源_01水果!$C235&lt;&gt;$K$1,对接源_01水果!$B235=""),0,IF(OR(N(对接源_01水果!$B235)&lt;$K$2,N(对接源_01水果!$B235)&gt;$K$3),0,1))</f>
        <v>1</v>
      </c>
      <c r="L235" s="3">
        <f>IF(OR($L$1="",对接源_01水果!$C235="",对接源_01水果!$C235&lt;&gt;$L$1,对接源_01水果!$B235=""),0,IF(OR(N(对接源_01水果!$B235)&lt;$L$2,N(对接源_01水果!$B235)&gt;$L$3),0,1))</f>
        <v>0</v>
      </c>
      <c r="M235" s="3">
        <f>IF(OR($M$1="",对接源_01水果!$C235="",对接源_01水果!$C235&lt;&gt;$M$1,对接源_01水果!$B235=""),0,IF(OR(N(对接源_01水果!$B235)&lt;$M$2,N(对接源_01水果!$B235)&gt;$M$3),0,1))</f>
        <v>0</v>
      </c>
      <c r="N235" s="3">
        <f>IF(OR($N$1="",对接源_01水果!$C235="",对接源_01水果!$C235&lt;&gt;$N$1,对接源_01水果!$B235=""),0,IF(OR(N(对接源_01水果!$B235)&lt;$N$2,N(对接源_01水果!$B235)&gt;$N$3),0,1))</f>
        <v>0</v>
      </c>
      <c r="P235" s="3">
        <f>IF(AND($K235=1,AND(对接源_01水果!$X235="公司筐",N(对接源_01水果!$T235)&lt;&gt;0)),1,0)</f>
        <v>0</v>
      </c>
      <c r="Q235" s="3">
        <f t="shared" si="60"/>
        <v>0</v>
      </c>
      <c r="R235" s="3">
        <f>IF(AND($K235=1,AND(对接源_01水果!$X235="公司筐",N(对接源_01水果!$U235)&lt;&gt;0)),1,0)</f>
        <v>0</v>
      </c>
      <c r="S235" s="3">
        <f t="shared" si="61"/>
        <v>0</v>
      </c>
      <c r="T235" s="3">
        <f>IF(AND($K235=1,AND(对接源_01水果!$X235="公司筐",N(对接源_01水果!$V235)&lt;&gt;0)),1,0)</f>
        <v>1</v>
      </c>
      <c r="U235" s="3">
        <f t="shared" si="62"/>
        <v>7</v>
      </c>
      <c r="V235" s="3">
        <f>IF(AND($L235=1,AND(对接源_01水果!$X235="自备筐",N(对接源_01水果!$V235)&lt;&gt;0)),1,0)</f>
        <v>0</v>
      </c>
      <c r="W235" s="3">
        <f t="shared" si="63"/>
        <v>8</v>
      </c>
      <c r="X235" s="3">
        <f>IF(AND($L235=1,AND(对接源_01水果!$X235="自备筐",N(对接源_01水果!$T235)&lt;&gt;0)),1,0)</f>
        <v>0</v>
      </c>
      <c r="Y235" s="3">
        <f t="shared" si="64"/>
        <v>0</v>
      </c>
      <c r="Z235" s="3">
        <f>IF(AND($M235=1,对接源_01水果!$D235="原料入库"),1,0)</f>
        <v>0</v>
      </c>
      <c r="AA235" s="3">
        <f t="shared" si="65"/>
        <v>15</v>
      </c>
      <c r="AB235" s="3">
        <f>IF(AND($M235=1,LEFT(对接源_01水果!$D235,4)="原料出库"),1,0)</f>
        <v>0</v>
      </c>
      <c r="AC235" s="3">
        <f t="shared" si="66"/>
        <v>0</v>
      </c>
      <c r="AD235" s="3">
        <f>IF(AND($M235=1,LEFT(对接源_01水果!$D235,4)="成品出库"),1,0)</f>
        <v>0</v>
      </c>
      <c r="AE235" s="3">
        <f t="shared" si="67"/>
        <v>0</v>
      </c>
      <c r="AF235" s="3">
        <f>IF(AND($N235=1,AND(LEFT(对接源_01水果!$D235,4)="包装物料",N(对接源_01水果!$K235)&lt;&gt;0)),1,0)</f>
        <v>0</v>
      </c>
      <c r="AG235" s="3">
        <f t="shared" si="68"/>
        <v>0</v>
      </c>
      <c r="AH235" s="3">
        <f>IF(AND($N235=1,AND(对接源_01水果!$D235="周转筐－销售出库",N(对接源_01水果!$K235)&lt;&gt;0)),1,0)</f>
        <v>0</v>
      </c>
      <c r="AI235" s="3">
        <f t="shared" si="69"/>
        <v>0</v>
      </c>
      <c r="AJ235" s="7"/>
      <c r="AL235" s="3">
        <f>IF(OR($AL$1="",对接源_01水果!$Y235="",对接源_01水果!$Y235&lt;&gt;$AL$1,对接源_01水果!$B235="",N(对接源_01水果!$AJ235)&lt;=0),0,IF(OR(N(对接源_01水果!$B235)&lt;$AL$2,N(对接源_01水果!$B235)&gt;$AL$3),0,1))</f>
        <v>0</v>
      </c>
      <c r="AM235" s="3">
        <f t="shared" si="70"/>
        <v>0</v>
      </c>
      <c r="AN235" s="3" t="str">
        <f>IF(对接源_01水果!$AC235="","",对接源_01水果!$AC235)</f>
        <v/>
      </c>
      <c r="AO235" s="3">
        <f t="shared" si="71"/>
        <v>0</v>
      </c>
      <c r="AP235" s="3">
        <f t="shared" si="72"/>
        <v>0</v>
      </c>
      <c r="AR235">
        <f t="shared" si="74"/>
        <v>0</v>
      </c>
      <c r="AS235">
        <f t="shared" si="75"/>
        <v>0</v>
      </c>
    </row>
    <row r="236" ht="14.25" customHeight="1" spans="1:45">
      <c r="A236" s="3" t="str">
        <f>IF(对接源_01水果!$C236="","",对接源_01水果!$C236)</f>
        <v>王灵云</v>
      </c>
      <c r="B236" s="3">
        <f t="shared" si="57"/>
        <v>0</v>
      </c>
      <c r="C236" s="3">
        <f t="shared" si="58"/>
        <v>13</v>
      </c>
      <c r="E236" s="3" t="str">
        <f t="shared" si="59"/>
        <v/>
      </c>
      <c r="K236" s="3">
        <f>IF(OR($K$1="",对接源_01水果!$C236="",对接源_01水果!$C236&lt;&gt;$K$1,对接源_01水果!$B236=""),0,IF(OR(N(对接源_01水果!$B236)&lt;$K$2,N(对接源_01水果!$B236)&gt;$K$3),0,1))</f>
        <v>1</v>
      </c>
      <c r="L236" s="3">
        <f>IF(OR($L$1="",对接源_01水果!$C236="",对接源_01水果!$C236&lt;&gt;$L$1,对接源_01水果!$B236=""),0,IF(OR(N(对接源_01水果!$B236)&lt;$L$2,N(对接源_01水果!$B236)&gt;$L$3),0,1))</f>
        <v>0</v>
      </c>
      <c r="M236" s="3">
        <f>IF(OR($M$1="",对接源_01水果!$C236="",对接源_01水果!$C236&lt;&gt;$M$1,对接源_01水果!$B236=""),0,IF(OR(N(对接源_01水果!$B236)&lt;$M$2,N(对接源_01水果!$B236)&gt;$M$3),0,1))</f>
        <v>0</v>
      </c>
      <c r="N236" s="3">
        <f>IF(OR($N$1="",对接源_01水果!$C236="",对接源_01水果!$C236&lt;&gt;$N$1,对接源_01水果!$B236=""),0,IF(OR(N(对接源_01水果!$B236)&lt;$N$2,N(对接源_01水果!$B236)&gt;$N$3),0,1))</f>
        <v>0</v>
      </c>
      <c r="P236" s="3">
        <f>IF(AND($K236=1,AND(对接源_01水果!$X236="公司筐",N(对接源_01水果!$T236)&lt;&gt;0)),1,0)</f>
        <v>0</v>
      </c>
      <c r="Q236" s="3">
        <f t="shared" si="60"/>
        <v>0</v>
      </c>
      <c r="R236" s="3">
        <f>IF(AND($K236=1,AND(对接源_01水果!$X236="公司筐",N(对接源_01水果!$U236)&lt;&gt;0)),1,0)</f>
        <v>0</v>
      </c>
      <c r="S236" s="3">
        <f t="shared" si="61"/>
        <v>0</v>
      </c>
      <c r="T236" s="3">
        <f>IF(AND($K236=1,AND(对接源_01水果!$X236="公司筐",N(对接源_01水果!$V236)&lt;&gt;0)),1,0)</f>
        <v>1</v>
      </c>
      <c r="U236" s="3">
        <f t="shared" si="62"/>
        <v>8</v>
      </c>
      <c r="V236" s="3">
        <f>IF(AND($L236=1,AND(对接源_01水果!$X236="自备筐",N(对接源_01水果!$V236)&lt;&gt;0)),1,0)</f>
        <v>0</v>
      </c>
      <c r="W236" s="3">
        <f t="shared" si="63"/>
        <v>8</v>
      </c>
      <c r="X236" s="3">
        <f>IF(AND($L236=1,AND(对接源_01水果!$X236="自备筐",N(对接源_01水果!$T236)&lt;&gt;0)),1,0)</f>
        <v>0</v>
      </c>
      <c r="Y236" s="3">
        <f t="shared" si="64"/>
        <v>0</v>
      </c>
      <c r="Z236" s="3">
        <f>IF(AND($M236=1,对接源_01水果!$D236="原料入库"),1,0)</f>
        <v>0</v>
      </c>
      <c r="AA236" s="3">
        <f t="shared" si="65"/>
        <v>15</v>
      </c>
      <c r="AB236" s="3">
        <f>IF(AND($M236=1,LEFT(对接源_01水果!$D236,4)="原料出库"),1,0)</f>
        <v>0</v>
      </c>
      <c r="AC236" s="3">
        <f t="shared" si="66"/>
        <v>0</v>
      </c>
      <c r="AD236" s="3">
        <f>IF(AND($M236=1,LEFT(对接源_01水果!$D236,4)="成品出库"),1,0)</f>
        <v>0</v>
      </c>
      <c r="AE236" s="3">
        <f t="shared" si="67"/>
        <v>0</v>
      </c>
      <c r="AF236" s="3">
        <f>IF(AND($N236=1,AND(LEFT(对接源_01水果!$D236,4)="包装物料",N(对接源_01水果!$K236)&lt;&gt;0)),1,0)</f>
        <v>0</v>
      </c>
      <c r="AG236" s="3">
        <f t="shared" si="68"/>
        <v>0</v>
      </c>
      <c r="AH236" s="3">
        <f>IF(AND($N236=1,AND(对接源_01水果!$D236="周转筐－销售出库",N(对接源_01水果!$K236)&lt;&gt;0)),1,0)</f>
        <v>0</v>
      </c>
      <c r="AI236" s="3">
        <f t="shared" si="69"/>
        <v>0</v>
      </c>
      <c r="AJ236" s="7"/>
      <c r="AL236" s="3">
        <f>IF(OR($AL$1="",对接源_01水果!$Y236="",对接源_01水果!$Y236&lt;&gt;$AL$1,对接源_01水果!$B236="",N(对接源_01水果!$AJ236)&lt;=0),0,IF(OR(N(对接源_01水果!$B236)&lt;$AL$2,N(对接源_01水果!$B236)&gt;$AL$3),0,1))</f>
        <v>0</v>
      </c>
      <c r="AM236" s="3">
        <f t="shared" si="70"/>
        <v>0</v>
      </c>
      <c r="AN236" s="3" t="str">
        <f>IF(对接源_01水果!$AC236="","",对接源_01水果!$AC236)</f>
        <v/>
      </c>
      <c r="AO236" s="3">
        <f t="shared" si="71"/>
        <v>0</v>
      </c>
      <c r="AP236" s="3">
        <f t="shared" si="72"/>
        <v>0</v>
      </c>
      <c r="AR236">
        <f t="shared" si="74"/>
        <v>0</v>
      </c>
      <c r="AS236">
        <f t="shared" si="75"/>
        <v>0</v>
      </c>
    </row>
    <row r="237" ht="14.25" customHeight="1" spans="1:45">
      <c r="A237" s="3" t="str">
        <f>IF(对接源_01水果!$C237="","",对接源_01水果!$C237)</f>
        <v>王灵云</v>
      </c>
      <c r="B237" s="3">
        <f t="shared" si="57"/>
        <v>0</v>
      </c>
      <c r="C237" s="3">
        <f t="shared" si="58"/>
        <v>13</v>
      </c>
      <c r="E237" s="3" t="str">
        <f t="shared" si="59"/>
        <v/>
      </c>
      <c r="K237" s="3">
        <f>IF(OR($K$1="",对接源_01水果!$C237="",对接源_01水果!$C237&lt;&gt;$K$1,对接源_01水果!$B237=""),0,IF(OR(N(对接源_01水果!$B237)&lt;$K$2,N(对接源_01水果!$B237)&gt;$K$3),0,1))</f>
        <v>1</v>
      </c>
      <c r="L237" s="3">
        <f>IF(OR($L$1="",对接源_01水果!$C237="",对接源_01水果!$C237&lt;&gt;$L$1,对接源_01水果!$B237=""),0,IF(OR(N(对接源_01水果!$B237)&lt;$L$2,N(对接源_01水果!$B237)&gt;$L$3),0,1))</f>
        <v>0</v>
      </c>
      <c r="M237" s="3">
        <f>IF(OR($M$1="",对接源_01水果!$C237="",对接源_01水果!$C237&lt;&gt;$M$1,对接源_01水果!$B237=""),0,IF(OR(N(对接源_01水果!$B237)&lt;$M$2,N(对接源_01水果!$B237)&gt;$M$3),0,1))</f>
        <v>0</v>
      </c>
      <c r="N237" s="3">
        <f>IF(OR($N$1="",对接源_01水果!$C237="",对接源_01水果!$C237&lt;&gt;$N$1,对接源_01水果!$B237=""),0,IF(OR(N(对接源_01水果!$B237)&lt;$N$2,N(对接源_01水果!$B237)&gt;$N$3),0,1))</f>
        <v>0</v>
      </c>
      <c r="P237" s="3">
        <f>IF(AND($K237=1,AND(对接源_01水果!$X237="公司筐",N(对接源_01水果!$T237)&lt;&gt;0)),1,0)</f>
        <v>0</v>
      </c>
      <c r="Q237" s="3">
        <f t="shared" si="60"/>
        <v>0</v>
      </c>
      <c r="R237" s="3">
        <f>IF(AND($K237=1,AND(对接源_01水果!$X237="公司筐",N(对接源_01水果!$U237)&lt;&gt;0)),1,0)</f>
        <v>0</v>
      </c>
      <c r="S237" s="3">
        <f t="shared" si="61"/>
        <v>0</v>
      </c>
      <c r="T237" s="3">
        <f>IF(AND($K237=1,AND(对接源_01水果!$X237="公司筐",N(对接源_01水果!$V237)&lt;&gt;0)),1,0)</f>
        <v>1</v>
      </c>
      <c r="U237" s="3">
        <f t="shared" si="62"/>
        <v>9</v>
      </c>
      <c r="V237" s="3">
        <f>IF(AND($L237=1,AND(对接源_01水果!$X237="自备筐",N(对接源_01水果!$V237)&lt;&gt;0)),1,0)</f>
        <v>0</v>
      </c>
      <c r="W237" s="3">
        <f t="shared" si="63"/>
        <v>8</v>
      </c>
      <c r="X237" s="3">
        <f>IF(AND($L237=1,AND(对接源_01水果!$X237="自备筐",N(对接源_01水果!$T237)&lt;&gt;0)),1,0)</f>
        <v>0</v>
      </c>
      <c r="Y237" s="3">
        <f t="shared" si="64"/>
        <v>0</v>
      </c>
      <c r="Z237" s="3">
        <f>IF(AND($M237=1,对接源_01水果!$D237="原料入库"),1,0)</f>
        <v>0</v>
      </c>
      <c r="AA237" s="3">
        <f t="shared" si="65"/>
        <v>15</v>
      </c>
      <c r="AB237" s="3">
        <f>IF(AND($M237=1,LEFT(对接源_01水果!$D237,4)="原料出库"),1,0)</f>
        <v>0</v>
      </c>
      <c r="AC237" s="3">
        <f t="shared" si="66"/>
        <v>0</v>
      </c>
      <c r="AD237" s="3">
        <f>IF(AND($M237=1,LEFT(对接源_01水果!$D237,4)="成品出库"),1,0)</f>
        <v>0</v>
      </c>
      <c r="AE237" s="3">
        <f t="shared" si="67"/>
        <v>0</v>
      </c>
      <c r="AF237" s="3">
        <f>IF(AND($N237=1,AND(LEFT(对接源_01水果!$D237,4)="包装物料",N(对接源_01水果!$K237)&lt;&gt;0)),1,0)</f>
        <v>0</v>
      </c>
      <c r="AG237" s="3">
        <f t="shared" si="68"/>
        <v>0</v>
      </c>
      <c r="AH237" s="3">
        <f>IF(AND($N237=1,AND(对接源_01水果!$D237="周转筐－销售出库",N(对接源_01水果!$K237)&lt;&gt;0)),1,0)</f>
        <v>0</v>
      </c>
      <c r="AI237" s="3">
        <f t="shared" si="69"/>
        <v>0</v>
      </c>
      <c r="AJ237" s="7"/>
      <c r="AL237" s="3">
        <f>IF(OR($AL$1="",对接源_01水果!$Y237="",对接源_01水果!$Y237&lt;&gt;$AL$1,对接源_01水果!$B237="",N(对接源_01水果!$AJ237)&lt;=0),0,IF(OR(N(对接源_01水果!$B237)&lt;$AL$2,N(对接源_01水果!$B237)&gt;$AL$3),0,1))</f>
        <v>0</v>
      </c>
      <c r="AM237" s="3">
        <f t="shared" si="70"/>
        <v>0</v>
      </c>
      <c r="AN237" s="3" t="str">
        <f>IF(对接源_01水果!$AC237="","",对接源_01水果!$AC237)</f>
        <v/>
      </c>
      <c r="AO237" s="3">
        <f t="shared" si="71"/>
        <v>0</v>
      </c>
      <c r="AP237" s="3">
        <f t="shared" si="72"/>
        <v>0</v>
      </c>
      <c r="AR237">
        <f t="shared" si="74"/>
        <v>0</v>
      </c>
      <c r="AS237">
        <f t="shared" si="75"/>
        <v>0</v>
      </c>
    </row>
    <row r="238" ht="14.25" customHeight="1" spans="1:45">
      <c r="A238" s="3" t="str">
        <f>IF(对接源_01水果!$C238="","",对接源_01水果!$C238)</f>
        <v>吐尔洪</v>
      </c>
      <c r="B238" s="3">
        <f t="shared" si="57"/>
        <v>0</v>
      </c>
      <c r="C238" s="3">
        <f t="shared" si="58"/>
        <v>13</v>
      </c>
      <c r="E238" s="3" t="str">
        <f t="shared" si="59"/>
        <v/>
      </c>
      <c r="K238" s="3">
        <f>IF(OR($K$1="",对接源_01水果!$C238="",对接源_01水果!$C238&lt;&gt;$K$1,对接源_01水果!$B238=""),0,IF(OR(N(对接源_01水果!$B238)&lt;$K$2,N(对接源_01水果!$B238)&gt;$K$3),0,1))</f>
        <v>0</v>
      </c>
      <c r="L238" s="3">
        <f>IF(OR($L$1="",对接源_01水果!$C238="",对接源_01水果!$C238&lt;&gt;$L$1,对接源_01水果!$B238=""),0,IF(OR(N(对接源_01水果!$B238)&lt;$L$2,N(对接源_01水果!$B238)&gt;$L$3),0,1))</f>
        <v>0</v>
      </c>
      <c r="M238" s="3">
        <f>IF(OR($M$1="",对接源_01水果!$C238="",对接源_01水果!$C238&lt;&gt;$M$1,对接源_01水果!$B238=""),0,IF(OR(N(对接源_01水果!$B238)&lt;$M$2,N(对接源_01水果!$B238)&gt;$M$3),0,1))</f>
        <v>1</v>
      </c>
      <c r="N238" s="3">
        <f>IF(OR($N$1="",对接源_01水果!$C238="",对接源_01水果!$C238&lt;&gt;$N$1,对接源_01水果!$B238=""),0,IF(OR(N(对接源_01水果!$B238)&lt;$N$2,N(对接源_01水果!$B238)&gt;$N$3),0,1))</f>
        <v>1</v>
      </c>
      <c r="P238" s="3">
        <f>IF(AND($K238=1,AND(对接源_01水果!$X238="公司筐",N(对接源_01水果!$T238)&lt;&gt;0)),1,0)</f>
        <v>0</v>
      </c>
      <c r="Q238" s="3">
        <f t="shared" si="60"/>
        <v>0</v>
      </c>
      <c r="R238" s="3">
        <f>IF(AND($K238=1,AND(对接源_01水果!$X238="公司筐",N(对接源_01水果!$U238)&lt;&gt;0)),1,0)</f>
        <v>0</v>
      </c>
      <c r="S238" s="3">
        <f t="shared" si="61"/>
        <v>0</v>
      </c>
      <c r="T238" s="3">
        <f>IF(AND($K238=1,AND(对接源_01水果!$X238="公司筐",N(对接源_01水果!$V238)&lt;&gt;0)),1,0)</f>
        <v>0</v>
      </c>
      <c r="U238" s="3">
        <f t="shared" si="62"/>
        <v>9</v>
      </c>
      <c r="V238" s="3">
        <f>IF(AND($L238=1,AND(对接源_01水果!$X238="自备筐",N(对接源_01水果!$V238)&lt;&gt;0)),1,0)</f>
        <v>0</v>
      </c>
      <c r="W238" s="3">
        <f t="shared" si="63"/>
        <v>8</v>
      </c>
      <c r="X238" s="3">
        <f>IF(AND($L238=1,AND(对接源_01水果!$X238="自备筐",N(对接源_01水果!$T238)&lt;&gt;0)),1,0)</f>
        <v>0</v>
      </c>
      <c r="Y238" s="3">
        <f t="shared" si="64"/>
        <v>0</v>
      </c>
      <c r="Z238" s="3">
        <f>IF(AND($M238=1,对接源_01水果!$D238="原料入库"),1,0)</f>
        <v>1</v>
      </c>
      <c r="AA238" s="3">
        <f t="shared" si="65"/>
        <v>16</v>
      </c>
      <c r="AB238" s="3">
        <f>IF(AND($M238=1,LEFT(对接源_01水果!$D238,4)="原料出库"),1,0)</f>
        <v>0</v>
      </c>
      <c r="AC238" s="3">
        <f t="shared" si="66"/>
        <v>0</v>
      </c>
      <c r="AD238" s="3">
        <f>IF(AND($M238=1,LEFT(对接源_01水果!$D238,4)="成品出库"),1,0)</f>
        <v>0</v>
      </c>
      <c r="AE238" s="3">
        <f t="shared" si="67"/>
        <v>0</v>
      </c>
      <c r="AF238" s="3">
        <f>IF(AND($N238=1,AND(LEFT(对接源_01水果!$D238,4)="包装物料",N(对接源_01水果!$K238)&lt;&gt;0)),1,0)</f>
        <v>0</v>
      </c>
      <c r="AG238" s="3">
        <f t="shared" si="68"/>
        <v>0</v>
      </c>
      <c r="AH238" s="3">
        <f>IF(AND($N238=1,AND(对接源_01水果!$D238="周转筐－销售出库",N(对接源_01水果!$K238)&lt;&gt;0)),1,0)</f>
        <v>0</v>
      </c>
      <c r="AI238" s="3">
        <f t="shared" si="69"/>
        <v>0</v>
      </c>
      <c r="AJ238" s="7"/>
      <c r="AL238" s="3">
        <f>IF(OR($AL$1="",对接源_01水果!$Y238="",对接源_01水果!$Y238&lt;&gt;$AL$1,对接源_01水果!$B238="",N(对接源_01水果!$AJ238)&lt;=0),0,IF(OR(N(对接源_01水果!$B238)&lt;$AL$2,N(对接源_01水果!$B238)&gt;$AL$3),0,1))</f>
        <v>0</v>
      </c>
      <c r="AM238" s="3">
        <f t="shared" si="70"/>
        <v>0</v>
      </c>
      <c r="AN238" s="3" t="str">
        <f>IF(对接源_01水果!$AC238="","",对接源_01水果!$AC238)</f>
        <v/>
      </c>
      <c r="AO238" s="3">
        <f t="shared" si="71"/>
        <v>0</v>
      </c>
      <c r="AP238" s="3">
        <f t="shared" si="72"/>
        <v>0</v>
      </c>
      <c r="AR238">
        <f t="shared" si="74"/>
        <v>0</v>
      </c>
      <c r="AS238">
        <f t="shared" si="75"/>
        <v>0</v>
      </c>
    </row>
    <row r="239" ht="14.25" customHeight="1" spans="1:45">
      <c r="A239" s="3" t="str">
        <f>IF(对接源_01水果!$C239="","",对接源_01水果!$C239)</f>
        <v>吐尔洪</v>
      </c>
      <c r="B239" s="3">
        <f t="shared" si="57"/>
        <v>0</v>
      </c>
      <c r="C239" s="3">
        <f t="shared" si="58"/>
        <v>13</v>
      </c>
      <c r="E239" s="3" t="str">
        <f t="shared" si="59"/>
        <v/>
      </c>
      <c r="K239" s="3">
        <f>IF(OR($K$1="",对接源_01水果!$C239="",对接源_01水果!$C239&lt;&gt;$K$1,对接源_01水果!$B239=""),0,IF(OR(N(对接源_01水果!$B239)&lt;$K$2,N(对接源_01水果!$B239)&gt;$K$3),0,1))</f>
        <v>0</v>
      </c>
      <c r="L239" s="3">
        <f>IF(OR($L$1="",对接源_01水果!$C239="",对接源_01水果!$C239&lt;&gt;$L$1,对接源_01水果!$B239=""),0,IF(OR(N(对接源_01水果!$B239)&lt;$L$2,N(对接源_01水果!$B239)&gt;$L$3),0,1))</f>
        <v>0</v>
      </c>
      <c r="M239" s="3">
        <f>IF(OR($M$1="",对接源_01水果!$C239="",对接源_01水果!$C239&lt;&gt;$M$1,对接源_01水果!$B239=""),0,IF(OR(N(对接源_01水果!$B239)&lt;$M$2,N(对接源_01水果!$B239)&gt;$M$3),0,1))</f>
        <v>1</v>
      </c>
      <c r="N239" s="3">
        <f>IF(OR($N$1="",对接源_01水果!$C239="",对接源_01水果!$C239&lt;&gt;$N$1,对接源_01水果!$B239=""),0,IF(OR(N(对接源_01水果!$B239)&lt;$N$2,N(对接源_01水果!$B239)&gt;$N$3),0,1))</f>
        <v>1</v>
      </c>
      <c r="P239" s="3">
        <f>IF(AND($K239=1,AND(对接源_01水果!$X239="公司筐",N(对接源_01水果!$T239)&lt;&gt;0)),1,0)</f>
        <v>0</v>
      </c>
      <c r="Q239" s="3">
        <f t="shared" si="60"/>
        <v>0</v>
      </c>
      <c r="R239" s="3">
        <f>IF(AND($K239=1,AND(对接源_01水果!$X239="公司筐",N(对接源_01水果!$U239)&lt;&gt;0)),1,0)</f>
        <v>0</v>
      </c>
      <c r="S239" s="3">
        <f t="shared" si="61"/>
        <v>0</v>
      </c>
      <c r="T239" s="3">
        <f>IF(AND($K239=1,AND(对接源_01水果!$X239="公司筐",N(对接源_01水果!$V239)&lt;&gt;0)),1,0)</f>
        <v>0</v>
      </c>
      <c r="U239" s="3">
        <f t="shared" si="62"/>
        <v>9</v>
      </c>
      <c r="V239" s="3">
        <f>IF(AND($L239=1,AND(对接源_01水果!$X239="自备筐",N(对接源_01水果!$V239)&lt;&gt;0)),1,0)</f>
        <v>0</v>
      </c>
      <c r="W239" s="3">
        <f t="shared" si="63"/>
        <v>8</v>
      </c>
      <c r="X239" s="3">
        <f>IF(AND($L239=1,AND(对接源_01水果!$X239="自备筐",N(对接源_01水果!$T239)&lt;&gt;0)),1,0)</f>
        <v>0</v>
      </c>
      <c r="Y239" s="3">
        <f t="shared" si="64"/>
        <v>0</v>
      </c>
      <c r="Z239" s="3">
        <f>IF(AND($M239=1,对接源_01水果!$D239="原料入库"),1,0)</f>
        <v>1</v>
      </c>
      <c r="AA239" s="3">
        <f t="shared" si="65"/>
        <v>17</v>
      </c>
      <c r="AB239" s="3">
        <f>IF(AND($M239=1,LEFT(对接源_01水果!$D239,4)="原料出库"),1,0)</f>
        <v>0</v>
      </c>
      <c r="AC239" s="3">
        <f t="shared" si="66"/>
        <v>0</v>
      </c>
      <c r="AD239" s="3">
        <f>IF(AND($M239=1,LEFT(对接源_01水果!$D239,4)="成品出库"),1,0)</f>
        <v>0</v>
      </c>
      <c r="AE239" s="3">
        <f t="shared" si="67"/>
        <v>0</v>
      </c>
      <c r="AF239" s="3">
        <f>IF(AND($N239=1,AND(LEFT(对接源_01水果!$D239,4)="包装物料",N(对接源_01水果!$K239)&lt;&gt;0)),1,0)</f>
        <v>0</v>
      </c>
      <c r="AG239" s="3">
        <f t="shared" si="68"/>
        <v>0</v>
      </c>
      <c r="AH239" s="3">
        <f>IF(AND($N239=1,AND(对接源_01水果!$D239="周转筐－销售出库",N(对接源_01水果!$K239)&lt;&gt;0)),1,0)</f>
        <v>0</v>
      </c>
      <c r="AI239" s="3">
        <f t="shared" si="69"/>
        <v>0</v>
      </c>
      <c r="AJ239" s="7"/>
      <c r="AL239" s="3">
        <f>IF(OR($AL$1="",对接源_01水果!$Y239="",对接源_01水果!$Y239&lt;&gt;$AL$1,对接源_01水果!$B239="",N(对接源_01水果!$AJ239)&lt;=0),0,IF(OR(N(对接源_01水果!$B239)&lt;$AL$2,N(对接源_01水果!$B239)&gt;$AL$3),0,1))</f>
        <v>0</v>
      </c>
      <c r="AM239" s="3">
        <f t="shared" si="70"/>
        <v>0</v>
      </c>
      <c r="AN239" s="3" t="str">
        <f>IF(对接源_01水果!$AC239="","",对接源_01水果!$AC239)</f>
        <v/>
      </c>
      <c r="AO239" s="3">
        <f t="shared" si="71"/>
        <v>0</v>
      </c>
      <c r="AP239" s="3">
        <f t="shared" si="72"/>
        <v>0</v>
      </c>
      <c r="AR239">
        <f t="shared" si="74"/>
        <v>0</v>
      </c>
      <c r="AS239">
        <f t="shared" si="75"/>
        <v>0</v>
      </c>
    </row>
    <row r="240" ht="14.25" customHeight="1" spans="1:45">
      <c r="A240" s="3" t="str">
        <f>IF(对接源_01水果!$C240="","",对接源_01水果!$C240)</f>
        <v>吐尔洪</v>
      </c>
      <c r="B240" s="3">
        <f t="shared" si="57"/>
        <v>0</v>
      </c>
      <c r="C240" s="3">
        <f t="shared" si="58"/>
        <v>13</v>
      </c>
      <c r="E240" s="3" t="str">
        <f t="shared" si="59"/>
        <v/>
      </c>
      <c r="K240" s="3">
        <f>IF(OR($K$1="",对接源_01水果!$C240="",对接源_01水果!$C240&lt;&gt;$K$1,对接源_01水果!$B240=""),0,IF(OR(N(对接源_01水果!$B240)&lt;$K$2,N(对接源_01水果!$B240)&gt;$K$3),0,1))</f>
        <v>0</v>
      </c>
      <c r="L240" s="3">
        <f>IF(OR($L$1="",对接源_01水果!$C240="",对接源_01水果!$C240&lt;&gt;$L$1,对接源_01水果!$B240=""),0,IF(OR(N(对接源_01水果!$B240)&lt;$L$2,N(对接源_01水果!$B240)&gt;$L$3),0,1))</f>
        <v>0</v>
      </c>
      <c r="M240" s="3">
        <f>IF(OR($M$1="",对接源_01水果!$C240="",对接源_01水果!$C240&lt;&gt;$M$1,对接源_01水果!$B240=""),0,IF(OR(N(对接源_01水果!$B240)&lt;$M$2,N(对接源_01水果!$B240)&gt;$M$3),0,1))</f>
        <v>1</v>
      </c>
      <c r="N240" s="3">
        <f>IF(OR($N$1="",对接源_01水果!$C240="",对接源_01水果!$C240&lt;&gt;$N$1,对接源_01水果!$B240=""),0,IF(OR(N(对接源_01水果!$B240)&lt;$N$2,N(对接源_01水果!$B240)&gt;$N$3),0,1))</f>
        <v>1</v>
      </c>
      <c r="P240" s="3">
        <f>IF(AND($K240=1,AND(对接源_01水果!$X240="公司筐",N(对接源_01水果!$T240)&lt;&gt;0)),1,0)</f>
        <v>0</v>
      </c>
      <c r="Q240" s="3">
        <f t="shared" si="60"/>
        <v>0</v>
      </c>
      <c r="R240" s="3">
        <f>IF(AND($K240=1,AND(对接源_01水果!$X240="公司筐",N(对接源_01水果!$U240)&lt;&gt;0)),1,0)</f>
        <v>0</v>
      </c>
      <c r="S240" s="3">
        <f t="shared" si="61"/>
        <v>0</v>
      </c>
      <c r="T240" s="3">
        <f>IF(AND($K240=1,AND(对接源_01水果!$X240="公司筐",N(对接源_01水果!$V240)&lt;&gt;0)),1,0)</f>
        <v>0</v>
      </c>
      <c r="U240" s="3">
        <f t="shared" si="62"/>
        <v>9</v>
      </c>
      <c r="V240" s="3">
        <f>IF(AND($L240=1,AND(对接源_01水果!$X240="自备筐",N(对接源_01水果!$V240)&lt;&gt;0)),1,0)</f>
        <v>0</v>
      </c>
      <c r="W240" s="3">
        <f t="shared" si="63"/>
        <v>8</v>
      </c>
      <c r="X240" s="3">
        <f>IF(AND($L240=1,AND(对接源_01水果!$X240="自备筐",N(对接源_01水果!$T240)&lt;&gt;0)),1,0)</f>
        <v>0</v>
      </c>
      <c r="Y240" s="3">
        <f t="shared" si="64"/>
        <v>0</v>
      </c>
      <c r="Z240" s="3">
        <f>IF(AND($M240=1,对接源_01水果!$D240="原料入库"),1,0)</f>
        <v>1</v>
      </c>
      <c r="AA240" s="3">
        <f t="shared" si="65"/>
        <v>18</v>
      </c>
      <c r="AB240" s="3">
        <f>IF(AND($M240=1,LEFT(对接源_01水果!$D240,4)="原料出库"),1,0)</f>
        <v>0</v>
      </c>
      <c r="AC240" s="3">
        <f t="shared" si="66"/>
        <v>0</v>
      </c>
      <c r="AD240" s="3">
        <f>IF(AND($M240=1,LEFT(对接源_01水果!$D240,4)="成品出库"),1,0)</f>
        <v>0</v>
      </c>
      <c r="AE240" s="3">
        <f t="shared" si="67"/>
        <v>0</v>
      </c>
      <c r="AF240" s="3">
        <f>IF(AND($N240=1,AND(LEFT(对接源_01水果!$D240,4)="包装物料",N(对接源_01水果!$K240)&lt;&gt;0)),1,0)</f>
        <v>0</v>
      </c>
      <c r="AG240" s="3">
        <f t="shared" si="68"/>
        <v>0</v>
      </c>
      <c r="AH240" s="3">
        <f>IF(AND($N240=1,AND(对接源_01水果!$D240="周转筐－销售出库",N(对接源_01水果!$K240)&lt;&gt;0)),1,0)</f>
        <v>0</v>
      </c>
      <c r="AI240" s="3">
        <f t="shared" si="69"/>
        <v>0</v>
      </c>
      <c r="AJ240" s="7"/>
      <c r="AL240" s="3">
        <f>IF(OR($AL$1="",对接源_01水果!$Y240="",对接源_01水果!$Y240&lt;&gt;$AL$1,对接源_01水果!$B240="",N(对接源_01水果!$AJ240)&lt;=0),0,IF(OR(N(对接源_01水果!$B240)&lt;$AL$2,N(对接源_01水果!$B240)&gt;$AL$3),0,1))</f>
        <v>0</v>
      </c>
      <c r="AM240" s="3">
        <f t="shared" si="70"/>
        <v>0</v>
      </c>
      <c r="AN240" s="3" t="str">
        <f>IF(对接源_01水果!$AC240="","",对接源_01水果!$AC240)</f>
        <v/>
      </c>
      <c r="AO240" s="3">
        <f t="shared" si="71"/>
        <v>0</v>
      </c>
      <c r="AP240" s="3">
        <f t="shared" si="72"/>
        <v>0</v>
      </c>
      <c r="AR240">
        <f t="shared" si="74"/>
        <v>0</v>
      </c>
      <c r="AS240">
        <f t="shared" si="75"/>
        <v>0</v>
      </c>
    </row>
    <row r="241" ht="14.25" customHeight="1" spans="1:45">
      <c r="A241" s="3" t="str">
        <f>IF(对接源_01水果!$C241="","",对接源_01水果!$C241)</f>
        <v>马锦祥</v>
      </c>
      <c r="B241" s="3">
        <f t="shared" si="57"/>
        <v>0</v>
      </c>
      <c r="C241" s="3">
        <f t="shared" si="58"/>
        <v>13</v>
      </c>
      <c r="E241" s="3" t="str">
        <f t="shared" si="59"/>
        <v/>
      </c>
      <c r="K241" s="3">
        <f>IF(OR($K$1="",对接源_01水果!$C241="",对接源_01水果!$C241&lt;&gt;$K$1,对接源_01水果!$B241=""),0,IF(OR(N(对接源_01水果!$B241)&lt;$K$2,N(对接源_01水果!$B241)&gt;$K$3),0,1))</f>
        <v>0</v>
      </c>
      <c r="L241" s="3">
        <f>IF(OR($L$1="",对接源_01水果!$C241="",对接源_01水果!$C241&lt;&gt;$L$1,对接源_01水果!$B241=""),0,IF(OR(N(对接源_01水果!$B241)&lt;$L$2,N(对接源_01水果!$B241)&gt;$L$3),0,1))</f>
        <v>0</v>
      </c>
      <c r="M241" s="3">
        <f>IF(OR($M$1="",对接源_01水果!$C241="",对接源_01水果!$C241&lt;&gt;$M$1,对接源_01水果!$B241=""),0,IF(OR(N(对接源_01水果!$B241)&lt;$M$2,N(对接源_01水果!$B241)&gt;$M$3),0,1))</f>
        <v>0</v>
      </c>
      <c r="N241" s="3">
        <f>IF(OR($N$1="",对接源_01水果!$C241="",对接源_01水果!$C241&lt;&gt;$N$1,对接源_01水果!$B241=""),0,IF(OR(N(对接源_01水果!$B241)&lt;$N$2,N(对接源_01水果!$B241)&gt;$N$3),0,1))</f>
        <v>0</v>
      </c>
      <c r="P241" s="3">
        <f>IF(AND($K241=1,AND(对接源_01水果!$X241="公司筐",N(对接源_01水果!$T241)&lt;&gt;0)),1,0)</f>
        <v>0</v>
      </c>
      <c r="Q241" s="3">
        <f t="shared" si="60"/>
        <v>0</v>
      </c>
      <c r="R241" s="3">
        <f>IF(AND($K241=1,AND(对接源_01水果!$X241="公司筐",N(对接源_01水果!$U241)&lt;&gt;0)),1,0)</f>
        <v>0</v>
      </c>
      <c r="S241" s="3">
        <f t="shared" si="61"/>
        <v>0</v>
      </c>
      <c r="T241" s="3">
        <f>IF(AND($K241=1,AND(对接源_01水果!$X241="公司筐",N(对接源_01水果!$V241)&lt;&gt;0)),1,0)</f>
        <v>0</v>
      </c>
      <c r="U241" s="3">
        <f t="shared" si="62"/>
        <v>9</v>
      </c>
      <c r="V241" s="3">
        <f>IF(AND($L241=1,AND(对接源_01水果!$X241="自备筐",N(对接源_01水果!$V241)&lt;&gt;0)),1,0)</f>
        <v>0</v>
      </c>
      <c r="W241" s="3">
        <f t="shared" si="63"/>
        <v>8</v>
      </c>
      <c r="X241" s="3">
        <f>IF(AND($L241=1,AND(对接源_01水果!$X241="自备筐",N(对接源_01水果!$T241)&lt;&gt;0)),1,0)</f>
        <v>0</v>
      </c>
      <c r="Y241" s="3">
        <f t="shared" si="64"/>
        <v>0</v>
      </c>
      <c r="Z241" s="3">
        <f>IF(AND($M241=1,对接源_01水果!$D241="原料入库"),1,0)</f>
        <v>0</v>
      </c>
      <c r="AA241" s="3">
        <f t="shared" si="65"/>
        <v>18</v>
      </c>
      <c r="AB241" s="3">
        <f>IF(AND($M241=1,LEFT(对接源_01水果!$D241,4)="原料出库"),1,0)</f>
        <v>0</v>
      </c>
      <c r="AC241" s="3">
        <f t="shared" si="66"/>
        <v>0</v>
      </c>
      <c r="AD241" s="3">
        <f>IF(AND($M241=1,LEFT(对接源_01水果!$D241,4)="成品出库"),1,0)</f>
        <v>0</v>
      </c>
      <c r="AE241" s="3">
        <f t="shared" si="67"/>
        <v>0</v>
      </c>
      <c r="AF241" s="3">
        <f>IF(AND($N241=1,AND(LEFT(对接源_01水果!$D241,4)="包装物料",N(对接源_01水果!$K241)&lt;&gt;0)),1,0)</f>
        <v>0</v>
      </c>
      <c r="AG241" s="3">
        <f t="shared" si="68"/>
        <v>0</v>
      </c>
      <c r="AH241" s="3">
        <f>IF(AND($N241=1,AND(对接源_01水果!$D241="周转筐－销售出库",N(对接源_01水果!$K241)&lt;&gt;0)),1,0)</f>
        <v>0</v>
      </c>
      <c r="AI241" s="3">
        <f t="shared" si="69"/>
        <v>0</v>
      </c>
      <c r="AJ241" s="7"/>
      <c r="AL241" s="3">
        <f>IF(OR($AL$1="",对接源_01水果!$Y241="",对接源_01水果!$Y241&lt;&gt;$AL$1,对接源_01水果!$B241="",N(对接源_01水果!$AJ241)&lt;=0),0,IF(OR(N(对接源_01水果!$B241)&lt;$AL$2,N(对接源_01水果!$B241)&gt;$AL$3),0,1))</f>
        <v>0</v>
      </c>
      <c r="AM241" s="3">
        <f t="shared" si="70"/>
        <v>0</v>
      </c>
      <c r="AN241" s="3" t="str">
        <f>IF(对接源_01水果!$AC241="","",对接源_01水果!$AC241)</f>
        <v/>
      </c>
      <c r="AO241" s="3">
        <f t="shared" si="71"/>
        <v>0</v>
      </c>
      <c r="AP241" s="3">
        <f t="shared" si="72"/>
        <v>0</v>
      </c>
      <c r="AR241">
        <f t="shared" si="74"/>
        <v>0</v>
      </c>
      <c r="AS241">
        <f t="shared" si="75"/>
        <v>0</v>
      </c>
    </row>
    <row r="242" ht="14.25" customHeight="1" spans="1:45">
      <c r="A242" s="3" t="str">
        <f>IF(对接源_01水果!$C242="","",对接源_01水果!$C242)</f>
        <v>马锦祥</v>
      </c>
      <c r="B242" s="3">
        <f t="shared" si="57"/>
        <v>0</v>
      </c>
      <c r="C242" s="3">
        <f t="shared" si="58"/>
        <v>13</v>
      </c>
      <c r="E242" s="3" t="str">
        <f t="shared" si="59"/>
        <v/>
      </c>
      <c r="K242" s="3">
        <f>IF(OR($K$1="",对接源_01水果!$C242="",对接源_01水果!$C242&lt;&gt;$K$1,对接源_01水果!$B242=""),0,IF(OR(N(对接源_01水果!$B242)&lt;$K$2,N(对接源_01水果!$B242)&gt;$K$3),0,1))</f>
        <v>0</v>
      </c>
      <c r="L242" s="3">
        <f>IF(OR($L$1="",对接源_01水果!$C242="",对接源_01水果!$C242&lt;&gt;$L$1,对接源_01水果!$B242=""),0,IF(OR(N(对接源_01水果!$B242)&lt;$L$2,N(对接源_01水果!$B242)&gt;$L$3),0,1))</f>
        <v>0</v>
      </c>
      <c r="M242" s="3">
        <f>IF(OR($M$1="",对接源_01水果!$C242="",对接源_01水果!$C242&lt;&gt;$M$1,对接源_01水果!$B242=""),0,IF(OR(N(对接源_01水果!$B242)&lt;$M$2,N(对接源_01水果!$B242)&gt;$M$3),0,1))</f>
        <v>0</v>
      </c>
      <c r="N242" s="3">
        <f>IF(OR($N$1="",对接源_01水果!$C242="",对接源_01水果!$C242&lt;&gt;$N$1,对接源_01水果!$B242=""),0,IF(OR(N(对接源_01水果!$B242)&lt;$N$2,N(对接源_01水果!$B242)&gt;$N$3),0,1))</f>
        <v>0</v>
      </c>
      <c r="P242" s="3">
        <f>IF(AND($K242=1,AND(对接源_01水果!$X242="公司筐",N(对接源_01水果!$T242)&lt;&gt;0)),1,0)</f>
        <v>0</v>
      </c>
      <c r="Q242" s="3">
        <f t="shared" si="60"/>
        <v>0</v>
      </c>
      <c r="R242" s="3">
        <f>IF(AND($K242=1,AND(对接源_01水果!$X242="公司筐",N(对接源_01水果!$U242)&lt;&gt;0)),1,0)</f>
        <v>0</v>
      </c>
      <c r="S242" s="3">
        <f t="shared" si="61"/>
        <v>0</v>
      </c>
      <c r="T242" s="3">
        <f>IF(AND($K242=1,AND(对接源_01水果!$X242="公司筐",N(对接源_01水果!$V242)&lt;&gt;0)),1,0)</f>
        <v>0</v>
      </c>
      <c r="U242" s="3">
        <f t="shared" si="62"/>
        <v>9</v>
      </c>
      <c r="V242" s="3">
        <f>IF(AND($L242=1,AND(对接源_01水果!$X242="自备筐",N(对接源_01水果!$V242)&lt;&gt;0)),1,0)</f>
        <v>0</v>
      </c>
      <c r="W242" s="3">
        <f t="shared" si="63"/>
        <v>8</v>
      </c>
      <c r="X242" s="3">
        <f>IF(AND($L242=1,AND(对接源_01水果!$X242="自备筐",N(对接源_01水果!$T242)&lt;&gt;0)),1,0)</f>
        <v>0</v>
      </c>
      <c r="Y242" s="3">
        <f t="shared" si="64"/>
        <v>0</v>
      </c>
      <c r="Z242" s="3">
        <f>IF(AND($M242=1,对接源_01水果!$D242="原料入库"),1,0)</f>
        <v>0</v>
      </c>
      <c r="AA242" s="3">
        <f t="shared" si="65"/>
        <v>18</v>
      </c>
      <c r="AB242" s="3">
        <f>IF(AND($M242=1,LEFT(对接源_01水果!$D242,4)="原料出库"),1,0)</f>
        <v>0</v>
      </c>
      <c r="AC242" s="3">
        <f t="shared" si="66"/>
        <v>0</v>
      </c>
      <c r="AD242" s="3">
        <f>IF(AND($M242=1,LEFT(对接源_01水果!$D242,4)="成品出库"),1,0)</f>
        <v>0</v>
      </c>
      <c r="AE242" s="3">
        <f t="shared" si="67"/>
        <v>0</v>
      </c>
      <c r="AF242" s="3">
        <f>IF(AND($N242=1,AND(LEFT(对接源_01水果!$D242,4)="包装物料",N(对接源_01水果!$K242)&lt;&gt;0)),1,0)</f>
        <v>0</v>
      </c>
      <c r="AG242" s="3">
        <f t="shared" si="68"/>
        <v>0</v>
      </c>
      <c r="AH242" s="3">
        <f>IF(AND($N242=1,AND(对接源_01水果!$D242="周转筐－销售出库",N(对接源_01水果!$K242)&lt;&gt;0)),1,0)</f>
        <v>0</v>
      </c>
      <c r="AI242" s="3">
        <f t="shared" si="69"/>
        <v>0</v>
      </c>
      <c r="AJ242" s="7"/>
      <c r="AL242" s="3">
        <f>IF(OR($AL$1="",对接源_01水果!$Y242="",对接源_01水果!$Y242&lt;&gt;$AL$1,对接源_01水果!$B242="",N(对接源_01水果!$AJ242)&lt;=0),0,IF(OR(N(对接源_01水果!$B242)&lt;$AL$2,N(对接源_01水果!$B242)&gt;$AL$3),0,1))</f>
        <v>0</v>
      </c>
      <c r="AM242" s="3">
        <f t="shared" si="70"/>
        <v>0</v>
      </c>
      <c r="AN242" s="3" t="str">
        <f>IF(对接源_01水果!$AC242="","",对接源_01水果!$AC242)</f>
        <v/>
      </c>
      <c r="AO242" s="3">
        <f t="shared" si="71"/>
        <v>0</v>
      </c>
      <c r="AP242" s="3">
        <f t="shared" si="72"/>
        <v>0</v>
      </c>
      <c r="AR242">
        <f t="shared" si="74"/>
        <v>0</v>
      </c>
      <c r="AS242">
        <f t="shared" si="75"/>
        <v>0</v>
      </c>
    </row>
    <row r="243" ht="14.25" customHeight="1" spans="1:45">
      <c r="A243" s="3" t="str">
        <f>IF(对接源_01水果!$C243="","",对接源_01水果!$C243)</f>
        <v>马锦祥</v>
      </c>
      <c r="B243" s="3">
        <f t="shared" si="57"/>
        <v>0</v>
      </c>
      <c r="C243" s="3">
        <f t="shared" si="58"/>
        <v>13</v>
      </c>
      <c r="E243" s="3" t="str">
        <f t="shared" si="59"/>
        <v/>
      </c>
      <c r="K243" s="3">
        <f>IF(OR($K$1="",对接源_01水果!$C243="",对接源_01水果!$C243&lt;&gt;$K$1,对接源_01水果!$B243=""),0,IF(OR(N(对接源_01水果!$B243)&lt;$K$2,N(对接源_01水果!$B243)&gt;$K$3),0,1))</f>
        <v>0</v>
      </c>
      <c r="L243" s="3">
        <f>IF(OR($L$1="",对接源_01水果!$C243="",对接源_01水果!$C243&lt;&gt;$L$1,对接源_01水果!$B243=""),0,IF(OR(N(对接源_01水果!$B243)&lt;$L$2,N(对接源_01水果!$B243)&gt;$L$3),0,1))</f>
        <v>0</v>
      </c>
      <c r="M243" s="3">
        <f>IF(OR($M$1="",对接源_01水果!$C243="",对接源_01水果!$C243&lt;&gt;$M$1,对接源_01水果!$B243=""),0,IF(OR(N(对接源_01水果!$B243)&lt;$M$2,N(对接源_01水果!$B243)&gt;$M$3),0,1))</f>
        <v>0</v>
      </c>
      <c r="N243" s="3">
        <f>IF(OR($N$1="",对接源_01水果!$C243="",对接源_01水果!$C243&lt;&gt;$N$1,对接源_01水果!$B243=""),0,IF(OR(N(对接源_01水果!$B243)&lt;$N$2,N(对接源_01水果!$B243)&gt;$N$3),0,1))</f>
        <v>0</v>
      </c>
      <c r="P243" s="3">
        <f>IF(AND($K243=1,AND(对接源_01水果!$X243="公司筐",N(对接源_01水果!$T243)&lt;&gt;0)),1,0)</f>
        <v>0</v>
      </c>
      <c r="Q243" s="3">
        <f t="shared" si="60"/>
        <v>0</v>
      </c>
      <c r="R243" s="3">
        <f>IF(AND($K243=1,AND(对接源_01水果!$X243="公司筐",N(对接源_01水果!$U243)&lt;&gt;0)),1,0)</f>
        <v>0</v>
      </c>
      <c r="S243" s="3">
        <f t="shared" si="61"/>
        <v>0</v>
      </c>
      <c r="T243" s="3">
        <f>IF(AND($K243=1,AND(对接源_01水果!$X243="公司筐",N(对接源_01水果!$V243)&lt;&gt;0)),1,0)</f>
        <v>0</v>
      </c>
      <c r="U243" s="3">
        <f t="shared" si="62"/>
        <v>9</v>
      </c>
      <c r="V243" s="3">
        <f>IF(AND($L243=1,AND(对接源_01水果!$X243="自备筐",N(对接源_01水果!$V243)&lt;&gt;0)),1,0)</f>
        <v>0</v>
      </c>
      <c r="W243" s="3">
        <f t="shared" si="63"/>
        <v>8</v>
      </c>
      <c r="X243" s="3">
        <f>IF(AND($L243=1,AND(对接源_01水果!$X243="自备筐",N(对接源_01水果!$T243)&lt;&gt;0)),1,0)</f>
        <v>0</v>
      </c>
      <c r="Y243" s="3">
        <f t="shared" si="64"/>
        <v>0</v>
      </c>
      <c r="Z243" s="3">
        <f>IF(AND($M243=1,对接源_01水果!$D243="原料入库"),1,0)</f>
        <v>0</v>
      </c>
      <c r="AA243" s="3">
        <f t="shared" si="65"/>
        <v>18</v>
      </c>
      <c r="AB243" s="3">
        <f>IF(AND($M243=1,LEFT(对接源_01水果!$D243,4)="原料出库"),1,0)</f>
        <v>0</v>
      </c>
      <c r="AC243" s="3">
        <f t="shared" si="66"/>
        <v>0</v>
      </c>
      <c r="AD243" s="3">
        <f>IF(AND($M243=1,LEFT(对接源_01水果!$D243,4)="成品出库"),1,0)</f>
        <v>0</v>
      </c>
      <c r="AE243" s="3">
        <f t="shared" si="67"/>
        <v>0</v>
      </c>
      <c r="AF243" s="3">
        <f>IF(AND($N243=1,AND(LEFT(对接源_01水果!$D243,4)="包装物料",N(对接源_01水果!$K243)&lt;&gt;0)),1,0)</f>
        <v>0</v>
      </c>
      <c r="AG243" s="3">
        <f t="shared" si="68"/>
        <v>0</v>
      </c>
      <c r="AH243" s="3">
        <f>IF(AND($N243=1,AND(对接源_01水果!$D243="周转筐－销售出库",N(对接源_01水果!$K243)&lt;&gt;0)),1,0)</f>
        <v>0</v>
      </c>
      <c r="AI243" s="3">
        <f t="shared" si="69"/>
        <v>0</v>
      </c>
      <c r="AJ243" s="7"/>
      <c r="AL243" s="3">
        <f>IF(OR($AL$1="",对接源_01水果!$Y243="",对接源_01水果!$Y243&lt;&gt;$AL$1,对接源_01水果!$B243="",N(对接源_01水果!$AJ243)&lt;=0),0,IF(OR(N(对接源_01水果!$B243)&lt;$AL$2,N(对接源_01水果!$B243)&gt;$AL$3),0,1))</f>
        <v>0</v>
      </c>
      <c r="AM243" s="3">
        <f t="shared" si="70"/>
        <v>0</v>
      </c>
      <c r="AN243" s="3" t="str">
        <f>IF(对接源_01水果!$AC243="","",对接源_01水果!$AC243)</f>
        <v/>
      </c>
      <c r="AO243" s="3">
        <f t="shared" si="71"/>
        <v>0</v>
      </c>
      <c r="AP243" s="3">
        <f t="shared" si="72"/>
        <v>0</v>
      </c>
      <c r="AR243">
        <f t="shared" si="74"/>
        <v>0</v>
      </c>
      <c r="AS243">
        <f t="shared" si="75"/>
        <v>0</v>
      </c>
    </row>
    <row r="244" ht="14.25" customHeight="1" spans="1:45">
      <c r="A244" s="3" t="str">
        <f>IF(对接源_01水果!$C244="","",对接源_01水果!$C244)</f>
        <v>马锦祥</v>
      </c>
      <c r="B244" s="3">
        <f t="shared" si="57"/>
        <v>0</v>
      </c>
      <c r="C244" s="3">
        <f t="shared" si="58"/>
        <v>13</v>
      </c>
      <c r="E244" s="3" t="str">
        <f t="shared" si="59"/>
        <v/>
      </c>
      <c r="K244" s="3">
        <f>IF(OR($K$1="",对接源_01水果!$C244="",对接源_01水果!$C244&lt;&gt;$K$1,对接源_01水果!$B244=""),0,IF(OR(N(对接源_01水果!$B244)&lt;$K$2,N(对接源_01水果!$B244)&gt;$K$3),0,1))</f>
        <v>0</v>
      </c>
      <c r="L244" s="3">
        <f>IF(OR($L$1="",对接源_01水果!$C244="",对接源_01水果!$C244&lt;&gt;$L$1,对接源_01水果!$B244=""),0,IF(OR(N(对接源_01水果!$B244)&lt;$L$2,N(对接源_01水果!$B244)&gt;$L$3),0,1))</f>
        <v>0</v>
      </c>
      <c r="M244" s="3">
        <f>IF(OR($M$1="",对接源_01水果!$C244="",对接源_01水果!$C244&lt;&gt;$M$1,对接源_01水果!$B244=""),0,IF(OR(N(对接源_01水果!$B244)&lt;$M$2,N(对接源_01水果!$B244)&gt;$M$3),0,1))</f>
        <v>0</v>
      </c>
      <c r="N244" s="3">
        <f>IF(OR($N$1="",对接源_01水果!$C244="",对接源_01水果!$C244&lt;&gt;$N$1,对接源_01水果!$B244=""),0,IF(OR(N(对接源_01水果!$B244)&lt;$N$2,N(对接源_01水果!$B244)&gt;$N$3),0,1))</f>
        <v>0</v>
      </c>
      <c r="P244" s="3">
        <f>IF(AND($K244=1,AND(对接源_01水果!$X244="公司筐",N(对接源_01水果!$T244)&lt;&gt;0)),1,0)</f>
        <v>0</v>
      </c>
      <c r="Q244" s="3">
        <f t="shared" si="60"/>
        <v>0</v>
      </c>
      <c r="R244" s="3">
        <f>IF(AND($K244=1,AND(对接源_01水果!$X244="公司筐",N(对接源_01水果!$U244)&lt;&gt;0)),1,0)</f>
        <v>0</v>
      </c>
      <c r="S244" s="3">
        <f t="shared" si="61"/>
        <v>0</v>
      </c>
      <c r="T244" s="3">
        <f>IF(AND($K244=1,AND(对接源_01水果!$X244="公司筐",N(对接源_01水果!$V244)&lt;&gt;0)),1,0)</f>
        <v>0</v>
      </c>
      <c r="U244" s="3">
        <f t="shared" si="62"/>
        <v>9</v>
      </c>
      <c r="V244" s="3">
        <f>IF(AND($L244=1,AND(对接源_01水果!$X244="自备筐",N(对接源_01水果!$V244)&lt;&gt;0)),1,0)</f>
        <v>0</v>
      </c>
      <c r="W244" s="3">
        <f t="shared" si="63"/>
        <v>8</v>
      </c>
      <c r="X244" s="3">
        <f>IF(AND($L244=1,AND(对接源_01水果!$X244="自备筐",N(对接源_01水果!$T244)&lt;&gt;0)),1,0)</f>
        <v>0</v>
      </c>
      <c r="Y244" s="3">
        <f t="shared" si="64"/>
        <v>0</v>
      </c>
      <c r="Z244" s="3">
        <f>IF(AND($M244=1,对接源_01水果!$D244="原料入库"),1,0)</f>
        <v>0</v>
      </c>
      <c r="AA244" s="3">
        <f t="shared" si="65"/>
        <v>18</v>
      </c>
      <c r="AB244" s="3">
        <f>IF(AND($M244=1,LEFT(对接源_01水果!$D244,4)="原料出库"),1,0)</f>
        <v>0</v>
      </c>
      <c r="AC244" s="3">
        <f t="shared" si="66"/>
        <v>0</v>
      </c>
      <c r="AD244" s="3">
        <f>IF(AND($M244=1,LEFT(对接源_01水果!$D244,4)="成品出库"),1,0)</f>
        <v>0</v>
      </c>
      <c r="AE244" s="3">
        <f t="shared" si="67"/>
        <v>0</v>
      </c>
      <c r="AF244" s="3">
        <f>IF(AND($N244=1,AND(LEFT(对接源_01水果!$D244,4)="包装物料",N(对接源_01水果!$K244)&lt;&gt;0)),1,0)</f>
        <v>0</v>
      </c>
      <c r="AG244" s="3">
        <f t="shared" si="68"/>
        <v>0</v>
      </c>
      <c r="AH244" s="3">
        <f>IF(AND($N244=1,AND(对接源_01水果!$D244="周转筐－销售出库",N(对接源_01水果!$K244)&lt;&gt;0)),1,0)</f>
        <v>0</v>
      </c>
      <c r="AI244" s="3">
        <f t="shared" si="69"/>
        <v>0</v>
      </c>
      <c r="AJ244" s="7"/>
      <c r="AL244" s="3">
        <f>IF(OR($AL$1="",对接源_01水果!$Y244="",对接源_01水果!$Y244&lt;&gt;$AL$1,对接源_01水果!$B244="",N(对接源_01水果!$AJ244)&lt;=0),0,IF(OR(N(对接源_01水果!$B244)&lt;$AL$2,N(对接源_01水果!$B244)&gt;$AL$3),0,1))</f>
        <v>0</v>
      </c>
      <c r="AM244" s="3">
        <f t="shared" si="70"/>
        <v>0</v>
      </c>
      <c r="AN244" s="3" t="str">
        <f>IF(对接源_01水果!$AC244="","",对接源_01水果!$AC244)</f>
        <v/>
      </c>
      <c r="AO244" s="3">
        <f t="shared" si="71"/>
        <v>0</v>
      </c>
      <c r="AP244" s="3">
        <f t="shared" si="72"/>
        <v>0</v>
      </c>
      <c r="AR244">
        <f t="shared" si="74"/>
        <v>0</v>
      </c>
      <c r="AS244">
        <f t="shared" si="75"/>
        <v>0</v>
      </c>
    </row>
    <row r="245" ht="14.25" customHeight="1" spans="1:45">
      <c r="A245" s="3" t="str">
        <f>IF(对接源_01水果!$C245="","",对接源_01水果!$C245)</f>
        <v>努尔敦</v>
      </c>
      <c r="B245" s="3">
        <f t="shared" si="57"/>
        <v>0</v>
      </c>
      <c r="C245" s="3">
        <f t="shared" si="58"/>
        <v>13</v>
      </c>
      <c r="E245" s="3" t="str">
        <f t="shared" si="59"/>
        <v/>
      </c>
      <c r="K245" s="3">
        <f>IF(OR($K$1="",对接源_01水果!$C245="",对接源_01水果!$C245&lt;&gt;$K$1,对接源_01水果!$B245=""),0,IF(OR(N(对接源_01水果!$B245)&lt;$K$2,N(对接源_01水果!$B245)&gt;$K$3),0,1))</f>
        <v>0</v>
      </c>
      <c r="L245" s="3">
        <f>IF(OR($L$1="",对接源_01水果!$C245="",对接源_01水果!$C245&lt;&gt;$L$1,对接源_01水果!$B245=""),0,IF(OR(N(对接源_01水果!$B245)&lt;$L$2,N(对接源_01水果!$B245)&gt;$L$3),0,1))</f>
        <v>0</v>
      </c>
      <c r="M245" s="3">
        <f>IF(OR($M$1="",对接源_01水果!$C245="",对接源_01水果!$C245&lt;&gt;$M$1,对接源_01水果!$B245=""),0,IF(OR(N(对接源_01水果!$B245)&lt;$M$2,N(对接源_01水果!$B245)&gt;$M$3),0,1))</f>
        <v>0</v>
      </c>
      <c r="N245" s="3">
        <f>IF(OR($N$1="",对接源_01水果!$C245="",对接源_01水果!$C245&lt;&gt;$N$1,对接源_01水果!$B245=""),0,IF(OR(N(对接源_01水果!$B245)&lt;$N$2,N(对接源_01水果!$B245)&gt;$N$3),0,1))</f>
        <v>0</v>
      </c>
      <c r="P245" s="3">
        <f>IF(AND($K245=1,AND(对接源_01水果!$X245="公司筐",N(对接源_01水果!$T245)&lt;&gt;0)),1,0)</f>
        <v>0</v>
      </c>
      <c r="Q245" s="3">
        <f t="shared" si="60"/>
        <v>0</v>
      </c>
      <c r="R245" s="3">
        <f>IF(AND($K245=1,AND(对接源_01水果!$X245="公司筐",N(对接源_01水果!$U245)&lt;&gt;0)),1,0)</f>
        <v>0</v>
      </c>
      <c r="S245" s="3">
        <f t="shared" si="61"/>
        <v>0</v>
      </c>
      <c r="T245" s="3">
        <f>IF(AND($K245=1,AND(对接源_01水果!$X245="公司筐",N(对接源_01水果!$V245)&lt;&gt;0)),1,0)</f>
        <v>0</v>
      </c>
      <c r="U245" s="3">
        <f t="shared" si="62"/>
        <v>9</v>
      </c>
      <c r="V245" s="3">
        <f>IF(AND($L245=1,AND(对接源_01水果!$X245="自备筐",N(对接源_01水果!$V245)&lt;&gt;0)),1,0)</f>
        <v>0</v>
      </c>
      <c r="W245" s="3">
        <f t="shared" si="63"/>
        <v>8</v>
      </c>
      <c r="X245" s="3">
        <f>IF(AND($L245=1,AND(对接源_01水果!$X245="自备筐",N(对接源_01水果!$T245)&lt;&gt;0)),1,0)</f>
        <v>0</v>
      </c>
      <c r="Y245" s="3">
        <f t="shared" si="64"/>
        <v>0</v>
      </c>
      <c r="Z245" s="3">
        <f>IF(AND($M245=1,对接源_01水果!$D245="原料入库"),1,0)</f>
        <v>0</v>
      </c>
      <c r="AA245" s="3">
        <f t="shared" si="65"/>
        <v>18</v>
      </c>
      <c r="AB245" s="3">
        <f>IF(AND($M245=1,LEFT(对接源_01水果!$D245,4)="原料出库"),1,0)</f>
        <v>0</v>
      </c>
      <c r="AC245" s="3">
        <f t="shared" si="66"/>
        <v>0</v>
      </c>
      <c r="AD245" s="3">
        <f>IF(AND($M245=1,LEFT(对接源_01水果!$D245,4)="成品出库"),1,0)</f>
        <v>0</v>
      </c>
      <c r="AE245" s="3">
        <f t="shared" si="67"/>
        <v>0</v>
      </c>
      <c r="AF245" s="3">
        <f>IF(AND($N245=1,AND(LEFT(对接源_01水果!$D245,4)="包装物料",N(对接源_01水果!$K245)&lt;&gt;0)),1,0)</f>
        <v>0</v>
      </c>
      <c r="AG245" s="3">
        <f t="shared" si="68"/>
        <v>0</v>
      </c>
      <c r="AH245" s="3">
        <f>IF(AND($N245=1,AND(对接源_01水果!$D245="周转筐－销售出库",N(对接源_01水果!$K245)&lt;&gt;0)),1,0)</f>
        <v>0</v>
      </c>
      <c r="AI245" s="3">
        <f t="shared" si="69"/>
        <v>0</v>
      </c>
      <c r="AJ245" s="7"/>
      <c r="AL245" s="3">
        <f>IF(OR($AL$1="",对接源_01水果!$Y245="",对接源_01水果!$Y245&lt;&gt;$AL$1,对接源_01水果!$B245="",N(对接源_01水果!$AJ245)&lt;=0),0,IF(OR(N(对接源_01水果!$B245)&lt;$AL$2,N(对接源_01水果!$B245)&gt;$AL$3),0,1))</f>
        <v>0</v>
      </c>
      <c r="AM245" s="3">
        <f t="shared" si="70"/>
        <v>0</v>
      </c>
      <c r="AN245" s="3" t="str">
        <f>IF(对接源_01水果!$AC245="","",对接源_01水果!$AC245)</f>
        <v/>
      </c>
      <c r="AO245" s="3">
        <f t="shared" si="71"/>
        <v>0</v>
      </c>
      <c r="AP245" s="3">
        <f t="shared" si="72"/>
        <v>0</v>
      </c>
      <c r="AR245">
        <f t="shared" si="74"/>
        <v>0</v>
      </c>
      <c r="AS245">
        <f t="shared" si="75"/>
        <v>0</v>
      </c>
    </row>
    <row r="246" ht="14.25" customHeight="1" spans="1:45">
      <c r="A246" s="3" t="str">
        <f>IF(对接源_01水果!$C246="","",对接源_01水果!$C246)</f>
        <v>努尔敦</v>
      </c>
      <c r="B246" s="3">
        <f t="shared" si="57"/>
        <v>0</v>
      </c>
      <c r="C246" s="3">
        <f t="shared" si="58"/>
        <v>13</v>
      </c>
      <c r="E246" s="3" t="str">
        <f t="shared" si="59"/>
        <v/>
      </c>
      <c r="K246" s="3">
        <f>IF(OR($K$1="",对接源_01水果!$C246="",对接源_01水果!$C246&lt;&gt;$K$1,对接源_01水果!$B246=""),0,IF(OR(N(对接源_01水果!$B246)&lt;$K$2,N(对接源_01水果!$B246)&gt;$K$3),0,1))</f>
        <v>0</v>
      </c>
      <c r="L246" s="3">
        <f>IF(OR($L$1="",对接源_01水果!$C246="",对接源_01水果!$C246&lt;&gt;$L$1,对接源_01水果!$B246=""),0,IF(OR(N(对接源_01水果!$B246)&lt;$L$2,N(对接源_01水果!$B246)&gt;$L$3),0,1))</f>
        <v>0</v>
      </c>
      <c r="M246" s="3">
        <f>IF(OR($M$1="",对接源_01水果!$C246="",对接源_01水果!$C246&lt;&gt;$M$1,对接源_01水果!$B246=""),0,IF(OR(N(对接源_01水果!$B246)&lt;$M$2,N(对接源_01水果!$B246)&gt;$M$3),0,1))</f>
        <v>0</v>
      </c>
      <c r="N246" s="3">
        <f>IF(OR($N$1="",对接源_01水果!$C246="",对接源_01水果!$C246&lt;&gt;$N$1,对接源_01水果!$B246=""),0,IF(OR(N(对接源_01水果!$B246)&lt;$N$2,N(对接源_01水果!$B246)&gt;$N$3),0,1))</f>
        <v>0</v>
      </c>
      <c r="P246" s="3">
        <f>IF(AND($K246=1,AND(对接源_01水果!$X246="公司筐",N(对接源_01水果!$T246)&lt;&gt;0)),1,0)</f>
        <v>0</v>
      </c>
      <c r="Q246" s="3">
        <f t="shared" si="60"/>
        <v>0</v>
      </c>
      <c r="R246" s="3">
        <f>IF(AND($K246=1,AND(对接源_01水果!$X246="公司筐",N(对接源_01水果!$U246)&lt;&gt;0)),1,0)</f>
        <v>0</v>
      </c>
      <c r="S246" s="3">
        <f t="shared" si="61"/>
        <v>0</v>
      </c>
      <c r="T246" s="3">
        <f>IF(AND($K246=1,AND(对接源_01水果!$X246="公司筐",N(对接源_01水果!$V246)&lt;&gt;0)),1,0)</f>
        <v>0</v>
      </c>
      <c r="U246" s="3">
        <f t="shared" si="62"/>
        <v>9</v>
      </c>
      <c r="V246" s="3">
        <f>IF(AND($L246=1,AND(对接源_01水果!$X246="自备筐",N(对接源_01水果!$V246)&lt;&gt;0)),1,0)</f>
        <v>0</v>
      </c>
      <c r="W246" s="3">
        <f t="shared" si="63"/>
        <v>8</v>
      </c>
      <c r="X246" s="3">
        <f>IF(AND($L246=1,AND(对接源_01水果!$X246="自备筐",N(对接源_01水果!$T246)&lt;&gt;0)),1,0)</f>
        <v>0</v>
      </c>
      <c r="Y246" s="3">
        <f t="shared" si="64"/>
        <v>0</v>
      </c>
      <c r="Z246" s="3">
        <f>IF(AND($M246=1,对接源_01水果!$D246="原料入库"),1,0)</f>
        <v>0</v>
      </c>
      <c r="AA246" s="3">
        <f t="shared" si="65"/>
        <v>18</v>
      </c>
      <c r="AB246" s="3">
        <f>IF(AND($M246=1,LEFT(对接源_01水果!$D246,4)="原料出库"),1,0)</f>
        <v>0</v>
      </c>
      <c r="AC246" s="3">
        <f t="shared" si="66"/>
        <v>0</v>
      </c>
      <c r="AD246" s="3">
        <f>IF(AND($M246=1,LEFT(对接源_01水果!$D246,4)="成品出库"),1,0)</f>
        <v>0</v>
      </c>
      <c r="AE246" s="3">
        <f t="shared" si="67"/>
        <v>0</v>
      </c>
      <c r="AF246" s="3">
        <f>IF(AND($N246=1,AND(LEFT(对接源_01水果!$D246,4)="包装物料",N(对接源_01水果!$K246)&lt;&gt;0)),1,0)</f>
        <v>0</v>
      </c>
      <c r="AG246" s="3">
        <f t="shared" si="68"/>
        <v>0</v>
      </c>
      <c r="AH246" s="3">
        <f>IF(AND($N246=1,AND(对接源_01水果!$D246="周转筐－销售出库",N(对接源_01水果!$K246)&lt;&gt;0)),1,0)</f>
        <v>0</v>
      </c>
      <c r="AI246" s="3">
        <f t="shared" si="69"/>
        <v>0</v>
      </c>
      <c r="AJ246" s="7"/>
      <c r="AL246" s="3">
        <f>IF(OR($AL$1="",对接源_01水果!$Y246="",对接源_01水果!$Y246&lt;&gt;$AL$1,对接源_01水果!$B246="",N(对接源_01水果!$AJ246)&lt;=0),0,IF(OR(N(对接源_01水果!$B246)&lt;$AL$2,N(对接源_01水果!$B246)&gt;$AL$3),0,1))</f>
        <v>0</v>
      </c>
      <c r="AM246" s="3">
        <f t="shared" si="70"/>
        <v>0</v>
      </c>
      <c r="AN246" s="3" t="str">
        <f>IF(对接源_01水果!$AC246="","",对接源_01水果!$AC246)</f>
        <v/>
      </c>
      <c r="AO246" s="3">
        <f t="shared" si="71"/>
        <v>0</v>
      </c>
      <c r="AP246" s="3">
        <f t="shared" si="72"/>
        <v>0</v>
      </c>
      <c r="AR246">
        <f t="shared" si="74"/>
        <v>0</v>
      </c>
      <c r="AS246">
        <f t="shared" si="75"/>
        <v>0</v>
      </c>
    </row>
    <row r="247" ht="14.25" customHeight="1" spans="1:45">
      <c r="A247" s="3" t="str">
        <f>IF(对接源_01水果!$C247="","",对接源_01水果!$C247)</f>
        <v>努尔敦</v>
      </c>
      <c r="B247" s="3">
        <f t="shared" si="57"/>
        <v>0</v>
      </c>
      <c r="C247" s="3">
        <f t="shared" si="58"/>
        <v>13</v>
      </c>
      <c r="E247" s="3" t="str">
        <f t="shared" si="59"/>
        <v/>
      </c>
      <c r="K247" s="3">
        <f>IF(OR($K$1="",对接源_01水果!$C247="",对接源_01水果!$C247&lt;&gt;$K$1,对接源_01水果!$B247=""),0,IF(OR(N(对接源_01水果!$B247)&lt;$K$2,N(对接源_01水果!$B247)&gt;$K$3),0,1))</f>
        <v>0</v>
      </c>
      <c r="L247" s="3">
        <f>IF(OR($L$1="",对接源_01水果!$C247="",对接源_01水果!$C247&lt;&gt;$L$1,对接源_01水果!$B247=""),0,IF(OR(N(对接源_01水果!$B247)&lt;$L$2,N(对接源_01水果!$B247)&gt;$L$3),0,1))</f>
        <v>0</v>
      </c>
      <c r="M247" s="3">
        <f>IF(OR($M$1="",对接源_01水果!$C247="",对接源_01水果!$C247&lt;&gt;$M$1,对接源_01水果!$B247=""),0,IF(OR(N(对接源_01水果!$B247)&lt;$M$2,N(对接源_01水果!$B247)&gt;$M$3),0,1))</f>
        <v>0</v>
      </c>
      <c r="N247" s="3">
        <f>IF(OR($N$1="",对接源_01水果!$C247="",对接源_01水果!$C247&lt;&gt;$N$1,对接源_01水果!$B247=""),0,IF(OR(N(对接源_01水果!$B247)&lt;$N$2,N(对接源_01水果!$B247)&gt;$N$3),0,1))</f>
        <v>0</v>
      </c>
      <c r="P247" s="3">
        <f>IF(AND($K247=1,AND(对接源_01水果!$X247="公司筐",N(对接源_01水果!$T247)&lt;&gt;0)),1,0)</f>
        <v>0</v>
      </c>
      <c r="Q247" s="3">
        <f t="shared" si="60"/>
        <v>0</v>
      </c>
      <c r="R247" s="3">
        <f>IF(AND($K247=1,AND(对接源_01水果!$X247="公司筐",N(对接源_01水果!$U247)&lt;&gt;0)),1,0)</f>
        <v>0</v>
      </c>
      <c r="S247" s="3">
        <f t="shared" si="61"/>
        <v>0</v>
      </c>
      <c r="T247" s="3">
        <f>IF(AND($K247=1,AND(对接源_01水果!$X247="公司筐",N(对接源_01水果!$V247)&lt;&gt;0)),1,0)</f>
        <v>0</v>
      </c>
      <c r="U247" s="3">
        <f t="shared" si="62"/>
        <v>9</v>
      </c>
      <c r="V247" s="3">
        <f>IF(AND($L247=1,AND(对接源_01水果!$X247="自备筐",N(对接源_01水果!$V247)&lt;&gt;0)),1,0)</f>
        <v>0</v>
      </c>
      <c r="W247" s="3">
        <f t="shared" si="63"/>
        <v>8</v>
      </c>
      <c r="X247" s="3">
        <f>IF(AND($L247=1,AND(对接源_01水果!$X247="自备筐",N(对接源_01水果!$T247)&lt;&gt;0)),1,0)</f>
        <v>0</v>
      </c>
      <c r="Y247" s="3">
        <f t="shared" si="64"/>
        <v>0</v>
      </c>
      <c r="Z247" s="3">
        <f>IF(AND($M247=1,对接源_01水果!$D247="原料入库"),1,0)</f>
        <v>0</v>
      </c>
      <c r="AA247" s="3">
        <f t="shared" si="65"/>
        <v>18</v>
      </c>
      <c r="AB247" s="3">
        <f>IF(AND($M247=1,LEFT(对接源_01水果!$D247,4)="原料出库"),1,0)</f>
        <v>0</v>
      </c>
      <c r="AC247" s="3">
        <f t="shared" si="66"/>
        <v>0</v>
      </c>
      <c r="AD247" s="3">
        <f>IF(AND($M247=1,LEFT(对接源_01水果!$D247,4)="成品出库"),1,0)</f>
        <v>0</v>
      </c>
      <c r="AE247" s="3">
        <f t="shared" si="67"/>
        <v>0</v>
      </c>
      <c r="AF247" s="3">
        <f>IF(AND($N247=1,AND(LEFT(对接源_01水果!$D247,4)="包装物料",N(对接源_01水果!$K247)&lt;&gt;0)),1,0)</f>
        <v>0</v>
      </c>
      <c r="AG247" s="3">
        <f t="shared" si="68"/>
        <v>0</v>
      </c>
      <c r="AH247" s="3">
        <f>IF(AND($N247=1,AND(对接源_01水果!$D247="周转筐－销售出库",N(对接源_01水果!$K247)&lt;&gt;0)),1,0)</f>
        <v>0</v>
      </c>
      <c r="AI247" s="3">
        <f t="shared" si="69"/>
        <v>0</v>
      </c>
      <c r="AJ247" s="7"/>
      <c r="AL247" s="3">
        <f>IF(OR($AL$1="",对接源_01水果!$Y247="",对接源_01水果!$Y247&lt;&gt;$AL$1,对接源_01水果!$B247="",N(对接源_01水果!$AJ247)&lt;=0),0,IF(OR(N(对接源_01水果!$B247)&lt;$AL$2,N(对接源_01水果!$B247)&gt;$AL$3),0,1))</f>
        <v>0</v>
      </c>
      <c r="AM247" s="3">
        <f t="shared" si="70"/>
        <v>0</v>
      </c>
      <c r="AN247" s="3" t="str">
        <f>IF(对接源_01水果!$AC247="","",对接源_01水果!$AC247)</f>
        <v/>
      </c>
      <c r="AO247" s="3">
        <f t="shared" si="71"/>
        <v>0</v>
      </c>
      <c r="AP247" s="3">
        <f t="shared" si="72"/>
        <v>0</v>
      </c>
      <c r="AR247">
        <f t="shared" si="74"/>
        <v>0</v>
      </c>
      <c r="AS247">
        <f t="shared" si="75"/>
        <v>0</v>
      </c>
    </row>
    <row r="248" ht="14.25" customHeight="1" spans="1:45">
      <c r="A248" s="3" t="str">
        <f>IF(对接源_01水果!$C248="","",对接源_01水果!$C248)</f>
        <v>王照雪</v>
      </c>
      <c r="B248" s="3">
        <f t="shared" si="57"/>
        <v>0</v>
      </c>
      <c r="C248" s="3">
        <f t="shared" si="58"/>
        <v>13</v>
      </c>
      <c r="E248" s="3" t="str">
        <f t="shared" si="59"/>
        <v/>
      </c>
      <c r="K248" s="3">
        <f>IF(OR($K$1="",对接源_01水果!$C248="",对接源_01水果!$C248&lt;&gt;$K$1,对接源_01水果!$B248=""),0,IF(OR(N(对接源_01水果!$B248)&lt;$K$2,N(对接源_01水果!$B248)&gt;$K$3),0,1))</f>
        <v>0</v>
      </c>
      <c r="L248" s="3">
        <f>IF(OR($L$1="",对接源_01水果!$C248="",对接源_01水果!$C248&lt;&gt;$L$1,对接源_01水果!$B248=""),0,IF(OR(N(对接源_01水果!$B248)&lt;$L$2,N(对接源_01水果!$B248)&gt;$L$3),0,1))</f>
        <v>0</v>
      </c>
      <c r="M248" s="3">
        <f>IF(OR($M$1="",对接源_01水果!$C248="",对接源_01水果!$C248&lt;&gt;$M$1,对接源_01水果!$B248=""),0,IF(OR(N(对接源_01水果!$B248)&lt;$M$2,N(对接源_01水果!$B248)&gt;$M$3),0,1))</f>
        <v>0</v>
      </c>
      <c r="N248" s="3">
        <f>IF(OR($N$1="",对接源_01水果!$C248="",对接源_01水果!$C248&lt;&gt;$N$1,对接源_01水果!$B248=""),0,IF(OR(N(对接源_01水果!$B248)&lt;$N$2,N(对接源_01水果!$B248)&gt;$N$3),0,1))</f>
        <v>0</v>
      </c>
      <c r="P248" s="3">
        <f>IF(AND($K248=1,AND(对接源_01水果!$X248="公司筐",N(对接源_01水果!$T248)&lt;&gt;0)),1,0)</f>
        <v>0</v>
      </c>
      <c r="Q248" s="3">
        <f t="shared" si="60"/>
        <v>0</v>
      </c>
      <c r="R248" s="3">
        <f>IF(AND($K248=1,AND(对接源_01水果!$X248="公司筐",N(对接源_01水果!$U248)&lt;&gt;0)),1,0)</f>
        <v>0</v>
      </c>
      <c r="S248" s="3">
        <f t="shared" si="61"/>
        <v>0</v>
      </c>
      <c r="T248" s="3">
        <f>IF(AND($K248=1,AND(对接源_01水果!$X248="公司筐",N(对接源_01水果!$V248)&lt;&gt;0)),1,0)</f>
        <v>0</v>
      </c>
      <c r="U248" s="3">
        <f t="shared" si="62"/>
        <v>9</v>
      </c>
      <c r="V248" s="3">
        <f>IF(AND($L248=1,AND(对接源_01水果!$X248="自备筐",N(对接源_01水果!$V248)&lt;&gt;0)),1,0)</f>
        <v>0</v>
      </c>
      <c r="W248" s="3">
        <f t="shared" si="63"/>
        <v>8</v>
      </c>
      <c r="X248" s="3">
        <f>IF(AND($L248=1,AND(对接源_01水果!$X248="自备筐",N(对接源_01水果!$T248)&lt;&gt;0)),1,0)</f>
        <v>0</v>
      </c>
      <c r="Y248" s="3">
        <f t="shared" si="64"/>
        <v>0</v>
      </c>
      <c r="Z248" s="3">
        <f>IF(AND($M248=1,对接源_01水果!$D248="原料入库"),1,0)</f>
        <v>0</v>
      </c>
      <c r="AA248" s="3">
        <f t="shared" si="65"/>
        <v>18</v>
      </c>
      <c r="AB248" s="3">
        <f>IF(AND($M248=1,LEFT(对接源_01水果!$D248,4)="原料出库"),1,0)</f>
        <v>0</v>
      </c>
      <c r="AC248" s="3">
        <f t="shared" si="66"/>
        <v>0</v>
      </c>
      <c r="AD248" s="3">
        <f>IF(AND($M248=1,LEFT(对接源_01水果!$D248,4)="成品出库"),1,0)</f>
        <v>0</v>
      </c>
      <c r="AE248" s="3">
        <f t="shared" si="67"/>
        <v>0</v>
      </c>
      <c r="AF248" s="3">
        <f>IF(AND($N248=1,AND(LEFT(对接源_01水果!$D248,4)="包装物料",N(对接源_01水果!$K248)&lt;&gt;0)),1,0)</f>
        <v>0</v>
      </c>
      <c r="AG248" s="3">
        <f t="shared" si="68"/>
        <v>0</v>
      </c>
      <c r="AH248" s="3">
        <f>IF(AND($N248=1,AND(对接源_01水果!$D248="周转筐－销售出库",N(对接源_01水果!$K248)&lt;&gt;0)),1,0)</f>
        <v>0</v>
      </c>
      <c r="AI248" s="3">
        <f t="shared" si="69"/>
        <v>0</v>
      </c>
      <c r="AJ248" s="7"/>
      <c r="AL248" s="3">
        <f>IF(OR($AL$1="",对接源_01水果!$Y248="",对接源_01水果!$Y248&lt;&gt;$AL$1,对接源_01水果!$B248="",N(对接源_01水果!$AJ248)&lt;=0),0,IF(OR(N(对接源_01水果!$B248)&lt;$AL$2,N(对接源_01水果!$B248)&gt;$AL$3),0,1))</f>
        <v>0</v>
      </c>
      <c r="AM248" s="3">
        <f t="shared" si="70"/>
        <v>0</v>
      </c>
      <c r="AN248" s="3" t="str">
        <f>IF(对接源_01水果!$AC248="","",对接源_01水果!$AC248)</f>
        <v/>
      </c>
      <c r="AO248" s="3">
        <f t="shared" si="71"/>
        <v>0</v>
      </c>
      <c r="AP248" s="3">
        <f t="shared" si="72"/>
        <v>0</v>
      </c>
      <c r="AR248">
        <f t="shared" si="74"/>
        <v>0</v>
      </c>
      <c r="AS248">
        <f t="shared" si="75"/>
        <v>0</v>
      </c>
    </row>
    <row r="249" ht="14.25" customHeight="1" spans="1:45">
      <c r="A249" s="3" t="str">
        <f>IF(对接源_01水果!$C249="","",对接源_01水果!$C249)</f>
        <v>王照雪</v>
      </c>
      <c r="B249" s="3">
        <f t="shared" si="57"/>
        <v>0</v>
      </c>
      <c r="C249" s="3">
        <f t="shared" si="58"/>
        <v>13</v>
      </c>
      <c r="E249" s="3" t="str">
        <f t="shared" si="59"/>
        <v/>
      </c>
      <c r="K249" s="3">
        <f>IF(OR($K$1="",对接源_01水果!$C249="",对接源_01水果!$C249&lt;&gt;$K$1,对接源_01水果!$B249=""),0,IF(OR(N(对接源_01水果!$B249)&lt;$K$2,N(对接源_01水果!$B249)&gt;$K$3),0,1))</f>
        <v>0</v>
      </c>
      <c r="L249" s="3">
        <f>IF(OR($L$1="",对接源_01水果!$C249="",对接源_01水果!$C249&lt;&gt;$L$1,对接源_01水果!$B249=""),0,IF(OR(N(对接源_01水果!$B249)&lt;$L$2,N(对接源_01水果!$B249)&gt;$L$3),0,1))</f>
        <v>0</v>
      </c>
      <c r="M249" s="3">
        <f>IF(OR($M$1="",对接源_01水果!$C249="",对接源_01水果!$C249&lt;&gt;$M$1,对接源_01水果!$B249=""),0,IF(OR(N(对接源_01水果!$B249)&lt;$M$2,N(对接源_01水果!$B249)&gt;$M$3),0,1))</f>
        <v>0</v>
      </c>
      <c r="N249" s="3">
        <f>IF(OR($N$1="",对接源_01水果!$C249="",对接源_01水果!$C249&lt;&gt;$N$1,对接源_01水果!$B249=""),0,IF(OR(N(对接源_01水果!$B249)&lt;$N$2,N(对接源_01水果!$B249)&gt;$N$3),0,1))</f>
        <v>0</v>
      </c>
      <c r="P249" s="3">
        <f>IF(AND($K249=1,AND(对接源_01水果!$X249="公司筐",N(对接源_01水果!$T249)&lt;&gt;0)),1,0)</f>
        <v>0</v>
      </c>
      <c r="Q249" s="3">
        <f t="shared" si="60"/>
        <v>0</v>
      </c>
      <c r="R249" s="3">
        <f>IF(AND($K249=1,AND(对接源_01水果!$X249="公司筐",N(对接源_01水果!$U249)&lt;&gt;0)),1,0)</f>
        <v>0</v>
      </c>
      <c r="S249" s="3">
        <f t="shared" si="61"/>
        <v>0</v>
      </c>
      <c r="T249" s="3">
        <f>IF(AND($K249=1,AND(对接源_01水果!$X249="公司筐",N(对接源_01水果!$V249)&lt;&gt;0)),1,0)</f>
        <v>0</v>
      </c>
      <c r="U249" s="3">
        <f t="shared" si="62"/>
        <v>9</v>
      </c>
      <c r="V249" s="3">
        <f>IF(AND($L249=1,AND(对接源_01水果!$X249="自备筐",N(对接源_01水果!$V249)&lt;&gt;0)),1,0)</f>
        <v>0</v>
      </c>
      <c r="W249" s="3">
        <f t="shared" si="63"/>
        <v>8</v>
      </c>
      <c r="X249" s="3">
        <f>IF(AND($L249=1,AND(对接源_01水果!$X249="自备筐",N(对接源_01水果!$T249)&lt;&gt;0)),1,0)</f>
        <v>0</v>
      </c>
      <c r="Y249" s="3">
        <f t="shared" si="64"/>
        <v>0</v>
      </c>
      <c r="Z249" s="3">
        <f>IF(AND($M249=1,对接源_01水果!$D249="原料入库"),1,0)</f>
        <v>0</v>
      </c>
      <c r="AA249" s="3">
        <f t="shared" si="65"/>
        <v>18</v>
      </c>
      <c r="AB249" s="3">
        <f>IF(AND($M249=1,LEFT(对接源_01水果!$D249,4)="原料出库"),1,0)</f>
        <v>0</v>
      </c>
      <c r="AC249" s="3">
        <f t="shared" si="66"/>
        <v>0</v>
      </c>
      <c r="AD249" s="3">
        <f>IF(AND($M249=1,LEFT(对接源_01水果!$D249,4)="成品出库"),1,0)</f>
        <v>0</v>
      </c>
      <c r="AE249" s="3">
        <f t="shared" si="67"/>
        <v>0</v>
      </c>
      <c r="AF249" s="3">
        <f>IF(AND($N249=1,AND(LEFT(对接源_01水果!$D249,4)="包装物料",N(对接源_01水果!$K249)&lt;&gt;0)),1,0)</f>
        <v>0</v>
      </c>
      <c r="AG249" s="3">
        <f t="shared" si="68"/>
        <v>0</v>
      </c>
      <c r="AH249" s="3">
        <f>IF(AND($N249=1,AND(对接源_01水果!$D249="周转筐－销售出库",N(对接源_01水果!$K249)&lt;&gt;0)),1,0)</f>
        <v>0</v>
      </c>
      <c r="AI249" s="3">
        <f t="shared" si="69"/>
        <v>0</v>
      </c>
      <c r="AJ249" s="7"/>
      <c r="AL249" s="3">
        <f>IF(OR($AL$1="",对接源_01水果!$Y249="",对接源_01水果!$Y249&lt;&gt;$AL$1,对接源_01水果!$B249="",N(对接源_01水果!$AJ249)&lt;=0),0,IF(OR(N(对接源_01水果!$B249)&lt;$AL$2,N(对接源_01水果!$B249)&gt;$AL$3),0,1))</f>
        <v>0</v>
      </c>
      <c r="AM249" s="3">
        <f t="shared" si="70"/>
        <v>0</v>
      </c>
      <c r="AN249" s="3" t="str">
        <f>IF(对接源_01水果!$AC249="","",对接源_01水果!$AC249)</f>
        <v/>
      </c>
      <c r="AO249" s="3">
        <f t="shared" si="71"/>
        <v>0</v>
      </c>
      <c r="AP249" s="3">
        <f t="shared" si="72"/>
        <v>0</v>
      </c>
      <c r="AR249">
        <f t="shared" si="74"/>
        <v>0</v>
      </c>
      <c r="AS249">
        <f t="shared" si="75"/>
        <v>0</v>
      </c>
    </row>
    <row r="250" ht="14.25" customHeight="1" spans="1:45">
      <c r="A250" s="3" t="str">
        <f>IF(对接源_01水果!$C250="","",对接源_01水果!$C250)</f>
        <v>王照雪</v>
      </c>
      <c r="B250" s="3">
        <f t="shared" si="57"/>
        <v>0</v>
      </c>
      <c r="C250" s="3">
        <f t="shared" si="58"/>
        <v>13</v>
      </c>
      <c r="E250" s="3" t="str">
        <f t="shared" si="59"/>
        <v/>
      </c>
      <c r="K250" s="3">
        <f>IF(OR($K$1="",对接源_01水果!$C250="",对接源_01水果!$C250&lt;&gt;$K$1,对接源_01水果!$B250=""),0,IF(OR(N(对接源_01水果!$B250)&lt;$K$2,N(对接源_01水果!$B250)&gt;$K$3),0,1))</f>
        <v>0</v>
      </c>
      <c r="L250" s="3">
        <f>IF(OR($L$1="",对接源_01水果!$C250="",对接源_01水果!$C250&lt;&gt;$L$1,对接源_01水果!$B250=""),0,IF(OR(N(对接源_01水果!$B250)&lt;$L$2,N(对接源_01水果!$B250)&gt;$L$3),0,1))</f>
        <v>0</v>
      </c>
      <c r="M250" s="3">
        <f>IF(OR($M$1="",对接源_01水果!$C250="",对接源_01水果!$C250&lt;&gt;$M$1,对接源_01水果!$B250=""),0,IF(OR(N(对接源_01水果!$B250)&lt;$M$2,N(对接源_01水果!$B250)&gt;$M$3),0,1))</f>
        <v>0</v>
      </c>
      <c r="N250" s="3">
        <f>IF(OR($N$1="",对接源_01水果!$C250="",对接源_01水果!$C250&lt;&gt;$N$1,对接源_01水果!$B250=""),0,IF(OR(N(对接源_01水果!$B250)&lt;$N$2,N(对接源_01水果!$B250)&gt;$N$3),0,1))</f>
        <v>0</v>
      </c>
      <c r="P250" s="3">
        <f>IF(AND($K250=1,AND(对接源_01水果!$X250="公司筐",N(对接源_01水果!$T250)&lt;&gt;0)),1,0)</f>
        <v>0</v>
      </c>
      <c r="Q250" s="3">
        <f t="shared" si="60"/>
        <v>0</v>
      </c>
      <c r="R250" s="3">
        <f>IF(AND($K250=1,AND(对接源_01水果!$X250="公司筐",N(对接源_01水果!$U250)&lt;&gt;0)),1,0)</f>
        <v>0</v>
      </c>
      <c r="S250" s="3">
        <f t="shared" si="61"/>
        <v>0</v>
      </c>
      <c r="T250" s="3">
        <f>IF(AND($K250=1,AND(对接源_01水果!$X250="公司筐",N(对接源_01水果!$V250)&lt;&gt;0)),1,0)</f>
        <v>0</v>
      </c>
      <c r="U250" s="3">
        <f t="shared" si="62"/>
        <v>9</v>
      </c>
      <c r="V250" s="3">
        <f>IF(AND($L250=1,AND(对接源_01水果!$X250="自备筐",N(对接源_01水果!$V250)&lt;&gt;0)),1,0)</f>
        <v>0</v>
      </c>
      <c r="W250" s="3">
        <f t="shared" si="63"/>
        <v>8</v>
      </c>
      <c r="X250" s="3">
        <f>IF(AND($L250=1,AND(对接源_01水果!$X250="自备筐",N(对接源_01水果!$T250)&lt;&gt;0)),1,0)</f>
        <v>0</v>
      </c>
      <c r="Y250" s="3">
        <f t="shared" si="64"/>
        <v>0</v>
      </c>
      <c r="Z250" s="3">
        <f>IF(AND($M250=1,对接源_01水果!$D250="原料入库"),1,0)</f>
        <v>0</v>
      </c>
      <c r="AA250" s="3">
        <f t="shared" si="65"/>
        <v>18</v>
      </c>
      <c r="AB250" s="3">
        <f>IF(AND($M250=1,LEFT(对接源_01水果!$D250,4)="原料出库"),1,0)</f>
        <v>0</v>
      </c>
      <c r="AC250" s="3">
        <f t="shared" si="66"/>
        <v>0</v>
      </c>
      <c r="AD250" s="3">
        <f>IF(AND($M250=1,LEFT(对接源_01水果!$D250,4)="成品出库"),1,0)</f>
        <v>0</v>
      </c>
      <c r="AE250" s="3">
        <f t="shared" si="67"/>
        <v>0</v>
      </c>
      <c r="AF250" s="3">
        <f>IF(AND($N250=1,AND(LEFT(对接源_01水果!$D250,4)="包装物料",N(对接源_01水果!$K250)&lt;&gt;0)),1,0)</f>
        <v>0</v>
      </c>
      <c r="AG250" s="3">
        <f t="shared" si="68"/>
        <v>0</v>
      </c>
      <c r="AH250" s="3">
        <f>IF(AND($N250=1,AND(对接源_01水果!$D250="周转筐－销售出库",N(对接源_01水果!$K250)&lt;&gt;0)),1,0)</f>
        <v>0</v>
      </c>
      <c r="AI250" s="3">
        <f t="shared" si="69"/>
        <v>0</v>
      </c>
      <c r="AJ250" s="7"/>
      <c r="AL250" s="3">
        <f>IF(OR($AL$1="",对接源_01水果!$Y250="",对接源_01水果!$Y250&lt;&gt;$AL$1,对接源_01水果!$B250="",N(对接源_01水果!$AJ250)&lt;=0),0,IF(OR(N(对接源_01水果!$B250)&lt;$AL$2,N(对接源_01水果!$B250)&gt;$AL$3),0,1))</f>
        <v>0</v>
      </c>
      <c r="AM250" s="3">
        <f t="shared" si="70"/>
        <v>0</v>
      </c>
      <c r="AN250" s="3" t="str">
        <f>IF(对接源_01水果!$AC250="","",对接源_01水果!$AC250)</f>
        <v/>
      </c>
      <c r="AO250" s="3">
        <f t="shared" si="71"/>
        <v>0</v>
      </c>
      <c r="AP250" s="3">
        <f t="shared" si="72"/>
        <v>0</v>
      </c>
      <c r="AR250">
        <f t="shared" si="74"/>
        <v>0</v>
      </c>
      <c r="AS250">
        <f t="shared" si="75"/>
        <v>0</v>
      </c>
    </row>
    <row r="251" ht="14.25" customHeight="1" spans="1:45">
      <c r="A251" s="3" t="str">
        <f>IF(对接源_01水果!$C251="","",对接源_01水果!$C251)</f>
        <v>王照雪</v>
      </c>
      <c r="B251" s="3">
        <f t="shared" si="57"/>
        <v>0</v>
      </c>
      <c r="C251" s="3">
        <f t="shared" si="58"/>
        <v>13</v>
      </c>
      <c r="E251" s="3" t="str">
        <f t="shared" si="59"/>
        <v/>
      </c>
      <c r="K251" s="3">
        <f>IF(OR($K$1="",对接源_01水果!$C251="",对接源_01水果!$C251&lt;&gt;$K$1,对接源_01水果!$B251=""),0,IF(OR(N(对接源_01水果!$B251)&lt;$K$2,N(对接源_01水果!$B251)&gt;$K$3),0,1))</f>
        <v>0</v>
      </c>
      <c r="L251" s="3">
        <f>IF(OR($L$1="",对接源_01水果!$C251="",对接源_01水果!$C251&lt;&gt;$L$1,对接源_01水果!$B251=""),0,IF(OR(N(对接源_01水果!$B251)&lt;$L$2,N(对接源_01水果!$B251)&gt;$L$3),0,1))</f>
        <v>0</v>
      </c>
      <c r="M251" s="3">
        <f>IF(OR($M$1="",对接源_01水果!$C251="",对接源_01水果!$C251&lt;&gt;$M$1,对接源_01水果!$B251=""),0,IF(OR(N(对接源_01水果!$B251)&lt;$M$2,N(对接源_01水果!$B251)&gt;$M$3),0,1))</f>
        <v>0</v>
      </c>
      <c r="N251" s="3">
        <f>IF(OR($N$1="",对接源_01水果!$C251="",对接源_01水果!$C251&lt;&gt;$N$1,对接源_01水果!$B251=""),0,IF(OR(N(对接源_01水果!$B251)&lt;$N$2,N(对接源_01水果!$B251)&gt;$N$3),0,1))</f>
        <v>0</v>
      </c>
      <c r="P251" s="3">
        <f>IF(AND($K251=1,AND(对接源_01水果!$X251="公司筐",N(对接源_01水果!$T251)&lt;&gt;0)),1,0)</f>
        <v>0</v>
      </c>
      <c r="Q251" s="3">
        <f t="shared" si="60"/>
        <v>0</v>
      </c>
      <c r="R251" s="3">
        <f>IF(AND($K251=1,AND(对接源_01水果!$X251="公司筐",N(对接源_01水果!$U251)&lt;&gt;0)),1,0)</f>
        <v>0</v>
      </c>
      <c r="S251" s="3">
        <f t="shared" si="61"/>
        <v>0</v>
      </c>
      <c r="T251" s="3">
        <f>IF(AND($K251=1,AND(对接源_01水果!$X251="公司筐",N(对接源_01水果!$V251)&lt;&gt;0)),1,0)</f>
        <v>0</v>
      </c>
      <c r="U251" s="3">
        <f t="shared" si="62"/>
        <v>9</v>
      </c>
      <c r="V251" s="3">
        <f>IF(AND($L251=1,AND(对接源_01水果!$X251="自备筐",N(对接源_01水果!$V251)&lt;&gt;0)),1,0)</f>
        <v>0</v>
      </c>
      <c r="W251" s="3">
        <f t="shared" si="63"/>
        <v>8</v>
      </c>
      <c r="X251" s="3">
        <f>IF(AND($L251=1,AND(对接源_01水果!$X251="自备筐",N(对接源_01水果!$T251)&lt;&gt;0)),1,0)</f>
        <v>0</v>
      </c>
      <c r="Y251" s="3">
        <f t="shared" si="64"/>
        <v>0</v>
      </c>
      <c r="Z251" s="3">
        <f>IF(AND($M251=1,对接源_01水果!$D251="原料入库"),1,0)</f>
        <v>0</v>
      </c>
      <c r="AA251" s="3">
        <f t="shared" si="65"/>
        <v>18</v>
      </c>
      <c r="AB251" s="3">
        <f>IF(AND($M251=1,LEFT(对接源_01水果!$D251,4)="原料出库"),1,0)</f>
        <v>0</v>
      </c>
      <c r="AC251" s="3">
        <f t="shared" si="66"/>
        <v>0</v>
      </c>
      <c r="AD251" s="3">
        <f>IF(AND($M251=1,LEFT(对接源_01水果!$D251,4)="成品出库"),1,0)</f>
        <v>0</v>
      </c>
      <c r="AE251" s="3">
        <f t="shared" si="67"/>
        <v>0</v>
      </c>
      <c r="AF251" s="3">
        <f>IF(AND($N251=1,AND(LEFT(对接源_01水果!$D251,4)="包装物料",N(对接源_01水果!$K251)&lt;&gt;0)),1,0)</f>
        <v>0</v>
      </c>
      <c r="AG251" s="3">
        <f t="shared" si="68"/>
        <v>0</v>
      </c>
      <c r="AH251" s="3">
        <f>IF(AND($N251=1,AND(对接源_01水果!$D251="周转筐－销售出库",N(对接源_01水果!$K251)&lt;&gt;0)),1,0)</f>
        <v>0</v>
      </c>
      <c r="AI251" s="3">
        <f t="shared" si="69"/>
        <v>0</v>
      </c>
      <c r="AJ251" s="7"/>
      <c r="AL251" s="3">
        <f>IF(OR($AL$1="",对接源_01水果!$Y251="",对接源_01水果!$Y251&lt;&gt;$AL$1,对接源_01水果!$B251="",N(对接源_01水果!$AJ251)&lt;=0),0,IF(OR(N(对接源_01水果!$B251)&lt;$AL$2,N(对接源_01水果!$B251)&gt;$AL$3),0,1))</f>
        <v>0</v>
      </c>
      <c r="AM251" s="3">
        <f t="shared" si="70"/>
        <v>0</v>
      </c>
      <c r="AN251" s="3" t="str">
        <f>IF(对接源_01水果!$AC251="","",对接源_01水果!$AC251)</f>
        <v/>
      </c>
      <c r="AO251" s="3">
        <f t="shared" si="71"/>
        <v>0</v>
      </c>
      <c r="AP251" s="3">
        <f t="shared" si="72"/>
        <v>0</v>
      </c>
      <c r="AR251">
        <f t="shared" si="74"/>
        <v>0</v>
      </c>
      <c r="AS251">
        <f t="shared" si="75"/>
        <v>0</v>
      </c>
    </row>
    <row r="252" ht="14.25" customHeight="1" spans="1:45">
      <c r="A252" s="3" t="str">
        <f>IF(对接源_01水果!$C252="","",对接源_01水果!$C252)</f>
        <v>荆建君</v>
      </c>
      <c r="B252" s="3">
        <f t="shared" si="57"/>
        <v>0</v>
      </c>
      <c r="C252" s="3">
        <f t="shared" si="58"/>
        <v>13</v>
      </c>
      <c r="E252" s="3" t="str">
        <f t="shared" si="59"/>
        <v/>
      </c>
      <c r="K252" s="3">
        <f>IF(OR($K$1="",对接源_01水果!$C252="",对接源_01水果!$C252&lt;&gt;$K$1,对接源_01水果!$B252=""),0,IF(OR(N(对接源_01水果!$B252)&lt;$K$2,N(对接源_01水果!$B252)&gt;$K$3),0,1))</f>
        <v>0</v>
      </c>
      <c r="L252" s="3">
        <f>IF(OR($L$1="",对接源_01水果!$C252="",对接源_01水果!$C252&lt;&gt;$L$1,对接源_01水果!$B252=""),0,IF(OR(N(对接源_01水果!$B252)&lt;$L$2,N(对接源_01水果!$B252)&gt;$L$3),0,1))</f>
        <v>0</v>
      </c>
      <c r="M252" s="3">
        <f>IF(OR($M$1="",对接源_01水果!$C252="",对接源_01水果!$C252&lt;&gt;$M$1,对接源_01水果!$B252=""),0,IF(OR(N(对接源_01水果!$B252)&lt;$M$2,N(对接源_01水果!$B252)&gt;$M$3),0,1))</f>
        <v>0</v>
      </c>
      <c r="N252" s="3">
        <f>IF(OR($N$1="",对接源_01水果!$C252="",对接源_01水果!$C252&lt;&gt;$N$1,对接源_01水果!$B252=""),0,IF(OR(N(对接源_01水果!$B252)&lt;$N$2,N(对接源_01水果!$B252)&gt;$N$3),0,1))</f>
        <v>0</v>
      </c>
      <c r="P252" s="3">
        <f>IF(AND($K252=1,AND(对接源_01水果!$X252="公司筐",N(对接源_01水果!$T252)&lt;&gt;0)),1,0)</f>
        <v>0</v>
      </c>
      <c r="Q252" s="3">
        <f t="shared" si="60"/>
        <v>0</v>
      </c>
      <c r="R252" s="3">
        <f>IF(AND($K252=1,AND(对接源_01水果!$X252="公司筐",N(对接源_01水果!$U252)&lt;&gt;0)),1,0)</f>
        <v>0</v>
      </c>
      <c r="S252" s="3">
        <f t="shared" si="61"/>
        <v>0</v>
      </c>
      <c r="T252" s="3">
        <f>IF(AND($K252=1,AND(对接源_01水果!$X252="公司筐",N(对接源_01水果!$V252)&lt;&gt;0)),1,0)</f>
        <v>0</v>
      </c>
      <c r="U252" s="3">
        <f t="shared" si="62"/>
        <v>9</v>
      </c>
      <c r="V252" s="3">
        <f>IF(AND($L252=1,AND(对接源_01水果!$X252="自备筐",N(对接源_01水果!$V252)&lt;&gt;0)),1,0)</f>
        <v>0</v>
      </c>
      <c r="W252" s="3">
        <f t="shared" si="63"/>
        <v>8</v>
      </c>
      <c r="X252" s="3">
        <f>IF(AND($L252=1,AND(对接源_01水果!$X252="自备筐",N(对接源_01水果!$T252)&lt;&gt;0)),1,0)</f>
        <v>0</v>
      </c>
      <c r="Y252" s="3">
        <f t="shared" si="64"/>
        <v>0</v>
      </c>
      <c r="Z252" s="3">
        <f>IF(AND($M252=1,对接源_01水果!$D252="原料入库"),1,0)</f>
        <v>0</v>
      </c>
      <c r="AA252" s="3">
        <f t="shared" si="65"/>
        <v>18</v>
      </c>
      <c r="AB252" s="3">
        <f>IF(AND($M252=1,LEFT(对接源_01水果!$D252,4)="原料出库"),1,0)</f>
        <v>0</v>
      </c>
      <c r="AC252" s="3">
        <f t="shared" si="66"/>
        <v>0</v>
      </c>
      <c r="AD252" s="3">
        <f>IF(AND($M252=1,LEFT(对接源_01水果!$D252,4)="成品出库"),1,0)</f>
        <v>0</v>
      </c>
      <c r="AE252" s="3">
        <f t="shared" si="67"/>
        <v>0</v>
      </c>
      <c r="AF252" s="3">
        <f>IF(AND($N252=1,AND(LEFT(对接源_01水果!$D252,4)="包装物料",N(对接源_01水果!$K252)&lt;&gt;0)),1,0)</f>
        <v>0</v>
      </c>
      <c r="AG252" s="3">
        <f t="shared" si="68"/>
        <v>0</v>
      </c>
      <c r="AH252" s="3">
        <f>IF(AND($N252=1,AND(对接源_01水果!$D252="周转筐－销售出库",N(对接源_01水果!$K252)&lt;&gt;0)),1,0)</f>
        <v>0</v>
      </c>
      <c r="AI252" s="3">
        <f t="shared" si="69"/>
        <v>0</v>
      </c>
      <c r="AJ252" s="7"/>
      <c r="AL252" s="3">
        <f>IF(OR($AL$1="",对接源_01水果!$Y252="",对接源_01水果!$Y252&lt;&gt;$AL$1,对接源_01水果!$B252="",N(对接源_01水果!$AJ252)&lt;=0),0,IF(OR(N(对接源_01水果!$B252)&lt;$AL$2,N(对接源_01水果!$B252)&gt;$AL$3),0,1))</f>
        <v>0</v>
      </c>
      <c r="AM252" s="3">
        <f t="shared" si="70"/>
        <v>0</v>
      </c>
      <c r="AN252" s="3" t="str">
        <f>IF(对接源_01水果!$AC252="","",对接源_01水果!$AC252)</f>
        <v/>
      </c>
      <c r="AO252" s="3">
        <f t="shared" si="71"/>
        <v>0</v>
      </c>
      <c r="AP252" s="3">
        <f t="shared" si="72"/>
        <v>0</v>
      </c>
      <c r="AR252">
        <f t="shared" si="74"/>
        <v>0</v>
      </c>
      <c r="AS252">
        <f t="shared" si="75"/>
        <v>0</v>
      </c>
    </row>
    <row r="253" ht="14.25" customHeight="1" spans="1:45">
      <c r="A253" s="3" t="str">
        <f>IF(对接源_01水果!$C253="","",对接源_01水果!$C253)</f>
        <v>荆建君</v>
      </c>
      <c r="B253" s="3">
        <f t="shared" si="57"/>
        <v>0</v>
      </c>
      <c r="C253" s="3">
        <f t="shared" si="58"/>
        <v>13</v>
      </c>
      <c r="E253" s="3" t="str">
        <f t="shared" si="59"/>
        <v/>
      </c>
      <c r="K253" s="3">
        <f>IF(OR($K$1="",对接源_01水果!$C253="",对接源_01水果!$C253&lt;&gt;$K$1,对接源_01水果!$B253=""),0,IF(OR(N(对接源_01水果!$B253)&lt;$K$2,N(对接源_01水果!$B253)&gt;$K$3),0,1))</f>
        <v>0</v>
      </c>
      <c r="L253" s="3">
        <f>IF(OR($L$1="",对接源_01水果!$C253="",对接源_01水果!$C253&lt;&gt;$L$1,对接源_01水果!$B253=""),0,IF(OR(N(对接源_01水果!$B253)&lt;$L$2,N(对接源_01水果!$B253)&gt;$L$3),0,1))</f>
        <v>0</v>
      </c>
      <c r="M253" s="3">
        <f>IF(OR($M$1="",对接源_01水果!$C253="",对接源_01水果!$C253&lt;&gt;$M$1,对接源_01水果!$B253=""),0,IF(OR(N(对接源_01水果!$B253)&lt;$M$2,N(对接源_01水果!$B253)&gt;$M$3),0,1))</f>
        <v>0</v>
      </c>
      <c r="N253" s="3">
        <f>IF(OR($N$1="",对接源_01水果!$C253="",对接源_01水果!$C253&lt;&gt;$N$1,对接源_01水果!$B253=""),0,IF(OR(N(对接源_01水果!$B253)&lt;$N$2,N(对接源_01水果!$B253)&gt;$N$3),0,1))</f>
        <v>0</v>
      </c>
      <c r="P253" s="3">
        <f>IF(AND($K253=1,AND(对接源_01水果!$X253="公司筐",N(对接源_01水果!$T253)&lt;&gt;0)),1,0)</f>
        <v>0</v>
      </c>
      <c r="Q253" s="3">
        <f t="shared" si="60"/>
        <v>0</v>
      </c>
      <c r="R253" s="3">
        <f>IF(AND($K253=1,AND(对接源_01水果!$X253="公司筐",N(对接源_01水果!$U253)&lt;&gt;0)),1,0)</f>
        <v>0</v>
      </c>
      <c r="S253" s="3">
        <f t="shared" si="61"/>
        <v>0</v>
      </c>
      <c r="T253" s="3">
        <f>IF(AND($K253=1,AND(对接源_01水果!$X253="公司筐",N(对接源_01水果!$V253)&lt;&gt;0)),1,0)</f>
        <v>0</v>
      </c>
      <c r="U253" s="3">
        <f t="shared" si="62"/>
        <v>9</v>
      </c>
      <c r="V253" s="3">
        <f>IF(AND($L253=1,AND(对接源_01水果!$X253="自备筐",N(对接源_01水果!$V253)&lt;&gt;0)),1,0)</f>
        <v>0</v>
      </c>
      <c r="W253" s="3">
        <f t="shared" si="63"/>
        <v>8</v>
      </c>
      <c r="X253" s="3">
        <f>IF(AND($L253=1,AND(对接源_01水果!$X253="自备筐",N(对接源_01水果!$T253)&lt;&gt;0)),1,0)</f>
        <v>0</v>
      </c>
      <c r="Y253" s="3">
        <f t="shared" si="64"/>
        <v>0</v>
      </c>
      <c r="Z253" s="3">
        <f>IF(AND($M253=1,对接源_01水果!$D253="原料入库"),1,0)</f>
        <v>0</v>
      </c>
      <c r="AA253" s="3">
        <f t="shared" si="65"/>
        <v>18</v>
      </c>
      <c r="AB253" s="3">
        <f>IF(AND($M253=1,LEFT(对接源_01水果!$D253,4)="原料出库"),1,0)</f>
        <v>0</v>
      </c>
      <c r="AC253" s="3">
        <f t="shared" si="66"/>
        <v>0</v>
      </c>
      <c r="AD253" s="3">
        <f>IF(AND($M253=1,LEFT(对接源_01水果!$D253,4)="成品出库"),1,0)</f>
        <v>0</v>
      </c>
      <c r="AE253" s="3">
        <f t="shared" si="67"/>
        <v>0</v>
      </c>
      <c r="AF253" s="3">
        <f>IF(AND($N253=1,AND(LEFT(对接源_01水果!$D253,4)="包装物料",N(对接源_01水果!$K253)&lt;&gt;0)),1,0)</f>
        <v>0</v>
      </c>
      <c r="AG253" s="3">
        <f t="shared" si="68"/>
        <v>0</v>
      </c>
      <c r="AH253" s="3">
        <f>IF(AND($N253=1,AND(对接源_01水果!$D253="周转筐－销售出库",N(对接源_01水果!$K253)&lt;&gt;0)),1,0)</f>
        <v>0</v>
      </c>
      <c r="AI253" s="3">
        <f t="shared" si="69"/>
        <v>0</v>
      </c>
      <c r="AJ253" s="7"/>
      <c r="AL253" s="3">
        <f>IF(OR($AL$1="",对接源_01水果!$Y253="",对接源_01水果!$Y253&lt;&gt;$AL$1,对接源_01水果!$B253="",N(对接源_01水果!$AJ253)&lt;=0),0,IF(OR(N(对接源_01水果!$B253)&lt;$AL$2,N(对接源_01水果!$B253)&gt;$AL$3),0,1))</f>
        <v>0</v>
      </c>
      <c r="AM253" s="3">
        <f t="shared" si="70"/>
        <v>0</v>
      </c>
      <c r="AN253" s="3" t="str">
        <f>IF(对接源_01水果!$AC253="","",对接源_01水果!$AC253)</f>
        <v/>
      </c>
      <c r="AO253" s="3">
        <f t="shared" si="71"/>
        <v>0</v>
      </c>
      <c r="AP253" s="3">
        <f t="shared" si="72"/>
        <v>0</v>
      </c>
      <c r="AR253">
        <f t="shared" si="74"/>
        <v>0</v>
      </c>
      <c r="AS253">
        <f t="shared" si="75"/>
        <v>0</v>
      </c>
    </row>
    <row r="254" ht="14.25" customHeight="1" spans="1:45">
      <c r="A254" s="3" t="str">
        <f>IF(对接源_01水果!$C254="","",对接源_01水果!$C254)</f>
        <v>热合曼+艾则孜</v>
      </c>
      <c r="B254" s="3">
        <f t="shared" si="57"/>
        <v>1</v>
      </c>
      <c r="C254" s="3">
        <f t="shared" si="58"/>
        <v>14</v>
      </c>
      <c r="E254" s="3" t="str">
        <f t="shared" si="59"/>
        <v/>
      </c>
      <c r="K254" s="3">
        <f>IF(OR($K$1="",对接源_01水果!$C254="",对接源_01水果!$C254&lt;&gt;$K$1,对接源_01水果!$B254=""),0,IF(OR(N(对接源_01水果!$B254)&lt;$K$2,N(对接源_01水果!$B254)&gt;$K$3),0,1))</f>
        <v>0</v>
      </c>
      <c r="L254" s="3">
        <f>IF(OR($L$1="",对接源_01水果!$C254="",对接源_01水果!$C254&lt;&gt;$L$1,对接源_01水果!$B254=""),0,IF(OR(N(对接源_01水果!$B254)&lt;$L$2,N(对接源_01水果!$B254)&gt;$L$3),0,1))</f>
        <v>0</v>
      </c>
      <c r="M254" s="3">
        <f>IF(OR($M$1="",对接源_01水果!$C254="",对接源_01水果!$C254&lt;&gt;$M$1,对接源_01水果!$B254=""),0,IF(OR(N(对接源_01水果!$B254)&lt;$M$2,N(对接源_01水果!$B254)&gt;$M$3),0,1))</f>
        <v>0</v>
      </c>
      <c r="N254" s="3">
        <f>IF(OR($N$1="",对接源_01水果!$C254="",对接源_01水果!$C254&lt;&gt;$N$1,对接源_01水果!$B254=""),0,IF(OR(N(对接源_01水果!$B254)&lt;$N$2,N(对接源_01水果!$B254)&gt;$N$3),0,1))</f>
        <v>0</v>
      </c>
      <c r="P254" s="3">
        <f>IF(AND($K254=1,AND(对接源_01水果!$X254="公司筐",N(对接源_01水果!$T254)&lt;&gt;0)),1,0)</f>
        <v>0</v>
      </c>
      <c r="Q254" s="3">
        <f t="shared" si="60"/>
        <v>0</v>
      </c>
      <c r="R254" s="3">
        <f>IF(AND($K254=1,AND(对接源_01水果!$X254="公司筐",N(对接源_01水果!$U254)&lt;&gt;0)),1,0)</f>
        <v>0</v>
      </c>
      <c r="S254" s="3">
        <f t="shared" si="61"/>
        <v>0</v>
      </c>
      <c r="T254" s="3">
        <f>IF(AND($K254=1,AND(对接源_01水果!$X254="公司筐",N(对接源_01水果!$V254)&lt;&gt;0)),1,0)</f>
        <v>0</v>
      </c>
      <c r="U254" s="3">
        <f t="shared" si="62"/>
        <v>9</v>
      </c>
      <c r="V254" s="3">
        <f>IF(AND($L254=1,AND(对接源_01水果!$X254="自备筐",N(对接源_01水果!$V254)&lt;&gt;0)),1,0)</f>
        <v>0</v>
      </c>
      <c r="W254" s="3">
        <f t="shared" si="63"/>
        <v>8</v>
      </c>
      <c r="X254" s="3">
        <f>IF(AND($L254=1,AND(对接源_01水果!$X254="自备筐",N(对接源_01水果!$T254)&lt;&gt;0)),1,0)</f>
        <v>0</v>
      </c>
      <c r="Y254" s="3">
        <f t="shared" si="64"/>
        <v>0</v>
      </c>
      <c r="Z254" s="3">
        <f>IF(AND($M254=1,对接源_01水果!$D254="原料入库"),1,0)</f>
        <v>0</v>
      </c>
      <c r="AA254" s="3">
        <f t="shared" si="65"/>
        <v>18</v>
      </c>
      <c r="AB254" s="3">
        <f>IF(AND($M254=1,LEFT(对接源_01水果!$D254,4)="原料出库"),1,0)</f>
        <v>0</v>
      </c>
      <c r="AC254" s="3">
        <f t="shared" si="66"/>
        <v>0</v>
      </c>
      <c r="AD254" s="3">
        <f>IF(AND($M254=1,LEFT(对接源_01水果!$D254,4)="成品出库"),1,0)</f>
        <v>0</v>
      </c>
      <c r="AE254" s="3">
        <f t="shared" si="67"/>
        <v>0</v>
      </c>
      <c r="AF254" s="3">
        <f>IF(AND($N254=1,AND(LEFT(对接源_01水果!$D254,4)="包装物料",N(对接源_01水果!$K254)&lt;&gt;0)),1,0)</f>
        <v>0</v>
      </c>
      <c r="AG254" s="3">
        <f t="shared" si="68"/>
        <v>0</v>
      </c>
      <c r="AH254" s="3">
        <f>IF(AND($N254=1,AND(对接源_01水果!$D254="周转筐－销售出库",N(对接源_01水果!$K254)&lt;&gt;0)),1,0)</f>
        <v>0</v>
      </c>
      <c r="AI254" s="3">
        <f t="shared" si="69"/>
        <v>0</v>
      </c>
      <c r="AJ254" s="7"/>
      <c r="AL254" s="3">
        <f>IF(OR($AL$1="",对接源_01水果!$Y254="",对接源_01水果!$Y254&lt;&gt;$AL$1,对接源_01水果!$B254="",N(对接源_01水果!$AJ254)&lt;=0),0,IF(OR(N(对接源_01水果!$B254)&lt;$AL$2,N(对接源_01水果!$B254)&gt;$AL$3),0,1))</f>
        <v>0</v>
      </c>
      <c r="AM254" s="3">
        <f t="shared" si="70"/>
        <v>0</v>
      </c>
      <c r="AN254" s="3" t="str">
        <f>IF(对接源_01水果!$AC254="","",对接源_01水果!$AC254)</f>
        <v/>
      </c>
      <c r="AO254" s="3">
        <f t="shared" si="71"/>
        <v>0</v>
      </c>
      <c r="AP254" s="3">
        <f t="shared" si="72"/>
        <v>0</v>
      </c>
      <c r="AR254">
        <f t="shared" si="74"/>
        <v>0</v>
      </c>
      <c r="AS254">
        <f t="shared" si="75"/>
        <v>0</v>
      </c>
    </row>
    <row r="255" ht="14.25" customHeight="1" spans="1:45">
      <c r="A255" s="3" t="str">
        <f>IF(对接源_01水果!$C255="","",对接源_01水果!$C255)</f>
        <v>热合曼+艾则孜</v>
      </c>
      <c r="B255" s="3">
        <f t="shared" si="57"/>
        <v>0</v>
      </c>
      <c r="C255" s="3">
        <f t="shared" si="58"/>
        <v>14</v>
      </c>
      <c r="E255" s="3" t="str">
        <f t="shared" si="59"/>
        <v/>
      </c>
      <c r="K255" s="3">
        <f>IF(OR($K$1="",对接源_01水果!$C255="",对接源_01水果!$C255&lt;&gt;$K$1,对接源_01水果!$B255=""),0,IF(OR(N(对接源_01水果!$B255)&lt;$K$2,N(对接源_01水果!$B255)&gt;$K$3),0,1))</f>
        <v>0</v>
      </c>
      <c r="L255" s="3">
        <f>IF(OR($L$1="",对接源_01水果!$C255="",对接源_01水果!$C255&lt;&gt;$L$1,对接源_01水果!$B255=""),0,IF(OR(N(对接源_01水果!$B255)&lt;$L$2,N(对接源_01水果!$B255)&gt;$L$3),0,1))</f>
        <v>0</v>
      </c>
      <c r="M255" s="3">
        <f>IF(OR($M$1="",对接源_01水果!$C255="",对接源_01水果!$C255&lt;&gt;$M$1,对接源_01水果!$B255=""),0,IF(OR(N(对接源_01水果!$B255)&lt;$M$2,N(对接源_01水果!$B255)&gt;$M$3),0,1))</f>
        <v>0</v>
      </c>
      <c r="N255" s="3">
        <f>IF(OR($N$1="",对接源_01水果!$C255="",对接源_01水果!$C255&lt;&gt;$N$1,对接源_01水果!$B255=""),0,IF(OR(N(对接源_01水果!$B255)&lt;$N$2,N(对接源_01水果!$B255)&gt;$N$3),0,1))</f>
        <v>0</v>
      </c>
      <c r="P255" s="3">
        <f>IF(AND($K255=1,AND(对接源_01水果!$X255="公司筐",N(对接源_01水果!$T255)&lt;&gt;0)),1,0)</f>
        <v>0</v>
      </c>
      <c r="Q255" s="3">
        <f t="shared" si="60"/>
        <v>0</v>
      </c>
      <c r="R255" s="3">
        <f>IF(AND($K255=1,AND(对接源_01水果!$X255="公司筐",N(对接源_01水果!$U255)&lt;&gt;0)),1,0)</f>
        <v>0</v>
      </c>
      <c r="S255" s="3">
        <f t="shared" si="61"/>
        <v>0</v>
      </c>
      <c r="T255" s="3">
        <f>IF(AND($K255=1,AND(对接源_01水果!$X255="公司筐",N(对接源_01水果!$V255)&lt;&gt;0)),1,0)</f>
        <v>0</v>
      </c>
      <c r="U255" s="3">
        <f t="shared" si="62"/>
        <v>9</v>
      </c>
      <c r="V255" s="3">
        <f>IF(AND($L255=1,AND(对接源_01水果!$X255="自备筐",N(对接源_01水果!$V255)&lt;&gt;0)),1,0)</f>
        <v>0</v>
      </c>
      <c r="W255" s="3">
        <f t="shared" si="63"/>
        <v>8</v>
      </c>
      <c r="X255" s="3">
        <f>IF(AND($L255=1,AND(对接源_01水果!$X255="自备筐",N(对接源_01水果!$T255)&lt;&gt;0)),1,0)</f>
        <v>0</v>
      </c>
      <c r="Y255" s="3">
        <f t="shared" si="64"/>
        <v>0</v>
      </c>
      <c r="Z255" s="3">
        <f>IF(AND($M255=1,对接源_01水果!$D255="原料入库"),1,0)</f>
        <v>0</v>
      </c>
      <c r="AA255" s="3">
        <f t="shared" si="65"/>
        <v>18</v>
      </c>
      <c r="AB255" s="3">
        <f>IF(AND($M255=1,LEFT(对接源_01水果!$D255,4)="原料出库"),1,0)</f>
        <v>0</v>
      </c>
      <c r="AC255" s="3">
        <f t="shared" si="66"/>
        <v>0</v>
      </c>
      <c r="AD255" s="3">
        <f>IF(AND($M255=1,LEFT(对接源_01水果!$D255,4)="成品出库"),1,0)</f>
        <v>0</v>
      </c>
      <c r="AE255" s="3">
        <f t="shared" si="67"/>
        <v>0</v>
      </c>
      <c r="AF255" s="3">
        <f>IF(AND($N255=1,AND(LEFT(对接源_01水果!$D255,4)="包装物料",N(对接源_01水果!$K255)&lt;&gt;0)),1,0)</f>
        <v>0</v>
      </c>
      <c r="AG255" s="3">
        <f t="shared" si="68"/>
        <v>0</v>
      </c>
      <c r="AH255" s="3">
        <f>IF(AND($N255=1,AND(对接源_01水果!$D255="周转筐－销售出库",N(对接源_01水果!$K255)&lt;&gt;0)),1,0)</f>
        <v>0</v>
      </c>
      <c r="AI255" s="3">
        <f t="shared" si="69"/>
        <v>0</v>
      </c>
      <c r="AJ255" s="7"/>
      <c r="AL255" s="3">
        <f>IF(OR($AL$1="",对接源_01水果!$Y255="",对接源_01水果!$Y255&lt;&gt;$AL$1,对接源_01水果!$B255="",N(对接源_01水果!$AJ255)&lt;=0),0,IF(OR(N(对接源_01水果!$B255)&lt;$AL$2,N(对接源_01水果!$B255)&gt;$AL$3),0,1))</f>
        <v>0</v>
      </c>
      <c r="AM255" s="3">
        <f t="shared" si="70"/>
        <v>0</v>
      </c>
      <c r="AN255" s="3" t="str">
        <f>IF(对接源_01水果!$AC255="","",对接源_01水果!$AC255)</f>
        <v/>
      </c>
      <c r="AO255" s="3">
        <f t="shared" si="71"/>
        <v>0</v>
      </c>
      <c r="AP255" s="3">
        <f t="shared" si="72"/>
        <v>0</v>
      </c>
      <c r="AR255">
        <f t="shared" si="74"/>
        <v>0</v>
      </c>
      <c r="AS255">
        <f t="shared" si="75"/>
        <v>0</v>
      </c>
    </row>
    <row r="256" ht="14.25" customHeight="1" spans="1:45">
      <c r="A256" s="3" t="str">
        <f>IF(对接源_01水果!$C256="","",对接源_01水果!$C256)</f>
        <v>热合曼+艾则孜</v>
      </c>
      <c r="B256" s="3">
        <f t="shared" si="57"/>
        <v>0</v>
      </c>
      <c r="C256" s="3">
        <f t="shared" si="58"/>
        <v>14</v>
      </c>
      <c r="E256" s="3" t="str">
        <f t="shared" si="59"/>
        <v/>
      </c>
      <c r="K256" s="3">
        <f>IF(OR($K$1="",对接源_01水果!$C256="",对接源_01水果!$C256&lt;&gt;$K$1,对接源_01水果!$B256=""),0,IF(OR(N(对接源_01水果!$B256)&lt;$K$2,N(对接源_01水果!$B256)&gt;$K$3),0,1))</f>
        <v>0</v>
      </c>
      <c r="L256" s="3">
        <f>IF(OR($L$1="",对接源_01水果!$C256="",对接源_01水果!$C256&lt;&gt;$L$1,对接源_01水果!$B256=""),0,IF(OR(N(对接源_01水果!$B256)&lt;$L$2,N(对接源_01水果!$B256)&gt;$L$3),0,1))</f>
        <v>0</v>
      </c>
      <c r="M256" s="3">
        <f>IF(OR($M$1="",对接源_01水果!$C256="",对接源_01水果!$C256&lt;&gt;$M$1,对接源_01水果!$B256=""),0,IF(OR(N(对接源_01水果!$B256)&lt;$M$2,N(对接源_01水果!$B256)&gt;$M$3),0,1))</f>
        <v>0</v>
      </c>
      <c r="N256" s="3">
        <f>IF(OR($N$1="",对接源_01水果!$C256="",对接源_01水果!$C256&lt;&gt;$N$1,对接源_01水果!$B256=""),0,IF(OR(N(对接源_01水果!$B256)&lt;$N$2,N(对接源_01水果!$B256)&gt;$N$3),0,1))</f>
        <v>0</v>
      </c>
      <c r="P256" s="3">
        <f>IF(AND($K256=1,AND(对接源_01水果!$X256="公司筐",N(对接源_01水果!$T256)&lt;&gt;0)),1,0)</f>
        <v>0</v>
      </c>
      <c r="Q256" s="3">
        <f t="shared" si="60"/>
        <v>0</v>
      </c>
      <c r="R256" s="3">
        <f>IF(AND($K256=1,AND(对接源_01水果!$X256="公司筐",N(对接源_01水果!$U256)&lt;&gt;0)),1,0)</f>
        <v>0</v>
      </c>
      <c r="S256" s="3">
        <f t="shared" si="61"/>
        <v>0</v>
      </c>
      <c r="T256" s="3">
        <f>IF(AND($K256=1,AND(对接源_01水果!$X256="公司筐",N(对接源_01水果!$V256)&lt;&gt;0)),1,0)</f>
        <v>0</v>
      </c>
      <c r="U256" s="3">
        <f t="shared" si="62"/>
        <v>9</v>
      </c>
      <c r="V256" s="3">
        <f>IF(AND($L256=1,AND(对接源_01水果!$X256="自备筐",N(对接源_01水果!$V256)&lt;&gt;0)),1,0)</f>
        <v>0</v>
      </c>
      <c r="W256" s="3">
        <f t="shared" si="63"/>
        <v>8</v>
      </c>
      <c r="X256" s="3">
        <f>IF(AND($L256=1,AND(对接源_01水果!$X256="自备筐",N(对接源_01水果!$T256)&lt;&gt;0)),1,0)</f>
        <v>0</v>
      </c>
      <c r="Y256" s="3">
        <f t="shared" si="64"/>
        <v>0</v>
      </c>
      <c r="Z256" s="3">
        <f>IF(AND($M256=1,对接源_01水果!$D256="原料入库"),1,0)</f>
        <v>0</v>
      </c>
      <c r="AA256" s="3">
        <f t="shared" si="65"/>
        <v>18</v>
      </c>
      <c r="AB256" s="3">
        <f>IF(AND($M256=1,LEFT(对接源_01水果!$D256,4)="原料出库"),1,0)</f>
        <v>0</v>
      </c>
      <c r="AC256" s="3">
        <f t="shared" si="66"/>
        <v>0</v>
      </c>
      <c r="AD256" s="3">
        <f>IF(AND($M256=1,LEFT(对接源_01水果!$D256,4)="成品出库"),1,0)</f>
        <v>0</v>
      </c>
      <c r="AE256" s="3">
        <f t="shared" si="67"/>
        <v>0</v>
      </c>
      <c r="AF256" s="3">
        <f>IF(AND($N256=1,AND(LEFT(对接源_01水果!$D256,4)="包装物料",N(对接源_01水果!$K256)&lt;&gt;0)),1,0)</f>
        <v>0</v>
      </c>
      <c r="AG256" s="3">
        <f t="shared" si="68"/>
        <v>0</v>
      </c>
      <c r="AH256" s="3">
        <f>IF(AND($N256=1,AND(对接源_01水果!$D256="周转筐－销售出库",N(对接源_01水果!$K256)&lt;&gt;0)),1,0)</f>
        <v>0</v>
      </c>
      <c r="AI256" s="3">
        <f t="shared" si="69"/>
        <v>0</v>
      </c>
      <c r="AJ256" s="7"/>
      <c r="AL256" s="3">
        <f>IF(OR($AL$1="",对接源_01水果!$Y256="",对接源_01水果!$Y256&lt;&gt;$AL$1,对接源_01水果!$B256="",N(对接源_01水果!$AJ256)&lt;=0),0,IF(OR(N(对接源_01水果!$B256)&lt;$AL$2,N(对接源_01水果!$B256)&gt;$AL$3),0,1))</f>
        <v>0</v>
      </c>
      <c r="AM256" s="3">
        <f t="shared" si="70"/>
        <v>0</v>
      </c>
      <c r="AN256" s="3" t="str">
        <f>IF(对接源_01水果!$AC256="","",对接源_01水果!$AC256)</f>
        <v/>
      </c>
      <c r="AO256" s="3">
        <f t="shared" si="71"/>
        <v>0</v>
      </c>
      <c r="AP256" s="3">
        <f t="shared" si="72"/>
        <v>0</v>
      </c>
      <c r="AR256">
        <f t="shared" si="74"/>
        <v>0</v>
      </c>
      <c r="AS256">
        <f t="shared" si="75"/>
        <v>0</v>
      </c>
    </row>
    <row r="257" ht="14.25" customHeight="1" spans="1:45">
      <c r="A257" s="3" t="str">
        <f>IF(对接源_01水果!$C257="","",对接源_01水果!$C257)</f>
        <v>王灵云</v>
      </c>
      <c r="B257" s="3">
        <f t="shared" si="57"/>
        <v>0</v>
      </c>
      <c r="C257" s="3">
        <f t="shared" si="58"/>
        <v>14</v>
      </c>
      <c r="E257" s="3" t="str">
        <f t="shared" si="59"/>
        <v/>
      </c>
      <c r="K257" s="3">
        <f>IF(OR($K$1="",对接源_01水果!$C257="",对接源_01水果!$C257&lt;&gt;$K$1,对接源_01水果!$B257=""),0,IF(OR(N(对接源_01水果!$B257)&lt;$K$2,N(对接源_01水果!$B257)&gt;$K$3),0,1))</f>
        <v>1</v>
      </c>
      <c r="L257" s="3">
        <f>IF(OR($L$1="",对接源_01水果!$C257="",对接源_01水果!$C257&lt;&gt;$L$1,对接源_01水果!$B257=""),0,IF(OR(N(对接源_01水果!$B257)&lt;$L$2,N(对接源_01水果!$B257)&gt;$L$3),0,1))</f>
        <v>0</v>
      </c>
      <c r="M257" s="3">
        <f>IF(OR($M$1="",对接源_01水果!$C257="",对接源_01水果!$C257&lt;&gt;$M$1,对接源_01水果!$B257=""),0,IF(OR(N(对接源_01水果!$B257)&lt;$M$2,N(对接源_01水果!$B257)&gt;$M$3),0,1))</f>
        <v>0</v>
      </c>
      <c r="N257" s="3">
        <f>IF(OR($N$1="",对接源_01水果!$C257="",对接源_01水果!$C257&lt;&gt;$N$1,对接源_01水果!$B257=""),0,IF(OR(N(对接源_01水果!$B257)&lt;$N$2,N(对接源_01水果!$B257)&gt;$N$3),0,1))</f>
        <v>0</v>
      </c>
      <c r="P257" s="3">
        <f>IF(AND($K257=1,AND(对接源_01水果!$X257="公司筐",N(对接源_01水果!$T257)&lt;&gt;0)),1,0)</f>
        <v>0</v>
      </c>
      <c r="Q257" s="3">
        <f t="shared" si="60"/>
        <v>0</v>
      </c>
      <c r="R257" s="3">
        <f>IF(AND($K257=1,AND(对接源_01水果!$X257="公司筐",N(对接源_01水果!$U257)&lt;&gt;0)),1,0)</f>
        <v>0</v>
      </c>
      <c r="S257" s="3">
        <f t="shared" si="61"/>
        <v>0</v>
      </c>
      <c r="T257" s="3">
        <f>IF(AND($K257=1,AND(对接源_01水果!$X257="公司筐",N(对接源_01水果!$V257)&lt;&gt;0)),1,0)</f>
        <v>1</v>
      </c>
      <c r="U257" s="3">
        <f t="shared" si="62"/>
        <v>10</v>
      </c>
      <c r="V257" s="3">
        <f>IF(AND($L257=1,AND(对接源_01水果!$X257="自备筐",N(对接源_01水果!$V257)&lt;&gt;0)),1,0)</f>
        <v>0</v>
      </c>
      <c r="W257" s="3">
        <f t="shared" si="63"/>
        <v>8</v>
      </c>
      <c r="X257" s="3">
        <f>IF(AND($L257=1,AND(对接源_01水果!$X257="自备筐",N(对接源_01水果!$T257)&lt;&gt;0)),1,0)</f>
        <v>0</v>
      </c>
      <c r="Y257" s="3">
        <f t="shared" si="64"/>
        <v>0</v>
      </c>
      <c r="Z257" s="3">
        <f>IF(AND($M257=1,对接源_01水果!$D257="原料入库"),1,0)</f>
        <v>0</v>
      </c>
      <c r="AA257" s="3">
        <f t="shared" si="65"/>
        <v>18</v>
      </c>
      <c r="AB257" s="3">
        <f>IF(AND($M257=1,LEFT(对接源_01水果!$D257,4)="原料出库"),1,0)</f>
        <v>0</v>
      </c>
      <c r="AC257" s="3">
        <f t="shared" si="66"/>
        <v>0</v>
      </c>
      <c r="AD257" s="3">
        <f>IF(AND($M257=1,LEFT(对接源_01水果!$D257,4)="成品出库"),1,0)</f>
        <v>0</v>
      </c>
      <c r="AE257" s="3">
        <f t="shared" si="67"/>
        <v>0</v>
      </c>
      <c r="AF257" s="3">
        <f>IF(AND($N257=1,AND(LEFT(对接源_01水果!$D257,4)="包装物料",N(对接源_01水果!$K257)&lt;&gt;0)),1,0)</f>
        <v>0</v>
      </c>
      <c r="AG257" s="3">
        <f t="shared" si="68"/>
        <v>0</v>
      </c>
      <c r="AH257" s="3">
        <f>IF(AND($N257=1,AND(对接源_01水果!$D257="周转筐－销售出库",N(对接源_01水果!$K257)&lt;&gt;0)),1,0)</f>
        <v>0</v>
      </c>
      <c r="AI257" s="3">
        <f t="shared" si="69"/>
        <v>0</v>
      </c>
      <c r="AJ257" s="7"/>
      <c r="AL257" s="3">
        <f>IF(OR($AL$1="",对接源_01水果!$Y257="",对接源_01水果!$Y257&lt;&gt;$AL$1,对接源_01水果!$B257="",N(对接源_01水果!$AJ257)&lt;=0),0,IF(OR(N(对接源_01水果!$B257)&lt;$AL$2,N(对接源_01水果!$B257)&gt;$AL$3),0,1))</f>
        <v>0</v>
      </c>
      <c r="AM257" s="3">
        <f t="shared" si="70"/>
        <v>0</v>
      </c>
      <c r="AN257" s="3" t="str">
        <f>IF(对接源_01水果!$AC257="","",对接源_01水果!$AC257)</f>
        <v/>
      </c>
      <c r="AO257" s="3">
        <f t="shared" si="71"/>
        <v>0</v>
      </c>
      <c r="AP257" s="3">
        <f t="shared" si="72"/>
        <v>0</v>
      </c>
      <c r="AR257">
        <f t="shared" si="74"/>
        <v>0</v>
      </c>
      <c r="AS257">
        <f t="shared" si="75"/>
        <v>0</v>
      </c>
    </row>
    <row r="258" ht="14.25" customHeight="1" spans="1:45">
      <c r="A258" s="3" t="str">
        <f>IF(对接源_01水果!$C258="","",对接源_01水果!$C258)</f>
        <v>王灵云</v>
      </c>
      <c r="B258" s="3">
        <f t="shared" si="57"/>
        <v>0</v>
      </c>
      <c r="C258" s="3">
        <f t="shared" si="58"/>
        <v>14</v>
      </c>
      <c r="E258" s="3" t="str">
        <f t="shared" si="59"/>
        <v/>
      </c>
      <c r="K258" s="3">
        <f>IF(OR($K$1="",对接源_01水果!$C258="",对接源_01水果!$C258&lt;&gt;$K$1,对接源_01水果!$B258=""),0,IF(OR(N(对接源_01水果!$B258)&lt;$K$2,N(对接源_01水果!$B258)&gt;$K$3),0,1))</f>
        <v>1</v>
      </c>
      <c r="L258" s="3">
        <f>IF(OR($L$1="",对接源_01水果!$C258="",对接源_01水果!$C258&lt;&gt;$L$1,对接源_01水果!$B258=""),0,IF(OR(N(对接源_01水果!$B258)&lt;$L$2,N(对接源_01水果!$B258)&gt;$L$3),0,1))</f>
        <v>0</v>
      </c>
      <c r="M258" s="3">
        <f>IF(OR($M$1="",对接源_01水果!$C258="",对接源_01水果!$C258&lt;&gt;$M$1,对接源_01水果!$B258=""),0,IF(OR(N(对接源_01水果!$B258)&lt;$M$2,N(对接源_01水果!$B258)&gt;$M$3),0,1))</f>
        <v>0</v>
      </c>
      <c r="N258" s="3">
        <f>IF(OR($N$1="",对接源_01水果!$C258="",对接源_01水果!$C258&lt;&gt;$N$1,对接源_01水果!$B258=""),0,IF(OR(N(对接源_01水果!$B258)&lt;$N$2,N(对接源_01水果!$B258)&gt;$N$3),0,1))</f>
        <v>0</v>
      </c>
      <c r="P258" s="3">
        <f>IF(AND($K258=1,AND(对接源_01水果!$X258="公司筐",N(对接源_01水果!$T258)&lt;&gt;0)),1,0)</f>
        <v>0</v>
      </c>
      <c r="Q258" s="3">
        <f t="shared" si="60"/>
        <v>0</v>
      </c>
      <c r="R258" s="3">
        <f>IF(AND($K258=1,AND(对接源_01水果!$X258="公司筐",N(对接源_01水果!$U258)&lt;&gt;0)),1,0)</f>
        <v>0</v>
      </c>
      <c r="S258" s="3">
        <f t="shared" si="61"/>
        <v>0</v>
      </c>
      <c r="T258" s="3">
        <f>IF(AND($K258=1,AND(对接源_01水果!$X258="公司筐",N(对接源_01水果!$V258)&lt;&gt;0)),1,0)</f>
        <v>1</v>
      </c>
      <c r="U258" s="3">
        <f t="shared" si="62"/>
        <v>11</v>
      </c>
      <c r="V258" s="3">
        <f>IF(AND($L258=1,AND(对接源_01水果!$X258="自备筐",N(对接源_01水果!$V258)&lt;&gt;0)),1,0)</f>
        <v>0</v>
      </c>
      <c r="W258" s="3">
        <f t="shared" si="63"/>
        <v>8</v>
      </c>
      <c r="X258" s="3">
        <f>IF(AND($L258=1,AND(对接源_01水果!$X258="自备筐",N(对接源_01水果!$T258)&lt;&gt;0)),1,0)</f>
        <v>0</v>
      </c>
      <c r="Y258" s="3">
        <f t="shared" si="64"/>
        <v>0</v>
      </c>
      <c r="Z258" s="3">
        <f>IF(AND($M258=1,对接源_01水果!$D258="原料入库"),1,0)</f>
        <v>0</v>
      </c>
      <c r="AA258" s="3">
        <f t="shared" si="65"/>
        <v>18</v>
      </c>
      <c r="AB258" s="3">
        <f>IF(AND($M258=1,LEFT(对接源_01水果!$D258,4)="原料出库"),1,0)</f>
        <v>0</v>
      </c>
      <c r="AC258" s="3">
        <f t="shared" si="66"/>
        <v>0</v>
      </c>
      <c r="AD258" s="3">
        <f>IF(AND($M258=1,LEFT(对接源_01水果!$D258,4)="成品出库"),1,0)</f>
        <v>0</v>
      </c>
      <c r="AE258" s="3">
        <f t="shared" si="67"/>
        <v>0</v>
      </c>
      <c r="AF258" s="3">
        <f>IF(AND($N258=1,AND(LEFT(对接源_01水果!$D258,4)="包装物料",N(对接源_01水果!$K258)&lt;&gt;0)),1,0)</f>
        <v>0</v>
      </c>
      <c r="AG258" s="3">
        <f t="shared" si="68"/>
        <v>0</v>
      </c>
      <c r="AH258" s="3">
        <f>IF(AND($N258=1,AND(对接源_01水果!$D258="周转筐－销售出库",N(对接源_01水果!$K258)&lt;&gt;0)),1,0)</f>
        <v>0</v>
      </c>
      <c r="AI258" s="3">
        <f t="shared" si="69"/>
        <v>0</v>
      </c>
      <c r="AJ258" s="7"/>
      <c r="AL258" s="3">
        <f>IF(OR($AL$1="",对接源_01水果!$Y258="",对接源_01水果!$Y258&lt;&gt;$AL$1,对接源_01水果!$B258="",N(对接源_01水果!$AJ258)&lt;=0),0,IF(OR(N(对接源_01水果!$B258)&lt;$AL$2,N(对接源_01水果!$B258)&gt;$AL$3),0,1))</f>
        <v>0</v>
      </c>
      <c r="AM258" s="3">
        <f t="shared" si="70"/>
        <v>0</v>
      </c>
      <c r="AN258" s="3" t="str">
        <f>IF(对接源_01水果!$AC258="","",对接源_01水果!$AC258)</f>
        <v/>
      </c>
      <c r="AO258" s="3">
        <f t="shared" si="71"/>
        <v>0</v>
      </c>
      <c r="AP258" s="3">
        <f t="shared" si="72"/>
        <v>0</v>
      </c>
      <c r="AR258">
        <f t="shared" si="74"/>
        <v>0</v>
      </c>
      <c r="AS258">
        <f t="shared" si="75"/>
        <v>0</v>
      </c>
    </row>
    <row r="259" ht="14.25" customHeight="1" spans="1:45">
      <c r="A259" s="3" t="str">
        <f>IF(对接源_01水果!$C259="","",对接源_01水果!$C259)</f>
        <v>李现东</v>
      </c>
      <c r="B259" s="3">
        <f t="shared" si="57"/>
        <v>1</v>
      </c>
      <c r="C259" s="3">
        <f t="shared" si="58"/>
        <v>15</v>
      </c>
      <c r="E259" s="3" t="str">
        <f t="shared" si="59"/>
        <v/>
      </c>
      <c r="K259" s="3">
        <f>IF(OR($K$1="",对接源_01水果!$C259="",对接源_01水果!$C259&lt;&gt;$K$1,对接源_01水果!$B259=""),0,IF(OR(N(对接源_01水果!$B259)&lt;$K$2,N(对接源_01水果!$B259)&gt;$K$3),0,1))</f>
        <v>0</v>
      </c>
      <c r="L259" s="3">
        <f>IF(OR($L$1="",对接源_01水果!$C259="",对接源_01水果!$C259&lt;&gt;$L$1,对接源_01水果!$B259=""),0,IF(OR(N(对接源_01水果!$B259)&lt;$L$2,N(对接源_01水果!$B259)&gt;$L$3),0,1))</f>
        <v>0</v>
      </c>
      <c r="M259" s="3">
        <f>IF(OR($M$1="",对接源_01水果!$C259="",对接源_01水果!$C259&lt;&gt;$M$1,对接源_01水果!$B259=""),0,IF(OR(N(对接源_01水果!$B259)&lt;$M$2,N(对接源_01水果!$B259)&gt;$M$3),0,1))</f>
        <v>0</v>
      </c>
      <c r="N259" s="3">
        <f>IF(OR($N$1="",对接源_01水果!$C259="",对接源_01水果!$C259&lt;&gt;$N$1,对接源_01水果!$B259=""),0,IF(OR(N(对接源_01水果!$B259)&lt;$N$2,N(对接源_01水果!$B259)&gt;$N$3),0,1))</f>
        <v>0</v>
      </c>
      <c r="P259" s="3">
        <f>IF(AND($K259=1,AND(对接源_01水果!$X259="公司筐",N(对接源_01水果!$T259)&lt;&gt;0)),1,0)</f>
        <v>0</v>
      </c>
      <c r="Q259" s="3">
        <f t="shared" si="60"/>
        <v>0</v>
      </c>
      <c r="R259" s="3">
        <f>IF(AND($K259=1,AND(对接源_01水果!$X259="公司筐",N(对接源_01水果!$U259)&lt;&gt;0)),1,0)</f>
        <v>0</v>
      </c>
      <c r="S259" s="3">
        <f t="shared" si="61"/>
        <v>0</v>
      </c>
      <c r="T259" s="3">
        <f>IF(AND($K259=1,AND(对接源_01水果!$X259="公司筐",N(对接源_01水果!$V259)&lt;&gt;0)),1,0)</f>
        <v>0</v>
      </c>
      <c r="U259" s="3">
        <f t="shared" si="62"/>
        <v>11</v>
      </c>
      <c r="V259" s="3">
        <f>IF(AND($L259=1,AND(对接源_01水果!$X259="自备筐",N(对接源_01水果!$V259)&lt;&gt;0)),1,0)</f>
        <v>0</v>
      </c>
      <c r="W259" s="3">
        <f t="shared" si="63"/>
        <v>8</v>
      </c>
      <c r="X259" s="3">
        <f>IF(AND($L259=1,AND(对接源_01水果!$X259="自备筐",N(对接源_01水果!$T259)&lt;&gt;0)),1,0)</f>
        <v>0</v>
      </c>
      <c r="Y259" s="3">
        <f t="shared" si="64"/>
        <v>0</v>
      </c>
      <c r="Z259" s="3">
        <f>IF(AND($M259=1,对接源_01水果!$D259="原料入库"),1,0)</f>
        <v>0</v>
      </c>
      <c r="AA259" s="3">
        <f t="shared" si="65"/>
        <v>18</v>
      </c>
      <c r="AB259" s="3">
        <f>IF(AND($M259=1,LEFT(对接源_01水果!$D259,4)="原料出库"),1,0)</f>
        <v>0</v>
      </c>
      <c r="AC259" s="3">
        <f t="shared" si="66"/>
        <v>0</v>
      </c>
      <c r="AD259" s="3">
        <f>IF(AND($M259=1,LEFT(对接源_01水果!$D259,4)="成品出库"),1,0)</f>
        <v>0</v>
      </c>
      <c r="AE259" s="3">
        <f t="shared" si="67"/>
        <v>0</v>
      </c>
      <c r="AF259" s="3">
        <f>IF(AND($N259=1,AND(LEFT(对接源_01水果!$D259,4)="包装物料",N(对接源_01水果!$K259)&lt;&gt;0)),1,0)</f>
        <v>0</v>
      </c>
      <c r="AG259" s="3">
        <f t="shared" si="68"/>
        <v>0</v>
      </c>
      <c r="AH259" s="3">
        <f>IF(AND($N259=1,AND(对接源_01水果!$D259="周转筐－销售出库",N(对接源_01水果!$K259)&lt;&gt;0)),1,0)</f>
        <v>0</v>
      </c>
      <c r="AI259" s="3">
        <f t="shared" si="69"/>
        <v>0</v>
      </c>
      <c r="AJ259" s="7"/>
      <c r="AL259" s="3">
        <f>IF(OR($AL$1="",对接源_01水果!$Y259="",对接源_01水果!$Y259&lt;&gt;$AL$1,对接源_01水果!$B259="",N(对接源_01水果!$AJ259)&lt;=0),0,IF(OR(N(对接源_01水果!$B259)&lt;$AL$2,N(对接源_01水果!$B259)&gt;$AL$3),0,1))</f>
        <v>0</v>
      </c>
      <c r="AM259" s="3">
        <f t="shared" si="70"/>
        <v>0</v>
      </c>
      <c r="AN259" s="3" t="str">
        <f>IF(对接源_01水果!$AC259="","",对接源_01水果!$AC259)</f>
        <v/>
      </c>
      <c r="AO259" s="3">
        <f t="shared" si="71"/>
        <v>0</v>
      </c>
      <c r="AP259" s="3">
        <f t="shared" si="72"/>
        <v>0</v>
      </c>
      <c r="AR259">
        <f t="shared" si="74"/>
        <v>0</v>
      </c>
      <c r="AS259">
        <f t="shared" si="75"/>
        <v>0</v>
      </c>
    </row>
    <row r="260" ht="14.25" customHeight="1" spans="1:45">
      <c r="A260" s="3" t="str">
        <f>IF(对接源_01水果!$C260="","",对接源_01水果!$C260)</f>
        <v>李现东</v>
      </c>
      <c r="B260" s="3">
        <f t="shared" ref="B260:B323" si="76">IF(A260="",0,IF(MATCH(A260,$A$4:$A$2403,0)=ROW()-3,1,0))</f>
        <v>0</v>
      </c>
      <c r="C260" s="3">
        <f t="shared" ref="C260:C323" si="77">N(C259)+B260</f>
        <v>15</v>
      </c>
      <c r="E260" s="3" t="str">
        <f t="shared" ref="E260:E303" si="78">IFERROR(INDEX($A$4:$A$2403,MATCH(ROW()-3,$C$4:$C$2403,0)),"")</f>
        <v/>
      </c>
      <c r="K260" s="3">
        <f>IF(OR($K$1="",对接源_01水果!$C260="",对接源_01水果!$C260&lt;&gt;$K$1,对接源_01水果!$B260=""),0,IF(OR(N(对接源_01水果!$B260)&lt;$K$2,N(对接源_01水果!$B260)&gt;$K$3),0,1))</f>
        <v>0</v>
      </c>
      <c r="L260" s="3">
        <f>IF(OR($L$1="",对接源_01水果!$C260="",对接源_01水果!$C260&lt;&gt;$L$1,对接源_01水果!$B260=""),0,IF(OR(N(对接源_01水果!$B260)&lt;$L$2,N(对接源_01水果!$B260)&gt;$L$3),0,1))</f>
        <v>0</v>
      </c>
      <c r="M260" s="3">
        <f>IF(OR($M$1="",对接源_01水果!$C260="",对接源_01水果!$C260&lt;&gt;$M$1,对接源_01水果!$B260=""),0,IF(OR(N(对接源_01水果!$B260)&lt;$M$2,N(对接源_01水果!$B260)&gt;$M$3),0,1))</f>
        <v>0</v>
      </c>
      <c r="N260" s="3">
        <f>IF(OR($N$1="",对接源_01水果!$C260="",对接源_01水果!$C260&lt;&gt;$N$1,对接源_01水果!$B260=""),0,IF(OR(N(对接源_01水果!$B260)&lt;$N$2,N(对接源_01水果!$B260)&gt;$N$3),0,1))</f>
        <v>0</v>
      </c>
      <c r="P260" s="3">
        <f>IF(AND($K260=1,AND(对接源_01水果!$X260="公司筐",N(对接源_01水果!$T260)&lt;&gt;0)),1,0)</f>
        <v>0</v>
      </c>
      <c r="Q260" s="3">
        <f t="shared" ref="Q260:Q323" si="79">N(Q259)+$P260</f>
        <v>0</v>
      </c>
      <c r="R260" s="3">
        <f>IF(AND($K260=1,AND(对接源_01水果!$X260="公司筐",N(对接源_01水果!$U260)&lt;&gt;0)),1,0)</f>
        <v>0</v>
      </c>
      <c r="S260" s="3">
        <f t="shared" ref="S260:S323" si="80">N(S259)+$R260</f>
        <v>0</v>
      </c>
      <c r="T260" s="3">
        <f>IF(AND($K260=1,AND(对接源_01水果!$X260="公司筐",N(对接源_01水果!$V260)&lt;&gt;0)),1,0)</f>
        <v>0</v>
      </c>
      <c r="U260" s="3">
        <f t="shared" ref="U260:U323" si="81">N(U259)+$T260</f>
        <v>11</v>
      </c>
      <c r="V260" s="3">
        <f>IF(AND($L260=1,AND(对接源_01水果!$X260="自备筐",N(对接源_01水果!$V260)&lt;&gt;0)),1,0)</f>
        <v>0</v>
      </c>
      <c r="W260" s="3">
        <f t="shared" ref="W260:W323" si="82">N(W259)+$V260</f>
        <v>8</v>
      </c>
      <c r="X260" s="3">
        <f>IF(AND($L260=1,AND(对接源_01水果!$X260="自备筐",N(对接源_01水果!$T260)&lt;&gt;0)),1,0)</f>
        <v>0</v>
      </c>
      <c r="Y260" s="3">
        <f t="shared" ref="Y260:Y323" si="83">N(Y259)+$X260</f>
        <v>0</v>
      </c>
      <c r="Z260" s="3">
        <f>IF(AND($M260=1,对接源_01水果!$D260="原料入库"),1,0)</f>
        <v>0</v>
      </c>
      <c r="AA260" s="3">
        <f t="shared" ref="AA260:AA323" si="84">N(AA259)+$Z260</f>
        <v>18</v>
      </c>
      <c r="AB260" s="3">
        <f>IF(AND($M260=1,LEFT(对接源_01水果!$D260,4)="原料出库"),1,0)</f>
        <v>0</v>
      </c>
      <c r="AC260" s="3">
        <f t="shared" ref="AC260:AC323" si="85">N(AC259)+$AB260</f>
        <v>0</v>
      </c>
      <c r="AD260" s="3">
        <f>IF(AND($M260=1,LEFT(对接源_01水果!$D260,4)="成品出库"),1,0)</f>
        <v>0</v>
      </c>
      <c r="AE260" s="3">
        <f t="shared" ref="AE260:AE323" si="86">N(AE259)+$AD260</f>
        <v>0</v>
      </c>
      <c r="AF260" s="3">
        <f>IF(AND($N260=1,AND(LEFT(对接源_01水果!$D260,4)="包装物料",N(对接源_01水果!$K260)&lt;&gt;0)),1,0)</f>
        <v>0</v>
      </c>
      <c r="AG260" s="3">
        <f t="shared" ref="AG260:AG323" si="87">N(AG259)+$AF260</f>
        <v>0</v>
      </c>
      <c r="AH260" s="3">
        <f>IF(AND($N260=1,AND(对接源_01水果!$D260="周转筐－销售出库",N(对接源_01水果!$K260)&lt;&gt;0)),1,0)</f>
        <v>0</v>
      </c>
      <c r="AI260" s="3">
        <f t="shared" ref="AI260:AI323" si="88">N(AI259)+$AH260</f>
        <v>0</v>
      </c>
      <c r="AJ260" s="7"/>
      <c r="AL260" s="3">
        <f>IF(OR($AL$1="",对接源_01水果!$Y260="",对接源_01水果!$Y260&lt;&gt;$AL$1,对接源_01水果!$B260="",N(对接源_01水果!$AJ260)&lt;=0),0,IF(OR(N(对接源_01水果!$B260)&lt;$AL$2,N(对接源_01水果!$B260)&gt;$AL$3),0,1))</f>
        <v>0</v>
      </c>
      <c r="AM260" s="3">
        <f t="shared" ref="AM260:AM323" si="89">N(AM259)+$AL260</f>
        <v>0</v>
      </c>
      <c r="AN260" s="3" t="str">
        <f>IF(对接源_01水果!$AC260="","",对接源_01水果!$AC260)</f>
        <v/>
      </c>
      <c r="AO260" s="3">
        <f t="shared" ref="AO260:AO323" si="90">IF(AN260="",0,IF(MATCH(AN260,$AN$4:$AN$1203,0)=ROW()-3,1,0))</f>
        <v>0</v>
      </c>
      <c r="AP260" s="3">
        <f t="shared" ref="AP260:AP323" si="91">N(AP259)+$AO260</f>
        <v>0</v>
      </c>
      <c r="AR260">
        <f t="shared" ref="AR260:AR323" si="92">IF(OR($AF260=1,$AH260=1),1,0)</f>
        <v>0</v>
      </c>
      <c r="AS260">
        <f t="shared" ref="AS260:AS323" si="93">N(AS259)+$AR260</f>
        <v>0</v>
      </c>
    </row>
    <row r="261" ht="14.25" customHeight="1" spans="1:45">
      <c r="A261" s="3" t="str">
        <f>IF(对接源_01水果!$C261="","",对接源_01水果!$C261)</f>
        <v>李现东</v>
      </c>
      <c r="B261" s="3">
        <f t="shared" si="76"/>
        <v>0</v>
      </c>
      <c r="C261" s="3">
        <f t="shared" si="77"/>
        <v>15</v>
      </c>
      <c r="E261" s="3" t="str">
        <f t="shared" si="78"/>
        <v/>
      </c>
      <c r="K261" s="3">
        <f>IF(OR($K$1="",对接源_01水果!$C261="",对接源_01水果!$C261&lt;&gt;$K$1,对接源_01水果!$B261=""),0,IF(OR(N(对接源_01水果!$B261)&lt;$K$2,N(对接源_01水果!$B261)&gt;$K$3),0,1))</f>
        <v>0</v>
      </c>
      <c r="L261" s="3">
        <f>IF(OR($L$1="",对接源_01水果!$C261="",对接源_01水果!$C261&lt;&gt;$L$1,对接源_01水果!$B261=""),0,IF(OR(N(对接源_01水果!$B261)&lt;$L$2,N(对接源_01水果!$B261)&gt;$L$3),0,1))</f>
        <v>0</v>
      </c>
      <c r="M261" s="3">
        <f>IF(OR($M$1="",对接源_01水果!$C261="",对接源_01水果!$C261&lt;&gt;$M$1,对接源_01水果!$B261=""),0,IF(OR(N(对接源_01水果!$B261)&lt;$M$2,N(对接源_01水果!$B261)&gt;$M$3),0,1))</f>
        <v>0</v>
      </c>
      <c r="N261" s="3">
        <f>IF(OR($N$1="",对接源_01水果!$C261="",对接源_01水果!$C261&lt;&gt;$N$1,对接源_01水果!$B261=""),0,IF(OR(N(对接源_01水果!$B261)&lt;$N$2,N(对接源_01水果!$B261)&gt;$N$3),0,1))</f>
        <v>0</v>
      </c>
      <c r="P261" s="3">
        <f>IF(AND($K261=1,AND(对接源_01水果!$X261="公司筐",N(对接源_01水果!$T261)&lt;&gt;0)),1,0)</f>
        <v>0</v>
      </c>
      <c r="Q261" s="3">
        <f t="shared" si="79"/>
        <v>0</v>
      </c>
      <c r="R261" s="3">
        <f>IF(AND($K261=1,AND(对接源_01水果!$X261="公司筐",N(对接源_01水果!$U261)&lt;&gt;0)),1,0)</f>
        <v>0</v>
      </c>
      <c r="S261" s="3">
        <f t="shared" si="80"/>
        <v>0</v>
      </c>
      <c r="T261" s="3">
        <f>IF(AND($K261=1,AND(对接源_01水果!$X261="公司筐",N(对接源_01水果!$V261)&lt;&gt;0)),1,0)</f>
        <v>0</v>
      </c>
      <c r="U261" s="3">
        <f t="shared" si="81"/>
        <v>11</v>
      </c>
      <c r="V261" s="3">
        <f>IF(AND($L261=1,AND(对接源_01水果!$X261="自备筐",N(对接源_01水果!$V261)&lt;&gt;0)),1,0)</f>
        <v>0</v>
      </c>
      <c r="W261" s="3">
        <f t="shared" si="82"/>
        <v>8</v>
      </c>
      <c r="X261" s="3">
        <f>IF(AND($L261=1,AND(对接源_01水果!$X261="自备筐",N(对接源_01水果!$T261)&lt;&gt;0)),1,0)</f>
        <v>0</v>
      </c>
      <c r="Y261" s="3">
        <f t="shared" si="83"/>
        <v>0</v>
      </c>
      <c r="Z261" s="3">
        <f>IF(AND($M261=1,对接源_01水果!$D261="原料入库"),1,0)</f>
        <v>0</v>
      </c>
      <c r="AA261" s="3">
        <f t="shared" si="84"/>
        <v>18</v>
      </c>
      <c r="AB261" s="3">
        <f>IF(AND($M261=1,LEFT(对接源_01水果!$D261,4)="原料出库"),1,0)</f>
        <v>0</v>
      </c>
      <c r="AC261" s="3">
        <f t="shared" si="85"/>
        <v>0</v>
      </c>
      <c r="AD261" s="3">
        <f>IF(AND($M261=1,LEFT(对接源_01水果!$D261,4)="成品出库"),1,0)</f>
        <v>0</v>
      </c>
      <c r="AE261" s="3">
        <f t="shared" si="86"/>
        <v>0</v>
      </c>
      <c r="AF261" s="3">
        <f>IF(AND($N261=1,AND(LEFT(对接源_01水果!$D261,4)="包装物料",N(对接源_01水果!$K261)&lt;&gt;0)),1,0)</f>
        <v>0</v>
      </c>
      <c r="AG261" s="3">
        <f t="shared" si="87"/>
        <v>0</v>
      </c>
      <c r="AH261" s="3">
        <f>IF(AND($N261=1,AND(对接源_01水果!$D261="周转筐－销售出库",N(对接源_01水果!$K261)&lt;&gt;0)),1,0)</f>
        <v>0</v>
      </c>
      <c r="AI261" s="3">
        <f t="shared" si="88"/>
        <v>0</v>
      </c>
      <c r="AJ261" s="7"/>
      <c r="AL261" s="3">
        <f>IF(OR($AL$1="",对接源_01水果!$Y261="",对接源_01水果!$Y261&lt;&gt;$AL$1,对接源_01水果!$B261="",N(对接源_01水果!$AJ261)&lt;=0),0,IF(OR(N(对接源_01水果!$B261)&lt;$AL$2,N(对接源_01水果!$B261)&gt;$AL$3),0,1))</f>
        <v>0</v>
      </c>
      <c r="AM261" s="3">
        <f t="shared" si="89"/>
        <v>0</v>
      </c>
      <c r="AN261" s="3" t="str">
        <f>IF(对接源_01水果!$AC261="","",对接源_01水果!$AC261)</f>
        <v/>
      </c>
      <c r="AO261" s="3">
        <f t="shared" si="90"/>
        <v>0</v>
      </c>
      <c r="AP261" s="3">
        <f t="shared" si="91"/>
        <v>0</v>
      </c>
      <c r="AR261">
        <f t="shared" si="92"/>
        <v>0</v>
      </c>
      <c r="AS261">
        <f t="shared" si="93"/>
        <v>0</v>
      </c>
    </row>
    <row r="262" ht="14.25" customHeight="1" spans="1:45">
      <c r="A262" s="3" t="str">
        <f>IF(对接源_01水果!$C262="","",对接源_01水果!$C262)</f>
        <v>吐尔洪</v>
      </c>
      <c r="B262" s="3">
        <f t="shared" si="76"/>
        <v>0</v>
      </c>
      <c r="C262" s="3">
        <f t="shared" si="77"/>
        <v>15</v>
      </c>
      <c r="E262" s="3" t="str">
        <f t="shared" si="78"/>
        <v/>
      </c>
      <c r="K262" s="3">
        <f>IF(OR($K$1="",对接源_01水果!$C262="",对接源_01水果!$C262&lt;&gt;$K$1,对接源_01水果!$B262=""),0,IF(OR(N(对接源_01水果!$B262)&lt;$K$2,N(对接源_01水果!$B262)&gt;$K$3),0,1))</f>
        <v>0</v>
      </c>
      <c r="L262" s="3">
        <f>IF(OR($L$1="",对接源_01水果!$C262="",对接源_01水果!$C262&lt;&gt;$L$1,对接源_01水果!$B262=""),0,IF(OR(N(对接源_01水果!$B262)&lt;$L$2,N(对接源_01水果!$B262)&gt;$L$3),0,1))</f>
        <v>0</v>
      </c>
      <c r="M262" s="3">
        <f>IF(OR($M$1="",对接源_01水果!$C262="",对接源_01水果!$C262&lt;&gt;$M$1,对接源_01水果!$B262=""),0,IF(OR(N(对接源_01水果!$B262)&lt;$M$2,N(对接源_01水果!$B262)&gt;$M$3),0,1))</f>
        <v>1</v>
      </c>
      <c r="N262" s="3">
        <f>IF(OR($N$1="",对接源_01水果!$C262="",对接源_01水果!$C262&lt;&gt;$N$1,对接源_01水果!$B262=""),0,IF(OR(N(对接源_01水果!$B262)&lt;$N$2,N(对接源_01水果!$B262)&gt;$N$3),0,1))</f>
        <v>1</v>
      </c>
      <c r="P262" s="3">
        <f>IF(AND($K262=1,AND(对接源_01水果!$X262="公司筐",N(对接源_01水果!$T262)&lt;&gt;0)),1,0)</f>
        <v>0</v>
      </c>
      <c r="Q262" s="3">
        <f t="shared" si="79"/>
        <v>0</v>
      </c>
      <c r="R262" s="3">
        <f>IF(AND($K262=1,AND(对接源_01水果!$X262="公司筐",N(对接源_01水果!$U262)&lt;&gt;0)),1,0)</f>
        <v>0</v>
      </c>
      <c r="S262" s="3">
        <f t="shared" si="80"/>
        <v>0</v>
      </c>
      <c r="T262" s="3">
        <f>IF(AND($K262=1,AND(对接源_01水果!$X262="公司筐",N(对接源_01水果!$V262)&lt;&gt;0)),1,0)</f>
        <v>0</v>
      </c>
      <c r="U262" s="3">
        <f t="shared" si="81"/>
        <v>11</v>
      </c>
      <c r="V262" s="3">
        <f>IF(AND($L262=1,AND(对接源_01水果!$X262="自备筐",N(对接源_01水果!$V262)&lt;&gt;0)),1,0)</f>
        <v>0</v>
      </c>
      <c r="W262" s="3">
        <f t="shared" si="82"/>
        <v>8</v>
      </c>
      <c r="X262" s="3">
        <f>IF(AND($L262=1,AND(对接源_01水果!$X262="自备筐",N(对接源_01水果!$T262)&lt;&gt;0)),1,0)</f>
        <v>0</v>
      </c>
      <c r="Y262" s="3">
        <f t="shared" si="83"/>
        <v>0</v>
      </c>
      <c r="Z262" s="3">
        <f>IF(AND($M262=1,对接源_01水果!$D262="原料入库"),1,0)</f>
        <v>1</v>
      </c>
      <c r="AA262" s="3">
        <f t="shared" si="84"/>
        <v>19</v>
      </c>
      <c r="AB262" s="3">
        <f>IF(AND($M262=1,LEFT(对接源_01水果!$D262,4)="原料出库"),1,0)</f>
        <v>0</v>
      </c>
      <c r="AC262" s="3">
        <f t="shared" si="85"/>
        <v>0</v>
      </c>
      <c r="AD262" s="3">
        <f>IF(AND($M262=1,LEFT(对接源_01水果!$D262,4)="成品出库"),1,0)</f>
        <v>0</v>
      </c>
      <c r="AE262" s="3">
        <f t="shared" si="86"/>
        <v>0</v>
      </c>
      <c r="AF262" s="3">
        <f>IF(AND($N262=1,AND(LEFT(对接源_01水果!$D262,4)="包装物料",N(对接源_01水果!$K262)&lt;&gt;0)),1,0)</f>
        <v>0</v>
      </c>
      <c r="AG262" s="3">
        <f t="shared" si="87"/>
        <v>0</v>
      </c>
      <c r="AH262" s="3">
        <f>IF(AND($N262=1,AND(对接源_01水果!$D262="周转筐－销售出库",N(对接源_01水果!$K262)&lt;&gt;0)),1,0)</f>
        <v>0</v>
      </c>
      <c r="AI262" s="3">
        <f t="shared" si="88"/>
        <v>0</v>
      </c>
      <c r="AJ262" s="7"/>
      <c r="AL262" s="3">
        <f>IF(OR($AL$1="",对接源_01水果!$Y262="",对接源_01水果!$Y262&lt;&gt;$AL$1,对接源_01水果!$B262="",N(对接源_01水果!$AJ262)&lt;=0),0,IF(OR(N(对接源_01水果!$B262)&lt;$AL$2,N(对接源_01水果!$B262)&gt;$AL$3),0,1))</f>
        <v>0</v>
      </c>
      <c r="AM262" s="3">
        <f t="shared" si="89"/>
        <v>0</v>
      </c>
      <c r="AN262" s="3" t="str">
        <f>IF(对接源_01水果!$AC262="","",对接源_01水果!$AC262)</f>
        <v/>
      </c>
      <c r="AO262" s="3">
        <f t="shared" si="90"/>
        <v>0</v>
      </c>
      <c r="AP262" s="3">
        <f t="shared" si="91"/>
        <v>0</v>
      </c>
      <c r="AR262">
        <f t="shared" si="92"/>
        <v>0</v>
      </c>
      <c r="AS262">
        <f t="shared" si="93"/>
        <v>0</v>
      </c>
    </row>
    <row r="263" ht="14.25" customHeight="1" spans="1:45">
      <c r="A263" s="3" t="str">
        <f>IF(对接源_01水果!$C263="","",对接源_01水果!$C263)</f>
        <v>吐尔洪</v>
      </c>
      <c r="B263" s="3">
        <f t="shared" si="76"/>
        <v>0</v>
      </c>
      <c r="C263" s="3">
        <f t="shared" si="77"/>
        <v>15</v>
      </c>
      <c r="E263" s="3" t="str">
        <f t="shared" si="78"/>
        <v/>
      </c>
      <c r="K263" s="3">
        <f>IF(OR($K$1="",对接源_01水果!$C263="",对接源_01水果!$C263&lt;&gt;$K$1,对接源_01水果!$B263=""),0,IF(OR(N(对接源_01水果!$B263)&lt;$K$2,N(对接源_01水果!$B263)&gt;$K$3),0,1))</f>
        <v>0</v>
      </c>
      <c r="L263" s="3">
        <f>IF(OR($L$1="",对接源_01水果!$C263="",对接源_01水果!$C263&lt;&gt;$L$1,对接源_01水果!$B263=""),0,IF(OR(N(对接源_01水果!$B263)&lt;$L$2,N(对接源_01水果!$B263)&gt;$L$3),0,1))</f>
        <v>0</v>
      </c>
      <c r="M263" s="3">
        <f>IF(OR($M$1="",对接源_01水果!$C263="",对接源_01水果!$C263&lt;&gt;$M$1,对接源_01水果!$B263=""),0,IF(OR(N(对接源_01水果!$B263)&lt;$M$2,N(对接源_01水果!$B263)&gt;$M$3),0,1))</f>
        <v>1</v>
      </c>
      <c r="N263" s="3">
        <f>IF(OR($N$1="",对接源_01水果!$C263="",对接源_01水果!$C263&lt;&gt;$N$1,对接源_01水果!$B263=""),0,IF(OR(N(对接源_01水果!$B263)&lt;$N$2,N(对接源_01水果!$B263)&gt;$N$3),0,1))</f>
        <v>1</v>
      </c>
      <c r="P263" s="3">
        <f>IF(AND($K263=1,AND(对接源_01水果!$X263="公司筐",N(对接源_01水果!$T263)&lt;&gt;0)),1,0)</f>
        <v>0</v>
      </c>
      <c r="Q263" s="3">
        <f t="shared" si="79"/>
        <v>0</v>
      </c>
      <c r="R263" s="3">
        <f>IF(AND($K263=1,AND(对接源_01水果!$X263="公司筐",N(对接源_01水果!$U263)&lt;&gt;0)),1,0)</f>
        <v>0</v>
      </c>
      <c r="S263" s="3">
        <f t="shared" si="80"/>
        <v>0</v>
      </c>
      <c r="T263" s="3">
        <f>IF(AND($K263=1,AND(对接源_01水果!$X263="公司筐",N(对接源_01水果!$V263)&lt;&gt;0)),1,0)</f>
        <v>0</v>
      </c>
      <c r="U263" s="3">
        <f t="shared" si="81"/>
        <v>11</v>
      </c>
      <c r="V263" s="3">
        <f>IF(AND($L263=1,AND(对接源_01水果!$X263="自备筐",N(对接源_01水果!$V263)&lt;&gt;0)),1,0)</f>
        <v>0</v>
      </c>
      <c r="W263" s="3">
        <f t="shared" si="82"/>
        <v>8</v>
      </c>
      <c r="X263" s="3">
        <f>IF(AND($L263=1,AND(对接源_01水果!$X263="自备筐",N(对接源_01水果!$T263)&lt;&gt;0)),1,0)</f>
        <v>0</v>
      </c>
      <c r="Y263" s="3">
        <f t="shared" si="83"/>
        <v>0</v>
      </c>
      <c r="Z263" s="3">
        <f>IF(AND($M263=1,对接源_01水果!$D263="原料入库"),1,0)</f>
        <v>1</v>
      </c>
      <c r="AA263" s="3">
        <f t="shared" si="84"/>
        <v>20</v>
      </c>
      <c r="AB263" s="3">
        <f>IF(AND($M263=1,LEFT(对接源_01水果!$D263,4)="原料出库"),1,0)</f>
        <v>0</v>
      </c>
      <c r="AC263" s="3">
        <f t="shared" si="85"/>
        <v>0</v>
      </c>
      <c r="AD263" s="3">
        <f>IF(AND($M263=1,LEFT(对接源_01水果!$D263,4)="成品出库"),1,0)</f>
        <v>0</v>
      </c>
      <c r="AE263" s="3">
        <f t="shared" si="86"/>
        <v>0</v>
      </c>
      <c r="AF263" s="3">
        <f>IF(AND($N263=1,AND(LEFT(对接源_01水果!$D263,4)="包装物料",N(对接源_01水果!$K263)&lt;&gt;0)),1,0)</f>
        <v>0</v>
      </c>
      <c r="AG263" s="3">
        <f t="shared" si="87"/>
        <v>0</v>
      </c>
      <c r="AH263" s="3">
        <f>IF(AND($N263=1,AND(对接源_01水果!$D263="周转筐－销售出库",N(对接源_01水果!$K263)&lt;&gt;0)),1,0)</f>
        <v>0</v>
      </c>
      <c r="AI263" s="3">
        <f t="shared" si="88"/>
        <v>0</v>
      </c>
      <c r="AJ263" s="7"/>
      <c r="AL263" s="3">
        <f>IF(OR($AL$1="",对接源_01水果!$Y263="",对接源_01水果!$Y263&lt;&gt;$AL$1,对接源_01水果!$B263="",N(对接源_01水果!$AJ263)&lt;=0),0,IF(OR(N(对接源_01水果!$B263)&lt;$AL$2,N(对接源_01水果!$B263)&gt;$AL$3),0,1))</f>
        <v>0</v>
      </c>
      <c r="AM263" s="3">
        <f t="shared" si="89"/>
        <v>0</v>
      </c>
      <c r="AN263" s="3" t="str">
        <f>IF(对接源_01水果!$AC263="","",对接源_01水果!$AC263)</f>
        <v/>
      </c>
      <c r="AO263" s="3">
        <f t="shared" si="90"/>
        <v>0</v>
      </c>
      <c r="AP263" s="3">
        <f t="shared" si="91"/>
        <v>0</v>
      </c>
      <c r="AR263">
        <f t="shared" si="92"/>
        <v>0</v>
      </c>
      <c r="AS263">
        <f t="shared" si="93"/>
        <v>0</v>
      </c>
    </row>
    <row r="264" ht="14.25" customHeight="1" spans="1:45">
      <c r="A264" s="3" t="str">
        <f>IF(对接源_01水果!$C264="","",对接源_01水果!$C264)</f>
        <v>吐尔洪</v>
      </c>
      <c r="B264" s="3">
        <f t="shared" si="76"/>
        <v>0</v>
      </c>
      <c r="C264" s="3">
        <f t="shared" si="77"/>
        <v>15</v>
      </c>
      <c r="E264" s="3" t="str">
        <f t="shared" si="78"/>
        <v/>
      </c>
      <c r="K264" s="3">
        <f>IF(OR($K$1="",对接源_01水果!$C264="",对接源_01水果!$C264&lt;&gt;$K$1,对接源_01水果!$B264=""),0,IF(OR(N(对接源_01水果!$B264)&lt;$K$2,N(对接源_01水果!$B264)&gt;$K$3),0,1))</f>
        <v>0</v>
      </c>
      <c r="L264" s="3">
        <f>IF(OR($L$1="",对接源_01水果!$C264="",对接源_01水果!$C264&lt;&gt;$L$1,对接源_01水果!$B264=""),0,IF(OR(N(对接源_01水果!$B264)&lt;$L$2,N(对接源_01水果!$B264)&gt;$L$3),0,1))</f>
        <v>0</v>
      </c>
      <c r="M264" s="3">
        <f>IF(OR($M$1="",对接源_01水果!$C264="",对接源_01水果!$C264&lt;&gt;$M$1,对接源_01水果!$B264=""),0,IF(OR(N(对接源_01水果!$B264)&lt;$M$2,N(对接源_01水果!$B264)&gt;$M$3),0,1))</f>
        <v>1</v>
      </c>
      <c r="N264" s="3">
        <f>IF(OR($N$1="",对接源_01水果!$C264="",对接源_01水果!$C264&lt;&gt;$N$1,对接源_01水果!$B264=""),0,IF(OR(N(对接源_01水果!$B264)&lt;$N$2,N(对接源_01水果!$B264)&gt;$N$3),0,1))</f>
        <v>1</v>
      </c>
      <c r="P264" s="3">
        <f>IF(AND($K264=1,AND(对接源_01水果!$X264="公司筐",N(对接源_01水果!$T264)&lt;&gt;0)),1,0)</f>
        <v>0</v>
      </c>
      <c r="Q264" s="3">
        <f t="shared" si="79"/>
        <v>0</v>
      </c>
      <c r="R264" s="3">
        <f>IF(AND($K264=1,AND(对接源_01水果!$X264="公司筐",N(对接源_01水果!$U264)&lt;&gt;0)),1,0)</f>
        <v>0</v>
      </c>
      <c r="S264" s="3">
        <f t="shared" si="80"/>
        <v>0</v>
      </c>
      <c r="T264" s="3">
        <f>IF(AND($K264=1,AND(对接源_01水果!$X264="公司筐",N(对接源_01水果!$V264)&lt;&gt;0)),1,0)</f>
        <v>0</v>
      </c>
      <c r="U264" s="3">
        <f t="shared" si="81"/>
        <v>11</v>
      </c>
      <c r="V264" s="3">
        <f>IF(AND($L264=1,AND(对接源_01水果!$X264="自备筐",N(对接源_01水果!$V264)&lt;&gt;0)),1,0)</f>
        <v>0</v>
      </c>
      <c r="W264" s="3">
        <f t="shared" si="82"/>
        <v>8</v>
      </c>
      <c r="X264" s="3">
        <f>IF(AND($L264=1,AND(对接源_01水果!$X264="自备筐",N(对接源_01水果!$T264)&lt;&gt;0)),1,0)</f>
        <v>0</v>
      </c>
      <c r="Y264" s="3">
        <f t="shared" si="83"/>
        <v>0</v>
      </c>
      <c r="Z264" s="3">
        <f>IF(AND($M264=1,对接源_01水果!$D264="原料入库"),1,0)</f>
        <v>1</v>
      </c>
      <c r="AA264" s="3">
        <f t="shared" si="84"/>
        <v>21</v>
      </c>
      <c r="AB264" s="3">
        <f>IF(AND($M264=1,LEFT(对接源_01水果!$D264,4)="原料出库"),1,0)</f>
        <v>0</v>
      </c>
      <c r="AC264" s="3">
        <f t="shared" si="85"/>
        <v>0</v>
      </c>
      <c r="AD264" s="3">
        <f>IF(AND($M264=1,LEFT(对接源_01水果!$D264,4)="成品出库"),1,0)</f>
        <v>0</v>
      </c>
      <c r="AE264" s="3">
        <f t="shared" si="86"/>
        <v>0</v>
      </c>
      <c r="AF264" s="3">
        <f>IF(AND($N264=1,AND(LEFT(对接源_01水果!$D264,4)="包装物料",N(对接源_01水果!$K264)&lt;&gt;0)),1,0)</f>
        <v>0</v>
      </c>
      <c r="AG264" s="3">
        <f t="shared" si="87"/>
        <v>0</v>
      </c>
      <c r="AH264" s="3">
        <f>IF(AND($N264=1,AND(对接源_01水果!$D264="周转筐－销售出库",N(对接源_01水果!$K264)&lt;&gt;0)),1,0)</f>
        <v>0</v>
      </c>
      <c r="AI264" s="3">
        <f t="shared" si="88"/>
        <v>0</v>
      </c>
      <c r="AJ264" s="7"/>
      <c r="AL264" s="3">
        <f>IF(OR($AL$1="",对接源_01水果!$Y264="",对接源_01水果!$Y264&lt;&gt;$AL$1,对接源_01水果!$B264="",N(对接源_01水果!$AJ264)&lt;=0),0,IF(OR(N(对接源_01水果!$B264)&lt;$AL$2,N(对接源_01水果!$B264)&gt;$AL$3),0,1))</f>
        <v>0</v>
      </c>
      <c r="AM264" s="3">
        <f t="shared" si="89"/>
        <v>0</v>
      </c>
      <c r="AN264" s="3" t="str">
        <f>IF(对接源_01水果!$AC264="","",对接源_01水果!$AC264)</f>
        <v/>
      </c>
      <c r="AO264" s="3">
        <f t="shared" si="90"/>
        <v>0</v>
      </c>
      <c r="AP264" s="3">
        <f t="shared" si="91"/>
        <v>0</v>
      </c>
      <c r="AR264">
        <f t="shared" si="92"/>
        <v>0</v>
      </c>
      <c r="AS264">
        <f t="shared" si="93"/>
        <v>0</v>
      </c>
    </row>
    <row r="265" ht="14.25" customHeight="1" spans="1:45">
      <c r="A265" s="3" t="str">
        <f>IF(对接源_01水果!$C265="","",对接源_01水果!$C265)</f>
        <v>王灵云</v>
      </c>
      <c r="B265" s="3">
        <f t="shared" si="76"/>
        <v>0</v>
      </c>
      <c r="C265" s="3">
        <f t="shared" si="77"/>
        <v>15</v>
      </c>
      <c r="E265" s="3" t="str">
        <f t="shared" si="78"/>
        <v/>
      </c>
      <c r="K265" s="3">
        <f>IF(OR($K$1="",对接源_01水果!$C265="",对接源_01水果!$C265&lt;&gt;$K$1,对接源_01水果!$B265=""),0,IF(OR(N(对接源_01水果!$B265)&lt;$K$2,N(对接源_01水果!$B265)&gt;$K$3),0,1))</f>
        <v>1</v>
      </c>
      <c r="L265" s="3">
        <f>IF(OR($L$1="",对接源_01水果!$C265="",对接源_01水果!$C265&lt;&gt;$L$1,对接源_01水果!$B265=""),0,IF(OR(N(对接源_01水果!$B265)&lt;$L$2,N(对接源_01水果!$B265)&gt;$L$3),0,1))</f>
        <v>0</v>
      </c>
      <c r="M265" s="3">
        <f>IF(OR($M$1="",对接源_01水果!$C265="",对接源_01水果!$C265&lt;&gt;$M$1,对接源_01水果!$B265=""),0,IF(OR(N(对接源_01水果!$B265)&lt;$M$2,N(对接源_01水果!$B265)&gt;$M$3),0,1))</f>
        <v>0</v>
      </c>
      <c r="N265" s="3">
        <f>IF(OR($N$1="",对接源_01水果!$C265="",对接源_01水果!$C265&lt;&gt;$N$1,对接源_01水果!$B265=""),0,IF(OR(N(对接源_01水果!$B265)&lt;$N$2,N(对接源_01水果!$B265)&gt;$N$3),0,1))</f>
        <v>0</v>
      </c>
      <c r="P265" s="3">
        <f>IF(AND($K265=1,AND(对接源_01水果!$X265="公司筐",N(对接源_01水果!$T265)&lt;&gt;0)),1,0)</f>
        <v>0</v>
      </c>
      <c r="Q265" s="3">
        <f t="shared" si="79"/>
        <v>0</v>
      </c>
      <c r="R265" s="3">
        <f>IF(AND($K265=1,AND(对接源_01水果!$X265="公司筐",N(对接源_01水果!$U265)&lt;&gt;0)),1,0)</f>
        <v>0</v>
      </c>
      <c r="S265" s="3">
        <f t="shared" si="80"/>
        <v>0</v>
      </c>
      <c r="T265" s="3">
        <f>IF(AND($K265=1,AND(对接源_01水果!$X265="公司筐",N(对接源_01水果!$V265)&lt;&gt;0)),1,0)</f>
        <v>1</v>
      </c>
      <c r="U265" s="3">
        <f t="shared" si="81"/>
        <v>12</v>
      </c>
      <c r="V265" s="3">
        <f>IF(AND($L265=1,AND(对接源_01水果!$X265="自备筐",N(对接源_01水果!$V265)&lt;&gt;0)),1,0)</f>
        <v>0</v>
      </c>
      <c r="W265" s="3">
        <f t="shared" si="82"/>
        <v>8</v>
      </c>
      <c r="X265" s="3">
        <f>IF(AND($L265=1,AND(对接源_01水果!$X265="自备筐",N(对接源_01水果!$T265)&lt;&gt;0)),1,0)</f>
        <v>0</v>
      </c>
      <c r="Y265" s="3">
        <f t="shared" si="83"/>
        <v>0</v>
      </c>
      <c r="Z265" s="3">
        <f>IF(AND($M265=1,对接源_01水果!$D265="原料入库"),1,0)</f>
        <v>0</v>
      </c>
      <c r="AA265" s="3">
        <f t="shared" si="84"/>
        <v>21</v>
      </c>
      <c r="AB265" s="3">
        <f>IF(AND($M265=1,LEFT(对接源_01水果!$D265,4)="原料出库"),1,0)</f>
        <v>0</v>
      </c>
      <c r="AC265" s="3">
        <f t="shared" si="85"/>
        <v>0</v>
      </c>
      <c r="AD265" s="3">
        <f>IF(AND($M265=1,LEFT(对接源_01水果!$D265,4)="成品出库"),1,0)</f>
        <v>0</v>
      </c>
      <c r="AE265" s="3">
        <f t="shared" si="86"/>
        <v>0</v>
      </c>
      <c r="AF265" s="3">
        <f>IF(AND($N265=1,AND(LEFT(对接源_01水果!$D265,4)="包装物料",N(对接源_01水果!$K265)&lt;&gt;0)),1,0)</f>
        <v>0</v>
      </c>
      <c r="AG265" s="3">
        <f t="shared" si="87"/>
        <v>0</v>
      </c>
      <c r="AH265" s="3">
        <f>IF(AND($N265=1,AND(对接源_01水果!$D265="周转筐－销售出库",N(对接源_01水果!$K265)&lt;&gt;0)),1,0)</f>
        <v>0</v>
      </c>
      <c r="AI265" s="3">
        <f t="shared" si="88"/>
        <v>0</v>
      </c>
      <c r="AJ265" s="7"/>
      <c r="AL265" s="3">
        <f>IF(OR($AL$1="",对接源_01水果!$Y265="",对接源_01水果!$Y265&lt;&gt;$AL$1,对接源_01水果!$B265="",N(对接源_01水果!$AJ265)&lt;=0),0,IF(OR(N(对接源_01水果!$B265)&lt;$AL$2,N(对接源_01水果!$B265)&gt;$AL$3),0,1))</f>
        <v>0</v>
      </c>
      <c r="AM265" s="3">
        <f t="shared" si="89"/>
        <v>0</v>
      </c>
      <c r="AN265" s="3" t="str">
        <f>IF(对接源_01水果!$AC265="","",对接源_01水果!$AC265)</f>
        <v/>
      </c>
      <c r="AO265" s="3">
        <f t="shared" si="90"/>
        <v>0</v>
      </c>
      <c r="AP265" s="3">
        <f t="shared" si="91"/>
        <v>0</v>
      </c>
      <c r="AR265">
        <f t="shared" si="92"/>
        <v>0</v>
      </c>
      <c r="AS265">
        <f t="shared" si="93"/>
        <v>0</v>
      </c>
    </row>
    <row r="266" ht="14.25" customHeight="1" spans="1:45">
      <c r="A266" s="3" t="str">
        <f>IF(对接源_01水果!$C266="","",对接源_01水果!$C266)</f>
        <v>王灵云</v>
      </c>
      <c r="B266" s="3">
        <f t="shared" si="76"/>
        <v>0</v>
      </c>
      <c r="C266" s="3">
        <f t="shared" si="77"/>
        <v>15</v>
      </c>
      <c r="E266" s="3" t="str">
        <f t="shared" si="78"/>
        <v/>
      </c>
      <c r="K266" s="3">
        <f>IF(OR($K$1="",对接源_01水果!$C266="",对接源_01水果!$C266&lt;&gt;$K$1,对接源_01水果!$B266=""),0,IF(OR(N(对接源_01水果!$B266)&lt;$K$2,N(对接源_01水果!$B266)&gt;$K$3),0,1))</f>
        <v>1</v>
      </c>
      <c r="L266" s="3">
        <f>IF(OR($L$1="",对接源_01水果!$C266="",对接源_01水果!$C266&lt;&gt;$L$1,对接源_01水果!$B266=""),0,IF(OR(N(对接源_01水果!$B266)&lt;$L$2,N(对接源_01水果!$B266)&gt;$L$3),0,1))</f>
        <v>0</v>
      </c>
      <c r="M266" s="3">
        <f>IF(OR($M$1="",对接源_01水果!$C266="",对接源_01水果!$C266&lt;&gt;$M$1,对接源_01水果!$B266=""),0,IF(OR(N(对接源_01水果!$B266)&lt;$M$2,N(对接源_01水果!$B266)&gt;$M$3),0,1))</f>
        <v>0</v>
      </c>
      <c r="N266" s="3">
        <f>IF(OR($N$1="",对接源_01水果!$C266="",对接源_01水果!$C266&lt;&gt;$N$1,对接源_01水果!$B266=""),0,IF(OR(N(对接源_01水果!$B266)&lt;$N$2,N(对接源_01水果!$B266)&gt;$N$3),0,1))</f>
        <v>0</v>
      </c>
      <c r="P266" s="3">
        <f>IF(AND($K266=1,AND(对接源_01水果!$X266="公司筐",N(对接源_01水果!$T266)&lt;&gt;0)),1,0)</f>
        <v>0</v>
      </c>
      <c r="Q266" s="3">
        <f t="shared" si="79"/>
        <v>0</v>
      </c>
      <c r="R266" s="3">
        <f>IF(AND($K266=1,AND(对接源_01水果!$X266="公司筐",N(对接源_01水果!$U266)&lt;&gt;0)),1,0)</f>
        <v>0</v>
      </c>
      <c r="S266" s="3">
        <f t="shared" si="80"/>
        <v>0</v>
      </c>
      <c r="T266" s="3">
        <f>IF(AND($K266=1,AND(对接源_01水果!$X266="公司筐",N(对接源_01水果!$V266)&lt;&gt;0)),1,0)</f>
        <v>1</v>
      </c>
      <c r="U266" s="3">
        <f t="shared" si="81"/>
        <v>13</v>
      </c>
      <c r="V266" s="3">
        <f>IF(AND($L266=1,AND(对接源_01水果!$X266="自备筐",N(对接源_01水果!$V266)&lt;&gt;0)),1,0)</f>
        <v>0</v>
      </c>
      <c r="W266" s="3">
        <f t="shared" si="82"/>
        <v>8</v>
      </c>
      <c r="X266" s="3">
        <f>IF(AND($L266=1,AND(对接源_01水果!$X266="自备筐",N(对接源_01水果!$T266)&lt;&gt;0)),1,0)</f>
        <v>0</v>
      </c>
      <c r="Y266" s="3">
        <f t="shared" si="83"/>
        <v>0</v>
      </c>
      <c r="Z266" s="3">
        <f>IF(AND($M266=1,对接源_01水果!$D266="原料入库"),1,0)</f>
        <v>0</v>
      </c>
      <c r="AA266" s="3">
        <f t="shared" si="84"/>
        <v>21</v>
      </c>
      <c r="AB266" s="3">
        <f>IF(AND($M266=1,LEFT(对接源_01水果!$D266,4)="原料出库"),1,0)</f>
        <v>0</v>
      </c>
      <c r="AC266" s="3">
        <f t="shared" si="85"/>
        <v>0</v>
      </c>
      <c r="AD266" s="3">
        <f>IF(AND($M266=1,LEFT(对接源_01水果!$D266,4)="成品出库"),1,0)</f>
        <v>0</v>
      </c>
      <c r="AE266" s="3">
        <f t="shared" si="86"/>
        <v>0</v>
      </c>
      <c r="AF266" s="3">
        <f>IF(AND($N266=1,AND(LEFT(对接源_01水果!$D266,4)="包装物料",N(对接源_01水果!$K266)&lt;&gt;0)),1,0)</f>
        <v>0</v>
      </c>
      <c r="AG266" s="3">
        <f t="shared" si="87"/>
        <v>0</v>
      </c>
      <c r="AH266" s="3">
        <f>IF(AND($N266=1,AND(对接源_01水果!$D266="周转筐－销售出库",N(对接源_01水果!$K266)&lt;&gt;0)),1,0)</f>
        <v>0</v>
      </c>
      <c r="AI266" s="3">
        <f t="shared" si="88"/>
        <v>0</v>
      </c>
      <c r="AJ266" s="7"/>
      <c r="AL266" s="3">
        <f>IF(OR($AL$1="",对接源_01水果!$Y266="",对接源_01水果!$Y266&lt;&gt;$AL$1,对接源_01水果!$B266="",N(对接源_01水果!$AJ266)&lt;=0),0,IF(OR(N(对接源_01水果!$B266)&lt;$AL$2,N(对接源_01水果!$B266)&gt;$AL$3),0,1))</f>
        <v>0</v>
      </c>
      <c r="AM266" s="3">
        <f t="shared" si="89"/>
        <v>0</v>
      </c>
      <c r="AN266" s="3" t="str">
        <f>IF(对接源_01水果!$AC266="","",对接源_01水果!$AC266)</f>
        <v/>
      </c>
      <c r="AO266" s="3">
        <f t="shared" si="90"/>
        <v>0</v>
      </c>
      <c r="AP266" s="3">
        <f t="shared" si="91"/>
        <v>0</v>
      </c>
      <c r="AR266">
        <f t="shared" si="92"/>
        <v>0</v>
      </c>
      <c r="AS266">
        <f t="shared" si="93"/>
        <v>0</v>
      </c>
    </row>
    <row r="267" ht="14.25" customHeight="1" spans="1:45">
      <c r="A267" s="3" t="str">
        <f>IF(对接源_01水果!$C267="","",对接源_01水果!$C267)</f>
        <v>王灵云</v>
      </c>
      <c r="B267" s="3">
        <f t="shared" si="76"/>
        <v>0</v>
      </c>
      <c r="C267" s="3">
        <f t="shared" si="77"/>
        <v>15</v>
      </c>
      <c r="E267" s="3" t="str">
        <f t="shared" si="78"/>
        <v/>
      </c>
      <c r="K267" s="3">
        <f>IF(OR($K$1="",对接源_01水果!$C267="",对接源_01水果!$C267&lt;&gt;$K$1,对接源_01水果!$B267=""),0,IF(OR(N(对接源_01水果!$B267)&lt;$K$2,N(对接源_01水果!$B267)&gt;$K$3),0,1))</f>
        <v>1</v>
      </c>
      <c r="L267" s="3">
        <f>IF(OR($L$1="",对接源_01水果!$C267="",对接源_01水果!$C267&lt;&gt;$L$1,对接源_01水果!$B267=""),0,IF(OR(N(对接源_01水果!$B267)&lt;$L$2,N(对接源_01水果!$B267)&gt;$L$3),0,1))</f>
        <v>0</v>
      </c>
      <c r="M267" s="3">
        <f>IF(OR($M$1="",对接源_01水果!$C267="",对接源_01水果!$C267&lt;&gt;$M$1,对接源_01水果!$B267=""),0,IF(OR(N(对接源_01水果!$B267)&lt;$M$2,N(对接源_01水果!$B267)&gt;$M$3),0,1))</f>
        <v>0</v>
      </c>
      <c r="N267" s="3">
        <f>IF(OR($N$1="",对接源_01水果!$C267="",对接源_01水果!$C267&lt;&gt;$N$1,对接源_01水果!$B267=""),0,IF(OR(N(对接源_01水果!$B267)&lt;$N$2,N(对接源_01水果!$B267)&gt;$N$3),0,1))</f>
        <v>0</v>
      </c>
      <c r="P267" s="3">
        <f>IF(AND($K267=1,AND(对接源_01水果!$X267="公司筐",N(对接源_01水果!$T267)&lt;&gt;0)),1,0)</f>
        <v>0</v>
      </c>
      <c r="Q267" s="3">
        <f t="shared" si="79"/>
        <v>0</v>
      </c>
      <c r="R267" s="3">
        <f>IF(AND($K267=1,AND(对接源_01水果!$X267="公司筐",N(对接源_01水果!$U267)&lt;&gt;0)),1,0)</f>
        <v>0</v>
      </c>
      <c r="S267" s="3">
        <f t="shared" si="80"/>
        <v>0</v>
      </c>
      <c r="T267" s="3">
        <f>IF(AND($K267=1,AND(对接源_01水果!$X267="公司筐",N(对接源_01水果!$V267)&lt;&gt;0)),1,0)</f>
        <v>1</v>
      </c>
      <c r="U267" s="3">
        <f t="shared" si="81"/>
        <v>14</v>
      </c>
      <c r="V267" s="3">
        <f>IF(AND($L267=1,AND(对接源_01水果!$X267="自备筐",N(对接源_01水果!$V267)&lt;&gt;0)),1,0)</f>
        <v>0</v>
      </c>
      <c r="W267" s="3">
        <f t="shared" si="82"/>
        <v>8</v>
      </c>
      <c r="X267" s="3">
        <f>IF(AND($L267=1,AND(对接源_01水果!$X267="自备筐",N(对接源_01水果!$T267)&lt;&gt;0)),1,0)</f>
        <v>0</v>
      </c>
      <c r="Y267" s="3">
        <f t="shared" si="83"/>
        <v>0</v>
      </c>
      <c r="Z267" s="3">
        <f>IF(AND($M267=1,对接源_01水果!$D267="原料入库"),1,0)</f>
        <v>0</v>
      </c>
      <c r="AA267" s="3">
        <f t="shared" si="84"/>
        <v>21</v>
      </c>
      <c r="AB267" s="3">
        <f>IF(AND($M267=1,LEFT(对接源_01水果!$D267,4)="原料出库"),1,0)</f>
        <v>0</v>
      </c>
      <c r="AC267" s="3">
        <f t="shared" si="85"/>
        <v>0</v>
      </c>
      <c r="AD267" s="3">
        <f>IF(AND($M267=1,LEFT(对接源_01水果!$D267,4)="成品出库"),1,0)</f>
        <v>0</v>
      </c>
      <c r="AE267" s="3">
        <f t="shared" si="86"/>
        <v>0</v>
      </c>
      <c r="AF267" s="3">
        <f>IF(AND($N267=1,AND(LEFT(对接源_01水果!$D267,4)="包装物料",N(对接源_01水果!$K267)&lt;&gt;0)),1,0)</f>
        <v>0</v>
      </c>
      <c r="AG267" s="3">
        <f t="shared" si="87"/>
        <v>0</v>
      </c>
      <c r="AH267" s="3">
        <f>IF(AND($N267=1,AND(对接源_01水果!$D267="周转筐－销售出库",N(对接源_01水果!$K267)&lt;&gt;0)),1,0)</f>
        <v>0</v>
      </c>
      <c r="AI267" s="3">
        <f t="shared" si="88"/>
        <v>0</v>
      </c>
      <c r="AJ267" s="7"/>
      <c r="AL267" s="3">
        <f>IF(OR($AL$1="",对接源_01水果!$Y267="",对接源_01水果!$Y267&lt;&gt;$AL$1,对接源_01水果!$B267="",N(对接源_01水果!$AJ267)&lt;=0),0,IF(OR(N(对接源_01水果!$B267)&lt;$AL$2,N(对接源_01水果!$B267)&gt;$AL$3),0,1))</f>
        <v>0</v>
      </c>
      <c r="AM267" s="3">
        <f t="shared" si="89"/>
        <v>0</v>
      </c>
      <c r="AN267" s="3" t="str">
        <f>IF(对接源_01水果!$AC267="","",对接源_01水果!$AC267)</f>
        <v/>
      </c>
      <c r="AO267" s="3">
        <f t="shared" si="90"/>
        <v>0</v>
      </c>
      <c r="AP267" s="3">
        <f t="shared" si="91"/>
        <v>0</v>
      </c>
      <c r="AR267">
        <f t="shared" si="92"/>
        <v>0</v>
      </c>
      <c r="AS267">
        <f t="shared" si="93"/>
        <v>0</v>
      </c>
    </row>
    <row r="268" ht="14.25" customHeight="1" spans="1:45">
      <c r="A268" s="3" t="str">
        <f>IF(对接源_01水果!$C268="","",对接源_01水果!$C268)</f>
        <v>麦麦提</v>
      </c>
      <c r="B268" s="3">
        <f t="shared" si="76"/>
        <v>0</v>
      </c>
      <c r="C268" s="3">
        <f t="shared" si="77"/>
        <v>15</v>
      </c>
      <c r="E268" s="3" t="str">
        <f t="shared" si="78"/>
        <v/>
      </c>
      <c r="K268" s="3">
        <f>IF(OR($K$1="",对接源_01水果!$C268="",对接源_01水果!$C268&lt;&gt;$K$1,对接源_01水果!$B268=""),0,IF(OR(N(对接源_01水果!$B268)&lt;$K$2,N(对接源_01水果!$B268)&gt;$K$3),0,1))</f>
        <v>0</v>
      </c>
      <c r="L268" s="3">
        <f>IF(OR($L$1="",对接源_01水果!$C268="",对接源_01水果!$C268&lt;&gt;$L$1,对接源_01水果!$B268=""),0,IF(OR(N(对接源_01水果!$B268)&lt;$L$2,N(对接源_01水果!$B268)&gt;$L$3),0,1))</f>
        <v>0</v>
      </c>
      <c r="M268" s="3">
        <f>IF(OR($M$1="",对接源_01水果!$C268="",对接源_01水果!$C268&lt;&gt;$M$1,对接源_01水果!$B268=""),0,IF(OR(N(对接源_01水果!$B268)&lt;$M$2,N(对接源_01水果!$B268)&gt;$M$3),0,1))</f>
        <v>0</v>
      </c>
      <c r="N268" s="3">
        <f>IF(OR($N$1="",对接源_01水果!$C268="",对接源_01水果!$C268&lt;&gt;$N$1,对接源_01水果!$B268=""),0,IF(OR(N(对接源_01水果!$B268)&lt;$N$2,N(对接源_01水果!$B268)&gt;$N$3),0,1))</f>
        <v>0</v>
      </c>
      <c r="P268" s="3">
        <f>IF(AND($K268=1,AND(对接源_01水果!$X268="公司筐",N(对接源_01水果!$T268)&lt;&gt;0)),1,0)</f>
        <v>0</v>
      </c>
      <c r="Q268" s="3">
        <f t="shared" si="79"/>
        <v>0</v>
      </c>
      <c r="R268" s="3">
        <f>IF(AND($K268=1,AND(对接源_01水果!$X268="公司筐",N(对接源_01水果!$U268)&lt;&gt;0)),1,0)</f>
        <v>0</v>
      </c>
      <c r="S268" s="3">
        <f t="shared" si="80"/>
        <v>0</v>
      </c>
      <c r="T268" s="3">
        <f>IF(AND($K268=1,AND(对接源_01水果!$X268="公司筐",N(对接源_01水果!$V268)&lt;&gt;0)),1,0)</f>
        <v>0</v>
      </c>
      <c r="U268" s="3">
        <f t="shared" si="81"/>
        <v>14</v>
      </c>
      <c r="V268" s="3">
        <f>IF(AND($L268=1,AND(对接源_01水果!$X268="自备筐",N(对接源_01水果!$V268)&lt;&gt;0)),1,0)</f>
        <v>0</v>
      </c>
      <c r="W268" s="3">
        <f t="shared" si="82"/>
        <v>8</v>
      </c>
      <c r="X268" s="3">
        <f>IF(AND($L268=1,AND(对接源_01水果!$X268="自备筐",N(对接源_01水果!$T268)&lt;&gt;0)),1,0)</f>
        <v>0</v>
      </c>
      <c r="Y268" s="3">
        <f t="shared" si="83"/>
        <v>0</v>
      </c>
      <c r="Z268" s="3">
        <f>IF(AND($M268=1,对接源_01水果!$D268="原料入库"),1,0)</f>
        <v>0</v>
      </c>
      <c r="AA268" s="3">
        <f t="shared" si="84"/>
        <v>21</v>
      </c>
      <c r="AB268" s="3">
        <f>IF(AND($M268=1,LEFT(对接源_01水果!$D268,4)="原料出库"),1,0)</f>
        <v>0</v>
      </c>
      <c r="AC268" s="3">
        <f t="shared" si="85"/>
        <v>0</v>
      </c>
      <c r="AD268" s="3">
        <f>IF(AND($M268=1,LEFT(对接源_01水果!$D268,4)="成品出库"),1,0)</f>
        <v>0</v>
      </c>
      <c r="AE268" s="3">
        <f t="shared" si="86"/>
        <v>0</v>
      </c>
      <c r="AF268" s="3">
        <f>IF(AND($N268=1,AND(LEFT(对接源_01水果!$D268,4)="包装物料",N(对接源_01水果!$K268)&lt;&gt;0)),1,0)</f>
        <v>0</v>
      </c>
      <c r="AG268" s="3">
        <f t="shared" si="87"/>
        <v>0</v>
      </c>
      <c r="AH268" s="3">
        <f>IF(AND($N268=1,AND(对接源_01水果!$D268="周转筐－销售出库",N(对接源_01水果!$K268)&lt;&gt;0)),1,0)</f>
        <v>0</v>
      </c>
      <c r="AI268" s="3">
        <f t="shared" si="88"/>
        <v>0</v>
      </c>
      <c r="AJ268" s="7"/>
      <c r="AL268" s="3">
        <f>IF(OR($AL$1="",对接源_01水果!$Y268="",对接源_01水果!$Y268&lt;&gt;$AL$1,对接源_01水果!$B268="",N(对接源_01水果!$AJ268)&lt;=0),0,IF(OR(N(对接源_01水果!$B268)&lt;$AL$2,N(对接源_01水果!$B268)&gt;$AL$3),0,1))</f>
        <v>0</v>
      </c>
      <c r="AM268" s="3">
        <f t="shared" si="89"/>
        <v>0</v>
      </c>
      <c r="AN268" s="3" t="str">
        <f>IF(对接源_01水果!$AC268="","",对接源_01水果!$AC268)</f>
        <v/>
      </c>
      <c r="AO268" s="3">
        <f t="shared" si="90"/>
        <v>0</v>
      </c>
      <c r="AP268" s="3">
        <f t="shared" si="91"/>
        <v>0</v>
      </c>
      <c r="AR268">
        <f t="shared" si="92"/>
        <v>0</v>
      </c>
      <c r="AS268">
        <f t="shared" si="93"/>
        <v>0</v>
      </c>
    </row>
    <row r="269" ht="14.25" customHeight="1" spans="1:45">
      <c r="A269" s="3" t="str">
        <f>IF(对接源_01水果!$C269="","",对接源_01水果!$C269)</f>
        <v>麦麦提</v>
      </c>
      <c r="B269" s="3">
        <f t="shared" si="76"/>
        <v>0</v>
      </c>
      <c r="C269" s="3">
        <f t="shared" si="77"/>
        <v>15</v>
      </c>
      <c r="E269" s="3" t="str">
        <f t="shared" si="78"/>
        <v/>
      </c>
      <c r="K269" s="3">
        <f>IF(OR($K$1="",对接源_01水果!$C269="",对接源_01水果!$C269&lt;&gt;$K$1,对接源_01水果!$B269=""),0,IF(OR(N(对接源_01水果!$B269)&lt;$K$2,N(对接源_01水果!$B269)&gt;$K$3),0,1))</f>
        <v>0</v>
      </c>
      <c r="L269" s="3">
        <f>IF(OR($L$1="",对接源_01水果!$C269="",对接源_01水果!$C269&lt;&gt;$L$1,对接源_01水果!$B269=""),0,IF(OR(N(对接源_01水果!$B269)&lt;$L$2,N(对接源_01水果!$B269)&gt;$L$3),0,1))</f>
        <v>0</v>
      </c>
      <c r="M269" s="3">
        <f>IF(OR($M$1="",对接源_01水果!$C269="",对接源_01水果!$C269&lt;&gt;$M$1,对接源_01水果!$B269=""),0,IF(OR(N(对接源_01水果!$B269)&lt;$M$2,N(对接源_01水果!$B269)&gt;$M$3),0,1))</f>
        <v>0</v>
      </c>
      <c r="N269" s="3">
        <f>IF(OR($N$1="",对接源_01水果!$C269="",对接源_01水果!$C269&lt;&gt;$N$1,对接源_01水果!$B269=""),0,IF(OR(N(对接源_01水果!$B269)&lt;$N$2,N(对接源_01水果!$B269)&gt;$N$3),0,1))</f>
        <v>0</v>
      </c>
      <c r="P269" s="3">
        <f>IF(AND($K269=1,AND(对接源_01水果!$X269="公司筐",N(对接源_01水果!$T269)&lt;&gt;0)),1,0)</f>
        <v>0</v>
      </c>
      <c r="Q269" s="3">
        <f t="shared" si="79"/>
        <v>0</v>
      </c>
      <c r="R269" s="3">
        <f>IF(AND($K269=1,AND(对接源_01水果!$X269="公司筐",N(对接源_01水果!$U269)&lt;&gt;0)),1,0)</f>
        <v>0</v>
      </c>
      <c r="S269" s="3">
        <f t="shared" si="80"/>
        <v>0</v>
      </c>
      <c r="T269" s="3">
        <f>IF(AND($K269=1,AND(对接源_01水果!$X269="公司筐",N(对接源_01水果!$V269)&lt;&gt;0)),1,0)</f>
        <v>0</v>
      </c>
      <c r="U269" s="3">
        <f t="shared" si="81"/>
        <v>14</v>
      </c>
      <c r="V269" s="3">
        <f>IF(AND($L269=1,AND(对接源_01水果!$X269="自备筐",N(对接源_01水果!$V269)&lt;&gt;0)),1,0)</f>
        <v>0</v>
      </c>
      <c r="W269" s="3">
        <f t="shared" si="82"/>
        <v>8</v>
      </c>
      <c r="X269" s="3">
        <f>IF(AND($L269=1,AND(对接源_01水果!$X269="自备筐",N(对接源_01水果!$T269)&lt;&gt;0)),1,0)</f>
        <v>0</v>
      </c>
      <c r="Y269" s="3">
        <f t="shared" si="83"/>
        <v>0</v>
      </c>
      <c r="Z269" s="3">
        <f>IF(AND($M269=1,对接源_01水果!$D269="原料入库"),1,0)</f>
        <v>0</v>
      </c>
      <c r="AA269" s="3">
        <f t="shared" si="84"/>
        <v>21</v>
      </c>
      <c r="AB269" s="3">
        <f>IF(AND($M269=1,LEFT(对接源_01水果!$D269,4)="原料出库"),1,0)</f>
        <v>0</v>
      </c>
      <c r="AC269" s="3">
        <f t="shared" si="85"/>
        <v>0</v>
      </c>
      <c r="AD269" s="3">
        <f>IF(AND($M269=1,LEFT(对接源_01水果!$D269,4)="成品出库"),1,0)</f>
        <v>0</v>
      </c>
      <c r="AE269" s="3">
        <f t="shared" si="86"/>
        <v>0</v>
      </c>
      <c r="AF269" s="3">
        <f>IF(AND($N269=1,AND(LEFT(对接源_01水果!$D269,4)="包装物料",N(对接源_01水果!$K269)&lt;&gt;0)),1,0)</f>
        <v>0</v>
      </c>
      <c r="AG269" s="3">
        <f t="shared" si="87"/>
        <v>0</v>
      </c>
      <c r="AH269" s="3">
        <f>IF(AND($N269=1,AND(对接源_01水果!$D269="周转筐－销售出库",N(对接源_01水果!$K269)&lt;&gt;0)),1,0)</f>
        <v>0</v>
      </c>
      <c r="AI269" s="3">
        <f t="shared" si="88"/>
        <v>0</v>
      </c>
      <c r="AJ269" s="7"/>
      <c r="AL269" s="3">
        <f>IF(OR($AL$1="",对接源_01水果!$Y269="",对接源_01水果!$Y269&lt;&gt;$AL$1,对接源_01水果!$B269="",N(对接源_01水果!$AJ269)&lt;=0),0,IF(OR(N(对接源_01水果!$B269)&lt;$AL$2,N(对接源_01水果!$B269)&gt;$AL$3),0,1))</f>
        <v>0</v>
      </c>
      <c r="AM269" s="3">
        <f t="shared" si="89"/>
        <v>0</v>
      </c>
      <c r="AN269" s="3" t="str">
        <f>IF(对接源_01水果!$AC269="","",对接源_01水果!$AC269)</f>
        <v/>
      </c>
      <c r="AO269" s="3">
        <f t="shared" si="90"/>
        <v>0</v>
      </c>
      <c r="AP269" s="3">
        <f t="shared" si="91"/>
        <v>0</v>
      </c>
      <c r="AR269">
        <f t="shared" si="92"/>
        <v>0</v>
      </c>
      <c r="AS269">
        <f t="shared" si="93"/>
        <v>0</v>
      </c>
    </row>
    <row r="270" ht="14.25" customHeight="1" spans="1:45">
      <c r="A270" s="3" t="str">
        <f>IF(对接源_01水果!$C270="","",对接源_01水果!$C270)</f>
        <v>麦麦提</v>
      </c>
      <c r="B270" s="3">
        <f t="shared" si="76"/>
        <v>0</v>
      </c>
      <c r="C270" s="3">
        <f t="shared" si="77"/>
        <v>15</v>
      </c>
      <c r="E270" s="3" t="str">
        <f t="shared" si="78"/>
        <v/>
      </c>
      <c r="K270" s="3">
        <f>IF(OR($K$1="",对接源_01水果!$C270="",对接源_01水果!$C270&lt;&gt;$K$1,对接源_01水果!$B270=""),0,IF(OR(N(对接源_01水果!$B270)&lt;$K$2,N(对接源_01水果!$B270)&gt;$K$3),0,1))</f>
        <v>0</v>
      </c>
      <c r="L270" s="3">
        <f>IF(OR($L$1="",对接源_01水果!$C270="",对接源_01水果!$C270&lt;&gt;$L$1,对接源_01水果!$B270=""),0,IF(OR(N(对接源_01水果!$B270)&lt;$L$2,N(对接源_01水果!$B270)&gt;$L$3),0,1))</f>
        <v>0</v>
      </c>
      <c r="M270" s="3">
        <f>IF(OR($M$1="",对接源_01水果!$C270="",对接源_01水果!$C270&lt;&gt;$M$1,对接源_01水果!$B270=""),0,IF(OR(N(对接源_01水果!$B270)&lt;$M$2,N(对接源_01水果!$B270)&gt;$M$3),0,1))</f>
        <v>0</v>
      </c>
      <c r="N270" s="3">
        <f>IF(OR($N$1="",对接源_01水果!$C270="",对接源_01水果!$C270&lt;&gt;$N$1,对接源_01水果!$B270=""),0,IF(OR(N(对接源_01水果!$B270)&lt;$N$2,N(对接源_01水果!$B270)&gt;$N$3),0,1))</f>
        <v>0</v>
      </c>
      <c r="P270" s="3">
        <f>IF(AND($K270=1,AND(对接源_01水果!$X270="公司筐",N(对接源_01水果!$T270)&lt;&gt;0)),1,0)</f>
        <v>0</v>
      </c>
      <c r="Q270" s="3">
        <f t="shared" si="79"/>
        <v>0</v>
      </c>
      <c r="R270" s="3">
        <f>IF(AND($K270=1,AND(对接源_01水果!$X270="公司筐",N(对接源_01水果!$U270)&lt;&gt;0)),1,0)</f>
        <v>0</v>
      </c>
      <c r="S270" s="3">
        <f t="shared" si="80"/>
        <v>0</v>
      </c>
      <c r="T270" s="3">
        <f>IF(AND($K270=1,AND(对接源_01水果!$X270="公司筐",N(对接源_01水果!$V270)&lt;&gt;0)),1,0)</f>
        <v>0</v>
      </c>
      <c r="U270" s="3">
        <f t="shared" si="81"/>
        <v>14</v>
      </c>
      <c r="V270" s="3">
        <f>IF(AND($L270=1,AND(对接源_01水果!$X270="自备筐",N(对接源_01水果!$V270)&lt;&gt;0)),1,0)</f>
        <v>0</v>
      </c>
      <c r="W270" s="3">
        <f t="shared" si="82"/>
        <v>8</v>
      </c>
      <c r="X270" s="3">
        <f>IF(AND($L270=1,AND(对接源_01水果!$X270="自备筐",N(对接源_01水果!$T270)&lt;&gt;0)),1,0)</f>
        <v>0</v>
      </c>
      <c r="Y270" s="3">
        <f t="shared" si="83"/>
        <v>0</v>
      </c>
      <c r="Z270" s="3">
        <f>IF(AND($M270=1,对接源_01水果!$D270="原料入库"),1,0)</f>
        <v>0</v>
      </c>
      <c r="AA270" s="3">
        <f t="shared" si="84"/>
        <v>21</v>
      </c>
      <c r="AB270" s="3">
        <f>IF(AND($M270=1,LEFT(对接源_01水果!$D270,4)="原料出库"),1,0)</f>
        <v>0</v>
      </c>
      <c r="AC270" s="3">
        <f t="shared" si="85"/>
        <v>0</v>
      </c>
      <c r="AD270" s="3">
        <f>IF(AND($M270=1,LEFT(对接源_01水果!$D270,4)="成品出库"),1,0)</f>
        <v>0</v>
      </c>
      <c r="AE270" s="3">
        <f t="shared" si="86"/>
        <v>0</v>
      </c>
      <c r="AF270" s="3">
        <f>IF(AND($N270=1,AND(LEFT(对接源_01水果!$D270,4)="包装物料",N(对接源_01水果!$K270)&lt;&gt;0)),1,0)</f>
        <v>0</v>
      </c>
      <c r="AG270" s="3">
        <f t="shared" si="87"/>
        <v>0</v>
      </c>
      <c r="AH270" s="3">
        <f>IF(AND($N270=1,AND(对接源_01水果!$D270="周转筐－销售出库",N(对接源_01水果!$K270)&lt;&gt;0)),1,0)</f>
        <v>0</v>
      </c>
      <c r="AI270" s="3">
        <f t="shared" si="88"/>
        <v>0</v>
      </c>
      <c r="AJ270" s="7"/>
      <c r="AL270" s="3">
        <f>IF(OR($AL$1="",对接源_01水果!$Y270="",对接源_01水果!$Y270&lt;&gt;$AL$1,对接源_01水果!$B270="",N(对接源_01水果!$AJ270)&lt;=0),0,IF(OR(N(对接源_01水果!$B270)&lt;$AL$2,N(对接源_01水果!$B270)&gt;$AL$3),0,1))</f>
        <v>0</v>
      </c>
      <c r="AM270" s="3">
        <f t="shared" si="89"/>
        <v>0</v>
      </c>
      <c r="AN270" s="3" t="str">
        <f>IF(对接源_01水果!$AC270="","",对接源_01水果!$AC270)</f>
        <v/>
      </c>
      <c r="AO270" s="3">
        <f t="shared" si="90"/>
        <v>0</v>
      </c>
      <c r="AP270" s="3">
        <f t="shared" si="91"/>
        <v>0</v>
      </c>
      <c r="AR270">
        <f t="shared" si="92"/>
        <v>0</v>
      </c>
      <c r="AS270">
        <f t="shared" si="93"/>
        <v>0</v>
      </c>
    </row>
    <row r="271" ht="14.25" customHeight="1" spans="1:45">
      <c r="A271" s="3" t="str">
        <f>IF(对接源_01水果!$C271="","",对接源_01水果!$C271)</f>
        <v>努尔敦</v>
      </c>
      <c r="B271" s="3">
        <f t="shared" si="76"/>
        <v>0</v>
      </c>
      <c r="C271" s="3">
        <f t="shared" si="77"/>
        <v>15</v>
      </c>
      <c r="E271" s="3" t="str">
        <f t="shared" si="78"/>
        <v/>
      </c>
      <c r="K271" s="3">
        <f>IF(OR($K$1="",对接源_01水果!$C271="",对接源_01水果!$C271&lt;&gt;$K$1,对接源_01水果!$B271=""),0,IF(OR(N(对接源_01水果!$B271)&lt;$K$2,N(对接源_01水果!$B271)&gt;$K$3),0,1))</f>
        <v>0</v>
      </c>
      <c r="L271" s="3">
        <f>IF(OR($L$1="",对接源_01水果!$C271="",对接源_01水果!$C271&lt;&gt;$L$1,对接源_01水果!$B271=""),0,IF(OR(N(对接源_01水果!$B271)&lt;$L$2,N(对接源_01水果!$B271)&gt;$L$3),0,1))</f>
        <v>0</v>
      </c>
      <c r="M271" s="3">
        <f>IF(OR($M$1="",对接源_01水果!$C271="",对接源_01水果!$C271&lt;&gt;$M$1,对接源_01水果!$B271=""),0,IF(OR(N(对接源_01水果!$B271)&lt;$M$2,N(对接源_01水果!$B271)&gt;$M$3),0,1))</f>
        <v>0</v>
      </c>
      <c r="N271" s="3">
        <f>IF(OR($N$1="",对接源_01水果!$C271="",对接源_01水果!$C271&lt;&gt;$N$1,对接源_01水果!$B271=""),0,IF(OR(N(对接源_01水果!$B271)&lt;$N$2,N(对接源_01水果!$B271)&gt;$N$3),0,1))</f>
        <v>0</v>
      </c>
      <c r="P271" s="3">
        <f>IF(AND($K271=1,AND(对接源_01水果!$X271="公司筐",N(对接源_01水果!$T271)&lt;&gt;0)),1,0)</f>
        <v>0</v>
      </c>
      <c r="Q271" s="3">
        <f t="shared" si="79"/>
        <v>0</v>
      </c>
      <c r="R271" s="3">
        <f>IF(AND($K271=1,AND(对接源_01水果!$X271="公司筐",N(对接源_01水果!$U271)&lt;&gt;0)),1,0)</f>
        <v>0</v>
      </c>
      <c r="S271" s="3">
        <f t="shared" si="80"/>
        <v>0</v>
      </c>
      <c r="T271" s="3">
        <f>IF(AND($K271=1,AND(对接源_01水果!$X271="公司筐",N(对接源_01水果!$V271)&lt;&gt;0)),1,0)</f>
        <v>0</v>
      </c>
      <c r="U271" s="3">
        <f t="shared" si="81"/>
        <v>14</v>
      </c>
      <c r="V271" s="3">
        <f>IF(AND($L271=1,AND(对接源_01水果!$X271="自备筐",N(对接源_01水果!$V271)&lt;&gt;0)),1,0)</f>
        <v>0</v>
      </c>
      <c r="W271" s="3">
        <f t="shared" si="82"/>
        <v>8</v>
      </c>
      <c r="X271" s="3">
        <f>IF(AND($L271=1,AND(对接源_01水果!$X271="自备筐",N(对接源_01水果!$T271)&lt;&gt;0)),1,0)</f>
        <v>0</v>
      </c>
      <c r="Y271" s="3">
        <f t="shared" si="83"/>
        <v>0</v>
      </c>
      <c r="Z271" s="3">
        <f>IF(AND($M271=1,对接源_01水果!$D271="原料入库"),1,0)</f>
        <v>0</v>
      </c>
      <c r="AA271" s="3">
        <f t="shared" si="84"/>
        <v>21</v>
      </c>
      <c r="AB271" s="3">
        <f>IF(AND($M271=1,LEFT(对接源_01水果!$D271,4)="原料出库"),1,0)</f>
        <v>0</v>
      </c>
      <c r="AC271" s="3">
        <f t="shared" si="85"/>
        <v>0</v>
      </c>
      <c r="AD271" s="3">
        <f>IF(AND($M271=1,LEFT(对接源_01水果!$D271,4)="成品出库"),1,0)</f>
        <v>0</v>
      </c>
      <c r="AE271" s="3">
        <f t="shared" si="86"/>
        <v>0</v>
      </c>
      <c r="AF271" s="3">
        <f>IF(AND($N271=1,AND(LEFT(对接源_01水果!$D271,4)="包装物料",N(对接源_01水果!$K271)&lt;&gt;0)),1,0)</f>
        <v>0</v>
      </c>
      <c r="AG271" s="3">
        <f t="shared" si="87"/>
        <v>0</v>
      </c>
      <c r="AH271" s="3">
        <f>IF(AND($N271=1,AND(对接源_01水果!$D271="周转筐－销售出库",N(对接源_01水果!$K271)&lt;&gt;0)),1,0)</f>
        <v>0</v>
      </c>
      <c r="AI271" s="3">
        <f t="shared" si="88"/>
        <v>0</v>
      </c>
      <c r="AJ271" s="7"/>
      <c r="AL271" s="3">
        <f>IF(OR($AL$1="",对接源_01水果!$Y271="",对接源_01水果!$Y271&lt;&gt;$AL$1,对接源_01水果!$B271="",N(对接源_01水果!$AJ271)&lt;=0),0,IF(OR(N(对接源_01水果!$B271)&lt;$AL$2,N(对接源_01水果!$B271)&gt;$AL$3),0,1))</f>
        <v>0</v>
      </c>
      <c r="AM271" s="3">
        <f t="shared" si="89"/>
        <v>0</v>
      </c>
      <c r="AN271" s="3" t="str">
        <f>IF(对接源_01水果!$AC271="","",对接源_01水果!$AC271)</f>
        <v/>
      </c>
      <c r="AO271" s="3">
        <f t="shared" si="90"/>
        <v>0</v>
      </c>
      <c r="AP271" s="3">
        <f t="shared" si="91"/>
        <v>0</v>
      </c>
      <c r="AR271">
        <f t="shared" si="92"/>
        <v>0</v>
      </c>
      <c r="AS271">
        <f t="shared" si="93"/>
        <v>0</v>
      </c>
    </row>
    <row r="272" ht="14.25" customHeight="1" spans="1:45">
      <c r="A272" s="3" t="str">
        <f>IF(对接源_01水果!$C272="","",对接源_01水果!$C272)</f>
        <v>努尔敦</v>
      </c>
      <c r="B272" s="3">
        <f t="shared" si="76"/>
        <v>0</v>
      </c>
      <c r="C272" s="3">
        <f t="shared" si="77"/>
        <v>15</v>
      </c>
      <c r="E272" s="3" t="str">
        <f t="shared" si="78"/>
        <v/>
      </c>
      <c r="K272" s="3">
        <f>IF(OR($K$1="",对接源_01水果!$C272="",对接源_01水果!$C272&lt;&gt;$K$1,对接源_01水果!$B272=""),0,IF(OR(N(对接源_01水果!$B272)&lt;$K$2,N(对接源_01水果!$B272)&gt;$K$3),0,1))</f>
        <v>0</v>
      </c>
      <c r="L272" s="3">
        <f>IF(OR($L$1="",对接源_01水果!$C272="",对接源_01水果!$C272&lt;&gt;$L$1,对接源_01水果!$B272=""),0,IF(OR(N(对接源_01水果!$B272)&lt;$L$2,N(对接源_01水果!$B272)&gt;$L$3),0,1))</f>
        <v>0</v>
      </c>
      <c r="M272" s="3">
        <f>IF(OR($M$1="",对接源_01水果!$C272="",对接源_01水果!$C272&lt;&gt;$M$1,对接源_01水果!$B272=""),0,IF(OR(N(对接源_01水果!$B272)&lt;$M$2,N(对接源_01水果!$B272)&gt;$M$3),0,1))</f>
        <v>0</v>
      </c>
      <c r="N272" s="3">
        <f>IF(OR($N$1="",对接源_01水果!$C272="",对接源_01水果!$C272&lt;&gt;$N$1,对接源_01水果!$B272=""),0,IF(OR(N(对接源_01水果!$B272)&lt;$N$2,N(对接源_01水果!$B272)&gt;$N$3),0,1))</f>
        <v>0</v>
      </c>
      <c r="P272" s="3">
        <f>IF(AND($K272=1,AND(对接源_01水果!$X272="公司筐",N(对接源_01水果!$T272)&lt;&gt;0)),1,0)</f>
        <v>0</v>
      </c>
      <c r="Q272" s="3">
        <f t="shared" si="79"/>
        <v>0</v>
      </c>
      <c r="R272" s="3">
        <f>IF(AND($K272=1,AND(对接源_01水果!$X272="公司筐",N(对接源_01水果!$U272)&lt;&gt;0)),1,0)</f>
        <v>0</v>
      </c>
      <c r="S272" s="3">
        <f t="shared" si="80"/>
        <v>0</v>
      </c>
      <c r="T272" s="3">
        <f>IF(AND($K272=1,AND(对接源_01水果!$X272="公司筐",N(对接源_01水果!$V272)&lt;&gt;0)),1,0)</f>
        <v>0</v>
      </c>
      <c r="U272" s="3">
        <f t="shared" si="81"/>
        <v>14</v>
      </c>
      <c r="V272" s="3">
        <f>IF(AND($L272=1,AND(对接源_01水果!$X272="自备筐",N(对接源_01水果!$V272)&lt;&gt;0)),1,0)</f>
        <v>0</v>
      </c>
      <c r="W272" s="3">
        <f t="shared" si="82"/>
        <v>8</v>
      </c>
      <c r="X272" s="3">
        <f>IF(AND($L272=1,AND(对接源_01水果!$X272="自备筐",N(对接源_01水果!$T272)&lt;&gt;0)),1,0)</f>
        <v>0</v>
      </c>
      <c r="Y272" s="3">
        <f t="shared" si="83"/>
        <v>0</v>
      </c>
      <c r="Z272" s="3">
        <f>IF(AND($M272=1,对接源_01水果!$D272="原料入库"),1,0)</f>
        <v>0</v>
      </c>
      <c r="AA272" s="3">
        <f t="shared" si="84"/>
        <v>21</v>
      </c>
      <c r="AB272" s="3">
        <f>IF(AND($M272=1,LEFT(对接源_01水果!$D272,4)="原料出库"),1,0)</f>
        <v>0</v>
      </c>
      <c r="AC272" s="3">
        <f t="shared" si="85"/>
        <v>0</v>
      </c>
      <c r="AD272" s="3">
        <f>IF(AND($M272=1,LEFT(对接源_01水果!$D272,4)="成品出库"),1,0)</f>
        <v>0</v>
      </c>
      <c r="AE272" s="3">
        <f t="shared" si="86"/>
        <v>0</v>
      </c>
      <c r="AF272" s="3">
        <f>IF(AND($N272=1,AND(LEFT(对接源_01水果!$D272,4)="包装物料",N(对接源_01水果!$K272)&lt;&gt;0)),1,0)</f>
        <v>0</v>
      </c>
      <c r="AG272" s="3">
        <f t="shared" si="87"/>
        <v>0</v>
      </c>
      <c r="AH272" s="3">
        <f>IF(AND($N272=1,AND(对接源_01水果!$D272="周转筐－销售出库",N(对接源_01水果!$K272)&lt;&gt;0)),1,0)</f>
        <v>0</v>
      </c>
      <c r="AI272" s="3">
        <f t="shared" si="88"/>
        <v>0</v>
      </c>
      <c r="AJ272" s="7"/>
      <c r="AL272" s="3">
        <f>IF(OR($AL$1="",对接源_01水果!$Y272="",对接源_01水果!$Y272&lt;&gt;$AL$1,对接源_01水果!$B272="",N(对接源_01水果!$AJ272)&lt;=0),0,IF(OR(N(对接源_01水果!$B272)&lt;$AL$2,N(对接源_01水果!$B272)&gt;$AL$3),0,1))</f>
        <v>0</v>
      </c>
      <c r="AM272" s="3">
        <f t="shared" si="89"/>
        <v>0</v>
      </c>
      <c r="AN272" s="3" t="str">
        <f>IF(对接源_01水果!$AC272="","",对接源_01水果!$AC272)</f>
        <v/>
      </c>
      <c r="AO272" s="3">
        <f t="shared" si="90"/>
        <v>0</v>
      </c>
      <c r="AP272" s="3">
        <f t="shared" si="91"/>
        <v>0</v>
      </c>
      <c r="AR272">
        <f t="shared" si="92"/>
        <v>0</v>
      </c>
      <c r="AS272">
        <f t="shared" si="93"/>
        <v>0</v>
      </c>
    </row>
    <row r="273" ht="14.25" customHeight="1" spans="1:45">
      <c r="A273" s="3" t="str">
        <f>IF(对接源_01水果!$C273="","",对接源_01水果!$C273)</f>
        <v>努尔敦</v>
      </c>
      <c r="B273" s="3">
        <f t="shared" si="76"/>
        <v>0</v>
      </c>
      <c r="C273" s="3">
        <f t="shared" si="77"/>
        <v>15</v>
      </c>
      <c r="E273" s="3" t="str">
        <f t="shared" si="78"/>
        <v/>
      </c>
      <c r="K273" s="3">
        <f>IF(OR($K$1="",对接源_01水果!$C273="",对接源_01水果!$C273&lt;&gt;$K$1,对接源_01水果!$B273=""),0,IF(OR(N(对接源_01水果!$B273)&lt;$K$2,N(对接源_01水果!$B273)&gt;$K$3),0,1))</f>
        <v>0</v>
      </c>
      <c r="L273" s="3">
        <f>IF(OR($L$1="",对接源_01水果!$C273="",对接源_01水果!$C273&lt;&gt;$L$1,对接源_01水果!$B273=""),0,IF(OR(N(对接源_01水果!$B273)&lt;$L$2,N(对接源_01水果!$B273)&gt;$L$3),0,1))</f>
        <v>0</v>
      </c>
      <c r="M273" s="3">
        <f>IF(OR($M$1="",对接源_01水果!$C273="",对接源_01水果!$C273&lt;&gt;$M$1,对接源_01水果!$B273=""),0,IF(OR(N(对接源_01水果!$B273)&lt;$M$2,N(对接源_01水果!$B273)&gt;$M$3),0,1))</f>
        <v>0</v>
      </c>
      <c r="N273" s="3">
        <f>IF(OR($N$1="",对接源_01水果!$C273="",对接源_01水果!$C273&lt;&gt;$N$1,对接源_01水果!$B273=""),0,IF(OR(N(对接源_01水果!$B273)&lt;$N$2,N(对接源_01水果!$B273)&gt;$N$3),0,1))</f>
        <v>0</v>
      </c>
      <c r="P273" s="3">
        <f>IF(AND($K273=1,AND(对接源_01水果!$X273="公司筐",N(对接源_01水果!$T273)&lt;&gt;0)),1,0)</f>
        <v>0</v>
      </c>
      <c r="Q273" s="3">
        <f t="shared" si="79"/>
        <v>0</v>
      </c>
      <c r="R273" s="3">
        <f>IF(AND($K273=1,AND(对接源_01水果!$X273="公司筐",N(对接源_01水果!$U273)&lt;&gt;0)),1,0)</f>
        <v>0</v>
      </c>
      <c r="S273" s="3">
        <f t="shared" si="80"/>
        <v>0</v>
      </c>
      <c r="T273" s="3">
        <f>IF(AND($K273=1,AND(对接源_01水果!$X273="公司筐",N(对接源_01水果!$V273)&lt;&gt;0)),1,0)</f>
        <v>0</v>
      </c>
      <c r="U273" s="3">
        <f t="shared" si="81"/>
        <v>14</v>
      </c>
      <c r="V273" s="3">
        <f>IF(AND($L273=1,AND(对接源_01水果!$X273="自备筐",N(对接源_01水果!$V273)&lt;&gt;0)),1,0)</f>
        <v>0</v>
      </c>
      <c r="W273" s="3">
        <f t="shared" si="82"/>
        <v>8</v>
      </c>
      <c r="X273" s="3">
        <f>IF(AND($L273=1,AND(对接源_01水果!$X273="自备筐",N(对接源_01水果!$T273)&lt;&gt;0)),1,0)</f>
        <v>0</v>
      </c>
      <c r="Y273" s="3">
        <f t="shared" si="83"/>
        <v>0</v>
      </c>
      <c r="Z273" s="3">
        <f>IF(AND($M273=1,对接源_01水果!$D273="原料入库"),1,0)</f>
        <v>0</v>
      </c>
      <c r="AA273" s="3">
        <f t="shared" si="84"/>
        <v>21</v>
      </c>
      <c r="AB273" s="3">
        <f>IF(AND($M273=1,LEFT(对接源_01水果!$D273,4)="原料出库"),1,0)</f>
        <v>0</v>
      </c>
      <c r="AC273" s="3">
        <f t="shared" si="85"/>
        <v>0</v>
      </c>
      <c r="AD273" s="3">
        <f>IF(AND($M273=1,LEFT(对接源_01水果!$D273,4)="成品出库"),1,0)</f>
        <v>0</v>
      </c>
      <c r="AE273" s="3">
        <f t="shared" si="86"/>
        <v>0</v>
      </c>
      <c r="AF273" s="3">
        <f>IF(AND($N273=1,AND(LEFT(对接源_01水果!$D273,4)="包装物料",N(对接源_01水果!$K273)&lt;&gt;0)),1,0)</f>
        <v>0</v>
      </c>
      <c r="AG273" s="3">
        <f t="shared" si="87"/>
        <v>0</v>
      </c>
      <c r="AH273" s="3">
        <f>IF(AND($N273=1,AND(对接源_01水果!$D273="周转筐－销售出库",N(对接源_01水果!$K273)&lt;&gt;0)),1,0)</f>
        <v>0</v>
      </c>
      <c r="AI273" s="3">
        <f t="shared" si="88"/>
        <v>0</v>
      </c>
      <c r="AJ273" s="7"/>
      <c r="AL273" s="3">
        <f>IF(OR($AL$1="",对接源_01水果!$Y273="",对接源_01水果!$Y273&lt;&gt;$AL$1,对接源_01水果!$B273="",N(对接源_01水果!$AJ273)&lt;=0),0,IF(OR(N(对接源_01水果!$B273)&lt;$AL$2,N(对接源_01水果!$B273)&gt;$AL$3),0,1))</f>
        <v>0</v>
      </c>
      <c r="AM273" s="3">
        <f t="shared" si="89"/>
        <v>0</v>
      </c>
      <c r="AN273" s="3" t="str">
        <f>IF(对接源_01水果!$AC273="","",对接源_01水果!$AC273)</f>
        <v/>
      </c>
      <c r="AO273" s="3">
        <f t="shared" si="90"/>
        <v>0</v>
      </c>
      <c r="AP273" s="3">
        <f t="shared" si="91"/>
        <v>0</v>
      </c>
      <c r="AR273">
        <f t="shared" si="92"/>
        <v>0</v>
      </c>
      <c r="AS273">
        <f t="shared" si="93"/>
        <v>0</v>
      </c>
    </row>
    <row r="274" ht="14.25" customHeight="1" spans="1:45">
      <c r="A274" s="3" t="str">
        <f>IF(对接源_01水果!$C274="","",对接源_01水果!$C274)</f>
        <v>吐尔逊</v>
      </c>
      <c r="B274" s="3">
        <f t="shared" si="76"/>
        <v>1</v>
      </c>
      <c r="C274" s="3">
        <f t="shared" si="77"/>
        <v>16</v>
      </c>
      <c r="E274" s="3" t="str">
        <f t="shared" si="78"/>
        <v/>
      </c>
      <c r="K274" s="3">
        <f>IF(OR($K$1="",对接源_01水果!$C274="",对接源_01水果!$C274&lt;&gt;$K$1,对接源_01水果!$B274=""),0,IF(OR(N(对接源_01水果!$B274)&lt;$K$2,N(对接源_01水果!$B274)&gt;$K$3),0,1))</f>
        <v>0</v>
      </c>
      <c r="L274" s="3">
        <f>IF(OR($L$1="",对接源_01水果!$C274="",对接源_01水果!$C274&lt;&gt;$L$1,对接源_01水果!$B274=""),0,IF(OR(N(对接源_01水果!$B274)&lt;$L$2,N(对接源_01水果!$B274)&gt;$L$3),0,1))</f>
        <v>0</v>
      </c>
      <c r="M274" s="3">
        <f>IF(OR($M$1="",对接源_01水果!$C274="",对接源_01水果!$C274&lt;&gt;$M$1,对接源_01水果!$B274=""),0,IF(OR(N(对接源_01水果!$B274)&lt;$M$2,N(对接源_01水果!$B274)&gt;$M$3),0,1))</f>
        <v>0</v>
      </c>
      <c r="N274" s="3">
        <f>IF(OR($N$1="",对接源_01水果!$C274="",对接源_01水果!$C274&lt;&gt;$N$1,对接源_01水果!$B274=""),0,IF(OR(N(对接源_01水果!$B274)&lt;$N$2,N(对接源_01水果!$B274)&gt;$N$3),0,1))</f>
        <v>0</v>
      </c>
      <c r="P274" s="3">
        <f>IF(AND($K274=1,AND(对接源_01水果!$X274="公司筐",N(对接源_01水果!$T274)&lt;&gt;0)),1,0)</f>
        <v>0</v>
      </c>
      <c r="Q274" s="3">
        <f t="shared" si="79"/>
        <v>0</v>
      </c>
      <c r="R274" s="3">
        <f>IF(AND($K274=1,AND(对接源_01水果!$X274="公司筐",N(对接源_01水果!$U274)&lt;&gt;0)),1,0)</f>
        <v>0</v>
      </c>
      <c r="S274" s="3">
        <f t="shared" si="80"/>
        <v>0</v>
      </c>
      <c r="T274" s="3">
        <f>IF(AND($K274=1,AND(对接源_01水果!$X274="公司筐",N(对接源_01水果!$V274)&lt;&gt;0)),1,0)</f>
        <v>0</v>
      </c>
      <c r="U274" s="3">
        <f t="shared" si="81"/>
        <v>14</v>
      </c>
      <c r="V274" s="3">
        <f>IF(AND($L274=1,AND(对接源_01水果!$X274="自备筐",N(对接源_01水果!$V274)&lt;&gt;0)),1,0)</f>
        <v>0</v>
      </c>
      <c r="W274" s="3">
        <f t="shared" si="82"/>
        <v>8</v>
      </c>
      <c r="X274" s="3">
        <f>IF(AND($L274=1,AND(对接源_01水果!$X274="自备筐",N(对接源_01水果!$T274)&lt;&gt;0)),1,0)</f>
        <v>0</v>
      </c>
      <c r="Y274" s="3">
        <f t="shared" si="83"/>
        <v>0</v>
      </c>
      <c r="Z274" s="3">
        <f>IF(AND($M274=1,对接源_01水果!$D274="原料入库"),1,0)</f>
        <v>0</v>
      </c>
      <c r="AA274" s="3">
        <f t="shared" si="84"/>
        <v>21</v>
      </c>
      <c r="AB274" s="3">
        <f>IF(AND($M274=1,LEFT(对接源_01水果!$D274,4)="原料出库"),1,0)</f>
        <v>0</v>
      </c>
      <c r="AC274" s="3">
        <f t="shared" si="85"/>
        <v>0</v>
      </c>
      <c r="AD274" s="3">
        <f>IF(AND($M274=1,LEFT(对接源_01水果!$D274,4)="成品出库"),1,0)</f>
        <v>0</v>
      </c>
      <c r="AE274" s="3">
        <f t="shared" si="86"/>
        <v>0</v>
      </c>
      <c r="AF274" s="3">
        <f>IF(AND($N274=1,AND(LEFT(对接源_01水果!$D274,4)="包装物料",N(对接源_01水果!$K274)&lt;&gt;0)),1,0)</f>
        <v>0</v>
      </c>
      <c r="AG274" s="3">
        <f t="shared" si="87"/>
        <v>0</v>
      </c>
      <c r="AH274" s="3">
        <f>IF(AND($N274=1,AND(对接源_01水果!$D274="周转筐－销售出库",N(对接源_01水果!$K274)&lt;&gt;0)),1,0)</f>
        <v>0</v>
      </c>
      <c r="AI274" s="3">
        <f t="shared" si="88"/>
        <v>0</v>
      </c>
      <c r="AJ274" s="7"/>
      <c r="AL274" s="3">
        <f>IF(OR($AL$1="",对接源_01水果!$Y274="",对接源_01水果!$Y274&lt;&gt;$AL$1,对接源_01水果!$B274="",N(对接源_01水果!$AJ274)&lt;=0),0,IF(OR(N(对接源_01水果!$B274)&lt;$AL$2,N(对接源_01水果!$B274)&gt;$AL$3),0,1))</f>
        <v>0</v>
      </c>
      <c r="AM274" s="3">
        <f t="shared" si="89"/>
        <v>0</v>
      </c>
      <c r="AN274" s="3" t="str">
        <f>IF(对接源_01水果!$AC274="","",对接源_01水果!$AC274)</f>
        <v/>
      </c>
      <c r="AO274" s="3">
        <f t="shared" si="90"/>
        <v>0</v>
      </c>
      <c r="AP274" s="3">
        <f t="shared" si="91"/>
        <v>0</v>
      </c>
      <c r="AR274">
        <f t="shared" si="92"/>
        <v>0</v>
      </c>
      <c r="AS274">
        <f t="shared" si="93"/>
        <v>0</v>
      </c>
    </row>
    <row r="275" ht="14.25" customHeight="1" spans="1:45">
      <c r="A275" s="3" t="str">
        <f>IF(对接源_01水果!$C275="","",对接源_01水果!$C275)</f>
        <v>吐尔逊</v>
      </c>
      <c r="B275" s="3">
        <f t="shared" si="76"/>
        <v>0</v>
      </c>
      <c r="C275" s="3">
        <f t="shared" si="77"/>
        <v>16</v>
      </c>
      <c r="E275" s="3" t="str">
        <f t="shared" si="78"/>
        <v/>
      </c>
      <c r="K275" s="3">
        <f>IF(OR($K$1="",对接源_01水果!$C275="",对接源_01水果!$C275&lt;&gt;$K$1,对接源_01水果!$B275=""),0,IF(OR(N(对接源_01水果!$B275)&lt;$K$2,N(对接源_01水果!$B275)&gt;$K$3),0,1))</f>
        <v>0</v>
      </c>
      <c r="L275" s="3">
        <f>IF(OR($L$1="",对接源_01水果!$C275="",对接源_01水果!$C275&lt;&gt;$L$1,对接源_01水果!$B275=""),0,IF(OR(N(对接源_01水果!$B275)&lt;$L$2,N(对接源_01水果!$B275)&gt;$L$3),0,1))</f>
        <v>0</v>
      </c>
      <c r="M275" s="3">
        <f>IF(OR($M$1="",对接源_01水果!$C275="",对接源_01水果!$C275&lt;&gt;$M$1,对接源_01水果!$B275=""),0,IF(OR(N(对接源_01水果!$B275)&lt;$M$2,N(对接源_01水果!$B275)&gt;$M$3),0,1))</f>
        <v>0</v>
      </c>
      <c r="N275" s="3">
        <f>IF(OR($N$1="",对接源_01水果!$C275="",对接源_01水果!$C275&lt;&gt;$N$1,对接源_01水果!$B275=""),0,IF(OR(N(对接源_01水果!$B275)&lt;$N$2,N(对接源_01水果!$B275)&gt;$N$3),0,1))</f>
        <v>0</v>
      </c>
      <c r="P275" s="3">
        <f>IF(AND($K275=1,AND(对接源_01水果!$X275="公司筐",N(对接源_01水果!$T275)&lt;&gt;0)),1,0)</f>
        <v>0</v>
      </c>
      <c r="Q275" s="3">
        <f t="shared" si="79"/>
        <v>0</v>
      </c>
      <c r="R275" s="3">
        <f>IF(AND($K275=1,AND(对接源_01水果!$X275="公司筐",N(对接源_01水果!$U275)&lt;&gt;0)),1,0)</f>
        <v>0</v>
      </c>
      <c r="S275" s="3">
        <f t="shared" si="80"/>
        <v>0</v>
      </c>
      <c r="T275" s="3">
        <f>IF(AND($K275=1,AND(对接源_01水果!$X275="公司筐",N(对接源_01水果!$V275)&lt;&gt;0)),1,0)</f>
        <v>0</v>
      </c>
      <c r="U275" s="3">
        <f t="shared" si="81"/>
        <v>14</v>
      </c>
      <c r="V275" s="3">
        <f>IF(AND($L275=1,AND(对接源_01水果!$X275="自备筐",N(对接源_01水果!$V275)&lt;&gt;0)),1,0)</f>
        <v>0</v>
      </c>
      <c r="W275" s="3">
        <f t="shared" si="82"/>
        <v>8</v>
      </c>
      <c r="X275" s="3">
        <f>IF(AND($L275=1,AND(对接源_01水果!$X275="自备筐",N(对接源_01水果!$T275)&lt;&gt;0)),1,0)</f>
        <v>0</v>
      </c>
      <c r="Y275" s="3">
        <f t="shared" si="83"/>
        <v>0</v>
      </c>
      <c r="Z275" s="3">
        <f>IF(AND($M275=1,对接源_01水果!$D275="原料入库"),1,0)</f>
        <v>0</v>
      </c>
      <c r="AA275" s="3">
        <f t="shared" si="84"/>
        <v>21</v>
      </c>
      <c r="AB275" s="3">
        <f>IF(AND($M275=1,LEFT(对接源_01水果!$D275,4)="原料出库"),1,0)</f>
        <v>0</v>
      </c>
      <c r="AC275" s="3">
        <f t="shared" si="85"/>
        <v>0</v>
      </c>
      <c r="AD275" s="3">
        <f>IF(AND($M275=1,LEFT(对接源_01水果!$D275,4)="成品出库"),1,0)</f>
        <v>0</v>
      </c>
      <c r="AE275" s="3">
        <f t="shared" si="86"/>
        <v>0</v>
      </c>
      <c r="AF275" s="3">
        <f>IF(AND($N275=1,AND(LEFT(对接源_01水果!$D275,4)="包装物料",N(对接源_01水果!$K275)&lt;&gt;0)),1,0)</f>
        <v>0</v>
      </c>
      <c r="AG275" s="3">
        <f t="shared" si="87"/>
        <v>0</v>
      </c>
      <c r="AH275" s="3">
        <f>IF(AND($N275=1,AND(对接源_01水果!$D275="周转筐－销售出库",N(对接源_01水果!$K275)&lt;&gt;0)),1,0)</f>
        <v>0</v>
      </c>
      <c r="AI275" s="3">
        <f t="shared" si="88"/>
        <v>0</v>
      </c>
      <c r="AJ275" s="7"/>
      <c r="AL275" s="3">
        <f>IF(OR($AL$1="",对接源_01水果!$Y275="",对接源_01水果!$Y275&lt;&gt;$AL$1,对接源_01水果!$B275="",N(对接源_01水果!$AJ275)&lt;=0),0,IF(OR(N(对接源_01水果!$B275)&lt;$AL$2,N(对接源_01水果!$B275)&gt;$AL$3),0,1))</f>
        <v>0</v>
      </c>
      <c r="AM275" s="3">
        <f t="shared" si="89"/>
        <v>0</v>
      </c>
      <c r="AN275" s="3" t="str">
        <f>IF(对接源_01水果!$AC275="","",对接源_01水果!$AC275)</f>
        <v/>
      </c>
      <c r="AO275" s="3">
        <f t="shared" si="90"/>
        <v>0</v>
      </c>
      <c r="AP275" s="3">
        <f t="shared" si="91"/>
        <v>0</v>
      </c>
      <c r="AR275">
        <f t="shared" si="92"/>
        <v>0</v>
      </c>
      <c r="AS275">
        <f t="shared" si="93"/>
        <v>0</v>
      </c>
    </row>
    <row r="276" ht="14.25" customHeight="1" spans="1:45">
      <c r="A276" s="3" t="str">
        <f>IF(对接源_01水果!$C276="","",对接源_01水果!$C276)</f>
        <v>王照雪</v>
      </c>
      <c r="B276" s="3">
        <f t="shared" si="76"/>
        <v>0</v>
      </c>
      <c r="C276" s="3">
        <f t="shared" si="77"/>
        <v>16</v>
      </c>
      <c r="E276" s="3" t="str">
        <f t="shared" si="78"/>
        <v/>
      </c>
      <c r="K276" s="3">
        <f>IF(OR($K$1="",对接源_01水果!$C276="",对接源_01水果!$C276&lt;&gt;$K$1,对接源_01水果!$B276=""),0,IF(OR(N(对接源_01水果!$B276)&lt;$K$2,N(对接源_01水果!$B276)&gt;$K$3),0,1))</f>
        <v>0</v>
      </c>
      <c r="L276" s="3">
        <f>IF(OR($L$1="",对接源_01水果!$C276="",对接源_01水果!$C276&lt;&gt;$L$1,对接源_01水果!$B276=""),0,IF(OR(N(对接源_01水果!$B276)&lt;$L$2,N(对接源_01水果!$B276)&gt;$L$3),0,1))</f>
        <v>0</v>
      </c>
      <c r="M276" s="3">
        <f>IF(OR($M$1="",对接源_01水果!$C276="",对接源_01水果!$C276&lt;&gt;$M$1,对接源_01水果!$B276=""),0,IF(OR(N(对接源_01水果!$B276)&lt;$M$2,N(对接源_01水果!$B276)&gt;$M$3),0,1))</f>
        <v>0</v>
      </c>
      <c r="N276" s="3">
        <f>IF(OR($N$1="",对接源_01水果!$C276="",对接源_01水果!$C276&lt;&gt;$N$1,对接源_01水果!$B276=""),0,IF(OR(N(对接源_01水果!$B276)&lt;$N$2,N(对接源_01水果!$B276)&gt;$N$3),0,1))</f>
        <v>0</v>
      </c>
      <c r="P276" s="3">
        <f>IF(AND($K276=1,AND(对接源_01水果!$X276="公司筐",N(对接源_01水果!$T276)&lt;&gt;0)),1,0)</f>
        <v>0</v>
      </c>
      <c r="Q276" s="3">
        <f t="shared" si="79"/>
        <v>0</v>
      </c>
      <c r="R276" s="3">
        <f>IF(AND($K276=1,AND(对接源_01水果!$X276="公司筐",N(对接源_01水果!$U276)&lt;&gt;0)),1,0)</f>
        <v>0</v>
      </c>
      <c r="S276" s="3">
        <f t="shared" si="80"/>
        <v>0</v>
      </c>
      <c r="T276" s="3">
        <f>IF(AND($K276=1,AND(对接源_01水果!$X276="公司筐",N(对接源_01水果!$V276)&lt;&gt;0)),1,0)</f>
        <v>0</v>
      </c>
      <c r="U276" s="3">
        <f t="shared" si="81"/>
        <v>14</v>
      </c>
      <c r="V276" s="3">
        <f>IF(AND($L276=1,AND(对接源_01水果!$X276="自备筐",N(对接源_01水果!$V276)&lt;&gt;0)),1,0)</f>
        <v>0</v>
      </c>
      <c r="W276" s="3">
        <f t="shared" si="82"/>
        <v>8</v>
      </c>
      <c r="X276" s="3">
        <f>IF(AND($L276=1,AND(对接源_01水果!$X276="自备筐",N(对接源_01水果!$T276)&lt;&gt;0)),1,0)</f>
        <v>0</v>
      </c>
      <c r="Y276" s="3">
        <f t="shared" si="83"/>
        <v>0</v>
      </c>
      <c r="Z276" s="3">
        <f>IF(AND($M276=1,对接源_01水果!$D276="原料入库"),1,0)</f>
        <v>0</v>
      </c>
      <c r="AA276" s="3">
        <f t="shared" si="84"/>
        <v>21</v>
      </c>
      <c r="AB276" s="3">
        <f>IF(AND($M276=1,LEFT(对接源_01水果!$D276,4)="原料出库"),1,0)</f>
        <v>0</v>
      </c>
      <c r="AC276" s="3">
        <f t="shared" si="85"/>
        <v>0</v>
      </c>
      <c r="AD276" s="3">
        <f>IF(AND($M276=1,LEFT(对接源_01水果!$D276,4)="成品出库"),1,0)</f>
        <v>0</v>
      </c>
      <c r="AE276" s="3">
        <f t="shared" si="86"/>
        <v>0</v>
      </c>
      <c r="AF276" s="3">
        <f>IF(AND($N276=1,AND(LEFT(对接源_01水果!$D276,4)="包装物料",N(对接源_01水果!$K276)&lt;&gt;0)),1,0)</f>
        <v>0</v>
      </c>
      <c r="AG276" s="3">
        <f t="shared" si="87"/>
        <v>0</v>
      </c>
      <c r="AH276" s="3">
        <f>IF(AND($N276=1,AND(对接源_01水果!$D276="周转筐－销售出库",N(对接源_01水果!$K276)&lt;&gt;0)),1,0)</f>
        <v>0</v>
      </c>
      <c r="AI276" s="3">
        <f t="shared" si="88"/>
        <v>0</v>
      </c>
      <c r="AJ276" s="7"/>
      <c r="AL276" s="3">
        <f>IF(OR($AL$1="",对接源_01水果!$Y276="",对接源_01水果!$Y276&lt;&gt;$AL$1,对接源_01水果!$B276="",N(对接源_01水果!$AJ276)&lt;=0),0,IF(OR(N(对接源_01水果!$B276)&lt;$AL$2,N(对接源_01水果!$B276)&gt;$AL$3),0,1))</f>
        <v>0</v>
      </c>
      <c r="AM276" s="3">
        <f t="shared" si="89"/>
        <v>0</v>
      </c>
      <c r="AN276" s="3" t="str">
        <f>IF(对接源_01水果!$AC276="","",对接源_01水果!$AC276)</f>
        <v/>
      </c>
      <c r="AO276" s="3">
        <f t="shared" si="90"/>
        <v>0</v>
      </c>
      <c r="AP276" s="3">
        <f t="shared" si="91"/>
        <v>0</v>
      </c>
      <c r="AR276">
        <f t="shared" si="92"/>
        <v>0</v>
      </c>
      <c r="AS276">
        <f t="shared" si="93"/>
        <v>0</v>
      </c>
    </row>
    <row r="277" ht="14.25" customHeight="1" spans="1:45">
      <c r="A277" s="3" t="str">
        <f>IF(对接源_01水果!$C277="","",对接源_01水果!$C277)</f>
        <v>王照雪</v>
      </c>
      <c r="B277" s="3">
        <f t="shared" si="76"/>
        <v>0</v>
      </c>
      <c r="C277" s="3">
        <f t="shared" si="77"/>
        <v>16</v>
      </c>
      <c r="E277" s="3" t="str">
        <f t="shared" si="78"/>
        <v/>
      </c>
      <c r="K277" s="3">
        <f>IF(OR($K$1="",对接源_01水果!$C277="",对接源_01水果!$C277&lt;&gt;$K$1,对接源_01水果!$B277=""),0,IF(OR(N(对接源_01水果!$B277)&lt;$K$2,N(对接源_01水果!$B277)&gt;$K$3),0,1))</f>
        <v>0</v>
      </c>
      <c r="L277" s="3">
        <f>IF(OR($L$1="",对接源_01水果!$C277="",对接源_01水果!$C277&lt;&gt;$L$1,对接源_01水果!$B277=""),0,IF(OR(N(对接源_01水果!$B277)&lt;$L$2,N(对接源_01水果!$B277)&gt;$L$3),0,1))</f>
        <v>0</v>
      </c>
      <c r="M277" s="3">
        <f>IF(OR($M$1="",对接源_01水果!$C277="",对接源_01水果!$C277&lt;&gt;$M$1,对接源_01水果!$B277=""),0,IF(OR(N(对接源_01水果!$B277)&lt;$M$2,N(对接源_01水果!$B277)&gt;$M$3),0,1))</f>
        <v>0</v>
      </c>
      <c r="N277" s="3">
        <f>IF(OR($N$1="",对接源_01水果!$C277="",对接源_01水果!$C277&lt;&gt;$N$1,对接源_01水果!$B277=""),0,IF(OR(N(对接源_01水果!$B277)&lt;$N$2,N(对接源_01水果!$B277)&gt;$N$3),0,1))</f>
        <v>0</v>
      </c>
      <c r="P277" s="3">
        <f>IF(AND($K277=1,AND(对接源_01水果!$X277="公司筐",N(对接源_01水果!$T277)&lt;&gt;0)),1,0)</f>
        <v>0</v>
      </c>
      <c r="Q277" s="3">
        <f t="shared" si="79"/>
        <v>0</v>
      </c>
      <c r="R277" s="3">
        <f>IF(AND($K277=1,AND(对接源_01水果!$X277="公司筐",N(对接源_01水果!$U277)&lt;&gt;0)),1,0)</f>
        <v>0</v>
      </c>
      <c r="S277" s="3">
        <f t="shared" si="80"/>
        <v>0</v>
      </c>
      <c r="T277" s="3">
        <f>IF(AND($K277=1,AND(对接源_01水果!$X277="公司筐",N(对接源_01水果!$V277)&lt;&gt;0)),1,0)</f>
        <v>0</v>
      </c>
      <c r="U277" s="3">
        <f t="shared" si="81"/>
        <v>14</v>
      </c>
      <c r="V277" s="3">
        <f>IF(AND($L277=1,AND(对接源_01水果!$X277="自备筐",N(对接源_01水果!$V277)&lt;&gt;0)),1,0)</f>
        <v>0</v>
      </c>
      <c r="W277" s="3">
        <f t="shared" si="82"/>
        <v>8</v>
      </c>
      <c r="X277" s="3">
        <f>IF(AND($L277=1,AND(对接源_01水果!$X277="自备筐",N(对接源_01水果!$T277)&lt;&gt;0)),1,0)</f>
        <v>0</v>
      </c>
      <c r="Y277" s="3">
        <f t="shared" si="83"/>
        <v>0</v>
      </c>
      <c r="Z277" s="3">
        <f>IF(AND($M277=1,对接源_01水果!$D277="原料入库"),1,0)</f>
        <v>0</v>
      </c>
      <c r="AA277" s="3">
        <f t="shared" si="84"/>
        <v>21</v>
      </c>
      <c r="AB277" s="3">
        <f>IF(AND($M277=1,LEFT(对接源_01水果!$D277,4)="原料出库"),1,0)</f>
        <v>0</v>
      </c>
      <c r="AC277" s="3">
        <f t="shared" si="85"/>
        <v>0</v>
      </c>
      <c r="AD277" s="3">
        <f>IF(AND($M277=1,LEFT(对接源_01水果!$D277,4)="成品出库"),1,0)</f>
        <v>0</v>
      </c>
      <c r="AE277" s="3">
        <f t="shared" si="86"/>
        <v>0</v>
      </c>
      <c r="AF277" s="3">
        <f>IF(AND($N277=1,AND(LEFT(对接源_01水果!$D277,4)="包装物料",N(对接源_01水果!$K277)&lt;&gt;0)),1,0)</f>
        <v>0</v>
      </c>
      <c r="AG277" s="3">
        <f t="shared" si="87"/>
        <v>0</v>
      </c>
      <c r="AH277" s="3">
        <f>IF(AND($N277=1,AND(对接源_01水果!$D277="周转筐－销售出库",N(对接源_01水果!$K277)&lt;&gt;0)),1,0)</f>
        <v>0</v>
      </c>
      <c r="AI277" s="3">
        <f t="shared" si="88"/>
        <v>0</v>
      </c>
      <c r="AJ277" s="7"/>
      <c r="AL277" s="3">
        <f>IF(OR($AL$1="",对接源_01水果!$Y277="",对接源_01水果!$Y277&lt;&gt;$AL$1,对接源_01水果!$B277="",N(对接源_01水果!$AJ277)&lt;=0),0,IF(OR(N(对接源_01水果!$B277)&lt;$AL$2,N(对接源_01水果!$B277)&gt;$AL$3),0,1))</f>
        <v>0</v>
      </c>
      <c r="AM277" s="3">
        <f t="shared" si="89"/>
        <v>0</v>
      </c>
      <c r="AN277" s="3" t="str">
        <f>IF(对接源_01水果!$AC277="","",对接源_01水果!$AC277)</f>
        <v/>
      </c>
      <c r="AO277" s="3">
        <f t="shared" si="90"/>
        <v>0</v>
      </c>
      <c r="AP277" s="3">
        <f t="shared" si="91"/>
        <v>0</v>
      </c>
      <c r="AR277">
        <f t="shared" si="92"/>
        <v>0</v>
      </c>
      <c r="AS277">
        <f t="shared" si="93"/>
        <v>0</v>
      </c>
    </row>
    <row r="278" ht="14.25" customHeight="1" spans="1:45">
      <c r="A278" s="3" t="str">
        <f>IF(对接源_01水果!$C278="","",对接源_01水果!$C278)</f>
        <v>王照雪</v>
      </c>
      <c r="B278" s="3">
        <f t="shared" si="76"/>
        <v>0</v>
      </c>
      <c r="C278" s="3">
        <f t="shared" si="77"/>
        <v>16</v>
      </c>
      <c r="E278" s="3" t="str">
        <f t="shared" si="78"/>
        <v/>
      </c>
      <c r="K278" s="3">
        <f>IF(OR($K$1="",对接源_01水果!$C278="",对接源_01水果!$C278&lt;&gt;$K$1,对接源_01水果!$B278=""),0,IF(OR(N(对接源_01水果!$B278)&lt;$K$2,N(对接源_01水果!$B278)&gt;$K$3),0,1))</f>
        <v>0</v>
      </c>
      <c r="L278" s="3">
        <f>IF(OR($L$1="",对接源_01水果!$C278="",对接源_01水果!$C278&lt;&gt;$L$1,对接源_01水果!$B278=""),0,IF(OR(N(对接源_01水果!$B278)&lt;$L$2,N(对接源_01水果!$B278)&gt;$L$3),0,1))</f>
        <v>0</v>
      </c>
      <c r="M278" s="3">
        <f>IF(OR($M$1="",对接源_01水果!$C278="",对接源_01水果!$C278&lt;&gt;$M$1,对接源_01水果!$B278=""),0,IF(OR(N(对接源_01水果!$B278)&lt;$M$2,N(对接源_01水果!$B278)&gt;$M$3),0,1))</f>
        <v>0</v>
      </c>
      <c r="N278" s="3">
        <f>IF(OR($N$1="",对接源_01水果!$C278="",对接源_01水果!$C278&lt;&gt;$N$1,对接源_01水果!$B278=""),0,IF(OR(N(对接源_01水果!$B278)&lt;$N$2,N(对接源_01水果!$B278)&gt;$N$3),0,1))</f>
        <v>0</v>
      </c>
      <c r="P278" s="3">
        <f>IF(AND($K278=1,AND(对接源_01水果!$X278="公司筐",N(对接源_01水果!$T278)&lt;&gt;0)),1,0)</f>
        <v>0</v>
      </c>
      <c r="Q278" s="3">
        <f t="shared" si="79"/>
        <v>0</v>
      </c>
      <c r="R278" s="3">
        <f>IF(AND($K278=1,AND(对接源_01水果!$X278="公司筐",N(对接源_01水果!$U278)&lt;&gt;0)),1,0)</f>
        <v>0</v>
      </c>
      <c r="S278" s="3">
        <f t="shared" si="80"/>
        <v>0</v>
      </c>
      <c r="T278" s="3">
        <f>IF(AND($K278=1,AND(对接源_01水果!$X278="公司筐",N(对接源_01水果!$V278)&lt;&gt;0)),1,0)</f>
        <v>0</v>
      </c>
      <c r="U278" s="3">
        <f t="shared" si="81"/>
        <v>14</v>
      </c>
      <c r="V278" s="3">
        <f>IF(AND($L278=1,AND(对接源_01水果!$X278="自备筐",N(对接源_01水果!$V278)&lt;&gt;0)),1,0)</f>
        <v>0</v>
      </c>
      <c r="W278" s="3">
        <f t="shared" si="82"/>
        <v>8</v>
      </c>
      <c r="X278" s="3">
        <f>IF(AND($L278=1,AND(对接源_01水果!$X278="自备筐",N(对接源_01水果!$T278)&lt;&gt;0)),1,0)</f>
        <v>0</v>
      </c>
      <c r="Y278" s="3">
        <f t="shared" si="83"/>
        <v>0</v>
      </c>
      <c r="Z278" s="3">
        <f>IF(AND($M278=1,对接源_01水果!$D278="原料入库"),1,0)</f>
        <v>0</v>
      </c>
      <c r="AA278" s="3">
        <f t="shared" si="84"/>
        <v>21</v>
      </c>
      <c r="AB278" s="3">
        <f>IF(AND($M278=1,LEFT(对接源_01水果!$D278,4)="原料出库"),1,0)</f>
        <v>0</v>
      </c>
      <c r="AC278" s="3">
        <f t="shared" si="85"/>
        <v>0</v>
      </c>
      <c r="AD278" s="3">
        <f>IF(AND($M278=1,LEFT(对接源_01水果!$D278,4)="成品出库"),1,0)</f>
        <v>0</v>
      </c>
      <c r="AE278" s="3">
        <f t="shared" si="86"/>
        <v>0</v>
      </c>
      <c r="AF278" s="3">
        <f>IF(AND($N278=1,AND(LEFT(对接源_01水果!$D278,4)="包装物料",N(对接源_01水果!$K278)&lt;&gt;0)),1,0)</f>
        <v>0</v>
      </c>
      <c r="AG278" s="3">
        <f t="shared" si="87"/>
        <v>0</v>
      </c>
      <c r="AH278" s="3">
        <f>IF(AND($N278=1,AND(对接源_01水果!$D278="周转筐－销售出库",N(对接源_01水果!$K278)&lt;&gt;0)),1,0)</f>
        <v>0</v>
      </c>
      <c r="AI278" s="3">
        <f t="shared" si="88"/>
        <v>0</v>
      </c>
      <c r="AJ278" s="7"/>
      <c r="AL278" s="3">
        <f>IF(OR($AL$1="",对接源_01水果!$Y278="",对接源_01水果!$Y278&lt;&gt;$AL$1,对接源_01水果!$B278="",N(对接源_01水果!$AJ278)&lt;=0),0,IF(OR(N(对接源_01水果!$B278)&lt;$AL$2,N(对接源_01水果!$B278)&gt;$AL$3),0,1))</f>
        <v>0</v>
      </c>
      <c r="AM278" s="3">
        <f t="shared" si="89"/>
        <v>0</v>
      </c>
      <c r="AN278" s="3" t="str">
        <f>IF(对接源_01水果!$AC278="","",对接源_01水果!$AC278)</f>
        <v/>
      </c>
      <c r="AO278" s="3">
        <f t="shared" si="90"/>
        <v>0</v>
      </c>
      <c r="AP278" s="3">
        <f t="shared" si="91"/>
        <v>0</v>
      </c>
      <c r="AR278">
        <f t="shared" si="92"/>
        <v>0</v>
      </c>
      <c r="AS278">
        <f t="shared" si="93"/>
        <v>0</v>
      </c>
    </row>
    <row r="279" ht="14.25" customHeight="1" spans="1:45">
      <c r="A279" s="3" t="str">
        <f>IF(对接源_01水果!$C279="","",对接源_01水果!$C279)</f>
        <v>阿布都</v>
      </c>
      <c r="B279" s="3">
        <f t="shared" si="76"/>
        <v>1</v>
      </c>
      <c r="C279" s="3">
        <f t="shared" si="77"/>
        <v>17</v>
      </c>
      <c r="E279" s="3" t="str">
        <f t="shared" si="78"/>
        <v/>
      </c>
      <c r="K279" s="3">
        <f>IF(OR($K$1="",对接源_01水果!$C279="",对接源_01水果!$C279&lt;&gt;$K$1,对接源_01水果!$B279=""),0,IF(OR(N(对接源_01水果!$B279)&lt;$K$2,N(对接源_01水果!$B279)&gt;$K$3),0,1))</f>
        <v>0</v>
      </c>
      <c r="L279" s="3">
        <f>IF(OR($L$1="",对接源_01水果!$C279="",对接源_01水果!$C279&lt;&gt;$L$1,对接源_01水果!$B279=""),0,IF(OR(N(对接源_01水果!$B279)&lt;$L$2,N(对接源_01水果!$B279)&gt;$L$3),0,1))</f>
        <v>0</v>
      </c>
      <c r="M279" s="3">
        <f>IF(OR($M$1="",对接源_01水果!$C279="",对接源_01水果!$C279&lt;&gt;$M$1,对接源_01水果!$B279=""),0,IF(OR(N(对接源_01水果!$B279)&lt;$M$2,N(对接源_01水果!$B279)&gt;$M$3),0,1))</f>
        <v>0</v>
      </c>
      <c r="N279" s="3">
        <f>IF(OR($N$1="",对接源_01水果!$C279="",对接源_01水果!$C279&lt;&gt;$N$1,对接源_01水果!$B279=""),0,IF(OR(N(对接源_01水果!$B279)&lt;$N$2,N(对接源_01水果!$B279)&gt;$N$3),0,1))</f>
        <v>0</v>
      </c>
      <c r="P279" s="3">
        <f>IF(AND($K279=1,AND(对接源_01水果!$X279="公司筐",N(对接源_01水果!$T279)&lt;&gt;0)),1,0)</f>
        <v>0</v>
      </c>
      <c r="Q279" s="3">
        <f t="shared" si="79"/>
        <v>0</v>
      </c>
      <c r="R279" s="3">
        <f>IF(AND($K279=1,AND(对接源_01水果!$X279="公司筐",N(对接源_01水果!$U279)&lt;&gt;0)),1,0)</f>
        <v>0</v>
      </c>
      <c r="S279" s="3">
        <f t="shared" si="80"/>
        <v>0</v>
      </c>
      <c r="T279" s="3">
        <f>IF(AND($K279=1,AND(对接源_01水果!$X279="公司筐",N(对接源_01水果!$V279)&lt;&gt;0)),1,0)</f>
        <v>0</v>
      </c>
      <c r="U279" s="3">
        <f t="shared" si="81"/>
        <v>14</v>
      </c>
      <c r="V279" s="3">
        <f>IF(AND($L279=1,AND(对接源_01水果!$X279="自备筐",N(对接源_01水果!$V279)&lt;&gt;0)),1,0)</f>
        <v>0</v>
      </c>
      <c r="W279" s="3">
        <f t="shared" si="82"/>
        <v>8</v>
      </c>
      <c r="X279" s="3">
        <f>IF(AND($L279=1,AND(对接源_01水果!$X279="自备筐",N(对接源_01水果!$T279)&lt;&gt;0)),1,0)</f>
        <v>0</v>
      </c>
      <c r="Y279" s="3">
        <f t="shared" si="83"/>
        <v>0</v>
      </c>
      <c r="Z279" s="3">
        <f>IF(AND($M279=1,对接源_01水果!$D279="原料入库"),1,0)</f>
        <v>0</v>
      </c>
      <c r="AA279" s="3">
        <f t="shared" si="84"/>
        <v>21</v>
      </c>
      <c r="AB279" s="3">
        <f>IF(AND($M279=1,LEFT(对接源_01水果!$D279,4)="原料出库"),1,0)</f>
        <v>0</v>
      </c>
      <c r="AC279" s="3">
        <f t="shared" si="85"/>
        <v>0</v>
      </c>
      <c r="AD279" s="3">
        <f>IF(AND($M279=1,LEFT(对接源_01水果!$D279,4)="成品出库"),1,0)</f>
        <v>0</v>
      </c>
      <c r="AE279" s="3">
        <f t="shared" si="86"/>
        <v>0</v>
      </c>
      <c r="AF279" s="3">
        <f>IF(AND($N279=1,AND(LEFT(对接源_01水果!$D279,4)="包装物料",N(对接源_01水果!$K279)&lt;&gt;0)),1,0)</f>
        <v>0</v>
      </c>
      <c r="AG279" s="3">
        <f t="shared" si="87"/>
        <v>0</v>
      </c>
      <c r="AH279" s="3">
        <f>IF(AND($N279=1,AND(对接源_01水果!$D279="周转筐－销售出库",N(对接源_01水果!$K279)&lt;&gt;0)),1,0)</f>
        <v>0</v>
      </c>
      <c r="AI279" s="3">
        <f t="shared" si="88"/>
        <v>0</v>
      </c>
      <c r="AJ279" s="7"/>
      <c r="AL279" s="3">
        <f>IF(OR($AL$1="",对接源_01水果!$Y279="",对接源_01水果!$Y279&lt;&gt;$AL$1,对接源_01水果!$B279="",N(对接源_01水果!$AJ279)&lt;=0),0,IF(OR(N(对接源_01水果!$B279)&lt;$AL$2,N(对接源_01水果!$B279)&gt;$AL$3),0,1))</f>
        <v>0</v>
      </c>
      <c r="AM279" s="3">
        <f t="shared" si="89"/>
        <v>0</v>
      </c>
      <c r="AN279" s="3" t="str">
        <f>IF(对接源_01水果!$AC279="","",对接源_01水果!$AC279)</f>
        <v/>
      </c>
      <c r="AO279" s="3">
        <f t="shared" si="90"/>
        <v>0</v>
      </c>
      <c r="AP279" s="3">
        <f t="shared" si="91"/>
        <v>0</v>
      </c>
      <c r="AR279">
        <f t="shared" si="92"/>
        <v>0</v>
      </c>
      <c r="AS279">
        <f t="shared" si="93"/>
        <v>0</v>
      </c>
    </row>
    <row r="280" ht="14.25" customHeight="1" spans="1:45">
      <c r="A280" s="3" t="str">
        <f>IF(对接源_01水果!$C280="","",对接源_01水果!$C280)</f>
        <v>阿布都</v>
      </c>
      <c r="B280" s="3">
        <f t="shared" si="76"/>
        <v>0</v>
      </c>
      <c r="C280" s="3">
        <f t="shared" si="77"/>
        <v>17</v>
      </c>
      <c r="E280" s="3" t="str">
        <f t="shared" si="78"/>
        <v/>
      </c>
      <c r="K280" s="3">
        <f>IF(OR($K$1="",对接源_01水果!$C280="",对接源_01水果!$C280&lt;&gt;$K$1,对接源_01水果!$B280=""),0,IF(OR(N(对接源_01水果!$B280)&lt;$K$2,N(对接源_01水果!$B280)&gt;$K$3),0,1))</f>
        <v>0</v>
      </c>
      <c r="L280" s="3">
        <f>IF(OR($L$1="",对接源_01水果!$C280="",对接源_01水果!$C280&lt;&gt;$L$1,对接源_01水果!$B280=""),0,IF(OR(N(对接源_01水果!$B280)&lt;$L$2,N(对接源_01水果!$B280)&gt;$L$3),0,1))</f>
        <v>0</v>
      </c>
      <c r="M280" s="3">
        <f>IF(OR($M$1="",对接源_01水果!$C280="",对接源_01水果!$C280&lt;&gt;$M$1,对接源_01水果!$B280=""),0,IF(OR(N(对接源_01水果!$B280)&lt;$M$2,N(对接源_01水果!$B280)&gt;$M$3),0,1))</f>
        <v>0</v>
      </c>
      <c r="N280" s="3">
        <f>IF(OR($N$1="",对接源_01水果!$C280="",对接源_01水果!$C280&lt;&gt;$N$1,对接源_01水果!$B280=""),0,IF(OR(N(对接源_01水果!$B280)&lt;$N$2,N(对接源_01水果!$B280)&gt;$N$3),0,1))</f>
        <v>0</v>
      </c>
      <c r="P280" s="3">
        <f>IF(AND($K280=1,AND(对接源_01水果!$X280="公司筐",N(对接源_01水果!$T280)&lt;&gt;0)),1,0)</f>
        <v>0</v>
      </c>
      <c r="Q280" s="3">
        <f t="shared" si="79"/>
        <v>0</v>
      </c>
      <c r="R280" s="3">
        <f>IF(AND($K280=1,AND(对接源_01水果!$X280="公司筐",N(对接源_01水果!$U280)&lt;&gt;0)),1,0)</f>
        <v>0</v>
      </c>
      <c r="S280" s="3">
        <f t="shared" si="80"/>
        <v>0</v>
      </c>
      <c r="T280" s="3">
        <f>IF(AND($K280=1,AND(对接源_01水果!$X280="公司筐",N(对接源_01水果!$V280)&lt;&gt;0)),1,0)</f>
        <v>0</v>
      </c>
      <c r="U280" s="3">
        <f t="shared" si="81"/>
        <v>14</v>
      </c>
      <c r="V280" s="3">
        <f>IF(AND($L280=1,AND(对接源_01水果!$X280="自备筐",N(对接源_01水果!$V280)&lt;&gt;0)),1,0)</f>
        <v>0</v>
      </c>
      <c r="W280" s="3">
        <f t="shared" si="82"/>
        <v>8</v>
      </c>
      <c r="X280" s="3">
        <f>IF(AND($L280=1,AND(对接源_01水果!$X280="自备筐",N(对接源_01水果!$T280)&lt;&gt;0)),1,0)</f>
        <v>0</v>
      </c>
      <c r="Y280" s="3">
        <f t="shared" si="83"/>
        <v>0</v>
      </c>
      <c r="Z280" s="3">
        <f>IF(AND($M280=1,对接源_01水果!$D280="原料入库"),1,0)</f>
        <v>0</v>
      </c>
      <c r="AA280" s="3">
        <f t="shared" si="84"/>
        <v>21</v>
      </c>
      <c r="AB280" s="3">
        <f>IF(AND($M280=1,LEFT(对接源_01水果!$D280,4)="原料出库"),1,0)</f>
        <v>0</v>
      </c>
      <c r="AC280" s="3">
        <f t="shared" si="85"/>
        <v>0</v>
      </c>
      <c r="AD280" s="3">
        <f>IF(AND($M280=1,LEFT(对接源_01水果!$D280,4)="成品出库"),1,0)</f>
        <v>0</v>
      </c>
      <c r="AE280" s="3">
        <f t="shared" si="86"/>
        <v>0</v>
      </c>
      <c r="AF280" s="3">
        <f>IF(AND($N280=1,AND(LEFT(对接源_01水果!$D280,4)="包装物料",N(对接源_01水果!$K280)&lt;&gt;0)),1,0)</f>
        <v>0</v>
      </c>
      <c r="AG280" s="3">
        <f t="shared" si="87"/>
        <v>0</v>
      </c>
      <c r="AH280" s="3">
        <f>IF(AND($N280=1,AND(对接源_01水果!$D280="周转筐－销售出库",N(对接源_01水果!$K280)&lt;&gt;0)),1,0)</f>
        <v>0</v>
      </c>
      <c r="AI280" s="3">
        <f t="shared" si="88"/>
        <v>0</v>
      </c>
      <c r="AJ280" s="7"/>
      <c r="AL280" s="3">
        <f>IF(OR($AL$1="",对接源_01水果!$Y280="",对接源_01水果!$Y280&lt;&gt;$AL$1,对接源_01水果!$B280="",N(对接源_01水果!$AJ280)&lt;=0),0,IF(OR(N(对接源_01水果!$B280)&lt;$AL$2,N(对接源_01水果!$B280)&gt;$AL$3),0,1))</f>
        <v>0</v>
      </c>
      <c r="AM280" s="3">
        <f t="shared" si="89"/>
        <v>0</v>
      </c>
      <c r="AN280" s="3" t="str">
        <f>IF(对接源_01水果!$AC280="","",对接源_01水果!$AC280)</f>
        <v/>
      </c>
      <c r="AO280" s="3">
        <f t="shared" si="90"/>
        <v>0</v>
      </c>
      <c r="AP280" s="3">
        <f t="shared" si="91"/>
        <v>0</v>
      </c>
      <c r="AR280">
        <f t="shared" si="92"/>
        <v>0</v>
      </c>
      <c r="AS280">
        <f t="shared" si="93"/>
        <v>0</v>
      </c>
    </row>
    <row r="281" ht="14.25" customHeight="1" spans="1:45">
      <c r="A281" s="3" t="str">
        <f>IF(对接源_01水果!$C281="","",对接源_01水果!$C281)</f>
        <v>阿布都</v>
      </c>
      <c r="B281" s="3">
        <f t="shared" si="76"/>
        <v>0</v>
      </c>
      <c r="C281" s="3">
        <f t="shared" si="77"/>
        <v>17</v>
      </c>
      <c r="E281" s="3" t="str">
        <f t="shared" si="78"/>
        <v/>
      </c>
      <c r="K281" s="3">
        <f>IF(OR($K$1="",对接源_01水果!$C281="",对接源_01水果!$C281&lt;&gt;$K$1,对接源_01水果!$B281=""),0,IF(OR(N(对接源_01水果!$B281)&lt;$K$2,N(对接源_01水果!$B281)&gt;$K$3),0,1))</f>
        <v>0</v>
      </c>
      <c r="L281" s="3">
        <f>IF(OR($L$1="",对接源_01水果!$C281="",对接源_01水果!$C281&lt;&gt;$L$1,对接源_01水果!$B281=""),0,IF(OR(N(对接源_01水果!$B281)&lt;$L$2,N(对接源_01水果!$B281)&gt;$L$3),0,1))</f>
        <v>0</v>
      </c>
      <c r="M281" s="3">
        <f>IF(OR($M$1="",对接源_01水果!$C281="",对接源_01水果!$C281&lt;&gt;$M$1,对接源_01水果!$B281=""),0,IF(OR(N(对接源_01水果!$B281)&lt;$M$2,N(对接源_01水果!$B281)&gt;$M$3),0,1))</f>
        <v>0</v>
      </c>
      <c r="N281" s="3">
        <f>IF(OR($N$1="",对接源_01水果!$C281="",对接源_01水果!$C281&lt;&gt;$N$1,对接源_01水果!$B281=""),0,IF(OR(N(对接源_01水果!$B281)&lt;$N$2,N(对接源_01水果!$B281)&gt;$N$3),0,1))</f>
        <v>0</v>
      </c>
      <c r="P281" s="3">
        <f>IF(AND($K281=1,AND(对接源_01水果!$X281="公司筐",N(对接源_01水果!$T281)&lt;&gt;0)),1,0)</f>
        <v>0</v>
      </c>
      <c r="Q281" s="3">
        <f t="shared" si="79"/>
        <v>0</v>
      </c>
      <c r="R281" s="3">
        <f>IF(AND($K281=1,AND(对接源_01水果!$X281="公司筐",N(对接源_01水果!$U281)&lt;&gt;0)),1,0)</f>
        <v>0</v>
      </c>
      <c r="S281" s="3">
        <f t="shared" si="80"/>
        <v>0</v>
      </c>
      <c r="T281" s="3">
        <f>IF(AND($K281=1,AND(对接源_01水果!$X281="公司筐",N(对接源_01水果!$V281)&lt;&gt;0)),1,0)</f>
        <v>0</v>
      </c>
      <c r="U281" s="3">
        <f t="shared" si="81"/>
        <v>14</v>
      </c>
      <c r="V281" s="3">
        <f>IF(AND($L281=1,AND(对接源_01水果!$X281="自备筐",N(对接源_01水果!$V281)&lt;&gt;0)),1,0)</f>
        <v>0</v>
      </c>
      <c r="W281" s="3">
        <f t="shared" si="82"/>
        <v>8</v>
      </c>
      <c r="X281" s="3">
        <f>IF(AND($L281=1,AND(对接源_01水果!$X281="自备筐",N(对接源_01水果!$T281)&lt;&gt;0)),1,0)</f>
        <v>0</v>
      </c>
      <c r="Y281" s="3">
        <f t="shared" si="83"/>
        <v>0</v>
      </c>
      <c r="Z281" s="3">
        <f>IF(AND($M281=1,对接源_01水果!$D281="原料入库"),1,0)</f>
        <v>0</v>
      </c>
      <c r="AA281" s="3">
        <f t="shared" si="84"/>
        <v>21</v>
      </c>
      <c r="AB281" s="3">
        <f>IF(AND($M281=1,LEFT(对接源_01水果!$D281,4)="原料出库"),1,0)</f>
        <v>0</v>
      </c>
      <c r="AC281" s="3">
        <f t="shared" si="85"/>
        <v>0</v>
      </c>
      <c r="AD281" s="3">
        <f>IF(AND($M281=1,LEFT(对接源_01水果!$D281,4)="成品出库"),1,0)</f>
        <v>0</v>
      </c>
      <c r="AE281" s="3">
        <f t="shared" si="86"/>
        <v>0</v>
      </c>
      <c r="AF281" s="3">
        <f>IF(AND($N281=1,AND(LEFT(对接源_01水果!$D281,4)="包装物料",N(对接源_01水果!$K281)&lt;&gt;0)),1,0)</f>
        <v>0</v>
      </c>
      <c r="AG281" s="3">
        <f t="shared" si="87"/>
        <v>0</v>
      </c>
      <c r="AH281" s="3">
        <f>IF(AND($N281=1,AND(对接源_01水果!$D281="周转筐－销售出库",N(对接源_01水果!$K281)&lt;&gt;0)),1,0)</f>
        <v>0</v>
      </c>
      <c r="AI281" s="3">
        <f t="shared" si="88"/>
        <v>0</v>
      </c>
      <c r="AJ281" s="7"/>
      <c r="AL281" s="3">
        <f>IF(OR($AL$1="",对接源_01水果!$Y281="",对接源_01水果!$Y281&lt;&gt;$AL$1,对接源_01水果!$B281="",N(对接源_01水果!$AJ281)&lt;=0),0,IF(OR(N(对接源_01水果!$B281)&lt;$AL$2,N(对接源_01水果!$B281)&gt;$AL$3),0,1))</f>
        <v>0</v>
      </c>
      <c r="AM281" s="3">
        <f t="shared" si="89"/>
        <v>0</v>
      </c>
      <c r="AN281" s="3" t="str">
        <f>IF(对接源_01水果!$AC281="","",对接源_01水果!$AC281)</f>
        <v/>
      </c>
      <c r="AO281" s="3">
        <f t="shared" si="90"/>
        <v>0</v>
      </c>
      <c r="AP281" s="3">
        <f t="shared" si="91"/>
        <v>0</v>
      </c>
      <c r="AR281">
        <f t="shared" si="92"/>
        <v>0</v>
      </c>
      <c r="AS281">
        <f t="shared" si="93"/>
        <v>0</v>
      </c>
    </row>
    <row r="282" ht="14.25" customHeight="1" spans="1:45">
      <c r="A282" s="3" t="str">
        <f>IF(对接源_01水果!$C282="","",对接源_01水果!$C282)</f>
        <v>阿布都</v>
      </c>
      <c r="B282" s="3">
        <f t="shared" si="76"/>
        <v>0</v>
      </c>
      <c r="C282" s="3">
        <f t="shared" si="77"/>
        <v>17</v>
      </c>
      <c r="E282" s="3" t="str">
        <f t="shared" si="78"/>
        <v/>
      </c>
      <c r="K282" s="3">
        <f>IF(OR($K$1="",对接源_01水果!$C282="",对接源_01水果!$C282&lt;&gt;$K$1,对接源_01水果!$B282=""),0,IF(OR(N(对接源_01水果!$B282)&lt;$K$2,N(对接源_01水果!$B282)&gt;$K$3),0,1))</f>
        <v>0</v>
      </c>
      <c r="L282" s="3">
        <f>IF(OR($L$1="",对接源_01水果!$C282="",对接源_01水果!$C282&lt;&gt;$L$1,对接源_01水果!$B282=""),0,IF(OR(N(对接源_01水果!$B282)&lt;$L$2,N(对接源_01水果!$B282)&gt;$L$3),0,1))</f>
        <v>0</v>
      </c>
      <c r="M282" s="3">
        <f>IF(OR($M$1="",对接源_01水果!$C282="",对接源_01水果!$C282&lt;&gt;$M$1,对接源_01水果!$B282=""),0,IF(OR(N(对接源_01水果!$B282)&lt;$M$2,N(对接源_01水果!$B282)&gt;$M$3),0,1))</f>
        <v>0</v>
      </c>
      <c r="N282" s="3">
        <f>IF(OR($N$1="",对接源_01水果!$C282="",对接源_01水果!$C282&lt;&gt;$N$1,对接源_01水果!$B282=""),0,IF(OR(N(对接源_01水果!$B282)&lt;$N$2,N(对接源_01水果!$B282)&gt;$N$3),0,1))</f>
        <v>0</v>
      </c>
      <c r="P282" s="3">
        <f>IF(AND($K282=1,AND(对接源_01水果!$X282="公司筐",N(对接源_01水果!$T282)&lt;&gt;0)),1,0)</f>
        <v>0</v>
      </c>
      <c r="Q282" s="3">
        <f t="shared" si="79"/>
        <v>0</v>
      </c>
      <c r="R282" s="3">
        <f>IF(AND($K282=1,AND(对接源_01水果!$X282="公司筐",N(对接源_01水果!$U282)&lt;&gt;0)),1,0)</f>
        <v>0</v>
      </c>
      <c r="S282" s="3">
        <f t="shared" si="80"/>
        <v>0</v>
      </c>
      <c r="T282" s="3">
        <f>IF(AND($K282=1,AND(对接源_01水果!$X282="公司筐",N(对接源_01水果!$V282)&lt;&gt;0)),1,0)</f>
        <v>0</v>
      </c>
      <c r="U282" s="3">
        <f t="shared" si="81"/>
        <v>14</v>
      </c>
      <c r="V282" s="3">
        <f>IF(AND($L282=1,AND(对接源_01水果!$X282="自备筐",N(对接源_01水果!$V282)&lt;&gt;0)),1,0)</f>
        <v>0</v>
      </c>
      <c r="W282" s="3">
        <f t="shared" si="82"/>
        <v>8</v>
      </c>
      <c r="X282" s="3">
        <f>IF(AND($L282=1,AND(对接源_01水果!$X282="自备筐",N(对接源_01水果!$T282)&lt;&gt;0)),1,0)</f>
        <v>0</v>
      </c>
      <c r="Y282" s="3">
        <f t="shared" si="83"/>
        <v>0</v>
      </c>
      <c r="Z282" s="3">
        <f>IF(AND($M282=1,对接源_01水果!$D282="原料入库"),1,0)</f>
        <v>0</v>
      </c>
      <c r="AA282" s="3">
        <f t="shared" si="84"/>
        <v>21</v>
      </c>
      <c r="AB282" s="3">
        <f>IF(AND($M282=1,LEFT(对接源_01水果!$D282,4)="原料出库"),1,0)</f>
        <v>0</v>
      </c>
      <c r="AC282" s="3">
        <f t="shared" si="85"/>
        <v>0</v>
      </c>
      <c r="AD282" s="3">
        <f>IF(AND($M282=1,LEFT(对接源_01水果!$D282,4)="成品出库"),1,0)</f>
        <v>0</v>
      </c>
      <c r="AE282" s="3">
        <f t="shared" si="86"/>
        <v>0</v>
      </c>
      <c r="AF282" s="3">
        <f>IF(AND($N282=1,AND(LEFT(对接源_01水果!$D282,4)="包装物料",N(对接源_01水果!$K282)&lt;&gt;0)),1,0)</f>
        <v>0</v>
      </c>
      <c r="AG282" s="3">
        <f t="shared" si="87"/>
        <v>0</v>
      </c>
      <c r="AH282" s="3">
        <f>IF(AND($N282=1,AND(对接源_01水果!$D282="周转筐－销售出库",N(对接源_01水果!$K282)&lt;&gt;0)),1,0)</f>
        <v>0</v>
      </c>
      <c r="AI282" s="3">
        <f t="shared" si="88"/>
        <v>0</v>
      </c>
      <c r="AJ282" s="7"/>
      <c r="AL282" s="3">
        <f>IF(OR($AL$1="",对接源_01水果!$Y282="",对接源_01水果!$Y282&lt;&gt;$AL$1,对接源_01水果!$B282="",N(对接源_01水果!$AJ282)&lt;=0),0,IF(OR(N(对接源_01水果!$B282)&lt;$AL$2,N(对接源_01水果!$B282)&gt;$AL$3),0,1))</f>
        <v>0</v>
      </c>
      <c r="AM282" s="3">
        <f t="shared" si="89"/>
        <v>0</v>
      </c>
      <c r="AN282" s="3" t="str">
        <f>IF(对接源_01水果!$AC282="","",对接源_01水果!$AC282)</f>
        <v/>
      </c>
      <c r="AO282" s="3">
        <f t="shared" si="90"/>
        <v>0</v>
      </c>
      <c r="AP282" s="3">
        <f t="shared" si="91"/>
        <v>0</v>
      </c>
      <c r="AR282">
        <f t="shared" si="92"/>
        <v>0</v>
      </c>
      <c r="AS282">
        <f t="shared" si="93"/>
        <v>0</v>
      </c>
    </row>
    <row r="283" ht="14.25" customHeight="1" spans="1:45">
      <c r="A283" s="3" t="str">
        <f>IF(对接源_01水果!$C283="","",对接源_01水果!$C283)</f>
        <v>王灵云</v>
      </c>
      <c r="B283" s="3">
        <f t="shared" si="76"/>
        <v>0</v>
      </c>
      <c r="C283" s="3">
        <f t="shared" si="77"/>
        <v>17</v>
      </c>
      <c r="E283" s="3" t="str">
        <f t="shared" si="78"/>
        <v/>
      </c>
      <c r="K283" s="3">
        <f>IF(OR($K$1="",对接源_01水果!$C283="",对接源_01水果!$C283&lt;&gt;$K$1,对接源_01水果!$B283=""),0,IF(OR(N(对接源_01水果!$B283)&lt;$K$2,N(对接源_01水果!$B283)&gt;$K$3),0,1))</f>
        <v>1</v>
      </c>
      <c r="L283" s="3">
        <f>IF(OR($L$1="",对接源_01水果!$C283="",对接源_01水果!$C283&lt;&gt;$L$1,对接源_01水果!$B283=""),0,IF(OR(N(对接源_01水果!$B283)&lt;$L$2,N(对接源_01水果!$B283)&gt;$L$3),0,1))</f>
        <v>0</v>
      </c>
      <c r="M283" s="3">
        <f>IF(OR($M$1="",对接源_01水果!$C283="",对接源_01水果!$C283&lt;&gt;$M$1,对接源_01水果!$B283=""),0,IF(OR(N(对接源_01水果!$B283)&lt;$M$2,N(对接源_01水果!$B283)&gt;$M$3),0,1))</f>
        <v>0</v>
      </c>
      <c r="N283" s="3">
        <f>IF(OR($N$1="",对接源_01水果!$C283="",对接源_01水果!$C283&lt;&gt;$N$1,对接源_01水果!$B283=""),0,IF(OR(N(对接源_01水果!$B283)&lt;$N$2,N(对接源_01水果!$B283)&gt;$N$3),0,1))</f>
        <v>0</v>
      </c>
      <c r="P283" s="3">
        <f>IF(AND($K283=1,AND(对接源_01水果!$X283="公司筐",N(对接源_01水果!$T283)&lt;&gt;0)),1,0)</f>
        <v>0</v>
      </c>
      <c r="Q283" s="3">
        <f t="shared" si="79"/>
        <v>0</v>
      </c>
      <c r="R283" s="3">
        <f>IF(AND($K283=1,AND(对接源_01水果!$X283="公司筐",N(对接源_01水果!$U283)&lt;&gt;0)),1,0)</f>
        <v>0</v>
      </c>
      <c r="S283" s="3">
        <f t="shared" si="80"/>
        <v>0</v>
      </c>
      <c r="T283" s="3">
        <f>IF(AND($K283=1,AND(对接源_01水果!$X283="公司筐",N(对接源_01水果!$V283)&lt;&gt;0)),1,0)</f>
        <v>1</v>
      </c>
      <c r="U283" s="3">
        <f t="shared" si="81"/>
        <v>15</v>
      </c>
      <c r="V283" s="3">
        <f>IF(AND($L283=1,AND(对接源_01水果!$X283="自备筐",N(对接源_01水果!$V283)&lt;&gt;0)),1,0)</f>
        <v>0</v>
      </c>
      <c r="W283" s="3">
        <f t="shared" si="82"/>
        <v>8</v>
      </c>
      <c r="X283" s="3">
        <f>IF(AND($L283=1,AND(对接源_01水果!$X283="自备筐",N(对接源_01水果!$T283)&lt;&gt;0)),1,0)</f>
        <v>0</v>
      </c>
      <c r="Y283" s="3">
        <f t="shared" si="83"/>
        <v>0</v>
      </c>
      <c r="Z283" s="3">
        <f>IF(AND($M283=1,对接源_01水果!$D283="原料入库"),1,0)</f>
        <v>0</v>
      </c>
      <c r="AA283" s="3">
        <f t="shared" si="84"/>
        <v>21</v>
      </c>
      <c r="AB283" s="3">
        <f>IF(AND($M283=1,LEFT(对接源_01水果!$D283,4)="原料出库"),1,0)</f>
        <v>0</v>
      </c>
      <c r="AC283" s="3">
        <f t="shared" si="85"/>
        <v>0</v>
      </c>
      <c r="AD283" s="3">
        <f>IF(AND($M283=1,LEFT(对接源_01水果!$D283,4)="成品出库"),1,0)</f>
        <v>0</v>
      </c>
      <c r="AE283" s="3">
        <f t="shared" si="86"/>
        <v>0</v>
      </c>
      <c r="AF283" s="3">
        <f>IF(AND($N283=1,AND(LEFT(对接源_01水果!$D283,4)="包装物料",N(对接源_01水果!$K283)&lt;&gt;0)),1,0)</f>
        <v>0</v>
      </c>
      <c r="AG283" s="3">
        <f t="shared" si="87"/>
        <v>0</v>
      </c>
      <c r="AH283" s="3">
        <f>IF(AND($N283=1,AND(对接源_01水果!$D283="周转筐－销售出库",N(对接源_01水果!$K283)&lt;&gt;0)),1,0)</f>
        <v>0</v>
      </c>
      <c r="AI283" s="3">
        <f t="shared" si="88"/>
        <v>0</v>
      </c>
      <c r="AJ283" s="7"/>
      <c r="AL283" s="3">
        <f>IF(OR($AL$1="",对接源_01水果!$Y283="",对接源_01水果!$Y283&lt;&gt;$AL$1,对接源_01水果!$B283="",N(对接源_01水果!$AJ283)&lt;=0),0,IF(OR(N(对接源_01水果!$B283)&lt;$AL$2,N(对接源_01水果!$B283)&gt;$AL$3),0,1))</f>
        <v>0</v>
      </c>
      <c r="AM283" s="3">
        <f t="shared" si="89"/>
        <v>0</v>
      </c>
      <c r="AN283" s="3" t="str">
        <f>IF(对接源_01水果!$AC283="","",对接源_01水果!$AC283)</f>
        <v/>
      </c>
      <c r="AO283" s="3">
        <f t="shared" si="90"/>
        <v>0</v>
      </c>
      <c r="AP283" s="3">
        <f t="shared" si="91"/>
        <v>0</v>
      </c>
      <c r="AR283">
        <f t="shared" si="92"/>
        <v>0</v>
      </c>
      <c r="AS283">
        <f t="shared" si="93"/>
        <v>0</v>
      </c>
    </row>
    <row r="284" ht="14.25" customHeight="1" spans="1:45">
      <c r="A284" s="3" t="str">
        <f>IF(对接源_01水果!$C284="","",对接源_01水果!$C284)</f>
        <v>王灵云</v>
      </c>
      <c r="B284" s="3">
        <f t="shared" si="76"/>
        <v>0</v>
      </c>
      <c r="C284" s="3">
        <f t="shared" si="77"/>
        <v>17</v>
      </c>
      <c r="E284" s="3" t="str">
        <f t="shared" si="78"/>
        <v/>
      </c>
      <c r="K284" s="3">
        <f>IF(OR($K$1="",对接源_01水果!$C284="",对接源_01水果!$C284&lt;&gt;$K$1,对接源_01水果!$B284=""),0,IF(OR(N(对接源_01水果!$B284)&lt;$K$2,N(对接源_01水果!$B284)&gt;$K$3),0,1))</f>
        <v>1</v>
      </c>
      <c r="L284" s="3">
        <f>IF(OR($L$1="",对接源_01水果!$C284="",对接源_01水果!$C284&lt;&gt;$L$1,对接源_01水果!$B284=""),0,IF(OR(N(对接源_01水果!$B284)&lt;$L$2,N(对接源_01水果!$B284)&gt;$L$3),0,1))</f>
        <v>0</v>
      </c>
      <c r="M284" s="3">
        <f>IF(OR($M$1="",对接源_01水果!$C284="",对接源_01水果!$C284&lt;&gt;$M$1,对接源_01水果!$B284=""),0,IF(OR(N(对接源_01水果!$B284)&lt;$M$2,N(对接源_01水果!$B284)&gt;$M$3),0,1))</f>
        <v>0</v>
      </c>
      <c r="N284" s="3">
        <f>IF(OR($N$1="",对接源_01水果!$C284="",对接源_01水果!$C284&lt;&gt;$N$1,对接源_01水果!$B284=""),0,IF(OR(N(对接源_01水果!$B284)&lt;$N$2,N(对接源_01水果!$B284)&gt;$N$3),0,1))</f>
        <v>0</v>
      </c>
      <c r="P284" s="3">
        <f>IF(AND($K284=1,AND(对接源_01水果!$X284="公司筐",N(对接源_01水果!$T284)&lt;&gt;0)),1,0)</f>
        <v>0</v>
      </c>
      <c r="Q284" s="3">
        <f t="shared" si="79"/>
        <v>0</v>
      </c>
      <c r="R284" s="3">
        <f>IF(AND($K284=1,AND(对接源_01水果!$X284="公司筐",N(对接源_01水果!$U284)&lt;&gt;0)),1,0)</f>
        <v>0</v>
      </c>
      <c r="S284" s="3">
        <f t="shared" si="80"/>
        <v>0</v>
      </c>
      <c r="T284" s="3">
        <f>IF(AND($K284=1,AND(对接源_01水果!$X284="公司筐",N(对接源_01水果!$V284)&lt;&gt;0)),1,0)</f>
        <v>1</v>
      </c>
      <c r="U284" s="3">
        <f t="shared" si="81"/>
        <v>16</v>
      </c>
      <c r="V284" s="3">
        <f>IF(AND($L284=1,AND(对接源_01水果!$X284="自备筐",N(对接源_01水果!$V284)&lt;&gt;0)),1,0)</f>
        <v>0</v>
      </c>
      <c r="W284" s="3">
        <f t="shared" si="82"/>
        <v>8</v>
      </c>
      <c r="X284" s="3">
        <f>IF(AND($L284=1,AND(对接源_01水果!$X284="自备筐",N(对接源_01水果!$T284)&lt;&gt;0)),1,0)</f>
        <v>0</v>
      </c>
      <c r="Y284" s="3">
        <f t="shared" si="83"/>
        <v>0</v>
      </c>
      <c r="Z284" s="3">
        <f>IF(AND($M284=1,对接源_01水果!$D284="原料入库"),1,0)</f>
        <v>0</v>
      </c>
      <c r="AA284" s="3">
        <f t="shared" si="84"/>
        <v>21</v>
      </c>
      <c r="AB284" s="3">
        <f>IF(AND($M284=1,LEFT(对接源_01水果!$D284,4)="原料出库"),1,0)</f>
        <v>0</v>
      </c>
      <c r="AC284" s="3">
        <f t="shared" si="85"/>
        <v>0</v>
      </c>
      <c r="AD284" s="3">
        <f>IF(AND($M284=1,LEFT(对接源_01水果!$D284,4)="成品出库"),1,0)</f>
        <v>0</v>
      </c>
      <c r="AE284" s="3">
        <f t="shared" si="86"/>
        <v>0</v>
      </c>
      <c r="AF284" s="3">
        <f>IF(AND($N284=1,AND(LEFT(对接源_01水果!$D284,4)="包装物料",N(对接源_01水果!$K284)&lt;&gt;0)),1,0)</f>
        <v>0</v>
      </c>
      <c r="AG284" s="3">
        <f t="shared" si="87"/>
        <v>0</v>
      </c>
      <c r="AH284" s="3">
        <f>IF(AND($N284=1,AND(对接源_01水果!$D284="周转筐－销售出库",N(对接源_01水果!$K284)&lt;&gt;0)),1,0)</f>
        <v>0</v>
      </c>
      <c r="AI284" s="3">
        <f t="shared" si="88"/>
        <v>0</v>
      </c>
      <c r="AJ284" s="7"/>
      <c r="AL284" s="3">
        <f>IF(OR($AL$1="",对接源_01水果!$Y284="",对接源_01水果!$Y284&lt;&gt;$AL$1,对接源_01水果!$B284="",N(对接源_01水果!$AJ284)&lt;=0),0,IF(OR(N(对接源_01水果!$B284)&lt;$AL$2,N(对接源_01水果!$B284)&gt;$AL$3),0,1))</f>
        <v>0</v>
      </c>
      <c r="AM284" s="3">
        <f t="shared" si="89"/>
        <v>0</v>
      </c>
      <c r="AN284" s="3" t="str">
        <f>IF(对接源_01水果!$AC284="","",对接源_01水果!$AC284)</f>
        <v/>
      </c>
      <c r="AO284" s="3">
        <f t="shared" si="90"/>
        <v>0</v>
      </c>
      <c r="AP284" s="3">
        <f t="shared" si="91"/>
        <v>0</v>
      </c>
      <c r="AR284">
        <f t="shared" si="92"/>
        <v>0</v>
      </c>
      <c r="AS284">
        <f t="shared" si="93"/>
        <v>0</v>
      </c>
    </row>
    <row r="285" ht="14.25" customHeight="1" spans="1:45">
      <c r="A285" s="3" t="str">
        <f>IF(对接源_01水果!$C285="","",对接源_01水果!$C285)</f>
        <v>王照雪</v>
      </c>
      <c r="B285" s="3">
        <f t="shared" si="76"/>
        <v>0</v>
      </c>
      <c r="C285" s="3">
        <f t="shared" si="77"/>
        <v>17</v>
      </c>
      <c r="E285" s="3" t="str">
        <f t="shared" si="78"/>
        <v/>
      </c>
      <c r="K285" s="3">
        <f>IF(OR($K$1="",对接源_01水果!$C285="",对接源_01水果!$C285&lt;&gt;$K$1,对接源_01水果!$B285=""),0,IF(OR(N(对接源_01水果!$B285)&lt;$K$2,N(对接源_01水果!$B285)&gt;$K$3),0,1))</f>
        <v>0</v>
      </c>
      <c r="L285" s="3">
        <f>IF(OR($L$1="",对接源_01水果!$C285="",对接源_01水果!$C285&lt;&gt;$L$1,对接源_01水果!$B285=""),0,IF(OR(N(对接源_01水果!$B285)&lt;$L$2,N(对接源_01水果!$B285)&gt;$L$3),0,1))</f>
        <v>0</v>
      </c>
      <c r="M285" s="3">
        <f>IF(OR($M$1="",对接源_01水果!$C285="",对接源_01水果!$C285&lt;&gt;$M$1,对接源_01水果!$B285=""),0,IF(OR(N(对接源_01水果!$B285)&lt;$M$2,N(对接源_01水果!$B285)&gt;$M$3),0,1))</f>
        <v>0</v>
      </c>
      <c r="N285" s="3">
        <f>IF(OR($N$1="",对接源_01水果!$C285="",对接源_01水果!$C285&lt;&gt;$N$1,对接源_01水果!$B285=""),0,IF(OR(N(对接源_01水果!$B285)&lt;$N$2,N(对接源_01水果!$B285)&gt;$N$3),0,1))</f>
        <v>0</v>
      </c>
      <c r="P285" s="3">
        <f>IF(AND($K285=1,AND(对接源_01水果!$X285="公司筐",N(对接源_01水果!$T285)&lt;&gt;0)),1,0)</f>
        <v>0</v>
      </c>
      <c r="Q285" s="3">
        <f t="shared" si="79"/>
        <v>0</v>
      </c>
      <c r="R285" s="3">
        <f>IF(AND($K285=1,AND(对接源_01水果!$X285="公司筐",N(对接源_01水果!$U285)&lt;&gt;0)),1,0)</f>
        <v>0</v>
      </c>
      <c r="S285" s="3">
        <f t="shared" si="80"/>
        <v>0</v>
      </c>
      <c r="T285" s="3">
        <f>IF(AND($K285=1,AND(对接源_01水果!$X285="公司筐",N(对接源_01水果!$V285)&lt;&gt;0)),1,0)</f>
        <v>0</v>
      </c>
      <c r="U285" s="3">
        <f t="shared" si="81"/>
        <v>16</v>
      </c>
      <c r="V285" s="3">
        <f>IF(AND($L285=1,AND(对接源_01水果!$X285="自备筐",N(对接源_01水果!$V285)&lt;&gt;0)),1,0)</f>
        <v>0</v>
      </c>
      <c r="W285" s="3">
        <f t="shared" si="82"/>
        <v>8</v>
      </c>
      <c r="X285" s="3">
        <f>IF(AND($L285=1,AND(对接源_01水果!$X285="自备筐",N(对接源_01水果!$T285)&lt;&gt;0)),1,0)</f>
        <v>0</v>
      </c>
      <c r="Y285" s="3">
        <f t="shared" si="83"/>
        <v>0</v>
      </c>
      <c r="Z285" s="3">
        <f>IF(AND($M285=1,对接源_01水果!$D285="原料入库"),1,0)</f>
        <v>0</v>
      </c>
      <c r="AA285" s="3">
        <f t="shared" si="84"/>
        <v>21</v>
      </c>
      <c r="AB285" s="3">
        <f>IF(AND($M285=1,LEFT(对接源_01水果!$D285,4)="原料出库"),1,0)</f>
        <v>0</v>
      </c>
      <c r="AC285" s="3">
        <f t="shared" si="85"/>
        <v>0</v>
      </c>
      <c r="AD285" s="3">
        <f>IF(AND($M285=1,LEFT(对接源_01水果!$D285,4)="成品出库"),1,0)</f>
        <v>0</v>
      </c>
      <c r="AE285" s="3">
        <f t="shared" si="86"/>
        <v>0</v>
      </c>
      <c r="AF285" s="3">
        <f>IF(AND($N285=1,AND(LEFT(对接源_01水果!$D285,4)="包装物料",N(对接源_01水果!$K285)&lt;&gt;0)),1,0)</f>
        <v>0</v>
      </c>
      <c r="AG285" s="3">
        <f t="shared" si="87"/>
        <v>0</v>
      </c>
      <c r="AH285" s="3">
        <f>IF(AND($N285=1,AND(对接源_01水果!$D285="周转筐－销售出库",N(对接源_01水果!$K285)&lt;&gt;0)),1,0)</f>
        <v>0</v>
      </c>
      <c r="AI285" s="3">
        <f t="shared" si="88"/>
        <v>0</v>
      </c>
      <c r="AJ285" s="7"/>
      <c r="AL285" s="3">
        <f>IF(OR($AL$1="",对接源_01水果!$Y285="",对接源_01水果!$Y285&lt;&gt;$AL$1,对接源_01水果!$B285="",N(对接源_01水果!$AJ285)&lt;=0),0,IF(OR(N(对接源_01水果!$B285)&lt;$AL$2,N(对接源_01水果!$B285)&gt;$AL$3),0,1))</f>
        <v>0</v>
      </c>
      <c r="AM285" s="3">
        <f t="shared" si="89"/>
        <v>0</v>
      </c>
      <c r="AN285" s="3" t="str">
        <f>IF(对接源_01水果!$AC285="","",对接源_01水果!$AC285)</f>
        <v/>
      </c>
      <c r="AO285" s="3">
        <f t="shared" si="90"/>
        <v>0</v>
      </c>
      <c r="AP285" s="3">
        <f t="shared" si="91"/>
        <v>0</v>
      </c>
      <c r="AR285">
        <f t="shared" si="92"/>
        <v>0</v>
      </c>
      <c r="AS285">
        <f t="shared" si="93"/>
        <v>0</v>
      </c>
    </row>
    <row r="286" ht="14.25" customHeight="1" spans="1:45">
      <c r="A286" s="3" t="str">
        <f>IF(对接源_01水果!$C286="","",对接源_01水果!$C286)</f>
        <v>王照雪</v>
      </c>
      <c r="B286" s="3">
        <f t="shared" si="76"/>
        <v>0</v>
      </c>
      <c r="C286" s="3">
        <f t="shared" si="77"/>
        <v>17</v>
      </c>
      <c r="E286" s="3" t="str">
        <f t="shared" si="78"/>
        <v/>
      </c>
      <c r="K286" s="3">
        <f>IF(OR($K$1="",对接源_01水果!$C286="",对接源_01水果!$C286&lt;&gt;$K$1,对接源_01水果!$B286=""),0,IF(OR(N(对接源_01水果!$B286)&lt;$K$2,N(对接源_01水果!$B286)&gt;$K$3),0,1))</f>
        <v>0</v>
      </c>
      <c r="L286" s="3">
        <f>IF(OR($L$1="",对接源_01水果!$C286="",对接源_01水果!$C286&lt;&gt;$L$1,对接源_01水果!$B286=""),0,IF(OR(N(对接源_01水果!$B286)&lt;$L$2,N(对接源_01水果!$B286)&gt;$L$3),0,1))</f>
        <v>0</v>
      </c>
      <c r="M286" s="3">
        <f>IF(OR($M$1="",对接源_01水果!$C286="",对接源_01水果!$C286&lt;&gt;$M$1,对接源_01水果!$B286=""),0,IF(OR(N(对接源_01水果!$B286)&lt;$M$2,N(对接源_01水果!$B286)&gt;$M$3),0,1))</f>
        <v>0</v>
      </c>
      <c r="N286" s="3">
        <f>IF(OR($N$1="",对接源_01水果!$C286="",对接源_01水果!$C286&lt;&gt;$N$1,对接源_01水果!$B286=""),0,IF(OR(N(对接源_01水果!$B286)&lt;$N$2,N(对接源_01水果!$B286)&gt;$N$3),0,1))</f>
        <v>0</v>
      </c>
      <c r="P286" s="3">
        <f>IF(AND($K286=1,AND(对接源_01水果!$X286="公司筐",N(对接源_01水果!$T286)&lt;&gt;0)),1,0)</f>
        <v>0</v>
      </c>
      <c r="Q286" s="3">
        <f t="shared" si="79"/>
        <v>0</v>
      </c>
      <c r="R286" s="3">
        <f>IF(AND($K286=1,AND(对接源_01水果!$X286="公司筐",N(对接源_01水果!$U286)&lt;&gt;0)),1,0)</f>
        <v>0</v>
      </c>
      <c r="S286" s="3">
        <f t="shared" si="80"/>
        <v>0</v>
      </c>
      <c r="T286" s="3">
        <f>IF(AND($K286=1,AND(对接源_01水果!$X286="公司筐",N(对接源_01水果!$V286)&lt;&gt;0)),1,0)</f>
        <v>0</v>
      </c>
      <c r="U286" s="3">
        <f t="shared" si="81"/>
        <v>16</v>
      </c>
      <c r="V286" s="3">
        <f>IF(AND($L286=1,AND(对接源_01水果!$X286="自备筐",N(对接源_01水果!$V286)&lt;&gt;0)),1,0)</f>
        <v>0</v>
      </c>
      <c r="W286" s="3">
        <f t="shared" si="82"/>
        <v>8</v>
      </c>
      <c r="X286" s="3">
        <f>IF(AND($L286=1,AND(对接源_01水果!$X286="自备筐",N(对接源_01水果!$T286)&lt;&gt;0)),1,0)</f>
        <v>0</v>
      </c>
      <c r="Y286" s="3">
        <f t="shared" si="83"/>
        <v>0</v>
      </c>
      <c r="Z286" s="3">
        <f>IF(AND($M286=1,对接源_01水果!$D286="原料入库"),1,0)</f>
        <v>0</v>
      </c>
      <c r="AA286" s="3">
        <f t="shared" si="84"/>
        <v>21</v>
      </c>
      <c r="AB286" s="3">
        <f>IF(AND($M286=1,LEFT(对接源_01水果!$D286,4)="原料出库"),1,0)</f>
        <v>0</v>
      </c>
      <c r="AC286" s="3">
        <f t="shared" si="85"/>
        <v>0</v>
      </c>
      <c r="AD286" s="3">
        <f>IF(AND($M286=1,LEFT(对接源_01水果!$D286,4)="成品出库"),1,0)</f>
        <v>0</v>
      </c>
      <c r="AE286" s="3">
        <f t="shared" si="86"/>
        <v>0</v>
      </c>
      <c r="AF286" s="3">
        <f>IF(AND($N286=1,AND(LEFT(对接源_01水果!$D286,4)="包装物料",N(对接源_01水果!$K286)&lt;&gt;0)),1,0)</f>
        <v>0</v>
      </c>
      <c r="AG286" s="3">
        <f t="shared" si="87"/>
        <v>0</v>
      </c>
      <c r="AH286" s="3">
        <f>IF(AND($N286=1,AND(对接源_01水果!$D286="周转筐－销售出库",N(对接源_01水果!$K286)&lt;&gt;0)),1,0)</f>
        <v>0</v>
      </c>
      <c r="AI286" s="3">
        <f t="shared" si="88"/>
        <v>0</v>
      </c>
      <c r="AJ286" s="7"/>
      <c r="AL286" s="3">
        <f>IF(OR($AL$1="",对接源_01水果!$Y286="",对接源_01水果!$Y286&lt;&gt;$AL$1,对接源_01水果!$B286="",N(对接源_01水果!$AJ286)&lt;=0),0,IF(OR(N(对接源_01水果!$B286)&lt;$AL$2,N(对接源_01水果!$B286)&gt;$AL$3),0,1))</f>
        <v>0</v>
      </c>
      <c r="AM286" s="3">
        <f t="shared" si="89"/>
        <v>0</v>
      </c>
      <c r="AN286" s="3" t="str">
        <f>IF(对接源_01水果!$AC286="","",对接源_01水果!$AC286)</f>
        <v/>
      </c>
      <c r="AO286" s="3">
        <f t="shared" si="90"/>
        <v>0</v>
      </c>
      <c r="AP286" s="3">
        <f t="shared" si="91"/>
        <v>0</v>
      </c>
      <c r="AR286">
        <f t="shared" si="92"/>
        <v>0</v>
      </c>
      <c r="AS286">
        <f t="shared" si="93"/>
        <v>0</v>
      </c>
    </row>
    <row r="287" ht="14.25" customHeight="1" spans="1:45">
      <c r="A287" s="3" t="str">
        <f>IF(对接源_01水果!$C287="","",对接源_01水果!$C287)</f>
        <v>王照雪</v>
      </c>
      <c r="B287" s="3">
        <f t="shared" si="76"/>
        <v>0</v>
      </c>
      <c r="C287" s="3">
        <f t="shared" si="77"/>
        <v>17</v>
      </c>
      <c r="E287" s="3" t="str">
        <f t="shared" si="78"/>
        <v/>
      </c>
      <c r="K287" s="3">
        <f>IF(OR($K$1="",对接源_01水果!$C287="",对接源_01水果!$C287&lt;&gt;$K$1,对接源_01水果!$B287=""),0,IF(OR(N(对接源_01水果!$B287)&lt;$K$2,N(对接源_01水果!$B287)&gt;$K$3),0,1))</f>
        <v>0</v>
      </c>
      <c r="L287" s="3">
        <f>IF(OR($L$1="",对接源_01水果!$C287="",对接源_01水果!$C287&lt;&gt;$L$1,对接源_01水果!$B287=""),0,IF(OR(N(对接源_01水果!$B287)&lt;$L$2,N(对接源_01水果!$B287)&gt;$L$3),0,1))</f>
        <v>0</v>
      </c>
      <c r="M287" s="3">
        <f>IF(OR($M$1="",对接源_01水果!$C287="",对接源_01水果!$C287&lt;&gt;$M$1,对接源_01水果!$B287=""),0,IF(OR(N(对接源_01水果!$B287)&lt;$M$2,N(对接源_01水果!$B287)&gt;$M$3),0,1))</f>
        <v>0</v>
      </c>
      <c r="N287" s="3">
        <f>IF(OR($N$1="",对接源_01水果!$C287="",对接源_01水果!$C287&lt;&gt;$N$1,对接源_01水果!$B287=""),0,IF(OR(N(对接源_01水果!$B287)&lt;$N$2,N(对接源_01水果!$B287)&gt;$N$3),0,1))</f>
        <v>0</v>
      </c>
      <c r="P287" s="3">
        <f>IF(AND($K287=1,AND(对接源_01水果!$X287="公司筐",N(对接源_01水果!$T287)&lt;&gt;0)),1,0)</f>
        <v>0</v>
      </c>
      <c r="Q287" s="3">
        <f t="shared" si="79"/>
        <v>0</v>
      </c>
      <c r="R287" s="3">
        <f>IF(AND($K287=1,AND(对接源_01水果!$X287="公司筐",N(对接源_01水果!$U287)&lt;&gt;0)),1,0)</f>
        <v>0</v>
      </c>
      <c r="S287" s="3">
        <f t="shared" si="80"/>
        <v>0</v>
      </c>
      <c r="T287" s="3">
        <f>IF(AND($K287=1,AND(对接源_01水果!$X287="公司筐",N(对接源_01水果!$V287)&lt;&gt;0)),1,0)</f>
        <v>0</v>
      </c>
      <c r="U287" s="3">
        <f t="shared" si="81"/>
        <v>16</v>
      </c>
      <c r="V287" s="3">
        <f>IF(AND($L287=1,AND(对接源_01水果!$X287="自备筐",N(对接源_01水果!$V287)&lt;&gt;0)),1,0)</f>
        <v>0</v>
      </c>
      <c r="W287" s="3">
        <f t="shared" si="82"/>
        <v>8</v>
      </c>
      <c r="X287" s="3">
        <f>IF(AND($L287=1,AND(对接源_01水果!$X287="自备筐",N(对接源_01水果!$T287)&lt;&gt;0)),1,0)</f>
        <v>0</v>
      </c>
      <c r="Y287" s="3">
        <f t="shared" si="83"/>
        <v>0</v>
      </c>
      <c r="Z287" s="3">
        <f>IF(AND($M287=1,对接源_01水果!$D287="原料入库"),1,0)</f>
        <v>0</v>
      </c>
      <c r="AA287" s="3">
        <f t="shared" si="84"/>
        <v>21</v>
      </c>
      <c r="AB287" s="3">
        <f>IF(AND($M287=1,LEFT(对接源_01水果!$D287,4)="原料出库"),1,0)</f>
        <v>0</v>
      </c>
      <c r="AC287" s="3">
        <f t="shared" si="85"/>
        <v>0</v>
      </c>
      <c r="AD287" s="3">
        <f>IF(AND($M287=1,LEFT(对接源_01水果!$D287,4)="成品出库"),1,0)</f>
        <v>0</v>
      </c>
      <c r="AE287" s="3">
        <f t="shared" si="86"/>
        <v>0</v>
      </c>
      <c r="AF287" s="3">
        <f>IF(AND($N287=1,AND(LEFT(对接源_01水果!$D287,4)="包装物料",N(对接源_01水果!$K287)&lt;&gt;0)),1,0)</f>
        <v>0</v>
      </c>
      <c r="AG287" s="3">
        <f t="shared" si="87"/>
        <v>0</v>
      </c>
      <c r="AH287" s="3">
        <f>IF(AND($N287=1,AND(对接源_01水果!$D287="周转筐－销售出库",N(对接源_01水果!$K287)&lt;&gt;0)),1,0)</f>
        <v>0</v>
      </c>
      <c r="AI287" s="3">
        <f t="shared" si="88"/>
        <v>0</v>
      </c>
      <c r="AJ287" s="7"/>
      <c r="AL287" s="3">
        <f>IF(OR($AL$1="",对接源_01水果!$Y287="",对接源_01水果!$Y287&lt;&gt;$AL$1,对接源_01水果!$B287="",N(对接源_01水果!$AJ287)&lt;=0),0,IF(OR(N(对接源_01水果!$B287)&lt;$AL$2,N(对接源_01水果!$B287)&gt;$AL$3),0,1))</f>
        <v>0</v>
      </c>
      <c r="AM287" s="3">
        <f t="shared" si="89"/>
        <v>0</v>
      </c>
      <c r="AN287" s="3" t="str">
        <f>IF(对接源_01水果!$AC287="","",对接源_01水果!$AC287)</f>
        <v/>
      </c>
      <c r="AO287" s="3">
        <f t="shared" si="90"/>
        <v>0</v>
      </c>
      <c r="AP287" s="3">
        <f t="shared" si="91"/>
        <v>0</v>
      </c>
      <c r="AR287">
        <f t="shared" si="92"/>
        <v>0</v>
      </c>
      <c r="AS287">
        <f t="shared" si="93"/>
        <v>0</v>
      </c>
    </row>
    <row r="288" ht="14.25" customHeight="1" spans="1:45">
      <c r="A288" s="3" t="str">
        <f>IF(对接源_01水果!$C288="","",对接源_01水果!$C288)</f>
        <v>努尔敦</v>
      </c>
      <c r="B288" s="3">
        <f t="shared" si="76"/>
        <v>0</v>
      </c>
      <c r="C288" s="3">
        <f t="shared" si="77"/>
        <v>17</v>
      </c>
      <c r="E288" s="3" t="str">
        <f t="shared" si="78"/>
        <v/>
      </c>
      <c r="K288" s="3">
        <f>IF(OR($K$1="",对接源_01水果!$C288="",对接源_01水果!$C288&lt;&gt;$K$1,对接源_01水果!$B288=""),0,IF(OR(N(对接源_01水果!$B288)&lt;$K$2,N(对接源_01水果!$B288)&gt;$K$3),0,1))</f>
        <v>0</v>
      </c>
      <c r="L288" s="3">
        <f>IF(OR($L$1="",对接源_01水果!$C288="",对接源_01水果!$C288&lt;&gt;$L$1,对接源_01水果!$B288=""),0,IF(OR(N(对接源_01水果!$B288)&lt;$L$2,N(对接源_01水果!$B288)&gt;$L$3),0,1))</f>
        <v>0</v>
      </c>
      <c r="M288" s="3">
        <f>IF(OR($M$1="",对接源_01水果!$C288="",对接源_01水果!$C288&lt;&gt;$M$1,对接源_01水果!$B288=""),0,IF(OR(N(对接源_01水果!$B288)&lt;$M$2,N(对接源_01水果!$B288)&gt;$M$3),0,1))</f>
        <v>0</v>
      </c>
      <c r="N288" s="3">
        <f>IF(OR($N$1="",对接源_01水果!$C288="",对接源_01水果!$C288&lt;&gt;$N$1,对接源_01水果!$B288=""),0,IF(OR(N(对接源_01水果!$B288)&lt;$N$2,N(对接源_01水果!$B288)&gt;$N$3),0,1))</f>
        <v>0</v>
      </c>
      <c r="P288" s="3">
        <f>IF(AND($K288=1,AND(对接源_01水果!$X288="公司筐",N(对接源_01水果!$T288)&lt;&gt;0)),1,0)</f>
        <v>0</v>
      </c>
      <c r="Q288" s="3">
        <f t="shared" si="79"/>
        <v>0</v>
      </c>
      <c r="R288" s="3">
        <f>IF(AND($K288=1,AND(对接源_01水果!$X288="公司筐",N(对接源_01水果!$U288)&lt;&gt;0)),1,0)</f>
        <v>0</v>
      </c>
      <c r="S288" s="3">
        <f t="shared" si="80"/>
        <v>0</v>
      </c>
      <c r="T288" s="3">
        <f>IF(AND($K288=1,AND(对接源_01水果!$X288="公司筐",N(对接源_01水果!$V288)&lt;&gt;0)),1,0)</f>
        <v>0</v>
      </c>
      <c r="U288" s="3">
        <f t="shared" si="81"/>
        <v>16</v>
      </c>
      <c r="V288" s="3">
        <f>IF(AND($L288=1,AND(对接源_01水果!$X288="自备筐",N(对接源_01水果!$V288)&lt;&gt;0)),1,0)</f>
        <v>0</v>
      </c>
      <c r="W288" s="3">
        <f t="shared" si="82"/>
        <v>8</v>
      </c>
      <c r="X288" s="3">
        <f>IF(AND($L288=1,AND(对接源_01水果!$X288="自备筐",N(对接源_01水果!$T288)&lt;&gt;0)),1,0)</f>
        <v>0</v>
      </c>
      <c r="Y288" s="3">
        <f t="shared" si="83"/>
        <v>0</v>
      </c>
      <c r="Z288" s="3">
        <f>IF(AND($M288=1,对接源_01水果!$D288="原料入库"),1,0)</f>
        <v>0</v>
      </c>
      <c r="AA288" s="3">
        <f t="shared" si="84"/>
        <v>21</v>
      </c>
      <c r="AB288" s="3">
        <f>IF(AND($M288=1,LEFT(对接源_01水果!$D288,4)="原料出库"),1,0)</f>
        <v>0</v>
      </c>
      <c r="AC288" s="3">
        <f t="shared" si="85"/>
        <v>0</v>
      </c>
      <c r="AD288" s="3">
        <f>IF(AND($M288=1,LEFT(对接源_01水果!$D288,4)="成品出库"),1,0)</f>
        <v>0</v>
      </c>
      <c r="AE288" s="3">
        <f t="shared" si="86"/>
        <v>0</v>
      </c>
      <c r="AF288" s="3">
        <f>IF(AND($N288=1,AND(LEFT(对接源_01水果!$D288,4)="包装物料",N(对接源_01水果!$K288)&lt;&gt;0)),1,0)</f>
        <v>0</v>
      </c>
      <c r="AG288" s="3">
        <f t="shared" si="87"/>
        <v>0</v>
      </c>
      <c r="AH288" s="3">
        <f>IF(AND($N288=1,AND(对接源_01水果!$D288="周转筐－销售出库",N(对接源_01水果!$K288)&lt;&gt;0)),1,0)</f>
        <v>0</v>
      </c>
      <c r="AI288" s="3">
        <f t="shared" si="88"/>
        <v>0</v>
      </c>
      <c r="AJ288" s="7"/>
      <c r="AL288" s="3">
        <f>IF(OR($AL$1="",对接源_01水果!$Y288="",对接源_01水果!$Y288&lt;&gt;$AL$1,对接源_01水果!$B288="",N(对接源_01水果!$AJ288)&lt;=0),0,IF(OR(N(对接源_01水果!$B288)&lt;$AL$2,N(对接源_01水果!$B288)&gt;$AL$3),0,1))</f>
        <v>0</v>
      </c>
      <c r="AM288" s="3">
        <f t="shared" si="89"/>
        <v>0</v>
      </c>
      <c r="AN288" s="3" t="str">
        <f>IF(对接源_01水果!$AC288="","",对接源_01水果!$AC288)</f>
        <v/>
      </c>
      <c r="AO288" s="3">
        <f t="shared" si="90"/>
        <v>0</v>
      </c>
      <c r="AP288" s="3">
        <f t="shared" si="91"/>
        <v>0</v>
      </c>
      <c r="AR288">
        <f t="shared" si="92"/>
        <v>0</v>
      </c>
      <c r="AS288">
        <f t="shared" si="93"/>
        <v>0</v>
      </c>
    </row>
    <row r="289" ht="14.25" customHeight="1" spans="1:45">
      <c r="A289" s="3" t="str">
        <f>IF(对接源_01水果!$C289="","",对接源_01水果!$C289)</f>
        <v>努尔敦</v>
      </c>
      <c r="B289" s="3">
        <f t="shared" si="76"/>
        <v>0</v>
      </c>
      <c r="C289" s="3">
        <f t="shared" si="77"/>
        <v>17</v>
      </c>
      <c r="E289" s="3" t="str">
        <f t="shared" si="78"/>
        <v/>
      </c>
      <c r="K289" s="3">
        <f>IF(OR($K$1="",对接源_01水果!$C289="",对接源_01水果!$C289&lt;&gt;$K$1,对接源_01水果!$B289=""),0,IF(OR(N(对接源_01水果!$B289)&lt;$K$2,N(对接源_01水果!$B289)&gt;$K$3),0,1))</f>
        <v>0</v>
      </c>
      <c r="L289" s="3">
        <f>IF(OR($L$1="",对接源_01水果!$C289="",对接源_01水果!$C289&lt;&gt;$L$1,对接源_01水果!$B289=""),0,IF(OR(N(对接源_01水果!$B289)&lt;$L$2,N(对接源_01水果!$B289)&gt;$L$3),0,1))</f>
        <v>0</v>
      </c>
      <c r="M289" s="3">
        <f>IF(OR($M$1="",对接源_01水果!$C289="",对接源_01水果!$C289&lt;&gt;$M$1,对接源_01水果!$B289=""),0,IF(OR(N(对接源_01水果!$B289)&lt;$M$2,N(对接源_01水果!$B289)&gt;$M$3),0,1))</f>
        <v>0</v>
      </c>
      <c r="N289" s="3">
        <f>IF(OR($N$1="",对接源_01水果!$C289="",对接源_01水果!$C289&lt;&gt;$N$1,对接源_01水果!$B289=""),0,IF(OR(N(对接源_01水果!$B289)&lt;$N$2,N(对接源_01水果!$B289)&gt;$N$3),0,1))</f>
        <v>0</v>
      </c>
      <c r="P289" s="3">
        <f>IF(AND($K289=1,AND(对接源_01水果!$X289="公司筐",N(对接源_01水果!$T289)&lt;&gt;0)),1,0)</f>
        <v>0</v>
      </c>
      <c r="Q289" s="3">
        <f t="shared" si="79"/>
        <v>0</v>
      </c>
      <c r="R289" s="3">
        <f>IF(AND($K289=1,AND(对接源_01水果!$X289="公司筐",N(对接源_01水果!$U289)&lt;&gt;0)),1,0)</f>
        <v>0</v>
      </c>
      <c r="S289" s="3">
        <f t="shared" si="80"/>
        <v>0</v>
      </c>
      <c r="T289" s="3">
        <f>IF(AND($K289=1,AND(对接源_01水果!$X289="公司筐",N(对接源_01水果!$V289)&lt;&gt;0)),1,0)</f>
        <v>0</v>
      </c>
      <c r="U289" s="3">
        <f t="shared" si="81"/>
        <v>16</v>
      </c>
      <c r="V289" s="3">
        <f>IF(AND($L289=1,AND(对接源_01水果!$X289="自备筐",N(对接源_01水果!$V289)&lt;&gt;0)),1,0)</f>
        <v>0</v>
      </c>
      <c r="W289" s="3">
        <f t="shared" si="82"/>
        <v>8</v>
      </c>
      <c r="X289" s="3">
        <f>IF(AND($L289=1,AND(对接源_01水果!$X289="自备筐",N(对接源_01水果!$T289)&lt;&gt;0)),1,0)</f>
        <v>0</v>
      </c>
      <c r="Y289" s="3">
        <f t="shared" si="83"/>
        <v>0</v>
      </c>
      <c r="Z289" s="3">
        <f>IF(AND($M289=1,对接源_01水果!$D289="原料入库"),1,0)</f>
        <v>0</v>
      </c>
      <c r="AA289" s="3">
        <f t="shared" si="84"/>
        <v>21</v>
      </c>
      <c r="AB289" s="3">
        <f>IF(AND($M289=1,LEFT(对接源_01水果!$D289,4)="原料出库"),1,0)</f>
        <v>0</v>
      </c>
      <c r="AC289" s="3">
        <f t="shared" si="85"/>
        <v>0</v>
      </c>
      <c r="AD289" s="3">
        <f>IF(AND($M289=1,LEFT(对接源_01水果!$D289,4)="成品出库"),1,0)</f>
        <v>0</v>
      </c>
      <c r="AE289" s="3">
        <f t="shared" si="86"/>
        <v>0</v>
      </c>
      <c r="AF289" s="3">
        <f>IF(AND($N289=1,AND(LEFT(对接源_01水果!$D289,4)="包装物料",N(对接源_01水果!$K289)&lt;&gt;0)),1,0)</f>
        <v>0</v>
      </c>
      <c r="AG289" s="3">
        <f t="shared" si="87"/>
        <v>0</v>
      </c>
      <c r="AH289" s="3">
        <f>IF(AND($N289=1,AND(对接源_01水果!$D289="周转筐－销售出库",N(对接源_01水果!$K289)&lt;&gt;0)),1,0)</f>
        <v>0</v>
      </c>
      <c r="AI289" s="3">
        <f t="shared" si="88"/>
        <v>0</v>
      </c>
      <c r="AJ289" s="7"/>
      <c r="AL289" s="3">
        <f>IF(OR($AL$1="",对接源_01水果!$Y289="",对接源_01水果!$Y289&lt;&gt;$AL$1,对接源_01水果!$B289="",N(对接源_01水果!$AJ289)&lt;=0),0,IF(OR(N(对接源_01水果!$B289)&lt;$AL$2,N(对接源_01水果!$B289)&gt;$AL$3),0,1))</f>
        <v>0</v>
      </c>
      <c r="AM289" s="3">
        <f t="shared" si="89"/>
        <v>0</v>
      </c>
      <c r="AN289" s="3" t="str">
        <f>IF(对接源_01水果!$AC289="","",对接源_01水果!$AC289)</f>
        <v/>
      </c>
      <c r="AO289" s="3">
        <f t="shared" si="90"/>
        <v>0</v>
      </c>
      <c r="AP289" s="3">
        <f t="shared" si="91"/>
        <v>0</v>
      </c>
      <c r="AR289">
        <f t="shared" si="92"/>
        <v>0</v>
      </c>
      <c r="AS289">
        <f t="shared" si="93"/>
        <v>0</v>
      </c>
    </row>
    <row r="290" ht="14.25" customHeight="1" spans="1:45">
      <c r="A290" s="3" t="str">
        <f>IF(对接源_01水果!$C290="","",对接源_01水果!$C290)</f>
        <v>努尔敦</v>
      </c>
      <c r="B290" s="3">
        <f t="shared" si="76"/>
        <v>0</v>
      </c>
      <c r="C290" s="3">
        <f t="shared" si="77"/>
        <v>17</v>
      </c>
      <c r="E290" s="3" t="str">
        <f t="shared" si="78"/>
        <v/>
      </c>
      <c r="K290" s="3">
        <f>IF(OR($K$1="",对接源_01水果!$C290="",对接源_01水果!$C290&lt;&gt;$K$1,对接源_01水果!$B290=""),0,IF(OR(N(对接源_01水果!$B290)&lt;$K$2,N(对接源_01水果!$B290)&gt;$K$3),0,1))</f>
        <v>0</v>
      </c>
      <c r="L290" s="3">
        <f>IF(OR($L$1="",对接源_01水果!$C290="",对接源_01水果!$C290&lt;&gt;$L$1,对接源_01水果!$B290=""),0,IF(OR(N(对接源_01水果!$B290)&lt;$L$2,N(对接源_01水果!$B290)&gt;$L$3),0,1))</f>
        <v>0</v>
      </c>
      <c r="M290" s="3">
        <f>IF(OR($M$1="",对接源_01水果!$C290="",对接源_01水果!$C290&lt;&gt;$M$1,对接源_01水果!$B290=""),0,IF(OR(N(对接源_01水果!$B290)&lt;$M$2,N(对接源_01水果!$B290)&gt;$M$3),0,1))</f>
        <v>0</v>
      </c>
      <c r="N290" s="3">
        <f>IF(OR($N$1="",对接源_01水果!$C290="",对接源_01水果!$C290&lt;&gt;$N$1,对接源_01水果!$B290=""),0,IF(OR(N(对接源_01水果!$B290)&lt;$N$2,N(对接源_01水果!$B290)&gt;$N$3),0,1))</f>
        <v>0</v>
      </c>
      <c r="P290" s="3">
        <f>IF(AND($K290=1,AND(对接源_01水果!$X290="公司筐",N(对接源_01水果!$T290)&lt;&gt;0)),1,0)</f>
        <v>0</v>
      </c>
      <c r="Q290" s="3">
        <f t="shared" si="79"/>
        <v>0</v>
      </c>
      <c r="R290" s="3">
        <f>IF(AND($K290=1,AND(对接源_01水果!$X290="公司筐",N(对接源_01水果!$U290)&lt;&gt;0)),1,0)</f>
        <v>0</v>
      </c>
      <c r="S290" s="3">
        <f t="shared" si="80"/>
        <v>0</v>
      </c>
      <c r="T290" s="3">
        <f>IF(AND($K290=1,AND(对接源_01水果!$X290="公司筐",N(对接源_01水果!$V290)&lt;&gt;0)),1,0)</f>
        <v>0</v>
      </c>
      <c r="U290" s="3">
        <f t="shared" si="81"/>
        <v>16</v>
      </c>
      <c r="V290" s="3">
        <f>IF(AND($L290=1,AND(对接源_01水果!$X290="自备筐",N(对接源_01水果!$V290)&lt;&gt;0)),1,0)</f>
        <v>0</v>
      </c>
      <c r="W290" s="3">
        <f t="shared" si="82"/>
        <v>8</v>
      </c>
      <c r="X290" s="3">
        <f>IF(AND($L290=1,AND(对接源_01水果!$X290="自备筐",N(对接源_01水果!$T290)&lt;&gt;0)),1,0)</f>
        <v>0</v>
      </c>
      <c r="Y290" s="3">
        <f t="shared" si="83"/>
        <v>0</v>
      </c>
      <c r="Z290" s="3">
        <f>IF(AND($M290=1,对接源_01水果!$D290="原料入库"),1,0)</f>
        <v>0</v>
      </c>
      <c r="AA290" s="3">
        <f t="shared" si="84"/>
        <v>21</v>
      </c>
      <c r="AB290" s="3">
        <f>IF(AND($M290=1,LEFT(对接源_01水果!$D290,4)="原料出库"),1,0)</f>
        <v>0</v>
      </c>
      <c r="AC290" s="3">
        <f t="shared" si="85"/>
        <v>0</v>
      </c>
      <c r="AD290" s="3">
        <f>IF(AND($M290=1,LEFT(对接源_01水果!$D290,4)="成品出库"),1,0)</f>
        <v>0</v>
      </c>
      <c r="AE290" s="3">
        <f t="shared" si="86"/>
        <v>0</v>
      </c>
      <c r="AF290" s="3">
        <f>IF(AND($N290=1,AND(LEFT(对接源_01水果!$D290,4)="包装物料",N(对接源_01水果!$K290)&lt;&gt;0)),1,0)</f>
        <v>0</v>
      </c>
      <c r="AG290" s="3">
        <f t="shared" si="87"/>
        <v>0</v>
      </c>
      <c r="AH290" s="3">
        <f>IF(AND($N290=1,AND(对接源_01水果!$D290="周转筐－销售出库",N(对接源_01水果!$K290)&lt;&gt;0)),1,0)</f>
        <v>0</v>
      </c>
      <c r="AI290" s="3">
        <f t="shared" si="88"/>
        <v>0</v>
      </c>
      <c r="AJ290" s="7"/>
      <c r="AL290" s="3">
        <f>IF(OR($AL$1="",对接源_01水果!$Y290="",对接源_01水果!$Y290&lt;&gt;$AL$1,对接源_01水果!$B290="",N(对接源_01水果!$AJ290)&lt;=0),0,IF(OR(N(对接源_01水果!$B290)&lt;$AL$2,N(对接源_01水果!$B290)&gt;$AL$3),0,1))</f>
        <v>0</v>
      </c>
      <c r="AM290" s="3">
        <f t="shared" si="89"/>
        <v>0</v>
      </c>
      <c r="AN290" s="3" t="str">
        <f>IF(对接源_01水果!$AC290="","",对接源_01水果!$AC290)</f>
        <v/>
      </c>
      <c r="AO290" s="3">
        <f t="shared" si="90"/>
        <v>0</v>
      </c>
      <c r="AP290" s="3">
        <f t="shared" si="91"/>
        <v>0</v>
      </c>
      <c r="AR290">
        <f t="shared" si="92"/>
        <v>0</v>
      </c>
      <c r="AS290">
        <f t="shared" si="93"/>
        <v>0</v>
      </c>
    </row>
    <row r="291" ht="14.25" customHeight="1" spans="1:45">
      <c r="A291" s="3" t="str">
        <f>IF(对接源_01水果!$C291="","",对接源_01水果!$C291)</f>
        <v>吐尔洪</v>
      </c>
      <c r="B291" s="3">
        <f t="shared" si="76"/>
        <v>0</v>
      </c>
      <c r="C291" s="3">
        <f t="shared" si="77"/>
        <v>17</v>
      </c>
      <c r="E291" s="3" t="str">
        <f t="shared" si="78"/>
        <v/>
      </c>
      <c r="K291" s="3">
        <f>IF(OR($K$1="",对接源_01水果!$C291="",对接源_01水果!$C291&lt;&gt;$K$1,对接源_01水果!$B291=""),0,IF(OR(N(对接源_01水果!$B291)&lt;$K$2,N(对接源_01水果!$B291)&gt;$K$3),0,1))</f>
        <v>0</v>
      </c>
      <c r="L291" s="3">
        <f>IF(OR($L$1="",对接源_01水果!$C291="",对接源_01水果!$C291&lt;&gt;$L$1,对接源_01水果!$B291=""),0,IF(OR(N(对接源_01水果!$B291)&lt;$L$2,N(对接源_01水果!$B291)&gt;$L$3),0,1))</f>
        <v>0</v>
      </c>
      <c r="M291" s="3">
        <f>IF(OR($M$1="",对接源_01水果!$C291="",对接源_01水果!$C291&lt;&gt;$M$1,对接源_01水果!$B291=""),0,IF(OR(N(对接源_01水果!$B291)&lt;$M$2,N(对接源_01水果!$B291)&gt;$M$3),0,1))</f>
        <v>1</v>
      </c>
      <c r="N291" s="3">
        <f>IF(OR($N$1="",对接源_01水果!$C291="",对接源_01水果!$C291&lt;&gt;$N$1,对接源_01水果!$B291=""),0,IF(OR(N(对接源_01水果!$B291)&lt;$N$2,N(对接源_01水果!$B291)&gt;$N$3),0,1))</f>
        <v>1</v>
      </c>
      <c r="P291" s="3">
        <f>IF(AND($K291=1,AND(对接源_01水果!$X291="公司筐",N(对接源_01水果!$T291)&lt;&gt;0)),1,0)</f>
        <v>0</v>
      </c>
      <c r="Q291" s="3">
        <f t="shared" si="79"/>
        <v>0</v>
      </c>
      <c r="R291" s="3">
        <f>IF(AND($K291=1,AND(对接源_01水果!$X291="公司筐",N(对接源_01水果!$U291)&lt;&gt;0)),1,0)</f>
        <v>0</v>
      </c>
      <c r="S291" s="3">
        <f t="shared" si="80"/>
        <v>0</v>
      </c>
      <c r="T291" s="3">
        <f>IF(AND($K291=1,AND(对接源_01水果!$X291="公司筐",N(对接源_01水果!$V291)&lt;&gt;0)),1,0)</f>
        <v>0</v>
      </c>
      <c r="U291" s="3">
        <f t="shared" si="81"/>
        <v>16</v>
      </c>
      <c r="V291" s="3">
        <f>IF(AND($L291=1,AND(对接源_01水果!$X291="自备筐",N(对接源_01水果!$V291)&lt;&gt;0)),1,0)</f>
        <v>0</v>
      </c>
      <c r="W291" s="3">
        <f t="shared" si="82"/>
        <v>8</v>
      </c>
      <c r="X291" s="3">
        <f>IF(AND($L291=1,AND(对接源_01水果!$X291="自备筐",N(对接源_01水果!$T291)&lt;&gt;0)),1,0)</f>
        <v>0</v>
      </c>
      <c r="Y291" s="3">
        <f t="shared" si="83"/>
        <v>0</v>
      </c>
      <c r="Z291" s="3">
        <f>IF(AND($M291=1,对接源_01水果!$D291="原料入库"),1,0)</f>
        <v>1</v>
      </c>
      <c r="AA291" s="3">
        <f t="shared" si="84"/>
        <v>22</v>
      </c>
      <c r="AB291" s="3">
        <f>IF(AND($M291=1,LEFT(对接源_01水果!$D291,4)="原料出库"),1,0)</f>
        <v>0</v>
      </c>
      <c r="AC291" s="3">
        <f t="shared" si="85"/>
        <v>0</v>
      </c>
      <c r="AD291" s="3">
        <f>IF(AND($M291=1,LEFT(对接源_01水果!$D291,4)="成品出库"),1,0)</f>
        <v>0</v>
      </c>
      <c r="AE291" s="3">
        <f t="shared" si="86"/>
        <v>0</v>
      </c>
      <c r="AF291" s="3">
        <f>IF(AND($N291=1,AND(LEFT(对接源_01水果!$D291,4)="包装物料",N(对接源_01水果!$K291)&lt;&gt;0)),1,0)</f>
        <v>0</v>
      </c>
      <c r="AG291" s="3">
        <f t="shared" si="87"/>
        <v>0</v>
      </c>
      <c r="AH291" s="3">
        <f>IF(AND($N291=1,AND(对接源_01水果!$D291="周转筐－销售出库",N(对接源_01水果!$K291)&lt;&gt;0)),1,0)</f>
        <v>0</v>
      </c>
      <c r="AI291" s="3">
        <f t="shared" si="88"/>
        <v>0</v>
      </c>
      <c r="AJ291" s="7"/>
      <c r="AL291" s="3">
        <f>IF(OR($AL$1="",对接源_01水果!$Y291="",对接源_01水果!$Y291&lt;&gt;$AL$1,对接源_01水果!$B291="",N(对接源_01水果!$AJ291)&lt;=0),0,IF(OR(N(对接源_01水果!$B291)&lt;$AL$2,N(对接源_01水果!$B291)&gt;$AL$3),0,1))</f>
        <v>0</v>
      </c>
      <c r="AM291" s="3">
        <f t="shared" si="89"/>
        <v>0</v>
      </c>
      <c r="AN291" s="3" t="str">
        <f>IF(对接源_01水果!$AC291="","",对接源_01水果!$AC291)</f>
        <v/>
      </c>
      <c r="AO291" s="3">
        <f t="shared" si="90"/>
        <v>0</v>
      </c>
      <c r="AP291" s="3">
        <f t="shared" si="91"/>
        <v>0</v>
      </c>
      <c r="AR291">
        <f t="shared" si="92"/>
        <v>0</v>
      </c>
      <c r="AS291">
        <f t="shared" si="93"/>
        <v>0</v>
      </c>
    </row>
    <row r="292" ht="14.25" customHeight="1" spans="1:45">
      <c r="A292" s="3" t="str">
        <f>IF(对接源_01水果!$C292="","",对接源_01水果!$C292)</f>
        <v>吐尔洪</v>
      </c>
      <c r="B292" s="3">
        <f t="shared" si="76"/>
        <v>0</v>
      </c>
      <c r="C292" s="3">
        <f t="shared" si="77"/>
        <v>17</v>
      </c>
      <c r="E292" s="3" t="str">
        <f t="shared" si="78"/>
        <v/>
      </c>
      <c r="K292" s="3">
        <f>IF(OR($K$1="",对接源_01水果!$C292="",对接源_01水果!$C292&lt;&gt;$K$1,对接源_01水果!$B292=""),0,IF(OR(N(对接源_01水果!$B292)&lt;$K$2,N(对接源_01水果!$B292)&gt;$K$3),0,1))</f>
        <v>0</v>
      </c>
      <c r="L292" s="3">
        <f>IF(OR($L$1="",对接源_01水果!$C292="",对接源_01水果!$C292&lt;&gt;$L$1,对接源_01水果!$B292=""),0,IF(OR(N(对接源_01水果!$B292)&lt;$L$2,N(对接源_01水果!$B292)&gt;$L$3),0,1))</f>
        <v>0</v>
      </c>
      <c r="M292" s="3">
        <f>IF(OR($M$1="",对接源_01水果!$C292="",对接源_01水果!$C292&lt;&gt;$M$1,对接源_01水果!$B292=""),0,IF(OR(N(对接源_01水果!$B292)&lt;$M$2,N(对接源_01水果!$B292)&gt;$M$3),0,1))</f>
        <v>1</v>
      </c>
      <c r="N292" s="3">
        <f>IF(OR($N$1="",对接源_01水果!$C292="",对接源_01水果!$C292&lt;&gt;$N$1,对接源_01水果!$B292=""),0,IF(OR(N(对接源_01水果!$B292)&lt;$N$2,N(对接源_01水果!$B292)&gt;$N$3),0,1))</f>
        <v>1</v>
      </c>
      <c r="P292" s="3">
        <f>IF(AND($K292=1,AND(对接源_01水果!$X292="公司筐",N(对接源_01水果!$T292)&lt;&gt;0)),1,0)</f>
        <v>0</v>
      </c>
      <c r="Q292" s="3">
        <f t="shared" si="79"/>
        <v>0</v>
      </c>
      <c r="R292" s="3">
        <f>IF(AND($K292=1,AND(对接源_01水果!$X292="公司筐",N(对接源_01水果!$U292)&lt;&gt;0)),1,0)</f>
        <v>0</v>
      </c>
      <c r="S292" s="3">
        <f t="shared" si="80"/>
        <v>0</v>
      </c>
      <c r="T292" s="3">
        <f>IF(AND($K292=1,AND(对接源_01水果!$X292="公司筐",N(对接源_01水果!$V292)&lt;&gt;0)),1,0)</f>
        <v>0</v>
      </c>
      <c r="U292" s="3">
        <f t="shared" si="81"/>
        <v>16</v>
      </c>
      <c r="V292" s="3">
        <f>IF(AND($L292=1,AND(对接源_01水果!$X292="自备筐",N(对接源_01水果!$V292)&lt;&gt;0)),1,0)</f>
        <v>0</v>
      </c>
      <c r="W292" s="3">
        <f t="shared" si="82"/>
        <v>8</v>
      </c>
      <c r="X292" s="3">
        <f>IF(AND($L292=1,AND(对接源_01水果!$X292="自备筐",N(对接源_01水果!$T292)&lt;&gt;0)),1,0)</f>
        <v>0</v>
      </c>
      <c r="Y292" s="3">
        <f t="shared" si="83"/>
        <v>0</v>
      </c>
      <c r="Z292" s="3">
        <f>IF(AND($M292=1,对接源_01水果!$D292="原料入库"),1,0)</f>
        <v>1</v>
      </c>
      <c r="AA292" s="3">
        <f t="shared" si="84"/>
        <v>23</v>
      </c>
      <c r="AB292" s="3">
        <f>IF(AND($M292=1,LEFT(对接源_01水果!$D292,4)="原料出库"),1,0)</f>
        <v>0</v>
      </c>
      <c r="AC292" s="3">
        <f t="shared" si="85"/>
        <v>0</v>
      </c>
      <c r="AD292" s="3">
        <f>IF(AND($M292=1,LEFT(对接源_01水果!$D292,4)="成品出库"),1,0)</f>
        <v>0</v>
      </c>
      <c r="AE292" s="3">
        <f t="shared" si="86"/>
        <v>0</v>
      </c>
      <c r="AF292" s="3">
        <f>IF(AND($N292=1,AND(LEFT(对接源_01水果!$D292,4)="包装物料",N(对接源_01水果!$K292)&lt;&gt;0)),1,0)</f>
        <v>0</v>
      </c>
      <c r="AG292" s="3">
        <f t="shared" si="87"/>
        <v>0</v>
      </c>
      <c r="AH292" s="3">
        <f>IF(AND($N292=1,AND(对接源_01水果!$D292="周转筐－销售出库",N(对接源_01水果!$K292)&lt;&gt;0)),1,0)</f>
        <v>0</v>
      </c>
      <c r="AI292" s="3">
        <f t="shared" si="88"/>
        <v>0</v>
      </c>
      <c r="AJ292" s="7"/>
      <c r="AL292" s="3">
        <f>IF(OR($AL$1="",对接源_01水果!$Y292="",对接源_01水果!$Y292&lt;&gt;$AL$1,对接源_01水果!$B292="",N(对接源_01水果!$AJ292)&lt;=0),0,IF(OR(N(对接源_01水果!$B292)&lt;$AL$2,N(对接源_01水果!$B292)&gt;$AL$3),0,1))</f>
        <v>0</v>
      </c>
      <c r="AM292" s="3">
        <f t="shared" si="89"/>
        <v>0</v>
      </c>
      <c r="AN292" s="3" t="str">
        <f>IF(对接源_01水果!$AC292="","",对接源_01水果!$AC292)</f>
        <v/>
      </c>
      <c r="AO292" s="3">
        <f t="shared" si="90"/>
        <v>0</v>
      </c>
      <c r="AP292" s="3">
        <f t="shared" si="91"/>
        <v>0</v>
      </c>
      <c r="AR292">
        <f t="shared" si="92"/>
        <v>0</v>
      </c>
      <c r="AS292">
        <f t="shared" si="93"/>
        <v>0</v>
      </c>
    </row>
    <row r="293" ht="14.25" customHeight="1" spans="1:45">
      <c r="A293" s="3" t="str">
        <f>IF(对接源_01水果!$C293="","",对接源_01水果!$C293)</f>
        <v>吐尔洪</v>
      </c>
      <c r="B293" s="3">
        <f t="shared" si="76"/>
        <v>0</v>
      </c>
      <c r="C293" s="3">
        <f t="shared" si="77"/>
        <v>17</v>
      </c>
      <c r="E293" s="3" t="str">
        <f t="shared" si="78"/>
        <v/>
      </c>
      <c r="K293" s="3">
        <f>IF(OR($K$1="",对接源_01水果!$C293="",对接源_01水果!$C293&lt;&gt;$K$1,对接源_01水果!$B293=""),0,IF(OR(N(对接源_01水果!$B293)&lt;$K$2,N(对接源_01水果!$B293)&gt;$K$3),0,1))</f>
        <v>0</v>
      </c>
      <c r="L293" s="3">
        <f>IF(OR($L$1="",对接源_01水果!$C293="",对接源_01水果!$C293&lt;&gt;$L$1,对接源_01水果!$B293=""),0,IF(OR(N(对接源_01水果!$B293)&lt;$L$2,N(对接源_01水果!$B293)&gt;$L$3),0,1))</f>
        <v>0</v>
      </c>
      <c r="M293" s="3">
        <f>IF(OR($M$1="",对接源_01水果!$C293="",对接源_01水果!$C293&lt;&gt;$M$1,对接源_01水果!$B293=""),0,IF(OR(N(对接源_01水果!$B293)&lt;$M$2,N(对接源_01水果!$B293)&gt;$M$3),0,1))</f>
        <v>1</v>
      </c>
      <c r="N293" s="3">
        <f>IF(OR($N$1="",对接源_01水果!$C293="",对接源_01水果!$C293&lt;&gt;$N$1,对接源_01水果!$B293=""),0,IF(OR(N(对接源_01水果!$B293)&lt;$N$2,N(对接源_01水果!$B293)&gt;$N$3),0,1))</f>
        <v>1</v>
      </c>
      <c r="P293" s="3">
        <f>IF(AND($K293=1,AND(对接源_01水果!$X293="公司筐",N(对接源_01水果!$T293)&lt;&gt;0)),1,0)</f>
        <v>0</v>
      </c>
      <c r="Q293" s="3">
        <f t="shared" si="79"/>
        <v>0</v>
      </c>
      <c r="R293" s="3">
        <f>IF(AND($K293=1,AND(对接源_01水果!$X293="公司筐",N(对接源_01水果!$U293)&lt;&gt;0)),1,0)</f>
        <v>0</v>
      </c>
      <c r="S293" s="3">
        <f t="shared" si="80"/>
        <v>0</v>
      </c>
      <c r="T293" s="3">
        <f>IF(AND($K293=1,AND(对接源_01水果!$X293="公司筐",N(对接源_01水果!$V293)&lt;&gt;0)),1,0)</f>
        <v>0</v>
      </c>
      <c r="U293" s="3">
        <f t="shared" si="81"/>
        <v>16</v>
      </c>
      <c r="V293" s="3">
        <f>IF(AND($L293=1,AND(对接源_01水果!$X293="自备筐",N(对接源_01水果!$V293)&lt;&gt;0)),1,0)</f>
        <v>0</v>
      </c>
      <c r="W293" s="3">
        <f t="shared" si="82"/>
        <v>8</v>
      </c>
      <c r="X293" s="3">
        <f>IF(AND($L293=1,AND(对接源_01水果!$X293="自备筐",N(对接源_01水果!$T293)&lt;&gt;0)),1,0)</f>
        <v>0</v>
      </c>
      <c r="Y293" s="3">
        <f t="shared" si="83"/>
        <v>0</v>
      </c>
      <c r="Z293" s="3">
        <f>IF(AND($M293=1,对接源_01水果!$D293="原料入库"),1,0)</f>
        <v>1</v>
      </c>
      <c r="AA293" s="3">
        <f t="shared" si="84"/>
        <v>24</v>
      </c>
      <c r="AB293" s="3">
        <f>IF(AND($M293=1,LEFT(对接源_01水果!$D293,4)="原料出库"),1,0)</f>
        <v>0</v>
      </c>
      <c r="AC293" s="3">
        <f t="shared" si="85"/>
        <v>0</v>
      </c>
      <c r="AD293" s="3">
        <f>IF(AND($M293=1,LEFT(对接源_01水果!$D293,4)="成品出库"),1,0)</f>
        <v>0</v>
      </c>
      <c r="AE293" s="3">
        <f t="shared" si="86"/>
        <v>0</v>
      </c>
      <c r="AF293" s="3">
        <f>IF(AND($N293=1,AND(LEFT(对接源_01水果!$D293,4)="包装物料",N(对接源_01水果!$K293)&lt;&gt;0)),1,0)</f>
        <v>0</v>
      </c>
      <c r="AG293" s="3">
        <f t="shared" si="87"/>
        <v>0</v>
      </c>
      <c r="AH293" s="3">
        <f>IF(AND($N293=1,AND(对接源_01水果!$D293="周转筐－销售出库",N(对接源_01水果!$K293)&lt;&gt;0)),1,0)</f>
        <v>0</v>
      </c>
      <c r="AI293" s="3">
        <f t="shared" si="88"/>
        <v>0</v>
      </c>
      <c r="AJ293" s="7"/>
      <c r="AL293" s="3">
        <f>IF(OR($AL$1="",对接源_01水果!$Y293="",对接源_01水果!$Y293&lt;&gt;$AL$1,对接源_01水果!$B293="",N(对接源_01水果!$AJ293)&lt;=0),0,IF(OR(N(对接源_01水果!$B293)&lt;$AL$2,N(对接源_01水果!$B293)&gt;$AL$3),0,1))</f>
        <v>0</v>
      </c>
      <c r="AM293" s="3">
        <f t="shared" si="89"/>
        <v>0</v>
      </c>
      <c r="AN293" s="3" t="str">
        <f>IF(对接源_01水果!$AC293="","",对接源_01水果!$AC293)</f>
        <v/>
      </c>
      <c r="AO293" s="3">
        <f t="shared" si="90"/>
        <v>0</v>
      </c>
      <c r="AP293" s="3">
        <f t="shared" si="91"/>
        <v>0</v>
      </c>
      <c r="AR293">
        <f t="shared" si="92"/>
        <v>0</v>
      </c>
      <c r="AS293">
        <f t="shared" si="93"/>
        <v>0</v>
      </c>
    </row>
    <row r="294" ht="14.25" customHeight="1" spans="1:45">
      <c r="A294" s="3" t="str">
        <f>IF(对接源_01水果!$C294="","",对接源_01水果!$C294)</f>
        <v>艾则孜</v>
      </c>
      <c r="B294" s="3">
        <f t="shared" si="76"/>
        <v>1</v>
      </c>
      <c r="C294" s="3">
        <f t="shared" si="77"/>
        <v>18</v>
      </c>
      <c r="E294" s="3" t="str">
        <f t="shared" si="78"/>
        <v/>
      </c>
      <c r="K294" s="3">
        <f>IF(OR($K$1="",对接源_01水果!$C294="",对接源_01水果!$C294&lt;&gt;$K$1,对接源_01水果!$B294=""),0,IF(OR(N(对接源_01水果!$B294)&lt;$K$2,N(对接源_01水果!$B294)&gt;$K$3),0,1))</f>
        <v>0</v>
      </c>
      <c r="L294" s="3">
        <f>IF(OR($L$1="",对接源_01水果!$C294="",对接源_01水果!$C294&lt;&gt;$L$1,对接源_01水果!$B294=""),0,IF(OR(N(对接源_01水果!$B294)&lt;$L$2,N(对接源_01水果!$B294)&gt;$L$3),0,1))</f>
        <v>0</v>
      </c>
      <c r="M294" s="3">
        <f>IF(OR($M$1="",对接源_01水果!$C294="",对接源_01水果!$C294&lt;&gt;$M$1,对接源_01水果!$B294=""),0,IF(OR(N(对接源_01水果!$B294)&lt;$M$2,N(对接源_01水果!$B294)&gt;$M$3),0,1))</f>
        <v>0</v>
      </c>
      <c r="N294" s="3">
        <f>IF(OR($N$1="",对接源_01水果!$C294="",对接源_01水果!$C294&lt;&gt;$N$1,对接源_01水果!$B294=""),0,IF(OR(N(对接源_01水果!$B294)&lt;$N$2,N(对接源_01水果!$B294)&gt;$N$3),0,1))</f>
        <v>0</v>
      </c>
      <c r="P294" s="3">
        <f>IF(AND($K294=1,AND(对接源_01水果!$X294="公司筐",N(对接源_01水果!$T294)&lt;&gt;0)),1,0)</f>
        <v>0</v>
      </c>
      <c r="Q294" s="3">
        <f t="shared" si="79"/>
        <v>0</v>
      </c>
      <c r="R294" s="3">
        <f>IF(AND($K294=1,AND(对接源_01水果!$X294="公司筐",N(对接源_01水果!$U294)&lt;&gt;0)),1,0)</f>
        <v>0</v>
      </c>
      <c r="S294" s="3">
        <f t="shared" si="80"/>
        <v>0</v>
      </c>
      <c r="T294" s="3">
        <f>IF(AND($K294=1,AND(对接源_01水果!$X294="公司筐",N(对接源_01水果!$V294)&lt;&gt;0)),1,0)</f>
        <v>0</v>
      </c>
      <c r="U294" s="3">
        <f t="shared" si="81"/>
        <v>16</v>
      </c>
      <c r="V294" s="3">
        <f>IF(AND($L294=1,AND(对接源_01水果!$X294="自备筐",N(对接源_01水果!$V294)&lt;&gt;0)),1,0)</f>
        <v>0</v>
      </c>
      <c r="W294" s="3">
        <f t="shared" si="82"/>
        <v>8</v>
      </c>
      <c r="X294" s="3">
        <f>IF(AND($L294=1,AND(对接源_01水果!$X294="自备筐",N(对接源_01水果!$T294)&lt;&gt;0)),1,0)</f>
        <v>0</v>
      </c>
      <c r="Y294" s="3">
        <f t="shared" si="83"/>
        <v>0</v>
      </c>
      <c r="Z294" s="3">
        <f>IF(AND($M294=1,对接源_01水果!$D294="原料入库"),1,0)</f>
        <v>0</v>
      </c>
      <c r="AA294" s="3">
        <f t="shared" si="84"/>
        <v>24</v>
      </c>
      <c r="AB294" s="3">
        <f>IF(AND($M294=1,LEFT(对接源_01水果!$D294,4)="原料出库"),1,0)</f>
        <v>0</v>
      </c>
      <c r="AC294" s="3">
        <f t="shared" si="85"/>
        <v>0</v>
      </c>
      <c r="AD294" s="3">
        <f>IF(AND($M294=1,LEFT(对接源_01水果!$D294,4)="成品出库"),1,0)</f>
        <v>0</v>
      </c>
      <c r="AE294" s="3">
        <f t="shared" si="86"/>
        <v>0</v>
      </c>
      <c r="AF294" s="3">
        <f>IF(AND($N294=1,AND(LEFT(对接源_01水果!$D294,4)="包装物料",N(对接源_01水果!$K294)&lt;&gt;0)),1,0)</f>
        <v>0</v>
      </c>
      <c r="AG294" s="3">
        <f t="shared" si="87"/>
        <v>0</v>
      </c>
      <c r="AH294" s="3">
        <f>IF(AND($N294=1,AND(对接源_01水果!$D294="周转筐－销售出库",N(对接源_01水果!$K294)&lt;&gt;0)),1,0)</f>
        <v>0</v>
      </c>
      <c r="AI294" s="3">
        <f t="shared" si="88"/>
        <v>0</v>
      </c>
      <c r="AJ294" s="7"/>
      <c r="AL294" s="3">
        <f>IF(OR($AL$1="",对接源_01水果!$Y294="",对接源_01水果!$Y294&lt;&gt;$AL$1,对接源_01水果!$B294="",N(对接源_01水果!$AJ294)&lt;=0),0,IF(OR(N(对接源_01水果!$B294)&lt;$AL$2,N(对接源_01水果!$B294)&gt;$AL$3),0,1))</f>
        <v>0</v>
      </c>
      <c r="AM294" s="3">
        <f t="shared" si="89"/>
        <v>0</v>
      </c>
      <c r="AN294" s="3" t="str">
        <f>IF(对接源_01水果!$AC294="","",对接源_01水果!$AC294)</f>
        <v/>
      </c>
      <c r="AO294" s="3">
        <f t="shared" si="90"/>
        <v>0</v>
      </c>
      <c r="AP294" s="3">
        <f t="shared" si="91"/>
        <v>0</v>
      </c>
      <c r="AR294">
        <f t="shared" si="92"/>
        <v>0</v>
      </c>
      <c r="AS294">
        <f t="shared" si="93"/>
        <v>0</v>
      </c>
    </row>
    <row r="295" ht="14.25" customHeight="1" spans="1:45">
      <c r="A295" s="3" t="str">
        <f>IF(对接源_01水果!$C295="","",对接源_01水果!$C295)</f>
        <v>艾则孜</v>
      </c>
      <c r="B295" s="3">
        <f t="shared" si="76"/>
        <v>0</v>
      </c>
      <c r="C295" s="3">
        <f t="shared" si="77"/>
        <v>18</v>
      </c>
      <c r="E295" s="3" t="str">
        <f t="shared" si="78"/>
        <v/>
      </c>
      <c r="K295" s="3">
        <f>IF(OR($K$1="",对接源_01水果!$C295="",对接源_01水果!$C295&lt;&gt;$K$1,对接源_01水果!$B295=""),0,IF(OR(N(对接源_01水果!$B295)&lt;$K$2,N(对接源_01水果!$B295)&gt;$K$3),0,1))</f>
        <v>0</v>
      </c>
      <c r="L295" s="3">
        <f>IF(OR($L$1="",对接源_01水果!$C295="",对接源_01水果!$C295&lt;&gt;$L$1,对接源_01水果!$B295=""),0,IF(OR(N(对接源_01水果!$B295)&lt;$L$2,N(对接源_01水果!$B295)&gt;$L$3),0,1))</f>
        <v>0</v>
      </c>
      <c r="M295" s="3">
        <f>IF(OR($M$1="",对接源_01水果!$C295="",对接源_01水果!$C295&lt;&gt;$M$1,对接源_01水果!$B295=""),0,IF(OR(N(对接源_01水果!$B295)&lt;$M$2,N(对接源_01水果!$B295)&gt;$M$3),0,1))</f>
        <v>0</v>
      </c>
      <c r="N295" s="3">
        <f>IF(OR($N$1="",对接源_01水果!$C295="",对接源_01水果!$C295&lt;&gt;$N$1,对接源_01水果!$B295=""),0,IF(OR(N(对接源_01水果!$B295)&lt;$N$2,N(对接源_01水果!$B295)&gt;$N$3),0,1))</f>
        <v>0</v>
      </c>
      <c r="P295" s="3">
        <f>IF(AND($K295=1,AND(对接源_01水果!$X295="公司筐",N(对接源_01水果!$T295)&lt;&gt;0)),1,0)</f>
        <v>0</v>
      </c>
      <c r="Q295" s="3">
        <f t="shared" si="79"/>
        <v>0</v>
      </c>
      <c r="R295" s="3">
        <f>IF(AND($K295=1,AND(对接源_01水果!$X295="公司筐",N(对接源_01水果!$U295)&lt;&gt;0)),1,0)</f>
        <v>0</v>
      </c>
      <c r="S295" s="3">
        <f t="shared" si="80"/>
        <v>0</v>
      </c>
      <c r="T295" s="3">
        <f>IF(AND($K295=1,AND(对接源_01水果!$X295="公司筐",N(对接源_01水果!$V295)&lt;&gt;0)),1,0)</f>
        <v>0</v>
      </c>
      <c r="U295" s="3">
        <f t="shared" si="81"/>
        <v>16</v>
      </c>
      <c r="V295" s="3">
        <f>IF(AND($L295=1,AND(对接源_01水果!$X295="自备筐",N(对接源_01水果!$V295)&lt;&gt;0)),1,0)</f>
        <v>0</v>
      </c>
      <c r="W295" s="3">
        <f t="shared" si="82"/>
        <v>8</v>
      </c>
      <c r="X295" s="3">
        <f>IF(AND($L295=1,AND(对接源_01水果!$X295="自备筐",N(对接源_01水果!$T295)&lt;&gt;0)),1,0)</f>
        <v>0</v>
      </c>
      <c r="Y295" s="3">
        <f t="shared" si="83"/>
        <v>0</v>
      </c>
      <c r="Z295" s="3">
        <f>IF(AND($M295=1,对接源_01水果!$D295="原料入库"),1,0)</f>
        <v>0</v>
      </c>
      <c r="AA295" s="3">
        <f t="shared" si="84"/>
        <v>24</v>
      </c>
      <c r="AB295" s="3">
        <f>IF(AND($M295=1,LEFT(对接源_01水果!$D295,4)="原料出库"),1,0)</f>
        <v>0</v>
      </c>
      <c r="AC295" s="3">
        <f t="shared" si="85"/>
        <v>0</v>
      </c>
      <c r="AD295" s="3">
        <f>IF(AND($M295=1,LEFT(对接源_01水果!$D295,4)="成品出库"),1,0)</f>
        <v>0</v>
      </c>
      <c r="AE295" s="3">
        <f t="shared" si="86"/>
        <v>0</v>
      </c>
      <c r="AF295" s="3">
        <f>IF(AND($N295=1,AND(LEFT(对接源_01水果!$D295,4)="包装物料",N(对接源_01水果!$K295)&lt;&gt;0)),1,0)</f>
        <v>0</v>
      </c>
      <c r="AG295" s="3">
        <f t="shared" si="87"/>
        <v>0</v>
      </c>
      <c r="AH295" s="3">
        <f>IF(AND($N295=1,AND(对接源_01水果!$D295="周转筐－销售出库",N(对接源_01水果!$K295)&lt;&gt;0)),1,0)</f>
        <v>0</v>
      </c>
      <c r="AI295" s="3">
        <f t="shared" si="88"/>
        <v>0</v>
      </c>
      <c r="AJ295" s="7"/>
      <c r="AL295" s="3">
        <f>IF(OR($AL$1="",对接源_01水果!$Y295="",对接源_01水果!$Y295&lt;&gt;$AL$1,对接源_01水果!$B295="",N(对接源_01水果!$AJ295)&lt;=0),0,IF(OR(N(对接源_01水果!$B295)&lt;$AL$2,N(对接源_01水果!$B295)&gt;$AL$3),0,1))</f>
        <v>0</v>
      </c>
      <c r="AM295" s="3">
        <f t="shared" si="89"/>
        <v>0</v>
      </c>
      <c r="AN295" s="3" t="str">
        <f>IF(对接源_01水果!$AC295="","",对接源_01水果!$AC295)</f>
        <v/>
      </c>
      <c r="AO295" s="3">
        <f t="shared" si="90"/>
        <v>0</v>
      </c>
      <c r="AP295" s="3">
        <f t="shared" si="91"/>
        <v>0</v>
      </c>
      <c r="AR295">
        <f t="shared" si="92"/>
        <v>0</v>
      </c>
      <c r="AS295">
        <f t="shared" si="93"/>
        <v>0</v>
      </c>
    </row>
    <row r="296" ht="14.25" customHeight="1" spans="1:45">
      <c r="A296" s="3" t="str">
        <f>IF(对接源_01水果!$C296="","",对接源_01水果!$C296)</f>
        <v>艾则孜</v>
      </c>
      <c r="B296" s="3">
        <f t="shared" si="76"/>
        <v>0</v>
      </c>
      <c r="C296" s="3">
        <f t="shared" si="77"/>
        <v>18</v>
      </c>
      <c r="E296" s="3" t="str">
        <f t="shared" si="78"/>
        <v/>
      </c>
      <c r="K296" s="3">
        <f>IF(OR($K$1="",对接源_01水果!$C296="",对接源_01水果!$C296&lt;&gt;$K$1,对接源_01水果!$B296=""),0,IF(OR(N(对接源_01水果!$B296)&lt;$K$2,N(对接源_01水果!$B296)&gt;$K$3),0,1))</f>
        <v>0</v>
      </c>
      <c r="L296" s="3">
        <f>IF(OR($L$1="",对接源_01水果!$C296="",对接源_01水果!$C296&lt;&gt;$L$1,对接源_01水果!$B296=""),0,IF(OR(N(对接源_01水果!$B296)&lt;$L$2,N(对接源_01水果!$B296)&gt;$L$3),0,1))</f>
        <v>0</v>
      </c>
      <c r="M296" s="3">
        <f>IF(OR($M$1="",对接源_01水果!$C296="",对接源_01水果!$C296&lt;&gt;$M$1,对接源_01水果!$B296=""),0,IF(OR(N(对接源_01水果!$B296)&lt;$M$2,N(对接源_01水果!$B296)&gt;$M$3),0,1))</f>
        <v>0</v>
      </c>
      <c r="N296" s="3">
        <f>IF(OR($N$1="",对接源_01水果!$C296="",对接源_01水果!$C296&lt;&gt;$N$1,对接源_01水果!$B296=""),0,IF(OR(N(对接源_01水果!$B296)&lt;$N$2,N(对接源_01水果!$B296)&gt;$N$3),0,1))</f>
        <v>0</v>
      </c>
      <c r="P296" s="3">
        <f>IF(AND($K296=1,AND(对接源_01水果!$X296="公司筐",N(对接源_01水果!$T296)&lt;&gt;0)),1,0)</f>
        <v>0</v>
      </c>
      <c r="Q296" s="3">
        <f t="shared" si="79"/>
        <v>0</v>
      </c>
      <c r="R296" s="3">
        <f>IF(AND($K296=1,AND(对接源_01水果!$X296="公司筐",N(对接源_01水果!$U296)&lt;&gt;0)),1,0)</f>
        <v>0</v>
      </c>
      <c r="S296" s="3">
        <f t="shared" si="80"/>
        <v>0</v>
      </c>
      <c r="T296" s="3">
        <f>IF(AND($K296=1,AND(对接源_01水果!$X296="公司筐",N(对接源_01水果!$V296)&lt;&gt;0)),1,0)</f>
        <v>0</v>
      </c>
      <c r="U296" s="3">
        <f t="shared" si="81"/>
        <v>16</v>
      </c>
      <c r="V296" s="3">
        <f>IF(AND($L296=1,AND(对接源_01水果!$X296="自备筐",N(对接源_01水果!$V296)&lt;&gt;0)),1,0)</f>
        <v>0</v>
      </c>
      <c r="W296" s="3">
        <f t="shared" si="82"/>
        <v>8</v>
      </c>
      <c r="X296" s="3">
        <f>IF(AND($L296=1,AND(对接源_01水果!$X296="自备筐",N(对接源_01水果!$T296)&lt;&gt;0)),1,0)</f>
        <v>0</v>
      </c>
      <c r="Y296" s="3">
        <f t="shared" si="83"/>
        <v>0</v>
      </c>
      <c r="Z296" s="3">
        <f>IF(AND($M296=1,对接源_01水果!$D296="原料入库"),1,0)</f>
        <v>0</v>
      </c>
      <c r="AA296" s="3">
        <f t="shared" si="84"/>
        <v>24</v>
      </c>
      <c r="AB296" s="3">
        <f>IF(AND($M296=1,LEFT(对接源_01水果!$D296,4)="原料出库"),1,0)</f>
        <v>0</v>
      </c>
      <c r="AC296" s="3">
        <f t="shared" si="85"/>
        <v>0</v>
      </c>
      <c r="AD296" s="3">
        <f>IF(AND($M296=1,LEFT(对接源_01水果!$D296,4)="成品出库"),1,0)</f>
        <v>0</v>
      </c>
      <c r="AE296" s="3">
        <f t="shared" si="86"/>
        <v>0</v>
      </c>
      <c r="AF296" s="3">
        <f>IF(AND($N296=1,AND(LEFT(对接源_01水果!$D296,4)="包装物料",N(对接源_01水果!$K296)&lt;&gt;0)),1,0)</f>
        <v>0</v>
      </c>
      <c r="AG296" s="3">
        <f t="shared" si="87"/>
        <v>0</v>
      </c>
      <c r="AH296" s="3">
        <f>IF(AND($N296=1,AND(对接源_01水果!$D296="周转筐－销售出库",N(对接源_01水果!$K296)&lt;&gt;0)),1,0)</f>
        <v>0</v>
      </c>
      <c r="AI296" s="3">
        <f t="shared" si="88"/>
        <v>0</v>
      </c>
      <c r="AJ296" s="7"/>
      <c r="AL296" s="3">
        <f>IF(OR($AL$1="",对接源_01水果!$Y296="",对接源_01水果!$Y296&lt;&gt;$AL$1,对接源_01水果!$B296="",N(对接源_01水果!$AJ296)&lt;=0),0,IF(OR(N(对接源_01水果!$B296)&lt;$AL$2,N(对接源_01水果!$B296)&gt;$AL$3),0,1))</f>
        <v>0</v>
      </c>
      <c r="AM296" s="3">
        <f t="shared" si="89"/>
        <v>0</v>
      </c>
      <c r="AN296" s="3" t="str">
        <f>IF(对接源_01水果!$AC296="","",对接源_01水果!$AC296)</f>
        <v/>
      </c>
      <c r="AO296" s="3">
        <f t="shared" si="90"/>
        <v>0</v>
      </c>
      <c r="AP296" s="3">
        <f t="shared" si="91"/>
        <v>0</v>
      </c>
      <c r="AR296">
        <f t="shared" si="92"/>
        <v>0</v>
      </c>
      <c r="AS296">
        <f t="shared" si="93"/>
        <v>0</v>
      </c>
    </row>
    <row r="297" ht="14.25" customHeight="1" spans="1:45">
      <c r="A297" s="3" t="str">
        <f>IF(对接源_01水果!$C297="","",对接源_01水果!$C297)</f>
        <v>王灵云</v>
      </c>
      <c r="B297" s="3">
        <f t="shared" si="76"/>
        <v>0</v>
      </c>
      <c r="C297" s="3">
        <f t="shared" si="77"/>
        <v>18</v>
      </c>
      <c r="E297" s="3" t="str">
        <f t="shared" si="78"/>
        <v/>
      </c>
      <c r="K297" s="3">
        <f>IF(OR($K$1="",对接源_01水果!$C297="",对接源_01水果!$C297&lt;&gt;$K$1,对接源_01水果!$B297=""),0,IF(OR(N(对接源_01水果!$B297)&lt;$K$2,N(对接源_01水果!$B297)&gt;$K$3),0,1))</f>
        <v>1</v>
      </c>
      <c r="L297" s="3">
        <f>IF(OR($L$1="",对接源_01水果!$C297="",对接源_01水果!$C297&lt;&gt;$L$1,对接源_01水果!$B297=""),0,IF(OR(N(对接源_01水果!$B297)&lt;$L$2,N(对接源_01水果!$B297)&gt;$L$3),0,1))</f>
        <v>0</v>
      </c>
      <c r="M297" s="3">
        <f>IF(OR($M$1="",对接源_01水果!$C297="",对接源_01水果!$C297&lt;&gt;$M$1,对接源_01水果!$B297=""),0,IF(OR(N(对接源_01水果!$B297)&lt;$M$2,N(对接源_01水果!$B297)&gt;$M$3),0,1))</f>
        <v>0</v>
      </c>
      <c r="N297" s="3">
        <f>IF(OR($N$1="",对接源_01水果!$C297="",对接源_01水果!$C297&lt;&gt;$N$1,对接源_01水果!$B297=""),0,IF(OR(N(对接源_01水果!$B297)&lt;$N$2,N(对接源_01水果!$B297)&gt;$N$3),0,1))</f>
        <v>0</v>
      </c>
      <c r="P297" s="3">
        <f>IF(AND($K297=1,AND(对接源_01水果!$X297="公司筐",N(对接源_01水果!$T297)&lt;&gt;0)),1,0)</f>
        <v>0</v>
      </c>
      <c r="Q297" s="3">
        <f t="shared" si="79"/>
        <v>0</v>
      </c>
      <c r="R297" s="3">
        <f>IF(AND($K297=1,AND(对接源_01水果!$X297="公司筐",N(对接源_01水果!$U297)&lt;&gt;0)),1,0)</f>
        <v>0</v>
      </c>
      <c r="S297" s="3">
        <f t="shared" si="80"/>
        <v>0</v>
      </c>
      <c r="T297" s="3">
        <f>IF(AND($K297=1,AND(对接源_01水果!$X297="公司筐",N(对接源_01水果!$V297)&lt;&gt;0)),1,0)</f>
        <v>1</v>
      </c>
      <c r="U297" s="3">
        <f t="shared" si="81"/>
        <v>17</v>
      </c>
      <c r="V297" s="3">
        <f>IF(AND($L297=1,AND(对接源_01水果!$X297="自备筐",N(对接源_01水果!$V297)&lt;&gt;0)),1,0)</f>
        <v>0</v>
      </c>
      <c r="W297" s="3">
        <f t="shared" si="82"/>
        <v>8</v>
      </c>
      <c r="X297" s="3">
        <f>IF(AND($L297=1,AND(对接源_01水果!$X297="自备筐",N(对接源_01水果!$T297)&lt;&gt;0)),1,0)</f>
        <v>0</v>
      </c>
      <c r="Y297" s="3">
        <f t="shared" si="83"/>
        <v>0</v>
      </c>
      <c r="Z297" s="3">
        <f>IF(AND($M297=1,对接源_01水果!$D297="原料入库"),1,0)</f>
        <v>0</v>
      </c>
      <c r="AA297" s="3">
        <f t="shared" si="84"/>
        <v>24</v>
      </c>
      <c r="AB297" s="3">
        <f>IF(AND($M297=1,LEFT(对接源_01水果!$D297,4)="原料出库"),1,0)</f>
        <v>0</v>
      </c>
      <c r="AC297" s="3">
        <f t="shared" si="85"/>
        <v>0</v>
      </c>
      <c r="AD297" s="3">
        <f>IF(AND($M297=1,LEFT(对接源_01水果!$D297,4)="成品出库"),1,0)</f>
        <v>0</v>
      </c>
      <c r="AE297" s="3">
        <f t="shared" si="86"/>
        <v>0</v>
      </c>
      <c r="AF297" s="3">
        <f>IF(AND($N297=1,AND(LEFT(对接源_01水果!$D297,4)="包装物料",N(对接源_01水果!$K297)&lt;&gt;0)),1,0)</f>
        <v>0</v>
      </c>
      <c r="AG297" s="3">
        <f t="shared" si="87"/>
        <v>0</v>
      </c>
      <c r="AH297" s="3">
        <f>IF(AND($N297=1,AND(对接源_01水果!$D297="周转筐－销售出库",N(对接源_01水果!$K297)&lt;&gt;0)),1,0)</f>
        <v>0</v>
      </c>
      <c r="AI297" s="3">
        <f t="shared" si="88"/>
        <v>0</v>
      </c>
      <c r="AJ297" s="7"/>
      <c r="AL297" s="3">
        <f>IF(OR($AL$1="",对接源_01水果!$Y297="",对接源_01水果!$Y297&lt;&gt;$AL$1,对接源_01水果!$B297="",N(对接源_01水果!$AJ297)&lt;=0),0,IF(OR(N(对接源_01水果!$B297)&lt;$AL$2,N(对接源_01水果!$B297)&gt;$AL$3),0,1))</f>
        <v>0</v>
      </c>
      <c r="AM297" s="3">
        <f t="shared" si="89"/>
        <v>0</v>
      </c>
      <c r="AN297" s="3" t="str">
        <f>IF(对接源_01水果!$AC297="","",对接源_01水果!$AC297)</f>
        <v/>
      </c>
      <c r="AO297" s="3">
        <f t="shared" si="90"/>
        <v>0</v>
      </c>
      <c r="AP297" s="3">
        <f t="shared" si="91"/>
        <v>0</v>
      </c>
      <c r="AR297">
        <f t="shared" si="92"/>
        <v>0</v>
      </c>
      <c r="AS297">
        <f t="shared" si="93"/>
        <v>0</v>
      </c>
    </row>
    <row r="298" ht="14.25" customHeight="1" spans="1:45">
      <c r="A298" s="3" t="str">
        <f>IF(对接源_01水果!$C298="","",对接源_01水果!$C298)</f>
        <v>王灵云</v>
      </c>
      <c r="B298" s="3">
        <f t="shared" si="76"/>
        <v>0</v>
      </c>
      <c r="C298" s="3">
        <f t="shared" si="77"/>
        <v>18</v>
      </c>
      <c r="E298" s="3" t="str">
        <f t="shared" si="78"/>
        <v/>
      </c>
      <c r="K298" s="3">
        <f>IF(OR($K$1="",对接源_01水果!$C298="",对接源_01水果!$C298&lt;&gt;$K$1,对接源_01水果!$B298=""),0,IF(OR(N(对接源_01水果!$B298)&lt;$K$2,N(对接源_01水果!$B298)&gt;$K$3),0,1))</f>
        <v>1</v>
      </c>
      <c r="L298" s="3">
        <f>IF(OR($L$1="",对接源_01水果!$C298="",对接源_01水果!$C298&lt;&gt;$L$1,对接源_01水果!$B298=""),0,IF(OR(N(对接源_01水果!$B298)&lt;$L$2,N(对接源_01水果!$B298)&gt;$L$3),0,1))</f>
        <v>0</v>
      </c>
      <c r="M298" s="3">
        <f>IF(OR($M$1="",对接源_01水果!$C298="",对接源_01水果!$C298&lt;&gt;$M$1,对接源_01水果!$B298=""),0,IF(OR(N(对接源_01水果!$B298)&lt;$M$2,N(对接源_01水果!$B298)&gt;$M$3),0,1))</f>
        <v>0</v>
      </c>
      <c r="N298" s="3">
        <f>IF(OR($N$1="",对接源_01水果!$C298="",对接源_01水果!$C298&lt;&gt;$N$1,对接源_01水果!$B298=""),0,IF(OR(N(对接源_01水果!$B298)&lt;$N$2,N(对接源_01水果!$B298)&gt;$N$3),0,1))</f>
        <v>0</v>
      </c>
      <c r="P298" s="3">
        <f>IF(AND($K298=1,AND(对接源_01水果!$X298="公司筐",N(对接源_01水果!$T298)&lt;&gt;0)),1,0)</f>
        <v>0</v>
      </c>
      <c r="Q298" s="3">
        <f t="shared" si="79"/>
        <v>0</v>
      </c>
      <c r="R298" s="3">
        <f>IF(AND($K298=1,AND(对接源_01水果!$X298="公司筐",N(对接源_01水果!$U298)&lt;&gt;0)),1,0)</f>
        <v>0</v>
      </c>
      <c r="S298" s="3">
        <f t="shared" si="80"/>
        <v>0</v>
      </c>
      <c r="T298" s="3">
        <f>IF(AND($K298=1,AND(对接源_01水果!$X298="公司筐",N(对接源_01水果!$V298)&lt;&gt;0)),1,0)</f>
        <v>1</v>
      </c>
      <c r="U298" s="3">
        <f t="shared" si="81"/>
        <v>18</v>
      </c>
      <c r="V298" s="3">
        <f>IF(AND($L298=1,AND(对接源_01水果!$X298="自备筐",N(对接源_01水果!$V298)&lt;&gt;0)),1,0)</f>
        <v>0</v>
      </c>
      <c r="W298" s="3">
        <f t="shared" si="82"/>
        <v>8</v>
      </c>
      <c r="X298" s="3">
        <f>IF(AND($L298=1,AND(对接源_01水果!$X298="自备筐",N(对接源_01水果!$T298)&lt;&gt;0)),1,0)</f>
        <v>0</v>
      </c>
      <c r="Y298" s="3">
        <f t="shared" si="83"/>
        <v>0</v>
      </c>
      <c r="Z298" s="3">
        <f>IF(AND($M298=1,对接源_01水果!$D298="原料入库"),1,0)</f>
        <v>0</v>
      </c>
      <c r="AA298" s="3">
        <f t="shared" si="84"/>
        <v>24</v>
      </c>
      <c r="AB298" s="3">
        <f>IF(AND($M298=1,LEFT(对接源_01水果!$D298,4)="原料出库"),1,0)</f>
        <v>0</v>
      </c>
      <c r="AC298" s="3">
        <f t="shared" si="85"/>
        <v>0</v>
      </c>
      <c r="AD298" s="3">
        <f>IF(AND($M298=1,LEFT(对接源_01水果!$D298,4)="成品出库"),1,0)</f>
        <v>0</v>
      </c>
      <c r="AE298" s="3">
        <f t="shared" si="86"/>
        <v>0</v>
      </c>
      <c r="AF298" s="3">
        <f>IF(AND($N298=1,AND(LEFT(对接源_01水果!$D298,4)="包装物料",N(对接源_01水果!$K298)&lt;&gt;0)),1,0)</f>
        <v>0</v>
      </c>
      <c r="AG298" s="3">
        <f t="shared" si="87"/>
        <v>0</v>
      </c>
      <c r="AH298" s="3">
        <f>IF(AND($N298=1,AND(对接源_01水果!$D298="周转筐－销售出库",N(对接源_01水果!$K298)&lt;&gt;0)),1,0)</f>
        <v>0</v>
      </c>
      <c r="AI298" s="3">
        <f t="shared" si="88"/>
        <v>0</v>
      </c>
      <c r="AJ298" s="7"/>
      <c r="AL298" s="3">
        <f>IF(OR($AL$1="",对接源_01水果!$Y298="",对接源_01水果!$Y298&lt;&gt;$AL$1,对接源_01水果!$B298="",N(对接源_01水果!$AJ298)&lt;=0),0,IF(OR(N(对接源_01水果!$B298)&lt;$AL$2,N(对接源_01水果!$B298)&gt;$AL$3),0,1))</f>
        <v>0</v>
      </c>
      <c r="AM298" s="3">
        <f t="shared" si="89"/>
        <v>0</v>
      </c>
      <c r="AN298" s="3" t="str">
        <f>IF(对接源_01水果!$AC298="","",对接源_01水果!$AC298)</f>
        <v/>
      </c>
      <c r="AO298" s="3">
        <f t="shared" si="90"/>
        <v>0</v>
      </c>
      <c r="AP298" s="3">
        <f t="shared" si="91"/>
        <v>0</v>
      </c>
      <c r="AR298">
        <f t="shared" si="92"/>
        <v>0</v>
      </c>
      <c r="AS298">
        <f t="shared" si="93"/>
        <v>0</v>
      </c>
    </row>
    <row r="299" ht="14.25" customHeight="1" spans="1:45">
      <c r="A299" s="3" t="str">
        <f>IF(对接源_01水果!$C299="","",对接源_01水果!$C299)</f>
        <v>王灵云</v>
      </c>
      <c r="B299" s="3">
        <f t="shared" si="76"/>
        <v>0</v>
      </c>
      <c r="C299" s="3">
        <f t="shared" si="77"/>
        <v>18</v>
      </c>
      <c r="E299" s="3" t="str">
        <f t="shared" si="78"/>
        <v/>
      </c>
      <c r="K299" s="3">
        <f>IF(OR($K$1="",对接源_01水果!$C299="",对接源_01水果!$C299&lt;&gt;$K$1,对接源_01水果!$B299=""),0,IF(OR(N(对接源_01水果!$B299)&lt;$K$2,N(对接源_01水果!$B299)&gt;$K$3),0,1))</f>
        <v>1</v>
      </c>
      <c r="L299" s="3">
        <f>IF(OR($L$1="",对接源_01水果!$C299="",对接源_01水果!$C299&lt;&gt;$L$1,对接源_01水果!$B299=""),0,IF(OR(N(对接源_01水果!$B299)&lt;$L$2,N(对接源_01水果!$B299)&gt;$L$3),0,1))</f>
        <v>0</v>
      </c>
      <c r="M299" s="3">
        <f>IF(OR($M$1="",对接源_01水果!$C299="",对接源_01水果!$C299&lt;&gt;$M$1,对接源_01水果!$B299=""),0,IF(OR(N(对接源_01水果!$B299)&lt;$M$2,N(对接源_01水果!$B299)&gt;$M$3),0,1))</f>
        <v>0</v>
      </c>
      <c r="N299" s="3">
        <f>IF(OR($N$1="",对接源_01水果!$C299="",对接源_01水果!$C299&lt;&gt;$N$1,对接源_01水果!$B299=""),0,IF(OR(N(对接源_01水果!$B299)&lt;$N$2,N(对接源_01水果!$B299)&gt;$N$3),0,1))</f>
        <v>0</v>
      </c>
      <c r="P299" s="3">
        <f>IF(AND($K299=1,AND(对接源_01水果!$X299="公司筐",N(对接源_01水果!$T299)&lt;&gt;0)),1,0)</f>
        <v>0</v>
      </c>
      <c r="Q299" s="3">
        <f t="shared" si="79"/>
        <v>0</v>
      </c>
      <c r="R299" s="3">
        <f>IF(AND($K299=1,AND(对接源_01水果!$X299="公司筐",N(对接源_01水果!$U299)&lt;&gt;0)),1,0)</f>
        <v>0</v>
      </c>
      <c r="S299" s="3">
        <f t="shared" si="80"/>
        <v>0</v>
      </c>
      <c r="T299" s="3">
        <f>IF(AND($K299=1,AND(对接源_01水果!$X299="公司筐",N(对接源_01水果!$V299)&lt;&gt;0)),1,0)</f>
        <v>1</v>
      </c>
      <c r="U299" s="3">
        <f t="shared" si="81"/>
        <v>19</v>
      </c>
      <c r="V299" s="3">
        <f>IF(AND($L299=1,AND(对接源_01水果!$X299="自备筐",N(对接源_01水果!$V299)&lt;&gt;0)),1,0)</f>
        <v>0</v>
      </c>
      <c r="W299" s="3">
        <f t="shared" si="82"/>
        <v>8</v>
      </c>
      <c r="X299" s="3">
        <f>IF(AND($L299=1,AND(对接源_01水果!$X299="自备筐",N(对接源_01水果!$T299)&lt;&gt;0)),1,0)</f>
        <v>0</v>
      </c>
      <c r="Y299" s="3">
        <f t="shared" si="83"/>
        <v>0</v>
      </c>
      <c r="Z299" s="3">
        <f>IF(AND($M299=1,对接源_01水果!$D299="原料入库"),1,0)</f>
        <v>0</v>
      </c>
      <c r="AA299" s="3">
        <f t="shared" si="84"/>
        <v>24</v>
      </c>
      <c r="AB299" s="3">
        <f>IF(AND($M299=1,LEFT(对接源_01水果!$D299,4)="原料出库"),1,0)</f>
        <v>0</v>
      </c>
      <c r="AC299" s="3">
        <f t="shared" si="85"/>
        <v>0</v>
      </c>
      <c r="AD299" s="3">
        <f>IF(AND($M299=1,LEFT(对接源_01水果!$D299,4)="成品出库"),1,0)</f>
        <v>0</v>
      </c>
      <c r="AE299" s="3">
        <f t="shared" si="86"/>
        <v>0</v>
      </c>
      <c r="AF299" s="3">
        <f>IF(AND($N299=1,AND(LEFT(对接源_01水果!$D299,4)="包装物料",N(对接源_01水果!$K299)&lt;&gt;0)),1,0)</f>
        <v>0</v>
      </c>
      <c r="AG299" s="3">
        <f t="shared" si="87"/>
        <v>0</v>
      </c>
      <c r="AH299" s="3">
        <f>IF(AND($N299=1,AND(对接源_01水果!$D299="周转筐－销售出库",N(对接源_01水果!$K299)&lt;&gt;0)),1,0)</f>
        <v>0</v>
      </c>
      <c r="AI299" s="3">
        <f t="shared" si="88"/>
        <v>0</v>
      </c>
      <c r="AJ299" s="7"/>
      <c r="AL299" s="3">
        <f>IF(OR($AL$1="",对接源_01水果!$Y299="",对接源_01水果!$Y299&lt;&gt;$AL$1,对接源_01水果!$B299="",N(对接源_01水果!$AJ299)&lt;=0),0,IF(OR(N(对接源_01水果!$B299)&lt;$AL$2,N(对接源_01水果!$B299)&gt;$AL$3),0,1))</f>
        <v>0</v>
      </c>
      <c r="AM299" s="3">
        <f t="shared" si="89"/>
        <v>0</v>
      </c>
      <c r="AN299" s="3" t="str">
        <f>IF(对接源_01水果!$AC299="","",对接源_01水果!$AC299)</f>
        <v/>
      </c>
      <c r="AO299" s="3">
        <f t="shared" si="90"/>
        <v>0</v>
      </c>
      <c r="AP299" s="3">
        <f t="shared" si="91"/>
        <v>0</v>
      </c>
      <c r="AR299">
        <f t="shared" si="92"/>
        <v>0</v>
      </c>
      <c r="AS299">
        <f t="shared" si="93"/>
        <v>0</v>
      </c>
    </row>
    <row r="300" ht="14.25" customHeight="1" spans="1:45">
      <c r="A300" s="3" t="str">
        <f>IF(对接源_01水果!$C300="","",对接源_01水果!$C300)</f>
        <v>王照雪</v>
      </c>
      <c r="B300" s="3">
        <f t="shared" si="76"/>
        <v>0</v>
      </c>
      <c r="C300" s="3">
        <f t="shared" si="77"/>
        <v>18</v>
      </c>
      <c r="E300" s="3" t="str">
        <f t="shared" si="78"/>
        <v/>
      </c>
      <c r="K300" s="3">
        <f>IF(OR($K$1="",对接源_01水果!$C300="",对接源_01水果!$C300&lt;&gt;$K$1,对接源_01水果!$B300=""),0,IF(OR(N(对接源_01水果!$B300)&lt;$K$2,N(对接源_01水果!$B300)&gt;$K$3),0,1))</f>
        <v>0</v>
      </c>
      <c r="L300" s="3">
        <f>IF(OR($L$1="",对接源_01水果!$C300="",对接源_01水果!$C300&lt;&gt;$L$1,对接源_01水果!$B300=""),0,IF(OR(N(对接源_01水果!$B300)&lt;$L$2,N(对接源_01水果!$B300)&gt;$L$3),0,1))</f>
        <v>0</v>
      </c>
      <c r="M300" s="3">
        <f>IF(OR($M$1="",对接源_01水果!$C300="",对接源_01水果!$C300&lt;&gt;$M$1,对接源_01水果!$B300=""),0,IF(OR(N(对接源_01水果!$B300)&lt;$M$2,N(对接源_01水果!$B300)&gt;$M$3),0,1))</f>
        <v>0</v>
      </c>
      <c r="N300" s="3">
        <f>IF(OR($N$1="",对接源_01水果!$C300="",对接源_01水果!$C300&lt;&gt;$N$1,对接源_01水果!$B300=""),0,IF(OR(N(对接源_01水果!$B300)&lt;$N$2,N(对接源_01水果!$B300)&gt;$N$3),0,1))</f>
        <v>0</v>
      </c>
      <c r="P300" s="3">
        <f>IF(AND($K300=1,AND(对接源_01水果!$X300="公司筐",N(对接源_01水果!$T300)&lt;&gt;0)),1,0)</f>
        <v>0</v>
      </c>
      <c r="Q300" s="3">
        <f t="shared" si="79"/>
        <v>0</v>
      </c>
      <c r="R300" s="3">
        <f>IF(AND($K300=1,AND(对接源_01水果!$X300="公司筐",N(对接源_01水果!$U300)&lt;&gt;0)),1,0)</f>
        <v>0</v>
      </c>
      <c r="S300" s="3">
        <f t="shared" si="80"/>
        <v>0</v>
      </c>
      <c r="T300" s="3">
        <f>IF(AND($K300=1,AND(对接源_01水果!$X300="公司筐",N(对接源_01水果!$V300)&lt;&gt;0)),1,0)</f>
        <v>0</v>
      </c>
      <c r="U300" s="3">
        <f t="shared" si="81"/>
        <v>19</v>
      </c>
      <c r="V300" s="3">
        <f>IF(AND($L300=1,AND(对接源_01水果!$X300="自备筐",N(对接源_01水果!$V300)&lt;&gt;0)),1,0)</f>
        <v>0</v>
      </c>
      <c r="W300" s="3">
        <f t="shared" si="82"/>
        <v>8</v>
      </c>
      <c r="X300" s="3">
        <f>IF(AND($L300=1,AND(对接源_01水果!$X300="自备筐",N(对接源_01水果!$T300)&lt;&gt;0)),1,0)</f>
        <v>0</v>
      </c>
      <c r="Y300" s="3">
        <f t="shared" si="83"/>
        <v>0</v>
      </c>
      <c r="Z300" s="3">
        <f>IF(AND($M300=1,对接源_01水果!$D300="原料入库"),1,0)</f>
        <v>0</v>
      </c>
      <c r="AA300" s="3">
        <f t="shared" si="84"/>
        <v>24</v>
      </c>
      <c r="AB300" s="3">
        <f>IF(AND($M300=1,LEFT(对接源_01水果!$D300,4)="原料出库"),1,0)</f>
        <v>0</v>
      </c>
      <c r="AC300" s="3">
        <f t="shared" si="85"/>
        <v>0</v>
      </c>
      <c r="AD300" s="3">
        <f>IF(AND($M300=1,LEFT(对接源_01水果!$D300,4)="成品出库"),1,0)</f>
        <v>0</v>
      </c>
      <c r="AE300" s="3">
        <f t="shared" si="86"/>
        <v>0</v>
      </c>
      <c r="AF300" s="3">
        <f>IF(AND($N300=1,AND(LEFT(对接源_01水果!$D300,4)="包装物料",N(对接源_01水果!$K300)&lt;&gt;0)),1,0)</f>
        <v>0</v>
      </c>
      <c r="AG300" s="3">
        <f t="shared" si="87"/>
        <v>0</v>
      </c>
      <c r="AH300" s="3">
        <f>IF(AND($N300=1,AND(对接源_01水果!$D300="周转筐－销售出库",N(对接源_01水果!$K300)&lt;&gt;0)),1,0)</f>
        <v>0</v>
      </c>
      <c r="AI300" s="3">
        <f t="shared" si="88"/>
        <v>0</v>
      </c>
      <c r="AJ300" s="7"/>
      <c r="AL300" s="3">
        <f>IF(OR($AL$1="",对接源_01水果!$Y300="",对接源_01水果!$Y300&lt;&gt;$AL$1,对接源_01水果!$B300="",N(对接源_01水果!$AJ300)&lt;=0),0,IF(OR(N(对接源_01水果!$B300)&lt;$AL$2,N(对接源_01水果!$B300)&gt;$AL$3),0,1))</f>
        <v>0</v>
      </c>
      <c r="AM300" s="3">
        <f t="shared" si="89"/>
        <v>0</v>
      </c>
      <c r="AN300" s="3" t="str">
        <f>IF(对接源_01水果!$AC300="","",对接源_01水果!$AC300)</f>
        <v/>
      </c>
      <c r="AO300" s="3">
        <f t="shared" si="90"/>
        <v>0</v>
      </c>
      <c r="AP300" s="3">
        <f t="shared" si="91"/>
        <v>0</v>
      </c>
      <c r="AR300">
        <f t="shared" si="92"/>
        <v>0</v>
      </c>
      <c r="AS300">
        <f t="shared" si="93"/>
        <v>0</v>
      </c>
    </row>
    <row r="301" ht="14.25" customHeight="1" spans="1:45">
      <c r="A301" s="3" t="str">
        <f>IF(对接源_01水果!$C301="","",对接源_01水果!$C301)</f>
        <v>王照雪</v>
      </c>
      <c r="B301" s="3">
        <f t="shared" si="76"/>
        <v>0</v>
      </c>
      <c r="C301" s="3">
        <f t="shared" si="77"/>
        <v>18</v>
      </c>
      <c r="E301" s="3" t="str">
        <f t="shared" si="78"/>
        <v/>
      </c>
      <c r="K301" s="3">
        <f>IF(OR($K$1="",对接源_01水果!$C301="",对接源_01水果!$C301&lt;&gt;$K$1,对接源_01水果!$B301=""),0,IF(OR(N(对接源_01水果!$B301)&lt;$K$2,N(对接源_01水果!$B301)&gt;$K$3),0,1))</f>
        <v>0</v>
      </c>
      <c r="L301" s="3">
        <f>IF(OR($L$1="",对接源_01水果!$C301="",对接源_01水果!$C301&lt;&gt;$L$1,对接源_01水果!$B301=""),0,IF(OR(N(对接源_01水果!$B301)&lt;$L$2,N(对接源_01水果!$B301)&gt;$L$3),0,1))</f>
        <v>0</v>
      </c>
      <c r="M301" s="3">
        <f>IF(OR($M$1="",对接源_01水果!$C301="",对接源_01水果!$C301&lt;&gt;$M$1,对接源_01水果!$B301=""),0,IF(OR(N(对接源_01水果!$B301)&lt;$M$2,N(对接源_01水果!$B301)&gt;$M$3),0,1))</f>
        <v>0</v>
      </c>
      <c r="N301" s="3">
        <f>IF(OR($N$1="",对接源_01水果!$C301="",对接源_01水果!$C301&lt;&gt;$N$1,对接源_01水果!$B301=""),0,IF(OR(N(对接源_01水果!$B301)&lt;$N$2,N(对接源_01水果!$B301)&gt;$N$3),0,1))</f>
        <v>0</v>
      </c>
      <c r="P301" s="3">
        <f>IF(AND($K301=1,AND(对接源_01水果!$X301="公司筐",N(对接源_01水果!$T301)&lt;&gt;0)),1,0)</f>
        <v>0</v>
      </c>
      <c r="Q301" s="3">
        <f t="shared" si="79"/>
        <v>0</v>
      </c>
      <c r="R301" s="3">
        <f>IF(AND($K301=1,AND(对接源_01水果!$X301="公司筐",N(对接源_01水果!$U301)&lt;&gt;0)),1,0)</f>
        <v>0</v>
      </c>
      <c r="S301" s="3">
        <f t="shared" si="80"/>
        <v>0</v>
      </c>
      <c r="T301" s="3">
        <f>IF(AND($K301=1,AND(对接源_01水果!$X301="公司筐",N(对接源_01水果!$V301)&lt;&gt;0)),1,0)</f>
        <v>0</v>
      </c>
      <c r="U301" s="3">
        <f t="shared" si="81"/>
        <v>19</v>
      </c>
      <c r="V301" s="3">
        <f>IF(AND($L301=1,AND(对接源_01水果!$X301="自备筐",N(对接源_01水果!$V301)&lt;&gt;0)),1,0)</f>
        <v>0</v>
      </c>
      <c r="W301" s="3">
        <f t="shared" si="82"/>
        <v>8</v>
      </c>
      <c r="X301" s="3">
        <f>IF(AND($L301=1,AND(对接源_01水果!$X301="自备筐",N(对接源_01水果!$T301)&lt;&gt;0)),1,0)</f>
        <v>0</v>
      </c>
      <c r="Y301" s="3">
        <f t="shared" si="83"/>
        <v>0</v>
      </c>
      <c r="Z301" s="3">
        <f>IF(AND($M301=1,对接源_01水果!$D301="原料入库"),1,0)</f>
        <v>0</v>
      </c>
      <c r="AA301" s="3">
        <f t="shared" si="84"/>
        <v>24</v>
      </c>
      <c r="AB301" s="3">
        <f>IF(AND($M301=1,LEFT(对接源_01水果!$D301,4)="原料出库"),1,0)</f>
        <v>0</v>
      </c>
      <c r="AC301" s="3">
        <f t="shared" si="85"/>
        <v>0</v>
      </c>
      <c r="AD301" s="3">
        <f>IF(AND($M301=1,LEFT(对接源_01水果!$D301,4)="成品出库"),1,0)</f>
        <v>0</v>
      </c>
      <c r="AE301" s="3">
        <f t="shared" si="86"/>
        <v>0</v>
      </c>
      <c r="AF301" s="3">
        <f>IF(AND($N301=1,AND(LEFT(对接源_01水果!$D301,4)="包装物料",N(对接源_01水果!$K301)&lt;&gt;0)),1,0)</f>
        <v>0</v>
      </c>
      <c r="AG301" s="3">
        <f t="shared" si="87"/>
        <v>0</v>
      </c>
      <c r="AH301" s="3">
        <f>IF(AND($N301=1,AND(对接源_01水果!$D301="周转筐－销售出库",N(对接源_01水果!$K301)&lt;&gt;0)),1,0)</f>
        <v>0</v>
      </c>
      <c r="AI301" s="3">
        <f t="shared" si="88"/>
        <v>0</v>
      </c>
      <c r="AJ301" s="7"/>
      <c r="AL301" s="3">
        <f>IF(OR($AL$1="",对接源_01水果!$Y301="",对接源_01水果!$Y301&lt;&gt;$AL$1,对接源_01水果!$B301="",N(对接源_01水果!$AJ301)&lt;=0),0,IF(OR(N(对接源_01水果!$B301)&lt;$AL$2,N(对接源_01水果!$B301)&gt;$AL$3),0,1))</f>
        <v>0</v>
      </c>
      <c r="AM301" s="3">
        <f t="shared" si="89"/>
        <v>0</v>
      </c>
      <c r="AN301" s="3" t="str">
        <f>IF(对接源_01水果!$AC301="","",对接源_01水果!$AC301)</f>
        <v/>
      </c>
      <c r="AO301" s="3">
        <f t="shared" si="90"/>
        <v>0</v>
      </c>
      <c r="AP301" s="3">
        <f t="shared" si="91"/>
        <v>0</v>
      </c>
      <c r="AR301">
        <f t="shared" si="92"/>
        <v>0</v>
      </c>
      <c r="AS301">
        <f t="shared" si="93"/>
        <v>0</v>
      </c>
    </row>
    <row r="302" ht="14.25" customHeight="1" spans="1:45">
      <c r="A302" s="3" t="str">
        <f>IF(对接源_01水果!$C302="","",对接源_01水果!$C302)</f>
        <v>王照雪</v>
      </c>
      <c r="B302" s="3">
        <f t="shared" si="76"/>
        <v>0</v>
      </c>
      <c r="C302" s="3">
        <f t="shared" si="77"/>
        <v>18</v>
      </c>
      <c r="E302" s="3" t="str">
        <f t="shared" si="78"/>
        <v/>
      </c>
      <c r="K302" s="3">
        <f>IF(OR($K$1="",对接源_01水果!$C302="",对接源_01水果!$C302&lt;&gt;$K$1,对接源_01水果!$B302=""),0,IF(OR(N(对接源_01水果!$B302)&lt;$K$2,N(对接源_01水果!$B302)&gt;$K$3),0,1))</f>
        <v>0</v>
      </c>
      <c r="L302" s="3">
        <f>IF(OR($L$1="",对接源_01水果!$C302="",对接源_01水果!$C302&lt;&gt;$L$1,对接源_01水果!$B302=""),0,IF(OR(N(对接源_01水果!$B302)&lt;$L$2,N(对接源_01水果!$B302)&gt;$L$3),0,1))</f>
        <v>0</v>
      </c>
      <c r="M302" s="3">
        <f>IF(OR($M$1="",对接源_01水果!$C302="",对接源_01水果!$C302&lt;&gt;$M$1,对接源_01水果!$B302=""),0,IF(OR(N(对接源_01水果!$B302)&lt;$M$2,N(对接源_01水果!$B302)&gt;$M$3),0,1))</f>
        <v>0</v>
      </c>
      <c r="N302" s="3">
        <f>IF(OR($N$1="",对接源_01水果!$C302="",对接源_01水果!$C302&lt;&gt;$N$1,对接源_01水果!$B302=""),0,IF(OR(N(对接源_01水果!$B302)&lt;$N$2,N(对接源_01水果!$B302)&gt;$N$3),0,1))</f>
        <v>0</v>
      </c>
      <c r="P302" s="3">
        <f>IF(AND($K302=1,AND(对接源_01水果!$X302="公司筐",N(对接源_01水果!$T302)&lt;&gt;0)),1,0)</f>
        <v>0</v>
      </c>
      <c r="Q302" s="3">
        <f t="shared" si="79"/>
        <v>0</v>
      </c>
      <c r="R302" s="3">
        <f>IF(AND($K302=1,AND(对接源_01水果!$X302="公司筐",N(对接源_01水果!$U302)&lt;&gt;0)),1,0)</f>
        <v>0</v>
      </c>
      <c r="S302" s="3">
        <f t="shared" si="80"/>
        <v>0</v>
      </c>
      <c r="T302" s="3">
        <f>IF(AND($K302=1,AND(对接源_01水果!$X302="公司筐",N(对接源_01水果!$V302)&lt;&gt;0)),1,0)</f>
        <v>0</v>
      </c>
      <c r="U302" s="3">
        <f t="shared" si="81"/>
        <v>19</v>
      </c>
      <c r="V302" s="3">
        <f>IF(AND($L302=1,AND(对接源_01水果!$X302="自备筐",N(对接源_01水果!$V302)&lt;&gt;0)),1,0)</f>
        <v>0</v>
      </c>
      <c r="W302" s="3">
        <f t="shared" si="82"/>
        <v>8</v>
      </c>
      <c r="X302" s="3">
        <f>IF(AND($L302=1,AND(对接源_01水果!$X302="自备筐",N(对接源_01水果!$T302)&lt;&gt;0)),1,0)</f>
        <v>0</v>
      </c>
      <c r="Y302" s="3">
        <f t="shared" si="83"/>
        <v>0</v>
      </c>
      <c r="Z302" s="3">
        <f>IF(AND($M302=1,对接源_01水果!$D302="原料入库"),1,0)</f>
        <v>0</v>
      </c>
      <c r="AA302" s="3">
        <f t="shared" si="84"/>
        <v>24</v>
      </c>
      <c r="AB302" s="3">
        <f>IF(AND($M302=1,LEFT(对接源_01水果!$D302,4)="原料出库"),1,0)</f>
        <v>0</v>
      </c>
      <c r="AC302" s="3">
        <f t="shared" si="85"/>
        <v>0</v>
      </c>
      <c r="AD302" s="3">
        <f>IF(AND($M302=1,LEFT(对接源_01水果!$D302,4)="成品出库"),1,0)</f>
        <v>0</v>
      </c>
      <c r="AE302" s="3">
        <f t="shared" si="86"/>
        <v>0</v>
      </c>
      <c r="AF302" s="3">
        <f>IF(AND($N302=1,AND(LEFT(对接源_01水果!$D302,4)="包装物料",N(对接源_01水果!$K302)&lt;&gt;0)),1,0)</f>
        <v>0</v>
      </c>
      <c r="AG302" s="3">
        <f t="shared" si="87"/>
        <v>0</v>
      </c>
      <c r="AH302" s="3">
        <f>IF(AND($N302=1,AND(对接源_01水果!$D302="周转筐－销售出库",N(对接源_01水果!$K302)&lt;&gt;0)),1,0)</f>
        <v>0</v>
      </c>
      <c r="AI302" s="3">
        <f t="shared" si="88"/>
        <v>0</v>
      </c>
      <c r="AJ302" s="7"/>
      <c r="AL302" s="3">
        <f>IF(OR($AL$1="",对接源_01水果!$Y302="",对接源_01水果!$Y302&lt;&gt;$AL$1,对接源_01水果!$B302="",N(对接源_01水果!$AJ302)&lt;=0),0,IF(OR(N(对接源_01水果!$B302)&lt;$AL$2,N(对接源_01水果!$B302)&gt;$AL$3),0,1))</f>
        <v>0</v>
      </c>
      <c r="AM302" s="3">
        <f t="shared" si="89"/>
        <v>0</v>
      </c>
      <c r="AN302" s="3" t="str">
        <f>IF(对接源_01水果!$AC302="","",对接源_01水果!$AC302)</f>
        <v/>
      </c>
      <c r="AO302" s="3">
        <f t="shared" si="90"/>
        <v>0</v>
      </c>
      <c r="AP302" s="3">
        <f t="shared" si="91"/>
        <v>0</v>
      </c>
      <c r="AR302">
        <f t="shared" si="92"/>
        <v>0</v>
      </c>
      <c r="AS302">
        <f t="shared" si="93"/>
        <v>0</v>
      </c>
    </row>
    <row r="303" ht="14.25" customHeight="1" spans="1:45">
      <c r="A303" s="3" t="str">
        <f>IF(对接源_01水果!$C303="","",对接源_01水果!$C303)</f>
        <v>王照雪</v>
      </c>
      <c r="B303" s="3">
        <f t="shared" si="76"/>
        <v>0</v>
      </c>
      <c r="C303" s="3">
        <f t="shared" si="77"/>
        <v>18</v>
      </c>
      <c r="E303" s="3" t="str">
        <f t="shared" si="78"/>
        <v/>
      </c>
      <c r="K303" s="3">
        <f>IF(OR($K$1="",对接源_01水果!$C303="",对接源_01水果!$C303&lt;&gt;$K$1,对接源_01水果!$B303=""),0,IF(OR(N(对接源_01水果!$B303)&lt;$K$2,N(对接源_01水果!$B303)&gt;$K$3),0,1))</f>
        <v>0</v>
      </c>
      <c r="L303" s="3">
        <f>IF(OR($L$1="",对接源_01水果!$C303="",对接源_01水果!$C303&lt;&gt;$L$1,对接源_01水果!$B303=""),0,IF(OR(N(对接源_01水果!$B303)&lt;$L$2,N(对接源_01水果!$B303)&gt;$L$3),0,1))</f>
        <v>0</v>
      </c>
      <c r="M303" s="3">
        <f>IF(OR($M$1="",对接源_01水果!$C303="",对接源_01水果!$C303&lt;&gt;$M$1,对接源_01水果!$B303=""),0,IF(OR(N(对接源_01水果!$B303)&lt;$M$2,N(对接源_01水果!$B303)&gt;$M$3),0,1))</f>
        <v>0</v>
      </c>
      <c r="N303" s="3">
        <f>IF(OR($N$1="",对接源_01水果!$C303="",对接源_01水果!$C303&lt;&gt;$N$1,对接源_01水果!$B303=""),0,IF(OR(N(对接源_01水果!$B303)&lt;$N$2,N(对接源_01水果!$B303)&gt;$N$3),0,1))</f>
        <v>0</v>
      </c>
      <c r="P303" s="3">
        <f>IF(AND($K303=1,AND(对接源_01水果!$X303="公司筐",N(对接源_01水果!$T303)&lt;&gt;0)),1,0)</f>
        <v>0</v>
      </c>
      <c r="Q303" s="3">
        <f t="shared" si="79"/>
        <v>0</v>
      </c>
      <c r="R303" s="3">
        <f>IF(AND($K303=1,AND(对接源_01水果!$X303="公司筐",N(对接源_01水果!$U303)&lt;&gt;0)),1,0)</f>
        <v>0</v>
      </c>
      <c r="S303" s="3">
        <f t="shared" si="80"/>
        <v>0</v>
      </c>
      <c r="T303" s="3">
        <f>IF(AND($K303=1,AND(对接源_01水果!$X303="公司筐",N(对接源_01水果!$V303)&lt;&gt;0)),1,0)</f>
        <v>0</v>
      </c>
      <c r="U303" s="3">
        <f t="shared" si="81"/>
        <v>19</v>
      </c>
      <c r="V303" s="3">
        <f>IF(AND($L303=1,AND(对接源_01水果!$X303="自备筐",N(对接源_01水果!$V303)&lt;&gt;0)),1,0)</f>
        <v>0</v>
      </c>
      <c r="W303" s="3">
        <f t="shared" si="82"/>
        <v>8</v>
      </c>
      <c r="X303" s="3">
        <f>IF(AND($L303=1,AND(对接源_01水果!$X303="自备筐",N(对接源_01水果!$T303)&lt;&gt;0)),1,0)</f>
        <v>0</v>
      </c>
      <c r="Y303" s="3">
        <f t="shared" si="83"/>
        <v>0</v>
      </c>
      <c r="Z303" s="3">
        <f>IF(AND($M303=1,对接源_01水果!$D303="原料入库"),1,0)</f>
        <v>0</v>
      </c>
      <c r="AA303" s="3">
        <f t="shared" si="84"/>
        <v>24</v>
      </c>
      <c r="AB303" s="3">
        <f>IF(AND($M303=1,LEFT(对接源_01水果!$D303,4)="原料出库"),1,0)</f>
        <v>0</v>
      </c>
      <c r="AC303" s="3">
        <f t="shared" si="85"/>
        <v>0</v>
      </c>
      <c r="AD303" s="3">
        <f>IF(AND($M303=1,LEFT(对接源_01水果!$D303,4)="成品出库"),1,0)</f>
        <v>0</v>
      </c>
      <c r="AE303" s="3">
        <f t="shared" si="86"/>
        <v>0</v>
      </c>
      <c r="AF303" s="3">
        <f>IF(AND($N303=1,AND(LEFT(对接源_01水果!$D303,4)="包装物料",N(对接源_01水果!$K303)&lt;&gt;0)),1,0)</f>
        <v>0</v>
      </c>
      <c r="AG303" s="3">
        <f t="shared" si="87"/>
        <v>0</v>
      </c>
      <c r="AH303" s="3">
        <f>IF(AND($N303=1,AND(对接源_01水果!$D303="周转筐－销售出库",N(对接源_01水果!$K303)&lt;&gt;0)),1,0)</f>
        <v>0</v>
      </c>
      <c r="AI303" s="3">
        <f t="shared" si="88"/>
        <v>0</v>
      </c>
      <c r="AJ303" s="7"/>
      <c r="AL303" s="3">
        <f>IF(OR($AL$1="",对接源_01水果!$Y303="",对接源_01水果!$Y303&lt;&gt;$AL$1,对接源_01水果!$B303="",N(对接源_01水果!$AJ303)&lt;=0),0,IF(OR(N(对接源_01水果!$B303)&lt;$AL$2,N(对接源_01水果!$B303)&gt;$AL$3),0,1))</f>
        <v>0</v>
      </c>
      <c r="AM303" s="3">
        <f t="shared" si="89"/>
        <v>0</v>
      </c>
      <c r="AN303" s="3" t="str">
        <f>IF(对接源_01水果!$AC303="","",对接源_01水果!$AC303)</f>
        <v/>
      </c>
      <c r="AO303" s="3">
        <f t="shared" si="90"/>
        <v>0</v>
      </c>
      <c r="AP303" s="3">
        <f t="shared" si="91"/>
        <v>0</v>
      </c>
      <c r="AR303">
        <f t="shared" si="92"/>
        <v>0</v>
      </c>
      <c r="AS303">
        <f t="shared" si="93"/>
        <v>0</v>
      </c>
    </row>
    <row r="304" ht="14.25" customHeight="1" spans="1:45">
      <c r="A304" s="3" t="str">
        <f>IF(对接源_01水果!$C304="","",对接源_01水果!$C304)</f>
        <v>伍元虎</v>
      </c>
      <c r="B304" s="3">
        <f t="shared" si="76"/>
        <v>0</v>
      </c>
      <c r="C304" s="3">
        <f t="shared" si="77"/>
        <v>18</v>
      </c>
      <c r="K304" s="3">
        <f>IF(OR($K$1="",对接源_01水果!$C304="",对接源_01水果!$C304&lt;&gt;$K$1,对接源_01水果!$B304=""),0,IF(OR(N(对接源_01水果!$B304)&lt;$K$2,N(对接源_01水果!$B304)&gt;$K$3),0,1))</f>
        <v>0</v>
      </c>
      <c r="L304" s="3">
        <f>IF(OR($L$1="",对接源_01水果!$C304="",对接源_01水果!$C304&lt;&gt;$L$1,对接源_01水果!$B304=""),0,IF(OR(N(对接源_01水果!$B304)&lt;$L$2,N(对接源_01水果!$B304)&gt;$L$3),0,1))</f>
        <v>0</v>
      </c>
      <c r="M304" s="3">
        <f>IF(OR($M$1="",对接源_01水果!$C304="",对接源_01水果!$C304&lt;&gt;$M$1,对接源_01水果!$B304=""),0,IF(OR(N(对接源_01水果!$B304)&lt;$M$2,N(对接源_01水果!$B304)&gt;$M$3),0,1))</f>
        <v>0</v>
      </c>
      <c r="N304" s="3">
        <f>IF(OR($N$1="",对接源_01水果!$C304="",对接源_01水果!$C304&lt;&gt;$N$1,对接源_01水果!$B304=""),0,IF(OR(N(对接源_01水果!$B304)&lt;$N$2,N(对接源_01水果!$B304)&gt;$N$3),0,1))</f>
        <v>0</v>
      </c>
      <c r="P304" s="3">
        <f>IF(AND($K304=1,AND(对接源_01水果!$X304="公司筐",N(对接源_01水果!$T304)&lt;&gt;0)),1,0)</f>
        <v>0</v>
      </c>
      <c r="Q304" s="3">
        <f t="shared" si="79"/>
        <v>0</v>
      </c>
      <c r="R304" s="3">
        <f>IF(AND($K304=1,AND(对接源_01水果!$X304="公司筐",N(对接源_01水果!$U304)&lt;&gt;0)),1,0)</f>
        <v>0</v>
      </c>
      <c r="S304" s="3">
        <f t="shared" si="80"/>
        <v>0</v>
      </c>
      <c r="T304" s="3">
        <f>IF(AND($K304=1,AND(对接源_01水果!$X304="公司筐",N(对接源_01水果!$V304)&lt;&gt;0)),1,0)</f>
        <v>0</v>
      </c>
      <c r="U304" s="3">
        <f t="shared" si="81"/>
        <v>19</v>
      </c>
      <c r="V304" s="3">
        <f>IF(AND($L304=1,AND(对接源_01水果!$X304="自备筐",N(对接源_01水果!$V304)&lt;&gt;0)),1,0)</f>
        <v>0</v>
      </c>
      <c r="W304" s="3">
        <f t="shared" si="82"/>
        <v>8</v>
      </c>
      <c r="X304" s="3">
        <f>IF(AND($L304=1,AND(对接源_01水果!$X304="自备筐",N(对接源_01水果!$T304)&lt;&gt;0)),1,0)</f>
        <v>0</v>
      </c>
      <c r="Y304" s="3">
        <f t="shared" si="83"/>
        <v>0</v>
      </c>
      <c r="Z304" s="3">
        <f>IF(AND($M304=1,对接源_01水果!$D304="原料入库"),1,0)</f>
        <v>0</v>
      </c>
      <c r="AA304" s="3">
        <f t="shared" si="84"/>
        <v>24</v>
      </c>
      <c r="AB304" s="3">
        <f>IF(AND($M304=1,LEFT(对接源_01水果!$D304,4)="原料出库"),1,0)</f>
        <v>0</v>
      </c>
      <c r="AC304" s="3">
        <f t="shared" si="85"/>
        <v>0</v>
      </c>
      <c r="AD304" s="3">
        <f>IF(AND($M304=1,LEFT(对接源_01水果!$D304,4)="成品出库"),1,0)</f>
        <v>0</v>
      </c>
      <c r="AE304" s="3">
        <f t="shared" si="86"/>
        <v>0</v>
      </c>
      <c r="AF304" s="3">
        <f>IF(AND($N304=1,AND(LEFT(对接源_01水果!$D304,4)="包装物料",N(对接源_01水果!$K304)&lt;&gt;0)),1,0)</f>
        <v>0</v>
      </c>
      <c r="AG304" s="3">
        <f t="shared" si="87"/>
        <v>0</v>
      </c>
      <c r="AH304" s="3">
        <f>IF(AND($N304=1,AND(对接源_01水果!$D304="周转筐－销售出库",N(对接源_01水果!$K304)&lt;&gt;0)),1,0)</f>
        <v>0</v>
      </c>
      <c r="AI304" s="3">
        <f t="shared" si="88"/>
        <v>0</v>
      </c>
      <c r="AJ304" s="7"/>
      <c r="AL304" s="3">
        <f>IF(OR($AL$1="",对接源_01水果!$Y304="",对接源_01水果!$Y304&lt;&gt;$AL$1,对接源_01水果!$B304="",N(对接源_01水果!$AJ304)&lt;=0),0,IF(OR(N(对接源_01水果!$B304)&lt;$AL$2,N(对接源_01水果!$B304)&gt;$AL$3),0,1))</f>
        <v>0</v>
      </c>
      <c r="AM304" s="3">
        <f t="shared" si="89"/>
        <v>0</v>
      </c>
      <c r="AN304" s="3" t="str">
        <f>IF(对接源_01水果!$AC304="","",对接源_01水果!$AC304)</f>
        <v/>
      </c>
      <c r="AO304" s="3">
        <f t="shared" si="90"/>
        <v>0</v>
      </c>
      <c r="AP304" s="3">
        <f t="shared" si="91"/>
        <v>0</v>
      </c>
      <c r="AR304">
        <f t="shared" si="92"/>
        <v>0</v>
      </c>
      <c r="AS304">
        <f t="shared" si="93"/>
        <v>0</v>
      </c>
    </row>
    <row r="305" ht="14.25" customHeight="1" spans="1:45">
      <c r="A305" s="3" t="str">
        <f>IF(对接源_01水果!$C305="","",对接源_01水果!$C305)</f>
        <v>聂新平</v>
      </c>
      <c r="B305" s="3">
        <f t="shared" si="76"/>
        <v>0</v>
      </c>
      <c r="C305" s="3">
        <f t="shared" si="77"/>
        <v>18</v>
      </c>
      <c r="K305" s="3">
        <f>IF(OR($K$1="",对接源_01水果!$C305="",对接源_01水果!$C305&lt;&gt;$K$1,对接源_01水果!$B305=""),0,IF(OR(N(对接源_01水果!$B305)&lt;$K$2,N(对接源_01水果!$B305)&gt;$K$3),0,1))</f>
        <v>0</v>
      </c>
      <c r="L305" s="3">
        <f>IF(OR($L$1="",对接源_01水果!$C305="",对接源_01水果!$C305&lt;&gt;$L$1,对接源_01水果!$B305=""),0,IF(OR(N(对接源_01水果!$B305)&lt;$L$2,N(对接源_01水果!$B305)&gt;$L$3),0,1))</f>
        <v>0</v>
      </c>
      <c r="M305" s="3">
        <f>IF(OR($M$1="",对接源_01水果!$C305="",对接源_01水果!$C305&lt;&gt;$M$1,对接源_01水果!$B305=""),0,IF(OR(N(对接源_01水果!$B305)&lt;$M$2,N(对接源_01水果!$B305)&gt;$M$3),0,1))</f>
        <v>0</v>
      </c>
      <c r="N305" s="3">
        <f>IF(OR($N$1="",对接源_01水果!$C305="",对接源_01水果!$C305&lt;&gt;$N$1,对接源_01水果!$B305=""),0,IF(OR(N(对接源_01水果!$B305)&lt;$N$2,N(对接源_01水果!$B305)&gt;$N$3),0,1))</f>
        <v>0</v>
      </c>
      <c r="P305" s="3">
        <f>IF(AND($K305=1,AND(对接源_01水果!$X305="公司筐",N(对接源_01水果!$T305)&lt;&gt;0)),1,0)</f>
        <v>0</v>
      </c>
      <c r="Q305" s="3">
        <f t="shared" si="79"/>
        <v>0</v>
      </c>
      <c r="R305" s="3">
        <f>IF(AND($K305=1,AND(对接源_01水果!$X305="公司筐",N(对接源_01水果!$U305)&lt;&gt;0)),1,0)</f>
        <v>0</v>
      </c>
      <c r="S305" s="3">
        <f t="shared" si="80"/>
        <v>0</v>
      </c>
      <c r="T305" s="3">
        <f>IF(AND($K305=1,AND(对接源_01水果!$X305="公司筐",N(对接源_01水果!$V305)&lt;&gt;0)),1,0)</f>
        <v>0</v>
      </c>
      <c r="U305" s="3">
        <f t="shared" si="81"/>
        <v>19</v>
      </c>
      <c r="V305" s="3">
        <f>IF(AND($L305=1,AND(对接源_01水果!$X305="自备筐",N(对接源_01水果!$V305)&lt;&gt;0)),1,0)</f>
        <v>0</v>
      </c>
      <c r="W305" s="3">
        <f t="shared" si="82"/>
        <v>8</v>
      </c>
      <c r="X305" s="3">
        <f>IF(AND($L305=1,AND(对接源_01水果!$X305="自备筐",N(对接源_01水果!$T305)&lt;&gt;0)),1,0)</f>
        <v>0</v>
      </c>
      <c r="Y305" s="3">
        <f t="shared" si="83"/>
        <v>0</v>
      </c>
      <c r="Z305" s="3">
        <f>IF(AND($M305=1,对接源_01水果!$D305="原料入库"),1,0)</f>
        <v>0</v>
      </c>
      <c r="AA305" s="3">
        <f t="shared" si="84"/>
        <v>24</v>
      </c>
      <c r="AB305" s="3">
        <f>IF(AND($M305=1,LEFT(对接源_01水果!$D305,4)="原料出库"),1,0)</f>
        <v>0</v>
      </c>
      <c r="AC305" s="3">
        <f t="shared" si="85"/>
        <v>0</v>
      </c>
      <c r="AD305" s="3">
        <f>IF(AND($M305=1,LEFT(对接源_01水果!$D305,4)="成品出库"),1,0)</f>
        <v>0</v>
      </c>
      <c r="AE305" s="3">
        <f t="shared" si="86"/>
        <v>0</v>
      </c>
      <c r="AF305" s="3">
        <f>IF(AND($N305=1,AND(LEFT(对接源_01水果!$D305,4)="包装物料",N(对接源_01水果!$K305)&lt;&gt;0)),1,0)</f>
        <v>0</v>
      </c>
      <c r="AG305" s="3">
        <f t="shared" si="87"/>
        <v>0</v>
      </c>
      <c r="AH305" s="3">
        <f>IF(AND($N305=1,AND(对接源_01水果!$D305="周转筐－销售出库",N(对接源_01水果!$K305)&lt;&gt;0)),1,0)</f>
        <v>0</v>
      </c>
      <c r="AI305" s="3">
        <f t="shared" si="88"/>
        <v>0</v>
      </c>
      <c r="AJ305" s="7"/>
      <c r="AL305" s="3">
        <f>IF(OR($AL$1="",对接源_01水果!$Y305="",对接源_01水果!$Y305&lt;&gt;$AL$1,对接源_01水果!$B305="",N(对接源_01水果!$AJ305)&lt;=0),0,IF(OR(N(对接源_01水果!$B305)&lt;$AL$2,N(对接源_01水果!$B305)&gt;$AL$3),0,1))</f>
        <v>0</v>
      </c>
      <c r="AM305" s="3">
        <f t="shared" si="89"/>
        <v>0</v>
      </c>
      <c r="AN305" s="3" t="str">
        <f>IF(对接源_01水果!$AC305="","",对接源_01水果!$AC305)</f>
        <v/>
      </c>
      <c r="AO305" s="3">
        <f t="shared" si="90"/>
        <v>0</v>
      </c>
      <c r="AP305" s="3">
        <f t="shared" si="91"/>
        <v>0</v>
      </c>
      <c r="AR305">
        <f t="shared" si="92"/>
        <v>0</v>
      </c>
      <c r="AS305">
        <f t="shared" si="93"/>
        <v>0</v>
      </c>
    </row>
    <row r="306" ht="14.25" customHeight="1" spans="1:45">
      <c r="A306" s="3" t="str">
        <f>IF(对接源_01水果!$C306="","",对接源_01水果!$C306)</f>
        <v>聂新平</v>
      </c>
      <c r="B306" s="3">
        <f t="shared" si="76"/>
        <v>0</v>
      </c>
      <c r="C306" s="3">
        <f t="shared" si="77"/>
        <v>18</v>
      </c>
      <c r="K306" s="3">
        <f>IF(OR($K$1="",对接源_01水果!$C306="",对接源_01水果!$C306&lt;&gt;$K$1,对接源_01水果!$B306=""),0,IF(OR(N(对接源_01水果!$B306)&lt;$K$2,N(对接源_01水果!$B306)&gt;$K$3),0,1))</f>
        <v>0</v>
      </c>
      <c r="L306" s="3">
        <f>IF(OR($L$1="",对接源_01水果!$C306="",对接源_01水果!$C306&lt;&gt;$L$1,对接源_01水果!$B306=""),0,IF(OR(N(对接源_01水果!$B306)&lt;$L$2,N(对接源_01水果!$B306)&gt;$L$3),0,1))</f>
        <v>0</v>
      </c>
      <c r="M306" s="3">
        <f>IF(OR($M$1="",对接源_01水果!$C306="",对接源_01水果!$C306&lt;&gt;$M$1,对接源_01水果!$B306=""),0,IF(OR(N(对接源_01水果!$B306)&lt;$M$2,N(对接源_01水果!$B306)&gt;$M$3),0,1))</f>
        <v>0</v>
      </c>
      <c r="N306" s="3">
        <f>IF(OR($N$1="",对接源_01水果!$C306="",对接源_01水果!$C306&lt;&gt;$N$1,对接源_01水果!$B306=""),0,IF(OR(N(对接源_01水果!$B306)&lt;$N$2,N(对接源_01水果!$B306)&gt;$N$3),0,1))</f>
        <v>0</v>
      </c>
      <c r="P306" s="3">
        <f>IF(AND($K306=1,AND(对接源_01水果!$X306="公司筐",N(对接源_01水果!$T306)&lt;&gt;0)),1,0)</f>
        <v>0</v>
      </c>
      <c r="Q306" s="3">
        <f t="shared" si="79"/>
        <v>0</v>
      </c>
      <c r="R306" s="3">
        <f>IF(AND($K306=1,AND(对接源_01水果!$X306="公司筐",N(对接源_01水果!$U306)&lt;&gt;0)),1,0)</f>
        <v>0</v>
      </c>
      <c r="S306" s="3">
        <f t="shared" si="80"/>
        <v>0</v>
      </c>
      <c r="T306" s="3">
        <f>IF(AND($K306=1,AND(对接源_01水果!$X306="公司筐",N(对接源_01水果!$V306)&lt;&gt;0)),1,0)</f>
        <v>0</v>
      </c>
      <c r="U306" s="3">
        <f t="shared" si="81"/>
        <v>19</v>
      </c>
      <c r="V306" s="3">
        <f>IF(AND($L306=1,AND(对接源_01水果!$X306="自备筐",N(对接源_01水果!$V306)&lt;&gt;0)),1,0)</f>
        <v>0</v>
      </c>
      <c r="W306" s="3">
        <f t="shared" si="82"/>
        <v>8</v>
      </c>
      <c r="X306" s="3">
        <f>IF(AND($L306=1,AND(对接源_01水果!$X306="自备筐",N(对接源_01水果!$T306)&lt;&gt;0)),1,0)</f>
        <v>0</v>
      </c>
      <c r="Y306" s="3">
        <f t="shared" si="83"/>
        <v>0</v>
      </c>
      <c r="Z306" s="3">
        <f>IF(AND($M306=1,对接源_01水果!$D306="原料入库"),1,0)</f>
        <v>0</v>
      </c>
      <c r="AA306" s="3">
        <f t="shared" si="84"/>
        <v>24</v>
      </c>
      <c r="AB306" s="3">
        <f>IF(AND($M306=1,LEFT(对接源_01水果!$D306,4)="原料出库"),1,0)</f>
        <v>0</v>
      </c>
      <c r="AC306" s="3">
        <f t="shared" si="85"/>
        <v>0</v>
      </c>
      <c r="AD306" s="3">
        <f>IF(AND($M306=1,LEFT(对接源_01水果!$D306,4)="成品出库"),1,0)</f>
        <v>0</v>
      </c>
      <c r="AE306" s="3">
        <f t="shared" si="86"/>
        <v>0</v>
      </c>
      <c r="AF306" s="3">
        <f>IF(AND($N306=1,AND(LEFT(对接源_01水果!$D306,4)="包装物料",N(对接源_01水果!$K306)&lt;&gt;0)),1,0)</f>
        <v>0</v>
      </c>
      <c r="AG306" s="3">
        <f t="shared" si="87"/>
        <v>0</v>
      </c>
      <c r="AH306" s="3">
        <f>IF(AND($N306=1,AND(对接源_01水果!$D306="周转筐－销售出库",N(对接源_01水果!$K306)&lt;&gt;0)),1,0)</f>
        <v>0</v>
      </c>
      <c r="AI306" s="3">
        <f t="shared" si="88"/>
        <v>0</v>
      </c>
      <c r="AJ306" s="7"/>
      <c r="AL306" s="3">
        <f>IF(OR($AL$1="",对接源_01水果!$Y306="",对接源_01水果!$Y306&lt;&gt;$AL$1,对接源_01水果!$B306="",N(对接源_01水果!$AJ306)&lt;=0),0,IF(OR(N(对接源_01水果!$B306)&lt;$AL$2,N(对接源_01水果!$B306)&gt;$AL$3),0,1))</f>
        <v>0</v>
      </c>
      <c r="AM306" s="3">
        <f t="shared" si="89"/>
        <v>0</v>
      </c>
      <c r="AN306" s="3" t="str">
        <f>IF(对接源_01水果!$AC306="","",对接源_01水果!$AC306)</f>
        <v/>
      </c>
      <c r="AO306" s="3">
        <f t="shared" si="90"/>
        <v>0</v>
      </c>
      <c r="AP306" s="3">
        <f t="shared" si="91"/>
        <v>0</v>
      </c>
      <c r="AR306">
        <f t="shared" si="92"/>
        <v>0</v>
      </c>
      <c r="AS306">
        <f t="shared" si="93"/>
        <v>0</v>
      </c>
    </row>
    <row r="307" ht="14.25" customHeight="1" spans="1:45">
      <c r="A307" s="3" t="str">
        <f>IF(对接源_01水果!$C307="","",对接源_01水果!$C307)</f>
        <v>王照雪</v>
      </c>
      <c r="B307" s="3">
        <f t="shared" si="76"/>
        <v>0</v>
      </c>
      <c r="C307" s="3">
        <f t="shared" si="77"/>
        <v>18</v>
      </c>
      <c r="K307" s="3">
        <f>IF(OR($K$1="",对接源_01水果!$C307="",对接源_01水果!$C307&lt;&gt;$K$1,对接源_01水果!$B307=""),0,IF(OR(N(对接源_01水果!$B307)&lt;$K$2,N(对接源_01水果!$B307)&gt;$K$3),0,1))</f>
        <v>0</v>
      </c>
      <c r="L307" s="3">
        <f>IF(OR($L$1="",对接源_01水果!$C307="",对接源_01水果!$C307&lt;&gt;$L$1,对接源_01水果!$B307=""),0,IF(OR(N(对接源_01水果!$B307)&lt;$L$2,N(对接源_01水果!$B307)&gt;$L$3),0,1))</f>
        <v>0</v>
      </c>
      <c r="M307" s="3">
        <f>IF(OR($M$1="",对接源_01水果!$C307="",对接源_01水果!$C307&lt;&gt;$M$1,对接源_01水果!$B307=""),0,IF(OR(N(对接源_01水果!$B307)&lt;$M$2,N(对接源_01水果!$B307)&gt;$M$3),0,1))</f>
        <v>0</v>
      </c>
      <c r="N307" s="3">
        <f>IF(OR($N$1="",对接源_01水果!$C307="",对接源_01水果!$C307&lt;&gt;$N$1,对接源_01水果!$B307=""),0,IF(OR(N(对接源_01水果!$B307)&lt;$N$2,N(对接源_01水果!$B307)&gt;$N$3),0,1))</f>
        <v>0</v>
      </c>
      <c r="P307" s="3">
        <f>IF(AND($K307=1,AND(对接源_01水果!$X307="公司筐",N(对接源_01水果!$T307)&lt;&gt;0)),1,0)</f>
        <v>0</v>
      </c>
      <c r="Q307" s="3">
        <f t="shared" si="79"/>
        <v>0</v>
      </c>
      <c r="R307" s="3">
        <f>IF(AND($K307=1,AND(对接源_01水果!$X307="公司筐",N(对接源_01水果!$U307)&lt;&gt;0)),1,0)</f>
        <v>0</v>
      </c>
      <c r="S307" s="3">
        <f t="shared" si="80"/>
        <v>0</v>
      </c>
      <c r="T307" s="3">
        <f>IF(AND($K307=1,AND(对接源_01水果!$X307="公司筐",N(对接源_01水果!$V307)&lt;&gt;0)),1,0)</f>
        <v>0</v>
      </c>
      <c r="U307" s="3">
        <f t="shared" si="81"/>
        <v>19</v>
      </c>
      <c r="V307" s="3">
        <f>IF(AND($L307=1,AND(对接源_01水果!$X307="自备筐",N(对接源_01水果!$V307)&lt;&gt;0)),1,0)</f>
        <v>0</v>
      </c>
      <c r="W307" s="3">
        <f t="shared" si="82"/>
        <v>8</v>
      </c>
      <c r="X307" s="3">
        <f>IF(AND($L307=1,AND(对接源_01水果!$X307="自备筐",N(对接源_01水果!$T307)&lt;&gt;0)),1,0)</f>
        <v>0</v>
      </c>
      <c r="Y307" s="3">
        <f t="shared" si="83"/>
        <v>0</v>
      </c>
      <c r="Z307" s="3">
        <f>IF(AND($M307=1,对接源_01水果!$D307="原料入库"),1,0)</f>
        <v>0</v>
      </c>
      <c r="AA307" s="3">
        <f t="shared" si="84"/>
        <v>24</v>
      </c>
      <c r="AB307" s="3">
        <f>IF(AND($M307=1,LEFT(对接源_01水果!$D307,4)="原料出库"),1,0)</f>
        <v>0</v>
      </c>
      <c r="AC307" s="3">
        <f t="shared" si="85"/>
        <v>0</v>
      </c>
      <c r="AD307" s="3">
        <f>IF(AND($M307=1,LEFT(对接源_01水果!$D307,4)="成品出库"),1,0)</f>
        <v>0</v>
      </c>
      <c r="AE307" s="3">
        <f t="shared" si="86"/>
        <v>0</v>
      </c>
      <c r="AF307" s="3">
        <f>IF(AND($N307=1,AND(LEFT(对接源_01水果!$D307,4)="包装物料",N(对接源_01水果!$K307)&lt;&gt;0)),1,0)</f>
        <v>0</v>
      </c>
      <c r="AG307" s="3">
        <f t="shared" si="87"/>
        <v>0</v>
      </c>
      <c r="AH307" s="3">
        <f>IF(AND($N307=1,AND(对接源_01水果!$D307="周转筐－销售出库",N(对接源_01水果!$K307)&lt;&gt;0)),1,0)</f>
        <v>0</v>
      </c>
      <c r="AI307" s="3">
        <f t="shared" si="88"/>
        <v>0</v>
      </c>
      <c r="AJ307" s="7"/>
      <c r="AL307" s="3">
        <f>IF(OR($AL$1="",对接源_01水果!$Y307="",对接源_01水果!$Y307&lt;&gt;$AL$1,对接源_01水果!$B307="",N(对接源_01水果!$AJ307)&lt;=0),0,IF(OR(N(对接源_01水果!$B307)&lt;$AL$2,N(对接源_01水果!$B307)&gt;$AL$3),0,1))</f>
        <v>0</v>
      </c>
      <c r="AM307" s="3">
        <f t="shared" si="89"/>
        <v>0</v>
      </c>
      <c r="AN307" s="3" t="str">
        <f>IF(对接源_01水果!$AC307="","",对接源_01水果!$AC307)</f>
        <v/>
      </c>
      <c r="AO307" s="3">
        <f t="shared" si="90"/>
        <v>0</v>
      </c>
      <c r="AP307" s="3">
        <f t="shared" si="91"/>
        <v>0</v>
      </c>
      <c r="AR307">
        <f t="shared" si="92"/>
        <v>0</v>
      </c>
      <c r="AS307">
        <f t="shared" si="93"/>
        <v>0</v>
      </c>
    </row>
    <row r="308" ht="14.25" customHeight="1" spans="1:45">
      <c r="A308" s="3" t="str">
        <f>IF(对接源_01水果!$C308="","",对接源_01水果!$C308)</f>
        <v>王照雪</v>
      </c>
      <c r="B308" s="3">
        <f t="shared" si="76"/>
        <v>0</v>
      </c>
      <c r="C308" s="3">
        <f t="shared" si="77"/>
        <v>18</v>
      </c>
      <c r="K308" s="3">
        <f>IF(OR($K$1="",对接源_01水果!$C308="",对接源_01水果!$C308&lt;&gt;$K$1,对接源_01水果!$B308=""),0,IF(OR(N(对接源_01水果!$B308)&lt;$K$2,N(对接源_01水果!$B308)&gt;$K$3),0,1))</f>
        <v>0</v>
      </c>
      <c r="L308" s="3">
        <f>IF(OR($L$1="",对接源_01水果!$C308="",对接源_01水果!$C308&lt;&gt;$L$1,对接源_01水果!$B308=""),0,IF(OR(N(对接源_01水果!$B308)&lt;$L$2,N(对接源_01水果!$B308)&gt;$L$3),0,1))</f>
        <v>0</v>
      </c>
      <c r="M308" s="3">
        <f>IF(OR($M$1="",对接源_01水果!$C308="",对接源_01水果!$C308&lt;&gt;$M$1,对接源_01水果!$B308=""),0,IF(OR(N(对接源_01水果!$B308)&lt;$M$2,N(对接源_01水果!$B308)&gt;$M$3),0,1))</f>
        <v>0</v>
      </c>
      <c r="N308" s="3">
        <f>IF(OR($N$1="",对接源_01水果!$C308="",对接源_01水果!$C308&lt;&gt;$N$1,对接源_01水果!$B308=""),0,IF(OR(N(对接源_01水果!$B308)&lt;$N$2,N(对接源_01水果!$B308)&gt;$N$3),0,1))</f>
        <v>0</v>
      </c>
      <c r="P308" s="3">
        <f>IF(AND($K308=1,AND(对接源_01水果!$X308="公司筐",N(对接源_01水果!$T308)&lt;&gt;0)),1,0)</f>
        <v>0</v>
      </c>
      <c r="Q308" s="3">
        <f t="shared" si="79"/>
        <v>0</v>
      </c>
      <c r="R308" s="3">
        <f>IF(AND($K308=1,AND(对接源_01水果!$X308="公司筐",N(对接源_01水果!$U308)&lt;&gt;0)),1,0)</f>
        <v>0</v>
      </c>
      <c r="S308" s="3">
        <f t="shared" si="80"/>
        <v>0</v>
      </c>
      <c r="T308" s="3">
        <f>IF(AND($K308=1,AND(对接源_01水果!$X308="公司筐",N(对接源_01水果!$V308)&lt;&gt;0)),1,0)</f>
        <v>0</v>
      </c>
      <c r="U308" s="3">
        <f t="shared" si="81"/>
        <v>19</v>
      </c>
      <c r="V308" s="3">
        <f>IF(AND($L308=1,AND(对接源_01水果!$X308="自备筐",N(对接源_01水果!$V308)&lt;&gt;0)),1,0)</f>
        <v>0</v>
      </c>
      <c r="W308" s="3">
        <f t="shared" si="82"/>
        <v>8</v>
      </c>
      <c r="X308" s="3">
        <f>IF(AND($L308=1,AND(对接源_01水果!$X308="自备筐",N(对接源_01水果!$T308)&lt;&gt;0)),1,0)</f>
        <v>0</v>
      </c>
      <c r="Y308" s="3">
        <f t="shared" si="83"/>
        <v>0</v>
      </c>
      <c r="Z308" s="3">
        <f>IF(AND($M308=1,对接源_01水果!$D308="原料入库"),1,0)</f>
        <v>0</v>
      </c>
      <c r="AA308" s="3">
        <f t="shared" si="84"/>
        <v>24</v>
      </c>
      <c r="AB308" s="3">
        <f>IF(AND($M308=1,LEFT(对接源_01水果!$D308,4)="原料出库"),1,0)</f>
        <v>0</v>
      </c>
      <c r="AC308" s="3">
        <f t="shared" si="85"/>
        <v>0</v>
      </c>
      <c r="AD308" s="3">
        <f>IF(AND($M308=1,LEFT(对接源_01水果!$D308,4)="成品出库"),1,0)</f>
        <v>0</v>
      </c>
      <c r="AE308" s="3">
        <f t="shared" si="86"/>
        <v>0</v>
      </c>
      <c r="AF308" s="3">
        <f>IF(AND($N308=1,AND(LEFT(对接源_01水果!$D308,4)="包装物料",N(对接源_01水果!$K308)&lt;&gt;0)),1,0)</f>
        <v>0</v>
      </c>
      <c r="AG308" s="3">
        <f t="shared" si="87"/>
        <v>0</v>
      </c>
      <c r="AH308" s="3">
        <f>IF(AND($N308=1,AND(对接源_01水果!$D308="周转筐－销售出库",N(对接源_01水果!$K308)&lt;&gt;0)),1,0)</f>
        <v>0</v>
      </c>
      <c r="AI308" s="3">
        <f t="shared" si="88"/>
        <v>0</v>
      </c>
      <c r="AJ308" s="7"/>
      <c r="AL308" s="3">
        <f>IF(OR($AL$1="",对接源_01水果!$Y308="",对接源_01水果!$Y308&lt;&gt;$AL$1,对接源_01水果!$B308="",N(对接源_01水果!$AJ308)&lt;=0),0,IF(OR(N(对接源_01水果!$B308)&lt;$AL$2,N(对接源_01水果!$B308)&gt;$AL$3),0,1))</f>
        <v>0</v>
      </c>
      <c r="AM308" s="3">
        <f t="shared" si="89"/>
        <v>0</v>
      </c>
      <c r="AN308" s="3" t="str">
        <f>IF(对接源_01水果!$AC308="","",对接源_01水果!$AC308)</f>
        <v/>
      </c>
      <c r="AO308" s="3">
        <f t="shared" si="90"/>
        <v>0</v>
      </c>
      <c r="AP308" s="3">
        <f t="shared" si="91"/>
        <v>0</v>
      </c>
      <c r="AR308">
        <f t="shared" si="92"/>
        <v>0</v>
      </c>
      <c r="AS308">
        <f t="shared" si="93"/>
        <v>0</v>
      </c>
    </row>
    <row r="309" ht="14.25" customHeight="1" spans="1:45">
      <c r="A309" s="3" t="str">
        <f>IF(对接源_01水果!$C309="","",对接源_01水果!$C309)</f>
        <v>王照雪</v>
      </c>
      <c r="B309" s="3">
        <f t="shared" si="76"/>
        <v>0</v>
      </c>
      <c r="C309" s="3">
        <f t="shared" si="77"/>
        <v>18</v>
      </c>
      <c r="K309" s="3">
        <f>IF(OR($K$1="",对接源_01水果!$C309="",对接源_01水果!$C309&lt;&gt;$K$1,对接源_01水果!$B309=""),0,IF(OR(N(对接源_01水果!$B309)&lt;$K$2,N(对接源_01水果!$B309)&gt;$K$3),0,1))</f>
        <v>0</v>
      </c>
      <c r="L309" s="3">
        <f>IF(OR($L$1="",对接源_01水果!$C309="",对接源_01水果!$C309&lt;&gt;$L$1,对接源_01水果!$B309=""),0,IF(OR(N(对接源_01水果!$B309)&lt;$L$2,N(对接源_01水果!$B309)&gt;$L$3),0,1))</f>
        <v>0</v>
      </c>
      <c r="M309" s="3">
        <f>IF(OR($M$1="",对接源_01水果!$C309="",对接源_01水果!$C309&lt;&gt;$M$1,对接源_01水果!$B309=""),0,IF(OR(N(对接源_01水果!$B309)&lt;$M$2,N(对接源_01水果!$B309)&gt;$M$3),0,1))</f>
        <v>0</v>
      </c>
      <c r="N309" s="3">
        <f>IF(OR($N$1="",对接源_01水果!$C309="",对接源_01水果!$C309&lt;&gt;$N$1,对接源_01水果!$B309=""),0,IF(OR(N(对接源_01水果!$B309)&lt;$N$2,N(对接源_01水果!$B309)&gt;$N$3),0,1))</f>
        <v>0</v>
      </c>
      <c r="P309" s="3">
        <f>IF(AND($K309=1,AND(对接源_01水果!$X309="公司筐",N(对接源_01水果!$T309)&lt;&gt;0)),1,0)</f>
        <v>0</v>
      </c>
      <c r="Q309" s="3">
        <f t="shared" si="79"/>
        <v>0</v>
      </c>
      <c r="R309" s="3">
        <f>IF(AND($K309=1,AND(对接源_01水果!$X309="公司筐",N(对接源_01水果!$U309)&lt;&gt;0)),1,0)</f>
        <v>0</v>
      </c>
      <c r="S309" s="3">
        <f t="shared" si="80"/>
        <v>0</v>
      </c>
      <c r="T309" s="3">
        <f>IF(AND($K309=1,AND(对接源_01水果!$X309="公司筐",N(对接源_01水果!$V309)&lt;&gt;0)),1,0)</f>
        <v>0</v>
      </c>
      <c r="U309" s="3">
        <f t="shared" si="81"/>
        <v>19</v>
      </c>
      <c r="V309" s="3">
        <f>IF(AND($L309=1,AND(对接源_01水果!$X309="自备筐",N(对接源_01水果!$V309)&lt;&gt;0)),1,0)</f>
        <v>0</v>
      </c>
      <c r="W309" s="3">
        <f t="shared" si="82"/>
        <v>8</v>
      </c>
      <c r="X309" s="3">
        <f>IF(AND($L309=1,AND(对接源_01水果!$X309="自备筐",N(对接源_01水果!$T309)&lt;&gt;0)),1,0)</f>
        <v>0</v>
      </c>
      <c r="Y309" s="3">
        <f t="shared" si="83"/>
        <v>0</v>
      </c>
      <c r="Z309" s="3">
        <f>IF(AND($M309=1,对接源_01水果!$D309="原料入库"),1,0)</f>
        <v>0</v>
      </c>
      <c r="AA309" s="3">
        <f t="shared" si="84"/>
        <v>24</v>
      </c>
      <c r="AB309" s="3">
        <f>IF(AND($M309=1,LEFT(对接源_01水果!$D309,4)="原料出库"),1,0)</f>
        <v>0</v>
      </c>
      <c r="AC309" s="3">
        <f t="shared" si="85"/>
        <v>0</v>
      </c>
      <c r="AD309" s="3">
        <f>IF(AND($M309=1,LEFT(对接源_01水果!$D309,4)="成品出库"),1,0)</f>
        <v>0</v>
      </c>
      <c r="AE309" s="3">
        <f t="shared" si="86"/>
        <v>0</v>
      </c>
      <c r="AF309" s="3">
        <f>IF(AND($N309=1,AND(LEFT(对接源_01水果!$D309,4)="包装物料",N(对接源_01水果!$K309)&lt;&gt;0)),1,0)</f>
        <v>0</v>
      </c>
      <c r="AG309" s="3">
        <f t="shared" si="87"/>
        <v>0</v>
      </c>
      <c r="AH309" s="3">
        <f>IF(AND($N309=1,AND(对接源_01水果!$D309="周转筐－销售出库",N(对接源_01水果!$K309)&lt;&gt;0)),1,0)</f>
        <v>0</v>
      </c>
      <c r="AI309" s="3">
        <f t="shared" si="88"/>
        <v>0</v>
      </c>
      <c r="AJ309" s="7"/>
      <c r="AL309" s="3">
        <f>IF(OR($AL$1="",对接源_01水果!$Y309="",对接源_01水果!$Y309&lt;&gt;$AL$1,对接源_01水果!$B309="",N(对接源_01水果!$AJ309)&lt;=0),0,IF(OR(N(对接源_01水果!$B309)&lt;$AL$2,N(对接源_01水果!$B309)&gt;$AL$3),0,1))</f>
        <v>0</v>
      </c>
      <c r="AM309" s="3">
        <f t="shared" si="89"/>
        <v>0</v>
      </c>
      <c r="AN309" s="3" t="str">
        <f>IF(对接源_01水果!$AC309="","",对接源_01水果!$AC309)</f>
        <v/>
      </c>
      <c r="AO309" s="3">
        <f t="shared" si="90"/>
        <v>0</v>
      </c>
      <c r="AP309" s="3">
        <f t="shared" si="91"/>
        <v>0</v>
      </c>
      <c r="AR309">
        <f t="shared" si="92"/>
        <v>0</v>
      </c>
      <c r="AS309">
        <f t="shared" si="93"/>
        <v>0</v>
      </c>
    </row>
    <row r="310" ht="14.25" customHeight="1" spans="1:45">
      <c r="A310" s="3" t="str">
        <f>IF(对接源_01水果!$C310="","",对接源_01水果!$C310)</f>
        <v>王照雪</v>
      </c>
      <c r="B310" s="3">
        <f t="shared" si="76"/>
        <v>0</v>
      </c>
      <c r="C310" s="3">
        <f t="shared" si="77"/>
        <v>18</v>
      </c>
      <c r="K310" s="3">
        <f>IF(OR($K$1="",对接源_01水果!$C310="",对接源_01水果!$C310&lt;&gt;$K$1,对接源_01水果!$B310=""),0,IF(OR(N(对接源_01水果!$B310)&lt;$K$2,N(对接源_01水果!$B310)&gt;$K$3),0,1))</f>
        <v>0</v>
      </c>
      <c r="L310" s="3">
        <f>IF(OR($L$1="",对接源_01水果!$C310="",对接源_01水果!$C310&lt;&gt;$L$1,对接源_01水果!$B310=""),0,IF(OR(N(对接源_01水果!$B310)&lt;$L$2,N(对接源_01水果!$B310)&gt;$L$3),0,1))</f>
        <v>0</v>
      </c>
      <c r="M310" s="3">
        <f>IF(OR($M$1="",对接源_01水果!$C310="",对接源_01水果!$C310&lt;&gt;$M$1,对接源_01水果!$B310=""),0,IF(OR(N(对接源_01水果!$B310)&lt;$M$2,N(对接源_01水果!$B310)&gt;$M$3),0,1))</f>
        <v>0</v>
      </c>
      <c r="N310" s="3">
        <f>IF(OR($N$1="",对接源_01水果!$C310="",对接源_01水果!$C310&lt;&gt;$N$1,对接源_01水果!$B310=""),0,IF(OR(N(对接源_01水果!$B310)&lt;$N$2,N(对接源_01水果!$B310)&gt;$N$3),0,1))</f>
        <v>0</v>
      </c>
      <c r="P310" s="3">
        <f>IF(AND($K310=1,AND(对接源_01水果!$X310="公司筐",N(对接源_01水果!$T310)&lt;&gt;0)),1,0)</f>
        <v>0</v>
      </c>
      <c r="Q310" s="3">
        <f t="shared" si="79"/>
        <v>0</v>
      </c>
      <c r="R310" s="3">
        <f>IF(AND($K310=1,AND(对接源_01水果!$X310="公司筐",N(对接源_01水果!$U310)&lt;&gt;0)),1,0)</f>
        <v>0</v>
      </c>
      <c r="S310" s="3">
        <f t="shared" si="80"/>
        <v>0</v>
      </c>
      <c r="T310" s="3">
        <f>IF(AND($K310=1,AND(对接源_01水果!$X310="公司筐",N(对接源_01水果!$V310)&lt;&gt;0)),1,0)</f>
        <v>0</v>
      </c>
      <c r="U310" s="3">
        <f t="shared" si="81"/>
        <v>19</v>
      </c>
      <c r="V310" s="3">
        <f>IF(AND($L310=1,AND(对接源_01水果!$X310="自备筐",N(对接源_01水果!$V310)&lt;&gt;0)),1,0)</f>
        <v>0</v>
      </c>
      <c r="W310" s="3">
        <f t="shared" si="82"/>
        <v>8</v>
      </c>
      <c r="X310" s="3">
        <f>IF(AND($L310=1,AND(对接源_01水果!$X310="自备筐",N(对接源_01水果!$T310)&lt;&gt;0)),1,0)</f>
        <v>0</v>
      </c>
      <c r="Y310" s="3">
        <f t="shared" si="83"/>
        <v>0</v>
      </c>
      <c r="Z310" s="3">
        <f>IF(AND($M310=1,对接源_01水果!$D310="原料入库"),1,0)</f>
        <v>0</v>
      </c>
      <c r="AA310" s="3">
        <f t="shared" si="84"/>
        <v>24</v>
      </c>
      <c r="AB310" s="3">
        <f>IF(AND($M310=1,LEFT(对接源_01水果!$D310,4)="原料出库"),1,0)</f>
        <v>0</v>
      </c>
      <c r="AC310" s="3">
        <f t="shared" si="85"/>
        <v>0</v>
      </c>
      <c r="AD310" s="3">
        <f>IF(AND($M310=1,LEFT(对接源_01水果!$D310,4)="成品出库"),1,0)</f>
        <v>0</v>
      </c>
      <c r="AE310" s="3">
        <f t="shared" si="86"/>
        <v>0</v>
      </c>
      <c r="AF310" s="3">
        <f>IF(AND($N310=1,AND(LEFT(对接源_01水果!$D310,4)="包装物料",N(对接源_01水果!$K310)&lt;&gt;0)),1,0)</f>
        <v>0</v>
      </c>
      <c r="AG310" s="3">
        <f t="shared" si="87"/>
        <v>0</v>
      </c>
      <c r="AH310" s="3">
        <f>IF(AND($N310=1,AND(对接源_01水果!$D310="周转筐－销售出库",N(对接源_01水果!$K310)&lt;&gt;0)),1,0)</f>
        <v>0</v>
      </c>
      <c r="AI310" s="3">
        <f t="shared" si="88"/>
        <v>0</v>
      </c>
      <c r="AJ310" s="7"/>
      <c r="AL310" s="3">
        <f>IF(OR($AL$1="",对接源_01水果!$Y310="",对接源_01水果!$Y310&lt;&gt;$AL$1,对接源_01水果!$B310="",N(对接源_01水果!$AJ310)&lt;=0),0,IF(OR(N(对接源_01水果!$B310)&lt;$AL$2,N(对接源_01水果!$B310)&gt;$AL$3),0,1))</f>
        <v>0</v>
      </c>
      <c r="AM310" s="3">
        <f t="shared" si="89"/>
        <v>0</v>
      </c>
      <c r="AN310" s="3" t="str">
        <f>IF(对接源_01水果!$AC310="","",对接源_01水果!$AC310)</f>
        <v/>
      </c>
      <c r="AO310" s="3">
        <f t="shared" si="90"/>
        <v>0</v>
      </c>
      <c r="AP310" s="3">
        <f t="shared" si="91"/>
        <v>0</v>
      </c>
      <c r="AR310">
        <f t="shared" si="92"/>
        <v>0</v>
      </c>
      <c r="AS310">
        <f t="shared" si="93"/>
        <v>0</v>
      </c>
    </row>
    <row r="311" ht="14.25" customHeight="1" spans="1:45">
      <c r="A311" s="3" t="str">
        <f>IF(对接源_01水果!$C311="","",对接源_01水果!$C311)</f>
        <v>马锦祥</v>
      </c>
      <c r="B311" s="3">
        <f t="shared" si="76"/>
        <v>0</v>
      </c>
      <c r="C311" s="3">
        <f t="shared" si="77"/>
        <v>18</v>
      </c>
      <c r="K311" s="3">
        <f>IF(OR($K$1="",对接源_01水果!$C311="",对接源_01水果!$C311&lt;&gt;$K$1,对接源_01水果!$B311=""),0,IF(OR(N(对接源_01水果!$B311)&lt;$K$2,N(对接源_01水果!$B311)&gt;$K$3),0,1))</f>
        <v>0</v>
      </c>
      <c r="L311" s="3">
        <f>IF(OR($L$1="",对接源_01水果!$C311="",对接源_01水果!$C311&lt;&gt;$L$1,对接源_01水果!$B311=""),0,IF(OR(N(对接源_01水果!$B311)&lt;$L$2,N(对接源_01水果!$B311)&gt;$L$3),0,1))</f>
        <v>0</v>
      </c>
      <c r="M311" s="3">
        <f>IF(OR($M$1="",对接源_01水果!$C311="",对接源_01水果!$C311&lt;&gt;$M$1,对接源_01水果!$B311=""),0,IF(OR(N(对接源_01水果!$B311)&lt;$M$2,N(对接源_01水果!$B311)&gt;$M$3),0,1))</f>
        <v>0</v>
      </c>
      <c r="N311" s="3">
        <f>IF(OR($N$1="",对接源_01水果!$C311="",对接源_01水果!$C311&lt;&gt;$N$1,对接源_01水果!$B311=""),0,IF(OR(N(对接源_01水果!$B311)&lt;$N$2,N(对接源_01水果!$B311)&gt;$N$3),0,1))</f>
        <v>0</v>
      </c>
      <c r="P311" s="3">
        <f>IF(AND($K311=1,AND(对接源_01水果!$X311="公司筐",N(对接源_01水果!$T311)&lt;&gt;0)),1,0)</f>
        <v>0</v>
      </c>
      <c r="Q311" s="3">
        <f t="shared" si="79"/>
        <v>0</v>
      </c>
      <c r="R311" s="3">
        <f>IF(AND($K311=1,AND(对接源_01水果!$X311="公司筐",N(对接源_01水果!$U311)&lt;&gt;0)),1,0)</f>
        <v>0</v>
      </c>
      <c r="S311" s="3">
        <f t="shared" si="80"/>
        <v>0</v>
      </c>
      <c r="T311" s="3">
        <f>IF(AND($K311=1,AND(对接源_01水果!$X311="公司筐",N(对接源_01水果!$V311)&lt;&gt;0)),1,0)</f>
        <v>0</v>
      </c>
      <c r="U311" s="3">
        <f t="shared" si="81"/>
        <v>19</v>
      </c>
      <c r="V311" s="3">
        <f>IF(AND($L311=1,AND(对接源_01水果!$X311="自备筐",N(对接源_01水果!$V311)&lt;&gt;0)),1,0)</f>
        <v>0</v>
      </c>
      <c r="W311" s="3">
        <f t="shared" si="82"/>
        <v>8</v>
      </c>
      <c r="X311" s="3">
        <f>IF(AND($L311=1,AND(对接源_01水果!$X311="自备筐",N(对接源_01水果!$T311)&lt;&gt;0)),1,0)</f>
        <v>0</v>
      </c>
      <c r="Y311" s="3">
        <f t="shared" si="83"/>
        <v>0</v>
      </c>
      <c r="Z311" s="3">
        <f>IF(AND($M311=1,对接源_01水果!$D311="原料入库"),1,0)</f>
        <v>0</v>
      </c>
      <c r="AA311" s="3">
        <f t="shared" si="84"/>
        <v>24</v>
      </c>
      <c r="AB311" s="3">
        <f>IF(AND($M311=1,LEFT(对接源_01水果!$D311,4)="原料出库"),1,0)</f>
        <v>0</v>
      </c>
      <c r="AC311" s="3">
        <f t="shared" si="85"/>
        <v>0</v>
      </c>
      <c r="AD311" s="3">
        <f>IF(AND($M311=1,LEFT(对接源_01水果!$D311,4)="成品出库"),1,0)</f>
        <v>0</v>
      </c>
      <c r="AE311" s="3">
        <f t="shared" si="86"/>
        <v>0</v>
      </c>
      <c r="AF311" s="3">
        <f>IF(AND($N311=1,AND(LEFT(对接源_01水果!$D311,4)="包装物料",N(对接源_01水果!$K311)&lt;&gt;0)),1,0)</f>
        <v>0</v>
      </c>
      <c r="AG311" s="3">
        <f t="shared" si="87"/>
        <v>0</v>
      </c>
      <c r="AH311" s="3">
        <f>IF(AND($N311=1,AND(对接源_01水果!$D311="周转筐－销售出库",N(对接源_01水果!$K311)&lt;&gt;0)),1,0)</f>
        <v>0</v>
      </c>
      <c r="AI311" s="3">
        <f t="shared" si="88"/>
        <v>0</v>
      </c>
      <c r="AJ311" s="7"/>
      <c r="AL311" s="3">
        <f>IF(OR($AL$1="",对接源_01水果!$Y311="",对接源_01水果!$Y311&lt;&gt;$AL$1,对接源_01水果!$B311="",N(对接源_01水果!$AJ311)&lt;=0),0,IF(OR(N(对接源_01水果!$B311)&lt;$AL$2,N(对接源_01水果!$B311)&gt;$AL$3),0,1))</f>
        <v>0</v>
      </c>
      <c r="AM311" s="3">
        <f t="shared" si="89"/>
        <v>0</v>
      </c>
      <c r="AN311" s="3" t="str">
        <f>IF(对接源_01水果!$AC311="","",对接源_01水果!$AC311)</f>
        <v/>
      </c>
      <c r="AO311" s="3">
        <f t="shared" si="90"/>
        <v>0</v>
      </c>
      <c r="AP311" s="3">
        <f t="shared" si="91"/>
        <v>0</v>
      </c>
      <c r="AR311">
        <f t="shared" si="92"/>
        <v>0</v>
      </c>
      <c r="AS311">
        <f t="shared" si="93"/>
        <v>0</v>
      </c>
    </row>
    <row r="312" ht="14.25" customHeight="1" spans="1:45">
      <c r="A312" s="3" t="str">
        <f>IF(对接源_01水果!$C312="","",对接源_01水果!$C312)</f>
        <v>聂新平</v>
      </c>
      <c r="B312" s="3">
        <f t="shared" si="76"/>
        <v>0</v>
      </c>
      <c r="C312" s="3">
        <f t="shared" si="77"/>
        <v>18</v>
      </c>
      <c r="K312" s="3">
        <f>IF(OR($K$1="",对接源_01水果!$C312="",对接源_01水果!$C312&lt;&gt;$K$1,对接源_01水果!$B312=""),0,IF(OR(N(对接源_01水果!$B312)&lt;$K$2,N(对接源_01水果!$B312)&gt;$K$3),0,1))</f>
        <v>0</v>
      </c>
      <c r="L312" s="3">
        <f>IF(OR($L$1="",对接源_01水果!$C312="",对接源_01水果!$C312&lt;&gt;$L$1,对接源_01水果!$B312=""),0,IF(OR(N(对接源_01水果!$B312)&lt;$L$2,N(对接源_01水果!$B312)&gt;$L$3),0,1))</f>
        <v>0</v>
      </c>
      <c r="M312" s="3">
        <f>IF(OR($M$1="",对接源_01水果!$C312="",对接源_01水果!$C312&lt;&gt;$M$1,对接源_01水果!$B312=""),0,IF(OR(N(对接源_01水果!$B312)&lt;$M$2,N(对接源_01水果!$B312)&gt;$M$3),0,1))</f>
        <v>0</v>
      </c>
      <c r="N312" s="3">
        <f>IF(OR($N$1="",对接源_01水果!$C312="",对接源_01水果!$C312&lt;&gt;$N$1,对接源_01水果!$B312=""),0,IF(OR(N(对接源_01水果!$B312)&lt;$N$2,N(对接源_01水果!$B312)&gt;$N$3),0,1))</f>
        <v>0</v>
      </c>
      <c r="P312" s="3">
        <f>IF(AND($K312=1,AND(对接源_01水果!$X312="公司筐",N(对接源_01水果!$T312)&lt;&gt;0)),1,0)</f>
        <v>0</v>
      </c>
      <c r="Q312" s="3">
        <f t="shared" si="79"/>
        <v>0</v>
      </c>
      <c r="R312" s="3">
        <f>IF(AND($K312=1,AND(对接源_01水果!$X312="公司筐",N(对接源_01水果!$U312)&lt;&gt;0)),1,0)</f>
        <v>0</v>
      </c>
      <c r="S312" s="3">
        <f t="shared" si="80"/>
        <v>0</v>
      </c>
      <c r="T312" s="3">
        <f>IF(AND($K312=1,AND(对接源_01水果!$X312="公司筐",N(对接源_01水果!$V312)&lt;&gt;0)),1,0)</f>
        <v>0</v>
      </c>
      <c r="U312" s="3">
        <f t="shared" si="81"/>
        <v>19</v>
      </c>
      <c r="V312" s="3">
        <f>IF(AND($L312=1,AND(对接源_01水果!$X312="自备筐",N(对接源_01水果!$V312)&lt;&gt;0)),1,0)</f>
        <v>0</v>
      </c>
      <c r="W312" s="3">
        <f t="shared" si="82"/>
        <v>8</v>
      </c>
      <c r="X312" s="3">
        <f>IF(AND($L312=1,AND(对接源_01水果!$X312="自备筐",N(对接源_01水果!$T312)&lt;&gt;0)),1,0)</f>
        <v>0</v>
      </c>
      <c r="Y312" s="3">
        <f t="shared" si="83"/>
        <v>0</v>
      </c>
      <c r="Z312" s="3">
        <f>IF(AND($M312=1,对接源_01水果!$D312="原料入库"),1,0)</f>
        <v>0</v>
      </c>
      <c r="AA312" s="3">
        <f t="shared" si="84"/>
        <v>24</v>
      </c>
      <c r="AB312" s="3">
        <f>IF(AND($M312=1,LEFT(对接源_01水果!$D312,4)="原料出库"),1,0)</f>
        <v>0</v>
      </c>
      <c r="AC312" s="3">
        <f t="shared" si="85"/>
        <v>0</v>
      </c>
      <c r="AD312" s="3">
        <f>IF(AND($M312=1,LEFT(对接源_01水果!$D312,4)="成品出库"),1,0)</f>
        <v>0</v>
      </c>
      <c r="AE312" s="3">
        <f t="shared" si="86"/>
        <v>0</v>
      </c>
      <c r="AF312" s="3">
        <f>IF(AND($N312=1,AND(LEFT(对接源_01水果!$D312,4)="包装物料",N(对接源_01水果!$K312)&lt;&gt;0)),1,0)</f>
        <v>0</v>
      </c>
      <c r="AG312" s="3">
        <f t="shared" si="87"/>
        <v>0</v>
      </c>
      <c r="AH312" s="3">
        <f>IF(AND($N312=1,AND(对接源_01水果!$D312="周转筐－销售出库",N(对接源_01水果!$K312)&lt;&gt;0)),1,0)</f>
        <v>0</v>
      </c>
      <c r="AI312" s="3">
        <f t="shared" si="88"/>
        <v>0</v>
      </c>
      <c r="AJ312" s="7"/>
      <c r="AL312" s="3">
        <f>IF(OR($AL$1="",对接源_01水果!$Y312="",对接源_01水果!$Y312&lt;&gt;$AL$1,对接源_01水果!$B312="",N(对接源_01水果!$AJ312)&lt;=0),0,IF(OR(N(对接源_01水果!$B312)&lt;$AL$2,N(对接源_01水果!$B312)&gt;$AL$3),0,1))</f>
        <v>0</v>
      </c>
      <c r="AM312" s="3">
        <f t="shared" si="89"/>
        <v>0</v>
      </c>
      <c r="AN312" s="3" t="str">
        <f>IF(对接源_01水果!$AC312="","",对接源_01水果!$AC312)</f>
        <v/>
      </c>
      <c r="AO312" s="3">
        <f t="shared" si="90"/>
        <v>0</v>
      </c>
      <c r="AP312" s="3">
        <f t="shared" si="91"/>
        <v>0</v>
      </c>
      <c r="AR312">
        <f t="shared" si="92"/>
        <v>0</v>
      </c>
      <c r="AS312">
        <f t="shared" si="93"/>
        <v>0</v>
      </c>
    </row>
    <row r="313" ht="14.25" customHeight="1" spans="1:45">
      <c r="A313" s="3" t="str">
        <f>IF(对接源_01水果!$C313="","",对接源_01水果!$C313)</f>
        <v>王照雪</v>
      </c>
      <c r="B313" s="3">
        <f t="shared" si="76"/>
        <v>0</v>
      </c>
      <c r="C313" s="3">
        <f t="shared" si="77"/>
        <v>18</v>
      </c>
      <c r="K313" s="3">
        <f>IF(OR($K$1="",对接源_01水果!$C313="",对接源_01水果!$C313&lt;&gt;$K$1,对接源_01水果!$B313=""),0,IF(OR(N(对接源_01水果!$B313)&lt;$K$2,N(对接源_01水果!$B313)&gt;$K$3),0,1))</f>
        <v>0</v>
      </c>
      <c r="L313" s="3">
        <f>IF(OR($L$1="",对接源_01水果!$C313="",对接源_01水果!$C313&lt;&gt;$L$1,对接源_01水果!$B313=""),0,IF(OR(N(对接源_01水果!$B313)&lt;$L$2,N(对接源_01水果!$B313)&gt;$L$3),0,1))</f>
        <v>0</v>
      </c>
      <c r="M313" s="3">
        <f>IF(OR($M$1="",对接源_01水果!$C313="",对接源_01水果!$C313&lt;&gt;$M$1,对接源_01水果!$B313=""),0,IF(OR(N(对接源_01水果!$B313)&lt;$M$2,N(对接源_01水果!$B313)&gt;$M$3),0,1))</f>
        <v>0</v>
      </c>
      <c r="N313" s="3">
        <f>IF(OR($N$1="",对接源_01水果!$C313="",对接源_01水果!$C313&lt;&gt;$N$1,对接源_01水果!$B313=""),0,IF(OR(N(对接源_01水果!$B313)&lt;$N$2,N(对接源_01水果!$B313)&gt;$N$3),0,1))</f>
        <v>0</v>
      </c>
      <c r="P313" s="3">
        <f>IF(AND($K313=1,AND(对接源_01水果!$X313="公司筐",N(对接源_01水果!$T313)&lt;&gt;0)),1,0)</f>
        <v>0</v>
      </c>
      <c r="Q313" s="3">
        <f t="shared" si="79"/>
        <v>0</v>
      </c>
      <c r="R313" s="3">
        <f>IF(AND($K313=1,AND(对接源_01水果!$X313="公司筐",N(对接源_01水果!$U313)&lt;&gt;0)),1,0)</f>
        <v>0</v>
      </c>
      <c r="S313" s="3">
        <f t="shared" si="80"/>
        <v>0</v>
      </c>
      <c r="T313" s="3">
        <f>IF(AND($K313=1,AND(对接源_01水果!$X313="公司筐",N(对接源_01水果!$V313)&lt;&gt;0)),1,0)</f>
        <v>0</v>
      </c>
      <c r="U313" s="3">
        <f t="shared" si="81"/>
        <v>19</v>
      </c>
      <c r="V313" s="3">
        <f>IF(AND($L313=1,AND(对接源_01水果!$X313="自备筐",N(对接源_01水果!$V313)&lt;&gt;0)),1,0)</f>
        <v>0</v>
      </c>
      <c r="W313" s="3">
        <f t="shared" si="82"/>
        <v>8</v>
      </c>
      <c r="X313" s="3">
        <f>IF(AND($L313=1,AND(对接源_01水果!$X313="自备筐",N(对接源_01水果!$T313)&lt;&gt;0)),1,0)</f>
        <v>0</v>
      </c>
      <c r="Y313" s="3">
        <f t="shared" si="83"/>
        <v>0</v>
      </c>
      <c r="Z313" s="3">
        <f>IF(AND($M313=1,对接源_01水果!$D313="原料入库"),1,0)</f>
        <v>0</v>
      </c>
      <c r="AA313" s="3">
        <f t="shared" si="84"/>
        <v>24</v>
      </c>
      <c r="AB313" s="3">
        <f>IF(AND($M313=1,LEFT(对接源_01水果!$D313,4)="原料出库"),1,0)</f>
        <v>0</v>
      </c>
      <c r="AC313" s="3">
        <f t="shared" si="85"/>
        <v>0</v>
      </c>
      <c r="AD313" s="3">
        <f>IF(AND($M313=1,LEFT(对接源_01水果!$D313,4)="成品出库"),1,0)</f>
        <v>0</v>
      </c>
      <c r="AE313" s="3">
        <f t="shared" si="86"/>
        <v>0</v>
      </c>
      <c r="AF313" s="3">
        <f>IF(AND($N313=1,AND(LEFT(对接源_01水果!$D313,4)="包装物料",N(对接源_01水果!$K313)&lt;&gt;0)),1,0)</f>
        <v>0</v>
      </c>
      <c r="AG313" s="3">
        <f t="shared" si="87"/>
        <v>0</v>
      </c>
      <c r="AH313" s="3">
        <f>IF(AND($N313=1,AND(对接源_01水果!$D313="周转筐－销售出库",N(对接源_01水果!$K313)&lt;&gt;0)),1,0)</f>
        <v>0</v>
      </c>
      <c r="AI313" s="3">
        <f t="shared" si="88"/>
        <v>0</v>
      </c>
      <c r="AJ313" s="7"/>
      <c r="AL313" s="3">
        <f>IF(OR($AL$1="",对接源_01水果!$Y313="",对接源_01水果!$Y313&lt;&gt;$AL$1,对接源_01水果!$B313="",N(对接源_01水果!$AJ313)&lt;=0),0,IF(OR(N(对接源_01水果!$B313)&lt;$AL$2,N(对接源_01水果!$B313)&gt;$AL$3),0,1))</f>
        <v>0</v>
      </c>
      <c r="AM313" s="3">
        <f t="shared" si="89"/>
        <v>0</v>
      </c>
      <c r="AN313" s="3" t="str">
        <f>IF(对接源_01水果!$AC313="","",对接源_01水果!$AC313)</f>
        <v/>
      </c>
      <c r="AO313" s="3">
        <f t="shared" si="90"/>
        <v>0</v>
      </c>
      <c r="AP313" s="3">
        <f t="shared" si="91"/>
        <v>0</v>
      </c>
      <c r="AR313">
        <f t="shared" si="92"/>
        <v>0</v>
      </c>
      <c r="AS313">
        <f t="shared" si="93"/>
        <v>0</v>
      </c>
    </row>
    <row r="314" ht="14.25" customHeight="1" spans="1:45">
      <c r="A314" s="3" t="str">
        <f>IF(对接源_01水果!$C314="","",对接源_01水果!$C314)</f>
        <v>聂新平</v>
      </c>
      <c r="B314" s="3">
        <f t="shared" si="76"/>
        <v>0</v>
      </c>
      <c r="C314" s="3">
        <f t="shared" si="77"/>
        <v>18</v>
      </c>
      <c r="K314" s="3">
        <f>IF(OR($K$1="",对接源_01水果!$C314="",对接源_01水果!$C314&lt;&gt;$K$1,对接源_01水果!$B314=""),0,IF(OR(N(对接源_01水果!$B314)&lt;$K$2,N(对接源_01水果!$B314)&gt;$K$3),0,1))</f>
        <v>0</v>
      </c>
      <c r="L314" s="3">
        <f>IF(OR($L$1="",对接源_01水果!$C314="",对接源_01水果!$C314&lt;&gt;$L$1,对接源_01水果!$B314=""),0,IF(OR(N(对接源_01水果!$B314)&lt;$L$2,N(对接源_01水果!$B314)&gt;$L$3),0,1))</f>
        <v>0</v>
      </c>
      <c r="M314" s="3">
        <f>IF(OR($M$1="",对接源_01水果!$C314="",对接源_01水果!$C314&lt;&gt;$M$1,对接源_01水果!$B314=""),0,IF(OR(N(对接源_01水果!$B314)&lt;$M$2,N(对接源_01水果!$B314)&gt;$M$3),0,1))</f>
        <v>0</v>
      </c>
      <c r="N314" s="3">
        <f>IF(OR($N$1="",对接源_01水果!$C314="",对接源_01水果!$C314&lt;&gt;$N$1,对接源_01水果!$B314=""),0,IF(OR(N(对接源_01水果!$B314)&lt;$N$2,N(对接源_01水果!$B314)&gt;$N$3),0,1))</f>
        <v>0</v>
      </c>
      <c r="P314" s="3">
        <f>IF(AND($K314=1,AND(对接源_01水果!$X314="公司筐",N(对接源_01水果!$T314)&lt;&gt;0)),1,0)</f>
        <v>0</v>
      </c>
      <c r="Q314" s="3">
        <f t="shared" si="79"/>
        <v>0</v>
      </c>
      <c r="R314" s="3">
        <f>IF(AND($K314=1,AND(对接源_01水果!$X314="公司筐",N(对接源_01水果!$U314)&lt;&gt;0)),1,0)</f>
        <v>0</v>
      </c>
      <c r="S314" s="3">
        <f t="shared" si="80"/>
        <v>0</v>
      </c>
      <c r="T314" s="3">
        <f>IF(AND($K314=1,AND(对接源_01水果!$X314="公司筐",N(对接源_01水果!$V314)&lt;&gt;0)),1,0)</f>
        <v>0</v>
      </c>
      <c r="U314" s="3">
        <f t="shared" si="81"/>
        <v>19</v>
      </c>
      <c r="V314" s="3">
        <f>IF(AND($L314=1,AND(对接源_01水果!$X314="自备筐",N(对接源_01水果!$V314)&lt;&gt;0)),1,0)</f>
        <v>0</v>
      </c>
      <c r="W314" s="3">
        <f t="shared" si="82"/>
        <v>8</v>
      </c>
      <c r="X314" s="3">
        <f>IF(AND($L314=1,AND(对接源_01水果!$X314="自备筐",N(对接源_01水果!$T314)&lt;&gt;0)),1,0)</f>
        <v>0</v>
      </c>
      <c r="Y314" s="3">
        <f t="shared" si="83"/>
        <v>0</v>
      </c>
      <c r="Z314" s="3">
        <f>IF(AND($M314=1,对接源_01水果!$D314="原料入库"),1,0)</f>
        <v>0</v>
      </c>
      <c r="AA314" s="3">
        <f t="shared" si="84"/>
        <v>24</v>
      </c>
      <c r="AB314" s="3">
        <f>IF(AND($M314=1,LEFT(对接源_01水果!$D314,4)="原料出库"),1,0)</f>
        <v>0</v>
      </c>
      <c r="AC314" s="3">
        <f t="shared" si="85"/>
        <v>0</v>
      </c>
      <c r="AD314" s="3">
        <f>IF(AND($M314=1,LEFT(对接源_01水果!$D314,4)="成品出库"),1,0)</f>
        <v>0</v>
      </c>
      <c r="AE314" s="3">
        <f t="shared" si="86"/>
        <v>0</v>
      </c>
      <c r="AF314" s="3">
        <f>IF(AND($N314=1,AND(LEFT(对接源_01水果!$D314,4)="包装物料",N(对接源_01水果!$K314)&lt;&gt;0)),1,0)</f>
        <v>0</v>
      </c>
      <c r="AG314" s="3">
        <f t="shared" si="87"/>
        <v>0</v>
      </c>
      <c r="AH314" s="3">
        <f>IF(AND($N314=1,AND(对接源_01水果!$D314="周转筐－销售出库",N(对接源_01水果!$K314)&lt;&gt;0)),1,0)</f>
        <v>0</v>
      </c>
      <c r="AI314" s="3">
        <f t="shared" si="88"/>
        <v>0</v>
      </c>
      <c r="AJ314" s="7"/>
      <c r="AL314" s="3">
        <f>IF(OR($AL$1="",对接源_01水果!$Y314="",对接源_01水果!$Y314&lt;&gt;$AL$1,对接源_01水果!$B314="",N(对接源_01水果!$AJ314)&lt;=0),0,IF(OR(N(对接源_01水果!$B314)&lt;$AL$2,N(对接源_01水果!$B314)&gt;$AL$3),0,1))</f>
        <v>0</v>
      </c>
      <c r="AM314" s="3">
        <f t="shared" si="89"/>
        <v>0</v>
      </c>
      <c r="AN314" s="3" t="str">
        <f>IF(对接源_01水果!$AC314="","",对接源_01水果!$AC314)</f>
        <v/>
      </c>
      <c r="AO314" s="3">
        <f t="shared" si="90"/>
        <v>0</v>
      </c>
      <c r="AP314" s="3">
        <f t="shared" si="91"/>
        <v>0</v>
      </c>
      <c r="AR314">
        <f t="shared" si="92"/>
        <v>0</v>
      </c>
      <c r="AS314">
        <f t="shared" si="93"/>
        <v>0</v>
      </c>
    </row>
    <row r="315" ht="14.25" customHeight="1" spans="1:45">
      <c r="A315" s="3" t="str">
        <f>IF(对接源_01水果!$C315="","",对接源_01水果!$C315)</f>
        <v>王照雪</v>
      </c>
      <c r="B315" s="3">
        <f t="shared" si="76"/>
        <v>0</v>
      </c>
      <c r="C315" s="3">
        <f t="shared" si="77"/>
        <v>18</v>
      </c>
      <c r="K315" s="3">
        <f>IF(OR($K$1="",对接源_01水果!$C315="",对接源_01水果!$C315&lt;&gt;$K$1,对接源_01水果!$B315=""),0,IF(OR(N(对接源_01水果!$B315)&lt;$K$2,N(对接源_01水果!$B315)&gt;$K$3),0,1))</f>
        <v>0</v>
      </c>
      <c r="L315" s="3">
        <f>IF(OR($L$1="",对接源_01水果!$C315="",对接源_01水果!$C315&lt;&gt;$L$1,对接源_01水果!$B315=""),0,IF(OR(N(对接源_01水果!$B315)&lt;$L$2,N(对接源_01水果!$B315)&gt;$L$3),0,1))</f>
        <v>0</v>
      </c>
      <c r="M315" s="3">
        <f>IF(OR($M$1="",对接源_01水果!$C315="",对接源_01水果!$C315&lt;&gt;$M$1,对接源_01水果!$B315=""),0,IF(OR(N(对接源_01水果!$B315)&lt;$M$2,N(对接源_01水果!$B315)&gt;$M$3),0,1))</f>
        <v>0</v>
      </c>
      <c r="N315" s="3">
        <f>IF(OR($N$1="",对接源_01水果!$C315="",对接源_01水果!$C315&lt;&gt;$N$1,对接源_01水果!$B315=""),0,IF(OR(N(对接源_01水果!$B315)&lt;$N$2,N(对接源_01水果!$B315)&gt;$N$3),0,1))</f>
        <v>0</v>
      </c>
      <c r="P315" s="3">
        <f>IF(AND($K315=1,AND(对接源_01水果!$X315="公司筐",N(对接源_01水果!$T315)&lt;&gt;0)),1,0)</f>
        <v>0</v>
      </c>
      <c r="Q315" s="3">
        <f t="shared" si="79"/>
        <v>0</v>
      </c>
      <c r="R315" s="3">
        <f>IF(AND($K315=1,AND(对接源_01水果!$X315="公司筐",N(对接源_01水果!$U315)&lt;&gt;0)),1,0)</f>
        <v>0</v>
      </c>
      <c r="S315" s="3">
        <f t="shared" si="80"/>
        <v>0</v>
      </c>
      <c r="T315" s="3">
        <f>IF(AND($K315=1,AND(对接源_01水果!$X315="公司筐",N(对接源_01水果!$V315)&lt;&gt;0)),1,0)</f>
        <v>0</v>
      </c>
      <c r="U315" s="3">
        <f t="shared" si="81"/>
        <v>19</v>
      </c>
      <c r="V315" s="3">
        <f>IF(AND($L315=1,AND(对接源_01水果!$X315="自备筐",N(对接源_01水果!$V315)&lt;&gt;0)),1,0)</f>
        <v>0</v>
      </c>
      <c r="W315" s="3">
        <f t="shared" si="82"/>
        <v>8</v>
      </c>
      <c r="X315" s="3">
        <f>IF(AND($L315=1,AND(对接源_01水果!$X315="自备筐",N(对接源_01水果!$T315)&lt;&gt;0)),1,0)</f>
        <v>0</v>
      </c>
      <c r="Y315" s="3">
        <f t="shared" si="83"/>
        <v>0</v>
      </c>
      <c r="Z315" s="3">
        <f>IF(AND($M315=1,对接源_01水果!$D315="原料入库"),1,0)</f>
        <v>0</v>
      </c>
      <c r="AA315" s="3">
        <f t="shared" si="84"/>
        <v>24</v>
      </c>
      <c r="AB315" s="3">
        <f>IF(AND($M315=1,LEFT(对接源_01水果!$D315,4)="原料出库"),1,0)</f>
        <v>0</v>
      </c>
      <c r="AC315" s="3">
        <f t="shared" si="85"/>
        <v>0</v>
      </c>
      <c r="AD315" s="3">
        <f>IF(AND($M315=1,LEFT(对接源_01水果!$D315,4)="成品出库"),1,0)</f>
        <v>0</v>
      </c>
      <c r="AE315" s="3">
        <f t="shared" si="86"/>
        <v>0</v>
      </c>
      <c r="AF315" s="3">
        <f>IF(AND($N315=1,AND(LEFT(对接源_01水果!$D315,4)="包装物料",N(对接源_01水果!$K315)&lt;&gt;0)),1,0)</f>
        <v>0</v>
      </c>
      <c r="AG315" s="3">
        <f t="shared" si="87"/>
        <v>0</v>
      </c>
      <c r="AH315" s="3">
        <f>IF(AND($N315=1,AND(对接源_01水果!$D315="周转筐－销售出库",N(对接源_01水果!$K315)&lt;&gt;0)),1,0)</f>
        <v>0</v>
      </c>
      <c r="AI315" s="3">
        <f t="shared" si="88"/>
        <v>0</v>
      </c>
      <c r="AJ315" s="7"/>
      <c r="AL315" s="3">
        <f>IF(OR($AL$1="",对接源_01水果!$Y315="",对接源_01水果!$Y315&lt;&gt;$AL$1,对接源_01水果!$B315="",N(对接源_01水果!$AJ315)&lt;=0),0,IF(OR(N(对接源_01水果!$B315)&lt;$AL$2,N(对接源_01水果!$B315)&gt;$AL$3),0,1))</f>
        <v>0</v>
      </c>
      <c r="AM315" s="3">
        <f t="shared" si="89"/>
        <v>0</v>
      </c>
      <c r="AN315" s="3" t="str">
        <f>IF(对接源_01水果!$AC315="","",对接源_01水果!$AC315)</f>
        <v/>
      </c>
      <c r="AO315" s="3">
        <f t="shared" si="90"/>
        <v>0</v>
      </c>
      <c r="AP315" s="3">
        <f t="shared" si="91"/>
        <v>0</v>
      </c>
      <c r="AR315">
        <f t="shared" si="92"/>
        <v>0</v>
      </c>
      <c r="AS315">
        <f t="shared" si="93"/>
        <v>0</v>
      </c>
    </row>
    <row r="316" ht="14.25" customHeight="1" spans="1:45">
      <c r="A316" s="3" t="str">
        <f>IF(对接源_01水果!$C316="","",对接源_01水果!$C316)</f>
        <v>王照雪</v>
      </c>
      <c r="B316" s="3">
        <f t="shared" si="76"/>
        <v>0</v>
      </c>
      <c r="C316" s="3">
        <f t="shared" si="77"/>
        <v>18</v>
      </c>
      <c r="K316" s="3">
        <f>IF(OR($K$1="",对接源_01水果!$C316="",对接源_01水果!$C316&lt;&gt;$K$1,对接源_01水果!$B316=""),0,IF(OR(N(对接源_01水果!$B316)&lt;$K$2,N(对接源_01水果!$B316)&gt;$K$3),0,1))</f>
        <v>0</v>
      </c>
      <c r="L316" s="3">
        <f>IF(OR($L$1="",对接源_01水果!$C316="",对接源_01水果!$C316&lt;&gt;$L$1,对接源_01水果!$B316=""),0,IF(OR(N(对接源_01水果!$B316)&lt;$L$2,N(对接源_01水果!$B316)&gt;$L$3),0,1))</f>
        <v>0</v>
      </c>
      <c r="M316" s="3">
        <f>IF(OR($M$1="",对接源_01水果!$C316="",对接源_01水果!$C316&lt;&gt;$M$1,对接源_01水果!$B316=""),0,IF(OR(N(对接源_01水果!$B316)&lt;$M$2,N(对接源_01水果!$B316)&gt;$M$3),0,1))</f>
        <v>0</v>
      </c>
      <c r="N316" s="3">
        <f>IF(OR($N$1="",对接源_01水果!$C316="",对接源_01水果!$C316&lt;&gt;$N$1,对接源_01水果!$B316=""),0,IF(OR(N(对接源_01水果!$B316)&lt;$N$2,N(对接源_01水果!$B316)&gt;$N$3),0,1))</f>
        <v>0</v>
      </c>
      <c r="P316" s="3">
        <f>IF(AND($K316=1,AND(对接源_01水果!$X316="公司筐",N(对接源_01水果!$T316)&lt;&gt;0)),1,0)</f>
        <v>0</v>
      </c>
      <c r="Q316" s="3">
        <f t="shared" si="79"/>
        <v>0</v>
      </c>
      <c r="R316" s="3">
        <f>IF(AND($K316=1,AND(对接源_01水果!$X316="公司筐",N(对接源_01水果!$U316)&lt;&gt;0)),1,0)</f>
        <v>0</v>
      </c>
      <c r="S316" s="3">
        <f t="shared" si="80"/>
        <v>0</v>
      </c>
      <c r="T316" s="3">
        <f>IF(AND($K316=1,AND(对接源_01水果!$X316="公司筐",N(对接源_01水果!$V316)&lt;&gt;0)),1,0)</f>
        <v>0</v>
      </c>
      <c r="U316" s="3">
        <f t="shared" si="81"/>
        <v>19</v>
      </c>
      <c r="V316" s="3">
        <f>IF(AND($L316=1,AND(对接源_01水果!$X316="自备筐",N(对接源_01水果!$V316)&lt;&gt;0)),1,0)</f>
        <v>0</v>
      </c>
      <c r="W316" s="3">
        <f t="shared" si="82"/>
        <v>8</v>
      </c>
      <c r="X316" s="3">
        <f>IF(AND($L316=1,AND(对接源_01水果!$X316="自备筐",N(对接源_01水果!$T316)&lt;&gt;0)),1,0)</f>
        <v>0</v>
      </c>
      <c r="Y316" s="3">
        <f t="shared" si="83"/>
        <v>0</v>
      </c>
      <c r="Z316" s="3">
        <f>IF(AND($M316=1,对接源_01水果!$D316="原料入库"),1,0)</f>
        <v>0</v>
      </c>
      <c r="AA316" s="3">
        <f t="shared" si="84"/>
        <v>24</v>
      </c>
      <c r="AB316" s="3">
        <f>IF(AND($M316=1,LEFT(对接源_01水果!$D316,4)="原料出库"),1,0)</f>
        <v>0</v>
      </c>
      <c r="AC316" s="3">
        <f t="shared" si="85"/>
        <v>0</v>
      </c>
      <c r="AD316" s="3">
        <f>IF(AND($M316=1,LEFT(对接源_01水果!$D316,4)="成品出库"),1,0)</f>
        <v>0</v>
      </c>
      <c r="AE316" s="3">
        <f t="shared" si="86"/>
        <v>0</v>
      </c>
      <c r="AF316" s="3">
        <f>IF(AND($N316=1,AND(LEFT(对接源_01水果!$D316,4)="包装物料",N(对接源_01水果!$K316)&lt;&gt;0)),1,0)</f>
        <v>0</v>
      </c>
      <c r="AG316" s="3">
        <f t="shared" si="87"/>
        <v>0</v>
      </c>
      <c r="AH316" s="3">
        <f>IF(AND($N316=1,AND(对接源_01水果!$D316="周转筐－销售出库",N(对接源_01水果!$K316)&lt;&gt;0)),1,0)</f>
        <v>0</v>
      </c>
      <c r="AI316" s="3">
        <f t="shared" si="88"/>
        <v>0</v>
      </c>
      <c r="AJ316" s="7"/>
      <c r="AL316" s="3">
        <f>IF(OR($AL$1="",对接源_01水果!$Y316="",对接源_01水果!$Y316&lt;&gt;$AL$1,对接源_01水果!$B316="",N(对接源_01水果!$AJ316)&lt;=0),0,IF(OR(N(对接源_01水果!$B316)&lt;$AL$2,N(对接源_01水果!$B316)&gt;$AL$3),0,1))</f>
        <v>0</v>
      </c>
      <c r="AM316" s="3">
        <f t="shared" si="89"/>
        <v>0</v>
      </c>
      <c r="AN316" s="3" t="str">
        <f>IF(对接源_01水果!$AC316="","",对接源_01水果!$AC316)</f>
        <v/>
      </c>
      <c r="AO316" s="3">
        <f t="shared" si="90"/>
        <v>0</v>
      </c>
      <c r="AP316" s="3">
        <f t="shared" si="91"/>
        <v>0</v>
      </c>
      <c r="AR316">
        <f t="shared" si="92"/>
        <v>0</v>
      </c>
      <c r="AS316">
        <f t="shared" si="93"/>
        <v>0</v>
      </c>
    </row>
    <row r="317" ht="14.25" customHeight="1" spans="1:45">
      <c r="A317" s="3" t="str">
        <f>IF(对接源_01水果!$C317="","",对接源_01水果!$C317)</f>
        <v>聂新平</v>
      </c>
      <c r="B317" s="3">
        <f t="shared" si="76"/>
        <v>0</v>
      </c>
      <c r="C317" s="3">
        <f t="shared" si="77"/>
        <v>18</v>
      </c>
      <c r="K317" s="3">
        <f>IF(OR($K$1="",对接源_01水果!$C317="",对接源_01水果!$C317&lt;&gt;$K$1,对接源_01水果!$B317=""),0,IF(OR(N(对接源_01水果!$B317)&lt;$K$2,N(对接源_01水果!$B317)&gt;$K$3),0,1))</f>
        <v>0</v>
      </c>
      <c r="L317" s="3">
        <f>IF(OR($L$1="",对接源_01水果!$C317="",对接源_01水果!$C317&lt;&gt;$L$1,对接源_01水果!$B317=""),0,IF(OR(N(对接源_01水果!$B317)&lt;$L$2,N(对接源_01水果!$B317)&gt;$L$3),0,1))</f>
        <v>0</v>
      </c>
      <c r="M317" s="3">
        <f>IF(OR($M$1="",对接源_01水果!$C317="",对接源_01水果!$C317&lt;&gt;$M$1,对接源_01水果!$B317=""),0,IF(OR(N(对接源_01水果!$B317)&lt;$M$2,N(对接源_01水果!$B317)&gt;$M$3),0,1))</f>
        <v>0</v>
      </c>
      <c r="N317" s="3">
        <f>IF(OR($N$1="",对接源_01水果!$C317="",对接源_01水果!$C317&lt;&gt;$N$1,对接源_01水果!$B317=""),0,IF(OR(N(对接源_01水果!$B317)&lt;$N$2,N(对接源_01水果!$B317)&gt;$N$3),0,1))</f>
        <v>0</v>
      </c>
      <c r="P317" s="3">
        <f>IF(AND($K317=1,AND(对接源_01水果!$X317="公司筐",N(对接源_01水果!$T317)&lt;&gt;0)),1,0)</f>
        <v>0</v>
      </c>
      <c r="Q317" s="3">
        <f t="shared" si="79"/>
        <v>0</v>
      </c>
      <c r="R317" s="3">
        <f>IF(AND($K317=1,AND(对接源_01水果!$X317="公司筐",N(对接源_01水果!$U317)&lt;&gt;0)),1,0)</f>
        <v>0</v>
      </c>
      <c r="S317" s="3">
        <f t="shared" si="80"/>
        <v>0</v>
      </c>
      <c r="T317" s="3">
        <f>IF(AND($K317=1,AND(对接源_01水果!$X317="公司筐",N(对接源_01水果!$V317)&lt;&gt;0)),1,0)</f>
        <v>0</v>
      </c>
      <c r="U317" s="3">
        <f t="shared" si="81"/>
        <v>19</v>
      </c>
      <c r="V317" s="3">
        <f>IF(AND($L317=1,AND(对接源_01水果!$X317="自备筐",N(对接源_01水果!$V317)&lt;&gt;0)),1,0)</f>
        <v>0</v>
      </c>
      <c r="W317" s="3">
        <f t="shared" si="82"/>
        <v>8</v>
      </c>
      <c r="X317" s="3">
        <f>IF(AND($L317=1,AND(对接源_01水果!$X317="自备筐",N(对接源_01水果!$T317)&lt;&gt;0)),1,0)</f>
        <v>0</v>
      </c>
      <c r="Y317" s="3">
        <f t="shared" si="83"/>
        <v>0</v>
      </c>
      <c r="Z317" s="3">
        <f>IF(AND($M317=1,对接源_01水果!$D317="原料入库"),1,0)</f>
        <v>0</v>
      </c>
      <c r="AA317" s="3">
        <f t="shared" si="84"/>
        <v>24</v>
      </c>
      <c r="AB317" s="3">
        <f>IF(AND($M317=1,LEFT(对接源_01水果!$D317,4)="原料出库"),1,0)</f>
        <v>0</v>
      </c>
      <c r="AC317" s="3">
        <f t="shared" si="85"/>
        <v>0</v>
      </c>
      <c r="AD317" s="3">
        <f>IF(AND($M317=1,LEFT(对接源_01水果!$D317,4)="成品出库"),1,0)</f>
        <v>0</v>
      </c>
      <c r="AE317" s="3">
        <f t="shared" si="86"/>
        <v>0</v>
      </c>
      <c r="AF317" s="3">
        <f>IF(AND($N317=1,AND(LEFT(对接源_01水果!$D317,4)="包装物料",N(对接源_01水果!$K317)&lt;&gt;0)),1,0)</f>
        <v>0</v>
      </c>
      <c r="AG317" s="3">
        <f t="shared" si="87"/>
        <v>0</v>
      </c>
      <c r="AH317" s="3">
        <f>IF(AND($N317=1,AND(对接源_01水果!$D317="周转筐－销售出库",N(对接源_01水果!$K317)&lt;&gt;0)),1,0)</f>
        <v>0</v>
      </c>
      <c r="AI317" s="3">
        <f t="shared" si="88"/>
        <v>0</v>
      </c>
      <c r="AJ317" s="7"/>
      <c r="AL317" s="3">
        <f>IF(OR($AL$1="",对接源_01水果!$Y317="",对接源_01水果!$Y317&lt;&gt;$AL$1,对接源_01水果!$B317="",N(对接源_01水果!$AJ317)&lt;=0),0,IF(OR(N(对接源_01水果!$B317)&lt;$AL$2,N(对接源_01水果!$B317)&gt;$AL$3),0,1))</f>
        <v>0</v>
      </c>
      <c r="AM317" s="3">
        <f t="shared" si="89"/>
        <v>0</v>
      </c>
      <c r="AN317" s="3" t="str">
        <f>IF(对接源_01水果!$AC317="","",对接源_01水果!$AC317)</f>
        <v/>
      </c>
      <c r="AO317" s="3">
        <f t="shared" si="90"/>
        <v>0</v>
      </c>
      <c r="AP317" s="3">
        <f t="shared" si="91"/>
        <v>0</v>
      </c>
      <c r="AR317">
        <f t="shared" si="92"/>
        <v>0</v>
      </c>
      <c r="AS317">
        <f t="shared" si="93"/>
        <v>0</v>
      </c>
    </row>
    <row r="318" ht="14.25" customHeight="1" spans="1:45">
      <c r="A318" s="3" t="str">
        <f>IF(对接源_01水果!$C318="","",对接源_01水果!$C318)</f>
        <v>王照雪</v>
      </c>
      <c r="B318" s="3">
        <f t="shared" si="76"/>
        <v>0</v>
      </c>
      <c r="C318" s="3">
        <f t="shared" si="77"/>
        <v>18</v>
      </c>
      <c r="K318" s="3">
        <f>IF(OR($K$1="",对接源_01水果!$C318="",对接源_01水果!$C318&lt;&gt;$K$1,对接源_01水果!$B318=""),0,IF(OR(N(对接源_01水果!$B318)&lt;$K$2,N(对接源_01水果!$B318)&gt;$K$3),0,1))</f>
        <v>0</v>
      </c>
      <c r="L318" s="3">
        <f>IF(OR($L$1="",对接源_01水果!$C318="",对接源_01水果!$C318&lt;&gt;$L$1,对接源_01水果!$B318=""),0,IF(OR(N(对接源_01水果!$B318)&lt;$L$2,N(对接源_01水果!$B318)&gt;$L$3),0,1))</f>
        <v>0</v>
      </c>
      <c r="M318" s="3">
        <f>IF(OR($M$1="",对接源_01水果!$C318="",对接源_01水果!$C318&lt;&gt;$M$1,对接源_01水果!$B318=""),0,IF(OR(N(对接源_01水果!$B318)&lt;$M$2,N(对接源_01水果!$B318)&gt;$M$3),0,1))</f>
        <v>0</v>
      </c>
      <c r="N318" s="3">
        <f>IF(OR($N$1="",对接源_01水果!$C318="",对接源_01水果!$C318&lt;&gt;$N$1,对接源_01水果!$B318=""),0,IF(OR(N(对接源_01水果!$B318)&lt;$N$2,N(对接源_01水果!$B318)&gt;$N$3),0,1))</f>
        <v>0</v>
      </c>
      <c r="P318" s="3">
        <f>IF(AND($K318=1,AND(对接源_01水果!$X318="公司筐",N(对接源_01水果!$T318)&lt;&gt;0)),1,0)</f>
        <v>0</v>
      </c>
      <c r="Q318" s="3">
        <f t="shared" si="79"/>
        <v>0</v>
      </c>
      <c r="R318" s="3">
        <f>IF(AND($K318=1,AND(对接源_01水果!$X318="公司筐",N(对接源_01水果!$U318)&lt;&gt;0)),1,0)</f>
        <v>0</v>
      </c>
      <c r="S318" s="3">
        <f t="shared" si="80"/>
        <v>0</v>
      </c>
      <c r="T318" s="3">
        <f>IF(AND($K318=1,AND(对接源_01水果!$X318="公司筐",N(对接源_01水果!$V318)&lt;&gt;0)),1,0)</f>
        <v>0</v>
      </c>
      <c r="U318" s="3">
        <f t="shared" si="81"/>
        <v>19</v>
      </c>
      <c r="V318" s="3">
        <f>IF(AND($L318=1,AND(对接源_01水果!$X318="自备筐",N(对接源_01水果!$V318)&lt;&gt;0)),1,0)</f>
        <v>0</v>
      </c>
      <c r="W318" s="3">
        <f t="shared" si="82"/>
        <v>8</v>
      </c>
      <c r="X318" s="3">
        <f>IF(AND($L318=1,AND(对接源_01水果!$X318="自备筐",N(对接源_01水果!$T318)&lt;&gt;0)),1,0)</f>
        <v>0</v>
      </c>
      <c r="Y318" s="3">
        <f t="shared" si="83"/>
        <v>0</v>
      </c>
      <c r="Z318" s="3">
        <f>IF(AND($M318=1,对接源_01水果!$D318="原料入库"),1,0)</f>
        <v>0</v>
      </c>
      <c r="AA318" s="3">
        <f t="shared" si="84"/>
        <v>24</v>
      </c>
      <c r="AB318" s="3">
        <f>IF(AND($M318=1,LEFT(对接源_01水果!$D318,4)="原料出库"),1,0)</f>
        <v>0</v>
      </c>
      <c r="AC318" s="3">
        <f t="shared" si="85"/>
        <v>0</v>
      </c>
      <c r="AD318" s="3">
        <f>IF(AND($M318=1,LEFT(对接源_01水果!$D318,4)="成品出库"),1,0)</f>
        <v>0</v>
      </c>
      <c r="AE318" s="3">
        <f t="shared" si="86"/>
        <v>0</v>
      </c>
      <c r="AF318" s="3">
        <f>IF(AND($N318=1,AND(LEFT(对接源_01水果!$D318,4)="包装物料",N(对接源_01水果!$K318)&lt;&gt;0)),1,0)</f>
        <v>0</v>
      </c>
      <c r="AG318" s="3">
        <f t="shared" si="87"/>
        <v>0</v>
      </c>
      <c r="AH318" s="3">
        <f>IF(AND($N318=1,AND(对接源_01水果!$D318="周转筐－销售出库",N(对接源_01水果!$K318)&lt;&gt;0)),1,0)</f>
        <v>0</v>
      </c>
      <c r="AI318" s="3">
        <f t="shared" si="88"/>
        <v>0</v>
      </c>
      <c r="AJ318" s="7"/>
      <c r="AL318" s="3">
        <f>IF(OR($AL$1="",对接源_01水果!$Y318="",对接源_01水果!$Y318&lt;&gt;$AL$1,对接源_01水果!$B318="",N(对接源_01水果!$AJ318)&lt;=0),0,IF(OR(N(对接源_01水果!$B318)&lt;$AL$2,N(对接源_01水果!$B318)&gt;$AL$3),0,1))</f>
        <v>0</v>
      </c>
      <c r="AM318" s="3">
        <f t="shared" si="89"/>
        <v>0</v>
      </c>
      <c r="AN318" s="3" t="str">
        <f>IF(对接源_01水果!$AC318="","",对接源_01水果!$AC318)</f>
        <v/>
      </c>
      <c r="AO318" s="3">
        <f t="shared" si="90"/>
        <v>0</v>
      </c>
      <c r="AP318" s="3">
        <f t="shared" si="91"/>
        <v>0</v>
      </c>
      <c r="AR318">
        <f t="shared" si="92"/>
        <v>0</v>
      </c>
      <c r="AS318">
        <f t="shared" si="93"/>
        <v>0</v>
      </c>
    </row>
    <row r="319" ht="14.25" customHeight="1" spans="1:45">
      <c r="A319" s="3" t="str">
        <f>IF(对接源_01水果!$C319="","",对接源_01水果!$C319)</f>
        <v>聂新平</v>
      </c>
      <c r="B319" s="3">
        <f t="shared" si="76"/>
        <v>0</v>
      </c>
      <c r="C319" s="3">
        <f t="shared" si="77"/>
        <v>18</v>
      </c>
      <c r="K319" s="3">
        <f>IF(OR($K$1="",对接源_01水果!$C319="",对接源_01水果!$C319&lt;&gt;$K$1,对接源_01水果!$B319=""),0,IF(OR(N(对接源_01水果!$B319)&lt;$K$2,N(对接源_01水果!$B319)&gt;$K$3),0,1))</f>
        <v>0</v>
      </c>
      <c r="L319" s="3">
        <f>IF(OR($L$1="",对接源_01水果!$C319="",对接源_01水果!$C319&lt;&gt;$L$1,对接源_01水果!$B319=""),0,IF(OR(N(对接源_01水果!$B319)&lt;$L$2,N(对接源_01水果!$B319)&gt;$L$3),0,1))</f>
        <v>0</v>
      </c>
      <c r="M319" s="3">
        <f>IF(OR($M$1="",对接源_01水果!$C319="",对接源_01水果!$C319&lt;&gt;$M$1,对接源_01水果!$B319=""),0,IF(OR(N(对接源_01水果!$B319)&lt;$M$2,N(对接源_01水果!$B319)&gt;$M$3),0,1))</f>
        <v>0</v>
      </c>
      <c r="N319" s="3">
        <f>IF(OR($N$1="",对接源_01水果!$C319="",对接源_01水果!$C319&lt;&gt;$N$1,对接源_01水果!$B319=""),0,IF(OR(N(对接源_01水果!$B319)&lt;$N$2,N(对接源_01水果!$B319)&gt;$N$3),0,1))</f>
        <v>0</v>
      </c>
      <c r="P319" s="3">
        <f>IF(AND($K319=1,AND(对接源_01水果!$X319="公司筐",N(对接源_01水果!$T319)&lt;&gt;0)),1,0)</f>
        <v>0</v>
      </c>
      <c r="Q319" s="3">
        <f t="shared" si="79"/>
        <v>0</v>
      </c>
      <c r="R319" s="3">
        <f>IF(AND($K319=1,AND(对接源_01水果!$X319="公司筐",N(对接源_01水果!$U319)&lt;&gt;0)),1,0)</f>
        <v>0</v>
      </c>
      <c r="S319" s="3">
        <f t="shared" si="80"/>
        <v>0</v>
      </c>
      <c r="T319" s="3">
        <f>IF(AND($K319=1,AND(对接源_01水果!$X319="公司筐",N(对接源_01水果!$V319)&lt;&gt;0)),1,0)</f>
        <v>0</v>
      </c>
      <c r="U319" s="3">
        <f t="shared" si="81"/>
        <v>19</v>
      </c>
      <c r="V319" s="3">
        <f>IF(AND($L319=1,AND(对接源_01水果!$X319="自备筐",N(对接源_01水果!$V319)&lt;&gt;0)),1,0)</f>
        <v>0</v>
      </c>
      <c r="W319" s="3">
        <f t="shared" si="82"/>
        <v>8</v>
      </c>
      <c r="X319" s="3">
        <f>IF(AND($L319=1,AND(对接源_01水果!$X319="自备筐",N(对接源_01水果!$T319)&lt;&gt;0)),1,0)</f>
        <v>0</v>
      </c>
      <c r="Y319" s="3">
        <f t="shared" si="83"/>
        <v>0</v>
      </c>
      <c r="Z319" s="3">
        <f>IF(AND($M319=1,对接源_01水果!$D319="原料入库"),1,0)</f>
        <v>0</v>
      </c>
      <c r="AA319" s="3">
        <f t="shared" si="84"/>
        <v>24</v>
      </c>
      <c r="AB319" s="3">
        <f>IF(AND($M319=1,LEFT(对接源_01水果!$D319,4)="原料出库"),1,0)</f>
        <v>0</v>
      </c>
      <c r="AC319" s="3">
        <f t="shared" si="85"/>
        <v>0</v>
      </c>
      <c r="AD319" s="3">
        <f>IF(AND($M319=1,LEFT(对接源_01水果!$D319,4)="成品出库"),1,0)</f>
        <v>0</v>
      </c>
      <c r="AE319" s="3">
        <f t="shared" si="86"/>
        <v>0</v>
      </c>
      <c r="AF319" s="3">
        <f>IF(AND($N319=1,AND(LEFT(对接源_01水果!$D319,4)="包装物料",N(对接源_01水果!$K319)&lt;&gt;0)),1,0)</f>
        <v>0</v>
      </c>
      <c r="AG319" s="3">
        <f t="shared" si="87"/>
        <v>0</v>
      </c>
      <c r="AH319" s="3">
        <f>IF(AND($N319=1,AND(对接源_01水果!$D319="周转筐－销售出库",N(对接源_01水果!$K319)&lt;&gt;0)),1,0)</f>
        <v>0</v>
      </c>
      <c r="AI319" s="3">
        <f t="shared" si="88"/>
        <v>0</v>
      </c>
      <c r="AJ319" s="7"/>
      <c r="AL319" s="3">
        <f>IF(OR($AL$1="",对接源_01水果!$Y319="",对接源_01水果!$Y319&lt;&gt;$AL$1,对接源_01水果!$B319="",N(对接源_01水果!$AJ319)&lt;=0),0,IF(OR(N(对接源_01水果!$B319)&lt;$AL$2,N(对接源_01水果!$B319)&gt;$AL$3),0,1))</f>
        <v>0</v>
      </c>
      <c r="AM319" s="3">
        <f t="shared" si="89"/>
        <v>0</v>
      </c>
      <c r="AN319" s="3" t="str">
        <f>IF(对接源_01水果!$AC319="","",对接源_01水果!$AC319)</f>
        <v/>
      </c>
      <c r="AO319" s="3">
        <f t="shared" si="90"/>
        <v>0</v>
      </c>
      <c r="AP319" s="3">
        <f t="shared" si="91"/>
        <v>0</v>
      </c>
      <c r="AR319">
        <f t="shared" si="92"/>
        <v>0</v>
      </c>
      <c r="AS319">
        <f t="shared" si="93"/>
        <v>0</v>
      </c>
    </row>
    <row r="320" ht="14.25" customHeight="1" spans="1:45">
      <c r="A320" s="3" t="str">
        <f>IF(对接源_01水果!$C320="","",对接源_01水果!$C320)</f>
        <v>聂新平</v>
      </c>
      <c r="B320" s="3">
        <f t="shared" si="76"/>
        <v>0</v>
      </c>
      <c r="C320" s="3">
        <f t="shared" si="77"/>
        <v>18</v>
      </c>
      <c r="K320" s="3">
        <f>IF(OR($K$1="",对接源_01水果!$C320="",对接源_01水果!$C320&lt;&gt;$K$1,对接源_01水果!$B320=""),0,IF(OR(N(对接源_01水果!$B320)&lt;$K$2,N(对接源_01水果!$B320)&gt;$K$3),0,1))</f>
        <v>0</v>
      </c>
      <c r="L320" s="3">
        <f>IF(OR($L$1="",对接源_01水果!$C320="",对接源_01水果!$C320&lt;&gt;$L$1,对接源_01水果!$B320=""),0,IF(OR(N(对接源_01水果!$B320)&lt;$L$2,N(对接源_01水果!$B320)&gt;$L$3),0,1))</f>
        <v>0</v>
      </c>
      <c r="M320" s="3">
        <f>IF(OR($M$1="",对接源_01水果!$C320="",对接源_01水果!$C320&lt;&gt;$M$1,对接源_01水果!$B320=""),0,IF(OR(N(对接源_01水果!$B320)&lt;$M$2,N(对接源_01水果!$B320)&gt;$M$3),0,1))</f>
        <v>0</v>
      </c>
      <c r="N320" s="3">
        <f>IF(OR($N$1="",对接源_01水果!$C320="",对接源_01水果!$C320&lt;&gt;$N$1,对接源_01水果!$B320=""),0,IF(OR(N(对接源_01水果!$B320)&lt;$N$2,N(对接源_01水果!$B320)&gt;$N$3),0,1))</f>
        <v>0</v>
      </c>
      <c r="P320" s="3">
        <f>IF(AND($K320=1,AND(对接源_01水果!$X320="公司筐",N(对接源_01水果!$T320)&lt;&gt;0)),1,0)</f>
        <v>0</v>
      </c>
      <c r="Q320" s="3">
        <f t="shared" si="79"/>
        <v>0</v>
      </c>
      <c r="R320" s="3">
        <f>IF(AND($K320=1,AND(对接源_01水果!$X320="公司筐",N(对接源_01水果!$U320)&lt;&gt;0)),1,0)</f>
        <v>0</v>
      </c>
      <c r="S320" s="3">
        <f t="shared" si="80"/>
        <v>0</v>
      </c>
      <c r="T320" s="3">
        <f>IF(AND($K320=1,AND(对接源_01水果!$X320="公司筐",N(对接源_01水果!$V320)&lt;&gt;0)),1,0)</f>
        <v>0</v>
      </c>
      <c r="U320" s="3">
        <f t="shared" si="81"/>
        <v>19</v>
      </c>
      <c r="V320" s="3">
        <f>IF(AND($L320=1,AND(对接源_01水果!$X320="自备筐",N(对接源_01水果!$V320)&lt;&gt;0)),1,0)</f>
        <v>0</v>
      </c>
      <c r="W320" s="3">
        <f t="shared" si="82"/>
        <v>8</v>
      </c>
      <c r="X320" s="3">
        <f>IF(AND($L320=1,AND(对接源_01水果!$X320="自备筐",N(对接源_01水果!$T320)&lt;&gt;0)),1,0)</f>
        <v>0</v>
      </c>
      <c r="Y320" s="3">
        <f t="shared" si="83"/>
        <v>0</v>
      </c>
      <c r="Z320" s="3">
        <f>IF(AND($M320=1,对接源_01水果!$D320="原料入库"),1,0)</f>
        <v>0</v>
      </c>
      <c r="AA320" s="3">
        <f t="shared" si="84"/>
        <v>24</v>
      </c>
      <c r="AB320" s="3">
        <f>IF(AND($M320=1,LEFT(对接源_01水果!$D320,4)="原料出库"),1,0)</f>
        <v>0</v>
      </c>
      <c r="AC320" s="3">
        <f t="shared" si="85"/>
        <v>0</v>
      </c>
      <c r="AD320" s="3">
        <f>IF(AND($M320=1,LEFT(对接源_01水果!$D320,4)="成品出库"),1,0)</f>
        <v>0</v>
      </c>
      <c r="AE320" s="3">
        <f t="shared" si="86"/>
        <v>0</v>
      </c>
      <c r="AF320" s="3">
        <f>IF(AND($N320=1,AND(LEFT(对接源_01水果!$D320,4)="包装物料",N(对接源_01水果!$K320)&lt;&gt;0)),1,0)</f>
        <v>0</v>
      </c>
      <c r="AG320" s="3">
        <f t="shared" si="87"/>
        <v>0</v>
      </c>
      <c r="AH320" s="3">
        <f>IF(AND($N320=1,AND(对接源_01水果!$D320="周转筐－销售出库",N(对接源_01水果!$K320)&lt;&gt;0)),1,0)</f>
        <v>0</v>
      </c>
      <c r="AI320" s="3">
        <f t="shared" si="88"/>
        <v>0</v>
      </c>
      <c r="AJ320" s="7"/>
      <c r="AL320" s="3">
        <f>IF(OR($AL$1="",对接源_01水果!$Y320="",对接源_01水果!$Y320&lt;&gt;$AL$1,对接源_01水果!$B320="",N(对接源_01水果!$AJ320)&lt;=0),0,IF(OR(N(对接源_01水果!$B320)&lt;$AL$2,N(对接源_01水果!$B320)&gt;$AL$3),0,1))</f>
        <v>0</v>
      </c>
      <c r="AM320" s="3">
        <f t="shared" si="89"/>
        <v>0</v>
      </c>
      <c r="AN320" s="3" t="str">
        <f>IF(对接源_01水果!$AC320="","",对接源_01水果!$AC320)</f>
        <v/>
      </c>
      <c r="AO320" s="3">
        <f t="shared" si="90"/>
        <v>0</v>
      </c>
      <c r="AP320" s="3">
        <f t="shared" si="91"/>
        <v>0</v>
      </c>
      <c r="AR320">
        <f t="shared" si="92"/>
        <v>0</v>
      </c>
      <c r="AS320">
        <f t="shared" si="93"/>
        <v>0</v>
      </c>
    </row>
    <row r="321" ht="14.25" customHeight="1" spans="1:45">
      <c r="A321" s="3" t="str">
        <f>IF(对接源_01水果!$C321="","",对接源_01水果!$C321)</f>
        <v>聂新平</v>
      </c>
      <c r="B321" s="3">
        <f t="shared" si="76"/>
        <v>0</v>
      </c>
      <c r="C321" s="3">
        <f t="shared" si="77"/>
        <v>18</v>
      </c>
      <c r="K321" s="3">
        <f>IF(OR($K$1="",对接源_01水果!$C321="",对接源_01水果!$C321&lt;&gt;$K$1,对接源_01水果!$B321=""),0,IF(OR(N(对接源_01水果!$B321)&lt;$K$2,N(对接源_01水果!$B321)&gt;$K$3),0,1))</f>
        <v>0</v>
      </c>
      <c r="L321" s="3">
        <f>IF(OR($L$1="",对接源_01水果!$C321="",对接源_01水果!$C321&lt;&gt;$L$1,对接源_01水果!$B321=""),0,IF(OR(N(对接源_01水果!$B321)&lt;$L$2,N(对接源_01水果!$B321)&gt;$L$3),0,1))</f>
        <v>0</v>
      </c>
      <c r="M321" s="3">
        <f>IF(OR($M$1="",对接源_01水果!$C321="",对接源_01水果!$C321&lt;&gt;$M$1,对接源_01水果!$B321=""),0,IF(OR(N(对接源_01水果!$B321)&lt;$M$2,N(对接源_01水果!$B321)&gt;$M$3),0,1))</f>
        <v>0</v>
      </c>
      <c r="N321" s="3">
        <f>IF(OR($N$1="",对接源_01水果!$C321="",对接源_01水果!$C321&lt;&gt;$N$1,对接源_01水果!$B321=""),0,IF(OR(N(对接源_01水果!$B321)&lt;$N$2,N(对接源_01水果!$B321)&gt;$N$3),0,1))</f>
        <v>0</v>
      </c>
      <c r="P321" s="3">
        <f>IF(AND($K321=1,AND(对接源_01水果!$X321="公司筐",N(对接源_01水果!$T321)&lt;&gt;0)),1,0)</f>
        <v>0</v>
      </c>
      <c r="Q321" s="3">
        <f t="shared" si="79"/>
        <v>0</v>
      </c>
      <c r="R321" s="3">
        <f>IF(AND($K321=1,AND(对接源_01水果!$X321="公司筐",N(对接源_01水果!$U321)&lt;&gt;0)),1,0)</f>
        <v>0</v>
      </c>
      <c r="S321" s="3">
        <f t="shared" si="80"/>
        <v>0</v>
      </c>
      <c r="T321" s="3">
        <f>IF(AND($K321=1,AND(对接源_01水果!$X321="公司筐",N(对接源_01水果!$V321)&lt;&gt;0)),1,0)</f>
        <v>0</v>
      </c>
      <c r="U321" s="3">
        <f t="shared" si="81"/>
        <v>19</v>
      </c>
      <c r="V321" s="3">
        <f>IF(AND($L321=1,AND(对接源_01水果!$X321="自备筐",N(对接源_01水果!$V321)&lt;&gt;0)),1,0)</f>
        <v>0</v>
      </c>
      <c r="W321" s="3">
        <f t="shared" si="82"/>
        <v>8</v>
      </c>
      <c r="X321" s="3">
        <f>IF(AND($L321=1,AND(对接源_01水果!$X321="自备筐",N(对接源_01水果!$T321)&lt;&gt;0)),1,0)</f>
        <v>0</v>
      </c>
      <c r="Y321" s="3">
        <f t="shared" si="83"/>
        <v>0</v>
      </c>
      <c r="Z321" s="3">
        <f>IF(AND($M321=1,对接源_01水果!$D321="原料入库"),1,0)</f>
        <v>0</v>
      </c>
      <c r="AA321" s="3">
        <f t="shared" si="84"/>
        <v>24</v>
      </c>
      <c r="AB321" s="3">
        <f>IF(AND($M321=1,LEFT(对接源_01水果!$D321,4)="原料出库"),1,0)</f>
        <v>0</v>
      </c>
      <c r="AC321" s="3">
        <f t="shared" si="85"/>
        <v>0</v>
      </c>
      <c r="AD321" s="3">
        <f>IF(AND($M321=1,LEFT(对接源_01水果!$D321,4)="成品出库"),1,0)</f>
        <v>0</v>
      </c>
      <c r="AE321" s="3">
        <f t="shared" si="86"/>
        <v>0</v>
      </c>
      <c r="AF321" s="3">
        <f>IF(AND($N321=1,AND(LEFT(对接源_01水果!$D321,4)="包装物料",N(对接源_01水果!$K321)&lt;&gt;0)),1,0)</f>
        <v>0</v>
      </c>
      <c r="AG321" s="3">
        <f t="shared" si="87"/>
        <v>0</v>
      </c>
      <c r="AH321" s="3">
        <f>IF(AND($N321=1,AND(对接源_01水果!$D321="周转筐－销售出库",N(对接源_01水果!$K321)&lt;&gt;0)),1,0)</f>
        <v>0</v>
      </c>
      <c r="AI321" s="3">
        <f t="shared" si="88"/>
        <v>0</v>
      </c>
      <c r="AJ321" s="7"/>
      <c r="AL321" s="3">
        <f>IF(OR($AL$1="",对接源_01水果!$Y321="",对接源_01水果!$Y321&lt;&gt;$AL$1,对接源_01水果!$B321="",N(对接源_01水果!$AJ321)&lt;=0),0,IF(OR(N(对接源_01水果!$B321)&lt;$AL$2,N(对接源_01水果!$B321)&gt;$AL$3),0,1))</f>
        <v>0</v>
      </c>
      <c r="AM321" s="3">
        <f t="shared" si="89"/>
        <v>0</v>
      </c>
      <c r="AN321" s="3" t="str">
        <f>IF(对接源_01水果!$AC321="","",对接源_01水果!$AC321)</f>
        <v/>
      </c>
      <c r="AO321" s="3">
        <f t="shared" si="90"/>
        <v>0</v>
      </c>
      <c r="AP321" s="3">
        <f t="shared" si="91"/>
        <v>0</v>
      </c>
      <c r="AR321">
        <f t="shared" si="92"/>
        <v>0</v>
      </c>
      <c r="AS321">
        <f t="shared" si="93"/>
        <v>0</v>
      </c>
    </row>
    <row r="322" ht="14.25" customHeight="1" spans="1:45">
      <c r="A322" s="3" t="str">
        <f>IF(对接源_01水果!$C322="","",对接源_01水果!$C322)</f>
        <v>王照雪</v>
      </c>
      <c r="B322" s="3">
        <f t="shared" si="76"/>
        <v>0</v>
      </c>
      <c r="C322" s="3">
        <f t="shared" si="77"/>
        <v>18</v>
      </c>
      <c r="K322" s="3">
        <f>IF(OR($K$1="",对接源_01水果!$C322="",对接源_01水果!$C322&lt;&gt;$K$1,对接源_01水果!$B322=""),0,IF(OR(N(对接源_01水果!$B322)&lt;$K$2,N(对接源_01水果!$B322)&gt;$K$3),0,1))</f>
        <v>0</v>
      </c>
      <c r="L322" s="3">
        <f>IF(OR($L$1="",对接源_01水果!$C322="",对接源_01水果!$C322&lt;&gt;$L$1,对接源_01水果!$B322=""),0,IF(OR(N(对接源_01水果!$B322)&lt;$L$2,N(对接源_01水果!$B322)&gt;$L$3),0,1))</f>
        <v>0</v>
      </c>
      <c r="M322" s="3">
        <f>IF(OR($M$1="",对接源_01水果!$C322="",对接源_01水果!$C322&lt;&gt;$M$1,对接源_01水果!$B322=""),0,IF(OR(N(对接源_01水果!$B322)&lt;$M$2,N(对接源_01水果!$B322)&gt;$M$3),0,1))</f>
        <v>0</v>
      </c>
      <c r="N322" s="3">
        <f>IF(OR($N$1="",对接源_01水果!$C322="",对接源_01水果!$C322&lt;&gt;$N$1,对接源_01水果!$B322=""),0,IF(OR(N(对接源_01水果!$B322)&lt;$N$2,N(对接源_01水果!$B322)&gt;$N$3),0,1))</f>
        <v>0</v>
      </c>
      <c r="P322" s="3">
        <f>IF(AND($K322=1,AND(对接源_01水果!$X322="公司筐",N(对接源_01水果!$T322)&lt;&gt;0)),1,0)</f>
        <v>0</v>
      </c>
      <c r="Q322" s="3">
        <f t="shared" si="79"/>
        <v>0</v>
      </c>
      <c r="R322" s="3">
        <f>IF(AND($K322=1,AND(对接源_01水果!$X322="公司筐",N(对接源_01水果!$U322)&lt;&gt;0)),1,0)</f>
        <v>0</v>
      </c>
      <c r="S322" s="3">
        <f t="shared" si="80"/>
        <v>0</v>
      </c>
      <c r="T322" s="3">
        <f>IF(AND($K322=1,AND(对接源_01水果!$X322="公司筐",N(对接源_01水果!$V322)&lt;&gt;0)),1,0)</f>
        <v>0</v>
      </c>
      <c r="U322" s="3">
        <f t="shared" si="81"/>
        <v>19</v>
      </c>
      <c r="V322" s="3">
        <f>IF(AND($L322=1,AND(对接源_01水果!$X322="自备筐",N(对接源_01水果!$V322)&lt;&gt;0)),1,0)</f>
        <v>0</v>
      </c>
      <c r="W322" s="3">
        <f t="shared" si="82"/>
        <v>8</v>
      </c>
      <c r="X322" s="3">
        <f>IF(AND($L322=1,AND(对接源_01水果!$X322="自备筐",N(对接源_01水果!$T322)&lt;&gt;0)),1,0)</f>
        <v>0</v>
      </c>
      <c r="Y322" s="3">
        <f t="shared" si="83"/>
        <v>0</v>
      </c>
      <c r="Z322" s="3">
        <f>IF(AND($M322=1,对接源_01水果!$D322="原料入库"),1,0)</f>
        <v>0</v>
      </c>
      <c r="AA322" s="3">
        <f t="shared" si="84"/>
        <v>24</v>
      </c>
      <c r="AB322" s="3">
        <f>IF(AND($M322=1,LEFT(对接源_01水果!$D322,4)="原料出库"),1,0)</f>
        <v>0</v>
      </c>
      <c r="AC322" s="3">
        <f t="shared" si="85"/>
        <v>0</v>
      </c>
      <c r="AD322" s="3">
        <f>IF(AND($M322=1,LEFT(对接源_01水果!$D322,4)="成品出库"),1,0)</f>
        <v>0</v>
      </c>
      <c r="AE322" s="3">
        <f t="shared" si="86"/>
        <v>0</v>
      </c>
      <c r="AF322" s="3">
        <f>IF(AND($N322=1,AND(LEFT(对接源_01水果!$D322,4)="包装物料",N(对接源_01水果!$K322)&lt;&gt;0)),1,0)</f>
        <v>0</v>
      </c>
      <c r="AG322" s="3">
        <f t="shared" si="87"/>
        <v>0</v>
      </c>
      <c r="AH322" s="3">
        <f>IF(AND($N322=1,AND(对接源_01水果!$D322="周转筐－销售出库",N(对接源_01水果!$K322)&lt;&gt;0)),1,0)</f>
        <v>0</v>
      </c>
      <c r="AI322" s="3">
        <f t="shared" si="88"/>
        <v>0</v>
      </c>
      <c r="AJ322" s="7"/>
      <c r="AL322" s="3">
        <f>IF(OR($AL$1="",对接源_01水果!$Y322="",对接源_01水果!$Y322&lt;&gt;$AL$1,对接源_01水果!$B322="",N(对接源_01水果!$AJ322)&lt;=0),0,IF(OR(N(对接源_01水果!$B322)&lt;$AL$2,N(对接源_01水果!$B322)&gt;$AL$3),0,1))</f>
        <v>0</v>
      </c>
      <c r="AM322" s="3">
        <f t="shared" si="89"/>
        <v>0</v>
      </c>
      <c r="AN322" s="3" t="str">
        <f>IF(对接源_01水果!$AC322="","",对接源_01水果!$AC322)</f>
        <v/>
      </c>
      <c r="AO322" s="3">
        <f t="shared" si="90"/>
        <v>0</v>
      </c>
      <c r="AP322" s="3">
        <f t="shared" si="91"/>
        <v>0</v>
      </c>
      <c r="AR322">
        <f t="shared" si="92"/>
        <v>0</v>
      </c>
      <c r="AS322">
        <f t="shared" si="93"/>
        <v>0</v>
      </c>
    </row>
    <row r="323" ht="14.25" customHeight="1" spans="1:45">
      <c r="A323" s="3" t="str">
        <f>IF(对接源_01水果!$C323="","",对接源_01水果!$C323)</f>
        <v>王照雪</v>
      </c>
      <c r="B323" s="3">
        <f t="shared" si="76"/>
        <v>0</v>
      </c>
      <c r="C323" s="3">
        <f t="shared" si="77"/>
        <v>18</v>
      </c>
      <c r="K323" s="3">
        <f>IF(OR($K$1="",对接源_01水果!$C323="",对接源_01水果!$C323&lt;&gt;$K$1,对接源_01水果!$B323=""),0,IF(OR(N(对接源_01水果!$B323)&lt;$K$2,N(对接源_01水果!$B323)&gt;$K$3),0,1))</f>
        <v>0</v>
      </c>
      <c r="L323" s="3">
        <f>IF(OR($L$1="",对接源_01水果!$C323="",对接源_01水果!$C323&lt;&gt;$L$1,对接源_01水果!$B323=""),0,IF(OR(N(对接源_01水果!$B323)&lt;$L$2,N(对接源_01水果!$B323)&gt;$L$3),0,1))</f>
        <v>0</v>
      </c>
      <c r="M323" s="3">
        <f>IF(OR($M$1="",对接源_01水果!$C323="",对接源_01水果!$C323&lt;&gt;$M$1,对接源_01水果!$B323=""),0,IF(OR(N(对接源_01水果!$B323)&lt;$M$2,N(对接源_01水果!$B323)&gt;$M$3),0,1))</f>
        <v>0</v>
      </c>
      <c r="N323" s="3">
        <f>IF(OR($N$1="",对接源_01水果!$C323="",对接源_01水果!$C323&lt;&gt;$N$1,对接源_01水果!$B323=""),0,IF(OR(N(对接源_01水果!$B323)&lt;$N$2,N(对接源_01水果!$B323)&gt;$N$3),0,1))</f>
        <v>0</v>
      </c>
      <c r="P323" s="3">
        <f>IF(AND($K323=1,AND(对接源_01水果!$X323="公司筐",N(对接源_01水果!$T323)&lt;&gt;0)),1,0)</f>
        <v>0</v>
      </c>
      <c r="Q323" s="3">
        <f t="shared" si="79"/>
        <v>0</v>
      </c>
      <c r="R323" s="3">
        <f>IF(AND($K323=1,AND(对接源_01水果!$X323="公司筐",N(对接源_01水果!$U323)&lt;&gt;0)),1,0)</f>
        <v>0</v>
      </c>
      <c r="S323" s="3">
        <f t="shared" si="80"/>
        <v>0</v>
      </c>
      <c r="T323" s="3">
        <f>IF(AND($K323=1,AND(对接源_01水果!$X323="公司筐",N(对接源_01水果!$V323)&lt;&gt;0)),1,0)</f>
        <v>0</v>
      </c>
      <c r="U323" s="3">
        <f t="shared" si="81"/>
        <v>19</v>
      </c>
      <c r="V323" s="3">
        <f>IF(AND($L323=1,AND(对接源_01水果!$X323="自备筐",N(对接源_01水果!$V323)&lt;&gt;0)),1,0)</f>
        <v>0</v>
      </c>
      <c r="W323" s="3">
        <f t="shared" si="82"/>
        <v>8</v>
      </c>
      <c r="X323" s="3">
        <f>IF(AND($L323=1,AND(对接源_01水果!$X323="自备筐",N(对接源_01水果!$T323)&lt;&gt;0)),1,0)</f>
        <v>0</v>
      </c>
      <c r="Y323" s="3">
        <f t="shared" si="83"/>
        <v>0</v>
      </c>
      <c r="Z323" s="3">
        <f>IF(AND($M323=1,对接源_01水果!$D323="原料入库"),1,0)</f>
        <v>0</v>
      </c>
      <c r="AA323" s="3">
        <f t="shared" si="84"/>
        <v>24</v>
      </c>
      <c r="AB323" s="3">
        <f>IF(AND($M323=1,LEFT(对接源_01水果!$D323,4)="原料出库"),1,0)</f>
        <v>0</v>
      </c>
      <c r="AC323" s="3">
        <f t="shared" si="85"/>
        <v>0</v>
      </c>
      <c r="AD323" s="3">
        <f>IF(AND($M323=1,LEFT(对接源_01水果!$D323,4)="成品出库"),1,0)</f>
        <v>0</v>
      </c>
      <c r="AE323" s="3">
        <f t="shared" si="86"/>
        <v>0</v>
      </c>
      <c r="AF323" s="3">
        <f>IF(AND($N323=1,AND(LEFT(对接源_01水果!$D323,4)="包装物料",N(对接源_01水果!$K323)&lt;&gt;0)),1,0)</f>
        <v>0</v>
      </c>
      <c r="AG323" s="3">
        <f t="shared" si="87"/>
        <v>0</v>
      </c>
      <c r="AH323" s="3">
        <f>IF(AND($N323=1,AND(对接源_01水果!$D323="周转筐－销售出库",N(对接源_01水果!$K323)&lt;&gt;0)),1,0)</f>
        <v>0</v>
      </c>
      <c r="AI323" s="3">
        <f t="shared" si="88"/>
        <v>0</v>
      </c>
      <c r="AJ323" s="7"/>
      <c r="AL323" s="3">
        <f>IF(OR($AL$1="",对接源_01水果!$Y323="",对接源_01水果!$Y323&lt;&gt;$AL$1,对接源_01水果!$B323="",N(对接源_01水果!$AJ323)&lt;=0),0,IF(OR(N(对接源_01水果!$B323)&lt;$AL$2,N(对接源_01水果!$B323)&gt;$AL$3),0,1))</f>
        <v>0</v>
      </c>
      <c r="AM323" s="3">
        <f t="shared" si="89"/>
        <v>0</v>
      </c>
      <c r="AN323" s="3" t="str">
        <f>IF(对接源_01水果!$AC323="","",对接源_01水果!$AC323)</f>
        <v/>
      </c>
      <c r="AO323" s="3">
        <f t="shared" si="90"/>
        <v>0</v>
      </c>
      <c r="AP323" s="3">
        <f t="shared" si="91"/>
        <v>0</v>
      </c>
      <c r="AR323">
        <f t="shared" si="92"/>
        <v>0</v>
      </c>
      <c r="AS323">
        <f t="shared" si="93"/>
        <v>0</v>
      </c>
    </row>
    <row r="324" ht="14.25" customHeight="1" spans="1:45">
      <c r="A324" s="3" t="str">
        <f>IF(对接源_01水果!$C324="","",对接源_01水果!$C324)</f>
        <v>聂新平</v>
      </c>
      <c r="B324" s="3">
        <f t="shared" ref="B324:B387" si="94">IF(A324="",0,IF(MATCH(A324,$A$4:$A$2403,0)=ROW()-3,1,0))</f>
        <v>0</v>
      </c>
      <c r="C324" s="3">
        <f t="shared" ref="C324:C387" si="95">N(C323)+B324</f>
        <v>18</v>
      </c>
      <c r="K324" s="3">
        <f>IF(OR($K$1="",对接源_01水果!$C324="",对接源_01水果!$C324&lt;&gt;$K$1,对接源_01水果!$B324=""),0,IF(OR(N(对接源_01水果!$B324)&lt;$K$2,N(对接源_01水果!$B324)&gt;$K$3),0,1))</f>
        <v>0</v>
      </c>
      <c r="L324" s="3">
        <f>IF(OR($L$1="",对接源_01水果!$C324="",对接源_01水果!$C324&lt;&gt;$L$1,对接源_01水果!$B324=""),0,IF(OR(N(对接源_01水果!$B324)&lt;$L$2,N(对接源_01水果!$B324)&gt;$L$3),0,1))</f>
        <v>0</v>
      </c>
      <c r="M324" s="3">
        <f>IF(OR($M$1="",对接源_01水果!$C324="",对接源_01水果!$C324&lt;&gt;$M$1,对接源_01水果!$B324=""),0,IF(OR(N(对接源_01水果!$B324)&lt;$M$2,N(对接源_01水果!$B324)&gt;$M$3),0,1))</f>
        <v>0</v>
      </c>
      <c r="N324" s="3">
        <f>IF(OR($N$1="",对接源_01水果!$C324="",对接源_01水果!$C324&lt;&gt;$N$1,对接源_01水果!$B324=""),0,IF(OR(N(对接源_01水果!$B324)&lt;$N$2,N(对接源_01水果!$B324)&gt;$N$3),0,1))</f>
        <v>0</v>
      </c>
      <c r="P324" s="3">
        <f>IF(AND($K324=1,AND(对接源_01水果!$X324="公司筐",N(对接源_01水果!$T324)&lt;&gt;0)),1,0)</f>
        <v>0</v>
      </c>
      <c r="Q324" s="3">
        <f t="shared" ref="Q324:Q387" si="96">N(Q323)+$P324</f>
        <v>0</v>
      </c>
      <c r="R324" s="3">
        <f>IF(AND($K324=1,AND(对接源_01水果!$X324="公司筐",N(对接源_01水果!$U324)&lt;&gt;0)),1,0)</f>
        <v>0</v>
      </c>
      <c r="S324" s="3">
        <f t="shared" ref="S324:S387" si="97">N(S323)+$R324</f>
        <v>0</v>
      </c>
      <c r="T324" s="3">
        <f>IF(AND($K324=1,AND(对接源_01水果!$X324="公司筐",N(对接源_01水果!$V324)&lt;&gt;0)),1,0)</f>
        <v>0</v>
      </c>
      <c r="U324" s="3">
        <f t="shared" ref="U324:U387" si="98">N(U323)+$T324</f>
        <v>19</v>
      </c>
      <c r="V324" s="3">
        <f>IF(AND($L324=1,AND(对接源_01水果!$X324="自备筐",N(对接源_01水果!$V324)&lt;&gt;0)),1,0)</f>
        <v>0</v>
      </c>
      <c r="W324" s="3">
        <f t="shared" ref="W324:W387" si="99">N(W323)+$V324</f>
        <v>8</v>
      </c>
      <c r="X324" s="3">
        <f>IF(AND($L324=1,AND(对接源_01水果!$X324="自备筐",N(对接源_01水果!$T324)&lt;&gt;0)),1,0)</f>
        <v>0</v>
      </c>
      <c r="Y324" s="3">
        <f t="shared" ref="Y324:Y387" si="100">N(Y323)+$X324</f>
        <v>0</v>
      </c>
      <c r="Z324" s="3">
        <f>IF(AND($M324=1,对接源_01水果!$D324="原料入库"),1,0)</f>
        <v>0</v>
      </c>
      <c r="AA324" s="3">
        <f t="shared" ref="AA324:AA387" si="101">N(AA323)+$Z324</f>
        <v>24</v>
      </c>
      <c r="AB324" s="3">
        <f>IF(AND($M324=1,LEFT(对接源_01水果!$D324,4)="原料出库"),1,0)</f>
        <v>0</v>
      </c>
      <c r="AC324" s="3">
        <f t="shared" ref="AC324:AC387" si="102">N(AC323)+$AB324</f>
        <v>0</v>
      </c>
      <c r="AD324" s="3">
        <f>IF(AND($M324=1,LEFT(对接源_01水果!$D324,4)="成品出库"),1,0)</f>
        <v>0</v>
      </c>
      <c r="AE324" s="3">
        <f t="shared" ref="AE324:AE387" si="103">N(AE323)+$AD324</f>
        <v>0</v>
      </c>
      <c r="AF324" s="3">
        <f>IF(AND($N324=1,AND(LEFT(对接源_01水果!$D324,4)="包装物料",N(对接源_01水果!$K324)&lt;&gt;0)),1,0)</f>
        <v>0</v>
      </c>
      <c r="AG324" s="3">
        <f t="shared" ref="AG324:AG387" si="104">N(AG323)+$AF324</f>
        <v>0</v>
      </c>
      <c r="AH324" s="3">
        <f>IF(AND($N324=1,AND(对接源_01水果!$D324="周转筐－销售出库",N(对接源_01水果!$K324)&lt;&gt;0)),1,0)</f>
        <v>0</v>
      </c>
      <c r="AI324" s="3">
        <f t="shared" ref="AI324:AI387" si="105">N(AI323)+$AH324</f>
        <v>0</v>
      </c>
      <c r="AJ324" s="7"/>
      <c r="AL324" s="3">
        <f>IF(OR($AL$1="",对接源_01水果!$Y324="",对接源_01水果!$Y324&lt;&gt;$AL$1,对接源_01水果!$B324="",N(对接源_01水果!$AJ324)&lt;=0),0,IF(OR(N(对接源_01水果!$B324)&lt;$AL$2,N(对接源_01水果!$B324)&gt;$AL$3),0,1))</f>
        <v>0</v>
      </c>
      <c r="AM324" s="3">
        <f t="shared" ref="AM324:AM387" si="106">N(AM323)+$AL324</f>
        <v>0</v>
      </c>
      <c r="AN324" s="3" t="str">
        <f>IF(对接源_01水果!$AC324="","",对接源_01水果!$AC324)</f>
        <v/>
      </c>
      <c r="AO324" s="3">
        <f t="shared" ref="AO324:AO387" si="107">IF(AN324="",0,IF(MATCH(AN324,$AN$4:$AN$1203,0)=ROW()-3,1,0))</f>
        <v>0</v>
      </c>
      <c r="AP324" s="3">
        <f t="shared" ref="AP324:AP387" si="108">N(AP323)+$AO324</f>
        <v>0</v>
      </c>
      <c r="AR324">
        <f t="shared" ref="AR324:AR387" si="109">IF(OR($AF324=1,$AH324=1),1,0)</f>
        <v>0</v>
      </c>
      <c r="AS324">
        <f t="shared" ref="AS324:AS387" si="110">N(AS323)+$AR324</f>
        <v>0</v>
      </c>
    </row>
    <row r="325" ht="14.25" customHeight="1" spans="1:45">
      <c r="A325" s="3" t="str">
        <f>IF(对接源_01水果!$C325="","",对接源_01水果!$C325)</f>
        <v>聂新平</v>
      </c>
      <c r="B325" s="3">
        <f t="shared" si="94"/>
        <v>0</v>
      </c>
      <c r="C325" s="3">
        <f t="shared" si="95"/>
        <v>18</v>
      </c>
      <c r="K325" s="3">
        <f>IF(OR($K$1="",对接源_01水果!$C325="",对接源_01水果!$C325&lt;&gt;$K$1,对接源_01水果!$B325=""),0,IF(OR(N(对接源_01水果!$B325)&lt;$K$2,N(对接源_01水果!$B325)&gt;$K$3),0,1))</f>
        <v>0</v>
      </c>
      <c r="L325" s="3">
        <f>IF(OR($L$1="",对接源_01水果!$C325="",对接源_01水果!$C325&lt;&gt;$L$1,对接源_01水果!$B325=""),0,IF(OR(N(对接源_01水果!$B325)&lt;$L$2,N(对接源_01水果!$B325)&gt;$L$3),0,1))</f>
        <v>0</v>
      </c>
      <c r="M325" s="3">
        <f>IF(OR($M$1="",对接源_01水果!$C325="",对接源_01水果!$C325&lt;&gt;$M$1,对接源_01水果!$B325=""),0,IF(OR(N(对接源_01水果!$B325)&lt;$M$2,N(对接源_01水果!$B325)&gt;$M$3),0,1))</f>
        <v>0</v>
      </c>
      <c r="N325" s="3">
        <f>IF(OR($N$1="",对接源_01水果!$C325="",对接源_01水果!$C325&lt;&gt;$N$1,对接源_01水果!$B325=""),0,IF(OR(N(对接源_01水果!$B325)&lt;$N$2,N(对接源_01水果!$B325)&gt;$N$3),0,1))</f>
        <v>0</v>
      </c>
      <c r="P325" s="3">
        <f>IF(AND($K325=1,AND(对接源_01水果!$X325="公司筐",N(对接源_01水果!$T325)&lt;&gt;0)),1,0)</f>
        <v>0</v>
      </c>
      <c r="Q325" s="3">
        <f t="shared" si="96"/>
        <v>0</v>
      </c>
      <c r="R325" s="3">
        <f>IF(AND($K325=1,AND(对接源_01水果!$X325="公司筐",N(对接源_01水果!$U325)&lt;&gt;0)),1,0)</f>
        <v>0</v>
      </c>
      <c r="S325" s="3">
        <f t="shared" si="97"/>
        <v>0</v>
      </c>
      <c r="T325" s="3">
        <f>IF(AND($K325=1,AND(对接源_01水果!$X325="公司筐",N(对接源_01水果!$V325)&lt;&gt;0)),1,0)</f>
        <v>0</v>
      </c>
      <c r="U325" s="3">
        <f t="shared" si="98"/>
        <v>19</v>
      </c>
      <c r="V325" s="3">
        <f>IF(AND($L325=1,AND(对接源_01水果!$X325="自备筐",N(对接源_01水果!$V325)&lt;&gt;0)),1,0)</f>
        <v>0</v>
      </c>
      <c r="W325" s="3">
        <f t="shared" si="99"/>
        <v>8</v>
      </c>
      <c r="X325" s="3">
        <f>IF(AND($L325=1,AND(对接源_01水果!$X325="自备筐",N(对接源_01水果!$T325)&lt;&gt;0)),1,0)</f>
        <v>0</v>
      </c>
      <c r="Y325" s="3">
        <f t="shared" si="100"/>
        <v>0</v>
      </c>
      <c r="Z325" s="3">
        <f>IF(AND($M325=1,对接源_01水果!$D325="原料入库"),1,0)</f>
        <v>0</v>
      </c>
      <c r="AA325" s="3">
        <f t="shared" si="101"/>
        <v>24</v>
      </c>
      <c r="AB325" s="3">
        <f>IF(AND($M325=1,LEFT(对接源_01水果!$D325,4)="原料出库"),1,0)</f>
        <v>0</v>
      </c>
      <c r="AC325" s="3">
        <f t="shared" si="102"/>
        <v>0</v>
      </c>
      <c r="AD325" s="3">
        <f>IF(AND($M325=1,LEFT(对接源_01水果!$D325,4)="成品出库"),1,0)</f>
        <v>0</v>
      </c>
      <c r="AE325" s="3">
        <f t="shared" si="103"/>
        <v>0</v>
      </c>
      <c r="AF325" s="3">
        <f>IF(AND($N325=1,AND(LEFT(对接源_01水果!$D325,4)="包装物料",N(对接源_01水果!$K325)&lt;&gt;0)),1,0)</f>
        <v>0</v>
      </c>
      <c r="AG325" s="3">
        <f t="shared" si="104"/>
        <v>0</v>
      </c>
      <c r="AH325" s="3">
        <f>IF(AND($N325=1,AND(对接源_01水果!$D325="周转筐－销售出库",N(对接源_01水果!$K325)&lt;&gt;0)),1,0)</f>
        <v>0</v>
      </c>
      <c r="AI325" s="3">
        <f t="shared" si="105"/>
        <v>0</v>
      </c>
      <c r="AJ325" s="7"/>
      <c r="AL325" s="3">
        <f>IF(OR($AL$1="",对接源_01水果!$Y325="",对接源_01水果!$Y325&lt;&gt;$AL$1,对接源_01水果!$B325="",N(对接源_01水果!$AJ325)&lt;=0),0,IF(OR(N(对接源_01水果!$B325)&lt;$AL$2,N(对接源_01水果!$B325)&gt;$AL$3),0,1))</f>
        <v>0</v>
      </c>
      <c r="AM325" s="3">
        <f t="shared" si="106"/>
        <v>0</v>
      </c>
      <c r="AN325" s="3" t="str">
        <f>IF(对接源_01水果!$AC325="","",对接源_01水果!$AC325)</f>
        <v/>
      </c>
      <c r="AO325" s="3">
        <f t="shared" si="107"/>
        <v>0</v>
      </c>
      <c r="AP325" s="3">
        <f t="shared" si="108"/>
        <v>0</v>
      </c>
      <c r="AR325">
        <f t="shared" si="109"/>
        <v>0</v>
      </c>
      <c r="AS325">
        <f t="shared" si="110"/>
        <v>0</v>
      </c>
    </row>
    <row r="326" ht="14.25" customHeight="1" spans="1:45">
      <c r="A326" s="3" t="str">
        <f>IF(对接源_01水果!$C326="","",对接源_01水果!$C326)</f>
        <v>聂新平</v>
      </c>
      <c r="B326" s="3">
        <f t="shared" si="94"/>
        <v>0</v>
      </c>
      <c r="C326" s="3">
        <f t="shared" si="95"/>
        <v>18</v>
      </c>
      <c r="K326" s="3">
        <f>IF(OR($K$1="",对接源_01水果!$C326="",对接源_01水果!$C326&lt;&gt;$K$1,对接源_01水果!$B326=""),0,IF(OR(N(对接源_01水果!$B326)&lt;$K$2,N(对接源_01水果!$B326)&gt;$K$3),0,1))</f>
        <v>0</v>
      </c>
      <c r="L326" s="3">
        <f>IF(OR($L$1="",对接源_01水果!$C326="",对接源_01水果!$C326&lt;&gt;$L$1,对接源_01水果!$B326=""),0,IF(OR(N(对接源_01水果!$B326)&lt;$L$2,N(对接源_01水果!$B326)&gt;$L$3),0,1))</f>
        <v>0</v>
      </c>
      <c r="M326" s="3">
        <f>IF(OR($M$1="",对接源_01水果!$C326="",对接源_01水果!$C326&lt;&gt;$M$1,对接源_01水果!$B326=""),0,IF(OR(N(对接源_01水果!$B326)&lt;$M$2,N(对接源_01水果!$B326)&gt;$M$3),0,1))</f>
        <v>0</v>
      </c>
      <c r="N326" s="3">
        <f>IF(OR($N$1="",对接源_01水果!$C326="",对接源_01水果!$C326&lt;&gt;$N$1,对接源_01水果!$B326=""),0,IF(OR(N(对接源_01水果!$B326)&lt;$N$2,N(对接源_01水果!$B326)&gt;$N$3),0,1))</f>
        <v>0</v>
      </c>
      <c r="P326" s="3">
        <f>IF(AND($K326=1,AND(对接源_01水果!$X326="公司筐",N(对接源_01水果!$T326)&lt;&gt;0)),1,0)</f>
        <v>0</v>
      </c>
      <c r="Q326" s="3">
        <f t="shared" si="96"/>
        <v>0</v>
      </c>
      <c r="R326" s="3">
        <f>IF(AND($K326=1,AND(对接源_01水果!$X326="公司筐",N(对接源_01水果!$U326)&lt;&gt;0)),1,0)</f>
        <v>0</v>
      </c>
      <c r="S326" s="3">
        <f t="shared" si="97"/>
        <v>0</v>
      </c>
      <c r="T326" s="3">
        <f>IF(AND($K326=1,AND(对接源_01水果!$X326="公司筐",N(对接源_01水果!$V326)&lt;&gt;0)),1,0)</f>
        <v>0</v>
      </c>
      <c r="U326" s="3">
        <f t="shared" si="98"/>
        <v>19</v>
      </c>
      <c r="V326" s="3">
        <f>IF(AND($L326=1,AND(对接源_01水果!$X326="自备筐",N(对接源_01水果!$V326)&lt;&gt;0)),1,0)</f>
        <v>0</v>
      </c>
      <c r="W326" s="3">
        <f t="shared" si="99"/>
        <v>8</v>
      </c>
      <c r="X326" s="3">
        <f>IF(AND($L326=1,AND(对接源_01水果!$X326="自备筐",N(对接源_01水果!$T326)&lt;&gt;0)),1,0)</f>
        <v>0</v>
      </c>
      <c r="Y326" s="3">
        <f t="shared" si="100"/>
        <v>0</v>
      </c>
      <c r="Z326" s="3">
        <f>IF(AND($M326=1,对接源_01水果!$D326="原料入库"),1,0)</f>
        <v>0</v>
      </c>
      <c r="AA326" s="3">
        <f t="shared" si="101"/>
        <v>24</v>
      </c>
      <c r="AB326" s="3">
        <f>IF(AND($M326=1,LEFT(对接源_01水果!$D326,4)="原料出库"),1,0)</f>
        <v>0</v>
      </c>
      <c r="AC326" s="3">
        <f t="shared" si="102"/>
        <v>0</v>
      </c>
      <c r="AD326" s="3">
        <f>IF(AND($M326=1,LEFT(对接源_01水果!$D326,4)="成品出库"),1,0)</f>
        <v>0</v>
      </c>
      <c r="AE326" s="3">
        <f t="shared" si="103"/>
        <v>0</v>
      </c>
      <c r="AF326" s="3">
        <f>IF(AND($N326=1,AND(LEFT(对接源_01水果!$D326,4)="包装物料",N(对接源_01水果!$K326)&lt;&gt;0)),1,0)</f>
        <v>0</v>
      </c>
      <c r="AG326" s="3">
        <f t="shared" si="104"/>
        <v>0</v>
      </c>
      <c r="AH326" s="3">
        <f>IF(AND($N326=1,AND(对接源_01水果!$D326="周转筐－销售出库",N(对接源_01水果!$K326)&lt;&gt;0)),1,0)</f>
        <v>0</v>
      </c>
      <c r="AI326" s="3">
        <f t="shared" si="105"/>
        <v>0</v>
      </c>
      <c r="AJ326" s="7"/>
      <c r="AL326" s="3">
        <f>IF(OR($AL$1="",对接源_01水果!$Y326="",对接源_01水果!$Y326&lt;&gt;$AL$1,对接源_01水果!$B326="",N(对接源_01水果!$AJ326)&lt;=0),0,IF(OR(N(对接源_01水果!$B326)&lt;$AL$2,N(对接源_01水果!$B326)&gt;$AL$3),0,1))</f>
        <v>0</v>
      </c>
      <c r="AM326" s="3">
        <f t="shared" si="106"/>
        <v>0</v>
      </c>
      <c r="AN326" s="3" t="str">
        <f>IF(对接源_01水果!$AC326="","",对接源_01水果!$AC326)</f>
        <v/>
      </c>
      <c r="AO326" s="3">
        <f t="shared" si="107"/>
        <v>0</v>
      </c>
      <c r="AP326" s="3">
        <f t="shared" si="108"/>
        <v>0</v>
      </c>
      <c r="AR326">
        <f t="shared" si="109"/>
        <v>0</v>
      </c>
      <c r="AS326">
        <f t="shared" si="110"/>
        <v>0</v>
      </c>
    </row>
    <row r="327" ht="14.25" customHeight="1" spans="1:45">
      <c r="A327" s="3" t="str">
        <f>IF(对接源_01水果!$C327="","",对接源_01水果!$C327)</f>
        <v>聂新平</v>
      </c>
      <c r="B327" s="3">
        <f t="shared" si="94"/>
        <v>0</v>
      </c>
      <c r="C327" s="3">
        <f t="shared" si="95"/>
        <v>18</v>
      </c>
      <c r="K327" s="3">
        <f>IF(OR($K$1="",对接源_01水果!$C327="",对接源_01水果!$C327&lt;&gt;$K$1,对接源_01水果!$B327=""),0,IF(OR(N(对接源_01水果!$B327)&lt;$K$2,N(对接源_01水果!$B327)&gt;$K$3),0,1))</f>
        <v>0</v>
      </c>
      <c r="L327" s="3">
        <f>IF(OR($L$1="",对接源_01水果!$C327="",对接源_01水果!$C327&lt;&gt;$L$1,对接源_01水果!$B327=""),0,IF(OR(N(对接源_01水果!$B327)&lt;$L$2,N(对接源_01水果!$B327)&gt;$L$3),0,1))</f>
        <v>0</v>
      </c>
      <c r="M327" s="3">
        <f>IF(OR($M$1="",对接源_01水果!$C327="",对接源_01水果!$C327&lt;&gt;$M$1,对接源_01水果!$B327=""),0,IF(OR(N(对接源_01水果!$B327)&lt;$M$2,N(对接源_01水果!$B327)&gt;$M$3),0,1))</f>
        <v>0</v>
      </c>
      <c r="N327" s="3">
        <f>IF(OR($N$1="",对接源_01水果!$C327="",对接源_01水果!$C327&lt;&gt;$N$1,对接源_01水果!$B327=""),0,IF(OR(N(对接源_01水果!$B327)&lt;$N$2,N(对接源_01水果!$B327)&gt;$N$3),0,1))</f>
        <v>0</v>
      </c>
      <c r="P327" s="3">
        <f>IF(AND($K327=1,AND(对接源_01水果!$X327="公司筐",N(对接源_01水果!$T327)&lt;&gt;0)),1,0)</f>
        <v>0</v>
      </c>
      <c r="Q327" s="3">
        <f t="shared" si="96"/>
        <v>0</v>
      </c>
      <c r="R327" s="3">
        <f>IF(AND($K327=1,AND(对接源_01水果!$X327="公司筐",N(对接源_01水果!$U327)&lt;&gt;0)),1,0)</f>
        <v>0</v>
      </c>
      <c r="S327" s="3">
        <f t="shared" si="97"/>
        <v>0</v>
      </c>
      <c r="T327" s="3">
        <f>IF(AND($K327=1,AND(对接源_01水果!$X327="公司筐",N(对接源_01水果!$V327)&lt;&gt;0)),1,0)</f>
        <v>0</v>
      </c>
      <c r="U327" s="3">
        <f t="shared" si="98"/>
        <v>19</v>
      </c>
      <c r="V327" s="3">
        <f>IF(AND($L327=1,AND(对接源_01水果!$X327="自备筐",N(对接源_01水果!$V327)&lt;&gt;0)),1,0)</f>
        <v>0</v>
      </c>
      <c r="W327" s="3">
        <f t="shared" si="99"/>
        <v>8</v>
      </c>
      <c r="X327" s="3">
        <f>IF(AND($L327=1,AND(对接源_01水果!$X327="自备筐",N(对接源_01水果!$T327)&lt;&gt;0)),1,0)</f>
        <v>0</v>
      </c>
      <c r="Y327" s="3">
        <f t="shared" si="100"/>
        <v>0</v>
      </c>
      <c r="Z327" s="3">
        <f>IF(AND($M327=1,对接源_01水果!$D327="原料入库"),1,0)</f>
        <v>0</v>
      </c>
      <c r="AA327" s="3">
        <f t="shared" si="101"/>
        <v>24</v>
      </c>
      <c r="AB327" s="3">
        <f>IF(AND($M327=1,LEFT(对接源_01水果!$D327,4)="原料出库"),1,0)</f>
        <v>0</v>
      </c>
      <c r="AC327" s="3">
        <f t="shared" si="102"/>
        <v>0</v>
      </c>
      <c r="AD327" s="3">
        <f>IF(AND($M327=1,LEFT(对接源_01水果!$D327,4)="成品出库"),1,0)</f>
        <v>0</v>
      </c>
      <c r="AE327" s="3">
        <f t="shared" si="103"/>
        <v>0</v>
      </c>
      <c r="AF327" s="3">
        <f>IF(AND($N327=1,AND(LEFT(对接源_01水果!$D327,4)="包装物料",N(对接源_01水果!$K327)&lt;&gt;0)),1,0)</f>
        <v>0</v>
      </c>
      <c r="AG327" s="3">
        <f t="shared" si="104"/>
        <v>0</v>
      </c>
      <c r="AH327" s="3">
        <f>IF(AND($N327=1,AND(对接源_01水果!$D327="周转筐－销售出库",N(对接源_01水果!$K327)&lt;&gt;0)),1,0)</f>
        <v>0</v>
      </c>
      <c r="AI327" s="3">
        <f t="shared" si="105"/>
        <v>0</v>
      </c>
      <c r="AJ327" s="7"/>
      <c r="AL327" s="3">
        <f>IF(OR($AL$1="",对接源_01水果!$Y327="",对接源_01水果!$Y327&lt;&gt;$AL$1,对接源_01水果!$B327="",N(对接源_01水果!$AJ327)&lt;=0),0,IF(OR(N(对接源_01水果!$B327)&lt;$AL$2,N(对接源_01水果!$B327)&gt;$AL$3),0,1))</f>
        <v>0</v>
      </c>
      <c r="AM327" s="3">
        <f t="shared" si="106"/>
        <v>0</v>
      </c>
      <c r="AN327" s="3" t="str">
        <f>IF(对接源_01水果!$AC327="","",对接源_01水果!$AC327)</f>
        <v/>
      </c>
      <c r="AO327" s="3">
        <f t="shared" si="107"/>
        <v>0</v>
      </c>
      <c r="AP327" s="3">
        <f t="shared" si="108"/>
        <v>0</v>
      </c>
      <c r="AR327">
        <f t="shared" si="109"/>
        <v>0</v>
      </c>
      <c r="AS327">
        <f t="shared" si="110"/>
        <v>0</v>
      </c>
    </row>
    <row r="328" ht="14.25" customHeight="1" spans="1:45">
      <c r="A328" s="3" t="str">
        <f>IF(对接源_01水果!$C328="","",对接源_01水果!$C328)</f>
        <v>聂新平</v>
      </c>
      <c r="B328" s="3">
        <f t="shared" si="94"/>
        <v>0</v>
      </c>
      <c r="C328" s="3">
        <f t="shared" si="95"/>
        <v>18</v>
      </c>
      <c r="K328" s="3">
        <f>IF(OR($K$1="",对接源_01水果!$C328="",对接源_01水果!$C328&lt;&gt;$K$1,对接源_01水果!$B328=""),0,IF(OR(N(对接源_01水果!$B328)&lt;$K$2,N(对接源_01水果!$B328)&gt;$K$3),0,1))</f>
        <v>0</v>
      </c>
      <c r="L328" s="3">
        <f>IF(OR($L$1="",对接源_01水果!$C328="",对接源_01水果!$C328&lt;&gt;$L$1,对接源_01水果!$B328=""),0,IF(OR(N(对接源_01水果!$B328)&lt;$L$2,N(对接源_01水果!$B328)&gt;$L$3),0,1))</f>
        <v>0</v>
      </c>
      <c r="M328" s="3">
        <f>IF(OR($M$1="",对接源_01水果!$C328="",对接源_01水果!$C328&lt;&gt;$M$1,对接源_01水果!$B328=""),0,IF(OR(N(对接源_01水果!$B328)&lt;$M$2,N(对接源_01水果!$B328)&gt;$M$3),0,1))</f>
        <v>0</v>
      </c>
      <c r="N328" s="3">
        <f>IF(OR($N$1="",对接源_01水果!$C328="",对接源_01水果!$C328&lt;&gt;$N$1,对接源_01水果!$B328=""),0,IF(OR(N(对接源_01水果!$B328)&lt;$N$2,N(对接源_01水果!$B328)&gt;$N$3),0,1))</f>
        <v>0</v>
      </c>
      <c r="P328" s="3">
        <f>IF(AND($K328=1,AND(对接源_01水果!$X328="公司筐",N(对接源_01水果!$T328)&lt;&gt;0)),1,0)</f>
        <v>0</v>
      </c>
      <c r="Q328" s="3">
        <f t="shared" si="96"/>
        <v>0</v>
      </c>
      <c r="R328" s="3">
        <f>IF(AND($K328=1,AND(对接源_01水果!$X328="公司筐",N(对接源_01水果!$U328)&lt;&gt;0)),1,0)</f>
        <v>0</v>
      </c>
      <c r="S328" s="3">
        <f t="shared" si="97"/>
        <v>0</v>
      </c>
      <c r="T328" s="3">
        <f>IF(AND($K328=1,AND(对接源_01水果!$X328="公司筐",N(对接源_01水果!$V328)&lt;&gt;0)),1,0)</f>
        <v>0</v>
      </c>
      <c r="U328" s="3">
        <f t="shared" si="98"/>
        <v>19</v>
      </c>
      <c r="V328" s="3">
        <f>IF(AND($L328=1,AND(对接源_01水果!$X328="自备筐",N(对接源_01水果!$V328)&lt;&gt;0)),1,0)</f>
        <v>0</v>
      </c>
      <c r="W328" s="3">
        <f t="shared" si="99"/>
        <v>8</v>
      </c>
      <c r="X328" s="3">
        <f>IF(AND($L328=1,AND(对接源_01水果!$X328="自备筐",N(对接源_01水果!$T328)&lt;&gt;0)),1,0)</f>
        <v>0</v>
      </c>
      <c r="Y328" s="3">
        <f t="shared" si="100"/>
        <v>0</v>
      </c>
      <c r="Z328" s="3">
        <f>IF(AND($M328=1,对接源_01水果!$D328="原料入库"),1,0)</f>
        <v>0</v>
      </c>
      <c r="AA328" s="3">
        <f t="shared" si="101"/>
        <v>24</v>
      </c>
      <c r="AB328" s="3">
        <f>IF(AND($M328=1,LEFT(对接源_01水果!$D328,4)="原料出库"),1,0)</f>
        <v>0</v>
      </c>
      <c r="AC328" s="3">
        <f t="shared" si="102"/>
        <v>0</v>
      </c>
      <c r="AD328" s="3">
        <f>IF(AND($M328=1,LEFT(对接源_01水果!$D328,4)="成品出库"),1,0)</f>
        <v>0</v>
      </c>
      <c r="AE328" s="3">
        <f t="shared" si="103"/>
        <v>0</v>
      </c>
      <c r="AF328" s="3">
        <f>IF(AND($N328=1,AND(LEFT(对接源_01水果!$D328,4)="包装物料",N(对接源_01水果!$K328)&lt;&gt;0)),1,0)</f>
        <v>0</v>
      </c>
      <c r="AG328" s="3">
        <f t="shared" si="104"/>
        <v>0</v>
      </c>
      <c r="AH328" s="3">
        <f>IF(AND($N328=1,AND(对接源_01水果!$D328="周转筐－销售出库",N(对接源_01水果!$K328)&lt;&gt;0)),1,0)</f>
        <v>0</v>
      </c>
      <c r="AI328" s="3">
        <f t="shared" si="105"/>
        <v>0</v>
      </c>
      <c r="AJ328" s="7"/>
      <c r="AL328" s="3">
        <f>IF(OR($AL$1="",对接源_01水果!$Y328="",对接源_01水果!$Y328&lt;&gt;$AL$1,对接源_01水果!$B328="",N(对接源_01水果!$AJ328)&lt;=0),0,IF(OR(N(对接源_01水果!$B328)&lt;$AL$2,N(对接源_01水果!$B328)&gt;$AL$3),0,1))</f>
        <v>0</v>
      </c>
      <c r="AM328" s="3">
        <f t="shared" si="106"/>
        <v>0</v>
      </c>
      <c r="AN328" s="3" t="str">
        <f>IF(对接源_01水果!$AC328="","",对接源_01水果!$AC328)</f>
        <v/>
      </c>
      <c r="AO328" s="3">
        <f t="shared" si="107"/>
        <v>0</v>
      </c>
      <c r="AP328" s="3">
        <f t="shared" si="108"/>
        <v>0</v>
      </c>
      <c r="AR328">
        <f t="shared" si="109"/>
        <v>0</v>
      </c>
      <c r="AS328">
        <f t="shared" si="110"/>
        <v>0</v>
      </c>
    </row>
    <row r="329" ht="14.25" customHeight="1" spans="1:45">
      <c r="A329" s="3" t="str">
        <f>IF(对接源_01水果!$C329="","",对接源_01水果!$C329)</f>
        <v>聂新平</v>
      </c>
      <c r="B329" s="3">
        <f t="shared" si="94"/>
        <v>0</v>
      </c>
      <c r="C329" s="3">
        <f t="shared" si="95"/>
        <v>18</v>
      </c>
      <c r="K329" s="3">
        <f>IF(OR($K$1="",对接源_01水果!$C329="",对接源_01水果!$C329&lt;&gt;$K$1,对接源_01水果!$B329=""),0,IF(OR(N(对接源_01水果!$B329)&lt;$K$2,N(对接源_01水果!$B329)&gt;$K$3),0,1))</f>
        <v>0</v>
      </c>
      <c r="L329" s="3">
        <f>IF(OR($L$1="",对接源_01水果!$C329="",对接源_01水果!$C329&lt;&gt;$L$1,对接源_01水果!$B329=""),0,IF(OR(N(对接源_01水果!$B329)&lt;$L$2,N(对接源_01水果!$B329)&gt;$L$3),0,1))</f>
        <v>0</v>
      </c>
      <c r="M329" s="3">
        <f>IF(OR($M$1="",对接源_01水果!$C329="",对接源_01水果!$C329&lt;&gt;$M$1,对接源_01水果!$B329=""),0,IF(OR(N(对接源_01水果!$B329)&lt;$M$2,N(对接源_01水果!$B329)&gt;$M$3),0,1))</f>
        <v>0</v>
      </c>
      <c r="N329" s="3">
        <f>IF(OR($N$1="",对接源_01水果!$C329="",对接源_01水果!$C329&lt;&gt;$N$1,对接源_01水果!$B329=""),0,IF(OR(N(对接源_01水果!$B329)&lt;$N$2,N(对接源_01水果!$B329)&gt;$N$3),0,1))</f>
        <v>0</v>
      </c>
      <c r="P329" s="3">
        <f>IF(AND($K329=1,AND(对接源_01水果!$X329="公司筐",N(对接源_01水果!$T329)&lt;&gt;0)),1,0)</f>
        <v>0</v>
      </c>
      <c r="Q329" s="3">
        <f t="shared" si="96"/>
        <v>0</v>
      </c>
      <c r="R329" s="3">
        <f>IF(AND($K329=1,AND(对接源_01水果!$X329="公司筐",N(对接源_01水果!$U329)&lt;&gt;0)),1,0)</f>
        <v>0</v>
      </c>
      <c r="S329" s="3">
        <f t="shared" si="97"/>
        <v>0</v>
      </c>
      <c r="T329" s="3">
        <f>IF(AND($K329=1,AND(对接源_01水果!$X329="公司筐",N(对接源_01水果!$V329)&lt;&gt;0)),1,0)</f>
        <v>0</v>
      </c>
      <c r="U329" s="3">
        <f t="shared" si="98"/>
        <v>19</v>
      </c>
      <c r="V329" s="3">
        <f>IF(AND($L329=1,AND(对接源_01水果!$X329="自备筐",N(对接源_01水果!$V329)&lt;&gt;0)),1,0)</f>
        <v>0</v>
      </c>
      <c r="W329" s="3">
        <f t="shared" si="99"/>
        <v>8</v>
      </c>
      <c r="X329" s="3">
        <f>IF(AND($L329=1,AND(对接源_01水果!$X329="自备筐",N(对接源_01水果!$T329)&lt;&gt;0)),1,0)</f>
        <v>0</v>
      </c>
      <c r="Y329" s="3">
        <f t="shared" si="100"/>
        <v>0</v>
      </c>
      <c r="Z329" s="3">
        <f>IF(AND($M329=1,对接源_01水果!$D329="原料入库"),1,0)</f>
        <v>0</v>
      </c>
      <c r="AA329" s="3">
        <f t="shared" si="101"/>
        <v>24</v>
      </c>
      <c r="AB329" s="3">
        <f>IF(AND($M329=1,LEFT(对接源_01水果!$D329,4)="原料出库"),1,0)</f>
        <v>0</v>
      </c>
      <c r="AC329" s="3">
        <f t="shared" si="102"/>
        <v>0</v>
      </c>
      <c r="AD329" s="3">
        <f>IF(AND($M329=1,LEFT(对接源_01水果!$D329,4)="成品出库"),1,0)</f>
        <v>0</v>
      </c>
      <c r="AE329" s="3">
        <f t="shared" si="103"/>
        <v>0</v>
      </c>
      <c r="AF329" s="3">
        <f>IF(AND($N329=1,AND(LEFT(对接源_01水果!$D329,4)="包装物料",N(对接源_01水果!$K329)&lt;&gt;0)),1,0)</f>
        <v>0</v>
      </c>
      <c r="AG329" s="3">
        <f t="shared" si="104"/>
        <v>0</v>
      </c>
      <c r="AH329" s="3">
        <f>IF(AND($N329=1,AND(对接源_01水果!$D329="周转筐－销售出库",N(对接源_01水果!$K329)&lt;&gt;0)),1,0)</f>
        <v>0</v>
      </c>
      <c r="AI329" s="3">
        <f t="shared" si="105"/>
        <v>0</v>
      </c>
      <c r="AJ329" s="7"/>
      <c r="AL329" s="3">
        <f>IF(OR($AL$1="",对接源_01水果!$Y329="",对接源_01水果!$Y329&lt;&gt;$AL$1,对接源_01水果!$B329="",N(对接源_01水果!$AJ329)&lt;=0),0,IF(OR(N(对接源_01水果!$B329)&lt;$AL$2,N(对接源_01水果!$B329)&gt;$AL$3),0,1))</f>
        <v>0</v>
      </c>
      <c r="AM329" s="3">
        <f t="shared" si="106"/>
        <v>0</v>
      </c>
      <c r="AN329" s="3" t="str">
        <f>IF(对接源_01水果!$AC329="","",对接源_01水果!$AC329)</f>
        <v/>
      </c>
      <c r="AO329" s="3">
        <f t="shared" si="107"/>
        <v>0</v>
      </c>
      <c r="AP329" s="3">
        <f t="shared" si="108"/>
        <v>0</v>
      </c>
      <c r="AR329">
        <f t="shared" si="109"/>
        <v>0</v>
      </c>
      <c r="AS329">
        <f t="shared" si="110"/>
        <v>0</v>
      </c>
    </row>
    <row r="330" ht="14.25" customHeight="1" spans="1:45">
      <c r="A330" s="3" t="str">
        <f>IF(对接源_01水果!$C330="","",对接源_01水果!$C330)</f>
        <v>王照雪</v>
      </c>
      <c r="B330" s="3">
        <f t="shared" si="94"/>
        <v>0</v>
      </c>
      <c r="C330" s="3">
        <f t="shared" si="95"/>
        <v>18</v>
      </c>
      <c r="K330" s="3">
        <f>IF(OR($K$1="",对接源_01水果!$C330="",对接源_01水果!$C330&lt;&gt;$K$1,对接源_01水果!$B330=""),0,IF(OR(N(对接源_01水果!$B330)&lt;$K$2,N(对接源_01水果!$B330)&gt;$K$3),0,1))</f>
        <v>0</v>
      </c>
      <c r="L330" s="3">
        <f>IF(OR($L$1="",对接源_01水果!$C330="",对接源_01水果!$C330&lt;&gt;$L$1,对接源_01水果!$B330=""),0,IF(OR(N(对接源_01水果!$B330)&lt;$L$2,N(对接源_01水果!$B330)&gt;$L$3),0,1))</f>
        <v>0</v>
      </c>
      <c r="M330" s="3">
        <f>IF(OR($M$1="",对接源_01水果!$C330="",对接源_01水果!$C330&lt;&gt;$M$1,对接源_01水果!$B330=""),0,IF(OR(N(对接源_01水果!$B330)&lt;$M$2,N(对接源_01水果!$B330)&gt;$M$3),0,1))</f>
        <v>0</v>
      </c>
      <c r="N330" s="3">
        <f>IF(OR($N$1="",对接源_01水果!$C330="",对接源_01水果!$C330&lt;&gt;$N$1,对接源_01水果!$B330=""),0,IF(OR(N(对接源_01水果!$B330)&lt;$N$2,N(对接源_01水果!$B330)&gt;$N$3),0,1))</f>
        <v>0</v>
      </c>
      <c r="P330" s="3">
        <f>IF(AND($K330=1,AND(对接源_01水果!$X330="公司筐",N(对接源_01水果!$T330)&lt;&gt;0)),1,0)</f>
        <v>0</v>
      </c>
      <c r="Q330" s="3">
        <f t="shared" si="96"/>
        <v>0</v>
      </c>
      <c r="R330" s="3">
        <f>IF(AND($K330=1,AND(对接源_01水果!$X330="公司筐",N(对接源_01水果!$U330)&lt;&gt;0)),1,0)</f>
        <v>0</v>
      </c>
      <c r="S330" s="3">
        <f t="shared" si="97"/>
        <v>0</v>
      </c>
      <c r="T330" s="3">
        <f>IF(AND($K330=1,AND(对接源_01水果!$X330="公司筐",N(对接源_01水果!$V330)&lt;&gt;0)),1,0)</f>
        <v>0</v>
      </c>
      <c r="U330" s="3">
        <f t="shared" si="98"/>
        <v>19</v>
      </c>
      <c r="V330" s="3">
        <f>IF(AND($L330=1,AND(对接源_01水果!$X330="自备筐",N(对接源_01水果!$V330)&lt;&gt;0)),1,0)</f>
        <v>0</v>
      </c>
      <c r="W330" s="3">
        <f t="shared" si="99"/>
        <v>8</v>
      </c>
      <c r="X330" s="3">
        <f>IF(AND($L330=1,AND(对接源_01水果!$X330="自备筐",N(对接源_01水果!$T330)&lt;&gt;0)),1,0)</f>
        <v>0</v>
      </c>
      <c r="Y330" s="3">
        <f t="shared" si="100"/>
        <v>0</v>
      </c>
      <c r="Z330" s="3">
        <f>IF(AND($M330=1,对接源_01水果!$D330="原料入库"),1,0)</f>
        <v>0</v>
      </c>
      <c r="AA330" s="3">
        <f t="shared" si="101"/>
        <v>24</v>
      </c>
      <c r="AB330" s="3">
        <f>IF(AND($M330=1,LEFT(对接源_01水果!$D330,4)="原料出库"),1,0)</f>
        <v>0</v>
      </c>
      <c r="AC330" s="3">
        <f t="shared" si="102"/>
        <v>0</v>
      </c>
      <c r="AD330" s="3">
        <f>IF(AND($M330=1,LEFT(对接源_01水果!$D330,4)="成品出库"),1,0)</f>
        <v>0</v>
      </c>
      <c r="AE330" s="3">
        <f t="shared" si="103"/>
        <v>0</v>
      </c>
      <c r="AF330" s="3">
        <f>IF(AND($N330=1,AND(LEFT(对接源_01水果!$D330,4)="包装物料",N(对接源_01水果!$K330)&lt;&gt;0)),1,0)</f>
        <v>0</v>
      </c>
      <c r="AG330" s="3">
        <f t="shared" si="104"/>
        <v>0</v>
      </c>
      <c r="AH330" s="3">
        <f>IF(AND($N330=1,AND(对接源_01水果!$D330="周转筐－销售出库",N(对接源_01水果!$K330)&lt;&gt;0)),1,0)</f>
        <v>0</v>
      </c>
      <c r="AI330" s="3">
        <f t="shared" si="105"/>
        <v>0</v>
      </c>
      <c r="AJ330" s="7"/>
      <c r="AL330" s="3">
        <f>IF(OR($AL$1="",对接源_01水果!$Y330="",对接源_01水果!$Y330&lt;&gt;$AL$1,对接源_01水果!$B330="",N(对接源_01水果!$AJ330)&lt;=0),0,IF(OR(N(对接源_01水果!$B330)&lt;$AL$2,N(对接源_01水果!$B330)&gt;$AL$3),0,1))</f>
        <v>0</v>
      </c>
      <c r="AM330" s="3">
        <f t="shared" si="106"/>
        <v>0</v>
      </c>
      <c r="AN330" s="3" t="str">
        <f>IF(对接源_01水果!$AC330="","",对接源_01水果!$AC330)</f>
        <v/>
      </c>
      <c r="AO330" s="3">
        <f t="shared" si="107"/>
        <v>0</v>
      </c>
      <c r="AP330" s="3">
        <f t="shared" si="108"/>
        <v>0</v>
      </c>
      <c r="AR330">
        <f t="shared" si="109"/>
        <v>0</v>
      </c>
      <c r="AS330">
        <f t="shared" si="110"/>
        <v>0</v>
      </c>
    </row>
    <row r="331" ht="14.25" customHeight="1" spans="1:45">
      <c r="A331" s="3" t="str">
        <f>IF(对接源_01水果!$C331="","",对接源_01水果!$C331)</f>
        <v>聂新平</v>
      </c>
      <c r="B331" s="3">
        <f t="shared" si="94"/>
        <v>0</v>
      </c>
      <c r="C331" s="3">
        <f t="shared" si="95"/>
        <v>18</v>
      </c>
      <c r="K331" s="3">
        <f>IF(OR($K$1="",对接源_01水果!$C331="",对接源_01水果!$C331&lt;&gt;$K$1,对接源_01水果!$B331=""),0,IF(OR(N(对接源_01水果!$B331)&lt;$K$2,N(对接源_01水果!$B331)&gt;$K$3),0,1))</f>
        <v>0</v>
      </c>
      <c r="L331" s="3">
        <f>IF(OR($L$1="",对接源_01水果!$C331="",对接源_01水果!$C331&lt;&gt;$L$1,对接源_01水果!$B331=""),0,IF(OR(N(对接源_01水果!$B331)&lt;$L$2,N(对接源_01水果!$B331)&gt;$L$3),0,1))</f>
        <v>0</v>
      </c>
      <c r="M331" s="3">
        <f>IF(OR($M$1="",对接源_01水果!$C331="",对接源_01水果!$C331&lt;&gt;$M$1,对接源_01水果!$B331=""),0,IF(OR(N(对接源_01水果!$B331)&lt;$M$2,N(对接源_01水果!$B331)&gt;$M$3),0,1))</f>
        <v>0</v>
      </c>
      <c r="N331" s="3">
        <f>IF(OR($N$1="",对接源_01水果!$C331="",对接源_01水果!$C331&lt;&gt;$N$1,对接源_01水果!$B331=""),0,IF(OR(N(对接源_01水果!$B331)&lt;$N$2,N(对接源_01水果!$B331)&gt;$N$3),0,1))</f>
        <v>0</v>
      </c>
      <c r="P331" s="3">
        <f>IF(AND($K331=1,AND(对接源_01水果!$X331="公司筐",N(对接源_01水果!$T331)&lt;&gt;0)),1,0)</f>
        <v>0</v>
      </c>
      <c r="Q331" s="3">
        <f t="shared" si="96"/>
        <v>0</v>
      </c>
      <c r="R331" s="3">
        <f>IF(AND($K331=1,AND(对接源_01水果!$X331="公司筐",N(对接源_01水果!$U331)&lt;&gt;0)),1,0)</f>
        <v>0</v>
      </c>
      <c r="S331" s="3">
        <f t="shared" si="97"/>
        <v>0</v>
      </c>
      <c r="T331" s="3">
        <f>IF(AND($K331=1,AND(对接源_01水果!$X331="公司筐",N(对接源_01水果!$V331)&lt;&gt;0)),1,0)</f>
        <v>0</v>
      </c>
      <c r="U331" s="3">
        <f t="shared" si="98"/>
        <v>19</v>
      </c>
      <c r="V331" s="3">
        <f>IF(AND($L331=1,AND(对接源_01水果!$X331="自备筐",N(对接源_01水果!$V331)&lt;&gt;0)),1,0)</f>
        <v>0</v>
      </c>
      <c r="W331" s="3">
        <f t="shared" si="99"/>
        <v>8</v>
      </c>
      <c r="X331" s="3">
        <f>IF(AND($L331=1,AND(对接源_01水果!$X331="自备筐",N(对接源_01水果!$T331)&lt;&gt;0)),1,0)</f>
        <v>0</v>
      </c>
      <c r="Y331" s="3">
        <f t="shared" si="100"/>
        <v>0</v>
      </c>
      <c r="Z331" s="3">
        <f>IF(AND($M331=1,对接源_01水果!$D331="原料入库"),1,0)</f>
        <v>0</v>
      </c>
      <c r="AA331" s="3">
        <f t="shared" si="101"/>
        <v>24</v>
      </c>
      <c r="AB331" s="3">
        <f>IF(AND($M331=1,LEFT(对接源_01水果!$D331,4)="原料出库"),1,0)</f>
        <v>0</v>
      </c>
      <c r="AC331" s="3">
        <f t="shared" si="102"/>
        <v>0</v>
      </c>
      <c r="AD331" s="3">
        <f>IF(AND($M331=1,LEFT(对接源_01水果!$D331,4)="成品出库"),1,0)</f>
        <v>0</v>
      </c>
      <c r="AE331" s="3">
        <f t="shared" si="103"/>
        <v>0</v>
      </c>
      <c r="AF331" s="3">
        <f>IF(AND($N331=1,AND(LEFT(对接源_01水果!$D331,4)="包装物料",N(对接源_01水果!$K331)&lt;&gt;0)),1,0)</f>
        <v>0</v>
      </c>
      <c r="AG331" s="3">
        <f t="shared" si="104"/>
        <v>0</v>
      </c>
      <c r="AH331" s="3">
        <f>IF(AND($N331=1,AND(对接源_01水果!$D331="周转筐－销售出库",N(对接源_01水果!$K331)&lt;&gt;0)),1,0)</f>
        <v>0</v>
      </c>
      <c r="AI331" s="3">
        <f t="shared" si="105"/>
        <v>0</v>
      </c>
      <c r="AJ331" s="7"/>
      <c r="AL331" s="3">
        <f>IF(OR($AL$1="",对接源_01水果!$Y331="",对接源_01水果!$Y331&lt;&gt;$AL$1,对接源_01水果!$B331="",N(对接源_01水果!$AJ331)&lt;=0),0,IF(OR(N(对接源_01水果!$B331)&lt;$AL$2,N(对接源_01水果!$B331)&gt;$AL$3),0,1))</f>
        <v>0</v>
      </c>
      <c r="AM331" s="3">
        <f t="shared" si="106"/>
        <v>0</v>
      </c>
      <c r="AN331" s="3" t="str">
        <f>IF(对接源_01水果!$AC331="","",对接源_01水果!$AC331)</f>
        <v/>
      </c>
      <c r="AO331" s="3">
        <f t="shared" si="107"/>
        <v>0</v>
      </c>
      <c r="AP331" s="3">
        <f t="shared" si="108"/>
        <v>0</v>
      </c>
      <c r="AR331">
        <f t="shared" si="109"/>
        <v>0</v>
      </c>
      <c r="AS331">
        <f t="shared" si="110"/>
        <v>0</v>
      </c>
    </row>
    <row r="332" ht="14.25" customHeight="1" spans="1:45">
      <c r="A332" s="3" t="str">
        <f>IF(对接源_01水果!$C332="","",对接源_01水果!$C332)</f>
        <v>聂新平</v>
      </c>
      <c r="B332" s="3">
        <f t="shared" si="94"/>
        <v>0</v>
      </c>
      <c r="C332" s="3">
        <f t="shared" si="95"/>
        <v>18</v>
      </c>
      <c r="K332" s="3">
        <f>IF(OR($K$1="",对接源_01水果!$C332="",对接源_01水果!$C332&lt;&gt;$K$1,对接源_01水果!$B332=""),0,IF(OR(N(对接源_01水果!$B332)&lt;$K$2,N(对接源_01水果!$B332)&gt;$K$3),0,1))</f>
        <v>0</v>
      </c>
      <c r="L332" s="3">
        <f>IF(OR($L$1="",对接源_01水果!$C332="",对接源_01水果!$C332&lt;&gt;$L$1,对接源_01水果!$B332=""),0,IF(OR(N(对接源_01水果!$B332)&lt;$L$2,N(对接源_01水果!$B332)&gt;$L$3),0,1))</f>
        <v>0</v>
      </c>
      <c r="M332" s="3">
        <f>IF(OR($M$1="",对接源_01水果!$C332="",对接源_01水果!$C332&lt;&gt;$M$1,对接源_01水果!$B332=""),0,IF(OR(N(对接源_01水果!$B332)&lt;$M$2,N(对接源_01水果!$B332)&gt;$M$3),0,1))</f>
        <v>0</v>
      </c>
      <c r="N332" s="3">
        <f>IF(OR($N$1="",对接源_01水果!$C332="",对接源_01水果!$C332&lt;&gt;$N$1,对接源_01水果!$B332=""),0,IF(OR(N(对接源_01水果!$B332)&lt;$N$2,N(对接源_01水果!$B332)&gt;$N$3),0,1))</f>
        <v>0</v>
      </c>
      <c r="P332" s="3">
        <f>IF(AND($K332=1,AND(对接源_01水果!$X332="公司筐",N(对接源_01水果!$T332)&lt;&gt;0)),1,0)</f>
        <v>0</v>
      </c>
      <c r="Q332" s="3">
        <f t="shared" si="96"/>
        <v>0</v>
      </c>
      <c r="R332" s="3">
        <f>IF(AND($K332=1,AND(对接源_01水果!$X332="公司筐",N(对接源_01水果!$U332)&lt;&gt;0)),1,0)</f>
        <v>0</v>
      </c>
      <c r="S332" s="3">
        <f t="shared" si="97"/>
        <v>0</v>
      </c>
      <c r="T332" s="3">
        <f>IF(AND($K332=1,AND(对接源_01水果!$X332="公司筐",N(对接源_01水果!$V332)&lt;&gt;0)),1,0)</f>
        <v>0</v>
      </c>
      <c r="U332" s="3">
        <f t="shared" si="98"/>
        <v>19</v>
      </c>
      <c r="V332" s="3">
        <f>IF(AND($L332=1,AND(对接源_01水果!$X332="自备筐",N(对接源_01水果!$V332)&lt;&gt;0)),1,0)</f>
        <v>0</v>
      </c>
      <c r="W332" s="3">
        <f t="shared" si="99"/>
        <v>8</v>
      </c>
      <c r="X332" s="3">
        <f>IF(AND($L332=1,AND(对接源_01水果!$X332="自备筐",N(对接源_01水果!$T332)&lt;&gt;0)),1,0)</f>
        <v>0</v>
      </c>
      <c r="Y332" s="3">
        <f t="shared" si="100"/>
        <v>0</v>
      </c>
      <c r="Z332" s="3">
        <f>IF(AND($M332=1,对接源_01水果!$D332="原料入库"),1,0)</f>
        <v>0</v>
      </c>
      <c r="AA332" s="3">
        <f t="shared" si="101"/>
        <v>24</v>
      </c>
      <c r="AB332" s="3">
        <f>IF(AND($M332=1,LEFT(对接源_01水果!$D332,4)="原料出库"),1,0)</f>
        <v>0</v>
      </c>
      <c r="AC332" s="3">
        <f t="shared" si="102"/>
        <v>0</v>
      </c>
      <c r="AD332" s="3">
        <f>IF(AND($M332=1,LEFT(对接源_01水果!$D332,4)="成品出库"),1,0)</f>
        <v>0</v>
      </c>
      <c r="AE332" s="3">
        <f t="shared" si="103"/>
        <v>0</v>
      </c>
      <c r="AF332" s="3">
        <f>IF(AND($N332=1,AND(LEFT(对接源_01水果!$D332,4)="包装物料",N(对接源_01水果!$K332)&lt;&gt;0)),1,0)</f>
        <v>0</v>
      </c>
      <c r="AG332" s="3">
        <f t="shared" si="104"/>
        <v>0</v>
      </c>
      <c r="AH332" s="3">
        <f>IF(AND($N332=1,AND(对接源_01水果!$D332="周转筐－销售出库",N(对接源_01水果!$K332)&lt;&gt;0)),1,0)</f>
        <v>0</v>
      </c>
      <c r="AI332" s="3">
        <f t="shared" si="105"/>
        <v>0</v>
      </c>
      <c r="AJ332" s="7"/>
      <c r="AL332" s="3">
        <f>IF(OR($AL$1="",对接源_01水果!$Y332="",对接源_01水果!$Y332&lt;&gt;$AL$1,对接源_01水果!$B332="",N(对接源_01水果!$AJ332)&lt;=0),0,IF(OR(N(对接源_01水果!$B332)&lt;$AL$2,N(对接源_01水果!$B332)&gt;$AL$3),0,1))</f>
        <v>0</v>
      </c>
      <c r="AM332" s="3">
        <f t="shared" si="106"/>
        <v>0</v>
      </c>
      <c r="AN332" s="3" t="str">
        <f>IF(对接源_01水果!$AC332="","",对接源_01水果!$AC332)</f>
        <v/>
      </c>
      <c r="AO332" s="3">
        <f t="shared" si="107"/>
        <v>0</v>
      </c>
      <c r="AP332" s="3">
        <f t="shared" si="108"/>
        <v>0</v>
      </c>
      <c r="AR332">
        <f t="shared" si="109"/>
        <v>0</v>
      </c>
      <c r="AS332">
        <f t="shared" si="110"/>
        <v>0</v>
      </c>
    </row>
    <row r="333" ht="14.25" customHeight="1" spans="1:45">
      <c r="A333" s="3" t="str">
        <f>IF(对接源_01水果!$C333="","",对接源_01水果!$C333)</f>
        <v>聂新平</v>
      </c>
      <c r="B333" s="3">
        <f t="shared" si="94"/>
        <v>0</v>
      </c>
      <c r="C333" s="3">
        <f t="shared" si="95"/>
        <v>18</v>
      </c>
      <c r="K333" s="3">
        <f>IF(OR($K$1="",对接源_01水果!$C333="",对接源_01水果!$C333&lt;&gt;$K$1,对接源_01水果!$B333=""),0,IF(OR(N(对接源_01水果!$B333)&lt;$K$2,N(对接源_01水果!$B333)&gt;$K$3),0,1))</f>
        <v>0</v>
      </c>
      <c r="L333" s="3">
        <f>IF(OR($L$1="",对接源_01水果!$C333="",对接源_01水果!$C333&lt;&gt;$L$1,对接源_01水果!$B333=""),0,IF(OR(N(对接源_01水果!$B333)&lt;$L$2,N(对接源_01水果!$B333)&gt;$L$3),0,1))</f>
        <v>0</v>
      </c>
      <c r="M333" s="3">
        <f>IF(OR($M$1="",对接源_01水果!$C333="",对接源_01水果!$C333&lt;&gt;$M$1,对接源_01水果!$B333=""),0,IF(OR(N(对接源_01水果!$B333)&lt;$M$2,N(对接源_01水果!$B333)&gt;$M$3),0,1))</f>
        <v>0</v>
      </c>
      <c r="N333" s="3">
        <f>IF(OR($N$1="",对接源_01水果!$C333="",对接源_01水果!$C333&lt;&gt;$N$1,对接源_01水果!$B333=""),0,IF(OR(N(对接源_01水果!$B333)&lt;$N$2,N(对接源_01水果!$B333)&gt;$N$3),0,1))</f>
        <v>0</v>
      </c>
      <c r="P333" s="3">
        <f>IF(AND($K333=1,AND(对接源_01水果!$X333="公司筐",N(对接源_01水果!$T333)&lt;&gt;0)),1,0)</f>
        <v>0</v>
      </c>
      <c r="Q333" s="3">
        <f t="shared" si="96"/>
        <v>0</v>
      </c>
      <c r="R333" s="3">
        <f>IF(AND($K333=1,AND(对接源_01水果!$X333="公司筐",N(对接源_01水果!$U333)&lt;&gt;0)),1,0)</f>
        <v>0</v>
      </c>
      <c r="S333" s="3">
        <f t="shared" si="97"/>
        <v>0</v>
      </c>
      <c r="T333" s="3">
        <f>IF(AND($K333=1,AND(对接源_01水果!$X333="公司筐",N(对接源_01水果!$V333)&lt;&gt;0)),1,0)</f>
        <v>0</v>
      </c>
      <c r="U333" s="3">
        <f t="shared" si="98"/>
        <v>19</v>
      </c>
      <c r="V333" s="3">
        <f>IF(AND($L333=1,AND(对接源_01水果!$X333="自备筐",N(对接源_01水果!$V333)&lt;&gt;0)),1,0)</f>
        <v>0</v>
      </c>
      <c r="W333" s="3">
        <f t="shared" si="99"/>
        <v>8</v>
      </c>
      <c r="X333" s="3">
        <f>IF(AND($L333=1,AND(对接源_01水果!$X333="自备筐",N(对接源_01水果!$T333)&lt;&gt;0)),1,0)</f>
        <v>0</v>
      </c>
      <c r="Y333" s="3">
        <f t="shared" si="100"/>
        <v>0</v>
      </c>
      <c r="Z333" s="3">
        <f>IF(AND($M333=1,对接源_01水果!$D333="原料入库"),1,0)</f>
        <v>0</v>
      </c>
      <c r="AA333" s="3">
        <f t="shared" si="101"/>
        <v>24</v>
      </c>
      <c r="AB333" s="3">
        <f>IF(AND($M333=1,LEFT(对接源_01水果!$D333,4)="原料出库"),1,0)</f>
        <v>0</v>
      </c>
      <c r="AC333" s="3">
        <f t="shared" si="102"/>
        <v>0</v>
      </c>
      <c r="AD333" s="3">
        <f>IF(AND($M333=1,LEFT(对接源_01水果!$D333,4)="成品出库"),1,0)</f>
        <v>0</v>
      </c>
      <c r="AE333" s="3">
        <f t="shared" si="103"/>
        <v>0</v>
      </c>
      <c r="AF333" s="3">
        <f>IF(AND($N333=1,AND(LEFT(对接源_01水果!$D333,4)="包装物料",N(对接源_01水果!$K333)&lt;&gt;0)),1,0)</f>
        <v>0</v>
      </c>
      <c r="AG333" s="3">
        <f t="shared" si="104"/>
        <v>0</v>
      </c>
      <c r="AH333" s="3">
        <f>IF(AND($N333=1,AND(对接源_01水果!$D333="周转筐－销售出库",N(对接源_01水果!$K333)&lt;&gt;0)),1,0)</f>
        <v>0</v>
      </c>
      <c r="AI333" s="3">
        <f t="shared" si="105"/>
        <v>0</v>
      </c>
      <c r="AJ333" s="7"/>
      <c r="AL333" s="3">
        <f>IF(OR($AL$1="",对接源_01水果!$Y333="",对接源_01水果!$Y333&lt;&gt;$AL$1,对接源_01水果!$B333="",N(对接源_01水果!$AJ333)&lt;=0),0,IF(OR(N(对接源_01水果!$B333)&lt;$AL$2,N(对接源_01水果!$B333)&gt;$AL$3),0,1))</f>
        <v>0</v>
      </c>
      <c r="AM333" s="3">
        <f t="shared" si="106"/>
        <v>0</v>
      </c>
      <c r="AN333" s="3" t="str">
        <f>IF(对接源_01水果!$AC333="","",对接源_01水果!$AC333)</f>
        <v/>
      </c>
      <c r="AO333" s="3">
        <f t="shared" si="107"/>
        <v>0</v>
      </c>
      <c r="AP333" s="3">
        <f t="shared" si="108"/>
        <v>0</v>
      </c>
      <c r="AR333">
        <f t="shared" si="109"/>
        <v>0</v>
      </c>
      <c r="AS333">
        <f t="shared" si="110"/>
        <v>0</v>
      </c>
    </row>
    <row r="334" ht="14.25" customHeight="1" spans="1:45">
      <c r="A334" s="3" t="str">
        <f>IF(对接源_01水果!$C334="","",对接源_01水果!$C334)</f>
        <v>聂新平</v>
      </c>
      <c r="B334" s="3">
        <f t="shared" si="94"/>
        <v>0</v>
      </c>
      <c r="C334" s="3">
        <f t="shared" si="95"/>
        <v>18</v>
      </c>
      <c r="K334" s="3">
        <f>IF(OR($K$1="",对接源_01水果!$C334="",对接源_01水果!$C334&lt;&gt;$K$1,对接源_01水果!$B334=""),0,IF(OR(N(对接源_01水果!$B334)&lt;$K$2,N(对接源_01水果!$B334)&gt;$K$3),0,1))</f>
        <v>0</v>
      </c>
      <c r="L334" s="3">
        <f>IF(OR($L$1="",对接源_01水果!$C334="",对接源_01水果!$C334&lt;&gt;$L$1,对接源_01水果!$B334=""),0,IF(OR(N(对接源_01水果!$B334)&lt;$L$2,N(对接源_01水果!$B334)&gt;$L$3),0,1))</f>
        <v>0</v>
      </c>
      <c r="M334" s="3">
        <f>IF(OR($M$1="",对接源_01水果!$C334="",对接源_01水果!$C334&lt;&gt;$M$1,对接源_01水果!$B334=""),0,IF(OR(N(对接源_01水果!$B334)&lt;$M$2,N(对接源_01水果!$B334)&gt;$M$3),0,1))</f>
        <v>0</v>
      </c>
      <c r="N334" s="3">
        <f>IF(OR($N$1="",对接源_01水果!$C334="",对接源_01水果!$C334&lt;&gt;$N$1,对接源_01水果!$B334=""),0,IF(OR(N(对接源_01水果!$B334)&lt;$N$2,N(对接源_01水果!$B334)&gt;$N$3),0,1))</f>
        <v>0</v>
      </c>
      <c r="P334" s="3">
        <f>IF(AND($K334=1,AND(对接源_01水果!$X334="公司筐",N(对接源_01水果!$T334)&lt;&gt;0)),1,0)</f>
        <v>0</v>
      </c>
      <c r="Q334" s="3">
        <f t="shared" si="96"/>
        <v>0</v>
      </c>
      <c r="R334" s="3">
        <f>IF(AND($K334=1,AND(对接源_01水果!$X334="公司筐",N(对接源_01水果!$U334)&lt;&gt;0)),1,0)</f>
        <v>0</v>
      </c>
      <c r="S334" s="3">
        <f t="shared" si="97"/>
        <v>0</v>
      </c>
      <c r="T334" s="3">
        <f>IF(AND($K334=1,AND(对接源_01水果!$X334="公司筐",N(对接源_01水果!$V334)&lt;&gt;0)),1,0)</f>
        <v>0</v>
      </c>
      <c r="U334" s="3">
        <f t="shared" si="98"/>
        <v>19</v>
      </c>
      <c r="V334" s="3">
        <f>IF(AND($L334=1,AND(对接源_01水果!$X334="自备筐",N(对接源_01水果!$V334)&lt;&gt;0)),1,0)</f>
        <v>0</v>
      </c>
      <c r="W334" s="3">
        <f t="shared" si="99"/>
        <v>8</v>
      </c>
      <c r="X334" s="3">
        <f>IF(AND($L334=1,AND(对接源_01水果!$X334="自备筐",N(对接源_01水果!$T334)&lt;&gt;0)),1,0)</f>
        <v>0</v>
      </c>
      <c r="Y334" s="3">
        <f t="shared" si="100"/>
        <v>0</v>
      </c>
      <c r="Z334" s="3">
        <f>IF(AND($M334=1,对接源_01水果!$D334="原料入库"),1,0)</f>
        <v>0</v>
      </c>
      <c r="AA334" s="3">
        <f t="shared" si="101"/>
        <v>24</v>
      </c>
      <c r="AB334" s="3">
        <f>IF(AND($M334=1,LEFT(对接源_01水果!$D334,4)="原料出库"),1,0)</f>
        <v>0</v>
      </c>
      <c r="AC334" s="3">
        <f t="shared" si="102"/>
        <v>0</v>
      </c>
      <c r="AD334" s="3">
        <f>IF(AND($M334=1,LEFT(对接源_01水果!$D334,4)="成品出库"),1,0)</f>
        <v>0</v>
      </c>
      <c r="AE334" s="3">
        <f t="shared" si="103"/>
        <v>0</v>
      </c>
      <c r="AF334" s="3">
        <f>IF(AND($N334=1,AND(LEFT(对接源_01水果!$D334,4)="包装物料",N(对接源_01水果!$K334)&lt;&gt;0)),1,0)</f>
        <v>0</v>
      </c>
      <c r="AG334" s="3">
        <f t="shared" si="104"/>
        <v>0</v>
      </c>
      <c r="AH334" s="3">
        <f>IF(AND($N334=1,AND(对接源_01水果!$D334="周转筐－销售出库",N(对接源_01水果!$K334)&lt;&gt;0)),1,0)</f>
        <v>0</v>
      </c>
      <c r="AI334" s="3">
        <f t="shared" si="105"/>
        <v>0</v>
      </c>
      <c r="AJ334" s="7"/>
      <c r="AL334" s="3">
        <f>IF(OR($AL$1="",对接源_01水果!$Y334="",对接源_01水果!$Y334&lt;&gt;$AL$1,对接源_01水果!$B334="",N(对接源_01水果!$AJ334)&lt;=0),0,IF(OR(N(对接源_01水果!$B334)&lt;$AL$2,N(对接源_01水果!$B334)&gt;$AL$3),0,1))</f>
        <v>0</v>
      </c>
      <c r="AM334" s="3">
        <f t="shared" si="106"/>
        <v>0</v>
      </c>
      <c r="AN334" s="3" t="str">
        <f>IF(对接源_01水果!$AC334="","",对接源_01水果!$AC334)</f>
        <v/>
      </c>
      <c r="AO334" s="3">
        <f t="shared" si="107"/>
        <v>0</v>
      </c>
      <c r="AP334" s="3">
        <f t="shared" si="108"/>
        <v>0</v>
      </c>
      <c r="AR334">
        <f t="shared" si="109"/>
        <v>0</v>
      </c>
      <c r="AS334">
        <f t="shared" si="110"/>
        <v>0</v>
      </c>
    </row>
    <row r="335" ht="14.25" customHeight="1" spans="1:45">
      <c r="A335" s="3" t="str">
        <f>IF(对接源_01水果!$C335="","",对接源_01水果!$C335)</f>
        <v>聂新平</v>
      </c>
      <c r="B335" s="3">
        <f t="shared" si="94"/>
        <v>0</v>
      </c>
      <c r="C335" s="3">
        <f t="shared" si="95"/>
        <v>18</v>
      </c>
      <c r="K335" s="3">
        <f>IF(OR($K$1="",对接源_01水果!$C335="",对接源_01水果!$C335&lt;&gt;$K$1,对接源_01水果!$B335=""),0,IF(OR(N(对接源_01水果!$B335)&lt;$K$2,N(对接源_01水果!$B335)&gt;$K$3),0,1))</f>
        <v>0</v>
      </c>
      <c r="L335" s="3">
        <f>IF(OR($L$1="",对接源_01水果!$C335="",对接源_01水果!$C335&lt;&gt;$L$1,对接源_01水果!$B335=""),0,IF(OR(N(对接源_01水果!$B335)&lt;$L$2,N(对接源_01水果!$B335)&gt;$L$3),0,1))</f>
        <v>0</v>
      </c>
      <c r="M335" s="3">
        <f>IF(OR($M$1="",对接源_01水果!$C335="",对接源_01水果!$C335&lt;&gt;$M$1,对接源_01水果!$B335=""),0,IF(OR(N(对接源_01水果!$B335)&lt;$M$2,N(对接源_01水果!$B335)&gt;$M$3),0,1))</f>
        <v>0</v>
      </c>
      <c r="N335" s="3">
        <f>IF(OR($N$1="",对接源_01水果!$C335="",对接源_01水果!$C335&lt;&gt;$N$1,对接源_01水果!$B335=""),0,IF(OR(N(对接源_01水果!$B335)&lt;$N$2,N(对接源_01水果!$B335)&gt;$N$3),0,1))</f>
        <v>0</v>
      </c>
      <c r="P335" s="3">
        <f>IF(AND($K335=1,AND(对接源_01水果!$X335="公司筐",N(对接源_01水果!$T335)&lt;&gt;0)),1,0)</f>
        <v>0</v>
      </c>
      <c r="Q335" s="3">
        <f t="shared" si="96"/>
        <v>0</v>
      </c>
      <c r="R335" s="3">
        <f>IF(AND($K335=1,AND(对接源_01水果!$X335="公司筐",N(对接源_01水果!$U335)&lt;&gt;0)),1,0)</f>
        <v>0</v>
      </c>
      <c r="S335" s="3">
        <f t="shared" si="97"/>
        <v>0</v>
      </c>
      <c r="T335" s="3">
        <f>IF(AND($K335=1,AND(对接源_01水果!$X335="公司筐",N(对接源_01水果!$V335)&lt;&gt;0)),1,0)</f>
        <v>0</v>
      </c>
      <c r="U335" s="3">
        <f t="shared" si="98"/>
        <v>19</v>
      </c>
      <c r="V335" s="3">
        <f>IF(AND($L335=1,AND(对接源_01水果!$X335="自备筐",N(对接源_01水果!$V335)&lt;&gt;0)),1,0)</f>
        <v>0</v>
      </c>
      <c r="W335" s="3">
        <f t="shared" si="99"/>
        <v>8</v>
      </c>
      <c r="X335" s="3">
        <f>IF(AND($L335=1,AND(对接源_01水果!$X335="自备筐",N(对接源_01水果!$T335)&lt;&gt;0)),1,0)</f>
        <v>0</v>
      </c>
      <c r="Y335" s="3">
        <f t="shared" si="100"/>
        <v>0</v>
      </c>
      <c r="Z335" s="3">
        <f>IF(AND($M335=1,对接源_01水果!$D335="原料入库"),1,0)</f>
        <v>0</v>
      </c>
      <c r="AA335" s="3">
        <f t="shared" si="101"/>
        <v>24</v>
      </c>
      <c r="AB335" s="3">
        <f>IF(AND($M335=1,LEFT(对接源_01水果!$D335,4)="原料出库"),1,0)</f>
        <v>0</v>
      </c>
      <c r="AC335" s="3">
        <f t="shared" si="102"/>
        <v>0</v>
      </c>
      <c r="AD335" s="3">
        <f>IF(AND($M335=1,LEFT(对接源_01水果!$D335,4)="成品出库"),1,0)</f>
        <v>0</v>
      </c>
      <c r="AE335" s="3">
        <f t="shared" si="103"/>
        <v>0</v>
      </c>
      <c r="AF335" s="3">
        <f>IF(AND($N335=1,AND(LEFT(对接源_01水果!$D335,4)="包装物料",N(对接源_01水果!$K335)&lt;&gt;0)),1,0)</f>
        <v>0</v>
      </c>
      <c r="AG335" s="3">
        <f t="shared" si="104"/>
        <v>0</v>
      </c>
      <c r="AH335" s="3">
        <f>IF(AND($N335=1,AND(对接源_01水果!$D335="周转筐－销售出库",N(对接源_01水果!$K335)&lt;&gt;0)),1,0)</f>
        <v>0</v>
      </c>
      <c r="AI335" s="3">
        <f t="shared" si="105"/>
        <v>0</v>
      </c>
      <c r="AJ335" s="7"/>
      <c r="AL335" s="3">
        <f>IF(OR($AL$1="",对接源_01水果!$Y335="",对接源_01水果!$Y335&lt;&gt;$AL$1,对接源_01水果!$B335="",N(对接源_01水果!$AJ335)&lt;=0),0,IF(OR(N(对接源_01水果!$B335)&lt;$AL$2,N(对接源_01水果!$B335)&gt;$AL$3),0,1))</f>
        <v>0</v>
      </c>
      <c r="AM335" s="3">
        <f t="shared" si="106"/>
        <v>0</v>
      </c>
      <c r="AN335" s="3" t="str">
        <f>IF(对接源_01水果!$AC335="","",对接源_01水果!$AC335)</f>
        <v/>
      </c>
      <c r="AO335" s="3">
        <f t="shared" si="107"/>
        <v>0</v>
      </c>
      <c r="AP335" s="3">
        <f t="shared" si="108"/>
        <v>0</v>
      </c>
      <c r="AR335">
        <f t="shared" si="109"/>
        <v>0</v>
      </c>
      <c r="AS335">
        <f t="shared" si="110"/>
        <v>0</v>
      </c>
    </row>
    <row r="336" ht="14.25" customHeight="1" spans="1:45">
      <c r="A336" s="3" t="str">
        <f>IF(对接源_01水果!$C336="","",对接源_01水果!$C336)</f>
        <v>王照雪</v>
      </c>
      <c r="B336" s="3">
        <f t="shared" si="94"/>
        <v>0</v>
      </c>
      <c r="C336" s="3">
        <f t="shared" si="95"/>
        <v>18</v>
      </c>
      <c r="K336" s="3">
        <f>IF(OR($K$1="",对接源_01水果!$C336="",对接源_01水果!$C336&lt;&gt;$K$1,对接源_01水果!$B336=""),0,IF(OR(N(对接源_01水果!$B336)&lt;$K$2,N(对接源_01水果!$B336)&gt;$K$3),0,1))</f>
        <v>0</v>
      </c>
      <c r="L336" s="3">
        <f>IF(OR($L$1="",对接源_01水果!$C336="",对接源_01水果!$C336&lt;&gt;$L$1,对接源_01水果!$B336=""),0,IF(OR(N(对接源_01水果!$B336)&lt;$L$2,N(对接源_01水果!$B336)&gt;$L$3),0,1))</f>
        <v>0</v>
      </c>
      <c r="M336" s="3">
        <f>IF(OR($M$1="",对接源_01水果!$C336="",对接源_01水果!$C336&lt;&gt;$M$1,对接源_01水果!$B336=""),0,IF(OR(N(对接源_01水果!$B336)&lt;$M$2,N(对接源_01水果!$B336)&gt;$M$3),0,1))</f>
        <v>0</v>
      </c>
      <c r="N336" s="3">
        <f>IF(OR($N$1="",对接源_01水果!$C336="",对接源_01水果!$C336&lt;&gt;$N$1,对接源_01水果!$B336=""),0,IF(OR(N(对接源_01水果!$B336)&lt;$N$2,N(对接源_01水果!$B336)&gt;$N$3),0,1))</f>
        <v>0</v>
      </c>
      <c r="P336" s="3">
        <f>IF(AND($K336=1,AND(对接源_01水果!$X336="公司筐",N(对接源_01水果!$T336)&lt;&gt;0)),1,0)</f>
        <v>0</v>
      </c>
      <c r="Q336" s="3">
        <f t="shared" si="96"/>
        <v>0</v>
      </c>
      <c r="R336" s="3">
        <f>IF(AND($K336=1,AND(对接源_01水果!$X336="公司筐",N(对接源_01水果!$U336)&lt;&gt;0)),1,0)</f>
        <v>0</v>
      </c>
      <c r="S336" s="3">
        <f t="shared" si="97"/>
        <v>0</v>
      </c>
      <c r="T336" s="3">
        <f>IF(AND($K336=1,AND(对接源_01水果!$X336="公司筐",N(对接源_01水果!$V336)&lt;&gt;0)),1,0)</f>
        <v>0</v>
      </c>
      <c r="U336" s="3">
        <f t="shared" si="98"/>
        <v>19</v>
      </c>
      <c r="V336" s="3">
        <f>IF(AND($L336=1,AND(对接源_01水果!$X336="自备筐",N(对接源_01水果!$V336)&lt;&gt;0)),1,0)</f>
        <v>0</v>
      </c>
      <c r="W336" s="3">
        <f t="shared" si="99"/>
        <v>8</v>
      </c>
      <c r="X336" s="3">
        <f>IF(AND($L336=1,AND(对接源_01水果!$X336="自备筐",N(对接源_01水果!$T336)&lt;&gt;0)),1,0)</f>
        <v>0</v>
      </c>
      <c r="Y336" s="3">
        <f t="shared" si="100"/>
        <v>0</v>
      </c>
      <c r="Z336" s="3">
        <f>IF(AND($M336=1,对接源_01水果!$D336="原料入库"),1,0)</f>
        <v>0</v>
      </c>
      <c r="AA336" s="3">
        <f t="shared" si="101"/>
        <v>24</v>
      </c>
      <c r="AB336" s="3">
        <f>IF(AND($M336=1,LEFT(对接源_01水果!$D336,4)="原料出库"),1,0)</f>
        <v>0</v>
      </c>
      <c r="AC336" s="3">
        <f t="shared" si="102"/>
        <v>0</v>
      </c>
      <c r="AD336" s="3">
        <f>IF(AND($M336=1,LEFT(对接源_01水果!$D336,4)="成品出库"),1,0)</f>
        <v>0</v>
      </c>
      <c r="AE336" s="3">
        <f t="shared" si="103"/>
        <v>0</v>
      </c>
      <c r="AF336" s="3">
        <f>IF(AND($N336=1,AND(LEFT(对接源_01水果!$D336,4)="包装物料",N(对接源_01水果!$K336)&lt;&gt;0)),1,0)</f>
        <v>0</v>
      </c>
      <c r="AG336" s="3">
        <f t="shared" si="104"/>
        <v>0</v>
      </c>
      <c r="AH336" s="3">
        <f>IF(AND($N336=1,AND(对接源_01水果!$D336="周转筐－销售出库",N(对接源_01水果!$K336)&lt;&gt;0)),1,0)</f>
        <v>0</v>
      </c>
      <c r="AI336" s="3">
        <f t="shared" si="105"/>
        <v>0</v>
      </c>
      <c r="AJ336" s="7"/>
      <c r="AL336" s="3">
        <f>IF(OR($AL$1="",对接源_01水果!$Y336="",对接源_01水果!$Y336&lt;&gt;$AL$1,对接源_01水果!$B336="",N(对接源_01水果!$AJ336)&lt;=0),0,IF(OR(N(对接源_01水果!$B336)&lt;$AL$2,N(对接源_01水果!$B336)&gt;$AL$3),0,1))</f>
        <v>0</v>
      </c>
      <c r="AM336" s="3">
        <f t="shared" si="106"/>
        <v>0</v>
      </c>
      <c r="AN336" s="3" t="str">
        <f>IF(对接源_01水果!$AC336="","",对接源_01水果!$AC336)</f>
        <v/>
      </c>
      <c r="AO336" s="3">
        <f t="shared" si="107"/>
        <v>0</v>
      </c>
      <c r="AP336" s="3">
        <f t="shared" si="108"/>
        <v>0</v>
      </c>
      <c r="AR336">
        <f t="shared" si="109"/>
        <v>0</v>
      </c>
      <c r="AS336">
        <f t="shared" si="110"/>
        <v>0</v>
      </c>
    </row>
    <row r="337" ht="14.25" customHeight="1" spans="1:45">
      <c r="A337" s="3" t="str">
        <f>IF(对接源_01水果!$C337="","",对接源_01水果!$C337)</f>
        <v>麦麦提</v>
      </c>
      <c r="B337" s="3">
        <f t="shared" si="94"/>
        <v>0</v>
      </c>
      <c r="C337" s="3">
        <f t="shared" si="95"/>
        <v>18</v>
      </c>
      <c r="K337" s="3">
        <f>IF(OR($K$1="",对接源_01水果!$C337="",对接源_01水果!$C337&lt;&gt;$K$1,对接源_01水果!$B337=""),0,IF(OR(N(对接源_01水果!$B337)&lt;$K$2,N(对接源_01水果!$B337)&gt;$K$3),0,1))</f>
        <v>0</v>
      </c>
      <c r="L337" s="3">
        <f>IF(OR($L$1="",对接源_01水果!$C337="",对接源_01水果!$C337&lt;&gt;$L$1,对接源_01水果!$B337=""),0,IF(OR(N(对接源_01水果!$B337)&lt;$L$2,N(对接源_01水果!$B337)&gt;$L$3),0,1))</f>
        <v>0</v>
      </c>
      <c r="M337" s="3">
        <f>IF(OR($M$1="",对接源_01水果!$C337="",对接源_01水果!$C337&lt;&gt;$M$1,对接源_01水果!$B337=""),0,IF(OR(N(对接源_01水果!$B337)&lt;$M$2,N(对接源_01水果!$B337)&gt;$M$3),0,1))</f>
        <v>0</v>
      </c>
      <c r="N337" s="3">
        <f>IF(OR($N$1="",对接源_01水果!$C337="",对接源_01水果!$C337&lt;&gt;$N$1,对接源_01水果!$B337=""),0,IF(OR(N(对接源_01水果!$B337)&lt;$N$2,N(对接源_01水果!$B337)&gt;$N$3),0,1))</f>
        <v>0</v>
      </c>
      <c r="P337" s="3">
        <f>IF(AND($K337=1,AND(对接源_01水果!$X337="公司筐",N(对接源_01水果!$T337)&lt;&gt;0)),1,0)</f>
        <v>0</v>
      </c>
      <c r="Q337" s="3">
        <f t="shared" si="96"/>
        <v>0</v>
      </c>
      <c r="R337" s="3">
        <f>IF(AND($K337=1,AND(对接源_01水果!$X337="公司筐",N(对接源_01水果!$U337)&lt;&gt;0)),1,0)</f>
        <v>0</v>
      </c>
      <c r="S337" s="3">
        <f t="shared" si="97"/>
        <v>0</v>
      </c>
      <c r="T337" s="3">
        <f>IF(AND($K337=1,AND(对接源_01水果!$X337="公司筐",N(对接源_01水果!$V337)&lt;&gt;0)),1,0)</f>
        <v>0</v>
      </c>
      <c r="U337" s="3">
        <f t="shared" si="98"/>
        <v>19</v>
      </c>
      <c r="V337" s="3">
        <f>IF(AND($L337=1,AND(对接源_01水果!$X337="自备筐",N(对接源_01水果!$V337)&lt;&gt;0)),1,0)</f>
        <v>0</v>
      </c>
      <c r="W337" s="3">
        <f t="shared" si="99"/>
        <v>8</v>
      </c>
      <c r="X337" s="3">
        <f>IF(AND($L337=1,AND(对接源_01水果!$X337="自备筐",N(对接源_01水果!$T337)&lt;&gt;0)),1,0)</f>
        <v>0</v>
      </c>
      <c r="Y337" s="3">
        <f t="shared" si="100"/>
        <v>0</v>
      </c>
      <c r="Z337" s="3">
        <f>IF(AND($M337=1,对接源_01水果!$D337="原料入库"),1,0)</f>
        <v>0</v>
      </c>
      <c r="AA337" s="3">
        <f t="shared" si="101"/>
        <v>24</v>
      </c>
      <c r="AB337" s="3">
        <f>IF(AND($M337=1,LEFT(对接源_01水果!$D337,4)="原料出库"),1,0)</f>
        <v>0</v>
      </c>
      <c r="AC337" s="3">
        <f t="shared" si="102"/>
        <v>0</v>
      </c>
      <c r="AD337" s="3">
        <f>IF(AND($M337=1,LEFT(对接源_01水果!$D337,4)="成品出库"),1,0)</f>
        <v>0</v>
      </c>
      <c r="AE337" s="3">
        <f t="shared" si="103"/>
        <v>0</v>
      </c>
      <c r="AF337" s="3">
        <f>IF(AND($N337=1,AND(LEFT(对接源_01水果!$D337,4)="包装物料",N(对接源_01水果!$K337)&lt;&gt;0)),1,0)</f>
        <v>0</v>
      </c>
      <c r="AG337" s="3">
        <f t="shared" si="104"/>
        <v>0</v>
      </c>
      <c r="AH337" s="3">
        <f>IF(AND($N337=1,AND(对接源_01水果!$D337="周转筐－销售出库",N(对接源_01水果!$K337)&lt;&gt;0)),1,0)</f>
        <v>0</v>
      </c>
      <c r="AI337" s="3">
        <f t="shared" si="105"/>
        <v>0</v>
      </c>
      <c r="AJ337" s="7"/>
      <c r="AL337" s="3">
        <f>IF(OR($AL$1="",对接源_01水果!$Y337="",对接源_01水果!$Y337&lt;&gt;$AL$1,对接源_01水果!$B337="",N(对接源_01水果!$AJ337)&lt;=0),0,IF(OR(N(对接源_01水果!$B337)&lt;$AL$2,N(对接源_01水果!$B337)&gt;$AL$3),0,1))</f>
        <v>0</v>
      </c>
      <c r="AM337" s="3">
        <f t="shared" si="106"/>
        <v>0</v>
      </c>
      <c r="AN337" s="3" t="str">
        <f>IF(对接源_01水果!$AC337="","",对接源_01水果!$AC337)</f>
        <v/>
      </c>
      <c r="AO337" s="3">
        <f t="shared" si="107"/>
        <v>0</v>
      </c>
      <c r="AP337" s="3">
        <f t="shared" si="108"/>
        <v>0</v>
      </c>
      <c r="AR337">
        <f t="shared" si="109"/>
        <v>0</v>
      </c>
      <c r="AS337">
        <f t="shared" si="110"/>
        <v>0</v>
      </c>
    </row>
    <row r="338" ht="14.25" customHeight="1" spans="1:45">
      <c r="A338" s="3" t="str">
        <f>IF(对接源_01水果!$C338="","",对接源_01水果!$C338)</f>
        <v>聂新平</v>
      </c>
      <c r="B338" s="3">
        <f t="shared" si="94"/>
        <v>0</v>
      </c>
      <c r="C338" s="3">
        <f t="shared" si="95"/>
        <v>18</v>
      </c>
      <c r="K338" s="3">
        <f>IF(OR($K$1="",对接源_01水果!$C338="",对接源_01水果!$C338&lt;&gt;$K$1,对接源_01水果!$B338=""),0,IF(OR(N(对接源_01水果!$B338)&lt;$K$2,N(对接源_01水果!$B338)&gt;$K$3),0,1))</f>
        <v>0</v>
      </c>
      <c r="L338" s="3">
        <f>IF(OR($L$1="",对接源_01水果!$C338="",对接源_01水果!$C338&lt;&gt;$L$1,对接源_01水果!$B338=""),0,IF(OR(N(对接源_01水果!$B338)&lt;$L$2,N(对接源_01水果!$B338)&gt;$L$3),0,1))</f>
        <v>0</v>
      </c>
      <c r="M338" s="3">
        <f>IF(OR($M$1="",对接源_01水果!$C338="",对接源_01水果!$C338&lt;&gt;$M$1,对接源_01水果!$B338=""),0,IF(OR(N(对接源_01水果!$B338)&lt;$M$2,N(对接源_01水果!$B338)&gt;$M$3),0,1))</f>
        <v>0</v>
      </c>
      <c r="N338" s="3">
        <f>IF(OR($N$1="",对接源_01水果!$C338="",对接源_01水果!$C338&lt;&gt;$N$1,对接源_01水果!$B338=""),0,IF(OR(N(对接源_01水果!$B338)&lt;$N$2,N(对接源_01水果!$B338)&gt;$N$3),0,1))</f>
        <v>0</v>
      </c>
      <c r="P338" s="3">
        <f>IF(AND($K338=1,AND(对接源_01水果!$X338="公司筐",N(对接源_01水果!$T338)&lt;&gt;0)),1,0)</f>
        <v>0</v>
      </c>
      <c r="Q338" s="3">
        <f t="shared" si="96"/>
        <v>0</v>
      </c>
      <c r="R338" s="3">
        <f>IF(AND($K338=1,AND(对接源_01水果!$X338="公司筐",N(对接源_01水果!$U338)&lt;&gt;0)),1,0)</f>
        <v>0</v>
      </c>
      <c r="S338" s="3">
        <f t="shared" si="97"/>
        <v>0</v>
      </c>
      <c r="T338" s="3">
        <f>IF(AND($K338=1,AND(对接源_01水果!$X338="公司筐",N(对接源_01水果!$V338)&lt;&gt;0)),1,0)</f>
        <v>0</v>
      </c>
      <c r="U338" s="3">
        <f t="shared" si="98"/>
        <v>19</v>
      </c>
      <c r="V338" s="3">
        <f>IF(AND($L338=1,AND(对接源_01水果!$X338="自备筐",N(对接源_01水果!$V338)&lt;&gt;0)),1,0)</f>
        <v>0</v>
      </c>
      <c r="W338" s="3">
        <f t="shared" si="99"/>
        <v>8</v>
      </c>
      <c r="X338" s="3">
        <f>IF(AND($L338=1,AND(对接源_01水果!$X338="自备筐",N(对接源_01水果!$T338)&lt;&gt;0)),1,0)</f>
        <v>0</v>
      </c>
      <c r="Y338" s="3">
        <f t="shared" si="100"/>
        <v>0</v>
      </c>
      <c r="Z338" s="3">
        <f>IF(AND($M338=1,对接源_01水果!$D338="原料入库"),1,0)</f>
        <v>0</v>
      </c>
      <c r="AA338" s="3">
        <f t="shared" si="101"/>
        <v>24</v>
      </c>
      <c r="AB338" s="3">
        <f>IF(AND($M338=1,LEFT(对接源_01水果!$D338,4)="原料出库"),1,0)</f>
        <v>0</v>
      </c>
      <c r="AC338" s="3">
        <f t="shared" si="102"/>
        <v>0</v>
      </c>
      <c r="AD338" s="3">
        <f>IF(AND($M338=1,LEFT(对接源_01水果!$D338,4)="成品出库"),1,0)</f>
        <v>0</v>
      </c>
      <c r="AE338" s="3">
        <f t="shared" si="103"/>
        <v>0</v>
      </c>
      <c r="AF338" s="3">
        <f>IF(AND($N338=1,AND(LEFT(对接源_01水果!$D338,4)="包装物料",N(对接源_01水果!$K338)&lt;&gt;0)),1,0)</f>
        <v>0</v>
      </c>
      <c r="AG338" s="3">
        <f t="shared" si="104"/>
        <v>0</v>
      </c>
      <c r="AH338" s="3">
        <f>IF(AND($N338=1,AND(对接源_01水果!$D338="周转筐－销售出库",N(对接源_01水果!$K338)&lt;&gt;0)),1,0)</f>
        <v>0</v>
      </c>
      <c r="AI338" s="3">
        <f t="shared" si="105"/>
        <v>0</v>
      </c>
      <c r="AJ338" s="7"/>
      <c r="AL338" s="3">
        <f>IF(OR($AL$1="",对接源_01水果!$Y338="",对接源_01水果!$Y338&lt;&gt;$AL$1,对接源_01水果!$B338="",N(对接源_01水果!$AJ338)&lt;=0),0,IF(OR(N(对接源_01水果!$B338)&lt;$AL$2,N(对接源_01水果!$B338)&gt;$AL$3),0,1))</f>
        <v>0</v>
      </c>
      <c r="AM338" s="3">
        <f t="shared" si="106"/>
        <v>0</v>
      </c>
      <c r="AN338" s="3" t="str">
        <f>IF(对接源_01水果!$AC338="","",对接源_01水果!$AC338)</f>
        <v/>
      </c>
      <c r="AO338" s="3">
        <f t="shared" si="107"/>
        <v>0</v>
      </c>
      <c r="AP338" s="3">
        <f t="shared" si="108"/>
        <v>0</v>
      </c>
      <c r="AR338">
        <f t="shared" si="109"/>
        <v>0</v>
      </c>
      <c r="AS338">
        <f t="shared" si="110"/>
        <v>0</v>
      </c>
    </row>
    <row r="339" ht="14.25" customHeight="1" spans="1:45">
      <c r="A339" s="3" t="str">
        <f>IF(对接源_01水果!$C339="","",对接源_01水果!$C339)</f>
        <v>王照雪</v>
      </c>
      <c r="B339" s="3">
        <f t="shared" si="94"/>
        <v>0</v>
      </c>
      <c r="C339" s="3">
        <f t="shared" si="95"/>
        <v>18</v>
      </c>
      <c r="K339" s="3">
        <f>IF(OR($K$1="",对接源_01水果!$C339="",对接源_01水果!$C339&lt;&gt;$K$1,对接源_01水果!$B339=""),0,IF(OR(N(对接源_01水果!$B339)&lt;$K$2,N(对接源_01水果!$B339)&gt;$K$3),0,1))</f>
        <v>0</v>
      </c>
      <c r="L339" s="3">
        <f>IF(OR($L$1="",对接源_01水果!$C339="",对接源_01水果!$C339&lt;&gt;$L$1,对接源_01水果!$B339=""),0,IF(OR(N(对接源_01水果!$B339)&lt;$L$2,N(对接源_01水果!$B339)&gt;$L$3),0,1))</f>
        <v>0</v>
      </c>
      <c r="M339" s="3">
        <f>IF(OR($M$1="",对接源_01水果!$C339="",对接源_01水果!$C339&lt;&gt;$M$1,对接源_01水果!$B339=""),0,IF(OR(N(对接源_01水果!$B339)&lt;$M$2,N(对接源_01水果!$B339)&gt;$M$3),0,1))</f>
        <v>0</v>
      </c>
      <c r="N339" s="3">
        <f>IF(OR($N$1="",对接源_01水果!$C339="",对接源_01水果!$C339&lt;&gt;$N$1,对接源_01水果!$B339=""),0,IF(OR(N(对接源_01水果!$B339)&lt;$N$2,N(对接源_01水果!$B339)&gt;$N$3),0,1))</f>
        <v>0</v>
      </c>
      <c r="P339" s="3">
        <f>IF(AND($K339=1,AND(对接源_01水果!$X339="公司筐",N(对接源_01水果!$T339)&lt;&gt;0)),1,0)</f>
        <v>0</v>
      </c>
      <c r="Q339" s="3">
        <f t="shared" si="96"/>
        <v>0</v>
      </c>
      <c r="R339" s="3">
        <f>IF(AND($K339=1,AND(对接源_01水果!$X339="公司筐",N(对接源_01水果!$U339)&lt;&gt;0)),1,0)</f>
        <v>0</v>
      </c>
      <c r="S339" s="3">
        <f t="shared" si="97"/>
        <v>0</v>
      </c>
      <c r="T339" s="3">
        <f>IF(AND($K339=1,AND(对接源_01水果!$X339="公司筐",N(对接源_01水果!$V339)&lt;&gt;0)),1,0)</f>
        <v>0</v>
      </c>
      <c r="U339" s="3">
        <f t="shared" si="98"/>
        <v>19</v>
      </c>
      <c r="V339" s="3">
        <f>IF(AND($L339=1,AND(对接源_01水果!$X339="自备筐",N(对接源_01水果!$V339)&lt;&gt;0)),1,0)</f>
        <v>0</v>
      </c>
      <c r="W339" s="3">
        <f t="shared" si="99"/>
        <v>8</v>
      </c>
      <c r="X339" s="3">
        <f>IF(AND($L339=1,AND(对接源_01水果!$X339="自备筐",N(对接源_01水果!$T339)&lt;&gt;0)),1,0)</f>
        <v>0</v>
      </c>
      <c r="Y339" s="3">
        <f t="shared" si="100"/>
        <v>0</v>
      </c>
      <c r="Z339" s="3">
        <f>IF(AND($M339=1,对接源_01水果!$D339="原料入库"),1,0)</f>
        <v>0</v>
      </c>
      <c r="AA339" s="3">
        <f t="shared" si="101"/>
        <v>24</v>
      </c>
      <c r="AB339" s="3">
        <f>IF(AND($M339=1,LEFT(对接源_01水果!$D339,4)="原料出库"),1,0)</f>
        <v>0</v>
      </c>
      <c r="AC339" s="3">
        <f t="shared" si="102"/>
        <v>0</v>
      </c>
      <c r="AD339" s="3">
        <f>IF(AND($M339=1,LEFT(对接源_01水果!$D339,4)="成品出库"),1,0)</f>
        <v>0</v>
      </c>
      <c r="AE339" s="3">
        <f t="shared" si="103"/>
        <v>0</v>
      </c>
      <c r="AF339" s="3">
        <f>IF(AND($N339=1,AND(LEFT(对接源_01水果!$D339,4)="包装物料",N(对接源_01水果!$K339)&lt;&gt;0)),1,0)</f>
        <v>0</v>
      </c>
      <c r="AG339" s="3">
        <f t="shared" si="104"/>
        <v>0</v>
      </c>
      <c r="AH339" s="3">
        <f>IF(AND($N339=1,AND(对接源_01水果!$D339="周转筐－销售出库",N(对接源_01水果!$K339)&lt;&gt;0)),1,0)</f>
        <v>0</v>
      </c>
      <c r="AI339" s="3">
        <f t="shared" si="105"/>
        <v>0</v>
      </c>
      <c r="AJ339" s="7"/>
      <c r="AL339" s="3">
        <f>IF(OR($AL$1="",对接源_01水果!$Y339="",对接源_01水果!$Y339&lt;&gt;$AL$1,对接源_01水果!$B339="",N(对接源_01水果!$AJ339)&lt;=0),0,IF(OR(N(对接源_01水果!$B339)&lt;$AL$2,N(对接源_01水果!$B339)&gt;$AL$3),0,1))</f>
        <v>0</v>
      </c>
      <c r="AM339" s="3">
        <f t="shared" si="106"/>
        <v>0</v>
      </c>
      <c r="AN339" s="3" t="str">
        <f>IF(对接源_01水果!$AC339="","",对接源_01水果!$AC339)</f>
        <v/>
      </c>
      <c r="AO339" s="3">
        <f t="shared" si="107"/>
        <v>0</v>
      </c>
      <c r="AP339" s="3">
        <f t="shared" si="108"/>
        <v>0</v>
      </c>
      <c r="AR339">
        <f t="shared" si="109"/>
        <v>0</v>
      </c>
      <c r="AS339">
        <f t="shared" si="110"/>
        <v>0</v>
      </c>
    </row>
    <row r="340" ht="14.25" customHeight="1" spans="1:45">
      <c r="A340" s="3" t="str">
        <f>IF(对接源_01水果!$C340="","",对接源_01水果!$C340)</f>
        <v>王照雪</v>
      </c>
      <c r="B340" s="3">
        <f t="shared" si="94"/>
        <v>0</v>
      </c>
      <c r="C340" s="3">
        <f t="shared" si="95"/>
        <v>18</v>
      </c>
      <c r="K340" s="3">
        <f>IF(OR($K$1="",对接源_01水果!$C340="",对接源_01水果!$C340&lt;&gt;$K$1,对接源_01水果!$B340=""),0,IF(OR(N(对接源_01水果!$B340)&lt;$K$2,N(对接源_01水果!$B340)&gt;$K$3),0,1))</f>
        <v>0</v>
      </c>
      <c r="L340" s="3">
        <f>IF(OR($L$1="",对接源_01水果!$C340="",对接源_01水果!$C340&lt;&gt;$L$1,对接源_01水果!$B340=""),0,IF(OR(N(对接源_01水果!$B340)&lt;$L$2,N(对接源_01水果!$B340)&gt;$L$3),0,1))</f>
        <v>0</v>
      </c>
      <c r="M340" s="3">
        <f>IF(OR($M$1="",对接源_01水果!$C340="",对接源_01水果!$C340&lt;&gt;$M$1,对接源_01水果!$B340=""),0,IF(OR(N(对接源_01水果!$B340)&lt;$M$2,N(对接源_01水果!$B340)&gt;$M$3),0,1))</f>
        <v>0</v>
      </c>
      <c r="N340" s="3">
        <f>IF(OR($N$1="",对接源_01水果!$C340="",对接源_01水果!$C340&lt;&gt;$N$1,对接源_01水果!$B340=""),0,IF(OR(N(对接源_01水果!$B340)&lt;$N$2,N(对接源_01水果!$B340)&gt;$N$3),0,1))</f>
        <v>0</v>
      </c>
      <c r="P340" s="3">
        <f>IF(AND($K340=1,AND(对接源_01水果!$X340="公司筐",N(对接源_01水果!$T340)&lt;&gt;0)),1,0)</f>
        <v>0</v>
      </c>
      <c r="Q340" s="3">
        <f t="shared" si="96"/>
        <v>0</v>
      </c>
      <c r="R340" s="3">
        <f>IF(AND($K340=1,AND(对接源_01水果!$X340="公司筐",N(对接源_01水果!$U340)&lt;&gt;0)),1,0)</f>
        <v>0</v>
      </c>
      <c r="S340" s="3">
        <f t="shared" si="97"/>
        <v>0</v>
      </c>
      <c r="T340" s="3">
        <f>IF(AND($K340=1,AND(对接源_01水果!$X340="公司筐",N(对接源_01水果!$V340)&lt;&gt;0)),1,0)</f>
        <v>0</v>
      </c>
      <c r="U340" s="3">
        <f t="shared" si="98"/>
        <v>19</v>
      </c>
      <c r="V340" s="3">
        <f>IF(AND($L340=1,AND(对接源_01水果!$X340="自备筐",N(对接源_01水果!$V340)&lt;&gt;0)),1,0)</f>
        <v>0</v>
      </c>
      <c r="W340" s="3">
        <f t="shared" si="99"/>
        <v>8</v>
      </c>
      <c r="X340" s="3">
        <f>IF(AND($L340=1,AND(对接源_01水果!$X340="自备筐",N(对接源_01水果!$T340)&lt;&gt;0)),1,0)</f>
        <v>0</v>
      </c>
      <c r="Y340" s="3">
        <f t="shared" si="100"/>
        <v>0</v>
      </c>
      <c r="Z340" s="3">
        <f>IF(AND($M340=1,对接源_01水果!$D340="原料入库"),1,0)</f>
        <v>0</v>
      </c>
      <c r="AA340" s="3">
        <f t="shared" si="101"/>
        <v>24</v>
      </c>
      <c r="AB340" s="3">
        <f>IF(AND($M340=1,LEFT(对接源_01水果!$D340,4)="原料出库"),1,0)</f>
        <v>0</v>
      </c>
      <c r="AC340" s="3">
        <f t="shared" si="102"/>
        <v>0</v>
      </c>
      <c r="AD340" s="3">
        <f>IF(AND($M340=1,LEFT(对接源_01水果!$D340,4)="成品出库"),1,0)</f>
        <v>0</v>
      </c>
      <c r="AE340" s="3">
        <f t="shared" si="103"/>
        <v>0</v>
      </c>
      <c r="AF340" s="3">
        <f>IF(AND($N340=1,AND(LEFT(对接源_01水果!$D340,4)="包装物料",N(对接源_01水果!$K340)&lt;&gt;0)),1,0)</f>
        <v>0</v>
      </c>
      <c r="AG340" s="3">
        <f t="shared" si="104"/>
        <v>0</v>
      </c>
      <c r="AH340" s="3">
        <f>IF(AND($N340=1,AND(对接源_01水果!$D340="周转筐－销售出库",N(对接源_01水果!$K340)&lt;&gt;0)),1,0)</f>
        <v>0</v>
      </c>
      <c r="AI340" s="3">
        <f t="shared" si="105"/>
        <v>0</v>
      </c>
      <c r="AJ340" s="7"/>
      <c r="AL340" s="3">
        <f>IF(OR($AL$1="",对接源_01水果!$Y340="",对接源_01水果!$Y340&lt;&gt;$AL$1,对接源_01水果!$B340="",N(对接源_01水果!$AJ340)&lt;=0),0,IF(OR(N(对接源_01水果!$B340)&lt;$AL$2,N(对接源_01水果!$B340)&gt;$AL$3),0,1))</f>
        <v>0</v>
      </c>
      <c r="AM340" s="3">
        <f t="shared" si="106"/>
        <v>0</v>
      </c>
      <c r="AN340" s="3" t="str">
        <f>IF(对接源_01水果!$AC340="","",对接源_01水果!$AC340)</f>
        <v/>
      </c>
      <c r="AO340" s="3">
        <f t="shared" si="107"/>
        <v>0</v>
      </c>
      <c r="AP340" s="3">
        <f t="shared" si="108"/>
        <v>0</v>
      </c>
      <c r="AR340">
        <f t="shared" si="109"/>
        <v>0</v>
      </c>
      <c r="AS340">
        <f t="shared" si="110"/>
        <v>0</v>
      </c>
    </row>
    <row r="341" ht="14.25" customHeight="1" spans="1:45">
      <c r="A341" s="3" t="str">
        <f>IF(对接源_01水果!$C341="","",对接源_01水果!$C341)</f>
        <v>王照雪</v>
      </c>
      <c r="B341" s="3">
        <f t="shared" si="94"/>
        <v>0</v>
      </c>
      <c r="C341" s="3">
        <f t="shared" si="95"/>
        <v>18</v>
      </c>
      <c r="K341" s="3">
        <f>IF(OR($K$1="",对接源_01水果!$C341="",对接源_01水果!$C341&lt;&gt;$K$1,对接源_01水果!$B341=""),0,IF(OR(N(对接源_01水果!$B341)&lt;$K$2,N(对接源_01水果!$B341)&gt;$K$3),0,1))</f>
        <v>0</v>
      </c>
      <c r="L341" s="3">
        <f>IF(OR($L$1="",对接源_01水果!$C341="",对接源_01水果!$C341&lt;&gt;$L$1,对接源_01水果!$B341=""),0,IF(OR(N(对接源_01水果!$B341)&lt;$L$2,N(对接源_01水果!$B341)&gt;$L$3),0,1))</f>
        <v>0</v>
      </c>
      <c r="M341" s="3">
        <f>IF(OR($M$1="",对接源_01水果!$C341="",对接源_01水果!$C341&lt;&gt;$M$1,对接源_01水果!$B341=""),0,IF(OR(N(对接源_01水果!$B341)&lt;$M$2,N(对接源_01水果!$B341)&gt;$M$3),0,1))</f>
        <v>0</v>
      </c>
      <c r="N341" s="3">
        <f>IF(OR($N$1="",对接源_01水果!$C341="",对接源_01水果!$C341&lt;&gt;$N$1,对接源_01水果!$B341=""),0,IF(OR(N(对接源_01水果!$B341)&lt;$N$2,N(对接源_01水果!$B341)&gt;$N$3),0,1))</f>
        <v>0</v>
      </c>
      <c r="P341" s="3">
        <f>IF(AND($K341=1,AND(对接源_01水果!$X341="公司筐",N(对接源_01水果!$T341)&lt;&gt;0)),1,0)</f>
        <v>0</v>
      </c>
      <c r="Q341" s="3">
        <f t="shared" si="96"/>
        <v>0</v>
      </c>
      <c r="R341" s="3">
        <f>IF(AND($K341=1,AND(对接源_01水果!$X341="公司筐",N(对接源_01水果!$U341)&lt;&gt;0)),1,0)</f>
        <v>0</v>
      </c>
      <c r="S341" s="3">
        <f t="shared" si="97"/>
        <v>0</v>
      </c>
      <c r="T341" s="3">
        <f>IF(AND($K341=1,AND(对接源_01水果!$X341="公司筐",N(对接源_01水果!$V341)&lt;&gt;0)),1,0)</f>
        <v>0</v>
      </c>
      <c r="U341" s="3">
        <f t="shared" si="98"/>
        <v>19</v>
      </c>
      <c r="V341" s="3">
        <f>IF(AND($L341=1,AND(对接源_01水果!$X341="自备筐",N(对接源_01水果!$V341)&lt;&gt;0)),1,0)</f>
        <v>0</v>
      </c>
      <c r="W341" s="3">
        <f t="shared" si="99"/>
        <v>8</v>
      </c>
      <c r="X341" s="3">
        <f>IF(AND($L341=1,AND(对接源_01水果!$X341="自备筐",N(对接源_01水果!$T341)&lt;&gt;0)),1,0)</f>
        <v>0</v>
      </c>
      <c r="Y341" s="3">
        <f t="shared" si="100"/>
        <v>0</v>
      </c>
      <c r="Z341" s="3">
        <f>IF(AND($M341=1,对接源_01水果!$D341="原料入库"),1,0)</f>
        <v>0</v>
      </c>
      <c r="AA341" s="3">
        <f t="shared" si="101"/>
        <v>24</v>
      </c>
      <c r="AB341" s="3">
        <f>IF(AND($M341=1,LEFT(对接源_01水果!$D341,4)="原料出库"),1,0)</f>
        <v>0</v>
      </c>
      <c r="AC341" s="3">
        <f t="shared" si="102"/>
        <v>0</v>
      </c>
      <c r="AD341" s="3">
        <f>IF(AND($M341=1,LEFT(对接源_01水果!$D341,4)="成品出库"),1,0)</f>
        <v>0</v>
      </c>
      <c r="AE341" s="3">
        <f t="shared" si="103"/>
        <v>0</v>
      </c>
      <c r="AF341" s="3">
        <f>IF(AND($N341=1,AND(LEFT(对接源_01水果!$D341,4)="包装物料",N(对接源_01水果!$K341)&lt;&gt;0)),1,0)</f>
        <v>0</v>
      </c>
      <c r="AG341" s="3">
        <f t="shared" si="104"/>
        <v>0</v>
      </c>
      <c r="AH341" s="3">
        <f>IF(AND($N341=1,AND(对接源_01水果!$D341="周转筐－销售出库",N(对接源_01水果!$K341)&lt;&gt;0)),1,0)</f>
        <v>0</v>
      </c>
      <c r="AI341" s="3">
        <f t="shared" si="105"/>
        <v>0</v>
      </c>
      <c r="AJ341" s="7"/>
      <c r="AL341" s="3">
        <f>IF(OR($AL$1="",对接源_01水果!$Y341="",对接源_01水果!$Y341&lt;&gt;$AL$1,对接源_01水果!$B341="",N(对接源_01水果!$AJ341)&lt;=0),0,IF(OR(N(对接源_01水果!$B341)&lt;$AL$2,N(对接源_01水果!$B341)&gt;$AL$3),0,1))</f>
        <v>0</v>
      </c>
      <c r="AM341" s="3">
        <f t="shared" si="106"/>
        <v>0</v>
      </c>
      <c r="AN341" s="3" t="str">
        <f>IF(对接源_01水果!$AC341="","",对接源_01水果!$AC341)</f>
        <v/>
      </c>
      <c r="AO341" s="3">
        <f t="shared" si="107"/>
        <v>0</v>
      </c>
      <c r="AP341" s="3">
        <f t="shared" si="108"/>
        <v>0</v>
      </c>
      <c r="AR341">
        <f t="shared" si="109"/>
        <v>0</v>
      </c>
      <c r="AS341">
        <f t="shared" si="110"/>
        <v>0</v>
      </c>
    </row>
    <row r="342" ht="14.25" customHeight="1" spans="1:45">
      <c r="A342" s="3" t="str">
        <f>IF(对接源_01水果!$C342="","",对接源_01水果!$C342)</f>
        <v>王照雪</v>
      </c>
      <c r="B342" s="3">
        <f t="shared" si="94"/>
        <v>0</v>
      </c>
      <c r="C342" s="3">
        <f t="shared" si="95"/>
        <v>18</v>
      </c>
      <c r="K342" s="3">
        <f>IF(OR($K$1="",对接源_01水果!$C342="",对接源_01水果!$C342&lt;&gt;$K$1,对接源_01水果!$B342=""),0,IF(OR(N(对接源_01水果!$B342)&lt;$K$2,N(对接源_01水果!$B342)&gt;$K$3),0,1))</f>
        <v>0</v>
      </c>
      <c r="L342" s="3">
        <f>IF(OR($L$1="",对接源_01水果!$C342="",对接源_01水果!$C342&lt;&gt;$L$1,对接源_01水果!$B342=""),0,IF(OR(N(对接源_01水果!$B342)&lt;$L$2,N(对接源_01水果!$B342)&gt;$L$3),0,1))</f>
        <v>0</v>
      </c>
      <c r="M342" s="3">
        <f>IF(OR($M$1="",对接源_01水果!$C342="",对接源_01水果!$C342&lt;&gt;$M$1,对接源_01水果!$B342=""),0,IF(OR(N(对接源_01水果!$B342)&lt;$M$2,N(对接源_01水果!$B342)&gt;$M$3),0,1))</f>
        <v>0</v>
      </c>
      <c r="N342" s="3">
        <f>IF(OR($N$1="",对接源_01水果!$C342="",对接源_01水果!$C342&lt;&gt;$N$1,对接源_01水果!$B342=""),0,IF(OR(N(对接源_01水果!$B342)&lt;$N$2,N(对接源_01水果!$B342)&gt;$N$3),0,1))</f>
        <v>0</v>
      </c>
      <c r="P342" s="3">
        <f>IF(AND($K342=1,AND(对接源_01水果!$X342="公司筐",N(对接源_01水果!$T342)&lt;&gt;0)),1,0)</f>
        <v>0</v>
      </c>
      <c r="Q342" s="3">
        <f t="shared" si="96"/>
        <v>0</v>
      </c>
      <c r="R342" s="3">
        <f>IF(AND($K342=1,AND(对接源_01水果!$X342="公司筐",N(对接源_01水果!$U342)&lt;&gt;0)),1,0)</f>
        <v>0</v>
      </c>
      <c r="S342" s="3">
        <f t="shared" si="97"/>
        <v>0</v>
      </c>
      <c r="T342" s="3">
        <f>IF(AND($K342=1,AND(对接源_01水果!$X342="公司筐",N(对接源_01水果!$V342)&lt;&gt;0)),1,0)</f>
        <v>0</v>
      </c>
      <c r="U342" s="3">
        <f t="shared" si="98"/>
        <v>19</v>
      </c>
      <c r="V342" s="3">
        <f>IF(AND($L342=1,AND(对接源_01水果!$X342="自备筐",N(对接源_01水果!$V342)&lt;&gt;0)),1,0)</f>
        <v>0</v>
      </c>
      <c r="W342" s="3">
        <f t="shared" si="99"/>
        <v>8</v>
      </c>
      <c r="X342" s="3">
        <f>IF(AND($L342=1,AND(对接源_01水果!$X342="自备筐",N(对接源_01水果!$T342)&lt;&gt;0)),1,0)</f>
        <v>0</v>
      </c>
      <c r="Y342" s="3">
        <f t="shared" si="100"/>
        <v>0</v>
      </c>
      <c r="Z342" s="3">
        <f>IF(AND($M342=1,对接源_01水果!$D342="原料入库"),1,0)</f>
        <v>0</v>
      </c>
      <c r="AA342" s="3">
        <f t="shared" si="101"/>
        <v>24</v>
      </c>
      <c r="AB342" s="3">
        <f>IF(AND($M342=1,LEFT(对接源_01水果!$D342,4)="原料出库"),1,0)</f>
        <v>0</v>
      </c>
      <c r="AC342" s="3">
        <f t="shared" si="102"/>
        <v>0</v>
      </c>
      <c r="AD342" s="3">
        <f>IF(AND($M342=1,LEFT(对接源_01水果!$D342,4)="成品出库"),1,0)</f>
        <v>0</v>
      </c>
      <c r="AE342" s="3">
        <f t="shared" si="103"/>
        <v>0</v>
      </c>
      <c r="AF342" s="3">
        <f>IF(AND($N342=1,AND(LEFT(对接源_01水果!$D342,4)="包装物料",N(对接源_01水果!$K342)&lt;&gt;0)),1,0)</f>
        <v>0</v>
      </c>
      <c r="AG342" s="3">
        <f t="shared" si="104"/>
        <v>0</v>
      </c>
      <c r="AH342" s="3">
        <f>IF(AND($N342=1,AND(对接源_01水果!$D342="周转筐－销售出库",N(对接源_01水果!$K342)&lt;&gt;0)),1,0)</f>
        <v>0</v>
      </c>
      <c r="AI342" s="3">
        <f t="shared" si="105"/>
        <v>0</v>
      </c>
      <c r="AJ342" s="7"/>
      <c r="AL342" s="3">
        <f>IF(OR($AL$1="",对接源_01水果!$Y342="",对接源_01水果!$Y342&lt;&gt;$AL$1,对接源_01水果!$B342="",N(对接源_01水果!$AJ342)&lt;=0),0,IF(OR(N(对接源_01水果!$B342)&lt;$AL$2,N(对接源_01水果!$B342)&gt;$AL$3),0,1))</f>
        <v>0</v>
      </c>
      <c r="AM342" s="3">
        <f t="shared" si="106"/>
        <v>0</v>
      </c>
      <c r="AN342" s="3" t="str">
        <f>IF(对接源_01水果!$AC342="","",对接源_01水果!$AC342)</f>
        <v/>
      </c>
      <c r="AO342" s="3">
        <f t="shared" si="107"/>
        <v>0</v>
      </c>
      <c r="AP342" s="3">
        <f t="shared" si="108"/>
        <v>0</v>
      </c>
      <c r="AR342">
        <f t="shared" si="109"/>
        <v>0</v>
      </c>
      <c r="AS342">
        <f t="shared" si="110"/>
        <v>0</v>
      </c>
    </row>
    <row r="343" ht="14.25" customHeight="1" spans="1:45">
      <c r="A343" s="3" t="str">
        <f>IF(对接源_01水果!$C343="","",对接源_01水果!$C343)</f>
        <v>王照雪</v>
      </c>
      <c r="B343" s="3">
        <f t="shared" si="94"/>
        <v>0</v>
      </c>
      <c r="C343" s="3">
        <f t="shared" si="95"/>
        <v>18</v>
      </c>
      <c r="K343" s="3">
        <f>IF(OR($K$1="",对接源_01水果!$C343="",对接源_01水果!$C343&lt;&gt;$K$1,对接源_01水果!$B343=""),0,IF(OR(N(对接源_01水果!$B343)&lt;$K$2,N(对接源_01水果!$B343)&gt;$K$3),0,1))</f>
        <v>0</v>
      </c>
      <c r="L343" s="3">
        <f>IF(OR($L$1="",对接源_01水果!$C343="",对接源_01水果!$C343&lt;&gt;$L$1,对接源_01水果!$B343=""),0,IF(OR(N(对接源_01水果!$B343)&lt;$L$2,N(对接源_01水果!$B343)&gt;$L$3),0,1))</f>
        <v>0</v>
      </c>
      <c r="M343" s="3">
        <f>IF(OR($M$1="",对接源_01水果!$C343="",对接源_01水果!$C343&lt;&gt;$M$1,对接源_01水果!$B343=""),0,IF(OR(N(对接源_01水果!$B343)&lt;$M$2,N(对接源_01水果!$B343)&gt;$M$3),0,1))</f>
        <v>0</v>
      </c>
      <c r="N343" s="3">
        <f>IF(OR($N$1="",对接源_01水果!$C343="",对接源_01水果!$C343&lt;&gt;$N$1,对接源_01水果!$B343=""),0,IF(OR(N(对接源_01水果!$B343)&lt;$N$2,N(对接源_01水果!$B343)&gt;$N$3),0,1))</f>
        <v>0</v>
      </c>
      <c r="P343" s="3">
        <f>IF(AND($K343=1,AND(对接源_01水果!$X343="公司筐",N(对接源_01水果!$T343)&lt;&gt;0)),1,0)</f>
        <v>0</v>
      </c>
      <c r="Q343" s="3">
        <f t="shared" si="96"/>
        <v>0</v>
      </c>
      <c r="R343" s="3">
        <f>IF(AND($K343=1,AND(对接源_01水果!$X343="公司筐",N(对接源_01水果!$U343)&lt;&gt;0)),1,0)</f>
        <v>0</v>
      </c>
      <c r="S343" s="3">
        <f t="shared" si="97"/>
        <v>0</v>
      </c>
      <c r="T343" s="3">
        <f>IF(AND($K343=1,AND(对接源_01水果!$X343="公司筐",N(对接源_01水果!$V343)&lt;&gt;0)),1,0)</f>
        <v>0</v>
      </c>
      <c r="U343" s="3">
        <f t="shared" si="98"/>
        <v>19</v>
      </c>
      <c r="V343" s="3">
        <f>IF(AND($L343=1,AND(对接源_01水果!$X343="自备筐",N(对接源_01水果!$V343)&lt;&gt;0)),1,0)</f>
        <v>0</v>
      </c>
      <c r="W343" s="3">
        <f t="shared" si="99"/>
        <v>8</v>
      </c>
      <c r="X343" s="3">
        <f>IF(AND($L343=1,AND(对接源_01水果!$X343="自备筐",N(对接源_01水果!$T343)&lt;&gt;0)),1,0)</f>
        <v>0</v>
      </c>
      <c r="Y343" s="3">
        <f t="shared" si="100"/>
        <v>0</v>
      </c>
      <c r="Z343" s="3">
        <f>IF(AND($M343=1,对接源_01水果!$D343="原料入库"),1,0)</f>
        <v>0</v>
      </c>
      <c r="AA343" s="3">
        <f t="shared" si="101"/>
        <v>24</v>
      </c>
      <c r="AB343" s="3">
        <f>IF(AND($M343=1,LEFT(对接源_01水果!$D343,4)="原料出库"),1,0)</f>
        <v>0</v>
      </c>
      <c r="AC343" s="3">
        <f t="shared" si="102"/>
        <v>0</v>
      </c>
      <c r="AD343" s="3">
        <f>IF(AND($M343=1,LEFT(对接源_01水果!$D343,4)="成品出库"),1,0)</f>
        <v>0</v>
      </c>
      <c r="AE343" s="3">
        <f t="shared" si="103"/>
        <v>0</v>
      </c>
      <c r="AF343" s="3">
        <f>IF(AND($N343=1,AND(LEFT(对接源_01水果!$D343,4)="包装物料",N(对接源_01水果!$K343)&lt;&gt;0)),1,0)</f>
        <v>0</v>
      </c>
      <c r="AG343" s="3">
        <f t="shared" si="104"/>
        <v>0</v>
      </c>
      <c r="AH343" s="3">
        <f>IF(AND($N343=1,AND(对接源_01水果!$D343="周转筐－销售出库",N(对接源_01水果!$K343)&lt;&gt;0)),1,0)</f>
        <v>0</v>
      </c>
      <c r="AI343" s="3">
        <f t="shared" si="105"/>
        <v>0</v>
      </c>
      <c r="AJ343" s="7"/>
      <c r="AL343" s="3">
        <f>IF(OR($AL$1="",对接源_01水果!$Y343="",对接源_01水果!$Y343&lt;&gt;$AL$1,对接源_01水果!$B343="",N(对接源_01水果!$AJ343)&lt;=0),0,IF(OR(N(对接源_01水果!$B343)&lt;$AL$2,N(对接源_01水果!$B343)&gt;$AL$3),0,1))</f>
        <v>0</v>
      </c>
      <c r="AM343" s="3">
        <f t="shared" si="106"/>
        <v>0</v>
      </c>
      <c r="AN343" s="3" t="str">
        <f>IF(对接源_01水果!$AC343="","",对接源_01水果!$AC343)</f>
        <v/>
      </c>
      <c r="AO343" s="3">
        <f t="shared" si="107"/>
        <v>0</v>
      </c>
      <c r="AP343" s="3">
        <f t="shared" si="108"/>
        <v>0</v>
      </c>
      <c r="AR343">
        <f t="shared" si="109"/>
        <v>0</v>
      </c>
      <c r="AS343">
        <f t="shared" si="110"/>
        <v>0</v>
      </c>
    </row>
    <row r="344" ht="14.25" customHeight="1" spans="1:45">
      <c r="A344" s="3" t="str">
        <f>IF(对接源_01水果!$C344="","",对接源_01水果!$C344)</f>
        <v>王照雪</v>
      </c>
      <c r="B344" s="3">
        <f t="shared" si="94"/>
        <v>0</v>
      </c>
      <c r="C344" s="3">
        <f t="shared" si="95"/>
        <v>18</v>
      </c>
      <c r="K344" s="3">
        <f>IF(OR($K$1="",对接源_01水果!$C344="",对接源_01水果!$C344&lt;&gt;$K$1,对接源_01水果!$B344=""),0,IF(OR(N(对接源_01水果!$B344)&lt;$K$2,N(对接源_01水果!$B344)&gt;$K$3),0,1))</f>
        <v>0</v>
      </c>
      <c r="L344" s="3">
        <f>IF(OR($L$1="",对接源_01水果!$C344="",对接源_01水果!$C344&lt;&gt;$L$1,对接源_01水果!$B344=""),0,IF(OR(N(对接源_01水果!$B344)&lt;$L$2,N(对接源_01水果!$B344)&gt;$L$3),0,1))</f>
        <v>0</v>
      </c>
      <c r="M344" s="3">
        <f>IF(OR($M$1="",对接源_01水果!$C344="",对接源_01水果!$C344&lt;&gt;$M$1,对接源_01水果!$B344=""),0,IF(OR(N(对接源_01水果!$B344)&lt;$M$2,N(对接源_01水果!$B344)&gt;$M$3),0,1))</f>
        <v>0</v>
      </c>
      <c r="N344" s="3">
        <f>IF(OR($N$1="",对接源_01水果!$C344="",对接源_01水果!$C344&lt;&gt;$N$1,对接源_01水果!$B344=""),0,IF(OR(N(对接源_01水果!$B344)&lt;$N$2,N(对接源_01水果!$B344)&gt;$N$3),0,1))</f>
        <v>0</v>
      </c>
      <c r="P344" s="3">
        <f>IF(AND($K344=1,AND(对接源_01水果!$X344="公司筐",N(对接源_01水果!$T344)&lt;&gt;0)),1,0)</f>
        <v>0</v>
      </c>
      <c r="Q344" s="3">
        <f t="shared" si="96"/>
        <v>0</v>
      </c>
      <c r="R344" s="3">
        <f>IF(AND($K344=1,AND(对接源_01水果!$X344="公司筐",N(对接源_01水果!$U344)&lt;&gt;0)),1,0)</f>
        <v>0</v>
      </c>
      <c r="S344" s="3">
        <f t="shared" si="97"/>
        <v>0</v>
      </c>
      <c r="T344" s="3">
        <f>IF(AND($K344=1,AND(对接源_01水果!$X344="公司筐",N(对接源_01水果!$V344)&lt;&gt;0)),1,0)</f>
        <v>0</v>
      </c>
      <c r="U344" s="3">
        <f t="shared" si="98"/>
        <v>19</v>
      </c>
      <c r="V344" s="3">
        <f>IF(AND($L344=1,AND(对接源_01水果!$X344="自备筐",N(对接源_01水果!$V344)&lt;&gt;0)),1,0)</f>
        <v>0</v>
      </c>
      <c r="W344" s="3">
        <f t="shared" si="99"/>
        <v>8</v>
      </c>
      <c r="X344" s="3">
        <f>IF(AND($L344=1,AND(对接源_01水果!$X344="自备筐",N(对接源_01水果!$T344)&lt;&gt;0)),1,0)</f>
        <v>0</v>
      </c>
      <c r="Y344" s="3">
        <f t="shared" si="100"/>
        <v>0</v>
      </c>
      <c r="Z344" s="3">
        <f>IF(AND($M344=1,对接源_01水果!$D344="原料入库"),1,0)</f>
        <v>0</v>
      </c>
      <c r="AA344" s="3">
        <f t="shared" si="101"/>
        <v>24</v>
      </c>
      <c r="AB344" s="3">
        <f>IF(AND($M344=1,LEFT(对接源_01水果!$D344,4)="原料出库"),1,0)</f>
        <v>0</v>
      </c>
      <c r="AC344" s="3">
        <f t="shared" si="102"/>
        <v>0</v>
      </c>
      <c r="AD344" s="3">
        <f>IF(AND($M344=1,LEFT(对接源_01水果!$D344,4)="成品出库"),1,0)</f>
        <v>0</v>
      </c>
      <c r="AE344" s="3">
        <f t="shared" si="103"/>
        <v>0</v>
      </c>
      <c r="AF344" s="3">
        <f>IF(AND($N344=1,AND(LEFT(对接源_01水果!$D344,4)="包装物料",N(对接源_01水果!$K344)&lt;&gt;0)),1,0)</f>
        <v>0</v>
      </c>
      <c r="AG344" s="3">
        <f t="shared" si="104"/>
        <v>0</v>
      </c>
      <c r="AH344" s="3">
        <f>IF(AND($N344=1,AND(对接源_01水果!$D344="周转筐－销售出库",N(对接源_01水果!$K344)&lt;&gt;0)),1,0)</f>
        <v>0</v>
      </c>
      <c r="AI344" s="3">
        <f t="shared" si="105"/>
        <v>0</v>
      </c>
      <c r="AJ344" s="7"/>
      <c r="AL344" s="3">
        <f>IF(OR($AL$1="",对接源_01水果!$Y344="",对接源_01水果!$Y344&lt;&gt;$AL$1,对接源_01水果!$B344="",N(对接源_01水果!$AJ344)&lt;=0),0,IF(OR(N(对接源_01水果!$B344)&lt;$AL$2,N(对接源_01水果!$B344)&gt;$AL$3),0,1))</f>
        <v>0</v>
      </c>
      <c r="AM344" s="3">
        <f t="shared" si="106"/>
        <v>0</v>
      </c>
      <c r="AN344" s="3" t="str">
        <f>IF(对接源_01水果!$AC344="","",对接源_01水果!$AC344)</f>
        <v/>
      </c>
      <c r="AO344" s="3">
        <f t="shared" si="107"/>
        <v>0</v>
      </c>
      <c r="AP344" s="3">
        <f t="shared" si="108"/>
        <v>0</v>
      </c>
      <c r="AR344">
        <f t="shared" si="109"/>
        <v>0</v>
      </c>
      <c r="AS344">
        <f t="shared" si="110"/>
        <v>0</v>
      </c>
    </row>
    <row r="345" ht="14.25" customHeight="1" spans="1:45">
      <c r="A345" s="3" t="str">
        <f>IF(对接源_01水果!$C345="","",对接源_01水果!$C345)</f>
        <v>王照雪</v>
      </c>
      <c r="B345" s="3">
        <f t="shared" si="94"/>
        <v>0</v>
      </c>
      <c r="C345" s="3">
        <f t="shared" si="95"/>
        <v>18</v>
      </c>
      <c r="K345" s="3">
        <f>IF(OR($K$1="",对接源_01水果!$C345="",对接源_01水果!$C345&lt;&gt;$K$1,对接源_01水果!$B345=""),0,IF(OR(N(对接源_01水果!$B345)&lt;$K$2,N(对接源_01水果!$B345)&gt;$K$3),0,1))</f>
        <v>0</v>
      </c>
      <c r="L345" s="3">
        <f>IF(OR($L$1="",对接源_01水果!$C345="",对接源_01水果!$C345&lt;&gt;$L$1,对接源_01水果!$B345=""),0,IF(OR(N(对接源_01水果!$B345)&lt;$L$2,N(对接源_01水果!$B345)&gt;$L$3),0,1))</f>
        <v>0</v>
      </c>
      <c r="M345" s="3">
        <f>IF(OR($M$1="",对接源_01水果!$C345="",对接源_01水果!$C345&lt;&gt;$M$1,对接源_01水果!$B345=""),0,IF(OR(N(对接源_01水果!$B345)&lt;$M$2,N(对接源_01水果!$B345)&gt;$M$3),0,1))</f>
        <v>0</v>
      </c>
      <c r="N345" s="3">
        <f>IF(OR($N$1="",对接源_01水果!$C345="",对接源_01水果!$C345&lt;&gt;$N$1,对接源_01水果!$B345=""),0,IF(OR(N(对接源_01水果!$B345)&lt;$N$2,N(对接源_01水果!$B345)&gt;$N$3),0,1))</f>
        <v>0</v>
      </c>
      <c r="P345" s="3">
        <f>IF(AND($K345=1,AND(对接源_01水果!$X345="公司筐",N(对接源_01水果!$T345)&lt;&gt;0)),1,0)</f>
        <v>0</v>
      </c>
      <c r="Q345" s="3">
        <f t="shared" si="96"/>
        <v>0</v>
      </c>
      <c r="R345" s="3">
        <f>IF(AND($K345=1,AND(对接源_01水果!$X345="公司筐",N(对接源_01水果!$U345)&lt;&gt;0)),1,0)</f>
        <v>0</v>
      </c>
      <c r="S345" s="3">
        <f t="shared" si="97"/>
        <v>0</v>
      </c>
      <c r="T345" s="3">
        <f>IF(AND($K345=1,AND(对接源_01水果!$X345="公司筐",N(对接源_01水果!$V345)&lt;&gt;0)),1,0)</f>
        <v>0</v>
      </c>
      <c r="U345" s="3">
        <f t="shared" si="98"/>
        <v>19</v>
      </c>
      <c r="V345" s="3">
        <f>IF(AND($L345=1,AND(对接源_01水果!$X345="自备筐",N(对接源_01水果!$V345)&lt;&gt;0)),1,0)</f>
        <v>0</v>
      </c>
      <c r="W345" s="3">
        <f t="shared" si="99"/>
        <v>8</v>
      </c>
      <c r="X345" s="3">
        <f>IF(AND($L345=1,AND(对接源_01水果!$X345="自备筐",N(对接源_01水果!$T345)&lt;&gt;0)),1,0)</f>
        <v>0</v>
      </c>
      <c r="Y345" s="3">
        <f t="shared" si="100"/>
        <v>0</v>
      </c>
      <c r="Z345" s="3">
        <f>IF(AND($M345=1,对接源_01水果!$D345="原料入库"),1,0)</f>
        <v>0</v>
      </c>
      <c r="AA345" s="3">
        <f t="shared" si="101"/>
        <v>24</v>
      </c>
      <c r="AB345" s="3">
        <f>IF(AND($M345=1,LEFT(对接源_01水果!$D345,4)="原料出库"),1,0)</f>
        <v>0</v>
      </c>
      <c r="AC345" s="3">
        <f t="shared" si="102"/>
        <v>0</v>
      </c>
      <c r="AD345" s="3">
        <f>IF(AND($M345=1,LEFT(对接源_01水果!$D345,4)="成品出库"),1,0)</f>
        <v>0</v>
      </c>
      <c r="AE345" s="3">
        <f t="shared" si="103"/>
        <v>0</v>
      </c>
      <c r="AF345" s="3">
        <f>IF(AND($N345=1,AND(LEFT(对接源_01水果!$D345,4)="包装物料",N(对接源_01水果!$K345)&lt;&gt;0)),1,0)</f>
        <v>0</v>
      </c>
      <c r="AG345" s="3">
        <f t="shared" si="104"/>
        <v>0</v>
      </c>
      <c r="AH345" s="3">
        <f>IF(AND($N345=1,AND(对接源_01水果!$D345="周转筐－销售出库",N(对接源_01水果!$K345)&lt;&gt;0)),1,0)</f>
        <v>0</v>
      </c>
      <c r="AI345" s="3">
        <f t="shared" si="105"/>
        <v>0</v>
      </c>
      <c r="AJ345" s="7"/>
      <c r="AL345" s="3">
        <f>IF(OR($AL$1="",对接源_01水果!$Y345="",对接源_01水果!$Y345&lt;&gt;$AL$1,对接源_01水果!$B345="",N(对接源_01水果!$AJ345)&lt;=0),0,IF(OR(N(对接源_01水果!$B345)&lt;$AL$2,N(对接源_01水果!$B345)&gt;$AL$3),0,1))</f>
        <v>0</v>
      </c>
      <c r="AM345" s="3">
        <f t="shared" si="106"/>
        <v>0</v>
      </c>
      <c r="AN345" s="3" t="str">
        <f>IF(对接源_01水果!$AC345="","",对接源_01水果!$AC345)</f>
        <v/>
      </c>
      <c r="AO345" s="3">
        <f t="shared" si="107"/>
        <v>0</v>
      </c>
      <c r="AP345" s="3">
        <f t="shared" si="108"/>
        <v>0</v>
      </c>
      <c r="AR345">
        <f t="shared" si="109"/>
        <v>0</v>
      </c>
      <c r="AS345">
        <f t="shared" si="110"/>
        <v>0</v>
      </c>
    </row>
    <row r="346" ht="14.25" customHeight="1" spans="1:45">
      <c r="A346" s="3" t="str">
        <f>IF(对接源_01水果!$C346="","",对接源_01水果!$C346)</f>
        <v>王照雪</v>
      </c>
      <c r="B346" s="3">
        <f t="shared" si="94"/>
        <v>0</v>
      </c>
      <c r="C346" s="3">
        <f t="shared" si="95"/>
        <v>18</v>
      </c>
      <c r="K346" s="3">
        <f>IF(OR($K$1="",对接源_01水果!$C346="",对接源_01水果!$C346&lt;&gt;$K$1,对接源_01水果!$B346=""),0,IF(OR(N(对接源_01水果!$B346)&lt;$K$2,N(对接源_01水果!$B346)&gt;$K$3),0,1))</f>
        <v>0</v>
      </c>
      <c r="L346" s="3">
        <f>IF(OR($L$1="",对接源_01水果!$C346="",对接源_01水果!$C346&lt;&gt;$L$1,对接源_01水果!$B346=""),0,IF(OR(N(对接源_01水果!$B346)&lt;$L$2,N(对接源_01水果!$B346)&gt;$L$3),0,1))</f>
        <v>0</v>
      </c>
      <c r="M346" s="3">
        <f>IF(OR($M$1="",对接源_01水果!$C346="",对接源_01水果!$C346&lt;&gt;$M$1,对接源_01水果!$B346=""),0,IF(OR(N(对接源_01水果!$B346)&lt;$M$2,N(对接源_01水果!$B346)&gt;$M$3),0,1))</f>
        <v>0</v>
      </c>
      <c r="N346" s="3">
        <f>IF(OR($N$1="",对接源_01水果!$C346="",对接源_01水果!$C346&lt;&gt;$N$1,对接源_01水果!$B346=""),0,IF(OR(N(对接源_01水果!$B346)&lt;$N$2,N(对接源_01水果!$B346)&gt;$N$3),0,1))</f>
        <v>0</v>
      </c>
      <c r="P346" s="3">
        <f>IF(AND($K346=1,AND(对接源_01水果!$X346="公司筐",N(对接源_01水果!$T346)&lt;&gt;0)),1,0)</f>
        <v>0</v>
      </c>
      <c r="Q346" s="3">
        <f t="shared" si="96"/>
        <v>0</v>
      </c>
      <c r="R346" s="3">
        <f>IF(AND($K346=1,AND(对接源_01水果!$X346="公司筐",N(对接源_01水果!$U346)&lt;&gt;0)),1,0)</f>
        <v>0</v>
      </c>
      <c r="S346" s="3">
        <f t="shared" si="97"/>
        <v>0</v>
      </c>
      <c r="T346" s="3">
        <f>IF(AND($K346=1,AND(对接源_01水果!$X346="公司筐",N(对接源_01水果!$V346)&lt;&gt;0)),1,0)</f>
        <v>0</v>
      </c>
      <c r="U346" s="3">
        <f t="shared" si="98"/>
        <v>19</v>
      </c>
      <c r="V346" s="3">
        <f>IF(AND($L346=1,AND(对接源_01水果!$X346="自备筐",N(对接源_01水果!$V346)&lt;&gt;0)),1,0)</f>
        <v>0</v>
      </c>
      <c r="W346" s="3">
        <f t="shared" si="99"/>
        <v>8</v>
      </c>
      <c r="X346" s="3">
        <f>IF(AND($L346=1,AND(对接源_01水果!$X346="自备筐",N(对接源_01水果!$T346)&lt;&gt;0)),1,0)</f>
        <v>0</v>
      </c>
      <c r="Y346" s="3">
        <f t="shared" si="100"/>
        <v>0</v>
      </c>
      <c r="Z346" s="3">
        <f>IF(AND($M346=1,对接源_01水果!$D346="原料入库"),1,0)</f>
        <v>0</v>
      </c>
      <c r="AA346" s="3">
        <f t="shared" si="101"/>
        <v>24</v>
      </c>
      <c r="AB346" s="3">
        <f>IF(AND($M346=1,LEFT(对接源_01水果!$D346,4)="原料出库"),1,0)</f>
        <v>0</v>
      </c>
      <c r="AC346" s="3">
        <f t="shared" si="102"/>
        <v>0</v>
      </c>
      <c r="AD346" s="3">
        <f>IF(AND($M346=1,LEFT(对接源_01水果!$D346,4)="成品出库"),1,0)</f>
        <v>0</v>
      </c>
      <c r="AE346" s="3">
        <f t="shared" si="103"/>
        <v>0</v>
      </c>
      <c r="AF346" s="3">
        <f>IF(AND($N346=1,AND(LEFT(对接源_01水果!$D346,4)="包装物料",N(对接源_01水果!$K346)&lt;&gt;0)),1,0)</f>
        <v>0</v>
      </c>
      <c r="AG346" s="3">
        <f t="shared" si="104"/>
        <v>0</v>
      </c>
      <c r="AH346" s="3">
        <f>IF(AND($N346=1,AND(对接源_01水果!$D346="周转筐－销售出库",N(对接源_01水果!$K346)&lt;&gt;0)),1,0)</f>
        <v>0</v>
      </c>
      <c r="AI346" s="3">
        <f t="shared" si="105"/>
        <v>0</v>
      </c>
      <c r="AJ346" s="7"/>
      <c r="AL346" s="3">
        <f>IF(OR($AL$1="",对接源_01水果!$Y346="",对接源_01水果!$Y346&lt;&gt;$AL$1,对接源_01水果!$B346="",N(对接源_01水果!$AJ346)&lt;=0),0,IF(OR(N(对接源_01水果!$B346)&lt;$AL$2,N(对接源_01水果!$B346)&gt;$AL$3),0,1))</f>
        <v>0</v>
      </c>
      <c r="AM346" s="3">
        <f t="shared" si="106"/>
        <v>0</v>
      </c>
      <c r="AN346" s="3" t="str">
        <f>IF(对接源_01水果!$AC346="","",对接源_01水果!$AC346)</f>
        <v/>
      </c>
      <c r="AO346" s="3">
        <f t="shared" si="107"/>
        <v>0</v>
      </c>
      <c r="AP346" s="3">
        <f t="shared" si="108"/>
        <v>0</v>
      </c>
      <c r="AR346">
        <f t="shared" si="109"/>
        <v>0</v>
      </c>
      <c r="AS346">
        <f t="shared" si="110"/>
        <v>0</v>
      </c>
    </row>
    <row r="347" ht="14.25" customHeight="1" spans="1:45">
      <c r="A347" s="3" t="str">
        <f>IF(对接源_01水果!$C347="","",对接源_01水果!$C347)</f>
        <v>王照雪</v>
      </c>
      <c r="B347" s="3">
        <f t="shared" si="94"/>
        <v>0</v>
      </c>
      <c r="C347" s="3">
        <f t="shared" si="95"/>
        <v>18</v>
      </c>
      <c r="K347" s="3">
        <f>IF(OR($K$1="",对接源_01水果!$C347="",对接源_01水果!$C347&lt;&gt;$K$1,对接源_01水果!$B347=""),0,IF(OR(N(对接源_01水果!$B347)&lt;$K$2,N(对接源_01水果!$B347)&gt;$K$3),0,1))</f>
        <v>0</v>
      </c>
      <c r="L347" s="3">
        <f>IF(OR($L$1="",对接源_01水果!$C347="",对接源_01水果!$C347&lt;&gt;$L$1,对接源_01水果!$B347=""),0,IF(OR(N(对接源_01水果!$B347)&lt;$L$2,N(对接源_01水果!$B347)&gt;$L$3),0,1))</f>
        <v>0</v>
      </c>
      <c r="M347" s="3">
        <f>IF(OR($M$1="",对接源_01水果!$C347="",对接源_01水果!$C347&lt;&gt;$M$1,对接源_01水果!$B347=""),0,IF(OR(N(对接源_01水果!$B347)&lt;$M$2,N(对接源_01水果!$B347)&gt;$M$3),0,1))</f>
        <v>0</v>
      </c>
      <c r="N347" s="3">
        <f>IF(OR($N$1="",对接源_01水果!$C347="",对接源_01水果!$C347&lt;&gt;$N$1,对接源_01水果!$B347=""),0,IF(OR(N(对接源_01水果!$B347)&lt;$N$2,N(对接源_01水果!$B347)&gt;$N$3),0,1))</f>
        <v>0</v>
      </c>
      <c r="P347" s="3">
        <f>IF(AND($K347=1,AND(对接源_01水果!$X347="公司筐",N(对接源_01水果!$T347)&lt;&gt;0)),1,0)</f>
        <v>0</v>
      </c>
      <c r="Q347" s="3">
        <f t="shared" si="96"/>
        <v>0</v>
      </c>
      <c r="R347" s="3">
        <f>IF(AND($K347=1,AND(对接源_01水果!$X347="公司筐",N(对接源_01水果!$U347)&lt;&gt;0)),1,0)</f>
        <v>0</v>
      </c>
      <c r="S347" s="3">
        <f t="shared" si="97"/>
        <v>0</v>
      </c>
      <c r="T347" s="3">
        <f>IF(AND($K347=1,AND(对接源_01水果!$X347="公司筐",N(对接源_01水果!$V347)&lt;&gt;0)),1,0)</f>
        <v>0</v>
      </c>
      <c r="U347" s="3">
        <f t="shared" si="98"/>
        <v>19</v>
      </c>
      <c r="V347" s="3">
        <f>IF(AND($L347=1,AND(对接源_01水果!$X347="自备筐",N(对接源_01水果!$V347)&lt;&gt;0)),1,0)</f>
        <v>0</v>
      </c>
      <c r="W347" s="3">
        <f t="shared" si="99"/>
        <v>8</v>
      </c>
      <c r="X347" s="3">
        <f>IF(AND($L347=1,AND(对接源_01水果!$X347="自备筐",N(对接源_01水果!$T347)&lt;&gt;0)),1,0)</f>
        <v>0</v>
      </c>
      <c r="Y347" s="3">
        <f t="shared" si="100"/>
        <v>0</v>
      </c>
      <c r="Z347" s="3">
        <f>IF(AND($M347=1,对接源_01水果!$D347="原料入库"),1,0)</f>
        <v>0</v>
      </c>
      <c r="AA347" s="3">
        <f t="shared" si="101"/>
        <v>24</v>
      </c>
      <c r="AB347" s="3">
        <f>IF(AND($M347=1,LEFT(对接源_01水果!$D347,4)="原料出库"),1,0)</f>
        <v>0</v>
      </c>
      <c r="AC347" s="3">
        <f t="shared" si="102"/>
        <v>0</v>
      </c>
      <c r="AD347" s="3">
        <f>IF(AND($M347=1,LEFT(对接源_01水果!$D347,4)="成品出库"),1,0)</f>
        <v>0</v>
      </c>
      <c r="AE347" s="3">
        <f t="shared" si="103"/>
        <v>0</v>
      </c>
      <c r="AF347" s="3">
        <f>IF(AND($N347=1,AND(LEFT(对接源_01水果!$D347,4)="包装物料",N(对接源_01水果!$K347)&lt;&gt;0)),1,0)</f>
        <v>0</v>
      </c>
      <c r="AG347" s="3">
        <f t="shared" si="104"/>
        <v>0</v>
      </c>
      <c r="AH347" s="3">
        <f>IF(AND($N347=1,AND(对接源_01水果!$D347="周转筐－销售出库",N(对接源_01水果!$K347)&lt;&gt;0)),1,0)</f>
        <v>0</v>
      </c>
      <c r="AI347" s="3">
        <f t="shared" si="105"/>
        <v>0</v>
      </c>
      <c r="AJ347" s="7"/>
      <c r="AL347" s="3">
        <f>IF(OR($AL$1="",对接源_01水果!$Y347="",对接源_01水果!$Y347&lt;&gt;$AL$1,对接源_01水果!$B347="",N(对接源_01水果!$AJ347)&lt;=0),0,IF(OR(N(对接源_01水果!$B347)&lt;$AL$2,N(对接源_01水果!$B347)&gt;$AL$3),0,1))</f>
        <v>0</v>
      </c>
      <c r="AM347" s="3">
        <f t="shared" si="106"/>
        <v>0</v>
      </c>
      <c r="AN347" s="3" t="str">
        <f>IF(对接源_01水果!$AC347="","",对接源_01水果!$AC347)</f>
        <v/>
      </c>
      <c r="AO347" s="3">
        <f t="shared" si="107"/>
        <v>0</v>
      </c>
      <c r="AP347" s="3">
        <f t="shared" si="108"/>
        <v>0</v>
      </c>
      <c r="AR347">
        <f t="shared" si="109"/>
        <v>0</v>
      </c>
      <c r="AS347">
        <f t="shared" si="110"/>
        <v>0</v>
      </c>
    </row>
    <row r="348" ht="14.25" customHeight="1" spans="1:45">
      <c r="A348" s="3" t="str">
        <f>IF(对接源_01水果!$C348="","",对接源_01水果!$C348)</f>
        <v>麦麦提</v>
      </c>
      <c r="B348" s="3">
        <f t="shared" si="94"/>
        <v>0</v>
      </c>
      <c r="C348" s="3">
        <f t="shared" si="95"/>
        <v>18</v>
      </c>
      <c r="K348" s="3">
        <f>IF(OR($K$1="",对接源_01水果!$C348="",对接源_01水果!$C348&lt;&gt;$K$1,对接源_01水果!$B348=""),0,IF(OR(N(对接源_01水果!$B348)&lt;$K$2,N(对接源_01水果!$B348)&gt;$K$3),0,1))</f>
        <v>0</v>
      </c>
      <c r="L348" s="3">
        <f>IF(OR($L$1="",对接源_01水果!$C348="",对接源_01水果!$C348&lt;&gt;$L$1,对接源_01水果!$B348=""),0,IF(OR(N(对接源_01水果!$B348)&lt;$L$2,N(对接源_01水果!$B348)&gt;$L$3),0,1))</f>
        <v>0</v>
      </c>
      <c r="M348" s="3">
        <f>IF(OR($M$1="",对接源_01水果!$C348="",对接源_01水果!$C348&lt;&gt;$M$1,对接源_01水果!$B348=""),0,IF(OR(N(对接源_01水果!$B348)&lt;$M$2,N(对接源_01水果!$B348)&gt;$M$3),0,1))</f>
        <v>0</v>
      </c>
      <c r="N348" s="3">
        <f>IF(OR($N$1="",对接源_01水果!$C348="",对接源_01水果!$C348&lt;&gt;$N$1,对接源_01水果!$B348=""),0,IF(OR(N(对接源_01水果!$B348)&lt;$N$2,N(对接源_01水果!$B348)&gt;$N$3),0,1))</f>
        <v>0</v>
      </c>
      <c r="P348" s="3">
        <f>IF(AND($K348=1,AND(对接源_01水果!$X348="公司筐",N(对接源_01水果!$T348)&lt;&gt;0)),1,0)</f>
        <v>0</v>
      </c>
      <c r="Q348" s="3">
        <f t="shared" si="96"/>
        <v>0</v>
      </c>
      <c r="R348" s="3">
        <f>IF(AND($K348=1,AND(对接源_01水果!$X348="公司筐",N(对接源_01水果!$U348)&lt;&gt;0)),1,0)</f>
        <v>0</v>
      </c>
      <c r="S348" s="3">
        <f t="shared" si="97"/>
        <v>0</v>
      </c>
      <c r="T348" s="3">
        <f>IF(AND($K348=1,AND(对接源_01水果!$X348="公司筐",N(对接源_01水果!$V348)&lt;&gt;0)),1,0)</f>
        <v>0</v>
      </c>
      <c r="U348" s="3">
        <f t="shared" si="98"/>
        <v>19</v>
      </c>
      <c r="V348" s="3">
        <f>IF(AND($L348=1,AND(对接源_01水果!$X348="自备筐",N(对接源_01水果!$V348)&lt;&gt;0)),1,0)</f>
        <v>0</v>
      </c>
      <c r="W348" s="3">
        <f t="shared" si="99"/>
        <v>8</v>
      </c>
      <c r="X348" s="3">
        <f>IF(AND($L348=1,AND(对接源_01水果!$X348="自备筐",N(对接源_01水果!$T348)&lt;&gt;0)),1,0)</f>
        <v>0</v>
      </c>
      <c r="Y348" s="3">
        <f t="shared" si="100"/>
        <v>0</v>
      </c>
      <c r="Z348" s="3">
        <f>IF(AND($M348=1,对接源_01水果!$D348="原料入库"),1,0)</f>
        <v>0</v>
      </c>
      <c r="AA348" s="3">
        <f t="shared" si="101"/>
        <v>24</v>
      </c>
      <c r="AB348" s="3">
        <f>IF(AND($M348=1,LEFT(对接源_01水果!$D348,4)="原料出库"),1,0)</f>
        <v>0</v>
      </c>
      <c r="AC348" s="3">
        <f t="shared" si="102"/>
        <v>0</v>
      </c>
      <c r="AD348" s="3">
        <f>IF(AND($M348=1,LEFT(对接源_01水果!$D348,4)="成品出库"),1,0)</f>
        <v>0</v>
      </c>
      <c r="AE348" s="3">
        <f t="shared" si="103"/>
        <v>0</v>
      </c>
      <c r="AF348" s="3">
        <f>IF(AND($N348=1,AND(LEFT(对接源_01水果!$D348,4)="包装物料",N(对接源_01水果!$K348)&lt;&gt;0)),1,0)</f>
        <v>0</v>
      </c>
      <c r="AG348" s="3">
        <f t="shared" si="104"/>
        <v>0</v>
      </c>
      <c r="AH348" s="3">
        <f>IF(AND($N348=1,AND(对接源_01水果!$D348="周转筐－销售出库",N(对接源_01水果!$K348)&lt;&gt;0)),1,0)</f>
        <v>0</v>
      </c>
      <c r="AI348" s="3">
        <f t="shared" si="105"/>
        <v>0</v>
      </c>
      <c r="AJ348" s="7"/>
      <c r="AL348" s="3">
        <f>IF(OR($AL$1="",对接源_01水果!$Y348="",对接源_01水果!$Y348&lt;&gt;$AL$1,对接源_01水果!$B348="",N(对接源_01水果!$AJ348)&lt;=0),0,IF(OR(N(对接源_01水果!$B348)&lt;$AL$2,N(对接源_01水果!$B348)&gt;$AL$3),0,1))</f>
        <v>0</v>
      </c>
      <c r="AM348" s="3">
        <f t="shared" si="106"/>
        <v>0</v>
      </c>
      <c r="AN348" s="3" t="str">
        <f>IF(对接源_01水果!$AC348="","",对接源_01水果!$AC348)</f>
        <v/>
      </c>
      <c r="AO348" s="3">
        <f t="shared" si="107"/>
        <v>0</v>
      </c>
      <c r="AP348" s="3">
        <f t="shared" si="108"/>
        <v>0</v>
      </c>
      <c r="AR348">
        <f t="shared" si="109"/>
        <v>0</v>
      </c>
      <c r="AS348">
        <f t="shared" si="110"/>
        <v>0</v>
      </c>
    </row>
    <row r="349" ht="14.25" customHeight="1" spans="1:45">
      <c r="A349" s="3" t="str">
        <f>IF(对接源_01水果!$C349="","",对接源_01水果!$C349)</f>
        <v>王浩</v>
      </c>
      <c r="B349" s="3">
        <f t="shared" si="94"/>
        <v>0</v>
      </c>
      <c r="C349" s="3">
        <f t="shared" si="95"/>
        <v>18</v>
      </c>
      <c r="K349" s="3">
        <f>IF(OR($K$1="",对接源_01水果!$C349="",对接源_01水果!$C349&lt;&gt;$K$1,对接源_01水果!$B349=""),0,IF(OR(N(对接源_01水果!$B349)&lt;$K$2,N(对接源_01水果!$B349)&gt;$K$3),0,1))</f>
        <v>0</v>
      </c>
      <c r="L349" s="3">
        <f>IF(OR($L$1="",对接源_01水果!$C349="",对接源_01水果!$C349&lt;&gt;$L$1,对接源_01水果!$B349=""),0,IF(OR(N(对接源_01水果!$B349)&lt;$L$2,N(对接源_01水果!$B349)&gt;$L$3),0,1))</f>
        <v>0</v>
      </c>
      <c r="M349" s="3">
        <f>IF(OR($M$1="",对接源_01水果!$C349="",对接源_01水果!$C349&lt;&gt;$M$1,对接源_01水果!$B349=""),0,IF(OR(N(对接源_01水果!$B349)&lt;$M$2,N(对接源_01水果!$B349)&gt;$M$3),0,1))</f>
        <v>0</v>
      </c>
      <c r="N349" s="3">
        <f>IF(OR($N$1="",对接源_01水果!$C349="",对接源_01水果!$C349&lt;&gt;$N$1,对接源_01水果!$B349=""),0,IF(OR(N(对接源_01水果!$B349)&lt;$N$2,N(对接源_01水果!$B349)&gt;$N$3),0,1))</f>
        <v>0</v>
      </c>
      <c r="P349" s="3">
        <f>IF(AND($K349=1,AND(对接源_01水果!$X349="公司筐",N(对接源_01水果!$T349)&lt;&gt;0)),1,0)</f>
        <v>0</v>
      </c>
      <c r="Q349" s="3">
        <f t="shared" si="96"/>
        <v>0</v>
      </c>
      <c r="R349" s="3">
        <f>IF(AND($K349=1,AND(对接源_01水果!$X349="公司筐",N(对接源_01水果!$U349)&lt;&gt;0)),1,0)</f>
        <v>0</v>
      </c>
      <c r="S349" s="3">
        <f t="shared" si="97"/>
        <v>0</v>
      </c>
      <c r="T349" s="3">
        <f>IF(AND($K349=1,AND(对接源_01水果!$X349="公司筐",N(对接源_01水果!$V349)&lt;&gt;0)),1,0)</f>
        <v>0</v>
      </c>
      <c r="U349" s="3">
        <f t="shared" si="98"/>
        <v>19</v>
      </c>
      <c r="V349" s="3">
        <f>IF(AND($L349=1,AND(对接源_01水果!$X349="自备筐",N(对接源_01水果!$V349)&lt;&gt;0)),1,0)</f>
        <v>0</v>
      </c>
      <c r="W349" s="3">
        <f t="shared" si="99"/>
        <v>8</v>
      </c>
      <c r="X349" s="3">
        <f>IF(AND($L349=1,AND(对接源_01水果!$X349="自备筐",N(对接源_01水果!$T349)&lt;&gt;0)),1,0)</f>
        <v>0</v>
      </c>
      <c r="Y349" s="3">
        <f t="shared" si="100"/>
        <v>0</v>
      </c>
      <c r="Z349" s="3">
        <f>IF(AND($M349=1,对接源_01水果!$D349="原料入库"),1,0)</f>
        <v>0</v>
      </c>
      <c r="AA349" s="3">
        <f t="shared" si="101"/>
        <v>24</v>
      </c>
      <c r="AB349" s="3">
        <f>IF(AND($M349=1,LEFT(对接源_01水果!$D349,4)="原料出库"),1,0)</f>
        <v>0</v>
      </c>
      <c r="AC349" s="3">
        <f t="shared" si="102"/>
        <v>0</v>
      </c>
      <c r="AD349" s="3">
        <f>IF(AND($M349=1,LEFT(对接源_01水果!$D349,4)="成品出库"),1,0)</f>
        <v>0</v>
      </c>
      <c r="AE349" s="3">
        <f t="shared" si="103"/>
        <v>0</v>
      </c>
      <c r="AF349" s="3">
        <f>IF(AND($N349=1,AND(LEFT(对接源_01水果!$D349,4)="包装物料",N(对接源_01水果!$K349)&lt;&gt;0)),1,0)</f>
        <v>0</v>
      </c>
      <c r="AG349" s="3">
        <f t="shared" si="104"/>
        <v>0</v>
      </c>
      <c r="AH349" s="3">
        <f>IF(AND($N349=1,AND(对接源_01水果!$D349="周转筐－销售出库",N(对接源_01水果!$K349)&lt;&gt;0)),1,0)</f>
        <v>0</v>
      </c>
      <c r="AI349" s="3">
        <f t="shared" si="105"/>
        <v>0</v>
      </c>
      <c r="AJ349" s="7"/>
      <c r="AL349" s="3">
        <f>IF(OR($AL$1="",对接源_01水果!$Y349="",对接源_01水果!$Y349&lt;&gt;$AL$1,对接源_01水果!$B349="",N(对接源_01水果!$AJ349)&lt;=0),0,IF(OR(N(对接源_01水果!$B349)&lt;$AL$2,N(对接源_01水果!$B349)&gt;$AL$3),0,1))</f>
        <v>0</v>
      </c>
      <c r="AM349" s="3">
        <f t="shared" si="106"/>
        <v>0</v>
      </c>
      <c r="AN349" s="3" t="str">
        <f>IF(对接源_01水果!$AC349="","",对接源_01水果!$AC349)</f>
        <v/>
      </c>
      <c r="AO349" s="3">
        <f t="shared" si="107"/>
        <v>0</v>
      </c>
      <c r="AP349" s="3">
        <f t="shared" si="108"/>
        <v>0</v>
      </c>
      <c r="AR349">
        <f t="shared" si="109"/>
        <v>0</v>
      </c>
      <c r="AS349">
        <f t="shared" si="110"/>
        <v>0</v>
      </c>
    </row>
    <row r="350" ht="14.25" customHeight="1" spans="1:45">
      <c r="A350" s="3" t="str">
        <f>IF(对接源_01水果!$C350="","",对接源_01水果!$C350)</f>
        <v>麦麦提</v>
      </c>
      <c r="B350" s="3">
        <f t="shared" si="94"/>
        <v>0</v>
      </c>
      <c r="C350" s="3">
        <f t="shared" si="95"/>
        <v>18</v>
      </c>
      <c r="K350" s="3">
        <f>IF(OR($K$1="",对接源_01水果!$C350="",对接源_01水果!$C350&lt;&gt;$K$1,对接源_01水果!$B350=""),0,IF(OR(N(对接源_01水果!$B350)&lt;$K$2,N(对接源_01水果!$B350)&gt;$K$3),0,1))</f>
        <v>0</v>
      </c>
      <c r="L350" s="3">
        <f>IF(OR($L$1="",对接源_01水果!$C350="",对接源_01水果!$C350&lt;&gt;$L$1,对接源_01水果!$B350=""),0,IF(OR(N(对接源_01水果!$B350)&lt;$L$2,N(对接源_01水果!$B350)&gt;$L$3),0,1))</f>
        <v>0</v>
      </c>
      <c r="M350" s="3">
        <f>IF(OR($M$1="",对接源_01水果!$C350="",对接源_01水果!$C350&lt;&gt;$M$1,对接源_01水果!$B350=""),0,IF(OR(N(对接源_01水果!$B350)&lt;$M$2,N(对接源_01水果!$B350)&gt;$M$3),0,1))</f>
        <v>0</v>
      </c>
      <c r="N350" s="3">
        <f>IF(OR($N$1="",对接源_01水果!$C350="",对接源_01水果!$C350&lt;&gt;$N$1,对接源_01水果!$B350=""),0,IF(OR(N(对接源_01水果!$B350)&lt;$N$2,N(对接源_01水果!$B350)&gt;$N$3),0,1))</f>
        <v>0</v>
      </c>
      <c r="P350" s="3">
        <f>IF(AND($K350=1,AND(对接源_01水果!$X350="公司筐",N(对接源_01水果!$T350)&lt;&gt;0)),1,0)</f>
        <v>0</v>
      </c>
      <c r="Q350" s="3">
        <f t="shared" si="96"/>
        <v>0</v>
      </c>
      <c r="R350" s="3">
        <f>IF(AND($K350=1,AND(对接源_01水果!$X350="公司筐",N(对接源_01水果!$U350)&lt;&gt;0)),1,0)</f>
        <v>0</v>
      </c>
      <c r="S350" s="3">
        <f t="shared" si="97"/>
        <v>0</v>
      </c>
      <c r="T350" s="3">
        <f>IF(AND($K350=1,AND(对接源_01水果!$X350="公司筐",N(对接源_01水果!$V350)&lt;&gt;0)),1,0)</f>
        <v>0</v>
      </c>
      <c r="U350" s="3">
        <f t="shared" si="98"/>
        <v>19</v>
      </c>
      <c r="V350" s="3">
        <f>IF(AND($L350=1,AND(对接源_01水果!$X350="自备筐",N(对接源_01水果!$V350)&lt;&gt;0)),1,0)</f>
        <v>0</v>
      </c>
      <c r="W350" s="3">
        <f t="shared" si="99"/>
        <v>8</v>
      </c>
      <c r="X350" s="3">
        <f>IF(AND($L350=1,AND(对接源_01水果!$X350="自备筐",N(对接源_01水果!$T350)&lt;&gt;0)),1,0)</f>
        <v>0</v>
      </c>
      <c r="Y350" s="3">
        <f t="shared" si="100"/>
        <v>0</v>
      </c>
      <c r="Z350" s="3">
        <f>IF(AND($M350=1,对接源_01水果!$D350="原料入库"),1,0)</f>
        <v>0</v>
      </c>
      <c r="AA350" s="3">
        <f t="shared" si="101"/>
        <v>24</v>
      </c>
      <c r="AB350" s="3">
        <f>IF(AND($M350=1,LEFT(对接源_01水果!$D350,4)="原料出库"),1,0)</f>
        <v>0</v>
      </c>
      <c r="AC350" s="3">
        <f t="shared" si="102"/>
        <v>0</v>
      </c>
      <c r="AD350" s="3">
        <f>IF(AND($M350=1,LEFT(对接源_01水果!$D350,4)="成品出库"),1,0)</f>
        <v>0</v>
      </c>
      <c r="AE350" s="3">
        <f t="shared" si="103"/>
        <v>0</v>
      </c>
      <c r="AF350" s="3">
        <f>IF(AND($N350=1,AND(LEFT(对接源_01水果!$D350,4)="包装物料",N(对接源_01水果!$K350)&lt;&gt;0)),1,0)</f>
        <v>0</v>
      </c>
      <c r="AG350" s="3">
        <f t="shared" si="104"/>
        <v>0</v>
      </c>
      <c r="AH350" s="3">
        <f>IF(AND($N350=1,AND(对接源_01水果!$D350="周转筐－销售出库",N(对接源_01水果!$K350)&lt;&gt;0)),1,0)</f>
        <v>0</v>
      </c>
      <c r="AI350" s="3">
        <f t="shared" si="105"/>
        <v>0</v>
      </c>
      <c r="AJ350" s="7"/>
      <c r="AL350" s="3">
        <f>IF(OR($AL$1="",对接源_01水果!$Y350="",对接源_01水果!$Y350&lt;&gt;$AL$1,对接源_01水果!$B350="",N(对接源_01水果!$AJ350)&lt;=0),0,IF(OR(N(对接源_01水果!$B350)&lt;$AL$2,N(对接源_01水果!$B350)&gt;$AL$3),0,1))</f>
        <v>0</v>
      </c>
      <c r="AM350" s="3">
        <f t="shared" si="106"/>
        <v>0</v>
      </c>
      <c r="AN350" s="3" t="str">
        <f>IF(对接源_01水果!$AC350="","",对接源_01水果!$AC350)</f>
        <v/>
      </c>
      <c r="AO350" s="3">
        <f t="shared" si="107"/>
        <v>0</v>
      </c>
      <c r="AP350" s="3">
        <f t="shared" si="108"/>
        <v>0</v>
      </c>
      <c r="AR350">
        <f t="shared" si="109"/>
        <v>0</v>
      </c>
      <c r="AS350">
        <f t="shared" si="110"/>
        <v>0</v>
      </c>
    </row>
    <row r="351" ht="14.25" customHeight="1" spans="1:45">
      <c r="A351" s="3" t="str">
        <f>IF(对接源_01水果!$C351="","",对接源_01水果!$C351)</f>
        <v>王照雪</v>
      </c>
      <c r="B351" s="3">
        <f t="shared" si="94"/>
        <v>0</v>
      </c>
      <c r="C351" s="3">
        <f t="shared" si="95"/>
        <v>18</v>
      </c>
      <c r="K351" s="3">
        <f>IF(OR($K$1="",对接源_01水果!$C351="",对接源_01水果!$C351&lt;&gt;$K$1,对接源_01水果!$B351=""),0,IF(OR(N(对接源_01水果!$B351)&lt;$K$2,N(对接源_01水果!$B351)&gt;$K$3),0,1))</f>
        <v>0</v>
      </c>
      <c r="L351" s="3">
        <f>IF(OR($L$1="",对接源_01水果!$C351="",对接源_01水果!$C351&lt;&gt;$L$1,对接源_01水果!$B351=""),0,IF(OR(N(对接源_01水果!$B351)&lt;$L$2,N(对接源_01水果!$B351)&gt;$L$3),0,1))</f>
        <v>0</v>
      </c>
      <c r="M351" s="3">
        <f>IF(OR($M$1="",对接源_01水果!$C351="",对接源_01水果!$C351&lt;&gt;$M$1,对接源_01水果!$B351=""),0,IF(OR(N(对接源_01水果!$B351)&lt;$M$2,N(对接源_01水果!$B351)&gt;$M$3),0,1))</f>
        <v>0</v>
      </c>
      <c r="N351" s="3">
        <f>IF(OR($N$1="",对接源_01水果!$C351="",对接源_01水果!$C351&lt;&gt;$N$1,对接源_01水果!$B351=""),0,IF(OR(N(对接源_01水果!$B351)&lt;$N$2,N(对接源_01水果!$B351)&gt;$N$3),0,1))</f>
        <v>0</v>
      </c>
      <c r="P351" s="3">
        <f>IF(AND($K351=1,AND(对接源_01水果!$X351="公司筐",N(对接源_01水果!$T351)&lt;&gt;0)),1,0)</f>
        <v>0</v>
      </c>
      <c r="Q351" s="3">
        <f t="shared" si="96"/>
        <v>0</v>
      </c>
      <c r="R351" s="3">
        <f>IF(AND($K351=1,AND(对接源_01水果!$X351="公司筐",N(对接源_01水果!$U351)&lt;&gt;0)),1,0)</f>
        <v>0</v>
      </c>
      <c r="S351" s="3">
        <f t="shared" si="97"/>
        <v>0</v>
      </c>
      <c r="T351" s="3">
        <f>IF(AND($K351=1,AND(对接源_01水果!$X351="公司筐",N(对接源_01水果!$V351)&lt;&gt;0)),1,0)</f>
        <v>0</v>
      </c>
      <c r="U351" s="3">
        <f t="shared" si="98"/>
        <v>19</v>
      </c>
      <c r="V351" s="3">
        <f>IF(AND($L351=1,AND(对接源_01水果!$X351="自备筐",N(对接源_01水果!$V351)&lt;&gt;0)),1,0)</f>
        <v>0</v>
      </c>
      <c r="W351" s="3">
        <f t="shared" si="99"/>
        <v>8</v>
      </c>
      <c r="X351" s="3">
        <f>IF(AND($L351=1,AND(对接源_01水果!$X351="自备筐",N(对接源_01水果!$T351)&lt;&gt;0)),1,0)</f>
        <v>0</v>
      </c>
      <c r="Y351" s="3">
        <f t="shared" si="100"/>
        <v>0</v>
      </c>
      <c r="Z351" s="3">
        <f>IF(AND($M351=1,对接源_01水果!$D351="原料入库"),1,0)</f>
        <v>0</v>
      </c>
      <c r="AA351" s="3">
        <f t="shared" si="101"/>
        <v>24</v>
      </c>
      <c r="AB351" s="3">
        <f>IF(AND($M351=1,LEFT(对接源_01水果!$D351,4)="原料出库"),1,0)</f>
        <v>0</v>
      </c>
      <c r="AC351" s="3">
        <f t="shared" si="102"/>
        <v>0</v>
      </c>
      <c r="AD351" s="3">
        <f>IF(AND($M351=1,LEFT(对接源_01水果!$D351,4)="成品出库"),1,0)</f>
        <v>0</v>
      </c>
      <c r="AE351" s="3">
        <f t="shared" si="103"/>
        <v>0</v>
      </c>
      <c r="AF351" s="3">
        <f>IF(AND($N351=1,AND(LEFT(对接源_01水果!$D351,4)="包装物料",N(对接源_01水果!$K351)&lt;&gt;0)),1,0)</f>
        <v>0</v>
      </c>
      <c r="AG351" s="3">
        <f t="shared" si="104"/>
        <v>0</v>
      </c>
      <c r="AH351" s="3">
        <f>IF(AND($N351=1,AND(对接源_01水果!$D351="周转筐－销售出库",N(对接源_01水果!$K351)&lt;&gt;0)),1,0)</f>
        <v>0</v>
      </c>
      <c r="AI351" s="3">
        <f t="shared" si="105"/>
        <v>0</v>
      </c>
      <c r="AJ351" s="7"/>
      <c r="AL351" s="3">
        <f>IF(OR($AL$1="",对接源_01水果!$Y351="",对接源_01水果!$Y351&lt;&gt;$AL$1,对接源_01水果!$B351="",N(对接源_01水果!$AJ351)&lt;=0),0,IF(OR(N(对接源_01水果!$B351)&lt;$AL$2,N(对接源_01水果!$B351)&gt;$AL$3),0,1))</f>
        <v>0</v>
      </c>
      <c r="AM351" s="3">
        <f t="shared" si="106"/>
        <v>0</v>
      </c>
      <c r="AN351" s="3" t="str">
        <f>IF(对接源_01水果!$AC351="","",对接源_01水果!$AC351)</f>
        <v/>
      </c>
      <c r="AO351" s="3">
        <f t="shared" si="107"/>
        <v>0</v>
      </c>
      <c r="AP351" s="3">
        <f t="shared" si="108"/>
        <v>0</v>
      </c>
      <c r="AR351">
        <f t="shared" si="109"/>
        <v>0</v>
      </c>
      <c r="AS351">
        <f t="shared" si="110"/>
        <v>0</v>
      </c>
    </row>
    <row r="352" ht="14.25" customHeight="1" spans="1:45">
      <c r="A352" s="3" t="str">
        <f>IF(对接源_01水果!$C352="","",对接源_01水果!$C352)</f>
        <v>王照雪</v>
      </c>
      <c r="B352" s="3">
        <f t="shared" si="94"/>
        <v>0</v>
      </c>
      <c r="C352" s="3">
        <f t="shared" si="95"/>
        <v>18</v>
      </c>
      <c r="K352" s="3">
        <f>IF(OR($K$1="",对接源_01水果!$C352="",对接源_01水果!$C352&lt;&gt;$K$1,对接源_01水果!$B352=""),0,IF(OR(N(对接源_01水果!$B352)&lt;$K$2,N(对接源_01水果!$B352)&gt;$K$3),0,1))</f>
        <v>0</v>
      </c>
      <c r="L352" s="3">
        <f>IF(OR($L$1="",对接源_01水果!$C352="",对接源_01水果!$C352&lt;&gt;$L$1,对接源_01水果!$B352=""),0,IF(OR(N(对接源_01水果!$B352)&lt;$L$2,N(对接源_01水果!$B352)&gt;$L$3),0,1))</f>
        <v>0</v>
      </c>
      <c r="M352" s="3">
        <f>IF(OR($M$1="",对接源_01水果!$C352="",对接源_01水果!$C352&lt;&gt;$M$1,对接源_01水果!$B352=""),0,IF(OR(N(对接源_01水果!$B352)&lt;$M$2,N(对接源_01水果!$B352)&gt;$M$3),0,1))</f>
        <v>0</v>
      </c>
      <c r="N352" s="3">
        <f>IF(OR($N$1="",对接源_01水果!$C352="",对接源_01水果!$C352&lt;&gt;$N$1,对接源_01水果!$B352=""),0,IF(OR(N(对接源_01水果!$B352)&lt;$N$2,N(对接源_01水果!$B352)&gt;$N$3),0,1))</f>
        <v>0</v>
      </c>
      <c r="P352" s="3">
        <f>IF(AND($K352=1,AND(对接源_01水果!$X352="公司筐",N(对接源_01水果!$T352)&lt;&gt;0)),1,0)</f>
        <v>0</v>
      </c>
      <c r="Q352" s="3">
        <f t="shared" si="96"/>
        <v>0</v>
      </c>
      <c r="R352" s="3">
        <f>IF(AND($K352=1,AND(对接源_01水果!$X352="公司筐",N(对接源_01水果!$U352)&lt;&gt;0)),1,0)</f>
        <v>0</v>
      </c>
      <c r="S352" s="3">
        <f t="shared" si="97"/>
        <v>0</v>
      </c>
      <c r="T352" s="3">
        <f>IF(AND($K352=1,AND(对接源_01水果!$X352="公司筐",N(对接源_01水果!$V352)&lt;&gt;0)),1,0)</f>
        <v>0</v>
      </c>
      <c r="U352" s="3">
        <f t="shared" si="98"/>
        <v>19</v>
      </c>
      <c r="V352" s="3">
        <f>IF(AND($L352=1,AND(对接源_01水果!$X352="自备筐",N(对接源_01水果!$V352)&lt;&gt;0)),1,0)</f>
        <v>0</v>
      </c>
      <c r="W352" s="3">
        <f t="shared" si="99"/>
        <v>8</v>
      </c>
      <c r="X352" s="3">
        <f>IF(AND($L352=1,AND(对接源_01水果!$X352="自备筐",N(对接源_01水果!$T352)&lt;&gt;0)),1,0)</f>
        <v>0</v>
      </c>
      <c r="Y352" s="3">
        <f t="shared" si="100"/>
        <v>0</v>
      </c>
      <c r="Z352" s="3">
        <f>IF(AND($M352=1,对接源_01水果!$D352="原料入库"),1,0)</f>
        <v>0</v>
      </c>
      <c r="AA352" s="3">
        <f t="shared" si="101"/>
        <v>24</v>
      </c>
      <c r="AB352" s="3">
        <f>IF(AND($M352=1,LEFT(对接源_01水果!$D352,4)="原料出库"),1,0)</f>
        <v>0</v>
      </c>
      <c r="AC352" s="3">
        <f t="shared" si="102"/>
        <v>0</v>
      </c>
      <c r="AD352" s="3">
        <f>IF(AND($M352=1,LEFT(对接源_01水果!$D352,4)="成品出库"),1,0)</f>
        <v>0</v>
      </c>
      <c r="AE352" s="3">
        <f t="shared" si="103"/>
        <v>0</v>
      </c>
      <c r="AF352" s="3">
        <f>IF(AND($N352=1,AND(LEFT(对接源_01水果!$D352,4)="包装物料",N(对接源_01水果!$K352)&lt;&gt;0)),1,0)</f>
        <v>0</v>
      </c>
      <c r="AG352" s="3">
        <f t="shared" si="104"/>
        <v>0</v>
      </c>
      <c r="AH352" s="3">
        <f>IF(AND($N352=1,AND(对接源_01水果!$D352="周转筐－销售出库",N(对接源_01水果!$K352)&lt;&gt;0)),1,0)</f>
        <v>0</v>
      </c>
      <c r="AI352" s="3">
        <f t="shared" si="105"/>
        <v>0</v>
      </c>
      <c r="AJ352" s="7"/>
      <c r="AL352" s="3">
        <f>IF(OR($AL$1="",对接源_01水果!$Y352="",对接源_01水果!$Y352&lt;&gt;$AL$1,对接源_01水果!$B352="",N(对接源_01水果!$AJ352)&lt;=0),0,IF(OR(N(对接源_01水果!$B352)&lt;$AL$2,N(对接源_01水果!$B352)&gt;$AL$3),0,1))</f>
        <v>0</v>
      </c>
      <c r="AM352" s="3">
        <f t="shared" si="106"/>
        <v>0</v>
      </c>
      <c r="AN352" s="3" t="str">
        <f>IF(对接源_01水果!$AC352="","",对接源_01水果!$AC352)</f>
        <v/>
      </c>
      <c r="AO352" s="3">
        <f t="shared" si="107"/>
        <v>0</v>
      </c>
      <c r="AP352" s="3">
        <f t="shared" si="108"/>
        <v>0</v>
      </c>
      <c r="AR352">
        <f t="shared" si="109"/>
        <v>0</v>
      </c>
      <c r="AS352">
        <f t="shared" si="110"/>
        <v>0</v>
      </c>
    </row>
    <row r="353" ht="14.25" customHeight="1" spans="1:45">
      <c r="A353" s="3" t="str">
        <f>IF(对接源_01水果!$C353="","",对接源_01水果!$C353)</f>
        <v>王照雪</v>
      </c>
      <c r="B353" s="3">
        <f t="shared" si="94"/>
        <v>0</v>
      </c>
      <c r="C353" s="3">
        <f t="shared" si="95"/>
        <v>18</v>
      </c>
      <c r="K353" s="3">
        <f>IF(OR($K$1="",对接源_01水果!$C353="",对接源_01水果!$C353&lt;&gt;$K$1,对接源_01水果!$B353=""),0,IF(OR(N(对接源_01水果!$B353)&lt;$K$2,N(对接源_01水果!$B353)&gt;$K$3),0,1))</f>
        <v>0</v>
      </c>
      <c r="L353" s="3">
        <f>IF(OR($L$1="",对接源_01水果!$C353="",对接源_01水果!$C353&lt;&gt;$L$1,对接源_01水果!$B353=""),0,IF(OR(N(对接源_01水果!$B353)&lt;$L$2,N(对接源_01水果!$B353)&gt;$L$3),0,1))</f>
        <v>0</v>
      </c>
      <c r="M353" s="3">
        <f>IF(OR($M$1="",对接源_01水果!$C353="",对接源_01水果!$C353&lt;&gt;$M$1,对接源_01水果!$B353=""),0,IF(OR(N(对接源_01水果!$B353)&lt;$M$2,N(对接源_01水果!$B353)&gt;$M$3),0,1))</f>
        <v>0</v>
      </c>
      <c r="N353" s="3">
        <f>IF(OR($N$1="",对接源_01水果!$C353="",对接源_01水果!$C353&lt;&gt;$N$1,对接源_01水果!$B353=""),0,IF(OR(N(对接源_01水果!$B353)&lt;$N$2,N(对接源_01水果!$B353)&gt;$N$3),0,1))</f>
        <v>0</v>
      </c>
      <c r="P353" s="3">
        <f>IF(AND($K353=1,AND(对接源_01水果!$X353="公司筐",N(对接源_01水果!$T353)&lt;&gt;0)),1,0)</f>
        <v>0</v>
      </c>
      <c r="Q353" s="3">
        <f t="shared" si="96"/>
        <v>0</v>
      </c>
      <c r="R353" s="3">
        <f>IF(AND($K353=1,AND(对接源_01水果!$X353="公司筐",N(对接源_01水果!$U353)&lt;&gt;0)),1,0)</f>
        <v>0</v>
      </c>
      <c r="S353" s="3">
        <f t="shared" si="97"/>
        <v>0</v>
      </c>
      <c r="T353" s="3">
        <f>IF(AND($K353=1,AND(对接源_01水果!$X353="公司筐",N(对接源_01水果!$V353)&lt;&gt;0)),1,0)</f>
        <v>0</v>
      </c>
      <c r="U353" s="3">
        <f t="shared" si="98"/>
        <v>19</v>
      </c>
      <c r="V353" s="3">
        <f>IF(AND($L353=1,AND(对接源_01水果!$X353="自备筐",N(对接源_01水果!$V353)&lt;&gt;0)),1,0)</f>
        <v>0</v>
      </c>
      <c r="W353" s="3">
        <f t="shared" si="99"/>
        <v>8</v>
      </c>
      <c r="X353" s="3">
        <f>IF(AND($L353=1,AND(对接源_01水果!$X353="自备筐",N(对接源_01水果!$T353)&lt;&gt;0)),1,0)</f>
        <v>0</v>
      </c>
      <c r="Y353" s="3">
        <f t="shared" si="100"/>
        <v>0</v>
      </c>
      <c r="Z353" s="3">
        <f>IF(AND($M353=1,对接源_01水果!$D353="原料入库"),1,0)</f>
        <v>0</v>
      </c>
      <c r="AA353" s="3">
        <f t="shared" si="101"/>
        <v>24</v>
      </c>
      <c r="AB353" s="3">
        <f>IF(AND($M353=1,LEFT(对接源_01水果!$D353,4)="原料出库"),1,0)</f>
        <v>0</v>
      </c>
      <c r="AC353" s="3">
        <f t="shared" si="102"/>
        <v>0</v>
      </c>
      <c r="AD353" s="3">
        <f>IF(AND($M353=1,LEFT(对接源_01水果!$D353,4)="成品出库"),1,0)</f>
        <v>0</v>
      </c>
      <c r="AE353" s="3">
        <f t="shared" si="103"/>
        <v>0</v>
      </c>
      <c r="AF353" s="3">
        <f>IF(AND($N353=1,AND(LEFT(对接源_01水果!$D353,4)="包装物料",N(对接源_01水果!$K353)&lt;&gt;0)),1,0)</f>
        <v>0</v>
      </c>
      <c r="AG353" s="3">
        <f t="shared" si="104"/>
        <v>0</v>
      </c>
      <c r="AH353" s="3">
        <f>IF(AND($N353=1,AND(对接源_01水果!$D353="周转筐－销售出库",N(对接源_01水果!$K353)&lt;&gt;0)),1,0)</f>
        <v>0</v>
      </c>
      <c r="AI353" s="3">
        <f t="shared" si="105"/>
        <v>0</v>
      </c>
      <c r="AJ353" s="7"/>
      <c r="AL353" s="3">
        <f>IF(OR($AL$1="",对接源_01水果!$Y353="",对接源_01水果!$Y353&lt;&gt;$AL$1,对接源_01水果!$B353="",N(对接源_01水果!$AJ353)&lt;=0),0,IF(OR(N(对接源_01水果!$B353)&lt;$AL$2,N(对接源_01水果!$B353)&gt;$AL$3),0,1))</f>
        <v>0</v>
      </c>
      <c r="AM353" s="3">
        <f t="shared" si="106"/>
        <v>0</v>
      </c>
      <c r="AN353" s="3" t="str">
        <f>IF(对接源_01水果!$AC353="","",对接源_01水果!$AC353)</f>
        <v/>
      </c>
      <c r="AO353" s="3">
        <f t="shared" si="107"/>
        <v>0</v>
      </c>
      <c r="AP353" s="3">
        <f t="shared" si="108"/>
        <v>0</v>
      </c>
      <c r="AR353">
        <f t="shared" si="109"/>
        <v>0</v>
      </c>
      <c r="AS353">
        <f t="shared" si="110"/>
        <v>0</v>
      </c>
    </row>
    <row r="354" ht="14.25" customHeight="1" spans="1:45">
      <c r="A354" s="3" t="str">
        <f>IF(对接源_01水果!$C354="","",对接源_01水果!$C354)</f>
        <v>王照雪</v>
      </c>
      <c r="B354" s="3">
        <f t="shared" si="94"/>
        <v>0</v>
      </c>
      <c r="C354" s="3">
        <f t="shared" si="95"/>
        <v>18</v>
      </c>
      <c r="K354" s="3">
        <f>IF(OR($K$1="",对接源_01水果!$C354="",对接源_01水果!$C354&lt;&gt;$K$1,对接源_01水果!$B354=""),0,IF(OR(N(对接源_01水果!$B354)&lt;$K$2,N(对接源_01水果!$B354)&gt;$K$3),0,1))</f>
        <v>0</v>
      </c>
      <c r="L354" s="3">
        <f>IF(OR($L$1="",对接源_01水果!$C354="",对接源_01水果!$C354&lt;&gt;$L$1,对接源_01水果!$B354=""),0,IF(OR(N(对接源_01水果!$B354)&lt;$L$2,N(对接源_01水果!$B354)&gt;$L$3),0,1))</f>
        <v>0</v>
      </c>
      <c r="M354" s="3">
        <f>IF(OR($M$1="",对接源_01水果!$C354="",对接源_01水果!$C354&lt;&gt;$M$1,对接源_01水果!$B354=""),0,IF(OR(N(对接源_01水果!$B354)&lt;$M$2,N(对接源_01水果!$B354)&gt;$M$3),0,1))</f>
        <v>0</v>
      </c>
      <c r="N354" s="3">
        <f>IF(OR($N$1="",对接源_01水果!$C354="",对接源_01水果!$C354&lt;&gt;$N$1,对接源_01水果!$B354=""),0,IF(OR(N(对接源_01水果!$B354)&lt;$N$2,N(对接源_01水果!$B354)&gt;$N$3),0,1))</f>
        <v>0</v>
      </c>
      <c r="P354" s="3">
        <f>IF(AND($K354=1,AND(对接源_01水果!$X354="公司筐",N(对接源_01水果!$T354)&lt;&gt;0)),1,0)</f>
        <v>0</v>
      </c>
      <c r="Q354" s="3">
        <f t="shared" si="96"/>
        <v>0</v>
      </c>
      <c r="R354" s="3">
        <f>IF(AND($K354=1,AND(对接源_01水果!$X354="公司筐",N(对接源_01水果!$U354)&lt;&gt;0)),1,0)</f>
        <v>0</v>
      </c>
      <c r="S354" s="3">
        <f t="shared" si="97"/>
        <v>0</v>
      </c>
      <c r="T354" s="3">
        <f>IF(AND($K354=1,AND(对接源_01水果!$X354="公司筐",N(对接源_01水果!$V354)&lt;&gt;0)),1,0)</f>
        <v>0</v>
      </c>
      <c r="U354" s="3">
        <f t="shared" si="98"/>
        <v>19</v>
      </c>
      <c r="V354" s="3">
        <f>IF(AND($L354=1,AND(对接源_01水果!$X354="自备筐",N(对接源_01水果!$V354)&lt;&gt;0)),1,0)</f>
        <v>0</v>
      </c>
      <c r="W354" s="3">
        <f t="shared" si="99"/>
        <v>8</v>
      </c>
      <c r="X354" s="3">
        <f>IF(AND($L354=1,AND(对接源_01水果!$X354="自备筐",N(对接源_01水果!$T354)&lt;&gt;0)),1,0)</f>
        <v>0</v>
      </c>
      <c r="Y354" s="3">
        <f t="shared" si="100"/>
        <v>0</v>
      </c>
      <c r="Z354" s="3">
        <f>IF(AND($M354=1,对接源_01水果!$D354="原料入库"),1,0)</f>
        <v>0</v>
      </c>
      <c r="AA354" s="3">
        <f t="shared" si="101"/>
        <v>24</v>
      </c>
      <c r="AB354" s="3">
        <f>IF(AND($M354=1,LEFT(对接源_01水果!$D354,4)="原料出库"),1,0)</f>
        <v>0</v>
      </c>
      <c r="AC354" s="3">
        <f t="shared" si="102"/>
        <v>0</v>
      </c>
      <c r="AD354" s="3">
        <f>IF(AND($M354=1,LEFT(对接源_01水果!$D354,4)="成品出库"),1,0)</f>
        <v>0</v>
      </c>
      <c r="AE354" s="3">
        <f t="shared" si="103"/>
        <v>0</v>
      </c>
      <c r="AF354" s="3">
        <f>IF(AND($N354=1,AND(LEFT(对接源_01水果!$D354,4)="包装物料",N(对接源_01水果!$K354)&lt;&gt;0)),1,0)</f>
        <v>0</v>
      </c>
      <c r="AG354" s="3">
        <f t="shared" si="104"/>
        <v>0</v>
      </c>
      <c r="AH354" s="3">
        <f>IF(AND($N354=1,AND(对接源_01水果!$D354="周转筐－销售出库",N(对接源_01水果!$K354)&lt;&gt;0)),1,0)</f>
        <v>0</v>
      </c>
      <c r="AI354" s="3">
        <f t="shared" si="105"/>
        <v>0</v>
      </c>
      <c r="AJ354" s="7"/>
      <c r="AL354" s="3">
        <f>IF(OR($AL$1="",对接源_01水果!$Y354="",对接源_01水果!$Y354&lt;&gt;$AL$1,对接源_01水果!$B354="",N(对接源_01水果!$AJ354)&lt;=0),0,IF(OR(N(对接源_01水果!$B354)&lt;$AL$2,N(对接源_01水果!$B354)&gt;$AL$3),0,1))</f>
        <v>0</v>
      </c>
      <c r="AM354" s="3">
        <f t="shared" si="106"/>
        <v>0</v>
      </c>
      <c r="AN354" s="3" t="str">
        <f>IF(对接源_01水果!$AC354="","",对接源_01水果!$AC354)</f>
        <v/>
      </c>
      <c r="AO354" s="3">
        <f t="shared" si="107"/>
        <v>0</v>
      </c>
      <c r="AP354" s="3">
        <f t="shared" si="108"/>
        <v>0</v>
      </c>
      <c r="AR354">
        <f t="shared" si="109"/>
        <v>0</v>
      </c>
      <c r="AS354">
        <f t="shared" si="110"/>
        <v>0</v>
      </c>
    </row>
    <row r="355" ht="14.25" customHeight="1" spans="1:45">
      <c r="A355" s="3" t="str">
        <f>IF(对接源_01水果!$C355="","",对接源_01水果!$C355)</f>
        <v>王浩</v>
      </c>
      <c r="B355" s="3">
        <f t="shared" si="94"/>
        <v>0</v>
      </c>
      <c r="C355" s="3">
        <f t="shared" si="95"/>
        <v>18</v>
      </c>
      <c r="K355" s="3">
        <f>IF(OR($K$1="",对接源_01水果!$C355="",对接源_01水果!$C355&lt;&gt;$K$1,对接源_01水果!$B355=""),0,IF(OR(N(对接源_01水果!$B355)&lt;$K$2,N(对接源_01水果!$B355)&gt;$K$3),0,1))</f>
        <v>0</v>
      </c>
      <c r="L355" s="3">
        <f>IF(OR($L$1="",对接源_01水果!$C355="",对接源_01水果!$C355&lt;&gt;$L$1,对接源_01水果!$B355=""),0,IF(OR(N(对接源_01水果!$B355)&lt;$L$2,N(对接源_01水果!$B355)&gt;$L$3),0,1))</f>
        <v>0</v>
      </c>
      <c r="M355" s="3">
        <f>IF(OR($M$1="",对接源_01水果!$C355="",对接源_01水果!$C355&lt;&gt;$M$1,对接源_01水果!$B355=""),0,IF(OR(N(对接源_01水果!$B355)&lt;$M$2,N(对接源_01水果!$B355)&gt;$M$3),0,1))</f>
        <v>0</v>
      </c>
      <c r="N355" s="3">
        <f>IF(OR($N$1="",对接源_01水果!$C355="",对接源_01水果!$C355&lt;&gt;$N$1,对接源_01水果!$B355=""),0,IF(OR(N(对接源_01水果!$B355)&lt;$N$2,N(对接源_01水果!$B355)&gt;$N$3),0,1))</f>
        <v>0</v>
      </c>
      <c r="P355" s="3">
        <f>IF(AND($K355=1,AND(对接源_01水果!$X355="公司筐",N(对接源_01水果!$T355)&lt;&gt;0)),1,0)</f>
        <v>0</v>
      </c>
      <c r="Q355" s="3">
        <f t="shared" si="96"/>
        <v>0</v>
      </c>
      <c r="R355" s="3">
        <f>IF(AND($K355=1,AND(对接源_01水果!$X355="公司筐",N(对接源_01水果!$U355)&lt;&gt;0)),1,0)</f>
        <v>0</v>
      </c>
      <c r="S355" s="3">
        <f t="shared" si="97"/>
        <v>0</v>
      </c>
      <c r="T355" s="3">
        <f>IF(AND($K355=1,AND(对接源_01水果!$X355="公司筐",N(对接源_01水果!$V355)&lt;&gt;0)),1,0)</f>
        <v>0</v>
      </c>
      <c r="U355" s="3">
        <f t="shared" si="98"/>
        <v>19</v>
      </c>
      <c r="V355" s="3">
        <f>IF(AND($L355=1,AND(对接源_01水果!$X355="自备筐",N(对接源_01水果!$V355)&lt;&gt;0)),1,0)</f>
        <v>0</v>
      </c>
      <c r="W355" s="3">
        <f t="shared" si="99"/>
        <v>8</v>
      </c>
      <c r="X355" s="3">
        <f>IF(AND($L355=1,AND(对接源_01水果!$X355="自备筐",N(对接源_01水果!$T355)&lt;&gt;0)),1,0)</f>
        <v>0</v>
      </c>
      <c r="Y355" s="3">
        <f t="shared" si="100"/>
        <v>0</v>
      </c>
      <c r="Z355" s="3">
        <f>IF(AND($M355=1,对接源_01水果!$D355="原料入库"),1,0)</f>
        <v>0</v>
      </c>
      <c r="AA355" s="3">
        <f t="shared" si="101"/>
        <v>24</v>
      </c>
      <c r="AB355" s="3">
        <f>IF(AND($M355=1,LEFT(对接源_01水果!$D355,4)="原料出库"),1,0)</f>
        <v>0</v>
      </c>
      <c r="AC355" s="3">
        <f t="shared" si="102"/>
        <v>0</v>
      </c>
      <c r="AD355" s="3">
        <f>IF(AND($M355=1,LEFT(对接源_01水果!$D355,4)="成品出库"),1,0)</f>
        <v>0</v>
      </c>
      <c r="AE355" s="3">
        <f t="shared" si="103"/>
        <v>0</v>
      </c>
      <c r="AF355" s="3">
        <f>IF(AND($N355=1,AND(LEFT(对接源_01水果!$D355,4)="包装物料",N(对接源_01水果!$K355)&lt;&gt;0)),1,0)</f>
        <v>0</v>
      </c>
      <c r="AG355" s="3">
        <f t="shared" si="104"/>
        <v>0</v>
      </c>
      <c r="AH355" s="3">
        <f>IF(AND($N355=1,AND(对接源_01水果!$D355="周转筐－销售出库",N(对接源_01水果!$K355)&lt;&gt;0)),1,0)</f>
        <v>0</v>
      </c>
      <c r="AI355" s="3">
        <f t="shared" si="105"/>
        <v>0</v>
      </c>
      <c r="AJ355" s="7"/>
      <c r="AL355" s="3">
        <f>IF(OR($AL$1="",对接源_01水果!$Y355="",对接源_01水果!$Y355&lt;&gt;$AL$1,对接源_01水果!$B355="",N(对接源_01水果!$AJ355)&lt;=0),0,IF(OR(N(对接源_01水果!$B355)&lt;$AL$2,N(对接源_01水果!$B355)&gt;$AL$3),0,1))</f>
        <v>0</v>
      </c>
      <c r="AM355" s="3">
        <f t="shared" si="106"/>
        <v>0</v>
      </c>
      <c r="AN355" s="3" t="str">
        <f>IF(对接源_01水果!$AC355="","",对接源_01水果!$AC355)</f>
        <v/>
      </c>
      <c r="AO355" s="3">
        <f t="shared" si="107"/>
        <v>0</v>
      </c>
      <c r="AP355" s="3">
        <f t="shared" si="108"/>
        <v>0</v>
      </c>
      <c r="AR355">
        <f t="shared" si="109"/>
        <v>0</v>
      </c>
      <c r="AS355">
        <f t="shared" si="110"/>
        <v>0</v>
      </c>
    </row>
    <row r="356" ht="14.25" customHeight="1" spans="1:45">
      <c r="A356" s="3" t="str">
        <f>IF(对接源_01水果!$C356="","",对接源_01水果!$C356)</f>
        <v>王浩</v>
      </c>
      <c r="B356" s="3">
        <f t="shared" si="94"/>
        <v>0</v>
      </c>
      <c r="C356" s="3">
        <f t="shared" si="95"/>
        <v>18</v>
      </c>
      <c r="K356" s="3">
        <f>IF(OR($K$1="",对接源_01水果!$C356="",对接源_01水果!$C356&lt;&gt;$K$1,对接源_01水果!$B356=""),0,IF(OR(N(对接源_01水果!$B356)&lt;$K$2,N(对接源_01水果!$B356)&gt;$K$3),0,1))</f>
        <v>0</v>
      </c>
      <c r="L356" s="3">
        <f>IF(OR($L$1="",对接源_01水果!$C356="",对接源_01水果!$C356&lt;&gt;$L$1,对接源_01水果!$B356=""),0,IF(OR(N(对接源_01水果!$B356)&lt;$L$2,N(对接源_01水果!$B356)&gt;$L$3),0,1))</f>
        <v>0</v>
      </c>
      <c r="M356" s="3">
        <f>IF(OR($M$1="",对接源_01水果!$C356="",对接源_01水果!$C356&lt;&gt;$M$1,对接源_01水果!$B356=""),0,IF(OR(N(对接源_01水果!$B356)&lt;$M$2,N(对接源_01水果!$B356)&gt;$M$3),0,1))</f>
        <v>0</v>
      </c>
      <c r="N356" s="3">
        <f>IF(OR($N$1="",对接源_01水果!$C356="",对接源_01水果!$C356&lt;&gt;$N$1,对接源_01水果!$B356=""),0,IF(OR(N(对接源_01水果!$B356)&lt;$N$2,N(对接源_01水果!$B356)&gt;$N$3),0,1))</f>
        <v>0</v>
      </c>
      <c r="P356" s="3">
        <f>IF(AND($K356=1,AND(对接源_01水果!$X356="公司筐",N(对接源_01水果!$T356)&lt;&gt;0)),1,0)</f>
        <v>0</v>
      </c>
      <c r="Q356" s="3">
        <f t="shared" si="96"/>
        <v>0</v>
      </c>
      <c r="R356" s="3">
        <f>IF(AND($K356=1,AND(对接源_01水果!$X356="公司筐",N(对接源_01水果!$U356)&lt;&gt;0)),1,0)</f>
        <v>0</v>
      </c>
      <c r="S356" s="3">
        <f t="shared" si="97"/>
        <v>0</v>
      </c>
      <c r="T356" s="3">
        <f>IF(AND($K356=1,AND(对接源_01水果!$X356="公司筐",N(对接源_01水果!$V356)&lt;&gt;0)),1,0)</f>
        <v>0</v>
      </c>
      <c r="U356" s="3">
        <f t="shared" si="98"/>
        <v>19</v>
      </c>
      <c r="V356" s="3">
        <f>IF(AND($L356=1,AND(对接源_01水果!$X356="自备筐",N(对接源_01水果!$V356)&lt;&gt;0)),1,0)</f>
        <v>0</v>
      </c>
      <c r="W356" s="3">
        <f t="shared" si="99"/>
        <v>8</v>
      </c>
      <c r="X356" s="3">
        <f>IF(AND($L356=1,AND(对接源_01水果!$X356="自备筐",N(对接源_01水果!$T356)&lt;&gt;0)),1,0)</f>
        <v>0</v>
      </c>
      <c r="Y356" s="3">
        <f t="shared" si="100"/>
        <v>0</v>
      </c>
      <c r="Z356" s="3">
        <f>IF(AND($M356=1,对接源_01水果!$D356="原料入库"),1,0)</f>
        <v>0</v>
      </c>
      <c r="AA356" s="3">
        <f t="shared" si="101"/>
        <v>24</v>
      </c>
      <c r="AB356" s="3">
        <f>IF(AND($M356=1,LEFT(对接源_01水果!$D356,4)="原料出库"),1,0)</f>
        <v>0</v>
      </c>
      <c r="AC356" s="3">
        <f t="shared" si="102"/>
        <v>0</v>
      </c>
      <c r="AD356" s="3">
        <f>IF(AND($M356=1,LEFT(对接源_01水果!$D356,4)="成品出库"),1,0)</f>
        <v>0</v>
      </c>
      <c r="AE356" s="3">
        <f t="shared" si="103"/>
        <v>0</v>
      </c>
      <c r="AF356" s="3">
        <f>IF(AND($N356=1,AND(LEFT(对接源_01水果!$D356,4)="包装物料",N(对接源_01水果!$K356)&lt;&gt;0)),1,0)</f>
        <v>0</v>
      </c>
      <c r="AG356" s="3">
        <f t="shared" si="104"/>
        <v>0</v>
      </c>
      <c r="AH356" s="3">
        <f>IF(AND($N356=1,AND(对接源_01水果!$D356="周转筐－销售出库",N(对接源_01水果!$K356)&lt;&gt;0)),1,0)</f>
        <v>0</v>
      </c>
      <c r="AI356" s="3">
        <f t="shared" si="105"/>
        <v>0</v>
      </c>
      <c r="AJ356" s="7"/>
      <c r="AL356" s="3">
        <f>IF(OR($AL$1="",对接源_01水果!$Y356="",对接源_01水果!$Y356&lt;&gt;$AL$1,对接源_01水果!$B356="",N(对接源_01水果!$AJ356)&lt;=0),0,IF(OR(N(对接源_01水果!$B356)&lt;$AL$2,N(对接源_01水果!$B356)&gt;$AL$3),0,1))</f>
        <v>0</v>
      </c>
      <c r="AM356" s="3">
        <f t="shared" si="106"/>
        <v>0</v>
      </c>
      <c r="AN356" s="3" t="str">
        <f>IF(对接源_01水果!$AC356="","",对接源_01水果!$AC356)</f>
        <v/>
      </c>
      <c r="AO356" s="3">
        <f t="shared" si="107"/>
        <v>0</v>
      </c>
      <c r="AP356" s="3">
        <f t="shared" si="108"/>
        <v>0</v>
      </c>
      <c r="AR356">
        <f t="shared" si="109"/>
        <v>0</v>
      </c>
      <c r="AS356">
        <f t="shared" si="110"/>
        <v>0</v>
      </c>
    </row>
    <row r="357" ht="14.25" customHeight="1" spans="1:45">
      <c r="A357" s="3" t="str">
        <f>IF(对接源_01水果!$C357="","",对接源_01水果!$C357)</f>
        <v>王照雪</v>
      </c>
      <c r="B357" s="3">
        <f t="shared" si="94"/>
        <v>0</v>
      </c>
      <c r="C357" s="3">
        <f t="shared" si="95"/>
        <v>18</v>
      </c>
      <c r="K357" s="3">
        <f>IF(OR($K$1="",对接源_01水果!$C357="",对接源_01水果!$C357&lt;&gt;$K$1,对接源_01水果!$B357=""),0,IF(OR(N(对接源_01水果!$B357)&lt;$K$2,N(对接源_01水果!$B357)&gt;$K$3),0,1))</f>
        <v>0</v>
      </c>
      <c r="L357" s="3">
        <f>IF(OR($L$1="",对接源_01水果!$C357="",对接源_01水果!$C357&lt;&gt;$L$1,对接源_01水果!$B357=""),0,IF(OR(N(对接源_01水果!$B357)&lt;$L$2,N(对接源_01水果!$B357)&gt;$L$3),0,1))</f>
        <v>0</v>
      </c>
      <c r="M357" s="3">
        <f>IF(OR($M$1="",对接源_01水果!$C357="",对接源_01水果!$C357&lt;&gt;$M$1,对接源_01水果!$B357=""),0,IF(OR(N(对接源_01水果!$B357)&lt;$M$2,N(对接源_01水果!$B357)&gt;$M$3),0,1))</f>
        <v>0</v>
      </c>
      <c r="N357" s="3">
        <f>IF(OR($N$1="",对接源_01水果!$C357="",对接源_01水果!$C357&lt;&gt;$N$1,对接源_01水果!$B357=""),0,IF(OR(N(对接源_01水果!$B357)&lt;$N$2,N(对接源_01水果!$B357)&gt;$N$3),0,1))</f>
        <v>0</v>
      </c>
      <c r="P357" s="3">
        <f>IF(AND($K357=1,AND(对接源_01水果!$X357="公司筐",N(对接源_01水果!$T357)&lt;&gt;0)),1,0)</f>
        <v>0</v>
      </c>
      <c r="Q357" s="3">
        <f t="shared" si="96"/>
        <v>0</v>
      </c>
      <c r="R357" s="3">
        <f>IF(AND($K357=1,AND(对接源_01水果!$X357="公司筐",N(对接源_01水果!$U357)&lt;&gt;0)),1,0)</f>
        <v>0</v>
      </c>
      <c r="S357" s="3">
        <f t="shared" si="97"/>
        <v>0</v>
      </c>
      <c r="T357" s="3">
        <f>IF(AND($K357=1,AND(对接源_01水果!$X357="公司筐",N(对接源_01水果!$V357)&lt;&gt;0)),1,0)</f>
        <v>0</v>
      </c>
      <c r="U357" s="3">
        <f t="shared" si="98"/>
        <v>19</v>
      </c>
      <c r="V357" s="3">
        <f>IF(AND($L357=1,AND(对接源_01水果!$X357="自备筐",N(对接源_01水果!$V357)&lt;&gt;0)),1,0)</f>
        <v>0</v>
      </c>
      <c r="W357" s="3">
        <f t="shared" si="99"/>
        <v>8</v>
      </c>
      <c r="X357" s="3">
        <f>IF(AND($L357=1,AND(对接源_01水果!$X357="自备筐",N(对接源_01水果!$T357)&lt;&gt;0)),1,0)</f>
        <v>0</v>
      </c>
      <c r="Y357" s="3">
        <f t="shared" si="100"/>
        <v>0</v>
      </c>
      <c r="Z357" s="3">
        <f>IF(AND($M357=1,对接源_01水果!$D357="原料入库"),1,0)</f>
        <v>0</v>
      </c>
      <c r="AA357" s="3">
        <f t="shared" si="101"/>
        <v>24</v>
      </c>
      <c r="AB357" s="3">
        <f>IF(AND($M357=1,LEFT(对接源_01水果!$D357,4)="原料出库"),1,0)</f>
        <v>0</v>
      </c>
      <c r="AC357" s="3">
        <f t="shared" si="102"/>
        <v>0</v>
      </c>
      <c r="AD357" s="3">
        <f>IF(AND($M357=1,LEFT(对接源_01水果!$D357,4)="成品出库"),1,0)</f>
        <v>0</v>
      </c>
      <c r="AE357" s="3">
        <f t="shared" si="103"/>
        <v>0</v>
      </c>
      <c r="AF357" s="3">
        <f>IF(AND($N357=1,AND(LEFT(对接源_01水果!$D357,4)="包装物料",N(对接源_01水果!$K357)&lt;&gt;0)),1,0)</f>
        <v>0</v>
      </c>
      <c r="AG357" s="3">
        <f t="shared" si="104"/>
        <v>0</v>
      </c>
      <c r="AH357" s="3">
        <f>IF(AND($N357=1,AND(对接源_01水果!$D357="周转筐－销售出库",N(对接源_01水果!$K357)&lt;&gt;0)),1,0)</f>
        <v>0</v>
      </c>
      <c r="AI357" s="3">
        <f t="shared" si="105"/>
        <v>0</v>
      </c>
      <c r="AJ357" s="7"/>
      <c r="AL357" s="3">
        <f>IF(OR($AL$1="",对接源_01水果!$Y357="",对接源_01水果!$Y357&lt;&gt;$AL$1,对接源_01水果!$B357="",N(对接源_01水果!$AJ357)&lt;=0),0,IF(OR(N(对接源_01水果!$B357)&lt;$AL$2,N(对接源_01水果!$B357)&gt;$AL$3),0,1))</f>
        <v>0</v>
      </c>
      <c r="AM357" s="3">
        <f t="shared" si="106"/>
        <v>0</v>
      </c>
      <c r="AN357" s="3" t="str">
        <f>IF(对接源_01水果!$AC357="","",对接源_01水果!$AC357)</f>
        <v/>
      </c>
      <c r="AO357" s="3">
        <f t="shared" si="107"/>
        <v>0</v>
      </c>
      <c r="AP357" s="3">
        <f t="shared" si="108"/>
        <v>0</v>
      </c>
      <c r="AR357">
        <f t="shared" si="109"/>
        <v>0</v>
      </c>
      <c r="AS357">
        <f t="shared" si="110"/>
        <v>0</v>
      </c>
    </row>
    <row r="358" ht="14.25" customHeight="1" spans="1:45">
      <c r="A358" s="3" t="str">
        <f>IF(对接源_01水果!$C358="","",对接源_01水果!$C358)</f>
        <v>王照雪</v>
      </c>
      <c r="B358" s="3">
        <f t="shared" si="94"/>
        <v>0</v>
      </c>
      <c r="C358" s="3">
        <f t="shared" si="95"/>
        <v>18</v>
      </c>
      <c r="K358" s="3">
        <f>IF(OR($K$1="",对接源_01水果!$C358="",对接源_01水果!$C358&lt;&gt;$K$1,对接源_01水果!$B358=""),0,IF(OR(N(对接源_01水果!$B358)&lt;$K$2,N(对接源_01水果!$B358)&gt;$K$3),0,1))</f>
        <v>0</v>
      </c>
      <c r="L358" s="3">
        <f>IF(OR($L$1="",对接源_01水果!$C358="",对接源_01水果!$C358&lt;&gt;$L$1,对接源_01水果!$B358=""),0,IF(OR(N(对接源_01水果!$B358)&lt;$L$2,N(对接源_01水果!$B358)&gt;$L$3),0,1))</f>
        <v>0</v>
      </c>
      <c r="M358" s="3">
        <f>IF(OR($M$1="",对接源_01水果!$C358="",对接源_01水果!$C358&lt;&gt;$M$1,对接源_01水果!$B358=""),0,IF(OR(N(对接源_01水果!$B358)&lt;$M$2,N(对接源_01水果!$B358)&gt;$M$3),0,1))</f>
        <v>0</v>
      </c>
      <c r="N358" s="3">
        <f>IF(OR($N$1="",对接源_01水果!$C358="",对接源_01水果!$C358&lt;&gt;$N$1,对接源_01水果!$B358=""),0,IF(OR(N(对接源_01水果!$B358)&lt;$N$2,N(对接源_01水果!$B358)&gt;$N$3),0,1))</f>
        <v>0</v>
      </c>
      <c r="P358" s="3">
        <f>IF(AND($K358=1,AND(对接源_01水果!$X358="公司筐",N(对接源_01水果!$T358)&lt;&gt;0)),1,0)</f>
        <v>0</v>
      </c>
      <c r="Q358" s="3">
        <f t="shared" si="96"/>
        <v>0</v>
      </c>
      <c r="R358" s="3">
        <f>IF(AND($K358=1,AND(对接源_01水果!$X358="公司筐",N(对接源_01水果!$U358)&lt;&gt;0)),1,0)</f>
        <v>0</v>
      </c>
      <c r="S358" s="3">
        <f t="shared" si="97"/>
        <v>0</v>
      </c>
      <c r="T358" s="3">
        <f>IF(AND($K358=1,AND(对接源_01水果!$X358="公司筐",N(对接源_01水果!$V358)&lt;&gt;0)),1,0)</f>
        <v>0</v>
      </c>
      <c r="U358" s="3">
        <f t="shared" si="98"/>
        <v>19</v>
      </c>
      <c r="V358" s="3">
        <f>IF(AND($L358=1,AND(对接源_01水果!$X358="自备筐",N(对接源_01水果!$V358)&lt;&gt;0)),1,0)</f>
        <v>0</v>
      </c>
      <c r="W358" s="3">
        <f t="shared" si="99"/>
        <v>8</v>
      </c>
      <c r="X358" s="3">
        <f>IF(AND($L358=1,AND(对接源_01水果!$X358="自备筐",N(对接源_01水果!$T358)&lt;&gt;0)),1,0)</f>
        <v>0</v>
      </c>
      <c r="Y358" s="3">
        <f t="shared" si="100"/>
        <v>0</v>
      </c>
      <c r="Z358" s="3">
        <f>IF(AND($M358=1,对接源_01水果!$D358="原料入库"),1,0)</f>
        <v>0</v>
      </c>
      <c r="AA358" s="3">
        <f t="shared" si="101"/>
        <v>24</v>
      </c>
      <c r="AB358" s="3">
        <f>IF(AND($M358=1,LEFT(对接源_01水果!$D358,4)="原料出库"),1,0)</f>
        <v>0</v>
      </c>
      <c r="AC358" s="3">
        <f t="shared" si="102"/>
        <v>0</v>
      </c>
      <c r="AD358" s="3">
        <f>IF(AND($M358=1,LEFT(对接源_01水果!$D358,4)="成品出库"),1,0)</f>
        <v>0</v>
      </c>
      <c r="AE358" s="3">
        <f t="shared" si="103"/>
        <v>0</v>
      </c>
      <c r="AF358" s="3">
        <f>IF(AND($N358=1,AND(LEFT(对接源_01水果!$D358,4)="包装物料",N(对接源_01水果!$K358)&lt;&gt;0)),1,0)</f>
        <v>0</v>
      </c>
      <c r="AG358" s="3">
        <f t="shared" si="104"/>
        <v>0</v>
      </c>
      <c r="AH358" s="3">
        <f>IF(AND($N358=1,AND(对接源_01水果!$D358="周转筐－销售出库",N(对接源_01水果!$K358)&lt;&gt;0)),1,0)</f>
        <v>0</v>
      </c>
      <c r="AI358" s="3">
        <f t="shared" si="105"/>
        <v>0</v>
      </c>
      <c r="AJ358" s="7"/>
      <c r="AL358" s="3">
        <f>IF(OR($AL$1="",对接源_01水果!$Y358="",对接源_01水果!$Y358&lt;&gt;$AL$1,对接源_01水果!$B358="",N(对接源_01水果!$AJ358)&lt;=0),0,IF(OR(N(对接源_01水果!$B358)&lt;$AL$2,N(对接源_01水果!$B358)&gt;$AL$3),0,1))</f>
        <v>0</v>
      </c>
      <c r="AM358" s="3">
        <f t="shared" si="106"/>
        <v>0</v>
      </c>
      <c r="AN358" s="3" t="str">
        <f>IF(对接源_01水果!$AC358="","",对接源_01水果!$AC358)</f>
        <v/>
      </c>
      <c r="AO358" s="3">
        <f t="shared" si="107"/>
        <v>0</v>
      </c>
      <c r="AP358" s="3">
        <f t="shared" si="108"/>
        <v>0</v>
      </c>
      <c r="AR358">
        <f t="shared" si="109"/>
        <v>0</v>
      </c>
      <c r="AS358">
        <f t="shared" si="110"/>
        <v>0</v>
      </c>
    </row>
    <row r="359" ht="14.25" customHeight="1" spans="1:45">
      <c r="A359" s="3" t="str">
        <f>IF(对接源_01水果!$C359="","",对接源_01水果!$C359)</f>
        <v>王照雪</v>
      </c>
      <c r="B359" s="3">
        <f t="shared" si="94"/>
        <v>0</v>
      </c>
      <c r="C359" s="3">
        <f t="shared" si="95"/>
        <v>18</v>
      </c>
      <c r="K359" s="3">
        <f>IF(OR($K$1="",对接源_01水果!$C359="",对接源_01水果!$C359&lt;&gt;$K$1,对接源_01水果!$B359=""),0,IF(OR(N(对接源_01水果!$B359)&lt;$K$2,N(对接源_01水果!$B359)&gt;$K$3),0,1))</f>
        <v>0</v>
      </c>
      <c r="L359" s="3">
        <f>IF(OR($L$1="",对接源_01水果!$C359="",对接源_01水果!$C359&lt;&gt;$L$1,对接源_01水果!$B359=""),0,IF(OR(N(对接源_01水果!$B359)&lt;$L$2,N(对接源_01水果!$B359)&gt;$L$3),0,1))</f>
        <v>0</v>
      </c>
      <c r="M359" s="3">
        <f>IF(OR($M$1="",对接源_01水果!$C359="",对接源_01水果!$C359&lt;&gt;$M$1,对接源_01水果!$B359=""),0,IF(OR(N(对接源_01水果!$B359)&lt;$M$2,N(对接源_01水果!$B359)&gt;$M$3),0,1))</f>
        <v>0</v>
      </c>
      <c r="N359" s="3">
        <f>IF(OR($N$1="",对接源_01水果!$C359="",对接源_01水果!$C359&lt;&gt;$N$1,对接源_01水果!$B359=""),0,IF(OR(N(对接源_01水果!$B359)&lt;$N$2,N(对接源_01水果!$B359)&gt;$N$3),0,1))</f>
        <v>0</v>
      </c>
      <c r="P359" s="3">
        <f>IF(AND($K359=1,AND(对接源_01水果!$X359="公司筐",N(对接源_01水果!$T359)&lt;&gt;0)),1,0)</f>
        <v>0</v>
      </c>
      <c r="Q359" s="3">
        <f t="shared" si="96"/>
        <v>0</v>
      </c>
      <c r="R359" s="3">
        <f>IF(AND($K359=1,AND(对接源_01水果!$X359="公司筐",N(对接源_01水果!$U359)&lt;&gt;0)),1,0)</f>
        <v>0</v>
      </c>
      <c r="S359" s="3">
        <f t="shared" si="97"/>
        <v>0</v>
      </c>
      <c r="T359" s="3">
        <f>IF(AND($K359=1,AND(对接源_01水果!$X359="公司筐",N(对接源_01水果!$V359)&lt;&gt;0)),1,0)</f>
        <v>0</v>
      </c>
      <c r="U359" s="3">
        <f t="shared" si="98"/>
        <v>19</v>
      </c>
      <c r="V359" s="3">
        <f>IF(AND($L359=1,AND(对接源_01水果!$X359="自备筐",N(对接源_01水果!$V359)&lt;&gt;0)),1,0)</f>
        <v>0</v>
      </c>
      <c r="W359" s="3">
        <f t="shared" si="99"/>
        <v>8</v>
      </c>
      <c r="X359" s="3">
        <f>IF(AND($L359=1,AND(对接源_01水果!$X359="自备筐",N(对接源_01水果!$T359)&lt;&gt;0)),1,0)</f>
        <v>0</v>
      </c>
      <c r="Y359" s="3">
        <f t="shared" si="100"/>
        <v>0</v>
      </c>
      <c r="Z359" s="3">
        <f>IF(AND($M359=1,对接源_01水果!$D359="原料入库"),1,0)</f>
        <v>0</v>
      </c>
      <c r="AA359" s="3">
        <f t="shared" si="101"/>
        <v>24</v>
      </c>
      <c r="AB359" s="3">
        <f>IF(AND($M359=1,LEFT(对接源_01水果!$D359,4)="原料出库"),1,0)</f>
        <v>0</v>
      </c>
      <c r="AC359" s="3">
        <f t="shared" si="102"/>
        <v>0</v>
      </c>
      <c r="AD359" s="3">
        <f>IF(AND($M359=1,LEFT(对接源_01水果!$D359,4)="成品出库"),1,0)</f>
        <v>0</v>
      </c>
      <c r="AE359" s="3">
        <f t="shared" si="103"/>
        <v>0</v>
      </c>
      <c r="AF359" s="3">
        <f>IF(AND($N359=1,AND(LEFT(对接源_01水果!$D359,4)="包装物料",N(对接源_01水果!$K359)&lt;&gt;0)),1,0)</f>
        <v>0</v>
      </c>
      <c r="AG359" s="3">
        <f t="shared" si="104"/>
        <v>0</v>
      </c>
      <c r="AH359" s="3">
        <f>IF(AND($N359=1,AND(对接源_01水果!$D359="周转筐－销售出库",N(对接源_01水果!$K359)&lt;&gt;0)),1,0)</f>
        <v>0</v>
      </c>
      <c r="AI359" s="3">
        <f t="shared" si="105"/>
        <v>0</v>
      </c>
      <c r="AJ359" s="7"/>
      <c r="AL359" s="3">
        <f>IF(OR($AL$1="",对接源_01水果!$Y359="",对接源_01水果!$Y359&lt;&gt;$AL$1,对接源_01水果!$B359="",N(对接源_01水果!$AJ359)&lt;=0),0,IF(OR(N(对接源_01水果!$B359)&lt;$AL$2,N(对接源_01水果!$B359)&gt;$AL$3),0,1))</f>
        <v>0</v>
      </c>
      <c r="AM359" s="3">
        <f t="shared" si="106"/>
        <v>0</v>
      </c>
      <c r="AN359" s="3" t="str">
        <f>IF(对接源_01水果!$AC359="","",对接源_01水果!$AC359)</f>
        <v/>
      </c>
      <c r="AO359" s="3">
        <f t="shared" si="107"/>
        <v>0</v>
      </c>
      <c r="AP359" s="3">
        <f t="shared" si="108"/>
        <v>0</v>
      </c>
      <c r="AR359">
        <f t="shared" si="109"/>
        <v>0</v>
      </c>
      <c r="AS359">
        <f t="shared" si="110"/>
        <v>0</v>
      </c>
    </row>
    <row r="360" ht="14.25" customHeight="1" spans="1:45">
      <c r="A360" s="3" t="str">
        <f>IF(对接源_01水果!$C360="","",对接源_01水果!$C360)</f>
        <v>麦麦提</v>
      </c>
      <c r="B360" s="3">
        <f t="shared" si="94"/>
        <v>0</v>
      </c>
      <c r="C360" s="3">
        <f t="shared" si="95"/>
        <v>18</v>
      </c>
      <c r="K360" s="3">
        <f>IF(OR($K$1="",对接源_01水果!$C360="",对接源_01水果!$C360&lt;&gt;$K$1,对接源_01水果!$B360=""),0,IF(OR(N(对接源_01水果!$B360)&lt;$K$2,N(对接源_01水果!$B360)&gt;$K$3),0,1))</f>
        <v>0</v>
      </c>
      <c r="L360" s="3">
        <f>IF(OR($L$1="",对接源_01水果!$C360="",对接源_01水果!$C360&lt;&gt;$L$1,对接源_01水果!$B360=""),0,IF(OR(N(对接源_01水果!$B360)&lt;$L$2,N(对接源_01水果!$B360)&gt;$L$3),0,1))</f>
        <v>0</v>
      </c>
      <c r="M360" s="3">
        <f>IF(OR($M$1="",对接源_01水果!$C360="",对接源_01水果!$C360&lt;&gt;$M$1,对接源_01水果!$B360=""),0,IF(OR(N(对接源_01水果!$B360)&lt;$M$2,N(对接源_01水果!$B360)&gt;$M$3),0,1))</f>
        <v>0</v>
      </c>
      <c r="N360" s="3">
        <f>IF(OR($N$1="",对接源_01水果!$C360="",对接源_01水果!$C360&lt;&gt;$N$1,对接源_01水果!$B360=""),0,IF(OR(N(对接源_01水果!$B360)&lt;$N$2,N(对接源_01水果!$B360)&gt;$N$3),0,1))</f>
        <v>0</v>
      </c>
      <c r="P360" s="3">
        <f>IF(AND($K360=1,AND(对接源_01水果!$X360="公司筐",N(对接源_01水果!$T360)&lt;&gt;0)),1,0)</f>
        <v>0</v>
      </c>
      <c r="Q360" s="3">
        <f t="shared" si="96"/>
        <v>0</v>
      </c>
      <c r="R360" s="3">
        <f>IF(AND($K360=1,AND(对接源_01水果!$X360="公司筐",N(对接源_01水果!$U360)&lt;&gt;0)),1,0)</f>
        <v>0</v>
      </c>
      <c r="S360" s="3">
        <f t="shared" si="97"/>
        <v>0</v>
      </c>
      <c r="T360" s="3">
        <f>IF(AND($K360=1,AND(对接源_01水果!$X360="公司筐",N(对接源_01水果!$V360)&lt;&gt;0)),1,0)</f>
        <v>0</v>
      </c>
      <c r="U360" s="3">
        <f t="shared" si="98"/>
        <v>19</v>
      </c>
      <c r="V360" s="3">
        <f>IF(AND($L360=1,AND(对接源_01水果!$X360="自备筐",N(对接源_01水果!$V360)&lt;&gt;0)),1,0)</f>
        <v>0</v>
      </c>
      <c r="W360" s="3">
        <f t="shared" si="99"/>
        <v>8</v>
      </c>
      <c r="X360" s="3">
        <f>IF(AND($L360=1,AND(对接源_01水果!$X360="自备筐",N(对接源_01水果!$T360)&lt;&gt;0)),1,0)</f>
        <v>0</v>
      </c>
      <c r="Y360" s="3">
        <f t="shared" si="100"/>
        <v>0</v>
      </c>
      <c r="Z360" s="3">
        <f>IF(AND($M360=1,对接源_01水果!$D360="原料入库"),1,0)</f>
        <v>0</v>
      </c>
      <c r="AA360" s="3">
        <f t="shared" si="101"/>
        <v>24</v>
      </c>
      <c r="AB360" s="3">
        <f>IF(AND($M360=1,LEFT(对接源_01水果!$D360,4)="原料出库"),1,0)</f>
        <v>0</v>
      </c>
      <c r="AC360" s="3">
        <f t="shared" si="102"/>
        <v>0</v>
      </c>
      <c r="AD360" s="3">
        <f>IF(AND($M360=1,LEFT(对接源_01水果!$D360,4)="成品出库"),1,0)</f>
        <v>0</v>
      </c>
      <c r="AE360" s="3">
        <f t="shared" si="103"/>
        <v>0</v>
      </c>
      <c r="AF360" s="3">
        <f>IF(AND($N360=1,AND(LEFT(对接源_01水果!$D360,4)="包装物料",N(对接源_01水果!$K360)&lt;&gt;0)),1,0)</f>
        <v>0</v>
      </c>
      <c r="AG360" s="3">
        <f t="shared" si="104"/>
        <v>0</v>
      </c>
      <c r="AH360" s="3">
        <f>IF(AND($N360=1,AND(对接源_01水果!$D360="周转筐－销售出库",N(对接源_01水果!$K360)&lt;&gt;0)),1,0)</f>
        <v>0</v>
      </c>
      <c r="AI360" s="3">
        <f t="shared" si="105"/>
        <v>0</v>
      </c>
      <c r="AJ360" s="7"/>
      <c r="AL360" s="3">
        <f>IF(OR($AL$1="",对接源_01水果!$Y360="",对接源_01水果!$Y360&lt;&gt;$AL$1,对接源_01水果!$B360="",N(对接源_01水果!$AJ360)&lt;=0),0,IF(OR(N(对接源_01水果!$B360)&lt;$AL$2,N(对接源_01水果!$B360)&gt;$AL$3),0,1))</f>
        <v>0</v>
      </c>
      <c r="AM360" s="3">
        <f t="shared" si="106"/>
        <v>0</v>
      </c>
      <c r="AN360" s="3" t="str">
        <f>IF(对接源_01水果!$AC360="","",对接源_01水果!$AC360)</f>
        <v/>
      </c>
      <c r="AO360" s="3">
        <f t="shared" si="107"/>
        <v>0</v>
      </c>
      <c r="AP360" s="3">
        <f t="shared" si="108"/>
        <v>0</v>
      </c>
      <c r="AR360">
        <f t="shared" si="109"/>
        <v>0</v>
      </c>
      <c r="AS360">
        <f t="shared" si="110"/>
        <v>0</v>
      </c>
    </row>
    <row r="361" ht="14.25" customHeight="1" spans="1:45">
      <c r="A361" s="3" t="str">
        <f>IF(对接源_01水果!$C361="","",对接源_01水果!$C361)</f>
        <v>王灵云</v>
      </c>
      <c r="B361" s="3">
        <f t="shared" si="94"/>
        <v>0</v>
      </c>
      <c r="C361" s="3">
        <f t="shared" si="95"/>
        <v>18</v>
      </c>
      <c r="K361" s="3">
        <f>IF(OR($K$1="",对接源_01水果!$C361="",对接源_01水果!$C361&lt;&gt;$K$1,对接源_01水果!$B361=""),0,IF(OR(N(对接源_01水果!$B361)&lt;$K$2,N(对接源_01水果!$B361)&gt;$K$3),0,1))</f>
        <v>1</v>
      </c>
      <c r="L361" s="3">
        <f>IF(OR($L$1="",对接源_01水果!$C361="",对接源_01水果!$C361&lt;&gt;$L$1,对接源_01水果!$B361=""),0,IF(OR(N(对接源_01水果!$B361)&lt;$L$2,N(对接源_01水果!$B361)&gt;$L$3),0,1))</f>
        <v>0</v>
      </c>
      <c r="M361" s="3">
        <f>IF(OR($M$1="",对接源_01水果!$C361="",对接源_01水果!$C361&lt;&gt;$M$1,对接源_01水果!$B361=""),0,IF(OR(N(对接源_01水果!$B361)&lt;$M$2,N(对接源_01水果!$B361)&gt;$M$3),0,1))</f>
        <v>0</v>
      </c>
      <c r="N361" s="3">
        <f>IF(OR($N$1="",对接源_01水果!$C361="",对接源_01水果!$C361&lt;&gt;$N$1,对接源_01水果!$B361=""),0,IF(OR(N(对接源_01水果!$B361)&lt;$N$2,N(对接源_01水果!$B361)&gt;$N$3),0,1))</f>
        <v>0</v>
      </c>
      <c r="P361" s="3">
        <f>IF(AND($K361=1,AND(对接源_01水果!$X361="公司筐",N(对接源_01水果!$T361)&lt;&gt;0)),1,0)</f>
        <v>0</v>
      </c>
      <c r="Q361" s="3">
        <f t="shared" si="96"/>
        <v>0</v>
      </c>
      <c r="R361" s="3">
        <f>IF(AND($K361=1,AND(对接源_01水果!$X361="公司筐",N(对接源_01水果!$U361)&lt;&gt;0)),1,0)</f>
        <v>0</v>
      </c>
      <c r="S361" s="3">
        <f t="shared" si="97"/>
        <v>0</v>
      </c>
      <c r="T361" s="3">
        <f>IF(AND($K361=1,AND(对接源_01水果!$X361="公司筐",N(对接源_01水果!$V361)&lt;&gt;0)),1,0)</f>
        <v>0</v>
      </c>
      <c r="U361" s="3">
        <f t="shared" si="98"/>
        <v>19</v>
      </c>
      <c r="V361" s="3">
        <f>IF(AND($L361=1,AND(对接源_01水果!$X361="自备筐",N(对接源_01水果!$V361)&lt;&gt;0)),1,0)</f>
        <v>0</v>
      </c>
      <c r="W361" s="3">
        <f t="shared" si="99"/>
        <v>8</v>
      </c>
      <c r="X361" s="3">
        <f>IF(AND($L361=1,AND(对接源_01水果!$X361="自备筐",N(对接源_01水果!$T361)&lt;&gt;0)),1,0)</f>
        <v>0</v>
      </c>
      <c r="Y361" s="3">
        <f t="shared" si="100"/>
        <v>0</v>
      </c>
      <c r="Z361" s="3">
        <f>IF(AND($M361=1,对接源_01水果!$D361="原料入库"),1,0)</f>
        <v>0</v>
      </c>
      <c r="AA361" s="3">
        <f t="shared" si="101"/>
        <v>24</v>
      </c>
      <c r="AB361" s="3">
        <f>IF(AND($M361=1,LEFT(对接源_01水果!$D361,4)="原料出库"),1,0)</f>
        <v>0</v>
      </c>
      <c r="AC361" s="3">
        <f t="shared" si="102"/>
        <v>0</v>
      </c>
      <c r="AD361" s="3">
        <f>IF(AND($M361=1,LEFT(对接源_01水果!$D361,4)="成品出库"),1,0)</f>
        <v>0</v>
      </c>
      <c r="AE361" s="3">
        <f t="shared" si="103"/>
        <v>0</v>
      </c>
      <c r="AF361" s="3">
        <f>IF(AND($N361=1,AND(LEFT(对接源_01水果!$D361,4)="包装物料",N(对接源_01水果!$K361)&lt;&gt;0)),1,0)</f>
        <v>0</v>
      </c>
      <c r="AG361" s="3">
        <f t="shared" si="104"/>
        <v>0</v>
      </c>
      <c r="AH361" s="3">
        <f>IF(AND($N361=1,AND(对接源_01水果!$D361="周转筐－销售出库",N(对接源_01水果!$K361)&lt;&gt;0)),1,0)</f>
        <v>0</v>
      </c>
      <c r="AI361" s="3">
        <f t="shared" si="105"/>
        <v>0</v>
      </c>
      <c r="AJ361" s="7"/>
      <c r="AL361" s="3">
        <f>IF(OR($AL$1="",对接源_01水果!$Y361="",对接源_01水果!$Y361&lt;&gt;$AL$1,对接源_01水果!$B361="",N(对接源_01水果!$AJ361)&lt;=0),0,IF(OR(N(对接源_01水果!$B361)&lt;$AL$2,N(对接源_01水果!$B361)&gt;$AL$3),0,1))</f>
        <v>0</v>
      </c>
      <c r="AM361" s="3">
        <f t="shared" si="106"/>
        <v>0</v>
      </c>
      <c r="AN361" s="3" t="str">
        <f>IF(对接源_01水果!$AC361="","",对接源_01水果!$AC361)</f>
        <v/>
      </c>
      <c r="AO361" s="3">
        <f t="shared" si="107"/>
        <v>0</v>
      </c>
      <c r="AP361" s="3">
        <f t="shared" si="108"/>
        <v>0</v>
      </c>
      <c r="AR361">
        <f t="shared" si="109"/>
        <v>0</v>
      </c>
      <c r="AS361">
        <f t="shared" si="110"/>
        <v>0</v>
      </c>
    </row>
    <row r="362" ht="14.25" customHeight="1" spans="1:45">
      <c r="A362" s="3" t="str">
        <f>IF(对接源_01水果!$C362="","",对接源_01水果!$C362)</f>
        <v>王灵云</v>
      </c>
      <c r="B362" s="3">
        <f t="shared" si="94"/>
        <v>0</v>
      </c>
      <c r="C362" s="3">
        <f t="shared" si="95"/>
        <v>18</v>
      </c>
      <c r="K362" s="3">
        <f>IF(OR($K$1="",对接源_01水果!$C362="",对接源_01水果!$C362&lt;&gt;$K$1,对接源_01水果!$B362=""),0,IF(OR(N(对接源_01水果!$B362)&lt;$K$2,N(对接源_01水果!$B362)&gt;$K$3),0,1))</f>
        <v>1</v>
      </c>
      <c r="L362" s="3">
        <f>IF(OR($L$1="",对接源_01水果!$C362="",对接源_01水果!$C362&lt;&gt;$L$1,对接源_01水果!$B362=""),0,IF(OR(N(对接源_01水果!$B362)&lt;$L$2,N(对接源_01水果!$B362)&gt;$L$3),0,1))</f>
        <v>0</v>
      </c>
      <c r="M362" s="3">
        <f>IF(OR($M$1="",对接源_01水果!$C362="",对接源_01水果!$C362&lt;&gt;$M$1,对接源_01水果!$B362=""),0,IF(OR(N(对接源_01水果!$B362)&lt;$M$2,N(对接源_01水果!$B362)&gt;$M$3),0,1))</f>
        <v>0</v>
      </c>
      <c r="N362" s="3">
        <f>IF(OR($N$1="",对接源_01水果!$C362="",对接源_01水果!$C362&lt;&gt;$N$1,对接源_01水果!$B362=""),0,IF(OR(N(对接源_01水果!$B362)&lt;$N$2,N(对接源_01水果!$B362)&gt;$N$3),0,1))</f>
        <v>0</v>
      </c>
      <c r="P362" s="3">
        <f>IF(AND($K362=1,AND(对接源_01水果!$X362="公司筐",N(对接源_01水果!$T362)&lt;&gt;0)),1,0)</f>
        <v>0</v>
      </c>
      <c r="Q362" s="3">
        <f t="shared" si="96"/>
        <v>0</v>
      </c>
      <c r="R362" s="3">
        <f>IF(AND($K362=1,AND(对接源_01水果!$X362="公司筐",N(对接源_01水果!$U362)&lt;&gt;0)),1,0)</f>
        <v>0</v>
      </c>
      <c r="S362" s="3">
        <f t="shared" si="97"/>
        <v>0</v>
      </c>
      <c r="T362" s="3">
        <f>IF(AND($K362=1,AND(对接源_01水果!$X362="公司筐",N(对接源_01水果!$V362)&lt;&gt;0)),1,0)</f>
        <v>0</v>
      </c>
      <c r="U362" s="3">
        <f t="shared" si="98"/>
        <v>19</v>
      </c>
      <c r="V362" s="3">
        <f>IF(AND($L362=1,AND(对接源_01水果!$X362="自备筐",N(对接源_01水果!$V362)&lt;&gt;0)),1,0)</f>
        <v>0</v>
      </c>
      <c r="W362" s="3">
        <f t="shared" si="99"/>
        <v>8</v>
      </c>
      <c r="X362" s="3">
        <f>IF(AND($L362=1,AND(对接源_01水果!$X362="自备筐",N(对接源_01水果!$T362)&lt;&gt;0)),1,0)</f>
        <v>0</v>
      </c>
      <c r="Y362" s="3">
        <f t="shared" si="100"/>
        <v>0</v>
      </c>
      <c r="Z362" s="3">
        <f>IF(AND($M362=1,对接源_01水果!$D362="原料入库"),1,0)</f>
        <v>0</v>
      </c>
      <c r="AA362" s="3">
        <f t="shared" si="101"/>
        <v>24</v>
      </c>
      <c r="AB362" s="3">
        <f>IF(AND($M362=1,LEFT(对接源_01水果!$D362,4)="原料出库"),1,0)</f>
        <v>0</v>
      </c>
      <c r="AC362" s="3">
        <f t="shared" si="102"/>
        <v>0</v>
      </c>
      <c r="AD362" s="3">
        <f>IF(AND($M362=1,LEFT(对接源_01水果!$D362,4)="成品出库"),1,0)</f>
        <v>0</v>
      </c>
      <c r="AE362" s="3">
        <f t="shared" si="103"/>
        <v>0</v>
      </c>
      <c r="AF362" s="3">
        <f>IF(AND($N362=1,AND(LEFT(对接源_01水果!$D362,4)="包装物料",N(对接源_01水果!$K362)&lt;&gt;0)),1,0)</f>
        <v>0</v>
      </c>
      <c r="AG362" s="3">
        <f t="shared" si="104"/>
        <v>0</v>
      </c>
      <c r="AH362" s="3">
        <f>IF(AND($N362=1,AND(对接源_01水果!$D362="周转筐－销售出库",N(对接源_01水果!$K362)&lt;&gt;0)),1,0)</f>
        <v>0</v>
      </c>
      <c r="AI362" s="3">
        <f t="shared" si="105"/>
        <v>0</v>
      </c>
      <c r="AJ362" s="7"/>
      <c r="AL362" s="3">
        <f>IF(OR($AL$1="",对接源_01水果!$Y362="",对接源_01水果!$Y362&lt;&gt;$AL$1,对接源_01水果!$B362="",N(对接源_01水果!$AJ362)&lt;=0),0,IF(OR(N(对接源_01水果!$B362)&lt;$AL$2,N(对接源_01水果!$B362)&gt;$AL$3),0,1))</f>
        <v>0</v>
      </c>
      <c r="AM362" s="3">
        <f t="shared" si="106"/>
        <v>0</v>
      </c>
      <c r="AN362" s="3" t="str">
        <f>IF(对接源_01水果!$AC362="","",对接源_01水果!$AC362)</f>
        <v/>
      </c>
      <c r="AO362" s="3">
        <f t="shared" si="107"/>
        <v>0</v>
      </c>
      <c r="AP362" s="3">
        <f t="shared" si="108"/>
        <v>0</v>
      </c>
      <c r="AR362">
        <f t="shared" si="109"/>
        <v>0</v>
      </c>
      <c r="AS362">
        <f t="shared" si="110"/>
        <v>0</v>
      </c>
    </row>
    <row r="363" ht="14.25" customHeight="1" spans="1:45">
      <c r="A363" s="3" t="str">
        <f>IF(对接源_01水果!$C363="","",对接源_01水果!$C363)</f>
        <v>王照雪</v>
      </c>
      <c r="B363" s="3">
        <f t="shared" si="94"/>
        <v>0</v>
      </c>
      <c r="C363" s="3">
        <f t="shared" si="95"/>
        <v>18</v>
      </c>
      <c r="K363" s="3">
        <f>IF(OR($K$1="",对接源_01水果!$C363="",对接源_01水果!$C363&lt;&gt;$K$1,对接源_01水果!$B363=""),0,IF(OR(N(对接源_01水果!$B363)&lt;$K$2,N(对接源_01水果!$B363)&gt;$K$3),0,1))</f>
        <v>0</v>
      </c>
      <c r="L363" s="3">
        <f>IF(OR($L$1="",对接源_01水果!$C363="",对接源_01水果!$C363&lt;&gt;$L$1,对接源_01水果!$B363=""),0,IF(OR(N(对接源_01水果!$B363)&lt;$L$2,N(对接源_01水果!$B363)&gt;$L$3),0,1))</f>
        <v>0</v>
      </c>
      <c r="M363" s="3">
        <f>IF(OR($M$1="",对接源_01水果!$C363="",对接源_01水果!$C363&lt;&gt;$M$1,对接源_01水果!$B363=""),0,IF(OR(N(对接源_01水果!$B363)&lt;$M$2,N(对接源_01水果!$B363)&gt;$M$3),0,1))</f>
        <v>0</v>
      </c>
      <c r="N363" s="3">
        <f>IF(OR($N$1="",对接源_01水果!$C363="",对接源_01水果!$C363&lt;&gt;$N$1,对接源_01水果!$B363=""),0,IF(OR(N(对接源_01水果!$B363)&lt;$N$2,N(对接源_01水果!$B363)&gt;$N$3),0,1))</f>
        <v>0</v>
      </c>
      <c r="P363" s="3">
        <f>IF(AND($K363=1,AND(对接源_01水果!$X363="公司筐",N(对接源_01水果!$T363)&lt;&gt;0)),1,0)</f>
        <v>0</v>
      </c>
      <c r="Q363" s="3">
        <f t="shared" si="96"/>
        <v>0</v>
      </c>
      <c r="R363" s="3">
        <f>IF(AND($K363=1,AND(对接源_01水果!$X363="公司筐",N(对接源_01水果!$U363)&lt;&gt;0)),1,0)</f>
        <v>0</v>
      </c>
      <c r="S363" s="3">
        <f t="shared" si="97"/>
        <v>0</v>
      </c>
      <c r="T363" s="3">
        <f>IF(AND($K363=1,AND(对接源_01水果!$X363="公司筐",N(对接源_01水果!$V363)&lt;&gt;0)),1,0)</f>
        <v>0</v>
      </c>
      <c r="U363" s="3">
        <f t="shared" si="98"/>
        <v>19</v>
      </c>
      <c r="V363" s="3">
        <f>IF(AND($L363=1,AND(对接源_01水果!$X363="自备筐",N(对接源_01水果!$V363)&lt;&gt;0)),1,0)</f>
        <v>0</v>
      </c>
      <c r="W363" s="3">
        <f t="shared" si="99"/>
        <v>8</v>
      </c>
      <c r="X363" s="3">
        <f>IF(AND($L363=1,AND(对接源_01水果!$X363="自备筐",N(对接源_01水果!$T363)&lt;&gt;0)),1,0)</f>
        <v>0</v>
      </c>
      <c r="Y363" s="3">
        <f t="shared" si="100"/>
        <v>0</v>
      </c>
      <c r="Z363" s="3">
        <f>IF(AND($M363=1,对接源_01水果!$D363="原料入库"),1,0)</f>
        <v>0</v>
      </c>
      <c r="AA363" s="3">
        <f t="shared" si="101"/>
        <v>24</v>
      </c>
      <c r="AB363" s="3">
        <f>IF(AND($M363=1,LEFT(对接源_01水果!$D363,4)="原料出库"),1,0)</f>
        <v>0</v>
      </c>
      <c r="AC363" s="3">
        <f t="shared" si="102"/>
        <v>0</v>
      </c>
      <c r="AD363" s="3">
        <f>IF(AND($M363=1,LEFT(对接源_01水果!$D363,4)="成品出库"),1,0)</f>
        <v>0</v>
      </c>
      <c r="AE363" s="3">
        <f t="shared" si="103"/>
        <v>0</v>
      </c>
      <c r="AF363" s="3">
        <f>IF(AND($N363=1,AND(LEFT(对接源_01水果!$D363,4)="包装物料",N(对接源_01水果!$K363)&lt;&gt;0)),1,0)</f>
        <v>0</v>
      </c>
      <c r="AG363" s="3">
        <f t="shared" si="104"/>
        <v>0</v>
      </c>
      <c r="AH363" s="3">
        <f>IF(AND($N363=1,AND(对接源_01水果!$D363="周转筐－销售出库",N(对接源_01水果!$K363)&lt;&gt;0)),1,0)</f>
        <v>0</v>
      </c>
      <c r="AI363" s="3">
        <f t="shared" si="105"/>
        <v>0</v>
      </c>
      <c r="AJ363" s="7"/>
      <c r="AL363" s="3">
        <f>IF(OR($AL$1="",对接源_01水果!$Y363="",对接源_01水果!$Y363&lt;&gt;$AL$1,对接源_01水果!$B363="",N(对接源_01水果!$AJ363)&lt;=0),0,IF(OR(N(对接源_01水果!$B363)&lt;$AL$2,N(对接源_01水果!$B363)&gt;$AL$3),0,1))</f>
        <v>0</v>
      </c>
      <c r="AM363" s="3">
        <f t="shared" si="106"/>
        <v>0</v>
      </c>
      <c r="AN363" s="3" t="str">
        <f>IF(对接源_01水果!$AC363="","",对接源_01水果!$AC363)</f>
        <v>电商/主播</v>
      </c>
      <c r="AO363" s="3">
        <f t="shared" si="107"/>
        <v>1</v>
      </c>
      <c r="AP363" s="3">
        <f t="shared" si="108"/>
        <v>1</v>
      </c>
      <c r="AR363">
        <f t="shared" si="109"/>
        <v>0</v>
      </c>
      <c r="AS363">
        <f t="shared" si="110"/>
        <v>0</v>
      </c>
    </row>
    <row r="364" ht="14.25" customHeight="1" spans="1:45">
      <c r="A364" s="3" t="str">
        <f>IF(对接源_01水果!$C364="","",对接源_01水果!$C364)</f>
        <v>王照雪</v>
      </c>
      <c r="B364" s="3">
        <f t="shared" si="94"/>
        <v>0</v>
      </c>
      <c r="C364" s="3">
        <f t="shared" si="95"/>
        <v>18</v>
      </c>
      <c r="K364" s="3">
        <f>IF(OR($K$1="",对接源_01水果!$C364="",对接源_01水果!$C364&lt;&gt;$K$1,对接源_01水果!$B364=""),0,IF(OR(N(对接源_01水果!$B364)&lt;$K$2,N(对接源_01水果!$B364)&gt;$K$3),0,1))</f>
        <v>0</v>
      </c>
      <c r="L364" s="3">
        <f>IF(OR($L$1="",对接源_01水果!$C364="",对接源_01水果!$C364&lt;&gt;$L$1,对接源_01水果!$B364=""),0,IF(OR(N(对接源_01水果!$B364)&lt;$L$2,N(对接源_01水果!$B364)&gt;$L$3),0,1))</f>
        <v>0</v>
      </c>
      <c r="M364" s="3">
        <f>IF(OR($M$1="",对接源_01水果!$C364="",对接源_01水果!$C364&lt;&gt;$M$1,对接源_01水果!$B364=""),0,IF(OR(N(对接源_01水果!$B364)&lt;$M$2,N(对接源_01水果!$B364)&gt;$M$3),0,1))</f>
        <v>0</v>
      </c>
      <c r="N364" s="3">
        <f>IF(OR($N$1="",对接源_01水果!$C364="",对接源_01水果!$C364&lt;&gt;$N$1,对接源_01水果!$B364=""),0,IF(OR(N(对接源_01水果!$B364)&lt;$N$2,N(对接源_01水果!$B364)&gt;$N$3),0,1))</f>
        <v>0</v>
      </c>
      <c r="P364" s="3">
        <f>IF(AND($K364=1,AND(对接源_01水果!$X364="公司筐",N(对接源_01水果!$T364)&lt;&gt;0)),1,0)</f>
        <v>0</v>
      </c>
      <c r="Q364" s="3">
        <f t="shared" si="96"/>
        <v>0</v>
      </c>
      <c r="R364" s="3">
        <f>IF(AND($K364=1,AND(对接源_01水果!$X364="公司筐",N(对接源_01水果!$U364)&lt;&gt;0)),1,0)</f>
        <v>0</v>
      </c>
      <c r="S364" s="3">
        <f t="shared" si="97"/>
        <v>0</v>
      </c>
      <c r="T364" s="3">
        <f>IF(AND($K364=1,AND(对接源_01水果!$X364="公司筐",N(对接源_01水果!$V364)&lt;&gt;0)),1,0)</f>
        <v>0</v>
      </c>
      <c r="U364" s="3">
        <f t="shared" si="98"/>
        <v>19</v>
      </c>
      <c r="V364" s="3">
        <f>IF(AND($L364=1,AND(对接源_01水果!$X364="自备筐",N(对接源_01水果!$V364)&lt;&gt;0)),1,0)</f>
        <v>0</v>
      </c>
      <c r="W364" s="3">
        <f t="shared" si="99"/>
        <v>8</v>
      </c>
      <c r="X364" s="3">
        <f>IF(AND($L364=1,AND(对接源_01水果!$X364="自备筐",N(对接源_01水果!$T364)&lt;&gt;0)),1,0)</f>
        <v>0</v>
      </c>
      <c r="Y364" s="3">
        <f t="shared" si="100"/>
        <v>0</v>
      </c>
      <c r="Z364" s="3">
        <f>IF(AND($M364=1,对接源_01水果!$D364="原料入库"),1,0)</f>
        <v>0</v>
      </c>
      <c r="AA364" s="3">
        <f t="shared" si="101"/>
        <v>24</v>
      </c>
      <c r="AB364" s="3">
        <f>IF(AND($M364=1,LEFT(对接源_01水果!$D364,4)="原料出库"),1,0)</f>
        <v>0</v>
      </c>
      <c r="AC364" s="3">
        <f t="shared" si="102"/>
        <v>0</v>
      </c>
      <c r="AD364" s="3">
        <f>IF(AND($M364=1,LEFT(对接源_01水果!$D364,4)="成品出库"),1,0)</f>
        <v>0</v>
      </c>
      <c r="AE364" s="3">
        <f t="shared" si="103"/>
        <v>0</v>
      </c>
      <c r="AF364" s="3">
        <f>IF(AND($N364=1,AND(LEFT(对接源_01水果!$D364,4)="包装物料",N(对接源_01水果!$K364)&lt;&gt;0)),1,0)</f>
        <v>0</v>
      </c>
      <c r="AG364" s="3">
        <f t="shared" si="104"/>
        <v>0</v>
      </c>
      <c r="AH364" s="3">
        <f>IF(AND($N364=1,AND(对接源_01水果!$D364="周转筐－销售出库",N(对接源_01水果!$K364)&lt;&gt;0)),1,0)</f>
        <v>0</v>
      </c>
      <c r="AI364" s="3">
        <f t="shared" si="105"/>
        <v>0</v>
      </c>
      <c r="AJ364" s="7"/>
      <c r="AL364" s="3">
        <f>IF(OR($AL$1="",对接源_01水果!$Y364="",对接源_01水果!$Y364&lt;&gt;$AL$1,对接源_01水果!$B364="",N(对接源_01水果!$AJ364)&lt;=0),0,IF(OR(N(对接源_01水果!$B364)&lt;$AL$2,N(对接源_01水果!$B364)&gt;$AL$3),0,1))</f>
        <v>0</v>
      </c>
      <c r="AM364" s="3">
        <f t="shared" si="106"/>
        <v>0</v>
      </c>
      <c r="AN364" s="3" t="str">
        <f>IF(对接源_01水果!$AC364="","",对接源_01水果!$AC364)</f>
        <v>电商/主播</v>
      </c>
      <c r="AO364" s="3">
        <f t="shared" si="107"/>
        <v>0</v>
      </c>
      <c r="AP364" s="3">
        <f t="shared" si="108"/>
        <v>1</v>
      </c>
      <c r="AR364">
        <f t="shared" si="109"/>
        <v>0</v>
      </c>
      <c r="AS364">
        <f t="shared" si="110"/>
        <v>0</v>
      </c>
    </row>
    <row r="365" ht="14.25" customHeight="1" spans="1:45">
      <c r="A365" s="3" t="str">
        <f>IF(对接源_01水果!$C365="","",对接源_01水果!$C365)</f>
        <v>王照雪</v>
      </c>
      <c r="B365" s="3">
        <f t="shared" si="94"/>
        <v>0</v>
      </c>
      <c r="C365" s="3">
        <f t="shared" si="95"/>
        <v>18</v>
      </c>
      <c r="K365" s="3">
        <f>IF(OR($K$1="",对接源_01水果!$C365="",对接源_01水果!$C365&lt;&gt;$K$1,对接源_01水果!$B365=""),0,IF(OR(N(对接源_01水果!$B365)&lt;$K$2,N(对接源_01水果!$B365)&gt;$K$3),0,1))</f>
        <v>0</v>
      </c>
      <c r="L365" s="3">
        <f>IF(OR($L$1="",对接源_01水果!$C365="",对接源_01水果!$C365&lt;&gt;$L$1,对接源_01水果!$B365=""),0,IF(OR(N(对接源_01水果!$B365)&lt;$L$2,N(对接源_01水果!$B365)&gt;$L$3),0,1))</f>
        <v>0</v>
      </c>
      <c r="M365" s="3">
        <f>IF(OR($M$1="",对接源_01水果!$C365="",对接源_01水果!$C365&lt;&gt;$M$1,对接源_01水果!$B365=""),0,IF(OR(N(对接源_01水果!$B365)&lt;$M$2,N(对接源_01水果!$B365)&gt;$M$3),0,1))</f>
        <v>0</v>
      </c>
      <c r="N365" s="3">
        <f>IF(OR($N$1="",对接源_01水果!$C365="",对接源_01水果!$C365&lt;&gt;$N$1,对接源_01水果!$B365=""),0,IF(OR(N(对接源_01水果!$B365)&lt;$N$2,N(对接源_01水果!$B365)&gt;$N$3),0,1))</f>
        <v>0</v>
      </c>
      <c r="P365" s="3">
        <f>IF(AND($K365=1,AND(对接源_01水果!$X365="公司筐",N(对接源_01水果!$T365)&lt;&gt;0)),1,0)</f>
        <v>0</v>
      </c>
      <c r="Q365" s="3">
        <f t="shared" si="96"/>
        <v>0</v>
      </c>
      <c r="R365" s="3">
        <f>IF(AND($K365=1,AND(对接源_01水果!$X365="公司筐",N(对接源_01水果!$U365)&lt;&gt;0)),1,0)</f>
        <v>0</v>
      </c>
      <c r="S365" s="3">
        <f t="shared" si="97"/>
        <v>0</v>
      </c>
      <c r="T365" s="3">
        <f>IF(AND($K365=1,AND(对接源_01水果!$X365="公司筐",N(对接源_01水果!$V365)&lt;&gt;0)),1,0)</f>
        <v>0</v>
      </c>
      <c r="U365" s="3">
        <f t="shared" si="98"/>
        <v>19</v>
      </c>
      <c r="V365" s="3">
        <f>IF(AND($L365=1,AND(对接源_01水果!$X365="自备筐",N(对接源_01水果!$V365)&lt;&gt;0)),1,0)</f>
        <v>0</v>
      </c>
      <c r="W365" s="3">
        <f t="shared" si="99"/>
        <v>8</v>
      </c>
      <c r="X365" s="3">
        <f>IF(AND($L365=1,AND(对接源_01水果!$X365="自备筐",N(对接源_01水果!$T365)&lt;&gt;0)),1,0)</f>
        <v>0</v>
      </c>
      <c r="Y365" s="3">
        <f t="shared" si="100"/>
        <v>0</v>
      </c>
      <c r="Z365" s="3">
        <f>IF(AND($M365=1,对接源_01水果!$D365="原料入库"),1,0)</f>
        <v>0</v>
      </c>
      <c r="AA365" s="3">
        <f t="shared" si="101"/>
        <v>24</v>
      </c>
      <c r="AB365" s="3">
        <f>IF(AND($M365=1,LEFT(对接源_01水果!$D365,4)="原料出库"),1,0)</f>
        <v>0</v>
      </c>
      <c r="AC365" s="3">
        <f t="shared" si="102"/>
        <v>0</v>
      </c>
      <c r="AD365" s="3">
        <f>IF(AND($M365=1,LEFT(对接源_01水果!$D365,4)="成品出库"),1,0)</f>
        <v>0</v>
      </c>
      <c r="AE365" s="3">
        <f t="shared" si="103"/>
        <v>0</v>
      </c>
      <c r="AF365" s="3">
        <f>IF(AND($N365=1,AND(LEFT(对接源_01水果!$D365,4)="包装物料",N(对接源_01水果!$K365)&lt;&gt;0)),1,0)</f>
        <v>0</v>
      </c>
      <c r="AG365" s="3">
        <f t="shared" si="104"/>
        <v>0</v>
      </c>
      <c r="AH365" s="3">
        <f>IF(AND($N365=1,AND(对接源_01水果!$D365="周转筐－销售出库",N(对接源_01水果!$K365)&lt;&gt;0)),1,0)</f>
        <v>0</v>
      </c>
      <c r="AI365" s="3">
        <f t="shared" si="105"/>
        <v>0</v>
      </c>
      <c r="AJ365" s="7"/>
      <c r="AL365" s="3">
        <f>IF(OR($AL$1="",对接源_01水果!$Y365="",对接源_01水果!$Y365&lt;&gt;$AL$1,对接源_01水果!$B365="",N(对接源_01水果!$AJ365)&lt;=0),0,IF(OR(N(对接源_01水果!$B365)&lt;$AL$2,N(对接源_01水果!$B365)&gt;$AL$3),0,1))</f>
        <v>0</v>
      </c>
      <c r="AM365" s="3">
        <f t="shared" si="106"/>
        <v>0</v>
      </c>
      <c r="AN365" s="3" t="str">
        <f>IF(对接源_01水果!$AC365="","",对接源_01水果!$AC365)</f>
        <v>电商/主播</v>
      </c>
      <c r="AO365" s="3">
        <f t="shared" si="107"/>
        <v>0</v>
      </c>
      <c r="AP365" s="3">
        <f t="shared" si="108"/>
        <v>1</v>
      </c>
      <c r="AR365">
        <f t="shared" si="109"/>
        <v>0</v>
      </c>
      <c r="AS365">
        <f t="shared" si="110"/>
        <v>0</v>
      </c>
    </row>
    <row r="366" ht="14.25" customHeight="1" spans="1:45">
      <c r="A366" s="3" t="str">
        <f>IF(对接源_01水果!$C366="","",对接源_01水果!$C366)</f>
        <v>王照雪</v>
      </c>
      <c r="B366" s="3">
        <f t="shared" si="94"/>
        <v>0</v>
      </c>
      <c r="C366" s="3">
        <f t="shared" si="95"/>
        <v>18</v>
      </c>
      <c r="K366" s="3">
        <f>IF(OR($K$1="",对接源_01水果!$C366="",对接源_01水果!$C366&lt;&gt;$K$1,对接源_01水果!$B366=""),0,IF(OR(N(对接源_01水果!$B366)&lt;$K$2,N(对接源_01水果!$B366)&gt;$K$3),0,1))</f>
        <v>0</v>
      </c>
      <c r="L366" s="3">
        <f>IF(OR($L$1="",对接源_01水果!$C366="",对接源_01水果!$C366&lt;&gt;$L$1,对接源_01水果!$B366=""),0,IF(OR(N(对接源_01水果!$B366)&lt;$L$2,N(对接源_01水果!$B366)&gt;$L$3),0,1))</f>
        <v>0</v>
      </c>
      <c r="M366" s="3">
        <f>IF(OR($M$1="",对接源_01水果!$C366="",对接源_01水果!$C366&lt;&gt;$M$1,对接源_01水果!$B366=""),0,IF(OR(N(对接源_01水果!$B366)&lt;$M$2,N(对接源_01水果!$B366)&gt;$M$3),0,1))</f>
        <v>0</v>
      </c>
      <c r="N366" s="3">
        <f>IF(OR($N$1="",对接源_01水果!$C366="",对接源_01水果!$C366&lt;&gt;$N$1,对接源_01水果!$B366=""),0,IF(OR(N(对接源_01水果!$B366)&lt;$N$2,N(对接源_01水果!$B366)&gt;$N$3),0,1))</f>
        <v>0</v>
      </c>
      <c r="P366" s="3">
        <f>IF(AND($K366=1,AND(对接源_01水果!$X366="公司筐",N(对接源_01水果!$T366)&lt;&gt;0)),1,0)</f>
        <v>0</v>
      </c>
      <c r="Q366" s="3">
        <f t="shared" si="96"/>
        <v>0</v>
      </c>
      <c r="R366" s="3">
        <f>IF(AND($K366=1,AND(对接源_01水果!$X366="公司筐",N(对接源_01水果!$U366)&lt;&gt;0)),1,0)</f>
        <v>0</v>
      </c>
      <c r="S366" s="3">
        <f t="shared" si="97"/>
        <v>0</v>
      </c>
      <c r="T366" s="3">
        <f>IF(AND($K366=1,AND(对接源_01水果!$X366="公司筐",N(对接源_01水果!$V366)&lt;&gt;0)),1,0)</f>
        <v>0</v>
      </c>
      <c r="U366" s="3">
        <f t="shared" si="98"/>
        <v>19</v>
      </c>
      <c r="V366" s="3">
        <f>IF(AND($L366=1,AND(对接源_01水果!$X366="自备筐",N(对接源_01水果!$V366)&lt;&gt;0)),1,0)</f>
        <v>0</v>
      </c>
      <c r="W366" s="3">
        <f t="shared" si="99"/>
        <v>8</v>
      </c>
      <c r="X366" s="3">
        <f>IF(AND($L366=1,AND(对接源_01水果!$X366="自备筐",N(对接源_01水果!$T366)&lt;&gt;0)),1,0)</f>
        <v>0</v>
      </c>
      <c r="Y366" s="3">
        <f t="shared" si="100"/>
        <v>0</v>
      </c>
      <c r="Z366" s="3">
        <f>IF(AND($M366=1,对接源_01水果!$D366="原料入库"),1,0)</f>
        <v>0</v>
      </c>
      <c r="AA366" s="3">
        <f t="shared" si="101"/>
        <v>24</v>
      </c>
      <c r="AB366" s="3">
        <f>IF(AND($M366=1,LEFT(对接源_01水果!$D366,4)="原料出库"),1,0)</f>
        <v>0</v>
      </c>
      <c r="AC366" s="3">
        <f t="shared" si="102"/>
        <v>0</v>
      </c>
      <c r="AD366" s="3">
        <f>IF(AND($M366=1,LEFT(对接源_01水果!$D366,4)="成品出库"),1,0)</f>
        <v>0</v>
      </c>
      <c r="AE366" s="3">
        <f t="shared" si="103"/>
        <v>0</v>
      </c>
      <c r="AF366" s="3">
        <f>IF(AND($N366=1,AND(LEFT(对接源_01水果!$D366,4)="包装物料",N(对接源_01水果!$K366)&lt;&gt;0)),1,0)</f>
        <v>0</v>
      </c>
      <c r="AG366" s="3">
        <f t="shared" si="104"/>
        <v>0</v>
      </c>
      <c r="AH366" s="3">
        <f>IF(AND($N366=1,AND(对接源_01水果!$D366="周转筐－销售出库",N(对接源_01水果!$K366)&lt;&gt;0)),1,0)</f>
        <v>0</v>
      </c>
      <c r="AI366" s="3">
        <f t="shared" si="105"/>
        <v>0</v>
      </c>
      <c r="AJ366" s="7"/>
      <c r="AL366" s="3">
        <f>IF(OR($AL$1="",对接源_01水果!$Y366="",对接源_01水果!$Y366&lt;&gt;$AL$1,对接源_01水果!$B366="",N(对接源_01水果!$AJ366)&lt;=0),0,IF(OR(N(对接源_01水果!$B366)&lt;$AL$2,N(对接源_01水果!$B366)&gt;$AL$3),0,1))</f>
        <v>0</v>
      </c>
      <c r="AM366" s="3">
        <f t="shared" si="106"/>
        <v>0</v>
      </c>
      <c r="AN366" s="3" t="str">
        <f>IF(对接源_01水果!$AC366="","",对接源_01水果!$AC366)</f>
        <v>电商/主播</v>
      </c>
      <c r="AO366" s="3">
        <f t="shared" si="107"/>
        <v>0</v>
      </c>
      <c r="AP366" s="3">
        <f t="shared" si="108"/>
        <v>1</v>
      </c>
      <c r="AR366">
        <f t="shared" si="109"/>
        <v>0</v>
      </c>
      <c r="AS366">
        <f t="shared" si="110"/>
        <v>0</v>
      </c>
    </row>
    <row r="367" ht="14.25" customHeight="1" spans="1:45">
      <c r="A367" s="3" t="str">
        <f>IF(对接源_01水果!$C367="","",对接源_01水果!$C367)</f>
        <v>王照雪</v>
      </c>
      <c r="B367" s="3">
        <f t="shared" si="94"/>
        <v>0</v>
      </c>
      <c r="C367" s="3">
        <f t="shared" si="95"/>
        <v>18</v>
      </c>
      <c r="K367" s="3">
        <f>IF(OR($K$1="",对接源_01水果!$C367="",对接源_01水果!$C367&lt;&gt;$K$1,对接源_01水果!$B367=""),0,IF(OR(N(对接源_01水果!$B367)&lt;$K$2,N(对接源_01水果!$B367)&gt;$K$3),0,1))</f>
        <v>0</v>
      </c>
      <c r="L367" s="3">
        <f>IF(OR($L$1="",对接源_01水果!$C367="",对接源_01水果!$C367&lt;&gt;$L$1,对接源_01水果!$B367=""),0,IF(OR(N(对接源_01水果!$B367)&lt;$L$2,N(对接源_01水果!$B367)&gt;$L$3),0,1))</f>
        <v>0</v>
      </c>
      <c r="M367" s="3">
        <f>IF(OR($M$1="",对接源_01水果!$C367="",对接源_01水果!$C367&lt;&gt;$M$1,对接源_01水果!$B367=""),0,IF(OR(N(对接源_01水果!$B367)&lt;$M$2,N(对接源_01水果!$B367)&gt;$M$3),0,1))</f>
        <v>0</v>
      </c>
      <c r="N367" s="3">
        <f>IF(OR($N$1="",对接源_01水果!$C367="",对接源_01水果!$C367&lt;&gt;$N$1,对接源_01水果!$B367=""),0,IF(OR(N(对接源_01水果!$B367)&lt;$N$2,N(对接源_01水果!$B367)&gt;$N$3),0,1))</f>
        <v>0</v>
      </c>
      <c r="P367" s="3">
        <f>IF(AND($K367=1,AND(对接源_01水果!$X367="公司筐",N(对接源_01水果!$T367)&lt;&gt;0)),1,0)</f>
        <v>0</v>
      </c>
      <c r="Q367" s="3">
        <f t="shared" si="96"/>
        <v>0</v>
      </c>
      <c r="R367" s="3">
        <f>IF(AND($K367=1,AND(对接源_01水果!$X367="公司筐",N(对接源_01水果!$U367)&lt;&gt;0)),1,0)</f>
        <v>0</v>
      </c>
      <c r="S367" s="3">
        <f t="shared" si="97"/>
        <v>0</v>
      </c>
      <c r="T367" s="3">
        <f>IF(AND($K367=1,AND(对接源_01水果!$X367="公司筐",N(对接源_01水果!$V367)&lt;&gt;0)),1,0)</f>
        <v>0</v>
      </c>
      <c r="U367" s="3">
        <f t="shared" si="98"/>
        <v>19</v>
      </c>
      <c r="V367" s="3">
        <f>IF(AND($L367=1,AND(对接源_01水果!$X367="自备筐",N(对接源_01水果!$V367)&lt;&gt;0)),1,0)</f>
        <v>0</v>
      </c>
      <c r="W367" s="3">
        <f t="shared" si="99"/>
        <v>8</v>
      </c>
      <c r="X367" s="3">
        <f>IF(AND($L367=1,AND(对接源_01水果!$X367="自备筐",N(对接源_01水果!$T367)&lt;&gt;0)),1,0)</f>
        <v>0</v>
      </c>
      <c r="Y367" s="3">
        <f t="shared" si="100"/>
        <v>0</v>
      </c>
      <c r="Z367" s="3">
        <f>IF(AND($M367=1,对接源_01水果!$D367="原料入库"),1,0)</f>
        <v>0</v>
      </c>
      <c r="AA367" s="3">
        <f t="shared" si="101"/>
        <v>24</v>
      </c>
      <c r="AB367" s="3">
        <f>IF(AND($M367=1,LEFT(对接源_01水果!$D367,4)="原料出库"),1,0)</f>
        <v>0</v>
      </c>
      <c r="AC367" s="3">
        <f t="shared" si="102"/>
        <v>0</v>
      </c>
      <c r="AD367" s="3">
        <f>IF(AND($M367=1,LEFT(对接源_01水果!$D367,4)="成品出库"),1,0)</f>
        <v>0</v>
      </c>
      <c r="AE367" s="3">
        <f t="shared" si="103"/>
        <v>0</v>
      </c>
      <c r="AF367" s="3">
        <f>IF(AND($N367=1,AND(LEFT(对接源_01水果!$D367,4)="包装物料",N(对接源_01水果!$K367)&lt;&gt;0)),1,0)</f>
        <v>0</v>
      </c>
      <c r="AG367" s="3">
        <f t="shared" si="104"/>
        <v>0</v>
      </c>
      <c r="AH367" s="3">
        <f>IF(AND($N367=1,AND(对接源_01水果!$D367="周转筐－销售出库",N(对接源_01水果!$K367)&lt;&gt;0)),1,0)</f>
        <v>0</v>
      </c>
      <c r="AI367" s="3">
        <f t="shared" si="105"/>
        <v>0</v>
      </c>
      <c r="AJ367" s="7"/>
      <c r="AL367" s="3">
        <f>IF(OR($AL$1="",对接源_01水果!$Y367="",对接源_01水果!$Y367&lt;&gt;$AL$1,对接源_01水果!$B367="",N(对接源_01水果!$AJ367)&lt;=0),0,IF(OR(N(对接源_01水果!$B367)&lt;$AL$2,N(对接源_01水果!$B367)&gt;$AL$3),0,1))</f>
        <v>0</v>
      </c>
      <c r="AM367" s="3">
        <f t="shared" si="106"/>
        <v>0</v>
      </c>
      <c r="AN367" s="3" t="str">
        <f>IF(对接源_01水果!$AC367="","",对接源_01水果!$AC367)</f>
        <v>电商/主播</v>
      </c>
      <c r="AO367" s="3">
        <f t="shared" si="107"/>
        <v>0</v>
      </c>
      <c r="AP367" s="3">
        <f t="shared" si="108"/>
        <v>1</v>
      </c>
      <c r="AR367">
        <f t="shared" si="109"/>
        <v>0</v>
      </c>
      <c r="AS367">
        <f t="shared" si="110"/>
        <v>0</v>
      </c>
    </row>
    <row r="368" ht="14.25" customHeight="1" spans="1:45">
      <c r="A368" s="3" t="str">
        <f>IF(对接源_01水果!$C368="","",对接源_01水果!$C368)</f>
        <v>王照雪</v>
      </c>
      <c r="B368" s="3">
        <f t="shared" si="94"/>
        <v>0</v>
      </c>
      <c r="C368" s="3">
        <f t="shared" si="95"/>
        <v>18</v>
      </c>
      <c r="K368" s="3">
        <f>IF(OR($K$1="",对接源_01水果!$C368="",对接源_01水果!$C368&lt;&gt;$K$1,对接源_01水果!$B368=""),0,IF(OR(N(对接源_01水果!$B368)&lt;$K$2,N(对接源_01水果!$B368)&gt;$K$3),0,1))</f>
        <v>0</v>
      </c>
      <c r="L368" s="3">
        <f>IF(OR($L$1="",对接源_01水果!$C368="",对接源_01水果!$C368&lt;&gt;$L$1,对接源_01水果!$B368=""),0,IF(OR(N(对接源_01水果!$B368)&lt;$L$2,N(对接源_01水果!$B368)&gt;$L$3),0,1))</f>
        <v>0</v>
      </c>
      <c r="M368" s="3">
        <f>IF(OR($M$1="",对接源_01水果!$C368="",对接源_01水果!$C368&lt;&gt;$M$1,对接源_01水果!$B368=""),0,IF(OR(N(对接源_01水果!$B368)&lt;$M$2,N(对接源_01水果!$B368)&gt;$M$3),0,1))</f>
        <v>0</v>
      </c>
      <c r="N368" s="3">
        <f>IF(OR($N$1="",对接源_01水果!$C368="",对接源_01水果!$C368&lt;&gt;$N$1,对接源_01水果!$B368=""),0,IF(OR(N(对接源_01水果!$B368)&lt;$N$2,N(对接源_01水果!$B368)&gt;$N$3),0,1))</f>
        <v>0</v>
      </c>
      <c r="P368" s="3">
        <f>IF(AND($K368=1,AND(对接源_01水果!$X368="公司筐",N(对接源_01水果!$T368)&lt;&gt;0)),1,0)</f>
        <v>0</v>
      </c>
      <c r="Q368" s="3">
        <f t="shared" si="96"/>
        <v>0</v>
      </c>
      <c r="R368" s="3">
        <f>IF(AND($K368=1,AND(对接源_01水果!$X368="公司筐",N(对接源_01水果!$U368)&lt;&gt;0)),1,0)</f>
        <v>0</v>
      </c>
      <c r="S368" s="3">
        <f t="shared" si="97"/>
        <v>0</v>
      </c>
      <c r="T368" s="3">
        <f>IF(AND($K368=1,AND(对接源_01水果!$X368="公司筐",N(对接源_01水果!$V368)&lt;&gt;0)),1,0)</f>
        <v>0</v>
      </c>
      <c r="U368" s="3">
        <f t="shared" si="98"/>
        <v>19</v>
      </c>
      <c r="V368" s="3">
        <f>IF(AND($L368=1,AND(对接源_01水果!$X368="自备筐",N(对接源_01水果!$V368)&lt;&gt;0)),1,0)</f>
        <v>0</v>
      </c>
      <c r="W368" s="3">
        <f t="shared" si="99"/>
        <v>8</v>
      </c>
      <c r="X368" s="3">
        <f>IF(AND($L368=1,AND(对接源_01水果!$X368="自备筐",N(对接源_01水果!$T368)&lt;&gt;0)),1,0)</f>
        <v>0</v>
      </c>
      <c r="Y368" s="3">
        <f t="shared" si="100"/>
        <v>0</v>
      </c>
      <c r="Z368" s="3">
        <f>IF(AND($M368=1,对接源_01水果!$D368="原料入库"),1,0)</f>
        <v>0</v>
      </c>
      <c r="AA368" s="3">
        <f t="shared" si="101"/>
        <v>24</v>
      </c>
      <c r="AB368" s="3">
        <f>IF(AND($M368=1,LEFT(对接源_01水果!$D368,4)="原料出库"),1,0)</f>
        <v>0</v>
      </c>
      <c r="AC368" s="3">
        <f t="shared" si="102"/>
        <v>0</v>
      </c>
      <c r="AD368" s="3">
        <f>IF(AND($M368=1,LEFT(对接源_01水果!$D368,4)="成品出库"),1,0)</f>
        <v>0</v>
      </c>
      <c r="AE368" s="3">
        <f t="shared" si="103"/>
        <v>0</v>
      </c>
      <c r="AF368" s="3">
        <f>IF(AND($N368=1,AND(LEFT(对接源_01水果!$D368,4)="包装物料",N(对接源_01水果!$K368)&lt;&gt;0)),1,0)</f>
        <v>0</v>
      </c>
      <c r="AG368" s="3">
        <f t="shared" si="104"/>
        <v>0</v>
      </c>
      <c r="AH368" s="3">
        <f>IF(AND($N368=1,AND(对接源_01水果!$D368="周转筐－销售出库",N(对接源_01水果!$K368)&lt;&gt;0)),1,0)</f>
        <v>0</v>
      </c>
      <c r="AI368" s="3">
        <f t="shared" si="105"/>
        <v>0</v>
      </c>
      <c r="AJ368" s="7"/>
      <c r="AL368" s="3">
        <f>IF(OR($AL$1="",对接源_01水果!$Y368="",对接源_01水果!$Y368&lt;&gt;$AL$1,对接源_01水果!$B368="",N(对接源_01水果!$AJ368)&lt;=0),0,IF(OR(N(对接源_01水果!$B368)&lt;$AL$2,N(对接源_01水果!$B368)&gt;$AL$3),0,1))</f>
        <v>0</v>
      </c>
      <c r="AM368" s="3">
        <f t="shared" si="106"/>
        <v>0</v>
      </c>
      <c r="AN368" s="3" t="str">
        <f>IF(对接源_01水果!$AC368="","",对接源_01水果!$AC368)</f>
        <v>电商/主播</v>
      </c>
      <c r="AO368" s="3">
        <f t="shared" si="107"/>
        <v>0</v>
      </c>
      <c r="AP368" s="3">
        <f t="shared" si="108"/>
        <v>1</v>
      </c>
      <c r="AR368">
        <f t="shared" si="109"/>
        <v>0</v>
      </c>
      <c r="AS368">
        <f t="shared" si="110"/>
        <v>0</v>
      </c>
    </row>
    <row r="369" ht="14.25" customHeight="1" spans="1:45">
      <c r="A369" s="3" t="str">
        <f>IF(对接源_01水果!$C369="","",对接源_01水果!$C369)</f>
        <v>王照雪</v>
      </c>
      <c r="B369" s="3">
        <f t="shared" si="94"/>
        <v>0</v>
      </c>
      <c r="C369" s="3">
        <f t="shared" si="95"/>
        <v>18</v>
      </c>
      <c r="K369" s="3">
        <f>IF(OR($K$1="",对接源_01水果!$C369="",对接源_01水果!$C369&lt;&gt;$K$1,对接源_01水果!$B369=""),0,IF(OR(N(对接源_01水果!$B369)&lt;$K$2,N(对接源_01水果!$B369)&gt;$K$3),0,1))</f>
        <v>0</v>
      </c>
      <c r="L369" s="3">
        <f>IF(OR($L$1="",对接源_01水果!$C369="",对接源_01水果!$C369&lt;&gt;$L$1,对接源_01水果!$B369=""),0,IF(OR(N(对接源_01水果!$B369)&lt;$L$2,N(对接源_01水果!$B369)&gt;$L$3),0,1))</f>
        <v>0</v>
      </c>
      <c r="M369" s="3">
        <f>IF(OR($M$1="",对接源_01水果!$C369="",对接源_01水果!$C369&lt;&gt;$M$1,对接源_01水果!$B369=""),0,IF(OR(N(对接源_01水果!$B369)&lt;$M$2,N(对接源_01水果!$B369)&gt;$M$3),0,1))</f>
        <v>0</v>
      </c>
      <c r="N369" s="3">
        <f>IF(OR($N$1="",对接源_01水果!$C369="",对接源_01水果!$C369&lt;&gt;$N$1,对接源_01水果!$B369=""),0,IF(OR(N(对接源_01水果!$B369)&lt;$N$2,N(对接源_01水果!$B369)&gt;$N$3),0,1))</f>
        <v>0</v>
      </c>
      <c r="P369" s="3">
        <f>IF(AND($K369=1,AND(对接源_01水果!$X369="公司筐",N(对接源_01水果!$T369)&lt;&gt;0)),1,0)</f>
        <v>0</v>
      </c>
      <c r="Q369" s="3">
        <f t="shared" si="96"/>
        <v>0</v>
      </c>
      <c r="R369" s="3">
        <f>IF(AND($K369=1,AND(对接源_01水果!$X369="公司筐",N(对接源_01水果!$U369)&lt;&gt;0)),1,0)</f>
        <v>0</v>
      </c>
      <c r="S369" s="3">
        <f t="shared" si="97"/>
        <v>0</v>
      </c>
      <c r="T369" s="3">
        <f>IF(AND($K369=1,AND(对接源_01水果!$X369="公司筐",N(对接源_01水果!$V369)&lt;&gt;0)),1,0)</f>
        <v>0</v>
      </c>
      <c r="U369" s="3">
        <f t="shared" si="98"/>
        <v>19</v>
      </c>
      <c r="V369" s="3">
        <f>IF(AND($L369=1,AND(对接源_01水果!$X369="自备筐",N(对接源_01水果!$V369)&lt;&gt;0)),1,0)</f>
        <v>0</v>
      </c>
      <c r="W369" s="3">
        <f t="shared" si="99"/>
        <v>8</v>
      </c>
      <c r="X369" s="3">
        <f>IF(AND($L369=1,AND(对接源_01水果!$X369="自备筐",N(对接源_01水果!$T369)&lt;&gt;0)),1,0)</f>
        <v>0</v>
      </c>
      <c r="Y369" s="3">
        <f t="shared" si="100"/>
        <v>0</v>
      </c>
      <c r="Z369" s="3">
        <f>IF(AND($M369=1,对接源_01水果!$D369="原料入库"),1,0)</f>
        <v>0</v>
      </c>
      <c r="AA369" s="3">
        <f t="shared" si="101"/>
        <v>24</v>
      </c>
      <c r="AB369" s="3">
        <f>IF(AND($M369=1,LEFT(对接源_01水果!$D369,4)="原料出库"),1,0)</f>
        <v>0</v>
      </c>
      <c r="AC369" s="3">
        <f t="shared" si="102"/>
        <v>0</v>
      </c>
      <c r="AD369" s="3">
        <f>IF(AND($M369=1,LEFT(对接源_01水果!$D369,4)="成品出库"),1,0)</f>
        <v>0</v>
      </c>
      <c r="AE369" s="3">
        <f t="shared" si="103"/>
        <v>0</v>
      </c>
      <c r="AF369" s="3">
        <f>IF(AND($N369=1,AND(LEFT(对接源_01水果!$D369,4)="包装物料",N(对接源_01水果!$K369)&lt;&gt;0)),1,0)</f>
        <v>0</v>
      </c>
      <c r="AG369" s="3">
        <f t="shared" si="104"/>
        <v>0</v>
      </c>
      <c r="AH369" s="3">
        <f>IF(AND($N369=1,AND(对接源_01水果!$D369="周转筐－销售出库",N(对接源_01水果!$K369)&lt;&gt;0)),1,0)</f>
        <v>0</v>
      </c>
      <c r="AI369" s="3">
        <f t="shared" si="105"/>
        <v>0</v>
      </c>
      <c r="AJ369" s="7"/>
      <c r="AL369" s="3">
        <f>IF(OR($AL$1="",对接源_01水果!$Y369="",对接源_01水果!$Y369&lt;&gt;$AL$1,对接源_01水果!$B369="",N(对接源_01水果!$AJ369)&lt;=0),0,IF(OR(N(对接源_01水果!$B369)&lt;$AL$2,N(对接源_01水果!$B369)&gt;$AL$3),0,1))</f>
        <v>0</v>
      </c>
      <c r="AM369" s="3">
        <f t="shared" si="106"/>
        <v>0</v>
      </c>
      <c r="AN369" s="3" t="str">
        <f>IF(对接源_01水果!$AC369="","",对接源_01水果!$AC369)</f>
        <v>电商/主播</v>
      </c>
      <c r="AO369" s="3">
        <f t="shared" si="107"/>
        <v>0</v>
      </c>
      <c r="AP369" s="3">
        <f t="shared" si="108"/>
        <v>1</v>
      </c>
      <c r="AR369">
        <f t="shared" si="109"/>
        <v>0</v>
      </c>
      <c r="AS369">
        <f t="shared" si="110"/>
        <v>0</v>
      </c>
    </row>
    <row r="370" ht="14.25" customHeight="1" spans="1:45">
      <c r="A370" s="3" t="str">
        <f>IF(对接源_01水果!$C370="","",对接源_01水果!$C370)</f>
        <v>王照雪</v>
      </c>
      <c r="B370" s="3">
        <f t="shared" si="94"/>
        <v>0</v>
      </c>
      <c r="C370" s="3">
        <f t="shared" si="95"/>
        <v>18</v>
      </c>
      <c r="K370" s="3">
        <f>IF(OR($K$1="",对接源_01水果!$C370="",对接源_01水果!$C370&lt;&gt;$K$1,对接源_01水果!$B370=""),0,IF(OR(N(对接源_01水果!$B370)&lt;$K$2,N(对接源_01水果!$B370)&gt;$K$3),0,1))</f>
        <v>0</v>
      </c>
      <c r="L370" s="3">
        <f>IF(OR($L$1="",对接源_01水果!$C370="",对接源_01水果!$C370&lt;&gt;$L$1,对接源_01水果!$B370=""),0,IF(OR(N(对接源_01水果!$B370)&lt;$L$2,N(对接源_01水果!$B370)&gt;$L$3),0,1))</f>
        <v>0</v>
      </c>
      <c r="M370" s="3">
        <f>IF(OR($M$1="",对接源_01水果!$C370="",对接源_01水果!$C370&lt;&gt;$M$1,对接源_01水果!$B370=""),0,IF(OR(N(对接源_01水果!$B370)&lt;$M$2,N(对接源_01水果!$B370)&gt;$M$3),0,1))</f>
        <v>0</v>
      </c>
      <c r="N370" s="3">
        <f>IF(OR($N$1="",对接源_01水果!$C370="",对接源_01水果!$C370&lt;&gt;$N$1,对接源_01水果!$B370=""),0,IF(OR(N(对接源_01水果!$B370)&lt;$N$2,N(对接源_01水果!$B370)&gt;$N$3),0,1))</f>
        <v>0</v>
      </c>
      <c r="P370" s="3">
        <f>IF(AND($K370=1,AND(对接源_01水果!$X370="公司筐",N(对接源_01水果!$T370)&lt;&gt;0)),1,0)</f>
        <v>0</v>
      </c>
      <c r="Q370" s="3">
        <f t="shared" si="96"/>
        <v>0</v>
      </c>
      <c r="R370" s="3">
        <f>IF(AND($K370=1,AND(对接源_01水果!$X370="公司筐",N(对接源_01水果!$U370)&lt;&gt;0)),1,0)</f>
        <v>0</v>
      </c>
      <c r="S370" s="3">
        <f t="shared" si="97"/>
        <v>0</v>
      </c>
      <c r="T370" s="3">
        <f>IF(AND($K370=1,AND(对接源_01水果!$X370="公司筐",N(对接源_01水果!$V370)&lt;&gt;0)),1,0)</f>
        <v>0</v>
      </c>
      <c r="U370" s="3">
        <f t="shared" si="98"/>
        <v>19</v>
      </c>
      <c r="V370" s="3">
        <f>IF(AND($L370=1,AND(对接源_01水果!$X370="自备筐",N(对接源_01水果!$V370)&lt;&gt;0)),1,0)</f>
        <v>0</v>
      </c>
      <c r="W370" s="3">
        <f t="shared" si="99"/>
        <v>8</v>
      </c>
      <c r="X370" s="3">
        <f>IF(AND($L370=1,AND(对接源_01水果!$X370="自备筐",N(对接源_01水果!$T370)&lt;&gt;0)),1,0)</f>
        <v>0</v>
      </c>
      <c r="Y370" s="3">
        <f t="shared" si="100"/>
        <v>0</v>
      </c>
      <c r="Z370" s="3">
        <f>IF(AND($M370=1,对接源_01水果!$D370="原料入库"),1,0)</f>
        <v>0</v>
      </c>
      <c r="AA370" s="3">
        <f t="shared" si="101"/>
        <v>24</v>
      </c>
      <c r="AB370" s="3">
        <f>IF(AND($M370=1,LEFT(对接源_01水果!$D370,4)="原料出库"),1,0)</f>
        <v>0</v>
      </c>
      <c r="AC370" s="3">
        <f t="shared" si="102"/>
        <v>0</v>
      </c>
      <c r="AD370" s="3">
        <f>IF(AND($M370=1,LEFT(对接源_01水果!$D370,4)="成品出库"),1,0)</f>
        <v>0</v>
      </c>
      <c r="AE370" s="3">
        <f t="shared" si="103"/>
        <v>0</v>
      </c>
      <c r="AF370" s="3">
        <f>IF(AND($N370=1,AND(LEFT(对接源_01水果!$D370,4)="包装物料",N(对接源_01水果!$K370)&lt;&gt;0)),1,0)</f>
        <v>0</v>
      </c>
      <c r="AG370" s="3">
        <f t="shared" si="104"/>
        <v>0</v>
      </c>
      <c r="AH370" s="3">
        <f>IF(AND($N370=1,AND(对接源_01水果!$D370="周转筐－销售出库",N(对接源_01水果!$K370)&lt;&gt;0)),1,0)</f>
        <v>0</v>
      </c>
      <c r="AI370" s="3">
        <f t="shared" si="105"/>
        <v>0</v>
      </c>
      <c r="AJ370" s="7"/>
      <c r="AL370" s="3">
        <f>IF(OR($AL$1="",对接源_01水果!$Y370="",对接源_01水果!$Y370&lt;&gt;$AL$1,对接源_01水果!$B370="",N(对接源_01水果!$AJ370)&lt;=0),0,IF(OR(N(对接源_01水果!$B370)&lt;$AL$2,N(对接源_01水果!$B370)&gt;$AL$3),0,1))</f>
        <v>0</v>
      </c>
      <c r="AM370" s="3">
        <f t="shared" si="106"/>
        <v>0</v>
      </c>
      <c r="AN370" s="3" t="str">
        <f>IF(对接源_01水果!$AC370="","",对接源_01水果!$AC370)</f>
        <v>电商/主播</v>
      </c>
      <c r="AO370" s="3">
        <f t="shared" si="107"/>
        <v>0</v>
      </c>
      <c r="AP370" s="3">
        <f t="shared" si="108"/>
        <v>1</v>
      </c>
      <c r="AR370">
        <f t="shared" si="109"/>
        <v>0</v>
      </c>
      <c r="AS370">
        <f t="shared" si="110"/>
        <v>0</v>
      </c>
    </row>
    <row r="371" ht="14.25" customHeight="1" spans="1:45">
      <c r="A371" s="3" t="str">
        <f>IF(对接源_01水果!$C371="","",对接源_01水果!$C371)</f>
        <v>王照雪</v>
      </c>
      <c r="B371" s="3">
        <f t="shared" si="94"/>
        <v>0</v>
      </c>
      <c r="C371" s="3">
        <f t="shared" si="95"/>
        <v>18</v>
      </c>
      <c r="K371" s="3">
        <f>IF(OR($K$1="",对接源_01水果!$C371="",对接源_01水果!$C371&lt;&gt;$K$1,对接源_01水果!$B371=""),0,IF(OR(N(对接源_01水果!$B371)&lt;$K$2,N(对接源_01水果!$B371)&gt;$K$3),0,1))</f>
        <v>0</v>
      </c>
      <c r="L371" s="3">
        <f>IF(OR($L$1="",对接源_01水果!$C371="",对接源_01水果!$C371&lt;&gt;$L$1,对接源_01水果!$B371=""),0,IF(OR(N(对接源_01水果!$B371)&lt;$L$2,N(对接源_01水果!$B371)&gt;$L$3),0,1))</f>
        <v>0</v>
      </c>
      <c r="M371" s="3">
        <f>IF(OR($M$1="",对接源_01水果!$C371="",对接源_01水果!$C371&lt;&gt;$M$1,对接源_01水果!$B371=""),0,IF(OR(N(对接源_01水果!$B371)&lt;$M$2,N(对接源_01水果!$B371)&gt;$M$3),0,1))</f>
        <v>0</v>
      </c>
      <c r="N371" s="3">
        <f>IF(OR($N$1="",对接源_01水果!$C371="",对接源_01水果!$C371&lt;&gt;$N$1,对接源_01水果!$B371=""),0,IF(OR(N(对接源_01水果!$B371)&lt;$N$2,N(对接源_01水果!$B371)&gt;$N$3),0,1))</f>
        <v>0</v>
      </c>
      <c r="P371" s="3">
        <f>IF(AND($K371=1,AND(对接源_01水果!$X371="公司筐",N(对接源_01水果!$T371)&lt;&gt;0)),1,0)</f>
        <v>0</v>
      </c>
      <c r="Q371" s="3">
        <f t="shared" si="96"/>
        <v>0</v>
      </c>
      <c r="R371" s="3">
        <f>IF(AND($K371=1,AND(对接源_01水果!$X371="公司筐",N(对接源_01水果!$U371)&lt;&gt;0)),1,0)</f>
        <v>0</v>
      </c>
      <c r="S371" s="3">
        <f t="shared" si="97"/>
        <v>0</v>
      </c>
      <c r="T371" s="3">
        <f>IF(AND($K371=1,AND(对接源_01水果!$X371="公司筐",N(对接源_01水果!$V371)&lt;&gt;0)),1,0)</f>
        <v>0</v>
      </c>
      <c r="U371" s="3">
        <f t="shared" si="98"/>
        <v>19</v>
      </c>
      <c r="V371" s="3">
        <f>IF(AND($L371=1,AND(对接源_01水果!$X371="自备筐",N(对接源_01水果!$V371)&lt;&gt;0)),1,0)</f>
        <v>0</v>
      </c>
      <c r="W371" s="3">
        <f t="shared" si="99"/>
        <v>8</v>
      </c>
      <c r="X371" s="3">
        <f>IF(AND($L371=1,AND(对接源_01水果!$X371="自备筐",N(对接源_01水果!$T371)&lt;&gt;0)),1,0)</f>
        <v>0</v>
      </c>
      <c r="Y371" s="3">
        <f t="shared" si="100"/>
        <v>0</v>
      </c>
      <c r="Z371" s="3">
        <f>IF(AND($M371=1,对接源_01水果!$D371="原料入库"),1,0)</f>
        <v>0</v>
      </c>
      <c r="AA371" s="3">
        <f t="shared" si="101"/>
        <v>24</v>
      </c>
      <c r="AB371" s="3">
        <f>IF(AND($M371=1,LEFT(对接源_01水果!$D371,4)="原料出库"),1,0)</f>
        <v>0</v>
      </c>
      <c r="AC371" s="3">
        <f t="shared" si="102"/>
        <v>0</v>
      </c>
      <c r="AD371" s="3">
        <f>IF(AND($M371=1,LEFT(对接源_01水果!$D371,4)="成品出库"),1,0)</f>
        <v>0</v>
      </c>
      <c r="AE371" s="3">
        <f t="shared" si="103"/>
        <v>0</v>
      </c>
      <c r="AF371" s="3">
        <f>IF(AND($N371=1,AND(LEFT(对接源_01水果!$D371,4)="包装物料",N(对接源_01水果!$K371)&lt;&gt;0)),1,0)</f>
        <v>0</v>
      </c>
      <c r="AG371" s="3">
        <f t="shared" si="104"/>
        <v>0</v>
      </c>
      <c r="AH371" s="3">
        <f>IF(AND($N371=1,AND(对接源_01水果!$D371="周转筐－销售出库",N(对接源_01水果!$K371)&lt;&gt;0)),1,0)</f>
        <v>0</v>
      </c>
      <c r="AI371" s="3">
        <f t="shared" si="105"/>
        <v>0</v>
      </c>
      <c r="AJ371" s="7"/>
      <c r="AL371" s="3">
        <f>IF(OR($AL$1="",对接源_01水果!$Y371="",对接源_01水果!$Y371&lt;&gt;$AL$1,对接源_01水果!$B371="",N(对接源_01水果!$AJ371)&lt;=0),0,IF(OR(N(对接源_01水果!$B371)&lt;$AL$2,N(对接源_01水果!$B371)&gt;$AL$3),0,1))</f>
        <v>0</v>
      </c>
      <c r="AM371" s="3">
        <f t="shared" si="106"/>
        <v>0</v>
      </c>
      <c r="AN371" s="3" t="str">
        <f>IF(对接源_01水果!$AC371="","",对接源_01水果!$AC371)</f>
        <v>电商/主播</v>
      </c>
      <c r="AO371" s="3">
        <f t="shared" si="107"/>
        <v>0</v>
      </c>
      <c r="AP371" s="3">
        <f t="shared" si="108"/>
        <v>1</v>
      </c>
      <c r="AR371">
        <f t="shared" si="109"/>
        <v>0</v>
      </c>
      <c r="AS371">
        <f t="shared" si="110"/>
        <v>0</v>
      </c>
    </row>
    <row r="372" ht="14.25" customHeight="1" spans="1:45">
      <c r="A372" s="3" t="str">
        <f>IF(对接源_01水果!$C372="","",对接源_01水果!$C372)</f>
        <v>王照雪</v>
      </c>
      <c r="B372" s="3">
        <f t="shared" si="94"/>
        <v>0</v>
      </c>
      <c r="C372" s="3">
        <f t="shared" si="95"/>
        <v>18</v>
      </c>
      <c r="K372" s="3">
        <f>IF(OR($K$1="",对接源_01水果!$C372="",对接源_01水果!$C372&lt;&gt;$K$1,对接源_01水果!$B372=""),0,IF(OR(N(对接源_01水果!$B372)&lt;$K$2,N(对接源_01水果!$B372)&gt;$K$3),0,1))</f>
        <v>0</v>
      </c>
      <c r="L372" s="3">
        <f>IF(OR($L$1="",对接源_01水果!$C372="",对接源_01水果!$C372&lt;&gt;$L$1,对接源_01水果!$B372=""),0,IF(OR(N(对接源_01水果!$B372)&lt;$L$2,N(对接源_01水果!$B372)&gt;$L$3),0,1))</f>
        <v>0</v>
      </c>
      <c r="M372" s="3">
        <f>IF(OR($M$1="",对接源_01水果!$C372="",对接源_01水果!$C372&lt;&gt;$M$1,对接源_01水果!$B372=""),0,IF(OR(N(对接源_01水果!$B372)&lt;$M$2,N(对接源_01水果!$B372)&gt;$M$3),0,1))</f>
        <v>0</v>
      </c>
      <c r="N372" s="3">
        <f>IF(OR($N$1="",对接源_01水果!$C372="",对接源_01水果!$C372&lt;&gt;$N$1,对接源_01水果!$B372=""),0,IF(OR(N(对接源_01水果!$B372)&lt;$N$2,N(对接源_01水果!$B372)&gt;$N$3),0,1))</f>
        <v>0</v>
      </c>
      <c r="P372" s="3">
        <f>IF(AND($K372=1,AND(对接源_01水果!$X372="公司筐",N(对接源_01水果!$T372)&lt;&gt;0)),1,0)</f>
        <v>0</v>
      </c>
      <c r="Q372" s="3">
        <f t="shared" si="96"/>
        <v>0</v>
      </c>
      <c r="R372" s="3">
        <f>IF(AND($K372=1,AND(对接源_01水果!$X372="公司筐",N(对接源_01水果!$U372)&lt;&gt;0)),1,0)</f>
        <v>0</v>
      </c>
      <c r="S372" s="3">
        <f t="shared" si="97"/>
        <v>0</v>
      </c>
      <c r="T372" s="3">
        <f>IF(AND($K372=1,AND(对接源_01水果!$X372="公司筐",N(对接源_01水果!$V372)&lt;&gt;0)),1,0)</f>
        <v>0</v>
      </c>
      <c r="U372" s="3">
        <f t="shared" si="98"/>
        <v>19</v>
      </c>
      <c r="V372" s="3">
        <f>IF(AND($L372=1,AND(对接源_01水果!$X372="自备筐",N(对接源_01水果!$V372)&lt;&gt;0)),1,0)</f>
        <v>0</v>
      </c>
      <c r="W372" s="3">
        <f t="shared" si="99"/>
        <v>8</v>
      </c>
      <c r="X372" s="3">
        <f>IF(AND($L372=1,AND(对接源_01水果!$X372="自备筐",N(对接源_01水果!$T372)&lt;&gt;0)),1,0)</f>
        <v>0</v>
      </c>
      <c r="Y372" s="3">
        <f t="shared" si="100"/>
        <v>0</v>
      </c>
      <c r="Z372" s="3">
        <f>IF(AND($M372=1,对接源_01水果!$D372="原料入库"),1,0)</f>
        <v>0</v>
      </c>
      <c r="AA372" s="3">
        <f t="shared" si="101"/>
        <v>24</v>
      </c>
      <c r="AB372" s="3">
        <f>IF(AND($M372=1,LEFT(对接源_01水果!$D372,4)="原料出库"),1,0)</f>
        <v>0</v>
      </c>
      <c r="AC372" s="3">
        <f t="shared" si="102"/>
        <v>0</v>
      </c>
      <c r="AD372" s="3">
        <f>IF(AND($M372=1,LEFT(对接源_01水果!$D372,4)="成品出库"),1,0)</f>
        <v>0</v>
      </c>
      <c r="AE372" s="3">
        <f t="shared" si="103"/>
        <v>0</v>
      </c>
      <c r="AF372" s="3">
        <f>IF(AND($N372=1,AND(LEFT(对接源_01水果!$D372,4)="包装物料",N(对接源_01水果!$K372)&lt;&gt;0)),1,0)</f>
        <v>0</v>
      </c>
      <c r="AG372" s="3">
        <f t="shared" si="104"/>
        <v>0</v>
      </c>
      <c r="AH372" s="3">
        <f>IF(AND($N372=1,AND(对接源_01水果!$D372="周转筐－销售出库",N(对接源_01水果!$K372)&lt;&gt;0)),1,0)</f>
        <v>0</v>
      </c>
      <c r="AI372" s="3">
        <f t="shared" si="105"/>
        <v>0</v>
      </c>
      <c r="AJ372" s="7"/>
      <c r="AL372" s="3">
        <f>IF(OR($AL$1="",对接源_01水果!$Y372="",对接源_01水果!$Y372&lt;&gt;$AL$1,对接源_01水果!$B372="",N(对接源_01水果!$AJ372)&lt;=0),0,IF(OR(N(对接源_01水果!$B372)&lt;$AL$2,N(对接源_01水果!$B372)&gt;$AL$3),0,1))</f>
        <v>0</v>
      </c>
      <c r="AM372" s="3">
        <f t="shared" si="106"/>
        <v>0</v>
      </c>
      <c r="AN372" s="3" t="str">
        <f>IF(对接源_01水果!$AC372="","",对接源_01水果!$AC372)</f>
        <v>电商/主播</v>
      </c>
      <c r="AO372" s="3">
        <f t="shared" si="107"/>
        <v>0</v>
      </c>
      <c r="AP372" s="3">
        <f t="shared" si="108"/>
        <v>1</v>
      </c>
      <c r="AR372">
        <f t="shared" si="109"/>
        <v>0</v>
      </c>
      <c r="AS372">
        <f t="shared" si="110"/>
        <v>0</v>
      </c>
    </row>
    <row r="373" ht="14.25" customHeight="1" spans="1:45">
      <c r="A373" s="3" t="str">
        <f>IF(对接源_01水果!$C373="","",对接源_01水果!$C373)</f>
        <v>王照雪</v>
      </c>
      <c r="B373" s="3">
        <f t="shared" si="94"/>
        <v>0</v>
      </c>
      <c r="C373" s="3">
        <f t="shared" si="95"/>
        <v>18</v>
      </c>
      <c r="K373" s="3">
        <f>IF(OR($K$1="",对接源_01水果!$C373="",对接源_01水果!$C373&lt;&gt;$K$1,对接源_01水果!$B373=""),0,IF(OR(N(对接源_01水果!$B373)&lt;$K$2,N(对接源_01水果!$B373)&gt;$K$3),0,1))</f>
        <v>0</v>
      </c>
      <c r="L373" s="3">
        <f>IF(OR($L$1="",对接源_01水果!$C373="",对接源_01水果!$C373&lt;&gt;$L$1,对接源_01水果!$B373=""),0,IF(OR(N(对接源_01水果!$B373)&lt;$L$2,N(对接源_01水果!$B373)&gt;$L$3),0,1))</f>
        <v>0</v>
      </c>
      <c r="M373" s="3">
        <f>IF(OR($M$1="",对接源_01水果!$C373="",对接源_01水果!$C373&lt;&gt;$M$1,对接源_01水果!$B373=""),0,IF(OR(N(对接源_01水果!$B373)&lt;$M$2,N(对接源_01水果!$B373)&gt;$M$3),0,1))</f>
        <v>0</v>
      </c>
      <c r="N373" s="3">
        <f>IF(OR($N$1="",对接源_01水果!$C373="",对接源_01水果!$C373&lt;&gt;$N$1,对接源_01水果!$B373=""),0,IF(OR(N(对接源_01水果!$B373)&lt;$N$2,N(对接源_01水果!$B373)&gt;$N$3),0,1))</f>
        <v>0</v>
      </c>
      <c r="P373" s="3">
        <f>IF(AND($K373=1,AND(对接源_01水果!$X373="公司筐",N(对接源_01水果!$T373)&lt;&gt;0)),1,0)</f>
        <v>0</v>
      </c>
      <c r="Q373" s="3">
        <f t="shared" si="96"/>
        <v>0</v>
      </c>
      <c r="R373" s="3">
        <f>IF(AND($K373=1,AND(对接源_01水果!$X373="公司筐",N(对接源_01水果!$U373)&lt;&gt;0)),1,0)</f>
        <v>0</v>
      </c>
      <c r="S373" s="3">
        <f t="shared" si="97"/>
        <v>0</v>
      </c>
      <c r="T373" s="3">
        <f>IF(AND($K373=1,AND(对接源_01水果!$X373="公司筐",N(对接源_01水果!$V373)&lt;&gt;0)),1,0)</f>
        <v>0</v>
      </c>
      <c r="U373" s="3">
        <f t="shared" si="98"/>
        <v>19</v>
      </c>
      <c r="V373" s="3">
        <f>IF(AND($L373=1,AND(对接源_01水果!$X373="自备筐",N(对接源_01水果!$V373)&lt;&gt;0)),1,0)</f>
        <v>0</v>
      </c>
      <c r="W373" s="3">
        <f t="shared" si="99"/>
        <v>8</v>
      </c>
      <c r="X373" s="3">
        <f>IF(AND($L373=1,AND(对接源_01水果!$X373="自备筐",N(对接源_01水果!$T373)&lt;&gt;0)),1,0)</f>
        <v>0</v>
      </c>
      <c r="Y373" s="3">
        <f t="shared" si="100"/>
        <v>0</v>
      </c>
      <c r="Z373" s="3">
        <f>IF(AND($M373=1,对接源_01水果!$D373="原料入库"),1,0)</f>
        <v>0</v>
      </c>
      <c r="AA373" s="3">
        <f t="shared" si="101"/>
        <v>24</v>
      </c>
      <c r="AB373" s="3">
        <f>IF(AND($M373=1,LEFT(对接源_01水果!$D373,4)="原料出库"),1,0)</f>
        <v>0</v>
      </c>
      <c r="AC373" s="3">
        <f t="shared" si="102"/>
        <v>0</v>
      </c>
      <c r="AD373" s="3">
        <f>IF(AND($M373=1,LEFT(对接源_01水果!$D373,4)="成品出库"),1,0)</f>
        <v>0</v>
      </c>
      <c r="AE373" s="3">
        <f t="shared" si="103"/>
        <v>0</v>
      </c>
      <c r="AF373" s="3">
        <f>IF(AND($N373=1,AND(LEFT(对接源_01水果!$D373,4)="包装物料",N(对接源_01水果!$K373)&lt;&gt;0)),1,0)</f>
        <v>0</v>
      </c>
      <c r="AG373" s="3">
        <f t="shared" si="104"/>
        <v>0</v>
      </c>
      <c r="AH373" s="3">
        <f>IF(AND($N373=1,AND(对接源_01水果!$D373="周转筐－销售出库",N(对接源_01水果!$K373)&lt;&gt;0)),1,0)</f>
        <v>0</v>
      </c>
      <c r="AI373" s="3">
        <f t="shared" si="105"/>
        <v>0</v>
      </c>
      <c r="AJ373" s="7"/>
      <c r="AL373" s="3">
        <f>IF(OR($AL$1="",对接源_01水果!$Y373="",对接源_01水果!$Y373&lt;&gt;$AL$1,对接源_01水果!$B373="",N(对接源_01水果!$AJ373)&lt;=0),0,IF(OR(N(对接源_01水果!$B373)&lt;$AL$2,N(对接源_01水果!$B373)&gt;$AL$3),0,1))</f>
        <v>0</v>
      </c>
      <c r="AM373" s="3">
        <f t="shared" si="106"/>
        <v>0</v>
      </c>
      <c r="AN373" s="3" t="str">
        <f>IF(对接源_01水果!$AC373="","",对接源_01水果!$AC373)</f>
        <v>电商/主播</v>
      </c>
      <c r="AO373" s="3">
        <f t="shared" si="107"/>
        <v>0</v>
      </c>
      <c r="AP373" s="3">
        <f t="shared" si="108"/>
        <v>1</v>
      </c>
      <c r="AR373">
        <f t="shared" si="109"/>
        <v>0</v>
      </c>
      <c r="AS373">
        <f t="shared" si="110"/>
        <v>0</v>
      </c>
    </row>
    <row r="374" ht="14.25" customHeight="1" spans="1:45">
      <c r="A374" s="3" t="str">
        <f>IF(对接源_01水果!$C374="","",对接源_01水果!$C374)</f>
        <v>王照雪</v>
      </c>
      <c r="B374" s="3">
        <f t="shared" si="94"/>
        <v>0</v>
      </c>
      <c r="C374" s="3">
        <f t="shared" si="95"/>
        <v>18</v>
      </c>
      <c r="K374" s="3">
        <f>IF(OR($K$1="",对接源_01水果!$C374="",对接源_01水果!$C374&lt;&gt;$K$1,对接源_01水果!$B374=""),0,IF(OR(N(对接源_01水果!$B374)&lt;$K$2,N(对接源_01水果!$B374)&gt;$K$3),0,1))</f>
        <v>0</v>
      </c>
      <c r="L374" s="3">
        <f>IF(OR($L$1="",对接源_01水果!$C374="",对接源_01水果!$C374&lt;&gt;$L$1,对接源_01水果!$B374=""),0,IF(OR(N(对接源_01水果!$B374)&lt;$L$2,N(对接源_01水果!$B374)&gt;$L$3),0,1))</f>
        <v>0</v>
      </c>
      <c r="M374" s="3">
        <f>IF(OR($M$1="",对接源_01水果!$C374="",对接源_01水果!$C374&lt;&gt;$M$1,对接源_01水果!$B374=""),0,IF(OR(N(对接源_01水果!$B374)&lt;$M$2,N(对接源_01水果!$B374)&gt;$M$3),0,1))</f>
        <v>0</v>
      </c>
      <c r="N374" s="3">
        <f>IF(OR($N$1="",对接源_01水果!$C374="",对接源_01水果!$C374&lt;&gt;$N$1,对接源_01水果!$B374=""),0,IF(OR(N(对接源_01水果!$B374)&lt;$N$2,N(对接源_01水果!$B374)&gt;$N$3),0,1))</f>
        <v>0</v>
      </c>
      <c r="P374" s="3">
        <f>IF(AND($K374=1,AND(对接源_01水果!$X374="公司筐",N(对接源_01水果!$T374)&lt;&gt;0)),1,0)</f>
        <v>0</v>
      </c>
      <c r="Q374" s="3">
        <f t="shared" si="96"/>
        <v>0</v>
      </c>
      <c r="R374" s="3">
        <f>IF(AND($K374=1,AND(对接源_01水果!$X374="公司筐",N(对接源_01水果!$U374)&lt;&gt;0)),1,0)</f>
        <v>0</v>
      </c>
      <c r="S374" s="3">
        <f t="shared" si="97"/>
        <v>0</v>
      </c>
      <c r="T374" s="3">
        <f>IF(AND($K374=1,AND(对接源_01水果!$X374="公司筐",N(对接源_01水果!$V374)&lt;&gt;0)),1,0)</f>
        <v>0</v>
      </c>
      <c r="U374" s="3">
        <f t="shared" si="98"/>
        <v>19</v>
      </c>
      <c r="V374" s="3">
        <f>IF(AND($L374=1,AND(对接源_01水果!$X374="自备筐",N(对接源_01水果!$V374)&lt;&gt;0)),1,0)</f>
        <v>0</v>
      </c>
      <c r="W374" s="3">
        <f t="shared" si="99"/>
        <v>8</v>
      </c>
      <c r="X374" s="3">
        <f>IF(AND($L374=1,AND(对接源_01水果!$X374="自备筐",N(对接源_01水果!$T374)&lt;&gt;0)),1,0)</f>
        <v>0</v>
      </c>
      <c r="Y374" s="3">
        <f t="shared" si="100"/>
        <v>0</v>
      </c>
      <c r="Z374" s="3">
        <f>IF(AND($M374=1,对接源_01水果!$D374="原料入库"),1,0)</f>
        <v>0</v>
      </c>
      <c r="AA374" s="3">
        <f t="shared" si="101"/>
        <v>24</v>
      </c>
      <c r="AB374" s="3">
        <f>IF(AND($M374=1,LEFT(对接源_01水果!$D374,4)="原料出库"),1,0)</f>
        <v>0</v>
      </c>
      <c r="AC374" s="3">
        <f t="shared" si="102"/>
        <v>0</v>
      </c>
      <c r="AD374" s="3">
        <f>IF(AND($M374=1,LEFT(对接源_01水果!$D374,4)="成品出库"),1,0)</f>
        <v>0</v>
      </c>
      <c r="AE374" s="3">
        <f t="shared" si="103"/>
        <v>0</v>
      </c>
      <c r="AF374" s="3">
        <f>IF(AND($N374=1,AND(LEFT(对接源_01水果!$D374,4)="包装物料",N(对接源_01水果!$K374)&lt;&gt;0)),1,0)</f>
        <v>0</v>
      </c>
      <c r="AG374" s="3">
        <f t="shared" si="104"/>
        <v>0</v>
      </c>
      <c r="AH374" s="3">
        <f>IF(AND($N374=1,AND(对接源_01水果!$D374="周转筐－销售出库",N(对接源_01水果!$K374)&lt;&gt;0)),1,0)</f>
        <v>0</v>
      </c>
      <c r="AI374" s="3">
        <f t="shared" si="105"/>
        <v>0</v>
      </c>
      <c r="AJ374" s="7"/>
      <c r="AL374" s="3">
        <f>IF(OR($AL$1="",对接源_01水果!$Y374="",对接源_01水果!$Y374&lt;&gt;$AL$1,对接源_01水果!$B374="",N(对接源_01水果!$AJ374)&lt;=0),0,IF(OR(N(对接源_01水果!$B374)&lt;$AL$2,N(对接源_01水果!$B374)&gt;$AL$3),0,1))</f>
        <v>0</v>
      </c>
      <c r="AM374" s="3">
        <f t="shared" si="106"/>
        <v>0</v>
      </c>
      <c r="AN374" s="3" t="str">
        <f>IF(对接源_01水果!$AC374="","",对接源_01水果!$AC374)</f>
        <v>电商/主播</v>
      </c>
      <c r="AO374" s="3">
        <f t="shared" si="107"/>
        <v>0</v>
      </c>
      <c r="AP374" s="3">
        <f t="shared" si="108"/>
        <v>1</v>
      </c>
      <c r="AR374">
        <f t="shared" si="109"/>
        <v>0</v>
      </c>
      <c r="AS374">
        <f t="shared" si="110"/>
        <v>0</v>
      </c>
    </row>
    <row r="375" ht="14.25" customHeight="1" spans="1:45">
      <c r="A375" s="3" t="str">
        <f>IF(对接源_01水果!$C375="","",对接源_01水果!$C375)</f>
        <v>王照雪</v>
      </c>
      <c r="B375" s="3">
        <f t="shared" si="94"/>
        <v>0</v>
      </c>
      <c r="C375" s="3">
        <f t="shared" si="95"/>
        <v>18</v>
      </c>
      <c r="K375" s="3">
        <f>IF(OR($K$1="",对接源_01水果!$C375="",对接源_01水果!$C375&lt;&gt;$K$1,对接源_01水果!$B375=""),0,IF(OR(N(对接源_01水果!$B375)&lt;$K$2,N(对接源_01水果!$B375)&gt;$K$3),0,1))</f>
        <v>0</v>
      </c>
      <c r="L375" s="3">
        <f>IF(OR($L$1="",对接源_01水果!$C375="",对接源_01水果!$C375&lt;&gt;$L$1,对接源_01水果!$B375=""),0,IF(OR(N(对接源_01水果!$B375)&lt;$L$2,N(对接源_01水果!$B375)&gt;$L$3),0,1))</f>
        <v>0</v>
      </c>
      <c r="M375" s="3">
        <f>IF(OR($M$1="",对接源_01水果!$C375="",对接源_01水果!$C375&lt;&gt;$M$1,对接源_01水果!$B375=""),0,IF(OR(N(对接源_01水果!$B375)&lt;$M$2,N(对接源_01水果!$B375)&gt;$M$3),0,1))</f>
        <v>0</v>
      </c>
      <c r="N375" s="3">
        <f>IF(OR($N$1="",对接源_01水果!$C375="",对接源_01水果!$C375&lt;&gt;$N$1,对接源_01水果!$B375=""),0,IF(OR(N(对接源_01水果!$B375)&lt;$N$2,N(对接源_01水果!$B375)&gt;$N$3),0,1))</f>
        <v>0</v>
      </c>
      <c r="P375" s="3">
        <f>IF(AND($K375=1,AND(对接源_01水果!$X375="公司筐",N(对接源_01水果!$T375)&lt;&gt;0)),1,0)</f>
        <v>0</v>
      </c>
      <c r="Q375" s="3">
        <f t="shared" si="96"/>
        <v>0</v>
      </c>
      <c r="R375" s="3">
        <f>IF(AND($K375=1,AND(对接源_01水果!$X375="公司筐",N(对接源_01水果!$U375)&lt;&gt;0)),1,0)</f>
        <v>0</v>
      </c>
      <c r="S375" s="3">
        <f t="shared" si="97"/>
        <v>0</v>
      </c>
      <c r="T375" s="3">
        <f>IF(AND($K375=1,AND(对接源_01水果!$X375="公司筐",N(对接源_01水果!$V375)&lt;&gt;0)),1,0)</f>
        <v>0</v>
      </c>
      <c r="U375" s="3">
        <f t="shared" si="98"/>
        <v>19</v>
      </c>
      <c r="V375" s="3">
        <f>IF(AND($L375=1,AND(对接源_01水果!$X375="自备筐",N(对接源_01水果!$V375)&lt;&gt;0)),1,0)</f>
        <v>0</v>
      </c>
      <c r="W375" s="3">
        <f t="shared" si="99"/>
        <v>8</v>
      </c>
      <c r="X375" s="3">
        <f>IF(AND($L375=1,AND(对接源_01水果!$X375="自备筐",N(对接源_01水果!$T375)&lt;&gt;0)),1,0)</f>
        <v>0</v>
      </c>
      <c r="Y375" s="3">
        <f t="shared" si="100"/>
        <v>0</v>
      </c>
      <c r="Z375" s="3">
        <f>IF(AND($M375=1,对接源_01水果!$D375="原料入库"),1,0)</f>
        <v>0</v>
      </c>
      <c r="AA375" s="3">
        <f t="shared" si="101"/>
        <v>24</v>
      </c>
      <c r="AB375" s="3">
        <f>IF(AND($M375=1,LEFT(对接源_01水果!$D375,4)="原料出库"),1,0)</f>
        <v>0</v>
      </c>
      <c r="AC375" s="3">
        <f t="shared" si="102"/>
        <v>0</v>
      </c>
      <c r="AD375" s="3">
        <f>IF(AND($M375=1,LEFT(对接源_01水果!$D375,4)="成品出库"),1,0)</f>
        <v>0</v>
      </c>
      <c r="AE375" s="3">
        <f t="shared" si="103"/>
        <v>0</v>
      </c>
      <c r="AF375" s="3">
        <f>IF(AND($N375=1,AND(LEFT(对接源_01水果!$D375,4)="包装物料",N(对接源_01水果!$K375)&lt;&gt;0)),1,0)</f>
        <v>0</v>
      </c>
      <c r="AG375" s="3">
        <f t="shared" si="104"/>
        <v>0</v>
      </c>
      <c r="AH375" s="3">
        <f>IF(AND($N375=1,AND(对接源_01水果!$D375="周转筐－销售出库",N(对接源_01水果!$K375)&lt;&gt;0)),1,0)</f>
        <v>0</v>
      </c>
      <c r="AI375" s="3">
        <f t="shared" si="105"/>
        <v>0</v>
      </c>
      <c r="AJ375" s="7"/>
      <c r="AL375" s="3">
        <f>IF(OR($AL$1="",对接源_01水果!$Y375="",对接源_01水果!$Y375&lt;&gt;$AL$1,对接源_01水果!$B375="",N(对接源_01水果!$AJ375)&lt;=0),0,IF(OR(N(对接源_01水果!$B375)&lt;$AL$2,N(对接源_01水果!$B375)&gt;$AL$3),0,1))</f>
        <v>0</v>
      </c>
      <c r="AM375" s="3">
        <f t="shared" si="106"/>
        <v>0</v>
      </c>
      <c r="AN375" s="3" t="str">
        <f>IF(对接源_01水果!$AC375="","",对接源_01水果!$AC375)</f>
        <v>电商/主播</v>
      </c>
      <c r="AO375" s="3">
        <f t="shared" si="107"/>
        <v>0</v>
      </c>
      <c r="AP375" s="3">
        <f t="shared" si="108"/>
        <v>1</v>
      </c>
      <c r="AR375">
        <f t="shared" si="109"/>
        <v>0</v>
      </c>
      <c r="AS375">
        <f t="shared" si="110"/>
        <v>0</v>
      </c>
    </row>
    <row r="376" ht="14.25" customHeight="1" spans="1:45">
      <c r="A376" s="3" t="str">
        <f>IF(对接源_01水果!$C376="","",对接源_01水果!$C376)</f>
        <v>王照雪</v>
      </c>
      <c r="B376" s="3">
        <f t="shared" si="94"/>
        <v>0</v>
      </c>
      <c r="C376" s="3">
        <f t="shared" si="95"/>
        <v>18</v>
      </c>
      <c r="K376" s="3">
        <f>IF(OR($K$1="",对接源_01水果!$C376="",对接源_01水果!$C376&lt;&gt;$K$1,对接源_01水果!$B376=""),0,IF(OR(N(对接源_01水果!$B376)&lt;$K$2,N(对接源_01水果!$B376)&gt;$K$3),0,1))</f>
        <v>0</v>
      </c>
      <c r="L376" s="3">
        <f>IF(OR($L$1="",对接源_01水果!$C376="",对接源_01水果!$C376&lt;&gt;$L$1,对接源_01水果!$B376=""),0,IF(OR(N(对接源_01水果!$B376)&lt;$L$2,N(对接源_01水果!$B376)&gt;$L$3),0,1))</f>
        <v>0</v>
      </c>
      <c r="M376" s="3">
        <f>IF(OR($M$1="",对接源_01水果!$C376="",对接源_01水果!$C376&lt;&gt;$M$1,对接源_01水果!$B376=""),0,IF(OR(N(对接源_01水果!$B376)&lt;$M$2,N(对接源_01水果!$B376)&gt;$M$3),0,1))</f>
        <v>0</v>
      </c>
      <c r="N376" s="3">
        <f>IF(OR($N$1="",对接源_01水果!$C376="",对接源_01水果!$C376&lt;&gt;$N$1,对接源_01水果!$B376=""),0,IF(OR(N(对接源_01水果!$B376)&lt;$N$2,N(对接源_01水果!$B376)&gt;$N$3),0,1))</f>
        <v>0</v>
      </c>
      <c r="P376" s="3">
        <f>IF(AND($K376=1,AND(对接源_01水果!$X376="公司筐",N(对接源_01水果!$T376)&lt;&gt;0)),1,0)</f>
        <v>0</v>
      </c>
      <c r="Q376" s="3">
        <f t="shared" si="96"/>
        <v>0</v>
      </c>
      <c r="R376" s="3">
        <f>IF(AND($K376=1,AND(对接源_01水果!$X376="公司筐",N(对接源_01水果!$U376)&lt;&gt;0)),1,0)</f>
        <v>0</v>
      </c>
      <c r="S376" s="3">
        <f t="shared" si="97"/>
        <v>0</v>
      </c>
      <c r="T376" s="3">
        <f>IF(AND($K376=1,AND(对接源_01水果!$X376="公司筐",N(对接源_01水果!$V376)&lt;&gt;0)),1,0)</f>
        <v>0</v>
      </c>
      <c r="U376" s="3">
        <f t="shared" si="98"/>
        <v>19</v>
      </c>
      <c r="V376" s="3">
        <f>IF(AND($L376=1,AND(对接源_01水果!$X376="自备筐",N(对接源_01水果!$V376)&lt;&gt;0)),1,0)</f>
        <v>0</v>
      </c>
      <c r="W376" s="3">
        <f t="shared" si="99"/>
        <v>8</v>
      </c>
      <c r="X376" s="3">
        <f>IF(AND($L376=1,AND(对接源_01水果!$X376="自备筐",N(对接源_01水果!$T376)&lt;&gt;0)),1,0)</f>
        <v>0</v>
      </c>
      <c r="Y376" s="3">
        <f t="shared" si="100"/>
        <v>0</v>
      </c>
      <c r="Z376" s="3">
        <f>IF(AND($M376=1,对接源_01水果!$D376="原料入库"),1,0)</f>
        <v>0</v>
      </c>
      <c r="AA376" s="3">
        <f t="shared" si="101"/>
        <v>24</v>
      </c>
      <c r="AB376" s="3">
        <f>IF(AND($M376=1,LEFT(对接源_01水果!$D376,4)="原料出库"),1,0)</f>
        <v>0</v>
      </c>
      <c r="AC376" s="3">
        <f t="shared" si="102"/>
        <v>0</v>
      </c>
      <c r="AD376" s="3">
        <f>IF(AND($M376=1,LEFT(对接源_01水果!$D376,4)="成品出库"),1,0)</f>
        <v>0</v>
      </c>
      <c r="AE376" s="3">
        <f t="shared" si="103"/>
        <v>0</v>
      </c>
      <c r="AF376" s="3">
        <f>IF(AND($N376=1,AND(LEFT(对接源_01水果!$D376,4)="包装物料",N(对接源_01水果!$K376)&lt;&gt;0)),1,0)</f>
        <v>0</v>
      </c>
      <c r="AG376" s="3">
        <f t="shared" si="104"/>
        <v>0</v>
      </c>
      <c r="AH376" s="3">
        <f>IF(AND($N376=1,AND(对接源_01水果!$D376="周转筐－销售出库",N(对接源_01水果!$K376)&lt;&gt;0)),1,0)</f>
        <v>0</v>
      </c>
      <c r="AI376" s="3">
        <f t="shared" si="105"/>
        <v>0</v>
      </c>
      <c r="AJ376" s="7"/>
      <c r="AL376" s="3">
        <f>IF(OR($AL$1="",对接源_01水果!$Y376="",对接源_01水果!$Y376&lt;&gt;$AL$1,对接源_01水果!$B376="",N(对接源_01水果!$AJ376)&lt;=0),0,IF(OR(N(对接源_01水果!$B376)&lt;$AL$2,N(对接源_01水果!$B376)&gt;$AL$3),0,1))</f>
        <v>0</v>
      </c>
      <c r="AM376" s="3">
        <f t="shared" si="106"/>
        <v>0</v>
      </c>
      <c r="AN376" s="3" t="str">
        <f>IF(对接源_01水果!$AC376="","",对接源_01水果!$AC376)</f>
        <v>王照雪</v>
      </c>
      <c r="AO376" s="3">
        <f t="shared" si="107"/>
        <v>1</v>
      </c>
      <c r="AP376" s="3">
        <f t="shared" si="108"/>
        <v>2</v>
      </c>
      <c r="AR376">
        <f t="shared" si="109"/>
        <v>0</v>
      </c>
      <c r="AS376">
        <f t="shared" si="110"/>
        <v>0</v>
      </c>
    </row>
    <row r="377" ht="14.25" customHeight="1" spans="1:45">
      <c r="A377" s="3" t="str">
        <f>IF(对接源_01水果!$C377="","",对接源_01水果!$C377)</f>
        <v>王照雪</v>
      </c>
      <c r="B377" s="3">
        <f t="shared" si="94"/>
        <v>0</v>
      </c>
      <c r="C377" s="3">
        <f t="shared" si="95"/>
        <v>18</v>
      </c>
      <c r="K377" s="3">
        <f>IF(OR($K$1="",对接源_01水果!$C377="",对接源_01水果!$C377&lt;&gt;$K$1,对接源_01水果!$B377=""),0,IF(OR(N(对接源_01水果!$B377)&lt;$K$2,N(对接源_01水果!$B377)&gt;$K$3),0,1))</f>
        <v>0</v>
      </c>
      <c r="L377" s="3">
        <f>IF(OR($L$1="",对接源_01水果!$C377="",对接源_01水果!$C377&lt;&gt;$L$1,对接源_01水果!$B377=""),0,IF(OR(N(对接源_01水果!$B377)&lt;$L$2,N(对接源_01水果!$B377)&gt;$L$3),0,1))</f>
        <v>0</v>
      </c>
      <c r="M377" s="3">
        <f>IF(OR($M$1="",对接源_01水果!$C377="",对接源_01水果!$C377&lt;&gt;$M$1,对接源_01水果!$B377=""),0,IF(OR(N(对接源_01水果!$B377)&lt;$M$2,N(对接源_01水果!$B377)&gt;$M$3),0,1))</f>
        <v>0</v>
      </c>
      <c r="N377" s="3">
        <f>IF(OR($N$1="",对接源_01水果!$C377="",对接源_01水果!$C377&lt;&gt;$N$1,对接源_01水果!$B377=""),0,IF(OR(N(对接源_01水果!$B377)&lt;$N$2,N(对接源_01水果!$B377)&gt;$N$3),0,1))</f>
        <v>0</v>
      </c>
      <c r="P377" s="3">
        <f>IF(AND($K377=1,AND(对接源_01水果!$X377="公司筐",N(对接源_01水果!$T377)&lt;&gt;0)),1,0)</f>
        <v>0</v>
      </c>
      <c r="Q377" s="3">
        <f t="shared" si="96"/>
        <v>0</v>
      </c>
      <c r="R377" s="3">
        <f>IF(AND($K377=1,AND(对接源_01水果!$X377="公司筐",N(对接源_01水果!$U377)&lt;&gt;0)),1,0)</f>
        <v>0</v>
      </c>
      <c r="S377" s="3">
        <f t="shared" si="97"/>
        <v>0</v>
      </c>
      <c r="T377" s="3">
        <f>IF(AND($K377=1,AND(对接源_01水果!$X377="公司筐",N(对接源_01水果!$V377)&lt;&gt;0)),1,0)</f>
        <v>0</v>
      </c>
      <c r="U377" s="3">
        <f t="shared" si="98"/>
        <v>19</v>
      </c>
      <c r="V377" s="3">
        <f>IF(AND($L377=1,AND(对接源_01水果!$X377="自备筐",N(对接源_01水果!$V377)&lt;&gt;0)),1,0)</f>
        <v>0</v>
      </c>
      <c r="W377" s="3">
        <f t="shared" si="99"/>
        <v>8</v>
      </c>
      <c r="X377" s="3">
        <f>IF(AND($L377=1,AND(对接源_01水果!$X377="自备筐",N(对接源_01水果!$T377)&lt;&gt;0)),1,0)</f>
        <v>0</v>
      </c>
      <c r="Y377" s="3">
        <f t="shared" si="100"/>
        <v>0</v>
      </c>
      <c r="Z377" s="3">
        <f>IF(AND($M377=1,对接源_01水果!$D377="原料入库"),1,0)</f>
        <v>0</v>
      </c>
      <c r="AA377" s="3">
        <f t="shared" si="101"/>
        <v>24</v>
      </c>
      <c r="AB377" s="3">
        <f>IF(AND($M377=1,LEFT(对接源_01水果!$D377,4)="原料出库"),1,0)</f>
        <v>0</v>
      </c>
      <c r="AC377" s="3">
        <f t="shared" si="102"/>
        <v>0</v>
      </c>
      <c r="AD377" s="3">
        <f>IF(AND($M377=1,LEFT(对接源_01水果!$D377,4)="成品出库"),1,0)</f>
        <v>0</v>
      </c>
      <c r="AE377" s="3">
        <f t="shared" si="103"/>
        <v>0</v>
      </c>
      <c r="AF377" s="3">
        <f>IF(AND($N377=1,AND(LEFT(对接源_01水果!$D377,4)="包装物料",N(对接源_01水果!$K377)&lt;&gt;0)),1,0)</f>
        <v>0</v>
      </c>
      <c r="AG377" s="3">
        <f t="shared" si="104"/>
        <v>0</v>
      </c>
      <c r="AH377" s="3">
        <f>IF(AND($N377=1,AND(对接源_01水果!$D377="周转筐－销售出库",N(对接源_01水果!$K377)&lt;&gt;0)),1,0)</f>
        <v>0</v>
      </c>
      <c r="AI377" s="3">
        <f t="shared" si="105"/>
        <v>0</v>
      </c>
      <c r="AJ377" s="7"/>
      <c r="AL377" s="3">
        <f>IF(OR($AL$1="",对接源_01水果!$Y377="",对接源_01水果!$Y377&lt;&gt;$AL$1,对接源_01水果!$B377="",N(对接源_01水果!$AJ377)&lt;=0),0,IF(OR(N(对接源_01水果!$B377)&lt;$AL$2,N(对接源_01水果!$B377)&gt;$AL$3),0,1))</f>
        <v>0</v>
      </c>
      <c r="AM377" s="3">
        <f t="shared" si="106"/>
        <v>0</v>
      </c>
      <c r="AN377" s="3" t="str">
        <f>IF(对接源_01水果!$AC377="","",对接源_01水果!$AC377)</f>
        <v>电商/主播</v>
      </c>
      <c r="AO377" s="3">
        <f t="shared" si="107"/>
        <v>0</v>
      </c>
      <c r="AP377" s="3">
        <f t="shared" si="108"/>
        <v>2</v>
      </c>
      <c r="AR377">
        <f t="shared" si="109"/>
        <v>0</v>
      </c>
      <c r="AS377">
        <f t="shared" si="110"/>
        <v>0</v>
      </c>
    </row>
    <row r="378" ht="14.25" customHeight="1" spans="1:45">
      <c r="A378" s="3" t="str">
        <f>IF(对接源_01水果!$C378="","",对接源_01水果!$C378)</f>
        <v>王照雪</v>
      </c>
      <c r="B378" s="3">
        <f t="shared" si="94"/>
        <v>0</v>
      </c>
      <c r="C378" s="3">
        <f t="shared" si="95"/>
        <v>18</v>
      </c>
      <c r="K378" s="3">
        <f>IF(OR($K$1="",对接源_01水果!$C378="",对接源_01水果!$C378&lt;&gt;$K$1,对接源_01水果!$B378=""),0,IF(OR(N(对接源_01水果!$B378)&lt;$K$2,N(对接源_01水果!$B378)&gt;$K$3),0,1))</f>
        <v>0</v>
      </c>
      <c r="L378" s="3">
        <f>IF(OR($L$1="",对接源_01水果!$C378="",对接源_01水果!$C378&lt;&gt;$L$1,对接源_01水果!$B378=""),0,IF(OR(N(对接源_01水果!$B378)&lt;$L$2,N(对接源_01水果!$B378)&gt;$L$3),0,1))</f>
        <v>0</v>
      </c>
      <c r="M378" s="3">
        <f>IF(OR($M$1="",对接源_01水果!$C378="",对接源_01水果!$C378&lt;&gt;$M$1,对接源_01水果!$B378=""),0,IF(OR(N(对接源_01水果!$B378)&lt;$M$2,N(对接源_01水果!$B378)&gt;$M$3),0,1))</f>
        <v>0</v>
      </c>
      <c r="N378" s="3">
        <f>IF(OR($N$1="",对接源_01水果!$C378="",对接源_01水果!$C378&lt;&gt;$N$1,对接源_01水果!$B378=""),0,IF(OR(N(对接源_01水果!$B378)&lt;$N$2,N(对接源_01水果!$B378)&gt;$N$3),0,1))</f>
        <v>0</v>
      </c>
      <c r="P378" s="3">
        <f>IF(AND($K378=1,AND(对接源_01水果!$X378="公司筐",N(对接源_01水果!$T378)&lt;&gt;0)),1,0)</f>
        <v>0</v>
      </c>
      <c r="Q378" s="3">
        <f t="shared" si="96"/>
        <v>0</v>
      </c>
      <c r="R378" s="3">
        <f>IF(AND($K378=1,AND(对接源_01水果!$X378="公司筐",N(对接源_01水果!$U378)&lt;&gt;0)),1,0)</f>
        <v>0</v>
      </c>
      <c r="S378" s="3">
        <f t="shared" si="97"/>
        <v>0</v>
      </c>
      <c r="T378" s="3">
        <f>IF(AND($K378=1,AND(对接源_01水果!$X378="公司筐",N(对接源_01水果!$V378)&lt;&gt;0)),1,0)</f>
        <v>0</v>
      </c>
      <c r="U378" s="3">
        <f t="shared" si="98"/>
        <v>19</v>
      </c>
      <c r="V378" s="3">
        <f>IF(AND($L378=1,AND(对接源_01水果!$X378="自备筐",N(对接源_01水果!$V378)&lt;&gt;0)),1,0)</f>
        <v>0</v>
      </c>
      <c r="W378" s="3">
        <f t="shared" si="99"/>
        <v>8</v>
      </c>
      <c r="X378" s="3">
        <f>IF(AND($L378=1,AND(对接源_01水果!$X378="自备筐",N(对接源_01水果!$T378)&lt;&gt;0)),1,0)</f>
        <v>0</v>
      </c>
      <c r="Y378" s="3">
        <f t="shared" si="100"/>
        <v>0</v>
      </c>
      <c r="Z378" s="3">
        <f>IF(AND($M378=1,对接源_01水果!$D378="原料入库"),1,0)</f>
        <v>0</v>
      </c>
      <c r="AA378" s="3">
        <f t="shared" si="101"/>
        <v>24</v>
      </c>
      <c r="AB378" s="3">
        <f>IF(AND($M378=1,LEFT(对接源_01水果!$D378,4)="原料出库"),1,0)</f>
        <v>0</v>
      </c>
      <c r="AC378" s="3">
        <f t="shared" si="102"/>
        <v>0</v>
      </c>
      <c r="AD378" s="3">
        <f>IF(AND($M378=1,LEFT(对接源_01水果!$D378,4)="成品出库"),1,0)</f>
        <v>0</v>
      </c>
      <c r="AE378" s="3">
        <f t="shared" si="103"/>
        <v>0</v>
      </c>
      <c r="AF378" s="3">
        <f>IF(AND($N378=1,AND(LEFT(对接源_01水果!$D378,4)="包装物料",N(对接源_01水果!$K378)&lt;&gt;0)),1,0)</f>
        <v>0</v>
      </c>
      <c r="AG378" s="3">
        <f t="shared" si="104"/>
        <v>0</v>
      </c>
      <c r="AH378" s="3">
        <f>IF(AND($N378=1,AND(对接源_01水果!$D378="周转筐－销售出库",N(对接源_01水果!$K378)&lt;&gt;0)),1,0)</f>
        <v>0</v>
      </c>
      <c r="AI378" s="3">
        <f t="shared" si="105"/>
        <v>0</v>
      </c>
      <c r="AJ378" s="7"/>
      <c r="AL378" s="3">
        <f>IF(OR($AL$1="",对接源_01水果!$Y378="",对接源_01水果!$Y378&lt;&gt;$AL$1,对接源_01水果!$B378="",N(对接源_01水果!$AJ378)&lt;=0),0,IF(OR(N(对接源_01水果!$B378)&lt;$AL$2,N(对接源_01水果!$B378)&gt;$AL$3),0,1))</f>
        <v>0</v>
      </c>
      <c r="AM378" s="3">
        <f t="shared" si="106"/>
        <v>0</v>
      </c>
      <c r="AN378" s="3" t="str">
        <f>IF(对接源_01水果!$AC378="","",对接源_01水果!$AC378)</f>
        <v>电商/主播</v>
      </c>
      <c r="AO378" s="3">
        <f t="shared" si="107"/>
        <v>0</v>
      </c>
      <c r="AP378" s="3">
        <f t="shared" si="108"/>
        <v>2</v>
      </c>
      <c r="AR378">
        <f t="shared" si="109"/>
        <v>0</v>
      </c>
      <c r="AS378">
        <f t="shared" si="110"/>
        <v>0</v>
      </c>
    </row>
    <row r="379" ht="14.25" customHeight="1" spans="1:45">
      <c r="A379" s="3" t="str">
        <f>IF(对接源_01水果!$C379="","",对接源_01水果!$C379)</f>
        <v>聂新平</v>
      </c>
      <c r="B379" s="3">
        <f t="shared" si="94"/>
        <v>0</v>
      </c>
      <c r="C379" s="3">
        <f t="shared" si="95"/>
        <v>18</v>
      </c>
      <c r="K379" s="3">
        <f>IF(OR($K$1="",对接源_01水果!$C379="",对接源_01水果!$C379&lt;&gt;$K$1,对接源_01水果!$B379=""),0,IF(OR(N(对接源_01水果!$B379)&lt;$K$2,N(对接源_01水果!$B379)&gt;$K$3),0,1))</f>
        <v>0</v>
      </c>
      <c r="L379" s="3">
        <f>IF(OR($L$1="",对接源_01水果!$C379="",对接源_01水果!$C379&lt;&gt;$L$1,对接源_01水果!$B379=""),0,IF(OR(N(对接源_01水果!$B379)&lt;$L$2,N(对接源_01水果!$B379)&gt;$L$3),0,1))</f>
        <v>0</v>
      </c>
      <c r="M379" s="3">
        <f>IF(OR($M$1="",对接源_01水果!$C379="",对接源_01水果!$C379&lt;&gt;$M$1,对接源_01水果!$B379=""),0,IF(OR(N(对接源_01水果!$B379)&lt;$M$2,N(对接源_01水果!$B379)&gt;$M$3),0,1))</f>
        <v>0</v>
      </c>
      <c r="N379" s="3">
        <f>IF(OR($N$1="",对接源_01水果!$C379="",对接源_01水果!$C379&lt;&gt;$N$1,对接源_01水果!$B379=""),0,IF(OR(N(对接源_01水果!$B379)&lt;$N$2,N(对接源_01水果!$B379)&gt;$N$3),0,1))</f>
        <v>0</v>
      </c>
      <c r="P379" s="3">
        <f>IF(AND($K379=1,AND(对接源_01水果!$X379="公司筐",N(对接源_01水果!$T379)&lt;&gt;0)),1,0)</f>
        <v>0</v>
      </c>
      <c r="Q379" s="3">
        <f t="shared" si="96"/>
        <v>0</v>
      </c>
      <c r="R379" s="3">
        <f>IF(AND($K379=1,AND(对接源_01水果!$X379="公司筐",N(对接源_01水果!$U379)&lt;&gt;0)),1,0)</f>
        <v>0</v>
      </c>
      <c r="S379" s="3">
        <f t="shared" si="97"/>
        <v>0</v>
      </c>
      <c r="T379" s="3">
        <f>IF(AND($K379=1,AND(对接源_01水果!$X379="公司筐",N(对接源_01水果!$V379)&lt;&gt;0)),1,0)</f>
        <v>0</v>
      </c>
      <c r="U379" s="3">
        <f t="shared" si="98"/>
        <v>19</v>
      </c>
      <c r="V379" s="3">
        <f>IF(AND($L379=1,AND(对接源_01水果!$X379="自备筐",N(对接源_01水果!$V379)&lt;&gt;0)),1,0)</f>
        <v>0</v>
      </c>
      <c r="W379" s="3">
        <f t="shared" si="99"/>
        <v>8</v>
      </c>
      <c r="X379" s="3">
        <f>IF(AND($L379=1,AND(对接源_01水果!$X379="自备筐",N(对接源_01水果!$T379)&lt;&gt;0)),1,0)</f>
        <v>0</v>
      </c>
      <c r="Y379" s="3">
        <f t="shared" si="100"/>
        <v>0</v>
      </c>
      <c r="Z379" s="3">
        <f>IF(AND($M379=1,对接源_01水果!$D379="原料入库"),1,0)</f>
        <v>0</v>
      </c>
      <c r="AA379" s="3">
        <f t="shared" si="101"/>
        <v>24</v>
      </c>
      <c r="AB379" s="3">
        <f>IF(AND($M379=1,LEFT(对接源_01水果!$D379,4)="原料出库"),1,0)</f>
        <v>0</v>
      </c>
      <c r="AC379" s="3">
        <f t="shared" si="102"/>
        <v>0</v>
      </c>
      <c r="AD379" s="3">
        <f>IF(AND($M379=1,LEFT(对接源_01水果!$D379,4)="成品出库"),1,0)</f>
        <v>0</v>
      </c>
      <c r="AE379" s="3">
        <f t="shared" si="103"/>
        <v>0</v>
      </c>
      <c r="AF379" s="3">
        <f>IF(AND($N379=1,AND(LEFT(对接源_01水果!$D379,4)="包装物料",N(对接源_01水果!$K379)&lt;&gt;0)),1,0)</f>
        <v>0</v>
      </c>
      <c r="AG379" s="3">
        <f t="shared" si="104"/>
        <v>0</v>
      </c>
      <c r="AH379" s="3">
        <f>IF(AND($N379=1,AND(对接源_01水果!$D379="周转筐－销售出库",N(对接源_01水果!$K379)&lt;&gt;0)),1,0)</f>
        <v>0</v>
      </c>
      <c r="AI379" s="3">
        <f t="shared" si="105"/>
        <v>0</v>
      </c>
      <c r="AJ379" s="7"/>
      <c r="AL379" s="3">
        <f>IF(OR($AL$1="",对接源_01水果!$Y379="",对接源_01水果!$Y379&lt;&gt;$AL$1,对接源_01水果!$B379="",N(对接源_01水果!$AJ379)&lt;=0),0,IF(OR(N(对接源_01水果!$B379)&lt;$AL$2,N(对接源_01水果!$B379)&gt;$AL$3),0,1))</f>
        <v>0</v>
      </c>
      <c r="AM379" s="3">
        <f t="shared" si="106"/>
        <v>0</v>
      </c>
      <c r="AN379" s="3" t="str">
        <f>IF(对接源_01水果!$AC379="","",对接源_01水果!$AC379)</f>
        <v>伍元虎</v>
      </c>
      <c r="AO379" s="3">
        <f t="shared" si="107"/>
        <v>1</v>
      </c>
      <c r="AP379" s="3">
        <f t="shared" si="108"/>
        <v>3</v>
      </c>
      <c r="AR379">
        <f t="shared" si="109"/>
        <v>0</v>
      </c>
      <c r="AS379">
        <f t="shared" si="110"/>
        <v>0</v>
      </c>
    </row>
    <row r="380" ht="14.25" customHeight="1" spans="1:45">
      <c r="A380" s="3" t="str">
        <f>IF(对接源_01水果!$C380="","",对接源_01水果!$C380)</f>
        <v>王照雪</v>
      </c>
      <c r="B380" s="3">
        <f t="shared" si="94"/>
        <v>0</v>
      </c>
      <c r="C380" s="3">
        <f t="shared" si="95"/>
        <v>18</v>
      </c>
      <c r="K380" s="3">
        <f>IF(OR($K$1="",对接源_01水果!$C380="",对接源_01水果!$C380&lt;&gt;$K$1,对接源_01水果!$B380=""),0,IF(OR(N(对接源_01水果!$B380)&lt;$K$2,N(对接源_01水果!$B380)&gt;$K$3),0,1))</f>
        <v>0</v>
      </c>
      <c r="L380" s="3">
        <f>IF(OR($L$1="",对接源_01水果!$C380="",对接源_01水果!$C380&lt;&gt;$L$1,对接源_01水果!$B380=""),0,IF(OR(N(对接源_01水果!$B380)&lt;$L$2,N(对接源_01水果!$B380)&gt;$L$3),0,1))</f>
        <v>0</v>
      </c>
      <c r="M380" s="3">
        <f>IF(OR($M$1="",对接源_01水果!$C380="",对接源_01水果!$C380&lt;&gt;$M$1,对接源_01水果!$B380=""),0,IF(OR(N(对接源_01水果!$B380)&lt;$M$2,N(对接源_01水果!$B380)&gt;$M$3),0,1))</f>
        <v>0</v>
      </c>
      <c r="N380" s="3">
        <f>IF(OR($N$1="",对接源_01水果!$C380="",对接源_01水果!$C380&lt;&gt;$N$1,对接源_01水果!$B380=""),0,IF(OR(N(对接源_01水果!$B380)&lt;$N$2,N(对接源_01水果!$B380)&gt;$N$3),0,1))</f>
        <v>0</v>
      </c>
      <c r="P380" s="3">
        <f>IF(AND($K380=1,AND(对接源_01水果!$X380="公司筐",N(对接源_01水果!$T380)&lt;&gt;0)),1,0)</f>
        <v>0</v>
      </c>
      <c r="Q380" s="3">
        <f t="shared" si="96"/>
        <v>0</v>
      </c>
      <c r="R380" s="3">
        <f>IF(AND($K380=1,AND(对接源_01水果!$X380="公司筐",N(对接源_01水果!$U380)&lt;&gt;0)),1,0)</f>
        <v>0</v>
      </c>
      <c r="S380" s="3">
        <f t="shared" si="97"/>
        <v>0</v>
      </c>
      <c r="T380" s="3">
        <f>IF(AND($K380=1,AND(对接源_01水果!$X380="公司筐",N(对接源_01水果!$V380)&lt;&gt;0)),1,0)</f>
        <v>0</v>
      </c>
      <c r="U380" s="3">
        <f t="shared" si="98"/>
        <v>19</v>
      </c>
      <c r="V380" s="3">
        <f>IF(AND($L380=1,AND(对接源_01水果!$X380="自备筐",N(对接源_01水果!$V380)&lt;&gt;0)),1,0)</f>
        <v>0</v>
      </c>
      <c r="W380" s="3">
        <f t="shared" si="99"/>
        <v>8</v>
      </c>
      <c r="X380" s="3">
        <f>IF(AND($L380=1,AND(对接源_01水果!$X380="自备筐",N(对接源_01水果!$T380)&lt;&gt;0)),1,0)</f>
        <v>0</v>
      </c>
      <c r="Y380" s="3">
        <f t="shared" si="100"/>
        <v>0</v>
      </c>
      <c r="Z380" s="3">
        <f>IF(AND($M380=1,对接源_01水果!$D380="原料入库"),1,0)</f>
        <v>0</v>
      </c>
      <c r="AA380" s="3">
        <f t="shared" si="101"/>
        <v>24</v>
      </c>
      <c r="AB380" s="3">
        <f>IF(AND($M380=1,LEFT(对接源_01水果!$D380,4)="原料出库"),1,0)</f>
        <v>0</v>
      </c>
      <c r="AC380" s="3">
        <f t="shared" si="102"/>
        <v>0</v>
      </c>
      <c r="AD380" s="3">
        <f>IF(AND($M380=1,LEFT(对接源_01水果!$D380,4)="成品出库"),1,0)</f>
        <v>0</v>
      </c>
      <c r="AE380" s="3">
        <f t="shared" si="103"/>
        <v>0</v>
      </c>
      <c r="AF380" s="3">
        <f>IF(AND($N380=1,AND(LEFT(对接源_01水果!$D380,4)="包装物料",N(对接源_01水果!$K380)&lt;&gt;0)),1,0)</f>
        <v>0</v>
      </c>
      <c r="AG380" s="3">
        <f t="shared" si="104"/>
        <v>0</v>
      </c>
      <c r="AH380" s="3">
        <f>IF(AND($N380=1,AND(对接源_01水果!$D380="周转筐－销售出库",N(对接源_01水果!$K380)&lt;&gt;0)),1,0)</f>
        <v>0</v>
      </c>
      <c r="AI380" s="3">
        <f t="shared" si="105"/>
        <v>0</v>
      </c>
      <c r="AJ380" s="7"/>
      <c r="AL380" s="3">
        <f>IF(OR($AL$1="",对接源_01水果!$Y380="",对接源_01水果!$Y380&lt;&gt;$AL$1,对接源_01水果!$B380="",N(对接源_01水果!$AJ380)&lt;=0),0,IF(OR(N(对接源_01水果!$B380)&lt;$AL$2,N(对接源_01水果!$B380)&gt;$AL$3),0,1))</f>
        <v>0</v>
      </c>
      <c r="AM380" s="3">
        <f t="shared" si="106"/>
        <v>0</v>
      </c>
      <c r="AN380" s="3" t="str">
        <f>IF(对接源_01水果!$AC380="","",对接源_01水果!$AC380)</f>
        <v>王照雪</v>
      </c>
      <c r="AO380" s="3">
        <f t="shared" si="107"/>
        <v>0</v>
      </c>
      <c r="AP380" s="3">
        <f t="shared" si="108"/>
        <v>3</v>
      </c>
      <c r="AR380">
        <f t="shared" si="109"/>
        <v>0</v>
      </c>
      <c r="AS380">
        <f t="shared" si="110"/>
        <v>0</v>
      </c>
    </row>
    <row r="381" ht="14.25" customHeight="1" spans="1:45">
      <c r="A381" s="3" t="str">
        <f>IF(对接源_01水果!$C381="","",对接源_01水果!$C381)</f>
        <v>王照雪</v>
      </c>
      <c r="B381" s="3">
        <f t="shared" si="94"/>
        <v>0</v>
      </c>
      <c r="C381" s="3">
        <f t="shared" si="95"/>
        <v>18</v>
      </c>
      <c r="K381" s="3">
        <f>IF(OR($K$1="",对接源_01水果!$C381="",对接源_01水果!$C381&lt;&gt;$K$1,对接源_01水果!$B381=""),0,IF(OR(N(对接源_01水果!$B381)&lt;$K$2,N(对接源_01水果!$B381)&gt;$K$3),0,1))</f>
        <v>0</v>
      </c>
      <c r="L381" s="3">
        <f>IF(OR($L$1="",对接源_01水果!$C381="",对接源_01水果!$C381&lt;&gt;$L$1,对接源_01水果!$B381=""),0,IF(OR(N(对接源_01水果!$B381)&lt;$L$2,N(对接源_01水果!$B381)&gt;$L$3),0,1))</f>
        <v>0</v>
      </c>
      <c r="M381" s="3">
        <f>IF(OR($M$1="",对接源_01水果!$C381="",对接源_01水果!$C381&lt;&gt;$M$1,对接源_01水果!$B381=""),0,IF(OR(N(对接源_01水果!$B381)&lt;$M$2,N(对接源_01水果!$B381)&gt;$M$3),0,1))</f>
        <v>0</v>
      </c>
      <c r="N381" s="3">
        <f>IF(OR($N$1="",对接源_01水果!$C381="",对接源_01水果!$C381&lt;&gt;$N$1,对接源_01水果!$B381=""),0,IF(OR(N(对接源_01水果!$B381)&lt;$N$2,N(对接源_01水果!$B381)&gt;$N$3),0,1))</f>
        <v>0</v>
      </c>
      <c r="P381" s="3">
        <f>IF(AND($K381=1,AND(对接源_01水果!$X381="公司筐",N(对接源_01水果!$T381)&lt;&gt;0)),1,0)</f>
        <v>0</v>
      </c>
      <c r="Q381" s="3">
        <f t="shared" si="96"/>
        <v>0</v>
      </c>
      <c r="R381" s="3">
        <f>IF(AND($K381=1,AND(对接源_01水果!$X381="公司筐",N(对接源_01水果!$U381)&lt;&gt;0)),1,0)</f>
        <v>0</v>
      </c>
      <c r="S381" s="3">
        <f t="shared" si="97"/>
        <v>0</v>
      </c>
      <c r="T381" s="3">
        <f>IF(AND($K381=1,AND(对接源_01水果!$X381="公司筐",N(对接源_01水果!$V381)&lt;&gt;0)),1,0)</f>
        <v>0</v>
      </c>
      <c r="U381" s="3">
        <f t="shared" si="98"/>
        <v>19</v>
      </c>
      <c r="V381" s="3">
        <f>IF(AND($L381=1,AND(对接源_01水果!$X381="自备筐",N(对接源_01水果!$V381)&lt;&gt;0)),1,0)</f>
        <v>0</v>
      </c>
      <c r="W381" s="3">
        <f t="shared" si="99"/>
        <v>8</v>
      </c>
      <c r="X381" s="3">
        <f>IF(AND($L381=1,AND(对接源_01水果!$X381="自备筐",N(对接源_01水果!$T381)&lt;&gt;0)),1,0)</f>
        <v>0</v>
      </c>
      <c r="Y381" s="3">
        <f t="shared" si="100"/>
        <v>0</v>
      </c>
      <c r="Z381" s="3">
        <f>IF(AND($M381=1,对接源_01水果!$D381="原料入库"),1,0)</f>
        <v>0</v>
      </c>
      <c r="AA381" s="3">
        <f t="shared" si="101"/>
        <v>24</v>
      </c>
      <c r="AB381" s="3">
        <f>IF(AND($M381=1,LEFT(对接源_01水果!$D381,4)="原料出库"),1,0)</f>
        <v>0</v>
      </c>
      <c r="AC381" s="3">
        <f t="shared" si="102"/>
        <v>0</v>
      </c>
      <c r="AD381" s="3">
        <f>IF(AND($M381=1,LEFT(对接源_01水果!$D381,4)="成品出库"),1,0)</f>
        <v>0</v>
      </c>
      <c r="AE381" s="3">
        <f t="shared" si="103"/>
        <v>0</v>
      </c>
      <c r="AF381" s="3">
        <f>IF(AND($N381=1,AND(LEFT(对接源_01水果!$D381,4)="包装物料",N(对接源_01水果!$K381)&lt;&gt;0)),1,0)</f>
        <v>0</v>
      </c>
      <c r="AG381" s="3">
        <f t="shared" si="104"/>
        <v>0</v>
      </c>
      <c r="AH381" s="3">
        <f>IF(AND($N381=1,AND(对接源_01水果!$D381="周转筐－销售出库",N(对接源_01水果!$K381)&lt;&gt;0)),1,0)</f>
        <v>0</v>
      </c>
      <c r="AI381" s="3">
        <f t="shared" si="105"/>
        <v>0</v>
      </c>
      <c r="AJ381" s="7"/>
      <c r="AL381" s="3">
        <f>IF(OR($AL$1="",对接源_01水果!$Y381="",对接源_01水果!$Y381&lt;&gt;$AL$1,对接源_01水果!$B381="",N(对接源_01水果!$AJ381)&lt;=0),0,IF(OR(N(对接源_01水果!$B381)&lt;$AL$2,N(对接源_01水果!$B381)&gt;$AL$3),0,1))</f>
        <v>0</v>
      </c>
      <c r="AM381" s="3">
        <f t="shared" si="106"/>
        <v>0</v>
      </c>
      <c r="AN381" s="3" t="str">
        <f>IF(对接源_01水果!$AC381="","",对接源_01水果!$AC381)</f>
        <v>电商/主播</v>
      </c>
      <c r="AO381" s="3">
        <f t="shared" si="107"/>
        <v>0</v>
      </c>
      <c r="AP381" s="3">
        <f t="shared" si="108"/>
        <v>3</v>
      </c>
      <c r="AR381">
        <f t="shared" si="109"/>
        <v>0</v>
      </c>
      <c r="AS381">
        <f t="shared" si="110"/>
        <v>0</v>
      </c>
    </row>
    <row r="382" ht="14.25" customHeight="1" spans="1:45">
      <c r="A382" s="3" t="str">
        <f>IF(对接源_01水果!$C382="","",对接源_01水果!$C382)</f>
        <v>王照雪</v>
      </c>
      <c r="B382" s="3">
        <f t="shared" si="94"/>
        <v>0</v>
      </c>
      <c r="C382" s="3">
        <f t="shared" si="95"/>
        <v>18</v>
      </c>
      <c r="K382" s="3">
        <f>IF(OR($K$1="",对接源_01水果!$C382="",对接源_01水果!$C382&lt;&gt;$K$1,对接源_01水果!$B382=""),0,IF(OR(N(对接源_01水果!$B382)&lt;$K$2,N(对接源_01水果!$B382)&gt;$K$3),0,1))</f>
        <v>0</v>
      </c>
      <c r="L382" s="3">
        <f>IF(OR($L$1="",对接源_01水果!$C382="",对接源_01水果!$C382&lt;&gt;$L$1,对接源_01水果!$B382=""),0,IF(OR(N(对接源_01水果!$B382)&lt;$L$2,N(对接源_01水果!$B382)&gt;$L$3),0,1))</f>
        <v>0</v>
      </c>
      <c r="M382" s="3">
        <f>IF(OR($M$1="",对接源_01水果!$C382="",对接源_01水果!$C382&lt;&gt;$M$1,对接源_01水果!$B382=""),0,IF(OR(N(对接源_01水果!$B382)&lt;$M$2,N(对接源_01水果!$B382)&gt;$M$3),0,1))</f>
        <v>0</v>
      </c>
      <c r="N382" s="3">
        <f>IF(OR($N$1="",对接源_01水果!$C382="",对接源_01水果!$C382&lt;&gt;$N$1,对接源_01水果!$B382=""),0,IF(OR(N(对接源_01水果!$B382)&lt;$N$2,N(对接源_01水果!$B382)&gt;$N$3),0,1))</f>
        <v>0</v>
      </c>
      <c r="P382" s="3">
        <f>IF(AND($K382=1,AND(对接源_01水果!$X382="公司筐",N(对接源_01水果!$T382)&lt;&gt;0)),1,0)</f>
        <v>0</v>
      </c>
      <c r="Q382" s="3">
        <f t="shared" si="96"/>
        <v>0</v>
      </c>
      <c r="R382" s="3">
        <f>IF(AND($K382=1,AND(对接源_01水果!$X382="公司筐",N(对接源_01水果!$U382)&lt;&gt;0)),1,0)</f>
        <v>0</v>
      </c>
      <c r="S382" s="3">
        <f t="shared" si="97"/>
        <v>0</v>
      </c>
      <c r="T382" s="3">
        <f>IF(AND($K382=1,AND(对接源_01水果!$X382="公司筐",N(对接源_01水果!$V382)&lt;&gt;0)),1,0)</f>
        <v>0</v>
      </c>
      <c r="U382" s="3">
        <f t="shared" si="98"/>
        <v>19</v>
      </c>
      <c r="V382" s="3">
        <f>IF(AND($L382=1,AND(对接源_01水果!$X382="自备筐",N(对接源_01水果!$V382)&lt;&gt;0)),1,0)</f>
        <v>0</v>
      </c>
      <c r="W382" s="3">
        <f t="shared" si="99"/>
        <v>8</v>
      </c>
      <c r="X382" s="3">
        <f>IF(AND($L382=1,AND(对接源_01水果!$X382="自备筐",N(对接源_01水果!$T382)&lt;&gt;0)),1,0)</f>
        <v>0</v>
      </c>
      <c r="Y382" s="3">
        <f t="shared" si="100"/>
        <v>0</v>
      </c>
      <c r="Z382" s="3">
        <f>IF(AND($M382=1,对接源_01水果!$D382="原料入库"),1,0)</f>
        <v>0</v>
      </c>
      <c r="AA382" s="3">
        <f t="shared" si="101"/>
        <v>24</v>
      </c>
      <c r="AB382" s="3">
        <f>IF(AND($M382=1,LEFT(对接源_01水果!$D382,4)="原料出库"),1,0)</f>
        <v>0</v>
      </c>
      <c r="AC382" s="3">
        <f t="shared" si="102"/>
        <v>0</v>
      </c>
      <c r="AD382" s="3">
        <f>IF(AND($M382=1,LEFT(对接源_01水果!$D382,4)="成品出库"),1,0)</f>
        <v>0</v>
      </c>
      <c r="AE382" s="3">
        <f t="shared" si="103"/>
        <v>0</v>
      </c>
      <c r="AF382" s="3">
        <f>IF(AND($N382=1,AND(LEFT(对接源_01水果!$D382,4)="包装物料",N(对接源_01水果!$K382)&lt;&gt;0)),1,0)</f>
        <v>0</v>
      </c>
      <c r="AG382" s="3">
        <f t="shared" si="104"/>
        <v>0</v>
      </c>
      <c r="AH382" s="3">
        <f>IF(AND($N382=1,AND(对接源_01水果!$D382="周转筐－销售出库",N(对接源_01水果!$K382)&lt;&gt;0)),1,0)</f>
        <v>0</v>
      </c>
      <c r="AI382" s="3">
        <f t="shared" si="105"/>
        <v>0</v>
      </c>
      <c r="AJ382" s="7"/>
      <c r="AL382" s="3">
        <f>IF(OR($AL$1="",对接源_01水果!$Y382="",对接源_01水果!$Y382&lt;&gt;$AL$1,对接源_01水果!$B382="",N(对接源_01水果!$AJ382)&lt;=0),0,IF(OR(N(对接源_01水果!$B382)&lt;$AL$2,N(对接源_01水果!$B382)&gt;$AL$3),0,1))</f>
        <v>0</v>
      </c>
      <c r="AM382" s="3">
        <f t="shared" si="106"/>
        <v>0</v>
      </c>
      <c r="AN382" s="3" t="str">
        <f>IF(对接源_01水果!$AC382="","",对接源_01水果!$AC382)</f>
        <v>电商/主播</v>
      </c>
      <c r="AO382" s="3">
        <f t="shared" si="107"/>
        <v>0</v>
      </c>
      <c r="AP382" s="3">
        <f t="shared" si="108"/>
        <v>3</v>
      </c>
      <c r="AR382">
        <f t="shared" si="109"/>
        <v>0</v>
      </c>
      <c r="AS382">
        <f t="shared" si="110"/>
        <v>0</v>
      </c>
    </row>
    <row r="383" ht="14.25" customHeight="1" spans="1:45">
      <c r="A383" s="3" t="str">
        <f>IF(对接源_01水果!$C383="","",对接源_01水果!$C383)</f>
        <v>王照雪</v>
      </c>
      <c r="B383" s="3">
        <f t="shared" si="94"/>
        <v>0</v>
      </c>
      <c r="C383" s="3">
        <f t="shared" si="95"/>
        <v>18</v>
      </c>
      <c r="K383" s="3">
        <f>IF(OR($K$1="",对接源_01水果!$C383="",对接源_01水果!$C383&lt;&gt;$K$1,对接源_01水果!$B383=""),0,IF(OR(N(对接源_01水果!$B383)&lt;$K$2,N(对接源_01水果!$B383)&gt;$K$3),0,1))</f>
        <v>0</v>
      </c>
      <c r="L383" s="3">
        <f>IF(OR($L$1="",对接源_01水果!$C383="",对接源_01水果!$C383&lt;&gt;$L$1,对接源_01水果!$B383=""),0,IF(OR(N(对接源_01水果!$B383)&lt;$L$2,N(对接源_01水果!$B383)&gt;$L$3),0,1))</f>
        <v>0</v>
      </c>
      <c r="M383" s="3">
        <f>IF(OR($M$1="",对接源_01水果!$C383="",对接源_01水果!$C383&lt;&gt;$M$1,对接源_01水果!$B383=""),0,IF(OR(N(对接源_01水果!$B383)&lt;$M$2,N(对接源_01水果!$B383)&gt;$M$3),0,1))</f>
        <v>0</v>
      </c>
      <c r="N383" s="3">
        <f>IF(OR($N$1="",对接源_01水果!$C383="",对接源_01水果!$C383&lt;&gt;$N$1,对接源_01水果!$B383=""),0,IF(OR(N(对接源_01水果!$B383)&lt;$N$2,N(对接源_01水果!$B383)&gt;$N$3),0,1))</f>
        <v>0</v>
      </c>
      <c r="P383" s="3">
        <f>IF(AND($K383=1,AND(对接源_01水果!$X383="公司筐",N(对接源_01水果!$T383)&lt;&gt;0)),1,0)</f>
        <v>0</v>
      </c>
      <c r="Q383" s="3">
        <f t="shared" si="96"/>
        <v>0</v>
      </c>
      <c r="R383" s="3">
        <f>IF(AND($K383=1,AND(对接源_01水果!$X383="公司筐",N(对接源_01水果!$U383)&lt;&gt;0)),1,0)</f>
        <v>0</v>
      </c>
      <c r="S383" s="3">
        <f t="shared" si="97"/>
        <v>0</v>
      </c>
      <c r="T383" s="3">
        <f>IF(AND($K383=1,AND(对接源_01水果!$X383="公司筐",N(对接源_01水果!$V383)&lt;&gt;0)),1,0)</f>
        <v>0</v>
      </c>
      <c r="U383" s="3">
        <f t="shared" si="98"/>
        <v>19</v>
      </c>
      <c r="V383" s="3">
        <f>IF(AND($L383=1,AND(对接源_01水果!$X383="自备筐",N(对接源_01水果!$V383)&lt;&gt;0)),1,0)</f>
        <v>0</v>
      </c>
      <c r="W383" s="3">
        <f t="shared" si="99"/>
        <v>8</v>
      </c>
      <c r="X383" s="3">
        <f>IF(AND($L383=1,AND(对接源_01水果!$X383="自备筐",N(对接源_01水果!$T383)&lt;&gt;0)),1,0)</f>
        <v>0</v>
      </c>
      <c r="Y383" s="3">
        <f t="shared" si="100"/>
        <v>0</v>
      </c>
      <c r="Z383" s="3">
        <f>IF(AND($M383=1,对接源_01水果!$D383="原料入库"),1,0)</f>
        <v>0</v>
      </c>
      <c r="AA383" s="3">
        <f t="shared" si="101"/>
        <v>24</v>
      </c>
      <c r="AB383" s="3">
        <f>IF(AND($M383=1,LEFT(对接源_01水果!$D383,4)="原料出库"),1,0)</f>
        <v>0</v>
      </c>
      <c r="AC383" s="3">
        <f t="shared" si="102"/>
        <v>0</v>
      </c>
      <c r="AD383" s="3">
        <f>IF(AND($M383=1,LEFT(对接源_01水果!$D383,4)="成品出库"),1,0)</f>
        <v>0</v>
      </c>
      <c r="AE383" s="3">
        <f t="shared" si="103"/>
        <v>0</v>
      </c>
      <c r="AF383" s="3">
        <f>IF(AND($N383=1,AND(LEFT(对接源_01水果!$D383,4)="包装物料",N(对接源_01水果!$K383)&lt;&gt;0)),1,0)</f>
        <v>0</v>
      </c>
      <c r="AG383" s="3">
        <f t="shared" si="104"/>
        <v>0</v>
      </c>
      <c r="AH383" s="3">
        <f>IF(AND($N383=1,AND(对接源_01水果!$D383="周转筐－销售出库",N(对接源_01水果!$K383)&lt;&gt;0)),1,0)</f>
        <v>0</v>
      </c>
      <c r="AI383" s="3">
        <f t="shared" si="105"/>
        <v>0</v>
      </c>
      <c r="AJ383" s="7"/>
      <c r="AL383" s="3">
        <f>IF(OR($AL$1="",对接源_01水果!$Y383="",对接源_01水果!$Y383&lt;&gt;$AL$1,对接源_01水果!$B383="",N(对接源_01水果!$AJ383)&lt;=0),0,IF(OR(N(对接源_01水果!$B383)&lt;$AL$2,N(对接源_01水果!$B383)&gt;$AL$3),0,1))</f>
        <v>0</v>
      </c>
      <c r="AM383" s="3">
        <f t="shared" si="106"/>
        <v>0</v>
      </c>
      <c r="AN383" s="3" t="str">
        <f>IF(对接源_01水果!$AC383="","",对接源_01水果!$AC383)</f>
        <v>王照雪</v>
      </c>
      <c r="AO383" s="3">
        <f t="shared" si="107"/>
        <v>0</v>
      </c>
      <c r="AP383" s="3">
        <f t="shared" si="108"/>
        <v>3</v>
      </c>
      <c r="AR383">
        <f t="shared" si="109"/>
        <v>0</v>
      </c>
      <c r="AS383">
        <f t="shared" si="110"/>
        <v>0</v>
      </c>
    </row>
    <row r="384" ht="14.25" customHeight="1" spans="1:45">
      <c r="A384" s="3" t="str">
        <f>IF(对接源_01水果!$C384="","",对接源_01水果!$C384)</f>
        <v>王照雪</v>
      </c>
      <c r="B384" s="3">
        <f t="shared" si="94"/>
        <v>0</v>
      </c>
      <c r="C384" s="3">
        <f t="shared" si="95"/>
        <v>18</v>
      </c>
      <c r="K384" s="3">
        <f>IF(OR($K$1="",对接源_01水果!$C384="",对接源_01水果!$C384&lt;&gt;$K$1,对接源_01水果!$B384=""),0,IF(OR(N(对接源_01水果!$B384)&lt;$K$2,N(对接源_01水果!$B384)&gt;$K$3),0,1))</f>
        <v>0</v>
      </c>
      <c r="L384" s="3">
        <f>IF(OR($L$1="",对接源_01水果!$C384="",对接源_01水果!$C384&lt;&gt;$L$1,对接源_01水果!$B384=""),0,IF(OR(N(对接源_01水果!$B384)&lt;$L$2,N(对接源_01水果!$B384)&gt;$L$3),0,1))</f>
        <v>0</v>
      </c>
      <c r="M384" s="3">
        <f>IF(OR($M$1="",对接源_01水果!$C384="",对接源_01水果!$C384&lt;&gt;$M$1,对接源_01水果!$B384=""),0,IF(OR(N(对接源_01水果!$B384)&lt;$M$2,N(对接源_01水果!$B384)&gt;$M$3),0,1))</f>
        <v>0</v>
      </c>
      <c r="N384" s="3">
        <f>IF(OR($N$1="",对接源_01水果!$C384="",对接源_01水果!$C384&lt;&gt;$N$1,对接源_01水果!$B384=""),0,IF(OR(N(对接源_01水果!$B384)&lt;$N$2,N(对接源_01水果!$B384)&gt;$N$3),0,1))</f>
        <v>0</v>
      </c>
      <c r="P384" s="3">
        <f>IF(AND($K384=1,AND(对接源_01水果!$X384="公司筐",N(对接源_01水果!$T384)&lt;&gt;0)),1,0)</f>
        <v>0</v>
      </c>
      <c r="Q384" s="3">
        <f t="shared" si="96"/>
        <v>0</v>
      </c>
      <c r="R384" s="3">
        <f>IF(AND($K384=1,AND(对接源_01水果!$X384="公司筐",N(对接源_01水果!$U384)&lt;&gt;0)),1,0)</f>
        <v>0</v>
      </c>
      <c r="S384" s="3">
        <f t="shared" si="97"/>
        <v>0</v>
      </c>
      <c r="T384" s="3">
        <f>IF(AND($K384=1,AND(对接源_01水果!$X384="公司筐",N(对接源_01水果!$V384)&lt;&gt;0)),1,0)</f>
        <v>0</v>
      </c>
      <c r="U384" s="3">
        <f t="shared" si="98"/>
        <v>19</v>
      </c>
      <c r="V384" s="3">
        <f>IF(AND($L384=1,AND(对接源_01水果!$X384="自备筐",N(对接源_01水果!$V384)&lt;&gt;0)),1,0)</f>
        <v>0</v>
      </c>
      <c r="W384" s="3">
        <f t="shared" si="99"/>
        <v>8</v>
      </c>
      <c r="X384" s="3">
        <f>IF(AND($L384=1,AND(对接源_01水果!$X384="自备筐",N(对接源_01水果!$T384)&lt;&gt;0)),1,0)</f>
        <v>0</v>
      </c>
      <c r="Y384" s="3">
        <f t="shared" si="100"/>
        <v>0</v>
      </c>
      <c r="Z384" s="3">
        <f>IF(AND($M384=1,对接源_01水果!$D384="原料入库"),1,0)</f>
        <v>0</v>
      </c>
      <c r="AA384" s="3">
        <f t="shared" si="101"/>
        <v>24</v>
      </c>
      <c r="AB384" s="3">
        <f>IF(AND($M384=1,LEFT(对接源_01水果!$D384,4)="原料出库"),1,0)</f>
        <v>0</v>
      </c>
      <c r="AC384" s="3">
        <f t="shared" si="102"/>
        <v>0</v>
      </c>
      <c r="AD384" s="3">
        <f>IF(AND($M384=1,LEFT(对接源_01水果!$D384,4)="成品出库"),1,0)</f>
        <v>0</v>
      </c>
      <c r="AE384" s="3">
        <f t="shared" si="103"/>
        <v>0</v>
      </c>
      <c r="AF384" s="3">
        <f>IF(AND($N384=1,AND(LEFT(对接源_01水果!$D384,4)="包装物料",N(对接源_01水果!$K384)&lt;&gt;0)),1,0)</f>
        <v>0</v>
      </c>
      <c r="AG384" s="3">
        <f t="shared" si="104"/>
        <v>0</v>
      </c>
      <c r="AH384" s="3">
        <f>IF(AND($N384=1,AND(对接源_01水果!$D384="周转筐－销售出库",N(对接源_01水果!$K384)&lt;&gt;0)),1,0)</f>
        <v>0</v>
      </c>
      <c r="AI384" s="3">
        <f t="shared" si="105"/>
        <v>0</v>
      </c>
      <c r="AJ384" s="7"/>
      <c r="AL384" s="3">
        <f>IF(OR($AL$1="",对接源_01水果!$Y384="",对接源_01水果!$Y384&lt;&gt;$AL$1,对接源_01水果!$B384="",N(对接源_01水果!$AJ384)&lt;=0),0,IF(OR(N(对接源_01水果!$B384)&lt;$AL$2,N(对接源_01水果!$B384)&gt;$AL$3),0,1))</f>
        <v>0</v>
      </c>
      <c r="AM384" s="3">
        <f t="shared" si="106"/>
        <v>0</v>
      </c>
      <c r="AN384" s="3" t="str">
        <f>IF(对接源_01水果!$AC384="","",对接源_01水果!$AC384)</f>
        <v>电商/主播</v>
      </c>
      <c r="AO384" s="3">
        <f t="shared" si="107"/>
        <v>0</v>
      </c>
      <c r="AP384" s="3">
        <f t="shared" si="108"/>
        <v>3</v>
      </c>
      <c r="AR384">
        <f t="shared" si="109"/>
        <v>0</v>
      </c>
      <c r="AS384">
        <f t="shared" si="110"/>
        <v>0</v>
      </c>
    </row>
    <row r="385" ht="14.25" customHeight="1" spans="1:45">
      <c r="A385" s="3" t="str">
        <f>IF(对接源_01水果!$C385="","",对接源_01水果!$C385)</f>
        <v>王照雪</v>
      </c>
      <c r="B385" s="3">
        <f t="shared" si="94"/>
        <v>0</v>
      </c>
      <c r="C385" s="3">
        <f t="shared" si="95"/>
        <v>18</v>
      </c>
      <c r="K385" s="3">
        <f>IF(OR($K$1="",对接源_01水果!$C385="",对接源_01水果!$C385&lt;&gt;$K$1,对接源_01水果!$B385=""),0,IF(OR(N(对接源_01水果!$B385)&lt;$K$2,N(对接源_01水果!$B385)&gt;$K$3),0,1))</f>
        <v>0</v>
      </c>
      <c r="L385" s="3">
        <f>IF(OR($L$1="",对接源_01水果!$C385="",对接源_01水果!$C385&lt;&gt;$L$1,对接源_01水果!$B385=""),0,IF(OR(N(对接源_01水果!$B385)&lt;$L$2,N(对接源_01水果!$B385)&gt;$L$3),0,1))</f>
        <v>0</v>
      </c>
      <c r="M385" s="3">
        <f>IF(OR($M$1="",对接源_01水果!$C385="",对接源_01水果!$C385&lt;&gt;$M$1,对接源_01水果!$B385=""),0,IF(OR(N(对接源_01水果!$B385)&lt;$M$2,N(对接源_01水果!$B385)&gt;$M$3),0,1))</f>
        <v>0</v>
      </c>
      <c r="N385" s="3">
        <f>IF(OR($N$1="",对接源_01水果!$C385="",对接源_01水果!$C385&lt;&gt;$N$1,对接源_01水果!$B385=""),0,IF(OR(N(对接源_01水果!$B385)&lt;$N$2,N(对接源_01水果!$B385)&gt;$N$3),0,1))</f>
        <v>0</v>
      </c>
      <c r="P385" s="3">
        <f>IF(AND($K385=1,AND(对接源_01水果!$X385="公司筐",N(对接源_01水果!$T385)&lt;&gt;0)),1,0)</f>
        <v>0</v>
      </c>
      <c r="Q385" s="3">
        <f t="shared" si="96"/>
        <v>0</v>
      </c>
      <c r="R385" s="3">
        <f>IF(AND($K385=1,AND(对接源_01水果!$X385="公司筐",N(对接源_01水果!$U385)&lt;&gt;0)),1,0)</f>
        <v>0</v>
      </c>
      <c r="S385" s="3">
        <f t="shared" si="97"/>
        <v>0</v>
      </c>
      <c r="T385" s="3">
        <f>IF(AND($K385=1,AND(对接源_01水果!$X385="公司筐",N(对接源_01水果!$V385)&lt;&gt;0)),1,0)</f>
        <v>0</v>
      </c>
      <c r="U385" s="3">
        <f t="shared" si="98"/>
        <v>19</v>
      </c>
      <c r="V385" s="3">
        <f>IF(AND($L385=1,AND(对接源_01水果!$X385="自备筐",N(对接源_01水果!$V385)&lt;&gt;0)),1,0)</f>
        <v>0</v>
      </c>
      <c r="W385" s="3">
        <f t="shared" si="99"/>
        <v>8</v>
      </c>
      <c r="X385" s="3">
        <f>IF(AND($L385=1,AND(对接源_01水果!$X385="自备筐",N(对接源_01水果!$T385)&lt;&gt;0)),1,0)</f>
        <v>0</v>
      </c>
      <c r="Y385" s="3">
        <f t="shared" si="100"/>
        <v>0</v>
      </c>
      <c r="Z385" s="3">
        <f>IF(AND($M385=1,对接源_01水果!$D385="原料入库"),1,0)</f>
        <v>0</v>
      </c>
      <c r="AA385" s="3">
        <f t="shared" si="101"/>
        <v>24</v>
      </c>
      <c r="AB385" s="3">
        <f>IF(AND($M385=1,LEFT(对接源_01水果!$D385,4)="原料出库"),1,0)</f>
        <v>0</v>
      </c>
      <c r="AC385" s="3">
        <f t="shared" si="102"/>
        <v>0</v>
      </c>
      <c r="AD385" s="3">
        <f>IF(AND($M385=1,LEFT(对接源_01水果!$D385,4)="成品出库"),1,0)</f>
        <v>0</v>
      </c>
      <c r="AE385" s="3">
        <f t="shared" si="103"/>
        <v>0</v>
      </c>
      <c r="AF385" s="3">
        <f>IF(AND($N385=1,AND(LEFT(对接源_01水果!$D385,4)="包装物料",N(对接源_01水果!$K385)&lt;&gt;0)),1,0)</f>
        <v>0</v>
      </c>
      <c r="AG385" s="3">
        <f t="shared" si="104"/>
        <v>0</v>
      </c>
      <c r="AH385" s="3">
        <f>IF(AND($N385=1,AND(对接源_01水果!$D385="周转筐－销售出库",N(对接源_01水果!$K385)&lt;&gt;0)),1,0)</f>
        <v>0</v>
      </c>
      <c r="AI385" s="3">
        <f t="shared" si="105"/>
        <v>0</v>
      </c>
      <c r="AJ385" s="7"/>
      <c r="AL385" s="3">
        <f>IF(OR($AL$1="",对接源_01水果!$Y385="",对接源_01水果!$Y385&lt;&gt;$AL$1,对接源_01水果!$B385="",N(对接源_01水果!$AJ385)&lt;=0),0,IF(OR(N(对接源_01水果!$B385)&lt;$AL$2,N(对接源_01水果!$B385)&gt;$AL$3),0,1))</f>
        <v>0</v>
      </c>
      <c r="AM385" s="3">
        <f t="shared" si="106"/>
        <v>0</v>
      </c>
      <c r="AN385" s="3" t="str">
        <f>IF(对接源_01水果!$AC385="","",对接源_01水果!$AC385)</f>
        <v>电商/主播</v>
      </c>
      <c r="AO385" s="3">
        <f t="shared" si="107"/>
        <v>0</v>
      </c>
      <c r="AP385" s="3">
        <f t="shared" si="108"/>
        <v>3</v>
      </c>
      <c r="AR385">
        <f t="shared" si="109"/>
        <v>0</v>
      </c>
      <c r="AS385">
        <f t="shared" si="110"/>
        <v>0</v>
      </c>
    </row>
    <row r="386" ht="14.25" customHeight="1" spans="1:45">
      <c r="A386" s="3" t="str">
        <f>IF(对接源_01水果!$C386="","",对接源_01水果!$C386)</f>
        <v>王照雪</v>
      </c>
      <c r="B386" s="3">
        <f t="shared" si="94"/>
        <v>0</v>
      </c>
      <c r="C386" s="3">
        <f t="shared" si="95"/>
        <v>18</v>
      </c>
      <c r="K386" s="3">
        <f>IF(OR($K$1="",对接源_01水果!$C386="",对接源_01水果!$C386&lt;&gt;$K$1,对接源_01水果!$B386=""),0,IF(OR(N(对接源_01水果!$B386)&lt;$K$2,N(对接源_01水果!$B386)&gt;$K$3),0,1))</f>
        <v>0</v>
      </c>
      <c r="L386" s="3">
        <f>IF(OR($L$1="",对接源_01水果!$C386="",对接源_01水果!$C386&lt;&gt;$L$1,对接源_01水果!$B386=""),0,IF(OR(N(对接源_01水果!$B386)&lt;$L$2,N(对接源_01水果!$B386)&gt;$L$3),0,1))</f>
        <v>0</v>
      </c>
      <c r="M386" s="3">
        <f>IF(OR($M$1="",对接源_01水果!$C386="",对接源_01水果!$C386&lt;&gt;$M$1,对接源_01水果!$B386=""),0,IF(OR(N(对接源_01水果!$B386)&lt;$M$2,N(对接源_01水果!$B386)&gt;$M$3),0,1))</f>
        <v>0</v>
      </c>
      <c r="N386" s="3">
        <f>IF(OR($N$1="",对接源_01水果!$C386="",对接源_01水果!$C386&lt;&gt;$N$1,对接源_01水果!$B386=""),0,IF(OR(N(对接源_01水果!$B386)&lt;$N$2,N(对接源_01水果!$B386)&gt;$N$3),0,1))</f>
        <v>0</v>
      </c>
      <c r="P386" s="3">
        <f>IF(AND($K386=1,AND(对接源_01水果!$X386="公司筐",N(对接源_01水果!$T386)&lt;&gt;0)),1,0)</f>
        <v>0</v>
      </c>
      <c r="Q386" s="3">
        <f t="shared" si="96"/>
        <v>0</v>
      </c>
      <c r="R386" s="3">
        <f>IF(AND($K386=1,AND(对接源_01水果!$X386="公司筐",N(对接源_01水果!$U386)&lt;&gt;0)),1,0)</f>
        <v>0</v>
      </c>
      <c r="S386" s="3">
        <f t="shared" si="97"/>
        <v>0</v>
      </c>
      <c r="T386" s="3">
        <f>IF(AND($K386=1,AND(对接源_01水果!$X386="公司筐",N(对接源_01水果!$V386)&lt;&gt;0)),1,0)</f>
        <v>0</v>
      </c>
      <c r="U386" s="3">
        <f t="shared" si="98"/>
        <v>19</v>
      </c>
      <c r="V386" s="3">
        <f>IF(AND($L386=1,AND(对接源_01水果!$X386="自备筐",N(对接源_01水果!$V386)&lt;&gt;0)),1,0)</f>
        <v>0</v>
      </c>
      <c r="W386" s="3">
        <f t="shared" si="99"/>
        <v>8</v>
      </c>
      <c r="X386" s="3">
        <f>IF(AND($L386=1,AND(对接源_01水果!$X386="自备筐",N(对接源_01水果!$T386)&lt;&gt;0)),1,0)</f>
        <v>0</v>
      </c>
      <c r="Y386" s="3">
        <f t="shared" si="100"/>
        <v>0</v>
      </c>
      <c r="Z386" s="3">
        <f>IF(AND($M386=1,对接源_01水果!$D386="原料入库"),1,0)</f>
        <v>0</v>
      </c>
      <c r="AA386" s="3">
        <f t="shared" si="101"/>
        <v>24</v>
      </c>
      <c r="AB386" s="3">
        <f>IF(AND($M386=1,LEFT(对接源_01水果!$D386,4)="原料出库"),1,0)</f>
        <v>0</v>
      </c>
      <c r="AC386" s="3">
        <f t="shared" si="102"/>
        <v>0</v>
      </c>
      <c r="AD386" s="3">
        <f>IF(AND($M386=1,LEFT(对接源_01水果!$D386,4)="成品出库"),1,0)</f>
        <v>0</v>
      </c>
      <c r="AE386" s="3">
        <f t="shared" si="103"/>
        <v>0</v>
      </c>
      <c r="AF386" s="3">
        <f>IF(AND($N386=1,AND(LEFT(对接源_01水果!$D386,4)="包装物料",N(对接源_01水果!$K386)&lt;&gt;0)),1,0)</f>
        <v>0</v>
      </c>
      <c r="AG386" s="3">
        <f t="shared" si="104"/>
        <v>0</v>
      </c>
      <c r="AH386" s="3">
        <f>IF(AND($N386=1,AND(对接源_01水果!$D386="周转筐－销售出库",N(对接源_01水果!$K386)&lt;&gt;0)),1,0)</f>
        <v>0</v>
      </c>
      <c r="AI386" s="3">
        <f t="shared" si="105"/>
        <v>0</v>
      </c>
      <c r="AJ386" s="7"/>
      <c r="AL386" s="3">
        <f>IF(OR($AL$1="",对接源_01水果!$Y386="",对接源_01水果!$Y386&lt;&gt;$AL$1,对接源_01水果!$B386="",N(对接源_01水果!$AJ386)&lt;=0),0,IF(OR(N(对接源_01水果!$B386)&lt;$AL$2,N(对接源_01水果!$B386)&gt;$AL$3),0,1))</f>
        <v>0</v>
      </c>
      <c r="AM386" s="3">
        <f t="shared" si="106"/>
        <v>0</v>
      </c>
      <c r="AN386" s="3" t="str">
        <f>IF(对接源_01水果!$AC386="","",对接源_01水果!$AC386)</f>
        <v>电商/主播</v>
      </c>
      <c r="AO386" s="3">
        <f t="shared" si="107"/>
        <v>0</v>
      </c>
      <c r="AP386" s="3">
        <f t="shared" si="108"/>
        <v>3</v>
      </c>
      <c r="AR386">
        <f t="shared" si="109"/>
        <v>0</v>
      </c>
      <c r="AS386">
        <f t="shared" si="110"/>
        <v>0</v>
      </c>
    </row>
    <row r="387" ht="14.25" customHeight="1" spans="1:45">
      <c r="A387" s="3" t="str">
        <f>IF(对接源_01水果!$C387="","",对接源_01水果!$C387)</f>
        <v>王照雪</v>
      </c>
      <c r="B387" s="3">
        <f t="shared" si="94"/>
        <v>0</v>
      </c>
      <c r="C387" s="3">
        <f t="shared" si="95"/>
        <v>18</v>
      </c>
      <c r="K387" s="3">
        <f>IF(OR($K$1="",对接源_01水果!$C387="",对接源_01水果!$C387&lt;&gt;$K$1,对接源_01水果!$B387=""),0,IF(OR(N(对接源_01水果!$B387)&lt;$K$2,N(对接源_01水果!$B387)&gt;$K$3),0,1))</f>
        <v>0</v>
      </c>
      <c r="L387" s="3">
        <f>IF(OR($L$1="",对接源_01水果!$C387="",对接源_01水果!$C387&lt;&gt;$L$1,对接源_01水果!$B387=""),0,IF(OR(N(对接源_01水果!$B387)&lt;$L$2,N(对接源_01水果!$B387)&gt;$L$3),0,1))</f>
        <v>0</v>
      </c>
      <c r="M387" s="3">
        <f>IF(OR($M$1="",对接源_01水果!$C387="",对接源_01水果!$C387&lt;&gt;$M$1,对接源_01水果!$B387=""),0,IF(OR(N(对接源_01水果!$B387)&lt;$M$2,N(对接源_01水果!$B387)&gt;$M$3),0,1))</f>
        <v>0</v>
      </c>
      <c r="N387" s="3">
        <f>IF(OR($N$1="",对接源_01水果!$C387="",对接源_01水果!$C387&lt;&gt;$N$1,对接源_01水果!$B387=""),0,IF(OR(N(对接源_01水果!$B387)&lt;$N$2,N(对接源_01水果!$B387)&gt;$N$3),0,1))</f>
        <v>0</v>
      </c>
      <c r="P387" s="3">
        <f>IF(AND($K387=1,AND(对接源_01水果!$X387="公司筐",N(对接源_01水果!$T387)&lt;&gt;0)),1,0)</f>
        <v>0</v>
      </c>
      <c r="Q387" s="3">
        <f t="shared" si="96"/>
        <v>0</v>
      </c>
      <c r="R387" s="3">
        <f>IF(AND($K387=1,AND(对接源_01水果!$X387="公司筐",N(对接源_01水果!$U387)&lt;&gt;0)),1,0)</f>
        <v>0</v>
      </c>
      <c r="S387" s="3">
        <f t="shared" si="97"/>
        <v>0</v>
      </c>
      <c r="T387" s="3">
        <f>IF(AND($K387=1,AND(对接源_01水果!$X387="公司筐",N(对接源_01水果!$V387)&lt;&gt;0)),1,0)</f>
        <v>0</v>
      </c>
      <c r="U387" s="3">
        <f t="shared" si="98"/>
        <v>19</v>
      </c>
      <c r="V387" s="3">
        <f>IF(AND($L387=1,AND(对接源_01水果!$X387="自备筐",N(对接源_01水果!$V387)&lt;&gt;0)),1,0)</f>
        <v>0</v>
      </c>
      <c r="W387" s="3">
        <f t="shared" si="99"/>
        <v>8</v>
      </c>
      <c r="X387" s="3">
        <f>IF(AND($L387=1,AND(对接源_01水果!$X387="自备筐",N(对接源_01水果!$T387)&lt;&gt;0)),1,0)</f>
        <v>0</v>
      </c>
      <c r="Y387" s="3">
        <f t="shared" si="100"/>
        <v>0</v>
      </c>
      <c r="Z387" s="3">
        <f>IF(AND($M387=1,对接源_01水果!$D387="原料入库"),1,0)</f>
        <v>0</v>
      </c>
      <c r="AA387" s="3">
        <f t="shared" si="101"/>
        <v>24</v>
      </c>
      <c r="AB387" s="3">
        <f>IF(AND($M387=1,LEFT(对接源_01水果!$D387,4)="原料出库"),1,0)</f>
        <v>0</v>
      </c>
      <c r="AC387" s="3">
        <f t="shared" si="102"/>
        <v>0</v>
      </c>
      <c r="AD387" s="3">
        <f>IF(AND($M387=1,LEFT(对接源_01水果!$D387,4)="成品出库"),1,0)</f>
        <v>0</v>
      </c>
      <c r="AE387" s="3">
        <f t="shared" si="103"/>
        <v>0</v>
      </c>
      <c r="AF387" s="3">
        <f>IF(AND($N387=1,AND(LEFT(对接源_01水果!$D387,4)="包装物料",N(对接源_01水果!$K387)&lt;&gt;0)),1,0)</f>
        <v>0</v>
      </c>
      <c r="AG387" s="3">
        <f t="shared" si="104"/>
        <v>0</v>
      </c>
      <c r="AH387" s="3">
        <f>IF(AND($N387=1,AND(对接源_01水果!$D387="周转筐－销售出库",N(对接源_01水果!$K387)&lt;&gt;0)),1,0)</f>
        <v>0</v>
      </c>
      <c r="AI387" s="3">
        <f t="shared" si="105"/>
        <v>0</v>
      </c>
      <c r="AJ387" s="7"/>
      <c r="AL387" s="3">
        <f>IF(OR($AL$1="",对接源_01水果!$Y387="",对接源_01水果!$Y387&lt;&gt;$AL$1,对接源_01水果!$B387="",N(对接源_01水果!$AJ387)&lt;=0),0,IF(OR(N(对接源_01水果!$B387)&lt;$AL$2,N(对接源_01水果!$B387)&gt;$AL$3),0,1))</f>
        <v>0</v>
      </c>
      <c r="AM387" s="3">
        <f t="shared" si="106"/>
        <v>0</v>
      </c>
      <c r="AN387" s="3" t="str">
        <f>IF(对接源_01水果!$AC387="","",对接源_01水果!$AC387)</f>
        <v>电商/主播</v>
      </c>
      <c r="AO387" s="3">
        <f t="shared" si="107"/>
        <v>0</v>
      </c>
      <c r="AP387" s="3">
        <f t="shared" si="108"/>
        <v>3</v>
      </c>
      <c r="AR387">
        <f t="shared" si="109"/>
        <v>0</v>
      </c>
      <c r="AS387">
        <f t="shared" si="110"/>
        <v>0</v>
      </c>
    </row>
    <row r="388" ht="14.25" customHeight="1" spans="1:45">
      <c r="A388" s="3" t="str">
        <f>IF(对接源_01水果!$C388="","",对接源_01水果!$C388)</f>
        <v>王照雪</v>
      </c>
      <c r="B388" s="3">
        <f t="shared" ref="B388:B451" si="111">IF(A388="",0,IF(MATCH(A388,$A$4:$A$2403,0)=ROW()-3,1,0))</f>
        <v>0</v>
      </c>
      <c r="C388" s="3">
        <f t="shared" ref="C388:C451" si="112">N(C387)+B388</f>
        <v>18</v>
      </c>
      <c r="K388" s="3">
        <f>IF(OR($K$1="",对接源_01水果!$C388="",对接源_01水果!$C388&lt;&gt;$K$1,对接源_01水果!$B388=""),0,IF(OR(N(对接源_01水果!$B388)&lt;$K$2,N(对接源_01水果!$B388)&gt;$K$3),0,1))</f>
        <v>0</v>
      </c>
      <c r="L388" s="3">
        <f>IF(OR($L$1="",对接源_01水果!$C388="",对接源_01水果!$C388&lt;&gt;$L$1,对接源_01水果!$B388=""),0,IF(OR(N(对接源_01水果!$B388)&lt;$L$2,N(对接源_01水果!$B388)&gt;$L$3),0,1))</f>
        <v>0</v>
      </c>
      <c r="M388" s="3">
        <f>IF(OR($M$1="",对接源_01水果!$C388="",对接源_01水果!$C388&lt;&gt;$M$1,对接源_01水果!$B388=""),0,IF(OR(N(对接源_01水果!$B388)&lt;$M$2,N(对接源_01水果!$B388)&gt;$M$3),0,1))</f>
        <v>0</v>
      </c>
      <c r="N388" s="3">
        <f>IF(OR($N$1="",对接源_01水果!$C388="",对接源_01水果!$C388&lt;&gt;$N$1,对接源_01水果!$B388=""),0,IF(OR(N(对接源_01水果!$B388)&lt;$N$2,N(对接源_01水果!$B388)&gt;$N$3),0,1))</f>
        <v>0</v>
      </c>
      <c r="P388" s="3">
        <f>IF(AND($K388=1,AND(对接源_01水果!$X388="公司筐",N(对接源_01水果!$T388)&lt;&gt;0)),1,0)</f>
        <v>0</v>
      </c>
      <c r="Q388" s="3">
        <f t="shared" ref="Q388:Q451" si="113">N(Q387)+$P388</f>
        <v>0</v>
      </c>
      <c r="R388" s="3">
        <f>IF(AND($K388=1,AND(对接源_01水果!$X388="公司筐",N(对接源_01水果!$U388)&lt;&gt;0)),1,0)</f>
        <v>0</v>
      </c>
      <c r="S388" s="3">
        <f t="shared" ref="S388:S451" si="114">N(S387)+$R388</f>
        <v>0</v>
      </c>
      <c r="T388" s="3">
        <f>IF(AND($K388=1,AND(对接源_01水果!$X388="公司筐",N(对接源_01水果!$V388)&lt;&gt;0)),1,0)</f>
        <v>0</v>
      </c>
      <c r="U388" s="3">
        <f t="shared" ref="U388:U451" si="115">N(U387)+$T388</f>
        <v>19</v>
      </c>
      <c r="V388" s="3">
        <f>IF(AND($L388=1,AND(对接源_01水果!$X388="自备筐",N(对接源_01水果!$V388)&lt;&gt;0)),1,0)</f>
        <v>0</v>
      </c>
      <c r="W388" s="3">
        <f t="shared" ref="W388:W451" si="116">N(W387)+$V388</f>
        <v>8</v>
      </c>
      <c r="X388" s="3">
        <f>IF(AND($L388=1,AND(对接源_01水果!$X388="自备筐",N(对接源_01水果!$T388)&lt;&gt;0)),1,0)</f>
        <v>0</v>
      </c>
      <c r="Y388" s="3">
        <f t="shared" ref="Y388:Y451" si="117">N(Y387)+$X388</f>
        <v>0</v>
      </c>
      <c r="Z388" s="3">
        <f>IF(AND($M388=1,对接源_01水果!$D388="原料入库"),1,0)</f>
        <v>0</v>
      </c>
      <c r="AA388" s="3">
        <f t="shared" ref="AA388:AA451" si="118">N(AA387)+$Z388</f>
        <v>24</v>
      </c>
      <c r="AB388" s="3">
        <f>IF(AND($M388=1,LEFT(对接源_01水果!$D388,4)="原料出库"),1,0)</f>
        <v>0</v>
      </c>
      <c r="AC388" s="3">
        <f t="shared" ref="AC388:AC451" si="119">N(AC387)+$AB388</f>
        <v>0</v>
      </c>
      <c r="AD388" s="3">
        <f>IF(AND($M388=1,LEFT(对接源_01水果!$D388,4)="成品出库"),1,0)</f>
        <v>0</v>
      </c>
      <c r="AE388" s="3">
        <f t="shared" ref="AE388:AE451" si="120">N(AE387)+$AD388</f>
        <v>0</v>
      </c>
      <c r="AF388" s="3">
        <f>IF(AND($N388=1,AND(LEFT(对接源_01水果!$D388,4)="包装物料",N(对接源_01水果!$K388)&lt;&gt;0)),1,0)</f>
        <v>0</v>
      </c>
      <c r="AG388" s="3">
        <f t="shared" ref="AG388:AG451" si="121">N(AG387)+$AF388</f>
        <v>0</v>
      </c>
      <c r="AH388" s="3">
        <f>IF(AND($N388=1,AND(对接源_01水果!$D388="周转筐－销售出库",N(对接源_01水果!$K388)&lt;&gt;0)),1,0)</f>
        <v>0</v>
      </c>
      <c r="AI388" s="3">
        <f t="shared" ref="AI388:AI451" si="122">N(AI387)+$AH388</f>
        <v>0</v>
      </c>
      <c r="AJ388" s="7"/>
      <c r="AL388" s="3">
        <f>IF(OR($AL$1="",对接源_01水果!$Y388="",对接源_01水果!$Y388&lt;&gt;$AL$1,对接源_01水果!$B388="",N(对接源_01水果!$AJ388)&lt;=0),0,IF(OR(N(对接源_01水果!$B388)&lt;$AL$2,N(对接源_01水果!$B388)&gt;$AL$3),0,1))</f>
        <v>0</v>
      </c>
      <c r="AM388" s="3">
        <f t="shared" ref="AM388:AM451" si="123">N(AM387)+$AL388</f>
        <v>0</v>
      </c>
      <c r="AN388" s="3" t="str">
        <f>IF(对接源_01水果!$AC388="","",对接源_01水果!$AC388)</f>
        <v>电商/主播</v>
      </c>
      <c r="AO388" s="3">
        <f t="shared" ref="AO388:AO451" si="124">IF(AN388="",0,IF(MATCH(AN388,$AN$4:$AN$1203,0)=ROW()-3,1,0))</f>
        <v>0</v>
      </c>
      <c r="AP388" s="3">
        <f t="shared" ref="AP388:AP451" si="125">N(AP387)+$AO388</f>
        <v>3</v>
      </c>
      <c r="AR388">
        <f t="shared" ref="AR388:AR451" si="126">IF(OR($AF388=1,$AH388=1),1,0)</f>
        <v>0</v>
      </c>
      <c r="AS388">
        <f t="shared" ref="AS388:AS451" si="127">N(AS387)+$AR388</f>
        <v>0</v>
      </c>
    </row>
    <row r="389" ht="14.25" customHeight="1" spans="1:45">
      <c r="A389" s="3" t="str">
        <f>IF(对接源_01水果!$C389="","",对接源_01水果!$C389)</f>
        <v>王照雪</v>
      </c>
      <c r="B389" s="3">
        <f t="shared" si="111"/>
        <v>0</v>
      </c>
      <c r="C389" s="3">
        <f t="shared" si="112"/>
        <v>18</v>
      </c>
      <c r="K389" s="3">
        <f>IF(OR($K$1="",对接源_01水果!$C389="",对接源_01水果!$C389&lt;&gt;$K$1,对接源_01水果!$B389=""),0,IF(OR(N(对接源_01水果!$B389)&lt;$K$2,N(对接源_01水果!$B389)&gt;$K$3),0,1))</f>
        <v>0</v>
      </c>
      <c r="L389" s="3">
        <f>IF(OR($L$1="",对接源_01水果!$C389="",对接源_01水果!$C389&lt;&gt;$L$1,对接源_01水果!$B389=""),0,IF(OR(N(对接源_01水果!$B389)&lt;$L$2,N(对接源_01水果!$B389)&gt;$L$3),0,1))</f>
        <v>0</v>
      </c>
      <c r="M389" s="3">
        <f>IF(OR($M$1="",对接源_01水果!$C389="",对接源_01水果!$C389&lt;&gt;$M$1,对接源_01水果!$B389=""),0,IF(OR(N(对接源_01水果!$B389)&lt;$M$2,N(对接源_01水果!$B389)&gt;$M$3),0,1))</f>
        <v>0</v>
      </c>
      <c r="N389" s="3">
        <f>IF(OR($N$1="",对接源_01水果!$C389="",对接源_01水果!$C389&lt;&gt;$N$1,对接源_01水果!$B389=""),0,IF(OR(N(对接源_01水果!$B389)&lt;$N$2,N(对接源_01水果!$B389)&gt;$N$3),0,1))</f>
        <v>0</v>
      </c>
      <c r="P389" s="3">
        <f>IF(AND($K389=1,AND(对接源_01水果!$X389="公司筐",N(对接源_01水果!$T389)&lt;&gt;0)),1,0)</f>
        <v>0</v>
      </c>
      <c r="Q389" s="3">
        <f t="shared" si="113"/>
        <v>0</v>
      </c>
      <c r="R389" s="3">
        <f>IF(AND($K389=1,AND(对接源_01水果!$X389="公司筐",N(对接源_01水果!$U389)&lt;&gt;0)),1,0)</f>
        <v>0</v>
      </c>
      <c r="S389" s="3">
        <f t="shared" si="114"/>
        <v>0</v>
      </c>
      <c r="T389" s="3">
        <f>IF(AND($K389=1,AND(对接源_01水果!$X389="公司筐",N(对接源_01水果!$V389)&lt;&gt;0)),1,0)</f>
        <v>0</v>
      </c>
      <c r="U389" s="3">
        <f t="shared" si="115"/>
        <v>19</v>
      </c>
      <c r="V389" s="3">
        <f>IF(AND($L389=1,AND(对接源_01水果!$X389="自备筐",N(对接源_01水果!$V389)&lt;&gt;0)),1,0)</f>
        <v>0</v>
      </c>
      <c r="W389" s="3">
        <f t="shared" si="116"/>
        <v>8</v>
      </c>
      <c r="X389" s="3">
        <f>IF(AND($L389=1,AND(对接源_01水果!$X389="自备筐",N(对接源_01水果!$T389)&lt;&gt;0)),1,0)</f>
        <v>0</v>
      </c>
      <c r="Y389" s="3">
        <f t="shared" si="117"/>
        <v>0</v>
      </c>
      <c r="Z389" s="3">
        <f>IF(AND($M389=1,对接源_01水果!$D389="原料入库"),1,0)</f>
        <v>0</v>
      </c>
      <c r="AA389" s="3">
        <f t="shared" si="118"/>
        <v>24</v>
      </c>
      <c r="AB389" s="3">
        <f>IF(AND($M389=1,LEFT(对接源_01水果!$D389,4)="原料出库"),1,0)</f>
        <v>0</v>
      </c>
      <c r="AC389" s="3">
        <f t="shared" si="119"/>
        <v>0</v>
      </c>
      <c r="AD389" s="3">
        <f>IF(AND($M389=1,LEFT(对接源_01水果!$D389,4)="成品出库"),1,0)</f>
        <v>0</v>
      </c>
      <c r="AE389" s="3">
        <f t="shared" si="120"/>
        <v>0</v>
      </c>
      <c r="AF389" s="3">
        <f>IF(AND($N389=1,AND(LEFT(对接源_01水果!$D389,4)="包装物料",N(对接源_01水果!$K389)&lt;&gt;0)),1,0)</f>
        <v>0</v>
      </c>
      <c r="AG389" s="3">
        <f t="shared" si="121"/>
        <v>0</v>
      </c>
      <c r="AH389" s="3">
        <f>IF(AND($N389=1,AND(对接源_01水果!$D389="周转筐－销售出库",N(对接源_01水果!$K389)&lt;&gt;0)),1,0)</f>
        <v>0</v>
      </c>
      <c r="AI389" s="3">
        <f t="shared" si="122"/>
        <v>0</v>
      </c>
      <c r="AJ389" s="7"/>
      <c r="AL389" s="3">
        <f>IF(OR($AL$1="",对接源_01水果!$Y389="",对接源_01水果!$Y389&lt;&gt;$AL$1,对接源_01水果!$B389="",N(对接源_01水果!$AJ389)&lt;=0),0,IF(OR(N(对接源_01水果!$B389)&lt;$AL$2,N(对接源_01水果!$B389)&gt;$AL$3),0,1))</f>
        <v>0</v>
      </c>
      <c r="AM389" s="3">
        <f t="shared" si="123"/>
        <v>0</v>
      </c>
      <c r="AN389" s="3" t="str">
        <f>IF(对接源_01水果!$AC389="","",对接源_01水果!$AC389)</f>
        <v>电商/主播</v>
      </c>
      <c r="AO389" s="3">
        <f t="shared" si="124"/>
        <v>0</v>
      </c>
      <c r="AP389" s="3">
        <f t="shared" si="125"/>
        <v>3</v>
      </c>
      <c r="AR389">
        <f t="shared" si="126"/>
        <v>0</v>
      </c>
      <c r="AS389">
        <f t="shared" si="127"/>
        <v>0</v>
      </c>
    </row>
    <row r="390" ht="14.25" customHeight="1" spans="1:45">
      <c r="A390" s="3" t="str">
        <f>IF(对接源_01水果!$C390="","",对接源_01水果!$C390)</f>
        <v>聂新平</v>
      </c>
      <c r="B390" s="3">
        <f t="shared" si="111"/>
        <v>0</v>
      </c>
      <c r="C390" s="3">
        <f t="shared" si="112"/>
        <v>18</v>
      </c>
      <c r="K390" s="3">
        <f>IF(OR($K$1="",对接源_01水果!$C390="",对接源_01水果!$C390&lt;&gt;$K$1,对接源_01水果!$B390=""),0,IF(OR(N(对接源_01水果!$B390)&lt;$K$2,N(对接源_01水果!$B390)&gt;$K$3),0,1))</f>
        <v>0</v>
      </c>
      <c r="L390" s="3">
        <f>IF(OR($L$1="",对接源_01水果!$C390="",对接源_01水果!$C390&lt;&gt;$L$1,对接源_01水果!$B390=""),0,IF(OR(N(对接源_01水果!$B390)&lt;$L$2,N(对接源_01水果!$B390)&gt;$L$3),0,1))</f>
        <v>0</v>
      </c>
      <c r="M390" s="3">
        <f>IF(OR($M$1="",对接源_01水果!$C390="",对接源_01水果!$C390&lt;&gt;$M$1,对接源_01水果!$B390=""),0,IF(OR(N(对接源_01水果!$B390)&lt;$M$2,N(对接源_01水果!$B390)&gt;$M$3),0,1))</f>
        <v>0</v>
      </c>
      <c r="N390" s="3">
        <f>IF(OR($N$1="",对接源_01水果!$C390="",对接源_01水果!$C390&lt;&gt;$N$1,对接源_01水果!$B390=""),0,IF(OR(N(对接源_01水果!$B390)&lt;$N$2,N(对接源_01水果!$B390)&gt;$N$3),0,1))</f>
        <v>0</v>
      </c>
      <c r="P390" s="3">
        <f>IF(AND($K390=1,AND(对接源_01水果!$X390="公司筐",N(对接源_01水果!$T390)&lt;&gt;0)),1,0)</f>
        <v>0</v>
      </c>
      <c r="Q390" s="3">
        <f t="shared" si="113"/>
        <v>0</v>
      </c>
      <c r="R390" s="3">
        <f>IF(AND($K390=1,AND(对接源_01水果!$X390="公司筐",N(对接源_01水果!$U390)&lt;&gt;0)),1,0)</f>
        <v>0</v>
      </c>
      <c r="S390" s="3">
        <f t="shared" si="114"/>
        <v>0</v>
      </c>
      <c r="T390" s="3">
        <f>IF(AND($K390=1,AND(对接源_01水果!$X390="公司筐",N(对接源_01水果!$V390)&lt;&gt;0)),1,0)</f>
        <v>0</v>
      </c>
      <c r="U390" s="3">
        <f t="shared" si="115"/>
        <v>19</v>
      </c>
      <c r="V390" s="3">
        <f>IF(AND($L390=1,AND(对接源_01水果!$X390="自备筐",N(对接源_01水果!$V390)&lt;&gt;0)),1,0)</f>
        <v>0</v>
      </c>
      <c r="W390" s="3">
        <f t="shared" si="116"/>
        <v>8</v>
      </c>
      <c r="X390" s="3">
        <f>IF(AND($L390=1,AND(对接源_01水果!$X390="自备筐",N(对接源_01水果!$T390)&lt;&gt;0)),1,0)</f>
        <v>0</v>
      </c>
      <c r="Y390" s="3">
        <f t="shared" si="117"/>
        <v>0</v>
      </c>
      <c r="Z390" s="3">
        <f>IF(AND($M390=1,对接源_01水果!$D390="原料入库"),1,0)</f>
        <v>0</v>
      </c>
      <c r="AA390" s="3">
        <f t="shared" si="118"/>
        <v>24</v>
      </c>
      <c r="AB390" s="3">
        <f>IF(AND($M390=1,LEFT(对接源_01水果!$D390,4)="原料出库"),1,0)</f>
        <v>0</v>
      </c>
      <c r="AC390" s="3">
        <f t="shared" si="119"/>
        <v>0</v>
      </c>
      <c r="AD390" s="3">
        <f>IF(AND($M390=1,LEFT(对接源_01水果!$D390,4)="成品出库"),1,0)</f>
        <v>0</v>
      </c>
      <c r="AE390" s="3">
        <f t="shared" si="120"/>
        <v>0</v>
      </c>
      <c r="AF390" s="3">
        <f>IF(AND($N390=1,AND(LEFT(对接源_01水果!$D390,4)="包装物料",N(对接源_01水果!$K390)&lt;&gt;0)),1,0)</f>
        <v>0</v>
      </c>
      <c r="AG390" s="3">
        <f t="shared" si="121"/>
        <v>0</v>
      </c>
      <c r="AH390" s="3">
        <f>IF(AND($N390=1,AND(对接源_01水果!$D390="周转筐－销售出库",N(对接源_01水果!$K390)&lt;&gt;0)),1,0)</f>
        <v>0</v>
      </c>
      <c r="AI390" s="3">
        <f t="shared" si="122"/>
        <v>0</v>
      </c>
      <c r="AJ390" s="7"/>
      <c r="AL390" s="3">
        <f>IF(OR($AL$1="",对接源_01水果!$Y390="",对接源_01水果!$Y390&lt;&gt;$AL$1,对接源_01水果!$B390="",N(对接源_01水果!$AJ390)&lt;=0),0,IF(OR(N(对接源_01水果!$B390)&lt;$AL$2,N(对接源_01水果!$B390)&gt;$AL$3),0,1))</f>
        <v>0</v>
      </c>
      <c r="AM390" s="3">
        <f t="shared" si="123"/>
        <v>0</v>
      </c>
      <c r="AN390" s="3" t="str">
        <f>IF(对接源_01水果!$AC390="","",对接源_01水果!$AC390)</f>
        <v>聂新平</v>
      </c>
      <c r="AO390" s="3">
        <f t="shared" si="124"/>
        <v>1</v>
      </c>
      <c r="AP390" s="3">
        <f t="shared" si="125"/>
        <v>4</v>
      </c>
      <c r="AR390">
        <f t="shared" si="126"/>
        <v>0</v>
      </c>
      <c r="AS390">
        <f t="shared" si="127"/>
        <v>0</v>
      </c>
    </row>
    <row r="391" ht="14.25" customHeight="1" spans="1:45">
      <c r="A391" s="3" t="str">
        <f>IF(对接源_01水果!$C391="","",对接源_01水果!$C391)</f>
        <v>王照雪</v>
      </c>
      <c r="B391" s="3">
        <f t="shared" si="111"/>
        <v>0</v>
      </c>
      <c r="C391" s="3">
        <f t="shared" si="112"/>
        <v>18</v>
      </c>
      <c r="K391" s="3">
        <f>IF(OR($K$1="",对接源_01水果!$C391="",对接源_01水果!$C391&lt;&gt;$K$1,对接源_01水果!$B391=""),0,IF(OR(N(对接源_01水果!$B391)&lt;$K$2,N(对接源_01水果!$B391)&gt;$K$3),0,1))</f>
        <v>0</v>
      </c>
      <c r="L391" s="3">
        <f>IF(OR($L$1="",对接源_01水果!$C391="",对接源_01水果!$C391&lt;&gt;$L$1,对接源_01水果!$B391=""),0,IF(OR(N(对接源_01水果!$B391)&lt;$L$2,N(对接源_01水果!$B391)&gt;$L$3),0,1))</f>
        <v>0</v>
      </c>
      <c r="M391" s="3">
        <f>IF(OR($M$1="",对接源_01水果!$C391="",对接源_01水果!$C391&lt;&gt;$M$1,对接源_01水果!$B391=""),0,IF(OR(N(对接源_01水果!$B391)&lt;$M$2,N(对接源_01水果!$B391)&gt;$M$3),0,1))</f>
        <v>0</v>
      </c>
      <c r="N391" s="3">
        <f>IF(OR($N$1="",对接源_01水果!$C391="",对接源_01水果!$C391&lt;&gt;$N$1,对接源_01水果!$B391=""),0,IF(OR(N(对接源_01水果!$B391)&lt;$N$2,N(对接源_01水果!$B391)&gt;$N$3),0,1))</f>
        <v>0</v>
      </c>
      <c r="P391" s="3">
        <f>IF(AND($K391=1,AND(对接源_01水果!$X391="公司筐",N(对接源_01水果!$T391)&lt;&gt;0)),1,0)</f>
        <v>0</v>
      </c>
      <c r="Q391" s="3">
        <f t="shared" si="113"/>
        <v>0</v>
      </c>
      <c r="R391" s="3">
        <f>IF(AND($K391=1,AND(对接源_01水果!$X391="公司筐",N(对接源_01水果!$U391)&lt;&gt;0)),1,0)</f>
        <v>0</v>
      </c>
      <c r="S391" s="3">
        <f t="shared" si="114"/>
        <v>0</v>
      </c>
      <c r="T391" s="3">
        <f>IF(AND($K391=1,AND(对接源_01水果!$X391="公司筐",N(对接源_01水果!$V391)&lt;&gt;0)),1,0)</f>
        <v>0</v>
      </c>
      <c r="U391" s="3">
        <f t="shared" si="115"/>
        <v>19</v>
      </c>
      <c r="V391" s="3">
        <f>IF(AND($L391=1,AND(对接源_01水果!$X391="自备筐",N(对接源_01水果!$V391)&lt;&gt;0)),1,0)</f>
        <v>0</v>
      </c>
      <c r="W391" s="3">
        <f t="shared" si="116"/>
        <v>8</v>
      </c>
      <c r="X391" s="3">
        <f>IF(AND($L391=1,AND(对接源_01水果!$X391="自备筐",N(对接源_01水果!$T391)&lt;&gt;0)),1,0)</f>
        <v>0</v>
      </c>
      <c r="Y391" s="3">
        <f t="shared" si="117"/>
        <v>0</v>
      </c>
      <c r="Z391" s="3">
        <f>IF(AND($M391=1,对接源_01水果!$D391="原料入库"),1,0)</f>
        <v>0</v>
      </c>
      <c r="AA391" s="3">
        <f t="shared" si="118"/>
        <v>24</v>
      </c>
      <c r="AB391" s="3">
        <f>IF(AND($M391=1,LEFT(对接源_01水果!$D391,4)="原料出库"),1,0)</f>
        <v>0</v>
      </c>
      <c r="AC391" s="3">
        <f t="shared" si="119"/>
        <v>0</v>
      </c>
      <c r="AD391" s="3">
        <f>IF(AND($M391=1,LEFT(对接源_01水果!$D391,4)="成品出库"),1,0)</f>
        <v>0</v>
      </c>
      <c r="AE391" s="3">
        <f t="shared" si="120"/>
        <v>0</v>
      </c>
      <c r="AF391" s="3">
        <f>IF(AND($N391=1,AND(LEFT(对接源_01水果!$D391,4)="包装物料",N(对接源_01水果!$K391)&lt;&gt;0)),1,0)</f>
        <v>0</v>
      </c>
      <c r="AG391" s="3">
        <f t="shared" si="121"/>
        <v>0</v>
      </c>
      <c r="AH391" s="3">
        <f>IF(AND($N391=1,AND(对接源_01水果!$D391="周转筐－销售出库",N(对接源_01水果!$K391)&lt;&gt;0)),1,0)</f>
        <v>0</v>
      </c>
      <c r="AI391" s="3">
        <f t="shared" si="122"/>
        <v>0</v>
      </c>
      <c r="AJ391" s="7"/>
      <c r="AL391" s="3">
        <f>IF(OR($AL$1="",对接源_01水果!$Y391="",对接源_01水果!$Y391&lt;&gt;$AL$1,对接源_01水果!$B391="",N(对接源_01水果!$AJ391)&lt;=0),0,IF(OR(N(对接源_01水果!$B391)&lt;$AL$2,N(对接源_01水果!$B391)&gt;$AL$3),0,1))</f>
        <v>0</v>
      </c>
      <c r="AM391" s="3">
        <f t="shared" si="123"/>
        <v>0</v>
      </c>
      <c r="AN391" s="3" t="str">
        <f>IF(对接源_01水果!$AC391="","",对接源_01水果!$AC391)</f>
        <v>电商/主播</v>
      </c>
      <c r="AO391" s="3">
        <f t="shared" si="124"/>
        <v>0</v>
      </c>
      <c r="AP391" s="3">
        <f t="shared" si="125"/>
        <v>4</v>
      </c>
      <c r="AR391">
        <f t="shared" si="126"/>
        <v>0</v>
      </c>
      <c r="AS391">
        <f t="shared" si="127"/>
        <v>0</v>
      </c>
    </row>
    <row r="392" ht="14.25" customHeight="1" spans="1:45">
      <c r="A392" s="3" t="str">
        <f>IF(对接源_01水果!$C392="","",对接源_01水果!$C392)</f>
        <v>王照雪</v>
      </c>
      <c r="B392" s="3">
        <f t="shared" si="111"/>
        <v>0</v>
      </c>
      <c r="C392" s="3">
        <f t="shared" si="112"/>
        <v>18</v>
      </c>
      <c r="K392" s="3">
        <f>IF(OR($K$1="",对接源_01水果!$C392="",对接源_01水果!$C392&lt;&gt;$K$1,对接源_01水果!$B392=""),0,IF(OR(N(对接源_01水果!$B392)&lt;$K$2,N(对接源_01水果!$B392)&gt;$K$3),0,1))</f>
        <v>0</v>
      </c>
      <c r="L392" s="3">
        <f>IF(OR($L$1="",对接源_01水果!$C392="",对接源_01水果!$C392&lt;&gt;$L$1,对接源_01水果!$B392=""),0,IF(OR(N(对接源_01水果!$B392)&lt;$L$2,N(对接源_01水果!$B392)&gt;$L$3),0,1))</f>
        <v>0</v>
      </c>
      <c r="M392" s="3">
        <f>IF(OR($M$1="",对接源_01水果!$C392="",对接源_01水果!$C392&lt;&gt;$M$1,对接源_01水果!$B392=""),0,IF(OR(N(对接源_01水果!$B392)&lt;$M$2,N(对接源_01水果!$B392)&gt;$M$3),0,1))</f>
        <v>0</v>
      </c>
      <c r="N392" s="3">
        <f>IF(OR($N$1="",对接源_01水果!$C392="",对接源_01水果!$C392&lt;&gt;$N$1,对接源_01水果!$B392=""),0,IF(OR(N(对接源_01水果!$B392)&lt;$N$2,N(对接源_01水果!$B392)&gt;$N$3),0,1))</f>
        <v>0</v>
      </c>
      <c r="P392" s="3">
        <f>IF(AND($K392=1,AND(对接源_01水果!$X392="公司筐",N(对接源_01水果!$T392)&lt;&gt;0)),1,0)</f>
        <v>0</v>
      </c>
      <c r="Q392" s="3">
        <f t="shared" si="113"/>
        <v>0</v>
      </c>
      <c r="R392" s="3">
        <f>IF(AND($K392=1,AND(对接源_01水果!$X392="公司筐",N(对接源_01水果!$U392)&lt;&gt;0)),1,0)</f>
        <v>0</v>
      </c>
      <c r="S392" s="3">
        <f t="shared" si="114"/>
        <v>0</v>
      </c>
      <c r="T392" s="3">
        <f>IF(AND($K392=1,AND(对接源_01水果!$X392="公司筐",N(对接源_01水果!$V392)&lt;&gt;0)),1,0)</f>
        <v>0</v>
      </c>
      <c r="U392" s="3">
        <f t="shared" si="115"/>
        <v>19</v>
      </c>
      <c r="V392" s="3">
        <f>IF(AND($L392=1,AND(对接源_01水果!$X392="自备筐",N(对接源_01水果!$V392)&lt;&gt;0)),1,0)</f>
        <v>0</v>
      </c>
      <c r="W392" s="3">
        <f t="shared" si="116"/>
        <v>8</v>
      </c>
      <c r="X392" s="3">
        <f>IF(AND($L392=1,AND(对接源_01水果!$X392="自备筐",N(对接源_01水果!$T392)&lt;&gt;0)),1,0)</f>
        <v>0</v>
      </c>
      <c r="Y392" s="3">
        <f t="shared" si="117"/>
        <v>0</v>
      </c>
      <c r="Z392" s="3">
        <f>IF(AND($M392=1,对接源_01水果!$D392="原料入库"),1,0)</f>
        <v>0</v>
      </c>
      <c r="AA392" s="3">
        <f t="shared" si="118"/>
        <v>24</v>
      </c>
      <c r="AB392" s="3">
        <f>IF(AND($M392=1,LEFT(对接源_01水果!$D392,4)="原料出库"),1,0)</f>
        <v>0</v>
      </c>
      <c r="AC392" s="3">
        <f t="shared" si="119"/>
        <v>0</v>
      </c>
      <c r="AD392" s="3">
        <f>IF(AND($M392=1,LEFT(对接源_01水果!$D392,4)="成品出库"),1,0)</f>
        <v>0</v>
      </c>
      <c r="AE392" s="3">
        <f t="shared" si="120"/>
        <v>0</v>
      </c>
      <c r="AF392" s="3">
        <f>IF(AND($N392=1,AND(LEFT(对接源_01水果!$D392,4)="包装物料",N(对接源_01水果!$K392)&lt;&gt;0)),1,0)</f>
        <v>0</v>
      </c>
      <c r="AG392" s="3">
        <f t="shared" si="121"/>
        <v>0</v>
      </c>
      <c r="AH392" s="3">
        <f>IF(AND($N392=1,AND(对接源_01水果!$D392="周转筐－销售出库",N(对接源_01水果!$K392)&lt;&gt;0)),1,0)</f>
        <v>0</v>
      </c>
      <c r="AI392" s="3">
        <f t="shared" si="122"/>
        <v>0</v>
      </c>
      <c r="AJ392" s="7"/>
      <c r="AL392" s="3">
        <f>IF(OR($AL$1="",对接源_01水果!$Y392="",对接源_01水果!$Y392&lt;&gt;$AL$1,对接源_01水果!$B392="",N(对接源_01水果!$AJ392)&lt;=0),0,IF(OR(N(对接源_01水果!$B392)&lt;$AL$2,N(对接源_01水果!$B392)&gt;$AL$3),0,1))</f>
        <v>0</v>
      </c>
      <c r="AM392" s="3">
        <f t="shared" si="123"/>
        <v>0</v>
      </c>
      <c r="AN392" s="3" t="str">
        <f>IF(对接源_01水果!$AC392="","",对接源_01水果!$AC392)</f>
        <v>电商/主播</v>
      </c>
      <c r="AO392" s="3">
        <f t="shared" si="124"/>
        <v>0</v>
      </c>
      <c r="AP392" s="3">
        <f t="shared" si="125"/>
        <v>4</v>
      </c>
      <c r="AR392">
        <f t="shared" si="126"/>
        <v>0</v>
      </c>
      <c r="AS392">
        <f t="shared" si="127"/>
        <v>0</v>
      </c>
    </row>
    <row r="393" ht="14.25" customHeight="1" spans="1:45">
      <c r="A393" s="3" t="str">
        <f>IF(对接源_01水果!$C393="","",对接源_01水果!$C393)</f>
        <v>王照雪</v>
      </c>
      <c r="B393" s="3">
        <f t="shared" si="111"/>
        <v>0</v>
      </c>
      <c r="C393" s="3">
        <f t="shared" si="112"/>
        <v>18</v>
      </c>
      <c r="K393" s="3">
        <f>IF(OR($K$1="",对接源_01水果!$C393="",对接源_01水果!$C393&lt;&gt;$K$1,对接源_01水果!$B393=""),0,IF(OR(N(对接源_01水果!$B393)&lt;$K$2,N(对接源_01水果!$B393)&gt;$K$3),0,1))</f>
        <v>0</v>
      </c>
      <c r="L393" s="3">
        <f>IF(OR($L$1="",对接源_01水果!$C393="",对接源_01水果!$C393&lt;&gt;$L$1,对接源_01水果!$B393=""),0,IF(OR(N(对接源_01水果!$B393)&lt;$L$2,N(对接源_01水果!$B393)&gt;$L$3),0,1))</f>
        <v>0</v>
      </c>
      <c r="M393" s="3">
        <f>IF(OR($M$1="",对接源_01水果!$C393="",对接源_01水果!$C393&lt;&gt;$M$1,对接源_01水果!$B393=""),0,IF(OR(N(对接源_01水果!$B393)&lt;$M$2,N(对接源_01水果!$B393)&gt;$M$3),0,1))</f>
        <v>0</v>
      </c>
      <c r="N393" s="3">
        <f>IF(OR($N$1="",对接源_01水果!$C393="",对接源_01水果!$C393&lt;&gt;$N$1,对接源_01水果!$B393=""),0,IF(OR(N(对接源_01水果!$B393)&lt;$N$2,N(对接源_01水果!$B393)&gt;$N$3),0,1))</f>
        <v>0</v>
      </c>
      <c r="P393" s="3">
        <f>IF(AND($K393=1,AND(对接源_01水果!$X393="公司筐",N(对接源_01水果!$T393)&lt;&gt;0)),1,0)</f>
        <v>0</v>
      </c>
      <c r="Q393" s="3">
        <f t="shared" si="113"/>
        <v>0</v>
      </c>
      <c r="R393" s="3">
        <f>IF(AND($K393=1,AND(对接源_01水果!$X393="公司筐",N(对接源_01水果!$U393)&lt;&gt;0)),1,0)</f>
        <v>0</v>
      </c>
      <c r="S393" s="3">
        <f t="shared" si="114"/>
        <v>0</v>
      </c>
      <c r="T393" s="3">
        <f>IF(AND($K393=1,AND(对接源_01水果!$X393="公司筐",N(对接源_01水果!$V393)&lt;&gt;0)),1,0)</f>
        <v>0</v>
      </c>
      <c r="U393" s="3">
        <f t="shared" si="115"/>
        <v>19</v>
      </c>
      <c r="V393" s="3">
        <f>IF(AND($L393=1,AND(对接源_01水果!$X393="自备筐",N(对接源_01水果!$V393)&lt;&gt;0)),1,0)</f>
        <v>0</v>
      </c>
      <c r="W393" s="3">
        <f t="shared" si="116"/>
        <v>8</v>
      </c>
      <c r="X393" s="3">
        <f>IF(AND($L393=1,AND(对接源_01水果!$X393="自备筐",N(对接源_01水果!$T393)&lt;&gt;0)),1,0)</f>
        <v>0</v>
      </c>
      <c r="Y393" s="3">
        <f t="shared" si="117"/>
        <v>0</v>
      </c>
      <c r="Z393" s="3">
        <f>IF(AND($M393=1,对接源_01水果!$D393="原料入库"),1,0)</f>
        <v>0</v>
      </c>
      <c r="AA393" s="3">
        <f t="shared" si="118"/>
        <v>24</v>
      </c>
      <c r="AB393" s="3">
        <f>IF(AND($M393=1,LEFT(对接源_01水果!$D393,4)="原料出库"),1,0)</f>
        <v>0</v>
      </c>
      <c r="AC393" s="3">
        <f t="shared" si="119"/>
        <v>0</v>
      </c>
      <c r="AD393" s="3">
        <f>IF(AND($M393=1,LEFT(对接源_01水果!$D393,4)="成品出库"),1,0)</f>
        <v>0</v>
      </c>
      <c r="AE393" s="3">
        <f t="shared" si="120"/>
        <v>0</v>
      </c>
      <c r="AF393" s="3">
        <f>IF(AND($N393=1,AND(LEFT(对接源_01水果!$D393,4)="包装物料",N(对接源_01水果!$K393)&lt;&gt;0)),1,0)</f>
        <v>0</v>
      </c>
      <c r="AG393" s="3">
        <f t="shared" si="121"/>
        <v>0</v>
      </c>
      <c r="AH393" s="3">
        <f>IF(AND($N393=1,AND(对接源_01水果!$D393="周转筐－销售出库",N(对接源_01水果!$K393)&lt;&gt;0)),1,0)</f>
        <v>0</v>
      </c>
      <c r="AI393" s="3">
        <f t="shared" si="122"/>
        <v>0</v>
      </c>
      <c r="AJ393" s="7"/>
      <c r="AL393" s="3">
        <f>IF(OR($AL$1="",对接源_01水果!$Y393="",对接源_01水果!$Y393&lt;&gt;$AL$1,对接源_01水果!$B393="",N(对接源_01水果!$AJ393)&lt;=0),0,IF(OR(N(对接源_01水果!$B393)&lt;$AL$2,N(对接源_01水果!$B393)&gt;$AL$3),0,1))</f>
        <v>0</v>
      </c>
      <c r="AM393" s="3">
        <f t="shared" si="123"/>
        <v>0</v>
      </c>
      <c r="AN393" s="3" t="str">
        <f>IF(对接源_01水果!$AC393="","",对接源_01水果!$AC393)</f>
        <v>电商/主播</v>
      </c>
      <c r="AO393" s="3">
        <f t="shared" si="124"/>
        <v>0</v>
      </c>
      <c r="AP393" s="3">
        <f t="shared" si="125"/>
        <v>4</v>
      </c>
      <c r="AR393">
        <f t="shared" si="126"/>
        <v>0</v>
      </c>
      <c r="AS393">
        <f t="shared" si="127"/>
        <v>0</v>
      </c>
    </row>
    <row r="394" ht="14.25" customHeight="1" spans="1:45">
      <c r="A394" s="3" t="str">
        <f>IF(对接源_01水果!$C394="","",对接源_01水果!$C394)</f>
        <v>聂新平</v>
      </c>
      <c r="B394" s="3">
        <f t="shared" si="111"/>
        <v>0</v>
      </c>
      <c r="C394" s="3">
        <f t="shared" si="112"/>
        <v>18</v>
      </c>
      <c r="K394" s="3">
        <f>IF(OR($K$1="",对接源_01水果!$C394="",对接源_01水果!$C394&lt;&gt;$K$1,对接源_01水果!$B394=""),0,IF(OR(N(对接源_01水果!$B394)&lt;$K$2,N(对接源_01水果!$B394)&gt;$K$3),0,1))</f>
        <v>0</v>
      </c>
      <c r="L394" s="3">
        <f>IF(OR($L$1="",对接源_01水果!$C394="",对接源_01水果!$C394&lt;&gt;$L$1,对接源_01水果!$B394=""),0,IF(OR(N(对接源_01水果!$B394)&lt;$L$2,N(对接源_01水果!$B394)&gt;$L$3),0,1))</f>
        <v>0</v>
      </c>
      <c r="M394" s="3">
        <f>IF(OR($M$1="",对接源_01水果!$C394="",对接源_01水果!$C394&lt;&gt;$M$1,对接源_01水果!$B394=""),0,IF(OR(N(对接源_01水果!$B394)&lt;$M$2,N(对接源_01水果!$B394)&gt;$M$3),0,1))</f>
        <v>0</v>
      </c>
      <c r="N394" s="3">
        <f>IF(OR($N$1="",对接源_01水果!$C394="",对接源_01水果!$C394&lt;&gt;$N$1,对接源_01水果!$B394=""),0,IF(OR(N(对接源_01水果!$B394)&lt;$N$2,N(对接源_01水果!$B394)&gt;$N$3),0,1))</f>
        <v>0</v>
      </c>
      <c r="P394" s="3">
        <f>IF(AND($K394=1,AND(对接源_01水果!$X394="公司筐",N(对接源_01水果!$T394)&lt;&gt;0)),1,0)</f>
        <v>0</v>
      </c>
      <c r="Q394" s="3">
        <f t="shared" si="113"/>
        <v>0</v>
      </c>
      <c r="R394" s="3">
        <f>IF(AND($K394=1,AND(对接源_01水果!$X394="公司筐",N(对接源_01水果!$U394)&lt;&gt;0)),1,0)</f>
        <v>0</v>
      </c>
      <c r="S394" s="3">
        <f t="shared" si="114"/>
        <v>0</v>
      </c>
      <c r="T394" s="3">
        <f>IF(AND($K394=1,AND(对接源_01水果!$X394="公司筐",N(对接源_01水果!$V394)&lt;&gt;0)),1,0)</f>
        <v>0</v>
      </c>
      <c r="U394" s="3">
        <f t="shared" si="115"/>
        <v>19</v>
      </c>
      <c r="V394" s="3">
        <f>IF(AND($L394=1,AND(对接源_01水果!$X394="自备筐",N(对接源_01水果!$V394)&lt;&gt;0)),1,0)</f>
        <v>0</v>
      </c>
      <c r="W394" s="3">
        <f t="shared" si="116"/>
        <v>8</v>
      </c>
      <c r="X394" s="3">
        <f>IF(AND($L394=1,AND(对接源_01水果!$X394="自备筐",N(对接源_01水果!$T394)&lt;&gt;0)),1,0)</f>
        <v>0</v>
      </c>
      <c r="Y394" s="3">
        <f t="shared" si="117"/>
        <v>0</v>
      </c>
      <c r="Z394" s="3">
        <f>IF(AND($M394=1,对接源_01水果!$D394="原料入库"),1,0)</f>
        <v>0</v>
      </c>
      <c r="AA394" s="3">
        <f t="shared" si="118"/>
        <v>24</v>
      </c>
      <c r="AB394" s="3">
        <f>IF(AND($M394=1,LEFT(对接源_01水果!$D394,4)="原料出库"),1,0)</f>
        <v>0</v>
      </c>
      <c r="AC394" s="3">
        <f t="shared" si="119"/>
        <v>0</v>
      </c>
      <c r="AD394" s="3">
        <f>IF(AND($M394=1,LEFT(对接源_01水果!$D394,4)="成品出库"),1,0)</f>
        <v>0</v>
      </c>
      <c r="AE394" s="3">
        <f t="shared" si="120"/>
        <v>0</v>
      </c>
      <c r="AF394" s="3">
        <f>IF(AND($N394=1,AND(LEFT(对接源_01水果!$D394,4)="包装物料",N(对接源_01水果!$K394)&lt;&gt;0)),1,0)</f>
        <v>0</v>
      </c>
      <c r="AG394" s="3">
        <f t="shared" si="121"/>
        <v>0</v>
      </c>
      <c r="AH394" s="3">
        <f>IF(AND($N394=1,AND(对接源_01水果!$D394="周转筐－销售出库",N(对接源_01水果!$K394)&lt;&gt;0)),1,0)</f>
        <v>0</v>
      </c>
      <c r="AI394" s="3">
        <f t="shared" si="122"/>
        <v>0</v>
      </c>
      <c r="AJ394" s="7"/>
      <c r="AL394" s="3">
        <f>IF(OR($AL$1="",对接源_01水果!$Y394="",对接源_01水果!$Y394&lt;&gt;$AL$1,对接源_01水果!$B394="",N(对接源_01水果!$AJ394)&lt;=0),0,IF(OR(N(对接源_01水果!$B394)&lt;$AL$2,N(对接源_01水果!$B394)&gt;$AL$3),0,1))</f>
        <v>0</v>
      </c>
      <c r="AM394" s="3">
        <f t="shared" si="123"/>
        <v>0</v>
      </c>
      <c r="AN394" s="3" t="str">
        <f>IF(对接源_01水果!$AC394="","",对接源_01水果!$AC394)</f>
        <v>聂新平</v>
      </c>
      <c r="AO394" s="3">
        <f t="shared" si="124"/>
        <v>0</v>
      </c>
      <c r="AP394" s="3">
        <f t="shared" si="125"/>
        <v>4</v>
      </c>
      <c r="AR394">
        <f t="shared" si="126"/>
        <v>0</v>
      </c>
      <c r="AS394">
        <f t="shared" si="127"/>
        <v>0</v>
      </c>
    </row>
    <row r="395" ht="14.25" customHeight="1" spans="1:45">
      <c r="A395" s="3" t="str">
        <f>IF(对接源_01水果!$C395="","",对接源_01水果!$C395)</f>
        <v>聂新平</v>
      </c>
      <c r="B395" s="3">
        <f t="shared" si="111"/>
        <v>0</v>
      </c>
      <c r="C395" s="3">
        <f t="shared" si="112"/>
        <v>18</v>
      </c>
      <c r="K395" s="3">
        <f>IF(OR($K$1="",对接源_01水果!$C395="",对接源_01水果!$C395&lt;&gt;$K$1,对接源_01水果!$B395=""),0,IF(OR(N(对接源_01水果!$B395)&lt;$K$2,N(对接源_01水果!$B395)&gt;$K$3),0,1))</f>
        <v>0</v>
      </c>
      <c r="L395" s="3">
        <f>IF(OR($L$1="",对接源_01水果!$C395="",对接源_01水果!$C395&lt;&gt;$L$1,对接源_01水果!$B395=""),0,IF(OR(N(对接源_01水果!$B395)&lt;$L$2,N(对接源_01水果!$B395)&gt;$L$3),0,1))</f>
        <v>0</v>
      </c>
      <c r="M395" s="3">
        <f>IF(OR($M$1="",对接源_01水果!$C395="",对接源_01水果!$C395&lt;&gt;$M$1,对接源_01水果!$B395=""),0,IF(OR(N(对接源_01水果!$B395)&lt;$M$2,N(对接源_01水果!$B395)&gt;$M$3),0,1))</f>
        <v>0</v>
      </c>
      <c r="N395" s="3">
        <f>IF(OR($N$1="",对接源_01水果!$C395="",对接源_01水果!$C395&lt;&gt;$N$1,对接源_01水果!$B395=""),0,IF(OR(N(对接源_01水果!$B395)&lt;$N$2,N(对接源_01水果!$B395)&gt;$N$3),0,1))</f>
        <v>0</v>
      </c>
      <c r="P395" s="3">
        <f>IF(AND($K395=1,AND(对接源_01水果!$X395="公司筐",N(对接源_01水果!$T395)&lt;&gt;0)),1,0)</f>
        <v>0</v>
      </c>
      <c r="Q395" s="3">
        <f t="shared" si="113"/>
        <v>0</v>
      </c>
      <c r="R395" s="3">
        <f>IF(AND($K395=1,AND(对接源_01水果!$X395="公司筐",N(对接源_01水果!$U395)&lt;&gt;0)),1,0)</f>
        <v>0</v>
      </c>
      <c r="S395" s="3">
        <f t="shared" si="114"/>
        <v>0</v>
      </c>
      <c r="T395" s="3">
        <f>IF(AND($K395=1,AND(对接源_01水果!$X395="公司筐",N(对接源_01水果!$V395)&lt;&gt;0)),1,0)</f>
        <v>0</v>
      </c>
      <c r="U395" s="3">
        <f t="shared" si="115"/>
        <v>19</v>
      </c>
      <c r="V395" s="3">
        <f>IF(AND($L395=1,AND(对接源_01水果!$X395="自备筐",N(对接源_01水果!$V395)&lt;&gt;0)),1,0)</f>
        <v>0</v>
      </c>
      <c r="W395" s="3">
        <f t="shared" si="116"/>
        <v>8</v>
      </c>
      <c r="X395" s="3">
        <f>IF(AND($L395=1,AND(对接源_01水果!$X395="自备筐",N(对接源_01水果!$T395)&lt;&gt;0)),1,0)</f>
        <v>0</v>
      </c>
      <c r="Y395" s="3">
        <f t="shared" si="117"/>
        <v>0</v>
      </c>
      <c r="Z395" s="3">
        <f>IF(AND($M395=1,对接源_01水果!$D395="原料入库"),1,0)</f>
        <v>0</v>
      </c>
      <c r="AA395" s="3">
        <f t="shared" si="118"/>
        <v>24</v>
      </c>
      <c r="AB395" s="3">
        <f>IF(AND($M395=1,LEFT(对接源_01水果!$D395,4)="原料出库"),1,0)</f>
        <v>0</v>
      </c>
      <c r="AC395" s="3">
        <f t="shared" si="119"/>
        <v>0</v>
      </c>
      <c r="AD395" s="3">
        <f>IF(AND($M395=1,LEFT(对接源_01水果!$D395,4)="成品出库"),1,0)</f>
        <v>0</v>
      </c>
      <c r="AE395" s="3">
        <f t="shared" si="120"/>
        <v>0</v>
      </c>
      <c r="AF395" s="3">
        <f>IF(AND($N395=1,AND(LEFT(对接源_01水果!$D395,4)="包装物料",N(对接源_01水果!$K395)&lt;&gt;0)),1,0)</f>
        <v>0</v>
      </c>
      <c r="AG395" s="3">
        <f t="shared" si="121"/>
        <v>0</v>
      </c>
      <c r="AH395" s="3">
        <f>IF(AND($N395=1,AND(对接源_01水果!$D395="周转筐－销售出库",N(对接源_01水果!$K395)&lt;&gt;0)),1,0)</f>
        <v>0</v>
      </c>
      <c r="AI395" s="3">
        <f t="shared" si="122"/>
        <v>0</v>
      </c>
      <c r="AJ395" s="7"/>
      <c r="AL395" s="3">
        <f>IF(OR($AL$1="",对接源_01水果!$Y395="",对接源_01水果!$Y395&lt;&gt;$AL$1,对接源_01水果!$B395="",N(对接源_01水果!$AJ395)&lt;=0),0,IF(OR(N(对接源_01水果!$B395)&lt;$AL$2,N(对接源_01水果!$B395)&gt;$AL$3),0,1))</f>
        <v>0</v>
      </c>
      <c r="AM395" s="3">
        <f t="shared" si="123"/>
        <v>0</v>
      </c>
      <c r="AN395" s="3" t="str">
        <f>IF(对接源_01水果!$AC395="","",对接源_01水果!$AC395)</f>
        <v>聂新平</v>
      </c>
      <c r="AO395" s="3">
        <f t="shared" si="124"/>
        <v>0</v>
      </c>
      <c r="AP395" s="3">
        <f t="shared" si="125"/>
        <v>4</v>
      </c>
      <c r="AR395">
        <f t="shared" si="126"/>
        <v>0</v>
      </c>
      <c r="AS395">
        <f t="shared" si="127"/>
        <v>0</v>
      </c>
    </row>
    <row r="396" ht="14.25" customHeight="1" spans="1:45">
      <c r="A396" s="3" t="str">
        <f>IF(对接源_01水果!$C396="","",对接源_01水果!$C396)</f>
        <v>王照雪</v>
      </c>
      <c r="B396" s="3">
        <f t="shared" si="111"/>
        <v>0</v>
      </c>
      <c r="C396" s="3">
        <f t="shared" si="112"/>
        <v>18</v>
      </c>
      <c r="K396" s="3">
        <f>IF(OR($K$1="",对接源_01水果!$C396="",对接源_01水果!$C396&lt;&gt;$K$1,对接源_01水果!$B396=""),0,IF(OR(N(对接源_01水果!$B396)&lt;$K$2,N(对接源_01水果!$B396)&gt;$K$3),0,1))</f>
        <v>0</v>
      </c>
      <c r="L396" s="3">
        <f>IF(OR($L$1="",对接源_01水果!$C396="",对接源_01水果!$C396&lt;&gt;$L$1,对接源_01水果!$B396=""),0,IF(OR(N(对接源_01水果!$B396)&lt;$L$2,N(对接源_01水果!$B396)&gt;$L$3),0,1))</f>
        <v>0</v>
      </c>
      <c r="M396" s="3">
        <f>IF(OR($M$1="",对接源_01水果!$C396="",对接源_01水果!$C396&lt;&gt;$M$1,对接源_01水果!$B396=""),0,IF(OR(N(对接源_01水果!$B396)&lt;$M$2,N(对接源_01水果!$B396)&gt;$M$3),0,1))</f>
        <v>0</v>
      </c>
      <c r="N396" s="3">
        <f>IF(OR($N$1="",对接源_01水果!$C396="",对接源_01水果!$C396&lt;&gt;$N$1,对接源_01水果!$B396=""),0,IF(OR(N(对接源_01水果!$B396)&lt;$N$2,N(对接源_01水果!$B396)&gt;$N$3),0,1))</f>
        <v>0</v>
      </c>
      <c r="P396" s="3">
        <f>IF(AND($K396=1,AND(对接源_01水果!$X396="公司筐",N(对接源_01水果!$T396)&lt;&gt;0)),1,0)</f>
        <v>0</v>
      </c>
      <c r="Q396" s="3">
        <f t="shared" si="113"/>
        <v>0</v>
      </c>
      <c r="R396" s="3">
        <f>IF(AND($K396=1,AND(对接源_01水果!$X396="公司筐",N(对接源_01水果!$U396)&lt;&gt;0)),1,0)</f>
        <v>0</v>
      </c>
      <c r="S396" s="3">
        <f t="shared" si="114"/>
        <v>0</v>
      </c>
      <c r="T396" s="3">
        <f>IF(AND($K396=1,AND(对接源_01水果!$X396="公司筐",N(对接源_01水果!$V396)&lt;&gt;0)),1,0)</f>
        <v>0</v>
      </c>
      <c r="U396" s="3">
        <f t="shared" si="115"/>
        <v>19</v>
      </c>
      <c r="V396" s="3">
        <f>IF(AND($L396=1,AND(对接源_01水果!$X396="自备筐",N(对接源_01水果!$V396)&lt;&gt;0)),1,0)</f>
        <v>0</v>
      </c>
      <c r="W396" s="3">
        <f t="shared" si="116"/>
        <v>8</v>
      </c>
      <c r="X396" s="3">
        <f>IF(AND($L396=1,AND(对接源_01水果!$X396="自备筐",N(对接源_01水果!$T396)&lt;&gt;0)),1,0)</f>
        <v>0</v>
      </c>
      <c r="Y396" s="3">
        <f t="shared" si="117"/>
        <v>0</v>
      </c>
      <c r="Z396" s="3">
        <f>IF(AND($M396=1,对接源_01水果!$D396="原料入库"),1,0)</f>
        <v>0</v>
      </c>
      <c r="AA396" s="3">
        <f t="shared" si="118"/>
        <v>24</v>
      </c>
      <c r="AB396" s="3">
        <f>IF(AND($M396=1,LEFT(对接源_01水果!$D396,4)="原料出库"),1,0)</f>
        <v>0</v>
      </c>
      <c r="AC396" s="3">
        <f t="shared" si="119"/>
        <v>0</v>
      </c>
      <c r="AD396" s="3">
        <f>IF(AND($M396=1,LEFT(对接源_01水果!$D396,4)="成品出库"),1,0)</f>
        <v>0</v>
      </c>
      <c r="AE396" s="3">
        <f t="shared" si="120"/>
        <v>0</v>
      </c>
      <c r="AF396" s="3">
        <f>IF(AND($N396=1,AND(LEFT(对接源_01水果!$D396,4)="包装物料",N(对接源_01水果!$K396)&lt;&gt;0)),1,0)</f>
        <v>0</v>
      </c>
      <c r="AG396" s="3">
        <f t="shared" si="121"/>
        <v>0</v>
      </c>
      <c r="AH396" s="3">
        <f>IF(AND($N396=1,AND(对接源_01水果!$D396="周转筐－销售出库",N(对接源_01水果!$K396)&lt;&gt;0)),1,0)</f>
        <v>0</v>
      </c>
      <c r="AI396" s="3">
        <f t="shared" si="122"/>
        <v>0</v>
      </c>
      <c r="AJ396" s="7"/>
      <c r="AL396" s="3">
        <f>IF(OR($AL$1="",对接源_01水果!$Y396="",对接源_01水果!$Y396&lt;&gt;$AL$1,对接源_01水果!$B396="",N(对接源_01水果!$AJ396)&lt;=0),0,IF(OR(N(对接源_01水果!$B396)&lt;$AL$2,N(对接源_01水果!$B396)&gt;$AL$3),0,1))</f>
        <v>0</v>
      </c>
      <c r="AM396" s="3">
        <f t="shared" si="123"/>
        <v>0</v>
      </c>
      <c r="AN396" s="3" t="str">
        <f>IF(对接源_01水果!$AC396="","",对接源_01水果!$AC396)</f>
        <v>电商/主播</v>
      </c>
      <c r="AO396" s="3">
        <f t="shared" si="124"/>
        <v>0</v>
      </c>
      <c r="AP396" s="3">
        <f t="shared" si="125"/>
        <v>4</v>
      </c>
      <c r="AR396">
        <f t="shared" si="126"/>
        <v>0</v>
      </c>
      <c r="AS396">
        <f t="shared" si="127"/>
        <v>0</v>
      </c>
    </row>
    <row r="397" ht="14.25" customHeight="1" spans="1:45">
      <c r="A397" s="3" t="str">
        <f>IF(对接源_01水果!$C397="","",对接源_01水果!$C397)</f>
        <v>王照雪</v>
      </c>
      <c r="B397" s="3">
        <f t="shared" si="111"/>
        <v>0</v>
      </c>
      <c r="C397" s="3">
        <f t="shared" si="112"/>
        <v>18</v>
      </c>
      <c r="K397" s="3">
        <f>IF(OR($K$1="",对接源_01水果!$C397="",对接源_01水果!$C397&lt;&gt;$K$1,对接源_01水果!$B397=""),0,IF(OR(N(对接源_01水果!$B397)&lt;$K$2,N(对接源_01水果!$B397)&gt;$K$3),0,1))</f>
        <v>0</v>
      </c>
      <c r="L397" s="3">
        <f>IF(OR($L$1="",对接源_01水果!$C397="",对接源_01水果!$C397&lt;&gt;$L$1,对接源_01水果!$B397=""),0,IF(OR(N(对接源_01水果!$B397)&lt;$L$2,N(对接源_01水果!$B397)&gt;$L$3),0,1))</f>
        <v>0</v>
      </c>
      <c r="M397" s="3">
        <f>IF(OR($M$1="",对接源_01水果!$C397="",对接源_01水果!$C397&lt;&gt;$M$1,对接源_01水果!$B397=""),0,IF(OR(N(对接源_01水果!$B397)&lt;$M$2,N(对接源_01水果!$B397)&gt;$M$3),0,1))</f>
        <v>0</v>
      </c>
      <c r="N397" s="3">
        <f>IF(OR($N$1="",对接源_01水果!$C397="",对接源_01水果!$C397&lt;&gt;$N$1,对接源_01水果!$B397=""),0,IF(OR(N(对接源_01水果!$B397)&lt;$N$2,N(对接源_01水果!$B397)&gt;$N$3),0,1))</f>
        <v>0</v>
      </c>
      <c r="P397" s="3">
        <f>IF(AND($K397=1,AND(对接源_01水果!$X397="公司筐",N(对接源_01水果!$T397)&lt;&gt;0)),1,0)</f>
        <v>0</v>
      </c>
      <c r="Q397" s="3">
        <f t="shared" si="113"/>
        <v>0</v>
      </c>
      <c r="R397" s="3">
        <f>IF(AND($K397=1,AND(对接源_01水果!$X397="公司筐",N(对接源_01水果!$U397)&lt;&gt;0)),1,0)</f>
        <v>0</v>
      </c>
      <c r="S397" s="3">
        <f t="shared" si="114"/>
        <v>0</v>
      </c>
      <c r="T397" s="3">
        <f>IF(AND($K397=1,AND(对接源_01水果!$X397="公司筐",N(对接源_01水果!$V397)&lt;&gt;0)),1,0)</f>
        <v>0</v>
      </c>
      <c r="U397" s="3">
        <f t="shared" si="115"/>
        <v>19</v>
      </c>
      <c r="V397" s="3">
        <f>IF(AND($L397=1,AND(对接源_01水果!$X397="自备筐",N(对接源_01水果!$V397)&lt;&gt;0)),1,0)</f>
        <v>0</v>
      </c>
      <c r="W397" s="3">
        <f t="shared" si="116"/>
        <v>8</v>
      </c>
      <c r="X397" s="3">
        <f>IF(AND($L397=1,AND(对接源_01水果!$X397="自备筐",N(对接源_01水果!$T397)&lt;&gt;0)),1,0)</f>
        <v>0</v>
      </c>
      <c r="Y397" s="3">
        <f t="shared" si="117"/>
        <v>0</v>
      </c>
      <c r="Z397" s="3">
        <f>IF(AND($M397=1,对接源_01水果!$D397="原料入库"),1,0)</f>
        <v>0</v>
      </c>
      <c r="AA397" s="3">
        <f t="shared" si="118"/>
        <v>24</v>
      </c>
      <c r="AB397" s="3">
        <f>IF(AND($M397=1,LEFT(对接源_01水果!$D397,4)="原料出库"),1,0)</f>
        <v>0</v>
      </c>
      <c r="AC397" s="3">
        <f t="shared" si="119"/>
        <v>0</v>
      </c>
      <c r="AD397" s="3">
        <f>IF(AND($M397=1,LEFT(对接源_01水果!$D397,4)="成品出库"),1,0)</f>
        <v>0</v>
      </c>
      <c r="AE397" s="3">
        <f t="shared" si="120"/>
        <v>0</v>
      </c>
      <c r="AF397" s="3">
        <f>IF(AND($N397=1,AND(LEFT(对接源_01水果!$D397,4)="包装物料",N(对接源_01水果!$K397)&lt;&gt;0)),1,0)</f>
        <v>0</v>
      </c>
      <c r="AG397" s="3">
        <f t="shared" si="121"/>
        <v>0</v>
      </c>
      <c r="AH397" s="3">
        <f>IF(AND($N397=1,AND(对接源_01水果!$D397="周转筐－销售出库",N(对接源_01水果!$K397)&lt;&gt;0)),1,0)</f>
        <v>0</v>
      </c>
      <c r="AI397" s="3">
        <f t="shared" si="122"/>
        <v>0</v>
      </c>
      <c r="AJ397" s="7"/>
      <c r="AL397" s="3">
        <f>IF(OR($AL$1="",对接源_01水果!$Y397="",对接源_01水果!$Y397&lt;&gt;$AL$1,对接源_01水果!$B397="",N(对接源_01水果!$AJ397)&lt;=0),0,IF(OR(N(对接源_01水果!$B397)&lt;$AL$2,N(对接源_01水果!$B397)&gt;$AL$3),0,1))</f>
        <v>0</v>
      </c>
      <c r="AM397" s="3">
        <f t="shared" si="123"/>
        <v>0</v>
      </c>
      <c r="AN397" s="3" t="str">
        <f>IF(对接源_01水果!$AC397="","",对接源_01水果!$AC397)</f>
        <v>电商/主播</v>
      </c>
      <c r="AO397" s="3">
        <f t="shared" si="124"/>
        <v>0</v>
      </c>
      <c r="AP397" s="3">
        <f t="shared" si="125"/>
        <v>4</v>
      </c>
      <c r="AR397">
        <f t="shared" si="126"/>
        <v>0</v>
      </c>
      <c r="AS397">
        <f t="shared" si="127"/>
        <v>0</v>
      </c>
    </row>
    <row r="398" ht="14.25" customHeight="1" spans="1:45">
      <c r="A398" s="3" t="str">
        <f>IF(对接源_01水果!$C398="","",对接源_01水果!$C398)</f>
        <v>王照雪</v>
      </c>
      <c r="B398" s="3">
        <f t="shared" si="111"/>
        <v>0</v>
      </c>
      <c r="C398" s="3">
        <f t="shared" si="112"/>
        <v>18</v>
      </c>
      <c r="K398" s="3">
        <f>IF(OR($K$1="",对接源_01水果!$C398="",对接源_01水果!$C398&lt;&gt;$K$1,对接源_01水果!$B398=""),0,IF(OR(N(对接源_01水果!$B398)&lt;$K$2,N(对接源_01水果!$B398)&gt;$K$3),0,1))</f>
        <v>0</v>
      </c>
      <c r="L398" s="3">
        <f>IF(OR($L$1="",对接源_01水果!$C398="",对接源_01水果!$C398&lt;&gt;$L$1,对接源_01水果!$B398=""),0,IF(OR(N(对接源_01水果!$B398)&lt;$L$2,N(对接源_01水果!$B398)&gt;$L$3),0,1))</f>
        <v>0</v>
      </c>
      <c r="M398" s="3">
        <f>IF(OR($M$1="",对接源_01水果!$C398="",对接源_01水果!$C398&lt;&gt;$M$1,对接源_01水果!$B398=""),0,IF(OR(N(对接源_01水果!$B398)&lt;$M$2,N(对接源_01水果!$B398)&gt;$M$3),0,1))</f>
        <v>0</v>
      </c>
      <c r="N398" s="3">
        <f>IF(OR($N$1="",对接源_01水果!$C398="",对接源_01水果!$C398&lt;&gt;$N$1,对接源_01水果!$B398=""),0,IF(OR(N(对接源_01水果!$B398)&lt;$N$2,N(对接源_01水果!$B398)&gt;$N$3),0,1))</f>
        <v>0</v>
      </c>
      <c r="P398" s="3">
        <f>IF(AND($K398=1,AND(对接源_01水果!$X398="公司筐",N(对接源_01水果!$T398)&lt;&gt;0)),1,0)</f>
        <v>0</v>
      </c>
      <c r="Q398" s="3">
        <f t="shared" si="113"/>
        <v>0</v>
      </c>
      <c r="R398" s="3">
        <f>IF(AND($K398=1,AND(对接源_01水果!$X398="公司筐",N(对接源_01水果!$U398)&lt;&gt;0)),1,0)</f>
        <v>0</v>
      </c>
      <c r="S398" s="3">
        <f t="shared" si="114"/>
        <v>0</v>
      </c>
      <c r="T398" s="3">
        <f>IF(AND($K398=1,AND(对接源_01水果!$X398="公司筐",N(对接源_01水果!$V398)&lt;&gt;0)),1,0)</f>
        <v>0</v>
      </c>
      <c r="U398" s="3">
        <f t="shared" si="115"/>
        <v>19</v>
      </c>
      <c r="V398" s="3">
        <f>IF(AND($L398=1,AND(对接源_01水果!$X398="自备筐",N(对接源_01水果!$V398)&lt;&gt;0)),1,0)</f>
        <v>0</v>
      </c>
      <c r="W398" s="3">
        <f t="shared" si="116"/>
        <v>8</v>
      </c>
      <c r="X398" s="3">
        <f>IF(AND($L398=1,AND(对接源_01水果!$X398="自备筐",N(对接源_01水果!$T398)&lt;&gt;0)),1,0)</f>
        <v>0</v>
      </c>
      <c r="Y398" s="3">
        <f t="shared" si="117"/>
        <v>0</v>
      </c>
      <c r="Z398" s="3">
        <f>IF(AND($M398=1,对接源_01水果!$D398="原料入库"),1,0)</f>
        <v>0</v>
      </c>
      <c r="AA398" s="3">
        <f t="shared" si="118"/>
        <v>24</v>
      </c>
      <c r="AB398" s="3">
        <f>IF(AND($M398=1,LEFT(对接源_01水果!$D398,4)="原料出库"),1,0)</f>
        <v>0</v>
      </c>
      <c r="AC398" s="3">
        <f t="shared" si="119"/>
        <v>0</v>
      </c>
      <c r="AD398" s="3">
        <f>IF(AND($M398=1,LEFT(对接源_01水果!$D398,4)="成品出库"),1,0)</f>
        <v>0</v>
      </c>
      <c r="AE398" s="3">
        <f t="shared" si="120"/>
        <v>0</v>
      </c>
      <c r="AF398" s="3">
        <f>IF(AND($N398=1,AND(LEFT(对接源_01水果!$D398,4)="包装物料",N(对接源_01水果!$K398)&lt;&gt;0)),1,0)</f>
        <v>0</v>
      </c>
      <c r="AG398" s="3">
        <f t="shared" si="121"/>
        <v>0</v>
      </c>
      <c r="AH398" s="3">
        <f>IF(AND($N398=1,AND(对接源_01水果!$D398="周转筐－销售出库",N(对接源_01水果!$K398)&lt;&gt;0)),1,0)</f>
        <v>0</v>
      </c>
      <c r="AI398" s="3">
        <f t="shared" si="122"/>
        <v>0</v>
      </c>
      <c r="AJ398" s="7"/>
      <c r="AL398" s="3">
        <f>IF(OR($AL$1="",对接源_01水果!$Y398="",对接源_01水果!$Y398&lt;&gt;$AL$1,对接源_01水果!$B398="",N(对接源_01水果!$AJ398)&lt;=0),0,IF(OR(N(对接源_01水果!$B398)&lt;$AL$2,N(对接源_01水果!$B398)&gt;$AL$3),0,1))</f>
        <v>0</v>
      </c>
      <c r="AM398" s="3">
        <f t="shared" si="123"/>
        <v>0</v>
      </c>
      <c r="AN398" s="3" t="str">
        <f>IF(对接源_01水果!$AC398="","",对接源_01水果!$AC398)</f>
        <v>电商/主播</v>
      </c>
      <c r="AO398" s="3">
        <f t="shared" si="124"/>
        <v>0</v>
      </c>
      <c r="AP398" s="3">
        <f t="shared" si="125"/>
        <v>4</v>
      </c>
      <c r="AR398">
        <f t="shared" si="126"/>
        <v>0</v>
      </c>
      <c r="AS398">
        <f t="shared" si="127"/>
        <v>0</v>
      </c>
    </row>
    <row r="399" ht="14.25" customHeight="1" spans="1:45">
      <c r="A399" s="3" t="str">
        <f>IF(对接源_01水果!$C399="","",对接源_01水果!$C399)</f>
        <v>王照雪</v>
      </c>
      <c r="B399" s="3">
        <f t="shared" si="111"/>
        <v>0</v>
      </c>
      <c r="C399" s="3">
        <f t="shared" si="112"/>
        <v>18</v>
      </c>
      <c r="K399" s="3">
        <f>IF(OR($K$1="",对接源_01水果!$C399="",对接源_01水果!$C399&lt;&gt;$K$1,对接源_01水果!$B399=""),0,IF(OR(N(对接源_01水果!$B399)&lt;$K$2,N(对接源_01水果!$B399)&gt;$K$3),0,1))</f>
        <v>0</v>
      </c>
      <c r="L399" s="3">
        <f>IF(OR($L$1="",对接源_01水果!$C399="",对接源_01水果!$C399&lt;&gt;$L$1,对接源_01水果!$B399=""),0,IF(OR(N(对接源_01水果!$B399)&lt;$L$2,N(对接源_01水果!$B399)&gt;$L$3),0,1))</f>
        <v>0</v>
      </c>
      <c r="M399" s="3">
        <f>IF(OR($M$1="",对接源_01水果!$C399="",对接源_01水果!$C399&lt;&gt;$M$1,对接源_01水果!$B399=""),0,IF(OR(N(对接源_01水果!$B399)&lt;$M$2,N(对接源_01水果!$B399)&gt;$M$3),0,1))</f>
        <v>0</v>
      </c>
      <c r="N399" s="3">
        <f>IF(OR($N$1="",对接源_01水果!$C399="",对接源_01水果!$C399&lt;&gt;$N$1,对接源_01水果!$B399=""),0,IF(OR(N(对接源_01水果!$B399)&lt;$N$2,N(对接源_01水果!$B399)&gt;$N$3),0,1))</f>
        <v>0</v>
      </c>
      <c r="P399" s="3">
        <f>IF(AND($K399=1,AND(对接源_01水果!$X399="公司筐",N(对接源_01水果!$T399)&lt;&gt;0)),1,0)</f>
        <v>0</v>
      </c>
      <c r="Q399" s="3">
        <f t="shared" si="113"/>
        <v>0</v>
      </c>
      <c r="R399" s="3">
        <f>IF(AND($K399=1,AND(对接源_01水果!$X399="公司筐",N(对接源_01水果!$U399)&lt;&gt;0)),1,0)</f>
        <v>0</v>
      </c>
      <c r="S399" s="3">
        <f t="shared" si="114"/>
        <v>0</v>
      </c>
      <c r="T399" s="3">
        <f>IF(AND($K399=1,AND(对接源_01水果!$X399="公司筐",N(对接源_01水果!$V399)&lt;&gt;0)),1,0)</f>
        <v>0</v>
      </c>
      <c r="U399" s="3">
        <f t="shared" si="115"/>
        <v>19</v>
      </c>
      <c r="V399" s="3">
        <f>IF(AND($L399=1,AND(对接源_01水果!$X399="自备筐",N(对接源_01水果!$V399)&lt;&gt;0)),1,0)</f>
        <v>0</v>
      </c>
      <c r="W399" s="3">
        <f t="shared" si="116"/>
        <v>8</v>
      </c>
      <c r="X399" s="3">
        <f>IF(AND($L399=1,AND(对接源_01水果!$X399="自备筐",N(对接源_01水果!$T399)&lt;&gt;0)),1,0)</f>
        <v>0</v>
      </c>
      <c r="Y399" s="3">
        <f t="shared" si="117"/>
        <v>0</v>
      </c>
      <c r="Z399" s="3">
        <f>IF(AND($M399=1,对接源_01水果!$D399="原料入库"),1,0)</f>
        <v>0</v>
      </c>
      <c r="AA399" s="3">
        <f t="shared" si="118"/>
        <v>24</v>
      </c>
      <c r="AB399" s="3">
        <f>IF(AND($M399=1,LEFT(对接源_01水果!$D399,4)="原料出库"),1,0)</f>
        <v>0</v>
      </c>
      <c r="AC399" s="3">
        <f t="shared" si="119"/>
        <v>0</v>
      </c>
      <c r="AD399" s="3">
        <f>IF(AND($M399=1,LEFT(对接源_01水果!$D399,4)="成品出库"),1,0)</f>
        <v>0</v>
      </c>
      <c r="AE399" s="3">
        <f t="shared" si="120"/>
        <v>0</v>
      </c>
      <c r="AF399" s="3">
        <f>IF(AND($N399=1,AND(LEFT(对接源_01水果!$D399,4)="包装物料",N(对接源_01水果!$K399)&lt;&gt;0)),1,0)</f>
        <v>0</v>
      </c>
      <c r="AG399" s="3">
        <f t="shared" si="121"/>
        <v>0</v>
      </c>
      <c r="AH399" s="3">
        <f>IF(AND($N399=1,AND(对接源_01水果!$D399="周转筐－销售出库",N(对接源_01水果!$K399)&lt;&gt;0)),1,0)</f>
        <v>0</v>
      </c>
      <c r="AI399" s="3">
        <f t="shared" si="122"/>
        <v>0</v>
      </c>
      <c r="AJ399" s="7"/>
      <c r="AL399" s="3">
        <f>IF(OR($AL$1="",对接源_01水果!$Y399="",对接源_01水果!$Y399&lt;&gt;$AL$1,对接源_01水果!$B399="",N(对接源_01水果!$AJ399)&lt;=0),0,IF(OR(N(对接源_01水果!$B399)&lt;$AL$2,N(对接源_01水果!$B399)&gt;$AL$3),0,1))</f>
        <v>0</v>
      </c>
      <c r="AM399" s="3">
        <f t="shared" si="123"/>
        <v>0</v>
      </c>
      <c r="AN399" s="3" t="str">
        <f>IF(对接源_01水果!$AC399="","",对接源_01水果!$AC399)</f>
        <v>电商/主播</v>
      </c>
      <c r="AO399" s="3">
        <f t="shared" si="124"/>
        <v>0</v>
      </c>
      <c r="AP399" s="3">
        <f t="shared" si="125"/>
        <v>4</v>
      </c>
      <c r="AR399">
        <f t="shared" si="126"/>
        <v>0</v>
      </c>
      <c r="AS399">
        <f t="shared" si="127"/>
        <v>0</v>
      </c>
    </row>
    <row r="400" ht="14.25" customHeight="1" spans="1:45">
      <c r="A400" s="3" t="str">
        <f>IF(对接源_01水果!$C400="","",对接源_01水果!$C400)</f>
        <v>王照雪</v>
      </c>
      <c r="B400" s="3">
        <f t="shared" si="111"/>
        <v>0</v>
      </c>
      <c r="C400" s="3">
        <f t="shared" si="112"/>
        <v>18</v>
      </c>
      <c r="K400" s="3">
        <f>IF(OR($K$1="",对接源_01水果!$C400="",对接源_01水果!$C400&lt;&gt;$K$1,对接源_01水果!$B400=""),0,IF(OR(N(对接源_01水果!$B400)&lt;$K$2,N(对接源_01水果!$B400)&gt;$K$3),0,1))</f>
        <v>0</v>
      </c>
      <c r="L400" s="3">
        <f>IF(OR($L$1="",对接源_01水果!$C400="",对接源_01水果!$C400&lt;&gt;$L$1,对接源_01水果!$B400=""),0,IF(OR(N(对接源_01水果!$B400)&lt;$L$2,N(对接源_01水果!$B400)&gt;$L$3),0,1))</f>
        <v>0</v>
      </c>
      <c r="M400" s="3">
        <f>IF(OR($M$1="",对接源_01水果!$C400="",对接源_01水果!$C400&lt;&gt;$M$1,对接源_01水果!$B400=""),0,IF(OR(N(对接源_01水果!$B400)&lt;$M$2,N(对接源_01水果!$B400)&gt;$M$3),0,1))</f>
        <v>0</v>
      </c>
      <c r="N400" s="3">
        <f>IF(OR($N$1="",对接源_01水果!$C400="",对接源_01水果!$C400&lt;&gt;$N$1,对接源_01水果!$B400=""),0,IF(OR(N(对接源_01水果!$B400)&lt;$N$2,N(对接源_01水果!$B400)&gt;$N$3),0,1))</f>
        <v>0</v>
      </c>
      <c r="P400" s="3">
        <f>IF(AND($K400=1,AND(对接源_01水果!$X400="公司筐",N(对接源_01水果!$T400)&lt;&gt;0)),1,0)</f>
        <v>0</v>
      </c>
      <c r="Q400" s="3">
        <f t="shared" si="113"/>
        <v>0</v>
      </c>
      <c r="R400" s="3">
        <f>IF(AND($K400=1,AND(对接源_01水果!$X400="公司筐",N(对接源_01水果!$U400)&lt;&gt;0)),1,0)</f>
        <v>0</v>
      </c>
      <c r="S400" s="3">
        <f t="shared" si="114"/>
        <v>0</v>
      </c>
      <c r="T400" s="3">
        <f>IF(AND($K400=1,AND(对接源_01水果!$X400="公司筐",N(对接源_01水果!$V400)&lt;&gt;0)),1,0)</f>
        <v>0</v>
      </c>
      <c r="U400" s="3">
        <f t="shared" si="115"/>
        <v>19</v>
      </c>
      <c r="V400" s="3">
        <f>IF(AND($L400=1,AND(对接源_01水果!$X400="自备筐",N(对接源_01水果!$V400)&lt;&gt;0)),1,0)</f>
        <v>0</v>
      </c>
      <c r="W400" s="3">
        <f t="shared" si="116"/>
        <v>8</v>
      </c>
      <c r="X400" s="3">
        <f>IF(AND($L400=1,AND(对接源_01水果!$X400="自备筐",N(对接源_01水果!$T400)&lt;&gt;0)),1,0)</f>
        <v>0</v>
      </c>
      <c r="Y400" s="3">
        <f t="shared" si="117"/>
        <v>0</v>
      </c>
      <c r="Z400" s="3">
        <f>IF(AND($M400=1,对接源_01水果!$D400="原料入库"),1,0)</f>
        <v>0</v>
      </c>
      <c r="AA400" s="3">
        <f t="shared" si="118"/>
        <v>24</v>
      </c>
      <c r="AB400" s="3">
        <f>IF(AND($M400=1,LEFT(对接源_01水果!$D400,4)="原料出库"),1,0)</f>
        <v>0</v>
      </c>
      <c r="AC400" s="3">
        <f t="shared" si="119"/>
        <v>0</v>
      </c>
      <c r="AD400" s="3">
        <f>IF(AND($M400=1,LEFT(对接源_01水果!$D400,4)="成品出库"),1,0)</f>
        <v>0</v>
      </c>
      <c r="AE400" s="3">
        <f t="shared" si="120"/>
        <v>0</v>
      </c>
      <c r="AF400" s="3">
        <f>IF(AND($N400=1,AND(LEFT(对接源_01水果!$D400,4)="包装物料",N(对接源_01水果!$K400)&lt;&gt;0)),1,0)</f>
        <v>0</v>
      </c>
      <c r="AG400" s="3">
        <f t="shared" si="121"/>
        <v>0</v>
      </c>
      <c r="AH400" s="3">
        <f>IF(AND($N400=1,AND(对接源_01水果!$D400="周转筐－销售出库",N(对接源_01水果!$K400)&lt;&gt;0)),1,0)</f>
        <v>0</v>
      </c>
      <c r="AI400" s="3">
        <f t="shared" si="122"/>
        <v>0</v>
      </c>
      <c r="AJ400" s="7"/>
      <c r="AL400" s="3">
        <f>IF(OR($AL$1="",对接源_01水果!$Y400="",对接源_01水果!$Y400&lt;&gt;$AL$1,对接源_01水果!$B400="",N(对接源_01水果!$AJ400)&lt;=0),0,IF(OR(N(对接源_01水果!$B400)&lt;$AL$2,N(对接源_01水果!$B400)&gt;$AL$3),0,1))</f>
        <v>0</v>
      </c>
      <c r="AM400" s="3">
        <f t="shared" si="123"/>
        <v>0</v>
      </c>
      <c r="AN400" s="3" t="str">
        <f>IF(对接源_01水果!$AC400="","",对接源_01水果!$AC400)</f>
        <v>电商/主播</v>
      </c>
      <c r="AO400" s="3">
        <f t="shared" si="124"/>
        <v>0</v>
      </c>
      <c r="AP400" s="3">
        <f t="shared" si="125"/>
        <v>4</v>
      </c>
      <c r="AR400">
        <f t="shared" si="126"/>
        <v>0</v>
      </c>
      <c r="AS400">
        <f t="shared" si="127"/>
        <v>0</v>
      </c>
    </row>
    <row r="401" ht="14.25" customHeight="1" spans="1:45">
      <c r="A401" s="3" t="str">
        <f>IF(对接源_01水果!$C401="","",对接源_01水果!$C401)</f>
        <v>王照雪</v>
      </c>
      <c r="B401" s="3">
        <f t="shared" si="111"/>
        <v>0</v>
      </c>
      <c r="C401" s="3">
        <f t="shared" si="112"/>
        <v>18</v>
      </c>
      <c r="K401" s="3">
        <f>IF(OR($K$1="",对接源_01水果!$C401="",对接源_01水果!$C401&lt;&gt;$K$1,对接源_01水果!$B401=""),0,IF(OR(N(对接源_01水果!$B401)&lt;$K$2,N(对接源_01水果!$B401)&gt;$K$3),0,1))</f>
        <v>0</v>
      </c>
      <c r="L401" s="3">
        <f>IF(OR($L$1="",对接源_01水果!$C401="",对接源_01水果!$C401&lt;&gt;$L$1,对接源_01水果!$B401=""),0,IF(OR(N(对接源_01水果!$B401)&lt;$L$2,N(对接源_01水果!$B401)&gt;$L$3),0,1))</f>
        <v>0</v>
      </c>
      <c r="M401" s="3">
        <f>IF(OR($M$1="",对接源_01水果!$C401="",对接源_01水果!$C401&lt;&gt;$M$1,对接源_01水果!$B401=""),0,IF(OR(N(对接源_01水果!$B401)&lt;$M$2,N(对接源_01水果!$B401)&gt;$M$3),0,1))</f>
        <v>0</v>
      </c>
      <c r="N401" s="3">
        <f>IF(OR($N$1="",对接源_01水果!$C401="",对接源_01水果!$C401&lt;&gt;$N$1,对接源_01水果!$B401=""),0,IF(OR(N(对接源_01水果!$B401)&lt;$N$2,N(对接源_01水果!$B401)&gt;$N$3),0,1))</f>
        <v>0</v>
      </c>
      <c r="P401" s="3">
        <f>IF(AND($K401=1,AND(对接源_01水果!$X401="公司筐",N(对接源_01水果!$T401)&lt;&gt;0)),1,0)</f>
        <v>0</v>
      </c>
      <c r="Q401" s="3">
        <f t="shared" si="113"/>
        <v>0</v>
      </c>
      <c r="R401" s="3">
        <f>IF(AND($K401=1,AND(对接源_01水果!$X401="公司筐",N(对接源_01水果!$U401)&lt;&gt;0)),1,0)</f>
        <v>0</v>
      </c>
      <c r="S401" s="3">
        <f t="shared" si="114"/>
        <v>0</v>
      </c>
      <c r="T401" s="3">
        <f>IF(AND($K401=1,AND(对接源_01水果!$X401="公司筐",N(对接源_01水果!$V401)&lt;&gt;0)),1,0)</f>
        <v>0</v>
      </c>
      <c r="U401" s="3">
        <f t="shared" si="115"/>
        <v>19</v>
      </c>
      <c r="V401" s="3">
        <f>IF(AND($L401=1,AND(对接源_01水果!$X401="自备筐",N(对接源_01水果!$V401)&lt;&gt;0)),1,0)</f>
        <v>0</v>
      </c>
      <c r="W401" s="3">
        <f t="shared" si="116"/>
        <v>8</v>
      </c>
      <c r="X401" s="3">
        <f>IF(AND($L401=1,AND(对接源_01水果!$X401="自备筐",N(对接源_01水果!$T401)&lt;&gt;0)),1,0)</f>
        <v>0</v>
      </c>
      <c r="Y401" s="3">
        <f t="shared" si="117"/>
        <v>0</v>
      </c>
      <c r="Z401" s="3">
        <f>IF(AND($M401=1,对接源_01水果!$D401="原料入库"),1,0)</f>
        <v>0</v>
      </c>
      <c r="AA401" s="3">
        <f t="shared" si="118"/>
        <v>24</v>
      </c>
      <c r="AB401" s="3">
        <f>IF(AND($M401=1,LEFT(对接源_01水果!$D401,4)="原料出库"),1,0)</f>
        <v>0</v>
      </c>
      <c r="AC401" s="3">
        <f t="shared" si="119"/>
        <v>0</v>
      </c>
      <c r="AD401" s="3">
        <f>IF(AND($M401=1,LEFT(对接源_01水果!$D401,4)="成品出库"),1,0)</f>
        <v>0</v>
      </c>
      <c r="AE401" s="3">
        <f t="shared" si="120"/>
        <v>0</v>
      </c>
      <c r="AF401" s="3">
        <f>IF(AND($N401=1,AND(LEFT(对接源_01水果!$D401,4)="包装物料",N(对接源_01水果!$K401)&lt;&gt;0)),1,0)</f>
        <v>0</v>
      </c>
      <c r="AG401" s="3">
        <f t="shared" si="121"/>
        <v>0</v>
      </c>
      <c r="AH401" s="3">
        <f>IF(AND($N401=1,AND(对接源_01水果!$D401="周转筐－销售出库",N(对接源_01水果!$K401)&lt;&gt;0)),1,0)</f>
        <v>0</v>
      </c>
      <c r="AI401" s="3">
        <f t="shared" si="122"/>
        <v>0</v>
      </c>
      <c r="AJ401" s="7"/>
      <c r="AL401" s="3">
        <f>IF(OR($AL$1="",对接源_01水果!$Y401="",对接源_01水果!$Y401&lt;&gt;$AL$1,对接源_01水果!$B401="",N(对接源_01水果!$AJ401)&lt;=0),0,IF(OR(N(对接源_01水果!$B401)&lt;$AL$2,N(对接源_01水果!$B401)&gt;$AL$3),0,1))</f>
        <v>0</v>
      </c>
      <c r="AM401" s="3">
        <f t="shared" si="123"/>
        <v>0</v>
      </c>
      <c r="AN401" s="3" t="str">
        <f>IF(对接源_01水果!$AC401="","",对接源_01水果!$AC401)</f>
        <v>王照雪</v>
      </c>
      <c r="AO401" s="3">
        <f t="shared" si="124"/>
        <v>0</v>
      </c>
      <c r="AP401" s="3">
        <f t="shared" si="125"/>
        <v>4</v>
      </c>
      <c r="AR401">
        <f t="shared" si="126"/>
        <v>0</v>
      </c>
      <c r="AS401">
        <f t="shared" si="127"/>
        <v>0</v>
      </c>
    </row>
    <row r="402" ht="14.25" customHeight="1" spans="1:45">
      <c r="A402" s="3" t="str">
        <f>IF(对接源_01水果!$C402="","",对接源_01水果!$C402)</f>
        <v>王照雪</v>
      </c>
      <c r="B402" s="3">
        <f t="shared" si="111"/>
        <v>0</v>
      </c>
      <c r="C402" s="3">
        <f t="shared" si="112"/>
        <v>18</v>
      </c>
      <c r="K402" s="3">
        <f>IF(OR($K$1="",对接源_01水果!$C402="",对接源_01水果!$C402&lt;&gt;$K$1,对接源_01水果!$B402=""),0,IF(OR(N(对接源_01水果!$B402)&lt;$K$2,N(对接源_01水果!$B402)&gt;$K$3),0,1))</f>
        <v>0</v>
      </c>
      <c r="L402" s="3">
        <f>IF(OR($L$1="",对接源_01水果!$C402="",对接源_01水果!$C402&lt;&gt;$L$1,对接源_01水果!$B402=""),0,IF(OR(N(对接源_01水果!$B402)&lt;$L$2,N(对接源_01水果!$B402)&gt;$L$3),0,1))</f>
        <v>0</v>
      </c>
      <c r="M402" s="3">
        <f>IF(OR($M$1="",对接源_01水果!$C402="",对接源_01水果!$C402&lt;&gt;$M$1,对接源_01水果!$B402=""),0,IF(OR(N(对接源_01水果!$B402)&lt;$M$2,N(对接源_01水果!$B402)&gt;$M$3),0,1))</f>
        <v>0</v>
      </c>
      <c r="N402" s="3">
        <f>IF(OR($N$1="",对接源_01水果!$C402="",对接源_01水果!$C402&lt;&gt;$N$1,对接源_01水果!$B402=""),0,IF(OR(N(对接源_01水果!$B402)&lt;$N$2,N(对接源_01水果!$B402)&gt;$N$3),0,1))</f>
        <v>0</v>
      </c>
      <c r="P402" s="3">
        <f>IF(AND($K402=1,AND(对接源_01水果!$X402="公司筐",N(对接源_01水果!$T402)&lt;&gt;0)),1,0)</f>
        <v>0</v>
      </c>
      <c r="Q402" s="3">
        <f t="shared" si="113"/>
        <v>0</v>
      </c>
      <c r="R402" s="3">
        <f>IF(AND($K402=1,AND(对接源_01水果!$X402="公司筐",N(对接源_01水果!$U402)&lt;&gt;0)),1,0)</f>
        <v>0</v>
      </c>
      <c r="S402" s="3">
        <f t="shared" si="114"/>
        <v>0</v>
      </c>
      <c r="T402" s="3">
        <f>IF(AND($K402=1,AND(对接源_01水果!$X402="公司筐",N(对接源_01水果!$V402)&lt;&gt;0)),1,0)</f>
        <v>0</v>
      </c>
      <c r="U402" s="3">
        <f t="shared" si="115"/>
        <v>19</v>
      </c>
      <c r="V402" s="3">
        <f>IF(AND($L402=1,AND(对接源_01水果!$X402="自备筐",N(对接源_01水果!$V402)&lt;&gt;0)),1,0)</f>
        <v>0</v>
      </c>
      <c r="W402" s="3">
        <f t="shared" si="116"/>
        <v>8</v>
      </c>
      <c r="X402" s="3">
        <f>IF(AND($L402=1,AND(对接源_01水果!$X402="自备筐",N(对接源_01水果!$T402)&lt;&gt;0)),1,0)</f>
        <v>0</v>
      </c>
      <c r="Y402" s="3">
        <f t="shared" si="117"/>
        <v>0</v>
      </c>
      <c r="Z402" s="3">
        <f>IF(AND($M402=1,对接源_01水果!$D402="原料入库"),1,0)</f>
        <v>0</v>
      </c>
      <c r="AA402" s="3">
        <f t="shared" si="118"/>
        <v>24</v>
      </c>
      <c r="AB402" s="3">
        <f>IF(AND($M402=1,LEFT(对接源_01水果!$D402,4)="原料出库"),1,0)</f>
        <v>0</v>
      </c>
      <c r="AC402" s="3">
        <f t="shared" si="119"/>
        <v>0</v>
      </c>
      <c r="AD402" s="3">
        <f>IF(AND($M402=1,LEFT(对接源_01水果!$D402,4)="成品出库"),1,0)</f>
        <v>0</v>
      </c>
      <c r="AE402" s="3">
        <f t="shared" si="120"/>
        <v>0</v>
      </c>
      <c r="AF402" s="3">
        <f>IF(AND($N402=1,AND(LEFT(对接源_01水果!$D402,4)="包装物料",N(对接源_01水果!$K402)&lt;&gt;0)),1,0)</f>
        <v>0</v>
      </c>
      <c r="AG402" s="3">
        <f t="shared" si="121"/>
        <v>0</v>
      </c>
      <c r="AH402" s="3">
        <f>IF(AND($N402=1,AND(对接源_01水果!$D402="周转筐－销售出库",N(对接源_01水果!$K402)&lt;&gt;0)),1,0)</f>
        <v>0</v>
      </c>
      <c r="AI402" s="3">
        <f t="shared" si="122"/>
        <v>0</v>
      </c>
      <c r="AJ402" s="7"/>
      <c r="AL402" s="3">
        <f>IF(OR($AL$1="",对接源_01水果!$Y402="",对接源_01水果!$Y402&lt;&gt;$AL$1,对接源_01水果!$B402="",N(对接源_01水果!$AJ402)&lt;=0),0,IF(OR(N(对接源_01水果!$B402)&lt;$AL$2,N(对接源_01水果!$B402)&gt;$AL$3),0,1))</f>
        <v>0</v>
      </c>
      <c r="AM402" s="3">
        <f t="shared" si="123"/>
        <v>0</v>
      </c>
      <c r="AN402" s="3" t="str">
        <f>IF(对接源_01水果!$AC402="","",对接源_01水果!$AC402)</f>
        <v>电商/主播</v>
      </c>
      <c r="AO402" s="3">
        <f t="shared" si="124"/>
        <v>0</v>
      </c>
      <c r="AP402" s="3">
        <f t="shared" si="125"/>
        <v>4</v>
      </c>
      <c r="AR402">
        <f t="shared" si="126"/>
        <v>0</v>
      </c>
      <c r="AS402">
        <f t="shared" si="127"/>
        <v>0</v>
      </c>
    </row>
    <row r="403" ht="14.25" customHeight="1" spans="1:45">
      <c r="A403" s="3" t="str">
        <f>IF(对接源_01水果!$C403="","",对接源_01水果!$C403)</f>
        <v>王照雪</v>
      </c>
      <c r="B403" s="3">
        <f t="shared" si="111"/>
        <v>0</v>
      </c>
      <c r="C403" s="3">
        <f t="shared" si="112"/>
        <v>18</v>
      </c>
      <c r="K403" s="3">
        <f>IF(OR($K$1="",对接源_01水果!$C403="",对接源_01水果!$C403&lt;&gt;$K$1,对接源_01水果!$B403=""),0,IF(OR(N(对接源_01水果!$B403)&lt;$K$2,N(对接源_01水果!$B403)&gt;$K$3),0,1))</f>
        <v>0</v>
      </c>
      <c r="L403" s="3">
        <f>IF(OR($L$1="",对接源_01水果!$C403="",对接源_01水果!$C403&lt;&gt;$L$1,对接源_01水果!$B403=""),0,IF(OR(N(对接源_01水果!$B403)&lt;$L$2,N(对接源_01水果!$B403)&gt;$L$3),0,1))</f>
        <v>0</v>
      </c>
      <c r="M403" s="3">
        <f>IF(OR($M$1="",对接源_01水果!$C403="",对接源_01水果!$C403&lt;&gt;$M$1,对接源_01水果!$B403=""),0,IF(OR(N(对接源_01水果!$B403)&lt;$M$2,N(对接源_01水果!$B403)&gt;$M$3),0,1))</f>
        <v>0</v>
      </c>
      <c r="N403" s="3">
        <f>IF(OR($N$1="",对接源_01水果!$C403="",对接源_01水果!$C403&lt;&gt;$N$1,对接源_01水果!$B403=""),0,IF(OR(N(对接源_01水果!$B403)&lt;$N$2,N(对接源_01水果!$B403)&gt;$N$3),0,1))</f>
        <v>0</v>
      </c>
      <c r="P403" s="3">
        <f>IF(AND($K403=1,AND(对接源_01水果!$X403="公司筐",N(对接源_01水果!$T403)&lt;&gt;0)),1,0)</f>
        <v>0</v>
      </c>
      <c r="Q403" s="3">
        <f t="shared" si="113"/>
        <v>0</v>
      </c>
      <c r="R403" s="3">
        <f>IF(AND($K403=1,AND(对接源_01水果!$X403="公司筐",N(对接源_01水果!$U403)&lt;&gt;0)),1,0)</f>
        <v>0</v>
      </c>
      <c r="S403" s="3">
        <f t="shared" si="114"/>
        <v>0</v>
      </c>
      <c r="T403" s="3">
        <f>IF(AND($K403=1,AND(对接源_01水果!$X403="公司筐",N(对接源_01水果!$V403)&lt;&gt;0)),1,0)</f>
        <v>0</v>
      </c>
      <c r="U403" s="3">
        <f t="shared" si="115"/>
        <v>19</v>
      </c>
      <c r="V403" s="3">
        <f>IF(AND($L403=1,AND(对接源_01水果!$X403="自备筐",N(对接源_01水果!$V403)&lt;&gt;0)),1,0)</f>
        <v>0</v>
      </c>
      <c r="W403" s="3">
        <f t="shared" si="116"/>
        <v>8</v>
      </c>
      <c r="X403" s="3">
        <f>IF(AND($L403=1,AND(对接源_01水果!$X403="自备筐",N(对接源_01水果!$T403)&lt;&gt;0)),1,0)</f>
        <v>0</v>
      </c>
      <c r="Y403" s="3">
        <f t="shared" si="117"/>
        <v>0</v>
      </c>
      <c r="Z403" s="3">
        <f>IF(AND($M403=1,对接源_01水果!$D403="原料入库"),1,0)</f>
        <v>0</v>
      </c>
      <c r="AA403" s="3">
        <f t="shared" si="118"/>
        <v>24</v>
      </c>
      <c r="AB403" s="3">
        <f>IF(AND($M403=1,LEFT(对接源_01水果!$D403,4)="原料出库"),1,0)</f>
        <v>0</v>
      </c>
      <c r="AC403" s="3">
        <f t="shared" si="119"/>
        <v>0</v>
      </c>
      <c r="AD403" s="3">
        <f>IF(AND($M403=1,LEFT(对接源_01水果!$D403,4)="成品出库"),1,0)</f>
        <v>0</v>
      </c>
      <c r="AE403" s="3">
        <f t="shared" si="120"/>
        <v>0</v>
      </c>
      <c r="AF403" s="3">
        <f>IF(AND($N403=1,AND(LEFT(对接源_01水果!$D403,4)="包装物料",N(对接源_01水果!$K403)&lt;&gt;0)),1,0)</f>
        <v>0</v>
      </c>
      <c r="AG403" s="3">
        <f t="shared" si="121"/>
        <v>0</v>
      </c>
      <c r="AH403" s="3">
        <f>IF(AND($N403=1,AND(对接源_01水果!$D403="周转筐－销售出库",N(对接源_01水果!$K403)&lt;&gt;0)),1,0)</f>
        <v>0</v>
      </c>
      <c r="AI403" s="3">
        <f t="shared" si="122"/>
        <v>0</v>
      </c>
      <c r="AJ403" s="7"/>
      <c r="AL403" s="3">
        <f>IF(OR($AL$1="",对接源_01水果!$Y403="",对接源_01水果!$Y403&lt;&gt;$AL$1,对接源_01水果!$B403="",N(对接源_01水果!$AJ403)&lt;=0),0,IF(OR(N(对接源_01水果!$B403)&lt;$AL$2,N(对接源_01水果!$B403)&gt;$AL$3),0,1))</f>
        <v>0</v>
      </c>
      <c r="AM403" s="3">
        <f t="shared" si="123"/>
        <v>0</v>
      </c>
      <c r="AN403" s="3" t="str">
        <f>IF(对接源_01水果!$AC403="","",对接源_01水果!$AC403)</f>
        <v>电商/主播</v>
      </c>
      <c r="AO403" s="3">
        <f t="shared" si="124"/>
        <v>0</v>
      </c>
      <c r="AP403" s="3">
        <f t="shared" si="125"/>
        <v>4</v>
      </c>
      <c r="AR403">
        <f t="shared" si="126"/>
        <v>0</v>
      </c>
      <c r="AS403">
        <f t="shared" si="127"/>
        <v>0</v>
      </c>
    </row>
    <row r="404" ht="14.25" customHeight="1" spans="1:45">
      <c r="A404" s="3" t="str">
        <f>IF(对接源_01水果!$C404="","",对接源_01水果!$C404)</f>
        <v>王照雪</v>
      </c>
      <c r="B404" s="3">
        <f t="shared" si="111"/>
        <v>0</v>
      </c>
      <c r="C404" s="3">
        <f t="shared" si="112"/>
        <v>18</v>
      </c>
      <c r="K404" s="3">
        <f>IF(OR($K$1="",对接源_01水果!$C404="",对接源_01水果!$C404&lt;&gt;$K$1,对接源_01水果!$B404=""),0,IF(OR(N(对接源_01水果!$B404)&lt;$K$2,N(对接源_01水果!$B404)&gt;$K$3),0,1))</f>
        <v>0</v>
      </c>
      <c r="L404" s="3">
        <f>IF(OR($L$1="",对接源_01水果!$C404="",对接源_01水果!$C404&lt;&gt;$L$1,对接源_01水果!$B404=""),0,IF(OR(N(对接源_01水果!$B404)&lt;$L$2,N(对接源_01水果!$B404)&gt;$L$3),0,1))</f>
        <v>0</v>
      </c>
      <c r="M404" s="3">
        <f>IF(OR($M$1="",对接源_01水果!$C404="",对接源_01水果!$C404&lt;&gt;$M$1,对接源_01水果!$B404=""),0,IF(OR(N(对接源_01水果!$B404)&lt;$M$2,N(对接源_01水果!$B404)&gt;$M$3),0,1))</f>
        <v>0</v>
      </c>
      <c r="N404" s="3">
        <f>IF(OR($N$1="",对接源_01水果!$C404="",对接源_01水果!$C404&lt;&gt;$N$1,对接源_01水果!$B404=""),0,IF(OR(N(对接源_01水果!$B404)&lt;$N$2,N(对接源_01水果!$B404)&gt;$N$3),0,1))</f>
        <v>0</v>
      </c>
      <c r="P404" s="3">
        <f>IF(AND($K404=1,AND(对接源_01水果!$X404="公司筐",N(对接源_01水果!$T404)&lt;&gt;0)),1,0)</f>
        <v>0</v>
      </c>
      <c r="Q404" s="3">
        <f t="shared" si="113"/>
        <v>0</v>
      </c>
      <c r="R404" s="3">
        <f>IF(AND($K404=1,AND(对接源_01水果!$X404="公司筐",N(对接源_01水果!$U404)&lt;&gt;0)),1,0)</f>
        <v>0</v>
      </c>
      <c r="S404" s="3">
        <f t="shared" si="114"/>
        <v>0</v>
      </c>
      <c r="T404" s="3">
        <f>IF(AND($K404=1,AND(对接源_01水果!$X404="公司筐",N(对接源_01水果!$V404)&lt;&gt;0)),1,0)</f>
        <v>0</v>
      </c>
      <c r="U404" s="3">
        <f t="shared" si="115"/>
        <v>19</v>
      </c>
      <c r="V404" s="3">
        <f>IF(AND($L404=1,AND(对接源_01水果!$X404="自备筐",N(对接源_01水果!$V404)&lt;&gt;0)),1,0)</f>
        <v>0</v>
      </c>
      <c r="W404" s="3">
        <f t="shared" si="116"/>
        <v>8</v>
      </c>
      <c r="X404" s="3">
        <f>IF(AND($L404=1,AND(对接源_01水果!$X404="自备筐",N(对接源_01水果!$T404)&lt;&gt;0)),1,0)</f>
        <v>0</v>
      </c>
      <c r="Y404" s="3">
        <f t="shared" si="117"/>
        <v>0</v>
      </c>
      <c r="Z404" s="3">
        <f>IF(AND($M404=1,对接源_01水果!$D404="原料入库"),1,0)</f>
        <v>0</v>
      </c>
      <c r="AA404" s="3">
        <f t="shared" si="118"/>
        <v>24</v>
      </c>
      <c r="AB404" s="3">
        <f>IF(AND($M404=1,LEFT(对接源_01水果!$D404,4)="原料出库"),1,0)</f>
        <v>0</v>
      </c>
      <c r="AC404" s="3">
        <f t="shared" si="119"/>
        <v>0</v>
      </c>
      <c r="AD404" s="3">
        <f>IF(AND($M404=1,LEFT(对接源_01水果!$D404,4)="成品出库"),1,0)</f>
        <v>0</v>
      </c>
      <c r="AE404" s="3">
        <f t="shared" si="120"/>
        <v>0</v>
      </c>
      <c r="AF404" s="3">
        <f>IF(AND($N404=1,AND(LEFT(对接源_01水果!$D404,4)="包装物料",N(对接源_01水果!$K404)&lt;&gt;0)),1,0)</f>
        <v>0</v>
      </c>
      <c r="AG404" s="3">
        <f t="shared" si="121"/>
        <v>0</v>
      </c>
      <c r="AH404" s="3">
        <f>IF(AND($N404=1,AND(对接源_01水果!$D404="周转筐－销售出库",N(对接源_01水果!$K404)&lt;&gt;0)),1,0)</f>
        <v>0</v>
      </c>
      <c r="AI404" s="3">
        <f t="shared" si="122"/>
        <v>0</v>
      </c>
      <c r="AJ404" s="7"/>
      <c r="AL404" s="3">
        <f>IF(OR($AL$1="",对接源_01水果!$Y404="",对接源_01水果!$Y404&lt;&gt;$AL$1,对接源_01水果!$B404="",N(对接源_01水果!$AJ404)&lt;=0),0,IF(OR(N(对接源_01水果!$B404)&lt;$AL$2,N(对接源_01水果!$B404)&gt;$AL$3),0,1))</f>
        <v>0</v>
      </c>
      <c r="AM404" s="3">
        <f t="shared" si="123"/>
        <v>0</v>
      </c>
      <c r="AN404" s="3" t="str">
        <f>IF(对接源_01水果!$AC404="","",对接源_01水果!$AC404)</f>
        <v>电商/主播</v>
      </c>
      <c r="AO404" s="3">
        <f t="shared" si="124"/>
        <v>0</v>
      </c>
      <c r="AP404" s="3">
        <f t="shared" si="125"/>
        <v>4</v>
      </c>
      <c r="AR404">
        <f t="shared" si="126"/>
        <v>0</v>
      </c>
      <c r="AS404">
        <f t="shared" si="127"/>
        <v>0</v>
      </c>
    </row>
    <row r="405" ht="14.25" customHeight="1" spans="1:45">
      <c r="A405" s="3" t="str">
        <f>IF(对接源_01水果!$C405="","",对接源_01水果!$C405)</f>
        <v>王照雪</v>
      </c>
      <c r="B405" s="3">
        <f t="shared" si="111"/>
        <v>0</v>
      </c>
      <c r="C405" s="3">
        <f t="shared" si="112"/>
        <v>18</v>
      </c>
      <c r="K405" s="3">
        <f>IF(OR($K$1="",对接源_01水果!$C405="",对接源_01水果!$C405&lt;&gt;$K$1,对接源_01水果!$B405=""),0,IF(OR(N(对接源_01水果!$B405)&lt;$K$2,N(对接源_01水果!$B405)&gt;$K$3),0,1))</f>
        <v>0</v>
      </c>
      <c r="L405" s="3">
        <f>IF(OR($L$1="",对接源_01水果!$C405="",对接源_01水果!$C405&lt;&gt;$L$1,对接源_01水果!$B405=""),0,IF(OR(N(对接源_01水果!$B405)&lt;$L$2,N(对接源_01水果!$B405)&gt;$L$3),0,1))</f>
        <v>0</v>
      </c>
      <c r="M405" s="3">
        <f>IF(OR($M$1="",对接源_01水果!$C405="",对接源_01水果!$C405&lt;&gt;$M$1,对接源_01水果!$B405=""),0,IF(OR(N(对接源_01水果!$B405)&lt;$M$2,N(对接源_01水果!$B405)&gt;$M$3),0,1))</f>
        <v>0</v>
      </c>
      <c r="N405" s="3">
        <f>IF(OR($N$1="",对接源_01水果!$C405="",对接源_01水果!$C405&lt;&gt;$N$1,对接源_01水果!$B405=""),0,IF(OR(N(对接源_01水果!$B405)&lt;$N$2,N(对接源_01水果!$B405)&gt;$N$3),0,1))</f>
        <v>0</v>
      </c>
      <c r="P405" s="3">
        <f>IF(AND($K405=1,AND(对接源_01水果!$X405="公司筐",N(对接源_01水果!$T405)&lt;&gt;0)),1,0)</f>
        <v>0</v>
      </c>
      <c r="Q405" s="3">
        <f t="shared" si="113"/>
        <v>0</v>
      </c>
      <c r="R405" s="3">
        <f>IF(AND($K405=1,AND(对接源_01水果!$X405="公司筐",N(对接源_01水果!$U405)&lt;&gt;0)),1,0)</f>
        <v>0</v>
      </c>
      <c r="S405" s="3">
        <f t="shared" si="114"/>
        <v>0</v>
      </c>
      <c r="T405" s="3">
        <f>IF(AND($K405=1,AND(对接源_01水果!$X405="公司筐",N(对接源_01水果!$V405)&lt;&gt;0)),1,0)</f>
        <v>0</v>
      </c>
      <c r="U405" s="3">
        <f t="shared" si="115"/>
        <v>19</v>
      </c>
      <c r="V405" s="3">
        <f>IF(AND($L405=1,AND(对接源_01水果!$X405="自备筐",N(对接源_01水果!$V405)&lt;&gt;0)),1,0)</f>
        <v>0</v>
      </c>
      <c r="W405" s="3">
        <f t="shared" si="116"/>
        <v>8</v>
      </c>
      <c r="X405" s="3">
        <f>IF(AND($L405=1,AND(对接源_01水果!$X405="自备筐",N(对接源_01水果!$T405)&lt;&gt;0)),1,0)</f>
        <v>0</v>
      </c>
      <c r="Y405" s="3">
        <f t="shared" si="117"/>
        <v>0</v>
      </c>
      <c r="Z405" s="3">
        <f>IF(AND($M405=1,对接源_01水果!$D405="原料入库"),1,0)</f>
        <v>0</v>
      </c>
      <c r="AA405" s="3">
        <f t="shared" si="118"/>
        <v>24</v>
      </c>
      <c r="AB405" s="3">
        <f>IF(AND($M405=1,LEFT(对接源_01水果!$D405,4)="原料出库"),1,0)</f>
        <v>0</v>
      </c>
      <c r="AC405" s="3">
        <f t="shared" si="119"/>
        <v>0</v>
      </c>
      <c r="AD405" s="3">
        <f>IF(AND($M405=1,LEFT(对接源_01水果!$D405,4)="成品出库"),1,0)</f>
        <v>0</v>
      </c>
      <c r="AE405" s="3">
        <f t="shared" si="120"/>
        <v>0</v>
      </c>
      <c r="AF405" s="3">
        <f>IF(AND($N405=1,AND(LEFT(对接源_01水果!$D405,4)="包装物料",N(对接源_01水果!$K405)&lt;&gt;0)),1,0)</f>
        <v>0</v>
      </c>
      <c r="AG405" s="3">
        <f t="shared" si="121"/>
        <v>0</v>
      </c>
      <c r="AH405" s="3">
        <f>IF(AND($N405=1,AND(对接源_01水果!$D405="周转筐－销售出库",N(对接源_01水果!$K405)&lt;&gt;0)),1,0)</f>
        <v>0</v>
      </c>
      <c r="AI405" s="3">
        <f t="shared" si="122"/>
        <v>0</v>
      </c>
      <c r="AJ405" s="7"/>
      <c r="AL405" s="3">
        <f>IF(OR($AL$1="",对接源_01水果!$Y405="",对接源_01水果!$Y405&lt;&gt;$AL$1,对接源_01水果!$B405="",N(对接源_01水果!$AJ405)&lt;=0),0,IF(OR(N(对接源_01水果!$B405)&lt;$AL$2,N(对接源_01水果!$B405)&gt;$AL$3),0,1))</f>
        <v>0</v>
      </c>
      <c r="AM405" s="3">
        <f t="shared" si="123"/>
        <v>0</v>
      </c>
      <c r="AN405" s="3" t="str">
        <f>IF(对接源_01水果!$AC405="","",对接源_01水果!$AC405)</f>
        <v>电商/主播</v>
      </c>
      <c r="AO405" s="3">
        <f t="shared" si="124"/>
        <v>0</v>
      </c>
      <c r="AP405" s="3">
        <f t="shared" si="125"/>
        <v>4</v>
      </c>
      <c r="AR405">
        <f t="shared" si="126"/>
        <v>0</v>
      </c>
      <c r="AS405">
        <f t="shared" si="127"/>
        <v>0</v>
      </c>
    </row>
    <row r="406" ht="14.25" customHeight="1" spans="1:45">
      <c r="A406" s="3" t="str">
        <f>IF(对接源_01水果!$C406="","",对接源_01水果!$C406)</f>
        <v>王照雪</v>
      </c>
      <c r="B406" s="3">
        <f t="shared" si="111"/>
        <v>0</v>
      </c>
      <c r="C406" s="3">
        <f t="shared" si="112"/>
        <v>18</v>
      </c>
      <c r="K406" s="3">
        <f>IF(OR($K$1="",对接源_01水果!$C406="",对接源_01水果!$C406&lt;&gt;$K$1,对接源_01水果!$B406=""),0,IF(OR(N(对接源_01水果!$B406)&lt;$K$2,N(对接源_01水果!$B406)&gt;$K$3),0,1))</f>
        <v>0</v>
      </c>
      <c r="L406" s="3">
        <f>IF(OR($L$1="",对接源_01水果!$C406="",对接源_01水果!$C406&lt;&gt;$L$1,对接源_01水果!$B406=""),0,IF(OR(N(对接源_01水果!$B406)&lt;$L$2,N(对接源_01水果!$B406)&gt;$L$3),0,1))</f>
        <v>0</v>
      </c>
      <c r="M406" s="3">
        <f>IF(OR($M$1="",对接源_01水果!$C406="",对接源_01水果!$C406&lt;&gt;$M$1,对接源_01水果!$B406=""),0,IF(OR(N(对接源_01水果!$B406)&lt;$M$2,N(对接源_01水果!$B406)&gt;$M$3),0,1))</f>
        <v>0</v>
      </c>
      <c r="N406" s="3">
        <f>IF(OR($N$1="",对接源_01水果!$C406="",对接源_01水果!$C406&lt;&gt;$N$1,对接源_01水果!$B406=""),0,IF(OR(N(对接源_01水果!$B406)&lt;$N$2,N(对接源_01水果!$B406)&gt;$N$3),0,1))</f>
        <v>0</v>
      </c>
      <c r="P406" s="3">
        <f>IF(AND($K406=1,AND(对接源_01水果!$X406="公司筐",N(对接源_01水果!$T406)&lt;&gt;0)),1,0)</f>
        <v>0</v>
      </c>
      <c r="Q406" s="3">
        <f t="shared" si="113"/>
        <v>0</v>
      </c>
      <c r="R406" s="3">
        <f>IF(AND($K406=1,AND(对接源_01水果!$X406="公司筐",N(对接源_01水果!$U406)&lt;&gt;0)),1,0)</f>
        <v>0</v>
      </c>
      <c r="S406" s="3">
        <f t="shared" si="114"/>
        <v>0</v>
      </c>
      <c r="T406" s="3">
        <f>IF(AND($K406=1,AND(对接源_01水果!$X406="公司筐",N(对接源_01水果!$V406)&lt;&gt;0)),1,0)</f>
        <v>0</v>
      </c>
      <c r="U406" s="3">
        <f t="shared" si="115"/>
        <v>19</v>
      </c>
      <c r="V406" s="3">
        <f>IF(AND($L406=1,AND(对接源_01水果!$X406="自备筐",N(对接源_01水果!$V406)&lt;&gt;0)),1,0)</f>
        <v>0</v>
      </c>
      <c r="W406" s="3">
        <f t="shared" si="116"/>
        <v>8</v>
      </c>
      <c r="X406" s="3">
        <f>IF(AND($L406=1,AND(对接源_01水果!$X406="自备筐",N(对接源_01水果!$T406)&lt;&gt;0)),1,0)</f>
        <v>0</v>
      </c>
      <c r="Y406" s="3">
        <f t="shared" si="117"/>
        <v>0</v>
      </c>
      <c r="Z406" s="3">
        <f>IF(AND($M406=1,对接源_01水果!$D406="原料入库"),1,0)</f>
        <v>0</v>
      </c>
      <c r="AA406" s="3">
        <f t="shared" si="118"/>
        <v>24</v>
      </c>
      <c r="AB406" s="3">
        <f>IF(AND($M406=1,LEFT(对接源_01水果!$D406,4)="原料出库"),1,0)</f>
        <v>0</v>
      </c>
      <c r="AC406" s="3">
        <f t="shared" si="119"/>
        <v>0</v>
      </c>
      <c r="AD406" s="3">
        <f>IF(AND($M406=1,LEFT(对接源_01水果!$D406,4)="成品出库"),1,0)</f>
        <v>0</v>
      </c>
      <c r="AE406" s="3">
        <f t="shared" si="120"/>
        <v>0</v>
      </c>
      <c r="AF406" s="3">
        <f>IF(AND($N406=1,AND(LEFT(对接源_01水果!$D406,4)="包装物料",N(对接源_01水果!$K406)&lt;&gt;0)),1,0)</f>
        <v>0</v>
      </c>
      <c r="AG406" s="3">
        <f t="shared" si="121"/>
        <v>0</v>
      </c>
      <c r="AH406" s="3">
        <f>IF(AND($N406=1,AND(对接源_01水果!$D406="周转筐－销售出库",N(对接源_01水果!$K406)&lt;&gt;0)),1,0)</f>
        <v>0</v>
      </c>
      <c r="AI406" s="3">
        <f t="shared" si="122"/>
        <v>0</v>
      </c>
      <c r="AJ406" s="7"/>
      <c r="AL406" s="3">
        <f>IF(OR($AL$1="",对接源_01水果!$Y406="",对接源_01水果!$Y406&lt;&gt;$AL$1,对接源_01水果!$B406="",N(对接源_01水果!$AJ406)&lt;=0),0,IF(OR(N(对接源_01水果!$B406)&lt;$AL$2,N(对接源_01水果!$B406)&gt;$AL$3),0,1))</f>
        <v>0</v>
      </c>
      <c r="AM406" s="3">
        <f t="shared" si="123"/>
        <v>0</v>
      </c>
      <c r="AN406" s="3" t="str">
        <f>IF(对接源_01水果!$AC406="","",对接源_01水果!$AC406)</f>
        <v>电商/主播</v>
      </c>
      <c r="AO406" s="3">
        <f t="shared" si="124"/>
        <v>0</v>
      </c>
      <c r="AP406" s="3">
        <f t="shared" si="125"/>
        <v>4</v>
      </c>
      <c r="AR406">
        <f t="shared" si="126"/>
        <v>0</v>
      </c>
      <c r="AS406">
        <f t="shared" si="127"/>
        <v>0</v>
      </c>
    </row>
    <row r="407" ht="14.25" customHeight="1" spans="1:45">
      <c r="A407" s="3" t="str">
        <f>IF(对接源_01水果!$C407="","",对接源_01水果!$C407)</f>
        <v>王照雪</v>
      </c>
      <c r="B407" s="3">
        <f t="shared" si="111"/>
        <v>0</v>
      </c>
      <c r="C407" s="3">
        <f t="shared" si="112"/>
        <v>18</v>
      </c>
      <c r="K407" s="3">
        <f>IF(OR($K$1="",对接源_01水果!$C407="",对接源_01水果!$C407&lt;&gt;$K$1,对接源_01水果!$B407=""),0,IF(OR(N(对接源_01水果!$B407)&lt;$K$2,N(对接源_01水果!$B407)&gt;$K$3),0,1))</f>
        <v>0</v>
      </c>
      <c r="L407" s="3">
        <f>IF(OR($L$1="",对接源_01水果!$C407="",对接源_01水果!$C407&lt;&gt;$L$1,对接源_01水果!$B407=""),0,IF(OR(N(对接源_01水果!$B407)&lt;$L$2,N(对接源_01水果!$B407)&gt;$L$3),0,1))</f>
        <v>0</v>
      </c>
      <c r="M407" s="3">
        <f>IF(OR($M$1="",对接源_01水果!$C407="",对接源_01水果!$C407&lt;&gt;$M$1,对接源_01水果!$B407=""),0,IF(OR(N(对接源_01水果!$B407)&lt;$M$2,N(对接源_01水果!$B407)&gt;$M$3),0,1))</f>
        <v>0</v>
      </c>
      <c r="N407" s="3">
        <f>IF(OR($N$1="",对接源_01水果!$C407="",对接源_01水果!$C407&lt;&gt;$N$1,对接源_01水果!$B407=""),0,IF(OR(N(对接源_01水果!$B407)&lt;$N$2,N(对接源_01水果!$B407)&gt;$N$3),0,1))</f>
        <v>0</v>
      </c>
      <c r="P407" s="3">
        <f>IF(AND($K407=1,AND(对接源_01水果!$X407="公司筐",N(对接源_01水果!$T407)&lt;&gt;0)),1,0)</f>
        <v>0</v>
      </c>
      <c r="Q407" s="3">
        <f t="shared" si="113"/>
        <v>0</v>
      </c>
      <c r="R407" s="3">
        <f>IF(AND($K407=1,AND(对接源_01水果!$X407="公司筐",N(对接源_01水果!$U407)&lt;&gt;0)),1,0)</f>
        <v>0</v>
      </c>
      <c r="S407" s="3">
        <f t="shared" si="114"/>
        <v>0</v>
      </c>
      <c r="T407" s="3">
        <f>IF(AND($K407=1,AND(对接源_01水果!$X407="公司筐",N(对接源_01水果!$V407)&lt;&gt;0)),1,0)</f>
        <v>0</v>
      </c>
      <c r="U407" s="3">
        <f t="shared" si="115"/>
        <v>19</v>
      </c>
      <c r="V407" s="3">
        <f>IF(AND($L407=1,AND(对接源_01水果!$X407="自备筐",N(对接源_01水果!$V407)&lt;&gt;0)),1,0)</f>
        <v>0</v>
      </c>
      <c r="W407" s="3">
        <f t="shared" si="116"/>
        <v>8</v>
      </c>
      <c r="X407" s="3">
        <f>IF(AND($L407=1,AND(对接源_01水果!$X407="自备筐",N(对接源_01水果!$T407)&lt;&gt;0)),1,0)</f>
        <v>0</v>
      </c>
      <c r="Y407" s="3">
        <f t="shared" si="117"/>
        <v>0</v>
      </c>
      <c r="Z407" s="3">
        <f>IF(AND($M407=1,对接源_01水果!$D407="原料入库"),1,0)</f>
        <v>0</v>
      </c>
      <c r="AA407" s="3">
        <f t="shared" si="118"/>
        <v>24</v>
      </c>
      <c r="AB407" s="3">
        <f>IF(AND($M407=1,LEFT(对接源_01水果!$D407,4)="原料出库"),1,0)</f>
        <v>0</v>
      </c>
      <c r="AC407" s="3">
        <f t="shared" si="119"/>
        <v>0</v>
      </c>
      <c r="AD407" s="3">
        <f>IF(AND($M407=1,LEFT(对接源_01水果!$D407,4)="成品出库"),1,0)</f>
        <v>0</v>
      </c>
      <c r="AE407" s="3">
        <f t="shared" si="120"/>
        <v>0</v>
      </c>
      <c r="AF407" s="3">
        <f>IF(AND($N407=1,AND(LEFT(对接源_01水果!$D407,4)="包装物料",N(对接源_01水果!$K407)&lt;&gt;0)),1,0)</f>
        <v>0</v>
      </c>
      <c r="AG407" s="3">
        <f t="shared" si="121"/>
        <v>0</v>
      </c>
      <c r="AH407" s="3">
        <f>IF(AND($N407=1,AND(对接源_01水果!$D407="周转筐－销售出库",N(对接源_01水果!$K407)&lt;&gt;0)),1,0)</f>
        <v>0</v>
      </c>
      <c r="AI407" s="3">
        <f t="shared" si="122"/>
        <v>0</v>
      </c>
      <c r="AJ407" s="7"/>
      <c r="AL407" s="3">
        <f>IF(OR($AL$1="",对接源_01水果!$Y407="",对接源_01水果!$Y407&lt;&gt;$AL$1,对接源_01水果!$B407="",N(对接源_01水果!$AJ407)&lt;=0),0,IF(OR(N(对接源_01水果!$B407)&lt;$AL$2,N(对接源_01水果!$B407)&gt;$AL$3),0,1))</f>
        <v>0</v>
      </c>
      <c r="AM407" s="3">
        <f t="shared" si="123"/>
        <v>0</v>
      </c>
      <c r="AN407" s="3" t="str">
        <f>IF(对接源_01水果!$AC407="","",对接源_01水果!$AC407)</f>
        <v>电商/主播</v>
      </c>
      <c r="AO407" s="3">
        <f t="shared" si="124"/>
        <v>0</v>
      </c>
      <c r="AP407" s="3">
        <f t="shared" si="125"/>
        <v>4</v>
      </c>
      <c r="AR407">
        <f t="shared" si="126"/>
        <v>0</v>
      </c>
      <c r="AS407">
        <f t="shared" si="127"/>
        <v>0</v>
      </c>
    </row>
    <row r="408" ht="14.25" customHeight="1" spans="1:45">
      <c r="A408" s="3" t="str">
        <f>IF(对接源_01水果!$C408="","",对接源_01水果!$C408)</f>
        <v>王照雪</v>
      </c>
      <c r="B408" s="3">
        <f t="shared" si="111"/>
        <v>0</v>
      </c>
      <c r="C408" s="3">
        <f t="shared" si="112"/>
        <v>18</v>
      </c>
      <c r="K408" s="3">
        <f>IF(OR($K$1="",对接源_01水果!$C408="",对接源_01水果!$C408&lt;&gt;$K$1,对接源_01水果!$B408=""),0,IF(OR(N(对接源_01水果!$B408)&lt;$K$2,N(对接源_01水果!$B408)&gt;$K$3),0,1))</f>
        <v>0</v>
      </c>
      <c r="L408" s="3">
        <f>IF(OR($L$1="",对接源_01水果!$C408="",对接源_01水果!$C408&lt;&gt;$L$1,对接源_01水果!$B408=""),0,IF(OR(N(对接源_01水果!$B408)&lt;$L$2,N(对接源_01水果!$B408)&gt;$L$3),0,1))</f>
        <v>0</v>
      </c>
      <c r="M408" s="3">
        <f>IF(OR($M$1="",对接源_01水果!$C408="",对接源_01水果!$C408&lt;&gt;$M$1,对接源_01水果!$B408=""),0,IF(OR(N(对接源_01水果!$B408)&lt;$M$2,N(对接源_01水果!$B408)&gt;$M$3),0,1))</f>
        <v>0</v>
      </c>
      <c r="N408" s="3">
        <f>IF(OR($N$1="",对接源_01水果!$C408="",对接源_01水果!$C408&lt;&gt;$N$1,对接源_01水果!$B408=""),0,IF(OR(N(对接源_01水果!$B408)&lt;$N$2,N(对接源_01水果!$B408)&gt;$N$3),0,1))</f>
        <v>0</v>
      </c>
      <c r="P408" s="3">
        <f>IF(AND($K408=1,AND(对接源_01水果!$X408="公司筐",N(对接源_01水果!$T408)&lt;&gt;0)),1,0)</f>
        <v>0</v>
      </c>
      <c r="Q408" s="3">
        <f t="shared" si="113"/>
        <v>0</v>
      </c>
      <c r="R408" s="3">
        <f>IF(AND($K408=1,AND(对接源_01水果!$X408="公司筐",N(对接源_01水果!$U408)&lt;&gt;0)),1,0)</f>
        <v>0</v>
      </c>
      <c r="S408" s="3">
        <f t="shared" si="114"/>
        <v>0</v>
      </c>
      <c r="T408" s="3">
        <f>IF(AND($K408=1,AND(对接源_01水果!$X408="公司筐",N(对接源_01水果!$V408)&lt;&gt;0)),1,0)</f>
        <v>0</v>
      </c>
      <c r="U408" s="3">
        <f t="shared" si="115"/>
        <v>19</v>
      </c>
      <c r="V408" s="3">
        <f>IF(AND($L408=1,AND(对接源_01水果!$X408="自备筐",N(对接源_01水果!$V408)&lt;&gt;0)),1,0)</f>
        <v>0</v>
      </c>
      <c r="W408" s="3">
        <f t="shared" si="116"/>
        <v>8</v>
      </c>
      <c r="X408" s="3">
        <f>IF(AND($L408=1,AND(对接源_01水果!$X408="自备筐",N(对接源_01水果!$T408)&lt;&gt;0)),1,0)</f>
        <v>0</v>
      </c>
      <c r="Y408" s="3">
        <f t="shared" si="117"/>
        <v>0</v>
      </c>
      <c r="Z408" s="3">
        <f>IF(AND($M408=1,对接源_01水果!$D408="原料入库"),1,0)</f>
        <v>0</v>
      </c>
      <c r="AA408" s="3">
        <f t="shared" si="118"/>
        <v>24</v>
      </c>
      <c r="AB408" s="3">
        <f>IF(AND($M408=1,LEFT(对接源_01水果!$D408,4)="原料出库"),1,0)</f>
        <v>0</v>
      </c>
      <c r="AC408" s="3">
        <f t="shared" si="119"/>
        <v>0</v>
      </c>
      <c r="AD408" s="3">
        <f>IF(AND($M408=1,LEFT(对接源_01水果!$D408,4)="成品出库"),1,0)</f>
        <v>0</v>
      </c>
      <c r="AE408" s="3">
        <f t="shared" si="120"/>
        <v>0</v>
      </c>
      <c r="AF408" s="3">
        <f>IF(AND($N408=1,AND(LEFT(对接源_01水果!$D408,4)="包装物料",N(对接源_01水果!$K408)&lt;&gt;0)),1,0)</f>
        <v>0</v>
      </c>
      <c r="AG408" s="3">
        <f t="shared" si="121"/>
        <v>0</v>
      </c>
      <c r="AH408" s="3">
        <f>IF(AND($N408=1,AND(对接源_01水果!$D408="周转筐－销售出库",N(对接源_01水果!$K408)&lt;&gt;0)),1,0)</f>
        <v>0</v>
      </c>
      <c r="AI408" s="3">
        <f t="shared" si="122"/>
        <v>0</v>
      </c>
      <c r="AJ408" s="7"/>
      <c r="AL408" s="3">
        <f>IF(OR($AL$1="",对接源_01水果!$Y408="",对接源_01水果!$Y408&lt;&gt;$AL$1,对接源_01水果!$B408="",N(对接源_01水果!$AJ408)&lt;=0),0,IF(OR(N(对接源_01水果!$B408)&lt;$AL$2,N(对接源_01水果!$B408)&gt;$AL$3),0,1))</f>
        <v>0</v>
      </c>
      <c r="AM408" s="3">
        <f t="shared" si="123"/>
        <v>0</v>
      </c>
      <c r="AN408" s="3" t="str">
        <f>IF(对接源_01水果!$AC408="","",对接源_01水果!$AC408)</f>
        <v>电商/主播</v>
      </c>
      <c r="AO408" s="3">
        <f t="shared" si="124"/>
        <v>0</v>
      </c>
      <c r="AP408" s="3">
        <f t="shared" si="125"/>
        <v>4</v>
      </c>
      <c r="AR408">
        <f t="shared" si="126"/>
        <v>0</v>
      </c>
      <c r="AS408">
        <f t="shared" si="127"/>
        <v>0</v>
      </c>
    </row>
    <row r="409" ht="14.25" customHeight="1" spans="1:45">
      <c r="A409" s="3" t="str">
        <f>IF(对接源_01水果!$C409="","",对接源_01水果!$C409)</f>
        <v>王照雪</v>
      </c>
      <c r="B409" s="3">
        <f t="shared" si="111"/>
        <v>0</v>
      </c>
      <c r="C409" s="3">
        <f t="shared" si="112"/>
        <v>18</v>
      </c>
      <c r="K409" s="3">
        <f>IF(OR($K$1="",对接源_01水果!$C409="",对接源_01水果!$C409&lt;&gt;$K$1,对接源_01水果!$B409=""),0,IF(OR(N(对接源_01水果!$B409)&lt;$K$2,N(对接源_01水果!$B409)&gt;$K$3),0,1))</f>
        <v>0</v>
      </c>
      <c r="L409" s="3">
        <f>IF(OR($L$1="",对接源_01水果!$C409="",对接源_01水果!$C409&lt;&gt;$L$1,对接源_01水果!$B409=""),0,IF(OR(N(对接源_01水果!$B409)&lt;$L$2,N(对接源_01水果!$B409)&gt;$L$3),0,1))</f>
        <v>0</v>
      </c>
      <c r="M409" s="3">
        <f>IF(OR($M$1="",对接源_01水果!$C409="",对接源_01水果!$C409&lt;&gt;$M$1,对接源_01水果!$B409=""),0,IF(OR(N(对接源_01水果!$B409)&lt;$M$2,N(对接源_01水果!$B409)&gt;$M$3),0,1))</f>
        <v>0</v>
      </c>
      <c r="N409" s="3">
        <f>IF(OR($N$1="",对接源_01水果!$C409="",对接源_01水果!$C409&lt;&gt;$N$1,对接源_01水果!$B409=""),0,IF(OR(N(对接源_01水果!$B409)&lt;$N$2,N(对接源_01水果!$B409)&gt;$N$3),0,1))</f>
        <v>0</v>
      </c>
      <c r="P409" s="3">
        <f>IF(AND($K409=1,AND(对接源_01水果!$X409="公司筐",N(对接源_01水果!$T409)&lt;&gt;0)),1,0)</f>
        <v>0</v>
      </c>
      <c r="Q409" s="3">
        <f t="shared" si="113"/>
        <v>0</v>
      </c>
      <c r="R409" s="3">
        <f>IF(AND($K409=1,AND(对接源_01水果!$X409="公司筐",N(对接源_01水果!$U409)&lt;&gt;0)),1,0)</f>
        <v>0</v>
      </c>
      <c r="S409" s="3">
        <f t="shared" si="114"/>
        <v>0</v>
      </c>
      <c r="T409" s="3">
        <f>IF(AND($K409=1,AND(对接源_01水果!$X409="公司筐",N(对接源_01水果!$V409)&lt;&gt;0)),1,0)</f>
        <v>0</v>
      </c>
      <c r="U409" s="3">
        <f t="shared" si="115"/>
        <v>19</v>
      </c>
      <c r="V409" s="3">
        <f>IF(AND($L409=1,AND(对接源_01水果!$X409="自备筐",N(对接源_01水果!$V409)&lt;&gt;0)),1,0)</f>
        <v>0</v>
      </c>
      <c r="W409" s="3">
        <f t="shared" si="116"/>
        <v>8</v>
      </c>
      <c r="X409" s="3">
        <f>IF(AND($L409=1,AND(对接源_01水果!$X409="自备筐",N(对接源_01水果!$T409)&lt;&gt;0)),1,0)</f>
        <v>0</v>
      </c>
      <c r="Y409" s="3">
        <f t="shared" si="117"/>
        <v>0</v>
      </c>
      <c r="Z409" s="3">
        <f>IF(AND($M409=1,对接源_01水果!$D409="原料入库"),1,0)</f>
        <v>0</v>
      </c>
      <c r="AA409" s="3">
        <f t="shared" si="118"/>
        <v>24</v>
      </c>
      <c r="AB409" s="3">
        <f>IF(AND($M409=1,LEFT(对接源_01水果!$D409,4)="原料出库"),1,0)</f>
        <v>0</v>
      </c>
      <c r="AC409" s="3">
        <f t="shared" si="119"/>
        <v>0</v>
      </c>
      <c r="AD409" s="3">
        <f>IF(AND($M409=1,LEFT(对接源_01水果!$D409,4)="成品出库"),1,0)</f>
        <v>0</v>
      </c>
      <c r="AE409" s="3">
        <f t="shared" si="120"/>
        <v>0</v>
      </c>
      <c r="AF409" s="3">
        <f>IF(AND($N409=1,AND(LEFT(对接源_01水果!$D409,4)="包装物料",N(对接源_01水果!$K409)&lt;&gt;0)),1,0)</f>
        <v>0</v>
      </c>
      <c r="AG409" s="3">
        <f t="shared" si="121"/>
        <v>0</v>
      </c>
      <c r="AH409" s="3">
        <f>IF(AND($N409=1,AND(对接源_01水果!$D409="周转筐－销售出库",N(对接源_01水果!$K409)&lt;&gt;0)),1,0)</f>
        <v>0</v>
      </c>
      <c r="AI409" s="3">
        <f t="shared" si="122"/>
        <v>0</v>
      </c>
      <c r="AJ409" s="7"/>
      <c r="AL409" s="3">
        <f>IF(OR($AL$1="",对接源_01水果!$Y409="",对接源_01水果!$Y409&lt;&gt;$AL$1,对接源_01水果!$B409="",N(对接源_01水果!$AJ409)&lt;=0),0,IF(OR(N(对接源_01水果!$B409)&lt;$AL$2,N(对接源_01水果!$B409)&gt;$AL$3),0,1))</f>
        <v>0</v>
      </c>
      <c r="AM409" s="3">
        <f t="shared" si="123"/>
        <v>0</v>
      </c>
      <c r="AN409" s="3" t="str">
        <f>IF(对接源_01水果!$AC409="","",对接源_01水果!$AC409)</f>
        <v>电商/主播</v>
      </c>
      <c r="AO409" s="3">
        <f t="shared" si="124"/>
        <v>0</v>
      </c>
      <c r="AP409" s="3">
        <f t="shared" si="125"/>
        <v>4</v>
      </c>
      <c r="AR409">
        <f t="shared" si="126"/>
        <v>0</v>
      </c>
      <c r="AS409">
        <f t="shared" si="127"/>
        <v>0</v>
      </c>
    </row>
    <row r="410" ht="14.25" customHeight="1" spans="1:45">
      <c r="A410" s="3" t="str">
        <f>IF(对接源_01水果!$C410="","",对接源_01水果!$C410)</f>
        <v>王照雪</v>
      </c>
      <c r="B410" s="3">
        <f t="shared" si="111"/>
        <v>0</v>
      </c>
      <c r="C410" s="3">
        <f t="shared" si="112"/>
        <v>18</v>
      </c>
      <c r="K410" s="3">
        <f>IF(OR($K$1="",对接源_01水果!$C410="",对接源_01水果!$C410&lt;&gt;$K$1,对接源_01水果!$B410=""),0,IF(OR(N(对接源_01水果!$B410)&lt;$K$2,N(对接源_01水果!$B410)&gt;$K$3),0,1))</f>
        <v>0</v>
      </c>
      <c r="L410" s="3">
        <f>IF(OR($L$1="",对接源_01水果!$C410="",对接源_01水果!$C410&lt;&gt;$L$1,对接源_01水果!$B410=""),0,IF(OR(N(对接源_01水果!$B410)&lt;$L$2,N(对接源_01水果!$B410)&gt;$L$3),0,1))</f>
        <v>0</v>
      </c>
      <c r="M410" s="3">
        <f>IF(OR($M$1="",对接源_01水果!$C410="",对接源_01水果!$C410&lt;&gt;$M$1,对接源_01水果!$B410=""),0,IF(OR(N(对接源_01水果!$B410)&lt;$M$2,N(对接源_01水果!$B410)&gt;$M$3),0,1))</f>
        <v>0</v>
      </c>
      <c r="N410" s="3">
        <f>IF(OR($N$1="",对接源_01水果!$C410="",对接源_01水果!$C410&lt;&gt;$N$1,对接源_01水果!$B410=""),0,IF(OR(N(对接源_01水果!$B410)&lt;$N$2,N(对接源_01水果!$B410)&gt;$N$3),0,1))</f>
        <v>0</v>
      </c>
      <c r="P410" s="3">
        <f>IF(AND($K410=1,AND(对接源_01水果!$X410="公司筐",N(对接源_01水果!$T410)&lt;&gt;0)),1,0)</f>
        <v>0</v>
      </c>
      <c r="Q410" s="3">
        <f t="shared" si="113"/>
        <v>0</v>
      </c>
      <c r="R410" s="3">
        <f>IF(AND($K410=1,AND(对接源_01水果!$X410="公司筐",N(对接源_01水果!$U410)&lt;&gt;0)),1,0)</f>
        <v>0</v>
      </c>
      <c r="S410" s="3">
        <f t="shared" si="114"/>
        <v>0</v>
      </c>
      <c r="T410" s="3">
        <f>IF(AND($K410=1,AND(对接源_01水果!$X410="公司筐",N(对接源_01水果!$V410)&lt;&gt;0)),1,0)</f>
        <v>0</v>
      </c>
      <c r="U410" s="3">
        <f t="shared" si="115"/>
        <v>19</v>
      </c>
      <c r="V410" s="3">
        <f>IF(AND($L410=1,AND(对接源_01水果!$X410="自备筐",N(对接源_01水果!$V410)&lt;&gt;0)),1,0)</f>
        <v>0</v>
      </c>
      <c r="W410" s="3">
        <f t="shared" si="116"/>
        <v>8</v>
      </c>
      <c r="X410" s="3">
        <f>IF(AND($L410=1,AND(对接源_01水果!$X410="自备筐",N(对接源_01水果!$T410)&lt;&gt;0)),1,0)</f>
        <v>0</v>
      </c>
      <c r="Y410" s="3">
        <f t="shared" si="117"/>
        <v>0</v>
      </c>
      <c r="Z410" s="3">
        <f>IF(AND($M410=1,对接源_01水果!$D410="原料入库"),1,0)</f>
        <v>0</v>
      </c>
      <c r="AA410" s="3">
        <f t="shared" si="118"/>
        <v>24</v>
      </c>
      <c r="AB410" s="3">
        <f>IF(AND($M410=1,LEFT(对接源_01水果!$D410,4)="原料出库"),1,0)</f>
        <v>0</v>
      </c>
      <c r="AC410" s="3">
        <f t="shared" si="119"/>
        <v>0</v>
      </c>
      <c r="AD410" s="3">
        <f>IF(AND($M410=1,LEFT(对接源_01水果!$D410,4)="成品出库"),1,0)</f>
        <v>0</v>
      </c>
      <c r="AE410" s="3">
        <f t="shared" si="120"/>
        <v>0</v>
      </c>
      <c r="AF410" s="3">
        <f>IF(AND($N410=1,AND(LEFT(对接源_01水果!$D410,4)="包装物料",N(对接源_01水果!$K410)&lt;&gt;0)),1,0)</f>
        <v>0</v>
      </c>
      <c r="AG410" s="3">
        <f t="shared" si="121"/>
        <v>0</v>
      </c>
      <c r="AH410" s="3">
        <f>IF(AND($N410=1,AND(对接源_01水果!$D410="周转筐－销售出库",N(对接源_01水果!$K410)&lt;&gt;0)),1,0)</f>
        <v>0</v>
      </c>
      <c r="AI410" s="3">
        <f t="shared" si="122"/>
        <v>0</v>
      </c>
      <c r="AJ410" s="7"/>
      <c r="AL410" s="3">
        <f>IF(OR($AL$1="",对接源_01水果!$Y410="",对接源_01水果!$Y410&lt;&gt;$AL$1,对接源_01水果!$B410="",N(对接源_01水果!$AJ410)&lt;=0),0,IF(OR(N(对接源_01水果!$B410)&lt;$AL$2,N(对接源_01水果!$B410)&gt;$AL$3),0,1))</f>
        <v>1</v>
      </c>
      <c r="AM410" s="3">
        <f t="shared" si="123"/>
        <v>1</v>
      </c>
      <c r="AN410" s="3" t="str">
        <f>IF(对接源_01水果!$AC410="","",对接源_01水果!$AC410)</f>
        <v>张三</v>
      </c>
      <c r="AO410" s="3">
        <f t="shared" si="124"/>
        <v>1</v>
      </c>
      <c r="AP410" s="3">
        <f t="shared" si="125"/>
        <v>5</v>
      </c>
      <c r="AR410">
        <f t="shared" si="126"/>
        <v>0</v>
      </c>
      <c r="AS410">
        <f t="shared" si="127"/>
        <v>0</v>
      </c>
    </row>
    <row r="411" ht="14.25" customHeight="1" spans="1:45">
      <c r="A411" s="3" t="str">
        <f>IF(对接源_01水果!$C411="","",对接源_01水果!$C411)</f>
        <v>麦麦提</v>
      </c>
      <c r="B411" s="3">
        <f t="shared" si="111"/>
        <v>0</v>
      </c>
      <c r="C411" s="3">
        <f t="shared" si="112"/>
        <v>18</v>
      </c>
      <c r="K411" s="3">
        <f>IF(OR($K$1="",对接源_01水果!$C411="",对接源_01水果!$C411&lt;&gt;$K$1,对接源_01水果!$B411=""),0,IF(OR(N(对接源_01水果!$B411)&lt;$K$2,N(对接源_01水果!$B411)&gt;$K$3),0,1))</f>
        <v>0</v>
      </c>
      <c r="L411" s="3">
        <f>IF(OR($L$1="",对接源_01水果!$C411="",对接源_01水果!$C411&lt;&gt;$L$1,对接源_01水果!$B411=""),0,IF(OR(N(对接源_01水果!$B411)&lt;$L$2,N(对接源_01水果!$B411)&gt;$L$3),0,1))</f>
        <v>0</v>
      </c>
      <c r="M411" s="3">
        <f>IF(OR($M$1="",对接源_01水果!$C411="",对接源_01水果!$C411&lt;&gt;$M$1,对接源_01水果!$B411=""),0,IF(OR(N(对接源_01水果!$B411)&lt;$M$2,N(对接源_01水果!$B411)&gt;$M$3),0,1))</f>
        <v>0</v>
      </c>
      <c r="N411" s="3">
        <f>IF(OR($N$1="",对接源_01水果!$C411="",对接源_01水果!$C411&lt;&gt;$N$1,对接源_01水果!$B411=""),0,IF(OR(N(对接源_01水果!$B411)&lt;$N$2,N(对接源_01水果!$B411)&gt;$N$3),0,1))</f>
        <v>0</v>
      </c>
      <c r="P411" s="3">
        <f>IF(AND($K411=1,AND(对接源_01水果!$X411="公司筐",N(对接源_01水果!$T411)&lt;&gt;0)),1,0)</f>
        <v>0</v>
      </c>
      <c r="Q411" s="3">
        <f t="shared" si="113"/>
        <v>0</v>
      </c>
      <c r="R411" s="3">
        <f>IF(AND($K411=1,AND(对接源_01水果!$X411="公司筐",N(对接源_01水果!$U411)&lt;&gt;0)),1,0)</f>
        <v>0</v>
      </c>
      <c r="S411" s="3">
        <f t="shared" si="114"/>
        <v>0</v>
      </c>
      <c r="T411" s="3">
        <f>IF(AND($K411=1,AND(对接源_01水果!$X411="公司筐",N(对接源_01水果!$V411)&lt;&gt;0)),1,0)</f>
        <v>0</v>
      </c>
      <c r="U411" s="3">
        <f t="shared" si="115"/>
        <v>19</v>
      </c>
      <c r="V411" s="3">
        <f>IF(AND($L411=1,AND(对接源_01水果!$X411="自备筐",N(对接源_01水果!$V411)&lt;&gt;0)),1,0)</f>
        <v>0</v>
      </c>
      <c r="W411" s="3">
        <f t="shared" si="116"/>
        <v>8</v>
      </c>
      <c r="X411" s="3">
        <f>IF(AND($L411=1,AND(对接源_01水果!$X411="自备筐",N(对接源_01水果!$T411)&lt;&gt;0)),1,0)</f>
        <v>0</v>
      </c>
      <c r="Y411" s="3">
        <f t="shared" si="117"/>
        <v>0</v>
      </c>
      <c r="Z411" s="3">
        <f>IF(AND($M411=1,对接源_01水果!$D411="原料入库"),1,0)</f>
        <v>0</v>
      </c>
      <c r="AA411" s="3">
        <f t="shared" si="118"/>
        <v>24</v>
      </c>
      <c r="AB411" s="3">
        <f>IF(AND($M411=1,LEFT(对接源_01水果!$D411,4)="原料出库"),1,0)</f>
        <v>0</v>
      </c>
      <c r="AC411" s="3">
        <f t="shared" si="119"/>
        <v>0</v>
      </c>
      <c r="AD411" s="3">
        <f>IF(AND($M411=1,LEFT(对接源_01水果!$D411,4)="成品出库"),1,0)</f>
        <v>0</v>
      </c>
      <c r="AE411" s="3">
        <f t="shared" si="120"/>
        <v>0</v>
      </c>
      <c r="AF411" s="3">
        <f>IF(AND($N411=1,AND(LEFT(对接源_01水果!$D411,4)="包装物料",N(对接源_01水果!$K411)&lt;&gt;0)),1,0)</f>
        <v>0</v>
      </c>
      <c r="AG411" s="3">
        <f t="shared" si="121"/>
        <v>0</v>
      </c>
      <c r="AH411" s="3">
        <f>IF(AND($N411=1,AND(对接源_01水果!$D411="周转筐－销售出库",N(对接源_01水果!$K411)&lt;&gt;0)),1,0)</f>
        <v>0</v>
      </c>
      <c r="AI411" s="3">
        <f t="shared" si="122"/>
        <v>0</v>
      </c>
      <c r="AJ411" s="7"/>
      <c r="AL411" s="3">
        <f>IF(OR($AL$1="",对接源_01水果!$Y411="",对接源_01水果!$Y411&lt;&gt;$AL$1,对接源_01水果!$B411="",N(对接源_01水果!$AJ411)&lt;=0),0,IF(OR(N(对接源_01水果!$B411)&lt;$AL$2,N(对接源_01水果!$B411)&gt;$AL$3),0,1))</f>
        <v>0</v>
      </c>
      <c r="AM411" s="3">
        <f t="shared" si="123"/>
        <v>1</v>
      </c>
      <c r="AN411" s="3" t="str">
        <f>IF(对接源_01水果!$AC411="","",对接源_01水果!$AC411)</f>
        <v>李四</v>
      </c>
      <c r="AO411" s="3">
        <f t="shared" si="124"/>
        <v>1</v>
      </c>
      <c r="AP411" s="3">
        <f t="shared" si="125"/>
        <v>6</v>
      </c>
      <c r="AR411">
        <f t="shared" si="126"/>
        <v>0</v>
      </c>
      <c r="AS411">
        <f t="shared" si="127"/>
        <v>0</v>
      </c>
    </row>
    <row r="412" ht="14.25" customHeight="1" spans="1:45">
      <c r="A412" s="3" t="str">
        <f>IF(对接源_01水果!$C412="","",对接源_01水果!$C412)</f>
        <v>热合曼</v>
      </c>
      <c r="B412" s="3">
        <f t="shared" si="111"/>
        <v>0</v>
      </c>
      <c r="C412" s="3">
        <f t="shared" si="112"/>
        <v>18</v>
      </c>
      <c r="K412" s="3">
        <f>IF(OR($K$1="",对接源_01水果!$C412="",对接源_01水果!$C412&lt;&gt;$K$1,对接源_01水果!$B412=""),0,IF(OR(N(对接源_01水果!$B412)&lt;$K$2,N(对接源_01水果!$B412)&gt;$K$3),0,1))</f>
        <v>0</v>
      </c>
      <c r="L412" s="3">
        <f>IF(OR($L$1="",对接源_01水果!$C412="",对接源_01水果!$C412&lt;&gt;$L$1,对接源_01水果!$B412=""),0,IF(OR(N(对接源_01水果!$B412)&lt;$L$2,N(对接源_01水果!$B412)&gt;$L$3),0,1))</f>
        <v>0</v>
      </c>
      <c r="M412" s="3">
        <f>IF(OR($M$1="",对接源_01水果!$C412="",对接源_01水果!$C412&lt;&gt;$M$1,对接源_01水果!$B412=""),0,IF(OR(N(对接源_01水果!$B412)&lt;$M$2,N(对接源_01水果!$B412)&gt;$M$3),0,1))</f>
        <v>0</v>
      </c>
      <c r="N412" s="3">
        <f>IF(OR($N$1="",对接源_01水果!$C412="",对接源_01水果!$C412&lt;&gt;$N$1,对接源_01水果!$B412=""),0,IF(OR(N(对接源_01水果!$B412)&lt;$N$2,N(对接源_01水果!$B412)&gt;$N$3),0,1))</f>
        <v>0</v>
      </c>
      <c r="P412" s="3">
        <f>IF(AND($K412=1,AND(对接源_01水果!$X412="公司筐",N(对接源_01水果!$T412)&lt;&gt;0)),1,0)</f>
        <v>0</v>
      </c>
      <c r="Q412" s="3">
        <f t="shared" si="113"/>
        <v>0</v>
      </c>
      <c r="R412" s="3">
        <f>IF(AND($K412=1,AND(对接源_01水果!$X412="公司筐",N(对接源_01水果!$U412)&lt;&gt;0)),1,0)</f>
        <v>0</v>
      </c>
      <c r="S412" s="3">
        <f t="shared" si="114"/>
        <v>0</v>
      </c>
      <c r="T412" s="3">
        <f>IF(AND($K412=1,AND(对接源_01水果!$X412="公司筐",N(对接源_01水果!$V412)&lt;&gt;0)),1,0)</f>
        <v>0</v>
      </c>
      <c r="U412" s="3">
        <f t="shared" si="115"/>
        <v>19</v>
      </c>
      <c r="V412" s="3">
        <f>IF(AND($L412=1,AND(对接源_01水果!$X412="自备筐",N(对接源_01水果!$V412)&lt;&gt;0)),1,0)</f>
        <v>0</v>
      </c>
      <c r="W412" s="3">
        <f t="shared" si="116"/>
        <v>8</v>
      </c>
      <c r="X412" s="3">
        <f>IF(AND($L412=1,AND(对接源_01水果!$X412="自备筐",N(对接源_01水果!$T412)&lt;&gt;0)),1,0)</f>
        <v>0</v>
      </c>
      <c r="Y412" s="3">
        <f t="shared" si="117"/>
        <v>0</v>
      </c>
      <c r="Z412" s="3">
        <f>IF(AND($M412=1,对接源_01水果!$D412="原料入库"),1,0)</f>
        <v>0</v>
      </c>
      <c r="AA412" s="3">
        <f t="shared" si="118"/>
        <v>24</v>
      </c>
      <c r="AB412" s="3">
        <f>IF(AND($M412=1,LEFT(对接源_01水果!$D412,4)="原料出库"),1,0)</f>
        <v>0</v>
      </c>
      <c r="AC412" s="3">
        <f t="shared" si="119"/>
        <v>0</v>
      </c>
      <c r="AD412" s="3">
        <f>IF(AND($M412=1,LEFT(对接源_01水果!$D412,4)="成品出库"),1,0)</f>
        <v>0</v>
      </c>
      <c r="AE412" s="3">
        <f t="shared" si="120"/>
        <v>0</v>
      </c>
      <c r="AF412" s="3">
        <f>IF(AND($N412=1,AND(LEFT(对接源_01水果!$D412,4)="包装物料",N(对接源_01水果!$K412)&lt;&gt;0)),1,0)</f>
        <v>0</v>
      </c>
      <c r="AG412" s="3">
        <f t="shared" si="121"/>
        <v>0</v>
      </c>
      <c r="AH412" s="3">
        <f>IF(AND($N412=1,AND(对接源_01水果!$D412="周转筐－销售出库",N(对接源_01水果!$K412)&lt;&gt;0)),1,0)</f>
        <v>0</v>
      </c>
      <c r="AI412" s="3">
        <f t="shared" si="122"/>
        <v>0</v>
      </c>
      <c r="AJ412" s="7"/>
      <c r="AL412" s="3">
        <f>IF(OR($AL$1="",对接源_01水果!$Y412="",对接源_01水果!$Y412&lt;&gt;$AL$1,对接源_01水果!$B412="",N(对接源_01水果!$AJ412)&lt;=0),0,IF(OR(N(对接源_01水果!$B412)&lt;$AL$2,N(对接源_01水果!$B412)&gt;$AL$3),0,1))</f>
        <v>0</v>
      </c>
      <c r="AM412" s="3">
        <f t="shared" si="123"/>
        <v>1</v>
      </c>
      <c r="AN412" s="3" t="str">
        <f>IF(对接源_01水果!$AC412="","",对接源_01水果!$AC412)</f>
        <v>王二</v>
      </c>
      <c r="AO412" s="3">
        <f t="shared" si="124"/>
        <v>1</v>
      </c>
      <c r="AP412" s="3">
        <f t="shared" si="125"/>
        <v>7</v>
      </c>
      <c r="AR412">
        <f t="shared" si="126"/>
        <v>0</v>
      </c>
      <c r="AS412">
        <f t="shared" si="127"/>
        <v>0</v>
      </c>
    </row>
    <row r="413" ht="14.25" customHeight="1" spans="1:45">
      <c r="A413" s="3" t="str">
        <f>IF(对接源_01水果!$C413="","",对接源_01水果!$C413)</f>
        <v>王灵云</v>
      </c>
      <c r="B413" s="3">
        <f t="shared" si="111"/>
        <v>0</v>
      </c>
      <c r="C413" s="3">
        <f t="shared" si="112"/>
        <v>18</v>
      </c>
      <c r="K413" s="3">
        <f>IF(OR($K$1="",对接源_01水果!$C413="",对接源_01水果!$C413&lt;&gt;$K$1,对接源_01水果!$B413=""),0,IF(OR(N(对接源_01水果!$B413)&lt;$K$2,N(对接源_01水果!$B413)&gt;$K$3),0,1))</f>
        <v>1</v>
      </c>
      <c r="L413" s="3">
        <f>IF(OR($L$1="",对接源_01水果!$C413="",对接源_01水果!$C413&lt;&gt;$L$1,对接源_01水果!$B413=""),0,IF(OR(N(对接源_01水果!$B413)&lt;$L$2,N(对接源_01水果!$B413)&gt;$L$3),0,1))</f>
        <v>0</v>
      </c>
      <c r="M413" s="3">
        <f>IF(OR($M$1="",对接源_01水果!$C413="",对接源_01水果!$C413&lt;&gt;$M$1,对接源_01水果!$B413=""),0,IF(OR(N(对接源_01水果!$B413)&lt;$M$2,N(对接源_01水果!$B413)&gt;$M$3),0,1))</f>
        <v>0</v>
      </c>
      <c r="N413" s="3">
        <f>IF(OR($N$1="",对接源_01水果!$C413="",对接源_01水果!$C413&lt;&gt;$N$1,对接源_01水果!$B413=""),0,IF(OR(N(对接源_01水果!$B413)&lt;$N$2,N(对接源_01水果!$B413)&gt;$N$3),0,1))</f>
        <v>0</v>
      </c>
      <c r="P413" s="3">
        <f>IF(AND($K413=1,AND(对接源_01水果!$X413="公司筐",N(对接源_01水果!$T413)&lt;&gt;0)),1,0)</f>
        <v>0</v>
      </c>
      <c r="Q413" s="3">
        <f t="shared" si="113"/>
        <v>0</v>
      </c>
      <c r="R413" s="3">
        <f>IF(AND($K413=1,AND(对接源_01水果!$X413="公司筐",N(对接源_01水果!$U413)&lt;&gt;0)),1,0)</f>
        <v>0</v>
      </c>
      <c r="S413" s="3">
        <f t="shared" si="114"/>
        <v>0</v>
      </c>
      <c r="T413" s="3">
        <f>IF(AND($K413=1,AND(对接源_01水果!$X413="公司筐",N(对接源_01水果!$V413)&lt;&gt;0)),1,0)</f>
        <v>0</v>
      </c>
      <c r="U413" s="3">
        <f t="shared" si="115"/>
        <v>19</v>
      </c>
      <c r="V413" s="3">
        <f>IF(AND($L413=1,AND(对接源_01水果!$X413="自备筐",N(对接源_01水果!$V413)&lt;&gt;0)),1,0)</f>
        <v>0</v>
      </c>
      <c r="W413" s="3">
        <f t="shared" si="116"/>
        <v>8</v>
      </c>
      <c r="X413" s="3">
        <f>IF(AND($L413=1,AND(对接源_01水果!$X413="自备筐",N(对接源_01水果!$T413)&lt;&gt;0)),1,0)</f>
        <v>0</v>
      </c>
      <c r="Y413" s="3">
        <f t="shared" si="117"/>
        <v>0</v>
      </c>
      <c r="Z413" s="3">
        <f>IF(AND($M413=1,对接源_01水果!$D413="原料入库"),1,0)</f>
        <v>0</v>
      </c>
      <c r="AA413" s="3">
        <f t="shared" si="118"/>
        <v>24</v>
      </c>
      <c r="AB413" s="3">
        <f>IF(AND($M413=1,LEFT(对接源_01水果!$D413,4)="原料出库"),1,0)</f>
        <v>0</v>
      </c>
      <c r="AC413" s="3">
        <f t="shared" si="119"/>
        <v>0</v>
      </c>
      <c r="AD413" s="3">
        <f>IF(AND($M413=1,LEFT(对接源_01水果!$D413,4)="成品出库"),1,0)</f>
        <v>0</v>
      </c>
      <c r="AE413" s="3">
        <f t="shared" si="120"/>
        <v>0</v>
      </c>
      <c r="AF413" s="3">
        <f>IF(AND($N413=1,AND(LEFT(对接源_01水果!$D413,4)="包装物料",N(对接源_01水果!$K413)&lt;&gt;0)),1,0)</f>
        <v>0</v>
      </c>
      <c r="AG413" s="3">
        <f t="shared" si="121"/>
        <v>0</v>
      </c>
      <c r="AH413" s="3">
        <f>IF(AND($N413=1,AND(对接源_01水果!$D413="周转筐－销售出库",N(对接源_01水果!$K413)&lt;&gt;0)),1,0)</f>
        <v>0</v>
      </c>
      <c r="AI413" s="3">
        <f t="shared" si="122"/>
        <v>0</v>
      </c>
      <c r="AJ413" s="7"/>
      <c r="AL413" s="3">
        <f>IF(OR($AL$1="",对接源_01水果!$Y413="",对接源_01水果!$Y413&lt;&gt;$AL$1,对接源_01水果!$B413="",N(对接源_01水果!$AJ413)&lt;=0),0,IF(OR(N(对接源_01水果!$B413)&lt;$AL$2,N(对接源_01水果!$B413)&gt;$AL$3),0,1))</f>
        <v>0</v>
      </c>
      <c r="AM413" s="3">
        <f t="shared" si="123"/>
        <v>1</v>
      </c>
      <c r="AN413" s="3" t="str">
        <f>IF(对接源_01水果!$AC413="","",对接源_01水果!$AC413)</f>
        <v>赵一</v>
      </c>
      <c r="AO413" s="3">
        <f t="shared" si="124"/>
        <v>1</v>
      </c>
      <c r="AP413" s="3">
        <f t="shared" si="125"/>
        <v>8</v>
      </c>
      <c r="AR413">
        <f t="shared" si="126"/>
        <v>0</v>
      </c>
      <c r="AS413">
        <f t="shared" si="127"/>
        <v>0</v>
      </c>
    </row>
    <row r="414" ht="14.25" customHeight="1" spans="1:45">
      <c r="A414" s="3" t="str">
        <f>IF(对接源_01水果!$C414="","",对接源_01水果!$C414)</f>
        <v>王照雪</v>
      </c>
      <c r="B414" s="3">
        <f t="shared" si="111"/>
        <v>0</v>
      </c>
      <c r="C414" s="3">
        <f t="shared" si="112"/>
        <v>18</v>
      </c>
      <c r="K414" s="3">
        <f>IF(OR($K$1="",对接源_01水果!$C414="",对接源_01水果!$C414&lt;&gt;$K$1,对接源_01水果!$B414=""),0,IF(OR(N(对接源_01水果!$B414)&lt;$K$2,N(对接源_01水果!$B414)&gt;$K$3),0,1))</f>
        <v>0</v>
      </c>
      <c r="L414" s="3">
        <f>IF(OR($L$1="",对接源_01水果!$C414="",对接源_01水果!$C414&lt;&gt;$L$1,对接源_01水果!$B414=""),0,IF(OR(N(对接源_01水果!$B414)&lt;$L$2,N(对接源_01水果!$B414)&gt;$L$3),0,1))</f>
        <v>0</v>
      </c>
      <c r="M414" s="3">
        <f>IF(OR($M$1="",对接源_01水果!$C414="",对接源_01水果!$C414&lt;&gt;$M$1,对接源_01水果!$B414=""),0,IF(OR(N(对接源_01水果!$B414)&lt;$M$2,N(对接源_01水果!$B414)&gt;$M$3),0,1))</f>
        <v>0</v>
      </c>
      <c r="N414" s="3">
        <f>IF(OR($N$1="",对接源_01水果!$C414="",对接源_01水果!$C414&lt;&gt;$N$1,对接源_01水果!$B414=""),0,IF(OR(N(对接源_01水果!$B414)&lt;$N$2,N(对接源_01水果!$B414)&gt;$N$3),0,1))</f>
        <v>0</v>
      </c>
      <c r="P414" s="3">
        <f>IF(AND($K414=1,AND(对接源_01水果!$X414="公司筐",N(对接源_01水果!$T414)&lt;&gt;0)),1,0)</f>
        <v>0</v>
      </c>
      <c r="Q414" s="3">
        <f t="shared" si="113"/>
        <v>0</v>
      </c>
      <c r="R414" s="3">
        <f>IF(AND($K414=1,AND(对接源_01水果!$X414="公司筐",N(对接源_01水果!$U414)&lt;&gt;0)),1,0)</f>
        <v>0</v>
      </c>
      <c r="S414" s="3">
        <f t="shared" si="114"/>
        <v>0</v>
      </c>
      <c r="T414" s="3">
        <f>IF(AND($K414=1,AND(对接源_01水果!$X414="公司筐",N(对接源_01水果!$V414)&lt;&gt;0)),1,0)</f>
        <v>0</v>
      </c>
      <c r="U414" s="3">
        <f t="shared" si="115"/>
        <v>19</v>
      </c>
      <c r="V414" s="3">
        <f>IF(AND($L414=1,AND(对接源_01水果!$X414="自备筐",N(对接源_01水果!$V414)&lt;&gt;0)),1,0)</f>
        <v>0</v>
      </c>
      <c r="W414" s="3">
        <f t="shared" si="116"/>
        <v>8</v>
      </c>
      <c r="X414" s="3">
        <f>IF(AND($L414=1,AND(对接源_01水果!$X414="自备筐",N(对接源_01水果!$T414)&lt;&gt;0)),1,0)</f>
        <v>0</v>
      </c>
      <c r="Y414" s="3">
        <f t="shared" si="117"/>
        <v>0</v>
      </c>
      <c r="Z414" s="3">
        <f>IF(AND($M414=1,对接源_01水果!$D414="原料入库"),1,0)</f>
        <v>0</v>
      </c>
      <c r="AA414" s="3">
        <f t="shared" si="118"/>
        <v>24</v>
      </c>
      <c r="AB414" s="3">
        <f>IF(AND($M414=1,LEFT(对接源_01水果!$D414,4)="原料出库"),1,0)</f>
        <v>0</v>
      </c>
      <c r="AC414" s="3">
        <f t="shared" si="119"/>
        <v>0</v>
      </c>
      <c r="AD414" s="3">
        <f>IF(AND($M414=1,LEFT(对接源_01水果!$D414,4)="成品出库"),1,0)</f>
        <v>0</v>
      </c>
      <c r="AE414" s="3">
        <f t="shared" si="120"/>
        <v>0</v>
      </c>
      <c r="AF414" s="3">
        <f>IF(AND($N414=1,AND(LEFT(对接源_01水果!$D414,4)="包装物料",N(对接源_01水果!$K414)&lt;&gt;0)),1,0)</f>
        <v>0</v>
      </c>
      <c r="AG414" s="3">
        <f t="shared" si="121"/>
        <v>0</v>
      </c>
      <c r="AH414" s="3">
        <f>IF(AND($N414=1,AND(对接源_01水果!$D414="周转筐－销售出库",N(对接源_01水果!$K414)&lt;&gt;0)),1,0)</f>
        <v>0</v>
      </c>
      <c r="AI414" s="3">
        <f t="shared" si="122"/>
        <v>0</v>
      </c>
      <c r="AJ414" s="7"/>
      <c r="AL414" s="3">
        <f>IF(OR($AL$1="",对接源_01水果!$Y414="",对接源_01水果!$Y414&lt;&gt;$AL$1,对接源_01水果!$B414="",N(对接源_01水果!$AJ414)&lt;=0),0,IF(OR(N(对接源_01水果!$B414)&lt;$AL$2,N(对接源_01水果!$B414)&gt;$AL$3),0,1))</f>
        <v>0</v>
      </c>
      <c r="AM414" s="3">
        <f t="shared" si="123"/>
        <v>1</v>
      </c>
      <c r="AN414" s="3" t="str">
        <f>IF(对接源_01水果!$AC414="","",对接源_01水果!$AC414)</f>
        <v>电商/主播</v>
      </c>
      <c r="AO414" s="3">
        <f t="shared" si="124"/>
        <v>0</v>
      </c>
      <c r="AP414" s="3">
        <f t="shared" si="125"/>
        <v>8</v>
      </c>
      <c r="AR414">
        <f t="shared" si="126"/>
        <v>0</v>
      </c>
      <c r="AS414">
        <f t="shared" si="127"/>
        <v>0</v>
      </c>
    </row>
    <row r="415" ht="14.25" customHeight="1" spans="1:45">
      <c r="A415" s="3" t="str">
        <f>IF(对接源_01水果!$C415="","",对接源_01水果!$C415)</f>
        <v>王照雪</v>
      </c>
      <c r="B415" s="3">
        <f t="shared" si="111"/>
        <v>0</v>
      </c>
      <c r="C415" s="3">
        <f t="shared" si="112"/>
        <v>18</v>
      </c>
      <c r="K415" s="3">
        <f>IF(OR($K$1="",对接源_01水果!$C415="",对接源_01水果!$C415&lt;&gt;$K$1,对接源_01水果!$B415=""),0,IF(OR(N(对接源_01水果!$B415)&lt;$K$2,N(对接源_01水果!$B415)&gt;$K$3),0,1))</f>
        <v>0</v>
      </c>
      <c r="L415" s="3">
        <f>IF(OR($L$1="",对接源_01水果!$C415="",对接源_01水果!$C415&lt;&gt;$L$1,对接源_01水果!$B415=""),0,IF(OR(N(对接源_01水果!$B415)&lt;$L$2,N(对接源_01水果!$B415)&gt;$L$3),0,1))</f>
        <v>0</v>
      </c>
      <c r="M415" s="3">
        <f>IF(OR($M$1="",对接源_01水果!$C415="",对接源_01水果!$C415&lt;&gt;$M$1,对接源_01水果!$B415=""),0,IF(OR(N(对接源_01水果!$B415)&lt;$M$2,N(对接源_01水果!$B415)&gt;$M$3),0,1))</f>
        <v>0</v>
      </c>
      <c r="N415" s="3">
        <f>IF(OR($N$1="",对接源_01水果!$C415="",对接源_01水果!$C415&lt;&gt;$N$1,对接源_01水果!$B415=""),0,IF(OR(N(对接源_01水果!$B415)&lt;$N$2,N(对接源_01水果!$B415)&gt;$N$3),0,1))</f>
        <v>0</v>
      </c>
      <c r="P415" s="3">
        <f>IF(AND($K415=1,AND(对接源_01水果!$X415="公司筐",N(对接源_01水果!$T415)&lt;&gt;0)),1,0)</f>
        <v>0</v>
      </c>
      <c r="Q415" s="3">
        <f t="shared" si="113"/>
        <v>0</v>
      </c>
      <c r="R415" s="3">
        <f>IF(AND($K415=1,AND(对接源_01水果!$X415="公司筐",N(对接源_01水果!$U415)&lt;&gt;0)),1,0)</f>
        <v>0</v>
      </c>
      <c r="S415" s="3">
        <f t="shared" si="114"/>
        <v>0</v>
      </c>
      <c r="T415" s="3">
        <f>IF(AND($K415=1,AND(对接源_01水果!$X415="公司筐",N(对接源_01水果!$V415)&lt;&gt;0)),1,0)</f>
        <v>0</v>
      </c>
      <c r="U415" s="3">
        <f t="shared" si="115"/>
        <v>19</v>
      </c>
      <c r="V415" s="3">
        <f>IF(AND($L415=1,AND(对接源_01水果!$X415="自备筐",N(对接源_01水果!$V415)&lt;&gt;0)),1,0)</f>
        <v>0</v>
      </c>
      <c r="W415" s="3">
        <f t="shared" si="116"/>
        <v>8</v>
      </c>
      <c r="X415" s="3">
        <f>IF(AND($L415=1,AND(对接源_01水果!$X415="自备筐",N(对接源_01水果!$T415)&lt;&gt;0)),1,0)</f>
        <v>0</v>
      </c>
      <c r="Y415" s="3">
        <f t="shared" si="117"/>
        <v>0</v>
      </c>
      <c r="Z415" s="3">
        <f>IF(AND($M415=1,对接源_01水果!$D415="原料入库"),1,0)</f>
        <v>0</v>
      </c>
      <c r="AA415" s="3">
        <f t="shared" si="118"/>
        <v>24</v>
      </c>
      <c r="AB415" s="3">
        <f>IF(AND($M415=1,LEFT(对接源_01水果!$D415,4)="原料出库"),1,0)</f>
        <v>0</v>
      </c>
      <c r="AC415" s="3">
        <f t="shared" si="119"/>
        <v>0</v>
      </c>
      <c r="AD415" s="3">
        <f>IF(AND($M415=1,LEFT(对接源_01水果!$D415,4)="成品出库"),1,0)</f>
        <v>0</v>
      </c>
      <c r="AE415" s="3">
        <f t="shared" si="120"/>
        <v>0</v>
      </c>
      <c r="AF415" s="3">
        <f>IF(AND($N415=1,AND(LEFT(对接源_01水果!$D415,4)="包装物料",N(对接源_01水果!$K415)&lt;&gt;0)),1,0)</f>
        <v>0</v>
      </c>
      <c r="AG415" s="3">
        <f t="shared" si="121"/>
        <v>0</v>
      </c>
      <c r="AH415" s="3">
        <f>IF(AND($N415=1,AND(对接源_01水果!$D415="周转筐－销售出库",N(对接源_01水果!$K415)&lt;&gt;0)),1,0)</f>
        <v>0</v>
      </c>
      <c r="AI415" s="3">
        <f t="shared" si="122"/>
        <v>0</v>
      </c>
      <c r="AJ415" s="7"/>
      <c r="AL415" s="3">
        <f>IF(OR($AL$1="",对接源_01水果!$Y415="",对接源_01水果!$Y415&lt;&gt;$AL$1,对接源_01水果!$B415="",N(对接源_01水果!$AJ415)&lt;=0),0,IF(OR(N(对接源_01水果!$B415)&lt;$AL$2,N(对接源_01水果!$B415)&gt;$AL$3),0,1))</f>
        <v>0</v>
      </c>
      <c r="AM415" s="3">
        <f t="shared" si="123"/>
        <v>1</v>
      </c>
      <c r="AN415" s="3" t="str">
        <f>IF(对接源_01水果!$AC415="","",对接源_01水果!$AC415)</f>
        <v>电商/主播</v>
      </c>
      <c r="AO415" s="3">
        <f t="shared" si="124"/>
        <v>0</v>
      </c>
      <c r="AP415" s="3">
        <f t="shared" si="125"/>
        <v>8</v>
      </c>
      <c r="AR415">
        <f t="shared" si="126"/>
        <v>0</v>
      </c>
      <c r="AS415">
        <f t="shared" si="127"/>
        <v>0</v>
      </c>
    </row>
    <row r="416" ht="14.25" customHeight="1" spans="1:45">
      <c r="A416" s="3" t="str">
        <f>IF(对接源_01水果!$C416="","",对接源_01水果!$C416)</f>
        <v>王照雪</v>
      </c>
      <c r="B416" s="3">
        <f t="shared" si="111"/>
        <v>0</v>
      </c>
      <c r="C416" s="3">
        <f t="shared" si="112"/>
        <v>18</v>
      </c>
      <c r="K416" s="3">
        <f>IF(OR($K$1="",对接源_01水果!$C416="",对接源_01水果!$C416&lt;&gt;$K$1,对接源_01水果!$B416=""),0,IF(OR(N(对接源_01水果!$B416)&lt;$K$2,N(对接源_01水果!$B416)&gt;$K$3),0,1))</f>
        <v>0</v>
      </c>
      <c r="L416" s="3">
        <f>IF(OR($L$1="",对接源_01水果!$C416="",对接源_01水果!$C416&lt;&gt;$L$1,对接源_01水果!$B416=""),0,IF(OR(N(对接源_01水果!$B416)&lt;$L$2,N(对接源_01水果!$B416)&gt;$L$3),0,1))</f>
        <v>0</v>
      </c>
      <c r="M416" s="3">
        <f>IF(OR($M$1="",对接源_01水果!$C416="",对接源_01水果!$C416&lt;&gt;$M$1,对接源_01水果!$B416=""),0,IF(OR(N(对接源_01水果!$B416)&lt;$M$2,N(对接源_01水果!$B416)&gt;$M$3),0,1))</f>
        <v>0</v>
      </c>
      <c r="N416" s="3">
        <f>IF(OR($N$1="",对接源_01水果!$C416="",对接源_01水果!$C416&lt;&gt;$N$1,对接源_01水果!$B416=""),0,IF(OR(N(对接源_01水果!$B416)&lt;$N$2,N(对接源_01水果!$B416)&gt;$N$3),0,1))</f>
        <v>0</v>
      </c>
      <c r="P416" s="3">
        <f>IF(AND($K416=1,AND(对接源_01水果!$X416="公司筐",N(对接源_01水果!$T416)&lt;&gt;0)),1,0)</f>
        <v>0</v>
      </c>
      <c r="Q416" s="3">
        <f t="shared" si="113"/>
        <v>0</v>
      </c>
      <c r="R416" s="3">
        <f>IF(AND($K416=1,AND(对接源_01水果!$X416="公司筐",N(对接源_01水果!$U416)&lt;&gt;0)),1,0)</f>
        <v>0</v>
      </c>
      <c r="S416" s="3">
        <f t="shared" si="114"/>
        <v>0</v>
      </c>
      <c r="T416" s="3">
        <f>IF(AND($K416=1,AND(对接源_01水果!$X416="公司筐",N(对接源_01水果!$V416)&lt;&gt;0)),1,0)</f>
        <v>0</v>
      </c>
      <c r="U416" s="3">
        <f t="shared" si="115"/>
        <v>19</v>
      </c>
      <c r="V416" s="3">
        <f>IF(AND($L416=1,AND(对接源_01水果!$X416="自备筐",N(对接源_01水果!$V416)&lt;&gt;0)),1,0)</f>
        <v>0</v>
      </c>
      <c r="W416" s="3">
        <f t="shared" si="116"/>
        <v>8</v>
      </c>
      <c r="X416" s="3">
        <f>IF(AND($L416=1,AND(对接源_01水果!$X416="自备筐",N(对接源_01水果!$T416)&lt;&gt;0)),1,0)</f>
        <v>0</v>
      </c>
      <c r="Y416" s="3">
        <f t="shared" si="117"/>
        <v>0</v>
      </c>
      <c r="Z416" s="3">
        <f>IF(AND($M416=1,对接源_01水果!$D416="原料入库"),1,0)</f>
        <v>0</v>
      </c>
      <c r="AA416" s="3">
        <f t="shared" si="118"/>
        <v>24</v>
      </c>
      <c r="AB416" s="3">
        <f>IF(AND($M416=1,LEFT(对接源_01水果!$D416,4)="原料出库"),1,0)</f>
        <v>0</v>
      </c>
      <c r="AC416" s="3">
        <f t="shared" si="119"/>
        <v>0</v>
      </c>
      <c r="AD416" s="3">
        <f>IF(AND($M416=1,LEFT(对接源_01水果!$D416,4)="成品出库"),1,0)</f>
        <v>0</v>
      </c>
      <c r="AE416" s="3">
        <f t="shared" si="120"/>
        <v>0</v>
      </c>
      <c r="AF416" s="3">
        <f>IF(AND($N416=1,AND(LEFT(对接源_01水果!$D416,4)="包装物料",N(对接源_01水果!$K416)&lt;&gt;0)),1,0)</f>
        <v>0</v>
      </c>
      <c r="AG416" s="3">
        <f t="shared" si="121"/>
        <v>0</v>
      </c>
      <c r="AH416" s="3">
        <f>IF(AND($N416=1,AND(对接源_01水果!$D416="周转筐－销售出库",N(对接源_01水果!$K416)&lt;&gt;0)),1,0)</f>
        <v>0</v>
      </c>
      <c r="AI416" s="3">
        <f t="shared" si="122"/>
        <v>0</v>
      </c>
      <c r="AJ416" s="7"/>
      <c r="AL416" s="3">
        <f>IF(OR($AL$1="",对接源_01水果!$Y416="",对接源_01水果!$Y416&lt;&gt;$AL$1,对接源_01水果!$B416="",N(对接源_01水果!$AJ416)&lt;=0),0,IF(OR(N(对接源_01水果!$B416)&lt;$AL$2,N(对接源_01水果!$B416)&gt;$AL$3),0,1))</f>
        <v>0</v>
      </c>
      <c r="AM416" s="3">
        <f t="shared" si="123"/>
        <v>1</v>
      </c>
      <c r="AN416" s="3" t="str">
        <f>IF(对接源_01水果!$AC416="","",对接源_01水果!$AC416)</f>
        <v>电商/主播</v>
      </c>
      <c r="AO416" s="3">
        <f t="shared" si="124"/>
        <v>0</v>
      </c>
      <c r="AP416" s="3">
        <f t="shared" si="125"/>
        <v>8</v>
      </c>
      <c r="AR416">
        <f t="shared" si="126"/>
        <v>0</v>
      </c>
      <c r="AS416">
        <f t="shared" si="127"/>
        <v>0</v>
      </c>
    </row>
    <row r="417" ht="14.25" customHeight="1" spans="1:45">
      <c r="A417" s="3" t="str">
        <f>IF(对接源_01水果!$C417="","",对接源_01水果!$C417)</f>
        <v>王照雪</v>
      </c>
      <c r="B417" s="3">
        <f t="shared" si="111"/>
        <v>0</v>
      </c>
      <c r="C417" s="3">
        <f t="shared" si="112"/>
        <v>18</v>
      </c>
      <c r="K417" s="3">
        <f>IF(OR($K$1="",对接源_01水果!$C417="",对接源_01水果!$C417&lt;&gt;$K$1,对接源_01水果!$B417=""),0,IF(OR(N(对接源_01水果!$B417)&lt;$K$2,N(对接源_01水果!$B417)&gt;$K$3),0,1))</f>
        <v>0</v>
      </c>
      <c r="L417" s="3">
        <f>IF(OR($L$1="",对接源_01水果!$C417="",对接源_01水果!$C417&lt;&gt;$L$1,对接源_01水果!$B417=""),0,IF(OR(N(对接源_01水果!$B417)&lt;$L$2,N(对接源_01水果!$B417)&gt;$L$3),0,1))</f>
        <v>0</v>
      </c>
      <c r="M417" s="3">
        <f>IF(OR($M$1="",对接源_01水果!$C417="",对接源_01水果!$C417&lt;&gt;$M$1,对接源_01水果!$B417=""),0,IF(OR(N(对接源_01水果!$B417)&lt;$M$2,N(对接源_01水果!$B417)&gt;$M$3),0,1))</f>
        <v>0</v>
      </c>
      <c r="N417" s="3">
        <f>IF(OR($N$1="",对接源_01水果!$C417="",对接源_01水果!$C417&lt;&gt;$N$1,对接源_01水果!$B417=""),0,IF(OR(N(对接源_01水果!$B417)&lt;$N$2,N(对接源_01水果!$B417)&gt;$N$3),0,1))</f>
        <v>0</v>
      </c>
      <c r="P417" s="3">
        <f>IF(AND($K417=1,AND(对接源_01水果!$X417="公司筐",N(对接源_01水果!$T417)&lt;&gt;0)),1,0)</f>
        <v>0</v>
      </c>
      <c r="Q417" s="3">
        <f t="shared" si="113"/>
        <v>0</v>
      </c>
      <c r="R417" s="3">
        <f>IF(AND($K417=1,AND(对接源_01水果!$X417="公司筐",N(对接源_01水果!$U417)&lt;&gt;0)),1,0)</f>
        <v>0</v>
      </c>
      <c r="S417" s="3">
        <f t="shared" si="114"/>
        <v>0</v>
      </c>
      <c r="T417" s="3">
        <f>IF(AND($K417=1,AND(对接源_01水果!$X417="公司筐",N(对接源_01水果!$V417)&lt;&gt;0)),1,0)</f>
        <v>0</v>
      </c>
      <c r="U417" s="3">
        <f t="shared" si="115"/>
        <v>19</v>
      </c>
      <c r="V417" s="3">
        <f>IF(AND($L417=1,AND(对接源_01水果!$X417="自备筐",N(对接源_01水果!$V417)&lt;&gt;0)),1,0)</f>
        <v>0</v>
      </c>
      <c r="W417" s="3">
        <f t="shared" si="116"/>
        <v>8</v>
      </c>
      <c r="X417" s="3">
        <f>IF(AND($L417=1,AND(对接源_01水果!$X417="自备筐",N(对接源_01水果!$T417)&lt;&gt;0)),1,0)</f>
        <v>0</v>
      </c>
      <c r="Y417" s="3">
        <f t="shared" si="117"/>
        <v>0</v>
      </c>
      <c r="Z417" s="3">
        <f>IF(AND($M417=1,对接源_01水果!$D417="原料入库"),1,0)</f>
        <v>0</v>
      </c>
      <c r="AA417" s="3">
        <f t="shared" si="118"/>
        <v>24</v>
      </c>
      <c r="AB417" s="3">
        <f>IF(AND($M417=1,LEFT(对接源_01水果!$D417,4)="原料出库"),1,0)</f>
        <v>0</v>
      </c>
      <c r="AC417" s="3">
        <f t="shared" si="119"/>
        <v>0</v>
      </c>
      <c r="AD417" s="3">
        <f>IF(AND($M417=1,LEFT(对接源_01水果!$D417,4)="成品出库"),1,0)</f>
        <v>0</v>
      </c>
      <c r="AE417" s="3">
        <f t="shared" si="120"/>
        <v>0</v>
      </c>
      <c r="AF417" s="3">
        <f>IF(AND($N417=1,AND(LEFT(对接源_01水果!$D417,4)="包装物料",N(对接源_01水果!$K417)&lt;&gt;0)),1,0)</f>
        <v>0</v>
      </c>
      <c r="AG417" s="3">
        <f t="shared" si="121"/>
        <v>0</v>
      </c>
      <c r="AH417" s="3">
        <f>IF(AND($N417=1,AND(对接源_01水果!$D417="周转筐－销售出库",N(对接源_01水果!$K417)&lt;&gt;0)),1,0)</f>
        <v>0</v>
      </c>
      <c r="AI417" s="3">
        <f t="shared" si="122"/>
        <v>0</v>
      </c>
      <c r="AJ417" s="7"/>
      <c r="AL417" s="3">
        <f>IF(OR($AL$1="",对接源_01水果!$Y417="",对接源_01水果!$Y417&lt;&gt;$AL$1,对接源_01水果!$B417="",N(对接源_01水果!$AJ417)&lt;=0),0,IF(OR(N(对接源_01水果!$B417)&lt;$AL$2,N(对接源_01水果!$B417)&gt;$AL$3),0,1))</f>
        <v>0</v>
      </c>
      <c r="AM417" s="3">
        <f t="shared" si="123"/>
        <v>1</v>
      </c>
      <c r="AN417" s="3" t="str">
        <f>IF(对接源_01水果!$AC417="","",对接源_01水果!$AC417)</f>
        <v>王照雪</v>
      </c>
      <c r="AO417" s="3">
        <f t="shared" si="124"/>
        <v>0</v>
      </c>
      <c r="AP417" s="3">
        <f t="shared" si="125"/>
        <v>8</v>
      </c>
      <c r="AR417">
        <f t="shared" si="126"/>
        <v>0</v>
      </c>
      <c r="AS417">
        <f t="shared" si="127"/>
        <v>0</v>
      </c>
    </row>
    <row r="418" ht="14.25" customHeight="1" spans="1:45">
      <c r="A418" s="3" t="str">
        <f>IF(对接源_01水果!$C418="","",对接源_01水果!$C418)</f>
        <v>王照雪</v>
      </c>
      <c r="B418" s="3">
        <f t="shared" si="111"/>
        <v>0</v>
      </c>
      <c r="C418" s="3">
        <f t="shared" si="112"/>
        <v>18</v>
      </c>
      <c r="K418" s="3">
        <f>IF(OR($K$1="",对接源_01水果!$C418="",对接源_01水果!$C418&lt;&gt;$K$1,对接源_01水果!$B418=""),0,IF(OR(N(对接源_01水果!$B418)&lt;$K$2,N(对接源_01水果!$B418)&gt;$K$3),0,1))</f>
        <v>0</v>
      </c>
      <c r="L418" s="3">
        <f>IF(OR($L$1="",对接源_01水果!$C418="",对接源_01水果!$C418&lt;&gt;$L$1,对接源_01水果!$B418=""),0,IF(OR(N(对接源_01水果!$B418)&lt;$L$2,N(对接源_01水果!$B418)&gt;$L$3),0,1))</f>
        <v>0</v>
      </c>
      <c r="M418" s="3">
        <f>IF(OR($M$1="",对接源_01水果!$C418="",对接源_01水果!$C418&lt;&gt;$M$1,对接源_01水果!$B418=""),0,IF(OR(N(对接源_01水果!$B418)&lt;$M$2,N(对接源_01水果!$B418)&gt;$M$3),0,1))</f>
        <v>0</v>
      </c>
      <c r="N418" s="3">
        <f>IF(OR($N$1="",对接源_01水果!$C418="",对接源_01水果!$C418&lt;&gt;$N$1,对接源_01水果!$B418=""),0,IF(OR(N(对接源_01水果!$B418)&lt;$N$2,N(对接源_01水果!$B418)&gt;$N$3),0,1))</f>
        <v>0</v>
      </c>
      <c r="P418" s="3">
        <f>IF(AND($K418=1,AND(对接源_01水果!$X418="公司筐",N(对接源_01水果!$T418)&lt;&gt;0)),1,0)</f>
        <v>0</v>
      </c>
      <c r="Q418" s="3">
        <f t="shared" si="113"/>
        <v>0</v>
      </c>
      <c r="R418" s="3">
        <f>IF(AND($K418=1,AND(对接源_01水果!$X418="公司筐",N(对接源_01水果!$U418)&lt;&gt;0)),1,0)</f>
        <v>0</v>
      </c>
      <c r="S418" s="3">
        <f t="shared" si="114"/>
        <v>0</v>
      </c>
      <c r="T418" s="3">
        <f>IF(AND($K418=1,AND(对接源_01水果!$X418="公司筐",N(对接源_01水果!$V418)&lt;&gt;0)),1,0)</f>
        <v>0</v>
      </c>
      <c r="U418" s="3">
        <f t="shared" si="115"/>
        <v>19</v>
      </c>
      <c r="V418" s="3">
        <f>IF(AND($L418=1,AND(对接源_01水果!$X418="自备筐",N(对接源_01水果!$V418)&lt;&gt;0)),1,0)</f>
        <v>0</v>
      </c>
      <c r="W418" s="3">
        <f t="shared" si="116"/>
        <v>8</v>
      </c>
      <c r="X418" s="3">
        <f>IF(AND($L418=1,AND(对接源_01水果!$X418="自备筐",N(对接源_01水果!$T418)&lt;&gt;0)),1,0)</f>
        <v>0</v>
      </c>
      <c r="Y418" s="3">
        <f t="shared" si="117"/>
        <v>0</v>
      </c>
      <c r="Z418" s="3">
        <f>IF(AND($M418=1,对接源_01水果!$D418="原料入库"),1,0)</f>
        <v>0</v>
      </c>
      <c r="AA418" s="3">
        <f t="shared" si="118"/>
        <v>24</v>
      </c>
      <c r="AB418" s="3">
        <f>IF(AND($M418=1,LEFT(对接源_01水果!$D418,4)="原料出库"),1,0)</f>
        <v>0</v>
      </c>
      <c r="AC418" s="3">
        <f t="shared" si="119"/>
        <v>0</v>
      </c>
      <c r="AD418" s="3">
        <f>IF(AND($M418=1,LEFT(对接源_01水果!$D418,4)="成品出库"),1,0)</f>
        <v>0</v>
      </c>
      <c r="AE418" s="3">
        <f t="shared" si="120"/>
        <v>0</v>
      </c>
      <c r="AF418" s="3">
        <f>IF(AND($N418=1,AND(LEFT(对接源_01水果!$D418,4)="包装物料",N(对接源_01水果!$K418)&lt;&gt;0)),1,0)</f>
        <v>0</v>
      </c>
      <c r="AG418" s="3">
        <f t="shared" si="121"/>
        <v>0</v>
      </c>
      <c r="AH418" s="3">
        <f>IF(AND($N418=1,AND(对接源_01水果!$D418="周转筐－销售出库",N(对接源_01水果!$K418)&lt;&gt;0)),1,0)</f>
        <v>0</v>
      </c>
      <c r="AI418" s="3">
        <f t="shared" si="122"/>
        <v>0</v>
      </c>
      <c r="AJ418" s="7"/>
      <c r="AL418" s="3">
        <f>IF(OR($AL$1="",对接源_01水果!$Y418="",对接源_01水果!$Y418&lt;&gt;$AL$1,对接源_01水果!$B418="",N(对接源_01水果!$AJ418)&lt;=0),0,IF(OR(N(对接源_01水果!$B418)&lt;$AL$2,N(对接源_01水果!$B418)&gt;$AL$3),0,1))</f>
        <v>0</v>
      </c>
      <c r="AM418" s="3">
        <f t="shared" si="123"/>
        <v>1</v>
      </c>
      <c r="AN418" s="3" t="str">
        <f>IF(对接源_01水果!$AC418="","",对接源_01水果!$AC418)</f>
        <v>电商/主播</v>
      </c>
      <c r="AO418" s="3">
        <f t="shared" si="124"/>
        <v>0</v>
      </c>
      <c r="AP418" s="3">
        <f t="shared" si="125"/>
        <v>8</v>
      </c>
      <c r="AR418">
        <f t="shared" si="126"/>
        <v>0</v>
      </c>
      <c r="AS418">
        <f t="shared" si="127"/>
        <v>0</v>
      </c>
    </row>
    <row r="419" ht="14.25" customHeight="1" spans="1:45">
      <c r="A419" s="3" t="str">
        <f>IF(对接源_01水果!$C419="","",对接源_01水果!$C419)</f>
        <v>王照雪</v>
      </c>
      <c r="B419" s="3">
        <f t="shared" si="111"/>
        <v>0</v>
      </c>
      <c r="C419" s="3">
        <f t="shared" si="112"/>
        <v>18</v>
      </c>
      <c r="K419" s="3">
        <f>IF(OR($K$1="",对接源_01水果!$C419="",对接源_01水果!$C419&lt;&gt;$K$1,对接源_01水果!$B419=""),0,IF(OR(N(对接源_01水果!$B419)&lt;$K$2,N(对接源_01水果!$B419)&gt;$K$3),0,1))</f>
        <v>0</v>
      </c>
      <c r="L419" s="3">
        <f>IF(OR($L$1="",对接源_01水果!$C419="",对接源_01水果!$C419&lt;&gt;$L$1,对接源_01水果!$B419=""),0,IF(OR(N(对接源_01水果!$B419)&lt;$L$2,N(对接源_01水果!$B419)&gt;$L$3),0,1))</f>
        <v>0</v>
      </c>
      <c r="M419" s="3">
        <f>IF(OR($M$1="",对接源_01水果!$C419="",对接源_01水果!$C419&lt;&gt;$M$1,对接源_01水果!$B419=""),0,IF(OR(N(对接源_01水果!$B419)&lt;$M$2,N(对接源_01水果!$B419)&gt;$M$3),0,1))</f>
        <v>0</v>
      </c>
      <c r="N419" s="3">
        <f>IF(OR($N$1="",对接源_01水果!$C419="",对接源_01水果!$C419&lt;&gt;$N$1,对接源_01水果!$B419=""),0,IF(OR(N(对接源_01水果!$B419)&lt;$N$2,N(对接源_01水果!$B419)&gt;$N$3),0,1))</f>
        <v>0</v>
      </c>
      <c r="P419" s="3">
        <f>IF(AND($K419=1,AND(对接源_01水果!$X419="公司筐",N(对接源_01水果!$T419)&lt;&gt;0)),1,0)</f>
        <v>0</v>
      </c>
      <c r="Q419" s="3">
        <f t="shared" si="113"/>
        <v>0</v>
      </c>
      <c r="R419" s="3">
        <f>IF(AND($K419=1,AND(对接源_01水果!$X419="公司筐",N(对接源_01水果!$U419)&lt;&gt;0)),1,0)</f>
        <v>0</v>
      </c>
      <c r="S419" s="3">
        <f t="shared" si="114"/>
        <v>0</v>
      </c>
      <c r="T419" s="3">
        <f>IF(AND($K419=1,AND(对接源_01水果!$X419="公司筐",N(对接源_01水果!$V419)&lt;&gt;0)),1,0)</f>
        <v>0</v>
      </c>
      <c r="U419" s="3">
        <f t="shared" si="115"/>
        <v>19</v>
      </c>
      <c r="V419" s="3">
        <f>IF(AND($L419=1,AND(对接源_01水果!$X419="自备筐",N(对接源_01水果!$V419)&lt;&gt;0)),1,0)</f>
        <v>0</v>
      </c>
      <c r="W419" s="3">
        <f t="shared" si="116"/>
        <v>8</v>
      </c>
      <c r="X419" s="3">
        <f>IF(AND($L419=1,AND(对接源_01水果!$X419="自备筐",N(对接源_01水果!$T419)&lt;&gt;0)),1,0)</f>
        <v>0</v>
      </c>
      <c r="Y419" s="3">
        <f t="shared" si="117"/>
        <v>0</v>
      </c>
      <c r="Z419" s="3">
        <f>IF(AND($M419=1,对接源_01水果!$D419="原料入库"),1,0)</f>
        <v>0</v>
      </c>
      <c r="AA419" s="3">
        <f t="shared" si="118"/>
        <v>24</v>
      </c>
      <c r="AB419" s="3">
        <f>IF(AND($M419=1,LEFT(对接源_01水果!$D419,4)="原料出库"),1,0)</f>
        <v>0</v>
      </c>
      <c r="AC419" s="3">
        <f t="shared" si="119"/>
        <v>0</v>
      </c>
      <c r="AD419" s="3">
        <f>IF(AND($M419=1,LEFT(对接源_01水果!$D419,4)="成品出库"),1,0)</f>
        <v>0</v>
      </c>
      <c r="AE419" s="3">
        <f t="shared" si="120"/>
        <v>0</v>
      </c>
      <c r="AF419" s="3">
        <f>IF(AND($N419=1,AND(LEFT(对接源_01水果!$D419,4)="包装物料",N(对接源_01水果!$K419)&lt;&gt;0)),1,0)</f>
        <v>0</v>
      </c>
      <c r="AG419" s="3">
        <f t="shared" si="121"/>
        <v>0</v>
      </c>
      <c r="AH419" s="3">
        <f>IF(AND($N419=1,AND(对接源_01水果!$D419="周转筐－销售出库",N(对接源_01水果!$K419)&lt;&gt;0)),1,0)</f>
        <v>0</v>
      </c>
      <c r="AI419" s="3">
        <f t="shared" si="122"/>
        <v>0</v>
      </c>
      <c r="AJ419" s="7"/>
      <c r="AL419" s="3">
        <f>IF(OR($AL$1="",对接源_01水果!$Y419="",对接源_01水果!$Y419&lt;&gt;$AL$1,对接源_01水果!$B419="",N(对接源_01水果!$AJ419)&lt;=0),0,IF(OR(N(对接源_01水果!$B419)&lt;$AL$2,N(对接源_01水果!$B419)&gt;$AL$3),0,1))</f>
        <v>0</v>
      </c>
      <c r="AM419" s="3">
        <f t="shared" si="123"/>
        <v>1</v>
      </c>
      <c r="AN419" s="3" t="str">
        <f>IF(对接源_01水果!$AC419="","",对接源_01水果!$AC419)</f>
        <v>电商/主播</v>
      </c>
      <c r="AO419" s="3">
        <f t="shared" si="124"/>
        <v>0</v>
      </c>
      <c r="AP419" s="3">
        <f t="shared" si="125"/>
        <v>8</v>
      </c>
      <c r="AR419">
        <f t="shared" si="126"/>
        <v>0</v>
      </c>
      <c r="AS419">
        <f t="shared" si="127"/>
        <v>0</v>
      </c>
    </row>
    <row r="420" ht="14.25" customHeight="1" spans="1:45">
      <c r="A420" s="3" t="str">
        <f>IF(对接源_01水果!$C420="","",对接源_01水果!$C420)</f>
        <v>王照雪</v>
      </c>
      <c r="B420" s="3">
        <f t="shared" si="111"/>
        <v>0</v>
      </c>
      <c r="C420" s="3">
        <f t="shared" si="112"/>
        <v>18</v>
      </c>
      <c r="K420" s="3">
        <f>IF(OR($K$1="",对接源_01水果!$C420="",对接源_01水果!$C420&lt;&gt;$K$1,对接源_01水果!$B420=""),0,IF(OR(N(对接源_01水果!$B420)&lt;$K$2,N(对接源_01水果!$B420)&gt;$K$3),0,1))</f>
        <v>0</v>
      </c>
      <c r="L420" s="3">
        <f>IF(OR($L$1="",对接源_01水果!$C420="",对接源_01水果!$C420&lt;&gt;$L$1,对接源_01水果!$B420=""),0,IF(OR(N(对接源_01水果!$B420)&lt;$L$2,N(对接源_01水果!$B420)&gt;$L$3),0,1))</f>
        <v>0</v>
      </c>
      <c r="M420" s="3">
        <f>IF(OR($M$1="",对接源_01水果!$C420="",对接源_01水果!$C420&lt;&gt;$M$1,对接源_01水果!$B420=""),0,IF(OR(N(对接源_01水果!$B420)&lt;$M$2,N(对接源_01水果!$B420)&gt;$M$3),0,1))</f>
        <v>0</v>
      </c>
      <c r="N420" s="3">
        <f>IF(OR($N$1="",对接源_01水果!$C420="",对接源_01水果!$C420&lt;&gt;$N$1,对接源_01水果!$B420=""),0,IF(OR(N(对接源_01水果!$B420)&lt;$N$2,N(对接源_01水果!$B420)&gt;$N$3),0,1))</f>
        <v>0</v>
      </c>
      <c r="P420" s="3">
        <f>IF(AND($K420=1,AND(对接源_01水果!$X420="公司筐",N(对接源_01水果!$T420)&lt;&gt;0)),1,0)</f>
        <v>0</v>
      </c>
      <c r="Q420" s="3">
        <f t="shared" si="113"/>
        <v>0</v>
      </c>
      <c r="R420" s="3">
        <f>IF(AND($K420=1,AND(对接源_01水果!$X420="公司筐",N(对接源_01水果!$U420)&lt;&gt;0)),1,0)</f>
        <v>0</v>
      </c>
      <c r="S420" s="3">
        <f t="shared" si="114"/>
        <v>0</v>
      </c>
      <c r="T420" s="3">
        <f>IF(AND($K420=1,AND(对接源_01水果!$X420="公司筐",N(对接源_01水果!$V420)&lt;&gt;0)),1,0)</f>
        <v>0</v>
      </c>
      <c r="U420" s="3">
        <f t="shared" si="115"/>
        <v>19</v>
      </c>
      <c r="V420" s="3">
        <f>IF(AND($L420=1,AND(对接源_01水果!$X420="自备筐",N(对接源_01水果!$V420)&lt;&gt;0)),1,0)</f>
        <v>0</v>
      </c>
      <c r="W420" s="3">
        <f t="shared" si="116"/>
        <v>8</v>
      </c>
      <c r="X420" s="3">
        <f>IF(AND($L420=1,AND(对接源_01水果!$X420="自备筐",N(对接源_01水果!$T420)&lt;&gt;0)),1,0)</f>
        <v>0</v>
      </c>
      <c r="Y420" s="3">
        <f t="shared" si="117"/>
        <v>0</v>
      </c>
      <c r="Z420" s="3">
        <f>IF(AND($M420=1,对接源_01水果!$D420="原料入库"),1,0)</f>
        <v>0</v>
      </c>
      <c r="AA420" s="3">
        <f t="shared" si="118"/>
        <v>24</v>
      </c>
      <c r="AB420" s="3">
        <f>IF(AND($M420=1,LEFT(对接源_01水果!$D420,4)="原料出库"),1,0)</f>
        <v>0</v>
      </c>
      <c r="AC420" s="3">
        <f t="shared" si="119"/>
        <v>0</v>
      </c>
      <c r="AD420" s="3">
        <f>IF(AND($M420=1,LEFT(对接源_01水果!$D420,4)="成品出库"),1,0)</f>
        <v>0</v>
      </c>
      <c r="AE420" s="3">
        <f t="shared" si="120"/>
        <v>0</v>
      </c>
      <c r="AF420" s="3">
        <f>IF(AND($N420=1,AND(LEFT(对接源_01水果!$D420,4)="包装物料",N(对接源_01水果!$K420)&lt;&gt;0)),1,0)</f>
        <v>0</v>
      </c>
      <c r="AG420" s="3">
        <f t="shared" si="121"/>
        <v>0</v>
      </c>
      <c r="AH420" s="3">
        <f>IF(AND($N420=1,AND(对接源_01水果!$D420="周转筐－销售出库",N(对接源_01水果!$K420)&lt;&gt;0)),1,0)</f>
        <v>0</v>
      </c>
      <c r="AI420" s="3">
        <f t="shared" si="122"/>
        <v>0</v>
      </c>
      <c r="AJ420" s="7"/>
      <c r="AL420" s="3">
        <f>IF(OR($AL$1="",对接源_01水果!$Y420="",对接源_01水果!$Y420&lt;&gt;$AL$1,对接源_01水果!$B420="",N(对接源_01水果!$AJ420)&lt;=0),0,IF(OR(N(对接源_01水果!$B420)&lt;$AL$2,N(对接源_01水果!$B420)&gt;$AL$3),0,1))</f>
        <v>0</v>
      </c>
      <c r="AM420" s="3">
        <f t="shared" si="123"/>
        <v>1</v>
      </c>
      <c r="AN420" s="3" t="str">
        <f>IF(对接源_01水果!$AC420="","",对接源_01水果!$AC420)</f>
        <v>王照雪</v>
      </c>
      <c r="AO420" s="3">
        <f t="shared" si="124"/>
        <v>0</v>
      </c>
      <c r="AP420" s="3">
        <f t="shared" si="125"/>
        <v>8</v>
      </c>
      <c r="AR420">
        <f t="shared" si="126"/>
        <v>0</v>
      </c>
      <c r="AS420">
        <f t="shared" si="127"/>
        <v>0</v>
      </c>
    </row>
    <row r="421" ht="14.25" customHeight="1" spans="1:45">
      <c r="A421" s="3" t="str">
        <f>IF(对接源_01水果!$C421="","",对接源_01水果!$C421)</f>
        <v>王照雪</v>
      </c>
      <c r="B421" s="3">
        <f t="shared" si="111"/>
        <v>0</v>
      </c>
      <c r="C421" s="3">
        <f t="shared" si="112"/>
        <v>18</v>
      </c>
      <c r="K421" s="3">
        <f>IF(OR($K$1="",对接源_01水果!$C421="",对接源_01水果!$C421&lt;&gt;$K$1,对接源_01水果!$B421=""),0,IF(OR(N(对接源_01水果!$B421)&lt;$K$2,N(对接源_01水果!$B421)&gt;$K$3),0,1))</f>
        <v>0</v>
      </c>
      <c r="L421" s="3">
        <f>IF(OR($L$1="",对接源_01水果!$C421="",对接源_01水果!$C421&lt;&gt;$L$1,对接源_01水果!$B421=""),0,IF(OR(N(对接源_01水果!$B421)&lt;$L$2,N(对接源_01水果!$B421)&gt;$L$3),0,1))</f>
        <v>0</v>
      </c>
      <c r="M421" s="3">
        <f>IF(OR($M$1="",对接源_01水果!$C421="",对接源_01水果!$C421&lt;&gt;$M$1,对接源_01水果!$B421=""),0,IF(OR(N(对接源_01水果!$B421)&lt;$M$2,N(对接源_01水果!$B421)&gt;$M$3),0,1))</f>
        <v>0</v>
      </c>
      <c r="N421" s="3">
        <f>IF(OR($N$1="",对接源_01水果!$C421="",对接源_01水果!$C421&lt;&gt;$N$1,对接源_01水果!$B421=""),0,IF(OR(N(对接源_01水果!$B421)&lt;$N$2,N(对接源_01水果!$B421)&gt;$N$3),0,1))</f>
        <v>0</v>
      </c>
      <c r="P421" s="3">
        <f>IF(AND($K421=1,AND(对接源_01水果!$X421="公司筐",N(对接源_01水果!$T421)&lt;&gt;0)),1,0)</f>
        <v>0</v>
      </c>
      <c r="Q421" s="3">
        <f t="shared" si="113"/>
        <v>0</v>
      </c>
      <c r="R421" s="3">
        <f>IF(AND($K421=1,AND(对接源_01水果!$X421="公司筐",N(对接源_01水果!$U421)&lt;&gt;0)),1,0)</f>
        <v>0</v>
      </c>
      <c r="S421" s="3">
        <f t="shared" si="114"/>
        <v>0</v>
      </c>
      <c r="T421" s="3">
        <f>IF(AND($K421=1,AND(对接源_01水果!$X421="公司筐",N(对接源_01水果!$V421)&lt;&gt;0)),1,0)</f>
        <v>0</v>
      </c>
      <c r="U421" s="3">
        <f t="shared" si="115"/>
        <v>19</v>
      </c>
      <c r="V421" s="3">
        <f>IF(AND($L421=1,AND(对接源_01水果!$X421="自备筐",N(对接源_01水果!$V421)&lt;&gt;0)),1,0)</f>
        <v>0</v>
      </c>
      <c r="W421" s="3">
        <f t="shared" si="116"/>
        <v>8</v>
      </c>
      <c r="X421" s="3">
        <f>IF(AND($L421=1,AND(对接源_01水果!$X421="自备筐",N(对接源_01水果!$T421)&lt;&gt;0)),1,0)</f>
        <v>0</v>
      </c>
      <c r="Y421" s="3">
        <f t="shared" si="117"/>
        <v>0</v>
      </c>
      <c r="Z421" s="3">
        <f>IF(AND($M421=1,对接源_01水果!$D421="原料入库"),1,0)</f>
        <v>0</v>
      </c>
      <c r="AA421" s="3">
        <f t="shared" si="118"/>
        <v>24</v>
      </c>
      <c r="AB421" s="3">
        <f>IF(AND($M421=1,LEFT(对接源_01水果!$D421,4)="原料出库"),1,0)</f>
        <v>0</v>
      </c>
      <c r="AC421" s="3">
        <f t="shared" si="119"/>
        <v>0</v>
      </c>
      <c r="AD421" s="3">
        <f>IF(AND($M421=1,LEFT(对接源_01水果!$D421,4)="成品出库"),1,0)</f>
        <v>0</v>
      </c>
      <c r="AE421" s="3">
        <f t="shared" si="120"/>
        <v>0</v>
      </c>
      <c r="AF421" s="3">
        <f>IF(AND($N421=1,AND(LEFT(对接源_01水果!$D421,4)="包装物料",N(对接源_01水果!$K421)&lt;&gt;0)),1,0)</f>
        <v>0</v>
      </c>
      <c r="AG421" s="3">
        <f t="shared" si="121"/>
        <v>0</v>
      </c>
      <c r="AH421" s="3">
        <f>IF(AND($N421=1,AND(对接源_01水果!$D421="周转筐－销售出库",N(对接源_01水果!$K421)&lt;&gt;0)),1,0)</f>
        <v>0</v>
      </c>
      <c r="AI421" s="3">
        <f t="shared" si="122"/>
        <v>0</v>
      </c>
      <c r="AJ421" s="7"/>
      <c r="AL421" s="3">
        <f>IF(OR($AL$1="",对接源_01水果!$Y421="",对接源_01水果!$Y421&lt;&gt;$AL$1,对接源_01水果!$B421="",N(对接源_01水果!$AJ421)&lt;=0),0,IF(OR(N(对接源_01水果!$B421)&lt;$AL$2,N(对接源_01水果!$B421)&gt;$AL$3),0,1))</f>
        <v>0</v>
      </c>
      <c r="AM421" s="3">
        <f t="shared" si="123"/>
        <v>1</v>
      </c>
      <c r="AN421" s="3" t="str">
        <f>IF(对接源_01水果!$AC421="","",对接源_01水果!$AC421)</f>
        <v>王照雪</v>
      </c>
      <c r="AO421" s="3">
        <f t="shared" si="124"/>
        <v>0</v>
      </c>
      <c r="AP421" s="3">
        <f t="shared" si="125"/>
        <v>8</v>
      </c>
      <c r="AR421">
        <f t="shared" si="126"/>
        <v>0</v>
      </c>
      <c r="AS421">
        <f t="shared" si="127"/>
        <v>0</v>
      </c>
    </row>
    <row r="422" ht="14.25" customHeight="1" spans="1:45">
      <c r="A422" s="3" t="str">
        <f>IF(对接源_01水果!$C422="","",对接源_01水果!$C422)</f>
        <v>王照雪</v>
      </c>
      <c r="B422" s="3">
        <f t="shared" si="111"/>
        <v>0</v>
      </c>
      <c r="C422" s="3">
        <f t="shared" si="112"/>
        <v>18</v>
      </c>
      <c r="K422" s="3">
        <f>IF(OR($K$1="",对接源_01水果!$C422="",对接源_01水果!$C422&lt;&gt;$K$1,对接源_01水果!$B422=""),0,IF(OR(N(对接源_01水果!$B422)&lt;$K$2,N(对接源_01水果!$B422)&gt;$K$3),0,1))</f>
        <v>0</v>
      </c>
      <c r="L422" s="3">
        <f>IF(OR($L$1="",对接源_01水果!$C422="",对接源_01水果!$C422&lt;&gt;$L$1,对接源_01水果!$B422=""),0,IF(OR(N(对接源_01水果!$B422)&lt;$L$2,N(对接源_01水果!$B422)&gt;$L$3),0,1))</f>
        <v>0</v>
      </c>
      <c r="M422" s="3">
        <f>IF(OR($M$1="",对接源_01水果!$C422="",对接源_01水果!$C422&lt;&gt;$M$1,对接源_01水果!$B422=""),0,IF(OR(N(对接源_01水果!$B422)&lt;$M$2,N(对接源_01水果!$B422)&gt;$M$3),0,1))</f>
        <v>0</v>
      </c>
      <c r="N422" s="3">
        <f>IF(OR($N$1="",对接源_01水果!$C422="",对接源_01水果!$C422&lt;&gt;$N$1,对接源_01水果!$B422=""),0,IF(OR(N(对接源_01水果!$B422)&lt;$N$2,N(对接源_01水果!$B422)&gt;$N$3),0,1))</f>
        <v>0</v>
      </c>
      <c r="P422" s="3">
        <f>IF(AND($K422=1,AND(对接源_01水果!$X422="公司筐",N(对接源_01水果!$T422)&lt;&gt;0)),1,0)</f>
        <v>0</v>
      </c>
      <c r="Q422" s="3">
        <f t="shared" si="113"/>
        <v>0</v>
      </c>
      <c r="R422" s="3">
        <f>IF(AND($K422=1,AND(对接源_01水果!$X422="公司筐",N(对接源_01水果!$U422)&lt;&gt;0)),1,0)</f>
        <v>0</v>
      </c>
      <c r="S422" s="3">
        <f t="shared" si="114"/>
        <v>0</v>
      </c>
      <c r="T422" s="3">
        <f>IF(AND($K422=1,AND(对接源_01水果!$X422="公司筐",N(对接源_01水果!$V422)&lt;&gt;0)),1,0)</f>
        <v>0</v>
      </c>
      <c r="U422" s="3">
        <f t="shared" si="115"/>
        <v>19</v>
      </c>
      <c r="V422" s="3">
        <f>IF(AND($L422=1,AND(对接源_01水果!$X422="自备筐",N(对接源_01水果!$V422)&lt;&gt;0)),1,0)</f>
        <v>0</v>
      </c>
      <c r="W422" s="3">
        <f t="shared" si="116"/>
        <v>8</v>
      </c>
      <c r="X422" s="3">
        <f>IF(AND($L422=1,AND(对接源_01水果!$X422="自备筐",N(对接源_01水果!$T422)&lt;&gt;0)),1,0)</f>
        <v>0</v>
      </c>
      <c r="Y422" s="3">
        <f t="shared" si="117"/>
        <v>0</v>
      </c>
      <c r="Z422" s="3">
        <f>IF(AND($M422=1,对接源_01水果!$D422="原料入库"),1,0)</f>
        <v>0</v>
      </c>
      <c r="AA422" s="3">
        <f t="shared" si="118"/>
        <v>24</v>
      </c>
      <c r="AB422" s="3">
        <f>IF(AND($M422=1,LEFT(对接源_01水果!$D422,4)="原料出库"),1,0)</f>
        <v>0</v>
      </c>
      <c r="AC422" s="3">
        <f t="shared" si="119"/>
        <v>0</v>
      </c>
      <c r="AD422" s="3">
        <f>IF(AND($M422=1,LEFT(对接源_01水果!$D422,4)="成品出库"),1,0)</f>
        <v>0</v>
      </c>
      <c r="AE422" s="3">
        <f t="shared" si="120"/>
        <v>0</v>
      </c>
      <c r="AF422" s="3">
        <f>IF(AND($N422=1,AND(LEFT(对接源_01水果!$D422,4)="包装物料",N(对接源_01水果!$K422)&lt;&gt;0)),1,0)</f>
        <v>0</v>
      </c>
      <c r="AG422" s="3">
        <f t="shared" si="121"/>
        <v>0</v>
      </c>
      <c r="AH422" s="3">
        <f>IF(AND($N422=1,AND(对接源_01水果!$D422="周转筐－销售出库",N(对接源_01水果!$K422)&lt;&gt;0)),1,0)</f>
        <v>0</v>
      </c>
      <c r="AI422" s="3">
        <f t="shared" si="122"/>
        <v>0</v>
      </c>
      <c r="AJ422" s="7"/>
      <c r="AL422" s="3">
        <f>IF(OR($AL$1="",对接源_01水果!$Y422="",对接源_01水果!$Y422&lt;&gt;$AL$1,对接源_01水果!$B422="",N(对接源_01水果!$AJ422)&lt;=0),0,IF(OR(N(对接源_01水果!$B422)&lt;$AL$2,N(对接源_01水果!$B422)&gt;$AL$3),0,1))</f>
        <v>0</v>
      </c>
      <c r="AM422" s="3">
        <f t="shared" si="123"/>
        <v>1</v>
      </c>
      <c r="AN422" s="3" t="str">
        <f>IF(对接源_01水果!$AC422="","",对接源_01水果!$AC422)</f>
        <v>电商/主播</v>
      </c>
      <c r="AO422" s="3">
        <f t="shared" si="124"/>
        <v>0</v>
      </c>
      <c r="AP422" s="3">
        <f t="shared" si="125"/>
        <v>8</v>
      </c>
      <c r="AR422">
        <f t="shared" si="126"/>
        <v>0</v>
      </c>
      <c r="AS422">
        <f t="shared" si="127"/>
        <v>0</v>
      </c>
    </row>
    <row r="423" ht="14.25" customHeight="1" spans="1:45">
      <c r="A423" s="3" t="str">
        <f>IF(对接源_01水果!$C423="","",对接源_01水果!$C423)</f>
        <v>王照雪</v>
      </c>
      <c r="B423" s="3">
        <f t="shared" si="111"/>
        <v>0</v>
      </c>
      <c r="C423" s="3">
        <f t="shared" si="112"/>
        <v>18</v>
      </c>
      <c r="K423" s="3">
        <f>IF(OR($K$1="",对接源_01水果!$C423="",对接源_01水果!$C423&lt;&gt;$K$1,对接源_01水果!$B423=""),0,IF(OR(N(对接源_01水果!$B423)&lt;$K$2,N(对接源_01水果!$B423)&gt;$K$3),0,1))</f>
        <v>0</v>
      </c>
      <c r="L423" s="3">
        <f>IF(OR($L$1="",对接源_01水果!$C423="",对接源_01水果!$C423&lt;&gt;$L$1,对接源_01水果!$B423=""),0,IF(OR(N(对接源_01水果!$B423)&lt;$L$2,N(对接源_01水果!$B423)&gt;$L$3),0,1))</f>
        <v>0</v>
      </c>
      <c r="M423" s="3">
        <f>IF(OR($M$1="",对接源_01水果!$C423="",对接源_01水果!$C423&lt;&gt;$M$1,对接源_01水果!$B423=""),0,IF(OR(N(对接源_01水果!$B423)&lt;$M$2,N(对接源_01水果!$B423)&gt;$M$3),0,1))</f>
        <v>0</v>
      </c>
      <c r="N423" s="3">
        <f>IF(OR($N$1="",对接源_01水果!$C423="",对接源_01水果!$C423&lt;&gt;$N$1,对接源_01水果!$B423=""),0,IF(OR(N(对接源_01水果!$B423)&lt;$N$2,N(对接源_01水果!$B423)&gt;$N$3),0,1))</f>
        <v>0</v>
      </c>
      <c r="P423" s="3">
        <f>IF(AND($K423=1,AND(对接源_01水果!$X423="公司筐",N(对接源_01水果!$T423)&lt;&gt;0)),1,0)</f>
        <v>0</v>
      </c>
      <c r="Q423" s="3">
        <f t="shared" si="113"/>
        <v>0</v>
      </c>
      <c r="R423" s="3">
        <f>IF(AND($K423=1,AND(对接源_01水果!$X423="公司筐",N(对接源_01水果!$U423)&lt;&gt;0)),1,0)</f>
        <v>0</v>
      </c>
      <c r="S423" s="3">
        <f t="shared" si="114"/>
        <v>0</v>
      </c>
      <c r="T423" s="3">
        <f>IF(AND($K423=1,AND(对接源_01水果!$X423="公司筐",N(对接源_01水果!$V423)&lt;&gt;0)),1,0)</f>
        <v>0</v>
      </c>
      <c r="U423" s="3">
        <f t="shared" si="115"/>
        <v>19</v>
      </c>
      <c r="V423" s="3">
        <f>IF(AND($L423=1,AND(对接源_01水果!$X423="自备筐",N(对接源_01水果!$V423)&lt;&gt;0)),1,0)</f>
        <v>0</v>
      </c>
      <c r="W423" s="3">
        <f t="shared" si="116"/>
        <v>8</v>
      </c>
      <c r="X423" s="3">
        <f>IF(AND($L423=1,AND(对接源_01水果!$X423="自备筐",N(对接源_01水果!$T423)&lt;&gt;0)),1,0)</f>
        <v>0</v>
      </c>
      <c r="Y423" s="3">
        <f t="shared" si="117"/>
        <v>0</v>
      </c>
      <c r="Z423" s="3">
        <f>IF(AND($M423=1,对接源_01水果!$D423="原料入库"),1,0)</f>
        <v>0</v>
      </c>
      <c r="AA423" s="3">
        <f t="shared" si="118"/>
        <v>24</v>
      </c>
      <c r="AB423" s="3">
        <f>IF(AND($M423=1,LEFT(对接源_01水果!$D423,4)="原料出库"),1,0)</f>
        <v>0</v>
      </c>
      <c r="AC423" s="3">
        <f t="shared" si="119"/>
        <v>0</v>
      </c>
      <c r="AD423" s="3">
        <f>IF(AND($M423=1,LEFT(对接源_01水果!$D423,4)="成品出库"),1,0)</f>
        <v>0</v>
      </c>
      <c r="AE423" s="3">
        <f t="shared" si="120"/>
        <v>0</v>
      </c>
      <c r="AF423" s="3">
        <f>IF(AND($N423=1,AND(LEFT(对接源_01水果!$D423,4)="包装物料",N(对接源_01水果!$K423)&lt;&gt;0)),1,0)</f>
        <v>0</v>
      </c>
      <c r="AG423" s="3">
        <f t="shared" si="121"/>
        <v>0</v>
      </c>
      <c r="AH423" s="3">
        <f>IF(AND($N423=1,AND(对接源_01水果!$D423="周转筐－销售出库",N(对接源_01水果!$K423)&lt;&gt;0)),1,0)</f>
        <v>0</v>
      </c>
      <c r="AI423" s="3">
        <f t="shared" si="122"/>
        <v>0</v>
      </c>
      <c r="AJ423" s="7"/>
      <c r="AL423" s="3">
        <f>IF(OR($AL$1="",对接源_01水果!$Y423="",对接源_01水果!$Y423&lt;&gt;$AL$1,对接源_01水果!$B423="",N(对接源_01水果!$AJ423)&lt;=0),0,IF(OR(N(对接源_01水果!$B423)&lt;$AL$2,N(对接源_01水果!$B423)&gt;$AL$3),0,1))</f>
        <v>0</v>
      </c>
      <c r="AM423" s="3">
        <f t="shared" si="123"/>
        <v>1</v>
      </c>
      <c r="AN423" s="3" t="str">
        <f>IF(对接源_01水果!$AC423="","",对接源_01水果!$AC423)</f>
        <v>王照雪</v>
      </c>
      <c r="AO423" s="3">
        <f t="shared" si="124"/>
        <v>0</v>
      </c>
      <c r="AP423" s="3">
        <f t="shared" si="125"/>
        <v>8</v>
      </c>
      <c r="AR423">
        <f t="shared" si="126"/>
        <v>0</v>
      </c>
      <c r="AS423">
        <f t="shared" si="127"/>
        <v>0</v>
      </c>
    </row>
    <row r="424" ht="14.25" customHeight="1" spans="1:45">
      <c r="A424" s="3" t="str">
        <f>IF(对接源_01水果!$C424="","",对接源_01水果!$C424)</f>
        <v/>
      </c>
      <c r="B424" s="3">
        <f t="shared" si="111"/>
        <v>0</v>
      </c>
      <c r="C424" s="3">
        <f t="shared" si="112"/>
        <v>18</v>
      </c>
      <c r="K424" s="3">
        <f>IF(OR($K$1="",对接源_01水果!$C424="",对接源_01水果!$C424&lt;&gt;$K$1,对接源_01水果!$B424=""),0,IF(OR(N(对接源_01水果!$B424)&lt;$K$2,N(对接源_01水果!$B424)&gt;$K$3),0,1))</f>
        <v>0</v>
      </c>
      <c r="L424" s="3">
        <f>IF(OR($L$1="",对接源_01水果!$C424="",对接源_01水果!$C424&lt;&gt;$L$1,对接源_01水果!$B424=""),0,IF(OR(N(对接源_01水果!$B424)&lt;$L$2,N(对接源_01水果!$B424)&gt;$L$3),0,1))</f>
        <v>0</v>
      </c>
      <c r="M424" s="3">
        <f>IF(OR($M$1="",对接源_01水果!$C424="",对接源_01水果!$C424&lt;&gt;$M$1,对接源_01水果!$B424=""),0,IF(OR(N(对接源_01水果!$B424)&lt;$M$2,N(对接源_01水果!$B424)&gt;$M$3),0,1))</f>
        <v>0</v>
      </c>
      <c r="N424" s="3">
        <f>IF(OR($N$1="",对接源_01水果!$C424="",对接源_01水果!$C424&lt;&gt;$N$1,对接源_01水果!$B424=""),0,IF(OR(N(对接源_01水果!$B424)&lt;$N$2,N(对接源_01水果!$B424)&gt;$N$3),0,1))</f>
        <v>0</v>
      </c>
      <c r="P424" s="3">
        <f>IF(AND($K424=1,AND(对接源_01水果!$X424="公司筐",N(对接源_01水果!$T424)&lt;&gt;0)),1,0)</f>
        <v>0</v>
      </c>
      <c r="Q424" s="3">
        <f t="shared" si="113"/>
        <v>0</v>
      </c>
      <c r="R424" s="3">
        <f>IF(AND($K424=1,AND(对接源_01水果!$X424="公司筐",N(对接源_01水果!$U424)&lt;&gt;0)),1,0)</f>
        <v>0</v>
      </c>
      <c r="S424" s="3">
        <f t="shared" si="114"/>
        <v>0</v>
      </c>
      <c r="T424" s="3">
        <f>IF(AND($K424=1,AND(对接源_01水果!$X424="公司筐",N(对接源_01水果!$V424)&lt;&gt;0)),1,0)</f>
        <v>0</v>
      </c>
      <c r="U424" s="3">
        <f t="shared" si="115"/>
        <v>19</v>
      </c>
      <c r="V424" s="3">
        <f>IF(AND($L424=1,AND(对接源_01水果!$X424="自备筐",N(对接源_01水果!$V424)&lt;&gt;0)),1,0)</f>
        <v>0</v>
      </c>
      <c r="W424" s="3">
        <f t="shared" si="116"/>
        <v>8</v>
      </c>
      <c r="X424" s="3">
        <f>IF(AND($L424=1,AND(对接源_01水果!$X424="自备筐",N(对接源_01水果!$T424)&lt;&gt;0)),1,0)</f>
        <v>0</v>
      </c>
      <c r="Y424" s="3">
        <f t="shared" si="117"/>
        <v>0</v>
      </c>
      <c r="Z424" s="3">
        <f>IF(AND($M424=1,对接源_01水果!$D424="原料入库"),1,0)</f>
        <v>0</v>
      </c>
      <c r="AA424" s="3">
        <f t="shared" si="118"/>
        <v>24</v>
      </c>
      <c r="AB424" s="3">
        <f>IF(AND($M424=1,LEFT(对接源_01水果!$D424,4)="原料出库"),1,0)</f>
        <v>0</v>
      </c>
      <c r="AC424" s="3">
        <f t="shared" si="119"/>
        <v>0</v>
      </c>
      <c r="AD424" s="3">
        <f>IF(AND($M424=1,LEFT(对接源_01水果!$D424,4)="成品出库"),1,0)</f>
        <v>0</v>
      </c>
      <c r="AE424" s="3">
        <f t="shared" si="120"/>
        <v>0</v>
      </c>
      <c r="AF424" s="3">
        <f>IF(AND($N424=1,AND(LEFT(对接源_01水果!$D424,4)="包装物料",N(对接源_01水果!$K424)&lt;&gt;0)),1,0)</f>
        <v>0</v>
      </c>
      <c r="AG424" s="3">
        <f t="shared" si="121"/>
        <v>0</v>
      </c>
      <c r="AH424" s="3">
        <f>IF(AND($N424=1,AND(对接源_01水果!$D424="周转筐－销售出库",N(对接源_01水果!$K424)&lt;&gt;0)),1,0)</f>
        <v>0</v>
      </c>
      <c r="AI424" s="3">
        <f t="shared" si="122"/>
        <v>0</v>
      </c>
      <c r="AJ424" s="7"/>
      <c r="AL424" s="3">
        <f>IF(OR($AL$1="",对接源_01水果!$Y424="",对接源_01水果!$Y424&lt;&gt;$AL$1,对接源_01水果!$B424="",N(对接源_01水果!$AJ424)&lt;=0),0,IF(OR(N(对接源_01水果!$B424)&lt;$AL$2,N(对接源_01水果!$B424)&gt;$AL$3),0,1))</f>
        <v>0</v>
      </c>
      <c r="AM424" s="3">
        <f t="shared" si="123"/>
        <v>1</v>
      </c>
      <c r="AN424" s="3" t="str">
        <f>IF(对接源_01水果!$AC424="","",对接源_01水果!$AC424)</f>
        <v/>
      </c>
      <c r="AO424" s="3">
        <f t="shared" si="124"/>
        <v>0</v>
      </c>
      <c r="AP424" s="3">
        <f t="shared" si="125"/>
        <v>8</v>
      </c>
      <c r="AR424">
        <f t="shared" si="126"/>
        <v>0</v>
      </c>
      <c r="AS424">
        <f t="shared" si="127"/>
        <v>0</v>
      </c>
    </row>
    <row r="425" ht="14.25" customHeight="1" spans="1:45">
      <c r="A425" s="3" t="str">
        <f>IF(对接源_01水果!$C425="","",对接源_01水果!$C425)</f>
        <v/>
      </c>
      <c r="B425" s="3">
        <f t="shared" si="111"/>
        <v>0</v>
      </c>
      <c r="C425" s="3">
        <f t="shared" si="112"/>
        <v>18</v>
      </c>
      <c r="K425" s="3">
        <f>IF(OR($K$1="",对接源_01水果!$C425="",对接源_01水果!$C425&lt;&gt;$K$1,对接源_01水果!$B425=""),0,IF(OR(N(对接源_01水果!$B425)&lt;$K$2,N(对接源_01水果!$B425)&gt;$K$3),0,1))</f>
        <v>0</v>
      </c>
      <c r="L425" s="3">
        <f>IF(OR($L$1="",对接源_01水果!$C425="",对接源_01水果!$C425&lt;&gt;$L$1,对接源_01水果!$B425=""),0,IF(OR(N(对接源_01水果!$B425)&lt;$L$2,N(对接源_01水果!$B425)&gt;$L$3),0,1))</f>
        <v>0</v>
      </c>
      <c r="M425" s="3">
        <f>IF(OR($M$1="",对接源_01水果!$C425="",对接源_01水果!$C425&lt;&gt;$M$1,对接源_01水果!$B425=""),0,IF(OR(N(对接源_01水果!$B425)&lt;$M$2,N(对接源_01水果!$B425)&gt;$M$3),0,1))</f>
        <v>0</v>
      </c>
      <c r="N425" s="3">
        <f>IF(OR($N$1="",对接源_01水果!$C425="",对接源_01水果!$C425&lt;&gt;$N$1,对接源_01水果!$B425=""),0,IF(OR(N(对接源_01水果!$B425)&lt;$N$2,N(对接源_01水果!$B425)&gt;$N$3),0,1))</f>
        <v>0</v>
      </c>
      <c r="P425" s="3">
        <f>IF(AND($K425=1,AND(对接源_01水果!$X425="公司筐",N(对接源_01水果!$T425)&lt;&gt;0)),1,0)</f>
        <v>0</v>
      </c>
      <c r="Q425" s="3">
        <f t="shared" si="113"/>
        <v>0</v>
      </c>
      <c r="R425" s="3">
        <f>IF(AND($K425=1,AND(对接源_01水果!$X425="公司筐",N(对接源_01水果!$U425)&lt;&gt;0)),1,0)</f>
        <v>0</v>
      </c>
      <c r="S425" s="3">
        <f t="shared" si="114"/>
        <v>0</v>
      </c>
      <c r="T425" s="3">
        <f>IF(AND($K425=1,AND(对接源_01水果!$X425="公司筐",N(对接源_01水果!$V425)&lt;&gt;0)),1,0)</f>
        <v>0</v>
      </c>
      <c r="U425" s="3">
        <f t="shared" si="115"/>
        <v>19</v>
      </c>
      <c r="V425" s="3">
        <f>IF(AND($L425=1,AND(对接源_01水果!$X425="自备筐",N(对接源_01水果!$V425)&lt;&gt;0)),1,0)</f>
        <v>0</v>
      </c>
      <c r="W425" s="3">
        <f t="shared" si="116"/>
        <v>8</v>
      </c>
      <c r="X425" s="3">
        <f>IF(AND($L425=1,AND(对接源_01水果!$X425="自备筐",N(对接源_01水果!$T425)&lt;&gt;0)),1,0)</f>
        <v>0</v>
      </c>
      <c r="Y425" s="3">
        <f t="shared" si="117"/>
        <v>0</v>
      </c>
      <c r="Z425" s="3">
        <f>IF(AND($M425=1,对接源_01水果!$D425="原料入库"),1,0)</f>
        <v>0</v>
      </c>
      <c r="AA425" s="3">
        <f t="shared" si="118"/>
        <v>24</v>
      </c>
      <c r="AB425" s="3">
        <f>IF(AND($M425=1,LEFT(对接源_01水果!$D425,4)="原料出库"),1,0)</f>
        <v>0</v>
      </c>
      <c r="AC425" s="3">
        <f t="shared" si="119"/>
        <v>0</v>
      </c>
      <c r="AD425" s="3">
        <f>IF(AND($M425=1,LEFT(对接源_01水果!$D425,4)="成品出库"),1,0)</f>
        <v>0</v>
      </c>
      <c r="AE425" s="3">
        <f t="shared" si="120"/>
        <v>0</v>
      </c>
      <c r="AF425" s="3">
        <f>IF(AND($N425=1,AND(LEFT(对接源_01水果!$D425,4)="包装物料",N(对接源_01水果!$K425)&lt;&gt;0)),1,0)</f>
        <v>0</v>
      </c>
      <c r="AG425" s="3">
        <f t="shared" si="121"/>
        <v>0</v>
      </c>
      <c r="AH425" s="3">
        <f>IF(AND($N425=1,AND(对接源_01水果!$D425="周转筐－销售出库",N(对接源_01水果!$K425)&lt;&gt;0)),1,0)</f>
        <v>0</v>
      </c>
      <c r="AI425" s="3">
        <f t="shared" si="122"/>
        <v>0</v>
      </c>
      <c r="AJ425" s="7"/>
      <c r="AL425" s="3">
        <f>IF(OR($AL$1="",对接源_01水果!$Y425="",对接源_01水果!$Y425&lt;&gt;$AL$1,对接源_01水果!$B425="",N(对接源_01水果!$AJ425)&lt;=0),0,IF(OR(N(对接源_01水果!$B425)&lt;$AL$2,N(对接源_01水果!$B425)&gt;$AL$3),0,1))</f>
        <v>0</v>
      </c>
      <c r="AM425" s="3">
        <f t="shared" si="123"/>
        <v>1</v>
      </c>
      <c r="AN425" s="3" t="str">
        <f>IF(对接源_01水果!$AC425="","",对接源_01水果!$AC425)</f>
        <v/>
      </c>
      <c r="AO425" s="3">
        <f t="shared" si="124"/>
        <v>0</v>
      </c>
      <c r="AP425" s="3">
        <f t="shared" si="125"/>
        <v>8</v>
      </c>
      <c r="AR425">
        <f t="shared" si="126"/>
        <v>0</v>
      </c>
      <c r="AS425">
        <f t="shared" si="127"/>
        <v>0</v>
      </c>
    </row>
    <row r="426" ht="14.25" customHeight="1" spans="1:45">
      <c r="A426" s="3" t="str">
        <f>IF(对接源_01水果!$C426="","",对接源_01水果!$C426)</f>
        <v/>
      </c>
      <c r="B426" s="3">
        <f t="shared" si="111"/>
        <v>0</v>
      </c>
      <c r="C426" s="3">
        <f t="shared" si="112"/>
        <v>18</v>
      </c>
      <c r="K426" s="3">
        <f>IF(OR($K$1="",对接源_01水果!$C426="",对接源_01水果!$C426&lt;&gt;$K$1,对接源_01水果!$B426=""),0,IF(OR(N(对接源_01水果!$B426)&lt;$K$2,N(对接源_01水果!$B426)&gt;$K$3),0,1))</f>
        <v>0</v>
      </c>
      <c r="L426" s="3">
        <f>IF(OR($L$1="",对接源_01水果!$C426="",对接源_01水果!$C426&lt;&gt;$L$1,对接源_01水果!$B426=""),0,IF(OR(N(对接源_01水果!$B426)&lt;$L$2,N(对接源_01水果!$B426)&gt;$L$3),0,1))</f>
        <v>0</v>
      </c>
      <c r="M426" s="3">
        <f>IF(OR($M$1="",对接源_01水果!$C426="",对接源_01水果!$C426&lt;&gt;$M$1,对接源_01水果!$B426=""),0,IF(OR(N(对接源_01水果!$B426)&lt;$M$2,N(对接源_01水果!$B426)&gt;$M$3),0,1))</f>
        <v>0</v>
      </c>
      <c r="N426" s="3">
        <f>IF(OR($N$1="",对接源_01水果!$C426="",对接源_01水果!$C426&lt;&gt;$N$1,对接源_01水果!$B426=""),0,IF(OR(N(对接源_01水果!$B426)&lt;$N$2,N(对接源_01水果!$B426)&gt;$N$3),0,1))</f>
        <v>0</v>
      </c>
      <c r="P426" s="3">
        <f>IF(AND($K426=1,AND(对接源_01水果!$X426="公司筐",N(对接源_01水果!$T426)&lt;&gt;0)),1,0)</f>
        <v>0</v>
      </c>
      <c r="Q426" s="3">
        <f t="shared" si="113"/>
        <v>0</v>
      </c>
      <c r="R426" s="3">
        <f>IF(AND($K426=1,AND(对接源_01水果!$X426="公司筐",N(对接源_01水果!$U426)&lt;&gt;0)),1,0)</f>
        <v>0</v>
      </c>
      <c r="S426" s="3">
        <f t="shared" si="114"/>
        <v>0</v>
      </c>
      <c r="T426" s="3">
        <f>IF(AND($K426=1,AND(对接源_01水果!$X426="公司筐",N(对接源_01水果!$V426)&lt;&gt;0)),1,0)</f>
        <v>0</v>
      </c>
      <c r="U426" s="3">
        <f t="shared" si="115"/>
        <v>19</v>
      </c>
      <c r="V426" s="3">
        <f>IF(AND($L426=1,AND(对接源_01水果!$X426="自备筐",N(对接源_01水果!$V426)&lt;&gt;0)),1,0)</f>
        <v>0</v>
      </c>
      <c r="W426" s="3">
        <f t="shared" si="116"/>
        <v>8</v>
      </c>
      <c r="X426" s="3">
        <f>IF(AND($L426=1,AND(对接源_01水果!$X426="自备筐",N(对接源_01水果!$T426)&lt;&gt;0)),1,0)</f>
        <v>0</v>
      </c>
      <c r="Y426" s="3">
        <f t="shared" si="117"/>
        <v>0</v>
      </c>
      <c r="Z426" s="3">
        <f>IF(AND($M426=1,对接源_01水果!$D426="原料入库"),1,0)</f>
        <v>0</v>
      </c>
      <c r="AA426" s="3">
        <f t="shared" si="118"/>
        <v>24</v>
      </c>
      <c r="AB426" s="3">
        <f>IF(AND($M426=1,LEFT(对接源_01水果!$D426,4)="原料出库"),1,0)</f>
        <v>0</v>
      </c>
      <c r="AC426" s="3">
        <f t="shared" si="119"/>
        <v>0</v>
      </c>
      <c r="AD426" s="3">
        <f>IF(AND($M426=1,LEFT(对接源_01水果!$D426,4)="成品出库"),1,0)</f>
        <v>0</v>
      </c>
      <c r="AE426" s="3">
        <f t="shared" si="120"/>
        <v>0</v>
      </c>
      <c r="AF426" s="3">
        <f>IF(AND($N426=1,AND(LEFT(对接源_01水果!$D426,4)="包装物料",N(对接源_01水果!$K426)&lt;&gt;0)),1,0)</f>
        <v>0</v>
      </c>
      <c r="AG426" s="3">
        <f t="shared" si="121"/>
        <v>0</v>
      </c>
      <c r="AH426" s="3">
        <f>IF(AND($N426=1,AND(对接源_01水果!$D426="周转筐－销售出库",N(对接源_01水果!$K426)&lt;&gt;0)),1,0)</f>
        <v>0</v>
      </c>
      <c r="AI426" s="3">
        <f t="shared" si="122"/>
        <v>0</v>
      </c>
      <c r="AJ426" s="7"/>
      <c r="AL426" s="3">
        <f>IF(OR($AL$1="",对接源_01水果!$Y426="",对接源_01水果!$Y426&lt;&gt;$AL$1,对接源_01水果!$B426="",N(对接源_01水果!$AJ426)&lt;=0),0,IF(OR(N(对接源_01水果!$B426)&lt;$AL$2,N(对接源_01水果!$B426)&gt;$AL$3),0,1))</f>
        <v>0</v>
      </c>
      <c r="AM426" s="3">
        <f t="shared" si="123"/>
        <v>1</v>
      </c>
      <c r="AN426" s="3" t="str">
        <f>IF(对接源_01水果!$AC426="","",对接源_01水果!$AC426)</f>
        <v/>
      </c>
      <c r="AO426" s="3">
        <f t="shared" si="124"/>
        <v>0</v>
      </c>
      <c r="AP426" s="3">
        <f t="shared" si="125"/>
        <v>8</v>
      </c>
      <c r="AR426">
        <f t="shared" si="126"/>
        <v>0</v>
      </c>
      <c r="AS426">
        <f t="shared" si="127"/>
        <v>0</v>
      </c>
    </row>
    <row r="427" ht="14.25" customHeight="1" spans="1:45">
      <c r="A427" s="3" t="str">
        <f>IF(对接源_01水果!$C427="","",对接源_01水果!$C427)</f>
        <v/>
      </c>
      <c r="B427" s="3">
        <f t="shared" si="111"/>
        <v>0</v>
      </c>
      <c r="C427" s="3">
        <f t="shared" si="112"/>
        <v>18</v>
      </c>
      <c r="K427" s="3">
        <f>IF(OR($K$1="",对接源_01水果!$C427="",对接源_01水果!$C427&lt;&gt;$K$1,对接源_01水果!$B427=""),0,IF(OR(N(对接源_01水果!$B427)&lt;$K$2,N(对接源_01水果!$B427)&gt;$K$3),0,1))</f>
        <v>0</v>
      </c>
      <c r="L427" s="3">
        <f>IF(OR($L$1="",对接源_01水果!$C427="",对接源_01水果!$C427&lt;&gt;$L$1,对接源_01水果!$B427=""),0,IF(OR(N(对接源_01水果!$B427)&lt;$L$2,N(对接源_01水果!$B427)&gt;$L$3),0,1))</f>
        <v>0</v>
      </c>
      <c r="M427" s="3">
        <f>IF(OR($M$1="",对接源_01水果!$C427="",对接源_01水果!$C427&lt;&gt;$M$1,对接源_01水果!$B427=""),0,IF(OR(N(对接源_01水果!$B427)&lt;$M$2,N(对接源_01水果!$B427)&gt;$M$3),0,1))</f>
        <v>0</v>
      </c>
      <c r="N427" s="3">
        <f>IF(OR($N$1="",对接源_01水果!$C427="",对接源_01水果!$C427&lt;&gt;$N$1,对接源_01水果!$B427=""),0,IF(OR(N(对接源_01水果!$B427)&lt;$N$2,N(对接源_01水果!$B427)&gt;$N$3),0,1))</f>
        <v>0</v>
      </c>
      <c r="P427" s="3">
        <f>IF(AND($K427=1,AND(对接源_01水果!$X427="公司筐",N(对接源_01水果!$T427)&lt;&gt;0)),1,0)</f>
        <v>0</v>
      </c>
      <c r="Q427" s="3">
        <f t="shared" si="113"/>
        <v>0</v>
      </c>
      <c r="R427" s="3">
        <f>IF(AND($K427=1,AND(对接源_01水果!$X427="公司筐",N(对接源_01水果!$U427)&lt;&gt;0)),1,0)</f>
        <v>0</v>
      </c>
      <c r="S427" s="3">
        <f t="shared" si="114"/>
        <v>0</v>
      </c>
      <c r="T427" s="3">
        <f>IF(AND($K427=1,AND(对接源_01水果!$X427="公司筐",N(对接源_01水果!$V427)&lt;&gt;0)),1,0)</f>
        <v>0</v>
      </c>
      <c r="U427" s="3">
        <f t="shared" si="115"/>
        <v>19</v>
      </c>
      <c r="V427" s="3">
        <f>IF(AND($L427=1,AND(对接源_01水果!$X427="自备筐",N(对接源_01水果!$V427)&lt;&gt;0)),1,0)</f>
        <v>0</v>
      </c>
      <c r="W427" s="3">
        <f t="shared" si="116"/>
        <v>8</v>
      </c>
      <c r="X427" s="3">
        <f>IF(AND($L427=1,AND(对接源_01水果!$X427="自备筐",N(对接源_01水果!$T427)&lt;&gt;0)),1,0)</f>
        <v>0</v>
      </c>
      <c r="Y427" s="3">
        <f t="shared" si="117"/>
        <v>0</v>
      </c>
      <c r="Z427" s="3">
        <f>IF(AND($M427=1,对接源_01水果!$D427="原料入库"),1,0)</f>
        <v>0</v>
      </c>
      <c r="AA427" s="3">
        <f t="shared" si="118"/>
        <v>24</v>
      </c>
      <c r="AB427" s="3">
        <f>IF(AND($M427=1,LEFT(对接源_01水果!$D427,4)="原料出库"),1,0)</f>
        <v>0</v>
      </c>
      <c r="AC427" s="3">
        <f t="shared" si="119"/>
        <v>0</v>
      </c>
      <c r="AD427" s="3">
        <f>IF(AND($M427=1,LEFT(对接源_01水果!$D427,4)="成品出库"),1,0)</f>
        <v>0</v>
      </c>
      <c r="AE427" s="3">
        <f t="shared" si="120"/>
        <v>0</v>
      </c>
      <c r="AF427" s="3">
        <f>IF(AND($N427=1,AND(LEFT(对接源_01水果!$D427,4)="包装物料",N(对接源_01水果!$K427)&lt;&gt;0)),1,0)</f>
        <v>0</v>
      </c>
      <c r="AG427" s="3">
        <f t="shared" si="121"/>
        <v>0</v>
      </c>
      <c r="AH427" s="3">
        <f>IF(AND($N427=1,AND(对接源_01水果!$D427="周转筐－销售出库",N(对接源_01水果!$K427)&lt;&gt;0)),1,0)</f>
        <v>0</v>
      </c>
      <c r="AI427" s="3">
        <f t="shared" si="122"/>
        <v>0</v>
      </c>
      <c r="AJ427" s="7"/>
      <c r="AL427" s="3">
        <f>IF(OR($AL$1="",对接源_01水果!$Y427="",对接源_01水果!$Y427&lt;&gt;$AL$1,对接源_01水果!$B427="",N(对接源_01水果!$AJ427)&lt;=0),0,IF(OR(N(对接源_01水果!$B427)&lt;$AL$2,N(对接源_01水果!$B427)&gt;$AL$3),0,1))</f>
        <v>0</v>
      </c>
      <c r="AM427" s="3">
        <f t="shared" si="123"/>
        <v>1</v>
      </c>
      <c r="AN427" s="3" t="str">
        <f>IF(对接源_01水果!$AC427="","",对接源_01水果!$AC427)</f>
        <v/>
      </c>
      <c r="AO427" s="3">
        <f t="shared" si="124"/>
        <v>0</v>
      </c>
      <c r="AP427" s="3">
        <f t="shared" si="125"/>
        <v>8</v>
      </c>
      <c r="AR427">
        <f t="shared" si="126"/>
        <v>0</v>
      </c>
      <c r="AS427">
        <f t="shared" si="127"/>
        <v>0</v>
      </c>
    </row>
    <row r="428" ht="14.25" customHeight="1" spans="1:45">
      <c r="A428" s="3" t="str">
        <f>IF(对接源_01水果!$C428="","",对接源_01水果!$C428)</f>
        <v/>
      </c>
      <c r="B428" s="3">
        <f t="shared" si="111"/>
        <v>0</v>
      </c>
      <c r="C428" s="3">
        <f t="shared" si="112"/>
        <v>18</v>
      </c>
      <c r="K428" s="3">
        <f>IF(OR($K$1="",对接源_01水果!$C428="",对接源_01水果!$C428&lt;&gt;$K$1,对接源_01水果!$B428=""),0,IF(OR(N(对接源_01水果!$B428)&lt;$K$2,N(对接源_01水果!$B428)&gt;$K$3),0,1))</f>
        <v>0</v>
      </c>
      <c r="L428" s="3">
        <f>IF(OR($L$1="",对接源_01水果!$C428="",对接源_01水果!$C428&lt;&gt;$L$1,对接源_01水果!$B428=""),0,IF(OR(N(对接源_01水果!$B428)&lt;$L$2,N(对接源_01水果!$B428)&gt;$L$3),0,1))</f>
        <v>0</v>
      </c>
      <c r="M428" s="3">
        <f>IF(OR($M$1="",对接源_01水果!$C428="",对接源_01水果!$C428&lt;&gt;$M$1,对接源_01水果!$B428=""),0,IF(OR(N(对接源_01水果!$B428)&lt;$M$2,N(对接源_01水果!$B428)&gt;$M$3),0,1))</f>
        <v>0</v>
      </c>
      <c r="N428" s="3">
        <f>IF(OR($N$1="",对接源_01水果!$C428="",对接源_01水果!$C428&lt;&gt;$N$1,对接源_01水果!$B428=""),0,IF(OR(N(对接源_01水果!$B428)&lt;$N$2,N(对接源_01水果!$B428)&gt;$N$3),0,1))</f>
        <v>0</v>
      </c>
      <c r="P428" s="3">
        <f>IF(AND($K428=1,AND(对接源_01水果!$X428="公司筐",N(对接源_01水果!$T428)&lt;&gt;0)),1,0)</f>
        <v>0</v>
      </c>
      <c r="Q428" s="3">
        <f t="shared" si="113"/>
        <v>0</v>
      </c>
      <c r="R428" s="3">
        <f>IF(AND($K428=1,AND(对接源_01水果!$X428="公司筐",N(对接源_01水果!$U428)&lt;&gt;0)),1,0)</f>
        <v>0</v>
      </c>
      <c r="S428" s="3">
        <f t="shared" si="114"/>
        <v>0</v>
      </c>
      <c r="T428" s="3">
        <f>IF(AND($K428=1,AND(对接源_01水果!$X428="公司筐",N(对接源_01水果!$V428)&lt;&gt;0)),1,0)</f>
        <v>0</v>
      </c>
      <c r="U428" s="3">
        <f t="shared" si="115"/>
        <v>19</v>
      </c>
      <c r="V428" s="3">
        <f>IF(AND($L428=1,AND(对接源_01水果!$X428="自备筐",N(对接源_01水果!$V428)&lt;&gt;0)),1,0)</f>
        <v>0</v>
      </c>
      <c r="W428" s="3">
        <f t="shared" si="116"/>
        <v>8</v>
      </c>
      <c r="X428" s="3">
        <f>IF(AND($L428=1,AND(对接源_01水果!$X428="自备筐",N(对接源_01水果!$T428)&lt;&gt;0)),1,0)</f>
        <v>0</v>
      </c>
      <c r="Y428" s="3">
        <f t="shared" si="117"/>
        <v>0</v>
      </c>
      <c r="Z428" s="3">
        <f>IF(AND($M428=1,对接源_01水果!$D428="原料入库"),1,0)</f>
        <v>0</v>
      </c>
      <c r="AA428" s="3">
        <f t="shared" si="118"/>
        <v>24</v>
      </c>
      <c r="AB428" s="3">
        <f>IF(AND($M428=1,LEFT(对接源_01水果!$D428,4)="原料出库"),1,0)</f>
        <v>0</v>
      </c>
      <c r="AC428" s="3">
        <f t="shared" si="119"/>
        <v>0</v>
      </c>
      <c r="AD428" s="3">
        <f>IF(AND($M428=1,LEFT(对接源_01水果!$D428,4)="成品出库"),1,0)</f>
        <v>0</v>
      </c>
      <c r="AE428" s="3">
        <f t="shared" si="120"/>
        <v>0</v>
      </c>
      <c r="AF428" s="3">
        <f>IF(AND($N428=1,AND(LEFT(对接源_01水果!$D428,4)="包装物料",N(对接源_01水果!$K428)&lt;&gt;0)),1,0)</f>
        <v>0</v>
      </c>
      <c r="AG428" s="3">
        <f t="shared" si="121"/>
        <v>0</v>
      </c>
      <c r="AH428" s="3">
        <f>IF(AND($N428=1,AND(对接源_01水果!$D428="周转筐－销售出库",N(对接源_01水果!$K428)&lt;&gt;0)),1,0)</f>
        <v>0</v>
      </c>
      <c r="AI428" s="3">
        <f t="shared" si="122"/>
        <v>0</v>
      </c>
      <c r="AJ428" s="7"/>
      <c r="AL428" s="3">
        <f>IF(OR($AL$1="",对接源_01水果!$Y428="",对接源_01水果!$Y428&lt;&gt;$AL$1,对接源_01水果!$B428="",N(对接源_01水果!$AJ428)&lt;=0),0,IF(OR(N(对接源_01水果!$B428)&lt;$AL$2,N(对接源_01水果!$B428)&gt;$AL$3),0,1))</f>
        <v>0</v>
      </c>
      <c r="AM428" s="3">
        <f t="shared" si="123"/>
        <v>1</v>
      </c>
      <c r="AN428" s="3" t="str">
        <f>IF(对接源_01水果!$AC428="","",对接源_01水果!$AC428)</f>
        <v/>
      </c>
      <c r="AO428" s="3">
        <f t="shared" si="124"/>
        <v>0</v>
      </c>
      <c r="AP428" s="3">
        <f t="shared" si="125"/>
        <v>8</v>
      </c>
      <c r="AR428">
        <f t="shared" si="126"/>
        <v>0</v>
      </c>
      <c r="AS428">
        <f t="shared" si="127"/>
        <v>0</v>
      </c>
    </row>
    <row r="429" ht="14.25" customHeight="1" spans="1:45">
      <c r="A429" s="3" t="str">
        <f>IF(对接源_01水果!$C429="","",对接源_01水果!$C429)</f>
        <v/>
      </c>
      <c r="B429" s="3">
        <f t="shared" si="111"/>
        <v>0</v>
      </c>
      <c r="C429" s="3">
        <f t="shared" si="112"/>
        <v>18</v>
      </c>
      <c r="K429" s="3">
        <f>IF(OR($K$1="",对接源_01水果!$C429="",对接源_01水果!$C429&lt;&gt;$K$1,对接源_01水果!$B429=""),0,IF(OR(N(对接源_01水果!$B429)&lt;$K$2,N(对接源_01水果!$B429)&gt;$K$3),0,1))</f>
        <v>0</v>
      </c>
      <c r="L429" s="3">
        <f>IF(OR($L$1="",对接源_01水果!$C429="",对接源_01水果!$C429&lt;&gt;$L$1,对接源_01水果!$B429=""),0,IF(OR(N(对接源_01水果!$B429)&lt;$L$2,N(对接源_01水果!$B429)&gt;$L$3),0,1))</f>
        <v>0</v>
      </c>
      <c r="M429" s="3">
        <f>IF(OR($M$1="",对接源_01水果!$C429="",对接源_01水果!$C429&lt;&gt;$M$1,对接源_01水果!$B429=""),0,IF(OR(N(对接源_01水果!$B429)&lt;$M$2,N(对接源_01水果!$B429)&gt;$M$3),0,1))</f>
        <v>0</v>
      </c>
      <c r="N429" s="3">
        <f>IF(OR($N$1="",对接源_01水果!$C429="",对接源_01水果!$C429&lt;&gt;$N$1,对接源_01水果!$B429=""),0,IF(OR(N(对接源_01水果!$B429)&lt;$N$2,N(对接源_01水果!$B429)&gt;$N$3),0,1))</f>
        <v>0</v>
      </c>
      <c r="P429" s="3">
        <f>IF(AND($K429=1,AND(对接源_01水果!$X429="公司筐",N(对接源_01水果!$T429)&lt;&gt;0)),1,0)</f>
        <v>0</v>
      </c>
      <c r="Q429" s="3">
        <f t="shared" si="113"/>
        <v>0</v>
      </c>
      <c r="R429" s="3">
        <f>IF(AND($K429=1,AND(对接源_01水果!$X429="公司筐",N(对接源_01水果!$U429)&lt;&gt;0)),1,0)</f>
        <v>0</v>
      </c>
      <c r="S429" s="3">
        <f t="shared" si="114"/>
        <v>0</v>
      </c>
      <c r="T429" s="3">
        <f>IF(AND($K429=1,AND(对接源_01水果!$X429="公司筐",N(对接源_01水果!$V429)&lt;&gt;0)),1,0)</f>
        <v>0</v>
      </c>
      <c r="U429" s="3">
        <f t="shared" si="115"/>
        <v>19</v>
      </c>
      <c r="V429" s="3">
        <f>IF(AND($L429=1,AND(对接源_01水果!$X429="自备筐",N(对接源_01水果!$V429)&lt;&gt;0)),1,0)</f>
        <v>0</v>
      </c>
      <c r="W429" s="3">
        <f t="shared" si="116"/>
        <v>8</v>
      </c>
      <c r="X429" s="3">
        <f>IF(AND($L429=1,AND(对接源_01水果!$X429="自备筐",N(对接源_01水果!$T429)&lt;&gt;0)),1,0)</f>
        <v>0</v>
      </c>
      <c r="Y429" s="3">
        <f t="shared" si="117"/>
        <v>0</v>
      </c>
      <c r="Z429" s="3">
        <f>IF(AND($M429=1,对接源_01水果!$D429="原料入库"),1,0)</f>
        <v>0</v>
      </c>
      <c r="AA429" s="3">
        <f t="shared" si="118"/>
        <v>24</v>
      </c>
      <c r="AB429" s="3">
        <f>IF(AND($M429=1,LEFT(对接源_01水果!$D429,4)="原料出库"),1,0)</f>
        <v>0</v>
      </c>
      <c r="AC429" s="3">
        <f t="shared" si="119"/>
        <v>0</v>
      </c>
      <c r="AD429" s="3">
        <f>IF(AND($M429=1,LEFT(对接源_01水果!$D429,4)="成品出库"),1,0)</f>
        <v>0</v>
      </c>
      <c r="AE429" s="3">
        <f t="shared" si="120"/>
        <v>0</v>
      </c>
      <c r="AF429" s="3">
        <f>IF(AND($N429=1,AND(LEFT(对接源_01水果!$D429,4)="包装物料",N(对接源_01水果!$K429)&lt;&gt;0)),1,0)</f>
        <v>0</v>
      </c>
      <c r="AG429" s="3">
        <f t="shared" si="121"/>
        <v>0</v>
      </c>
      <c r="AH429" s="3">
        <f>IF(AND($N429=1,AND(对接源_01水果!$D429="周转筐－销售出库",N(对接源_01水果!$K429)&lt;&gt;0)),1,0)</f>
        <v>0</v>
      </c>
      <c r="AI429" s="3">
        <f t="shared" si="122"/>
        <v>0</v>
      </c>
      <c r="AJ429" s="7"/>
      <c r="AL429" s="3">
        <f>IF(OR($AL$1="",对接源_01水果!$Y429="",对接源_01水果!$Y429&lt;&gt;$AL$1,对接源_01水果!$B429="",N(对接源_01水果!$AJ429)&lt;=0),0,IF(OR(N(对接源_01水果!$B429)&lt;$AL$2,N(对接源_01水果!$B429)&gt;$AL$3),0,1))</f>
        <v>0</v>
      </c>
      <c r="AM429" s="3">
        <f t="shared" si="123"/>
        <v>1</v>
      </c>
      <c r="AN429" s="3" t="str">
        <f>IF(对接源_01水果!$AC429="","",对接源_01水果!$AC429)</f>
        <v/>
      </c>
      <c r="AO429" s="3">
        <f t="shared" si="124"/>
        <v>0</v>
      </c>
      <c r="AP429" s="3">
        <f t="shared" si="125"/>
        <v>8</v>
      </c>
      <c r="AR429">
        <f t="shared" si="126"/>
        <v>0</v>
      </c>
      <c r="AS429">
        <f t="shared" si="127"/>
        <v>0</v>
      </c>
    </row>
    <row r="430" ht="14.25" customHeight="1" spans="1:45">
      <c r="A430" s="3" t="str">
        <f>IF(对接源_01水果!$C430="","",对接源_01水果!$C430)</f>
        <v/>
      </c>
      <c r="B430" s="3">
        <f t="shared" si="111"/>
        <v>0</v>
      </c>
      <c r="C430" s="3">
        <f t="shared" si="112"/>
        <v>18</v>
      </c>
      <c r="K430" s="3">
        <f>IF(OR($K$1="",对接源_01水果!$C430="",对接源_01水果!$C430&lt;&gt;$K$1,对接源_01水果!$B430=""),0,IF(OR(N(对接源_01水果!$B430)&lt;$K$2,N(对接源_01水果!$B430)&gt;$K$3),0,1))</f>
        <v>0</v>
      </c>
      <c r="L430" s="3">
        <f>IF(OR($L$1="",对接源_01水果!$C430="",对接源_01水果!$C430&lt;&gt;$L$1,对接源_01水果!$B430=""),0,IF(OR(N(对接源_01水果!$B430)&lt;$L$2,N(对接源_01水果!$B430)&gt;$L$3),0,1))</f>
        <v>0</v>
      </c>
      <c r="M430" s="3">
        <f>IF(OR($M$1="",对接源_01水果!$C430="",对接源_01水果!$C430&lt;&gt;$M$1,对接源_01水果!$B430=""),0,IF(OR(N(对接源_01水果!$B430)&lt;$M$2,N(对接源_01水果!$B430)&gt;$M$3),0,1))</f>
        <v>0</v>
      </c>
      <c r="N430" s="3">
        <f>IF(OR($N$1="",对接源_01水果!$C430="",对接源_01水果!$C430&lt;&gt;$N$1,对接源_01水果!$B430=""),0,IF(OR(N(对接源_01水果!$B430)&lt;$N$2,N(对接源_01水果!$B430)&gt;$N$3),0,1))</f>
        <v>0</v>
      </c>
      <c r="P430" s="3">
        <f>IF(AND($K430=1,AND(对接源_01水果!$X430="公司筐",N(对接源_01水果!$T430)&lt;&gt;0)),1,0)</f>
        <v>0</v>
      </c>
      <c r="Q430" s="3">
        <f t="shared" si="113"/>
        <v>0</v>
      </c>
      <c r="R430" s="3">
        <f>IF(AND($K430=1,AND(对接源_01水果!$X430="公司筐",N(对接源_01水果!$U430)&lt;&gt;0)),1,0)</f>
        <v>0</v>
      </c>
      <c r="S430" s="3">
        <f t="shared" si="114"/>
        <v>0</v>
      </c>
      <c r="T430" s="3">
        <f>IF(AND($K430=1,AND(对接源_01水果!$X430="公司筐",N(对接源_01水果!$V430)&lt;&gt;0)),1,0)</f>
        <v>0</v>
      </c>
      <c r="U430" s="3">
        <f t="shared" si="115"/>
        <v>19</v>
      </c>
      <c r="V430" s="3">
        <f>IF(AND($L430=1,AND(对接源_01水果!$X430="自备筐",N(对接源_01水果!$V430)&lt;&gt;0)),1,0)</f>
        <v>0</v>
      </c>
      <c r="W430" s="3">
        <f t="shared" si="116"/>
        <v>8</v>
      </c>
      <c r="X430" s="3">
        <f>IF(AND($L430=1,AND(对接源_01水果!$X430="自备筐",N(对接源_01水果!$T430)&lt;&gt;0)),1,0)</f>
        <v>0</v>
      </c>
      <c r="Y430" s="3">
        <f t="shared" si="117"/>
        <v>0</v>
      </c>
      <c r="Z430" s="3">
        <f>IF(AND($M430=1,对接源_01水果!$D430="原料入库"),1,0)</f>
        <v>0</v>
      </c>
      <c r="AA430" s="3">
        <f t="shared" si="118"/>
        <v>24</v>
      </c>
      <c r="AB430" s="3">
        <f>IF(AND($M430=1,LEFT(对接源_01水果!$D430,4)="原料出库"),1,0)</f>
        <v>0</v>
      </c>
      <c r="AC430" s="3">
        <f t="shared" si="119"/>
        <v>0</v>
      </c>
      <c r="AD430" s="3">
        <f>IF(AND($M430=1,LEFT(对接源_01水果!$D430,4)="成品出库"),1,0)</f>
        <v>0</v>
      </c>
      <c r="AE430" s="3">
        <f t="shared" si="120"/>
        <v>0</v>
      </c>
      <c r="AF430" s="3">
        <f>IF(AND($N430=1,AND(LEFT(对接源_01水果!$D430,4)="包装物料",N(对接源_01水果!$K430)&lt;&gt;0)),1,0)</f>
        <v>0</v>
      </c>
      <c r="AG430" s="3">
        <f t="shared" si="121"/>
        <v>0</v>
      </c>
      <c r="AH430" s="3">
        <f>IF(AND($N430=1,AND(对接源_01水果!$D430="周转筐－销售出库",N(对接源_01水果!$K430)&lt;&gt;0)),1,0)</f>
        <v>0</v>
      </c>
      <c r="AI430" s="3">
        <f t="shared" si="122"/>
        <v>0</v>
      </c>
      <c r="AJ430" s="7"/>
      <c r="AL430" s="3">
        <f>IF(OR($AL$1="",对接源_01水果!$Y430="",对接源_01水果!$Y430&lt;&gt;$AL$1,对接源_01水果!$B430="",N(对接源_01水果!$AJ430)&lt;=0),0,IF(OR(N(对接源_01水果!$B430)&lt;$AL$2,N(对接源_01水果!$B430)&gt;$AL$3),0,1))</f>
        <v>0</v>
      </c>
      <c r="AM430" s="3">
        <f t="shared" si="123"/>
        <v>1</v>
      </c>
      <c r="AN430" s="3" t="str">
        <f>IF(对接源_01水果!$AC430="","",对接源_01水果!$AC430)</f>
        <v/>
      </c>
      <c r="AO430" s="3">
        <f t="shared" si="124"/>
        <v>0</v>
      </c>
      <c r="AP430" s="3">
        <f t="shared" si="125"/>
        <v>8</v>
      </c>
      <c r="AR430">
        <f t="shared" si="126"/>
        <v>0</v>
      </c>
      <c r="AS430">
        <f t="shared" si="127"/>
        <v>0</v>
      </c>
    </row>
    <row r="431" ht="14.25" customHeight="1" spans="1:45">
      <c r="A431" s="3" t="str">
        <f>IF(对接源_01水果!$C431="","",对接源_01水果!$C431)</f>
        <v/>
      </c>
      <c r="B431" s="3">
        <f t="shared" si="111"/>
        <v>0</v>
      </c>
      <c r="C431" s="3">
        <f t="shared" si="112"/>
        <v>18</v>
      </c>
      <c r="K431" s="3">
        <f>IF(OR($K$1="",对接源_01水果!$C431="",对接源_01水果!$C431&lt;&gt;$K$1,对接源_01水果!$B431=""),0,IF(OR(N(对接源_01水果!$B431)&lt;$K$2,N(对接源_01水果!$B431)&gt;$K$3),0,1))</f>
        <v>0</v>
      </c>
      <c r="L431" s="3">
        <f>IF(OR($L$1="",对接源_01水果!$C431="",对接源_01水果!$C431&lt;&gt;$L$1,对接源_01水果!$B431=""),0,IF(OR(N(对接源_01水果!$B431)&lt;$L$2,N(对接源_01水果!$B431)&gt;$L$3),0,1))</f>
        <v>0</v>
      </c>
      <c r="M431" s="3">
        <f>IF(OR($M$1="",对接源_01水果!$C431="",对接源_01水果!$C431&lt;&gt;$M$1,对接源_01水果!$B431=""),0,IF(OR(N(对接源_01水果!$B431)&lt;$M$2,N(对接源_01水果!$B431)&gt;$M$3),0,1))</f>
        <v>0</v>
      </c>
      <c r="N431" s="3">
        <f>IF(OR($N$1="",对接源_01水果!$C431="",对接源_01水果!$C431&lt;&gt;$N$1,对接源_01水果!$B431=""),0,IF(OR(N(对接源_01水果!$B431)&lt;$N$2,N(对接源_01水果!$B431)&gt;$N$3),0,1))</f>
        <v>0</v>
      </c>
      <c r="P431" s="3">
        <f>IF(AND($K431=1,AND(对接源_01水果!$X431="公司筐",N(对接源_01水果!$T431)&lt;&gt;0)),1,0)</f>
        <v>0</v>
      </c>
      <c r="Q431" s="3">
        <f t="shared" si="113"/>
        <v>0</v>
      </c>
      <c r="R431" s="3">
        <f>IF(AND($K431=1,AND(对接源_01水果!$X431="公司筐",N(对接源_01水果!$U431)&lt;&gt;0)),1,0)</f>
        <v>0</v>
      </c>
      <c r="S431" s="3">
        <f t="shared" si="114"/>
        <v>0</v>
      </c>
      <c r="T431" s="3">
        <f>IF(AND($K431=1,AND(对接源_01水果!$X431="公司筐",N(对接源_01水果!$V431)&lt;&gt;0)),1,0)</f>
        <v>0</v>
      </c>
      <c r="U431" s="3">
        <f t="shared" si="115"/>
        <v>19</v>
      </c>
      <c r="V431" s="3">
        <f>IF(AND($L431=1,AND(对接源_01水果!$X431="自备筐",N(对接源_01水果!$V431)&lt;&gt;0)),1,0)</f>
        <v>0</v>
      </c>
      <c r="W431" s="3">
        <f t="shared" si="116"/>
        <v>8</v>
      </c>
      <c r="X431" s="3">
        <f>IF(AND($L431=1,AND(对接源_01水果!$X431="自备筐",N(对接源_01水果!$T431)&lt;&gt;0)),1,0)</f>
        <v>0</v>
      </c>
      <c r="Y431" s="3">
        <f t="shared" si="117"/>
        <v>0</v>
      </c>
      <c r="Z431" s="3">
        <f>IF(AND($M431=1,对接源_01水果!$D431="原料入库"),1,0)</f>
        <v>0</v>
      </c>
      <c r="AA431" s="3">
        <f t="shared" si="118"/>
        <v>24</v>
      </c>
      <c r="AB431" s="3">
        <f>IF(AND($M431=1,LEFT(对接源_01水果!$D431,4)="原料出库"),1,0)</f>
        <v>0</v>
      </c>
      <c r="AC431" s="3">
        <f t="shared" si="119"/>
        <v>0</v>
      </c>
      <c r="AD431" s="3">
        <f>IF(AND($M431=1,LEFT(对接源_01水果!$D431,4)="成品出库"),1,0)</f>
        <v>0</v>
      </c>
      <c r="AE431" s="3">
        <f t="shared" si="120"/>
        <v>0</v>
      </c>
      <c r="AF431" s="3">
        <f>IF(AND($N431=1,AND(LEFT(对接源_01水果!$D431,4)="包装物料",N(对接源_01水果!$K431)&lt;&gt;0)),1,0)</f>
        <v>0</v>
      </c>
      <c r="AG431" s="3">
        <f t="shared" si="121"/>
        <v>0</v>
      </c>
      <c r="AH431" s="3">
        <f>IF(AND($N431=1,AND(对接源_01水果!$D431="周转筐－销售出库",N(对接源_01水果!$K431)&lt;&gt;0)),1,0)</f>
        <v>0</v>
      </c>
      <c r="AI431" s="3">
        <f t="shared" si="122"/>
        <v>0</v>
      </c>
      <c r="AJ431" s="7"/>
      <c r="AL431" s="3">
        <f>IF(OR($AL$1="",对接源_01水果!$Y431="",对接源_01水果!$Y431&lt;&gt;$AL$1,对接源_01水果!$B431="",N(对接源_01水果!$AJ431)&lt;=0),0,IF(OR(N(对接源_01水果!$B431)&lt;$AL$2,N(对接源_01水果!$B431)&gt;$AL$3),0,1))</f>
        <v>0</v>
      </c>
      <c r="AM431" s="3">
        <f t="shared" si="123"/>
        <v>1</v>
      </c>
      <c r="AN431" s="3" t="str">
        <f>IF(对接源_01水果!$AC431="","",对接源_01水果!$AC431)</f>
        <v/>
      </c>
      <c r="AO431" s="3">
        <f t="shared" si="124"/>
        <v>0</v>
      </c>
      <c r="AP431" s="3">
        <f t="shared" si="125"/>
        <v>8</v>
      </c>
      <c r="AR431">
        <f t="shared" si="126"/>
        <v>0</v>
      </c>
      <c r="AS431">
        <f t="shared" si="127"/>
        <v>0</v>
      </c>
    </row>
    <row r="432" ht="14.25" customHeight="1" spans="1:45">
      <c r="A432" s="3" t="str">
        <f>IF(对接源_01水果!$C432="","",对接源_01水果!$C432)</f>
        <v/>
      </c>
      <c r="B432" s="3">
        <f t="shared" si="111"/>
        <v>0</v>
      </c>
      <c r="C432" s="3">
        <f t="shared" si="112"/>
        <v>18</v>
      </c>
      <c r="K432" s="3">
        <f>IF(OR($K$1="",对接源_01水果!$C432="",对接源_01水果!$C432&lt;&gt;$K$1,对接源_01水果!$B432=""),0,IF(OR(N(对接源_01水果!$B432)&lt;$K$2,N(对接源_01水果!$B432)&gt;$K$3),0,1))</f>
        <v>0</v>
      </c>
      <c r="L432" s="3">
        <f>IF(OR($L$1="",对接源_01水果!$C432="",对接源_01水果!$C432&lt;&gt;$L$1,对接源_01水果!$B432=""),0,IF(OR(N(对接源_01水果!$B432)&lt;$L$2,N(对接源_01水果!$B432)&gt;$L$3),0,1))</f>
        <v>0</v>
      </c>
      <c r="M432" s="3">
        <f>IF(OR($M$1="",对接源_01水果!$C432="",对接源_01水果!$C432&lt;&gt;$M$1,对接源_01水果!$B432=""),0,IF(OR(N(对接源_01水果!$B432)&lt;$M$2,N(对接源_01水果!$B432)&gt;$M$3),0,1))</f>
        <v>0</v>
      </c>
      <c r="N432" s="3">
        <f>IF(OR($N$1="",对接源_01水果!$C432="",对接源_01水果!$C432&lt;&gt;$N$1,对接源_01水果!$B432=""),0,IF(OR(N(对接源_01水果!$B432)&lt;$N$2,N(对接源_01水果!$B432)&gt;$N$3),0,1))</f>
        <v>0</v>
      </c>
      <c r="P432" s="3">
        <f>IF(AND($K432=1,AND(对接源_01水果!$X432="公司筐",N(对接源_01水果!$T432)&lt;&gt;0)),1,0)</f>
        <v>0</v>
      </c>
      <c r="Q432" s="3">
        <f t="shared" si="113"/>
        <v>0</v>
      </c>
      <c r="R432" s="3">
        <f>IF(AND($K432=1,AND(对接源_01水果!$X432="公司筐",N(对接源_01水果!$U432)&lt;&gt;0)),1,0)</f>
        <v>0</v>
      </c>
      <c r="S432" s="3">
        <f t="shared" si="114"/>
        <v>0</v>
      </c>
      <c r="T432" s="3">
        <f>IF(AND($K432=1,AND(对接源_01水果!$X432="公司筐",N(对接源_01水果!$V432)&lt;&gt;0)),1,0)</f>
        <v>0</v>
      </c>
      <c r="U432" s="3">
        <f t="shared" si="115"/>
        <v>19</v>
      </c>
      <c r="V432" s="3">
        <f>IF(AND($L432=1,AND(对接源_01水果!$X432="自备筐",N(对接源_01水果!$V432)&lt;&gt;0)),1,0)</f>
        <v>0</v>
      </c>
      <c r="W432" s="3">
        <f t="shared" si="116"/>
        <v>8</v>
      </c>
      <c r="X432" s="3">
        <f>IF(AND($L432=1,AND(对接源_01水果!$X432="自备筐",N(对接源_01水果!$T432)&lt;&gt;0)),1,0)</f>
        <v>0</v>
      </c>
      <c r="Y432" s="3">
        <f t="shared" si="117"/>
        <v>0</v>
      </c>
      <c r="Z432" s="3">
        <f>IF(AND($M432=1,对接源_01水果!$D432="原料入库"),1,0)</f>
        <v>0</v>
      </c>
      <c r="AA432" s="3">
        <f t="shared" si="118"/>
        <v>24</v>
      </c>
      <c r="AB432" s="3">
        <f>IF(AND($M432=1,LEFT(对接源_01水果!$D432,4)="原料出库"),1,0)</f>
        <v>0</v>
      </c>
      <c r="AC432" s="3">
        <f t="shared" si="119"/>
        <v>0</v>
      </c>
      <c r="AD432" s="3">
        <f>IF(AND($M432=1,LEFT(对接源_01水果!$D432,4)="成品出库"),1,0)</f>
        <v>0</v>
      </c>
      <c r="AE432" s="3">
        <f t="shared" si="120"/>
        <v>0</v>
      </c>
      <c r="AF432" s="3">
        <f>IF(AND($N432=1,AND(LEFT(对接源_01水果!$D432,4)="包装物料",N(对接源_01水果!$K432)&lt;&gt;0)),1,0)</f>
        <v>0</v>
      </c>
      <c r="AG432" s="3">
        <f t="shared" si="121"/>
        <v>0</v>
      </c>
      <c r="AH432" s="3">
        <f>IF(AND($N432=1,AND(对接源_01水果!$D432="周转筐－销售出库",N(对接源_01水果!$K432)&lt;&gt;0)),1,0)</f>
        <v>0</v>
      </c>
      <c r="AI432" s="3">
        <f t="shared" si="122"/>
        <v>0</v>
      </c>
      <c r="AJ432" s="7"/>
      <c r="AL432" s="3">
        <f>IF(OR($AL$1="",对接源_01水果!$Y432="",对接源_01水果!$Y432&lt;&gt;$AL$1,对接源_01水果!$B432="",N(对接源_01水果!$AJ432)&lt;=0),0,IF(OR(N(对接源_01水果!$B432)&lt;$AL$2,N(对接源_01水果!$B432)&gt;$AL$3),0,1))</f>
        <v>0</v>
      </c>
      <c r="AM432" s="3">
        <f t="shared" si="123"/>
        <v>1</v>
      </c>
      <c r="AN432" s="3" t="str">
        <f>IF(对接源_01水果!$AC432="","",对接源_01水果!$AC432)</f>
        <v/>
      </c>
      <c r="AO432" s="3">
        <f t="shared" si="124"/>
        <v>0</v>
      </c>
      <c r="AP432" s="3">
        <f t="shared" si="125"/>
        <v>8</v>
      </c>
      <c r="AR432">
        <f t="shared" si="126"/>
        <v>0</v>
      </c>
      <c r="AS432">
        <f t="shared" si="127"/>
        <v>0</v>
      </c>
    </row>
    <row r="433" ht="14.25" customHeight="1" spans="1:45">
      <c r="A433" s="3" t="str">
        <f>IF(对接源_01水果!$C433="","",对接源_01水果!$C433)</f>
        <v/>
      </c>
      <c r="B433" s="3">
        <f t="shared" si="111"/>
        <v>0</v>
      </c>
      <c r="C433" s="3">
        <f t="shared" si="112"/>
        <v>18</v>
      </c>
      <c r="K433" s="3">
        <f>IF(OR($K$1="",对接源_01水果!$C433="",对接源_01水果!$C433&lt;&gt;$K$1,对接源_01水果!$B433=""),0,IF(OR(N(对接源_01水果!$B433)&lt;$K$2,N(对接源_01水果!$B433)&gt;$K$3),0,1))</f>
        <v>0</v>
      </c>
      <c r="L433" s="3">
        <f>IF(OR($L$1="",对接源_01水果!$C433="",对接源_01水果!$C433&lt;&gt;$L$1,对接源_01水果!$B433=""),0,IF(OR(N(对接源_01水果!$B433)&lt;$L$2,N(对接源_01水果!$B433)&gt;$L$3),0,1))</f>
        <v>0</v>
      </c>
      <c r="M433" s="3">
        <f>IF(OR($M$1="",对接源_01水果!$C433="",对接源_01水果!$C433&lt;&gt;$M$1,对接源_01水果!$B433=""),0,IF(OR(N(对接源_01水果!$B433)&lt;$M$2,N(对接源_01水果!$B433)&gt;$M$3),0,1))</f>
        <v>0</v>
      </c>
      <c r="N433" s="3">
        <f>IF(OR($N$1="",对接源_01水果!$C433="",对接源_01水果!$C433&lt;&gt;$N$1,对接源_01水果!$B433=""),0,IF(OR(N(对接源_01水果!$B433)&lt;$N$2,N(对接源_01水果!$B433)&gt;$N$3),0,1))</f>
        <v>0</v>
      </c>
      <c r="P433" s="3">
        <f>IF(AND($K433=1,AND(对接源_01水果!$X433="公司筐",N(对接源_01水果!$T433)&lt;&gt;0)),1,0)</f>
        <v>0</v>
      </c>
      <c r="Q433" s="3">
        <f t="shared" si="113"/>
        <v>0</v>
      </c>
      <c r="R433" s="3">
        <f>IF(AND($K433=1,AND(对接源_01水果!$X433="公司筐",N(对接源_01水果!$U433)&lt;&gt;0)),1,0)</f>
        <v>0</v>
      </c>
      <c r="S433" s="3">
        <f t="shared" si="114"/>
        <v>0</v>
      </c>
      <c r="T433" s="3">
        <f>IF(AND($K433=1,AND(对接源_01水果!$X433="公司筐",N(对接源_01水果!$V433)&lt;&gt;0)),1,0)</f>
        <v>0</v>
      </c>
      <c r="U433" s="3">
        <f t="shared" si="115"/>
        <v>19</v>
      </c>
      <c r="V433" s="3">
        <f>IF(AND($L433=1,AND(对接源_01水果!$X433="自备筐",N(对接源_01水果!$V433)&lt;&gt;0)),1,0)</f>
        <v>0</v>
      </c>
      <c r="W433" s="3">
        <f t="shared" si="116"/>
        <v>8</v>
      </c>
      <c r="X433" s="3">
        <f>IF(AND($L433=1,AND(对接源_01水果!$X433="自备筐",N(对接源_01水果!$T433)&lt;&gt;0)),1,0)</f>
        <v>0</v>
      </c>
      <c r="Y433" s="3">
        <f t="shared" si="117"/>
        <v>0</v>
      </c>
      <c r="Z433" s="3">
        <f>IF(AND($M433=1,对接源_01水果!$D433="原料入库"),1,0)</f>
        <v>0</v>
      </c>
      <c r="AA433" s="3">
        <f t="shared" si="118"/>
        <v>24</v>
      </c>
      <c r="AB433" s="3">
        <f>IF(AND($M433=1,LEFT(对接源_01水果!$D433,4)="原料出库"),1,0)</f>
        <v>0</v>
      </c>
      <c r="AC433" s="3">
        <f t="shared" si="119"/>
        <v>0</v>
      </c>
      <c r="AD433" s="3">
        <f>IF(AND($M433=1,LEFT(对接源_01水果!$D433,4)="成品出库"),1,0)</f>
        <v>0</v>
      </c>
      <c r="AE433" s="3">
        <f t="shared" si="120"/>
        <v>0</v>
      </c>
      <c r="AF433" s="3">
        <f>IF(AND($N433=1,AND(LEFT(对接源_01水果!$D433,4)="包装物料",N(对接源_01水果!$K433)&lt;&gt;0)),1,0)</f>
        <v>0</v>
      </c>
      <c r="AG433" s="3">
        <f t="shared" si="121"/>
        <v>0</v>
      </c>
      <c r="AH433" s="3">
        <f>IF(AND($N433=1,AND(对接源_01水果!$D433="周转筐－销售出库",N(对接源_01水果!$K433)&lt;&gt;0)),1,0)</f>
        <v>0</v>
      </c>
      <c r="AI433" s="3">
        <f t="shared" si="122"/>
        <v>0</v>
      </c>
      <c r="AJ433" s="7"/>
      <c r="AL433" s="3">
        <f>IF(OR($AL$1="",对接源_01水果!$Y433="",对接源_01水果!$Y433&lt;&gt;$AL$1,对接源_01水果!$B433="",N(对接源_01水果!$AJ433)&lt;=0),0,IF(OR(N(对接源_01水果!$B433)&lt;$AL$2,N(对接源_01水果!$B433)&gt;$AL$3),0,1))</f>
        <v>0</v>
      </c>
      <c r="AM433" s="3">
        <f t="shared" si="123"/>
        <v>1</v>
      </c>
      <c r="AN433" s="3" t="str">
        <f>IF(对接源_01水果!$AC433="","",对接源_01水果!$AC433)</f>
        <v/>
      </c>
      <c r="AO433" s="3">
        <f t="shared" si="124"/>
        <v>0</v>
      </c>
      <c r="AP433" s="3">
        <f t="shared" si="125"/>
        <v>8</v>
      </c>
      <c r="AR433">
        <f t="shared" si="126"/>
        <v>0</v>
      </c>
      <c r="AS433">
        <f t="shared" si="127"/>
        <v>0</v>
      </c>
    </row>
    <row r="434" ht="14.25" customHeight="1" spans="1:45">
      <c r="A434" s="3" t="str">
        <f>IF(对接源_01水果!$C434="","",对接源_01水果!$C434)</f>
        <v/>
      </c>
      <c r="B434" s="3">
        <f t="shared" si="111"/>
        <v>0</v>
      </c>
      <c r="C434" s="3">
        <f t="shared" si="112"/>
        <v>18</v>
      </c>
      <c r="K434" s="3">
        <f>IF(OR($K$1="",对接源_01水果!$C434="",对接源_01水果!$C434&lt;&gt;$K$1,对接源_01水果!$B434=""),0,IF(OR(N(对接源_01水果!$B434)&lt;$K$2,N(对接源_01水果!$B434)&gt;$K$3),0,1))</f>
        <v>0</v>
      </c>
      <c r="L434" s="3">
        <f>IF(OR($L$1="",对接源_01水果!$C434="",对接源_01水果!$C434&lt;&gt;$L$1,对接源_01水果!$B434=""),0,IF(OR(N(对接源_01水果!$B434)&lt;$L$2,N(对接源_01水果!$B434)&gt;$L$3),0,1))</f>
        <v>0</v>
      </c>
      <c r="M434" s="3">
        <f>IF(OR($M$1="",对接源_01水果!$C434="",对接源_01水果!$C434&lt;&gt;$M$1,对接源_01水果!$B434=""),0,IF(OR(N(对接源_01水果!$B434)&lt;$M$2,N(对接源_01水果!$B434)&gt;$M$3),0,1))</f>
        <v>0</v>
      </c>
      <c r="N434" s="3">
        <f>IF(OR($N$1="",对接源_01水果!$C434="",对接源_01水果!$C434&lt;&gt;$N$1,对接源_01水果!$B434=""),0,IF(OR(N(对接源_01水果!$B434)&lt;$N$2,N(对接源_01水果!$B434)&gt;$N$3),0,1))</f>
        <v>0</v>
      </c>
      <c r="P434" s="3">
        <f>IF(AND($K434=1,AND(对接源_01水果!$X434="公司筐",N(对接源_01水果!$T434)&lt;&gt;0)),1,0)</f>
        <v>0</v>
      </c>
      <c r="Q434" s="3">
        <f t="shared" si="113"/>
        <v>0</v>
      </c>
      <c r="R434" s="3">
        <f>IF(AND($K434=1,AND(对接源_01水果!$X434="公司筐",N(对接源_01水果!$U434)&lt;&gt;0)),1,0)</f>
        <v>0</v>
      </c>
      <c r="S434" s="3">
        <f t="shared" si="114"/>
        <v>0</v>
      </c>
      <c r="T434" s="3">
        <f>IF(AND($K434=1,AND(对接源_01水果!$X434="公司筐",N(对接源_01水果!$V434)&lt;&gt;0)),1,0)</f>
        <v>0</v>
      </c>
      <c r="U434" s="3">
        <f t="shared" si="115"/>
        <v>19</v>
      </c>
      <c r="V434" s="3">
        <f>IF(AND($L434=1,AND(对接源_01水果!$X434="自备筐",N(对接源_01水果!$V434)&lt;&gt;0)),1,0)</f>
        <v>0</v>
      </c>
      <c r="W434" s="3">
        <f t="shared" si="116"/>
        <v>8</v>
      </c>
      <c r="X434" s="3">
        <f>IF(AND($L434=1,AND(对接源_01水果!$X434="自备筐",N(对接源_01水果!$T434)&lt;&gt;0)),1,0)</f>
        <v>0</v>
      </c>
      <c r="Y434" s="3">
        <f t="shared" si="117"/>
        <v>0</v>
      </c>
      <c r="Z434" s="3">
        <f>IF(AND($M434=1,对接源_01水果!$D434="原料入库"),1,0)</f>
        <v>0</v>
      </c>
      <c r="AA434" s="3">
        <f t="shared" si="118"/>
        <v>24</v>
      </c>
      <c r="AB434" s="3">
        <f>IF(AND($M434=1,LEFT(对接源_01水果!$D434,4)="原料出库"),1,0)</f>
        <v>0</v>
      </c>
      <c r="AC434" s="3">
        <f t="shared" si="119"/>
        <v>0</v>
      </c>
      <c r="AD434" s="3">
        <f>IF(AND($M434=1,LEFT(对接源_01水果!$D434,4)="成品出库"),1,0)</f>
        <v>0</v>
      </c>
      <c r="AE434" s="3">
        <f t="shared" si="120"/>
        <v>0</v>
      </c>
      <c r="AF434" s="3">
        <f>IF(AND($N434=1,AND(LEFT(对接源_01水果!$D434,4)="包装物料",N(对接源_01水果!$K434)&lt;&gt;0)),1,0)</f>
        <v>0</v>
      </c>
      <c r="AG434" s="3">
        <f t="shared" si="121"/>
        <v>0</v>
      </c>
      <c r="AH434" s="3">
        <f>IF(AND($N434=1,AND(对接源_01水果!$D434="周转筐－销售出库",N(对接源_01水果!$K434)&lt;&gt;0)),1,0)</f>
        <v>0</v>
      </c>
      <c r="AI434" s="3">
        <f t="shared" si="122"/>
        <v>0</v>
      </c>
      <c r="AJ434" s="7"/>
      <c r="AL434" s="3">
        <f>IF(OR($AL$1="",对接源_01水果!$Y434="",对接源_01水果!$Y434&lt;&gt;$AL$1,对接源_01水果!$B434="",N(对接源_01水果!$AJ434)&lt;=0),0,IF(OR(N(对接源_01水果!$B434)&lt;$AL$2,N(对接源_01水果!$B434)&gt;$AL$3),0,1))</f>
        <v>0</v>
      </c>
      <c r="AM434" s="3">
        <f t="shared" si="123"/>
        <v>1</v>
      </c>
      <c r="AN434" s="3" t="str">
        <f>IF(对接源_01水果!$AC434="","",对接源_01水果!$AC434)</f>
        <v/>
      </c>
      <c r="AO434" s="3">
        <f t="shared" si="124"/>
        <v>0</v>
      </c>
      <c r="AP434" s="3">
        <f t="shared" si="125"/>
        <v>8</v>
      </c>
      <c r="AR434">
        <f t="shared" si="126"/>
        <v>0</v>
      </c>
      <c r="AS434">
        <f t="shared" si="127"/>
        <v>0</v>
      </c>
    </row>
    <row r="435" ht="14.25" customHeight="1" spans="1:45">
      <c r="A435" s="3" t="str">
        <f>IF(对接源_01水果!$C435="","",对接源_01水果!$C435)</f>
        <v/>
      </c>
      <c r="B435" s="3">
        <f t="shared" si="111"/>
        <v>0</v>
      </c>
      <c r="C435" s="3">
        <f t="shared" si="112"/>
        <v>18</v>
      </c>
      <c r="K435" s="3">
        <f>IF(OR($K$1="",对接源_01水果!$C435="",对接源_01水果!$C435&lt;&gt;$K$1,对接源_01水果!$B435=""),0,IF(OR(N(对接源_01水果!$B435)&lt;$K$2,N(对接源_01水果!$B435)&gt;$K$3),0,1))</f>
        <v>0</v>
      </c>
      <c r="L435" s="3">
        <f>IF(OR($L$1="",对接源_01水果!$C435="",对接源_01水果!$C435&lt;&gt;$L$1,对接源_01水果!$B435=""),0,IF(OR(N(对接源_01水果!$B435)&lt;$L$2,N(对接源_01水果!$B435)&gt;$L$3),0,1))</f>
        <v>0</v>
      </c>
      <c r="M435" s="3">
        <f>IF(OR($M$1="",对接源_01水果!$C435="",对接源_01水果!$C435&lt;&gt;$M$1,对接源_01水果!$B435=""),0,IF(OR(N(对接源_01水果!$B435)&lt;$M$2,N(对接源_01水果!$B435)&gt;$M$3),0,1))</f>
        <v>0</v>
      </c>
      <c r="N435" s="3">
        <f>IF(OR($N$1="",对接源_01水果!$C435="",对接源_01水果!$C435&lt;&gt;$N$1,对接源_01水果!$B435=""),0,IF(OR(N(对接源_01水果!$B435)&lt;$N$2,N(对接源_01水果!$B435)&gt;$N$3),0,1))</f>
        <v>0</v>
      </c>
      <c r="P435" s="3">
        <f>IF(AND($K435=1,AND(对接源_01水果!$X435="公司筐",N(对接源_01水果!$T435)&lt;&gt;0)),1,0)</f>
        <v>0</v>
      </c>
      <c r="Q435" s="3">
        <f t="shared" si="113"/>
        <v>0</v>
      </c>
      <c r="R435" s="3">
        <f>IF(AND($K435=1,AND(对接源_01水果!$X435="公司筐",N(对接源_01水果!$U435)&lt;&gt;0)),1,0)</f>
        <v>0</v>
      </c>
      <c r="S435" s="3">
        <f t="shared" si="114"/>
        <v>0</v>
      </c>
      <c r="T435" s="3">
        <f>IF(AND($K435=1,AND(对接源_01水果!$X435="公司筐",N(对接源_01水果!$V435)&lt;&gt;0)),1,0)</f>
        <v>0</v>
      </c>
      <c r="U435" s="3">
        <f t="shared" si="115"/>
        <v>19</v>
      </c>
      <c r="V435" s="3">
        <f>IF(AND($L435=1,AND(对接源_01水果!$X435="自备筐",N(对接源_01水果!$V435)&lt;&gt;0)),1,0)</f>
        <v>0</v>
      </c>
      <c r="W435" s="3">
        <f t="shared" si="116"/>
        <v>8</v>
      </c>
      <c r="X435" s="3">
        <f>IF(AND($L435=1,AND(对接源_01水果!$X435="自备筐",N(对接源_01水果!$T435)&lt;&gt;0)),1,0)</f>
        <v>0</v>
      </c>
      <c r="Y435" s="3">
        <f t="shared" si="117"/>
        <v>0</v>
      </c>
      <c r="Z435" s="3">
        <f>IF(AND($M435=1,对接源_01水果!$D435="原料入库"),1,0)</f>
        <v>0</v>
      </c>
      <c r="AA435" s="3">
        <f t="shared" si="118"/>
        <v>24</v>
      </c>
      <c r="AB435" s="3">
        <f>IF(AND($M435=1,LEFT(对接源_01水果!$D435,4)="原料出库"),1,0)</f>
        <v>0</v>
      </c>
      <c r="AC435" s="3">
        <f t="shared" si="119"/>
        <v>0</v>
      </c>
      <c r="AD435" s="3">
        <f>IF(AND($M435=1,LEFT(对接源_01水果!$D435,4)="成品出库"),1,0)</f>
        <v>0</v>
      </c>
      <c r="AE435" s="3">
        <f t="shared" si="120"/>
        <v>0</v>
      </c>
      <c r="AF435" s="3">
        <f>IF(AND($N435=1,AND(LEFT(对接源_01水果!$D435,4)="包装物料",N(对接源_01水果!$K435)&lt;&gt;0)),1,0)</f>
        <v>0</v>
      </c>
      <c r="AG435" s="3">
        <f t="shared" si="121"/>
        <v>0</v>
      </c>
      <c r="AH435" s="3">
        <f>IF(AND($N435=1,AND(对接源_01水果!$D435="周转筐－销售出库",N(对接源_01水果!$K435)&lt;&gt;0)),1,0)</f>
        <v>0</v>
      </c>
      <c r="AI435" s="3">
        <f t="shared" si="122"/>
        <v>0</v>
      </c>
      <c r="AJ435" s="7"/>
      <c r="AL435" s="3">
        <f>IF(OR($AL$1="",对接源_01水果!$Y435="",对接源_01水果!$Y435&lt;&gt;$AL$1,对接源_01水果!$B435="",N(对接源_01水果!$AJ435)&lt;=0),0,IF(OR(N(对接源_01水果!$B435)&lt;$AL$2,N(对接源_01水果!$B435)&gt;$AL$3),0,1))</f>
        <v>0</v>
      </c>
      <c r="AM435" s="3">
        <f t="shared" si="123"/>
        <v>1</v>
      </c>
      <c r="AN435" s="3" t="str">
        <f>IF(对接源_01水果!$AC435="","",对接源_01水果!$AC435)</f>
        <v/>
      </c>
      <c r="AO435" s="3">
        <f t="shared" si="124"/>
        <v>0</v>
      </c>
      <c r="AP435" s="3">
        <f t="shared" si="125"/>
        <v>8</v>
      </c>
      <c r="AR435">
        <f t="shared" si="126"/>
        <v>0</v>
      </c>
      <c r="AS435">
        <f t="shared" si="127"/>
        <v>0</v>
      </c>
    </row>
    <row r="436" ht="14.25" customHeight="1" spans="1:45">
      <c r="A436" s="3" t="str">
        <f>IF(对接源_01水果!$C436="","",对接源_01水果!$C436)</f>
        <v/>
      </c>
      <c r="B436" s="3">
        <f t="shared" si="111"/>
        <v>0</v>
      </c>
      <c r="C436" s="3">
        <f t="shared" si="112"/>
        <v>18</v>
      </c>
      <c r="K436" s="3">
        <f>IF(OR($K$1="",对接源_01水果!$C436="",对接源_01水果!$C436&lt;&gt;$K$1,对接源_01水果!$B436=""),0,IF(OR(N(对接源_01水果!$B436)&lt;$K$2,N(对接源_01水果!$B436)&gt;$K$3),0,1))</f>
        <v>0</v>
      </c>
      <c r="L436" s="3">
        <f>IF(OR($L$1="",对接源_01水果!$C436="",对接源_01水果!$C436&lt;&gt;$L$1,对接源_01水果!$B436=""),0,IF(OR(N(对接源_01水果!$B436)&lt;$L$2,N(对接源_01水果!$B436)&gt;$L$3),0,1))</f>
        <v>0</v>
      </c>
      <c r="M436" s="3">
        <f>IF(OR($M$1="",对接源_01水果!$C436="",对接源_01水果!$C436&lt;&gt;$M$1,对接源_01水果!$B436=""),0,IF(OR(N(对接源_01水果!$B436)&lt;$M$2,N(对接源_01水果!$B436)&gt;$M$3),0,1))</f>
        <v>0</v>
      </c>
      <c r="N436" s="3">
        <f>IF(OR($N$1="",对接源_01水果!$C436="",对接源_01水果!$C436&lt;&gt;$N$1,对接源_01水果!$B436=""),0,IF(OR(N(对接源_01水果!$B436)&lt;$N$2,N(对接源_01水果!$B436)&gt;$N$3),0,1))</f>
        <v>0</v>
      </c>
      <c r="P436" s="3">
        <f>IF(AND($K436=1,AND(对接源_01水果!$X436="公司筐",N(对接源_01水果!$T436)&lt;&gt;0)),1,0)</f>
        <v>0</v>
      </c>
      <c r="Q436" s="3">
        <f t="shared" si="113"/>
        <v>0</v>
      </c>
      <c r="R436" s="3">
        <f>IF(AND($K436=1,AND(对接源_01水果!$X436="公司筐",N(对接源_01水果!$U436)&lt;&gt;0)),1,0)</f>
        <v>0</v>
      </c>
      <c r="S436" s="3">
        <f t="shared" si="114"/>
        <v>0</v>
      </c>
      <c r="T436" s="3">
        <f>IF(AND($K436=1,AND(对接源_01水果!$X436="公司筐",N(对接源_01水果!$V436)&lt;&gt;0)),1,0)</f>
        <v>0</v>
      </c>
      <c r="U436" s="3">
        <f t="shared" si="115"/>
        <v>19</v>
      </c>
      <c r="V436" s="3">
        <f>IF(AND($L436=1,AND(对接源_01水果!$X436="自备筐",N(对接源_01水果!$V436)&lt;&gt;0)),1,0)</f>
        <v>0</v>
      </c>
      <c r="W436" s="3">
        <f t="shared" si="116"/>
        <v>8</v>
      </c>
      <c r="X436" s="3">
        <f>IF(AND($L436=1,AND(对接源_01水果!$X436="自备筐",N(对接源_01水果!$T436)&lt;&gt;0)),1,0)</f>
        <v>0</v>
      </c>
      <c r="Y436" s="3">
        <f t="shared" si="117"/>
        <v>0</v>
      </c>
      <c r="Z436" s="3">
        <f>IF(AND($M436=1,对接源_01水果!$D436="原料入库"),1,0)</f>
        <v>0</v>
      </c>
      <c r="AA436" s="3">
        <f t="shared" si="118"/>
        <v>24</v>
      </c>
      <c r="AB436" s="3">
        <f>IF(AND($M436=1,LEFT(对接源_01水果!$D436,4)="原料出库"),1,0)</f>
        <v>0</v>
      </c>
      <c r="AC436" s="3">
        <f t="shared" si="119"/>
        <v>0</v>
      </c>
      <c r="AD436" s="3">
        <f>IF(AND($M436=1,LEFT(对接源_01水果!$D436,4)="成品出库"),1,0)</f>
        <v>0</v>
      </c>
      <c r="AE436" s="3">
        <f t="shared" si="120"/>
        <v>0</v>
      </c>
      <c r="AF436" s="3">
        <f>IF(AND($N436=1,AND(LEFT(对接源_01水果!$D436,4)="包装物料",N(对接源_01水果!$K436)&lt;&gt;0)),1,0)</f>
        <v>0</v>
      </c>
      <c r="AG436" s="3">
        <f t="shared" si="121"/>
        <v>0</v>
      </c>
      <c r="AH436" s="3">
        <f>IF(AND($N436=1,AND(对接源_01水果!$D436="周转筐－销售出库",N(对接源_01水果!$K436)&lt;&gt;0)),1,0)</f>
        <v>0</v>
      </c>
      <c r="AI436" s="3">
        <f t="shared" si="122"/>
        <v>0</v>
      </c>
      <c r="AJ436" s="7"/>
      <c r="AL436" s="3">
        <f>IF(OR($AL$1="",对接源_01水果!$Y436="",对接源_01水果!$Y436&lt;&gt;$AL$1,对接源_01水果!$B436="",N(对接源_01水果!$AJ436)&lt;=0),0,IF(OR(N(对接源_01水果!$B436)&lt;$AL$2,N(对接源_01水果!$B436)&gt;$AL$3),0,1))</f>
        <v>0</v>
      </c>
      <c r="AM436" s="3">
        <f t="shared" si="123"/>
        <v>1</v>
      </c>
      <c r="AN436" s="3" t="str">
        <f>IF(对接源_01水果!$AC436="","",对接源_01水果!$AC436)</f>
        <v/>
      </c>
      <c r="AO436" s="3">
        <f t="shared" si="124"/>
        <v>0</v>
      </c>
      <c r="AP436" s="3">
        <f t="shared" si="125"/>
        <v>8</v>
      </c>
      <c r="AR436">
        <f t="shared" si="126"/>
        <v>0</v>
      </c>
      <c r="AS436">
        <f t="shared" si="127"/>
        <v>0</v>
      </c>
    </row>
    <row r="437" ht="14.25" customHeight="1" spans="1:45">
      <c r="A437" s="3" t="str">
        <f>IF(对接源_01水果!$C437="","",对接源_01水果!$C437)</f>
        <v/>
      </c>
      <c r="B437" s="3">
        <f t="shared" si="111"/>
        <v>0</v>
      </c>
      <c r="C437" s="3">
        <f t="shared" si="112"/>
        <v>18</v>
      </c>
      <c r="K437" s="3">
        <f>IF(OR($K$1="",对接源_01水果!$C437="",对接源_01水果!$C437&lt;&gt;$K$1,对接源_01水果!$B437=""),0,IF(OR(N(对接源_01水果!$B437)&lt;$K$2,N(对接源_01水果!$B437)&gt;$K$3),0,1))</f>
        <v>0</v>
      </c>
      <c r="L437" s="3">
        <f>IF(OR($L$1="",对接源_01水果!$C437="",对接源_01水果!$C437&lt;&gt;$L$1,对接源_01水果!$B437=""),0,IF(OR(N(对接源_01水果!$B437)&lt;$L$2,N(对接源_01水果!$B437)&gt;$L$3),0,1))</f>
        <v>0</v>
      </c>
      <c r="M437" s="3">
        <f>IF(OR($M$1="",对接源_01水果!$C437="",对接源_01水果!$C437&lt;&gt;$M$1,对接源_01水果!$B437=""),0,IF(OR(N(对接源_01水果!$B437)&lt;$M$2,N(对接源_01水果!$B437)&gt;$M$3),0,1))</f>
        <v>0</v>
      </c>
      <c r="N437" s="3">
        <f>IF(OR($N$1="",对接源_01水果!$C437="",对接源_01水果!$C437&lt;&gt;$N$1,对接源_01水果!$B437=""),0,IF(OR(N(对接源_01水果!$B437)&lt;$N$2,N(对接源_01水果!$B437)&gt;$N$3),0,1))</f>
        <v>0</v>
      </c>
      <c r="P437" s="3">
        <f>IF(AND($K437=1,AND(对接源_01水果!$X437="公司筐",N(对接源_01水果!$T437)&lt;&gt;0)),1,0)</f>
        <v>0</v>
      </c>
      <c r="Q437" s="3">
        <f t="shared" si="113"/>
        <v>0</v>
      </c>
      <c r="R437" s="3">
        <f>IF(AND($K437=1,AND(对接源_01水果!$X437="公司筐",N(对接源_01水果!$U437)&lt;&gt;0)),1,0)</f>
        <v>0</v>
      </c>
      <c r="S437" s="3">
        <f t="shared" si="114"/>
        <v>0</v>
      </c>
      <c r="T437" s="3">
        <f>IF(AND($K437=1,AND(对接源_01水果!$X437="公司筐",N(对接源_01水果!$V437)&lt;&gt;0)),1,0)</f>
        <v>0</v>
      </c>
      <c r="U437" s="3">
        <f t="shared" si="115"/>
        <v>19</v>
      </c>
      <c r="V437" s="3">
        <f>IF(AND($L437=1,AND(对接源_01水果!$X437="自备筐",N(对接源_01水果!$V437)&lt;&gt;0)),1,0)</f>
        <v>0</v>
      </c>
      <c r="W437" s="3">
        <f t="shared" si="116"/>
        <v>8</v>
      </c>
      <c r="X437" s="3">
        <f>IF(AND($L437=1,AND(对接源_01水果!$X437="自备筐",N(对接源_01水果!$T437)&lt;&gt;0)),1,0)</f>
        <v>0</v>
      </c>
      <c r="Y437" s="3">
        <f t="shared" si="117"/>
        <v>0</v>
      </c>
      <c r="Z437" s="3">
        <f>IF(AND($M437=1,对接源_01水果!$D437="原料入库"),1,0)</f>
        <v>0</v>
      </c>
      <c r="AA437" s="3">
        <f t="shared" si="118"/>
        <v>24</v>
      </c>
      <c r="AB437" s="3">
        <f>IF(AND($M437=1,LEFT(对接源_01水果!$D437,4)="原料出库"),1,0)</f>
        <v>0</v>
      </c>
      <c r="AC437" s="3">
        <f t="shared" si="119"/>
        <v>0</v>
      </c>
      <c r="AD437" s="3">
        <f>IF(AND($M437=1,LEFT(对接源_01水果!$D437,4)="成品出库"),1,0)</f>
        <v>0</v>
      </c>
      <c r="AE437" s="3">
        <f t="shared" si="120"/>
        <v>0</v>
      </c>
      <c r="AF437" s="3">
        <f>IF(AND($N437=1,AND(LEFT(对接源_01水果!$D437,4)="包装物料",N(对接源_01水果!$K437)&lt;&gt;0)),1,0)</f>
        <v>0</v>
      </c>
      <c r="AG437" s="3">
        <f t="shared" si="121"/>
        <v>0</v>
      </c>
      <c r="AH437" s="3">
        <f>IF(AND($N437=1,AND(对接源_01水果!$D437="周转筐－销售出库",N(对接源_01水果!$K437)&lt;&gt;0)),1,0)</f>
        <v>0</v>
      </c>
      <c r="AI437" s="3">
        <f t="shared" si="122"/>
        <v>0</v>
      </c>
      <c r="AJ437" s="7"/>
      <c r="AL437" s="3">
        <f>IF(OR($AL$1="",对接源_01水果!$Y437="",对接源_01水果!$Y437&lt;&gt;$AL$1,对接源_01水果!$B437="",N(对接源_01水果!$AJ437)&lt;=0),0,IF(OR(N(对接源_01水果!$B437)&lt;$AL$2,N(对接源_01水果!$B437)&gt;$AL$3),0,1))</f>
        <v>0</v>
      </c>
      <c r="AM437" s="3">
        <f t="shared" si="123"/>
        <v>1</v>
      </c>
      <c r="AN437" s="3" t="str">
        <f>IF(对接源_01水果!$AC437="","",对接源_01水果!$AC437)</f>
        <v/>
      </c>
      <c r="AO437" s="3">
        <f t="shared" si="124"/>
        <v>0</v>
      </c>
      <c r="AP437" s="3">
        <f t="shared" si="125"/>
        <v>8</v>
      </c>
      <c r="AR437">
        <f t="shared" si="126"/>
        <v>0</v>
      </c>
      <c r="AS437">
        <f t="shared" si="127"/>
        <v>0</v>
      </c>
    </row>
    <row r="438" ht="14.25" customHeight="1" spans="1:45">
      <c r="A438" s="3" t="str">
        <f>IF(对接源_01水果!$C438="","",对接源_01水果!$C438)</f>
        <v/>
      </c>
      <c r="B438" s="3">
        <f t="shared" si="111"/>
        <v>0</v>
      </c>
      <c r="C438" s="3">
        <f t="shared" si="112"/>
        <v>18</v>
      </c>
      <c r="K438" s="3">
        <f>IF(OR($K$1="",对接源_01水果!$C438="",对接源_01水果!$C438&lt;&gt;$K$1,对接源_01水果!$B438=""),0,IF(OR(N(对接源_01水果!$B438)&lt;$K$2,N(对接源_01水果!$B438)&gt;$K$3),0,1))</f>
        <v>0</v>
      </c>
      <c r="L438" s="3">
        <f>IF(OR($L$1="",对接源_01水果!$C438="",对接源_01水果!$C438&lt;&gt;$L$1,对接源_01水果!$B438=""),0,IF(OR(N(对接源_01水果!$B438)&lt;$L$2,N(对接源_01水果!$B438)&gt;$L$3),0,1))</f>
        <v>0</v>
      </c>
      <c r="M438" s="3">
        <f>IF(OR($M$1="",对接源_01水果!$C438="",对接源_01水果!$C438&lt;&gt;$M$1,对接源_01水果!$B438=""),0,IF(OR(N(对接源_01水果!$B438)&lt;$M$2,N(对接源_01水果!$B438)&gt;$M$3),0,1))</f>
        <v>0</v>
      </c>
      <c r="N438" s="3">
        <f>IF(OR($N$1="",对接源_01水果!$C438="",对接源_01水果!$C438&lt;&gt;$N$1,对接源_01水果!$B438=""),0,IF(OR(N(对接源_01水果!$B438)&lt;$N$2,N(对接源_01水果!$B438)&gt;$N$3),0,1))</f>
        <v>0</v>
      </c>
      <c r="P438" s="3">
        <f>IF(AND($K438=1,AND(对接源_01水果!$X438="公司筐",N(对接源_01水果!$T438)&lt;&gt;0)),1,0)</f>
        <v>0</v>
      </c>
      <c r="Q438" s="3">
        <f t="shared" si="113"/>
        <v>0</v>
      </c>
      <c r="R438" s="3">
        <f>IF(AND($K438=1,AND(对接源_01水果!$X438="公司筐",N(对接源_01水果!$U438)&lt;&gt;0)),1,0)</f>
        <v>0</v>
      </c>
      <c r="S438" s="3">
        <f t="shared" si="114"/>
        <v>0</v>
      </c>
      <c r="T438" s="3">
        <f>IF(AND($K438=1,AND(对接源_01水果!$X438="公司筐",N(对接源_01水果!$V438)&lt;&gt;0)),1,0)</f>
        <v>0</v>
      </c>
      <c r="U438" s="3">
        <f t="shared" si="115"/>
        <v>19</v>
      </c>
      <c r="V438" s="3">
        <f>IF(AND($L438=1,AND(对接源_01水果!$X438="自备筐",N(对接源_01水果!$V438)&lt;&gt;0)),1,0)</f>
        <v>0</v>
      </c>
      <c r="W438" s="3">
        <f t="shared" si="116"/>
        <v>8</v>
      </c>
      <c r="X438" s="3">
        <f>IF(AND($L438=1,AND(对接源_01水果!$X438="自备筐",N(对接源_01水果!$T438)&lt;&gt;0)),1,0)</f>
        <v>0</v>
      </c>
      <c r="Y438" s="3">
        <f t="shared" si="117"/>
        <v>0</v>
      </c>
      <c r="Z438" s="3">
        <f>IF(AND($M438=1,对接源_01水果!$D438="原料入库"),1,0)</f>
        <v>0</v>
      </c>
      <c r="AA438" s="3">
        <f t="shared" si="118"/>
        <v>24</v>
      </c>
      <c r="AB438" s="3">
        <f>IF(AND($M438=1,LEFT(对接源_01水果!$D438,4)="原料出库"),1,0)</f>
        <v>0</v>
      </c>
      <c r="AC438" s="3">
        <f t="shared" si="119"/>
        <v>0</v>
      </c>
      <c r="AD438" s="3">
        <f>IF(AND($M438=1,LEFT(对接源_01水果!$D438,4)="成品出库"),1,0)</f>
        <v>0</v>
      </c>
      <c r="AE438" s="3">
        <f t="shared" si="120"/>
        <v>0</v>
      </c>
      <c r="AF438" s="3">
        <f>IF(AND($N438=1,AND(LEFT(对接源_01水果!$D438,4)="包装物料",N(对接源_01水果!$K438)&lt;&gt;0)),1,0)</f>
        <v>0</v>
      </c>
      <c r="AG438" s="3">
        <f t="shared" si="121"/>
        <v>0</v>
      </c>
      <c r="AH438" s="3">
        <f>IF(AND($N438=1,AND(对接源_01水果!$D438="周转筐－销售出库",N(对接源_01水果!$K438)&lt;&gt;0)),1,0)</f>
        <v>0</v>
      </c>
      <c r="AI438" s="3">
        <f t="shared" si="122"/>
        <v>0</v>
      </c>
      <c r="AJ438" s="7"/>
      <c r="AL438" s="3">
        <f>IF(OR($AL$1="",对接源_01水果!$Y438="",对接源_01水果!$Y438&lt;&gt;$AL$1,对接源_01水果!$B438="",N(对接源_01水果!$AJ438)&lt;=0),0,IF(OR(N(对接源_01水果!$B438)&lt;$AL$2,N(对接源_01水果!$B438)&gt;$AL$3),0,1))</f>
        <v>0</v>
      </c>
      <c r="AM438" s="3">
        <f t="shared" si="123"/>
        <v>1</v>
      </c>
      <c r="AN438" s="3" t="str">
        <f>IF(对接源_01水果!$AC438="","",对接源_01水果!$AC438)</f>
        <v/>
      </c>
      <c r="AO438" s="3">
        <f t="shared" si="124"/>
        <v>0</v>
      </c>
      <c r="AP438" s="3">
        <f t="shared" si="125"/>
        <v>8</v>
      </c>
      <c r="AR438">
        <f t="shared" si="126"/>
        <v>0</v>
      </c>
      <c r="AS438">
        <f t="shared" si="127"/>
        <v>0</v>
      </c>
    </row>
    <row r="439" ht="14.25" customHeight="1" spans="1:45">
      <c r="A439" s="3" t="str">
        <f>IF(对接源_01水果!$C439="","",对接源_01水果!$C439)</f>
        <v/>
      </c>
      <c r="B439" s="3">
        <f t="shared" si="111"/>
        <v>0</v>
      </c>
      <c r="C439" s="3">
        <f t="shared" si="112"/>
        <v>18</v>
      </c>
      <c r="K439" s="3">
        <f>IF(OR($K$1="",对接源_01水果!$C439="",对接源_01水果!$C439&lt;&gt;$K$1,对接源_01水果!$B439=""),0,IF(OR(N(对接源_01水果!$B439)&lt;$K$2,N(对接源_01水果!$B439)&gt;$K$3),0,1))</f>
        <v>0</v>
      </c>
      <c r="L439" s="3">
        <f>IF(OR($L$1="",对接源_01水果!$C439="",对接源_01水果!$C439&lt;&gt;$L$1,对接源_01水果!$B439=""),0,IF(OR(N(对接源_01水果!$B439)&lt;$L$2,N(对接源_01水果!$B439)&gt;$L$3),0,1))</f>
        <v>0</v>
      </c>
      <c r="M439" s="3">
        <f>IF(OR($M$1="",对接源_01水果!$C439="",对接源_01水果!$C439&lt;&gt;$M$1,对接源_01水果!$B439=""),0,IF(OR(N(对接源_01水果!$B439)&lt;$M$2,N(对接源_01水果!$B439)&gt;$M$3),0,1))</f>
        <v>0</v>
      </c>
      <c r="N439" s="3">
        <f>IF(OR($N$1="",对接源_01水果!$C439="",对接源_01水果!$C439&lt;&gt;$N$1,对接源_01水果!$B439=""),0,IF(OR(N(对接源_01水果!$B439)&lt;$N$2,N(对接源_01水果!$B439)&gt;$N$3),0,1))</f>
        <v>0</v>
      </c>
      <c r="P439" s="3">
        <f>IF(AND($K439=1,AND(对接源_01水果!$X439="公司筐",N(对接源_01水果!$T439)&lt;&gt;0)),1,0)</f>
        <v>0</v>
      </c>
      <c r="Q439" s="3">
        <f t="shared" si="113"/>
        <v>0</v>
      </c>
      <c r="R439" s="3">
        <f>IF(AND($K439=1,AND(对接源_01水果!$X439="公司筐",N(对接源_01水果!$U439)&lt;&gt;0)),1,0)</f>
        <v>0</v>
      </c>
      <c r="S439" s="3">
        <f t="shared" si="114"/>
        <v>0</v>
      </c>
      <c r="T439" s="3">
        <f>IF(AND($K439=1,AND(对接源_01水果!$X439="公司筐",N(对接源_01水果!$V439)&lt;&gt;0)),1,0)</f>
        <v>0</v>
      </c>
      <c r="U439" s="3">
        <f t="shared" si="115"/>
        <v>19</v>
      </c>
      <c r="V439" s="3">
        <f>IF(AND($L439=1,AND(对接源_01水果!$X439="自备筐",N(对接源_01水果!$V439)&lt;&gt;0)),1,0)</f>
        <v>0</v>
      </c>
      <c r="W439" s="3">
        <f t="shared" si="116"/>
        <v>8</v>
      </c>
      <c r="X439" s="3">
        <f>IF(AND($L439=1,AND(对接源_01水果!$X439="自备筐",N(对接源_01水果!$T439)&lt;&gt;0)),1,0)</f>
        <v>0</v>
      </c>
      <c r="Y439" s="3">
        <f t="shared" si="117"/>
        <v>0</v>
      </c>
      <c r="Z439" s="3">
        <f>IF(AND($M439=1,对接源_01水果!$D439="原料入库"),1,0)</f>
        <v>0</v>
      </c>
      <c r="AA439" s="3">
        <f t="shared" si="118"/>
        <v>24</v>
      </c>
      <c r="AB439" s="3">
        <f>IF(AND($M439=1,LEFT(对接源_01水果!$D439,4)="原料出库"),1,0)</f>
        <v>0</v>
      </c>
      <c r="AC439" s="3">
        <f t="shared" si="119"/>
        <v>0</v>
      </c>
      <c r="AD439" s="3">
        <f>IF(AND($M439=1,LEFT(对接源_01水果!$D439,4)="成品出库"),1,0)</f>
        <v>0</v>
      </c>
      <c r="AE439" s="3">
        <f t="shared" si="120"/>
        <v>0</v>
      </c>
      <c r="AF439" s="3">
        <f>IF(AND($N439=1,AND(LEFT(对接源_01水果!$D439,4)="包装物料",N(对接源_01水果!$K439)&lt;&gt;0)),1,0)</f>
        <v>0</v>
      </c>
      <c r="AG439" s="3">
        <f t="shared" si="121"/>
        <v>0</v>
      </c>
      <c r="AH439" s="3">
        <f>IF(AND($N439=1,AND(对接源_01水果!$D439="周转筐－销售出库",N(对接源_01水果!$K439)&lt;&gt;0)),1,0)</f>
        <v>0</v>
      </c>
      <c r="AI439" s="3">
        <f t="shared" si="122"/>
        <v>0</v>
      </c>
      <c r="AJ439" s="7"/>
      <c r="AL439" s="3">
        <f>IF(OR($AL$1="",对接源_01水果!$Y439="",对接源_01水果!$Y439&lt;&gt;$AL$1,对接源_01水果!$B439="",N(对接源_01水果!$AJ439)&lt;=0),0,IF(OR(N(对接源_01水果!$B439)&lt;$AL$2,N(对接源_01水果!$B439)&gt;$AL$3),0,1))</f>
        <v>0</v>
      </c>
      <c r="AM439" s="3">
        <f t="shared" si="123"/>
        <v>1</v>
      </c>
      <c r="AN439" s="3" t="str">
        <f>IF(对接源_01水果!$AC439="","",对接源_01水果!$AC439)</f>
        <v/>
      </c>
      <c r="AO439" s="3">
        <f t="shared" si="124"/>
        <v>0</v>
      </c>
      <c r="AP439" s="3">
        <f t="shared" si="125"/>
        <v>8</v>
      </c>
      <c r="AR439">
        <f t="shared" si="126"/>
        <v>0</v>
      </c>
      <c r="AS439">
        <f t="shared" si="127"/>
        <v>0</v>
      </c>
    </row>
    <row r="440" ht="14.25" customHeight="1" spans="1:45">
      <c r="A440" s="3" t="str">
        <f>IF(对接源_01水果!$C440="","",对接源_01水果!$C440)</f>
        <v/>
      </c>
      <c r="B440" s="3">
        <f t="shared" si="111"/>
        <v>0</v>
      </c>
      <c r="C440" s="3">
        <f t="shared" si="112"/>
        <v>18</v>
      </c>
      <c r="K440" s="3">
        <f>IF(OR($K$1="",对接源_01水果!$C440="",对接源_01水果!$C440&lt;&gt;$K$1,对接源_01水果!$B440=""),0,IF(OR(N(对接源_01水果!$B440)&lt;$K$2,N(对接源_01水果!$B440)&gt;$K$3),0,1))</f>
        <v>0</v>
      </c>
      <c r="L440" s="3">
        <f>IF(OR($L$1="",对接源_01水果!$C440="",对接源_01水果!$C440&lt;&gt;$L$1,对接源_01水果!$B440=""),0,IF(OR(N(对接源_01水果!$B440)&lt;$L$2,N(对接源_01水果!$B440)&gt;$L$3),0,1))</f>
        <v>0</v>
      </c>
      <c r="M440" s="3">
        <f>IF(OR($M$1="",对接源_01水果!$C440="",对接源_01水果!$C440&lt;&gt;$M$1,对接源_01水果!$B440=""),0,IF(OR(N(对接源_01水果!$B440)&lt;$M$2,N(对接源_01水果!$B440)&gt;$M$3),0,1))</f>
        <v>0</v>
      </c>
      <c r="N440" s="3">
        <f>IF(OR($N$1="",对接源_01水果!$C440="",对接源_01水果!$C440&lt;&gt;$N$1,对接源_01水果!$B440=""),0,IF(OR(N(对接源_01水果!$B440)&lt;$N$2,N(对接源_01水果!$B440)&gt;$N$3),0,1))</f>
        <v>0</v>
      </c>
      <c r="P440" s="3">
        <f>IF(AND($K440=1,AND(对接源_01水果!$X440="公司筐",N(对接源_01水果!$T440)&lt;&gt;0)),1,0)</f>
        <v>0</v>
      </c>
      <c r="Q440" s="3">
        <f t="shared" si="113"/>
        <v>0</v>
      </c>
      <c r="R440" s="3">
        <f>IF(AND($K440=1,AND(对接源_01水果!$X440="公司筐",N(对接源_01水果!$U440)&lt;&gt;0)),1,0)</f>
        <v>0</v>
      </c>
      <c r="S440" s="3">
        <f t="shared" si="114"/>
        <v>0</v>
      </c>
      <c r="T440" s="3">
        <f>IF(AND($K440=1,AND(对接源_01水果!$X440="公司筐",N(对接源_01水果!$V440)&lt;&gt;0)),1,0)</f>
        <v>0</v>
      </c>
      <c r="U440" s="3">
        <f t="shared" si="115"/>
        <v>19</v>
      </c>
      <c r="V440" s="3">
        <f>IF(AND($L440=1,AND(对接源_01水果!$X440="自备筐",N(对接源_01水果!$V440)&lt;&gt;0)),1,0)</f>
        <v>0</v>
      </c>
      <c r="W440" s="3">
        <f t="shared" si="116"/>
        <v>8</v>
      </c>
      <c r="X440" s="3">
        <f>IF(AND($L440=1,AND(对接源_01水果!$X440="自备筐",N(对接源_01水果!$T440)&lt;&gt;0)),1,0)</f>
        <v>0</v>
      </c>
      <c r="Y440" s="3">
        <f t="shared" si="117"/>
        <v>0</v>
      </c>
      <c r="Z440" s="3">
        <f>IF(AND($M440=1,对接源_01水果!$D440="原料入库"),1,0)</f>
        <v>0</v>
      </c>
      <c r="AA440" s="3">
        <f t="shared" si="118"/>
        <v>24</v>
      </c>
      <c r="AB440" s="3">
        <f>IF(AND($M440=1,LEFT(对接源_01水果!$D440,4)="原料出库"),1,0)</f>
        <v>0</v>
      </c>
      <c r="AC440" s="3">
        <f t="shared" si="119"/>
        <v>0</v>
      </c>
      <c r="AD440" s="3">
        <f>IF(AND($M440=1,LEFT(对接源_01水果!$D440,4)="成品出库"),1,0)</f>
        <v>0</v>
      </c>
      <c r="AE440" s="3">
        <f t="shared" si="120"/>
        <v>0</v>
      </c>
      <c r="AF440" s="3">
        <f>IF(AND($N440=1,AND(LEFT(对接源_01水果!$D440,4)="包装物料",N(对接源_01水果!$K440)&lt;&gt;0)),1,0)</f>
        <v>0</v>
      </c>
      <c r="AG440" s="3">
        <f t="shared" si="121"/>
        <v>0</v>
      </c>
      <c r="AH440" s="3">
        <f>IF(AND($N440=1,AND(对接源_01水果!$D440="周转筐－销售出库",N(对接源_01水果!$K440)&lt;&gt;0)),1,0)</f>
        <v>0</v>
      </c>
      <c r="AI440" s="3">
        <f t="shared" si="122"/>
        <v>0</v>
      </c>
      <c r="AJ440" s="7"/>
      <c r="AL440" s="3">
        <f>IF(OR($AL$1="",对接源_01水果!$Y440="",对接源_01水果!$Y440&lt;&gt;$AL$1,对接源_01水果!$B440="",N(对接源_01水果!$AJ440)&lt;=0),0,IF(OR(N(对接源_01水果!$B440)&lt;$AL$2,N(对接源_01水果!$B440)&gt;$AL$3),0,1))</f>
        <v>0</v>
      </c>
      <c r="AM440" s="3">
        <f t="shared" si="123"/>
        <v>1</v>
      </c>
      <c r="AN440" s="3" t="str">
        <f>IF(对接源_01水果!$AC440="","",对接源_01水果!$AC440)</f>
        <v/>
      </c>
      <c r="AO440" s="3">
        <f t="shared" si="124"/>
        <v>0</v>
      </c>
      <c r="AP440" s="3">
        <f t="shared" si="125"/>
        <v>8</v>
      </c>
      <c r="AR440">
        <f t="shared" si="126"/>
        <v>0</v>
      </c>
      <c r="AS440">
        <f t="shared" si="127"/>
        <v>0</v>
      </c>
    </row>
    <row r="441" ht="14.25" customHeight="1" spans="1:45">
      <c r="A441" s="3" t="str">
        <f>IF(对接源_01水果!$C441="","",对接源_01水果!$C441)</f>
        <v/>
      </c>
      <c r="B441" s="3">
        <f t="shared" si="111"/>
        <v>0</v>
      </c>
      <c r="C441" s="3">
        <f t="shared" si="112"/>
        <v>18</v>
      </c>
      <c r="K441" s="3">
        <f>IF(OR($K$1="",对接源_01水果!$C441="",对接源_01水果!$C441&lt;&gt;$K$1,对接源_01水果!$B441=""),0,IF(OR(N(对接源_01水果!$B441)&lt;$K$2,N(对接源_01水果!$B441)&gt;$K$3),0,1))</f>
        <v>0</v>
      </c>
      <c r="L441" s="3">
        <f>IF(OR($L$1="",对接源_01水果!$C441="",对接源_01水果!$C441&lt;&gt;$L$1,对接源_01水果!$B441=""),0,IF(OR(N(对接源_01水果!$B441)&lt;$L$2,N(对接源_01水果!$B441)&gt;$L$3),0,1))</f>
        <v>0</v>
      </c>
      <c r="M441" s="3">
        <f>IF(OR($M$1="",对接源_01水果!$C441="",对接源_01水果!$C441&lt;&gt;$M$1,对接源_01水果!$B441=""),0,IF(OR(N(对接源_01水果!$B441)&lt;$M$2,N(对接源_01水果!$B441)&gt;$M$3),0,1))</f>
        <v>0</v>
      </c>
      <c r="N441" s="3">
        <f>IF(OR($N$1="",对接源_01水果!$C441="",对接源_01水果!$C441&lt;&gt;$N$1,对接源_01水果!$B441=""),0,IF(OR(N(对接源_01水果!$B441)&lt;$N$2,N(对接源_01水果!$B441)&gt;$N$3),0,1))</f>
        <v>0</v>
      </c>
      <c r="P441" s="3">
        <f>IF(AND($K441=1,AND(对接源_01水果!$X441="公司筐",N(对接源_01水果!$T441)&lt;&gt;0)),1,0)</f>
        <v>0</v>
      </c>
      <c r="Q441" s="3">
        <f t="shared" si="113"/>
        <v>0</v>
      </c>
      <c r="R441" s="3">
        <f>IF(AND($K441=1,AND(对接源_01水果!$X441="公司筐",N(对接源_01水果!$U441)&lt;&gt;0)),1,0)</f>
        <v>0</v>
      </c>
      <c r="S441" s="3">
        <f t="shared" si="114"/>
        <v>0</v>
      </c>
      <c r="T441" s="3">
        <f>IF(AND($K441=1,AND(对接源_01水果!$X441="公司筐",N(对接源_01水果!$V441)&lt;&gt;0)),1,0)</f>
        <v>0</v>
      </c>
      <c r="U441" s="3">
        <f t="shared" si="115"/>
        <v>19</v>
      </c>
      <c r="V441" s="3">
        <f>IF(AND($L441=1,AND(对接源_01水果!$X441="自备筐",N(对接源_01水果!$V441)&lt;&gt;0)),1,0)</f>
        <v>0</v>
      </c>
      <c r="W441" s="3">
        <f t="shared" si="116"/>
        <v>8</v>
      </c>
      <c r="X441" s="3">
        <f>IF(AND($L441=1,AND(对接源_01水果!$X441="自备筐",N(对接源_01水果!$T441)&lt;&gt;0)),1,0)</f>
        <v>0</v>
      </c>
      <c r="Y441" s="3">
        <f t="shared" si="117"/>
        <v>0</v>
      </c>
      <c r="Z441" s="3">
        <f>IF(AND($M441=1,对接源_01水果!$D441="原料入库"),1,0)</f>
        <v>0</v>
      </c>
      <c r="AA441" s="3">
        <f t="shared" si="118"/>
        <v>24</v>
      </c>
      <c r="AB441" s="3">
        <f>IF(AND($M441=1,LEFT(对接源_01水果!$D441,4)="原料出库"),1,0)</f>
        <v>0</v>
      </c>
      <c r="AC441" s="3">
        <f t="shared" si="119"/>
        <v>0</v>
      </c>
      <c r="AD441" s="3">
        <f>IF(AND($M441=1,LEFT(对接源_01水果!$D441,4)="成品出库"),1,0)</f>
        <v>0</v>
      </c>
      <c r="AE441" s="3">
        <f t="shared" si="120"/>
        <v>0</v>
      </c>
      <c r="AF441" s="3">
        <f>IF(AND($N441=1,AND(LEFT(对接源_01水果!$D441,4)="包装物料",N(对接源_01水果!$K441)&lt;&gt;0)),1,0)</f>
        <v>0</v>
      </c>
      <c r="AG441" s="3">
        <f t="shared" si="121"/>
        <v>0</v>
      </c>
      <c r="AH441" s="3">
        <f>IF(AND($N441=1,AND(对接源_01水果!$D441="周转筐－销售出库",N(对接源_01水果!$K441)&lt;&gt;0)),1,0)</f>
        <v>0</v>
      </c>
      <c r="AI441" s="3">
        <f t="shared" si="122"/>
        <v>0</v>
      </c>
      <c r="AJ441" s="7"/>
      <c r="AL441" s="3">
        <f>IF(OR($AL$1="",对接源_01水果!$Y441="",对接源_01水果!$Y441&lt;&gt;$AL$1,对接源_01水果!$B441="",N(对接源_01水果!$AJ441)&lt;=0),0,IF(OR(N(对接源_01水果!$B441)&lt;$AL$2,N(对接源_01水果!$B441)&gt;$AL$3),0,1))</f>
        <v>0</v>
      </c>
      <c r="AM441" s="3">
        <f t="shared" si="123"/>
        <v>1</v>
      </c>
      <c r="AN441" s="3" t="str">
        <f>IF(对接源_01水果!$AC441="","",对接源_01水果!$AC441)</f>
        <v/>
      </c>
      <c r="AO441" s="3">
        <f t="shared" si="124"/>
        <v>0</v>
      </c>
      <c r="AP441" s="3">
        <f t="shared" si="125"/>
        <v>8</v>
      </c>
      <c r="AR441">
        <f t="shared" si="126"/>
        <v>0</v>
      </c>
      <c r="AS441">
        <f t="shared" si="127"/>
        <v>0</v>
      </c>
    </row>
    <row r="442" ht="14.25" customHeight="1" spans="1:45">
      <c r="A442" s="3" t="str">
        <f>IF(对接源_01水果!$C442="","",对接源_01水果!$C442)</f>
        <v/>
      </c>
      <c r="B442" s="3">
        <f t="shared" si="111"/>
        <v>0</v>
      </c>
      <c r="C442" s="3">
        <f t="shared" si="112"/>
        <v>18</v>
      </c>
      <c r="K442" s="3">
        <f>IF(OR($K$1="",对接源_01水果!$C442="",对接源_01水果!$C442&lt;&gt;$K$1,对接源_01水果!$B442=""),0,IF(OR(N(对接源_01水果!$B442)&lt;$K$2,N(对接源_01水果!$B442)&gt;$K$3),0,1))</f>
        <v>0</v>
      </c>
      <c r="L442" s="3">
        <f>IF(OR($L$1="",对接源_01水果!$C442="",对接源_01水果!$C442&lt;&gt;$L$1,对接源_01水果!$B442=""),0,IF(OR(N(对接源_01水果!$B442)&lt;$L$2,N(对接源_01水果!$B442)&gt;$L$3),0,1))</f>
        <v>0</v>
      </c>
      <c r="M442" s="3">
        <f>IF(OR($M$1="",对接源_01水果!$C442="",对接源_01水果!$C442&lt;&gt;$M$1,对接源_01水果!$B442=""),0,IF(OR(N(对接源_01水果!$B442)&lt;$M$2,N(对接源_01水果!$B442)&gt;$M$3),0,1))</f>
        <v>0</v>
      </c>
      <c r="N442" s="3">
        <f>IF(OR($N$1="",对接源_01水果!$C442="",对接源_01水果!$C442&lt;&gt;$N$1,对接源_01水果!$B442=""),0,IF(OR(N(对接源_01水果!$B442)&lt;$N$2,N(对接源_01水果!$B442)&gt;$N$3),0,1))</f>
        <v>0</v>
      </c>
      <c r="P442" s="3">
        <f>IF(AND($K442=1,AND(对接源_01水果!$X442="公司筐",N(对接源_01水果!$T442)&lt;&gt;0)),1,0)</f>
        <v>0</v>
      </c>
      <c r="Q442" s="3">
        <f t="shared" si="113"/>
        <v>0</v>
      </c>
      <c r="R442" s="3">
        <f>IF(AND($K442=1,AND(对接源_01水果!$X442="公司筐",N(对接源_01水果!$U442)&lt;&gt;0)),1,0)</f>
        <v>0</v>
      </c>
      <c r="S442" s="3">
        <f t="shared" si="114"/>
        <v>0</v>
      </c>
      <c r="T442" s="3">
        <f>IF(AND($K442=1,AND(对接源_01水果!$X442="公司筐",N(对接源_01水果!$V442)&lt;&gt;0)),1,0)</f>
        <v>0</v>
      </c>
      <c r="U442" s="3">
        <f t="shared" si="115"/>
        <v>19</v>
      </c>
      <c r="V442" s="3">
        <f>IF(AND($L442=1,AND(对接源_01水果!$X442="自备筐",N(对接源_01水果!$V442)&lt;&gt;0)),1,0)</f>
        <v>0</v>
      </c>
      <c r="W442" s="3">
        <f t="shared" si="116"/>
        <v>8</v>
      </c>
      <c r="X442" s="3">
        <f>IF(AND($L442=1,AND(对接源_01水果!$X442="自备筐",N(对接源_01水果!$T442)&lt;&gt;0)),1,0)</f>
        <v>0</v>
      </c>
      <c r="Y442" s="3">
        <f t="shared" si="117"/>
        <v>0</v>
      </c>
      <c r="Z442" s="3">
        <f>IF(AND($M442=1,对接源_01水果!$D442="原料入库"),1,0)</f>
        <v>0</v>
      </c>
      <c r="AA442" s="3">
        <f t="shared" si="118"/>
        <v>24</v>
      </c>
      <c r="AB442" s="3">
        <f>IF(AND($M442=1,LEFT(对接源_01水果!$D442,4)="原料出库"),1,0)</f>
        <v>0</v>
      </c>
      <c r="AC442" s="3">
        <f t="shared" si="119"/>
        <v>0</v>
      </c>
      <c r="AD442" s="3">
        <f>IF(AND($M442=1,LEFT(对接源_01水果!$D442,4)="成品出库"),1,0)</f>
        <v>0</v>
      </c>
      <c r="AE442" s="3">
        <f t="shared" si="120"/>
        <v>0</v>
      </c>
      <c r="AF442" s="3">
        <f>IF(AND($N442=1,AND(LEFT(对接源_01水果!$D442,4)="包装物料",N(对接源_01水果!$K442)&lt;&gt;0)),1,0)</f>
        <v>0</v>
      </c>
      <c r="AG442" s="3">
        <f t="shared" si="121"/>
        <v>0</v>
      </c>
      <c r="AH442" s="3">
        <f>IF(AND($N442=1,AND(对接源_01水果!$D442="周转筐－销售出库",N(对接源_01水果!$K442)&lt;&gt;0)),1,0)</f>
        <v>0</v>
      </c>
      <c r="AI442" s="3">
        <f t="shared" si="122"/>
        <v>0</v>
      </c>
      <c r="AJ442" s="7"/>
      <c r="AL442" s="3">
        <f>IF(OR($AL$1="",对接源_01水果!$Y442="",对接源_01水果!$Y442&lt;&gt;$AL$1,对接源_01水果!$B442="",N(对接源_01水果!$AJ442)&lt;=0),0,IF(OR(N(对接源_01水果!$B442)&lt;$AL$2,N(对接源_01水果!$B442)&gt;$AL$3),0,1))</f>
        <v>0</v>
      </c>
      <c r="AM442" s="3">
        <f t="shared" si="123"/>
        <v>1</v>
      </c>
      <c r="AN442" s="3" t="str">
        <f>IF(对接源_01水果!$AC442="","",对接源_01水果!$AC442)</f>
        <v/>
      </c>
      <c r="AO442" s="3">
        <f t="shared" si="124"/>
        <v>0</v>
      </c>
      <c r="AP442" s="3">
        <f t="shared" si="125"/>
        <v>8</v>
      </c>
      <c r="AR442">
        <f t="shared" si="126"/>
        <v>0</v>
      </c>
      <c r="AS442">
        <f t="shared" si="127"/>
        <v>0</v>
      </c>
    </row>
    <row r="443" ht="14.25" customHeight="1" spans="1:45">
      <c r="A443" s="3" t="str">
        <f>IF(对接源_01水果!$C443="","",对接源_01水果!$C443)</f>
        <v/>
      </c>
      <c r="B443" s="3">
        <f t="shared" si="111"/>
        <v>0</v>
      </c>
      <c r="C443" s="3">
        <f t="shared" si="112"/>
        <v>18</v>
      </c>
      <c r="K443" s="3">
        <f>IF(OR($K$1="",对接源_01水果!$C443="",对接源_01水果!$C443&lt;&gt;$K$1,对接源_01水果!$B443=""),0,IF(OR(N(对接源_01水果!$B443)&lt;$K$2,N(对接源_01水果!$B443)&gt;$K$3),0,1))</f>
        <v>0</v>
      </c>
      <c r="L443" s="3">
        <f>IF(OR($L$1="",对接源_01水果!$C443="",对接源_01水果!$C443&lt;&gt;$L$1,对接源_01水果!$B443=""),0,IF(OR(N(对接源_01水果!$B443)&lt;$L$2,N(对接源_01水果!$B443)&gt;$L$3),0,1))</f>
        <v>0</v>
      </c>
      <c r="M443" s="3">
        <f>IF(OR($M$1="",对接源_01水果!$C443="",对接源_01水果!$C443&lt;&gt;$M$1,对接源_01水果!$B443=""),0,IF(OR(N(对接源_01水果!$B443)&lt;$M$2,N(对接源_01水果!$B443)&gt;$M$3),0,1))</f>
        <v>0</v>
      </c>
      <c r="N443" s="3">
        <f>IF(OR($N$1="",对接源_01水果!$C443="",对接源_01水果!$C443&lt;&gt;$N$1,对接源_01水果!$B443=""),0,IF(OR(N(对接源_01水果!$B443)&lt;$N$2,N(对接源_01水果!$B443)&gt;$N$3),0,1))</f>
        <v>0</v>
      </c>
      <c r="P443" s="3">
        <f>IF(AND($K443=1,AND(对接源_01水果!$X443="公司筐",N(对接源_01水果!$T443)&lt;&gt;0)),1,0)</f>
        <v>0</v>
      </c>
      <c r="Q443" s="3">
        <f t="shared" si="113"/>
        <v>0</v>
      </c>
      <c r="R443" s="3">
        <f>IF(AND($K443=1,AND(对接源_01水果!$X443="公司筐",N(对接源_01水果!$U443)&lt;&gt;0)),1,0)</f>
        <v>0</v>
      </c>
      <c r="S443" s="3">
        <f t="shared" si="114"/>
        <v>0</v>
      </c>
      <c r="T443" s="3">
        <f>IF(AND($K443=1,AND(对接源_01水果!$X443="公司筐",N(对接源_01水果!$V443)&lt;&gt;0)),1,0)</f>
        <v>0</v>
      </c>
      <c r="U443" s="3">
        <f t="shared" si="115"/>
        <v>19</v>
      </c>
      <c r="V443" s="3">
        <f>IF(AND($L443=1,AND(对接源_01水果!$X443="自备筐",N(对接源_01水果!$V443)&lt;&gt;0)),1,0)</f>
        <v>0</v>
      </c>
      <c r="W443" s="3">
        <f t="shared" si="116"/>
        <v>8</v>
      </c>
      <c r="X443" s="3">
        <f>IF(AND($L443=1,AND(对接源_01水果!$X443="自备筐",N(对接源_01水果!$T443)&lt;&gt;0)),1,0)</f>
        <v>0</v>
      </c>
      <c r="Y443" s="3">
        <f t="shared" si="117"/>
        <v>0</v>
      </c>
      <c r="Z443" s="3">
        <f>IF(AND($M443=1,对接源_01水果!$D443="原料入库"),1,0)</f>
        <v>0</v>
      </c>
      <c r="AA443" s="3">
        <f t="shared" si="118"/>
        <v>24</v>
      </c>
      <c r="AB443" s="3">
        <f>IF(AND($M443=1,LEFT(对接源_01水果!$D443,4)="原料出库"),1,0)</f>
        <v>0</v>
      </c>
      <c r="AC443" s="3">
        <f t="shared" si="119"/>
        <v>0</v>
      </c>
      <c r="AD443" s="3">
        <f>IF(AND($M443=1,LEFT(对接源_01水果!$D443,4)="成品出库"),1,0)</f>
        <v>0</v>
      </c>
      <c r="AE443" s="3">
        <f t="shared" si="120"/>
        <v>0</v>
      </c>
      <c r="AF443" s="3">
        <f>IF(AND($N443=1,AND(LEFT(对接源_01水果!$D443,4)="包装物料",N(对接源_01水果!$K443)&lt;&gt;0)),1,0)</f>
        <v>0</v>
      </c>
      <c r="AG443" s="3">
        <f t="shared" si="121"/>
        <v>0</v>
      </c>
      <c r="AH443" s="3">
        <f>IF(AND($N443=1,AND(对接源_01水果!$D443="周转筐－销售出库",N(对接源_01水果!$K443)&lt;&gt;0)),1,0)</f>
        <v>0</v>
      </c>
      <c r="AI443" s="3">
        <f t="shared" si="122"/>
        <v>0</v>
      </c>
      <c r="AJ443" s="7"/>
      <c r="AL443" s="3">
        <f>IF(OR($AL$1="",对接源_01水果!$Y443="",对接源_01水果!$Y443&lt;&gt;$AL$1,对接源_01水果!$B443="",N(对接源_01水果!$AJ443)&lt;=0),0,IF(OR(N(对接源_01水果!$B443)&lt;$AL$2,N(对接源_01水果!$B443)&gt;$AL$3),0,1))</f>
        <v>0</v>
      </c>
      <c r="AM443" s="3">
        <f t="shared" si="123"/>
        <v>1</v>
      </c>
      <c r="AN443" s="3" t="str">
        <f>IF(对接源_01水果!$AC443="","",对接源_01水果!$AC443)</f>
        <v/>
      </c>
      <c r="AO443" s="3">
        <f t="shared" si="124"/>
        <v>0</v>
      </c>
      <c r="AP443" s="3">
        <f t="shared" si="125"/>
        <v>8</v>
      </c>
      <c r="AR443">
        <f t="shared" si="126"/>
        <v>0</v>
      </c>
      <c r="AS443">
        <f t="shared" si="127"/>
        <v>0</v>
      </c>
    </row>
    <row r="444" ht="14.25" customHeight="1" spans="1:45">
      <c r="A444" s="3" t="str">
        <f>IF(对接源_01水果!$C444="","",对接源_01水果!$C444)</f>
        <v/>
      </c>
      <c r="B444" s="3">
        <f t="shared" si="111"/>
        <v>0</v>
      </c>
      <c r="C444" s="3">
        <f t="shared" si="112"/>
        <v>18</v>
      </c>
      <c r="K444" s="3">
        <f>IF(OR($K$1="",对接源_01水果!$C444="",对接源_01水果!$C444&lt;&gt;$K$1,对接源_01水果!$B444=""),0,IF(OR(N(对接源_01水果!$B444)&lt;$K$2,N(对接源_01水果!$B444)&gt;$K$3),0,1))</f>
        <v>0</v>
      </c>
      <c r="L444" s="3">
        <f>IF(OR($L$1="",对接源_01水果!$C444="",对接源_01水果!$C444&lt;&gt;$L$1,对接源_01水果!$B444=""),0,IF(OR(N(对接源_01水果!$B444)&lt;$L$2,N(对接源_01水果!$B444)&gt;$L$3),0,1))</f>
        <v>0</v>
      </c>
      <c r="M444" s="3">
        <f>IF(OR($M$1="",对接源_01水果!$C444="",对接源_01水果!$C444&lt;&gt;$M$1,对接源_01水果!$B444=""),0,IF(OR(N(对接源_01水果!$B444)&lt;$M$2,N(对接源_01水果!$B444)&gt;$M$3),0,1))</f>
        <v>0</v>
      </c>
      <c r="N444" s="3">
        <f>IF(OR($N$1="",对接源_01水果!$C444="",对接源_01水果!$C444&lt;&gt;$N$1,对接源_01水果!$B444=""),0,IF(OR(N(对接源_01水果!$B444)&lt;$N$2,N(对接源_01水果!$B444)&gt;$N$3),0,1))</f>
        <v>0</v>
      </c>
      <c r="P444" s="3">
        <f>IF(AND($K444=1,AND(对接源_01水果!$X444="公司筐",N(对接源_01水果!$T444)&lt;&gt;0)),1,0)</f>
        <v>0</v>
      </c>
      <c r="Q444" s="3">
        <f t="shared" si="113"/>
        <v>0</v>
      </c>
      <c r="R444" s="3">
        <f>IF(AND($K444=1,AND(对接源_01水果!$X444="公司筐",N(对接源_01水果!$U444)&lt;&gt;0)),1,0)</f>
        <v>0</v>
      </c>
      <c r="S444" s="3">
        <f t="shared" si="114"/>
        <v>0</v>
      </c>
      <c r="T444" s="3">
        <f>IF(AND($K444=1,AND(对接源_01水果!$X444="公司筐",N(对接源_01水果!$V444)&lt;&gt;0)),1,0)</f>
        <v>0</v>
      </c>
      <c r="U444" s="3">
        <f t="shared" si="115"/>
        <v>19</v>
      </c>
      <c r="V444" s="3">
        <f>IF(AND($L444=1,AND(对接源_01水果!$X444="自备筐",N(对接源_01水果!$V444)&lt;&gt;0)),1,0)</f>
        <v>0</v>
      </c>
      <c r="W444" s="3">
        <f t="shared" si="116"/>
        <v>8</v>
      </c>
      <c r="X444" s="3">
        <f>IF(AND($L444=1,AND(对接源_01水果!$X444="自备筐",N(对接源_01水果!$T444)&lt;&gt;0)),1,0)</f>
        <v>0</v>
      </c>
      <c r="Y444" s="3">
        <f t="shared" si="117"/>
        <v>0</v>
      </c>
      <c r="Z444" s="3">
        <f>IF(AND($M444=1,对接源_01水果!$D444="原料入库"),1,0)</f>
        <v>0</v>
      </c>
      <c r="AA444" s="3">
        <f t="shared" si="118"/>
        <v>24</v>
      </c>
      <c r="AB444" s="3">
        <f>IF(AND($M444=1,LEFT(对接源_01水果!$D444,4)="原料出库"),1,0)</f>
        <v>0</v>
      </c>
      <c r="AC444" s="3">
        <f t="shared" si="119"/>
        <v>0</v>
      </c>
      <c r="AD444" s="3">
        <f>IF(AND($M444=1,LEFT(对接源_01水果!$D444,4)="成品出库"),1,0)</f>
        <v>0</v>
      </c>
      <c r="AE444" s="3">
        <f t="shared" si="120"/>
        <v>0</v>
      </c>
      <c r="AF444" s="3">
        <f>IF(AND($N444=1,AND(LEFT(对接源_01水果!$D444,4)="包装物料",N(对接源_01水果!$K444)&lt;&gt;0)),1,0)</f>
        <v>0</v>
      </c>
      <c r="AG444" s="3">
        <f t="shared" si="121"/>
        <v>0</v>
      </c>
      <c r="AH444" s="3">
        <f>IF(AND($N444=1,AND(对接源_01水果!$D444="周转筐－销售出库",N(对接源_01水果!$K444)&lt;&gt;0)),1,0)</f>
        <v>0</v>
      </c>
      <c r="AI444" s="3">
        <f t="shared" si="122"/>
        <v>0</v>
      </c>
      <c r="AJ444" s="7"/>
      <c r="AL444" s="3">
        <f>IF(OR($AL$1="",对接源_01水果!$Y444="",对接源_01水果!$Y444&lt;&gt;$AL$1,对接源_01水果!$B444="",N(对接源_01水果!$AJ444)&lt;=0),0,IF(OR(N(对接源_01水果!$B444)&lt;$AL$2,N(对接源_01水果!$B444)&gt;$AL$3),0,1))</f>
        <v>0</v>
      </c>
      <c r="AM444" s="3">
        <f t="shared" si="123"/>
        <v>1</v>
      </c>
      <c r="AN444" s="3" t="str">
        <f>IF(对接源_01水果!$AC444="","",对接源_01水果!$AC444)</f>
        <v/>
      </c>
      <c r="AO444" s="3">
        <f t="shared" si="124"/>
        <v>0</v>
      </c>
      <c r="AP444" s="3">
        <f t="shared" si="125"/>
        <v>8</v>
      </c>
      <c r="AR444">
        <f t="shared" si="126"/>
        <v>0</v>
      </c>
      <c r="AS444">
        <f t="shared" si="127"/>
        <v>0</v>
      </c>
    </row>
    <row r="445" ht="14.25" customHeight="1" spans="1:45">
      <c r="A445" s="3" t="str">
        <f>IF(对接源_01水果!$C445="","",对接源_01水果!$C445)</f>
        <v/>
      </c>
      <c r="B445" s="3">
        <f t="shared" si="111"/>
        <v>0</v>
      </c>
      <c r="C445" s="3">
        <f t="shared" si="112"/>
        <v>18</v>
      </c>
      <c r="K445" s="3">
        <f>IF(OR($K$1="",对接源_01水果!$C445="",对接源_01水果!$C445&lt;&gt;$K$1,对接源_01水果!$B445=""),0,IF(OR(N(对接源_01水果!$B445)&lt;$K$2,N(对接源_01水果!$B445)&gt;$K$3),0,1))</f>
        <v>0</v>
      </c>
      <c r="L445" s="3">
        <f>IF(OR($L$1="",对接源_01水果!$C445="",对接源_01水果!$C445&lt;&gt;$L$1,对接源_01水果!$B445=""),0,IF(OR(N(对接源_01水果!$B445)&lt;$L$2,N(对接源_01水果!$B445)&gt;$L$3),0,1))</f>
        <v>0</v>
      </c>
      <c r="M445" s="3">
        <f>IF(OR($M$1="",对接源_01水果!$C445="",对接源_01水果!$C445&lt;&gt;$M$1,对接源_01水果!$B445=""),0,IF(OR(N(对接源_01水果!$B445)&lt;$M$2,N(对接源_01水果!$B445)&gt;$M$3),0,1))</f>
        <v>0</v>
      </c>
      <c r="N445" s="3">
        <f>IF(OR($N$1="",对接源_01水果!$C445="",对接源_01水果!$C445&lt;&gt;$N$1,对接源_01水果!$B445=""),0,IF(OR(N(对接源_01水果!$B445)&lt;$N$2,N(对接源_01水果!$B445)&gt;$N$3),0,1))</f>
        <v>0</v>
      </c>
      <c r="P445" s="3">
        <f>IF(AND($K445=1,AND(对接源_01水果!$X445="公司筐",N(对接源_01水果!$T445)&lt;&gt;0)),1,0)</f>
        <v>0</v>
      </c>
      <c r="Q445" s="3">
        <f t="shared" si="113"/>
        <v>0</v>
      </c>
      <c r="R445" s="3">
        <f>IF(AND($K445=1,AND(对接源_01水果!$X445="公司筐",N(对接源_01水果!$U445)&lt;&gt;0)),1,0)</f>
        <v>0</v>
      </c>
      <c r="S445" s="3">
        <f t="shared" si="114"/>
        <v>0</v>
      </c>
      <c r="T445" s="3">
        <f>IF(AND($K445=1,AND(对接源_01水果!$X445="公司筐",N(对接源_01水果!$V445)&lt;&gt;0)),1,0)</f>
        <v>0</v>
      </c>
      <c r="U445" s="3">
        <f t="shared" si="115"/>
        <v>19</v>
      </c>
      <c r="V445" s="3">
        <f>IF(AND($L445=1,AND(对接源_01水果!$X445="自备筐",N(对接源_01水果!$V445)&lt;&gt;0)),1,0)</f>
        <v>0</v>
      </c>
      <c r="W445" s="3">
        <f t="shared" si="116"/>
        <v>8</v>
      </c>
      <c r="X445" s="3">
        <f>IF(AND($L445=1,AND(对接源_01水果!$X445="自备筐",N(对接源_01水果!$T445)&lt;&gt;0)),1,0)</f>
        <v>0</v>
      </c>
      <c r="Y445" s="3">
        <f t="shared" si="117"/>
        <v>0</v>
      </c>
      <c r="Z445" s="3">
        <f>IF(AND($M445=1,对接源_01水果!$D445="原料入库"),1,0)</f>
        <v>0</v>
      </c>
      <c r="AA445" s="3">
        <f t="shared" si="118"/>
        <v>24</v>
      </c>
      <c r="AB445" s="3">
        <f>IF(AND($M445=1,LEFT(对接源_01水果!$D445,4)="原料出库"),1,0)</f>
        <v>0</v>
      </c>
      <c r="AC445" s="3">
        <f t="shared" si="119"/>
        <v>0</v>
      </c>
      <c r="AD445" s="3">
        <f>IF(AND($M445=1,LEFT(对接源_01水果!$D445,4)="成品出库"),1,0)</f>
        <v>0</v>
      </c>
      <c r="AE445" s="3">
        <f t="shared" si="120"/>
        <v>0</v>
      </c>
      <c r="AF445" s="3">
        <f>IF(AND($N445=1,AND(LEFT(对接源_01水果!$D445,4)="包装物料",N(对接源_01水果!$K445)&lt;&gt;0)),1,0)</f>
        <v>0</v>
      </c>
      <c r="AG445" s="3">
        <f t="shared" si="121"/>
        <v>0</v>
      </c>
      <c r="AH445" s="3">
        <f>IF(AND($N445=1,AND(对接源_01水果!$D445="周转筐－销售出库",N(对接源_01水果!$K445)&lt;&gt;0)),1,0)</f>
        <v>0</v>
      </c>
      <c r="AI445" s="3">
        <f t="shared" si="122"/>
        <v>0</v>
      </c>
      <c r="AJ445" s="7"/>
      <c r="AL445" s="3">
        <f>IF(OR($AL$1="",对接源_01水果!$Y445="",对接源_01水果!$Y445&lt;&gt;$AL$1,对接源_01水果!$B445="",N(对接源_01水果!$AJ445)&lt;=0),0,IF(OR(N(对接源_01水果!$B445)&lt;$AL$2,N(对接源_01水果!$B445)&gt;$AL$3),0,1))</f>
        <v>0</v>
      </c>
      <c r="AM445" s="3">
        <f t="shared" si="123"/>
        <v>1</v>
      </c>
      <c r="AN445" s="3" t="str">
        <f>IF(对接源_01水果!$AC445="","",对接源_01水果!$AC445)</f>
        <v/>
      </c>
      <c r="AO445" s="3">
        <f t="shared" si="124"/>
        <v>0</v>
      </c>
      <c r="AP445" s="3">
        <f t="shared" si="125"/>
        <v>8</v>
      </c>
      <c r="AR445">
        <f t="shared" si="126"/>
        <v>0</v>
      </c>
      <c r="AS445">
        <f t="shared" si="127"/>
        <v>0</v>
      </c>
    </row>
    <row r="446" ht="14.25" customHeight="1" spans="1:45">
      <c r="A446" s="3" t="str">
        <f>IF(对接源_01水果!$C446="","",对接源_01水果!$C446)</f>
        <v/>
      </c>
      <c r="B446" s="3">
        <f t="shared" si="111"/>
        <v>0</v>
      </c>
      <c r="C446" s="3">
        <f t="shared" si="112"/>
        <v>18</v>
      </c>
      <c r="K446" s="3">
        <f>IF(OR($K$1="",对接源_01水果!$C446="",对接源_01水果!$C446&lt;&gt;$K$1,对接源_01水果!$B446=""),0,IF(OR(N(对接源_01水果!$B446)&lt;$K$2,N(对接源_01水果!$B446)&gt;$K$3),0,1))</f>
        <v>0</v>
      </c>
      <c r="L446" s="3">
        <f>IF(OR($L$1="",对接源_01水果!$C446="",对接源_01水果!$C446&lt;&gt;$L$1,对接源_01水果!$B446=""),0,IF(OR(N(对接源_01水果!$B446)&lt;$L$2,N(对接源_01水果!$B446)&gt;$L$3),0,1))</f>
        <v>0</v>
      </c>
      <c r="M446" s="3">
        <f>IF(OR($M$1="",对接源_01水果!$C446="",对接源_01水果!$C446&lt;&gt;$M$1,对接源_01水果!$B446=""),0,IF(OR(N(对接源_01水果!$B446)&lt;$M$2,N(对接源_01水果!$B446)&gt;$M$3),0,1))</f>
        <v>0</v>
      </c>
      <c r="N446" s="3">
        <f>IF(OR($N$1="",对接源_01水果!$C446="",对接源_01水果!$C446&lt;&gt;$N$1,对接源_01水果!$B446=""),0,IF(OR(N(对接源_01水果!$B446)&lt;$N$2,N(对接源_01水果!$B446)&gt;$N$3),0,1))</f>
        <v>0</v>
      </c>
      <c r="P446" s="3">
        <f>IF(AND($K446=1,AND(对接源_01水果!$X446="公司筐",N(对接源_01水果!$T446)&lt;&gt;0)),1,0)</f>
        <v>0</v>
      </c>
      <c r="Q446" s="3">
        <f t="shared" si="113"/>
        <v>0</v>
      </c>
      <c r="R446" s="3">
        <f>IF(AND($K446=1,AND(对接源_01水果!$X446="公司筐",N(对接源_01水果!$U446)&lt;&gt;0)),1,0)</f>
        <v>0</v>
      </c>
      <c r="S446" s="3">
        <f t="shared" si="114"/>
        <v>0</v>
      </c>
      <c r="T446" s="3">
        <f>IF(AND($K446=1,AND(对接源_01水果!$X446="公司筐",N(对接源_01水果!$V446)&lt;&gt;0)),1,0)</f>
        <v>0</v>
      </c>
      <c r="U446" s="3">
        <f t="shared" si="115"/>
        <v>19</v>
      </c>
      <c r="V446" s="3">
        <f>IF(AND($L446=1,AND(对接源_01水果!$X446="自备筐",N(对接源_01水果!$V446)&lt;&gt;0)),1,0)</f>
        <v>0</v>
      </c>
      <c r="W446" s="3">
        <f t="shared" si="116"/>
        <v>8</v>
      </c>
      <c r="X446" s="3">
        <f>IF(AND($L446=1,AND(对接源_01水果!$X446="自备筐",N(对接源_01水果!$T446)&lt;&gt;0)),1,0)</f>
        <v>0</v>
      </c>
      <c r="Y446" s="3">
        <f t="shared" si="117"/>
        <v>0</v>
      </c>
      <c r="Z446" s="3">
        <f>IF(AND($M446=1,对接源_01水果!$D446="原料入库"),1,0)</f>
        <v>0</v>
      </c>
      <c r="AA446" s="3">
        <f t="shared" si="118"/>
        <v>24</v>
      </c>
      <c r="AB446" s="3">
        <f>IF(AND($M446=1,LEFT(对接源_01水果!$D446,4)="原料出库"),1,0)</f>
        <v>0</v>
      </c>
      <c r="AC446" s="3">
        <f t="shared" si="119"/>
        <v>0</v>
      </c>
      <c r="AD446" s="3">
        <f>IF(AND($M446=1,LEFT(对接源_01水果!$D446,4)="成品出库"),1,0)</f>
        <v>0</v>
      </c>
      <c r="AE446" s="3">
        <f t="shared" si="120"/>
        <v>0</v>
      </c>
      <c r="AF446" s="3">
        <f>IF(AND($N446=1,AND(LEFT(对接源_01水果!$D446,4)="包装物料",N(对接源_01水果!$K446)&lt;&gt;0)),1,0)</f>
        <v>0</v>
      </c>
      <c r="AG446" s="3">
        <f t="shared" si="121"/>
        <v>0</v>
      </c>
      <c r="AH446" s="3">
        <f>IF(AND($N446=1,AND(对接源_01水果!$D446="周转筐－销售出库",N(对接源_01水果!$K446)&lt;&gt;0)),1,0)</f>
        <v>0</v>
      </c>
      <c r="AI446" s="3">
        <f t="shared" si="122"/>
        <v>0</v>
      </c>
      <c r="AJ446" s="7"/>
      <c r="AL446" s="3">
        <f>IF(OR($AL$1="",对接源_01水果!$Y446="",对接源_01水果!$Y446&lt;&gt;$AL$1,对接源_01水果!$B446="",N(对接源_01水果!$AJ446)&lt;=0),0,IF(OR(N(对接源_01水果!$B446)&lt;$AL$2,N(对接源_01水果!$B446)&gt;$AL$3),0,1))</f>
        <v>0</v>
      </c>
      <c r="AM446" s="3">
        <f t="shared" si="123"/>
        <v>1</v>
      </c>
      <c r="AN446" s="3" t="str">
        <f>IF(对接源_01水果!$AC446="","",对接源_01水果!$AC446)</f>
        <v/>
      </c>
      <c r="AO446" s="3">
        <f t="shared" si="124"/>
        <v>0</v>
      </c>
      <c r="AP446" s="3">
        <f t="shared" si="125"/>
        <v>8</v>
      </c>
      <c r="AR446">
        <f t="shared" si="126"/>
        <v>0</v>
      </c>
      <c r="AS446">
        <f t="shared" si="127"/>
        <v>0</v>
      </c>
    </row>
    <row r="447" ht="14.25" customHeight="1" spans="1:45">
      <c r="A447" s="3" t="str">
        <f>IF(对接源_01水果!$C447="","",对接源_01水果!$C447)</f>
        <v/>
      </c>
      <c r="B447" s="3">
        <f t="shared" si="111"/>
        <v>0</v>
      </c>
      <c r="C447" s="3">
        <f t="shared" si="112"/>
        <v>18</v>
      </c>
      <c r="K447" s="3">
        <f>IF(OR($K$1="",对接源_01水果!$C447="",对接源_01水果!$C447&lt;&gt;$K$1,对接源_01水果!$B447=""),0,IF(OR(N(对接源_01水果!$B447)&lt;$K$2,N(对接源_01水果!$B447)&gt;$K$3),0,1))</f>
        <v>0</v>
      </c>
      <c r="L447" s="3">
        <f>IF(OR($L$1="",对接源_01水果!$C447="",对接源_01水果!$C447&lt;&gt;$L$1,对接源_01水果!$B447=""),0,IF(OR(N(对接源_01水果!$B447)&lt;$L$2,N(对接源_01水果!$B447)&gt;$L$3),0,1))</f>
        <v>0</v>
      </c>
      <c r="M447" s="3">
        <f>IF(OR($M$1="",对接源_01水果!$C447="",对接源_01水果!$C447&lt;&gt;$M$1,对接源_01水果!$B447=""),0,IF(OR(N(对接源_01水果!$B447)&lt;$M$2,N(对接源_01水果!$B447)&gt;$M$3),0,1))</f>
        <v>0</v>
      </c>
      <c r="N447" s="3">
        <f>IF(OR($N$1="",对接源_01水果!$C447="",对接源_01水果!$C447&lt;&gt;$N$1,对接源_01水果!$B447=""),0,IF(OR(N(对接源_01水果!$B447)&lt;$N$2,N(对接源_01水果!$B447)&gt;$N$3),0,1))</f>
        <v>0</v>
      </c>
      <c r="P447" s="3">
        <f>IF(AND($K447=1,AND(对接源_01水果!$X447="公司筐",N(对接源_01水果!$T447)&lt;&gt;0)),1,0)</f>
        <v>0</v>
      </c>
      <c r="Q447" s="3">
        <f t="shared" si="113"/>
        <v>0</v>
      </c>
      <c r="R447" s="3">
        <f>IF(AND($K447=1,AND(对接源_01水果!$X447="公司筐",N(对接源_01水果!$U447)&lt;&gt;0)),1,0)</f>
        <v>0</v>
      </c>
      <c r="S447" s="3">
        <f t="shared" si="114"/>
        <v>0</v>
      </c>
      <c r="T447" s="3">
        <f>IF(AND($K447=1,AND(对接源_01水果!$X447="公司筐",N(对接源_01水果!$V447)&lt;&gt;0)),1,0)</f>
        <v>0</v>
      </c>
      <c r="U447" s="3">
        <f t="shared" si="115"/>
        <v>19</v>
      </c>
      <c r="V447" s="3">
        <f>IF(AND($L447=1,AND(对接源_01水果!$X447="自备筐",N(对接源_01水果!$V447)&lt;&gt;0)),1,0)</f>
        <v>0</v>
      </c>
      <c r="W447" s="3">
        <f t="shared" si="116"/>
        <v>8</v>
      </c>
      <c r="X447" s="3">
        <f>IF(AND($L447=1,AND(对接源_01水果!$X447="自备筐",N(对接源_01水果!$T447)&lt;&gt;0)),1,0)</f>
        <v>0</v>
      </c>
      <c r="Y447" s="3">
        <f t="shared" si="117"/>
        <v>0</v>
      </c>
      <c r="Z447" s="3">
        <f>IF(AND($M447=1,对接源_01水果!$D447="原料入库"),1,0)</f>
        <v>0</v>
      </c>
      <c r="AA447" s="3">
        <f t="shared" si="118"/>
        <v>24</v>
      </c>
      <c r="AB447" s="3">
        <f>IF(AND($M447=1,LEFT(对接源_01水果!$D447,4)="原料出库"),1,0)</f>
        <v>0</v>
      </c>
      <c r="AC447" s="3">
        <f t="shared" si="119"/>
        <v>0</v>
      </c>
      <c r="AD447" s="3">
        <f>IF(AND($M447=1,LEFT(对接源_01水果!$D447,4)="成品出库"),1,0)</f>
        <v>0</v>
      </c>
      <c r="AE447" s="3">
        <f t="shared" si="120"/>
        <v>0</v>
      </c>
      <c r="AF447" s="3">
        <f>IF(AND($N447=1,AND(LEFT(对接源_01水果!$D447,4)="包装物料",N(对接源_01水果!$K447)&lt;&gt;0)),1,0)</f>
        <v>0</v>
      </c>
      <c r="AG447" s="3">
        <f t="shared" si="121"/>
        <v>0</v>
      </c>
      <c r="AH447" s="3">
        <f>IF(AND($N447=1,AND(对接源_01水果!$D447="周转筐－销售出库",N(对接源_01水果!$K447)&lt;&gt;0)),1,0)</f>
        <v>0</v>
      </c>
      <c r="AI447" s="3">
        <f t="shared" si="122"/>
        <v>0</v>
      </c>
      <c r="AJ447" s="7"/>
      <c r="AL447" s="3">
        <f>IF(OR($AL$1="",对接源_01水果!$Y447="",对接源_01水果!$Y447&lt;&gt;$AL$1,对接源_01水果!$B447="",N(对接源_01水果!$AJ447)&lt;=0),0,IF(OR(N(对接源_01水果!$B447)&lt;$AL$2,N(对接源_01水果!$B447)&gt;$AL$3),0,1))</f>
        <v>0</v>
      </c>
      <c r="AM447" s="3">
        <f t="shared" si="123"/>
        <v>1</v>
      </c>
      <c r="AN447" s="3" t="str">
        <f>IF(对接源_01水果!$AC447="","",对接源_01水果!$AC447)</f>
        <v/>
      </c>
      <c r="AO447" s="3">
        <f t="shared" si="124"/>
        <v>0</v>
      </c>
      <c r="AP447" s="3">
        <f t="shared" si="125"/>
        <v>8</v>
      </c>
      <c r="AR447">
        <f t="shared" si="126"/>
        <v>0</v>
      </c>
      <c r="AS447">
        <f t="shared" si="127"/>
        <v>0</v>
      </c>
    </row>
    <row r="448" ht="14.25" customHeight="1" spans="1:45">
      <c r="A448" s="3" t="str">
        <f>IF(对接源_01水果!$C448="","",对接源_01水果!$C448)</f>
        <v/>
      </c>
      <c r="B448" s="3">
        <f t="shared" si="111"/>
        <v>0</v>
      </c>
      <c r="C448" s="3">
        <f t="shared" si="112"/>
        <v>18</v>
      </c>
      <c r="K448" s="3">
        <f>IF(OR($K$1="",对接源_01水果!$C448="",对接源_01水果!$C448&lt;&gt;$K$1,对接源_01水果!$B448=""),0,IF(OR(N(对接源_01水果!$B448)&lt;$K$2,N(对接源_01水果!$B448)&gt;$K$3),0,1))</f>
        <v>0</v>
      </c>
      <c r="L448" s="3">
        <f>IF(OR($L$1="",对接源_01水果!$C448="",对接源_01水果!$C448&lt;&gt;$L$1,对接源_01水果!$B448=""),0,IF(OR(N(对接源_01水果!$B448)&lt;$L$2,N(对接源_01水果!$B448)&gt;$L$3),0,1))</f>
        <v>0</v>
      </c>
      <c r="M448" s="3">
        <f>IF(OR($M$1="",对接源_01水果!$C448="",对接源_01水果!$C448&lt;&gt;$M$1,对接源_01水果!$B448=""),0,IF(OR(N(对接源_01水果!$B448)&lt;$M$2,N(对接源_01水果!$B448)&gt;$M$3),0,1))</f>
        <v>0</v>
      </c>
      <c r="N448" s="3">
        <f>IF(OR($N$1="",对接源_01水果!$C448="",对接源_01水果!$C448&lt;&gt;$N$1,对接源_01水果!$B448=""),0,IF(OR(N(对接源_01水果!$B448)&lt;$N$2,N(对接源_01水果!$B448)&gt;$N$3),0,1))</f>
        <v>0</v>
      </c>
      <c r="P448" s="3">
        <f>IF(AND($K448=1,AND(对接源_01水果!$X448="公司筐",N(对接源_01水果!$T448)&lt;&gt;0)),1,0)</f>
        <v>0</v>
      </c>
      <c r="Q448" s="3">
        <f t="shared" si="113"/>
        <v>0</v>
      </c>
      <c r="R448" s="3">
        <f>IF(AND($K448=1,AND(对接源_01水果!$X448="公司筐",N(对接源_01水果!$U448)&lt;&gt;0)),1,0)</f>
        <v>0</v>
      </c>
      <c r="S448" s="3">
        <f t="shared" si="114"/>
        <v>0</v>
      </c>
      <c r="T448" s="3">
        <f>IF(AND($K448=1,AND(对接源_01水果!$X448="公司筐",N(对接源_01水果!$V448)&lt;&gt;0)),1,0)</f>
        <v>0</v>
      </c>
      <c r="U448" s="3">
        <f t="shared" si="115"/>
        <v>19</v>
      </c>
      <c r="V448" s="3">
        <f>IF(AND($L448=1,AND(对接源_01水果!$X448="自备筐",N(对接源_01水果!$V448)&lt;&gt;0)),1,0)</f>
        <v>0</v>
      </c>
      <c r="W448" s="3">
        <f t="shared" si="116"/>
        <v>8</v>
      </c>
      <c r="X448" s="3">
        <f>IF(AND($L448=1,AND(对接源_01水果!$X448="自备筐",N(对接源_01水果!$T448)&lt;&gt;0)),1,0)</f>
        <v>0</v>
      </c>
      <c r="Y448" s="3">
        <f t="shared" si="117"/>
        <v>0</v>
      </c>
      <c r="Z448" s="3">
        <f>IF(AND($M448=1,对接源_01水果!$D448="原料入库"),1,0)</f>
        <v>0</v>
      </c>
      <c r="AA448" s="3">
        <f t="shared" si="118"/>
        <v>24</v>
      </c>
      <c r="AB448" s="3">
        <f>IF(AND($M448=1,LEFT(对接源_01水果!$D448,4)="原料出库"),1,0)</f>
        <v>0</v>
      </c>
      <c r="AC448" s="3">
        <f t="shared" si="119"/>
        <v>0</v>
      </c>
      <c r="AD448" s="3">
        <f>IF(AND($M448=1,LEFT(对接源_01水果!$D448,4)="成品出库"),1,0)</f>
        <v>0</v>
      </c>
      <c r="AE448" s="3">
        <f t="shared" si="120"/>
        <v>0</v>
      </c>
      <c r="AF448" s="3">
        <f>IF(AND($N448=1,AND(LEFT(对接源_01水果!$D448,4)="包装物料",N(对接源_01水果!$K448)&lt;&gt;0)),1,0)</f>
        <v>0</v>
      </c>
      <c r="AG448" s="3">
        <f t="shared" si="121"/>
        <v>0</v>
      </c>
      <c r="AH448" s="3">
        <f>IF(AND($N448=1,AND(对接源_01水果!$D448="周转筐－销售出库",N(对接源_01水果!$K448)&lt;&gt;0)),1,0)</f>
        <v>0</v>
      </c>
      <c r="AI448" s="3">
        <f t="shared" si="122"/>
        <v>0</v>
      </c>
      <c r="AJ448" s="7"/>
      <c r="AL448" s="3">
        <f>IF(OR($AL$1="",对接源_01水果!$Y448="",对接源_01水果!$Y448&lt;&gt;$AL$1,对接源_01水果!$B448="",N(对接源_01水果!$AJ448)&lt;=0),0,IF(OR(N(对接源_01水果!$B448)&lt;$AL$2,N(对接源_01水果!$B448)&gt;$AL$3),0,1))</f>
        <v>0</v>
      </c>
      <c r="AM448" s="3">
        <f t="shared" si="123"/>
        <v>1</v>
      </c>
      <c r="AN448" s="3" t="str">
        <f>IF(对接源_01水果!$AC448="","",对接源_01水果!$AC448)</f>
        <v/>
      </c>
      <c r="AO448" s="3">
        <f t="shared" si="124"/>
        <v>0</v>
      </c>
      <c r="AP448" s="3">
        <f t="shared" si="125"/>
        <v>8</v>
      </c>
      <c r="AR448">
        <f t="shared" si="126"/>
        <v>0</v>
      </c>
      <c r="AS448">
        <f t="shared" si="127"/>
        <v>0</v>
      </c>
    </row>
    <row r="449" ht="14.25" customHeight="1" spans="1:45">
      <c r="A449" s="3" t="str">
        <f>IF(对接源_01水果!$C449="","",对接源_01水果!$C449)</f>
        <v/>
      </c>
      <c r="B449" s="3">
        <f t="shared" si="111"/>
        <v>0</v>
      </c>
      <c r="C449" s="3">
        <f t="shared" si="112"/>
        <v>18</v>
      </c>
      <c r="K449" s="3">
        <f>IF(OR($K$1="",对接源_01水果!$C449="",对接源_01水果!$C449&lt;&gt;$K$1,对接源_01水果!$B449=""),0,IF(OR(N(对接源_01水果!$B449)&lt;$K$2,N(对接源_01水果!$B449)&gt;$K$3),0,1))</f>
        <v>0</v>
      </c>
      <c r="L449" s="3">
        <f>IF(OR($L$1="",对接源_01水果!$C449="",对接源_01水果!$C449&lt;&gt;$L$1,对接源_01水果!$B449=""),0,IF(OR(N(对接源_01水果!$B449)&lt;$L$2,N(对接源_01水果!$B449)&gt;$L$3),0,1))</f>
        <v>0</v>
      </c>
      <c r="M449" s="3">
        <f>IF(OR($M$1="",对接源_01水果!$C449="",对接源_01水果!$C449&lt;&gt;$M$1,对接源_01水果!$B449=""),0,IF(OR(N(对接源_01水果!$B449)&lt;$M$2,N(对接源_01水果!$B449)&gt;$M$3),0,1))</f>
        <v>0</v>
      </c>
      <c r="N449" s="3">
        <f>IF(OR($N$1="",对接源_01水果!$C449="",对接源_01水果!$C449&lt;&gt;$N$1,对接源_01水果!$B449=""),0,IF(OR(N(对接源_01水果!$B449)&lt;$N$2,N(对接源_01水果!$B449)&gt;$N$3),0,1))</f>
        <v>0</v>
      </c>
      <c r="P449" s="3">
        <f>IF(AND($K449=1,AND(对接源_01水果!$X449="公司筐",N(对接源_01水果!$T449)&lt;&gt;0)),1,0)</f>
        <v>0</v>
      </c>
      <c r="Q449" s="3">
        <f t="shared" si="113"/>
        <v>0</v>
      </c>
      <c r="R449" s="3">
        <f>IF(AND($K449=1,AND(对接源_01水果!$X449="公司筐",N(对接源_01水果!$U449)&lt;&gt;0)),1,0)</f>
        <v>0</v>
      </c>
      <c r="S449" s="3">
        <f t="shared" si="114"/>
        <v>0</v>
      </c>
      <c r="T449" s="3">
        <f>IF(AND($K449=1,AND(对接源_01水果!$X449="公司筐",N(对接源_01水果!$V449)&lt;&gt;0)),1,0)</f>
        <v>0</v>
      </c>
      <c r="U449" s="3">
        <f t="shared" si="115"/>
        <v>19</v>
      </c>
      <c r="V449" s="3">
        <f>IF(AND($L449=1,AND(对接源_01水果!$X449="自备筐",N(对接源_01水果!$V449)&lt;&gt;0)),1,0)</f>
        <v>0</v>
      </c>
      <c r="W449" s="3">
        <f t="shared" si="116"/>
        <v>8</v>
      </c>
      <c r="X449" s="3">
        <f>IF(AND($L449=1,AND(对接源_01水果!$X449="自备筐",N(对接源_01水果!$T449)&lt;&gt;0)),1,0)</f>
        <v>0</v>
      </c>
      <c r="Y449" s="3">
        <f t="shared" si="117"/>
        <v>0</v>
      </c>
      <c r="Z449" s="3">
        <f>IF(AND($M449=1,对接源_01水果!$D449="原料入库"),1,0)</f>
        <v>0</v>
      </c>
      <c r="AA449" s="3">
        <f t="shared" si="118"/>
        <v>24</v>
      </c>
      <c r="AB449" s="3">
        <f>IF(AND($M449=1,LEFT(对接源_01水果!$D449,4)="原料出库"),1,0)</f>
        <v>0</v>
      </c>
      <c r="AC449" s="3">
        <f t="shared" si="119"/>
        <v>0</v>
      </c>
      <c r="AD449" s="3">
        <f>IF(AND($M449=1,LEFT(对接源_01水果!$D449,4)="成品出库"),1,0)</f>
        <v>0</v>
      </c>
      <c r="AE449" s="3">
        <f t="shared" si="120"/>
        <v>0</v>
      </c>
      <c r="AF449" s="3">
        <f>IF(AND($N449=1,AND(LEFT(对接源_01水果!$D449,4)="包装物料",N(对接源_01水果!$K449)&lt;&gt;0)),1,0)</f>
        <v>0</v>
      </c>
      <c r="AG449" s="3">
        <f t="shared" si="121"/>
        <v>0</v>
      </c>
      <c r="AH449" s="3">
        <f>IF(AND($N449=1,AND(对接源_01水果!$D449="周转筐－销售出库",N(对接源_01水果!$K449)&lt;&gt;0)),1,0)</f>
        <v>0</v>
      </c>
      <c r="AI449" s="3">
        <f t="shared" si="122"/>
        <v>0</v>
      </c>
      <c r="AJ449" s="7"/>
      <c r="AL449" s="3">
        <f>IF(OR($AL$1="",对接源_01水果!$Y449="",对接源_01水果!$Y449&lt;&gt;$AL$1,对接源_01水果!$B449="",N(对接源_01水果!$AJ449)&lt;=0),0,IF(OR(N(对接源_01水果!$B449)&lt;$AL$2,N(对接源_01水果!$B449)&gt;$AL$3),0,1))</f>
        <v>0</v>
      </c>
      <c r="AM449" s="3">
        <f t="shared" si="123"/>
        <v>1</v>
      </c>
      <c r="AN449" s="3" t="str">
        <f>IF(对接源_01水果!$AC449="","",对接源_01水果!$AC449)</f>
        <v/>
      </c>
      <c r="AO449" s="3">
        <f t="shared" si="124"/>
        <v>0</v>
      </c>
      <c r="AP449" s="3">
        <f t="shared" si="125"/>
        <v>8</v>
      </c>
      <c r="AR449">
        <f t="shared" si="126"/>
        <v>0</v>
      </c>
      <c r="AS449">
        <f t="shared" si="127"/>
        <v>0</v>
      </c>
    </row>
    <row r="450" ht="14.25" customHeight="1" spans="1:45">
      <c r="A450" s="3" t="str">
        <f>IF(对接源_01水果!$C450="","",对接源_01水果!$C450)</f>
        <v/>
      </c>
      <c r="B450" s="3">
        <f t="shared" si="111"/>
        <v>0</v>
      </c>
      <c r="C450" s="3">
        <f t="shared" si="112"/>
        <v>18</v>
      </c>
      <c r="K450" s="3">
        <f>IF(OR($K$1="",对接源_01水果!$C450="",对接源_01水果!$C450&lt;&gt;$K$1,对接源_01水果!$B450=""),0,IF(OR(N(对接源_01水果!$B450)&lt;$K$2,N(对接源_01水果!$B450)&gt;$K$3),0,1))</f>
        <v>0</v>
      </c>
      <c r="L450" s="3">
        <f>IF(OR($L$1="",对接源_01水果!$C450="",对接源_01水果!$C450&lt;&gt;$L$1,对接源_01水果!$B450=""),0,IF(OR(N(对接源_01水果!$B450)&lt;$L$2,N(对接源_01水果!$B450)&gt;$L$3),0,1))</f>
        <v>0</v>
      </c>
      <c r="M450" s="3">
        <f>IF(OR($M$1="",对接源_01水果!$C450="",对接源_01水果!$C450&lt;&gt;$M$1,对接源_01水果!$B450=""),0,IF(OR(N(对接源_01水果!$B450)&lt;$M$2,N(对接源_01水果!$B450)&gt;$M$3),0,1))</f>
        <v>0</v>
      </c>
      <c r="N450" s="3">
        <f>IF(OR($N$1="",对接源_01水果!$C450="",对接源_01水果!$C450&lt;&gt;$N$1,对接源_01水果!$B450=""),0,IF(OR(N(对接源_01水果!$B450)&lt;$N$2,N(对接源_01水果!$B450)&gt;$N$3),0,1))</f>
        <v>0</v>
      </c>
      <c r="P450" s="3">
        <f>IF(AND($K450=1,AND(对接源_01水果!$X450="公司筐",N(对接源_01水果!$T450)&lt;&gt;0)),1,0)</f>
        <v>0</v>
      </c>
      <c r="Q450" s="3">
        <f t="shared" si="113"/>
        <v>0</v>
      </c>
      <c r="R450" s="3">
        <f>IF(AND($K450=1,AND(对接源_01水果!$X450="公司筐",N(对接源_01水果!$U450)&lt;&gt;0)),1,0)</f>
        <v>0</v>
      </c>
      <c r="S450" s="3">
        <f t="shared" si="114"/>
        <v>0</v>
      </c>
      <c r="T450" s="3">
        <f>IF(AND($K450=1,AND(对接源_01水果!$X450="公司筐",N(对接源_01水果!$V450)&lt;&gt;0)),1,0)</f>
        <v>0</v>
      </c>
      <c r="U450" s="3">
        <f t="shared" si="115"/>
        <v>19</v>
      </c>
      <c r="V450" s="3">
        <f>IF(AND($L450=1,AND(对接源_01水果!$X450="自备筐",N(对接源_01水果!$V450)&lt;&gt;0)),1,0)</f>
        <v>0</v>
      </c>
      <c r="W450" s="3">
        <f t="shared" si="116"/>
        <v>8</v>
      </c>
      <c r="X450" s="3">
        <f>IF(AND($L450=1,AND(对接源_01水果!$X450="自备筐",N(对接源_01水果!$T450)&lt;&gt;0)),1,0)</f>
        <v>0</v>
      </c>
      <c r="Y450" s="3">
        <f t="shared" si="117"/>
        <v>0</v>
      </c>
      <c r="Z450" s="3">
        <f>IF(AND($M450=1,对接源_01水果!$D450="原料入库"),1,0)</f>
        <v>0</v>
      </c>
      <c r="AA450" s="3">
        <f t="shared" si="118"/>
        <v>24</v>
      </c>
      <c r="AB450" s="3">
        <f>IF(AND($M450=1,LEFT(对接源_01水果!$D450,4)="原料出库"),1,0)</f>
        <v>0</v>
      </c>
      <c r="AC450" s="3">
        <f t="shared" si="119"/>
        <v>0</v>
      </c>
      <c r="AD450" s="3">
        <f>IF(AND($M450=1,LEFT(对接源_01水果!$D450,4)="成品出库"),1,0)</f>
        <v>0</v>
      </c>
      <c r="AE450" s="3">
        <f t="shared" si="120"/>
        <v>0</v>
      </c>
      <c r="AF450" s="3">
        <f>IF(AND($N450=1,AND(LEFT(对接源_01水果!$D450,4)="包装物料",N(对接源_01水果!$K450)&lt;&gt;0)),1,0)</f>
        <v>0</v>
      </c>
      <c r="AG450" s="3">
        <f t="shared" si="121"/>
        <v>0</v>
      </c>
      <c r="AH450" s="3">
        <f>IF(AND($N450=1,AND(对接源_01水果!$D450="周转筐－销售出库",N(对接源_01水果!$K450)&lt;&gt;0)),1,0)</f>
        <v>0</v>
      </c>
      <c r="AI450" s="3">
        <f t="shared" si="122"/>
        <v>0</v>
      </c>
      <c r="AJ450" s="7"/>
      <c r="AL450" s="3">
        <f>IF(OR($AL$1="",对接源_01水果!$Y450="",对接源_01水果!$Y450&lt;&gt;$AL$1,对接源_01水果!$B450="",N(对接源_01水果!$AJ450)&lt;=0),0,IF(OR(N(对接源_01水果!$B450)&lt;$AL$2,N(对接源_01水果!$B450)&gt;$AL$3),0,1))</f>
        <v>0</v>
      </c>
      <c r="AM450" s="3">
        <f t="shared" si="123"/>
        <v>1</v>
      </c>
      <c r="AN450" s="3" t="str">
        <f>IF(对接源_01水果!$AC450="","",对接源_01水果!$AC450)</f>
        <v/>
      </c>
      <c r="AO450" s="3">
        <f t="shared" si="124"/>
        <v>0</v>
      </c>
      <c r="AP450" s="3">
        <f t="shared" si="125"/>
        <v>8</v>
      </c>
      <c r="AR450">
        <f t="shared" si="126"/>
        <v>0</v>
      </c>
      <c r="AS450">
        <f t="shared" si="127"/>
        <v>0</v>
      </c>
    </row>
    <row r="451" ht="14.25" customHeight="1" spans="1:45">
      <c r="A451" s="3" t="str">
        <f>IF(对接源_01水果!$C451="","",对接源_01水果!$C451)</f>
        <v/>
      </c>
      <c r="B451" s="3">
        <f t="shared" si="111"/>
        <v>0</v>
      </c>
      <c r="C451" s="3">
        <f t="shared" si="112"/>
        <v>18</v>
      </c>
      <c r="K451" s="3">
        <f>IF(OR($K$1="",对接源_01水果!$C451="",对接源_01水果!$C451&lt;&gt;$K$1,对接源_01水果!$B451=""),0,IF(OR(N(对接源_01水果!$B451)&lt;$K$2,N(对接源_01水果!$B451)&gt;$K$3),0,1))</f>
        <v>0</v>
      </c>
      <c r="L451" s="3">
        <f>IF(OR($L$1="",对接源_01水果!$C451="",对接源_01水果!$C451&lt;&gt;$L$1,对接源_01水果!$B451=""),0,IF(OR(N(对接源_01水果!$B451)&lt;$L$2,N(对接源_01水果!$B451)&gt;$L$3),0,1))</f>
        <v>0</v>
      </c>
      <c r="M451" s="3">
        <f>IF(OR($M$1="",对接源_01水果!$C451="",对接源_01水果!$C451&lt;&gt;$M$1,对接源_01水果!$B451=""),0,IF(OR(N(对接源_01水果!$B451)&lt;$M$2,N(对接源_01水果!$B451)&gt;$M$3),0,1))</f>
        <v>0</v>
      </c>
      <c r="N451" s="3">
        <f>IF(OR($N$1="",对接源_01水果!$C451="",对接源_01水果!$C451&lt;&gt;$N$1,对接源_01水果!$B451=""),0,IF(OR(N(对接源_01水果!$B451)&lt;$N$2,N(对接源_01水果!$B451)&gt;$N$3),0,1))</f>
        <v>0</v>
      </c>
      <c r="P451" s="3">
        <f>IF(AND($K451=1,AND(对接源_01水果!$X451="公司筐",N(对接源_01水果!$T451)&lt;&gt;0)),1,0)</f>
        <v>0</v>
      </c>
      <c r="Q451" s="3">
        <f t="shared" si="113"/>
        <v>0</v>
      </c>
      <c r="R451" s="3">
        <f>IF(AND($K451=1,AND(对接源_01水果!$X451="公司筐",N(对接源_01水果!$U451)&lt;&gt;0)),1,0)</f>
        <v>0</v>
      </c>
      <c r="S451" s="3">
        <f t="shared" si="114"/>
        <v>0</v>
      </c>
      <c r="T451" s="3">
        <f>IF(AND($K451=1,AND(对接源_01水果!$X451="公司筐",N(对接源_01水果!$V451)&lt;&gt;0)),1,0)</f>
        <v>0</v>
      </c>
      <c r="U451" s="3">
        <f t="shared" si="115"/>
        <v>19</v>
      </c>
      <c r="V451" s="3">
        <f>IF(AND($L451=1,AND(对接源_01水果!$X451="自备筐",N(对接源_01水果!$V451)&lt;&gt;0)),1,0)</f>
        <v>0</v>
      </c>
      <c r="W451" s="3">
        <f t="shared" si="116"/>
        <v>8</v>
      </c>
      <c r="X451" s="3">
        <f>IF(AND($L451=1,AND(对接源_01水果!$X451="自备筐",N(对接源_01水果!$T451)&lt;&gt;0)),1,0)</f>
        <v>0</v>
      </c>
      <c r="Y451" s="3">
        <f t="shared" si="117"/>
        <v>0</v>
      </c>
      <c r="Z451" s="3">
        <f>IF(AND($M451=1,对接源_01水果!$D451="原料入库"),1,0)</f>
        <v>0</v>
      </c>
      <c r="AA451" s="3">
        <f t="shared" si="118"/>
        <v>24</v>
      </c>
      <c r="AB451" s="3">
        <f>IF(AND($M451=1,LEFT(对接源_01水果!$D451,4)="原料出库"),1,0)</f>
        <v>0</v>
      </c>
      <c r="AC451" s="3">
        <f t="shared" si="119"/>
        <v>0</v>
      </c>
      <c r="AD451" s="3">
        <f>IF(AND($M451=1,LEFT(对接源_01水果!$D451,4)="成品出库"),1,0)</f>
        <v>0</v>
      </c>
      <c r="AE451" s="3">
        <f t="shared" si="120"/>
        <v>0</v>
      </c>
      <c r="AF451" s="3">
        <f>IF(AND($N451=1,AND(LEFT(对接源_01水果!$D451,4)="包装物料",N(对接源_01水果!$K451)&lt;&gt;0)),1,0)</f>
        <v>0</v>
      </c>
      <c r="AG451" s="3">
        <f t="shared" si="121"/>
        <v>0</v>
      </c>
      <c r="AH451" s="3">
        <f>IF(AND($N451=1,AND(对接源_01水果!$D451="周转筐－销售出库",N(对接源_01水果!$K451)&lt;&gt;0)),1,0)</f>
        <v>0</v>
      </c>
      <c r="AI451" s="3">
        <f t="shared" si="122"/>
        <v>0</v>
      </c>
      <c r="AJ451" s="7"/>
      <c r="AL451" s="3">
        <f>IF(OR($AL$1="",对接源_01水果!$Y451="",对接源_01水果!$Y451&lt;&gt;$AL$1,对接源_01水果!$B451="",N(对接源_01水果!$AJ451)&lt;=0),0,IF(OR(N(对接源_01水果!$B451)&lt;$AL$2,N(对接源_01水果!$B451)&gt;$AL$3),0,1))</f>
        <v>0</v>
      </c>
      <c r="AM451" s="3">
        <f t="shared" si="123"/>
        <v>1</v>
      </c>
      <c r="AN451" s="3" t="str">
        <f>IF(对接源_01水果!$AC451="","",对接源_01水果!$AC451)</f>
        <v/>
      </c>
      <c r="AO451" s="3">
        <f t="shared" si="124"/>
        <v>0</v>
      </c>
      <c r="AP451" s="3">
        <f t="shared" si="125"/>
        <v>8</v>
      </c>
      <c r="AR451">
        <f t="shared" si="126"/>
        <v>0</v>
      </c>
      <c r="AS451">
        <f t="shared" si="127"/>
        <v>0</v>
      </c>
    </row>
    <row r="452" ht="14.25" customHeight="1" spans="1:45">
      <c r="A452" s="3" t="str">
        <f>IF(对接源_01水果!$C452="","",对接源_01水果!$C452)</f>
        <v/>
      </c>
      <c r="B452" s="3">
        <f t="shared" ref="B452:B515" si="128">IF(A452="",0,IF(MATCH(A452,$A$4:$A$2403,0)=ROW()-3,1,0))</f>
        <v>0</v>
      </c>
      <c r="C452" s="3">
        <f t="shared" ref="C452:C515" si="129">N(C451)+B452</f>
        <v>18</v>
      </c>
      <c r="K452" s="3">
        <f>IF(OR($K$1="",对接源_01水果!$C452="",对接源_01水果!$C452&lt;&gt;$K$1,对接源_01水果!$B452=""),0,IF(OR(N(对接源_01水果!$B452)&lt;$K$2,N(对接源_01水果!$B452)&gt;$K$3),0,1))</f>
        <v>0</v>
      </c>
      <c r="L452" s="3">
        <f>IF(OR($L$1="",对接源_01水果!$C452="",对接源_01水果!$C452&lt;&gt;$L$1,对接源_01水果!$B452=""),0,IF(OR(N(对接源_01水果!$B452)&lt;$L$2,N(对接源_01水果!$B452)&gt;$L$3),0,1))</f>
        <v>0</v>
      </c>
      <c r="M452" s="3">
        <f>IF(OR($M$1="",对接源_01水果!$C452="",对接源_01水果!$C452&lt;&gt;$M$1,对接源_01水果!$B452=""),0,IF(OR(N(对接源_01水果!$B452)&lt;$M$2,N(对接源_01水果!$B452)&gt;$M$3),0,1))</f>
        <v>0</v>
      </c>
      <c r="N452" s="3">
        <f>IF(OR($N$1="",对接源_01水果!$C452="",对接源_01水果!$C452&lt;&gt;$N$1,对接源_01水果!$B452=""),0,IF(OR(N(对接源_01水果!$B452)&lt;$N$2,N(对接源_01水果!$B452)&gt;$N$3),0,1))</f>
        <v>0</v>
      </c>
      <c r="P452" s="3">
        <f>IF(AND($K452=1,AND(对接源_01水果!$X452="公司筐",N(对接源_01水果!$T452)&lt;&gt;0)),1,0)</f>
        <v>0</v>
      </c>
      <c r="Q452" s="3">
        <f t="shared" ref="Q452:Q515" si="130">N(Q451)+$P452</f>
        <v>0</v>
      </c>
      <c r="R452" s="3">
        <f>IF(AND($K452=1,AND(对接源_01水果!$X452="公司筐",N(对接源_01水果!$U452)&lt;&gt;0)),1,0)</f>
        <v>0</v>
      </c>
      <c r="S452" s="3">
        <f t="shared" ref="S452:S515" si="131">N(S451)+$R452</f>
        <v>0</v>
      </c>
      <c r="T452" s="3">
        <f>IF(AND($K452=1,AND(对接源_01水果!$X452="公司筐",N(对接源_01水果!$V452)&lt;&gt;0)),1,0)</f>
        <v>0</v>
      </c>
      <c r="U452" s="3">
        <f t="shared" ref="U452:U515" si="132">N(U451)+$T452</f>
        <v>19</v>
      </c>
      <c r="V452" s="3">
        <f>IF(AND($L452=1,AND(对接源_01水果!$X452="自备筐",N(对接源_01水果!$V452)&lt;&gt;0)),1,0)</f>
        <v>0</v>
      </c>
      <c r="W452" s="3">
        <f t="shared" ref="W452:W515" si="133">N(W451)+$V452</f>
        <v>8</v>
      </c>
      <c r="X452" s="3">
        <f>IF(AND($L452=1,AND(对接源_01水果!$X452="自备筐",N(对接源_01水果!$T452)&lt;&gt;0)),1,0)</f>
        <v>0</v>
      </c>
      <c r="Y452" s="3">
        <f t="shared" ref="Y452:Y515" si="134">N(Y451)+$X452</f>
        <v>0</v>
      </c>
      <c r="Z452" s="3">
        <f>IF(AND($M452=1,对接源_01水果!$D452="原料入库"),1,0)</f>
        <v>0</v>
      </c>
      <c r="AA452" s="3">
        <f t="shared" ref="AA452:AA515" si="135">N(AA451)+$Z452</f>
        <v>24</v>
      </c>
      <c r="AB452" s="3">
        <f>IF(AND($M452=1,LEFT(对接源_01水果!$D452,4)="原料出库"),1,0)</f>
        <v>0</v>
      </c>
      <c r="AC452" s="3">
        <f t="shared" ref="AC452:AC515" si="136">N(AC451)+$AB452</f>
        <v>0</v>
      </c>
      <c r="AD452" s="3">
        <f>IF(AND($M452=1,LEFT(对接源_01水果!$D452,4)="成品出库"),1,0)</f>
        <v>0</v>
      </c>
      <c r="AE452" s="3">
        <f t="shared" ref="AE452:AE515" si="137">N(AE451)+$AD452</f>
        <v>0</v>
      </c>
      <c r="AF452" s="3">
        <f>IF(AND($N452=1,AND(LEFT(对接源_01水果!$D452,4)="包装物料",N(对接源_01水果!$K452)&lt;&gt;0)),1,0)</f>
        <v>0</v>
      </c>
      <c r="AG452" s="3">
        <f t="shared" ref="AG452:AG515" si="138">N(AG451)+$AF452</f>
        <v>0</v>
      </c>
      <c r="AH452" s="3">
        <f>IF(AND($N452=1,AND(对接源_01水果!$D452="周转筐－销售出库",N(对接源_01水果!$K452)&lt;&gt;0)),1,0)</f>
        <v>0</v>
      </c>
      <c r="AI452" s="3">
        <f t="shared" ref="AI452:AI515" si="139">N(AI451)+$AH452</f>
        <v>0</v>
      </c>
      <c r="AJ452" s="7"/>
      <c r="AL452" s="3">
        <f>IF(OR($AL$1="",对接源_01水果!$Y452="",对接源_01水果!$Y452&lt;&gt;$AL$1,对接源_01水果!$B452="",N(对接源_01水果!$AJ452)&lt;=0),0,IF(OR(N(对接源_01水果!$B452)&lt;$AL$2,N(对接源_01水果!$B452)&gt;$AL$3),0,1))</f>
        <v>0</v>
      </c>
      <c r="AM452" s="3">
        <f t="shared" ref="AM452:AM515" si="140">N(AM451)+$AL452</f>
        <v>1</v>
      </c>
      <c r="AN452" s="3" t="str">
        <f>IF(对接源_01水果!$AC452="","",对接源_01水果!$AC452)</f>
        <v/>
      </c>
      <c r="AO452" s="3">
        <f t="shared" ref="AO452:AO515" si="141">IF(AN452="",0,IF(MATCH(AN452,$AN$4:$AN$1203,0)=ROW()-3,1,0))</f>
        <v>0</v>
      </c>
      <c r="AP452" s="3">
        <f t="shared" ref="AP452:AP515" si="142">N(AP451)+$AO452</f>
        <v>8</v>
      </c>
      <c r="AR452">
        <f t="shared" ref="AR452:AR515" si="143">IF(OR($AF452=1,$AH452=1),1,0)</f>
        <v>0</v>
      </c>
      <c r="AS452">
        <f t="shared" ref="AS452:AS515" si="144">N(AS451)+$AR452</f>
        <v>0</v>
      </c>
    </row>
    <row r="453" ht="14.25" customHeight="1" spans="1:45">
      <c r="A453" s="3" t="str">
        <f>IF(对接源_01水果!$C453="","",对接源_01水果!$C453)</f>
        <v/>
      </c>
      <c r="B453" s="3">
        <f t="shared" si="128"/>
        <v>0</v>
      </c>
      <c r="C453" s="3">
        <f t="shared" si="129"/>
        <v>18</v>
      </c>
      <c r="K453" s="3">
        <f>IF(OR($K$1="",对接源_01水果!$C453="",对接源_01水果!$C453&lt;&gt;$K$1,对接源_01水果!$B453=""),0,IF(OR(N(对接源_01水果!$B453)&lt;$K$2,N(对接源_01水果!$B453)&gt;$K$3),0,1))</f>
        <v>0</v>
      </c>
      <c r="L453" s="3">
        <f>IF(OR($L$1="",对接源_01水果!$C453="",对接源_01水果!$C453&lt;&gt;$L$1,对接源_01水果!$B453=""),0,IF(OR(N(对接源_01水果!$B453)&lt;$L$2,N(对接源_01水果!$B453)&gt;$L$3),0,1))</f>
        <v>0</v>
      </c>
      <c r="M453" s="3">
        <f>IF(OR($M$1="",对接源_01水果!$C453="",对接源_01水果!$C453&lt;&gt;$M$1,对接源_01水果!$B453=""),0,IF(OR(N(对接源_01水果!$B453)&lt;$M$2,N(对接源_01水果!$B453)&gt;$M$3),0,1))</f>
        <v>0</v>
      </c>
      <c r="N453" s="3">
        <f>IF(OR($N$1="",对接源_01水果!$C453="",对接源_01水果!$C453&lt;&gt;$N$1,对接源_01水果!$B453=""),0,IF(OR(N(对接源_01水果!$B453)&lt;$N$2,N(对接源_01水果!$B453)&gt;$N$3),0,1))</f>
        <v>0</v>
      </c>
      <c r="P453" s="3">
        <f>IF(AND($K453=1,AND(对接源_01水果!$X453="公司筐",N(对接源_01水果!$T453)&lt;&gt;0)),1,0)</f>
        <v>0</v>
      </c>
      <c r="Q453" s="3">
        <f t="shared" si="130"/>
        <v>0</v>
      </c>
      <c r="R453" s="3">
        <f>IF(AND($K453=1,AND(对接源_01水果!$X453="公司筐",N(对接源_01水果!$U453)&lt;&gt;0)),1,0)</f>
        <v>0</v>
      </c>
      <c r="S453" s="3">
        <f t="shared" si="131"/>
        <v>0</v>
      </c>
      <c r="T453" s="3">
        <f>IF(AND($K453=1,AND(对接源_01水果!$X453="公司筐",N(对接源_01水果!$V453)&lt;&gt;0)),1,0)</f>
        <v>0</v>
      </c>
      <c r="U453" s="3">
        <f t="shared" si="132"/>
        <v>19</v>
      </c>
      <c r="V453" s="3">
        <f>IF(AND($L453=1,AND(对接源_01水果!$X453="自备筐",N(对接源_01水果!$V453)&lt;&gt;0)),1,0)</f>
        <v>0</v>
      </c>
      <c r="W453" s="3">
        <f t="shared" si="133"/>
        <v>8</v>
      </c>
      <c r="X453" s="3">
        <f>IF(AND($L453=1,AND(对接源_01水果!$X453="自备筐",N(对接源_01水果!$T453)&lt;&gt;0)),1,0)</f>
        <v>0</v>
      </c>
      <c r="Y453" s="3">
        <f t="shared" si="134"/>
        <v>0</v>
      </c>
      <c r="Z453" s="3">
        <f>IF(AND($M453=1,对接源_01水果!$D453="原料入库"),1,0)</f>
        <v>0</v>
      </c>
      <c r="AA453" s="3">
        <f t="shared" si="135"/>
        <v>24</v>
      </c>
      <c r="AB453" s="3">
        <f>IF(AND($M453=1,LEFT(对接源_01水果!$D453,4)="原料出库"),1,0)</f>
        <v>0</v>
      </c>
      <c r="AC453" s="3">
        <f t="shared" si="136"/>
        <v>0</v>
      </c>
      <c r="AD453" s="3">
        <f>IF(AND($M453=1,LEFT(对接源_01水果!$D453,4)="成品出库"),1,0)</f>
        <v>0</v>
      </c>
      <c r="AE453" s="3">
        <f t="shared" si="137"/>
        <v>0</v>
      </c>
      <c r="AF453" s="3">
        <f>IF(AND($N453=1,AND(LEFT(对接源_01水果!$D453,4)="包装物料",N(对接源_01水果!$K453)&lt;&gt;0)),1,0)</f>
        <v>0</v>
      </c>
      <c r="AG453" s="3">
        <f t="shared" si="138"/>
        <v>0</v>
      </c>
      <c r="AH453" s="3">
        <f>IF(AND($N453=1,AND(对接源_01水果!$D453="周转筐－销售出库",N(对接源_01水果!$K453)&lt;&gt;0)),1,0)</f>
        <v>0</v>
      </c>
      <c r="AI453" s="3">
        <f t="shared" si="139"/>
        <v>0</v>
      </c>
      <c r="AJ453" s="7"/>
      <c r="AL453" s="3">
        <f>IF(OR($AL$1="",对接源_01水果!$Y453="",对接源_01水果!$Y453&lt;&gt;$AL$1,对接源_01水果!$B453="",N(对接源_01水果!$AJ453)&lt;=0),0,IF(OR(N(对接源_01水果!$B453)&lt;$AL$2,N(对接源_01水果!$B453)&gt;$AL$3),0,1))</f>
        <v>0</v>
      </c>
      <c r="AM453" s="3">
        <f t="shared" si="140"/>
        <v>1</v>
      </c>
      <c r="AN453" s="3" t="str">
        <f>IF(对接源_01水果!$AC453="","",对接源_01水果!$AC453)</f>
        <v/>
      </c>
      <c r="AO453" s="3">
        <f t="shared" si="141"/>
        <v>0</v>
      </c>
      <c r="AP453" s="3">
        <f t="shared" si="142"/>
        <v>8</v>
      </c>
      <c r="AR453">
        <f t="shared" si="143"/>
        <v>0</v>
      </c>
      <c r="AS453">
        <f t="shared" si="144"/>
        <v>0</v>
      </c>
    </row>
    <row r="454" ht="14.25" customHeight="1" spans="1:45">
      <c r="A454" s="3" t="str">
        <f>IF(对接源_01水果!$C454="","",对接源_01水果!$C454)</f>
        <v/>
      </c>
      <c r="B454" s="3">
        <f t="shared" si="128"/>
        <v>0</v>
      </c>
      <c r="C454" s="3">
        <f t="shared" si="129"/>
        <v>18</v>
      </c>
      <c r="K454" s="3">
        <f>IF(OR($K$1="",对接源_01水果!$C454="",对接源_01水果!$C454&lt;&gt;$K$1,对接源_01水果!$B454=""),0,IF(OR(N(对接源_01水果!$B454)&lt;$K$2,N(对接源_01水果!$B454)&gt;$K$3),0,1))</f>
        <v>0</v>
      </c>
      <c r="L454" s="3">
        <f>IF(OR($L$1="",对接源_01水果!$C454="",对接源_01水果!$C454&lt;&gt;$L$1,对接源_01水果!$B454=""),0,IF(OR(N(对接源_01水果!$B454)&lt;$L$2,N(对接源_01水果!$B454)&gt;$L$3),0,1))</f>
        <v>0</v>
      </c>
      <c r="M454" s="3">
        <f>IF(OR($M$1="",对接源_01水果!$C454="",对接源_01水果!$C454&lt;&gt;$M$1,对接源_01水果!$B454=""),0,IF(OR(N(对接源_01水果!$B454)&lt;$M$2,N(对接源_01水果!$B454)&gt;$M$3),0,1))</f>
        <v>0</v>
      </c>
      <c r="N454" s="3">
        <f>IF(OR($N$1="",对接源_01水果!$C454="",对接源_01水果!$C454&lt;&gt;$N$1,对接源_01水果!$B454=""),0,IF(OR(N(对接源_01水果!$B454)&lt;$N$2,N(对接源_01水果!$B454)&gt;$N$3),0,1))</f>
        <v>0</v>
      </c>
      <c r="P454" s="3">
        <f>IF(AND($K454=1,AND(对接源_01水果!$X454="公司筐",N(对接源_01水果!$T454)&lt;&gt;0)),1,0)</f>
        <v>0</v>
      </c>
      <c r="Q454" s="3">
        <f t="shared" si="130"/>
        <v>0</v>
      </c>
      <c r="R454" s="3">
        <f>IF(AND($K454=1,AND(对接源_01水果!$X454="公司筐",N(对接源_01水果!$U454)&lt;&gt;0)),1,0)</f>
        <v>0</v>
      </c>
      <c r="S454" s="3">
        <f t="shared" si="131"/>
        <v>0</v>
      </c>
      <c r="T454" s="3">
        <f>IF(AND($K454=1,AND(对接源_01水果!$X454="公司筐",N(对接源_01水果!$V454)&lt;&gt;0)),1,0)</f>
        <v>0</v>
      </c>
      <c r="U454" s="3">
        <f t="shared" si="132"/>
        <v>19</v>
      </c>
      <c r="V454" s="3">
        <f>IF(AND($L454=1,AND(对接源_01水果!$X454="自备筐",N(对接源_01水果!$V454)&lt;&gt;0)),1,0)</f>
        <v>0</v>
      </c>
      <c r="W454" s="3">
        <f t="shared" si="133"/>
        <v>8</v>
      </c>
      <c r="X454" s="3">
        <f>IF(AND($L454=1,AND(对接源_01水果!$X454="自备筐",N(对接源_01水果!$T454)&lt;&gt;0)),1,0)</f>
        <v>0</v>
      </c>
      <c r="Y454" s="3">
        <f t="shared" si="134"/>
        <v>0</v>
      </c>
      <c r="Z454" s="3">
        <f>IF(AND($M454=1,对接源_01水果!$D454="原料入库"),1,0)</f>
        <v>0</v>
      </c>
      <c r="AA454" s="3">
        <f t="shared" si="135"/>
        <v>24</v>
      </c>
      <c r="AB454" s="3">
        <f>IF(AND($M454=1,LEFT(对接源_01水果!$D454,4)="原料出库"),1,0)</f>
        <v>0</v>
      </c>
      <c r="AC454" s="3">
        <f t="shared" si="136"/>
        <v>0</v>
      </c>
      <c r="AD454" s="3">
        <f>IF(AND($M454=1,LEFT(对接源_01水果!$D454,4)="成品出库"),1,0)</f>
        <v>0</v>
      </c>
      <c r="AE454" s="3">
        <f t="shared" si="137"/>
        <v>0</v>
      </c>
      <c r="AF454" s="3">
        <f>IF(AND($N454=1,AND(LEFT(对接源_01水果!$D454,4)="包装物料",N(对接源_01水果!$K454)&lt;&gt;0)),1,0)</f>
        <v>0</v>
      </c>
      <c r="AG454" s="3">
        <f t="shared" si="138"/>
        <v>0</v>
      </c>
      <c r="AH454" s="3">
        <f>IF(AND($N454=1,AND(对接源_01水果!$D454="周转筐－销售出库",N(对接源_01水果!$K454)&lt;&gt;0)),1,0)</f>
        <v>0</v>
      </c>
      <c r="AI454" s="3">
        <f t="shared" si="139"/>
        <v>0</v>
      </c>
      <c r="AJ454" s="7"/>
      <c r="AL454" s="3">
        <f>IF(OR($AL$1="",对接源_01水果!$Y454="",对接源_01水果!$Y454&lt;&gt;$AL$1,对接源_01水果!$B454="",N(对接源_01水果!$AJ454)&lt;=0),0,IF(OR(N(对接源_01水果!$B454)&lt;$AL$2,N(对接源_01水果!$B454)&gt;$AL$3),0,1))</f>
        <v>0</v>
      </c>
      <c r="AM454" s="3">
        <f t="shared" si="140"/>
        <v>1</v>
      </c>
      <c r="AN454" s="3" t="str">
        <f>IF(对接源_01水果!$AC454="","",对接源_01水果!$AC454)</f>
        <v/>
      </c>
      <c r="AO454" s="3">
        <f t="shared" si="141"/>
        <v>0</v>
      </c>
      <c r="AP454" s="3">
        <f t="shared" si="142"/>
        <v>8</v>
      </c>
      <c r="AR454">
        <f t="shared" si="143"/>
        <v>0</v>
      </c>
      <c r="AS454">
        <f t="shared" si="144"/>
        <v>0</v>
      </c>
    </row>
    <row r="455" ht="14.25" customHeight="1" spans="1:45">
      <c r="A455" s="3" t="str">
        <f>IF(对接源_01水果!$C455="","",对接源_01水果!$C455)</f>
        <v/>
      </c>
      <c r="B455" s="3">
        <f t="shared" si="128"/>
        <v>0</v>
      </c>
      <c r="C455" s="3">
        <f t="shared" si="129"/>
        <v>18</v>
      </c>
      <c r="K455" s="3">
        <f>IF(OR($K$1="",对接源_01水果!$C455="",对接源_01水果!$C455&lt;&gt;$K$1,对接源_01水果!$B455=""),0,IF(OR(N(对接源_01水果!$B455)&lt;$K$2,N(对接源_01水果!$B455)&gt;$K$3),0,1))</f>
        <v>0</v>
      </c>
      <c r="L455" s="3">
        <f>IF(OR($L$1="",对接源_01水果!$C455="",对接源_01水果!$C455&lt;&gt;$L$1,对接源_01水果!$B455=""),0,IF(OR(N(对接源_01水果!$B455)&lt;$L$2,N(对接源_01水果!$B455)&gt;$L$3),0,1))</f>
        <v>0</v>
      </c>
      <c r="M455" s="3">
        <f>IF(OR($M$1="",对接源_01水果!$C455="",对接源_01水果!$C455&lt;&gt;$M$1,对接源_01水果!$B455=""),0,IF(OR(N(对接源_01水果!$B455)&lt;$M$2,N(对接源_01水果!$B455)&gt;$M$3),0,1))</f>
        <v>0</v>
      </c>
      <c r="N455" s="3">
        <f>IF(OR($N$1="",对接源_01水果!$C455="",对接源_01水果!$C455&lt;&gt;$N$1,对接源_01水果!$B455=""),0,IF(OR(N(对接源_01水果!$B455)&lt;$N$2,N(对接源_01水果!$B455)&gt;$N$3),0,1))</f>
        <v>0</v>
      </c>
      <c r="P455" s="3">
        <f>IF(AND($K455=1,AND(对接源_01水果!$X455="公司筐",N(对接源_01水果!$T455)&lt;&gt;0)),1,0)</f>
        <v>0</v>
      </c>
      <c r="Q455" s="3">
        <f t="shared" si="130"/>
        <v>0</v>
      </c>
      <c r="R455" s="3">
        <f>IF(AND($K455=1,AND(对接源_01水果!$X455="公司筐",N(对接源_01水果!$U455)&lt;&gt;0)),1,0)</f>
        <v>0</v>
      </c>
      <c r="S455" s="3">
        <f t="shared" si="131"/>
        <v>0</v>
      </c>
      <c r="T455" s="3">
        <f>IF(AND($K455=1,AND(对接源_01水果!$X455="公司筐",N(对接源_01水果!$V455)&lt;&gt;0)),1,0)</f>
        <v>0</v>
      </c>
      <c r="U455" s="3">
        <f t="shared" si="132"/>
        <v>19</v>
      </c>
      <c r="V455" s="3">
        <f>IF(AND($L455=1,AND(对接源_01水果!$X455="自备筐",N(对接源_01水果!$V455)&lt;&gt;0)),1,0)</f>
        <v>0</v>
      </c>
      <c r="W455" s="3">
        <f t="shared" si="133"/>
        <v>8</v>
      </c>
      <c r="X455" s="3">
        <f>IF(AND($L455=1,AND(对接源_01水果!$X455="自备筐",N(对接源_01水果!$T455)&lt;&gt;0)),1,0)</f>
        <v>0</v>
      </c>
      <c r="Y455" s="3">
        <f t="shared" si="134"/>
        <v>0</v>
      </c>
      <c r="Z455" s="3">
        <f>IF(AND($M455=1,对接源_01水果!$D455="原料入库"),1,0)</f>
        <v>0</v>
      </c>
      <c r="AA455" s="3">
        <f t="shared" si="135"/>
        <v>24</v>
      </c>
      <c r="AB455" s="3">
        <f>IF(AND($M455=1,LEFT(对接源_01水果!$D455,4)="原料出库"),1,0)</f>
        <v>0</v>
      </c>
      <c r="AC455" s="3">
        <f t="shared" si="136"/>
        <v>0</v>
      </c>
      <c r="AD455" s="3">
        <f>IF(AND($M455=1,LEFT(对接源_01水果!$D455,4)="成品出库"),1,0)</f>
        <v>0</v>
      </c>
      <c r="AE455" s="3">
        <f t="shared" si="137"/>
        <v>0</v>
      </c>
      <c r="AF455" s="3">
        <f>IF(AND($N455=1,AND(LEFT(对接源_01水果!$D455,4)="包装物料",N(对接源_01水果!$K455)&lt;&gt;0)),1,0)</f>
        <v>0</v>
      </c>
      <c r="AG455" s="3">
        <f t="shared" si="138"/>
        <v>0</v>
      </c>
      <c r="AH455" s="3">
        <f>IF(AND($N455=1,AND(对接源_01水果!$D455="周转筐－销售出库",N(对接源_01水果!$K455)&lt;&gt;0)),1,0)</f>
        <v>0</v>
      </c>
      <c r="AI455" s="3">
        <f t="shared" si="139"/>
        <v>0</v>
      </c>
      <c r="AJ455" s="7"/>
      <c r="AL455" s="3">
        <f>IF(OR($AL$1="",对接源_01水果!$Y455="",对接源_01水果!$Y455&lt;&gt;$AL$1,对接源_01水果!$B455="",N(对接源_01水果!$AJ455)&lt;=0),0,IF(OR(N(对接源_01水果!$B455)&lt;$AL$2,N(对接源_01水果!$B455)&gt;$AL$3),0,1))</f>
        <v>0</v>
      </c>
      <c r="AM455" s="3">
        <f t="shared" si="140"/>
        <v>1</v>
      </c>
      <c r="AN455" s="3" t="str">
        <f>IF(对接源_01水果!$AC455="","",对接源_01水果!$AC455)</f>
        <v/>
      </c>
      <c r="AO455" s="3">
        <f t="shared" si="141"/>
        <v>0</v>
      </c>
      <c r="AP455" s="3">
        <f t="shared" si="142"/>
        <v>8</v>
      </c>
      <c r="AR455">
        <f t="shared" si="143"/>
        <v>0</v>
      </c>
      <c r="AS455">
        <f t="shared" si="144"/>
        <v>0</v>
      </c>
    </row>
    <row r="456" ht="14.25" customHeight="1" spans="1:45">
      <c r="A456" s="3" t="str">
        <f>IF(对接源_01水果!$C456="","",对接源_01水果!$C456)</f>
        <v/>
      </c>
      <c r="B456" s="3">
        <f t="shared" si="128"/>
        <v>0</v>
      </c>
      <c r="C456" s="3">
        <f t="shared" si="129"/>
        <v>18</v>
      </c>
      <c r="K456" s="3">
        <f>IF(OR($K$1="",对接源_01水果!$C456="",对接源_01水果!$C456&lt;&gt;$K$1,对接源_01水果!$B456=""),0,IF(OR(N(对接源_01水果!$B456)&lt;$K$2,N(对接源_01水果!$B456)&gt;$K$3),0,1))</f>
        <v>0</v>
      </c>
      <c r="L456" s="3">
        <f>IF(OR($L$1="",对接源_01水果!$C456="",对接源_01水果!$C456&lt;&gt;$L$1,对接源_01水果!$B456=""),0,IF(OR(N(对接源_01水果!$B456)&lt;$L$2,N(对接源_01水果!$B456)&gt;$L$3),0,1))</f>
        <v>0</v>
      </c>
      <c r="M456" s="3">
        <f>IF(OR($M$1="",对接源_01水果!$C456="",对接源_01水果!$C456&lt;&gt;$M$1,对接源_01水果!$B456=""),0,IF(OR(N(对接源_01水果!$B456)&lt;$M$2,N(对接源_01水果!$B456)&gt;$M$3),0,1))</f>
        <v>0</v>
      </c>
      <c r="N456" s="3">
        <f>IF(OR($N$1="",对接源_01水果!$C456="",对接源_01水果!$C456&lt;&gt;$N$1,对接源_01水果!$B456=""),0,IF(OR(N(对接源_01水果!$B456)&lt;$N$2,N(对接源_01水果!$B456)&gt;$N$3),0,1))</f>
        <v>0</v>
      </c>
      <c r="P456" s="3">
        <f>IF(AND($K456=1,AND(对接源_01水果!$X456="公司筐",N(对接源_01水果!$T456)&lt;&gt;0)),1,0)</f>
        <v>0</v>
      </c>
      <c r="Q456" s="3">
        <f t="shared" si="130"/>
        <v>0</v>
      </c>
      <c r="R456" s="3">
        <f>IF(AND($K456=1,AND(对接源_01水果!$X456="公司筐",N(对接源_01水果!$U456)&lt;&gt;0)),1,0)</f>
        <v>0</v>
      </c>
      <c r="S456" s="3">
        <f t="shared" si="131"/>
        <v>0</v>
      </c>
      <c r="T456" s="3">
        <f>IF(AND($K456=1,AND(对接源_01水果!$X456="公司筐",N(对接源_01水果!$V456)&lt;&gt;0)),1,0)</f>
        <v>0</v>
      </c>
      <c r="U456" s="3">
        <f t="shared" si="132"/>
        <v>19</v>
      </c>
      <c r="V456" s="3">
        <f>IF(AND($L456=1,AND(对接源_01水果!$X456="自备筐",N(对接源_01水果!$V456)&lt;&gt;0)),1,0)</f>
        <v>0</v>
      </c>
      <c r="W456" s="3">
        <f t="shared" si="133"/>
        <v>8</v>
      </c>
      <c r="X456" s="3">
        <f>IF(AND($L456=1,AND(对接源_01水果!$X456="自备筐",N(对接源_01水果!$T456)&lt;&gt;0)),1,0)</f>
        <v>0</v>
      </c>
      <c r="Y456" s="3">
        <f t="shared" si="134"/>
        <v>0</v>
      </c>
      <c r="Z456" s="3">
        <f>IF(AND($M456=1,对接源_01水果!$D456="原料入库"),1,0)</f>
        <v>0</v>
      </c>
      <c r="AA456" s="3">
        <f t="shared" si="135"/>
        <v>24</v>
      </c>
      <c r="AB456" s="3">
        <f>IF(AND($M456=1,LEFT(对接源_01水果!$D456,4)="原料出库"),1,0)</f>
        <v>0</v>
      </c>
      <c r="AC456" s="3">
        <f t="shared" si="136"/>
        <v>0</v>
      </c>
      <c r="AD456" s="3">
        <f>IF(AND($M456=1,LEFT(对接源_01水果!$D456,4)="成品出库"),1,0)</f>
        <v>0</v>
      </c>
      <c r="AE456" s="3">
        <f t="shared" si="137"/>
        <v>0</v>
      </c>
      <c r="AF456" s="3">
        <f>IF(AND($N456=1,AND(LEFT(对接源_01水果!$D456,4)="包装物料",N(对接源_01水果!$K456)&lt;&gt;0)),1,0)</f>
        <v>0</v>
      </c>
      <c r="AG456" s="3">
        <f t="shared" si="138"/>
        <v>0</v>
      </c>
      <c r="AH456" s="3">
        <f>IF(AND($N456=1,AND(对接源_01水果!$D456="周转筐－销售出库",N(对接源_01水果!$K456)&lt;&gt;0)),1,0)</f>
        <v>0</v>
      </c>
      <c r="AI456" s="3">
        <f t="shared" si="139"/>
        <v>0</v>
      </c>
      <c r="AJ456" s="7"/>
      <c r="AL456" s="3">
        <f>IF(OR($AL$1="",对接源_01水果!$Y456="",对接源_01水果!$Y456&lt;&gt;$AL$1,对接源_01水果!$B456="",N(对接源_01水果!$AJ456)&lt;=0),0,IF(OR(N(对接源_01水果!$B456)&lt;$AL$2,N(对接源_01水果!$B456)&gt;$AL$3),0,1))</f>
        <v>0</v>
      </c>
      <c r="AM456" s="3">
        <f t="shared" si="140"/>
        <v>1</v>
      </c>
      <c r="AN456" s="3" t="str">
        <f>IF(对接源_01水果!$AC456="","",对接源_01水果!$AC456)</f>
        <v/>
      </c>
      <c r="AO456" s="3">
        <f t="shared" si="141"/>
        <v>0</v>
      </c>
      <c r="AP456" s="3">
        <f t="shared" si="142"/>
        <v>8</v>
      </c>
      <c r="AR456">
        <f t="shared" si="143"/>
        <v>0</v>
      </c>
      <c r="AS456">
        <f t="shared" si="144"/>
        <v>0</v>
      </c>
    </row>
    <row r="457" ht="14.25" customHeight="1" spans="1:45">
      <c r="A457" s="3" t="str">
        <f>IF(对接源_01水果!$C457="","",对接源_01水果!$C457)</f>
        <v/>
      </c>
      <c r="B457" s="3">
        <f t="shared" si="128"/>
        <v>0</v>
      </c>
      <c r="C457" s="3">
        <f t="shared" si="129"/>
        <v>18</v>
      </c>
      <c r="K457" s="3">
        <f>IF(OR($K$1="",对接源_01水果!$C457="",对接源_01水果!$C457&lt;&gt;$K$1,对接源_01水果!$B457=""),0,IF(OR(N(对接源_01水果!$B457)&lt;$K$2,N(对接源_01水果!$B457)&gt;$K$3),0,1))</f>
        <v>0</v>
      </c>
      <c r="L457" s="3">
        <f>IF(OR($L$1="",对接源_01水果!$C457="",对接源_01水果!$C457&lt;&gt;$L$1,对接源_01水果!$B457=""),0,IF(OR(N(对接源_01水果!$B457)&lt;$L$2,N(对接源_01水果!$B457)&gt;$L$3),0,1))</f>
        <v>0</v>
      </c>
      <c r="M457" s="3">
        <f>IF(OR($M$1="",对接源_01水果!$C457="",对接源_01水果!$C457&lt;&gt;$M$1,对接源_01水果!$B457=""),0,IF(OR(N(对接源_01水果!$B457)&lt;$M$2,N(对接源_01水果!$B457)&gt;$M$3),0,1))</f>
        <v>0</v>
      </c>
      <c r="N457" s="3">
        <f>IF(OR($N$1="",对接源_01水果!$C457="",对接源_01水果!$C457&lt;&gt;$N$1,对接源_01水果!$B457=""),0,IF(OR(N(对接源_01水果!$B457)&lt;$N$2,N(对接源_01水果!$B457)&gt;$N$3),0,1))</f>
        <v>0</v>
      </c>
      <c r="P457" s="3">
        <f>IF(AND($K457=1,AND(对接源_01水果!$X457="公司筐",N(对接源_01水果!$T457)&lt;&gt;0)),1,0)</f>
        <v>0</v>
      </c>
      <c r="Q457" s="3">
        <f t="shared" si="130"/>
        <v>0</v>
      </c>
      <c r="R457" s="3">
        <f>IF(AND($K457=1,AND(对接源_01水果!$X457="公司筐",N(对接源_01水果!$U457)&lt;&gt;0)),1,0)</f>
        <v>0</v>
      </c>
      <c r="S457" s="3">
        <f t="shared" si="131"/>
        <v>0</v>
      </c>
      <c r="T457" s="3">
        <f>IF(AND($K457=1,AND(对接源_01水果!$X457="公司筐",N(对接源_01水果!$V457)&lt;&gt;0)),1,0)</f>
        <v>0</v>
      </c>
      <c r="U457" s="3">
        <f t="shared" si="132"/>
        <v>19</v>
      </c>
      <c r="V457" s="3">
        <f>IF(AND($L457=1,AND(对接源_01水果!$X457="自备筐",N(对接源_01水果!$V457)&lt;&gt;0)),1,0)</f>
        <v>0</v>
      </c>
      <c r="W457" s="3">
        <f t="shared" si="133"/>
        <v>8</v>
      </c>
      <c r="X457" s="3">
        <f>IF(AND($L457=1,AND(对接源_01水果!$X457="自备筐",N(对接源_01水果!$T457)&lt;&gt;0)),1,0)</f>
        <v>0</v>
      </c>
      <c r="Y457" s="3">
        <f t="shared" si="134"/>
        <v>0</v>
      </c>
      <c r="Z457" s="3">
        <f>IF(AND($M457=1,对接源_01水果!$D457="原料入库"),1,0)</f>
        <v>0</v>
      </c>
      <c r="AA457" s="3">
        <f t="shared" si="135"/>
        <v>24</v>
      </c>
      <c r="AB457" s="3">
        <f>IF(AND($M457=1,LEFT(对接源_01水果!$D457,4)="原料出库"),1,0)</f>
        <v>0</v>
      </c>
      <c r="AC457" s="3">
        <f t="shared" si="136"/>
        <v>0</v>
      </c>
      <c r="AD457" s="3">
        <f>IF(AND($M457=1,LEFT(对接源_01水果!$D457,4)="成品出库"),1,0)</f>
        <v>0</v>
      </c>
      <c r="AE457" s="3">
        <f t="shared" si="137"/>
        <v>0</v>
      </c>
      <c r="AF457" s="3">
        <f>IF(AND($N457=1,AND(LEFT(对接源_01水果!$D457,4)="包装物料",N(对接源_01水果!$K457)&lt;&gt;0)),1,0)</f>
        <v>0</v>
      </c>
      <c r="AG457" s="3">
        <f t="shared" si="138"/>
        <v>0</v>
      </c>
      <c r="AH457" s="3">
        <f>IF(AND($N457=1,AND(对接源_01水果!$D457="周转筐－销售出库",N(对接源_01水果!$K457)&lt;&gt;0)),1,0)</f>
        <v>0</v>
      </c>
      <c r="AI457" s="3">
        <f t="shared" si="139"/>
        <v>0</v>
      </c>
      <c r="AJ457" s="7"/>
      <c r="AL457" s="3">
        <f>IF(OR($AL$1="",对接源_01水果!$Y457="",对接源_01水果!$Y457&lt;&gt;$AL$1,对接源_01水果!$B457="",N(对接源_01水果!$AJ457)&lt;=0),0,IF(OR(N(对接源_01水果!$B457)&lt;$AL$2,N(对接源_01水果!$B457)&gt;$AL$3),0,1))</f>
        <v>0</v>
      </c>
      <c r="AM457" s="3">
        <f t="shared" si="140"/>
        <v>1</v>
      </c>
      <c r="AN457" s="3" t="str">
        <f>IF(对接源_01水果!$AC457="","",对接源_01水果!$AC457)</f>
        <v/>
      </c>
      <c r="AO457" s="3">
        <f t="shared" si="141"/>
        <v>0</v>
      </c>
      <c r="AP457" s="3">
        <f t="shared" si="142"/>
        <v>8</v>
      </c>
      <c r="AR457">
        <f t="shared" si="143"/>
        <v>0</v>
      </c>
      <c r="AS457">
        <f t="shared" si="144"/>
        <v>0</v>
      </c>
    </row>
    <row r="458" ht="14.25" customHeight="1" spans="1:45">
      <c r="A458" s="3" t="str">
        <f>IF(对接源_01水果!$C458="","",对接源_01水果!$C458)</f>
        <v/>
      </c>
      <c r="B458" s="3">
        <f t="shared" si="128"/>
        <v>0</v>
      </c>
      <c r="C458" s="3">
        <f t="shared" si="129"/>
        <v>18</v>
      </c>
      <c r="K458" s="3">
        <f>IF(OR($K$1="",对接源_01水果!$C458="",对接源_01水果!$C458&lt;&gt;$K$1,对接源_01水果!$B458=""),0,IF(OR(N(对接源_01水果!$B458)&lt;$K$2,N(对接源_01水果!$B458)&gt;$K$3),0,1))</f>
        <v>0</v>
      </c>
      <c r="L458" s="3">
        <f>IF(OR($L$1="",对接源_01水果!$C458="",对接源_01水果!$C458&lt;&gt;$L$1,对接源_01水果!$B458=""),0,IF(OR(N(对接源_01水果!$B458)&lt;$L$2,N(对接源_01水果!$B458)&gt;$L$3),0,1))</f>
        <v>0</v>
      </c>
      <c r="M458" s="3">
        <f>IF(OR($M$1="",对接源_01水果!$C458="",对接源_01水果!$C458&lt;&gt;$M$1,对接源_01水果!$B458=""),0,IF(OR(N(对接源_01水果!$B458)&lt;$M$2,N(对接源_01水果!$B458)&gt;$M$3),0,1))</f>
        <v>0</v>
      </c>
      <c r="N458" s="3">
        <f>IF(OR($N$1="",对接源_01水果!$C458="",对接源_01水果!$C458&lt;&gt;$N$1,对接源_01水果!$B458=""),0,IF(OR(N(对接源_01水果!$B458)&lt;$N$2,N(对接源_01水果!$B458)&gt;$N$3),0,1))</f>
        <v>0</v>
      </c>
      <c r="P458" s="3">
        <f>IF(AND($K458=1,AND(对接源_01水果!$X458="公司筐",N(对接源_01水果!$T458)&lt;&gt;0)),1,0)</f>
        <v>0</v>
      </c>
      <c r="Q458" s="3">
        <f t="shared" si="130"/>
        <v>0</v>
      </c>
      <c r="R458" s="3">
        <f>IF(AND($K458=1,AND(对接源_01水果!$X458="公司筐",N(对接源_01水果!$U458)&lt;&gt;0)),1,0)</f>
        <v>0</v>
      </c>
      <c r="S458" s="3">
        <f t="shared" si="131"/>
        <v>0</v>
      </c>
      <c r="T458" s="3">
        <f>IF(AND($K458=1,AND(对接源_01水果!$X458="公司筐",N(对接源_01水果!$V458)&lt;&gt;0)),1,0)</f>
        <v>0</v>
      </c>
      <c r="U458" s="3">
        <f t="shared" si="132"/>
        <v>19</v>
      </c>
      <c r="V458" s="3">
        <f>IF(AND($L458=1,AND(对接源_01水果!$X458="自备筐",N(对接源_01水果!$V458)&lt;&gt;0)),1,0)</f>
        <v>0</v>
      </c>
      <c r="W458" s="3">
        <f t="shared" si="133"/>
        <v>8</v>
      </c>
      <c r="X458" s="3">
        <f>IF(AND($L458=1,AND(对接源_01水果!$X458="自备筐",N(对接源_01水果!$T458)&lt;&gt;0)),1,0)</f>
        <v>0</v>
      </c>
      <c r="Y458" s="3">
        <f t="shared" si="134"/>
        <v>0</v>
      </c>
      <c r="Z458" s="3">
        <f>IF(AND($M458=1,对接源_01水果!$D458="原料入库"),1,0)</f>
        <v>0</v>
      </c>
      <c r="AA458" s="3">
        <f t="shared" si="135"/>
        <v>24</v>
      </c>
      <c r="AB458" s="3">
        <f>IF(AND($M458=1,LEFT(对接源_01水果!$D458,4)="原料出库"),1,0)</f>
        <v>0</v>
      </c>
      <c r="AC458" s="3">
        <f t="shared" si="136"/>
        <v>0</v>
      </c>
      <c r="AD458" s="3">
        <f>IF(AND($M458=1,LEFT(对接源_01水果!$D458,4)="成品出库"),1,0)</f>
        <v>0</v>
      </c>
      <c r="AE458" s="3">
        <f t="shared" si="137"/>
        <v>0</v>
      </c>
      <c r="AF458" s="3">
        <f>IF(AND($N458=1,AND(LEFT(对接源_01水果!$D458,4)="包装物料",N(对接源_01水果!$K458)&lt;&gt;0)),1,0)</f>
        <v>0</v>
      </c>
      <c r="AG458" s="3">
        <f t="shared" si="138"/>
        <v>0</v>
      </c>
      <c r="AH458" s="3">
        <f>IF(AND($N458=1,AND(对接源_01水果!$D458="周转筐－销售出库",N(对接源_01水果!$K458)&lt;&gt;0)),1,0)</f>
        <v>0</v>
      </c>
      <c r="AI458" s="3">
        <f t="shared" si="139"/>
        <v>0</v>
      </c>
      <c r="AJ458" s="7"/>
      <c r="AL458" s="3">
        <f>IF(OR($AL$1="",对接源_01水果!$Y458="",对接源_01水果!$Y458&lt;&gt;$AL$1,对接源_01水果!$B458="",N(对接源_01水果!$AJ458)&lt;=0),0,IF(OR(N(对接源_01水果!$B458)&lt;$AL$2,N(对接源_01水果!$B458)&gt;$AL$3),0,1))</f>
        <v>0</v>
      </c>
      <c r="AM458" s="3">
        <f t="shared" si="140"/>
        <v>1</v>
      </c>
      <c r="AN458" s="3" t="str">
        <f>IF(对接源_01水果!$AC458="","",对接源_01水果!$AC458)</f>
        <v/>
      </c>
      <c r="AO458" s="3">
        <f t="shared" si="141"/>
        <v>0</v>
      </c>
      <c r="AP458" s="3">
        <f t="shared" si="142"/>
        <v>8</v>
      </c>
      <c r="AR458">
        <f t="shared" si="143"/>
        <v>0</v>
      </c>
      <c r="AS458">
        <f t="shared" si="144"/>
        <v>0</v>
      </c>
    </row>
    <row r="459" ht="14.25" customHeight="1" spans="1:45">
      <c r="A459" s="3" t="str">
        <f>IF(对接源_01水果!$C459="","",对接源_01水果!$C459)</f>
        <v/>
      </c>
      <c r="B459" s="3">
        <f t="shared" si="128"/>
        <v>0</v>
      </c>
      <c r="C459" s="3">
        <f t="shared" si="129"/>
        <v>18</v>
      </c>
      <c r="K459" s="3">
        <f>IF(OR($K$1="",对接源_01水果!$C459="",对接源_01水果!$C459&lt;&gt;$K$1,对接源_01水果!$B459=""),0,IF(OR(N(对接源_01水果!$B459)&lt;$K$2,N(对接源_01水果!$B459)&gt;$K$3),0,1))</f>
        <v>0</v>
      </c>
      <c r="L459" s="3">
        <f>IF(OR($L$1="",对接源_01水果!$C459="",对接源_01水果!$C459&lt;&gt;$L$1,对接源_01水果!$B459=""),0,IF(OR(N(对接源_01水果!$B459)&lt;$L$2,N(对接源_01水果!$B459)&gt;$L$3),0,1))</f>
        <v>0</v>
      </c>
      <c r="M459" s="3">
        <f>IF(OR($M$1="",对接源_01水果!$C459="",对接源_01水果!$C459&lt;&gt;$M$1,对接源_01水果!$B459=""),0,IF(OR(N(对接源_01水果!$B459)&lt;$M$2,N(对接源_01水果!$B459)&gt;$M$3),0,1))</f>
        <v>0</v>
      </c>
      <c r="N459" s="3">
        <f>IF(OR($N$1="",对接源_01水果!$C459="",对接源_01水果!$C459&lt;&gt;$N$1,对接源_01水果!$B459=""),0,IF(OR(N(对接源_01水果!$B459)&lt;$N$2,N(对接源_01水果!$B459)&gt;$N$3),0,1))</f>
        <v>0</v>
      </c>
      <c r="P459" s="3">
        <f>IF(AND($K459=1,AND(对接源_01水果!$X459="公司筐",N(对接源_01水果!$T459)&lt;&gt;0)),1,0)</f>
        <v>0</v>
      </c>
      <c r="Q459" s="3">
        <f t="shared" si="130"/>
        <v>0</v>
      </c>
      <c r="R459" s="3">
        <f>IF(AND($K459=1,AND(对接源_01水果!$X459="公司筐",N(对接源_01水果!$U459)&lt;&gt;0)),1,0)</f>
        <v>0</v>
      </c>
      <c r="S459" s="3">
        <f t="shared" si="131"/>
        <v>0</v>
      </c>
      <c r="T459" s="3">
        <f>IF(AND($K459=1,AND(对接源_01水果!$X459="公司筐",N(对接源_01水果!$V459)&lt;&gt;0)),1,0)</f>
        <v>0</v>
      </c>
      <c r="U459" s="3">
        <f t="shared" si="132"/>
        <v>19</v>
      </c>
      <c r="V459" s="3">
        <f>IF(AND($L459=1,AND(对接源_01水果!$X459="自备筐",N(对接源_01水果!$V459)&lt;&gt;0)),1,0)</f>
        <v>0</v>
      </c>
      <c r="W459" s="3">
        <f t="shared" si="133"/>
        <v>8</v>
      </c>
      <c r="X459" s="3">
        <f>IF(AND($L459=1,AND(对接源_01水果!$X459="自备筐",N(对接源_01水果!$T459)&lt;&gt;0)),1,0)</f>
        <v>0</v>
      </c>
      <c r="Y459" s="3">
        <f t="shared" si="134"/>
        <v>0</v>
      </c>
      <c r="Z459" s="3">
        <f>IF(AND($M459=1,对接源_01水果!$D459="原料入库"),1,0)</f>
        <v>0</v>
      </c>
      <c r="AA459" s="3">
        <f t="shared" si="135"/>
        <v>24</v>
      </c>
      <c r="AB459" s="3">
        <f>IF(AND($M459=1,LEFT(对接源_01水果!$D459,4)="原料出库"),1,0)</f>
        <v>0</v>
      </c>
      <c r="AC459" s="3">
        <f t="shared" si="136"/>
        <v>0</v>
      </c>
      <c r="AD459" s="3">
        <f>IF(AND($M459=1,LEFT(对接源_01水果!$D459,4)="成品出库"),1,0)</f>
        <v>0</v>
      </c>
      <c r="AE459" s="3">
        <f t="shared" si="137"/>
        <v>0</v>
      </c>
      <c r="AF459" s="3">
        <f>IF(AND($N459=1,AND(LEFT(对接源_01水果!$D459,4)="包装物料",N(对接源_01水果!$K459)&lt;&gt;0)),1,0)</f>
        <v>0</v>
      </c>
      <c r="AG459" s="3">
        <f t="shared" si="138"/>
        <v>0</v>
      </c>
      <c r="AH459" s="3">
        <f>IF(AND($N459=1,AND(对接源_01水果!$D459="周转筐－销售出库",N(对接源_01水果!$K459)&lt;&gt;0)),1,0)</f>
        <v>0</v>
      </c>
      <c r="AI459" s="3">
        <f t="shared" si="139"/>
        <v>0</v>
      </c>
      <c r="AJ459" s="7"/>
      <c r="AL459" s="3">
        <f>IF(OR($AL$1="",对接源_01水果!$Y459="",对接源_01水果!$Y459&lt;&gt;$AL$1,对接源_01水果!$B459="",N(对接源_01水果!$AJ459)&lt;=0),0,IF(OR(N(对接源_01水果!$B459)&lt;$AL$2,N(对接源_01水果!$B459)&gt;$AL$3),0,1))</f>
        <v>0</v>
      </c>
      <c r="AM459" s="3">
        <f t="shared" si="140"/>
        <v>1</v>
      </c>
      <c r="AN459" s="3" t="str">
        <f>IF(对接源_01水果!$AC459="","",对接源_01水果!$AC459)</f>
        <v/>
      </c>
      <c r="AO459" s="3">
        <f t="shared" si="141"/>
        <v>0</v>
      </c>
      <c r="AP459" s="3">
        <f t="shared" si="142"/>
        <v>8</v>
      </c>
      <c r="AR459">
        <f t="shared" si="143"/>
        <v>0</v>
      </c>
      <c r="AS459">
        <f t="shared" si="144"/>
        <v>0</v>
      </c>
    </row>
    <row r="460" ht="14.25" customHeight="1" spans="1:45">
      <c r="A460" s="3" t="str">
        <f>IF(对接源_01水果!$C460="","",对接源_01水果!$C460)</f>
        <v/>
      </c>
      <c r="B460" s="3">
        <f t="shared" si="128"/>
        <v>0</v>
      </c>
      <c r="C460" s="3">
        <f t="shared" si="129"/>
        <v>18</v>
      </c>
      <c r="K460" s="3">
        <f>IF(OR($K$1="",对接源_01水果!$C460="",对接源_01水果!$C460&lt;&gt;$K$1,对接源_01水果!$B460=""),0,IF(OR(N(对接源_01水果!$B460)&lt;$K$2,N(对接源_01水果!$B460)&gt;$K$3),0,1))</f>
        <v>0</v>
      </c>
      <c r="L460" s="3">
        <f>IF(OR($L$1="",对接源_01水果!$C460="",对接源_01水果!$C460&lt;&gt;$L$1,对接源_01水果!$B460=""),0,IF(OR(N(对接源_01水果!$B460)&lt;$L$2,N(对接源_01水果!$B460)&gt;$L$3),0,1))</f>
        <v>0</v>
      </c>
      <c r="M460" s="3">
        <f>IF(OR($M$1="",对接源_01水果!$C460="",对接源_01水果!$C460&lt;&gt;$M$1,对接源_01水果!$B460=""),0,IF(OR(N(对接源_01水果!$B460)&lt;$M$2,N(对接源_01水果!$B460)&gt;$M$3),0,1))</f>
        <v>0</v>
      </c>
      <c r="N460" s="3">
        <f>IF(OR($N$1="",对接源_01水果!$C460="",对接源_01水果!$C460&lt;&gt;$N$1,对接源_01水果!$B460=""),0,IF(OR(N(对接源_01水果!$B460)&lt;$N$2,N(对接源_01水果!$B460)&gt;$N$3),0,1))</f>
        <v>0</v>
      </c>
      <c r="P460" s="3">
        <f>IF(AND($K460=1,AND(对接源_01水果!$X460="公司筐",N(对接源_01水果!$T460)&lt;&gt;0)),1,0)</f>
        <v>0</v>
      </c>
      <c r="Q460" s="3">
        <f t="shared" si="130"/>
        <v>0</v>
      </c>
      <c r="R460" s="3">
        <f>IF(AND($K460=1,AND(对接源_01水果!$X460="公司筐",N(对接源_01水果!$U460)&lt;&gt;0)),1,0)</f>
        <v>0</v>
      </c>
      <c r="S460" s="3">
        <f t="shared" si="131"/>
        <v>0</v>
      </c>
      <c r="T460" s="3">
        <f>IF(AND($K460=1,AND(对接源_01水果!$X460="公司筐",N(对接源_01水果!$V460)&lt;&gt;0)),1,0)</f>
        <v>0</v>
      </c>
      <c r="U460" s="3">
        <f t="shared" si="132"/>
        <v>19</v>
      </c>
      <c r="V460" s="3">
        <f>IF(AND($L460=1,AND(对接源_01水果!$X460="自备筐",N(对接源_01水果!$V460)&lt;&gt;0)),1,0)</f>
        <v>0</v>
      </c>
      <c r="W460" s="3">
        <f t="shared" si="133"/>
        <v>8</v>
      </c>
      <c r="X460" s="3">
        <f>IF(AND($L460=1,AND(对接源_01水果!$X460="自备筐",N(对接源_01水果!$T460)&lt;&gt;0)),1,0)</f>
        <v>0</v>
      </c>
      <c r="Y460" s="3">
        <f t="shared" si="134"/>
        <v>0</v>
      </c>
      <c r="Z460" s="3">
        <f>IF(AND($M460=1,对接源_01水果!$D460="原料入库"),1,0)</f>
        <v>0</v>
      </c>
      <c r="AA460" s="3">
        <f t="shared" si="135"/>
        <v>24</v>
      </c>
      <c r="AB460" s="3">
        <f>IF(AND($M460=1,LEFT(对接源_01水果!$D460,4)="原料出库"),1,0)</f>
        <v>0</v>
      </c>
      <c r="AC460" s="3">
        <f t="shared" si="136"/>
        <v>0</v>
      </c>
      <c r="AD460" s="3">
        <f>IF(AND($M460=1,LEFT(对接源_01水果!$D460,4)="成品出库"),1,0)</f>
        <v>0</v>
      </c>
      <c r="AE460" s="3">
        <f t="shared" si="137"/>
        <v>0</v>
      </c>
      <c r="AF460" s="3">
        <f>IF(AND($N460=1,AND(LEFT(对接源_01水果!$D460,4)="包装物料",N(对接源_01水果!$K460)&lt;&gt;0)),1,0)</f>
        <v>0</v>
      </c>
      <c r="AG460" s="3">
        <f t="shared" si="138"/>
        <v>0</v>
      </c>
      <c r="AH460" s="3">
        <f>IF(AND($N460=1,AND(对接源_01水果!$D460="周转筐－销售出库",N(对接源_01水果!$K460)&lt;&gt;0)),1,0)</f>
        <v>0</v>
      </c>
      <c r="AI460" s="3">
        <f t="shared" si="139"/>
        <v>0</v>
      </c>
      <c r="AJ460" s="7"/>
      <c r="AL460" s="3">
        <f>IF(OR($AL$1="",对接源_01水果!$Y460="",对接源_01水果!$Y460&lt;&gt;$AL$1,对接源_01水果!$B460="",N(对接源_01水果!$AJ460)&lt;=0),0,IF(OR(N(对接源_01水果!$B460)&lt;$AL$2,N(对接源_01水果!$B460)&gt;$AL$3),0,1))</f>
        <v>0</v>
      </c>
      <c r="AM460" s="3">
        <f t="shared" si="140"/>
        <v>1</v>
      </c>
      <c r="AN460" s="3" t="str">
        <f>IF(对接源_01水果!$AC460="","",对接源_01水果!$AC460)</f>
        <v/>
      </c>
      <c r="AO460" s="3">
        <f t="shared" si="141"/>
        <v>0</v>
      </c>
      <c r="AP460" s="3">
        <f t="shared" si="142"/>
        <v>8</v>
      </c>
      <c r="AR460">
        <f t="shared" si="143"/>
        <v>0</v>
      </c>
      <c r="AS460">
        <f t="shared" si="144"/>
        <v>0</v>
      </c>
    </row>
    <row r="461" ht="14.25" customHeight="1" spans="1:45">
      <c r="A461" s="3" t="str">
        <f>IF(对接源_01水果!$C461="","",对接源_01水果!$C461)</f>
        <v/>
      </c>
      <c r="B461" s="3">
        <f t="shared" si="128"/>
        <v>0</v>
      </c>
      <c r="C461" s="3">
        <f t="shared" si="129"/>
        <v>18</v>
      </c>
      <c r="K461" s="3">
        <f>IF(OR($K$1="",对接源_01水果!$C461="",对接源_01水果!$C461&lt;&gt;$K$1,对接源_01水果!$B461=""),0,IF(OR(N(对接源_01水果!$B461)&lt;$K$2,N(对接源_01水果!$B461)&gt;$K$3),0,1))</f>
        <v>0</v>
      </c>
      <c r="L461" s="3">
        <f>IF(OR($L$1="",对接源_01水果!$C461="",对接源_01水果!$C461&lt;&gt;$L$1,对接源_01水果!$B461=""),0,IF(OR(N(对接源_01水果!$B461)&lt;$L$2,N(对接源_01水果!$B461)&gt;$L$3),0,1))</f>
        <v>0</v>
      </c>
      <c r="M461" s="3">
        <f>IF(OR($M$1="",对接源_01水果!$C461="",对接源_01水果!$C461&lt;&gt;$M$1,对接源_01水果!$B461=""),0,IF(OR(N(对接源_01水果!$B461)&lt;$M$2,N(对接源_01水果!$B461)&gt;$M$3),0,1))</f>
        <v>0</v>
      </c>
      <c r="N461" s="3">
        <f>IF(OR($N$1="",对接源_01水果!$C461="",对接源_01水果!$C461&lt;&gt;$N$1,对接源_01水果!$B461=""),0,IF(OR(N(对接源_01水果!$B461)&lt;$N$2,N(对接源_01水果!$B461)&gt;$N$3),0,1))</f>
        <v>0</v>
      </c>
      <c r="P461" s="3">
        <f>IF(AND($K461=1,AND(对接源_01水果!$X461="公司筐",N(对接源_01水果!$T461)&lt;&gt;0)),1,0)</f>
        <v>0</v>
      </c>
      <c r="Q461" s="3">
        <f t="shared" si="130"/>
        <v>0</v>
      </c>
      <c r="R461" s="3">
        <f>IF(AND($K461=1,AND(对接源_01水果!$X461="公司筐",N(对接源_01水果!$U461)&lt;&gt;0)),1,0)</f>
        <v>0</v>
      </c>
      <c r="S461" s="3">
        <f t="shared" si="131"/>
        <v>0</v>
      </c>
      <c r="T461" s="3">
        <f>IF(AND($K461=1,AND(对接源_01水果!$X461="公司筐",N(对接源_01水果!$V461)&lt;&gt;0)),1,0)</f>
        <v>0</v>
      </c>
      <c r="U461" s="3">
        <f t="shared" si="132"/>
        <v>19</v>
      </c>
      <c r="V461" s="3">
        <f>IF(AND($L461=1,AND(对接源_01水果!$X461="自备筐",N(对接源_01水果!$V461)&lt;&gt;0)),1,0)</f>
        <v>0</v>
      </c>
      <c r="W461" s="3">
        <f t="shared" si="133"/>
        <v>8</v>
      </c>
      <c r="X461" s="3">
        <f>IF(AND($L461=1,AND(对接源_01水果!$X461="自备筐",N(对接源_01水果!$T461)&lt;&gt;0)),1,0)</f>
        <v>0</v>
      </c>
      <c r="Y461" s="3">
        <f t="shared" si="134"/>
        <v>0</v>
      </c>
      <c r="Z461" s="3">
        <f>IF(AND($M461=1,对接源_01水果!$D461="原料入库"),1,0)</f>
        <v>0</v>
      </c>
      <c r="AA461" s="3">
        <f t="shared" si="135"/>
        <v>24</v>
      </c>
      <c r="AB461" s="3">
        <f>IF(AND($M461=1,LEFT(对接源_01水果!$D461,4)="原料出库"),1,0)</f>
        <v>0</v>
      </c>
      <c r="AC461" s="3">
        <f t="shared" si="136"/>
        <v>0</v>
      </c>
      <c r="AD461" s="3">
        <f>IF(AND($M461=1,LEFT(对接源_01水果!$D461,4)="成品出库"),1,0)</f>
        <v>0</v>
      </c>
      <c r="AE461" s="3">
        <f t="shared" si="137"/>
        <v>0</v>
      </c>
      <c r="AF461" s="3">
        <f>IF(AND($N461=1,AND(LEFT(对接源_01水果!$D461,4)="包装物料",N(对接源_01水果!$K461)&lt;&gt;0)),1,0)</f>
        <v>0</v>
      </c>
      <c r="AG461" s="3">
        <f t="shared" si="138"/>
        <v>0</v>
      </c>
      <c r="AH461" s="3">
        <f>IF(AND($N461=1,AND(对接源_01水果!$D461="周转筐－销售出库",N(对接源_01水果!$K461)&lt;&gt;0)),1,0)</f>
        <v>0</v>
      </c>
      <c r="AI461" s="3">
        <f t="shared" si="139"/>
        <v>0</v>
      </c>
      <c r="AJ461" s="7"/>
      <c r="AL461" s="3">
        <f>IF(OR($AL$1="",对接源_01水果!$Y461="",对接源_01水果!$Y461&lt;&gt;$AL$1,对接源_01水果!$B461="",N(对接源_01水果!$AJ461)&lt;=0),0,IF(OR(N(对接源_01水果!$B461)&lt;$AL$2,N(对接源_01水果!$B461)&gt;$AL$3),0,1))</f>
        <v>0</v>
      </c>
      <c r="AM461" s="3">
        <f t="shared" si="140"/>
        <v>1</v>
      </c>
      <c r="AN461" s="3" t="str">
        <f>IF(对接源_01水果!$AC461="","",对接源_01水果!$AC461)</f>
        <v/>
      </c>
      <c r="AO461" s="3">
        <f t="shared" si="141"/>
        <v>0</v>
      </c>
      <c r="AP461" s="3">
        <f t="shared" si="142"/>
        <v>8</v>
      </c>
      <c r="AR461">
        <f t="shared" si="143"/>
        <v>0</v>
      </c>
      <c r="AS461">
        <f t="shared" si="144"/>
        <v>0</v>
      </c>
    </row>
    <row r="462" ht="14.25" customHeight="1" spans="1:45">
      <c r="A462" s="3" t="str">
        <f>IF(对接源_01水果!$C462="","",对接源_01水果!$C462)</f>
        <v/>
      </c>
      <c r="B462" s="3">
        <f t="shared" si="128"/>
        <v>0</v>
      </c>
      <c r="C462" s="3">
        <f t="shared" si="129"/>
        <v>18</v>
      </c>
      <c r="K462" s="3">
        <f>IF(OR($K$1="",对接源_01水果!$C462="",对接源_01水果!$C462&lt;&gt;$K$1,对接源_01水果!$B462=""),0,IF(OR(N(对接源_01水果!$B462)&lt;$K$2,N(对接源_01水果!$B462)&gt;$K$3),0,1))</f>
        <v>0</v>
      </c>
      <c r="L462" s="3">
        <f>IF(OR($L$1="",对接源_01水果!$C462="",对接源_01水果!$C462&lt;&gt;$L$1,对接源_01水果!$B462=""),0,IF(OR(N(对接源_01水果!$B462)&lt;$L$2,N(对接源_01水果!$B462)&gt;$L$3),0,1))</f>
        <v>0</v>
      </c>
      <c r="M462" s="3">
        <f>IF(OR($M$1="",对接源_01水果!$C462="",对接源_01水果!$C462&lt;&gt;$M$1,对接源_01水果!$B462=""),0,IF(OR(N(对接源_01水果!$B462)&lt;$M$2,N(对接源_01水果!$B462)&gt;$M$3),0,1))</f>
        <v>0</v>
      </c>
      <c r="N462" s="3">
        <f>IF(OR($N$1="",对接源_01水果!$C462="",对接源_01水果!$C462&lt;&gt;$N$1,对接源_01水果!$B462=""),0,IF(OR(N(对接源_01水果!$B462)&lt;$N$2,N(对接源_01水果!$B462)&gt;$N$3),0,1))</f>
        <v>0</v>
      </c>
      <c r="P462" s="3">
        <f>IF(AND($K462=1,AND(对接源_01水果!$X462="公司筐",N(对接源_01水果!$T462)&lt;&gt;0)),1,0)</f>
        <v>0</v>
      </c>
      <c r="Q462" s="3">
        <f t="shared" si="130"/>
        <v>0</v>
      </c>
      <c r="R462" s="3">
        <f>IF(AND($K462=1,AND(对接源_01水果!$X462="公司筐",N(对接源_01水果!$U462)&lt;&gt;0)),1,0)</f>
        <v>0</v>
      </c>
      <c r="S462" s="3">
        <f t="shared" si="131"/>
        <v>0</v>
      </c>
      <c r="T462" s="3">
        <f>IF(AND($K462=1,AND(对接源_01水果!$X462="公司筐",N(对接源_01水果!$V462)&lt;&gt;0)),1,0)</f>
        <v>0</v>
      </c>
      <c r="U462" s="3">
        <f t="shared" si="132"/>
        <v>19</v>
      </c>
      <c r="V462" s="3">
        <f>IF(AND($L462=1,AND(对接源_01水果!$X462="自备筐",N(对接源_01水果!$V462)&lt;&gt;0)),1,0)</f>
        <v>0</v>
      </c>
      <c r="W462" s="3">
        <f t="shared" si="133"/>
        <v>8</v>
      </c>
      <c r="X462" s="3">
        <f>IF(AND($L462=1,AND(对接源_01水果!$X462="自备筐",N(对接源_01水果!$T462)&lt;&gt;0)),1,0)</f>
        <v>0</v>
      </c>
      <c r="Y462" s="3">
        <f t="shared" si="134"/>
        <v>0</v>
      </c>
      <c r="Z462" s="3">
        <f>IF(AND($M462=1,对接源_01水果!$D462="原料入库"),1,0)</f>
        <v>0</v>
      </c>
      <c r="AA462" s="3">
        <f t="shared" si="135"/>
        <v>24</v>
      </c>
      <c r="AB462" s="3">
        <f>IF(AND($M462=1,LEFT(对接源_01水果!$D462,4)="原料出库"),1,0)</f>
        <v>0</v>
      </c>
      <c r="AC462" s="3">
        <f t="shared" si="136"/>
        <v>0</v>
      </c>
      <c r="AD462" s="3">
        <f>IF(AND($M462=1,LEFT(对接源_01水果!$D462,4)="成品出库"),1,0)</f>
        <v>0</v>
      </c>
      <c r="AE462" s="3">
        <f t="shared" si="137"/>
        <v>0</v>
      </c>
      <c r="AF462" s="3">
        <f>IF(AND($N462=1,AND(LEFT(对接源_01水果!$D462,4)="包装物料",N(对接源_01水果!$K462)&lt;&gt;0)),1,0)</f>
        <v>0</v>
      </c>
      <c r="AG462" s="3">
        <f t="shared" si="138"/>
        <v>0</v>
      </c>
      <c r="AH462" s="3">
        <f>IF(AND($N462=1,AND(对接源_01水果!$D462="周转筐－销售出库",N(对接源_01水果!$K462)&lt;&gt;0)),1,0)</f>
        <v>0</v>
      </c>
      <c r="AI462" s="3">
        <f t="shared" si="139"/>
        <v>0</v>
      </c>
      <c r="AJ462" s="7"/>
      <c r="AL462" s="3">
        <f>IF(OR($AL$1="",对接源_01水果!$Y462="",对接源_01水果!$Y462&lt;&gt;$AL$1,对接源_01水果!$B462="",N(对接源_01水果!$AJ462)&lt;=0),0,IF(OR(N(对接源_01水果!$B462)&lt;$AL$2,N(对接源_01水果!$B462)&gt;$AL$3),0,1))</f>
        <v>0</v>
      </c>
      <c r="AM462" s="3">
        <f t="shared" si="140"/>
        <v>1</v>
      </c>
      <c r="AN462" s="3" t="str">
        <f>IF(对接源_01水果!$AC462="","",对接源_01水果!$AC462)</f>
        <v/>
      </c>
      <c r="AO462" s="3">
        <f t="shared" si="141"/>
        <v>0</v>
      </c>
      <c r="AP462" s="3">
        <f t="shared" si="142"/>
        <v>8</v>
      </c>
      <c r="AR462">
        <f t="shared" si="143"/>
        <v>0</v>
      </c>
      <c r="AS462">
        <f t="shared" si="144"/>
        <v>0</v>
      </c>
    </row>
    <row r="463" ht="14.25" customHeight="1" spans="1:45">
      <c r="A463" s="3" t="str">
        <f>IF(对接源_01水果!$C463="","",对接源_01水果!$C463)</f>
        <v/>
      </c>
      <c r="B463" s="3">
        <f t="shared" si="128"/>
        <v>0</v>
      </c>
      <c r="C463" s="3">
        <f t="shared" si="129"/>
        <v>18</v>
      </c>
      <c r="K463" s="3">
        <f>IF(OR($K$1="",对接源_01水果!$C463="",对接源_01水果!$C463&lt;&gt;$K$1,对接源_01水果!$B463=""),0,IF(OR(N(对接源_01水果!$B463)&lt;$K$2,N(对接源_01水果!$B463)&gt;$K$3),0,1))</f>
        <v>0</v>
      </c>
      <c r="L463" s="3">
        <f>IF(OR($L$1="",对接源_01水果!$C463="",对接源_01水果!$C463&lt;&gt;$L$1,对接源_01水果!$B463=""),0,IF(OR(N(对接源_01水果!$B463)&lt;$L$2,N(对接源_01水果!$B463)&gt;$L$3),0,1))</f>
        <v>0</v>
      </c>
      <c r="M463" s="3">
        <f>IF(OR($M$1="",对接源_01水果!$C463="",对接源_01水果!$C463&lt;&gt;$M$1,对接源_01水果!$B463=""),0,IF(OR(N(对接源_01水果!$B463)&lt;$M$2,N(对接源_01水果!$B463)&gt;$M$3),0,1))</f>
        <v>0</v>
      </c>
      <c r="N463" s="3">
        <f>IF(OR($N$1="",对接源_01水果!$C463="",对接源_01水果!$C463&lt;&gt;$N$1,对接源_01水果!$B463=""),0,IF(OR(N(对接源_01水果!$B463)&lt;$N$2,N(对接源_01水果!$B463)&gt;$N$3),0,1))</f>
        <v>0</v>
      </c>
      <c r="P463" s="3">
        <f>IF(AND($K463=1,AND(对接源_01水果!$X463="公司筐",N(对接源_01水果!$T463)&lt;&gt;0)),1,0)</f>
        <v>0</v>
      </c>
      <c r="Q463" s="3">
        <f t="shared" si="130"/>
        <v>0</v>
      </c>
      <c r="R463" s="3">
        <f>IF(AND($K463=1,AND(对接源_01水果!$X463="公司筐",N(对接源_01水果!$U463)&lt;&gt;0)),1,0)</f>
        <v>0</v>
      </c>
      <c r="S463" s="3">
        <f t="shared" si="131"/>
        <v>0</v>
      </c>
      <c r="T463" s="3">
        <f>IF(AND($K463=1,AND(对接源_01水果!$X463="公司筐",N(对接源_01水果!$V463)&lt;&gt;0)),1,0)</f>
        <v>0</v>
      </c>
      <c r="U463" s="3">
        <f t="shared" si="132"/>
        <v>19</v>
      </c>
      <c r="V463" s="3">
        <f>IF(AND($L463=1,AND(对接源_01水果!$X463="自备筐",N(对接源_01水果!$V463)&lt;&gt;0)),1,0)</f>
        <v>0</v>
      </c>
      <c r="W463" s="3">
        <f t="shared" si="133"/>
        <v>8</v>
      </c>
      <c r="X463" s="3">
        <f>IF(AND($L463=1,AND(对接源_01水果!$X463="自备筐",N(对接源_01水果!$T463)&lt;&gt;0)),1,0)</f>
        <v>0</v>
      </c>
      <c r="Y463" s="3">
        <f t="shared" si="134"/>
        <v>0</v>
      </c>
      <c r="Z463" s="3">
        <f>IF(AND($M463=1,对接源_01水果!$D463="原料入库"),1,0)</f>
        <v>0</v>
      </c>
      <c r="AA463" s="3">
        <f t="shared" si="135"/>
        <v>24</v>
      </c>
      <c r="AB463" s="3">
        <f>IF(AND($M463=1,LEFT(对接源_01水果!$D463,4)="原料出库"),1,0)</f>
        <v>0</v>
      </c>
      <c r="AC463" s="3">
        <f t="shared" si="136"/>
        <v>0</v>
      </c>
      <c r="AD463" s="3">
        <f>IF(AND($M463=1,LEFT(对接源_01水果!$D463,4)="成品出库"),1,0)</f>
        <v>0</v>
      </c>
      <c r="AE463" s="3">
        <f t="shared" si="137"/>
        <v>0</v>
      </c>
      <c r="AF463" s="3">
        <f>IF(AND($N463=1,AND(LEFT(对接源_01水果!$D463,4)="包装物料",N(对接源_01水果!$K463)&lt;&gt;0)),1,0)</f>
        <v>0</v>
      </c>
      <c r="AG463" s="3">
        <f t="shared" si="138"/>
        <v>0</v>
      </c>
      <c r="AH463" s="3">
        <f>IF(AND($N463=1,AND(对接源_01水果!$D463="周转筐－销售出库",N(对接源_01水果!$K463)&lt;&gt;0)),1,0)</f>
        <v>0</v>
      </c>
      <c r="AI463" s="3">
        <f t="shared" si="139"/>
        <v>0</v>
      </c>
      <c r="AJ463" s="7"/>
      <c r="AL463" s="3">
        <f>IF(OR($AL$1="",对接源_01水果!$Y463="",对接源_01水果!$Y463&lt;&gt;$AL$1,对接源_01水果!$B463="",N(对接源_01水果!$AJ463)&lt;=0),0,IF(OR(N(对接源_01水果!$B463)&lt;$AL$2,N(对接源_01水果!$B463)&gt;$AL$3),0,1))</f>
        <v>0</v>
      </c>
      <c r="AM463" s="3">
        <f t="shared" si="140"/>
        <v>1</v>
      </c>
      <c r="AN463" s="3" t="str">
        <f>IF(对接源_01水果!$AC463="","",对接源_01水果!$AC463)</f>
        <v/>
      </c>
      <c r="AO463" s="3">
        <f t="shared" si="141"/>
        <v>0</v>
      </c>
      <c r="AP463" s="3">
        <f t="shared" si="142"/>
        <v>8</v>
      </c>
      <c r="AR463">
        <f t="shared" si="143"/>
        <v>0</v>
      </c>
      <c r="AS463">
        <f t="shared" si="144"/>
        <v>0</v>
      </c>
    </row>
    <row r="464" ht="14.25" customHeight="1" spans="1:45">
      <c r="A464" s="3" t="str">
        <f>IF(对接源_01水果!$C464="","",对接源_01水果!$C464)</f>
        <v/>
      </c>
      <c r="B464" s="3">
        <f t="shared" si="128"/>
        <v>0</v>
      </c>
      <c r="C464" s="3">
        <f t="shared" si="129"/>
        <v>18</v>
      </c>
      <c r="K464" s="3">
        <f>IF(OR($K$1="",对接源_01水果!$C464="",对接源_01水果!$C464&lt;&gt;$K$1,对接源_01水果!$B464=""),0,IF(OR(N(对接源_01水果!$B464)&lt;$K$2,N(对接源_01水果!$B464)&gt;$K$3),0,1))</f>
        <v>0</v>
      </c>
      <c r="L464" s="3">
        <f>IF(OR($L$1="",对接源_01水果!$C464="",对接源_01水果!$C464&lt;&gt;$L$1,对接源_01水果!$B464=""),0,IF(OR(N(对接源_01水果!$B464)&lt;$L$2,N(对接源_01水果!$B464)&gt;$L$3),0,1))</f>
        <v>0</v>
      </c>
      <c r="M464" s="3">
        <f>IF(OR($M$1="",对接源_01水果!$C464="",对接源_01水果!$C464&lt;&gt;$M$1,对接源_01水果!$B464=""),0,IF(OR(N(对接源_01水果!$B464)&lt;$M$2,N(对接源_01水果!$B464)&gt;$M$3),0,1))</f>
        <v>0</v>
      </c>
      <c r="N464" s="3">
        <f>IF(OR($N$1="",对接源_01水果!$C464="",对接源_01水果!$C464&lt;&gt;$N$1,对接源_01水果!$B464=""),0,IF(OR(N(对接源_01水果!$B464)&lt;$N$2,N(对接源_01水果!$B464)&gt;$N$3),0,1))</f>
        <v>0</v>
      </c>
      <c r="P464" s="3">
        <f>IF(AND($K464=1,AND(对接源_01水果!$X464="公司筐",N(对接源_01水果!$T464)&lt;&gt;0)),1,0)</f>
        <v>0</v>
      </c>
      <c r="Q464" s="3">
        <f t="shared" si="130"/>
        <v>0</v>
      </c>
      <c r="R464" s="3">
        <f>IF(AND($K464=1,AND(对接源_01水果!$X464="公司筐",N(对接源_01水果!$U464)&lt;&gt;0)),1,0)</f>
        <v>0</v>
      </c>
      <c r="S464" s="3">
        <f t="shared" si="131"/>
        <v>0</v>
      </c>
      <c r="T464" s="3">
        <f>IF(AND($K464=1,AND(对接源_01水果!$X464="公司筐",N(对接源_01水果!$V464)&lt;&gt;0)),1,0)</f>
        <v>0</v>
      </c>
      <c r="U464" s="3">
        <f t="shared" si="132"/>
        <v>19</v>
      </c>
      <c r="V464" s="3">
        <f>IF(AND($L464=1,AND(对接源_01水果!$X464="自备筐",N(对接源_01水果!$V464)&lt;&gt;0)),1,0)</f>
        <v>0</v>
      </c>
      <c r="W464" s="3">
        <f t="shared" si="133"/>
        <v>8</v>
      </c>
      <c r="X464" s="3">
        <f>IF(AND($L464=1,AND(对接源_01水果!$X464="自备筐",N(对接源_01水果!$T464)&lt;&gt;0)),1,0)</f>
        <v>0</v>
      </c>
      <c r="Y464" s="3">
        <f t="shared" si="134"/>
        <v>0</v>
      </c>
      <c r="Z464" s="3">
        <f>IF(AND($M464=1,对接源_01水果!$D464="原料入库"),1,0)</f>
        <v>0</v>
      </c>
      <c r="AA464" s="3">
        <f t="shared" si="135"/>
        <v>24</v>
      </c>
      <c r="AB464" s="3">
        <f>IF(AND($M464=1,LEFT(对接源_01水果!$D464,4)="原料出库"),1,0)</f>
        <v>0</v>
      </c>
      <c r="AC464" s="3">
        <f t="shared" si="136"/>
        <v>0</v>
      </c>
      <c r="AD464" s="3">
        <f>IF(AND($M464=1,LEFT(对接源_01水果!$D464,4)="成品出库"),1,0)</f>
        <v>0</v>
      </c>
      <c r="AE464" s="3">
        <f t="shared" si="137"/>
        <v>0</v>
      </c>
      <c r="AF464" s="3">
        <f>IF(AND($N464=1,AND(LEFT(对接源_01水果!$D464,4)="包装物料",N(对接源_01水果!$K464)&lt;&gt;0)),1,0)</f>
        <v>0</v>
      </c>
      <c r="AG464" s="3">
        <f t="shared" si="138"/>
        <v>0</v>
      </c>
      <c r="AH464" s="3">
        <f>IF(AND($N464=1,AND(对接源_01水果!$D464="周转筐－销售出库",N(对接源_01水果!$K464)&lt;&gt;0)),1,0)</f>
        <v>0</v>
      </c>
      <c r="AI464" s="3">
        <f t="shared" si="139"/>
        <v>0</v>
      </c>
      <c r="AJ464" s="7"/>
      <c r="AL464" s="3">
        <f>IF(OR($AL$1="",对接源_01水果!$Y464="",对接源_01水果!$Y464&lt;&gt;$AL$1,对接源_01水果!$B464="",N(对接源_01水果!$AJ464)&lt;=0),0,IF(OR(N(对接源_01水果!$B464)&lt;$AL$2,N(对接源_01水果!$B464)&gt;$AL$3),0,1))</f>
        <v>0</v>
      </c>
      <c r="AM464" s="3">
        <f t="shared" si="140"/>
        <v>1</v>
      </c>
      <c r="AN464" s="3" t="str">
        <f>IF(对接源_01水果!$AC464="","",对接源_01水果!$AC464)</f>
        <v/>
      </c>
      <c r="AO464" s="3">
        <f t="shared" si="141"/>
        <v>0</v>
      </c>
      <c r="AP464" s="3">
        <f t="shared" si="142"/>
        <v>8</v>
      </c>
      <c r="AR464">
        <f t="shared" si="143"/>
        <v>0</v>
      </c>
      <c r="AS464">
        <f t="shared" si="144"/>
        <v>0</v>
      </c>
    </row>
    <row r="465" ht="14.25" customHeight="1" spans="1:45">
      <c r="A465" s="3" t="str">
        <f>IF(对接源_01水果!$C465="","",对接源_01水果!$C465)</f>
        <v/>
      </c>
      <c r="B465" s="3">
        <f t="shared" si="128"/>
        <v>0</v>
      </c>
      <c r="C465" s="3">
        <f t="shared" si="129"/>
        <v>18</v>
      </c>
      <c r="K465" s="3">
        <f>IF(OR($K$1="",对接源_01水果!$C465="",对接源_01水果!$C465&lt;&gt;$K$1,对接源_01水果!$B465=""),0,IF(OR(N(对接源_01水果!$B465)&lt;$K$2,N(对接源_01水果!$B465)&gt;$K$3),0,1))</f>
        <v>0</v>
      </c>
      <c r="L465" s="3">
        <f>IF(OR($L$1="",对接源_01水果!$C465="",对接源_01水果!$C465&lt;&gt;$L$1,对接源_01水果!$B465=""),0,IF(OR(N(对接源_01水果!$B465)&lt;$L$2,N(对接源_01水果!$B465)&gt;$L$3),0,1))</f>
        <v>0</v>
      </c>
      <c r="M465" s="3">
        <f>IF(OR($M$1="",对接源_01水果!$C465="",对接源_01水果!$C465&lt;&gt;$M$1,对接源_01水果!$B465=""),0,IF(OR(N(对接源_01水果!$B465)&lt;$M$2,N(对接源_01水果!$B465)&gt;$M$3),0,1))</f>
        <v>0</v>
      </c>
      <c r="N465" s="3">
        <f>IF(OR($N$1="",对接源_01水果!$C465="",对接源_01水果!$C465&lt;&gt;$N$1,对接源_01水果!$B465=""),0,IF(OR(N(对接源_01水果!$B465)&lt;$N$2,N(对接源_01水果!$B465)&gt;$N$3),0,1))</f>
        <v>0</v>
      </c>
      <c r="P465" s="3">
        <f>IF(AND($K465=1,AND(对接源_01水果!$X465="公司筐",N(对接源_01水果!$T465)&lt;&gt;0)),1,0)</f>
        <v>0</v>
      </c>
      <c r="Q465" s="3">
        <f t="shared" si="130"/>
        <v>0</v>
      </c>
      <c r="R465" s="3">
        <f>IF(AND($K465=1,AND(对接源_01水果!$X465="公司筐",N(对接源_01水果!$U465)&lt;&gt;0)),1,0)</f>
        <v>0</v>
      </c>
      <c r="S465" s="3">
        <f t="shared" si="131"/>
        <v>0</v>
      </c>
      <c r="T465" s="3">
        <f>IF(AND($K465=1,AND(对接源_01水果!$X465="公司筐",N(对接源_01水果!$V465)&lt;&gt;0)),1,0)</f>
        <v>0</v>
      </c>
      <c r="U465" s="3">
        <f t="shared" si="132"/>
        <v>19</v>
      </c>
      <c r="V465" s="3">
        <f>IF(AND($L465=1,AND(对接源_01水果!$X465="自备筐",N(对接源_01水果!$V465)&lt;&gt;0)),1,0)</f>
        <v>0</v>
      </c>
      <c r="W465" s="3">
        <f t="shared" si="133"/>
        <v>8</v>
      </c>
      <c r="X465" s="3">
        <f>IF(AND($L465=1,AND(对接源_01水果!$X465="自备筐",N(对接源_01水果!$T465)&lt;&gt;0)),1,0)</f>
        <v>0</v>
      </c>
      <c r="Y465" s="3">
        <f t="shared" si="134"/>
        <v>0</v>
      </c>
      <c r="Z465" s="3">
        <f>IF(AND($M465=1,对接源_01水果!$D465="原料入库"),1,0)</f>
        <v>0</v>
      </c>
      <c r="AA465" s="3">
        <f t="shared" si="135"/>
        <v>24</v>
      </c>
      <c r="AB465" s="3">
        <f>IF(AND($M465=1,LEFT(对接源_01水果!$D465,4)="原料出库"),1,0)</f>
        <v>0</v>
      </c>
      <c r="AC465" s="3">
        <f t="shared" si="136"/>
        <v>0</v>
      </c>
      <c r="AD465" s="3">
        <f>IF(AND($M465=1,LEFT(对接源_01水果!$D465,4)="成品出库"),1,0)</f>
        <v>0</v>
      </c>
      <c r="AE465" s="3">
        <f t="shared" si="137"/>
        <v>0</v>
      </c>
      <c r="AF465" s="3">
        <f>IF(AND($N465=1,AND(LEFT(对接源_01水果!$D465,4)="包装物料",N(对接源_01水果!$K465)&lt;&gt;0)),1,0)</f>
        <v>0</v>
      </c>
      <c r="AG465" s="3">
        <f t="shared" si="138"/>
        <v>0</v>
      </c>
      <c r="AH465" s="3">
        <f>IF(AND($N465=1,AND(对接源_01水果!$D465="周转筐－销售出库",N(对接源_01水果!$K465)&lt;&gt;0)),1,0)</f>
        <v>0</v>
      </c>
      <c r="AI465" s="3">
        <f t="shared" si="139"/>
        <v>0</v>
      </c>
      <c r="AJ465" s="7"/>
      <c r="AL465" s="3">
        <f>IF(OR($AL$1="",对接源_01水果!$Y465="",对接源_01水果!$Y465&lt;&gt;$AL$1,对接源_01水果!$B465="",N(对接源_01水果!$AJ465)&lt;=0),0,IF(OR(N(对接源_01水果!$B465)&lt;$AL$2,N(对接源_01水果!$B465)&gt;$AL$3),0,1))</f>
        <v>0</v>
      </c>
      <c r="AM465" s="3">
        <f t="shared" si="140"/>
        <v>1</v>
      </c>
      <c r="AN465" s="3" t="str">
        <f>IF(对接源_01水果!$AC465="","",对接源_01水果!$AC465)</f>
        <v/>
      </c>
      <c r="AO465" s="3">
        <f t="shared" si="141"/>
        <v>0</v>
      </c>
      <c r="AP465" s="3">
        <f t="shared" si="142"/>
        <v>8</v>
      </c>
      <c r="AR465">
        <f t="shared" si="143"/>
        <v>0</v>
      </c>
      <c r="AS465">
        <f t="shared" si="144"/>
        <v>0</v>
      </c>
    </row>
    <row r="466" ht="14.25" customHeight="1" spans="1:45">
      <c r="A466" s="3" t="str">
        <f>IF(对接源_01水果!$C466="","",对接源_01水果!$C466)</f>
        <v/>
      </c>
      <c r="B466" s="3">
        <f t="shared" si="128"/>
        <v>0</v>
      </c>
      <c r="C466" s="3">
        <f t="shared" si="129"/>
        <v>18</v>
      </c>
      <c r="K466" s="3">
        <f>IF(OR($K$1="",对接源_01水果!$C466="",对接源_01水果!$C466&lt;&gt;$K$1,对接源_01水果!$B466=""),0,IF(OR(N(对接源_01水果!$B466)&lt;$K$2,N(对接源_01水果!$B466)&gt;$K$3),0,1))</f>
        <v>0</v>
      </c>
      <c r="L466" s="3">
        <f>IF(OR($L$1="",对接源_01水果!$C466="",对接源_01水果!$C466&lt;&gt;$L$1,对接源_01水果!$B466=""),0,IF(OR(N(对接源_01水果!$B466)&lt;$L$2,N(对接源_01水果!$B466)&gt;$L$3),0,1))</f>
        <v>0</v>
      </c>
      <c r="M466" s="3">
        <f>IF(OR($M$1="",对接源_01水果!$C466="",对接源_01水果!$C466&lt;&gt;$M$1,对接源_01水果!$B466=""),0,IF(OR(N(对接源_01水果!$B466)&lt;$M$2,N(对接源_01水果!$B466)&gt;$M$3),0,1))</f>
        <v>0</v>
      </c>
      <c r="N466" s="3">
        <f>IF(OR($N$1="",对接源_01水果!$C466="",对接源_01水果!$C466&lt;&gt;$N$1,对接源_01水果!$B466=""),0,IF(OR(N(对接源_01水果!$B466)&lt;$N$2,N(对接源_01水果!$B466)&gt;$N$3),0,1))</f>
        <v>0</v>
      </c>
      <c r="P466" s="3">
        <f>IF(AND($K466=1,AND(对接源_01水果!$X466="公司筐",N(对接源_01水果!$T466)&lt;&gt;0)),1,0)</f>
        <v>0</v>
      </c>
      <c r="Q466" s="3">
        <f t="shared" si="130"/>
        <v>0</v>
      </c>
      <c r="R466" s="3">
        <f>IF(AND($K466=1,AND(对接源_01水果!$X466="公司筐",N(对接源_01水果!$U466)&lt;&gt;0)),1,0)</f>
        <v>0</v>
      </c>
      <c r="S466" s="3">
        <f t="shared" si="131"/>
        <v>0</v>
      </c>
      <c r="T466" s="3">
        <f>IF(AND($K466=1,AND(对接源_01水果!$X466="公司筐",N(对接源_01水果!$V466)&lt;&gt;0)),1,0)</f>
        <v>0</v>
      </c>
      <c r="U466" s="3">
        <f t="shared" si="132"/>
        <v>19</v>
      </c>
      <c r="V466" s="3">
        <f>IF(AND($L466=1,AND(对接源_01水果!$X466="自备筐",N(对接源_01水果!$V466)&lt;&gt;0)),1,0)</f>
        <v>0</v>
      </c>
      <c r="W466" s="3">
        <f t="shared" si="133"/>
        <v>8</v>
      </c>
      <c r="X466" s="3">
        <f>IF(AND($L466=1,AND(对接源_01水果!$X466="自备筐",N(对接源_01水果!$T466)&lt;&gt;0)),1,0)</f>
        <v>0</v>
      </c>
      <c r="Y466" s="3">
        <f t="shared" si="134"/>
        <v>0</v>
      </c>
      <c r="Z466" s="3">
        <f>IF(AND($M466=1,对接源_01水果!$D466="原料入库"),1,0)</f>
        <v>0</v>
      </c>
      <c r="AA466" s="3">
        <f t="shared" si="135"/>
        <v>24</v>
      </c>
      <c r="AB466" s="3">
        <f>IF(AND($M466=1,LEFT(对接源_01水果!$D466,4)="原料出库"),1,0)</f>
        <v>0</v>
      </c>
      <c r="AC466" s="3">
        <f t="shared" si="136"/>
        <v>0</v>
      </c>
      <c r="AD466" s="3">
        <f>IF(AND($M466=1,LEFT(对接源_01水果!$D466,4)="成品出库"),1,0)</f>
        <v>0</v>
      </c>
      <c r="AE466" s="3">
        <f t="shared" si="137"/>
        <v>0</v>
      </c>
      <c r="AF466" s="3">
        <f>IF(AND($N466=1,AND(LEFT(对接源_01水果!$D466,4)="包装物料",N(对接源_01水果!$K466)&lt;&gt;0)),1,0)</f>
        <v>0</v>
      </c>
      <c r="AG466" s="3">
        <f t="shared" si="138"/>
        <v>0</v>
      </c>
      <c r="AH466" s="3">
        <f>IF(AND($N466=1,AND(对接源_01水果!$D466="周转筐－销售出库",N(对接源_01水果!$K466)&lt;&gt;0)),1,0)</f>
        <v>0</v>
      </c>
      <c r="AI466" s="3">
        <f t="shared" si="139"/>
        <v>0</v>
      </c>
      <c r="AJ466" s="7"/>
      <c r="AL466" s="3">
        <f>IF(OR($AL$1="",对接源_01水果!$Y466="",对接源_01水果!$Y466&lt;&gt;$AL$1,对接源_01水果!$B466="",N(对接源_01水果!$AJ466)&lt;=0),0,IF(OR(N(对接源_01水果!$B466)&lt;$AL$2,N(对接源_01水果!$B466)&gt;$AL$3),0,1))</f>
        <v>0</v>
      </c>
      <c r="AM466" s="3">
        <f t="shared" si="140"/>
        <v>1</v>
      </c>
      <c r="AN466" s="3" t="str">
        <f>IF(对接源_01水果!$AC466="","",对接源_01水果!$AC466)</f>
        <v/>
      </c>
      <c r="AO466" s="3">
        <f t="shared" si="141"/>
        <v>0</v>
      </c>
      <c r="AP466" s="3">
        <f t="shared" si="142"/>
        <v>8</v>
      </c>
      <c r="AR466">
        <f t="shared" si="143"/>
        <v>0</v>
      </c>
      <c r="AS466">
        <f t="shared" si="144"/>
        <v>0</v>
      </c>
    </row>
    <row r="467" ht="14.25" customHeight="1" spans="1:45">
      <c r="A467" s="3" t="str">
        <f>IF(对接源_01水果!$C467="","",对接源_01水果!$C467)</f>
        <v/>
      </c>
      <c r="B467" s="3">
        <f t="shared" si="128"/>
        <v>0</v>
      </c>
      <c r="C467" s="3">
        <f t="shared" si="129"/>
        <v>18</v>
      </c>
      <c r="K467" s="3">
        <f>IF(OR($K$1="",对接源_01水果!$C467="",对接源_01水果!$C467&lt;&gt;$K$1,对接源_01水果!$B467=""),0,IF(OR(N(对接源_01水果!$B467)&lt;$K$2,N(对接源_01水果!$B467)&gt;$K$3),0,1))</f>
        <v>0</v>
      </c>
      <c r="L467" s="3">
        <f>IF(OR($L$1="",对接源_01水果!$C467="",对接源_01水果!$C467&lt;&gt;$L$1,对接源_01水果!$B467=""),0,IF(OR(N(对接源_01水果!$B467)&lt;$L$2,N(对接源_01水果!$B467)&gt;$L$3),0,1))</f>
        <v>0</v>
      </c>
      <c r="M467" s="3">
        <f>IF(OR($M$1="",对接源_01水果!$C467="",对接源_01水果!$C467&lt;&gt;$M$1,对接源_01水果!$B467=""),0,IF(OR(N(对接源_01水果!$B467)&lt;$M$2,N(对接源_01水果!$B467)&gt;$M$3),0,1))</f>
        <v>0</v>
      </c>
      <c r="N467" s="3">
        <f>IF(OR($N$1="",对接源_01水果!$C467="",对接源_01水果!$C467&lt;&gt;$N$1,对接源_01水果!$B467=""),0,IF(OR(N(对接源_01水果!$B467)&lt;$N$2,N(对接源_01水果!$B467)&gt;$N$3),0,1))</f>
        <v>0</v>
      </c>
      <c r="P467" s="3">
        <f>IF(AND($K467=1,AND(对接源_01水果!$X467="公司筐",N(对接源_01水果!$T467)&lt;&gt;0)),1,0)</f>
        <v>0</v>
      </c>
      <c r="Q467" s="3">
        <f t="shared" si="130"/>
        <v>0</v>
      </c>
      <c r="R467" s="3">
        <f>IF(AND($K467=1,AND(对接源_01水果!$X467="公司筐",N(对接源_01水果!$U467)&lt;&gt;0)),1,0)</f>
        <v>0</v>
      </c>
      <c r="S467" s="3">
        <f t="shared" si="131"/>
        <v>0</v>
      </c>
      <c r="T467" s="3">
        <f>IF(AND($K467=1,AND(对接源_01水果!$X467="公司筐",N(对接源_01水果!$V467)&lt;&gt;0)),1,0)</f>
        <v>0</v>
      </c>
      <c r="U467" s="3">
        <f t="shared" si="132"/>
        <v>19</v>
      </c>
      <c r="V467" s="3">
        <f>IF(AND($L467=1,AND(对接源_01水果!$X467="自备筐",N(对接源_01水果!$V467)&lt;&gt;0)),1,0)</f>
        <v>0</v>
      </c>
      <c r="W467" s="3">
        <f t="shared" si="133"/>
        <v>8</v>
      </c>
      <c r="X467" s="3">
        <f>IF(AND($L467=1,AND(对接源_01水果!$X467="自备筐",N(对接源_01水果!$T467)&lt;&gt;0)),1,0)</f>
        <v>0</v>
      </c>
      <c r="Y467" s="3">
        <f t="shared" si="134"/>
        <v>0</v>
      </c>
      <c r="Z467" s="3">
        <f>IF(AND($M467=1,对接源_01水果!$D467="原料入库"),1,0)</f>
        <v>0</v>
      </c>
      <c r="AA467" s="3">
        <f t="shared" si="135"/>
        <v>24</v>
      </c>
      <c r="AB467" s="3">
        <f>IF(AND($M467=1,LEFT(对接源_01水果!$D467,4)="原料出库"),1,0)</f>
        <v>0</v>
      </c>
      <c r="AC467" s="3">
        <f t="shared" si="136"/>
        <v>0</v>
      </c>
      <c r="AD467" s="3">
        <f>IF(AND($M467=1,LEFT(对接源_01水果!$D467,4)="成品出库"),1,0)</f>
        <v>0</v>
      </c>
      <c r="AE467" s="3">
        <f t="shared" si="137"/>
        <v>0</v>
      </c>
      <c r="AF467" s="3">
        <f>IF(AND($N467=1,AND(LEFT(对接源_01水果!$D467,4)="包装物料",N(对接源_01水果!$K467)&lt;&gt;0)),1,0)</f>
        <v>0</v>
      </c>
      <c r="AG467" s="3">
        <f t="shared" si="138"/>
        <v>0</v>
      </c>
      <c r="AH467" s="3">
        <f>IF(AND($N467=1,AND(对接源_01水果!$D467="周转筐－销售出库",N(对接源_01水果!$K467)&lt;&gt;0)),1,0)</f>
        <v>0</v>
      </c>
      <c r="AI467" s="3">
        <f t="shared" si="139"/>
        <v>0</v>
      </c>
      <c r="AJ467" s="7"/>
      <c r="AL467" s="3">
        <f>IF(OR($AL$1="",对接源_01水果!$Y467="",对接源_01水果!$Y467&lt;&gt;$AL$1,对接源_01水果!$B467="",N(对接源_01水果!$AJ467)&lt;=0),0,IF(OR(N(对接源_01水果!$B467)&lt;$AL$2,N(对接源_01水果!$B467)&gt;$AL$3),0,1))</f>
        <v>0</v>
      </c>
      <c r="AM467" s="3">
        <f t="shared" si="140"/>
        <v>1</v>
      </c>
      <c r="AN467" s="3" t="str">
        <f>IF(对接源_01水果!$AC467="","",对接源_01水果!$AC467)</f>
        <v/>
      </c>
      <c r="AO467" s="3">
        <f t="shared" si="141"/>
        <v>0</v>
      </c>
      <c r="AP467" s="3">
        <f t="shared" si="142"/>
        <v>8</v>
      </c>
      <c r="AR467">
        <f t="shared" si="143"/>
        <v>0</v>
      </c>
      <c r="AS467">
        <f t="shared" si="144"/>
        <v>0</v>
      </c>
    </row>
    <row r="468" ht="14.25" customHeight="1" spans="1:45">
      <c r="A468" s="3" t="str">
        <f>IF(对接源_01水果!$C468="","",对接源_01水果!$C468)</f>
        <v/>
      </c>
      <c r="B468" s="3">
        <f t="shared" si="128"/>
        <v>0</v>
      </c>
      <c r="C468" s="3">
        <f t="shared" si="129"/>
        <v>18</v>
      </c>
      <c r="K468" s="3">
        <f>IF(OR($K$1="",对接源_01水果!$C468="",对接源_01水果!$C468&lt;&gt;$K$1,对接源_01水果!$B468=""),0,IF(OR(N(对接源_01水果!$B468)&lt;$K$2,N(对接源_01水果!$B468)&gt;$K$3),0,1))</f>
        <v>0</v>
      </c>
      <c r="L468" s="3">
        <f>IF(OR($L$1="",对接源_01水果!$C468="",对接源_01水果!$C468&lt;&gt;$L$1,对接源_01水果!$B468=""),0,IF(OR(N(对接源_01水果!$B468)&lt;$L$2,N(对接源_01水果!$B468)&gt;$L$3),0,1))</f>
        <v>0</v>
      </c>
      <c r="M468" s="3">
        <f>IF(OR($M$1="",对接源_01水果!$C468="",对接源_01水果!$C468&lt;&gt;$M$1,对接源_01水果!$B468=""),0,IF(OR(N(对接源_01水果!$B468)&lt;$M$2,N(对接源_01水果!$B468)&gt;$M$3),0,1))</f>
        <v>0</v>
      </c>
      <c r="N468" s="3">
        <f>IF(OR($N$1="",对接源_01水果!$C468="",对接源_01水果!$C468&lt;&gt;$N$1,对接源_01水果!$B468=""),0,IF(OR(N(对接源_01水果!$B468)&lt;$N$2,N(对接源_01水果!$B468)&gt;$N$3),0,1))</f>
        <v>0</v>
      </c>
      <c r="P468" s="3">
        <f>IF(AND($K468=1,AND(对接源_01水果!$X468="公司筐",N(对接源_01水果!$T468)&lt;&gt;0)),1,0)</f>
        <v>0</v>
      </c>
      <c r="Q468" s="3">
        <f t="shared" si="130"/>
        <v>0</v>
      </c>
      <c r="R468" s="3">
        <f>IF(AND($K468=1,AND(对接源_01水果!$X468="公司筐",N(对接源_01水果!$U468)&lt;&gt;0)),1,0)</f>
        <v>0</v>
      </c>
      <c r="S468" s="3">
        <f t="shared" si="131"/>
        <v>0</v>
      </c>
      <c r="T468" s="3">
        <f>IF(AND($K468=1,AND(对接源_01水果!$X468="公司筐",N(对接源_01水果!$V468)&lt;&gt;0)),1,0)</f>
        <v>0</v>
      </c>
      <c r="U468" s="3">
        <f t="shared" si="132"/>
        <v>19</v>
      </c>
      <c r="V468" s="3">
        <f>IF(AND($L468=1,AND(对接源_01水果!$X468="自备筐",N(对接源_01水果!$V468)&lt;&gt;0)),1,0)</f>
        <v>0</v>
      </c>
      <c r="W468" s="3">
        <f t="shared" si="133"/>
        <v>8</v>
      </c>
      <c r="X468" s="3">
        <f>IF(AND($L468=1,AND(对接源_01水果!$X468="自备筐",N(对接源_01水果!$T468)&lt;&gt;0)),1,0)</f>
        <v>0</v>
      </c>
      <c r="Y468" s="3">
        <f t="shared" si="134"/>
        <v>0</v>
      </c>
      <c r="Z468" s="3">
        <f>IF(AND($M468=1,对接源_01水果!$D468="原料入库"),1,0)</f>
        <v>0</v>
      </c>
      <c r="AA468" s="3">
        <f t="shared" si="135"/>
        <v>24</v>
      </c>
      <c r="AB468" s="3">
        <f>IF(AND($M468=1,LEFT(对接源_01水果!$D468,4)="原料出库"),1,0)</f>
        <v>0</v>
      </c>
      <c r="AC468" s="3">
        <f t="shared" si="136"/>
        <v>0</v>
      </c>
      <c r="AD468" s="3">
        <f>IF(AND($M468=1,LEFT(对接源_01水果!$D468,4)="成品出库"),1,0)</f>
        <v>0</v>
      </c>
      <c r="AE468" s="3">
        <f t="shared" si="137"/>
        <v>0</v>
      </c>
      <c r="AF468" s="3">
        <f>IF(AND($N468=1,AND(LEFT(对接源_01水果!$D468,4)="包装物料",N(对接源_01水果!$K468)&lt;&gt;0)),1,0)</f>
        <v>0</v>
      </c>
      <c r="AG468" s="3">
        <f t="shared" si="138"/>
        <v>0</v>
      </c>
      <c r="AH468" s="3">
        <f>IF(AND($N468=1,AND(对接源_01水果!$D468="周转筐－销售出库",N(对接源_01水果!$K468)&lt;&gt;0)),1,0)</f>
        <v>0</v>
      </c>
      <c r="AI468" s="3">
        <f t="shared" si="139"/>
        <v>0</v>
      </c>
      <c r="AJ468" s="7"/>
      <c r="AL468" s="3">
        <f>IF(OR($AL$1="",对接源_01水果!$Y468="",对接源_01水果!$Y468&lt;&gt;$AL$1,对接源_01水果!$B468="",N(对接源_01水果!$AJ468)&lt;=0),0,IF(OR(N(对接源_01水果!$B468)&lt;$AL$2,N(对接源_01水果!$B468)&gt;$AL$3),0,1))</f>
        <v>0</v>
      </c>
      <c r="AM468" s="3">
        <f t="shared" si="140"/>
        <v>1</v>
      </c>
      <c r="AN468" s="3" t="str">
        <f>IF(对接源_01水果!$AC468="","",对接源_01水果!$AC468)</f>
        <v/>
      </c>
      <c r="AO468" s="3">
        <f t="shared" si="141"/>
        <v>0</v>
      </c>
      <c r="AP468" s="3">
        <f t="shared" si="142"/>
        <v>8</v>
      </c>
      <c r="AR468">
        <f t="shared" si="143"/>
        <v>0</v>
      </c>
      <c r="AS468">
        <f t="shared" si="144"/>
        <v>0</v>
      </c>
    </row>
    <row r="469" ht="14.25" customHeight="1" spans="1:45">
      <c r="A469" s="3" t="str">
        <f>IF(对接源_01水果!$C469="","",对接源_01水果!$C469)</f>
        <v/>
      </c>
      <c r="B469" s="3">
        <f t="shared" si="128"/>
        <v>0</v>
      </c>
      <c r="C469" s="3">
        <f t="shared" si="129"/>
        <v>18</v>
      </c>
      <c r="K469" s="3">
        <f>IF(OR($K$1="",对接源_01水果!$C469="",对接源_01水果!$C469&lt;&gt;$K$1,对接源_01水果!$B469=""),0,IF(OR(N(对接源_01水果!$B469)&lt;$K$2,N(对接源_01水果!$B469)&gt;$K$3),0,1))</f>
        <v>0</v>
      </c>
      <c r="L469" s="3">
        <f>IF(OR($L$1="",对接源_01水果!$C469="",对接源_01水果!$C469&lt;&gt;$L$1,对接源_01水果!$B469=""),0,IF(OR(N(对接源_01水果!$B469)&lt;$L$2,N(对接源_01水果!$B469)&gt;$L$3),0,1))</f>
        <v>0</v>
      </c>
      <c r="M469" s="3">
        <f>IF(OR($M$1="",对接源_01水果!$C469="",对接源_01水果!$C469&lt;&gt;$M$1,对接源_01水果!$B469=""),0,IF(OR(N(对接源_01水果!$B469)&lt;$M$2,N(对接源_01水果!$B469)&gt;$M$3),0,1))</f>
        <v>0</v>
      </c>
      <c r="N469" s="3">
        <f>IF(OR($N$1="",对接源_01水果!$C469="",对接源_01水果!$C469&lt;&gt;$N$1,对接源_01水果!$B469=""),0,IF(OR(N(对接源_01水果!$B469)&lt;$N$2,N(对接源_01水果!$B469)&gt;$N$3),0,1))</f>
        <v>0</v>
      </c>
      <c r="P469" s="3">
        <f>IF(AND($K469=1,AND(对接源_01水果!$X469="公司筐",N(对接源_01水果!$T469)&lt;&gt;0)),1,0)</f>
        <v>0</v>
      </c>
      <c r="Q469" s="3">
        <f t="shared" si="130"/>
        <v>0</v>
      </c>
      <c r="R469" s="3">
        <f>IF(AND($K469=1,AND(对接源_01水果!$X469="公司筐",N(对接源_01水果!$U469)&lt;&gt;0)),1,0)</f>
        <v>0</v>
      </c>
      <c r="S469" s="3">
        <f t="shared" si="131"/>
        <v>0</v>
      </c>
      <c r="T469" s="3">
        <f>IF(AND($K469=1,AND(对接源_01水果!$X469="公司筐",N(对接源_01水果!$V469)&lt;&gt;0)),1,0)</f>
        <v>0</v>
      </c>
      <c r="U469" s="3">
        <f t="shared" si="132"/>
        <v>19</v>
      </c>
      <c r="V469" s="3">
        <f>IF(AND($L469=1,AND(对接源_01水果!$X469="自备筐",N(对接源_01水果!$V469)&lt;&gt;0)),1,0)</f>
        <v>0</v>
      </c>
      <c r="W469" s="3">
        <f t="shared" si="133"/>
        <v>8</v>
      </c>
      <c r="X469" s="3">
        <f>IF(AND($L469=1,AND(对接源_01水果!$X469="自备筐",N(对接源_01水果!$T469)&lt;&gt;0)),1,0)</f>
        <v>0</v>
      </c>
      <c r="Y469" s="3">
        <f t="shared" si="134"/>
        <v>0</v>
      </c>
      <c r="Z469" s="3">
        <f>IF(AND($M469=1,对接源_01水果!$D469="原料入库"),1,0)</f>
        <v>0</v>
      </c>
      <c r="AA469" s="3">
        <f t="shared" si="135"/>
        <v>24</v>
      </c>
      <c r="AB469" s="3">
        <f>IF(AND($M469=1,LEFT(对接源_01水果!$D469,4)="原料出库"),1,0)</f>
        <v>0</v>
      </c>
      <c r="AC469" s="3">
        <f t="shared" si="136"/>
        <v>0</v>
      </c>
      <c r="AD469" s="3">
        <f>IF(AND($M469=1,LEFT(对接源_01水果!$D469,4)="成品出库"),1,0)</f>
        <v>0</v>
      </c>
      <c r="AE469" s="3">
        <f t="shared" si="137"/>
        <v>0</v>
      </c>
      <c r="AF469" s="3">
        <f>IF(AND($N469=1,AND(LEFT(对接源_01水果!$D469,4)="包装物料",N(对接源_01水果!$K469)&lt;&gt;0)),1,0)</f>
        <v>0</v>
      </c>
      <c r="AG469" s="3">
        <f t="shared" si="138"/>
        <v>0</v>
      </c>
      <c r="AH469" s="3">
        <f>IF(AND($N469=1,AND(对接源_01水果!$D469="周转筐－销售出库",N(对接源_01水果!$K469)&lt;&gt;0)),1,0)</f>
        <v>0</v>
      </c>
      <c r="AI469" s="3">
        <f t="shared" si="139"/>
        <v>0</v>
      </c>
      <c r="AJ469" s="7"/>
      <c r="AL469" s="3">
        <f>IF(OR($AL$1="",对接源_01水果!$Y469="",对接源_01水果!$Y469&lt;&gt;$AL$1,对接源_01水果!$B469="",N(对接源_01水果!$AJ469)&lt;=0),0,IF(OR(N(对接源_01水果!$B469)&lt;$AL$2,N(对接源_01水果!$B469)&gt;$AL$3),0,1))</f>
        <v>0</v>
      </c>
      <c r="AM469" s="3">
        <f t="shared" si="140"/>
        <v>1</v>
      </c>
      <c r="AN469" s="3" t="str">
        <f>IF(对接源_01水果!$AC469="","",对接源_01水果!$AC469)</f>
        <v/>
      </c>
      <c r="AO469" s="3">
        <f t="shared" si="141"/>
        <v>0</v>
      </c>
      <c r="AP469" s="3">
        <f t="shared" si="142"/>
        <v>8</v>
      </c>
      <c r="AR469">
        <f t="shared" si="143"/>
        <v>0</v>
      </c>
      <c r="AS469">
        <f t="shared" si="144"/>
        <v>0</v>
      </c>
    </row>
    <row r="470" ht="14.25" customHeight="1" spans="1:45">
      <c r="A470" s="3" t="str">
        <f>IF(对接源_01水果!$C470="","",对接源_01水果!$C470)</f>
        <v/>
      </c>
      <c r="B470" s="3">
        <f t="shared" si="128"/>
        <v>0</v>
      </c>
      <c r="C470" s="3">
        <f t="shared" si="129"/>
        <v>18</v>
      </c>
      <c r="K470" s="3">
        <f>IF(OR($K$1="",对接源_01水果!$C470="",对接源_01水果!$C470&lt;&gt;$K$1,对接源_01水果!$B470=""),0,IF(OR(N(对接源_01水果!$B470)&lt;$K$2,N(对接源_01水果!$B470)&gt;$K$3),0,1))</f>
        <v>0</v>
      </c>
      <c r="L470" s="3">
        <f>IF(OR($L$1="",对接源_01水果!$C470="",对接源_01水果!$C470&lt;&gt;$L$1,对接源_01水果!$B470=""),0,IF(OR(N(对接源_01水果!$B470)&lt;$L$2,N(对接源_01水果!$B470)&gt;$L$3),0,1))</f>
        <v>0</v>
      </c>
      <c r="M470" s="3">
        <f>IF(OR($M$1="",对接源_01水果!$C470="",对接源_01水果!$C470&lt;&gt;$M$1,对接源_01水果!$B470=""),0,IF(OR(N(对接源_01水果!$B470)&lt;$M$2,N(对接源_01水果!$B470)&gt;$M$3),0,1))</f>
        <v>0</v>
      </c>
      <c r="N470" s="3">
        <f>IF(OR($N$1="",对接源_01水果!$C470="",对接源_01水果!$C470&lt;&gt;$N$1,对接源_01水果!$B470=""),0,IF(OR(N(对接源_01水果!$B470)&lt;$N$2,N(对接源_01水果!$B470)&gt;$N$3),0,1))</f>
        <v>0</v>
      </c>
      <c r="P470" s="3">
        <f>IF(AND($K470=1,AND(对接源_01水果!$X470="公司筐",N(对接源_01水果!$T470)&lt;&gt;0)),1,0)</f>
        <v>0</v>
      </c>
      <c r="Q470" s="3">
        <f t="shared" si="130"/>
        <v>0</v>
      </c>
      <c r="R470" s="3">
        <f>IF(AND($K470=1,AND(对接源_01水果!$X470="公司筐",N(对接源_01水果!$U470)&lt;&gt;0)),1,0)</f>
        <v>0</v>
      </c>
      <c r="S470" s="3">
        <f t="shared" si="131"/>
        <v>0</v>
      </c>
      <c r="T470" s="3">
        <f>IF(AND($K470=1,AND(对接源_01水果!$X470="公司筐",N(对接源_01水果!$V470)&lt;&gt;0)),1,0)</f>
        <v>0</v>
      </c>
      <c r="U470" s="3">
        <f t="shared" si="132"/>
        <v>19</v>
      </c>
      <c r="V470" s="3">
        <f>IF(AND($L470=1,AND(对接源_01水果!$X470="自备筐",N(对接源_01水果!$V470)&lt;&gt;0)),1,0)</f>
        <v>0</v>
      </c>
      <c r="W470" s="3">
        <f t="shared" si="133"/>
        <v>8</v>
      </c>
      <c r="X470" s="3">
        <f>IF(AND($L470=1,AND(对接源_01水果!$X470="自备筐",N(对接源_01水果!$T470)&lt;&gt;0)),1,0)</f>
        <v>0</v>
      </c>
      <c r="Y470" s="3">
        <f t="shared" si="134"/>
        <v>0</v>
      </c>
      <c r="Z470" s="3">
        <f>IF(AND($M470=1,对接源_01水果!$D470="原料入库"),1,0)</f>
        <v>0</v>
      </c>
      <c r="AA470" s="3">
        <f t="shared" si="135"/>
        <v>24</v>
      </c>
      <c r="AB470" s="3">
        <f>IF(AND($M470=1,LEFT(对接源_01水果!$D470,4)="原料出库"),1,0)</f>
        <v>0</v>
      </c>
      <c r="AC470" s="3">
        <f t="shared" si="136"/>
        <v>0</v>
      </c>
      <c r="AD470" s="3">
        <f>IF(AND($M470=1,LEFT(对接源_01水果!$D470,4)="成品出库"),1,0)</f>
        <v>0</v>
      </c>
      <c r="AE470" s="3">
        <f t="shared" si="137"/>
        <v>0</v>
      </c>
      <c r="AF470" s="3">
        <f>IF(AND($N470=1,AND(LEFT(对接源_01水果!$D470,4)="包装物料",N(对接源_01水果!$K470)&lt;&gt;0)),1,0)</f>
        <v>0</v>
      </c>
      <c r="AG470" s="3">
        <f t="shared" si="138"/>
        <v>0</v>
      </c>
      <c r="AH470" s="3">
        <f>IF(AND($N470=1,AND(对接源_01水果!$D470="周转筐－销售出库",N(对接源_01水果!$K470)&lt;&gt;0)),1,0)</f>
        <v>0</v>
      </c>
      <c r="AI470" s="3">
        <f t="shared" si="139"/>
        <v>0</v>
      </c>
      <c r="AJ470" s="7"/>
      <c r="AL470" s="3">
        <f>IF(OR($AL$1="",对接源_01水果!$Y470="",对接源_01水果!$Y470&lt;&gt;$AL$1,对接源_01水果!$B470="",N(对接源_01水果!$AJ470)&lt;=0),0,IF(OR(N(对接源_01水果!$B470)&lt;$AL$2,N(对接源_01水果!$B470)&gt;$AL$3),0,1))</f>
        <v>0</v>
      </c>
      <c r="AM470" s="3">
        <f t="shared" si="140"/>
        <v>1</v>
      </c>
      <c r="AN470" s="3" t="str">
        <f>IF(对接源_01水果!$AC470="","",对接源_01水果!$AC470)</f>
        <v/>
      </c>
      <c r="AO470" s="3">
        <f t="shared" si="141"/>
        <v>0</v>
      </c>
      <c r="AP470" s="3">
        <f t="shared" si="142"/>
        <v>8</v>
      </c>
      <c r="AR470">
        <f t="shared" si="143"/>
        <v>0</v>
      </c>
      <c r="AS470">
        <f t="shared" si="144"/>
        <v>0</v>
      </c>
    </row>
    <row r="471" ht="14.25" customHeight="1" spans="1:45">
      <c r="A471" s="3" t="str">
        <f>IF(对接源_01水果!$C471="","",对接源_01水果!$C471)</f>
        <v/>
      </c>
      <c r="B471" s="3">
        <f t="shared" si="128"/>
        <v>0</v>
      </c>
      <c r="C471" s="3">
        <f t="shared" si="129"/>
        <v>18</v>
      </c>
      <c r="K471" s="3">
        <f>IF(OR($K$1="",对接源_01水果!$C471="",对接源_01水果!$C471&lt;&gt;$K$1,对接源_01水果!$B471=""),0,IF(OR(N(对接源_01水果!$B471)&lt;$K$2,N(对接源_01水果!$B471)&gt;$K$3),0,1))</f>
        <v>0</v>
      </c>
      <c r="L471" s="3">
        <f>IF(OR($L$1="",对接源_01水果!$C471="",对接源_01水果!$C471&lt;&gt;$L$1,对接源_01水果!$B471=""),0,IF(OR(N(对接源_01水果!$B471)&lt;$L$2,N(对接源_01水果!$B471)&gt;$L$3),0,1))</f>
        <v>0</v>
      </c>
      <c r="M471" s="3">
        <f>IF(OR($M$1="",对接源_01水果!$C471="",对接源_01水果!$C471&lt;&gt;$M$1,对接源_01水果!$B471=""),0,IF(OR(N(对接源_01水果!$B471)&lt;$M$2,N(对接源_01水果!$B471)&gt;$M$3),0,1))</f>
        <v>0</v>
      </c>
      <c r="N471" s="3">
        <f>IF(OR($N$1="",对接源_01水果!$C471="",对接源_01水果!$C471&lt;&gt;$N$1,对接源_01水果!$B471=""),0,IF(OR(N(对接源_01水果!$B471)&lt;$N$2,N(对接源_01水果!$B471)&gt;$N$3),0,1))</f>
        <v>0</v>
      </c>
      <c r="P471" s="3">
        <f>IF(AND($K471=1,AND(对接源_01水果!$X471="公司筐",N(对接源_01水果!$T471)&lt;&gt;0)),1,0)</f>
        <v>0</v>
      </c>
      <c r="Q471" s="3">
        <f t="shared" si="130"/>
        <v>0</v>
      </c>
      <c r="R471" s="3">
        <f>IF(AND($K471=1,AND(对接源_01水果!$X471="公司筐",N(对接源_01水果!$U471)&lt;&gt;0)),1,0)</f>
        <v>0</v>
      </c>
      <c r="S471" s="3">
        <f t="shared" si="131"/>
        <v>0</v>
      </c>
      <c r="T471" s="3">
        <f>IF(AND($K471=1,AND(对接源_01水果!$X471="公司筐",N(对接源_01水果!$V471)&lt;&gt;0)),1,0)</f>
        <v>0</v>
      </c>
      <c r="U471" s="3">
        <f t="shared" si="132"/>
        <v>19</v>
      </c>
      <c r="V471" s="3">
        <f>IF(AND($L471=1,AND(对接源_01水果!$X471="自备筐",N(对接源_01水果!$V471)&lt;&gt;0)),1,0)</f>
        <v>0</v>
      </c>
      <c r="W471" s="3">
        <f t="shared" si="133"/>
        <v>8</v>
      </c>
      <c r="X471" s="3">
        <f>IF(AND($L471=1,AND(对接源_01水果!$X471="自备筐",N(对接源_01水果!$T471)&lt;&gt;0)),1,0)</f>
        <v>0</v>
      </c>
      <c r="Y471" s="3">
        <f t="shared" si="134"/>
        <v>0</v>
      </c>
      <c r="Z471" s="3">
        <f>IF(AND($M471=1,对接源_01水果!$D471="原料入库"),1,0)</f>
        <v>0</v>
      </c>
      <c r="AA471" s="3">
        <f t="shared" si="135"/>
        <v>24</v>
      </c>
      <c r="AB471" s="3">
        <f>IF(AND($M471=1,LEFT(对接源_01水果!$D471,4)="原料出库"),1,0)</f>
        <v>0</v>
      </c>
      <c r="AC471" s="3">
        <f t="shared" si="136"/>
        <v>0</v>
      </c>
      <c r="AD471" s="3">
        <f>IF(AND($M471=1,LEFT(对接源_01水果!$D471,4)="成品出库"),1,0)</f>
        <v>0</v>
      </c>
      <c r="AE471" s="3">
        <f t="shared" si="137"/>
        <v>0</v>
      </c>
      <c r="AF471" s="3">
        <f>IF(AND($N471=1,AND(LEFT(对接源_01水果!$D471,4)="包装物料",N(对接源_01水果!$K471)&lt;&gt;0)),1,0)</f>
        <v>0</v>
      </c>
      <c r="AG471" s="3">
        <f t="shared" si="138"/>
        <v>0</v>
      </c>
      <c r="AH471" s="3">
        <f>IF(AND($N471=1,AND(对接源_01水果!$D471="周转筐－销售出库",N(对接源_01水果!$K471)&lt;&gt;0)),1,0)</f>
        <v>0</v>
      </c>
      <c r="AI471" s="3">
        <f t="shared" si="139"/>
        <v>0</v>
      </c>
      <c r="AJ471" s="7"/>
      <c r="AL471" s="3">
        <f>IF(OR($AL$1="",对接源_01水果!$Y471="",对接源_01水果!$Y471&lt;&gt;$AL$1,对接源_01水果!$B471="",N(对接源_01水果!$AJ471)&lt;=0),0,IF(OR(N(对接源_01水果!$B471)&lt;$AL$2,N(对接源_01水果!$B471)&gt;$AL$3),0,1))</f>
        <v>0</v>
      </c>
      <c r="AM471" s="3">
        <f t="shared" si="140"/>
        <v>1</v>
      </c>
      <c r="AN471" s="3" t="str">
        <f>IF(对接源_01水果!$AC471="","",对接源_01水果!$AC471)</f>
        <v/>
      </c>
      <c r="AO471" s="3">
        <f t="shared" si="141"/>
        <v>0</v>
      </c>
      <c r="AP471" s="3">
        <f t="shared" si="142"/>
        <v>8</v>
      </c>
      <c r="AR471">
        <f t="shared" si="143"/>
        <v>0</v>
      </c>
      <c r="AS471">
        <f t="shared" si="144"/>
        <v>0</v>
      </c>
    </row>
    <row r="472" ht="14.25" customHeight="1" spans="1:45">
      <c r="A472" s="3" t="str">
        <f>IF(对接源_01水果!$C472="","",对接源_01水果!$C472)</f>
        <v/>
      </c>
      <c r="B472" s="3">
        <f t="shared" si="128"/>
        <v>0</v>
      </c>
      <c r="C472" s="3">
        <f t="shared" si="129"/>
        <v>18</v>
      </c>
      <c r="K472" s="3">
        <f>IF(OR($K$1="",对接源_01水果!$C472="",对接源_01水果!$C472&lt;&gt;$K$1,对接源_01水果!$B472=""),0,IF(OR(N(对接源_01水果!$B472)&lt;$K$2,N(对接源_01水果!$B472)&gt;$K$3),0,1))</f>
        <v>0</v>
      </c>
      <c r="L472" s="3">
        <f>IF(OR($L$1="",对接源_01水果!$C472="",对接源_01水果!$C472&lt;&gt;$L$1,对接源_01水果!$B472=""),0,IF(OR(N(对接源_01水果!$B472)&lt;$L$2,N(对接源_01水果!$B472)&gt;$L$3),0,1))</f>
        <v>0</v>
      </c>
      <c r="M472" s="3">
        <f>IF(OR($M$1="",对接源_01水果!$C472="",对接源_01水果!$C472&lt;&gt;$M$1,对接源_01水果!$B472=""),0,IF(OR(N(对接源_01水果!$B472)&lt;$M$2,N(对接源_01水果!$B472)&gt;$M$3),0,1))</f>
        <v>0</v>
      </c>
      <c r="N472" s="3">
        <f>IF(OR($N$1="",对接源_01水果!$C472="",对接源_01水果!$C472&lt;&gt;$N$1,对接源_01水果!$B472=""),0,IF(OR(N(对接源_01水果!$B472)&lt;$N$2,N(对接源_01水果!$B472)&gt;$N$3),0,1))</f>
        <v>0</v>
      </c>
      <c r="P472" s="3">
        <f>IF(AND($K472=1,AND(对接源_01水果!$X472="公司筐",N(对接源_01水果!$T472)&lt;&gt;0)),1,0)</f>
        <v>0</v>
      </c>
      <c r="Q472" s="3">
        <f t="shared" si="130"/>
        <v>0</v>
      </c>
      <c r="R472" s="3">
        <f>IF(AND($K472=1,AND(对接源_01水果!$X472="公司筐",N(对接源_01水果!$U472)&lt;&gt;0)),1,0)</f>
        <v>0</v>
      </c>
      <c r="S472" s="3">
        <f t="shared" si="131"/>
        <v>0</v>
      </c>
      <c r="T472" s="3">
        <f>IF(AND($K472=1,AND(对接源_01水果!$X472="公司筐",N(对接源_01水果!$V472)&lt;&gt;0)),1,0)</f>
        <v>0</v>
      </c>
      <c r="U472" s="3">
        <f t="shared" si="132"/>
        <v>19</v>
      </c>
      <c r="V472" s="3">
        <f>IF(AND($L472=1,AND(对接源_01水果!$X472="自备筐",N(对接源_01水果!$V472)&lt;&gt;0)),1,0)</f>
        <v>0</v>
      </c>
      <c r="W472" s="3">
        <f t="shared" si="133"/>
        <v>8</v>
      </c>
      <c r="X472" s="3">
        <f>IF(AND($L472=1,AND(对接源_01水果!$X472="自备筐",N(对接源_01水果!$T472)&lt;&gt;0)),1,0)</f>
        <v>0</v>
      </c>
      <c r="Y472" s="3">
        <f t="shared" si="134"/>
        <v>0</v>
      </c>
      <c r="Z472" s="3">
        <f>IF(AND($M472=1,对接源_01水果!$D472="原料入库"),1,0)</f>
        <v>0</v>
      </c>
      <c r="AA472" s="3">
        <f t="shared" si="135"/>
        <v>24</v>
      </c>
      <c r="AB472" s="3">
        <f>IF(AND($M472=1,LEFT(对接源_01水果!$D472,4)="原料出库"),1,0)</f>
        <v>0</v>
      </c>
      <c r="AC472" s="3">
        <f t="shared" si="136"/>
        <v>0</v>
      </c>
      <c r="AD472" s="3">
        <f>IF(AND($M472=1,LEFT(对接源_01水果!$D472,4)="成品出库"),1,0)</f>
        <v>0</v>
      </c>
      <c r="AE472" s="3">
        <f t="shared" si="137"/>
        <v>0</v>
      </c>
      <c r="AF472" s="3">
        <f>IF(AND($N472=1,AND(LEFT(对接源_01水果!$D472,4)="包装物料",N(对接源_01水果!$K472)&lt;&gt;0)),1,0)</f>
        <v>0</v>
      </c>
      <c r="AG472" s="3">
        <f t="shared" si="138"/>
        <v>0</v>
      </c>
      <c r="AH472" s="3">
        <f>IF(AND($N472=1,AND(对接源_01水果!$D472="周转筐－销售出库",N(对接源_01水果!$K472)&lt;&gt;0)),1,0)</f>
        <v>0</v>
      </c>
      <c r="AI472" s="3">
        <f t="shared" si="139"/>
        <v>0</v>
      </c>
      <c r="AJ472" s="7"/>
      <c r="AL472" s="3">
        <f>IF(OR($AL$1="",对接源_01水果!$Y472="",对接源_01水果!$Y472&lt;&gt;$AL$1,对接源_01水果!$B472="",N(对接源_01水果!$AJ472)&lt;=0),0,IF(OR(N(对接源_01水果!$B472)&lt;$AL$2,N(对接源_01水果!$B472)&gt;$AL$3),0,1))</f>
        <v>0</v>
      </c>
      <c r="AM472" s="3">
        <f t="shared" si="140"/>
        <v>1</v>
      </c>
      <c r="AN472" s="3" t="str">
        <f>IF(对接源_01水果!$AC472="","",对接源_01水果!$AC472)</f>
        <v/>
      </c>
      <c r="AO472" s="3">
        <f t="shared" si="141"/>
        <v>0</v>
      </c>
      <c r="AP472" s="3">
        <f t="shared" si="142"/>
        <v>8</v>
      </c>
      <c r="AR472">
        <f t="shared" si="143"/>
        <v>0</v>
      </c>
      <c r="AS472">
        <f t="shared" si="144"/>
        <v>0</v>
      </c>
    </row>
    <row r="473" ht="14.25" customHeight="1" spans="1:45">
      <c r="A473" s="3" t="str">
        <f>IF(对接源_01水果!$C473="","",对接源_01水果!$C473)</f>
        <v/>
      </c>
      <c r="B473" s="3">
        <f t="shared" si="128"/>
        <v>0</v>
      </c>
      <c r="C473" s="3">
        <f t="shared" si="129"/>
        <v>18</v>
      </c>
      <c r="K473" s="3">
        <f>IF(OR($K$1="",对接源_01水果!$C473="",对接源_01水果!$C473&lt;&gt;$K$1,对接源_01水果!$B473=""),0,IF(OR(N(对接源_01水果!$B473)&lt;$K$2,N(对接源_01水果!$B473)&gt;$K$3),0,1))</f>
        <v>0</v>
      </c>
      <c r="L473" s="3">
        <f>IF(OR($L$1="",对接源_01水果!$C473="",对接源_01水果!$C473&lt;&gt;$L$1,对接源_01水果!$B473=""),0,IF(OR(N(对接源_01水果!$B473)&lt;$L$2,N(对接源_01水果!$B473)&gt;$L$3),0,1))</f>
        <v>0</v>
      </c>
      <c r="M473" s="3">
        <f>IF(OR($M$1="",对接源_01水果!$C473="",对接源_01水果!$C473&lt;&gt;$M$1,对接源_01水果!$B473=""),0,IF(OR(N(对接源_01水果!$B473)&lt;$M$2,N(对接源_01水果!$B473)&gt;$M$3),0,1))</f>
        <v>0</v>
      </c>
      <c r="N473" s="3">
        <f>IF(OR($N$1="",对接源_01水果!$C473="",对接源_01水果!$C473&lt;&gt;$N$1,对接源_01水果!$B473=""),0,IF(OR(N(对接源_01水果!$B473)&lt;$N$2,N(对接源_01水果!$B473)&gt;$N$3),0,1))</f>
        <v>0</v>
      </c>
      <c r="P473" s="3">
        <f>IF(AND($K473=1,AND(对接源_01水果!$X473="公司筐",N(对接源_01水果!$T473)&lt;&gt;0)),1,0)</f>
        <v>0</v>
      </c>
      <c r="Q473" s="3">
        <f t="shared" si="130"/>
        <v>0</v>
      </c>
      <c r="R473" s="3">
        <f>IF(AND($K473=1,AND(对接源_01水果!$X473="公司筐",N(对接源_01水果!$U473)&lt;&gt;0)),1,0)</f>
        <v>0</v>
      </c>
      <c r="S473" s="3">
        <f t="shared" si="131"/>
        <v>0</v>
      </c>
      <c r="T473" s="3">
        <f>IF(AND($K473=1,AND(对接源_01水果!$X473="公司筐",N(对接源_01水果!$V473)&lt;&gt;0)),1,0)</f>
        <v>0</v>
      </c>
      <c r="U473" s="3">
        <f t="shared" si="132"/>
        <v>19</v>
      </c>
      <c r="V473" s="3">
        <f>IF(AND($L473=1,AND(对接源_01水果!$X473="自备筐",N(对接源_01水果!$V473)&lt;&gt;0)),1,0)</f>
        <v>0</v>
      </c>
      <c r="W473" s="3">
        <f t="shared" si="133"/>
        <v>8</v>
      </c>
      <c r="X473" s="3">
        <f>IF(AND($L473=1,AND(对接源_01水果!$X473="自备筐",N(对接源_01水果!$T473)&lt;&gt;0)),1,0)</f>
        <v>0</v>
      </c>
      <c r="Y473" s="3">
        <f t="shared" si="134"/>
        <v>0</v>
      </c>
      <c r="Z473" s="3">
        <f>IF(AND($M473=1,对接源_01水果!$D473="原料入库"),1,0)</f>
        <v>0</v>
      </c>
      <c r="AA473" s="3">
        <f t="shared" si="135"/>
        <v>24</v>
      </c>
      <c r="AB473" s="3">
        <f>IF(AND($M473=1,LEFT(对接源_01水果!$D473,4)="原料出库"),1,0)</f>
        <v>0</v>
      </c>
      <c r="AC473" s="3">
        <f t="shared" si="136"/>
        <v>0</v>
      </c>
      <c r="AD473" s="3">
        <f>IF(AND($M473=1,LEFT(对接源_01水果!$D473,4)="成品出库"),1,0)</f>
        <v>0</v>
      </c>
      <c r="AE473" s="3">
        <f t="shared" si="137"/>
        <v>0</v>
      </c>
      <c r="AF473" s="3">
        <f>IF(AND($N473=1,AND(LEFT(对接源_01水果!$D473,4)="包装物料",N(对接源_01水果!$K473)&lt;&gt;0)),1,0)</f>
        <v>0</v>
      </c>
      <c r="AG473" s="3">
        <f t="shared" si="138"/>
        <v>0</v>
      </c>
      <c r="AH473" s="3">
        <f>IF(AND($N473=1,AND(对接源_01水果!$D473="周转筐－销售出库",N(对接源_01水果!$K473)&lt;&gt;0)),1,0)</f>
        <v>0</v>
      </c>
      <c r="AI473" s="3">
        <f t="shared" si="139"/>
        <v>0</v>
      </c>
      <c r="AJ473" s="7"/>
      <c r="AL473" s="3">
        <f>IF(OR($AL$1="",对接源_01水果!$Y473="",对接源_01水果!$Y473&lt;&gt;$AL$1,对接源_01水果!$B473="",N(对接源_01水果!$AJ473)&lt;=0),0,IF(OR(N(对接源_01水果!$B473)&lt;$AL$2,N(对接源_01水果!$B473)&gt;$AL$3),0,1))</f>
        <v>0</v>
      </c>
      <c r="AM473" s="3">
        <f t="shared" si="140"/>
        <v>1</v>
      </c>
      <c r="AN473" s="3" t="str">
        <f>IF(对接源_01水果!$AC473="","",对接源_01水果!$AC473)</f>
        <v/>
      </c>
      <c r="AO473" s="3">
        <f t="shared" si="141"/>
        <v>0</v>
      </c>
      <c r="AP473" s="3">
        <f t="shared" si="142"/>
        <v>8</v>
      </c>
      <c r="AR473">
        <f t="shared" si="143"/>
        <v>0</v>
      </c>
      <c r="AS473">
        <f t="shared" si="144"/>
        <v>0</v>
      </c>
    </row>
    <row r="474" ht="14.25" customHeight="1" spans="1:45">
      <c r="A474" s="3" t="str">
        <f>IF(对接源_01水果!$C474="","",对接源_01水果!$C474)</f>
        <v/>
      </c>
      <c r="B474" s="3">
        <f t="shared" si="128"/>
        <v>0</v>
      </c>
      <c r="C474" s="3">
        <f t="shared" si="129"/>
        <v>18</v>
      </c>
      <c r="K474" s="3">
        <f>IF(OR($K$1="",对接源_01水果!$C474="",对接源_01水果!$C474&lt;&gt;$K$1,对接源_01水果!$B474=""),0,IF(OR(N(对接源_01水果!$B474)&lt;$K$2,N(对接源_01水果!$B474)&gt;$K$3),0,1))</f>
        <v>0</v>
      </c>
      <c r="L474" s="3">
        <f>IF(OR($L$1="",对接源_01水果!$C474="",对接源_01水果!$C474&lt;&gt;$L$1,对接源_01水果!$B474=""),0,IF(OR(N(对接源_01水果!$B474)&lt;$L$2,N(对接源_01水果!$B474)&gt;$L$3),0,1))</f>
        <v>0</v>
      </c>
      <c r="M474" s="3">
        <f>IF(OR($M$1="",对接源_01水果!$C474="",对接源_01水果!$C474&lt;&gt;$M$1,对接源_01水果!$B474=""),0,IF(OR(N(对接源_01水果!$B474)&lt;$M$2,N(对接源_01水果!$B474)&gt;$M$3),0,1))</f>
        <v>0</v>
      </c>
      <c r="N474" s="3">
        <f>IF(OR($N$1="",对接源_01水果!$C474="",对接源_01水果!$C474&lt;&gt;$N$1,对接源_01水果!$B474=""),0,IF(OR(N(对接源_01水果!$B474)&lt;$N$2,N(对接源_01水果!$B474)&gt;$N$3),0,1))</f>
        <v>0</v>
      </c>
      <c r="P474" s="3">
        <f>IF(AND($K474=1,AND(对接源_01水果!$X474="公司筐",N(对接源_01水果!$T474)&lt;&gt;0)),1,0)</f>
        <v>0</v>
      </c>
      <c r="Q474" s="3">
        <f t="shared" si="130"/>
        <v>0</v>
      </c>
      <c r="R474" s="3">
        <f>IF(AND($K474=1,AND(对接源_01水果!$X474="公司筐",N(对接源_01水果!$U474)&lt;&gt;0)),1,0)</f>
        <v>0</v>
      </c>
      <c r="S474" s="3">
        <f t="shared" si="131"/>
        <v>0</v>
      </c>
      <c r="T474" s="3">
        <f>IF(AND($K474=1,AND(对接源_01水果!$X474="公司筐",N(对接源_01水果!$V474)&lt;&gt;0)),1,0)</f>
        <v>0</v>
      </c>
      <c r="U474" s="3">
        <f t="shared" si="132"/>
        <v>19</v>
      </c>
      <c r="V474" s="3">
        <f>IF(AND($L474=1,AND(对接源_01水果!$X474="自备筐",N(对接源_01水果!$V474)&lt;&gt;0)),1,0)</f>
        <v>0</v>
      </c>
      <c r="W474" s="3">
        <f t="shared" si="133"/>
        <v>8</v>
      </c>
      <c r="X474" s="3">
        <f>IF(AND($L474=1,AND(对接源_01水果!$X474="自备筐",N(对接源_01水果!$T474)&lt;&gt;0)),1,0)</f>
        <v>0</v>
      </c>
      <c r="Y474" s="3">
        <f t="shared" si="134"/>
        <v>0</v>
      </c>
      <c r="Z474" s="3">
        <f>IF(AND($M474=1,对接源_01水果!$D474="原料入库"),1,0)</f>
        <v>0</v>
      </c>
      <c r="AA474" s="3">
        <f t="shared" si="135"/>
        <v>24</v>
      </c>
      <c r="AB474" s="3">
        <f>IF(AND($M474=1,LEFT(对接源_01水果!$D474,4)="原料出库"),1,0)</f>
        <v>0</v>
      </c>
      <c r="AC474" s="3">
        <f t="shared" si="136"/>
        <v>0</v>
      </c>
      <c r="AD474" s="3">
        <f>IF(AND($M474=1,LEFT(对接源_01水果!$D474,4)="成品出库"),1,0)</f>
        <v>0</v>
      </c>
      <c r="AE474" s="3">
        <f t="shared" si="137"/>
        <v>0</v>
      </c>
      <c r="AF474" s="3">
        <f>IF(AND($N474=1,AND(LEFT(对接源_01水果!$D474,4)="包装物料",N(对接源_01水果!$K474)&lt;&gt;0)),1,0)</f>
        <v>0</v>
      </c>
      <c r="AG474" s="3">
        <f t="shared" si="138"/>
        <v>0</v>
      </c>
      <c r="AH474" s="3">
        <f>IF(AND($N474=1,AND(对接源_01水果!$D474="周转筐－销售出库",N(对接源_01水果!$K474)&lt;&gt;0)),1,0)</f>
        <v>0</v>
      </c>
      <c r="AI474" s="3">
        <f t="shared" si="139"/>
        <v>0</v>
      </c>
      <c r="AJ474" s="7"/>
      <c r="AL474" s="3">
        <f>IF(OR($AL$1="",对接源_01水果!$Y474="",对接源_01水果!$Y474&lt;&gt;$AL$1,对接源_01水果!$B474="",N(对接源_01水果!$AJ474)&lt;=0),0,IF(OR(N(对接源_01水果!$B474)&lt;$AL$2,N(对接源_01水果!$B474)&gt;$AL$3),0,1))</f>
        <v>0</v>
      </c>
      <c r="AM474" s="3">
        <f t="shared" si="140"/>
        <v>1</v>
      </c>
      <c r="AN474" s="3" t="str">
        <f>IF(对接源_01水果!$AC474="","",对接源_01水果!$AC474)</f>
        <v/>
      </c>
      <c r="AO474" s="3">
        <f t="shared" si="141"/>
        <v>0</v>
      </c>
      <c r="AP474" s="3">
        <f t="shared" si="142"/>
        <v>8</v>
      </c>
      <c r="AR474">
        <f t="shared" si="143"/>
        <v>0</v>
      </c>
      <c r="AS474">
        <f t="shared" si="144"/>
        <v>0</v>
      </c>
    </row>
    <row r="475" ht="14.25" customHeight="1" spans="1:45">
      <c r="A475" s="3" t="str">
        <f>IF(对接源_01水果!$C475="","",对接源_01水果!$C475)</f>
        <v/>
      </c>
      <c r="B475" s="3">
        <f t="shared" si="128"/>
        <v>0</v>
      </c>
      <c r="C475" s="3">
        <f t="shared" si="129"/>
        <v>18</v>
      </c>
      <c r="K475" s="3">
        <f>IF(OR($K$1="",对接源_01水果!$C475="",对接源_01水果!$C475&lt;&gt;$K$1,对接源_01水果!$B475=""),0,IF(OR(N(对接源_01水果!$B475)&lt;$K$2,N(对接源_01水果!$B475)&gt;$K$3),0,1))</f>
        <v>0</v>
      </c>
      <c r="L475" s="3">
        <f>IF(OR($L$1="",对接源_01水果!$C475="",对接源_01水果!$C475&lt;&gt;$L$1,对接源_01水果!$B475=""),0,IF(OR(N(对接源_01水果!$B475)&lt;$L$2,N(对接源_01水果!$B475)&gt;$L$3),0,1))</f>
        <v>0</v>
      </c>
      <c r="M475" s="3">
        <f>IF(OR($M$1="",对接源_01水果!$C475="",对接源_01水果!$C475&lt;&gt;$M$1,对接源_01水果!$B475=""),0,IF(OR(N(对接源_01水果!$B475)&lt;$M$2,N(对接源_01水果!$B475)&gt;$M$3),0,1))</f>
        <v>0</v>
      </c>
      <c r="N475" s="3">
        <f>IF(OR($N$1="",对接源_01水果!$C475="",对接源_01水果!$C475&lt;&gt;$N$1,对接源_01水果!$B475=""),0,IF(OR(N(对接源_01水果!$B475)&lt;$N$2,N(对接源_01水果!$B475)&gt;$N$3),0,1))</f>
        <v>0</v>
      </c>
      <c r="P475" s="3">
        <f>IF(AND($K475=1,AND(对接源_01水果!$X475="公司筐",N(对接源_01水果!$T475)&lt;&gt;0)),1,0)</f>
        <v>0</v>
      </c>
      <c r="Q475" s="3">
        <f t="shared" si="130"/>
        <v>0</v>
      </c>
      <c r="R475" s="3">
        <f>IF(AND($K475=1,AND(对接源_01水果!$X475="公司筐",N(对接源_01水果!$U475)&lt;&gt;0)),1,0)</f>
        <v>0</v>
      </c>
      <c r="S475" s="3">
        <f t="shared" si="131"/>
        <v>0</v>
      </c>
      <c r="T475" s="3">
        <f>IF(AND($K475=1,AND(对接源_01水果!$X475="公司筐",N(对接源_01水果!$V475)&lt;&gt;0)),1,0)</f>
        <v>0</v>
      </c>
      <c r="U475" s="3">
        <f t="shared" si="132"/>
        <v>19</v>
      </c>
      <c r="V475" s="3">
        <f>IF(AND($L475=1,AND(对接源_01水果!$X475="自备筐",N(对接源_01水果!$V475)&lt;&gt;0)),1,0)</f>
        <v>0</v>
      </c>
      <c r="W475" s="3">
        <f t="shared" si="133"/>
        <v>8</v>
      </c>
      <c r="X475" s="3">
        <f>IF(AND($L475=1,AND(对接源_01水果!$X475="自备筐",N(对接源_01水果!$T475)&lt;&gt;0)),1,0)</f>
        <v>0</v>
      </c>
      <c r="Y475" s="3">
        <f t="shared" si="134"/>
        <v>0</v>
      </c>
      <c r="Z475" s="3">
        <f>IF(AND($M475=1,对接源_01水果!$D475="原料入库"),1,0)</f>
        <v>0</v>
      </c>
      <c r="AA475" s="3">
        <f t="shared" si="135"/>
        <v>24</v>
      </c>
      <c r="AB475" s="3">
        <f>IF(AND($M475=1,LEFT(对接源_01水果!$D475,4)="原料出库"),1,0)</f>
        <v>0</v>
      </c>
      <c r="AC475" s="3">
        <f t="shared" si="136"/>
        <v>0</v>
      </c>
      <c r="AD475" s="3">
        <f>IF(AND($M475=1,LEFT(对接源_01水果!$D475,4)="成品出库"),1,0)</f>
        <v>0</v>
      </c>
      <c r="AE475" s="3">
        <f t="shared" si="137"/>
        <v>0</v>
      </c>
      <c r="AF475" s="3">
        <f>IF(AND($N475=1,AND(LEFT(对接源_01水果!$D475,4)="包装物料",N(对接源_01水果!$K475)&lt;&gt;0)),1,0)</f>
        <v>0</v>
      </c>
      <c r="AG475" s="3">
        <f t="shared" si="138"/>
        <v>0</v>
      </c>
      <c r="AH475" s="3">
        <f>IF(AND($N475=1,AND(对接源_01水果!$D475="周转筐－销售出库",N(对接源_01水果!$K475)&lt;&gt;0)),1,0)</f>
        <v>0</v>
      </c>
      <c r="AI475" s="3">
        <f t="shared" si="139"/>
        <v>0</v>
      </c>
      <c r="AJ475" s="7"/>
      <c r="AL475" s="3">
        <f>IF(OR($AL$1="",对接源_01水果!$Y475="",对接源_01水果!$Y475&lt;&gt;$AL$1,对接源_01水果!$B475="",N(对接源_01水果!$AJ475)&lt;=0),0,IF(OR(N(对接源_01水果!$B475)&lt;$AL$2,N(对接源_01水果!$B475)&gt;$AL$3),0,1))</f>
        <v>0</v>
      </c>
      <c r="AM475" s="3">
        <f t="shared" si="140"/>
        <v>1</v>
      </c>
      <c r="AN475" s="3" t="str">
        <f>IF(对接源_01水果!$AC475="","",对接源_01水果!$AC475)</f>
        <v/>
      </c>
      <c r="AO475" s="3">
        <f t="shared" si="141"/>
        <v>0</v>
      </c>
      <c r="AP475" s="3">
        <f t="shared" si="142"/>
        <v>8</v>
      </c>
      <c r="AR475">
        <f t="shared" si="143"/>
        <v>0</v>
      </c>
      <c r="AS475">
        <f t="shared" si="144"/>
        <v>0</v>
      </c>
    </row>
    <row r="476" ht="14.25" customHeight="1" spans="1:45">
      <c r="A476" s="3" t="str">
        <f>IF(对接源_01水果!$C476="","",对接源_01水果!$C476)</f>
        <v/>
      </c>
      <c r="B476" s="3">
        <f t="shared" si="128"/>
        <v>0</v>
      </c>
      <c r="C476" s="3">
        <f t="shared" si="129"/>
        <v>18</v>
      </c>
      <c r="K476" s="3">
        <f>IF(OR($K$1="",对接源_01水果!$C476="",对接源_01水果!$C476&lt;&gt;$K$1,对接源_01水果!$B476=""),0,IF(OR(N(对接源_01水果!$B476)&lt;$K$2,N(对接源_01水果!$B476)&gt;$K$3),0,1))</f>
        <v>0</v>
      </c>
      <c r="L476" s="3">
        <f>IF(OR($L$1="",对接源_01水果!$C476="",对接源_01水果!$C476&lt;&gt;$L$1,对接源_01水果!$B476=""),0,IF(OR(N(对接源_01水果!$B476)&lt;$L$2,N(对接源_01水果!$B476)&gt;$L$3),0,1))</f>
        <v>0</v>
      </c>
      <c r="M476" s="3">
        <f>IF(OR($M$1="",对接源_01水果!$C476="",对接源_01水果!$C476&lt;&gt;$M$1,对接源_01水果!$B476=""),0,IF(OR(N(对接源_01水果!$B476)&lt;$M$2,N(对接源_01水果!$B476)&gt;$M$3),0,1))</f>
        <v>0</v>
      </c>
      <c r="N476" s="3">
        <f>IF(OR($N$1="",对接源_01水果!$C476="",对接源_01水果!$C476&lt;&gt;$N$1,对接源_01水果!$B476=""),0,IF(OR(N(对接源_01水果!$B476)&lt;$N$2,N(对接源_01水果!$B476)&gt;$N$3),0,1))</f>
        <v>0</v>
      </c>
      <c r="P476" s="3">
        <f>IF(AND($K476=1,AND(对接源_01水果!$X476="公司筐",N(对接源_01水果!$T476)&lt;&gt;0)),1,0)</f>
        <v>0</v>
      </c>
      <c r="Q476" s="3">
        <f t="shared" si="130"/>
        <v>0</v>
      </c>
      <c r="R476" s="3">
        <f>IF(AND($K476=1,AND(对接源_01水果!$X476="公司筐",N(对接源_01水果!$U476)&lt;&gt;0)),1,0)</f>
        <v>0</v>
      </c>
      <c r="S476" s="3">
        <f t="shared" si="131"/>
        <v>0</v>
      </c>
      <c r="T476" s="3">
        <f>IF(AND($K476=1,AND(对接源_01水果!$X476="公司筐",N(对接源_01水果!$V476)&lt;&gt;0)),1,0)</f>
        <v>0</v>
      </c>
      <c r="U476" s="3">
        <f t="shared" si="132"/>
        <v>19</v>
      </c>
      <c r="V476" s="3">
        <f>IF(AND($L476=1,AND(对接源_01水果!$X476="自备筐",N(对接源_01水果!$V476)&lt;&gt;0)),1,0)</f>
        <v>0</v>
      </c>
      <c r="W476" s="3">
        <f t="shared" si="133"/>
        <v>8</v>
      </c>
      <c r="X476" s="3">
        <f>IF(AND($L476=1,AND(对接源_01水果!$X476="自备筐",N(对接源_01水果!$T476)&lt;&gt;0)),1,0)</f>
        <v>0</v>
      </c>
      <c r="Y476" s="3">
        <f t="shared" si="134"/>
        <v>0</v>
      </c>
      <c r="Z476" s="3">
        <f>IF(AND($M476=1,对接源_01水果!$D476="原料入库"),1,0)</f>
        <v>0</v>
      </c>
      <c r="AA476" s="3">
        <f t="shared" si="135"/>
        <v>24</v>
      </c>
      <c r="AB476" s="3">
        <f>IF(AND($M476=1,LEFT(对接源_01水果!$D476,4)="原料出库"),1,0)</f>
        <v>0</v>
      </c>
      <c r="AC476" s="3">
        <f t="shared" si="136"/>
        <v>0</v>
      </c>
      <c r="AD476" s="3">
        <f>IF(AND($M476=1,LEFT(对接源_01水果!$D476,4)="成品出库"),1,0)</f>
        <v>0</v>
      </c>
      <c r="AE476" s="3">
        <f t="shared" si="137"/>
        <v>0</v>
      </c>
      <c r="AF476" s="3">
        <f>IF(AND($N476=1,AND(LEFT(对接源_01水果!$D476,4)="包装物料",N(对接源_01水果!$K476)&lt;&gt;0)),1,0)</f>
        <v>0</v>
      </c>
      <c r="AG476" s="3">
        <f t="shared" si="138"/>
        <v>0</v>
      </c>
      <c r="AH476" s="3">
        <f>IF(AND($N476=1,AND(对接源_01水果!$D476="周转筐－销售出库",N(对接源_01水果!$K476)&lt;&gt;0)),1,0)</f>
        <v>0</v>
      </c>
      <c r="AI476" s="3">
        <f t="shared" si="139"/>
        <v>0</v>
      </c>
      <c r="AJ476" s="7"/>
      <c r="AL476" s="3">
        <f>IF(OR($AL$1="",对接源_01水果!$Y476="",对接源_01水果!$Y476&lt;&gt;$AL$1,对接源_01水果!$B476="",N(对接源_01水果!$AJ476)&lt;=0),0,IF(OR(N(对接源_01水果!$B476)&lt;$AL$2,N(对接源_01水果!$B476)&gt;$AL$3),0,1))</f>
        <v>0</v>
      </c>
      <c r="AM476" s="3">
        <f t="shared" si="140"/>
        <v>1</v>
      </c>
      <c r="AN476" s="3" t="str">
        <f>IF(对接源_01水果!$AC476="","",对接源_01水果!$AC476)</f>
        <v/>
      </c>
      <c r="AO476" s="3">
        <f t="shared" si="141"/>
        <v>0</v>
      </c>
      <c r="AP476" s="3">
        <f t="shared" si="142"/>
        <v>8</v>
      </c>
      <c r="AR476">
        <f t="shared" si="143"/>
        <v>0</v>
      </c>
      <c r="AS476">
        <f t="shared" si="144"/>
        <v>0</v>
      </c>
    </row>
    <row r="477" ht="14.25" customHeight="1" spans="1:45">
      <c r="A477" s="3" t="str">
        <f>IF(对接源_01水果!$C477="","",对接源_01水果!$C477)</f>
        <v/>
      </c>
      <c r="B477" s="3">
        <f t="shared" si="128"/>
        <v>0</v>
      </c>
      <c r="C477" s="3">
        <f t="shared" si="129"/>
        <v>18</v>
      </c>
      <c r="K477" s="3">
        <f>IF(OR($K$1="",对接源_01水果!$C477="",对接源_01水果!$C477&lt;&gt;$K$1,对接源_01水果!$B477=""),0,IF(OR(N(对接源_01水果!$B477)&lt;$K$2,N(对接源_01水果!$B477)&gt;$K$3),0,1))</f>
        <v>0</v>
      </c>
      <c r="L477" s="3">
        <f>IF(OR($L$1="",对接源_01水果!$C477="",对接源_01水果!$C477&lt;&gt;$L$1,对接源_01水果!$B477=""),0,IF(OR(N(对接源_01水果!$B477)&lt;$L$2,N(对接源_01水果!$B477)&gt;$L$3),0,1))</f>
        <v>0</v>
      </c>
      <c r="M477" s="3">
        <f>IF(OR($M$1="",对接源_01水果!$C477="",对接源_01水果!$C477&lt;&gt;$M$1,对接源_01水果!$B477=""),0,IF(OR(N(对接源_01水果!$B477)&lt;$M$2,N(对接源_01水果!$B477)&gt;$M$3),0,1))</f>
        <v>0</v>
      </c>
      <c r="N477" s="3">
        <f>IF(OR($N$1="",对接源_01水果!$C477="",对接源_01水果!$C477&lt;&gt;$N$1,对接源_01水果!$B477=""),0,IF(OR(N(对接源_01水果!$B477)&lt;$N$2,N(对接源_01水果!$B477)&gt;$N$3),0,1))</f>
        <v>0</v>
      </c>
      <c r="P477" s="3">
        <f>IF(AND($K477=1,AND(对接源_01水果!$X477="公司筐",N(对接源_01水果!$T477)&lt;&gt;0)),1,0)</f>
        <v>0</v>
      </c>
      <c r="Q477" s="3">
        <f t="shared" si="130"/>
        <v>0</v>
      </c>
      <c r="R477" s="3">
        <f>IF(AND($K477=1,AND(对接源_01水果!$X477="公司筐",N(对接源_01水果!$U477)&lt;&gt;0)),1,0)</f>
        <v>0</v>
      </c>
      <c r="S477" s="3">
        <f t="shared" si="131"/>
        <v>0</v>
      </c>
      <c r="T477" s="3">
        <f>IF(AND($K477=1,AND(对接源_01水果!$X477="公司筐",N(对接源_01水果!$V477)&lt;&gt;0)),1,0)</f>
        <v>0</v>
      </c>
      <c r="U477" s="3">
        <f t="shared" si="132"/>
        <v>19</v>
      </c>
      <c r="V477" s="3">
        <f>IF(AND($L477=1,AND(对接源_01水果!$X477="自备筐",N(对接源_01水果!$V477)&lt;&gt;0)),1,0)</f>
        <v>0</v>
      </c>
      <c r="W477" s="3">
        <f t="shared" si="133"/>
        <v>8</v>
      </c>
      <c r="X477" s="3">
        <f>IF(AND($L477=1,AND(对接源_01水果!$X477="自备筐",N(对接源_01水果!$T477)&lt;&gt;0)),1,0)</f>
        <v>0</v>
      </c>
      <c r="Y477" s="3">
        <f t="shared" si="134"/>
        <v>0</v>
      </c>
      <c r="Z477" s="3">
        <f>IF(AND($M477=1,对接源_01水果!$D477="原料入库"),1,0)</f>
        <v>0</v>
      </c>
      <c r="AA477" s="3">
        <f t="shared" si="135"/>
        <v>24</v>
      </c>
      <c r="AB477" s="3">
        <f>IF(AND($M477=1,LEFT(对接源_01水果!$D477,4)="原料出库"),1,0)</f>
        <v>0</v>
      </c>
      <c r="AC477" s="3">
        <f t="shared" si="136"/>
        <v>0</v>
      </c>
      <c r="AD477" s="3">
        <f>IF(AND($M477=1,LEFT(对接源_01水果!$D477,4)="成品出库"),1,0)</f>
        <v>0</v>
      </c>
      <c r="AE477" s="3">
        <f t="shared" si="137"/>
        <v>0</v>
      </c>
      <c r="AF477" s="3">
        <f>IF(AND($N477=1,AND(LEFT(对接源_01水果!$D477,4)="包装物料",N(对接源_01水果!$K477)&lt;&gt;0)),1,0)</f>
        <v>0</v>
      </c>
      <c r="AG477" s="3">
        <f t="shared" si="138"/>
        <v>0</v>
      </c>
      <c r="AH477" s="3">
        <f>IF(AND($N477=1,AND(对接源_01水果!$D477="周转筐－销售出库",N(对接源_01水果!$K477)&lt;&gt;0)),1,0)</f>
        <v>0</v>
      </c>
      <c r="AI477" s="3">
        <f t="shared" si="139"/>
        <v>0</v>
      </c>
      <c r="AJ477" s="7"/>
      <c r="AL477" s="3">
        <f>IF(OR($AL$1="",对接源_01水果!$Y477="",对接源_01水果!$Y477&lt;&gt;$AL$1,对接源_01水果!$B477="",N(对接源_01水果!$AJ477)&lt;=0),0,IF(OR(N(对接源_01水果!$B477)&lt;$AL$2,N(对接源_01水果!$B477)&gt;$AL$3),0,1))</f>
        <v>0</v>
      </c>
      <c r="AM477" s="3">
        <f t="shared" si="140"/>
        <v>1</v>
      </c>
      <c r="AN477" s="3" t="str">
        <f>IF(对接源_01水果!$AC477="","",对接源_01水果!$AC477)</f>
        <v/>
      </c>
      <c r="AO477" s="3">
        <f t="shared" si="141"/>
        <v>0</v>
      </c>
      <c r="AP477" s="3">
        <f t="shared" si="142"/>
        <v>8</v>
      </c>
      <c r="AR477">
        <f t="shared" si="143"/>
        <v>0</v>
      </c>
      <c r="AS477">
        <f t="shared" si="144"/>
        <v>0</v>
      </c>
    </row>
    <row r="478" ht="14.25" customHeight="1" spans="1:45">
      <c r="A478" s="3" t="str">
        <f>IF(对接源_01水果!$C478="","",对接源_01水果!$C478)</f>
        <v/>
      </c>
      <c r="B478" s="3">
        <f t="shared" si="128"/>
        <v>0</v>
      </c>
      <c r="C478" s="3">
        <f t="shared" si="129"/>
        <v>18</v>
      </c>
      <c r="K478" s="3">
        <f>IF(OR($K$1="",对接源_01水果!$C478="",对接源_01水果!$C478&lt;&gt;$K$1,对接源_01水果!$B478=""),0,IF(OR(N(对接源_01水果!$B478)&lt;$K$2,N(对接源_01水果!$B478)&gt;$K$3),0,1))</f>
        <v>0</v>
      </c>
      <c r="L478" s="3">
        <f>IF(OR($L$1="",对接源_01水果!$C478="",对接源_01水果!$C478&lt;&gt;$L$1,对接源_01水果!$B478=""),0,IF(OR(N(对接源_01水果!$B478)&lt;$L$2,N(对接源_01水果!$B478)&gt;$L$3),0,1))</f>
        <v>0</v>
      </c>
      <c r="M478" s="3">
        <f>IF(OR($M$1="",对接源_01水果!$C478="",对接源_01水果!$C478&lt;&gt;$M$1,对接源_01水果!$B478=""),0,IF(OR(N(对接源_01水果!$B478)&lt;$M$2,N(对接源_01水果!$B478)&gt;$M$3),0,1))</f>
        <v>0</v>
      </c>
      <c r="N478" s="3">
        <f>IF(OR($N$1="",对接源_01水果!$C478="",对接源_01水果!$C478&lt;&gt;$N$1,对接源_01水果!$B478=""),0,IF(OR(N(对接源_01水果!$B478)&lt;$N$2,N(对接源_01水果!$B478)&gt;$N$3),0,1))</f>
        <v>0</v>
      </c>
      <c r="P478" s="3">
        <f>IF(AND($K478=1,AND(对接源_01水果!$X478="公司筐",N(对接源_01水果!$T478)&lt;&gt;0)),1,0)</f>
        <v>0</v>
      </c>
      <c r="Q478" s="3">
        <f t="shared" si="130"/>
        <v>0</v>
      </c>
      <c r="R478" s="3">
        <f>IF(AND($K478=1,AND(对接源_01水果!$X478="公司筐",N(对接源_01水果!$U478)&lt;&gt;0)),1,0)</f>
        <v>0</v>
      </c>
      <c r="S478" s="3">
        <f t="shared" si="131"/>
        <v>0</v>
      </c>
      <c r="T478" s="3">
        <f>IF(AND($K478=1,AND(对接源_01水果!$X478="公司筐",N(对接源_01水果!$V478)&lt;&gt;0)),1,0)</f>
        <v>0</v>
      </c>
      <c r="U478" s="3">
        <f t="shared" si="132"/>
        <v>19</v>
      </c>
      <c r="V478" s="3">
        <f>IF(AND($L478=1,AND(对接源_01水果!$X478="自备筐",N(对接源_01水果!$V478)&lt;&gt;0)),1,0)</f>
        <v>0</v>
      </c>
      <c r="W478" s="3">
        <f t="shared" si="133"/>
        <v>8</v>
      </c>
      <c r="X478" s="3">
        <f>IF(AND($L478=1,AND(对接源_01水果!$X478="自备筐",N(对接源_01水果!$T478)&lt;&gt;0)),1,0)</f>
        <v>0</v>
      </c>
      <c r="Y478" s="3">
        <f t="shared" si="134"/>
        <v>0</v>
      </c>
      <c r="Z478" s="3">
        <f>IF(AND($M478=1,对接源_01水果!$D478="原料入库"),1,0)</f>
        <v>0</v>
      </c>
      <c r="AA478" s="3">
        <f t="shared" si="135"/>
        <v>24</v>
      </c>
      <c r="AB478" s="3">
        <f>IF(AND($M478=1,LEFT(对接源_01水果!$D478,4)="原料出库"),1,0)</f>
        <v>0</v>
      </c>
      <c r="AC478" s="3">
        <f t="shared" si="136"/>
        <v>0</v>
      </c>
      <c r="AD478" s="3">
        <f>IF(AND($M478=1,LEFT(对接源_01水果!$D478,4)="成品出库"),1,0)</f>
        <v>0</v>
      </c>
      <c r="AE478" s="3">
        <f t="shared" si="137"/>
        <v>0</v>
      </c>
      <c r="AF478" s="3">
        <f>IF(AND($N478=1,AND(LEFT(对接源_01水果!$D478,4)="包装物料",N(对接源_01水果!$K478)&lt;&gt;0)),1,0)</f>
        <v>0</v>
      </c>
      <c r="AG478" s="3">
        <f t="shared" si="138"/>
        <v>0</v>
      </c>
      <c r="AH478" s="3">
        <f>IF(AND($N478=1,AND(对接源_01水果!$D478="周转筐－销售出库",N(对接源_01水果!$K478)&lt;&gt;0)),1,0)</f>
        <v>0</v>
      </c>
      <c r="AI478" s="3">
        <f t="shared" si="139"/>
        <v>0</v>
      </c>
      <c r="AJ478" s="7"/>
      <c r="AL478" s="3">
        <f>IF(OR($AL$1="",对接源_01水果!$Y478="",对接源_01水果!$Y478&lt;&gt;$AL$1,对接源_01水果!$B478="",N(对接源_01水果!$AJ478)&lt;=0),0,IF(OR(N(对接源_01水果!$B478)&lt;$AL$2,N(对接源_01水果!$B478)&gt;$AL$3),0,1))</f>
        <v>0</v>
      </c>
      <c r="AM478" s="3">
        <f t="shared" si="140"/>
        <v>1</v>
      </c>
      <c r="AN478" s="3" t="str">
        <f>IF(对接源_01水果!$AC478="","",对接源_01水果!$AC478)</f>
        <v/>
      </c>
      <c r="AO478" s="3">
        <f t="shared" si="141"/>
        <v>0</v>
      </c>
      <c r="AP478" s="3">
        <f t="shared" si="142"/>
        <v>8</v>
      </c>
      <c r="AR478">
        <f t="shared" si="143"/>
        <v>0</v>
      </c>
      <c r="AS478">
        <f t="shared" si="144"/>
        <v>0</v>
      </c>
    </row>
    <row r="479" ht="14.25" customHeight="1" spans="1:45">
      <c r="A479" s="3" t="str">
        <f>IF(对接源_01水果!$C479="","",对接源_01水果!$C479)</f>
        <v/>
      </c>
      <c r="B479" s="3">
        <f t="shared" si="128"/>
        <v>0</v>
      </c>
      <c r="C479" s="3">
        <f t="shared" si="129"/>
        <v>18</v>
      </c>
      <c r="K479" s="3">
        <f>IF(OR($K$1="",对接源_01水果!$C479="",对接源_01水果!$C479&lt;&gt;$K$1,对接源_01水果!$B479=""),0,IF(OR(N(对接源_01水果!$B479)&lt;$K$2,N(对接源_01水果!$B479)&gt;$K$3),0,1))</f>
        <v>0</v>
      </c>
      <c r="L479" s="3">
        <f>IF(OR($L$1="",对接源_01水果!$C479="",对接源_01水果!$C479&lt;&gt;$L$1,对接源_01水果!$B479=""),0,IF(OR(N(对接源_01水果!$B479)&lt;$L$2,N(对接源_01水果!$B479)&gt;$L$3),0,1))</f>
        <v>0</v>
      </c>
      <c r="M479" s="3">
        <f>IF(OR($M$1="",对接源_01水果!$C479="",对接源_01水果!$C479&lt;&gt;$M$1,对接源_01水果!$B479=""),0,IF(OR(N(对接源_01水果!$B479)&lt;$M$2,N(对接源_01水果!$B479)&gt;$M$3),0,1))</f>
        <v>0</v>
      </c>
      <c r="N479" s="3">
        <f>IF(OR($N$1="",对接源_01水果!$C479="",对接源_01水果!$C479&lt;&gt;$N$1,对接源_01水果!$B479=""),0,IF(OR(N(对接源_01水果!$B479)&lt;$N$2,N(对接源_01水果!$B479)&gt;$N$3),0,1))</f>
        <v>0</v>
      </c>
      <c r="P479" s="3">
        <f>IF(AND($K479=1,AND(对接源_01水果!$X479="公司筐",N(对接源_01水果!$T479)&lt;&gt;0)),1,0)</f>
        <v>0</v>
      </c>
      <c r="Q479" s="3">
        <f t="shared" si="130"/>
        <v>0</v>
      </c>
      <c r="R479" s="3">
        <f>IF(AND($K479=1,AND(对接源_01水果!$X479="公司筐",N(对接源_01水果!$U479)&lt;&gt;0)),1,0)</f>
        <v>0</v>
      </c>
      <c r="S479" s="3">
        <f t="shared" si="131"/>
        <v>0</v>
      </c>
      <c r="T479" s="3">
        <f>IF(AND($K479=1,AND(对接源_01水果!$X479="公司筐",N(对接源_01水果!$V479)&lt;&gt;0)),1,0)</f>
        <v>0</v>
      </c>
      <c r="U479" s="3">
        <f t="shared" si="132"/>
        <v>19</v>
      </c>
      <c r="V479" s="3">
        <f>IF(AND($L479=1,AND(对接源_01水果!$X479="自备筐",N(对接源_01水果!$V479)&lt;&gt;0)),1,0)</f>
        <v>0</v>
      </c>
      <c r="W479" s="3">
        <f t="shared" si="133"/>
        <v>8</v>
      </c>
      <c r="X479" s="3">
        <f>IF(AND($L479=1,AND(对接源_01水果!$X479="自备筐",N(对接源_01水果!$T479)&lt;&gt;0)),1,0)</f>
        <v>0</v>
      </c>
      <c r="Y479" s="3">
        <f t="shared" si="134"/>
        <v>0</v>
      </c>
      <c r="Z479" s="3">
        <f>IF(AND($M479=1,对接源_01水果!$D479="原料入库"),1,0)</f>
        <v>0</v>
      </c>
      <c r="AA479" s="3">
        <f t="shared" si="135"/>
        <v>24</v>
      </c>
      <c r="AB479" s="3">
        <f>IF(AND($M479=1,LEFT(对接源_01水果!$D479,4)="原料出库"),1,0)</f>
        <v>0</v>
      </c>
      <c r="AC479" s="3">
        <f t="shared" si="136"/>
        <v>0</v>
      </c>
      <c r="AD479" s="3">
        <f>IF(AND($M479=1,LEFT(对接源_01水果!$D479,4)="成品出库"),1,0)</f>
        <v>0</v>
      </c>
      <c r="AE479" s="3">
        <f t="shared" si="137"/>
        <v>0</v>
      </c>
      <c r="AF479" s="3">
        <f>IF(AND($N479=1,AND(LEFT(对接源_01水果!$D479,4)="包装物料",N(对接源_01水果!$K479)&lt;&gt;0)),1,0)</f>
        <v>0</v>
      </c>
      <c r="AG479" s="3">
        <f t="shared" si="138"/>
        <v>0</v>
      </c>
      <c r="AH479" s="3">
        <f>IF(AND($N479=1,AND(对接源_01水果!$D479="周转筐－销售出库",N(对接源_01水果!$K479)&lt;&gt;0)),1,0)</f>
        <v>0</v>
      </c>
      <c r="AI479" s="3">
        <f t="shared" si="139"/>
        <v>0</v>
      </c>
      <c r="AJ479" s="7"/>
      <c r="AL479" s="3">
        <f>IF(OR($AL$1="",对接源_01水果!$Y479="",对接源_01水果!$Y479&lt;&gt;$AL$1,对接源_01水果!$B479="",N(对接源_01水果!$AJ479)&lt;=0),0,IF(OR(N(对接源_01水果!$B479)&lt;$AL$2,N(对接源_01水果!$B479)&gt;$AL$3),0,1))</f>
        <v>0</v>
      </c>
      <c r="AM479" s="3">
        <f t="shared" si="140"/>
        <v>1</v>
      </c>
      <c r="AN479" s="3" t="str">
        <f>IF(对接源_01水果!$AC479="","",对接源_01水果!$AC479)</f>
        <v/>
      </c>
      <c r="AO479" s="3">
        <f t="shared" si="141"/>
        <v>0</v>
      </c>
      <c r="AP479" s="3">
        <f t="shared" si="142"/>
        <v>8</v>
      </c>
      <c r="AR479">
        <f t="shared" si="143"/>
        <v>0</v>
      </c>
      <c r="AS479">
        <f t="shared" si="144"/>
        <v>0</v>
      </c>
    </row>
    <row r="480" ht="14.25" customHeight="1" spans="1:45">
      <c r="A480" s="3" t="str">
        <f>IF(对接源_01水果!$C480="","",对接源_01水果!$C480)</f>
        <v/>
      </c>
      <c r="B480" s="3">
        <f t="shared" si="128"/>
        <v>0</v>
      </c>
      <c r="C480" s="3">
        <f t="shared" si="129"/>
        <v>18</v>
      </c>
      <c r="K480" s="3">
        <f>IF(OR($K$1="",对接源_01水果!$C480="",对接源_01水果!$C480&lt;&gt;$K$1,对接源_01水果!$B480=""),0,IF(OR(N(对接源_01水果!$B480)&lt;$K$2,N(对接源_01水果!$B480)&gt;$K$3),0,1))</f>
        <v>0</v>
      </c>
      <c r="L480" s="3">
        <f>IF(OR($L$1="",对接源_01水果!$C480="",对接源_01水果!$C480&lt;&gt;$L$1,对接源_01水果!$B480=""),0,IF(OR(N(对接源_01水果!$B480)&lt;$L$2,N(对接源_01水果!$B480)&gt;$L$3),0,1))</f>
        <v>0</v>
      </c>
      <c r="M480" s="3">
        <f>IF(OR($M$1="",对接源_01水果!$C480="",对接源_01水果!$C480&lt;&gt;$M$1,对接源_01水果!$B480=""),0,IF(OR(N(对接源_01水果!$B480)&lt;$M$2,N(对接源_01水果!$B480)&gt;$M$3),0,1))</f>
        <v>0</v>
      </c>
      <c r="N480" s="3">
        <f>IF(OR($N$1="",对接源_01水果!$C480="",对接源_01水果!$C480&lt;&gt;$N$1,对接源_01水果!$B480=""),0,IF(OR(N(对接源_01水果!$B480)&lt;$N$2,N(对接源_01水果!$B480)&gt;$N$3),0,1))</f>
        <v>0</v>
      </c>
      <c r="P480" s="3">
        <f>IF(AND($K480=1,AND(对接源_01水果!$X480="公司筐",N(对接源_01水果!$T480)&lt;&gt;0)),1,0)</f>
        <v>0</v>
      </c>
      <c r="Q480" s="3">
        <f t="shared" si="130"/>
        <v>0</v>
      </c>
      <c r="R480" s="3">
        <f>IF(AND($K480=1,AND(对接源_01水果!$X480="公司筐",N(对接源_01水果!$U480)&lt;&gt;0)),1,0)</f>
        <v>0</v>
      </c>
      <c r="S480" s="3">
        <f t="shared" si="131"/>
        <v>0</v>
      </c>
      <c r="T480" s="3">
        <f>IF(AND($K480=1,AND(对接源_01水果!$X480="公司筐",N(对接源_01水果!$V480)&lt;&gt;0)),1,0)</f>
        <v>0</v>
      </c>
      <c r="U480" s="3">
        <f t="shared" si="132"/>
        <v>19</v>
      </c>
      <c r="V480" s="3">
        <f>IF(AND($L480=1,AND(对接源_01水果!$X480="自备筐",N(对接源_01水果!$V480)&lt;&gt;0)),1,0)</f>
        <v>0</v>
      </c>
      <c r="W480" s="3">
        <f t="shared" si="133"/>
        <v>8</v>
      </c>
      <c r="X480" s="3">
        <f>IF(AND($L480=1,AND(对接源_01水果!$X480="自备筐",N(对接源_01水果!$T480)&lt;&gt;0)),1,0)</f>
        <v>0</v>
      </c>
      <c r="Y480" s="3">
        <f t="shared" si="134"/>
        <v>0</v>
      </c>
      <c r="Z480" s="3">
        <f>IF(AND($M480=1,对接源_01水果!$D480="原料入库"),1,0)</f>
        <v>0</v>
      </c>
      <c r="AA480" s="3">
        <f t="shared" si="135"/>
        <v>24</v>
      </c>
      <c r="AB480" s="3">
        <f>IF(AND($M480=1,LEFT(对接源_01水果!$D480,4)="原料出库"),1,0)</f>
        <v>0</v>
      </c>
      <c r="AC480" s="3">
        <f t="shared" si="136"/>
        <v>0</v>
      </c>
      <c r="AD480" s="3">
        <f>IF(AND($M480=1,LEFT(对接源_01水果!$D480,4)="成品出库"),1,0)</f>
        <v>0</v>
      </c>
      <c r="AE480" s="3">
        <f t="shared" si="137"/>
        <v>0</v>
      </c>
      <c r="AF480" s="3">
        <f>IF(AND($N480=1,AND(LEFT(对接源_01水果!$D480,4)="包装物料",N(对接源_01水果!$K480)&lt;&gt;0)),1,0)</f>
        <v>0</v>
      </c>
      <c r="AG480" s="3">
        <f t="shared" si="138"/>
        <v>0</v>
      </c>
      <c r="AH480" s="3">
        <f>IF(AND($N480=1,AND(对接源_01水果!$D480="周转筐－销售出库",N(对接源_01水果!$K480)&lt;&gt;0)),1,0)</f>
        <v>0</v>
      </c>
      <c r="AI480" s="3">
        <f t="shared" si="139"/>
        <v>0</v>
      </c>
      <c r="AJ480" s="7"/>
      <c r="AL480" s="3">
        <f>IF(OR($AL$1="",对接源_01水果!$Y480="",对接源_01水果!$Y480&lt;&gt;$AL$1,对接源_01水果!$B480="",N(对接源_01水果!$AJ480)&lt;=0),0,IF(OR(N(对接源_01水果!$B480)&lt;$AL$2,N(对接源_01水果!$B480)&gt;$AL$3),0,1))</f>
        <v>0</v>
      </c>
      <c r="AM480" s="3">
        <f t="shared" si="140"/>
        <v>1</v>
      </c>
      <c r="AN480" s="3" t="str">
        <f>IF(对接源_01水果!$AC480="","",对接源_01水果!$AC480)</f>
        <v/>
      </c>
      <c r="AO480" s="3">
        <f t="shared" si="141"/>
        <v>0</v>
      </c>
      <c r="AP480" s="3">
        <f t="shared" si="142"/>
        <v>8</v>
      </c>
      <c r="AR480">
        <f t="shared" si="143"/>
        <v>0</v>
      </c>
      <c r="AS480">
        <f t="shared" si="144"/>
        <v>0</v>
      </c>
    </row>
    <row r="481" ht="14.25" customHeight="1" spans="1:45">
      <c r="A481" s="3" t="str">
        <f>IF(对接源_01水果!$C481="","",对接源_01水果!$C481)</f>
        <v/>
      </c>
      <c r="B481" s="3">
        <f t="shared" si="128"/>
        <v>0</v>
      </c>
      <c r="C481" s="3">
        <f t="shared" si="129"/>
        <v>18</v>
      </c>
      <c r="K481" s="3">
        <f>IF(OR($K$1="",对接源_01水果!$C481="",对接源_01水果!$C481&lt;&gt;$K$1,对接源_01水果!$B481=""),0,IF(OR(N(对接源_01水果!$B481)&lt;$K$2,N(对接源_01水果!$B481)&gt;$K$3),0,1))</f>
        <v>0</v>
      </c>
      <c r="L481" s="3">
        <f>IF(OR($L$1="",对接源_01水果!$C481="",对接源_01水果!$C481&lt;&gt;$L$1,对接源_01水果!$B481=""),0,IF(OR(N(对接源_01水果!$B481)&lt;$L$2,N(对接源_01水果!$B481)&gt;$L$3),0,1))</f>
        <v>0</v>
      </c>
      <c r="M481" s="3">
        <f>IF(OR($M$1="",对接源_01水果!$C481="",对接源_01水果!$C481&lt;&gt;$M$1,对接源_01水果!$B481=""),0,IF(OR(N(对接源_01水果!$B481)&lt;$M$2,N(对接源_01水果!$B481)&gt;$M$3),0,1))</f>
        <v>0</v>
      </c>
      <c r="N481" s="3">
        <f>IF(OR($N$1="",对接源_01水果!$C481="",对接源_01水果!$C481&lt;&gt;$N$1,对接源_01水果!$B481=""),0,IF(OR(N(对接源_01水果!$B481)&lt;$N$2,N(对接源_01水果!$B481)&gt;$N$3),0,1))</f>
        <v>0</v>
      </c>
      <c r="P481" s="3">
        <f>IF(AND($K481=1,AND(对接源_01水果!$X481="公司筐",N(对接源_01水果!$T481)&lt;&gt;0)),1,0)</f>
        <v>0</v>
      </c>
      <c r="Q481" s="3">
        <f t="shared" si="130"/>
        <v>0</v>
      </c>
      <c r="R481" s="3">
        <f>IF(AND($K481=1,AND(对接源_01水果!$X481="公司筐",N(对接源_01水果!$U481)&lt;&gt;0)),1,0)</f>
        <v>0</v>
      </c>
      <c r="S481" s="3">
        <f t="shared" si="131"/>
        <v>0</v>
      </c>
      <c r="T481" s="3">
        <f>IF(AND($K481=1,AND(对接源_01水果!$X481="公司筐",N(对接源_01水果!$V481)&lt;&gt;0)),1,0)</f>
        <v>0</v>
      </c>
      <c r="U481" s="3">
        <f t="shared" si="132"/>
        <v>19</v>
      </c>
      <c r="V481" s="3">
        <f>IF(AND($L481=1,AND(对接源_01水果!$X481="自备筐",N(对接源_01水果!$V481)&lt;&gt;0)),1,0)</f>
        <v>0</v>
      </c>
      <c r="W481" s="3">
        <f t="shared" si="133"/>
        <v>8</v>
      </c>
      <c r="X481" s="3">
        <f>IF(AND($L481=1,AND(对接源_01水果!$X481="自备筐",N(对接源_01水果!$T481)&lt;&gt;0)),1,0)</f>
        <v>0</v>
      </c>
      <c r="Y481" s="3">
        <f t="shared" si="134"/>
        <v>0</v>
      </c>
      <c r="Z481" s="3">
        <f>IF(AND($M481=1,对接源_01水果!$D481="原料入库"),1,0)</f>
        <v>0</v>
      </c>
      <c r="AA481" s="3">
        <f t="shared" si="135"/>
        <v>24</v>
      </c>
      <c r="AB481" s="3">
        <f>IF(AND($M481=1,LEFT(对接源_01水果!$D481,4)="原料出库"),1,0)</f>
        <v>0</v>
      </c>
      <c r="AC481" s="3">
        <f t="shared" si="136"/>
        <v>0</v>
      </c>
      <c r="AD481" s="3">
        <f>IF(AND($M481=1,LEFT(对接源_01水果!$D481,4)="成品出库"),1,0)</f>
        <v>0</v>
      </c>
      <c r="AE481" s="3">
        <f t="shared" si="137"/>
        <v>0</v>
      </c>
      <c r="AF481" s="3">
        <f>IF(AND($N481=1,AND(LEFT(对接源_01水果!$D481,4)="包装物料",N(对接源_01水果!$K481)&lt;&gt;0)),1,0)</f>
        <v>0</v>
      </c>
      <c r="AG481" s="3">
        <f t="shared" si="138"/>
        <v>0</v>
      </c>
      <c r="AH481" s="3">
        <f>IF(AND($N481=1,AND(对接源_01水果!$D481="周转筐－销售出库",N(对接源_01水果!$K481)&lt;&gt;0)),1,0)</f>
        <v>0</v>
      </c>
      <c r="AI481" s="3">
        <f t="shared" si="139"/>
        <v>0</v>
      </c>
      <c r="AJ481" s="7"/>
      <c r="AL481" s="3">
        <f>IF(OR($AL$1="",对接源_01水果!$Y481="",对接源_01水果!$Y481&lt;&gt;$AL$1,对接源_01水果!$B481="",N(对接源_01水果!$AJ481)&lt;=0),0,IF(OR(N(对接源_01水果!$B481)&lt;$AL$2,N(对接源_01水果!$B481)&gt;$AL$3),0,1))</f>
        <v>0</v>
      </c>
      <c r="AM481" s="3">
        <f t="shared" si="140"/>
        <v>1</v>
      </c>
      <c r="AN481" s="3" t="str">
        <f>IF(对接源_01水果!$AC481="","",对接源_01水果!$AC481)</f>
        <v/>
      </c>
      <c r="AO481" s="3">
        <f t="shared" si="141"/>
        <v>0</v>
      </c>
      <c r="AP481" s="3">
        <f t="shared" si="142"/>
        <v>8</v>
      </c>
      <c r="AR481">
        <f t="shared" si="143"/>
        <v>0</v>
      </c>
      <c r="AS481">
        <f t="shared" si="144"/>
        <v>0</v>
      </c>
    </row>
    <row r="482" ht="14.25" customHeight="1" spans="1:45">
      <c r="A482" s="3" t="str">
        <f>IF(对接源_01水果!$C482="","",对接源_01水果!$C482)</f>
        <v/>
      </c>
      <c r="B482" s="3">
        <f t="shared" si="128"/>
        <v>0</v>
      </c>
      <c r="C482" s="3">
        <f t="shared" si="129"/>
        <v>18</v>
      </c>
      <c r="K482" s="3">
        <f>IF(OR($K$1="",对接源_01水果!$C482="",对接源_01水果!$C482&lt;&gt;$K$1,对接源_01水果!$B482=""),0,IF(OR(N(对接源_01水果!$B482)&lt;$K$2,N(对接源_01水果!$B482)&gt;$K$3),0,1))</f>
        <v>0</v>
      </c>
      <c r="L482" s="3">
        <f>IF(OR($L$1="",对接源_01水果!$C482="",对接源_01水果!$C482&lt;&gt;$L$1,对接源_01水果!$B482=""),0,IF(OR(N(对接源_01水果!$B482)&lt;$L$2,N(对接源_01水果!$B482)&gt;$L$3),0,1))</f>
        <v>0</v>
      </c>
      <c r="M482" s="3">
        <f>IF(OR($M$1="",对接源_01水果!$C482="",对接源_01水果!$C482&lt;&gt;$M$1,对接源_01水果!$B482=""),0,IF(OR(N(对接源_01水果!$B482)&lt;$M$2,N(对接源_01水果!$B482)&gt;$M$3),0,1))</f>
        <v>0</v>
      </c>
      <c r="N482" s="3">
        <f>IF(OR($N$1="",对接源_01水果!$C482="",对接源_01水果!$C482&lt;&gt;$N$1,对接源_01水果!$B482=""),0,IF(OR(N(对接源_01水果!$B482)&lt;$N$2,N(对接源_01水果!$B482)&gt;$N$3),0,1))</f>
        <v>0</v>
      </c>
      <c r="P482" s="3">
        <f>IF(AND($K482=1,AND(对接源_01水果!$X482="公司筐",N(对接源_01水果!$T482)&lt;&gt;0)),1,0)</f>
        <v>0</v>
      </c>
      <c r="Q482" s="3">
        <f t="shared" si="130"/>
        <v>0</v>
      </c>
      <c r="R482" s="3">
        <f>IF(AND($K482=1,AND(对接源_01水果!$X482="公司筐",N(对接源_01水果!$U482)&lt;&gt;0)),1,0)</f>
        <v>0</v>
      </c>
      <c r="S482" s="3">
        <f t="shared" si="131"/>
        <v>0</v>
      </c>
      <c r="T482" s="3">
        <f>IF(AND($K482=1,AND(对接源_01水果!$X482="公司筐",N(对接源_01水果!$V482)&lt;&gt;0)),1,0)</f>
        <v>0</v>
      </c>
      <c r="U482" s="3">
        <f t="shared" si="132"/>
        <v>19</v>
      </c>
      <c r="V482" s="3">
        <f>IF(AND($L482=1,AND(对接源_01水果!$X482="自备筐",N(对接源_01水果!$V482)&lt;&gt;0)),1,0)</f>
        <v>0</v>
      </c>
      <c r="W482" s="3">
        <f t="shared" si="133"/>
        <v>8</v>
      </c>
      <c r="X482" s="3">
        <f>IF(AND($L482=1,AND(对接源_01水果!$X482="自备筐",N(对接源_01水果!$T482)&lt;&gt;0)),1,0)</f>
        <v>0</v>
      </c>
      <c r="Y482" s="3">
        <f t="shared" si="134"/>
        <v>0</v>
      </c>
      <c r="Z482" s="3">
        <f>IF(AND($M482=1,对接源_01水果!$D482="原料入库"),1,0)</f>
        <v>0</v>
      </c>
      <c r="AA482" s="3">
        <f t="shared" si="135"/>
        <v>24</v>
      </c>
      <c r="AB482" s="3">
        <f>IF(AND($M482=1,LEFT(对接源_01水果!$D482,4)="原料出库"),1,0)</f>
        <v>0</v>
      </c>
      <c r="AC482" s="3">
        <f t="shared" si="136"/>
        <v>0</v>
      </c>
      <c r="AD482" s="3">
        <f>IF(AND($M482=1,LEFT(对接源_01水果!$D482,4)="成品出库"),1,0)</f>
        <v>0</v>
      </c>
      <c r="AE482" s="3">
        <f t="shared" si="137"/>
        <v>0</v>
      </c>
      <c r="AF482" s="3">
        <f>IF(AND($N482=1,AND(LEFT(对接源_01水果!$D482,4)="包装物料",N(对接源_01水果!$K482)&lt;&gt;0)),1,0)</f>
        <v>0</v>
      </c>
      <c r="AG482" s="3">
        <f t="shared" si="138"/>
        <v>0</v>
      </c>
      <c r="AH482" s="3">
        <f>IF(AND($N482=1,AND(对接源_01水果!$D482="周转筐－销售出库",N(对接源_01水果!$K482)&lt;&gt;0)),1,0)</f>
        <v>0</v>
      </c>
      <c r="AI482" s="3">
        <f t="shared" si="139"/>
        <v>0</v>
      </c>
      <c r="AJ482" s="7"/>
      <c r="AL482" s="3">
        <f>IF(OR($AL$1="",对接源_01水果!$Y482="",对接源_01水果!$Y482&lt;&gt;$AL$1,对接源_01水果!$B482="",N(对接源_01水果!$AJ482)&lt;=0),0,IF(OR(N(对接源_01水果!$B482)&lt;$AL$2,N(对接源_01水果!$B482)&gt;$AL$3),0,1))</f>
        <v>0</v>
      </c>
      <c r="AM482" s="3">
        <f t="shared" si="140"/>
        <v>1</v>
      </c>
      <c r="AN482" s="3" t="str">
        <f>IF(对接源_01水果!$AC482="","",对接源_01水果!$AC482)</f>
        <v/>
      </c>
      <c r="AO482" s="3">
        <f t="shared" si="141"/>
        <v>0</v>
      </c>
      <c r="AP482" s="3">
        <f t="shared" si="142"/>
        <v>8</v>
      </c>
      <c r="AR482">
        <f t="shared" si="143"/>
        <v>0</v>
      </c>
      <c r="AS482">
        <f t="shared" si="144"/>
        <v>0</v>
      </c>
    </row>
    <row r="483" ht="14.25" customHeight="1" spans="1:45">
      <c r="A483" s="3" t="str">
        <f>IF(对接源_01水果!$C483="","",对接源_01水果!$C483)</f>
        <v/>
      </c>
      <c r="B483" s="3">
        <f t="shared" si="128"/>
        <v>0</v>
      </c>
      <c r="C483" s="3">
        <f t="shared" si="129"/>
        <v>18</v>
      </c>
      <c r="K483" s="3">
        <f>IF(OR($K$1="",对接源_01水果!$C483="",对接源_01水果!$C483&lt;&gt;$K$1,对接源_01水果!$B483=""),0,IF(OR(N(对接源_01水果!$B483)&lt;$K$2,N(对接源_01水果!$B483)&gt;$K$3),0,1))</f>
        <v>0</v>
      </c>
      <c r="L483" s="3">
        <f>IF(OR($L$1="",对接源_01水果!$C483="",对接源_01水果!$C483&lt;&gt;$L$1,对接源_01水果!$B483=""),0,IF(OR(N(对接源_01水果!$B483)&lt;$L$2,N(对接源_01水果!$B483)&gt;$L$3),0,1))</f>
        <v>0</v>
      </c>
      <c r="M483" s="3">
        <f>IF(OR($M$1="",对接源_01水果!$C483="",对接源_01水果!$C483&lt;&gt;$M$1,对接源_01水果!$B483=""),0,IF(OR(N(对接源_01水果!$B483)&lt;$M$2,N(对接源_01水果!$B483)&gt;$M$3),0,1))</f>
        <v>0</v>
      </c>
      <c r="N483" s="3">
        <f>IF(OR($N$1="",对接源_01水果!$C483="",对接源_01水果!$C483&lt;&gt;$N$1,对接源_01水果!$B483=""),0,IF(OR(N(对接源_01水果!$B483)&lt;$N$2,N(对接源_01水果!$B483)&gt;$N$3),0,1))</f>
        <v>0</v>
      </c>
      <c r="P483" s="3">
        <f>IF(AND($K483=1,AND(对接源_01水果!$X483="公司筐",N(对接源_01水果!$T483)&lt;&gt;0)),1,0)</f>
        <v>0</v>
      </c>
      <c r="Q483" s="3">
        <f t="shared" si="130"/>
        <v>0</v>
      </c>
      <c r="R483" s="3">
        <f>IF(AND($K483=1,AND(对接源_01水果!$X483="公司筐",N(对接源_01水果!$U483)&lt;&gt;0)),1,0)</f>
        <v>0</v>
      </c>
      <c r="S483" s="3">
        <f t="shared" si="131"/>
        <v>0</v>
      </c>
      <c r="T483" s="3">
        <f>IF(AND($K483=1,AND(对接源_01水果!$X483="公司筐",N(对接源_01水果!$V483)&lt;&gt;0)),1,0)</f>
        <v>0</v>
      </c>
      <c r="U483" s="3">
        <f t="shared" si="132"/>
        <v>19</v>
      </c>
      <c r="V483" s="3">
        <f>IF(AND($L483=1,AND(对接源_01水果!$X483="自备筐",N(对接源_01水果!$V483)&lt;&gt;0)),1,0)</f>
        <v>0</v>
      </c>
      <c r="W483" s="3">
        <f t="shared" si="133"/>
        <v>8</v>
      </c>
      <c r="X483" s="3">
        <f>IF(AND($L483=1,AND(对接源_01水果!$X483="自备筐",N(对接源_01水果!$T483)&lt;&gt;0)),1,0)</f>
        <v>0</v>
      </c>
      <c r="Y483" s="3">
        <f t="shared" si="134"/>
        <v>0</v>
      </c>
      <c r="Z483" s="3">
        <f>IF(AND($M483=1,对接源_01水果!$D483="原料入库"),1,0)</f>
        <v>0</v>
      </c>
      <c r="AA483" s="3">
        <f t="shared" si="135"/>
        <v>24</v>
      </c>
      <c r="AB483" s="3">
        <f>IF(AND($M483=1,LEFT(对接源_01水果!$D483,4)="原料出库"),1,0)</f>
        <v>0</v>
      </c>
      <c r="AC483" s="3">
        <f t="shared" si="136"/>
        <v>0</v>
      </c>
      <c r="AD483" s="3">
        <f>IF(AND($M483=1,LEFT(对接源_01水果!$D483,4)="成品出库"),1,0)</f>
        <v>0</v>
      </c>
      <c r="AE483" s="3">
        <f t="shared" si="137"/>
        <v>0</v>
      </c>
      <c r="AF483" s="3">
        <f>IF(AND($N483=1,AND(LEFT(对接源_01水果!$D483,4)="包装物料",N(对接源_01水果!$K483)&lt;&gt;0)),1,0)</f>
        <v>0</v>
      </c>
      <c r="AG483" s="3">
        <f t="shared" si="138"/>
        <v>0</v>
      </c>
      <c r="AH483" s="3">
        <f>IF(AND($N483=1,AND(对接源_01水果!$D483="周转筐－销售出库",N(对接源_01水果!$K483)&lt;&gt;0)),1,0)</f>
        <v>0</v>
      </c>
      <c r="AI483" s="3">
        <f t="shared" si="139"/>
        <v>0</v>
      </c>
      <c r="AJ483" s="7"/>
      <c r="AL483" s="3">
        <f>IF(OR($AL$1="",对接源_01水果!$Y483="",对接源_01水果!$Y483&lt;&gt;$AL$1,对接源_01水果!$B483="",N(对接源_01水果!$AJ483)&lt;=0),0,IF(OR(N(对接源_01水果!$B483)&lt;$AL$2,N(对接源_01水果!$B483)&gt;$AL$3),0,1))</f>
        <v>0</v>
      </c>
      <c r="AM483" s="3">
        <f t="shared" si="140"/>
        <v>1</v>
      </c>
      <c r="AN483" s="3" t="str">
        <f>IF(对接源_01水果!$AC483="","",对接源_01水果!$AC483)</f>
        <v/>
      </c>
      <c r="AO483" s="3">
        <f t="shared" si="141"/>
        <v>0</v>
      </c>
      <c r="AP483" s="3">
        <f t="shared" si="142"/>
        <v>8</v>
      </c>
      <c r="AR483">
        <f t="shared" si="143"/>
        <v>0</v>
      </c>
      <c r="AS483">
        <f t="shared" si="144"/>
        <v>0</v>
      </c>
    </row>
    <row r="484" ht="14.25" customHeight="1" spans="1:45">
      <c r="A484" s="3" t="str">
        <f>IF(对接源_01水果!$C484="","",对接源_01水果!$C484)</f>
        <v/>
      </c>
      <c r="B484" s="3">
        <f t="shared" si="128"/>
        <v>0</v>
      </c>
      <c r="C484" s="3">
        <f t="shared" si="129"/>
        <v>18</v>
      </c>
      <c r="K484" s="3">
        <f>IF(OR($K$1="",对接源_01水果!$C484="",对接源_01水果!$C484&lt;&gt;$K$1,对接源_01水果!$B484=""),0,IF(OR(N(对接源_01水果!$B484)&lt;$K$2,N(对接源_01水果!$B484)&gt;$K$3),0,1))</f>
        <v>0</v>
      </c>
      <c r="L484" s="3">
        <f>IF(OR($L$1="",对接源_01水果!$C484="",对接源_01水果!$C484&lt;&gt;$L$1,对接源_01水果!$B484=""),0,IF(OR(N(对接源_01水果!$B484)&lt;$L$2,N(对接源_01水果!$B484)&gt;$L$3),0,1))</f>
        <v>0</v>
      </c>
      <c r="M484" s="3">
        <f>IF(OR($M$1="",对接源_01水果!$C484="",对接源_01水果!$C484&lt;&gt;$M$1,对接源_01水果!$B484=""),0,IF(OR(N(对接源_01水果!$B484)&lt;$M$2,N(对接源_01水果!$B484)&gt;$M$3),0,1))</f>
        <v>0</v>
      </c>
      <c r="N484" s="3">
        <f>IF(OR($N$1="",对接源_01水果!$C484="",对接源_01水果!$C484&lt;&gt;$N$1,对接源_01水果!$B484=""),0,IF(OR(N(对接源_01水果!$B484)&lt;$N$2,N(对接源_01水果!$B484)&gt;$N$3),0,1))</f>
        <v>0</v>
      </c>
      <c r="P484" s="3">
        <f>IF(AND($K484=1,AND(对接源_01水果!$X484="公司筐",N(对接源_01水果!$T484)&lt;&gt;0)),1,0)</f>
        <v>0</v>
      </c>
      <c r="Q484" s="3">
        <f t="shared" si="130"/>
        <v>0</v>
      </c>
      <c r="R484" s="3">
        <f>IF(AND($K484=1,AND(对接源_01水果!$X484="公司筐",N(对接源_01水果!$U484)&lt;&gt;0)),1,0)</f>
        <v>0</v>
      </c>
      <c r="S484" s="3">
        <f t="shared" si="131"/>
        <v>0</v>
      </c>
      <c r="T484" s="3">
        <f>IF(AND($K484=1,AND(对接源_01水果!$X484="公司筐",N(对接源_01水果!$V484)&lt;&gt;0)),1,0)</f>
        <v>0</v>
      </c>
      <c r="U484" s="3">
        <f t="shared" si="132"/>
        <v>19</v>
      </c>
      <c r="V484" s="3">
        <f>IF(AND($L484=1,AND(对接源_01水果!$X484="自备筐",N(对接源_01水果!$V484)&lt;&gt;0)),1,0)</f>
        <v>0</v>
      </c>
      <c r="W484" s="3">
        <f t="shared" si="133"/>
        <v>8</v>
      </c>
      <c r="X484" s="3">
        <f>IF(AND($L484=1,AND(对接源_01水果!$X484="自备筐",N(对接源_01水果!$T484)&lt;&gt;0)),1,0)</f>
        <v>0</v>
      </c>
      <c r="Y484" s="3">
        <f t="shared" si="134"/>
        <v>0</v>
      </c>
      <c r="Z484" s="3">
        <f>IF(AND($M484=1,对接源_01水果!$D484="原料入库"),1,0)</f>
        <v>0</v>
      </c>
      <c r="AA484" s="3">
        <f t="shared" si="135"/>
        <v>24</v>
      </c>
      <c r="AB484" s="3">
        <f>IF(AND($M484=1,LEFT(对接源_01水果!$D484,4)="原料出库"),1,0)</f>
        <v>0</v>
      </c>
      <c r="AC484" s="3">
        <f t="shared" si="136"/>
        <v>0</v>
      </c>
      <c r="AD484" s="3">
        <f>IF(AND($M484=1,LEFT(对接源_01水果!$D484,4)="成品出库"),1,0)</f>
        <v>0</v>
      </c>
      <c r="AE484" s="3">
        <f t="shared" si="137"/>
        <v>0</v>
      </c>
      <c r="AF484" s="3">
        <f>IF(AND($N484=1,AND(LEFT(对接源_01水果!$D484,4)="包装物料",N(对接源_01水果!$K484)&lt;&gt;0)),1,0)</f>
        <v>0</v>
      </c>
      <c r="AG484" s="3">
        <f t="shared" si="138"/>
        <v>0</v>
      </c>
      <c r="AH484" s="3">
        <f>IF(AND($N484=1,AND(对接源_01水果!$D484="周转筐－销售出库",N(对接源_01水果!$K484)&lt;&gt;0)),1,0)</f>
        <v>0</v>
      </c>
      <c r="AI484" s="3">
        <f t="shared" si="139"/>
        <v>0</v>
      </c>
      <c r="AJ484" s="7"/>
      <c r="AL484" s="3">
        <f>IF(OR($AL$1="",对接源_01水果!$Y484="",对接源_01水果!$Y484&lt;&gt;$AL$1,对接源_01水果!$B484="",N(对接源_01水果!$AJ484)&lt;=0),0,IF(OR(N(对接源_01水果!$B484)&lt;$AL$2,N(对接源_01水果!$B484)&gt;$AL$3),0,1))</f>
        <v>0</v>
      </c>
      <c r="AM484" s="3">
        <f t="shared" si="140"/>
        <v>1</v>
      </c>
      <c r="AN484" s="3" t="str">
        <f>IF(对接源_01水果!$AC484="","",对接源_01水果!$AC484)</f>
        <v/>
      </c>
      <c r="AO484" s="3">
        <f t="shared" si="141"/>
        <v>0</v>
      </c>
      <c r="AP484" s="3">
        <f t="shared" si="142"/>
        <v>8</v>
      </c>
      <c r="AR484">
        <f t="shared" si="143"/>
        <v>0</v>
      </c>
      <c r="AS484">
        <f t="shared" si="144"/>
        <v>0</v>
      </c>
    </row>
    <row r="485" ht="14.25" customHeight="1" spans="1:45">
      <c r="A485" s="3" t="str">
        <f>IF(对接源_01水果!$C485="","",对接源_01水果!$C485)</f>
        <v/>
      </c>
      <c r="B485" s="3">
        <f t="shared" si="128"/>
        <v>0</v>
      </c>
      <c r="C485" s="3">
        <f t="shared" si="129"/>
        <v>18</v>
      </c>
      <c r="K485" s="3">
        <f>IF(OR($K$1="",对接源_01水果!$C485="",对接源_01水果!$C485&lt;&gt;$K$1,对接源_01水果!$B485=""),0,IF(OR(N(对接源_01水果!$B485)&lt;$K$2,N(对接源_01水果!$B485)&gt;$K$3),0,1))</f>
        <v>0</v>
      </c>
      <c r="L485" s="3">
        <f>IF(OR($L$1="",对接源_01水果!$C485="",对接源_01水果!$C485&lt;&gt;$L$1,对接源_01水果!$B485=""),0,IF(OR(N(对接源_01水果!$B485)&lt;$L$2,N(对接源_01水果!$B485)&gt;$L$3),0,1))</f>
        <v>0</v>
      </c>
      <c r="M485" s="3">
        <f>IF(OR($M$1="",对接源_01水果!$C485="",对接源_01水果!$C485&lt;&gt;$M$1,对接源_01水果!$B485=""),0,IF(OR(N(对接源_01水果!$B485)&lt;$M$2,N(对接源_01水果!$B485)&gt;$M$3),0,1))</f>
        <v>0</v>
      </c>
      <c r="N485" s="3">
        <f>IF(OR($N$1="",对接源_01水果!$C485="",对接源_01水果!$C485&lt;&gt;$N$1,对接源_01水果!$B485=""),0,IF(OR(N(对接源_01水果!$B485)&lt;$N$2,N(对接源_01水果!$B485)&gt;$N$3),0,1))</f>
        <v>0</v>
      </c>
      <c r="P485" s="3">
        <f>IF(AND($K485=1,AND(对接源_01水果!$X485="公司筐",N(对接源_01水果!$T485)&lt;&gt;0)),1,0)</f>
        <v>0</v>
      </c>
      <c r="Q485" s="3">
        <f t="shared" si="130"/>
        <v>0</v>
      </c>
      <c r="R485" s="3">
        <f>IF(AND($K485=1,AND(对接源_01水果!$X485="公司筐",N(对接源_01水果!$U485)&lt;&gt;0)),1,0)</f>
        <v>0</v>
      </c>
      <c r="S485" s="3">
        <f t="shared" si="131"/>
        <v>0</v>
      </c>
      <c r="T485" s="3">
        <f>IF(AND($K485=1,AND(对接源_01水果!$X485="公司筐",N(对接源_01水果!$V485)&lt;&gt;0)),1,0)</f>
        <v>0</v>
      </c>
      <c r="U485" s="3">
        <f t="shared" si="132"/>
        <v>19</v>
      </c>
      <c r="V485" s="3">
        <f>IF(AND($L485=1,AND(对接源_01水果!$X485="自备筐",N(对接源_01水果!$V485)&lt;&gt;0)),1,0)</f>
        <v>0</v>
      </c>
      <c r="W485" s="3">
        <f t="shared" si="133"/>
        <v>8</v>
      </c>
      <c r="X485" s="3">
        <f>IF(AND($L485=1,AND(对接源_01水果!$X485="自备筐",N(对接源_01水果!$T485)&lt;&gt;0)),1,0)</f>
        <v>0</v>
      </c>
      <c r="Y485" s="3">
        <f t="shared" si="134"/>
        <v>0</v>
      </c>
      <c r="Z485" s="3">
        <f>IF(AND($M485=1,对接源_01水果!$D485="原料入库"),1,0)</f>
        <v>0</v>
      </c>
      <c r="AA485" s="3">
        <f t="shared" si="135"/>
        <v>24</v>
      </c>
      <c r="AB485" s="3">
        <f>IF(AND($M485=1,LEFT(对接源_01水果!$D485,4)="原料出库"),1,0)</f>
        <v>0</v>
      </c>
      <c r="AC485" s="3">
        <f t="shared" si="136"/>
        <v>0</v>
      </c>
      <c r="AD485" s="3">
        <f>IF(AND($M485=1,LEFT(对接源_01水果!$D485,4)="成品出库"),1,0)</f>
        <v>0</v>
      </c>
      <c r="AE485" s="3">
        <f t="shared" si="137"/>
        <v>0</v>
      </c>
      <c r="AF485" s="3">
        <f>IF(AND($N485=1,AND(LEFT(对接源_01水果!$D485,4)="包装物料",N(对接源_01水果!$K485)&lt;&gt;0)),1,0)</f>
        <v>0</v>
      </c>
      <c r="AG485" s="3">
        <f t="shared" si="138"/>
        <v>0</v>
      </c>
      <c r="AH485" s="3">
        <f>IF(AND($N485=1,AND(对接源_01水果!$D485="周转筐－销售出库",N(对接源_01水果!$K485)&lt;&gt;0)),1,0)</f>
        <v>0</v>
      </c>
      <c r="AI485" s="3">
        <f t="shared" si="139"/>
        <v>0</v>
      </c>
      <c r="AJ485" s="7"/>
      <c r="AL485" s="3">
        <f>IF(OR($AL$1="",对接源_01水果!$Y485="",对接源_01水果!$Y485&lt;&gt;$AL$1,对接源_01水果!$B485="",N(对接源_01水果!$AJ485)&lt;=0),0,IF(OR(N(对接源_01水果!$B485)&lt;$AL$2,N(对接源_01水果!$B485)&gt;$AL$3),0,1))</f>
        <v>0</v>
      </c>
      <c r="AM485" s="3">
        <f t="shared" si="140"/>
        <v>1</v>
      </c>
      <c r="AN485" s="3" t="str">
        <f>IF(对接源_01水果!$AC485="","",对接源_01水果!$AC485)</f>
        <v/>
      </c>
      <c r="AO485" s="3">
        <f t="shared" si="141"/>
        <v>0</v>
      </c>
      <c r="AP485" s="3">
        <f t="shared" si="142"/>
        <v>8</v>
      </c>
      <c r="AR485">
        <f t="shared" si="143"/>
        <v>0</v>
      </c>
      <c r="AS485">
        <f t="shared" si="144"/>
        <v>0</v>
      </c>
    </row>
    <row r="486" ht="14.25" customHeight="1" spans="1:45">
      <c r="A486" s="3" t="str">
        <f>IF(对接源_01水果!$C486="","",对接源_01水果!$C486)</f>
        <v/>
      </c>
      <c r="B486" s="3">
        <f t="shared" si="128"/>
        <v>0</v>
      </c>
      <c r="C486" s="3">
        <f t="shared" si="129"/>
        <v>18</v>
      </c>
      <c r="K486" s="3">
        <f>IF(OR($K$1="",对接源_01水果!$C486="",对接源_01水果!$C486&lt;&gt;$K$1,对接源_01水果!$B486=""),0,IF(OR(N(对接源_01水果!$B486)&lt;$K$2,N(对接源_01水果!$B486)&gt;$K$3),0,1))</f>
        <v>0</v>
      </c>
      <c r="L486" s="3">
        <f>IF(OR($L$1="",对接源_01水果!$C486="",对接源_01水果!$C486&lt;&gt;$L$1,对接源_01水果!$B486=""),0,IF(OR(N(对接源_01水果!$B486)&lt;$L$2,N(对接源_01水果!$B486)&gt;$L$3),0,1))</f>
        <v>0</v>
      </c>
      <c r="M486" s="3">
        <f>IF(OR($M$1="",对接源_01水果!$C486="",对接源_01水果!$C486&lt;&gt;$M$1,对接源_01水果!$B486=""),0,IF(OR(N(对接源_01水果!$B486)&lt;$M$2,N(对接源_01水果!$B486)&gt;$M$3),0,1))</f>
        <v>0</v>
      </c>
      <c r="N486" s="3">
        <f>IF(OR($N$1="",对接源_01水果!$C486="",对接源_01水果!$C486&lt;&gt;$N$1,对接源_01水果!$B486=""),0,IF(OR(N(对接源_01水果!$B486)&lt;$N$2,N(对接源_01水果!$B486)&gt;$N$3),0,1))</f>
        <v>0</v>
      </c>
      <c r="P486" s="3">
        <f>IF(AND($K486=1,AND(对接源_01水果!$X486="公司筐",N(对接源_01水果!$T486)&lt;&gt;0)),1,0)</f>
        <v>0</v>
      </c>
      <c r="Q486" s="3">
        <f t="shared" si="130"/>
        <v>0</v>
      </c>
      <c r="R486" s="3">
        <f>IF(AND($K486=1,AND(对接源_01水果!$X486="公司筐",N(对接源_01水果!$U486)&lt;&gt;0)),1,0)</f>
        <v>0</v>
      </c>
      <c r="S486" s="3">
        <f t="shared" si="131"/>
        <v>0</v>
      </c>
      <c r="T486" s="3">
        <f>IF(AND($K486=1,AND(对接源_01水果!$X486="公司筐",N(对接源_01水果!$V486)&lt;&gt;0)),1,0)</f>
        <v>0</v>
      </c>
      <c r="U486" s="3">
        <f t="shared" si="132"/>
        <v>19</v>
      </c>
      <c r="V486" s="3">
        <f>IF(AND($L486=1,AND(对接源_01水果!$X486="自备筐",N(对接源_01水果!$V486)&lt;&gt;0)),1,0)</f>
        <v>0</v>
      </c>
      <c r="W486" s="3">
        <f t="shared" si="133"/>
        <v>8</v>
      </c>
      <c r="X486" s="3">
        <f>IF(AND($L486=1,AND(对接源_01水果!$X486="自备筐",N(对接源_01水果!$T486)&lt;&gt;0)),1,0)</f>
        <v>0</v>
      </c>
      <c r="Y486" s="3">
        <f t="shared" si="134"/>
        <v>0</v>
      </c>
      <c r="Z486" s="3">
        <f>IF(AND($M486=1,对接源_01水果!$D486="原料入库"),1,0)</f>
        <v>0</v>
      </c>
      <c r="AA486" s="3">
        <f t="shared" si="135"/>
        <v>24</v>
      </c>
      <c r="AB486" s="3">
        <f>IF(AND($M486=1,LEFT(对接源_01水果!$D486,4)="原料出库"),1,0)</f>
        <v>0</v>
      </c>
      <c r="AC486" s="3">
        <f t="shared" si="136"/>
        <v>0</v>
      </c>
      <c r="AD486" s="3">
        <f>IF(AND($M486=1,LEFT(对接源_01水果!$D486,4)="成品出库"),1,0)</f>
        <v>0</v>
      </c>
      <c r="AE486" s="3">
        <f t="shared" si="137"/>
        <v>0</v>
      </c>
      <c r="AF486" s="3">
        <f>IF(AND($N486=1,AND(LEFT(对接源_01水果!$D486,4)="包装物料",N(对接源_01水果!$K486)&lt;&gt;0)),1,0)</f>
        <v>0</v>
      </c>
      <c r="AG486" s="3">
        <f t="shared" si="138"/>
        <v>0</v>
      </c>
      <c r="AH486" s="3">
        <f>IF(AND($N486=1,AND(对接源_01水果!$D486="周转筐－销售出库",N(对接源_01水果!$K486)&lt;&gt;0)),1,0)</f>
        <v>0</v>
      </c>
      <c r="AI486" s="3">
        <f t="shared" si="139"/>
        <v>0</v>
      </c>
      <c r="AJ486" s="7"/>
      <c r="AL486" s="3">
        <f>IF(OR($AL$1="",对接源_01水果!$Y486="",对接源_01水果!$Y486&lt;&gt;$AL$1,对接源_01水果!$B486="",N(对接源_01水果!$AJ486)&lt;=0),0,IF(OR(N(对接源_01水果!$B486)&lt;$AL$2,N(对接源_01水果!$B486)&gt;$AL$3),0,1))</f>
        <v>0</v>
      </c>
      <c r="AM486" s="3">
        <f t="shared" si="140"/>
        <v>1</v>
      </c>
      <c r="AN486" s="3" t="str">
        <f>IF(对接源_01水果!$AC486="","",对接源_01水果!$AC486)</f>
        <v/>
      </c>
      <c r="AO486" s="3">
        <f t="shared" si="141"/>
        <v>0</v>
      </c>
      <c r="AP486" s="3">
        <f t="shared" si="142"/>
        <v>8</v>
      </c>
      <c r="AR486">
        <f t="shared" si="143"/>
        <v>0</v>
      </c>
      <c r="AS486">
        <f t="shared" si="144"/>
        <v>0</v>
      </c>
    </row>
    <row r="487" ht="14.25" customHeight="1" spans="1:45">
      <c r="A487" s="3" t="str">
        <f>IF(对接源_01水果!$C487="","",对接源_01水果!$C487)</f>
        <v/>
      </c>
      <c r="B487" s="3">
        <f t="shared" si="128"/>
        <v>0</v>
      </c>
      <c r="C487" s="3">
        <f t="shared" si="129"/>
        <v>18</v>
      </c>
      <c r="K487" s="3">
        <f>IF(OR($K$1="",对接源_01水果!$C487="",对接源_01水果!$C487&lt;&gt;$K$1,对接源_01水果!$B487=""),0,IF(OR(N(对接源_01水果!$B487)&lt;$K$2,N(对接源_01水果!$B487)&gt;$K$3),0,1))</f>
        <v>0</v>
      </c>
      <c r="L487" s="3">
        <f>IF(OR($L$1="",对接源_01水果!$C487="",对接源_01水果!$C487&lt;&gt;$L$1,对接源_01水果!$B487=""),0,IF(OR(N(对接源_01水果!$B487)&lt;$L$2,N(对接源_01水果!$B487)&gt;$L$3),0,1))</f>
        <v>0</v>
      </c>
      <c r="M487" s="3">
        <f>IF(OR($M$1="",对接源_01水果!$C487="",对接源_01水果!$C487&lt;&gt;$M$1,对接源_01水果!$B487=""),0,IF(OR(N(对接源_01水果!$B487)&lt;$M$2,N(对接源_01水果!$B487)&gt;$M$3),0,1))</f>
        <v>0</v>
      </c>
      <c r="N487" s="3">
        <f>IF(OR($N$1="",对接源_01水果!$C487="",对接源_01水果!$C487&lt;&gt;$N$1,对接源_01水果!$B487=""),0,IF(OR(N(对接源_01水果!$B487)&lt;$N$2,N(对接源_01水果!$B487)&gt;$N$3),0,1))</f>
        <v>0</v>
      </c>
      <c r="P487" s="3">
        <f>IF(AND($K487=1,AND(对接源_01水果!$X487="公司筐",N(对接源_01水果!$T487)&lt;&gt;0)),1,0)</f>
        <v>0</v>
      </c>
      <c r="Q487" s="3">
        <f t="shared" si="130"/>
        <v>0</v>
      </c>
      <c r="R487" s="3">
        <f>IF(AND($K487=1,AND(对接源_01水果!$X487="公司筐",N(对接源_01水果!$U487)&lt;&gt;0)),1,0)</f>
        <v>0</v>
      </c>
      <c r="S487" s="3">
        <f t="shared" si="131"/>
        <v>0</v>
      </c>
      <c r="T487" s="3">
        <f>IF(AND($K487=1,AND(对接源_01水果!$X487="公司筐",N(对接源_01水果!$V487)&lt;&gt;0)),1,0)</f>
        <v>0</v>
      </c>
      <c r="U487" s="3">
        <f t="shared" si="132"/>
        <v>19</v>
      </c>
      <c r="V487" s="3">
        <f>IF(AND($L487=1,AND(对接源_01水果!$X487="自备筐",N(对接源_01水果!$V487)&lt;&gt;0)),1,0)</f>
        <v>0</v>
      </c>
      <c r="W487" s="3">
        <f t="shared" si="133"/>
        <v>8</v>
      </c>
      <c r="X487" s="3">
        <f>IF(AND($L487=1,AND(对接源_01水果!$X487="自备筐",N(对接源_01水果!$T487)&lt;&gt;0)),1,0)</f>
        <v>0</v>
      </c>
      <c r="Y487" s="3">
        <f t="shared" si="134"/>
        <v>0</v>
      </c>
      <c r="Z487" s="3">
        <f>IF(AND($M487=1,对接源_01水果!$D487="原料入库"),1,0)</f>
        <v>0</v>
      </c>
      <c r="AA487" s="3">
        <f t="shared" si="135"/>
        <v>24</v>
      </c>
      <c r="AB487" s="3">
        <f>IF(AND($M487=1,LEFT(对接源_01水果!$D487,4)="原料出库"),1,0)</f>
        <v>0</v>
      </c>
      <c r="AC487" s="3">
        <f t="shared" si="136"/>
        <v>0</v>
      </c>
      <c r="AD487" s="3">
        <f>IF(AND($M487=1,LEFT(对接源_01水果!$D487,4)="成品出库"),1,0)</f>
        <v>0</v>
      </c>
      <c r="AE487" s="3">
        <f t="shared" si="137"/>
        <v>0</v>
      </c>
      <c r="AF487" s="3">
        <f>IF(AND($N487=1,AND(LEFT(对接源_01水果!$D487,4)="包装物料",N(对接源_01水果!$K487)&lt;&gt;0)),1,0)</f>
        <v>0</v>
      </c>
      <c r="AG487" s="3">
        <f t="shared" si="138"/>
        <v>0</v>
      </c>
      <c r="AH487" s="3">
        <f>IF(AND($N487=1,AND(对接源_01水果!$D487="周转筐－销售出库",N(对接源_01水果!$K487)&lt;&gt;0)),1,0)</f>
        <v>0</v>
      </c>
      <c r="AI487" s="3">
        <f t="shared" si="139"/>
        <v>0</v>
      </c>
      <c r="AJ487" s="7"/>
      <c r="AL487" s="3">
        <f>IF(OR($AL$1="",对接源_01水果!$Y487="",对接源_01水果!$Y487&lt;&gt;$AL$1,对接源_01水果!$B487="",N(对接源_01水果!$AJ487)&lt;=0),0,IF(OR(N(对接源_01水果!$B487)&lt;$AL$2,N(对接源_01水果!$B487)&gt;$AL$3),0,1))</f>
        <v>0</v>
      </c>
      <c r="AM487" s="3">
        <f t="shared" si="140"/>
        <v>1</v>
      </c>
      <c r="AN487" s="3" t="str">
        <f>IF(对接源_01水果!$AC487="","",对接源_01水果!$AC487)</f>
        <v/>
      </c>
      <c r="AO487" s="3">
        <f t="shared" si="141"/>
        <v>0</v>
      </c>
      <c r="AP487" s="3">
        <f t="shared" si="142"/>
        <v>8</v>
      </c>
      <c r="AR487">
        <f t="shared" si="143"/>
        <v>0</v>
      </c>
      <c r="AS487">
        <f t="shared" si="144"/>
        <v>0</v>
      </c>
    </row>
    <row r="488" ht="14.25" customHeight="1" spans="1:45">
      <c r="A488" s="3" t="str">
        <f>IF(对接源_01水果!$C488="","",对接源_01水果!$C488)</f>
        <v/>
      </c>
      <c r="B488" s="3">
        <f t="shared" si="128"/>
        <v>0</v>
      </c>
      <c r="C488" s="3">
        <f t="shared" si="129"/>
        <v>18</v>
      </c>
      <c r="K488" s="3">
        <f>IF(OR($K$1="",对接源_01水果!$C488="",对接源_01水果!$C488&lt;&gt;$K$1,对接源_01水果!$B488=""),0,IF(OR(N(对接源_01水果!$B488)&lt;$K$2,N(对接源_01水果!$B488)&gt;$K$3),0,1))</f>
        <v>0</v>
      </c>
      <c r="L488" s="3">
        <f>IF(OR($L$1="",对接源_01水果!$C488="",对接源_01水果!$C488&lt;&gt;$L$1,对接源_01水果!$B488=""),0,IF(OR(N(对接源_01水果!$B488)&lt;$L$2,N(对接源_01水果!$B488)&gt;$L$3),0,1))</f>
        <v>0</v>
      </c>
      <c r="M488" s="3">
        <f>IF(OR($M$1="",对接源_01水果!$C488="",对接源_01水果!$C488&lt;&gt;$M$1,对接源_01水果!$B488=""),0,IF(OR(N(对接源_01水果!$B488)&lt;$M$2,N(对接源_01水果!$B488)&gt;$M$3),0,1))</f>
        <v>0</v>
      </c>
      <c r="N488" s="3">
        <f>IF(OR($N$1="",对接源_01水果!$C488="",对接源_01水果!$C488&lt;&gt;$N$1,对接源_01水果!$B488=""),0,IF(OR(N(对接源_01水果!$B488)&lt;$N$2,N(对接源_01水果!$B488)&gt;$N$3),0,1))</f>
        <v>0</v>
      </c>
      <c r="P488" s="3">
        <f>IF(AND($K488=1,AND(对接源_01水果!$X488="公司筐",N(对接源_01水果!$T488)&lt;&gt;0)),1,0)</f>
        <v>0</v>
      </c>
      <c r="Q488" s="3">
        <f t="shared" si="130"/>
        <v>0</v>
      </c>
      <c r="R488" s="3">
        <f>IF(AND($K488=1,AND(对接源_01水果!$X488="公司筐",N(对接源_01水果!$U488)&lt;&gt;0)),1,0)</f>
        <v>0</v>
      </c>
      <c r="S488" s="3">
        <f t="shared" si="131"/>
        <v>0</v>
      </c>
      <c r="T488" s="3">
        <f>IF(AND($K488=1,AND(对接源_01水果!$X488="公司筐",N(对接源_01水果!$V488)&lt;&gt;0)),1,0)</f>
        <v>0</v>
      </c>
      <c r="U488" s="3">
        <f t="shared" si="132"/>
        <v>19</v>
      </c>
      <c r="V488" s="3">
        <f>IF(AND($L488=1,AND(对接源_01水果!$X488="自备筐",N(对接源_01水果!$V488)&lt;&gt;0)),1,0)</f>
        <v>0</v>
      </c>
      <c r="W488" s="3">
        <f t="shared" si="133"/>
        <v>8</v>
      </c>
      <c r="X488" s="3">
        <f>IF(AND($L488=1,AND(对接源_01水果!$X488="自备筐",N(对接源_01水果!$T488)&lt;&gt;0)),1,0)</f>
        <v>0</v>
      </c>
      <c r="Y488" s="3">
        <f t="shared" si="134"/>
        <v>0</v>
      </c>
      <c r="Z488" s="3">
        <f>IF(AND($M488=1,对接源_01水果!$D488="原料入库"),1,0)</f>
        <v>0</v>
      </c>
      <c r="AA488" s="3">
        <f t="shared" si="135"/>
        <v>24</v>
      </c>
      <c r="AB488" s="3">
        <f>IF(AND($M488=1,LEFT(对接源_01水果!$D488,4)="原料出库"),1,0)</f>
        <v>0</v>
      </c>
      <c r="AC488" s="3">
        <f t="shared" si="136"/>
        <v>0</v>
      </c>
      <c r="AD488" s="3">
        <f>IF(AND($M488=1,LEFT(对接源_01水果!$D488,4)="成品出库"),1,0)</f>
        <v>0</v>
      </c>
      <c r="AE488" s="3">
        <f t="shared" si="137"/>
        <v>0</v>
      </c>
      <c r="AF488" s="3">
        <f>IF(AND($N488=1,AND(LEFT(对接源_01水果!$D488,4)="包装物料",N(对接源_01水果!$K488)&lt;&gt;0)),1,0)</f>
        <v>0</v>
      </c>
      <c r="AG488" s="3">
        <f t="shared" si="138"/>
        <v>0</v>
      </c>
      <c r="AH488" s="3">
        <f>IF(AND($N488=1,AND(对接源_01水果!$D488="周转筐－销售出库",N(对接源_01水果!$K488)&lt;&gt;0)),1,0)</f>
        <v>0</v>
      </c>
      <c r="AI488" s="3">
        <f t="shared" si="139"/>
        <v>0</v>
      </c>
      <c r="AJ488" s="7"/>
      <c r="AL488" s="3">
        <f>IF(OR($AL$1="",对接源_01水果!$Y488="",对接源_01水果!$Y488&lt;&gt;$AL$1,对接源_01水果!$B488="",N(对接源_01水果!$AJ488)&lt;=0),0,IF(OR(N(对接源_01水果!$B488)&lt;$AL$2,N(对接源_01水果!$B488)&gt;$AL$3),0,1))</f>
        <v>0</v>
      </c>
      <c r="AM488" s="3">
        <f t="shared" si="140"/>
        <v>1</v>
      </c>
      <c r="AN488" s="3" t="str">
        <f>IF(对接源_01水果!$AC488="","",对接源_01水果!$AC488)</f>
        <v/>
      </c>
      <c r="AO488" s="3">
        <f t="shared" si="141"/>
        <v>0</v>
      </c>
      <c r="AP488" s="3">
        <f t="shared" si="142"/>
        <v>8</v>
      </c>
      <c r="AR488">
        <f t="shared" si="143"/>
        <v>0</v>
      </c>
      <c r="AS488">
        <f t="shared" si="144"/>
        <v>0</v>
      </c>
    </row>
    <row r="489" ht="14.25" customHeight="1" spans="1:45">
      <c r="A489" s="3" t="str">
        <f>IF(对接源_01水果!$C489="","",对接源_01水果!$C489)</f>
        <v/>
      </c>
      <c r="B489" s="3">
        <f t="shared" si="128"/>
        <v>0</v>
      </c>
      <c r="C489" s="3">
        <f t="shared" si="129"/>
        <v>18</v>
      </c>
      <c r="K489" s="3">
        <f>IF(OR($K$1="",对接源_01水果!$C489="",对接源_01水果!$C489&lt;&gt;$K$1,对接源_01水果!$B489=""),0,IF(OR(N(对接源_01水果!$B489)&lt;$K$2,N(对接源_01水果!$B489)&gt;$K$3),0,1))</f>
        <v>0</v>
      </c>
      <c r="L489" s="3">
        <f>IF(OR($L$1="",对接源_01水果!$C489="",对接源_01水果!$C489&lt;&gt;$L$1,对接源_01水果!$B489=""),0,IF(OR(N(对接源_01水果!$B489)&lt;$L$2,N(对接源_01水果!$B489)&gt;$L$3),0,1))</f>
        <v>0</v>
      </c>
      <c r="M489" s="3">
        <f>IF(OR($M$1="",对接源_01水果!$C489="",对接源_01水果!$C489&lt;&gt;$M$1,对接源_01水果!$B489=""),0,IF(OR(N(对接源_01水果!$B489)&lt;$M$2,N(对接源_01水果!$B489)&gt;$M$3),0,1))</f>
        <v>0</v>
      </c>
      <c r="N489" s="3">
        <f>IF(OR($N$1="",对接源_01水果!$C489="",对接源_01水果!$C489&lt;&gt;$N$1,对接源_01水果!$B489=""),0,IF(OR(N(对接源_01水果!$B489)&lt;$N$2,N(对接源_01水果!$B489)&gt;$N$3),0,1))</f>
        <v>0</v>
      </c>
      <c r="P489" s="3">
        <f>IF(AND($K489=1,AND(对接源_01水果!$X489="公司筐",N(对接源_01水果!$T489)&lt;&gt;0)),1,0)</f>
        <v>0</v>
      </c>
      <c r="Q489" s="3">
        <f t="shared" si="130"/>
        <v>0</v>
      </c>
      <c r="R489" s="3">
        <f>IF(AND($K489=1,AND(对接源_01水果!$X489="公司筐",N(对接源_01水果!$U489)&lt;&gt;0)),1,0)</f>
        <v>0</v>
      </c>
      <c r="S489" s="3">
        <f t="shared" si="131"/>
        <v>0</v>
      </c>
      <c r="T489" s="3">
        <f>IF(AND($K489=1,AND(对接源_01水果!$X489="公司筐",N(对接源_01水果!$V489)&lt;&gt;0)),1,0)</f>
        <v>0</v>
      </c>
      <c r="U489" s="3">
        <f t="shared" si="132"/>
        <v>19</v>
      </c>
      <c r="V489" s="3">
        <f>IF(AND($L489=1,AND(对接源_01水果!$X489="自备筐",N(对接源_01水果!$V489)&lt;&gt;0)),1,0)</f>
        <v>0</v>
      </c>
      <c r="W489" s="3">
        <f t="shared" si="133"/>
        <v>8</v>
      </c>
      <c r="X489" s="3">
        <f>IF(AND($L489=1,AND(对接源_01水果!$X489="自备筐",N(对接源_01水果!$T489)&lt;&gt;0)),1,0)</f>
        <v>0</v>
      </c>
      <c r="Y489" s="3">
        <f t="shared" si="134"/>
        <v>0</v>
      </c>
      <c r="Z489" s="3">
        <f>IF(AND($M489=1,对接源_01水果!$D489="原料入库"),1,0)</f>
        <v>0</v>
      </c>
      <c r="AA489" s="3">
        <f t="shared" si="135"/>
        <v>24</v>
      </c>
      <c r="AB489" s="3">
        <f>IF(AND($M489=1,LEFT(对接源_01水果!$D489,4)="原料出库"),1,0)</f>
        <v>0</v>
      </c>
      <c r="AC489" s="3">
        <f t="shared" si="136"/>
        <v>0</v>
      </c>
      <c r="AD489" s="3">
        <f>IF(AND($M489=1,LEFT(对接源_01水果!$D489,4)="成品出库"),1,0)</f>
        <v>0</v>
      </c>
      <c r="AE489" s="3">
        <f t="shared" si="137"/>
        <v>0</v>
      </c>
      <c r="AF489" s="3">
        <f>IF(AND($N489=1,AND(LEFT(对接源_01水果!$D489,4)="包装物料",N(对接源_01水果!$K489)&lt;&gt;0)),1,0)</f>
        <v>0</v>
      </c>
      <c r="AG489" s="3">
        <f t="shared" si="138"/>
        <v>0</v>
      </c>
      <c r="AH489" s="3">
        <f>IF(AND($N489=1,AND(对接源_01水果!$D489="周转筐－销售出库",N(对接源_01水果!$K489)&lt;&gt;0)),1,0)</f>
        <v>0</v>
      </c>
      <c r="AI489" s="3">
        <f t="shared" si="139"/>
        <v>0</v>
      </c>
      <c r="AJ489" s="7"/>
      <c r="AL489" s="3">
        <f>IF(OR($AL$1="",对接源_01水果!$Y489="",对接源_01水果!$Y489&lt;&gt;$AL$1,对接源_01水果!$B489="",N(对接源_01水果!$AJ489)&lt;=0),0,IF(OR(N(对接源_01水果!$B489)&lt;$AL$2,N(对接源_01水果!$B489)&gt;$AL$3),0,1))</f>
        <v>0</v>
      </c>
      <c r="AM489" s="3">
        <f t="shared" si="140"/>
        <v>1</v>
      </c>
      <c r="AN489" s="3" t="str">
        <f>IF(对接源_01水果!$AC489="","",对接源_01水果!$AC489)</f>
        <v/>
      </c>
      <c r="AO489" s="3">
        <f t="shared" si="141"/>
        <v>0</v>
      </c>
      <c r="AP489" s="3">
        <f t="shared" si="142"/>
        <v>8</v>
      </c>
      <c r="AR489">
        <f t="shared" si="143"/>
        <v>0</v>
      </c>
      <c r="AS489">
        <f t="shared" si="144"/>
        <v>0</v>
      </c>
    </row>
    <row r="490" ht="14.25" customHeight="1" spans="1:45">
      <c r="A490" s="3" t="str">
        <f>IF(对接源_01水果!$C490="","",对接源_01水果!$C490)</f>
        <v/>
      </c>
      <c r="B490" s="3">
        <f t="shared" si="128"/>
        <v>0</v>
      </c>
      <c r="C490" s="3">
        <f t="shared" si="129"/>
        <v>18</v>
      </c>
      <c r="K490" s="3">
        <f>IF(OR($K$1="",对接源_01水果!$C490="",对接源_01水果!$C490&lt;&gt;$K$1,对接源_01水果!$B490=""),0,IF(OR(N(对接源_01水果!$B490)&lt;$K$2,N(对接源_01水果!$B490)&gt;$K$3),0,1))</f>
        <v>0</v>
      </c>
      <c r="L490" s="3">
        <f>IF(OR($L$1="",对接源_01水果!$C490="",对接源_01水果!$C490&lt;&gt;$L$1,对接源_01水果!$B490=""),0,IF(OR(N(对接源_01水果!$B490)&lt;$L$2,N(对接源_01水果!$B490)&gt;$L$3),0,1))</f>
        <v>0</v>
      </c>
      <c r="M490" s="3">
        <f>IF(OR($M$1="",对接源_01水果!$C490="",对接源_01水果!$C490&lt;&gt;$M$1,对接源_01水果!$B490=""),0,IF(OR(N(对接源_01水果!$B490)&lt;$M$2,N(对接源_01水果!$B490)&gt;$M$3),0,1))</f>
        <v>0</v>
      </c>
      <c r="N490" s="3">
        <f>IF(OR($N$1="",对接源_01水果!$C490="",对接源_01水果!$C490&lt;&gt;$N$1,对接源_01水果!$B490=""),0,IF(OR(N(对接源_01水果!$B490)&lt;$N$2,N(对接源_01水果!$B490)&gt;$N$3),0,1))</f>
        <v>0</v>
      </c>
      <c r="P490" s="3">
        <f>IF(AND($K490=1,AND(对接源_01水果!$X490="公司筐",N(对接源_01水果!$T490)&lt;&gt;0)),1,0)</f>
        <v>0</v>
      </c>
      <c r="Q490" s="3">
        <f t="shared" si="130"/>
        <v>0</v>
      </c>
      <c r="R490" s="3">
        <f>IF(AND($K490=1,AND(对接源_01水果!$X490="公司筐",N(对接源_01水果!$U490)&lt;&gt;0)),1,0)</f>
        <v>0</v>
      </c>
      <c r="S490" s="3">
        <f t="shared" si="131"/>
        <v>0</v>
      </c>
      <c r="T490" s="3">
        <f>IF(AND($K490=1,AND(对接源_01水果!$X490="公司筐",N(对接源_01水果!$V490)&lt;&gt;0)),1,0)</f>
        <v>0</v>
      </c>
      <c r="U490" s="3">
        <f t="shared" si="132"/>
        <v>19</v>
      </c>
      <c r="V490" s="3">
        <f>IF(AND($L490=1,AND(对接源_01水果!$X490="自备筐",N(对接源_01水果!$V490)&lt;&gt;0)),1,0)</f>
        <v>0</v>
      </c>
      <c r="W490" s="3">
        <f t="shared" si="133"/>
        <v>8</v>
      </c>
      <c r="X490" s="3">
        <f>IF(AND($L490=1,AND(对接源_01水果!$X490="自备筐",N(对接源_01水果!$T490)&lt;&gt;0)),1,0)</f>
        <v>0</v>
      </c>
      <c r="Y490" s="3">
        <f t="shared" si="134"/>
        <v>0</v>
      </c>
      <c r="Z490" s="3">
        <f>IF(AND($M490=1,对接源_01水果!$D490="原料入库"),1,0)</f>
        <v>0</v>
      </c>
      <c r="AA490" s="3">
        <f t="shared" si="135"/>
        <v>24</v>
      </c>
      <c r="AB490" s="3">
        <f>IF(AND($M490=1,LEFT(对接源_01水果!$D490,4)="原料出库"),1,0)</f>
        <v>0</v>
      </c>
      <c r="AC490" s="3">
        <f t="shared" si="136"/>
        <v>0</v>
      </c>
      <c r="AD490" s="3">
        <f>IF(AND($M490=1,LEFT(对接源_01水果!$D490,4)="成品出库"),1,0)</f>
        <v>0</v>
      </c>
      <c r="AE490" s="3">
        <f t="shared" si="137"/>
        <v>0</v>
      </c>
      <c r="AF490" s="3">
        <f>IF(AND($N490=1,AND(LEFT(对接源_01水果!$D490,4)="包装物料",N(对接源_01水果!$K490)&lt;&gt;0)),1,0)</f>
        <v>0</v>
      </c>
      <c r="AG490" s="3">
        <f t="shared" si="138"/>
        <v>0</v>
      </c>
      <c r="AH490" s="3">
        <f>IF(AND($N490=1,AND(对接源_01水果!$D490="周转筐－销售出库",N(对接源_01水果!$K490)&lt;&gt;0)),1,0)</f>
        <v>0</v>
      </c>
      <c r="AI490" s="3">
        <f t="shared" si="139"/>
        <v>0</v>
      </c>
      <c r="AJ490" s="7"/>
      <c r="AL490" s="3">
        <f>IF(OR($AL$1="",对接源_01水果!$Y490="",对接源_01水果!$Y490&lt;&gt;$AL$1,对接源_01水果!$B490="",N(对接源_01水果!$AJ490)&lt;=0),0,IF(OR(N(对接源_01水果!$B490)&lt;$AL$2,N(对接源_01水果!$B490)&gt;$AL$3),0,1))</f>
        <v>0</v>
      </c>
      <c r="AM490" s="3">
        <f t="shared" si="140"/>
        <v>1</v>
      </c>
      <c r="AN490" s="3" t="str">
        <f>IF(对接源_01水果!$AC490="","",对接源_01水果!$AC490)</f>
        <v/>
      </c>
      <c r="AO490" s="3">
        <f t="shared" si="141"/>
        <v>0</v>
      </c>
      <c r="AP490" s="3">
        <f t="shared" si="142"/>
        <v>8</v>
      </c>
      <c r="AR490">
        <f t="shared" si="143"/>
        <v>0</v>
      </c>
      <c r="AS490">
        <f t="shared" si="144"/>
        <v>0</v>
      </c>
    </row>
    <row r="491" ht="14.25" customHeight="1" spans="1:45">
      <c r="A491" s="3" t="str">
        <f>IF(对接源_01水果!$C491="","",对接源_01水果!$C491)</f>
        <v/>
      </c>
      <c r="B491" s="3">
        <f t="shared" si="128"/>
        <v>0</v>
      </c>
      <c r="C491" s="3">
        <f t="shared" si="129"/>
        <v>18</v>
      </c>
      <c r="K491" s="3">
        <f>IF(OR($K$1="",对接源_01水果!$C491="",对接源_01水果!$C491&lt;&gt;$K$1,对接源_01水果!$B491=""),0,IF(OR(N(对接源_01水果!$B491)&lt;$K$2,N(对接源_01水果!$B491)&gt;$K$3),0,1))</f>
        <v>0</v>
      </c>
      <c r="L491" s="3">
        <f>IF(OR($L$1="",对接源_01水果!$C491="",对接源_01水果!$C491&lt;&gt;$L$1,对接源_01水果!$B491=""),0,IF(OR(N(对接源_01水果!$B491)&lt;$L$2,N(对接源_01水果!$B491)&gt;$L$3),0,1))</f>
        <v>0</v>
      </c>
      <c r="M491" s="3">
        <f>IF(OR($M$1="",对接源_01水果!$C491="",对接源_01水果!$C491&lt;&gt;$M$1,对接源_01水果!$B491=""),0,IF(OR(N(对接源_01水果!$B491)&lt;$M$2,N(对接源_01水果!$B491)&gt;$M$3),0,1))</f>
        <v>0</v>
      </c>
      <c r="N491" s="3">
        <f>IF(OR($N$1="",对接源_01水果!$C491="",对接源_01水果!$C491&lt;&gt;$N$1,对接源_01水果!$B491=""),0,IF(OR(N(对接源_01水果!$B491)&lt;$N$2,N(对接源_01水果!$B491)&gt;$N$3),0,1))</f>
        <v>0</v>
      </c>
      <c r="P491" s="3">
        <f>IF(AND($K491=1,AND(对接源_01水果!$X491="公司筐",N(对接源_01水果!$T491)&lt;&gt;0)),1,0)</f>
        <v>0</v>
      </c>
      <c r="Q491" s="3">
        <f t="shared" si="130"/>
        <v>0</v>
      </c>
      <c r="R491" s="3">
        <f>IF(AND($K491=1,AND(对接源_01水果!$X491="公司筐",N(对接源_01水果!$U491)&lt;&gt;0)),1,0)</f>
        <v>0</v>
      </c>
      <c r="S491" s="3">
        <f t="shared" si="131"/>
        <v>0</v>
      </c>
      <c r="T491" s="3">
        <f>IF(AND($K491=1,AND(对接源_01水果!$X491="公司筐",N(对接源_01水果!$V491)&lt;&gt;0)),1,0)</f>
        <v>0</v>
      </c>
      <c r="U491" s="3">
        <f t="shared" si="132"/>
        <v>19</v>
      </c>
      <c r="V491" s="3">
        <f>IF(AND($L491=1,AND(对接源_01水果!$X491="自备筐",N(对接源_01水果!$V491)&lt;&gt;0)),1,0)</f>
        <v>0</v>
      </c>
      <c r="W491" s="3">
        <f t="shared" si="133"/>
        <v>8</v>
      </c>
      <c r="X491" s="3">
        <f>IF(AND($L491=1,AND(对接源_01水果!$X491="自备筐",N(对接源_01水果!$T491)&lt;&gt;0)),1,0)</f>
        <v>0</v>
      </c>
      <c r="Y491" s="3">
        <f t="shared" si="134"/>
        <v>0</v>
      </c>
      <c r="Z491" s="3">
        <f>IF(AND($M491=1,对接源_01水果!$D491="原料入库"),1,0)</f>
        <v>0</v>
      </c>
      <c r="AA491" s="3">
        <f t="shared" si="135"/>
        <v>24</v>
      </c>
      <c r="AB491" s="3">
        <f>IF(AND($M491=1,LEFT(对接源_01水果!$D491,4)="原料出库"),1,0)</f>
        <v>0</v>
      </c>
      <c r="AC491" s="3">
        <f t="shared" si="136"/>
        <v>0</v>
      </c>
      <c r="AD491" s="3">
        <f>IF(AND($M491=1,LEFT(对接源_01水果!$D491,4)="成品出库"),1,0)</f>
        <v>0</v>
      </c>
      <c r="AE491" s="3">
        <f t="shared" si="137"/>
        <v>0</v>
      </c>
      <c r="AF491" s="3">
        <f>IF(AND($N491=1,AND(LEFT(对接源_01水果!$D491,4)="包装物料",N(对接源_01水果!$K491)&lt;&gt;0)),1,0)</f>
        <v>0</v>
      </c>
      <c r="AG491" s="3">
        <f t="shared" si="138"/>
        <v>0</v>
      </c>
      <c r="AH491" s="3">
        <f>IF(AND($N491=1,AND(对接源_01水果!$D491="周转筐－销售出库",N(对接源_01水果!$K491)&lt;&gt;0)),1,0)</f>
        <v>0</v>
      </c>
      <c r="AI491" s="3">
        <f t="shared" si="139"/>
        <v>0</v>
      </c>
      <c r="AJ491" s="7"/>
      <c r="AL491" s="3">
        <f>IF(OR($AL$1="",对接源_01水果!$Y491="",对接源_01水果!$Y491&lt;&gt;$AL$1,对接源_01水果!$B491="",N(对接源_01水果!$AJ491)&lt;=0),0,IF(OR(N(对接源_01水果!$B491)&lt;$AL$2,N(对接源_01水果!$B491)&gt;$AL$3),0,1))</f>
        <v>0</v>
      </c>
      <c r="AM491" s="3">
        <f t="shared" si="140"/>
        <v>1</v>
      </c>
      <c r="AN491" s="3" t="str">
        <f>IF(对接源_01水果!$AC491="","",对接源_01水果!$AC491)</f>
        <v/>
      </c>
      <c r="AO491" s="3">
        <f t="shared" si="141"/>
        <v>0</v>
      </c>
      <c r="AP491" s="3">
        <f t="shared" si="142"/>
        <v>8</v>
      </c>
      <c r="AR491">
        <f t="shared" si="143"/>
        <v>0</v>
      </c>
      <c r="AS491">
        <f t="shared" si="144"/>
        <v>0</v>
      </c>
    </row>
    <row r="492" ht="14.25" customHeight="1" spans="1:45">
      <c r="A492" s="3" t="str">
        <f>IF(对接源_01水果!$C492="","",对接源_01水果!$C492)</f>
        <v/>
      </c>
      <c r="B492" s="3">
        <f t="shared" si="128"/>
        <v>0</v>
      </c>
      <c r="C492" s="3">
        <f t="shared" si="129"/>
        <v>18</v>
      </c>
      <c r="K492" s="3">
        <f>IF(OR($K$1="",对接源_01水果!$C492="",对接源_01水果!$C492&lt;&gt;$K$1,对接源_01水果!$B492=""),0,IF(OR(N(对接源_01水果!$B492)&lt;$K$2,N(对接源_01水果!$B492)&gt;$K$3),0,1))</f>
        <v>0</v>
      </c>
      <c r="L492" s="3">
        <f>IF(OR($L$1="",对接源_01水果!$C492="",对接源_01水果!$C492&lt;&gt;$L$1,对接源_01水果!$B492=""),0,IF(OR(N(对接源_01水果!$B492)&lt;$L$2,N(对接源_01水果!$B492)&gt;$L$3),0,1))</f>
        <v>0</v>
      </c>
      <c r="M492" s="3">
        <f>IF(OR($M$1="",对接源_01水果!$C492="",对接源_01水果!$C492&lt;&gt;$M$1,对接源_01水果!$B492=""),0,IF(OR(N(对接源_01水果!$B492)&lt;$M$2,N(对接源_01水果!$B492)&gt;$M$3),0,1))</f>
        <v>0</v>
      </c>
      <c r="N492" s="3">
        <f>IF(OR($N$1="",对接源_01水果!$C492="",对接源_01水果!$C492&lt;&gt;$N$1,对接源_01水果!$B492=""),0,IF(OR(N(对接源_01水果!$B492)&lt;$N$2,N(对接源_01水果!$B492)&gt;$N$3),0,1))</f>
        <v>0</v>
      </c>
      <c r="P492" s="3">
        <f>IF(AND($K492=1,AND(对接源_01水果!$X492="公司筐",N(对接源_01水果!$T492)&lt;&gt;0)),1,0)</f>
        <v>0</v>
      </c>
      <c r="Q492" s="3">
        <f t="shared" si="130"/>
        <v>0</v>
      </c>
      <c r="R492" s="3">
        <f>IF(AND($K492=1,AND(对接源_01水果!$X492="公司筐",N(对接源_01水果!$U492)&lt;&gt;0)),1,0)</f>
        <v>0</v>
      </c>
      <c r="S492" s="3">
        <f t="shared" si="131"/>
        <v>0</v>
      </c>
      <c r="T492" s="3">
        <f>IF(AND($K492=1,AND(对接源_01水果!$X492="公司筐",N(对接源_01水果!$V492)&lt;&gt;0)),1,0)</f>
        <v>0</v>
      </c>
      <c r="U492" s="3">
        <f t="shared" si="132"/>
        <v>19</v>
      </c>
      <c r="V492" s="3">
        <f>IF(AND($L492=1,AND(对接源_01水果!$X492="自备筐",N(对接源_01水果!$V492)&lt;&gt;0)),1,0)</f>
        <v>0</v>
      </c>
      <c r="W492" s="3">
        <f t="shared" si="133"/>
        <v>8</v>
      </c>
      <c r="X492" s="3">
        <f>IF(AND($L492=1,AND(对接源_01水果!$X492="自备筐",N(对接源_01水果!$T492)&lt;&gt;0)),1,0)</f>
        <v>0</v>
      </c>
      <c r="Y492" s="3">
        <f t="shared" si="134"/>
        <v>0</v>
      </c>
      <c r="Z492" s="3">
        <f>IF(AND($M492=1,对接源_01水果!$D492="原料入库"),1,0)</f>
        <v>0</v>
      </c>
      <c r="AA492" s="3">
        <f t="shared" si="135"/>
        <v>24</v>
      </c>
      <c r="AB492" s="3">
        <f>IF(AND($M492=1,LEFT(对接源_01水果!$D492,4)="原料出库"),1,0)</f>
        <v>0</v>
      </c>
      <c r="AC492" s="3">
        <f t="shared" si="136"/>
        <v>0</v>
      </c>
      <c r="AD492" s="3">
        <f>IF(AND($M492=1,LEFT(对接源_01水果!$D492,4)="成品出库"),1,0)</f>
        <v>0</v>
      </c>
      <c r="AE492" s="3">
        <f t="shared" si="137"/>
        <v>0</v>
      </c>
      <c r="AF492" s="3">
        <f>IF(AND($N492=1,AND(LEFT(对接源_01水果!$D492,4)="包装物料",N(对接源_01水果!$K492)&lt;&gt;0)),1,0)</f>
        <v>0</v>
      </c>
      <c r="AG492" s="3">
        <f t="shared" si="138"/>
        <v>0</v>
      </c>
      <c r="AH492" s="3">
        <f>IF(AND($N492=1,AND(对接源_01水果!$D492="周转筐－销售出库",N(对接源_01水果!$K492)&lt;&gt;0)),1,0)</f>
        <v>0</v>
      </c>
      <c r="AI492" s="3">
        <f t="shared" si="139"/>
        <v>0</v>
      </c>
      <c r="AJ492" s="7"/>
      <c r="AL492" s="3">
        <f>IF(OR($AL$1="",对接源_01水果!$Y492="",对接源_01水果!$Y492&lt;&gt;$AL$1,对接源_01水果!$B492="",N(对接源_01水果!$AJ492)&lt;=0),0,IF(OR(N(对接源_01水果!$B492)&lt;$AL$2,N(对接源_01水果!$B492)&gt;$AL$3),0,1))</f>
        <v>0</v>
      </c>
      <c r="AM492" s="3">
        <f t="shared" si="140"/>
        <v>1</v>
      </c>
      <c r="AN492" s="3" t="str">
        <f>IF(对接源_01水果!$AC492="","",对接源_01水果!$AC492)</f>
        <v/>
      </c>
      <c r="AO492" s="3">
        <f t="shared" si="141"/>
        <v>0</v>
      </c>
      <c r="AP492" s="3">
        <f t="shared" si="142"/>
        <v>8</v>
      </c>
      <c r="AR492">
        <f t="shared" si="143"/>
        <v>0</v>
      </c>
      <c r="AS492">
        <f t="shared" si="144"/>
        <v>0</v>
      </c>
    </row>
    <row r="493" ht="14.25" customHeight="1" spans="1:45">
      <c r="A493" s="3" t="str">
        <f>IF(对接源_01水果!$C493="","",对接源_01水果!$C493)</f>
        <v/>
      </c>
      <c r="B493" s="3">
        <f t="shared" si="128"/>
        <v>0</v>
      </c>
      <c r="C493" s="3">
        <f t="shared" si="129"/>
        <v>18</v>
      </c>
      <c r="K493" s="3">
        <f>IF(OR($K$1="",对接源_01水果!$C493="",对接源_01水果!$C493&lt;&gt;$K$1,对接源_01水果!$B493=""),0,IF(OR(N(对接源_01水果!$B493)&lt;$K$2,N(对接源_01水果!$B493)&gt;$K$3),0,1))</f>
        <v>0</v>
      </c>
      <c r="L493" s="3">
        <f>IF(OR($L$1="",对接源_01水果!$C493="",对接源_01水果!$C493&lt;&gt;$L$1,对接源_01水果!$B493=""),0,IF(OR(N(对接源_01水果!$B493)&lt;$L$2,N(对接源_01水果!$B493)&gt;$L$3),0,1))</f>
        <v>0</v>
      </c>
      <c r="M493" s="3">
        <f>IF(OR($M$1="",对接源_01水果!$C493="",对接源_01水果!$C493&lt;&gt;$M$1,对接源_01水果!$B493=""),0,IF(OR(N(对接源_01水果!$B493)&lt;$M$2,N(对接源_01水果!$B493)&gt;$M$3),0,1))</f>
        <v>0</v>
      </c>
      <c r="N493" s="3">
        <f>IF(OR($N$1="",对接源_01水果!$C493="",对接源_01水果!$C493&lt;&gt;$N$1,对接源_01水果!$B493=""),0,IF(OR(N(对接源_01水果!$B493)&lt;$N$2,N(对接源_01水果!$B493)&gt;$N$3),0,1))</f>
        <v>0</v>
      </c>
      <c r="P493" s="3">
        <f>IF(AND($K493=1,AND(对接源_01水果!$X493="公司筐",N(对接源_01水果!$T493)&lt;&gt;0)),1,0)</f>
        <v>0</v>
      </c>
      <c r="Q493" s="3">
        <f t="shared" si="130"/>
        <v>0</v>
      </c>
      <c r="R493" s="3">
        <f>IF(AND($K493=1,AND(对接源_01水果!$X493="公司筐",N(对接源_01水果!$U493)&lt;&gt;0)),1,0)</f>
        <v>0</v>
      </c>
      <c r="S493" s="3">
        <f t="shared" si="131"/>
        <v>0</v>
      </c>
      <c r="T493" s="3">
        <f>IF(AND($K493=1,AND(对接源_01水果!$X493="公司筐",N(对接源_01水果!$V493)&lt;&gt;0)),1,0)</f>
        <v>0</v>
      </c>
      <c r="U493" s="3">
        <f t="shared" si="132"/>
        <v>19</v>
      </c>
      <c r="V493" s="3">
        <f>IF(AND($L493=1,AND(对接源_01水果!$X493="自备筐",N(对接源_01水果!$V493)&lt;&gt;0)),1,0)</f>
        <v>0</v>
      </c>
      <c r="W493" s="3">
        <f t="shared" si="133"/>
        <v>8</v>
      </c>
      <c r="X493" s="3">
        <f>IF(AND($L493=1,AND(对接源_01水果!$X493="自备筐",N(对接源_01水果!$T493)&lt;&gt;0)),1,0)</f>
        <v>0</v>
      </c>
      <c r="Y493" s="3">
        <f t="shared" si="134"/>
        <v>0</v>
      </c>
      <c r="Z493" s="3">
        <f>IF(AND($M493=1,对接源_01水果!$D493="原料入库"),1,0)</f>
        <v>0</v>
      </c>
      <c r="AA493" s="3">
        <f t="shared" si="135"/>
        <v>24</v>
      </c>
      <c r="AB493" s="3">
        <f>IF(AND($M493=1,LEFT(对接源_01水果!$D493,4)="原料出库"),1,0)</f>
        <v>0</v>
      </c>
      <c r="AC493" s="3">
        <f t="shared" si="136"/>
        <v>0</v>
      </c>
      <c r="AD493" s="3">
        <f>IF(AND($M493=1,LEFT(对接源_01水果!$D493,4)="成品出库"),1,0)</f>
        <v>0</v>
      </c>
      <c r="AE493" s="3">
        <f t="shared" si="137"/>
        <v>0</v>
      </c>
      <c r="AF493" s="3">
        <f>IF(AND($N493=1,AND(LEFT(对接源_01水果!$D493,4)="包装物料",N(对接源_01水果!$K493)&lt;&gt;0)),1,0)</f>
        <v>0</v>
      </c>
      <c r="AG493" s="3">
        <f t="shared" si="138"/>
        <v>0</v>
      </c>
      <c r="AH493" s="3">
        <f>IF(AND($N493=1,AND(对接源_01水果!$D493="周转筐－销售出库",N(对接源_01水果!$K493)&lt;&gt;0)),1,0)</f>
        <v>0</v>
      </c>
      <c r="AI493" s="3">
        <f t="shared" si="139"/>
        <v>0</v>
      </c>
      <c r="AJ493" s="7"/>
      <c r="AL493" s="3">
        <f>IF(OR($AL$1="",对接源_01水果!$Y493="",对接源_01水果!$Y493&lt;&gt;$AL$1,对接源_01水果!$B493="",N(对接源_01水果!$AJ493)&lt;=0),0,IF(OR(N(对接源_01水果!$B493)&lt;$AL$2,N(对接源_01水果!$B493)&gt;$AL$3),0,1))</f>
        <v>0</v>
      </c>
      <c r="AM493" s="3">
        <f t="shared" si="140"/>
        <v>1</v>
      </c>
      <c r="AN493" s="3" t="str">
        <f>IF(对接源_01水果!$AC493="","",对接源_01水果!$AC493)</f>
        <v/>
      </c>
      <c r="AO493" s="3">
        <f t="shared" si="141"/>
        <v>0</v>
      </c>
      <c r="AP493" s="3">
        <f t="shared" si="142"/>
        <v>8</v>
      </c>
      <c r="AR493">
        <f t="shared" si="143"/>
        <v>0</v>
      </c>
      <c r="AS493">
        <f t="shared" si="144"/>
        <v>0</v>
      </c>
    </row>
    <row r="494" ht="14.25" customHeight="1" spans="1:45">
      <c r="A494" s="3" t="str">
        <f>IF(对接源_01水果!$C494="","",对接源_01水果!$C494)</f>
        <v/>
      </c>
      <c r="B494" s="3">
        <f t="shared" si="128"/>
        <v>0</v>
      </c>
      <c r="C494" s="3">
        <f t="shared" si="129"/>
        <v>18</v>
      </c>
      <c r="K494" s="3">
        <f>IF(OR($K$1="",对接源_01水果!$C494="",对接源_01水果!$C494&lt;&gt;$K$1,对接源_01水果!$B494=""),0,IF(OR(N(对接源_01水果!$B494)&lt;$K$2,N(对接源_01水果!$B494)&gt;$K$3),0,1))</f>
        <v>0</v>
      </c>
      <c r="L494" s="3">
        <f>IF(OR($L$1="",对接源_01水果!$C494="",对接源_01水果!$C494&lt;&gt;$L$1,对接源_01水果!$B494=""),0,IF(OR(N(对接源_01水果!$B494)&lt;$L$2,N(对接源_01水果!$B494)&gt;$L$3),0,1))</f>
        <v>0</v>
      </c>
      <c r="M494" s="3">
        <f>IF(OR($M$1="",对接源_01水果!$C494="",对接源_01水果!$C494&lt;&gt;$M$1,对接源_01水果!$B494=""),0,IF(OR(N(对接源_01水果!$B494)&lt;$M$2,N(对接源_01水果!$B494)&gt;$M$3),0,1))</f>
        <v>0</v>
      </c>
      <c r="N494" s="3">
        <f>IF(OR($N$1="",对接源_01水果!$C494="",对接源_01水果!$C494&lt;&gt;$N$1,对接源_01水果!$B494=""),0,IF(OR(N(对接源_01水果!$B494)&lt;$N$2,N(对接源_01水果!$B494)&gt;$N$3),0,1))</f>
        <v>0</v>
      </c>
      <c r="P494" s="3">
        <f>IF(AND($K494=1,AND(对接源_01水果!$X494="公司筐",N(对接源_01水果!$T494)&lt;&gt;0)),1,0)</f>
        <v>0</v>
      </c>
      <c r="Q494" s="3">
        <f t="shared" si="130"/>
        <v>0</v>
      </c>
      <c r="R494" s="3">
        <f>IF(AND($K494=1,AND(对接源_01水果!$X494="公司筐",N(对接源_01水果!$U494)&lt;&gt;0)),1,0)</f>
        <v>0</v>
      </c>
      <c r="S494" s="3">
        <f t="shared" si="131"/>
        <v>0</v>
      </c>
      <c r="T494" s="3">
        <f>IF(AND($K494=1,AND(对接源_01水果!$X494="公司筐",N(对接源_01水果!$V494)&lt;&gt;0)),1,0)</f>
        <v>0</v>
      </c>
      <c r="U494" s="3">
        <f t="shared" si="132"/>
        <v>19</v>
      </c>
      <c r="V494" s="3">
        <f>IF(AND($L494=1,AND(对接源_01水果!$X494="自备筐",N(对接源_01水果!$V494)&lt;&gt;0)),1,0)</f>
        <v>0</v>
      </c>
      <c r="W494" s="3">
        <f t="shared" si="133"/>
        <v>8</v>
      </c>
      <c r="X494" s="3">
        <f>IF(AND($L494=1,AND(对接源_01水果!$X494="自备筐",N(对接源_01水果!$T494)&lt;&gt;0)),1,0)</f>
        <v>0</v>
      </c>
      <c r="Y494" s="3">
        <f t="shared" si="134"/>
        <v>0</v>
      </c>
      <c r="Z494" s="3">
        <f>IF(AND($M494=1,对接源_01水果!$D494="原料入库"),1,0)</f>
        <v>0</v>
      </c>
      <c r="AA494" s="3">
        <f t="shared" si="135"/>
        <v>24</v>
      </c>
      <c r="AB494" s="3">
        <f>IF(AND($M494=1,LEFT(对接源_01水果!$D494,4)="原料出库"),1,0)</f>
        <v>0</v>
      </c>
      <c r="AC494" s="3">
        <f t="shared" si="136"/>
        <v>0</v>
      </c>
      <c r="AD494" s="3">
        <f>IF(AND($M494=1,LEFT(对接源_01水果!$D494,4)="成品出库"),1,0)</f>
        <v>0</v>
      </c>
      <c r="AE494" s="3">
        <f t="shared" si="137"/>
        <v>0</v>
      </c>
      <c r="AF494" s="3">
        <f>IF(AND($N494=1,AND(LEFT(对接源_01水果!$D494,4)="包装物料",N(对接源_01水果!$K494)&lt;&gt;0)),1,0)</f>
        <v>0</v>
      </c>
      <c r="AG494" s="3">
        <f t="shared" si="138"/>
        <v>0</v>
      </c>
      <c r="AH494" s="3">
        <f>IF(AND($N494=1,AND(对接源_01水果!$D494="周转筐－销售出库",N(对接源_01水果!$K494)&lt;&gt;0)),1,0)</f>
        <v>0</v>
      </c>
      <c r="AI494" s="3">
        <f t="shared" si="139"/>
        <v>0</v>
      </c>
      <c r="AJ494" s="7"/>
      <c r="AL494" s="3">
        <f>IF(OR($AL$1="",对接源_01水果!$Y494="",对接源_01水果!$Y494&lt;&gt;$AL$1,对接源_01水果!$B494="",N(对接源_01水果!$AJ494)&lt;=0),0,IF(OR(N(对接源_01水果!$B494)&lt;$AL$2,N(对接源_01水果!$B494)&gt;$AL$3),0,1))</f>
        <v>0</v>
      </c>
      <c r="AM494" s="3">
        <f t="shared" si="140"/>
        <v>1</v>
      </c>
      <c r="AN494" s="3" t="str">
        <f>IF(对接源_01水果!$AC494="","",对接源_01水果!$AC494)</f>
        <v/>
      </c>
      <c r="AO494" s="3">
        <f t="shared" si="141"/>
        <v>0</v>
      </c>
      <c r="AP494" s="3">
        <f t="shared" si="142"/>
        <v>8</v>
      </c>
      <c r="AR494">
        <f t="shared" si="143"/>
        <v>0</v>
      </c>
      <c r="AS494">
        <f t="shared" si="144"/>
        <v>0</v>
      </c>
    </row>
    <row r="495" ht="14.25" customHeight="1" spans="1:45">
      <c r="A495" s="3" t="str">
        <f>IF(对接源_01水果!$C495="","",对接源_01水果!$C495)</f>
        <v/>
      </c>
      <c r="B495" s="3">
        <f t="shared" si="128"/>
        <v>0</v>
      </c>
      <c r="C495" s="3">
        <f t="shared" si="129"/>
        <v>18</v>
      </c>
      <c r="K495" s="3">
        <f>IF(OR($K$1="",对接源_01水果!$C495="",对接源_01水果!$C495&lt;&gt;$K$1,对接源_01水果!$B495=""),0,IF(OR(N(对接源_01水果!$B495)&lt;$K$2,N(对接源_01水果!$B495)&gt;$K$3),0,1))</f>
        <v>0</v>
      </c>
      <c r="L495" s="3">
        <f>IF(OR($L$1="",对接源_01水果!$C495="",对接源_01水果!$C495&lt;&gt;$L$1,对接源_01水果!$B495=""),0,IF(OR(N(对接源_01水果!$B495)&lt;$L$2,N(对接源_01水果!$B495)&gt;$L$3),0,1))</f>
        <v>0</v>
      </c>
      <c r="M495" s="3">
        <f>IF(OR($M$1="",对接源_01水果!$C495="",对接源_01水果!$C495&lt;&gt;$M$1,对接源_01水果!$B495=""),0,IF(OR(N(对接源_01水果!$B495)&lt;$M$2,N(对接源_01水果!$B495)&gt;$M$3),0,1))</f>
        <v>0</v>
      </c>
      <c r="N495" s="3">
        <f>IF(OR($N$1="",对接源_01水果!$C495="",对接源_01水果!$C495&lt;&gt;$N$1,对接源_01水果!$B495=""),0,IF(OR(N(对接源_01水果!$B495)&lt;$N$2,N(对接源_01水果!$B495)&gt;$N$3),0,1))</f>
        <v>0</v>
      </c>
      <c r="P495" s="3">
        <f>IF(AND($K495=1,AND(对接源_01水果!$X495="公司筐",N(对接源_01水果!$T495)&lt;&gt;0)),1,0)</f>
        <v>0</v>
      </c>
      <c r="Q495" s="3">
        <f t="shared" si="130"/>
        <v>0</v>
      </c>
      <c r="R495" s="3">
        <f>IF(AND($K495=1,AND(对接源_01水果!$X495="公司筐",N(对接源_01水果!$U495)&lt;&gt;0)),1,0)</f>
        <v>0</v>
      </c>
      <c r="S495" s="3">
        <f t="shared" si="131"/>
        <v>0</v>
      </c>
      <c r="T495" s="3">
        <f>IF(AND($K495=1,AND(对接源_01水果!$X495="公司筐",N(对接源_01水果!$V495)&lt;&gt;0)),1,0)</f>
        <v>0</v>
      </c>
      <c r="U495" s="3">
        <f t="shared" si="132"/>
        <v>19</v>
      </c>
      <c r="V495" s="3">
        <f>IF(AND($L495=1,AND(对接源_01水果!$X495="自备筐",N(对接源_01水果!$V495)&lt;&gt;0)),1,0)</f>
        <v>0</v>
      </c>
      <c r="W495" s="3">
        <f t="shared" si="133"/>
        <v>8</v>
      </c>
      <c r="X495" s="3">
        <f>IF(AND($L495=1,AND(对接源_01水果!$X495="自备筐",N(对接源_01水果!$T495)&lt;&gt;0)),1,0)</f>
        <v>0</v>
      </c>
      <c r="Y495" s="3">
        <f t="shared" si="134"/>
        <v>0</v>
      </c>
      <c r="Z495" s="3">
        <f>IF(AND($M495=1,对接源_01水果!$D495="原料入库"),1,0)</f>
        <v>0</v>
      </c>
      <c r="AA495" s="3">
        <f t="shared" si="135"/>
        <v>24</v>
      </c>
      <c r="AB495" s="3">
        <f>IF(AND($M495=1,LEFT(对接源_01水果!$D495,4)="原料出库"),1,0)</f>
        <v>0</v>
      </c>
      <c r="AC495" s="3">
        <f t="shared" si="136"/>
        <v>0</v>
      </c>
      <c r="AD495" s="3">
        <f>IF(AND($M495=1,LEFT(对接源_01水果!$D495,4)="成品出库"),1,0)</f>
        <v>0</v>
      </c>
      <c r="AE495" s="3">
        <f t="shared" si="137"/>
        <v>0</v>
      </c>
      <c r="AF495" s="3">
        <f>IF(AND($N495=1,AND(LEFT(对接源_01水果!$D495,4)="包装物料",N(对接源_01水果!$K495)&lt;&gt;0)),1,0)</f>
        <v>0</v>
      </c>
      <c r="AG495" s="3">
        <f t="shared" si="138"/>
        <v>0</v>
      </c>
      <c r="AH495" s="3">
        <f>IF(AND($N495=1,AND(对接源_01水果!$D495="周转筐－销售出库",N(对接源_01水果!$K495)&lt;&gt;0)),1,0)</f>
        <v>0</v>
      </c>
      <c r="AI495" s="3">
        <f t="shared" si="139"/>
        <v>0</v>
      </c>
      <c r="AJ495" s="7"/>
      <c r="AL495" s="3">
        <f>IF(OR($AL$1="",对接源_01水果!$Y495="",对接源_01水果!$Y495&lt;&gt;$AL$1,对接源_01水果!$B495="",N(对接源_01水果!$AJ495)&lt;=0),0,IF(OR(N(对接源_01水果!$B495)&lt;$AL$2,N(对接源_01水果!$B495)&gt;$AL$3),0,1))</f>
        <v>0</v>
      </c>
      <c r="AM495" s="3">
        <f t="shared" si="140"/>
        <v>1</v>
      </c>
      <c r="AN495" s="3" t="str">
        <f>IF(对接源_01水果!$AC495="","",对接源_01水果!$AC495)</f>
        <v/>
      </c>
      <c r="AO495" s="3">
        <f t="shared" si="141"/>
        <v>0</v>
      </c>
      <c r="AP495" s="3">
        <f t="shared" si="142"/>
        <v>8</v>
      </c>
      <c r="AR495">
        <f t="shared" si="143"/>
        <v>0</v>
      </c>
      <c r="AS495">
        <f t="shared" si="144"/>
        <v>0</v>
      </c>
    </row>
    <row r="496" ht="14.25" customHeight="1" spans="1:45">
      <c r="A496" s="3" t="str">
        <f>IF(对接源_01水果!$C496="","",对接源_01水果!$C496)</f>
        <v/>
      </c>
      <c r="B496" s="3">
        <f t="shared" si="128"/>
        <v>0</v>
      </c>
      <c r="C496" s="3">
        <f t="shared" si="129"/>
        <v>18</v>
      </c>
      <c r="K496" s="3">
        <f>IF(OR($K$1="",对接源_01水果!$C496="",对接源_01水果!$C496&lt;&gt;$K$1,对接源_01水果!$B496=""),0,IF(OR(N(对接源_01水果!$B496)&lt;$K$2,N(对接源_01水果!$B496)&gt;$K$3),0,1))</f>
        <v>0</v>
      </c>
      <c r="L496" s="3">
        <f>IF(OR($L$1="",对接源_01水果!$C496="",对接源_01水果!$C496&lt;&gt;$L$1,对接源_01水果!$B496=""),0,IF(OR(N(对接源_01水果!$B496)&lt;$L$2,N(对接源_01水果!$B496)&gt;$L$3),0,1))</f>
        <v>0</v>
      </c>
      <c r="M496" s="3">
        <f>IF(OR($M$1="",对接源_01水果!$C496="",对接源_01水果!$C496&lt;&gt;$M$1,对接源_01水果!$B496=""),0,IF(OR(N(对接源_01水果!$B496)&lt;$M$2,N(对接源_01水果!$B496)&gt;$M$3),0,1))</f>
        <v>0</v>
      </c>
      <c r="N496" s="3">
        <f>IF(OR($N$1="",对接源_01水果!$C496="",对接源_01水果!$C496&lt;&gt;$N$1,对接源_01水果!$B496=""),0,IF(OR(N(对接源_01水果!$B496)&lt;$N$2,N(对接源_01水果!$B496)&gt;$N$3),0,1))</f>
        <v>0</v>
      </c>
      <c r="P496" s="3">
        <f>IF(AND($K496=1,AND(对接源_01水果!$X496="公司筐",N(对接源_01水果!$T496)&lt;&gt;0)),1,0)</f>
        <v>0</v>
      </c>
      <c r="Q496" s="3">
        <f t="shared" si="130"/>
        <v>0</v>
      </c>
      <c r="R496" s="3">
        <f>IF(AND($K496=1,AND(对接源_01水果!$X496="公司筐",N(对接源_01水果!$U496)&lt;&gt;0)),1,0)</f>
        <v>0</v>
      </c>
      <c r="S496" s="3">
        <f t="shared" si="131"/>
        <v>0</v>
      </c>
      <c r="T496" s="3">
        <f>IF(AND($K496=1,AND(对接源_01水果!$X496="公司筐",N(对接源_01水果!$V496)&lt;&gt;0)),1,0)</f>
        <v>0</v>
      </c>
      <c r="U496" s="3">
        <f t="shared" si="132"/>
        <v>19</v>
      </c>
      <c r="V496" s="3">
        <f>IF(AND($L496=1,AND(对接源_01水果!$X496="自备筐",N(对接源_01水果!$V496)&lt;&gt;0)),1,0)</f>
        <v>0</v>
      </c>
      <c r="W496" s="3">
        <f t="shared" si="133"/>
        <v>8</v>
      </c>
      <c r="X496" s="3">
        <f>IF(AND($L496=1,AND(对接源_01水果!$X496="自备筐",N(对接源_01水果!$T496)&lt;&gt;0)),1,0)</f>
        <v>0</v>
      </c>
      <c r="Y496" s="3">
        <f t="shared" si="134"/>
        <v>0</v>
      </c>
      <c r="Z496" s="3">
        <f>IF(AND($M496=1,对接源_01水果!$D496="原料入库"),1,0)</f>
        <v>0</v>
      </c>
      <c r="AA496" s="3">
        <f t="shared" si="135"/>
        <v>24</v>
      </c>
      <c r="AB496" s="3">
        <f>IF(AND($M496=1,LEFT(对接源_01水果!$D496,4)="原料出库"),1,0)</f>
        <v>0</v>
      </c>
      <c r="AC496" s="3">
        <f t="shared" si="136"/>
        <v>0</v>
      </c>
      <c r="AD496" s="3">
        <f>IF(AND($M496=1,LEFT(对接源_01水果!$D496,4)="成品出库"),1,0)</f>
        <v>0</v>
      </c>
      <c r="AE496" s="3">
        <f t="shared" si="137"/>
        <v>0</v>
      </c>
      <c r="AF496" s="3">
        <f>IF(AND($N496=1,AND(LEFT(对接源_01水果!$D496,4)="包装物料",N(对接源_01水果!$K496)&lt;&gt;0)),1,0)</f>
        <v>0</v>
      </c>
      <c r="AG496" s="3">
        <f t="shared" si="138"/>
        <v>0</v>
      </c>
      <c r="AH496" s="3">
        <f>IF(AND($N496=1,AND(对接源_01水果!$D496="周转筐－销售出库",N(对接源_01水果!$K496)&lt;&gt;0)),1,0)</f>
        <v>0</v>
      </c>
      <c r="AI496" s="3">
        <f t="shared" si="139"/>
        <v>0</v>
      </c>
      <c r="AJ496" s="7"/>
      <c r="AL496" s="3">
        <f>IF(OR($AL$1="",对接源_01水果!$Y496="",对接源_01水果!$Y496&lt;&gt;$AL$1,对接源_01水果!$B496="",N(对接源_01水果!$AJ496)&lt;=0),0,IF(OR(N(对接源_01水果!$B496)&lt;$AL$2,N(对接源_01水果!$B496)&gt;$AL$3),0,1))</f>
        <v>0</v>
      </c>
      <c r="AM496" s="3">
        <f t="shared" si="140"/>
        <v>1</v>
      </c>
      <c r="AN496" s="3" t="str">
        <f>IF(对接源_01水果!$AC496="","",对接源_01水果!$AC496)</f>
        <v/>
      </c>
      <c r="AO496" s="3">
        <f t="shared" si="141"/>
        <v>0</v>
      </c>
      <c r="AP496" s="3">
        <f t="shared" si="142"/>
        <v>8</v>
      </c>
      <c r="AR496">
        <f t="shared" si="143"/>
        <v>0</v>
      </c>
      <c r="AS496">
        <f t="shared" si="144"/>
        <v>0</v>
      </c>
    </row>
    <row r="497" ht="14.25" customHeight="1" spans="1:45">
      <c r="A497" s="3" t="str">
        <f>IF(对接源_01水果!$C497="","",对接源_01水果!$C497)</f>
        <v/>
      </c>
      <c r="B497" s="3">
        <f t="shared" si="128"/>
        <v>0</v>
      </c>
      <c r="C497" s="3">
        <f t="shared" si="129"/>
        <v>18</v>
      </c>
      <c r="K497" s="3">
        <f>IF(OR($K$1="",对接源_01水果!$C497="",对接源_01水果!$C497&lt;&gt;$K$1,对接源_01水果!$B497=""),0,IF(OR(N(对接源_01水果!$B497)&lt;$K$2,N(对接源_01水果!$B497)&gt;$K$3),0,1))</f>
        <v>0</v>
      </c>
      <c r="L497" s="3">
        <f>IF(OR($L$1="",对接源_01水果!$C497="",对接源_01水果!$C497&lt;&gt;$L$1,对接源_01水果!$B497=""),0,IF(OR(N(对接源_01水果!$B497)&lt;$L$2,N(对接源_01水果!$B497)&gt;$L$3),0,1))</f>
        <v>0</v>
      </c>
      <c r="M497" s="3">
        <f>IF(OR($M$1="",对接源_01水果!$C497="",对接源_01水果!$C497&lt;&gt;$M$1,对接源_01水果!$B497=""),0,IF(OR(N(对接源_01水果!$B497)&lt;$M$2,N(对接源_01水果!$B497)&gt;$M$3),0,1))</f>
        <v>0</v>
      </c>
      <c r="N497" s="3">
        <f>IF(OR($N$1="",对接源_01水果!$C497="",对接源_01水果!$C497&lt;&gt;$N$1,对接源_01水果!$B497=""),0,IF(OR(N(对接源_01水果!$B497)&lt;$N$2,N(对接源_01水果!$B497)&gt;$N$3),0,1))</f>
        <v>0</v>
      </c>
      <c r="P497" s="3">
        <f>IF(AND($K497=1,AND(对接源_01水果!$X497="公司筐",N(对接源_01水果!$T497)&lt;&gt;0)),1,0)</f>
        <v>0</v>
      </c>
      <c r="Q497" s="3">
        <f t="shared" si="130"/>
        <v>0</v>
      </c>
      <c r="R497" s="3">
        <f>IF(AND($K497=1,AND(对接源_01水果!$X497="公司筐",N(对接源_01水果!$U497)&lt;&gt;0)),1,0)</f>
        <v>0</v>
      </c>
      <c r="S497" s="3">
        <f t="shared" si="131"/>
        <v>0</v>
      </c>
      <c r="T497" s="3">
        <f>IF(AND($K497=1,AND(对接源_01水果!$X497="公司筐",N(对接源_01水果!$V497)&lt;&gt;0)),1,0)</f>
        <v>0</v>
      </c>
      <c r="U497" s="3">
        <f t="shared" si="132"/>
        <v>19</v>
      </c>
      <c r="V497" s="3">
        <f>IF(AND($L497=1,AND(对接源_01水果!$X497="自备筐",N(对接源_01水果!$V497)&lt;&gt;0)),1,0)</f>
        <v>0</v>
      </c>
      <c r="W497" s="3">
        <f t="shared" si="133"/>
        <v>8</v>
      </c>
      <c r="X497" s="3">
        <f>IF(AND($L497=1,AND(对接源_01水果!$X497="自备筐",N(对接源_01水果!$T497)&lt;&gt;0)),1,0)</f>
        <v>0</v>
      </c>
      <c r="Y497" s="3">
        <f t="shared" si="134"/>
        <v>0</v>
      </c>
      <c r="Z497" s="3">
        <f>IF(AND($M497=1,对接源_01水果!$D497="原料入库"),1,0)</f>
        <v>0</v>
      </c>
      <c r="AA497" s="3">
        <f t="shared" si="135"/>
        <v>24</v>
      </c>
      <c r="AB497" s="3">
        <f>IF(AND($M497=1,LEFT(对接源_01水果!$D497,4)="原料出库"),1,0)</f>
        <v>0</v>
      </c>
      <c r="AC497" s="3">
        <f t="shared" si="136"/>
        <v>0</v>
      </c>
      <c r="AD497" s="3">
        <f>IF(AND($M497=1,LEFT(对接源_01水果!$D497,4)="成品出库"),1,0)</f>
        <v>0</v>
      </c>
      <c r="AE497" s="3">
        <f t="shared" si="137"/>
        <v>0</v>
      </c>
      <c r="AF497" s="3">
        <f>IF(AND($N497=1,AND(LEFT(对接源_01水果!$D497,4)="包装物料",N(对接源_01水果!$K497)&lt;&gt;0)),1,0)</f>
        <v>0</v>
      </c>
      <c r="AG497" s="3">
        <f t="shared" si="138"/>
        <v>0</v>
      </c>
      <c r="AH497" s="3">
        <f>IF(AND($N497=1,AND(对接源_01水果!$D497="周转筐－销售出库",N(对接源_01水果!$K497)&lt;&gt;0)),1,0)</f>
        <v>0</v>
      </c>
      <c r="AI497" s="3">
        <f t="shared" si="139"/>
        <v>0</v>
      </c>
      <c r="AJ497" s="7"/>
      <c r="AL497" s="3">
        <f>IF(OR($AL$1="",对接源_01水果!$Y497="",对接源_01水果!$Y497&lt;&gt;$AL$1,对接源_01水果!$B497="",N(对接源_01水果!$AJ497)&lt;=0),0,IF(OR(N(对接源_01水果!$B497)&lt;$AL$2,N(对接源_01水果!$B497)&gt;$AL$3),0,1))</f>
        <v>0</v>
      </c>
      <c r="AM497" s="3">
        <f t="shared" si="140"/>
        <v>1</v>
      </c>
      <c r="AN497" s="3" t="str">
        <f>IF(对接源_01水果!$AC497="","",对接源_01水果!$AC497)</f>
        <v/>
      </c>
      <c r="AO497" s="3">
        <f t="shared" si="141"/>
        <v>0</v>
      </c>
      <c r="AP497" s="3">
        <f t="shared" si="142"/>
        <v>8</v>
      </c>
      <c r="AR497">
        <f t="shared" si="143"/>
        <v>0</v>
      </c>
      <c r="AS497">
        <f t="shared" si="144"/>
        <v>0</v>
      </c>
    </row>
    <row r="498" ht="14.25" customHeight="1" spans="1:45">
      <c r="A498" s="3" t="str">
        <f>IF(对接源_01水果!$C498="","",对接源_01水果!$C498)</f>
        <v/>
      </c>
      <c r="B498" s="3">
        <f t="shared" si="128"/>
        <v>0</v>
      </c>
      <c r="C498" s="3">
        <f t="shared" si="129"/>
        <v>18</v>
      </c>
      <c r="K498" s="3">
        <f>IF(OR($K$1="",对接源_01水果!$C498="",对接源_01水果!$C498&lt;&gt;$K$1,对接源_01水果!$B498=""),0,IF(OR(N(对接源_01水果!$B498)&lt;$K$2,N(对接源_01水果!$B498)&gt;$K$3),0,1))</f>
        <v>0</v>
      </c>
      <c r="L498" s="3">
        <f>IF(OR($L$1="",对接源_01水果!$C498="",对接源_01水果!$C498&lt;&gt;$L$1,对接源_01水果!$B498=""),0,IF(OR(N(对接源_01水果!$B498)&lt;$L$2,N(对接源_01水果!$B498)&gt;$L$3),0,1))</f>
        <v>0</v>
      </c>
      <c r="M498" s="3">
        <f>IF(OR($M$1="",对接源_01水果!$C498="",对接源_01水果!$C498&lt;&gt;$M$1,对接源_01水果!$B498=""),0,IF(OR(N(对接源_01水果!$B498)&lt;$M$2,N(对接源_01水果!$B498)&gt;$M$3),0,1))</f>
        <v>0</v>
      </c>
      <c r="N498" s="3">
        <f>IF(OR($N$1="",对接源_01水果!$C498="",对接源_01水果!$C498&lt;&gt;$N$1,对接源_01水果!$B498=""),0,IF(OR(N(对接源_01水果!$B498)&lt;$N$2,N(对接源_01水果!$B498)&gt;$N$3),0,1))</f>
        <v>0</v>
      </c>
      <c r="P498" s="3">
        <f>IF(AND($K498=1,AND(对接源_01水果!$X498="公司筐",N(对接源_01水果!$T498)&lt;&gt;0)),1,0)</f>
        <v>0</v>
      </c>
      <c r="Q498" s="3">
        <f t="shared" si="130"/>
        <v>0</v>
      </c>
      <c r="R498" s="3">
        <f>IF(AND($K498=1,AND(对接源_01水果!$X498="公司筐",N(对接源_01水果!$U498)&lt;&gt;0)),1,0)</f>
        <v>0</v>
      </c>
      <c r="S498" s="3">
        <f t="shared" si="131"/>
        <v>0</v>
      </c>
      <c r="T498" s="3">
        <f>IF(AND($K498=1,AND(对接源_01水果!$X498="公司筐",N(对接源_01水果!$V498)&lt;&gt;0)),1,0)</f>
        <v>0</v>
      </c>
      <c r="U498" s="3">
        <f t="shared" si="132"/>
        <v>19</v>
      </c>
      <c r="V498" s="3">
        <f>IF(AND($L498=1,AND(对接源_01水果!$X498="自备筐",N(对接源_01水果!$V498)&lt;&gt;0)),1,0)</f>
        <v>0</v>
      </c>
      <c r="W498" s="3">
        <f t="shared" si="133"/>
        <v>8</v>
      </c>
      <c r="X498" s="3">
        <f>IF(AND($L498=1,AND(对接源_01水果!$X498="自备筐",N(对接源_01水果!$T498)&lt;&gt;0)),1,0)</f>
        <v>0</v>
      </c>
      <c r="Y498" s="3">
        <f t="shared" si="134"/>
        <v>0</v>
      </c>
      <c r="Z498" s="3">
        <f>IF(AND($M498=1,对接源_01水果!$D498="原料入库"),1,0)</f>
        <v>0</v>
      </c>
      <c r="AA498" s="3">
        <f t="shared" si="135"/>
        <v>24</v>
      </c>
      <c r="AB498" s="3">
        <f>IF(AND($M498=1,LEFT(对接源_01水果!$D498,4)="原料出库"),1,0)</f>
        <v>0</v>
      </c>
      <c r="AC498" s="3">
        <f t="shared" si="136"/>
        <v>0</v>
      </c>
      <c r="AD498" s="3">
        <f>IF(AND($M498=1,LEFT(对接源_01水果!$D498,4)="成品出库"),1,0)</f>
        <v>0</v>
      </c>
      <c r="AE498" s="3">
        <f t="shared" si="137"/>
        <v>0</v>
      </c>
      <c r="AF498" s="3">
        <f>IF(AND($N498=1,AND(LEFT(对接源_01水果!$D498,4)="包装物料",N(对接源_01水果!$K498)&lt;&gt;0)),1,0)</f>
        <v>0</v>
      </c>
      <c r="AG498" s="3">
        <f t="shared" si="138"/>
        <v>0</v>
      </c>
      <c r="AH498" s="3">
        <f>IF(AND($N498=1,AND(对接源_01水果!$D498="周转筐－销售出库",N(对接源_01水果!$K498)&lt;&gt;0)),1,0)</f>
        <v>0</v>
      </c>
      <c r="AI498" s="3">
        <f t="shared" si="139"/>
        <v>0</v>
      </c>
      <c r="AJ498" s="7"/>
      <c r="AL498" s="3">
        <f>IF(OR($AL$1="",对接源_01水果!$Y498="",对接源_01水果!$Y498&lt;&gt;$AL$1,对接源_01水果!$B498="",N(对接源_01水果!$AJ498)&lt;=0),0,IF(OR(N(对接源_01水果!$B498)&lt;$AL$2,N(对接源_01水果!$B498)&gt;$AL$3),0,1))</f>
        <v>0</v>
      </c>
      <c r="AM498" s="3">
        <f t="shared" si="140"/>
        <v>1</v>
      </c>
      <c r="AN498" s="3" t="str">
        <f>IF(对接源_01水果!$AC498="","",对接源_01水果!$AC498)</f>
        <v/>
      </c>
      <c r="AO498" s="3">
        <f t="shared" si="141"/>
        <v>0</v>
      </c>
      <c r="AP498" s="3">
        <f t="shared" si="142"/>
        <v>8</v>
      </c>
      <c r="AR498">
        <f t="shared" si="143"/>
        <v>0</v>
      </c>
      <c r="AS498">
        <f t="shared" si="144"/>
        <v>0</v>
      </c>
    </row>
    <row r="499" ht="14.25" customHeight="1" spans="1:45">
      <c r="A499" s="3" t="str">
        <f>IF(对接源_01水果!$C499="","",对接源_01水果!$C499)</f>
        <v/>
      </c>
      <c r="B499" s="3">
        <f t="shared" si="128"/>
        <v>0</v>
      </c>
      <c r="C499" s="3">
        <f t="shared" si="129"/>
        <v>18</v>
      </c>
      <c r="K499" s="3">
        <f>IF(OR($K$1="",对接源_01水果!$C499="",对接源_01水果!$C499&lt;&gt;$K$1,对接源_01水果!$B499=""),0,IF(OR(N(对接源_01水果!$B499)&lt;$K$2,N(对接源_01水果!$B499)&gt;$K$3),0,1))</f>
        <v>0</v>
      </c>
      <c r="L499" s="3">
        <f>IF(OR($L$1="",对接源_01水果!$C499="",对接源_01水果!$C499&lt;&gt;$L$1,对接源_01水果!$B499=""),0,IF(OR(N(对接源_01水果!$B499)&lt;$L$2,N(对接源_01水果!$B499)&gt;$L$3),0,1))</f>
        <v>0</v>
      </c>
      <c r="M499" s="3">
        <f>IF(OR($M$1="",对接源_01水果!$C499="",对接源_01水果!$C499&lt;&gt;$M$1,对接源_01水果!$B499=""),0,IF(OR(N(对接源_01水果!$B499)&lt;$M$2,N(对接源_01水果!$B499)&gt;$M$3),0,1))</f>
        <v>0</v>
      </c>
      <c r="N499" s="3">
        <f>IF(OR($N$1="",对接源_01水果!$C499="",对接源_01水果!$C499&lt;&gt;$N$1,对接源_01水果!$B499=""),0,IF(OR(N(对接源_01水果!$B499)&lt;$N$2,N(对接源_01水果!$B499)&gt;$N$3),0,1))</f>
        <v>0</v>
      </c>
      <c r="P499" s="3">
        <f>IF(AND($K499=1,AND(对接源_01水果!$X499="公司筐",N(对接源_01水果!$T499)&lt;&gt;0)),1,0)</f>
        <v>0</v>
      </c>
      <c r="Q499" s="3">
        <f t="shared" si="130"/>
        <v>0</v>
      </c>
      <c r="R499" s="3">
        <f>IF(AND($K499=1,AND(对接源_01水果!$X499="公司筐",N(对接源_01水果!$U499)&lt;&gt;0)),1,0)</f>
        <v>0</v>
      </c>
      <c r="S499" s="3">
        <f t="shared" si="131"/>
        <v>0</v>
      </c>
      <c r="T499" s="3">
        <f>IF(AND($K499=1,AND(对接源_01水果!$X499="公司筐",N(对接源_01水果!$V499)&lt;&gt;0)),1,0)</f>
        <v>0</v>
      </c>
      <c r="U499" s="3">
        <f t="shared" si="132"/>
        <v>19</v>
      </c>
      <c r="V499" s="3">
        <f>IF(AND($L499=1,AND(对接源_01水果!$X499="自备筐",N(对接源_01水果!$V499)&lt;&gt;0)),1,0)</f>
        <v>0</v>
      </c>
      <c r="W499" s="3">
        <f t="shared" si="133"/>
        <v>8</v>
      </c>
      <c r="X499" s="3">
        <f>IF(AND($L499=1,AND(对接源_01水果!$X499="自备筐",N(对接源_01水果!$T499)&lt;&gt;0)),1,0)</f>
        <v>0</v>
      </c>
      <c r="Y499" s="3">
        <f t="shared" si="134"/>
        <v>0</v>
      </c>
      <c r="Z499" s="3">
        <f>IF(AND($M499=1,对接源_01水果!$D499="原料入库"),1,0)</f>
        <v>0</v>
      </c>
      <c r="AA499" s="3">
        <f t="shared" si="135"/>
        <v>24</v>
      </c>
      <c r="AB499" s="3">
        <f>IF(AND($M499=1,LEFT(对接源_01水果!$D499,4)="原料出库"),1,0)</f>
        <v>0</v>
      </c>
      <c r="AC499" s="3">
        <f t="shared" si="136"/>
        <v>0</v>
      </c>
      <c r="AD499" s="3">
        <f>IF(AND($M499=1,LEFT(对接源_01水果!$D499,4)="成品出库"),1,0)</f>
        <v>0</v>
      </c>
      <c r="AE499" s="3">
        <f t="shared" si="137"/>
        <v>0</v>
      </c>
      <c r="AF499" s="3">
        <f>IF(AND($N499=1,AND(LEFT(对接源_01水果!$D499,4)="包装物料",N(对接源_01水果!$K499)&lt;&gt;0)),1,0)</f>
        <v>0</v>
      </c>
      <c r="AG499" s="3">
        <f t="shared" si="138"/>
        <v>0</v>
      </c>
      <c r="AH499" s="3">
        <f>IF(AND($N499=1,AND(对接源_01水果!$D499="周转筐－销售出库",N(对接源_01水果!$K499)&lt;&gt;0)),1,0)</f>
        <v>0</v>
      </c>
      <c r="AI499" s="3">
        <f t="shared" si="139"/>
        <v>0</v>
      </c>
      <c r="AJ499" s="7"/>
      <c r="AL499" s="3">
        <f>IF(OR($AL$1="",对接源_01水果!$Y499="",对接源_01水果!$Y499&lt;&gt;$AL$1,对接源_01水果!$B499="",N(对接源_01水果!$AJ499)&lt;=0),0,IF(OR(N(对接源_01水果!$B499)&lt;$AL$2,N(对接源_01水果!$B499)&gt;$AL$3),0,1))</f>
        <v>0</v>
      </c>
      <c r="AM499" s="3">
        <f t="shared" si="140"/>
        <v>1</v>
      </c>
      <c r="AN499" s="3" t="str">
        <f>IF(对接源_01水果!$AC499="","",对接源_01水果!$AC499)</f>
        <v/>
      </c>
      <c r="AO499" s="3">
        <f t="shared" si="141"/>
        <v>0</v>
      </c>
      <c r="AP499" s="3">
        <f t="shared" si="142"/>
        <v>8</v>
      </c>
      <c r="AR499">
        <f t="shared" si="143"/>
        <v>0</v>
      </c>
      <c r="AS499">
        <f t="shared" si="144"/>
        <v>0</v>
      </c>
    </row>
    <row r="500" ht="14.25" customHeight="1" spans="1:45">
      <c r="A500" s="3" t="str">
        <f>IF(对接源_01水果!$C500="","",对接源_01水果!$C500)</f>
        <v/>
      </c>
      <c r="B500" s="3">
        <f t="shared" si="128"/>
        <v>0</v>
      </c>
      <c r="C500" s="3">
        <f t="shared" si="129"/>
        <v>18</v>
      </c>
      <c r="K500" s="3">
        <f>IF(OR($K$1="",对接源_01水果!$C500="",对接源_01水果!$C500&lt;&gt;$K$1,对接源_01水果!$B500=""),0,IF(OR(N(对接源_01水果!$B500)&lt;$K$2,N(对接源_01水果!$B500)&gt;$K$3),0,1))</f>
        <v>0</v>
      </c>
      <c r="L500" s="3">
        <f>IF(OR($L$1="",对接源_01水果!$C500="",对接源_01水果!$C500&lt;&gt;$L$1,对接源_01水果!$B500=""),0,IF(OR(N(对接源_01水果!$B500)&lt;$L$2,N(对接源_01水果!$B500)&gt;$L$3),0,1))</f>
        <v>0</v>
      </c>
      <c r="M500" s="3">
        <f>IF(OR($M$1="",对接源_01水果!$C500="",对接源_01水果!$C500&lt;&gt;$M$1,对接源_01水果!$B500=""),0,IF(OR(N(对接源_01水果!$B500)&lt;$M$2,N(对接源_01水果!$B500)&gt;$M$3),0,1))</f>
        <v>0</v>
      </c>
      <c r="N500" s="3">
        <f>IF(OR($N$1="",对接源_01水果!$C500="",对接源_01水果!$C500&lt;&gt;$N$1,对接源_01水果!$B500=""),0,IF(OR(N(对接源_01水果!$B500)&lt;$N$2,N(对接源_01水果!$B500)&gt;$N$3),0,1))</f>
        <v>0</v>
      </c>
      <c r="P500" s="3">
        <f>IF(AND($K500=1,AND(对接源_01水果!$X500="公司筐",N(对接源_01水果!$T500)&lt;&gt;0)),1,0)</f>
        <v>0</v>
      </c>
      <c r="Q500" s="3">
        <f t="shared" si="130"/>
        <v>0</v>
      </c>
      <c r="R500" s="3">
        <f>IF(AND($K500=1,AND(对接源_01水果!$X500="公司筐",N(对接源_01水果!$U500)&lt;&gt;0)),1,0)</f>
        <v>0</v>
      </c>
      <c r="S500" s="3">
        <f t="shared" si="131"/>
        <v>0</v>
      </c>
      <c r="T500" s="3">
        <f>IF(AND($K500=1,AND(对接源_01水果!$X500="公司筐",N(对接源_01水果!$V500)&lt;&gt;0)),1,0)</f>
        <v>0</v>
      </c>
      <c r="U500" s="3">
        <f t="shared" si="132"/>
        <v>19</v>
      </c>
      <c r="V500" s="3">
        <f>IF(AND($L500=1,AND(对接源_01水果!$X500="自备筐",N(对接源_01水果!$V500)&lt;&gt;0)),1,0)</f>
        <v>0</v>
      </c>
      <c r="W500" s="3">
        <f t="shared" si="133"/>
        <v>8</v>
      </c>
      <c r="X500" s="3">
        <f>IF(AND($L500=1,AND(对接源_01水果!$X500="自备筐",N(对接源_01水果!$T500)&lt;&gt;0)),1,0)</f>
        <v>0</v>
      </c>
      <c r="Y500" s="3">
        <f t="shared" si="134"/>
        <v>0</v>
      </c>
      <c r="Z500" s="3">
        <f>IF(AND($M500=1,对接源_01水果!$D500="原料入库"),1,0)</f>
        <v>0</v>
      </c>
      <c r="AA500" s="3">
        <f t="shared" si="135"/>
        <v>24</v>
      </c>
      <c r="AB500" s="3">
        <f>IF(AND($M500=1,LEFT(对接源_01水果!$D500,4)="原料出库"),1,0)</f>
        <v>0</v>
      </c>
      <c r="AC500" s="3">
        <f t="shared" si="136"/>
        <v>0</v>
      </c>
      <c r="AD500" s="3">
        <f>IF(AND($M500=1,LEFT(对接源_01水果!$D500,4)="成品出库"),1,0)</f>
        <v>0</v>
      </c>
      <c r="AE500" s="3">
        <f t="shared" si="137"/>
        <v>0</v>
      </c>
      <c r="AF500" s="3">
        <f>IF(AND($N500=1,AND(LEFT(对接源_01水果!$D500,4)="包装物料",N(对接源_01水果!$K500)&lt;&gt;0)),1,0)</f>
        <v>0</v>
      </c>
      <c r="AG500" s="3">
        <f t="shared" si="138"/>
        <v>0</v>
      </c>
      <c r="AH500" s="3">
        <f>IF(AND($N500=1,AND(对接源_01水果!$D500="周转筐－销售出库",N(对接源_01水果!$K500)&lt;&gt;0)),1,0)</f>
        <v>0</v>
      </c>
      <c r="AI500" s="3">
        <f t="shared" si="139"/>
        <v>0</v>
      </c>
      <c r="AJ500" s="7"/>
      <c r="AL500" s="3">
        <f>IF(OR($AL$1="",对接源_01水果!$Y500="",对接源_01水果!$Y500&lt;&gt;$AL$1,对接源_01水果!$B500="",N(对接源_01水果!$AJ500)&lt;=0),0,IF(OR(N(对接源_01水果!$B500)&lt;$AL$2,N(对接源_01水果!$B500)&gt;$AL$3),0,1))</f>
        <v>0</v>
      </c>
      <c r="AM500" s="3">
        <f t="shared" si="140"/>
        <v>1</v>
      </c>
      <c r="AN500" s="3" t="str">
        <f>IF(对接源_01水果!$AC500="","",对接源_01水果!$AC500)</f>
        <v/>
      </c>
      <c r="AO500" s="3">
        <f t="shared" si="141"/>
        <v>0</v>
      </c>
      <c r="AP500" s="3">
        <f t="shared" si="142"/>
        <v>8</v>
      </c>
      <c r="AR500">
        <f t="shared" si="143"/>
        <v>0</v>
      </c>
      <c r="AS500">
        <f t="shared" si="144"/>
        <v>0</v>
      </c>
    </row>
    <row r="501" ht="14.25" customHeight="1" spans="1:45">
      <c r="A501" s="3" t="str">
        <f>IF(对接源_01水果!$C501="","",对接源_01水果!$C501)</f>
        <v/>
      </c>
      <c r="B501" s="3">
        <f t="shared" si="128"/>
        <v>0</v>
      </c>
      <c r="C501" s="3">
        <f t="shared" si="129"/>
        <v>18</v>
      </c>
      <c r="K501" s="3">
        <f>IF(OR($K$1="",对接源_01水果!$C501="",对接源_01水果!$C501&lt;&gt;$K$1,对接源_01水果!$B501=""),0,IF(OR(N(对接源_01水果!$B501)&lt;$K$2,N(对接源_01水果!$B501)&gt;$K$3),0,1))</f>
        <v>0</v>
      </c>
      <c r="L501" s="3">
        <f>IF(OR($L$1="",对接源_01水果!$C501="",对接源_01水果!$C501&lt;&gt;$L$1,对接源_01水果!$B501=""),0,IF(OR(N(对接源_01水果!$B501)&lt;$L$2,N(对接源_01水果!$B501)&gt;$L$3),0,1))</f>
        <v>0</v>
      </c>
      <c r="M501" s="3">
        <f>IF(OR($M$1="",对接源_01水果!$C501="",对接源_01水果!$C501&lt;&gt;$M$1,对接源_01水果!$B501=""),0,IF(OR(N(对接源_01水果!$B501)&lt;$M$2,N(对接源_01水果!$B501)&gt;$M$3),0,1))</f>
        <v>0</v>
      </c>
      <c r="N501" s="3">
        <f>IF(OR($N$1="",对接源_01水果!$C501="",对接源_01水果!$C501&lt;&gt;$N$1,对接源_01水果!$B501=""),0,IF(OR(N(对接源_01水果!$B501)&lt;$N$2,N(对接源_01水果!$B501)&gt;$N$3),0,1))</f>
        <v>0</v>
      </c>
      <c r="P501" s="3">
        <f>IF(AND($K501=1,AND(对接源_01水果!$X501="公司筐",N(对接源_01水果!$T501)&lt;&gt;0)),1,0)</f>
        <v>0</v>
      </c>
      <c r="Q501" s="3">
        <f t="shared" si="130"/>
        <v>0</v>
      </c>
      <c r="R501" s="3">
        <f>IF(AND($K501=1,AND(对接源_01水果!$X501="公司筐",N(对接源_01水果!$U501)&lt;&gt;0)),1,0)</f>
        <v>0</v>
      </c>
      <c r="S501" s="3">
        <f t="shared" si="131"/>
        <v>0</v>
      </c>
      <c r="T501" s="3">
        <f>IF(AND($K501=1,AND(对接源_01水果!$X501="公司筐",N(对接源_01水果!$V501)&lt;&gt;0)),1,0)</f>
        <v>0</v>
      </c>
      <c r="U501" s="3">
        <f t="shared" si="132"/>
        <v>19</v>
      </c>
      <c r="V501" s="3">
        <f>IF(AND($L501=1,AND(对接源_01水果!$X501="自备筐",N(对接源_01水果!$V501)&lt;&gt;0)),1,0)</f>
        <v>0</v>
      </c>
      <c r="W501" s="3">
        <f t="shared" si="133"/>
        <v>8</v>
      </c>
      <c r="X501" s="3">
        <f>IF(AND($L501=1,AND(对接源_01水果!$X501="自备筐",N(对接源_01水果!$T501)&lt;&gt;0)),1,0)</f>
        <v>0</v>
      </c>
      <c r="Y501" s="3">
        <f t="shared" si="134"/>
        <v>0</v>
      </c>
      <c r="Z501" s="3">
        <f>IF(AND($M501=1,对接源_01水果!$D501="原料入库"),1,0)</f>
        <v>0</v>
      </c>
      <c r="AA501" s="3">
        <f t="shared" si="135"/>
        <v>24</v>
      </c>
      <c r="AB501" s="3">
        <f>IF(AND($M501=1,LEFT(对接源_01水果!$D501,4)="原料出库"),1,0)</f>
        <v>0</v>
      </c>
      <c r="AC501" s="3">
        <f t="shared" si="136"/>
        <v>0</v>
      </c>
      <c r="AD501" s="3">
        <f>IF(AND($M501=1,LEFT(对接源_01水果!$D501,4)="成品出库"),1,0)</f>
        <v>0</v>
      </c>
      <c r="AE501" s="3">
        <f t="shared" si="137"/>
        <v>0</v>
      </c>
      <c r="AF501" s="3">
        <f>IF(AND($N501=1,AND(LEFT(对接源_01水果!$D501,4)="包装物料",N(对接源_01水果!$K501)&lt;&gt;0)),1,0)</f>
        <v>0</v>
      </c>
      <c r="AG501" s="3">
        <f t="shared" si="138"/>
        <v>0</v>
      </c>
      <c r="AH501" s="3">
        <f>IF(AND($N501=1,AND(对接源_01水果!$D501="周转筐－销售出库",N(对接源_01水果!$K501)&lt;&gt;0)),1,0)</f>
        <v>0</v>
      </c>
      <c r="AI501" s="3">
        <f t="shared" si="139"/>
        <v>0</v>
      </c>
      <c r="AJ501" s="7"/>
      <c r="AL501" s="3">
        <f>IF(OR($AL$1="",对接源_01水果!$Y501="",对接源_01水果!$Y501&lt;&gt;$AL$1,对接源_01水果!$B501="",N(对接源_01水果!$AJ501)&lt;=0),0,IF(OR(N(对接源_01水果!$B501)&lt;$AL$2,N(对接源_01水果!$B501)&gt;$AL$3),0,1))</f>
        <v>0</v>
      </c>
      <c r="AM501" s="3">
        <f t="shared" si="140"/>
        <v>1</v>
      </c>
      <c r="AN501" s="3" t="str">
        <f>IF(对接源_01水果!$AC501="","",对接源_01水果!$AC501)</f>
        <v/>
      </c>
      <c r="AO501" s="3">
        <f t="shared" si="141"/>
        <v>0</v>
      </c>
      <c r="AP501" s="3">
        <f t="shared" si="142"/>
        <v>8</v>
      </c>
      <c r="AR501">
        <f t="shared" si="143"/>
        <v>0</v>
      </c>
      <c r="AS501">
        <f t="shared" si="144"/>
        <v>0</v>
      </c>
    </row>
    <row r="502" ht="14.25" customHeight="1" spans="1:45">
      <c r="A502" s="3" t="str">
        <f>IF(对接源_01水果!$C502="","",对接源_01水果!$C502)</f>
        <v/>
      </c>
      <c r="B502" s="3">
        <f t="shared" si="128"/>
        <v>0</v>
      </c>
      <c r="C502" s="3">
        <f t="shared" si="129"/>
        <v>18</v>
      </c>
      <c r="K502" s="3">
        <f>IF(OR($K$1="",对接源_01水果!$C502="",对接源_01水果!$C502&lt;&gt;$K$1,对接源_01水果!$B502=""),0,IF(OR(N(对接源_01水果!$B502)&lt;$K$2,N(对接源_01水果!$B502)&gt;$K$3),0,1))</f>
        <v>0</v>
      </c>
      <c r="L502" s="3">
        <f>IF(OR($L$1="",对接源_01水果!$C502="",对接源_01水果!$C502&lt;&gt;$L$1,对接源_01水果!$B502=""),0,IF(OR(N(对接源_01水果!$B502)&lt;$L$2,N(对接源_01水果!$B502)&gt;$L$3),0,1))</f>
        <v>0</v>
      </c>
      <c r="M502" s="3">
        <f>IF(OR($M$1="",对接源_01水果!$C502="",对接源_01水果!$C502&lt;&gt;$M$1,对接源_01水果!$B502=""),0,IF(OR(N(对接源_01水果!$B502)&lt;$M$2,N(对接源_01水果!$B502)&gt;$M$3),0,1))</f>
        <v>0</v>
      </c>
      <c r="N502" s="3">
        <f>IF(OR($N$1="",对接源_01水果!$C502="",对接源_01水果!$C502&lt;&gt;$N$1,对接源_01水果!$B502=""),0,IF(OR(N(对接源_01水果!$B502)&lt;$N$2,N(对接源_01水果!$B502)&gt;$N$3),0,1))</f>
        <v>0</v>
      </c>
      <c r="P502" s="3">
        <f>IF(AND($K502=1,AND(对接源_01水果!$X502="公司筐",N(对接源_01水果!$T502)&lt;&gt;0)),1,0)</f>
        <v>0</v>
      </c>
      <c r="Q502" s="3">
        <f t="shared" si="130"/>
        <v>0</v>
      </c>
      <c r="R502" s="3">
        <f>IF(AND($K502=1,AND(对接源_01水果!$X502="公司筐",N(对接源_01水果!$U502)&lt;&gt;0)),1,0)</f>
        <v>0</v>
      </c>
      <c r="S502" s="3">
        <f t="shared" si="131"/>
        <v>0</v>
      </c>
      <c r="T502" s="3">
        <f>IF(AND($K502=1,AND(对接源_01水果!$X502="公司筐",N(对接源_01水果!$V502)&lt;&gt;0)),1,0)</f>
        <v>0</v>
      </c>
      <c r="U502" s="3">
        <f t="shared" si="132"/>
        <v>19</v>
      </c>
      <c r="V502" s="3">
        <f>IF(AND($L502=1,AND(对接源_01水果!$X502="自备筐",N(对接源_01水果!$V502)&lt;&gt;0)),1,0)</f>
        <v>0</v>
      </c>
      <c r="W502" s="3">
        <f t="shared" si="133"/>
        <v>8</v>
      </c>
      <c r="X502" s="3">
        <f>IF(AND($L502=1,AND(对接源_01水果!$X502="自备筐",N(对接源_01水果!$T502)&lt;&gt;0)),1,0)</f>
        <v>0</v>
      </c>
      <c r="Y502" s="3">
        <f t="shared" si="134"/>
        <v>0</v>
      </c>
      <c r="Z502" s="3">
        <f>IF(AND($M502=1,对接源_01水果!$D502="原料入库"),1,0)</f>
        <v>0</v>
      </c>
      <c r="AA502" s="3">
        <f t="shared" si="135"/>
        <v>24</v>
      </c>
      <c r="AB502" s="3">
        <f>IF(AND($M502=1,LEFT(对接源_01水果!$D502,4)="原料出库"),1,0)</f>
        <v>0</v>
      </c>
      <c r="AC502" s="3">
        <f t="shared" si="136"/>
        <v>0</v>
      </c>
      <c r="AD502" s="3">
        <f>IF(AND($M502=1,LEFT(对接源_01水果!$D502,4)="成品出库"),1,0)</f>
        <v>0</v>
      </c>
      <c r="AE502" s="3">
        <f t="shared" si="137"/>
        <v>0</v>
      </c>
      <c r="AF502" s="3">
        <f>IF(AND($N502=1,AND(LEFT(对接源_01水果!$D502,4)="包装物料",N(对接源_01水果!$K502)&lt;&gt;0)),1,0)</f>
        <v>0</v>
      </c>
      <c r="AG502" s="3">
        <f t="shared" si="138"/>
        <v>0</v>
      </c>
      <c r="AH502" s="3">
        <f>IF(AND($N502=1,AND(对接源_01水果!$D502="周转筐－销售出库",N(对接源_01水果!$K502)&lt;&gt;0)),1,0)</f>
        <v>0</v>
      </c>
      <c r="AI502" s="3">
        <f t="shared" si="139"/>
        <v>0</v>
      </c>
      <c r="AJ502" s="7"/>
      <c r="AL502" s="3">
        <f>IF(OR($AL$1="",对接源_01水果!$Y502="",对接源_01水果!$Y502&lt;&gt;$AL$1,对接源_01水果!$B502="",N(对接源_01水果!$AJ502)&lt;=0),0,IF(OR(N(对接源_01水果!$B502)&lt;$AL$2,N(对接源_01水果!$B502)&gt;$AL$3),0,1))</f>
        <v>0</v>
      </c>
      <c r="AM502" s="3">
        <f t="shared" si="140"/>
        <v>1</v>
      </c>
      <c r="AN502" s="3" t="str">
        <f>IF(对接源_01水果!$AC502="","",对接源_01水果!$AC502)</f>
        <v/>
      </c>
      <c r="AO502" s="3">
        <f t="shared" si="141"/>
        <v>0</v>
      </c>
      <c r="AP502" s="3">
        <f t="shared" si="142"/>
        <v>8</v>
      </c>
      <c r="AR502">
        <f t="shared" si="143"/>
        <v>0</v>
      </c>
      <c r="AS502">
        <f t="shared" si="144"/>
        <v>0</v>
      </c>
    </row>
    <row r="503" ht="14.25" customHeight="1" spans="1:45">
      <c r="A503" s="3" t="str">
        <f>IF(对接源_01水果!$C503="","",对接源_01水果!$C503)</f>
        <v/>
      </c>
      <c r="B503" s="3">
        <f t="shared" si="128"/>
        <v>0</v>
      </c>
      <c r="C503" s="3">
        <f t="shared" si="129"/>
        <v>18</v>
      </c>
      <c r="K503" s="3">
        <f>IF(OR($K$1="",对接源_01水果!$C503="",对接源_01水果!$C503&lt;&gt;$K$1,对接源_01水果!$B503=""),0,IF(OR(N(对接源_01水果!$B503)&lt;$K$2,N(对接源_01水果!$B503)&gt;$K$3),0,1))</f>
        <v>0</v>
      </c>
      <c r="L503" s="3">
        <f>IF(OR($L$1="",对接源_01水果!$C503="",对接源_01水果!$C503&lt;&gt;$L$1,对接源_01水果!$B503=""),0,IF(OR(N(对接源_01水果!$B503)&lt;$L$2,N(对接源_01水果!$B503)&gt;$L$3),0,1))</f>
        <v>0</v>
      </c>
      <c r="M503" s="3">
        <f>IF(OR($M$1="",对接源_01水果!$C503="",对接源_01水果!$C503&lt;&gt;$M$1,对接源_01水果!$B503=""),0,IF(OR(N(对接源_01水果!$B503)&lt;$M$2,N(对接源_01水果!$B503)&gt;$M$3),0,1))</f>
        <v>0</v>
      </c>
      <c r="N503" s="3">
        <f>IF(OR($N$1="",对接源_01水果!$C503="",对接源_01水果!$C503&lt;&gt;$N$1,对接源_01水果!$B503=""),0,IF(OR(N(对接源_01水果!$B503)&lt;$N$2,N(对接源_01水果!$B503)&gt;$N$3),0,1))</f>
        <v>0</v>
      </c>
      <c r="P503" s="3">
        <f>IF(AND($K503=1,AND(对接源_01水果!$X503="公司筐",N(对接源_01水果!$T503)&lt;&gt;0)),1,0)</f>
        <v>0</v>
      </c>
      <c r="Q503" s="3">
        <f t="shared" si="130"/>
        <v>0</v>
      </c>
      <c r="R503" s="3">
        <f>IF(AND($K503=1,AND(对接源_01水果!$X503="公司筐",N(对接源_01水果!$U503)&lt;&gt;0)),1,0)</f>
        <v>0</v>
      </c>
      <c r="S503" s="3">
        <f t="shared" si="131"/>
        <v>0</v>
      </c>
      <c r="T503" s="3">
        <f>IF(AND($K503=1,AND(对接源_01水果!$X503="公司筐",N(对接源_01水果!$V503)&lt;&gt;0)),1,0)</f>
        <v>0</v>
      </c>
      <c r="U503" s="3">
        <f t="shared" si="132"/>
        <v>19</v>
      </c>
      <c r="V503" s="3">
        <f>IF(AND($L503=1,AND(对接源_01水果!$X503="自备筐",N(对接源_01水果!$V503)&lt;&gt;0)),1,0)</f>
        <v>0</v>
      </c>
      <c r="W503" s="3">
        <f t="shared" si="133"/>
        <v>8</v>
      </c>
      <c r="X503" s="3">
        <f>IF(AND($L503=1,AND(对接源_01水果!$X503="自备筐",N(对接源_01水果!$T503)&lt;&gt;0)),1,0)</f>
        <v>0</v>
      </c>
      <c r="Y503" s="3">
        <f t="shared" si="134"/>
        <v>0</v>
      </c>
      <c r="Z503" s="3">
        <f>IF(AND($M503=1,对接源_01水果!$D503="原料入库"),1,0)</f>
        <v>0</v>
      </c>
      <c r="AA503" s="3">
        <f t="shared" si="135"/>
        <v>24</v>
      </c>
      <c r="AB503" s="3">
        <f>IF(AND($M503=1,LEFT(对接源_01水果!$D503,4)="原料出库"),1,0)</f>
        <v>0</v>
      </c>
      <c r="AC503" s="3">
        <f t="shared" si="136"/>
        <v>0</v>
      </c>
      <c r="AD503" s="3">
        <f>IF(AND($M503=1,LEFT(对接源_01水果!$D503,4)="成品出库"),1,0)</f>
        <v>0</v>
      </c>
      <c r="AE503" s="3">
        <f t="shared" si="137"/>
        <v>0</v>
      </c>
      <c r="AF503" s="3">
        <f>IF(AND($N503=1,AND(LEFT(对接源_01水果!$D503,4)="包装物料",N(对接源_01水果!$K503)&lt;&gt;0)),1,0)</f>
        <v>0</v>
      </c>
      <c r="AG503" s="3">
        <f t="shared" si="138"/>
        <v>0</v>
      </c>
      <c r="AH503" s="3">
        <f>IF(AND($N503=1,AND(对接源_01水果!$D503="周转筐－销售出库",N(对接源_01水果!$K503)&lt;&gt;0)),1,0)</f>
        <v>0</v>
      </c>
      <c r="AI503" s="3">
        <f t="shared" si="139"/>
        <v>0</v>
      </c>
      <c r="AJ503" s="7"/>
      <c r="AL503" s="3">
        <f>IF(OR($AL$1="",对接源_01水果!$Y503="",对接源_01水果!$Y503&lt;&gt;$AL$1,对接源_01水果!$B503="",N(对接源_01水果!$AJ503)&lt;=0),0,IF(OR(N(对接源_01水果!$B503)&lt;$AL$2,N(对接源_01水果!$B503)&gt;$AL$3),0,1))</f>
        <v>0</v>
      </c>
      <c r="AM503" s="3">
        <f t="shared" si="140"/>
        <v>1</v>
      </c>
      <c r="AN503" s="3" t="str">
        <f>IF(对接源_01水果!$AC503="","",对接源_01水果!$AC503)</f>
        <v/>
      </c>
      <c r="AO503" s="3">
        <f t="shared" si="141"/>
        <v>0</v>
      </c>
      <c r="AP503" s="3">
        <f t="shared" si="142"/>
        <v>8</v>
      </c>
      <c r="AR503">
        <f t="shared" si="143"/>
        <v>0</v>
      </c>
      <c r="AS503">
        <f t="shared" si="144"/>
        <v>0</v>
      </c>
    </row>
    <row r="504" ht="14.25" customHeight="1" spans="1:45">
      <c r="A504" s="3" t="str">
        <f>IF(对接源_01水果!$C504="","",对接源_01水果!$C504)</f>
        <v/>
      </c>
      <c r="B504" s="3">
        <f t="shared" si="128"/>
        <v>0</v>
      </c>
      <c r="C504" s="3">
        <f t="shared" si="129"/>
        <v>18</v>
      </c>
      <c r="K504" s="3">
        <f>IF(OR($K$1="",对接源_01水果!$C504="",对接源_01水果!$C504&lt;&gt;$K$1,对接源_01水果!$B504=""),0,IF(OR(N(对接源_01水果!$B504)&lt;$K$2,N(对接源_01水果!$B504)&gt;$K$3),0,1))</f>
        <v>0</v>
      </c>
      <c r="L504" s="3">
        <f>IF(OR($L$1="",对接源_01水果!$C504="",对接源_01水果!$C504&lt;&gt;$L$1,对接源_01水果!$B504=""),0,IF(OR(N(对接源_01水果!$B504)&lt;$L$2,N(对接源_01水果!$B504)&gt;$L$3),0,1))</f>
        <v>0</v>
      </c>
      <c r="M504" s="3">
        <f>IF(OR($M$1="",对接源_01水果!$C504="",对接源_01水果!$C504&lt;&gt;$M$1,对接源_01水果!$B504=""),0,IF(OR(N(对接源_01水果!$B504)&lt;$M$2,N(对接源_01水果!$B504)&gt;$M$3),0,1))</f>
        <v>0</v>
      </c>
      <c r="N504" s="3">
        <f>IF(OR($N$1="",对接源_01水果!$C504="",对接源_01水果!$C504&lt;&gt;$N$1,对接源_01水果!$B504=""),0,IF(OR(N(对接源_01水果!$B504)&lt;$N$2,N(对接源_01水果!$B504)&gt;$N$3),0,1))</f>
        <v>0</v>
      </c>
      <c r="P504" s="3">
        <f>IF(AND($K504=1,AND(对接源_01水果!$X504="公司筐",N(对接源_01水果!$T504)&lt;&gt;0)),1,0)</f>
        <v>0</v>
      </c>
      <c r="Q504" s="3">
        <f t="shared" si="130"/>
        <v>0</v>
      </c>
      <c r="R504" s="3">
        <f>IF(AND($K504=1,AND(对接源_01水果!$X504="公司筐",N(对接源_01水果!$U504)&lt;&gt;0)),1,0)</f>
        <v>0</v>
      </c>
      <c r="S504" s="3">
        <f t="shared" si="131"/>
        <v>0</v>
      </c>
      <c r="T504" s="3">
        <f>IF(AND($K504=1,AND(对接源_01水果!$X504="公司筐",N(对接源_01水果!$V504)&lt;&gt;0)),1,0)</f>
        <v>0</v>
      </c>
      <c r="U504" s="3">
        <f t="shared" si="132"/>
        <v>19</v>
      </c>
      <c r="V504" s="3">
        <f>IF(AND($L504=1,AND(对接源_01水果!$X504="自备筐",N(对接源_01水果!$V504)&lt;&gt;0)),1,0)</f>
        <v>0</v>
      </c>
      <c r="W504" s="3">
        <f t="shared" si="133"/>
        <v>8</v>
      </c>
      <c r="X504" s="3">
        <f>IF(AND($L504=1,AND(对接源_01水果!$X504="自备筐",N(对接源_01水果!$T504)&lt;&gt;0)),1,0)</f>
        <v>0</v>
      </c>
      <c r="Y504" s="3">
        <f t="shared" si="134"/>
        <v>0</v>
      </c>
      <c r="Z504" s="3">
        <f>IF(AND($M504=1,对接源_01水果!$D504="原料入库"),1,0)</f>
        <v>0</v>
      </c>
      <c r="AA504" s="3">
        <f t="shared" si="135"/>
        <v>24</v>
      </c>
      <c r="AB504" s="3">
        <f>IF(AND($M504=1,LEFT(对接源_01水果!$D504,4)="原料出库"),1,0)</f>
        <v>0</v>
      </c>
      <c r="AC504" s="3">
        <f t="shared" si="136"/>
        <v>0</v>
      </c>
      <c r="AD504" s="3">
        <f>IF(AND($M504=1,LEFT(对接源_01水果!$D504,4)="成品出库"),1,0)</f>
        <v>0</v>
      </c>
      <c r="AE504" s="3">
        <f t="shared" si="137"/>
        <v>0</v>
      </c>
      <c r="AF504" s="3">
        <f>IF(AND($N504=1,AND(LEFT(对接源_01水果!$D504,4)="包装物料",N(对接源_01水果!$K504)&lt;&gt;0)),1,0)</f>
        <v>0</v>
      </c>
      <c r="AG504" s="3">
        <f t="shared" si="138"/>
        <v>0</v>
      </c>
      <c r="AH504" s="3">
        <f>IF(AND($N504=1,AND(对接源_01水果!$D504="周转筐－销售出库",N(对接源_01水果!$K504)&lt;&gt;0)),1,0)</f>
        <v>0</v>
      </c>
      <c r="AI504" s="3">
        <f t="shared" si="139"/>
        <v>0</v>
      </c>
      <c r="AJ504" s="7"/>
      <c r="AL504" s="3">
        <f>IF(OR($AL$1="",对接源_01水果!$Y504="",对接源_01水果!$Y504&lt;&gt;$AL$1,对接源_01水果!$B504="",N(对接源_01水果!$AJ504)&lt;=0),0,IF(OR(N(对接源_01水果!$B504)&lt;$AL$2,N(对接源_01水果!$B504)&gt;$AL$3),0,1))</f>
        <v>0</v>
      </c>
      <c r="AM504" s="3">
        <f t="shared" si="140"/>
        <v>1</v>
      </c>
      <c r="AN504" s="3" t="str">
        <f>IF(对接源_01水果!$AC504="","",对接源_01水果!$AC504)</f>
        <v/>
      </c>
      <c r="AO504" s="3">
        <f t="shared" si="141"/>
        <v>0</v>
      </c>
      <c r="AP504" s="3">
        <f t="shared" si="142"/>
        <v>8</v>
      </c>
      <c r="AR504">
        <f t="shared" si="143"/>
        <v>0</v>
      </c>
      <c r="AS504">
        <f t="shared" si="144"/>
        <v>0</v>
      </c>
    </row>
    <row r="505" ht="14.25" customHeight="1" spans="1:45">
      <c r="A505" s="3" t="str">
        <f>IF(对接源_01水果!$C505="","",对接源_01水果!$C505)</f>
        <v/>
      </c>
      <c r="B505" s="3">
        <f t="shared" si="128"/>
        <v>0</v>
      </c>
      <c r="C505" s="3">
        <f t="shared" si="129"/>
        <v>18</v>
      </c>
      <c r="K505" s="3">
        <f>IF(OR($K$1="",对接源_01水果!$C505="",对接源_01水果!$C505&lt;&gt;$K$1,对接源_01水果!$B505=""),0,IF(OR(N(对接源_01水果!$B505)&lt;$K$2,N(对接源_01水果!$B505)&gt;$K$3),0,1))</f>
        <v>0</v>
      </c>
      <c r="L505" s="3">
        <f>IF(OR($L$1="",对接源_01水果!$C505="",对接源_01水果!$C505&lt;&gt;$L$1,对接源_01水果!$B505=""),0,IF(OR(N(对接源_01水果!$B505)&lt;$L$2,N(对接源_01水果!$B505)&gt;$L$3),0,1))</f>
        <v>0</v>
      </c>
      <c r="M505" s="3">
        <f>IF(OR($M$1="",对接源_01水果!$C505="",对接源_01水果!$C505&lt;&gt;$M$1,对接源_01水果!$B505=""),0,IF(OR(N(对接源_01水果!$B505)&lt;$M$2,N(对接源_01水果!$B505)&gt;$M$3),0,1))</f>
        <v>0</v>
      </c>
      <c r="N505" s="3">
        <f>IF(OR($N$1="",对接源_01水果!$C505="",对接源_01水果!$C505&lt;&gt;$N$1,对接源_01水果!$B505=""),0,IF(OR(N(对接源_01水果!$B505)&lt;$N$2,N(对接源_01水果!$B505)&gt;$N$3),0,1))</f>
        <v>0</v>
      </c>
      <c r="P505" s="3">
        <f>IF(AND($K505=1,AND(对接源_01水果!$X505="公司筐",N(对接源_01水果!$T505)&lt;&gt;0)),1,0)</f>
        <v>0</v>
      </c>
      <c r="Q505" s="3">
        <f t="shared" si="130"/>
        <v>0</v>
      </c>
      <c r="R505" s="3">
        <f>IF(AND($K505=1,AND(对接源_01水果!$X505="公司筐",N(对接源_01水果!$U505)&lt;&gt;0)),1,0)</f>
        <v>0</v>
      </c>
      <c r="S505" s="3">
        <f t="shared" si="131"/>
        <v>0</v>
      </c>
      <c r="T505" s="3">
        <f>IF(AND($K505=1,AND(对接源_01水果!$X505="公司筐",N(对接源_01水果!$V505)&lt;&gt;0)),1,0)</f>
        <v>0</v>
      </c>
      <c r="U505" s="3">
        <f t="shared" si="132"/>
        <v>19</v>
      </c>
      <c r="V505" s="3">
        <f>IF(AND($L505=1,AND(对接源_01水果!$X505="自备筐",N(对接源_01水果!$V505)&lt;&gt;0)),1,0)</f>
        <v>0</v>
      </c>
      <c r="W505" s="3">
        <f t="shared" si="133"/>
        <v>8</v>
      </c>
      <c r="X505" s="3">
        <f>IF(AND($L505=1,AND(对接源_01水果!$X505="自备筐",N(对接源_01水果!$T505)&lt;&gt;0)),1,0)</f>
        <v>0</v>
      </c>
      <c r="Y505" s="3">
        <f t="shared" si="134"/>
        <v>0</v>
      </c>
      <c r="Z505" s="3">
        <f>IF(AND($M505=1,对接源_01水果!$D505="原料入库"),1,0)</f>
        <v>0</v>
      </c>
      <c r="AA505" s="3">
        <f t="shared" si="135"/>
        <v>24</v>
      </c>
      <c r="AB505" s="3">
        <f>IF(AND($M505=1,LEFT(对接源_01水果!$D505,4)="原料出库"),1,0)</f>
        <v>0</v>
      </c>
      <c r="AC505" s="3">
        <f t="shared" si="136"/>
        <v>0</v>
      </c>
      <c r="AD505" s="3">
        <f>IF(AND($M505=1,LEFT(对接源_01水果!$D505,4)="成品出库"),1,0)</f>
        <v>0</v>
      </c>
      <c r="AE505" s="3">
        <f t="shared" si="137"/>
        <v>0</v>
      </c>
      <c r="AF505" s="3">
        <f>IF(AND($N505=1,AND(LEFT(对接源_01水果!$D505,4)="包装物料",N(对接源_01水果!$K505)&lt;&gt;0)),1,0)</f>
        <v>0</v>
      </c>
      <c r="AG505" s="3">
        <f t="shared" si="138"/>
        <v>0</v>
      </c>
      <c r="AH505" s="3">
        <f>IF(AND($N505=1,AND(对接源_01水果!$D505="周转筐－销售出库",N(对接源_01水果!$K505)&lt;&gt;0)),1,0)</f>
        <v>0</v>
      </c>
      <c r="AI505" s="3">
        <f t="shared" si="139"/>
        <v>0</v>
      </c>
      <c r="AJ505" s="7"/>
      <c r="AL505" s="3">
        <f>IF(OR($AL$1="",对接源_01水果!$Y505="",对接源_01水果!$Y505&lt;&gt;$AL$1,对接源_01水果!$B505="",N(对接源_01水果!$AJ505)&lt;=0),0,IF(OR(N(对接源_01水果!$B505)&lt;$AL$2,N(对接源_01水果!$B505)&gt;$AL$3),0,1))</f>
        <v>0</v>
      </c>
      <c r="AM505" s="3">
        <f t="shared" si="140"/>
        <v>1</v>
      </c>
      <c r="AN505" s="3" t="str">
        <f>IF(对接源_01水果!$AC505="","",对接源_01水果!$AC505)</f>
        <v/>
      </c>
      <c r="AO505" s="3">
        <f t="shared" si="141"/>
        <v>0</v>
      </c>
      <c r="AP505" s="3">
        <f t="shared" si="142"/>
        <v>8</v>
      </c>
      <c r="AR505">
        <f t="shared" si="143"/>
        <v>0</v>
      </c>
      <c r="AS505">
        <f t="shared" si="144"/>
        <v>0</v>
      </c>
    </row>
    <row r="506" ht="14.25" customHeight="1" spans="1:45">
      <c r="A506" s="3" t="str">
        <f>IF(对接源_01水果!$C506="","",对接源_01水果!$C506)</f>
        <v/>
      </c>
      <c r="B506" s="3">
        <f t="shared" si="128"/>
        <v>0</v>
      </c>
      <c r="C506" s="3">
        <f t="shared" si="129"/>
        <v>18</v>
      </c>
      <c r="K506" s="3">
        <f>IF(OR($K$1="",对接源_01水果!$C506="",对接源_01水果!$C506&lt;&gt;$K$1,对接源_01水果!$B506=""),0,IF(OR(N(对接源_01水果!$B506)&lt;$K$2,N(对接源_01水果!$B506)&gt;$K$3),0,1))</f>
        <v>0</v>
      </c>
      <c r="L506" s="3">
        <f>IF(OR($L$1="",对接源_01水果!$C506="",对接源_01水果!$C506&lt;&gt;$L$1,对接源_01水果!$B506=""),0,IF(OR(N(对接源_01水果!$B506)&lt;$L$2,N(对接源_01水果!$B506)&gt;$L$3),0,1))</f>
        <v>0</v>
      </c>
      <c r="M506" s="3">
        <f>IF(OR($M$1="",对接源_01水果!$C506="",对接源_01水果!$C506&lt;&gt;$M$1,对接源_01水果!$B506=""),0,IF(OR(N(对接源_01水果!$B506)&lt;$M$2,N(对接源_01水果!$B506)&gt;$M$3),0,1))</f>
        <v>0</v>
      </c>
      <c r="N506" s="3">
        <f>IF(OR($N$1="",对接源_01水果!$C506="",对接源_01水果!$C506&lt;&gt;$N$1,对接源_01水果!$B506=""),0,IF(OR(N(对接源_01水果!$B506)&lt;$N$2,N(对接源_01水果!$B506)&gt;$N$3),0,1))</f>
        <v>0</v>
      </c>
      <c r="P506" s="3">
        <f>IF(AND($K506=1,AND(对接源_01水果!$X506="公司筐",N(对接源_01水果!$T506)&lt;&gt;0)),1,0)</f>
        <v>0</v>
      </c>
      <c r="Q506" s="3">
        <f t="shared" si="130"/>
        <v>0</v>
      </c>
      <c r="R506" s="3">
        <f>IF(AND($K506=1,AND(对接源_01水果!$X506="公司筐",N(对接源_01水果!$U506)&lt;&gt;0)),1,0)</f>
        <v>0</v>
      </c>
      <c r="S506" s="3">
        <f t="shared" si="131"/>
        <v>0</v>
      </c>
      <c r="T506" s="3">
        <f>IF(AND($K506=1,AND(对接源_01水果!$X506="公司筐",N(对接源_01水果!$V506)&lt;&gt;0)),1,0)</f>
        <v>0</v>
      </c>
      <c r="U506" s="3">
        <f t="shared" si="132"/>
        <v>19</v>
      </c>
      <c r="V506" s="3">
        <f>IF(AND($L506=1,AND(对接源_01水果!$X506="自备筐",N(对接源_01水果!$V506)&lt;&gt;0)),1,0)</f>
        <v>0</v>
      </c>
      <c r="W506" s="3">
        <f t="shared" si="133"/>
        <v>8</v>
      </c>
      <c r="X506" s="3">
        <f>IF(AND($L506=1,AND(对接源_01水果!$X506="自备筐",N(对接源_01水果!$T506)&lt;&gt;0)),1,0)</f>
        <v>0</v>
      </c>
      <c r="Y506" s="3">
        <f t="shared" si="134"/>
        <v>0</v>
      </c>
      <c r="Z506" s="3">
        <f>IF(AND($M506=1,对接源_01水果!$D506="原料入库"),1,0)</f>
        <v>0</v>
      </c>
      <c r="AA506" s="3">
        <f t="shared" si="135"/>
        <v>24</v>
      </c>
      <c r="AB506" s="3">
        <f>IF(AND($M506=1,LEFT(对接源_01水果!$D506,4)="原料出库"),1,0)</f>
        <v>0</v>
      </c>
      <c r="AC506" s="3">
        <f t="shared" si="136"/>
        <v>0</v>
      </c>
      <c r="AD506" s="3">
        <f>IF(AND($M506=1,LEFT(对接源_01水果!$D506,4)="成品出库"),1,0)</f>
        <v>0</v>
      </c>
      <c r="AE506" s="3">
        <f t="shared" si="137"/>
        <v>0</v>
      </c>
      <c r="AF506" s="3">
        <f>IF(AND($N506=1,AND(LEFT(对接源_01水果!$D506,4)="包装物料",N(对接源_01水果!$K506)&lt;&gt;0)),1,0)</f>
        <v>0</v>
      </c>
      <c r="AG506" s="3">
        <f t="shared" si="138"/>
        <v>0</v>
      </c>
      <c r="AH506" s="3">
        <f>IF(AND($N506=1,AND(对接源_01水果!$D506="周转筐－销售出库",N(对接源_01水果!$K506)&lt;&gt;0)),1,0)</f>
        <v>0</v>
      </c>
      <c r="AI506" s="3">
        <f t="shared" si="139"/>
        <v>0</v>
      </c>
      <c r="AJ506" s="7"/>
      <c r="AL506" s="3">
        <f>IF(OR($AL$1="",对接源_01水果!$Y506="",对接源_01水果!$Y506&lt;&gt;$AL$1,对接源_01水果!$B506="",N(对接源_01水果!$AJ506)&lt;=0),0,IF(OR(N(对接源_01水果!$B506)&lt;$AL$2,N(对接源_01水果!$B506)&gt;$AL$3),0,1))</f>
        <v>0</v>
      </c>
      <c r="AM506" s="3">
        <f t="shared" si="140"/>
        <v>1</v>
      </c>
      <c r="AN506" s="3" t="str">
        <f>IF(对接源_01水果!$AC506="","",对接源_01水果!$AC506)</f>
        <v/>
      </c>
      <c r="AO506" s="3">
        <f t="shared" si="141"/>
        <v>0</v>
      </c>
      <c r="AP506" s="3">
        <f t="shared" si="142"/>
        <v>8</v>
      </c>
      <c r="AR506">
        <f t="shared" si="143"/>
        <v>0</v>
      </c>
      <c r="AS506">
        <f t="shared" si="144"/>
        <v>0</v>
      </c>
    </row>
    <row r="507" ht="14.25" customHeight="1" spans="1:45">
      <c r="A507" s="3" t="str">
        <f>IF(对接源_01水果!$C507="","",对接源_01水果!$C507)</f>
        <v/>
      </c>
      <c r="B507" s="3">
        <f t="shared" si="128"/>
        <v>0</v>
      </c>
      <c r="C507" s="3">
        <f t="shared" si="129"/>
        <v>18</v>
      </c>
      <c r="K507" s="3">
        <f>IF(OR($K$1="",对接源_01水果!$C507="",对接源_01水果!$C507&lt;&gt;$K$1,对接源_01水果!$B507=""),0,IF(OR(N(对接源_01水果!$B507)&lt;$K$2,N(对接源_01水果!$B507)&gt;$K$3),0,1))</f>
        <v>0</v>
      </c>
      <c r="L507" s="3">
        <f>IF(OR($L$1="",对接源_01水果!$C507="",对接源_01水果!$C507&lt;&gt;$L$1,对接源_01水果!$B507=""),0,IF(OR(N(对接源_01水果!$B507)&lt;$L$2,N(对接源_01水果!$B507)&gt;$L$3),0,1))</f>
        <v>0</v>
      </c>
      <c r="M507" s="3">
        <f>IF(OR($M$1="",对接源_01水果!$C507="",对接源_01水果!$C507&lt;&gt;$M$1,对接源_01水果!$B507=""),0,IF(OR(N(对接源_01水果!$B507)&lt;$M$2,N(对接源_01水果!$B507)&gt;$M$3),0,1))</f>
        <v>0</v>
      </c>
      <c r="N507" s="3">
        <f>IF(OR($N$1="",对接源_01水果!$C507="",对接源_01水果!$C507&lt;&gt;$N$1,对接源_01水果!$B507=""),0,IF(OR(N(对接源_01水果!$B507)&lt;$N$2,N(对接源_01水果!$B507)&gt;$N$3),0,1))</f>
        <v>0</v>
      </c>
      <c r="P507" s="3">
        <f>IF(AND($K507=1,AND(对接源_01水果!$X507="公司筐",N(对接源_01水果!$T507)&lt;&gt;0)),1,0)</f>
        <v>0</v>
      </c>
      <c r="Q507" s="3">
        <f t="shared" si="130"/>
        <v>0</v>
      </c>
      <c r="R507" s="3">
        <f>IF(AND($K507=1,AND(对接源_01水果!$X507="公司筐",N(对接源_01水果!$U507)&lt;&gt;0)),1,0)</f>
        <v>0</v>
      </c>
      <c r="S507" s="3">
        <f t="shared" si="131"/>
        <v>0</v>
      </c>
      <c r="T507" s="3">
        <f>IF(AND($K507=1,AND(对接源_01水果!$X507="公司筐",N(对接源_01水果!$V507)&lt;&gt;0)),1,0)</f>
        <v>0</v>
      </c>
      <c r="U507" s="3">
        <f t="shared" si="132"/>
        <v>19</v>
      </c>
      <c r="V507" s="3">
        <f>IF(AND($L507=1,AND(对接源_01水果!$X507="自备筐",N(对接源_01水果!$V507)&lt;&gt;0)),1,0)</f>
        <v>0</v>
      </c>
      <c r="W507" s="3">
        <f t="shared" si="133"/>
        <v>8</v>
      </c>
      <c r="X507" s="3">
        <f>IF(AND($L507=1,AND(对接源_01水果!$X507="自备筐",N(对接源_01水果!$T507)&lt;&gt;0)),1,0)</f>
        <v>0</v>
      </c>
      <c r="Y507" s="3">
        <f t="shared" si="134"/>
        <v>0</v>
      </c>
      <c r="Z507" s="3">
        <f>IF(AND($M507=1,对接源_01水果!$D507="原料入库"),1,0)</f>
        <v>0</v>
      </c>
      <c r="AA507" s="3">
        <f t="shared" si="135"/>
        <v>24</v>
      </c>
      <c r="AB507" s="3">
        <f>IF(AND($M507=1,LEFT(对接源_01水果!$D507,4)="原料出库"),1,0)</f>
        <v>0</v>
      </c>
      <c r="AC507" s="3">
        <f t="shared" si="136"/>
        <v>0</v>
      </c>
      <c r="AD507" s="3">
        <f>IF(AND($M507=1,LEFT(对接源_01水果!$D507,4)="成品出库"),1,0)</f>
        <v>0</v>
      </c>
      <c r="AE507" s="3">
        <f t="shared" si="137"/>
        <v>0</v>
      </c>
      <c r="AF507" s="3">
        <f>IF(AND($N507=1,AND(LEFT(对接源_01水果!$D507,4)="包装物料",N(对接源_01水果!$K507)&lt;&gt;0)),1,0)</f>
        <v>0</v>
      </c>
      <c r="AG507" s="3">
        <f t="shared" si="138"/>
        <v>0</v>
      </c>
      <c r="AH507" s="3">
        <f>IF(AND($N507=1,AND(对接源_01水果!$D507="周转筐－销售出库",N(对接源_01水果!$K507)&lt;&gt;0)),1,0)</f>
        <v>0</v>
      </c>
      <c r="AI507" s="3">
        <f t="shared" si="139"/>
        <v>0</v>
      </c>
      <c r="AJ507" s="7"/>
      <c r="AL507" s="3">
        <f>IF(OR($AL$1="",对接源_01水果!$Y507="",对接源_01水果!$Y507&lt;&gt;$AL$1,对接源_01水果!$B507="",N(对接源_01水果!$AJ507)&lt;=0),0,IF(OR(N(对接源_01水果!$B507)&lt;$AL$2,N(对接源_01水果!$B507)&gt;$AL$3),0,1))</f>
        <v>0</v>
      </c>
      <c r="AM507" s="3">
        <f t="shared" si="140"/>
        <v>1</v>
      </c>
      <c r="AN507" s="3" t="str">
        <f>IF(对接源_01水果!$AC507="","",对接源_01水果!$AC507)</f>
        <v/>
      </c>
      <c r="AO507" s="3">
        <f t="shared" si="141"/>
        <v>0</v>
      </c>
      <c r="AP507" s="3">
        <f t="shared" si="142"/>
        <v>8</v>
      </c>
      <c r="AR507">
        <f t="shared" si="143"/>
        <v>0</v>
      </c>
      <c r="AS507">
        <f t="shared" si="144"/>
        <v>0</v>
      </c>
    </row>
    <row r="508" ht="14.25" customHeight="1" spans="1:45">
      <c r="A508" s="3" t="str">
        <f>IF(对接源_01水果!$C508="","",对接源_01水果!$C508)</f>
        <v/>
      </c>
      <c r="B508" s="3">
        <f t="shared" si="128"/>
        <v>0</v>
      </c>
      <c r="C508" s="3">
        <f t="shared" si="129"/>
        <v>18</v>
      </c>
      <c r="K508" s="3">
        <f>IF(OR($K$1="",对接源_01水果!$C508="",对接源_01水果!$C508&lt;&gt;$K$1,对接源_01水果!$B508=""),0,IF(OR(N(对接源_01水果!$B508)&lt;$K$2,N(对接源_01水果!$B508)&gt;$K$3),0,1))</f>
        <v>0</v>
      </c>
      <c r="L508" s="3">
        <f>IF(OR($L$1="",对接源_01水果!$C508="",对接源_01水果!$C508&lt;&gt;$L$1,对接源_01水果!$B508=""),0,IF(OR(N(对接源_01水果!$B508)&lt;$L$2,N(对接源_01水果!$B508)&gt;$L$3),0,1))</f>
        <v>0</v>
      </c>
      <c r="M508" s="3">
        <f>IF(OR($M$1="",对接源_01水果!$C508="",对接源_01水果!$C508&lt;&gt;$M$1,对接源_01水果!$B508=""),0,IF(OR(N(对接源_01水果!$B508)&lt;$M$2,N(对接源_01水果!$B508)&gt;$M$3),0,1))</f>
        <v>0</v>
      </c>
      <c r="N508" s="3">
        <f>IF(OR($N$1="",对接源_01水果!$C508="",对接源_01水果!$C508&lt;&gt;$N$1,对接源_01水果!$B508=""),0,IF(OR(N(对接源_01水果!$B508)&lt;$N$2,N(对接源_01水果!$B508)&gt;$N$3),0,1))</f>
        <v>0</v>
      </c>
      <c r="P508" s="3">
        <f>IF(AND($K508=1,AND(对接源_01水果!$X508="公司筐",N(对接源_01水果!$T508)&lt;&gt;0)),1,0)</f>
        <v>0</v>
      </c>
      <c r="Q508" s="3">
        <f t="shared" si="130"/>
        <v>0</v>
      </c>
      <c r="R508" s="3">
        <f>IF(AND($K508=1,AND(对接源_01水果!$X508="公司筐",N(对接源_01水果!$U508)&lt;&gt;0)),1,0)</f>
        <v>0</v>
      </c>
      <c r="S508" s="3">
        <f t="shared" si="131"/>
        <v>0</v>
      </c>
      <c r="T508" s="3">
        <f>IF(AND($K508=1,AND(对接源_01水果!$X508="公司筐",N(对接源_01水果!$V508)&lt;&gt;0)),1,0)</f>
        <v>0</v>
      </c>
      <c r="U508" s="3">
        <f t="shared" si="132"/>
        <v>19</v>
      </c>
      <c r="V508" s="3">
        <f>IF(AND($L508=1,AND(对接源_01水果!$X508="自备筐",N(对接源_01水果!$V508)&lt;&gt;0)),1,0)</f>
        <v>0</v>
      </c>
      <c r="W508" s="3">
        <f t="shared" si="133"/>
        <v>8</v>
      </c>
      <c r="X508" s="3">
        <f>IF(AND($L508=1,AND(对接源_01水果!$X508="自备筐",N(对接源_01水果!$T508)&lt;&gt;0)),1,0)</f>
        <v>0</v>
      </c>
      <c r="Y508" s="3">
        <f t="shared" si="134"/>
        <v>0</v>
      </c>
      <c r="Z508" s="3">
        <f>IF(AND($M508=1,对接源_01水果!$D508="原料入库"),1,0)</f>
        <v>0</v>
      </c>
      <c r="AA508" s="3">
        <f t="shared" si="135"/>
        <v>24</v>
      </c>
      <c r="AB508" s="3">
        <f>IF(AND($M508=1,LEFT(对接源_01水果!$D508,4)="原料出库"),1,0)</f>
        <v>0</v>
      </c>
      <c r="AC508" s="3">
        <f t="shared" si="136"/>
        <v>0</v>
      </c>
      <c r="AD508" s="3">
        <f>IF(AND($M508=1,LEFT(对接源_01水果!$D508,4)="成品出库"),1,0)</f>
        <v>0</v>
      </c>
      <c r="AE508" s="3">
        <f t="shared" si="137"/>
        <v>0</v>
      </c>
      <c r="AF508" s="3">
        <f>IF(AND($N508=1,AND(LEFT(对接源_01水果!$D508,4)="包装物料",N(对接源_01水果!$K508)&lt;&gt;0)),1,0)</f>
        <v>0</v>
      </c>
      <c r="AG508" s="3">
        <f t="shared" si="138"/>
        <v>0</v>
      </c>
      <c r="AH508" s="3">
        <f>IF(AND($N508=1,AND(对接源_01水果!$D508="周转筐－销售出库",N(对接源_01水果!$K508)&lt;&gt;0)),1,0)</f>
        <v>0</v>
      </c>
      <c r="AI508" s="3">
        <f t="shared" si="139"/>
        <v>0</v>
      </c>
      <c r="AJ508" s="7"/>
      <c r="AL508" s="3">
        <f>IF(OR($AL$1="",对接源_01水果!$Y508="",对接源_01水果!$Y508&lt;&gt;$AL$1,对接源_01水果!$B508="",N(对接源_01水果!$AJ508)&lt;=0),0,IF(OR(N(对接源_01水果!$B508)&lt;$AL$2,N(对接源_01水果!$B508)&gt;$AL$3),0,1))</f>
        <v>0</v>
      </c>
      <c r="AM508" s="3">
        <f t="shared" si="140"/>
        <v>1</v>
      </c>
      <c r="AN508" s="3" t="str">
        <f>IF(对接源_01水果!$AC508="","",对接源_01水果!$AC508)</f>
        <v/>
      </c>
      <c r="AO508" s="3">
        <f t="shared" si="141"/>
        <v>0</v>
      </c>
      <c r="AP508" s="3">
        <f t="shared" si="142"/>
        <v>8</v>
      </c>
      <c r="AR508">
        <f t="shared" si="143"/>
        <v>0</v>
      </c>
      <c r="AS508">
        <f t="shared" si="144"/>
        <v>0</v>
      </c>
    </row>
    <row r="509" ht="14.25" customHeight="1" spans="1:45">
      <c r="A509" s="3" t="str">
        <f>IF(对接源_01水果!$C509="","",对接源_01水果!$C509)</f>
        <v/>
      </c>
      <c r="B509" s="3">
        <f t="shared" si="128"/>
        <v>0</v>
      </c>
      <c r="C509" s="3">
        <f t="shared" si="129"/>
        <v>18</v>
      </c>
      <c r="K509" s="3">
        <f>IF(OR($K$1="",对接源_01水果!$C509="",对接源_01水果!$C509&lt;&gt;$K$1,对接源_01水果!$B509=""),0,IF(OR(N(对接源_01水果!$B509)&lt;$K$2,N(对接源_01水果!$B509)&gt;$K$3),0,1))</f>
        <v>0</v>
      </c>
      <c r="L509" s="3">
        <f>IF(OR($L$1="",对接源_01水果!$C509="",对接源_01水果!$C509&lt;&gt;$L$1,对接源_01水果!$B509=""),0,IF(OR(N(对接源_01水果!$B509)&lt;$L$2,N(对接源_01水果!$B509)&gt;$L$3),0,1))</f>
        <v>0</v>
      </c>
      <c r="M509" s="3">
        <f>IF(OR($M$1="",对接源_01水果!$C509="",对接源_01水果!$C509&lt;&gt;$M$1,对接源_01水果!$B509=""),0,IF(OR(N(对接源_01水果!$B509)&lt;$M$2,N(对接源_01水果!$B509)&gt;$M$3),0,1))</f>
        <v>0</v>
      </c>
      <c r="N509" s="3">
        <f>IF(OR($N$1="",对接源_01水果!$C509="",对接源_01水果!$C509&lt;&gt;$N$1,对接源_01水果!$B509=""),0,IF(OR(N(对接源_01水果!$B509)&lt;$N$2,N(对接源_01水果!$B509)&gt;$N$3),0,1))</f>
        <v>0</v>
      </c>
      <c r="P509" s="3">
        <f>IF(AND($K509=1,AND(对接源_01水果!$X509="公司筐",N(对接源_01水果!$T509)&lt;&gt;0)),1,0)</f>
        <v>0</v>
      </c>
      <c r="Q509" s="3">
        <f t="shared" si="130"/>
        <v>0</v>
      </c>
      <c r="R509" s="3">
        <f>IF(AND($K509=1,AND(对接源_01水果!$X509="公司筐",N(对接源_01水果!$U509)&lt;&gt;0)),1,0)</f>
        <v>0</v>
      </c>
      <c r="S509" s="3">
        <f t="shared" si="131"/>
        <v>0</v>
      </c>
      <c r="T509" s="3">
        <f>IF(AND($K509=1,AND(对接源_01水果!$X509="公司筐",N(对接源_01水果!$V509)&lt;&gt;0)),1,0)</f>
        <v>0</v>
      </c>
      <c r="U509" s="3">
        <f t="shared" si="132"/>
        <v>19</v>
      </c>
      <c r="V509" s="3">
        <f>IF(AND($L509=1,AND(对接源_01水果!$X509="自备筐",N(对接源_01水果!$V509)&lt;&gt;0)),1,0)</f>
        <v>0</v>
      </c>
      <c r="W509" s="3">
        <f t="shared" si="133"/>
        <v>8</v>
      </c>
      <c r="X509" s="3">
        <f>IF(AND($L509=1,AND(对接源_01水果!$X509="自备筐",N(对接源_01水果!$T509)&lt;&gt;0)),1,0)</f>
        <v>0</v>
      </c>
      <c r="Y509" s="3">
        <f t="shared" si="134"/>
        <v>0</v>
      </c>
      <c r="Z509" s="3">
        <f>IF(AND($M509=1,对接源_01水果!$D509="原料入库"),1,0)</f>
        <v>0</v>
      </c>
      <c r="AA509" s="3">
        <f t="shared" si="135"/>
        <v>24</v>
      </c>
      <c r="AB509" s="3">
        <f>IF(AND($M509=1,LEFT(对接源_01水果!$D509,4)="原料出库"),1,0)</f>
        <v>0</v>
      </c>
      <c r="AC509" s="3">
        <f t="shared" si="136"/>
        <v>0</v>
      </c>
      <c r="AD509" s="3">
        <f>IF(AND($M509=1,LEFT(对接源_01水果!$D509,4)="成品出库"),1,0)</f>
        <v>0</v>
      </c>
      <c r="AE509" s="3">
        <f t="shared" si="137"/>
        <v>0</v>
      </c>
      <c r="AF509" s="3">
        <f>IF(AND($N509=1,AND(LEFT(对接源_01水果!$D509,4)="包装物料",N(对接源_01水果!$K509)&lt;&gt;0)),1,0)</f>
        <v>0</v>
      </c>
      <c r="AG509" s="3">
        <f t="shared" si="138"/>
        <v>0</v>
      </c>
      <c r="AH509" s="3">
        <f>IF(AND($N509=1,AND(对接源_01水果!$D509="周转筐－销售出库",N(对接源_01水果!$K509)&lt;&gt;0)),1,0)</f>
        <v>0</v>
      </c>
      <c r="AI509" s="3">
        <f t="shared" si="139"/>
        <v>0</v>
      </c>
      <c r="AJ509" s="7"/>
      <c r="AL509" s="3">
        <f>IF(OR($AL$1="",对接源_01水果!$Y509="",对接源_01水果!$Y509&lt;&gt;$AL$1,对接源_01水果!$B509="",N(对接源_01水果!$AJ509)&lt;=0),0,IF(OR(N(对接源_01水果!$B509)&lt;$AL$2,N(对接源_01水果!$B509)&gt;$AL$3),0,1))</f>
        <v>0</v>
      </c>
      <c r="AM509" s="3">
        <f t="shared" si="140"/>
        <v>1</v>
      </c>
      <c r="AN509" s="3" t="str">
        <f>IF(对接源_01水果!$AC509="","",对接源_01水果!$AC509)</f>
        <v/>
      </c>
      <c r="AO509" s="3">
        <f t="shared" si="141"/>
        <v>0</v>
      </c>
      <c r="AP509" s="3">
        <f t="shared" si="142"/>
        <v>8</v>
      </c>
      <c r="AR509">
        <f t="shared" si="143"/>
        <v>0</v>
      </c>
      <c r="AS509">
        <f t="shared" si="144"/>
        <v>0</v>
      </c>
    </row>
    <row r="510" ht="14.25" customHeight="1" spans="1:45">
      <c r="A510" s="3" t="str">
        <f>IF(对接源_01水果!$C510="","",对接源_01水果!$C510)</f>
        <v/>
      </c>
      <c r="B510" s="3">
        <f t="shared" si="128"/>
        <v>0</v>
      </c>
      <c r="C510" s="3">
        <f t="shared" si="129"/>
        <v>18</v>
      </c>
      <c r="K510" s="3">
        <f>IF(OR($K$1="",对接源_01水果!$C510="",对接源_01水果!$C510&lt;&gt;$K$1,对接源_01水果!$B510=""),0,IF(OR(N(对接源_01水果!$B510)&lt;$K$2,N(对接源_01水果!$B510)&gt;$K$3),0,1))</f>
        <v>0</v>
      </c>
      <c r="L510" s="3">
        <f>IF(OR($L$1="",对接源_01水果!$C510="",对接源_01水果!$C510&lt;&gt;$L$1,对接源_01水果!$B510=""),0,IF(OR(N(对接源_01水果!$B510)&lt;$L$2,N(对接源_01水果!$B510)&gt;$L$3),0,1))</f>
        <v>0</v>
      </c>
      <c r="M510" s="3">
        <f>IF(OR($M$1="",对接源_01水果!$C510="",对接源_01水果!$C510&lt;&gt;$M$1,对接源_01水果!$B510=""),0,IF(OR(N(对接源_01水果!$B510)&lt;$M$2,N(对接源_01水果!$B510)&gt;$M$3),0,1))</f>
        <v>0</v>
      </c>
      <c r="N510" s="3">
        <f>IF(OR($N$1="",对接源_01水果!$C510="",对接源_01水果!$C510&lt;&gt;$N$1,对接源_01水果!$B510=""),0,IF(OR(N(对接源_01水果!$B510)&lt;$N$2,N(对接源_01水果!$B510)&gt;$N$3),0,1))</f>
        <v>0</v>
      </c>
      <c r="P510" s="3">
        <f>IF(AND($K510=1,AND(对接源_01水果!$X510="公司筐",N(对接源_01水果!$T510)&lt;&gt;0)),1,0)</f>
        <v>0</v>
      </c>
      <c r="Q510" s="3">
        <f t="shared" si="130"/>
        <v>0</v>
      </c>
      <c r="R510" s="3">
        <f>IF(AND($K510=1,AND(对接源_01水果!$X510="公司筐",N(对接源_01水果!$U510)&lt;&gt;0)),1,0)</f>
        <v>0</v>
      </c>
      <c r="S510" s="3">
        <f t="shared" si="131"/>
        <v>0</v>
      </c>
      <c r="T510" s="3">
        <f>IF(AND($K510=1,AND(对接源_01水果!$X510="公司筐",N(对接源_01水果!$V510)&lt;&gt;0)),1,0)</f>
        <v>0</v>
      </c>
      <c r="U510" s="3">
        <f t="shared" si="132"/>
        <v>19</v>
      </c>
      <c r="V510" s="3">
        <f>IF(AND($L510=1,AND(对接源_01水果!$X510="自备筐",N(对接源_01水果!$V510)&lt;&gt;0)),1,0)</f>
        <v>0</v>
      </c>
      <c r="W510" s="3">
        <f t="shared" si="133"/>
        <v>8</v>
      </c>
      <c r="X510" s="3">
        <f>IF(AND($L510=1,AND(对接源_01水果!$X510="自备筐",N(对接源_01水果!$T510)&lt;&gt;0)),1,0)</f>
        <v>0</v>
      </c>
      <c r="Y510" s="3">
        <f t="shared" si="134"/>
        <v>0</v>
      </c>
      <c r="Z510" s="3">
        <f>IF(AND($M510=1,对接源_01水果!$D510="原料入库"),1,0)</f>
        <v>0</v>
      </c>
      <c r="AA510" s="3">
        <f t="shared" si="135"/>
        <v>24</v>
      </c>
      <c r="AB510" s="3">
        <f>IF(AND($M510=1,LEFT(对接源_01水果!$D510,4)="原料出库"),1,0)</f>
        <v>0</v>
      </c>
      <c r="AC510" s="3">
        <f t="shared" si="136"/>
        <v>0</v>
      </c>
      <c r="AD510" s="3">
        <f>IF(AND($M510=1,LEFT(对接源_01水果!$D510,4)="成品出库"),1,0)</f>
        <v>0</v>
      </c>
      <c r="AE510" s="3">
        <f t="shared" si="137"/>
        <v>0</v>
      </c>
      <c r="AF510" s="3">
        <f>IF(AND($N510=1,AND(LEFT(对接源_01水果!$D510,4)="包装物料",N(对接源_01水果!$K510)&lt;&gt;0)),1,0)</f>
        <v>0</v>
      </c>
      <c r="AG510" s="3">
        <f t="shared" si="138"/>
        <v>0</v>
      </c>
      <c r="AH510" s="3">
        <f>IF(AND($N510=1,AND(对接源_01水果!$D510="周转筐－销售出库",N(对接源_01水果!$K510)&lt;&gt;0)),1,0)</f>
        <v>0</v>
      </c>
      <c r="AI510" s="3">
        <f t="shared" si="139"/>
        <v>0</v>
      </c>
      <c r="AJ510" s="7"/>
      <c r="AL510" s="3">
        <f>IF(OR($AL$1="",对接源_01水果!$Y510="",对接源_01水果!$Y510&lt;&gt;$AL$1,对接源_01水果!$B510="",N(对接源_01水果!$AJ510)&lt;=0),0,IF(OR(N(对接源_01水果!$B510)&lt;$AL$2,N(对接源_01水果!$B510)&gt;$AL$3),0,1))</f>
        <v>0</v>
      </c>
      <c r="AM510" s="3">
        <f t="shared" si="140"/>
        <v>1</v>
      </c>
      <c r="AN510" s="3" t="str">
        <f>IF(对接源_01水果!$AC510="","",对接源_01水果!$AC510)</f>
        <v/>
      </c>
      <c r="AO510" s="3">
        <f t="shared" si="141"/>
        <v>0</v>
      </c>
      <c r="AP510" s="3">
        <f t="shared" si="142"/>
        <v>8</v>
      </c>
      <c r="AR510">
        <f t="shared" si="143"/>
        <v>0</v>
      </c>
      <c r="AS510">
        <f t="shared" si="144"/>
        <v>0</v>
      </c>
    </row>
    <row r="511" ht="14.25" customHeight="1" spans="1:45">
      <c r="A511" s="3" t="str">
        <f>IF(对接源_01水果!$C511="","",对接源_01水果!$C511)</f>
        <v/>
      </c>
      <c r="B511" s="3">
        <f t="shared" si="128"/>
        <v>0</v>
      </c>
      <c r="C511" s="3">
        <f t="shared" si="129"/>
        <v>18</v>
      </c>
      <c r="K511" s="3">
        <f>IF(OR($K$1="",对接源_01水果!$C511="",对接源_01水果!$C511&lt;&gt;$K$1,对接源_01水果!$B511=""),0,IF(OR(N(对接源_01水果!$B511)&lt;$K$2,N(对接源_01水果!$B511)&gt;$K$3),0,1))</f>
        <v>0</v>
      </c>
      <c r="L511" s="3">
        <f>IF(OR($L$1="",对接源_01水果!$C511="",对接源_01水果!$C511&lt;&gt;$L$1,对接源_01水果!$B511=""),0,IF(OR(N(对接源_01水果!$B511)&lt;$L$2,N(对接源_01水果!$B511)&gt;$L$3),0,1))</f>
        <v>0</v>
      </c>
      <c r="M511" s="3">
        <f>IF(OR($M$1="",对接源_01水果!$C511="",对接源_01水果!$C511&lt;&gt;$M$1,对接源_01水果!$B511=""),0,IF(OR(N(对接源_01水果!$B511)&lt;$M$2,N(对接源_01水果!$B511)&gt;$M$3),0,1))</f>
        <v>0</v>
      </c>
      <c r="N511" s="3">
        <f>IF(OR($N$1="",对接源_01水果!$C511="",对接源_01水果!$C511&lt;&gt;$N$1,对接源_01水果!$B511=""),0,IF(OR(N(对接源_01水果!$B511)&lt;$N$2,N(对接源_01水果!$B511)&gt;$N$3),0,1))</f>
        <v>0</v>
      </c>
      <c r="P511" s="3">
        <f>IF(AND($K511=1,AND(对接源_01水果!$X511="公司筐",N(对接源_01水果!$T511)&lt;&gt;0)),1,0)</f>
        <v>0</v>
      </c>
      <c r="Q511" s="3">
        <f t="shared" si="130"/>
        <v>0</v>
      </c>
      <c r="R511" s="3">
        <f>IF(AND($K511=1,AND(对接源_01水果!$X511="公司筐",N(对接源_01水果!$U511)&lt;&gt;0)),1,0)</f>
        <v>0</v>
      </c>
      <c r="S511" s="3">
        <f t="shared" si="131"/>
        <v>0</v>
      </c>
      <c r="T511" s="3">
        <f>IF(AND($K511=1,AND(对接源_01水果!$X511="公司筐",N(对接源_01水果!$V511)&lt;&gt;0)),1,0)</f>
        <v>0</v>
      </c>
      <c r="U511" s="3">
        <f t="shared" si="132"/>
        <v>19</v>
      </c>
      <c r="V511" s="3">
        <f>IF(AND($L511=1,AND(对接源_01水果!$X511="自备筐",N(对接源_01水果!$V511)&lt;&gt;0)),1,0)</f>
        <v>0</v>
      </c>
      <c r="W511" s="3">
        <f t="shared" si="133"/>
        <v>8</v>
      </c>
      <c r="X511" s="3">
        <f>IF(AND($L511=1,AND(对接源_01水果!$X511="自备筐",N(对接源_01水果!$T511)&lt;&gt;0)),1,0)</f>
        <v>0</v>
      </c>
      <c r="Y511" s="3">
        <f t="shared" si="134"/>
        <v>0</v>
      </c>
      <c r="Z511" s="3">
        <f>IF(AND($M511=1,对接源_01水果!$D511="原料入库"),1,0)</f>
        <v>0</v>
      </c>
      <c r="AA511" s="3">
        <f t="shared" si="135"/>
        <v>24</v>
      </c>
      <c r="AB511" s="3">
        <f>IF(AND($M511=1,LEFT(对接源_01水果!$D511,4)="原料出库"),1,0)</f>
        <v>0</v>
      </c>
      <c r="AC511" s="3">
        <f t="shared" si="136"/>
        <v>0</v>
      </c>
      <c r="AD511" s="3">
        <f>IF(AND($M511=1,LEFT(对接源_01水果!$D511,4)="成品出库"),1,0)</f>
        <v>0</v>
      </c>
      <c r="AE511" s="3">
        <f t="shared" si="137"/>
        <v>0</v>
      </c>
      <c r="AF511" s="3">
        <f>IF(AND($N511=1,AND(LEFT(对接源_01水果!$D511,4)="包装物料",N(对接源_01水果!$K511)&lt;&gt;0)),1,0)</f>
        <v>0</v>
      </c>
      <c r="AG511" s="3">
        <f t="shared" si="138"/>
        <v>0</v>
      </c>
      <c r="AH511" s="3">
        <f>IF(AND($N511=1,AND(对接源_01水果!$D511="周转筐－销售出库",N(对接源_01水果!$K511)&lt;&gt;0)),1,0)</f>
        <v>0</v>
      </c>
      <c r="AI511" s="3">
        <f t="shared" si="139"/>
        <v>0</v>
      </c>
      <c r="AJ511" s="7"/>
      <c r="AL511" s="3">
        <f>IF(OR($AL$1="",对接源_01水果!$Y511="",对接源_01水果!$Y511&lt;&gt;$AL$1,对接源_01水果!$B511="",N(对接源_01水果!$AJ511)&lt;=0),0,IF(OR(N(对接源_01水果!$B511)&lt;$AL$2,N(对接源_01水果!$B511)&gt;$AL$3),0,1))</f>
        <v>0</v>
      </c>
      <c r="AM511" s="3">
        <f t="shared" si="140"/>
        <v>1</v>
      </c>
      <c r="AN511" s="3" t="str">
        <f>IF(对接源_01水果!$AC511="","",对接源_01水果!$AC511)</f>
        <v/>
      </c>
      <c r="AO511" s="3">
        <f t="shared" si="141"/>
        <v>0</v>
      </c>
      <c r="AP511" s="3">
        <f t="shared" si="142"/>
        <v>8</v>
      </c>
      <c r="AR511">
        <f t="shared" si="143"/>
        <v>0</v>
      </c>
      <c r="AS511">
        <f t="shared" si="144"/>
        <v>0</v>
      </c>
    </row>
    <row r="512" ht="14.25" customHeight="1" spans="1:45">
      <c r="A512" s="3" t="str">
        <f>IF(对接源_01水果!$C512="","",对接源_01水果!$C512)</f>
        <v/>
      </c>
      <c r="B512" s="3">
        <f t="shared" si="128"/>
        <v>0</v>
      </c>
      <c r="C512" s="3">
        <f t="shared" si="129"/>
        <v>18</v>
      </c>
      <c r="K512" s="3">
        <f>IF(OR($K$1="",对接源_01水果!$C512="",对接源_01水果!$C512&lt;&gt;$K$1,对接源_01水果!$B512=""),0,IF(OR(N(对接源_01水果!$B512)&lt;$K$2,N(对接源_01水果!$B512)&gt;$K$3),0,1))</f>
        <v>0</v>
      </c>
      <c r="L512" s="3">
        <f>IF(OR($L$1="",对接源_01水果!$C512="",对接源_01水果!$C512&lt;&gt;$L$1,对接源_01水果!$B512=""),0,IF(OR(N(对接源_01水果!$B512)&lt;$L$2,N(对接源_01水果!$B512)&gt;$L$3),0,1))</f>
        <v>0</v>
      </c>
      <c r="M512" s="3">
        <f>IF(OR($M$1="",对接源_01水果!$C512="",对接源_01水果!$C512&lt;&gt;$M$1,对接源_01水果!$B512=""),0,IF(OR(N(对接源_01水果!$B512)&lt;$M$2,N(对接源_01水果!$B512)&gt;$M$3),0,1))</f>
        <v>0</v>
      </c>
      <c r="N512" s="3">
        <f>IF(OR($N$1="",对接源_01水果!$C512="",对接源_01水果!$C512&lt;&gt;$N$1,对接源_01水果!$B512=""),0,IF(OR(N(对接源_01水果!$B512)&lt;$N$2,N(对接源_01水果!$B512)&gt;$N$3),0,1))</f>
        <v>0</v>
      </c>
      <c r="P512" s="3">
        <f>IF(AND($K512=1,AND(对接源_01水果!$X512="公司筐",N(对接源_01水果!$T512)&lt;&gt;0)),1,0)</f>
        <v>0</v>
      </c>
      <c r="Q512" s="3">
        <f t="shared" si="130"/>
        <v>0</v>
      </c>
      <c r="R512" s="3">
        <f>IF(AND($K512=1,AND(对接源_01水果!$X512="公司筐",N(对接源_01水果!$U512)&lt;&gt;0)),1,0)</f>
        <v>0</v>
      </c>
      <c r="S512" s="3">
        <f t="shared" si="131"/>
        <v>0</v>
      </c>
      <c r="T512" s="3">
        <f>IF(AND($K512=1,AND(对接源_01水果!$X512="公司筐",N(对接源_01水果!$V512)&lt;&gt;0)),1,0)</f>
        <v>0</v>
      </c>
      <c r="U512" s="3">
        <f t="shared" si="132"/>
        <v>19</v>
      </c>
      <c r="V512" s="3">
        <f>IF(AND($L512=1,AND(对接源_01水果!$X512="自备筐",N(对接源_01水果!$V512)&lt;&gt;0)),1,0)</f>
        <v>0</v>
      </c>
      <c r="W512" s="3">
        <f t="shared" si="133"/>
        <v>8</v>
      </c>
      <c r="X512" s="3">
        <f>IF(AND($L512=1,AND(对接源_01水果!$X512="自备筐",N(对接源_01水果!$T512)&lt;&gt;0)),1,0)</f>
        <v>0</v>
      </c>
      <c r="Y512" s="3">
        <f t="shared" si="134"/>
        <v>0</v>
      </c>
      <c r="Z512" s="3">
        <f>IF(AND($M512=1,对接源_01水果!$D512="原料入库"),1,0)</f>
        <v>0</v>
      </c>
      <c r="AA512" s="3">
        <f t="shared" si="135"/>
        <v>24</v>
      </c>
      <c r="AB512" s="3">
        <f>IF(AND($M512=1,LEFT(对接源_01水果!$D512,4)="原料出库"),1,0)</f>
        <v>0</v>
      </c>
      <c r="AC512" s="3">
        <f t="shared" si="136"/>
        <v>0</v>
      </c>
      <c r="AD512" s="3">
        <f>IF(AND($M512=1,LEFT(对接源_01水果!$D512,4)="成品出库"),1,0)</f>
        <v>0</v>
      </c>
      <c r="AE512" s="3">
        <f t="shared" si="137"/>
        <v>0</v>
      </c>
      <c r="AF512" s="3">
        <f>IF(AND($N512=1,AND(LEFT(对接源_01水果!$D512,4)="包装物料",N(对接源_01水果!$K512)&lt;&gt;0)),1,0)</f>
        <v>0</v>
      </c>
      <c r="AG512" s="3">
        <f t="shared" si="138"/>
        <v>0</v>
      </c>
      <c r="AH512" s="3">
        <f>IF(AND($N512=1,AND(对接源_01水果!$D512="周转筐－销售出库",N(对接源_01水果!$K512)&lt;&gt;0)),1,0)</f>
        <v>0</v>
      </c>
      <c r="AI512" s="3">
        <f t="shared" si="139"/>
        <v>0</v>
      </c>
      <c r="AJ512" s="7"/>
      <c r="AL512" s="3">
        <f>IF(OR($AL$1="",对接源_01水果!$Y512="",对接源_01水果!$Y512&lt;&gt;$AL$1,对接源_01水果!$B512="",N(对接源_01水果!$AJ512)&lt;=0),0,IF(OR(N(对接源_01水果!$B512)&lt;$AL$2,N(对接源_01水果!$B512)&gt;$AL$3),0,1))</f>
        <v>0</v>
      </c>
      <c r="AM512" s="3">
        <f t="shared" si="140"/>
        <v>1</v>
      </c>
      <c r="AN512" s="3" t="str">
        <f>IF(对接源_01水果!$AC512="","",对接源_01水果!$AC512)</f>
        <v/>
      </c>
      <c r="AO512" s="3">
        <f t="shared" si="141"/>
        <v>0</v>
      </c>
      <c r="AP512" s="3">
        <f t="shared" si="142"/>
        <v>8</v>
      </c>
      <c r="AR512">
        <f t="shared" si="143"/>
        <v>0</v>
      </c>
      <c r="AS512">
        <f t="shared" si="144"/>
        <v>0</v>
      </c>
    </row>
    <row r="513" ht="14.25" customHeight="1" spans="1:45">
      <c r="A513" s="3" t="str">
        <f>IF(对接源_01水果!$C513="","",对接源_01水果!$C513)</f>
        <v/>
      </c>
      <c r="B513" s="3">
        <f t="shared" si="128"/>
        <v>0</v>
      </c>
      <c r="C513" s="3">
        <f t="shared" si="129"/>
        <v>18</v>
      </c>
      <c r="K513" s="3">
        <f>IF(OR($K$1="",对接源_01水果!$C513="",对接源_01水果!$C513&lt;&gt;$K$1,对接源_01水果!$B513=""),0,IF(OR(N(对接源_01水果!$B513)&lt;$K$2,N(对接源_01水果!$B513)&gt;$K$3),0,1))</f>
        <v>0</v>
      </c>
      <c r="L513" s="3">
        <f>IF(OR($L$1="",对接源_01水果!$C513="",对接源_01水果!$C513&lt;&gt;$L$1,对接源_01水果!$B513=""),0,IF(OR(N(对接源_01水果!$B513)&lt;$L$2,N(对接源_01水果!$B513)&gt;$L$3),0,1))</f>
        <v>0</v>
      </c>
      <c r="M513" s="3">
        <f>IF(OR($M$1="",对接源_01水果!$C513="",对接源_01水果!$C513&lt;&gt;$M$1,对接源_01水果!$B513=""),0,IF(OR(N(对接源_01水果!$B513)&lt;$M$2,N(对接源_01水果!$B513)&gt;$M$3),0,1))</f>
        <v>0</v>
      </c>
      <c r="N513" s="3">
        <f>IF(OR($N$1="",对接源_01水果!$C513="",对接源_01水果!$C513&lt;&gt;$N$1,对接源_01水果!$B513=""),0,IF(OR(N(对接源_01水果!$B513)&lt;$N$2,N(对接源_01水果!$B513)&gt;$N$3),0,1))</f>
        <v>0</v>
      </c>
      <c r="P513" s="3">
        <f>IF(AND($K513=1,AND(对接源_01水果!$X513="公司筐",N(对接源_01水果!$T513)&lt;&gt;0)),1,0)</f>
        <v>0</v>
      </c>
      <c r="Q513" s="3">
        <f t="shared" si="130"/>
        <v>0</v>
      </c>
      <c r="R513" s="3">
        <f>IF(AND($K513=1,AND(对接源_01水果!$X513="公司筐",N(对接源_01水果!$U513)&lt;&gt;0)),1,0)</f>
        <v>0</v>
      </c>
      <c r="S513" s="3">
        <f t="shared" si="131"/>
        <v>0</v>
      </c>
      <c r="T513" s="3">
        <f>IF(AND($K513=1,AND(对接源_01水果!$X513="公司筐",N(对接源_01水果!$V513)&lt;&gt;0)),1,0)</f>
        <v>0</v>
      </c>
      <c r="U513" s="3">
        <f t="shared" si="132"/>
        <v>19</v>
      </c>
      <c r="V513" s="3">
        <f>IF(AND($L513=1,AND(对接源_01水果!$X513="自备筐",N(对接源_01水果!$V513)&lt;&gt;0)),1,0)</f>
        <v>0</v>
      </c>
      <c r="W513" s="3">
        <f t="shared" si="133"/>
        <v>8</v>
      </c>
      <c r="X513" s="3">
        <f>IF(AND($L513=1,AND(对接源_01水果!$X513="自备筐",N(对接源_01水果!$T513)&lt;&gt;0)),1,0)</f>
        <v>0</v>
      </c>
      <c r="Y513" s="3">
        <f t="shared" si="134"/>
        <v>0</v>
      </c>
      <c r="Z513" s="3">
        <f>IF(AND($M513=1,对接源_01水果!$D513="原料入库"),1,0)</f>
        <v>0</v>
      </c>
      <c r="AA513" s="3">
        <f t="shared" si="135"/>
        <v>24</v>
      </c>
      <c r="AB513" s="3">
        <f>IF(AND($M513=1,LEFT(对接源_01水果!$D513,4)="原料出库"),1,0)</f>
        <v>0</v>
      </c>
      <c r="AC513" s="3">
        <f t="shared" si="136"/>
        <v>0</v>
      </c>
      <c r="AD513" s="3">
        <f>IF(AND($M513=1,LEFT(对接源_01水果!$D513,4)="成品出库"),1,0)</f>
        <v>0</v>
      </c>
      <c r="AE513" s="3">
        <f t="shared" si="137"/>
        <v>0</v>
      </c>
      <c r="AF513" s="3">
        <f>IF(AND($N513=1,AND(LEFT(对接源_01水果!$D513,4)="包装物料",N(对接源_01水果!$K513)&lt;&gt;0)),1,0)</f>
        <v>0</v>
      </c>
      <c r="AG513" s="3">
        <f t="shared" si="138"/>
        <v>0</v>
      </c>
      <c r="AH513" s="3">
        <f>IF(AND($N513=1,AND(对接源_01水果!$D513="周转筐－销售出库",N(对接源_01水果!$K513)&lt;&gt;0)),1,0)</f>
        <v>0</v>
      </c>
      <c r="AI513" s="3">
        <f t="shared" si="139"/>
        <v>0</v>
      </c>
      <c r="AJ513" s="7"/>
      <c r="AL513" s="3">
        <f>IF(OR($AL$1="",对接源_01水果!$Y513="",对接源_01水果!$Y513&lt;&gt;$AL$1,对接源_01水果!$B513="",N(对接源_01水果!$AJ513)&lt;=0),0,IF(OR(N(对接源_01水果!$B513)&lt;$AL$2,N(对接源_01水果!$B513)&gt;$AL$3),0,1))</f>
        <v>0</v>
      </c>
      <c r="AM513" s="3">
        <f t="shared" si="140"/>
        <v>1</v>
      </c>
      <c r="AN513" s="3" t="str">
        <f>IF(对接源_01水果!$AC513="","",对接源_01水果!$AC513)</f>
        <v/>
      </c>
      <c r="AO513" s="3">
        <f t="shared" si="141"/>
        <v>0</v>
      </c>
      <c r="AP513" s="3">
        <f t="shared" si="142"/>
        <v>8</v>
      </c>
      <c r="AR513">
        <f t="shared" si="143"/>
        <v>0</v>
      </c>
      <c r="AS513">
        <f t="shared" si="144"/>
        <v>0</v>
      </c>
    </row>
    <row r="514" ht="14.25" customHeight="1" spans="1:45">
      <c r="A514" s="3" t="str">
        <f>IF(对接源_01水果!$C514="","",对接源_01水果!$C514)</f>
        <v/>
      </c>
      <c r="B514" s="3">
        <f t="shared" si="128"/>
        <v>0</v>
      </c>
      <c r="C514" s="3">
        <f t="shared" si="129"/>
        <v>18</v>
      </c>
      <c r="K514" s="3">
        <f>IF(OR($K$1="",对接源_01水果!$C514="",对接源_01水果!$C514&lt;&gt;$K$1,对接源_01水果!$B514=""),0,IF(OR(N(对接源_01水果!$B514)&lt;$K$2,N(对接源_01水果!$B514)&gt;$K$3),0,1))</f>
        <v>0</v>
      </c>
      <c r="L514" s="3">
        <f>IF(OR($L$1="",对接源_01水果!$C514="",对接源_01水果!$C514&lt;&gt;$L$1,对接源_01水果!$B514=""),0,IF(OR(N(对接源_01水果!$B514)&lt;$L$2,N(对接源_01水果!$B514)&gt;$L$3),0,1))</f>
        <v>0</v>
      </c>
      <c r="M514" s="3">
        <f>IF(OR($M$1="",对接源_01水果!$C514="",对接源_01水果!$C514&lt;&gt;$M$1,对接源_01水果!$B514=""),0,IF(OR(N(对接源_01水果!$B514)&lt;$M$2,N(对接源_01水果!$B514)&gt;$M$3),0,1))</f>
        <v>0</v>
      </c>
      <c r="N514" s="3">
        <f>IF(OR($N$1="",对接源_01水果!$C514="",对接源_01水果!$C514&lt;&gt;$N$1,对接源_01水果!$B514=""),0,IF(OR(N(对接源_01水果!$B514)&lt;$N$2,N(对接源_01水果!$B514)&gt;$N$3),0,1))</f>
        <v>0</v>
      </c>
      <c r="P514" s="3">
        <f>IF(AND($K514=1,AND(对接源_01水果!$X514="公司筐",N(对接源_01水果!$T514)&lt;&gt;0)),1,0)</f>
        <v>0</v>
      </c>
      <c r="Q514" s="3">
        <f t="shared" si="130"/>
        <v>0</v>
      </c>
      <c r="R514" s="3">
        <f>IF(AND($K514=1,AND(对接源_01水果!$X514="公司筐",N(对接源_01水果!$U514)&lt;&gt;0)),1,0)</f>
        <v>0</v>
      </c>
      <c r="S514" s="3">
        <f t="shared" si="131"/>
        <v>0</v>
      </c>
      <c r="T514" s="3">
        <f>IF(AND($K514=1,AND(对接源_01水果!$X514="公司筐",N(对接源_01水果!$V514)&lt;&gt;0)),1,0)</f>
        <v>0</v>
      </c>
      <c r="U514" s="3">
        <f t="shared" si="132"/>
        <v>19</v>
      </c>
      <c r="V514" s="3">
        <f>IF(AND($L514=1,AND(对接源_01水果!$X514="自备筐",N(对接源_01水果!$V514)&lt;&gt;0)),1,0)</f>
        <v>0</v>
      </c>
      <c r="W514" s="3">
        <f t="shared" si="133"/>
        <v>8</v>
      </c>
      <c r="X514" s="3">
        <f>IF(AND($L514=1,AND(对接源_01水果!$X514="自备筐",N(对接源_01水果!$T514)&lt;&gt;0)),1,0)</f>
        <v>0</v>
      </c>
      <c r="Y514" s="3">
        <f t="shared" si="134"/>
        <v>0</v>
      </c>
      <c r="Z514" s="3">
        <f>IF(AND($M514=1,对接源_01水果!$D514="原料入库"),1,0)</f>
        <v>0</v>
      </c>
      <c r="AA514" s="3">
        <f t="shared" si="135"/>
        <v>24</v>
      </c>
      <c r="AB514" s="3">
        <f>IF(AND($M514=1,LEFT(对接源_01水果!$D514,4)="原料出库"),1,0)</f>
        <v>0</v>
      </c>
      <c r="AC514" s="3">
        <f t="shared" si="136"/>
        <v>0</v>
      </c>
      <c r="AD514" s="3">
        <f>IF(AND($M514=1,LEFT(对接源_01水果!$D514,4)="成品出库"),1,0)</f>
        <v>0</v>
      </c>
      <c r="AE514" s="3">
        <f t="shared" si="137"/>
        <v>0</v>
      </c>
      <c r="AF514" s="3">
        <f>IF(AND($N514=1,AND(LEFT(对接源_01水果!$D514,4)="包装物料",N(对接源_01水果!$K514)&lt;&gt;0)),1,0)</f>
        <v>0</v>
      </c>
      <c r="AG514" s="3">
        <f t="shared" si="138"/>
        <v>0</v>
      </c>
      <c r="AH514" s="3">
        <f>IF(AND($N514=1,AND(对接源_01水果!$D514="周转筐－销售出库",N(对接源_01水果!$K514)&lt;&gt;0)),1,0)</f>
        <v>0</v>
      </c>
      <c r="AI514" s="3">
        <f t="shared" si="139"/>
        <v>0</v>
      </c>
      <c r="AJ514" s="7"/>
      <c r="AL514" s="3">
        <f>IF(OR($AL$1="",对接源_01水果!$Y514="",对接源_01水果!$Y514&lt;&gt;$AL$1,对接源_01水果!$B514="",N(对接源_01水果!$AJ514)&lt;=0),0,IF(OR(N(对接源_01水果!$B514)&lt;$AL$2,N(对接源_01水果!$B514)&gt;$AL$3),0,1))</f>
        <v>0</v>
      </c>
      <c r="AM514" s="3">
        <f t="shared" si="140"/>
        <v>1</v>
      </c>
      <c r="AN514" s="3" t="str">
        <f>IF(对接源_01水果!$AC514="","",对接源_01水果!$AC514)</f>
        <v/>
      </c>
      <c r="AO514" s="3">
        <f t="shared" si="141"/>
        <v>0</v>
      </c>
      <c r="AP514" s="3">
        <f t="shared" si="142"/>
        <v>8</v>
      </c>
      <c r="AR514">
        <f t="shared" si="143"/>
        <v>0</v>
      </c>
      <c r="AS514">
        <f t="shared" si="144"/>
        <v>0</v>
      </c>
    </row>
    <row r="515" ht="14.25" customHeight="1" spans="1:45">
      <c r="A515" s="3" t="str">
        <f>IF(对接源_01水果!$C515="","",对接源_01水果!$C515)</f>
        <v/>
      </c>
      <c r="B515" s="3">
        <f t="shared" si="128"/>
        <v>0</v>
      </c>
      <c r="C515" s="3">
        <f t="shared" si="129"/>
        <v>18</v>
      </c>
      <c r="K515" s="3">
        <f>IF(OR($K$1="",对接源_01水果!$C515="",对接源_01水果!$C515&lt;&gt;$K$1,对接源_01水果!$B515=""),0,IF(OR(N(对接源_01水果!$B515)&lt;$K$2,N(对接源_01水果!$B515)&gt;$K$3),0,1))</f>
        <v>0</v>
      </c>
      <c r="L515" s="3">
        <f>IF(OR($L$1="",对接源_01水果!$C515="",对接源_01水果!$C515&lt;&gt;$L$1,对接源_01水果!$B515=""),0,IF(OR(N(对接源_01水果!$B515)&lt;$L$2,N(对接源_01水果!$B515)&gt;$L$3),0,1))</f>
        <v>0</v>
      </c>
      <c r="M515" s="3">
        <f>IF(OR($M$1="",对接源_01水果!$C515="",对接源_01水果!$C515&lt;&gt;$M$1,对接源_01水果!$B515=""),0,IF(OR(N(对接源_01水果!$B515)&lt;$M$2,N(对接源_01水果!$B515)&gt;$M$3),0,1))</f>
        <v>0</v>
      </c>
      <c r="N515" s="3">
        <f>IF(OR($N$1="",对接源_01水果!$C515="",对接源_01水果!$C515&lt;&gt;$N$1,对接源_01水果!$B515=""),0,IF(OR(N(对接源_01水果!$B515)&lt;$N$2,N(对接源_01水果!$B515)&gt;$N$3),0,1))</f>
        <v>0</v>
      </c>
      <c r="P515" s="3">
        <f>IF(AND($K515=1,AND(对接源_01水果!$X515="公司筐",N(对接源_01水果!$T515)&lt;&gt;0)),1,0)</f>
        <v>0</v>
      </c>
      <c r="Q515" s="3">
        <f t="shared" si="130"/>
        <v>0</v>
      </c>
      <c r="R515" s="3">
        <f>IF(AND($K515=1,AND(对接源_01水果!$X515="公司筐",N(对接源_01水果!$U515)&lt;&gt;0)),1,0)</f>
        <v>0</v>
      </c>
      <c r="S515" s="3">
        <f t="shared" si="131"/>
        <v>0</v>
      </c>
      <c r="T515" s="3">
        <f>IF(AND($K515=1,AND(对接源_01水果!$X515="公司筐",N(对接源_01水果!$V515)&lt;&gt;0)),1,0)</f>
        <v>0</v>
      </c>
      <c r="U515" s="3">
        <f t="shared" si="132"/>
        <v>19</v>
      </c>
      <c r="V515" s="3">
        <f>IF(AND($L515=1,AND(对接源_01水果!$X515="自备筐",N(对接源_01水果!$V515)&lt;&gt;0)),1,0)</f>
        <v>0</v>
      </c>
      <c r="W515" s="3">
        <f t="shared" si="133"/>
        <v>8</v>
      </c>
      <c r="X515" s="3">
        <f>IF(AND($L515=1,AND(对接源_01水果!$X515="自备筐",N(对接源_01水果!$T515)&lt;&gt;0)),1,0)</f>
        <v>0</v>
      </c>
      <c r="Y515" s="3">
        <f t="shared" si="134"/>
        <v>0</v>
      </c>
      <c r="Z515" s="3">
        <f>IF(AND($M515=1,对接源_01水果!$D515="原料入库"),1,0)</f>
        <v>0</v>
      </c>
      <c r="AA515" s="3">
        <f t="shared" si="135"/>
        <v>24</v>
      </c>
      <c r="AB515" s="3">
        <f>IF(AND($M515=1,LEFT(对接源_01水果!$D515,4)="原料出库"),1,0)</f>
        <v>0</v>
      </c>
      <c r="AC515" s="3">
        <f t="shared" si="136"/>
        <v>0</v>
      </c>
      <c r="AD515" s="3">
        <f>IF(AND($M515=1,LEFT(对接源_01水果!$D515,4)="成品出库"),1,0)</f>
        <v>0</v>
      </c>
      <c r="AE515" s="3">
        <f t="shared" si="137"/>
        <v>0</v>
      </c>
      <c r="AF515" s="3">
        <f>IF(AND($N515=1,AND(LEFT(对接源_01水果!$D515,4)="包装物料",N(对接源_01水果!$K515)&lt;&gt;0)),1,0)</f>
        <v>0</v>
      </c>
      <c r="AG515" s="3">
        <f t="shared" si="138"/>
        <v>0</v>
      </c>
      <c r="AH515" s="3">
        <f>IF(AND($N515=1,AND(对接源_01水果!$D515="周转筐－销售出库",N(对接源_01水果!$K515)&lt;&gt;0)),1,0)</f>
        <v>0</v>
      </c>
      <c r="AI515" s="3">
        <f t="shared" si="139"/>
        <v>0</v>
      </c>
      <c r="AJ515" s="7"/>
      <c r="AL515" s="3">
        <f>IF(OR($AL$1="",对接源_01水果!$Y515="",对接源_01水果!$Y515&lt;&gt;$AL$1,对接源_01水果!$B515="",N(对接源_01水果!$AJ515)&lt;=0),0,IF(OR(N(对接源_01水果!$B515)&lt;$AL$2,N(对接源_01水果!$B515)&gt;$AL$3),0,1))</f>
        <v>0</v>
      </c>
      <c r="AM515" s="3">
        <f t="shared" si="140"/>
        <v>1</v>
      </c>
      <c r="AN515" s="3" t="str">
        <f>IF(对接源_01水果!$AC515="","",对接源_01水果!$AC515)</f>
        <v/>
      </c>
      <c r="AO515" s="3">
        <f t="shared" si="141"/>
        <v>0</v>
      </c>
      <c r="AP515" s="3">
        <f t="shared" si="142"/>
        <v>8</v>
      </c>
      <c r="AR515">
        <f t="shared" si="143"/>
        <v>0</v>
      </c>
      <c r="AS515">
        <f t="shared" si="144"/>
        <v>0</v>
      </c>
    </row>
    <row r="516" ht="14.25" customHeight="1" spans="1:45">
      <c r="A516" s="3" t="str">
        <f>IF(对接源_01水果!$C516="","",对接源_01水果!$C516)</f>
        <v/>
      </c>
      <c r="B516" s="3">
        <f t="shared" ref="B516:B579" si="145">IF(A516="",0,IF(MATCH(A516,$A$4:$A$2403,0)=ROW()-3,1,0))</f>
        <v>0</v>
      </c>
      <c r="C516" s="3">
        <f t="shared" ref="C516:C579" si="146">N(C515)+B516</f>
        <v>18</v>
      </c>
      <c r="K516" s="3">
        <f>IF(OR($K$1="",对接源_01水果!$C516="",对接源_01水果!$C516&lt;&gt;$K$1,对接源_01水果!$B516=""),0,IF(OR(N(对接源_01水果!$B516)&lt;$K$2,N(对接源_01水果!$B516)&gt;$K$3),0,1))</f>
        <v>0</v>
      </c>
      <c r="L516" s="3">
        <f>IF(OR($L$1="",对接源_01水果!$C516="",对接源_01水果!$C516&lt;&gt;$L$1,对接源_01水果!$B516=""),0,IF(OR(N(对接源_01水果!$B516)&lt;$L$2,N(对接源_01水果!$B516)&gt;$L$3),0,1))</f>
        <v>0</v>
      </c>
      <c r="M516" s="3">
        <f>IF(OR($M$1="",对接源_01水果!$C516="",对接源_01水果!$C516&lt;&gt;$M$1,对接源_01水果!$B516=""),0,IF(OR(N(对接源_01水果!$B516)&lt;$M$2,N(对接源_01水果!$B516)&gt;$M$3),0,1))</f>
        <v>0</v>
      </c>
      <c r="N516" s="3">
        <f>IF(OR($N$1="",对接源_01水果!$C516="",对接源_01水果!$C516&lt;&gt;$N$1,对接源_01水果!$B516=""),0,IF(OR(N(对接源_01水果!$B516)&lt;$N$2,N(对接源_01水果!$B516)&gt;$N$3),0,1))</f>
        <v>0</v>
      </c>
      <c r="P516" s="3">
        <f>IF(AND($K516=1,AND(对接源_01水果!$X516="公司筐",N(对接源_01水果!$T516)&lt;&gt;0)),1,0)</f>
        <v>0</v>
      </c>
      <c r="Q516" s="3">
        <f t="shared" ref="Q516:Q579" si="147">N(Q515)+$P516</f>
        <v>0</v>
      </c>
      <c r="R516" s="3">
        <f>IF(AND($K516=1,AND(对接源_01水果!$X516="公司筐",N(对接源_01水果!$U516)&lt;&gt;0)),1,0)</f>
        <v>0</v>
      </c>
      <c r="S516" s="3">
        <f t="shared" ref="S516:S579" si="148">N(S515)+$R516</f>
        <v>0</v>
      </c>
      <c r="T516" s="3">
        <f>IF(AND($K516=1,AND(对接源_01水果!$X516="公司筐",N(对接源_01水果!$V516)&lt;&gt;0)),1,0)</f>
        <v>0</v>
      </c>
      <c r="U516" s="3">
        <f t="shared" ref="U516:U579" si="149">N(U515)+$T516</f>
        <v>19</v>
      </c>
      <c r="V516" s="3">
        <f>IF(AND($L516=1,AND(对接源_01水果!$X516="自备筐",N(对接源_01水果!$V516)&lt;&gt;0)),1,0)</f>
        <v>0</v>
      </c>
      <c r="W516" s="3">
        <f t="shared" ref="W516:W579" si="150">N(W515)+$V516</f>
        <v>8</v>
      </c>
      <c r="X516" s="3">
        <f>IF(AND($L516=1,AND(对接源_01水果!$X516="自备筐",N(对接源_01水果!$T516)&lt;&gt;0)),1,0)</f>
        <v>0</v>
      </c>
      <c r="Y516" s="3">
        <f t="shared" ref="Y516:Y579" si="151">N(Y515)+$X516</f>
        <v>0</v>
      </c>
      <c r="Z516" s="3">
        <f>IF(AND($M516=1,对接源_01水果!$D516="原料入库"),1,0)</f>
        <v>0</v>
      </c>
      <c r="AA516" s="3">
        <f t="shared" ref="AA516:AA579" si="152">N(AA515)+$Z516</f>
        <v>24</v>
      </c>
      <c r="AB516" s="3">
        <f>IF(AND($M516=1,LEFT(对接源_01水果!$D516,4)="原料出库"),1,0)</f>
        <v>0</v>
      </c>
      <c r="AC516" s="3">
        <f t="shared" ref="AC516:AC579" si="153">N(AC515)+$AB516</f>
        <v>0</v>
      </c>
      <c r="AD516" s="3">
        <f>IF(AND($M516=1,LEFT(对接源_01水果!$D516,4)="成品出库"),1,0)</f>
        <v>0</v>
      </c>
      <c r="AE516" s="3">
        <f t="shared" ref="AE516:AE579" si="154">N(AE515)+$AD516</f>
        <v>0</v>
      </c>
      <c r="AF516" s="3">
        <f>IF(AND($N516=1,AND(LEFT(对接源_01水果!$D516,4)="包装物料",N(对接源_01水果!$K516)&lt;&gt;0)),1,0)</f>
        <v>0</v>
      </c>
      <c r="AG516" s="3">
        <f t="shared" ref="AG516:AG579" si="155">N(AG515)+$AF516</f>
        <v>0</v>
      </c>
      <c r="AH516" s="3">
        <f>IF(AND($N516=1,AND(对接源_01水果!$D516="周转筐－销售出库",N(对接源_01水果!$K516)&lt;&gt;0)),1,0)</f>
        <v>0</v>
      </c>
      <c r="AI516" s="3">
        <f t="shared" ref="AI516:AI579" si="156">N(AI515)+$AH516</f>
        <v>0</v>
      </c>
      <c r="AJ516" s="7"/>
      <c r="AL516" s="3">
        <f>IF(OR($AL$1="",对接源_01水果!$Y516="",对接源_01水果!$Y516&lt;&gt;$AL$1,对接源_01水果!$B516="",N(对接源_01水果!$AJ516)&lt;=0),0,IF(OR(N(对接源_01水果!$B516)&lt;$AL$2,N(对接源_01水果!$B516)&gt;$AL$3),0,1))</f>
        <v>0</v>
      </c>
      <c r="AM516" s="3">
        <f t="shared" ref="AM516:AM579" si="157">N(AM515)+$AL516</f>
        <v>1</v>
      </c>
      <c r="AN516" s="3" t="str">
        <f>IF(对接源_01水果!$AC516="","",对接源_01水果!$AC516)</f>
        <v/>
      </c>
      <c r="AO516" s="3">
        <f t="shared" ref="AO516:AO579" si="158">IF(AN516="",0,IF(MATCH(AN516,$AN$4:$AN$1203,0)=ROW()-3,1,0))</f>
        <v>0</v>
      </c>
      <c r="AP516" s="3">
        <f t="shared" ref="AP516:AP579" si="159">N(AP515)+$AO516</f>
        <v>8</v>
      </c>
      <c r="AR516">
        <f t="shared" ref="AR516:AR579" si="160">IF(OR($AF516=1,$AH516=1),1,0)</f>
        <v>0</v>
      </c>
      <c r="AS516">
        <f t="shared" ref="AS516:AS579" si="161">N(AS515)+$AR516</f>
        <v>0</v>
      </c>
    </row>
    <row r="517" ht="14.25" customHeight="1" spans="1:45">
      <c r="A517" s="3" t="str">
        <f>IF(对接源_01水果!$C517="","",对接源_01水果!$C517)</f>
        <v/>
      </c>
      <c r="B517" s="3">
        <f t="shared" si="145"/>
        <v>0</v>
      </c>
      <c r="C517" s="3">
        <f t="shared" si="146"/>
        <v>18</v>
      </c>
      <c r="K517" s="3">
        <f>IF(OR($K$1="",对接源_01水果!$C517="",对接源_01水果!$C517&lt;&gt;$K$1,对接源_01水果!$B517=""),0,IF(OR(N(对接源_01水果!$B517)&lt;$K$2,N(对接源_01水果!$B517)&gt;$K$3),0,1))</f>
        <v>0</v>
      </c>
      <c r="L517" s="3">
        <f>IF(OR($L$1="",对接源_01水果!$C517="",对接源_01水果!$C517&lt;&gt;$L$1,对接源_01水果!$B517=""),0,IF(OR(N(对接源_01水果!$B517)&lt;$L$2,N(对接源_01水果!$B517)&gt;$L$3),0,1))</f>
        <v>0</v>
      </c>
      <c r="M517" s="3">
        <f>IF(OR($M$1="",对接源_01水果!$C517="",对接源_01水果!$C517&lt;&gt;$M$1,对接源_01水果!$B517=""),0,IF(OR(N(对接源_01水果!$B517)&lt;$M$2,N(对接源_01水果!$B517)&gt;$M$3),0,1))</f>
        <v>0</v>
      </c>
      <c r="N517" s="3">
        <f>IF(OR($N$1="",对接源_01水果!$C517="",对接源_01水果!$C517&lt;&gt;$N$1,对接源_01水果!$B517=""),0,IF(OR(N(对接源_01水果!$B517)&lt;$N$2,N(对接源_01水果!$B517)&gt;$N$3),0,1))</f>
        <v>0</v>
      </c>
      <c r="P517" s="3">
        <f>IF(AND($K517=1,AND(对接源_01水果!$X517="公司筐",N(对接源_01水果!$T517)&lt;&gt;0)),1,0)</f>
        <v>0</v>
      </c>
      <c r="Q517" s="3">
        <f t="shared" si="147"/>
        <v>0</v>
      </c>
      <c r="R517" s="3">
        <f>IF(AND($K517=1,AND(对接源_01水果!$X517="公司筐",N(对接源_01水果!$U517)&lt;&gt;0)),1,0)</f>
        <v>0</v>
      </c>
      <c r="S517" s="3">
        <f t="shared" si="148"/>
        <v>0</v>
      </c>
      <c r="T517" s="3">
        <f>IF(AND($K517=1,AND(对接源_01水果!$X517="公司筐",N(对接源_01水果!$V517)&lt;&gt;0)),1,0)</f>
        <v>0</v>
      </c>
      <c r="U517" s="3">
        <f t="shared" si="149"/>
        <v>19</v>
      </c>
      <c r="V517" s="3">
        <f>IF(AND($L517=1,AND(对接源_01水果!$X517="自备筐",N(对接源_01水果!$V517)&lt;&gt;0)),1,0)</f>
        <v>0</v>
      </c>
      <c r="W517" s="3">
        <f t="shared" si="150"/>
        <v>8</v>
      </c>
      <c r="X517" s="3">
        <f>IF(AND($L517=1,AND(对接源_01水果!$X517="自备筐",N(对接源_01水果!$T517)&lt;&gt;0)),1,0)</f>
        <v>0</v>
      </c>
      <c r="Y517" s="3">
        <f t="shared" si="151"/>
        <v>0</v>
      </c>
      <c r="Z517" s="3">
        <f>IF(AND($M517=1,对接源_01水果!$D517="原料入库"),1,0)</f>
        <v>0</v>
      </c>
      <c r="AA517" s="3">
        <f t="shared" si="152"/>
        <v>24</v>
      </c>
      <c r="AB517" s="3">
        <f>IF(AND($M517=1,LEFT(对接源_01水果!$D517,4)="原料出库"),1,0)</f>
        <v>0</v>
      </c>
      <c r="AC517" s="3">
        <f t="shared" si="153"/>
        <v>0</v>
      </c>
      <c r="AD517" s="3">
        <f>IF(AND($M517=1,LEFT(对接源_01水果!$D517,4)="成品出库"),1,0)</f>
        <v>0</v>
      </c>
      <c r="AE517" s="3">
        <f t="shared" si="154"/>
        <v>0</v>
      </c>
      <c r="AF517" s="3">
        <f>IF(AND($N517=1,AND(LEFT(对接源_01水果!$D517,4)="包装物料",N(对接源_01水果!$K517)&lt;&gt;0)),1,0)</f>
        <v>0</v>
      </c>
      <c r="AG517" s="3">
        <f t="shared" si="155"/>
        <v>0</v>
      </c>
      <c r="AH517" s="3">
        <f>IF(AND($N517=1,AND(对接源_01水果!$D517="周转筐－销售出库",N(对接源_01水果!$K517)&lt;&gt;0)),1,0)</f>
        <v>0</v>
      </c>
      <c r="AI517" s="3">
        <f t="shared" si="156"/>
        <v>0</v>
      </c>
      <c r="AJ517" s="7"/>
      <c r="AL517" s="3">
        <f>IF(OR($AL$1="",对接源_01水果!$Y517="",对接源_01水果!$Y517&lt;&gt;$AL$1,对接源_01水果!$B517="",N(对接源_01水果!$AJ517)&lt;=0),0,IF(OR(N(对接源_01水果!$B517)&lt;$AL$2,N(对接源_01水果!$B517)&gt;$AL$3),0,1))</f>
        <v>0</v>
      </c>
      <c r="AM517" s="3">
        <f t="shared" si="157"/>
        <v>1</v>
      </c>
      <c r="AN517" s="3" t="str">
        <f>IF(对接源_01水果!$AC517="","",对接源_01水果!$AC517)</f>
        <v/>
      </c>
      <c r="AO517" s="3">
        <f t="shared" si="158"/>
        <v>0</v>
      </c>
      <c r="AP517" s="3">
        <f t="shared" si="159"/>
        <v>8</v>
      </c>
      <c r="AR517">
        <f t="shared" si="160"/>
        <v>0</v>
      </c>
      <c r="AS517">
        <f t="shared" si="161"/>
        <v>0</v>
      </c>
    </row>
    <row r="518" ht="14.25" customHeight="1" spans="1:45">
      <c r="A518" s="3" t="str">
        <f>IF(对接源_01水果!$C518="","",对接源_01水果!$C518)</f>
        <v/>
      </c>
      <c r="B518" s="3">
        <f t="shared" si="145"/>
        <v>0</v>
      </c>
      <c r="C518" s="3">
        <f t="shared" si="146"/>
        <v>18</v>
      </c>
      <c r="K518" s="3">
        <f>IF(OR($K$1="",对接源_01水果!$C518="",对接源_01水果!$C518&lt;&gt;$K$1,对接源_01水果!$B518=""),0,IF(OR(N(对接源_01水果!$B518)&lt;$K$2,N(对接源_01水果!$B518)&gt;$K$3),0,1))</f>
        <v>0</v>
      </c>
      <c r="L518" s="3">
        <f>IF(OR($L$1="",对接源_01水果!$C518="",对接源_01水果!$C518&lt;&gt;$L$1,对接源_01水果!$B518=""),0,IF(OR(N(对接源_01水果!$B518)&lt;$L$2,N(对接源_01水果!$B518)&gt;$L$3),0,1))</f>
        <v>0</v>
      </c>
      <c r="M518" s="3">
        <f>IF(OR($M$1="",对接源_01水果!$C518="",对接源_01水果!$C518&lt;&gt;$M$1,对接源_01水果!$B518=""),0,IF(OR(N(对接源_01水果!$B518)&lt;$M$2,N(对接源_01水果!$B518)&gt;$M$3),0,1))</f>
        <v>0</v>
      </c>
      <c r="N518" s="3">
        <f>IF(OR($N$1="",对接源_01水果!$C518="",对接源_01水果!$C518&lt;&gt;$N$1,对接源_01水果!$B518=""),0,IF(OR(N(对接源_01水果!$B518)&lt;$N$2,N(对接源_01水果!$B518)&gt;$N$3),0,1))</f>
        <v>0</v>
      </c>
      <c r="P518" s="3">
        <f>IF(AND($K518=1,AND(对接源_01水果!$X518="公司筐",N(对接源_01水果!$T518)&lt;&gt;0)),1,0)</f>
        <v>0</v>
      </c>
      <c r="Q518" s="3">
        <f t="shared" si="147"/>
        <v>0</v>
      </c>
      <c r="R518" s="3">
        <f>IF(AND($K518=1,AND(对接源_01水果!$X518="公司筐",N(对接源_01水果!$U518)&lt;&gt;0)),1,0)</f>
        <v>0</v>
      </c>
      <c r="S518" s="3">
        <f t="shared" si="148"/>
        <v>0</v>
      </c>
      <c r="T518" s="3">
        <f>IF(AND($K518=1,AND(对接源_01水果!$X518="公司筐",N(对接源_01水果!$V518)&lt;&gt;0)),1,0)</f>
        <v>0</v>
      </c>
      <c r="U518" s="3">
        <f t="shared" si="149"/>
        <v>19</v>
      </c>
      <c r="V518" s="3">
        <f>IF(AND($L518=1,AND(对接源_01水果!$X518="自备筐",N(对接源_01水果!$V518)&lt;&gt;0)),1,0)</f>
        <v>0</v>
      </c>
      <c r="W518" s="3">
        <f t="shared" si="150"/>
        <v>8</v>
      </c>
      <c r="X518" s="3">
        <f>IF(AND($L518=1,AND(对接源_01水果!$X518="自备筐",N(对接源_01水果!$T518)&lt;&gt;0)),1,0)</f>
        <v>0</v>
      </c>
      <c r="Y518" s="3">
        <f t="shared" si="151"/>
        <v>0</v>
      </c>
      <c r="Z518" s="3">
        <f>IF(AND($M518=1,对接源_01水果!$D518="原料入库"),1,0)</f>
        <v>0</v>
      </c>
      <c r="AA518" s="3">
        <f t="shared" si="152"/>
        <v>24</v>
      </c>
      <c r="AB518" s="3">
        <f>IF(AND($M518=1,LEFT(对接源_01水果!$D518,4)="原料出库"),1,0)</f>
        <v>0</v>
      </c>
      <c r="AC518" s="3">
        <f t="shared" si="153"/>
        <v>0</v>
      </c>
      <c r="AD518" s="3">
        <f>IF(AND($M518=1,LEFT(对接源_01水果!$D518,4)="成品出库"),1,0)</f>
        <v>0</v>
      </c>
      <c r="AE518" s="3">
        <f t="shared" si="154"/>
        <v>0</v>
      </c>
      <c r="AF518" s="3">
        <f>IF(AND($N518=1,AND(LEFT(对接源_01水果!$D518,4)="包装物料",N(对接源_01水果!$K518)&lt;&gt;0)),1,0)</f>
        <v>0</v>
      </c>
      <c r="AG518" s="3">
        <f t="shared" si="155"/>
        <v>0</v>
      </c>
      <c r="AH518" s="3">
        <f>IF(AND($N518=1,AND(对接源_01水果!$D518="周转筐－销售出库",N(对接源_01水果!$K518)&lt;&gt;0)),1,0)</f>
        <v>0</v>
      </c>
      <c r="AI518" s="3">
        <f t="shared" si="156"/>
        <v>0</v>
      </c>
      <c r="AJ518" s="7"/>
      <c r="AL518" s="3">
        <f>IF(OR($AL$1="",对接源_01水果!$Y518="",对接源_01水果!$Y518&lt;&gt;$AL$1,对接源_01水果!$B518="",N(对接源_01水果!$AJ518)&lt;=0),0,IF(OR(N(对接源_01水果!$B518)&lt;$AL$2,N(对接源_01水果!$B518)&gt;$AL$3),0,1))</f>
        <v>0</v>
      </c>
      <c r="AM518" s="3">
        <f t="shared" si="157"/>
        <v>1</v>
      </c>
      <c r="AN518" s="3" t="str">
        <f>IF(对接源_01水果!$AC518="","",对接源_01水果!$AC518)</f>
        <v/>
      </c>
      <c r="AO518" s="3">
        <f t="shared" si="158"/>
        <v>0</v>
      </c>
      <c r="AP518" s="3">
        <f t="shared" si="159"/>
        <v>8</v>
      </c>
      <c r="AR518">
        <f t="shared" si="160"/>
        <v>0</v>
      </c>
      <c r="AS518">
        <f t="shared" si="161"/>
        <v>0</v>
      </c>
    </row>
    <row r="519" ht="14.25" customHeight="1" spans="1:45">
      <c r="A519" s="3" t="str">
        <f>IF(对接源_01水果!$C519="","",对接源_01水果!$C519)</f>
        <v/>
      </c>
      <c r="B519" s="3">
        <f t="shared" si="145"/>
        <v>0</v>
      </c>
      <c r="C519" s="3">
        <f t="shared" si="146"/>
        <v>18</v>
      </c>
      <c r="K519" s="3">
        <f>IF(OR($K$1="",对接源_01水果!$C519="",对接源_01水果!$C519&lt;&gt;$K$1,对接源_01水果!$B519=""),0,IF(OR(N(对接源_01水果!$B519)&lt;$K$2,N(对接源_01水果!$B519)&gt;$K$3),0,1))</f>
        <v>0</v>
      </c>
      <c r="L519" s="3">
        <f>IF(OR($L$1="",对接源_01水果!$C519="",对接源_01水果!$C519&lt;&gt;$L$1,对接源_01水果!$B519=""),0,IF(OR(N(对接源_01水果!$B519)&lt;$L$2,N(对接源_01水果!$B519)&gt;$L$3),0,1))</f>
        <v>0</v>
      </c>
      <c r="M519" s="3">
        <f>IF(OR($M$1="",对接源_01水果!$C519="",对接源_01水果!$C519&lt;&gt;$M$1,对接源_01水果!$B519=""),0,IF(OR(N(对接源_01水果!$B519)&lt;$M$2,N(对接源_01水果!$B519)&gt;$M$3),0,1))</f>
        <v>0</v>
      </c>
      <c r="N519" s="3">
        <f>IF(OR($N$1="",对接源_01水果!$C519="",对接源_01水果!$C519&lt;&gt;$N$1,对接源_01水果!$B519=""),0,IF(OR(N(对接源_01水果!$B519)&lt;$N$2,N(对接源_01水果!$B519)&gt;$N$3),0,1))</f>
        <v>0</v>
      </c>
      <c r="P519" s="3">
        <f>IF(AND($K519=1,AND(对接源_01水果!$X519="公司筐",N(对接源_01水果!$T519)&lt;&gt;0)),1,0)</f>
        <v>0</v>
      </c>
      <c r="Q519" s="3">
        <f t="shared" si="147"/>
        <v>0</v>
      </c>
      <c r="R519" s="3">
        <f>IF(AND($K519=1,AND(对接源_01水果!$X519="公司筐",N(对接源_01水果!$U519)&lt;&gt;0)),1,0)</f>
        <v>0</v>
      </c>
      <c r="S519" s="3">
        <f t="shared" si="148"/>
        <v>0</v>
      </c>
      <c r="T519" s="3">
        <f>IF(AND($K519=1,AND(对接源_01水果!$X519="公司筐",N(对接源_01水果!$V519)&lt;&gt;0)),1,0)</f>
        <v>0</v>
      </c>
      <c r="U519" s="3">
        <f t="shared" si="149"/>
        <v>19</v>
      </c>
      <c r="V519" s="3">
        <f>IF(AND($L519=1,AND(对接源_01水果!$X519="自备筐",N(对接源_01水果!$V519)&lt;&gt;0)),1,0)</f>
        <v>0</v>
      </c>
      <c r="W519" s="3">
        <f t="shared" si="150"/>
        <v>8</v>
      </c>
      <c r="X519" s="3">
        <f>IF(AND($L519=1,AND(对接源_01水果!$X519="自备筐",N(对接源_01水果!$T519)&lt;&gt;0)),1,0)</f>
        <v>0</v>
      </c>
      <c r="Y519" s="3">
        <f t="shared" si="151"/>
        <v>0</v>
      </c>
      <c r="Z519" s="3">
        <f>IF(AND($M519=1,对接源_01水果!$D519="原料入库"),1,0)</f>
        <v>0</v>
      </c>
      <c r="AA519" s="3">
        <f t="shared" si="152"/>
        <v>24</v>
      </c>
      <c r="AB519" s="3">
        <f>IF(AND($M519=1,LEFT(对接源_01水果!$D519,4)="原料出库"),1,0)</f>
        <v>0</v>
      </c>
      <c r="AC519" s="3">
        <f t="shared" si="153"/>
        <v>0</v>
      </c>
      <c r="AD519" s="3">
        <f>IF(AND($M519=1,LEFT(对接源_01水果!$D519,4)="成品出库"),1,0)</f>
        <v>0</v>
      </c>
      <c r="AE519" s="3">
        <f t="shared" si="154"/>
        <v>0</v>
      </c>
      <c r="AF519" s="3">
        <f>IF(AND($N519=1,AND(LEFT(对接源_01水果!$D519,4)="包装物料",N(对接源_01水果!$K519)&lt;&gt;0)),1,0)</f>
        <v>0</v>
      </c>
      <c r="AG519" s="3">
        <f t="shared" si="155"/>
        <v>0</v>
      </c>
      <c r="AH519" s="3">
        <f>IF(AND($N519=1,AND(对接源_01水果!$D519="周转筐－销售出库",N(对接源_01水果!$K519)&lt;&gt;0)),1,0)</f>
        <v>0</v>
      </c>
      <c r="AI519" s="3">
        <f t="shared" si="156"/>
        <v>0</v>
      </c>
      <c r="AJ519" s="7"/>
      <c r="AL519" s="3">
        <f>IF(OR($AL$1="",对接源_01水果!$Y519="",对接源_01水果!$Y519&lt;&gt;$AL$1,对接源_01水果!$B519="",N(对接源_01水果!$AJ519)&lt;=0),0,IF(OR(N(对接源_01水果!$B519)&lt;$AL$2,N(对接源_01水果!$B519)&gt;$AL$3),0,1))</f>
        <v>0</v>
      </c>
      <c r="AM519" s="3">
        <f t="shared" si="157"/>
        <v>1</v>
      </c>
      <c r="AN519" s="3" t="str">
        <f>IF(对接源_01水果!$AC519="","",对接源_01水果!$AC519)</f>
        <v/>
      </c>
      <c r="AO519" s="3">
        <f t="shared" si="158"/>
        <v>0</v>
      </c>
      <c r="AP519" s="3">
        <f t="shared" si="159"/>
        <v>8</v>
      </c>
      <c r="AR519">
        <f t="shared" si="160"/>
        <v>0</v>
      </c>
      <c r="AS519">
        <f t="shared" si="161"/>
        <v>0</v>
      </c>
    </row>
    <row r="520" ht="14.25" customHeight="1" spans="1:45">
      <c r="A520" s="3" t="str">
        <f>IF(对接源_01水果!$C520="","",对接源_01水果!$C520)</f>
        <v/>
      </c>
      <c r="B520" s="3">
        <f t="shared" si="145"/>
        <v>0</v>
      </c>
      <c r="C520" s="3">
        <f t="shared" si="146"/>
        <v>18</v>
      </c>
      <c r="K520" s="3">
        <f>IF(OR($K$1="",对接源_01水果!$C520="",对接源_01水果!$C520&lt;&gt;$K$1,对接源_01水果!$B520=""),0,IF(OR(N(对接源_01水果!$B520)&lt;$K$2,N(对接源_01水果!$B520)&gt;$K$3),0,1))</f>
        <v>0</v>
      </c>
      <c r="L520" s="3">
        <f>IF(OR($L$1="",对接源_01水果!$C520="",对接源_01水果!$C520&lt;&gt;$L$1,对接源_01水果!$B520=""),0,IF(OR(N(对接源_01水果!$B520)&lt;$L$2,N(对接源_01水果!$B520)&gt;$L$3),0,1))</f>
        <v>0</v>
      </c>
      <c r="M520" s="3">
        <f>IF(OR($M$1="",对接源_01水果!$C520="",对接源_01水果!$C520&lt;&gt;$M$1,对接源_01水果!$B520=""),0,IF(OR(N(对接源_01水果!$B520)&lt;$M$2,N(对接源_01水果!$B520)&gt;$M$3),0,1))</f>
        <v>0</v>
      </c>
      <c r="N520" s="3">
        <f>IF(OR($N$1="",对接源_01水果!$C520="",对接源_01水果!$C520&lt;&gt;$N$1,对接源_01水果!$B520=""),0,IF(OR(N(对接源_01水果!$B520)&lt;$N$2,N(对接源_01水果!$B520)&gt;$N$3),0,1))</f>
        <v>0</v>
      </c>
      <c r="P520" s="3">
        <f>IF(AND($K520=1,AND(对接源_01水果!$X520="公司筐",N(对接源_01水果!$T520)&lt;&gt;0)),1,0)</f>
        <v>0</v>
      </c>
      <c r="Q520" s="3">
        <f t="shared" si="147"/>
        <v>0</v>
      </c>
      <c r="R520" s="3">
        <f>IF(AND($K520=1,AND(对接源_01水果!$X520="公司筐",N(对接源_01水果!$U520)&lt;&gt;0)),1,0)</f>
        <v>0</v>
      </c>
      <c r="S520" s="3">
        <f t="shared" si="148"/>
        <v>0</v>
      </c>
      <c r="T520" s="3">
        <f>IF(AND($K520=1,AND(对接源_01水果!$X520="公司筐",N(对接源_01水果!$V520)&lt;&gt;0)),1,0)</f>
        <v>0</v>
      </c>
      <c r="U520" s="3">
        <f t="shared" si="149"/>
        <v>19</v>
      </c>
      <c r="V520" s="3">
        <f>IF(AND($L520=1,AND(对接源_01水果!$X520="自备筐",N(对接源_01水果!$V520)&lt;&gt;0)),1,0)</f>
        <v>0</v>
      </c>
      <c r="W520" s="3">
        <f t="shared" si="150"/>
        <v>8</v>
      </c>
      <c r="X520" s="3">
        <f>IF(AND($L520=1,AND(对接源_01水果!$X520="自备筐",N(对接源_01水果!$T520)&lt;&gt;0)),1,0)</f>
        <v>0</v>
      </c>
      <c r="Y520" s="3">
        <f t="shared" si="151"/>
        <v>0</v>
      </c>
      <c r="Z520" s="3">
        <f>IF(AND($M520=1,对接源_01水果!$D520="原料入库"),1,0)</f>
        <v>0</v>
      </c>
      <c r="AA520" s="3">
        <f t="shared" si="152"/>
        <v>24</v>
      </c>
      <c r="AB520" s="3">
        <f>IF(AND($M520=1,LEFT(对接源_01水果!$D520,4)="原料出库"),1,0)</f>
        <v>0</v>
      </c>
      <c r="AC520" s="3">
        <f t="shared" si="153"/>
        <v>0</v>
      </c>
      <c r="AD520" s="3">
        <f>IF(AND($M520=1,LEFT(对接源_01水果!$D520,4)="成品出库"),1,0)</f>
        <v>0</v>
      </c>
      <c r="AE520" s="3">
        <f t="shared" si="154"/>
        <v>0</v>
      </c>
      <c r="AF520" s="3">
        <f>IF(AND($N520=1,AND(LEFT(对接源_01水果!$D520,4)="包装物料",N(对接源_01水果!$K520)&lt;&gt;0)),1,0)</f>
        <v>0</v>
      </c>
      <c r="AG520" s="3">
        <f t="shared" si="155"/>
        <v>0</v>
      </c>
      <c r="AH520" s="3">
        <f>IF(AND($N520=1,AND(对接源_01水果!$D520="周转筐－销售出库",N(对接源_01水果!$K520)&lt;&gt;0)),1,0)</f>
        <v>0</v>
      </c>
      <c r="AI520" s="3">
        <f t="shared" si="156"/>
        <v>0</v>
      </c>
      <c r="AJ520" s="7"/>
      <c r="AL520" s="3">
        <f>IF(OR($AL$1="",对接源_01水果!$Y520="",对接源_01水果!$Y520&lt;&gt;$AL$1,对接源_01水果!$B520="",N(对接源_01水果!$AJ520)&lt;=0),0,IF(OR(N(对接源_01水果!$B520)&lt;$AL$2,N(对接源_01水果!$B520)&gt;$AL$3),0,1))</f>
        <v>0</v>
      </c>
      <c r="AM520" s="3">
        <f t="shared" si="157"/>
        <v>1</v>
      </c>
      <c r="AN520" s="3" t="str">
        <f>IF(对接源_01水果!$AC520="","",对接源_01水果!$AC520)</f>
        <v/>
      </c>
      <c r="AO520" s="3">
        <f t="shared" si="158"/>
        <v>0</v>
      </c>
      <c r="AP520" s="3">
        <f t="shared" si="159"/>
        <v>8</v>
      </c>
      <c r="AR520">
        <f t="shared" si="160"/>
        <v>0</v>
      </c>
      <c r="AS520">
        <f t="shared" si="161"/>
        <v>0</v>
      </c>
    </row>
    <row r="521" ht="14.25" customHeight="1" spans="1:45">
      <c r="A521" s="3" t="str">
        <f>IF(对接源_01水果!$C521="","",对接源_01水果!$C521)</f>
        <v/>
      </c>
      <c r="B521" s="3">
        <f t="shared" si="145"/>
        <v>0</v>
      </c>
      <c r="C521" s="3">
        <f t="shared" si="146"/>
        <v>18</v>
      </c>
      <c r="K521" s="3">
        <f>IF(OR($K$1="",对接源_01水果!$C521="",对接源_01水果!$C521&lt;&gt;$K$1,对接源_01水果!$B521=""),0,IF(OR(N(对接源_01水果!$B521)&lt;$K$2,N(对接源_01水果!$B521)&gt;$K$3),0,1))</f>
        <v>0</v>
      </c>
      <c r="L521" s="3">
        <f>IF(OR($L$1="",对接源_01水果!$C521="",对接源_01水果!$C521&lt;&gt;$L$1,对接源_01水果!$B521=""),0,IF(OR(N(对接源_01水果!$B521)&lt;$L$2,N(对接源_01水果!$B521)&gt;$L$3),0,1))</f>
        <v>0</v>
      </c>
      <c r="M521" s="3">
        <f>IF(OR($M$1="",对接源_01水果!$C521="",对接源_01水果!$C521&lt;&gt;$M$1,对接源_01水果!$B521=""),0,IF(OR(N(对接源_01水果!$B521)&lt;$M$2,N(对接源_01水果!$B521)&gt;$M$3),0,1))</f>
        <v>0</v>
      </c>
      <c r="N521" s="3">
        <f>IF(OR($N$1="",对接源_01水果!$C521="",对接源_01水果!$C521&lt;&gt;$N$1,对接源_01水果!$B521=""),0,IF(OR(N(对接源_01水果!$B521)&lt;$N$2,N(对接源_01水果!$B521)&gt;$N$3),0,1))</f>
        <v>0</v>
      </c>
      <c r="P521" s="3">
        <f>IF(AND($K521=1,AND(对接源_01水果!$X521="公司筐",N(对接源_01水果!$T521)&lt;&gt;0)),1,0)</f>
        <v>0</v>
      </c>
      <c r="Q521" s="3">
        <f t="shared" si="147"/>
        <v>0</v>
      </c>
      <c r="R521" s="3">
        <f>IF(AND($K521=1,AND(对接源_01水果!$X521="公司筐",N(对接源_01水果!$U521)&lt;&gt;0)),1,0)</f>
        <v>0</v>
      </c>
      <c r="S521" s="3">
        <f t="shared" si="148"/>
        <v>0</v>
      </c>
      <c r="T521" s="3">
        <f>IF(AND($K521=1,AND(对接源_01水果!$X521="公司筐",N(对接源_01水果!$V521)&lt;&gt;0)),1,0)</f>
        <v>0</v>
      </c>
      <c r="U521" s="3">
        <f t="shared" si="149"/>
        <v>19</v>
      </c>
      <c r="V521" s="3">
        <f>IF(AND($L521=1,AND(对接源_01水果!$X521="自备筐",N(对接源_01水果!$V521)&lt;&gt;0)),1,0)</f>
        <v>0</v>
      </c>
      <c r="W521" s="3">
        <f t="shared" si="150"/>
        <v>8</v>
      </c>
      <c r="X521" s="3">
        <f>IF(AND($L521=1,AND(对接源_01水果!$X521="自备筐",N(对接源_01水果!$T521)&lt;&gt;0)),1,0)</f>
        <v>0</v>
      </c>
      <c r="Y521" s="3">
        <f t="shared" si="151"/>
        <v>0</v>
      </c>
      <c r="Z521" s="3">
        <f>IF(AND($M521=1,对接源_01水果!$D521="原料入库"),1,0)</f>
        <v>0</v>
      </c>
      <c r="AA521" s="3">
        <f t="shared" si="152"/>
        <v>24</v>
      </c>
      <c r="AB521" s="3">
        <f>IF(AND($M521=1,LEFT(对接源_01水果!$D521,4)="原料出库"),1,0)</f>
        <v>0</v>
      </c>
      <c r="AC521" s="3">
        <f t="shared" si="153"/>
        <v>0</v>
      </c>
      <c r="AD521" s="3">
        <f>IF(AND($M521=1,LEFT(对接源_01水果!$D521,4)="成品出库"),1,0)</f>
        <v>0</v>
      </c>
      <c r="AE521" s="3">
        <f t="shared" si="154"/>
        <v>0</v>
      </c>
      <c r="AF521" s="3">
        <f>IF(AND($N521=1,AND(LEFT(对接源_01水果!$D521,4)="包装物料",N(对接源_01水果!$K521)&lt;&gt;0)),1,0)</f>
        <v>0</v>
      </c>
      <c r="AG521" s="3">
        <f t="shared" si="155"/>
        <v>0</v>
      </c>
      <c r="AH521" s="3">
        <f>IF(AND($N521=1,AND(对接源_01水果!$D521="周转筐－销售出库",N(对接源_01水果!$K521)&lt;&gt;0)),1,0)</f>
        <v>0</v>
      </c>
      <c r="AI521" s="3">
        <f t="shared" si="156"/>
        <v>0</v>
      </c>
      <c r="AJ521" s="7"/>
      <c r="AL521" s="3">
        <f>IF(OR($AL$1="",对接源_01水果!$Y521="",对接源_01水果!$Y521&lt;&gt;$AL$1,对接源_01水果!$B521="",N(对接源_01水果!$AJ521)&lt;=0),0,IF(OR(N(对接源_01水果!$B521)&lt;$AL$2,N(对接源_01水果!$B521)&gt;$AL$3),0,1))</f>
        <v>0</v>
      </c>
      <c r="AM521" s="3">
        <f t="shared" si="157"/>
        <v>1</v>
      </c>
      <c r="AN521" s="3" t="str">
        <f>IF(对接源_01水果!$AC521="","",对接源_01水果!$AC521)</f>
        <v/>
      </c>
      <c r="AO521" s="3">
        <f t="shared" si="158"/>
        <v>0</v>
      </c>
      <c r="AP521" s="3">
        <f t="shared" si="159"/>
        <v>8</v>
      </c>
      <c r="AR521">
        <f t="shared" si="160"/>
        <v>0</v>
      </c>
      <c r="AS521">
        <f t="shared" si="161"/>
        <v>0</v>
      </c>
    </row>
    <row r="522" ht="14.25" customHeight="1" spans="1:45">
      <c r="A522" s="3" t="str">
        <f>IF(对接源_01水果!$C522="","",对接源_01水果!$C522)</f>
        <v/>
      </c>
      <c r="B522" s="3">
        <f t="shared" si="145"/>
        <v>0</v>
      </c>
      <c r="C522" s="3">
        <f t="shared" si="146"/>
        <v>18</v>
      </c>
      <c r="K522" s="3">
        <f>IF(OR($K$1="",对接源_01水果!$C522="",对接源_01水果!$C522&lt;&gt;$K$1,对接源_01水果!$B522=""),0,IF(OR(N(对接源_01水果!$B522)&lt;$K$2,N(对接源_01水果!$B522)&gt;$K$3),0,1))</f>
        <v>0</v>
      </c>
      <c r="L522" s="3">
        <f>IF(OR($L$1="",对接源_01水果!$C522="",对接源_01水果!$C522&lt;&gt;$L$1,对接源_01水果!$B522=""),0,IF(OR(N(对接源_01水果!$B522)&lt;$L$2,N(对接源_01水果!$B522)&gt;$L$3),0,1))</f>
        <v>0</v>
      </c>
      <c r="M522" s="3">
        <f>IF(OR($M$1="",对接源_01水果!$C522="",对接源_01水果!$C522&lt;&gt;$M$1,对接源_01水果!$B522=""),0,IF(OR(N(对接源_01水果!$B522)&lt;$M$2,N(对接源_01水果!$B522)&gt;$M$3),0,1))</f>
        <v>0</v>
      </c>
      <c r="N522" s="3">
        <f>IF(OR($N$1="",对接源_01水果!$C522="",对接源_01水果!$C522&lt;&gt;$N$1,对接源_01水果!$B522=""),0,IF(OR(N(对接源_01水果!$B522)&lt;$N$2,N(对接源_01水果!$B522)&gt;$N$3),0,1))</f>
        <v>0</v>
      </c>
      <c r="P522" s="3">
        <f>IF(AND($K522=1,AND(对接源_01水果!$X522="公司筐",N(对接源_01水果!$T522)&lt;&gt;0)),1,0)</f>
        <v>0</v>
      </c>
      <c r="Q522" s="3">
        <f t="shared" si="147"/>
        <v>0</v>
      </c>
      <c r="R522" s="3">
        <f>IF(AND($K522=1,AND(对接源_01水果!$X522="公司筐",N(对接源_01水果!$U522)&lt;&gt;0)),1,0)</f>
        <v>0</v>
      </c>
      <c r="S522" s="3">
        <f t="shared" si="148"/>
        <v>0</v>
      </c>
      <c r="T522" s="3">
        <f>IF(AND($K522=1,AND(对接源_01水果!$X522="公司筐",N(对接源_01水果!$V522)&lt;&gt;0)),1,0)</f>
        <v>0</v>
      </c>
      <c r="U522" s="3">
        <f t="shared" si="149"/>
        <v>19</v>
      </c>
      <c r="V522" s="3">
        <f>IF(AND($L522=1,AND(对接源_01水果!$X522="自备筐",N(对接源_01水果!$V522)&lt;&gt;0)),1,0)</f>
        <v>0</v>
      </c>
      <c r="W522" s="3">
        <f t="shared" si="150"/>
        <v>8</v>
      </c>
      <c r="X522" s="3">
        <f>IF(AND($L522=1,AND(对接源_01水果!$X522="自备筐",N(对接源_01水果!$T522)&lt;&gt;0)),1,0)</f>
        <v>0</v>
      </c>
      <c r="Y522" s="3">
        <f t="shared" si="151"/>
        <v>0</v>
      </c>
      <c r="Z522" s="3">
        <f>IF(AND($M522=1,对接源_01水果!$D522="原料入库"),1,0)</f>
        <v>0</v>
      </c>
      <c r="AA522" s="3">
        <f t="shared" si="152"/>
        <v>24</v>
      </c>
      <c r="AB522" s="3">
        <f>IF(AND($M522=1,LEFT(对接源_01水果!$D522,4)="原料出库"),1,0)</f>
        <v>0</v>
      </c>
      <c r="AC522" s="3">
        <f t="shared" si="153"/>
        <v>0</v>
      </c>
      <c r="AD522" s="3">
        <f>IF(AND($M522=1,LEFT(对接源_01水果!$D522,4)="成品出库"),1,0)</f>
        <v>0</v>
      </c>
      <c r="AE522" s="3">
        <f t="shared" si="154"/>
        <v>0</v>
      </c>
      <c r="AF522" s="3">
        <f>IF(AND($N522=1,AND(LEFT(对接源_01水果!$D522,4)="包装物料",N(对接源_01水果!$K522)&lt;&gt;0)),1,0)</f>
        <v>0</v>
      </c>
      <c r="AG522" s="3">
        <f t="shared" si="155"/>
        <v>0</v>
      </c>
      <c r="AH522" s="3">
        <f>IF(AND($N522=1,AND(对接源_01水果!$D522="周转筐－销售出库",N(对接源_01水果!$K522)&lt;&gt;0)),1,0)</f>
        <v>0</v>
      </c>
      <c r="AI522" s="3">
        <f t="shared" si="156"/>
        <v>0</v>
      </c>
      <c r="AJ522" s="7"/>
      <c r="AL522" s="3">
        <f>IF(OR($AL$1="",对接源_01水果!$Y522="",对接源_01水果!$Y522&lt;&gt;$AL$1,对接源_01水果!$B522="",N(对接源_01水果!$AJ522)&lt;=0),0,IF(OR(N(对接源_01水果!$B522)&lt;$AL$2,N(对接源_01水果!$B522)&gt;$AL$3),0,1))</f>
        <v>0</v>
      </c>
      <c r="AM522" s="3">
        <f t="shared" si="157"/>
        <v>1</v>
      </c>
      <c r="AN522" s="3" t="str">
        <f>IF(对接源_01水果!$AC522="","",对接源_01水果!$AC522)</f>
        <v/>
      </c>
      <c r="AO522" s="3">
        <f t="shared" si="158"/>
        <v>0</v>
      </c>
      <c r="AP522" s="3">
        <f t="shared" si="159"/>
        <v>8</v>
      </c>
      <c r="AR522">
        <f t="shared" si="160"/>
        <v>0</v>
      </c>
      <c r="AS522">
        <f t="shared" si="161"/>
        <v>0</v>
      </c>
    </row>
    <row r="523" ht="14.25" customHeight="1" spans="1:45">
      <c r="A523" s="3" t="str">
        <f>IF(对接源_01水果!$C523="","",对接源_01水果!$C523)</f>
        <v/>
      </c>
      <c r="B523" s="3">
        <f t="shared" si="145"/>
        <v>0</v>
      </c>
      <c r="C523" s="3">
        <f t="shared" si="146"/>
        <v>18</v>
      </c>
      <c r="K523" s="3">
        <f>IF(OR($K$1="",对接源_01水果!$C523="",对接源_01水果!$C523&lt;&gt;$K$1,对接源_01水果!$B523=""),0,IF(OR(N(对接源_01水果!$B523)&lt;$K$2,N(对接源_01水果!$B523)&gt;$K$3),0,1))</f>
        <v>0</v>
      </c>
      <c r="L523" s="3">
        <f>IF(OR($L$1="",对接源_01水果!$C523="",对接源_01水果!$C523&lt;&gt;$L$1,对接源_01水果!$B523=""),0,IF(OR(N(对接源_01水果!$B523)&lt;$L$2,N(对接源_01水果!$B523)&gt;$L$3),0,1))</f>
        <v>0</v>
      </c>
      <c r="M523" s="3">
        <f>IF(OR($M$1="",对接源_01水果!$C523="",对接源_01水果!$C523&lt;&gt;$M$1,对接源_01水果!$B523=""),0,IF(OR(N(对接源_01水果!$B523)&lt;$M$2,N(对接源_01水果!$B523)&gt;$M$3),0,1))</f>
        <v>0</v>
      </c>
      <c r="N523" s="3">
        <f>IF(OR($N$1="",对接源_01水果!$C523="",对接源_01水果!$C523&lt;&gt;$N$1,对接源_01水果!$B523=""),0,IF(OR(N(对接源_01水果!$B523)&lt;$N$2,N(对接源_01水果!$B523)&gt;$N$3),0,1))</f>
        <v>0</v>
      </c>
      <c r="P523" s="3">
        <f>IF(AND($K523=1,AND(对接源_01水果!$X523="公司筐",N(对接源_01水果!$T523)&lt;&gt;0)),1,0)</f>
        <v>0</v>
      </c>
      <c r="Q523" s="3">
        <f t="shared" si="147"/>
        <v>0</v>
      </c>
      <c r="R523" s="3">
        <f>IF(AND($K523=1,AND(对接源_01水果!$X523="公司筐",N(对接源_01水果!$U523)&lt;&gt;0)),1,0)</f>
        <v>0</v>
      </c>
      <c r="S523" s="3">
        <f t="shared" si="148"/>
        <v>0</v>
      </c>
      <c r="T523" s="3">
        <f>IF(AND($K523=1,AND(对接源_01水果!$X523="公司筐",N(对接源_01水果!$V523)&lt;&gt;0)),1,0)</f>
        <v>0</v>
      </c>
      <c r="U523" s="3">
        <f t="shared" si="149"/>
        <v>19</v>
      </c>
      <c r="V523" s="3">
        <f>IF(AND($L523=1,AND(对接源_01水果!$X523="自备筐",N(对接源_01水果!$V523)&lt;&gt;0)),1,0)</f>
        <v>0</v>
      </c>
      <c r="W523" s="3">
        <f t="shared" si="150"/>
        <v>8</v>
      </c>
      <c r="X523" s="3">
        <f>IF(AND($L523=1,AND(对接源_01水果!$X523="自备筐",N(对接源_01水果!$T523)&lt;&gt;0)),1,0)</f>
        <v>0</v>
      </c>
      <c r="Y523" s="3">
        <f t="shared" si="151"/>
        <v>0</v>
      </c>
      <c r="Z523" s="3">
        <f>IF(AND($M523=1,对接源_01水果!$D523="原料入库"),1,0)</f>
        <v>0</v>
      </c>
      <c r="AA523" s="3">
        <f t="shared" si="152"/>
        <v>24</v>
      </c>
      <c r="AB523" s="3">
        <f>IF(AND($M523=1,LEFT(对接源_01水果!$D523,4)="原料出库"),1,0)</f>
        <v>0</v>
      </c>
      <c r="AC523" s="3">
        <f t="shared" si="153"/>
        <v>0</v>
      </c>
      <c r="AD523" s="3">
        <f>IF(AND($M523=1,LEFT(对接源_01水果!$D523,4)="成品出库"),1,0)</f>
        <v>0</v>
      </c>
      <c r="AE523" s="3">
        <f t="shared" si="154"/>
        <v>0</v>
      </c>
      <c r="AF523" s="3">
        <f>IF(AND($N523=1,AND(LEFT(对接源_01水果!$D523,4)="包装物料",N(对接源_01水果!$K523)&lt;&gt;0)),1,0)</f>
        <v>0</v>
      </c>
      <c r="AG523" s="3">
        <f t="shared" si="155"/>
        <v>0</v>
      </c>
      <c r="AH523" s="3">
        <f>IF(AND($N523=1,AND(对接源_01水果!$D523="周转筐－销售出库",N(对接源_01水果!$K523)&lt;&gt;0)),1,0)</f>
        <v>0</v>
      </c>
      <c r="AI523" s="3">
        <f t="shared" si="156"/>
        <v>0</v>
      </c>
      <c r="AJ523" s="7"/>
      <c r="AL523" s="3">
        <f>IF(OR($AL$1="",对接源_01水果!$Y523="",对接源_01水果!$Y523&lt;&gt;$AL$1,对接源_01水果!$B523="",N(对接源_01水果!$AJ523)&lt;=0),0,IF(OR(N(对接源_01水果!$B523)&lt;$AL$2,N(对接源_01水果!$B523)&gt;$AL$3),0,1))</f>
        <v>0</v>
      </c>
      <c r="AM523" s="3">
        <f t="shared" si="157"/>
        <v>1</v>
      </c>
      <c r="AN523" s="3" t="str">
        <f>IF(对接源_01水果!$AC523="","",对接源_01水果!$AC523)</f>
        <v/>
      </c>
      <c r="AO523" s="3">
        <f t="shared" si="158"/>
        <v>0</v>
      </c>
      <c r="AP523" s="3">
        <f t="shared" si="159"/>
        <v>8</v>
      </c>
      <c r="AR523">
        <f t="shared" si="160"/>
        <v>0</v>
      </c>
      <c r="AS523">
        <f t="shared" si="161"/>
        <v>0</v>
      </c>
    </row>
    <row r="524" ht="14.25" customHeight="1" spans="1:45">
      <c r="A524" s="3" t="str">
        <f>IF(对接源_01水果!$C524="","",对接源_01水果!$C524)</f>
        <v/>
      </c>
      <c r="B524" s="3">
        <f t="shared" si="145"/>
        <v>0</v>
      </c>
      <c r="C524" s="3">
        <f t="shared" si="146"/>
        <v>18</v>
      </c>
      <c r="K524" s="3">
        <f>IF(OR($K$1="",对接源_01水果!$C524="",对接源_01水果!$C524&lt;&gt;$K$1,对接源_01水果!$B524=""),0,IF(OR(N(对接源_01水果!$B524)&lt;$K$2,N(对接源_01水果!$B524)&gt;$K$3),0,1))</f>
        <v>0</v>
      </c>
      <c r="L524" s="3">
        <f>IF(OR($L$1="",对接源_01水果!$C524="",对接源_01水果!$C524&lt;&gt;$L$1,对接源_01水果!$B524=""),0,IF(OR(N(对接源_01水果!$B524)&lt;$L$2,N(对接源_01水果!$B524)&gt;$L$3),0,1))</f>
        <v>0</v>
      </c>
      <c r="M524" s="3">
        <f>IF(OR($M$1="",对接源_01水果!$C524="",对接源_01水果!$C524&lt;&gt;$M$1,对接源_01水果!$B524=""),0,IF(OR(N(对接源_01水果!$B524)&lt;$M$2,N(对接源_01水果!$B524)&gt;$M$3),0,1))</f>
        <v>0</v>
      </c>
      <c r="N524" s="3">
        <f>IF(OR($N$1="",对接源_01水果!$C524="",对接源_01水果!$C524&lt;&gt;$N$1,对接源_01水果!$B524=""),0,IF(OR(N(对接源_01水果!$B524)&lt;$N$2,N(对接源_01水果!$B524)&gt;$N$3),0,1))</f>
        <v>0</v>
      </c>
      <c r="P524" s="3">
        <f>IF(AND($K524=1,AND(对接源_01水果!$X524="公司筐",N(对接源_01水果!$T524)&lt;&gt;0)),1,0)</f>
        <v>0</v>
      </c>
      <c r="Q524" s="3">
        <f t="shared" si="147"/>
        <v>0</v>
      </c>
      <c r="R524" s="3">
        <f>IF(AND($K524=1,AND(对接源_01水果!$X524="公司筐",N(对接源_01水果!$U524)&lt;&gt;0)),1,0)</f>
        <v>0</v>
      </c>
      <c r="S524" s="3">
        <f t="shared" si="148"/>
        <v>0</v>
      </c>
      <c r="T524" s="3">
        <f>IF(AND($K524=1,AND(对接源_01水果!$X524="公司筐",N(对接源_01水果!$V524)&lt;&gt;0)),1,0)</f>
        <v>0</v>
      </c>
      <c r="U524" s="3">
        <f t="shared" si="149"/>
        <v>19</v>
      </c>
      <c r="V524" s="3">
        <f>IF(AND($L524=1,AND(对接源_01水果!$X524="自备筐",N(对接源_01水果!$V524)&lt;&gt;0)),1,0)</f>
        <v>0</v>
      </c>
      <c r="W524" s="3">
        <f t="shared" si="150"/>
        <v>8</v>
      </c>
      <c r="X524" s="3">
        <f>IF(AND($L524=1,AND(对接源_01水果!$X524="自备筐",N(对接源_01水果!$T524)&lt;&gt;0)),1,0)</f>
        <v>0</v>
      </c>
      <c r="Y524" s="3">
        <f t="shared" si="151"/>
        <v>0</v>
      </c>
      <c r="Z524" s="3">
        <f>IF(AND($M524=1,对接源_01水果!$D524="原料入库"),1,0)</f>
        <v>0</v>
      </c>
      <c r="AA524" s="3">
        <f t="shared" si="152"/>
        <v>24</v>
      </c>
      <c r="AB524" s="3">
        <f>IF(AND($M524=1,LEFT(对接源_01水果!$D524,4)="原料出库"),1,0)</f>
        <v>0</v>
      </c>
      <c r="AC524" s="3">
        <f t="shared" si="153"/>
        <v>0</v>
      </c>
      <c r="AD524" s="3">
        <f>IF(AND($M524=1,LEFT(对接源_01水果!$D524,4)="成品出库"),1,0)</f>
        <v>0</v>
      </c>
      <c r="AE524" s="3">
        <f t="shared" si="154"/>
        <v>0</v>
      </c>
      <c r="AF524" s="3">
        <f>IF(AND($N524=1,AND(LEFT(对接源_01水果!$D524,4)="包装物料",N(对接源_01水果!$K524)&lt;&gt;0)),1,0)</f>
        <v>0</v>
      </c>
      <c r="AG524" s="3">
        <f t="shared" si="155"/>
        <v>0</v>
      </c>
      <c r="AH524" s="3">
        <f>IF(AND($N524=1,AND(对接源_01水果!$D524="周转筐－销售出库",N(对接源_01水果!$K524)&lt;&gt;0)),1,0)</f>
        <v>0</v>
      </c>
      <c r="AI524" s="3">
        <f t="shared" si="156"/>
        <v>0</v>
      </c>
      <c r="AJ524" s="7"/>
      <c r="AL524" s="3">
        <f>IF(OR($AL$1="",对接源_01水果!$Y524="",对接源_01水果!$Y524&lt;&gt;$AL$1,对接源_01水果!$B524="",N(对接源_01水果!$AJ524)&lt;=0),0,IF(OR(N(对接源_01水果!$B524)&lt;$AL$2,N(对接源_01水果!$B524)&gt;$AL$3),0,1))</f>
        <v>0</v>
      </c>
      <c r="AM524" s="3">
        <f t="shared" si="157"/>
        <v>1</v>
      </c>
      <c r="AN524" s="3" t="str">
        <f>IF(对接源_01水果!$AC524="","",对接源_01水果!$AC524)</f>
        <v/>
      </c>
      <c r="AO524" s="3">
        <f t="shared" si="158"/>
        <v>0</v>
      </c>
      <c r="AP524" s="3">
        <f t="shared" si="159"/>
        <v>8</v>
      </c>
      <c r="AR524">
        <f t="shared" si="160"/>
        <v>0</v>
      </c>
      <c r="AS524">
        <f t="shared" si="161"/>
        <v>0</v>
      </c>
    </row>
    <row r="525" ht="14.25" customHeight="1" spans="1:45">
      <c r="A525" s="3" t="str">
        <f>IF(对接源_01水果!$C525="","",对接源_01水果!$C525)</f>
        <v/>
      </c>
      <c r="B525" s="3">
        <f t="shared" si="145"/>
        <v>0</v>
      </c>
      <c r="C525" s="3">
        <f t="shared" si="146"/>
        <v>18</v>
      </c>
      <c r="K525" s="3">
        <f>IF(OR($K$1="",对接源_01水果!$C525="",对接源_01水果!$C525&lt;&gt;$K$1,对接源_01水果!$B525=""),0,IF(OR(N(对接源_01水果!$B525)&lt;$K$2,N(对接源_01水果!$B525)&gt;$K$3),0,1))</f>
        <v>0</v>
      </c>
      <c r="L525" s="3">
        <f>IF(OR($L$1="",对接源_01水果!$C525="",对接源_01水果!$C525&lt;&gt;$L$1,对接源_01水果!$B525=""),0,IF(OR(N(对接源_01水果!$B525)&lt;$L$2,N(对接源_01水果!$B525)&gt;$L$3),0,1))</f>
        <v>0</v>
      </c>
      <c r="M525" s="3">
        <f>IF(OR($M$1="",对接源_01水果!$C525="",对接源_01水果!$C525&lt;&gt;$M$1,对接源_01水果!$B525=""),0,IF(OR(N(对接源_01水果!$B525)&lt;$M$2,N(对接源_01水果!$B525)&gt;$M$3),0,1))</f>
        <v>0</v>
      </c>
      <c r="N525" s="3">
        <f>IF(OR($N$1="",对接源_01水果!$C525="",对接源_01水果!$C525&lt;&gt;$N$1,对接源_01水果!$B525=""),0,IF(OR(N(对接源_01水果!$B525)&lt;$N$2,N(对接源_01水果!$B525)&gt;$N$3),0,1))</f>
        <v>0</v>
      </c>
      <c r="P525" s="3">
        <f>IF(AND($K525=1,AND(对接源_01水果!$X525="公司筐",N(对接源_01水果!$T525)&lt;&gt;0)),1,0)</f>
        <v>0</v>
      </c>
      <c r="Q525" s="3">
        <f t="shared" si="147"/>
        <v>0</v>
      </c>
      <c r="R525" s="3">
        <f>IF(AND($K525=1,AND(对接源_01水果!$X525="公司筐",N(对接源_01水果!$U525)&lt;&gt;0)),1,0)</f>
        <v>0</v>
      </c>
      <c r="S525" s="3">
        <f t="shared" si="148"/>
        <v>0</v>
      </c>
      <c r="T525" s="3">
        <f>IF(AND($K525=1,AND(对接源_01水果!$X525="公司筐",N(对接源_01水果!$V525)&lt;&gt;0)),1,0)</f>
        <v>0</v>
      </c>
      <c r="U525" s="3">
        <f t="shared" si="149"/>
        <v>19</v>
      </c>
      <c r="V525" s="3">
        <f>IF(AND($L525=1,AND(对接源_01水果!$X525="自备筐",N(对接源_01水果!$V525)&lt;&gt;0)),1,0)</f>
        <v>0</v>
      </c>
      <c r="W525" s="3">
        <f t="shared" si="150"/>
        <v>8</v>
      </c>
      <c r="X525" s="3">
        <f>IF(AND($L525=1,AND(对接源_01水果!$X525="自备筐",N(对接源_01水果!$T525)&lt;&gt;0)),1,0)</f>
        <v>0</v>
      </c>
      <c r="Y525" s="3">
        <f t="shared" si="151"/>
        <v>0</v>
      </c>
      <c r="Z525" s="3">
        <f>IF(AND($M525=1,对接源_01水果!$D525="原料入库"),1,0)</f>
        <v>0</v>
      </c>
      <c r="AA525" s="3">
        <f t="shared" si="152"/>
        <v>24</v>
      </c>
      <c r="AB525" s="3">
        <f>IF(AND($M525=1,LEFT(对接源_01水果!$D525,4)="原料出库"),1,0)</f>
        <v>0</v>
      </c>
      <c r="AC525" s="3">
        <f t="shared" si="153"/>
        <v>0</v>
      </c>
      <c r="AD525" s="3">
        <f>IF(AND($M525=1,LEFT(对接源_01水果!$D525,4)="成品出库"),1,0)</f>
        <v>0</v>
      </c>
      <c r="AE525" s="3">
        <f t="shared" si="154"/>
        <v>0</v>
      </c>
      <c r="AF525" s="3">
        <f>IF(AND($N525=1,AND(LEFT(对接源_01水果!$D525,4)="包装物料",N(对接源_01水果!$K525)&lt;&gt;0)),1,0)</f>
        <v>0</v>
      </c>
      <c r="AG525" s="3">
        <f t="shared" si="155"/>
        <v>0</v>
      </c>
      <c r="AH525" s="3">
        <f>IF(AND($N525=1,AND(对接源_01水果!$D525="周转筐－销售出库",N(对接源_01水果!$K525)&lt;&gt;0)),1,0)</f>
        <v>0</v>
      </c>
      <c r="AI525" s="3">
        <f t="shared" si="156"/>
        <v>0</v>
      </c>
      <c r="AJ525" s="7"/>
      <c r="AL525" s="3">
        <f>IF(OR($AL$1="",对接源_01水果!$Y525="",对接源_01水果!$Y525&lt;&gt;$AL$1,对接源_01水果!$B525="",N(对接源_01水果!$AJ525)&lt;=0),0,IF(OR(N(对接源_01水果!$B525)&lt;$AL$2,N(对接源_01水果!$B525)&gt;$AL$3),0,1))</f>
        <v>0</v>
      </c>
      <c r="AM525" s="3">
        <f t="shared" si="157"/>
        <v>1</v>
      </c>
      <c r="AN525" s="3" t="str">
        <f>IF(对接源_01水果!$AC525="","",对接源_01水果!$AC525)</f>
        <v/>
      </c>
      <c r="AO525" s="3">
        <f t="shared" si="158"/>
        <v>0</v>
      </c>
      <c r="AP525" s="3">
        <f t="shared" si="159"/>
        <v>8</v>
      </c>
      <c r="AR525">
        <f t="shared" si="160"/>
        <v>0</v>
      </c>
      <c r="AS525">
        <f t="shared" si="161"/>
        <v>0</v>
      </c>
    </row>
    <row r="526" ht="14.25" customHeight="1" spans="1:45">
      <c r="A526" s="3" t="str">
        <f>IF(对接源_01水果!$C526="","",对接源_01水果!$C526)</f>
        <v/>
      </c>
      <c r="B526" s="3">
        <f t="shared" si="145"/>
        <v>0</v>
      </c>
      <c r="C526" s="3">
        <f t="shared" si="146"/>
        <v>18</v>
      </c>
      <c r="K526" s="3">
        <f>IF(OR($K$1="",对接源_01水果!$C526="",对接源_01水果!$C526&lt;&gt;$K$1,对接源_01水果!$B526=""),0,IF(OR(N(对接源_01水果!$B526)&lt;$K$2,N(对接源_01水果!$B526)&gt;$K$3),0,1))</f>
        <v>0</v>
      </c>
      <c r="L526" s="3">
        <f>IF(OR($L$1="",对接源_01水果!$C526="",对接源_01水果!$C526&lt;&gt;$L$1,对接源_01水果!$B526=""),0,IF(OR(N(对接源_01水果!$B526)&lt;$L$2,N(对接源_01水果!$B526)&gt;$L$3),0,1))</f>
        <v>0</v>
      </c>
      <c r="M526" s="3">
        <f>IF(OR($M$1="",对接源_01水果!$C526="",对接源_01水果!$C526&lt;&gt;$M$1,对接源_01水果!$B526=""),0,IF(OR(N(对接源_01水果!$B526)&lt;$M$2,N(对接源_01水果!$B526)&gt;$M$3),0,1))</f>
        <v>0</v>
      </c>
      <c r="N526" s="3">
        <f>IF(OR($N$1="",对接源_01水果!$C526="",对接源_01水果!$C526&lt;&gt;$N$1,对接源_01水果!$B526=""),0,IF(OR(N(对接源_01水果!$B526)&lt;$N$2,N(对接源_01水果!$B526)&gt;$N$3),0,1))</f>
        <v>0</v>
      </c>
      <c r="P526" s="3">
        <f>IF(AND($K526=1,AND(对接源_01水果!$X526="公司筐",N(对接源_01水果!$T526)&lt;&gt;0)),1,0)</f>
        <v>0</v>
      </c>
      <c r="Q526" s="3">
        <f t="shared" si="147"/>
        <v>0</v>
      </c>
      <c r="R526" s="3">
        <f>IF(AND($K526=1,AND(对接源_01水果!$X526="公司筐",N(对接源_01水果!$U526)&lt;&gt;0)),1,0)</f>
        <v>0</v>
      </c>
      <c r="S526" s="3">
        <f t="shared" si="148"/>
        <v>0</v>
      </c>
      <c r="T526" s="3">
        <f>IF(AND($K526=1,AND(对接源_01水果!$X526="公司筐",N(对接源_01水果!$V526)&lt;&gt;0)),1,0)</f>
        <v>0</v>
      </c>
      <c r="U526" s="3">
        <f t="shared" si="149"/>
        <v>19</v>
      </c>
      <c r="V526" s="3">
        <f>IF(AND($L526=1,AND(对接源_01水果!$X526="自备筐",N(对接源_01水果!$V526)&lt;&gt;0)),1,0)</f>
        <v>0</v>
      </c>
      <c r="W526" s="3">
        <f t="shared" si="150"/>
        <v>8</v>
      </c>
      <c r="X526" s="3">
        <f>IF(AND($L526=1,AND(对接源_01水果!$X526="自备筐",N(对接源_01水果!$T526)&lt;&gt;0)),1,0)</f>
        <v>0</v>
      </c>
      <c r="Y526" s="3">
        <f t="shared" si="151"/>
        <v>0</v>
      </c>
      <c r="Z526" s="3">
        <f>IF(AND($M526=1,对接源_01水果!$D526="原料入库"),1,0)</f>
        <v>0</v>
      </c>
      <c r="AA526" s="3">
        <f t="shared" si="152"/>
        <v>24</v>
      </c>
      <c r="AB526" s="3">
        <f>IF(AND($M526=1,LEFT(对接源_01水果!$D526,4)="原料出库"),1,0)</f>
        <v>0</v>
      </c>
      <c r="AC526" s="3">
        <f t="shared" si="153"/>
        <v>0</v>
      </c>
      <c r="AD526" s="3">
        <f>IF(AND($M526=1,LEFT(对接源_01水果!$D526,4)="成品出库"),1,0)</f>
        <v>0</v>
      </c>
      <c r="AE526" s="3">
        <f t="shared" si="154"/>
        <v>0</v>
      </c>
      <c r="AF526" s="3">
        <f>IF(AND($N526=1,AND(LEFT(对接源_01水果!$D526,4)="包装物料",N(对接源_01水果!$K526)&lt;&gt;0)),1,0)</f>
        <v>0</v>
      </c>
      <c r="AG526" s="3">
        <f t="shared" si="155"/>
        <v>0</v>
      </c>
      <c r="AH526" s="3">
        <f>IF(AND($N526=1,AND(对接源_01水果!$D526="周转筐－销售出库",N(对接源_01水果!$K526)&lt;&gt;0)),1,0)</f>
        <v>0</v>
      </c>
      <c r="AI526" s="3">
        <f t="shared" si="156"/>
        <v>0</v>
      </c>
      <c r="AJ526" s="7"/>
      <c r="AL526" s="3">
        <f>IF(OR($AL$1="",对接源_01水果!$Y526="",对接源_01水果!$Y526&lt;&gt;$AL$1,对接源_01水果!$B526="",N(对接源_01水果!$AJ526)&lt;=0),0,IF(OR(N(对接源_01水果!$B526)&lt;$AL$2,N(对接源_01水果!$B526)&gt;$AL$3),0,1))</f>
        <v>0</v>
      </c>
      <c r="AM526" s="3">
        <f t="shared" si="157"/>
        <v>1</v>
      </c>
      <c r="AN526" s="3" t="str">
        <f>IF(对接源_01水果!$AC526="","",对接源_01水果!$AC526)</f>
        <v/>
      </c>
      <c r="AO526" s="3">
        <f t="shared" si="158"/>
        <v>0</v>
      </c>
      <c r="AP526" s="3">
        <f t="shared" si="159"/>
        <v>8</v>
      </c>
      <c r="AR526">
        <f t="shared" si="160"/>
        <v>0</v>
      </c>
      <c r="AS526">
        <f t="shared" si="161"/>
        <v>0</v>
      </c>
    </row>
    <row r="527" ht="14.25" customHeight="1" spans="1:45">
      <c r="A527" s="3" t="str">
        <f>IF(对接源_01水果!$C527="","",对接源_01水果!$C527)</f>
        <v/>
      </c>
      <c r="B527" s="3">
        <f t="shared" si="145"/>
        <v>0</v>
      </c>
      <c r="C527" s="3">
        <f t="shared" si="146"/>
        <v>18</v>
      </c>
      <c r="K527" s="3">
        <f>IF(OR($K$1="",对接源_01水果!$C527="",对接源_01水果!$C527&lt;&gt;$K$1,对接源_01水果!$B527=""),0,IF(OR(N(对接源_01水果!$B527)&lt;$K$2,N(对接源_01水果!$B527)&gt;$K$3),0,1))</f>
        <v>0</v>
      </c>
      <c r="L527" s="3">
        <f>IF(OR($L$1="",对接源_01水果!$C527="",对接源_01水果!$C527&lt;&gt;$L$1,对接源_01水果!$B527=""),0,IF(OR(N(对接源_01水果!$B527)&lt;$L$2,N(对接源_01水果!$B527)&gt;$L$3),0,1))</f>
        <v>0</v>
      </c>
      <c r="M527" s="3">
        <f>IF(OR($M$1="",对接源_01水果!$C527="",对接源_01水果!$C527&lt;&gt;$M$1,对接源_01水果!$B527=""),0,IF(OR(N(对接源_01水果!$B527)&lt;$M$2,N(对接源_01水果!$B527)&gt;$M$3),0,1))</f>
        <v>0</v>
      </c>
      <c r="N527" s="3">
        <f>IF(OR($N$1="",对接源_01水果!$C527="",对接源_01水果!$C527&lt;&gt;$N$1,对接源_01水果!$B527=""),0,IF(OR(N(对接源_01水果!$B527)&lt;$N$2,N(对接源_01水果!$B527)&gt;$N$3),0,1))</f>
        <v>0</v>
      </c>
      <c r="P527" s="3">
        <f>IF(AND($K527=1,AND(对接源_01水果!$X527="公司筐",N(对接源_01水果!$T527)&lt;&gt;0)),1,0)</f>
        <v>0</v>
      </c>
      <c r="Q527" s="3">
        <f t="shared" si="147"/>
        <v>0</v>
      </c>
      <c r="R527" s="3">
        <f>IF(AND($K527=1,AND(对接源_01水果!$X527="公司筐",N(对接源_01水果!$U527)&lt;&gt;0)),1,0)</f>
        <v>0</v>
      </c>
      <c r="S527" s="3">
        <f t="shared" si="148"/>
        <v>0</v>
      </c>
      <c r="T527" s="3">
        <f>IF(AND($K527=1,AND(对接源_01水果!$X527="公司筐",N(对接源_01水果!$V527)&lt;&gt;0)),1,0)</f>
        <v>0</v>
      </c>
      <c r="U527" s="3">
        <f t="shared" si="149"/>
        <v>19</v>
      </c>
      <c r="V527" s="3">
        <f>IF(AND($L527=1,AND(对接源_01水果!$X527="自备筐",N(对接源_01水果!$V527)&lt;&gt;0)),1,0)</f>
        <v>0</v>
      </c>
      <c r="W527" s="3">
        <f t="shared" si="150"/>
        <v>8</v>
      </c>
      <c r="X527" s="3">
        <f>IF(AND($L527=1,AND(对接源_01水果!$X527="自备筐",N(对接源_01水果!$T527)&lt;&gt;0)),1,0)</f>
        <v>0</v>
      </c>
      <c r="Y527" s="3">
        <f t="shared" si="151"/>
        <v>0</v>
      </c>
      <c r="Z527" s="3">
        <f>IF(AND($M527=1,对接源_01水果!$D527="原料入库"),1,0)</f>
        <v>0</v>
      </c>
      <c r="AA527" s="3">
        <f t="shared" si="152"/>
        <v>24</v>
      </c>
      <c r="AB527" s="3">
        <f>IF(AND($M527=1,LEFT(对接源_01水果!$D527,4)="原料出库"),1,0)</f>
        <v>0</v>
      </c>
      <c r="AC527" s="3">
        <f t="shared" si="153"/>
        <v>0</v>
      </c>
      <c r="AD527" s="3">
        <f>IF(AND($M527=1,LEFT(对接源_01水果!$D527,4)="成品出库"),1,0)</f>
        <v>0</v>
      </c>
      <c r="AE527" s="3">
        <f t="shared" si="154"/>
        <v>0</v>
      </c>
      <c r="AF527" s="3">
        <f>IF(AND($N527=1,AND(LEFT(对接源_01水果!$D527,4)="包装物料",N(对接源_01水果!$K527)&lt;&gt;0)),1,0)</f>
        <v>0</v>
      </c>
      <c r="AG527" s="3">
        <f t="shared" si="155"/>
        <v>0</v>
      </c>
      <c r="AH527" s="3">
        <f>IF(AND($N527=1,AND(对接源_01水果!$D527="周转筐－销售出库",N(对接源_01水果!$K527)&lt;&gt;0)),1,0)</f>
        <v>0</v>
      </c>
      <c r="AI527" s="3">
        <f t="shared" si="156"/>
        <v>0</v>
      </c>
      <c r="AJ527" s="7"/>
      <c r="AL527" s="3">
        <f>IF(OR($AL$1="",对接源_01水果!$Y527="",对接源_01水果!$Y527&lt;&gt;$AL$1,对接源_01水果!$B527="",N(对接源_01水果!$AJ527)&lt;=0),0,IF(OR(N(对接源_01水果!$B527)&lt;$AL$2,N(对接源_01水果!$B527)&gt;$AL$3),0,1))</f>
        <v>0</v>
      </c>
      <c r="AM527" s="3">
        <f t="shared" si="157"/>
        <v>1</v>
      </c>
      <c r="AN527" s="3" t="str">
        <f>IF(对接源_01水果!$AC527="","",对接源_01水果!$AC527)</f>
        <v/>
      </c>
      <c r="AO527" s="3">
        <f t="shared" si="158"/>
        <v>0</v>
      </c>
      <c r="AP527" s="3">
        <f t="shared" si="159"/>
        <v>8</v>
      </c>
      <c r="AR527">
        <f t="shared" si="160"/>
        <v>0</v>
      </c>
      <c r="AS527">
        <f t="shared" si="161"/>
        <v>0</v>
      </c>
    </row>
    <row r="528" ht="14.25" customHeight="1" spans="1:45">
      <c r="A528" s="3" t="str">
        <f>IF(对接源_01水果!$C528="","",对接源_01水果!$C528)</f>
        <v/>
      </c>
      <c r="B528" s="3">
        <f t="shared" si="145"/>
        <v>0</v>
      </c>
      <c r="C528" s="3">
        <f t="shared" si="146"/>
        <v>18</v>
      </c>
      <c r="K528" s="3">
        <f>IF(OR($K$1="",对接源_01水果!$C528="",对接源_01水果!$C528&lt;&gt;$K$1,对接源_01水果!$B528=""),0,IF(OR(N(对接源_01水果!$B528)&lt;$K$2,N(对接源_01水果!$B528)&gt;$K$3),0,1))</f>
        <v>0</v>
      </c>
      <c r="L528" s="3">
        <f>IF(OR($L$1="",对接源_01水果!$C528="",对接源_01水果!$C528&lt;&gt;$L$1,对接源_01水果!$B528=""),0,IF(OR(N(对接源_01水果!$B528)&lt;$L$2,N(对接源_01水果!$B528)&gt;$L$3),0,1))</f>
        <v>0</v>
      </c>
      <c r="M528" s="3">
        <f>IF(OR($M$1="",对接源_01水果!$C528="",对接源_01水果!$C528&lt;&gt;$M$1,对接源_01水果!$B528=""),0,IF(OR(N(对接源_01水果!$B528)&lt;$M$2,N(对接源_01水果!$B528)&gt;$M$3),0,1))</f>
        <v>0</v>
      </c>
      <c r="N528" s="3">
        <f>IF(OR($N$1="",对接源_01水果!$C528="",对接源_01水果!$C528&lt;&gt;$N$1,对接源_01水果!$B528=""),0,IF(OR(N(对接源_01水果!$B528)&lt;$N$2,N(对接源_01水果!$B528)&gt;$N$3),0,1))</f>
        <v>0</v>
      </c>
      <c r="P528" s="3">
        <f>IF(AND($K528=1,AND(对接源_01水果!$X528="公司筐",N(对接源_01水果!$T528)&lt;&gt;0)),1,0)</f>
        <v>0</v>
      </c>
      <c r="Q528" s="3">
        <f t="shared" si="147"/>
        <v>0</v>
      </c>
      <c r="R528" s="3">
        <f>IF(AND($K528=1,AND(对接源_01水果!$X528="公司筐",N(对接源_01水果!$U528)&lt;&gt;0)),1,0)</f>
        <v>0</v>
      </c>
      <c r="S528" s="3">
        <f t="shared" si="148"/>
        <v>0</v>
      </c>
      <c r="T528" s="3">
        <f>IF(AND($K528=1,AND(对接源_01水果!$X528="公司筐",N(对接源_01水果!$V528)&lt;&gt;0)),1,0)</f>
        <v>0</v>
      </c>
      <c r="U528" s="3">
        <f t="shared" si="149"/>
        <v>19</v>
      </c>
      <c r="V528" s="3">
        <f>IF(AND($L528=1,AND(对接源_01水果!$X528="自备筐",N(对接源_01水果!$V528)&lt;&gt;0)),1,0)</f>
        <v>0</v>
      </c>
      <c r="W528" s="3">
        <f t="shared" si="150"/>
        <v>8</v>
      </c>
      <c r="X528" s="3">
        <f>IF(AND($L528=1,AND(对接源_01水果!$X528="自备筐",N(对接源_01水果!$T528)&lt;&gt;0)),1,0)</f>
        <v>0</v>
      </c>
      <c r="Y528" s="3">
        <f t="shared" si="151"/>
        <v>0</v>
      </c>
      <c r="Z528" s="3">
        <f>IF(AND($M528=1,对接源_01水果!$D528="原料入库"),1,0)</f>
        <v>0</v>
      </c>
      <c r="AA528" s="3">
        <f t="shared" si="152"/>
        <v>24</v>
      </c>
      <c r="AB528" s="3">
        <f>IF(AND($M528=1,LEFT(对接源_01水果!$D528,4)="原料出库"),1,0)</f>
        <v>0</v>
      </c>
      <c r="AC528" s="3">
        <f t="shared" si="153"/>
        <v>0</v>
      </c>
      <c r="AD528" s="3">
        <f>IF(AND($M528=1,LEFT(对接源_01水果!$D528,4)="成品出库"),1,0)</f>
        <v>0</v>
      </c>
      <c r="AE528" s="3">
        <f t="shared" si="154"/>
        <v>0</v>
      </c>
      <c r="AF528" s="3">
        <f>IF(AND($N528=1,AND(LEFT(对接源_01水果!$D528,4)="包装物料",N(对接源_01水果!$K528)&lt;&gt;0)),1,0)</f>
        <v>0</v>
      </c>
      <c r="AG528" s="3">
        <f t="shared" si="155"/>
        <v>0</v>
      </c>
      <c r="AH528" s="3">
        <f>IF(AND($N528=1,AND(对接源_01水果!$D528="周转筐－销售出库",N(对接源_01水果!$K528)&lt;&gt;0)),1,0)</f>
        <v>0</v>
      </c>
      <c r="AI528" s="3">
        <f t="shared" si="156"/>
        <v>0</v>
      </c>
      <c r="AJ528" s="7"/>
      <c r="AL528" s="3">
        <f>IF(OR($AL$1="",对接源_01水果!$Y528="",对接源_01水果!$Y528&lt;&gt;$AL$1,对接源_01水果!$B528="",N(对接源_01水果!$AJ528)&lt;=0),0,IF(OR(N(对接源_01水果!$B528)&lt;$AL$2,N(对接源_01水果!$B528)&gt;$AL$3),0,1))</f>
        <v>0</v>
      </c>
      <c r="AM528" s="3">
        <f t="shared" si="157"/>
        <v>1</v>
      </c>
      <c r="AN528" s="3" t="str">
        <f>IF(对接源_01水果!$AC528="","",对接源_01水果!$AC528)</f>
        <v/>
      </c>
      <c r="AO528" s="3">
        <f t="shared" si="158"/>
        <v>0</v>
      </c>
      <c r="AP528" s="3">
        <f t="shared" si="159"/>
        <v>8</v>
      </c>
      <c r="AR528">
        <f t="shared" si="160"/>
        <v>0</v>
      </c>
      <c r="AS528">
        <f t="shared" si="161"/>
        <v>0</v>
      </c>
    </row>
    <row r="529" ht="14.25" customHeight="1" spans="1:45">
      <c r="A529" s="3" t="str">
        <f>IF(对接源_01水果!$C529="","",对接源_01水果!$C529)</f>
        <v/>
      </c>
      <c r="B529" s="3">
        <f t="shared" si="145"/>
        <v>0</v>
      </c>
      <c r="C529" s="3">
        <f t="shared" si="146"/>
        <v>18</v>
      </c>
      <c r="K529" s="3">
        <f>IF(OR($K$1="",对接源_01水果!$C529="",对接源_01水果!$C529&lt;&gt;$K$1,对接源_01水果!$B529=""),0,IF(OR(N(对接源_01水果!$B529)&lt;$K$2,N(对接源_01水果!$B529)&gt;$K$3),0,1))</f>
        <v>0</v>
      </c>
      <c r="L529" s="3">
        <f>IF(OR($L$1="",对接源_01水果!$C529="",对接源_01水果!$C529&lt;&gt;$L$1,对接源_01水果!$B529=""),0,IF(OR(N(对接源_01水果!$B529)&lt;$L$2,N(对接源_01水果!$B529)&gt;$L$3),0,1))</f>
        <v>0</v>
      </c>
      <c r="M529" s="3">
        <f>IF(OR($M$1="",对接源_01水果!$C529="",对接源_01水果!$C529&lt;&gt;$M$1,对接源_01水果!$B529=""),0,IF(OR(N(对接源_01水果!$B529)&lt;$M$2,N(对接源_01水果!$B529)&gt;$M$3),0,1))</f>
        <v>0</v>
      </c>
      <c r="N529" s="3">
        <f>IF(OR($N$1="",对接源_01水果!$C529="",对接源_01水果!$C529&lt;&gt;$N$1,对接源_01水果!$B529=""),0,IF(OR(N(对接源_01水果!$B529)&lt;$N$2,N(对接源_01水果!$B529)&gt;$N$3),0,1))</f>
        <v>0</v>
      </c>
      <c r="P529" s="3">
        <f>IF(AND($K529=1,AND(对接源_01水果!$X529="公司筐",N(对接源_01水果!$T529)&lt;&gt;0)),1,0)</f>
        <v>0</v>
      </c>
      <c r="Q529" s="3">
        <f t="shared" si="147"/>
        <v>0</v>
      </c>
      <c r="R529" s="3">
        <f>IF(AND($K529=1,AND(对接源_01水果!$X529="公司筐",N(对接源_01水果!$U529)&lt;&gt;0)),1,0)</f>
        <v>0</v>
      </c>
      <c r="S529" s="3">
        <f t="shared" si="148"/>
        <v>0</v>
      </c>
      <c r="T529" s="3">
        <f>IF(AND($K529=1,AND(对接源_01水果!$X529="公司筐",N(对接源_01水果!$V529)&lt;&gt;0)),1,0)</f>
        <v>0</v>
      </c>
      <c r="U529" s="3">
        <f t="shared" si="149"/>
        <v>19</v>
      </c>
      <c r="V529" s="3">
        <f>IF(AND($L529=1,AND(对接源_01水果!$X529="自备筐",N(对接源_01水果!$V529)&lt;&gt;0)),1,0)</f>
        <v>0</v>
      </c>
      <c r="W529" s="3">
        <f t="shared" si="150"/>
        <v>8</v>
      </c>
      <c r="X529" s="3">
        <f>IF(AND($L529=1,AND(对接源_01水果!$X529="自备筐",N(对接源_01水果!$T529)&lt;&gt;0)),1,0)</f>
        <v>0</v>
      </c>
      <c r="Y529" s="3">
        <f t="shared" si="151"/>
        <v>0</v>
      </c>
      <c r="Z529" s="3">
        <f>IF(AND($M529=1,对接源_01水果!$D529="原料入库"),1,0)</f>
        <v>0</v>
      </c>
      <c r="AA529" s="3">
        <f t="shared" si="152"/>
        <v>24</v>
      </c>
      <c r="AB529" s="3">
        <f>IF(AND($M529=1,LEFT(对接源_01水果!$D529,4)="原料出库"),1,0)</f>
        <v>0</v>
      </c>
      <c r="AC529" s="3">
        <f t="shared" si="153"/>
        <v>0</v>
      </c>
      <c r="AD529" s="3">
        <f>IF(AND($M529=1,LEFT(对接源_01水果!$D529,4)="成品出库"),1,0)</f>
        <v>0</v>
      </c>
      <c r="AE529" s="3">
        <f t="shared" si="154"/>
        <v>0</v>
      </c>
      <c r="AF529" s="3">
        <f>IF(AND($N529=1,AND(LEFT(对接源_01水果!$D529,4)="包装物料",N(对接源_01水果!$K529)&lt;&gt;0)),1,0)</f>
        <v>0</v>
      </c>
      <c r="AG529" s="3">
        <f t="shared" si="155"/>
        <v>0</v>
      </c>
      <c r="AH529" s="3">
        <f>IF(AND($N529=1,AND(对接源_01水果!$D529="周转筐－销售出库",N(对接源_01水果!$K529)&lt;&gt;0)),1,0)</f>
        <v>0</v>
      </c>
      <c r="AI529" s="3">
        <f t="shared" si="156"/>
        <v>0</v>
      </c>
      <c r="AJ529" s="7"/>
      <c r="AL529" s="3">
        <f>IF(OR($AL$1="",对接源_01水果!$Y529="",对接源_01水果!$Y529&lt;&gt;$AL$1,对接源_01水果!$B529="",N(对接源_01水果!$AJ529)&lt;=0),0,IF(OR(N(对接源_01水果!$B529)&lt;$AL$2,N(对接源_01水果!$B529)&gt;$AL$3),0,1))</f>
        <v>0</v>
      </c>
      <c r="AM529" s="3">
        <f t="shared" si="157"/>
        <v>1</v>
      </c>
      <c r="AN529" s="3" t="str">
        <f>IF(对接源_01水果!$AC529="","",对接源_01水果!$AC529)</f>
        <v/>
      </c>
      <c r="AO529" s="3">
        <f t="shared" si="158"/>
        <v>0</v>
      </c>
      <c r="AP529" s="3">
        <f t="shared" si="159"/>
        <v>8</v>
      </c>
      <c r="AR529">
        <f t="shared" si="160"/>
        <v>0</v>
      </c>
      <c r="AS529">
        <f t="shared" si="161"/>
        <v>0</v>
      </c>
    </row>
    <row r="530" ht="14.25" customHeight="1" spans="1:45">
      <c r="A530" s="3" t="str">
        <f>IF(对接源_01水果!$C530="","",对接源_01水果!$C530)</f>
        <v/>
      </c>
      <c r="B530" s="3">
        <f t="shared" si="145"/>
        <v>0</v>
      </c>
      <c r="C530" s="3">
        <f t="shared" si="146"/>
        <v>18</v>
      </c>
      <c r="K530" s="3">
        <f>IF(OR($K$1="",对接源_01水果!$C530="",对接源_01水果!$C530&lt;&gt;$K$1,对接源_01水果!$B530=""),0,IF(OR(N(对接源_01水果!$B530)&lt;$K$2,N(对接源_01水果!$B530)&gt;$K$3),0,1))</f>
        <v>0</v>
      </c>
      <c r="L530" s="3">
        <f>IF(OR($L$1="",对接源_01水果!$C530="",对接源_01水果!$C530&lt;&gt;$L$1,对接源_01水果!$B530=""),0,IF(OR(N(对接源_01水果!$B530)&lt;$L$2,N(对接源_01水果!$B530)&gt;$L$3),0,1))</f>
        <v>0</v>
      </c>
      <c r="M530" s="3">
        <f>IF(OR($M$1="",对接源_01水果!$C530="",对接源_01水果!$C530&lt;&gt;$M$1,对接源_01水果!$B530=""),0,IF(OR(N(对接源_01水果!$B530)&lt;$M$2,N(对接源_01水果!$B530)&gt;$M$3),0,1))</f>
        <v>0</v>
      </c>
      <c r="N530" s="3">
        <f>IF(OR($N$1="",对接源_01水果!$C530="",对接源_01水果!$C530&lt;&gt;$N$1,对接源_01水果!$B530=""),0,IF(OR(N(对接源_01水果!$B530)&lt;$N$2,N(对接源_01水果!$B530)&gt;$N$3),0,1))</f>
        <v>0</v>
      </c>
      <c r="P530" s="3">
        <f>IF(AND($K530=1,AND(对接源_01水果!$X530="公司筐",N(对接源_01水果!$T530)&lt;&gt;0)),1,0)</f>
        <v>0</v>
      </c>
      <c r="Q530" s="3">
        <f t="shared" si="147"/>
        <v>0</v>
      </c>
      <c r="R530" s="3">
        <f>IF(AND($K530=1,AND(对接源_01水果!$X530="公司筐",N(对接源_01水果!$U530)&lt;&gt;0)),1,0)</f>
        <v>0</v>
      </c>
      <c r="S530" s="3">
        <f t="shared" si="148"/>
        <v>0</v>
      </c>
      <c r="T530" s="3">
        <f>IF(AND($K530=1,AND(对接源_01水果!$X530="公司筐",N(对接源_01水果!$V530)&lt;&gt;0)),1,0)</f>
        <v>0</v>
      </c>
      <c r="U530" s="3">
        <f t="shared" si="149"/>
        <v>19</v>
      </c>
      <c r="V530" s="3">
        <f>IF(AND($L530=1,AND(对接源_01水果!$X530="自备筐",N(对接源_01水果!$V530)&lt;&gt;0)),1,0)</f>
        <v>0</v>
      </c>
      <c r="W530" s="3">
        <f t="shared" si="150"/>
        <v>8</v>
      </c>
      <c r="X530" s="3">
        <f>IF(AND($L530=1,AND(对接源_01水果!$X530="自备筐",N(对接源_01水果!$T530)&lt;&gt;0)),1,0)</f>
        <v>0</v>
      </c>
      <c r="Y530" s="3">
        <f t="shared" si="151"/>
        <v>0</v>
      </c>
      <c r="Z530" s="3">
        <f>IF(AND($M530=1,对接源_01水果!$D530="原料入库"),1,0)</f>
        <v>0</v>
      </c>
      <c r="AA530" s="3">
        <f t="shared" si="152"/>
        <v>24</v>
      </c>
      <c r="AB530" s="3">
        <f>IF(AND($M530=1,LEFT(对接源_01水果!$D530,4)="原料出库"),1,0)</f>
        <v>0</v>
      </c>
      <c r="AC530" s="3">
        <f t="shared" si="153"/>
        <v>0</v>
      </c>
      <c r="AD530" s="3">
        <f>IF(AND($M530=1,LEFT(对接源_01水果!$D530,4)="成品出库"),1,0)</f>
        <v>0</v>
      </c>
      <c r="AE530" s="3">
        <f t="shared" si="154"/>
        <v>0</v>
      </c>
      <c r="AF530" s="3">
        <f>IF(AND($N530=1,AND(LEFT(对接源_01水果!$D530,4)="包装物料",N(对接源_01水果!$K530)&lt;&gt;0)),1,0)</f>
        <v>0</v>
      </c>
      <c r="AG530" s="3">
        <f t="shared" si="155"/>
        <v>0</v>
      </c>
      <c r="AH530" s="3">
        <f>IF(AND($N530=1,AND(对接源_01水果!$D530="周转筐－销售出库",N(对接源_01水果!$K530)&lt;&gt;0)),1,0)</f>
        <v>0</v>
      </c>
      <c r="AI530" s="3">
        <f t="shared" si="156"/>
        <v>0</v>
      </c>
      <c r="AJ530" s="7"/>
      <c r="AL530" s="3">
        <f>IF(OR($AL$1="",对接源_01水果!$Y530="",对接源_01水果!$Y530&lt;&gt;$AL$1,对接源_01水果!$B530="",N(对接源_01水果!$AJ530)&lt;=0),0,IF(OR(N(对接源_01水果!$B530)&lt;$AL$2,N(对接源_01水果!$B530)&gt;$AL$3),0,1))</f>
        <v>0</v>
      </c>
      <c r="AM530" s="3">
        <f t="shared" si="157"/>
        <v>1</v>
      </c>
      <c r="AN530" s="3" t="str">
        <f>IF(对接源_01水果!$AC530="","",对接源_01水果!$AC530)</f>
        <v/>
      </c>
      <c r="AO530" s="3">
        <f t="shared" si="158"/>
        <v>0</v>
      </c>
      <c r="AP530" s="3">
        <f t="shared" si="159"/>
        <v>8</v>
      </c>
      <c r="AR530">
        <f t="shared" si="160"/>
        <v>0</v>
      </c>
      <c r="AS530">
        <f t="shared" si="161"/>
        <v>0</v>
      </c>
    </row>
    <row r="531" ht="14.25" customHeight="1" spans="1:45">
      <c r="A531" s="3" t="str">
        <f>IF(对接源_01水果!$C531="","",对接源_01水果!$C531)</f>
        <v/>
      </c>
      <c r="B531" s="3">
        <f t="shared" si="145"/>
        <v>0</v>
      </c>
      <c r="C531" s="3">
        <f t="shared" si="146"/>
        <v>18</v>
      </c>
      <c r="K531" s="3">
        <f>IF(OR($K$1="",对接源_01水果!$C531="",对接源_01水果!$C531&lt;&gt;$K$1,对接源_01水果!$B531=""),0,IF(OR(N(对接源_01水果!$B531)&lt;$K$2,N(对接源_01水果!$B531)&gt;$K$3),0,1))</f>
        <v>0</v>
      </c>
      <c r="L531" s="3">
        <f>IF(OR($L$1="",对接源_01水果!$C531="",对接源_01水果!$C531&lt;&gt;$L$1,对接源_01水果!$B531=""),0,IF(OR(N(对接源_01水果!$B531)&lt;$L$2,N(对接源_01水果!$B531)&gt;$L$3),0,1))</f>
        <v>0</v>
      </c>
      <c r="M531" s="3">
        <f>IF(OR($M$1="",对接源_01水果!$C531="",对接源_01水果!$C531&lt;&gt;$M$1,对接源_01水果!$B531=""),0,IF(OR(N(对接源_01水果!$B531)&lt;$M$2,N(对接源_01水果!$B531)&gt;$M$3),0,1))</f>
        <v>0</v>
      </c>
      <c r="N531" s="3">
        <f>IF(OR($N$1="",对接源_01水果!$C531="",对接源_01水果!$C531&lt;&gt;$N$1,对接源_01水果!$B531=""),0,IF(OR(N(对接源_01水果!$B531)&lt;$N$2,N(对接源_01水果!$B531)&gt;$N$3),0,1))</f>
        <v>0</v>
      </c>
      <c r="P531" s="3">
        <f>IF(AND($K531=1,AND(对接源_01水果!$X531="公司筐",N(对接源_01水果!$T531)&lt;&gt;0)),1,0)</f>
        <v>0</v>
      </c>
      <c r="Q531" s="3">
        <f t="shared" si="147"/>
        <v>0</v>
      </c>
      <c r="R531" s="3">
        <f>IF(AND($K531=1,AND(对接源_01水果!$X531="公司筐",N(对接源_01水果!$U531)&lt;&gt;0)),1,0)</f>
        <v>0</v>
      </c>
      <c r="S531" s="3">
        <f t="shared" si="148"/>
        <v>0</v>
      </c>
      <c r="T531" s="3">
        <f>IF(AND($K531=1,AND(对接源_01水果!$X531="公司筐",N(对接源_01水果!$V531)&lt;&gt;0)),1,0)</f>
        <v>0</v>
      </c>
      <c r="U531" s="3">
        <f t="shared" si="149"/>
        <v>19</v>
      </c>
      <c r="V531" s="3">
        <f>IF(AND($L531=1,AND(对接源_01水果!$X531="自备筐",N(对接源_01水果!$V531)&lt;&gt;0)),1,0)</f>
        <v>0</v>
      </c>
      <c r="W531" s="3">
        <f t="shared" si="150"/>
        <v>8</v>
      </c>
      <c r="X531" s="3">
        <f>IF(AND($L531=1,AND(对接源_01水果!$X531="自备筐",N(对接源_01水果!$T531)&lt;&gt;0)),1,0)</f>
        <v>0</v>
      </c>
      <c r="Y531" s="3">
        <f t="shared" si="151"/>
        <v>0</v>
      </c>
      <c r="Z531" s="3">
        <f>IF(AND($M531=1,对接源_01水果!$D531="原料入库"),1,0)</f>
        <v>0</v>
      </c>
      <c r="AA531" s="3">
        <f t="shared" si="152"/>
        <v>24</v>
      </c>
      <c r="AB531" s="3">
        <f>IF(AND($M531=1,LEFT(对接源_01水果!$D531,4)="原料出库"),1,0)</f>
        <v>0</v>
      </c>
      <c r="AC531" s="3">
        <f t="shared" si="153"/>
        <v>0</v>
      </c>
      <c r="AD531" s="3">
        <f>IF(AND($M531=1,LEFT(对接源_01水果!$D531,4)="成品出库"),1,0)</f>
        <v>0</v>
      </c>
      <c r="AE531" s="3">
        <f t="shared" si="154"/>
        <v>0</v>
      </c>
      <c r="AF531" s="3">
        <f>IF(AND($N531=1,AND(LEFT(对接源_01水果!$D531,4)="包装物料",N(对接源_01水果!$K531)&lt;&gt;0)),1,0)</f>
        <v>0</v>
      </c>
      <c r="AG531" s="3">
        <f t="shared" si="155"/>
        <v>0</v>
      </c>
      <c r="AH531" s="3">
        <f>IF(AND($N531=1,AND(对接源_01水果!$D531="周转筐－销售出库",N(对接源_01水果!$K531)&lt;&gt;0)),1,0)</f>
        <v>0</v>
      </c>
      <c r="AI531" s="3">
        <f t="shared" si="156"/>
        <v>0</v>
      </c>
      <c r="AJ531" s="7"/>
      <c r="AL531" s="3">
        <f>IF(OR($AL$1="",对接源_01水果!$Y531="",对接源_01水果!$Y531&lt;&gt;$AL$1,对接源_01水果!$B531="",N(对接源_01水果!$AJ531)&lt;=0),0,IF(OR(N(对接源_01水果!$B531)&lt;$AL$2,N(对接源_01水果!$B531)&gt;$AL$3),0,1))</f>
        <v>0</v>
      </c>
      <c r="AM531" s="3">
        <f t="shared" si="157"/>
        <v>1</v>
      </c>
      <c r="AN531" s="3" t="str">
        <f>IF(对接源_01水果!$AC531="","",对接源_01水果!$AC531)</f>
        <v/>
      </c>
      <c r="AO531" s="3">
        <f t="shared" si="158"/>
        <v>0</v>
      </c>
      <c r="AP531" s="3">
        <f t="shared" si="159"/>
        <v>8</v>
      </c>
      <c r="AR531">
        <f t="shared" si="160"/>
        <v>0</v>
      </c>
      <c r="AS531">
        <f t="shared" si="161"/>
        <v>0</v>
      </c>
    </row>
    <row r="532" ht="14.25" customHeight="1" spans="1:45">
      <c r="A532" s="3" t="str">
        <f>IF(对接源_01水果!$C532="","",对接源_01水果!$C532)</f>
        <v/>
      </c>
      <c r="B532" s="3">
        <f t="shared" si="145"/>
        <v>0</v>
      </c>
      <c r="C532" s="3">
        <f t="shared" si="146"/>
        <v>18</v>
      </c>
      <c r="K532" s="3">
        <f>IF(OR($K$1="",对接源_01水果!$C532="",对接源_01水果!$C532&lt;&gt;$K$1,对接源_01水果!$B532=""),0,IF(OR(N(对接源_01水果!$B532)&lt;$K$2,N(对接源_01水果!$B532)&gt;$K$3),0,1))</f>
        <v>0</v>
      </c>
      <c r="L532" s="3">
        <f>IF(OR($L$1="",对接源_01水果!$C532="",对接源_01水果!$C532&lt;&gt;$L$1,对接源_01水果!$B532=""),0,IF(OR(N(对接源_01水果!$B532)&lt;$L$2,N(对接源_01水果!$B532)&gt;$L$3),0,1))</f>
        <v>0</v>
      </c>
      <c r="M532" s="3">
        <f>IF(OR($M$1="",对接源_01水果!$C532="",对接源_01水果!$C532&lt;&gt;$M$1,对接源_01水果!$B532=""),0,IF(OR(N(对接源_01水果!$B532)&lt;$M$2,N(对接源_01水果!$B532)&gt;$M$3),0,1))</f>
        <v>0</v>
      </c>
      <c r="N532" s="3">
        <f>IF(OR($N$1="",对接源_01水果!$C532="",对接源_01水果!$C532&lt;&gt;$N$1,对接源_01水果!$B532=""),0,IF(OR(N(对接源_01水果!$B532)&lt;$N$2,N(对接源_01水果!$B532)&gt;$N$3),0,1))</f>
        <v>0</v>
      </c>
      <c r="P532" s="3">
        <f>IF(AND($K532=1,AND(对接源_01水果!$X532="公司筐",N(对接源_01水果!$T532)&lt;&gt;0)),1,0)</f>
        <v>0</v>
      </c>
      <c r="Q532" s="3">
        <f t="shared" si="147"/>
        <v>0</v>
      </c>
      <c r="R532" s="3">
        <f>IF(AND($K532=1,AND(对接源_01水果!$X532="公司筐",N(对接源_01水果!$U532)&lt;&gt;0)),1,0)</f>
        <v>0</v>
      </c>
      <c r="S532" s="3">
        <f t="shared" si="148"/>
        <v>0</v>
      </c>
      <c r="T532" s="3">
        <f>IF(AND($K532=1,AND(对接源_01水果!$X532="公司筐",N(对接源_01水果!$V532)&lt;&gt;0)),1,0)</f>
        <v>0</v>
      </c>
      <c r="U532" s="3">
        <f t="shared" si="149"/>
        <v>19</v>
      </c>
      <c r="V532" s="3">
        <f>IF(AND($L532=1,AND(对接源_01水果!$X532="自备筐",N(对接源_01水果!$V532)&lt;&gt;0)),1,0)</f>
        <v>0</v>
      </c>
      <c r="W532" s="3">
        <f t="shared" si="150"/>
        <v>8</v>
      </c>
      <c r="X532" s="3">
        <f>IF(AND($L532=1,AND(对接源_01水果!$X532="自备筐",N(对接源_01水果!$T532)&lt;&gt;0)),1,0)</f>
        <v>0</v>
      </c>
      <c r="Y532" s="3">
        <f t="shared" si="151"/>
        <v>0</v>
      </c>
      <c r="Z532" s="3">
        <f>IF(AND($M532=1,对接源_01水果!$D532="原料入库"),1,0)</f>
        <v>0</v>
      </c>
      <c r="AA532" s="3">
        <f t="shared" si="152"/>
        <v>24</v>
      </c>
      <c r="AB532" s="3">
        <f>IF(AND($M532=1,LEFT(对接源_01水果!$D532,4)="原料出库"),1,0)</f>
        <v>0</v>
      </c>
      <c r="AC532" s="3">
        <f t="shared" si="153"/>
        <v>0</v>
      </c>
      <c r="AD532" s="3">
        <f>IF(AND($M532=1,LEFT(对接源_01水果!$D532,4)="成品出库"),1,0)</f>
        <v>0</v>
      </c>
      <c r="AE532" s="3">
        <f t="shared" si="154"/>
        <v>0</v>
      </c>
      <c r="AF532" s="3">
        <f>IF(AND($N532=1,AND(LEFT(对接源_01水果!$D532,4)="包装物料",N(对接源_01水果!$K532)&lt;&gt;0)),1,0)</f>
        <v>0</v>
      </c>
      <c r="AG532" s="3">
        <f t="shared" si="155"/>
        <v>0</v>
      </c>
      <c r="AH532" s="3">
        <f>IF(AND($N532=1,AND(对接源_01水果!$D532="周转筐－销售出库",N(对接源_01水果!$K532)&lt;&gt;0)),1,0)</f>
        <v>0</v>
      </c>
      <c r="AI532" s="3">
        <f t="shared" si="156"/>
        <v>0</v>
      </c>
      <c r="AJ532" s="7"/>
      <c r="AL532" s="3">
        <f>IF(OR($AL$1="",对接源_01水果!$Y532="",对接源_01水果!$Y532&lt;&gt;$AL$1,对接源_01水果!$B532="",N(对接源_01水果!$AJ532)&lt;=0),0,IF(OR(N(对接源_01水果!$B532)&lt;$AL$2,N(对接源_01水果!$B532)&gt;$AL$3),0,1))</f>
        <v>0</v>
      </c>
      <c r="AM532" s="3">
        <f t="shared" si="157"/>
        <v>1</v>
      </c>
      <c r="AN532" s="3" t="str">
        <f>IF(对接源_01水果!$AC532="","",对接源_01水果!$AC532)</f>
        <v/>
      </c>
      <c r="AO532" s="3">
        <f t="shared" si="158"/>
        <v>0</v>
      </c>
      <c r="AP532" s="3">
        <f t="shared" si="159"/>
        <v>8</v>
      </c>
      <c r="AR532">
        <f t="shared" si="160"/>
        <v>0</v>
      </c>
      <c r="AS532">
        <f t="shared" si="161"/>
        <v>0</v>
      </c>
    </row>
    <row r="533" ht="14.25" customHeight="1" spans="1:45">
      <c r="A533" s="3" t="str">
        <f>IF(对接源_01水果!$C533="","",对接源_01水果!$C533)</f>
        <v/>
      </c>
      <c r="B533" s="3">
        <f t="shared" si="145"/>
        <v>0</v>
      </c>
      <c r="C533" s="3">
        <f t="shared" si="146"/>
        <v>18</v>
      </c>
      <c r="K533" s="3">
        <f>IF(OR($K$1="",对接源_01水果!$C533="",对接源_01水果!$C533&lt;&gt;$K$1,对接源_01水果!$B533=""),0,IF(OR(N(对接源_01水果!$B533)&lt;$K$2,N(对接源_01水果!$B533)&gt;$K$3),0,1))</f>
        <v>0</v>
      </c>
      <c r="L533" s="3">
        <f>IF(OR($L$1="",对接源_01水果!$C533="",对接源_01水果!$C533&lt;&gt;$L$1,对接源_01水果!$B533=""),0,IF(OR(N(对接源_01水果!$B533)&lt;$L$2,N(对接源_01水果!$B533)&gt;$L$3),0,1))</f>
        <v>0</v>
      </c>
      <c r="M533" s="3">
        <f>IF(OR($M$1="",对接源_01水果!$C533="",对接源_01水果!$C533&lt;&gt;$M$1,对接源_01水果!$B533=""),0,IF(OR(N(对接源_01水果!$B533)&lt;$M$2,N(对接源_01水果!$B533)&gt;$M$3),0,1))</f>
        <v>0</v>
      </c>
      <c r="N533" s="3">
        <f>IF(OR($N$1="",对接源_01水果!$C533="",对接源_01水果!$C533&lt;&gt;$N$1,对接源_01水果!$B533=""),0,IF(OR(N(对接源_01水果!$B533)&lt;$N$2,N(对接源_01水果!$B533)&gt;$N$3),0,1))</f>
        <v>0</v>
      </c>
      <c r="P533" s="3">
        <f>IF(AND($K533=1,AND(对接源_01水果!$X533="公司筐",N(对接源_01水果!$T533)&lt;&gt;0)),1,0)</f>
        <v>0</v>
      </c>
      <c r="Q533" s="3">
        <f t="shared" si="147"/>
        <v>0</v>
      </c>
      <c r="R533" s="3">
        <f>IF(AND($K533=1,AND(对接源_01水果!$X533="公司筐",N(对接源_01水果!$U533)&lt;&gt;0)),1,0)</f>
        <v>0</v>
      </c>
      <c r="S533" s="3">
        <f t="shared" si="148"/>
        <v>0</v>
      </c>
      <c r="T533" s="3">
        <f>IF(AND($K533=1,AND(对接源_01水果!$X533="公司筐",N(对接源_01水果!$V533)&lt;&gt;0)),1,0)</f>
        <v>0</v>
      </c>
      <c r="U533" s="3">
        <f t="shared" si="149"/>
        <v>19</v>
      </c>
      <c r="V533" s="3">
        <f>IF(AND($L533=1,AND(对接源_01水果!$X533="自备筐",N(对接源_01水果!$V533)&lt;&gt;0)),1,0)</f>
        <v>0</v>
      </c>
      <c r="W533" s="3">
        <f t="shared" si="150"/>
        <v>8</v>
      </c>
      <c r="X533" s="3">
        <f>IF(AND($L533=1,AND(对接源_01水果!$X533="自备筐",N(对接源_01水果!$T533)&lt;&gt;0)),1,0)</f>
        <v>0</v>
      </c>
      <c r="Y533" s="3">
        <f t="shared" si="151"/>
        <v>0</v>
      </c>
      <c r="Z533" s="3">
        <f>IF(AND($M533=1,对接源_01水果!$D533="原料入库"),1,0)</f>
        <v>0</v>
      </c>
      <c r="AA533" s="3">
        <f t="shared" si="152"/>
        <v>24</v>
      </c>
      <c r="AB533" s="3">
        <f>IF(AND($M533=1,LEFT(对接源_01水果!$D533,4)="原料出库"),1,0)</f>
        <v>0</v>
      </c>
      <c r="AC533" s="3">
        <f t="shared" si="153"/>
        <v>0</v>
      </c>
      <c r="AD533" s="3">
        <f>IF(AND($M533=1,LEFT(对接源_01水果!$D533,4)="成品出库"),1,0)</f>
        <v>0</v>
      </c>
      <c r="AE533" s="3">
        <f t="shared" si="154"/>
        <v>0</v>
      </c>
      <c r="AF533" s="3">
        <f>IF(AND($N533=1,AND(LEFT(对接源_01水果!$D533,4)="包装物料",N(对接源_01水果!$K533)&lt;&gt;0)),1,0)</f>
        <v>0</v>
      </c>
      <c r="AG533" s="3">
        <f t="shared" si="155"/>
        <v>0</v>
      </c>
      <c r="AH533" s="3">
        <f>IF(AND($N533=1,AND(对接源_01水果!$D533="周转筐－销售出库",N(对接源_01水果!$K533)&lt;&gt;0)),1,0)</f>
        <v>0</v>
      </c>
      <c r="AI533" s="3">
        <f t="shared" si="156"/>
        <v>0</v>
      </c>
      <c r="AJ533" s="7"/>
      <c r="AL533" s="3">
        <f>IF(OR($AL$1="",对接源_01水果!$Y533="",对接源_01水果!$Y533&lt;&gt;$AL$1,对接源_01水果!$B533="",N(对接源_01水果!$AJ533)&lt;=0),0,IF(OR(N(对接源_01水果!$B533)&lt;$AL$2,N(对接源_01水果!$B533)&gt;$AL$3),0,1))</f>
        <v>0</v>
      </c>
      <c r="AM533" s="3">
        <f t="shared" si="157"/>
        <v>1</v>
      </c>
      <c r="AN533" s="3" t="str">
        <f>IF(对接源_01水果!$AC533="","",对接源_01水果!$AC533)</f>
        <v/>
      </c>
      <c r="AO533" s="3">
        <f t="shared" si="158"/>
        <v>0</v>
      </c>
      <c r="AP533" s="3">
        <f t="shared" si="159"/>
        <v>8</v>
      </c>
      <c r="AR533">
        <f t="shared" si="160"/>
        <v>0</v>
      </c>
      <c r="AS533">
        <f t="shared" si="161"/>
        <v>0</v>
      </c>
    </row>
    <row r="534" ht="14.25" customHeight="1" spans="1:45">
      <c r="A534" s="3" t="str">
        <f>IF(对接源_01水果!$C534="","",对接源_01水果!$C534)</f>
        <v/>
      </c>
      <c r="B534" s="3">
        <f t="shared" si="145"/>
        <v>0</v>
      </c>
      <c r="C534" s="3">
        <f t="shared" si="146"/>
        <v>18</v>
      </c>
      <c r="K534" s="3">
        <f>IF(OR($K$1="",对接源_01水果!$C534="",对接源_01水果!$C534&lt;&gt;$K$1,对接源_01水果!$B534=""),0,IF(OR(N(对接源_01水果!$B534)&lt;$K$2,N(对接源_01水果!$B534)&gt;$K$3),0,1))</f>
        <v>0</v>
      </c>
      <c r="L534" s="3">
        <f>IF(OR($L$1="",对接源_01水果!$C534="",对接源_01水果!$C534&lt;&gt;$L$1,对接源_01水果!$B534=""),0,IF(OR(N(对接源_01水果!$B534)&lt;$L$2,N(对接源_01水果!$B534)&gt;$L$3),0,1))</f>
        <v>0</v>
      </c>
      <c r="M534" s="3">
        <f>IF(OR($M$1="",对接源_01水果!$C534="",对接源_01水果!$C534&lt;&gt;$M$1,对接源_01水果!$B534=""),0,IF(OR(N(对接源_01水果!$B534)&lt;$M$2,N(对接源_01水果!$B534)&gt;$M$3),0,1))</f>
        <v>0</v>
      </c>
      <c r="N534" s="3">
        <f>IF(OR($N$1="",对接源_01水果!$C534="",对接源_01水果!$C534&lt;&gt;$N$1,对接源_01水果!$B534=""),0,IF(OR(N(对接源_01水果!$B534)&lt;$N$2,N(对接源_01水果!$B534)&gt;$N$3),0,1))</f>
        <v>0</v>
      </c>
      <c r="P534" s="3">
        <f>IF(AND($K534=1,AND(对接源_01水果!$X534="公司筐",N(对接源_01水果!$T534)&lt;&gt;0)),1,0)</f>
        <v>0</v>
      </c>
      <c r="Q534" s="3">
        <f t="shared" si="147"/>
        <v>0</v>
      </c>
      <c r="R534" s="3">
        <f>IF(AND($K534=1,AND(对接源_01水果!$X534="公司筐",N(对接源_01水果!$U534)&lt;&gt;0)),1,0)</f>
        <v>0</v>
      </c>
      <c r="S534" s="3">
        <f t="shared" si="148"/>
        <v>0</v>
      </c>
      <c r="T534" s="3">
        <f>IF(AND($K534=1,AND(对接源_01水果!$X534="公司筐",N(对接源_01水果!$V534)&lt;&gt;0)),1,0)</f>
        <v>0</v>
      </c>
      <c r="U534" s="3">
        <f t="shared" si="149"/>
        <v>19</v>
      </c>
      <c r="V534" s="3">
        <f>IF(AND($L534=1,AND(对接源_01水果!$X534="自备筐",N(对接源_01水果!$V534)&lt;&gt;0)),1,0)</f>
        <v>0</v>
      </c>
      <c r="W534" s="3">
        <f t="shared" si="150"/>
        <v>8</v>
      </c>
      <c r="X534" s="3">
        <f>IF(AND($L534=1,AND(对接源_01水果!$X534="自备筐",N(对接源_01水果!$T534)&lt;&gt;0)),1,0)</f>
        <v>0</v>
      </c>
      <c r="Y534" s="3">
        <f t="shared" si="151"/>
        <v>0</v>
      </c>
      <c r="Z534" s="3">
        <f>IF(AND($M534=1,对接源_01水果!$D534="原料入库"),1,0)</f>
        <v>0</v>
      </c>
      <c r="AA534" s="3">
        <f t="shared" si="152"/>
        <v>24</v>
      </c>
      <c r="AB534" s="3">
        <f>IF(AND($M534=1,LEFT(对接源_01水果!$D534,4)="原料出库"),1,0)</f>
        <v>0</v>
      </c>
      <c r="AC534" s="3">
        <f t="shared" si="153"/>
        <v>0</v>
      </c>
      <c r="AD534" s="3">
        <f>IF(AND($M534=1,LEFT(对接源_01水果!$D534,4)="成品出库"),1,0)</f>
        <v>0</v>
      </c>
      <c r="AE534" s="3">
        <f t="shared" si="154"/>
        <v>0</v>
      </c>
      <c r="AF534" s="3">
        <f>IF(AND($N534=1,AND(LEFT(对接源_01水果!$D534,4)="包装物料",N(对接源_01水果!$K534)&lt;&gt;0)),1,0)</f>
        <v>0</v>
      </c>
      <c r="AG534" s="3">
        <f t="shared" si="155"/>
        <v>0</v>
      </c>
      <c r="AH534" s="3">
        <f>IF(AND($N534=1,AND(对接源_01水果!$D534="周转筐－销售出库",N(对接源_01水果!$K534)&lt;&gt;0)),1,0)</f>
        <v>0</v>
      </c>
      <c r="AI534" s="3">
        <f t="shared" si="156"/>
        <v>0</v>
      </c>
      <c r="AJ534" s="7"/>
      <c r="AL534" s="3">
        <f>IF(OR($AL$1="",对接源_01水果!$Y534="",对接源_01水果!$Y534&lt;&gt;$AL$1,对接源_01水果!$B534="",N(对接源_01水果!$AJ534)&lt;=0),0,IF(OR(N(对接源_01水果!$B534)&lt;$AL$2,N(对接源_01水果!$B534)&gt;$AL$3),0,1))</f>
        <v>0</v>
      </c>
      <c r="AM534" s="3">
        <f t="shared" si="157"/>
        <v>1</v>
      </c>
      <c r="AN534" s="3" t="str">
        <f>IF(对接源_01水果!$AC534="","",对接源_01水果!$AC534)</f>
        <v/>
      </c>
      <c r="AO534" s="3">
        <f t="shared" si="158"/>
        <v>0</v>
      </c>
      <c r="AP534" s="3">
        <f t="shared" si="159"/>
        <v>8</v>
      </c>
      <c r="AR534">
        <f t="shared" si="160"/>
        <v>0</v>
      </c>
      <c r="AS534">
        <f t="shared" si="161"/>
        <v>0</v>
      </c>
    </row>
    <row r="535" ht="14.25" customHeight="1" spans="1:45">
      <c r="A535" s="3" t="str">
        <f>IF(对接源_01水果!$C535="","",对接源_01水果!$C535)</f>
        <v/>
      </c>
      <c r="B535" s="3">
        <f t="shared" si="145"/>
        <v>0</v>
      </c>
      <c r="C535" s="3">
        <f t="shared" si="146"/>
        <v>18</v>
      </c>
      <c r="K535" s="3">
        <f>IF(OR($K$1="",对接源_01水果!$C535="",对接源_01水果!$C535&lt;&gt;$K$1,对接源_01水果!$B535=""),0,IF(OR(N(对接源_01水果!$B535)&lt;$K$2,N(对接源_01水果!$B535)&gt;$K$3),0,1))</f>
        <v>0</v>
      </c>
      <c r="L535" s="3">
        <f>IF(OR($L$1="",对接源_01水果!$C535="",对接源_01水果!$C535&lt;&gt;$L$1,对接源_01水果!$B535=""),0,IF(OR(N(对接源_01水果!$B535)&lt;$L$2,N(对接源_01水果!$B535)&gt;$L$3),0,1))</f>
        <v>0</v>
      </c>
      <c r="M535" s="3">
        <f>IF(OR($M$1="",对接源_01水果!$C535="",对接源_01水果!$C535&lt;&gt;$M$1,对接源_01水果!$B535=""),0,IF(OR(N(对接源_01水果!$B535)&lt;$M$2,N(对接源_01水果!$B535)&gt;$M$3),0,1))</f>
        <v>0</v>
      </c>
      <c r="N535" s="3">
        <f>IF(OR($N$1="",对接源_01水果!$C535="",对接源_01水果!$C535&lt;&gt;$N$1,对接源_01水果!$B535=""),0,IF(OR(N(对接源_01水果!$B535)&lt;$N$2,N(对接源_01水果!$B535)&gt;$N$3),0,1))</f>
        <v>0</v>
      </c>
      <c r="P535" s="3">
        <f>IF(AND($K535=1,AND(对接源_01水果!$X535="公司筐",N(对接源_01水果!$T535)&lt;&gt;0)),1,0)</f>
        <v>0</v>
      </c>
      <c r="Q535" s="3">
        <f t="shared" si="147"/>
        <v>0</v>
      </c>
      <c r="R535" s="3">
        <f>IF(AND($K535=1,AND(对接源_01水果!$X535="公司筐",N(对接源_01水果!$U535)&lt;&gt;0)),1,0)</f>
        <v>0</v>
      </c>
      <c r="S535" s="3">
        <f t="shared" si="148"/>
        <v>0</v>
      </c>
      <c r="T535" s="3">
        <f>IF(AND($K535=1,AND(对接源_01水果!$X535="公司筐",N(对接源_01水果!$V535)&lt;&gt;0)),1,0)</f>
        <v>0</v>
      </c>
      <c r="U535" s="3">
        <f t="shared" si="149"/>
        <v>19</v>
      </c>
      <c r="V535" s="3">
        <f>IF(AND($L535=1,AND(对接源_01水果!$X535="自备筐",N(对接源_01水果!$V535)&lt;&gt;0)),1,0)</f>
        <v>0</v>
      </c>
      <c r="W535" s="3">
        <f t="shared" si="150"/>
        <v>8</v>
      </c>
      <c r="X535" s="3">
        <f>IF(AND($L535=1,AND(对接源_01水果!$X535="自备筐",N(对接源_01水果!$T535)&lt;&gt;0)),1,0)</f>
        <v>0</v>
      </c>
      <c r="Y535" s="3">
        <f t="shared" si="151"/>
        <v>0</v>
      </c>
      <c r="Z535" s="3">
        <f>IF(AND($M535=1,对接源_01水果!$D535="原料入库"),1,0)</f>
        <v>0</v>
      </c>
      <c r="AA535" s="3">
        <f t="shared" si="152"/>
        <v>24</v>
      </c>
      <c r="AB535" s="3">
        <f>IF(AND($M535=1,LEFT(对接源_01水果!$D535,4)="原料出库"),1,0)</f>
        <v>0</v>
      </c>
      <c r="AC535" s="3">
        <f t="shared" si="153"/>
        <v>0</v>
      </c>
      <c r="AD535" s="3">
        <f>IF(AND($M535=1,LEFT(对接源_01水果!$D535,4)="成品出库"),1,0)</f>
        <v>0</v>
      </c>
      <c r="AE535" s="3">
        <f t="shared" si="154"/>
        <v>0</v>
      </c>
      <c r="AF535" s="3">
        <f>IF(AND($N535=1,AND(LEFT(对接源_01水果!$D535,4)="包装物料",N(对接源_01水果!$K535)&lt;&gt;0)),1,0)</f>
        <v>0</v>
      </c>
      <c r="AG535" s="3">
        <f t="shared" si="155"/>
        <v>0</v>
      </c>
      <c r="AH535" s="3">
        <f>IF(AND($N535=1,AND(对接源_01水果!$D535="周转筐－销售出库",N(对接源_01水果!$K535)&lt;&gt;0)),1,0)</f>
        <v>0</v>
      </c>
      <c r="AI535" s="3">
        <f t="shared" si="156"/>
        <v>0</v>
      </c>
      <c r="AJ535" s="7"/>
      <c r="AL535" s="3">
        <f>IF(OR($AL$1="",对接源_01水果!$Y535="",对接源_01水果!$Y535&lt;&gt;$AL$1,对接源_01水果!$B535="",N(对接源_01水果!$AJ535)&lt;=0),0,IF(OR(N(对接源_01水果!$B535)&lt;$AL$2,N(对接源_01水果!$B535)&gt;$AL$3),0,1))</f>
        <v>0</v>
      </c>
      <c r="AM535" s="3">
        <f t="shared" si="157"/>
        <v>1</v>
      </c>
      <c r="AN535" s="3" t="str">
        <f>IF(对接源_01水果!$AC535="","",对接源_01水果!$AC535)</f>
        <v/>
      </c>
      <c r="AO535" s="3">
        <f t="shared" si="158"/>
        <v>0</v>
      </c>
      <c r="AP535" s="3">
        <f t="shared" si="159"/>
        <v>8</v>
      </c>
      <c r="AR535">
        <f t="shared" si="160"/>
        <v>0</v>
      </c>
      <c r="AS535">
        <f t="shared" si="161"/>
        <v>0</v>
      </c>
    </row>
    <row r="536" ht="14.25" customHeight="1" spans="1:45">
      <c r="A536" s="3" t="str">
        <f>IF(对接源_01水果!$C536="","",对接源_01水果!$C536)</f>
        <v/>
      </c>
      <c r="B536" s="3">
        <f t="shared" si="145"/>
        <v>0</v>
      </c>
      <c r="C536" s="3">
        <f t="shared" si="146"/>
        <v>18</v>
      </c>
      <c r="K536" s="3">
        <f>IF(OR($K$1="",对接源_01水果!$C536="",对接源_01水果!$C536&lt;&gt;$K$1,对接源_01水果!$B536=""),0,IF(OR(N(对接源_01水果!$B536)&lt;$K$2,N(对接源_01水果!$B536)&gt;$K$3),0,1))</f>
        <v>0</v>
      </c>
      <c r="L536" s="3">
        <f>IF(OR($L$1="",对接源_01水果!$C536="",对接源_01水果!$C536&lt;&gt;$L$1,对接源_01水果!$B536=""),0,IF(OR(N(对接源_01水果!$B536)&lt;$L$2,N(对接源_01水果!$B536)&gt;$L$3),0,1))</f>
        <v>0</v>
      </c>
      <c r="M536" s="3">
        <f>IF(OR($M$1="",对接源_01水果!$C536="",对接源_01水果!$C536&lt;&gt;$M$1,对接源_01水果!$B536=""),0,IF(OR(N(对接源_01水果!$B536)&lt;$M$2,N(对接源_01水果!$B536)&gt;$M$3),0,1))</f>
        <v>0</v>
      </c>
      <c r="N536" s="3">
        <f>IF(OR($N$1="",对接源_01水果!$C536="",对接源_01水果!$C536&lt;&gt;$N$1,对接源_01水果!$B536=""),0,IF(OR(N(对接源_01水果!$B536)&lt;$N$2,N(对接源_01水果!$B536)&gt;$N$3),0,1))</f>
        <v>0</v>
      </c>
      <c r="P536" s="3">
        <f>IF(AND($K536=1,AND(对接源_01水果!$X536="公司筐",N(对接源_01水果!$T536)&lt;&gt;0)),1,0)</f>
        <v>0</v>
      </c>
      <c r="Q536" s="3">
        <f t="shared" si="147"/>
        <v>0</v>
      </c>
      <c r="R536" s="3">
        <f>IF(AND($K536=1,AND(对接源_01水果!$X536="公司筐",N(对接源_01水果!$U536)&lt;&gt;0)),1,0)</f>
        <v>0</v>
      </c>
      <c r="S536" s="3">
        <f t="shared" si="148"/>
        <v>0</v>
      </c>
      <c r="T536" s="3">
        <f>IF(AND($K536=1,AND(对接源_01水果!$X536="公司筐",N(对接源_01水果!$V536)&lt;&gt;0)),1,0)</f>
        <v>0</v>
      </c>
      <c r="U536" s="3">
        <f t="shared" si="149"/>
        <v>19</v>
      </c>
      <c r="V536" s="3">
        <f>IF(AND($L536=1,AND(对接源_01水果!$X536="自备筐",N(对接源_01水果!$V536)&lt;&gt;0)),1,0)</f>
        <v>0</v>
      </c>
      <c r="W536" s="3">
        <f t="shared" si="150"/>
        <v>8</v>
      </c>
      <c r="X536" s="3">
        <f>IF(AND($L536=1,AND(对接源_01水果!$X536="自备筐",N(对接源_01水果!$T536)&lt;&gt;0)),1,0)</f>
        <v>0</v>
      </c>
      <c r="Y536" s="3">
        <f t="shared" si="151"/>
        <v>0</v>
      </c>
      <c r="Z536" s="3">
        <f>IF(AND($M536=1,对接源_01水果!$D536="原料入库"),1,0)</f>
        <v>0</v>
      </c>
      <c r="AA536" s="3">
        <f t="shared" si="152"/>
        <v>24</v>
      </c>
      <c r="AB536" s="3">
        <f>IF(AND($M536=1,LEFT(对接源_01水果!$D536,4)="原料出库"),1,0)</f>
        <v>0</v>
      </c>
      <c r="AC536" s="3">
        <f t="shared" si="153"/>
        <v>0</v>
      </c>
      <c r="AD536" s="3">
        <f>IF(AND($M536=1,LEFT(对接源_01水果!$D536,4)="成品出库"),1,0)</f>
        <v>0</v>
      </c>
      <c r="AE536" s="3">
        <f t="shared" si="154"/>
        <v>0</v>
      </c>
      <c r="AF536" s="3">
        <f>IF(AND($N536=1,AND(LEFT(对接源_01水果!$D536,4)="包装物料",N(对接源_01水果!$K536)&lt;&gt;0)),1,0)</f>
        <v>0</v>
      </c>
      <c r="AG536" s="3">
        <f t="shared" si="155"/>
        <v>0</v>
      </c>
      <c r="AH536" s="3">
        <f>IF(AND($N536=1,AND(对接源_01水果!$D536="周转筐－销售出库",N(对接源_01水果!$K536)&lt;&gt;0)),1,0)</f>
        <v>0</v>
      </c>
      <c r="AI536" s="3">
        <f t="shared" si="156"/>
        <v>0</v>
      </c>
      <c r="AJ536" s="7"/>
      <c r="AL536" s="3">
        <f>IF(OR($AL$1="",对接源_01水果!$Y536="",对接源_01水果!$Y536&lt;&gt;$AL$1,对接源_01水果!$B536="",N(对接源_01水果!$AJ536)&lt;=0),0,IF(OR(N(对接源_01水果!$B536)&lt;$AL$2,N(对接源_01水果!$B536)&gt;$AL$3),0,1))</f>
        <v>0</v>
      </c>
      <c r="AM536" s="3">
        <f t="shared" si="157"/>
        <v>1</v>
      </c>
      <c r="AN536" s="3" t="str">
        <f>IF(对接源_01水果!$AC536="","",对接源_01水果!$AC536)</f>
        <v/>
      </c>
      <c r="AO536" s="3">
        <f t="shared" si="158"/>
        <v>0</v>
      </c>
      <c r="AP536" s="3">
        <f t="shared" si="159"/>
        <v>8</v>
      </c>
      <c r="AR536">
        <f t="shared" si="160"/>
        <v>0</v>
      </c>
      <c r="AS536">
        <f t="shared" si="161"/>
        <v>0</v>
      </c>
    </row>
    <row r="537" ht="14.25" customHeight="1" spans="1:45">
      <c r="A537" s="3" t="str">
        <f>IF(对接源_01水果!$C537="","",对接源_01水果!$C537)</f>
        <v/>
      </c>
      <c r="B537" s="3">
        <f t="shared" si="145"/>
        <v>0</v>
      </c>
      <c r="C537" s="3">
        <f t="shared" si="146"/>
        <v>18</v>
      </c>
      <c r="K537" s="3">
        <f>IF(OR($K$1="",对接源_01水果!$C537="",对接源_01水果!$C537&lt;&gt;$K$1,对接源_01水果!$B537=""),0,IF(OR(N(对接源_01水果!$B537)&lt;$K$2,N(对接源_01水果!$B537)&gt;$K$3),0,1))</f>
        <v>0</v>
      </c>
      <c r="L537" s="3">
        <f>IF(OR($L$1="",对接源_01水果!$C537="",对接源_01水果!$C537&lt;&gt;$L$1,对接源_01水果!$B537=""),0,IF(OR(N(对接源_01水果!$B537)&lt;$L$2,N(对接源_01水果!$B537)&gt;$L$3),0,1))</f>
        <v>0</v>
      </c>
      <c r="M537" s="3">
        <f>IF(OR($M$1="",对接源_01水果!$C537="",对接源_01水果!$C537&lt;&gt;$M$1,对接源_01水果!$B537=""),0,IF(OR(N(对接源_01水果!$B537)&lt;$M$2,N(对接源_01水果!$B537)&gt;$M$3),0,1))</f>
        <v>0</v>
      </c>
      <c r="N537" s="3">
        <f>IF(OR($N$1="",对接源_01水果!$C537="",对接源_01水果!$C537&lt;&gt;$N$1,对接源_01水果!$B537=""),0,IF(OR(N(对接源_01水果!$B537)&lt;$N$2,N(对接源_01水果!$B537)&gt;$N$3),0,1))</f>
        <v>0</v>
      </c>
      <c r="P537" s="3">
        <f>IF(AND($K537=1,AND(对接源_01水果!$X537="公司筐",N(对接源_01水果!$T537)&lt;&gt;0)),1,0)</f>
        <v>0</v>
      </c>
      <c r="Q537" s="3">
        <f t="shared" si="147"/>
        <v>0</v>
      </c>
      <c r="R537" s="3">
        <f>IF(AND($K537=1,AND(对接源_01水果!$X537="公司筐",N(对接源_01水果!$U537)&lt;&gt;0)),1,0)</f>
        <v>0</v>
      </c>
      <c r="S537" s="3">
        <f t="shared" si="148"/>
        <v>0</v>
      </c>
      <c r="T537" s="3">
        <f>IF(AND($K537=1,AND(对接源_01水果!$X537="公司筐",N(对接源_01水果!$V537)&lt;&gt;0)),1,0)</f>
        <v>0</v>
      </c>
      <c r="U537" s="3">
        <f t="shared" si="149"/>
        <v>19</v>
      </c>
      <c r="V537" s="3">
        <f>IF(AND($L537=1,AND(对接源_01水果!$X537="自备筐",N(对接源_01水果!$V537)&lt;&gt;0)),1,0)</f>
        <v>0</v>
      </c>
      <c r="W537" s="3">
        <f t="shared" si="150"/>
        <v>8</v>
      </c>
      <c r="X537" s="3">
        <f>IF(AND($L537=1,AND(对接源_01水果!$X537="自备筐",N(对接源_01水果!$T537)&lt;&gt;0)),1,0)</f>
        <v>0</v>
      </c>
      <c r="Y537" s="3">
        <f t="shared" si="151"/>
        <v>0</v>
      </c>
      <c r="Z537" s="3">
        <f>IF(AND($M537=1,对接源_01水果!$D537="原料入库"),1,0)</f>
        <v>0</v>
      </c>
      <c r="AA537" s="3">
        <f t="shared" si="152"/>
        <v>24</v>
      </c>
      <c r="AB537" s="3">
        <f>IF(AND($M537=1,LEFT(对接源_01水果!$D537,4)="原料出库"),1,0)</f>
        <v>0</v>
      </c>
      <c r="AC537" s="3">
        <f t="shared" si="153"/>
        <v>0</v>
      </c>
      <c r="AD537" s="3">
        <f>IF(AND($M537=1,LEFT(对接源_01水果!$D537,4)="成品出库"),1,0)</f>
        <v>0</v>
      </c>
      <c r="AE537" s="3">
        <f t="shared" si="154"/>
        <v>0</v>
      </c>
      <c r="AF537" s="3">
        <f>IF(AND($N537=1,AND(LEFT(对接源_01水果!$D537,4)="包装物料",N(对接源_01水果!$K537)&lt;&gt;0)),1,0)</f>
        <v>0</v>
      </c>
      <c r="AG537" s="3">
        <f t="shared" si="155"/>
        <v>0</v>
      </c>
      <c r="AH537" s="3">
        <f>IF(AND($N537=1,AND(对接源_01水果!$D537="周转筐－销售出库",N(对接源_01水果!$K537)&lt;&gt;0)),1,0)</f>
        <v>0</v>
      </c>
      <c r="AI537" s="3">
        <f t="shared" si="156"/>
        <v>0</v>
      </c>
      <c r="AJ537" s="7"/>
      <c r="AL537" s="3">
        <f>IF(OR($AL$1="",对接源_01水果!$Y537="",对接源_01水果!$Y537&lt;&gt;$AL$1,对接源_01水果!$B537="",N(对接源_01水果!$AJ537)&lt;=0),0,IF(OR(N(对接源_01水果!$B537)&lt;$AL$2,N(对接源_01水果!$B537)&gt;$AL$3),0,1))</f>
        <v>0</v>
      </c>
      <c r="AM537" s="3">
        <f t="shared" si="157"/>
        <v>1</v>
      </c>
      <c r="AN537" s="3" t="str">
        <f>IF(对接源_01水果!$AC537="","",对接源_01水果!$AC537)</f>
        <v/>
      </c>
      <c r="AO537" s="3">
        <f t="shared" si="158"/>
        <v>0</v>
      </c>
      <c r="AP537" s="3">
        <f t="shared" si="159"/>
        <v>8</v>
      </c>
      <c r="AR537">
        <f t="shared" si="160"/>
        <v>0</v>
      </c>
      <c r="AS537">
        <f t="shared" si="161"/>
        <v>0</v>
      </c>
    </row>
    <row r="538" ht="14.25" customHeight="1" spans="1:45">
      <c r="A538" s="3" t="str">
        <f>IF(对接源_01水果!$C538="","",对接源_01水果!$C538)</f>
        <v/>
      </c>
      <c r="B538" s="3">
        <f t="shared" si="145"/>
        <v>0</v>
      </c>
      <c r="C538" s="3">
        <f t="shared" si="146"/>
        <v>18</v>
      </c>
      <c r="K538" s="3">
        <f>IF(OR($K$1="",对接源_01水果!$C538="",对接源_01水果!$C538&lt;&gt;$K$1,对接源_01水果!$B538=""),0,IF(OR(N(对接源_01水果!$B538)&lt;$K$2,N(对接源_01水果!$B538)&gt;$K$3),0,1))</f>
        <v>0</v>
      </c>
      <c r="L538" s="3">
        <f>IF(OR($L$1="",对接源_01水果!$C538="",对接源_01水果!$C538&lt;&gt;$L$1,对接源_01水果!$B538=""),0,IF(OR(N(对接源_01水果!$B538)&lt;$L$2,N(对接源_01水果!$B538)&gt;$L$3),0,1))</f>
        <v>0</v>
      </c>
      <c r="M538" s="3">
        <f>IF(OR($M$1="",对接源_01水果!$C538="",对接源_01水果!$C538&lt;&gt;$M$1,对接源_01水果!$B538=""),0,IF(OR(N(对接源_01水果!$B538)&lt;$M$2,N(对接源_01水果!$B538)&gt;$M$3),0,1))</f>
        <v>0</v>
      </c>
      <c r="N538" s="3">
        <f>IF(OR($N$1="",对接源_01水果!$C538="",对接源_01水果!$C538&lt;&gt;$N$1,对接源_01水果!$B538=""),0,IF(OR(N(对接源_01水果!$B538)&lt;$N$2,N(对接源_01水果!$B538)&gt;$N$3),0,1))</f>
        <v>0</v>
      </c>
      <c r="P538" s="3">
        <f>IF(AND($K538=1,AND(对接源_01水果!$X538="公司筐",N(对接源_01水果!$T538)&lt;&gt;0)),1,0)</f>
        <v>0</v>
      </c>
      <c r="Q538" s="3">
        <f t="shared" si="147"/>
        <v>0</v>
      </c>
      <c r="R538" s="3">
        <f>IF(AND($K538=1,AND(对接源_01水果!$X538="公司筐",N(对接源_01水果!$U538)&lt;&gt;0)),1,0)</f>
        <v>0</v>
      </c>
      <c r="S538" s="3">
        <f t="shared" si="148"/>
        <v>0</v>
      </c>
      <c r="T538" s="3">
        <f>IF(AND($K538=1,AND(对接源_01水果!$X538="公司筐",N(对接源_01水果!$V538)&lt;&gt;0)),1,0)</f>
        <v>0</v>
      </c>
      <c r="U538" s="3">
        <f t="shared" si="149"/>
        <v>19</v>
      </c>
      <c r="V538" s="3">
        <f>IF(AND($L538=1,AND(对接源_01水果!$X538="自备筐",N(对接源_01水果!$V538)&lt;&gt;0)),1,0)</f>
        <v>0</v>
      </c>
      <c r="W538" s="3">
        <f t="shared" si="150"/>
        <v>8</v>
      </c>
      <c r="X538" s="3">
        <f>IF(AND($L538=1,AND(对接源_01水果!$X538="自备筐",N(对接源_01水果!$T538)&lt;&gt;0)),1,0)</f>
        <v>0</v>
      </c>
      <c r="Y538" s="3">
        <f t="shared" si="151"/>
        <v>0</v>
      </c>
      <c r="Z538" s="3">
        <f>IF(AND($M538=1,对接源_01水果!$D538="原料入库"),1,0)</f>
        <v>0</v>
      </c>
      <c r="AA538" s="3">
        <f t="shared" si="152"/>
        <v>24</v>
      </c>
      <c r="AB538" s="3">
        <f>IF(AND($M538=1,LEFT(对接源_01水果!$D538,4)="原料出库"),1,0)</f>
        <v>0</v>
      </c>
      <c r="AC538" s="3">
        <f t="shared" si="153"/>
        <v>0</v>
      </c>
      <c r="AD538" s="3">
        <f>IF(AND($M538=1,LEFT(对接源_01水果!$D538,4)="成品出库"),1,0)</f>
        <v>0</v>
      </c>
      <c r="AE538" s="3">
        <f t="shared" si="154"/>
        <v>0</v>
      </c>
      <c r="AF538" s="3">
        <f>IF(AND($N538=1,AND(LEFT(对接源_01水果!$D538,4)="包装物料",N(对接源_01水果!$K538)&lt;&gt;0)),1,0)</f>
        <v>0</v>
      </c>
      <c r="AG538" s="3">
        <f t="shared" si="155"/>
        <v>0</v>
      </c>
      <c r="AH538" s="3">
        <f>IF(AND($N538=1,AND(对接源_01水果!$D538="周转筐－销售出库",N(对接源_01水果!$K538)&lt;&gt;0)),1,0)</f>
        <v>0</v>
      </c>
      <c r="AI538" s="3">
        <f t="shared" si="156"/>
        <v>0</v>
      </c>
      <c r="AJ538" s="7"/>
      <c r="AL538" s="3">
        <f>IF(OR($AL$1="",对接源_01水果!$Y538="",对接源_01水果!$Y538&lt;&gt;$AL$1,对接源_01水果!$B538="",N(对接源_01水果!$AJ538)&lt;=0),0,IF(OR(N(对接源_01水果!$B538)&lt;$AL$2,N(对接源_01水果!$B538)&gt;$AL$3),0,1))</f>
        <v>0</v>
      </c>
      <c r="AM538" s="3">
        <f t="shared" si="157"/>
        <v>1</v>
      </c>
      <c r="AN538" s="3" t="str">
        <f>IF(对接源_01水果!$AC538="","",对接源_01水果!$AC538)</f>
        <v/>
      </c>
      <c r="AO538" s="3">
        <f t="shared" si="158"/>
        <v>0</v>
      </c>
      <c r="AP538" s="3">
        <f t="shared" si="159"/>
        <v>8</v>
      </c>
      <c r="AR538">
        <f t="shared" si="160"/>
        <v>0</v>
      </c>
      <c r="AS538">
        <f t="shared" si="161"/>
        <v>0</v>
      </c>
    </row>
    <row r="539" ht="14.25" customHeight="1" spans="1:45">
      <c r="A539" s="3" t="str">
        <f>IF(对接源_01水果!$C539="","",对接源_01水果!$C539)</f>
        <v/>
      </c>
      <c r="B539" s="3">
        <f t="shared" si="145"/>
        <v>0</v>
      </c>
      <c r="C539" s="3">
        <f t="shared" si="146"/>
        <v>18</v>
      </c>
      <c r="K539" s="3">
        <f>IF(OR($K$1="",对接源_01水果!$C539="",对接源_01水果!$C539&lt;&gt;$K$1,对接源_01水果!$B539=""),0,IF(OR(N(对接源_01水果!$B539)&lt;$K$2,N(对接源_01水果!$B539)&gt;$K$3),0,1))</f>
        <v>0</v>
      </c>
      <c r="L539" s="3">
        <f>IF(OR($L$1="",对接源_01水果!$C539="",对接源_01水果!$C539&lt;&gt;$L$1,对接源_01水果!$B539=""),0,IF(OR(N(对接源_01水果!$B539)&lt;$L$2,N(对接源_01水果!$B539)&gt;$L$3),0,1))</f>
        <v>0</v>
      </c>
      <c r="M539" s="3">
        <f>IF(OR($M$1="",对接源_01水果!$C539="",对接源_01水果!$C539&lt;&gt;$M$1,对接源_01水果!$B539=""),0,IF(OR(N(对接源_01水果!$B539)&lt;$M$2,N(对接源_01水果!$B539)&gt;$M$3),0,1))</f>
        <v>0</v>
      </c>
      <c r="N539" s="3">
        <f>IF(OR($N$1="",对接源_01水果!$C539="",对接源_01水果!$C539&lt;&gt;$N$1,对接源_01水果!$B539=""),0,IF(OR(N(对接源_01水果!$B539)&lt;$N$2,N(对接源_01水果!$B539)&gt;$N$3),0,1))</f>
        <v>0</v>
      </c>
      <c r="P539" s="3">
        <f>IF(AND($K539=1,AND(对接源_01水果!$X539="公司筐",N(对接源_01水果!$T539)&lt;&gt;0)),1,0)</f>
        <v>0</v>
      </c>
      <c r="Q539" s="3">
        <f t="shared" si="147"/>
        <v>0</v>
      </c>
      <c r="R539" s="3">
        <f>IF(AND($K539=1,AND(对接源_01水果!$X539="公司筐",N(对接源_01水果!$U539)&lt;&gt;0)),1,0)</f>
        <v>0</v>
      </c>
      <c r="S539" s="3">
        <f t="shared" si="148"/>
        <v>0</v>
      </c>
      <c r="T539" s="3">
        <f>IF(AND($K539=1,AND(对接源_01水果!$X539="公司筐",N(对接源_01水果!$V539)&lt;&gt;0)),1,0)</f>
        <v>0</v>
      </c>
      <c r="U539" s="3">
        <f t="shared" si="149"/>
        <v>19</v>
      </c>
      <c r="V539" s="3">
        <f>IF(AND($L539=1,AND(对接源_01水果!$X539="自备筐",N(对接源_01水果!$V539)&lt;&gt;0)),1,0)</f>
        <v>0</v>
      </c>
      <c r="W539" s="3">
        <f t="shared" si="150"/>
        <v>8</v>
      </c>
      <c r="X539" s="3">
        <f>IF(AND($L539=1,AND(对接源_01水果!$X539="自备筐",N(对接源_01水果!$T539)&lt;&gt;0)),1,0)</f>
        <v>0</v>
      </c>
      <c r="Y539" s="3">
        <f t="shared" si="151"/>
        <v>0</v>
      </c>
      <c r="Z539" s="3">
        <f>IF(AND($M539=1,对接源_01水果!$D539="原料入库"),1,0)</f>
        <v>0</v>
      </c>
      <c r="AA539" s="3">
        <f t="shared" si="152"/>
        <v>24</v>
      </c>
      <c r="AB539" s="3">
        <f>IF(AND($M539=1,LEFT(对接源_01水果!$D539,4)="原料出库"),1,0)</f>
        <v>0</v>
      </c>
      <c r="AC539" s="3">
        <f t="shared" si="153"/>
        <v>0</v>
      </c>
      <c r="AD539" s="3">
        <f>IF(AND($M539=1,LEFT(对接源_01水果!$D539,4)="成品出库"),1,0)</f>
        <v>0</v>
      </c>
      <c r="AE539" s="3">
        <f t="shared" si="154"/>
        <v>0</v>
      </c>
      <c r="AF539" s="3">
        <f>IF(AND($N539=1,AND(LEFT(对接源_01水果!$D539,4)="包装物料",N(对接源_01水果!$K539)&lt;&gt;0)),1,0)</f>
        <v>0</v>
      </c>
      <c r="AG539" s="3">
        <f t="shared" si="155"/>
        <v>0</v>
      </c>
      <c r="AH539" s="3">
        <f>IF(AND($N539=1,AND(对接源_01水果!$D539="周转筐－销售出库",N(对接源_01水果!$K539)&lt;&gt;0)),1,0)</f>
        <v>0</v>
      </c>
      <c r="AI539" s="3">
        <f t="shared" si="156"/>
        <v>0</v>
      </c>
      <c r="AJ539" s="7"/>
      <c r="AL539" s="3">
        <f>IF(OR($AL$1="",对接源_01水果!$Y539="",对接源_01水果!$Y539&lt;&gt;$AL$1,对接源_01水果!$B539="",N(对接源_01水果!$AJ539)&lt;=0),0,IF(OR(N(对接源_01水果!$B539)&lt;$AL$2,N(对接源_01水果!$B539)&gt;$AL$3),0,1))</f>
        <v>0</v>
      </c>
      <c r="AM539" s="3">
        <f t="shared" si="157"/>
        <v>1</v>
      </c>
      <c r="AN539" s="3" t="str">
        <f>IF(对接源_01水果!$AC539="","",对接源_01水果!$AC539)</f>
        <v/>
      </c>
      <c r="AO539" s="3">
        <f t="shared" si="158"/>
        <v>0</v>
      </c>
      <c r="AP539" s="3">
        <f t="shared" si="159"/>
        <v>8</v>
      </c>
      <c r="AR539">
        <f t="shared" si="160"/>
        <v>0</v>
      </c>
      <c r="AS539">
        <f t="shared" si="161"/>
        <v>0</v>
      </c>
    </row>
    <row r="540" ht="14.25" customHeight="1" spans="1:45">
      <c r="A540" s="3" t="str">
        <f>IF(对接源_01水果!$C540="","",对接源_01水果!$C540)</f>
        <v/>
      </c>
      <c r="B540" s="3">
        <f t="shared" si="145"/>
        <v>0</v>
      </c>
      <c r="C540" s="3">
        <f t="shared" si="146"/>
        <v>18</v>
      </c>
      <c r="K540" s="3">
        <f>IF(OR($K$1="",对接源_01水果!$C540="",对接源_01水果!$C540&lt;&gt;$K$1,对接源_01水果!$B540=""),0,IF(OR(N(对接源_01水果!$B540)&lt;$K$2,N(对接源_01水果!$B540)&gt;$K$3),0,1))</f>
        <v>0</v>
      </c>
      <c r="L540" s="3">
        <f>IF(OR($L$1="",对接源_01水果!$C540="",对接源_01水果!$C540&lt;&gt;$L$1,对接源_01水果!$B540=""),0,IF(OR(N(对接源_01水果!$B540)&lt;$L$2,N(对接源_01水果!$B540)&gt;$L$3),0,1))</f>
        <v>0</v>
      </c>
      <c r="M540" s="3">
        <f>IF(OR($M$1="",对接源_01水果!$C540="",对接源_01水果!$C540&lt;&gt;$M$1,对接源_01水果!$B540=""),0,IF(OR(N(对接源_01水果!$B540)&lt;$M$2,N(对接源_01水果!$B540)&gt;$M$3),0,1))</f>
        <v>0</v>
      </c>
      <c r="N540" s="3">
        <f>IF(OR($N$1="",对接源_01水果!$C540="",对接源_01水果!$C540&lt;&gt;$N$1,对接源_01水果!$B540=""),0,IF(OR(N(对接源_01水果!$B540)&lt;$N$2,N(对接源_01水果!$B540)&gt;$N$3),0,1))</f>
        <v>0</v>
      </c>
      <c r="P540" s="3">
        <f>IF(AND($K540=1,AND(对接源_01水果!$X540="公司筐",N(对接源_01水果!$T540)&lt;&gt;0)),1,0)</f>
        <v>0</v>
      </c>
      <c r="Q540" s="3">
        <f t="shared" si="147"/>
        <v>0</v>
      </c>
      <c r="R540" s="3">
        <f>IF(AND($K540=1,AND(对接源_01水果!$X540="公司筐",N(对接源_01水果!$U540)&lt;&gt;0)),1,0)</f>
        <v>0</v>
      </c>
      <c r="S540" s="3">
        <f t="shared" si="148"/>
        <v>0</v>
      </c>
      <c r="T540" s="3">
        <f>IF(AND($K540=1,AND(对接源_01水果!$X540="公司筐",N(对接源_01水果!$V540)&lt;&gt;0)),1,0)</f>
        <v>0</v>
      </c>
      <c r="U540" s="3">
        <f t="shared" si="149"/>
        <v>19</v>
      </c>
      <c r="V540" s="3">
        <f>IF(AND($L540=1,AND(对接源_01水果!$X540="自备筐",N(对接源_01水果!$V540)&lt;&gt;0)),1,0)</f>
        <v>0</v>
      </c>
      <c r="W540" s="3">
        <f t="shared" si="150"/>
        <v>8</v>
      </c>
      <c r="X540" s="3">
        <f>IF(AND($L540=1,AND(对接源_01水果!$X540="自备筐",N(对接源_01水果!$T540)&lt;&gt;0)),1,0)</f>
        <v>0</v>
      </c>
      <c r="Y540" s="3">
        <f t="shared" si="151"/>
        <v>0</v>
      </c>
      <c r="Z540" s="3">
        <f>IF(AND($M540=1,对接源_01水果!$D540="原料入库"),1,0)</f>
        <v>0</v>
      </c>
      <c r="AA540" s="3">
        <f t="shared" si="152"/>
        <v>24</v>
      </c>
      <c r="AB540" s="3">
        <f>IF(AND($M540=1,LEFT(对接源_01水果!$D540,4)="原料出库"),1,0)</f>
        <v>0</v>
      </c>
      <c r="AC540" s="3">
        <f t="shared" si="153"/>
        <v>0</v>
      </c>
      <c r="AD540" s="3">
        <f>IF(AND($M540=1,LEFT(对接源_01水果!$D540,4)="成品出库"),1,0)</f>
        <v>0</v>
      </c>
      <c r="AE540" s="3">
        <f t="shared" si="154"/>
        <v>0</v>
      </c>
      <c r="AF540" s="3">
        <f>IF(AND($N540=1,AND(LEFT(对接源_01水果!$D540,4)="包装物料",N(对接源_01水果!$K540)&lt;&gt;0)),1,0)</f>
        <v>0</v>
      </c>
      <c r="AG540" s="3">
        <f t="shared" si="155"/>
        <v>0</v>
      </c>
      <c r="AH540" s="3">
        <f>IF(AND($N540=1,AND(对接源_01水果!$D540="周转筐－销售出库",N(对接源_01水果!$K540)&lt;&gt;0)),1,0)</f>
        <v>0</v>
      </c>
      <c r="AI540" s="3">
        <f t="shared" si="156"/>
        <v>0</v>
      </c>
      <c r="AJ540" s="7"/>
      <c r="AL540" s="3">
        <f>IF(OR($AL$1="",对接源_01水果!$Y540="",对接源_01水果!$Y540&lt;&gt;$AL$1,对接源_01水果!$B540="",N(对接源_01水果!$AJ540)&lt;=0),0,IF(OR(N(对接源_01水果!$B540)&lt;$AL$2,N(对接源_01水果!$B540)&gt;$AL$3),0,1))</f>
        <v>0</v>
      </c>
      <c r="AM540" s="3">
        <f t="shared" si="157"/>
        <v>1</v>
      </c>
      <c r="AN540" s="3" t="str">
        <f>IF(对接源_01水果!$AC540="","",对接源_01水果!$AC540)</f>
        <v/>
      </c>
      <c r="AO540" s="3">
        <f t="shared" si="158"/>
        <v>0</v>
      </c>
      <c r="AP540" s="3">
        <f t="shared" si="159"/>
        <v>8</v>
      </c>
      <c r="AR540">
        <f t="shared" si="160"/>
        <v>0</v>
      </c>
      <c r="AS540">
        <f t="shared" si="161"/>
        <v>0</v>
      </c>
    </row>
    <row r="541" ht="14.25" customHeight="1" spans="1:45">
      <c r="A541" s="3" t="str">
        <f>IF(对接源_01水果!$C541="","",对接源_01水果!$C541)</f>
        <v/>
      </c>
      <c r="B541" s="3">
        <f t="shared" si="145"/>
        <v>0</v>
      </c>
      <c r="C541" s="3">
        <f t="shared" si="146"/>
        <v>18</v>
      </c>
      <c r="K541" s="3">
        <f>IF(OR($K$1="",对接源_01水果!$C541="",对接源_01水果!$C541&lt;&gt;$K$1,对接源_01水果!$B541=""),0,IF(OR(N(对接源_01水果!$B541)&lt;$K$2,N(对接源_01水果!$B541)&gt;$K$3),0,1))</f>
        <v>0</v>
      </c>
      <c r="L541" s="3">
        <f>IF(OR($L$1="",对接源_01水果!$C541="",对接源_01水果!$C541&lt;&gt;$L$1,对接源_01水果!$B541=""),0,IF(OR(N(对接源_01水果!$B541)&lt;$L$2,N(对接源_01水果!$B541)&gt;$L$3),0,1))</f>
        <v>0</v>
      </c>
      <c r="M541" s="3">
        <f>IF(OR($M$1="",对接源_01水果!$C541="",对接源_01水果!$C541&lt;&gt;$M$1,对接源_01水果!$B541=""),0,IF(OR(N(对接源_01水果!$B541)&lt;$M$2,N(对接源_01水果!$B541)&gt;$M$3),0,1))</f>
        <v>0</v>
      </c>
      <c r="N541" s="3">
        <f>IF(OR($N$1="",对接源_01水果!$C541="",对接源_01水果!$C541&lt;&gt;$N$1,对接源_01水果!$B541=""),0,IF(OR(N(对接源_01水果!$B541)&lt;$N$2,N(对接源_01水果!$B541)&gt;$N$3),0,1))</f>
        <v>0</v>
      </c>
      <c r="P541" s="3">
        <f>IF(AND($K541=1,AND(对接源_01水果!$X541="公司筐",N(对接源_01水果!$T541)&lt;&gt;0)),1,0)</f>
        <v>0</v>
      </c>
      <c r="Q541" s="3">
        <f t="shared" si="147"/>
        <v>0</v>
      </c>
      <c r="R541" s="3">
        <f>IF(AND($K541=1,AND(对接源_01水果!$X541="公司筐",N(对接源_01水果!$U541)&lt;&gt;0)),1,0)</f>
        <v>0</v>
      </c>
      <c r="S541" s="3">
        <f t="shared" si="148"/>
        <v>0</v>
      </c>
      <c r="T541" s="3">
        <f>IF(AND($K541=1,AND(对接源_01水果!$X541="公司筐",N(对接源_01水果!$V541)&lt;&gt;0)),1,0)</f>
        <v>0</v>
      </c>
      <c r="U541" s="3">
        <f t="shared" si="149"/>
        <v>19</v>
      </c>
      <c r="V541" s="3">
        <f>IF(AND($L541=1,AND(对接源_01水果!$X541="自备筐",N(对接源_01水果!$V541)&lt;&gt;0)),1,0)</f>
        <v>0</v>
      </c>
      <c r="W541" s="3">
        <f t="shared" si="150"/>
        <v>8</v>
      </c>
      <c r="X541" s="3">
        <f>IF(AND($L541=1,AND(对接源_01水果!$X541="自备筐",N(对接源_01水果!$T541)&lt;&gt;0)),1,0)</f>
        <v>0</v>
      </c>
      <c r="Y541" s="3">
        <f t="shared" si="151"/>
        <v>0</v>
      </c>
      <c r="Z541" s="3">
        <f>IF(AND($M541=1,对接源_01水果!$D541="原料入库"),1,0)</f>
        <v>0</v>
      </c>
      <c r="AA541" s="3">
        <f t="shared" si="152"/>
        <v>24</v>
      </c>
      <c r="AB541" s="3">
        <f>IF(AND($M541=1,LEFT(对接源_01水果!$D541,4)="原料出库"),1,0)</f>
        <v>0</v>
      </c>
      <c r="AC541" s="3">
        <f t="shared" si="153"/>
        <v>0</v>
      </c>
      <c r="AD541" s="3">
        <f>IF(AND($M541=1,LEFT(对接源_01水果!$D541,4)="成品出库"),1,0)</f>
        <v>0</v>
      </c>
      <c r="AE541" s="3">
        <f t="shared" si="154"/>
        <v>0</v>
      </c>
      <c r="AF541" s="3">
        <f>IF(AND($N541=1,AND(LEFT(对接源_01水果!$D541,4)="包装物料",N(对接源_01水果!$K541)&lt;&gt;0)),1,0)</f>
        <v>0</v>
      </c>
      <c r="AG541" s="3">
        <f t="shared" si="155"/>
        <v>0</v>
      </c>
      <c r="AH541" s="3">
        <f>IF(AND($N541=1,AND(对接源_01水果!$D541="周转筐－销售出库",N(对接源_01水果!$K541)&lt;&gt;0)),1,0)</f>
        <v>0</v>
      </c>
      <c r="AI541" s="3">
        <f t="shared" si="156"/>
        <v>0</v>
      </c>
      <c r="AJ541" s="7"/>
      <c r="AL541" s="3">
        <f>IF(OR($AL$1="",对接源_01水果!$Y541="",对接源_01水果!$Y541&lt;&gt;$AL$1,对接源_01水果!$B541="",N(对接源_01水果!$AJ541)&lt;=0),0,IF(OR(N(对接源_01水果!$B541)&lt;$AL$2,N(对接源_01水果!$B541)&gt;$AL$3),0,1))</f>
        <v>0</v>
      </c>
      <c r="AM541" s="3">
        <f t="shared" si="157"/>
        <v>1</v>
      </c>
      <c r="AN541" s="3" t="str">
        <f>IF(对接源_01水果!$AC541="","",对接源_01水果!$AC541)</f>
        <v/>
      </c>
      <c r="AO541" s="3">
        <f t="shared" si="158"/>
        <v>0</v>
      </c>
      <c r="AP541" s="3">
        <f t="shared" si="159"/>
        <v>8</v>
      </c>
      <c r="AR541">
        <f t="shared" si="160"/>
        <v>0</v>
      </c>
      <c r="AS541">
        <f t="shared" si="161"/>
        <v>0</v>
      </c>
    </row>
    <row r="542" ht="14.25" customHeight="1" spans="1:45">
      <c r="A542" s="3" t="str">
        <f>IF(对接源_01水果!$C542="","",对接源_01水果!$C542)</f>
        <v/>
      </c>
      <c r="B542" s="3">
        <f t="shared" si="145"/>
        <v>0</v>
      </c>
      <c r="C542" s="3">
        <f t="shared" si="146"/>
        <v>18</v>
      </c>
      <c r="K542" s="3">
        <f>IF(OR($K$1="",对接源_01水果!$C542="",对接源_01水果!$C542&lt;&gt;$K$1,对接源_01水果!$B542=""),0,IF(OR(N(对接源_01水果!$B542)&lt;$K$2,N(对接源_01水果!$B542)&gt;$K$3),0,1))</f>
        <v>0</v>
      </c>
      <c r="L542" s="3">
        <f>IF(OR($L$1="",对接源_01水果!$C542="",对接源_01水果!$C542&lt;&gt;$L$1,对接源_01水果!$B542=""),0,IF(OR(N(对接源_01水果!$B542)&lt;$L$2,N(对接源_01水果!$B542)&gt;$L$3),0,1))</f>
        <v>0</v>
      </c>
      <c r="M542" s="3">
        <f>IF(OR($M$1="",对接源_01水果!$C542="",对接源_01水果!$C542&lt;&gt;$M$1,对接源_01水果!$B542=""),0,IF(OR(N(对接源_01水果!$B542)&lt;$M$2,N(对接源_01水果!$B542)&gt;$M$3),0,1))</f>
        <v>0</v>
      </c>
      <c r="N542" s="3">
        <f>IF(OR($N$1="",对接源_01水果!$C542="",对接源_01水果!$C542&lt;&gt;$N$1,对接源_01水果!$B542=""),0,IF(OR(N(对接源_01水果!$B542)&lt;$N$2,N(对接源_01水果!$B542)&gt;$N$3),0,1))</f>
        <v>0</v>
      </c>
      <c r="P542" s="3">
        <f>IF(AND($K542=1,AND(对接源_01水果!$X542="公司筐",N(对接源_01水果!$T542)&lt;&gt;0)),1,0)</f>
        <v>0</v>
      </c>
      <c r="Q542" s="3">
        <f t="shared" si="147"/>
        <v>0</v>
      </c>
      <c r="R542" s="3">
        <f>IF(AND($K542=1,AND(对接源_01水果!$X542="公司筐",N(对接源_01水果!$U542)&lt;&gt;0)),1,0)</f>
        <v>0</v>
      </c>
      <c r="S542" s="3">
        <f t="shared" si="148"/>
        <v>0</v>
      </c>
      <c r="T542" s="3">
        <f>IF(AND($K542=1,AND(对接源_01水果!$X542="公司筐",N(对接源_01水果!$V542)&lt;&gt;0)),1,0)</f>
        <v>0</v>
      </c>
      <c r="U542" s="3">
        <f t="shared" si="149"/>
        <v>19</v>
      </c>
      <c r="V542" s="3">
        <f>IF(AND($L542=1,AND(对接源_01水果!$X542="自备筐",N(对接源_01水果!$V542)&lt;&gt;0)),1,0)</f>
        <v>0</v>
      </c>
      <c r="W542" s="3">
        <f t="shared" si="150"/>
        <v>8</v>
      </c>
      <c r="X542" s="3">
        <f>IF(AND($L542=1,AND(对接源_01水果!$X542="自备筐",N(对接源_01水果!$T542)&lt;&gt;0)),1,0)</f>
        <v>0</v>
      </c>
      <c r="Y542" s="3">
        <f t="shared" si="151"/>
        <v>0</v>
      </c>
      <c r="Z542" s="3">
        <f>IF(AND($M542=1,对接源_01水果!$D542="原料入库"),1,0)</f>
        <v>0</v>
      </c>
      <c r="AA542" s="3">
        <f t="shared" si="152"/>
        <v>24</v>
      </c>
      <c r="AB542" s="3">
        <f>IF(AND($M542=1,LEFT(对接源_01水果!$D542,4)="原料出库"),1,0)</f>
        <v>0</v>
      </c>
      <c r="AC542" s="3">
        <f t="shared" si="153"/>
        <v>0</v>
      </c>
      <c r="AD542" s="3">
        <f>IF(AND($M542=1,LEFT(对接源_01水果!$D542,4)="成品出库"),1,0)</f>
        <v>0</v>
      </c>
      <c r="AE542" s="3">
        <f t="shared" si="154"/>
        <v>0</v>
      </c>
      <c r="AF542" s="3">
        <f>IF(AND($N542=1,AND(LEFT(对接源_01水果!$D542,4)="包装物料",N(对接源_01水果!$K542)&lt;&gt;0)),1,0)</f>
        <v>0</v>
      </c>
      <c r="AG542" s="3">
        <f t="shared" si="155"/>
        <v>0</v>
      </c>
      <c r="AH542" s="3">
        <f>IF(AND($N542=1,AND(对接源_01水果!$D542="周转筐－销售出库",N(对接源_01水果!$K542)&lt;&gt;0)),1,0)</f>
        <v>0</v>
      </c>
      <c r="AI542" s="3">
        <f t="shared" si="156"/>
        <v>0</v>
      </c>
      <c r="AJ542" s="7"/>
      <c r="AL542" s="3">
        <f>IF(OR($AL$1="",对接源_01水果!$Y542="",对接源_01水果!$Y542&lt;&gt;$AL$1,对接源_01水果!$B542="",N(对接源_01水果!$AJ542)&lt;=0),0,IF(OR(N(对接源_01水果!$B542)&lt;$AL$2,N(对接源_01水果!$B542)&gt;$AL$3),0,1))</f>
        <v>0</v>
      </c>
      <c r="AM542" s="3">
        <f t="shared" si="157"/>
        <v>1</v>
      </c>
      <c r="AN542" s="3" t="str">
        <f>IF(对接源_01水果!$AC542="","",对接源_01水果!$AC542)</f>
        <v/>
      </c>
      <c r="AO542" s="3">
        <f t="shared" si="158"/>
        <v>0</v>
      </c>
      <c r="AP542" s="3">
        <f t="shared" si="159"/>
        <v>8</v>
      </c>
      <c r="AR542">
        <f t="shared" si="160"/>
        <v>0</v>
      </c>
      <c r="AS542">
        <f t="shared" si="161"/>
        <v>0</v>
      </c>
    </row>
    <row r="543" ht="14.25" customHeight="1" spans="1:45">
      <c r="A543" s="3" t="str">
        <f>IF(对接源_01水果!$C543="","",对接源_01水果!$C543)</f>
        <v/>
      </c>
      <c r="B543" s="3">
        <f t="shared" si="145"/>
        <v>0</v>
      </c>
      <c r="C543" s="3">
        <f t="shared" si="146"/>
        <v>18</v>
      </c>
      <c r="K543" s="3">
        <f>IF(OR($K$1="",对接源_01水果!$C543="",对接源_01水果!$C543&lt;&gt;$K$1,对接源_01水果!$B543=""),0,IF(OR(N(对接源_01水果!$B543)&lt;$K$2,N(对接源_01水果!$B543)&gt;$K$3),0,1))</f>
        <v>0</v>
      </c>
      <c r="L543" s="3">
        <f>IF(OR($L$1="",对接源_01水果!$C543="",对接源_01水果!$C543&lt;&gt;$L$1,对接源_01水果!$B543=""),0,IF(OR(N(对接源_01水果!$B543)&lt;$L$2,N(对接源_01水果!$B543)&gt;$L$3),0,1))</f>
        <v>0</v>
      </c>
      <c r="M543" s="3">
        <f>IF(OR($M$1="",对接源_01水果!$C543="",对接源_01水果!$C543&lt;&gt;$M$1,对接源_01水果!$B543=""),0,IF(OR(N(对接源_01水果!$B543)&lt;$M$2,N(对接源_01水果!$B543)&gt;$M$3),0,1))</f>
        <v>0</v>
      </c>
      <c r="N543" s="3">
        <f>IF(OR($N$1="",对接源_01水果!$C543="",对接源_01水果!$C543&lt;&gt;$N$1,对接源_01水果!$B543=""),0,IF(OR(N(对接源_01水果!$B543)&lt;$N$2,N(对接源_01水果!$B543)&gt;$N$3),0,1))</f>
        <v>0</v>
      </c>
      <c r="P543" s="3">
        <f>IF(AND($K543=1,AND(对接源_01水果!$X543="公司筐",N(对接源_01水果!$T543)&lt;&gt;0)),1,0)</f>
        <v>0</v>
      </c>
      <c r="Q543" s="3">
        <f t="shared" si="147"/>
        <v>0</v>
      </c>
      <c r="R543" s="3">
        <f>IF(AND($K543=1,AND(对接源_01水果!$X543="公司筐",N(对接源_01水果!$U543)&lt;&gt;0)),1,0)</f>
        <v>0</v>
      </c>
      <c r="S543" s="3">
        <f t="shared" si="148"/>
        <v>0</v>
      </c>
      <c r="T543" s="3">
        <f>IF(AND($K543=1,AND(对接源_01水果!$X543="公司筐",N(对接源_01水果!$V543)&lt;&gt;0)),1,0)</f>
        <v>0</v>
      </c>
      <c r="U543" s="3">
        <f t="shared" si="149"/>
        <v>19</v>
      </c>
      <c r="V543" s="3">
        <f>IF(AND($L543=1,AND(对接源_01水果!$X543="自备筐",N(对接源_01水果!$V543)&lt;&gt;0)),1,0)</f>
        <v>0</v>
      </c>
      <c r="W543" s="3">
        <f t="shared" si="150"/>
        <v>8</v>
      </c>
      <c r="X543" s="3">
        <f>IF(AND($L543=1,AND(对接源_01水果!$X543="自备筐",N(对接源_01水果!$T543)&lt;&gt;0)),1,0)</f>
        <v>0</v>
      </c>
      <c r="Y543" s="3">
        <f t="shared" si="151"/>
        <v>0</v>
      </c>
      <c r="Z543" s="3">
        <f>IF(AND($M543=1,对接源_01水果!$D543="原料入库"),1,0)</f>
        <v>0</v>
      </c>
      <c r="AA543" s="3">
        <f t="shared" si="152"/>
        <v>24</v>
      </c>
      <c r="AB543" s="3">
        <f>IF(AND($M543=1,LEFT(对接源_01水果!$D543,4)="原料出库"),1,0)</f>
        <v>0</v>
      </c>
      <c r="AC543" s="3">
        <f t="shared" si="153"/>
        <v>0</v>
      </c>
      <c r="AD543" s="3">
        <f>IF(AND($M543=1,LEFT(对接源_01水果!$D543,4)="成品出库"),1,0)</f>
        <v>0</v>
      </c>
      <c r="AE543" s="3">
        <f t="shared" si="154"/>
        <v>0</v>
      </c>
      <c r="AF543" s="3">
        <f>IF(AND($N543=1,AND(LEFT(对接源_01水果!$D543,4)="包装物料",N(对接源_01水果!$K543)&lt;&gt;0)),1,0)</f>
        <v>0</v>
      </c>
      <c r="AG543" s="3">
        <f t="shared" si="155"/>
        <v>0</v>
      </c>
      <c r="AH543" s="3">
        <f>IF(AND($N543=1,AND(对接源_01水果!$D543="周转筐－销售出库",N(对接源_01水果!$K543)&lt;&gt;0)),1,0)</f>
        <v>0</v>
      </c>
      <c r="AI543" s="3">
        <f t="shared" si="156"/>
        <v>0</v>
      </c>
      <c r="AJ543" s="7"/>
      <c r="AL543" s="3">
        <f>IF(OR($AL$1="",对接源_01水果!$Y543="",对接源_01水果!$Y543&lt;&gt;$AL$1,对接源_01水果!$B543="",N(对接源_01水果!$AJ543)&lt;=0),0,IF(OR(N(对接源_01水果!$B543)&lt;$AL$2,N(对接源_01水果!$B543)&gt;$AL$3),0,1))</f>
        <v>0</v>
      </c>
      <c r="AM543" s="3">
        <f t="shared" si="157"/>
        <v>1</v>
      </c>
      <c r="AN543" s="3" t="str">
        <f>IF(对接源_01水果!$AC543="","",对接源_01水果!$AC543)</f>
        <v/>
      </c>
      <c r="AO543" s="3">
        <f t="shared" si="158"/>
        <v>0</v>
      </c>
      <c r="AP543" s="3">
        <f t="shared" si="159"/>
        <v>8</v>
      </c>
      <c r="AR543">
        <f t="shared" si="160"/>
        <v>0</v>
      </c>
      <c r="AS543">
        <f t="shared" si="161"/>
        <v>0</v>
      </c>
    </row>
    <row r="544" ht="14.25" customHeight="1" spans="1:45">
      <c r="A544" s="3" t="str">
        <f>IF(对接源_01水果!$C544="","",对接源_01水果!$C544)</f>
        <v/>
      </c>
      <c r="B544" s="3">
        <f t="shared" si="145"/>
        <v>0</v>
      </c>
      <c r="C544" s="3">
        <f t="shared" si="146"/>
        <v>18</v>
      </c>
      <c r="K544" s="3">
        <f>IF(OR($K$1="",对接源_01水果!$C544="",对接源_01水果!$C544&lt;&gt;$K$1,对接源_01水果!$B544=""),0,IF(OR(N(对接源_01水果!$B544)&lt;$K$2,N(对接源_01水果!$B544)&gt;$K$3),0,1))</f>
        <v>0</v>
      </c>
      <c r="L544" s="3">
        <f>IF(OR($L$1="",对接源_01水果!$C544="",对接源_01水果!$C544&lt;&gt;$L$1,对接源_01水果!$B544=""),0,IF(OR(N(对接源_01水果!$B544)&lt;$L$2,N(对接源_01水果!$B544)&gt;$L$3),0,1))</f>
        <v>0</v>
      </c>
      <c r="M544" s="3">
        <f>IF(OR($M$1="",对接源_01水果!$C544="",对接源_01水果!$C544&lt;&gt;$M$1,对接源_01水果!$B544=""),0,IF(OR(N(对接源_01水果!$B544)&lt;$M$2,N(对接源_01水果!$B544)&gt;$M$3),0,1))</f>
        <v>0</v>
      </c>
      <c r="N544" s="3">
        <f>IF(OR($N$1="",对接源_01水果!$C544="",对接源_01水果!$C544&lt;&gt;$N$1,对接源_01水果!$B544=""),0,IF(OR(N(对接源_01水果!$B544)&lt;$N$2,N(对接源_01水果!$B544)&gt;$N$3),0,1))</f>
        <v>0</v>
      </c>
      <c r="P544" s="3">
        <f>IF(AND($K544=1,AND(对接源_01水果!$X544="公司筐",N(对接源_01水果!$T544)&lt;&gt;0)),1,0)</f>
        <v>0</v>
      </c>
      <c r="Q544" s="3">
        <f t="shared" si="147"/>
        <v>0</v>
      </c>
      <c r="R544" s="3">
        <f>IF(AND($K544=1,AND(对接源_01水果!$X544="公司筐",N(对接源_01水果!$U544)&lt;&gt;0)),1,0)</f>
        <v>0</v>
      </c>
      <c r="S544" s="3">
        <f t="shared" si="148"/>
        <v>0</v>
      </c>
      <c r="T544" s="3">
        <f>IF(AND($K544=1,AND(对接源_01水果!$X544="公司筐",N(对接源_01水果!$V544)&lt;&gt;0)),1,0)</f>
        <v>0</v>
      </c>
      <c r="U544" s="3">
        <f t="shared" si="149"/>
        <v>19</v>
      </c>
      <c r="V544" s="3">
        <f>IF(AND($L544=1,AND(对接源_01水果!$X544="自备筐",N(对接源_01水果!$V544)&lt;&gt;0)),1,0)</f>
        <v>0</v>
      </c>
      <c r="W544" s="3">
        <f t="shared" si="150"/>
        <v>8</v>
      </c>
      <c r="X544" s="3">
        <f>IF(AND($L544=1,AND(对接源_01水果!$X544="自备筐",N(对接源_01水果!$T544)&lt;&gt;0)),1,0)</f>
        <v>0</v>
      </c>
      <c r="Y544" s="3">
        <f t="shared" si="151"/>
        <v>0</v>
      </c>
      <c r="Z544" s="3">
        <f>IF(AND($M544=1,对接源_01水果!$D544="原料入库"),1,0)</f>
        <v>0</v>
      </c>
      <c r="AA544" s="3">
        <f t="shared" si="152"/>
        <v>24</v>
      </c>
      <c r="AB544" s="3">
        <f>IF(AND($M544=1,LEFT(对接源_01水果!$D544,4)="原料出库"),1,0)</f>
        <v>0</v>
      </c>
      <c r="AC544" s="3">
        <f t="shared" si="153"/>
        <v>0</v>
      </c>
      <c r="AD544" s="3">
        <f>IF(AND($M544=1,LEFT(对接源_01水果!$D544,4)="成品出库"),1,0)</f>
        <v>0</v>
      </c>
      <c r="AE544" s="3">
        <f t="shared" si="154"/>
        <v>0</v>
      </c>
      <c r="AF544" s="3">
        <f>IF(AND($N544=1,AND(LEFT(对接源_01水果!$D544,4)="包装物料",N(对接源_01水果!$K544)&lt;&gt;0)),1,0)</f>
        <v>0</v>
      </c>
      <c r="AG544" s="3">
        <f t="shared" si="155"/>
        <v>0</v>
      </c>
      <c r="AH544" s="3">
        <f>IF(AND($N544=1,AND(对接源_01水果!$D544="周转筐－销售出库",N(对接源_01水果!$K544)&lt;&gt;0)),1,0)</f>
        <v>0</v>
      </c>
      <c r="AI544" s="3">
        <f t="shared" si="156"/>
        <v>0</v>
      </c>
      <c r="AJ544" s="7"/>
      <c r="AL544" s="3">
        <f>IF(OR($AL$1="",对接源_01水果!$Y544="",对接源_01水果!$Y544&lt;&gt;$AL$1,对接源_01水果!$B544="",N(对接源_01水果!$AJ544)&lt;=0),0,IF(OR(N(对接源_01水果!$B544)&lt;$AL$2,N(对接源_01水果!$B544)&gt;$AL$3),0,1))</f>
        <v>0</v>
      </c>
      <c r="AM544" s="3">
        <f t="shared" si="157"/>
        <v>1</v>
      </c>
      <c r="AN544" s="3" t="str">
        <f>IF(对接源_01水果!$AC544="","",对接源_01水果!$AC544)</f>
        <v/>
      </c>
      <c r="AO544" s="3">
        <f t="shared" si="158"/>
        <v>0</v>
      </c>
      <c r="AP544" s="3">
        <f t="shared" si="159"/>
        <v>8</v>
      </c>
      <c r="AR544">
        <f t="shared" si="160"/>
        <v>0</v>
      </c>
      <c r="AS544">
        <f t="shared" si="161"/>
        <v>0</v>
      </c>
    </row>
    <row r="545" ht="14.25" customHeight="1" spans="1:45">
      <c r="A545" s="3" t="str">
        <f>IF(对接源_01水果!$C545="","",对接源_01水果!$C545)</f>
        <v/>
      </c>
      <c r="B545" s="3">
        <f t="shared" si="145"/>
        <v>0</v>
      </c>
      <c r="C545" s="3">
        <f t="shared" si="146"/>
        <v>18</v>
      </c>
      <c r="K545" s="3">
        <f>IF(OR($K$1="",对接源_01水果!$C545="",对接源_01水果!$C545&lt;&gt;$K$1,对接源_01水果!$B545=""),0,IF(OR(N(对接源_01水果!$B545)&lt;$K$2,N(对接源_01水果!$B545)&gt;$K$3),0,1))</f>
        <v>0</v>
      </c>
      <c r="L545" s="3">
        <f>IF(OR($L$1="",对接源_01水果!$C545="",对接源_01水果!$C545&lt;&gt;$L$1,对接源_01水果!$B545=""),0,IF(OR(N(对接源_01水果!$B545)&lt;$L$2,N(对接源_01水果!$B545)&gt;$L$3),0,1))</f>
        <v>0</v>
      </c>
      <c r="M545" s="3">
        <f>IF(OR($M$1="",对接源_01水果!$C545="",对接源_01水果!$C545&lt;&gt;$M$1,对接源_01水果!$B545=""),0,IF(OR(N(对接源_01水果!$B545)&lt;$M$2,N(对接源_01水果!$B545)&gt;$M$3),0,1))</f>
        <v>0</v>
      </c>
      <c r="N545" s="3">
        <f>IF(OR($N$1="",对接源_01水果!$C545="",对接源_01水果!$C545&lt;&gt;$N$1,对接源_01水果!$B545=""),0,IF(OR(N(对接源_01水果!$B545)&lt;$N$2,N(对接源_01水果!$B545)&gt;$N$3),0,1))</f>
        <v>0</v>
      </c>
      <c r="P545" s="3">
        <f>IF(AND($K545=1,AND(对接源_01水果!$X545="公司筐",N(对接源_01水果!$T545)&lt;&gt;0)),1,0)</f>
        <v>0</v>
      </c>
      <c r="Q545" s="3">
        <f t="shared" si="147"/>
        <v>0</v>
      </c>
      <c r="R545" s="3">
        <f>IF(AND($K545=1,AND(对接源_01水果!$X545="公司筐",N(对接源_01水果!$U545)&lt;&gt;0)),1,0)</f>
        <v>0</v>
      </c>
      <c r="S545" s="3">
        <f t="shared" si="148"/>
        <v>0</v>
      </c>
      <c r="T545" s="3">
        <f>IF(AND($K545=1,AND(对接源_01水果!$X545="公司筐",N(对接源_01水果!$V545)&lt;&gt;0)),1,0)</f>
        <v>0</v>
      </c>
      <c r="U545" s="3">
        <f t="shared" si="149"/>
        <v>19</v>
      </c>
      <c r="V545" s="3">
        <f>IF(AND($L545=1,AND(对接源_01水果!$X545="自备筐",N(对接源_01水果!$V545)&lt;&gt;0)),1,0)</f>
        <v>0</v>
      </c>
      <c r="W545" s="3">
        <f t="shared" si="150"/>
        <v>8</v>
      </c>
      <c r="X545" s="3">
        <f>IF(AND($L545=1,AND(对接源_01水果!$X545="自备筐",N(对接源_01水果!$T545)&lt;&gt;0)),1,0)</f>
        <v>0</v>
      </c>
      <c r="Y545" s="3">
        <f t="shared" si="151"/>
        <v>0</v>
      </c>
      <c r="Z545" s="3">
        <f>IF(AND($M545=1,对接源_01水果!$D545="原料入库"),1,0)</f>
        <v>0</v>
      </c>
      <c r="AA545" s="3">
        <f t="shared" si="152"/>
        <v>24</v>
      </c>
      <c r="AB545" s="3">
        <f>IF(AND($M545=1,LEFT(对接源_01水果!$D545,4)="原料出库"),1,0)</f>
        <v>0</v>
      </c>
      <c r="AC545" s="3">
        <f t="shared" si="153"/>
        <v>0</v>
      </c>
      <c r="AD545" s="3">
        <f>IF(AND($M545=1,LEFT(对接源_01水果!$D545,4)="成品出库"),1,0)</f>
        <v>0</v>
      </c>
      <c r="AE545" s="3">
        <f t="shared" si="154"/>
        <v>0</v>
      </c>
      <c r="AF545" s="3">
        <f>IF(AND($N545=1,AND(LEFT(对接源_01水果!$D545,4)="包装物料",N(对接源_01水果!$K545)&lt;&gt;0)),1,0)</f>
        <v>0</v>
      </c>
      <c r="AG545" s="3">
        <f t="shared" si="155"/>
        <v>0</v>
      </c>
      <c r="AH545" s="3">
        <f>IF(AND($N545=1,AND(对接源_01水果!$D545="周转筐－销售出库",N(对接源_01水果!$K545)&lt;&gt;0)),1,0)</f>
        <v>0</v>
      </c>
      <c r="AI545" s="3">
        <f t="shared" si="156"/>
        <v>0</v>
      </c>
      <c r="AJ545" s="7"/>
      <c r="AL545" s="3">
        <f>IF(OR($AL$1="",对接源_01水果!$Y545="",对接源_01水果!$Y545&lt;&gt;$AL$1,对接源_01水果!$B545="",N(对接源_01水果!$AJ545)&lt;=0),0,IF(OR(N(对接源_01水果!$B545)&lt;$AL$2,N(对接源_01水果!$B545)&gt;$AL$3),0,1))</f>
        <v>0</v>
      </c>
      <c r="AM545" s="3">
        <f t="shared" si="157"/>
        <v>1</v>
      </c>
      <c r="AN545" s="3" t="str">
        <f>IF(对接源_01水果!$AC545="","",对接源_01水果!$AC545)</f>
        <v/>
      </c>
      <c r="AO545" s="3">
        <f t="shared" si="158"/>
        <v>0</v>
      </c>
      <c r="AP545" s="3">
        <f t="shared" si="159"/>
        <v>8</v>
      </c>
      <c r="AR545">
        <f t="shared" si="160"/>
        <v>0</v>
      </c>
      <c r="AS545">
        <f t="shared" si="161"/>
        <v>0</v>
      </c>
    </row>
    <row r="546" ht="14.25" customHeight="1" spans="1:45">
      <c r="A546" s="3" t="str">
        <f>IF(对接源_01水果!$C546="","",对接源_01水果!$C546)</f>
        <v/>
      </c>
      <c r="B546" s="3">
        <f t="shared" si="145"/>
        <v>0</v>
      </c>
      <c r="C546" s="3">
        <f t="shared" si="146"/>
        <v>18</v>
      </c>
      <c r="K546" s="3">
        <f>IF(OR($K$1="",对接源_01水果!$C546="",对接源_01水果!$C546&lt;&gt;$K$1,对接源_01水果!$B546=""),0,IF(OR(N(对接源_01水果!$B546)&lt;$K$2,N(对接源_01水果!$B546)&gt;$K$3),0,1))</f>
        <v>0</v>
      </c>
      <c r="L546" s="3">
        <f>IF(OR($L$1="",对接源_01水果!$C546="",对接源_01水果!$C546&lt;&gt;$L$1,对接源_01水果!$B546=""),0,IF(OR(N(对接源_01水果!$B546)&lt;$L$2,N(对接源_01水果!$B546)&gt;$L$3),0,1))</f>
        <v>0</v>
      </c>
      <c r="M546" s="3">
        <f>IF(OR($M$1="",对接源_01水果!$C546="",对接源_01水果!$C546&lt;&gt;$M$1,对接源_01水果!$B546=""),0,IF(OR(N(对接源_01水果!$B546)&lt;$M$2,N(对接源_01水果!$B546)&gt;$M$3),0,1))</f>
        <v>0</v>
      </c>
      <c r="N546" s="3">
        <f>IF(OR($N$1="",对接源_01水果!$C546="",对接源_01水果!$C546&lt;&gt;$N$1,对接源_01水果!$B546=""),0,IF(OR(N(对接源_01水果!$B546)&lt;$N$2,N(对接源_01水果!$B546)&gt;$N$3),0,1))</f>
        <v>0</v>
      </c>
      <c r="P546" s="3">
        <f>IF(AND($K546=1,AND(对接源_01水果!$X546="公司筐",N(对接源_01水果!$T546)&lt;&gt;0)),1,0)</f>
        <v>0</v>
      </c>
      <c r="Q546" s="3">
        <f t="shared" si="147"/>
        <v>0</v>
      </c>
      <c r="R546" s="3">
        <f>IF(AND($K546=1,AND(对接源_01水果!$X546="公司筐",N(对接源_01水果!$U546)&lt;&gt;0)),1,0)</f>
        <v>0</v>
      </c>
      <c r="S546" s="3">
        <f t="shared" si="148"/>
        <v>0</v>
      </c>
      <c r="T546" s="3">
        <f>IF(AND($K546=1,AND(对接源_01水果!$X546="公司筐",N(对接源_01水果!$V546)&lt;&gt;0)),1,0)</f>
        <v>0</v>
      </c>
      <c r="U546" s="3">
        <f t="shared" si="149"/>
        <v>19</v>
      </c>
      <c r="V546" s="3">
        <f>IF(AND($L546=1,AND(对接源_01水果!$X546="自备筐",N(对接源_01水果!$V546)&lt;&gt;0)),1,0)</f>
        <v>0</v>
      </c>
      <c r="W546" s="3">
        <f t="shared" si="150"/>
        <v>8</v>
      </c>
      <c r="X546" s="3">
        <f>IF(AND($L546=1,AND(对接源_01水果!$X546="自备筐",N(对接源_01水果!$T546)&lt;&gt;0)),1,0)</f>
        <v>0</v>
      </c>
      <c r="Y546" s="3">
        <f t="shared" si="151"/>
        <v>0</v>
      </c>
      <c r="Z546" s="3">
        <f>IF(AND($M546=1,对接源_01水果!$D546="原料入库"),1,0)</f>
        <v>0</v>
      </c>
      <c r="AA546" s="3">
        <f t="shared" si="152"/>
        <v>24</v>
      </c>
      <c r="AB546" s="3">
        <f>IF(AND($M546=1,LEFT(对接源_01水果!$D546,4)="原料出库"),1,0)</f>
        <v>0</v>
      </c>
      <c r="AC546" s="3">
        <f t="shared" si="153"/>
        <v>0</v>
      </c>
      <c r="AD546" s="3">
        <f>IF(AND($M546=1,LEFT(对接源_01水果!$D546,4)="成品出库"),1,0)</f>
        <v>0</v>
      </c>
      <c r="AE546" s="3">
        <f t="shared" si="154"/>
        <v>0</v>
      </c>
      <c r="AF546" s="3">
        <f>IF(AND($N546=1,AND(LEFT(对接源_01水果!$D546,4)="包装物料",N(对接源_01水果!$K546)&lt;&gt;0)),1,0)</f>
        <v>0</v>
      </c>
      <c r="AG546" s="3">
        <f t="shared" si="155"/>
        <v>0</v>
      </c>
      <c r="AH546" s="3">
        <f>IF(AND($N546=1,AND(对接源_01水果!$D546="周转筐－销售出库",N(对接源_01水果!$K546)&lt;&gt;0)),1,0)</f>
        <v>0</v>
      </c>
      <c r="AI546" s="3">
        <f t="shared" si="156"/>
        <v>0</v>
      </c>
      <c r="AJ546" s="7"/>
      <c r="AL546" s="3">
        <f>IF(OR($AL$1="",对接源_01水果!$Y546="",对接源_01水果!$Y546&lt;&gt;$AL$1,对接源_01水果!$B546="",N(对接源_01水果!$AJ546)&lt;=0),0,IF(OR(N(对接源_01水果!$B546)&lt;$AL$2,N(对接源_01水果!$B546)&gt;$AL$3),0,1))</f>
        <v>0</v>
      </c>
      <c r="AM546" s="3">
        <f t="shared" si="157"/>
        <v>1</v>
      </c>
      <c r="AN546" s="3" t="str">
        <f>IF(对接源_01水果!$AC546="","",对接源_01水果!$AC546)</f>
        <v/>
      </c>
      <c r="AO546" s="3">
        <f t="shared" si="158"/>
        <v>0</v>
      </c>
      <c r="AP546" s="3">
        <f t="shared" si="159"/>
        <v>8</v>
      </c>
      <c r="AR546">
        <f t="shared" si="160"/>
        <v>0</v>
      </c>
      <c r="AS546">
        <f t="shared" si="161"/>
        <v>0</v>
      </c>
    </row>
    <row r="547" ht="14.25" customHeight="1" spans="1:45">
      <c r="A547" s="3" t="str">
        <f>IF(对接源_01水果!$C547="","",对接源_01水果!$C547)</f>
        <v/>
      </c>
      <c r="B547" s="3">
        <f t="shared" si="145"/>
        <v>0</v>
      </c>
      <c r="C547" s="3">
        <f t="shared" si="146"/>
        <v>18</v>
      </c>
      <c r="K547" s="3">
        <f>IF(OR($K$1="",对接源_01水果!$C547="",对接源_01水果!$C547&lt;&gt;$K$1,对接源_01水果!$B547=""),0,IF(OR(N(对接源_01水果!$B547)&lt;$K$2,N(对接源_01水果!$B547)&gt;$K$3),0,1))</f>
        <v>0</v>
      </c>
      <c r="L547" s="3">
        <f>IF(OR($L$1="",对接源_01水果!$C547="",对接源_01水果!$C547&lt;&gt;$L$1,对接源_01水果!$B547=""),0,IF(OR(N(对接源_01水果!$B547)&lt;$L$2,N(对接源_01水果!$B547)&gt;$L$3),0,1))</f>
        <v>0</v>
      </c>
      <c r="M547" s="3">
        <f>IF(OR($M$1="",对接源_01水果!$C547="",对接源_01水果!$C547&lt;&gt;$M$1,对接源_01水果!$B547=""),0,IF(OR(N(对接源_01水果!$B547)&lt;$M$2,N(对接源_01水果!$B547)&gt;$M$3),0,1))</f>
        <v>0</v>
      </c>
      <c r="N547" s="3">
        <f>IF(OR($N$1="",对接源_01水果!$C547="",对接源_01水果!$C547&lt;&gt;$N$1,对接源_01水果!$B547=""),0,IF(OR(N(对接源_01水果!$B547)&lt;$N$2,N(对接源_01水果!$B547)&gt;$N$3),0,1))</f>
        <v>0</v>
      </c>
      <c r="P547" s="3">
        <f>IF(AND($K547=1,AND(对接源_01水果!$X547="公司筐",N(对接源_01水果!$T547)&lt;&gt;0)),1,0)</f>
        <v>0</v>
      </c>
      <c r="Q547" s="3">
        <f t="shared" si="147"/>
        <v>0</v>
      </c>
      <c r="R547" s="3">
        <f>IF(AND($K547=1,AND(对接源_01水果!$X547="公司筐",N(对接源_01水果!$U547)&lt;&gt;0)),1,0)</f>
        <v>0</v>
      </c>
      <c r="S547" s="3">
        <f t="shared" si="148"/>
        <v>0</v>
      </c>
      <c r="T547" s="3">
        <f>IF(AND($K547=1,AND(对接源_01水果!$X547="公司筐",N(对接源_01水果!$V547)&lt;&gt;0)),1,0)</f>
        <v>0</v>
      </c>
      <c r="U547" s="3">
        <f t="shared" si="149"/>
        <v>19</v>
      </c>
      <c r="V547" s="3">
        <f>IF(AND($L547=1,AND(对接源_01水果!$X547="自备筐",N(对接源_01水果!$V547)&lt;&gt;0)),1,0)</f>
        <v>0</v>
      </c>
      <c r="W547" s="3">
        <f t="shared" si="150"/>
        <v>8</v>
      </c>
      <c r="X547" s="3">
        <f>IF(AND($L547=1,AND(对接源_01水果!$X547="自备筐",N(对接源_01水果!$T547)&lt;&gt;0)),1,0)</f>
        <v>0</v>
      </c>
      <c r="Y547" s="3">
        <f t="shared" si="151"/>
        <v>0</v>
      </c>
      <c r="Z547" s="3">
        <f>IF(AND($M547=1,对接源_01水果!$D547="原料入库"),1,0)</f>
        <v>0</v>
      </c>
      <c r="AA547" s="3">
        <f t="shared" si="152"/>
        <v>24</v>
      </c>
      <c r="AB547" s="3">
        <f>IF(AND($M547=1,LEFT(对接源_01水果!$D547,4)="原料出库"),1,0)</f>
        <v>0</v>
      </c>
      <c r="AC547" s="3">
        <f t="shared" si="153"/>
        <v>0</v>
      </c>
      <c r="AD547" s="3">
        <f>IF(AND($M547=1,LEFT(对接源_01水果!$D547,4)="成品出库"),1,0)</f>
        <v>0</v>
      </c>
      <c r="AE547" s="3">
        <f t="shared" si="154"/>
        <v>0</v>
      </c>
      <c r="AF547" s="3">
        <f>IF(AND($N547=1,AND(LEFT(对接源_01水果!$D547,4)="包装物料",N(对接源_01水果!$K547)&lt;&gt;0)),1,0)</f>
        <v>0</v>
      </c>
      <c r="AG547" s="3">
        <f t="shared" si="155"/>
        <v>0</v>
      </c>
      <c r="AH547" s="3">
        <f>IF(AND($N547=1,AND(对接源_01水果!$D547="周转筐－销售出库",N(对接源_01水果!$K547)&lt;&gt;0)),1,0)</f>
        <v>0</v>
      </c>
      <c r="AI547" s="3">
        <f t="shared" si="156"/>
        <v>0</v>
      </c>
      <c r="AJ547" s="7"/>
      <c r="AL547" s="3">
        <f>IF(OR($AL$1="",对接源_01水果!$Y547="",对接源_01水果!$Y547&lt;&gt;$AL$1,对接源_01水果!$B547="",N(对接源_01水果!$AJ547)&lt;=0),0,IF(OR(N(对接源_01水果!$B547)&lt;$AL$2,N(对接源_01水果!$B547)&gt;$AL$3),0,1))</f>
        <v>0</v>
      </c>
      <c r="AM547" s="3">
        <f t="shared" si="157"/>
        <v>1</v>
      </c>
      <c r="AN547" s="3" t="str">
        <f>IF(对接源_01水果!$AC547="","",对接源_01水果!$AC547)</f>
        <v/>
      </c>
      <c r="AO547" s="3">
        <f t="shared" si="158"/>
        <v>0</v>
      </c>
      <c r="AP547" s="3">
        <f t="shared" si="159"/>
        <v>8</v>
      </c>
      <c r="AR547">
        <f t="shared" si="160"/>
        <v>0</v>
      </c>
      <c r="AS547">
        <f t="shared" si="161"/>
        <v>0</v>
      </c>
    </row>
    <row r="548" ht="14.25" customHeight="1" spans="1:45">
      <c r="A548" s="3" t="str">
        <f>IF(对接源_01水果!$C548="","",对接源_01水果!$C548)</f>
        <v/>
      </c>
      <c r="B548" s="3">
        <f t="shared" si="145"/>
        <v>0</v>
      </c>
      <c r="C548" s="3">
        <f t="shared" si="146"/>
        <v>18</v>
      </c>
      <c r="K548" s="3">
        <f>IF(OR($K$1="",对接源_01水果!$C548="",对接源_01水果!$C548&lt;&gt;$K$1,对接源_01水果!$B548=""),0,IF(OR(N(对接源_01水果!$B548)&lt;$K$2,N(对接源_01水果!$B548)&gt;$K$3),0,1))</f>
        <v>0</v>
      </c>
      <c r="L548" s="3">
        <f>IF(OR($L$1="",对接源_01水果!$C548="",对接源_01水果!$C548&lt;&gt;$L$1,对接源_01水果!$B548=""),0,IF(OR(N(对接源_01水果!$B548)&lt;$L$2,N(对接源_01水果!$B548)&gt;$L$3),0,1))</f>
        <v>0</v>
      </c>
      <c r="M548" s="3">
        <f>IF(OR($M$1="",对接源_01水果!$C548="",对接源_01水果!$C548&lt;&gt;$M$1,对接源_01水果!$B548=""),0,IF(OR(N(对接源_01水果!$B548)&lt;$M$2,N(对接源_01水果!$B548)&gt;$M$3),0,1))</f>
        <v>0</v>
      </c>
      <c r="N548" s="3">
        <f>IF(OR($N$1="",对接源_01水果!$C548="",对接源_01水果!$C548&lt;&gt;$N$1,对接源_01水果!$B548=""),0,IF(OR(N(对接源_01水果!$B548)&lt;$N$2,N(对接源_01水果!$B548)&gt;$N$3),0,1))</f>
        <v>0</v>
      </c>
      <c r="P548" s="3">
        <f>IF(AND($K548=1,AND(对接源_01水果!$X548="公司筐",N(对接源_01水果!$T548)&lt;&gt;0)),1,0)</f>
        <v>0</v>
      </c>
      <c r="Q548" s="3">
        <f t="shared" si="147"/>
        <v>0</v>
      </c>
      <c r="R548" s="3">
        <f>IF(AND($K548=1,AND(对接源_01水果!$X548="公司筐",N(对接源_01水果!$U548)&lt;&gt;0)),1,0)</f>
        <v>0</v>
      </c>
      <c r="S548" s="3">
        <f t="shared" si="148"/>
        <v>0</v>
      </c>
      <c r="T548" s="3">
        <f>IF(AND($K548=1,AND(对接源_01水果!$X548="公司筐",N(对接源_01水果!$V548)&lt;&gt;0)),1,0)</f>
        <v>0</v>
      </c>
      <c r="U548" s="3">
        <f t="shared" si="149"/>
        <v>19</v>
      </c>
      <c r="V548" s="3">
        <f>IF(AND($L548=1,AND(对接源_01水果!$X548="自备筐",N(对接源_01水果!$V548)&lt;&gt;0)),1,0)</f>
        <v>0</v>
      </c>
      <c r="W548" s="3">
        <f t="shared" si="150"/>
        <v>8</v>
      </c>
      <c r="X548" s="3">
        <f>IF(AND($L548=1,AND(对接源_01水果!$X548="自备筐",N(对接源_01水果!$T548)&lt;&gt;0)),1,0)</f>
        <v>0</v>
      </c>
      <c r="Y548" s="3">
        <f t="shared" si="151"/>
        <v>0</v>
      </c>
      <c r="Z548" s="3">
        <f>IF(AND($M548=1,对接源_01水果!$D548="原料入库"),1,0)</f>
        <v>0</v>
      </c>
      <c r="AA548" s="3">
        <f t="shared" si="152"/>
        <v>24</v>
      </c>
      <c r="AB548" s="3">
        <f>IF(AND($M548=1,LEFT(对接源_01水果!$D548,4)="原料出库"),1,0)</f>
        <v>0</v>
      </c>
      <c r="AC548" s="3">
        <f t="shared" si="153"/>
        <v>0</v>
      </c>
      <c r="AD548" s="3">
        <f>IF(AND($M548=1,LEFT(对接源_01水果!$D548,4)="成品出库"),1,0)</f>
        <v>0</v>
      </c>
      <c r="AE548" s="3">
        <f t="shared" si="154"/>
        <v>0</v>
      </c>
      <c r="AF548" s="3">
        <f>IF(AND($N548=1,AND(LEFT(对接源_01水果!$D548,4)="包装物料",N(对接源_01水果!$K548)&lt;&gt;0)),1,0)</f>
        <v>0</v>
      </c>
      <c r="AG548" s="3">
        <f t="shared" si="155"/>
        <v>0</v>
      </c>
      <c r="AH548" s="3">
        <f>IF(AND($N548=1,AND(对接源_01水果!$D548="周转筐－销售出库",N(对接源_01水果!$K548)&lt;&gt;0)),1,0)</f>
        <v>0</v>
      </c>
      <c r="AI548" s="3">
        <f t="shared" si="156"/>
        <v>0</v>
      </c>
      <c r="AJ548" s="7"/>
      <c r="AL548" s="3">
        <f>IF(OR($AL$1="",对接源_01水果!$Y548="",对接源_01水果!$Y548&lt;&gt;$AL$1,对接源_01水果!$B548="",N(对接源_01水果!$AJ548)&lt;=0),0,IF(OR(N(对接源_01水果!$B548)&lt;$AL$2,N(对接源_01水果!$B548)&gt;$AL$3),0,1))</f>
        <v>0</v>
      </c>
      <c r="AM548" s="3">
        <f t="shared" si="157"/>
        <v>1</v>
      </c>
      <c r="AN548" s="3" t="str">
        <f>IF(对接源_01水果!$AC548="","",对接源_01水果!$AC548)</f>
        <v/>
      </c>
      <c r="AO548" s="3">
        <f t="shared" si="158"/>
        <v>0</v>
      </c>
      <c r="AP548" s="3">
        <f t="shared" si="159"/>
        <v>8</v>
      </c>
      <c r="AR548">
        <f t="shared" si="160"/>
        <v>0</v>
      </c>
      <c r="AS548">
        <f t="shared" si="161"/>
        <v>0</v>
      </c>
    </row>
    <row r="549" ht="14.25" customHeight="1" spans="1:45">
      <c r="A549" s="3" t="str">
        <f>IF(对接源_01水果!$C549="","",对接源_01水果!$C549)</f>
        <v/>
      </c>
      <c r="B549" s="3">
        <f t="shared" si="145"/>
        <v>0</v>
      </c>
      <c r="C549" s="3">
        <f t="shared" si="146"/>
        <v>18</v>
      </c>
      <c r="K549" s="3">
        <f>IF(OR($K$1="",对接源_01水果!$C549="",对接源_01水果!$C549&lt;&gt;$K$1,对接源_01水果!$B549=""),0,IF(OR(N(对接源_01水果!$B549)&lt;$K$2,N(对接源_01水果!$B549)&gt;$K$3),0,1))</f>
        <v>0</v>
      </c>
      <c r="L549" s="3">
        <f>IF(OR($L$1="",对接源_01水果!$C549="",对接源_01水果!$C549&lt;&gt;$L$1,对接源_01水果!$B549=""),0,IF(OR(N(对接源_01水果!$B549)&lt;$L$2,N(对接源_01水果!$B549)&gt;$L$3),0,1))</f>
        <v>0</v>
      </c>
      <c r="M549" s="3">
        <f>IF(OR($M$1="",对接源_01水果!$C549="",对接源_01水果!$C549&lt;&gt;$M$1,对接源_01水果!$B549=""),0,IF(OR(N(对接源_01水果!$B549)&lt;$M$2,N(对接源_01水果!$B549)&gt;$M$3),0,1))</f>
        <v>0</v>
      </c>
      <c r="N549" s="3">
        <f>IF(OR($N$1="",对接源_01水果!$C549="",对接源_01水果!$C549&lt;&gt;$N$1,对接源_01水果!$B549=""),0,IF(OR(N(对接源_01水果!$B549)&lt;$N$2,N(对接源_01水果!$B549)&gt;$N$3),0,1))</f>
        <v>0</v>
      </c>
      <c r="P549" s="3">
        <f>IF(AND($K549=1,AND(对接源_01水果!$X549="公司筐",N(对接源_01水果!$T549)&lt;&gt;0)),1,0)</f>
        <v>0</v>
      </c>
      <c r="Q549" s="3">
        <f t="shared" si="147"/>
        <v>0</v>
      </c>
      <c r="R549" s="3">
        <f>IF(AND($K549=1,AND(对接源_01水果!$X549="公司筐",N(对接源_01水果!$U549)&lt;&gt;0)),1,0)</f>
        <v>0</v>
      </c>
      <c r="S549" s="3">
        <f t="shared" si="148"/>
        <v>0</v>
      </c>
      <c r="T549" s="3">
        <f>IF(AND($K549=1,AND(对接源_01水果!$X549="公司筐",N(对接源_01水果!$V549)&lt;&gt;0)),1,0)</f>
        <v>0</v>
      </c>
      <c r="U549" s="3">
        <f t="shared" si="149"/>
        <v>19</v>
      </c>
      <c r="V549" s="3">
        <f>IF(AND($L549=1,AND(对接源_01水果!$X549="自备筐",N(对接源_01水果!$V549)&lt;&gt;0)),1,0)</f>
        <v>0</v>
      </c>
      <c r="W549" s="3">
        <f t="shared" si="150"/>
        <v>8</v>
      </c>
      <c r="X549" s="3">
        <f>IF(AND($L549=1,AND(对接源_01水果!$X549="自备筐",N(对接源_01水果!$T549)&lt;&gt;0)),1,0)</f>
        <v>0</v>
      </c>
      <c r="Y549" s="3">
        <f t="shared" si="151"/>
        <v>0</v>
      </c>
      <c r="Z549" s="3">
        <f>IF(AND($M549=1,对接源_01水果!$D549="原料入库"),1,0)</f>
        <v>0</v>
      </c>
      <c r="AA549" s="3">
        <f t="shared" si="152"/>
        <v>24</v>
      </c>
      <c r="AB549" s="3">
        <f>IF(AND($M549=1,LEFT(对接源_01水果!$D549,4)="原料出库"),1,0)</f>
        <v>0</v>
      </c>
      <c r="AC549" s="3">
        <f t="shared" si="153"/>
        <v>0</v>
      </c>
      <c r="AD549" s="3">
        <f>IF(AND($M549=1,LEFT(对接源_01水果!$D549,4)="成品出库"),1,0)</f>
        <v>0</v>
      </c>
      <c r="AE549" s="3">
        <f t="shared" si="154"/>
        <v>0</v>
      </c>
      <c r="AF549" s="3">
        <f>IF(AND($N549=1,AND(LEFT(对接源_01水果!$D549,4)="包装物料",N(对接源_01水果!$K549)&lt;&gt;0)),1,0)</f>
        <v>0</v>
      </c>
      <c r="AG549" s="3">
        <f t="shared" si="155"/>
        <v>0</v>
      </c>
      <c r="AH549" s="3">
        <f>IF(AND($N549=1,AND(对接源_01水果!$D549="周转筐－销售出库",N(对接源_01水果!$K549)&lt;&gt;0)),1,0)</f>
        <v>0</v>
      </c>
      <c r="AI549" s="3">
        <f t="shared" si="156"/>
        <v>0</v>
      </c>
      <c r="AJ549" s="7"/>
      <c r="AL549" s="3">
        <f>IF(OR($AL$1="",对接源_01水果!$Y549="",对接源_01水果!$Y549&lt;&gt;$AL$1,对接源_01水果!$B549="",N(对接源_01水果!$AJ549)&lt;=0),0,IF(OR(N(对接源_01水果!$B549)&lt;$AL$2,N(对接源_01水果!$B549)&gt;$AL$3),0,1))</f>
        <v>0</v>
      </c>
      <c r="AM549" s="3">
        <f t="shared" si="157"/>
        <v>1</v>
      </c>
      <c r="AN549" s="3" t="str">
        <f>IF(对接源_01水果!$AC549="","",对接源_01水果!$AC549)</f>
        <v/>
      </c>
      <c r="AO549" s="3">
        <f t="shared" si="158"/>
        <v>0</v>
      </c>
      <c r="AP549" s="3">
        <f t="shared" si="159"/>
        <v>8</v>
      </c>
      <c r="AR549">
        <f t="shared" si="160"/>
        <v>0</v>
      </c>
      <c r="AS549">
        <f t="shared" si="161"/>
        <v>0</v>
      </c>
    </row>
    <row r="550" ht="14.25" customHeight="1" spans="1:45">
      <c r="A550" s="3" t="str">
        <f>IF(对接源_01水果!$C550="","",对接源_01水果!$C550)</f>
        <v/>
      </c>
      <c r="B550" s="3">
        <f t="shared" si="145"/>
        <v>0</v>
      </c>
      <c r="C550" s="3">
        <f t="shared" si="146"/>
        <v>18</v>
      </c>
      <c r="K550" s="3">
        <f>IF(OR($K$1="",对接源_01水果!$C550="",对接源_01水果!$C550&lt;&gt;$K$1,对接源_01水果!$B550=""),0,IF(OR(N(对接源_01水果!$B550)&lt;$K$2,N(对接源_01水果!$B550)&gt;$K$3),0,1))</f>
        <v>0</v>
      </c>
      <c r="L550" s="3">
        <f>IF(OR($L$1="",对接源_01水果!$C550="",对接源_01水果!$C550&lt;&gt;$L$1,对接源_01水果!$B550=""),0,IF(OR(N(对接源_01水果!$B550)&lt;$L$2,N(对接源_01水果!$B550)&gt;$L$3),0,1))</f>
        <v>0</v>
      </c>
      <c r="M550" s="3">
        <f>IF(OR($M$1="",对接源_01水果!$C550="",对接源_01水果!$C550&lt;&gt;$M$1,对接源_01水果!$B550=""),0,IF(OR(N(对接源_01水果!$B550)&lt;$M$2,N(对接源_01水果!$B550)&gt;$M$3),0,1))</f>
        <v>0</v>
      </c>
      <c r="N550" s="3">
        <f>IF(OR($N$1="",对接源_01水果!$C550="",对接源_01水果!$C550&lt;&gt;$N$1,对接源_01水果!$B550=""),0,IF(OR(N(对接源_01水果!$B550)&lt;$N$2,N(对接源_01水果!$B550)&gt;$N$3),0,1))</f>
        <v>0</v>
      </c>
      <c r="P550" s="3">
        <f>IF(AND($K550=1,AND(对接源_01水果!$X550="公司筐",N(对接源_01水果!$T550)&lt;&gt;0)),1,0)</f>
        <v>0</v>
      </c>
      <c r="Q550" s="3">
        <f t="shared" si="147"/>
        <v>0</v>
      </c>
      <c r="R550" s="3">
        <f>IF(AND($K550=1,AND(对接源_01水果!$X550="公司筐",N(对接源_01水果!$U550)&lt;&gt;0)),1,0)</f>
        <v>0</v>
      </c>
      <c r="S550" s="3">
        <f t="shared" si="148"/>
        <v>0</v>
      </c>
      <c r="T550" s="3">
        <f>IF(AND($K550=1,AND(对接源_01水果!$X550="公司筐",N(对接源_01水果!$V550)&lt;&gt;0)),1,0)</f>
        <v>0</v>
      </c>
      <c r="U550" s="3">
        <f t="shared" si="149"/>
        <v>19</v>
      </c>
      <c r="V550" s="3">
        <f>IF(AND($L550=1,AND(对接源_01水果!$X550="自备筐",N(对接源_01水果!$V550)&lt;&gt;0)),1,0)</f>
        <v>0</v>
      </c>
      <c r="W550" s="3">
        <f t="shared" si="150"/>
        <v>8</v>
      </c>
      <c r="X550" s="3">
        <f>IF(AND($L550=1,AND(对接源_01水果!$X550="自备筐",N(对接源_01水果!$T550)&lt;&gt;0)),1,0)</f>
        <v>0</v>
      </c>
      <c r="Y550" s="3">
        <f t="shared" si="151"/>
        <v>0</v>
      </c>
      <c r="Z550" s="3">
        <f>IF(AND($M550=1,对接源_01水果!$D550="原料入库"),1,0)</f>
        <v>0</v>
      </c>
      <c r="AA550" s="3">
        <f t="shared" si="152"/>
        <v>24</v>
      </c>
      <c r="AB550" s="3">
        <f>IF(AND($M550=1,LEFT(对接源_01水果!$D550,4)="原料出库"),1,0)</f>
        <v>0</v>
      </c>
      <c r="AC550" s="3">
        <f t="shared" si="153"/>
        <v>0</v>
      </c>
      <c r="AD550" s="3">
        <f>IF(AND($M550=1,LEFT(对接源_01水果!$D550,4)="成品出库"),1,0)</f>
        <v>0</v>
      </c>
      <c r="AE550" s="3">
        <f t="shared" si="154"/>
        <v>0</v>
      </c>
      <c r="AF550" s="3">
        <f>IF(AND($N550=1,AND(LEFT(对接源_01水果!$D550,4)="包装物料",N(对接源_01水果!$K550)&lt;&gt;0)),1,0)</f>
        <v>0</v>
      </c>
      <c r="AG550" s="3">
        <f t="shared" si="155"/>
        <v>0</v>
      </c>
      <c r="AH550" s="3">
        <f>IF(AND($N550=1,AND(对接源_01水果!$D550="周转筐－销售出库",N(对接源_01水果!$K550)&lt;&gt;0)),1,0)</f>
        <v>0</v>
      </c>
      <c r="AI550" s="3">
        <f t="shared" si="156"/>
        <v>0</v>
      </c>
      <c r="AJ550" s="7"/>
      <c r="AL550" s="3">
        <f>IF(OR($AL$1="",对接源_01水果!$Y550="",对接源_01水果!$Y550&lt;&gt;$AL$1,对接源_01水果!$B550="",N(对接源_01水果!$AJ550)&lt;=0),0,IF(OR(N(对接源_01水果!$B550)&lt;$AL$2,N(对接源_01水果!$B550)&gt;$AL$3),0,1))</f>
        <v>0</v>
      </c>
      <c r="AM550" s="3">
        <f t="shared" si="157"/>
        <v>1</v>
      </c>
      <c r="AN550" s="3" t="str">
        <f>IF(对接源_01水果!$AC550="","",对接源_01水果!$AC550)</f>
        <v/>
      </c>
      <c r="AO550" s="3">
        <f t="shared" si="158"/>
        <v>0</v>
      </c>
      <c r="AP550" s="3">
        <f t="shared" si="159"/>
        <v>8</v>
      </c>
      <c r="AR550">
        <f t="shared" si="160"/>
        <v>0</v>
      </c>
      <c r="AS550">
        <f t="shared" si="161"/>
        <v>0</v>
      </c>
    </row>
    <row r="551" ht="14.25" customHeight="1" spans="1:45">
      <c r="A551" s="3" t="str">
        <f>IF(对接源_01水果!$C551="","",对接源_01水果!$C551)</f>
        <v/>
      </c>
      <c r="B551" s="3">
        <f t="shared" si="145"/>
        <v>0</v>
      </c>
      <c r="C551" s="3">
        <f t="shared" si="146"/>
        <v>18</v>
      </c>
      <c r="K551" s="3">
        <f>IF(OR($K$1="",对接源_01水果!$C551="",对接源_01水果!$C551&lt;&gt;$K$1,对接源_01水果!$B551=""),0,IF(OR(N(对接源_01水果!$B551)&lt;$K$2,N(对接源_01水果!$B551)&gt;$K$3),0,1))</f>
        <v>0</v>
      </c>
      <c r="L551" s="3">
        <f>IF(OR($L$1="",对接源_01水果!$C551="",对接源_01水果!$C551&lt;&gt;$L$1,对接源_01水果!$B551=""),0,IF(OR(N(对接源_01水果!$B551)&lt;$L$2,N(对接源_01水果!$B551)&gt;$L$3),0,1))</f>
        <v>0</v>
      </c>
      <c r="M551" s="3">
        <f>IF(OR($M$1="",对接源_01水果!$C551="",对接源_01水果!$C551&lt;&gt;$M$1,对接源_01水果!$B551=""),0,IF(OR(N(对接源_01水果!$B551)&lt;$M$2,N(对接源_01水果!$B551)&gt;$M$3),0,1))</f>
        <v>0</v>
      </c>
      <c r="N551" s="3">
        <f>IF(OR($N$1="",对接源_01水果!$C551="",对接源_01水果!$C551&lt;&gt;$N$1,对接源_01水果!$B551=""),0,IF(OR(N(对接源_01水果!$B551)&lt;$N$2,N(对接源_01水果!$B551)&gt;$N$3),0,1))</f>
        <v>0</v>
      </c>
      <c r="P551" s="3">
        <f>IF(AND($K551=1,AND(对接源_01水果!$X551="公司筐",N(对接源_01水果!$T551)&lt;&gt;0)),1,0)</f>
        <v>0</v>
      </c>
      <c r="Q551" s="3">
        <f t="shared" si="147"/>
        <v>0</v>
      </c>
      <c r="R551" s="3">
        <f>IF(AND($K551=1,AND(对接源_01水果!$X551="公司筐",N(对接源_01水果!$U551)&lt;&gt;0)),1,0)</f>
        <v>0</v>
      </c>
      <c r="S551" s="3">
        <f t="shared" si="148"/>
        <v>0</v>
      </c>
      <c r="T551" s="3">
        <f>IF(AND($K551=1,AND(对接源_01水果!$X551="公司筐",N(对接源_01水果!$V551)&lt;&gt;0)),1,0)</f>
        <v>0</v>
      </c>
      <c r="U551" s="3">
        <f t="shared" si="149"/>
        <v>19</v>
      </c>
      <c r="V551" s="3">
        <f>IF(AND($L551=1,AND(对接源_01水果!$X551="自备筐",N(对接源_01水果!$V551)&lt;&gt;0)),1,0)</f>
        <v>0</v>
      </c>
      <c r="W551" s="3">
        <f t="shared" si="150"/>
        <v>8</v>
      </c>
      <c r="X551" s="3">
        <f>IF(AND($L551=1,AND(对接源_01水果!$X551="自备筐",N(对接源_01水果!$T551)&lt;&gt;0)),1,0)</f>
        <v>0</v>
      </c>
      <c r="Y551" s="3">
        <f t="shared" si="151"/>
        <v>0</v>
      </c>
      <c r="Z551" s="3">
        <f>IF(AND($M551=1,对接源_01水果!$D551="原料入库"),1,0)</f>
        <v>0</v>
      </c>
      <c r="AA551" s="3">
        <f t="shared" si="152"/>
        <v>24</v>
      </c>
      <c r="AB551" s="3">
        <f>IF(AND($M551=1,LEFT(对接源_01水果!$D551,4)="原料出库"),1,0)</f>
        <v>0</v>
      </c>
      <c r="AC551" s="3">
        <f t="shared" si="153"/>
        <v>0</v>
      </c>
      <c r="AD551" s="3">
        <f>IF(AND($M551=1,LEFT(对接源_01水果!$D551,4)="成品出库"),1,0)</f>
        <v>0</v>
      </c>
      <c r="AE551" s="3">
        <f t="shared" si="154"/>
        <v>0</v>
      </c>
      <c r="AF551" s="3">
        <f>IF(AND($N551=1,AND(LEFT(对接源_01水果!$D551,4)="包装物料",N(对接源_01水果!$K551)&lt;&gt;0)),1,0)</f>
        <v>0</v>
      </c>
      <c r="AG551" s="3">
        <f t="shared" si="155"/>
        <v>0</v>
      </c>
      <c r="AH551" s="3">
        <f>IF(AND($N551=1,AND(对接源_01水果!$D551="周转筐－销售出库",N(对接源_01水果!$K551)&lt;&gt;0)),1,0)</f>
        <v>0</v>
      </c>
      <c r="AI551" s="3">
        <f t="shared" si="156"/>
        <v>0</v>
      </c>
      <c r="AJ551" s="7"/>
      <c r="AL551" s="3">
        <f>IF(OR($AL$1="",对接源_01水果!$Y551="",对接源_01水果!$Y551&lt;&gt;$AL$1,对接源_01水果!$B551="",N(对接源_01水果!$AJ551)&lt;=0),0,IF(OR(N(对接源_01水果!$B551)&lt;$AL$2,N(对接源_01水果!$B551)&gt;$AL$3),0,1))</f>
        <v>0</v>
      </c>
      <c r="AM551" s="3">
        <f t="shared" si="157"/>
        <v>1</v>
      </c>
      <c r="AN551" s="3" t="str">
        <f>IF(对接源_01水果!$AC551="","",对接源_01水果!$AC551)</f>
        <v/>
      </c>
      <c r="AO551" s="3">
        <f t="shared" si="158"/>
        <v>0</v>
      </c>
      <c r="AP551" s="3">
        <f t="shared" si="159"/>
        <v>8</v>
      </c>
      <c r="AR551">
        <f t="shared" si="160"/>
        <v>0</v>
      </c>
      <c r="AS551">
        <f t="shared" si="161"/>
        <v>0</v>
      </c>
    </row>
    <row r="552" ht="14.25" customHeight="1" spans="1:45">
      <c r="A552" s="3" t="str">
        <f>IF(对接源_01水果!$C552="","",对接源_01水果!$C552)</f>
        <v/>
      </c>
      <c r="B552" s="3">
        <f t="shared" si="145"/>
        <v>0</v>
      </c>
      <c r="C552" s="3">
        <f t="shared" si="146"/>
        <v>18</v>
      </c>
      <c r="K552" s="3">
        <f>IF(OR($K$1="",对接源_01水果!$C552="",对接源_01水果!$C552&lt;&gt;$K$1,对接源_01水果!$B552=""),0,IF(OR(N(对接源_01水果!$B552)&lt;$K$2,N(对接源_01水果!$B552)&gt;$K$3),0,1))</f>
        <v>0</v>
      </c>
      <c r="L552" s="3">
        <f>IF(OR($L$1="",对接源_01水果!$C552="",对接源_01水果!$C552&lt;&gt;$L$1,对接源_01水果!$B552=""),0,IF(OR(N(对接源_01水果!$B552)&lt;$L$2,N(对接源_01水果!$B552)&gt;$L$3),0,1))</f>
        <v>0</v>
      </c>
      <c r="M552" s="3">
        <f>IF(OR($M$1="",对接源_01水果!$C552="",对接源_01水果!$C552&lt;&gt;$M$1,对接源_01水果!$B552=""),0,IF(OR(N(对接源_01水果!$B552)&lt;$M$2,N(对接源_01水果!$B552)&gt;$M$3),0,1))</f>
        <v>0</v>
      </c>
      <c r="N552" s="3">
        <f>IF(OR($N$1="",对接源_01水果!$C552="",对接源_01水果!$C552&lt;&gt;$N$1,对接源_01水果!$B552=""),0,IF(OR(N(对接源_01水果!$B552)&lt;$N$2,N(对接源_01水果!$B552)&gt;$N$3),0,1))</f>
        <v>0</v>
      </c>
      <c r="P552" s="3">
        <f>IF(AND($K552=1,AND(对接源_01水果!$X552="公司筐",N(对接源_01水果!$T552)&lt;&gt;0)),1,0)</f>
        <v>0</v>
      </c>
      <c r="Q552" s="3">
        <f t="shared" si="147"/>
        <v>0</v>
      </c>
      <c r="R552" s="3">
        <f>IF(AND($K552=1,AND(对接源_01水果!$X552="公司筐",N(对接源_01水果!$U552)&lt;&gt;0)),1,0)</f>
        <v>0</v>
      </c>
      <c r="S552" s="3">
        <f t="shared" si="148"/>
        <v>0</v>
      </c>
      <c r="T552" s="3">
        <f>IF(AND($K552=1,AND(对接源_01水果!$X552="公司筐",N(对接源_01水果!$V552)&lt;&gt;0)),1,0)</f>
        <v>0</v>
      </c>
      <c r="U552" s="3">
        <f t="shared" si="149"/>
        <v>19</v>
      </c>
      <c r="V552" s="3">
        <f>IF(AND($L552=1,AND(对接源_01水果!$X552="自备筐",N(对接源_01水果!$V552)&lt;&gt;0)),1,0)</f>
        <v>0</v>
      </c>
      <c r="W552" s="3">
        <f t="shared" si="150"/>
        <v>8</v>
      </c>
      <c r="X552" s="3">
        <f>IF(AND($L552=1,AND(对接源_01水果!$X552="自备筐",N(对接源_01水果!$T552)&lt;&gt;0)),1,0)</f>
        <v>0</v>
      </c>
      <c r="Y552" s="3">
        <f t="shared" si="151"/>
        <v>0</v>
      </c>
      <c r="Z552" s="3">
        <f>IF(AND($M552=1,对接源_01水果!$D552="原料入库"),1,0)</f>
        <v>0</v>
      </c>
      <c r="AA552" s="3">
        <f t="shared" si="152"/>
        <v>24</v>
      </c>
      <c r="AB552" s="3">
        <f>IF(AND($M552=1,LEFT(对接源_01水果!$D552,4)="原料出库"),1,0)</f>
        <v>0</v>
      </c>
      <c r="AC552" s="3">
        <f t="shared" si="153"/>
        <v>0</v>
      </c>
      <c r="AD552" s="3">
        <f>IF(AND($M552=1,LEFT(对接源_01水果!$D552,4)="成品出库"),1,0)</f>
        <v>0</v>
      </c>
      <c r="AE552" s="3">
        <f t="shared" si="154"/>
        <v>0</v>
      </c>
      <c r="AF552" s="3">
        <f>IF(AND($N552=1,AND(LEFT(对接源_01水果!$D552,4)="包装物料",N(对接源_01水果!$K552)&lt;&gt;0)),1,0)</f>
        <v>0</v>
      </c>
      <c r="AG552" s="3">
        <f t="shared" si="155"/>
        <v>0</v>
      </c>
      <c r="AH552" s="3">
        <f>IF(AND($N552=1,AND(对接源_01水果!$D552="周转筐－销售出库",N(对接源_01水果!$K552)&lt;&gt;0)),1,0)</f>
        <v>0</v>
      </c>
      <c r="AI552" s="3">
        <f t="shared" si="156"/>
        <v>0</v>
      </c>
      <c r="AJ552" s="7"/>
      <c r="AL552" s="3">
        <f>IF(OR($AL$1="",对接源_01水果!$Y552="",对接源_01水果!$Y552&lt;&gt;$AL$1,对接源_01水果!$B552="",N(对接源_01水果!$AJ552)&lt;=0),0,IF(OR(N(对接源_01水果!$B552)&lt;$AL$2,N(对接源_01水果!$B552)&gt;$AL$3),0,1))</f>
        <v>0</v>
      </c>
      <c r="AM552" s="3">
        <f t="shared" si="157"/>
        <v>1</v>
      </c>
      <c r="AN552" s="3" t="str">
        <f>IF(对接源_01水果!$AC552="","",对接源_01水果!$AC552)</f>
        <v/>
      </c>
      <c r="AO552" s="3">
        <f t="shared" si="158"/>
        <v>0</v>
      </c>
      <c r="AP552" s="3">
        <f t="shared" si="159"/>
        <v>8</v>
      </c>
      <c r="AR552">
        <f t="shared" si="160"/>
        <v>0</v>
      </c>
      <c r="AS552">
        <f t="shared" si="161"/>
        <v>0</v>
      </c>
    </row>
    <row r="553" ht="14.25" customHeight="1" spans="1:45">
      <c r="A553" s="3" t="str">
        <f>IF(对接源_01水果!$C553="","",对接源_01水果!$C553)</f>
        <v/>
      </c>
      <c r="B553" s="3">
        <f t="shared" si="145"/>
        <v>0</v>
      </c>
      <c r="C553" s="3">
        <f t="shared" si="146"/>
        <v>18</v>
      </c>
      <c r="K553" s="3">
        <f>IF(OR($K$1="",对接源_01水果!$C553="",对接源_01水果!$C553&lt;&gt;$K$1,对接源_01水果!$B553=""),0,IF(OR(N(对接源_01水果!$B553)&lt;$K$2,N(对接源_01水果!$B553)&gt;$K$3),0,1))</f>
        <v>0</v>
      </c>
      <c r="L553" s="3">
        <f>IF(OR($L$1="",对接源_01水果!$C553="",对接源_01水果!$C553&lt;&gt;$L$1,对接源_01水果!$B553=""),0,IF(OR(N(对接源_01水果!$B553)&lt;$L$2,N(对接源_01水果!$B553)&gt;$L$3),0,1))</f>
        <v>0</v>
      </c>
      <c r="M553" s="3">
        <f>IF(OR($M$1="",对接源_01水果!$C553="",对接源_01水果!$C553&lt;&gt;$M$1,对接源_01水果!$B553=""),0,IF(OR(N(对接源_01水果!$B553)&lt;$M$2,N(对接源_01水果!$B553)&gt;$M$3),0,1))</f>
        <v>0</v>
      </c>
      <c r="N553" s="3">
        <f>IF(OR($N$1="",对接源_01水果!$C553="",对接源_01水果!$C553&lt;&gt;$N$1,对接源_01水果!$B553=""),0,IF(OR(N(对接源_01水果!$B553)&lt;$N$2,N(对接源_01水果!$B553)&gt;$N$3),0,1))</f>
        <v>0</v>
      </c>
      <c r="P553" s="3">
        <f>IF(AND($K553=1,AND(对接源_01水果!$X553="公司筐",N(对接源_01水果!$T553)&lt;&gt;0)),1,0)</f>
        <v>0</v>
      </c>
      <c r="Q553" s="3">
        <f t="shared" si="147"/>
        <v>0</v>
      </c>
      <c r="R553" s="3">
        <f>IF(AND($K553=1,AND(对接源_01水果!$X553="公司筐",N(对接源_01水果!$U553)&lt;&gt;0)),1,0)</f>
        <v>0</v>
      </c>
      <c r="S553" s="3">
        <f t="shared" si="148"/>
        <v>0</v>
      </c>
      <c r="T553" s="3">
        <f>IF(AND($K553=1,AND(对接源_01水果!$X553="公司筐",N(对接源_01水果!$V553)&lt;&gt;0)),1,0)</f>
        <v>0</v>
      </c>
      <c r="U553" s="3">
        <f t="shared" si="149"/>
        <v>19</v>
      </c>
      <c r="V553" s="3">
        <f>IF(AND($L553=1,AND(对接源_01水果!$X553="自备筐",N(对接源_01水果!$V553)&lt;&gt;0)),1,0)</f>
        <v>0</v>
      </c>
      <c r="W553" s="3">
        <f t="shared" si="150"/>
        <v>8</v>
      </c>
      <c r="X553" s="3">
        <f>IF(AND($L553=1,AND(对接源_01水果!$X553="自备筐",N(对接源_01水果!$T553)&lt;&gt;0)),1,0)</f>
        <v>0</v>
      </c>
      <c r="Y553" s="3">
        <f t="shared" si="151"/>
        <v>0</v>
      </c>
      <c r="Z553" s="3">
        <f>IF(AND($M553=1,对接源_01水果!$D553="原料入库"),1,0)</f>
        <v>0</v>
      </c>
      <c r="AA553" s="3">
        <f t="shared" si="152"/>
        <v>24</v>
      </c>
      <c r="AB553" s="3">
        <f>IF(AND($M553=1,LEFT(对接源_01水果!$D553,4)="原料出库"),1,0)</f>
        <v>0</v>
      </c>
      <c r="AC553" s="3">
        <f t="shared" si="153"/>
        <v>0</v>
      </c>
      <c r="AD553" s="3">
        <f>IF(AND($M553=1,LEFT(对接源_01水果!$D553,4)="成品出库"),1,0)</f>
        <v>0</v>
      </c>
      <c r="AE553" s="3">
        <f t="shared" si="154"/>
        <v>0</v>
      </c>
      <c r="AF553" s="3">
        <f>IF(AND($N553=1,AND(LEFT(对接源_01水果!$D553,4)="包装物料",N(对接源_01水果!$K553)&lt;&gt;0)),1,0)</f>
        <v>0</v>
      </c>
      <c r="AG553" s="3">
        <f t="shared" si="155"/>
        <v>0</v>
      </c>
      <c r="AH553" s="3">
        <f>IF(AND($N553=1,AND(对接源_01水果!$D553="周转筐－销售出库",N(对接源_01水果!$K553)&lt;&gt;0)),1,0)</f>
        <v>0</v>
      </c>
      <c r="AI553" s="3">
        <f t="shared" si="156"/>
        <v>0</v>
      </c>
      <c r="AJ553" s="7"/>
      <c r="AL553" s="3">
        <f>IF(OR($AL$1="",对接源_01水果!$Y553="",对接源_01水果!$Y553&lt;&gt;$AL$1,对接源_01水果!$B553="",N(对接源_01水果!$AJ553)&lt;=0),0,IF(OR(N(对接源_01水果!$B553)&lt;$AL$2,N(对接源_01水果!$B553)&gt;$AL$3),0,1))</f>
        <v>0</v>
      </c>
      <c r="AM553" s="3">
        <f t="shared" si="157"/>
        <v>1</v>
      </c>
      <c r="AN553" s="3" t="str">
        <f>IF(对接源_01水果!$AC553="","",对接源_01水果!$AC553)</f>
        <v/>
      </c>
      <c r="AO553" s="3">
        <f t="shared" si="158"/>
        <v>0</v>
      </c>
      <c r="AP553" s="3">
        <f t="shared" si="159"/>
        <v>8</v>
      </c>
      <c r="AR553">
        <f t="shared" si="160"/>
        <v>0</v>
      </c>
      <c r="AS553">
        <f t="shared" si="161"/>
        <v>0</v>
      </c>
    </row>
    <row r="554" ht="14.25" customHeight="1" spans="1:45">
      <c r="A554" s="3" t="str">
        <f>IF(对接源_01水果!$C554="","",对接源_01水果!$C554)</f>
        <v/>
      </c>
      <c r="B554" s="3">
        <f t="shared" si="145"/>
        <v>0</v>
      </c>
      <c r="C554" s="3">
        <f t="shared" si="146"/>
        <v>18</v>
      </c>
      <c r="K554" s="3">
        <f>IF(OR($K$1="",对接源_01水果!$C554="",对接源_01水果!$C554&lt;&gt;$K$1,对接源_01水果!$B554=""),0,IF(OR(N(对接源_01水果!$B554)&lt;$K$2,N(对接源_01水果!$B554)&gt;$K$3),0,1))</f>
        <v>0</v>
      </c>
      <c r="L554" s="3">
        <f>IF(OR($L$1="",对接源_01水果!$C554="",对接源_01水果!$C554&lt;&gt;$L$1,对接源_01水果!$B554=""),0,IF(OR(N(对接源_01水果!$B554)&lt;$L$2,N(对接源_01水果!$B554)&gt;$L$3),0,1))</f>
        <v>0</v>
      </c>
      <c r="M554" s="3">
        <f>IF(OR($M$1="",对接源_01水果!$C554="",对接源_01水果!$C554&lt;&gt;$M$1,对接源_01水果!$B554=""),0,IF(OR(N(对接源_01水果!$B554)&lt;$M$2,N(对接源_01水果!$B554)&gt;$M$3),0,1))</f>
        <v>0</v>
      </c>
      <c r="N554" s="3">
        <f>IF(OR($N$1="",对接源_01水果!$C554="",对接源_01水果!$C554&lt;&gt;$N$1,对接源_01水果!$B554=""),0,IF(OR(N(对接源_01水果!$B554)&lt;$N$2,N(对接源_01水果!$B554)&gt;$N$3),0,1))</f>
        <v>0</v>
      </c>
      <c r="P554" s="3">
        <f>IF(AND($K554=1,AND(对接源_01水果!$X554="公司筐",N(对接源_01水果!$T554)&lt;&gt;0)),1,0)</f>
        <v>0</v>
      </c>
      <c r="Q554" s="3">
        <f t="shared" si="147"/>
        <v>0</v>
      </c>
      <c r="R554" s="3">
        <f>IF(AND($K554=1,AND(对接源_01水果!$X554="公司筐",N(对接源_01水果!$U554)&lt;&gt;0)),1,0)</f>
        <v>0</v>
      </c>
      <c r="S554" s="3">
        <f t="shared" si="148"/>
        <v>0</v>
      </c>
      <c r="T554" s="3">
        <f>IF(AND($K554=1,AND(对接源_01水果!$X554="公司筐",N(对接源_01水果!$V554)&lt;&gt;0)),1,0)</f>
        <v>0</v>
      </c>
      <c r="U554" s="3">
        <f t="shared" si="149"/>
        <v>19</v>
      </c>
      <c r="V554" s="3">
        <f>IF(AND($L554=1,AND(对接源_01水果!$X554="自备筐",N(对接源_01水果!$V554)&lt;&gt;0)),1,0)</f>
        <v>0</v>
      </c>
      <c r="W554" s="3">
        <f t="shared" si="150"/>
        <v>8</v>
      </c>
      <c r="X554" s="3">
        <f>IF(AND($L554=1,AND(对接源_01水果!$X554="自备筐",N(对接源_01水果!$T554)&lt;&gt;0)),1,0)</f>
        <v>0</v>
      </c>
      <c r="Y554" s="3">
        <f t="shared" si="151"/>
        <v>0</v>
      </c>
      <c r="Z554" s="3">
        <f>IF(AND($M554=1,对接源_01水果!$D554="原料入库"),1,0)</f>
        <v>0</v>
      </c>
      <c r="AA554" s="3">
        <f t="shared" si="152"/>
        <v>24</v>
      </c>
      <c r="AB554" s="3">
        <f>IF(AND($M554=1,LEFT(对接源_01水果!$D554,4)="原料出库"),1,0)</f>
        <v>0</v>
      </c>
      <c r="AC554" s="3">
        <f t="shared" si="153"/>
        <v>0</v>
      </c>
      <c r="AD554" s="3">
        <f>IF(AND($M554=1,LEFT(对接源_01水果!$D554,4)="成品出库"),1,0)</f>
        <v>0</v>
      </c>
      <c r="AE554" s="3">
        <f t="shared" si="154"/>
        <v>0</v>
      </c>
      <c r="AF554" s="3">
        <f>IF(AND($N554=1,AND(LEFT(对接源_01水果!$D554,4)="包装物料",N(对接源_01水果!$K554)&lt;&gt;0)),1,0)</f>
        <v>0</v>
      </c>
      <c r="AG554" s="3">
        <f t="shared" si="155"/>
        <v>0</v>
      </c>
      <c r="AH554" s="3">
        <f>IF(AND($N554=1,AND(对接源_01水果!$D554="周转筐－销售出库",N(对接源_01水果!$K554)&lt;&gt;0)),1,0)</f>
        <v>0</v>
      </c>
      <c r="AI554" s="3">
        <f t="shared" si="156"/>
        <v>0</v>
      </c>
      <c r="AJ554" s="7"/>
      <c r="AL554" s="3">
        <f>IF(OR($AL$1="",对接源_01水果!$Y554="",对接源_01水果!$Y554&lt;&gt;$AL$1,对接源_01水果!$B554="",N(对接源_01水果!$AJ554)&lt;=0),0,IF(OR(N(对接源_01水果!$B554)&lt;$AL$2,N(对接源_01水果!$B554)&gt;$AL$3),0,1))</f>
        <v>0</v>
      </c>
      <c r="AM554" s="3">
        <f t="shared" si="157"/>
        <v>1</v>
      </c>
      <c r="AN554" s="3" t="str">
        <f>IF(对接源_01水果!$AC554="","",对接源_01水果!$AC554)</f>
        <v/>
      </c>
      <c r="AO554" s="3">
        <f t="shared" si="158"/>
        <v>0</v>
      </c>
      <c r="AP554" s="3">
        <f t="shared" si="159"/>
        <v>8</v>
      </c>
      <c r="AR554">
        <f t="shared" si="160"/>
        <v>0</v>
      </c>
      <c r="AS554">
        <f t="shared" si="161"/>
        <v>0</v>
      </c>
    </row>
    <row r="555" ht="14.25" customHeight="1" spans="1:45">
      <c r="A555" s="3" t="str">
        <f>IF(对接源_01水果!$C555="","",对接源_01水果!$C555)</f>
        <v/>
      </c>
      <c r="B555" s="3">
        <f t="shared" si="145"/>
        <v>0</v>
      </c>
      <c r="C555" s="3">
        <f t="shared" si="146"/>
        <v>18</v>
      </c>
      <c r="K555" s="3">
        <f>IF(OR($K$1="",对接源_01水果!$C555="",对接源_01水果!$C555&lt;&gt;$K$1,对接源_01水果!$B555=""),0,IF(OR(N(对接源_01水果!$B555)&lt;$K$2,N(对接源_01水果!$B555)&gt;$K$3),0,1))</f>
        <v>0</v>
      </c>
      <c r="L555" s="3">
        <f>IF(OR($L$1="",对接源_01水果!$C555="",对接源_01水果!$C555&lt;&gt;$L$1,对接源_01水果!$B555=""),0,IF(OR(N(对接源_01水果!$B555)&lt;$L$2,N(对接源_01水果!$B555)&gt;$L$3),0,1))</f>
        <v>0</v>
      </c>
      <c r="M555" s="3">
        <f>IF(OR($M$1="",对接源_01水果!$C555="",对接源_01水果!$C555&lt;&gt;$M$1,对接源_01水果!$B555=""),0,IF(OR(N(对接源_01水果!$B555)&lt;$M$2,N(对接源_01水果!$B555)&gt;$M$3),0,1))</f>
        <v>0</v>
      </c>
      <c r="N555" s="3">
        <f>IF(OR($N$1="",对接源_01水果!$C555="",对接源_01水果!$C555&lt;&gt;$N$1,对接源_01水果!$B555=""),0,IF(OR(N(对接源_01水果!$B555)&lt;$N$2,N(对接源_01水果!$B555)&gt;$N$3),0,1))</f>
        <v>0</v>
      </c>
      <c r="P555" s="3">
        <f>IF(AND($K555=1,AND(对接源_01水果!$X555="公司筐",N(对接源_01水果!$T555)&lt;&gt;0)),1,0)</f>
        <v>0</v>
      </c>
      <c r="Q555" s="3">
        <f t="shared" si="147"/>
        <v>0</v>
      </c>
      <c r="R555" s="3">
        <f>IF(AND($K555=1,AND(对接源_01水果!$X555="公司筐",N(对接源_01水果!$U555)&lt;&gt;0)),1,0)</f>
        <v>0</v>
      </c>
      <c r="S555" s="3">
        <f t="shared" si="148"/>
        <v>0</v>
      </c>
      <c r="T555" s="3">
        <f>IF(AND($K555=1,AND(对接源_01水果!$X555="公司筐",N(对接源_01水果!$V555)&lt;&gt;0)),1,0)</f>
        <v>0</v>
      </c>
      <c r="U555" s="3">
        <f t="shared" si="149"/>
        <v>19</v>
      </c>
      <c r="V555" s="3">
        <f>IF(AND($L555=1,AND(对接源_01水果!$X555="自备筐",N(对接源_01水果!$V555)&lt;&gt;0)),1,0)</f>
        <v>0</v>
      </c>
      <c r="W555" s="3">
        <f t="shared" si="150"/>
        <v>8</v>
      </c>
      <c r="X555" s="3">
        <f>IF(AND($L555=1,AND(对接源_01水果!$X555="自备筐",N(对接源_01水果!$T555)&lt;&gt;0)),1,0)</f>
        <v>0</v>
      </c>
      <c r="Y555" s="3">
        <f t="shared" si="151"/>
        <v>0</v>
      </c>
      <c r="Z555" s="3">
        <f>IF(AND($M555=1,对接源_01水果!$D555="原料入库"),1,0)</f>
        <v>0</v>
      </c>
      <c r="AA555" s="3">
        <f t="shared" si="152"/>
        <v>24</v>
      </c>
      <c r="AB555" s="3">
        <f>IF(AND($M555=1,LEFT(对接源_01水果!$D555,4)="原料出库"),1,0)</f>
        <v>0</v>
      </c>
      <c r="AC555" s="3">
        <f t="shared" si="153"/>
        <v>0</v>
      </c>
      <c r="AD555" s="3">
        <f>IF(AND($M555=1,LEFT(对接源_01水果!$D555,4)="成品出库"),1,0)</f>
        <v>0</v>
      </c>
      <c r="AE555" s="3">
        <f t="shared" si="154"/>
        <v>0</v>
      </c>
      <c r="AF555" s="3">
        <f>IF(AND($N555=1,AND(LEFT(对接源_01水果!$D555,4)="包装物料",N(对接源_01水果!$K555)&lt;&gt;0)),1,0)</f>
        <v>0</v>
      </c>
      <c r="AG555" s="3">
        <f t="shared" si="155"/>
        <v>0</v>
      </c>
      <c r="AH555" s="3">
        <f>IF(AND($N555=1,AND(对接源_01水果!$D555="周转筐－销售出库",N(对接源_01水果!$K555)&lt;&gt;0)),1,0)</f>
        <v>0</v>
      </c>
      <c r="AI555" s="3">
        <f t="shared" si="156"/>
        <v>0</v>
      </c>
      <c r="AJ555" s="7"/>
      <c r="AL555" s="3">
        <f>IF(OR($AL$1="",对接源_01水果!$Y555="",对接源_01水果!$Y555&lt;&gt;$AL$1,对接源_01水果!$B555="",N(对接源_01水果!$AJ555)&lt;=0),0,IF(OR(N(对接源_01水果!$B555)&lt;$AL$2,N(对接源_01水果!$B555)&gt;$AL$3),0,1))</f>
        <v>0</v>
      </c>
      <c r="AM555" s="3">
        <f t="shared" si="157"/>
        <v>1</v>
      </c>
      <c r="AN555" s="3" t="str">
        <f>IF(对接源_01水果!$AC555="","",对接源_01水果!$AC555)</f>
        <v/>
      </c>
      <c r="AO555" s="3">
        <f t="shared" si="158"/>
        <v>0</v>
      </c>
      <c r="AP555" s="3">
        <f t="shared" si="159"/>
        <v>8</v>
      </c>
      <c r="AR555">
        <f t="shared" si="160"/>
        <v>0</v>
      </c>
      <c r="AS555">
        <f t="shared" si="161"/>
        <v>0</v>
      </c>
    </row>
    <row r="556" ht="14.25" customHeight="1" spans="1:45">
      <c r="A556" s="3" t="str">
        <f>IF(对接源_01水果!$C556="","",对接源_01水果!$C556)</f>
        <v/>
      </c>
      <c r="B556" s="3">
        <f t="shared" si="145"/>
        <v>0</v>
      </c>
      <c r="C556" s="3">
        <f t="shared" si="146"/>
        <v>18</v>
      </c>
      <c r="K556" s="3">
        <f>IF(OR($K$1="",对接源_01水果!$C556="",对接源_01水果!$C556&lt;&gt;$K$1,对接源_01水果!$B556=""),0,IF(OR(N(对接源_01水果!$B556)&lt;$K$2,N(对接源_01水果!$B556)&gt;$K$3),0,1))</f>
        <v>0</v>
      </c>
      <c r="L556" s="3">
        <f>IF(OR($L$1="",对接源_01水果!$C556="",对接源_01水果!$C556&lt;&gt;$L$1,对接源_01水果!$B556=""),0,IF(OR(N(对接源_01水果!$B556)&lt;$L$2,N(对接源_01水果!$B556)&gt;$L$3),0,1))</f>
        <v>0</v>
      </c>
      <c r="M556" s="3">
        <f>IF(OR($M$1="",对接源_01水果!$C556="",对接源_01水果!$C556&lt;&gt;$M$1,对接源_01水果!$B556=""),0,IF(OR(N(对接源_01水果!$B556)&lt;$M$2,N(对接源_01水果!$B556)&gt;$M$3),0,1))</f>
        <v>0</v>
      </c>
      <c r="N556" s="3">
        <f>IF(OR($N$1="",对接源_01水果!$C556="",对接源_01水果!$C556&lt;&gt;$N$1,对接源_01水果!$B556=""),0,IF(OR(N(对接源_01水果!$B556)&lt;$N$2,N(对接源_01水果!$B556)&gt;$N$3),0,1))</f>
        <v>0</v>
      </c>
      <c r="P556" s="3">
        <f>IF(AND($K556=1,AND(对接源_01水果!$X556="公司筐",N(对接源_01水果!$T556)&lt;&gt;0)),1,0)</f>
        <v>0</v>
      </c>
      <c r="Q556" s="3">
        <f t="shared" si="147"/>
        <v>0</v>
      </c>
      <c r="R556" s="3">
        <f>IF(AND($K556=1,AND(对接源_01水果!$X556="公司筐",N(对接源_01水果!$U556)&lt;&gt;0)),1,0)</f>
        <v>0</v>
      </c>
      <c r="S556" s="3">
        <f t="shared" si="148"/>
        <v>0</v>
      </c>
      <c r="T556" s="3">
        <f>IF(AND($K556=1,AND(对接源_01水果!$X556="公司筐",N(对接源_01水果!$V556)&lt;&gt;0)),1,0)</f>
        <v>0</v>
      </c>
      <c r="U556" s="3">
        <f t="shared" si="149"/>
        <v>19</v>
      </c>
      <c r="V556" s="3">
        <f>IF(AND($L556=1,AND(对接源_01水果!$X556="自备筐",N(对接源_01水果!$V556)&lt;&gt;0)),1,0)</f>
        <v>0</v>
      </c>
      <c r="W556" s="3">
        <f t="shared" si="150"/>
        <v>8</v>
      </c>
      <c r="X556" s="3">
        <f>IF(AND($L556=1,AND(对接源_01水果!$X556="自备筐",N(对接源_01水果!$T556)&lt;&gt;0)),1,0)</f>
        <v>0</v>
      </c>
      <c r="Y556" s="3">
        <f t="shared" si="151"/>
        <v>0</v>
      </c>
      <c r="Z556" s="3">
        <f>IF(AND($M556=1,对接源_01水果!$D556="原料入库"),1,0)</f>
        <v>0</v>
      </c>
      <c r="AA556" s="3">
        <f t="shared" si="152"/>
        <v>24</v>
      </c>
      <c r="AB556" s="3">
        <f>IF(AND($M556=1,LEFT(对接源_01水果!$D556,4)="原料出库"),1,0)</f>
        <v>0</v>
      </c>
      <c r="AC556" s="3">
        <f t="shared" si="153"/>
        <v>0</v>
      </c>
      <c r="AD556" s="3">
        <f>IF(AND($M556=1,LEFT(对接源_01水果!$D556,4)="成品出库"),1,0)</f>
        <v>0</v>
      </c>
      <c r="AE556" s="3">
        <f t="shared" si="154"/>
        <v>0</v>
      </c>
      <c r="AF556" s="3">
        <f>IF(AND($N556=1,AND(LEFT(对接源_01水果!$D556,4)="包装物料",N(对接源_01水果!$K556)&lt;&gt;0)),1,0)</f>
        <v>0</v>
      </c>
      <c r="AG556" s="3">
        <f t="shared" si="155"/>
        <v>0</v>
      </c>
      <c r="AH556" s="3">
        <f>IF(AND($N556=1,AND(对接源_01水果!$D556="周转筐－销售出库",N(对接源_01水果!$K556)&lt;&gt;0)),1,0)</f>
        <v>0</v>
      </c>
      <c r="AI556" s="3">
        <f t="shared" si="156"/>
        <v>0</v>
      </c>
      <c r="AJ556" s="7"/>
      <c r="AL556" s="3">
        <f>IF(OR($AL$1="",对接源_01水果!$Y556="",对接源_01水果!$Y556&lt;&gt;$AL$1,对接源_01水果!$B556="",N(对接源_01水果!$AJ556)&lt;=0),0,IF(OR(N(对接源_01水果!$B556)&lt;$AL$2,N(对接源_01水果!$B556)&gt;$AL$3),0,1))</f>
        <v>0</v>
      </c>
      <c r="AM556" s="3">
        <f t="shared" si="157"/>
        <v>1</v>
      </c>
      <c r="AN556" s="3" t="str">
        <f>IF(对接源_01水果!$AC556="","",对接源_01水果!$AC556)</f>
        <v/>
      </c>
      <c r="AO556" s="3">
        <f t="shared" si="158"/>
        <v>0</v>
      </c>
      <c r="AP556" s="3">
        <f t="shared" si="159"/>
        <v>8</v>
      </c>
      <c r="AR556">
        <f t="shared" si="160"/>
        <v>0</v>
      </c>
      <c r="AS556">
        <f t="shared" si="161"/>
        <v>0</v>
      </c>
    </row>
    <row r="557" ht="14.25" customHeight="1" spans="1:45">
      <c r="A557" s="3" t="str">
        <f>IF(对接源_01水果!$C557="","",对接源_01水果!$C557)</f>
        <v/>
      </c>
      <c r="B557" s="3">
        <f t="shared" si="145"/>
        <v>0</v>
      </c>
      <c r="C557" s="3">
        <f t="shared" si="146"/>
        <v>18</v>
      </c>
      <c r="K557" s="3">
        <f>IF(OR($K$1="",对接源_01水果!$C557="",对接源_01水果!$C557&lt;&gt;$K$1,对接源_01水果!$B557=""),0,IF(OR(N(对接源_01水果!$B557)&lt;$K$2,N(对接源_01水果!$B557)&gt;$K$3),0,1))</f>
        <v>0</v>
      </c>
      <c r="L557" s="3">
        <f>IF(OR($L$1="",对接源_01水果!$C557="",对接源_01水果!$C557&lt;&gt;$L$1,对接源_01水果!$B557=""),0,IF(OR(N(对接源_01水果!$B557)&lt;$L$2,N(对接源_01水果!$B557)&gt;$L$3),0,1))</f>
        <v>0</v>
      </c>
      <c r="M557" s="3">
        <f>IF(OR($M$1="",对接源_01水果!$C557="",对接源_01水果!$C557&lt;&gt;$M$1,对接源_01水果!$B557=""),0,IF(OR(N(对接源_01水果!$B557)&lt;$M$2,N(对接源_01水果!$B557)&gt;$M$3),0,1))</f>
        <v>0</v>
      </c>
      <c r="N557" s="3">
        <f>IF(OR($N$1="",对接源_01水果!$C557="",对接源_01水果!$C557&lt;&gt;$N$1,对接源_01水果!$B557=""),0,IF(OR(N(对接源_01水果!$B557)&lt;$N$2,N(对接源_01水果!$B557)&gt;$N$3),0,1))</f>
        <v>0</v>
      </c>
      <c r="P557" s="3">
        <f>IF(AND($K557=1,AND(对接源_01水果!$X557="公司筐",N(对接源_01水果!$T557)&lt;&gt;0)),1,0)</f>
        <v>0</v>
      </c>
      <c r="Q557" s="3">
        <f t="shared" si="147"/>
        <v>0</v>
      </c>
      <c r="R557" s="3">
        <f>IF(AND($K557=1,AND(对接源_01水果!$X557="公司筐",N(对接源_01水果!$U557)&lt;&gt;0)),1,0)</f>
        <v>0</v>
      </c>
      <c r="S557" s="3">
        <f t="shared" si="148"/>
        <v>0</v>
      </c>
      <c r="T557" s="3">
        <f>IF(AND($K557=1,AND(对接源_01水果!$X557="公司筐",N(对接源_01水果!$V557)&lt;&gt;0)),1,0)</f>
        <v>0</v>
      </c>
      <c r="U557" s="3">
        <f t="shared" si="149"/>
        <v>19</v>
      </c>
      <c r="V557" s="3">
        <f>IF(AND($L557=1,AND(对接源_01水果!$X557="自备筐",N(对接源_01水果!$V557)&lt;&gt;0)),1,0)</f>
        <v>0</v>
      </c>
      <c r="W557" s="3">
        <f t="shared" si="150"/>
        <v>8</v>
      </c>
      <c r="X557" s="3">
        <f>IF(AND($L557=1,AND(对接源_01水果!$X557="自备筐",N(对接源_01水果!$T557)&lt;&gt;0)),1,0)</f>
        <v>0</v>
      </c>
      <c r="Y557" s="3">
        <f t="shared" si="151"/>
        <v>0</v>
      </c>
      <c r="Z557" s="3">
        <f>IF(AND($M557=1,对接源_01水果!$D557="原料入库"),1,0)</f>
        <v>0</v>
      </c>
      <c r="AA557" s="3">
        <f t="shared" si="152"/>
        <v>24</v>
      </c>
      <c r="AB557" s="3">
        <f>IF(AND($M557=1,LEFT(对接源_01水果!$D557,4)="原料出库"),1,0)</f>
        <v>0</v>
      </c>
      <c r="AC557" s="3">
        <f t="shared" si="153"/>
        <v>0</v>
      </c>
      <c r="AD557" s="3">
        <f>IF(AND($M557=1,LEFT(对接源_01水果!$D557,4)="成品出库"),1,0)</f>
        <v>0</v>
      </c>
      <c r="AE557" s="3">
        <f t="shared" si="154"/>
        <v>0</v>
      </c>
      <c r="AF557" s="3">
        <f>IF(AND($N557=1,AND(LEFT(对接源_01水果!$D557,4)="包装物料",N(对接源_01水果!$K557)&lt;&gt;0)),1,0)</f>
        <v>0</v>
      </c>
      <c r="AG557" s="3">
        <f t="shared" si="155"/>
        <v>0</v>
      </c>
      <c r="AH557" s="3">
        <f>IF(AND($N557=1,AND(对接源_01水果!$D557="周转筐－销售出库",N(对接源_01水果!$K557)&lt;&gt;0)),1,0)</f>
        <v>0</v>
      </c>
      <c r="AI557" s="3">
        <f t="shared" si="156"/>
        <v>0</v>
      </c>
      <c r="AJ557" s="7"/>
      <c r="AL557" s="3">
        <f>IF(OR($AL$1="",对接源_01水果!$Y557="",对接源_01水果!$Y557&lt;&gt;$AL$1,对接源_01水果!$B557="",N(对接源_01水果!$AJ557)&lt;=0),0,IF(OR(N(对接源_01水果!$B557)&lt;$AL$2,N(对接源_01水果!$B557)&gt;$AL$3),0,1))</f>
        <v>0</v>
      </c>
      <c r="AM557" s="3">
        <f t="shared" si="157"/>
        <v>1</v>
      </c>
      <c r="AN557" s="3" t="str">
        <f>IF(对接源_01水果!$AC557="","",对接源_01水果!$AC557)</f>
        <v/>
      </c>
      <c r="AO557" s="3">
        <f t="shared" si="158"/>
        <v>0</v>
      </c>
      <c r="AP557" s="3">
        <f t="shared" si="159"/>
        <v>8</v>
      </c>
      <c r="AR557">
        <f t="shared" si="160"/>
        <v>0</v>
      </c>
      <c r="AS557">
        <f t="shared" si="161"/>
        <v>0</v>
      </c>
    </row>
    <row r="558" ht="14.25" customHeight="1" spans="1:45">
      <c r="A558" s="3" t="str">
        <f>IF(对接源_01水果!$C558="","",对接源_01水果!$C558)</f>
        <v/>
      </c>
      <c r="B558" s="3">
        <f t="shared" si="145"/>
        <v>0</v>
      </c>
      <c r="C558" s="3">
        <f t="shared" si="146"/>
        <v>18</v>
      </c>
      <c r="K558" s="3">
        <f>IF(OR($K$1="",对接源_01水果!$C558="",对接源_01水果!$C558&lt;&gt;$K$1,对接源_01水果!$B558=""),0,IF(OR(N(对接源_01水果!$B558)&lt;$K$2,N(对接源_01水果!$B558)&gt;$K$3),0,1))</f>
        <v>0</v>
      </c>
      <c r="L558" s="3">
        <f>IF(OR($L$1="",对接源_01水果!$C558="",对接源_01水果!$C558&lt;&gt;$L$1,对接源_01水果!$B558=""),0,IF(OR(N(对接源_01水果!$B558)&lt;$L$2,N(对接源_01水果!$B558)&gt;$L$3),0,1))</f>
        <v>0</v>
      </c>
      <c r="M558" s="3">
        <f>IF(OR($M$1="",对接源_01水果!$C558="",对接源_01水果!$C558&lt;&gt;$M$1,对接源_01水果!$B558=""),0,IF(OR(N(对接源_01水果!$B558)&lt;$M$2,N(对接源_01水果!$B558)&gt;$M$3),0,1))</f>
        <v>0</v>
      </c>
      <c r="N558" s="3">
        <f>IF(OR($N$1="",对接源_01水果!$C558="",对接源_01水果!$C558&lt;&gt;$N$1,对接源_01水果!$B558=""),0,IF(OR(N(对接源_01水果!$B558)&lt;$N$2,N(对接源_01水果!$B558)&gt;$N$3),0,1))</f>
        <v>0</v>
      </c>
      <c r="P558" s="3">
        <f>IF(AND($K558=1,AND(对接源_01水果!$X558="公司筐",N(对接源_01水果!$T558)&lt;&gt;0)),1,0)</f>
        <v>0</v>
      </c>
      <c r="Q558" s="3">
        <f t="shared" si="147"/>
        <v>0</v>
      </c>
      <c r="R558" s="3">
        <f>IF(AND($K558=1,AND(对接源_01水果!$X558="公司筐",N(对接源_01水果!$U558)&lt;&gt;0)),1,0)</f>
        <v>0</v>
      </c>
      <c r="S558" s="3">
        <f t="shared" si="148"/>
        <v>0</v>
      </c>
      <c r="T558" s="3">
        <f>IF(AND($K558=1,AND(对接源_01水果!$X558="公司筐",N(对接源_01水果!$V558)&lt;&gt;0)),1,0)</f>
        <v>0</v>
      </c>
      <c r="U558" s="3">
        <f t="shared" si="149"/>
        <v>19</v>
      </c>
      <c r="V558" s="3">
        <f>IF(AND($L558=1,AND(对接源_01水果!$X558="自备筐",N(对接源_01水果!$V558)&lt;&gt;0)),1,0)</f>
        <v>0</v>
      </c>
      <c r="W558" s="3">
        <f t="shared" si="150"/>
        <v>8</v>
      </c>
      <c r="X558" s="3">
        <f>IF(AND($L558=1,AND(对接源_01水果!$X558="自备筐",N(对接源_01水果!$T558)&lt;&gt;0)),1,0)</f>
        <v>0</v>
      </c>
      <c r="Y558" s="3">
        <f t="shared" si="151"/>
        <v>0</v>
      </c>
      <c r="Z558" s="3">
        <f>IF(AND($M558=1,对接源_01水果!$D558="原料入库"),1,0)</f>
        <v>0</v>
      </c>
      <c r="AA558" s="3">
        <f t="shared" si="152"/>
        <v>24</v>
      </c>
      <c r="AB558" s="3">
        <f>IF(AND($M558=1,LEFT(对接源_01水果!$D558,4)="原料出库"),1,0)</f>
        <v>0</v>
      </c>
      <c r="AC558" s="3">
        <f t="shared" si="153"/>
        <v>0</v>
      </c>
      <c r="AD558" s="3">
        <f>IF(AND($M558=1,LEFT(对接源_01水果!$D558,4)="成品出库"),1,0)</f>
        <v>0</v>
      </c>
      <c r="AE558" s="3">
        <f t="shared" si="154"/>
        <v>0</v>
      </c>
      <c r="AF558" s="3">
        <f>IF(AND($N558=1,AND(LEFT(对接源_01水果!$D558,4)="包装物料",N(对接源_01水果!$K558)&lt;&gt;0)),1,0)</f>
        <v>0</v>
      </c>
      <c r="AG558" s="3">
        <f t="shared" si="155"/>
        <v>0</v>
      </c>
      <c r="AH558" s="3">
        <f>IF(AND($N558=1,AND(对接源_01水果!$D558="周转筐－销售出库",N(对接源_01水果!$K558)&lt;&gt;0)),1,0)</f>
        <v>0</v>
      </c>
      <c r="AI558" s="3">
        <f t="shared" si="156"/>
        <v>0</v>
      </c>
      <c r="AJ558" s="7"/>
      <c r="AL558" s="3">
        <f>IF(OR($AL$1="",对接源_01水果!$Y558="",对接源_01水果!$Y558&lt;&gt;$AL$1,对接源_01水果!$B558="",N(对接源_01水果!$AJ558)&lt;=0),0,IF(OR(N(对接源_01水果!$B558)&lt;$AL$2,N(对接源_01水果!$B558)&gt;$AL$3),0,1))</f>
        <v>0</v>
      </c>
      <c r="AM558" s="3">
        <f t="shared" si="157"/>
        <v>1</v>
      </c>
      <c r="AN558" s="3" t="str">
        <f>IF(对接源_01水果!$AC558="","",对接源_01水果!$AC558)</f>
        <v/>
      </c>
      <c r="AO558" s="3">
        <f t="shared" si="158"/>
        <v>0</v>
      </c>
      <c r="AP558" s="3">
        <f t="shared" si="159"/>
        <v>8</v>
      </c>
      <c r="AR558">
        <f t="shared" si="160"/>
        <v>0</v>
      </c>
      <c r="AS558">
        <f t="shared" si="161"/>
        <v>0</v>
      </c>
    </row>
    <row r="559" ht="14.25" customHeight="1" spans="1:45">
      <c r="A559" s="3" t="str">
        <f>IF(对接源_01水果!$C559="","",对接源_01水果!$C559)</f>
        <v/>
      </c>
      <c r="B559" s="3">
        <f t="shared" si="145"/>
        <v>0</v>
      </c>
      <c r="C559" s="3">
        <f t="shared" si="146"/>
        <v>18</v>
      </c>
      <c r="K559" s="3">
        <f>IF(OR($K$1="",对接源_01水果!$C559="",对接源_01水果!$C559&lt;&gt;$K$1,对接源_01水果!$B559=""),0,IF(OR(N(对接源_01水果!$B559)&lt;$K$2,N(对接源_01水果!$B559)&gt;$K$3),0,1))</f>
        <v>0</v>
      </c>
      <c r="L559" s="3">
        <f>IF(OR($L$1="",对接源_01水果!$C559="",对接源_01水果!$C559&lt;&gt;$L$1,对接源_01水果!$B559=""),0,IF(OR(N(对接源_01水果!$B559)&lt;$L$2,N(对接源_01水果!$B559)&gt;$L$3),0,1))</f>
        <v>0</v>
      </c>
      <c r="M559" s="3">
        <f>IF(OR($M$1="",对接源_01水果!$C559="",对接源_01水果!$C559&lt;&gt;$M$1,对接源_01水果!$B559=""),0,IF(OR(N(对接源_01水果!$B559)&lt;$M$2,N(对接源_01水果!$B559)&gt;$M$3),0,1))</f>
        <v>0</v>
      </c>
      <c r="N559" s="3">
        <f>IF(OR($N$1="",对接源_01水果!$C559="",对接源_01水果!$C559&lt;&gt;$N$1,对接源_01水果!$B559=""),0,IF(OR(N(对接源_01水果!$B559)&lt;$N$2,N(对接源_01水果!$B559)&gt;$N$3),0,1))</f>
        <v>0</v>
      </c>
      <c r="P559" s="3">
        <f>IF(AND($K559=1,AND(对接源_01水果!$X559="公司筐",N(对接源_01水果!$T559)&lt;&gt;0)),1,0)</f>
        <v>0</v>
      </c>
      <c r="Q559" s="3">
        <f t="shared" si="147"/>
        <v>0</v>
      </c>
      <c r="R559" s="3">
        <f>IF(AND($K559=1,AND(对接源_01水果!$X559="公司筐",N(对接源_01水果!$U559)&lt;&gt;0)),1,0)</f>
        <v>0</v>
      </c>
      <c r="S559" s="3">
        <f t="shared" si="148"/>
        <v>0</v>
      </c>
      <c r="T559" s="3">
        <f>IF(AND($K559=1,AND(对接源_01水果!$X559="公司筐",N(对接源_01水果!$V559)&lt;&gt;0)),1,0)</f>
        <v>0</v>
      </c>
      <c r="U559" s="3">
        <f t="shared" si="149"/>
        <v>19</v>
      </c>
      <c r="V559" s="3">
        <f>IF(AND($L559=1,AND(对接源_01水果!$X559="自备筐",N(对接源_01水果!$V559)&lt;&gt;0)),1,0)</f>
        <v>0</v>
      </c>
      <c r="W559" s="3">
        <f t="shared" si="150"/>
        <v>8</v>
      </c>
      <c r="X559" s="3">
        <f>IF(AND($L559=1,AND(对接源_01水果!$X559="自备筐",N(对接源_01水果!$T559)&lt;&gt;0)),1,0)</f>
        <v>0</v>
      </c>
      <c r="Y559" s="3">
        <f t="shared" si="151"/>
        <v>0</v>
      </c>
      <c r="Z559" s="3">
        <f>IF(AND($M559=1,对接源_01水果!$D559="原料入库"),1,0)</f>
        <v>0</v>
      </c>
      <c r="AA559" s="3">
        <f t="shared" si="152"/>
        <v>24</v>
      </c>
      <c r="AB559" s="3">
        <f>IF(AND($M559=1,LEFT(对接源_01水果!$D559,4)="原料出库"),1,0)</f>
        <v>0</v>
      </c>
      <c r="AC559" s="3">
        <f t="shared" si="153"/>
        <v>0</v>
      </c>
      <c r="AD559" s="3">
        <f>IF(AND($M559=1,LEFT(对接源_01水果!$D559,4)="成品出库"),1,0)</f>
        <v>0</v>
      </c>
      <c r="AE559" s="3">
        <f t="shared" si="154"/>
        <v>0</v>
      </c>
      <c r="AF559" s="3">
        <f>IF(AND($N559=1,AND(LEFT(对接源_01水果!$D559,4)="包装物料",N(对接源_01水果!$K559)&lt;&gt;0)),1,0)</f>
        <v>0</v>
      </c>
      <c r="AG559" s="3">
        <f t="shared" si="155"/>
        <v>0</v>
      </c>
      <c r="AH559" s="3">
        <f>IF(AND($N559=1,AND(对接源_01水果!$D559="周转筐－销售出库",N(对接源_01水果!$K559)&lt;&gt;0)),1,0)</f>
        <v>0</v>
      </c>
      <c r="AI559" s="3">
        <f t="shared" si="156"/>
        <v>0</v>
      </c>
      <c r="AJ559" s="7"/>
      <c r="AL559" s="3">
        <f>IF(OR($AL$1="",对接源_01水果!$Y559="",对接源_01水果!$Y559&lt;&gt;$AL$1,对接源_01水果!$B559="",N(对接源_01水果!$AJ559)&lt;=0),0,IF(OR(N(对接源_01水果!$B559)&lt;$AL$2,N(对接源_01水果!$B559)&gt;$AL$3),0,1))</f>
        <v>0</v>
      </c>
      <c r="AM559" s="3">
        <f t="shared" si="157"/>
        <v>1</v>
      </c>
      <c r="AN559" s="3" t="str">
        <f>IF(对接源_01水果!$AC559="","",对接源_01水果!$AC559)</f>
        <v/>
      </c>
      <c r="AO559" s="3">
        <f t="shared" si="158"/>
        <v>0</v>
      </c>
      <c r="AP559" s="3">
        <f t="shared" si="159"/>
        <v>8</v>
      </c>
      <c r="AR559">
        <f t="shared" si="160"/>
        <v>0</v>
      </c>
      <c r="AS559">
        <f t="shared" si="161"/>
        <v>0</v>
      </c>
    </row>
    <row r="560" ht="14.25" customHeight="1" spans="1:45">
      <c r="A560" s="3" t="str">
        <f>IF(对接源_01水果!$C560="","",对接源_01水果!$C560)</f>
        <v/>
      </c>
      <c r="B560" s="3">
        <f t="shared" si="145"/>
        <v>0</v>
      </c>
      <c r="C560" s="3">
        <f t="shared" si="146"/>
        <v>18</v>
      </c>
      <c r="K560" s="3">
        <f>IF(OR($K$1="",对接源_01水果!$C560="",对接源_01水果!$C560&lt;&gt;$K$1,对接源_01水果!$B560=""),0,IF(OR(N(对接源_01水果!$B560)&lt;$K$2,N(对接源_01水果!$B560)&gt;$K$3),0,1))</f>
        <v>0</v>
      </c>
      <c r="L560" s="3">
        <f>IF(OR($L$1="",对接源_01水果!$C560="",对接源_01水果!$C560&lt;&gt;$L$1,对接源_01水果!$B560=""),0,IF(OR(N(对接源_01水果!$B560)&lt;$L$2,N(对接源_01水果!$B560)&gt;$L$3),0,1))</f>
        <v>0</v>
      </c>
      <c r="M560" s="3">
        <f>IF(OR($M$1="",对接源_01水果!$C560="",对接源_01水果!$C560&lt;&gt;$M$1,对接源_01水果!$B560=""),0,IF(OR(N(对接源_01水果!$B560)&lt;$M$2,N(对接源_01水果!$B560)&gt;$M$3),0,1))</f>
        <v>0</v>
      </c>
      <c r="N560" s="3">
        <f>IF(OR($N$1="",对接源_01水果!$C560="",对接源_01水果!$C560&lt;&gt;$N$1,对接源_01水果!$B560=""),0,IF(OR(N(对接源_01水果!$B560)&lt;$N$2,N(对接源_01水果!$B560)&gt;$N$3),0,1))</f>
        <v>0</v>
      </c>
      <c r="P560" s="3">
        <f>IF(AND($K560=1,AND(对接源_01水果!$X560="公司筐",N(对接源_01水果!$T560)&lt;&gt;0)),1,0)</f>
        <v>0</v>
      </c>
      <c r="Q560" s="3">
        <f t="shared" si="147"/>
        <v>0</v>
      </c>
      <c r="R560" s="3">
        <f>IF(AND($K560=1,AND(对接源_01水果!$X560="公司筐",N(对接源_01水果!$U560)&lt;&gt;0)),1,0)</f>
        <v>0</v>
      </c>
      <c r="S560" s="3">
        <f t="shared" si="148"/>
        <v>0</v>
      </c>
      <c r="T560" s="3">
        <f>IF(AND($K560=1,AND(对接源_01水果!$X560="公司筐",N(对接源_01水果!$V560)&lt;&gt;0)),1,0)</f>
        <v>0</v>
      </c>
      <c r="U560" s="3">
        <f t="shared" si="149"/>
        <v>19</v>
      </c>
      <c r="V560" s="3">
        <f>IF(AND($L560=1,AND(对接源_01水果!$X560="自备筐",N(对接源_01水果!$V560)&lt;&gt;0)),1,0)</f>
        <v>0</v>
      </c>
      <c r="W560" s="3">
        <f t="shared" si="150"/>
        <v>8</v>
      </c>
      <c r="X560" s="3">
        <f>IF(AND($L560=1,AND(对接源_01水果!$X560="自备筐",N(对接源_01水果!$T560)&lt;&gt;0)),1,0)</f>
        <v>0</v>
      </c>
      <c r="Y560" s="3">
        <f t="shared" si="151"/>
        <v>0</v>
      </c>
      <c r="Z560" s="3">
        <f>IF(AND($M560=1,对接源_01水果!$D560="原料入库"),1,0)</f>
        <v>0</v>
      </c>
      <c r="AA560" s="3">
        <f t="shared" si="152"/>
        <v>24</v>
      </c>
      <c r="AB560" s="3">
        <f>IF(AND($M560=1,LEFT(对接源_01水果!$D560,4)="原料出库"),1,0)</f>
        <v>0</v>
      </c>
      <c r="AC560" s="3">
        <f t="shared" si="153"/>
        <v>0</v>
      </c>
      <c r="AD560" s="3">
        <f>IF(AND($M560=1,LEFT(对接源_01水果!$D560,4)="成品出库"),1,0)</f>
        <v>0</v>
      </c>
      <c r="AE560" s="3">
        <f t="shared" si="154"/>
        <v>0</v>
      </c>
      <c r="AF560" s="3">
        <f>IF(AND($N560=1,AND(LEFT(对接源_01水果!$D560,4)="包装物料",N(对接源_01水果!$K560)&lt;&gt;0)),1,0)</f>
        <v>0</v>
      </c>
      <c r="AG560" s="3">
        <f t="shared" si="155"/>
        <v>0</v>
      </c>
      <c r="AH560" s="3">
        <f>IF(AND($N560=1,AND(对接源_01水果!$D560="周转筐－销售出库",N(对接源_01水果!$K560)&lt;&gt;0)),1,0)</f>
        <v>0</v>
      </c>
      <c r="AI560" s="3">
        <f t="shared" si="156"/>
        <v>0</v>
      </c>
      <c r="AJ560" s="7"/>
      <c r="AL560" s="3">
        <f>IF(OR($AL$1="",对接源_01水果!$Y560="",对接源_01水果!$Y560&lt;&gt;$AL$1,对接源_01水果!$B560="",N(对接源_01水果!$AJ560)&lt;=0),0,IF(OR(N(对接源_01水果!$B560)&lt;$AL$2,N(对接源_01水果!$B560)&gt;$AL$3),0,1))</f>
        <v>0</v>
      </c>
      <c r="AM560" s="3">
        <f t="shared" si="157"/>
        <v>1</v>
      </c>
      <c r="AN560" s="3" t="str">
        <f>IF(对接源_01水果!$AC560="","",对接源_01水果!$AC560)</f>
        <v/>
      </c>
      <c r="AO560" s="3">
        <f t="shared" si="158"/>
        <v>0</v>
      </c>
      <c r="AP560" s="3">
        <f t="shared" si="159"/>
        <v>8</v>
      </c>
      <c r="AR560">
        <f t="shared" si="160"/>
        <v>0</v>
      </c>
      <c r="AS560">
        <f t="shared" si="161"/>
        <v>0</v>
      </c>
    </row>
    <row r="561" ht="14.25" customHeight="1" spans="1:45">
      <c r="A561" s="3" t="str">
        <f>IF(对接源_01水果!$C561="","",对接源_01水果!$C561)</f>
        <v/>
      </c>
      <c r="B561" s="3">
        <f t="shared" si="145"/>
        <v>0</v>
      </c>
      <c r="C561" s="3">
        <f t="shared" si="146"/>
        <v>18</v>
      </c>
      <c r="K561" s="3">
        <f>IF(OR($K$1="",对接源_01水果!$C561="",对接源_01水果!$C561&lt;&gt;$K$1,对接源_01水果!$B561=""),0,IF(OR(N(对接源_01水果!$B561)&lt;$K$2,N(对接源_01水果!$B561)&gt;$K$3),0,1))</f>
        <v>0</v>
      </c>
      <c r="L561" s="3">
        <f>IF(OR($L$1="",对接源_01水果!$C561="",对接源_01水果!$C561&lt;&gt;$L$1,对接源_01水果!$B561=""),0,IF(OR(N(对接源_01水果!$B561)&lt;$L$2,N(对接源_01水果!$B561)&gt;$L$3),0,1))</f>
        <v>0</v>
      </c>
      <c r="M561" s="3">
        <f>IF(OR($M$1="",对接源_01水果!$C561="",对接源_01水果!$C561&lt;&gt;$M$1,对接源_01水果!$B561=""),0,IF(OR(N(对接源_01水果!$B561)&lt;$M$2,N(对接源_01水果!$B561)&gt;$M$3),0,1))</f>
        <v>0</v>
      </c>
      <c r="N561" s="3">
        <f>IF(OR($N$1="",对接源_01水果!$C561="",对接源_01水果!$C561&lt;&gt;$N$1,对接源_01水果!$B561=""),0,IF(OR(N(对接源_01水果!$B561)&lt;$N$2,N(对接源_01水果!$B561)&gt;$N$3),0,1))</f>
        <v>0</v>
      </c>
      <c r="P561" s="3">
        <f>IF(AND($K561=1,AND(对接源_01水果!$X561="公司筐",N(对接源_01水果!$T561)&lt;&gt;0)),1,0)</f>
        <v>0</v>
      </c>
      <c r="Q561" s="3">
        <f t="shared" si="147"/>
        <v>0</v>
      </c>
      <c r="R561" s="3">
        <f>IF(AND($K561=1,AND(对接源_01水果!$X561="公司筐",N(对接源_01水果!$U561)&lt;&gt;0)),1,0)</f>
        <v>0</v>
      </c>
      <c r="S561" s="3">
        <f t="shared" si="148"/>
        <v>0</v>
      </c>
      <c r="T561" s="3">
        <f>IF(AND($K561=1,AND(对接源_01水果!$X561="公司筐",N(对接源_01水果!$V561)&lt;&gt;0)),1,0)</f>
        <v>0</v>
      </c>
      <c r="U561" s="3">
        <f t="shared" si="149"/>
        <v>19</v>
      </c>
      <c r="V561" s="3">
        <f>IF(AND($L561=1,AND(对接源_01水果!$X561="自备筐",N(对接源_01水果!$V561)&lt;&gt;0)),1,0)</f>
        <v>0</v>
      </c>
      <c r="W561" s="3">
        <f t="shared" si="150"/>
        <v>8</v>
      </c>
      <c r="X561" s="3">
        <f>IF(AND($L561=1,AND(对接源_01水果!$X561="自备筐",N(对接源_01水果!$T561)&lt;&gt;0)),1,0)</f>
        <v>0</v>
      </c>
      <c r="Y561" s="3">
        <f t="shared" si="151"/>
        <v>0</v>
      </c>
      <c r="Z561" s="3">
        <f>IF(AND($M561=1,对接源_01水果!$D561="原料入库"),1,0)</f>
        <v>0</v>
      </c>
      <c r="AA561" s="3">
        <f t="shared" si="152"/>
        <v>24</v>
      </c>
      <c r="AB561" s="3">
        <f>IF(AND($M561=1,LEFT(对接源_01水果!$D561,4)="原料出库"),1,0)</f>
        <v>0</v>
      </c>
      <c r="AC561" s="3">
        <f t="shared" si="153"/>
        <v>0</v>
      </c>
      <c r="AD561" s="3">
        <f>IF(AND($M561=1,LEFT(对接源_01水果!$D561,4)="成品出库"),1,0)</f>
        <v>0</v>
      </c>
      <c r="AE561" s="3">
        <f t="shared" si="154"/>
        <v>0</v>
      </c>
      <c r="AF561" s="3">
        <f>IF(AND($N561=1,AND(LEFT(对接源_01水果!$D561,4)="包装物料",N(对接源_01水果!$K561)&lt;&gt;0)),1,0)</f>
        <v>0</v>
      </c>
      <c r="AG561" s="3">
        <f t="shared" si="155"/>
        <v>0</v>
      </c>
      <c r="AH561" s="3">
        <f>IF(AND($N561=1,AND(对接源_01水果!$D561="周转筐－销售出库",N(对接源_01水果!$K561)&lt;&gt;0)),1,0)</f>
        <v>0</v>
      </c>
      <c r="AI561" s="3">
        <f t="shared" si="156"/>
        <v>0</v>
      </c>
      <c r="AJ561" s="7"/>
      <c r="AL561" s="3">
        <f>IF(OR($AL$1="",对接源_01水果!$Y561="",对接源_01水果!$Y561&lt;&gt;$AL$1,对接源_01水果!$B561="",N(对接源_01水果!$AJ561)&lt;=0),0,IF(OR(N(对接源_01水果!$B561)&lt;$AL$2,N(对接源_01水果!$B561)&gt;$AL$3),0,1))</f>
        <v>0</v>
      </c>
      <c r="AM561" s="3">
        <f t="shared" si="157"/>
        <v>1</v>
      </c>
      <c r="AN561" s="3" t="str">
        <f>IF(对接源_01水果!$AC561="","",对接源_01水果!$AC561)</f>
        <v/>
      </c>
      <c r="AO561" s="3">
        <f t="shared" si="158"/>
        <v>0</v>
      </c>
      <c r="AP561" s="3">
        <f t="shared" si="159"/>
        <v>8</v>
      </c>
      <c r="AR561">
        <f t="shared" si="160"/>
        <v>0</v>
      </c>
      <c r="AS561">
        <f t="shared" si="161"/>
        <v>0</v>
      </c>
    </row>
    <row r="562" ht="14.25" customHeight="1" spans="1:45">
      <c r="A562" s="3" t="str">
        <f>IF(对接源_01水果!$C562="","",对接源_01水果!$C562)</f>
        <v/>
      </c>
      <c r="B562" s="3">
        <f t="shared" si="145"/>
        <v>0</v>
      </c>
      <c r="C562" s="3">
        <f t="shared" si="146"/>
        <v>18</v>
      </c>
      <c r="K562" s="3">
        <f>IF(OR($K$1="",对接源_01水果!$C562="",对接源_01水果!$C562&lt;&gt;$K$1,对接源_01水果!$B562=""),0,IF(OR(N(对接源_01水果!$B562)&lt;$K$2,N(对接源_01水果!$B562)&gt;$K$3),0,1))</f>
        <v>0</v>
      </c>
      <c r="L562" s="3">
        <f>IF(OR($L$1="",对接源_01水果!$C562="",对接源_01水果!$C562&lt;&gt;$L$1,对接源_01水果!$B562=""),0,IF(OR(N(对接源_01水果!$B562)&lt;$L$2,N(对接源_01水果!$B562)&gt;$L$3),0,1))</f>
        <v>0</v>
      </c>
      <c r="M562" s="3">
        <f>IF(OR($M$1="",对接源_01水果!$C562="",对接源_01水果!$C562&lt;&gt;$M$1,对接源_01水果!$B562=""),0,IF(OR(N(对接源_01水果!$B562)&lt;$M$2,N(对接源_01水果!$B562)&gt;$M$3),0,1))</f>
        <v>0</v>
      </c>
      <c r="N562" s="3">
        <f>IF(OR($N$1="",对接源_01水果!$C562="",对接源_01水果!$C562&lt;&gt;$N$1,对接源_01水果!$B562=""),0,IF(OR(N(对接源_01水果!$B562)&lt;$N$2,N(对接源_01水果!$B562)&gt;$N$3),0,1))</f>
        <v>0</v>
      </c>
      <c r="P562" s="3">
        <f>IF(AND($K562=1,AND(对接源_01水果!$X562="公司筐",N(对接源_01水果!$T562)&lt;&gt;0)),1,0)</f>
        <v>0</v>
      </c>
      <c r="Q562" s="3">
        <f t="shared" si="147"/>
        <v>0</v>
      </c>
      <c r="R562" s="3">
        <f>IF(AND($K562=1,AND(对接源_01水果!$X562="公司筐",N(对接源_01水果!$U562)&lt;&gt;0)),1,0)</f>
        <v>0</v>
      </c>
      <c r="S562" s="3">
        <f t="shared" si="148"/>
        <v>0</v>
      </c>
      <c r="T562" s="3">
        <f>IF(AND($K562=1,AND(对接源_01水果!$X562="公司筐",N(对接源_01水果!$V562)&lt;&gt;0)),1,0)</f>
        <v>0</v>
      </c>
      <c r="U562" s="3">
        <f t="shared" si="149"/>
        <v>19</v>
      </c>
      <c r="V562" s="3">
        <f>IF(AND($L562=1,AND(对接源_01水果!$X562="自备筐",N(对接源_01水果!$V562)&lt;&gt;0)),1,0)</f>
        <v>0</v>
      </c>
      <c r="W562" s="3">
        <f t="shared" si="150"/>
        <v>8</v>
      </c>
      <c r="X562" s="3">
        <f>IF(AND($L562=1,AND(对接源_01水果!$X562="自备筐",N(对接源_01水果!$T562)&lt;&gt;0)),1,0)</f>
        <v>0</v>
      </c>
      <c r="Y562" s="3">
        <f t="shared" si="151"/>
        <v>0</v>
      </c>
      <c r="Z562" s="3">
        <f>IF(AND($M562=1,对接源_01水果!$D562="原料入库"),1,0)</f>
        <v>0</v>
      </c>
      <c r="AA562" s="3">
        <f t="shared" si="152"/>
        <v>24</v>
      </c>
      <c r="AB562" s="3">
        <f>IF(AND($M562=1,LEFT(对接源_01水果!$D562,4)="原料出库"),1,0)</f>
        <v>0</v>
      </c>
      <c r="AC562" s="3">
        <f t="shared" si="153"/>
        <v>0</v>
      </c>
      <c r="AD562" s="3">
        <f>IF(AND($M562=1,LEFT(对接源_01水果!$D562,4)="成品出库"),1,0)</f>
        <v>0</v>
      </c>
      <c r="AE562" s="3">
        <f t="shared" si="154"/>
        <v>0</v>
      </c>
      <c r="AF562" s="3">
        <f>IF(AND($N562=1,AND(LEFT(对接源_01水果!$D562,4)="包装物料",N(对接源_01水果!$K562)&lt;&gt;0)),1,0)</f>
        <v>0</v>
      </c>
      <c r="AG562" s="3">
        <f t="shared" si="155"/>
        <v>0</v>
      </c>
      <c r="AH562" s="3">
        <f>IF(AND($N562=1,AND(对接源_01水果!$D562="周转筐－销售出库",N(对接源_01水果!$K562)&lt;&gt;0)),1,0)</f>
        <v>0</v>
      </c>
      <c r="AI562" s="3">
        <f t="shared" si="156"/>
        <v>0</v>
      </c>
      <c r="AJ562" s="7"/>
      <c r="AL562" s="3">
        <f>IF(OR($AL$1="",对接源_01水果!$Y562="",对接源_01水果!$Y562&lt;&gt;$AL$1,对接源_01水果!$B562="",N(对接源_01水果!$AJ562)&lt;=0),0,IF(OR(N(对接源_01水果!$B562)&lt;$AL$2,N(对接源_01水果!$B562)&gt;$AL$3),0,1))</f>
        <v>0</v>
      </c>
      <c r="AM562" s="3">
        <f t="shared" si="157"/>
        <v>1</v>
      </c>
      <c r="AN562" s="3" t="str">
        <f>IF(对接源_01水果!$AC562="","",对接源_01水果!$AC562)</f>
        <v/>
      </c>
      <c r="AO562" s="3">
        <f t="shared" si="158"/>
        <v>0</v>
      </c>
      <c r="AP562" s="3">
        <f t="shared" si="159"/>
        <v>8</v>
      </c>
      <c r="AR562">
        <f t="shared" si="160"/>
        <v>0</v>
      </c>
      <c r="AS562">
        <f t="shared" si="161"/>
        <v>0</v>
      </c>
    </row>
    <row r="563" ht="14.25" customHeight="1" spans="1:45">
      <c r="A563" s="3" t="str">
        <f>IF(对接源_01水果!$C563="","",对接源_01水果!$C563)</f>
        <v/>
      </c>
      <c r="B563" s="3">
        <f t="shared" si="145"/>
        <v>0</v>
      </c>
      <c r="C563" s="3">
        <f t="shared" si="146"/>
        <v>18</v>
      </c>
      <c r="K563" s="3">
        <f>IF(OR($K$1="",对接源_01水果!$C563="",对接源_01水果!$C563&lt;&gt;$K$1,对接源_01水果!$B563=""),0,IF(OR(N(对接源_01水果!$B563)&lt;$K$2,N(对接源_01水果!$B563)&gt;$K$3),0,1))</f>
        <v>0</v>
      </c>
      <c r="L563" s="3">
        <f>IF(OR($L$1="",对接源_01水果!$C563="",对接源_01水果!$C563&lt;&gt;$L$1,对接源_01水果!$B563=""),0,IF(OR(N(对接源_01水果!$B563)&lt;$L$2,N(对接源_01水果!$B563)&gt;$L$3),0,1))</f>
        <v>0</v>
      </c>
      <c r="M563" s="3">
        <f>IF(OR($M$1="",对接源_01水果!$C563="",对接源_01水果!$C563&lt;&gt;$M$1,对接源_01水果!$B563=""),0,IF(OR(N(对接源_01水果!$B563)&lt;$M$2,N(对接源_01水果!$B563)&gt;$M$3),0,1))</f>
        <v>0</v>
      </c>
      <c r="N563" s="3">
        <f>IF(OR($N$1="",对接源_01水果!$C563="",对接源_01水果!$C563&lt;&gt;$N$1,对接源_01水果!$B563=""),0,IF(OR(N(对接源_01水果!$B563)&lt;$N$2,N(对接源_01水果!$B563)&gt;$N$3),0,1))</f>
        <v>0</v>
      </c>
      <c r="P563" s="3">
        <f>IF(AND($K563=1,AND(对接源_01水果!$X563="公司筐",N(对接源_01水果!$T563)&lt;&gt;0)),1,0)</f>
        <v>0</v>
      </c>
      <c r="Q563" s="3">
        <f t="shared" si="147"/>
        <v>0</v>
      </c>
      <c r="R563" s="3">
        <f>IF(AND($K563=1,AND(对接源_01水果!$X563="公司筐",N(对接源_01水果!$U563)&lt;&gt;0)),1,0)</f>
        <v>0</v>
      </c>
      <c r="S563" s="3">
        <f t="shared" si="148"/>
        <v>0</v>
      </c>
      <c r="T563" s="3">
        <f>IF(AND($K563=1,AND(对接源_01水果!$X563="公司筐",N(对接源_01水果!$V563)&lt;&gt;0)),1,0)</f>
        <v>0</v>
      </c>
      <c r="U563" s="3">
        <f t="shared" si="149"/>
        <v>19</v>
      </c>
      <c r="V563" s="3">
        <f>IF(AND($L563=1,AND(对接源_01水果!$X563="自备筐",N(对接源_01水果!$V563)&lt;&gt;0)),1,0)</f>
        <v>0</v>
      </c>
      <c r="W563" s="3">
        <f t="shared" si="150"/>
        <v>8</v>
      </c>
      <c r="X563" s="3">
        <f>IF(AND($L563=1,AND(对接源_01水果!$X563="自备筐",N(对接源_01水果!$T563)&lt;&gt;0)),1,0)</f>
        <v>0</v>
      </c>
      <c r="Y563" s="3">
        <f t="shared" si="151"/>
        <v>0</v>
      </c>
      <c r="Z563" s="3">
        <f>IF(AND($M563=1,对接源_01水果!$D563="原料入库"),1,0)</f>
        <v>0</v>
      </c>
      <c r="AA563" s="3">
        <f t="shared" si="152"/>
        <v>24</v>
      </c>
      <c r="AB563" s="3">
        <f>IF(AND($M563=1,LEFT(对接源_01水果!$D563,4)="原料出库"),1,0)</f>
        <v>0</v>
      </c>
      <c r="AC563" s="3">
        <f t="shared" si="153"/>
        <v>0</v>
      </c>
      <c r="AD563" s="3">
        <f>IF(AND($M563=1,LEFT(对接源_01水果!$D563,4)="成品出库"),1,0)</f>
        <v>0</v>
      </c>
      <c r="AE563" s="3">
        <f t="shared" si="154"/>
        <v>0</v>
      </c>
      <c r="AF563" s="3">
        <f>IF(AND($N563=1,AND(LEFT(对接源_01水果!$D563,4)="包装物料",N(对接源_01水果!$K563)&lt;&gt;0)),1,0)</f>
        <v>0</v>
      </c>
      <c r="AG563" s="3">
        <f t="shared" si="155"/>
        <v>0</v>
      </c>
      <c r="AH563" s="3">
        <f>IF(AND($N563=1,AND(对接源_01水果!$D563="周转筐－销售出库",N(对接源_01水果!$K563)&lt;&gt;0)),1,0)</f>
        <v>0</v>
      </c>
      <c r="AI563" s="3">
        <f t="shared" si="156"/>
        <v>0</v>
      </c>
      <c r="AJ563" s="7"/>
      <c r="AL563" s="3">
        <f>IF(OR($AL$1="",对接源_01水果!$Y563="",对接源_01水果!$Y563&lt;&gt;$AL$1,对接源_01水果!$B563="",N(对接源_01水果!$AJ563)&lt;=0),0,IF(OR(N(对接源_01水果!$B563)&lt;$AL$2,N(对接源_01水果!$B563)&gt;$AL$3),0,1))</f>
        <v>0</v>
      </c>
      <c r="AM563" s="3">
        <f t="shared" si="157"/>
        <v>1</v>
      </c>
      <c r="AN563" s="3" t="str">
        <f>IF(对接源_01水果!$AC563="","",对接源_01水果!$AC563)</f>
        <v/>
      </c>
      <c r="AO563" s="3">
        <f t="shared" si="158"/>
        <v>0</v>
      </c>
      <c r="AP563" s="3">
        <f t="shared" si="159"/>
        <v>8</v>
      </c>
      <c r="AR563">
        <f t="shared" si="160"/>
        <v>0</v>
      </c>
      <c r="AS563">
        <f t="shared" si="161"/>
        <v>0</v>
      </c>
    </row>
    <row r="564" ht="14.25" customHeight="1" spans="1:45">
      <c r="A564" s="3" t="str">
        <f>IF(对接源_01水果!$C564="","",对接源_01水果!$C564)</f>
        <v/>
      </c>
      <c r="B564" s="3">
        <f t="shared" si="145"/>
        <v>0</v>
      </c>
      <c r="C564" s="3">
        <f t="shared" si="146"/>
        <v>18</v>
      </c>
      <c r="K564" s="3">
        <f>IF(OR($K$1="",对接源_01水果!$C564="",对接源_01水果!$C564&lt;&gt;$K$1,对接源_01水果!$B564=""),0,IF(OR(N(对接源_01水果!$B564)&lt;$K$2,N(对接源_01水果!$B564)&gt;$K$3),0,1))</f>
        <v>0</v>
      </c>
      <c r="L564" s="3">
        <f>IF(OR($L$1="",对接源_01水果!$C564="",对接源_01水果!$C564&lt;&gt;$L$1,对接源_01水果!$B564=""),0,IF(OR(N(对接源_01水果!$B564)&lt;$L$2,N(对接源_01水果!$B564)&gt;$L$3),0,1))</f>
        <v>0</v>
      </c>
      <c r="M564" s="3">
        <f>IF(OR($M$1="",对接源_01水果!$C564="",对接源_01水果!$C564&lt;&gt;$M$1,对接源_01水果!$B564=""),0,IF(OR(N(对接源_01水果!$B564)&lt;$M$2,N(对接源_01水果!$B564)&gt;$M$3),0,1))</f>
        <v>0</v>
      </c>
      <c r="N564" s="3">
        <f>IF(OR($N$1="",对接源_01水果!$C564="",对接源_01水果!$C564&lt;&gt;$N$1,对接源_01水果!$B564=""),0,IF(OR(N(对接源_01水果!$B564)&lt;$N$2,N(对接源_01水果!$B564)&gt;$N$3),0,1))</f>
        <v>0</v>
      </c>
      <c r="P564" s="3">
        <f>IF(AND($K564=1,AND(对接源_01水果!$X564="公司筐",N(对接源_01水果!$T564)&lt;&gt;0)),1,0)</f>
        <v>0</v>
      </c>
      <c r="Q564" s="3">
        <f t="shared" si="147"/>
        <v>0</v>
      </c>
      <c r="R564" s="3">
        <f>IF(AND($K564=1,AND(对接源_01水果!$X564="公司筐",N(对接源_01水果!$U564)&lt;&gt;0)),1,0)</f>
        <v>0</v>
      </c>
      <c r="S564" s="3">
        <f t="shared" si="148"/>
        <v>0</v>
      </c>
      <c r="T564" s="3">
        <f>IF(AND($K564=1,AND(对接源_01水果!$X564="公司筐",N(对接源_01水果!$V564)&lt;&gt;0)),1,0)</f>
        <v>0</v>
      </c>
      <c r="U564" s="3">
        <f t="shared" si="149"/>
        <v>19</v>
      </c>
      <c r="V564" s="3">
        <f>IF(AND($L564=1,AND(对接源_01水果!$X564="自备筐",N(对接源_01水果!$V564)&lt;&gt;0)),1,0)</f>
        <v>0</v>
      </c>
      <c r="W564" s="3">
        <f t="shared" si="150"/>
        <v>8</v>
      </c>
      <c r="X564" s="3">
        <f>IF(AND($L564=1,AND(对接源_01水果!$X564="自备筐",N(对接源_01水果!$T564)&lt;&gt;0)),1,0)</f>
        <v>0</v>
      </c>
      <c r="Y564" s="3">
        <f t="shared" si="151"/>
        <v>0</v>
      </c>
      <c r="Z564" s="3">
        <f>IF(AND($M564=1,对接源_01水果!$D564="原料入库"),1,0)</f>
        <v>0</v>
      </c>
      <c r="AA564" s="3">
        <f t="shared" si="152"/>
        <v>24</v>
      </c>
      <c r="AB564" s="3">
        <f>IF(AND($M564=1,LEFT(对接源_01水果!$D564,4)="原料出库"),1,0)</f>
        <v>0</v>
      </c>
      <c r="AC564" s="3">
        <f t="shared" si="153"/>
        <v>0</v>
      </c>
      <c r="AD564" s="3">
        <f>IF(AND($M564=1,LEFT(对接源_01水果!$D564,4)="成品出库"),1,0)</f>
        <v>0</v>
      </c>
      <c r="AE564" s="3">
        <f t="shared" si="154"/>
        <v>0</v>
      </c>
      <c r="AF564" s="3">
        <f>IF(AND($N564=1,AND(LEFT(对接源_01水果!$D564,4)="包装物料",N(对接源_01水果!$K564)&lt;&gt;0)),1,0)</f>
        <v>0</v>
      </c>
      <c r="AG564" s="3">
        <f t="shared" si="155"/>
        <v>0</v>
      </c>
      <c r="AH564" s="3">
        <f>IF(AND($N564=1,AND(对接源_01水果!$D564="周转筐－销售出库",N(对接源_01水果!$K564)&lt;&gt;0)),1,0)</f>
        <v>0</v>
      </c>
      <c r="AI564" s="3">
        <f t="shared" si="156"/>
        <v>0</v>
      </c>
      <c r="AJ564" s="7"/>
      <c r="AL564" s="3">
        <f>IF(OR($AL$1="",对接源_01水果!$Y564="",对接源_01水果!$Y564&lt;&gt;$AL$1,对接源_01水果!$B564="",N(对接源_01水果!$AJ564)&lt;=0),0,IF(OR(N(对接源_01水果!$B564)&lt;$AL$2,N(对接源_01水果!$B564)&gt;$AL$3),0,1))</f>
        <v>0</v>
      </c>
      <c r="AM564" s="3">
        <f t="shared" si="157"/>
        <v>1</v>
      </c>
      <c r="AN564" s="3" t="str">
        <f>IF(对接源_01水果!$AC564="","",对接源_01水果!$AC564)</f>
        <v/>
      </c>
      <c r="AO564" s="3">
        <f t="shared" si="158"/>
        <v>0</v>
      </c>
      <c r="AP564" s="3">
        <f t="shared" si="159"/>
        <v>8</v>
      </c>
      <c r="AR564">
        <f t="shared" si="160"/>
        <v>0</v>
      </c>
      <c r="AS564">
        <f t="shared" si="161"/>
        <v>0</v>
      </c>
    </row>
    <row r="565" ht="14.25" customHeight="1" spans="1:45">
      <c r="A565" s="3" t="str">
        <f>IF(对接源_01水果!$C565="","",对接源_01水果!$C565)</f>
        <v/>
      </c>
      <c r="B565" s="3">
        <f t="shared" si="145"/>
        <v>0</v>
      </c>
      <c r="C565" s="3">
        <f t="shared" si="146"/>
        <v>18</v>
      </c>
      <c r="K565" s="3">
        <f>IF(OR($K$1="",对接源_01水果!$C565="",对接源_01水果!$C565&lt;&gt;$K$1,对接源_01水果!$B565=""),0,IF(OR(N(对接源_01水果!$B565)&lt;$K$2,N(对接源_01水果!$B565)&gt;$K$3),0,1))</f>
        <v>0</v>
      </c>
      <c r="L565" s="3">
        <f>IF(OR($L$1="",对接源_01水果!$C565="",对接源_01水果!$C565&lt;&gt;$L$1,对接源_01水果!$B565=""),0,IF(OR(N(对接源_01水果!$B565)&lt;$L$2,N(对接源_01水果!$B565)&gt;$L$3),0,1))</f>
        <v>0</v>
      </c>
      <c r="M565" s="3">
        <f>IF(OR($M$1="",对接源_01水果!$C565="",对接源_01水果!$C565&lt;&gt;$M$1,对接源_01水果!$B565=""),0,IF(OR(N(对接源_01水果!$B565)&lt;$M$2,N(对接源_01水果!$B565)&gt;$M$3),0,1))</f>
        <v>0</v>
      </c>
      <c r="N565" s="3">
        <f>IF(OR($N$1="",对接源_01水果!$C565="",对接源_01水果!$C565&lt;&gt;$N$1,对接源_01水果!$B565=""),0,IF(OR(N(对接源_01水果!$B565)&lt;$N$2,N(对接源_01水果!$B565)&gt;$N$3),0,1))</f>
        <v>0</v>
      </c>
      <c r="P565" s="3">
        <f>IF(AND($K565=1,AND(对接源_01水果!$X565="公司筐",N(对接源_01水果!$T565)&lt;&gt;0)),1,0)</f>
        <v>0</v>
      </c>
      <c r="Q565" s="3">
        <f t="shared" si="147"/>
        <v>0</v>
      </c>
      <c r="R565" s="3">
        <f>IF(AND($K565=1,AND(对接源_01水果!$X565="公司筐",N(对接源_01水果!$U565)&lt;&gt;0)),1,0)</f>
        <v>0</v>
      </c>
      <c r="S565" s="3">
        <f t="shared" si="148"/>
        <v>0</v>
      </c>
      <c r="T565" s="3">
        <f>IF(AND($K565=1,AND(对接源_01水果!$X565="公司筐",N(对接源_01水果!$V565)&lt;&gt;0)),1,0)</f>
        <v>0</v>
      </c>
      <c r="U565" s="3">
        <f t="shared" si="149"/>
        <v>19</v>
      </c>
      <c r="V565" s="3">
        <f>IF(AND($L565=1,AND(对接源_01水果!$X565="自备筐",N(对接源_01水果!$V565)&lt;&gt;0)),1,0)</f>
        <v>0</v>
      </c>
      <c r="W565" s="3">
        <f t="shared" si="150"/>
        <v>8</v>
      </c>
      <c r="X565" s="3">
        <f>IF(AND($L565=1,AND(对接源_01水果!$X565="自备筐",N(对接源_01水果!$T565)&lt;&gt;0)),1,0)</f>
        <v>0</v>
      </c>
      <c r="Y565" s="3">
        <f t="shared" si="151"/>
        <v>0</v>
      </c>
      <c r="Z565" s="3">
        <f>IF(AND($M565=1,对接源_01水果!$D565="原料入库"),1,0)</f>
        <v>0</v>
      </c>
      <c r="AA565" s="3">
        <f t="shared" si="152"/>
        <v>24</v>
      </c>
      <c r="AB565" s="3">
        <f>IF(AND($M565=1,LEFT(对接源_01水果!$D565,4)="原料出库"),1,0)</f>
        <v>0</v>
      </c>
      <c r="AC565" s="3">
        <f t="shared" si="153"/>
        <v>0</v>
      </c>
      <c r="AD565" s="3">
        <f>IF(AND($M565=1,LEFT(对接源_01水果!$D565,4)="成品出库"),1,0)</f>
        <v>0</v>
      </c>
      <c r="AE565" s="3">
        <f t="shared" si="154"/>
        <v>0</v>
      </c>
      <c r="AF565" s="3">
        <f>IF(AND($N565=1,AND(LEFT(对接源_01水果!$D565,4)="包装物料",N(对接源_01水果!$K565)&lt;&gt;0)),1,0)</f>
        <v>0</v>
      </c>
      <c r="AG565" s="3">
        <f t="shared" si="155"/>
        <v>0</v>
      </c>
      <c r="AH565" s="3">
        <f>IF(AND($N565=1,AND(对接源_01水果!$D565="周转筐－销售出库",N(对接源_01水果!$K565)&lt;&gt;0)),1,0)</f>
        <v>0</v>
      </c>
      <c r="AI565" s="3">
        <f t="shared" si="156"/>
        <v>0</v>
      </c>
      <c r="AJ565" s="7"/>
      <c r="AL565" s="3">
        <f>IF(OR($AL$1="",对接源_01水果!$Y565="",对接源_01水果!$Y565&lt;&gt;$AL$1,对接源_01水果!$B565="",N(对接源_01水果!$AJ565)&lt;=0),0,IF(OR(N(对接源_01水果!$B565)&lt;$AL$2,N(对接源_01水果!$B565)&gt;$AL$3),0,1))</f>
        <v>0</v>
      </c>
      <c r="AM565" s="3">
        <f t="shared" si="157"/>
        <v>1</v>
      </c>
      <c r="AN565" s="3" t="str">
        <f>IF(对接源_01水果!$AC565="","",对接源_01水果!$AC565)</f>
        <v/>
      </c>
      <c r="AO565" s="3">
        <f t="shared" si="158"/>
        <v>0</v>
      </c>
      <c r="AP565" s="3">
        <f t="shared" si="159"/>
        <v>8</v>
      </c>
      <c r="AR565">
        <f t="shared" si="160"/>
        <v>0</v>
      </c>
      <c r="AS565">
        <f t="shared" si="161"/>
        <v>0</v>
      </c>
    </row>
    <row r="566" ht="14.25" customHeight="1" spans="1:45">
      <c r="A566" s="3" t="str">
        <f>IF(对接源_01水果!$C566="","",对接源_01水果!$C566)</f>
        <v/>
      </c>
      <c r="B566" s="3">
        <f t="shared" si="145"/>
        <v>0</v>
      </c>
      <c r="C566" s="3">
        <f t="shared" si="146"/>
        <v>18</v>
      </c>
      <c r="K566" s="3">
        <f>IF(OR($K$1="",对接源_01水果!$C566="",对接源_01水果!$C566&lt;&gt;$K$1,对接源_01水果!$B566=""),0,IF(OR(N(对接源_01水果!$B566)&lt;$K$2,N(对接源_01水果!$B566)&gt;$K$3),0,1))</f>
        <v>0</v>
      </c>
      <c r="L566" s="3">
        <f>IF(OR($L$1="",对接源_01水果!$C566="",对接源_01水果!$C566&lt;&gt;$L$1,对接源_01水果!$B566=""),0,IF(OR(N(对接源_01水果!$B566)&lt;$L$2,N(对接源_01水果!$B566)&gt;$L$3),0,1))</f>
        <v>0</v>
      </c>
      <c r="M566" s="3">
        <f>IF(OR($M$1="",对接源_01水果!$C566="",对接源_01水果!$C566&lt;&gt;$M$1,对接源_01水果!$B566=""),0,IF(OR(N(对接源_01水果!$B566)&lt;$M$2,N(对接源_01水果!$B566)&gt;$M$3),0,1))</f>
        <v>0</v>
      </c>
      <c r="N566" s="3">
        <f>IF(OR($N$1="",对接源_01水果!$C566="",对接源_01水果!$C566&lt;&gt;$N$1,对接源_01水果!$B566=""),0,IF(OR(N(对接源_01水果!$B566)&lt;$N$2,N(对接源_01水果!$B566)&gt;$N$3),0,1))</f>
        <v>0</v>
      </c>
      <c r="P566" s="3">
        <f>IF(AND($K566=1,AND(对接源_01水果!$X566="公司筐",N(对接源_01水果!$T566)&lt;&gt;0)),1,0)</f>
        <v>0</v>
      </c>
      <c r="Q566" s="3">
        <f t="shared" si="147"/>
        <v>0</v>
      </c>
      <c r="R566" s="3">
        <f>IF(AND($K566=1,AND(对接源_01水果!$X566="公司筐",N(对接源_01水果!$U566)&lt;&gt;0)),1,0)</f>
        <v>0</v>
      </c>
      <c r="S566" s="3">
        <f t="shared" si="148"/>
        <v>0</v>
      </c>
      <c r="T566" s="3">
        <f>IF(AND($K566=1,AND(对接源_01水果!$X566="公司筐",N(对接源_01水果!$V566)&lt;&gt;0)),1,0)</f>
        <v>0</v>
      </c>
      <c r="U566" s="3">
        <f t="shared" si="149"/>
        <v>19</v>
      </c>
      <c r="V566" s="3">
        <f>IF(AND($L566=1,AND(对接源_01水果!$X566="自备筐",N(对接源_01水果!$V566)&lt;&gt;0)),1,0)</f>
        <v>0</v>
      </c>
      <c r="W566" s="3">
        <f t="shared" si="150"/>
        <v>8</v>
      </c>
      <c r="X566" s="3">
        <f>IF(AND($L566=1,AND(对接源_01水果!$X566="自备筐",N(对接源_01水果!$T566)&lt;&gt;0)),1,0)</f>
        <v>0</v>
      </c>
      <c r="Y566" s="3">
        <f t="shared" si="151"/>
        <v>0</v>
      </c>
      <c r="Z566" s="3">
        <f>IF(AND($M566=1,对接源_01水果!$D566="原料入库"),1,0)</f>
        <v>0</v>
      </c>
      <c r="AA566" s="3">
        <f t="shared" si="152"/>
        <v>24</v>
      </c>
      <c r="AB566" s="3">
        <f>IF(AND($M566=1,LEFT(对接源_01水果!$D566,4)="原料出库"),1,0)</f>
        <v>0</v>
      </c>
      <c r="AC566" s="3">
        <f t="shared" si="153"/>
        <v>0</v>
      </c>
      <c r="AD566" s="3">
        <f>IF(AND($M566=1,LEFT(对接源_01水果!$D566,4)="成品出库"),1,0)</f>
        <v>0</v>
      </c>
      <c r="AE566" s="3">
        <f t="shared" si="154"/>
        <v>0</v>
      </c>
      <c r="AF566" s="3">
        <f>IF(AND($N566=1,AND(LEFT(对接源_01水果!$D566,4)="包装物料",N(对接源_01水果!$K566)&lt;&gt;0)),1,0)</f>
        <v>0</v>
      </c>
      <c r="AG566" s="3">
        <f t="shared" si="155"/>
        <v>0</v>
      </c>
      <c r="AH566" s="3">
        <f>IF(AND($N566=1,AND(对接源_01水果!$D566="周转筐－销售出库",N(对接源_01水果!$K566)&lt;&gt;0)),1,0)</f>
        <v>0</v>
      </c>
      <c r="AI566" s="3">
        <f t="shared" si="156"/>
        <v>0</v>
      </c>
      <c r="AJ566" s="7"/>
      <c r="AL566" s="3">
        <f>IF(OR($AL$1="",对接源_01水果!$Y566="",对接源_01水果!$Y566&lt;&gt;$AL$1,对接源_01水果!$B566="",N(对接源_01水果!$AJ566)&lt;=0),0,IF(OR(N(对接源_01水果!$B566)&lt;$AL$2,N(对接源_01水果!$B566)&gt;$AL$3),0,1))</f>
        <v>0</v>
      </c>
      <c r="AM566" s="3">
        <f t="shared" si="157"/>
        <v>1</v>
      </c>
      <c r="AN566" s="3" t="str">
        <f>IF(对接源_01水果!$AC566="","",对接源_01水果!$AC566)</f>
        <v/>
      </c>
      <c r="AO566" s="3">
        <f t="shared" si="158"/>
        <v>0</v>
      </c>
      <c r="AP566" s="3">
        <f t="shared" si="159"/>
        <v>8</v>
      </c>
      <c r="AR566">
        <f t="shared" si="160"/>
        <v>0</v>
      </c>
      <c r="AS566">
        <f t="shared" si="161"/>
        <v>0</v>
      </c>
    </row>
    <row r="567" ht="14.25" customHeight="1" spans="1:45">
      <c r="A567" s="3" t="str">
        <f>IF(对接源_01水果!$C567="","",对接源_01水果!$C567)</f>
        <v/>
      </c>
      <c r="B567" s="3">
        <f t="shared" si="145"/>
        <v>0</v>
      </c>
      <c r="C567" s="3">
        <f t="shared" si="146"/>
        <v>18</v>
      </c>
      <c r="K567" s="3">
        <f>IF(OR($K$1="",对接源_01水果!$C567="",对接源_01水果!$C567&lt;&gt;$K$1,对接源_01水果!$B567=""),0,IF(OR(N(对接源_01水果!$B567)&lt;$K$2,N(对接源_01水果!$B567)&gt;$K$3),0,1))</f>
        <v>0</v>
      </c>
      <c r="L567" s="3">
        <f>IF(OR($L$1="",对接源_01水果!$C567="",对接源_01水果!$C567&lt;&gt;$L$1,对接源_01水果!$B567=""),0,IF(OR(N(对接源_01水果!$B567)&lt;$L$2,N(对接源_01水果!$B567)&gt;$L$3),0,1))</f>
        <v>0</v>
      </c>
      <c r="M567" s="3">
        <f>IF(OR($M$1="",对接源_01水果!$C567="",对接源_01水果!$C567&lt;&gt;$M$1,对接源_01水果!$B567=""),0,IF(OR(N(对接源_01水果!$B567)&lt;$M$2,N(对接源_01水果!$B567)&gt;$M$3),0,1))</f>
        <v>0</v>
      </c>
      <c r="N567" s="3">
        <f>IF(OR($N$1="",对接源_01水果!$C567="",对接源_01水果!$C567&lt;&gt;$N$1,对接源_01水果!$B567=""),0,IF(OR(N(对接源_01水果!$B567)&lt;$N$2,N(对接源_01水果!$B567)&gt;$N$3),0,1))</f>
        <v>0</v>
      </c>
      <c r="P567" s="3">
        <f>IF(AND($K567=1,AND(对接源_01水果!$X567="公司筐",N(对接源_01水果!$T567)&lt;&gt;0)),1,0)</f>
        <v>0</v>
      </c>
      <c r="Q567" s="3">
        <f t="shared" si="147"/>
        <v>0</v>
      </c>
      <c r="R567" s="3">
        <f>IF(AND($K567=1,AND(对接源_01水果!$X567="公司筐",N(对接源_01水果!$U567)&lt;&gt;0)),1,0)</f>
        <v>0</v>
      </c>
      <c r="S567" s="3">
        <f t="shared" si="148"/>
        <v>0</v>
      </c>
      <c r="T567" s="3">
        <f>IF(AND($K567=1,AND(对接源_01水果!$X567="公司筐",N(对接源_01水果!$V567)&lt;&gt;0)),1,0)</f>
        <v>0</v>
      </c>
      <c r="U567" s="3">
        <f t="shared" si="149"/>
        <v>19</v>
      </c>
      <c r="V567" s="3">
        <f>IF(AND($L567=1,AND(对接源_01水果!$X567="自备筐",N(对接源_01水果!$V567)&lt;&gt;0)),1,0)</f>
        <v>0</v>
      </c>
      <c r="W567" s="3">
        <f t="shared" si="150"/>
        <v>8</v>
      </c>
      <c r="X567" s="3">
        <f>IF(AND($L567=1,AND(对接源_01水果!$X567="自备筐",N(对接源_01水果!$T567)&lt;&gt;0)),1,0)</f>
        <v>0</v>
      </c>
      <c r="Y567" s="3">
        <f t="shared" si="151"/>
        <v>0</v>
      </c>
      <c r="Z567" s="3">
        <f>IF(AND($M567=1,对接源_01水果!$D567="原料入库"),1,0)</f>
        <v>0</v>
      </c>
      <c r="AA567" s="3">
        <f t="shared" si="152"/>
        <v>24</v>
      </c>
      <c r="AB567" s="3">
        <f>IF(AND($M567=1,LEFT(对接源_01水果!$D567,4)="原料出库"),1,0)</f>
        <v>0</v>
      </c>
      <c r="AC567" s="3">
        <f t="shared" si="153"/>
        <v>0</v>
      </c>
      <c r="AD567" s="3">
        <f>IF(AND($M567=1,LEFT(对接源_01水果!$D567,4)="成品出库"),1,0)</f>
        <v>0</v>
      </c>
      <c r="AE567" s="3">
        <f t="shared" si="154"/>
        <v>0</v>
      </c>
      <c r="AF567" s="3">
        <f>IF(AND($N567=1,AND(LEFT(对接源_01水果!$D567,4)="包装物料",N(对接源_01水果!$K567)&lt;&gt;0)),1,0)</f>
        <v>0</v>
      </c>
      <c r="AG567" s="3">
        <f t="shared" si="155"/>
        <v>0</v>
      </c>
      <c r="AH567" s="3">
        <f>IF(AND($N567=1,AND(对接源_01水果!$D567="周转筐－销售出库",N(对接源_01水果!$K567)&lt;&gt;0)),1,0)</f>
        <v>0</v>
      </c>
      <c r="AI567" s="3">
        <f t="shared" si="156"/>
        <v>0</v>
      </c>
      <c r="AJ567" s="7"/>
      <c r="AL567" s="3">
        <f>IF(OR($AL$1="",对接源_01水果!$Y567="",对接源_01水果!$Y567&lt;&gt;$AL$1,对接源_01水果!$B567="",N(对接源_01水果!$AJ567)&lt;=0),0,IF(OR(N(对接源_01水果!$B567)&lt;$AL$2,N(对接源_01水果!$B567)&gt;$AL$3),0,1))</f>
        <v>0</v>
      </c>
      <c r="AM567" s="3">
        <f t="shared" si="157"/>
        <v>1</v>
      </c>
      <c r="AN567" s="3" t="str">
        <f>IF(对接源_01水果!$AC567="","",对接源_01水果!$AC567)</f>
        <v/>
      </c>
      <c r="AO567" s="3">
        <f t="shared" si="158"/>
        <v>0</v>
      </c>
      <c r="AP567" s="3">
        <f t="shared" si="159"/>
        <v>8</v>
      </c>
      <c r="AR567">
        <f t="shared" si="160"/>
        <v>0</v>
      </c>
      <c r="AS567">
        <f t="shared" si="161"/>
        <v>0</v>
      </c>
    </row>
    <row r="568" ht="14.25" customHeight="1" spans="1:45">
      <c r="A568" s="3" t="str">
        <f>IF(对接源_01水果!$C568="","",对接源_01水果!$C568)</f>
        <v/>
      </c>
      <c r="B568" s="3">
        <f t="shared" si="145"/>
        <v>0</v>
      </c>
      <c r="C568" s="3">
        <f t="shared" si="146"/>
        <v>18</v>
      </c>
      <c r="K568" s="3">
        <f>IF(OR($K$1="",对接源_01水果!$C568="",对接源_01水果!$C568&lt;&gt;$K$1,对接源_01水果!$B568=""),0,IF(OR(N(对接源_01水果!$B568)&lt;$K$2,N(对接源_01水果!$B568)&gt;$K$3),0,1))</f>
        <v>0</v>
      </c>
      <c r="L568" s="3">
        <f>IF(OR($L$1="",对接源_01水果!$C568="",对接源_01水果!$C568&lt;&gt;$L$1,对接源_01水果!$B568=""),0,IF(OR(N(对接源_01水果!$B568)&lt;$L$2,N(对接源_01水果!$B568)&gt;$L$3),0,1))</f>
        <v>0</v>
      </c>
      <c r="M568" s="3">
        <f>IF(OR($M$1="",对接源_01水果!$C568="",对接源_01水果!$C568&lt;&gt;$M$1,对接源_01水果!$B568=""),0,IF(OR(N(对接源_01水果!$B568)&lt;$M$2,N(对接源_01水果!$B568)&gt;$M$3),0,1))</f>
        <v>0</v>
      </c>
      <c r="N568" s="3">
        <f>IF(OR($N$1="",对接源_01水果!$C568="",对接源_01水果!$C568&lt;&gt;$N$1,对接源_01水果!$B568=""),0,IF(OR(N(对接源_01水果!$B568)&lt;$N$2,N(对接源_01水果!$B568)&gt;$N$3),0,1))</f>
        <v>0</v>
      </c>
      <c r="P568" s="3">
        <f>IF(AND($K568=1,AND(对接源_01水果!$X568="公司筐",N(对接源_01水果!$T568)&lt;&gt;0)),1,0)</f>
        <v>0</v>
      </c>
      <c r="Q568" s="3">
        <f t="shared" si="147"/>
        <v>0</v>
      </c>
      <c r="R568" s="3">
        <f>IF(AND($K568=1,AND(对接源_01水果!$X568="公司筐",N(对接源_01水果!$U568)&lt;&gt;0)),1,0)</f>
        <v>0</v>
      </c>
      <c r="S568" s="3">
        <f t="shared" si="148"/>
        <v>0</v>
      </c>
      <c r="T568" s="3">
        <f>IF(AND($K568=1,AND(对接源_01水果!$X568="公司筐",N(对接源_01水果!$V568)&lt;&gt;0)),1,0)</f>
        <v>0</v>
      </c>
      <c r="U568" s="3">
        <f t="shared" si="149"/>
        <v>19</v>
      </c>
      <c r="V568" s="3">
        <f>IF(AND($L568=1,AND(对接源_01水果!$X568="自备筐",N(对接源_01水果!$V568)&lt;&gt;0)),1,0)</f>
        <v>0</v>
      </c>
      <c r="W568" s="3">
        <f t="shared" si="150"/>
        <v>8</v>
      </c>
      <c r="X568" s="3">
        <f>IF(AND($L568=1,AND(对接源_01水果!$X568="自备筐",N(对接源_01水果!$T568)&lt;&gt;0)),1,0)</f>
        <v>0</v>
      </c>
      <c r="Y568" s="3">
        <f t="shared" si="151"/>
        <v>0</v>
      </c>
      <c r="Z568" s="3">
        <f>IF(AND($M568=1,对接源_01水果!$D568="原料入库"),1,0)</f>
        <v>0</v>
      </c>
      <c r="AA568" s="3">
        <f t="shared" si="152"/>
        <v>24</v>
      </c>
      <c r="AB568" s="3">
        <f>IF(AND($M568=1,LEFT(对接源_01水果!$D568,4)="原料出库"),1,0)</f>
        <v>0</v>
      </c>
      <c r="AC568" s="3">
        <f t="shared" si="153"/>
        <v>0</v>
      </c>
      <c r="AD568" s="3">
        <f>IF(AND($M568=1,LEFT(对接源_01水果!$D568,4)="成品出库"),1,0)</f>
        <v>0</v>
      </c>
      <c r="AE568" s="3">
        <f t="shared" si="154"/>
        <v>0</v>
      </c>
      <c r="AF568" s="3">
        <f>IF(AND($N568=1,AND(LEFT(对接源_01水果!$D568,4)="包装物料",N(对接源_01水果!$K568)&lt;&gt;0)),1,0)</f>
        <v>0</v>
      </c>
      <c r="AG568" s="3">
        <f t="shared" si="155"/>
        <v>0</v>
      </c>
      <c r="AH568" s="3">
        <f>IF(AND($N568=1,AND(对接源_01水果!$D568="周转筐－销售出库",N(对接源_01水果!$K568)&lt;&gt;0)),1,0)</f>
        <v>0</v>
      </c>
      <c r="AI568" s="3">
        <f t="shared" si="156"/>
        <v>0</v>
      </c>
      <c r="AJ568" s="7"/>
      <c r="AL568" s="3">
        <f>IF(OR($AL$1="",对接源_01水果!$Y568="",对接源_01水果!$Y568&lt;&gt;$AL$1,对接源_01水果!$B568="",N(对接源_01水果!$AJ568)&lt;=0),0,IF(OR(N(对接源_01水果!$B568)&lt;$AL$2,N(对接源_01水果!$B568)&gt;$AL$3),0,1))</f>
        <v>0</v>
      </c>
      <c r="AM568" s="3">
        <f t="shared" si="157"/>
        <v>1</v>
      </c>
      <c r="AN568" s="3" t="str">
        <f>IF(对接源_01水果!$AC568="","",对接源_01水果!$AC568)</f>
        <v/>
      </c>
      <c r="AO568" s="3">
        <f t="shared" si="158"/>
        <v>0</v>
      </c>
      <c r="AP568" s="3">
        <f t="shared" si="159"/>
        <v>8</v>
      </c>
      <c r="AR568">
        <f t="shared" si="160"/>
        <v>0</v>
      </c>
      <c r="AS568">
        <f t="shared" si="161"/>
        <v>0</v>
      </c>
    </row>
    <row r="569" ht="14.25" customHeight="1" spans="1:45">
      <c r="A569" s="3" t="str">
        <f>IF(对接源_01水果!$C569="","",对接源_01水果!$C569)</f>
        <v/>
      </c>
      <c r="B569" s="3">
        <f t="shared" si="145"/>
        <v>0</v>
      </c>
      <c r="C569" s="3">
        <f t="shared" si="146"/>
        <v>18</v>
      </c>
      <c r="K569" s="3">
        <f>IF(OR($K$1="",对接源_01水果!$C569="",对接源_01水果!$C569&lt;&gt;$K$1,对接源_01水果!$B569=""),0,IF(OR(N(对接源_01水果!$B569)&lt;$K$2,N(对接源_01水果!$B569)&gt;$K$3),0,1))</f>
        <v>0</v>
      </c>
      <c r="L569" s="3">
        <f>IF(OR($L$1="",对接源_01水果!$C569="",对接源_01水果!$C569&lt;&gt;$L$1,对接源_01水果!$B569=""),0,IF(OR(N(对接源_01水果!$B569)&lt;$L$2,N(对接源_01水果!$B569)&gt;$L$3),0,1))</f>
        <v>0</v>
      </c>
      <c r="M569" s="3">
        <f>IF(OR($M$1="",对接源_01水果!$C569="",对接源_01水果!$C569&lt;&gt;$M$1,对接源_01水果!$B569=""),0,IF(OR(N(对接源_01水果!$B569)&lt;$M$2,N(对接源_01水果!$B569)&gt;$M$3),0,1))</f>
        <v>0</v>
      </c>
      <c r="N569" s="3">
        <f>IF(OR($N$1="",对接源_01水果!$C569="",对接源_01水果!$C569&lt;&gt;$N$1,对接源_01水果!$B569=""),0,IF(OR(N(对接源_01水果!$B569)&lt;$N$2,N(对接源_01水果!$B569)&gt;$N$3),0,1))</f>
        <v>0</v>
      </c>
      <c r="P569" s="3">
        <f>IF(AND($K569=1,AND(对接源_01水果!$X569="公司筐",N(对接源_01水果!$T569)&lt;&gt;0)),1,0)</f>
        <v>0</v>
      </c>
      <c r="Q569" s="3">
        <f t="shared" si="147"/>
        <v>0</v>
      </c>
      <c r="R569" s="3">
        <f>IF(AND($K569=1,AND(对接源_01水果!$X569="公司筐",N(对接源_01水果!$U569)&lt;&gt;0)),1,0)</f>
        <v>0</v>
      </c>
      <c r="S569" s="3">
        <f t="shared" si="148"/>
        <v>0</v>
      </c>
      <c r="T569" s="3">
        <f>IF(AND($K569=1,AND(对接源_01水果!$X569="公司筐",N(对接源_01水果!$V569)&lt;&gt;0)),1,0)</f>
        <v>0</v>
      </c>
      <c r="U569" s="3">
        <f t="shared" si="149"/>
        <v>19</v>
      </c>
      <c r="V569" s="3">
        <f>IF(AND($L569=1,AND(对接源_01水果!$X569="自备筐",N(对接源_01水果!$V569)&lt;&gt;0)),1,0)</f>
        <v>0</v>
      </c>
      <c r="W569" s="3">
        <f t="shared" si="150"/>
        <v>8</v>
      </c>
      <c r="X569" s="3">
        <f>IF(AND($L569=1,AND(对接源_01水果!$X569="自备筐",N(对接源_01水果!$T569)&lt;&gt;0)),1,0)</f>
        <v>0</v>
      </c>
      <c r="Y569" s="3">
        <f t="shared" si="151"/>
        <v>0</v>
      </c>
      <c r="Z569" s="3">
        <f>IF(AND($M569=1,对接源_01水果!$D569="原料入库"),1,0)</f>
        <v>0</v>
      </c>
      <c r="AA569" s="3">
        <f t="shared" si="152"/>
        <v>24</v>
      </c>
      <c r="AB569" s="3">
        <f>IF(AND($M569=1,LEFT(对接源_01水果!$D569,4)="原料出库"),1,0)</f>
        <v>0</v>
      </c>
      <c r="AC569" s="3">
        <f t="shared" si="153"/>
        <v>0</v>
      </c>
      <c r="AD569" s="3">
        <f>IF(AND($M569=1,LEFT(对接源_01水果!$D569,4)="成品出库"),1,0)</f>
        <v>0</v>
      </c>
      <c r="AE569" s="3">
        <f t="shared" si="154"/>
        <v>0</v>
      </c>
      <c r="AF569" s="3">
        <f>IF(AND($N569=1,AND(LEFT(对接源_01水果!$D569,4)="包装物料",N(对接源_01水果!$K569)&lt;&gt;0)),1,0)</f>
        <v>0</v>
      </c>
      <c r="AG569" s="3">
        <f t="shared" si="155"/>
        <v>0</v>
      </c>
      <c r="AH569" s="3">
        <f>IF(AND($N569=1,AND(对接源_01水果!$D569="周转筐－销售出库",N(对接源_01水果!$K569)&lt;&gt;0)),1,0)</f>
        <v>0</v>
      </c>
      <c r="AI569" s="3">
        <f t="shared" si="156"/>
        <v>0</v>
      </c>
      <c r="AJ569" s="7"/>
      <c r="AL569" s="3">
        <f>IF(OR($AL$1="",对接源_01水果!$Y569="",对接源_01水果!$Y569&lt;&gt;$AL$1,对接源_01水果!$B569="",N(对接源_01水果!$AJ569)&lt;=0),0,IF(OR(N(对接源_01水果!$B569)&lt;$AL$2,N(对接源_01水果!$B569)&gt;$AL$3),0,1))</f>
        <v>0</v>
      </c>
      <c r="AM569" s="3">
        <f t="shared" si="157"/>
        <v>1</v>
      </c>
      <c r="AN569" s="3" t="str">
        <f>IF(对接源_01水果!$AC569="","",对接源_01水果!$AC569)</f>
        <v/>
      </c>
      <c r="AO569" s="3">
        <f t="shared" si="158"/>
        <v>0</v>
      </c>
      <c r="AP569" s="3">
        <f t="shared" si="159"/>
        <v>8</v>
      </c>
      <c r="AR569">
        <f t="shared" si="160"/>
        <v>0</v>
      </c>
      <c r="AS569">
        <f t="shared" si="161"/>
        <v>0</v>
      </c>
    </row>
    <row r="570" ht="14.25" customHeight="1" spans="1:45">
      <c r="A570" s="3" t="str">
        <f>IF(对接源_01水果!$C570="","",对接源_01水果!$C570)</f>
        <v/>
      </c>
      <c r="B570" s="3">
        <f t="shared" si="145"/>
        <v>0</v>
      </c>
      <c r="C570" s="3">
        <f t="shared" si="146"/>
        <v>18</v>
      </c>
      <c r="K570" s="3">
        <f>IF(OR($K$1="",对接源_01水果!$C570="",对接源_01水果!$C570&lt;&gt;$K$1,对接源_01水果!$B570=""),0,IF(OR(N(对接源_01水果!$B570)&lt;$K$2,N(对接源_01水果!$B570)&gt;$K$3),0,1))</f>
        <v>0</v>
      </c>
      <c r="L570" s="3">
        <f>IF(OR($L$1="",对接源_01水果!$C570="",对接源_01水果!$C570&lt;&gt;$L$1,对接源_01水果!$B570=""),0,IF(OR(N(对接源_01水果!$B570)&lt;$L$2,N(对接源_01水果!$B570)&gt;$L$3),0,1))</f>
        <v>0</v>
      </c>
      <c r="M570" s="3">
        <f>IF(OR($M$1="",对接源_01水果!$C570="",对接源_01水果!$C570&lt;&gt;$M$1,对接源_01水果!$B570=""),0,IF(OR(N(对接源_01水果!$B570)&lt;$M$2,N(对接源_01水果!$B570)&gt;$M$3),0,1))</f>
        <v>0</v>
      </c>
      <c r="N570" s="3">
        <f>IF(OR($N$1="",对接源_01水果!$C570="",对接源_01水果!$C570&lt;&gt;$N$1,对接源_01水果!$B570=""),0,IF(OR(N(对接源_01水果!$B570)&lt;$N$2,N(对接源_01水果!$B570)&gt;$N$3),0,1))</f>
        <v>0</v>
      </c>
      <c r="P570" s="3">
        <f>IF(AND($K570=1,AND(对接源_01水果!$X570="公司筐",N(对接源_01水果!$T570)&lt;&gt;0)),1,0)</f>
        <v>0</v>
      </c>
      <c r="Q570" s="3">
        <f t="shared" si="147"/>
        <v>0</v>
      </c>
      <c r="R570" s="3">
        <f>IF(AND($K570=1,AND(对接源_01水果!$X570="公司筐",N(对接源_01水果!$U570)&lt;&gt;0)),1,0)</f>
        <v>0</v>
      </c>
      <c r="S570" s="3">
        <f t="shared" si="148"/>
        <v>0</v>
      </c>
      <c r="T570" s="3">
        <f>IF(AND($K570=1,AND(对接源_01水果!$X570="公司筐",N(对接源_01水果!$V570)&lt;&gt;0)),1,0)</f>
        <v>0</v>
      </c>
      <c r="U570" s="3">
        <f t="shared" si="149"/>
        <v>19</v>
      </c>
      <c r="V570" s="3">
        <f>IF(AND($L570=1,AND(对接源_01水果!$X570="自备筐",N(对接源_01水果!$V570)&lt;&gt;0)),1,0)</f>
        <v>0</v>
      </c>
      <c r="W570" s="3">
        <f t="shared" si="150"/>
        <v>8</v>
      </c>
      <c r="X570" s="3">
        <f>IF(AND($L570=1,AND(对接源_01水果!$X570="自备筐",N(对接源_01水果!$T570)&lt;&gt;0)),1,0)</f>
        <v>0</v>
      </c>
      <c r="Y570" s="3">
        <f t="shared" si="151"/>
        <v>0</v>
      </c>
      <c r="Z570" s="3">
        <f>IF(AND($M570=1,对接源_01水果!$D570="原料入库"),1,0)</f>
        <v>0</v>
      </c>
      <c r="AA570" s="3">
        <f t="shared" si="152"/>
        <v>24</v>
      </c>
      <c r="AB570" s="3">
        <f>IF(AND($M570=1,LEFT(对接源_01水果!$D570,4)="原料出库"),1,0)</f>
        <v>0</v>
      </c>
      <c r="AC570" s="3">
        <f t="shared" si="153"/>
        <v>0</v>
      </c>
      <c r="AD570" s="3">
        <f>IF(AND($M570=1,LEFT(对接源_01水果!$D570,4)="成品出库"),1,0)</f>
        <v>0</v>
      </c>
      <c r="AE570" s="3">
        <f t="shared" si="154"/>
        <v>0</v>
      </c>
      <c r="AF570" s="3">
        <f>IF(AND($N570=1,AND(LEFT(对接源_01水果!$D570,4)="包装物料",N(对接源_01水果!$K570)&lt;&gt;0)),1,0)</f>
        <v>0</v>
      </c>
      <c r="AG570" s="3">
        <f t="shared" si="155"/>
        <v>0</v>
      </c>
      <c r="AH570" s="3">
        <f>IF(AND($N570=1,AND(对接源_01水果!$D570="周转筐－销售出库",N(对接源_01水果!$K570)&lt;&gt;0)),1,0)</f>
        <v>0</v>
      </c>
      <c r="AI570" s="3">
        <f t="shared" si="156"/>
        <v>0</v>
      </c>
      <c r="AJ570" s="7"/>
      <c r="AL570" s="3">
        <f>IF(OR($AL$1="",对接源_01水果!$Y570="",对接源_01水果!$Y570&lt;&gt;$AL$1,对接源_01水果!$B570="",N(对接源_01水果!$AJ570)&lt;=0),0,IF(OR(N(对接源_01水果!$B570)&lt;$AL$2,N(对接源_01水果!$B570)&gt;$AL$3),0,1))</f>
        <v>0</v>
      </c>
      <c r="AM570" s="3">
        <f t="shared" si="157"/>
        <v>1</v>
      </c>
      <c r="AN570" s="3" t="str">
        <f>IF(对接源_01水果!$AC570="","",对接源_01水果!$AC570)</f>
        <v/>
      </c>
      <c r="AO570" s="3">
        <f t="shared" si="158"/>
        <v>0</v>
      </c>
      <c r="AP570" s="3">
        <f t="shared" si="159"/>
        <v>8</v>
      </c>
      <c r="AR570">
        <f t="shared" si="160"/>
        <v>0</v>
      </c>
      <c r="AS570">
        <f t="shared" si="161"/>
        <v>0</v>
      </c>
    </row>
    <row r="571" ht="14.25" customHeight="1" spans="1:45">
      <c r="A571" s="3" t="str">
        <f>IF(对接源_01水果!$C571="","",对接源_01水果!$C571)</f>
        <v/>
      </c>
      <c r="B571" s="3">
        <f t="shared" si="145"/>
        <v>0</v>
      </c>
      <c r="C571" s="3">
        <f t="shared" si="146"/>
        <v>18</v>
      </c>
      <c r="K571" s="3">
        <f>IF(OR($K$1="",对接源_01水果!$C571="",对接源_01水果!$C571&lt;&gt;$K$1,对接源_01水果!$B571=""),0,IF(OR(N(对接源_01水果!$B571)&lt;$K$2,N(对接源_01水果!$B571)&gt;$K$3),0,1))</f>
        <v>0</v>
      </c>
      <c r="L571" s="3">
        <f>IF(OR($L$1="",对接源_01水果!$C571="",对接源_01水果!$C571&lt;&gt;$L$1,对接源_01水果!$B571=""),0,IF(OR(N(对接源_01水果!$B571)&lt;$L$2,N(对接源_01水果!$B571)&gt;$L$3),0,1))</f>
        <v>0</v>
      </c>
      <c r="M571" s="3">
        <f>IF(OR($M$1="",对接源_01水果!$C571="",对接源_01水果!$C571&lt;&gt;$M$1,对接源_01水果!$B571=""),0,IF(OR(N(对接源_01水果!$B571)&lt;$M$2,N(对接源_01水果!$B571)&gt;$M$3),0,1))</f>
        <v>0</v>
      </c>
      <c r="N571" s="3">
        <f>IF(OR($N$1="",对接源_01水果!$C571="",对接源_01水果!$C571&lt;&gt;$N$1,对接源_01水果!$B571=""),0,IF(OR(N(对接源_01水果!$B571)&lt;$N$2,N(对接源_01水果!$B571)&gt;$N$3),0,1))</f>
        <v>0</v>
      </c>
      <c r="P571" s="3">
        <f>IF(AND($K571=1,AND(对接源_01水果!$X571="公司筐",N(对接源_01水果!$T571)&lt;&gt;0)),1,0)</f>
        <v>0</v>
      </c>
      <c r="Q571" s="3">
        <f t="shared" si="147"/>
        <v>0</v>
      </c>
      <c r="R571" s="3">
        <f>IF(AND($K571=1,AND(对接源_01水果!$X571="公司筐",N(对接源_01水果!$U571)&lt;&gt;0)),1,0)</f>
        <v>0</v>
      </c>
      <c r="S571" s="3">
        <f t="shared" si="148"/>
        <v>0</v>
      </c>
      <c r="T571" s="3">
        <f>IF(AND($K571=1,AND(对接源_01水果!$X571="公司筐",N(对接源_01水果!$V571)&lt;&gt;0)),1,0)</f>
        <v>0</v>
      </c>
      <c r="U571" s="3">
        <f t="shared" si="149"/>
        <v>19</v>
      </c>
      <c r="V571" s="3">
        <f>IF(AND($L571=1,AND(对接源_01水果!$X571="自备筐",N(对接源_01水果!$V571)&lt;&gt;0)),1,0)</f>
        <v>0</v>
      </c>
      <c r="W571" s="3">
        <f t="shared" si="150"/>
        <v>8</v>
      </c>
      <c r="X571" s="3">
        <f>IF(AND($L571=1,AND(对接源_01水果!$X571="自备筐",N(对接源_01水果!$T571)&lt;&gt;0)),1,0)</f>
        <v>0</v>
      </c>
      <c r="Y571" s="3">
        <f t="shared" si="151"/>
        <v>0</v>
      </c>
      <c r="Z571" s="3">
        <f>IF(AND($M571=1,对接源_01水果!$D571="原料入库"),1,0)</f>
        <v>0</v>
      </c>
      <c r="AA571" s="3">
        <f t="shared" si="152"/>
        <v>24</v>
      </c>
      <c r="AB571" s="3">
        <f>IF(AND($M571=1,LEFT(对接源_01水果!$D571,4)="原料出库"),1,0)</f>
        <v>0</v>
      </c>
      <c r="AC571" s="3">
        <f t="shared" si="153"/>
        <v>0</v>
      </c>
      <c r="AD571" s="3">
        <f>IF(AND($M571=1,LEFT(对接源_01水果!$D571,4)="成品出库"),1,0)</f>
        <v>0</v>
      </c>
      <c r="AE571" s="3">
        <f t="shared" si="154"/>
        <v>0</v>
      </c>
      <c r="AF571" s="3">
        <f>IF(AND($N571=1,AND(LEFT(对接源_01水果!$D571,4)="包装物料",N(对接源_01水果!$K571)&lt;&gt;0)),1,0)</f>
        <v>0</v>
      </c>
      <c r="AG571" s="3">
        <f t="shared" si="155"/>
        <v>0</v>
      </c>
      <c r="AH571" s="3">
        <f>IF(AND($N571=1,AND(对接源_01水果!$D571="周转筐－销售出库",N(对接源_01水果!$K571)&lt;&gt;0)),1,0)</f>
        <v>0</v>
      </c>
      <c r="AI571" s="3">
        <f t="shared" si="156"/>
        <v>0</v>
      </c>
      <c r="AJ571" s="7"/>
      <c r="AL571" s="3">
        <f>IF(OR($AL$1="",对接源_01水果!$Y571="",对接源_01水果!$Y571&lt;&gt;$AL$1,对接源_01水果!$B571="",N(对接源_01水果!$AJ571)&lt;=0),0,IF(OR(N(对接源_01水果!$B571)&lt;$AL$2,N(对接源_01水果!$B571)&gt;$AL$3),0,1))</f>
        <v>0</v>
      </c>
      <c r="AM571" s="3">
        <f t="shared" si="157"/>
        <v>1</v>
      </c>
      <c r="AN571" s="3" t="str">
        <f>IF(对接源_01水果!$AC571="","",对接源_01水果!$AC571)</f>
        <v/>
      </c>
      <c r="AO571" s="3">
        <f t="shared" si="158"/>
        <v>0</v>
      </c>
      <c r="AP571" s="3">
        <f t="shared" si="159"/>
        <v>8</v>
      </c>
      <c r="AR571">
        <f t="shared" si="160"/>
        <v>0</v>
      </c>
      <c r="AS571">
        <f t="shared" si="161"/>
        <v>0</v>
      </c>
    </row>
    <row r="572" ht="14.25" customHeight="1" spans="1:45">
      <c r="A572" s="3" t="str">
        <f>IF(对接源_01水果!$C572="","",对接源_01水果!$C572)</f>
        <v/>
      </c>
      <c r="B572" s="3">
        <f t="shared" si="145"/>
        <v>0</v>
      </c>
      <c r="C572" s="3">
        <f t="shared" si="146"/>
        <v>18</v>
      </c>
      <c r="K572" s="3">
        <f>IF(OR($K$1="",对接源_01水果!$C572="",对接源_01水果!$C572&lt;&gt;$K$1,对接源_01水果!$B572=""),0,IF(OR(N(对接源_01水果!$B572)&lt;$K$2,N(对接源_01水果!$B572)&gt;$K$3),0,1))</f>
        <v>0</v>
      </c>
      <c r="L572" s="3">
        <f>IF(OR($L$1="",对接源_01水果!$C572="",对接源_01水果!$C572&lt;&gt;$L$1,对接源_01水果!$B572=""),0,IF(OR(N(对接源_01水果!$B572)&lt;$L$2,N(对接源_01水果!$B572)&gt;$L$3),0,1))</f>
        <v>0</v>
      </c>
      <c r="M572" s="3">
        <f>IF(OR($M$1="",对接源_01水果!$C572="",对接源_01水果!$C572&lt;&gt;$M$1,对接源_01水果!$B572=""),0,IF(OR(N(对接源_01水果!$B572)&lt;$M$2,N(对接源_01水果!$B572)&gt;$M$3),0,1))</f>
        <v>0</v>
      </c>
      <c r="N572" s="3">
        <f>IF(OR($N$1="",对接源_01水果!$C572="",对接源_01水果!$C572&lt;&gt;$N$1,对接源_01水果!$B572=""),0,IF(OR(N(对接源_01水果!$B572)&lt;$N$2,N(对接源_01水果!$B572)&gt;$N$3),0,1))</f>
        <v>0</v>
      </c>
      <c r="P572" s="3">
        <f>IF(AND($K572=1,AND(对接源_01水果!$X572="公司筐",N(对接源_01水果!$T572)&lt;&gt;0)),1,0)</f>
        <v>0</v>
      </c>
      <c r="Q572" s="3">
        <f t="shared" si="147"/>
        <v>0</v>
      </c>
      <c r="R572" s="3">
        <f>IF(AND($K572=1,AND(对接源_01水果!$X572="公司筐",N(对接源_01水果!$U572)&lt;&gt;0)),1,0)</f>
        <v>0</v>
      </c>
      <c r="S572" s="3">
        <f t="shared" si="148"/>
        <v>0</v>
      </c>
      <c r="T572" s="3">
        <f>IF(AND($K572=1,AND(对接源_01水果!$X572="公司筐",N(对接源_01水果!$V572)&lt;&gt;0)),1,0)</f>
        <v>0</v>
      </c>
      <c r="U572" s="3">
        <f t="shared" si="149"/>
        <v>19</v>
      </c>
      <c r="V572" s="3">
        <f>IF(AND($L572=1,AND(对接源_01水果!$X572="自备筐",N(对接源_01水果!$V572)&lt;&gt;0)),1,0)</f>
        <v>0</v>
      </c>
      <c r="W572" s="3">
        <f t="shared" si="150"/>
        <v>8</v>
      </c>
      <c r="X572" s="3">
        <f>IF(AND($L572=1,AND(对接源_01水果!$X572="自备筐",N(对接源_01水果!$T572)&lt;&gt;0)),1,0)</f>
        <v>0</v>
      </c>
      <c r="Y572" s="3">
        <f t="shared" si="151"/>
        <v>0</v>
      </c>
      <c r="Z572" s="3">
        <f>IF(AND($M572=1,对接源_01水果!$D572="原料入库"),1,0)</f>
        <v>0</v>
      </c>
      <c r="AA572" s="3">
        <f t="shared" si="152"/>
        <v>24</v>
      </c>
      <c r="AB572" s="3">
        <f>IF(AND($M572=1,LEFT(对接源_01水果!$D572,4)="原料出库"),1,0)</f>
        <v>0</v>
      </c>
      <c r="AC572" s="3">
        <f t="shared" si="153"/>
        <v>0</v>
      </c>
      <c r="AD572" s="3">
        <f>IF(AND($M572=1,LEFT(对接源_01水果!$D572,4)="成品出库"),1,0)</f>
        <v>0</v>
      </c>
      <c r="AE572" s="3">
        <f t="shared" si="154"/>
        <v>0</v>
      </c>
      <c r="AF572" s="3">
        <f>IF(AND($N572=1,AND(LEFT(对接源_01水果!$D572,4)="包装物料",N(对接源_01水果!$K572)&lt;&gt;0)),1,0)</f>
        <v>0</v>
      </c>
      <c r="AG572" s="3">
        <f t="shared" si="155"/>
        <v>0</v>
      </c>
      <c r="AH572" s="3">
        <f>IF(AND($N572=1,AND(对接源_01水果!$D572="周转筐－销售出库",N(对接源_01水果!$K572)&lt;&gt;0)),1,0)</f>
        <v>0</v>
      </c>
      <c r="AI572" s="3">
        <f t="shared" si="156"/>
        <v>0</v>
      </c>
      <c r="AJ572" s="7"/>
      <c r="AL572" s="3">
        <f>IF(OR($AL$1="",对接源_01水果!$Y572="",对接源_01水果!$Y572&lt;&gt;$AL$1,对接源_01水果!$B572="",N(对接源_01水果!$AJ572)&lt;=0),0,IF(OR(N(对接源_01水果!$B572)&lt;$AL$2,N(对接源_01水果!$B572)&gt;$AL$3),0,1))</f>
        <v>0</v>
      </c>
      <c r="AM572" s="3">
        <f t="shared" si="157"/>
        <v>1</v>
      </c>
      <c r="AN572" s="3" t="str">
        <f>IF(对接源_01水果!$AC572="","",对接源_01水果!$AC572)</f>
        <v/>
      </c>
      <c r="AO572" s="3">
        <f t="shared" si="158"/>
        <v>0</v>
      </c>
      <c r="AP572" s="3">
        <f t="shared" si="159"/>
        <v>8</v>
      </c>
      <c r="AR572">
        <f t="shared" si="160"/>
        <v>0</v>
      </c>
      <c r="AS572">
        <f t="shared" si="161"/>
        <v>0</v>
      </c>
    </row>
    <row r="573" ht="14.25" customHeight="1" spans="1:45">
      <c r="A573" s="3" t="str">
        <f>IF(对接源_01水果!$C573="","",对接源_01水果!$C573)</f>
        <v/>
      </c>
      <c r="B573" s="3">
        <f t="shared" si="145"/>
        <v>0</v>
      </c>
      <c r="C573" s="3">
        <f t="shared" si="146"/>
        <v>18</v>
      </c>
      <c r="K573" s="3">
        <f>IF(OR($K$1="",对接源_01水果!$C573="",对接源_01水果!$C573&lt;&gt;$K$1,对接源_01水果!$B573=""),0,IF(OR(N(对接源_01水果!$B573)&lt;$K$2,N(对接源_01水果!$B573)&gt;$K$3),0,1))</f>
        <v>0</v>
      </c>
      <c r="L573" s="3">
        <f>IF(OR($L$1="",对接源_01水果!$C573="",对接源_01水果!$C573&lt;&gt;$L$1,对接源_01水果!$B573=""),0,IF(OR(N(对接源_01水果!$B573)&lt;$L$2,N(对接源_01水果!$B573)&gt;$L$3),0,1))</f>
        <v>0</v>
      </c>
      <c r="M573" s="3">
        <f>IF(OR($M$1="",对接源_01水果!$C573="",对接源_01水果!$C573&lt;&gt;$M$1,对接源_01水果!$B573=""),0,IF(OR(N(对接源_01水果!$B573)&lt;$M$2,N(对接源_01水果!$B573)&gt;$M$3),0,1))</f>
        <v>0</v>
      </c>
      <c r="N573" s="3">
        <f>IF(OR($N$1="",对接源_01水果!$C573="",对接源_01水果!$C573&lt;&gt;$N$1,对接源_01水果!$B573=""),0,IF(OR(N(对接源_01水果!$B573)&lt;$N$2,N(对接源_01水果!$B573)&gt;$N$3),0,1))</f>
        <v>0</v>
      </c>
      <c r="P573" s="3">
        <f>IF(AND($K573=1,AND(对接源_01水果!$X573="公司筐",N(对接源_01水果!$T573)&lt;&gt;0)),1,0)</f>
        <v>0</v>
      </c>
      <c r="Q573" s="3">
        <f t="shared" si="147"/>
        <v>0</v>
      </c>
      <c r="R573" s="3">
        <f>IF(AND($K573=1,AND(对接源_01水果!$X573="公司筐",N(对接源_01水果!$U573)&lt;&gt;0)),1,0)</f>
        <v>0</v>
      </c>
      <c r="S573" s="3">
        <f t="shared" si="148"/>
        <v>0</v>
      </c>
      <c r="T573" s="3">
        <f>IF(AND($K573=1,AND(对接源_01水果!$X573="公司筐",N(对接源_01水果!$V573)&lt;&gt;0)),1,0)</f>
        <v>0</v>
      </c>
      <c r="U573" s="3">
        <f t="shared" si="149"/>
        <v>19</v>
      </c>
      <c r="V573" s="3">
        <f>IF(AND($L573=1,AND(对接源_01水果!$X573="自备筐",N(对接源_01水果!$V573)&lt;&gt;0)),1,0)</f>
        <v>0</v>
      </c>
      <c r="W573" s="3">
        <f t="shared" si="150"/>
        <v>8</v>
      </c>
      <c r="X573" s="3">
        <f>IF(AND($L573=1,AND(对接源_01水果!$X573="自备筐",N(对接源_01水果!$T573)&lt;&gt;0)),1,0)</f>
        <v>0</v>
      </c>
      <c r="Y573" s="3">
        <f t="shared" si="151"/>
        <v>0</v>
      </c>
      <c r="Z573" s="3">
        <f>IF(AND($M573=1,对接源_01水果!$D573="原料入库"),1,0)</f>
        <v>0</v>
      </c>
      <c r="AA573" s="3">
        <f t="shared" si="152"/>
        <v>24</v>
      </c>
      <c r="AB573" s="3">
        <f>IF(AND($M573=1,LEFT(对接源_01水果!$D573,4)="原料出库"),1,0)</f>
        <v>0</v>
      </c>
      <c r="AC573" s="3">
        <f t="shared" si="153"/>
        <v>0</v>
      </c>
      <c r="AD573" s="3">
        <f>IF(AND($M573=1,LEFT(对接源_01水果!$D573,4)="成品出库"),1,0)</f>
        <v>0</v>
      </c>
      <c r="AE573" s="3">
        <f t="shared" si="154"/>
        <v>0</v>
      </c>
      <c r="AF573" s="3">
        <f>IF(AND($N573=1,AND(LEFT(对接源_01水果!$D573,4)="包装物料",N(对接源_01水果!$K573)&lt;&gt;0)),1,0)</f>
        <v>0</v>
      </c>
      <c r="AG573" s="3">
        <f t="shared" si="155"/>
        <v>0</v>
      </c>
      <c r="AH573" s="3">
        <f>IF(AND($N573=1,AND(对接源_01水果!$D573="周转筐－销售出库",N(对接源_01水果!$K573)&lt;&gt;0)),1,0)</f>
        <v>0</v>
      </c>
      <c r="AI573" s="3">
        <f t="shared" si="156"/>
        <v>0</v>
      </c>
      <c r="AJ573" s="7"/>
      <c r="AL573" s="3">
        <f>IF(OR($AL$1="",对接源_01水果!$Y573="",对接源_01水果!$Y573&lt;&gt;$AL$1,对接源_01水果!$B573="",N(对接源_01水果!$AJ573)&lt;=0),0,IF(OR(N(对接源_01水果!$B573)&lt;$AL$2,N(对接源_01水果!$B573)&gt;$AL$3),0,1))</f>
        <v>0</v>
      </c>
      <c r="AM573" s="3">
        <f t="shared" si="157"/>
        <v>1</v>
      </c>
      <c r="AN573" s="3" t="str">
        <f>IF(对接源_01水果!$AC573="","",对接源_01水果!$AC573)</f>
        <v/>
      </c>
      <c r="AO573" s="3">
        <f t="shared" si="158"/>
        <v>0</v>
      </c>
      <c r="AP573" s="3">
        <f t="shared" si="159"/>
        <v>8</v>
      </c>
      <c r="AR573">
        <f t="shared" si="160"/>
        <v>0</v>
      </c>
      <c r="AS573">
        <f t="shared" si="161"/>
        <v>0</v>
      </c>
    </row>
    <row r="574" ht="14.25" customHeight="1" spans="1:45">
      <c r="A574" s="3" t="str">
        <f>IF(对接源_01水果!$C574="","",对接源_01水果!$C574)</f>
        <v/>
      </c>
      <c r="B574" s="3">
        <f t="shared" si="145"/>
        <v>0</v>
      </c>
      <c r="C574" s="3">
        <f t="shared" si="146"/>
        <v>18</v>
      </c>
      <c r="K574" s="3">
        <f>IF(OR($K$1="",对接源_01水果!$C574="",对接源_01水果!$C574&lt;&gt;$K$1,对接源_01水果!$B574=""),0,IF(OR(N(对接源_01水果!$B574)&lt;$K$2,N(对接源_01水果!$B574)&gt;$K$3),0,1))</f>
        <v>0</v>
      </c>
      <c r="L574" s="3">
        <f>IF(OR($L$1="",对接源_01水果!$C574="",对接源_01水果!$C574&lt;&gt;$L$1,对接源_01水果!$B574=""),0,IF(OR(N(对接源_01水果!$B574)&lt;$L$2,N(对接源_01水果!$B574)&gt;$L$3),0,1))</f>
        <v>0</v>
      </c>
      <c r="M574" s="3">
        <f>IF(OR($M$1="",对接源_01水果!$C574="",对接源_01水果!$C574&lt;&gt;$M$1,对接源_01水果!$B574=""),0,IF(OR(N(对接源_01水果!$B574)&lt;$M$2,N(对接源_01水果!$B574)&gt;$M$3),0,1))</f>
        <v>0</v>
      </c>
      <c r="N574" s="3">
        <f>IF(OR($N$1="",对接源_01水果!$C574="",对接源_01水果!$C574&lt;&gt;$N$1,对接源_01水果!$B574=""),0,IF(OR(N(对接源_01水果!$B574)&lt;$N$2,N(对接源_01水果!$B574)&gt;$N$3),0,1))</f>
        <v>0</v>
      </c>
      <c r="P574" s="3">
        <f>IF(AND($K574=1,AND(对接源_01水果!$X574="公司筐",N(对接源_01水果!$T574)&lt;&gt;0)),1,0)</f>
        <v>0</v>
      </c>
      <c r="Q574" s="3">
        <f t="shared" si="147"/>
        <v>0</v>
      </c>
      <c r="R574" s="3">
        <f>IF(AND($K574=1,AND(对接源_01水果!$X574="公司筐",N(对接源_01水果!$U574)&lt;&gt;0)),1,0)</f>
        <v>0</v>
      </c>
      <c r="S574" s="3">
        <f t="shared" si="148"/>
        <v>0</v>
      </c>
      <c r="T574" s="3">
        <f>IF(AND($K574=1,AND(对接源_01水果!$X574="公司筐",N(对接源_01水果!$V574)&lt;&gt;0)),1,0)</f>
        <v>0</v>
      </c>
      <c r="U574" s="3">
        <f t="shared" si="149"/>
        <v>19</v>
      </c>
      <c r="V574" s="3">
        <f>IF(AND($L574=1,AND(对接源_01水果!$X574="自备筐",N(对接源_01水果!$V574)&lt;&gt;0)),1,0)</f>
        <v>0</v>
      </c>
      <c r="W574" s="3">
        <f t="shared" si="150"/>
        <v>8</v>
      </c>
      <c r="X574" s="3">
        <f>IF(AND($L574=1,AND(对接源_01水果!$X574="自备筐",N(对接源_01水果!$T574)&lt;&gt;0)),1,0)</f>
        <v>0</v>
      </c>
      <c r="Y574" s="3">
        <f t="shared" si="151"/>
        <v>0</v>
      </c>
      <c r="Z574" s="3">
        <f>IF(AND($M574=1,对接源_01水果!$D574="原料入库"),1,0)</f>
        <v>0</v>
      </c>
      <c r="AA574" s="3">
        <f t="shared" si="152"/>
        <v>24</v>
      </c>
      <c r="AB574" s="3">
        <f>IF(AND($M574=1,LEFT(对接源_01水果!$D574,4)="原料出库"),1,0)</f>
        <v>0</v>
      </c>
      <c r="AC574" s="3">
        <f t="shared" si="153"/>
        <v>0</v>
      </c>
      <c r="AD574" s="3">
        <f>IF(AND($M574=1,LEFT(对接源_01水果!$D574,4)="成品出库"),1,0)</f>
        <v>0</v>
      </c>
      <c r="AE574" s="3">
        <f t="shared" si="154"/>
        <v>0</v>
      </c>
      <c r="AF574" s="3">
        <f>IF(AND($N574=1,AND(LEFT(对接源_01水果!$D574,4)="包装物料",N(对接源_01水果!$K574)&lt;&gt;0)),1,0)</f>
        <v>0</v>
      </c>
      <c r="AG574" s="3">
        <f t="shared" si="155"/>
        <v>0</v>
      </c>
      <c r="AH574" s="3">
        <f>IF(AND($N574=1,AND(对接源_01水果!$D574="周转筐－销售出库",N(对接源_01水果!$K574)&lt;&gt;0)),1,0)</f>
        <v>0</v>
      </c>
      <c r="AI574" s="3">
        <f t="shared" si="156"/>
        <v>0</v>
      </c>
      <c r="AJ574" s="7"/>
      <c r="AL574" s="3">
        <f>IF(OR($AL$1="",对接源_01水果!$Y574="",对接源_01水果!$Y574&lt;&gt;$AL$1,对接源_01水果!$B574="",N(对接源_01水果!$AJ574)&lt;=0),0,IF(OR(N(对接源_01水果!$B574)&lt;$AL$2,N(对接源_01水果!$B574)&gt;$AL$3),0,1))</f>
        <v>0</v>
      </c>
      <c r="AM574" s="3">
        <f t="shared" si="157"/>
        <v>1</v>
      </c>
      <c r="AN574" s="3" t="str">
        <f>IF(对接源_01水果!$AC574="","",对接源_01水果!$AC574)</f>
        <v/>
      </c>
      <c r="AO574" s="3">
        <f t="shared" si="158"/>
        <v>0</v>
      </c>
      <c r="AP574" s="3">
        <f t="shared" si="159"/>
        <v>8</v>
      </c>
      <c r="AR574">
        <f t="shared" si="160"/>
        <v>0</v>
      </c>
      <c r="AS574">
        <f t="shared" si="161"/>
        <v>0</v>
      </c>
    </row>
    <row r="575" ht="14.25" customHeight="1" spans="1:45">
      <c r="A575" s="3" t="str">
        <f>IF(对接源_01水果!$C575="","",对接源_01水果!$C575)</f>
        <v/>
      </c>
      <c r="B575" s="3">
        <f t="shared" si="145"/>
        <v>0</v>
      </c>
      <c r="C575" s="3">
        <f t="shared" si="146"/>
        <v>18</v>
      </c>
      <c r="K575" s="3">
        <f>IF(OR($K$1="",对接源_01水果!$C575="",对接源_01水果!$C575&lt;&gt;$K$1,对接源_01水果!$B575=""),0,IF(OR(N(对接源_01水果!$B575)&lt;$K$2,N(对接源_01水果!$B575)&gt;$K$3),0,1))</f>
        <v>0</v>
      </c>
      <c r="L575" s="3">
        <f>IF(OR($L$1="",对接源_01水果!$C575="",对接源_01水果!$C575&lt;&gt;$L$1,对接源_01水果!$B575=""),0,IF(OR(N(对接源_01水果!$B575)&lt;$L$2,N(对接源_01水果!$B575)&gt;$L$3),0,1))</f>
        <v>0</v>
      </c>
      <c r="M575" s="3">
        <f>IF(OR($M$1="",对接源_01水果!$C575="",对接源_01水果!$C575&lt;&gt;$M$1,对接源_01水果!$B575=""),0,IF(OR(N(对接源_01水果!$B575)&lt;$M$2,N(对接源_01水果!$B575)&gt;$M$3),0,1))</f>
        <v>0</v>
      </c>
      <c r="N575" s="3">
        <f>IF(OR($N$1="",对接源_01水果!$C575="",对接源_01水果!$C575&lt;&gt;$N$1,对接源_01水果!$B575=""),0,IF(OR(N(对接源_01水果!$B575)&lt;$N$2,N(对接源_01水果!$B575)&gt;$N$3),0,1))</f>
        <v>0</v>
      </c>
      <c r="P575" s="3">
        <f>IF(AND($K575=1,AND(对接源_01水果!$X575="公司筐",N(对接源_01水果!$T575)&lt;&gt;0)),1,0)</f>
        <v>0</v>
      </c>
      <c r="Q575" s="3">
        <f t="shared" si="147"/>
        <v>0</v>
      </c>
      <c r="R575" s="3">
        <f>IF(AND($K575=1,AND(对接源_01水果!$X575="公司筐",N(对接源_01水果!$U575)&lt;&gt;0)),1,0)</f>
        <v>0</v>
      </c>
      <c r="S575" s="3">
        <f t="shared" si="148"/>
        <v>0</v>
      </c>
      <c r="T575" s="3">
        <f>IF(AND($K575=1,AND(对接源_01水果!$X575="公司筐",N(对接源_01水果!$V575)&lt;&gt;0)),1,0)</f>
        <v>0</v>
      </c>
      <c r="U575" s="3">
        <f t="shared" si="149"/>
        <v>19</v>
      </c>
      <c r="V575" s="3">
        <f>IF(AND($L575=1,AND(对接源_01水果!$X575="自备筐",N(对接源_01水果!$V575)&lt;&gt;0)),1,0)</f>
        <v>0</v>
      </c>
      <c r="W575" s="3">
        <f t="shared" si="150"/>
        <v>8</v>
      </c>
      <c r="X575" s="3">
        <f>IF(AND($L575=1,AND(对接源_01水果!$X575="自备筐",N(对接源_01水果!$T575)&lt;&gt;0)),1,0)</f>
        <v>0</v>
      </c>
      <c r="Y575" s="3">
        <f t="shared" si="151"/>
        <v>0</v>
      </c>
      <c r="Z575" s="3">
        <f>IF(AND($M575=1,对接源_01水果!$D575="原料入库"),1,0)</f>
        <v>0</v>
      </c>
      <c r="AA575" s="3">
        <f t="shared" si="152"/>
        <v>24</v>
      </c>
      <c r="AB575" s="3">
        <f>IF(AND($M575=1,LEFT(对接源_01水果!$D575,4)="原料出库"),1,0)</f>
        <v>0</v>
      </c>
      <c r="AC575" s="3">
        <f t="shared" si="153"/>
        <v>0</v>
      </c>
      <c r="AD575" s="3">
        <f>IF(AND($M575=1,LEFT(对接源_01水果!$D575,4)="成品出库"),1,0)</f>
        <v>0</v>
      </c>
      <c r="AE575" s="3">
        <f t="shared" si="154"/>
        <v>0</v>
      </c>
      <c r="AF575" s="3">
        <f>IF(AND($N575=1,AND(LEFT(对接源_01水果!$D575,4)="包装物料",N(对接源_01水果!$K575)&lt;&gt;0)),1,0)</f>
        <v>0</v>
      </c>
      <c r="AG575" s="3">
        <f t="shared" si="155"/>
        <v>0</v>
      </c>
      <c r="AH575" s="3">
        <f>IF(AND($N575=1,AND(对接源_01水果!$D575="周转筐－销售出库",N(对接源_01水果!$K575)&lt;&gt;0)),1,0)</f>
        <v>0</v>
      </c>
      <c r="AI575" s="3">
        <f t="shared" si="156"/>
        <v>0</v>
      </c>
      <c r="AJ575" s="7"/>
      <c r="AL575" s="3">
        <f>IF(OR($AL$1="",对接源_01水果!$Y575="",对接源_01水果!$Y575&lt;&gt;$AL$1,对接源_01水果!$B575="",N(对接源_01水果!$AJ575)&lt;=0),0,IF(OR(N(对接源_01水果!$B575)&lt;$AL$2,N(对接源_01水果!$B575)&gt;$AL$3),0,1))</f>
        <v>0</v>
      </c>
      <c r="AM575" s="3">
        <f t="shared" si="157"/>
        <v>1</v>
      </c>
      <c r="AN575" s="3" t="str">
        <f>IF(对接源_01水果!$AC575="","",对接源_01水果!$AC575)</f>
        <v/>
      </c>
      <c r="AO575" s="3">
        <f t="shared" si="158"/>
        <v>0</v>
      </c>
      <c r="AP575" s="3">
        <f t="shared" si="159"/>
        <v>8</v>
      </c>
      <c r="AR575">
        <f t="shared" si="160"/>
        <v>0</v>
      </c>
      <c r="AS575">
        <f t="shared" si="161"/>
        <v>0</v>
      </c>
    </row>
    <row r="576" ht="14.25" customHeight="1" spans="1:45">
      <c r="A576" s="3" t="str">
        <f>IF(对接源_01水果!$C576="","",对接源_01水果!$C576)</f>
        <v/>
      </c>
      <c r="B576" s="3">
        <f t="shared" si="145"/>
        <v>0</v>
      </c>
      <c r="C576" s="3">
        <f t="shared" si="146"/>
        <v>18</v>
      </c>
      <c r="K576" s="3">
        <f>IF(OR($K$1="",对接源_01水果!$C576="",对接源_01水果!$C576&lt;&gt;$K$1,对接源_01水果!$B576=""),0,IF(OR(N(对接源_01水果!$B576)&lt;$K$2,N(对接源_01水果!$B576)&gt;$K$3),0,1))</f>
        <v>0</v>
      </c>
      <c r="L576" s="3">
        <f>IF(OR($L$1="",对接源_01水果!$C576="",对接源_01水果!$C576&lt;&gt;$L$1,对接源_01水果!$B576=""),0,IF(OR(N(对接源_01水果!$B576)&lt;$L$2,N(对接源_01水果!$B576)&gt;$L$3),0,1))</f>
        <v>0</v>
      </c>
      <c r="M576" s="3">
        <f>IF(OR($M$1="",对接源_01水果!$C576="",对接源_01水果!$C576&lt;&gt;$M$1,对接源_01水果!$B576=""),0,IF(OR(N(对接源_01水果!$B576)&lt;$M$2,N(对接源_01水果!$B576)&gt;$M$3),0,1))</f>
        <v>0</v>
      </c>
      <c r="N576" s="3">
        <f>IF(OR($N$1="",对接源_01水果!$C576="",对接源_01水果!$C576&lt;&gt;$N$1,对接源_01水果!$B576=""),0,IF(OR(N(对接源_01水果!$B576)&lt;$N$2,N(对接源_01水果!$B576)&gt;$N$3),0,1))</f>
        <v>0</v>
      </c>
      <c r="P576" s="3">
        <f>IF(AND($K576=1,AND(对接源_01水果!$X576="公司筐",N(对接源_01水果!$T576)&lt;&gt;0)),1,0)</f>
        <v>0</v>
      </c>
      <c r="Q576" s="3">
        <f t="shared" si="147"/>
        <v>0</v>
      </c>
      <c r="R576" s="3">
        <f>IF(AND($K576=1,AND(对接源_01水果!$X576="公司筐",N(对接源_01水果!$U576)&lt;&gt;0)),1,0)</f>
        <v>0</v>
      </c>
      <c r="S576" s="3">
        <f t="shared" si="148"/>
        <v>0</v>
      </c>
      <c r="T576" s="3">
        <f>IF(AND($K576=1,AND(对接源_01水果!$X576="公司筐",N(对接源_01水果!$V576)&lt;&gt;0)),1,0)</f>
        <v>0</v>
      </c>
      <c r="U576" s="3">
        <f t="shared" si="149"/>
        <v>19</v>
      </c>
      <c r="V576" s="3">
        <f>IF(AND($L576=1,AND(对接源_01水果!$X576="自备筐",N(对接源_01水果!$V576)&lt;&gt;0)),1,0)</f>
        <v>0</v>
      </c>
      <c r="W576" s="3">
        <f t="shared" si="150"/>
        <v>8</v>
      </c>
      <c r="X576" s="3">
        <f>IF(AND($L576=1,AND(对接源_01水果!$X576="自备筐",N(对接源_01水果!$T576)&lt;&gt;0)),1,0)</f>
        <v>0</v>
      </c>
      <c r="Y576" s="3">
        <f t="shared" si="151"/>
        <v>0</v>
      </c>
      <c r="Z576" s="3">
        <f>IF(AND($M576=1,对接源_01水果!$D576="原料入库"),1,0)</f>
        <v>0</v>
      </c>
      <c r="AA576" s="3">
        <f t="shared" si="152"/>
        <v>24</v>
      </c>
      <c r="AB576" s="3">
        <f>IF(AND($M576=1,LEFT(对接源_01水果!$D576,4)="原料出库"),1,0)</f>
        <v>0</v>
      </c>
      <c r="AC576" s="3">
        <f t="shared" si="153"/>
        <v>0</v>
      </c>
      <c r="AD576" s="3">
        <f>IF(AND($M576=1,LEFT(对接源_01水果!$D576,4)="成品出库"),1,0)</f>
        <v>0</v>
      </c>
      <c r="AE576" s="3">
        <f t="shared" si="154"/>
        <v>0</v>
      </c>
      <c r="AF576" s="3">
        <f>IF(AND($N576=1,AND(LEFT(对接源_01水果!$D576,4)="包装物料",N(对接源_01水果!$K576)&lt;&gt;0)),1,0)</f>
        <v>0</v>
      </c>
      <c r="AG576" s="3">
        <f t="shared" si="155"/>
        <v>0</v>
      </c>
      <c r="AH576" s="3">
        <f>IF(AND($N576=1,AND(对接源_01水果!$D576="周转筐－销售出库",N(对接源_01水果!$K576)&lt;&gt;0)),1,0)</f>
        <v>0</v>
      </c>
      <c r="AI576" s="3">
        <f t="shared" si="156"/>
        <v>0</v>
      </c>
      <c r="AJ576" s="7"/>
      <c r="AL576" s="3">
        <f>IF(OR($AL$1="",对接源_01水果!$Y576="",对接源_01水果!$Y576&lt;&gt;$AL$1,对接源_01水果!$B576="",N(对接源_01水果!$AJ576)&lt;=0),0,IF(OR(N(对接源_01水果!$B576)&lt;$AL$2,N(对接源_01水果!$B576)&gt;$AL$3),0,1))</f>
        <v>0</v>
      </c>
      <c r="AM576" s="3">
        <f t="shared" si="157"/>
        <v>1</v>
      </c>
      <c r="AN576" s="3" t="str">
        <f>IF(对接源_01水果!$AC576="","",对接源_01水果!$AC576)</f>
        <v/>
      </c>
      <c r="AO576" s="3">
        <f t="shared" si="158"/>
        <v>0</v>
      </c>
      <c r="AP576" s="3">
        <f t="shared" si="159"/>
        <v>8</v>
      </c>
      <c r="AR576">
        <f t="shared" si="160"/>
        <v>0</v>
      </c>
      <c r="AS576">
        <f t="shared" si="161"/>
        <v>0</v>
      </c>
    </row>
    <row r="577" ht="14.25" customHeight="1" spans="1:45">
      <c r="A577" s="3" t="str">
        <f>IF(对接源_01水果!$C577="","",对接源_01水果!$C577)</f>
        <v/>
      </c>
      <c r="B577" s="3">
        <f t="shared" si="145"/>
        <v>0</v>
      </c>
      <c r="C577" s="3">
        <f t="shared" si="146"/>
        <v>18</v>
      </c>
      <c r="K577" s="3">
        <f>IF(OR($K$1="",对接源_01水果!$C577="",对接源_01水果!$C577&lt;&gt;$K$1,对接源_01水果!$B577=""),0,IF(OR(N(对接源_01水果!$B577)&lt;$K$2,N(对接源_01水果!$B577)&gt;$K$3),0,1))</f>
        <v>0</v>
      </c>
      <c r="L577" s="3">
        <f>IF(OR($L$1="",对接源_01水果!$C577="",对接源_01水果!$C577&lt;&gt;$L$1,对接源_01水果!$B577=""),0,IF(OR(N(对接源_01水果!$B577)&lt;$L$2,N(对接源_01水果!$B577)&gt;$L$3),0,1))</f>
        <v>0</v>
      </c>
      <c r="M577" s="3">
        <f>IF(OR($M$1="",对接源_01水果!$C577="",对接源_01水果!$C577&lt;&gt;$M$1,对接源_01水果!$B577=""),0,IF(OR(N(对接源_01水果!$B577)&lt;$M$2,N(对接源_01水果!$B577)&gt;$M$3),0,1))</f>
        <v>0</v>
      </c>
      <c r="N577" s="3">
        <f>IF(OR($N$1="",对接源_01水果!$C577="",对接源_01水果!$C577&lt;&gt;$N$1,对接源_01水果!$B577=""),0,IF(OR(N(对接源_01水果!$B577)&lt;$N$2,N(对接源_01水果!$B577)&gt;$N$3),0,1))</f>
        <v>0</v>
      </c>
      <c r="P577" s="3">
        <f>IF(AND($K577=1,AND(对接源_01水果!$X577="公司筐",N(对接源_01水果!$T577)&lt;&gt;0)),1,0)</f>
        <v>0</v>
      </c>
      <c r="Q577" s="3">
        <f t="shared" si="147"/>
        <v>0</v>
      </c>
      <c r="R577" s="3">
        <f>IF(AND($K577=1,AND(对接源_01水果!$X577="公司筐",N(对接源_01水果!$U577)&lt;&gt;0)),1,0)</f>
        <v>0</v>
      </c>
      <c r="S577" s="3">
        <f t="shared" si="148"/>
        <v>0</v>
      </c>
      <c r="T577" s="3">
        <f>IF(AND($K577=1,AND(对接源_01水果!$X577="公司筐",N(对接源_01水果!$V577)&lt;&gt;0)),1,0)</f>
        <v>0</v>
      </c>
      <c r="U577" s="3">
        <f t="shared" si="149"/>
        <v>19</v>
      </c>
      <c r="V577" s="3">
        <f>IF(AND($L577=1,AND(对接源_01水果!$X577="自备筐",N(对接源_01水果!$V577)&lt;&gt;0)),1,0)</f>
        <v>0</v>
      </c>
      <c r="W577" s="3">
        <f t="shared" si="150"/>
        <v>8</v>
      </c>
      <c r="X577" s="3">
        <f>IF(AND($L577=1,AND(对接源_01水果!$X577="自备筐",N(对接源_01水果!$T577)&lt;&gt;0)),1,0)</f>
        <v>0</v>
      </c>
      <c r="Y577" s="3">
        <f t="shared" si="151"/>
        <v>0</v>
      </c>
      <c r="Z577" s="3">
        <f>IF(AND($M577=1,对接源_01水果!$D577="原料入库"),1,0)</f>
        <v>0</v>
      </c>
      <c r="AA577" s="3">
        <f t="shared" si="152"/>
        <v>24</v>
      </c>
      <c r="AB577" s="3">
        <f>IF(AND($M577=1,LEFT(对接源_01水果!$D577,4)="原料出库"),1,0)</f>
        <v>0</v>
      </c>
      <c r="AC577" s="3">
        <f t="shared" si="153"/>
        <v>0</v>
      </c>
      <c r="AD577" s="3">
        <f>IF(AND($M577=1,LEFT(对接源_01水果!$D577,4)="成品出库"),1,0)</f>
        <v>0</v>
      </c>
      <c r="AE577" s="3">
        <f t="shared" si="154"/>
        <v>0</v>
      </c>
      <c r="AF577" s="3">
        <f>IF(AND($N577=1,AND(LEFT(对接源_01水果!$D577,4)="包装物料",N(对接源_01水果!$K577)&lt;&gt;0)),1,0)</f>
        <v>0</v>
      </c>
      <c r="AG577" s="3">
        <f t="shared" si="155"/>
        <v>0</v>
      </c>
      <c r="AH577" s="3">
        <f>IF(AND($N577=1,AND(对接源_01水果!$D577="周转筐－销售出库",N(对接源_01水果!$K577)&lt;&gt;0)),1,0)</f>
        <v>0</v>
      </c>
      <c r="AI577" s="3">
        <f t="shared" si="156"/>
        <v>0</v>
      </c>
      <c r="AJ577" s="7"/>
      <c r="AL577" s="3">
        <f>IF(OR($AL$1="",对接源_01水果!$Y577="",对接源_01水果!$Y577&lt;&gt;$AL$1,对接源_01水果!$B577="",N(对接源_01水果!$AJ577)&lt;=0),0,IF(OR(N(对接源_01水果!$B577)&lt;$AL$2,N(对接源_01水果!$B577)&gt;$AL$3),0,1))</f>
        <v>0</v>
      </c>
      <c r="AM577" s="3">
        <f t="shared" si="157"/>
        <v>1</v>
      </c>
      <c r="AN577" s="3" t="str">
        <f>IF(对接源_01水果!$AC577="","",对接源_01水果!$AC577)</f>
        <v/>
      </c>
      <c r="AO577" s="3">
        <f t="shared" si="158"/>
        <v>0</v>
      </c>
      <c r="AP577" s="3">
        <f t="shared" si="159"/>
        <v>8</v>
      </c>
      <c r="AR577">
        <f t="shared" si="160"/>
        <v>0</v>
      </c>
      <c r="AS577">
        <f t="shared" si="161"/>
        <v>0</v>
      </c>
    </row>
    <row r="578" ht="14.25" customHeight="1" spans="1:45">
      <c r="A578" s="3" t="str">
        <f>IF(对接源_01水果!$C578="","",对接源_01水果!$C578)</f>
        <v/>
      </c>
      <c r="B578" s="3">
        <f t="shared" si="145"/>
        <v>0</v>
      </c>
      <c r="C578" s="3">
        <f t="shared" si="146"/>
        <v>18</v>
      </c>
      <c r="K578" s="3">
        <f>IF(OR($K$1="",对接源_01水果!$C578="",对接源_01水果!$C578&lt;&gt;$K$1,对接源_01水果!$B578=""),0,IF(OR(N(对接源_01水果!$B578)&lt;$K$2,N(对接源_01水果!$B578)&gt;$K$3),0,1))</f>
        <v>0</v>
      </c>
      <c r="L578" s="3">
        <f>IF(OR($L$1="",对接源_01水果!$C578="",对接源_01水果!$C578&lt;&gt;$L$1,对接源_01水果!$B578=""),0,IF(OR(N(对接源_01水果!$B578)&lt;$L$2,N(对接源_01水果!$B578)&gt;$L$3),0,1))</f>
        <v>0</v>
      </c>
      <c r="M578" s="3">
        <f>IF(OR($M$1="",对接源_01水果!$C578="",对接源_01水果!$C578&lt;&gt;$M$1,对接源_01水果!$B578=""),0,IF(OR(N(对接源_01水果!$B578)&lt;$M$2,N(对接源_01水果!$B578)&gt;$M$3),0,1))</f>
        <v>0</v>
      </c>
      <c r="N578" s="3">
        <f>IF(OR($N$1="",对接源_01水果!$C578="",对接源_01水果!$C578&lt;&gt;$N$1,对接源_01水果!$B578=""),0,IF(OR(N(对接源_01水果!$B578)&lt;$N$2,N(对接源_01水果!$B578)&gt;$N$3),0,1))</f>
        <v>0</v>
      </c>
      <c r="P578" s="3">
        <f>IF(AND($K578=1,AND(对接源_01水果!$X578="公司筐",N(对接源_01水果!$T578)&lt;&gt;0)),1,0)</f>
        <v>0</v>
      </c>
      <c r="Q578" s="3">
        <f t="shared" si="147"/>
        <v>0</v>
      </c>
      <c r="R578" s="3">
        <f>IF(AND($K578=1,AND(对接源_01水果!$X578="公司筐",N(对接源_01水果!$U578)&lt;&gt;0)),1,0)</f>
        <v>0</v>
      </c>
      <c r="S578" s="3">
        <f t="shared" si="148"/>
        <v>0</v>
      </c>
      <c r="T578" s="3">
        <f>IF(AND($K578=1,AND(对接源_01水果!$X578="公司筐",N(对接源_01水果!$V578)&lt;&gt;0)),1,0)</f>
        <v>0</v>
      </c>
      <c r="U578" s="3">
        <f t="shared" si="149"/>
        <v>19</v>
      </c>
      <c r="V578" s="3">
        <f>IF(AND($L578=1,AND(对接源_01水果!$X578="自备筐",N(对接源_01水果!$V578)&lt;&gt;0)),1,0)</f>
        <v>0</v>
      </c>
      <c r="W578" s="3">
        <f t="shared" si="150"/>
        <v>8</v>
      </c>
      <c r="X578" s="3">
        <f>IF(AND($L578=1,AND(对接源_01水果!$X578="自备筐",N(对接源_01水果!$T578)&lt;&gt;0)),1,0)</f>
        <v>0</v>
      </c>
      <c r="Y578" s="3">
        <f t="shared" si="151"/>
        <v>0</v>
      </c>
      <c r="Z578" s="3">
        <f>IF(AND($M578=1,对接源_01水果!$D578="原料入库"),1,0)</f>
        <v>0</v>
      </c>
      <c r="AA578" s="3">
        <f t="shared" si="152"/>
        <v>24</v>
      </c>
      <c r="AB578" s="3">
        <f>IF(AND($M578=1,LEFT(对接源_01水果!$D578,4)="原料出库"),1,0)</f>
        <v>0</v>
      </c>
      <c r="AC578" s="3">
        <f t="shared" si="153"/>
        <v>0</v>
      </c>
      <c r="AD578" s="3">
        <f>IF(AND($M578=1,LEFT(对接源_01水果!$D578,4)="成品出库"),1,0)</f>
        <v>0</v>
      </c>
      <c r="AE578" s="3">
        <f t="shared" si="154"/>
        <v>0</v>
      </c>
      <c r="AF578" s="3">
        <f>IF(AND($N578=1,AND(LEFT(对接源_01水果!$D578,4)="包装物料",N(对接源_01水果!$K578)&lt;&gt;0)),1,0)</f>
        <v>0</v>
      </c>
      <c r="AG578" s="3">
        <f t="shared" si="155"/>
        <v>0</v>
      </c>
      <c r="AH578" s="3">
        <f>IF(AND($N578=1,AND(对接源_01水果!$D578="周转筐－销售出库",N(对接源_01水果!$K578)&lt;&gt;0)),1,0)</f>
        <v>0</v>
      </c>
      <c r="AI578" s="3">
        <f t="shared" si="156"/>
        <v>0</v>
      </c>
      <c r="AJ578" s="7"/>
      <c r="AL578" s="3">
        <f>IF(OR($AL$1="",对接源_01水果!$Y578="",对接源_01水果!$Y578&lt;&gt;$AL$1,对接源_01水果!$B578="",N(对接源_01水果!$AJ578)&lt;=0),0,IF(OR(N(对接源_01水果!$B578)&lt;$AL$2,N(对接源_01水果!$B578)&gt;$AL$3),0,1))</f>
        <v>0</v>
      </c>
      <c r="AM578" s="3">
        <f t="shared" si="157"/>
        <v>1</v>
      </c>
      <c r="AN578" s="3" t="str">
        <f>IF(对接源_01水果!$AC578="","",对接源_01水果!$AC578)</f>
        <v/>
      </c>
      <c r="AO578" s="3">
        <f t="shared" si="158"/>
        <v>0</v>
      </c>
      <c r="AP578" s="3">
        <f t="shared" si="159"/>
        <v>8</v>
      </c>
      <c r="AR578">
        <f t="shared" si="160"/>
        <v>0</v>
      </c>
      <c r="AS578">
        <f t="shared" si="161"/>
        <v>0</v>
      </c>
    </row>
    <row r="579" ht="14.25" customHeight="1" spans="1:45">
      <c r="A579" s="3" t="str">
        <f>IF(对接源_01水果!$C579="","",对接源_01水果!$C579)</f>
        <v/>
      </c>
      <c r="B579" s="3">
        <f t="shared" si="145"/>
        <v>0</v>
      </c>
      <c r="C579" s="3">
        <f t="shared" si="146"/>
        <v>18</v>
      </c>
      <c r="K579" s="3">
        <f>IF(OR($K$1="",对接源_01水果!$C579="",对接源_01水果!$C579&lt;&gt;$K$1,对接源_01水果!$B579=""),0,IF(OR(N(对接源_01水果!$B579)&lt;$K$2,N(对接源_01水果!$B579)&gt;$K$3),0,1))</f>
        <v>0</v>
      </c>
      <c r="L579" s="3">
        <f>IF(OR($L$1="",对接源_01水果!$C579="",对接源_01水果!$C579&lt;&gt;$L$1,对接源_01水果!$B579=""),0,IF(OR(N(对接源_01水果!$B579)&lt;$L$2,N(对接源_01水果!$B579)&gt;$L$3),0,1))</f>
        <v>0</v>
      </c>
      <c r="M579" s="3">
        <f>IF(OR($M$1="",对接源_01水果!$C579="",对接源_01水果!$C579&lt;&gt;$M$1,对接源_01水果!$B579=""),0,IF(OR(N(对接源_01水果!$B579)&lt;$M$2,N(对接源_01水果!$B579)&gt;$M$3),0,1))</f>
        <v>0</v>
      </c>
      <c r="N579" s="3">
        <f>IF(OR($N$1="",对接源_01水果!$C579="",对接源_01水果!$C579&lt;&gt;$N$1,对接源_01水果!$B579=""),0,IF(OR(N(对接源_01水果!$B579)&lt;$N$2,N(对接源_01水果!$B579)&gt;$N$3),0,1))</f>
        <v>0</v>
      </c>
      <c r="P579" s="3">
        <f>IF(AND($K579=1,AND(对接源_01水果!$X579="公司筐",N(对接源_01水果!$T579)&lt;&gt;0)),1,0)</f>
        <v>0</v>
      </c>
      <c r="Q579" s="3">
        <f t="shared" si="147"/>
        <v>0</v>
      </c>
      <c r="R579" s="3">
        <f>IF(AND($K579=1,AND(对接源_01水果!$X579="公司筐",N(对接源_01水果!$U579)&lt;&gt;0)),1,0)</f>
        <v>0</v>
      </c>
      <c r="S579" s="3">
        <f t="shared" si="148"/>
        <v>0</v>
      </c>
      <c r="T579" s="3">
        <f>IF(AND($K579=1,AND(对接源_01水果!$X579="公司筐",N(对接源_01水果!$V579)&lt;&gt;0)),1,0)</f>
        <v>0</v>
      </c>
      <c r="U579" s="3">
        <f t="shared" si="149"/>
        <v>19</v>
      </c>
      <c r="V579" s="3">
        <f>IF(AND($L579=1,AND(对接源_01水果!$X579="自备筐",N(对接源_01水果!$V579)&lt;&gt;0)),1,0)</f>
        <v>0</v>
      </c>
      <c r="W579" s="3">
        <f t="shared" si="150"/>
        <v>8</v>
      </c>
      <c r="X579" s="3">
        <f>IF(AND($L579=1,AND(对接源_01水果!$X579="自备筐",N(对接源_01水果!$T579)&lt;&gt;0)),1,0)</f>
        <v>0</v>
      </c>
      <c r="Y579" s="3">
        <f t="shared" si="151"/>
        <v>0</v>
      </c>
      <c r="Z579" s="3">
        <f>IF(AND($M579=1,对接源_01水果!$D579="原料入库"),1,0)</f>
        <v>0</v>
      </c>
      <c r="AA579" s="3">
        <f t="shared" si="152"/>
        <v>24</v>
      </c>
      <c r="AB579" s="3">
        <f>IF(AND($M579=1,LEFT(对接源_01水果!$D579,4)="原料出库"),1,0)</f>
        <v>0</v>
      </c>
      <c r="AC579" s="3">
        <f t="shared" si="153"/>
        <v>0</v>
      </c>
      <c r="AD579" s="3">
        <f>IF(AND($M579=1,LEFT(对接源_01水果!$D579,4)="成品出库"),1,0)</f>
        <v>0</v>
      </c>
      <c r="AE579" s="3">
        <f t="shared" si="154"/>
        <v>0</v>
      </c>
      <c r="AF579" s="3">
        <f>IF(AND($N579=1,AND(LEFT(对接源_01水果!$D579,4)="包装物料",N(对接源_01水果!$K579)&lt;&gt;0)),1,0)</f>
        <v>0</v>
      </c>
      <c r="AG579" s="3">
        <f t="shared" si="155"/>
        <v>0</v>
      </c>
      <c r="AH579" s="3">
        <f>IF(AND($N579=1,AND(对接源_01水果!$D579="周转筐－销售出库",N(对接源_01水果!$K579)&lt;&gt;0)),1,0)</f>
        <v>0</v>
      </c>
      <c r="AI579" s="3">
        <f t="shared" si="156"/>
        <v>0</v>
      </c>
      <c r="AJ579" s="7"/>
      <c r="AL579" s="3">
        <f>IF(OR($AL$1="",对接源_01水果!$Y579="",对接源_01水果!$Y579&lt;&gt;$AL$1,对接源_01水果!$B579="",N(对接源_01水果!$AJ579)&lt;=0),0,IF(OR(N(对接源_01水果!$B579)&lt;$AL$2,N(对接源_01水果!$B579)&gt;$AL$3),0,1))</f>
        <v>0</v>
      </c>
      <c r="AM579" s="3">
        <f t="shared" si="157"/>
        <v>1</v>
      </c>
      <c r="AN579" s="3" t="str">
        <f>IF(对接源_01水果!$AC579="","",对接源_01水果!$AC579)</f>
        <v/>
      </c>
      <c r="AO579" s="3">
        <f t="shared" si="158"/>
        <v>0</v>
      </c>
      <c r="AP579" s="3">
        <f t="shared" si="159"/>
        <v>8</v>
      </c>
      <c r="AR579">
        <f t="shared" si="160"/>
        <v>0</v>
      </c>
      <c r="AS579">
        <f t="shared" si="161"/>
        <v>0</v>
      </c>
    </row>
    <row r="580" ht="14.25" customHeight="1" spans="1:45">
      <c r="A580" s="3" t="str">
        <f>IF(对接源_01水果!$C580="","",对接源_01水果!$C580)</f>
        <v/>
      </c>
      <c r="B580" s="3">
        <f t="shared" ref="B580:B643" si="162">IF(A580="",0,IF(MATCH(A580,$A$4:$A$2403,0)=ROW()-3,1,0))</f>
        <v>0</v>
      </c>
      <c r="C580" s="3">
        <f t="shared" ref="C580:C643" si="163">N(C579)+B580</f>
        <v>18</v>
      </c>
      <c r="K580" s="3">
        <f>IF(OR($K$1="",对接源_01水果!$C580="",对接源_01水果!$C580&lt;&gt;$K$1,对接源_01水果!$B580=""),0,IF(OR(N(对接源_01水果!$B580)&lt;$K$2,N(对接源_01水果!$B580)&gt;$K$3),0,1))</f>
        <v>0</v>
      </c>
      <c r="L580" s="3">
        <f>IF(OR($L$1="",对接源_01水果!$C580="",对接源_01水果!$C580&lt;&gt;$L$1,对接源_01水果!$B580=""),0,IF(OR(N(对接源_01水果!$B580)&lt;$L$2,N(对接源_01水果!$B580)&gt;$L$3),0,1))</f>
        <v>0</v>
      </c>
      <c r="M580" s="3">
        <f>IF(OR($M$1="",对接源_01水果!$C580="",对接源_01水果!$C580&lt;&gt;$M$1,对接源_01水果!$B580=""),0,IF(OR(N(对接源_01水果!$B580)&lt;$M$2,N(对接源_01水果!$B580)&gt;$M$3),0,1))</f>
        <v>0</v>
      </c>
      <c r="N580" s="3">
        <f>IF(OR($N$1="",对接源_01水果!$C580="",对接源_01水果!$C580&lt;&gt;$N$1,对接源_01水果!$B580=""),0,IF(OR(N(对接源_01水果!$B580)&lt;$N$2,N(对接源_01水果!$B580)&gt;$N$3),0,1))</f>
        <v>0</v>
      </c>
      <c r="P580" s="3">
        <f>IF(AND($K580=1,AND(对接源_01水果!$X580="公司筐",N(对接源_01水果!$T580)&lt;&gt;0)),1,0)</f>
        <v>0</v>
      </c>
      <c r="Q580" s="3">
        <f t="shared" ref="Q580:Q643" si="164">N(Q579)+$P580</f>
        <v>0</v>
      </c>
      <c r="R580" s="3">
        <f>IF(AND($K580=1,AND(对接源_01水果!$X580="公司筐",N(对接源_01水果!$U580)&lt;&gt;0)),1,0)</f>
        <v>0</v>
      </c>
      <c r="S580" s="3">
        <f t="shared" ref="S580:S643" si="165">N(S579)+$R580</f>
        <v>0</v>
      </c>
      <c r="T580" s="3">
        <f>IF(AND($K580=1,AND(对接源_01水果!$X580="公司筐",N(对接源_01水果!$V580)&lt;&gt;0)),1,0)</f>
        <v>0</v>
      </c>
      <c r="U580" s="3">
        <f t="shared" ref="U580:U643" si="166">N(U579)+$T580</f>
        <v>19</v>
      </c>
      <c r="V580" s="3">
        <f>IF(AND($L580=1,AND(对接源_01水果!$X580="自备筐",N(对接源_01水果!$V580)&lt;&gt;0)),1,0)</f>
        <v>0</v>
      </c>
      <c r="W580" s="3">
        <f t="shared" ref="W580:W643" si="167">N(W579)+$V580</f>
        <v>8</v>
      </c>
      <c r="X580" s="3">
        <f>IF(AND($L580=1,AND(对接源_01水果!$X580="自备筐",N(对接源_01水果!$T580)&lt;&gt;0)),1,0)</f>
        <v>0</v>
      </c>
      <c r="Y580" s="3">
        <f t="shared" ref="Y580:Y643" si="168">N(Y579)+$X580</f>
        <v>0</v>
      </c>
      <c r="Z580" s="3">
        <f>IF(AND($M580=1,对接源_01水果!$D580="原料入库"),1,0)</f>
        <v>0</v>
      </c>
      <c r="AA580" s="3">
        <f t="shared" ref="AA580:AA643" si="169">N(AA579)+$Z580</f>
        <v>24</v>
      </c>
      <c r="AB580" s="3">
        <f>IF(AND($M580=1,LEFT(对接源_01水果!$D580,4)="原料出库"),1,0)</f>
        <v>0</v>
      </c>
      <c r="AC580" s="3">
        <f t="shared" ref="AC580:AC643" si="170">N(AC579)+$AB580</f>
        <v>0</v>
      </c>
      <c r="AD580" s="3">
        <f>IF(AND($M580=1,LEFT(对接源_01水果!$D580,4)="成品出库"),1,0)</f>
        <v>0</v>
      </c>
      <c r="AE580" s="3">
        <f t="shared" ref="AE580:AE643" si="171">N(AE579)+$AD580</f>
        <v>0</v>
      </c>
      <c r="AF580" s="3">
        <f>IF(AND($N580=1,AND(LEFT(对接源_01水果!$D580,4)="包装物料",N(对接源_01水果!$K580)&lt;&gt;0)),1,0)</f>
        <v>0</v>
      </c>
      <c r="AG580" s="3">
        <f t="shared" ref="AG580:AG643" si="172">N(AG579)+$AF580</f>
        <v>0</v>
      </c>
      <c r="AH580" s="3">
        <f>IF(AND($N580=1,AND(对接源_01水果!$D580="周转筐－销售出库",N(对接源_01水果!$K580)&lt;&gt;0)),1,0)</f>
        <v>0</v>
      </c>
      <c r="AI580" s="3">
        <f t="shared" ref="AI580:AI643" si="173">N(AI579)+$AH580</f>
        <v>0</v>
      </c>
      <c r="AJ580" s="7"/>
      <c r="AL580" s="3">
        <f>IF(OR($AL$1="",对接源_01水果!$Y580="",对接源_01水果!$Y580&lt;&gt;$AL$1,对接源_01水果!$B580="",N(对接源_01水果!$AJ580)&lt;=0),0,IF(OR(N(对接源_01水果!$B580)&lt;$AL$2,N(对接源_01水果!$B580)&gt;$AL$3),0,1))</f>
        <v>0</v>
      </c>
      <c r="AM580" s="3">
        <f t="shared" ref="AM580:AM643" si="174">N(AM579)+$AL580</f>
        <v>1</v>
      </c>
      <c r="AN580" s="3" t="str">
        <f>IF(对接源_01水果!$AC580="","",对接源_01水果!$AC580)</f>
        <v/>
      </c>
      <c r="AO580" s="3">
        <f t="shared" ref="AO580:AO643" si="175">IF(AN580="",0,IF(MATCH(AN580,$AN$4:$AN$1203,0)=ROW()-3,1,0))</f>
        <v>0</v>
      </c>
      <c r="AP580" s="3">
        <f t="shared" ref="AP580:AP643" si="176">N(AP579)+$AO580</f>
        <v>8</v>
      </c>
      <c r="AR580">
        <f t="shared" ref="AR580:AR643" si="177">IF(OR($AF580=1,$AH580=1),1,0)</f>
        <v>0</v>
      </c>
      <c r="AS580">
        <f t="shared" ref="AS580:AS643" si="178">N(AS579)+$AR580</f>
        <v>0</v>
      </c>
    </row>
    <row r="581" ht="14.25" customHeight="1" spans="1:45">
      <c r="A581" s="3" t="str">
        <f>IF(对接源_01水果!$C581="","",对接源_01水果!$C581)</f>
        <v/>
      </c>
      <c r="B581" s="3">
        <f t="shared" si="162"/>
        <v>0</v>
      </c>
      <c r="C581" s="3">
        <f t="shared" si="163"/>
        <v>18</v>
      </c>
      <c r="K581" s="3">
        <f>IF(OR($K$1="",对接源_01水果!$C581="",对接源_01水果!$C581&lt;&gt;$K$1,对接源_01水果!$B581=""),0,IF(OR(N(对接源_01水果!$B581)&lt;$K$2,N(对接源_01水果!$B581)&gt;$K$3),0,1))</f>
        <v>0</v>
      </c>
      <c r="L581" s="3">
        <f>IF(OR($L$1="",对接源_01水果!$C581="",对接源_01水果!$C581&lt;&gt;$L$1,对接源_01水果!$B581=""),0,IF(OR(N(对接源_01水果!$B581)&lt;$L$2,N(对接源_01水果!$B581)&gt;$L$3),0,1))</f>
        <v>0</v>
      </c>
      <c r="M581" s="3">
        <f>IF(OR($M$1="",对接源_01水果!$C581="",对接源_01水果!$C581&lt;&gt;$M$1,对接源_01水果!$B581=""),0,IF(OR(N(对接源_01水果!$B581)&lt;$M$2,N(对接源_01水果!$B581)&gt;$M$3),0,1))</f>
        <v>0</v>
      </c>
      <c r="N581" s="3">
        <f>IF(OR($N$1="",对接源_01水果!$C581="",对接源_01水果!$C581&lt;&gt;$N$1,对接源_01水果!$B581=""),0,IF(OR(N(对接源_01水果!$B581)&lt;$N$2,N(对接源_01水果!$B581)&gt;$N$3),0,1))</f>
        <v>0</v>
      </c>
      <c r="P581" s="3">
        <f>IF(AND($K581=1,AND(对接源_01水果!$X581="公司筐",N(对接源_01水果!$T581)&lt;&gt;0)),1,0)</f>
        <v>0</v>
      </c>
      <c r="Q581" s="3">
        <f t="shared" si="164"/>
        <v>0</v>
      </c>
      <c r="R581" s="3">
        <f>IF(AND($K581=1,AND(对接源_01水果!$X581="公司筐",N(对接源_01水果!$U581)&lt;&gt;0)),1,0)</f>
        <v>0</v>
      </c>
      <c r="S581" s="3">
        <f t="shared" si="165"/>
        <v>0</v>
      </c>
      <c r="T581" s="3">
        <f>IF(AND($K581=1,AND(对接源_01水果!$X581="公司筐",N(对接源_01水果!$V581)&lt;&gt;0)),1,0)</f>
        <v>0</v>
      </c>
      <c r="U581" s="3">
        <f t="shared" si="166"/>
        <v>19</v>
      </c>
      <c r="V581" s="3">
        <f>IF(AND($L581=1,AND(对接源_01水果!$X581="自备筐",N(对接源_01水果!$V581)&lt;&gt;0)),1,0)</f>
        <v>0</v>
      </c>
      <c r="W581" s="3">
        <f t="shared" si="167"/>
        <v>8</v>
      </c>
      <c r="X581" s="3">
        <f>IF(AND($L581=1,AND(对接源_01水果!$X581="自备筐",N(对接源_01水果!$T581)&lt;&gt;0)),1,0)</f>
        <v>0</v>
      </c>
      <c r="Y581" s="3">
        <f t="shared" si="168"/>
        <v>0</v>
      </c>
      <c r="Z581" s="3">
        <f>IF(AND($M581=1,对接源_01水果!$D581="原料入库"),1,0)</f>
        <v>0</v>
      </c>
      <c r="AA581" s="3">
        <f t="shared" si="169"/>
        <v>24</v>
      </c>
      <c r="AB581" s="3">
        <f>IF(AND($M581=1,LEFT(对接源_01水果!$D581,4)="原料出库"),1,0)</f>
        <v>0</v>
      </c>
      <c r="AC581" s="3">
        <f t="shared" si="170"/>
        <v>0</v>
      </c>
      <c r="AD581" s="3">
        <f>IF(AND($M581=1,LEFT(对接源_01水果!$D581,4)="成品出库"),1,0)</f>
        <v>0</v>
      </c>
      <c r="AE581" s="3">
        <f t="shared" si="171"/>
        <v>0</v>
      </c>
      <c r="AF581" s="3">
        <f>IF(AND($N581=1,AND(LEFT(对接源_01水果!$D581,4)="包装物料",N(对接源_01水果!$K581)&lt;&gt;0)),1,0)</f>
        <v>0</v>
      </c>
      <c r="AG581" s="3">
        <f t="shared" si="172"/>
        <v>0</v>
      </c>
      <c r="AH581" s="3">
        <f>IF(AND($N581=1,AND(对接源_01水果!$D581="周转筐－销售出库",N(对接源_01水果!$K581)&lt;&gt;0)),1,0)</f>
        <v>0</v>
      </c>
      <c r="AI581" s="3">
        <f t="shared" si="173"/>
        <v>0</v>
      </c>
      <c r="AJ581" s="7"/>
      <c r="AL581" s="3">
        <f>IF(OR($AL$1="",对接源_01水果!$Y581="",对接源_01水果!$Y581&lt;&gt;$AL$1,对接源_01水果!$B581="",N(对接源_01水果!$AJ581)&lt;=0),0,IF(OR(N(对接源_01水果!$B581)&lt;$AL$2,N(对接源_01水果!$B581)&gt;$AL$3),0,1))</f>
        <v>0</v>
      </c>
      <c r="AM581" s="3">
        <f t="shared" si="174"/>
        <v>1</v>
      </c>
      <c r="AN581" s="3" t="str">
        <f>IF(对接源_01水果!$AC581="","",对接源_01水果!$AC581)</f>
        <v/>
      </c>
      <c r="AO581" s="3">
        <f t="shared" si="175"/>
        <v>0</v>
      </c>
      <c r="AP581" s="3">
        <f t="shared" si="176"/>
        <v>8</v>
      </c>
      <c r="AR581">
        <f t="shared" si="177"/>
        <v>0</v>
      </c>
      <c r="AS581">
        <f t="shared" si="178"/>
        <v>0</v>
      </c>
    </row>
    <row r="582" ht="14.25" customHeight="1" spans="1:45">
      <c r="A582" s="3" t="str">
        <f>IF(对接源_01水果!$C582="","",对接源_01水果!$C582)</f>
        <v/>
      </c>
      <c r="B582" s="3">
        <f t="shared" si="162"/>
        <v>0</v>
      </c>
      <c r="C582" s="3">
        <f t="shared" si="163"/>
        <v>18</v>
      </c>
      <c r="K582" s="3">
        <f>IF(OR($K$1="",对接源_01水果!$C582="",对接源_01水果!$C582&lt;&gt;$K$1,对接源_01水果!$B582=""),0,IF(OR(N(对接源_01水果!$B582)&lt;$K$2,N(对接源_01水果!$B582)&gt;$K$3),0,1))</f>
        <v>0</v>
      </c>
      <c r="L582" s="3">
        <f>IF(OR($L$1="",对接源_01水果!$C582="",对接源_01水果!$C582&lt;&gt;$L$1,对接源_01水果!$B582=""),0,IF(OR(N(对接源_01水果!$B582)&lt;$L$2,N(对接源_01水果!$B582)&gt;$L$3),0,1))</f>
        <v>0</v>
      </c>
      <c r="M582" s="3">
        <f>IF(OR($M$1="",对接源_01水果!$C582="",对接源_01水果!$C582&lt;&gt;$M$1,对接源_01水果!$B582=""),0,IF(OR(N(对接源_01水果!$B582)&lt;$M$2,N(对接源_01水果!$B582)&gt;$M$3),0,1))</f>
        <v>0</v>
      </c>
      <c r="N582" s="3">
        <f>IF(OR($N$1="",对接源_01水果!$C582="",对接源_01水果!$C582&lt;&gt;$N$1,对接源_01水果!$B582=""),0,IF(OR(N(对接源_01水果!$B582)&lt;$N$2,N(对接源_01水果!$B582)&gt;$N$3),0,1))</f>
        <v>0</v>
      </c>
      <c r="P582" s="3">
        <f>IF(AND($K582=1,AND(对接源_01水果!$X582="公司筐",N(对接源_01水果!$T582)&lt;&gt;0)),1,0)</f>
        <v>0</v>
      </c>
      <c r="Q582" s="3">
        <f t="shared" si="164"/>
        <v>0</v>
      </c>
      <c r="R582" s="3">
        <f>IF(AND($K582=1,AND(对接源_01水果!$X582="公司筐",N(对接源_01水果!$U582)&lt;&gt;0)),1,0)</f>
        <v>0</v>
      </c>
      <c r="S582" s="3">
        <f t="shared" si="165"/>
        <v>0</v>
      </c>
      <c r="T582" s="3">
        <f>IF(AND($K582=1,AND(对接源_01水果!$X582="公司筐",N(对接源_01水果!$V582)&lt;&gt;0)),1,0)</f>
        <v>0</v>
      </c>
      <c r="U582" s="3">
        <f t="shared" si="166"/>
        <v>19</v>
      </c>
      <c r="V582" s="3">
        <f>IF(AND($L582=1,AND(对接源_01水果!$X582="自备筐",N(对接源_01水果!$V582)&lt;&gt;0)),1,0)</f>
        <v>0</v>
      </c>
      <c r="W582" s="3">
        <f t="shared" si="167"/>
        <v>8</v>
      </c>
      <c r="X582" s="3">
        <f>IF(AND($L582=1,AND(对接源_01水果!$X582="自备筐",N(对接源_01水果!$T582)&lt;&gt;0)),1,0)</f>
        <v>0</v>
      </c>
      <c r="Y582" s="3">
        <f t="shared" si="168"/>
        <v>0</v>
      </c>
      <c r="Z582" s="3">
        <f>IF(AND($M582=1,对接源_01水果!$D582="原料入库"),1,0)</f>
        <v>0</v>
      </c>
      <c r="AA582" s="3">
        <f t="shared" si="169"/>
        <v>24</v>
      </c>
      <c r="AB582" s="3">
        <f>IF(AND($M582=1,LEFT(对接源_01水果!$D582,4)="原料出库"),1,0)</f>
        <v>0</v>
      </c>
      <c r="AC582" s="3">
        <f t="shared" si="170"/>
        <v>0</v>
      </c>
      <c r="AD582" s="3">
        <f>IF(AND($M582=1,LEFT(对接源_01水果!$D582,4)="成品出库"),1,0)</f>
        <v>0</v>
      </c>
      <c r="AE582" s="3">
        <f t="shared" si="171"/>
        <v>0</v>
      </c>
      <c r="AF582" s="3">
        <f>IF(AND($N582=1,AND(LEFT(对接源_01水果!$D582,4)="包装物料",N(对接源_01水果!$K582)&lt;&gt;0)),1,0)</f>
        <v>0</v>
      </c>
      <c r="AG582" s="3">
        <f t="shared" si="172"/>
        <v>0</v>
      </c>
      <c r="AH582" s="3">
        <f>IF(AND($N582=1,AND(对接源_01水果!$D582="周转筐－销售出库",N(对接源_01水果!$K582)&lt;&gt;0)),1,0)</f>
        <v>0</v>
      </c>
      <c r="AI582" s="3">
        <f t="shared" si="173"/>
        <v>0</v>
      </c>
      <c r="AJ582" s="7"/>
      <c r="AL582" s="3">
        <f>IF(OR($AL$1="",对接源_01水果!$Y582="",对接源_01水果!$Y582&lt;&gt;$AL$1,对接源_01水果!$B582="",N(对接源_01水果!$AJ582)&lt;=0),0,IF(OR(N(对接源_01水果!$B582)&lt;$AL$2,N(对接源_01水果!$B582)&gt;$AL$3),0,1))</f>
        <v>0</v>
      </c>
      <c r="AM582" s="3">
        <f t="shared" si="174"/>
        <v>1</v>
      </c>
      <c r="AN582" s="3" t="str">
        <f>IF(对接源_01水果!$AC582="","",对接源_01水果!$AC582)</f>
        <v/>
      </c>
      <c r="AO582" s="3">
        <f t="shared" si="175"/>
        <v>0</v>
      </c>
      <c r="AP582" s="3">
        <f t="shared" si="176"/>
        <v>8</v>
      </c>
      <c r="AR582">
        <f t="shared" si="177"/>
        <v>0</v>
      </c>
      <c r="AS582">
        <f t="shared" si="178"/>
        <v>0</v>
      </c>
    </row>
    <row r="583" ht="14.25" customHeight="1" spans="1:45">
      <c r="A583" s="3" t="str">
        <f>IF(对接源_01水果!$C583="","",对接源_01水果!$C583)</f>
        <v/>
      </c>
      <c r="B583" s="3">
        <f t="shared" si="162"/>
        <v>0</v>
      </c>
      <c r="C583" s="3">
        <f t="shared" si="163"/>
        <v>18</v>
      </c>
      <c r="K583" s="3">
        <f>IF(OR($K$1="",对接源_01水果!$C583="",对接源_01水果!$C583&lt;&gt;$K$1,对接源_01水果!$B583=""),0,IF(OR(N(对接源_01水果!$B583)&lt;$K$2,N(对接源_01水果!$B583)&gt;$K$3),0,1))</f>
        <v>0</v>
      </c>
      <c r="L583" s="3">
        <f>IF(OR($L$1="",对接源_01水果!$C583="",对接源_01水果!$C583&lt;&gt;$L$1,对接源_01水果!$B583=""),0,IF(OR(N(对接源_01水果!$B583)&lt;$L$2,N(对接源_01水果!$B583)&gt;$L$3),0,1))</f>
        <v>0</v>
      </c>
      <c r="M583" s="3">
        <f>IF(OR($M$1="",对接源_01水果!$C583="",对接源_01水果!$C583&lt;&gt;$M$1,对接源_01水果!$B583=""),0,IF(OR(N(对接源_01水果!$B583)&lt;$M$2,N(对接源_01水果!$B583)&gt;$M$3),0,1))</f>
        <v>0</v>
      </c>
      <c r="N583" s="3">
        <f>IF(OR($N$1="",对接源_01水果!$C583="",对接源_01水果!$C583&lt;&gt;$N$1,对接源_01水果!$B583=""),0,IF(OR(N(对接源_01水果!$B583)&lt;$N$2,N(对接源_01水果!$B583)&gt;$N$3),0,1))</f>
        <v>0</v>
      </c>
      <c r="P583" s="3">
        <f>IF(AND($K583=1,AND(对接源_01水果!$X583="公司筐",N(对接源_01水果!$T583)&lt;&gt;0)),1,0)</f>
        <v>0</v>
      </c>
      <c r="Q583" s="3">
        <f t="shared" si="164"/>
        <v>0</v>
      </c>
      <c r="R583" s="3">
        <f>IF(AND($K583=1,AND(对接源_01水果!$X583="公司筐",N(对接源_01水果!$U583)&lt;&gt;0)),1,0)</f>
        <v>0</v>
      </c>
      <c r="S583" s="3">
        <f t="shared" si="165"/>
        <v>0</v>
      </c>
      <c r="T583" s="3">
        <f>IF(AND($K583=1,AND(对接源_01水果!$X583="公司筐",N(对接源_01水果!$V583)&lt;&gt;0)),1,0)</f>
        <v>0</v>
      </c>
      <c r="U583" s="3">
        <f t="shared" si="166"/>
        <v>19</v>
      </c>
      <c r="V583" s="3">
        <f>IF(AND($L583=1,AND(对接源_01水果!$X583="自备筐",N(对接源_01水果!$V583)&lt;&gt;0)),1,0)</f>
        <v>0</v>
      </c>
      <c r="W583" s="3">
        <f t="shared" si="167"/>
        <v>8</v>
      </c>
      <c r="X583" s="3">
        <f>IF(AND($L583=1,AND(对接源_01水果!$X583="自备筐",N(对接源_01水果!$T583)&lt;&gt;0)),1,0)</f>
        <v>0</v>
      </c>
      <c r="Y583" s="3">
        <f t="shared" si="168"/>
        <v>0</v>
      </c>
      <c r="Z583" s="3">
        <f>IF(AND($M583=1,对接源_01水果!$D583="原料入库"),1,0)</f>
        <v>0</v>
      </c>
      <c r="AA583" s="3">
        <f t="shared" si="169"/>
        <v>24</v>
      </c>
      <c r="AB583" s="3">
        <f>IF(AND($M583=1,LEFT(对接源_01水果!$D583,4)="原料出库"),1,0)</f>
        <v>0</v>
      </c>
      <c r="AC583" s="3">
        <f t="shared" si="170"/>
        <v>0</v>
      </c>
      <c r="AD583" s="3">
        <f>IF(AND($M583=1,LEFT(对接源_01水果!$D583,4)="成品出库"),1,0)</f>
        <v>0</v>
      </c>
      <c r="AE583" s="3">
        <f t="shared" si="171"/>
        <v>0</v>
      </c>
      <c r="AF583" s="3">
        <f>IF(AND($N583=1,AND(LEFT(对接源_01水果!$D583,4)="包装物料",N(对接源_01水果!$K583)&lt;&gt;0)),1,0)</f>
        <v>0</v>
      </c>
      <c r="AG583" s="3">
        <f t="shared" si="172"/>
        <v>0</v>
      </c>
      <c r="AH583" s="3">
        <f>IF(AND($N583=1,AND(对接源_01水果!$D583="周转筐－销售出库",N(对接源_01水果!$K583)&lt;&gt;0)),1,0)</f>
        <v>0</v>
      </c>
      <c r="AI583" s="3">
        <f t="shared" si="173"/>
        <v>0</v>
      </c>
      <c r="AJ583" s="7"/>
      <c r="AL583" s="3">
        <f>IF(OR($AL$1="",对接源_01水果!$Y583="",对接源_01水果!$Y583&lt;&gt;$AL$1,对接源_01水果!$B583="",N(对接源_01水果!$AJ583)&lt;=0),0,IF(OR(N(对接源_01水果!$B583)&lt;$AL$2,N(对接源_01水果!$B583)&gt;$AL$3),0,1))</f>
        <v>0</v>
      </c>
      <c r="AM583" s="3">
        <f t="shared" si="174"/>
        <v>1</v>
      </c>
      <c r="AN583" s="3" t="str">
        <f>IF(对接源_01水果!$AC583="","",对接源_01水果!$AC583)</f>
        <v/>
      </c>
      <c r="AO583" s="3">
        <f t="shared" si="175"/>
        <v>0</v>
      </c>
      <c r="AP583" s="3">
        <f t="shared" si="176"/>
        <v>8</v>
      </c>
      <c r="AR583">
        <f t="shared" si="177"/>
        <v>0</v>
      </c>
      <c r="AS583">
        <f t="shared" si="178"/>
        <v>0</v>
      </c>
    </row>
    <row r="584" ht="14.25" customHeight="1" spans="1:45">
      <c r="A584" s="3" t="str">
        <f>IF(对接源_01水果!$C584="","",对接源_01水果!$C584)</f>
        <v/>
      </c>
      <c r="B584" s="3">
        <f t="shared" si="162"/>
        <v>0</v>
      </c>
      <c r="C584" s="3">
        <f t="shared" si="163"/>
        <v>18</v>
      </c>
      <c r="K584" s="3">
        <f>IF(OR($K$1="",对接源_01水果!$C584="",对接源_01水果!$C584&lt;&gt;$K$1,对接源_01水果!$B584=""),0,IF(OR(N(对接源_01水果!$B584)&lt;$K$2,N(对接源_01水果!$B584)&gt;$K$3),0,1))</f>
        <v>0</v>
      </c>
      <c r="L584" s="3">
        <f>IF(OR($L$1="",对接源_01水果!$C584="",对接源_01水果!$C584&lt;&gt;$L$1,对接源_01水果!$B584=""),0,IF(OR(N(对接源_01水果!$B584)&lt;$L$2,N(对接源_01水果!$B584)&gt;$L$3),0,1))</f>
        <v>0</v>
      </c>
      <c r="M584" s="3">
        <f>IF(OR($M$1="",对接源_01水果!$C584="",对接源_01水果!$C584&lt;&gt;$M$1,对接源_01水果!$B584=""),0,IF(OR(N(对接源_01水果!$B584)&lt;$M$2,N(对接源_01水果!$B584)&gt;$M$3),0,1))</f>
        <v>0</v>
      </c>
      <c r="N584" s="3">
        <f>IF(OR($N$1="",对接源_01水果!$C584="",对接源_01水果!$C584&lt;&gt;$N$1,对接源_01水果!$B584=""),0,IF(OR(N(对接源_01水果!$B584)&lt;$N$2,N(对接源_01水果!$B584)&gt;$N$3),0,1))</f>
        <v>0</v>
      </c>
      <c r="P584" s="3">
        <f>IF(AND($K584=1,AND(对接源_01水果!$X584="公司筐",N(对接源_01水果!$T584)&lt;&gt;0)),1,0)</f>
        <v>0</v>
      </c>
      <c r="Q584" s="3">
        <f t="shared" si="164"/>
        <v>0</v>
      </c>
      <c r="R584" s="3">
        <f>IF(AND($K584=1,AND(对接源_01水果!$X584="公司筐",N(对接源_01水果!$U584)&lt;&gt;0)),1,0)</f>
        <v>0</v>
      </c>
      <c r="S584" s="3">
        <f t="shared" si="165"/>
        <v>0</v>
      </c>
      <c r="T584" s="3">
        <f>IF(AND($K584=1,AND(对接源_01水果!$X584="公司筐",N(对接源_01水果!$V584)&lt;&gt;0)),1,0)</f>
        <v>0</v>
      </c>
      <c r="U584" s="3">
        <f t="shared" si="166"/>
        <v>19</v>
      </c>
      <c r="V584" s="3">
        <f>IF(AND($L584=1,AND(对接源_01水果!$X584="自备筐",N(对接源_01水果!$V584)&lt;&gt;0)),1,0)</f>
        <v>0</v>
      </c>
      <c r="W584" s="3">
        <f t="shared" si="167"/>
        <v>8</v>
      </c>
      <c r="X584" s="3">
        <f>IF(AND($L584=1,AND(对接源_01水果!$X584="自备筐",N(对接源_01水果!$T584)&lt;&gt;0)),1,0)</f>
        <v>0</v>
      </c>
      <c r="Y584" s="3">
        <f t="shared" si="168"/>
        <v>0</v>
      </c>
      <c r="Z584" s="3">
        <f>IF(AND($M584=1,对接源_01水果!$D584="原料入库"),1,0)</f>
        <v>0</v>
      </c>
      <c r="AA584" s="3">
        <f t="shared" si="169"/>
        <v>24</v>
      </c>
      <c r="AB584" s="3">
        <f>IF(AND($M584=1,LEFT(对接源_01水果!$D584,4)="原料出库"),1,0)</f>
        <v>0</v>
      </c>
      <c r="AC584" s="3">
        <f t="shared" si="170"/>
        <v>0</v>
      </c>
      <c r="AD584" s="3">
        <f>IF(AND($M584=1,LEFT(对接源_01水果!$D584,4)="成品出库"),1,0)</f>
        <v>0</v>
      </c>
      <c r="AE584" s="3">
        <f t="shared" si="171"/>
        <v>0</v>
      </c>
      <c r="AF584" s="3">
        <f>IF(AND($N584=1,AND(LEFT(对接源_01水果!$D584,4)="包装物料",N(对接源_01水果!$K584)&lt;&gt;0)),1,0)</f>
        <v>0</v>
      </c>
      <c r="AG584" s="3">
        <f t="shared" si="172"/>
        <v>0</v>
      </c>
      <c r="AH584" s="3">
        <f>IF(AND($N584=1,AND(对接源_01水果!$D584="周转筐－销售出库",N(对接源_01水果!$K584)&lt;&gt;0)),1,0)</f>
        <v>0</v>
      </c>
      <c r="AI584" s="3">
        <f t="shared" si="173"/>
        <v>0</v>
      </c>
      <c r="AJ584" s="7"/>
      <c r="AL584" s="3">
        <f>IF(OR($AL$1="",对接源_01水果!$Y584="",对接源_01水果!$Y584&lt;&gt;$AL$1,对接源_01水果!$B584="",N(对接源_01水果!$AJ584)&lt;=0),0,IF(OR(N(对接源_01水果!$B584)&lt;$AL$2,N(对接源_01水果!$B584)&gt;$AL$3),0,1))</f>
        <v>0</v>
      </c>
      <c r="AM584" s="3">
        <f t="shared" si="174"/>
        <v>1</v>
      </c>
      <c r="AN584" s="3" t="str">
        <f>IF(对接源_01水果!$AC584="","",对接源_01水果!$AC584)</f>
        <v/>
      </c>
      <c r="AO584" s="3">
        <f t="shared" si="175"/>
        <v>0</v>
      </c>
      <c r="AP584" s="3">
        <f t="shared" si="176"/>
        <v>8</v>
      </c>
      <c r="AR584">
        <f t="shared" si="177"/>
        <v>0</v>
      </c>
      <c r="AS584">
        <f t="shared" si="178"/>
        <v>0</v>
      </c>
    </row>
    <row r="585" ht="14.25" customHeight="1" spans="1:45">
      <c r="A585" s="3" t="str">
        <f>IF(对接源_01水果!$C585="","",对接源_01水果!$C585)</f>
        <v/>
      </c>
      <c r="B585" s="3">
        <f t="shared" si="162"/>
        <v>0</v>
      </c>
      <c r="C585" s="3">
        <f t="shared" si="163"/>
        <v>18</v>
      </c>
      <c r="K585" s="3">
        <f>IF(OR($K$1="",对接源_01水果!$C585="",对接源_01水果!$C585&lt;&gt;$K$1,对接源_01水果!$B585=""),0,IF(OR(N(对接源_01水果!$B585)&lt;$K$2,N(对接源_01水果!$B585)&gt;$K$3),0,1))</f>
        <v>0</v>
      </c>
      <c r="L585" s="3">
        <f>IF(OR($L$1="",对接源_01水果!$C585="",对接源_01水果!$C585&lt;&gt;$L$1,对接源_01水果!$B585=""),0,IF(OR(N(对接源_01水果!$B585)&lt;$L$2,N(对接源_01水果!$B585)&gt;$L$3),0,1))</f>
        <v>0</v>
      </c>
      <c r="M585" s="3">
        <f>IF(OR($M$1="",对接源_01水果!$C585="",对接源_01水果!$C585&lt;&gt;$M$1,对接源_01水果!$B585=""),0,IF(OR(N(对接源_01水果!$B585)&lt;$M$2,N(对接源_01水果!$B585)&gt;$M$3),0,1))</f>
        <v>0</v>
      </c>
      <c r="N585" s="3">
        <f>IF(OR($N$1="",对接源_01水果!$C585="",对接源_01水果!$C585&lt;&gt;$N$1,对接源_01水果!$B585=""),0,IF(OR(N(对接源_01水果!$B585)&lt;$N$2,N(对接源_01水果!$B585)&gt;$N$3),0,1))</f>
        <v>0</v>
      </c>
      <c r="P585" s="3">
        <f>IF(AND($K585=1,AND(对接源_01水果!$X585="公司筐",N(对接源_01水果!$T585)&lt;&gt;0)),1,0)</f>
        <v>0</v>
      </c>
      <c r="Q585" s="3">
        <f t="shared" si="164"/>
        <v>0</v>
      </c>
      <c r="R585" s="3">
        <f>IF(AND($K585=1,AND(对接源_01水果!$X585="公司筐",N(对接源_01水果!$U585)&lt;&gt;0)),1,0)</f>
        <v>0</v>
      </c>
      <c r="S585" s="3">
        <f t="shared" si="165"/>
        <v>0</v>
      </c>
      <c r="T585" s="3">
        <f>IF(AND($K585=1,AND(对接源_01水果!$X585="公司筐",N(对接源_01水果!$V585)&lt;&gt;0)),1,0)</f>
        <v>0</v>
      </c>
      <c r="U585" s="3">
        <f t="shared" si="166"/>
        <v>19</v>
      </c>
      <c r="V585" s="3">
        <f>IF(AND($L585=1,AND(对接源_01水果!$X585="自备筐",N(对接源_01水果!$V585)&lt;&gt;0)),1,0)</f>
        <v>0</v>
      </c>
      <c r="W585" s="3">
        <f t="shared" si="167"/>
        <v>8</v>
      </c>
      <c r="X585" s="3">
        <f>IF(AND($L585=1,AND(对接源_01水果!$X585="自备筐",N(对接源_01水果!$T585)&lt;&gt;0)),1,0)</f>
        <v>0</v>
      </c>
      <c r="Y585" s="3">
        <f t="shared" si="168"/>
        <v>0</v>
      </c>
      <c r="Z585" s="3">
        <f>IF(AND($M585=1,对接源_01水果!$D585="原料入库"),1,0)</f>
        <v>0</v>
      </c>
      <c r="AA585" s="3">
        <f t="shared" si="169"/>
        <v>24</v>
      </c>
      <c r="AB585" s="3">
        <f>IF(AND($M585=1,LEFT(对接源_01水果!$D585,4)="原料出库"),1,0)</f>
        <v>0</v>
      </c>
      <c r="AC585" s="3">
        <f t="shared" si="170"/>
        <v>0</v>
      </c>
      <c r="AD585" s="3">
        <f>IF(AND($M585=1,LEFT(对接源_01水果!$D585,4)="成品出库"),1,0)</f>
        <v>0</v>
      </c>
      <c r="AE585" s="3">
        <f t="shared" si="171"/>
        <v>0</v>
      </c>
      <c r="AF585" s="3">
        <f>IF(AND($N585=1,AND(LEFT(对接源_01水果!$D585,4)="包装物料",N(对接源_01水果!$K585)&lt;&gt;0)),1,0)</f>
        <v>0</v>
      </c>
      <c r="AG585" s="3">
        <f t="shared" si="172"/>
        <v>0</v>
      </c>
      <c r="AH585" s="3">
        <f>IF(AND($N585=1,AND(对接源_01水果!$D585="周转筐－销售出库",N(对接源_01水果!$K585)&lt;&gt;0)),1,0)</f>
        <v>0</v>
      </c>
      <c r="AI585" s="3">
        <f t="shared" si="173"/>
        <v>0</v>
      </c>
      <c r="AJ585" s="7"/>
      <c r="AL585" s="3">
        <f>IF(OR($AL$1="",对接源_01水果!$Y585="",对接源_01水果!$Y585&lt;&gt;$AL$1,对接源_01水果!$B585="",N(对接源_01水果!$AJ585)&lt;=0),0,IF(OR(N(对接源_01水果!$B585)&lt;$AL$2,N(对接源_01水果!$B585)&gt;$AL$3),0,1))</f>
        <v>0</v>
      </c>
      <c r="AM585" s="3">
        <f t="shared" si="174"/>
        <v>1</v>
      </c>
      <c r="AN585" s="3" t="str">
        <f>IF(对接源_01水果!$AC585="","",对接源_01水果!$AC585)</f>
        <v/>
      </c>
      <c r="AO585" s="3">
        <f t="shared" si="175"/>
        <v>0</v>
      </c>
      <c r="AP585" s="3">
        <f t="shared" si="176"/>
        <v>8</v>
      </c>
      <c r="AR585">
        <f t="shared" si="177"/>
        <v>0</v>
      </c>
      <c r="AS585">
        <f t="shared" si="178"/>
        <v>0</v>
      </c>
    </row>
    <row r="586" ht="14.25" customHeight="1" spans="1:45">
      <c r="A586" s="3" t="str">
        <f>IF(对接源_01水果!$C586="","",对接源_01水果!$C586)</f>
        <v/>
      </c>
      <c r="B586" s="3">
        <f t="shared" si="162"/>
        <v>0</v>
      </c>
      <c r="C586" s="3">
        <f t="shared" si="163"/>
        <v>18</v>
      </c>
      <c r="K586" s="3">
        <f>IF(OR($K$1="",对接源_01水果!$C586="",对接源_01水果!$C586&lt;&gt;$K$1,对接源_01水果!$B586=""),0,IF(OR(N(对接源_01水果!$B586)&lt;$K$2,N(对接源_01水果!$B586)&gt;$K$3),0,1))</f>
        <v>0</v>
      </c>
      <c r="L586" s="3">
        <f>IF(OR($L$1="",对接源_01水果!$C586="",对接源_01水果!$C586&lt;&gt;$L$1,对接源_01水果!$B586=""),0,IF(OR(N(对接源_01水果!$B586)&lt;$L$2,N(对接源_01水果!$B586)&gt;$L$3),0,1))</f>
        <v>0</v>
      </c>
      <c r="M586" s="3">
        <f>IF(OR($M$1="",对接源_01水果!$C586="",对接源_01水果!$C586&lt;&gt;$M$1,对接源_01水果!$B586=""),0,IF(OR(N(对接源_01水果!$B586)&lt;$M$2,N(对接源_01水果!$B586)&gt;$M$3),0,1))</f>
        <v>0</v>
      </c>
      <c r="N586" s="3">
        <f>IF(OR($N$1="",对接源_01水果!$C586="",对接源_01水果!$C586&lt;&gt;$N$1,对接源_01水果!$B586=""),0,IF(OR(N(对接源_01水果!$B586)&lt;$N$2,N(对接源_01水果!$B586)&gt;$N$3),0,1))</f>
        <v>0</v>
      </c>
      <c r="P586" s="3">
        <f>IF(AND($K586=1,AND(对接源_01水果!$X586="公司筐",N(对接源_01水果!$T586)&lt;&gt;0)),1,0)</f>
        <v>0</v>
      </c>
      <c r="Q586" s="3">
        <f t="shared" si="164"/>
        <v>0</v>
      </c>
      <c r="R586" s="3">
        <f>IF(AND($K586=1,AND(对接源_01水果!$X586="公司筐",N(对接源_01水果!$U586)&lt;&gt;0)),1,0)</f>
        <v>0</v>
      </c>
      <c r="S586" s="3">
        <f t="shared" si="165"/>
        <v>0</v>
      </c>
      <c r="T586" s="3">
        <f>IF(AND($K586=1,AND(对接源_01水果!$X586="公司筐",N(对接源_01水果!$V586)&lt;&gt;0)),1,0)</f>
        <v>0</v>
      </c>
      <c r="U586" s="3">
        <f t="shared" si="166"/>
        <v>19</v>
      </c>
      <c r="V586" s="3">
        <f>IF(AND($L586=1,AND(对接源_01水果!$X586="自备筐",N(对接源_01水果!$V586)&lt;&gt;0)),1,0)</f>
        <v>0</v>
      </c>
      <c r="W586" s="3">
        <f t="shared" si="167"/>
        <v>8</v>
      </c>
      <c r="X586" s="3">
        <f>IF(AND($L586=1,AND(对接源_01水果!$X586="自备筐",N(对接源_01水果!$T586)&lt;&gt;0)),1,0)</f>
        <v>0</v>
      </c>
      <c r="Y586" s="3">
        <f t="shared" si="168"/>
        <v>0</v>
      </c>
      <c r="Z586" s="3">
        <f>IF(AND($M586=1,对接源_01水果!$D586="原料入库"),1,0)</f>
        <v>0</v>
      </c>
      <c r="AA586" s="3">
        <f t="shared" si="169"/>
        <v>24</v>
      </c>
      <c r="AB586" s="3">
        <f>IF(AND($M586=1,LEFT(对接源_01水果!$D586,4)="原料出库"),1,0)</f>
        <v>0</v>
      </c>
      <c r="AC586" s="3">
        <f t="shared" si="170"/>
        <v>0</v>
      </c>
      <c r="AD586" s="3">
        <f>IF(AND($M586=1,LEFT(对接源_01水果!$D586,4)="成品出库"),1,0)</f>
        <v>0</v>
      </c>
      <c r="AE586" s="3">
        <f t="shared" si="171"/>
        <v>0</v>
      </c>
      <c r="AF586" s="3">
        <f>IF(AND($N586=1,AND(LEFT(对接源_01水果!$D586,4)="包装物料",N(对接源_01水果!$K586)&lt;&gt;0)),1,0)</f>
        <v>0</v>
      </c>
      <c r="AG586" s="3">
        <f t="shared" si="172"/>
        <v>0</v>
      </c>
      <c r="AH586" s="3">
        <f>IF(AND($N586=1,AND(对接源_01水果!$D586="周转筐－销售出库",N(对接源_01水果!$K586)&lt;&gt;0)),1,0)</f>
        <v>0</v>
      </c>
      <c r="AI586" s="3">
        <f t="shared" si="173"/>
        <v>0</v>
      </c>
      <c r="AJ586" s="7"/>
      <c r="AL586" s="3">
        <f>IF(OR($AL$1="",对接源_01水果!$Y586="",对接源_01水果!$Y586&lt;&gt;$AL$1,对接源_01水果!$B586="",N(对接源_01水果!$AJ586)&lt;=0),0,IF(OR(N(对接源_01水果!$B586)&lt;$AL$2,N(对接源_01水果!$B586)&gt;$AL$3),0,1))</f>
        <v>0</v>
      </c>
      <c r="AM586" s="3">
        <f t="shared" si="174"/>
        <v>1</v>
      </c>
      <c r="AN586" s="3" t="str">
        <f>IF(对接源_01水果!$AC586="","",对接源_01水果!$AC586)</f>
        <v/>
      </c>
      <c r="AO586" s="3">
        <f t="shared" si="175"/>
        <v>0</v>
      </c>
      <c r="AP586" s="3">
        <f t="shared" si="176"/>
        <v>8</v>
      </c>
      <c r="AR586">
        <f t="shared" si="177"/>
        <v>0</v>
      </c>
      <c r="AS586">
        <f t="shared" si="178"/>
        <v>0</v>
      </c>
    </row>
    <row r="587" ht="14.25" customHeight="1" spans="1:45">
      <c r="A587" s="3" t="str">
        <f>IF(对接源_01水果!$C587="","",对接源_01水果!$C587)</f>
        <v/>
      </c>
      <c r="B587" s="3">
        <f t="shared" si="162"/>
        <v>0</v>
      </c>
      <c r="C587" s="3">
        <f t="shared" si="163"/>
        <v>18</v>
      </c>
      <c r="K587" s="3">
        <f>IF(OR($K$1="",对接源_01水果!$C587="",对接源_01水果!$C587&lt;&gt;$K$1,对接源_01水果!$B587=""),0,IF(OR(N(对接源_01水果!$B587)&lt;$K$2,N(对接源_01水果!$B587)&gt;$K$3),0,1))</f>
        <v>0</v>
      </c>
      <c r="L587" s="3">
        <f>IF(OR($L$1="",对接源_01水果!$C587="",对接源_01水果!$C587&lt;&gt;$L$1,对接源_01水果!$B587=""),0,IF(OR(N(对接源_01水果!$B587)&lt;$L$2,N(对接源_01水果!$B587)&gt;$L$3),0,1))</f>
        <v>0</v>
      </c>
      <c r="M587" s="3">
        <f>IF(OR($M$1="",对接源_01水果!$C587="",对接源_01水果!$C587&lt;&gt;$M$1,对接源_01水果!$B587=""),0,IF(OR(N(对接源_01水果!$B587)&lt;$M$2,N(对接源_01水果!$B587)&gt;$M$3),0,1))</f>
        <v>0</v>
      </c>
      <c r="N587" s="3">
        <f>IF(OR($N$1="",对接源_01水果!$C587="",对接源_01水果!$C587&lt;&gt;$N$1,对接源_01水果!$B587=""),0,IF(OR(N(对接源_01水果!$B587)&lt;$N$2,N(对接源_01水果!$B587)&gt;$N$3),0,1))</f>
        <v>0</v>
      </c>
      <c r="P587" s="3">
        <f>IF(AND($K587=1,AND(对接源_01水果!$X587="公司筐",N(对接源_01水果!$T587)&lt;&gt;0)),1,0)</f>
        <v>0</v>
      </c>
      <c r="Q587" s="3">
        <f t="shared" si="164"/>
        <v>0</v>
      </c>
      <c r="R587" s="3">
        <f>IF(AND($K587=1,AND(对接源_01水果!$X587="公司筐",N(对接源_01水果!$U587)&lt;&gt;0)),1,0)</f>
        <v>0</v>
      </c>
      <c r="S587" s="3">
        <f t="shared" si="165"/>
        <v>0</v>
      </c>
      <c r="T587" s="3">
        <f>IF(AND($K587=1,AND(对接源_01水果!$X587="公司筐",N(对接源_01水果!$V587)&lt;&gt;0)),1,0)</f>
        <v>0</v>
      </c>
      <c r="U587" s="3">
        <f t="shared" si="166"/>
        <v>19</v>
      </c>
      <c r="V587" s="3">
        <f>IF(AND($L587=1,AND(对接源_01水果!$X587="自备筐",N(对接源_01水果!$V587)&lt;&gt;0)),1,0)</f>
        <v>0</v>
      </c>
      <c r="W587" s="3">
        <f t="shared" si="167"/>
        <v>8</v>
      </c>
      <c r="X587" s="3">
        <f>IF(AND($L587=1,AND(对接源_01水果!$X587="自备筐",N(对接源_01水果!$T587)&lt;&gt;0)),1,0)</f>
        <v>0</v>
      </c>
      <c r="Y587" s="3">
        <f t="shared" si="168"/>
        <v>0</v>
      </c>
      <c r="Z587" s="3">
        <f>IF(AND($M587=1,对接源_01水果!$D587="原料入库"),1,0)</f>
        <v>0</v>
      </c>
      <c r="AA587" s="3">
        <f t="shared" si="169"/>
        <v>24</v>
      </c>
      <c r="AB587" s="3">
        <f>IF(AND($M587=1,LEFT(对接源_01水果!$D587,4)="原料出库"),1,0)</f>
        <v>0</v>
      </c>
      <c r="AC587" s="3">
        <f t="shared" si="170"/>
        <v>0</v>
      </c>
      <c r="AD587" s="3">
        <f>IF(AND($M587=1,LEFT(对接源_01水果!$D587,4)="成品出库"),1,0)</f>
        <v>0</v>
      </c>
      <c r="AE587" s="3">
        <f t="shared" si="171"/>
        <v>0</v>
      </c>
      <c r="AF587" s="3">
        <f>IF(AND($N587=1,AND(LEFT(对接源_01水果!$D587,4)="包装物料",N(对接源_01水果!$K587)&lt;&gt;0)),1,0)</f>
        <v>0</v>
      </c>
      <c r="AG587" s="3">
        <f t="shared" si="172"/>
        <v>0</v>
      </c>
      <c r="AH587" s="3">
        <f>IF(AND($N587=1,AND(对接源_01水果!$D587="周转筐－销售出库",N(对接源_01水果!$K587)&lt;&gt;0)),1,0)</f>
        <v>0</v>
      </c>
      <c r="AI587" s="3">
        <f t="shared" si="173"/>
        <v>0</v>
      </c>
      <c r="AJ587" s="7"/>
      <c r="AL587" s="3">
        <f>IF(OR($AL$1="",对接源_01水果!$Y587="",对接源_01水果!$Y587&lt;&gt;$AL$1,对接源_01水果!$B587="",N(对接源_01水果!$AJ587)&lt;=0),0,IF(OR(N(对接源_01水果!$B587)&lt;$AL$2,N(对接源_01水果!$B587)&gt;$AL$3),0,1))</f>
        <v>0</v>
      </c>
      <c r="AM587" s="3">
        <f t="shared" si="174"/>
        <v>1</v>
      </c>
      <c r="AN587" s="3" t="str">
        <f>IF(对接源_01水果!$AC587="","",对接源_01水果!$AC587)</f>
        <v/>
      </c>
      <c r="AO587" s="3">
        <f t="shared" si="175"/>
        <v>0</v>
      </c>
      <c r="AP587" s="3">
        <f t="shared" si="176"/>
        <v>8</v>
      </c>
      <c r="AR587">
        <f t="shared" si="177"/>
        <v>0</v>
      </c>
      <c r="AS587">
        <f t="shared" si="178"/>
        <v>0</v>
      </c>
    </row>
    <row r="588" ht="14.25" customHeight="1" spans="1:45">
      <c r="A588" s="3" t="str">
        <f>IF(对接源_01水果!$C588="","",对接源_01水果!$C588)</f>
        <v/>
      </c>
      <c r="B588" s="3">
        <f t="shared" si="162"/>
        <v>0</v>
      </c>
      <c r="C588" s="3">
        <f t="shared" si="163"/>
        <v>18</v>
      </c>
      <c r="K588" s="3">
        <f>IF(OR($K$1="",对接源_01水果!$C588="",对接源_01水果!$C588&lt;&gt;$K$1,对接源_01水果!$B588=""),0,IF(OR(N(对接源_01水果!$B588)&lt;$K$2,N(对接源_01水果!$B588)&gt;$K$3),0,1))</f>
        <v>0</v>
      </c>
      <c r="L588" s="3">
        <f>IF(OR($L$1="",对接源_01水果!$C588="",对接源_01水果!$C588&lt;&gt;$L$1,对接源_01水果!$B588=""),0,IF(OR(N(对接源_01水果!$B588)&lt;$L$2,N(对接源_01水果!$B588)&gt;$L$3),0,1))</f>
        <v>0</v>
      </c>
      <c r="M588" s="3">
        <f>IF(OR($M$1="",对接源_01水果!$C588="",对接源_01水果!$C588&lt;&gt;$M$1,对接源_01水果!$B588=""),0,IF(OR(N(对接源_01水果!$B588)&lt;$M$2,N(对接源_01水果!$B588)&gt;$M$3),0,1))</f>
        <v>0</v>
      </c>
      <c r="N588" s="3">
        <f>IF(OR($N$1="",对接源_01水果!$C588="",对接源_01水果!$C588&lt;&gt;$N$1,对接源_01水果!$B588=""),0,IF(OR(N(对接源_01水果!$B588)&lt;$N$2,N(对接源_01水果!$B588)&gt;$N$3),0,1))</f>
        <v>0</v>
      </c>
      <c r="P588" s="3">
        <f>IF(AND($K588=1,AND(对接源_01水果!$X588="公司筐",N(对接源_01水果!$T588)&lt;&gt;0)),1,0)</f>
        <v>0</v>
      </c>
      <c r="Q588" s="3">
        <f t="shared" si="164"/>
        <v>0</v>
      </c>
      <c r="R588" s="3">
        <f>IF(AND($K588=1,AND(对接源_01水果!$X588="公司筐",N(对接源_01水果!$U588)&lt;&gt;0)),1,0)</f>
        <v>0</v>
      </c>
      <c r="S588" s="3">
        <f t="shared" si="165"/>
        <v>0</v>
      </c>
      <c r="T588" s="3">
        <f>IF(AND($K588=1,AND(对接源_01水果!$X588="公司筐",N(对接源_01水果!$V588)&lt;&gt;0)),1,0)</f>
        <v>0</v>
      </c>
      <c r="U588" s="3">
        <f t="shared" si="166"/>
        <v>19</v>
      </c>
      <c r="V588" s="3">
        <f>IF(AND($L588=1,AND(对接源_01水果!$X588="自备筐",N(对接源_01水果!$V588)&lt;&gt;0)),1,0)</f>
        <v>0</v>
      </c>
      <c r="W588" s="3">
        <f t="shared" si="167"/>
        <v>8</v>
      </c>
      <c r="X588" s="3">
        <f>IF(AND($L588=1,AND(对接源_01水果!$X588="自备筐",N(对接源_01水果!$T588)&lt;&gt;0)),1,0)</f>
        <v>0</v>
      </c>
      <c r="Y588" s="3">
        <f t="shared" si="168"/>
        <v>0</v>
      </c>
      <c r="Z588" s="3">
        <f>IF(AND($M588=1,对接源_01水果!$D588="原料入库"),1,0)</f>
        <v>0</v>
      </c>
      <c r="AA588" s="3">
        <f t="shared" si="169"/>
        <v>24</v>
      </c>
      <c r="AB588" s="3">
        <f>IF(AND($M588=1,LEFT(对接源_01水果!$D588,4)="原料出库"),1,0)</f>
        <v>0</v>
      </c>
      <c r="AC588" s="3">
        <f t="shared" si="170"/>
        <v>0</v>
      </c>
      <c r="AD588" s="3">
        <f>IF(AND($M588=1,LEFT(对接源_01水果!$D588,4)="成品出库"),1,0)</f>
        <v>0</v>
      </c>
      <c r="AE588" s="3">
        <f t="shared" si="171"/>
        <v>0</v>
      </c>
      <c r="AF588" s="3">
        <f>IF(AND($N588=1,AND(LEFT(对接源_01水果!$D588,4)="包装物料",N(对接源_01水果!$K588)&lt;&gt;0)),1,0)</f>
        <v>0</v>
      </c>
      <c r="AG588" s="3">
        <f t="shared" si="172"/>
        <v>0</v>
      </c>
      <c r="AH588" s="3">
        <f>IF(AND($N588=1,AND(对接源_01水果!$D588="周转筐－销售出库",N(对接源_01水果!$K588)&lt;&gt;0)),1,0)</f>
        <v>0</v>
      </c>
      <c r="AI588" s="3">
        <f t="shared" si="173"/>
        <v>0</v>
      </c>
      <c r="AJ588" s="7"/>
      <c r="AL588" s="3">
        <f>IF(OR($AL$1="",对接源_01水果!$Y588="",对接源_01水果!$Y588&lt;&gt;$AL$1,对接源_01水果!$B588="",N(对接源_01水果!$AJ588)&lt;=0),0,IF(OR(N(对接源_01水果!$B588)&lt;$AL$2,N(对接源_01水果!$B588)&gt;$AL$3),0,1))</f>
        <v>0</v>
      </c>
      <c r="AM588" s="3">
        <f t="shared" si="174"/>
        <v>1</v>
      </c>
      <c r="AN588" s="3" t="str">
        <f>IF(对接源_01水果!$AC588="","",对接源_01水果!$AC588)</f>
        <v/>
      </c>
      <c r="AO588" s="3">
        <f t="shared" si="175"/>
        <v>0</v>
      </c>
      <c r="AP588" s="3">
        <f t="shared" si="176"/>
        <v>8</v>
      </c>
      <c r="AR588">
        <f t="shared" si="177"/>
        <v>0</v>
      </c>
      <c r="AS588">
        <f t="shared" si="178"/>
        <v>0</v>
      </c>
    </row>
    <row r="589" ht="14.25" customHeight="1" spans="1:45">
      <c r="A589" s="3" t="str">
        <f>IF(对接源_01水果!$C589="","",对接源_01水果!$C589)</f>
        <v/>
      </c>
      <c r="B589" s="3">
        <f t="shared" si="162"/>
        <v>0</v>
      </c>
      <c r="C589" s="3">
        <f t="shared" si="163"/>
        <v>18</v>
      </c>
      <c r="K589" s="3">
        <f>IF(OR($K$1="",对接源_01水果!$C589="",对接源_01水果!$C589&lt;&gt;$K$1,对接源_01水果!$B589=""),0,IF(OR(N(对接源_01水果!$B589)&lt;$K$2,N(对接源_01水果!$B589)&gt;$K$3),0,1))</f>
        <v>0</v>
      </c>
      <c r="L589" s="3">
        <f>IF(OR($L$1="",对接源_01水果!$C589="",对接源_01水果!$C589&lt;&gt;$L$1,对接源_01水果!$B589=""),0,IF(OR(N(对接源_01水果!$B589)&lt;$L$2,N(对接源_01水果!$B589)&gt;$L$3),0,1))</f>
        <v>0</v>
      </c>
      <c r="M589" s="3">
        <f>IF(OR($M$1="",对接源_01水果!$C589="",对接源_01水果!$C589&lt;&gt;$M$1,对接源_01水果!$B589=""),0,IF(OR(N(对接源_01水果!$B589)&lt;$M$2,N(对接源_01水果!$B589)&gt;$M$3),0,1))</f>
        <v>0</v>
      </c>
      <c r="N589" s="3">
        <f>IF(OR($N$1="",对接源_01水果!$C589="",对接源_01水果!$C589&lt;&gt;$N$1,对接源_01水果!$B589=""),0,IF(OR(N(对接源_01水果!$B589)&lt;$N$2,N(对接源_01水果!$B589)&gt;$N$3),0,1))</f>
        <v>0</v>
      </c>
      <c r="P589" s="3">
        <f>IF(AND($K589=1,AND(对接源_01水果!$X589="公司筐",N(对接源_01水果!$T589)&lt;&gt;0)),1,0)</f>
        <v>0</v>
      </c>
      <c r="Q589" s="3">
        <f t="shared" si="164"/>
        <v>0</v>
      </c>
      <c r="R589" s="3">
        <f>IF(AND($K589=1,AND(对接源_01水果!$X589="公司筐",N(对接源_01水果!$U589)&lt;&gt;0)),1,0)</f>
        <v>0</v>
      </c>
      <c r="S589" s="3">
        <f t="shared" si="165"/>
        <v>0</v>
      </c>
      <c r="T589" s="3">
        <f>IF(AND($K589=1,AND(对接源_01水果!$X589="公司筐",N(对接源_01水果!$V589)&lt;&gt;0)),1,0)</f>
        <v>0</v>
      </c>
      <c r="U589" s="3">
        <f t="shared" si="166"/>
        <v>19</v>
      </c>
      <c r="V589" s="3">
        <f>IF(AND($L589=1,AND(对接源_01水果!$X589="自备筐",N(对接源_01水果!$V589)&lt;&gt;0)),1,0)</f>
        <v>0</v>
      </c>
      <c r="W589" s="3">
        <f t="shared" si="167"/>
        <v>8</v>
      </c>
      <c r="X589" s="3">
        <f>IF(AND($L589=1,AND(对接源_01水果!$X589="自备筐",N(对接源_01水果!$T589)&lt;&gt;0)),1,0)</f>
        <v>0</v>
      </c>
      <c r="Y589" s="3">
        <f t="shared" si="168"/>
        <v>0</v>
      </c>
      <c r="Z589" s="3">
        <f>IF(AND($M589=1,对接源_01水果!$D589="原料入库"),1,0)</f>
        <v>0</v>
      </c>
      <c r="AA589" s="3">
        <f t="shared" si="169"/>
        <v>24</v>
      </c>
      <c r="AB589" s="3">
        <f>IF(AND($M589=1,LEFT(对接源_01水果!$D589,4)="原料出库"),1,0)</f>
        <v>0</v>
      </c>
      <c r="AC589" s="3">
        <f t="shared" si="170"/>
        <v>0</v>
      </c>
      <c r="AD589" s="3">
        <f>IF(AND($M589=1,LEFT(对接源_01水果!$D589,4)="成品出库"),1,0)</f>
        <v>0</v>
      </c>
      <c r="AE589" s="3">
        <f t="shared" si="171"/>
        <v>0</v>
      </c>
      <c r="AF589" s="3">
        <f>IF(AND($N589=1,AND(LEFT(对接源_01水果!$D589,4)="包装物料",N(对接源_01水果!$K589)&lt;&gt;0)),1,0)</f>
        <v>0</v>
      </c>
      <c r="AG589" s="3">
        <f t="shared" si="172"/>
        <v>0</v>
      </c>
      <c r="AH589" s="3">
        <f>IF(AND($N589=1,AND(对接源_01水果!$D589="周转筐－销售出库",N(对接源_01水果!$K589)&lt;&gt;0)),1,0)</f>
        <v>0</v>
      </c>
      <c r="AI589" s="3">
        <f t="shared" si="173"/>
        <v>0</v>
      </c>
      <c r="AJ589" s="7"/>
      <c r="AL589" s="3">
        <f>IF(OR($AL$1="",对接源_01水果!$Y589="",对接源_01水果!$Y589&lt;&gt;$AL$1,对接源_01水果!$B589="",N(对接源_01水果!$AJ589)&lt;=0),0,IF(OR(N(对接源_01水果!$B589)&lt;$AL$2,N(对接源_01水果!$B589)&gt;$AL$3),0,1))</f>
        <v>0</v>
      </c>
      <c r="AM589" s="3">
        <f t="shared" si="174"/>
        <v>1</v>
      </c>
      <c r="AN589" s="3" t="str">
        <f>IF(对接源_01水果!$AC589="","",对接源_01水果!$AC589)</f>
        <v/>
      </c>
      <c r="AO589" s="3">
        <f t="shared" si="175"/>
        <v>0</v>
      </c>
      <c r="AP589" s="3">
        <f t="shared" si="176"/>
        <v>8</v>
      </c>
      <c r="AR589">
        <f t="shared" si="177"/>
        <v>0</v>
      </c>
      <c r="AS589">
        <f t="shared" si="178"/>
        <v>0</v>
      </c>
    </row>
    <row r="590" ht="14.25" customHeight="1" spans="1:45">
      <c r="A590" s="3" t="str">
        <f>IF(对接源_01水果!$C590="","",对接源_01水果!$C590)</f>
        <v/>
      </c>
      <c r="B590" s="3">
        <f t="shared" si="162"/>
        <v>0</v>
      </c>
      <c r="C590" s="3">
        <f t="shared" si="163"/>
        <v>18</v>
      </c>
      <c r="K590" s="3">
        <f>IF(OR($K$1="",对接源_01水果!$C590="",对接源_01水果!$C590&lt;&gt;$K$1,对接源_01水果!$B590=""),0,IF(OR(N(对接源_01水果!$B590)&lt;$K$2,N(对接源_01水果!$B590)&gt;$K$3),0,1))</f>
        <v>0</v>
      </c>
      <c r="L590" s="3">
        <f>IF(OR($L$1="",对接源_01水果!$C590="",对接源_01水果!$C590&lt;&gt;$L$1,对接源_01水果!$B590=""),0,IF(OR(N(对接源_01水果!$B590)&lt;$L$2,N(对接源_01水果!$B590)&gt;$L$3),0,1))</f>
        <v>0</v>
      </c>
      <c r="M590" s="3">
        <f>IF(OR($M$1="",对接源_01水果!$C590="",对接源_01水果!$C590&lt;&gt;$M$1,对接源_01水果!$B590=""),0,IF(OR(N(对接源_01水果!$B590)&lt;$M$2,N(对接源_01水果!$B590)&gt;$M$3),0,1))</f>
        <v>0</v>
      </c>
      <c r="N590" s="3">
        <f>IF(OR($N$1="",对接源_01水果!$C590="",对接源_01水果!$C590&lt;&gt;$N$1,对接源_01水果!$B590=""),0,IF(OR(N(对接源_01水果!$B590)&lt;$N$2,N(对接源_01水果!$B590)&gt;$N$3),0,1))</f>
        <v>0</v>
      </c>
      <c r="P590" s="3">
        <f>IF(AND($K590=1,AND(对接源_01水果!$X590="公司筐",N(对接源_01水果!$T590)&lt;&gt;0)),1,0)</f>
        <v>0</v>
      </c>
      <c r="Q590" s="3">
        <f t="shared" si="164"/>
        <v>0</v>
      </c>
      <c r="R590" s="3">
        <f>IF(AND($K590=1,AND(对接源_01水果!$X590="公司筐",N(对接源_01水果!$U590)&lt;&gt;0)),1,0)</f>
        <v>0</v>
      </c>
      <c r="S590" s="3">
        <f t="shared" si="165"/>
        <v>0</v>
      </c>
      <c r="T590" s="3">
        <f>IF(AND($K590=1,AND(对接源_01水果!$X590="公司筐",N(对接源_01水果!$V590)&lt;&gt;0)),1,0)</f>
        <v>0</v>
      </c>
      <c r="U590" s="3">
        <f t="shared" si="166"/>
        <v>19</v>
      </c>
      <c r="V590" s="3">
        <f>IF(AND($L590=1,AND(对接源_01水果!$X590="自备筐",N(对接源_01水果!$V590)&lt;&gt;0)),1,0)</f>
        <v>0</v>
      </c>
      <c r="W590" s="3">
        <f t="shared" si="167"/>
        <v>8</v>
      </c>
      <c r="X590" s="3">
        <f>IF(AND($L590=1,AND(对接源_01水果!$X590="自备筐",N(对接源_01水果!$T590)&lt;&gt;0)),1,0)</f>
        <v>0</v>
      </c>
      <c r="Y590" s="3">
        <f t="shared" si="168"/>
        <v>0</v>
      </c>
      <c r="Z590" s="3">
        <f>IF(AND($M590=1,对接源_01水果!$D590="原料入库"),1,0)</f>
        <v>0</v>
      </c>
      <c r="AA590" s="3">
        <f t="shared" si="169"/>
        <v>24</v>
      </c>
      <c r="AB590" s="3">
        <f>IF(AND($M590=1,LEFT(对接源_01水果!$D590,4)="原料出库"),1,0)</f>
        <v>0</v>
      </c>
      <c r="AC590" s="3">
        <f t="shared" si="170"/>
        <v>0</v>
      </c>
      <c r="AD590" s="3">
        <f>IF(AND($M590=1,LEFT(对接源_01水果!$D590,4)="成品出库"),1,0)</f>
        <v>0</v>
      </c>
      <c r="AE590" s="3">
        <f t="shared" si="171"/>
        <v>0</v>
      </c>
      <c r="AF590" s="3">
        <f>IF(AND($N590=1,AND(LEFT(对接源_01水果!$D590,4)="包装物料",N(对接源_01水果!$K590)&lt;&gt;0)),1,0)</f>
        <v>0</v>
      </c>
      <c r="AG590" s="3">
        <f t="shared" si="172"/>
        <v>0</v>
      </c>
      <c r="AH590" s="3">
        <f>IF(AND($N590=1,AND(对接源_01水果!$D590="周转筐－销售出库",N(对接源_01水果!$K590)&lt;&gt;0)),1,0)</f>
        <v>0</v>
      </c>
      <c r="AI590" s="3">
        <f t="shared" si="173"/>
        <v>0</v>
      </c>
      <c r="AJ590" s="7"/>
      <c r="AL590" s="3">
        <f>IF(OR($AL$1="",对接源_01水果!$Y590="",对接源_01水果!$Y590&lt;&gt;$AL$1,对接源_01水果!$B590="",N(对接源_01水果!$AJ590)&lt;=0),0,IF(OR(N(对接源_01水果!$B590)&lt;$AL$2,N(对接源_01水果!$B590)&gt;$AL$3),0,1))</f>
        <v>0</v>
      </c>
      <c r="AM590" s="3">
        <f t="shared" si="174"/>
        <v>1</v>
      </c>
      <c r="AN590" s="3" t="str">
        <f>IF(对接源_01水果!$AC590="","",对接源_01水果!$AC590)</f>
        <v/>
      </c>
      <c r="AO590" s="3">
        <f t="shared" si="175"/>
        <v>0</v>
      </c>
      <c r="AP590" s="3">
        <f t="shared" si="176"/>
        <v>8</v>
      </c>
      <c r="AR590">
        <f t="shared" si="177"/>
        <v>0</v>
      </c>
      <c r="AS590">
        <f t="shared" si="178"/>
        <v>0</v>
      </c>
    </row>
    <row r="591" ht="14.25" customHeight="1" spans="1:45">
      <c r="A591" s="3" t="str">
        <f>IF(对接源_01水果!$C591="","",对接源_01水果!$C591)</f>
        <v/>
      </c>
      <c r="B591" s="3">
        <f t="shared" si="162"/>
        <v>0</v>
      </c>
      <c r="C591" s="3">
        <f t="shared" si="163"/>
        <v>18</v>
      </c>
      <c r="K591" s="3">
        <f>IF(OR($K$1="",对接源_01水果!$C591="",对接源_01水果!$C591&lt;&gt;$K$1,对接源_01水果!$B591=""),0,IF(OR(N(对接源_01水果!$B591)&lt;$K$2,N(对接源_01水果!$B591)&gt;$K$3),0,1))</f>
        <v>0</v>
      </c>
      <c r="L591" s="3">
        <f>IF(OR($L$1="",对接源_01水果!$C591="",对接源_01水果!$C591&lt;&gt;$L$1,对接源_01水果!$B591=""),0,IF(OR(N(对接源_01水果!$B591)&lt;$L$2,N(对接源_01水果!$B591)&gt;$L$3),0,1))</f>
        <v>0</v>
      </c>
      <c r="M591" s="3">
        <f>IF(OR($M$1="",对接源_01水果!$C591="",对接源_01水果!$C591&lt;&gt;$M$1,对接源_01水果!$B591=""),0,IF(OR(N(对接源_01水果!$B591)&lt;$M$2,N(对接源_01水果!$B591)&gt;$M$3),0,1))</f>
        <v>0</v>
      </c>
      <c r="N591" s="3">
        <f>IF(OR($N$1="",对接源_01水果!$C591="",对接源_01水果!$C591&lt;&gt;$N$1,对接源_01水果!$B591=""),0,IF(OR(N(对接源_01水果!$B591)&lt;$N$2,N(对接源_01水果!$B591)&gt;$N$3),0,1))</f>
        <v>0</v>
      </c>
      <c r="P591" s="3">
        <f>IF(AND($K591=1,AND(对接源_01水果!$X591="公司筐",N(对接源_01水果!$T591)&lt;&gt;0)),1,0)</f>
        <v>0</v>
      </c>
      <c r="Q591" s="3">
        <f t="shared" si="164"/>
        <v>0</v>
      </c>
      <c r="R591" s="3">
        <f>IF(AND($K591=1,AND(对接源_01水果!$X591="公司筐",N(对接源_01水果!$U591)&lt;&gt;0)),1,0)</f>
        <v>0</v>
      </c>
      <c r="S591" s="3">
        <f t="shared" si="165"/>
        <v>0</v>
      </c>
      <c r="T591" s="3">
        <f>IF(AND($K591=1,AND(对接源_01水果!$X591="公司筐",N(对接源_01水果!$V591)&lt;&gt;0)),1,0)</f>
        <v>0</v>
      </c>
      <c r="U591" s="3">
        <f t="shared" si="166"/>
        <v>19</v>
      </c>
      <c r="V591" s="3">
        <f>IF(AND($L591=1,AND(对接源_01水果!$X591="自备筐",N(对接源_01水果!$V591)&lt;&gt;0)),1,0)</f>
        <v>0</v>
      </c>
      <c r="W591" s="3">
        <f t="shared" si="167"/>
        <v>8</v>
      </c>
      <c r="X591" s="3">
        <f>IF(AND($L591=1,AND(对接源_01水果!$X591="自备筐",N(对接源_01水果!$T591)&lt;&gt;0)),1,0)</f>
        <v>0</v>
      </c>
      <c r="Y591" s="3">
        <f t="shared" si="168"/>
        <v>0</v>
      </c>
      <c r="Z591" s="3">
        <f>IF(AND($M591=1,对接源_01水果!$D591="原料入库"),1,0)</f>
        <v>0</v>
      </c>
      <c r="AA591" s="3">
        <f t="shared" si="169"/>
        <v>24</v>
      </c>
      <c r="AB591" s="3">
        <f>IF(AND($M591=1,LEFT(对接源_01水果!$D591,4)="原料出库"),1,0)</f>
        <v>0</v>
      </c>
      <c r="AC591" s="3">
        <f t="shared" si="170"/>
        <v>0</v>
      </c>
      <c r="AD591" s="3">
        <f>IF(AND($M591=1,LEFT(对接源_01水果!$D591,4)="成品出库"),1,0)</f>
        <v>0</v>
      </c>
      <c r="AE591" s="3">
        <f t="shared" si="171"/>
        <v>0</v>
      </c>
      <c r="AF591" s="3">
        <f>IF(AND($N591=1,AND(LEFT(对接源_01水果!$D591,4)="包装物料",N(对接源_01水果!$K591)&lt;&gt;0)),1,0)</f>
        <v>0</v>
      </c>
      <c r="AG591" s="3">
        <f t="shared" si="172"/>
        <v>0</v>
      </c>
      <c r="AH591" s="3">
        <f>IF(AND($N591=1,AND(对接源_01水果!$D591="周转筐－销售出库",N(对接源_01水果!$K591)&lt;&gt;0)),1,0)</f>
        <v>0</v>
      </c>
      <c r="AI591" s="3">
        <f t="shared" si="173"/>
        <v>0</v>
      </c>
      <c r="AJ591" s="7"/>
      <c r="AL591" s="3">
        <f>IF(OR($AL$1="",对接源_01水果!$Y591="",对接源_01水果!$Y591&lt;&gt;$AL$1,对接源_01水果!$B591="",N(对接源_01水果!$AJ591)&lt;=0),0,IF(OR(N(对接源_01水果!$B591)&lt;$AL$2,N(对接源_01水果!$B591)&gt;$AL$3),0,1))</f>
        <v>0</v>
      </c>
      <c r="AM591" s="3">
        <f t="shared" si="174"/>
        <v>1</v>
      </c>
      <c r="AN591" s="3" t="str">
        <f>IF(对接源_01水果!$AC591="","",对接源_01水果!$AC591)</f>
        <v/>
      </c>
      <c r="AO591" s="3">
        <f t="shared" si="175"/>
        <v>0</v>
      </c>
      <c r="AP591" s="3">
        <f t="shared" si="176"/>
        <v>8</v>
      </c>
      <c r="AR591">
        <f t="shared" si="177"/>
        <v>0</v>
      </c>
      <c r="AS591">
        <f t="shared" si="178"/>
        <v>0</v>
      </c>
    </row>
    <row r="592" ht="14.25" customHeight="1" spans="1:45">
      <c r="A592" s="3" t="str">
        <f>IF(对接源_01水果!$C592="","",对接源_01水果!$C592)</f>
        <v/>
      </c>
      <c r="B592" s="3">
        <f t="shared" si="162"/>
        <v>0</v>
      </c>
      <c r="C592" s="3">
        <f t="shared" si="163"/>
        <v>18</v>
      </c>
      <c r="K592" s="3">
        <f>IF(OR($K$1="",对接源_01水果!$C592="",对接源_01水果!$C592&lt;&gt;$K$1,对接源_01水果!$B592=""),0,IF(OR(N(对接源_01水果!$B592)&lt;$K$2,N(对接源_01水果!$B592)&gt;$K$3),0,1))</f>
        <v>0</v>
      </c>
      <c r="L592" s="3">
        <f>IF(OR($L$1="",对接源_01水果!$C592="",对接源_01水果!$C592&lt;&gt;$L$1,对接源_01水果!$B592=""),0,IF(OR(N(对接源_01水果!$B592)&lt;$L$2,N(对接源_01水果!$B592)&gt;$L$3),0,1))</f>
        <v>0</v>
      </c>
      <c r="M592" s="3">
        <f>IF(OR($M$1="",对接源_01水果!$C592="",对接源_01水果!$C592&lt;&gt;$M$1,对接源_01水果!$B592=""),0,IF(OR(N(对接源_01水果!$B592)&lt;$M$2,N(对接源_01水果!$B592)&gt;$M$3),0,1))</f>
        <v>0</v>
      </c>
      <c r="N592" s="3">
        <f>IF(OR($N$1="",对接源_01水果!$C592="",对接源_01水果!$C592&lt;&gt;$N$1,对接源_01水果!$B592=""),0,IF(OR(N(对接源_01水果!$B592)&lt;$N$2,N(对接源_01水果!$B592)&gt;$N$3),0,1))</f>
        <v>0</v>
      </c>
      <c r="P592" s="3">
        <f>IF(AND($K592=1,AND(对接源_01水果!$X592="公司筐",N(对接源_01水果!$T592)&lt;&gt;0)),1,0)</f>
        <v>0</v>
      </c>
      <c r="Q592" s="3">
        <f t="shared" si="164"/>
        <v>0</v>
      </c>
      <c r="R592" s="3">
        <f>IF(AND($K592=1,AND(对接源_01水果!$X592="公司筐",N(对接源_01水果!$U592)&lt;&gt;0)),1,0)</f>
        <v>0</v>
      </c>
      <c r="S592" s="3">
        <f t="shared" si="165"/>
        <v>0</v>
      </c>
      <c r="T592" s="3">
        <f>IF(AND($K592=1,AND(对接源_01水果!$X592="公司筐",N(对接源_01水果!$V592)&lt;&gt;0)),1,0)</f>
        <v>0</v>
      </c>
      <c r="U592" s="3">
        <f t="shared" si="166"/>
        <v>19</v>
      </c>
      <c r="V592" s="3">
        <f>IF(AND($L592=1,AND(对接源_01水果!$X592="自备筐",N(对接源_01水果!$V592)&lt;&gt;0)),1,0)</f>
        <v>0</v>
      </c>
      <c r="W592" s="3">
        <f t="shared" si="167"/>
        <v>8</v>
      </c>
      <c r="X592" s="3">
        <f>IF(AND($L592=1,AND(对接源_01水果!$X592="自备筐",N(对接源_01水果!$T592)&lt;&gt;0)),1,0)</f>
        <v>0</v>
      </c>
      <c r="Y592" s="3">
        <f t="shared" si="168"/>
        <v>0</v>
      </c>
      <c r="Z592" s="3">
        <f>IF(AND($M592=1,对接源_01水果!$D592="原料入库"),1,0)</f>
        <v>0</v>
      </c>
      <c r="AA592" s="3">
        <f t="shared" si="169"/>
        <v>24</v>
      </c>
      <c r="AB592" s="3">
        <f>IF(AND($M592=1,LEFT(对接源_01水果!$D592,4)="原料出库"),1,0)</f>
        <v>0</v>
      </c>
      <c r="AC592" s="3">
        <f t="shared" si="170"/>
        <v>0</v>
      </c>
      <c r="AD592" s="3">
        <f>IF(AND($M592=1,LEFT(对接源_01水果!$D592,4)="成品出库"),1,0)</f>
        <v>0</v>
      </c>
      <c r="AE592" s="3">
        <f t="shared" si="171"/>
        <v>0</v>
      </c>
      <c r="AF592" s="3">
        <f>IF(AND($N592=1,AND(LEFT(对接源_01水果!$D592,4)="包装物料",N(对接源_01水果!$K592)&lt;&gt;0)),1,0)</f>
        <v>0</v>
      </c>
      <c r="AG592" s="3">
        <f t="shared" si="172"/>
        <v>0</v>
      </c>
      <c r="AH592" s="3">
        <f>IF(AND($N592=1,AND(对接源_01水果!$D592="周转筐－销售出库",N(对接源_01水果!$K592)&lt;&gt;0)),1,0)</f>
        <v>0</v>
      </c>
      <c r="AI592" s="3">
        <f t="shared" si="173"/>
        <v>0</v>
      </c>
      <c r="AJ592" s="7"/>
      <c r="AL592" s="3">
        <f>IF(OR($AL$1="",对接源_01水果!$Y592="",对接源_01水果!$Y592&lt;&gt;$AL$1,对接源_01水果!$B592="",N(对接源_01水果!$AJ592)&lt;=0),0,IF(OR(N(对接源_01水果!$B592)&lt;$AL$2,N(对接源_01水果!$B592)&gt;$AL$3),0,1))</f>
        <v>0</v>
      </c>
      <c r="AM592" s="3">
        <f t="shared" si="174"/>
        <v>1</v>
      </c>
      <c r="AN592" s="3" t="str">
        <f>IF(对接源_01水果!$AC592="","",对接源_01水果!$AC592)</f>
        <v/>
      </c>
      <c r="AO592" s="3">
        <f t="shared" si="175"/>
        <v>0</v>
      </c>
      <c r="AP592" s="3">
        <f t="shared" si="176"/>
        <v>8</v>
      </c>
      <c r="AR592">
        <f t="shared" si="177"/>
        <v>0</v>
      </c>
      <c r="AS592">
        <f t="shared" si="178"/>
        <v>0</v>
      </c>
    </row>
    <row r="593" ht="14.25" customHeight="1" spans="1:45">
      <c r="A593" s="3" t="str">
        <f>IF(对接源_01水果!$C593="","",对接源_01水果!$C593)</f>
        <v/>
      </c>
      <c r="B593" s="3">
        <f t="shared" si="162"/>
        <v>0</v>
      </c>
      <c r="C593" s="3">
        <f t="shared" si="163"/>
        <v>18</v>
      </c>
      <c r="K593" s="3">
        <f>IF(OR($K$1="",对接源_01水果!$C593="",对接源_01水果!$C593&lt;&gt;$K$1,对接源_01水果!$B593=""),0,IF(OR(N(对接源_01水果!$B593)&lt;$K$2,N(对接源_01水果!$B593)&gt;$K$3),0,1))</f>
        <v>0</v>
      </c>
      <c r="L593" s="3">
        <f>IF(OR($L$1="",对接源_01水果!$C593="",对接源_01水果!$C593&lt;&gt;$L$1,对接源_01水果!$B593=""),0,IF(OR(N(对接源_01水果!$B593)&lt;$L$2,N(对接源_01水果!$B593)&gt;$L$3),0,1))</f>
        <v>0</v>
      </c>
      <c r="M593" s="3">
        <f>IF(OR($M$1="",对接源_01水果!$C593="",对接源_01水果!$C593&lt;&gt;$M$1,对接源_01水果!$B593=""),0,IF(OR(N(对接源_01水果!$B593)&lt;$M$2,N(对接源_01水果!$B593)&gt;$M$3),0,1))</f>
        <v>0</v>
      </c>
      <c r="N593" s="3">
        <f>IF(OR($N$1="",对接源_01水果!$C593="",对接源_01水果!$C593&lt;&gt;$N$1,对接源_01水果!$B593=""),0,IF(OR(N(对接源_01水果!$B593)&lt;$N$2,N(对接源_01水果!$B593)&gt;$N$3),0,1))</f>
        <v>0</v>
      </c>
      <c r="P593" s="3">
        <f>IF(AND($K593=1,AND(对接源_01水果!$X593="公司筐",N(对接源_01水果!$T593)&lt;&gt;0)),1,0)</f>
        <v>0</v>
      </c>
      <c r="Q593" s="3">
        <f t="shared" si="164"/>
        <v>0</v>
      </c>
      <c r="R593" s="3">
        <f>IF(AND($K593=1,AND(对接源_01水果!$X593="公司筐",N(对接源_01水果!$U593)&lt;&gt;0)),1,0)</f>
        <v>0</v>
      </c>
      <c r="S593" s="3">
        <f t="shared" si="165"/>
        <v>0</v>
      </c>
      <c r="T593" s="3">
        <f>IF(AND($K593=1,AND(对接源_01水果!$X593="公司筐",N(对接源_01水果!$V593)&lt;&gt;0)),1,0)</f>
        <v>0</v>
      </c>
      <c r="U593" s="3">
        <f t="shared" si="166"/>
        <v>19</v>
      </c>
      <c r="V593" s="3">
        <f>IF(AND($L593=1,AND(对接源_01水果!$X593="自备筐",N(对接源_01水果!$V593)&lt;&gt;0)),1,0)</f>
        <v>0</v>
      </c>
      <c r="W593" s="3">
        <f t="shared" si="167"/>
        <v>8</v>
      </c>
      <c r="X593" s="3">
        <f>IF(AND($L593=1,AND(对接源_01水果!$X593="自备筐",N(对接源_01水果!$T593)&lt;&gt;0)),1,0)</f>
        <v>0</v>
      </c>
      <c r="Y593" s="3">
        <f t="shared" si="168"/>
        <v>0</v>
      </c>
      <c r="Z593" s="3">
        <f>IF(AND($M593=1,对接源_01水果!$D593="原料入库"),1,0)</f>
        <v>0</v>
      </c>
      <c r="AA593" s="3">
        <f t="shared" si="169"/>
        <v>24</v>
      </c>
      <c r="AB593" s="3">
        <f>IF(AND($M593=1,LEFT(对接源_01水果!$D593,4)="原料出库"),1,0)</f>
        <v>0</v>
      </c>
      <c r="AC593" s="3">
        <f t="shared" si="170"/>
        <v>0</v>
      </c>
      <c r="AD593" s="3">
        <f>IF(AND($M593=1,LEFT(对接源_01水果!$D593,4)="成品出库"),1,0)</f>
        <v>0</v>
      </c>
      <c r="AE593" s="3">
        <f t="shared" si="171"/>
        <v>0</v>
      </c>
      <c r="AF593" s="3">
        <f>IF(AND($N593=1,AND(LEFT(对接源_01水果!$D593,4)="包装物料",N(对接源_01水果!$K593)&lt;&gt;0)),1,0)</f>
        <v>0</v>
      </c>
      <c r="AG593" s="3">
        <f t="shared" si="172"/>
        <v>0</v>
      </c>
      <c r="AH593" s="3">
        <f>IF(AND($N593=1,AND(对接源_01水果!$D593="周转筐－销售出库",N(对接源_01水果!$K593)&lt;&gt;0)),1,0)</f>
        <v>0</v>
      </c>
      <c r="AI593" s="3">
        <f t="shared" si="173"/>
        <v>0</v>
      </c>
      <c r="AJ593" s="7"/>
      <c r="AL593" s="3">
        <f>IF(OR($AL$1="",对接源_01水果!$Y593="",对接源_01水果!$Y593&lt;&gt;$AL$1,对接源_01水果!$B593="",N(对接源_01水果!$AJ593)&lt;=0),0,IF(OR(N(对接源_01水果!$B593)&lt;$AL$2,N(对接源_01水果!$B593)&gt;$AL$3),0,1))</f>
        <v>0</v>
      </c>
      <c r="AM593" s="3">
        <f t="shared" si="174"/>
        <v>1</v>
      </c>
      <c r="AN593" s="3" t="str">
        <f>IF(对接源_01水果!$AC593="","",对接源_01水果!$AC593)</f>
        <v/>
      </c>
      <c r="AO593" s="3">
        <f t="shared" si="175"/>
        <v>0</v>
      </c>
      <c r="AP593" s="3">
        <f t="shared" si="176"/>
        <v>8</v>
      </c>
      <c r="AR593">
        <f t="shared" si="177"/>
        <v>0</v>
      </c>
      <c r="AS593">
        <f t="shared" si="178"/>
        <v>0</v>
      </c>
    </row>
    <row r="594" ht="14.25" customHeight="1" spans="1:45">
      <c r="A594" s="3" t="str">
        <f>IF(对接源_01水果!$C594="","",对接源_01水果!$C594)</f>
        <v/>
      </c>
      <c r="B594" s="3">
        <f t="shared" si="162"/>
        <v>0</v>
      </c>
      <c r="C594" s="3">
        <f t="shared" si="163"/>
        <v>18</v>
      </c>
      <c r="K594" s="3">
        <f>IF(OR($K$1="",对接源_01水果!$C594="",对接源_01水果!$C594&lt;&gt;$K$1,对接源_01水果!$B594=""),0,IF(OR(N(对接源_01水果!$B594)&lt;$K$2,N(对接源_01水果!$B594)&gt;$K$3),0,1))</f>
        <v>0</v>
      </c>
      <c r="L594" s="3">
        <f>IF(OR($L$1="",对接源_01水果!$C594="",对接源_01水果!$C594&lt;&gt;$L$1,对接源_01水果!$B594=""),0,IF(OR(N(对接源_01水果!$B594)&lt;$L$2,N(对接源_01水果!$B594)&gt;$L$3),0,1))</f>
        <v>0</v>
      </c>
      <c r="M594" s="3">
        <f>IF(OR($M$1="",对接源_01水果!$C594="",对接源_01水果!$C594&lt;&gt;$M$1,对接源_01水果!$B594=""),0,IF(OR(N(对接源_01水果!$B594)&lt;$M$2,N(对接源_01水果!$B594)&gt;$M$3),0,1))</f>
        <v>0</v>
      </c>
      <c r="N594" s="3">
        <f>IF(OR($N$1="",对接源_01水果!$C594="",对接源_01水果!$C594&lt;&gt;$N$1,对接源_01水果!$B594=""),0,IF(OR(N(对接源_01水果!$B594)&lt;$N$2,N(对接源_01水果!$B594)&gt;$N$3),0,1))</f>
        <v>0</v>
      </c>
      <c r="P594" s="3">
        <f>IF(AND($K594=1,AND(对接源_01水果!$X594="公司筐",N(对接源_01水果!$T594)&lt;&gt;0)),1,0)</f>
        <v>0</v>
      </c>
      <c r="Q594" s="3">
        <f t="shared" si="164"/>
        <v>0</v>
      </c>
      <c r="R594" s="3">
        <f>IF(AND($K594=1,AND(对接源_01水果!$X594="公司筐",N(对接源_01水果!$U594)&lt;&gt;0)),1,0)</f>
        <v>0</v>
      </c>
      <c r="S594" s="3">
        <f t="shared" si="165"/>
        <v>0</v>
      </c>
      <c r="T594" s="3">
        <f>IF(AND($K594=1,AND(对接源_01水果!$X594="公司筐",N(对接源_01水果!$V594)&lt;&gt;0)),1,0)</f>
        <v>0</v>
      </c>
      <c r="U594" s="3">
        <f t="shared" si="166"/>
        <v>19</v>
      </c>
      <c r="V594" s="3">
        <f>IF(AND($L594=1,AND(对接源_01水果!$X594="自备筐",N(对接源_01水果!$V594)&lt;&gt;0)),1,0)</f>
        <v>0</v>
      </c>
      <c r="W594" s="3">
        <f t="shared" si="167"/>
        <v>8</v>
      </c>
      <c r="X594" s="3">
        <f>IF(AND($L594=1,AND(对接源_01水果!$X594="自备筐",N(对接源_01水果!$T594)&lt;&gt;0)),1,0)</f>
        <v>0</v>
      </c>
      <c r="Y594" s="3">
        <f t="shared" si="168"/>
        <v>0</v>
      </c>
      <c r="Z594" s="3">
        <f>IF(AND($M594=1,对接源_01水果!$D594="原料入库"),1,0)</f>
        <v>0</v>
      </c>
      <c r="AA594" s="3">
        <f t="shared" si="169"/>
        <v>24</v>
      </c>
      <c r="AB594" s="3">
        <f>IF(AND($M594=1,LEFT(对接源_01水果!$D594,4)="原料出库"),1,0)</f>
        <v>0</v>
      </c>
      <c r="AC594" s="3">
        <f t="shared" si="170"/>
        <v>0</v>
      </c>
      <c r="AD594" s="3">
        <f>IF(AND($M594=1,LEFT(对接源_01水果!$D594,4)="成品出库"),1,0)</f>
        <v>0</v>
      </c>
      <c r="AE594" s="3">
        <f t="shared" si="171"/>
        <v>0</v>
      </c>
      <c r="AF594" s="3">
        <f>IF(AND($N594=1,AND(LEFT(对接源_01水果!$D594,4)="包装物料",N(对接源_01水果!$K594)&lt;&gt;0)),1,0)</f>
        <v>0</v>
      </c>
      <c r="AG594" s="3">
        <f t="shared" si="172"/>
        <v>0</v>
      </c>
      <c r="AH594" s="3">
        <f>IF(AND($N594=1,AND(对接源_01水果!$D594="周转筐－销售出库",N(对接源_01水果!$K594)&lt;&gt;0)),1,0)</f>
        <v>0</v>
      </c>
      <c r="AI594" s="3">
        <f t="shared" si="173"/>
        <v>0</v>
      </c>
      <c r="AJ594" s="7"/>
      <c r="AL594" s="3">
        <f>IF(OR($AL$1="",对接源_01水果!$Y594="",对接源_01水果!$Y594&lt;&gt;$AL$1,对接源_01水果!$B594="",N(对接源_01水果!$AJ594)&lt;=0),0,IF(OR(N(对接源_01水果!$B594)&lt;$AL$2,N(对接源_01水果!$B594)&gt;$AL$3),0,1))</f>
        <v>0</v>
      </c>
      <c r="AM594" s="3">
        <f t="shared" si="174"/>
        <v>1</v>
      </c>
      <c r="AN594" s="3" t="str">
        <f>IF(对接源_01水果!$AC594="","",对接源_01水果!$AC594)</f>
        <v/>
      </c>
      <c r="AO594" s="3">
        <f t="shared" si="175"/>
        <v>0</v>
      </c>
      <c r="AP594" s="3">
        <f t="shared" si="176"/>
        <v>8</v>
      </c>
      <c r="AR594">
        <f t="shared" si="177"/>
        <v>0</v>
      </c>
      <c r="AS594">
        <f t="shared" si="178"/>
        <v>0</v>
      </c>
    </row>
    <row r="595" ht="14.25" customHeight="1" spans="1:45">
      <c r="A595" s="3" t="str">
        <f>IF(对接源_01水果!$C595="","",对接源_01水果!$C595)</f>
        <v/>
      </c>
      <c r="B595" s="3">
        <f t="shared" si="162"/>
        <v>0</v>
      </c>
      <c r="C595" s="3">
        <f t="shared" si="163"/>
        <v>18</v>
      </c>
      <c r="K595" s="3">
        <f>IF(OR($K$1="",对接源_01水果!$C595="",对接源_01水果!$C595&lt;&gt;$K$1,对接源_01水果!$B595=""),0,IF(OR(N(对接源_01水果!$B595)&lt;$K$2,N(对接源_01水果!$B595)&gt;$K$3),0,1))</f>
        <v>0</v>
      </c>
      <c r="L595" s="3">
        <f>IF(OR($L$1="",对接源_01水果!$C595="",对接源_01水果!$C595&lt;&gt;$L$1,对接源_01水果!$B595=""),0,IF(OR(N(对接源_01水果!$B595)&lt;$L$2,N(对接源_01水果!$B595)&gt;$L$3),0,1))</f>
        <v>0</v>
      </c>
      <c r="M595" s="3">
        <f>IF(OR($M$1="",对接源_01水果!$C595="",对接源_01水果!$C595&lt;&gt;$M$1,对接源_01水果!$B595=""),0,IF(OR(N(对接源_01水果!$B595)&lt;$M$2,N(对接源_01水果!$B595)&gt;$M$3),0,1))</f>
        <v>0</v>
      </c>
      <c r="N595" s="3">
        <f>IF(OR($N$1="",对接源_01水果!$C595="",对接源_01水果!$C595&lt;&gt;$N$1,对接源_01水果!$B595=""),0,IF(OR(N(对接源_01水果!$B595)&lt;$N$2,N(对接源_01水果!$B595)&gt;$N$3),0,1))</f>
        <v>0</v>
      </c>
      <c r="P595" s="3">
        <f>IF(AND($K595=1,AND(对接源_01水果!$X595="公司筐",N(对接源_01水果!$T595)&lt;&gt;0)),1,0)</f>
        <v>0</v>
      </c>
      <c r="Q595" s="3">
        <f t="shared" si="164"/>
        <v>0</v>
      </c>
      <c r="R595" s="3">
        <f>IF(AND($K595=1,AND(对接源_01水果!$X595="公司筐",N(对接源_01水果!$U595)&lt;&gt;0)),1,0)</f>
        <v>0</v>
      </c>
      <c r="S595" s="3">
        <f t="shared" si="165"/>
        <v>0</v>
      </c>
      <c r="T595" s="3">
        <f>IF(AND($K595=1,AND(对接源_01水果!$X595="公司筐",N(对接源_01水果!$V595)&lt;&gt;0)),1,0)</f>
        <v>0</v>
      </c>
      <c r="U595" s="3">
        <f t="shared" si="166"/>
        <v>19</v>
      </c>
      <c r="V595" s="3">
        <f>IF(AND($L595=1,AND(对接源_01水果!$X595="自备筐",N(对接源_01水果!$V595)&lt;&gt;0)),1,0)</f>
        <v>0</v>
      </c>
      <c r="W595" s="3">
        <f t="shared" si="167"/>
        <v>8</v>
      </c>
      <c r="X595" s="3">
        <f>IF(AND($L595=1,AND(对接源_01水果!$X595="自备筐",N(对接源_01水果!$T595)&lt;&gt;0)),1,0)</f>
        <v>0</v>
      </c>
      <c r="Y595" s="3">
        <f t="shared" si="168"/>
        <v>0</v>
      </c>
      <c r="Z595" s="3">
        <f>IF(AND($M595=1,对接源_01水果!$D595="原料入库"),1,0)</f>
        <v>0</v>
      </c>
      <c r="AA595" s="3">
        <f t="shared" si="169"/>
        <v>24</v>
      </c>
      <c r="AB595" s="3">
        <f>IF(AND($M595=1,LEFT(对接源_01水果!$D595,4)="原料出库"),1,0)</f>
        <v>0</v>
      </c>
      <c r="AC595" s="3">
        <f t="shared" si="170"/>
        <v>0</v>
      </c>
      <c r="AD595" s="3">
        <f>IF(AND($M595=1,LEFT(对接源_01水果!$D595,4)="成品出库"),1,0)</f>
        <v>0</v>
      </c>
      <c r="AE595" s="3">
        <f t="shared" si="171"/>
        <v>0</v>
      </c>
      <c r="AF595" s="3">
        <f>IF(AND($N595=1,AND(LEFT(对接源_01水果!$D595,4)="包装物料",N(对接源_01水果!$K595)&lt;&gt;0)),1,0)</f>
        <v>0</v>
      </c>
      <c r="AG595" s="3">
        <f t="shared" si="172"/>
        <v>0</v>
      </c>
      <c r="AH595" s="3">
        <f>IF(AND($N595=1,AND(对接源_01水果!$D595="周转筐－销售出库",N(对接源_01水果!$K595)&lt;&gt;0)),1,0)</f>
        <v>0</v>
      </c>
      <c r="AI595" s="3">
        <f t="shared" si="173"/>
        <v>0</v>
      </c>
      <c r="AJ595" s="7"/>
      <c r="AL595" s="3">
        <f>IF(OR($AL$1="",对接源_01水果!$Y595="",对接源_01水果!$Y595&lt;&gt;$AL$1,对接源_01水果!$B595="",N(对接源_01水果!$AJ595)&lt;=0),0,IF(OR(N(对接源_01水果!$B595)&lt;$AL$2,N(对接源_01水果!$B595)&gt;$AL$3),0,1))</f>
        <v>0</v>
      </c>
      <c r="AM595" s="3">
        <f t="shared" si="174"/>
        <v>1</v>
      </c>
      <c r="AN595" s="3" t="str">
        <f>IF(对接源_01水果!$AC595="","",对接源_01水果!$AC595)</f>
        <v/>
      </c>
      <c r="AO595" s="3">
        <f t="shared" si="175"/>
        <v>0</v>
      </c>
      <c r="AP595" s="3">
        <f t="shared" si="176"/>
        <v>8</v>
      </c>
      <c r="AR595">
        <f t="shared" si="177"/>
        <v>0</v>
      </c>
      <c r="AS595">
        <f t="shared" si="178"/>
        <v>0</v>
      </c>
    </row>
    <row r="596" ht="14.25" customHeight="1" spans="1:45">
      <c r="A596" s="3" t="str">
        <f>IF(对接源_01水果!$C596="","",对接源_01水果!$C596)</f>
        <v/>
      </c>
      <c r="B596" s="3">
        <f t="shared" si="162"/>
        <v>0</v>
      </c>
      <c r="C596" s="3">
        <f t="shared" si="163"/>
        <v>18</v>
      </c>
      <c r="K596" s="3">
        <f>IF(OR($K$1="",对接源_01水果!$C596="",对接源_01水果!$C596&lt;&gt;$K$1,对接源_01水果!$B596=""),0,IF(OR(N(对接源_01水果!$B596)&lt;$K$2,N(对接源_01水果!$B596)&gt;$K$3),0,1))</f>
        <v>0</v>
      </c>
      <c r="L596" s="3">
        <f>IF(OR($L$1="",对接源_01水果!$C596="",对接源_01水果!$C596&lt;&gt;$L$1,对接源_01水果!$B596=""),0,IF(OR(N(对接源_01水果!$B596)&lt;$L$2,N(对接源_01水果!$B596)&gt;$L$3),0,1))</f>
        <v>0</v>
      </c>
      <c r="M596" s="3">
        <f>IF(OR($M$1="",对接源_01水果!$C596="",对接源_01水果!$C596&lt;&gt;$M$1,对接源_01水果!$B596=""),0,IF(OR(N(对接源_01水果!$B596)&lt;$M$2,N(对接源_01水果!$B596)&gt;$M$3),0,1))</f>
        <v>0</v>
      </c>
      <c r="N596" s="3">
        <f>IF(OR($N$1="",对接源_01水果!$C596="",对接源_01水果!$C596&lt;&gt;$N$1,对接源_01水果!$B596=""),0,IF(OR(N(对接源_01水果!$B596)&lt;$N$2,N(对接源_01水果!$B596)&gt;$N$3),0,1))</f>
        <v>0</v>
      </c>
      <c r="P596" s="3">
        <f>IF(AND($K596=1,AND(对接源_01水果!$X596="公司筐",N(对接源_01水果!$T596)&lt;&gt;0)),1,0)</f>
        <v>0</v>
      </c>
      <c r="Q596" s="3">
        <f t="shared" si="164"/>
        <v>0</v>
      </c>
      <c r="R596" s="3">
        <f>IF(AND($K596=1,AND(对接源_01水果!$X596="公司筐",N(对接源_01水果!$U596)&lt;&gt;0)),1,0)</f>
        <v>0</v>
      </c>
      <c r="S596" s="3">
        <f t="shared" si="165"/>
        <v>0</v>
      </c>
      <c r="T596" s="3">
        <f>IF(AND($K596=1,AND(对接源_01水果!$X596="公司筐",N(对接源_01水果!$V596)&lt;&gt;0)),1,0)</f>
        <v>0</v>
      </c>
      <c r="U596" s="3">
        <f t="shared" si="166"/>
        <v>19</v>
      </c>
      <c r="V596" s="3">
        <f>IF(AND($L596=1,AND(对接源_01水果!$X596="自备筐",N(对接源_01水果!$V596)&lt;&gt;0)),1,0)</f>
        <v>0</v>
      </c>
      <c r="W596" s="3">
        <f t="shared" si="167"/>
        <v>8</v>
      </c>
      <c r="X596" s="3">
        <f>IF(AND($L596=1,AND(对接源_01水果!$X596="自备筐",N(对接源_01水果!$T596)&lt;&gt;0)),1,0)</f>
        <v>0</v>
      </c>
      <c r="Y596" s="3">
        <f t="shared" si="168"/>
        <v>0</v>
      </c>
      <c r="Z596" s="3">
        <f>IF(AND($M596=1,对接源_01水果!$D596="原料入库"),1,0)</f>
        <v>0</v>
      </c>
      <c r="AA596" s="3">
        <f t="shared" si="169"/>
        <v>24</v>
      </c>
      <c r="AB596" s="3">
        <f>IF(AND($M596=1,LEFT(对接源_01水果!$D596,4)="原料出库"),1,0)</f>
        <v>0</v>
      </c>
      <c r="AC596" s="3">
        <f t="shared" si="170"/>
        <v>0</v>
      </c>
      <c r="AD596" s="3">
        <f>IF(AND($M596=1,LEFT(对接源_01水果!$D596,4)="成品出库"),1,0)</f>
        <v>0</v>
      </c>
      <c r="AE596" s="3">
        <f t="shared" si="171"/>
        <v>0</v>
      </c>
      <c r="AF596" s="3">
        <f>IF(AND($N596=1,AND(LEFT(对接源_01水果!$D596,4)="包装物料",N(对接源_01水果!$K596)&lt;&gt;0)),1,0)</f>
        <v>0</v>
      </c>
      <c r="AG596" s="3">
        <f t="shared" si="172"/>
        <v>0</v>
      </c>
      <c r="AH596" s="3">
        <f>IF(AND($N596=1,AND(对接源_01水果!$D596="周转筐－销售出库",N(对接源_01水果!$K596)&lt;&gt;0)),1,0)</f>
        <v>0</v>
      </c>
      <c r="AI596" s="3">
        <f t="shared" si="173"/>
        <v>0</v>
      </c>
      <c r="AJ596" s="7"/>
      <c r="AL596" s="3">
        <f>IF(OR($AL$1="",对接源_01水果!$Y596="",对接源_01水果!$Y596&lt;&gt;$AL$1,对接源_01水果!$B596="",N(对接源_01水果!$AJ596)&lt;=0),0,IF(OR(N(对接源_01水果!$B596)&lt;$AL$2,N(对接源_01水果!$B596)&gt;$AL$3),0,1))</f>
        <v>0</v>
      </c>
      <c r="AM596" s="3">
        <f t="shared" si="174"/>
        <v>1</v>
      </c>
      <c r="AN596" s="3" t="str">
        <f>IF(对接源_01水果!$AC596="","",对接源_01水果!$AC596)</f>
        <v/>
      </c>
      <c r="AO596" s="3">
        <f t="shared" si="175"/>
        <v>0</v>
      </c>
      <c r="AP596" s="3">
        <f t="shared" si="176"/>
        <v>8</v>
      </c>
      <c r="AR596">
        <f t="shared" si="177"/>
        <v>0</v>
      </c>
      <c r="AS596">
        <f t="shared" si="178"/>
        <v>0</v>
      </c>
    </row>
    <row r="597" ht="14.25" customHeight="1" spans="1:45">
      <c r="A597" s="3" t="str">
        <f>IF(对接源_01水果!$C597="","",对接源_01水果!$C597)</f>
        <v/>
      </c>
      <c r="B597" s="3">
        <f t="shared" si="162"/>
        <v>0</v>
      </c>
      <c r="C597" s="3">
        <f t="shared" si="163"/>
        <v>18</v>
      </c>
      <c r="K597" s="3">
        <f>IF(OR($K$1="",对接源_01水果!$C597="",对接源_01水果!$C597&lt;&gt;$K$1,对接源_01水果!$B597=""),0,IF(OR(N(对接源_01水果!$B597)&lt;$K$2,N(对接源_01水果!$B597)&gt;$K$3),0,1))</f>
        <v>0</v>
      </c>
      <c r="L597" s="3">
        <f>IF(OR($L$1="",对接源_01水果!$C597="",对接源_01水果!$C597&lt;&gt;$L$1,对接源_01水果!$B597=""),0,IF(OR(N(对接源_01水果!$B597)&lt;$L$2,N(对接源_01水果!$B597)&gt;$L$3),0,1))</f>
        <v>0</v>
      </c>
      <c r="M597" s="3">
        <f>IF(OR($M$1="",对接源_01水果!$C597="",对接源_01水果!$C597&lt;&gt;$M$1,对接源_01水果!$B597=""),0,IF(OR(N(对接源_01水果!$B597)&lt;$M$2,N(对接源_01水果!$B597)&gt;$M$3),0,1))</f>
        <v>0</v>
      </c>
      <c r="N597" s="3">
        <f>IF(OR($N$1="",对接源_01水果!$C597="",对接源_01水果!$C597&lt;&gt;$N$1,对接源_01水果!$B597=""),0,IF(OR(N(对接源_01水果!$B597)&lt;$N$2,N(对接源_01水果!$B597)&gt;$N$3),0,1))</f>
        <v>0</v>
      </c>
      <c r="P597" s="3">
        <f>IF(AND($K597=1,AND(对接源_01水果!$X597="公司筐",N(对接源_01水果!$T597)&lt;&gt;0)),1,0)</f>
        <v>0</v>
      </c>
      <c r="Q597" s="3">
        <f t="shared" si="164"/>
        <v>0</v>
      </c>
      <c r="R597" s="3">
        <f>IF(AND($K597=1,AND(对接源_01水果!$X597="公司筐",N(对接源_01水果!$U597)&lt;&gt;0)),1,0)</f>
        <v>0</v>
      </c>
      <c r="S597" s="3">
        <f t="shared" si="165"/>
        <v>0</v>
      </c>
      <c r="T597" s="3">
        <f>IF(AND($K597=1,AND(对接源_01水果!$X597="公司筐",N(对接源_01水果!$V597)&lt;&gt;0)),1,0)</f>
        <v>0</v>
      </c>
      <c r="U597" s="3">
        <f t="shared" si="166"/>
        <v>19</v>
      </c>
      <c r="V597" s="3">
        <f>IF(AND($L597=1,AND(对接源_01水果!$X597="自备筐",N(对接源_01水果!$V597)&lt;&gt;0)),1,0)</f>
        <v>0</v>
      </c>
      <c r="W597" s="3">
        <f t="shared" si="167"/>
        <v>8</v>
      </c>
      <c r="X597" s="3">
        <f>IF(AND($L597=1,AND(对接源_01水果!$X597="自备筐",N(对接源_01水果!$T597)&lt;&gt;0)),1,0)</f>
        <v>0</v>
      </c>
      <c r="Y597" s="3">
        <f t="shared" si="168"/>
        <v>0</v>
      </c>
      <c r="Z597" s="3">
        <f>IF(AND($M597=1,对接源_01水果!$D597="原料入库"),1,0)</f>
        <v>0</v>
      </c>
      <c r="AA597" s="3">
        <f t="shared" si="169"/>
        <v>24</v>
      </c>
      <c r="AB597" s="3">
        <f>IF(AND($M597=1,LEFT(对接源_01水果!$D597,4)="原料出库"),1,0)</f>
        <v>0</v>
      </c>
      <c r="AC597" s="3">
        <f t="shared" si="170"/>
        <v>0</v>
      </c>
      <c r="AD597" s="3">
        <f>IF(AND($M597=1,LEFT(对接源_01水果!$D597,4)="成品出库"),1,0)</f>
        <v>0</v>
      </c>
      <c r="AE597" s="3">
        <f t="shared" si="171"/>
        <v>0</v>
      </c>
      <c r="AF597" s="3">
        <f>IF(AND($N597=1,AND(LEFT(对接源_01水果!$D597,4)="包装物料",N(对接源_01水果!$K597)&lt;&gt;0)),1,0)</f>
        <v>0</v>
      </c>
      <c r="AG597" s="3">
        <f t="shared" si="172"/>
        <v>0</v>
      </c>
      <c r="AH597" s="3">
        <f>IF(AND($N597=1,AND(对接源_01水果!$D597="周转筐－销售出库",N(对接源_01水果!$K597)&lt;&gt;0)),1,0)</f>
        <v>0</v>
      </c>
      <c r="AI597" s="3">
        <f t="shared" si="173"/>
        <v>0</v>
      </c>
      <c r="AJ597" s="7"/>
      <c r="AL597" s="3">
        <f>IF(OR($AL$1="",对接源_01水果!$Y597="",对接源_01水果!$Y597&lt;&gt;$AL$1,对接源_01水果!$B597="",N(对接源_01水果!$AJ597)&lt;=0),0,IF(OR(N(对接源_01水果!$B597)&lt;$AL$2,N(对接源_01水果!$B597)&gt;$AL$3),0,1))</f>
        <v>0</v>
      </c>
      <c r="AM597" s="3">
        <f t="shared" si="174"/>
        <v>1</v>
      </c>
      <c r="AN597" s="3" t="str">
        <f>IF(对接源_01水果!$AC597="","",对接源_01水果!$AC597)</f>
        <v/>
      </c>
      <c r="AO597" s="3">
        <f t="shared" si="175"/>
        <v>0</v>
      </c>
      <c r="AP597" s="3">
        <f t="shared" si="176"/>
        <v>8</v>
      </c>
      <c r="AR597">
        <f t="shared" si="177"/>
        <v>0</v>
      </c>
      <c r="AS597">
        <f t="shared" si="178"/>
        <v>0</v>
      </c>
    </row>
    <row r="598" ht="14.25" customHeight="1" spans="1:45">
      <c r="A598" s="3" t="str">
        <f>IF(对接源_01水果!$C598="","",对接源_01水果!$C598)</f>
        <v/>
      </c>
      <c r="B598" s="3">
        <f t="shared" si="162"/>
        <v>0</v>
      </c>
      <c r="C598" s="3">
        <f t="shared" si="163"/>
        <v>18</v>
      </c>
      <c r="K598" s="3">
        <f>IF(OR($K$1="",对接源_01水果!$C598="",对接源_01水果!$C598&lt;&gt;$K$1,对接源_01水果!$B598=""),0,IF(OR(N(对接源_01水果!$B598)&lt;$K$2,N(对接源_01水果!$B598)&gt;$K$3),0,1))</f>
        <v>0</v>
      </c>
      <c r="L598" s="3">
        <f>IF(OR($L$1="",对接源_01水果!$C598="",对接源_01水果!$C598&lt;&gt;$L$1,对接源_01水果!$B598=""),0,IF(OR(N(对接源_01水果!$B598)&lt;$L$2,N(对接源_01水果!$B598)&gt;$L$3),0,1))</f>
        <v>0</v>
      </c>
      <c r="M598" s="3">
        <f>IF(OR($M$1="",对接源_01水果!$C598="",对接源_01水果!$C598&lt;&gt;$M$1,对接源_01水果!$B598=""),0,IF(OR(N(对接源_01水果!$B598)&lt;$M$2,N(对接源_01水果!$B598)&gt;$M$3),0,1))</f>
        <v>0</v>
      </c>
      <c r="N598" s="3">
        <f>IF(OR($N$1="",对接源_01水果!$C598="",对接源_01水果!$C598&lt;&gt;$N$1,对接源_01水果!$B598=""),0,IF(OR(N(对接源_01水果!$B598)&lt;$N$2,N(对接源_01水果!$B598)&gt;$N$3),0,1))</f>
        <v>0</v>
      </c>
      <c r="P598" s="3">
        <f>IF(AND($K598=1,AND(对接源_01水果!$X598="公司筐",N(对接源_01水果!$T598)&lt;&gt;0)),1,0)</f>
        <v>0</v>
      </c>
      <c r="Q598" s="3">
        <f t="shared" si="164"/>
        <v>0</v>
      </c>
      <c r="R598" s="3">
        <f>IF(AND($K598=1,AND(对接源_01水果!$X598="公司筐",N(对接源_01水果!$U598)&lt;&gt;0)),1,0)</f>
        <v>0</v>
      </c>
      <c r="S598" s="3">
        <f t="shared" si="165"/>
        <v>0</v>
      </c>
      <c r="T598" s="3">
        <f>IF(AND($K598=1,AND(对接源_01水果!$X598="公司筐",N(对接源_01水果!$V598)&lt;&gt;0)),1,0)</f>
        <v>0</v>
      </c>
      <c r="U598" s="3">
        <f t="shared" si="166"/>
        <v>19</v>
      </c>
      <c r="V598" s="3">
        <f>IF(AND($L598=1,AND(对接源_01水果!$X598="自备筐",N(对接源_01水果!$V598)&lt;&gt;0)),1,0)</f>
        <v>0</v>
      </c>
      <c r="W598" s="3">
        <f t="shared" si="167"/>
        <v>8</v>
      </c>
      <c r="X598" s="3">
        <f>IF(AND($L598=1,AND(对接源_01水果!$X598="自备筐",N(对接源_01水果!$T598)&lt;&gt;0)),1,0)</f>
        <v>0</v>
      </c>
      <c r="Y598" s="3">
        <f t="shared" si="168"/>
        <v>0</v>
      </c>
      <c r="Z598" s="3">
        <f>IF(AND($M598=1,对接源_01水果!$D598="原料入库"),1,0)</f>
        <v>0</v>
      </c>
      <c r="AA598" s="3">
        <f t="shared" si="169"/>
        <v>24</v>
      </c>
      <c r="AB598" s="3">
        <f>IF(AND($M598=1,LEFT(对接源_01水果!$D598,4)="原料出库"),1,0)</f>
        <v>0</v>
      </c>
      <c r="AC598" s="3">
        <f t="shared" si="170"/>
        <v>0</v>
      </c>
      <c r="AD598" s="3">
        <f>IF(AND($M598=1,LEFT(对接源_01水果!$D598,4)="成品出库"),1,0)</f>
        <v>0</v>
      </c>
      <c r="AE598" s="3">
        <f t="shared" si="171"/>
        <v>0</v>
      </c>
      <c r="AF598" s="3">
        <f>IF(AND($N598=1,AND(LEFT(对接源_01水果!$D598,4)="包装物料",N(对接源_01水果!$K598)&lt;&gt;0)),1,0)</f>
        <v>0</v>
      </c>
      <c r="AG598" s="3">
        <f t="shared" si="172"/>
        <v>0</v>
      </c>
      <c r="AH598" s="3">
        <f>IF(AND($N598=1,AND(对接源_01水果!$D598="周转筐－销售出库",N(对接源_01水果!$K598)&lt;&gt;0)),1,0)</f>
        <v>0</v>
      </c>
      <c r="AI598" s="3">
        <f t="shared" si="173"/>
        <v>0</v>
      </c>
      <c r="AJ598" s="7"/>
      <c r="AL598" s="3">
        <f>IF(OR($AL$1="",对接源_01水果!$Y598="",对接源_01水果!$Y598&lt;&gt;$AL$1,对接源_01水果!$B598="",N(对接源_01水果!$AJ598)&lt;=0),0,IF(OR(N(对接源_01水果!$B598)&lt;$AL$2,N(对接源_01水果!$B598)&gt;$AL$3),0,1))</f>
        <v>0</v>
      </c>
      <c r="AM598" s="3">
        <f t="shared" si="174"/>
        <v>1</v>
      </c>
      <c r="AN598" s="3" t="str">
        <f>IF(对接源_01水果!$AC598="","",对接源_01水果!$AC598)</f>
        <v/>
      </c>
      <c r="AO598" s="3">
        <f t="shared" si="175"/>
        <v>0</v>
      </c>
      <c r="AP598" s="3">
        <f t="shared" si="176"/>
        <v>8</v>
      </c>
      <c r="AR598">
        <f t="shared" si="177"/>
        <v>0</v>
      </c>
      <c r="AS598">
        <f t="shared" si="178"/>
        <v>0</v>
      </c>
    </row>
    <row r="599" ht="14.25" customHeight="1" spans="1:45">
      <c r="A599" s="3" t="str">
        <f>IF(对接源_01水果!$C599="","",对接源_01水果!$C599)</f>
        <v/>
      </c>
      <c r="B599" s="3">
        <f t="shared" si="162"/>
        <v>0</v>
      </c>
      <c r="C599" s="3">
        <f t="shared" si="163"/>
        <v>18</v>
      </c>
      <c r="K599" s="3">
        <f>IF(OR($K$1="",对接源_01水果!$C599="",对接源_01水果!$C599&lt;&gt;$K$1,对接源_01水果!$B599=""),0,IF(OR(N(对接源_01水果!$B599)&lt;$K$2,N(对接源_01水果!$B599)&gt;$K$3),0,1))</f>
        <v>0</v>
      </c>
      <c r="L599" s="3">
        <f>IF(OR($L$1="",对接源_01水果!$C599="",对接源_01水果!$C599&lt;&gt;$L$1,对接源_01水果!$B599=""),0,IF(OR(N(对接源_01水果!$B599)&lt;$L$2,N(对接源_01水果!$B599)&gt;$L$3),0,1))</f>
        <v>0</v>
      </c>
      <c r="M599" s="3">
        <f>IF(OR($M$1="",对接源_01水果!$C599="",对接源_01水果!$C599&lt;&gt;$M$1,对接源_01水果!$B599=""),0,IF(OR(N(对接源_01水果!$B599)&lt;$M$2,N(对接源_01水果!$B599)&gt;$M$3),0,1))</f>
        <v>0</v>
      </c>
      <c r="N599" s="3">
        <f>IF(OR($N$1="",对接源_01水果!$C599="",对接源_01水果!$C599&lt;&gt;$N$1,对接源_01水果!$B599=""),0,IF(OR(N(对接源_01水果!$B599)&lt;$N$2,N(对接源_01水果!$B599)&gt;$N$3),0,1))</f>
        <v>0</v>
      </c>
      <c r="P599" s="3">
        <f>IF(AND($K599=1,AND(对接源_01水果!$X599="公司筐",N(对接源_01水果!$T599)&lt;&gt;0)),1,0)</f>
        <v>0</v>
      </c>
      <c r="Q599" s="3">
        <f t="shared" si="164"/>
        <v>0</v>
      </c>
      <c r="R599" s="3">
        <f>IF(AND($K599=1,AND(对接源_01水果!$X599="公司筐",N(对接源_01水果!$U599)&lt;&gt;0)),1,0)</f>
        <v>0</v>
      </c>
      <c r="S599" s="3">
        <f t="shared" si="165"/>
        <v>0</v>
      </c>
      <c r="T599" s="3">
        <f>IF(AND($K599=1,AND(对接源_01水果!$X599="公司筐",N(对接源_01水果!$V599)&lt;&gt;0)),1,0)</f>
        <v>0</v>
      </c>
      <c r="U599" s="3">
        <f t="shared" si="166"/>
        <v>19</v>
      </c>
      <c r="V599" s="3">
        <f>IF(AND($L599=1,AND(对接源_01水果!$X599="自备筐",N(对接源_01水果!$V599)&lt;&gt;0)),1,0)</f>
        <v>0</v>
      </c>
      <c r="W599" s="3">
        <f t="shared" si="167"/>
        <v>8</v>
      </c>
      <c r="X599" s="3">
        <f>IF(AND($L599=1,AND(对接源_01水果!$X599="自备筐",N(对接源_01水果!$T599)&lt;&gt;0)),1,0)</f>
        <v>0</v>
      </c>
      <c r="Y599" s="3">
        <f t="shared" si="168"/>
        <v>0</v>
      </c>
      <c r="Z599" s="3">
        <f>IF(AND($M599=1,对接源_01水果!$D599="原料入库"),1,0)</f>
        <v>0</v>
      </c>
      <c r="AA599" s="3">
        <f t="shared" si="169"/>
        <v>24</v>
      </c>
      <c r="AB599" s="3">
        <f>IF(AND($M599=1,LEFT(对接源_01水果!$D599,4)="原料出库"),1,0)</f>
        <v>0</v>
      </c>
      <c r="AC599" s="3">
        <f t="shared" si="170"/>
        <v>0</v>
      </c>
      <c r="AD599" s="3">
        <f>IF(AND($M599=1,LEFT(对接源_01水果!$D599,4)="成品出库"),1,0)</f>
        <v>0</v>
      </c>
      <c r="AE599" s="3">
        <f t="shared" si="171"/>
        <v>0</v>
      </c>
      <c r="AF599" s="3">
        <f>IF(AND($N599=1,AND(LEFT(对接源_01水果!$D599,4)="包装物料",N(对接源_01水果!$K599)&lt;&gt;0)),1,0)</f>
        <v>0</v>
      </c>
      <c r="AG599" s="3">
        <f t="shared" si="172"/>
        <v>0</v>
      </c>
      <c r="AH599" s="3">
        <f>IF(AND($N599=1,AND(对接源_01水果!$D599="周转筐－销售出库",N(对接源_01水果!$K599)&lt;&gt;0)),1,0)</f>
        <v>0</v>
      </c>
      <c r="AI599" s="3">
        <f t="shared" si="173"/>
        <v>0</v>
      </c>
      <c r="AJ599" s="7"/>
      <c r="AL599" s="3">
        <f>IF(OR($AL$1="",对接源_01水果!$Y599="",对接源_01水果!$Y599&lt;&gt;$AL$1,对接源_01水果!$B599="",N(对接源_01水果!$AJ599)&lt;=0),0,IF(OR(N(对接源_01水果!$B599)&lt;$AL$2,N(对接源_01水果!$B599)&gt;$AL$3),0,1))</f>
        <v>0</v>
      </c>
      <c r="AM599" s="3">
        <f t="shared" si="174"/>
        <v>1</v>
      </c>
      <c r="AN599" s="3" t="str">
        <f>IF(对接源_01水果!$AC599="","",对接源_01水果!$AC599)</f>
        <v/>
      </c>
      <c r="AO599" s="3">
        <f t="shared" si="175"/>
        <v>0</v>
      </c>
      <c r="AP599" s="3">
        <f t="shared" si="176"/>
        <v>8</v>
      </c>
      <c r="AR599">
        <f t="shared" si="177"/>
        <v>0</v>
      </c>
      <c r="AS599">
        <f t="shared" si="178"/>
        <v>0</v>
      </c>
    </row>
    <row r="600" ht="14.25" customHeight="1" spans="1:45">
      <c r="A600" s="3" t="str">
        <f>IF(对接源_01水果!$C600="","",对接源_01水果!$C600)</f>
        <v/>
      </c>
      <c r="B600" s="3">
        <f t="shared" si="162"/>
        <v>0</v>
      </c>
      <c r="C600" s="3">
        <f t="shared" si="163"/>
        <v>18</v>
      </c>
      <c r="K600" s="3">
        <f>IF(OR($K$1="",对接源_01水果!$C600="",对接源_01水果!$C600&lt;&gt;$K$1,对接源_01水果!$B600=""),0,IF(OR(N(对接源_01水果!$B600)&lt;$K$2,N(对接源_01水果!$B600)&gt;$K$3),0,1))</f>
        <v>0</v>
      </c>
      <c r="L600" s="3">
        <f>IF(OR($L$1="",对接源_01水果!$C600="",对接源_01水果!$C600&lt;&gt;$L$1,对接源_01水果!$B600=""),0,IF(OR(N(对接源_01水果!$B600)&lt;$L$2,N(对接源_01水果!$B600)&gt;$L$3),0,1))</f>
        <v>0</v>
      </c>
      <c r="M600" s="3">
        <f>IF(OR($M$1="",对接源_01水果!$C600="",对接源_01水果!$C600&lt;&gt;$M$1,对接源_01水果!$B600=""),0,IF(OR(N(对接源_01水果!$B600)&lt;$M$2,N(对接源_01水果!$B600)&gt;$M$3),0,1))</f>
        <v>0</v>
      </c>
      <c r="N600" s="3">
        <f>IF(OR($N$1="",对接源_01水果!$C600="",对接源_01水果!$C600&lt;&gt;$N$1,对接源_01水果!$B600=""),0,IF(OR(N(对接源_01水果!$B600)&lt;$N$2,N(对接源_01水果!$B600)&gt;$N$3),0,1))</f>
        <v>0</v>
      </c>
      <c r="P600" s="3">
        <f>IF(AND($K600=1,AND(对接源_01水果!$X600="公司筐",N(对接源_01水果!$T600)&lt;&gt;0)),1,0)</f>
        <v>0</v>
      </c>
      <c r="Q600" s="3">
        <f t="shared" si="164"/>
        <v>0</v>
      </c>
      <c r="R600" s="3">
        <f>IF(AND($K600=1,AND(对接源_01水果!$X600="公司筐",N(对接源_01水果!$U600)&lt;&gt;0)),1,0)</f>
        <v>0</v>
      </c>
      <c r="S600" s="3">
        <f t="shared" si="165"/>
        <v>0</v>
      </c>
      <c r="T600" s="3">
        <f>IF(AND($K600=1,AND(对接源_01水果!$X600="公司筐",N(对接源_01水果!$V600)&lt;&gt;0)),1,0)</f>
        <v>0</v>
      </c>
      <c r="U600" s="3">
        <f t="shared" si="166"/>
        <v>19</v>
      </c>
      <c r="V600" s="3">
        <f>IF(AND($L600=1,AND(对接源_01水果!$X600="自备筐",N(对接源_01水果!$V600)&lt;&gt;0)),1,0)</f>
        <v>0</v>
      </c>
      <c r="W600" s="3">
        <f t="shared" si="167"/>
        <v>8</v>
      </c>
      <c r="X600" s="3">
        <f>IF(AND($L600=1,AND(对接源_01水果!$X600="自备筐",N(对接源_01水果!$T600)&lt;&gt;0)),1,0)</f>
        <v>0</v>
      </c>
      <c r="Y600" s="3">
        <f t="shared" si="168"/>
        <v>0</v>
      </c>
      <c r="Z600" s="3">
        <f>IF(AND($M600=1,对接源_01水果!$D600="原料入库"),1,0)</f>
        <v>0</v>
      </c>
      <c r="AA600" s="3">
        <f t="shared" si="169"/>
        <v>24</v>
      </c>
      <c r="AB600" s="3">
        <f>IF(AND($M600=1,LEFT(对接源_01水果!$D600,4)="原料出库"),1,0)</f>
        <v>0</v>
      </c>
      <c r="AC600" s="3">
        <f t="shared" si="170"/>
        <v>0</v>
      </c>
      <c r="AD600" s="3">
        <f>IF(AND($M600=1,LEFT(对接源_01水果!$D600,4)="成品出库"),1,0)</f>
        <v>0</v>
      </c>
      <c r="AE600" s="3">
        <f t="shared" si="171"/>
        <v>0</v>
      </c>
      <c r="AF600" s="3">
        <f>IF(AND($N600=1,AND(LEFT(对接源_01水果!$D600,4)="包装物料",N(对接源_01水果!$K600)&lt;&gt;0)),1,0)</f>
        <v>0</v>
      </c>
      <c r="AG600" s="3">
        <f t="shared" si="172"/>
        <v>0</v>
      </c>
      <c r="AH600" s="3">
        <f>IF(AND($N600=1,AND(对接源_01水果!$D600="周转筐－销售出库",N(对接源_01水果!$K600)&lt;&gt;0)),1,0)</f>
        <v>0</v>
      </c>
      <c r="AI600" s="3">
        <f t="shared" si="173"/>
        <v>0</v>
      </c>
      <c r="AJ600" s="7"/>
      <c r="AL600" s="3">
        <f>IF(OR($AL$1="",对接源_01水果!$Y600="",对接源_01水果!$Y600&lt;&gt;$AL$1,对接源_01水果!$B600="",N(对接源_01水果!$AJ600)&lt;=0),0,IF(OR(N(对接源_01水果!$B600)&lt;$AL$2,N(对接源_01水果!$B600)&gt;$AL$3),0,1))</f>
        <v>0</v>
      </c>
      <c r="AM600" s="3">
        <f t="shared" si="174"/>
        <v>1</v>
      </c>
      <c r="AN600" s="3" t="str">
        <f>IF(对接源_01水果!$AC600="","",对接源_01水果!$AC600)</f>
        <v/>
      </c>
      <c r="AO600" s="3">
        <f t="shared" si="175"/>
        <v>0</v>
      </c>
      <c r="AP600" s="3">
        <f t="shared" si="176"/>
        <v>8</v>
      </c>
      <c r="AR600">
        <f t="shared" si="177"/>
        <v>0</v>
      </c>
      <c r="AS600">
        <f t="shared" si="178"/>
        <v>0</v>
      </c>
    </row>
    <row r="601" ht="14.25" customHeight="1" spans="1:45">
      <c r="A601" s="3" t="str">
        <f>IF(对接源_01水果!$C601="","",对接源_01水果!$C601)</f>
        <v/>
      </c>
      <c r="B601" s="3">
        <f t="shared" si="162"/>
        <v>0</v>
      </c>
      <c r="C601" s="3">
        <f t="shared" si="163"/>
        <v>18</v>
      </c>
      <c r="K601" s="3">
        <f>IF(OR($K$1="",对接源_01水果!$C601="",对接源_01水果!$C601&lt;&gt;$K$1,对接源_01水果!$B601=""),0,IF(OR(N(对接源_01水果!$B601)&lt;$K$2,N(对接源_01水果!$B601)&gt;$K$3),0,1))</f>
        <v>0</v>
      </c>
      <c r="L601" s="3">
        <f>IF(OR($L$1="",对接源_01水果!$C601="",对接源_01水果!$C601&lt;&gt;$L$1,对接源_01水果!$B601=""),0,IF(OR(N(对接源_01水果!$B601)&lt;$L$2,N(对接源_01水果!$B601)&gt;$L$3),0,1))</f>
        <v>0</v>
      </c>
      <c r="M601" s="3">
        <f>IF(OR($M$1="",对接源_01水果!$C601="",对接源_01水果!$C601&lt;&gt;$M$1,对接源_01水果!$B601=""),0,IF(OR(N(对接源_01水果!$B601)&lt;$M$2,N(对接源_01水果!$B601)&gt;$M$3),0,1))</f>
        <v>0</v>
      </c>
      <c r="N601" s="3">
        <f>IF(OR($N$1="",对接源_01水果!$C601="",对接源_01水果!$C601&lt;&gt;$N$1,对接源_01水果!$B601=""),0,IF(OR(N(对接源_01水果!$B601)&lt;$N$2,N(对接源_01水果!$B601)&gt;$N$3),0,1))</f>
        <v>0</v>
      </c>
      <c r="P601" s="3">
        <f>IF(AND($K601=1,AND(对接源_01水果!$X601="公司筐",N(对接源_01水果!$T601)&lt;&gt;0)),1,0)</f>
        <v>0</v>
      </c>
      <c r="Q601" s="3">
        <f t="shared" si="164"/>
        <v>0</v>
      </c>
      <c r="R601" s="3">
        <f>IF(AND($K601=1,AND(对接源_01水果!$X601="公司筐",N(对接源_01水果!$U601)&lt;&gt;0)),1,0)</f>
        <v>0</v>
      </c>
      <c r="S601" s="3">
        <f t="shared" si="165"/>
        <v>0</v>
      </c>
      <c r="T601" s="3">
        <f>IF(AND($K601=1,AND(对接源_01水果!$X601="公司筐",N(对接源_01水果!$V601)&lt;&gt;0)),1,0)</f>
        <v>0</v>
      </c>
      <c r="U601" s="3">
        <f t="shared" si="166"/>
        <v>19</v>
      </c>
      <c r="V601" s="3">
        <f>IF(AND($L601=1,AND(对接源_01水果!$X601="自备筐",N(对接源_01水果!$V601)&lt;&gt;0)),1,0)</f>
        <v>0</v>
      </c>
      <c r="W601" s="3">
        <f t="shared" si="167"/>
        <v>8</v>
      </c>
      <c r="X601" s="3">
        <f>IF(AND($L601=1,AND(对接源_01水果!$X601="自备筐",N(对接源_01水果!$T601)&lt;&gt;0)),1,0)</f>
        <v>0</v>
      </c>
      <c r="Y601" s="3">
        <f t="shared" si="168"/>
        <v>0</v>
      </c>
      <c r="Z601" s="3">
        <f>IF(AND($M601=1,对接源_01水果!$D601="原料入库"),1,0)</f>
        <v>0</v>
      </c>
      <c r="AA601" s="3">
        <f t="shared" si="169"/>
        <v>24</v>
      </c>
      <c r="AB601" s="3">
        <f>IF(AND($M601=1,LEFT(对接源_01水果!$D601,4)="原料出库"),1,0)</f>
        <v>0</v>
      </c>
      <c r="AC601" s="3">
        <f t="shared" si="170"/>
        <v>0</v>
      </c>
      <c r="AD601" s="3">
        <f>IF(AND($M601=1,LEFT(对接源_01水果!$D601,4)="成品出库"),1,0)</f>
        <v>0</v>
      </c>
      <c r="AE601" s="3">
        <f t="shared" si="171"/>
        <v>0</v>
      </c>
      <c r="AF601" s="3">
        <f>IF(AND($N601=1,AND(LEFT(对接源_01水果!$D601,4)="包装物料",N(对接源_01水果!$K601)&lt;&gt;0)),1,0)</f>
        <v>0</v>
      </c>
      <c r="AG601" s="3">
        <f t="shared" si="172"/>
        <v>0</v>
      </c>
      <c r="AH601" s="3">
        <f>IF(AND($N601=1,AND(对接源_01水果!$D601="周转筐－销售出库",N(对接源_01水果!$K601)&lt;&gt;0)),1,0)</f>
        <v>0</v>
      </c>
      <c r="AI601" s="3">
        <f t="shared" si="173"/>
        <v>0</v>
      </c>
      <c r="AJ601" s="7"/>
      <c r="AL601" s="3">
        <f>IF(OR($AL$1="",对接源_01水果!$Y601="",对接源_01水果!$Y601&lt;&gt;$AL$1,对接源_01水果!$B601="",N(对接源_01水果!$AJ601)&lt;=0),0,IF(OR(N(对接源_01水果!$B601)&lt;$AL$2,N(对接源_01水果!$B601)&gt;$AL$3),0,1))</f>
        <v>0</v>
      </c>
      <c r="AM601" s="3">
        <f t="shared" si="174"/>
        <v>1</v>
      </c>
      <c r="AN601" s="3" t="str">
        <f>IF(对接源_01水果!$AC601="","",对接源_01水果!$AC601)</f>
        <v/>
      </c>
      <c r="AO601" s="3">
        <f t="shared" si="175"/>
        <v>0</v>
      </c>
      <c r="AP601" s="3">
        <f t="shared" si="176"/>
        <v>8</v>
      </c>
      <c r="AR601">
        <f t="shared" si="177"/>
        <v>0</v>
      </c>
      <c r="AS601">
        <f t="shared" si="178"/>
        <v>0</v>
      </c>
    </row>
    <row r="602" ht="14.25" customHeight="1" spans="1:45">
      <c r="A602" s="3" t="str">
        <f>IF(对接源_01水果!$C602="","",对接源_01水果!$C602)</f>
        <v/>
      </c>
      <c r="B602" s="3">
        <f t="shared" si="162"/>
        <v>0</v>
      </c>
      <c r="C602" s="3">
        <f t="shared" si="163"/>
        <v>18</v>
      </c>
      <c r="K602" s="3">
        <f>IF(OR($K$1="",对接源_01水果!$C602="",对接源_01水果!$C602&lt;&gt;$K$1,对接源_01水果!$B602=""),0,IF(OR(N(对接源_01水果!$B602)&lt;$K$2,N(对接源_01水果!$B602)&gt;$K$3),0,1))</f>
        <v>0</v>
      </c>
      <c r="L602" s="3">
        <f>IF(OR($L$1="",对接源_01水果!$C602="",对接源_01水果!$C602&lt;&gt;$L$1,对接源_01水果!$B602=""),0,IF(OR(N(对接源_01水果!$B602)&lt;$L$2,N(对接源_01水果!$B602)&gt;$L$3),0,1))</f>
        <v>0</v>
      </c>
      <c r="M602" s="3">
        <f>IF(OR($M$1="",对接源_01水果!$C602="",对接源_01水果!$C602&lt;&gt;$M$1,对接源_01水果!$B602=""),0,IF(OR(N(对接源_01水果!$B602)&lt;$M$2,N(对接源_01水果!$B602)&gt;$M$3),0,1))</f>
        <v>0</v>
      </c>
      <c r="N602" s="3">
        <f>IF(OR($N$1="",对接源_01水果!$C602="",对接源_01水果!$C602&lt;&gt;$N$1,对接源_01水果!$B602=""),0,IF(OR(N(对接源_01水果!$B602)&lt;$N$2,N(对接源_01水果!$B602)&gt;$N$3),0,1))</f>
        <v>0</v>
      </c>
      <c r="P602" s="3">
        <f>IF(AND($K602=1,AND(对接源_01水果!$X602="公司筐",N(对接源_01水果!$T602)&lt;&gt;0)),1,0)</f>
        <v>0</v>
      </c>
      <c r="Q602" s="3">
        <f t="shared" si="164"/>
        <v>0</v>
      </c>
      <c r="R602" s="3">
        <f>IF(AND($K602=1,AND(对接源_01水果!$X602="公司筐",N(对接源_01水果!$U602)&lt;&gt;0)),1,0)</f>
        <v>0</v>
      </c>
      <c r="S602" s="3">
        <f t="shared" si="165"/>
        <v>0</v>
      </c>
      <c r="T602" s="3">
        <f>IF(AND($K602=1,AND(对接源_01水果!$X602="公司筐",N(对接源_01水果!$V602)&lt;&gt;0)),1,0)</f>
        <v>0</v>
      </c>
      <c r="U602" s="3">
        <f t="shared" si="166"/>
        <v>19</v>
      </c>
      <c r="V602" s="3">
        <f>IF(AND($L602=1,AND(对接源_01水果!$X602="自备筐",N(对接源_01水果!$V602)&lt;&gt;0)),1,0)</f>
        <v>0</v>
      </c>
      <c r="W602" s="3">
        <f t="shared" si="167"/>
        <v>8</v>
      </c>
      <c r="X602" s="3">
        <f>IF(AND($L602=1,AND(对接源_01水果!$X602="自备筐",N(对接源_01水果!$T602)&lt;&gt;0)),1,0)</f>
        <v>0</v>
      </c>
      <c r="Y602" s="3">
        <f t="shared" si="168"/>
        <v>0</v>
      </c>
      <c r="Z602" s="3">
        <f>IF(AND($M602=1,对接源_01水果!$D602="原料入库"),1,0)</f>
        <v>0</v>
      </c>
      <c r="AA602" s="3">
        <f t="shared" si="169"/>
        <v>24</v>
      </c>
      <c r="AB602" s="3">
        <f>IF(AND($M602=1,LEFT(对接源_01水果!$D602,4)="原料出库"),1,0)</f>
        <v>0</v>
      </c>
      <c r="AC602" s="3">
        <f t="shared" si="170"/>
        <v>0</v>
      </c>
      <c r="AD602" s="3">
        <f>IF(AND($M602=1,LEFT(对接源_01水果!$D602,4)="成品出库"),1,0)</f>
        <v>0</v>
      </c>
      <c r="AE602" s="3">
        <f t="shared" si="171"/>
        <v>0</v>
      </c>
      <c r="AF602" s="3">
        <f>IF(AND($N602=1,AND(LEFT(对接源_01水果!$D602,4)="包装物料",N(对接源_01水果!$K602)&lt;&gt;0)),1,0)</f>
        <v>0</v>
      </c>
      <c r="AG602" s="3">
        <f t="shared" si="172"/>
        <v>0</v>
      </c>
      <c r="AH602" s="3">
        <f>IF(AND($N602=1,AND(对接源_01水果!$D602="周转筐－销售出库",N(对接源_01水果!$K602)&lt;&gt;0)),1,0)</f>
        <v>0</v>
      </c>
      <c r="AI602" s="3">
        <f t="shared" si="173"/>
        <v>0</v>
      </c>
      <c r="AJ602" s="7"/>
      <c r="AL602" s="3">
        <f>IF(OR($AL$1="",对接源_01水果!$Y602="",对接源_01水果!$Y602&lt;&gt;$AL$1,对接源_01水果!$B602="",N(对接源_01水果!$AJ602)&lt;=0),0,IF(OR(N(对接源_01水果!$B602)&lt;$AL$2,N(对接源_01水果!$B602)&gt;$AL$3),0,1))</f>
        <v>0</v>
      </c>
      <c r="AM602" s="3">
        <f t="shared" si="174"/>
        <v>1</v>
      </c>
      <c r="AN602" s="3" t="str">
        <f>IF(对接源_01水果!$AC602="","",对接源_01水果!$AC602)</f>
        <v/>
      </c>
      <c r="AO602" s="3">
        <f t="shared" si="175"/>
        <v>0</v>
      </c>
      <c r="AP602" s="3">
        <f t="shared" si="176"/>
        <v>8</v>
      </c>
      <c r="AR602">
        <f t="shared" si="177"/>
        <v>0</v>
      </c>
      <c r="AS602">
        <f t="shared" si="178"/>
        <v>0</v>
      </c>
    </row>
    <row r="603" ht="14.25" customHeight="1" spans="1:45">
      <c r="A603" s="3" t="str">
        <f>IF(对接源_01水果!$C603="","",对接源_01水果!$C603)</f>
        <v/>
      </c>
      <c r="B603" s="3">
        <f t="shared" si="162"/>
        <v>0</v>
      </c>
      <c r="C603" s="3">
        <f t="shared" si="163"/>
        <v>18</v>
      </c>
      <c r="K603" s="3">
        <f>IF(OR($K$1="",对接源_01水果!$C603="",对接源_01水果!$C603&lt;&gt;$K$1,对接源_01水果!$B603=""),0,IF(OR(N(对接源_01水果!$B603)&lt;$K$2,N(对接源_01水果!$B603)&gt;$K$3),0,1))</f>
        <v>0</v>
      </c>
      <c r="L603" s="3">
        <f>IF(OR($L$1="",对接源_01水果!$C603="",对接源_01水果!$C603&lt;&gt;$L$1,对接源_01水果!$B603=""),0,IF(OR(N(对接源_01水果!$B603)&lt;$L$2,N(对接源_01水果!$B603)&gt;$L$3),0,1))</f>
        <v>0</v>
      </c>
      <c r="M603" s="3">
        <f>IF(OR($M$1="",对接源_01水果!$C603="",对接源_01水果!$C603&lt;&gt;$M$1,对接源_01水果!$B603=""),0,IF(OR(N(对接源_01水果!$B603)&lt;$M$2,N(对接源_01水果!$B603)&gt;$M$3),0,1))</f>
        <v>0</v>
      </c>
      <c r="N603" s="3">
        <f>IF(OR($N$1="",对接源_01水果!$C603="",对接源_01水果!$C603&lt;&gt;$N$1,对接源_01水果!$B603=""),0,IF(OR(N(对接源_01水果!$B603)&lt;$N$2,N(对接源_01水果!$B603)&gt;$N$3),0,1))</f>
        <v>0</v>
      </c>
      <c r="P603" s="3">
        <f>IF(AND($K603=1,AND(对接源_01水果!$X603="公司筐",N(对接源_01水果!$T603)&lt;&gt;0)),1,0)</f>
        <v>0</v>
      </c>
      <c r="Q603" s="3">
        <f t="shared" si="164"/>
        <v>0</v>
      </c>
      <c r="R603" s="3">
        <f>IF(AND($K603=1,AND(对接源_01水果!$X603="公司筐",N(对接源_01水果!$U603)&lt;&gt;0)),1,0)</f>
        <v>0</v>
      </c>
      <c r="S603" s="3">
        <f t="shared" si="165"/>
        <v>0</v>
      </c>
      <c r="T603" s="3">
        <f>IF(AND($K603=1,AND(对接源_01水果!$X603="公司筐",N(对接源_01水果!$V603)&lt;&gt;0)),1,0)</f>
        <v>0</v>
      </c>
      <c r="U603" s="3">
        <f t="shared" si="166"/>
        <v>19</v>
      </c>
      <c r="V603" s="3">
        <f>IF(AND($L603=1,AND(对接源_01水果!$X603="自备筐",N(对接源_01水果!$V603)&lt;&gt;0)),1,0)</f>
        <v>0</v>
      </c>
      <c r="W603" s="3">
        <f t="shared" si="167"/>
        <v>8</v>
      </c>
      <c r="X603" s="3">
        <f>IF(AND($L603=1,AND(对接源_01水果!$X603="自备筐",N(对接源_01水果!$T603)&lt;&gt;0)),1,0)</f>
        <v>0</v>
      </c>
      <c r="Y603" s="3">
        <f t="shared" si="168"/>
        <v>0</v>
      </c>
      <c r="Z603" s="3">
        <f>IF(AND($M603=1,对接源_01水果!$D603="原料入库"),1,0)</f>
        <v>0</v>
      </c>
      <c r="AA603" s="3">
        <f t="shared" si="169"/>
        <v>24</v>
      </c>
      <c r="AB603" s="3">
        <f>IF(AND($M603=1,LEFT(对接源_01水果!$D603,4)="原料出库"),1,0)</f>
        <v>0</v>
      </c>
      <c r="AC603" s="3">
        <f t="shared" si="170"/>
        <v>0</v>
      </c>
      <c r="AD603" s="3">
        <f>IF(AND($M603=1,LEFT(对接源_01水果!$D603,4)="成品出库"),1,0)</f>
        <v>0</v>
      </c>
      <c r="AE603" s="3">
        <f t="shared" si="171"/>
        <v>0</v>
      </c>
      <c r="AF603" s="3">
        <f>IF(AND($N603=1,AND(LEFT(对接源_01水果!$D603,4)="包装物料",N(对接源_01水果!$K603)&lt;&gt;0)),1,0)</f>
        <v>0</v>
      </c>
      <c r="AG603" s="3">
        <f t="shared" si="172"/>
        <v>0</v>
      </c>
      <c r="AH603" s="3">
        <f>IF(AND($N603=1,AND(对接源_01水果!$D603="周转筐－销售出库",N(对接源_01水果!$K603)&lt;&gt;0)),1,0)</f>
        <v>0</v>
      </c>
      <c r="AI603" s="3">
        <f t="shared" si="173"/>
        <v>0</v>
      </c>
      <c r="AJ603" s="7"/>
      <c r="AL603" s="3">
        <f>IF(OR($AL$1="",对接源_01水果!$Y603="",对接源_01水果!$Y603&lt;&gt;$AL$1,对接源_01水果!$B603="",N(对接源_01水果!$AJ603)&lt;=0),0,IF(OR(N(对接源_01水果!$B603)&lt;$AL$2,N(对接源_01水果!$B603)&gt;$AL$3),0,1))</f>
        <v>0</v>
      </c>
      <c r="AM603" s="3">
        <f t="shared" si="174"/>
        <v>1</v>
      </c>
      <c r="AN603" s="3" t="str">
        <f>IF(对接源_01水果!$AC603="","",对接源_01水果!$AC603)</f>
        <v/>
      </c>
      <c r="AO603" s="3">
        <f t="shared" si="175"/>
        <v>0</v>
      </c>
      <c r="AP603" s="3">
        <f t="shared" si="176"/>
        <v>8</v>
      </c>
      <c r="AR603">
        <f t="shared" si="177"/>
        <v>0</v>
      </c>
      <c r="AS603">
        <f t="shared" si="178"/>
        <v>0</v>
      </c>
    </row>
    <row r="604" ht="14.25" customHeight="1" spans="1:45">
      <c r="A604" s="3" t="str">
        <f>IF(对接源_01水果!$C604="","",对接源_01水果!$C604)</f>
        <v/>
      </c>
      <c r="B604" s="3">
        <f t="shared" si="162"/>
        <v>0</v>
      </c>
      <c r="C604" s="3">
        <f t="shared" si="163"/>
        <v>18</v>
      </c>
      <c r="K604" s="3">
        <f>IF(OR($K$1="",对接源_01水果!$C604="",对接源_01水果!$C604&lt;&gt;$K$1,对接源_01水果!$B604=""),0,IF(OR(N(对接源_01水果!$B604)&lt;$K$2,N(对接源_01水果!$B604)&gt;$K$3),0,1))</f>
        <v>0</v>
      </c>
      <c r="L604" s="3">
        <f>IF(OR($L$1="",对接源_01水果!$C604="",对接源_01水果!$C604&lt;&gt;$L$1,对接源_01水果!$B604=""),0,IF(OR(N(对接源_01水果!$B604)&lt;$L$2,N(对接源_01水果!$B604)&gt;$L$3),0,1))</f>
        <v>0</v>
      </c>
      <c r="M604" s="3">
        <f>IF(OR($M$1="",对接源_01水果!$C604="",对接源_01水果!$C604&lt;&gt;$M$1,对接源_01水果!$B604=""),0,IF(OR(N(对接源_01水果!$B604)&lt;$M$2,N(对接源_01水果!$B604)&gt;$M$3),0,1))</f>
        <v>0</v>
      </c>
      <c r="N604" s="3">
        <f>IF(OR($N$1="",对接源_01水果!$C604="",对接源_01水果!$C604&lt;&gt;$N$1,对接源_01水果!$B604=""),0,IF(OR(N(对接源_01水果!$B604)&lt;$N$2,N(对接源_01水果!$B604)&gt;$N$3),0,1))</f>
        <v>0</v>
      </c>
      <c r="P604" s="3">
        <f>IF(AND($K604=1,AND(对接源_01水果!$X604="公司筐",N(对接源_01水果!$T604)&lt;&gt;0)),1,0)</f>
        <v>0</v>
      </c>
      <c r="Q604" s="3">
        <f t="shared" si="164"/>
        <v>0</v>
      </c>
      <c r="R604" s="3">
        <f>IF(AND($K604=1,AND(对接源_01水果!$X604="公司筐",N(对接源_01水果!$U604)&lt;&gt;0)),1,0)</f>
        <v>0</v>
      </c>
      <c r="S604" s="3">
        <f t="shared" si="165"/>
        <v>0</v>
      </c>
      <c r="T604" s="3">
        <f>IF(AND($K604=1,AND(对接源_01水果!$X604="公司筐",N(对接源_01水果!$V604)&lt;&gt;0)),1,0)</f>
        <v>0</v>
      </c>
      <c r="U604" s="3">
        <f t="shared" si="166"/>
        <v>19</v>
      </c>
      <c r="V604" s="3">
        <f>IF(AND($L604=1,AND(对接源_01水果!$X604="自备筐",N(对接源_01水果!$V604)&lt;&gt;0)),1,0)</f>
        <v>0</v>
      </c>
      <c r="W604" s="3">
        <f t="shared" si="167"/>
        <v>8</v>
      </c>
      <c r="X604" s="3">
        <f>IF(AND($L604=1,AND(对接源_01水果!$X604="自备筐",N(对接源_01水果!$T604)&lt;&gt;0)),1,0)</f>
        <v>0</v>
      </c>
      <c r="Y604" s="3">
        <f t="shared" si="168"/>
        <v>0</v>
      </c>
      <c r="Z604" s="3">
        <f>IF(AND($M604=1,对接源_01水果!$D604="原料入库"),1,0)</f>
        <v>0</v>
      </c>
      <c r="AA604" s="3">
        <f t="shared" si="169"/>
        <v>24</v>
      </c>
      <c r="AB604" s="3">
        <f>IF(AND($M604=1,LEFT(对接源_01水果!$D604,4)="原料出库"),1,0)</f>
        <v>0</v>
      </c>
      <c r="AC604" s="3">
        <f t="shared" si="170"/>
        <v>0</v>
      </c>
      <c r="AD604" s="3">
        <f>IF(AND($M604=1,LEFT(对接源_01水果!$D604,4)="成品出库"),1,0)</f>
        <v>0</v>
      </c>
      <c r="AE604" s="3">
        <f t="shared" si="171"/>
        <v>0</v>
      </c>
      <c r="AF604" s="3">
        <f>IF(AND($N604=1,AND(LEFT(对接源_01水果!$D604,4)="包装物料",N(对接源_01水果!$K604)&lt;&gt;0)),1,0)</f>
        <v>0</v>
      </c>
      <c r="AG604" s="3">
        <f t="shared" si="172"/>
        <v>0</v>
      </c>
      <c r="AH604" s="3">
        <f>IF(AND($N604=1,AND(对接源_01水果!$D604="周转筐－销售出库",N(对接源_01水果!$K604)&lt;&gt;0)),1,0)</f>
        <v>0</v>
      </c>
      <c r="AI604" s="3">
        <f t="shared" si="173"/>
        <v>0</v>
      </c>
      <c r="AJ604" s="7"/>
      <c r="AL604" s="3">
        <f>IF(OR($AL$1="",对接源_01水果!$Y604="",对接源_01水果!$Y604&lt;&gt;$AL$1,对接源_01水果!$B604="",N(对接源_01水果!$AJ604)&lt;=0),0,IF(OR(N(对接源_01水果!$B604)&lt;$AL$2,N(对接源_01水果!$B604)&gt;$AL$3),0,1))</f>
        <v>0</v>
      </c>
      <c r="AM604" s="3">
        <f t="shared" si="174"/>
        <v>1</v>
      </c>
      <c r="AN604" s="3" t="str">
        <f>IF(对接源_01水果!$AC604="","",对接源_01水果!$AC604)</f>
        <v/>
      </c>
      <c r="AO604" s="3">
        <f t="shared" si="175"/>
        <v>0</v>
      </c>
      <c r="AP604" s="3">
        <f t="shared" si="176"/>
        <v>8</v>
      </c>
      <c r="AR604">
        <f t="shared" si="177"/>
        <v>0</v>
      </c>
      <c r="AS604">
        <f t="shared" si="178"/>
        <v>0</v>
      </c>
    </row>
    <row r="605" ht="14.25" customHeight="1" spans="1:45">
      <c r="A605" s="3" t="str">
        <f>IF(对接源_01水果!$C605="","",对接源_01水果!$C605)</f>
        <v/>
      </c>
      <c r="B605" s="3">
        <f t="shared" si="162"/>
        <v>0</v>
      </c>
      <c r="C605" s="3">
        <f t="shared" si="163"/>
        <v>18</v>
      </c>
      <c r="K605" s="3">
        <f>IF(OR($K$1="",对接源_01水果!$C605="",对接源_01水果!$C605&lt;&gt;$K$1,对接源_01水果!$B605=""),0,IF(OR(N(对接源_01水果!$B605)&lt;$K$2,N(对接源_01水果!$B605)&gt;$K$3),0,1))</f>
        <v>0</v>
      </c>
      <c r="L605" s="3">
        <f>IF(OR($L$1="",对接源_01水果!$C605="",对接源_01水果!$C605&lt;&gt;$L$1,对接源_01水果!$B605=""),0,IF(OR(N(对接源_01水果!$B605)&lt;$L$2,N(对接源_01水果!$B605)&gt;$L$3),0,1))</f>
        <v>0</v>
      </c>
      <c r="M605" s="3">
        <f>IF(OR($M$1="",对接源_01水果!$C605="",对接源_01水果!$C605&lt;&gt;$M$1,对接源_01水果!$B605=""),0,IF(OR(N(对接源_01水果!$B605)&lt;$M$2,N(对接源_01水果!$B605)&gt;$M$3),0,1))</f>
        <v>0</v>
      </c>
      <c r="N605" s="3">
        <f>IF(OR($N$1="",对接源_01水果!$C605="",对接源_01水果!$C605&lt;&gt;$N$1,对接源_01水果!$B605=""),0,IF(OR(N(对接源_01水果!$B605)&lt;$N$2,N(对接源_01水果!$B605)&gt;$N$3),0,1))</f>
        <v>0</v>
      </c>
      <c r="P605" s="3">
        <f>IF(AND($K605=1,AND(对接源_01水果!$X605="公司筐",N(对接源_01水果!$T605)&lt;&gt;0)),1,0)</f>
        <v>0</v>
      </c>
      <c r="Q605" s="3">
        <f t="shared" si="164"/>
        <v>0</v>
      </c>
      <c r="R605" s="3">
        <f>IF(AND($K605=1,AND(对接源_01水果!$X605="公司筐",N(对接源_01水果!$U605)&lt;&gt;0)),1,0)</f>
        <v>0</v>
      </c>
      <c r="S605" s="3">
        <f t="shared" si="165"/>
        <v>0</v>
      </c>
      <c r="T605" s="3">
        <f>IF(AND($K605=1,AND(对接源_01水果!$X605="公司筐",N(对接源_01水果!$V605)&lt;&gt;0)),1,0)</f>
        <v>0</v>
      </c>
      <c r="U605" s="3">
        <f t="shared" si="166"/>
        <v>19</v>
      </c>
      <c r="V605" s="3">
        <f>IF(AND($L605=1,AND(对接源_01水果!$X605="自备筐",N(对接源_01水果!$V605)&lt;&gt;0)),1,0)</f>
        <v>0</v>
      </c>
      <c r="W605" s="3">
        <f t="shared" si="167"/>
        <v>8</v>
      </c>
      <c r="X605" s="3">
        <f>IF(AND($L605=1,AND(对接源_01水果!$X605="自备筐",N(对接源_01水果!$T605)&lt;&gt;0)),1,0)</f>
        <v>0</v>
      </c>
      <c r="Y605" s="3">
        <f t="shared" si="168"/>
        <v>0</v>
      </c>
      <c r="Z605" s="3">
        <f>IF(AND($M605=1,对接源_01水果!$D605="原料入库"),1,0)</f>
        <v>0</v>
      </c>
      <c r="AA605" s="3">
        <f t="shared" si="169"/>
        <v>24</v>
      </c>
      <c r="AB605" s="3">
        <f>IF(AND($M605=1,LEFT(对接源_01水果!$D605,4)="原料出库"),1,0)</f>
        <v>0</v>
      </c>
      <c r="AC605" s="3">
        <f t="shared" si="170"/>
        <v>0</v>
      </c>
      <c r="AD605" s="3">
        <f>IF(AND($M605=1,LEFT(对接源_01水果!$D605,4)="成品出库"),1,0)</f>
        <v>0</v>
      </c>
      <c r="AE605" s="3">
        <f t="shared" si="171"/>
        <v>0</v>
      </c>
      <c r="AF605" s="3">
        <f>IF(AND($N605=1,AND(LEFT(对接源_01水果!$D605,4)="包装物料",N(对接源_01水果!$K605)&lt;&gt;0)),1,0)</f>
        <v>0</v>
      </c>
      <c r="AG605" s="3">
        <f t="shared" si="172"/>
        <v>0</v>
      </c>
      <c r="AH605" s="3">
        <f>IF(AND($N605=1,AND(对接源_01水果!$D605="周转筐－销售出库",N(对接源_01水果!$K605)&lt;&gt;0)),1,0)</f>
        <v>0</v>
      </c>
      <c r="AI605" s="3">
        <f t="shared" si="173"/>
        <v>0</v>
      </c>
      <c r="AJ605" s="7"/>
      <c r="AL605" s="3">
        <f>IF(OR($AL$1="",对接源_01水果!$Y605="",对接源_01水果!$Y605&lt;&gt;$AL$1,对接源_01水果!$B605="",N(对接源_01水果!$AJ605)&lt;=0),0,IF(OR(N(对接源_01水果!$B605)&lt;$AL$2,N(对接源_01水果!$B605)&gt;$AL$3),0,1))</f>
        <v>0</v>
      </c>
      <c r="AM605" s="3">
        <f t="shared" si="174"/>
        <v>1</v>
      </c>
      <c r="AN605" s="3" t="str">
        <f>IF(对接源_01水果!$AC605="","",对接源_01水果!$AC605)</f>
        <v/>
      </c>
      <c r="AO605" s="3">
        <f t="shared" si="175"/>
        <v>0</v>
      </c>
      <c r="AP605" s="3">
        <f t="shared" si="176"/>
        <v>8</v>
      </c>
      <c r="AR605">
        <f t="shared" si="177"/>
        <v>0</v>
      </c>
      <c r="AS605">
        <f t="shared" si="178"/>
        <v>0</v>
      </c>
    </row>
    <row r="606" ht="14.25" customHeight="1" spans="1:45">
      <c r="A606" s="3" t="str">
        <f>IF(对接源_01水果!$C606="","",对接源_01水果!$C606)</f>
        <v/>
      </c>
      <c r="B606" s="3">
        <f t="shared" si="162"/>
        <v>0</v>
      </c>
      <c r="C606" s="3">
        <f t="shared" si="163"/>
        <v>18</v>
      </c>
      <c r="K606" s="3">
        <f>IF(OR($K$1="",对接源_01水果!$C606="",对接源_01水果!$C606&lt;&gt;$K$1,对接源_01水果!$B606=""),0,IF(OR(N(对接源_01水果!$B606)&lt;$K$2,N(对接源_01水果!$B606)&gt;$K$3),0,1))</f>
        <v>0</v>
      </c>
      <c r="L606" s="3">
        <f>IF(OR($L$1="",对接源_01水果!$C606="",对接源_01水果!$C606&lt;&gt;$L$1,对接源_01水果!$B606=""),0,IF(OR(N(对接源_01水果!$B606)&lt;$L$2,N(对接源_01水果!$B606)&gt;$L$3),0,1))</f>
        <v>0</v>
      </c>
      <c r="M606" s="3">
        <f>IF(OR($M$1="",对接源_01水果!$C606="",对接源_01水果!$C606&lt;&gt;$M$1,对接源_01水果!$B606=""),0,IF(OR(N(对接源_01水果!$B606)&lt;$M$2,N(对接源_01水果!$B606)&gt;$M$3),0,1))</f>
        <v>0</v>
      </c>
      <c r="N606" s="3">
        <f>IF(OR($N$1="",对接源_01水果!$C606="",对接源_01水果!$C606&lt;&gt;$N$1,对接源_01水果!$B606=""),0,IF(OR(N(对接源_01水果!$B606)&lt;$N$2,N(对接源_01水果!$B606)&gt;$N$3),0,1))</f>
        <v>0</v>
      </c>
      <c r="P606" s="3">
        <f>IF(AND($K606=1,AND(对接源_01水果!$X606="公司筐",N(对接源_01水果!$T606)&lt;&gt;0)),1,0)</f>
        <v>0</v>
      </c>
      <c r="Q606" s="3">
        <f t="shared" si="164"/>
        <v>0</v>
      </c>
      <c r="R606" s="3">
        <f>IF(AND($K606=1,AND(对接源_01水果!$X606="公司筐",N(对接源_01水果!$U606)&lt;&gt;0)),1,0)</f>
        <v>0</v>
      </c>
      <c r="S606" s="3">
        <f t="shared" si="165"/>
        <v>0</v>
      </c>
      <c r="T606" s="3">
        <f>IF(AND($K606=1,AND(对接源_01水果!$X606="公司筐",N(对接源_01水果!$V606)&lt;&gt;0)),1,0)</f>
        <v>0</v>
      </c>
      <c r="U606" s="3">
        <f t="shared" si="166"/>
        <v>19</v>
      </c>
      <c r="V606" s="3">
        <f>IF(AND($L606=1,AND(对接源_01水果!$X606="自备筐",N(对接源_01水果!$V606)&lt;&gt;0)),1,0)</f>
        <v>0</v>
      </c>
      <c r="W606" s="3">
        <f t="shared" si="167"/>
        <v>8</v>
      </c>
      <c r="X606" s="3">
        <f>IF(AND($L606=1,AND(对接源_01水果!$X606="自备筐",N(对接源_01水果!$T606)&lt;&gt;0)),1,0)</f>
        <v>0</v>
      </c>
      <c r="Y606" s="3">
        <f t="shared" si="168"/>
        <v>0</v>
      </c>
      <c r="Z606" s="3">
        <f>IF(AND($M606=1,对接源_01水果!$D606="原料入库"),1,0)</f>
        <v>0</v>
      </c>
      <c r="AA606" s="3">
        <f t="shared" si="169"/>
        <v>24</v>
      </c>
      <c r="AB606" s="3">
        <f>IF(AND($M606=1,LEFT(对接源_01水果!$D606,4)="原料出库"),1,0)</f>
        <v>0</v>
      </c>
      <c r="AC606" s="3">
        <f t="shared" si="170"/>
        <v>0</v>
      </c>
      <c r="AD606" s="3">
        <f>IF(AND($M606=1,LEFT(对接源_01水果!$D606,4)="成品出库"),1,0)</f>
        <v>0</v>
      </c>
      <c r="AE606" s="3">
        <f t="shared" si="171"/>
        <v>0</v>
      </c>
      <c r="AF606" s="3">
        <f>IF(AND($N606=1,AND(LEFT(对接源_01水果!$D606,4)="包装物料",N(对接源_01水果!$K606)&lt;&gt;0)),1,0)</f>
        <v>0</v>
      </c>
      <c r="AG606" s="3">
        <f t="shared" si="172"/>
        <v>0</v>
      </c>
      <c r="AH606" s="3">
        <f>IF(AND($N606=1,AND(对接源_01水果!$D606="周转筐－销售出库",N(对接源_01水果!$K606)&lt;&gt;0)),1,0)</f>
        <v>0</v>
      </c>
      <c r="AI606" s="3">
        <f t="shared" si="173"/>
        <v>0</v>
      </c>
      <c r="AJ606" s="7"/>
      <c r="AL606" s="3">
        <f>IF(OR($AL$1="",对接源_01水果!$Y606="",对接源_01水果!$Y606&lt;&gt;$AL$1,对接源_01水果!$B606="",N(对接源_01水果!$AJ606)&lt;=0),0,IF(OR(N(对接源_01水果!$B606)&lt;$AL$2,N(对接源_01水果!$B606)&gt;$AL$3),0,1))</f>
        <v>0</v>
      </c>
      <c r="AM606" s="3">
        <f t="shared" si="174"/>
        <v>1</v>
      </c>
      <c r="AN606" s="3" t="str">
        <f>IF(对接源_01水果!$AC606="","",对接源_01水果!$AC606)</f>
        <v/>
      </c>
      <c r="AO606" s="3">
        <f t="shared" si="175"/>
        <v>0</v>
      </c>
      <c r="AP606" s="3">
        <f t="shared" si="176"/>
        <v>8</v>
      </c>
      <c r="AR606">
        <f t="shared" si="177"/>
        <v>0</v>
      </c>
      <c r="AS606">
        <f t="shared" si="178"/>
        <v>0</v>
      </c>
    </row>
    <row r="607" ht="14.25" customHeight="1" spans="1:45">
      <c r="A607" s="3" t="str">
        <f>IF(对接源_01水果!$C607="","",对接源_01水果!$C607)</f>
        <v/>
      </c>
      <c r="B607" s="3">
        <f t="shared" si="162"/>
        <v>0</v>
      </c>
      <c r="C607" s="3">
        <f t="shared" si="163"/>
        <v>18</v>
      </c>
      <c r="K607" s="3">
        <f>IF(OR($K$1="",对接源_01水果!$C607="",对接源_01水果!$C607&lt;&gt;$K$1,对接源_01水果!$B607=""),0,IF(OR(N(对接源_01水果!$B607)&lt;$K$2,N(对接源_01水果!$B607)&gt;$K$3),0,1))</f>
        <v>0</v>
      </c>
      <c r="L607" s="3">
        <f>IF(OR($L$1="",对接源_01水果!$C607="",对接源_01水果!$C607&lt;&gt;$L$1,对接源_01水果!$B607=""),0,IF(OR(N(对接源_01水果!$B607)&lt;$L$2,N(对接源_01水果!$B607)&gt;$L$3),0,1))</f>
        <v>0</v>
      </c>
      <c r="M607" s="3">
        <f>IF(OR($M$1="",对接源_01水果!$C607="",对接源_01水果!$C607&lt;&gt;$M$1,对接源_01水果!$B607=""),0,IF(OR(N(对接源_01水果!$B607)&lt;$M$2,N(对接源_01水果!$B607)&gt;$M$3),0,1))</f>
        <v>0</v>
      </c>
      <c r="N607" s="3">
        <f>IF(OR($N$1="",对接源_01水果!$C607="",对接源_01水果!$C607&lt;&gt;$N$1,对接源_01水果!$B607=""),0,IF(OR(N(对接源_01水果!$B607)&lt;$N$2,N(对接源_01水果!$B607)&gt;$N$3),0,1))</f>
        <v>0</v>
      </c>
      <c r="P607" s="3">
        <f>IF(AND($K607=1,AND(对接源_01水果!$X607="公司筐",N(对接源_01水果!$T607)&lt;&gt;0)),1,0)</f>
        <v>0</v>
      </c>
      <c r="Q607" s="3">
        <f t="shared" si="164"/>
        <v>0</v>
      </c>
      <c r="R607" s="3">
        <f>IF(AND($K607=1,AND(对接源_01水果!$X607="公司筐",N(对接源_01水果!$U607)&lt;&gt;0)),1,0)</f>
        <v>0</v>
      </c>
      <c r="S607" s="3">
        <f t="shared" si="165"/>
        <v>0</v>
      </c>
      <c r="T607" s="3">
        <f>IF(AND($K607=1,AND(对接源_01水果!$X607="公司筐",N(对接源_01水果!$V607)&lt;&gt;0)),1,0)</f>
        <v>0</v>
      </c>
      <c r="U607" s="3">
        <f t="shared" si="166"/>
        <v>19</v>
      </c>
      <c r="V607" s="3">
        <f>IF(AND($L607=1,AND(对接源_01水果!$X607="自备筐",N(对接源_01水果!$V607)&lt;&gt;0)),1,0)</f>
        <v>0</v>
      </c>
      <c r="W607" s="3">
        <f t="shared" si="167"/>
        <v>8</v>
      </c>
      <c r="X607" s="3">
        <f>IF(AND($L607=1,AND(对接源_01水果!$X607="自备筐",N(对接源_01水果!$T607)&lt;&gt;0)),1,0)</f>
        <v>0</v>
      </c>
      <c r="Y607" s="3">
        <f t="shared" si="168"/>
        <v>0</v>
      </c>
      <c r="Z607" s="3">
        <f>IF(AND($M607=1,对接源_01水果!$D607="原料入库"),1,0)</f>
        <v>0</v>
      </c>
      <c r="AA607" s="3">
        <f t="shared" si="169"/>
        <v>24</v>
      </c>
      <c r="AB607" s="3">
        <f>IF(AND($M607=1,LEFT(对接源_01水果!$D607,4)="原料出库"),1,0)</f>
        <v>0</v>
      </c>
      <c r="AC607" s="3">
        <f t="shared" si="170"/>
        <v>0</v>
      </c>
      <c r="AD607" s="3">
        <f>IF(AND($M607=1,LEFT(对接源_01水果!$D607,4)="成品出库"),1,0)</f>
        <v>0</v>
      </c>
      <c r="AE607" s="3">
        <f t="shared" si="171"/>
        <v>0</v>
      </c>
      <c r="AF607" s="3">
        <f>IF(AND($N607=1,AND(LEFT(对接源_01水果!$D607,4)="包装物料",N(对接源_01水果!$K607)&lt;&gt;0)),1,0)</f>
        <v>0</v>
      </c>
      <c r="AG607" s="3">
        <f t="shared" si="172"/>
        <v>0</v>
      </c>
      <c r="AH607" s="3">
        <f>IF(AND($N607=1,AND(对接源_01水果!$D607="周转筐－销售出库",N(对接源_01水果!$K607)&lt;&gt;0)),1,0)</f>
        <v>0</v>
      </c>
      <c r="AI607" s="3">
        <f t="shared" si="173"/>
        <v>0</v>
      </c>
      <c r="AJ607" s="7"/>
      <c r="AL607" s="3">
        <f>IF(OR($AL$1="",对接源_01水果!$Y607="",对接源_01水果!$Y607&lt;&gt;$AL$1,对接源_01水果!$B607="",N(对接源_01水果!$AJ607)&lt;=0),0,IF(OR(N(对接源_01水果!$B607)&lt;$AL$2,N(对接源_01水果!$B607)&gt;$AL$3),0,1))</f>
        <v>0</v>
      </c>
      <c r="AM607" s="3">
        <f t="shared" si="174"/>
        <v>1</v>
      </c>
      <c r="AN607" s="3" t="str">
        <f>IF(对接源_01水果!$AC607="","",对接源_01水果!$AC607)</f>
        <v/>
      </c>
      <c r="AO607" s="3">
        <f t="shared" si="175"/>
        <v>0</v>
      </c>
      <c r="AP607" s="3">
        <f t="shared" si="176"/>
        <v>8</v>
      </c>
      <c r="AR607">
        <f t="shared" si="177"/>
        <v>0</v>
      </c>
      <c r="AS607">
        <f t="shared" si="178"/>
        <v>0</v>
      </c>
    </row>
    <row r="608" ht="14.25" customHeight="1" spans="1:45">
      <c r="A608" s="3" t="str">
        <f>IF(对接源_01水果!$C608="","",对接源_01水果!$C608)</f>
        <v/>
      </c>
      <c r="B608" s="3">
        <f t="shared" si="162"/>
        <v>0</v>
      </c>
      <c r="C608" s="3">
        <f t="shared" si="163"/>
        <v>18</v>
      </c>
      <c r="K608" s="3">
        <f>IF(OR($K$1="",对接源_01水果!$C608="",对接源_01水果!$C608&lt;&gt;$K$1,对接源_01水果!$B608=""),0,IF(OR(N(对接源_01水果!$B608)&lt;$K$2,N(对接源_01水果!$B608)&gt;$K$3),0,1))</f>
        <v>0</v>
      </c>
      <c r="L608" s="3">
        <f>IF(OR($L$1="",对接源_01水果!$C608="",对接源_01水果!$C608&lt;&gt;$L$1,对接源_01水果!$B608=""),0,IF(OR(N(对接源_01水果!$B608)&lt;$L$2,N(对接源_01水果!$B608)&gt;$L$3),0,1))</f>
        <v>0</v>
      </c>
      <c r="M608" s="3">
        <f>IF(OR($M$1="",对接源_01水果!$C608="",对接源_01水果!$C608&lt;&gt;$M$1,对接源_01水果!$B608=""),0,IF(OR(N(对接源_01水果!$B608)&lt;$M$2,N(对接源_01水果!$B608)&gt;$M$3),0,1))</f>
        <v>0</v>
      </c>
      <c r="N608" s="3">
        <f>IF(OR($N$1="",对接源_01水果!$C608="",对接源_01水果!$C608&lt;&gt;$N$1,对接源_01水果!$B608=""),0,IF(OR(N(对接源_01水果!$B608)&lt;$N$2,N(对接源_01水果!$B608)&gt;$N$3),0,1))</f>
        <v>0</v>
      </c>
      <c r="P608" s="3">
        <f>IF(AND($K608=1,AND(对接源_01水果!$X608="公司筐",N(对接源_01水果!$T608)&lt;&gt;0)),1,0)</f>
        <v>0</v>
      </c>
      <c r="Q608" s="3">
        <f t="shared" si="164"/>
        <v>0</v>
      </c>
      <c r="R608" s="3">
        <f>IF(AND($K608=1,AND(对接源_01水果!$X608="公司筐",N(对接源_01水果!$U608)&lt;&gt;0)),1,0)</f>
        <v>0</v>
      </c>
      <c r="S608" s="3">
        <f t="shared" si="165"/>
        <v>0</v>
      </c>
      <c r="T608" s="3">
        <f>IF(AND($K608=1,AND(对接源_01水果!$X608="公司筐",N(对接源_01水果!$V608)&lt;&gt;0)),1,0)</f>
        <v>0</v>
      </c>
      <c r="U608" s="3">
        <f t="shared" si="166"/>
        <v>19</v>
      </c>
      <c r="V608" s="3">
        <f>IF(AND($L608=1,AND(对接源_01水果!$X608="自备筐",N(对接源_01水果!$V608)&lt;&gt;0)),1,0)</f>
        <v>0</v>
      </c>
      <c r="W608" s="3">
        <f t="shared" si="167"/>
        <v>8</v>
      </c>
      <c r="X608" s="3">
        <f>IF(AND($L608=1,AND(对接源_01水果!$X608="自备筐",N(对接源_01水果!$T608)&lt;&gt;0)),1,0)</f>
        <v>0</v>
      </c>
      <c r="Y608" s="3">
        <f t="shared" si="168"/>
        <v>0</v>
      </c>
      <c r="Z608" s="3">
        <f>IF(AND($M608=1,对接源_01水果!$D608="原料入库"),1,0)</f>
        <v>0</v>
      </c>
      <c r="AA608" s="3">
        <f t="shared" si="169"/>
        <v>24</v>
      </c>
      <c r="AB608" s="3">
        <f>IF(AND($M608=1,LEFT(对接源_01水果!$D608,4)="原料出库"),1,0)</f>
        <v>0</v>
      </c>
      <c r="AC608" s="3">
        <f t="shared" si="170"/>
        <v>0</v>
      </c>
      <c r="AD608" s="3">
        <f>IF(AND($M608=1,LEFT(对接源_01水果!$D608,4)="成品出库"),1,0)</f>
        <v>0</v>
      </c>
      <c r="AE608" s="3">
        <f t="shared" si="171"/>
        <v>0</v>
      </c>
      <c r="AF608" s="3">
        <f>IF(AND($N608=1,AND(LEFT(对接源_01水果!$D608,4)="包装物料",N(对接源_01水果!$K608)&lt;&gt;0)),1,0)</f>
        <v>0</v>
      </c>
      <c r="AG608" s="3">
        <f t="shared" si="172"/>
        <v>0</v>
      </c>
      <c r="AH608" s="3">
        <f>IF(AND($N608=1,AND(对接源_01水果!$D608="周转筐－销售出库",N(对接源_01水果!$K608)&lt;&gt;0)),1,0)</f>
        <v>0</v>
      </c>
      <c r="AI608" s="3">
        <f t="shared" si="173"/>
        <v>0</v>
      </c>
      <c r="AJ608" s="7"/>
      <c r="AL608" s="3">
        <f>IF(OR($AL$1="",对接源_01水果!$Y608="",对接源_01水果!$Y608&lt;&gt;$AL$1,对接源_01水果!$B608="",N(对接源_01水果!$AJ608)&lt;=0),0,IF(OR(N(对接源_01水果!$B608)&lt;$AL$2,N(对接源_01水果!$B608)&gt;$AL$3),0,1))</f>
        <v>0</v>
      </c>
      <c r="AM608" s="3">
        <f t="shared" si="174"/>
        <v>1</v>
      </c>
      <c r="AN608" s="3" t="str">
        <f>IF(对接源_01水果!$AC608="","",对接源_01水果!$AC608)</f>
        <v/>
      </c>
      <c r="AO608" s="3">
        <f t="shared" si="175"/>
        <v>0</v>
      </c>
      <c r="AP608" s="3">
        <f t="shared" si="176"/>
        <v>8</v>
      </c>
      <c r="AR608">
        <f t="shared" si="177"/>
        <v>0</v>
      </c>
      <c r="AS608">
        <f t="shared" si="178"/>
        <v>0</v>
      </c>
    </row>
    <row r="609" ht="14.25" customHeight="1" spans="1:45">
      <c r="A609" s="3" t="str">
        <f>IF(对接源_01水果!$C609="","",对接源_01水果!$C609)</f>
        <v/>
      </c>
      <c r="B609" s="3">
        <f t="shared" si="162"/>
        <v>0</v>
      </c>
      <c r="C609" s="3">
        <f t="shared" si="163"/>
        <v>18</v>
      </c>
      <c r="K609" s="3">
        <f>IF(OR($K$1="",对接源_01水果!$C609="",对接源_01水果!$C609&lt;&gt;$K$1,对接源_01水果!$B609=""),0,IF(OR(N(对接源_01水果!$B609)&lt;$K$2,N(对接源_01水果!$B609)&gt;$K$3),0,1))</f>
        <v>0</v>
      </c>
      <c r="L609" s="3">
        <f>IF(OR($L$1="",对接源_01水果!$C609="",对接源_01水果!$C609&lt;&gt;$L$1,对接源_01水果!$B609=""),0,IF(OR(N(对接源_01水果!$B609)&lt;$L$2,N(对接源_01水果!$B609)&gt;$L$3),0,1))</f>
        <v>0</v>
      </c>
      <c r="M609" s="3">
        <f>IF(OR($M$1="",对接源_01水果!$C609="",对接源_01水果!$C609&lt;&gt;$M$1,对接源_01水果!$B609=""),0,IF(OR(N(对接源_01水果!$B609)&lt;$M$2,N(对接源_01水果!$B609)&gt;$M$3),0,1))</f>
        <v>0</v>
      </c>
      <c r="N609" s="3">
        <f>IF(OR($N$1="",对接源_01水果!$C609="",对接源_01水果!$C609&lt;&gt;$N$1,对接源_01水果!$B609=""),0,IF(OR(N(对接源_01水果!$B609)&lt;$N$2,N(对接源_01水果!$B609)&gt;$N$3),0,1))</f>
        <v>0</v>
      </c>
      <c r="P609" s="3">
        <f>IF(AND($K609=1,AND(对接源_01水果!$X609="公司筐",N(对接源_01水果!$T609)&lt;&gt;0)),1,0)</f>
        <v>0</v>
      </c>
      <c r="Q609" s="3">
        <f t="shared" si="164"/>
        <v>0</v>
      </c>
      <c r="R609" s="3">
        <f>IF(AND($K609=1,AND(对接源_01水果!$X609="公司筐",N(对接源_01水果!$U609)&lt;&gt;0)),1,0)</f>
        <v>0</v>
      </c>
      <c r="S609" s="3">
        <f t="shared" si="165"/>
        <v>0</v>
      </c>
      <c r="T609" s="3">
        <f>IF(AND($K609=1,AND(对接源_01水果!$X609="公司筐",N(对接源_01水果!$V609)&lt;&gt;0)),1,0)</f>
        <v>0</v>
      </c>
      <c r="U609" s="3">
        <f t="shared" si="166"/>
        <v>19</v>
      </c>
      <c r="V609" s="3">
        <f>IF(AND($L609=1,AND(对接源_01水果!$X609="自备筐",N(对接源_01水果!$V609)&lt;&gt;0)),1,0)</f>
        <v>0</v>
      </c>
      <c r="W609" s="3">
        <f t="shared" si="167"/>
        <v>8</v>
      </c>
      <c r="X609" s="3">
        <f>IF(AND($L609=1,AND(对接源_01水果!$X609="自备筐",N(对接源_01水果!$T609)&lt;&gt;0)),1,0)</f>
        <v>0</v>
      </c>
      <c r="Y609" s="3">
        <f t="shared" si="168"/>
        <v>0</v>
      </c>
      <c r="Z609" s="3">
        <f>IF(AND($M609=1,对接源_01水果!$D609="原料入库"),1,0)</f>
        <v>0</v>
      </c>
      <c r="AA609" s="3">
        <f t="shared" si="169"/>
        <v>24</v>
      </c>
      <c r="AB609" s="3">
        <f>IF(AND($M609=1,LEFT(对接源_01水果!$D609,4)="原料出库"),1,0)</f>
        <v>0</v>
      </c>
      <c r="AC609" s="3">
        <f t="shared" si="170"/>
        <v>0</v>
      </c>
      <c r="AD609" s="3">
        <f>IF(AND($M609=1,LEFT(对接源_01水果!$D609,4)="成品出库"),1,0)</f>
        <v>0</v>
      </c>
      <c r="AE609" s="3">
        <f t="shared" si="171"/>
        <v>0</v>
      </c>
      <c r="AF609" s="3">
        <f>IF(AND($N609=1,AND(LEFT(对接源_01水果!$D609,4)="包装物料",N(对接源_01水果!$K609)&lt;&gt;0)),1,0)</f>
        <v>0</v>
      </c>
      <c r="AG609" s="3">
        <f t="shared" si="172"/>
        <v>0</v>
      </c>
      <c r="AH609" s="3">
        <f>IF(AND($N609=1,AND(对接源_01水果!$D609="周转筐－销售出库",N(对接源_01水果!$K609)&lt;&gt;0)),1,0)</f>
        <v>0</v>
      </c>
      <c r="AI609" s="3">
        <f t="shared" si="173"/>
        <v>0</v>
      </c>
      <c r="AJ609" s="7"/>
      <c r="AL609" s="3">
        <f>IF(OR($AL$1="",对接源_01水果!$Y609="",对接源_01水果!$Y609&lt;&gt;$AL$1,对接源_01水果!$B609="",N(对接源_01水果!$AJ609)&lt;=0),0,IF(OR(N(对接源_01水果!$B609)&lt;$AL$2,N(对接源_01水果!$B609)&gt;$AL$3),0,1))</f>
        <v>0</v>
      </c>
      <c r="AM609" s="3">
        <f t="shared" si="174"/>
        <v>1</v>
      </c>
      <c r="AN609" s="3" t="str">
        <f>IF(对接源_01水果!$AC609="","",对接源_01水果!$AC609)</f>
        <v/>
      </c>
      <c r="AO609" s="3">
        <f t="shared" si="175"/>
        <v>0</v>
      </c>
      <c r="AP609" s="3">
        <f t="shared" si="176"/>
        <v>8</v>
      </c>
      <c r="AR609">
        <f t="shared" si="177"/>
        <v>0</v>
      </c>
      <c r="AS609">
        <f t="shared" si="178"/>
        <v>0</v>
      </c>
    </row>
    <row r="610" ht="14.25" customHeight="1" spans="1:45">
      <c r="A610" s="3" t="str">
        <f>IF(对接源_01水果!$C610="","",对接源_01水果!$C610)</f>
        <v/>
      </c>
      <c r="B610" s="3">
        <f t="shared" si="162"/>
        <v>0</v>
      </c>
      <c r="C610" s="3">
        <f t="shared" si="163"/>
        <v>18</v>
      </c>
      <c r="K610" s="3">
        <f>IF(OR($K$1="",对接源_01水果!$C610="",对接源_01水果!$C610&lt;&gt;$K$1,对接源_01水果!$B610=""),0,IF(OR(N(对接源_01水果!$B610)&lt;$K$2,N(对接源_01水果!$B610)&gt;$K$3),0,1))</f>
        <v>0</v>
      </c>
      <c r="L610" s="3">
        <f>IF(OR($L$1="",对接源_01水果!$C610="",对接源_01水果!$C610&lt;&gt;$L$1,对接源_01水果!$B610=""),0,IF(OR(N(对接源_01水果!$B610)&lt;$L$2,N(对接源_01水果!$B610)&gt;$L$3),0,1))</f>
        <v>0</v>
      </c>
      <c r="M610" s="3">
        <f>IF(OR($M$1="",对接源_01水果!$C610="",对接源_01水果!$C610&lt;&gt;$M$1,对接源_01水果!$B610=""),0,IF(OR(N(对接源_01水果!$B610)&lt;$M$2,N(对接源_01水果!$B610)&gt;$M$3),0,1))</f>
        <v>0</v>
      </c>
      <c r="N610" s="3">
        <f>IF(OR($N$1="",对接源_01水果!$C610="",对接源_01水果!$C610&lt;&gt;$N$1,对接源_01水果!$B610=""),0,IF(OR(N(对接源_01水果!$B610)&lt;$N$2,N(对接源_01水果!$B610)&gt;$N$3),0,1))</f>
        <v>0</v>
      </c>
      <c r="P610" s="3">
        <f>IF(AND($K610=1,AND(对接源_01水果!$X610="公司筐",N(对接源_01水果!$T610)&lt;&gt;0)),1,0)</f>
        <v>0</v>
      </c>
      <c r="Q610" s="3">
        <f t="shared" si="164"/>
        <v>0</v>
      </c>
      <c r="R610" s="3">
        <f>IF(AND($K610=1,AND(对接源_01水果!$X610="公司筐",N(对接源_01水果!$U610)&lt;&gt;0)),1,0)</f>
        <v>0</v>
      </c>
      <c r="S610" s="3">
        <f t="shared" si="165"/>
        <v>0</v>
      </c>
      <c r="T610" s="3">
        <f>IF(AND($K610=1,AND(对接源_01水果!$X610="公司筐",N(对接源_01水果!$V610)&lt;&gt;0)),1,0)</f>
        <v>0</v>
      </c>
      <c r="U610" s="3">
        <f t="shared" si="166"/>
        <v>19</v>
      </c>
      <c r="V610" s="3">
        <f>IF(AND($L610=1,AND(对接源_01水果!$X610="自备筐",N(对接源_01水果!$V610)&lt;&gt;0)),1,0)</f>
        <v>0</v>
      </c>
      <c r="W610" s="3">
        <f t="shared" si="167"/>
        <v>8</v>
      </c>
      <c r="X610" s="3">
        <f>IF(AND($L610=1,AND(对接源_01水果!$X610="自备筐",N(对接源_01水果!$T610)&lt;&gt;0)),1,0)</f>
        <v>0</v>
      </c>
      <c r="Y610" s="3">
        <f t="shared" si="168"/>
        <v>0</v>
      </c>
      <c r="Z610" s="3">
        <f>IF(AND($M610=1,对接源_01水果!$D610="原料入库"),1,0)</f>
        <v>0</v>
      </c>
      <c r="AA610" s="3">
        <f t="shared" si="169"/>
        <v>24</v>
      </c>
      <c r="AB610" s="3">
        <f>IF(AND($M610=1,LEFT(对接源_01水果!$D610,4)="原料出库"),1,0)</f>
        <v>0</v>
      </c>
      <c r="AC610" s="3">
        <f t="shared" si="170"/>
        <v>0</v>
      </c>
      <c r="AD610" s="3">
        <f>IF(AND($M610=1,LEFT(对接源_01水果!$D610,4)="成品出库"),1,0)</f>
        <v>0</v>
      </c>
      <c r="AE610" s="3">
        <f t="shared" si="171"/>
        <v>0</v>
      </c>
      <c r="AF610" s="3">
        <f>IF(AND($N610=1,AND(LEFT(对接源_01水果!$D610,4)="包装物料",N(对接源_01水果!$K610)&lt;&gt;0)),1,0)</f>
        <v>0</v>
      </c>
      <c r="AG610" s="3">
        <f t="shared" si="172"/>
        <v>0</v>
      </c>
      <c r="AH610" s="3">
        <f>IF(AND($N610=1,AND(对接源_01水果!$D610="周转筐－销售出库",N(对接源_01水果!$K610)&lt;&gt;0)),1,0)</f>
        <v>0</v>
      </c>
      <c r="AI610" s="3">
        <f t="shared" si="173"/>
        <v>0</v>
      </c>
      <c r="AJ610" s="7"/>
      <c r="AL610" s="3">
        <f>IF(OR($AL$1="",对接源_01水果!$Y610="",对接源_01水果!$Y610&lt;&gt;$AL$1,对接源_01水果!$B610="",N(对接源_01水果!$AJ610)&lt;=0),0,IF(OR(N(对接源_01水果!$B610)&lt;$AL$2,N(对接源_01水果!$B610)&gt;$AL$3),0,1))</f>
        <v>0</v>
      </c>
      <c r="AM610" s="3">
        <f t="shared" si="174"/>
        <v>1</v>
      </c>
      <c r="AN610" s="3" t="str">
        <f>IF(对接源_01水果!$AC610="","",对接源_01水果!$AC610)</f>
        <v/>
      </c>
      <c r="AO610" s="3">
        <f t="shared" si="175"/>
        <v>0</v>
      </c>
      <c r="AP610" s="3">
        <f t="shared" si="176"/>
        <v>8</v>
      </c>
      <c r="AR610">
        <f t="shared" si="177"/>
        <v>0</v>
      </c>
      <c r="AS610">
        <f t="shared" si="178"/>
        <v>0</v>
      </c>
    </row>
    <row r="611" ht="14.25" customHeight="1" spans="1:45">
      <c r="A611" s="3" t="str">
        <f>IF(对接源_01水果!$C611="","",对接源_01水果!$C611)</f>
        <v/>
      </c>
      <c r="B611" s="3">
        <f t="shared" si="162"/>
        <v>0</v>
      </c>
      <c r="C611" s="3">
        <f t="shared" si="163"/>
        <v>18</v>
      </c>
      <c r="K611" s="3">
        <f>IF(OR($K$1="",对接源_01水果!$C611="",对接源_01水果!$C611&lt;&gt;$K$1,对接源_01水果!$B611=""),0,IF(OR(N(对接源_01水果!$B611)&lt;$K$2,N(对接源_01水果!$B611)&gt;$K$3),0,1))</f>
        <v>0</v>
      </c>
      <c r="L611" s="3">
        <f>IF(OR($L$1="",对接源_01水果!$C611="",对接源_01水果!$C611&lt;&gt;$L$1,对接源_01水果!$B611=""),0,IF(OR(N(对接源_01水果!$B611)&lt;$L$2,N(对接源_01水果!$B611)&gt;$L$3),0,1))</f>
        <v>0</v>
      </c>
      <c r="M611" s="3">
        <f>IF(OR($M$1="",对接源_01水果!$C611="",对接源_01水果!$C611&lt;&gt;$M$1,对接源_01水果!$B611=""),0,IF(OR(N(对接源_01水果!$B611)&lt;$M$2,N(对接源_01水果!$B611)&gt;$M$3),0,1))</f>
        <v>0</v>
      </c>
      <c r="N611" s="3">
        <f>IF(OR($N$1="",对接源_01水果!$C611="",对接源_01水果!$C611&lt;&gt;$N$1,对接源_01水果!$B611=""),0,IF(OR(N(对接源_01水果!$B611)&lt;$N$2,N(对接源_01水果!$B611)&gt;$N$3),0,1))</f>
        <v>0</v>
      </c>
      <c r="P611" s="3">
        <f>IF(AND($K611=1,AND(对接源_01水果!$X611="公司筐",N(对接源_01水果!$T611)&lt;&gt;0)),1,0)</f>
        <v>0</v>
      </c>
      <c r="Q611" s="3">
        <f t="shared" si="164"/>
        <v>0</v>
      </c>
      <c r="R611" s="3">
        <f>IF(AND($K611=1,AND(对接源_01水果!$X611="公司筐",N(对接源_01水果!$U611)&lt;&gt;0)),1,0)</f>
        <v>0</v>
      </c>
      <c r="S611" s="3">
        <f t="shared" si="165"/>
        <v>0</v>
      </c>
      <c r="T611" s="3">
        <f>IF(AND($K611=1,AND(对接源_01水果!$X611="公司筐",N(对接源_01水果!$V611)&lt;&gt;0)),1,0)</f>
        <v>0</v>
      </c>
      <c r="U611" s="3">
        <f t="shared" si="166"/>
        <v>19</v>
      </c>
      <c r="V611" s="3">
        <f>IF(AND($L611=1,AND(对接源_01水果!$X611="自备筐",N(对接源_01水果!$V611)&lt;&gt;0)),1,0)</f>
        <v>0</v>
      </c>
      <c r="W611" s="3">
        <f t="shared" si="167"/>
        <v>8</v>
      </c>
      <c r="X611" s="3">
        <f>IF(AND($L611=1,AND(对接源_01水果!$X611="自备筐",N(对接源_01水果!$T611)&lt;&gt;0)),1,0)</f>
        <v>0</v>
      </c>
      <c r="Y611" s="3">
        <f t="shared" si="168"/>
        <v>0</v>
      </c>
      <c r="Z611" s="3">
        <f>IF(AND($M611=1,对接源_01水果!$D611="原料入库"),1,0)</f>
        <v>0</v>
      </c>
      <c r="AA611" s="3">
        <f t="shared" si="169"/>
        <v>24</v>
      </c>
      <c r="AB611" s="3">
        <f>IF(AND($M611=1,LEFT(对接源_01水果!$D611,4)="原料出库"),1,0)</f>
        <v>0</v>
      </c>
      <c r="AC611" s="3">
        <f t="shared" si="170"/>
        <v>0</v>
      </c>
      <c r="AD611" s="3">
        <f>IF(AND($M611=1,LEFT(对接源_01水果!$D611,4)="成品出库"),1,0)</f>
        <v>0</v>
      </c>
      <c r="AE611" s="3">
        <f t="shared" si="171"/>
        <v>0</v>
      </c>
      <c r="AF611" s="3">
        <f>IF(AND($N611=1,AND(LEFT(对接源_01水果!$D611,4)="包装物料",N(对接源_01水果!$K611)&lt;&gt;0)),1,0)</f>
        <v>0</v>
      </c>
      <c r="AG611" s="3">
        <f t="shared" si="172"/>
        <v>0</v>
      </c>
      <c r="AH611" s="3">
        <f>IF(AND($N611=1,AND(对接源_01水果!$D611="周转筐－销售出库",N(对接源_01水果!$K611)&lt;&gt;0)),1,0)</f>
        <v>0</v>
      </c>
      <c r="AI611" s="3">
        <f t="shared" si="173"/>
        <v>0</v>
      </c>
      <c r="AJ611" s="7"/>
      <c r="AL611" s="3">
        <f>IF(OR($AL$1="",对接源_01水果!$Y611="",对接源_01水果!$Y611&lt;&gt;$AL$1,对接源_01水果!$B611="",N(对接源_01水果!$AJ611)&lt;=0),0,IF(OR(N(对接源_01水果!$B611)&lt;$AL$2,N(对接源_01水果!$B611)&gt;$AL$3),0,1))</f>
        <v>0</v>
      </c>
      <c r="AM611" s="3">
        <f t="shared" si="174"/>
        <v>1</v>
      </c>
      <c r="AN611" s="3" t="str">
        <f>IF(对接源_01水果!$AC611="","",对接源_01水果!$AC611)</f>
        <v/>
      </c>
      <c r="AO611" s="3">
        <f t="shared" si="175"/>
        <v>0</v>
      </c>
      <c r="AP611" s="3">
        <f t="shared" si="176"/>
        <v>8</v>
      </c>
      <c r="AR611">
        <f t="shared" si="177"/>
        <v>0</v>
      </c>
      <c r="AS611">
        <f t="shared" si="178"/>
        <v>0</v>
      </c>
    </row>
    <row r="612" ht="14.25" customHeight="1" spans="1:45">
      <c r="A612" s="3" t="str">
        <f>IF(对接源_01水果!$C612="","",对接源_01水果!$C612)</f>
        <v/>
      </c>
      <c r="B612" s="3">
        <f t="shared" si="162"/>
        <v>0</v>
      </c>
      <c r="C612" s="3">
        <f t="shared" si="163"/>
        <v>18</v>
      </c>
      <c r="K612" s="3">
        <f>IF(OR($K$1="",对接源_01水果!$C612="",对接源_01水果!$C612&lt;&gt;$K$1,对接源_01水果!$B612=""),0,IF(OR(N(对接源_01水果!$B612)&lt;$K$2,N(对接源_01水果!$B612)&gt;$K$3),0,1))</f>
        <v>0</v>
      </c>
      <c r="L612" s="3">
        <f>IF(OR($L$1="",对接源_01水果!$C612="",对接源_01水果!$C612&lt;&gt;$L$1,对接源_01水果!$B612=""),0,IF(OR(N(对接源_01水果!$B612)&lt;$L$2,N(对接源_01水果!$B612)&gt;$L$3),0,1))</f>
        <v>0</v>
      </c>
      <c r="M612" s="3">
        <f>IF(OR($M$1="",对接源_01水果!$C612="",对接源_01水果!$C612&lt;&gt;$M$1,对接源_01水果!$B612=""),0,IF(OR(N(对接源_01水果!$B612)&lt;$M$2,N(对接源_01水果!$B612)&gt;$M$3),0,1))</f>
        <v>0</v>
      </c>
      <c r="N612" s="3">
        <f>IF(OR($N$1="",对接源_01水果!$C612="",对接源_01水果!$C612&lt;&gt;$N$1,对接源_01水果!$B612=""),0,IF(OR(N(对接源_01水果!$B612)&lt;$N$2,N(对接源_01水果!$B612)&gt;$N$3),0,1))</f>
        <v>0</v>
      </c>
      <c r="P612" s="3">
        <f>IF(AND($K612=1,AND(对接源_01水果!$X612="公司筐",N(对接源_01水果!$T612)&lt;&gt;0)),1,0)</f>
        <v>0</v>
      </c>
      <c r="Q612" s="3">
        <f t="shared" si="164"/>
        <v>0</v>
      </c>
      <c r="R612" s="3">
        <f>IF(AND($K612=1,AND(对接源_01水果!$X612="公司筐",N(对接源_01水果!$U612)&lt;&gt;0)),1,0)</f>
        <v>0</v>
      </c>
      <c r="S612" s="3">
        <f t="shared" si="165"/>
        <v>0</v>
      </c>
      <c r="T612" s="3">
        <f>IF(AND($K612=1,AND(对接源_01水果!$X612="公司筐",N(对接源_01水果!$V612)&lt;&gt;0)),1,0)</f>
        <v>0</v>
      </c>
      <c r="U612" s="3">
        <f t="shared" si="166"/>
        <v>19</v>
      </c>
      <c r="V612" s="3">
        <f>IF(AND($L612=1,AND(对接源_01水果!$X612="自备筐",N(对接源_01水果!$V612)&lt;&gt;0)),1,0)</f>
        <v>0</v>
      </c>
      <c r="W612" s="3">
        <f t="shared" si="167"/>
        <v>8</v>
      </c>
      <c r="X612" s="3">
        <f>IF(AND($L612=1,AND(对接源_01水果!$X612="自备筐",N(对接源_01水果!$T612)&lt;&gt;0)),1,0)</f>
        <v>0</v>
      </c>
      <c r="Y612" s="3">
        <f t="shared" si="168"/>
        <v>0</v>
      </c>
      <c r="Z612" s="3">
        <f>IF(AND($M612=1,对接源_01水果!$D612="原料入库"),1,0)</f>
        <v>0</v>
      </c>
      <c r="AA612" s="3">
        <f t="shared" si="169"/>
        <v>24</v>
      </c>
      <c r="AB612" s="3">
        <f>IF(AND($M612=1,LEFT(对接源_01水果!$D612,4)="原料出库"),1,0)</f>
        <v>0</v>
      </c>
      <c r="AC612" s="3">
        <f t="shared" si="170"/>
        <v>0</v>
      </c>
      <c r="AD612" s="3">
        <f>IF(AND($M612=1,LEFT(对接源_01水果!$D612,4)="成品出库"),1,0)</f>
        <v>0</v>
      </c>
      <c r="AE612" s="3">
        <f t="shared" si="171"/>
        <v>0</v>
      </c>
      <c r="AF612" s="3">
        <f>IF(AND($N612=1,AND(LEFT(对接源_01水果!$D612,4)="包装物料",N(对接源_01水果!$K612)&lt;&gt;0)),1,0)</f>
        <v>0</v>
      </c>
      <c r="AG612" s="3">
        <f t="shared" si="172"/>
        <v>0</v>
      </c>
      <c r="AH612" s="3">
        <f>IF(AND($N612=1,AND(对接源_01水果!$D612="周转筐－销售出库",N(对接源_01水果!$K612)&lt;&gt;0)),1,0)</f>
        <v>0</v>
      </c>
      <c r="AI612" s="3">
        <f t="shared" si="173"/>
        <v>0</v>
      </c>
      <c r="AJ612" s="7"/>
      <c r="AL612" s="3">
        <f>IF(OR($AL$1="",对接源_01水果!$Y612="",对接源_01水果!$Y612&lt;&gt;$AL$1,对接源_01水果!$B612="",N(对接源_01水果!$AJ612)&lt;=0),0,IF(OR(N(对接源_01水果!$B612)&lt;$AL$2,N(对接源_01水果!$B612)&gt;$AL$3),0,1))</f>
        <v>0</v>
      </c>
      <c r="AM612" s="3">
        <f t="shared" si="174"/>
        <v>1</v>
      </c>
      <c r="AN612" s="3" t="str">
        <f>IF(对接源_01水果!$AC612="","",对接源_01水果!$AC612)</f>
        <v/>
      </c>
      <c r="AO612" s="3">
        <f t="shared" si="175"/>
        <v>0</v>
      </c>
      <c r="AP612" s="3">
        <f t="shared" si="176"/>
        <v>8</v>
      </c>
      <c r="AR612">
        <f t="shared" si="177"/>
        <v>0</v>
      </c>
      <c r="AS612">
        <f t="shared" si="178"/>
        <v>0</v>
      </c>
    </row>
    <row r="613" ht="14.25" customHeight="1" spans="1:45">
      <c r="A613" s="3" t="str">
        <f>IF(对接源_01水果!$C613="","",对接源_01水果!$C613)</f>
        <v/>
      </c>
      <c r="B613" s="3">
        <f t="shared" si="162"/>
        <v>0</v>
      </c>
      <c r="C613" s="3">
        <f t="shared" si="163"/>
        <v>18</v>
      </c>
      <c r="K613" s="3">
        <f>IF(OR($K$1="",对接源_01水果!$C613="",对接源_01水果!$C613&lt;&gt;$K$1,对接源_01水果!$B613=""),0,IF(OR(N(对接源_01水果!$B613)&lt;$K$2,N(对接源_01水果!$B613)&gt;$K$3),0,1))</f>
        <v>0</v>
      </c>
      <c r="L613" s="3">
        <f>IF(OR($L$1="",对接源_01水果!$C613="",对接源_01水果!$C613&lt;&gt;$L$1,对接源_01水果!$B613=""),0,IF(OR(N(对接源_01水果!$B613)&lt;$L$2,N(对接源_01水果!$B613)&gt;$L$3),0,1))</f>
        <v>0</v>
      </c>
      <c r="M613" s="3">
        <f>IF(OR($M$1="",对接源_01水果!$C613="",对接源_01水果!$C613&lt;&gt;$M$1,对接源_01水果!$B613=""),0,IF(OR(N(对接源_01水果!$B613)&lt;$M$2,N(对接源_01水果!$B613)&gt;$M$3),0,1))</f>
        <v>0</v>
      </c>
      <c r="N613" s="3">
        <f>IF(OR($N$1="",对接源_01水果!$C613="",对接源_01水果!$C613&lt;&gt;$N$1,对接源_01水果!$B613=""),0,IF(OR(N(对接源_01水果!$B613)&lt;$N$2,N(对接源_01水果!$B613)&gt;$N$3),0,1))</f>
        <v>0</v>
      </c>
      <c r="P613" s="3">
        <f>IF(AND($K613=1,AND(对接源_01水果!$X613="公司筐",N(对接源_01水果!$T613)&lt;&gt;0)),1,0)</f>
        <v>0</v>
      </c>
      <c r="Q613" s="3">
        <f t="shared" si="164"/>
        <v>0</v>
      </c>
      <c r="R613" s="3">
        <f>IF(AND($K613=1,AND(对接源_01水果!$X613="公司筐",N(对接源_01水果!$U613)&lt;&gt;0)),1,0)</f>
        <v>0</v>
      </c>
      <c r="S613" s="3">
        <f t="shared" si="165"/>
        <v>0</v>
      </c>
      <c r="T613" s="3">
        <f>IF(AND($K613=1,AND(对接源_01水果!$X613="公司筐",N(对接源_01水果!$V613)&lt;&gt;0)),1,0)</f>
        <v>0</v>
      </c>
      <c r="U613" s="3">
        <f t="shared" si="166"/>
        <v>19</v>
      </c>
      <c r="V613" s="3">
        <f>IF(AND($L613=1,AND(对接源_01水果!$X613="自备筐",N(对接源_01水果!$V613)&lt;&gt;0)),1,0)</f>
        <v>0</v>
      </c>
      <c r="W613" s="3">
        <f t="shared" si="167"/>
        <v>8</v>
      </c>
      <c r="X613" s="3">
        <f>IF(AND($L613=1,AND(对接源_01水果!$X613="自备筐",N(对接源_01水果!$T613)&lt;&gt;0)),1,0)</f>
        <v>0</v>
      </c>
      <c r="Y613" s="3">
        <f t="shared" si="168"/>
        <v>0</v>
      </c>
      <c r="Z613" s="3">
        <f>IF(AND($M613=1,对接源_01水果!$D613="原料入库"),1,0)</f>
        <v>0</v>
      </c>
      <c r="AA613" s="3">
        <f t="shared" si="169"/>
        <v>24</v>
      </c>
      <c r="AB613" s="3">
        <f>IF(AND($M613=1,LEFT(对接源_01水果!$D613,4)="原料出库"),1,0)</f>
        <v>0</v>
      </c>
      <c r="AC613" s="3">
        <f t="shared" si="170"/>
        <v>0</v>
      </c>
      <c r="AD613" s="3">
        <f>IF(AND($M613=1,LEFT(对接源_01水果!$D613,4)="成品出库"),1,0)</f>
        <v>0</v>
      </c>
      <c r="AE613" s="3">
        <f t="shared" si="171"/>
        <v>0</v>
      </c>
      <c r="AF613" s="3">
        <f>IF(AND($N613=1,AND(LEFT(对接源_01水果!$D613,4)="包装物料",N(对接源_01水果!$K613)&lt;&gt;0)),1,0)</f>
        <v>0</v>
      </c>
      <c r="AG613" s="3">
        <f t="shared" si="172"/>
        <v>0</v>
      </c>
      <c r="AH613" s="3">
        <f>IF(AND($N613=1,AND(对接源_01水果!$D613="周转筐－销售出库",N(对接源_01水果!$K613)&lt;&gt;0)),1,0)</f>
        <v>0</v>
      </c>
      <c r="AI613" s="3">
        <f t="shared" si="173"/>
        <v>0</v>
      </c>
      <c r="AJ613" s="7"/>
      <c r="AL613" s="3">
        <f>IF(OR($AL$1="",对接源_01水果!$Y613="",对接源_01水果!$Y613&lt;&gt;$AL$1,对接源_01水果!$B613="",N(对接源_01水果!$AJ613)&lt;=0),0,IF(OR(N(对接源_01水果!$B613)&lt;$AL$2,N(对接源_01水果!$B613)&gt;$AL$3),0,1))</f>
        <v>0</v>
      </c>
      <c r="AM613" s="3">
        <f t="shared" si="174"/>
        <v>1</v>
      </c>
      <c r="AN613" s="3" t="str">
        <f>IF(对接源_01水果!$AC613="","",对接源_01水果!$AC613)</f>
        <v/>
      </c>
      <c r="AO613" s="3">
        <f t="shared" si="175"/>
        <v>0</v>
      </c>
      <c r="AP613" s="3">
        <f t="shared" si="176"/>
        <v>8</v>
      </c>
      <c r="AR613">
        <f t="shared" si="177"/>
        <v>0</v>
      </c>
      <c r="AS613">
        <f t="shared" si="178"/>
        <v>0</v>
      </c>
    </row>
    <row r="614" ht="14.25" customHeight="1" spans="1:45">
      <c r="A614" s="3" t="str">
        <f>IF(对接源_01水果!$C614="","",对接源_01水果!$C614)</f>
        <v/>
      </c>
      <c r="B614" s="3">
        <f t="shared" si="162"/>
        <v>0</v>
      </c>
      <c r="C614" s="3">
        <f t="shared" si="163"/>
        <v>18</v>
      </c>
      <c r="K614" s="3">
        <f>IF(OR($K$1="",对接源_01水果!$C614="",对接源_01水果!$C614&lt;&gt;$K$1,对接源_01水果!$B614=""),0,IF(OR(N(对接源_01水果!$B614)&lt;$K$2,N(对接源_01水果!$B614)&gt;$K$3),0,1))</f>
        <v>0</v>
      </c>
      <c r="L614" s="3">
        <f>IF(OR($L$1="",对接源_01水果!$C614="",对接源_01水果!$C614&lt;&gt;$L$1,对接源_01水果!$B614=""),0,IF(OR(N(对接源_01水果!$B614)&lt;$L$2,N(对接源_01水果!$B614)&gt;$L$3),0,1))</f>
        <v>0</v>
      </c>
      <c r="M614" s="3">
        <f>IF(OR($M$1="",对接源_01水果!$C614="",对接源_01水果!$C614&lt;&gt;$M$1,对接源_01水果!$B614=""),0,IF(OR(N(对接源_01水果!$B614)&lt;$M$2,N(对接源_01水果!$B614)&gt;$M$3),0,1))</f>
        <v>0</v>
      </c>
      <c r="N614" s="3">
        <f>IF(OR($N$1="",对接源_01水果!$C614="",对接源_01水果!$C614&lt;&gt;$N$1,对接源_01水果!$B614=""),0,IF(OR(N(对接源_01水果!$B614)&lt;$N$2,N(对接源_01水果!$B614)&gt;$N$3),0,1))</f>
        <v>0</v>
      </c>
      <c r="P614" s="3">
        <f>IF(AND($K614=1,AND(对接源_01水果!$X614="公司筐",N(对接源_01水果!$T614)&lt;&gt;0)),1,0)</f>
        <v>0</v>
      </c>
      <c r="Q614" s="3">
        <f t="shared" si="164"/>
        <v>0</v>
      </c>
      <c r="R614" s="3">
        <f>IF(AND($K614=1,AND(对接源_01水果!$X614="公司筐",N(对接源_01水果!$U614)&lt;&gt;0)),1,0)</f>
        <v>0</v>
      </c>
      <c r="S614" s="3">
        <f t="shared" si="165"/>
        <v>0</v>
      </c>
      <c r="T614" s="3">
        <f>IF(AND($K614=1,AND(对接源_01水果!$X614="公司筐",N(对接源_01水果!$V614)&lt;&gt;0)),1,0)</f>
        <v>0</v>
      </c>
      <c r="U614" s="3">
        <f t="shared" si="166"/>
        <v>19</v>
      </c>
      <c r="V614" s="3">
        <f>IF(AND($L614=1,AND(对接源_01水果!$X614="自备筐",N(对接源_01水果!$V614)&lt;&gt;0)),1,0)</f>
        <v>0</v>
      </c>
      <c r="W614" s="3">
        <f t="shared" si="167"/>
        <v>8</v>
      </c>
      <c r="X614" s="3">
        <f>IF(AND($L614=1,AND(对接源_01水果!$X614="自备筐",N(对接源_01水果!$T614)&lt;&gt;0)),1,0)</f>
        <v>0</v>
      </c>
      <c r="Y614" s="3">
        <f t="shared" si="168"/>
        <v>0</v>
      </c>
      <c r="Z614" s="3">
        <f>IF(AND($M614=1,对接源_01水果!$D614="原料入库"),1,0)</f>
        <v>0</v>
      </c>
      <c r="AA614" s="3">
        <f t="shared" si="169"/>
        <v>24</v>
      </c>
      <c r="AB614" s="3">
        <f>IF(AND($M614=1,LEFT(对接源_01水果!$D614,4)="原料出库"),1,0)</f>
        <v>0</v>
      </c>
      <c r="AC614" s="3">
        <f t="shared" si="170"/>
        <v>0</v>
      </c>
      <c r="AD614" s="3">
        <f>IF(AND($M614=1,LEFT(对接源_01水果!$D614,4)="成品出库"),1,0)</f>
        <v>0</v>
      </c>
      <c r="AE614" s="3">
        <f t="shared" si="171"/>
        <v>0</v>
      </c>
      <c r="AF614" s="3">
        <f>IF(AND($N614=1,AND(LEFT(对接源_01水果!$D614,4)="包装物料",N(对接源_01水果!$K614)&lt;&gt;0)),1,0)</f>
        <v>0</v>
      </c>
      <c r="AG614" s="3">
        <f t="shared" si="172"/>
        <v>0</v>
      </c>
      <c r="AH614" s="3">
        <f>IF(AND($N614=1,AND(对接源_01水果!$D614="周转筐－销售出库",N(对接源_01水果!$K614)&lt;&gt;0)),1,0)</f>
        <v>0</v>
      </c>
      <c r="AI614" s="3">
        <f t="shared" si="173"/>
        <v>0</v>
      </c>
      <c r="AJ614" s="7"/>
      <c r="AL614" s="3">
        <f>IF(OR($AL$1="",对接源_01水果!$Y614="",对接源_01水果!$Y614&lt;&gt;$AL$1,对接源_01水果!$B614="",N(对接源_01水果!$AJ614)&lt;=0),0,IF(OR(N(对接源_01水果!$B614)&lt;$AL$2,N(对接源_01水果!$B614)&gt;$AL$3),0,1))</f>
        <v>0</v>
      </c>
      <c r="AM614" s="3">
        <f t="shared" si="174"/>
        <v>1</v>
      </c>
      <c r="AN614" s="3" t="str">
        <f>IF(对接源_01水果!$AC614="","",对接源_01水果!$AC614)</f>
        <v/>
      </c>
      <c r="AO614" s="3">
        <f t="shared" si="175"/>
        <v>0</v>
      </c>
      <c r="AP614" s="3">
        <f t="shared" si="176"/>
        <v>8</v>
      </c>
      <c r="AR614">
        <f t="shared" si="177"/>
        <v>0</v>
      </c>
      <c r="AS614">
        <f t="shared" si="178"/>
        <v>0</v>
      </c>
    </row>
    <row r="615" ht="14.25" customHeight="1" spans="1:45">
      <c r="A615" s="3" t="str">
        <f>IF(对接源_01水果!$C615="","",对接源_01水果!$C615)</f>
        <v/>
      </c>
      <c r="B615" s="3">
        <f t="shared" si="162"/>
        <v>0</v>
      </c>
      <c r="C615" s="3">
        <f t="shared" si="163"/>
        <v>18</v>
      </c>
      <c r="K615" s="3">
        <f>IF(OR($K$1="",对接源_01水果!$C615="",对接源_01水果!$C615&lt;&gt;$K$1,对接源_01水果!$B615=""),0,IF(OR(N(对接源_01水果!$B615)&lt;$K$2,N(对接源_01水果!$B615)&gt;$K$3),0,1))</f>
        <v>0</v>
      </c>
      <c r="L615" s="3">
        <f>IF(OR($L$1="",对接源_01水果!$C615="",对接源_01水果!$C615&lt;&gt;$L$1,对接源_01水果!$B615=""),0,IF(OR(N(对接源_01水果!$B615)&lt;$L$2,N(对接源_01水果!$B615)&gt;$L$3),0,1))</f>
        <v>0</v>
      </c>
      <c r="M615" s="3">
        <f>IF(OR($M$1="",对接源_01水果!$C615="",对接源_01水果!$C615&lt;&gt;$M$1,对接源_01水果!$B615=""),0,IF(OR(N(对接源_01水果!$B615)&lt;$M$2,N(对接源_01水果!$B615)&gt;$M$3),0,1))</f>
        <v>0</v>
      </c>
      <c r="N615" s="3">
        <f>IF(OR($N$1="",对接源_01水果!$C615="",对接源_01水果!$C615&lt;&gt;$N$1,对接源_01水果!$B615=""),0,IF(OR(N(对接源_01水果!$B615)&lt;$N$2,N(对接源_01水果!$B615)&gt;$N$3),0,1))</f>
        <v>0</v>
      </c>
      <c r="P615" s="3">
        <f>IF(AND($K615=1,AND(对接源_01水果!$X615="公司筐",N(对接源_01水果!$T615)&lt;&gt;0)),1,0)</f>
        <v>0</v>
      </c>
      <c r="Q615" s="3">
        <f t="shared" si="164"/>
        <v>0</v>
      </c>
      <c r="R615" s="3">
        <f>IF(AND($K615=1,AND(对接源_01水果!$X615="公司筐",N(对接源_01水果!$U615)&lt;&gt;0)),1,0)</f>
        <v>0</v>
      </c>
      <c r="S615" s="3">
        <f t="shared" si="165"/>
        <v>0</v>
      </c>
      <c r="T615" s="3">
        <f>IF(AND($K615=1,AND(对接源_01水果!$X615="公司筐",N(对接源_01水果!$V615)&lt;&gt;0)),1,0)</f>
        <v>0</v>
      </c>
      <c r="U615" s="3">
        <f t="shared" si="166"/>
        <v>19</v>
      </c>
      <c r="V615" s="3">
        <f>IF(AND($L615=1,AND(对接源_01水果!$X615="自备筐",N(对接源_01水果!$V615)&lt;&gt;0)),1,0)</f>
        <v>0</v>
      </c>
      <c r="W615" s="3">
        <f t="shared" si="167"/>
        <v>8</v>
      </c>
      <c r="X615" s="3">
        <f>IF(AND($L615=1,AND(对接源_01水果!$X615="自备筐",N(对接源_01水果!$T615)&lt;&gt;0)),1,0)</f>
        <v>0</v>
      </c>
      <c r="Y615" s="3">
        <f t="shared" si="168"/>
        <v>0</v>
      </c>
      <c r="Z615" s="3">
        <f>IF(AND($M615=1,对接源_01水果!$D615="原料入库"),1,0)</f>
        <v>0</v>
      </c>
      <c r="AA615" s="3">
        <f t="shared" si="169"/>
        <v>24</v>
      </c>
      <c r="AB615" s="3">
        <f>IF(AND($M615=1,LEFT(对接源_01水果!$D615,4)="原料出库"),1,0)</f>
        <v>0</v>
      </c>
      <c r="AC615" s="3">
        <f t="shared" si="170"/>
        <v>0</v>
      </c>
      <c r="AD615" s="3">
        <f>IF(AND($M615=1,LEFT(对接源_01水果!$D615,4)="成品出库"),1,0)</f>
        <v>0</v>
      </c>
      <c r="AE615" s="3">
        <f t="shared" si="171"/>
        <v>0</v>
      </c>
      <c r="AF615" s="3">
        <f>IF(AND($N615=1,AND(LEFT(对接源_01水果!$D615,4)="包装物料",N(对接源_01水果!$K615)&lt;&gt;0)),1,0)</f>
        <v>0</v>
      </c>
      <c r="AG615" s="3">
        <f t="shared" si="172"/>
        <v>0</v>
      </c>
      <c r="AH615" s="3">
        <f>IF(AND($N615=1,AND(对接源_01水果!$D615="周转筐－销售出库",N(对接源_01水果!$K615)&lt;&gt;0)),1,0)</f>
        <v>0</v>
      </c>
      <c r="AI615" s="3">
        <f t="shared" si="173"/>
        <v>0</v>
      </c>
      <c r="AJ615" s="7"/>
      <c r="AL615" s="3">
        <f>IF(OR($AL$1="",对接源_01水果!$Y615="",对接源_01水果!$Y615&lt;&gt;$AL$1,对接源_01水果!$B615="",N(对接源_01水果!$AJ615)&lt;=0),0,IF(OR(N(对接源_01水果!$B615)&lt;$AL$2,N(对接源_01水果!$B615)&gt;$AL$3),0,1))</f>
        <v>0</v>
      </c>
      <c r="AM615" s="3">
        <f t="shared" si="174"/>
        <v>1</v>
      </c>
      <c r="AN615" s="3" t="str">
        <f>IF(对接源_01水果!$AC615="","",对接源_01水果!$AC615)</f>
        <v/>
      </c>
      <c r="AO615" s="3">
        <f t="shared" si="175"/>
        <v>0</v>
      </c>
      <c r="AP615" s="3">
        <f t="shared" si="176"/>
        <v>8</v>
      </c>
      <c r="AR615">
        <f t="shared" si="177"/>
        <v>0</v>
      </c>
      <c r="AS615">
        <f t="shared" si="178"/>
        <v>0</v>
      </c>
    </row>
    <row r="616" ht="14.25" customHeight="1" spans="1:45">
      <c r="A616" s="3" t="str">
        <f>IF(对接源_01水果!$C616="","",对接源_01水果!$C616)</f>
        <v/>
      </c>
      <c r="B616" s="3">
        <f t="shared" si="162"/>
        <v>0</v>
      </c>
      <c r="C616" s="3">
        <f t="shared" si="163"/>
        <v>18</v>
      </c>
      <c r="K616" s="3">
        <f>IF(OR($K$1="",对接源_01水果!$C616="",对接源_01水果!$C616&lt;&gt;$K$1,对接源_01水果!$B616=""),0,IF(OR(N(对接源_01水果!$B616)&lt;$K$2,N(对接源_01水果!$B616)&gt;$K$3),0,1))</f>
        <v>0</v>
      </c>
      <c r="L616" s="3">
        <f>IF(OR($L$1="",对接源_01水果!$C616="",对接源_01水果!$C616&lt;&gt;$L$1,对接源_01水果!$B616=""),0,IF(OR(N(对接源_01水果!$B616)&lt;$L$2,N(对接源_01水果!$B616)&gt;$L$3),0,1))</f>
        <v>0</v>
      </c>
      <c r="M616" s="3">
        <f>IF(OR($M$1="",对接源_01水果!$C616="",对接源_01水果!$C616&lt;&gt;$M$1,对接源_01水果!$B616=""),0,IF(OR(N(对接源_01水果!$B616)&lt;$M$2,N(对接源_01水果!$B616)&gt;$M$3),0,1))</f>
        <v>0</v>
      </c>
      <c r="N616" s="3">
        <f>IF(OR($N$1="",对接源_01水果!$C616="",对接源_01水果!$C616&lt;&gt;$N$1,对接源_01水果!$B616=""),0,IF(OR(N(对接源_01水果!$B616)&lt;$N$2,N(对接源_01水果!$B616)&gt;$N$3),0,1))</f>
        <v>0</v>
      </c>
      <c r="P616" s="3">
        <f>IF(AND($K616=1,AND(对接源_01水果!$X616="公司筐",N(对接源_01水果!$T616)&lt;&gt;0)),1,0)</f>
        <v>0</v>
      </c>
      <c r="Q616" s="3">
        <f t="shared" si="164"/>
        <v>0</v>
      </c>
      <c r="R616" s="3">
        <f>IF(AND($K616=1,AND(对接源_01水果!$X616="公司筐",N(对接源_01水果!$U616)&lt;&gt;0)),1,0)</f>
        <v>0</v>
      </c>
      <c r="S616" s="3">
        <f t="shared" si="165"/>
        <v>0</v>
      </c>
      <c r="T616" s="3">
        <f>IF(AND($K616=1,AND(对接源_01水果!$X616="公司筐",N(对接源_01水果!$V616)&lt;&gt;0)),1,0)</f>
        <v>0</v>
      </c>
      <c r="U616" s="3">
        <f t="shared" si="166"/>
        <v>19</v>
      </c>
      <c r="V616" s="3">
        <f>IF(AND($L616=1,AND(对接源_01水果!$X616="自备筐",N(对接源_01水果!$V616)&lt;&gt;0)),1,0)</f>
        <v>0</v>
      </c>
      <c r="W616" s="3">
        <f t="shared" si="167"/>
        <v>8</v>
      </c>
      <c r="X616" s="3">
        <f>IF(AND($L616=1,AND(对接源_01水果!$X616="自备筐",N(对接源_01水果!$T616)&lt;&gt;0)),1,0)</f>
        <v>0</v>
      </c>
      <c r="Y616" s="3">
        <f t="shared" si="168"/>
        <v>0</v>
      </c>
      <c r="Z616" s="3">
        <f>IF(AND($M616=1,对接源_01水果!$D616="原料入库"),1,0)</f>
        <v>0</v>
      </c>
      <c r="AA616" s="3">
        <f t="shared" si="169"/>
        <v>24</v>
      </c>
      <c r="AB616" s="3">
        <f>IF(AND($M616=1,LEFT(对接源_01水果!$D616,4)="原料出库"),1,0)</f>
        <v>0</v>
      </c>
      <c r="AC616" s="3">
        <f t="shared" si="170"/>
        <v>0</v>
      </c>
      <c r="AD616" s="3">
        <f>IF(AND($M616=1,LEFT(对接源_01水果!$D616,4)="成品出库"),1,0)</f>
        <v>0</v>
      </c>
      <c r="AE616" s="3">
        <f t="shared" si="171"/>
        <v>0</v>
      </c>
      <c r="AF616" s="3">
        <f>IF(AND($N616=1,AND(LEFT(对接源_01水果!$D616,4)="包装物料",N(对接源_01水果!$K616)&lt;&gt;0)),1,0)</f>
        <v>0</v>
      </c>
      <c r="AG616" s="3">
        <f t="shared" si="172"/>
        <v>0</v>
      </c>
      <c r="AH616" s="3">
        <f>IF(AND($N616=1,AND(对接源_01水果!$D616="周转筐－销售出库",N(对接源_01水果!$K616)&lt;&gt;0)),1,0)</f>
        <v>0</v>
      </c>
      <c r="AI616" s="3">
        <f t="shared" si="173"/>
        <v>0</v>
      </c>
      <c r="AJ616" s="7"/>
      <c r="AL616" s="3">
        <f>IF(OR($AL$1="",对接源_01水果!$Y616="",对接源_01水果!$Y616&lt;&gt;$AL$1,对接源_01水果!$B616="",N(对接源_01水果!$AJ616)&lt;=0),0,IF(OR(N(对接源_01水果!$B616)&lt;$AL$2,N(对接源_01水果!$B616)&gt;$AL$3),0,1))</f>
        <v>0</v>
      </c>
      <c r="AM616" s="3">
        <f t="shared" si="174"/>
        <v>1</v>
      </c>
      <c r="AN616" s="3" t="str">
        <f>IF(对接源_01水果!$AC616="","",对接源_01水果!$AC616)</f>
        <v/>
      </c>
      <c r="AO616" s="3">
        <f t="shared" si="175"/>
        <v>0</v>
      </c>
      <c r="AP616" s="3">
        <f t="shared" si="176"/>
        <v>8</v>
      </c>
      <c r="AR616">
        <f t="shared" si="177"/>
        <v>0</v>
      </c>
      <c r="AS616">
        <f t="shared" si="178"/>
        <v>0</v>
      </c>
    </row>
    <row r="617" ht="14.25" customHeight="1" spans="1:45">
      <c r="A617" s="3" t="str">
        <f>IF(对接源_01水果!$C617="","",对接源_01水果!$C617)</f>
        <v/>
      </c>
      <c r="B617" s="3">
        <f t="shared" si="162"/>
        <v>0</v>
      </c>
      <c r="C617" s="3">
        <f t="shared" si="163"/>
        <v>18</v>
      </c>
      <c r="K617" s="3">
        <f>IF(OR($K$1="",对接源_01水果!$C617="",对接源_01水果!$C617&lt;&gt;$K$1,对接源_01水果!$B617=""),0,IF(OR(N(对接源_01水果!$B617)&lt;$K$2,N(对接源_01水果!$B617)&gt;$K$3),0,1))</f>
        <v>0</v>
      </c>
      <c r="L617" s="3">
        <f>IF(OR($L$1="",对接源_01水果!$C617="",对接源_01水果!$C617&lt;&gt;$L$1,对接源_01水果!$B617=""),0,IF(OR(N(对接源_01水果!$B617)&lt;$L$2,N(对接源_01水果!$B617)&gt;$L$3),0,1))</f>
        <v>0</v>
      </c>
      <c r="M617" s="3">
        <f>IF(OR($M$1="",对接源_01水果!$C617="",对接源_01水果!$C617&lt;&gt;$M$1,对接源_01水果!$B617=""),0,IF(OR(N(对接源_01水果!$B617)&lt;$M$2,N(对接源_01水果!$B617)&gt;$M$3),0,1))</f>
        <v>0</v>
      </c>
      <c r="N617" s="3">
        <f>IF(OR($N$1="",对接源_01水果!$C617="",对接源_01水果!$C617&lt;&gt;$N$1,对接源_01水果!$B617=""),0,IF(OR(N(对接源_01水果!$B617)&lt;$N$2,N(对接源_01水果!$B617)&gt;$N$3),0,1))</f>
        <v>0</v>
      </c>
      <c r="P617" s="3">
        <f>IF(AND($K617=1,AND(对接源_01水果!$X617="公司筐",N(对接源_01水果!$T617)&lt;&gt;0)),1,0)</f>
        <v>0</v>
      </c>
      <c r="Q617" s="3">
        <f t="shared" si="164"/>
        <v>0</v>
      </c>
      <c r="R617" s="3">
        <f>IF(AND($K617=1,AND(对接源_01水果!$X617="公司筐",N(对接源_01水果!$U617)&lt;&gt;0)),1,0)</f>
        <v>0</v>
      </c>
      <c r="S617" s="3">
        <f t="shared" si="165"/>
        <v>0</v>
      </c>
      <c r="T617" s="3">
        <f>IF(AND($K617=1,AND(对接源_01水果!$X617="公司筐",N(对接源_01水果!$V617)&lt;&gt;0)),1,0)</f>
        <v>0</v>
      </c>
      <c r="U617" s="3">
        <f t="shared" si="166"/>
        <v>19</v>
      </c>
      <c r="V617" s="3">
        <f>IF(AND($L617=1,AND(对接源_01水果!$X617="自备筐",N(对接源_01水果!$V617)&lt;&gt;0)),1,0)</f>
        <v>0</v>
      </c>
      <c r="W617" s="3">
        <f t="shared" si="167"/>
        <v>8</v>
      </c>
      <c r="X617" s="3">
        <f>IF(AND($L617=1,AND(对接源_01水果!$X617="自备筐",N(对接源_01水果!$T617)&lt;&gt;0)),1,0)</f>
        <v>0</v>
      </c>
      <c r="Y617" s="3">
        <f t="shared" si="168"/>
        <v>0</v>
      </c>
      <c r="Z617" s="3">
        <f>IF(AND($M617=1,对接源_01水果!$D617="原料入库"),1,0)</f>
        <v>0</v>
      </c>
      <c r="AA617" s="3">
        <f t="shared" si="169"/>
        <v>24</v>
      </c>
      <c r="AB617" s="3">
        <f>IF(AND($M617=1,LEFT(对接源_01水果!$D617,4)="原料出库"),1,0)</f>
        <v>0</v>
      </c>
      <c r="AC617" s="3">
        <f t="shared" si="170"/>
        <v>0</v>
      </c>
      <c r="AD617" s="3">
        <f>IF(AND($M617=1,LEFT(对接源_01水果!$D617,4)="成品出库"),1,0)</f>
        <v>0</v>
      </c>
      <c r="AE617" s="3">
        <f t="shared" si="171"/>
        <v>0</v>
      </c>
      <c r="AF617" s="3">
        <f>IF(AND($N617=1,AND(LEFT(对接源_01水果!$D617,4)="包装物料",N(对接源_01水果!$K617)&lt;&gt;0)),1,0)</f>
        <v>0</v>
      </c>
      <c r="AG617" s="3">
        <f t="shared" si="172"/>
        <v>0</v>
      </c>
      <c r="AH617" s="3">
        <f>IF(AND($N617=1,AND(对接源_01水果!$D617="周转筐－销售出库",N(对接源_01水果!$K617)&lt;&gt;0)),1,0)</f>
        <v>0</v>
      </c>
      <c r="AI617" s="3">
        <f t="shared" si="173"/>
        <v>0</v>
      </c>
      <c r="AJ617" s="7"/>
      <c r="AL617" s="3">
        <f>IF(OR($AL$1="",对接源_01水果!$Y617="",对接源_01水果!$Y617&lt;&gt;$AL$1,对接源_01水果!$B617="",N(对接源_01水果!$AJ617)&lt;=0),0,IF(OR(N(对接源_01水果!$B617)&lt;$AL$2,N(对接源_01水果!$B617)&gt;$AL$3),0,1))</f>
        <v>0</v>
      </c>
      <c r="AM617" s="3">
        <f t="shared" si="174"/>
        <v>1</v>
      </c>
      <c r="AN617" s="3" t="str">
        <f>IF(对接源_01水果!$AC617="","",对接源_01水果!$AC617)</f>
        <v/>
      </c>
      <c r="AO617" s="3">
        <f t="shared" si="175"/>
        <v>0</v>
      </c>
      <c r="AP617" s="3">
        <f t="shared" si="176"/>
        <v>8</v>
      </c>
      <c r="AR617">
        <f t="shared" si="177"/>
        <v>0</v>
      </c>
      <c r="AS617">
        <f t="shared" si="178"/>
        <v>0</v>
      </c>
    </row>
    <row r="618" ht="14.25" customHeight="1" spans="1:45">
      <c r="A618" s="3" t="str">
        <f>IF(对接源_01水果!$C618="","",对接源_01水果!$C618)</f>
        <v/>
      </c>
      <c r="B618" s="3">
        <f t="shared" si="162"/>
        <v>0</v>
      </c>
      <c r="C618" s="3">
        <f t="shared" si="163"/>
        <v>18</v>
      </c>
      <c r="K618" s="3">
        <f>IF(OR($K$1="",对接源_01水果!$C618="",对接源_01水果!$C618&lt;&gt;$K$1,对接源_01水果!$B618=""),0,IF(OR(N(对接源_01水果!$B618)&lt;$K$2,N(对接源_01水果!$B618)&gt;$K$3),0,1))</f>
        <v>0</v>
      </c>
      <c r="L618" s="3">
        <f>IF(OR($L$1="",对接源_01水果!$C618="",对接源_01水果!$C618&lt;&gt;$L$1,对接源_01水果!$B618=""),0,IF(OR(N(对接源_01水果!$B618)&lt;$L$2,N(对接源_01水果!$B618)&gt;$L$3),0,1))</f>
        <v>0</v>
      </c>
      <c r="M618" s="3">
        <f>IF(OR($M$1="",对接源_01水果!$C618="",对接源_01水果!$C618&lt;&gt;$M$1,对接源_01水果!$B618=""),0,IF(OR(N(对接源_01水果!$B618)&lt;$M$2,N(对接源_01水果!$B618)&gt;$M$3),0,1))</f>
        <v>0</v>
      </c>
      <c r="N618" s="3">
        <f>IF(OR($N$1="",对接源_01水果!$C618="",对接源_01水果!$C618&lt;&gt;$N$1,对接源_01水果!$B618=""),0,IF(OR(N(对接源_01水果!$B618)&lt;$N$2,N(对接源_01水果!$B618)&gt;$N$3),0,1))</f>
        <v>0</v>
      </c>
      <c r="P618" s="3">
        <f>IF(AND($K618=1,AND(对接源_01水果!$X618="公司筐",N(对接源_01水果!$T618)&lt;&gt;0)),1,0)</f>
        <v>0</v>
      </c>
      <c r="Q618" s="3">
        <f t="shared" si="164"/>
        <v>0</v>
      </c>
      <c r="R618" s="3">
        <f>IF(AND($K618=1,AND(对接源_01水果!$X618="公司筐",N(对接源_01水果!$U618)&lt;&gt;0)),1,0)</f>
        <v>0</v>
      </c>
      <c r="S618" s="3">
        <f t="shared" si="165"/>
        <v>0</v>
      </c>
      <c r="T618" s="3">
        <f>IF(AND($K618=1,AND(对接源_01水果!$X618="公司筐",N(对接源_01水果!$V618)&lt;&gt;0)),1,0)</f>
        <v>0</v>
      </c>
      <c r="U618" s="3">
        <f t="shared" si="166"/>
        <v>19</v>
      </c>
      <c r="V618" s="3">
        <f>IF(AND($L618=1,AND(对接源_01水果!$X618="自备筐",N(对接源_01水果!$V618)&lt;&gt;0)),1,0)</f>
        <v>0</v>
      </c>
      <c r="W618" s="3">
        <f t="shared" si="167"/>
        <v>8</v>
      </c>
      <c r="X618" s="3">
        <f>IF(AND($L618=1,AND(对接源_01水果!$X618="自备筐",N(对接源_01水果!$T618)&lt;&gt;0)),1,0)</f>
        <v>0</v>
      </c>
      <c r="Y618" s="3">
        <f t="shared" si="168"/>
        <v>0</v>
      </c>
      <c r="Z618" s="3">
        <f>IF(AND($M618=1,对接源_01水果!$D618="原料入库"),1,0)</f>
        <v>0</v>
      </c>
      <c r="AA618" s="3">
        <f t="shared" si="169"/>
        <v>24</v>
      </c>
      <c r="AB618" s="3">
        <f>IF(AND($M618=1,LEFT(对接源_01水果!$D618,4)="原料出库"),1,0)</f>
        <v>0</v>
      </c>
      <c r="AC618" s="3">
        <f t="shared" si="170"/>
        <v>0</v>
      </c>
      <c r="AD618" s="3">
        <f>IF(AND($M618=1,LEFT(对接源_01水果!$D618,4)="成品出库"),1,0)</f>
        <v>0</v>
      </c>
      <c r="AE618" s="3">
        <f t="shared" si="171"/>
        <v>0</v>
      </c>
      <c r="AF618" s="3">
        <f>IF(AND($N618=1,AND(LEFT(对接源_01水果!$D618,4)="包装物料",N(对接源_01水果!$K618)&lt;&gt;0)),1,0)</f>
        <v>0</v>
      </c>
      <c r="AG618" s="3">
        <f t="shared" si="172"/>
        <v>0</v>
      </c>
      <c r="AH618" s="3">
        <f>IF(AND($N618=1,AND(对接源_01水果!$D618="周转筐－销售出库",N(对接源_01水果!$K618)&lt;&gt;0)),1,0)</f>
        <v>0</v>
      </c>
      <c r="AI618" s="3">
        <f t="shared" si="173"/>
        <v>0</v>
      </c>
      <c r="AJ618" s="7"/>
      <c r="AL618" s="3">
        <f>IF(OR($AL$1="",对接源_01水果!$Y618="",对接源_01水果!$Y618&lt;&gt;$AL$1,对接源_01水果!$B618="",N(对接源_01水果!$AJ618)&lt;=0),0,IF(OR(N(对接源_01水果!$B618)&lt;$AL$2,N(对接源_01水果!$B618)&gt;$AL$3),0,1))</f>
        <v>0</v>
      </c>
      <c r="AM618" s="3">
        <f t="shared" si="174"/>
        <v>1</v>
      </c>
      <c r="AN618" s="3" t="str">
        <f>IF(对接源_01水果!$AC618="","",对接源_01水果!$AC618)</f>
        <v/>
      </c>
      <c r="AO618" s="3">
        <f t="shared" si="175"/>
        <v>0</v>
      </c>
      <c r="AP618" s="3">
        <f t="shared" si="176"/>
        <v>8</v>
      </c>
      <c r="AR618">
        <f t="shared" si="177"/>
        <v>0</v>
      </c>
      <c r="AS618">
        <f t="shared" si="178"/>
        <v>0</v>
      </c>
    </row>
    <row r="619" ht="14.25" customHeight="1" spans="1:45">
      <c r="A619" s="3" t="str">
        <f>IF(对接源_01水果!$C619="","",对接源_01水果!$C619)</f>
        <v/>
      </c>
      <c r="B619" s="3">
        <f t="shared" si="162"/>
        <v>0</v>
      </c>
      <c r="C619" s="3">
        <f t="shared" si="163"/>
        <v>18</v>
      </c>
      <c r="K619" s="3">
        <f>IF(OR($K$1="",对接源_01水果!$C619="",对接源_01水果!$C619&lt;&gt;$K$1,对接源_01水果!$B619=""),0,IF(OR(N(对接源_01水果!$B619)&lt;$K$2,N(对接源_01水果!$B619)&gt;$K$3),0,1))</f>
        <v>0</v>
      </c>
      <c r="L619" s="3">
        <f>IF(OR($L$1="",对接源_01水果!$C619="",对接源_01水果!$C619&lt;&gt;$L$1,对接源_01水果!$B619=""),0,IF(OR(N(对接源_01水果!$B619)&lt;$L$2,N(对接源_01水果!$B619)&gt;$L$3),0,1))</f>
        <v>0</v>
      </c>
      <c r="M619" s="3">
        <f>IF(OR($M$1="",对接源_01水果!$C619="",对接源_01水果!$C619&lt;&gt;$M$1,对接源_01水果!$B619=""),0,IF(OR(N(对接源_01水果!$B619)&lt;$M$2,N(对接源_01水果!$B619)&gt;$M$3),0,1))</f>
        <v>0</v>
      </c>
      <c r="N619" s="3">
        <f>IF(OR($N$1="",对接源_01水果!$C619="",对接源_01水果!$C619&lt;&gt;$N$1,对接源_01水果!$B619=""),0,IF(OR(N(对接源_01水果!$B619)&lt;$N$2,N(对接源_01水果!$B619)&gt;$N$3),0,1))</f>
        <v>0</v>
      </c>
      <c r="P619" s="3">
        <f>IF(AND($K619=1,AND(对接源_01水果!$X619="公司筐",N(对接源_01水果!$T619)&lt;&gt;0)),1,0)</f>
        <v>0</v>
      </c>
      <c r="Q619" s="3">
        <f t="shared" si="164"/>
        <v>0</v>
      </c>
      <c r="R619" s="3">
        <f>IF(AND($K619=1,AND(对接源_01水果!$X619="公司筐",N(对接源_01水果!$U619)&lt;&gt;0)),1,0)</f>
        <v>0</v>
      </c>
      <c r="S619" s="3">
        <f t="shared" si="165"/>
        <v>0</v>
      </c>
      <c r="T619" s="3">
        <f>IF(AND($K619=1,AND(对接源_01水果!$X619="公司筐",N(对接源_01水果!$V619)&lt;&gt;0)),1,0)</f>
        <v>0</v>
      </c>
      <c r="U619" s="3">
        <f t="shared" si="166"/>
        <v>19</v>
      </c>
      <c r="V619" s="3">
        <f>IF(AND($L619=1,AND(对接源_01水果!$X619="自备筐",N(对接源_01水果!$V619)&lt;&gt;0)),1,0)</f>
        <v>0</v>
      </c>
      <c r="W619" s="3">
        <f t="shared" si="167"/>
        <v>8</v>
      </c>
      <c r="X619" s="3">
        <f>IF(AND($L619=1,AND(对接源_01水果!$X619="自备筐",N(对接源_01水果!$T619)&lt;&gt;0)),1,0)</f>
        <v>0</v>
      </c>
      <c r="Y619" s="3">
        <f t="shared" si="168"/>
        <v>0</v>
      </c>
      <c r="Z619" s="3">
        <f>IF(AND($M619=1,对接源_01水果!$D619="原料入库"),1,0)</f>
        <v>0</v>
      </c>
      <c r="AA619" s="3">
        <f t="shared" si="169"/>
        <v>24</v>
      </c>
      <c r="AB619" s="3">
        <f>IF(AND($M619=1,LEFT(对接源_01水果!$D619,4)="原料出库"),1,0)</f>
        <v>0</v>
      </c>
      <c r="AC619" s="3">
        <f t="shared" si="170"/>
        <v>0</v>
      </c>
      <c r="AD619" s="3">
        <f>IF(AND($M619=1,LEFT(对接源_01水果!$D619,4)="成品出库"),1,0)</f>
        <v>0</v>
      </c>
      <c r="AE619" s="3">
        <f t="shared" si="171"/>
        <v>0</v>
      </c>
      <c r="AF619" s="3">
        <f>IF(AND($N619=1,AND(LEFT(对接源_01水果!$D619,4)="包装物料",N(对接源_01水果!$K619)&lt;&gt;0)),1,0)</f>
        <v>0</v>
      </c>
      <c r="AG619" s="3">
        <f t="shared" si="172"/>
        <v>0</v>
      </c>
      <c r="AH619" s="3">
        <f>IF(AND($N619=1,AND(对接源_01水果!$D619="周转筐－销售出库",N(对接源_01水果!$K619)&lt;&gt;0)),1,0)</f>
        <v>0</v>
      </c>
      <c r="AI619" s="3">
        <f t="shared" si="173"/>
        <v>0</v>
      </c>
      <c r="AJ619" s="7"/>
      <c r="AL619" s="3">
        <f>IF(OR($AL$1="",对接源_01水果!$Y619="",对接源_01水果!$Y619&lt;&gt;$AL$1,对接源_01水果!$B619="",N(对接源_01水果!$AJ619)&lt;=0),0,IF(OR(N(对接源_01水果!$B619)&lt;$AL$2,N(对接源_01水果!$B619)&gt;$AL$3),0,1))</f>
        <v>0</v>
      </c>
      <c r="AM619" s="3">
        <f t="shared" si="174"/>
        <v>1</v>
      </c>
      <c r="AN619" s="3" t="str">
        <f>IF(对接源_01水果!$AC619="","",对接源_01水果!$AC619)</f>
        <v/>
      </c>
      <c r="AO619" s="3">
        <f t="shared" si="175"/>
        <v>0</v>
      </c>
      <c r="AP619" s="3">
        <f t="shared" si="176"/>
        <v>8</v>
      </c>
      <c r="AR619">
        <f t="shared" si="177"/>
        <v>0</v>
      </c>
      <c r="AS619">
        <f t="shared" si="178"/>
        <v>0</v>
      </c>
    </row>
    <row r="620" ht="14.25" customHeight="1" spans="1:45">
      <c r="A620" s="3" t="str">
        <f>IF(对接源_01水果!$C620="","",对接源_01水果!$C620)</f>
        <v/>
      </c>
      <c r="B620" s="3">
        <f t="shared" si="162"/>
        <v>0</v>
      </c>
      <c r="C620" s="3">
        <f t="shared" si="163"/>
        <v>18</v>
      </c>
      <c r="K620" s="3">
        <f>IF(OR($K$1="",对接源_01水果!$C620="",对接源_01水果!$C620&lt;&gt;$K$1,对接源_01水果!$B620=""),0,IF(OR(N(对接源_01水果!$B620)&lt;$K$2,N(对接源_01水果!$B620)&gt;$K$3),0,1))</f>
        <v>0</v>
      </c>
      <c r="L620" s="3">
        <f>IF(OR($L$1="",对接源_01水果!$C620="",对接源_01水果!$C620&lt;&gt;$L$1,对接源_01水果!$B620=""),0,IF(OR(N(对接源_01水果!$B620)&lt;$L$2,N(对接源_01水果!$B620)&gt;$L$3),0,1))</f>
        <v>0</v>
      </c>
      <c r="M620" s="3">
        <f>IF(OR($M$1="",对接源_01水果!$C620="",对接源_01水果!$C620&lt;&gt;$M$1,对接源_01水果!$B620=""),0,IF(OR(N(对接源_01水果!$B620)&lt;$M$2,N(对接源_01水果!$B620)&gt;$M$3),0,1))</f>
        <v>0</v>
      </c>
      <c r="N620" s="3">
        <f>IF(OR($N$1="",对接源_01水果!$C620="",对接源_01水果!$C620&lt;&gt;$N$1,对接源_01水果!$B620=""),0,IF(OR(N(对接源_01水果!$B620)&lt;$N$2,N(对接源_01水果!$B620)&gt;$N$3),0,1))</f>
        <v>0</v>
      </c>
      <c r="P620" s="3">
        <f>IF(AND($K620=1,AND(对接源_01水果!$X620="公司筐",N(对接源_01水果!$T620)&lt;&gt;0)),1,0)</f>
        <v>0</v>
      </c>
      <c r="Q620" s="3">
        <f t="shared" si="164"/>
        <v>0</v>
      </c>
      <c r="R620" s="3">
        <f>IF(AND($K620=1,AND(对接源_01水果!$X620="公司筐",N(对接源_01水果!$U620)&lt;&gt;0)),1,0)</f>
        <v>0</v>
      </c>
      <c r="S620" s="3">
        <f t="shared" si="165"/>
        <v>0</v>
      </c>
      <c r="T620" s="3">
        <f>IF(AND($K620=1,AND(对接源_01水果!$X620="公司筐",N(对接源_01水果!$V620)&lt;&gt;0)),1,0)</f>
        <v>0</v>
      </c>
      <c r="U620" s="3">
        <f t="shared" si="166"/>
        <v>19</v>
      </c>
      <c r="V620" s="3">
        <f>IF(AND($L620=1,AND(对接源_01水果!$X620="自备筐",N(对接源_01水果!$V620)&lt;&gt;0)),1,0)</f>
        <v>0</v>
      </c>
      <c r="W620" s="3">
        <f t="shared" si="167"/>
        <v>8</v>
      </c>
      <c r="X620" s="3">
        <f>IF(AND($L620=1,AND(对接源_01水果!$X620="自备筐",N(对接源_01水果!$T620)&lt;&gt;0)),1,0)</f>
        <v>0</v>
      </c>
      <c r="Y620" s="3">
        <f t="shared" si="168"/>
        <v>0</v>
      </c>
      <c r="Z620" s="3">
        <f>IF(AND($M620=1,对接源_01水果!$D620="原料入库"),1,0)</f>
        <v>0</v>
      </c>
      <c r="AA620" s="3">
        <f t="shared" si="169"/>
        <v>24</v>
      </c>
      <c r="AB620" s="3">
        <f>IF(AND($M620=1,LEFT(对接源_01水果!$D620,4)="原料出库"),1,0)</f>
        <v>0</v>
      </c>
      <c r="AC620" s="3">
        <f t="shared" si="170"/>
        <v>0</v>
      </c>
      <c r="AD620" s="3">
        <f>IF(AND($M620=1,LEFT(对接源_01水果!$D620,4)="成品出库"),1,0)</f>
        <v>0</v>
      </c>
      <c r="AE620" s="3">
        <f t="shared" si="171"/>
        <v>0</v>
      </c>
      <c r="AF620" s="3">
        <f>IF(AND($N620=1,AND(LEFT(对接源_01水果!$D620,4)="包装物料",N(对接源_01水果!$K620)&lt;&gt;0)),1,0)</f>
        <v>0</v>
      </c>
      <c r="AG620" s="3">
        <f t="shared" si="172"/>
        <v>0</v>
      </c>
      <c r="AH620" s="3">
        <f>IF(AND($N620=1,AND(对接源_01水果!$D620="周转筐－销售出库",N(对接源_01水果!$K620)&lt;&gt;0)),1,0)</f>
        <v>0</v>
      </c>
      <c r="AI620" s="3">
        <f t="shared" si="173"/>
        <v>0</v>
      </c>
      <c r="AJ620" s="7"/>
      <c r="AL620" s="3">
        <f>IF(OR($AL$1="",对接源_01水果!$Y620="",对接源_01水果!$Y620&lt;&gt;$AL$1,对接源_01水果!$B620="",N(对接源_01水果!$AJ620)&lt;=0),0,IF(OR(N(对接源_01水果!$B620)&lt;$AL$2,N(对接源_01水果!$B620)&gt;$AL$3),0,1))</f>
        <v>0</v>
      </c>
      <c r="AM620" s="3">
        <f t="shared" si="174"/>
        <v>1</v>
      </c>
      <c r="AN620" s="3" t="str">
        <f>IF(对接源_01水果!$AC620="","",对接源_01水果!$AC620)</f>
        <v/>
      </c>
      <c r="AO620" s="3">
        <f t="shared" si="175"/>
        <v>0</v>
      </c>
      <c r="AP620" s="3">
        <f t="shared" si="176"/>
        <v>8</v>
      </c>
      <c r="AR620">
        <f t="shared" si="177"/>
        <v>0</v>
      </c>
      <c r="AS620">
        <f t="shared" si="178"/>
        <v>0</v>
      </c>
    </row>
    <row r="621" ht="14.25" customHeight="1" spans="1:45">
      <c r="A621" s="3" t="str">
        <f>IF(对接源_01水果!$C621="","",对接源_01水果!$C621)</f>
        <v/>
      </c>
      <c r="B621" s="3">
        <f t="shared" si="162"/>
        <v>0</v>
      </c>
      <c r="C621" s="3">
        <f t="shared" si="163"/>
        <v>18</v>
      </c>
      <c r="K621" s="3">
        <f>IF(OR($K$1="",对接源_01水果!$C621="",对接源_01水果!$C621&lt;&gt;$K$1,对接源_01水果!$B621=""),0,IF(OR(N(对接源_01水果!$B621)&lt;$K$2,N(对接源_01水果!$B621)&gt;$K$3),0,1))</f>
        <v>0</v>
      </c>
      <c r="L621" s="3">
        <f>IF(OR($L$1="",对接源_01水果!$C621="",对接源_01水果!$C621&lt;&gt;$L$1,对接源_01水果!$B621=""),0,IF(OR(N(对接源_01水果!$B621)&lt;$L$2,N(对接源_01水果!$B621)&gt;$L$3),0,1))</f>
        <v>0</v>
      </c>
      <c r="M621" s="3">
        <f>IF(OR($M$1="",对接源_01水果!$C621="",对接源_01水果!$C621&lt;&gt;$M$1,对接源_01水果!$B621=""),0,IF(OR(N(对接源_01水果!$B621)&lt;$M$2,N(对接源_01水果!$B621)&gt;$M$3),0,1))</f>
        <v>0</v>
      </c>
      <c r="N621" s="3">
        <f>IF(OR($N$1="",对接源_01水果!$C621="",对接源_01水果!$C621&lt;&gt;$N$1,对接源_01水果!$B621=""),0,IF(OR(N(对接源_01水果!$B621)&lt;$N$2,N(对接源_01水果!$B621)&gt;$N$3),0,1))</f>
        <v>0</v>
      </c>
      <c r="P621" s="3">
        <f>IF(AND($K621=1,AND(对接源_01水果!$X621="公司筐",N(对接源_01水果!$T621)&lt;&gt;0)),1,0)</f>
        <v>0</v>
      </c>
      <c r="Q621" s="3">
        <f t="shared" si="164"/>
        <v>0</v>
      </c>
      <c r="R621" s="3">
        <f>IF(AND($K621=1,AND(对接源_01水果!$X621="公司筐",N(对接源_01水果!$U621)&lt;&gt;0)),1,0)</f>
        <v>0</v>
      </c>
      <c r="S621" s="3">
        <f t="shared" si="165"/>
        <v>0</v>
      </c>
      <c r="T621" s="3">
        <f>IF(AND($K621=1,AND(对接源_01水果!$X621="公司筐",N(对接源_01水果!$V621)&lt;&gt;0)),1,0)</f>
        <v>0</v>
      </c>
      <c r="U621" s="3">
        <f t="shared" si="166"/>
        <v>19</v>
      </c>
      <c r="V621" s="3">
        <f>IF(AND($L621=1,AND(对接源_01水果!$X621="自备筐",N(对接源_01水果!$V621)&lt;&gt;0)),1,0)</f>
        <v>0</v>
      </c>
      <c r="W621" s="3">
        <f t="shared" si="167"/>
        <v>8</v>
      </c>
      <c r="X621" s="3">
        <f>IF(AND($L621=1,AND(对接源_01水果!$X621="自备筐",N(对接源_01水果!$T621)&lt;&gt;0)),1,0)</f>
        <v>0</v>
      </c>
      <c r="Y621" s="3">
        <f t="shared" si="168"/>
        <v>0</v>
      </c>
      <c r="Z621" s="3">
        <f>IF(AND($M621=1,对接源_01水果!$D621="原料入库"),1,0)</f>
        <v>0</v>
      </c>
      <c r="AA621" s="3">
        <f t="shared" si="169"/>
        <v>24</v>
      </c>
      <c r="AB621" s="3">
        <f>IF(AND($M621=1,LEFT(对接源_01水果!$D621,4)="原料出库"),1,0)</f>
        <v>0</v>
      </c>
      <c r="AC621" s="3">
        <f t="shared" si="170"/>
        <v>0</v>
      </c>
      <c r="AD621" s="3">
        <f>IF(AND($M621=1,LEFT(对接源_01水果!$D621,4)="成品出库"),1,0)</f>
        <v>0</v>
      </c>
      <c r="AE621" s="3">
        <f t="shared" si="171"/>
        <v>0</v>
      </c>
      <c r="AF621" s="3">
        <f>IF(AND($N621=1,AND(LEFT(对接源_01水果!$D621,4)="包装物料",N(对接源_01水果!$K621)&lt;&gt;0)),1,0)</f>
        <v>0</v>
      </c>
      <c r="AG621" s="3">
        <f t="shared" si="172"/>
        <v>0</v>
      </c>
      <c r="AH621" s="3">
        <f>IF(AND($N621=1,AND(对接源_01水果!$D621="周转筐－销售出库",N(对接源_01水果!$K621)&lt;&gt;0)),1,0)</f>
        <v>0</v>
      </c>
      <c r="AI621" s="3">
        <f t="shared" si="173"/>
        <v>0</v>
      </c>
      <c r="AJ621" s="7"/>
      <c r="AL621" s="3">
        <f>IF(OR($AL$1="",对接源_01水果!$Y621="",对接源_01水果!$Y621&lt;&gt;$AL$1,对接源_01水果!$B621="",N(对接源_01水果!$AJ621)&lt;=0),0,IF(OR(N(对接源_01水果!$B621)&lt;$AL$2,N(对接源_01水果!$B621)&gt;$AL$3),0,1))</f>
        <v>0</v>
      </c>
      <c r="AM621" s="3">
        <f t="shared" si="174"/>
        <v>1</v>
      </c>
      <c r="AN621" s="3" t="str">
        <f>IF(对接源_01水果!$AC621="","",对接源_01水果!$AC621)</f>
        <v/>
      </c>
      <c r="AO621" s="3">
        <f t="shared" si="175"/>
        <v>0</v>
      </c>
      <c r="AP621" s="3">
        <f t="shared" si="176"/>
        <v>8</v>
      </c>
      <c r="AR621">
        <f t="shared" si="177"/>
        <v>0</v>
      </c>
      <c r="AS621">
        <f t="shared" si="178"/>
        <v>0</v>
      </c>
    </row>
    <row r="622" ht="14.25" customHeight="1" spans="1:45">
      <c r="A622" s="3" t="str">
        <f>IF(对接源_01水果!$C622="","",对接源_01水果!$C622)</f>
        <v/>
      </c>
      <c r="B622" s="3">
        <f t="shared" si="162"/>
        <v>0</v>
      </c>
      <c r="C622" s="3">
        <f t="shared" si="163"/>
        <v>18</v>
      </c>
      <c r="K622" s="3">
        <f>IF(OR($K$1="",对接源_01水果!$C622="",对接源_01水果!$C622&lt;&gt;$K$1,对接源_01水果!$B622=""),0,IF(OR(N(对接源_01水果!$B622)&lt;$K$2,N(对接源_01水果!$B622)&gt;$K$3),0,1))</f>
        <v>0</v>
      </c>
      <c r="L622" s="3">
        <f>IF(OR($L$1="",对接源_01水果!$C622="",对接源_01水果!$C622&lt;&gt;$L$1,对接源_01水果!$B622=""),0,IF(OR(N(对接源_01水果!$B622)&lt;$L$2,N(对接源_01水果!$B622)&gt;$L$3),0,1))</f>
        <v>0</v>
      </c>
      <c r="M622" s="3">
        <f>IF(OR($M$1="",对接源_01水果!$C622="",对接源_01水果!$C622&lt;&gt;$M$1,对接源_01水果!$B622=""),0,IF(OR(N(对接源_01水果!$B622)&lt;$M$2,N(对接源_01水果!$B622)&gt;$M$3),0,1))</f>
        <v>0</v>
      </c>
      <c r="N622" s="3">
        <f>IF(OR($N$1="",对接源_01水果!$C622="",对接源_01水果!$C622&lt;&gt;$N$1,对接源_01水果!$B622=""),0,IF(OR(N(对接源_01水果!$B622)&lt;$N$2,N(对接源_01水果!$B622)&gt;$N$3),0,1))</f>
        <v>0</v>
      </c>
      <c r="P622" s="3">
        <f>IF(AND($K622=1,AND(对接源_01水果!$X622="公司筐",N(对接源_01水果!$T622)&lt;&gt;0)),1,0)</f>
        <v>0</v>
      </c>
      <c r="Q622" s="3">
        <f t="shared" si="164"/>
        <v>0</v>
      </c>
      <c r="R622" s="3">
        <f>IF(AND($K622=1,AND(对接源_01水果!$X622="公司筐",N(对接源_01水果!$U622)&lt;&gt;0)),1,0)</f>
        <v>0</v>
      </c>
      <c r="S622" s="3">
        <f t="shared" si="165"/>
        <v>0</v>
      </c>
      <c r="T622" s="3">
        <f>IF(AND($K622=1,AND(对接源_01水果!$X622="公司筐",N(对接源_01水果!$V622)&lt;&gt;0)),1,0)</f>
        <v>0</v>
      </c>
      <c r="U622" s="3">
        <f t="shared" si="166"/>
        <v>19</v>
      </c>
      <c r="V622" s="3">
        <f>IF(AND($L622=1,AND(对接源_01水果!$X622="自备筐",N(对接源_01水果!$V622)&lt;&gt;0)),1,0)</f>
        <v>0</v>
      </c>
      <c r="W622" s="3">
        <f t="shared" si="167"/>
        <v>8</v>
      </c>
      <c r="X622" s="3">
        <f>IF(AND($L622=1,AND(对接源_01水果!$X622="自备筐",N(对接源_01水果!$T622)&lt;&gt;0)),1,0)</f>
        <v>0</v>
      </c>
      <c r="Y622" s="3">
        <f t="shared" si="168"/>
        <v>0</v>
      </c>
      <c r="Z622" s="3">
        <f>IF(AND($M622=1,对接源_01水果!$D622="原料入库"),1,0)</f>
        <v>0</v>
      </c>
      <c r="AA622" s="3">
        <f t="shared" si="169"/>
        <v>24</v>
      </c>
      <c r="AB622" s="3">
        <f>IF(AND($M622=1,LEFT(对接源_01水果!$D622,4)="原料出库"),1,0)</f>
        <v>0</v>
      </c>
      <c r="AC622" s="3">
        <f t="shared" si="170"/>
        <v>0</v>
      </c>
      <c r="AD622" s="3">
        <f>IF(AND($M622=1,LEFT(对接源_01水果!$D622,4)="成品出库"),1,0)</f>
        <v>0</v>
      </c>
      <c r="AE622" s="3">
        <f t="shared" si="171"/>
        <v>0</v>
      </c>
      <c r="AF622" s="3">
        <f>IF(AND($N622=1,AND(LEFT(对接源_01水果!$D622,4)="包装物料",N(对接源_01水果!$K622)&lt;&gt;0)),1,0)</f>
        <v>0</v>
      </c>
      <c r="AG622" s="3">
        <f t="shared" si="172"/>
        <v>0</v>
      </c>
      <c r="AH622" s="3">
        <f>IF(AND($N622=1,AND(对接源_01水果!$D622="周转筐－销售出库",N(对接源_01水果!$K622)&lt;&gt;0)),1,0)</f>
        <v>0</v>
      </c>
      <c r="AI622" s="3">
        <f t="shared" si="173"/>
        <v>0</v>
      </c>
      <c r="AJ622" s="7"/>
      <c r="AL622" s="3">
        <f>IF(OR($AL$1="",对接源_01水果!$Y622="",对接源_01水果!$Y622&lt;&gt;$AL$1,对接源_01水果!$B622="",N(对接源_01水果!$AJ622)&lt;=0),0,IF(OR(N(对接源_01水果!$B622)&lt;$AL$2,N(对接源_01水果!$B622)&gt;$AL$3),0,1))</f>
        <v>0</v>
      </c>
      <c r="AM622" s="3">
        <f t="shared" si="174"/>
        <v>1</v>
      </c>
      <c r="AN622" s="3" t="str">
        <f>IF(对接源_01水果!$AC622="","",对接源_01水果!$AC622)</f>
        <v/>
      </c>
      <c r="AO622" s="3">
        <f t="shared" si="175"/>
        <v>0</v>
      </c>
      <c r="AP622" s="3">
        <f t="shared" si="176"/>
        <v>8</v>
      </c>
      <c r="AR622">
        <f t="shared" si="177"/>
        <v>0</v>
      </c>
      <c r="AS622">
        <f t="shared" si="178"/>
        <v>0</v>
      </c>
    </row>
    <row r="623" ht="14.25" customHeight="1" spans="1:45">
      <c r="A623" s="3" t="str">
        <f>IF(对接源_01水果!$C623="","",对接源_01水果!$C623)</f>
        <v/>
      </c>
      <c r="B623" s="3">
        <f t="shared" si="162"/>
        <v>0</v>
      </c>
      <c r="C623" s="3">
        <f t="shared" si="163"/>
        <v>18</v>
      </c>
      <c r="K623" s="3">
        <f>IF(OR($K$1="",对接源_01水果!$C623="",对接源_01水果!$C623&lt;&gt;$K$1,对接源_01水果!$B623=""),0,IF(OR(N(对接源_01水果!$B623)&lt;$K$2,N(对接源_01水果!$B623)&gt;$K$3),0,1))</f>
        <v>0</v>
      </c>
      <c r="L623" s="3">
        <f>IF(OR($L$1="",对接源_01水果!$C623="",对接源_01水果!$C623&lt;&gt;$L$1,对接源_01水果!$B623=""),0,IF(OR(N(对接源_01水果!$B623)&lt;$L$2,N(对接源_01水果!$B623)&gt;$L$3),0,1))</f>
        <v>0</v>
      </c>
      <c r="M623" s="3">
        <f>IF(OR($M$1="",对接源_01水果!$C623="",对接源_01水果!$C623&lt;&gt;$M$1,对接源_01水果!$B623=""),0,IF(OR(N(对接源_01水果!$B623)&lt;$M$2,N(对接源_01水果!$B623)&gt;$M$3),0,1))</f>
        <v>0</v>
      </c>
      <c r="N623" s="3">
        <f>IF(OR($N$1="",对接源_01水果!$C623="",对接源_01水果!$C623&lt;&gt;$N$1,对接源_01水果!$B623=""),0,IF(OR(N(对接源_01水果!$B623)&lt;$N$2,N(对接源_01水果!$B623)&gt;$N$3),0,1))</f>
        <v>0</v>
      </c>
      <c r="P623" s="3">
        <f>IF(AND($K623=1,AND(对接源_01水果!$X623="公司筐",N(对接源_01水果!$T623)&lt;&gt;0)),1,0)</f>
        <v>0</v>
      </c>
      <c r="Q623" s="3">
        <f t="shared" si="164"/>
        <v>0</v>
      </c>
      <c r="R623" s="3">
        <f>IF(AND($K623=1,AND(对接源_01水果!$X623="公司筐",N(对接源_01水果!$U623)&lt;&gt;0)),1,0)</f>
        <v>0</v>
      </c>
      <c r="S623" s="3">
        <f t="shared" si="165"/>
        <v>0</v>
      </c>
      <c r="T623" s="3">
        <f>IF(AND($K623=1,AND(对接源_01水果!$X623="公司筐",N(对接源_01水果!$V623)&lt;&gt;0)),1,0)</f>
        <v>0</v>
      </c>
      <c r="U623" s="3">
        <f t="shared" si="166"/>
        <v>19</v>
      </c>
      <c r="V623" s="3">
        <f>IF(AND($L623=1,AND(对接源_01水果!$X623="自备筐",N(对接源_01水果!$V623)&lt;&gt;0)),1,0)</f>
        <v>0</v>
      </c>
      <c r="W623" s="3">
        <f t="shared" si="167"/>
        <v>8</v>
      </c>
      <c r="X623" s="3">
        <f>IF(AND($L623=1,AND(对接源_01水果!$X623="自备筐",N(对接源_01水果!$T623)&lt;&gt;0)),1,0)</f>
        <v>0</v>
      </c>
      <c r="Y623" s="3">
        <f t="shared" si="168"/>
        <v>0</v>
      </c>
      <c r="Z623" s="3">
        <f>IF(AND($M623=1,对接源_01水果!$D623="原料入库"),1,0)</f>
        <v>0</v>
      </c>
      <c r="AA623" s="3">
        <f t="shared" si="169"/>
        <v>24</v>
      </c>
      <c r="AB623" s="3">
        <f>IF(AND($M623=1,LEFT(对接源_01水果!$D623,4)="原料出库"),1,0)</f>
        <v>0</v>
      </c>
      <c r="AC623" s="3">
        <f t="shared" si="170"/>
        <v>0</v>
      </c>
      <c r="AD623" s="3">
        <f>IF(AND($M623=1,LEFT(对接源_01水果!$D623,4)="成品出库"),1,0)</f>
        <v>0</v>
      </c>
      <c r="AE623" s="3">
        <f t="shared" si="171"/>
        <v>0</v>
      </c>
      <c r="AF623" s="3">
        <f>IF(AND($N623=1,AND(LEFT(对接源_01水果!$D623,4)="包装物料",N(对接源_01水果!$K623)&lt;&gt;0)),1,0)</f>
        <v>0</v>
      </c>
      <c r="AG623" s="3">
        <f t="shared" si="172"/>
        <v>0</v>
      </c>
      <c r="AH623" s="3">
        <f>IF(AND($N623=1,AND(对接源_01水果!$D623="周转筐－销售出库",N(对接源_01水果!$K623)&lt;&gt;0)),1,0)</f>
        <v>0</v>
      </c>
      <c r="AI623" s="3">
        <f t="shared" si="173"/>
        <v>0</v>
      </c>
      <c r="AJ623" s="7"/>
      <c r="AL623" s="3">
        <f>IF(OR($AL$1="",对接源_01水果!$Y623="",对接源_01水果!$Y623&lt;&gt;$AL$1,对接源_01水果!$B623="",N(对接源_01水果!$AJ623)&lt;=0),0,IF(OR(N(对接源_01水果!$B623)&lt;$AL$2,N(对接源_01水果!$B623)&gt;$AL$3),0,1))</f>
        <v>0</v>
      </c>
      <c r="AM623" s="3">
        <f t="shared" si="174"/>
        <v>1</v>
      </c>
      <c r="AN623" s="3" t="str">
        <f>IF(对接源_01水果!$AC623="","",对接源_01水果!$AC623)</f>
        <v/>
      </c>
      <c r="AO623" s="3">
        <f t="shared" si="175"/>
        <v>0</v>
      </c>
      <c r="AP623" s="3">
        <f t="shared" si="176"/>
        <v>8</v>
      </c>
      <c r="AR623">
        <f t="shared" si="177"/>
        <v>0</v>
      </c>
      <c r="AS623">
        <f t="shared" si="178"/>
        <v>0</v>
      </c>
    </row>
    <row r="624" ht="14.25" customHeight="1" spans="1:45">
      <c r="A624" s="3" t="str">
        <f>IF(对接源_01水果!$C624="","",对接源_01水果!$C624)</f>
        <v/>
      </c>
      <c r="B624" s="3">
        <f t="shared" si="162"/>
        <v>0</v>
      </c>
      <c r="C624" s="3">
        <f t="shared" si="163"/>
        <v>18</v>
      </c>
      <c r="K624" s="3">
        <f>IF(OR($K$1="",对接源_01水果!$C624="",对接源_01水果!$C624&lt;&gt;$K$1,对接源_01水果!$B624=""),0,IF(OR(N(对接源_01水果!$B624)&lt;$K$2,N(对接源_01水果!$B624)&gt;$K$3),0,1))</f>
        <v>0</v>
      </c>
      <c r="L624" s="3">
        <f>IF(OR($L$1="",对接源_01水果!$C624="",对接源_01水果!$C624&lt;&gt;$L$1,对接源_01水果!$B624=""),0,IF(OR(N(对接源_01水果!$B624)&lt;$L$2,N(对接源_01水果!$B624)&gt;$L$3),0,1))</f>
        <v>0</v>
      </c>
      <c r="M624" s="3">
        <f>IF(OR($M$1="",对接源_01水果!$C624="",对接源_01水果!$C624&lt;&gt;$M$1,对接源_01水果!$B624=""),0,IF(OR(N(对接源_01水果!$B624)&lt;$M$2,N(对接源_01水果!$B624)&gt;$M$3),0,1))</f>
        <v>0</v>
      </c>
      <c r="N624" s="3">
        <f>IF(OR($N$1="",对接源_01水果!$C624="",对接源_01水果!$C624&lt;&gt;$N$1,对接源_01水果!$B624=""),0,IF(OR(N(对接源_01水果!$B624)&lt;$N$2,N(对接源_01水果!$B624)&gt;$N$3),0,1))</f>
        <v>0</v>
      </c>
      <c r="P624" s="3">
        <f>IF(AND($K624=1,AND(对接源_01水果!$X624="公司筐",N(对接源_01水果!$T624)&lt;&gt;0)),1,0)</f>
        <v>0</v>
      </c>
      <c r="Q624" s="3">
        <f t="shared" si="164"/>
        <v>0</v>
      </c>
      <c r="R624" s="3">
        <f>IF(AND($K624=1,AND(对接源_01水果!$X624="公司筐",N(对接源_01水果!$U624)&lt;&gt;0)),1,0)</f>
        <v>0</v>
      </c>
      <c r="S624" s="3">
        <f t="shared" si="165"/>
        <v>0</v>
      </c>
      <c r="T624" s="3">
        <f>IF(AND($K624=1,AND(对接源_01水果!$X624="公司筐",N(对接源_01水果!$V624)&lt;&gt;0)),1,0)</f>
        <v>0</v>
      </c>
      <c r="U624" s="3">
        <f t="shared" si="166"/>
        <v>19</v>
      </c>
      <c r="V624" s="3">
        <f>IF(AND($L624=1,AND(对接源_01水果!$X624="自备筐",N(对接源_01水果!$V624)&lt;&gt;0)),1,0)</f>
        <v>0</v>
      </c>
      <c r="W624" s="3">
        <f t="shared" si="167"/>
        <v>8</v>
      </c>
      <c r="X624" s="3">
        <f>IF(AND($L624=1,AND(对接源_01水果!$X624="自备筐",N(对接源_01水果!$T624)&lt;&gt;0)),1,0)</f>
        <v>0</v>
      </c>
      <c r="Y624" s="3">
        <f t="shared" si="168"/>
        <v>0</v>
      </c>
      <c r="Z624" s="3">
        <f>IF(AND($M624=1,对接源_01水果!$D624="原料入库"),1,0)</f>
        <v>0</v>
      </c>
      <c r="AA624" s="3">
        <f t="shared" si="169"/>
        <v>24</v>
      </c>
      <c r="AB624" s="3">
        <f>IF(AND($M624=1,LEFT(对接源_01水果!$D624,4)="原料出库"),1,0)</f>
        <v>0</v>
      </c>
      <c r="AC624" s="3">
        <f t="shared" si="170"/>
        <v>0</v>
      </c>
      <c r="AD624" s="3">
        <f>IF(AND($M624=1,LEFT(对接源_01水果!$D624,4)="成品出库"),1,0)</f>
        <v>0</v>
      </c>
      <c r="AE624" s="3">
        <f t="shared" si="171"/>
        <v>0</v>
      </c>
      <c r="AF624" s="3">
        <f>IF(AND($N624=1,AND(LEFT(对接源_01水果!$D624,4)="包装物料",N(对接源_01水果!$K624)&lt;&gt;0)),1,0)</f>
        <v>0</v>
      </c>
      <c r="AG624" s="3">
        <f t="shared" si="172"/>
        <v>0</v>
      </c>
      <c r="AH624" s="3">
        <f>IF(AND($N624=1,AND(对接源_01水果!$D624="周转筐－销售出库",N(对接源_01水果!$K624)&lt;&gt;0)),1,0)</f>
        <v>0</v>
      </c>
      <c r="AI624" s="3">
        <f t="shared" si="173"/>
        <v>0</v>
      </c>
      <c r="AJ624" s="7"/>
      <c r="AL624" s="3">
        <f>IF(OR($AL$1="",对接源_01水果!$Y624="",对接源_01水果!$Y624&lt;&gt;$AL$1,对接源_01水果!$B624="",N(对接源_01水果!$AJ624)&lt;=0),0,IF(OR(N(对接源_01水果!$B624)&lt;$AL$2,N(对接源_01水果!$B624)&gt;$AL$3),0,1))</f>
        <v>0</v>
      </c>
      <c r="AM624" s="3">
        <f t="shared" si="174"/>
        <v>1</v>
      </c>
      <c r="AN624" s="3" t="str">
        <f>IF(对接源_01水果!$AC624="","",对接源_01水果!$AC624)</f>
        <v/>
      </c>
      <c r="AO624" s="3">
        <f t="shared" si="175"/>
        <v>0</v>
      </c>
      <c r="AP624" s="3">
        <f t="shared" si="176"/>
        <v>8</v>
      </c>
      <c r="AR624">
        <f t="shared" si="177"/>
        <v>0</v>
      </c>
      <c r="AS624">
        <f t="shared" si="178"/>
        <v>0</v>
      </c>
    </row>
    <row r="625" ht="14.25" customHeight="1" spans="1:45">
      <c r="A625" s="3" t="str">
        <f>IF(对接源_01水果!$C625="","",对接源_01水果!$C625)</f>
        <v/>
      </c>
      <c r="B625" s="3">
        <f t="shared" si="162"/>
        <v>0</v>
      </c>
      <c r="C625" s="3">
        <f t="shared" si="163"/>
        <v>18</v>
      </c>
      <c r="K625" s="3">
        <f>IF(OR($K$1="",对接源_01水果!$C625="",对接源_01水果!$C625&lt;&gt;$K$1,对接源_01水果!$B625=""),0,IF(OR(N(对接源_01水果!$B625)&lt;$K$2,N(对接源_01水果!$B625)&gt;$K$3),0,1))</f>
        <v>0</v>
      </c>
      <c r="L625" s="3">
        <f>IF(OR($L$1="",对接源_01水果!$C625="",对接源_01水果!$C625&lt;&gt;$L$1,对接源_01水果!$B625=""),0,IF(OR(N(对接源_01水果!$B625)&lt;$L$2,N(对接源_01水果!$B625)&gt;$L$3),0,1))</f>
        <v>0</v>
      </c>
      <c r="M625" s="3">
        <f>IF(OR($M$1="",对接源_01水果!$C625="",对接源_01水果!$C625&lt;&gt;$M$1,对接源_01水果!$B625=""),0,IF(OR(N(对接源_01水果!$B625)&lt;$M$2,N(对接源_01水果!$B625)&gt;$M$3),0,1))</f>
        <v>0</v>
      </c>
      <c r="N625" s="3">
        <f>IF(OR($N$1="",对接源_01水果!$C625="",对接源_01水果!$C625&lt;&gt;$N$1,对接源_01水果!$B625=""),0,IF(OR(N(对接源_01水果!$B625)&lt;$N$2,N(对接源_01水果!$B625)&gt;$N$3),0,1))</f>
        <v>0</v>
      </c>
      <c r="P625" s="3">
        <f>IF(AND($K625=1,AND(对接源_01水果!$X625="公司筐",N(对接源_01水果!$T625)&lt;&gt;0)),1,0)</f>
        <v>0</v>
      </c>
      <c r="Q625" s="3">
        <f t="shared" si="164"/>
        <v>0</v>
      </c>
      <c r="R625" s="3">
        <f>IF(AND($K625=1,AND(对接源_01水果!$X625="公司筐",N(对接源_01水果!$U625)&lt;&gt;0)),1,0)</f>
        <v>0</v>
      </c>
      <c r="S625" s="3">
        <f t="shared" si="165"/>
        <v>0</v>
      </c>
      <c r="T625" s="3">
        <f>IF(AND($K625=1,AND(对接源_01水果!$X625="公司筐",N(对接源_01水果!$V625)&lt;&gt;0)),1,0)</f>
        <v>0</v>
      </c>
      <c r="U625" s="3">
        <f t="shared" si="166"/>
        <v>19</v>
      </c>
      <c r="V625" s="3">
        <f>IF(AND($L625=1,AND(对接源_01水果!$X625="自备筐",N(对接源_01水果!$V625)&lt;&gt;0)),1,0)</f>
        <v>0</v>
      </c>
      <c r="W625" s="3">
        <f t="shared" si="167"/>
        <v>8</v>
      </c>
      <c r="X625" s="3">
        <f>IF(AND($L625=1,AND(对接源_01水果!$X625="自备筐",N(对接源_01水果!$T625)&lt;&gt;0)),1,0)</f>
        <v>0</v>
      </c>
      <c r="Y625" s="3">
        <f t="shared" si="168"/>
        <v>0</v>
      </c>
      <c r="Z625" s="3">
        <f>IF(AND($M625=1,对接源_01水果!$D625="原料入库"),1,0)</f>
        <v>0</v>
      </c>
      <c r="AA625" s="3">
        <f t="shared" si="169"/>
        <v>24</v>
      </c>
      <c r="AB625" s="3">
        <f>IF(AND($M625=1,LEFT(对接源_01水果!$D625,4)="原料出库"),1,0)</f>
        <v>0</v>
      </c>
      <c r="AC625" s="3">
        <f t="shared" si="170"/>
        <v>0</v>
      </c>
      <c r="AD625" s="3">
        <f>IF(AND($M625=1,LEFT(对接源_01水果!$D625,4)="成品出库"),1,0)</f>
        <v>0</v>
      </c>
      <c r="AE625" s="3">
        <f t="shared" si="171"/>
        <v>0</v>
      </c>
      <c r="AF625" s="3">
        <f>IF(AND($N625=1,AND(LEFT(对接源_01水果!$D625,4)="包装物料",N(对接源_01水果!$K625)&lt;&gt;0)),1,0)</f>
        <v>0</v>
      </c>
      <c r="AG625" s="3">
        <f t="shared" si="172"/>
        <v>0</v>
      </c>
      <c r="AH625" s="3">
        <f>IF(AND($N625=1,AND(对接源_01水果!$D625="周转筐－销售出库",N(对接源_01水果!$K625)&lt;&gt;0)),1,0)</f>
        <v>0</v>
      </c>
      <c r="AI625" s="3">
        <f t="shared" si="173"/>
        <v>0</v>
      </c>
      <c r="AJ625" s="7"/>
      <c r="AL625" s="3">
        <f>IF(OR($AL$1="",对接源_01水果!$Y625="",对接源_01水果!$Y625&lt;&gt;$AL$1,对接源_01水果!$B625="",N(对接源_01水果!$AJ625)&lt;=0),0,IF(OR(N(对接源_01水果!$B625)&lt;$AL$2,N(对接源_01水果!$B625)&gt;$AL$3),0,1))</f>
        <v>0</v>
      </c>
      <c r="AM625" s="3">
        <f t="shared" si="174"/>
        <v>1</v>
      </c>
      <c r="AN625" s="3" t="str">
        <f>IF(对接源_01水果!$AC625="","",对接源_01水果!$AC625)</f>
        <v/>
      </c>
      <c r="AO625" s="3">
        <f t="shared" si="175"/>
        <v>0</v>
      </c>
      <c r="AP625" s="3">
        <f t="shared" si="176"/>
        <v>8</v>
      </c>
      <c r="AR625">
        <f t="shared" si="177"/>
        <v>0</v>
      </c>
      <c r="AS625">
        <f t="shared" si="178"/>
        <v>0</v>
      </c>
    </row>
    <row r="626" ht="14.25" customHeight="1" spans="1:45">
      <c r="A626" s="3" t="str">
        <f>IF(对接源_01水果!$C626="","",对接源_01水果!$C626)</f>
        <v/>
      </c>
      <c r="B626" s="3">
        <f t="shared" si="162"/>
        <v>0</v>
      </c>
      <c r="C626" s="3">
        <f t="shared" si="163"/>
        <v>18</v>
      </c>
      <c r="K626" s="3">
        <f>IF(OR($K$1="",对接源_01水果!$C626="",对接源_01水果!$C626&lt;&gt;$K$1,对接源_01水果!$B626=""),0,IF(OR(N(对接源_01水果!$B626)&lt;$K$2,N(对接源_01水果!$B626)&gt;$K$3),0,1))</f>
        <v>0</v>
      </c>
      <c r="L626" s="3">
        <f>IF(OR($L$1="",对接源_01水果!$C626="",对接源_01水果!$C626&lt;&gt;$L$1,对接源_01水果!$B626=""),0,IF(OR(N(对接源_01水果!$B626)&lt;$L$2,N(对接源_01水果!$B626)&gt;$L$3),0,1))</f>
        <v>0</v>
      </c>
      <c r="M626" s="3">
        <f>IF(OR($M$1="",对接源_01水果!$C626="",对接源_01水果!$C626&lt;&gt;$M$1,对接源_01水果!$B626=""),0,IF(OR(N(对接源_01水果!$B626)&lt;$M$2,N(对接源_01水果!$B626)&gt;$M$3),0,1))</f>
        <v>0</v>
      </c>
      <c r="N626" s="3">
        <f>IF(OR($N$1="",对接源_01水果!$C626="",对接源_01水果!$C626&lt;&gt;$N$1,对接源_01水果!$B626=""),0,IF(OR(N(对接源_01水果!$B626)&lt;$N$2,N(对接源_01水果!$B626)&gt;$N$3),0,1))</f>
        <v>0</v>
      </c>
      <c r="P626" s="3">
        <f>IF(AND($K626=1,AND(对接源_01水果!$X626="公司筐",N(对接源_01水果!$T626)&lt;&gt;0)),1,0)</f>
        <v>0</v>
      </c>
      <c r="Q626" s="3">
        <f t="shared" si="164"/>
        <v>0</v>
      </c>
      <c r="R626" s="3">
        <f>IF(AND($K626=1,AND(对接源_01水果!$X626="公司筐",N(对接源_01水果!$U626)&lt;&gt;0)),1,0)</f>
        <v>0</v>
      </c>
      <c r="S626" s="3">
        <f t="shared" si="165"/>
        <v>0</v>
      </c>
      <c r="T626" s="3">
        <f>IF(AND($K626=1,AND(对接源_01水果!$X626="公司筐",N(对接源_01水果!$V626)&lt;&gt;0)),1,0)</f>
        <v>0</v>
      </c>
      <c r="U626" s="3">
        <f t="shared" si="166"/>
        <v>19</v>
      </c>
      <c r="V626" s="3">
        <f>IF(AND($L626=1,AND(对接源_01水果!$X626="自备筐",N(对接源_01水果!$V626)&lt;&gt;0)),1,0)</f>
        <v>0</v>
      </c>
      <c r="W626" s="3">
        <f t="shared" si="167"/>
        <v>8</v>
      </c>
      <c r="X626" s="3">
        <f>IF(AND($L626=1,AND(对接源_01水果!$X626="自备筐",N(对接源_01水果!$T626)&lt;&gt;0)),1,0)</f>
        <v>0</v>
      </c>
      <c r="Y626" s="3">
        <f t="shared" si="168"/>
        <v>0</v>
      </c>
      <c r="Z626" s="3">
        <f>IF(AND($M626=1,对接源_01水果!$D626="原料入库"),1,0)</f>
        <v>0</v>
      </c>
      <c r="AA626" s="3">
        <f t="shared" si="169"/>
        <v>24</v>
      </c>
      <c r="AB626" s="3">
        <f>IF(AND($M626=1,LEFT(对接源_01水果!$D626,4)="原料出库"),1,0)</f>
        <v>0</v>
      </c>
      <c r="AC626" s="3">
        <f t="shared" si="170"/>
        <v>0</v>
      </c>
      <c r="AD626" s="3">
        <f>IF(AND($M626=1,LEFT(对接源_01水果!$D626,4)="成品出库"),1,0)</f>
        <v>0</v>
      </c>
      <c r="AE626" s="3">
        <f t="shared" si="171"/>
        <v>0</v>
      </c>
      <c r="AF626" s="3">
        <f>IF(AND($N626=1,AND(LEFT(对接源_01水果!$D626,4)="包装物料",N(对接源_01水果!$K626)&lt;&gt;0)),1,0)</f>
        <v>0</v>
      </c>
      <c r="AG626" s="3">
        <f t="shared" si="172"/>
        <v>0</v>
      </c>
      <c r="AH626" s="3">
        <f>IF(AND($N626=1,AND(对接源_01水果!$D626="周转筐－销售出库",N(对接源_01水果!$K626)&lt;&gt;0)),1,0)</f>
        <v>0</v>
      </c>
      <c r="AI626" s="3">
        <f t="shared" si="173"/>
        <v>0</v>
      </c>
      <c r="AJ626" s="7"/>
      <c r="AL626" s="3">
        <f>IF(OR($AL$1="",对接源_01水果!$Y626="",对接源_01水果!$Y626&lt;&gt;$AL$1,对接源_01水果!$B626="",N(对接源_01水果!$AJ626)&lt;=0),0,IF(OR(N(对接源_01水果!$B626)&lt;$AL$2,N(对接源_01水果!$B626)&gt;$AL$3),0,1))</f>
        <v>0</v>
      </c>
      <c r="AM626" s="3">
        <f t="shared" si="174"/>
        <v>1</v>
      </c>
      <c r="AN626" s="3" t="str">
        <f>IF(对接源_01水果!$AC626="","",对接源_01水果!$AC626)</f>
        <v/>
      </c>
      <c r="AO626" s="3">
        <f t="shared" si="175"/>
        <v>0</v>
      </c>
      <c r="AP626" s="3">
        <f t="shared" si="176"/>
        <v>8</v>
      </c>
      <c r="AR626">
        <f t="shared" si="177"/>
        <v>0</v>
      </c>
      <c r="AS626">
        <f t="shared" si="178"/>
        <v>0</v>
      </c>
    </row>
    <row r="627" ht="14.25" customHeight="1" spans="1:45">
      <c r="A627" s="3" t="str">
        <f>IF(对接源_01水果!$C627="","",对接源_01水果!$C627)</f>
        <v/>
      </c>
      <c r="B627" s="3">
        <f t="shared" si="162"/>
        <v>0</v>
      </c>
      <c r="C627" s="3">
        <f t="shared" si="163"/>
        <v>18</v>
      </c>
      <c r="K627" s="3">
        <f>IF(OR($K$1="",对接源_01水果!$C627="",对接源_01水果!$C627&lt;&gt;$K$1,对接源_01水果!$B627=""),0,IF(OR(N(对接源_01水果!$B627)&lt;$K$2,N(对接源_01水果!$B627)&gt;$K$3),0,1))</f>
        <v>0</v>
      </c>
      <c r="L627" s="3">
        <f>IF(OR($L$1="",对接源_01水果!$C627="",对接源_01水果!$C627&lt;&gt;$L$1,对接源_01水果!$B627=""),0,IF(OR(N(对接源_01水果!$B627)&lt;$L$2,N(对接源_01水果!$B627)&gt;$L$3),0,1))</f>
        <v>0</v>
      </c>
      <c r="M627" s="3">
        <f>IF(OR($M$1="",对接源_01水果!$C627="",对接源_01水果!$C627&lt;&gt;$M$1,对接源_01水果!$B627=""),0,IF(OR(N(对接源_01水果!$B627)&lt;$M$2,N(对接源_01水果!$B627)&gt;$M$3),0,1))</f>
        <v>0</v>
      </c>
      <c r="N627" s="3">
        <f>IF(OR($N$1="",对接源_01水果!$C627="",对接源_01水果!$C627&lt;&gt;$N$1,对接源_01水果!$B627=""),0,IF(OR(N(对接源_01水果!$B627)&lt;$N$2,N(对接源_01水果!$B627)&gt;$N$3),0,1))</f>
        <v>0</v>
      </c>
      <c r="P627" s="3">
        <f>IF(AND($K627=1,AND(对接源_01水果!$X627="公司筐",N(对接源_01水果!$T627)&lt;&gt;0)),1,0)</f>
        <v>0</v>
      </c>
      <c r="Q627" s="3">
        <f t="shared" si="164"/>
        <v>0</v>
      </c>
      <c r="R627" s="3">
        <f>IF(AND($K627=1,AND(对接源_01水果!$X627="公司筐",N(对接源_01水果!$U627)&lt;&gt;0)),1,0)</f>
        <v>0</v>
      </c>
      <c r="S627" s="3">
        <f t="shared" si="165"/>
        <v>0</v>
      </c>
      <c r="T627" s="3">
        <f>IF(AND($K627=1,AND(对接源_01水果!$X627="公司筐",N(对接源_01水果!$V627)&lt;&gt;0)),1,0)</f>
        <v>0</v>
      </c>
      <c r="U627" s="3">
        <f t="shared" si="166"/>
        <v>19</v>
      </c>
      <c r="V627" s="3">
        <f>IF(AND($L627=1,AND(对接源_01水果!$X627="自备筐",N(对接源_01水果!$V627)&lt;&gt;0)),1,0)</f>
        <v>0</v>
      </c>
      <c r="W627" s="3">
        <f t="shared" si="167"/>
        <v>8</v>
      </c>
      <c r="X627" s="3">
        <f>IF(AND($L627=1,AND(对接源_01水果!$X627="自备筐",N(对接源_01水果!$T627)&lt;&gt;0)),1,0)</f>
        <v>0</v>
      </c>
      <c r="Y627" s="3">
        <f t="shared" si="168"/>
        <v>0</v>
      </c>
      <c r="Z627" s="3">
        <f>IF(AND($M627=1,对接源_01水果!$D627="原料入库"),1,0)</f>
        <v>0</v>
      </c>
      <c r="AA627" s="3">
        <f t="shared" si="169"/>
        <v>24</v>
      </c>
      <c r="AB627" s="3">
        <f>IF(AND($M627=1,LEFT(对接源_01水果!$D627,4)="原料出库"),1,0)</f>
        <v>0</v>
      </c>
      <c r="AC627" s="3">
        <f t="shared" si="170"/>
        <v>0</v>
      </c>
      <c r="AD627" s="3">
        <f>IF(AND($M627=1,LEFT(对接源_01水果!$D627,4)="成品出库"),1,0)</f>
        <v>0</v>
      </c>
      <c r="AE627" s="3">
        <f t="shared" si="171"/>
        <v>0</v>
      </c>
      <c r="AF627" s="3">
        <f>IF(AND($N627=1,AND(LEFT(对接源_01水果!$D627,4)="包装物料",N(对接源_01水果!$K627)&lt;&gt;0)),1,0)</f>
        <v>0</v>
      </c>
      <c r="AG627" s="3">
        <f t="shared" si="172"/>
        <v>0</v>
      </c>
      <c r="AH627" s="3">
        <f>IF(AND($N627=1,AND(对接源_01水果!$D627="周转筐－销售出库",N(对接源_01水果!$K627)&lt;&gt;0)),1,0)</f>
        <v>0</v>
      </c>
      <c r="AI627" s="3">
        <f t="shared" si="173"/>
        <v>0</v>
      </c>
      <c r="AJ627" s="7"/>
      <c r="AL627" s="3">
        <f>IF(OR($AL$1="",对接源_01水果!$Y627="",对接源_01水果!$Y627&lt;&gt;$AL$1,对接源_01水果!$B627="",N(对接源_01水果!$AJ627)&lt;=0),0,IF(OR(N(对接源_01水果!$B627)&lt;$AL$2,N(对接源_01水果!$B627)&gt;$AL$3),0,1))</f>
        <v>0</v>
      </c>
      <c r="AM627" s="3">
        <f t="shared" si="174"/>
        <v>1</v>
      </c>
      <c r="AN627" s="3" t="str">
        <f>IF(对接源_01水果!$AC627="","",对接源_01水果!$AC627)</f>
        <v/>
      </c>
      <c r="AO627" s="3">
        <f t="shared" si="175"/>
        <v>0</v>
      </c>
      <c r="AP627" s="3">
        <f t="shared" si="176"/>
        <v>8</v>
      </c>
      <c r="AR627">
        <f t="shared" si="177"/>
        <v>0</v>
      </c>
      <c r="AS627">
        <f t="shared" si="178"/>
        <v>0</v>
      </c>
    </row>
    <row r="628" ht="14.25" customHeight="1" spans="1:45">
      <c r="A628" s="3" t="str">
        <f>IF(对接源_01水果!$C628="","",对接源_01水果!$C628)</f>
        <v/>
      </c>
      <c r="B628" s="3">
        <f t="shared" si="162"/>
        <v>0</v>
      </c>
      <c r="C628" s="3">
        <f t="shared" si="163"/>
        <v>18</v>
      </c>
      <c r="K628" s="3">
        <f>IF(OR($K$1="",对接源_01水果!$C628="",对接源_01水果!$C628&lt;&gt;$K$1,对接源_01水果!$B628=""),0,IF(OR(N(对接源_01水果!$B628)&lt;$K$2,N(对接源_01水果!$B628)&gt;$K$3),0,1))</f>
        <v>0</v>
      </c>
      <c r="L628" s="3">
        <f>IF(OR($L$1="",对接源_01水果!$C628="",对接源_01水果!$C628&lt;&gt;$L$1,对接源_01水果!$B628=""),0,IF(OR(N(对接源_01水果!$B628)&lt;$L$2,N(对接源_01水果!$B628)&gt;$L$3),0,1))</f>
        <v>0</v>
      </c>
      <c r="M628" s="3">
        <f>IF(OR($M$1="",对接源_01水果!$C628="",对接源_01水果!$C628&lt;&gt;$M$1,对接源_01水果!$B628=""),0,IF(OR(N(对接源_01水果!$B628)&lt;$M$2,N(对接源_01水果!$B628)&gt;$M$3),0,1))</f>
        <v>0</v>
      </c>
      <c r="N628" s="3">
        <f>IF(OR($N$1="",对接源_01水果!$C628="",对接源_01水果!$C628&lt;&gt;$N$1,对接源_01水果!$B628=""),0,IF(OR(N(对接源_01水果!$B628)&lt;$N$2,N(对接源_01水果!$B628)&gt;$N$3),0,1))</f>
        <v>0</v>
      </c>
      <c r="P628" s="3">
        <f>IF(AND($K628=1,AND(对接源_01水果!$X628="公司筐",N(对接源_01水果!$T628)&lt;&gt;0)),1,0)</f>
        <v>0</v>
      </c>
      <c r="Q628" s="3">
        <f t="shared" si="164"/>
        <v>0</v>
      </c>
      <c r="R628" s="3">
        <f>IF(AND($K628=1,AND(对接源_01水果!$X628="公司筐",N(对接源_01水果!$U628)&lt;&gt;0)),1,0)</f>
        <v>0</v>
      </c>
      <c r="S628" s="3">
        <f t="shared" si="165"/>
        <v>0</v>
      </c>
      <c r="T628" s="3">
        <f>IF(AND($K628=1,AND(对接源_01水果!$X628="公司筐",N(对接源_01水果!$V628)&lt;&gt;0)),1,0)</f>
        <v>0</v>
      </c>
      <c r="U628" s="3">
        <f t="shared" si="166"/>
        <v>19</v>
      </c>
      <c r="V628" s="3">
        <f>IF(AND($L628=1,AND(对接源_01水果!$X628="自备筐",N(对接源_01水果!$V628)&lt;&gt;0)),1,0)</f>
        <v>0</v>
      </c>
      <c r="W628" s="3">
        <f t="shared" si="167"/>
        <v>8</v>
      </c>
      <c r="X628" s="3">
        <f>IF(AND($L628=1,AND(对接源_01水果!$X628="自备筐",N(对接源_01水果!$T628)&lt;&gt;0)),1,0)</f>
        <v>0</v>
      </c>
      <c r="Y628" s="3">
        <f t="shared" si="168"/>
        <v>0</v>
      </c>
      <c r="Z628" s="3">
        <f>IF(AND($M628=1,对接源_01水果!$D628="原料入库"),1,0)</f>
        <v>0</v>
      </c>
      <c r="AA628" s="3">
        <f t="shared" si="169"/>
        <v>24</v>
      </c>
      <c r="AB628" s="3">
        <f>IF(AND($M628=1,LEFT(对接源_01水果!$D628,4)="原料出库"),1,0)</f>
        <v>0</v>
      </c>
      <c r="AC628" s="3">
        <f t="shared" si="170"/>
        <v>0</v>
      </c>
      <c r="AD628" s="3">
        <f>IF(AND($M628=1,LEFT(对接源_01水果!$D628,4)="成品出库"),1,0)</f>
        <v>0</v>
      </c>
      <c r="AE628" s="3">
        <f t="shared" si="171"/>
        <v>0</v>
      </c>
      <c r="AF628" s="3">
        <f>IF(AND($N628=1,AND(LEFT(对接源_01水果!$D628,4)="包装物料",N(对接源_01水果!$K628)&lt;&gt;0)),1,0)</f>
        <v>0</v>
      </c>
      <c r="AG628" s="3">
        <f t="shared" si="172"/>
        <v>0</v>
      </c>
      <c r="AH628" s="3">
        <f>IF(AND($N628=1,AND(对接源_01水果!$D628="周转筐－销售出库",N(对接源_01水果!$K628)&lt;&gt;0)),1,0)</f>
        <v>0</v>
      </c>
      <c r="AI628" s="3">
        <f t="shared" si="173"/>
        <v>0</v>
      </c>
      <c r="AJ628" s="7"/>
      <c r="AL628" s="3">
        <f>IF(OR($AL$1="",对接源_01水果!$Y628="",对接源_01水果!$Y628&lt;&gt;$AL$1,对接源_01水果!$B628="",N(对接源_01水果!$AJ628)&lt;=0),0,IF(OR(N(对接源_01水果!$B628)&lt;$AL$2,N(对接源_01水果!$B628)&gt;$AL$3),0,1))</f>
        <v>0</v>
      </c>
      <c r="AM628" s="3">
        <f t="shared" si="174"/>
        <v>1</v>
      </c>
      <c r="AN628" s="3" t="str">
        <f>IF(对接源_01水果!$AC628="","",对接源_01水果!$AC628)</f>
        <v/>
      </c>
      <c r="AO628" s="3">
        <f t="shared" si="175"/>
        <v>0</v>
      </c>
      <c r="AP628" s="3">
        <f t="shared" si="176"/>
        <v>8</v>
      </c>
      <c r="AR628">
        <f t="shared" si="177"/>
        <v>0</v>
      </c>
      <c r="AS628">
        <f t="shared" si="178"/>
        <v>0</v>
      </c>
    </row>
    <row r="629" ht="14.25" customHeight="1" spans="1:45">
      <c r="A629" s="3" t="str">
        <f>IF(对接源_01水果!$C629="","",对接源_01水果!$C629)</f>
        <v/>
      </c>
      <c r="B629" s="3">
        <f t="shared" si="162"/>
        <v>0</v>
      </c>
      <c r="C629" s="3">
        <f t="shared" si="163"/>
        <v>18</v>
      </c>
      <c r="K629" s="3">
        <f>IF(OR($K$1="",对接源_01水果!$C629="",对接源_01水果!$C629&lt;&gt;$K$1,对接源_01水果!$B629=""),0,IF(OR(N(对接源_01水果!$B629)&lt;$K$2,N(对接源_01水果!$B629)&gt;$K$3),0,1))</f>
        <v>0</v>
      </c>
      <c r="L629" s="3">
        <f>IF(OR($L$1="",对接源_01水果!$C629="",对接源_01水果!$C629&lt;&gt;$L$1,对接源_01水果!$B629=""),0,IF(OR(N(对接源_01水果!$B629)&lt;$L$2,N(对接源_01水果!$B629)&gt;$L$3),0,1))</f>
        <v>0</v>
      </c>
      <c r="M629" s="3">
        <f>IF(OR($M$1="",对接源_01水果!$C629="",对接源_01水果!$C629&lt;&gt;$M$1,对接源_01水果!$B629=""),0,IF(OR(N(对接源_01水果!$B629)&lt;$M$2,N(对接源_01水果!$B629)&gt;$M$3),0,1))</f>
        <v>0</v>
      </c>
      <c r="N629" s="3">
        <f>IF(OR($N$1="",对接源_01水果!$C629="",对接源_01水果!$C629&lt;&gt;$N$1,对接源_01水果!$B629=""),0,IF(OR(N(对接源_01水果!$B629)&lt;$N$2,N(对接源_01水果!$B629)&gt;$N$3),0,1))</f>
        <v>0</v>
      </c>
      <c r="P629" s="3">
        <f>IF(AND($K629=1,AND(对接源_01水果!$X629="公司筐",N(对接源_01水果!$T629)&lt;&gt;0)),1,0)</f>
        <v>0</v>
      </c>
      <c r="Q629" s="3">
        <f t="shared" si="164"/>
        <v>0</v>
      </c>
      <c r="R629" s="3">
        <f>IF(AND($K629=1,AND(对接源_01水果!$X629="公司筐",N(对接源_01水果!$U629)&lt;&gt;0)),1,0)</f>
        <v>0</v>
      </c>
      <c r="S629" s="3">
        <f t="shared" si="165"/>
        <v>0</v>
      </c>
      <c r="T629" s="3">
        <f>IF(AND($K629=1,AND(对接源_01水果!$X629="公司筐",N(对接源_01水果!$V629)&lt;&gt;0)),1,0)</f>
        <v>0</v>
      </c>
      <c r="U629" s="3">
        <f t="shared" si="166"/>
        <v>19</v>
      </c>
      <c r="V629" s="3">
        <f>IF(AND($L629=1,AND(对接源_01水果!$X629="自备筐",N(对接源_01水果!$V629)&lt;&gt;0)),1,0)</f>
        <v>0</v>
      </c>
      <c r="W629" s="3">
        <f t="shared" si="167"/>
        <v>8</v>
      </c>
      <c r="X629" s="3">
        <f>IF(AND($L629=1,AND(对接源_01水果!$X629="自备筐",N(对接源_01水果!$T629)&lt;&gt;0)),1,0)</f>
        <v>0</v>
      </c>
      <c r="Y629" s="3">
        <f t="shared" si="168"/>
        <v>0</v>
      </c>
      <c r="Z629" s="3">
        <f>IF(AND($M629=1,对接源_01水果!$D629="原料入库"),1,0)</f>
        <v>0</v>
      </c>
      <c r="AA629" s="3">
        <f t="shared" si="169"/>
        <v>24</v>
      </c>
      <c r="AB629" s="3">
        <f>IF(AND($M629=1,LEFT(对接源_01水果!$D629,4)="原料出库"),1,0)</f>
        <v>0</v>
      </c>
      <c r="AC629" s="3">
        <f t="shared" si="170"/>
        <v>0</v>
      </c>
      <c r="AD629" s="3">
        <f>IF(AND($M629=1,LEFT(对接源_01水果!$D629,4)="成品出库"),1,0)</f>
        <v>0</v>
      </c>
      <c r="AE629" s="3">
        <f t="shared" si="171"/>
        <v>0</v>
      </c>
      <c r="AF629" s="3">
        <f>IF(AND($N629=1,AND(LEFT(对接源_01水果!$D629,4)="包装物料",N(对接源_01水果!$K629)&lt;&gt;0)),1,0)</f>
        <v>0</v>
      </c>
      <c r="AG629" s="3">
        <f t="shared" si="172"/>
        <v>0</v>
      </c>
      <c r="AH629" s="3">
        <f>IF(AND($N629=1,AND(对接源_01水果!$D629="周转筐－销售出库",N(对接源_01水果!$K629)&lt;&gt;0)),1,0)</f>
        <v>0</v>
      </c>
      <c r="AI629" s="3">
        <f t="shared" si="173"/>
        <v>0</v>
      </c>
      <c r="AJ629" s="7"/>
      <c r="AL629" s="3">
        <f>IF(OR($AL$1="",对接源_01水果!$Y629="",对接源_01水果!$Y629&lt;&gt;$AL$1,对接源_01水果!$B629="",N(对接源_01水果!$AJ629)&lt;=0),0,IF(OR(N(对接源_01水果!$B629)&lt;$AL$2,N(对接源_01水果!$B629)&gt;$AL$3),0,1))</f>
        <v>0</v>
      </c>
      <c r="AM629" s="3">
        <f t="shared" si="174"/>
        <v>1</v>
      </c>
      <c r="AN629" s="3" t="str">
        <f>IF(对接源_01水果!$AC629="","",对接源_01水果!$AC629)</f>
        <v/>
      </c>
      <c r="AO629" s="3">
        <f t="shared" si="175"/>
        <v>0</v>
      </c>
      <c r="AP629" s="3">
        <f t="shared" si="176"/>
        <v>8</v>
      </c>
      <c r="AR629">
        <f t="shared" si="177"/>
        <v>0</v>
      </c>
      <c r="AS629">
        <f t="shared" si="178"/>
        <v>0</v>
      </c>
    </row>
    <row r="630" ht="14.25" customHeight="1" spans="1:45">
      <c r="A630" s="3" t="str">
        <f>IF(对接源_01水果!$C630="","",对接源_01水果!$C630)</f>
        <v/>
      </c>
      <c r="B630" s="3">
        <f t="shared" si="162"/>
        <v>0</v>
      </c>
      <c r="C630" s="3">
        <f t="shared" si="163"/>
        <v>18</v>
      </c>
      <c r="K630" s="3">
        <f>IF(OR($K$1="",对接源_01水果!$C630="",对接源_01水果!$C630&lt;&gt;$K$1,对接源_01水果!$B630=""),0,IF(OR(N(对接源_01水果!$B630)&lt;$K$2,N(对接源_01水果!$B630)&gt;$K$3),0,1))</f>
        <v>0</v>
      </c>
      <c r="L630" s="3">
        <f>IF(OR($L$1="",对接源_01水果!$C630="",对接源_01水果!$C630&lt;&gt;$L$1,对接源_01水果!$B630=""),0,IF(OR(N(对接源_01水果!$B630)&lt;$L$2,N(对接源_01水果!$B630)&gt;$L$3),0,1))</f>
        <v>0</v>
      </c>
      <c r="M630" s="3">
        <f>IF(OR($M$1="",对接源_01水果!$C630="",对接源_01水果!$C630&lt;&gt;$M$1,对接源_01水果!$B630=""),0,IF(OR(N(对接源_01水果!$B630)&lt;$M$2,N(对接源_01水果!$B630)&gt;$M$3),0,1))</f>
        <v>0</v>
      </c>
      <c r="N630" s="3">
        <f>IF(OR($N$1="",对接源_01水果!$C630="",对接源_01水果!$C630&lt;&gt;$N$1,对接源_01水果!$B630=""),0,IF(OR(N(对接源_01水果!$B630)&lt;$N$2,N(对接源_01水果!$B630)&gt;$N$3),0,1))</f>
        <v>0</v>
      </c>
      <c r="P630" s="3">
        <f>IF(AND($K630=1,AND(对接源_01水果!$X630="公司筐",N(对接源_01水果!$T630)&lt;&gt;0)),1,0)</f>
        <v>0</v>
      </c>
      <c r="Q630" s="3">
        <f t="shared" si="164"/>
        <v>0</v>
      </c>
      <c r="R630" s="3">
        <f>IF(AND($K630=1,AND(对接源_01水果!$X630="公司筐",N(对接源_01水果!$U630)&lt;&gt;0)),1,0)</f>
        <v>0</v>
      </c>
      <c r="S630" s="3">
        <f t="shared" si="165"/>
        <v>0</v>
      </c>
      <c r="T630" s="3">
        <f>IF(AND($K630=1,AND(对接源_01水果!$X630="公司筐",N(对接源_01水果!$V630)&lt;&gt;0)),1,0)</f>
        <v>0</v>
      </c>
      <c r="U630" s="3">
        <f t="shared" si="166"/>
        <v>19</v>
      </c>
      <c r="V630" s="3">
        <f>IF(AND($L630=1,AND(对接源_01水果!$X630="自备筐",N(对接源_01水果!$V630)&lt;&gt;0)),1,0)</f>
        <v>0</v>
      </c>
      <c r="W630" s="3">
        <f t="shared" si="167"/>
        <v>8</v>
      </c>
      <c r="X630" s="3">
        <f>IF(AND($L630=1,AND(对接源_01水果!$X630="自备筐",N(对接源_01水果!$T630)&lt;&gt;0)),1,0)</f>
        <v>0</v>
      </c>
      <c r="Y630" s="3">
        <f t="shared" si="168"/>
        <v>0</v>
      </c>
      <c r="Z630" s="3">
        <f>IF(AND($M630=1,对接源_01水果!$D630="原料入库"),1,0)</f>
        <v>0</v>
      </c>
      <c r="AA630" s="3">
        <f t="shared" si="169"/>
        <v>24</v>
      </c>
      <c r="AB630" s="3">
        <f>IF(AND($M630=1,LEFT(对接源_01水果!$D630,4)="原料出库"),1,0)</f>
        <v>0</v>
      </c>
      <c r="AC630" s="3">
        <f t="shared" si="170"/>
        <v>0</v>
      </c>
      <c r="AD630" s="3">
        <f>IF(AND($M630=1,LEFT(对接源_01水果!$D630,4)="成品出库"),1,0)</f>
        <v>0</v>
      </c>
      <c r="AE630" s="3">
        <f t="shared" si="171"/>
        <v>0</v>
      </c>
      <c r="AF630" s="3">
        <f>IF(AND($N630=1,AND(LEFT(对接源_01水果!$D630,4)="包装物料",N(对接源_01水果!$K630)&lt;&gt;0)),1,0)</f>
        <v>0</v>
      </c>
      <c r="AG630" s="3">
        <f t="shared" si="172"/>
        <v>0</v>
      </c>
      <c r="AH630" s="3">
        <f>IF(AND($N630=1,AND(对接源_01水果!$D630="周转筐－销售出库",N(对接源_01水果!$K630)&lt;&gt;0)),1,0)</f>
        <v>0</v>
      </c>
      <c r="AI630" s="3">
        <f t="shared" si="173"/>
        <v>0</v>
      </c>
      <c r="AJ630" s="7"/>
      <c r="AL630" s="3">
        <f>IF(OR($AL$1="",对接源_01水果!$Y630="",对接源_01水果!$Y630&lt;&gt;$AL$1,对接源_01水果!$B630="",N(对接源_01水果!$AJ630)&lt;=0),0,IF(OR(N(对接源_01水果!$B630)&lt;$AL$2,N(对接源_01水果!$B630)&gt;$AL$3),0,1))</f>
        <v>0</v>
      </c>
      <c r="AM630" s="3">
        <f t="shared" si="174"/>
        <v>1</v>
      </c>
      <c r="AN630" s="3" t="str">
        <f>IF(对接源_01水果!$AC630="","",对接源_01水果!$AC630)</f>
        <v/>
      </c>
      <c r="AO630" s="3">
        <f t="shared" si="175"/>
        <v>0</v>
      </c>
      <c r="AP630" s="3">
        <f t="shared" si="176"/>
        <v>8</v>
      </c>
      <c r="AR630">
        <f t="shared" si="177"/>
        <v>0</v>
      </c>
      <c r="AS630">
        <f t="shared" si="178"/>
        <v>0</v>
      </c>
    </row>
    <row r="631" ht="14.25" customHeight="1" spans="1:45">
      <c r="A631" s="3" t="str">
        <f>IF(对接源_01水果!$C631="","",对接源_01水果!$C631)</f>
        <v/>
      </c>
      <c r="B631" s="3">
        <f t="shared" si="162"/>
        <v>0</v>
      </c>
      <c r="C631" s="3">
        <f t="shared" si="163"/>
        <v>18</v>
      </c>
      <c r="K631" s="3">
        <f>IF(OR($K$1="",对接源_01水果!$C631="",对接源_01水果!$C631&lt;&gt;$K$1,对接源_01水果!$B631=""),0,IF(OR(N(对接源_01水果!$B631)&lt;$K$2,N(对接源_01水果!$B631)&gt;$K$3),0,1))</f>
        <v>0</v>
      </c>
      <c r="L631" s="3">
        <f>IF(OR($L$1="",对接源_01水果!$C631="",对接源_01水果!$C631&lt;&gt;$L$1,对接源_01水果!$B631=""),0,IF(OR(N(对接源_01水果!$B631)&lt;$L$2,N(对接源_01水果!$B631)&gt;$L$3),0,1))</f>
        <v>0</v>
      </c>
      <c r="M631" s="3">
        <f>IF(OR($M$1="",对接源_01水果!$C631="",对接源_01水果!$C631&lt;&gt;$M$1,对接源_01水果!$B631=""),0,IF(OR(N(对接源_01水果!$B631)&lt;$M$2,N(对接源_01水果!$B631)&gt;$M$3),0,1))</f>
        <v>0</v>
      </c>
      <c r="N631" s="3">
        <f>IF(OR($N$1="",对接源_01水果!$C631="",对接源_01水果!$C631&lt;&gt;$N$1,对接源_01水果!$B631=""),0,IF(OR(N(对接源_01水果!$B631)&lt;$N$2,N(对接源_01水果!$B631)&gt;$N$3),0,1))</f>
        <v>0</v>
      </c>
      <c r="P631" s="3">
        <f>IF(AND($K631=1,AND(对接源_01水果!$X631="公司筐",N(对接源_01水果!$T631)&lt;&gt;0)),1,0)</f>
        <v>0</v>
      </c>
      <c r="Q631" s="3">
        <f t="shared" si="164"/>
        <v>0</v>
      </c>
      <c r="R631" s="3">
        <f>IF(AND($K631=1,AND(对接源_01水果!$X631="公司筐",N(对接源_01水果!$U631)&lt;&gt;0)),1,0)</f>
        <v>0</v>
      </c>
      <c r="S631" s="3">
        <f t="shared" si="165"/>
        <v>0</v>
      </c>
      <c r="T631" s="3">
        <f>IF(AND($K631=1,AND(对接源_01水果!$X631="公司筐",N(对接源_01水果!$V631)&lt;&gt;0)),1,0)</f>
        <v>0</v>
      </c>
      <c r="U631" s="3">
        <f t="shared" si="166"/>
        <v>19</v>
      </c>
      <c r="V631" s="3">
        <f>IF(AND($L631=1,AND(对接源_01水果!$X631="自备筐",N(对接源_01水果!$V631)&lt;&gt;0)),1,0)</f>
        <v>0</v>
      </c>
      <c r="W631" s="3">
        <f t="shared" si="167"/>
        <v>8</v>
      </c>
      <c r="X631" s="3">
        <f>IF(AND($L631=1,AND(对接源_01水果!$X631="自备筐",N(对接源_01水果!$T631)&lt;&gt;0)),1,0)</f>
        <v>0</v>
      </c>
      <c r="Y631" s="3">
        <f t="shared" si="168"/>
        <v>0</v>
      </c>
      <c r="Z631" s="3">
        <f>IF(AND($M631=1,对接源_01水果!$D631="原料入库"),1,0)</f>
        <v>0</v>
      </c>
      <c r="AA631" s="3">
        <f t="shared" si="169"/>
        <v>24</v>
      </c>
      <c r="AB631" s="3">
        <f>IF(AND($M631=1,LEFT(对接源_01水果!$D631,4)="原料出库"),1,0)</f>
        <v>0</v>
      </c>
      <c r="AC631" s="3">
        <f t="shared" si="170"/>
        <v>0</v>
      </c>
      <c r="AD631" s="3">
        <f>IF(AND($M631=1,LEFT(对接源_01水果!$D631,4)="成品出库"),1,0)</f>
        <v>0</v>
      </c>
      <c r="AE631" s="3">
        <f t="shared" si="171"/>
        <v>0</v>
      </c>
      <c r="AF631" s="3">
        <f>IF(AND($N631=1,AND(LEFT(对接源_01水果!$D631,4)="包装物料",N(对接源_01水果!$K631)&lt;&gt;0)),1,0)</f>
        <v>0</v>
      </c>
      <c r="AG631" s="3">
        <f t="shared" si="172"/>
        <v>0</v>
      </c>
      <c r="AH631" s="3">
        <f>IF(AND($N631=1,AND(对接源_01水果!$D631="周转筐－销售出库",N(对接源_01水果!$K631)&lt;&gt;0)),1,0)</f>
        <v>0</v>
      </c>
      <c r="AI631" s="3">
        <f t="shared" si="173"/>
        <v>0</v>
      </c>
      <c r="AJ631" s="7"/>
      <c r="AL631" s="3">
        <f>IF(OR($AL$1="",对接源_01水果!$Y631="",对接源_01水果!$Y631&lt;&gt;$AL$1,对接源_01水果!$B631="",N(对接源_01水果!$AJ631)&lt;=0),0,IF(OR(N(对接源_01水果!$B631)&lt;$AL$2,N(对接源_01水果!$B631)&gt;$AL$3),0,1))</f>
        <v>0</v>
      </c>
      <c r="AM631" s="3">
        <f t="shared" si="174"/>
        <v>1</v>
      </c>
      <c r="AN631" s="3" t="str">
        <f>IF(对接源_01水果!$AC631="","",对接源_01水果!$AC631)</f>
        <v/>
      </c>
      <c r="AO631" s="3">
        <f t="shared" si="175"/>
        <v>0</v>
      </c>
      <c r="AP631" s="3">
        <f t="shared" si="176"/>
        <v>8</v>
      </c>
      <c r="AR631">
        <f t="shared" si="177"/>
        <v>0</v>
      </c>
      <c r="AS631">
        <f t="shared" si="178"/>
        <v>0</v>
      </c>
    </row>
    <row r="632" ht="14.25" customHeight="1" spans="1:45">
      <c r="A632" s="3" t="str">
        <f>IF(对接源_01水果!$C632="","",对接源_01水果!$C632)</f>
        <v/>
      </c>
      <c r="B632" s="3">
        <f t="shared" si="162"/>
        <v>0</v>
      </c>
      <c r="C632" s="3">
        <f t="shared" si="163"/>
        <v>18</v>
      </c>
      <c r="K632" s="3">
        <f>IF(OR($K$1="",对接源_01水果!$C632="",对接源_01水果!$C632&lt;&gt;$K$1,对接源_01水果!$B632=""),0,IF(OR(N(对接源_01水果!$B632)&lt;$K$2,N(对接源_01水果!$B632)&gt;$K$3),0,1))</f>
        <v>0</v>
      </c>
      <c r="L632" s="3">
        <f>IF(OR($L$1="",对接源_01水果!$C632="",对接源_01水果!$C632&lt;&gt;$L$1,对接源_01水果!$B632=""),0,IF(OR(N(对接源_01水果!$B632)&lt;$L$2,N(对接源_01水果!$B632)&gt;$L$3),0,1))</f>
        <v>0</v>
      </c>
      <c r="M632" s="3">
        <f>IF(OR($M$1="",对接源_01水果!$C632="",对接源_01水果!$C632&lt;&gt;$M$1,对接源_01水果!$B632=""),0,IF(OR(N(对接源_01水果!$B632)&lt;$M$2,N(对接源_01水果!$B632)&gt;$M$3),0,1))</f>
        <v>0</v>
      </c>
      <c r="N632" s="3">
        <f>IF(OR($N$1="",对接源_01水果!$C632="",对接源_01水果!$C632&lt;&gt;$N$1,对接源_01水果!$B632=""),0,IF(OR(N(对接源_01水果!$B632)&lt;$N$2,N(对接源_01水果!$B632)&gt;$N$3),0,1))</f>
        <v>0</v>
      </c>
      <c r="P632" s="3">
        <f>IF(AND($K632=1,AND(对接源_01水果!$X632="公司筐",N(对接源_01水果!$T632)&lt;&gt;0)),1,0)</f>
        <v>0</v>
      </c>
      <c r="Q632" s="3">
        <f t="shared" si="164"/>
        <v>0</v>
      </c>
      <c r="R632" s="3">
        <f>IF(AND($K632=1,AND(对接源_01水果!$X632="公司筐",N(对接源_01水果!$U632)&lt;&gt;0)),1,0)</f>
        <v>0</v>
      </c>
      <c r="S632" s="3">
        <f t="shared" si="165"/>
        <v>0</v>
      </c>
      <c r="T632" s="3">
        <f>IF(AND($K632=1,AND(对接源_01水果!$X632="公司筐",N(对接源_01水果!$V632)&lt;&gt;0)),1,0)</f>
        <v>0</v>
      </c>
      <c r="U632" s="3">
        <f t="shared" si="166"/>
        <v>19</v>
      </c>
      <c r="V632" s="3">
        <f>IF(AND($L632=1,AND(对接源_01水果!$X632="自备筐",N(对接源_01水果!$V632)&lt;&gt;0)),1,0)</f>
        <v>0</v>
      </c>
      <c r="W632" s="3">
        <f t="shared" si="167"/>
        <v>8</v>
      </c>
      <c r="X632" s="3">
        <f>IF(AND($L632=1,AND(对接源_01水果!$X632="自备筐",N(对接源_01水果!$T632)&lt;&gt;0)),1,0)</f>
        <v>0</v>
      </c>
      <c r="Y632" s="3">
        <f t="shared" si="168"/>
        <v>0</v>
      </c>
      <c r="Z632" s="3">
        <f>IF(AND($M632=1,对接源_01水果!$D632="原料入库"),1,0)</f>
        <v>0</v>
      </c>
      <c r="AA632" s="3">
        <f t="shared" si="169"/>
        <v>24</v>
      </c>
      <c r="AB632" s="3">
        <f>IF(AND($M632=1,LEFT(对接源_01水果!$D632,4)="原料出库"),1,0)</f>
        <v>0</v>
      </c>
      <c r="AC632" s="3">
        <f t="shared" si="170"/>
        <v>0</v>
      </c>
      <c r="AD632" s="3">
        <f>IF(AND($M632=1,LEFT(对接源_01水果!$D632,4)="成品出库"),1,0)</f>
        <v>0</v>
      </c>
      <c r="AE632" s="3">
        <f t="shared" si="171"/>
        <v>0</v>
      </c>
      <c r="AF632" s="3">
        <f>IF(AND($N632=1,AND(LEFT(对接源_01水果!$D632,4)="包装物料",N(对接源_01水果!$K632)&lt;&gt;0)),1,0)</f>
        <v>0</v>
      </c>
      <c r="AG632" s="3">
        <f t="shared" si="172"/>
        <v>0</v>
      </c>
      <c r="AH632" s="3">
        <f>IF(AND($N632=1,AND(对接源_01水果!$D632="周转筐－销售出库",N(对接源_01水果!$K632)&lt;&gt;0)),1,0)</f>
        <v>0</v>
      </c>
      <c r="AI632" s="3">
        <f t="shared" si="173"/>
        <v>0</v>
      </c>
      <c r="AJ632" s="7"/>
      <c r="AL632" s="3">
        <f>IF(OR($AL$1="",对接源_01水果!$Y632="",对接源_01水果!$Y632&lt;&gt;$AL$1,对接源_01水果!$B632="",N(对接源_01水果!$AJ632)&lt;=0),0,IF(OR(N(对接源_01水果!$B632)&lt;$AL$2,N(对接源_01水果!$B632)&gt;$AL$3),0,1))</f>
        <v>0</v>
      </c>
      <c r="AM632" s="3">
        <f t="shared" si="174"/>
        <v>1</v>
      </c>
      <c r="AN632" s="3" t="str">
        <f>IF(对接源_01水果!$AC632="","",对接源_01水果!$AC632)</f>
        <v/>
      </c>
      <c r="AO632" s="3">
        <f t="shared" si="175"/>
        <v>0</v>
      </c>
      <c r="AP632" s="3">
        <f t="shared" si="176"/>
        <v>8</v>
      </c>
      <c r="AR632">
        <f t="shared" si="177"/>
        <v>0</v>
      </c>
      <c r="AS632">
        <f t="shared" si="178"/>
        <v>0</v>
      </c>
    </row>
    <row r="633" ht="14.25" customHeight="1" spans="1:45">
      <c r="A633" s="3" t="str">
        <f>IF(对接源_01水果!$C633="","",对接源_01水果!$C633)</f>
        <v/>
      </c>
      <c r="B633" s="3">
        <f t="shared" si="162"/>
        <v>0</v>
      </c>
      <c r="C633" s="3">
        <f t="shared" si="163"/>
        <v>18</v>
      </c>
      <c r="K633" s="3">
        <f>IF(OR($K$1="",对接源_01水果!$C633="",对接源_01水果!$C633&lt;&gt;$K$1,对接源_01水果!$B633=""),0,IF(OR(N(对接源_01水果!$B633)&lt;$K$2,N(对接源_01水果!$B633)&gt;$K$3),0,1))</f>
        <v>0</v>
      </c>
      <c r="L633" s="3">
        <f>IF(OR($L$1="",对接源_01水果!$C633="",对接源_01水果!$C633&lt;&gt;$L$1,对接源_01水果!$B633=""),0,IF(OR(N(对接源_01水果!$B633)&lt;$L$2,N(对接源_01水果!$B633)&gt;$L$3),0,1))</f>
        <v>0</v>
      </c>
      <c r="M633" s="3">
        <f>IF(OR($M$1="",对接源_01水果!$C633="",对接源_01水果!$C633&lt;&gt;$M$1,对接源_01水果!$B633=""),0,IF(OR(N(对接源_01水果!$B633)&lt;$M$2,N(对接源_01水果!$B633)&gt;$M$3),0,1))</f>
        <v>0</v>
      </c>
      <c r="N633" s="3">
        <f>IF(OR($N$1="",对接源_01水果!$C633="",对接源_01水果!$C633&lt;&gt;$N$1,对接源_01水果!$B633=""),0,IF(OR(N(对接源_01水果!$B633)&lt;$N$2,N(对接源_01水果!$B633)&gt;$N$3),0,1))</f>
        <v>0</v>
      </c>
      <c r="P633" s="3">
        <f>IF(AND($K633=1,AND(对接源_01水果!$X633="公司筐",N(对接源_01水果!$T633)&lt;&gt;0)),1,0)</f>
        <v>0</v>
      </c>
      <c r="Q633" s="3">
        <f t="shared" si="164"/>
        <v>0</v>
      </c>
      <c r="R633" s="3">
        <f>IF(AND($K633=1,AND(对接源_01水果!$X633="公司筐",N(对接源_01水果!$U633)&lt;&gt;0)),1,0)</f>
        <v>0</v>
      </c>
      <c r="S633" s="3">
        <f t="shared" si="165"/>
        <v>0</v>
      </c>
      <c r="T633" s="3">
        <f>IF(AND($K633=1,AND(对接源_01水果!$X633="公司筐",N(对接源_01水果!$V633)&lt;&gt;0)),1,0)</f>
        <v>0</v>
      </c>
      <c r="U633" s="3">
        <f t="shared" si="166"/>
        <v>19</v>
      </c>
      <c r="V633" s="3">
        <f>IF(AND($L633=1,AND(对接源_01水果!$X633="自备筐",N(对接源_01水果!$V633)&lt;&gt;0)),1,0)</f>
        <v>0</v>
      </c>
      <c r="W633" s="3">
        <f t="shared" si="167"/>
        <v>8</v>
      </c>
      <c r="X633" s="3">
        <f>IF(AND($L633=1,AND(对接源_01水果!$X633="自备筐",N(对接源_01水果!$T633)&lt;&gt;0)),1,0)</f>
        <v>0</v>
      </c>
      <c r="Y633" s="3">
        <f t="shared" si="168"/>
        <v>0</v>
      </c>
      <c r="Z633" s="3">
        <f>IF(AND($M633=1,对接源_01水果!$D633="原料入库"),1,0)</f>
        <v>0</v>
      </c>
      <c r="AA633" s="3">
        <f t="shared" si="169"/>
        <v>24</v>
      </c>
      <c r="AB633" s="3">
        <f>IF(AND($M633=1,LEFT(对接源_01水果!$D633,4)="原料出库"),1,0)</f>
        <v>0</v>
      </c>
      <c r="AC633" s="3">
        <f t="shared" si="170"/>
        <v>0</v>
      </c>
      <c r="AD633" s="3">
        <f>IF(AND($M633=1,LEFT(对接源_01水果!$D633,4)="成品出库"),1,0)</f>
        <v>0</v>
      </c>
      <c r="AE633" s="3">
        <f t="shared" si="171"/>
        <v>0</v>
      </c>
      <c r="AF633" s="3">
        <f>IF(AND($N633=1,AND(LEFT(对接源_01水果!$D633,4)="包装物料",N(对接源_01水果!$K633)&lt;&gt;0)),1,0)</f>
        <v>0</v>
      </c>
      <c r="AG633" s="3">
        <f t="shared" si="172"/>
        <v>0</v>
      </c>
      <c r="AH633" s="3">
        <f>IF(AND($N633=1,AND(对接源_01水果!$D633="周转筐－销售出库",N(对接源_01水果!$K633)&lt;&gt;0)),1,0)</f>
        <v>0</v>
      </c>
      <c r="AI633" s="3">
        <f t="shared" si="173"/>
        <v>0</v>
      </c>
      <c r="AJ633" s="7"/>
      <c r="AL633" s="3">
        <f>IF(OR($AL$1="",对接源_01水果!$Y633="",对接源_01水果!$Y633&lt;&gt;$AL$1,对接源_01水果!$B633="",N(对接源_01水果!$AJ633)&lt;=0),0,IF(OR(N(对接源_01水果!$B633)&lt;$AL$2,N(对接源_01水果!$B633)&gt;$AL$3),0,1))</f>
        <v>0</v>
      </c>
      <c r="AM633" s="3">
        <f t="shared" si="174"/>
        <v>1</v>
      </c>
      <c r="AN633" s="3" t="str">
        <f>IF(对接源_01水果!$AC633="","",对接源_01水果!$AC633)</f>
        <v/>
      </c>
      <c r="AO633" s="3">
        <f t="shared" si="175"/>
        <v>0</v>
      </c>
      <c r="AP633" s="3">
        <f t="shared" si="176"/>
        <v>8</v>
      </c>
      <c r="AR633">
        <f t="shared" si="177"/>
        <v>0</v>
      </c>
      <c r="AS633">
        <f t="shared" si="178"/>
        <v>0</v>
      </c>
    </row>
    <row r="634" ht="14.25" customHeight="1" spans="1:45">
      <c r="A634" s="3" t="str">
        <f>IF(对接源_01水果!$C634="","",对接源_01水果!$C634)</f>
        <v/>
      </c>
      <c r="B634" s="3">
        <f t="shared" si="162"/>
        <v>0</v>
      </c>
      <c r="C634" s="3">
        <f t="shared" si="163"/>
        <v>18</v>
      </c>
      <c r="K634" s="3">
        <f>IF(OR($K$1="",对接源_01水果!$C634="",对接源_01水果!$C634&lt;&gt;$K$1,对接源_01水果!$B634=""),0,IF(OR(N(对接源_01水果!$B634)&lt;$K$2,N(对接源_01水果!$B634)&gt;$K$3),0,1))</f>
        <v>0</v>
      </c>
      <c r="L634" s="3">
        <f>IF(OR($L$1="",对接源_01水果!$C634="",对接源_01水果!$C634&lt;&gt;$L$1,对接源_01水果!$B634=""),0,IF(OR(N(对接源_01水果!$B634)&lt;$L$2,N(对接源_01水果!$B634)&gt;$L$3),0,1))</f>
        <v>0</v>
      </c>
      <c r="M634" s="3">
        <f>IF(OR($M$1="",对接源_01水果!$C634="",对接源_01水果!$C634&lt;&gt;$M$1,对接源_01水果!$B634=""),0,IF(OR(N(对接源_01水果!$B634)&lt;$M$2,N(对接源_01水果!$B634)&gt;$M$3),0,1))</f>
        <v>0</v>
      </c>
      <c r="N634" s="3">
        <f>IF(OR($N$1="",对接源_01水果!$C634="",对接源_01水果!$C634&lt;&gt;$N$1,对接源_01水果!$B634=""),0,IF(OR(N(对接源_01水果!$B634)&lt;$N$2,N(对接源_01水果!$B634)&gt;$N$3),0,1))</f>
        <v>0</v>
      </c>
      <c r="P634" s="3">
        <f>IF(AND($K634=1,AND(对接源_01水果!$X634="公司筐",N(对接源_01水果!$T634)&lt;&gt;0)),1,0)</f>
        <v>0</v>
      </c>
      <c r="Q634" s="3">
        <f t="shared" si="164"/>
        <v>0</v>
      </c>
      <c r="R634" s="3">
        <f>IF(AND($K634=1,AND(对接源_01水果!$X634="公司筐",N(对接源_01水果!$U634)&lt;&gt;0)),1,0)</f>
        <v>0</v>
      </c>
      <c r="S634" s="3">
        <f t="shared" si="165"/>
        <v>0</v>
      </c>
      <c r="T634" s="3">
        <f>IF(AND($K634=1,AND(对接源_01水果!$X634="公司筐",N(对接源_01水果!$V634)&lt;&gt;0)),1,0)</f>
        <v>0</v>
      </c>
      <c r="U634" s="3">
        <f t="shared" si="166"/>
        <v>19</v>
      </c>
      <c r="V634" s="3">
        <f>IF(AND($L634=1,AND(对接源_01水果!$X634="自备筐",N(对接源_01水果!$V634)&lt;&gt;0)),1,0)</f>
        <v>0</v>
      </c>
      <c r="W634" s="3">
        <f t="shared" si="167"/>
        <v>8</v>
      </c>
      <c r="X634" s="3">
        <f>IF(AND($L634=1,AND(对接源_01水果!$X634="自备筐",N(对接源_01水果!$T634)&lt;&gt;0)),1,0)</f>
        <v>0</v>
      </c>
      <c r="Y634" s="3">
        <f t="shared" si="168"/>
        <v>0</v>
      </c>
      <c r="Z634" s="3">
        <f>IF(AND($M634=1,对接源_01水果!$D634="原料入库"),1,0)</f>
        <v>0</v>
      </c>
      <c r="AA634" s="3">
        <f t="shared" si="169"/>
        <v>24</v>
      </c>
      <c r="AB634" s="3">
        <f>IF(AND($M634=1,LEFT(对接源_01水果!$D634,4)="原料出库"),1,0)</f>
        <v>0</v>
      </c>
      <c r="AC634" s="3">
        <f t="shared" si="170"/>
        <v>0</v>
      </c>
      <c r="AD634" s="3">
        <f>IF(AND($M634=1,LEFT(对接源_01水果!$D634,4)="成品出库"),1,0)</f>
        <v>0</v>
      </c>
      <c r="AE634" s="3">
        <f t="shared" si="171"/>
        <v>0</v>
      </c>
      <c r="AF634" s="3">
        <f>IF(AND($N634=1,AND(LEFT(对接源_01水果!$D634,4)="包装物料",N(对接源_01水果!$K634)&lt;&gt;0)),1,0)</f>
        <v>0</v>
      </c>
      <c r="AG634" s="3">
        <f t="shared" si="172"/>
        <v>0</v>
      </c>
      <c r="AH634" s="3">
        <f>IF(AND($N634=1,AND(对接源_01水果!$D634="周转筐－销售出库",N(对接源_01水果!$K634)&lt;&gt;0)),1,0)</f>
        <v>0</v>
      </c>
      <c r="AI634" s="3">
        <f t="shared" si="173"/>
        <v>0</v>
      </c>
      <c r="AJ634" s="7"/>
      <c r="AL634" s="3">
        <f>IF(OR($AL$1="",对接源_01水果!$Y634="",对接源_01水果!$Y634&lt;&gt;$AL$1,对接源_01水果!$B634="",N(对接源_01水果!$AJ634)&lt;=0),0,IF(OR(N(对接源_01水果!$B634)&lt;$AL$2,N(对接源_01水果!$B634)&gt;$AL$3),0,1))</f>
        <v>0</v>
      </c>
      <c r="AM634" s="3">
        <f t="shared" si="174"/>
        <v>1</v>
      </c>
      <c r="AN634" s="3" t="str">
        <f>IF(对接源_01水果!$AC634="","",对接源_01水果!$AC634)</f>
        <v/>
      </c>
      <c r="AO634" s="3">
        <f t="shared" si="175"/>
        <v>0</v>
      </c>
      <c r="AP634" s="3">
        <f t="shared" si="176"/>
        <v>8</v>
      </c>
      <c r="AR634">
        <f t="shared" si="177"/>
        <v>0</v>
      </c>
      <c r="AS634">
        <f t="shared" si="178"/>
        <v>0</v>
      </c>
    </row>
    <row r="635" ht="14.25" customHeight="1" spans="1:45">
      <c r="A635" s="3" t="str">
        <f>IF(对接源_01水果!$C635="","",对接源_01水果!$C635)</f>
        <v/>
      </c>
      <c r="B635" s="3">
        <f t="shared" si="162"/>
        <v>0</v>
      </c>
      <c r="C635" s="3">
        <f t="shared" si="163"/>
        <v>18</v>
      </c>
      <c r="K635" s="3">
        <f>IF(OR($K$1="",对接源_01水果!$C635="",对接源_01水果!$C635&lt;&gt;$K$1,对接源_01水果!$B635=""),0,IF(OR(N(对接源_01水果!$B635)&lt;$K$2,N(对接源_01水果!$B635)&gt;$K$3),0,1))</f>
        <v>0</v>
      </c>
      <c r="L635" s="3">
        <f>IF(OR($L$1="",对接源_01水果!$C635="",对接源_01水果!$C635&lt;&gt;$L$1,对接源_01水果!$B635=""),0,IF(OR(N(对接源_01水果!$B635)&lt;$L$2,N(对接源_01水果!$B635)&gt;$L$3),0,1))</f>
        <v>0</v>
      </c>
      <c r="M635" s="3">
        <f>IF(OR($M$1="",对接源_01水果!$C635="",对接源_01水果!$C635&lt;&gt;$M$1,对接源_01水果!$B635=""),0,IF(OR(N(对接源_01水果!$B635)&lt;$M$2,N(对接源_01水果!$B635)&gt;$M$3),0,1))</f>
        <v>0</v>
      </c>
      <c r="N635" s="3">
        <f>IF(OR($N$1="",对接源_01水果!$C635="",对接源_01水果!$C635&lt;&gt;$N$1,对接源_01水果!$B635=""),0,IF(OR(N(对接源_01水果!$B635)&lt;$N$2,N(对接源_01水果!$B635)&gt;$N$3),0,1))</f>
        <v>0</v>
      </c>
      <c r="P635" s="3">
        <f>IF(AND($K635=1,AND(对接源_01水果!$X635="公司筐",N(对接源_01水果!$T635)&lt;&gt;0)),1,0)</f>
        <v>0</v>
      </c>
      <c r="Q635" s="3">
        <f t="shared" si="164"/>
        <v>0</v>
      </c>
      <c r="R635" s="3">
        <f>IF(AND($K635=1,AND(对接源_01水果!$X635="公司筐",N(对接源_01水果!$U635)&lt;&gt;0)),1,0)</f>
        <v>0</v>
      </c>
      <c r="S635" s="3">
        <f t="shared" si="165"/>
        <v>0</v>
      </c>
      <c r="T635" s="3">
        <f>IF(AND($K635=1,AND(对接源_01水果!$X635="公司筐",N(对接源_01水果!$V635)&lt;&gt;0)),1,0)</f>
        <v>0</v>
      </c>
      <c r="U635" s="3">
        <f t="shared" si="166"/>
        <v>19</v>
      </c>
      <c r="V635" s="3">
        <f>IF(AND($L635=1,AND(对接源_01水果!$X635="自备筐",N(对接源_01水果!$V635)&lt;&gt;0)),1,0)</f>
        <v>0</v>
      </c>
      <c r="W635" s="3">
        <f t="shared" si="167"/>
        <v>8</v>
      </c>
      <c r="X635" s="3">
        <f>IF(AND($L635=1,AND(对接源_01水果!$X635="自备筐",N(对接源_01水果!$T635)&lt;&gt;0)),1,0)</f>
        <v>0</v>
      </c>
      <c r="Y635" s="3">
        <f t="shared" si="168"/>
        <v>0</v>
      </c>
      <c r="Z635" s="3">
        <f>IF(AND($M635=1,对接源_01水果!$D635="原料入库"),1,0)</f>
        <v>0</v>
      </c>
      <c r="AA635" s="3">
        <f t="shared" si="169"/>
        <v>24</v>
      </c>
      <c r="AB635" s="3">
        <f>IF(AND($M635=1,LEFT(对接源_01水果!$D635,4)="原料出库"),1,0)</f>
        <v>0</v>
      </c>
      <c r="AC635" s="3">
        <f t="shared" si="170"/>
        <v>0</v>
      </c>
      <c r="AD635" s="3">
        <f>IF(AND($M635=1,LEFT(对接源_01水果!$D635,4)="成品出库"),1,0)</f>
        <v>0</v>
      </c>
      <c r="AE635" s="3">
        <f t="shared" si="171"/>
        <v>0</v>
      </c>
      <c r="AF635" s="3">
        <f>IF(AND($N635=1,AND(LEFT(对接源_01水果!$D635,4)="包装物料",N(对接源_01水果!$K635)&lt;&gt;0)),1,0)</f>
        <v>0</v>
      </c>
      <c r="AG635" s="3">
        <f t="shared" si="172"/>
        <v>0</v>
      </c>
      <c r="AH635" s="3">
        <f>IF(AND($N635=1,AND(对接源_01水果!$D635="周转筐－销售出库",N(对接源_01水果!$K635)&lt;&gt;0)),1,0)</f>
        <v>0</v>
      </c>
      <c r="AI635" s="3">
        <f t="shared" si="173"/>
        <v>0</v>
      </c>
      <c r="AJ635" s="7"/>
      <c r="AL635" s="3">
        <f>IF(OR($AL$1="",对接源_01水果!$Y635="",对接源_01水果!$Y635&lt;&gt;$AL$1,对接源_01水果!$B635="",N(对接源_01水果!$AJ635)&lt;=0),0,IF(OR(N(对接源_01水果!$B635)&lt;$AL$2,N(对接源_01水果!$B635)&gt;$AL$3),0,1))</f>
        <v>0</v>
      </c>
      <c r="AM635" s="3">
        <f t="shared" si="174"/>
        <v>1</v>
      </c>
      <c r="AN635" s="3" t="str">
        <f>IF(对接源_01水果!$AC635="","",对接源_01水果!$AC635)</f>
        <v/>
      </c>
      <c r="AO635" s="3">
        <f t="shared" si="175"/>
        <v>0</v>
      </c>
      <c r="AP635" s="3">
        <f t="shared" si="176"/>
        <v>8</v>
      </c>
      <c r="AR635">
        <f t="shared" si="177"/>
        <v>0</v>
      </c>
      <c r="AS635">
        <f t="shared" si="178"/>
        <v>0</v>
      </c>
    </row>
    <row r="636" ht="14.25" customHeight="1" spans="1:45">
      <c r="A636" s="3" t="str">
        <f>IF(对接源_01水果!$C636="","",对接源_01水果!$C636)</f>
        <v/>
      </c>
      <c r="B636" s="3">
        <f t="shared" si="162"/>
        <v>0</v>
      </c>
      <c r="C636" s="3">
        <f t="shared" si="163"/>
        <v>18</v>
      </c>
      <c r="K636" s="3">
        <f>IF(OR($K$1="",对接源_01水果!$C636="",对接源_01水果!$C636&lt;&gt;$K$1,对接源_01水果!$B636=""),0,IF(OR(N(对接源_01水果!$B636)&lt;$K$2,N(对接源_01水果!$B636)&gt;$K$3),0,1))</f>
        <v>0</v>
      </c>
      <c r="L636" s="3">
        <f>IF(OR($L$1="",对接源_01水果!$C636="",对接源_01水果!$C636&lt;&gt;$L$1,对接源_01水果!$B636=""),0,IF(OR(N(对接源_01水果!$B636)&lt;$L$2,N(对接源_01水果!$B636)&gt;$L$3),0,1))</f>
        <v>0</v>
      </c>
      <c r="M636" s="3">
        <f>IF(OR($M$1="",对接源_01水果!$C636="",对接源_01水果!$C636&lt;&gt;$M$1,对接源_01水果!$B636=""),0,IF(OR(N(对接源_01水果!$B636)&lt;$M$2,N(对接源_01水果!$B636)&gt;$M$3),0,1))</f>
        <v>0</v>
      </c>
      <c r="N636" s="3">
        <f>IF(OR($N$1="",对接源_01水果!$C636="",对接源_01水果!$C636&lt;&gt;$N$1,对接源_01水果!$B636=""),0,IF(OR(N(对接源_01水果!$B636)&lt;$N$2,N(对接源_01水果!$B636)&gt;$N$3),0,1))</f>
        <v>0</v>
      </c>
      <c r="P636" s="3">
        <f>IF(AND($K636=1,AND(对接源_01水果!$X636="公司筐",N(对接源_01水果!$T636)&lt;&gt;0)),1,0)</f>
        <v>0</v>
      </c>
      <c r="Q636" s="3">
        <f t="shared" si="164"/>
        <v>0</v>
      </c>
      <c r="R636" s="3">
        <f>IF(AND($K636=1,AND(对接源_01水果!$X636="公司筐",N(对接源_01水果!$U636)&lt;&gt;0)),1,0)</f>
        <v>0</v>
      </c>
      <c r="S636" s="3">
        <f t="shared" si="165"/>
        <v>0</v>
      </c>
      <c r="T636" s="3">
        <f>IF(AND($K636=1,AND(对接源_01水果!$X636="公司筐",N(对接源_01水果!$V636)&lt;&gt;0)),1,0)</f>
        <v>0</v>
      </c>
      <c r="U636" s="3">
        <f t="shared" si="166"/>
        <v>19</v>
      </c>
      <c r="V636" s="3">
        <f>IF(AND($L636=1,AND(对接源_01水果!$X636="自备筐",N(对接源_01水果!$V636)&lt;&gt;0)),1,0)</f>
        <v>0</v>
      </c>
      <c r="W636" s="3">
        <f t="shared" si="167"/>
        <v>8</v>
      </c>
      <c r="X636" s="3">
        <f>IF(AND($L636=1,AND(对接源_01水果!$X636="自备筐",N(对接源_01水果!$T636)&lt;&gt;0)),1,0)</f>
        <v>0</v>
      </c>
      <c r="Y636" s="3">
        <f t="shared" si="168"/>
        <v>0</v>
      </c>
      <c r="Z636" s="3">
        <f>IF(AND($M636=1,对接源_01水果!$D636="原料入库"),1,0)</f>
        <v>0</v>
      </c>
      <c r="AA636" s="3">
        <f t="shared" si="169"/>
        <v>24</v>
      </c>
      <c r="AB636" s="3">
        <f>IF(AND($M636=1,LEFT(对接源_01水果!$D636,4)="原料出库"),1,0)</f>
        <v>0</v>
      </c>
      <c r="AC636" s="3">
        <f t="shared" si="170"/>
        <v>0</v>
      </c>
      <c r="AD636" s="3">
        <f>IF(AND($M636=1,LEFT(对接源_01水果!$D636,4)="成品出库"),1,0)</f>
        <v>0</v>
      </c>
      <c r="AE636" s="3">
        <f t="shared" si="171"/>
        <v>0</v>
      </c>
      <c r="AF636" s="3">
        <f>IF(AND($N636=1,AND(LEFT(对接源_01水果!$D636,4)="包装物料",N(对接源_01水果!$K636)&lt;&gt;0)),1,0)</f>
        <v>0</v>
      </c>
      <c r="AG636" s="3">
        <f t="shared" si="172"/>
        <v>0</v>
      </c>
      <c r="AH636" s="3">
        <f>IF(AND($N636=1,AND(对接源_01水果!$D636="周转筐－销售出库",N(对接源_01水果!$K636)&lt;&gt;0)),1,0)</f>
        <v>0</v>
      </c>
      <c r="AI636" s="3">
        <f t="shared" si="173"/>
        <v>0</v>
      </c>
      <c r="AJ636" s="7"/>
      <c r="AL636" s="3">
        <f>IF(OR($AL$1="",对接源_01水果!$Y636="",对接源_01水果!$Y636&lt;&gt;$AL$1,对接源_01水果!$B636="",N(对接源_01水果!$AJ636)&lt;=0),0,IF(OR(N(对接源_01水果!$B636)&lt;$AL$2,N(对接源_01水果!$B636)&gt;$AL$3),0,1))</f>
        <v>0</v>
      </c>
      <c r="AM636" s="3">
        <f t="shared" si="174"/>
        <v>1</v>
      </c>
      <c r="AN636" s="3" t="str">
        <f>IF(对接源_01水果!$AC636="","",对接源_01水果!$AC636)</f>
        <v/>
      </c>
      <c r="AO636" s="3">
        <f t="shared" si="175"/>
        <v>0</v>
      </c>
      <c r="AP636" s="3">
        <f t="shared" si="176"/>
        <v>8</v>
      </c>
      <c r="AR636">
        <f t="shared" si="177"/>
        <v>0</v>
      </c>
      <c r="AS636">
        <f t="shared" si="178"/>
        <v>0</v>
      </c>
    </row>
    <row r="637" ht="14.25" customHeight="1" spans="1:45">
      <c r="A637" s="3" t="str">
        <f>IF(对接源_01水果!$C637="","",对接源_01水果!$C637)</f>
        <v/>
      </c>
      <c r="B637" s="3">
        <f t="shared" si="162"/>
        <v>0</v>
      </c>
      <c r="C637" s="3">
        <f t="shared" si="163"/>
        <v>18</v>
      </c>
      <c r="K637" s="3">
        <f>IF(OR($K$1="",对接源_01水果!$C637="",对接源_01水果!$C637&lt;&gt;$K$1,对接源_01水果!$B637=""),0,IF(OR(N(对接源_01水果!$B637)&lt;$K$2,N(对接源_01水果!$B637)&gt;$K$3),0,1))</f>
        <v>0</v>
      </c>
      <c r="L637" s="3">
        <f>IF(OR($L$1="",对接源_01水果!$C637="",对接源_01水果!$C637&lt;&gt;$L$1,对接源_01水果!$B637=""),0,IF(OR(N(对接源_01水果!$B637)&lt;$L$2,N(对接源_01水果!$B637)&gt;$L$3),0,1))</f>
        <v>0</v>
      </c>
      <c r="M637" s="3">
        <f>IF(OR($M$1="",对接源_01水果!$C637="",对接源_01水果!$C637&lt;&gt;$M$1,对接源_01水果!$B637=""),0,IF(OR(N(对接源_01水果!$B637)&lt;$M$2,N(对接源_01水果!$B637)&gt;$M$3),0,1))</f>
        <v>0</v>
      </c>
      <c r="N637" s="3">
        <f>IF(OR($N$1="",对接源_01水果!$C637="",对接源_01水果!$C637&lt;&gt;$N$1,对接源_01水果!$B637=""),0,IF(OR(N(对接源_01水果!$B637)&lt;$N$2,N(对接源_01水果!$B637)&gt;$N$3),0,1))</f>
        <v>0</v>
      </c>
      <c r="P637" s="3">
        <f>IF(AND($K637=1,AND(对接源_01水果!$X637="公司筐",N(对接源_01水果!$T637)&lt;&gt;0)),1,0)</f>
        <v>0</v>
      </c>
      <c r="Q637" s="3">
        <f t="shared" si="164"/>
        <v>0</v>
      </c>
      <c r="R637" s="3">
        <f>IF(AND($K637=1,AND(对接源_01水果!$X637="公司筐",N(对接源_01水果!$U637)&lt;&gt;0)),1,0)</f>
        <v>0</v>
      </c>
      <c r="S637" s="3">
        <f t="shared" si="165"/>
        <v>0</v>
      </c>
      <c r="T637" s="3">
        <f>IF(AND($K637=1,AND(对接源_01水果!$X637="公司筐",N(对接源_01水果!$V637)&lt;&gt;0)),1,0)</f>
        <v>0</v>
      </c>
      <c r="U637" s="3">
        <f t="shared" si="166"/>
        <v>19</v>
      </c>
      <c r="V637" s="3">
        <f>IF(AND($L637=1,AND(对接源_01水果!$X637="自备筐",N(对接源_01水果!$V637)&lt;&gt;0)),1,0)</f>
        <v>0</v>
      </c>
      <c r="W637" s="3">
        <f t="shared" si="167"/>
        <v>8</v>
      </c>
      <c r="X637" s="3">
        <f>IF(AND($L637=1,AND(对接源_01水果!$X637="自备筐",N(对接源_01水果!$T637)&lt;&gt;0)),1,0)</f>
        <v>0</v>
      </c>
      <c r="Y637" s="3">
        <f t="shared" si="168"/>
        <v>0</v>
      </c>
      <c r="Z637" s="3">
        <f>IF(AND($M637=1,对接源_01水果!$D637="原料入库"),1,0)</f>
        <v>0</v>
      </c>
      <c r="AA637" s="3">
        <f t="shared" si="169"/>
        <v>24</v>
      </c>
      <c r="AB637" s="3">
        <f>IF(AND($M637=1,LEFT(对接源_01水果!$D637,4)="原料出库"),1,0)</f>
        <v>0</v>
      </c>
      <c r="AC637" s="3">
        <f t="shared" si="170"/>
        <v>0</v>
      </c>
      <c r="AD637" s="3">
        <f>IF(AND($M637=1,LEFT(对接源_01水果!$D637,4)="成品出库"),1,0)</f>
        <v>0</v>
      </c>
      <c r="AE637" s="3">
        <f t="shared" si="171"/>
        <v>0</v>
      </c>
      <c r="AF637" s="3">
        <f>IF(AND($N637=1,AND(LEFT(对接源_01水果!$D637,4)="包装物料",N(对接源_01水果!$K637)&lt;&gt;0)),1,0)</f>
        <v>0</v>
      </c>
      <c r="AG637" s="3">
        <f t="shared" si="172"/>
        <v>0</v>
      </c>
      <c r="AH637" s="3">
        <f>IF(AND($N637=1,AND(对接源_01水果!$D637="周转筐－销售出库",N(对接源_01水果!$K637)&lt;&gt;0)),1,0)</f>
        <v>0</v>
      </c>
      <c r="AI637" s="3">
        <f t="shared" si="173"/>
        <v>0</v>
      </c>
      <c r="AJ637" s="7"/>
      <c r="AL637" s="3">
        <f>IF(OR($AL$1="",对接源_01水果!$Y637="",对接源_01水果!$Y637&lt;&gt;$AL$1,对接源_01水果!$B637="",N(对接源_01水果!$AJ637)&lt;=0),0,IF(OR(N(对接源_01水果!$B637)&lt;$AL$2,N(对接源_01水果!$B637)&gt;$AL$3),0,1))</f>
        <v>0</v>
      </c>
      <c r="AM637" s="3">
        <f t="shared" si="174"/>
        <v>1</v>
      </c>
      <c r="AN637" s="3" t="str">
        <f>IF(对接源_01水果!$AC637="","",对接源_01水果!$AC637)</f>
        <v/>
      </c>
      <c r="AO637" s="3">
        <f t="shared" si="175"/>
        <v>0</v>
      </c>
      <c r="AP637" s="3">
        <f t="shared" si="176"/>
        <v>8</v>
      </c>
      <c r="AR637">
        <f t="shared" si="177"/>
        <v>0</v>
      </c>
      <c r="AS637">
        <f t="shared" si="178"/>
        <v>0</v>
      </c>
    </row>
    <row r="638" ht="14.25" customHeight="1" spans="1:45">
      <c r="A638" s="3" t="str">
        <f>IF(对接源_01水果!$C638="","",对接源_01水果!$C638)</f>
        <v/>
      </c>
      <c r="B638" s="3">
        <f t="shared" si="162"/>
        <v>0</v>
      </c>
      <c r="C638" s="3">
        <f t="shared" si="163"/>
        <v>18</v>
      </c>
      <c r="K638" s="3">
        <f>IF(OR($K$1="",对接源_01水果!$C638="",对接源_01水果!$C638&lt;&gt;$K$1,对接源_01水果!$B638=""),0,IF(OR(N(对接源_01水果!$B638)&lt;$K$2,N(对接源_01水果!$B638)&gt;$K$3),0,1))</f>
        <v>0</v>
      </c>
      <c r="L638" s="3">
        <f>IF(OR($L$1="",对接源_01水果!$C638="",对接源_01水果!$C638&lt;&gt;$L$1,对接源_01水果!$B638=""),0,IF(OR(N(对接源_01水果!$B638)&lt;$L$2,N(对接源_01水果!$B638)&gt;$L$3),0,1))</f>
        <v>0</v>
      </c>
      <c r="M638" s="3">
        <f>IF(OR($M$1="",对接源_01水果!$C638="",对接源_01水果!$C638&lt;&gt;$M$1,对接源_01水果!$B638=""),0,IF(OR(N(对接源_01水果!$B638)&lt;$M$2,N(对接源_01水果!$B638)&gt;$M$3),0,1))</f>
        <v>0</v>
      </c>
      <c r="N638" s="3">
        <f>IF(OR($N$1="",对接源_01水果!$C638="",对接源_01水果!$C638&lt;&gt;$N$1,对接源_01水果!$B638=""),0,IF(OR(N(对接源_01水果!$B638)&lt;$N$2,N(对接源_01水果!$B638)&gt;$N$3),0,1))</f>
        <v>0</v>
      </c>
      <c r="P638" s="3">
        <f>IF(AND($K638=1,AND(对接源_01水果!$X638="公司筐",N(对接源_01水果!$T638)&lt;&gt;0)),1,0)</f>
        <v>0</v>
      </c>
      <c r="Q638" s="3">
        <f t="shared" si="164"/>
        <v>0</v>
      </c>
      <c r="R638" s="3">
        <f>IF(AND($K638=1,AND(对接源_01水果!$X638="公司筐",N(对接源_01水果!$U638)&lt;&gt;0)),1,0)</f>
        <v>0</v>
      </c>
      <c r="S638" s="3">
        <f t="shared" si="165"/>
        <v>0</v>
      </c>
      <c r="T638" s="3">
        <f>IF(AND($K638=1,AND(对接源_01水果!$X638="公司筐",N(对接源_01水果!$V638)&lt;&gt;0)),1,0)</f>
        <v>0</v>
      </c>
      <c r="U638" s="3">
        <f t="shared" si="166"/>
        <v>19</v>
      </c>
      <c r="V638" s="3">
        <f>IF(AND($L638=1,AND(对接源_01水果!$X638="自备筐",N(对接源_01水果!$V638)&lt;&gt;0)),1,0)</f>
        <v>0</v>
      </c>
      <c r="W638" s="3">
        <f t="shared" si="167"/>
        <v>8</v>
      </c>
      <c r="X638" s="3">
        <f>IF(AND($L638=1,AND(对接源_01水果!$X638="自备筐",N(对接源_01水果!$T638)&lt;&gt;0)),1,0)</f>
        <v>0</v>
      </c>
      <c r="Y638" s="3">
        <f t="shared" si="168"/>
        <v>0</v>
      </c>
      <c r="Z638" s="3">
        <f>IF(AND($M638=1,对接源_01水果!$D638="原料入库"),1,0)</f>
        <v>0</v>
      </c>
      <c r="AA638" s="3">
        <f t="shared" si="169"/>
        <v>24</v>
      </c>
      <c r="AB638" s="3">
        <f>IF(AND($M638=1,LEFT(对接源_01水果!$D638,4)="原料出库"),1,0)</f>
        <v>0</v>
      </c>
      <c r="AC638" s="3">
        <f t="shared" si="170"/>
        <v>0</v>
      </c>
      <c r="AD638" s="3">
        <f>IF(AND($M638=1,LEFT(对接源_01水果!$D638,4)="成品出库"),1,0)</f>
        <v>0</v>
      </c>
      <c r="AE638" s="3">
        <f t="shared" si="171"/>
        <v>0</v>
      </c>
      <c r="AF638" s="3">
        <f>IF(AND($N638=1,AND(LEFT(对接源_01水果!$D638,4)="包装物料",N(对接源_01水果!$K638)&lt;&gt;0)),1,0)</f>
        <v>0</v>
      </c>
      <c r="AG638" s="3">
        <f t="shared" si="172"/>
        <v>0</v>
      </c>
      <c r="AH638" s="3">
        <f>IF(AND($N638=1,AND(对接源_01水果!$D638="周转筐－销售出库",N(对接源_01水果!$K638)&lt;&gt;0)),1,0)</f>
        <v>0</v>
      </c>
      <c r="AI638" s="3">
        <f t="shared" si="173"/>
        <v>0</v>
      </c>
      <c r="AJ638" s="7"/>
      <c r="AL638" s="3">
        <f>IF(OR($AL$1="",对接源_01水果!$Y638="",对接源_01水果!$Y638&lt;&gt;$AL$1,对接源_01水果!$B638="",N(对接源_01水果!$AJ638)&lt;=0),0,IF(OR(N(对接源_01水果!$B638)&lt;$AL$2,N(对接源_01水果!$B638)&gt;$AL$3),0,1))</f>
        <v>0</v>
      </c>
      <c r="AM638" s="3">
        <f t="shared" si="174"/>
        <v>1</v>
      </c>
      <c r="AN638" s="3" t="str">
        <f>IF(对接源_01水果!$AC638="","",对接源_01水果!$AC638)</f>
        <v/>
      </c>
      <c r="AO638" s="3">
        <f t="shared" si="175"/>
        <v>0</v>
      </c>
      <c r="AP638" s="3">
        <f t="shared" si="176"/>
        <v>8</v>
      </c>
      <c r="AR638">
        <f t="shared" si="177"/>
        <v>0</v>
      </c>
      <c r="AS638">
        <f t="shared" si="178"/>
        <v>0</v>
      </c>
    </row>
    <row r="639" ht="14.25" customHeight="1" spans="1:45">
      <c r="A639" s="3" t="str">
        <f>IF(对接源_01水果!$C639="","",对接源_01水果!$C639)</f>
        <v/>
      </c>
      <c r="B639" s="3">
        <f t="shared" si="162"/>
        <v>0</v>
      </c>
      <c r="C639" s="3">
        <f t="shared" si="163"/>
        <v>18</v>
      </c>
      <c r="K639" s="3">
        <f>IF(OR($K$1="",对接源_01水果!$C639="",对接源_01水果!$C639&lt;&gt;$K$1,对接源_01水果!$B639=""),0,IF(OR(N(对接源_01水果!$B639)&lt;$K$2,N(对接源_01水果!$B639)&gt;$K$3),0,1))</f>
        <v>0</v>
      </c>
      <c r="L639" s="3">
        <f>IF(OR($L$1="",对接源_01水果!$C639="",对接源_01水果!$C639&lt;&gt;$L$1,对接源_01水果!$B639=""),0,IF(OR(N(对接源_01水果!$B639)&lt;$L$2,N(对接源_01水果!$B639)&gt;$L$3),0,1))</f>
        <v>0</v>
      </c>
      <c r="M639" s="3">
        <f>IF(OR($M$1="",对接源_01水果!$C639="",对接源_01水果!$C639&lt;&gt;$M$1,对接源_01水果!$B639=""),0,IF(OR(N(对接源_01水果!$B639)&lt;$M$2,N(对接源_01水果!$B639)&gt;$M$3),0,1))</f>
        <v>0</v>
      </c>
      <c r="N639" s="3">
        <f>IF(OR($N$1="",对接源_01水果!$C639="",对接源_01水果!$C639&lt;&gt;$N$1,对接源_01水果!$B639=""),0,IF(OR(N(对接源_01水果!$B639)&lt;$N$2,N(对接源_01水果!$B639)&gt;$N$3),0,1))</f>
        <v>0</v>
      </c>
      <c r="P639" s="3">
        <f>IF(AND($K639=1,AND(对接源_01水果!$X639="公司筐",N(对接源_01水果!$T639)&lt;&gt;0)),1,0)</f>
        <v>0</v>
      </c>
      <c r="Q639" s="3">
        <f t="shared" si="164"/>
        <v>0</v>
      </c>
      <c r="R639" s="3">
        <f>IF(AND($K639=1,AND(对接源_01水果!$X639="公司筐",N(对接源_01水果!$U639)&lt;&gt;0)),1,0)</f>
        <v>0</v>
      </c>
      <c r="S639" s="3">
        <f t="shared" si="165"/>
        <v>0</v>
      </c>
      <c r="T639" s="3">
        <f>IF(AND($K639=1,AND(对接源_01水果!$X639="公司筐",N(对接源_01水果!$V639)&lt;&gt;0)),1,0)</f>
        <v>0</v>
      </c>
      <c r="U639" s="3">
        <f t="shared" si="166"/>
        <v>19</v>
      </c>
      <c r="V639" s="3">
        <f>IF(AND($L639=1,AND(对接源_01水果!$X639="自备筐",N(对接源_01水果!$V639)&lt;&gt;0)),1,0)</f>
        <v>0</v>
      </c>
      <c r="W639" s="3">
        <f t="shared" si="167"/>
        <v>8</v>
      </c>
      <c r="X639" s="3">
        <f>IF(AND($L639=1,AND(对接源_01水果!$X639="自备筐",N(对接源_01水果!$T639)&lt;&gt;0)),1,0)</f>
        <v>0</v>
      </c>
      <c r="Y639" s="3">
        <f t="shared" si="168"/>
        <v>0</v>
      </c>
      <c r="Z639" s="3">
        <f>IF(AND($M639=1,对接源_01水果!$D639="原料入库"),1,0)</f>
        <v>0</v>
      </c>
      <c r="AA639" s="3">
        <f t="shared" si="169"/>
        <v>24</v>
      </c>
      <c r="AB639" s="3">
        <f>IF(AND($M639=1,LEFT(对接源_01水果!$D639,4)="原料出库"),1,0)</f>
        <v>0</v>
      </c>
      <c r="AC639" s="3">
        <f t="shared" si="170"/>
        <v>0</v>
      </c>
      <c r="AD639" s="3">
        <f>IF(AND($M639=1,LEFT(对接源_01水果!$D639,4)="成品出库"),1,0)</f>
        <v>0</v>
      </c>
      <c r="AE639" s="3">
        <f t="shared" si="171"/>
        <v>0</v>
      </c>
      <c r="AF639" s="3">
        <f>IF(AND($N639=1,AND(LEFT(对接源_01水果!$D639,4)="包装物料",N(对接源_01水果!$K639)&lt;&gt;0)),1,0)</f>
        <v>0</v>
      </c>
      <c r="AG639" s="3">
        <f t="shared" si="172"/>
        <v>0</v>
      </c>
      <c r="AH639" s="3">
        <f>IF(AND($N639=1,AND(对接源_01水果!$D639="周转筐－销售出库",N(对接源_01水果!$K639)&lt;&gt;0)),1,0)</f>
        <v>0</v>
      </c>
      <c r="AI639" s="3">
        <f t="shared" si="173"/>
        <v>0</v>
      </c>
      <c r="AJ639" s="7"/>
      <c r="AL639" s="3">
        <f>IF(OR($AL$1="",对接源_01水果!$Y639="",对接源_01水果!$Y639&lt;&gt;$AL$1,对接源_01水果!$B639="",N(对接源_01水果!$AJ639)&lt;=0),0,IF(OR(N(对接源_01水果!$B639)&lt;$AL$2,N(对接源_01水果!$B639)&gt;$AL$3),0,1))</f>
        <v>0</v>
      </c>
      <c r="AM639" s="3">
        <f t="shared" si="174"/>
        <v>1</v>
      </c>
      <c r="AN639" s="3" t="str">
        <f>IF(对接源_01水果!$AC639="","",对接源_01水果!$AC639)</f>
        <v/>
      </c>
      <c r="AO639" s="3">
        <f t="shared" si="175"/>
        <v>0</v>
      </c>
      <c r="AP639" s="3">
        <f t="shared" si="176"/>
        <v>8</v>
      </c>
      <c r="AR639">
        <f t="shared" si="177"/>
        <v>0</v>
      </c>
      <c r="AS639">
        <f t="shared" si="178"/>
        <v>0</v>
      </c>
    </row>
    <row r="640" ht="14.25" customHeight="1" spans="1:45">
      <c r="A640" s="3" t="str">
        <f>IF(对接源_01水果!$C640="","",对接源_01水果!$C640)</f>
        <v/>
      </c>
      <c r="B640" s="3">
        <f t="shared" si="162"/>
        <v>0</v>
      </c>
      <c r="C640" s="3">
        <f t="shared" si="163"/>
        <v>18</v>
      </c>
      <c r="K640" s="3">
        <f>IF(OR($K$1="",对接源_01水果!$C640="",对接源_01水果!$C640&lt;&gt;$K$1,对接源_01水果!$B640=""),0,IF(OR(N(对接源_01水果!$B640)&lt;$K$2,N(对接源_01水果!$B640)&gt;$K$3),0,1))</f>
        <v>0</v>
      </c>
      <c r="L640" s="3">
        <f>IF(OR($L$1="",对接源_01水果!$C640="",对接源_01水果!$C640&lt;&gt;$L$1,对接源_01水果!$B640=""),0,IF(OR(N(对接源_01水果!$B640)&lt;$L$2,N(对接源_01水果!$B640)&gt;$L$3),0,1))</f>
        <v>0</v>
      </c>
      <c r="M640" s="3">
        <f>IF(OR($M$1="",对接源_01水果!$C640="",对接源_01水果!$C640&lt;&gt;$M$1,对接源_01水果!$B640=""),0,IF(OR(N(对接源_01水果!$B640)&lt;$M$2,N(对接源_01水果!$B640)&gt;$M$3),0,1))</f>
        <v>0</v>
      </c>
      <c r="N640" s="3">
        <f>IF(OR($N$1="",对接源_01水果!$C640="",对接源_01水果!$C640&lt;&gt;$N$1,对接源_01水果!$B640=""),0,IF(OR(N(对接源_01水果!$B640)&lt;$N$2,N(对接源_01水果!$B640)&gt;$N$3),0,1))</f>
        <v>0</v>
      </c>
      <c r="P640" s="3">
        <f>IF(AND($K640=1,AND(对接源_01水果!$X640="公司筐",N(对接源_01水果!$T640)&lt;&gt;0)),1,0)</f>
        <v>0</v>
      </c>
      <c r="Q640" s="3">
        <f t="shared" si="164"/>
        <v>0</v>
      </c>
      <c r="R640" s="3">
        <f>IF(AND($K640=1,AND(对接源_01水果!$X640="公司筐",N(对接源_01水果!$U640)&lt;&gt;0)),1,0)</f>
        <v>0</v>
      </c>
      <c r="S640" s="3">
        <f t="shared" si="165"/>
        <v>0</v>
      </c>
      <c r="T640" s="3">
        <f>IF(AND($K640=1,AND(对接源_01水果!$X640="公司筐",N(对接源_01水果!$V640)&lt;&gt;0)),1,0)</f>
        <v>0</v>
      </c>
      <c r="U640" s="3">
        <f t="shared" si="166"/>
        <v>19</v>
      </c>
      <c r="V640" s="3">
        <f>IF(AND($L640=1,AND(对接源_01水果!$X640="自备筐",N(对接源_01水果!$V640)&lt;&gt;0)),1,0)</f>
        <v>0</v>
      </c>
      <c r="W640" s="3">
        <f t="shared" si="167"/>
        <v>8</v>
      </c>
      <c r="X640" s="3">
        <f>IF(AND($L640=1,AND(对接源_01水果!$X640="自备筐",N(对接源_01水果!$T640)&lt;&gt;0)),1,0)</f>
        <v>0</v>
      </c>
      <c r="Y640" s="3">
        <f t="shared" si="168"/>
        <v>0</v>
      </c>
      <c r="Z640" s="3">
        <f>IF(AND($M640=1,对接源_01水果!$D640="原料入库"),1,0)</f>
        <v>0</v>
      </c>
      <c r="AA640" s="3">
        <f t="shared" si="169"/>
        <v>24</v>
      </c>
      <c r="AB640" s="3">
        <f>IF(AND($M640=1,LEFT(对接源_01水果!$D640,4)="原料出库"),1,0)</f>
        <v>0</v>
      </c>
      <c r="AC640" s="3">
        <f t="shared" si="170"/>
        <v>0</v>
      </c>
      <c r="AD640" s="3">
        <f>IF(AND($M640=1,LEFT(对接源_01水果!$D640,4)="成品出库"),1,0)</f>
        <v>0</v>
      </c>
      <c r="AE640" s="3">
        <f t="shared" si="171"/>
        <v>0</v>
      </c>
      <c r="AF640" s="3">
        <f>IF(AND($N640=1,AND(LEFT(对接源_01水果!$D640,4)="包装物料",N(对接源_01水果!$K640)&lt;&gt;0)),1,0)</f>
        <v>0</v>
      </c>
      <c r="AG640" s="3">
        <f t="shared" si="172"/>
        <v>0</v>
      </c>
      <c r="AH640" s="3">
        <f>IF(AND($N640=1,AND(对接源_01水果!$D640="周转筐－销售出库",N(对接源_01水果!$K640)&lt;&gt;0)),1,0)</f>
        <v>0</v>
      </c>
      <c r="AI640" s="3">
        <f t="shared" si="173"/>
        <v>0</v>
      </c>
      <c r="AJ640" s="7"/>
      <c r="AL640" s="3">
        <f>IF(OR($AL$1="",对接源_01水果!$Y640="",对接源_01水果!$Y640&lt;&gt;$AL$1,对接源_01水果!$B640="",N(对接源_01水果!$AJ640)&lt;=0),0,IF(OR(N(对接源_01水果!$B640)&lt;$AL$2,N(对接源_01水果!$B640)&gt;$AL$3),0,1))</f>
        <v>0</v>
      </c>
      <c r="AM640" s="3">
        <f t="shared" si="174"/>
        <v>1</v>
      </c>
      <c r="AN640" s="3" t="str">
        <f>IF(对接源_01水果!$AC640="","",对接源_01水果!$AC640)</f>
        <v/>
      </c>
      <c r="AO640" s="3">
        <f t="shared" si="175"/>
        <v>0</v>
      </c>
      <c r="AP640" s="3">
        <f t="shared" si="176"/>
        <v>8</v>
      </c>
      <c r="AR640">
        <f t="shared" si="177"/>
        <v>0</v>
      </c>
      <c r="AS640">
        <f t="shared" si="178"/>
        <v>0</v>
      </c>
    </row>
    <row r="641" ht="14.25" customHeight="1" spans="1:45">
      <c r="A641" s="3" t="str">
        <f>IF(对接源_01水果!$C641="","",对接源_01水果!$C641)</f>
        <v/>
      </c>
      <c r="B641" s="3">
        <f t="shared" si="162"/>
        <v>0</v>
      </c>
      <c r="C641" s="3">
        <f t="shared" si="163"/>
        <v>18</v>
      </c>
      <c r="K641" s="3">
        <f>IF(OR($K$1="",对接源_01水果!$C641="",对接源_01水果!$C641&lt;&gt;$K$1,对接源_01水果!$B641=""),0,IF(OR(N(对接源_01水果!$B641)&lt;$K$2,N(对接源_01水果!$B641)&gt;$K$3),0,1))</f>
        <v>0</v>
      </c>
      <c r="L641" s="3">
        <f>IF(OR($L$1="",对接源_01水果!$C641="",对接源_01水果!$C641&lt;&gt;$L$1,对接源_01水果!$B641=""),0,IF(OR(N(对接源_01水果!$B641)&lt;$L$2,N(对接源_01水果!$B641)&gt;$L$3),0,1))</f>
        <v>0</v>
      </c>
      <c r="M641" s="3">
        <f>IF(OR($M$1="",对接源_01水果!$C641="",对接源_01水果!$C641&lt;&gt;$M$1,对接源_01水果!$B641=""),0,IF(OR(N(对接源_01水果!$B641)&lt;$M$2,N(对接源_01水果!$B641)&gt;$M$3),0,1))</f>
        <v>0</v>
      </c>
      <c r="N641" s="3">
        <f>IF(OR($N$1="",对接源_01水果!$C641="",对接源_01水果!$C641&lt;&gt;$N$1,对接源_01水果!$B641=""),0,IF(OR(N(对接源_01水果!$B641)&lt;$N$2,N(对接源_01水果!$B641)&gt;$N$3),0,1))</f>
        <v>0</v>
      </c>
      <c r="P641" s="3">
        <f>IF(AND($K641=1,AND(对接源_01水果!$X641="公司筐",N(对接源_01水果!$T641)&lt;&gt;0)),1,0)</f>
        <v>0</v>
      </c>
      <c r="Q641" s="3">
        <f t="shared" si="164"/>
        <v>0</v>
      </c>
      <c r="R641" s="3">
        <f>IF(AND($K641=1,AND(对接源_01水果!$X641="公司筐",N(对接源_01水果!$U641)&lt;&gt;0)),1,0)</f>
        <v>0</v>
      </c>
      <c r="S641" s="3">
        <f t="shared" si="165"/>
        <v>0</v>
      </c>
      <c r="T641" s="3">
        <f>IF(AND($K641=1,AND(对接源_01水果!$X641="公司筐",N(对接源_01水果!$V641)&lt;&gt;0)),1,0)</f>
        <v>0</v>
      </c>
      <c r="U641" s="3">
        <f t="shared" si="166"/>
        <v>19</v>
      </c>
      <c r="V641" s="3">
        <f>IF(AND($L641=1,AND(对接源_01水果!$X641="自备筐",N(对接源_01水果!$V641)&lt;&gt;0)),1,0)</f>
        <v>0</v>
      </c>
      <c r="W641" s="3">
        <f t="shared" si="167"/>
        <v>8</v>
      </c>
      <c r="X641" s="3">
        <f>IF(AND($L641=1,AND(对接源_01水果!$X641="自备筐",N(对接源_01水果!$T641)&lt;&gt;0)),1,0)</f>
        <v>0</v>
      </c>
      <c r="Y641" s="3">
        <f t="shared" si="168"/>
        <v>0</v>
      </c>
      <c r="Z641" s="3">
        <f>IF(AND($M641=1,对接源_01水果!$D641="原料入库"),1,0)</f>
        <v>0</v>
      </c>
      <c r="AA641" s="3">
        <f t="shared" si="169"/>
        <v>24</v>
      </c>
      <c r="AB641" s="3">
        <f>IF(AND($M641=1,LEFT(对接源_01水果!$D641,4)="原料出库"),1,0)</f>
        <v>0</v>
      </c>
      <c r="AC641" s="3">
        <f t="shared" si="170"/>
        <v>0</v>
      </c>
      <c r="AD641" s="3">
        <f>IF(AND($M641=1,LEFT(对接源_01水果!$D641,4)="成品出库"),1,0)</f>
        <v>0</v>
      </c>
      <c r="AE641" s="3">
        <f t="shared" si="171"/>
        <v>0</v>
      </c>
      <c r="AF641" s="3">
        <f>IF(AND($N641=1,AND(LEFT(对接源_01水果!$D641,4)="包装物料",N(对接源_01水果!$K641)&lt;&gt;0)),1,0)</f>
        <v>0</v>
      </c>
      <c r="AG641" s="3">
        <f t="shared" si="172"/>
        <v>0</v>
      </c>
      <c r="AH641" s="3">
        <f>IF(AND($N641=1,AND(对接源_01水果!$D641="周转筐－销售出库",N(对接源_01水果!$K641)&lt;&gt;0)),1,0)</f>
        <v>0</v>
      </c>
      <c r="AI641" s="3">
        <f t="shared" si="173"/>
        <v>0</v>
      </c>
      <c r="AJ641" s="7"/>
      <c r="AL641" s="3">
        <f>IF(OR($AL$1="",对接源_01水果!$Y641="",对接源_01水果!$Y641&lt;&gt;$AL$1,对接源_01水果!$B641="",N(对接源_01水果!$AJ641)&lt;=0),0,IF(OR(N(对接源_01水果!$B641)&lt;$AL$2,N(对接源_01水果!$B641)&gt;$AL$3),0,1))</f>
        <v>0</v>
      </c>
      <c r="AM641" s="3">
        <f t="shared" si="174"/>
        <v>1</v>
      </c>
      <c r="AN641" s="3" t="str">
        <f>IF(对接源_01水果!$AC641="","",对接源_01水果!$AC641)</f>
        <v/>
      </c>
      <c r="AO641" s="3">
        <f t="shared" si="175"/>
        <v>0</v>
      </c>
      <c r="AP641" s="3">
        <f t="shared" si="176"/>
        <v>8</v>
      </c>
      <c r="AR641">
        <f t="shared" si="177"/>
        <v>0</v>
      </c>
      <c r="AS641">
        <f t="shared" si="178"/>
        <v>0</v>
      </c>
    </row>
    <row r="642" ht="14.25" customHeight="1" spans="1:45">
      <c r="A642" s="3" t="str">
        <f>IF(对接源_01水果!$C642="","",对接源_01水果!$C642)</f>
        <v/>
      </c>
      <c r="B642" s="3">
        <f t="shared" si="162"/>
        <v>0</v>
      </c>
      <c r="C642" s="3">
        <f t="shared" si="163"/>
        <v>18</v>
      </c>
      <c r="K642" s="3">
        <f>IF(OR($K$1="",对接源_01水果!$C642="",对接源_01水果!$C642&lt;&gt;$K$1,对接源_01水果!$B642=""),0,IF(OR(N(对接源_01水果!$B642)&lt;$K$2,N(对接源_01水果!$B642)&gt;$K$3),0,1))</f>
        <v>0</v>
      </c>
      <c r="L642" s="3">
        <f>IF(OR($L$1="",对接源_01水果!$C642="",对接源_01水果!$C642&lt;&gt;$L$1,对接源_01水果!$B642=""),0,IF(OR(N(对接源_01水果!$B642)&lt;$L$2,N(对接源_01水果!$B642)&gt;$L$3),0,1))</f>
        <v>0</v>
      </c>
      <c r="M642" s="3">
        <f>IF(OR($M$1="",对接源_01水果!$C642="",对接源_01水果!$C642&lt;&gt;$M$1,对接源_01水果!$B642=""),0,IF(OR(N(对接源_01水果!$B642)&lt;$M$2,N(对接源_01水果!$B642)&gt;$M$3),0,1))</f>
        <v>0</v>
      </c>
      <c r="N642" s="3">
        <f>IF(OR($N$1="",对接源_01水果!$C642="",对接源_01水果!$C642&lt;&gt;$N$1,对接源_01水果!$B642=""),0,IF(OR(N(对接源_01水果!$B642)&lt;$N$2,N(对接源_01水果!$B642)&gt;$N$3),0,1))</f>
        <v>0</v>
      </c>
      <c r="P642" s="3">
        <f>IF(AND($K642=1,AND(对接源_01水果!$X642="公司筐",N(对接源_01水果!$T642)&lt;&gt;0)),1,0)</f>
        <v>0</v>
      </c>
      <c r="Q642" s="3">
        <f t="shared" si="164"/>
        <v>0</v>
      </c>
      <c r="R642" s="3">
        <f>IF(AND($K642=1,AND(对接源_01水果!$X642="公司筐",N(对接源_01水果!$U642)&lt;&gt;0)),1,0)</f>
        <v>0</v>
      </c>
      <c r="S642" s="3">
        <f t="shared" si="165"/>
        <v>0</v>
      </c>
      <c r="T642" s="3">
        <f>IF(AND($K642=1,AND(对接源_01水果!$X642="公司筐",N(对接源_01水果!$V642)&lt;&gt;0)),1,0)</f>
        <v>0</v>
      </c>
      <c r="U642" s="3">
        <f t="shared" si="166"/>
        <v>19</v>
      </c>
      <c r="V642" s="3">
        <f>IF(AND($L642=1,AND(对接源_01水果!$X642="自备筐",N(对接源_01水果!$V642)&lt;&gt;0)),1,0)</f>
        <v>0</v>
      </c>
      <c r="W642" s="3">
        <f t="shared" si="167"/>
        <v>8</v>
      </c>
      <c r="X642" s="3">
        <f>IF(AND($L642=1,AND(对接源_01水果!$X642="自备筐",N(对接源_01水果!$T642)&lt;&gt;0)),1,0)</f>
        <v>0</v>
      </c>
      <c r="Y642" s="3">
        <f t="shared" si="168"/>
        <v>0</v>
      </c>
      <c r="Z642" s="3">
        <f>IF(AND($M642=1,对接源_01水果!$D642="原料入库"),1,0)</f>
        <v>0</v>
      </c>
      <c r="AA642" s="3">
        <f t="shared" si="169"/>
        <v>24</v>
      </c>
      <c r="AB642" s="3">
        <f>IF(AND($M642=1,LEFT(对接源_01水果!$D642,4)="原料出库"),1,0)</f>
        <v>0</v>
      </c>
      <c r="AC642" s="3">
        <f t="shared" si="170"/>
        <v>0</v>
      </c>
      <c r="AD642" s="3">
        <f>IF(AND($M642=1,LEFT(对接源_01水果!$D642,4)="成品出库"),1,0)</f>
        <v>0</v>
      </c>
      <c r="AE642" s="3">
        <f t="shared" si="171"/>
        <v>0</v>
      </c>
      <c r="AF642" s="3">
        <f>IF(AND($N642=1,AND(LEFT(对接源_01水果!$D642,4)="包装物料",N(对接源_01水果!$K642)&lt;&gt;0)),1,0)</f>
        <v>0</v>
      </c>
      <c r="AG642" s="3">
        <f t="shared" si="172"/>
        <v>0</v>
      </c>
      <c r="AH642" s="3">
        <f>IF(AND($N642=1,AND(对接源_01水果!$D642="周转筐－销售出库",N(对接源_01水果!$K642)&lt;&gt;0)),1,0)</f>
        <v>0</v>
      </c>
      <c r="AI642" s="3">
        <f t="shared" si="173"/>
        <v>0</v>
      </c>
      <c r="AJ642" s="7"/>
      <c r="AL642" s="3">
        <f>IF(OR($AL$1="",对接源_01水果!$Y642="",对接源_01水果!$Y642&lt;&gt;$AL$1,对接源_01水果!$B642="",N(对接源_01水果!$AJ642)&lt;=0),0,IF(OR(N(对接源_01水果!$B642)&lt;$AL$2,N(对接源_01水果!$B642)&gt;$AL$3),0,1))</f>
        <v>0</v>
      </c>
      <c r="AM642" s="3">
        <f t="shared" si="174"/>
        <v>1</v>
      </c>
      <c r="AN642" s="3" t="str">
        <f>IF(对接源_01水果!$AC642="","",对接源_01水果!$AC642)</f>
        <v/>
      </c>
      <c r="AO642" s="3">
        <f t="shared" si="175"/>
        <v>0</v>
      </c>
      <c r="AP642" s="3">
        <f t="shared" si="176"/>
        <v>8</v>
      </c>
      <c r="AR642">
        <f t="shared" si="177"/>
        <v>0</v>
      </c>
      <c r="AS642">
        <f t="shared" si="178"/>
        <v>0</v>
      </c>
    </row>
    <row r="643" ht="14.25" customHeight="1" spans="1:45">
      <c r="A643" s="3" t="str">
        <f>IF(对接源_01水果!$C643="","",对接源_01水果!$C643)</f>
        <v/>
      </c>
      <c r="B643" s="3">
        <f t="shared" si="162"/>
        <v>0</v>
      </c>
      <c r="C643" s="3">
        <f t="shared" si="163"/>
        <v>18</v>
      </c>
      <c r="K643" s="3">
        <f>IF(OR($K$1="",对接源_01水果!$C643="",对接源_01水果!$C643&lt;&gt;$K$1,对接源_01水果!$B643=""),0,IF(OR(N(对接源_01水果!$B643)&lt;$K$2,N(对接源_01水果!$B643)&gt;$K$3),0,1))</f>
        <v>0</v>
      </c>
      <c r="L643" s="3">
        <f>IF(OR($L$1="",对接源_01水果!$C643="",对接源_01水果!$C643&lt;&gt;$L$1,对接源_01水果!$B643=""),0,IF(OR(N(对接源_01水果!$B643)&lt;$L$2,N(对接源_01水果!$B643)&gt;$L$3),0,1))</f>
        <v>0</v>
      </c>
      <c r="M643" s="3">
        <f>IF(OR($M$1="",对接源_01水果!$C643="",对接源_01水果!$C643&lt;&gt;$M$1,对接源_01水果!$B643=""),0,IF(OR(N(对接源_01水果!$B643)&lt;$M$2,N(对接源_01水果!$B643)&gt;$M$3),0,1))</f>
        <v>0</v>
      </c>
      <c r="N643" s="3">
        <f>IF(OR($N$1="",对接源_01水果!$C643="",对接源_01水果!$C643&lt;&gt;$N$1,对接源_01水果!$B643=""),0,IF(OR(N(对接源_01水果!$B643)&lt;$N$2,N(对接源_01水果!$B643)&gt;$N$3),0,1))</f>
        <v>0</v>
      </c>
      <c r="P643" s="3">
        <f>IF(AND($K643=1,AND(对接源_01水果!$X643="公司筐",N(对接源_01水果!$T643)&lt;&gt;0)),1,0)</f>
        <v>0</v>
      </c>
      <c r="Q643" s="3">
        <f t="shared" si="164"/>
        <v>0</v>
      </c>
      <c r="R643" s="3">
        <f>IF(AND($K643=1,AND(对接源_01水果!$X643="公司筐",N(对接源_01水果!$U643)&lt;&gt;0)),1,0)</f>
        <v>0</v>
      </c>
      <c r="S643" s="3">
        <f t="shared" si="165"/>
        <v>0</v>
      </c>
      <c r="T643" s="3">
        <f>IF(AND($K643=1,AND(对接源_01水果!$X643="公司筐",N(对接源_01水果!$V643)&lt;&gt;0)),1,0)</f>
        <v>0</v>
      </c>
      <c r="U643" s="3">
        <f t="shared" si="166"/>
        <v>19</v>
      </c>
      <c r="V643" s="3">
        <f>IF(AND($L643=1,AND(对接源_01水果!$X643="自备筐",N(对接源_01水果!$V643)&lt;&gt;0)),1,0)</f>
        <v>0</v>
      </c>
      <c r="W643" s="3">
        <f t="shared" si="167"/>
        <v>8</v>
      </c>
      <c r="X643" s="3">
        <f>IF(AND($L643=1,AND(对接源_01水果!$X643="自备筐",N(对接源_01水果!$T643)&lt;&gt;0)),1,0)</f>
        <v>0</v>
      </c>
      <c r="Y643" s="3">
        <f t="shared" si="168"/>
        <v>0</v>
      </c>
      <c r="Z643" s="3">
        <f>IF(AND($M643=1,对接源_01水果!$D643="原料入库"),1,0)</f>
        <v>0</v>
      </c>
      <c r="AA643" s="3">
        <f t="shared" si="169"/>
        <v>24</v>
      </c>
      <c r="AB643" s="3">
        <f>IF(AND($M643=1,LEFT(对接源_01水果!$D643,4)="原料出库"),1,0)</f>
        <v>0</v>
      </c>
      <c r="AC643" s="3">
        <f t="shared" si="170"/>
        <v>0</v>
      </c>
      <c r="AD643" s="3">
        <f>IF(AND($M643=1,LEFT(对接源_01水果!$D643,4)="成品出库"),1,0)</f>
        <v>0</v>
      </c>
      <c r="AE643" s="3">
        <f t="shared" si="171"/>
        <v>0</v>
      </c>
      <c r="AF643" s="3">
        <f>IF(AND($N643=1,AND(LEFT(对接源_01水果!$D643,4)="包装物料",N(对接源_01水果!$K643)&lt;&gt;0)),1,0)</f>
        <v>0</v>
      </c>
      <c r="AG643" s="3">
        <f t="shared" si="172"/>
        <v>0</v>
      </c>
      <c r="AH643" s="3">
        <f>IF(AND($N643=1,AND(对接源_01水果!$D643="周转筐－销售出库",N(对接源_01水果!$K643)&lt;&gt;0)),1,0)</f>
        <v>0</v>
      </c>
      <c r="AI643" s="3">
        <f t="shared" si="173"/>
        <v>0</v>
      </c>
      <c r="AJ643" s="7"/>
      <c r="AL643" s="3">
        <f>IF(OR($AL$1="",对接源_01水果!$Y643="",对接源_01水果!$Y643&lt;&gt;$AL$1,对接源_01水果!$B643="",N(对接源_01水果!$AJ643)&lt;=0),0,IF(OR(N(对接源_01水果!$B643)&lt;$AL$2,N(对接源_01水果!$B643)&gt;$AL$3),0,1))</f>
        <v>0</v>
      </c>
      <c r="AM643" s="3">
        <f t="shared" si="174"/>
        <v>1</v>
      </c>
      <c r="AN643" s="3" t="str">
        <f>IF(对接源_01水果!$AC643="","",对接源_01水果!$AC643)</f>
        <v/>
      </c>
      <c r="AO643" s="3">
        <f t="shared" si="175"/>
        <v>0</v>
      </c>
      <c r="AP643" s="3">
        <f t="shared" si="176"/>
        <v>8</v>
      </c>
      <c r="AR643">
        <f t="shared" si="177"/>
        <v>0</v>
      </c>
      <c r="AS643">
        <f t="shared" si="178"/>
        <v>0</v>
      </c>
    </row>
    <row r="644" ht="14.25" customHeight="1" spans="1:45">
      <c r="A644" s="3" t="str">
        <f>IF(对接源_01水果!$C644="","",对接源_01水果!$C644)</f>
        <v/>
      </c>
      <c r="B644" s="3">
        <f t="shared" ref="B644:B707" si="179">IF(A644="",0,IF(MATCH(A644,$A$4:$A$2403,0)=ROW()-3,1,0))</f>
        <v>0</v>
      </c>
      <c r="C644" s="3">
        <f t="shared" ref="C644:C707" si="180">N(C643)+B644</f>
        <v>18</v>
      </c>
      <c r="K644" s="3">
        <f>IF(OR($K$1="",对接源_01水果!$C644="",对接源_01水果!$C644&lt;&gt;$K$1,对接源_01水果!$B644=""),0,IF(OR(N(对接源_01水果!$B644)&lt;$K$2,N(对接源_01水果!$B644)&gt;$K$3),0,1))</f>
        <v>0</v>
      </c>
      <c r="L644" s="3">
        <f>IF(OR($L$1="",对接源_01水果!$C644="",对接源_01水果!$C644&lt;&gt;$L$1,对接源_01水果!$B644=""),0,IF(OR(N(对接源_01水果!$B644)&lt;$L$2,N(对接源_01水果!$B644)&gt;$L$3),0,1))</f>
        <v>0</v>
      </c>
      <c r="M644" s="3">
        <f>IF(OR($M$1="",对接源_01水果!$C644="",对接源_01水果!$C644&lt;&gt;$M$1,对接源_01水果!$B644=""),0,IF(OR(N(对接源_01水果!$B644)&lt;$M$2,N(对接源_01水果!$B644)&gt;$M$3),0,1))</f>
        <v>0</v>
      </c>
      <c r="N644" s="3">
        <f>IF(OR($N$1="",对接源_01水果!$C644="",对接源_01水果!$C644&lt;&gt;$N$1,对接源_01水果!$B644=""),0,IF(OR(N(对接源_01水果!$B644)&lt;$N$2,N(对接源_01水果!$B644)&gt;$N$3),0,1))</f>
        <v>0</v>
      </c>
      <c r="P644" s="3">
        <f>IF(AND($K644=1,AND(对接源_01水果!$X644="公司筐",N(对接源_01水果!$T644)&lt;&gt;0)),1,0)</f>
        <v>0</v>
      </c>
      <c r="Q644" s="3">
        <f t="shared" ref="Q644:Q707" si="181">N(Q643)+$P644</f>
        <v>0</v>
      </c>
      <c r="R644" s="3">
        <f>IF(AND($K644=1,AND(对接源_01水果!$X644="公司筐",N(对接源_01水果!$U644)&lt;&gt;0)),1,0)</f>
        <v>0</v>
      </c>
      <c r="S644" s="3">
        <f t="shared" ref="S644:S707" si="182">N(S643)+$R644</f>
        <v>0</v>
      </c>
      <c r="T644" s="3">
        <f>IF(AND($K644=1,AND(对接源_01水果!$X644="公司筐",N(对接源_01水果!$V644)&lt;&gt;0)),1,0)</f>
        <v>0</v>
      </c>
      <c r="U644" s="3">
        <f t="shared" ref="U644:U707" si="183">N(U643)+$T644</f>
        <v>19</v>
      </c>
      <c r="V644" s="3">
        <f>IF(AND($L644=1,AND(对接源_01水果!$X644="自备筐",N(对接源_01水果!$V644)&lt;&gt;0)),1,0)</f>
        <v>0</v>
      </c>
      <c r="W644" s="3">
        <f t="shared" ref="W644:W707" si="184">N(W643)+$V644</f>
        <v>8</v>
      </c>
      <c r="X644" s="3">
        <f>IF(AND($L644=1,AND(对接源_01水果!$X644="自备筐",N(对接源_01水果!$T644)&lt;&gt;0)),1,0)</f>
        <v>0</v>
      </c>
      <c r="Y644" s="3">
        <f t="shared" ref="Y644:Y707" si="185">N(Y643)+$X644</f>
        <v>0</v>
      </c>
      <c r="Z644" s="3">
        <f>IF(AND($M644=1,对接源_01水果!$D644="原料入库"),1,0)</f>
        <v>0</v>
      </c>
      <c r="AA644" s="3">
        <f t="shared" ref="AA644:AA707" si="186">N(AA643)+$Z644</f>
        <v>24</v>
      </c>
      <c r="AB644" s="3">
        <f>IF(AND($M644=1,LEFT(对接源_01水果!$D644,4)="原料出库"),1,0)</f>
        <v>0</v>
      </c>
      <c r="AC644" s="3">
        <f t="shared" ref="AC644:AC707" si="187">N(AC643)+$AB644</f>
        <v>0</v>
      </c>
      <c r="AD644" s="3">
        <f>IF(AND($M644=1,LEFT(对接源_01水果!$D644,4)="成品出库"),1,0)</f>
        <v>0</v>
      </c>
      <c r="AE644" s="3">
        <f t="shared" ref="AE644:AE707" si="188">N(AE643)+$AD644</f>
        <v>0</v>
      </c>
      <c r="AF644" s="3">
        <f>IF(AND($N644=1,AND(LEFT(对接源_01水果!$D644,4)="包装物料",N(对接源_01水果!$K644)&lt;&gt;0)),1,0)</f>
        <v>0</v>
      </c>
      <c r="AG644" s="3">
        <f t="shared" ref="AG644:AG707" si="189">N(AG643)+$AF644</f>
        <v>0</v>
      </c>
      <c r="AH644" s="3">
        <f>IF(AND($N644=1,AND(对接源_01水果!$D644="周转筐－销售出库",N(对接源_01水果!$K644)&lt;&gt;0)),1,0)</f>
        <v>0</v>
      </c>
      <c r="AI644" s="3">
        <f t="shared" ref="AI644:AI707" si="190">N(AI643)+$AH644</f>
        <v>0</v>
      </c>
      <c r="AJ644" s="7"/>
      <c r="AL644" s="3">
        <f>IF(OR($AL$1="",对接源_01水果!$Y644="",对接源_01水果!$Y644&lt;&gt;$AL$1,对接源_01水果!$B644="",N(对接源_01水果!$AJ644)&lt;=0),0,IF(OR(N(对接源_01水果!$B644)&lt;$AL$2,N(对接源_01水果!$B644)&gt;$AL$3),0,1))</f>
        <v>0</v>
      </c>
      <c r="AM644" s="3">
        <f t="shared" ref="AM644:AM707" si="191">N(AM643)+$AL644</f>
        <v>1</v>
      </c>
      <c r="AN644" s="3" t="str">
        <f>IF(对接源_01水果!$AC644="","",对接源_01水果!$AC644)</f>
        <v/>
      </c>
      <c r="AO644" s="3">
        <f t="shared" ref="AO644:AO707" si="192">IF(AN644="",0,IF(MATCH(AN644,$AN$4:$AN$1203,0)=ROW()-3,1,0))</f>
        <v>0</v>
      </c>
      <c r="AP644" s="3">
        <f t="shared" ref="AP644:AP707" si="193">N(AP643)+$AO644</f>
        <v>8</v>
      </c>
      <c r="AR644">
        <f t="shared" ref="AR644:AR707" si="194">IF(OR($AF644=1,$AH644=1),1,0)</f>
        <v>0</v>
      </c>
      <c r="AS644">
        <f t="shared" ref="AS644:AS707" si="195">N(AS643)+$AR644</f>
        <v>0</v>
      </c>
    </row>
    <row r="645" ht="14.25" customHeight="1" spans="1:45">
      <c r="A645" s="3" t="str">
        <f>IF(对接源_01水果!$C645="","",对接源_01水果!$C645)</f>
        <v/>
      </c>
      <c r="B645" s="3">
        <f t="shared" si="179"/>
        <v>0</v>
      </c>
      <c r="C645" s="3">
        <f t="shared" si="180"/>
        <v>18</v>
      </c>
      <c r="K645" s="3">
        <f>IF(OR($K$1="",对接源_01水果!$C645="",对接源_01水果!$C645&lt;&gt;$K$1,对接源_01水果!$B645=""),0,IF(OR(N(对接源_01水果!$B645)&lt;$K$2,N(对接源_01水果!$B645)&gt;$K$3),0,1))</f>
        <v>0</v>
      </c>
      <c r="L645" s="3">
        <f>IF(OR($L$1="",对接源_01水果!$C645="",对接源_01水果!$C645&lt;&gt;$L$1,对接源_01水果!$B645=""),0,IF(OR(N(对接源_01水果!$B645)&lt;$L$2,N(对接源_01水果!$B645)&gt;$L$3),0,1))</f>
        <v>0</v>
      </c>
      <c r="M645" s="3">
        <f>IF(OR($M$1="",对接源_01水果!$C645="",对接源_01水果!$C645&lt;&gt;$M$1,对接源_01水果!$B645=""),0,IF(OR(N(对接源_01水果!$B645)&lt;$M$2,N(对接源_01水果!$B645)&gt;$M$3),0,1))</f>
        <v>0</v>
      </c>
      <c r="N645" s="3">
        <f>IF(OR($N$1="",对接源_01水果!$C645="",对接源_01水果!$C645&lt;&gt;$N$1,对接源_01水果!$B645=""),0,IF(OR(N(对接源_01水果!$B645)&lt;$N$2,N(对接源_01水果!$B645)&gt;$N$3),0,1))</f>
        <v>0</v>
      </c>
      <c r="P645" s="3">
        <f>IF(AND($K645=1,AND(对接源_01水果!$X645="公司筐",N(对接源_01水果!$T645)&lt;&gt;0)),1,0)</f>
        <v>0</v>
      </c>
      <c r="Q645" s="3">
        <f t="shared" si="181"/>
        <v>0</v>
      </c>
      <c r="R645" s="3">
        <f>IF(AND($K645=1,AND(对接源_01水果!$X645="公司筐",N(对接源_01水果!$U645)&lt;&gt;0)),1,0)</f>
        <v>0</v>
      </c>
      <c r="S645" s="3">
        <f t="shared" si="182"/>
        <v>0</v>
      </c>
      <c r="T645" s="3">
        <f>IF(AND($K645=1,AND(对接源_01水果!$X645="公司筐",N(对接源_01水果!$V645)&lt;&gt;0)),1,0)</f>
        <v>0</v>
      </c>
      <c r="U645" s="3">
        <f t="shared" si="183"/>
        <v>19</v>
      </c>
      <c r="V645" s="3">
        <f>IF(AND($L645=1,AND(对接源_01水果!$X645="自备筐",N(对接源_01水果!$V645)&lt;&gt;0)),1,0)</f>
        <v>0</v>
      </c>
      <c r="W645" s="3">
        <f t="shared" si="184"/>
        <v>8</v>
      </c>
      <c r="X645" s="3">
        <f>IF(AND($L645=1,AND(对接源_01水果!$X645="自备筐",N(对接源_01水果!$T645)&lt;&gt;0)),1,0)</f>
        <v>0</v>
      </c>
      <c r="Y645" s="3">
        <f t="shared" si="185"/>
        <v>0</v>
      </c>
      <c r="Z645" s="3">
        <f>IF(AND($M645=1,对接源_01水果!$D645="原料入库"),1,0)</f>
        <v>0</v>
      </c>
      <c r="AA645" s="3">
        <f t="shared" si="186"/>
        <v>24</v>
      </c>
      <c r="AB645" s="3">
        <f>IF(AND($M645=1,LEFT(对接源_01水果!$D645,4)="原料出库"),1,0)</f>
        <v>0</v>
      </c>
      <c r="AC645" s="3">
        <f t="shared" si="187"/>
        <v>0</v>
      </c>
      <c r="AD645" s="3">
        <f>IF(AND($M645=1,LEFT(对接源_01水果!$D645,4)="成品出库"),1,0)</f>
        <v>0</v>
      </c>
      <c r="AE645" s="3">
        <f t="shared" si="188"/>
        <v>0</v>
      </c>
      <c r="AF645" s="3">
        <f>IF(AND($N645=1,AND(LEFT(对接源_01水果!$D645,4)="包装物料",N(对接源_01水果!$K645)&lt;&gt;0)),1,0)</f>
        <v>0</v>
      </c>
      <c r="AG645" s="3">
        <f t="shared" si="189"/>
        <v>0</v>
      </c>
      <c r="AH645" s="3">
        <f>IF(AND($N645=1,AND(对接源_01水果!$D645="周转筐－销售出库",N(对接源_01水果!$K645)&lt;&gt;0)),1,0)</f>
        <v>0</v>
      </c>
      <c r="AI645" s="3">
        <f t="shared" si="190"/>
        <v>0</v>
      </c>
      <c r="AJ645" s="7"/>
      <c r="AL645" s="3">
        <f>IF(OR($AL$1="",对接源_01水果!$Y645="",对接源_01水果!$Y645&lt;&gt;$AL$1,对接源_01水果!$B645="",N(对接源_01水果!$AJ645)&lt;=0),0,IF(OR(N(对接源_01水果!$B645)&lt;$AL$2,N(对接源_01水果!$B645)&gt;$AL$3),0,1))</f>
        <v>0</v>
      </c>
      <c r="AM645" s="3">
        <f t="shared" si="191"/>
        <v>1</v>
      </c>
      <c r="AN645" s="3" t="str">
        <f>IF(对接源_01水果!$AC645="","",对接源_01水果!$AC645)</f>
        <v/>
      </c>
      <c r="AO645" s="3">
        <f t="shared" si="192"/>
        <v>0</v>
      </c>
      <c r="AP645" s="3">
        <f t="shared" si="193"/>
        <v>8</v>
      </c>
      <c r="AR645">
        <f t="shared" si="194"/>
        <v>0</v>
      </c>
      <c r="AS645">
        <f t="shared" si="195"/>
        <v>0</v>
      </c>
    </row>
    <row r="646" ht="14.25" customHeight="1" spans="1:45">
      <c r="A646" s="3" t="str">
        <f>IF(对接源_01水果!$C646="","",对接源_01水果!$C646)</f>
        <v/>
      </c>
      <c r="B646" s="3">
        <f t="shared" si="179"/>
        <v>0</v>
      </c>
      <c r="C646" s="3">
        <f t="shared" si="180"/>
        <v>18</v>
      </c>
      <c r="K646" s="3">
        <f>IF(OR($K$1="",对接源_01水果!$C646="",对接源_01水果!$C646&lt;&gt;$K$1,对接源_01水果!$B646=""),0,IF(OR(N(对接源_01水果!$B646)&lt;$K$2,N(对接源_01水果!$B646)&gt;$K$3),0,1))</f>
        <v>0</v>
      </c>
      <c r="L646" s="3">
        <f>IF(OR($L$1="",对接源_01水果!$C646="",对接源_01水果!$C646&lt;&gt;$L$1,对接源_01水果!$B646=""),0,IF(OR(N(对接源_01水果!$B646)&lt;$L$2,N(对接源_01水果!$B646)&gt;$L$3),0,1))</f>
        <v>0</v>
      </c>
      <c r="M646" s="3">
        <f>IF(OR($M$1="",对接源_01水果!$C646="",对接源_01水果!$C646&lt;&gt;$M$1,对接源_01水果!$B646=""),0,IF(OR(N(对接源_01水果!$B646)&lt;$M$2,N(对接源_01水果!$B646)&gt;$M$3),0,1))</f>
        <v>0</v>
      </c>
      <c r="N646" s="3">
        <f>IF(OR($N$1="",对接源_01水果!$C646="",对接源_01水果!$C646&lt;&gt;$N$1,对接源_01水果!$B646=""),0,IF(OR(N(对接源_01水果!$B646)&lt;$N$2,N(对接源_01水果!$B646)&gt;$N$3),0,1))</f>
        <v>0</v>
      </c>
      <c r="P646" s="3">
        <f>IF(AND($K646=1,AND(对接源_01水果!$X646="公司筐",N(对接源_01水果!$T646)&lt;&gt;0)),1,0)</f>
        <v>0</v>
      </c>
      <c r="Q646" s="3">
        <f t="shared" si="181"/>
        <v>0</v>
      </c>
      <c r="R646" s="3">
        <f>IF(AND($K646=1,AND(对接源_01水果!$X646="公司筐",N(对接源_01水果!$U646)&lt;&gt;0)),1,0)</f>
        <v>0</v>
      </c>
      <c r="S646" s="3">
        <f t="shared" si="182"/>
        <v>0</v>
      </c>
      <c r="T646" s="3">
        <f>IF(AND($K646=1,AND(对接源_01水果!$X646="公司筐",N(对接源_01水果!$V646)&lt;&gt;0)),1,0)</f>
        <v>0</v>
      </c>
      <c r="U646" s="3">
        <f t="shared" si="183"/>
        <v>19</v>
      </c>
      <c r="V646" s="3">
        <f>IF(AND($L646=1,AND(对接源_01水果!$X646="自备筐",N(对接源_01水果!$V646)&lt;&gt;0)),1,0)</f>
        <v>0</v>
      </c>
      <c r="W646" s="3">
        <f t="shared" si="184"/>
        <v>8</v>
      </c>
      <c r="X646" s="3">
        <f>IF(AND($L646=1,AND(对接源_01水果!$X646="自备筐",N(对接源_01水果!$T646)&lt;&gt;0)),1,0)</f>
        <v>0</v>
      </c>
      <c r="Y646" s="3">
        <f t="shared" si="185"/>
        <v>0</v>
      </c>
      <c r="Z646" s="3">
        <f>IF(AND($M646=1,对接源_01水果!$D646="原料入库"),1,0)</f>
        <v>0</v>
      </c>
      <c r="AA646" s="3">
        <f t="shared" si="186"/>
        <v>24</v>
      </c>
      <c r="AB646" s="3">
        <f>IF(AND($M646=1,LEFT(对接源_01水果!$D646,4)="原料出库"),1,0)</f>
        <v>0</v>
      </c>
      <c r="AC646" s="3">
        <f t="shared" si="187"/>
        <v>0</v>
      </c>
      <c r="AD646" s="3">
        <f>IF(AND($M646=1,LEFT(对接源_01水果!$D646,4)="成品出库"),1,0)</f>
        <v>0</v>
      </c>
      <c r="AE646" s="3">
        <f t="shared" si="188"/>
        <v>0</v>
      </c>
      <c r="AF646" s="3">
        <f>IF(AND($N646=1,AND(LEFT(对接源_01水果!$D646,4)="包装物料",N(对接源_01水果!$K646)&lt;&gt;0)),1,0)</f>
        <v>0</v>
      </c>
      <c r="AG646" s="3">
        <f t="shared" si="189"/>
        <v>0</v>
      </c>
      <c r="AH646" s="3">
        <f>IF(AND($N646=1,AND(对接源_01水果!$D646="周转筐－销售出库",N(对接源_01水果!$K646)&lt;&gt;0)),1,0)</f>
        <v>0</v>
      </c>
      <c r="AI646" s="3">
        <f t="shared" si="190"/>
        <v>0</v>
      </c>
      <c r="AJ646" s="7"/>
      <c r="AL646" s="3">
        <f>IF(OR($AL$1="",对接源_01水果!$Y646="",对接源_01水果!$Y646&lt;&gt;$AL$1,对接源_01水果!$B646="",N(对接源_01水果!$AJ646)&lt;=0),0,IF(OR(N(对接源_01水果!$B646)&lt;$AL$2,N(对接源_01水果!$B646)&gt;$AL$3),0,1))</f>
        <v>0</v>
      </c>
      <c r="AM646" s="3">
        <f t="shared" si="191"/>
        <v>1</v>
      </c>
      <c r="AN646" s="3" t="str">
        <f>IF(对接源_01水果!$AC646="","",对接源_01水果!$AC646)</f>
        <v/>
      </c>
      <c r="AO646" s="3">
        <f t="shared" si="192"/>
        <v>0</v>
      </c>
      <c r="AP646" s="3">
        <f t="shared" si="193"/>
        <v>8</v>
      </c>
      <c r="AR646">
        <f t="shared" si="194"/>
        <v>0</v>
      </c>
      <c r="AS646">
        <f t="shared" si="195"/>
        <v>0</v>
      </c>
    </row>
    <row r="647" ht="14.25" customHeight="1" spans="1:45">
      <c r="A647" s="3" t="str">
        <f>IF(对接源_01水果!$C647="","",对接源_01水果!$C647)</f>
        <v/>
      </c>
      <c r="B647" s="3">
        <f t="shared" si="179"/>
        <v>0</v>
      </c>
      <c r="C647" s="3">
        <f t="shared" si="180"/>
        <v>18</v>
      </c>
      <c r="K647" s="3">
        <f>IF(OR($K$1="",对接源_01水果!$C647="",对接源_01水果!$C647&lt;&gt;$K$1,对接源_01水果!$B647=""),0,IF(OR(N(对接源_01水果!$B647)&lt;$K$2,N(对接源_01水果!$B647)&gt;$K$3),0,1))</f>
        <v>0</v>
      </c>
      <c r="L647" s="3">
        <f>IF(OR($L$1="",对接源_01水果!$C647="",对接源_01水果!$C647&lt;&gt;$L$1,对接源_01水果!$B647=""),0,IF(OR(N(对接源_01水果!$B647)&lt;$L$2,N(对接源_01水果!$B647)&gt;$L$3),0,1))</f>
        <v>0</v>
      </c>
      <c r="M647" s="3">
        <f>IF(OR($M$1="",对接源_01水果!$C647="",对接源_01水果!$C647&lt;&gt;$M$1,对接源_01水果!$B647=""),0,IF(OR(N(对接源_01水果!$B647)&lt;$M$2,N(对接源_01水果!$B647)&gt;$M$3),0,1))</f>
        <v>0</v>
      </c>
      <c r="N647" s="3">
        <f>IF(OR($N$1="",对接源_01水果!$C647="",对接源_01水果!$C647&lt;&gt;$N$1,对接源_01水果!$B647=""),0,IF(OR(N(对接源_01水果!$B647)&lt;$N$2,N(对接源_01水果!$B647)&gt;$N$3),0,1))</f>
        <v>0</v>
      </c>
      <c r="P647" s="3">
        <f>IF(AND($K647=1,AND(对接源_01水果!$X647="公司筐",N(对接源_01水果!$T647)&lt;&gt;0)),1,0)</f>
        <v>0</v>
      </c>
      <c r="Q647" s="3">
        <f t="shared" si="181"/>
        <v>0</v>
      </c>
      <c r="R647" s="3">
        <f>IF(AND($K647=1,AND(对接源_01水果!$X647="公司筐",N(对接源_01水果!$U647)&lt;&gt;0)),1,0)</f>
        <v>0</v>
      </c>
      <c r="S647" s="3">
        <f t="shared" si="182"/>
        <v>0</v>
      </c>
      <c r="T647" s="3">
        <f>IF(AND($K647=1,AND(对接源_01水果!$X647="公司筐",N(对接源_01水果!$V647)&lt;&gt;0)),1,0)</f>
        <v>0</v>
      </c>
      <c r="U647" s="3">
        <f t="shared" si="183"/>
        <v>19</v>
      </c>
      <c r="V647" s="3">
        <f>IF(AND($L647=1,AND(对接源_01水果!$X647="自备筐",N(对接源_01水果!$V647)&lt;&gt;0)),1,0)</f>
        <v>0</v>
      </c>
      <c r="W647" s="3">
        <f t="shared" si="184"/>
        <v>8</v>
      </c>
      <c r="X647" s="3">
        <f>IF(AND($L647=1,AND(对接源_01水果!$X647="自备筐",N(对接源_01水果!$T647)&lt;&gt;0)),1,0)</f>
        <v>0</v>
      </c>
      <c r="Y647" s="3">
        <f t="shared" si="185"/>
        <v>0</v>
      </c>
      <c r="Z647" s="3">
        <f>IF(AND($M647=1,对接源_01水果!$D647="原料入库"),1,0)</f>
        <v>0</v>
      </c>
      <c r="AA647" s="3">
        <f t="shared" si="186"/>
        <v>24</v>
      </c>
      <c r="AB647" s="3">
        <f>IF(AND($M647=1,LEFT(对接源_01水果!$D647,4)="原料出库"),1,0)</f>
        <v>0</v>
      </c>
      <c r="AC647" s="3">
        <f t="shared" si="187"/>
        <v>0</v>
      </c>
      <c r="AD647" s="3">
        <f>IF(AND($M647=1,LEFT(对接源_01水果!$D647,4)="成品出库"),1,0)</f>
        <v>0</v>
      </c>
      <c r="AE647" s="3">
        <f t="shared" si="188"/>
        <v>0</v>
      </c>
      <c r="AF647" s="3">
        <f>IF(AND($N647=1,AND(LEFT(对接源_01水果!$D647,4)="包装物料",N(对接源_01水果!$K647)&lt;&gt;0)),1,0)</f>
        <v>0</v>
      </c>
      <c r="AG647" s="3">
        <f t="shared" si="189"/>
        <v>0</v>
      </c>
      <c r="AH647" s="3">
        <f>IF(AND($N647=1,AND(对接源_01水果!$D647="周转筐－销售出库",N(对接源_01水果!$K647)&lt;&gt;0)),1,0)</f>
        <v>0</v>
      </c>
      <c r="AI647" s="3">
        <f t="shared" si="190"/>
        <v>0</v>
      </c>
      <c r="AJ647" s="7"/>
      <c r="AL647" s="3">
        <f>IF(OR($AL$1="",对接源_01水果!$Y647="",对接源_01水果!$Y647&lt;&gt;$AL$1,对接源_01水果!$B647="",N(对接源_01水果!$AJ647)&lt;=0),0,IF(OR(N(对接源_01水果!$B647)&lt;$AL$2,N(对接源_01水果!$B647)&gt;$AL$3),0,1))</f>
        <v>0</v>
      </c>
      <c r="AM647" s="3">
        <f t="shared" si="191"/>
        <v>1</v>
      </c>
      <c r="AN647" s="3" t="str">
        <f>IF(对接源_01水果!$AC647="","",对接源_01水果!$AC647)</f>
        <v/>
      </c>
      <c r="AO647" s="3">
        <f t="shared" si="192"/>
        <v>0</v>
      </c>
      <c r="AP647" s="3">
        <f t="shared" si="193"/>
        <v>8</v>
      </c>
      <c r="AR647">
        <f t="shared" si="194"/>
        <v>0</v>
      </c>
      <c r="AS647">
        <f t="shared" si="195"/>
        <v>0</v>
      </c>
    </row>
    <row r="648" ht="14.25" customHeight="1" spans="1:45">
      <c r="A648" s="3" t="str">
        <f>IF(对接源_01水果!$C648="","",对接源_01水果!$C648)</f>
        <v/>
      </c>
      <c r="B648" s="3">
        <f t="shared" si="179"/>
        <v>0</v>
      </c>
      <c r="C648" s="3">
        <f t="shared" si="180"/>
        <v>18</v>
      </c>
      <c r="K648" s="3">
        <f>IF(OR($K$1="",对接源_01水果!$C648="",对接源_01水果!$C648&lt;&gt;$K$1,对接源_01水果!$B648=""),0,IF(OR(N(对接源_01水果!$B648)&lt;$K$2,N(对接源_01水果!$B648)&gt;$K$3),0,1))</f>
        <v>0</v>
      </c>
      <c r="L648" s="3">
        <f>IF(OR($L$1="",对接源_01水果!$C648="",对接源_01水果!$C648&lt;&gt;$L$1,对接源_01水果!$B648=""),0,IF(OR(N(对接源_01水果!$B648)&lt;$L$2,N(对接源_01水果!$B648)&gt;$L$3),0,1))</f>
        <v>0</v>
      </c>
      <c r="M648" s="3">
        <f>IF(OR($M$1="",对接源_01水果!$C648="",对接源_01水果!$C648&lt;&gt;$M$1,对接源_01水果!$B648=""),0,IF(OR(N(对接源_01水果!$B648)&lt;$M$2,N(对接源_01水果!$B648)&gt;$M$3),0,1))</f>
        <v>0</v>
      </c>
      <c r="N648" s="3">
        <f>IF(OR($N$1="",对接源_01水果!$C648="",对接源_01水果!$C648&lt;&gt;$N$1,对接源_01水果!$B648=""),0,IF(OR(N(对接源_01水果!$B648)&lt;$N$2,N(对接源_01水果!$B648)&gt;$N$3),0,1))</f>
        <v>0</v>
      </c>
      <c r="P648" s="3">
        <f>IF(AND($K648=1,AND(对接源_01水果!$X648="公司筐",N(对接源_01水果!$T648)&lt;&gt;0)),1,0)</f>
        <v>0</v>
      </c>
      <c r="Q648" s="3">
        <f t="shared" si="181"/>
        <v>0</v>
      </c>
      <c r="R648" s="3">
        <f>IF(AND($K648=1,AND(对接源_01水果!$X648="公司筐",N(对接源_01水果!$U648)&lt;&gt;0)),1,0)</f>
        <v>0</v>
      </c>
      <c r="S648" s="3">
        <f t="shared" si="182"/>
        <v>0</v>
      </c>
      <c r="T648" s="3">
        <f>IF(AND($K648=1,AND(对接源_01水果!$X648="公司筐",N(对接源_01水果!$V648)&lt;&gt;0)),1,0)</f>
        <v>0</v>
      </c>
      <c r="U648" s="3">
        <f t="shared" si="183"/>
        <v>19</v>
      </c>
      <c r="V648" s="3">
        <f>IF(AND($L648=1,AND(对接源_01水果!$X648="自备筐",N(对接源_01水果!$V648)&lt;&gt;0)),1,0)</f>
        <v>0</v>
      </c>
      <c r="W648" s="3">
        <f t="shared" si="184"/>
        <v>8</v>
      </c>
      <c r="X648" s="3">
        <f>IF(AND($L648=1,AND(对接源_01水果!$X648="自备筐",N(对接源_01水果!$T648)&lt;&gt;0)),1,0)</f>
        <v>0</v>
      </c>
      <c r="Y648" s="3">
        <f t="shared" si="185"/>
        <v>0</v>
      </c>
      <c r="Z648" s="3">
        <f>IF(AND($M648=1,对接源_01水果!$D648="原料入库"),1,0)</f>
        <v>0</v>
      </c>
      <c r="AA648" s="3">
        <f t="shared" si="186"/>
        <v>24</v>
      </c>
      <c r="AB648" s="3">
        <f>IF(AND($M648=1,LEFT(对接源_01水果!$D648,4)="原料出库"),1,0)</f>
        <v>0</v>
      </c>
      <c r="AC648" s="3">
        <f t="shared" si="187"/>
        <v>0</v>
      </c>
      <c r="AD648" s="3">
        <f>IF(AND($M648=1,LEFT(对接源_01水果!$D648,4)="成品出库"),1,0)</f>
        <v>0</v>
      </c>
      <c r="AE648" s="3">
        <f t="shared" si="188"/>
        <v>0</v>
      </c>
      <c r="AF648" s="3">
        <f>IF(AND($N648=1,AND(LEFT(对接源_01水果!$D648,4)="包装物料",N(对接源_01水果!$K648)&lt;&gt;0)),1,0)</f>
        <v>0</v>
      </c>
      <c r="AG648" s="3">
        <f t="shared" si="189"/>
        <v>0</v>
      </c>
      <c r="AH648" s="3">
        <f>IF(AND($N648=1,AND(对接源_01水果!$D648="周转筐－销售出库",N(对接源_01水果!$K648)&lt;&gt;0)),1,0)</f>
        <v>0</v>
      </c>
      <c r="AI648" s="3">
        <f t="shared" si="190"/>
        <v>0</v>
      </c>
      <c r="AJ648" s="7"/>
      <c r="AL648" s="3">
        <f>IF(OR($AL$1="",对接源_01水果!$Y648="",对接源_01水果!$Y648&lt;&gt;$AL$1,对接源_01水果!$B648="",N(对接源_01水果!$AJ648)&lt;=0),0,IF(OR(N(对接源_01水果!$B648)&lt;$AL$2,N(对接源_01水果!$B648)&gt;$AL$3),0,1))</f>
        <v>0</v>
      </c>
      <c r="AM648" s="3">
        <f t="shared" si="191"/>
        <v>1</v>
      </c>
      <c r="AN648" s="3" t="str">
        <f>IF(对接源_01水果!$AC648="","",对接源_01水果!$AC648)</f>
        <v/>
      </c>
      <c r="AO648" s="3">
        <f t="shared" si="192"/>
        <v>0</v>
      </c>
      <c r="AP648" s="3">
        <f t="shared" si="193"/>
        <v>8</v>
      </c>
      <c r="AR648">
        <f t="shared" si="194"/>
        <v>0</v>
      </c>
      <c r="AS648">
        <f t="shared" si="195"/>
        <v>0</v>
      </c>
    </row>
    <row r="649" ht="14.25" customHeight="1" spans="1:45">
      <c r="A649" s="3" t="str">
        <f>IF(对接源_01水果!$C649="","",对接源_01水果!$C649)</f>
        <v/>
      </c>
      <c r="B649" s="3">
        <f t="shared" si="179"/>
        <v>0</v>
      </c>
      <c r="C649" s="3">
        <f t="shared" si="180"/>
        <v>18</v>
      </c>
      <c r="K649" s="3">
        <f>IF(OR($K$1="",对接源_01水果!$C649="",对接源_01水果!$C649&lt;&gt;$K$1,对接源_01水果!$B649=""),0,IF(OR(N(对接源_01水果!$B649)&lt;$K$2,N(对接源_01水果!$B649)&gt;$K$3),0,1))</f>
        <v>0</v>
      </c>
      <c r="L649" s="3">
        <f>IF(OR($L$1="",对接源_01水果!$C649="",对接源_01水果!$C649&lt;&gt;$L$1,对接源_01水果!$B649=""),0,IF(OR(N(对接源_01水果!$B649)&lt;$L$2,N(对接源_01水果!$B649)&gt;$L$3),0,1))</f>
        <v>0</v>
      </c>
      <c r="M649" s="3">
        <f>IF(OR($M$1="",对接源_01水果!$C649="",对接源_01水果!$C649&lt;&gt;$M$1,对接源_01水果!$B649=""),0,IF(OR(N(对接源_01水果!$B649)&lt;$M$2,N(对接源_01水果!$B649)&gt;$M$3),0,1))</f>
        <v>0</v>
      </c>
      <c r="N649" s="3">
        <f>IF(OR($N$1="",对接源_01水果!$C649="",对接源_01水果!$C649&lt;&gt;$N$1,对接源_01水果!$B649=""),0,IF(OR(N(对接源_01水果!$B649)&lt;$N$2,N(对接源_01水果!$B649)&gt;$N$3),0,1))</f>
        <v>0</v>
      </c>
      <c r="P649" s="3">
        <f>IF(AND($K649=1,AND(对接源_01水果!$X649="公司筐",N(对接源_01水果!$T649)&lt;&gt;0)),1,0)</f>
        <v>0</v>
      </c>
      <c r="Q649" s="3">
        <f t="shared" si="181"/>
        <v>0</v>
      </c>
      <c r="R649" s="3">
        <f>IF(AND($K649=1,AND(对接源_01水果!$X649="公司筐",N(对接源_01水果!$U649)&lt;&gt;0)),1,0)</f>
        <v>0</v>
      </c>
      <c r="S649" s="3">
        <f t="shared" si="182"/>
        <v>0</v>
      </c>
      <c r="T649" s="3">
        <f>IF(AND($K649=1,AND(对接源_01水果!$X649="公司筐",N(对接源_01水果!$V649)&lt;&gt;0)),1,0)</f>
        <v>0</v>
      </c>
      <c r="U649" s="3">
        <f t="shared" si="183"/>
        <v>19</v>
      </c>
      <c r="V649" s="3">
        <f>IF(AND($L649=1,AND(对接源_01水果!$X649="自备筐",N(对接源_01水果!$V649)&lt;&gt;0)),1,0)</f>
        <v>0</v>
      </c>
      <c r="W649" s="3">
        <f t="shared" si="184"/>
        <v>8</v>
      </c>
      <c r="X649" s="3">
        <f>IF(AND($L649=1,AND(对接源_01水果!$X649="自备筐",N(对接源_01水果!$T649)&lt;&gt;0)),1,0)</f>
        <v>0</v>
      </c>
      <c r="Y649" s="3">
        <f t="shared" si="185"/>
        <v>0</v>
      </c>
      <c r="Z649" s="3">
        <f>IF(AND($M649=1,对接源_01水果!$D649="原料入库"),1,0)</f>
        <v>0</v>
      </c>
      <c r="AA649" s="3">
        <f t="shared" si="186"/>
        <v>24</v>
      </c>
      <c r="AB649" s="3">
        <f>IF(AND($M649=1,LEFT(对接源_01水果!$D649,4)="原料出库"),1,0)</f>
        <v>0</v>
      </c>
      <c r="AC649" s="3">
        <f t="shared" si="187"/>
        <v>0</v>
      </c>
      <c r="AD649" s="3">
        <f>IF(AND($M649=1,LEFT(对接源_01水果!$D649,4)="成品出库"),1,0)</f>
        <v>0</v>
      </c>
      <c r="AE649" s="3">
        <f t="shared" si="188"/>
        <v>0</v>
      </c>
      <c r="AF649" s="3">
        <f>IF(AND($N649=1,AND(LEFT(对接源_01水果!$D649,4)="包装物料",N(对接源_01水果!$K649)&lt;&gt;0)),1,0)</f>
        <v>0</v>
      </c>
      <c r="AG649" s="3">
        <f t="shared" si="189"/>
        <v>0</v>
      </c>
      <c r="AH649" s="3">
        <f>IF(AND($N649=1,AND(对接源_01水果!$D649="周转筐－销售出库",N(对接源_01水果!$K649)&lt;&gt;0)),1,0)</f>
        <v>0</v>
      </c>
      <c r="AI649" s="3">
        <f t="shared" si="190"/>
        <v>0</v>
      </c>
      <c r="AJ649" s="7"/>
      <c r="AL649" s="3">
        <f>IF(OR($AL$1="",对接源_01水果!$Y649="",对接源_01水果!$Y649&lt;&gt;$AL$1,对接源_01水果!$B649="",N(对接源_01水果!$AJ649)&lt;=0),0,IF(OR(N(对接源_01水果!$B649)&lt;$AL$2,N(对接源_01水果!$B649)&gt;$AL$3),0,1))</f>
        <v>0</v>
      </c>
      <c r="AM649" s="3">
        <f t="shared" si="191"/>
        <v>1</v>
      </c>
      <c r="AN649" s="3" t="str">
        <f>IF(对接源_01水果!$AC649="","",对接源_01水果!$AC649)</f>
        <v/>
      </c>
      <c r="AO649" s="3">
        <f t="shared" si="192"/>
        <v>0</v>
      </c>
      <c r="AP649" s="3">
        <f t="shared" si="193"/>
        <v>8</v>
      </c>
      <c r="AR649">
        <f t="shared" si="194"/>
        <v>0</v>
      </c>
      <c r="AS649">
        <f t="shared" si="195"/>
        <v>0</v>
      </c>
    </row>
    <row r="650" ht="14.25" customHeight="1" spans="1:45">
      <c r="A650" s="3" t="str">
        <f>IF(对接源_01水果!$C650="","",对接源_01水果!$C650)</f>
        <v/>
      </c>
      <c r="B650" s="3">
        <f t="shared" si="179"/>
        <v>0</v>
      </c>
      <c r="C650" s="3">
        <f t="shared" si="180"/>
        <v>18</v>
      </c>
      <c r="K650" s="3">
        <f>IF(OR($K$1="",对接源_01水果!$C650="",对接源_01水果!$C650&lt;&gt;$K$1,对接源_01水果!$B650=""),0,IF(OR(N(对接源_01水果!$B650)&lt;$K$2,N(对接源_01水果!$B650)&gt;$K$3),0,1))</f>
        <v>0</v>
      </c>
      <c r="L650" s="3">
        <f>IF(OR($L$1="",对接源_01水果!$C650="",对接源_01水果!$C650&lt;&gt;$L$1,对接源_01水果!$B650=""),0,IF(OR(N(对接源_01水果!$B650)&lt;$L$2,N(对接源_01水果!$B650)&gt;$L$3),0,1))</f>
        <v>0</v>
      </c>
      <c r="M650" s="3">
        <f>IF(OR($M$1="",对接源_01水果!$C650="",对接源_01水果!$C650&lt;&gt;$M$1,对接源_01水果!$B650=""),0,IF(OR(N(对接源_01水果!$B650)&lt;$M$2,N(对接源_01水果!$B650)&gt;$M$3),0,1))</f>
        <v>0</v>
      </c>
      <c r="N650" s="3">
        <f>IF(OR($N$1="",对接源_01水果!$C650="",对接源_01水果!$C650&lt;&gt;$N$1,对接源_01水果!$B650=""),0,IF(OR(N(对接源_01水果!$B650)&lt;$N$2,N(对接源_01水果!$B650)&gt;$N$3),0,1))</f>
        <v>0</v>
      </c>
      <c r="P650" s="3">
        <f>IF(AND($K650=1,AND(对接源_01水果!$X650="公司筐",N(对接源_01水果!$T650)&lt;&gt;0)),1,0)</f>
        <v>0</v>
      </c>
      <c r="Q650" s="3">
        <f t="shared" si="181"/>
        <v>0</v>
      </c>
      <c r="R650" s="3">
        <f>IF(AND($K650=1,AND(对接源_01水果!$X650="公司筐",N(对接源_01水果!$U650)&lt;&gt;0)),1,0)</f>
        <v>0</v>
      </c>
      <c r="S650" s="3">
        <f t="shared" si="182"/>
        <v>0</v>
      </c>
      <c r="T650" s="3">
        <f>IF(AND($K650=1,AND(对接源_01水果!$X650="公司筐",N(对接源_01水果!$V650)&lt;&gt;0)),1,0)</f>
        <v>0</v>
      </c>
      <c r="U650" s="3">
        <f t="shared" si="183"/>
        <v>19</v>
      </c>
      <c r="V650" s="3">
        <f>IF(AND($L650=1,AND(对接源_01水果!$X650="自备筐",N(对接源_01水果!$V650)&lt;&gt;0)),1,0)</f>
        <v>0</v>
      </c>
      <c r="W650" s="3">
        <f t="shared" si="184"/>
        <v>8</v>
      </c>
      <c r="X650" s="3">
        <f>IF(AND($L650=1,AND(对接源_01水果!$X650="自备筐",N(对接源_01水果!$T650)&lt;&gt;0)),1,0)</f>
        <v>0</v>
      </c>
      <c r="Y650" s="3">
        <f t="shared" si="185"/>
        <v>0</v>
      </c>
      <c r="Z650" s="3">
        <f>IF(AND($M650=1,对接源_01水果!$D650="原料入库"),1,0)</f>
        <v>0</v>
      </c>
      <c r="AA650" s="3">
        <f t="shared" si="186"/>
        <v>24</v>
      </c>
      <c r="AB650" s="3">
        <f>IF(AND($M650=1,LEFT(对接源_01水果!$D650,4)="原料出库"),1,0)</f>
        <v>0</v>
      </c>
      <c r="AC650" s="3">
        <f t="shared" si="187"/>
        <v>0</v>
      </c>
      <c r="AD650" s="3">
        <f>IF(AND($M650=1,LEFT(对接源_01水果!$D650,4)="成品出库"),1,0)</f>
        <v>0</v>
      </c>
      <c r="AE650" s="3">
        <f t="shared" si="188"/>
        <v>0</v>
      </c>
      <c r="AF650" s="3">
        <f>IF(AND($N650=1,AND(LEFT(对接源_01水果!$D650,4)="包装物料",N(对接源_01水果!$K650)&lt;&gt;0)),1,0)</f>
        <v>0</v>
      </c>
      <c r="AG650" s="3">
        <f t="shared" si="189"/>
        <v>0</v>
      </c>
      <c r="AH650" s="3">
        <f>IF(AND($N650=1,AND(对接源_01水果!$D650="周转筐－销售出库",N(对接源_01水果!$K650)&lt;&gt;0)),1,0)</f>
        <v>0</v>
      </c>
      <c r="AI650" s="3">
        <f t="shared" si="190"/>
        <v>0</v>
      </c>
      <c r="AJ650" s="7"/>
      <c r="AL650" s="3">
        <f>IF(OR($AL$1="",对接源_01水果!$Y650="",对接源_01水果!$Y650&lt;&gt;$AL$1,对接源_01水果!$B650="",N(对接源_01水果!$AJ650)&lt;=0),0,IF(OR(N(对接源_01水果!$B650)&lt;$AL$2,N(对接源_01水果!$B650)&gt;$AL$3),0,1))</f>
        <v>0</v>
      </c>
      <c r="AM650" s="3">
        <f t="shared" si="191"/>
        <v>1</v>
      </c>
      <c r="AN650" s="3" t="str">
        <f>IF(对接源_01水果!$AC650="","",对接源_01水果!$AC650)</f>
        <v/>
      </c>
      <c r="AO650" s="3">
        <f t="shared" si="192"/>
        <v>0</v>
      </c>
      <c r="AP650" s="3">
        <f t="shared" si="193"/>
        <v>8</v>
      </c>
      <c r="AR650">
        <f t="shared" si="194"/>
        <v>0</v>
      </c>
      <c r="AS650">
        <f t="shared" si="195"/>
        <v>0</v>
      </c>
    </row>
    <row r="651" ht="14.25" customHeight="1" spans="1:45">
      <c r="A651" s="3" t="str">
        <f>IF(对接源_01水果!$C651="","",对接源_01水果!$C651)</f>
        <v/>
      </c>
      <c r="B651" s="3">
        <f t="shared" si="179"/>
        <v>0</v>
      </c>
      <c r="C651" s="3">
        <f t="shared" si="180"/>
        <v>18</v>
      </c>
      <c r="K651" s="3">
        <f>IF(OR($K$1="",对接源_01水果!$C651="",对接源_01水果!$C651&lt;&gt;$K$1,对接源_01水果!$B651=""),0,IF(OR(N(对接源_01水果!$B651)&lt;$K$2,N(对接源_01水果!$B651)&gt;$K$3),0,1))</f>
        <v>0</v>
      </c>
      <c r="L651" s="3">
        <f>IF(OR($L$1="",对接源_01水果!$C651="",对接源_01水果!$C651&lt;&gt;$L$1,对接源_01水果!$B651=""),0,IF(OR(N(对接源_01水果!$B651)&lt;$L$2,N(对接源_01水果!$B651)&gt;$L$3),0,1))</f>
        <v>0</v>
      </c>
      <c r="M651" s="3">
        <f>IF(OR($M$1="",对接源_01水果!$C651="",对接源_01水果!$C651&lt;&gt;$M$1,对接源_01水果!$B651=""),0,IF(OR(N(对接源_01水果!$B651)&lt;$M$2,N(对接源_01水果!$B651)&gt;$M$3),0,1))</f>
        <v>0</v>
      </c>
      <c r="N651" s="3">
        <f>IF(OR($N$1="",对接源_01水果!$C651="",对接源_01水果!$C651&lt;&gt;$N$1,对接源_01水果!$B651=""),0,IF(OR(N(对接源_01水果!$B651)&lt;$N$2,N(对接源_01水果!$B651)&gt;$N$3),0,1))</f>
        <v>0</v>
      </c>
      <c r="P651" s="3">
        <f>IF(AND($K651=1,AND(对接源_01水果!$X651="公司筐",N(对接源_01水果!$T651)&lt;&gt;0)),1,0)</f>
        <v>0</v>
      </c>
      <c r="Q651" s="3">
        <f t="shared" si="181"/>
        <v>0</v>
      </c>
      <c r="R651" s="3">
        <f>IF(AND($K651=1,AND(对接源_01水果!$X651="公司筐",N(对接源_01水果!$U651)&lt;&gt;0)),1,0)</f>
        <v>0</v>
      </c>
      <c r="S651" s="3">
        <f t="shared" si="182"/>
        <v>0</v>
      </c>
      <c r="T651" s="3">
        <f>IF(AND($K651=1,AND(对接源_01水果!$X651="公司筐",N(对接源_01水果!$V651)&lt;&gt;0)),1,0)</f>
        <v>0</v>
      </c>
      <c r="U651" s="3">
        <f t="shared" si="183"/>
        <v>19</v>
      </c>
      <c r="V651" s="3">
        <f>IF(AND($L651=1,AND(对接源_01水果!$X651="自备筐",N(对接源_01水果!$V651)&lt;&gt;0)),1,0)</f>
        <v>0</v>
      </c>
      <c r="W651" s="3">
        <f t="shared" si="184"/>
        <v>8</v>
      </c>
      <c r="X651" s="3">
        <f>IF(AND($L651=1,AND(对接源_01水果!$X651="自备筐",N(对接源_01水果!$T651)&lt;&gt;0)),1,0)</f>
        <v>0</v>
      </c>
      <c r="Y651" s="3">
        <f t="shared" si="185"/>
        <v>0</v>
      </c>
      <c r="Z651" s="3">
        <f>IF(AND($M651=1,对接源_01水果!$D651="原料入库"),1,0)</f>
        <v>0</v>
      </c>
      <c r="AA651" s="3">
        <f t="shared" si="186"/>
        <v>24</v>
      </c>
      <c r="AB651" s="3">
        <f>IF(AND($M651=1,LEFT(对接源_01水果!$D651,4)="原料出库"),1,0)</f>
        <v>0</v>
      </c>
      <c r="AC651" s="3">
        <f t="shared" si="187"/>
        <v>0</v>
      </c>
      <c r="AD651" s="3">
        <f>IF(AND($M651=1,LEFT(对接源_01水果!$D651,4)="成品出库"),1,0)</f>
        <v>0</v>
      </c>
      <c r="AE651" s="3">
        <f t="shared" si="188"/>
        <v>0</v>
      </c>
      <c r="AF651" s="3">
        <f>IF(AND($N651=1,AND(LEFT(对接源_01水果!$D651,4)="包装物料",N(对接源_01水果!$K651)&lt;&gt;0)),1,0)</f>
        <v>0</v>
      </c>
      <c r="AG651" s="3">
        <f t="shared" si="189"/>
        <v>0</v>
      </c>
      <c r="AH651" s="3">
        <f>IF(AND($N651=1,AND(对接源_01水果!$D651="周转筐－销售出库",N(对接源_01水果!$K651)&lt;&gt;0)),1,0)</f>
        <v>0</v>
      </c>
      <c r="AI651" s="3">
        <f t="shared" si="190"/>
        <v>0</v>
      </c>
      <c r="AJ651" s="7"/>
      <c r="AL651" s="3">
        <f>IF(OR($AL$1="",对接源_01水果!$Y651="",对接源_01水果!$Y651&lt;&gt;$AL$1,对接源_01水果!$B651="",N(对接源_01水果!$AJ651)&lt;=0),0,IF(OR(N(对接源_01水果!$B651)&lt;$AL$2,N(对接源_01水果!$B651)&gt;$AL$3),0,1))</f>
        <v>0</v>
      </c>
      <c r="AM651" s="3">
        <f t="shared" si="191"/>
        <v>1</v>
      </c>
      <c r="AN651" s="3" t="str">
        <f>IF(对接源_01水果!$AC651="","",对接源_01水果!$AC651)</f>
        <v/>
      </c>
      <c r="AO651" s="3">
        <f t="shared" si="192"/>
        <v>0</v>
      </c>
      <c r="AP651" s="3">
        <f t="shared" si="193"/>
        <v>8</v>
      </c>
      <c r="AR651">
        <f t="shared" si="194"/>
        <v>0</v>
      </c>
      <c r="AS651">
        <f t="shared" si="195"/>
        <v>0</v>
      </c>
    </row>
    <row r="652" ht="14.25" customHeight="1" spans="1:45">
      <c r="A652" s="3" t="str">
        <f>IF(对接源_01水果!$C652="","",对接源_01水果!$C652)</f>
        <v/>
      </c>
      <c r="B652" s="3">
        <f t="shared" si="179"/>
        <v>0</v>
      </c>
      <c r="C652" s="3">
        <f t="shared" si="180"/>
        <v>18</v>
      </c>
      <c r="K652" s="3">
        <f>IF(OR($K$1="",对接源_01水果!$C652="",对接源_01水果!$C652&lt;&gt;$K$1,对接源_01水果!$B652=""),0,IF(OR(N(对接源_01水果!$B652)&lt;$K$2,N(对接源_01水果!$B652)&gt;$K$3),0,1))</f>
        <v>0</v>
      </c>
      <c r="L652" s="3">
        <f>IF(OR($L$1="",对接源_01水果!$C652="",对接源_01水果!$C652&lt;&gt;$L$1,对接源_01水果!$B652=""),0,IF(OR(N(对接源_01水果!$B652)&lt;$L$2,N(对接源_01水果!$B652)&gt;$L$3),0,1))</f>
        <v>0</v>
      </c>
      <c r="M652" s="3">
        <f>IF(OR($M$1="",对接源_01水果!$C652="",对接源_01水果!$C652&lt;&gt;$M$1,对接源_01水果!$B652=""),0,IF(OR(N(对接源_01水果!$B652)&lt;$M$2,N(对接源_01水果!$B652)&gt;$M$3),0,1))</f>
        <v>0</v>
      </c>
      <c r="N652" s="3">
        <f>IF(OR($N$1="",对接源_01水果!$C652="",对接源_01水果!$C652&lt;&gt;$N$1,对接源_01水果!$B652=""),0,IF(OR(N(对接源_01水果!$B652)&lt;$N$2,N(对接源_01水果!$B652)&gt;$N$3),0,1))</f>
        <v>0</v>
      </c>
      <c r="P652" s="3">
        <f>IF(AND($K652=1,AND(对接源_01水果!$X652="公司筐",N(对接源_01水果!$T652)&lt;&gt;0)),1,0)</f>
        <v>0</v>
      </c>
      <c r="Q652" s="3">
        <f t="shared" si="181"/>
        <v>0</v>
      </c>
      <c r="R652" s="3">
        <f>IF(AND($K652=1,AND(对接源_01水果!$X652="公司筐",N(对接源_01水果!$U652)&lt;&gt;0)),1,0)</f>
        <v>0</v>
      </c>
      <c r="S652" s="3">
        <f t="shared" si="182"/>
        <v>0</v>
      </c>
      <c r="T652" s="3">
        <f>IF(AND($K652=1,AND(对接源_01水果!$X652="公司筐",N(对接源_01水果!$V652)&lt;&gt;0)),1,0)</f>
        <v>0</v>
      </c>
      <c r="U652" s="3">
        <f t="shared" si="183"/>
        <v>19</v>
      </c>
      <c r="V652" s="3">
        <f>IF(AND($L652=1,AND(对接源_01水果!$X652="自备筐",N(对接源_01水果!$V652)&lt;&gt;0)),1,0)</f>
        <v>0</v>
      </c>
      <c r="W652" s="3">
        <f t="shared" si="184"/>
        <v>8</v>
      </c>
      <c r="X652" s="3">
        <f>IF(AND($L652=1,AND(对接源_01水果!$X652="自备筐",N(对接源_01水果!$T652)&lt;&gt;0)),1,0)</f>
        <v>0</v>
      </c>
      <c r="Y652" s="3">
        <f t="shared" si="185"/>
        <v>0</v>
      </c>
      <c r="Z652" s="3">
        <f>IF(AND($M652=1,对接源_01水果!$D652="原料入库"),1,0)</f>
        <v>0</v>
      </c>
      <c r="AA652" s="3">
        <f t="shared" si="186"/>
        <v>24</v>
      </c>
      <c r="AB652" s="3">
        <f>IF(AND($M652=1,LEFT(对接源_01水果!$D652,4)="原料出库"),1,0)</f>
        <v>0</v>
      </c>
      <c r="AC652" s="3">
        <f t="shared" si="187"/>
        <v>0</v>
      </c>
      <c r="AD652" s="3">
        <f>IF(AND($M652=1,LEFT(对接源_01水果!$D652,4)="成品出库"),1,0)</f>
        <v>0</v>
      </c>
      <c r="AE652" s="3">
        <f t="shared" si="188"/>
        <v>0</v>
      </c>
      <c r="AF652" s="3">
        <f>IF(AND($N652=1,AND(LEFT(对接源_01水果!$D652,4)="包装物料",N(对接源_01水果!$K652)&lt;&gt;0)),1,0)</f>
        <v>0</v>
      </c>
      <c r="AG652" s="3">
        <f t="shared" si="189"/>
        <v>0</v>
      </c>
      <c r="AH652" s="3">
        <f>IF(AND($N652=1,AND(对接源_01水果!$D652="周转筐－销售出库",N(对接源_01水果!$K652)&lt;&gt;0)),1,0)</f>
        <v>0</v>
      </c>
      <c r="AI652" s="3">
        <f t="shared" si="190"/>
        <v>0</v>
      </c>
      <c r="AJ652" s="7"/>
      <c r="AL652" s="3">
        <f>IF(OR($AL$1="",对接源_01水果!$Y652="",对接源_01水果!$Y652&lt;&gt;$AL$1,对接源_01水果!$B652="",N(对接源_01水果!$AJ652)&lt;=0),0,IF(OR(N(对接源_01水果!$B652)&lt;$AL$2,N(对接源_01水果!$B652)&gt;$AL$3),0,1))</f>
        <v>0</v>
      </c>
      <c r="AM652" s="3">
        <f t="shared" si="191"/>
        <v>1</v>
      </c>
      <c r="AN652" s="3" t="str">
        <f>IF(对接源_01水果!$AC652="","",对接源_01水果!$AC652)</f>
        <v/>
      </c>
      <c r="AO652" s="3">
        <f t="shared" si="192"/>
        <v>0</v>
      </c>
      <c r="AP652" s="3">
        <f t="shared" si="193"/>
        <v>8</v>
      </c>
      <c r="AR652">
        <f t="shared" si="194"/>
        <v>0</v>
      </c>
      <c r="AS652">
        <f t="shared" si="195"/>
        <v>0</v>
      </c>
    </row>
    <row r="653" ht="14.25" customHeight="1" spans="1:45">
      <c r="A653" s="3" t="str">
        <f>IF(对接源_01水果!$C653="","",对接源_01水果!$C653)</f>
        <v/>
      </c>
      <c r="B653" s="3">
        <f t="shared" si="179"/>
        <v>0</v>
      </c>
      <c r="C653" s="3">
        <f t="shared" si="180"/>
        <v>18</v>
      </c>
      <c r="K653" s="3">
        <f>IF(OR($K$1="",对接源_01水果!$C653="",对接源_01水果!$C653&lt;&gt;$K$1,对接源_01水果!$B653=""),0,IF(OR(N(对接源_01水果!$B653)&lt;$K$2,N(对接源_01水果!$B653)&gt;$K$3),0,1))</f>
        <v>0</v>
      </c>
      <c r="L653" s="3">
        <f>IF(OR($L$1="",对接源_01水果!$C653="",对接源_01水果!$C653&lt;&gt;$L$1,对接源_01水果!$B653=""),0,IF(OR(N(对接源_01水果!$B653)&lt;$L$2,N(对接源_01水果!$B653)&gt;$L$3),0,1))</f>
        <v>0</v>
      </c>
      <c r="M653" s="3">
        <f>IF(OR($M$1="",对接源_01水果!$C653="",对接源_01水果!$C653&lt;&gt;$M$1,对接源_01水果!$B653=""),0,IF(OR(N(对接源_01水果!$B653)&lt;$M$2,N(对接源_01水果!$B653)&gt;$M$3),0,1))</f>
        <v>0</v>
      </c>
      <c r="N653" s="3">
        <f>IF(OR($N$1="",对接源_01水果!$C653="",对接源_01水果!$C653&lt;&gt;$N$1,对接源_01水果!$B653=""),0,IF(OR(N(对接源_01水果!$B653)&lt;$N$2,N(对接源_01水果!$B653)&gt;$N$3),0,1))</f>
        <v>0</v>
      </c>
      <c r="P653" s="3">
        <f>IF(AND($K653=1,AND(对接源_01水果!$X653="公司筐",N(对接源_01水果!$T653)&lt;&gt;0)),1,0)</f>
        <v>0</v>
      </c>
      <c r="Q653" s="3">
        <f t="shared" si="181"/>
        <v>0</v>
      </c>
      <c r="R653" s="3">
        <f>IF(AND($K653=1,AND(对接源_01水果!$X653="公司筐",N(对接源_01水果!$U653)&lt;&gt;0)),1,0)</f>
        <v>0</v>
      </c>
      <c r="S653" s="3">
        <f t="shared" si="182"/>
        <v>0</v>
      </c>
      <c r="T653" s="3">
        <f>IF(AND($K653=1,AND(对接源_01水果!$X653="公司筐",N(对接源_01水果!$V653)&lt;&gt;0)),1,0)</f>
        <v>0</v>
      </c>
      <c r="U653" s="3">
        <f t="shared" si="183"/>
        <v>19</v>
      </c>
      <c r="V653" s="3">
        <f>IF(AND($L653=1,AND(对接源_01水果!$X653="自备筐",N(对接源_01水果!$V653)&lt;&gt;0)),1,0)</f>
        <v>0</v>
      </c>
      <c r="W653" s="3">
        <f t="shared" si="184"/>
        <v>8</v>
      </c>
      <c r="X653" s="3">
        <f>IF(AND($L653=1,AND(对接源_01水果!$X653="自备筐",N(对接源_01水果!$T653)&lt;&gt;0)),1,0)</f>
        <v>0</v>
      </c>
      <c r="Y653" s="3">
        <f t="shared" si="185"/>
        <v>0</v>
      </c>
      <c r="Z653" s="3">
        <f>IF(AND($M653=1,对接源_01水果!$D653="原料入库"),1,0)</f>
        <v>0</v>
      </c>
      <c r="AA653" s="3">
        <f t="shared" si="186"/>
        <v>24</v>
      </c>
      <c r="AB653" s="3">
        <f>IF(AND($M653=1,LEFT(对接源_01水果!$D653,4)="原料出库"),1,0)</f>
        <v>0</v>
      </c>
      <c r="AC653" s="3">
        <f t="shared" si="187"/>
        <v>0</v>
      </c>
      <c r="AD653" s="3">
        <f>IF(AND($M653=1,LEFT(对接源_01水果!$D653,4)="成品出库"),1,0)</f>
        <v>0</v>
      </c>
      <c r="AE653" s="3">
        <f t="shared" si="188"/>
        <v>0</v>
      </c>
      <c r="AF653" s="3">
        <f>IF(AND($N653=1,AND(LEFT(对接源_01水果!$D653,4)="包装物料",N(对接源_01水果!$K653)&lt;&gt;0)),1,0)</f>
        <v>0</v>
      </c>
      <c r="AG653" s="3">
        <f t="shared" si="189"/>
        <v>0</v>
      </c>
      <c r="AH653" s="3">
        <f>IF(AND($N653=1,AND(对接源_01水果!$D653="周转筐－销售出库",N(对接源_01水果!$K653)&lt;&gt;0)),1,0)</f>
        <v>0</v>
      </c>
      <c r="AI653" s="3">
        <f t="shared" si="190"/>
        <v>0</v>
      </c>
      <c r="AJ653" s="7"/>
      <c r="AL653" s="3">
        <f>IF(OR($AL$1="",对接源_01水果!$Y653="",对接源_01水果!$Y653&lt;&gt;$AL$1,对接源_01水果!$B653="",N(对接源_01水果!$AJ653)&lt;=0),0,IF(OR(N(对接源_01水果!$B653)&lt;$AL$2,N(对接源_01水果!$B653)&gt;$AL$3),0,1))</f>
        <v>0</v>
      </c>
      <c r="AM653" s="3">
        <f t="shared" si="191"/>
        <v>1</v>
      </c>
      <c r="AN653" s="3" t="str">
        <f>IF(对接源_01水果!$AC653="","",对接源_01水果!$AC653)</f>
        <v/>
      </c>
      <c r="AO653" s="3">
        <f t="shared" si="192"/>
        <v>0</v>
      </c>
      <c r="AP653" s="3">
        <f t="shared" si="193"/>
        <v>8</v>
      </c>
      <c r="AR653">
        <f t="shared" si="194"/>
        <v>0</v>
      </c>
      <c r="AS653">
        <f t="shared" si="195"/>
        <v>0</v>
      </c>
    </row>
    <row r="654" ht="14.25" customHeight="1" spans="1:45">
      <c r="A654" s="3" t="str">
        <f>IF(对接源_01水果!$C654="","",对接源_01水果!$C654)</f>
        <v/>
      </c>
      <c r="B654" s="3">
        <f t="shared" si="179"/>
        <v>0</v>
      </c>
      <c r="C654" s="3">
        <f t="shared" si="180"/>
        <v>18</v>
      </c>
      <c r="K654" s="3">
        <f>IF(OR($K$1="",对接源_01水果!$C654="",对接源_01水果!$C654&lt;&gt;$K$1,对接源_01水果!$B654=""),0,IF(OR(N(对接源_01水果!$B654)&lt;$K$2,N(对接源_01水果!$B654)&gt;$K$3),0,1))</f>
        <v>0</v>
      </c>
      <c r="L654" s="3">
        <f>IF(OR($L$1="",对接源_01水果!$C654="",对接源_01水果!$C654&lt;&gt;$L$1,对接源_01水果!$B654=""),0,IF(OR(N(对接源_01水果!$B654)&lt;$L$2,N(对接源_01水果!$B654)&gt;$L$3),0,1))</f>
        <v>0</v>
      </c>
      <c r="M654" s="3">
        <f>IF(OR($M$1="",对接源_01水果!$C654="",对接源_01水果!$C654&lt;&gt;$M$1,对接源_01水果!$B654=""),0,IF(OR(N(对接源_01水果!$B654)&lt;$M$2,N(对接源_01水果!$B654)&gt;$M$3),0,1))</f>
        <v>0</v>
      </c>
      <c r="N654" s="3">
        <f>IF(OR($N$1="",对接源_01水果!$C654="",对接源_01水果!$C654&lt;&gt;$N$1,对接源_01水果!$B654=""),0,IF(OR(N(对接源_01水果!$B654)&lt;$N$2,N(对接源_01水果!$B654)&gt;$N$3),0,1))</f>
        <v>0</v>
      </c>
      <c r="P654" s="3">
        <f>IF(AND($K654=1,AND(对接源_01水果!$X654="公司筐",N(对接源_01水果!$T654)&lt;&gt;0)),1,0)</f>
        <v>0</v>
      </c>
      <c r="Q654" s="3">
        <f t="shared" si="181"/>
        <v>0</v>
      </c>
      <c r="R654" s="3">
        <f>IF(AND($K654=1,AND(对接源_01水果!$X654="公司筐",N(对接源_01水果!$U654)&lt;&gt;0)),1,0)</f>
        <v>0</v>
      </c>
      <c r="S654" s="3">
        <f t="shared" si="182"/>
        <v>0</v>
      </c>
      <c r="T654" s="3">
        <f>IF(AND($K654=1,AND(对接源_01水果!$X654="公司筐",N(对接源_01水果!$V654)&lt;&gt;0)),1,0)</f>
        <v>0</v>
      </c>
      <c r="U654" s="3">
        <f t="shared" si="183"/>
        <v>19</v>
      </c>
      <c r="V654" s="3">
        <f>IF(AND($L654=1,AND(对接源_01水果!$X654="自备筐",N(对接源_01水果!$V654)&lt;&gt;0)),1,0)</f>
        <v>0</v>
      </c>
      <c r="W654" s="3">
        <f t="shared" si="184"/>
        <v>8</v>
      </c>
      <c r="X654" s="3">
        <f>IF(AND($L654=1,AND(对接源_01水果!$X654="自备筐",N(对接源_01水果!$T654)&lt;&gt;0)),1,0)</f>
        <v>0</v>
      </c>
      <c r="Y654" s="3">
        <f t="shared" si="185"/>
        <v>0</v>
      </c>
      <c r="Z654" s="3">
        <f>IF(AND($M654=1,对接源_01水果!$D654="原料入库"),1,0)</f>
        <v>0</v>
      </c>
      <c r="AA654" s="3">
        <f t="shared" si="186"/>
        <v>24</v>
      </c>
      <c r="AB654" s="3">
        <f>IF(AND($M654=1,LEFT(对接源_01水果!$D654,4)="原料出库"),1,0)</f>
        <v>0</v>
      </c>
      <c r="AC654" s="3">
        <f t="shared" si="187"/>
        <v>0</v>
      </c>
      <c r="AD654" s="3">
        <f>IF(AND($M654=1,LEFT(对接源_01水果!$D654,4)="成品出库"),1,0)</f>
        <v>0</v>
      </c>
      <c r="AE654" s="3">
        <f t="shared" si="188"/>
        <v>0</v>
      </c>
      <c r="AF654" s="3">
        <f>IF(AND($N654=1,AND(LEFT(对接源_01水果!$D654,4)="包装物料",N(对接源_01水果!$K654)&lt;&gt;0)),1,0)</f>
        <v>0</v>
      </c>
      <c r="AG654" s="3">
        <f t="shared" si="189"/>
        <v>0</v>
      </c>
      <c r="AH654" s="3">
        <f>IF(AND($N654=1,AND(对接源_01水果!$D654="周转筐－销售出库",N(对接源_01水果!$K654)&lt;&gt;0)),1,0)</f>
        <v>0</v>
      </c>
      <c r="AI654" s="3">
        <f t="shared" si="190"/>
        <v>0</v>
      </c>
      <c r="AJ654" s="7"/>
      <c r="AL654" s="3">
        <f>IF(OR($AL$1="",对接源_01水果!$Y654="",对接源_01水果!$Y654&lt;&gt;$AL$1,对接源_01水果!$B654="",N(对接源_01水果!$AJ654)&lt;=0),0,IF(OR(N(对接源_01水果!$B654)&lt;$AL$2,N(对接源_01水果!$B654)&gt;$AL$3),0,1))</f>
        <v>0</v>
      </c>
      <c r="AM654" s="3">
        <f t="shared" si="191"/>
        <v>1</v>
      </c>
      <c r="AN654" s="3" t="str">
        <f>IF(对接源_01水果!$AC654="","",对接源_01水果!$AC654)</f>
        <v/>
      </c>
      <c r="AO654" s="3">
        <f t="shared" si="192"/>
        <v>0</v>
      </c>
      <c r="AP654" s="3">
        <f t="shared" si="193"/>
        <v>8</v>
      </c>
      <c r="AR654">
        <f t="shared" si="194"/>
        <v>0</v>
      </c>
      <c r="AS654">
        <f t="shared" si="195"/>
        <v>0</v>
      </c>
    </row>
    <row r="655" ht="14.25" customHeight="1" spans="1:45">
      <c r="A655" s="3" t="str">
        <f>IF(对接源_01水果!$C655="","",对接源_01水果!$C655)</f>
        <v/>
      </c>
      <c r="B655" s="3">
        <f t="shared" si="179"/>
        <v>0</v>
      </c>
      <c r="C655" s="3">
        <f t="shared" si="180"/>
        <v>18</v>
      </c>
      <c r="K655" s="3">
        <f>IF(OR($K$1="",对接源_01水果!$C655="",对接源_01水果!$C655&lt;&gt;$K$1,对接源_01水果!$B655=""),0,IF(OR(N(对接源_01水果!$B655)&lt;$K$2,N(对接源_01水果!$B655)&gt;$K$3),0,1))</f>
        <v>0</v>
      </c>
      <c r="L655" s="3">
        <f>IF(OR($L$1="",对接源_01水果!$C655="",对接源_01水果!$C655&lt;&gt;$L$1,对接源_01水果!$B655=""),0,IF(OR(N(对接源_01水果!$B655)&lt;$L$2,N(对接源_01水果!$B655)&gt;$L$3),0,1))</f>
        <v>0</v>
      </c>
      <c r="M655" s="3">
        <f>IF(OR($M$1="",对接源_01水果!$C655="",对接源_01水果!$C655&lt;&gt;$M$1,对接源_01水果!$B655=""),0,IF(OR(N(对接源_01水果!$B655)&lt;$M$2,N(对接源_01水果!$B655)&gt;$M$3),0,1))</f>
        <v>0</v>
      </c>
      <c r="N655" s="3">
        <f>IF(OR($N$1="",对接源_01水果!$C655="",对接源_01水果!$C655&lt;&gt;$N$1,对接源_01水果!$B655=""),0,IF(OR(N(对接源_01水果!$B655)&lt;$N$2,N(对接源_01水果!$B655)&gt;$N$3),0,1))</f>
        <v>0</v>
      </c>
      <c r="P655" s="3">
        <f>IF(AND($K655=1,AND(对接源_01水果!$X655="公司筐",N(对接源_01水果!$T655)&lt;&gt;0)),1,0)</f>
        <v>0</v>
      </c>
      <c r="Q655" s="3">
        <f t="shared" si="181"/>
        <v>0</v>
      </c>
      <c r="R655" s="3">
        <f>IF(AND($K655=1,AND(对接源_01水果!$X655="公司筐",N(对接源_01水果!$U655)&lt;&gt;0)),1,0)</f>
        <v>0</v>
      </c>
      <c r="S655" s="3">
        <f t="shared" si="182"/>
        <v>0</v>
      </c>
      <c r="T655" s="3">
        <f>IF(AND($K655=1,AND(对接源_01水果!$X655="公司筐",N(对接源_01水果!$V655)&lt;&gt;0)),1,0)</f>
        <v>0</v>
      </c>
      <c r="U655" s="3">
        <f t="shared" si="183"/>
        <v>19</v>
      </c>
      <c r="V655" s="3">
        <f>IF(AND($L655=1,AND(对接源_01水果!$X655="自备筐",N(对接源_01水果!$V655)&lt;&gt;0)),1,0)</f>
        <v>0</v>
      </c>
      <c r="W655" s="3">
        <f t="shared" si="184"/>
        <v>8</v>
      </c>
      <c r="X655" s="3">
        <f>IF(AND($L655=1,AND(对接源_01水果!$X655="自备筐",N(对接源_01水果!$T655)&lt;&gt;0)),1,0)</f>
        <v>0</v>
      </c>
      <c r="Y655" s="3">
        <f t="shared" si="185"/>
        <v>0</v>
      </c>
      <c r="Z655" s="3">
        <f>IF(AND($M655=1,对接源_01水果!$D655="原料入库"),1,0)</f>
        <v>0</v>
      </c>
      <c r="AA655" s="3">
        <f t="shared" si="186"/>
        <v>24</v>
      </c>
      <c r="AB655" s="3">
        <f>IF(AND($M655=1,LEFT(对接源_01水果!$D655,4)="原料出库"),1,0)</f>
        <v>0</v>
      </c>
      <c r="AC655" s="3">
        <f t="shared" si="187"/>
        <v>0</v>
      </c>
      <c r="AD655" s="3">
        <f>IF(AND($M655=1,LEFT(对接源_01水果!$D655,4)="成品出库"),1,0)</f>
        <v>0</v>
      </c>
      <c r="AE655" s="3">
        <f t="shared" si="188"/>
        <v>0</v>
      </c>
      <c r="AF655" s="3">
        <f>IF(AND($N655=1,AND(LEFT(对接源_01水果!$D655,4)="包装物料",N(对接源_01水果!$K655)&lt;&gt;0)),1,0)</f>
        <v>0</v>
      </c>
      <c r="AG655" s="3">
        <f t="shared" si="189"/>
        <v>0</v>
      </c>
      <c r="AH655" s="3">
        <f>IF(AND($N655=1,AND(对接源_01水果!$D655="周转筐－销售出库",N(对接源_01水果!$K655)&lt;&gt;0)),1,0)</f>
        <v>0</v>
      </c>
      <c r="AI655" s="3">
        <f t="shared" si="190"/>
        <v>0</v>
      </c>
      <c r="AJ655" s="7"/>
      <c r="AL655" s="3">
        <f>IF(OR($AL$1="",对接源_01水果!$Y655="",对接源_01水果!$Y655&lt;&gt;$AL$1,对接源_01水果!$B655="",N(对接源_01水果!$AJ655)&lt;=0),0,IF(OR(N(对接源_01水果!$B655)&lt;$AL$2,N(对接源_01水果!$B655)&gt;$AL$3),0,1))</f>
        <v>0</v>
      </c>
      <c r="AM655" s="3">
        <f t="shared" si="191"/>
        <v>1</v>
      </c>
      <c r="AN655" s="3" t="str">
        <f>IF(对接源_01水果!$AC655="","",对接源_01水果!$AC655)</f>
        <v/>
      </c>
      <c r="AO655" s="3">
        <f t="shared" si="192"/>
        <v>0</v>
      </c>
      <c r="AP655" s="3">
        <f t="shared" si="193"/>
        <v>8</v>
      </c>
      <c r="AR655">
        <f t="shared" si="194"/>
        <v>0</v>
      </c>
      <c r="AS655">
        <f t="shared" si="195"/>
        <v>0</v>
      </c>
    </row>
    <row r="656" ht="14.25" customHeight="1" spans="1:45">
      <c r="A656" s="3" t="str">
        <f>IF(对接源_01水果!$C656="","",对接源_01水果!$C656)</f>
        <v/>
      </c>
      <c r="B656" s="3">
        <f t="shared" si="179"/>
        <v>0</v>
      </c>
      <c r="C656" s="3">
        <f t="shared" si="180"/>
        <v>18</v>
      </c>
      <c r="K656" s="3">
        <f>IF(OR($K$1="",对接源_01水果!$C656="",对接源_01水果!$C656&lt;&gt;$K$1,对接源_01水果!$B656=""),0,IF(OR(N(对接源_01水果!$B656)&lt;$K$2,N(对接源_01水果!$B656)&gt;$K$3),0,1))</f>
        <v>0</v>
      </c>
      <c r="L656" s="3">
        <f>IF(OR($L$1="",对接源_01水果!$C656="",对接源_01水果!$C656&lt;&gt;$L$1,对接源_01水果!$B656=""),0,IF(OR(N(对接源_01水果!$B656)&lt;$L$2,N(对接源_01水果!$B656)&gt;$L$3),0,1))</f>
        <v>0</v>
      </c>
      <c r="M656" s="3">
        <f>IF(OR($M$1="",对接源_01水果!$C656="",对接源_01水果!$C656&lt;&gt;$M$1,对接源_01水果!$B656=""),0,IF(OR(N(对接源_01水果!$B656)&lt;$M$2,N(对接源_01水果!$B656)&gt;$M$3),0,1))</f>
        <v>0</v>
      </c>
      <c r="N656" s="3">
        <f>IF(OR($N$1="",对接源_01水果!$C656="",对接源_01水果!$C656&lt;&gt;$N$1,对接源_01水果!$B656=""),0,IF(OR(N(对接源_01水果!$B656)&lt;$N$2,N(对接源_01水果!$B656)&gt;$N$3),0,1))</f>
        <v>0</v>
      </c>
      <c r="P656" s="3">
        <f>IF(AND($K656=1,AND(对接源_01水果!$X656="公司筐",N(对接源_01水果!$T656)&lt;&gt;0)),1,0)</f>
        <v>0</v>
      </c>
      <c r="Q656" s="3">
        <f t="shared" si="181"/>
        <v>0</v>
      </c>
      <c r="R656" s="3">
        <f>IF(AND($K656=1,AND(对接源_01水果!$X656="公司筐",N(对接源_01水果!$U656)&lt;&gt;0)),1,0)</f>
        <v>0</v>
      </c>
      <c r="S656" s="3">
        <f t="shared" si="182"/>
        <v>0</v>
      </c>
      <c r="T656" s="3">
        <f>IF(AND($K656=1,AND(对接源_01水果!$X656="公司筐",N(对接源_01水果!$V656)&lt;&gt;0)),1,0)</f>
        <v>0</v>
      </c>
      <c r="U656" s="3">
        <f t="shared" si="183"/>
        <v>19</v>
      </c>
      <c r="V656" s="3">
        <f>IF(AND($L656=1,AND(对接源_01水果!$X656="自备筐",N(对接源_01水果!$V656)&lt;&gt;0)),1,0)</f>
        <v>0</v>
      </c>
      <c r="W656" s="3">
        <f t="shared" si="184"/>
        <v>8</v>
      </c>
      <c r="X656" s="3">
        <f>IF(AND($L656=1,AND(对接源_01水果!$X656="自备筐",N(对接源_01水果!$T656)&lt;&gt;0)),1,0)</f>
        <v>0</v>
      </c>
      <c r="Y656" s="3">
        <f t="shared" si="185"/>
        <v>0</v>
      </c>
      <c r="Z656" s="3">
        <f>IF(AND($M656=1,对接源_01水果!$D656="原料入库"),1,0)</f>
        <v>0</v>
      </c>
      <c r="AA656" s="3">
        <f t="shared" si="186"/>
        <v>24</v>
      </c>
      <c r="AB656" s="3">
        <f>IF(AND($M656=1,LEFT(对接源_01水果!$D656,4)="原料出库"),1,0)</f>
        <v>0</v>
      </c>
      <c r="AC656" s="3">
        <f t="shared" si="187"/>
        <v>0</v>
      </c>
      <c r="AD656" s="3">
        <f>IF(AND($M656=1,LEFT(对接源_01水果!$D656,4)="成品出库"),1,0)</f>
        <v>0</v>
      </c>
      <c r="AE656" s="3">
        <f t="shared" si="188"/>
        <v>0</v>
      </c>
      <c r="AF656" s="3">
        <f>IF(AND($N656=1,AND(LEFT(对接源_01水果!$D656,4)="包装物料",N(对接源_01水果!$K656)&lt;&gt;0)),1,0)</f>
        <v>0</v>
      </c>
      <c r="AG656" s="3">
        <f t="shared" si="189"/>
        <v>0</v>
      </c>
      <c r="AH656" s="3">
        <f>IF(AND($N656=1,AND(对接源_01水果!$D656="周转筐－销售出库",N(对接源_01水果!$K656)&lt;&gt;0)),1,0)</f>
        <v>0</v>
      </c>
      <c r="AI656" s="3">
        <f t="shared" si="190"/>
        <v>0</v>
      </c>
      <c r="AJ656" s="7"/>
      <c r="AL656" s="3">
        <f>IF(OR($AL$1="",对接源_01水果!$Y656="",对接源_01水果!$Y656&lt;&gt;$AL$1,对接源_01水果!$B656="",N(对接源_01水果!$AJ656)&lt;=0),0,IF(OR(N(对接源_01水果!$B656)&lt;$AL$2,N(对接源_01水果!$B656)&gt;$AL$3),0,1))</f>
        <v>0</v>
      </c>
      <c r="AM656" s="3">
        <f t="shared" si="191"/>
        <v>1</v>
      </c>
      <c r="AN656" s="3" t="str">
        <f>IF(对接源_01水果!$AC656="","",对接源_01水果!$AC656)</f>
        <v/>
      </c>
      <c r="AO656" s="3">
        <f t="shared" si="192"/>
        <v>0</v>
      </c>
      <c r="AP656" s="3">
        <f t="shared" si="193"/>
        <v>8</v>
      </c>
      <c r="AR656">
        <f t="shared" si="194"/>
        <v>0</v>
      </c>
      <c r="AS656">
        <f t="shared" si="195"/>
        <v>0</v>
      </c>
    </row>
    <row r="657" ht="14.25" customHeight="1" spans="1:45">
      <c r="A657" s="3" t="str">
        <f>IF(对接源_01水果!$C657="","",对接源_01水果!$C657)</f>
        <v/>
      </c>
      <c r="B657" s="3">
        <f t="shared" si="179"/>
        <v>0</v>
      </c>
      <c r="C657" s="3">
        <f t="shared" si="180"/>
        <v>18</v>
      </c>
      <c r="K657" s="3">
        <f>IF(OR($K$1="",对接源_01水果!$C657="",对接源_01水果!$C657&lt;&gt;$K$1,对接源_01水果!$B657=""),0,IF(OR(N(对接源_01水果!$B657)&lt;$K$2,N(对接源_01水果!$B657)&gt;$K$3),0,1))</f>
        <v>0</v>
      </c>
      <c r="L657" s="3">
        <f>IF(OR($L$1="",对接源_01水果!$C657="",对接源_01水果!$C657&lt;&gt;$L$1,对接源_01水果!$B657=""),0,IF(OR(N(对接源_01水果!$B657)&lt;$L$2,N(对接源_01水果!$B657)&gt;$L$3),0,1))</f>
        <v>0</v>
      </c>
      <c r="M657" s="3">
        <f>IF(OR($M$1="",对接源_01水果!$C657="",对接源_01水果!$C657&lt;&gt;$M$1,对接源_01水果!$B657=""),0,IF(OR(N(对接源_01水果!$B657)&lt;$M$2,N(对接源_01水果!$B657)&gt;$M$3),0,1))</f>
        <v>0</v>
      </c>
      <c r="N657" s="3">
        <f>IF(OR($N$1="",对接源_01水果!$C657="",对接源_01水果!$C657&lt;&gt;$N$1,对接源_01水果!$B657=""),0,IF(OR(N(对接源_01水果!$B657)&lt;$N$2,N(对接源_01水果!$B657)&gt;$N$3),0,1))</f>
        <v>0</v>
      </c>
      <c r="P657" s="3">
        <f>IF(AND($K657=1,AND(对接源_01水果!$X657="公司筐",N(对接源_01水果!$T657)&lt;&gt;0)),1,0)</f>
        <v>0</v>
      </c>
      <c r="Q657" s="3">
        <f t="shared" si="181"/>
        <v>0</v>
      </c>
      <c r="R657" s="3">
        <f>IF(AND($K657=1,AND(对接源_01水果!$X657="公司筐",N(对接源_01水果!$U657)&lt;&gt;0)),1,0)</f>
        <v>0</v>
      </c>
      <c r="S657" s="3">
        <f t="shared" si="182"/>
        <v>0</v>
      </c>
      <c r="T657" s="3">
        <f>IF(AND($K657=1,AND(对接源_01水果!$X657="公司筐",N(对接源_01水果!$V657)&lt;&gt;0)),1,0)</f>
        <v>0</v>
      </c>
      <c r="U657" s="3">
        <f t="shared" si="183"/>
        <v>19</v>
      </c>
      <c r="V657" s="3">
        <f>IF(AND($L657=1,AND(对接源_01水果!$X657="自备筐",N(对接源_01水果!$V657)&lt;&gt;0)),1,0)</f>
        <v>0</v>
      </c>
      <c r="W657" s="3">
        <f t="shared" si="184"/>
        <v>8</v>
      </c>
      <c r="X657" s="3">
        <f>IF(AND($L657=1,AND(对接源_01水果!$X657="自备筐",N(对接源_01水果!$T657)&lt;&gt;0)),1,0)</f>
        <v>0</v>
      </c>
      <c r="Y657" s="3">
        <f t="shared" si="185"/>
        <v>0</v>
      </c>
      <c r="Z657" s="3">
        <f>IF(AND($M657=1,对接源_01水果!$D657="原料入库"),1,0)</f>
        <v>0</v>
      </c>
      <c r="AA657" s="3">
        <f t="shared" si="186"/>
        <v>24</v>
      </c>
      <c r="AB657" s="3">
        <f>IF(AND($M657=1,LEFT(对接源_01水果!$D657,4)="原料出库"),1,0)</f>
        <v>0</v>
      </c>
      <c r="AC657" s="3">
        <f t="shared" si="187"/>
        <v>0</v>
      </c>
      <c r="AD657" s="3">
        <f>IF(AND($M657=1,LEFT(对接源_01水果!$D657,4)="成品出库"),1,0)</f>
        <v>0</v>
      </c>
      <c r="AE657" s="3">
        <f t="shared" si="188"/>
        <v>0</v>
      </c>
      <c r="AF657" s="3">
        <f>IF(AND($N657=1,AND(LEFT(对接源_01水果!$D657,4)="包装物料",N(对接源_01水果!$K657)&lt;&gt;0)),1,0)</f>
        <v>0</v>
      </c>
      <c r="AG657" s="3">
        <f t="shared" si="189"/>
        <v>0</v>
      </c>
      <c r="AH657" s="3">
        <f>IF(AND($N657=1,AND(对接源_01水果!$D657="周转筐－销售出库",N(对接源_01水果!$K657)&lt;&gt;0)),1,0)</f>
        <v>0</v>
      </c>
      <c r="AI657" s="3">
        <f t="shared" si="190"/>
        <v>0</v>
      </c>
      <c r="AJ657" s="7"/>
      <c r="AL657" s="3">
        <f>IF(OR($AL$1="",对接源_01水果!$Y657="",对接源_01水果!$Y657&lt;&gt;$AL$1,对接源_01水果!$B657="",N(对接源_01水果!$AJ657)&lt;=0),0,IF(OR(N(对接源_01水果!$B657)&lt;$AL$2,N(对接源_01水果!$B657)&gt;$AL$3),0,1))</f>
        <v>0</v>
      </c>
      <c r="AM657" s="3">
        <f t="shared" si="191"/>
        <v>1</v>
      </c>
      <c r="AN657" s="3" t="str">
        <f>IF(对接源_01水果!$AC657="","",对接源_01水果!$AC657)</f>
        <v/>
      </c>
      <c r="AO657" s="3">
        <f t="shared" si="192"/>
        <v>0</v>
      </c>
      <c r="AP657" s="3">
        <f t="shared" si="193"/>
        <v>8</v>
      </c>
      <c r="AR657">
        <f t="shared" si="194"/>
        <v>0</v>
      </c>
      <c r="AS657">
        <f t="shared" si="195"/>
        <v>0</v>
      </c>
    </row>
    <row r="658" ht="14.25" customHeight="1" spans="1:45">
      <c r="A658" s="3" t="str">
        <f>IF(对接源_01水果!$C658="","",对接源_01水果!$C658)</f>
        <v/>
      </c>
      <c r="B658" s="3">
        <f t="shared" si="179"/>
        <v>0</v>
      </c>
      <c r="C658" s="3">
        <f t="shared" si="180"/>
        <v>18</v>
      </c>
      <c r="K658" s="3">
        <f>IF(OR($K$1="",对接源_01水果!$C658="",对接源_01水果!$C658&lt;&gt;$K$1,对接源_01水果!$B658=""),0,IF(OR(N(对接源_01水果!$B658)&lt;$K$2,N(对接源_01水果!$B658)&gt;$K$3),0,1))</f>
        <v>0</v>
      </c>
      <c r="L658" s="3">
        <f>IF(OR($L$1="",对接源_01水果!$C658="",对接源_01水果!$C658&lt;&gt;$L$1,对接源_01水果!$B658=""),0,IF(OR(N(对接源_01水果!$B658)&lt;$L$2,N(对接源_01水果!$B658)&gt;$L$3),0,1))</f>
        <v>0</v>
      </c>
      <c r="M658" s="3">
        <f>IF(OR($M$1="",对接源_01水果!$C658="",对接源_01水果!$C658&lt;&gt;$M$1,对接源_01水果!$B658=""),0,IF(OR(N(对接源_01水果!$B658)&lt;$M$2,N(对接源_01水果!$B658)&gt;$M$3),0,1))</f>
        <v>0</v>
      </c>
      <c r="N658" s="3">
        <f>IF(OR($N$1="",对接源_01水果!$C658="",对接源_01水果!$C658&lt;&gt;$N$1,对接源_01水果!$B658=""),0,IF(OR(N(对接源_01水果!$B658)&lt;$N$2,N(对接源_01水果!$B658)&gt;$N$3),0,1))</f>
        <v>0</v>
      </c>
      <c r="P658" s="3">
        <f>IF(AND($K658=1,AND(对接源_01水果!$X658="公司筐",N(对接源_01水果!$T658)&lt;&gt;0)),1,0)</f>
        <v>0</v>
      </c>
      <c r="Q658" s="3">
        <f t="shared" si="181"/>
        <v>0</v>
      </c>
      <c r="R658" s="3">
        <f>IF(AND($K658=1,AND(对接源_01水果!$X658="公司筐",N(对接源_01水果!$U658)&lt;&gt;0)),1,0)</f>
        <v>0</v>
      </c>
      <c r="S658" s="3">
        <f t="shared" si="182"/>
        <v>0</v>
      </c>
      <c r="T658" s="3">
        <f>IF(AND($K658=1,AND(对接源_01水果!$X658="公司筐",N(对接源_01水果!$V658)&lt;&gt;0)),1,0)</f>
        <v>0</v>
      </c>
      <c r="U658" s="3">
        <f t="shared" si="183"/>
        <v>19</v>
      </c>
      <c r="V658" s="3">
        <f>IF(AND($L658=1,AND(对接源_01水果!$X658="自备筐",N(对接源_01水果!$V658)&lt;&gt;0)),1,0)</f>
        <v>0</v>
      </c>
      <c r="W658" s="3">
        <f t="shared" si="184"/>
        <v>8</v>
      </c>
      <c r="X658" s="3">
        <f>IF(AND($L658=1,AND(对接源_01水果!$X658="自备筐",N(对接源_01水果!$T658)&lt;&gt;0)),1,0)</f>
        <v>0</v>
      </c>
      <c r="Y658" s="3">
        <f t="shared" si="185"/>
        <v>0</v>
      </c>
      <c r="Z658" s="3">
        <f>IF(AND($M658=1,对接源_01水果!$D658="原料入库"),1,0)</f>
        <v>0</v>
      </c>
      <c r="AA658" s="3">
        <f t="shared" si="186"/>
        <v>24</v>
      </c>
      <c r="AB658" s="3">
        <f>IF(AND($M658=1,LEFT(对接源_01水果!$D658,4)="原料出库"),1,0)</f>
        <v>0</v>
      </c>
      <c r="AC658" s="3">
        <f t="shared" si="187"/>
        <v>0</v>
      </c>
      <c r="AD658" s="3">
        <f>IF(AND($M658=1,LEFT(对接源_01水果!$D658,4)="成品出库"),1,0)</f>
        <v>0</v>
      </c>
      <c r="AE658" s="3">
        <f t="shared" si="188"/>
        <v>0</v>
      </c>
      <c r="AF658" s="3">
        <f>IF(AND($N658=1,AND(LEFT(对接源_01水果!$D658,4)="包装物料",N(对接源_01水果!$K658)&lt;&gt;0)),1,0)</f>
        <v>0</v>
      </c>
      <c r="AG658" s="3">
        <f t="shared" si="189"/>
        <v>0</v>
      </c>
      <c r="AH658" s="3">
        <f>IF(AND($N658=1,AND(对接源_01水果!$D658="周转筐－销售出库",N(对接源_01水果!$K658)&lt;&gt;0)),1,0)</f>
        <v>0</v>
      </c>
      <c r="AI658" s="3">
        <f t="shared" si="190"/>
        <v>0</v>
      </c>
      <c r="AJ658" s="7"/>
      <c r="AL658" s="3">
        <f>IF(OR($AL$1="",对接源_01水果!$Y658="",对接源_01水果!$Y658&lt;&gt;$AL$1,对接源_01水果!$B658="",N(对接源_01水果!$AJ658)&lt;=0),0,IF(OR(N(对接源_01水果!$B658)&lt;$AL$2,N(对接源_01水果!$B658)&gt;$AL$3),0,1))</f>
        <v>0</v>
      </c>
      <c r="AM658" s="3">
        <f t="shared" si="191"/>
        <v>1</v>
      </c>
      <c r="AN658" s="3" t="str">
        <f>IF(对接源_01水果!$AC658="","",对接源_01水果!$AC658)</f>
        <v/>
      </c>
      <c r="AO658" s="3">
        <f t="shared" si="192"/>
        <v>0</v>
      </c>
      <c r="AP658" s="3">
        <f t="shared" si="193"/>
        <v>8</v>
      </c>
      <c r="AR658">
        <f t="shared" si="194"/>
        <v>0</v>
      </c>
      <c r="AS658">
        <f t="shared" si="195"/>
        <v>0</v>
      </c>
    </row>
    <row r="659" ht="14.25" customHeight="1" spans="1:45">
      <c r="A659" s="3" t="str">
        <f>IF(对接源_01水果!$C659="","",对接源_01水果!$C659)</f>
        <v/>
      </c>
      <c r="B659" s="3">
        <f t="shared" si="179"/>
        <v>0</v>
      </c>
      <c r="C659" s="3">
        <f t="shared" si="180"/>
        <v>18</v>
      </c>
      <c r="K659" s="3">
        <f>IF(OR($K$1="",对接源_01水果!$C659="",对接源_01水果!$C659&lt;&gt;$K$1,对接源_01水果!$B659=""),0,IF(OR(N(对接源_01水果!$B659)&lt;$K$2,N(对接源_01水果!$B659)&gt;$K$3),0,1))</f>
        <v>0</v>
      </c>
      <c r="L659" s="3">
        <f>IF(OR($L$1="",对接源_01水果!$C659="",对接源_01水果!$C659&lt;&gt;$L$1,对接源_01水果!$B659=""),0,IF(OR(N(对接源_01水果!$B659)&lt;$L$2,N(对接源_01水果!$B659)&gt;$L$3),0,1))</f>
        <v>0</v>
      </c>
      <c r="M659" s="3">
        <f>IF(OR($M$1="",对接源_01水果!$C659="",对接源_01水果!$C659&lt;&gt;$M$1,对接源_01水果!$B659=""),0,IF(OR(N(对接源_01水果!$B659)&lt;$M$2,N(对接源_01水果!$B659)&gt;$M$3),0,1))</f>
        <v>0</v>
      </c>
      <c r="N659" s="3">
        <f>IF(OR($N$1="",对接源_01水果!$C659="",对接源_01水果!$C659&lt;&gt;$N$1,对接源_01水果!$B659=""),0,IF(OR(N(对接源_01水果!$B659)&lt;$N$2,N(对接源_01水果!$B659)&gt;$N$3),0,1))</f>
        <v>0</v>
      </c>
      <c r="P659" s="3">
        <f>IF(AND($K659=1,AND(对接源_01水果!$X659="公司筐",N(对接源_01水果!$T659)&lt;&gt;0)),1,0)</f>
        <v>0</v>
      </c>
      <c r="Q659" s="3">
        <f t="shared" si="181"/>
        <v>0</v>
      </c>
      <c r="R659" s="3">
        <f>IF(AND($K659=1,AND(对接源_01水果!$X659="公司筐",N(对接源_01水果!$U659)&lt;&gt;0)),1,0)</f>
        <v>0</v>
      </c>
      <c r="S659" s="3">
        <f t="shared" si="182"/>
        <v>0</v>
      </c>
      <c r="T659" s="3">
        <f>IF(AND($K659=1,AND(对接源_01水果!$X659="公司筐",N(对接源_01水果!$V659)&lt;&gt;0)),1,0)</f>
        <v>0</v>
      </c>
      <c r="U659" s="3">
        <f t="shared" si="183"/>
        <v>19</v>
      </c>
      <c r="V659" s="3">
        <f>IF(AND($L659=1,AND(对接源_01水果!$X659="自备筐",N(对接源_01水果!$V659)&lt;&gt;0)),1,0)</f>
        <v>0</v>
      </c>
      <c r="W659" s="3">
        <f t="shared" si="184"/>
        <v>8</v>
      </c>
      <c r="X659" s="3">
        <f>IF(AND($L659=1,AND(对接源_01水果!$X659="自备筐",N(对接源_01水果!$T659)&lt;&gt;0)),1,0)</f>
        <v>0</v>
      </c>
      <c r="Y659" s="3">
        <f t="shared" si="185"/>
        <v>0</v>
      </c>
      <c r="Z659" s="3">
        <f>IF(AND($M659=1,对接源_01水果!$D659="原料入库"),1,0)</f>
        <v>0</v>
      </c>
      <c r="AA659" s="3">
        <f t="shared" si="186"/>
        <v>24</v>
      </c>
      <c r="AB659" s="3">
        <f>IF(AND($M659=1,LEFT(对接源_01水果!$D659,4)="原料出库"),1,0)</f>
        <v>0</v>
      </c>
      <c r="AC659" s="3">
        <f t="shared" si="187"/>
        <v>0</v>
      </c>
      <c r="AD659" s="3">
        <f>IF(AND($M659=1,LEFT(对接源_01水果!$D659,4)="成品出库"),1,0)</f>
        <v>0</v>
      </c>
      <c r="AE659" s="3">
        <f t="shared" si="188"/>
        <v>0</v>
      </c>
      <c r="AF659" s="3">
        <f>IF(AND($N659=1,AND(LEFT(对接源_01水果!$D659,4)="包装物料",N(对接源_01水果!$K659)&lt;&gt;0)),1,0)</f>
        <v>0</v>
      </c>
      <c r="AG659" s="3">
        <f t="shared" si="189"/>
        <v>0</v>
      </c>
      <c r="AH659" s="3">
        <f>IF(AND($N659=1,AND(对接源_01水果!$D659="周转筐－销售出库",N(对接源_01水果!$K659)&lt;&gt;0)),1,0)</f>
        <v>0</v>
      </c>
      <c r="AI659" s="3">
        <f t="shared" si="190"/>
        <v>0</v>
      </c>
      <c r="AJ659" s="7"/>
      <c r="AL659" s="3">
        <f>IF(OR($AL$1="",对接源_01水果!$Y659="",对接源_01水果!$Y659&lt;&gt;$AL$1,对接源_01水果!$B659="",N(对接源_01水果!$AJ659)&lt;=0),0,IF(OR(N(对接源_01水果!$B659)&lt;$AL$2,N(对接源_01水果!$B659)&gt;$AL$3),0,1))</f>
        <v>0</v>
      </c>
      <c r="AM659" s="3">
        <f t="shared" si="191"/>
        <v>1</v>
      </c>
      <c r="AN659" s="3" t="str">
        <f>IF(对接源_01水果!$AC659="","",对接源_01水果!$AC659)</f>
        <v/>
      </c>
      <c r="AO659" s="3">
        <f t="shared" si="192"/>
        <v>0</v>
      </c>
      <c r="AP659" s="3">
        <f t="shared" si="193"/>
        <v>8</v>
      </c>
      <c r="AR659">
        <f t="shared" si="194"/>
        <v>0</v>
      </c>
      <c r="AS659">
        <f t="shared" si="195"/>
        <v>0</v>
      </c>
    </row>
    <row r="660" ht="14.25" customHeight="1" spans="1:45">
      <c r="A660" s="3" t="str">
        <f>IF(对接源_01水果!$C660="","",对接源_01水果!$C660)</f>
        <v/>
      </c>
      <c r="B660" s="3">
        <f t="shared" si="179"/>
        <v>0</v>
      </c>
      <c r="C660" s="3">
        <f t="shared" si="180"/>
        <v>18</v>
      </c>
      <c r="K660" s="3">
        <f>IF(OR($K$1="",对接源_01水果!$C660="",对接源_01水果!$C660&lt;&gt;$K$1,对接源_01水果!$B660=""),0,IF(OR(N(对接源_01水果!$B660)&lt;$K$2,N(对接源_01水果!$B660)&gt;$K$3),0,1))</f>
        <v>0</v>
      </c>
      <c r="L660" s="3">
        <f>IF(OR($L$1="",对接源_01水果!$C660="",对接源_01水果!$C660&lt;&gt;$L$1,对接源_01水果!$B660=""),0,IF(OR(N(对接源_01水果!$B660)&lt;$L$2,N(对接源_01水果!$B660)&gt;$L$3),0,1))</f>
        <v>0</v>
      </c>
      <c r="M660" s="3">
        <f>IF(OR($M$1="",对接源_01水果!$C660="",对接源_01水果!$C660&lt;&gt;$M$1,对接源_01水果!$B660=""),0,IF(OR(N(对接源_01水果!$B660)&lt;$M$2,N(对接源_01水果!$B660)&gt;$M$3),0,1))</f>
        <v>0</v>
      </c>
      <c r="N660" s="3">
        <f>IF(OR($N$1="",对接源_01水果!$C660="",对接源_01水果!$C660&lt;&gt;$N$1,对接源_01水果!$B660=""),0,IF(OR(N(对接源_01水果!$B660)&lt;$N$2,N(对接源_01水果!$B660)&gt;$N$3),0,1))</f>
        <v>0</v>
      </c>
      <c r="P660" s="3">
        <f>IF(AND($K660=1,AND(对接源_01水果!$X660="公司筐",N(对接源_01水果!$T660)&lt;&gt;0)),1,0)</f>
        <v>0</v>
      </c>
      <c r="Q660" s="3">
        <f t="shared" si="181"/>
        <v>0</v>
      </c>
      <c r="R660" s="3">
        <f>IF(AND($K660=1,AND(对接源_01水果!$X660="公司筐",N(对接源_01水果!$U660)&lt;&gt;0)),1,0)</f>
        <v>0</v>
      </c>
      <c r="S660" s="3">
        <f t="shared" si="182"/>
        <v>0</v>
      </c>
      <c r="T660" s="3">
        <f>IF(AND($K660=1,AND(对接源_01水果!$X660="公司筐",N(对接源_01水果!$V660)&lt;&gt;0)),1,0)</f>
        <v>0</v>
      </c>
      <c r="U660" s="3">
        <f t="shared" si="183"/>
        <v>19</v>
      </c>
      <c r="V660" s="3">
        <f>IF(AND($L660=1,AND(对接源_01水果!$X660="自备筐",N(对接源_01水果!$V660)&lt;&gt;0)),1,0)</f>
        <v>0</v>
      </c>
      <c r="W660" s="3">
        <f t="shared" si="184"/>
        <v>8</v>
      </c>
      <c r="X660" s="3">
        <f>IF(AND($L660=1,AND(对接源_01水果!$X660="自备筐",N(对接源_01水果!$T660)&lt;&gt;0)),1,0)</f>
        <v>0</v>
      </c>
      <c r="Y660" s="3">
        <f t="shared" si="185"/>
        <v>0</v>
      </c>
      <c r="Z660" s="3">
        <f>IF(AND($M660=1,对接源_01水果!$D660="原料入库"),1,0)</f>
        <v>0</v>
      </c>
      <c r="AA660" s="3">
        <f t="shared" si="186"/>
        <v>24</v>
      </c>
      <c r="AB660" s="3">
        <f>IF(AND($M660=1,LEFT(对接源_01水果!$D660,4)="原料出库"),1,0)</f>
        <v>0</v>
      </c>
      <c r="AC660" s="3">
        <f t="shared" si="187"/>
        <v>0</v>
      </c>
      <c r="AD660" s="3">
        <f>IF(AND($M660=1,LEFT(对接源_01水果!$D660,4)="成品出库"),1,0)</f>
        <v>0</v>
      </c>
      <c r="AE660" s="3">
        <f t="shared" si="188"/>
        <v>0</v>
      </c>
      <c r="AF660" s="3">
        <f>IF(AND($N660=1,AND(LEFT(对接源_01水果!$D660,4)="包装物料",N(对接源_01水果!$K660)&lt;&gt;0)),1,0)</f>
        <v>0</v>
      </c>
      <c r="AG660" s="3">
        <f t="shared" si="189"/>
        <v>0</v>
      </c>
      <c r="AH660" s="3">
        <f>IF(AND($N660=1,AND(对接源_01水果!$D660="周转筐－销售出库",N(对接源_01水果!$K660)&lt;&gt;0)),1,0)</f>
        <v>0</v>
      </c>
      <c r="AI660" s="3">
        <f t="shared" si="190"/>
        <v>0</v>
      </c>
      <c r="AJ660" s="7"/>
      <c r="AL660" s="3">
        <f>IF(OR($AL$1="",对接源_01水果!$Y660="",对接源_01水果!$Y660&lt;&gt;$AL$1,对接源_01水果!$B660="",N(对接源_01水果!$AJ660)&lt;=0),0,IF(OR(N(对接源_01水果!$B660)&lt;$AL$2,N(对接源_01水果!$B660)&gt;$AL$3),0,1))</f>
        <v>0</v>
      </c>
      <c r="AM660" s="3">
        <f t="shared" si="191"/>
        <v>1</v>
      </c>
      <c r="AN660" s="3" t="str">
        <f>IF(对接源_01水果!$AC660="","",对接源_01水果!$AC660)</f>
        <v/>
      </c>
      <c r="AO660" s="3">
        <f t="shared" si="192"/>
        <v>0</v>
      </c>
      <c r="AP660" s="3">
        <f t="shared" si="193"/>
        <v>8</v>
      </c>
      <c r="AR660">
        <f t="shared" si="194"/>
        <v>0</v>
      </c>
      <c r="AS660">
        <f t="shared" si="195"/>
        <v>0</v>
      </c>
    </row>
    <row r="661" ht="14.25" customHeight="1" spans="1:45">
      <c r="A661" s="3" t="str">
        <f>IF(对接源_01水果!$C661="","",对接源_01水果!$C661)</f>
        <v/>
      </c>
      <c r="B661" s="3">
        <f t="shared" si="179"/>
        <v>0</v>
      </c>
      <c r="C661" s="3">
        <f t="shared" si="180"/>
        <v>18</v>
      </c>
      <c r="K661" s="3">
        <f>IF(OR($K$1="",对接源_01水果!$C661="",对接源_01水果!$C661&lt;&gt;$K$1,对接源_01水果!$B661=""),0,IF(OR(N(对接源_01水果!$B661)&lt;$K$2,N(对接源_01水果!$B661)&gt;$K$3),0,1))</f>
        <v>0</v>
      </c>
      <c r="L661" s="3">
        <f>IF(OR($L$1="",对接源_01水果!$C661="",对接源_01水果!$C661&lt;&gt;$L$1,对接源_01水果!$B661=""),0,IF(OR(N(对接源_01水果!$B661)&lt;$L$2,N(对接源_01水果!$B661)&gt;$L$3),0,1))</f>
        <v>0</v>
      </c>
      <c r="M661" s="3">
        <f>IF(OR($M$1="",对接源_01水果!$C661="",对接源_01水果!$C661&lt;&gt;$M$1,对接源_01水果!$B661=""),0,IF(OR(N(对接源_01水果!$B661)&lt;$M$2,N(对接源_01水果!$B661)&gt;$M$3),0,1))</f>
        <v>0</v>
      </c>
      <c r="N661" s="3">
        <f>IF(OR($N$1="",对接源_01水果!$C661="",对接源_01水果!$C661&lt;&gt;$N$1,对接源_01水果!$B661=""),0,IF(OR(N(对接源_01水果!$B661)&lt;$N$2,N(对接源_01水果!$B661)&gt;$N$3),0,1))</f>
        <v>0</v>
      </c>
      <c r="P661" s="3">
        <f>IF(AND($K661=1,AND(对接源_01水果!$X661="公司筐",N(对接源_01水果!$T661)&lt;&gt;0)),1,0)</f>
        <v>0</v>
      </c>
      <c r="Q661" s="3">
        <f t="shared" si="181"/>
        <v>0</v>
      </c>
      <c r="R661" s="3">
        <f>IF(AND($K661=1,AND(对接源_01水果!$X661="公司筐",N(对接源_01水果!$U661)&lt;&gt;0)),1,0)</f>
        <v>0</v>
      </c>
      <c r="S661" s="3">
        <f t="shared" si="182"/>
        <v>0</v>
      </c>
      <c r="T661" s="3">
        <f>IF(AND($K661=1,AND(对接源_01水果!$X661="公司筐",N(对接源_01水果!$V661)&lt;&gt;0)),1,0)</f>
        <v>0</v>
      </c>
      <c r="U661" s="3">
        <f t="shared" si="183"/>
        <v>19</v>
      </c>
      <c r="V661" s="3">
        <f>IF(AND($L661=1,AND(对接源_01水果!$X661="自备筐",N(对接源_01水果!$V661)&lt;&gt;0)),1,0)</f>
        <v>0</v>
      </c>
      <c r="W661" s="3">
        <f t="shared" si="184"/>
        <v>8</v>
      </c>
      <c r="X661" s="3">
        <f>IF(AND($L661=1,AND(对接源_01水果!$X661="自备筐",N(对接源_01水果!$T661)&lt;&gt;0)),1,0)</f>
        <v>0</v>
      </c>
      <c r="Y661" s="3">
        <f t="shared" si="185"/>
        <v>0</v>
      </c>
      <c r="Z661" s="3">
        <f>IF(AND($M661=1,对接源_01水果!$D661="原料入库"),1,0)</f>
        <v>0</v>
      </c>
      <c r="AA661" s="3">
        <f t="shared" si="186"/>
        <v>24</v>
      </c>
      <c r="AB661" s="3">
        <f>IF(AND($M661=1,LEFT(对接源_01水果!$D661,4)="原料出库"),1,0)</f>
        <v>0</v>
      </c>
      <c r="AC661" s="3">
        <f t="shared" si="187"/>
        <v>0</v>
      </c>
      <c r="AD661" s="3">
        <f>IF(AND($M661=1,LEFT(对接源_01水果!$D661,4)="成品出库"),1,0)</f>
        <v>0</v>
      </c>
      <c r="AE661" s="3">
        <f t="shared" si="188"/>
        <v>0</v>
      </c>
      <c r="AF661" s="3">
        <f>IF(AND($N661=1,AND(LEFT(对接源_01水果!$D661,4)="包装物料",N(对接源_01水果!$K661)&lt;&gt;0)),1,0)</f>
        <v>0</v>
      </c>
      <c r="AG661" s="3">
        <f t="shared" si="189"/>
        <v>0</v>
      </c>
      <c r="AH661" s="3">
        <f>IF(AND($N661=1,AND(对接源_01水果!$D661="周转筐－销售出库",N(对接源_01水果!$K661)&lt;&gt;0)),1,0)</f>
        <v>0</v>
      </c>
      <c r="AI661" s="3">
        <f t="shared" si="190"/>
        <v>0</v>
      </c>
      <c r="AJ661" s="7"/>
      <c r="AL661" s="3">
        <f>IF(OR($AL$1="",对接源_01水果!$Y661="",对接源_01水果!$Y661&lt;&gt;$AL$1,对接源_01水果!$B661="",N(对接源_01水果!$AJ661)&lt;=0),0,IF(OR(N(对接源_01水果!$B661)&lt;$AL$2,N(对接源_01水果!$B661)&gt;$AL$3),0,1))</f>
        <v>0</v>
      </c>
      <c r="AM661" s="3">
        <f t="shared" si="191"/>
        <v>1</v>
      </c>
      <c r="AN661" s="3" t="str">
        <f>IF(对接源_01水果!$AC661="","",对接源_01水果!$AC661)</f>
        <v/>
      </c>
      <c r="AO661" s="3">
        <f t="shared" si="192"/>
        <v>0</v>
      </c>
      <c r="AP661" s="3">
        <f t="shared" si="193"/>
        <v>8</v>
      </c>
      <c r="AR661">
        <f t="shared" si="194"/>
        <v>0</v>
      </c>
      <c r="AS661">
        <f t="shared" si="195"/>
        <v>0</v>
      </c>
    </row>
    <row r="662" ht="14.25" customHeight="1" spans="1:45">
      <c r="A662" s="3" t="str">
        <f>IF(对接源_01水果!$C662="","",对接源_01水果!$C662)</f>
        <v/>
      </c>
      <c r="B662" s="3">
        <f t="shared" si="179"/>
        <v>0</v>
      </c>
      <c r="C662" s="3">
        <f t="shared" si="180"/>
        <v>18</v>
      </c>
      <c r="K662" s="3">
        <f>IF(OR($K$1="",对接源_01水果!$C662="",对接源_01水果!$C662&lt;&gt;$K$1,对接源_01水果!$B662=""),0,IF(OR(N(对接源_01水果!$B662)&lt;$K$2,N(对接源_01水果!$B662)&gt;$K$3),0,1))</f>
        <v>0</v>
      </c>
      <c r="L662" s="3">
        <f>IF(OR($L$1="",对接源_01水果!$C662="",对接源_01水果!$C662&lt;&gt;$L$1,对接源_01水果!$B662=""),0,IF(OR(N(对接源_01水果!$B662)&lt;$L$2,N(对接源_01水果!$B662)&gt;$L$3),0,1))</f>
        <v>0</v>
      </c>
      <c r="M662" s="3">
        <f>IF(OR($M$1="",对接源_01水果!$C662="",对接源_01水果!$C662&lt;&gt;$M$1,对接源_01水果!$B662=""),0,IF(OR(N(对接源_01水果!$B662)&lt;$M$2,N(对接源_01水果!$B662)&gt;$M$3),0,1))</f>
        <v>0</v>
      </c>
      <c r="N662" s="3">
        <f>IF(OR($N$1="",对接源_01水果!$C662="",对接源_01水果!$C662&lt;&gt;$N$1,对接源_01水果!$B662=""),0,IF(OR(N(对接源_01水果!$B662)&lt;$N$2,N(对接源_01水果!$B662)&gt;$N$3),0,1))</f>
        <v>0</v>
      </c>
      <c r="P662" s="3">
        <f>IF(AND($K662=1,AND(对接源_01水果!$X662="公司筐",N(对接源_01水果!$T662)&lt;&gt;0)),1,0)</f>
        <v>0</v>
      </c>
      <c r="Q662" s="3">
        <f t="shared" si="181"/>
        <v>0</v>
      </c>
      <c r="R662" s="3">
        <f>IF(AND($K662=1,AND(对接源_01水果!$X662="公司筐",N(对接源_01水果!$U662)&lt;&gt;0)),1,0)</f>
        <v>0</v>
      </c>
      <c r="S662" s="3">
        <f t="shared" si="182"/>
        <v>0</v>
      </c>
      <c r="T662" s="3">
        <f>IF(AND($K662=1,AND(对接源_01水果!$X662="公司筐",N(对接源_01水果!$V662)&lt;&gt;0)),1,0)</f>
        <v>0</v>
      </c>
      <c r="U662" s="3">
        <f t="shared" si="183"/>
        <v>19</v>
      </c>
      <c r="V662" s="3">
        <f>IF(AND($L662=1,AND(对接源_01水果!$X662="自备筐",N(对接源_01水果!$V662)&lt;&gt;0)),1,0)</f>
        <v>0</v>
      </c>
      <c r="W662" s="3">
        <f t="shared" si="184"/>
        <v>8</v>
      </c>
      <c r="X662" s="3">
        <f>IF(AND($L662=1,AND(对接源_01水果!$X662="自备筐",N(对接源_01水果!$T662)&lt;&gt;0)),1,0)</f>
        <v>0</v>
      </c>
      <c r="Y662" s="3">
        <f t="shared" si="185"/>
        <v>0</v>
      </c>
      <c r="Z662" s="3">
        <f>IF(AND($M662=1,对接源_01水果!$D662="原料入库"),1,0)</f>
        <v>0</v>
      </c>
      <c r="AA662" s="3">
        <f t="shared" si="186"/>
        <v>24</v>
      </c>
      <c r="AB662" s="3">
        <f>IF(AND($M662=1,LEFT(对接源_01水果!$D662,4)="原料出库"),1,0)</f>
        <v>0</v>
      </c>
      <c r="AC662" s="3">
        <f t="shared" si="187"/>
        <v>0</v>
      </c>
      <c r="AD662" s="3">
        <f>IF(AND($M662=1,LEFT(对接源_01水果!$D662,4)="成品出库"),1,0)</f>
        <v>0</v>
      </c>
      <c r="AE662" s="3">
        <f t="shared" si="188"/>
        <v>0</v>
      </c>
      <c r="AF662" s="3">
        <f>IF(AND($N662=1,AND(LEFT(对接源_01水果!$D662,4)="包装物料",N(对接源_01水果!$K662)&lt;&gt;0)),1,0)</f>
        <v>0</v>
      </c>
      <c r="AG662" s="3">
        <f t="shared" si="189"/>
        <v>0</v>
      </c>
      <c r="AH662" s="3">
        <f>IF(AND($N662=1,AND(对接源_01水果!$D662="周转筐－销售出库",N(对接源_01水果!$K662)&lt;&gt;0)),1,0)</f>
        <v>0</v>
      </c>
      <c r="AI662" s="3">
        <f t="shared" si="190"/>
        <v>0</v>
      </c>
      <c r="AJ662" s="7"/>
      <c r="AL662" s="3">
        <f>IF(OR($AL$1="",对接源_01水果!$Y662="",对接源_01水果!$Y662&lt;&gt;$AL$1,对接源_01水果!$B662="",N(对接源_01水果!$AJ662)&lt;=0),0,IF(OR(N(对接源_01水果!$B662)&lt;$AL$2,N(对接源_01水果!$B662)&gt;$AL$3),0,1))</f>
        <v>0</v>
      </c>
      <c r="AM662" s="3">
        <f t="shared" si="191"/>
        <v>1</v>
      </c>
      <c r="AN662" s="3" t="str">
        <f>IF(对接源_01水果!$AC662="","",对接源_01水果!$AC662)</f>
        <v/>
      </c>
      <c r="AO662" s="3">
        <f t="shared" si="192"/>
        <v>0</v>
      </c>
      <c r="AP662" s="3">
        <f t="shared" si="193"/>
        <v>8</v>
      </c>
      <c r="AR662">
        <f t="shared" si="194"/>
        <v>0</v>
      </c>
      <c r="AS662">
        <f t="shared" si="195"/>
        <v>0</v>
      </c>
    </row>
    <row r="663" ht="14.25" customHeight="1" spans="1:45">
      <c r="A663" s="3" t="str">
        <f>IF(对接源_01水果!$C663="","",对接源_01水果!$C663)</f>
        <v/>
      </c>
      <c r="B663" s="3">
        <f t="shared" si="179"/>
        <v>0</v>
      </c>
      <c r="C663" s="3">
        <f t="shared" si="180"/>
        <v>18</v>
      </c>
      <c r="K663" s="3">
        <f>IF(OR($K$1="",对接源_01水果!$C663="",对接源_01水果!$C663&lt;&gt;$K$1,对接源_01水果!$B663=""),0,IF(OR(N(对接源_01水果!$B663)&lt;$K$2,N(对接源_01水果!$B663)&gt;$K$3),0,1))</f>
        <v>0</v>
      </c>
      <c r="L663" s="3">
        <f>IF(OR($L$1="",对接源_01水果!$C663="",对接源_01水果!$C663&lt;&gt;$L$1,对接源_01水果!$B663=""),0,IF(OR(N(对接源_01水果!$B663)&lt;$L$2,N(对接源_01水果!$B663)&gt;$L$3),0,1))</f>
        <v>0</v>
      </c>
      <c r="M663" s="3">
        <f>IF(OR($M$1="",对接源_01水果!$C663="",对接源_01水果!$C663&lt;&gt;$M$1,对接源_01水果!$B663=""),0,IF(OR(N(对接源_01水果!$B663)&lt;$M$2,N(对接源_01水果!$B663)&gt;$M$3),0,1))</f>
        <v>0</v>
      </c>
      <c r="N663" s="3">
        <f>IF(OR($N$1="",对接源_01水果!$C663="",对接源_01水果!$C663&lt;&gt;$N$1,对接源_01水果!$B663=""),0,IF(OR(N(对接源_01水果!$B663)&lt;$N$2,N(对接源_01水果!$B663)&gt;$N$3),0,1))</f>
        <v>0</v>
      </c>
      <c r="P663" s="3">
        <f>IF(AND($K663=1,AND(对接源_01水果!$X663="公司筐",N(对接源_01水果!$T663)&lt;&gt;0)),1,0)</f>
        <v>0</v>
      </c>
      <c r="Q663" s="3">
        <f t="shared" si="181"/>
        <v>0</v>
      </c>
      <c r="R663" s="3">
        <f>IF(AND($K663=1,AND(对接源_01水果!$X663="公司筐",N(对接源_01水果!$U663)&lt;&gt;0)),1,0)</f>
        <v>0</v>
      </c>
      <c r="S663" s="3">
        <f t="shared" si="182"/>
        <v>0</v>
      </c>
      <c r="T663" s="3">
        <f>IF(AND($K663=1,AND(对接源_01水果!$X663="公司筐",N(对接源_01水果!$V663)&lt;&gt;0)),1,0)</f>
        <v>0</v>
      </c>
      <c r="U663" s="3">
        <f t="shared" si="183"/>
        <v>19</v>
      </c>
      <c r="V663" s="3">
        <f>IF(AND($L663=1,AND(对接源_01水果!$X663="自备筐",N(对接源_01水果!$V663)&lt;&gt;0)),1,0)</f>
        <v>0</v>
      </c>
      <c r="W663" s="3">
        <f t="shared" si="184"/>
        <v>8</v>
      </c>
      <c r="X663" s="3">
        <f>IF(AND($L663=1,AND(对接源_01水果!$X663="自备筐",N(对接源_01水果!$T663)&lt;&gt;0)),1,0)</f>
        <v>0</v>
      </c>
      <c r="Y663" s="3">
        <f t="shared" si="185"/>
        <v>0</v>
      </c>
      <c r="Z663" s="3">
        <f>IF(AND($M663=1,对接源_01水果!$D663="原料入库"),1,0)</f>
        <v>0</v>
      </c>
      <c r="AA663" s="3">
        <f t="shared" si="186"/>
        <v>24</v>
      </c>
      <c r="AB663" s="3">
        <f>IF(AND($M663=1,LEFT(对接源_01水果!$D663,4)="原料出库"),1,0)</f>
        <v>0</v>
      </c>
      <c r="AC663" s="3">
        <f t="shared" si="187"/>
        <v>0</v>
      </c>
      <c r="AD663" s="3">
        <f>IF(AND($M663=1,LEFT(对接源_01水果!$D663,4)="成品出库"),1,0)</f>
        <v>0</v>
      </c>
      <c r="AE663" s="3">
        <f t="shared" si="188"/>
        <v>0</v>
      </c>
      <c r="AF663" s="3">
        <f>IF(AND($N663=1,AND(LEFT(对接源_01水果!$D663,4)="包装物料",N(对接源_01水果!$K663)&lt;&gt;0)),1,0)</f>
        <v>0</v>
      </c>
      <c r="AG663" s="3">
        <f t="shared" si="189"/>
        <v>0</v>
      </c>
      <c r="AH663" s="3">
        <f>IF(AND($N663=1,AND(对接源_01水果!$D663="周转筐－销售出库",N(对接源_01水果!$K663)&lt;&gt;0)),1,0)</f>
        <v>0</v>
      </c>
      <c r="AI663" s="3">
        <f t="shared" si="190"/>
        <v>0</v>
      </c>
      <c r="AJ663" s="7"/>
      <c r="AL663" s="3">
        <f>IF(OR($AL$1="",对接源_01水果!$Y663="",对接源_01水果!$Y663&lt;&gt;$AL$1,对接源_01水果!$B663="",N(对接源_01水果!$AJ663)&lt;=0),0,IF(OR(N(对接源_01水果!$B663)&lt;$AL$2,N(对接源_01水果!$B663)&gt;$AL$3),0,1))</f>
        <v>0</v>
      </c>
      <c r="AM663" s="3">
        <f t="shared" si="191"/>
        <v>1</v>
      </c>
      <c r="AN663" s="3" t="str">
        <f>IF(对接源_01水果!$AC663="","",对接源_01水果!$AC663)</f>
        <v/>
      </c>
      <c r="AO663" s="3">
        <f t="shared" si="192"/>
        <v>0</v>
      </c>
      <c r="AP663" s="3">
        <f t="shared" si="193"/>
        <v>8</v>
      </c>
      <c r="AR663">
        <f t="shared" si="194"/>
        <v>0</v>
      </c>
      <c r="AS663">
        <f t="shared" si="195"/>
        <v>0</v>
      </c>
    </row>
    <row r="664" ht="14.25" customHeight="1" spans="1:45">
      <c r="A664" s="3" t="str">
        <f>IF(对接源_01水果!$C664="","",对接源_01水果!$C664)</f>
        <v/>
      </c>
      <c r="B664" s="3">
        <f t="shared" si="179"/>
        <v>0</v>
      </c>
      <c r="C664" s="3">
        <f t="shared" si="180"/>
        <v>18</v>
      </c>
      <c r="K664" s="3">
        <f>IF(OR($K$1="",对接源_01水果!$C664="",对接源_01水果!$C664&lt;&gt;$K$1,对接源_01水果!$B664=""),0,IF(OR(N(对接源_01水果!$B664)&lt;$K$2,N(对接源_01水果!$B664)&gt;$K$3),0,1))</f>
        <v>0</v>
      </c>
      <c r="L664" s="3">
        <f>IF(OR($L$1="",对接源_01水果!$C664="",对接源_01水果!$C664&lt;&gt;$L$1,对接源_01水果!$B664=""),0,IF(OR(N(对接源_01水果!$B664)&lt;$L$2,N(对接源_01水果!$B664)&gt;$L$3),0,1))</f>
        <v>0</v>
      </c>
      <c r="M664" s="3">
        <f>IF(OR($M$1="",对接源_01水果!$C664="",对接源_01水果!$C664&lt;&gt;$M$1,对接源_01水果!$B664=""),0,IF(OR(N(对接源_01水果!$B664)&lt;$M$2,N(对接源_01水果!$B664)&gt;$M$3),0,1))</f>
        <v>0</v>
      </c>
      <c r="N664" s="3">
        <f>IF(OR($N$1="",对接源_01水果!$C664="",对接源_01水果!$C664&lt;&gt;$N$1,对接源_01水果!$B664=""),0,IF(OR(N(对接源_01水果!$B664)&lt;$N$2,N(对接源_01水果!$B664)&gt;$N$3),0,1))</f>
        <v>0</v>
      </c>
      <c r="P664" s="3">
        <f>IF(AND($K664=1,AND(对接源_01水果!$X664="公司筐",N(对接源_01水果!$T664)&lt;&gt;0)),1,0)</f>
        <v>0</v>
      </c>
      <c r="Q664" s="3">
        <f t="shared" si="181"/>
        <v>0</v>
      </c>
      <c r="R664" s="3">
        <f>IF(AND($K664=1,AND(对接源_01水果!$X664="公司筐",N(对接源_01水果!$U664)&lt;&gt;0)),1,0)</f>
        <v>0</v>
      </c>
      <c r="S664" s="3">
        <f t="shared" si="182"/>
        <v>0</v>
      </c>
      <c r="T664" s="3">
        <f>IF(AND($K664=1,AND(对接源_01水果!$X664="公司筐",N(对接源_01水果!$V664)&lt;&gt;0)),1,0)</f>
        <v>0</v>
      </c>
      <c r="U664" s="3">
        <f t="shared" si="183"/>
        <v>19</v>
      </c>
      <c r="V664" s="3">
        <f>IF(AND($L664=1,AND(对接源_01水果!$X664="自备筐",N(对接源_01水果!$V664)&lt;&gt;0)),1,0)</f>
        <v>0</v>
      </c>
      <c r="W664" s="3">
        <f t="shared" si="184"/>
        <v>8</v>
      </c>
      <c r="X664" s="3">
        <f>IF(AND($L664=1,AND(对接源_01水果!$X664="自备筐",N(对接源_01水果!$T664)&lt;&gt;0)),1,0)</f>
        <v>0</v>
      </c>
      <c r="Y664" s="3">
        <f t="shared" si="185"/>
        <v>0</v>
      </c>
      <c r="Z664" s="3">
        <f>IF(AND($M664=1,对接源_01水果!$D664="原料入库"),1,0)</f>
        <v>0</v>
      </c>
      <c r="AA664" s="3">
        <f t="shared" si="186"/>
        <v>24</v>
      </c>
      <c r="AB664" s="3">
        <f>IF(AND($M664=1,LEFT(对接源_01水果!$D664,4)="原料出库"),1,0)</f>
        <v>0</v>
      </c>
      <c r="AC664" s="3">
        <f t="shared" si="187"/>
        <v>0</v>
      </c>
      <c r="AD664" s="3">
        <f>IF(AND($M664=1,LEFT(对接源_01水果!$D664,4)="成品出库"),1,0)</f>
        <v>0</v>
      </c>
      <c r="AE664" s="3">
        <f t="shared" si="188"/>
        <v>0</v>
      </c>
      <c r="AF664" s="3">
        <f>IF(AND($N664=1,AND(LEFT(对接源_01水果!$D664,4)="包装物料",N(对接源_01水果!$K664)&lt;&gt;0)),1,0)</f>
        <v>0</v>
      </c>
      <c r="AG664" s="3">
        <f t="shared" si="189"/>
        <v>0</v>
      </c>
      <c r="AH664" s="3">
        <f>IF(AND($N664=1,AND(对接源_01水果!$D664="周转筐－销售出库",N(对接源_01水果!$K664)&lt;&gt;0)),1,0)</f>
        <v>0</v>
      </c>
      <c r="AI664" s="3">
        <f t="shared" si="190"/>
        <v>0</v>
      </c>
      <c r="AJ664" s="7"/>
      <c r="AL664" s="3">
        <f>IF(OR($AL$1="",对接源_01水果!$Y664="",对接源_01水果!$Y664&lt;&gt;$AL$1,对接源_01水果!$B664="",N(对接源_01水果!$AJ664)&lt;=0),0,IF(OR(N(对接源_01水果!$B664)&lt;$AL$2,N(对接源_01水果!$B664)&gt;$AL$3),0,1))</f>
        <v>0</v>
      </c>
      <c r="AM664" s="3">
        <f t="shared" si="191"/>
        <v>1</v>
      </c>
      <c r="AN664" s="3" t="str">
        <f>IF(对接源_01水果!$AC664="","",对接源_01水果!$AC664)</f>
        <v/>
      </c>
      <c r="AO664" s="3">
        <f t="shared" si="192"/>
        <v>0</v>
      </c>
      <c r="AP664" s="3">
        <f t="shared" si="193"/>
        <v>8</v>
      </c>
      <c r="AR664">
        <f t="shared" si="194"/>
        <v>0</v>
      </c>
      <c r="AS664">
        <f t="shared" si="195"/>
        <v>0</v>
      </c>
    </row>
    <row r="665" ht="14.25" customHeight="1" spans="1:45">
      <c r="A665" s="3" t="str">
        <f>IF(对接源_01水果!$C665="","",对接源_01水果!$C665)</f>
        <v/>
      </c>
      <c r="B665" s="3">
        <f t="shared" si="179"/>
        <v>0</v>
      </c>
      <c r="C665" s="3">
        <f t="shared" si="180"/>
        <v>18</v>
      </c>
      <c r="K665" s="3">
        <f>IF(OR($K$1="",对接源_01水果!$C665="",对接源_01水果!$C665&lt;&gt;$K$1,对接源_01水果!$B665=""),0,IF(OR(N(对接源_01水果!$B665)&lt;$K$2,N(对接源_01水果!$B665)&gt;$K$3),0,1))</f>
        <v>0</v>
      </c>
      <c r="L665" s="3">
        <f>IF(OR($L$1="",对接源_01水果!$C665="",对接源_01水果!$C665&lt;&gt;$L$1,对接源_01水果!$B665=""),0,IF(OR(N(对接源_01水果!$B665)&lt;$L$2,N(对接源_01水果!$B665)&gt;$L$3),0,1))</f>
        <v>0</v>
      </c>
      <c r="M665" s="3">
        <f>IF(OR($M$1="",对接源_01水果!$C665="",对接源_01水果!$C665&lt;&gt;$M$1,对接源_01水果!$B665=""),0,IF(OR(N(对接源_01水果!$B665)&lt;$M$2,N(对接源_01水果!$B665)&gt;$M$3),0,1))</f>
        <v>0</v>
      </c>
      <c r="N665" s="3">
        <f>IF(OR($N$1="",对接源_01水果!$C665="",对接源_01水果!$C665&lt;&gt;$N$1,对接源_01水果!$B665=""),0,IF(OR(N(对接源_01水果!$B665)&lt;$N$2,N(对接源_01水果!$B665)&gt;$N$3),0,1))</f>
        <v>0</v>
      </c>
      <c r="P665" s="3">
        <f>IF(AND($K665=1,AND(对接源_01水果!$X665="公司筐",N(对接源_01水果!$T665)&lt;&gt;0)),1,0)</f>
        <v>0</v>
      </c>
      <c r="Q665" s="3">
        <f t="shared" si="181"/>
        <v>0</v>
      </c>
      <c r="R665" s="3">
        <f>IF(AND($K665=1,AND(对接源_01水果!$X665="公司筐",N(对接源_01水果!$U665)&lt;&gt;0)),1,0)</f>
        <v>0</v>
      </c>
      <c r="S665" s="3">
        <f t="shared" si="182"/>
        <v>0</v>
      </c>
      <c r="T665" s="3">
        <f>IF(AND($K665=1,AND(对接源_01水果!$X665="公司筐",N(对接源_01水果!$V665)&lt;&gt;0)),1,0)</f>
        <v>0</v>
      </c>
      <c r="U665" s="3">
        <f t="shared" si="183"/>
        <v>19</v>
      </c>
      <c r="V665" s="3">
        <f>IF(AND($L665=1,AND(对接源_01水果!$X665="自备筐",N(对接源_01水果!$V665)&lt;&gt;0)),1,0)</f>
        <v>0</v>
      </c>
      <c r="W665" s="3">
        <f t="shared" si="184"/>
        <v>8</v>
      </c>
      <c r="X665" s="3">
        <f>IF(AND($L665=1,AND(对接源_01水果!$X665="自备筐",N(对接源_01水果!$T665)&lt;&gt;0)),1,0)</f>
        <v>0</v>
      </c>
      <c r="Y665" s="3">
        <f t="shared" si="185"/>
        <v>0</v>
      </c>
      <c r="Z665" s="3">
        <f>IF(AND($M665=1,对接源_01水果!$D665="原料入库"),1,0)</f>
        <v>0</v>
      </c>
      <c r="AA665" s="3">
        <f t="shared" si="186"/>
        <v>24</v>
      </c>
      <c r="AB665" s="3">
        <f>IF(AND($M665=1,LEFT(对接源_01水果!$D665,4)="原料出库"),1,0)</f>
        <v>0</v>
      </c>
      <c r="AC665" s="3">
        <f t="shared" si="187"/>
        <v>0</v>
      </c>
      <c r="AD665" s="3">
        <f>IF(AND($M665=1,LEFT(对接源_01水果!$D665,4)="成品出库"),1,0)</f>
        <v>0</v>
      </c>
      <c r="AE665" s="3">
        <f t="shared" si="188"/>
        <v>0</v>
      </c>
      <c r="AF665" s="3">
        <f>IF(AND($N665=1,AND(LEFT(对接源_01水果!$D665,4)="包装物料",N(对接源_01水果!$K665)&lt;&gt;0)),1,0)</f>
        <v>0</v>
      </c>
      <c r="AG665" s="3">
        <f t="shared" si="189"/>
        <v>0</v>
      </c>
      <c r="AH665" s="3">
        <f>IF(AND($N665=1,AND(对接源_01水果!$D665="周转筐－销售出库",N(对接源_01水果!$K665)&lt;&gt;0)),1,0)</f>
        <v>0</v>
      </c>
      <c r="AI665" s="3">
        <f t="shared" si="190"/>
        <v>0</v>
      </c>
      <c r="AJ665" s="7"/>
      <c r="AL665" s="3">
        <f>IF(OR($AL$1="",对接源_01水果!$Y665="",对接源_01水果!$Y665&lt;&gt;$AL$1,对接源_01水果!$B665="",N(对接源_01水果!$AJ665)&lt;=0),0,IF(OR(N(对接源_01水果!$B665)&lt;$AL$2,N(对接源_01水果!$B665)&gt;$AL$3),0,1))</f>
        <v>0</v>
      </c>
      <c r="AM665" s="3">
        <f t="shared" si="191"/>
        <v>1</v>
      </c>
      <c r="AN665" s="3" t="str">
        <f>IF(对接源_01水果!$AC665="","",对接源_01水果!$AC665)</f>
        <v/>
      </c>
      <c r="AO665" s="3">
        <f t="shared" si="192"/>
        <v>0</v>
      </c>
      <c r="AP665" s="3">
        <f t="shared" si="193"/>
        <v>8</v>
      </c>
      <c r="AR665">
        <f t="shared" si="194"/>
        <v>0</v>
      </c>
      <c r="AS665">
        <f t="shared" si="195"/>
        <v>0</v>
      </c>
    </row>
    <row r="666" ht="14.25" customHeight="1" spans="1:45">
      <c r="A666" s="3" t="str">
        <f>IF(对接源_01水果!$C666="","",对接源_01水果!$C666)</f>
        <v/>
      </c>
      <c r="B666" s="3">
        <f t="shared" si="179"/>
        <v>0</v>
      </c>
      <c r="C666" s="3">
        <f t="shared" si="180"/>
        <v>18</v>
      </c>
      <c r="K666" s="3">
        <f>IF(OR($K$1="",对接源_01水果!$C666="",对接源_01水果!$C666&lt;&gt;$K$1,对接源_01水果!$B666=""),0,IF(OR(N(对接源_01水果!$B666)&lt;$K$2,N(对接源_01水果!$B666)&gt;$K$3),0,1))</f>
        <v>0</v>
      </c>
      <c r="L666" s="3">
        <f>IF(OR($L$1="",对接源_01水果!$C666="",对接源_01水果!$C666&lt;&gt;$L$1,对接源_01水果!$B666=""),0,IF(OR(N(对接源_01水果!$B666)&lt;$L$2,N(对接源_01水果!$B666)&gt;$L$3),0,1))</f>
        <v>0</v>
      </c>
      <c r="M666" s="3">
        <f>IF(OR($M$1="",对接源_01水果!$C666="",对接源_01水果!$C666&lt;&gt;$M$1,对接源_01水果!$B666=""),0,IF(OR(N(对接源_01水果!$B666)&lt;$M$2,N(对接源_01水果!$B666)&gt;$M$3),0,1))</f>
        <v>0</v>
      </c>
      <c r="N666" s="3">
        <f>IF(OR($N$1="",对接源_01水果!$C666="",对接源_01水果!$C666&lt;&gt;$N$1,对接源_01水果!$B666=""),0,IF(OR(N(对接源_01水果!$B666)&lt;$N$2,N(对接源_01水果!$B666)&gt;$N$3),0,1))</f>
        <v>0</v>
      </c>
      <c r="P666" s="3">
        <f>IF(AND($K666=1,AND(对接源_01水果!$X666="公司筐",N(对接源_01水果!$T666)&lt;&gt;0)),1,0)</f>
        <v>0</v>
      </c>
      <c r="Q666" s="3">
        <f t="shared" si="181"/>
        <v>0</v>
      </c>
      <c r="R666" s="3">
        <f>IF(AND($K666=1,AND(对接源_01水果!$X666="公司筐",N(对接源_01水果!$U666)&lt;&gt;0)),1,0)</f>
        <v>0</v>
      </c>
      <c r="S666" s="3">
        <f t="shared" si="182"/>
        <v>0</v>
      </c>
      <c r="T666" s="3">
        <f>IF(AND($K666=1,AND(对接源_01水果!$X666="公司筐",N(对接源_01水果!$V666)&lt;&gt;0)),1,0)</f>
        <v>0</v>
      </c>
      <c r="U666" s="3">
        <f t="shared" si="183"/>
        <v>19</v>
      </c>
      <c r="V666" s="3">
        <f>IF(AND($L666=1,AND(对接源_01水果!$X666="自备筐",N(对接源_01水果!$V666)&lt;&gt;0)),1,0)</f>
        <v>0</v>
      </c>
      <c r="W666" s="3">
        <f t="shared" si="184"/>
        <v>8</v>
      </c>
      <c r="X666" s="3">
        <f>IF(AND($L666=1,AND(对接源_01水果!$X666="自备筐",N(对接源_01水果!$T666)&lt;&gt;0)),1,0)</f>
        <v>0</v>
      </c>
      <c r="Y666" s="3">
        <f t="shared" si="185"/>
        <v>0</v>
      </c>
      <c r="Z666" s="3">
        <f>IF(AND($M666=1,对接源_01水果!$D666="原料入库"),1,0)</f>
        <v>0</v>
      </c>
      <c r="AA666" s="3">
        <f t="shared" si="186"/>
        <v>24</v>
      </c>
      <c r="AB666" s="3">
        <f>IF(AND($M666=1,LEFT(对接源_01水果!$D666,4)="原料出库"),1,0)</f>
        <v>0</v>
      </c>
      <c r="AC666" s="3">
        <f t="shared" si="187"/>
        <v>0</v>
      </c>
      <c r="AD666" s="3">
        <f>IF(AND($M666=1,LEFT(对接源_01水果!$D666,4)="成品出库"),1,0)</f>
        <v>0</v>
      </c>
      <c r="AE666" s="3">
        <f t="shared" si="188"/>
        <v>0</v>
      </c>
      <c r="AF666" s="3">
        <f>IF(AND($N666=1,AND(LEFT(对接源_01水果!$D666,4)="包装物料",N(对接源_01水果!$K666)&lt;&gt;0)),1,0)</f>
        <v>0</v>
      </c>
      <c r="AG666" s="3">
        <f t="shared" si="189"/>
        <v>0</v>
      </c>
      <c r="AH666" s="3">
        <f>IF(AND($N666=1,AND(对接源_01水果!$D666="周转筐－销售出库",N(对接源_01水果!$K666)&lt;&gt;0)),1,0)</f>
        <v>0</v>
      </c>
      <c r="AI666" s="3">
        <f t="shared" si="190"/>
        <v>0</v>
      </c>
      <c r="AJ666" s="7"/>
      <c r="AL666" s="3">
        <f>IF(OR($AL$1="",对接源_01水果!$Y666="",对接源_01水果!$Y666&lt;&gt;$AL$1,对接源_01水果!$B666="",N(对接源_01水果!$AJ666)&lt;=0),0,IF(OR(N(对接源_01水果!$B666)&lt;$AL$2,N(对接源_01水果!$B666)&gt;$AL$3),0,1))</f>
        <v>0</v>
      </c>
      <c r="AM666" s="3">
        <f t="shared" si="191"/>
        <v>1</v>
      </c>
      <c r="AN666" s="3" t="str">
        <f>IF(对接源_01水果!$AC666="","",对接源_01水果!$AC666)</f>
        <v/>
      </c>
      <c r="AO666" s="3">
        <f t="shared" si="192"/>
        <v>0</v>
      </c>
      <c r="AP666" s="3">
        <f t="shared" si="193"/>
        <v>8</v>
      </c>
      <c r="AR666">
        <f t="shared" si="194"/>
        <v>0</v>
      </c>
      <c r="AS666">
        <f t="shared" si="195"/>
        <v>0</v>
      </c>
    </row>
    <row r="667" ht="14.25" customHeight="1" spans="1:45">
      <c r="A667" s="3" t="str">
        <f>IF(对接源_01水果!$C667="","",对接源_01水果!$C667)</f>
        <v/>
      </c>
      <c r="B667" s="3">
        <f t="shared" si="179"/>
        <v>0</v>
      </c>
      <c r="C667" s="3">
        <f t="shared" si="180"/>
        <v>18</v>
      </c>
      <c r="K667" s="3">
        <f>IF(OR($K$1="",对接源_01水果!$C667="",对接源_01水果!$C667&lt;&gt;$K$1,对接源_01水果!$B667=""),0,IF(OR(N(对接源_01水果!$B667)&lt;$K$2,N(对接源_01水果!$B667)&gt;$K$3),0,1))</f>
        <v>0</v>
      </c>
      <c r="L667" s="3">
        <f>IF(OR($L$1="",对接源_01水果!$C667="",对接源_01水果!$C667&lt;&gt;$L$1,对接源_01水果!$B667=""),0,IF(OR(N(对接源_01水果!$B667)&lt;$L$2,N(对接源_01水果!$B667)&gt;$L$3),0,1))</f>
        <v>0</v>
      </c>
      <c r="M667" s="3">
        <f>IF(OR($M$1="",对接源_01水果!$C667="",对接源_01水果!$C667&lt;&gt;$M$1,对接源_01水果!$B667=""),0,IF(OR(N(对接源_01水果!$B667)&lt;$M$2,N(对接源_01水果!$B667)&gt;$M$3),0,1))</f>
        <v>0</v>
      </c>
      <c r="N667" s="3">
        <f>IF(OR($N$1="",对接源_01水果!$C667="",对接源_01水果!$C667&lt;&gt;$N$1,对接源_01水果!$B667=""),0,IF(OR(N(对接源_01水果!$B667)&lt;$N$2,N(对接源_01水果!$B667)&gt;$N$3),0,1))</f>
        <v>0</v>
      </c>
      <c r="P667" s="3">
        <f>IF(AND($K667=1,AND(对接源_01水果!$X667="公司筐",N(对接源_01水果!$T667)&lt;&gt;0)),1,0)</f>
        <v>0</v>
      </c>
      <c r="Q667" s="3">
        <f t="shared" si="181"/>
        <v>0</v>
      </c>
      <c r="R667" s="3">
        <f>IF(AND($K667=1,AND(对接源_01水果!$X667="公司筐",N(对接源_01水果!$U667)&lt;&gt;0)),1,0)</f>
        <v>0</v>
      </c>
      <c r="S667" s="3">
        <f t="shared" si="182"/>
        <v>0</v>
      </c>
      <c r="T667" s="3">
        <f>IF(AND($K667=1,AND(对接源_01水果!$X667="公司筐",N(对接源_01水果!$V667)&lt;&gt;0)),1,0)</f>
        <v>0</v>
      </c>
      <c r="U667" s="3">
        <f t="shared" si="183"/>
        <v>19</v>
      </c>
      <c r="V667" s="3">
        <f>IF(AND($L667=1,AND(对接源_01水果!$X667="自备筐",N(对接源_01水果!$V667)&lt;&gt;0)),1,0)</f>
        <v>0</v>
      </c>
      <c r="W667" s="3">
        <f t="shared" si="184"/>
        <v>8</v>
      </c>
      <c r="X667" s="3">
        <f>IF(AND($L667=1,AND(对接源_01水果!$X667="自备筐",N(对接源_01水果!$T667)&lt;&gt;0)),1,0)</f>
        <v>0</v>
      </c>
      <c r="Y667" s="3">
        <f t="shared" si="185"/>
        <v>0</v>
      </c>
      <c r="Z667" s="3">
        <f>IF(AND($M667=1,对接源_01水果!$D667="原料入库"),1,0)</f>
        <v>0</v>
      </c>
      <c r="AA667" s="3">
        <f t="shared" si="186"/>
        <v>24</v>
      </c>
      <c r="AB667" s="3">
        <f>IF(AND($M667=1,LEFT(对接源_01水果!$D667,4)="原料出库"),1,0)</f>
        <v>0</v>
      </c>
      <c r="AC667" s="3">
        <f t="shared" si="187"/>
        <v>0</v>
      </c>
      <c r="AD667" s="3">
        <f>IF(AND($M667=1,LEFT(对接源_01水果!$D667,4)="成品出库"),1,0)</f>
        <v>0</v>
      </c>
      <c r="AE667" s="3">
        <f t="shared" si="188"/>
        <v>0</v>
      </c>
      <c r="AF667" s="3">
        <f>IF(AND($N667=1,AND(LEFT(对接源_01水果!$D667,4)="包装物料",N(对接源_01水果!$K667)&lt;&gt;0)),1,0)</f>
        <v>0</v>
      </c>
      <c r="AG667" s="3">
        <f t="shared" si="189"/>
        <v>0</v>
      </c>
      <c r="AH667" s="3">
        <f>IF(AND($N667=1,AND(对接源_01水果!$D667="周转筐－销售出库",N(对接源_01水果!$K667)&lt;&gt;0)),1,0)</f>
        <v>0</v>
      </c>
      <c r="AI667" s="3">
        <f t="shared" si="190"/>
        <v>0</v>
      </c>
      <c r="AJ667" s="7"/>
      <c r="AL667" s="3">
        <f>IF(OR($AL$1="",对接源_01水果!$Y667="",对接源_01水果!$Y667&lt;&gt;$AL$1,对接源_01水果!$B667="",N(对接源_01水果!$AJ667)&lt;=0),0,IF(OR(N(对接源_01水果!$B667)&lt;$AL$2,N(对接源_01水果!$B667)&gt;$AL$3),0,1))</f>
        <v>0</v>
      </c>
      <c r="AM667" s="3">
        <f t="shared" si="191"/>
        <v>1</v>
      </c>
      <c r="AN667" s="3" t="str">
        <f>IF(对接源_01水果!$AC667="","",对接源_01水果!$AC667)</f>
        <v/>
      </c>
      <c r="AO667" s="3">
        <f t="shared" si="192"/>
        <v>0</v>
      </c>
      <c r="AP667" s="3">
        <f t="shared" si="193"/>
        <v>8</v>
      </c>
      <c r="AR667">
        <f t="shared" si="194"/>
        <v>0</v>
      </c>
      <c r="AS667">
        <f t="shared" si="195"/>
        <v>0</v>
      </c>
    </row>
    <row r="668" ht="14.25" customHeight="1" spans="1:45">
      <c r="A668" s="3" t="str">
        <f>IF(对接源_01水果!$C668="","",对接源_01水果!$C668)</f>
        <v/>
      </c>
      <c r="B668" s="3">
        <f t="shared" si="179"/>
        <v>0</v>
      </c>
      <c r="C668" s="3">
        <f t="shared" si="180"/>
        <v>18</v>
      </c>
      <c r="K668" s="3">
        <f>IF(OR($K$1="",对接源_01水果!$C668="",对接源_01水果!$C668&lt;&gt;$K$1,对接源_01水果!$B668=""),0,IF(OR(N(对接源_01水果!$B668)&lt;$K$2,N(对接源_01水果!$B668)&gt;$K$3),0,1))</f>
        <v>0</v>
      </c>
      <c r="L668" s="3">
        <f>IF(OR($L$1="",对接源_01水果!$C668="",对接源_01水果!$C668&lt;&gt;$L$1,对接源_01水果!$B668=""),0,IF(OR(N(对接源_01水果!$B668)&lt;$L$2,N(对接源_01水果!$B668)&gt;$L$3),0,1))</f>
        <v>0</v>
      </c>
      <c r="M668" s="3">
        <f>IF(OR($M$1="",对接源_01水果!$C668="",对接源_01水果!$C668&lt;&gt;$M$1,对接源_01水果!$B668=""),0,IF(OR(N(对接源_01水果!$B668)&lt;$M$2,N(对接源_01水果!$B668)&gt;$M$3),0,1))</f>
        <v>0</v>
      </c>
      <c r="N668" s="3">
        <f>IF(OR($N$1="",对接源_01水果!$C668="",对接源_01水果!$C668&lt;&gt;$N$1,对接源_01水果!$B668=""),0,IF(OR(N(对接源_01水果!$B668)&lt;$N$2,N(对接源_01水果!$B668)&gt;$N$3),0,1))</f>
        <v>0</v>
      </c>
      <c r="P668" s="3">
        <f>IF(AND($K668=1,AND(对接源_01水果!$X668="公司筐",N(对接源_01水果!$T668)&lt;&gt;0)),1,0)</f>
        <v>0</v>
      </c>
      <c r="Q668" s="3">
        <f t="shared" si="181"/>
        <v>0</v>
      </c>
      <c r="R668" s="3">
        <f>IF(AND($K668=1,AND(对接源_01水果!$X668="公司筐",N(对接源_01水果!$U668)&lt;&gt;0)),1,0)</f>
        <v>0</v>
      </c>
      <c r="S668" s="3">
        <f t="shared" si="182"/>
        <v>0</v>
      </c>
      <c r="T668" s="3">
        <f>IF(AND($K668=1,AND(对接源_01水果!$X668="公司筐",N(对接源_01水果!$V668)&lt;&gt;0)),1,0)</f>
        <v>0</v>
      </c>
      <c r="U668" s="3">
        <f t="shared" si="183"/>
        <v>19</v>
      </c>
      <c r="V668" s="3">
        <f>IF(AND($L668=1,AND(对接源_01水果!$X668="自备筐",N(对接源_01水果!$V668)&lt;&gt;0)),1,0)</f>
        <v>0</v>
      </c>
      <c r="W668" s="3">
        <f t="shared" si="184"/>
        <v>8</v>
      </c>
      <c r="X668" s="3">
        <f>IF(AND($L668=1,AND(对接源_01水果!$X668="自备筐",N(对接源_01水果!$T668)&lt;&gt;0)),1,0)</f>
        <v>0</v>
      </c>
      <c r="Y668" s="3">
        <f t="shared" si="185"/>
        <v>0</v>
      </c>
      <c r="Z668" s="3">
        <f>IF(AND($M668=1,对接源_01水果!$D668="原料入库"),1,0)</f>
        <v>0</v>
      </c>
      <c r="AA668" s="3">
        <f t="shared" si="186"/>
        <v>24</v>
      </c>
      <c r="AB668" s="3">
        <f>IF(AND($M668=1,LEFT(对接源_01水果!$D668,4)="原料出库"),1,0)</f>
        <v>0</v>
      </c>
      <c r="AC668" s="3">
        <f t="shared" si="187"/>
        <v>0</v>
      </c>
      <c r="AD668" s="3">
        <f>IF(AND($M668=1,LEFT(对接源_01水果!$D668,4)="成品出库"),1,0)</f>
        <v>0</v>
      </c>
      <c r="AE668" s="3">
        <f t="shared" si="188"/>
        <v>0</v>
      </c>
      <c r="AF668" s="3">
        <f>IF(AND($N668=1,AND(LEFT(对接源_01水果!$D668,4)="包装物料",N(对接源_01水果!$K668)&lt;&gt;0)),1,0)</f>
        <v>0</v>
      </c>
      <c r="AG668" s="3">
        <f t="shared" si="189"/>
        <v>0</v>
      </c>
      <c r="AH668" s="3">
        <f>IF(AND($N668=1,AND(对接源_01水果!$D668="周转筐－销售出库",N(对接源_01水果!$K668)&lt;&gt;0)),1,0)</f>
        <v>0</v>
      </c>
      <c r="AI668" s="3">
        <f t="shared" si="190"/>
        <v>0</v>
      </c>
      <c r="AJ668" s="7"/>
      <c r="AL668" s="3">
        <f>IF(OR($AL$1="",对接源_01水果!$Y668="",对接源_01水果!$Y668&lt;&gt;$AL$1,对接源_01水果!$B668="",N(对接源_01水果!$AJ668)&lt;=0),0,IF(OR(N(对接源_01水果!$B668)&lt;$AL$2,N(对接源_01水果!$B668)&gt;$AL$3),0,1))</f>
        <v>0</v>
      </c>
      <c r="AM668" s="3">
        <f t="shared" si="191"/>
        <v>1</v>
      </c>
      <c r="AN668" s="3" t="str">
        <f>IF(对接源_01水果!$AC668="","",对接源_01水果!$AC668)</f>
        <v/>
      </c>
      <c r="AO668" s="3">
        <f t="shared" si="192"/>
        <v>0</v>
      </c>
      <c r="AP668" s="3">
        <f t="shared" si="193"/>
        <v>8</v>
      </c>
      <c r="AR668">
        <f t="shared" si="194"/>
        <v>0</v>
      </c>
      <c r="AS668">
        <f t="shared" si="195"/>
        <v>0</v>
      </c>
    </row>
    <row r="669" ht="14.25" customHeight="1" spans="1:45">
      <c r="A669" s="3" t="str">
        <f>IF(对接源_01水果!$C669="","",对接源_01水果!$C669)</f>
        <v/>
      </c>
      <c r="B669" s="3">
        <f t="shared" si="179"/>
        <v>0</v>
      </c>
      <c r="C669" s="3">
        <f t="shared" si="180"/>
        <v>18</v>
      </c>
      <c r="K669" s="3">
        <f>IF(OR($K$1="",对接源_01水果!$C669="",对接源_01水果!$C669&lt;&gt;$K$1,对接源_01水果!$B669=""),0,IF(OR(N(对接源_01水果!$B669)&lt;$K$2,N(对接源_01水果!$B669)&gt;$K$3),0,1))</f>
        <v>0</v>
      </c>
      <c r="L669" s="3">
        <f>IF(OR($L$1="",对接源_01水果!$C669="",对接源_01水果!$C669&lt;&gt;$L$1,对接源_01水果!$B669=""),0,IF(OR(N(对接源_01水果!$B669)&lt;$L$2,N(对接源_01水果!$B669)&gt;$L$3),0,1))</f>
        <v>0</v>
      </c>
      <c r="M669" s="3">
        <f>IF(OR($M$1="",对接源_01水果!$C669="",对接源_01水果!$C669&lt;&gt;$M$1,对接源_01水果!$B669=""),0,IF(OR(N(对接源_01水果!$B669)&lt;$M$2,N(对接源_01水果!$B669)&gt;$M$3),0,1))</f>
        <v>0</v>
      </c>
      <c r="N669" s="3">
        <f>IF(OR($N$1="",对接源_01水果!$C669="",对接源_01水果!$C669&lt;&gt;$N$1,对接源_01水果!$B669=""),0,IF(OR(N(对接源_01水果!$B669)&lt;$N$2,N(对接源_01水果!$B669)&gt;$N$3),0,1))</f>
        <v>0</v>
      </c>
      <c r="P669" s="3">
        <f>IF(AND($K669=1,AND(对接源_01水果!$X669="公司筐",N(对接源_01水果!$T669)&lt;&gt;0)),1,0)</f>
        <v>0</v>
      </c>
      <c r="Q669" s="3">
        <f t="shared" si="181"/>
        <v>0</v>
      </c>
      <c r="R669" s="3">
        <f>IF(AND($K669=1,AND(对接源_01水果!$X669="公司筐",N(对接源_01水果!$U669)&lt;&gt;0)),1,0)</f>
        <v>0</v>
      </c>
      <c r="S669" s="3">
        <f t="shared" si="182"/>
        <v>0</v>
      </c>
      <c r="T669" s="3">
        <f>IF(AND($K669=1,AND(对接源_01水果!$X669="公司筐",N(对接源_01水果!$V669)&lt;&gt;0)),1,0)</f>
        <v>0</v>
      </c>
      <c r="U669" s="3">
        <f t="shared" si="183"/>
        <v>19</v>
      </c>
      <c r="V669" s="3">
        <f>IF(AND($L669=1,AND(对接源_01水果!$X669="自备筐",N(对接源_01水果!$V669)&lt;&gt;0)),1,0)</f>
        <v>0</v>
      </c>
      <c r="W669" s="3">
        <f t="shared" si="184"/>
        <v>8</v>
      </c>
      <c r="X669" s="3">
        <f>IF(AND($L669=1,AND(对接源_01水果!$X669="自备筐",N(对接源_01水果!$T669)&lt;&gt;0)),1,0)</f>
        <v>0</v>
      </c>
      <c r="Y669" s="3">
        <f t="shared" si="185"/>
        <v>0</v>
      </c>
      <c r="Z669" s="3">
        <f>IF(AND($M669=1,对接源_01水果!$D669="原料入库"),1,0)</f>
        <v>0</v>
      </c>
      <c r="AA669" s="3">
        <f t="shared" si="186"/>
        <v>24</v>
      </c>
      <c r="AB669" s="3">
        <f>IF(AND($M669=1,LEFT(对接源_01水果!$D669,4)="原料出库"),1,0)</f>
        <v>0</v>
      </c>
      <c r="AC669" s="3">
        <f t="shared" si="187"/>
        <v>0</v>
      </c>
      <c r="AD669" s="3">
        <f>IF(AND($M669=1,LEFT(对接源_01水果!$D669,4)="成品出库"),1,0)</f>
        <v>0</v>
      </c>
      <c r="AE669" s="3">
        <f t="shared" si="188"/>
        <v>0</v>
      </c>
      <c r="AF669" s="3">
        <f>IF(AND($N669=1,AND(LEFT(对接源_01水果!$D669,4)="包装物料",N(对接源_01水果!$K669)&lt;&gt;0)),1,0)</f>
        <v>0</v>
      </c>
      <c r="AG669" s="3">
        <f t="shared" si="189"/>
        <v>0</v>
      </c>
      <c r="AH669" s="3">
        <f>IF(AND($N669=1,AND(对接源_01水果!$D669="周转筐－销售出库",N(对接源_01水果!$K669)&lt;&gt;0)),1,0)</f>
        <v>0</v>
      </c>
      <c r="AI669" s="3">
        <f t="shared" si="190"/>
        <v>0</v>
      </c>
      <c r="AJ669" s="7"/>
      <c r="AL669" s="3">
        <f>IF(OR($AL$1="",对接源_01水果!$Y669="",对接源_01水果!$Y669&lt;&gt;$AL$1,对接源_01水果!$B669="",N(对接源_01水果!$AJ669)&lt;=0),0,IF(OR(N(对接源_01水果!$B669)&lt;$AL$2,N(对接源_01水果!$B669)&gt;$AL$3),0,1))</f>
        <v>0</v>
      </c>
      <c r="AM669" s="3">
        <f t="shared" si="191"/>
        <v>1</v>
      </c>
      <c r="AN669" s="3" t="str">
        <f>IF(对接源_01水果!$AC669="","",对接源_01水果!$AC669)</f>
        <v/>
      </c>
      <c r="AO669" s="3">
        <f t="shared" si="192"/>
        <v>0</v>
      </c>
      <c r="AP669" s="3">
        <f t="shared" si="193"/>
        <v>8</v>
      </c>
      <c r="AR669">
        <f t="shared" si="194"/>
        <v>0</v>
      </c>
      <c r="AS669">
        <f t="shared" si="195"/>
        <v>0</v>
      </c>
    </row>
    <row r="670" ht="14.25" customHeight="1" spans="1:45">
      <c r="A670" s="3" t="str">
        <f>IF(对接源_01水果!$C670="","",对接源_01水果!$C670)</f>
        <v/>
      </c>
      <c r="B670" s="3">
        <f t="shared" si="179"/>
        <v>0</v>
      </c>
      <c r="C670" s="3">
        <f t="shared" si="180"/>
        <v>18</v>
      </c>
      <c r="K670" s="3">
        <f>IF(OR($K$1="",对接源_01水果!$C670="",对接源_01水果!$C670&lt;&gt;$K$1,对接源_01水果!$B670=""),0,IF(OR(N(对接源_01水果!$B670)&lt;$K$2,N(对接源_01水果!$B670)&gt;$K$3),0,1))</f>
        <v>0</v>
      </c>
      <c r="L670" s="3">
        <f>IF(OR($L$1="",对接源_01水果!$C670="",对接源_01水果!$C670&lt;&gt;$L$1,对接源_01水果!$B670=""),0,IF(OR(N(对接源_01水果!$B670)&lt;$L$2,N(对接源_01水果!$B670)&gt;$L$3),0,1))</f>
        <v>0</v>
      </c>
      <c r="M670" s="3">
        <f>IF(OR($M$1="",对接源_01水果!$C670="",对接源_01水果!$C670&lt;&gt;$M$1,对接源_01水果!$B670=""),0,IF(OR(N(对接源_01水果!$B670)&lt;$M$2,N(对接源_01水果!$B670)&gt;$M$3),0,1))</f>
        <v>0</v>
      </c>
      <c r="N670" s="3">
        <f>IF(OR($N$1="",对接源_01水果!$C670="",对接源_01水果!$C670&lt;&gt;$N$1,对接源_01水果!$B670=""),0,IF(OR(N(对接源_01水果!$B670)&lt;$N$2,N(对接源_01水果!$B670)&gt;$N$3),0,1))</f>
        <v>0</v>
      </c>
      <c r="P670" s="3">
        <f>IF(AND($K670=1,AND(对接源_01水果!$X670="公司筐",N(对接源_01水果!$T670)&lt;&gt;0)),1,0)</f>
        <v>0</v>
      </c>
      <c r="Q670" s="3">
        <f t="shared" si="181"/>
        <v>0</v>
      </c>
      <c r="R670" s="3">
        <f>IF(AND($K670=1,AND(对接源_01水果!$X670="公司筐",N(对接源_01水果!$U670)&lt;&gt;0)),1,0)</f>
        <v>0</v>
      </c>
      <c r="S670" s="3">
        <f t="shared" si="182"/>
        <v>0</v>
      </c>
      <c r="T670" s="3">
        <f>IF(AND($K670=1,AND(对接源_01水果!$X670="公司筐",N(对接源_01水果!$V670)&lt;&gt;0)),1,0)</f>
        <v>0</v>
      </c>
      <c r="U670" s="3">
        <f t="shared" si="183"/>
        <v>19</v>
      </c>
      <c r="V670" s="3">
        <f>IF(AND($L670=1,AND(对接源_01水果!$X670="自备筐",N(对接源_01水果!$V670)&lt;&gt;0)),1,0)</f>
        <v>0</v>
      </c>
      <c r="W670" s="3">
        <f t="shared" si="184"/>
        <v>8</v>
      </c>
      <c r="X670" s="3">
        <f>IF(AND($L670=1,AND(对接源_01水果!$X670="自备筐",N(对接源_01水果!$T670)&lt;&gt;0)),1,0)</f>
        <v>0</v>
      </c>
      <c r="Y670" s="3">
        <f t="shared" si="185"/>
        <v>0</v>
      </c>
      <c r="Z670" s="3">
        <f>IF(AND($M670=1,对接源_01水果!$D670="原料入库"),1,0)</f>
        <v>0</v>
      </c>
      <c r="AA670" s="3">
        <f t="shared" si="186"/>
        <v>24</v>
      </c>
      <c r="AB670" s="3">
        <f>IF(AND($M670=1,LEFT(对接源_01水果!$D670,4)="原料出库"),1,0)</f>
        <v>0</v>
      </c>
      <c r="AC670" s="3">
        <f t="shared" si="187"/>
        <v>0</v>
      </c>
      <c r="AD670" s="3">
        <f>IF(AND($M670=1,LEFT(对接源_01水果!$D670,4)="成品出库"),1,0)</f>
        <v>0</v>
      </c>
      <c r="AE670" s="3">
        <f t="shared" si="188"/>
        <v>0</v>
      </c>
      <c r="AF670" s="3">
        <f>IF(AND($N670=1,AND(LEFT(对接源_01水果!$D670,4)="包装物料",N(对接源_01水果!$K670)&lt;&gt;0)),1,0)</f>
        <v>0</v>
      </c>
      <c r="AG670" s="3">
        <f t="shared" si="189"/>
        <v>0</v>
      </c>
      <c r="AH670" s="3">
        <f>IF(AND($N670=1,AND(对接源_01水果!$D670="周转筐－销售出库",N(对接源_01水果!$K670)&lt;&gt;0)),1,0)</f>
        <v>0</v>
      </c>
      <c r="AI670" s="3">
        <f t="shared" si="190"/>
        <v>0</v>
      </c>
      <c r="AJ670" s="7"/>
      <c r="AL670" s="3">
        <f>IF(OR($AL$1="",对接源_01水果!$Y670="",对接源_01水果!$Y670&lt;&gt;$AL$1,对接源_01水果!$B670="",N(对接源_01水果!$AJ670)&lt;=0),0,IF(OR(N(对接源_01水果!$B670)&lt;$AL$2,N(对接源_01水果!$B670)&gt;$AL$3),0,1))</f>
        <v>0</v>
      </c>
      <c r="AM670" s="3">
        <f t="shared" si="191"/>
        <v>1</v>
      </c>
      <c r="AN670" s="3" t="str">
        <f>IF(对接源_01水果!$AC670="","",对接源_01水果!$AC670)</f>
        <v/>
      </c>
      <c r="AO670" s="3">
        <f t="shared" si="192"/>
        <v>0</v>
      </c>
      <c r="AP670" s="3">
        <f t="shared" si="193"/>
        <v>8</v>
      </c>
      <c r="AR670">
        <f t="shared" si="194"/>
        <v>0</v>
      </c>
      <c r="AS670">
        <f t="shared" si="195"/>
        <v>0</v>
      </c>
    </row>
    <row r="671" ht="14.25" customHeight="1" spans="1:45">
      <c r="A671" s="3" t="str">
        <f>IF(对接源_01水果!$C671="","",对接源_01水果!$C671)</f>
        <v/>
      </c>
      <c r="B671" s="3">
        <f t="shared" si="179"/>
        <v>0</v>
      </c>
      <c r="C671" s="3">
        <f t="shared" si="180"/>
        <v>18</v>
      </c>
      <c r="K671" s="3">
        <f>IF(OR($K$1="",对接源_01水果!$C671="",对接源_01水果!$C671&lt;&gt;$K$1,对接源_01水果!$B671=""),0,IF(OR(N(对接源_01水果!$B671)&lt;$K$2,N(对接源_01水果!$B671)&gt;$K$3),0,1))</f>
        <v>0</v>
      </c>
      <c r="L671" s="3">
        <f>IF(OR($L$1="",对接源_01水果!$C671="",对接源_01水果!$C671&lt;&gt;$L$1,对接源_01水果!$B671=""),0,IF(OR(N(对接源_01水果!$B671)&lt;$L$2,N(对接源_01水果!$B671)&gt;$L$3),0,1))</f>
        <v>0</v>
      </c>
      <c r="M671" s="3">
        <f>IF(OR($M$1="",对接源_01水果!$C671="",对接源_01水果!$C671&lt;&gt;$M$1,对接源_01水果!$B671=""),0,IF(OR(N(对接源_01水果!$B671)&lt;$M$2,N(对接源_01水果!$B671)&gt;$M$3),0,1))</f>
        <v>0</v>
      </c>
      <c r="N671" s="3">
        <f>IF(OR($N$1="",对接源_01水果!$C671="",对接源_01水果!$C671&lt;&gt;$N$1,对接源_01水果!$B671=""),0,IF(OR(N(对接源_01水果!$B671)&lt;$N$2,N(对接源_01水果!$B671)&gt;$N$3),0,1))</f>
        <v>0</v>
      </c>
      <c r="P671" s="3">
        <f>IF(AND($K671=1,AND(对接源_01水果!$X671="公司筐",N(对接源_01水果!$T671)&lt;&gt;0)),1,0)</f>
        <v>0</v>
      </c>
      <c r="Q671" s="3">
        <f t="shared" si="181"/>
        <v>0</v>
      </c>
      <c r="R671" s="3">
        <f>IF(AND($K671=1,AND(对接源_01水果!$X671="公司筐",N(对接源_01水果!$U671)&lt;&gt;0)),1,0)</f>
        <v>0</v>
      </c>
      <c r="S671" s="3">
        <f t="shared" si="182"/>
        <v>0</v>
      </c>
      <c r="T671" s="3">
        <f>IF(AND($K671=1,AND(对接源_01水果!$X671="公司筐",N(对接源_01水果!$V671)&lt;&gt;0)),1,0)</f>
        <v>0</v>
      </c>
      <c r="U671" s="3">
        <f t="shared" si="183"/>
        <v>19</v>
      </c>
      <c r="V671" s="3">
        <f>IF(AND($L671=1,AND(对接源_01水果!$X671="自备筐",N(对接源_01水果!$V671)&lt;&gt;0)),1,0)</f>
        <v>0</v>
      </c>
      <c r="W671" s="3">
        <f t="shared" si="184"/>
        <v>8</v>
      </c>
      <c r="X671" s="3">
        <f>IF(AND($L671=1,AND(对接源_01水果!$X671="自备筐",N(对接源_01水果!$T671)&lt;&gt;0)),1,0)</f>
        <v>0</v>
      </c>
      <c r="Y671" s="3">
        <f t="shared" si="185"/>
        <v>0</v>
      </c>
      <c r="Z671" s="3">
        <f>IF(AND($M671=1,对接源_01水果!$D671="原料入库"),1,0)</f>
        <v>0</v>
      </c>
      <c r="AA671" s="3">
        <f t="shared" si="186"/>
        <v>24</v>
      </c>
      <c r="AB671" s="3">
        <f>IF(AND($M671=1,LEFT(对接源_01水果!$D671,4)="原料出库"),1,0)</f>
        <v>0</v>
      </c>
      <c r="AC671" s="3">
        <f t="shared" si="187"/>
        <v>0</v>
      </c>
      <c r="AD671" s="3">
        <f>IF(AND($M671=1,LEFT(对接源_01水果!$D671,4)="成品出库"),1,0)</f>
        <v>0</v>
      </c>
      <c r="AE671" s="3">
        <f t="shared" si="188"/>
        <v>0</v>
      </c>
      <c r="AF671" s="3">
        <f>IF(AND($N671=1,AND(LEFT(对接源_01水果!$D671,4)="包装物料",N(对接源_01水果!$K671)&lt;&gt;0)),1,0)</f>
        <v>0</v>
      </c>
      <c r="AG671" s="3">
        <f t="shared" si="189"/>
        <v>0</v>
      </c>
      <c r="AH671" s="3">
        <f>IF(AND($N671=1,AND(对接源_01水果!$D671="周转筐－销售出库",N(对接源_01水果!$K671)&lt;&gt;0)),1,0)</f>
        <v>0</v>
      </c>
      <c r="AI671" s="3">
        <f t="shared" si="190"/>
        <v>0</v>
      </c>
      <c r="AJ671" s="7"/>
      <c r="AL671" s="3">
        <f>IF(OR($AL$1="",对接源_01水果!$Y671="",对接源_01水果!$Y671&lt;&gt;$AL$1,对接源_01水果!$B671="",N(对接源_01水果!$AJ671)&lt;=0),0,IF(OR(N(对接源_01水果!$B671)&lt;$AL$2,N(对接源_01水果!$B671)&gt;$AL$3),0,1))</f>
        <v>0</v>
      </c>
      <c r="AM671" s="3">
        <f t="shared" si="191"/>
        <v>1</v>
      </c>
      <c r="AN671" s="3" t="str">
        <f>IF(对接源_01水果!$AC671="","",对接源_01水果!$AC671)</f>
        <v/>
      </c>
      <c r="AO671" s="3">
        <f t="shared" si="192"/>
        <v>0</v>
      </c>
      <c r="AP671" s="3">
        <f t="shared" si="193"/>
        <v>8</v>
      </c>
      <c r="AR671">
        <f t="shared" si="194"/>
        <v>0</v>
      </c>
      <c r="AS671">
        <f t="shared" si="195"/>
        <v>0</v>
      </c>
    </row>
    <row r="672" ht="14.25" customHeight="1" spans="1:45">
      <c r="A672" s="3" t="str">
        <f>IF(对接源_01水果!$C672="","",对接源_01水果!$C672)</f>
        <v/>
      </c>
      <c r="B672" s="3">
        <f t="shared" si="179"/>
        <v>0</v>
      </c>
      <c r="C672" s="3">
        <f t="shared" si="180"/>
        <v>18</v>
      </c>
      <c r="K672" s="3">
        <f>IF(OR($K$1="",对接源_01水果!$C672="",对接源_01水果!$C672&lt;&gt;$K$1,对接源_01水果!$B672=""),0,IF(OR(N(对接源_01水果!$B672)&lt;$K$2,N(对接源_01水果!$B672)&gt;$K$3),0,1))</f>
        <v>0</v>
      </c>
      <c r="L672" s="3">
        <f>IF(OR($L$1="",对接源_01水果!$C672="",对接源_01水果!$C672&lt;&gt;$L$1,对接源_01水果!$B672=""),0,IF(OR(N(对接源_01水果!$B672)&lt;$L$2,N(对接源_01水果!$B672)&gt;$L$3),0,1))</f>
        <v>0</v>
      </c>
      <c r="M672" s="3">
        <f>IF(OR($M$1="",对接源_01水果!$C672="",对接源_01水果!$C672&lt;&gt;$M$1,对接源_01水果!$B672=""),0,IF(OR(N(对接源_01水果!$B672)&lt;$M$2,N(对接源_01水果!$B672)&gt;$M$3),0,1))</f>
        <v>0</v>
      </c>
      <c r="N672" s="3">
        <f>IF(OR($N$1="",对接源_01水果!$C672="",对接源_01水果!$C672&lt;&gt;$N$1,对接源_01水果!$B672=""),0,IF(OR(N(对接源_01水果!$B672)&lt;$N$2,N(对接源_01水果!$B672)&gt;$N$3),0,1))</f>
        <v>0</v>
      </c>
      <c r="P672" s="3">
        <f>IF(AND($K672=1,AND(对接源_01水果!$X672="公司筐",N(对接源_01水果!$T672)&lt;&gt;0)),1,0)</f>
        <v>0</v>
      </c>
      <c r="Q672" s="3">
        <f t="shared" si="181"/>
        <v>0</v>
      </c>
      <c r="R672" s="3">
        <f>IF(AND($K672=1,AND(对接源_01水果!$X672="公司筐",N(对接源_01水果!$U672)&lt;&gt;0)),1,0)</f>
        <v>0</v>
      </c>
      <c r="S672" s="3">
        <f t="shared" si="182"/>
        <v>0</v>
      </c>
      <c r="T672" s="3">
        <f>IF(AND($K672=1,AND(对接源_01水果!$X672="公司筐",N(对接源_01水果!$V672)&lt;&gt;0)),1,0)</f>
        <v>0</v>
      </c>
      <c r="U672" s="3">
        <f t="shared" si="183"/>
        <v>19</v>
      </c>
      <c r="V672" s="3">
        <f>IF(AND($L672=1,AND(对接源_01水果!$X672="自备筐",N(对接源_01水果!$V672)&lt;&gt;0)),1,0)</f>
        <v>0</v>
      </c>
      <c r="W672" s="3">
        <f t="shared" si="184"/>
        <v>8</v>
      </c>
      <c r="X672" s="3">
        <f>IF(AND($L672=1,AND(对接源_01水果!$X672="自备筐",N(对接源_01水果!$T672)&lt;&gt;0)),1,0)</f>
        <v>0</v>
      </c>
      <c r="Y672" s="3">
        <f t="shared" si="185"/>
        <v>0</v>
      </c>
      <c r="Z672" s="3">
        <f>IF(AND($M672=1,对接源_01水果!$D672="原料入库"),1,0)</f>
        <v>0</v>
      </c>
      <c r="AA672" s="3">
        <f t="shared" si="186"/>
        <v>24</v>
      </c>
      <c r="AB672" s="3">
        <f>IF(AND($M672=1,LEFT(对接源_01水果!$D672,4)="原料出库"),1,0)</f>
        <v>0</v>
      </c>
      <c r="AC672" s="3">
        <f t="shared" si="187"/>
        <v>0</v>
      </c>
      <c r="AD672" s="3">
        <f>IF(AND($M672=1,LEFT(对接源_01水果!$D672,4)="成品出库"),1,0)</f>
        <v>0</v>
      </c>
      <c r="AE672" s="3">
        <f t="shared" si="188"/>
        <v>0</v>
      </c>
      <c r="AF672" s="3">
        <f>IF(AND($N672=1,AND(LEFT(对接源_01水果!$D672,4)="包装物料",N(对接源_01水果!$K672)&lt;&gt;0)),1,0)</f>
        <v>0</v>
      </c>
      <c r="AG672" s="3">
        <f t="shared" si="189"/>
        <v>0</v>
      </c>
      <c r="AH672" s="3">
        <f>IF(AND($N672=1,AND(对接源_01水果!$D672="周转筐－销售出库",N(对接源_01水果!$K672)&lt;&gt;0)),1,0)</f>
        <v>0</v>
      </c>
      <c r="AI672" s="3">
        <f t="shared" si="190"/>
        <v>0</v>
      </c>
      <c r="AJ672" s="7"/>
      <c r="AL672" s="3">
        <f>IF(OR($AL$1="",对接源_01水果!$Y672="",对接源_01水果!$Y672&lt;&gt;$AL$1,对接源_01水果!$B672="",N(对接源_01水果!$AJ672)&lt;=0),0,IF(OR(N(对接源_01水果!$B672)&lt;$AL$2,N(对接源_01水果!$B672)&gt;$AL$3),0,1))</f>
        <v>0</v>
      </c>
      <c r="AM672" s="3">
        <f t="shared" si="191"/>
        <v>1</v>
      </c>
      <c r="AN672" s="3" t="str">
        <f>IF(对接源_01水果!$AC672="","",对接源_01水果!$AC672)</f>
        <v/>
      </c>
      <c r="AO672" s="3">
        <f t="shared" si="192"/>
        <v>0</v>
      </c>
      <c r="AP672" s="3">
        <f t="shared" si="193"/>
        <v>8</v>
      </c>
      <c r="AR672">
        <f t="shared" si="194"/>
        <v>0</v>
      </c>
      <c r="AS672">
        <f t="shared" si="195"/>
        <v>0</v>
      </c>
    </row>
    <row r="673" ht="14.25" customHeight="1" spans="1:45">
      <c r="A673" s="3" t="str">
        <f>IF(对接源_01水果!$C673="","",对接源_01水果!$C673)</f>
        <v/>
      </c>
      <c r="B673" s="3">
        <f t="shared" si="179"/>
        <v>0</v>
      </c>
      <c r="C673" s="3">
        <f t="shared" si="180"/>
        <v>18</v>
      </c>
      <c r="K673" s="3">
        <f>IF(OR($K$1="",对接源_01水果!$C673="",对接源_01水果!$C673&lt;&gt;$K$1,对接源_01水果!$B673=""),0,IF(OR(N(对接源_01水果!$B673)&lt;$K$2,N(对接源_01水果!$B673)&gt;$K$3),0,1))</f>
        <v>0</v>
      </c>
      <c r="L673" s="3">
        <f>IF(OR($L$1="",对接源_01水果!$C673="",对接源_01水果!$C673&lt;&gt;$L$1,对接源_01水果!$B673=""),0,IF(OR(N(对接源_01水果!$B673)&lt;$L$2,N(对接源_01水果!$B673)&gt;$L$3),0,1))</f>
        <v>0</v>
      </c>
      <c r="M673" s="3">
        <f>IF(OR($M$1="",对接源_01水果!$C673="",对接源_01水果!$C673&lt;&gt;$M$1,对接源_01水果!$B673=""),0,IF(OR(N(对接源_01水果!$B673)&lt;$M$2,N(对接源_01水果!$B673)&gt;$M$3),0,1))</f>
        <v>0</v>
      </c>
      <c r="N673" s="3">
        <f>IF(OR($N$1="",对接源_01水果!$C673="",对接源_01水果!$C673&lt;&gt;$N$1,对接源_01水果!$B673=""),0,IF(OR(N(对接源_01水果!$B673)&lt;$N$2,N(对接源_01水果!$B673)&gt;$N$3),0,1))</f>
        <v>0</v>
      </c>
      <c r="P673" s="3">
        <f>IF(AND($K673=1,AND(对接源_01水果!$X673="公司筐",N(对接源_01水果!$T673)&lt;&gt;0)),1,0)</f>
        <v>0</v>
      </c>
      <c r="Q673" s="3">
        <f t="shared" si="181"/>
        <v>0</v>
      </c>
      <c r="R673" s="3">
        <f>IF(AND($K673=1,AND(对接源_01水果!$X673="公司筐",N(对接源_01水果!$U673)&lt;&gt;0)),1,0)</f>
        <v>0</v>
      </c>
      <c r="S673" s="3">
        <f t="shared" si="182"/>
        <v>0</v>
      </c>
      <c r="T673" s="3">
        <f>IF(AND($K673=1,AND(对接源_01水果!$X673="公司筐",N(对接源_01水果!$V673)&lt;&gt;0)),1,0)</f>
        <v>0</v>
      </c>
      <c r="U673" s="3">
        <f t="shared" si="183"/>
        <v>19</v>
      </c>
      <c r="V673" s="3">
        <f>IF(AND($L673=1,AND(对接源_01水果!$X673="自备筐",N(对接源_01水果!$V673)&lt;&gt;0)),1,0)</f>
        <v>0</v>
      </c>
      <c r="W673" s="3">
        <f t="shared" si="184"/>
        <v>8</v>
      </c>
      <c r="X673" s="3">
        <f>IF(AND($L673=1,AND(对接源_01水果!$X673="自备筐",N(对接源_01水果!$T673)&lt;&gt;0)),1,0)</f>
        <v>0</v>
      </c>
      <c r="Y673" s="3">
        <f t="shared" si="185"/>
        <v>0</v>
      </c>
      <c r="Z673" s="3">
        <f>IF(AND($M673=1,对接源_01水果!$D673="原料入库"),1,0)</f>
        <v>0</v>
      </c>
      <c r="AA673" s="3">
        <f t="shared" si="186"/>
        <v>24</v>
      </c>
      <c r="AB673" s="3">
        <f>IF(AND($M673=1,LEFT(对接源_01水果!$D673,4)="原料出库"),1,0)</f>
        <v>0</v>
      </c>
      <c r="AC673" s="3">
        <f t="shared" si="187"/>
        <v>0</v>
      </c>
      <c r="AD673" s="3">
        <f>IF(AND($M673=1,LEFT(对接源_01水果!$D673,4)="成品出库"),1,0)</f>
        <v>0</v>
      </c>
      <c r="AE673" s="3">
        <f t="shared" si="188"/>
        <v>0</v>
      </c>
      <c r="AF673" s="3">
        <f>IF(AND($N673=1,AND(LEFT(对接源_01水果!$D673,4)="包装物料",N(对接源_01水果!$K673)&lt;&gt;0)),1,0)</f>
        <v>0</v>
      </c>
      <c r="AG673" s="3">
        <f t="shared" si="189"/>
        <v>0</v>
      </c>
      <c r="AH673" s="3">
        <f>IF(AND($N673=1,AND(对接源_01水果!$D673="周转筐－销售出库",N(对接源_01水果!$K673)&lt;&gt;0)),1,0)</f>
        <v>0</v>
      </c>
      <c r="AI673" s="3">
        <f t="shared" si="190"/>
        <v>0</v>
      </c>
      <c r="AJ673" s="7"/>
      <c r="AL673" s="3">
        <f>IF(OR($AL$1="",对接源_01水果!$Y673="",对接源_01水果!$Y673&lt;&gt;$AL$1,对接源_01水果!$B673="",N(对接源_01水果!$AJ673)&lt;=0),0,IF(OR(N(对接源_01水果!$B673)&lt;$AL$2,N(对接源_01水果!$B673)&gt;$AL$3),0,1))</f>
        <v>0</v>
      </c>
      <c r="AM673" s="3">
        <f t="shared" si="191"/>
        <v>1</v>
      </c>
      <c r="AN673" s="3" t="str">
        <f>IF(对接源_01水果!$AC673="","",对接源_01水果!$AC673)</f>
        <v/>
      </c>
      <c r="AO673" s="3">
        <f t="shared" si="192"/>
        <v>0</v>
      </c>
      <c r="AP673" s="3">
        <f t="shared" si="193"/>
        <v>8</v>
      </c>
      <c r="AR673">
        <f t="shared" si="194"/>
        <v>0</v>
      </c>
      <c r="AS673">
        <f t="shared" si="195"/>
        <v>0</v>
      </c>
    </row>
    <row r="674" ht="14.25" customHeight="1" spans="1:45">
      <c r="A674" s="3" t="str">
        <f>IF(对接源_01水果!$C674="","",对接源_01水果!$C674)</f>
        <v/>
      </c>
      <c r="B674" s="3">
        <f t="shared" si="179"/>
        <v>0</v>
      </c>
      <c r="C674" s="3">
        <f t="shared" si="180"/>
        <v>18</v>
      </c>
      <c r="K674" s="3">
        <f>IF(OR($K$1="",对接源_01水果!$C674="",对接源_01水果!$C674&lt;&gt;$K$1,对接源_01水果!$B674=""),0,IF(OR(N(对接源_01水果!$B674)&lt;$K$2,N(对接源_01水果!$B674)&gt;$K$3),0,1))</f>
        <v>0</v>
      </c>
      <c r="L674" s="3">
        <f>IF(OR($L$1="",对接源_01水果!$C674="",对接源_01水果!$C674&lt;&gt;$L$1,对接源_01水果!$B674=""),0,IF(OR(N(对接源_01水果!$B674)&lt;$L$2,N(对接源_01水果!$B674)&gt;$L$3),0,1))</f>
        <v>0</v>
      </c>
      <c r="M674" s="3">
        <f>IF(OR($M$1="",对接源_01水果!$C674="",对接源_01水果!$C674&lt;&gt;$M$1,对接源_01水果!$B674=""),0,IF(OR(N(对接源_01水果!$B674)&lt;$M$2,N(对接源_01水果!$B674)&gt;$M$3),0,1))</f>
        <v>0</v>
      </c>
      <c r="N674" s="3">
        <f>IF(OR($N$1="",对接源_01水果!$C674="",对接源_01水果!$C674&lt;&gt;$N$1,对接源_01水果!$B674=""),0,IF(OR(N(对接源_01水果!$B674)&lt;$N$2,N(对接源_01水果!$B674)&gt;$N$3),0,1))</f>
        <v>0</v>
      </c>
      <c r="P674" s="3">
        <f>IF(AND($K674=1,AND(对接源_01水果!$X674="公司筐",N(对接源_01水果!$T674)&lt;&gt;0)),1,0)</f>
        <v>0</v>
      </c>
      <c r="Q674" s="3">
        <f t="shared" si="181"/>
        <v>0</v>
      </c>
      <c r="R674" s="3">
        <f>IF(AND($K674=1,AND(对接源_01水果!$X674="公司筐",N(对接源_01水果!$U674)&lt;&gt;0)),1,0)</f>
        <v>0</v>
      </c>
      <c r="S674" s="3">
        <f t="shared" si="182"/>
        <v>0</v>
      </c>
      <c r="T674" s="3">
        <f>IF(AND($K674=1,AND(对接源_01水果!$X674="公司筐",N(对接源_01水果!$V674)&lt;&gt;0)),1,0)</f>
        <v>0</v>
      </c>
      <c r="U674" s="3">
        <f t="shared" si="183"/>
        <v>19</v>
      </c>
      <c r="V674" s="3">
        <f>IF(AND($L674=1,AND(对接源_01水果!$X674="自备筐",N(对接源_01水果!$V674)&lt;&gt;0)),1,0)</f>
        <v>0</v>
      </c>
      <c r="W674" s="3">
        <f t="shared" si="184"/>
        <v>8</v>
      </c>
      <c r="X674" s="3">
        <f>IF(AND($L674=1,AND(对接源_01水果!$X674="自备筐",N(对接源_01水果!$T674)&lt;&gt;0)),1,0)</f>
        <v>0</v>
      </c>
      <c r="Y674" s="3">
        <f t="shared" si="185"/>
        <v>0</v>
      </c>
      <c r="Z674" s="3">
        <f>IF(AND($M674=1,对接源_01水果!$D674="原料入库"),1,0)</f>
        <v>0</v>
      </c>
      <c r="AA674" s="3">
        <f t="shared" si="186"/>
        <v>24</v>
      </c>
      <c r="AB674" s="3">
        <f>IF(AND($M674=1,LEFT(对接源_01水果!$D674,4)="原料出库"),1,0)</f>
        <v>0</v>
      </c>
      <c r="AC674" s="3">
        <f t="shared" si="187"/>
        <v>0</v>
      </c>
      <c r="AD674" s="3">
        <f>IF(AND($M674=1,LEFT(对接源_01水果!$D674,4)="成品出库"),1,0)</f>
        <v>0</v>
      </c>
      <c r="AE674" s="3">
        <f t="shared" si="188"/>
        <v>0</v>
      </c>
      <c r="AF674" s="3">
        <f>IF(AND($N674=1,AND(LEFT(对接源_01水果!$D674,4)="包装物料",N(对接源_01水果!$K674)&lt;&gt;0)),1,0)</f>
        <v>0</v>
      </c>
      <c r="AG674" s="3">
        <f t="shared" si="189"/>
        <v>0</v>
      </c>
      <c r="AH674" s="3">
        <f>IF(AND($N674=1,AND(对接源_01水果!$D674="周转筐－销售出库",N(对接源_01水果!$K674)&lt;&gt;0)),1,0)</f>
        <v>0</v>
      </c>
      <c r="AI674" s="3">
        <f t="shared" si="190"/>
        <v>0</v>
      </c>
      <c r="AJ674" s="7"/>
      <c r="AL674" s="3">
        <f>IF(OR($AL$1="",对接源_01水果!$Y674="",对接源_01水果!$Y674&lt;&gt;$AL$1,对接源_01水果!$B674="",N(对接源_01水果!$AJ674)&lt;=0),0,IF(OR(N(对接源_01水果!$B674)&lt;$AL$2,N(对接源_01水果!$B674)&gt;$AL$3),0,1))</f>
        <v>0</v>
      </c>
      <c r="AM674" s="3">
        <f t="shared" si="191"/>
        <v>1</v>
      </c>
      <c r="AN674" s="3" t="str">
        <f>IF(对接源_01水果!$AC674="","",对接源_01水果!$AC674)</f>
        <v/>
      </c>
      <c r="AO674" s="3">
        <f t="shared" si="192"/>
        <v>0</v>
      </c>
      <c r="AP674" s="3">
        <f t="shared" si="193"/>
        <v>8</v>
      </c>
      <c r="AR674">
        <f t="shared" si="194"/>
        <v>0</v>
      </c>
      <c r="AS674">
        <f t="shared" si="195"/>
        <v>0</v>
      </c>
    </row>
    <row r="675" ht="14.25" customHeight="1" spans="1:45">
      <c r="A675" s="3" t="str">
        <f>IF(对接源_01水果!$C675="","",对接源_01水果!$C675)</f>
        <v/>
      </c>
      <c r="B675" s="3">
        <f t="shared" si="179"/>
        <v>0</v>
      </c>
      <c r="C675" s="3">
        <f t="shared" si="180"/>
        <v>18</v>
      </c>
      <c r="K675" s="3">
        <f>IF(OR($K$1="",对接源_01水果!$C675="",对接源_01水果!$C675&lt;&gt;$K$1,对接源_01水果!$B675=""),0,IF(OR(N(对接源_01水果!$B675)&lt;$K$2,N(对接源_01水果!$B675)&gt;$K$3),0,1))</f>
        <v>0</v>
      </c>
      <c r="L675" s="3">
        <f>IF(OR($L$1="",对接源_01水果!$C675="",对接源_01水果!$C675&lt;&gt;$L$1,对接源_01水果!$B675=""),0,IF(OR(N(对接源_01水果!$B675)&lt;$L$2,N(对接源_01水果!$B675)&gt;$L$3),0,1))</f>
        <v>0</v>
      </c>
      <c r="M675" s="3">
        <f>IF(OR($M$1="",对接源_01水果!$C675="",对接源_01水果!$C675&lt;&gt;$M$1,对接源_01水果!$B675=""),0,IF(OR(N(对接源_01水果!$B675)&lt;$M$2,N(对接源_01水果!$B675)&gt;$M$3),0,1))</f>
        <v>0</v>
      </c>
      <c r="N675" s="3">
        <f>IF(OR($N$1="",对接源_01水果!$C675="",对接源_01水果!$C675&lt;&gt;$N$1,对接源_01水果!$B675=""),0,IF(OR(N(对接源_01水果!$B675)&lt;$N$2,N(对接源_01水果!$B675)&gt;$N$3),0,1))</f>
        <v>0</v>
      </c>
      <c r="P675" s="3">
        <f>IF(AND($K675=1,AND(对接源_01水果!$X675="公司筐",N(对接源_01水果!$T675)&lt;&gt;0)),1,0)</f>
        <v>0</v>
      </c>
      <c r="Q675" s="3">
        <f t="shared" si="181"/>
        <v>0</v>
      </c>
      <c r="R675" s="3">
        <f>IF(AND($K675=1,AND(对接源_01水果!$X675="公司筐",N(对接源_01水果!$U675)&lt;&gt;0)),1,0)</f>
        <v>0</v>
      </c>
      <c r="S675" s="3">
        <f t="shared" si="182"/>
        <v>0</v>
      </c>
      <c r="T675" s="3">
        <f>IF(AND($K675=1,AND(对接源_01水果!$X675="公司筐",N(对接源_01水果!$V675)&lt;&gt;0)),1,0)</f>
        <v>0</v>
      </c>
      <c r="U675" s="3">
        <f t="shared" si="183"/>
        <v>19</v>
      </c>
      <c r="V675" s="3">
        <f>IF(AND($L675=1,AND(对接源_01水果!$X675="自备筐",N(对接源_01水果!$V675)&lt;&gt;0)),1,0)</f>
        <v>0</v>
      </c>
      <c r="W675" s="3">
        <f t="shared" si="184"/>
        <v>8</v>
      </c>
      <c r="X675" s="3">
        <f>IF(AND($L675=1,AND(对接源_01水果!$X675="自备筐",N(对接源_01水果!$T675)&lt;&gt;0)),1,0)</f>
        <v>0</v>
      </c>
      <c r="Y675" s="3">
        <f t="shared" si="185"/>
        <v>0</v>
      </c>
      <c r="Z675" s="3">
        <f>IF(AND($M675=1,对接源_01水果!$D675="原料入库"),1,0)</f>
        <v>0</v>
      </c>
      <c r="AA675" s="3">
        <f t="shared" si="186"/>
        <v>24</v>
      </c>
      <c r="AB675" s="3">
        <f>IF(AND($M675=1,LEFT(对接源_01水果!$D675,4)="原料出库"),1,0)</f>
        <v>0</v>
      </c>
      <c r="AC675" s="3">
        <f t="shared" si="187"/>
        <v>0</v>
      </c>
      <c r="AD675" s="3">
        <f>IF(AND($M675=1,LEFT(对接源_01水果!$D675,4)="成品出库"),1,0)</f>
        <v>0</v>
      </c>
      <c r="AE675" s="3">
        <f t="shared" si="188"/>
        <v>0</v>
      </c>
      <c r="AF675" s="3">
        <f>IF(AND($N675=1,AND(LEFT(对接源_01水果!$D675,4)="包装物料",N(对接源_01水果!$K675)&lt;&gt;0)),1,0)</f>
        <v>0</v>
      </c>
      <c r="AG675" s="3">
        <f t="shared" si="189"/>
        <v>0</v>
      </c>
      <c r="AH675" s="3">
        <f>IF(AND($N675=1,AND(对接源_01水果!$D675="周转筐－销售出库",N(对接源_01水果!$K675)&lt;&gt;0)),1,0)</f>
        <v>0</v>
      </c>
      <c r="AI675" s="3">
        <f t="shared" si="190"/>
        <v>0</v>
      </c>
      <c r="AJ675" s="7"/>
      <c r="AL675" s="3">
        <f>IF(OR($AL$1="",对接源_01水果!$Y675="",对接源_01水果!$Y675&lt;&gt;$AL$1,对接源_01水果!$B675="",N(对接源_01水果!$AJ675)&lt;=0),0,IF(OR(N(对接源_01水果!$B675)&lt;$AL$2,N(对接源_01水果!$B675)&gt;$AL$3),0,1))</f>
        <v>0</v>
      </c>
      <c r="AM675" s="3">
        <f t="shared" si="191"/>
        <v>1</v>
      </c>
      <c r="AN675" s="3" t="str">
        <f>IF(对接源_01水果!$AC675="","",对接源_01水果!$AC675)</f>
        <v/>
      </c>
      <c r="AO675" s="3">
        <f t="shared" si="192"/>
        <v>0</v>
      </c>
      <c r="AP675" s="3">
        <f t="shared" si="193"/>
        <v>8</v>
      </c>
      <c r="AR675">
        <f t="shared" si="194"/>
        <v>0</v>
      </c>
      <c r="AS675">
        <f t="shared" si="195"/>
        <v>0</v>
      </c>
    </row>
    <row r="676" ht="14.25" customHeight="1" spans="1:45">
      <c r="A676" s="3" t="str">
        <f>IF(对接源_01水果!$C676="","",对接源_01水果!$C676)</f>
        <v/>
      </c>
      <c r="B676" s="3">
        <f t="shared" si="179"/>
        <v>0</v>
      </c>
      <c r="C676" s="3">
        <f t="shared" si="180"/>
        <v>18</v>
      </c>
      <c r="K676" s="3">
        <f>IF(OR($K$1="",对接源_01水果!$C676="",对接源_01水果!$C676&lt;&gt;$K$1,对接源_01水果!$B676=""),0,IF(OR(N(对接源_01水果!$B676)&lt;$K$2,N(对接源_01水果!$B676)&gt;$K$3),0,1))</f>
        <v>0</v>
      </c>
      <c r="L676" s="3">
        <f>IF(OR($L$1="",对接源_01水果!$C676="",对接源_01水果!$C676&lt;&gt;$L$1,对接源_01水果!$B676=""),0,IF(OR(N(对接源_01水果!$B676)&lt;$L$2,N(对接源_01水果!$B676)&gt;$L$3),0,1))</f>
        <v>0</v>
      </c>
      <c r="M676" s="3">
        <f>IF(OR($M$1="",对接源_01水果!$C676="",对接源_01水果!$C676&lt;&gt;$M$1,对接源_01水果!$B676=""),0,IF(OR(N(对接源_01水果!$B676)&lt;$M$2,N(对接源_01水果!$B676)&gt;$M$3),0,1))</f>
        <v>0</v>
      </c>
      <c r="N676" s="3">
        <f>IF(OR($N$1="",对接源_01水果!$C676="",对接源_01水果!$C676&lt;&gt;$N$1,对接源_01水果!$B676=""),0,IF(OR(N(对接源_01水果!$B676)&lt;$N$2,N(对接源_01水果!$B676)&gt;$N$3),0,1))</f>
        <v>0</v>
      </c>
      <c r="P676" s="3">
        <f>IF(AND($K676=1,AND(对接源_01水果!$X676="公司筐",N(对接源_01水果!$T676)&lt;&gt;0)),1,0)</f>
        <v>0</v>
      </c>
      <c r="Q676" s="3">
        <f t="shared" si="181"/>
        <v>0</v>
      </c>
      <c r="R676" s="3">
        <f>IF(AND($K676=1,AND(对接源_01水果!$X676="公司筐",N(对接源_01水果!$U676)&lt;&gt;0)),1,0)</f>
        <v>0</v>
      </c>
      <c r="S676" s="3">
        <f t="shared" si="182"/>
        <v>0</v>
      </c>
      <c r="T676" s="3">
        <f>IF(AND($K676=1,AND(对接源_01水果!$X676="公司筐",N(对接源_01水果!$V676)&lt;&gt;0)),1,0)</f>
        <v>0</v>
      </c>
      <c r="U676" s="3">
        <f t="shared" si="183"/>
        <v>19</v>
      </c>
      <c r="V676" s="3">
        <f>IF(AND($L676=1,AND(对接源_01水果!$X676="自备筐",N(对接源_01水果!$V676)&lt;&gt;0)),1,0)</f>
        <v>0</v>
      </c>
      <c r="W676" s="3">
        <f t="shared" si="184"/>
        <v>8</v>
      </c>
      <c r="X676" s="3">
        <f>IF(AND($L676=1,AND(对接源_01水果!$X676="自备筐",N(对接源_01水果!$T676)&lt;&gt;0)),1,0)</f>
        <v>0</v>
      </c>
      <c r="Y676" s="3">
        <f t="shared" si="185"/>
        <v>0</v>
      </c>
      <c r="Z676" s="3">
        <f>IF(AND($M676=1,对接源_01水果!$D676="原料入库"),1,0)</f>
        <v>0</v>
      </c>
      <c r="AA676" s="3">
        <f t="shared" si="186"/>
        <v>24</v>
      </c>
      <c r="AB676" s="3">
        <f>IF(AND($M676=1,LEFT(对接源_01水果!$D676,4)="原料出库"),1,0)</f>
        <v>0</v>
      </c>
      <c r="AC676" s="3">
        <f t="shared" si="187"/>
        <v>0</v>
      </c>
      <c r="AD676" s="3">
        <f>IF(AND($M676=1,LEFT(对接源_01水果!$D676,4)="成品出库"),1,0)</f>
        <v>0</v>
      </c>
      <c r="AE676" s="3">
        <f t="shared" si="188"/>
        <v>0</v>
      </c>
      <c r="AF676" s="3">
        <f>IF(AND($N676=1,AND(LEFT(对接源_01水果!$D676,4)="包装物料",N(对接源_01水果!$K676)&lt;&gt;0)),1,0)</f>
        <v>0</v>
      </c>
      <c r="AG676" s="3">
        <f t="shared" si="189"/>
        <v>0</v>
      </c>
      <c r="AH676" s="3">
        <f>IF(AND($N676=1,AND(对接源_01水果!$D676="周转筐－销售出库",N(对接源_01水果!$K676)&lt;&gt;0)),1,0)</f>
        <v>0</v>
      </c>
      <c r="AI676" s="3">
        <f t="shared" si="190"/>
        <v>0</v>
      </c>
      <c r="AJ676" s="7"/>
      <c r="AL676" s="3">
        <f>IF(OR($AL$1="",对接源_01水果!$Y676="",对接源_01水果!$Y676&lt;&gt;$AL$1,对接源_01水果!$B676="",N(对接源_01水果!$AJ676)&lt;=0),0,IF(OR(N(对接源_01水果!$B676)&lt;$AL$2,N(对接源_01水果!$B676)&gt;$AL$3),0,1))</f>
        <v>0</v>
      </c>
      <c r="AM676" s="3">
        <f t="shared" si="191"/>
        <v>1</v>
      </c>
      <c r="AN676" s="3" t="str">
        <f>IF(对接源_01水果!$AC676="","",对接源_01水果!$AC676)</f>
        <v/>
      </c>
      <c r="AO676" s="3">
        <f t="shared" si="192"/>
        <v>0</v>
      </c>
      <c r="AP676" s="3">
        <f t="shared" si="193"/>
        <v>8</v>
      </c>
      <c r="AR676">
        <f t="shared" si="194"/>
        <v>0</v>
      </c>
      <c r="AS676">
        <f t="shared" si="195"/>
        <v>0</v>
      </c>
    </row>
    <row r="677" ht="14.25" customHeight="1" spans="1:45">
      <c r="A677" s="3" t="str">
        <f>IF(对接源_01水果!$C677="","",对接源_01水果!$C677)</f>
        <v/>
      </c>
      <c r="B677" s="3">
        <f t="shared" si="179"/>
        <v>0</v>
      </c>
      <c r="C677" s="3">
        <f t="shared" si="180"/>
        <v>18</v>
      </c>
      <c r="K677" s="3">
        <f>IF(OR($K$1="",对接源_01水果!$C677="",对接源_01水果!$C677&lt;&gt;$K$1,对接源_01水果!$B677=""),0,IF(OR(N(对接源_01水果!$B677)&lt;$K$2,N(对接源_01水果!$B677)&gt;$K$3),0,1))</f>
        <v>0</v>
      </c>
      <c r="L677" s="3">
        <f>IF(OR($L$1="",对接源_01水果!$C677="",对接源_01水果!$C677&lt;&gt;$L$1,对接源_01水果!$B677=""),0,IF(OR(N(对接源_01水果!$B677)&lt;$L$2,N(对接源_01水果!$B677)&gt;$L$3),0,1))</f>
        <v>0</v>
      </c>
      <c r="M677" s="3">
        <f>IF(OR($M$1="",对接源_01水果!$C677="",对接源_01水果!$C677&lt;&gt;$M$1,对接源_01水果!$B677=""),0,IF(OR(N(对接源_01水果!$B677)&lt;$M$2,N(对接源_01水果!$B677)&gt;$M$3),0,1))</f>
        <v>0</v>
      </c>
      <c r="N677" s="3">
        <f>IF(OR($N$1="",对接源_01水果!$C677="",对接源_01水果!$C677&lt;&gt;$N$1,对接源_01水果!$B677=""),0,IF(OR(N(对接源_01水果!$B677)&lt;$N$2,N(对接源_01水果!$B677)&gt;$N$3),0,1))</f>
        <v>0</v>
      </c>
      <c r="P677" s="3">
        <f>IF(AND($K677=1,AND(对接源_01水果!$X677="公司筐",N(对接源_01水果!$T677)&lt;&gt;0)),1,0)</f>
        <v>0</v>
      </c>
      <c r="Q677" s="3">
        <f t="shared" si="181"/>
        <v>0</v>
      </c>
      <c r="R677" s="3">
        <f>IF(AND($K677=1,AND(对接源_01水果!$X677="公司筐",N(对接源_01水果!$U677)&lt;&gt;0)),1,0)</f>
        <v>0</v>
      </c>
      <c r="S677" s="3">
        <f t="shared" si="182"/>
        <v>0</v>
      </c>
      <c r="T677" s="3">
        <f>IF(AND($K677=1,AND(对接源_01水果!$X677="公司筐",N(对接源_01水果!$V677)&lt;&gt;0)),1,0)</f>
        <v>0</v>
      </c>
      <c r="U677" s="3">
        <f t="shared" si="183"/>
        <v>19</v>
      </c>
      <c r="V677" s="3">
        <f>IF(AND($L677=1,AND(对接源_01水果!$X677="自备筐",N(对接源_01水果!$V677)&lt;&gt;0)),1,0)</f>
        <v>0</v>
      </c>
      <c r="W677" s="3">
        <f t="shared" si="184"/>
        <v>8</v>
      </c>
      <c r="X677" s="3">
        <f>IF(AND($L677=1,AND(对接源_01水果!$X677="自备筐",N(对接源_01水果!$T677)&lt;&gt;0)),1,0)</f>
        <v>0</v>
      </c>
      <c r="Y677" s="3">
        <f t="shared" si="185"/>
        <v>0</v>
      </c>
      <c r="Z677" s="3">
        <f>IF(AND($M677=1,对接源_01水果!$D677="原料入库"),1,0)</f>
        <v>0</v>
      </c>
      <c r="AA677" s="3">
        <f t="shared" si="186"/>
        <v>24</v>
      </c>
      <c r="AB677" s="3">
        <f>IF(AND($M677=1,LEFT(对接源_01水果!$D677,4)="原料出库"),1,0)</f>
        <v>0</v>
      </c>
      <c r="AC677" s="3">
        <f t="shared" si="187"/>
        <v>0</v>
      </c>
      <c r="AD677" s="3">
        <f>IF(AND($M677=1,LEFT(对接源_01水果!$D677,4)="成品出库"),1,0)</f>
        <v>0</v>
      </c>
      <c r="AE677" s="3">
        <f t="shared" si="188"/>
        <v>0</v>
      </c>
      <c r="AF677" s="3">
        <f>IF(AND($N677=1,AND(LEFT(对接源_01水果!$D677,4)="包装物料",N(对接源_01水果!$K677)&lt;&gt;0)),1,0)</f>
        <v>0</v>
      </c>
      <c r="AG677" s="3">
        <f t="shared" si="189"/>
        <v>0</v>
      </c>
      <c r="AH677" s="3">
        <f>IF(AND($N677=1,AND(对接源_01水果!$D677="周转筐－销售出库",N(对接源_01水果!$K677)&lt;&gt;0)),1,0)</f>
        <v>0</v>
      </c>
      <c r="AI677" s="3">
        <f t="shared" si="190"/>
        <v>0</v>
      </c>
      <c r="AJ677" s="7"/>
      <c r="AL677" s="3">
        <f>IF(OR($AL$1="",对接源_01水果!$Y677="",对接源_01水果!$Y677&lt;&gt;$AL$1,对接源_01水果!$B677="",N(对接源_01水果!$AJ677)&lt;=0),0,IF(OR(N(对接源_01水果!$B677)&lt;$AL$2,N(对接源_01水果!$B677)&gt;$AL$3),0,1))</f>
        <v>0</v>
      </c>
      <c r="AM677" s="3">
        <f t="shared" si="191"/>
        <v>1</v>
      </c>
      <c r="AN677" s="3" t="str">
        <f>IF(对接源_01水果!$AC677="","",对接源_01水果!$AC677)</f>
        <v/>
      </c>
      <c r="AO677" s="3">
        <f t="shared" si="192"/>
        <v>0</v>
      </c>
      <c r="AP677" s="3">
        <f t="shared" si="193"/>
        <v>8</v>
      </c>
      <c r="AR677">
        <f t="shared" si="194"/>
        <v>0</v>
      </c>
      <c r="AS677">
        <f t="shared" si="195"/>
        <v>0</v>
      </c>
    </row>
    <row r="678" ht="14.25" customHeight="1" spans="1:45">
      <c r="A678" s="3" t="str">
        <f>IF(对接源_01水果!$C678="","",对接源_01水果!$C678)</f>
        <v/>
      </c>
      <c r="B678" s="3">
        <f t="shared" si="179"/>
        <v>0</v>
      </c>
      <c r="C678" s="3">
        <f t="shared" si="180"/>
        <v>18</v>
      </c>
      <c r="K678" s="3">
        <f>IF(OR($K$1="",对接源_01水果!$C678="",对接源_01水果!$C678&lt;&gt;$K$1,对接源_01水果!$B678=""),0,IF(OR(N(对接源_01水果!$B678)&lt;$K$2,N(对接源_01水果!$B678)&gt;$K$3),0,1))</f>
        <v>0</v>
      </c>
      <c r="L678" s="3">
        <f>IF(OR($L$1="",对接源_01水果!$C678="",对接源_01水果!$C678&lt;&gt;$L$1,对接源_01水果!$B678=""),0,IF(OR(N(对接源_01水果!$B678)&lt;$L$2,N(对接源_01水果!$B678)&gt;$L$3),0,1))</f>
        <v>0</v>
      </c>
      <c r="M678" s="3">
        <f>IF(OR($M$1="",对接源_01水果!$C678="",对接源_01水果!$C678&lt;&gt;$M$1,对接源_01水果!$B678=""),0,IF(OR(N(对接源_01水果!$B678)&lt;$M$2,N(对接源_01水果!$B678)&gt;$M$3),0,1))</f>
        <v>0</v>
      </c>
      <c r="N678" s="3">
        <f>IF(OR($N$1="",对接源_01水果!$C678="",对接源_01水果!$C678&lt;&gt;$N$1,对接源_01水果!$B678=""),0,IF(OR(N(对接源_01水果!$B678)&lt;$N$2,N(对接源_01水果!$B678)&gt;$N$3),0,1))</f>
        <v>0</v>
      </c>
      <c r="P678" s="3">
        <f>IF(AND($K678=1,AND(对接源_01水果!$X678="公司筐",N(对接源_01水果!$T678)&lt;&gt;0)),1,0)</f>
        <v>0</v>
      </c>
      <c r="Q678" s="3">
        <f t="shared" si="181"/>
        <v>0</v>
      </c>
      <c r="R678" s="3">
        <f>IF(AND($K678=1,AND(对接源_01水果!$X678="公司筐",N(对接源_01水果!$U678)&lt;&gt;0)),1,0)</f>
        <v>0</v>
      </c>
      <c r="S678" s="3">
        <f t="shared" si="182"/>
        <v>0</v>
      </c>
      <c r="T678" s="3">
        <f>IF(AND($K678=1,AND(对接源_01水果!$X678="公司筐",N(对接源_01水果!$V678)&lt;&gt;0)),1,0)</f>
        <v>0</v>
      </c>
      <c r="U678" s="3">
        <f t="shared" si="183"/>
        <v>19</v>
      </c>
      <c r="V678" s="3">
        <f>IF(AND($L678=1,AND(对接源_01水果!$X678="自备筐",N(对接源_01水果!$V678)&lt;&gt;0)),1,0)</f>
        <v>0</v>
      </c>
      <c r="W678" s="3">
        <f t="shared" si="184"/>
        <v>8</v>
      </c>
      <c r="X678" s="3">
        <f>IF(AND($L678=1,AND(对接源_01水果!$X678="自备筐",N(对接源_01水果!$T678)&lt;&gt;0)),1,0)</f>
        <v>0</v>
      </c>
      <c r="Y678" s="3">
        <f t="shared" si="185"/>
        <v>0</v>
      </c>
      <c r="Z678" s="3">
        <f>IF(AND($M678=1,对接源_01水果!$D678="原料入库"),1,0)</f>
        <v>0</v>
      </c>
      <c r="AA678" s="3">
        <f t="shared" si="186"/>
        <v>24</v>
      </c>
      <c r="AB678" s="3">
        <f>IF(AND($M678=1,LEFT(对接源_01水果!$D678,4)="原料出库"),1,0)</f>
        <v>0</v>
      </c>
      <c r="AC678" s="3">
        <f t="shared" si="187"/>
        <v>0</v>
      </c>
      <c r="AD678" s="3">
        <f>IF(AND($M678=1,LEFT(对接源_01水果!$D678,4)="成品出库"),1,0)</f>
        <v>0</v>
      </c>
      <c r="AE678" s="3">
        <f t="shared" si="188"/>
        <v>0</v>
      </c>
      <c r="AF678" s="3">
        <f>IF(AND($N678=1,AND(LEFT(对接源_01水果!$D678,4)="包装物料",N(对接源_01水果!$K678)&lt;&gt;0)),1,0)</f>
        <v>0</v>
      </c>
      <c r="AG678" s="3">
        <f t="shared" si="189"/>
        <v>0</v>
      </c>
      <c r="AH678" s="3">
        <f>IF(AND($N678=1,AND(对接源_01水果!$D678="周转筐－销售出库",N(对接源_01水果!$K678)&lt;&gt;0)),1,0)</f>
        <v>0</v>
      </c>
      <c r="AI678" s="3">
        <f t="shared" si="190"/>
        <v>0</v>
      </c>
      <c r="AJ678" s="7"/>
      <c r="AL678" s="3">
        <f>IF(OR($AL$1="",对接源_01水果!$Y678="",对接源_01水果!$Y678&lt;&gt;$AL$1,对接源_01水果!$B678="",N(对接源_01水果!$AJ678)&lt;=0),0,IF(OR(N(对接源_01水果!$B678)&lt;$AL$2,N(对接源_01水果!$B678)&gt;$AL$3),0,1))</f>
        <v>0</v>
      </c>
      <c r="AM678" s="3">
        <f t="shared" si="191"/>
        <v>1</v>
      </c>
      <c r="AN678" s="3" t="str">
        <f>IF(对接源_01水果!$AC678="","",对接源_01水果!$AC678)</f>
        <v/>
      </c>
      <c r="AO678" s="3">
        <f t="shared" si="192"/>
        <v>0</v>
      </c>
      <c r="AP678" s="3">
        <f t="shared" si="193"/>
        <v>8</v>
      </c>
      <c r="AR678">
        <f t="shared" si="194"/>
        <v>0</v>
      </c>
      <c r="AS678">
        <f t="shared" si="195"/>
        <v>0</v>
      </c>
    </row>
    <row r="679" ht="14.25" customHeight="1" spans="1:45">
      <c r="A679" s="3" t="str">
        <f>IF(对接源_01水果!$C679="","",对接源_01水果!$C679)</f>
        <v/>
      </c>
      <c r="B679" s="3">
        <f t="shared" si="179"/>
        <v>0</v>
      </c>
      <c r="C679" s="3">
        <f t="shared" si="180"/>
        <v>18</v>
      </c>
      <c r="K679" s="3">
        <f>IF(OR($K$1="",对接源_01水果!$C679="",对接源_01水果!$C679&lt;&gt;$K$1,对接源_01水果!$B679=""),0,IF(OR(N(对接源_01水果!$B679)&lt;$K$2,N(对接源_01水果!$B679)&gt;$K$3),0,1))</f>
        <v>0</v>
      </c>
      <c r="L679" s="3">
        <f>IF(OR($L$1="",对接源_01水果!$C679="",对接源_01水果!$C679&lt;&gt;$L$1,对接源_01水果!$B679=""),0,IF(OR(N(对接源_01水果!$B679)&lt;$L$2,N(对接源_01水果!$B679)&gt;$L$3),0,1))</f>
        <v>0</v>
      </c>
      <c r="M679" s="3">
        <f>IF(OR($M$1="",对接源_01水果!$C679="",对接源_01水果!$C679&lt;&gt;$M$1,对接源_01水果!$B679=""),0,IF(OR(N(对接源_01水果!$B679)&lt;$M$2,N(对接源_01水果!$B679)&gt;$M$3),0,1))</f>
        <v>0</v>
      </c>
      <c r="N679" s="3">
        <f>IF(OR($N$1="",对接源_01水果!$C679="",对接源_01水果!$C679&lt;&gt;$N$1,对接源_01水果!$B679=""),0,IF(OR(N(对接源_01水果!$B679)&lt;$N$2,N(对接源_01水果!$B679)&gt;$N$3),0,1))</f>
        <v>0</v>
      </c>
      <c r="P679" s="3">
        <f>IF(AND($K679=1,AND(对接源_01水果!$X679="公司筐",N(对接源_01水果!$T679)&lt;&gt;0)),1,0)</f>
        <v>0</v>
      </c>
      <c r="Q679" s="3">
        <f t="shared" si="181"/>
        <v>0</v>
      </c>
      <c r="R679" s="3">
        <f>IF(AND($K679=1,AND(对接源_01水果!$X679="公司筐",N(对接源_01水果!$U679)&lt;&gt;0)),1,0)</f>
        <v>0</v>
      </c>
      <c r="S679" s="3">
        <f t="shared" si="182"/>
        <v>0</v>
      </c>
      <c r="T679" s="3">
        <f>IF(AND($K679=1,AND(对接源_01水果!$X679="公司筐",N(对接源_01水果!$V679)&lt;&gt;0)),1,0)</f>
        <v>0</v>
      </c>
      <c r="U679" s="3">
        <f t="shared" si="183"/>
        <v>19</v>
      </c>
      <c r="V679" s="3">
        <f>IF(AND($L679=1,AND(对接源_01水果!$X679="自备筐",N(对接源_01水果!$V679)&lt;&gt;0)),1,0)</f>
        <v>0</v>
      </c>
      <c r="W679" s="3">
        <f t="shared" si="184"/>
        <v>8</v>
      </c>
      <c r="X679" s="3">
        <f>IF(AND($L679=1,AND(对接源_01水果!$X679="自备筐",N(对接源_01水果!$T679)&lt;&gt;0)),1,0)</f>
        <v>0</v>
      </c>
      <c r="Y679" s="3">
        <f t="shared" si="185"/>
        <v>0</v>
      </c>
      <c r="Z679" s="3">
        <f>IF(AND($M679=1,对接源_01水果!$D679="原料入库"),1,0)</f>
        <v>0</v>
      </c>
      <c r="AA679" s="3">
        <f t="shared" si="186"/>
        <v>24</v>
      </c>
      <c r="AB679" s="3">
        <f>IF(AND($M679=1,LEFT(对接源_01水果!$D679,4)="原料出库"),1,0)</f>
        <v>0</v>
      </c>
      <c r="AC679" s="3">
        <f t="shared" si="187"/>
        <v>0</v>
      </c>
      <c r="AD679" s="3">
        <f>IF(AND($M679=1,LEFT(对接源_01水果!$D679,4)="成品出库"),1,0)</f>
        <v>0</v>
      </c>
      <c r="AE679" s="3">
        <f t="shared" si="188"/>
        <v>0</v>
      </c>
      <c r="AF679" s="3">
        <f>IF(AND($N679=1,AND(LEFT(对接源_01水果!$D679,4)="包装物料",N(对接源_01水果!$K679)&lt;&gt;0)),1,0)</f>
        <v>0</v>
      </c>
      <c r="AG679" s="3">
        <f t="shared" si="189"/>
        <v>0</v>
      </c>
      <c r="AH679" s="3">
        <f>IF(AND($N679=1,AND(对接源_01水果!$D679="周转筐－销售出库",N(对接源_01水果!$K679)&lt;&gt;0)),1,0)</f>
        <v>0</v>
      </c>
      <c r="AI679" s="3">
        <f t="shared" si="190"/>
        <v>0</v>
      </c>
      <c r="AJ679" s="7"/>
      <c r="AL679" s="3">
        <f>IF(OR($AL$1="",对接源_01水果!$Y679="",对接源_01水果!$Y679&lt;&gt;$AL$1,对接源_01水果!$B679="",N(对接源_01水果!$AJ679)&lt;=0),0,IF(OR(N(对接源_01水果!$B679)&lt;$AL$2,N(对接源_01水果!$B679)&gt;$AL$3),0,1))</f>
        <v>0</v>
      </c>
      <c r="AM679" s="3">
        <f t="shared" si="191"/>
        <v>1</v>
      </c>
      <c r="AN679" s="3" t="str">
        <f>IF(对接源_01水果!$AC679="","",对接源_01水果!$AC679)</f>
        <v/>
      </c>
      <c r="AO679" s="3">
        <f t="shared" si="192"/>
        <v>0</v>
      </c>
      <c r="AP679" s="3">
        <f t="shared" si="193"/>
        <v>8</v>
      </c>
      <c r="AR679">
        <f t="shared" si="194"/>
        <v>0</v>
      </c>
      <c r="AS679">
        <f t="shared" si="195"/>
        <v>0</v>
      </c>
    </row>
    <row r="680" ht="14.25" customHeight="1" spans="1:45">
      <c r="A680" s="3" t="str">
        <f>IF(对接源_01水果!$C680="","",对接源_01水果!$C680)</f>
        <v/>
      </c>
      <c r="B680" s="3">
        <f t="shared" si="179"/>
        <v>0</v>
      </c>
      <c r="C680" s="3">
        <f t="shared" si="180"/>
        <v>18</v>
      </c>
      <c r="K680" s="3">
        <f>IF(OR($K$1="",对接源_01水果!$C680="",对接源_01水果!$C680&lt;&gt;$K$1,对接源_01水果!$B680=""),0,IF(OR(N(对接源_01水果!$B680)&lt;$K$2,N(对接源_01水果!$B680)&gt;$K$3),0,1))</f>
        <v>0</v>
      </c>
      <c r="L680" s="3">
        <f>IF(OR($L$1="",对接源_01水果!$C680="",对接源_01水果!$C680&lt;&gt;$L$1,对接源_01水果!$B680=""),0,IF(OR(N(对接源_01水果!$B680)&lt;$L$2,N(对接源_01水果!$B680)&gt;$L$3),0,1))</f>
        <v>0</v>
      </c>
      <c r="M680" s="3">
        <f>IF(OR($M$1="",对接源_01水果!$C680="",对接源_01水果!$C680&lt;&gt;$M$1,对接源_01水果!$B680=""),0,IF(OR(N(对接源_01水果!$B680)&lt;$M$2,N(对接源_01水果!$B680)&gt;$M$3),0,1))</f>
        <v>0</v>
      </c>
      <c r="N680" s="3">
        <f>IF(OR($N$1="",对接源_01水果!$C680="",对接源_01水果!$C680&lt;&gt;$N$1,对接源_01水果!$B680=""),0,IF(OR(N(对接源_01水果!$B680)&lt;$N$2,N(对接源_01水果!$B680)&gt;$N$3),0,1))</f>
        <v>0</v>
      </c>
      <c r="P680" s="3">
        <f>IF(AND($K680=1,AND(对接源_01水果!$X680="公司筐",N(对接源_01水果!$T680)&lt;&gt;0)),1,0)</f>
        <v>0</v>
      </c>
      <c r="Q680" s="3">
        <f t="shared" si="181"/>
        <v>0</v>
      </c>
      <c r="R680" s="3">
        <f>IF(AND($K680=1,AND(对接源_01水果!$X680="公司筐",N(对接源_01水果!$U680)&lt;&gt;0)),1,0)</f>
        <v>0</v>
      </c>
      <c r="S680" s="3">
        <f t="shared" si="182"/>
        <v>0</v>
      </c>
      <c r="T680" s="3">
        <f>IF(AND($K680=1,AND(对接源_01水果!$X680="公司筐",N(对接源_01水果!$V680)&lt;&gt;0)),1,0)</f>
        <v>0</v>
      </c>
      <c r="U680" s="3">
        <f t="shared" si="183"/>
        <v>19</v>
      </c>
      <c r="V680" s="3">
        <f>IF(AND($L680=1,AND(对接源_01水果!$X680="自备筐",N(对接源_01水果!$V680)&lt;&gt;0)),1,0)</f>
        <v>0</v>
      </c>
      <c r="W680" s="3">
        <f t="shared" si="184"/>
        <v>8</v>
      </c>
      <c r="X680" s="3">
        <f>IF(AND($L680=1,AND(对接源_01水果!$X680="自备筐",N(对接源_01水果!$T680)&lt;&gt;0)),1,0)</f>
        <v>0</v>
      </c>
      <c r="Y680" s="3">
        <f t="shared" si="185"/>
        <v>0</v>
      </c>
      <c r="Z680" s="3">
        <f>IF(AND($M680=1,对接源_01水果!$D680="原料入库"),1,0)</f>
        <v>0</v>
      </c>
      <c r="AA680" s="3">
        <f t="shared" si="186"/>
        <v>24</v>
      </c>
      <c r="AB680" s="3">
        <f>IF(AND($M680=1,LEFT(对接源_01水果!$D680,4)="原料出库"),1,0)</f>
        <v>0</v>
      </c>
      <c r="AC680" s="3">
        <f t="shared" si="187"/>
        <v>0</v>
      </c>
      <c r="AD680" s="3">
        <f>IF(AND($M680=1,LEFT(对接源_01水果!$D680,4)="成品出库"),1,0)</f>
        <v>0</v>
      </c>
      <c r="AE680" s="3">
        <f t="shared" si="188"/>
        <v>0</v>
      </c>
      <c r="AF680" s="3">
        <f>IF(AND($N680=1,AND(LEFT(对接源_01水果!$D680,4)="包装物料",N(对接源_01水果!$K680)&lt;&gt;0)),1,0)</f>
        <v>0</v>
      </c>
      <c r="AG680" s="3">
        <f t="shared" si="189"/>
        <v>0</v>
      </c>
      <c r="AH680" s="3">
        <f>IF(AND($N680=1,AND(对接源_01水果!$D680="周转筐－销售出库",N(对接源_01水果!$K680)&lt;&gt;0)),1,0)</f>
        <v>0</v>
      </c>
      <c r="AI680" s="3">
        <f t="shared" si="190"/>
        <v>0</v>
      </c>
      <c r="AJ680" s="7"/>
      <c r="AL680" s="3">
        <f>IF(OR($AL$1="",对接源_01水果!$Y680="",对接源_01水果!$Y680&lt;&gt;$AL$1,对接源_01水果!$B680="",N(对接源_01水果!$AJ680)&lt;=0),0,IF(OR(N(对接源_01水果!$B680)&lt;$AL$2,N(对接源_01水果!$B680)&gt;$AL$3),0,1))</f>
        <v>0</v>
      </c>
      <c r="AM680" s="3">
        <f t="shared" si="191"/>
        <v>1</v>
      </c>
      <c r="AN680" s="3" t="str">
        <f>IF(对接源_01水果!$AC680="","",对接源_01水果!$AC680)</f>
        <v/>
      </c>
      <c r="AO680" s="3">
        <f t="shared" si="192"/>
        <v>0</v>
      </c>
      <c r="AP680" s="3">
        <f t="shared" si="193"/>
        <v>8</v>
      </c>
      <c r="AR680">
        <f t="shared" si="194"/>
        <v>0</v>
      </c>
      <c r="AS680">
        <f t="shared" si="195"/>
        <v>0</v>
      </c>
    </row>
    <row r="681" ht="14.25" customHeight="1" spans="1:45">
      <c r="A681" s="3" t="str">
        <f>IF(对接源_01水果!$C681="","",对接源_01水果!$C681)</f>
        <v/>
      </c>
      <c r="B681" s="3">
        <f t="shared" si="179"/>
        <v>0</v>
      </c>
      <c r="C681" s="3">
        <f t="shared" si="180"/>
        <v>18</v>
      </c>
      <c r="K681" s="3">
        <f>IF(OR($K$1="",对接源_01水果!$C681="",对接源_01水果!$C681&lt;&gt;$K$1,对接源_01水果!$B681=""),0,IF(OR(N(对接源_01水果!$B681)&lt;$K$2,N(对接源_01水果!$B681)&gt;$K$3),0,1))</f>
        <v>0</v>
      </c>
      <c r="L681" s="3">
        <f>IF(OR($L$1="",对接源_01水果!$C681="",对接源_01水果!$C681&lt;&gt;$L$1,对接源_01水果!$B681=""),0,IF(OR(N(对接源_01水果!$B681)&lt;$L$2,N(对接源_01水果!$B681)&gt;$L$3),0,1))</f>
        <v>0</v>
      </c>
      <c r="M681" s="3">
        <f>IF(OR($M$1="",对接源_01水果!$C681="",对接源_01水果!$C681&lt;&gt;$M$1,对接源_01水果!$B681=""),0,IF(OR(N(对接源_01水果!$B681)&lt;$M$2,N(对接源_01水果!$B681)&gt;$M$3),0,1))</f>
        <v>0</v>
      </c>
      <c r="N681" s="3">
        <f>IF(OR($N$1="",对接源_01水果!$C681="",对接源_01水果!$C681&lt;&gt;$N$1,对接源_01水果!$B681=""),0,IF(OR(N(对接源_01水果!$B681)&lt;$N$2,N(对接源_01水果!$B681)&gt;$N$3),0,1))</f>
        <v>0</v>
      </c>
      <c r="P681" s="3">
        <f>IF(AND($K681=1,AND(对接源_01水果!$X681="公司筐",N(对接源_01水果!$T681)&lt;&gt;0)),1,0)</f>
        <v>0</v>
      </c>
      <c r="Q681" s="3">
        <f t="shared" si="181"/>
        <v>0</v>
      </c>
      <c r="R681" s="3">
        <f>IF(AND($K681=1,AND(对接源_01水果!$X681="公司筐",N(对接源_01水果!$U681)&lt;&gt;0)),1,0)</f>
        <v>0</v>
      </c>
      <c r="S681" s="3">
        <f t="shared" si="182"/>
        <v>0</v>
      </c>
      <c r="T681" s="3">
        <f>IF(AND($K681=1,AND(对接源_01水果!$X681="公司筐",N(对接源_01水果!$V681)&lt;&gt;0)),1,0)</f>
        <v>0</v>
      </c>
      <c r="U681" s="3">
        <f t="shared" si="183"/>
        <v>19</v>
      </c>
      <c r="V681" s="3">
        <f>IF(AND($L681=1,AND(对接源_01水果!$X681="自备筐",N(对接源_01水果!$V681)&lt;&gt;0)),1,0)</f>
        <v>0</v>
      </c>
      <c r="W681" s="3">
        <f t="shared" si="184"/>
        <v>8</v>
      </c>
      <c r="X681" s="3">
        <f>IF(AND($L681=1,AND(对接源_01水果!$X681="自备筐",N(对接源_01水果!$T681)&lt;&gt;0)),1,0)</f>
        <v>0</v>
      </c>
      <c r="Y681" s="3">
        <f t="shared" si="185"/>
        <v>0</v>
      </c>
      <c r="Z681" s="3">
        <f>IF(AND($M681=1,对接源_01水果!$D681="原料入库"),1,0)</f>
        <v>0</v>
      </c>
      <c r="AA681" s="3">
        <f t="shared" si="186"/>
        <v>24</v>
      </c>
      <c r="AB681" s="3">
        <f>IF(AND($M681=1,LEFT(对接源_01水果!$D681,4)="原料出库"),1,0)</f>
        <v>0</v>
      </c>
      <c r="AC681" s="3">
        <f t="shared" si="187"/>
        <v>0</v>
      </c>
      <c r="AD681" s="3">
        <f>IF(AND($M681=1,LEFT(对接源_01水果!$D681,4)="成品出库"),1,0)</f>
        <v>0</v>
      </c>
      <c r="AE681" s="3">
        <f t="shared" si="188"/>
        <v>0</v>
      </c>
      <c r="AF681" s="3">
        <f>IF(AND($N681=1,AND(LEFT(对接源_01水果!$D681,4)="包装物料",N(对接源_01水果!$K681)&lt;&gt;0)),1,0)</f>
        <v>0</v>
      </c>
      <c r="AG681" s="3">
        <f t="shared" si="189"/>
        <v>0</v>
      </c>
      <c r="AH681" s="3">
        <f>IF(AND($N681=1,AND(对接源_01水果!$D681="周转筐－销售出库",N(对接源_01水果!$K681)&lt;&gt;0)),1,0)</f>
        <v>0</v>
      </c>
      <c r="AI681" s="3">
        <f t="shared" si="190"/>
        <v>0</v>
      </c>
      <c r="AJ681" s="7"/>
      <c r="AL681" s="3">
        <f>IF(OR($AL$1="",对接源_01水果!$Y681="",对接源_01水果!$Y681&lt;&gt;$AL$1,对接源_01水果!$B681="",N(对接源_01水果!$AJ681)&lt;=0),0,IF(OR(N(对接源_01水果!$B681)&lt;$AL$2,N(对接源_01水果!$B681)&gt;$AL$3),0,1))</f>
        <v>0</v>
      </c>
      <c r="AM681" s="3">
        <f t="shared" si="191"/>
        <v>1</v>
      </c>
      <c r="AN681" s="3" t="str">
        <f>IF(对接源_01水果!$AC681="","",对接源_01水果!$AC681)</f>
        <v/>
      </c>
      <c r="AO681" s="3">
        <f t="shared" si="192"/>
        <v>0</v>
      </c>
      <c r="AP681" s="3">
        <f t="shared" si="193"/>
        <v>8</v>
      </c>
      <c r="AR681">
        <f t="shared" si="194"/>
        <v>0</v>
      </c>
      <c r="AS681">
        <f t="shared" si="195"/>
        <v>0</v>
      </c>
    </row>
    <row r="682" ht="14.25" customHeight="1" spans="1:45">
      <c r="A682" s="3" t="str">
        <f>IF(对接源_01水果!$C682="","",对接源_01水果!$C682)</f>
        <v/>
      </c>
      <c r="B682" s="3">
        <f t="shared" si="179"/>
        <v>0</v>
      </c>
      <c r="C682" s="3">
        <f t="shared" si="180"/>
        <v>18</v>
      </c>
      <c r="K682" s="3">
        <f>IF(OR($K$1="",对接源_01水果!$C682="",对接源_01水果!$C682&lt;&gt;$K$1,对接源_01水果!$B682=""),0,IF(OR(N(对接源_01水果!$B682)&lt;$K$2,N(对接源_01水果!$B682)&gt;$K$3),0,1))</f>
        <v>0</v>
      </c>
      <c r="L682" s="3">
        <f>IF(OR($L$1="",对接源_01水果!$C682="",对接源_01水果!$C682&lt;&gt;$L$1,对接源_01水果!$B682=""),0,IF(OR(N(对接源_01水果!$B682)&lt;$L$2,N(对接源_01水果!$B682)&gt;$L$3),0,1))</f>
        <v>0</v>
      </c>
      <c r="M682" s="3">
        <f>IF(OR($M$1="",对接源_01水果!$C682="",对接源_01水果!$C682&lt;&gt;$M$1,对接源_01水果!$B682=""),0,IF(OR(N(对接源_01水果!$B682)&lt;$M$2,N(对接源_01水果!$B682)&gt;$M$3),0,1))</f>
        <v>0</v>
      </c>
      <c r="N682" s="3">
        <f>IF(OR($N$1="",对接源_01水果!$C682="",对接源_01水果!$C682&lt;&gt;$N$1,对接源_01水果!$B682=""),0,IF(OR(N(对接源_01水果!$B682)&lt;$N$2,N(对接源_01水果!$B682)&gt;$N$3),0,1))</f>
        <v>0</v>
      </c>
      <c r="P682" s="3">
        <f>IF(AND($K682=1,AND(对接源_01水果!$X682="公司筐",N(对接源_01水果!$T682)&lt;&gt;0)),1,0)</f>
        <v>0</v>
      </c>
      <c r="Q682" s="3">
        <f t="shared" si="181"/>
        <v>0</v>
      </c>
      <c r="R682" s="3">
        <f>IF(AND($K682=1,AND(对接源_01水果!$X682="公司筐",N(对接源_01水果!$U682)&lt;&gt;0)),1,0)</f>
        <v>0</v>
      </c>
      <c r="S682" s="3">
        <f t="shared" si="182"/>
        <v>0</v>
      </c>
      <c r="T682" s="3">
        <f>IF(AND($K682=1,AND(对接源_01水果!$X682="公司筐",N(对接源_01水果!$V682)&lt;&gt;0)),1,0)</f>
        <v>0</v>
      </c>
      <c r="U682" s="3">
        <f t="shared" si="183"/>
        <v>19</v>
      </c>
      <c r="V682" s="3">
        <f>IF(AND($L682=1,AND(对接源_01水果!$X682="自备筐",N(对接源_01水果!$V682)&lt;&gt;0)),1,0)</f>
        <v>0</v>
      </c>
      <c r="W682" s="3">
        <f t="shared" si="184"/>
        <v>8</v>
      </c>
      <c r="X682" s="3">
        <f>IF(AND($L682=1,AND(对接源_01水果!$X682="自备筐",N(对接源_01水果!$T682)&lt;&gt;0)),1,0)</f>
        <v>0</v>
      </c>
      <c r="Y682" s="3">
        <f t="shared" si="185"/>
        <v>0</v>
      </c>
      <c r="Z682" s="3">
        <f>IF(AND($M682=1,对接源_01水果!$D682="原料入库"),1,0)</f>
        <v>0</v>
      </c>
      <c r="AA682" s="3">
        <f t="shared" si="186"/>
        <v>24</v>
      </c>
      <c r="AB682" s="3">
        <f>IF(AND($M682=1,LEFT(对接源_01水果!$D682,4)="原料出库"),1,0)</f>
        <v>0</v>
      </c>
      <c r="AC682" s="3">
        <f t="shared" si="187"/>
        <v>0</v>
      </c>
      <c r="AD682" s="3">
        <f>IF(AND($M682=1,LEFT(对接源_01水果!$D682,4)="成品出库"),1,0)</f>
        <v>0</v>
      </c>
      <c r="AE682" s="3">
        <f t="shared" si="188"/>
        <v>0</v>
      </c>
      <c r="AF682" s="3">
        <f>IF(AND($N682=1,AND(LEFT(对接源_01水果!$D682,4)="包装物料",N(对接源_01水果!$K682)&lt;&gt;0)),1,0)</f>
        <v>0</v>
      </c>
      <c r="AG682" s="3">
        <f t="shared" si="189"/>
        <v>0</v>
      </c>
      <c r="AH682" s="3">
        <f>IF(AND($N682=1,AND(对接源_01水果!$D682="周转筐－销售出库",N(对接源_01水果!$K682)&lt;&gt;0)),1,0)</f>
        <v>0</v>
      </c>
      <c r="AI682" s="3">
        <f t="shared" si="190"/>
        <v>0</v>
      </c>
      <c r="AJ682" s="7"/>
      <c r="AL682" s="3">
        <f>IF(OR($AL$1="",对接源_01水果!$Y682="",对接源_01水果!$Y682&lt;&gt;$AL$1,对接源_01水果!$B682="",N(对接源_01水果!$AJ682)&lt;=0),0,IF(OR(N(对接源_01水果!$B682)&lt;$AL$2,N(对接源_01水果!$B682)&gt;$AL$3),0,1))</f>
        <v>0</v>
      </c>
      <c r="AM682" s="3">
        <f t="shared" si="191"/>
        <v>1</v>
      </c>
      <c r="AN682" s="3" t="str">
        <f>IF(对接源_01水果!$AC682="","",对接源_01水果!$AC682)</f>
        <v/>
      </c>
      <c r="AO682" s="3">
        <f t="shared" si="192"/>
        <v>0</v>
      </c>
      <c r="AP682" s="3">
        <f t="shared" si="193"/>
        <v>8</v>
      </c>
      <c r="AR682">
        <f t="shared" si="194"/>
        <v>0</v>
      </c>
      <c r="AS682">
        <f t="shared" si="195"/>
        <v>0</v>
      </c>
    </row>
    <row r="683" ht="14.25" customHeight="1" spans="1:45">
      <c r="A683" s="3" t="str">
        <f>IF(对接源_01水果!$C683="","",对接源_01水果!$C683)</f>
        <v/>
      </c>
      <c r="B683" s="3">
        <f t="shared" si="179"/>
        <v>0</v>
      </c>
      <c r="C683" s="3">
        <f t="shared" si="180"/>
        <v>18</v>
      </c>
      <c r="K683" s="3">
        <f>IF(OR($K$1="",对接源_01水果!$C683="",对接源_01水果!$C683&lt;&gt;$K$1,对接源_01水果!$B683=""),0,IF(OR(N(对接源_01水果!$B683)&lt;$K$2,N(对接源_01水果!$B683)&gt;$K$3),0,1))</f>
        <v>0</v>
      </c>
      <c r="L683" s="3">
        <f>IF(OR($L$1="",对接源_01水果!$C683="",对接源_01水果!$C683&lt;&gt;$L$1,对接源_01水果!$B683=""),0,IF(OR(N(对接源_01水果!$B683)&lt;$L$2,N(对接源_01水果!$B683)&gt;$L$3),0,1))</f>
        <v>0</v>
      </c>
      <c r="M683" s="3">
        <f>IF(OR($M$1="",对接源_01水果!$C683="",对接源_01水果!$C683&lt;&gt;$M$1,对接源_01水果!$B683=""),0,IF(OR(N(对接源_01水果!$B683)&lt;$M$2,N(对接源_01水果!$B683)&gt;$M$3),0,1))</f>
        <v>0</v>
      </c>
      <c r="N683" s="3">
        <f>IF(OR($N$1="",对接源_01水果!$C683="",对接源_01水果!$C683&lt;&gt;$N$1,对接源_01水果!$B683=""),0,IF(OR(N(对接源_01水果!$B683)&lt;$N$2,N(对接源_01水果!$B683)&gt;$N$3),0,1))</f>
        <v>0</v>
      </c>
      <c r="P683" s="3">
        <f>IF(AND($K683=1,AND(对接源_01水果!$X683="公司筐",N(对接源_01水果!$T683)&lt;&gt;0)),1,0)</f>
        <v>0</v>
      </c>
      <c r="Q683" s="3">
        <f t="shared" si="181"/>
        <v>0</v>
      </c>
      <c r="R683" s="3">
        <f>IF(AND($K683=1,AND(对接源_01水果!$X683="公司筐",N(对接源_01水果!$U683)&lt;&gt;0)),1,0)</f>
        <v>0</v>
      </c>
      <c r="S683" s="3">
        <f t="shared" si="182"/>
        <v>0</v>
      </c>
      <c r="T683" s="3">
        <f>IF(AND($K683=1,AND(对接源_01水果!$X683="公司筐",N(对接源_01水果!$V683)&lt;&gt;0)),1,0)</f>
        <v>0</v>
      </c>
      <c r="U683" s="3">
        <f t="shared" si="183"/>
        <v>19</v>
      </c>
      <c r="V683" s="3">
        <f>IF(AND($L683=1,AND(对接源_01水果!$X683="自备筐",N(对接源_01水果!$V683)&lt;&gt;0)),1,0)</f>
        <v>0</v>
      </c>
      <c r="W683" s="3">
        <f t="shared" si="184"/>
        <v>8</v>
      </c>
      <c r="X683" s="3">
        <f>IF(AND($L683=1,AND(对接源_01水果!$X683="自备筐",N(对接源_01水果!$T683)&lt;&gt;0)),1,0)</f>
        <v>0</v>
      </c>
      <c r="Y683" s="3">
        <f t="shared" si="185"/>
        <v>0</v>
      </c>
      <c r="Z683" s="3">
        <f>IF(AND($M683=1,对接源_01水果!$D683="原料入库"),1,0)</f>
        <v>0</v>
      </c>
      <c r="AA683" s="3">
        <f t="shared" si="186"/>
        <v>24</v>
      </c>
      <c r="AB683" s="3">
        <f>IF(AND($M683=1,LEFT(对接源_01水果!$D683,4)="原料出库"),1,0)</f>
        <v>0</v>
      </c>
      <c r="AC683" s="3">
        <f t="shared" si="187"/>
        <v>0</v>
      </c>
      <c r="AD683" s="3">
        <f>IF(AND($M683=1,LEFT(对接源_01水果!$D683,4)="成品出库"),1,0)</f>
        <v>0</v>
      </c>
      <c r="AE683" s="3">
        <f t="shared" si="188"/>
        <v>0</v>
      </c>
      <c r="AF683" s="3">
        <f>IF(AND($N683=1,AND(LEFT(对接源_01水果!$D683,4)="包装物料",N(对接源_01水果!$K683)&lt;&gt;0)),1,0)</f>
        <v>0</v>
      </c>
      <c r="AG683" s="3">
        <f t="shared" si="189"/>
        <v>0</v>
      </c>
      <c r="AH683" s="3">
        <f>IF(AND($N683=1,AND(对接源_01水果!$D683="周转筐－销售出库",N(对接源_01水果!$K683)&lt;&gt;0)),1,0)</f>
        <v>0</v>
      </c>
      <c r="AI683" s="3">
        <f t="shared" si="190"/>
        <v>0</v>
      </c>
      <c r="AJ683" s="7"/>
      <c r="AL683" s="3">
        <f>IF(OR($AL$1="",对接源_01水果!$Y683="",对接源_01水果!$Y683&lt;&gt;$AL$1,对接源_01水果!$B683="",N(对接源_01水果!$AJ683)&lt;=0),0,IF(OR(N(对接源_01水果!$B683)&lt;$AL$2,N(对接源_01水果!$B683)&gt;$AL$3),0,1))</f>
        <v>0</v>
      </c>
      <c r="AM683" s="3">
        <f t="shared" si="191"/>
        <v>1</v>
      </c>
      <c r="AN683" s="3" t="str">
        <f>IF(对接源_01水果!$AC683="","",对接源_01水果!$AC683)</f>
        <v/>
      </c>
      <c r="AO683" s="3">
        <f t="shared" si="192"/>
        <v>0</v>
      </c>
      <c r="AP683" s="3">
        <f t="shared" si="193"/>
        <v>8</v>
      </c>
      <c r="AR683">
        <f t="shared" si="194"/>
        <v>0</v>
      </c>
      <c r="AS683">
        <f t="shared" si="195"/>
        <v>0</v>
      </c>
    </row>
    <row r="684" ht="14.25" customHeight="1" spans="1:45">
      <c r="A684" s="3" t="str">
        <f>IF(对接源_01水果!$C684="","",对接源_01水果!$C684)</f>
        <v/>
      </c>
      <c r="B684" s="3">
        <f t="shared" si="179"/>
        <v>0</v>
      </c>
      <c r="C684" s="3">
        <f t="shared" si="180"/>
        <v>18</v>
      </c>
      <c r="K684" s="3">
        <f>IF(OR($K$1="",对接源_01水果!$C684="",对接源_01水果!$C684&lt;&gt;$K$1,对接源_01水果!$B684=""),0,IF(OR(N(对接源_01水果!$B684)&lt;$K$2,N(对接源_01水果!$B684)&gt;$K$3),0,1))</f>
        <v>0</v>
      </c>
      <c r="L684" s="3">
        <f>IF(OR($L$1="",对接源_01水果!$C684="",对接源_01水果!$C684&lt;&gt;$L$1,对接源_01水果!$B684=""),0,IF(OR(N(对接源_01水果!$B684)&lt;$L$2,N(对接源_01水果!$B684)&gt;$L$3),0,1))</f>
        <v>0</v>
      </c>
      <c r="M684" s="3">
        <f>IF(OR($M$1="",对接源_01水果!$C684="",对接源_01水果!$C684&lt;&gt;$M$1,对接源_01水果!$B684=""),0,IF(OR(N(对接源_01水果!$B684)&lt;$M$2,N(对接源_01水果!$B684)&gt;$M$3),0,1))</f>
        <v>0</v>
      </c>
      <c r="N684" s="3">
        <f>IF(OR($N$1="",对接源_01水果!$C684="",对接源_01水果!$C684&lt;&gt;$N$1,对接源_01水果!$B684=""),0,IF(OR(N(对接源_01水果!$B684)&lt;$N$2,N(对接源_01水果!$B684)&gt;$N$3),0,1))</f>
        <v>0</v>
      </c>
      <c r="P684" s="3">
        <f>IF(AND($K684=1,AND(对接源_01水果!$X684="公司筐",N(对接源_01水果!$T684)&lt;&gt;0)),1,0)</f>
        <v>0</v>
      </c>
      <c r="Q684" s="3">
        <f t="shared" si="181"/>
        <v>0</v>
      </c>
      <c r="R684" s="3">
        <f>IF(AND($K684=1,AND(对接源_01水果!$X684="公司筐",N(对接源_01水果!$U684)&lt;&gt;0)),1,0)</f>
        <v>0</v>
      </c>
      <c r="S684" s="3">
        <f t="shared" si="182"/>
        <v>0</v>
      </c>
      <c r="T684" s="3">
        <f>IF(AND($K684=1,AND(对接源_01水果!$X684="公司筐",N(对接源_01水果!$V684)&lt;&gt;0)),1,0)</f>
        <v>0</v>
      </c>
      <c r="U684" s="3">
        <f t="shared" si="183"/>
        <v>19</v>
      </c>
      <c r="V684" s="3">
        <f>IF(AND($L684=1,AND(对接源_01水果!$X684="自备筐",N(对接源_01水果!$V684)&lt;&gt;0)),1,0)</f>
        <v>0</v>
      </c>
      <c r="W684" s="3">
        <f t="shared" si="184"/>
        <v>8</v>
      </c>
      <c r="X684" s="3">
        <f>IF(AND($L684=1,AND(对接源_01水果!$X684="自备筐",N(对接源_01水果!$T684)&lt;&gt;0)),1,0)</f>
        <v>0</v>
      </c>
      <c r="Y684" s="3">
        <f t="shared" si="185"/>
        <v>0</v>
      </c>
      <c r="Z684" s="3">
        <f>IF(AND($M684=1,对接源_01水果!$D684="原料入库"),1,0)</f>
        <v>0</v>
      </c>
      <c r="AA684" s="3">
        <f t="shared" si="186"/>
        <v>24</v>
      </c>
      <c r="AB684" s="3">
        <f>IF(AND($M684=1,LEFT(对接源_01水果!$D684,4)="原料出库"),1,0)</f>
        <v>0</v>
      </c>
      <c r="AC684" s="3">
        <f t="shared" si="187"/>
        <v>0</v>
      </c>
      <c r="AD684" s="3">
        <f>IF(AND($M684=1,LEFT(对接源_01水果!$D684,4)="成品出库"),1,0)</f>
        <v>0</v>
      </c>
      <c r="AE684" s="3">
        <f t="shared" si="188"/>
        <v>0</v>
      </c>
      <c r="AF684" s="3">
        <f>IF(AND($N684=1,AND(LEFT(对接源_01水果!$D684,4)="包装物料",N(对接源_01水果!$K684)&lt;&gt;0)),1,0)</f>
        <v>0</v>
      </c>
      <c r="AG684" s="3">
        <f t="shared" si="189"/>
        <v>0</v>
      </c>
      <c r="AH684" s="3">
        <f>IF(AND($N684=1,AND(对接源_01水果!$D684="周转筐－销售出库",N(对接源_01水果!$K684)&lt;&gt;0)),1,0)</f>
        <v>0</v>
      </c>
      <c r="AI684" s="3">
        <f t="shared" si="190"/>
        <v>0</v>
      </c>
      <c r="AJ684" s="7"/>
      <c r="AL684" s="3">
        <f>IF(OR($AL$1="",对接源_01水果!$Y684="",对接源_01水果!$Y684&lt;&gt;$AL$1,对接源_01水果!$B684="",N(对接源_01水果!$AJ684)&lt;=0),0,IF(OR(N(对接源_01水果!$B684)&lt;$AL$2,N(对接源_01水果!$B684)&gt;$AL$3),0,1))</f>
        <v>0</v>
      </c>
      <c r="AM684" s="3">
        <f t="shared" si="191"/>
        <v>1</v>
      </c>
      <c r="AN684" s="3" t="str">
        <f>IF(对接源_01水果!$AC684="","",对接源_01水果!$AC684)</f>
        <v/>
      </c>
      <c r="AO684" s="3">
        <f t="shared" si="192"/>
        <v>0</v>
      </c>
      <c r="AP684" s="3">
        <f t="shared" si="193"/>
        <v>8</v>
      </c>
      <c r="AR684">
        <f t="shared" si="194"/>
        <v>0</v>
      </c>
      <c r="AS684">
        <f t="shared" si="195"/>
        <v>0</v>
      </c>
    </row>
    <row r="685" ht="14.25" customHeight="1" spans="1:45">
      <c r="A685" s="3" t="str">
        <f>IF(对接源_01水果!$C685="","",对接源_01水果!$C685)</f>
        <v/>
      </c>
      <c r="B685" s="3">
        <f t="shared" si="179"/>
        <v>0</v>
      </c>
      <c r="C685" s="3">
        <f t="shared" si="180"/>
        <v>18</v>
      </c>
      <c r="K685" s="3">
        <f>IF(OR($K$1="",对接源_01水果!$C685="",对接源_01水果!$C685&lt;&gt;$K$1,对接源_01水果!$B685=""),0,IF(OR(N(对接源_01水果!$B685)&lt;$K$2,N(对接源_01水果!$B685)&gt;$K$3),0,1))</f>
        <v>0</v>
      </c>
      <c r="L685" s="3">
        <f>IF(OR($L$1="",对接源_01水果!$C685="",对接源_01水果!$C685&lt;&gt;$L$1,对接源_01水果!$B685=""),0,IF(OR(N(对接源_01水果!$B685)&lt;$L$2,N(对接源_01水果!$B685)&gt;$L$3),0,1))</f>
        <v>0</v>
      </c>
      <c r="M685" s="3">
        <f>IF(OR($M$1="",对接源_01水果!$C685="",对接源_01水果!$C685&lt;&gt;$M$1,对接源_01水果!$B685=""),0,IF(OR(N(对接源_01水果!$B685)&lt;$M$2,N(对接源_01水果!$B685)&gt;$M$3),0,1))</f>
        <v>0</v>
      </c>
      <c r="N685" s="3">
        <f>IF(OR($N$1="",对接源_01水果!$C685="",对接源_01水果!$C685&lt;&gt;$N$1,对接源_01水果!$B685=""),0,IF(OR(N(对接源_01水果!$B685)&lt;$N$2,N(对接源_01水果!$B685)&gt;$N$3),0,1))</f>
        <v>0</v>
      </c>
      <c r="P685" s="3">
        <f>IF(AND($K685=1,AND(对接源_01水果!$X685="公司筐",N(对接源_01水果!$T685)&lt;&gt;0)),1,0)</f>
        <v>0</v>
      </c>
      <c r="Q685" s="3">
        <f t="shared" si="181"/>
        <v>0</v>
      </c>
      <c r="R685" s="3">
        <f>IF(AND($K685=1,AND(对接源_01水果!$X685="公司筐",N(对接源_01水果!$U685)&lt;&gt;0)),1,0)</f>
        <v>0</v>
      </c>
      <c r="S685" s="3">
        <f t="shared" si="182"/>
        <v>0</v>
      </c>
      <c r="T685" s="3">
        <f>IF(AND($K685=1,AND(对接源_01水果!$X685="公司筐",N(对接源_01水果!$V685)&lt;&gt;0)),1,0)</f>
        <v>0</v>
      </c>
      <c r="U685" s="3">
        <f t="shared" si="183"/>
        <v>19</v>
      </c>
      <c r="V685" s="3">
        <f>IF(AND($L685=1,AND(对接源_01水果!$X685="自备筐",N(对接源_01水果!$V685)&lt;&gt;0)),1,0)</f>
        <v>0</v>
      </c>
      <c r="W685" s="3">
        <f t="shared" si="184"/>
        <v>8</v>
      </c>
      <c r="X685" s="3">
        <f>IF(AND($L685=1,AND(对接源_01水果!$X685="自备筐",N(对接源_01水果!$T685)&lt;&gt;0)),1,0)</f>
        <v>0</v>
      </c>
      <c r="Y685" s="3">
        <f t="shared" si="185"/>
        <v>0</v>
      </c>
      <c r="Z685" s="3">
        <f>IF(AND($M685=1,对接源_01水果!$D685="原料入库"),1,0)</f>
        <v>0</v>
      </c>
      <c r="AA685" s="3">
        <f t="shared" si="186"/>
        <v>24</v>
      </c>
      <c r="AB685" s="3">
        <f>IF(AND($M685=1,LEFT(对接源_01水果!$D685,4)="原料出库"),1,0)</f>
        <v>0</v>
      </c>
      <c r="AC685" s="3">
        <f t="shared" si="187"/>
        <v>0</v>
      </c>
      <c r="AD685" s="3">
        <f>IF(AND($M685=1,LEFT(对接源_01水果!$D685,4)="成品出库"),1,0)</f>
        <v>0</v>
      </c>
      <c r="AE685" s="3">
        <f t="shared" si="188"/>
        <v>0</v>
      </c>
      <c r="AF685" s="3">
        <f>IF(AND($N685=1,AND(LEFT(对接源_01水果!$D685,4)="包装物料",N(对接源_01水果!$K685)&lt;&gt;0)),1,0)</f>
        <v>0</v>
      </c>
      <c r="AG685" s="3">
        <f t="shared" si="189"/>
        <v>0</v>
      </c>
      <c r="AH685" s="3">
        <f>IF(AND($N685=1,AND(对接源_01水果!$D685="周转筐－销售出库",N(对接源_01水果!$K685)&lt;&gt;0)),1,0)</f>
        <v>0</v>
      </c>
      <c r="AI685" s="3">
        <f t="shared" si="190"/>
        <v>0</v>
      </c>
      <c r="AJ685" s="7"/>
      <c r="AL685" s="3">
        <f>IF(OR($AL$1="",对接源_01水果!$Y685="",对接源_01水果!$Y685&lt;&gt;$AL$1,对接源_01水果!$B685="",N(对接源_01水果!$AJ685)&lt;=0),0,IF(OR(N(对接源_01水果!$B685)&lt;$AL$2,N(对接源_01水果!$B685)&gt;$AL$3),0,1))</f>
        <v>0</v>
      </c>
      <c r="AM685" s="3">
        <f t="shared" si="191"/>
        <v>1</v>
      </c>
      <c r="AN685" s="3" t="str">
        <f>IF(对接源_01水果!$AC685="","",对接源_01水果!$AC685)</f>
        <v/>
      </c>
      <c r="AO685" s="3">
        <f t="shared" si="192"/>
        <v>0</v>
      </c>
      <c r="AP685" s="3">
        <f t="shared" si="193"/>
        <v>8</v>
      </c>
      <c r="AR685">
        <f t="shared" si="194"/>
        <v>0</v>
      </c>
      <c r="AS685">
        <f t="shared" si="195"/>
        <v>0</v>
      </c>
    </row>
    <row r="686" ht="14.25" customHeight="1" spans="1:45">
      <c r="A686" s="3" t="str">
        <f>IF(对接源_01水果!$C686="","",对接源_01水果!$C686)</f>
        <v/>
      </c>
      <c r="B686" s="3">
        <f t="shared" si="179"/>
        <v>0</v>
      </c>
      <c r="C686" s="3">
        <f t="shared" si="180"/>
        <v>18</v>
      </c>
      <c r="K686" s="3">
        <f>IF(OR($K$1="",对接源_01水果!$C686="",对接源_01水果!$C686&lt;&gt;$K$1,对接源_01水果!$B686=""),0,IF(OR(N(对接源_01水果!$B686)&lt;$K$2,N(对接源_01水果!$B686)&gt;$K$3),0,1))</f>
        <v>0</v>
      </c>
      <c r="L686" s="3">
        <f>IF(OR($L$1="",对接源_01水果!$C686="",对接源_01水果!$C686&lt;&gt;$L$1,对接源_01水果!$B686=""),0,IF(OR(N(对接源_01水果!$B686)&lt;$L$2,N(对接源_01水果!$B686)&gt;$L$3),0,1))</f>
        <v>0</v>
      </c>
      <c r="M686" s="3">
        <f>IF(OR($M$1="",对接源_01水果!$C686="",对接源_01水果!$C686&lt;&gt;$M$1,对接源_01水果!$B686=""),0,IF(OR(N(对接源_01水果!$B686)&lt;$M$2,N(对接源_01水果!$B686)&gt;$M$3),0,1))</f>
        <v>0</v>
      </c>
      <c r="N686" s="3">
        <f>IF(OR($N$1="",对接源_01水果!$C686="",对接源_01水果!$C686&lt;&gt;$N$1,对接源_01水果!$B686=""),0,IF(OR(N(对接源_01水果!$B686)&lt;$N$2,N(对接源_01水果!$B686)&gt;$N$3),0,1))</f>
        <v>0</v>
      </c>
      <c r="P686" s="3">
        <f>IF(AND($K686=1,AND(对接源_01水果!$X686="公司筐",N(对接源_01水果!$T686)&lt;&gt;0)),1,0)</f>
        <v>0</v>
      </c>
      <c r="Q686" s="3">
        <f t="shared" si="181"/>
        <v>0</v>
      </c>
      <c r="R686" s="3">
        <f>IF(AND($K686=1,AND(对接源_01水果!$X686="公司筐",N(对接源_01水果!$U686)&lt;&gt;0)),1,0)</f>
        <v>0</v>
      </c>
      <c r="S686" s="3">
        <f t="shared" si="182"/>
        <v>0</v>
      </c>
      <c r="T686" s="3">
        <f>IF(AND($K686=1,AND(对接源_01水果!$X686="公司筐",N(对接源_01水果!$V686)&lt;&gt;0)),1,0)</f>
        <v>0</v>
      </c>
      <c r="U686" s="3">
        <f t="shared" si="183"/>
        <v>19</v>
      </c>
      <c r="V686" s="3">
        <f>IF(AND($L686=1,AND(对接源_01水果!$X686="自备筐",N(对接源_01水果!$V686)&lt;&gt;0)),1,0)</f>
        <v>0</v>
      </c>
      <c r="W686" s="3">
        <f t="shared" si="184"/>
        <v>8</v>
      </c>
      <c r="X686" s="3">
        <f>IF(AND($L686=1,AND(对接源_01水果!$X686="自备筐",N(对接源_01水果!$T686)&lt;&gt;0)),1,0)</f>
        <v>0</v>
      </c>
      <c r="Y686" s="3">
        <f t="shared" si="185"/>
        <v>0</v>
      </c>
      <c r="Z686" s="3">
        <f>IF(AND($M686=1,对接源_01水果!$D686="原料入库"),1,0)</f>
        <v>0</v>
      </c>
      <c r="AA686" s="3">
        <f t="shared" si="186"/>
        <v>24</v>
      </c>
      <c r="AB686" s="3">
        <f>IF(AND($M686=1,LEFT(对接源_01水果!$D686,4)="原料出库"),1,0)</f>
        <v>0</v>
      </c>
      <c r="AC686" s="3">
        <f t="shared" si="187"/>
        <v>0</v>
      </c>
      <c r="AD686" s="3">
        <f>IF(AND($M686=1,LEFT(对接源_01水果!$D686,4)="成品出库"),1,0)</f>
        <v>0</v>
      </c>
      <c r="AE686" s="3">
        <f t="shared" si="188"/>
        <v>0</v>
      </c>
      <c r="AF686" s="3">
        <f>IF(AND($N686=1,AND(LEFT(对接源_01水果!$D686,4)="包装物料",N(对接源_01水果!$K686)&lt;&gt;0)),1,0)</f>
        <v>0</v>
      </c>
      <c r="AG686" s="3">
        <f t="shared" si="189"/>
        <v>0</v>
      </c>
      <c r="AH686" s="3">
        <f>IF(AND($N686=1,AND(对接源_01水果!$D686="周转筐－销售出库",N(对接源_01水果!$K686)&lt;&gt;0)),1,0)</f>
        <v>0</v>
      </c>
      <c r="AI686" s="3">
        <f t="shared" si="190"/>
        <v>0</v>
      </c>
      <c r="AJ686" s="7"/>
      <c r="AL686" s="3">
        <f>IF(OR($AL$1="",对接源_01水果!$Y686="",对接源_01水果!$Y686&lt;&gt;$AL$1,对接源_01水果!$B686="",N(对接源_01水果!$AJ686)&lt;=0),0,IF(OR(N(对接源_01水果!$B686)&lt;$AL$2,N(对接源_01水果!$B686)&gt;$AL$3),0,1))</f>
        <v>0</v>
      </c>
      <c r="AM686" s="3">
        <f t="shared" si="191"/>
        <v>1</v>
      </c>
      <c r="AN686" s="3" t="str">
        <f>IF(对接源_01水果!$AC686="","",对接源_01水果!$AC686)</f>
        <v/>
      </c>
      <c r="AO686" s="3">
        <f t="shared" si="192"/>
        <v>0</v>
      </c>
      <c r="AP686" s="3">
        <f t="shared" si="193"/>
        <v>8</v>
      </c>
      <c r="AR686">
        <f t="shared" si="194"/>
        <v>0</v>
      </c>
      <c r="AS686">
        <f t="shared" si="195"/>
        <v>0</v>
      </c>
    </row>
    <row r="687" ht="14.25" customHeight="1" spans="1:45">
      <c r="A687" s="3" t="str">
        <f>IF(对接源_01水果!$C687="","",对接源_01水果!$C687)</f>
        <v/>
      </c>
      <c r="B687" s="3">
        <f t="shared" si="179"/>
        <v>0</v>
      </c>
      <c r="C687" s="3">
        <f t="shared" si="180"/>
        <v>18</v>
      </c>
      <c r="K687" s="3">
        <f>IF(OR($K$1="",对接源_01水果!$C687="",对接源_01水果!$C687&lt;&gt;$K$1,对接源_01水果!$B687=""),0,IF(OR(N(对接源_01水果!$B687)&lt;$K$2,N(对接源_01水果!$B687)&gt;$K$3),0,1))</f>
        <v>0</v>
      </c>
      <c r="L687" s="3">
        <f>IF(OR($L$1="",对接源_01水果!$C687="",对接源_01水果!$C687&lt;&gt;$L$1,对接源_01水果!$B687=""),0,IF(OR(N(对接源_01水果!$B687)&lt;$L$2,N(对接源_01水果!$B687)&gt;$L$3),0,1))</f>
        <v>0</v>
      </c>
      <c r="M687" s="3">
        <f>IF(OR($M$1="",对接源_01水果!$C687="",对接源_01水果!$C687&lt;&gt;$M$1,对接源_01水果!$B687=""),0,IF(OR(N(对接源_01水果!$B687)&lt;$M$2,N(对接源_01水果!$B687)&gt;$M$3),0,1))</f>
        <v>0</v>
      </c>
      <c r="N687" s="3">
        <f>IF(OR($N$1="",对接源_01水果!$C687="",对接源_01水果!$C687&lt;&gt;$N$1,对接源_01水果!$B687=""),0,IF(OR(N(对接源_01水果!$B687)&lt;$N$2,N(对接源_01水果!$B687)&gt;$N$3),0,1))</f>
        <v>0</v>
      </c>
      <c r="P687" s="3">
        <f>IF(AND($K687=1,AND(对接源_01水果!$X687="公司筐",N(对接源_01水果!$T687)&lt;&gt;0)),1,0)</f>
        <v>0</v>
      </c>
      <c r="Q687" s="3">
        <f t="shared" si="181"/>
        <v>0</v>
      </c>
      <c r="R687" s="3">
        <f>IF(AND($K687=1,AND(对接源_01水果!$X687="公司筐",N(对接源_01水果!$U687)&lt;&gt;0)),1,0)</f>
        <v>0</v>
      </c>
      <c r="S687" s="3">
        <f t="shared" si="182"/>
        <v>0</v>
      </c>
      <c r="T687" s="3">
        <f>IF(AND($K687=1,AND(对接源_01水果!$X687="公司筐",N(对接源_01水果!$V687)&lt;&gt;0)),1,0)</f>
        <v>0</v>
      </c>
      <c r="U687" s="3">
        <f t="shared" si="183"/>
        <v>19</v>
      </c>
      <c r="V687" s="3">
        <f>IF(AND($L687=1,AND(对接源_01水果!$X687="自备筐",N(对接源_01水果!$V687)&lt;&gt;0)),1,0)</f>
        <v>0</v>
      </c>
      <c r="W687" s="3">
        <f t="shared" si="184"/>
        <v>8</v>
      </c>
      <c r="X687" s="3">
        <f>IF(AND($L687=1,AND(对接源_01水果!$X687="自备筐",N(对接源_01水果!$T687)&lt;&gt;0)),1,0)</f>
        <v>0</v>
      </c>
      <c r="Y687" s="3">
        <f t="shared" si="185"/>
        <v>0</v>
      </c>
      <c r="Z687" s="3">
        <f>IF(AND($M687=1,对接源_01水果!$D687="原料入库"),1,0)</f>
        <v>0</v>
      </c>
      <c r="AA687" s="3">
        <f t="shared" si="186"/>
        <v>24</v>
      </c>
      <c r="AB687" s="3">
        <f>IF(AND($M687=1,LEFT(对接源_01水果!$D687,4)="原料出库"),1,0)</f>
        <v>0</v>
      </c>
      <c r="AC687" s="3">
        <f t="shared" si="187"/>
        <v>0</v>
      </c>
      <c r="AD687" s="3">
        <f>IF(AND($M687=1,LEFT(对接源_01水果!$D687,4)="成品出库"),1,0)</f>
        <v>0</v>
      </c>
      <c r="AE687" s="3">
        <f t="shared" si="188"/>
        <v>0</v>
      </c>
      <c r="AF687" s="3">
        <f>IF(AND($N687=1,AND(LEFT(对接源_01水果!$D687,4)="包装物料",N(对接源_01水果!$K687)&lt;&gt;0)),1,0)</f>
        <v>0</v>
      </c>
      <c r="AG687" s="3">
        <f t="shared" si="189"/>
        <v>0</v>
      </c>
      <c r="AH687" s="3">
        <f>IF(AND($N687=1,AND(对接源_01水果!$D687="周转筐－销售出库",N(对接源_01水果!$K687)&lt;&gt;0)),1,0)</f>
        <v>0</v>
      </c>
      <c r="AI687" s="3">
        <f t="shared" si="190"/>
        <v>0</v>
      </c>
      <c r="AJ687" s="7"/>
      <c r="AL687" s="3">
        <f>IF(OR($AL$1="",对接源_01水果!$Y687="",对接源_01水果!$Y687&lt;&gt;$AL$1,对接源_01水果!$B687="",N(对接源_01水果!$AJ687)&lt;=0),0,IF(OR(N(对接源_01水果!$B687)&lt;$AL$2,N(对接源_01水果!$B687)&gt;$AL$3),0,1))</f>
        <v>0</v>
      </c>
      <c r="AM687" s="3">
        <f t="shared" si="191"/>
        <v>1</v>
      </c>
      <c r="AN687" s="3" t="str">
        <f>IF(对接源_01水果!$AC687="","",对接源_01水果!$AC687)</f>
        <v/>
      </c>
      <c r="AO687" s="3">
        <f t="shared" si="192"/>
        <v>0</v>
      </c>
      <c r="AP687" s="3">
        <f t="shared" si="193"/>
        <v>8</v>
      </c>
      <c r="AR687">
        <f t="shared" si="194"/>
        <v>0</v>
      </c>
      <c r="AS687">
        <f t="shared" si="195"/>
        <v>0</v>
      </c>
    </row>
    <row r="688" ht="14.25" customHeight="1" spans="1:45">
      <c r="A688" s="3" t="str">
        <f>IF(对接源_01水果!$C688="","",对接源_01水果!$C688)</f>
        <v/>
      </c>
      <c r="B688" s="3">
        <f t="shared" si="179"/>
        <v>0</v>
      </c>
      <c r="C688" s="3">
        <f t="shared" si="180"/>
        <v>18</v>
      </c>
      <c r="K688" s="3">
        <f>IF(OR($K$1="",对接源_01水果!$C688="",对接源_01水果!$C688&lt;&gt;$K$1,对接源_01水果!$B688=""),0,IF(OR(N(对接源_01水果!$B688)&lt;$K$2,N(对接源_01水果!$B688)&gt;$K$3),0,1))</f>
        <v>0</v>
      </c>
      <c r="L688" s="3">
        <f>IF(OR($L$1="",对接源_01水果!$C688="",对接源_01水果!$C688&lt;&gt;$L$1,对接源_01水果!$B688=""),0,IF(OR(N(对接源_01水果!$B688)&lt;$L$2,N(对接源_01水果!$B688)&gt;$L$3),0,1))</f>
        <v>0</v>
      </c>
      <c r="M688" s="3">
        <f>IF(OR($M$1="",对接源_01水果!$C688="",对接源_01水果!$C688&lt;&gt;$M$1,对接源_01水果!$B688=""),0,IF(OR(N(对接源_01水果!$B688)&lt;$M$2,N(对接源_01水果!$B688)&gt;$M$3),0,1))</f>
        <v>0</v>
      </c>
      <c r="N688" s="3">
        <f>IF(OR($N$1="",对接源_01水果!$C688="",对接源_01水果!$C688&lt;&gt;$N$1,对接源_01水果!$B688=""),0,IF(OR(N(对接源_01水果!$B688)&lt;$N$2,N(对接源_01水果!$B688)&gt;$N$3),0,1))</f>
        <v>0</v>
      </c>
      <c r="P688" s="3">
        <f>IF(AND($K688=1,AND(对接源_01水果!$X688="公司筐",N(对接源_01水果!$T688)&lt;&gt;0)),1,0)</f>
        <v>0</v>
      </c>
      <c r="Q688" s="3">
        <f t="shared" si="181"/>
        <v>0</v>
      </c>
      <c r="R688" s="3">
        <f>IF(AND($K688=1,AND(对接源_01水果!$X688="公司筐",N(对接源_01水果!$U688)&lt;&gt;0)),1,0)</f>
        <v>0</v>
      </c>
      <c r="S688" s="3">
        <f t="shared" si="182"/>
        <v>0</v>
      </c>
      <c r="T688" s="3">
        <f>IF(AND($K688=1,AND(对接源_01水果!$X688="公司筐",N(对接源_01水果!$V688)&lt;&gt;0)),1,0)</f>
        <v>0</v>
      </c>
      <c r="U688" s="3">
        <f t="shared" si="183"/>
        <v>19</v>
      </c>
      <c r="V688" s="3">
        <f>IF(AND($L688=1,AND(对接源_01水果!$X688="自备筐",N(对接源_01水果!$V688)&lt;&gt;0)),1,0)</f>
        <v>0</v>
      </c>
      <c r="W688" s="3">
        <f t="shared" si="184"/>
        <v>8</v>
      </c>
      <c r="X688" s="3">
        <f>IF(AND($L688=1,AND(对接源_01水果!$X688="自备筐",N(对接源_01水果!$T688)&lt;&gt;0)),1,0)</f>
        <v>0</v>
      </c>
      <c r="Y688" s="3">
        <f t="shared" si="185"/>
        <v>0</v>
      </c>
      <c r="Z688" s="3">
        <f>IF(AND($M688=1,对接源_01水果!$D688="原料入库"),1,0)</f>
        <v>0</v>
      </c>
      <c r="AA688" s="3">
        <f t="shared" si="186"/>
        <v>24</v>
      </c>
      <c r="AB688" s="3">
        <f>IF(AND($M688=1,LEFT(对接源_01水果!$D688,4)="原料出库"),1,0)</f>
        <v>0</v>
      </c>
      <c r="AC688" s="3">
        <f t="shared" si="187"/>
        <v>0</v>
      </c>
      <c r="AD688" s="3">
        <f>IF(AND($M688=1,LEFT(对接源_01水果!$D688,4)="成品出库"),1,0)</f>
        <v>0</v>
      </c>
      <c r="AE688" s="3">
        <f t="shared" si="188"/>
        <v>0</v>
      </c>
      <c r="AF688" s="3">
        <f>IF(AND($N688=1,AND(LEFT(对接源_01水果!$D688,4)="包装物料",N(对接源_01水果!$K688)&lt;&gt;0)),1,0)</f>
        <v>0</v>
      </c>
      <c r="AG688" s="3">
        <f t="shared" si="189"/>
        <v>0</v>
      </c>
      <c r="AH688" s="3">
        <f>IF(AND($N688=1,AND(对接源_01水果!$D688="周转筐－销售出库",N(对接源_01水果!$K688)&lt;&gt;0)),1,0)</f>
        <v>0</v>
      </c>
      <c r="AI688" s="3">
        <f t="shared" si="190"/>
        <v>0</v>
      </c>
      <c r="AJ688" s="7"/>
      <c r="AL688" s="3">
        <f>IF(OR($AL$1="",对接源_01水果!$Y688="",对接源_01水果!$Y688&lt;&gt;$AL$1,对接源_01水果!$B688="",N(对接源_01水果!$AJ688)&lt;=0),0,IF(OR(N(对接源_01水果!$B688)&lt;$AL$2,N(对接源_01水果!$B688)&gt;$AL$3),0,1))</f>
        <v>0</v>
      </c>
      <c r="AM688" s="3">
        <f t="shared" si="191"/>
        <v>1</v>
      </c>
      <c r="AN688" s="3" t="str">
        <f>IF(对接源_01水果!$AC688="","",对接源_01水果!$AC688)</f>
        <v/>
      </c>
      <c r="AO688" s="3">
        <f t="shared" si="192"/>
        <v>0</v>
      </c>
      <c r="AP688" s="3">
        <f t="shared" si="193"/>
        <v>8</v>
      </c>
      <c r="AR688">
        <f t="shared" si="194"/>
        <v>0</v>
      </c>
      <c r="AS688">
        <f t="shared" si="195"/>
        <v>0</v>
      </c>
    </row>
    <row r="689" ht="14.25" customHeight="1" spans="1:45">
      <c r="A689" s="3" t="str">
        <f>IF(对接源_01水果!$C689="","",对接源_01水果!$C689)</f>
        <v/>
      </c>
      <c r="B689" s="3">
        <f t="shared" si="179"/>
        <v>0</v>
      </c>
      <c r="C689" s="3">
        <f t="shared" si="180"/>
        <v>18</v>
      </c>
      <c r="K689" s="3">
        <f>IF(OR($K$1="",对接源_01水果!$C689="",对接源_01水果!$C689&lt;&gt;$K$1,对接源_01水果!$B689=""),0,IF(OR(N(对接源_01水果!$B689)&lt;$K$2,N(对接源_01水果!$B689)&gt;$K$3),0,1))</f>
        <v>0</v>
      </c>
      <c r="L689" s="3">
        <f>IF(OR($L$1="",对接源_01水果!$C689="",对接源_01水果!$C689&lt;&gt;$L$1,对接源_01水果!$B689=""),0,IF(OR(N(对接源_01水果!$B689)&lt;$L$2,N(对接源_01水果!$B689)&gt;$L$3),0,1))</f>
        <v>0</v>
      </c>
      <c r="M689" s="3">
        <f>IF(OR($M$1="",对接源_01水果!$C689="",对接源_01水果!$C689&lt;&gt;$M$1,对接源_01水果!$B689=""),0,IF(OR(N(对接源_01水果!$B689)&lt;$M$2,N(对接源_01水果!$B689)&gt;$M$3),0,1))</f>
        <v>0</v>
      </c>
      <c r="N689" s="3">
        <f>IF(OR($N$1="",对接源_01水果!$C689="",对接源_01水果!$C689&lt;&gt;$N$1,对接源_01水果!$B689=""),0,IF(OR(N(对接源_01水果!$B689)&lt;$N$2,N(对接源_01水果!$B689)&gt;$N$3),0,1))</f>
        <v>0</v>
      </c>
      <c r="P689" s="3">
        <f>IF(AND($K689=1,AND(对接源_01水果!$X689="公司筐",N(对接源_01水果!$T689)&lt;&gt;0)),1,0)</f>
        <v>0</v>
      </c>
      <c r="Q689" s="3">
        <f t="shared" si="181"/>
        <v>0</v>
      </c>
      <c r="R689" s="3">
        <f>IF(AND($K689=1,AND(对接源_01水果!$X689="公司筐",N(对接源_01水果!$U689)&lt;&gt;0)),1,0)</f>
        <v>0</v>
      </c>
      <c r="S689" s="3">
        <f t="shared" si="182"/>
        <v>0</v>
      </c>
      <c r="T689" s="3">
        <f>IF(AND($K689=1,AND(对接源_01水果!$X689="公司筐",N(对接源_01水果!$V689)&lt;&gt;0)),1,0)</f>
        <v>0</v>
      </c>
      <c r="U689" s="3">
        <f t="shared" si="183"/>
        <v>19</v>
      </c>
      <c r="V689" s="3">
        <f>IF(AND($L689=1,AND(对接源_01水果!$X689="自备筐",N(对接源_01水果!$V689)&lt;&gt;0)),1,0)</f>
        <v>0</v>
      </c>
      <c r="W689" s="3">
        <f t="shared" si="184"/>
        <v>8</v>
      </c>
      <c r="X689" s="3">
        <f>IF(AND($L689=1,AND(对接源_01水果!$X689="自备筐",N(对接源_01水果!$T689)&lt;&gt;0)),1,0)</f>
        <v>0</v>
      </c>
      <c r="Y689" s="3">
        <f t="shared" si="185"/>
        <v>0</v>
      </c>
      <c r="Z689" s="3">
        <f>IF(AND($M689=1,对接源_01水果!$D689="原料入库"),1,0)</f>
        <v>0</v>
      </c>
      <c r="AA689" s="3">
        <f t="shared" si="186"/>
        <v>24</v>
      </c>
      <c r="AB689" s="3">
        <f>IF(AND($M689=1,LEFT(对接源_01水果!$D689,4)="原料出库"),1,0)</f>
        <v>0</v>
      </c>
      <c r="AC689" s="3">
        <f t="shared" si="187"/>
        <v>0</v>
      </c>
      <c r="AD689" s="3">
        <f>IF(AND($M689=1,LEFT(对接源_01水果!$D689,4)="成品出库"),1,0)</f>
        <v>0</v>
      </c>
      <c r="AE689" s="3">
        <f t="shared" si="188"/>
        <v>0</v>
      </c>
      <c r="AF689" s="3">
        <f>IF(AND($N689=1,AND(LEFT(对接源_01水果!$D689,4)="包装物料",N(对接源_01水果!$K689)&lt;&gt;0)),1,0)</f>
        <v>0</v>
      </c>
      <c r="AG689" s="3">
        <f t="shared" si="189"/>
        <v>0</v>
      </c>
      <c r="AH689" s="3">
        <f>IF(AND($N689=1,AND(对接源_01水果!$D689="周转筐－销售出库",N(对接源_01水果!$K689)&lt;&gt;0)),1,0)</f>
        <v>0</v>
      </c>
      <c r="AI689" s="3">
        <f t="shared" si="190"/>
        <v>0</v>
      </c>
      <c r="AJ689" s="7"/>
      <c r="AL689" s="3">
        <f>IF(OR($AL$1="",对接源_01水果!$Y689="",对接源_01水果!$Y689&lt;&gt;$AL$1,对接源_01水果!$B689="",N(对接源_01水果!$AJ689)&lt;=0),0,IF(OR(N(对接源_01水果!$B689)&lt;$AL$2,N(对接源_01水果!$B689)&gt;$AL$3),0,1))</f>
        <v>0</v>
      </c>
      <c r="AM689" s="3">
        <f t="shared" si="191"/>
        <v>1</v>
      </c>
      <c r="AN689" s="3" t="str">
        <f>IF(对接源_01水果!$AC689="","",对接源_01水果!$AC689)</f>
        <v/>
      </c>
      <c r="AO689" s="3">
        <f t="shared" si="192"/>
        <v>0</v>
      </c>
      <c r="AP689" s="3">
        <f t="shared" si="193"/>
        <v>8</v>
      </c>
      <c r="AR689">
        <f t="shared" si="194"/>
        <v>0</v>
      </c>
      <c r="AS689">
        <f t="shared" si="195"/>
        <v>0</v>
      </c>
    </row>
    <row r="690" ht="14.25" customHeight="1" spans="1:45">
      <c r="A690" s="3" t="str">
        <f>IF(对接源_01水果!$C690="","",对接源_01水果!$C690)</f>
        <v/>
      </c>
      <c r="B690" s="3">
        <f t="shared" si="179"/>
        <v>0</v>
      </c>
      <c r="C690" s="3">
        <f t="shared" si="180"/>
        <v>18</v>
      </c>
      <c r="K690" s="3">
        <f>IF(OR($K$1="",对接源_01水果!$C690="",对接源_01水果!$C690&lt;&gt;$K$1,对接源_01水果!$B690=""),0,IF(OR(N(对接源_01水果!$B690)&lt;$K$2,N(对接源_01水果!$B690)&gt;$K$3),0,1))</f>
        <v>0</v>
      </c>
      <c r="L690" s="3">
        <f>IF(OR($L$1="",对接源_01水果!$C690="",对接源_01水果!$C690&lt;&gt;$L$1,对接源_01水果!$B690=""),0,IF(OR(N(对接源_01水果!$B690)&lt;$L$2,N(对接源_01水果!$B690)&gt;$L$3),0,1))</f>
        <v>0</v>
      </c>
      <c r="M690" s="3">
        <f>IF(OR($M$1="",对接源_01水果!$C690="",对接源_01水果!$C690&lt;&gt;$M$1,对接源_01水果!$B690=""),0,IF(OR(N(对接源_01水果!$B690)&lt;$M$2,N(对接源_01水果!$B690)&gt;$M$3),0,1))</f>
        <v>0</v>
      </c>
      <c r="N690" s="3">
        <f>IF(OR($N$1="",对接源_01水果!$C690="",对接源_01水果!$C690&lt;&gt;$N$1,对接源_01水果!$B690=""),0,IF(OR(N(对接源_01水果!$B690)&lt;$N$2,N(对接源_01水果!$B690)&gt;$N$3),0,1))</f>
        <v>0</v>
      </c>
      <c r="P690" s="3">
        <f>IF(AND($K690=1,AND(对接源_01水果!$X690="公司筐",N(对接源_01水果!$T690)&lt;&gt;0)),1,0)</f>
        <v>0</v>
      </c>
      <c r="Q690" s="3">
        <f t="shared" si="181"/>
        <v>0</v>
      </c>
      <c r="R690" s="3">
        <f>IF(AND($K690=1,AND(对接源_01水果!$X690="公司筐",N(对接源_01水果!$U690)&lt;&gt;0)),1,0)</f>
        <v>0</v>
      </c>
      <c r="S690" s="3">
        <f t="shared" si="182"/>
        <v>0</v>
      </c>
      <c r="T690" s="3">
        <f>IF(AND($K690=1,AND(对接源_01水果!$X690="公司筐",N(对接源_01水果!$V690)&lt;&gt;0)),1,0)</f>
        <v>0</v>
      </c>
      <c r="U690" s="3">
        <f t="shared" si="183"/>
        <v>19</v>
      </c>
      <c r="V690" s="3">
        <f>IF(AND($L690=1,AND(对接源_01水果!$X690="自备筐",N(对接源_01水果!$V690)&lt;&gt;0)),1,0)</f>
        <v>0</v>
      </c>
      <c r="W690" s="3">
        <f t="shared" si="184"/>
        <v>8</v>
      </c>
      <c r="X690" s="3">
        <f>IF(AND($L690=1,AND(对接源_01水果!$X690="自备筐",N(对接源_01水果!$T690)&lt;&gt;0)),1,0)</f>
        <v>0</v>
      </c>
      <c r="Y690" s="3">
        <f t="shared" si="185"/>
        <v>0</v>
      </c>
      <c r="Z690" s="3">
        <f>IF(AND($M690=1,对接源_01水果!$D690="原料入库"),1,0)</f>
        <v>0</v>
      </c>
      <c r="AA690" s="3">
        <f t="shared" si="186"/>
        <v>24</v>
      </c>
      <c r="AB690" s="3">
        <f>IF(AND($M690=1,LEFT(对接源_01水果!$D690,4)="原料出库"),1,0)</f>
        <v>0</v>
      </c>
      <c r="AC690" s="3">
        <f t="shared" si="187"/>
        <v>0</v>
      </c>
      <c r="AD690" s="3">
        <f>IF(AND($M690=1,LEFT(对接源_01水果!$D690,4)="成品出库"),1,0)</f>
        <v>0</v>
      </c>
      <c r="AE690" s="3">
        <f t="shared" si="188"/>
        <v>0</v>
      </c>
      <c r="AF690" s="3">
        <f>IF(AND($N690=1,AND(LEFT(对接源_01水果!$D690,4)="包装物料",N(对接源_01水果!$K690)&lt;&gt;0)),1,0)</f>
        <v>0</v>
      </c>
      <c r="AG690" s="3">
        <f t="shared" si="189"/>
        <v>0</v>
      </c>
      <c r="AH690" s="3">
        <f>IF(AND($N690=1,AND(对接源_01水果!$D690="周转筐－销售出库",N(对接源_01水果!$K690)&lt;&gt;0)),1,0)</f>
        <v>0</v>
      </c>
      <c r="AI690" s="3">
        <f t="shared" si="190"/>
        <v>0</v>
      </c>
      <c r="AJ690" s="7"/>
      <c r="AL690" s="3">
        <f>IF(OR($AL$1="",对接源_01水果!$Y690="",对接源_01水果!$Y690&lt;&gt;$AL$1,对接源_01水果!$B690="",N(对接源_01水果!$AJ690)&lt;=0),0,IF(OR(N(对接源_01水果!$B690)&lt;$AL$2,N(对接源_01水果!$B690)&gt;$AL$3),0,1))</f>
        <v>0</v>
      </c>
      <c r="AM690" s="3">
        <f t="shared" si="191"/>
        <v>1</v>
      </c>
      <c r="AN690" s="3" t="str">
        <f>IF(对接源_01水果!$AC690="","",对接源_01水果!$AC690)</f>
        <v/>
      </c>
      <c r="AO690" s="3">
        <f t="shared" si="192"/>
        <v>0</v>
      </c>
      <c r="AP690" s="3">
        <f t="shared" si="193"/>
        <v>8</v>
      </c>
      <c r="AR690">
        <f t="shared" si="194"/>
        <v>0</v>
      </c>
      <c r="AS690">
        <f t="shared" si="195"/>
        <v>0</v>
      </c>
    </row>
    <row r="691" ht="14.25" customHeight="1" spans="1:45">
      <c r="A691" s="3" t="str">
        <f>IF(对接源_01水果!$C691="","",对接源_01水果!$C691)</f>
        <v/>
      </c>
      <c r="B691" s="3">
        <f t="shared" si="179"/>
        <v>0</v>
      </c>
      <c r="C691" s="3">
        <f t="shared" si="180"/>
        <v>18</v>
      </c>
      <c r="K691" s="3">
        <f>IF(OR($K$1="",对接源_01水果!$C691="",对接源_01水果!$C691&lt;&gt;$K$1,对接源_01水果!$B691=""),0,IF(OR(N(对接源_01水果!$B691)&lt;$K$2,N(对接源_01水果!$B691)&gt;$K$3),0,1))</f>
        <v>0</v>
      </c>
      <c r="L691" s="3">
        <f>IF(OR($L$1="",对接源_01水果!$C691="",对接源_01水果!$C691&lt;&gt;$L$1,对接源_01水果!$B691=""),0,IF(OR(N(对接源_01水果!$B691)&lt;$L$2,N(对接源_01水果!$B691)&gt;$L$3),0,1))</f>
        <v>0</v>
      </c>
      <c r="M691" s="3">
        <f>IF(OR($M$1="",对接源_01水果!$C691="",对接源_01水果!$C691&lt;&gt;$M$1,对接源_01水果!$B691=""),0,IF(OR(N(对接源_01水果!$B691)&lt;$M$2,N(对接源_01水果!$B691)&gt;$M$3),0,1))</f>
        <v>0</v>
      </c>
      <c r="N691" s="3">
        <f>IF(OR($N$1="",对接源_01水果!$C691="",对接源_01水果!$C691&lt;&gt;$N$1,对接源_01水果!$B691=""),0,IF(OR(N(对接源_01水果!$B691)&lt;$N$2,N(对接源_01水果!$B691)&gt;$N$3),0,1))</f>
        <v>0</v>
      </c>
      <c r="P691" s="3">
        <f>IF(AND($K691=1,AND(对接源_01水果!$X691="公司筐",N(对接源_01水果!$T691)&lt;&gt;0)),1,0)</f>
        <v>0</v>
      </c>
      <c r="Q691" s="3">
        <f t="shared" si="181"/>
        <v>0</v>
      </c>
      <c r="R691" s="3">
        <f>IF(AND($K691=1,AND(对接源_01水果!$X691="公司筐",N(对接源_01水果!$U691)&lt;&gt;0)),1,0)</f>
        <v>0</v>
      </c>
      <c r="S691" s="3">
        <f t="shared" si="182"/>
        <v>0</v>
      </c>
      <c r="T691" s="3">
        <f>IF(AND($K691=1,AND(对接源_01水果!$X691="公司筐",N(对接源_01水果!$V691)&lt;&gt;0)),1,0)</f>
        <v>0</v>
      </c>
      <c r="U691" s="3">
        <f t="shared" si="183"/>
        <v>19</v>
      </c>
      <c r="V691" s="3">
        <f>IF(AND($L691=1,AND(对接源_01水果!$X691="自备筐",N(对接源_01水果!$V691)&lt;&gt;0)),1,0)</f>
        <v>0</v>
      </c>
      <c r="W691" s="3">
        <f t="shared" si="184"/>
        <v>8</v>
      </c>
      <c r="X691" s="3">
        <f>IF(AND($L691=1,AND(对接源_01水果!$X691="自备筐",N(对接源_01水果!$T691)&lt;&gt;0)),1,0)</f>
        <v>0</v>
      </c>
      <c r="Y691" s="3">
        <f t="shared" si="185"/>
        <v>0</v>
      </c>
      <c r="Z691" s="3">
        <f>IF(AND($M691=1,对接源_01水果!$D691="原料入库"),1,0)</f>
        <v>0</v>
      </c>
      <c r="AA691" s="3">
        <f t="shared" si="186"/>
        <v>24</v>
      </c>
      <c r="AB691" s="3">
        <f>IF(AND($M691=1,LEFT(对接源_01水果!$D691,4)="原料出库"),1,0)</f>
        <v>0</v>
      </c>
      <c r="AC691" s="3">
        <f t="shared" si="187"/>
        <v>0</v>
      </c>
      <c r="AD691" s="3">
        <f>IF(AND($M691=1,LEFT(对接源_01水果!$D691,4)="成品出库"),1,0)</f>
        <v>0</v>
      </c>
      <c r="AE691" s="3">
        <f t="shared" si="188"/>
        <v>0</v>
      </c>
      <c r="AF691" s="3">
        <f>IF(AND($N691=1,AND(LEFT(对接源_01水果!$D691,4)="包装物料",N(对接源_01水果!$K691)&lt;&gt;0)),1,0)</f>
        <v>0</v>
      </c>
      <c r="AG691" s="3">
        <f t="shared" si="189"/>
        <v>0</v>
      </c>
      <c r="AH691" s="3">
        <f>IF(AND($N691=1,AND(对接源_01水果!$D691="周转筐－销售出库",N(对接源_01水果!$K691)&lt;&gt;0)),1,0)</f>
        <v>0</v>
      </c>
      <c r="AI691" s="3">
        <f t="shared" si="190"/>
        <v>0</v>
      </c>
      <c r="AJ691" s="7"/>
      <c r="AL691" s="3">
        <f>IF(OR($AL$1="",对接源_01水果!$Y691="",对接源_01水果!$Y691&lt;&gt;$AL$1,对接源_01水果!$B691="",N(对接源_01水果!$AJ691)&lt;=0),0,IF(OR(N(对接源_01水果!$B691)&lt;$AL$2,N(对接源_01水果!$B691)&gt;$AL$3),0,1))</f>
        <v>0</v>
      </c>
      <c r="AM691" s="3">
        <f t="shared" si="191"/>
        <v>1</v>
      </c>
      <c r="AN691" s="3" t="str">
        <f>IF(对接源_01水果!$AC691="","",对接源_01水果!$AC691)</f>
        <v/>
      </c>
      <c r="AO691" s="3">
        <f t="shared" si="192"/>
        <v>0</v>
      </c>
      <c r="AP691" s="3">
        <f t="shared" si="193"/>
        <v>8</v>
      </c>
      <c r="AR691">
        <f t="shared" si="194"/>
        <v>0</v>
      </c>
      <c r="AS691">
        <f t="shared" si="195"/>
        <v>0</v>
      </c>
    </row>
    <row r="692" ht="14.25" customHeight="1" spans="1:45">
      <c r="A692" s="3" t="str">
        <f>IF(对接源_01水果!$C692="","",对接源_01水果!$C692)</f>
        <v/>
      </c>
      <c r="B692" s="3">
        <f t="shared" si="179"/>
        <v>0</v>
      </c>
      <c r="C692" s="3">
        <f t="shared" si="180"/>
        <v>18</v>
      </c>
      <c r="K692" s="3">
        <f>IF(OR($K$1="",对接源_01水果!$C692="",对接源_01水果!$C692&lt;&gt;$K$1,对接源_01水果!$B692=""),0,IF(OR(N(对接源_01水果!$B692)&lt;$K$2,N(对接源_01水果!$B692)&gt;$K$3),0,1))</f>
        <v>0</v>
      </c>
      <c r="L692" s="3">
        <f>IF(OR($L$1="",对接源_01水果!$C692="",对接源_01水果!$C692&lt;&gt;$L$1,对接源_01水果!$B692=""),0,IF(OR(N(对接源_01水果!$B692)&lt;$L$2,N(对接源_01水果!$B692)&gt;$L$3),0,1))</f>
        <v>0</v>
      </c>
      <c r="M692" s="3">
        <f>IF(OR($M$1="",对接源_01水果!$C692="",对接源_01水果!$C692&lt;&gt;$M$1,对接源_01水果!$B692=""),0,IF(OR(N(对接源_01水果!$B692)&lt;$M$2,N(对接源_01水果!$B692)&gt;$M$3),0,1))</f>
        <v>0</v>
      </c>
      <c r="N692" s="3">
        <f>IF(OR($N$1="",对接源_01水果!$C692="",对接源_01水果!$C692&lt;&gt;$N$1,对接源_01水果!$B692=""),0,IF(OR(N(对接源_01水果!$B692)&lt;$N$2,N(对接源_01水果!$B692)&gt;$N$3),0,1))</f>
        <v>0</v>
      </c>
      <c r="P692" s="3">
        <f>IF(AND($K692=1,AND(对接源_01水果!$X692="公司筐",N(对接源_01水果!$T692)&lt;&gt;0)),1,0)</f>
        <v>0</v>
      </c>
      <c r="Q692" s="3">
        <f t="shared" si="181"/>
        <v>0</v>
      </c>
      <c r="R692" s="3">
        <f>IF(AND($K692=1,AND(对接源_01水果!$X692="公司筐",N(对接源_01水果!$U692)&lt;&gt;0)),1,0)</f>
        <v>0</v>
      </c>
      <c r="S692" s="3">
        <f t="shared" si="182"/>
        <v>0</v>
      </c>
      <c r="T692" s="3">
        <f>IF(AND($K692=1,AND(对接源_01水果!$X692="公司筐",N(对接源_01水果!$V692)&lt;&gt;0)),1,0)</f>
        <v>0</v>
      </c>
      <c r="U692" s="3">
        <f t="shared" si="183"/>
        <v>19</v>
      </c>
      <c r="V692" s="3">
        <f>IF(AND($L692=1,AND(对接源_01水果!$X692="自备筐",N(对接源_01水果!$V692)&lt;&gt;0)),1,0)</f>
        <v>0</v>
      </c>
      <c r="W692" s="3">
        <f t="shared" si="184"/>
        <v>8</v>
      </c>
      <c r="X692" s="3">
        <f>IF(AND($L692=1,AND(对接源_01水果!$X692="自备筐",N(对接源_01水果!$T692)&lt;&gt;0)),1,0)</f>
        <v>0</v>
      </c>
      <c r="Y692" s="3">
        <f t="shared" si="185"/>
        <v>0</v>
      </c>
      <c r="Z692" s="3">
        <f>IF(AND($M692=1,对接源_01水果!$D692="原料入库"),1,0)</f>
        <v>0</v>
      </c>
      <c r="AA692" s="3">
        <f t="shared" si="186"/>
        <v>24</v>
      </c>
      <c r="AB692" s="3">
        <f>IF(AND($M692=1,LEFT(对接源_01水果!$D692,4)="原料出库"),1,0)</f>
        <v>0</v>
      </c>
      <c r="AC692" s="3">
        <f t="shared" si="187"/>
        <v>0</v>
      </c>
      <c r="AD692" s="3">
        <f>IF(AND($M692=1,LEFT(对接源_01水果!$D692,4)="成品出库"),1,0)</f>
        <v>0</v>
      </c>
      <c r="AE692" s="3">
        <f t="shared" si="188"/>
        <v>0</v>
      </c>
      <c r="AF692" s="3">
        <f>IF(AND($N692=1,AND(LEFT(对接源_01水果!$D692,4)="包装物料",N(对接源_01水果!$K692)&lt;&gt;0)),1,0)</f>
        <v>0</v>
      </c>
      <c r="AG692" s="3">
        <f t="shared" si="189"/>
        <v>0</v>
      </c>
      <c r="AH692" s="3">
        <f>IF(AND($N692=1,AND(对接源_01水果!$D692="周转筐－销售出库",N(对接源_01水果!$K692)&lt;&gt;0)),1,0)</f>
        <v>0</v>
      </c>
      <c r="AI692" s="3">
        <f t="shared" si="190"/>
        <v>0</v>
      </c>
      <c r="AJ692" s="7"/>
      <c r="AL692" s="3">
        <f>IF(OR($AL$1="",对接源_01水果!$Y692="",对接源_01水果!$Y692&lt;&gt;$AL$1,对接源_01水果!$B692="",N(对接源_01水果!$AJ692)&lt;=0),0,IF(OR(N(对接源_01水果!$B692)&lt;$AL$2,N(对接源_01水果!$B692)&gt;$AL$3),0,1))</f>
        <v>0</v>
      </c>
      <c r="AM692" s="3">
        <f t="shared" si="191"/>
        <v>1</v>
      </c>
      <c r="AN692" s="3" t="str">
        <f>IF(对接源_01水果!$AC692="","",对接源_01水果!$AC692)</f>
        <v/>
      </c>
      <c r="AO692" s="3">
        <f t="shared" si="192"/>
        <v>0</v>
      </c>
      <c r="AP692" s="3">
        <f t="shared" si="193"/>
        <v>8</v>
      </c>
      <c r="AR692">
        <f t="shared" si="194"/>
        <v>0</v>
      </c>
      <c r="AS692">
        <f t="shared" si="195"/>
        <v>0</v>
      </c>
    </row>
    <row r="693" ht="14.25" customHeight="1" spans="1:45">
      <c r="A693" s="3" t="str">
        <f>IF(对接源_01水果!$C693="","",对接源_01水果!$C693)</f>
        <v/>
      </c>
      <c r="B693" s="3">
        <f t="shared" si="179"/>
        <v>0</v>
      </c>
      <c r="C693" s="3">
        <f t="shared" si="180"/>
        <v>18</v>
      </c>
      <c r="K693" s="3">
        <f>IF(OR($K$1="",对接源_01水果!$C693="",对接源_01水果!$C693&lt;&gt;$K$1,对接源_01水果!$B693=""),0,IF(OR(N(对接源_01水果!$B693)&lt;$K$2,N(对接源_01水果!$B693)&gt;$K$3),0,1))</f>
        <v>0</v>
      </c>
      <c r="L693" s="3">
        <f>IF(OR($L$1="",对接源_01水果!$C693="",对接源_01水果!$C693&lt;&gt;$L$1,对接源_01水果!$B693=""),0,IF(OR(N(对接源_01水果!$B693)&lt;$L$2,N(对接源_01水果!$B693)&gt;$L$3),0,1))</f>
        <v>0</v>
      </c>
      <c r="M693" s="3">
        <f>IF(OR($M$1="",对接源_01水果!$C693="",对接源_01水果!$C693&lt;&gt;$M$1,对接源_01水果!$B693=""),0,IF(OR(N(对接源_01水果!$B693)&lt;$M$2,N(对接源_01水果!$B693)&gt;$M$3),0,1))</f>
        <v>0</v>
      </c>
      <c r="N693" s="3">
        <f>IF(OR($N$1="",对接源_01水果!$C693="",对接源_01水果!$C693&lt;&gt;$N$1,对接源_01水果!$B693=""),0,IF(OR(N(对接源_01水果!$B693)&lt;$N$2,N(对接源_01水果!$B693)&gt;$N$3),0,1))</f>
        <v>0</v>
      </c>
      <c r="P693" s="3">
        <f>IF(AND($K693=1,AND(对接源_01水果!$X693="公司筐",N(对接源_01水果!$T693)&lt;&gt;0)),1,0)</f>
        <v>0</v>
      </c>
      <c r="Q693" s="3">
        <f t="shared" si="181"/>
        <v>0</v>
      </c>
      <c r="R693" s="3">
        <f>IF(AND($K693=1,AND(对接源_01水果!$X693="公司筐",N(对接源_01水果!$U693)&lt;&gt;0)),1,0)</f>
        <v>0</v>
      </c>
      <c r="S693" s="3">
        <f t="shared" si="182"/>
        <v>0</v>
      </c>
      <c r="T693" s="3">
        <f>IF(AND($K693=1,AND(对接源_01水果!$X693="公司筐",N(对接源_01水果!$V693)&lt;&gt;0)),1,0)</f>
        <v>0</v>
      </c>
      <c r="U693" s="3">
        <f t="shared" si="183"/>
        <v>19</v>
      </c>
      <c r="V693" s="3">
        <f>IF(AND($L693=1,AND(对接源_01水果!$X693="自备筐",N(对接源_01水果!$V693)&lt;&gt;0)),1,0)</f>
        <v>0</v>
      </c>
      <c r="W693" s="3">
        <f t="shared" si="184"/>
        <v>8</v>
      </c>
      <c r="X693" s="3">
        <f>IF(AND($L693=1,AND(对接源_01水果!$X693="自备筐",N(对接源_01水果!$T693)&lt;&gt;0)),1,0)</f>
        <v>0</v>
      </c>
      <c r="Y693" s="3">
        <f t="shared" si="185"/>
        <v>0</v>
      </c>
      <c r="Z693" s="3">
        <f>IF(AND($M693=1,对接源_01水果!$D693="原料入库"),1,0)</f>
        <v>0</v>
      </c>
      <c r="AA693" s="3">
        <f t="shared" si="186"/>
        <v>24</v>
      </c>
      <c r="AB693" s="3">
        <f>IF(AND($M693=1,LEFT(对接源_01水果!$D693,4)="原料出库"),1,0)</f>
        <v>0</v>
      </c>
      <c r="AC693" s="3">
        <f t="shared" si="187"/>
        <v>0</v>
      </c>
      <c r="AD693" s="3">
        <f>IF(AND($M693=1,LEFT(对接源_01水果!$D693,4)="成品出库"),1,0)</f>
        <v>0</v>
      </c>
      <c r="AE693" s="3">
        <f t="shared" si="188"/>
        <v>0</v>
      </c>
      <c r="AF693" s="3">
        <f>IF(AND($N693=1,AND(LEFT(对接源_01水果!$D693,4)="包装物料",N(对接源_01水果!$K693)&lt;&gt;0)),1,0)</f>
        <v>0</v>
      </c>
      <c r="AG693" s="3">
        <f t="shared" si="189"/>
        <v>0</v>
      </c>
      <c r="AH693" s="3">
        <f>IF(AND($N693=1,AND(对接源_01水果!$D693="周转筐－销售出库",N(对接源_01水果!$K693)&lt;&gt;0)),1,0)</f>
        <v>0</v>
      </c>
      <c r="AI693" s="3">
        <f t="shared" si="190"/>
        <v>0</v>
      </c>
      <c r="AJ693" s="7"/>
      <c r="AL693" s="3">
        <f>IF(OR($AL$1="",对接源_01水果!$Y693="",对接源_01水果!$Y693&lt;&gt;$AL$1,对接源_01水果!$B693="",N(对接源_01水果!$AJ693)&lt;=0),0,IF(OR(N(对接源_01水果!$B693)&lt;$AL$2,N(对接源_01水果!$B693)&gt;$AL$3),0,1))</f>
        <v>0</v>
      </c>
      <c r="AM693" s="3">
        <f t="shared" si="191"/>
        <v>1</v>
      </c>
      <c r="AN693" s="3" t="str">
        <f>IF(对接源_01水果!$AC693="","",对接源_01水果!$AC693)</f>
        <v/>
      </c>
      <c r="AO693" s="3">
        <f t="shared" si="192"/>
        <v>0</v>
      </c>
      <c r="AP693" s="3">
        <f t="shared" si="193"/>
        <v>8</v>
      </c>
      <c r="AR693">
        <f t="shared" si="194"/>
        <v>0</v>
      </c>
      <c r="AS693">
        <f t="shared" si="195"/>
        <v>0</v>
      </c>
    </row>
    <row r="694" ht="14.25" customHeight="1" spans="1:45">
      <c r="A694" s="3" t="str">
        <f>IF(对接源_01水果!$C694="","",对接源_01水果!$C694)</f>
        <v/>
      </c>
      <c r="B694" s="3">
        <f t="shared" si="179"/>
        <v>0</v>
      </c>
      <c r="C694" s="3">
        <f t="shared" si="180"/>
        <v>18</v>
      </c>
      <c r="K694" s="3">
        <f>IF(OR($K$1="",对接源_01水果!$C694="",对接源_01水果!$C694&lt;&gt;$K$1,对接源_01水果!$B694=""),0,IF(OR(N(对接源_01水果!$B694)&lt;$K$2,N(对接源_01水果!$B694)&gt;$K$3),0,1))</f>
        <v>0</v>
      </c>
      <c r="L694" s="3">
        <f>IF(OR($L$1="",对接源_01水果!$C694="",对接源_01水果!$C694&lt;&gt;$L$1,对接源_01水果!$B694=""),0,IF(OR(N(对接源_01水果!$B694)&lt;$L$2,N(对接源_01水果!$B694)&gt;$L$3),0,1))</f>
        <v>0</v>
      </c>
      <c r="M694" s="3">
        <f>IF(OR($M$1="",对接源_01水果!$C694="",对接源_01水果!$C694&lt;&gt;$M$1,对接源_01水果!$B694=""),0,IF(OR(N(对接源_01水果!$B694)&lt;$M$2,N(对接源_01水果!$B694)&gt;$M$3),0,1))</f>
        <v>0</v>
      </c>
      <c r="N694" s="3">
        <f>IF(OR($N$1="",对接源_01水果!$C694="",对接源_01水果!$C694&lt;&gt;$N$1,对接源_01水果!$B694=""),0,IF(OR(N(对接源_01水果!$B694)&lt;$N$2,N(对接源_01水果!$B694)&gt;$N$3),0,1))</f>
        <v>0</v>
      </c>
      <c r="P694" s="3">
        <f>IF(AND($K694=1,AND(对接源_01水果!$X694="公司筐",N(对接源_01水果!$T694)&lt;&gt;0)),1,0)</f>
        <v>0</v>
      </c>
      <c r="Q694" s="3">
        <f t="shared" si="181"/>
        <v>0</v>
      </c>
      <c r="R694" s="3">
        <f>IF(AND($K694=1,AND(对接源_01水果!$X694="公司筐",N(对接源_01水果!$U694)&lt;&gt;0)),1,0)</f>
        <v>0</v>
      </c>
      <c r="S694" s="3">
        <f t="shared" si="182"/>
        <v>0</v>
      </c>
      <c r="T694" s="3">
        <f>IF(AND($K694=1,AND(对接源_01水果!$X694="公司筐",N(对接源_01水果!$V694)&lt;&gt;0)),1,0)</f>
        <v>0</v>
      </c>
      <c r="U694" s="3">
        <f t="shared" si="183"/>
        <v>19</v>
      </c>
      <c r="V694" s="3">
        <f>IF(AND($L694=1,AND(对接源_01水果!$X694="自备筐",N(对接源_01水果!$V694)&lt;&gt;0)),1,0)</f>
        <v>0</v>
      </c>
      <c r="W694" s="3">
        <f t="shared" si="184"/>
        <v>8</v>
      </c>
      <c r="X694" s="3">
        <f>IF(AND($L694=1,AND(对接源_01水果!$X694="自备筐",N(对接源_01水果!$T694)&lt;&gt;0)),1,0)</f>
        <v>0</v>
      </c>
      <c r="Y694" s="3">
        <f t="shared" si="185"/>
        <v>0</v>
      </c>
      <c r="Z694" s="3">
        <f>IF(AND($M694=1,对接源_01水果!$D694="原料入库"),1,0)</f>
        <v>0</v>
      </c>
      <c r="AA694" s="3">
        <f t="shared" si="186"/>
        <v>24</v>
      </c>
      <c r="AB694" s="3">
        <f>IF(AND($M694=1,LEFT(对接源_01水果!$D694,4)="原料出库"),1,0)</f>
        <v>0</v>
      </c>
      <c r="AC694" s="3">
        <f t="shared" si="187"/>
        <v>0</v>
      </c>
      <c r="AD694" s="3">
        <f>IF(AND($M694=1,LEFT(对接源_01水果!$D694,4)="成品出库"),1,0)</f>
        <v>0</v>
      </c>
      <c r="AE694" s="3">
        <f t="shared" si="188"/>
        <v>0</v>
      </c>
      <c r="AF694" s="3">
        <f>IF(AND($N694=1,AND(LEFT(对接源_01水果!$D694,4)="包装物料",N(对接源_01水果!$K694)&lt;&gt;0)),1,0)</f>
        <v>0</v>
      </c>
      <c r="AG694" s="3">
        <f t="shared" si="189"/>
        <v>0</v>
      </c>
      <c r="AH694" s="3">
        <f>IF(AND($N694=1,AND(对接源_01水果!$D694="周转筐－销售出库",N(对接源_01水果!$K694)&lt;&gt;0)),1,0)</f>
        <v>0</v>
      </c>
      <c r="AI694" s="3">
        <f t="shared" si="190"/>
        <v>0</v>
      </c>
      <c r="AJ694" s="7"/>
      <c r="AL694" s="3">
        <f>IF(OR($AL$1="",对接源_01水果!$Y694="",对接源_01水果!$Y694&lt;&gt;$AL$1,对接源_01水果!$B694="",N(对接源_01水果!$AJ694)&lt;=0),0,IF(OR(N(对接源_01水果!$B694)&lt;$AL$2,N(对接源_01水果!$B694)&gt;$AL$3),0,1))</f>
        <v>0</v>
      </c>
      <c r="AM694" s="3">
        <f t="shared" si="191"/>
        <v>1</v>
      </c>
      <c r="AN694" s="3" t="str">
        <f>IF(对接源_01水果!$AC694="","",对接源_01水果!$AC694)</f>
        <v/>
      </c>
      <c r="AO694" s="3">
        <f t="shared" si="192"/>
        <v>0</v>
      </c>
      <c r="AP694" s="3">
        <f t="shared" si="193"/>
        <v>8</v>
      </c>
      <c r="AR694">
        <f t="shared" si="194"/>
        <v>0</v>
      </c>
      <c r="AS694">
        <f t="shared" si="195"/>
        <v>0</v>
      </c>
    </row>
    <row r="695" ht="14.25" customHeight="1" spans="1:45">
      <c r="A695" s="3" t="str">
        <f>IF(对接源_01水果!$C695="","",对接源_01水果!$C695)</f>
        <v/>
      </c>
      <c r="B695" s="3">
        <f t="shared" si="179"/>
        <v>0</v>
      </c>
      <c r="C695" s="3">
        <f t="shared" si="180"/>
        <v>18</v>
      </c>
      <c r="K695" s="3">
        <f>IF(OR($K$1="",对接源_01水果!$C695="",对接源_01水果!$C695&lt;&gt;$K$1,对接源_01水果!$B695=""),0,IF(OR(N(对接源_01水果!$B695)&lt;$K$2,N(对接源_01水果!$B695)&gt;$K$3),0,1))</f>
        <v>0</v>
      </c>
      <c r="L695" s="3">
        <f>IF(OR($L$1="",对接源_01水果!$C695="",对接源_01水果!$C695&lt;&gt;$L$1,对接源_01水果!$B695=""),0,IF(OR(N(对接源_01水果!$B695)&lt;$L$2,N(对接源_01水果!$B695)&gt;$L$3),0,1))</f>
        <v>0</v>
      </c>
      <c r="M695" s="3">
        <f>IF(OR($M$1="",对接源_01水果!$C695="",对接源_01水果!$C695&lt;&gt;$M$1,对接源_01水果!$B695=""),0,IF(OR(N(对接源_01水果!$B695)&lt;$M$2,N(对接源_01水果!$B695)&gt;$M$3),0,1))</f>
        <v>0</v>
      </c>
      <c r="N695" s="3">
        <f>IF(OR($N$1="",对接源_01水果!$C695="",对接源_01水果!$C695&lt;&gt;$N$1,对接源_01水果!$B695=""),0,IF(OR(N(对接源_01水果!$B695)&lt;$N$2,N(对接源_01水果!$B695)&gt;$N$3),0,1))</f>
        <v>0</v>
      </c>
      <c r="P695" s="3">
        <f>IF(AND($K695=1,AND(对接源_01水果!$X695="公司筐",N(对接源_01水果!$T695)&lt;&gt;0)),1,0)</f>
        <v>0</v>
      </c>
      <c r="Q695" s="3">
        <f t="shared" si="181"/>
        <v>0</v>
      </c>
      <c r="R695" s="3">
        <f>IF(AND($K695=1,AND(对接源_01水果!$X695="公司筐",N(对接源_01水果!$U695)&lt;&gt;0)),1,0)</f>
        <v>0</v>
      </c>
      <c r="S695" s="3">
        <f t="shared" si="182"/>
        <v>0</v>
      </c>
      <c r="T695" s="3">
        <f>IF(AND($K695=1,AND(对接源_01水果!$X695="公司筐",N(对接源_01水果!$V695)&lt;&gt;0)),1,0)</f>
        <v>0</v>
      </c>
      <c r="U695" s="3">
        <f t="shared" si="183"/>
        <v>19</v>
      </c>
      <c r="V695" s="3">
        <f>IF(AND($L695=1,AND(对接源_01水果!$X695="自备筐",N(对接源_01水果!$V695)&lt;&gt;0)),1,0)</f>
        <v>0</v>
      </c>
      <c r="W695" s="3">
        <f t="shared" si="184"/>
        <v>8</v>
      </c>
      <c r="X695" s="3">
        <f>IF(AND($L695=1,AND(对接源_01水果!$X695="自备筐",N(对接源_01水果!$T695)&lt;&gt;0)),1,0)</f>
        <v>0</v>
      </c>
      <c r="Y695" s="3">
        <f t="shared" si="185"/>
        <v>0</v>
      </c>
      <c r="Z695" s="3">
        <f>IF(AND($M695=1,对接源_01水果!$D695="原料入库"),1,0)</f>
        <v>0</v>
      </c>
      <c r="AA695" s="3">
        <f t="shared" si="186"/>
        <v>24</v>
      </c>
      <c r="AB695" s="3">
        <f>IF(AND($M695=1,LEFT(对接源_01水果!$D695,4)="原料出库"),1,0)</f>
        <v>0</v>
      </c>
      <c r="AC695" s="3">
        <f t="shared" si="187"/>
        <v>0</v>
      </c>
      <c r="AD695" s="3">
        <f>IF(AND($M695=1,LEFT(对接源_01水果!$D695,4)="成品出库"),1,0)</f>
        <v>0</v>
      </c>
      <c r="AE695" s="3">
        <f t="shared" si="188"/>
        <v>0</v>
      </c>
      <c r="AF695" s="3">
        <f>IF(AND($N695=1,AND(LEFT(对接源_01水果!$D695,4)="包装物料",N(对接源_01水果!$K695)&lt;&gt;0)),1,0)</f>
        <v>0</v>
      </c>
      <c r="AG695" s="3">
        <f t="shared" si="189"/>
        <v>0</v>
      </c>
      <c r="AH695" s="3">
        <f>IF(AND($N695=1,AND(对接源_01水果!$D695="周转筐－销售出库",N(对接源_01水果!$K695)&lt;&gt;0)),1,0)</f>
        <v>0</v>
      </c>
      <c r="AI695" s="3">
        <f t="shared" si="190"/>
        <v>0</v>
      </c>
      <c r="AJ695" s="7"/>
      <c r="AL695" s="3">
        <f>IF(OR($AL$1="",对接源_01水果!$Y695="",对接源_01水果!$Y695&lt;&gt;$AL$1,对接源_01水果!$B695="",N(对接源_01水果!$AJ695)&lt;=0),0,IF(OR(N(对接源_01水果!$B695)&lt;$AL$2,N(对接源_01水果!$B695)&gt;$AL$3),0,1))</f>
        <v>0</v>
      </c>
      <c r="AM695" s="3">
        <f t="shared" si="191"/>
        <v>1</v>
      </c>
      <c r="AN695" s="3" t="str">
        <f>IF(对接源_01水果!$AC695="","",对接源_01水果!$AC695)</f>
        <v/>
      </c>
      <c r="AO695" s="3">
        <f t="shared" si="192"/>
        <v>0</v>
      </c>
      <c r="AP695" s="3">
        <f t="shared" si="193"/>
        <v>8</v>
      </c>
      <c r="AR695">
        <f t="shared" si="194"/>
        <v>0</v>
      </c>
      <c r="AS695">
        <f t="shared" si="195"/>
        <v>0</v>
      </c>
    </row>
    <row r="696" ht="14.25" customHeight="1" spans="1:45">
      <c r="A696" s="3" t="str">
        <f>IF(对接源_01水果!$C696="","",对接源_01水果!$C696)</f>
        <v/>
      </c>
      <c r="B696" s="3">
        <f t="shared" si="179"/>
        <v>0</v>
      </c>
      <c r="C696" s="3">
        <f t="shared" si="180"/>
        <v>18</v>
      </c>
      <c r="K696" s="3">
        <f>IF(OR($K$1="",对接源_01水果!$C696="",对接源_01水果!$C696&lt;&gt;$K$1,对接源_01水果!$B696=""),0,IF(OR(N(对接源_01水果!$B696)&lt;$K$2,N(对接源_01水果!$B696)&gt;$K$3),0,1))</f>
        <v>0</v>
      </c>
      <c r="L696" s="3">
        <f>IF(OR($L$1="",对接源_01水果!$C696="",对接源_01水果!$C696&lt;&gt;$L$1,对接源_01水果!$B696=""),0,IF(OR(N(对接源_01水果!$B696)&lt;$L$2,N(对接源_01水果!$B696)&gt;$L$3),0,1))</f>
        <v>0</v>
      </c>
      <c r="M696" s="3">
        <f>IF(OR($M$1="",对接源_01水果!$C696="",对接源_01水果!$C696&lt;&gt;$M$1,对接源_01水果!$B696=""),0,IF(OR(N(对接源_01水果!$B696)&lt;$M$2,N(对接源_01水果!$B696)&gt;$M$3),0,1))</f>
        <v>0</v>
      </c>
      <c r="N696" s="3">
        <f>IF(OR($N$1="",对接源_01水果!$C696="",对接源_01水果!$C696&lt;&gt;$N$1,对接源_01水果!$B696=""),0,IF(OR(N(对接源_01水果!$B696)&lt;$N$2,N(对接源_01水果!$B696)&gt;$N$3),0,1))</f>
        <v>0</v>
      </c>
      <c r="P696" s="3">
        <f>IF(AND($K696=1,AND(对接源_01水果!$X696="公司筐",N(对接源_01水果!$T696)&lt;&gt;0)),1,0)</f>
        <v>0</v>
      </c>
      <c r="Q696" s="3">
        <f t="shared" si="181"/>
        <v>0</v>
      </c>
      <c r="R696" s="3">
        <f>IF(AND($K696=1,AND(对接源_01水果!$X696="公司筐",N(对接源_01水果!$U696)&lt;&gt;0)),1,0)</f>
        <v>0</v>
      </c>
      <c r="S696" s="3">
        <f t="shared" si="182"/>
        <v>0</v>
      </c>
      <c r="T696" s="3">
        <f>IF(AND($K696=1,AND(对接源_01水果!$X696="公司筐",N(对接源_01水果!$V696)&lt;&gt;0)),1,0)</f>
        <v>0</v>
      </c>
      <c r="U696" s="3">
        <f t="shared" si="183"/>
        <v>19</v>
      </c>
      <c r="V696" s="3">
        <f>IF(AND($L696=1,AND(对接源_01水果!$X696="自备筐",N(对接源_01水果!$V696)&lt;&gt;0)),1,0)</f>
        <v>0</v>
      </c>
      <c r="W696" s="3">
        <f t="shared" si="184"/>
        <v>8</v>
      </c>
      <c r="X696" s="3">
        <f>IF(AND($L696=1,AND(对接源_01水果!$X696="自备筐",N(对接源_01水果!$T696)&lt;&gt;0)),1,0)</f>
        <v>0</v>
      </c>
      <c r="Y696" s="3">
        <f t="shared" si="185"/>
        <v>0</v>
      </c>
      <c r="Z696" s="3">
        <f>IF(AND($M696=1,对接源_01水果!$D696="原料入库"),1,0)</f>
        <v>0</v>
      </c>
      <c r="AA696" s="3">
        <f t="shared" si="186"/>
        <v>24</v>
      </c>
      <c r="AB696" s="3">
        <f>IF(AND($M696=1,LEFT(对接源_01水果!$D696,4)="原料出库"),1,0)</f>
        <v>0</v>
      </c>
      <c r="AC696" s="3">
        <f t="shared" si="187"/>
        <v>0</v>
      </c>
      <c r="AD696" s="3">
        <f>IF(AND($M696=1,LEFT(对接源_01水果!$D696,4)="成品出库"),1,0)</f>
        <v>0</v>
      </c>
      <c r="AE696" s="3">
        <f t="shared" si="188"/>
        <v>0</v>
      </c>
      <c r="AF696" s="3">
        <f>IF(AND($N696=1,AND(LEFT(对接源_01水果!$D696,4)="包装物料",N(对接源_01水果!$K696)&lt;&gt;0)),1,0)</f>
        <v>0</v>
      </c>
      <c r="AG696" s="3">
        <f t="shared" si="189"/>
        <v>0</v>
      </c>
      <c r="AH696" s="3">
        <f>IF(AND($N696=1,AND(对接源_01水果!$D696="周转筐－销售出库",N(对接源_01水果!$K696)&lt;&gt;0)),1,0)</f>
        <v>0</v>
      </c>
      <c r="AI696" s="3">
        <f t="shared" si="190"/>
        <v>0</v>
      </c>
      <c r="AJ696" s="7"/>
      <c r="AL696" s="3">
        <f>IF(OR($AL$1="",对接源_01水果!$Y696="",对接源_01水果!$Y696&lt;&gt;$AL$1,对接源_01水果!$B696="",N(对接源_01水果!$AJ696)&lt;=0),0,IF(OR(N(对接源_01水果!$B696)&lt;$AL$2,N(对接源_01水果!$B696)&gt;$AL$3),0,1))</f>
        <v>0</v>
      </c>
      <c r="AM696" s="3">
        <f t="shared" si="191"/>
        <v>1</v>
      </c>
      <c r="AN696" s="3" t="str">
        <f>IF(对接源_01水果!$AC696="","",对接源_01水果!$AC696)</f>
        <v/>
      </c>
      <c r="AO696" s="3">
        <f t="shared" si="192"/>
        <v>0</v>
      </c>
      <c r="AP696" s="3">
        <f t="shared" si="193"/>
        <v>8</v>
      </c>
      <c r="AR696">
        <f t="shared" si="194"/>
        <v>0</v>
      </c>
      <c r="AS696">
        <f t="shared" si="195"/>
        <v>0</v>
      </c>
    </row>
    <row r="697" ht="14.25" customHeight="1" spans="1:45">
      <c r="A697" s="3" t="str">
        <f>IF(对接源_01水果!$C697="","",对接源_01水果!$C697)</f>
        <v/>
      </c>
      <c r="B697" s="3">
        <f t="shared" si="179"/>
        <v>0</v>
      </c>
      <c r="C697" s="3">
        <f t="shared" si="180"/>
        <v>18</v>
      </c>
      <c r="K697" s="3">
        <f>IF(OR($K$1="",对接源_01水果!$C697="",对接源_01水果!$C697&lt;&gt;$K$1,对接源_01水果!$B697=""),0,IF(OR(N(对接源_01水果!$B697)&lt;$K$2,N(对接源_01水果!$B697)&gt;$K$3),0,1))</f>
        <v>0</v>
      </c>
      <c r="L697" s="3">
        <f>IF(OR($L$1="",对接源_01水果!$C697="",对接源_01水果!$C697&lt;&gt;$L$1,对接源_01水果!$B697=""),0,IF(OR(N(对接源_01水果!$B697)&lt;$L$2,N(对接源_01水果!$B697)&gt;$L$3),0,1))</f>
        <v>0</v>
      </c>
      <c r="M697" s="3">
        <f>IF(OR($M$1="",对接源_01水果!$C697="",对接源_01水果!$C697&lt;&gt;$M$1,对接源_01水果!$B697=""),0,IF(OR(N(对接源_01水果!$B697)&lt;$M$2,N(对接源_01水果!$B697)&gt;$M$3),0,1))</f>
        <v>0</v>
      </c>
      <c r="N697" s="3">
        <f>IF(OR($N$1="",对接源_01水果!$C697="",对接源_01水果!$C697&lt;&gt;$N$1,对接源_01水果!$B697=""),0,IF(OR(N(对接源_01水果!$B697)&lt;$N$2,N(对接源_01水果!$B697)&gt;$N$3),0,1))</f>
        <v>0</v>
      </c>
      <c r="P697" s="3">
        <f>IF(AND($K697=1,AND(对接源_01水果!$X697="公司筐",N(对接源_01水果!$T697)&lt;&gt;0)),1,0)</f>
        <v>0</v>
      </c>
      <c r="Q697" s="3">
        <f t="shared" si="181"/>
        <v>0</v>
      </c>
      <c r="R697" s="3">
        <f>IF(AND($K697=1,AND(对接源_01水果!$X697="公司筐",N(对接源_01水果!$U697)&lt;&gt;0)),1,0)</f>
        <v>0</v>
      </c>
      <c r="S697" s="3">
        <f t="shared" si="182"/>
        <v>0</v>
      </c>
      <c r="T697" s="3">
        <f>IF(AND($K697=1,AND(对接源_01水果!$X697="公司筐",N(对接源_01水果!$V697)&lt;&gt;0)),1,0)</f>
        <v>0</v>
      </c>
      <c r="U697" s="3">
        <f t="shared" si="183"/>
        <v>19</v>
      </c>
      <c r="V697" s="3">
        <f>IF(AND($L697=1,AND(对接源_01水果!$X697="自备筐",N(对接源_01水果!$V697)&lt;&gt;0)),1,0)</f>
        <v>0</v>
      </c>
      <c r="W697" s="3">
        <f t="shared" si="184"/>
        <v>8</v>
      </c>
      <c r="X697" s="3">
        <f>IF(AND($L697=1,AND(对接源_01水果!$X697="自备筐",N(对接源_01水果!$T697)&lt;&gt;0)),1,0)</f>
        <v>0</v>
      </c>
      <c r="Y697" s="3">
        <f t="shared" si="185"/>
        <v>0</v>
      </c>
      <c r="Z697" s="3">
        <f>IF(AND($M697=1,对接源_01水果!$D697="原料入库"),1,0)</f>
        <v>0</v>
      </c>
      <c r="AA697" s="3">
        <f t="shared" si="186"/>
        <v>24</v>
      </c>
      <c r="AB697" s="3">
        <f>IF(AND($M697=1,LEFT(对接源_01水果!$D697,4)="原料出库"),1,0)</f>
        <v>0</v>
      </c>
      <c r="AC697" s="3">
        <f t="shared" si="187"/>
        <v>0</v>
      </c>
      <c r="AD697" s="3">
        <f>IF(AND($M697=1,LEFT(对接源_01水果!$D697,4)="成品出库"),1,0)</f>
        <v>0</v>
      </c>
      <c r="AE697" s="3">
        <f t="shared" si="188"/>
        <v>0</v>
      </c>
      <c r="AF697" s="3">
        <f>IF(AND($N697=1,AND(LEFT(对接源_01水果!$D697,4)="包装物料",N(对接源_01水果!$K697)&lt;&gt;0)),1,0)</f>
        <v>0</v>
      </c>
      <c r="AG697" s="3">
        <f t="shared" si="189"/>
        <v>0</v>
      </c>
      <c r="AH697" s="3">
        <f>IF(AND($N697=1,AND(对接源_01水果!$D697="周转筐－销售出库",N(对接源_01水果!$K697)&lt;&gt;0)),1,0)</f>
        <v>0</v>
      </c>
      <c r="AI697" s="3">
        <f t="shared" si="190"/>
        <v>0</v>
      </c>
      <c r="AJ697" s="7"/>
      <c r="AL697" s="3">
        <f>IF(OR($AL$1="",对接源_01水果!$Y697="",对接源_01水果!$Y697&lt;&gt;$AL$1,对接源_01水果!$B697="",N(对接源_01水果!$AJ697)&lt;=0),0,IF(OR(N(对接源_01水果!$B697)&lt;$AL$2,N(对接源_01水果!$B697)&gt;$AL$3),0,1))</f>
        <v>0</v>
      </c>
      <c r="AM697" s="3">
        <f t="shared" si="191"/>
        <v>1</v>
      </c>
      <c r="AN697" s="3" t="str">
        <f>IF(对接源_01水果!$AC697="","",对接源_01水果!$AC697)</f>
        <v/>
      </c>
      <c r="AO697" s="3">
        <f t="shared" si="192"/>
        <v>0</v>
      </c>
      <c r="AP697" s="3">
        <f t="shared" si="193"/>
        <v>8</v>
      </c>
      <c r="AR697">
        <f t="shared" si="194"/>
        <v>0</v>
      </c>
      <c r="AS697">
        <f t="shared" si="195"/>
        <v>0</v>
      </c>
    </row>
    <row r="698" ht="14.25" customHeight="1" spans="1:45">
      <c r="A698" s="3" t="str">
        <f>IF(对接源_01水果!$C698="","",对接源_01水果!$C698)</f>
        <v/>
      </c>
      <c r="B698" s="3">
        <f t="shared" si="179"/>
        <v>0</v>
      </c>
      <c r="C698" s="3">
        <f t="shared" si="180"/>
        <v>18</v>
      </c>
      <c r="K698" s="3">
        <f>IF(OR($K$1="",对接源_01水果!$C698="",对接源_01水果!$C698&lt;&gt;$K$1,对接源_01水果!$B698=""),0,IF(OR(N(对接源_01水果!$B698)&lt;$K$2,N(对接源_01水果!$B698)&gt;$K$3),0,1))</f>
        <v>0</v>
      </c>
      <c r="L698" s="3">
        <f>IF(OR($L$1="",对接源_01水果!$C698="",对接源_01水果!$C698&lt;&gt;$L$1,对接源_01水果!$B698=""),0,IF(OR(N(对接源_01水果!$B698)&lt;$L$2,N(对接源_01水果!$B698)&gt;$L$3),0,1))</f>
        <v>0</v>
      </c>
      <c r="M698" s="3">
        <f>IF(OR($M$1="",对接源_01水果!$C698="",对接源_01水果!$C698&lt;&gt;$M$1,对接源_01水果!$B698=""),0,IF(OR(N(对接源_01水果!$B698)&lt;$M$2,N(对接源_01水果!$B698)&gt;$M$3),0,1))</f>
        <v>0</v>
      </c>
      <c r="N698" s="3">
        <f>IF(OR($N$1="",对接源_01水果!$C698="",对接源_01水果!$C698&lt;&gt;$N$1,对接源_01水果!$B698=""),0,IF(OR(N(对接源_01水果!$B698)&lt;$N$2,N(对接源_01水果!$B698)&gt;$N$3),0,1))</f>
        <v>0</v>
      </c>
      <c r="P698" s="3">
        <f>IF(AND($K698=1,AND(对接源_01水果!$X698="公司筐",N(对接源_01水果!$T698)&lt;&gt;0)),1,0)</f>
        <v>0</v>
      </c>
      <c r="Q698" s="3">
        <f t="shared" si="181"/>
        <v>0</v>
      </c>
      <c r="R698" s="3">
        <f>IF(AND($K698=1,AND(对接源_01水果!$X698="公司筐",N(对接源_01水果!$U698)&lt;&gt;0)),1,0)</f>
        <v>0</v>
      </c>
      <c r="S698" s="3">
        <f t="shared" si="182"/>
        <v>0</v>
      </c>
      <c r="T698" s="3">
        <f>IF(AND($K698=1,AND(对接源_01水果!$X698="公司筐",N(对接源_01水果!$V698)&lt;&gt;0)),1,0)</f>
        <v>0</v>
      </c>
      <c r="U698" s="3">
        <f t="shared" si="183"/>
        <v>19</v>
      </c>
      <c r="V698" s="3">
        <f>IF(AND($L698=1,AND(对接源_01水果!$X698="自备筐",N(对接源_01水果!$V698)&lt;&gt;0)),1,0)</f>
        <v>0</v>
      </c>
      <c r="W698" s="3">
        <f t="shared" si="184"/>
        <v>8</v>
      </c>
      <c r="X698" s="3">
        <f>IF(AND($L698=1,AND(对接源_01水果!$X698="自备筐",N(对接源_01水果!$T698)&lt;&gt;0)),1,0)</f>
        <v>0</v>
      </c>
      <c r="Y698" s="3">
        <f t="shared" si="185"/>
        <v>0</v>
      </c>
      <c r="Z698" s="3">
        <f>IF(AND($M698=1,对接源_01水果!$D698="原料入库"),1,0)</f>
        <v>0</v>
      </c>
      <c r="AA698" s="3">
        <f t="shared" si="186"/>
        <v>24</v>
      </c>
      <c r="AB698" s="3">
        <f>IF(AND($M698=1,LEFT(对接源_01水果!$D698,4)="原料出库"),1,0)</f>
        <v>0</v>
      </c>
      <c r="AC698" s="3">
        <f t="shared" si="187"/>
        <v>0</v>
      </c>
      <c r="AD698" s="3">
        <f>IF(AND($M698=1,LEFT(对接源_01水果!$D698,4)="成品出库"),1,0)</f>
        <v>0</v>
      </c>
      <c r="AE698" s="3">
        <f t="shared" si="188"/>
        <v>0</v>
      </c>
      <c r="AF698" s="3">
        <f>IF(AND($N698=1,AND(LEFT(对接源_01水果!$D698,4)="包装物料",N(对接源_01水果!$K698)&lt;&gt;0)),1,0)</f>
        <v>0</v>
      </c>
      <c r="AG698" s="3">
        <f t="shared" si="189"/>
        <v>0</v>
      </c>
      <c r="AH698" s="3">
        <f>IF(AND($N698=1,AND(对接源_01水果!$D698="周转筐－销售出库",N(对接源_01水果!$K698)&lt;&gt;0)),1,0)</f>
        <v>0</v>
      </c>
      <c r="AI698" s="3">
        <f t="shared" si="190"/>
        <v>0</v>
      </c>
      <c r="AJ698" s="7"/>
      <c r="AL698" s="3">
        <f>IF(OR($AL$1="",对接源_01水果!$Y698="",对接源_01水果!$Y698&lt;&gt;$AL$1,对接源_01水果!$B698="",N(对接源_01水果!$AJ698)&lt;=0),0,IF(OR(N(对接源_01水果!$B698)&lt;$AL$2,N(对接源_01水果!$B698)&gt;$AL$3),0,1))</f>
        <v>0</v>
      </c>
      <c r="AM698" s="3">
        <f t="shared" si="191"/>
        <v>1</v>
      </c>
      <c r="AN698" s="3" t="str">
        <f>IF(对接源_01水果!$AC698="","",对接源_01水果!$AC698)</f>
        <v/>
      </c>
      <c r="AO698" s="3">
        <f t="shared" si="192"/>
        <v>0</v>
      </c>
      <c r="AP698" s="3">
        <f t="shared" si="193"/>
        <v>8</v>
      </c>
      <c r="AR698">
        <f t="shared" si="194"/>
        <v>0</v>
      </c>
      <c r="AS698">
        <f t="shared" si="195"/>
        <v>0</v>
      </c>
    </row>
    <row r="699" ht="14.25" customHeight="1" spans="1:45">
      <c r="A699" s="3" t="str">
        <f>IF(对接源_01水果!$C699="","",对接源_01水果!$C699)</f>
        <v/>
      </c>
      <c r="B699" s="3">
        <f t="shared" si="179"/>
        <v>0</v>
      </c>
      <c r="C699" s="3">
        <f t="shared" si="180"/>
        <v>18</v>
      </c>
      <c r="K699" s="3">
        <f>IF(OR($K$1="",对接源_01水果!$C699="",对接源_01水果!$C699&lt;&gt;$K$1,对接源_01水果!$B699=""),0,IF(OR(N(对接源_01水果!$B699)&lt;$K$2,N(对接源_01水果!$B699)&gt;$K$3),0,1))</f>
        <v>0</v>
      </c>
      <c r="L699" s="3">
        <f>IF(OR($L$1="",对接源_01水果!$C699="",对接源_01水果!$C699&lt;&gt;$L$1,对接源_01水果!$B699=""),0,IF(OR(N(对接源_01水果!$B699)&lt;$L$2,N(对接源_01水果!$B699)&gt;$L$3),0,1))</f>
        <v>0</v>
      </c>
      <c r="M699" s="3">
        <f>IF(OR($M$1="",对接源_01水果!$C699="",对接源_01水果!$C699&lt;&gt;$M$1,对接源_01水果!$B699=""),0,IF(OR(N(对接源_01水果!$B699)&lt;$M$2,N(对接源_01水果!$B699)&gt;$M$3),0,1))</f>
        <v>0</v>
      </c>
      <c r="N699" s="3">
        <f>IF(OR($N$1="",对接源_01水果!$C699="",对接源_01水果!$C699&lt;&gt;$N$1,对接源_01水果!$B699=""),0,IF(OR(N(对接源_01水果!$B699)&lt;$N$2,N(对接源_01水果!$B699)&gt;$N$3),0,1))</f>
        <v>0</v>
      </c>
      <c r="P699" s="3">
        <f>IF(AND($K699=1,AND(对接源_01水果!$X699="公司筐",N(对接源_01水果!$T699)&lt;&gt;0)),1,0)</f>
        <v>0</v>
      </c>
      <c r="Q699" s="3">
        <f t="shared" si="181"/>
        <v>0</v>
      </c>
      <c r="R699" s="3">
        <f>IF(AND($K699=1,AND(对接源_01水果!$X699="公司筐",N(对接源_01水果!$U699)&lt;&gt;0)),1,0)</f>
        <v>0</v>
      </c>
      <c r="S699" s="3">
        <f t="shared" si="182"/>
        <v>0</v>
      </c>
      <c r="T699" s="3">
        <f>IF(AND($K699=1,AND(对接源_01水果!$X699="公司筐",N(对接源_01水果!$V699)&lt;&gt;0)),1,0)</f>
        <v>0</v>
      </c>
      <c r="U699" s="3">
        <f t="shared" si="183"/>
        <v>19</v>
      </c>
      <c r="V699" s="3">
        <f>IF(AND($L699=1,AND(对接源_01水果!$X699="自备筐",N(对接源_01水果!$V699)&lt;&gt;0)),1,0)</f>
        <v>0</v>
      </c>
      <c r="W699" s="3">
        <f t="shared" si="184"/>
        <v>8</v>
      </c>
      <c r="X699" s="3">
        <f>IF(AND($L699=1,AND(对接源_01水果!$X699="自备筐",N(对接源_01水果!$T699)&lt;&gt;0)),1,0)</f>
        <v>0</v>
      </c>
      <c r="Y699" s="3">
        <f t="shared" si="185"/>
        <v>0</v>
      </c>
      <c r="Z699" s="3">
        <f>IF(AND($M699=1,对接源_01水果!$D699="原料入库"),1,0)</f>
        <v>0</v>
      </c>
      <c r="AA699" s="3">
        <f t="shared" si="186"/>
        <v>24</v>
      </c>
      <c r="AB699" s="3">
        <f>IF(AND($M699=1,LEFT(对接源_01水果!$D699,4)="原料出库"),1,0)</f>
        <v>0</v>
      </c>
      <c r="AC699" s="3">
        <f t="shared" si="187"/>
        <v>0</v>
      </c>
      <c r="AD699" s="3">
        <f>IF(AND($M699=1,LEFT(对接源_01水果!$D699,4)="成品出库"),1,0)</f>
        <v>0</v>
      </c>
      <c r="AE699" s="3">
        <f t="shared" si="188"/>
        <v>0</v>
      </c>
      <c r="AF699" s="3">
        <f>IF(AND($N699=1,AND(LEFT(对接源_01水果!$D699,4)="包装物料",N(对接源_01水果!$K699)&lt;&gt;0)),1,0)</f>
        <v>0</v>
      </c>
      <c r="AG699" s="3">
        <f t="shared" si="189"/>
        <v>0</v>
      </c>
      <c r="AH699" s="3">
        <f>IF(AND($N699=1,AND(对接源_01水果!$D699="周转筐－销售出库",N(对接源_01水果!$K699)&lt;&gt;0)),1,0)</f>
        <v>0</v>
      </c>
      <c r="AI699" s="3">
        <f t="shared" si="190"/>
        <v>0</v>
      </c>
      <c r="AJ699" s="7"/>
      <c r="AL699" s="3">
        <f>IF(OR($AL$1="",对接源_01水果!$Y699="",对接源_01水果!$Y699&lt;&gt;$AL$1,对接源_01水果!$B699="",N(对接源_01水果!$AJ699)&lt;=0),0,IF(OR(N(对接源_01水果!$B699)&lt;$AL$2,N(对接源_01水果!$B699)&gt;$AL$3),0,1))</f>
        <v>0</v>
      </c>
      <c r="AM699" s="3">
        <f t="shared" si="191"/>
        <v>1</v>
      </c>
      <c r="AN699" s="3" t="str">
        <f>IF(对接源_01水果!$AC699="","",对接源_01水果!$AC699)</f>
        <v/>
      </c>
      <c r="AO699" s="3">
        <f t="shared" si="192"/>
        <v>0</v>
      </c>
      <c r="AP699" s="3">
        <f t="shared" si="193"/>
        <v>8</v>
      </c>
      <c r="AR699">
        <f t="shared" si="194"/>
        <v>0</v>
      </c>
      <c r="AS699">
        <f t="shared" si="195"/>
        <v>0</v>
      </c>
    </row>
    <row r="700" ht="14.25" customHeight="1" spans="1:45">
      <c r="A700" s="3" t="str">
        <f>IF(对接源_01水果!$C700="","",对接源_01水果!$C700)</f>
        <v/>
      </c>
      <c r="B700" s="3">
        <f t="shared" si="179"/>
        <v>0</v>
      </c>
      <c r="C700" s="3">
        <f t="shared" si="180"/>
        <v>18</v>
      </c>
      <c r="K700" s="3">
        <f>IF(OR($K$1="",对接源_01水果!$C700="",对接源_01水果!$C700&lt;&gt;$K$1,对接源_01水果!$B700=""),0,IF(OR(N(对接源_01水果!$B700)&lt;$K$2,N(对接源_01水果!$B700)&gt;$K$3),0,1))</f>
        <v>0</v>
      </c>
      <c r="L700" s="3">
        <f>IF(OR($L$1="",对接源_01水果!$C700="",对接源_01水果!$C700&lt;&gt;$L$1,对接源_01水果!$B700=""),0,IF(OR(N(对接源_01水果!$B700)&lt;$L$2,N(对接源_01水果!$B700)&gt;$L$3),0,1))</f>
        <v>0</v>
      </c>
      <c r="M700" s="3">
        <f>IF(OR($M$1="",对接源_01水果!$C700="",对接源_01水果!$C700&lt;&gt;$M$1,对接源_01水果!$B700=""),0,IF(OR(N(对接源_01水果!$B700)&lt;$M$2,N(对接源_01水果!$B700)&gt;$M$3),0,1))</f>
        <v>0</v>
      </c>
      <c r="N700" s="3">
        <f>IF(OR($N$1="",对接源_01水果!$C700="",对接源_01水果!$C700&lt;&gt;$N$1,对接源_01水果!$B700=""),0,IF(OR(N(对接源_01水果!$B700)&lt;$N$2,N(对接源_01水果!$B700)&gt;$N$3),0,1))</f>
        <v>0</v>
      </c>
      <c r="P700" s="3">
        <f>IF(AND($K700=1,AND(对接源_01水果!$X700="公司筐",N(对接源_01水果!$T700)&lt;&gt;0)),1,0)</f>
        <v>0</v>
      </c>
      <c r="Q700" s="3">
        <f t="shared" si="181"/>
        <v>0</v>
      </c>
      <c r="R700" s="3">
        <f>IF(AND($K700=1,AND(对接源_01水果!$X700="公司筐",N(对接源_01水果!$U700)&lt;&gt;0)),1,0)</f>
        <v>0</v>
      </c>
      <c r="S700" s="3">
        <f t="shared" si="182"/>
        <v>0</v>
      </c>
      <c r="T700" s="3">
        <f>IF(AND($K700=1,AND(对接源_01水果!$X700="公司筐",N(对接源_01水果!$V700)&lt;&gt;0)),1,0)</f>
        <v>0</v>
      </c>
      <c r="U700" s="3">
        <f t="shared" si="183"/>
        <v>19</v>
      </c>
      <c r="V700" s="3">
        <f>IF(AND($L700=1,AND(对接源_01水果!$X700="自备筐",N(对接源_01水果!$V700)&lt;&gt;0)),1,0)</f>
        <v>0</v>
      </c>
      <c r="W700" s="3">
        <f t="shared" si="184"/>
        <v>8</v>
      </c>
      <c r="X700" s="3">
        <f>IF(AND($L700=1,AND(对接源_01水果!$X700="自备筐",N(对接源_01水果!$T700)&lt;&gt;0)),1,0)</f>
        <v>0</v>
      </c>
      <c r="Y700" s="3">
        <f t="shared" si="185"/>
        <v>0</v>
      </c>
      <c r="Z700" s="3">
        <f>IF(AND($M700=1,对接源_01水果!$D700="原料入库"),1,0)</f>
        <v>0</v>
      </c>
      <c r="AA700" s="3">
        <f t="shared" si="186"/>
        <v>24</v>
      </c>
      <c r="AB700" s="3">
        <f>IF(AND($M700=1,LEFT(对接源_01水果!$D700,4)="原料出库"),1,0)</f>
        <v>0</v>
      </c>
      <c r="AC700" s="3">
        <f t="shared" si="187"/>
        <v>0</v>
      </c>
      <c r="AD700" s="3">
        <f>IF(AND($M700=1,LEFT(对接源_01水果!$D700,4)="成品出库"),1,0)</f>
        <v>0</v>
      </c>
      <c r="AE700" s="3">
        <f t="shared" si="188"/>
        <v>0</v>
      </c>
      <c r="AF700" s="3">
        <f>IF(AND($N700=1,AND(LEFT(对接源_01水果!$D700,4)="包装物料",N(对接源_01水果!$K700)&lt;&gt;0)),1,0)</f>
        <v>0</v>
      </c>
      <c r="AG700" s="3">
        <f t="shared" si="189"/>
        <v>0</v>
      </c>
      <c r="AH700" s="3">
        <f>IF(AND($N700=1,AND(对接源_01水果!$D700="周转筐－销售出库",N(对接源_01水果!$K700)&lt;&gt;0)),1,0)</f>
        <v>0</v>
      </c>
      <c r="AI700" s="3">
        <f t="shared" si="190"/>
        <v>0</v>
      </c>
      <c r="AJ700" s="7"/>
      <c r="AL700" s="3">
        <f>IF(OR($AL$1="",对接源_01水果!$Y700="",对接源_01水果!$Y700&lt;&gt;$AL$1,对接源_01水果!$B700="",N(对接源_01水果!$AJ700)&lt;=0),0,IF(OR(N(对接源_01水果!$B700)&lt;$AL$2,N(对接源_01水果!$B700)&gt;$AL$3),0,1))</f>
        <v>0</v>
      </c>
      <c r="AM700" s="3">
        <f t="shared" si="191"/>
        <v>1</v>
      </c>
      <c r="AN700" s="3" t="str">
        <f>IF(对接源_01水果!$AC700="","",对接源_01水果!$AC700)</f>
        <v/>
      </c>
      <c r="AO700" s="3">
        <f t="shared" si="192"/>
        <v>0</v>
      </c>
      <c r="AP700" s="3">
        <f t="shared" si="193"/>
        <v>8</v>
      </c>
      <c r="AR700">
        <f t="shared" si="194"/>
        <v>0</v>
      </c>
      <c r="AS700">
        <f t="shared" si="195"/>
        <v>0</v>
      </c>
    </row>
    <row r="701" ht="14.25" customHeight="1" spans="1:45">
      <c r="A701" s="3" t="str">
        <f>IF(对接源_01水果!$C701="","",对接源_01水果!$C701)</f>
        <v/>
      </c>
      <c r="B701" s="3">
        <f t="shared" si="179"/>
        <v>0</v>
      </c>
      <c r="C701" s="3">
        <f t="shared" si="180"/>
        <v>18</v>
      </c>
      <c r="K701" s="3">
        <f>IF(OR($K$1="",对接源_01水果!$C701="",对接源_01水果!$C701&lt;&gt;$K$1,对接源_01水果!$B701=""),0,IF(OR(N(对接源_01水果!$B701)&lt;$K$2,N(对接源_01水果!$B701)&gt;$K$3),0,1))</f>
        <v>0</v>
      </c>
      <c r="L701" s="3">
        <f>IF(OR($L$1="",对接源_01水果!$C701="",对接源_01水果!$C701&lt;&gt;$L$1,对接源_01水果!$B701=""),0,IF(OR(N(对接源_01水果!$B701)&lt;$L$2,N(对接源_01水果!$B701)&gt;$L$3),0,1))</f>
        <v>0</v>
      </c>
      <c r="M701" s="3">
        <f>IF(OR($M$1="",对接源_01水果!$C701="",对接源_01水果!$C701&lt;&gt;$M$1,对接源_01水果!$B701=""),0,IF(OR(N(对接源_01水果!$B701)&lt;$M$2,N(对接源_01水果!$B701)&gt;$M$3),0,1))</f>
        <v>0</v>
      </c>
      <c r="N701" s="3">
        <f>IF(OR($N$1="",对接源_01水果!$C701="",对接源_01水果!$C701&lt;&gt;$N$1,对接源_01水果!$B701=""),0,IF(OR(N(对接源_01水果!$B701)&lt;$N$2,N(对接源_01水果!$B701)&gt;$N$3),0,1))</f>
        <v>0</v>
      </c>
      <c r="P701" s="3">
        <f>IF(AND($K701=1,AND(对接源_01水果!$X701="公司筐",N(对接源_01水果!$T701)&lt;&gt;0)),1,0)</f>
        <v>0</v>
      </c>
      <c r="Q701" s="3">
        <f t="shared" si="181"/>
        <v>0</v>
      </c>
      <c r="R701" s="3">
        <f>IF(AND($K701=1,AND(对接源_01水果!$X701="公司筐",N(对接源_01水果!$U701)&lt;&gt;0)),1,0)</f>
        <v>0</v>
      </c>
      <c r="S701" s="3">
        <f t="shared" si="182"/>
        <v>0</v>
      </c>
      <c r="T701" s="3">
        <f>IF(AND($K701=1,AND(对接源_01水果!$X701="公司筐",N(对接源_01水果!$V701)&lt;&gt;0)),1,0)</f>
        <v>0</v>
      </c>
      <c r="U701" s="3">
        <f t="shared" si="183"/>
        <v>19</v>
      </c>
      <c r="V701" s="3">
        <f>IF(AND($L701=1,AND(对接源_01水果!$X701="自备筐",N(对接源_01水果!$V701)&lt;&gt;0)),1,0)</f>
        <v>0</v>
      </c>
      <c r="W701" s="3">
        <f t="shared" si="184"/>
        <v>8</v>
      </c>
      <c r="X701" s="3">
        <f>IF(AND($L701=1,AND(对接源_01水果!$X701="自备筐",N(对接源_01水果!$T701)&lt;&gt;0)),1,0)</f>
        <v>0</v>
      </c>
      <c r="Y701" s="3">
        <f t="shared" si="185"/>
        <v>0</v>
      </c>
      <c r="Z701" s="3">
        <f>IF(AND($M701=1,对接源_01水果!$D701="原料入库"),1,0)</f>
        <v>0</v>
      </c>
      <c r="AA701" s="3">
        <f t="shared" si="186"/>
        <v>24</v>
      </c>
      <c r="AB701" s="3">
        <f>IF(AND($M701=1,LEFT(对接源_01水果!$D701,4)="原料出库"),1,0)</f>
        <v>0</v>
      </c>
      <c r="AC701" s="3">
        <f t="shared" si="187"/>
        <v>0</v>
      </c>
      <c r="AD701" s="3">
        <f>IF(AND($M701=1,LEFT(对接源_01水果!$D701,4)="成品出库"),1,0)</f>
        <v>0</v>
      </c>
      <c r="AE701" s="3">
        <f t="shared" si="188"/>
        <v>0</v>
      </c>
      <c r="AF701" s="3">
        <f>IF(AND($N701=1,AND(LEFT(对接源_01水果!$D701,4)="包装物料",N(对接源_01水果!$K701)&lt;&gt;0)),1,0)</f>
        <v>0</v>
      </c>
      <c r="AG701" s="3">
        <f t="shared" si="189"/>
        <v>0</v>
      </c>
      <c r="AH701" s="3">
        <f>IF(AND($N701=1,AND(对接源_01水果!$D701="周转筐－销售出库",N(对接源_01水果!$K701)&lt;&gt;0)),1,0)</f>
        <v>0</v>
      </c>
      <c r="AI701" s="3">
        <f t="shared" si="190"/>
        <v>0</v>
      </c>
      <c r="AJ701" s="7"/>
      <c r="AL701" s="3">
        <f>IF(OR($AL$1="",对接源_01水果!$Y701="",对接源_01水果!$Y701&lt;&gt;$AL$1,对接源_01水果!$B701="",N(对接源_01水果!$AJ701)&lt;=0),0,IF(OR(N(对接源_01水果!$B701)&lt;$AL$2,N(对接源_01水果!$B701)&gt;$AL$3),0,1))</f>
        <v>0</v>
      </c>
      <c r="AM701" s="3">
        <f t="shared" si="191"/>
        <v>1</v>
      </c>
      <c r="AN701" s="3" t="str">
        <f>IF(对接源_01水果!$AC701="","",对接源_01水果!$AC701)</f>
        <v/>
      </c>
      <c r="AO701" s="3">
        <f t="shared" si="192"/>
        <v>0</v>
      </c>
      <c r="AP701" s="3">
        <f t="shared" si="193"/>
        <v>8</v>
      </c>
      <c r="AR701">
        <f t="shared" si="194"/>
        <v>0</v>
      </c>
      <c r="AS701">
        <f t="shared" si="195"/>
        <v>0</v>
      </c>
    </row>
    <row r="702" ht="14.25" customHeight="1" spans="1:45">
      <c r="A702" s="3" t="str">
        <f>IF(对接源_01水果!$C702="","",对接源_01水果!$C702)</f>
        <v/>
      </c>
      <c r="B702" s="3">
        <f t="shared" si="179"/>
        <v>0</v>
      </c>
      <c r="C702" s="3">
        <f t="shared" si="180"/>
        <v>18</v>
      </c>
      <c r="K702" s="3">
        <f>IF(OR($K$1="",对接源_01水果!$C702="",对接源_01水果!$C702&lt;&gt;$K$1,对接源_01水果!$B702=""),0,IF(OR(N(对接源_01水果!$B702)&lt;$K$2,N(对接源_01水果!$B702)&gt;$K$3),0,1))</f>
        <v>0</v>
      </c>
      <c r="L702" s="3">
        <f>IF(OR($L$1="",对接源_01水果!$C702="",对接源_01水果!$C702&lt;&gt;$L$1,对接源_01水果!$B702=""),0,IF(OR(N(对接源_01水果!$B702)&lt;$L$2,N(对接源_01水果!$B702)&gt;$L$3),0,1))</f>
        <v>0</v>
      </c>
      <c r="M702" s="3">
        <f>IF(OR($M$1="",对接源_01水果!$C702="",对接源_01水果!$C702&lt;&gt;$M$1,对接源_01水果!$B702=""),0,IF(OR(N(对接源_01水果!$B702)&lt;$M$2,N(对接源_01水果!$B702)&gt;$M$3),0,1))</f>
        <v>0</v>
      </c>
      <c r="N702" s="3">
        <f>IF(OR($N$1="",对接源_01水果!$C702="",对接源_01水果!$C702&lt;&gt;$N$1,对接源_01水果!$B702=""),0,IF(OR(N(对接源_01水果!$B702)&lt;$N$2,N(对接源_01水果!$B702)&gt;$N$3),0,1))</f>
        <v>0</v>
      </c>
      <c r="P702" s="3">
        <f>IF(AND($K702=1,AND(对接源_01水果!$X702="公司筐",N(对接源_01水果!$T702)&lt;&gt;0)),1,0)</f>
        <v>0</v>
      </c>
      <c r="Q702" s="3">
        <f t="shared" si="181"/>
        <v>0</v>
      </c>
      <c r="R702" s="3">
        <f>IF(AND($K702=1,AND(对接源_01水果!$X702="公司筐",N(对接源_01水果!$U702)&lt;&gt;0)),1,0)</f>
        <v>0</v>
      </c>
      <c r="S702" s="3">
        <f t="shared" si="182"/>
        <v>0</v>
      </c>
      <c r="T702" s="3">
        <f>IF(AND($K702=1,AND(对接源_01水果!$X702="公司筐",N(对接源_01水果!$V702)&lt;&gt;0)),1,0)</f>
        <v>0</v>
      </c>
      <c r="U702" s="3">
        <f t="shared" si="183"/>
        <v>19</v>
      </c>
      <c r="V702" s="3">
        <f>IF(AND($L702=1,AND(对接源_01水果!$X702="自备筐",N(对接源_01水果!$V702)&lt;&gt;0)),1,0)</f>
        <v>0</v>
      </c>
      <c r="W702" s="3">
        <f t="shared" si="184"/>
        <v>8</v>
      </c>
      <c r="X702" s="3">
        <f>IF(AND($L702=1,AND(对接源_01水果!$X702="自备筐",N(对接源_01水果!$T702)&lt;&gt;0)),1,0)</f>
        <v>0</v>
      </c>
      <c r="Y702" s="3">
        <f t="shared" si="185"/>
        <v>0</v>
      </c>
      <c r="Z702" s="3">
        <f>IF(AND($M702=1,对接源_01水果!$D702="原料入库"),1,0)</f>
        <v>0</v>
      </c>
      <c r="AA702" s="3">
        <f t="shared" si="186"/>
        <v>24</v>
      </c>
      <c r="AB702" s="3">
        <f>IF(AND($M702=1,LEFT(对接源_01水果!$D702,4)="原料出库"),1,0)</f>
        <v>0</v>
      </c>
      <c r="AC702" s="3">
        <f t="shared" si="187"/>
        <v>0</v>
      </c>
      <c r="AD702" s="3">
        <f>IF(AND($M702=1,LEFT(对接源_01水果!$D702,4)="成品出库"),1,0)</f>
        <v>0</v>
      </c>
      <c r="AE702" s="3">
        <f t="shared" si="188"/>
        <v>0</v>
      </c>
      <c r="AF702" s="3">
        <f>IF(AND($N702=1,AND(LEFT(对接源_01水果!$D702,4)="包装物料",N(对接源_01水果!$K702)&lt;&gt;0)),1,0)</f>
        <v>0</v>
      </c>
      <c r="AG702" s="3">
        <f t="shared" si="189"/>
        <v>0</v>
      </c>
      <c r="AH702" s="3">
        <f>IF(AND($N702=1,AND(对接源_01水果!$D702="周转筐－销售出库",N(对接源_01水果!$K702)&lt;&gt;0)),1,0)</f>
        <v>0</v>
      </c>
      <c r="AI702" s="3">
        <f t="shared" si="190"/>
        <v>0</v>
      </c>
      <c r="AJ702" s="7"/>
      <c r="AL702" s="3">
        <f>IF(OR($AL$1="",对接源_01水果!$Y702="",对接源_01水果!$Y702&lt;&gt;$AL$1,对接源_01水果!$B702="",N(对接源_01水果!$AJ702)&lt;=0),0,IF(OR(N(对接源_01水果!$B702)&lt;$AL$2,N(对接源_01水果!$B702)&gt;$AL$3),0,1))</f>
        <v>0</v>
      </c>
      <c r="AM702" s="3">
        <f t="shared" si="191"/>
        <v>1</v>
      </c>
      <c r="AN702" s="3" t="str">
        <f>IF(对接源_01水果!$AC702="","",对接源_01水果!$AC702)</f>
        <v/>
      </c>
      <c r="AO702" s="3">
        <f t="shared" si="192"/>
        <v>0</v>
      </c>
      <c r="AP702" s="3">
        <f t="shared" si="193"/>
        <v>8</v>
      </c>
      <c r="AR702">
        <f t="shared" si="194"/>
        <v>0</v>
      </c>
      <c r="AS702">
        <f t="shared" si="195"/>
        <v>0</v>
      </c>
    </row>
    <row r="703" ht="14.25" customHeight="1" spans="1:45">
      <c r="A703" s="3" t="str">
        <f>IF(对接源_01水果!$C703="","",对接源_01水果!$C703)</f>
        <v/>
      </c>
      <c r="B703" s="3">
        <f t="shared" si="179"/>
        <v>0</v>
      </c>
      <c r="C703" s="3">
        <f t="shared" si="180"/>
        <v>18</v>
      </c>
      <c r="K703" s="3">
        <f>IF(OR($K$1="",对接源_01水果!$C703="",对接源_01水果!$C703&lt;&gt;$K$1,对接源_01水果!$B703=""),0,IF(OR(N(对接源_01水果!$B703)&lt;$K$2,N(对接源_01水果!$B703)&gt;$K$3),0,1))</f>
        <v>0</v>
      </c>
      <c r="L703" s="3">
        <f>IF(OR($L$1="",对接源_01水果!$C703="",对接源_01水果!$C703&lt;&gt;$L$1,对接源_01水果!$B703=""),0,IF(OR(N(对接源_01水果!$B703)&lt;$L$2,N(对接源_01水果!$B703)&gt;$L$3),0,1))</f>
        <v>0</v>
      </c>
      <c r="M703" s="3">
        <f>IF(OR($M$1="",对接源_01水果!$C703="",对接源_01水果!$C703&lt;&gt;$M$1,对接源_01水果!$B703=""),0,IF(OR(N(对接源_01水果!$B703)&lt;$M$2,N(对接源_01水果!$B703)&gt;$M$3),0,1))</f>
        <v>0</v>
      </c>
      <c r="N703" s="3">
        <f>IF(OR($N$1="",对接源_01水果!$C703="",对接源_01水果!$C703&lt;&gt;$N$1,对接源_01水果!$B703=""),0,IF(OR(N(对接源_01水果!$B703)&lt;$N$2,N(对接源_01水果!$B703)&gt;$N$3),0,1))</f>
        <v>0</v>
      </c>
      <c r="P703" s="3">
        <f>IF(AND($K703=1,AND(对接源_01水果!$X703="公司筐",N(对接源_01水果!$T703)&lt;&gt;0)),1,0)</f>
        <v>0</v>
      </c>
      <c r="Q703" s="3">
        <f t="shared" si="181"/>
        <v>0</v>
      </c>
      <c r="R703" s="3">
        <f>IF(AND($K703=1,AND(对接源_01水果!$X703="公司筐",N(对接源_01水果!$U703)&lt;&gt;0)),1,0)</f>
        <v>0</v>
      </c>
      <c r="S703" s="3">
        <f t="shared" si="182"/>
        <v>0</v>
      </c>
      <c r="T703" s="3">
        <f>IF(AND($K703=1,AND(对接源_01水果!$X703="公司筐",N(对接源_01水果!$V703)&lt;&gt;0)),1,0)</f>
        <v>0</v>
      </c>
      <c r="U703" s="3">
        <f t="shared" si="183"/>
        <v>19</v>
      </c>
      <c r="V703" s="3">
        <f>IF(AND($L703=1,AND(对接源_01水果!$X703="自备筐",N(对接源_01水果!$V703)&lt;&gt;0)),1,0)</f>
        <v>0</v>
      </c>
      <c r="W703" s="3">
        <f t="shared" si="184"/>
        <v>8</v>
      </c>
      <c r="X703" s="3">
        <f>IF(AND($L703=1,AND(对接源_01水果!$X703="自备筐",N(对接源_01水果!$T703)&lt;&gt;0)),1,0)</f>
        <v>0</v>
      </c>
      <c r="Y703" s="3">
        <f t="shared" si="185"/>
        <v>0</v>
      </c>
      <c r="Z703" s="3">
        <f>IF(AND($M703=1,对接源_01水果!$D703="原料入库"),1,0)</f>
        <v>0</v>
      </c>
      <c r="AA703" s="3">
        <f t="shared" si="186"/>
        <v>24</v>
      </c>
      <c r="AB703" s="3">
        <f>IF(AND($M703=1,LEFT(对接源_01水果!$D703,4)="原料出库"),1,0)</f>
        <v>0</v>
      </c>
      <c r="AC703" s="3">
        <f t="shared" si="187"/>
        <v>0</v>
      </c>
      <c r="AD703" s="3">
        <f>IF(AND($M703=1,LEFT(对接源_01水果!$D703,4)="成品出库"),1,0)</f>
        <v>0</v>
      </c>
      <c r="AE703" s="3">
        <f t="shared" si="188"/>
        <v>0</v>
      </c>
      <c r="AF703" s="3">
        <f>IF(AND($N703=1,AND(LEFT(对接源_01水果!$D703,4)="包装物料",N(对接源_01水果!$K703)&lt;&gt;0)),1,0)</f>
        <v>0</v>
      </c>
      <c r="AG703" s="3">
        <f t="shared" si="189"/>
        <v>0</v>
      </c>
      <c r="AH703" s="3">
        <f>IF(AND($N703=1,AND(对接源_01水果!$D703="周转筐－销售出库",N(对接源_01水果!$K703)&lt;&gt;0)),1,0)</f>
        <v>0</v>
      </c>
      <c r="AI703" s="3">
        <f t="shared" si="190"/>
        <v>0</v>
      </c>
      <c r="AJ703" s="7"/>
      <c r="AL703" s="3">
        <f>IF(OR($AL$1="",对接源_01水果!$Y703="",对接源_01水果!$Y703&lt;&gt;$AL$1,对接源_01水果!$B703="",N(对接源_01水果!$AJ703)&lt;=0),0,IF(OR(N(对接源_01水果!$B703)&lt;$AL$2,N(对接源_01水果!$B703)&gt;$AL$3),0,1))</f>
        <v>0</v>
      </c>
      <c r="AM703" s="3">
        <f t="shared" si="191"/>
        <v>1</v>
      </c>
      <c r="AN703" s="3" t="str">
        <f>IF(对接源_01水果!$AC703="","",对接源_01水果!$AC703)</f>
        <v/>
      </c>
      <c r="AO703" s="3">
        <f t="shared" si="192"/>
        <v>0</v>
      </c>
      <c r="AP703" s="3">
        <f t="shared" si="193"/>
        <v>8</v>
      </c>
      <c r="AR703">
        <f t="shared" si="194"/>
        <v>0</v>
      </c>
      <c r="AS703">
        <f t="shared" si="195"/>
        <v>0</v>
      </c>
    </row>
    <row r="704" ht="14.25" customHeight="1" spans="1:45">
      <c r="A704" s="3" t="str">
        <f>IF(对接源_01水果!$C704="","",对接源_01水果!$C704)</f>
        <v/>
      </c>
      <c r="B704" s="3">
        <f t="shared" si="179"/>
        <v>0</v>
      </c>
      <c r="C704" s="3">
        <f t="shared" si="180"/>
        <v>18</v>
      </c>
      <c r="K704" s="3">
        <f>IF(OR($K$1="",对接源_01水果!$C704="",对接源_01水果!$C704&lt;&gt;$K$1,对接源_01水果!$B704=""),0,IF(OR(N(对接源_01水果!$B704)&lt;$K$2,N(对接源_01水果!$B704)&gt;$K$3),0,1))</f>
        <v>0</v>
      </c>
      <c r="L704" s="3">
        <f>IF(OR($L$1="",对接源_01水果!$C704="",对接源_01水果!$C704&lt;&gt;$L$1,对接源_01水果!$B704=""),0,IF(OR(N(对接源_01水果!$B704)&lt;$L$2,N(对接源_01水果!$B704)&gt;$L$3),0,1))</f>
        <v>0</v>
      </c>
      <c r="M704" s="3">
        <f>IF(OR($M$1="",对接源_01水果!$C704="",对接源_01水果!$C704&lt;&gt;$M$1,对接源_01水果!$B704=""),0,IF(OR(N(对接源_01水果!$B704)&lt;$M$2,N(对接源_01水果!$B704)&gt;$M$3),0,1))</f>
        <v>0</v>
      </c>
      <c r="N704" s="3">
        <f>IF(OR($N$1="",对接源_01水果!$C704="",对接源_01水果!$C704&lt;&gt;$N$1,对接源_01水果!$B704=""),0,IF(OR(N(对接源_01水果!$B704)&lt;$N$2,N(对接源_01水果!$B704)&gt;$N$3),0,1))</f>
        <v>0</v>
      </c>
      <c r="P704" s="3">
        <f>IF(AND($K704=1,AND(对接源_01水果!$X704="公司筐",N(对接源_01水果!$T704)&lt;&gt;0)),1,0)</f>
        <v>0</v>
      </c>
      <c r="Q704" s="3">
        <f t="shared" si="181"/>
        <v>0</v>
      </c>
      <c r="R704" s="3">
        <f>IF(AND($K704=1,AND(对接源_01水果!$X704="公司筐",N(对接源_01水果!$U704)&lt;&gt;0)),1,0)</f>
        <v>0</v>
      </c>
      <c r="S704" s="3">
        <f t="shared" si="182"/>
        <v>0</v>
      </c>
      <c r="T704" s="3">
        <f>IF(AND($K704=1,AND(对接源_01水果!$X704="公司筐",N(对接源_01水果!$V704)&lt;&gt;0)),1,0)</f>
        <v>0</v>
      </c>
      <c r="U704" s="3">
        <f t="shared" si="183"/>
        <v>19</v>
      </c>
      <c r="V704" s="3">
        <f>IF(AND($L704=1,AND(对接源_01水果!$X704="自备筐",N(对接源_01水果!$V704)&lt;&gt;0)),1,0)</f>
        <v>0</v>
      </c>
      <c r="W704" s="3">
        <f t="shared" si="184"/>
        <v>8</v>
      </c>
      <c r="X704" s="3">
        <f>IF(AND($L704=1,AND(对接源_01水果!$X704="自备筐",N(对接源_01水果!$T704)&lt;&gt;0)),1,0)</f>
        <v>0</v>
      </c>
      <c r="Y704" s="3">
        <f t="shared" si="185"/>
        <v>0</v>
      </c>
      <c r="Z704" s="3">
        <f>IF(AND($M704=1,对接源_01水果!$D704="原料入库"),1,0)</f>
        <v>0</v>
      </c>
      <c r="AA704" s="3">
        <f t="shared" si="186"/>
        <v>24</v>
      </c>
      <c r="AB704" s="3">
        <f>IF(AND($M704=1,LEFT(对接源_01水果!$D704,4)="原料出库"),1,0)</f>
        <v>0</v>
      </c>
      <c r="AC704" s="3">
        <f t="shared" si="187"/>
        <v>0</v>
      </c>
      <c r="AD704" s="3">
        <f>IF(AND($M704=1,LEFT(对接源_01水果!$D704,4)="成品出库"),1,0)</f>
        <v>0</v>
      </c>
      <c r="AE704" s="3">
        <f t="shared" si="188"/>
        <v>0</v>
      </c>
      <c r="AF704" s="3">
        <f>IF(AND($N704=1,AND(LEFT(对接源_01水果!$D704,4)="包装物料",N(对接源_01水果!$K704)&lt;&gt;0)),1,0)</f>
        <v>0</v>
      </c>
      <c r="AG704" s="3">
        <f t="shared" si="189"/>
        <v>0</v>
      </c>
      <c r="AH704" s="3">
        <f>IF(AND($N704=1,AND(对接源_01水果!$D704="周转筐－销售出库",N(对接源_01水果!$K704)&lt;&gt;0)),1,0)</f>
        <v>0</v>
      </c>
      <c r="AI704" s="3">
        <f t="shared" si="190"/>
        <v>0</v>
      </c>
      <c r="AJ704" s="7"/>
      <c r="AL704" s="3">
        <f>IF(OR($AL$1="",对接源_01水果!$Y704="",对接源_01水果!$Y704&lt;&gt;$AL$1,对接源_01水果!$B704="",N(对接源_01水果!$AJ704)&lt;=0),0,IF(OR(N(对接源_01水果!$B704)&lt;$AL$2,N(对接源_01水果!$B704)&gt;$AL$3),0,1))</f>
        <v>0</v>
      </c>
      <c r="AM704" s="3">
        <f t="shared" si="191"/>
        <v>1</v>
      </c>
      <c r="AN704" s="3" t="str">
        <f>IF(对接源_01水果!$AC704="","",对接源_01水果!$AC704)</f>
        <v/>
      </c>
      <c r="AO704" s="3">
        <f t="shared" si="192"/>
        <v>0</v>
      </c>
      <c r="AP704" s="3">
        <f t="shared" si="193"/>
        <v>8</v>
      </c>
      <c r="AR704">
        <f t="shared" si="194"/>
        <v>0</v>
      </c>
      <c r="AS704">
        <f t="shared" si="195"/>
        <v>0</v>
      </c>
    </row>
    <row r="705" ht="14.25" customHeight="1" spans="1:45">
      <c r="A705" s="3" t="str">
        <f>IF(对接源_01水果!$C705="","",对接源_01水果!$C705)</f>
        <v/>
      </c>
      <c r="B705" s="3">
        <f t="shared" si="179"/>
        <v>0</v>
      </c>
      <c r="C705" s="3">
        <f t="shared" si="180"/>
        <v>18</v>
      </c>
      <c r="K705" s="3">
        <f>IF(OR($K$1="",对接源_01水果!$C705="",对接源_01水果!$C705&lt;&gt;$K$1,对接源_01水果!$B705=""),0,IF(OR(N(对接源_01水果!$B705)&lt;$K$2,N(对接源_01水果!$B705)&gt;$K$3),0,1))</f>
        <v>0</v>
      </c>
      <c r="L705" s="3">
        <f>IF(OR($L$1="",对接源_01水果!$C705="",对接源_01水果!$C705&lt;&gt;$L$1,对接源_01水果!$B705=""),0,IF(OR(N(对接源_01水果!$B705)&lt;$L$2,N(对接源_01水果!$B705)&gt;$L$3),0,1))</f>
        <v>0</v>
      </c>
      <c r="M705" s="3">
        <f>IF(OR($M$1="",对接源_01水果!$C705="",对接源_01水果!$C705&lt;&gt;$M$1,对接源_01水果!$B705=""),0,IF(OR(N(对接源_01水果!$B705)&lt;$M$2,N(对接源_01水果!$B705)&gt;$M$3),0,1))</f>
        <v>0</v>
      </c>
      <c r="N705" s="3">
        <f>IF(OR($N$1="",对接源_01水果!$C705="",对接源_01水果!$C705&lt;&gt;$N$1,对接源_01水果!$B705=""),0,IF(OR(N(对接源_01水果!$B705)&lt;$N$2,N(对接源_01水果!$B705)&gt;$N$3),0,1))</f>
        <v>0</v>
      </c>
      <c r="P705" s="3">
        <f>IF(AND($K705=1,AND(对接源_01水果!$X705="公司筐",N(对接源_01水果!$T705)&lt;&gt;0)),1,0)</f>
        <v>0</v>
      </c>
      <c r="Q705" s="3">
        <f t="shared" si="181"/>
        <v>0</v>
      </c>
      <c r="R705" s="3">
        <f>IF(AND($K705=1,AND(对接源_01水果!$X705="公司筐",N(对接源_01水果!$U705)&lt;&gt;0)),1,0)</f>
        <v>0</v>
      </c>
      <c r="S705" s="3">
        <f t="shared" si="182"/>
        <v>0</v>
      </c>
      <c r="T705" s="3">
        <f>IF(AND($K705=1,AND(对接源_01水果!$X705="公司筐",N(对接源_01水果!$V705)&lt;&gt;0)),1,0)</f>
        <v>0</v>
      </c>
      <c r="U705" s="3">
        <f t="shared" si="183"/>
        <v>19</v>
      </c>
      <c r="V705" s="3">
        <f>IF(AND($L705=1,AND(对接源_01水果!$X705="自备筐",N(对接源_01水果!$V705)&lt;&gt;0)),1,0)</f>
        <v>0</v>
      </c>
      <c r="W705" s="3">
        <f t="shared" si="184"/>
        <v>8</v>
      </c>
      <c r="X705" s="3">
        <f>IF(AND($L705=1,AND(对接源_01水果!$X705="自备筐",N(对接源_01水果!$T705)&lt;&gt;0)),1,0)</f>
        <v>0</v>
      </c>
      <c r="Y705" s="3">
        <f t="shared" si="185"/>
        <v>0</v>
      </c>
      <c r="Z705" s="3">
        <f>IF(AND($M705=1,对接源_01水果!$D705="原料入库"),1,0)</f>
        <v>0</v>
      </c>
      <c r="AA705" s="3">
        <f t="shared" si="186"/>
        <v>24</v>
      </c>
      <c r="AB705" s="3">
        <f>IF(AND($M705=1,LEFT(对接源_01水果!$D705,4)="原料出库"),1,0)</f>
        <v>0</v>
      </c>
      <c r="AC705" s="3">
        <f t="shared" si="187"/>
        <v>0</v>
      </c>
      <c r="AD705" s="3">
        <f>IF(AND($M705=1,LEFT(对接源_01水果!$D705,4)="成品出库"),1,0)</f>
        <v>0</v>
      </c>
      <c r="AE705" s="3">
        <f t="shared" si="188"/>
        <v>0</v>
      </c>
      <c r="AF705" s="3">
        <f>IF(AND($N705=1,AND(LEFT(对接源_01水果!$D705,4)="包装物料",N(对接源_01水果!$K705)&lt;&gt;0)),1,0)</f>
        <v>0</v>
      </c>
      <c r="AG705" s="3">
        <f t="shared" si="189"/>
        <v>0</v>
      </c>
      <c r="AH705" s="3">
        <f>IF(AND($N705=1,AND(对接源_01水果!$D705="周转筐－销售出库",N(对接源_01水果!$K705)&lt;&gt;0)),1,0)</f>
        <v>0</v>
      </c>
      <c r="AI705" s="3">
        <f t="shared" si="190"/>
        <v>0</v>
      </c>
      <c r="AJ705" s="7"/>
      <c r="AL705" s="3">
        <f>IF(OR($AL$1="",对接源_01水果!$Y705="",对接源_01水果!$Y705&lt;&gt;$AL$1,对接源_01水果!$B705="",N(对接源_01水果!$AJ705)&lt;=0),0,IF(OR(N(对接源_01水果!$B705)&lt;$AL$2,N(对接源_01水果!$B705)&gt;$AL$3),0,1))</f>
        <v>0</v>
      </c>
      <c r="AM705" s="3">
        <f t="shared" si="191"/>
        <v>1</v>
      </c>
      <c r="AN705" s="3" t="str">
        <f>IF(对接源_01水果!$AC705="","",对接源_01水果!$AC705)</f>
        <v/>
      </c>
      <c r="AO705" s="3">
        <f t="shared" si="192"/>
        <v>0</v>
      </c>
      <c r="AP705" s="3">
        <f t="shared" si="193"/>
        <v>8</v>
      </c>
      <c r="AR705">
        <f t="shared" si="194"/>
        <v>0</v>
      </c>
      <c r="AS705">
        <f t="shared" si="195"/>
        <v>0</v>
      </c>
    </row>
    <row r="706" ht="14.25" customHeight="1" spans="1:45">
      <c r="A706" s="3" t="str">
        <f>IF(对接源_01水果!$C706="","",对接源_01水果!$C706)</f>
        <v/>
      </c>
      <c r="B706" s="3">
        <f t="shared" si="179"/>
        <v>0</v>
      </c>
      <c r="C706" s="3">
        <f t="shared" si="180"/>
        <v>18</v>
      </c>
      <c r="K706" s="3">
        <f>IF(OR($K$1="",对接源_01水果!$C706="",对接源_01水果!$C706&lt;&gt;$K$1,对接源_01水果!$B706=""),0,IF(OR(N(对接源_01水果!$B706)&lt;$K$2,N(对接源_01水果!$B706)&gt;$K$3),0,1))</f>
        <v>0</v>
      </c>
      <c r="L706" s="3">
        <f>IF(OR($L$1="",对接源_01水果!$C706="",对接源_01水果!$C706&lt;&gt;$L$1,对接源_01水果!$B706=""),0,IF(OR(N(对接源_01水果!$B706)&lt;$L$2,N(对接源_01水果!$B706)&gt;$L$3),0,1))</f>
        <v>0</v>
      </c>
      <c r="M706" s="3">
        <f>IF(OR($M$1="",对接源_01水果!$C706="",对接源_01水果!$C706&lt;&gt;$M$1,对接源_01水果!$B706=""),0,IF(OR(N(对接源_01水果!$B706)&lt;$M$2,N(对接源_01水果!$B706)&gt;$M$3),0,1))</f>
        <v>0</v>
      </c>
      <c r="N706" s="3">
        <f>IF(OR($N$1="",对接源_01水果!$C706="",对接源_01水果!$C706&lt;&gt;$N$1,对接源_01水果!$B706=""),0,IF(OR(N(对接源_01水果!$B706)&lt;$N$2,N(对接源_01水果!$B706)&gt;$N$3),0,1))</f>
        <v>0</v>
      </c>
      <c r="P706" s="3">
        <f>IF(AND($K706=1,AND(对接源_01水果!$X706="公司筐",N(对接源_01水果!$T706)&lt;&gt;0)),1,0)</f>
        <v>0</v>
      </c>
      <c r="Q706" s="3">
        <f t="shared" si="181"/>
        <v>0</v>
      </c>
      <c r="R706" s="3">
        <f>IF(AND($K706=1,AND(对接源_01水果!$X706="公司筐",N(对接源_01水果!$U706)&lt;&gt;0)),1,0)</f>
        <v>0</v>
      </c>
      <c r="S706" s="3">
        <f t="shared" si="182"/>
        <v>0</v>
      </c>
      <c r="T706" s="3">
        <f>IF(AND($K706=1,AND(对接源_01水果!$X706="公司筐",N(对接源_01水果!$V706)&lt;&gt;0)),1,0)</f>
        <v>0</v>
      </c>
      <c r="U706" s="3">
        <f t="shared" si="183"/>
        <v>19</v>
      </c>
      <c r="V706" s="3">
        <f>IF(AND($L706=1,AND(对接源_01水果!$X706="自备筐",N(对接源_01水果!$V706)&lt;&gt;0)),1,0)</f>
        <v>0</v>
      </c>
      <c r="W706" s="3">
        <f t="shared" si="184"/>
        <v>8</v>
      </c>
      <c r="X706" s="3">
        <f>IF(AND($L706=1,AND(对接源_01水果!$X706="自备筐",N(对接源_01水果!$T706)&lt;&gt;0)),1,0)</f>
        <v>0</v>
      </c>
      <c r="Y706" s="3">
        <f t="shared" si="185"/>
        <v>0</v>
      </c>
      <c r="Z706" s="3">
        <f>IF(AND($M706=1,对接源_01水果!$D706="原料入库"),1,0)</f>
        <v>0</v>
      </c>
      <c r="AA706" s="3">
        <f t="shared" si="186"/>
        <v>24</v>
      </c>
      <c r="AB706" s="3">
        <f>IF(AND($M706=1,LEFT(对接源_01水果!$D706,4)="原料出库"),1,0)</f>
        <v>0</v>
      </c>
      <c r="AC706" s="3">
        <f t="shared" si="187"/>
        <v>0</v>
      </c>
      <c r="AD706" s="3">
        <f>IF(AND($M706=1,LEFT(对接源_01水果!$D706,4)="成品出库"),1,0)</f>
        <v>0</v>
      </c>
      <c r="AE706" s="3">
        <f t="shared" si="188"/>
        <v>0</v>
      </c>
      <c r="AF706" s="3">
        <f>IF(AND($N706=1,AND(LEFT(对接源_01水果!$D706,4)="包装物料",N(对接源_01水果!$K706)&lt;&gt;0)),1,0)</f>
        <v>0</v>
      </c>
      <c r="AG706" s="3">
        <f t="shared" si="189"/>
        <v>0</v>
      </c>
      <c r="AH706" s="3">
        <f>IF(AND($N706=1,AND(对接源_01水果!$D706="周转筐－销售出库",N(对接源_01水果!$K706)&lt;&gt;0)),1,0)</f>
        <v>0</v>
      </c>
      <c r="AI706" s="3">
        <f t="shared" si="190"/>
        <v>0</v>
      </c>
      <c r="AJ706" s="7"/>
      <c r="AL706" s="3">
        <f>IF(OR($AL$1="",对接源_01水果!$Y706="",对接源_01水果!$Y706&lt;&gt;$AL$1,对接源_01水果!$B706="",N(对接源_01水果!$AJ706)&lt;=0),0,IF(OR(N(对接源_01水果!$B706)&lt;$AL$2,N(对接源_01水果!$B706)&gt;$AL$3),0,1))</f>
        <v>0</v>
      </c>
      <c r="AM706" s="3">
        <f t="shared" si="191"/>
        <v>1</v>
      </c>
      <c r="AN706" s="3" t="str">
        <f>IF(对接源_01水果!$AC706="","",对接源_01水果!$AC706)</f>
        <v/>
      </c>
      <c r="AO706" s="3">
        <f t="shared" si="192"/>
        <v>0</v>
      </c>
      <c r="AP706" s="3">
        <f t="shared" si="193"/>
        <v>8</v>
      </c>
      <c r="AR706">
        <f t="shared" si="194"/>
        <v>0</v>
      </c>
      <c r="AS706">
        <f t="shared" si="195"/>
        <v>0</v>
      </c>
    </row>
    <row r="707" ht="14.25" customHeight="1" spans="1:45">
      <c r="A707" s="3" t="str">
        <f>IF(对接源_01水果!$C707="","",对接源_01水果!$C707)</f>
        <v/>
      </c>
      <c r="B707" s="3">
        <f t="shared" si="179"/>
        <v>0</v>
      </c>
      <c r="C707" s="3">
        <f t="shared" si="180"/>
        <v>18</v>
      </c>
      <c r="K707" s="3">
        <f>IF(OR($K$1="",对接源_01水果!$C707="",对接源_01水果!$C707&lt;&gt;$K$1,对接源_01水果!$B707=""),0,IF(OR(N(对接源_01水果!$B707)&lt;$K$2,N(对接源_01水果!$B707)&gt;$K$3),0,1))</f>
        <v>0</v>
      </c>
      <c r="L707" s="3">
        <f>IF(OR($L$1="",对接源_01水果!$C707="",对接源_01水果!$C707&lt;&gt;$L$1,对接源_01水果!$B707=""),0,IF(OR(N(对接源_01水果!$B707)&lt;$L$2,N(对接源_01水果!$B707)&gt;$L$3),0,1))</f>
        <v>0</v>
      </c>
      <c r="M707" s="3">
        <f>IF(OR($M$1="",对接源_01水果!$C707="",对接源_01水果!$C707&lt;&gt;$M$1,对接源_01水果!$B707=""),0,IF(OR(N(对接源_01水果!$B707)&lt;$M$2,N(对接源_01水果!$B707)&gt;$M$3),0,1))</f>
        <v>0</v>
      </c>
      <c r="N707" s="3">
        <f>IF(OR($N$1="",对接源_01水果!$C707="",对接源_01水果!$C707&lt;&gt;$N$1,对接源_01水果!$B707=""),0,IF(OR(N(对接源_01水果!$B707)&lt;$N$2,N(对接源_01水果!$B707)&gt;$N$3),0,1))</f>
        <v>0</v>
      </c>
      <c r="P707" s="3">
        <f>IF(AND($K707=1,AND(对接源_01水果!$X707="公司筐",N(对接源_01水果!$T707)&lt;&gt;0)),1,0)</f>
        <v>0</v>
      </c>
      <c r="Q707" s="3">
        <f t="shared" si="181"/>
        <v>0</v>
      </c>
      <c r="R707" s="3">
        <f>IF(AND($K707=1,AND(对接源_01水果!$X707="公司筐",N(对接源_01水果!$U707)&lt;&gt;0)),1,0)</f>
        <v>0</v>
      </c>
      <c r="S707" s="3">
        <f t="shared" si="182"/>
        <v>0</v>
      </c>
      <c r="T707" s="3">
        <f>IF(AND($K707=1,AND(对接源_01水果!$X707="公司筐",N(对接源_01水果!$V707)&lt;&gt;0)),1,0)</f>
        <v>0</v>
      </c>
      <c r="U707" s="3">
        <f t="shared" si="183"/>
        <v>19</v>
      </c>
      <c r="V707" s="3">
        <f>IF(AND($L707=1,AND(对接源_01水果!$X707="自备筐",N(对接源_01水果!$V707)&lt;&gt;0)),1,0)</f>
        <v>0</v>
      </c>
      <c r="W707" s="3">
        <f t="shared" si="184"/>
        <v>8</v>
      </c>
      <c r="X707" s="3">
        <f>IF(AND($L707=1,AND(对接源_01水果!$X707="自备筐",N(对接源_01水果!$T707)&lt;&gt;0)),1,0)</f>
        <v>0</v>
      </c>
      <c r="Y707" s="3">
        <f t="shared" si="185"/>
        <v>0</v>
      </c>
      <c r="Z707" s="3">
        <f>IF(AND($M707=1,对接源_01水果!$D707="原料入库"),1,0)</f>
        <v>0</v>
      </c>
      <c r="AA707" s="3">
        <f t="shared" si="186"/>
        <v>24</v>
      </c>
      <c r="AB707" s="3">
        <f>IF(AND($M707=1,LEFT(对接源_01水果!$D707,4)="原料出库"),1,0)</f>
        <v>0</v>
      </c>
      <c r="AC707" s="3">
        <f t="shared" si="187"/>
        <v>0</v>
      </c>
      <c r="AD707" s="3">
        <f>IF(AND($M707=1,LEFT(对接源_01水果!$D707,4)="成品出库"),1,0)</f>
        <v>0</v>
      </c>
      <c r="AE707" s="3">
        <f t="shared" si="188"/>
        <v>0</v>
      </c>
      <c r="AF707" s="3">
        <f>IF(AND($N707=1,AND(LEFT(对接源_01水果!$D707,4)="包装物料",N(对接源_01水果!$K707)&lt;&gt;0)),1,0)</f>
        <v>0</v>
      </c>
      <c r="AG707" s="3">
        <f t="shared" si="189"/>
        <v>0</v>
      </c>
      <c r="AH707" s="3">
        <f>IF(AND($N707=1,AND(对接源_01水果!$D707="周转筐－销售出库",N(对接源_01水果!$K707)&lt;&gt;0)),1,0)</f>
        <v>0</v>
      </c>
      <c r="AI707" s="3">
        <f t="shared" si="190"/>
        <v>0</v>
      </c>
      <c r="AJ707" s="7"/>
      <c r="AL707" s="3">
        <f>IF(OR($AL$1="",对接源_01水果!$Y707="",对接源_01水果!$Y707&lt;&gt;$AL$1,对接源_01水果!$B707="",N(对接源_01水果!$AJ707)&lt;=0),0,IF(OR(N(对接源_01水果!$B707)&lt;$AL$2,N(对接源_01水果!$B707)&gt;$AL$3),0,1))</f>
        <v>0</v>
      </c>
      <c r="AM707" s="3">
        <f t="shared" si="191"/>
        <v>1</v>
      </c>
      <c r="AN707" s="3" t="str">
        <f>IF(对接源_01水果!$AC707="","",对接源_01水果!$AC707)</f>
        <v/>
      </c>
      <c r="AO707" s="3">
        <f t="shared" si="192"/>
        <v>0</v>
      </c>
      <c r="AP707" s="3">
        <f t="shared" si="193"/>
        <v>8</v>
      </c>
      <c r="AR707">
        <f t="shared" si="194"/>
        <v>0</v>
      </c>
      <c r="AS707">
        <f t="shared" si="195"/>
        <v>0</v>
      </c>
    </row>
    <row r="708" ht="14.25" customHeight="1" spans="1:45">
      <c r="A708" s="3" t="str">
        <f>IF(对接源_01水果!$C708="","",对接源_01水果!$C708)</f>
        <v/>
      </c>
      <c r="B708" s="3">
        <f t="shared" ref="B708:B771" si="196">IF(A708="",0,IF(MATCH(A708,$A$4:$A$2403,0)=ROW()-3,1,0))</f>
        <v>0</v>
      </c>
      <c r="C708" s="3">
        <f t="shared" ref="C708:C771" si="197">N(C707)+B708</f>
        <v>18</v>
      </c>
      <c r="K708" s="3">
        <f>IF(OR($K$1="",对接源_01水果!$C708="",对接源_01水果!$C708&lt;&gt;$K$1,对接源_01水果!$B708=""),0,IF(OR(N(对接源_01水果!$B708)&lt;$K$2,N(对接源_01水果!$B708)&gt;$K$3),0,1))</f>
        <v>0</v>
      </c>
      <c r="L708" s="3">
        <f>IF(OR($L$1="",对接源_01水果!$C708="",对接源_01水果!$C708&lt;&gt;$L$1,对接源_01水果!$B708=""),0,IF(OR(N(对接源_01水果!$B708)&lt;$L$2,N(对接源_01水果!$B708)&gt;$L$3),0,1))</f>
        <v>0</v>
      </c>
      <c r="M708" s="3">
        <f>IF(OR($M$1="",对接源_01水果!$C708="",对接源_01水果!$C708&lt;&gt;$M$1,对接源_01水果!$B708=""),0,IF(OR(N(对接源_01水果!$B708)&lt;$M$2,N(对接源_01水果!$B708)&gt;$M$3),0,1))</f>
        <v>0</v>
      </c>
      <c r="N708" s="3">
        <f>IF(OR($N$1="",对接源_01水果!$C708="",对接源_01水果!$C708&lt;&gt;$N$1,对接源_01水果!$B708=""),0,IF(OR(N(对接源_01水果!$B708)&lt;$N$2,N(对接源_01水果!$B708)&gt;$N$3),0,1))</f>
        <v>0</v>
      </c>
      <c r="P708" s="3">
        <f>IF(AND($K708=1,AND(对接源_01水果!$X708="公司筐",N(对接源_01水果!$T708)&lt;&gt;0)),1,0)</f>
        <v>0</v>
      </c>
      <c r="Q708" s="3">
        <f t="shared" ref="Q708:Q771" si="198">N(Q707)+$P708</f>
        <v>0</v>
      </c>
      <c r="R708" s="3">
        <f>IF(AND($K708=1,AND(对接源_01水果!$X708="公司筐",N(对接源_01水果!$U708)&lt;&gt;0)),1,0)</f>
        <v>0</v>
      </c>
      <c r="S708" s="3">
        <f t="shared" ref="S708:S771" si="199">N(S707)+$R708</f>
        <v>0</v>
      </c>
      <c r="T708" s="3">
        <f>IF(AND($K708=1,AND(对接源_01水果!$X708="公司筐",N(对接源_01水果!$V708)&lt;&gt;0)),1,0)</f>
        <v>0</v>
      </c>
      <c r="U708" s="3">
        <f t="shared" ref="U708:U771" si="200">N(U707)+$T708</f>
        <v>19</v>
      </c>
      <c r="V708" s="3">
        <f>IF(AND($L708=1,AND(对接源_01水果!$X708="自备筐",N(对接源_01水果!$V708)&lt;&gt;0)),1,0)</f>
        <v>0</v>
      </c>
      <c r="W708" s="3">
        <f t="shared" ref="W708:W771" si="201">N(W707)+$V708</f>
        <v>8</v>
      </c>
      <c r="X708" s="3">
        <f>IF(AND($L708=1,AND(对接源_01水果!$X708="自备筐",N(对接源_01水果!$T708)&lt;&gt;0)),1,0)</f>
        <v>0</v>
      </c>
      <c r="Y708" s="3">
        <f t="shared" ref="Y708:Y771" si="202">N(Y707)+$X708</f>
        <v>0</v>
      </c>
      <c r="Z708" s="3">
        <f>IF(AND($M708=1,对接源_01水果!$D708="原料入库"),1,0)</f>
        <v>0</v>
      </c>
      <c r="AA708" s="3">
        <f t="shared" ref="AA708:AA771" si="203">N(AA707)+$Z708</f>
        <v>24</v>
      </c>
      <c r="AB708" s="3">
        <f>IF(AND($M708=1,LEFT(对接源_01水果!$D708,4)="原料出库"),1,0)</f>
        <v>0</v>
      </c>
      <c r="AC708" s="3">
        <f t="shared" ref="AC708:AC771" si="204">N(AC707)+$AB708</f>
        <v>0</v>
      </c>
      <c r="AD708" s="3">
        <f>IF(AND($M708=1,LEFT(对接源_01水果!$D708,4)="成品出库"),1,0)</f>
        <v>0</v>
      </c>
      <c r="AE708" s="3">
        <f t="shared" ref="AE708:AE771" si="205">N(AE707)+$AD708</f>
        <v>0</v>
      </c>
      <c r="AF708" s="3">
        <f>IF(AND($N708=1,AND(LEFT(对接源_01水果!$D708,4)="包装物料",N(对接源_01水果!$K708)&lt;&gt;0)),1,0)</f>
        <v>0</v>
      </c>
      <c r="AG708" s="3">
        <f t="shared" ref="AG708:AG771" si="206">N(AG707)+$AF708</f>
        <v>0</v>
      </c>
      <c r="AH708" s="3">
        <f>IF(AND($N708=1,AND(对接源_01水果!$D708="周转筐－销售出库",N(对接源_01水果!$K708)&lt;&gt;0)),1,0)</f>
        <v>0</v>
      </c>
      <c r="AI708" s="3">
        <f t="shared" ref="AI708:AI771" si="207">N(AI707)+$AH708</f>
        <v>0</v>
      </c>
      <c r="AJ708" s="7"/>
      <c r="AL708" s="3">
        <f>IF(OR($AL$1="",对接源_01水果!$Y708="",对接源_01水果!$Y708&lt;&gt;$AL$1,对接源_01水果!$B708="",N(对接源_01水果!$AJ708)&lt;=0),0,IF(OR(N(对接源_01水果!$B708)&lt;$AL$2,N(对接源_01水果!$B708)&gt;$AL$3),0,1))</f>
        <v>0</v>
      </c>
      <c r="AM708" s="3">
        <f t="shared" ref="AM708:AM771" si="208">N(AM707)+$AL708</f>
        <v>1</v>
      </c>
      <c r="AN708" s="3" t="str">
        <f>IF(对接源_01水果!$AC708="","",对接源_01水果!$AC708)</f>
        <v/>
      </c>
      <c r="AO708" s="3">
        <f t="shared" ref="AO708:AO771" si="209">IF(AN708="",0,IF(MATCH(AN708,$AN$4:$AN$1203,0)=ROW()-3,1,0))</f>
        <v>0</v>
      </c>
      <c r="AP708" s="3">
        <f t="shared" ref="AP708:AP771" si="210">N(AP707)+$AO708</f>
        <v>8</v>
      </c>
      <c r="AR708">
        <f t="shared" ref="AR708:AR771" si="211">IF(OR($AF708=1,$AH708=1),1,0)</f>
        <v>0</v>
      </c>
      <c r="AS708">
        <f t="shared" ref="AS708:AS771" si="212">N(AS707)+$AR708</f>
        <v>0</v>
      </c>
    </row>
    <row r="709" ht="14.25" customHeight="1" spans="1:45">
      <c r="A709" s="3" t="str">
        <f>IF(对接源_01水果!$C709="","",对接源_01水果!$C709)</f>
        <v/>
      </c>
      <c r="B709" s="3">
        <f t="shared" si="196"/>
        <v>0</v>
      </c>
      <c r="C709" s="3">
        <f t="shared" si="197"/>
        <v>18</v>
      </c>
      <c r="K709" s="3">
        <f>IF(OR($K$1="",对接源_01水果!$C709="",对接源_01水果!$C709&lt;&gt;$K$1,对接源_01水果!$B709=""),0,IF(OR(N(对接源_01水果!$B709)&lt;$K$2,N(对接源_01水果!$B709)&gt;$K$3),0,1))</f>
        <v>0</v>
      </c>
      <c r="L709" s="3">
        <f>IF(OR($L$1="",对接源_01水果!$C709="",对接源_01水果!$C709&lt;&gt;$L$1,对接源_01水果!$B709=""),0,IF(OR(N(对接源_01水果!$B709)&lt;$L$2,N(对接源_01水果!$B709)&gt;$L$3),0,1))</f>
        <v>0</v>
      </c>
      <c r="M709" s="3">
        <f>IF(OR($M$1="",对接源_01水果!$C709="",对接源_01水果!$C709&lt;&gt;$M$1,对接源_01水果!$B709=""),0,IF(OR(N(对接源_01水果!$B709)&lt;$M$2,N(对接源_01水果!$B709)&gt;$M$3),0,1))</f>
        <v>0</v>
      </c>
      <c r="N709" s="3">
        <f>IF(OR($N$1="",对接源_01水果!$C709="",对接源_01水果!$C709&lt;&gt;$N$1,对接源_01水果!$B709=""),0,IF(OR(N(对接源_01水果!$B709)&lt;$N$2,N(对接源_01水果!$B709)&gt;$N$3),0,1))</f>
        <v>0</v>
      </c>
      <c r="P709" s="3">
        <f>IF(AND($K709=1,AND(对接源_01水果!$X709="公司筐",N(对接源_01水果!$T709)&lt;&gt;0)),1,0)</f>
        <v>0</v>
      </c>
      <c r="Q709" s="3">
        <f t="shared" si="198"/>
        <v>0</v>
      </c>
      <c r="R709" s="3">
        <f>IF(AND($K709=1,AND(对接源_01水果!$X709="公司筐",N(对接源_01水果!$U709)&lt;&gt;0)),1,0)</f>
        <v>0</v>
      </c>
      <c r="S709" s="3">
        <f t="shared" si="199"/>
        <v>0</v>
      </c>
      <c r="T709" s="3">
        <f>IF(AND($K709=1,AND(对接源_01水果!$X709="公司筐",N(对接源_01水果!$V709)&lt;&gt;0)),1,0)</f>
        <v>0</v>
      </c>
      <c r="U709" s="3">
        <f t="shared" si="200"/>
        <v>19</v>
      </c>
      <c r="V709" s="3">
        <f>IF(AND($L709=1,AND(对接源_01水果!$X709="自备筐",N(对接源_01水果!$V709)&lt;&gt;0)),1,0)</f>
        <v>0</v>
      </c>
      <c r="W709" s="3">
        <f t="shared" si="201"/>
        <v>8</v>
      </c>
      <c r="X709" s="3">
        <f>IF(AND($L709=1,AND(对接源_01水果!$X709="自备筐",N(对接源_01水果!$T709)&lt;&gt;0)),1,0)</f>
        <v>0</v>
      </c>
      <c r="Y709" s="3">
        <f t="shared" si="202"/>
        <v>0</v>
      </c>
      <c r="Z709" s="3">
        <f>IF(AND($M709=1,对接源_01水果!$D709="原料入库"),1,0)</f>
        <v>0</v>
      </c>
      <c r="AA709" s="3">
        <f t="shared" si="203"/>
        <v>24</v>
      </c>
      <c r="AB709" s="3">
        <f>IF(AND($M709=1,LEFT(对接源_01水果!$D709,4)="原料出库"),1,0)</f>
        <v>0</v>
      </c>
      <c r="AC709" s="3">
        <f t="shared" si="204"/>
        <v>0</v>
      </c>
      <c r="AD709" s="3">
        <f>IF(AND($M709=1,LEFT(对接源_01水果!$D709,4)="成品出库"),1,0)</f>
        <v>0</v>
      </c>
      <c r="AE709" s="3">
        <f t="shared" si="205"/>
        <v>0</v>
      </c>
      <c r="AF709" s="3">
        <f>IF(AND($N709=1,AND(LEFT(对接源_01水果!$D709,4)="包装物料",N(对接源_01水果!$K709)&lt;&gt;0)),1,0)</f>
        <v>0</v>
      </c>
      <c r="AG709" s="3">
        <f t="shared" si="206"/>
        <v>0</v>
      </c>
      <c r="AH709" s="3">
        <f>IF(AND($N709=1,AND(对接源_01水果!$D709="周转筐－销售出库",N(对接源_01水果!$K709)&lt;&gt;0)),1,0)</f>
        <v>0</v>
      </c>
      <c r="AI709" s="3">
        <f t="shared" si="207"/>
        <v>0</v>
      </c>
      <c r="AJ709" s="7"/>
      <c r="AL709" s="3">
        <f>IF(OR($AL$1="",对接源_01水果!$Y709="",对接源_01水果!$Y709&lt;&gt;$AL$1,对接源_01水果!$B709="",N(对接源_01水果!$AJ709)&lt;=0),0,IF(OR(N(对接源_01水果!$B709)&lt;$AL$2,N(对接源_01水果!$B709)&gt;$AL$3),0,1))</f>
        <v>0</v>
      </c>
      <c r="AM709" s="3">
        <f t="shared" si="208"/>
        <v>1</v>
      </c>
      <c r="AN709" s="3" t="str">
        <f>IF(对接源_01水果!$AC709="","",对接源_01水果!$AC709)</f>
        <v/>
      </c>
      <c r="AO709" s="3">
        <f t="shared" si="209"/>
        <v>0</v>
      </c>
      <c r="AP709" s="3">
        <f t="shared" si="210"/>
        <v>8</v>
      </c>
      <c r="AR709">
        <f t="shared" si="211"/>
        <v>0</v>
      </c>
      <c r="AS709">
        <f t="shared" si="212"/>
        <v>0</v>
      </c>
    </row>
    <row r="710" ht="14.25" customHeight="1" spans="1:45">
      <c r="A710" s="3" t="str">
        <f>IF(对接源_01水果!$C710="","",对接源_01水果!$C710)</f>
        <v/>
      </c>
      <c r="B710" s="3">
        <f t="shared" si="196"/>
        <v>0</v>
      </c>
      <c r="C710" s="3">
        <f t="shared" si="197"/>
        <v>18</v>
      </c>
      <c r="K710" s="3">
        <f>IF(OR($K$1="",对接源_01水果!$C710="",对接源_01水果!$C710&lt;&gt;$K$1,对接源_01水果!$B710=""),0,IF(OR(N(对接源_01水果!$B710)&lt;$K$2,N(对接源_01水果!$B710)&gt;$K$3),0,1))</f>
        <v>0</v>
      </c>
      <c r="L710" s="3">
        <f>IF(OR($L$1="",对接源_01水果!$C710="",对接源_01水果!$C710&lt;&gt;$L$1,对接源_01水果!$B710=""),0,IF(OR(N(对接源_01水果!$B710)&lt;$L$2,N(对接源_01水果!$B710)&gt;$L$3),0,1))</f>
        <v>0</v>
      </c>
      <c r="M710" s="3">
        <f>IF(OR($M$1="",对接源_01水果!$C710="",对接源_01水果!$C710&lt;&gt;$M$1,对接源_01水果!$B710=""),0,IF(OR(N(对接源_01水果!$B710)&lt;$M$2,N(对接源_01水果!$B710)&gt;$M$3),0,1))</f>
        <v>0</v>
      </c>
      <c r="N710" s="3">
        <f>IF(OR($N$1="",对接源_01水果!$C710="",对接源_01水果!$C710&lt;&gt;$N$1,对接源_01水果!$B710=""),0,IF(OR(N(对接源_01水果!$B710)&lt;$N$2,N(对接源_01水果!$B710)&gt;$N$3),0,1))</f>
        <v>0</v>
      </c>
      <c r="P710" s="3">
        <f>IF(AND($K710=1,AND(对接源_01水果!$X710="公司筐",N(对接源_01水果!$T710)&lt;&gt;0)),1,0)</f>
        <v>0</v>
      </c>
      <c r="Q710" s="3">
        <f t="shared" si="198"/>
        <v>0</v>
      </c>
      <c r="R710" s="3">
        <f>IF(AND($K710=1,AND(对接源_01水果!$X710="公司筐",N(对接源_01水果!$U710)&lt;&gt;0)),1,0)</f>
        <v>0</v>
      </c>
      <c r="S710" s="3">
        <f t="shared" si="199"/>
        <v>0</v>
      </c>
      <c r="T710" s="3">
        <f>IF(AND($K710=1,AND(对接源_01水果!$X710="公司筐",N(对接源_01水果!$V710)&lt;&gt;0)),1,0)</f>
        <v>0</v>
      </c>
      <c r="U710" s="3">
        <f t="shared" si="200"/>
        <v>19</v>
      </c>
      <c r="V710" s="3">
        <f>IF(AND($L710=1,AND(对接源_01水果!$X710="自备筐",N(对接源_01水果!$V710)&lt;&gt;0)),1,0)</f>
        <v>0</v>
      </c>
      <c r="W710" s="3">
        <f t="shared" si="201"/>
        <v>8</v>
      </c>
      <c r="X710" s="3">
        <f>IF(AND($L710=1,AND(对接源_01水果!$X710="自备筐",N(对接源_01水果!$T710)&lt;&gt;0)),1,0)</f>
        <v>0</v>
      </c>
      <c r="Y710" s="3">
        <f t="shared" si="202"/>
        <v>0</v>
      </c>
      <c r="Z710" s="3">
        <f>IF(AND($M710=1,对接源_01水果!$D710="原料入库"),1,0)</f>
        <v>0</v>
      </c>
      <c r="AA710" s="3">
        <f t="shared" si="203"/>
        <v>24</v>
      </c>
      <c r="AB710" s="3">
        <f>IF(AND($M710=1,LEFT(对接源_01水果!$D710,4)="原料出库"),1,0)</f>
        <v>0</v>
      </c>
      <c r="AC710" s="3">
        <f t="shared" si="204"/>
        <v>0</v>
      </c>
      <c r="AD710" s="3">
        <f>IF(AND($M710=1,LEFT(对接源_01水果!$D710,4)="成品出库"),1,0)</f>
        <v>0</v>
      </c>
      <c r="AE710" s="3">
        <f t="shared" si="205"/>
        <v>0</v>
      </c>
      <c r="AF710" s="3">
        <f>IF(AND($N710=1,AND(LEFT(对接源_01水果!$D710,4)="包装物料",N(对接源_01水果!$K710)&lt;&gt;0)),1,0)</f>
        <v>0</v>
      </c>
      <c r="AG710" s="3">
        <f t="shared" si="206"/>
        <v>0</v>
      </c>
      <c r="AH710" s="3">
        <f>IF(AND($N710=1,AND(对接源_01水果!$D710="周转筐－销售出库",N(对接源_01水果!$K710)&lt;&gt;0)),1,0)</f>
        <v>0</v>
      </c>
      <c r="AI710" s="3">
        <f t="shared" si="207"/>
        <v>0</v>
      </c>
      <c r="AJ710" s="7"/>
      <c r="AL710" s="3">
        <f>IF(OR($AL$1="",对接源_01水果!$Y710="",对接源_01水果!$Y710&lt;&gt;$AL$1,对接源_01水果!$B710="",N(对接源_01水果!$AJ710)&lt;=0),0,IF(OR(N(对接源_01水果!$B710)&lt;$AL$2,N(对接源_01水果!$B710)&gt;$AL$3),0,1))</f>
        <v>0</v>
      </c>
      <c r="AM710" s="3">
        <f t="shared" si="208"/>
        <v>1</v>
      </c>
      <c r="AN710" s="3" t="str">
        <f>IF(对接源_01水果!$AC710="","",对接源_01水果!$AC710)</f>
        <v/>
      </c>
      <c r="AO710" s="3">
        <f t="shared" si="209"/>
        <v>0</v>
      </c>
      <c r="AP710" s="3">
        <f t="shared" si="210"/>
        <v>8</v>
      </c>
      <c r="AR710">
        <f t="shared" si="211"/>
        <v>0</v>
      </c>
      <c r="AS710">
        <f t="shared" si="212"/>
        <v>0</v>
      </c>
    </row>
    <row r="711" ht="14.25" customHeight="1" spans="1:45">
      <c r="A711" s="3" t="str">
        <f>IF(对接源_01水果!$C711="","",对接源_01水果!$C711)</f>
        <v/>
      </c>
      <c r="B711" s="3">
        <f t="shared" si="196"/>
        <v>0</v>
      </c>
      <c r="C711" s="3">
        <f t="shared" si="197"/>
        <v>18</v>
      </c>
      <c r="K711" s="3">
        <f>IF(OR($K$1="",对接源_01水果!$C711="",对接源_01水果!$C711&lt;&gt;$K$1,对接源_01水果!$B711=""),0,IF(OR(N(对接源_01水果!$B711)&lt;$K$2,N(对接源_01水果!$B711)&gt;$K$3),0,1))</f>
        <v>0</v>
      </c>
      <c r="L711" s="3">
        <f>IF(OR($L$1="",对接源_01水果!$C711="",对接源_01水果!$C711&lt;&gt;$L$1,对接源_01水果!$B711=""),0,IF(OR(N(对接源_01水果!$B711)&lt;$L$2,N(对接源_01水果!$B711)&gt;$L$3),0,1))</f>
        <v>0</v>
      </c>
      <c r="M711" s="3">
        <f>IF(OR($M$1="",对接源_01水果!$C711="",对接源_01水果!$C711&lt;&gt;$M$1,对接源_01水果!$B711=""),0,IF(OR(N(对接源_01水果!$B711)&lt;$M$2,N(对接源_01水果!$B711)&gt;$M$3),0,1))</f>
        <v>0</v>
      </c>
      <c r="N711" s="3">
        <f>IF(OR($N$1="",对接源_01水果!$C711="",对接源_01水果!$C711&lt;&gt;$N$1,对接源_01水果!$B711=""),0,IF(OR(N(对接源_01水果!$B711)&lt;$N$2,N(对接源_01水果!$B711)&gt;$N$3),0,1))</f>
        <v>0</v>
      </c>
      <c r="P711" s="3">
        <f>IF(AND($K711=1,AND(对接源_01水果!$X711="公司筐",N(对接源_01水果!$T711)&lt;&gt;0)),1,0)</f>
        <v>0</v>
      </c>
      <c r="Q711" s="3">
        <f t="shared" si="198"/>
        <v>0</v>
      </c>
      <c r="R711" s="3">
        <f>IF(AND($K711=1,AND(对接源_01水果!$X711="公司筐",N(对接源_01水果!$U711)&lt;&gt;0)),1,0)</f>
        <v>0</v>
      </c>
      <c r="S711" s="3">
        <f t="shared" si="199"/>
        <v>0</v>
      </c>
      <c r="T711" s="3">
        <f>IF(AND($K711=1,AND(对接源_01水果!$X711="公司筐",N(对接源_01水果!$V711)&lt;&gt;0)),1,0)</f>
        <v>0</v>
      </c>
      <c r="U711" s="3">
        <f t="shared" si="200"/>
        <v>19</v>
      </c>
      <c r="V711" s="3">
        <f>IF(AND($L711=1,AND(对接源_01水果!$X711="自备筐",N(对接源_01水果!$V711)&lt;&gt;0)),1,0)</f>
        <v>0</v>
      </c>
      <c r="W711" s="3">
        <f t="shared" si="201"/>
        <v>8</v>
      </c>
      <c r="X711" s="3">
        <f>IF(AND($L711=1,AND(对接源_01水果!$X711="自备筐",N(对接源_01水果!$T711)&lt;&gt;0)),1,0)</f>
        <v>0</v>
      </c>
      <c r="Y711" s="3">
        <f t="shared" si="202"/>
        <v>0</v>
      </c>
      <c r="Z711" s="3">
        <f>IF(AND($M711=1,对接源_01水果!$D711="原料入库"),1,0)</f>
        <v>0</v>
      </c>
      <c r="AA711" s="3">
        <f t="shared" si="203"/>
        <v>24</v>
      </c>
      <c r="AB711" s="3">
        <f>IF(AND($M711=1,LEFT(对接源_01水果!$D711,4)="原料出库"),1,0)</f>
        <v>0</v>
      </c>
      <c r="AC711" s="3">
        <f t="shared" si="204"/>
        <v>0</v>
      </c>
      <c r="AD711" s="3">
        <f>IF(AND($M711=1,LEFT(对接源_01水果!$D711,4)="成品出库"),1,0)</f>
        <v>0</v>
      </c>
      <c r="AE711" s="3">
        <f t="shared" si="205"/>
        <v>0</v>
      </c>
      <c r="AF711" s="3">
        <f>IF(AND($N711=1,AND(LEFT(对接源_01水果!$D711,4)="包装物料",N(对接源_01水果!$K711)&lt;&gt;0)),1,0)</f>
        <v>0</v>
      </c>
      <c r="AG711" s="3">
        <f t="shared" si="206"/>
        <v>0</v>
      </c>
      <c r="AH711" s="3">
        <f>IF(AND($N711=1,AND(对接源_01水果!$D711="周转筐－销售出库",N(对接源_01水果!$K711)&lt;&gt;0)),1,0)</f>
        <v>0</v>
      </c>
      <c r="AI711" s="3">
        <f t="shared" si="207"/>
        <v>0</v>
      </c>
      <c r="AJ711" s="7"/>
      <c r="AL711" s="3">
        <f>IF(OR($AL$1="",对接源_01水果!$Y711="",对接源_01水果!$Y711&lt;&gt;$AL$1,对接源_01水果!$B711="",N(对接源_01水果!$AJ711)&lt;=0),0,IF(OR(N(对接源_01水果!$B711)&lt;$AL$2,N(对接源_01水果!$B711)&gt;$AL$3),0,1))</f>
        <v>0</v>
      </c>
      <c r="AM711" s="3">
        <f t="shared" si="208"/>
        <v>1</v>
      </c>
      <c r="AN711" s="3" t="str">
        <f>IF(对接源_01水果!$AC711="","",对接源_01水果!$AC711)</f>
        <v/>
      </c>
      <c r="AO711" s="3">
        <f t="shared" si="209"/>
        <v>0</v>
      </c>
      <c r="AP711" s="3">
        <f t="shared" si="210"/>
        <v>8</v>
      </c>
      <c r="AR711">
        <f t="shared" si="211"/>
        <v>0</v>
      </c>
      <c r="AS711">
        <f t="shared" si="212"/>
        <v>0</v>
      </c>
    </row>
    <row r="712" ht="14.25" customHeight="1" spans="1:45">
      <c r="A712" s="3" t="str">
        <f>IF(对接源_01水果!$C712="","",对接源_01水果!$C712)</f>
        <v/>
      </c>
      <c r="B712" s="3">
        <f t="shared" si="196"/>
        <v>0</v>
      </c>
      <c r="C712" s="3">
        <f t="shared" si="197"/>
        <v>18</v>
      </c>
      <c r="K712" s="3">
        <f>IF(OR($K$1="",对接源_01水果!$C712="",对接源_01水果!$C712&lt;&gt;$K$1,对接源_01水果!$B712=""),0,IF(OR(N(对接源_01水果!$B712)&lt;$K$2,N(对接源_01水果!$B712)&gt;$K$3),0,1))</f>
        <v>0</v>
      </c>
      <c r="L712" s="3">
        <f>IF(OR($L$1="",对接源_01水果!$C712="",对接源_01水果!$C712&lt;&gt;$L$1,对接源_01水果!$B712=""),0,IF(OR(N(对接源_01水果!$B712)&lt;$L$2,N(对接源_01水果!$B712)&gt;$L$3),0,1))</f>
        <v>0</v>
      </c>
      <c r="M712" s="3">
        <f>IF(OR($M$1="",对接源_01水果!$C712="",对接源_01水果!$C712&lt;&gt;$M$1,对接源_01水果!$B712=""),0,IF(OR(N(对接源_01水果!$B712)&lt;$M$2,N(对接源_01水果!$B712)&gt;$M$3),0,1))</f>
        <v>0</v>
      </c>
      <c r="N712" s="3">
        <f>IF(OR($N$1="",对接源_01水果!$C712="",对接源_01水果!$C712&lt;&gt;$N$1,对接源_01水果!$B712=""),0,IF(OR(N(对接源_01水果!$B712)&lt;$N$2,N(对接源_01水果!$B712)&gt;$N$3),0,1))</f>
        <v>0</v>
      </c>
      <c r="P712" s="3">
        <f>IF(AND($K712=1,AND(对接源_01水果!$X712="公司筐",N(对接源_01水果!$T712)&lt;&gt;0)),1,0)</f>
        <v>0</v>
      </c>
      <c r="Q712" s="3">
        <f t="shared" si="198"/>
        <v>0</v>
      </c>
      <c r="R712" s="3">
        <f>IF(AND($K712=1,AND(对接源_01水果!$X712="公司筐",N(对接源_01水果!$U712)&lt;&gt;0)),1,0)</f>
        <v>0</v>
      </c>
      <c r="S712" s="3">
        <f t="shared" si="199"/>
        <v>0</v>
      </c>
      <c r="T712" s="3">
        <f>IF(AND($K712=1,AND(对接源_01水果!$X712="公司筐",N(对接源_01水果!$V712)&lt;&gt;0)),1,0)</f>
        <v>0</v>
      </c>
      <c r="U712" s="3">
        <f t="shared" si="200"/>
        <v>19</v>
      </c>
      <c r="V712" s="3">
        <f>IF(AND($L712=1,AND(对接源_01水果!$X712="自备筐",N(对接源_01水果!$V712)&lt;&gt;0)),1,0)</f>
        <v>0</v>
      </c>
      <c r="W712" s="3">
        <f t="shared" si="201"/>
        <v>8</v>
      </c>
      <c r="X712" s="3">
        <f>IF(AND($L712=1,AND(对接源_01水果!$X712="自备筐",N(对接源_01水果!$T712)&lt;&gt;0)),1,0)</f>
        <v>0</v>
      </c>
      <c r="Y712" s="3">
        <f t="shared" si="202"/>
        <v>0</v>
      </c>
      <c r="Z712" s="3">
        <f>IF(AND($M712=1,对接源_01水果!$D712="原料入库"),1,0)</f>
        <v>0</v>
      </c>
      <c r="AA712" s="3">
        <f t="shared" si="203"/>
        <v>24</v>
      </c>
      <c r="AB712" s="3">
        <f>IF(AND($M712=1,LEFT(对接源_01水果!$D712,4)="原料出库"),1,0)</f>
        <v>0</v>
      </c>
      <c r="AC712" s="3">
        <f t="shared" si="204"/>
        <v>0</v>
      </c>
      <c r="AD712" s="3">
        <f>IF(AND($M712=1,LEFT(对接源_01水果!$D712,4)="成品出库"),1,0)</f>
        <v>0</v>
      </c>
      <c r="AE712" s="3">
        <f t="shared" si="205"/>
        <v>0</v>
      </c>
      <c r="AF712" s="3">
        <f>IF(AND($N712=1,AND(LEFT(对接源_01水果!$D712,4)="包装物料",N(对接源_01水果!$K712)&lt;&gt;0)),1,0)</f>
        <v>0</v>
      </c>
      <c r="AG712" s="3">
        <f t="shared" si="206"/>
        <v>0</v>
      </c>
      <c r="AH712" s="3">
        <f>IF(AND($N712=1,AND(对接源_01水果!$D712="周转筐－销售出库",N(对接源_01水果!$K712)&lt;&gt;0)),1,0)</f>
        <v>0</v>
      </c>
      <c r="AI712" s="3">
        <f t="shared" si="207"/>
        <v>0</v>
      </c>
      <c r="AJ712" s="7"/>
      <c r="AL712" s="3">
        <f>IF(OR($AL$1="",对接源_01水果!$Y712="",对接源_01水果!$Y712&lt;&gt;$AL$1,对接源_01水果!$B712="",N(对接源_01水果!$AJ712)&lt;=0),0,IF(OR(N(对接源_01水果!$B712)&lt;$AL$2,N(对接源_01水果!$B712)&gt;$AL$3),0,1))</f>
        <v>0</v>
      </c>
      <c r="AM712" s="3">
        <f t="shared" si="208"/>
        <v>1</v>
      </c>
      <c r="AN712" s="3" t="str">
        <f>IF(对接源_01水果!$AC712="","",对接源_01水果!$AC712)</f>
        <v/>
      </c>
      <c r="AO712" s="3">
        <f t="shared" si="209"/>
        <v>0</v>
      </c>
      <c r="AP712" s="3">
        <f t="shared" si="210"/>
        <v>8</v>
      </c>
      <c r="AR712">
        <f t="shared" si="211"/>
        <v>0</v>
      </c>
      <c r="AS712">
        <f t="shared" si="212"/>
        <v>0</v>
      </c>
    </row>
    <row r="713" ht="14.25" customHeight="1" spans="1:45">
      <c r="A713" s="3" t="str">
        <f>IF(对接源_01水果!$C713="","",对接源_01水果!$C713)</f>
        <v/>
      </c>
      <c r="B713" s="3">
        <f t="shared" si="196"/>
        <v>0</v>
      </c>
      <c r="C713" s="3">
        <f t="shared" si="197"/>
        <v>18</v>
      </c>
      <c r="K713" s="3">
        <f>IF(OR($K$1="",对接源_01水果!$C713="",对接源_01水果!$C713&lt;&gt;$K$1,对接源_01水果!$B713=""),0,IF(OR(N(对接源_01水果!$B713)&lt;$K$2,N(对接源_01水果!$B713)&gt;$K$3),0,1))</f>
        <v>0</v>
      </c>
      <c r="L713" s="3">
        <f>IF(OR($L$1="",对接源_01水果!$C713="",对接源_01水果!$C713&lt;&gt;$L$1,对接源_01水果!$B713=""),0,IF(OR(N(对接源_01水果!$B713)&lt;$L$2,N(对接源_01水果!$B713)&gt;$L$3),0,1))</f>
        <v>0</v>
      </c>
      <c r="M713" s="3">
        <f>IF(OR($M$1="",对接源_01水果!$C713="",对接源_01水果!$C713&lt;&gt;$M$1,对接源_01水果!$B713=""),0,IF(OR(N(对接源_01水果!$B713)&lt;$M$2,N(对接源_01水果!$B713)&gt;$M$3),0,1))</f>
        <v>0</v>
      </c>
      <c r="N713" s="3">
        <f>IF(OR($N$1="",对接源_01水果!$C713="",对接源_01水果!$C713&lt;&gt;$N$1,对接源_01水果!$B713=""),0,IF(OR(N(对接源_01水果!$B713)&lt;$N$2,N(对接源_01水果!$B713)&gt;$N$3),0,1))</f>
        <v>0</v>
      </c>
      <c r="P713" s="3">
        <f>IF(AND($K713=1,AND(对接源_01水果!$X713="公司筐",N(对接源_01水果!$T713)&lt;&gt;0)),1,0)</f>
        <v>0</v>
      </c>
      <c r="Q713" s="3">
        <f t="shared" si="198"/>
        <v>0</v>
      </c>
      <c r="R713" s="3">
        <f>IF(AND($K713=1,AND(对接源_01水果!$X713="公司筐",N(对接源_01水果!$U713)&lt;&gt;0)),1,0)</f>
        <v>0</v>
      </c>
      <c r="S713" s="3">
        <f t="shared" si="199"/>
        <v>0</v>
      </c>
      <c r="T713" s="3">
        <f>IF(AND($K713=1,AND(对接源_01水果!$X713="公司筐",N(对接源_01水果!$V713)&lt;&gt;0)),1,0)</f>
        <v>0</v>
      </c>
      <c r="U713" s="3">
        <f t="shared" si="200"/>
        <v>19</v>
      </c>
      <c r="V713" s="3">
        <f>IF(AND($L713=1,AND(对接源_01水果!$X713="自备筐",N(对接源_01水果!$V713)&lt;&gt;0)),1,0)</f>
        <v>0</v>
      </c>
      <c r="W713" s="3">
        <f t="shared" si="201"/>
        <v>8</v>
      </c>
      <c r="X713" s="3">
        <f>IF(AND($L713=1,AND(对接源_01水果!$X713="自备筐",N(对接源_01水果!$T713)&lt;&gt;0)),1,0)</f>
        <v>0</v>
      </c>
      <c r="Y713" s="3">
        <f t="shared" si="202"/>
        <v>0</v>
      </c>
      <c r="Z713" s="3">
        <f>IF(AND($M713=1,对接源_01水果!$D713="原料入库"),1,0)</f>
        <v>0</v>
      </c>
      <c r="AA713" s="3">
        <f t="shared" si="203"/>
        <v>24</v>
      </c>
      <c r="AB713" s="3">
        <f>IF(AND($M713=1,LEFT(对接源_01水果!$D713,4)="原料出库"),1,0)</f>
        <v>0</v>
      </c>
      <c r="AC713" s="3">
        <f t="shared" si="204"/>
        <v>0</v>
      </c>
      <c r="AD713" s="3">
        <f>IF(AND($M713=1,LEFT(对接源_01水果!$D713,4)="成品出库"),1,0)</f>
        <v>0</v>
      </c>
      <c r="AE713" s="3">
        <f t="shared" si="205"/>
        <v>0</v>
      </c>
      <c r="AF713" s="3">
        <f>IF(AND($N713=1,AND(LEFT(对接源_01水果!$D713,4)="包装物料",N(对接源_01水果!$K713)&lt;&gt;0)),1,0)</f>
        <v>0</v>
      </c>
      <c r="AG713" s="3">
        <f t="shared" si="206"/>
        <v>0</v>
      </c>
      <c r="AH713" s="3">
        <f>IF(AND($N713=1,AND(对接源_01水果!$D713="周转筐－销售出库",N(对接源_01水果!$K713)&lt;&gt;0)),1,0)</f>
        <v>0</v>
      </c>
      <c r="AI713" s="3">
        <f t="shared" si="207"/>
        <v>0</v>
      </c>
      <c r="AJ713" s="7"/>
      <c r="AL713" s="3">
        <f>IF(OR($AL$1="",对接源_01水果!$Y713="",对接源_01水果!$Y713&lt;&gt;$AL$1,对接源_01水果!$B713="",N(对接源_01水果!$AJ713)&lt;=0),0,IF(OR(N(对接源_01水果!$B713)&lt;$AL$2,N(对接源_01水果!$B713)&gt;$AL$3),0,1))</f>
        <v>0</v>
      </c>
      <c r="AM713" s="3">
        <f t="shared" si="208"/>
        <v>1</v>
      </c>
      <c r="AN713" s="3" t="str">
        <f>IF(对接源_01水果!$AC713="","",对接源_01水果!$AC713)</f>
        <v/>
      </c>
      <c r="AO713" s="3">
        <f t="shared" si="209"/>
        <v>0</v>
      </c>
      <c r="AP713" s="3">
        <f t="shared" si="210"/>
        <v>8</v>
      </c>
      <c r="AR713">
        <f t="shared" si="211"/>
        <v>0</v>
      </c>
      <c r="AS713">
        <f t="shared" si="212"/>
        <v>0</v>
      </c>
    </row>
    <row r="714" ht="14.25" customHeight="1" spans="1:45">
      <c r="A714" s="3" t="str">
        <f>IF(对接源_01水果!$C714="","",对接源_01水果!$C714)</f>
        <v/>
      </c>
      <c r="B714" s="3">
        <f t="shared" si="196"/>
        <v>0</v>
      </c>
      <c r="C714" s="3">
        <f t="shared" si="197"/>
        <v>18</v>
      </c>
      <c r="K714" s="3">
        <f>IF(OR($K$1="",对接源_01水果!$C714="",对接源_01水果!$C714&lt;&gt;$K$1,对接源_01水果!$B714=""),0,IF(OR(N(对接源_01水果!$B714)&lt;$K$2,N(对接源_01水果!$B714)&gt;$K$3),0,1))</f>
        <v>0</v>
      </c>
      <c r="L714" s="3">
        <f>IF(OR($L$1="",对接源_01水果!$C714="",对接源_01水果!$C714&lt;&gt;$L$1,对接源_01水果!$B714=""),0,IF(OR(N(对接源_01水果!$B714)&lt;$L$2,N(对接源_01水果!$B714)&gt;$L$3),0,1))</f>
        <v>0</v>
      </c>
      <c r="M714" s="3">
        <f>IF(OR($M$1="",对接源_01水果!$C714="",对接源_01水果!$C714&lt;&gt;$M$1,对接源_01水果!$B714=""),0,IF(OR(N(对接源_01水果!$B714)&lt;$M$2,N(对接源_01水果!$B714)&gt;$M$3),0,1))</f>
        <v>0</v>
      </c>
      <c r="N714" s="3">
        <f>IF(OR($N$1="",对接源_01水果!$C714="",对接源_01水果!$C714&lt;&gt;$N$1,对接源_01水果!$B714=""),0,IF(OR(N(对接源_01水果!$B714)&lt;$N$2,N(对接源_01水果!$B714)&gt;$N$3),0,1))</f>
        <v>0</v>
      </c>
      <c r="P714" s="3">
        <f>IF(AND($K714=1,AND(对接源_01水果!$X714="公司筐",N(对接源_01水果!$T714)&lt;&gt;0)),1,0)</f>
        <v>0</v>
      </c>
      <c r="Q714" s="3">
        <f t="shared" si="198"/>
        <v>0</v>
      </c>
      <c r="R714" s="3">
        <f>IF(AND($K714=1,AND(对接源_01水果!$X714="公司筐",N(对接源_01水果!$U714)&lt;&gt;0)),1,0)</f>
        <v>0</v>
      </c>
      <c r="S714" s="3">
        <f t="shared" si="199"/>
        <v>0</v>
      </c>
      <c r="T714" s="3">
        <f>IF(AND($K714=1,AND(对接源_01水果!$X714="公司筐",N(对接源_01水果!$V714)&lt;&gt;0)),1,0)</f>
        <v>0</v>
      </c>
      <c r="U714" s="3">
        <f t="shared" si="200"/>
        <v>19</v>
      </c>
      <c r="V714" s="3">
        <f>IF(AND($L714=1,AND(对接源_01水果!$X714="自备筐",N(对接源_01水果!$V714)&lt;&gt;0)),1,0)</f>
        <v>0</v>
      </c>
      <c r="W714" s="3">
        <f t="shared" si="201"/>
        <v>8</v>
      </c>
      <c r="X714" s="3">
        <f>IF(AND($L714=1,AND(对接源_01水果!$X714="自备筐",N(对接源_01水果!$T714)&lt;&gt;0)),1,0)</f>
        <v>0</v>
      </c>
      <c r="Y714" s="3">
        <f t="shared" si="202"/>
        <v>0</v>
      </c>
      <c r="Z714" s="3">
        <f>IF(AND($M714=1,对接源_01水果!$D714="原料入库"),1,0)</f>
        <v>0</v>
      </c>
      <c r="AA714" s="3">
        <f t="shared" si="203"/>
        <v>24</v>
      </c>
      <c r="AB714" s="3">
        <f>IF(AND($M714=1,LEFT(对接源_01水果!$D714,4)="原料出库"),1,0)</f>
        <v>0</v>
      </c>
      <c r="AC714" s="3">
        <f t="shared" si="204"/>
        <v>0</v>
      </c>
      <c r="AD714" s="3">
        <f>IF(AND($M714=1,LEFT(对接源_01水果!$D714,4)="成品出库"),1,0)</f>
        <v>0</v>
      </c>
      <c r="AE714" s="3">
        <f t="shared" si="205"/>
        <v>0</v>
      </c>
      <c r="AF714" s="3">
        <f>IF(AND($N714=1,AND(LEFT(对接源_01水果!$D714,4)="包装物料",N(对接源_01水果!$K714)&lt;&gt;0)),1,0)</f>
        <v>0</v>
      </c>
      <c r="AG714" s="3">
        <f t="shared" si="206"/>
        <v>0</v>
      </c>
      <c r="AH714" s="3">
        <f>IF(AND($N714=1,AND(对接源_01水果!$D714="周转筐－销售出库",N(对接源_01水果!$K714)&lt;&gt;0)),1,0)</f>
        <v>0</v>
      </c>
      <c r="AI714" s="3">
        <f t="shared" si="207"/>
        <v>0</v>
      </c>
      <c r="AJ714" s="7"/>
      <c r="AL714" s="3">
        <f>IF(OR($AL$1="",对接源_01水果!$Y714="",对接源_01水果!$Y714&lt;&gt;$AL$1,对接源_01水果!$B714="",N(对接源_01水果!$AJ714)&lt;=0),0,IF(OR(N(对接源_01水果!$B714)&lt;$AL$2,N(对接源_01水果!$B714)&gt;$AL$3),0,1))</f>
        <v>0</v>
      </c>
      <c r="AM714" s="3">
        <f t="shared" si="208"/>
        <v>1</v>
      </c>
      <c r="AN714" s="3" t="str">
        <f>IF(对接源_01水果!$AC714="","",对接源_01水果!$AC714)</f>
        <v/>
      </c>
      <c r="AO714" s="3">
        <f t="shared" si="209"/>
        <v>0</v>
      </c>
      <c r="AP714" s="3">
        <f t="shared" si="210"/>
        <v>8</v>
      </c>
      <c r="AR714">
        <f t="shared" si="211"/>
        <v>0</v>
      </c>
      <c r="AS714">
        <f t="shared" si="212"/>
        <v>0</v>
      </c>
    </row>
    <row r="715" ht="14.25" customHeight="1" spans="1:45">
      <c r="A715" s="3" t="str">
        <f>IF(对接源_01水果!$C715="","",对接源_01水果!$C715)</f>
        <v/>
      </c>
      <c r="B715" s="3">
        <f t="shared" si="196"/>
        <v>0</v>
      </c>
      <c r="C715" s="3">
        <f t="shared" si="197"/>
        <v>18</v>
      </c>
      <c r="K715" s="3">
        <f>IF(OR($K$1="",对接源_01水果!$C715="",对接源_01水果!$C715&lt;&gt;$K$1,对接源_01水果!$B715=""),0,IF(OR(N(对接源_01水果!$B715)&lt;$K$2,N(对接源_01水果!$B715)&gt;$K$3),0,1))</f>
        <v>0</v>
      </c>
      <c r="L715" s="3">
        <f>IF(OR($L$1="",对接源_01水果!$C715="",对接源_01水果!$C715&lt;&gt;$L$1,对接源_01水果!$B715=""),0,IF(OR(N(对接源_01水果!$B715)&lt;$L$2,N(对接源_01水果!$B715)&gt;$L$3),0,1))</f>
        <v>0</v>
      </c>
      <c r="M715" s="3">
        <f>IF(OR($M$1="",对接源_01水果!$C715="",对接源_01水果!$C715&lt;&gt;$M$1,对接源_01水果!$B715=""),0,IF(OR(N(对接源_01水果!$B715)&lt;$M$2,N(对接源_01水果!$B715)&gt;$M$3),0,1))</f>
        <v>0</v>
      </c>
      <c r="N715" s="3">
        <f>IF(OR($N$1="",对接源_01水果!$C715="",对接源_01水果!$C715&lt;&gt;$N$1,对接源_01水果!$B715=""),0,IF(OR(N(对接源_01水果!$B715)&lt;$N$2,N(对接源_01水果!$B715)&gt;$N$3),0,1))</f>
        <v>0</v>
      </c>
      <c r="P715" s="3">
        <f>IF(AND($K715=1,AND(对接源_01水果!$X715="公司筐",N(对接源_01水果!$T715)&lt;&gt;0)),1,0)</f>
        <v>0</v>
      </c>
      <c r="Q715" s="3">
        <f t="shared" si="198"/>
        <v>0</v>
      </c>
      <c r="R715" s="3">
        <f>IF(AND($K715=1,AND(对接源_01水果!$X715="公司筐",N(对接源_01水果!$U715)&lt;&gt;0)),1,0)</f>
        <v>0</v>
      </c>
      <c r="S715" s="3">
        <f t="shared" si="199"/>
        <v>0</v>
      </c>
      <c r="T715" s="3">
        <f>IF(AND($K715=1,AND(对接源_01水果!$X715="公司筐",N(对接源_01水果!$V715)&lt;&gt;0)),1,0)</f>
        <v>0</v>
      </c>
      <c r="U715" s="3">
        <f t="shared" si="200"/>
        <v>19</v>
      </c>
      <c r="V715" s="3">
        <f>IF(AND($L715=1,AND(对接源_01水果!$X715="自备筐",N(对接源_01水果!$V715)&lt;&gt;0)),1,0)</f>
        <v>0</v>
      </c>
      <c r="W715" s="3">
        <f t="shared" si="201"/>
        <v>8</v>
      </c>
      <c r="X715" s="3">
        <f>IF(AND($L715=1,AND(对接源_01水果!$X715="自备筐",N(对接源_01水果!$T715)&lt;&gt;0)),1,0)</f>
        <v>0</v>
      </c>
      <c r="Y715" s="3">
        <f t="shared" si="202"/>
        <v>0</v>
      </c>
      <c r="Z715" s="3">
        <f>IF(AND($M715=1,对接源_01水果!$D715="原料入库"),1,0)</f>
        <v>0</v>
      </c>
      <c r="AA715" s="3">
        <f t="shared" si="203"/>
        <v>24</v>
      </c>
      <c r="AB715" s="3">
        <f>IF(AND($M715=1,LEFT(对接源_01水果!$D715,4)="原料出库"),1,0)</f>
        <v>0</v>
      </c>
      <c r="AC715" s="3">
        <f t="shared" si="204"/>
        <v>0</v>
      </c>
      <c r="AD715" s="3">
        <f>IF(AND($M715=1,LEFT(对接源_01水果!$D715,4)="成品出库"),1,0)</f>
        <v>0</v>
      </c>
      <c r="AE715" s="3">
        <f t="shared" si="205"/>
        <v>0</v>
      </c>
      <c r="AF715" s="3">
        <f>IF(AND($N715=1,AND(LEFT(对接源_01水果!$D715,4)="包装物料",N(对接源_01水果!$K715)&lt;&gt;0)),1,0)</f>
        <v>0</v>
      </c>
      <c r="AG715" s="3">
        <f t="shared" si="206"/>
        <v>0</v>
      </c>
      <c r="AH715" s="3">
        <f>IF(AND($N715=1,AND(对接源_01水果!$D715="周转筐－销售出库",N(对接源_01水果!$K715)&lt;&gt;0)),1,0)</f>
        <v>0</v>
      </c>
      <c r="AI715" s="3">
        <f t="shared" si="207"/>
        <v>0</v>
      </c>
      <c r="AJ715" s="7"/>
      <c r="AL715" s="3">
        <f>IF(OR($AL$1="",对接源_01水果!$Y715="",对接源_01水果!$Y715&lt;&gt;$AL$1,对接源_01水果!$B715="",N(对接源_01水果!$AJ715)&lt;=0),0,IF(OR(N(对接源_01水果!$B715)&lt;$AL$2,N(对接源_01水果!$B715)&gt;$AL$3),0,1))</f>
        <v>0</v>
      </c>
      <c r="AM715" s="3">
        <f t="shared" si="208"/>
        <v>1</v>
      </c>
      <c r="AN715" s="3" t="str">
        <f>IF(对接源_01水果!$AC715="","",对接源_01水果!$AC715)</f>
        <v/>
      </c>
      <c r="AO715" s="3">
        <f t="shared" si="209"/>
        <v>0</v>
      </c>
      <c r="AP715" s="3">
        <f t="shared" si="210"/>
        <v>8</v>
      </c>
      <c r="AR715">
        <f t="shared" si="211"/>
        <v>0</v>
      </c>
      <c r="AS715">
        <f t="shared" si="212"/>
        <v>0</v>
      </c>
    </row>
    <row r="716" ht="14.25" customHeight="1" spans="1:45">
      <c r="A716" s="3" t="str">
        <f>IF(对接源_01水果!$C716="","",对接源_01水果!$C716)</f>
        <v/>
      </c>
      <c r="B716" s="3">
        <f t="shared" si="196"/>
        <v>0</v>
      </c>
      <c r="C716" s="3">
        <f t="shared" si="197"/>
        <v>18</v>
      </c>
      <c r="K716" s="3">
        <f>IF(OR($K$1="",对接源_01水果!$C716="",对接源_01水果!$C716&lt;&gt;$K$1,对接源_01水果!$B716=""),0,IF(OR(N(对接源_01水果!$B716)&lt;$K$2,N(对接源_01水果!$B716)&gt;$K$3),0,1))</f>
        <v>0</v>
      </c>
      <c r="L716" s="3">
        <f>IF(OR($L$1="",对接源_01水果!$C716="",对接源_01水果!$C716&lt;&gt;$L$1,对接源_01水果!$B716=""),0,IF(OR(N(对接源_01水果!$B716)&lt;$L$2,N(对接源_01水果!$B716)&gt;$L$3),0,1))</f>
        <v>0</v>
      </c>
      <c r="M716" s="3">
        <f>IF(OR($M$1="",对接源_01水果!$C716="",对接源_01水果!$C716&lt;&gt;$M$1,对接源_01水果!$B716=""),0,IF(OR(N(对接源_01水果!$B716)&lt;$M$2,N(对接源_01水果!$B716)&gt;$M$3),0,1))</f>
        <v>0</v>
      </c>
      <c r="N716" s="3">
        <f>IF(OR($N$1="",对接源_01水果!$C716="",对接源_01水果!$C716&lt;&gt;$N$1,对接源_01水果!$B716=""),0,IF(OR(N(对接源_01水果!$B716)&lt;$N$2,N(对接源_01水果!$B716)&gt;$N$3),0,1))</f>
        <v>0</v>
      </c>
      <c r="P716" s="3">
        <f>IF(AND($K716=1,AND(对接源_01水果!$X716="公司筐",N(对接源_01水果!$T716)&lt;&gt;0)),1,0)</f>
        <v>0</v>
      </c>
      <c r="Q716" s="3">
        <f t="shared" si="198"/>
        <v>0</v>
      </c>
      <c r="R716" s="3">
        <f>IF(AND($K716=1,AND(对接源_01水果!$X716="公司筐",N(对接源_01水果!$U716)&lt;&gt;0)),1,0)</f>
        <v>0</v>
      </c>
      <c r="S716" s="3">
        <f t="shared" si="199"/>
        <v>0</v>
      </c>
      <c r="T716" s="3">
        <f>IF(AND($K716=1,AND(对接源_01水果!$X716="公司筐",N(对接源_01水果!$V716)&lt;&gt;0)),1,0)</f>
        <v>0</v>
      </c>
      <c r="U716" s="3">
        <f t="shared" si="200"/>
        <v>19</v>
      </c>
      <c r="V716" s="3">
        <f>IF(AND($L716=1,AND(对接源_01水果!$X716="自备筐",N(对接源_01水果!$V716)&lt;&gt;0)),1,0)</f>
        <v>0</v>
      </c>
      <c r="W716" s="3">
        <f t="shared" si="201"/>
        <v>8</v>
      </c>
      <c r="X716" s="3">
        <f>IF(AND($L716=1,AND(对接源_01水果!$X716="自备筐",N(对接源_01水果!$T716)&lt;&gt;0)),1,0)</f>
        <v>0</v>
      </c>
      <c r="Y716" s="3">
        <f t="shared" si="202"/>
        <v>0</v>
      </c>
      <c r="Z716" s="3">
        <f>IF(AND($M716=1,对接源_01水果!$D716="原料入库"),1,0)</f>
        <v>0</v>
      </c>
      <c r="AA716" s="3">
        <f t="shared" si="203"/>
        <v>24</v>
      </c>
      <c r="AB716" s="3">
        <f>IF(AND($M716=1,LEFT(对接源_01水果!$D716,4)="原料出库"),1,0)</f>
        <v>0</v>
      </c>
      <c r="AC716" s="3">
        <f t="shared" si="204"/>
        <v>0</v>
      </c>
      <c r="AD716" s="3">
        <f>IF(AND($M716=1,LEFT(对接源_01水果!$D716,4)="成品出库"),1,0)</f>
        <v>0</v>
      </c>
      <c r="AE716" s="3">
        <f t="shared" si="205"/>
        <v>0</v>
      </c>
      <c r="AF716" s="3">
        <f>IF(AND($N716=1,AND(LEFT(对接源_01水果!$D716,4)="包装物料",N(对接源_01水果!$K716)&lt;&gt;0)),1,0)</f>
        <v>0</v>
      </c>
      <c r="AG716" s="3">
        <f t="shared" si="206"/>
        <v>0</v>
      </c>
      <c r="AH716" s="3">
        <f>IF(AND($N716=1,AND(对接源_01水果!$D716="周转筐－销售出库",N(对接源_01水果!$K716)&lt;&gt;0)),1,0)</f>
        <v>0</v>
      </c>
      <c r="AI716" s="3">
        <f t="shared" si="207"/>
        <v>0</v>
      </c>
      <c r="AJ716" s="7"/>
      <c r="AL716" s="3">
        <f>IF(OR($AL$1="",对接源_01水果!$Y716="",对接源_01水果!$Y716&lt;&gt;$AL$1,对接源_01水果!$B716="",N(对接源_01水果!$AJ716)&lt;=0),0,IF(OR(N(对接源_01水果!$B716)&lt;$AL$2,N(对接源_01水果!$B716)&gt;$AL$3),0,1))</f>
        <v>0</v>
      </c>
      <c r="AM716" s="3">
        <f t="shared" si="208"/>
        <v>1</v>
      </c>
      <c r="AN716" s="3" t="str">
        <f>IF(对接源_01水果!$AC716="","",对接源_01水果!$AC716)</f>
        <v/>
      </c>
      <c r="AO716" s="3">
        <f t="shared" si="209"/>
        <v>0</v>
      </c>
      <c r="AP716" s="3">
        <f t="shared" si="210"/>
        <v>8</v>
      </c>
      <c r="AR716">
        <f t="shared" si="211"/>
        <v>0</v>
      </c>
      <c r="AS716">
        <f t="shared" si="212"/>
        <v>0</v>
      </c>
    </row>
    <row r="717" ht="14.25" customHeight="1" spans="1:45">
      <c r="A717" s="3" t="str">
        <f>IF(对接源_01水果!$C717="","",对接源_01水果!$C717)</f>
        <v/>
      </c>
      <c r="B717" s="3">
        <f t="shared" si="196"/>
        <v>0</v>
      </c>
      <c r="C717" s="3">
        <f t="shared" si="197"/>
        <v>18</v>
      </c>
      <c r="K717" s="3">
        <f>IF(OR($K$1="",对接源_01水果!$C717="",对接源_01水果!$C717&lt;&gt;$K$1,对接源_01水果!$B717=""),0,IF(OR(N(对接源_01水果!$B717)&lt;$K$2,N(对接源_01水果!$B717)&gt;$K$3),0,1))</f>
        <v>0</v>
      </c>
      <c r="L717" s="3">
        <f>IF(OR($L$1="",对接源_01水果!$C717="",对接源_01水果!$C717&lt;&gt;$L$1,对接源_01水果!$B717=""),0,IF(OR(N(对接源_01水果!$B717)&lt;$L$2,N(对接源_01水果!$B717)&gt;$L$3),0,1))</f>
        <v>0</v>
      </c>
      <c r="M717" s="3">
        <f>IF(OR($M$1="",对接源_01水果!$C717="",对接源_01水果!$C717&lt;&gt;$M$1,对接源_01水果!$B717=""),0,IF(OR(N(对接源_01水果!$B717)&lt;$M$2,N(对接源_01水果!$B717)&gt;$M$3),0,1))</f>
        <v>0</v>
      </c>
      <c r="N717" s="3">
        <f>IF(OR($N$1="",对接源_01水果!$C717="",对接源_01水果!$C717&lt;&gt;$N$1,对接源_01水果!$B717=""),0,IF(OR(N(对接源_01水果!$B717)&lt;$N$2,N(对接源_01水果!$B717)&gt;$N$3),0,1))</f>
        <v>0</v>
      </c>
      <c r="P717" s="3">
        <f>IF(AND($K717=1,AND(对接源_01水果!$X717="公司筐",N(对接源_01水果!$T717)&lt;&gt;0)),1,0)</f>
        <v>0</v>
      </c>
      <c r="Q717" s="3">
        <f t="shared" si="198"/>
        <v>0</v>
      </c>
      <c r="R717" s="3">
        <f>IF(AND($K717=1,AND(对接源_01水果!$X717="公司筐",N(对接源_01水果!$U717)&lt;&gt;0)),1,0)</f>
        <v>0</v>
      </c>
      <c r="S717" s="3">
        <f t="shared" si="199"/>
        <v>0</v>
      </c>
      <c r="T717" s="3">
        <f>IF(AND($K717=1,AND(对接源_01水果!$X717="公司筐",N(对接源_01水果!$V717)&lt;&gt;0)),1,0)</f>
        <v>0</v>
      </c>
      <c r="U717" s="3">
        <f t="shared" si="200"/>
        <v>19</v>
      </c>
      <c r="V717" s="3">
        <f>IF(AND($L717=1,AND(对接源_01水果!$X717="自备筐",N(对接源_01水果!$V717)&lt;&gt;0)),1,0)</f>
        <v>0</v>
      </c>
      <c r="W717" s="3">
        <f t="shared" si="201"/>
        <v>8</v>
      </c>
      <c r="X717" s="3">
        <f>IF(AND($L717=1,AND(对接源_01水果!$X717="自备筐",N(对接源_01水果!$T717)&lt;&gt;0)),1,0)</f>
        <v>0</v>
      </c>
      <c r="Y717" s="3">
        <f t="shared" si="202"/>
        <v>0</v>
      </c>
      <c r="Z717" s="3">
        <f>IF(AND($M717=1,对接源_01水果!$D717="原料入库"),1,0)</f>
        <v>0</v>
      </c>
      <c r="AA717" s="3">
        <f t="shared" si="203"/>
        <v>24</v>
      </c>
      <c r="AB717" s="3">
        <f>IF(AND($M717=1,LEFT(对接源_01水果!$D717,4)="原料出库"),1,0)</f>
        <v>0</v>
      </c>
      <c r="AC717" s="3">
        <f t="shared" si="204"/>
        <v>0</v>
      </c>
      <c r="AD717" s="3">
        <f>IF(AND($M717=1,LEFT(对接源_01水果!$D717,4)="成品出库"),1,0)</f>
        <v>0</v>
      </c>
      <c r="AE717" s="3">
        <f t="shared" si="205"/>
        <v>0</v>
      </c>
      <c r="AF717" s="3">
        <f>IF(AND($N717=1,AND(LEFT(对接源_01水果!$D717,4)="包装物料",N(对接源_01水果!$K717)&lt;&gt;0)),1,0)</f>
        <v>0</v>
      </c>
      <c r="AG717" s="3">
        <f t="shared" si="206"/>
        <v>0</v>
      </c>
      <c r="AH717" s="3">
        <f>IF(AND($N717=1,AND(对接源_01水果!$D717="周转筐－销售出库",N(对接源_01水果!$K717)&lt;&gt;0)),1,0)</f>
        <v>0</v>
      </c>
      <c r="AI717" s="3">
        <f t="shared" si="207"/>
        <v>0</v>
      </c>
      <c r="AJ717" s="7"/>
      <c r="AL717" s="3">
        <f>IF(OR($AL$1="",对接源_01水果!$Y717="",对接源_01水果!$Y717&lt;&gt;$AL$1,对接源_01水果!$B717="",N(对接源_01水果!$AJ717)&lt;=0),0,IF(OR(N(对接源_01水果!$B717)&lt;$AL$2,N(对接源_01水果!$B717)&gt;$AL$3),0,1))</f>
        <v>0</v>
      </c>
      <c r="AM717" s="3">
        <f t="shared" si="208"/>
        <v>1</v>
      </c>
      <c r="AN717" s="3" t="str">
        <f>IF(对接源_01水果!$AC717="","",对接源_01水果!$AC717)</f>
        <v/>
      </c>
      <c r="AO717" s="3">
        <f t="shared" si="209"/>
        <v>0</v>
      </c>
      <c r="AP717" s="3">
        <f t="shared" si="210"/>
        <v>8</v>
      </c>
      <c r="AR717">
        <f t="shared" si="211"/>
        <v>0</v>
      </c>
      <c r="AS717">
        <f t="shared" si="212"/>
        <v>0</v>
      </c>
    </row>
    <row r="718" ht="14.25" customHeight="1" spans="1:45">
      <c r="A718" s="3" t="str">
        <f>IF(对接源_01水果!$C718="","",对接源_01水果!$C718)</f>
        <v/>
      </c>
      <c r="B718" s="3">
        <f t="shared" si="196"/>
        <v>0</v>
      </c>
      <c r="C718" s="3">
        <f t="shared" si="197"/>
        <v>18</v>
      </c>
      <c r="K718" s="3">
        <f>IF(OR($K$1="",对接源_01水果!$C718="",对接源_01水果!$C718&lt;&gt;$K$1,对接源_01水果!$B718=""),0,IF(OR(N(对接源_01水果!$B718)&lt;$K$2,N(对接源_01水果!$B718)&gt;$K$3),0,1))</f>
        <v>0</v>
      </c>
      <c r="L718" s="3">
        <f>IF(OR($L$1="",对接源_01水果!$C718="",对接源_01水果!$C718&lt;&gt;$L$1,对接源_01水果!$B718=""),0,IF(OR(N(对接源_01水果!$B718)&lt;$L$2,N(对接源_01水果!$B718)&gt;$L$3),0,1))</f>
        <v>0</v>
      </c>
      <c r="M718" s="3">
        <f>IF(OR($M$1="",对接源_01水果!$C718="",对接源_01水果!$C718&lt;&gt;$M$1,对接源_01水果!$B718=""),0,IF(OR(N(对接源_01水果!$B718)&lt;$M$2,N(对接源_01水果!$B718)&gt;$M$3),0,1))</f>
        <v>0</v>
      </c>
      <c r="N718" s="3">
        <f>IF(OR($N$1="",对接源_01水果!$C718="",对接源_01水果!$C718&lt;&gt;$N$1,对接源_01水果!$B718=""),0,IF(OR(N(对接源_01水果!$B718)&lt;$N$2,N(对接源_01水果!$B718)&gt;$N$3),0,1))</f>
        <v>0</v>
      </c>
      <c r="P718" s="3">
        <f>IF(AND($K718=1,AND(对接源_01水果!$X718="公司筐",N(对接源_01水果!$T718)&lt;&gt;0)),1,0)</f>
        <v>0</v>
      </c>
      <c r="Q718" s="3">
        <f t="shared" si="198"/>
        <v>0</v>
      </c>
      <c r="R718" s="3">
        <f>IF(AND($K718=1,AND(对接源_01水果!$X718="公司筐",N(对接源_01水果!$U718)&lt;&gt;0)),1,0)</f>
        <v>0</v>
      </c>
      <c r="S718" s="3">
        <f t="shared" si="199"/>
        <v>0</v>
      </c>
      <c r="T718" s="3">
        <f>IF(AND($K718=1,AND(对接源_01水果!$X718="公司筐",N(对接源_01水果!$V718)&lt;&gt;0)),1,0)</f>
        <v>0</v>
      </c>
      <c r="U718" s="3">
        <f t="shared" si="200"/>
        <v>19</v>
      </c>
      <c r="V718" s="3">
        <f>IF(AND($L718=1,AND(对接源_01水果!$X718="自备筐",N(对接源_01水果!$V718)&lt;&gt;0)),1,0)</f>
        <v>0</v>
      </c>
      <c r="W718" s="3">
        <f t="shared" si="201"/>
        <v>8</v>
      </c>
      <c r="X718" s="3">
        <f>IF(AND($L718=1,AND(对接源_01水果!$X718="自备筐",N(对接源_01水果!$T718)&lt;&gt;0)),1,0)</f>
        <v>0</v>
      </c>
      <c r="Y718" s="3">
        <f t="shared" si="202"/>
        <v>0</v>
      </c>
      <c r="Z718" s="3">
        <f>IF(AND($M718=1,对接源_01水果!$D718="原料入库"),1,0)</f>
        <v>0</v>
      </c>
      <c r="AA718" s="3">
        <f t="shared" si="203"/>
        <v>24</v>
      </c>
      <c r="AB718" s="3">
        <f>IF(AND($M718=1,LEFT(对接源_01水果!$D718,4)="原料出库"),1,0)</f>
        <v>0</v>
      </c>
      <c r="AC718" s="3">
        <f t="shared" si="204"/>
        <v>0</v>
      </c>
      <c r="AD718" s="3">
        <f>IF(AND($M718=1,LEFT(对接源_01水果!$D718,4)="成品出库"),1,0)</f>
        <v>0</v>
      </c>
      <c r="AE718" s="3">
        <f t="shared" si="205"/>
        <v>0</v>
      </c>
      <c r="AF718" s="3">
        <f>IF(AND($N718=1,AND(LEFT(对接源_01水果!$D718,4)="包装物料",N(对接源_01水果!$K718)&lt;&gt;0)),1,0)</f>
        <v>0</v>
      </c>
      <c r="AG718" s="3">
        <f t="shared" si="206"/>
        <v>0</v>
      </c>
      <c r="AH718" s="3">
        <f>IF(AND($N718=1,AND(对接源_01水果!$D718="周转筐－销售出库",N(对接源_01水果!$K718)&lt;&gt;0)),1,0)</f>
        <v>0</v>
      </c>
      <c r="AI718" s="3">
        <f t="shared" si="207"/>
        <v>0</v>
      </c>
      <c r="AJ718" s="7"/>
      <c r="AL718" s="3">
        <f>IF(OR($AL$1="",对接源_01水果!$Y718="",对接源_01水果!$Y718&lt;&gt;$AL$1,对接源_01水果!$B718="",N(对接源_01水果!$AJ718)&lt;=0),0,IF(OR(N(对接源_01水果!$B718)&lt;$AL$2,N(对接源_01水果!$B718)&gt;$AL$3),0,1))</f>
        <v>0</v>
      </c>
      <c r="AM718" s="3">
        <f t="shared" si="208"/>
        <v>1</v>
      </c>
      <c r="AN718" s="3" t="str">
        <f>IF(对接源_01水果!$AC718="","",对接源_01水果!$AC718)</f>
        <v/>
      </c>
      <c r="AO718" s="3">
        <f t="shared" si="209"/>
        <v>0</v>
      </c>
      <c r="AP718" s="3">
        <f t="shared" si="210"/>
        <v>8</v>
      </c>
      <c r="AR718">
        <f t="shared" si="211"/>
        <v>0</v>
      </c>
      <c r="AS718">
        <f t="shared" si="212"/>
        <v>0</v>
      </c>
    </row>
    <row r="719" ht="14.25" customHeight="1" spans="1:45">
      <c r="A719" s="3" t="str">
        <f>IF(对接源_01水果!$C719="","",对接源_01水果!$C719)</f>
        <v/>
      </c>
      <c r="B719" s="3">
        <f t="shared" si="196"/>
        <v>0</v>
      </c>
      <c r="C719" s="3">
        <f t="shared" si="197"/>
        <v>18</v>
      </c>
      <c r="K719" s="3">
        <f>IF(OR($K$1="",对接源_01水果!$C719="",对接源_01水果!$C719&lt;&gt;$K$1,对接源_01水果!$B719=""),0,IF(OR(N(对接源_01水果!$B719)&lt;$K$2,N(对接源_01水果!$B719)&gt;$K$3),0,1))</f>
        <v>0</v>
      </c>
      <c r="L719" s="3">
        <f>IF(OR($L$1="",对接源_01水果!$C719="",对接源_01水果!$C719&lt;&gt;$L$1,对接源_01水果!$B719=""),0,IF(OR(N(对接源_01水果!$B719)&lt;$L$2,N(对接源_01水果!$B719)&gt;$L$3),0,1))</f>
        <v>0</v>
      </c>
      <c r="M719" s="3">
        <f>IF(OR($M$1="",对接源_01水果!$C719="",对接源_01水果!$C719&lt;&gt;$M$1,对接源_01水果!$B719=""),0,IF(OR(N(对接源_01水果!$B719)&lt;$M$2,N(对接源_01水果!$B719)&gt;$M$3),0,1))</f>
        <v>0</v>
      </c>
      <c r="N719" s="3">
        <f>IF(OR($N$1="",对接源_01水果!$C719="",对接源_01水果!$C719&lt;&gt;$N$1,对接源_01水果!$B719=""),0,IF(OR(N(对接源_01水果!$B719)&lt;$N$2,N(对接源_01水果!$B719)&gt;$N$3),0,1))</f>
        <v>0</v>
      </c>
      <c r="P719" s="3">
        <f>IF(AND($K719=1,AND(对接源_01水果!$X719="公司筐",N(对接源_01水果!$T719)&lt;&gt;0)),1,0)</f>
        <v>0</v>
      </c>
      <c r="Q719" s="3">
        <f t="shared" si="198"/>
        <v>0</v>
      </c>
      <c r="R719" s="3">
        <f>IF(AND($K719=1,AND(对接源_01水果!$X719="公司筐",N(对接源_01水果!$U719)&lt;&gt;0)),1,0)</f>
        <v>0</v>
      </c>
      <c r="S719" s="3">
        <f t="shared" si="199"/>
        <v>0</v>
      </c>
      <c r="T719" s="3">
        <f>IF(AND($K719=1,AND(对接源_01水果!$X719="公司筐",N(对接源_01水果!$V719)&lt;&gt;0)),1,0)</f>
        <v>0</v>
      </c>
      <c r="U719" s="3">
        <f t="shared" si="200"/>
        <v>19</v>
      </c>
      <c r="V719" s="3">
        <f>IF(AND($L719=1,AND(对接源_01水果!$X719="自备筐",N(对接源_01水果!$V719)&lt;&gt;0)),1,0)</f>
        <v>0</v>
      </c>
      <c r="W719" s="3">
        <f t="shared" si="201"/>
        <v>8</v>
      </c>
      <c r="X719" s="3">
        <f>IF(AND($L719=1,AND(对接源_01水果!$X719="自备筐",N(对接源_01水果!$T719)&lt;&gt;0)),1,0)</f>
        <v>0</v>
      </c>
      <c r="Y719" s="3">
        <f t="shared" si="202"/>
        <v>0</v>
      </c>
      <c r="Z719" s="3">
        <f>IF(AND($M719=1,对接源_01水果!$D719="原料入库"),1,0)</f>
        <v>0</v>
      </c>
      <c r="AA719" s="3">
        <f t="shared" si="203"/>
        <v>24</v>
      </c>
      <c r="AB719" s="3">
        <f>IF(AND($M719=1,LEFT(对接源_01水果!$D719,4)="原料出库"),1,0)</f>
        <v>0</v>
      </c>
      <c r="AC719" s="3">
        <f t="shared" si="204"/>
        <v>0</v>
      </c>
      <c r="AD719" s="3">
        <f>IF(AND($M719=1,LEFT(对接源_01水果!$D719,4)="成品出库"),1,0)</f>
        <v>0</v>
      </c>
      <c r="AE719" s="3">
        <f t="shared" si="205"/>
        <v>0</v>
      </c>
      <c r="AF719" s="3">
        <f>IF(AND($N719=1,AND(LEFT(对接源_01水果!$D719,4)="包装物料",N(对接源_01水果!$K719)&lt;&gt;0)),1,0)</f>
        <v>0</v>
      </c>
      <c r="AG719" s="3">
        <f t="shared" si="206"/>
        <v>0</v>
      </c>
      <c r="AH719" s="3">
        <f>IF(AND($N719=1,AND(对接源_01水果!$D719="周转筐－销售出库",N(对接源_01水果!$K719)&lt;&gt;0)),1,0)</f>
        <v>0</v>
      </c>
      <c r="AI719" s="3">
        <f t="shared" si="207"/>
        <v>0</v>
      </c>
      <c r="AJ719" s="7"/>
      <c r="AL719" s="3">
        <f>IF(OR($AL$1="",对接源_01水果!$Y719="",对接源_01水果!$Y719&lt;&gt;$AL$1,对接源_01水果!$B719="",N(对接源_01水果!$AJ719)&lt;=0),0,IF(OR(N(对接源_01水果!$B719)&lt;$AL$2,N(对接源_01水果!$B719)&gt;$AL$3),0,1))</f>
        <v>0</v>
      </c>
      <c r="AM719" s="3">
        <f t="shared" si="208"/>
        <v>1</v>
      </c>
      <c r="AN719" s="3" t="str">
        <f>IF(对接源_01水果!$AC719="","",对接源_01水果!$AC719)</f>
        <v/>
      </c>
      <c r="AO719" s="3">
        <f t="shared" si="209"/>
        <v>0</v>
      </c>
      <c r="AP719" s="3">
        <f t="shared" si="210"/>
        <v>8</v>
      </c>
      <c r="AR719">
        <f t="shared" si="211"/>
        <v>0</v>
      </c>
      <c r="AS719">
        <f t="shared" si="212"/>
        <v>0</v>
      </c>
    </row>
    <row r="720" ht="14.25" customHeight="1" spans="1:45">
      <c r="A720" s="3" t="str">
        <f>IF(对接源_01水果!$C720="","",对接源_01水果!$C720)</f>
        <v/>
      </c>
      <c r="B720" s="3">
        <f t="shared" si="196"/>
        <v>0</v>
      </c>
      <c r="C720" s="3">
        <f t="shared" si="197"/>
        <v>18</v>
      </c>
      <c r="K720" s="3">
        <f>IF(OR($K$1="",对接源_01水果!$C720="",对接源_01水果!$C720&lt;&gt;$K$1,对接源_01水果!$B720=""),0,IF(OR(N(对接源_01水果!$B720)&lt;$K$2,N(对接源_01水果!$B720)&gt;$K$3),0,1))</f>
        <v>0</v>
      </c>
      <c r="L720" s="3">
        <f>IF(OR($L$1="",对接源_01水果!$C720="",对接源_01水果!$C720&lt;&gt;$L$1,对接源_01水果!$B720=""),0,IF(OR(N(对接源_01水果!$B720)&lt;$L$2,N(对接源_01水果!$B720)&gt;$L$3),0,1))</f>
        <v>0</v>
      </c>
      <c r="M720" s="3">
        <f>IF(OR($M$1="",对接源_01水果!$C720="",对接源_01水果!$C720&lt;&gt;$M$1,对接源_01水果!$B720=""),0,IF(OR(N(对接源_01水果!$B720)&lt;$M$2,N(对接源_01水果!$B720)&gt;$M$3),0,1))</f>
        <v>0</v>
      </c>
      <c r="N720" s="3">
        <f>IF(OR($N$1="",对接源_01水果!$C720="",对接源_01水果!$C720&lt;&gt;$N$1,对接源_01水果!$B720=""),0,IF(OR(N(对接源_01水果!$B720)&lt;$N$2,N(对接源_01水果!$B720)&gt;$N$3),0,1))</f>
        <v>0</v>
      </c>
      <c r="P720" s="3">
        <f>IF(AND($K720=1,AND(对接源_01水果!$X720="公司筐",N(对接源_01水果!$T720)&lt;&gt;0)),1,0)</f>
        <v>0</v>
      </c>
      <c r="Q720" s="3">
        <f t="shared" si="198"/>
        <v>0</v>
      </c>
      <c r="R720" s="3">
        <f>IF(AND($K720=1,AND(对接源_01水果!$X720="公司筐",N(对接源_01水果!$U720)&lt;&gt;0)),1,0)</f>
        <v>0</v>
      </c>
      <c r="S720" s="3">
        <f t="shared" si="199"/>
        <v>0</v>
      </c>
      <c r="T720" s="3">
        <f>IF(AND($K720=1,AND(对接源_01水果!$X720="公司筐",N(对接源_01水果!$V720)&lt;&gt;0)),1,0)</f>
        <v>0</v>
      </c>
      <c r="U720" s="3">
        <f t="shared" si="200"/>
        <v>19</v>
      </c>
      <c r="V720" s="3">
        <f>IF(AND($L720=1,AND(对接源_01水果!$X720="自备筐",N(对接源_01水果!$V720)&lt;&gt;0)),1,0)</f>
        <v>0</v>
      </c>
      <c r="W720" s="3">
        <f t="shared" si="201"/>
        <v>8</v>
      </c>
      <c r="X720" s="3">
        <f>IF(AND($L720=1,AND(对接源_01水果!$X720="自备筐",N(对接源_01水果!$T720)&lt;&gt;0)),1,0)</f>
        <v>0</v>
      </c>
      <c r="Y720" s="3">
        <f t="shared" si="202"/>
        <v>0</v>
      </c>
      <c r="Z720" s="3">
        <f>IF(AND($M720=1,对接源_01水果!$D720="原料入库"),1,0)</f>
        <v>0</v>
      </c>
      <c r="AA720" s="3">
        <f t="shared" si="203"/>
        <v>24</v>
      </c>
      <c r="AB720" s="3">
        <f>IF(AND($M720=1,LEFT(对接源_01水果!$D720,4)="原料出库"),1,0)</f>
        <v>0</v>
      </c>
      <c r="AC720" s="3">
        <f t="shared" si="204"/>
        <v>0</v>
      </c>
      <c r="AD720" s="3">
        <f>IF(AND($M720=1,LEFT(对接源_01水果!$D720,4)="成品出库"),1,0)</f>
        <v>0</v>
      </c>
      <c r="AE720" s="3">
        <f t="shared" si="205"/>
        <v>0</v>
      </c>
      <c r="AF720" s="3">
        <f>IF(AND($N720=1,AND(LEFT(对接源_01水果!$D720,4)="包装物料",N(对接源_01水果!$K720)&lt;&gt;0)),1,0)</f>
        <v>0</v>
      </c>
      <c r="AG720" s="3">
        <f t="shared" si="206"/>
        <v>0</v>
      </c>
      <c r="AH720" s="3">
        <f>IF(AND($N720=1,AND(对接源_01水果!$D720="周转筐－销售出库",N(对接源_01水果!$K720)&lt;&gt;0)),1,0)</f>
        <v>0</v>
      </c>
      <c r="AI720" s="3">
        <f t="shared" si="207"/>
        <v>0</v>
      </c>
      <c r="AJ720" s="7"/>
      <c r="AL720" s="3">
        <f>IF(OR($AL$1="",对接源_01水果!$Y720="",对接源_01水果!$Y720&lt;&gt;$AL$1,对接源_01水果!$B720="",N(对接源_01水果!$AJ720)&lt;=0),0,IF(OR(N(对接源_01水果!$B720)&lt;$AL$2,N(对接源_01水果!$B720)&gt;$AL$3),0,1))</f>
        <v>0</v>
      </c>
      <c r="AM720" s="3">
        <f t="shared" si="208"/>
        <v>1</v>
      </c>
      <c r="AN720" s="3" t="str">
        <f>IF(对接源_01水果!$AC720="","",对接源_01水果!$AC720)</f>
        <v/>
      </c>
      <c r="AO720" s="3">
        <f t="shared" si="209"/>
        <v>0</v>
      </c>
      <c r="AP720" s="3">
        <f t="shared" si="210"/>
        <v>8</v>
      </c>
      <c r="AR720">
        <f t="shared" si="211"/>
        <v>0</v>
      </c>
      <c r="AS720">
        <f t="shared" si="212"/>
        <v>0</v>
      </c>
    </row>
    <row r="721" ht="14.25" customHeight="1" spans="1:45">
      <c r="A721" s="3" t="str">
        <f>IF(对接源_01水果!$C721="","",对接源_01水果!$C721)</f>
        <v/>
      </c>
      <c r="B721" s="3">
        <f t="shared" si="196"/>
        <v>0</v>
      </c>
      <c r="C721" s="3">
        <f t="shared" si="197"/>
        <v>18</v>
      </c>
      <c r="K721" s="3">
        <f>IF(OR($K$1="",对接源_01水果!$C721="",对接源_01水果!$C721&lt;&gt;$K$1,对接源_01水果!$B721=""),0,IF(OR(N(对接源_01水果!$B721)&lt;$K$2,N(对接源_01水果!$B721)&gt;$K$3),0,1))</f>
        <v>0</v>
      </c>
      <c r="L721" s="3">
        <f>IF(OR($L$1="",对接源_01水果!$C721="",对接源_01水果!$C721&lt;&gt;$L$1,对接源_01水果!$B721=""),0,IF(OR(N(对接源_01水果!$B721)&lt;$L$2,N(对接源_01水果!$B721)&gt;$L$3),0,1))</f>
        <v>0</v>
      </c>
      <c r="M721" s="3">
        <f>IF(OR($M$1="",对接源_01水果!$C721="",对接源_01水果!$C721&lt;&gt;$M$1,对接源_01水果!$B721=""),0,IF(OR(N(对接源_01水果!$B721)&lt;$M$2,N(对接源_01水果!$B721)&gt;$M$3),0,1))</f>
        <v>0</v>
      </c>
      <c r="N721" s="3">
        <f>IF(OR($N$1="",对接源_01水果!$C721="",对接源_01水果!$C721&lt;&gt;$N$1,对接源_01水果!$B721=""),0,IF(OR(N(对接源_01水果!$B721)&lt;$N$2,N(对接源_01水果!$B721)&gt;$N$3),0,1))</f>
        <v>0</v>
      </c>
      <c r="P721" s="3">
        <f>IF(AND($K721=1,AND(对接源_01水果!$X721="公司筐",N(对接源_01水果!$T721)&lt;&gt;0)),1,0)</f>
        <v>0</v>
      </c>
      <c r="Q721" s="3">
        <f t="shared" si="198"/>
        <v>0</v>
      </c>
      <c r="R721" s="3">
        <f>IF(AND($K721=1,AND(对接源_01水果!$X721="公司筐",N(对接源_01水果!$U721)&lt;&gt;0)),1,0)</f>
        <v>0</v>
      </c>
      <c r="S721" s="3">
        <f t="shared" si="199"/>
        <v>0</v>
      </c>
      <c r="T721" s="3">
        <f>IF(AND($K721=1,AND(对接源_01水果!$X721="公司筐",N(对接源_01水果!$V721)&lt;&gt;0)),1,0)</f>
        <v>0</v>
      </c>
      <c r="U721" s="3">
        <f t="shared" si="200"/>
        <v>19</v>
      </c>
      <c r="V721" s="3">
        <f>IF(AND($L721=1,AND(对接源_01水果!$X721="自备筐",N(对接源_01水果!$V721)&lt;&gt;0)),1,0)</f>
        <v>0</v>
      </c>
      <c r="W721" s="3">
        <f t="shared" si="201"/>
        <v>8</v>
      </c>
      <c r="X721" s="3">
        <f>IF(AND($L721=1,AND(对接源_01水果!$X721="自备筐",N(对接源_01水果!$T721)&lt;&gt;0)),1,0)</f>
        <v>0</v>
      </c>
      <c r="Y721" s="3">
        <f t="shared" si="202"/>
        <v>0</v>
      </c>
      <c r="Z721" s="3">
        <f>IF(AND($M721=1,对接源_01水果!$D721="原料入库"),1,0)</f>
        <v>0</v>
      </c>
      <c r="AA721" s="3">
        <f t="shared" si="203"/>
        <v>24</v>
      </c>
      <c r="AB721" s="3">
        <f>IF(AND($M721=1,LEFT(对接源_01水果!$D721,4)="原料出库"),1,0)</f>
        <v>0</v>
      </c>
      <c r="AC721" s="3">
        <f t="shared" si="204"/>
        <v>0</v>
      </c>
      <c r="AD721" s="3">
        <f>IF(AND($M721=1,LEFT(对接源_01水果!$D721,4)="成品出库"),1,0)</f>
        <v>0</v>
      </c>
      <c r="AE721" s="3">
        <f t="shared" si="205"/>
        <v>0</v>
      </c>
      <c r="AF721" s="3">
        <f>IF(AND($N721=1,AND(LEFT(对接源_01水果!$D721,4)="包装物料",N(对接源_01水果!$K721)&lt;&gt;0)),1,0)</f>
        <v>0</v>
      </c>
      <c r="AG721" s="3">
        <f t="shared" si="206"/>
        <v>0</v>
      </c>
      <c r="AH721" s="3">
        <f>IF(AND($N721=1,AND(对接源_01水果!$D721="周转筐－销售出库",N(对接源_01水果!$K721)&lt;&gt;0)),1,0)</f>
        <v>0</v>
      </c>
      <c r="AI721" s="3">
        <f t="shared" si="207"/>
        <v>0</v>
      </c>
      <c r="AJ721" s="7"/>
      <c r="AL721" s="3">
        <f>IF(OR($AL$1="",对接源_01水果!$Y721="",对接源_01水果!$Y721&lt;&gt;$AL$1,对接源_01水果!$B721="",N(对接源_01水果!$AJ721)&lt;=0),0,IF(OR(N(对接源_01水果!$B721)&lt;$AL$2,N(对接源_01水果!$B721)&gt;$AL$3),0,1))</f>
        <v>0</v>
      </c>
      <c r="AM721" s="3">
        <f t="shared" si="208"/>
        <v>1</v>
      </c>
      <c r="AN721" s="3" t="str">
        <f>IF(对接源_01水果!$AC721="","",对接源_01水果!$AC721)</f>
        <v/>
      </c>
      <c r="AO721" s="3">
        <f t="shared" si="209"/>
        <v>0</v>
      </c>
      <c r="AP721" s="3">
        <f t="shared" si="210"/>
        <v>8</v>
      </c>
      <c r="AR721">
        <f t="shared" si="211"/>
        <v>0</v>
      </c>
      <c r="AS721">
        <f t="shared" si="212"/>
        <v>0</v>
      </c>
    </row>
    <row r="722" ht="14.25" customHeight="1" spans="1:45">
      <c r="A722" s="3" t="str">
        <f>IF(对接源_01水果!$C722="","",对接源_01水果!$C722)</f>
        <v/>
      </c>
      <c r="B722" s="3">
        <f t="shared" si="196"/>
        <v>0</v>
      </c>
      <c r="C722" s="3">
        <f t="shared" si="197"/>
        <v>18</v>
      </c>
      <c r="K722" s="3">
        <f>IF(OR($K$1="",对接源_01水果!$C722="",对接源_01水果!$C722&lt;&gt;$K$1,对接源_01水果!$B722=""),0,IF(OR(N(对接源_01水果!$B722)&lt;$K$2,N(对接源_01水果!$B722)&gt;$K$3),0,1))</f>
        <v>0</v>
      </c>
      <c r="L722" s="3">
        <f>IF(OR($L$1="",对接源_01水果!$C722="",对接源_01水果!$C722&lt;&gt;$L$1,对接源_01水果!$B722=""),0,IF(OR(N(对接源_01水果!$B722)&lt;$L$2,N(对接源_01水果!$B722)&gt;$L$3),0,1))</f>
        <v>0</v>
      </c>
      <c r="M722" s="3">
        <f>IF(OR($M$1="",对接源_01水果!$C722="",对接源_01水果!$C722&lt;&gt;$M$1,对接源_01水果!$B722=""),0,IF(OR(N(对接源_01水果!$B722)&lt;$M$2,N(对接源_01水果!$B722)&gt;$M$3),0,1))</f>
        <v>0</v>
      </c>
      <c r="N722" s="3">
        <f>IF(OR($N$1="",对接源_01水果!$C722="",对接源_01水果!$C722&lt;&gt;$N$1,对接源_01水果!$B722=""),0,IF(OR(N(对接源_01水果!$B722)&lt;$N$2,N(对接源_01水果!$B722)&gt;$N$3),0,1))</f>
        <v>0</v>
      </c>
      <c r="P722" s="3">
        <f>IF(AND($K722=1,AND(对接源_01水果!$X722="公司筐",N(对接源_01水果!$T722)&lt;&gt;0)),1,0)</f>
        <v>0</v>
      </c>
      <c r="Q722" s="3">
        <f t="shared" si="198"/>
        <v>0</v>
      </c>
      <c r="R722" s="3">
        <f>IF(AND($K722=1,AND(对接源_01水果!$X722="公司筐",N(对接源_01水果!$U722)&lt;&gt;0)),1,0)</f>
        <v>0</v>
      </c>
      <c r="S722" s="3">
        <f t="shared" si="199"/>
        <v>0</v>
      </c>
      <c r="T722" s="3">
        <f>IF(AND($K722=1,AND(对接源_01水果!$X722="公司筐",N(对接源_01水果!$V722)&lt;&gt;0)),1,0)</f>
        <v>0</v>
      </c>
      <c r="U722" s="3">
        <f t="shared" si="200"/>
        <v>19</v>
      </c>
      <c r="V722" s="3">
        <f>IF(AND($L722=1,AND(对接源_01水果!$X722="自备筐",N(对接源_01水果!$V722)&lt;&gt;0)),1,0)</f>
        <v>0</v>
      </c>
      <c r="W722" s="3">
        <f t="shared" si="201"/>
        <v>8</v>
      </c>
      <c r="X722" s="3">
        <f>IF(AND($L722=1,AND(对接源_01水果!$X722="自备筐",N(对接源_01水果!$T722)&lt;&gt;0)),1,0)</f>
        <v>0</v>
      </c>
      <c r="Y722" s="3">
        <f t="shared" si="202"/>
        <v>0</v>
      </c>
      <c r="Z722" s="3">
        <f>IF(AND($M722=1,对接源_01水果!$D722="原料入库"),1,0)</f>
        <v>0</v>
      </c>
      <c r="AA722" s="3">
        <f t="shared" si="203"/>
        <v>24</v>
      </c>
      <c r="AB722" s="3">
        <f>IF(AND($M722=1,LEFT(对接源_01水果!$D722,4)="原料出库"),1,0)</f>
        <v>0</v>
      </c>
      <c r="AC722" s="3">
        <f t="shared" si="204"/>
        <v>0</v>
      </c>
      <c r="AD722" s="3">
        <f>IF(AND($M722=1,LEFT(对接源_01水果!$D722,4)="成品出库"),1,0)</f>
        <v>0</v>
      </c>
      <c r="AE722" s="3">
        <f t="shared" si="205"/>
        <v>0</v>
      </c>
      <c r="AF722" s="3">
        <f>IF(AND($N722=1,AND(LEFT(对接源_01水果!$D722,4)="包装物料",N(对接源_01水果!$K722)&lt;&gt;0)),1,0)</f>
        <v>0</v>
      </c>
      <c r="AG722" s="3">
        <f t="shared" si="206"/>
        <v>0</v>
      </c>
      <c r="AH722" s="3">
        <f>IF(AND($N722=1,AND(对接源_01水果!$D722="周转筐－销售出库",N(对接源_01水果!$K722)&lt;&gt;0)),1,0)</f>
        <v>0</v>
      </c>
      <c r="AI722" s="3">
        <f t="shared" si="207"/>
        <v>0</v>
      </c>
      <c r="AJ722" s="7"/>
      <c r="AL722" s="3">
        <f>IF(OR($AL$1="",对接源_01水果!$Y722="",对接源_01水果!$Y722&lt;&gt;$AL$1,对接源_01水果!$B722="",N(对接源_01水果!$AJ722)&lt;=0),0,IF(OR(N(对接源_01水果!$B722)&lt;$AL$2,N(对接源_01水果!$B722)&gt;$AL$3),0,1))</f>
        <v>0</v>
      </c>
      <c r="AM722" s="3">
        <f t="shared" si="208"/>
        <v>1</v>
      </c>
      <c r="AN722" s="3" t="str">
        <f>IF(对接源_01水果!$AC722="","",对接源_01水果!$AC722)</f>
        <v/>
      </c>
      <c r="AO722" s="3">
        <f t="shared" si="209"/>
        <v>0</v>
      </c>
      <c r="AP722" s="3">
        <f t="shared" si="210"/>
        <v>8</v>
      </c>
      <c r="AR722">
        <f t="shared" si="211"/>
        <v>0</v>
      </c>
      <c r="AS722">
        <f t="shared" si="212"/>
        <v>0</v>
      </c>
    </row>
    <row r="723" ht="14.25" customHeight="1" spans="1:45">
      <c r="A723" s="3" t="str">
        <f>IF(对接源_01水果!$C723="","",对接源_01水果!$C723)</f>
        <v/>
      </c>
      <c r="B723" s="3">
        <f t="shared" si="196"/>
        <v>0</v>
      </c>
      <c r="C723" s="3">
        <f t="shared" si="197"/>
        <v>18</v>
      </c>
      <c r="K723" s="3">
        <f>IF(OR($K$1="",对接源_01水果!$C723="",对接源_01水果!$C723&lt;&gt;$K$1,对接源_01水果!$B723=""),0,IF(OR(N(对接源_01水果!$B723)&lt;$K$2,N(对接源_01水果!$B723)&gt;$K$3),0,1))</f>
        <v>0</v>
      </c>
      <c r="L723" s="3">
        <f>IF(OR($L$1="",对接源_01水果!$C723="",对接源_01水果!$C723&lt;&gt;$L$1,对接源_01水果!$B723=""),0,IF(OR(N(对接源_01水果!$B723)&lt;$L$2,N(对接源_01水果!$B723)&gt;$L$3),0,1))</f>
        <v>0</v>
      </c>
      <c r="M723" s="3">
        <f>IF(OR($M$1="",对接源_01水果!$C723="",对接源_01水果!$C723&lt;&gt;$M$1,对接源_01水果!$B723=""),0,IF(OR(N(对接源_01水果!$B723)&lt;$M$2,N(对接源_01水果!$B723)&gt;$M$3),0,1))</f>
        <v>0</v>
      </c>
      <c r="N723" s="3">
        <f>IF(OR($N$1="",对接源_01水果!$C723="",对接源_01水果!$C723&lt;&gt;$N$1,对接源_01水果!$B723=""),0,IF(OR(N(对接源_01水果!$B723)&lt;$N$2,N(对接源_01水果!$B723)&gt;$N$3),0,1))</f>
        <v>0</v>
      </c>
      <c r="P723" s="3">
        <f>IF(AND($K723=1,AND(对接源_01水果!$X723="公司筐",N(对接源_01水果!$T723)&lt;&gt;0)),1,0)</f>
        <v>0</v>
      </c>
      <c r="Q723" s="3">
        <f t="shared" si="198"/>
        <v>0</v>
      </c>
      <c r="R723" s="3">
        <f>IF(AND($K723=1,AND(对接源_01水果!$X723="公司筐",N(对接源_01水果!$U723)&lt;&gt;0)),1,0)</f>
        <v>0</v>
      </c>
      <c r="S723" s="3">
        <f t="shared" si="199"/>
        <v>0</v>
      </c>
      <c r="T723" s="3">
        <f>IF(AND($K723=1,AND(对接源_01水果!$X723="公司筐",N(对接源_01水果!$V723)&lt;&gt;0)),1,0)</f>
        <v>0</v>
      </c>
      <c r="U723" s="3">
        <f t="shared" si="200"/>
        <v>19</v>
      </c>
      <c r="V723" s="3">
        <f>IF(AND($L723=1,AND(对接源_01水果!$X723="自备筐",N(对接源_01水果!$V723)&lt;&gt;0)),1,0)</f>
        <v>0</v>
      </c>
      <c r="W723" s="3">
        <f t="shared" si="201"/>
        <v>8</v>
      </c>
      <c r="X723" s="3">
        <f>IF(AND($L723=1,AND(对接源_01水果!$X723="自备筐",N(对接源_01水果!$T723)&lt;&gt;0)),1,0)</f>
        <v>0</v>
      </c>
      <c r="Y723" s="3">
        <f t="shared" si="202"/>
        <v>0</v>
      </c>
      <c r="Z723" s="3">
        <f>IF(AND($M723=1,对接源_01水果!$D723="原料入库"),1,0)</f>
        <v>0</v>
      </c>
      <c r="AA723" s="3">
        <f t="shared" si="203"/>
        <v>24</v>
      </c>
      <c r="AB723" s="3">
        <f>IF(AND($M723=1,LEFT(对接源_01水果!$D723,4)="原料出库"),1,0)</f>
        <v>0</v>
      </c>
      <c r="AC723" s="3">
        <f t="shared" si="204"/>
        <v>0</v>
      </c>
      <c r="AD723" s="3">
        <f>IF(AND($M723=1,LEFT(对接源_01水果!$D723,4)="成品出库"),1,0)</f>
        <v>0</v>
      </c>
      <c r="AE723" s="3">
        <f t="shared" si="205"/>
        <v>0</v>
      </c>
      <c r="AF723" s="3">
        <f>IF(AND($N723=1,AND(LEFT(对接源_01水果!$D723,4)="包装物料",N(对接源_01水果!$K723)&lt;&gt;0)),1,0)</f>
        <v>0</v>
      </c>
      <c r="AG723" s="3">
        <f t="shared" si="206"/>
        <v>0</v>
      </c>
      <c r="AH723" s="3">
        <f>IF(AND($N723=1,AND(对接源_01水果!$D723="周转筐－销售出库",N(对接源_01水果!$K723)&lt;&gt;0)),1,0)</f>
        <v>0</v>
      </c>
      <c r="AI723" s="3">
        <f t="shared" si="207"/>
        <v>0</v>
      </c>
      <c r="AJ723" s="7"/>
      <c r="AL723" s="3">
        <f>IF(OR($AL$1="",对接源_01水果!$Y723="",对接源_01水果!$Y723&lt;&gt;$AL$1,对接源_01水果!$B723="",N(对接源_01水果!$AJ723)&lt;=0),0,IF(OR(N(对接源_01水果!$B723)&lt;$AL$2,N(对接源_01水果!$B723)&gt;$AL$3),0,1))</f>
        <v>0</v>
      </c>
      <c r="AM723" s="3">
        <f t="shared" si="208"/>
        <v>1</v>
      </c>
      <c r="AN723" s="3" t="str">
        <f>IF(对接源_01水果!$AC723="","",对接源_01水果!$AC723)</f>
        <v/>
      </c>
      <c r="AO723" s="3">
        <f t="shared" si="209"/>
        <v>0</v>
      </c>
      <c r="AP723" s="3">
        <f t="shared" si="210"/>
        <v>8</v>
      </c>
      <c r="AR723">
        <f t="shared" si="211"/>
        <v>0</v>
      </c>
      <c r="AS723">
        <f t="shared" si="212"/>
        <v>0</v>
      </c>
    </row>
    <row r="724" ht="14.25" customHeight="1" spans="1:45">
      <c r="A724" s="3" t="str">
        <f>IF(对接源_01水果!$C724="","",对接源_01水果!$C724)</f>
        <v/>
      </c>
      <c r="B724" s="3">
        <f t="shared" si="196"/>
        <v>0</v>
      </c>
      <c r="C724" s="3">
        <f t="shared" si="197"/>
        <v>18</v>
      </c>
      <c r="K724" s="3">
        <f>IF(OR($K$1="",对接源_01水果!$C724="",对接源_01水果!$C724&lt;&gt;$K$1,对接源_01水果!$B724=""),0,IF(OR(N(对接源_01水果!$B724)&lt;$K$2,N(对接源_01水果!$B724)&gt;$K$3),0,1))</f>
        <v>0</v>
      </c>
      <c r="L724" s="3">
        <f>IF(OR($L$1="",对接源_01水果!$C724="",对接源_01水果!$C724&lt;&gt;$L$1,对接源_01水果!$B724=""),0,IF(OR(N(对接源_01水果!$B724)&lt;$L$2,N(对接源_01水果!$B724)&gt;$L$3),0,1))</f>
        <v>0</v>
      </c>
      <c r="M724" s="3">
        <f>IF(OR($M$1="",对接源_01水果!$C724="",对接源_01水果!$C724&lt;&gt;$M$1,对接源_01水果!$B724=""),0,IF(OR(N(对接源_01水果!$B724)&lt;$M$2,N(对接源_01水果!$B724)&gt;$M$3),0,1))</f>
        <v>0</v>
      </c>
      <c r="N724" s="3">
        <f>IF(OR($N$1="",对接源_01水果!$C724="",对接源_01水果!$C724&lt;&gt;$N$1,对接源_01水果!$B724=""),0,IF(OR(N(对接源_01水果!$B724)&lt;$N$2,N(对接源_01水果!$B724)&gt;$N$3),0,1))</f>
        <v>0</v>
      </c>
      <c r="P724" s="3">
        <f>IF(AND($K724=1,AND(对接源_01水果!$X724="公司筐",N(对接源_01水果!$T724)&lt;&gt;0)),1,0)</f>
        <v>0</v>
      </c>
      <c r="Q724" s="3">
        <f t="shared" si="198"/>
        <v>0</v>
      </c>
      <c r="R724" s="3">
        <f>IF(AND($K724=1,AND(对接源_01水果!$X724="公司筐",N(对接源_01水果!$U724)&lt;&gt;0)),1,0)</f>
        <v>0</v>
      </c>
      <c r="S724" s="3">
        <f t="shared" si="199"/>
        <v>0</v>
      </c>
      <c r="T724" s="3">
        <f>IF(AND($K724=1,AND(对接源_01水果!$X724="公司筐",N(对接源_01水果!$V724)&lt;&gt;0)),1,0)</f>
        <v>0</v>
      </c>
      <c r="U724" s="3">
        <f t="shared" si="200"/>
        <v>19</v>
      </c>
      <c r="V724" s="3">
        <f>IF(AND($L724=1,AND(对接源_01水果!$X724="自备筐",N(对接源_01水果!$V724)&lt;&gt;0)),1,0)</f>
        <v>0</v>
      </c>
      <c r="W724" s="3">
        <f t="shared" si="201"/>
        <v>8</v>
      </c>
      <c r="X724" s="3">
        <f>IF(AND($L724=1,AND(对接源_01水果!$X724="自备筐",N(对接源_01水果!$T724)&lt;&gt;0)),1,0)</f>
        <v>0</v>
      </c>
      <c r="Y724" s="3">
        <f t="shared" si="202"/>
        <v>0</v>
      </c>
      <c r="Z724" s="3">
        <f>IF(AND($M724=1,对接源_01水果!$D724="原料入库"),1,0)</f>
        <v>0</v>
      </c>
      <c r="AA724" s="3">
        <f t="shared" si="203"/>
        <v>24</v>
      </c>
      <c r="AB724" s="3">
        <f>IF(AND($M724=1,LEFT(对接源_01水果!$D724,4)="原料出库"),1,0)</f>
        <v>0</v>
      </c>
      <c r="AC724" s="3">
        <f t="shared" si="204"/>
        <v>0</v>
      </c>
      <c r="AD724" s="3">
        <f>IF(AND($M724=1,LEFT(对接源_01水果!$D724,4)="成品出库"),1,0)</f>
        <v>0</v>
      </c>
      <c r="AE724" s="3">
        <f t="shared" si="205"/>
        <v>0</v>
      </c>
      <c r="AF724" s="3">
        <f>IF(AND($N724=1,AND(LEFT(对接源_01水果!$D724,4)="包装物料",N(对接源_01水果!$K724)&lt;&gt;0)),1,0)</f>
        <v>0</v>
      </c>
      <c r="AG724" s="3">
        <f t="shared" si="206"/>
        <v>0</v>
      </c>
      <c r="AH724" s="3">
        <f>IF(AND($N724=1,AND(对接源_01水果!$D724="周转筐－销售出库",N(对接源_01水果!$K724)&lt;&gt;0)),1,0)</f>
        <v>0</v>
      </c>
      <c r="AI724" s="3">
        <f t="shared" si="207"/>
        <v>0</v>
      </c>
      <c r="AJ724" s="7"/>
      <c r="AL724" s="3">
        <f>IF(OR($AL$1="",对接源_01水果!$Y724="",对接源_01水果!$Y724&lt;&gt;$AL$1,对接源_01水果!$B724="",N(对接源_01水果!$AJ724)&lt;=0),0,IF(OR(N(对接源_01水果!$B724)&lt;$AL$2,N(对接源_01水果!$B724)&gt;$AL$3),0,1))</f>
        <v>0</v>
      </c>
      <c r="AM724" s="3">
        <f t="shared" si="208"/>
        <v>1</v>
      </c>
      <c r="AN724" s="3" t="str">
        <f>IF(对接源_01水果!$AC724="","",对接源_01水果!$AC724)</f>
        <v/>
      </c>
      <c r="AO724" s="3">
        <f t="shared" si="209"/>
        <v>0</v>
      </c>
      <c r="AP724" s="3">
        <f t="shared" si="210"/>
        <v>8</v>
      </c>
      <c r="AR724">
        <f t="shared" si="211"/>
        <v>0</v>
      </c>
      <c r="AS724">
        <f t="shared" si="212"/>
        <v>0</v>
      </c>
    </row>
    <row r="725" ht="14.25" customHeight="1" spans="1:45">
      <c r="A725" s="3" t="str">
        <f>IF(对接源_01水果!$C725="","",对接源_01水果!$C725)</f>
        <v/>
      </c>
      <c r="B725" s="3">
        <f t="shared" si="196"/>
        <v>0</v>
      </c>
      <c r="C725" s="3">
        <f t="shared" si="197"/>
        <v>18</v>
      </c>
      <c r="K725" s="3">
        <f>IF(OR($K$1="",对接源_01水果!$C725="",对接源_01水果!$C725&lt;&gt;$K$1,对接源_01水果!$B725=""),0,IF(OR(N(对接源_01水果!$B725)&lt;$K$2,N(对接源_01水果!$B725)&gt;$K$3),0,1))</f>
        <v>0</v>
      </c>
      <c r="L725" s="3">
        <f>IF(OR($L$1="",对接源_01水果!$C725="",对接源_01水果!$C725&lt;&gt;$L$1,对接源_01水果!$B725=""),0,IF(OR(N(对接源_01水果!$B725)&lt;$L$2,N(对接源_01水果!$B725)&gt;$L$3),0,1))</f>
        <v>0</v>
      </c>
      <c r="M725" s="3">
        <f>IF(OR($M$1="",对接源_01水果!$C725="",对接源_01水果!$C725&lt;&gt;$M$1,对接源_01水果!$B725=""),0,IF(OR(N(对接源_01水果!$B725)&lt;$M$2,N(对接源_01水果!$B725)&gt;$M$3),0,1))</f>
        <v>0</v>
      </c>
      <c r="N725" s="3">
        <f>IF(OR($N$1="",对接源_01水果!$C725="",对接源_01水果!$C725&lt;&gt;$N$1,对接源_01水果!$B725=""),0,IF(OR(N(对接源_01水果!$B725)&lt;$N$2,N(对接源_01水果!$B725)&gt;$N$3),0,1))</f>
        <v>0</v>
      </c>
      <c r="P725" s="3">
        <f>IF(AND($K725=1,AND(对接源_01水果!$X725="公司筐",N(对接源_01水果!$T725)&lt;&gt;0)),1,0)</f>
        <v>0</v>
      </c>
      <c r="Q725" s="3">
        <f t="shared" si="198"/>
        <v>0</v>
      </c>
      <c r="R725" s="3">
        <f>IF(AND($K725=1,AND(对接源_01水果!$X725="公司筐",N(对接源_01水果!$U725)&lt;&gt;0)),1,0)</f>
        <v>0</v>
      </c>
      <c r="S725" s="3">
        <f t="shared" si="199"/>
        <v>0</v>
      </c>
      <c r="T725" s="3">
        <f>IF(AND($K725=1,AND(对接源_01水果!$X725="公司筐",N(对接源_01水果!$V725)&lt;&gt;0)),1,0)</f>
        <v>0</v>
      </c>
      <c r="U725" s="3">
        <f t="shared" si="200"/>
        <v>19</v>
      </c>
      <c r="V725" s="3">
        <f>IF(AND($L725=1,AND(对接源_01水果!$X725="自备筐",N(对接源_01水果!$V725)&lt;&gt;0)),1,0)</f>
        <v>0</v>
      </c>
      <c r="W725" s="3">
        <f t="shared" si="201"/>
        <v>8</v>
      </c>
      <c r="X725" s="3">
        <f>IF(AND($L725=1,AND(对接源_01水果!$X725="自备筐",N(对接源_01水果!$T725)&lt;&gt;0)),1,0)</f>
        <v>0</v>
      </c>
      <c r="Y725" s="3">
        <f t="shared" si="202"/>
        <v>0</v>
      </c>
      <c r="Z725" s="3">
        <f>IF(AND($M725=1,对接源_01水果!$D725="原料入库"),1,0)</f>
        <v>0</v>
      </c>
      <c r="AA725" s="3">
        <f t="shared" si="203"/>
        <v>24</v>
      </c>
      <c r="AB725" s="3">
        <f>IF(AND($M725=1,LEFT(对接源_01水果!$D725,4)="原料出库"),1,0)</f>
        <v>0</v>
      </c>
      <c r="AC725" s="3">
        <f t="shared" si="204"/>
        <v>0</v>
      </c>
      <c r="AD725" s="3">
        <f>IF(AND($M725=1,LEFT(对接源_01水果!$D725,4)="成品出库"),1,0)</f>
        <v>0</v>
      </c>
      <c r="AE725" s="3">
        <f t="shared" si="205"/>
        <v>0</v>
      </c>
      <c r="AF725" s="3">
        <f>IF(AND($N725=1,AND(LEFT(对接源_01水果!$D725,4)="包装物料",N(对接源_01水果!$K725)&lt;&gt;0)),1,0)</f>
        <v>0</v>
      </c>
      <c r="AG725" s="3">
        <f t="shared" si="206"/>
        <v>0</v>
      </c>
      <c r="AH725" s="3">
        <f>IF(AND($N725=1,AND(对接源_01水果!$D725="周转筐－销售出库",N(对接源_01水果!$K725)&lt;&gt;0)),1,0)</f>
        <v>0</v>
      </c>
      <c r="AI725" s="3">
        <f t="shared" si="207"/>
        <v>0</v>
      </c>
      <c r="AJ725" s="7"/>
      <c r="AL725" s="3">
        <f>IF(OR($AL$1="",对接源_01水果!$Y725="",对接源_01水果!$Y725&lt;&gt;$AL$1,对接源_01水果!$B725="",N(对接源_01水果!$AJ725)&lt;=0),0,IF(OR(N(对接源_01水果!$B725)&lt;$AL$2,N(对接源_01水果!$B725)&gt;$AL$3),0,1))</f>
        <v>0</v>
      </c>
      <c r="AM725" s="3">
        <f t="shared" si="208"/>
        <v>1</v>
      </c>
      <c r="AN725" s="3" t="str">
        <f>IF(对接源_01水果!$AC725="","",对接源_01水果!$AC725)</f>
        <v/>
      </c>
      <c r="AO725" s="3">
        <f t="shared" si="209"/>
        <v>0</v>
      </c>
      <c r="AP725" s="3">
        <f t="shared" si="210"/>
        <v>8</v>
      </c>
      <c r="AR725">
        <f t="shared" si="211"/>
        <v>0</v>
      </c>
      <c r="AS725">
        <f t="shared" si="212"/>
        <v>0</v>
      </c>
    </row>
    <row r="726" ht="14.25" customHeight="1" spans="1:45">
      <c r="A726" s="3" t="str">
        <f>IF(对接源_01水果!$C726="","",对接源_01水果!$C726)</f>
        <v/>
      </c>
      <c r="B726" s="3">
        <f t="shared" si="196"/>
        <v>0</v>
      </c>
      <c r="C726" s="3">
        <f t="shared" si="197"/>
        <v>18</v>
      </c>
      <c r="K726" s="3">
        <f>IF(OR($K$1="",对接源_01水果!$C726="",对接源_01水果!$C726&lt;&gt;$K$1,对接源_01水果!$B726=""),0,IF(OR(N(对接源_01水果!$B726)&lt;$K$2,N(对接源_01水果!$B726)&gt;$K$3),0,1))</f>
        <v>0</v>
      </c>
      <c r="L726" s="3">
        <f>IF(OR($L$1="",对接源_01水果!$C726="",对接源_01水果!$C726&lt;&gt;$L$1,对接源_01水果!$B726=""),0,IF(OR(N(对接源_01水果!$B726)&lt;$L$2,N(对接源_01水果!$B726)&gt;$L$3),0,1))</f>
        <v>0</v>
      </c>
      <c r="M726" s="3">
        <f>IF(OR($M$1="",对接源_01水果!$C726="",对接源_01水果!$C726&lt;&gt;$M$1,对接源_01水果!$B726=""),0,IF(OR(N(对接源_01水果!$B726)&lt;$M$2,N(对接源_01水果!$B726)&gt;$M$3),0,1))</f>
        <v>0</v>
      </c>
      <c r="N726" s="3">
        <f>IF(OR($N$1="",对接源_01水果!$C726="",对接源_01水果!$C726&lt;&gt;$N$1,对接源_01水果!$B726=""),0,IF(OR(N(对接源_01水果!$B726)&lt;$N$2,N(对接源_01水果!$B726)&gt;$N$3),0,1))</f>
        <v>0</v>
      </c>
      <c r="P726" s="3">
        <f>IF(AND($K726=1,AND(对接源_01水果!$X726="公司筐",N(对接源_01水果!$T726)&lt;&gt;0)),1,0)</f>
        <v>0</v>
      </c>
      <c r="Q726" s="3">
        <f t="shared" si="198"/>
        <v>0</v>
      </c>
      <c r="R726" s="3">
        <f>IF(AND($K726=1,AND(对接源_01水果!$X726="公司筐",N(对接源_01水果!$U726)&lt;&gt;0)),1,0)</f>
        <v>0</v>
      </c>
      <c r="S726" s="3">
        <f t="shared" si="199"/>
        <v>0</v>
      </c>
      <c r="T726" s="3">
        <f>IF(AND($K726=1,AND(对接源_01水果!$X726="公司筐",N(对接源_01水果!$V726)&lt;&gt;0)),1,0)</f>
        <v>0</v>
      </c>
      <c r="U726" s="3">
        <f t="shared" si="200"/>
        <v>19</v>
      </c>
      <c r="V726" s="3">
        <f>IF(AND($L726=1,AND(对接源_01水果!$X726="自备筐",N(对接源_01水果!$V726)&lt;&gt;0)),1,0)</f>
        <v>0</v>
      </c>
      <c r="W726" s="3">
        <f t="shared" si="201"/>
        <v>8</v>
      </c>
      <c r="X726" s="3">
        <f>IF(AND($L726=1,AND(对接源_01水果!$X726="自备筐",N(对接源_01水果!$T726)&lt;&gt;0)),1,0)</f>
        <v>0</v>
      </c>
      <c r="Y726" s="3">
        <f t="shared" si="202"/>
        <v>0</v>
      </c>
      <c r="Z726" s="3">
        <f>IF(AND($M726=1,对接源_01水果!$D726="原料入库"),1,0)</f>
        <v>0</v>
      </c>
      <c r="AA726" s="3">
        <f t="shared" si="203"/>
        <v>24</v>
      </c>
      <c r="AB726" s="3">
        <f>IF(AND($M726=1,LEFT(对接源_01水果!$D726,4)="原料出库"),1,0)</f>
        <v>0</v>
      </c>
      <c r="AC726" s="3">
        <f t="shared" si="204"/>
        <v>0</v>
      </c>
      <c r="AD726" s="3">
        <f>IF(AND($M726=1,LEFT(对接源_01水果!$D726,4)="成品出库"),1,0)</f>
        <v>0</v>
      </c>
      <c r="AE726" s="3">
        <f t="shared" si="205"/>
        <v>0</v>
      </c>
      <c r="AF726" s="3">
        <f>IF(AND($N726=1,AND(LEFT(对接源_01水果!$D726,4)="包装物料",N(对接源_01水果!$K726)&lt;&gt;0)),1,0)</f>
        <v>0</v>
      </c>
      <c r="AG726" s="3">
        <f t="shared" si="206"/>
        <v>0</v>
      </c>
      <c r="AH726" s="3">
        <f>IF(AND($N726=1,AND(对接源_01水果!$D726="周转筐－销售出库",N(对接源_01水果!$K726)&lt;&gt;0)),1,0)</f>
        <v>0</v>
      </c>
      <c r="AI726" s="3">
        <f t="shared" si="207"/>
        <v>0</v>
      </c>
      <c r="AJ726" s="7"/>
      <c r="AL726" s="3">
        <f>IF(OR($AL$1="",对接源_01水果!$Y726="",对接源_01水果!$Y726&lt;&gt;$AL$1,对接源_01水果!$B726="",N(对接源_01水果!$AJ726)&lt;=0),0,IF(OR(N(对接源_01水果!$B726)&lt;$AL$2,N(对接源_01水果!$B726)&gt;$AL$3),0,1))</f>
        <v>0</v>
      </c>
      <c r="AM726" s="3">
        <f t="shared" si="208"/>
        <v>1</v>
      </c>
      <c r="AN726" s="3" t="str">
        <f>IF(对接源_01水果!$AC726="","",对接源_01水果!$AC726)</f>
        <v/>
      </c>
      <c r="AO726" s="3">
        <f t="shared" si="209"/>
        <v>0</v>
      </c>
      <c r="AP726" s="3">
        <f t="shared" si="210"/>
        <v>8</v>
      </c>
      <c r="AR726">
        <f t="shared" si="211"/>
        <v>0</v>
      </c>
      <c r="AS726">
        <f t="shared" si="212"/>
        <v>0</v>
      </c>
    </row>
    <row r="727" ht="14.25" customHeight="1" spans="1:45">
      <c r="A727" s="3" t="str">
        <f>IF(对接源_01水果!$C727="","",对接源_01水果!$C727)</f>
        <v/>
      </c>
      <c r="B727" s="3">
        <f t="shared" si="196"/>
        <v>0</v>
      </c>
      <c r="C727" s="3">
        <f t="shared" si="197"/>
        <v>18</v>
      </c>
      <c r="K727" s="3">
        <f>IF(OR($K$1="",对接源_01水果!$C727="",对接源_01水果!$C727&lt;&gt;$K$1,对接源_01水果!$B727=""),0,IF(OR(N(对接源_01水果!$B727)&lt;$K$2,N(对接源_01水果!$B727)&gt;$K$3),0,1))</f>
        <v>0</v>
      </c>
      <c r="L727" s="3">
        <f>IF(OR($L$1="",对接源_01水果!$C727="",对接源_01水果!$C727&lt;&gt;$L$1,对接源_01水果!$B727=""),0,IF(OR(N(对接源_01水果!$B727)&lt;$L$2,N(对接源_01水果!$B727)&gt;$L$3),0,1))</f>
        <v>0</v>
      </c>
      <c r="M727" s="3">
        <f>IF(OR($M$1="",对接源_01水果!$C727="",对接源_01水果!$C727&lt;&gt;$M$1,对接源_01水果!$B727=""),0,IF(OR(N(对接源_01水果!$B727)&lt;$M$2,N(对接源_01水果!$B727)&gt;$M$3),0,1))</f>
        <v>0</v>
      </c>
      <c r="N727" s="3">
        <f>IF(OR($N$1="",对接源_01水果!$C727="",对接源_01水果!$C727&lt;&gt;$N$1,对接源_01水果!$B727=""),0,IF(OR(N(对接源_01水果!$B727)&lt;$N$2,N(对接源_01水果!$B727)&gt;$N$3),0,1))</f>
        <v>0</v>
      </c>
      <c r="P727" s="3">
        <f>IF(AND($K727=1,AND(对接源_01水果!$X727="公司筐",N(对接源_01水果!$T727)&lt;&gt;0)),1,0)</f>
        <v>0</v>
      </c>
      <c r="Q727" s="3">
        <f t="shared" si="198"/>
        <v>0</v>
      </c>
      <c r="R727" s="3">
        <f>IF(AND($K727=1,AND(对接源_01水果!$X727="公司筐",N(对接源_01水果!$U727)&lt;&gt;0)),1,0)</f>
        <v>0</v>
      </c>
      <c r="S727" s="3">
        <f t="shared" si="199"/>
        <v>0</v>
      </c>
      <c r="T727" s="3">
        <f>IF(AND($K727=1,AND(对接源_01水果!$X727="公司筐",N(对接源_01水果!$V727)&lt;&gt;0)),1,0)</f>
        <v>0</v>
      </c>
      <c r="U727" s="3">
        <f t="shared" si="200"/>
        <v>19</v>
      </c>
      <c r="V727" s="3">
        <f>IF(AND($L727=1,AND(对接源_01水果!$X727="自备筐",N(对接源_01水果!$V727)&lt;&gt;0)),1,0)</f>
        <v>0</v>
      </c>
      <c r="W727" s="3">
        <f t="shared" si="201"/>
        <v>8</v>
      </c>
      <c r="X727" s="3">
        <f>IF(AND($L727=1,AND(对接源_01水果!$X727="自备筐",N(对接源_01水果!$T727)&lt;&gt;0)),1,0)</f>
        <v>0</v>
      </c>
      <c r="Y727" s="3">
        <f t="shared" si="202"/>
        <v>0</v>
      </c>
      <c r="Z727" s="3">
        <f>IF(AND($M727=1,对接源_01水果!$D727="原料入库"),1,0)</f>
        <v>0</v>
      </c>
      <c r="AA727" s="3">
        <f t="shared" si="203"/>
        <v>24</v>
      </c>
      <c r="AB727" s="3">
        <f>IF(AND($M727=1,LEFT(对接源_01水果!$D727,4)="原料出库"),1,0)</f>
        <v>0</v>
      </c>
      <c r="AC727" s="3">
        <f t="shared" si="204"/>
        <v>0</v>
      </c>
      <c r="AD727" s="3">
        <f>IF(AND($M727=1,LEFT(对接源_01水果!$D727,4)="成品出库"),1,0)</f>
        <v>0</v>
      </c>
      <c r="AE727" s="3">
        <f t="shared" si="205"/>
        <v>0</v>
      </c>
      <c r="AF727" s="3">
        <f>IF(AND($N727=1,AND(LEFT(对接源_01水果!$D727,4)="包装物料",N(对接源_01水果!$K727)&lt;&gt;0)),1,0)</f>
        <v>0</v>
      </c>
      <c r="AG727" s="3">
        <f t="shared" si="206"/>
        <v>0</v>
      </c>
      <c r="AH727" s="3">
        <f>IF(AND($N727=1,AND(对接源_01水果!$D727="周转筐－销售出库",N(对接源_01水果!$K727)&lt;&gt;0)),1,0)</f>
        <v>0</v>
      </c>
      <c r="AI727" s="3">
        <f t="shared" si="207"/>
        <v>0</v>
      </c>
      <c r="AJ727" s="7"/>
      <c r="AL727" s="3">
        <f>IF(OR($AL$1="",对接源_01水果!$Y727="",对接源_01水果!$Y727&lt;&gt;$AL$1,对接源_01水果!$B727="",N(对接源_01水果!$AJ727)&lt;=0),0,IF(OR(N(对接源_01水果!$B727)&lt;$AL$2,N(对接源_01水果!$B727)&gt;$AL$3),0,1))</f>
        <v>0</v>
      </c>
      <c r="AM727" s="3">
        <f t="shared" si="208"/>
        <v>1</v>
      </c>
      <c r="AN727" s="3" t="str">
        <f>IF(对接源_01水果!$AC727="","",对接源_01水果!$AC727)</f>
        <v/>
      </c>
      <c r="AO727" s="3">
        <f t="shared" si="209"/>
        <v>0</v>
      </c>
      <c r="AP727" s="3">
        <f t="shared" si="210"/>
        <v>8</v>
      </c>
      <c r="AR727">
        <f t="shared" si="211"/>
        <v>0</v>
      </c>
      <c r="AS727">
        <f t="shared" si="212"/>
        <v>0</v>
      </c>
    </row>
    <row r="728" ht="14.25" customHeight="1" spans="1:45">
      <c r="A728" s="3" t="str">
        <f>IF(对接源_01水果!$C728="","",对接源_01水果!$C728)</f>
        <v/>
      </c>
      <c r="B728" s="3">
        <f t="shared" si="196"/>
        <v>0</v>
      </c>
      <c r="C728" s="3">
        <f t="shared" si="197"/>
        <v>18</v>
      </c>
      <c r="K728" s="3">
        <f>IF(OR($K$1="",对接源_01水果!$C728="",对接源_01水果!$C728&lt;&gt;$K$1,对接源_01水果!$B728=""),0,IF(OR(N(对接源_01水果!$B728)&lt;$K$2,N(对接源_01水果!$B728)&gt;$K$3),0,1))</f>
        <v>0</v>
      </c>
      <c r="L728" s="3">
        <f>IF(OR($L$1="",对接源_01水果!$C728="",对接源_01水果!$C728&lt;&gt;$L$1,对接源_01水果!$B728=""),0,IF(OR(N(对接源_01水果!$B728)&lt;$L$2,N(对接源_01水果!$B728)&gt;$L$3),0,1))</f>
        <v>0</v>
      </c>
      <c r="M728" s="3">
        <f>IF(OR($M$1="",对接源_01水果!$C728="",对接源_01水果!$C728&lt;&gt;$M$1,对接源_01水果!$B728=""),0,IF(OR(N(对接源_01水果!$B728)&lt;$M$2,N(对接源_01水果!$B728)&gt;$M$3),0,1))</f>
        <v>0</v>
      </c>
      <c r="N728" s="3">
        <f>IF(OR($N$1="",对接源_01水果!$C728="",对接源_01水果!$C728&lt;&gt;$N$1,对接源_01水果!$B728=""),0,IF(OR(N(对接源_01水果!$B728)&lt;$N$2,N(对接源_01水果!$B728)&gt;$N$3),0,1))</f>
        <v>0</v>
      </c>
      <c r="P728" s="3">
        <f>IF(AND($K728=1,AND(对接源_01水果!$X728="公司筐",N(对接源_01水果!$T728)&lt;&gt;0)),1,0)</f>
        <v>0</v>
      </c>
      <c r="Q728" s="3">
        <f t="shared" si="198"/>
        <v>0</v>
      </c>
      <c r="R728" s="3">
        <f>IF(AND($K728=1,AND(对接源_01水果!$X728="公司筐",N(对接源_01水果!$U728)&lt;&gt;0)),1,0)</f>
        <v>0</v>
      </c>
      <c r="S728" s="3">
        <f t="shared" si="199"/>
        <v>0</v>
      </c>
      <c r="T728" s="3">
        <f>IF(AND($K728=1,AND(对接源_01水果!$X728="公司筐",N(对接源_01水果!$V728)&lt;&gt;0)),1,0)</f>
        <v>0</v>
      </c>
      <c r="U728" s="3">
        <f t="shared" si="200"/>
        <v>19</v>
      </c>
      <c r="V728" s="3">
        <f>IF(AND($L728=1,AND(对接源_01水果!$X728="自备筐",N(对接源_01水果!$V728)&lt;&gt;0)),1,0)</f>
        <v>0</v>
      </c>
      <c r="W728" s="3">
        <f t="shared" si="201"/>
        <v>8</v>
      </c>
      <c r="X728" s="3">
        <f>IF(AND($L728=1,AND(对接源_01水果!$X728="自备筐",N(对接源_01水果!$T728)&lt;&gt;0)),1,0)</f>
        <v>0</v>
      </c>
      <c r="Y728" s="3">
        <f t="shared" si="202"/>
        <v>0</v>
      </c>
      <c r="Z728" s="3">
        <f>IF(AND($M728=1,对接源_01水果!$D728="原料入库"),1,0)</f>
        <v>0</v>
      </c>
      <c r="AA728" s="3">
        <f t="shared" si="203"/>
        <v>24</v>
      </c>
      <c r="AB728" s="3">
        <f>IF(AND($M728=1,LEFT(对接源_01水果!$D728,4)="原料出库"),1,0)</f>
        <v>0</v>
      </c>
      <c r="AC728" s="3">
        <f t="shared" si="204"/>
        <v>0</v>
      </c>
      <c r="AD728" s="3">
        <f>IF(AND($M728=1,LEFT(对接源_01水果!$D728,4)="成品出库"),1,0)</f>
        <v>0</v>
      </c>
      <c r="AE728" s="3">
        <f t="shared" si="205"/>
        <v>0</v>
      </c>
      <c r="AF728" s="3">
        <f>IF(AND($N728=1,AND(LEFT(对接源_01水果!$D728,4)="包装物料",N(对接源_01水果!$K728)&lt;&gt;0)),1,0)</f>
        <v>0</v>
      </c>
      <c r="AG728" s="3">
        <f t="shared" si="206"/>
        <v>0</v>
      </c>
      <c r="AH728" s="3">
        <f>IF(AND($N728=1,AND(对接源_01水果!$D728="周转筐－销售出库",N(对接源_01水果!$K728)&lt;&gt;0)),1,0)</f>
        <v>0</v>
      </c>
      <c r="AI728" s="3">
        <f t="shared" si="207"/>
        <v>0</v>
      </c>
      <c r="AJ728" s="7"/>
      <c r="AL728" s="3">
        <f>IF(OR($AL$1="",对接源_01水果!$Y728="",对接源_01水果!$Y728&lt;&gt;$AL$1,对接源_01水果!$B728="",N(对接源_01水果!$AJ728)&lt;=0),0,IF(OR(N(对接源_01水果!$B728)&lt;$AL$2,N(对接源_01水果!$B728)&gt;$AL$3),0,1))</f>
        <v>0</v>
      </c>
      <c r="AM728" s="3">
        <f t="shared" si="208"/>
        <v>1</v>
      </c>
      <c r="AN728" s="3" t="str">
        <f>IF(对接源_01水果!$AC728="","",对接源_01水果!$AC728)</f>
        <v/>
      </c>
      <c r="AO728" s="3">
        <f t="shared" si="209"/>
        <v>0</v>
      </c>
      <c r="AP728" s="3">
        <f t="shared" si="210"/>
        <v>8</v>
      </c>
      <c r="AR728">
        <f t="shared" si="211"/>
        <v>0</v>
      </c>
      <c r="AS728">
        <f t="shared" si="212"/>
        <v>0</v>
      </c>
    </row>
    <row r="729" ht="14.25" customHeight="1" spans="1:45">
      <c r="A729" s="3" t="str">
        <f>IF(对接源_01水果!$C729="","",对接源_01水果!$C729)</f>
        <v/>
      </c>
      <c r="B729" s="3">
        <f t="shared" si="196"/>
        <v>0</v>
      </c>
      <c r="C729" s="3">
        <f t="shared" si="197"/>
        <v>18</v>
      </c>
      <c r="K729" s="3">
        <f>IF(OR($K$1="",对接源_01水果!$C729="",对接源_01水果!$C729&lt;&gt;$K$1,对接源_01水果!$B729=""),0,IF(OR(N(对接源_01水果!$B729)&lt;$K$2,N(对接源_01水果!$B729)&gt;$K$3),0,1))</f>
        <v>0</v>
      </c>
      <c r="L729" s="3">
        <f>IF(OR($L$1="",对接源_01水果!$C729="",对接源_01水果!$C729&lt;&gt;$L$1,对接源_01水果!$B729=""),0,IF(OR(N(对接源_01水果!$B729)&lt;$L$2,N(对接源_01水果!$B729)&gt;$L$3),0,1))</f>
        <v>0</v>
      </c>
      <c r="M729" s="3">
        <f>IF(OR($M$1="",对接源_01水果!$C729="",对接源_01水果!$C729&lt;&gt;$M$1,对接源_01水果!$B729=""),0,IF(OR(N(对接源_01水果!$B729)&lt;$M$2,N(对接源_01水果!$B729)&gt;$M$3),0,1))</f>
        <v>0</v>
      </c>
      <c r="N729" s="3">
        <f>IF(OR($N$1="",对接源_01水果!$C729="",对接源_01水果!$C729&lt;&gt;$N$1,对接源_01水果!$B729=""),0,IF(OR(N(对接源_01水果!$B729)&lt;$N$2,N(对接源_01水果!$B729)&gt;$N$3),0,1))</f>
        <v>0</v>
      </c>
      <c r="P729" s="3">
        <f>IF(AND($K729=1,AND(对接源_01水果!$X729="公司筐",N(对接源_01水果!$T729)&lt;&gt;0)),1,0)</f>
        <v>0</v>
      </c>
      <c r="Q729" s="3">
        <f t="shared" si="198"/>
        <v>0</v>
      </c>
      <c r="R729" s="3">
        <f>IF(AND($K729=1,AND(对接源_01水果!$X729="公司筐",N(对接源_01水果!$U729)&lt;&gt;0)),1,0)</f>
        <v>0</v>
      </c>
      <c r="S729" s="3">
        <f t="shared" si="199"/>
        <v>0</v>
      </c>
      <c r="T729" s="3">
        <f>IF(AND($K729=1,AND(对接源_01水果!$X729="公司筐",N(对接源_01水果!$V729)&lt;&gt;0)),1,0)</f>
        <v>0</v>
      </c>
      <c r="U729" s="3">
        <f t="shared" si="200"/>
        <v>19</v>
      </c>
      <c r="V729" s="3">
        <f>IF(AND($L729=1,AND(对接源_01水果!$X729="自备筐",N(对接源_01水果!$V729)&lt;&gt;0)),1,0)</f>
        <v>0</v>
      </c>
      <c r="W729" s="3">
        <f t="shared" si="201"/>
        <v>8</v>
      </c>
      <c r="X729" s="3">
        <f>IF(AND($L729=1,AND(对接源_01水果!$X729="自备筐",N(对接源_01水果!$T729)&lt;&gt;0)),1,0)</f>
        <v>0</v>
      </c>
      <c r="Y729" s="3">
        <f t="shared" si="202"/>
        <v>0</v>
      </c>
      <c r="Z729" s="3">
        <f>IF(AND($M729=1,对接源_01水果!$D729="原料入库"),1,0)</f>
        <v>0</v>
      </c>
      <c r="AA729" s="3">
        <f t="shared" si="203"/>
        <v>24</v>
      </c>
      <c r="AB729" s="3">
        <f>IF(AND($M729=1,LEFT(对接源_01水果!$D729,4)="原料出库"),1,0)</f>
        <v>0</v>
      </c>
      <c r="AC729" s="3">
        <f t="shared" si="204"/>
        <v>0</v>
      </c>
      <c r="AD729" s="3">
        <f>IF(AND($M729=1,LEFT(对接源_01水果!$D729,4)="成品出库"),1,0)</f>
        <v>0</v>
      </c>
      <c r="AE729" s="3">
        <f t="shared" si="205"/>
        <v>0</v>
      </c>
      <c r="AF729" s="3">
        <f>IF(AND($N729=1,AND(LEFT(对接源_01水果!$D729,4)="包装物料",N(对接源_01水果!$K729)&lt;&gt;0)),1,0)</f>
        <v>0</v>
      </c>
      <c r="AG729" s="3">
        <f t="shared" si="206"/>
        <v>0</v>
      </c>
      <c r="AH729" s="3">
        <f>IF(AND($N729=1,AND(对接源_01水果!$D729="周转筐－销售出库",N(对接源_01水果!$K729)&lt;&gt;0)),1,0)</f>
        <v>0</v>
      </c>
      <c r="AI729" s="3">
        <f t="shared" si="207"/>
        <v>0</v>
      </c>
      <c r="AJ729" s="7"/>
      <c r="AL729" s="3">
        <f>IF(OR($AL$1="",对接源_01水果!$Y729="",对接源_01水果!$Y729&lt;&gt;$AL$1,对接源_01水果!$B729="",N(对接源_01水果!$AJ729)&lt;=0),0,IF(OR(N(对接源_01水果!$B729)&lt;$AL$2,N(对接源_01水果!$B729)&gt;$AL$3),0,1))</f>
        <v>0</v>
      </c>
      <c r="AM729" s="3">
        <f t="shared" si="208"/>
        <v>1</v>
      </c>
      <c r="AN729" s="3" t="str">
        <f>IF(对接源_01水果!$AC729="","",对接源_01水果!$AC729)</f>
        <v/>
      </c>
      <c r="AO729" s="3">
        <f t="shared" si="209"/>
        <v>0</v>
      </c>
      <c r="AP729" s="3">
        <f t="shared" si="210"/>
        <v>8</v>
      </c>
      <c r="AR729">
        <f t="shared" si="211"/>
        <v>0</v>
      </c>
      <c r="AS729">
        <f t="shared" si="212"/>
        <v>0</v>
      </c>
    </row>
    <row r="730" ht="14.25" customHeight="1" spans="1:45">
      <c r="A730" s="3" t="str">
        <f>IF(对接源_01水果!$C730="","",对接源_01水果!$C730)</f>
        <v/>
      </c>
      <c r="B730" s="3">
        <f t="shared" si="196"/>
        <v>0</v>
      </c>
      <c r="C730" s="3">
        <f t="shared" si="197"/>
        <v>18</v>
      </c>
      <c r="K730" s="3">
        <f>IF(OR($K$1="",对接源_01水果!$C730="",对接源_01水果!$C730&lt;&gt;$K$1,对接源_01水果!$B730=""),0,IF(OR(N(对接源_01水果!$B730)&lt;$K$2,N(对接源_01水果!$B730)&gt;$K$3),0,1))</f>
        <v>0</v>
      </c>
      <c r="L730" s="3">
        <f>IF(OR($L$1="",对接源_01水果!$C730="",对接源_01水果!$C730&lt;&gt;$L$1,对接源_01水果!$B730=""),0,IF(OR(N(对接源_01水果!$B730)&lt;$L$2,N(对接源_01水果!$B730)&gt;$L$3),0,1))</f>
        <v>0</v>
      </c>
      <c r="M730" s="3">
        <f>IF(OR($M$1="",对接源_01水果!$C730="",对接源_01水果!$C730&lt;&gt;$M$1,对接源_01水果!$B730=""),0,IF(OR(N(对接源_01水果!$B730)&lt;$M$2,N(对接源_01水果!$B730)&gt;$M$3),0,1))</f>
        <v>0</v>
      </c>
      <c r="N730" s="3">
        <f>IF(OR($N$1="",对接源_01水果!$C730="",对接源_01水果!$C730&lt;&gt;$N$1,对接源_01水果!$B730=""),0,IF(OR(N(对接源_01水果!$B730)&lt;$N$2,N(对接源_01水果!$B730)&gt;$N$3),0,1))</f>
        <v>0</v>
      </c>
      <c r="P730" s="3">
        <f>IF(AND($K730=1,AND(对接源_01水果!$X730="公司筐",N(对接源_01水果!$T730)&lt;&gt;0)),1,0)</f>
        <v>0</v>
      </c>
      <c r="Q730" s="3">
        <f t="shared" si="198"/>
        <v>0</v>
      </c>
      <c r="R730" s="3">
        <f>IF(AND($K730=1,AND(对接源_01水果!$X730="公司筐",N(对接源_01水果!$U730)&lt;&gt;0)),1,0)</f>
        <v>0</v>
      </c>
      <c r="S730" s="3">
        <f t="shared" si="199"/>
        <v>0</v>
      </c>
      <c r="T730" s="3">
        <f>IF(AND($K730=1,AND(对接源_01水果!$X730="公司筐",N(对接源_01水果!$V730)&lt;&gt;0)),1,0)</f>
        <v>0</v>
      </c>
      <c r="U730" s="3">
        <f t="shared" si="200"/>
        <v>19</v>
      </c>
      <c r="V730" s="3">
        <f>IF(AND($L730=1,AND(对接源_01水果!$X730="自备筐",N(对接源_01水果!$V730)&lt;&gt;0)),1,0)</f>
        <v>0</v>
      </c>
      <c r="W730" s="3">
        <f t="shared" si="201"/>
        <v>8</v>
      </c>
      <c r="X730" s="3">
        <f>IF(AND($L730=1,AND(对接源_01水果!$X730="自备筐",N(对接源_01水果!$T730)&lt;&gt;0)),1,0)</f>
        <v>0</v>
      </c>
      <c r="Y730" s="3">
        <f t="shared" si="202"/>
        <v>0</v>
      </c>
      <c r="Z730" s="3">
        <f>IF(AND($M730=1,对接源_01水果!$D730="原料入库"),1,0)</f>
        <v>0</v>
      </c>
      <c r="AA730" s="3">
        <f t="shared" si="203"/>
        <v>24</v>
      </c>
      <c r="AB730" s="3">
        <f>IF(AND($M730=1,LEFT(对接源_01水果!$D730,4)="原料出库"),1,0)</f>
        <v>0</v>
      </c>
      <c r="AC730" s="3">
        <f t="shared" si="204"/>
        <v>0</v>
      </c>
      <c r="AD730" s="3">
        <f>IF(AND($M730=1,LEFT(对接源_01水果!$D730,4)="成品出库"),1,0)</f>
        <v>0</v>
      </c>
      <c r="AE730" s="3">
        <f t="shared" si="205"/>
        <v>0</v>
      </c>
      <c r="AF730" s="3">
        <f>IF(AND($N730=1,AND(LEFT(对接源_01水果!$D730,4)="包装物料",N(对接源_01水果!$K730)&lt;&gt;0)),1,0)</f>
        <v>0</v>
      </c>
      <c r="AG730" s="3">
        <f t="shared" si="206"/>
        <v>0</v>
      </c>
      <c r="AH730" s="3">
        <f>IF(AND($N730=1,AND(对接源_01水果!$D730="周转筐－销售出库",N(对接源_01水果!$K730)&lt;&gt;0)),1,0)</f>
        <v>0</v>
      </c>
      <c r="AI730" s="3">
        <f t="shared" si="207"/>
        <v>0</v>
      </c>
      <c r="AJ730" s="7"/>
      <c r="AL730" s="3">
        <f>IF(OR($AL$1="",对接源_01水果!$Y730="",对接源_01水果!$Y730&lt;&gt;$AL$1,对接源_01水果!$B730="",N(对接源_01水果!$AJ730)&lt;=0),0,IF(OR(N(对接源_01水果!$B730)&lt;$AL$2,N(对接源_01水果!$B730)&gt;$AL$3),0,1))</f>
        <v>0</v>
      </c>
      <c r="AM730" s="3">
        <f t="shared" si="208"/>
        <v>1</v>
      </c>
      <c r="AN730" s="3" t="str">
        <f>IF(对接源_01水果!$AC730="","",对接源_01水果!$AC730)</f>
        <v/>
      </c>
      <c r="AO730" s="3">
        <f t="shared" si="209"/>
        <v>0</v>
      </c>
      <c r="AP730" s="3">
        <f t="shared" si="210"/>
        <v>8</v>
      </c>
      <c r="AR730">
        <f t="shared" si="211"/>
        <v>0</v>
      </c>
      <c r="AS730">
        <f t="shared" si="212"/>
        <v>0</v>
      </c>
    </row>
    <row r="731" ht="14.25" customHeight="1" spans="1:45">
      <c r="A731" s="3" t="str">
        <f>IF(对接源_01水果!$C731="","",对接源_01水果!$C731)</f>
        <v/>
      </c>
      <c r="B731" s="3">
        <f t="shared" si="196"/>
        <v>0</v>
      </c>
      <c r="C731" s="3">
        <f t="shared" si="197"/>
        <v>18</v>
      </c>
      <c r="K731" s="3">
        <f>IF(OR($K$1="",对接源_01水果!$C731="",对接源_01水果!$C731&lt;&gt;$K$1,对接源_01水果!$B731=""),0,IF(OR(N(对接源_01水果!$B731)&lt;$K$2,N(对接源_01水果!$B731)&gt;$K$3),0,1))</f>
        <v>0</v>
      </c>
      <c r="L731" s="3">
        <f>IF(OR($L$1="",对接源_01水果!$C731="",对接源_01水果!$C731&lt;&gt;$L$1,对接源_01水果!$B731=""),0,IF(OR(N(对接源_01水果!$B731)&lt;$L$2,N(对接源_01水果!$B731)&gt;$L$3),0,1))</f>
        <v>0</v>
      </c>
      <c r="M731" s="3">
        <f>IF(OR($M$1="",对接源_01水果!$C731="",对接源_01水果!$C731&lt;&gt;$M$1,对接源_01水果!$B731=""),0,IF(OR(N(对接源_01水果!$B731)&lt;$M$2,N(对接源_01水果!$B731)&gt;$M$3),0,1))</f>
        <v>0</v>
      </c>
      <c r="N731" s="3">
        <f>IF(OR($N$1="",对接源_01水果!$C731="",对接源_01水果!$C731&lt;&gt;$N$1,对接源_01水果!$B731=""),0,IF(OR(N(对接源_01水果!$B731)&lt;$N$2,N(对接源_01水果!$B731)&gt;$N$3),0,1))</f>
        <v>0</v>
      </c>
      <c r="P731" s="3">
        <f>IF(AND($K731=1,AND(对接源_01水果!$X731="公司筐",N(对接源_01水果!$T731)&lt;&gt;0)),1,0)</f>
        <v>0</v>
      </c>
      <c r="Q731" s="3">
        <f t="shared" si="198"/>
        <v>0</v>
      </c>
      <c r="R731" s="3">
        <f>IF(AND($K731=1,AND(对接源_01水果!$X731="公司筐",N(对接源_01水果!$U731)&lt;&gt;0)),1,0)</f>
        <v>0</v>
      </c>
      <c r="S731" s="3">
        <f t="shared" si="199"/>
        <v>0</v>
      </c>
      <c r="T731" s="3">
        <f>IF(AND($K731=1,AND(对接源_01水果!$X731="公司筐",N(对接源_01水果!$V731)&lt;&gt;0)),1,0)</f>
        <v>0</v>
      </c>
      <c r="U731" s="3">
        <f t="shared" si="200"/>
        <v>19</v>
      </c>
      <c r="V731" s="3">
        <f>IF(AND($L731=1,AND(对接源_01水果!$X731="自备筐",N(对接源_01水果!$V731)&lt;&gt;0)),1,0)</f>
        <v>0</v>
      </c>
      <c r="W731" s="3">
        <f t="shared" si="201"/>
        <v>8</v>
      </c>
      <c r="X731" s="3">
        <f>IF(AND($L731=1,AND(对接源_01水果!$X731="自备筐",N(对接源_01水果!$T731)&lt;&gt;0)),1,0)</f>
        <v>0</v>
      </c>
      <c r="Y731" s="3">
        <f t="shared" si="202"/>
        <v>0</v>
      </c>
      <c r="Z731" s="3">
        <f>IF(AND($M731=1,对接源_01水果!$D731="原料入库"),1,0)</f>
        <v>0</v>
      </c>
      <c r="AA731" s="3">
        <f t="shared" si="203"/>
        <v>24</v>
      </c>
      <c r="AB731" s="3">
        <f>IF(AND($M731=1,LEFT(对接源_01水果!$D731,4)="原料出库"),1,0)</f>
        <v>0</v>
      </c>
      <c r="AC731" s="3">
        <f t="shared" si="204"/>
        <v>0</v>
      </c>
      <c r="AD731" s="3">
        <f>IF(AND($M731=1,LEFT(对接源_01水果!$D731,4)="成品出库"),1,0)</f>
        <v>0</v>
      </c>
      <c r="AE731" s="3">
        <f t="shared" si="205"/>
        <v>0</v>
      </c>
      <c r="AF731" s="3">
        <f>IF(AND($N731=1,AND(LEFT(对接源_01水果!$D731,4)="包装物料",N(对接源_01水果!$K731)&lt;&gt;0)),1,0)</f>
        <v>0</v>
      </c>
      <c r="AG731" s="3">
        <f t="shared" si="206"/>
        <v>0</v>
      </c>
      <c r="AH731" s="3">
        <f>IF(AND($N731=1,AND(对接源_01水果!$D731="周转筐－销售出库",N(对接源_01水果!$K731)&lt;&gt;0)),1,0)</f>
        <v>0</v>
      </c>
      <c r="AI731" s="3">
        <f t="shared" si="207"/>
        <v>0</v>
      </c>
      <c r="AJ731" s="7"/>
      <c r="AL731" s="3">
        <f>IF(OR($AL$1="",对接源_01水果!$Y731="",对接源_01水果!$Y731&lt;&gt;$AL$1,对接源_01水果!$B731="",N(对接源_01水果!$AJ731)&lt;=0),0,IF(OR(N(对接源_01水果!$B731)&lt;$AL$2,N(对接源_01水果!$B731)&gt;$AL$3),0,1))</f>
        <v>0</v>
      </c>
      <c r="AM731" s="3">
        <f t="shared" si="208"/>
        <v>1</v>
      </c>
      <c r="AN731" s="3" t="str">
        <f>IF(对接源_01水果!$AC731="","",对接源_01水果!$AC731)</f>
        <v/>
      </c>
      <c r="AO731" s="3">
        <f t="shared" si="209"/>
        <v>0</v>
      </c>
      <c r="AP731" s="3">
        <f t="shared" si="210"/>
        <v>8</v>
      </c>
      <c r="AR731">
        <f t="shared" si="211"/>
        <v>0</v>
      </c>
      <c r="AS731">
        <f t="shared" si="212"/>
        <v>0</v>
      </c>
    </row>
    <row r="732" ht="14.25" customHeight="1" spans="1:45">
      <c r="A732" s="3" t="str">
        <f>IF(对接源_01水果!$C732="","",对接源_01水果!$C732)</f>
        <v/>
      </c>
      <c r="B732" s="3">
        <f t="shared" si="196"/>
        <v>0</v>
      </c>
      <c r="C732" s="3">
        <f t="shared" si="197"/>
        <v>18</v>
      </c>
      <c r="K732" s="3">
        <f>IF(OR($K$1="",对接源_01水果!$C732="",对接源_01水果!$C732&lt;&gt;$K$1,对接源_01水果!$B732=""),0,IF(OR(N(对接源_01水果!$B732)&lt;$K$2,N(对接源_01水果!$B732)&gt;$K$3),0,1))</f>
        <v>0</v>
      </c>
      <c r="L732" s="3">
        <f>IF(OR($L$1="",对接源_01水果!$C732="",对接源_01水果!$C732&lt;&gt;$L$1,对接源_01水果!$B732=""),0,IF(OR(N(对接源_01水果!$B732)&lt;$L$2,N(对接源_01水果!$B732)&gt;$L$3),0,1))</f>
        <v>0</v>
      </c>
      <c r="M732" s="3">
        <f>IF(OR($M$1="",对接源_01水果!$C732="",对接源_01水果!$C732&lt;&gt;$M$1,对接源_01水果!$B732=""),0,IF(OR(N(对接源_01水果!$B732)&lt;$M$2,N(对接源_01水果!$B732)&gt;$M$3),0,1))</f>
        <v>0</v>
      </c>
      <c r="N732" s="3">
        <f>IF(OR($N$1="",对接源_01水果!$C732="",对接源_01水果!$C732&lt;&gt;$N$1,对接源_01水果!$B732=""),0,IF(OR(N(对接源_01水果!$B732)&lt;$N$2,N(对接源_01水果!$B732)&gt;$N$3),0,1))</f>
        <v>0</v>
      </c>
      <c r="P732" s="3">
        <f>IF(AND($K732=1,AND(对接源_01水果!$X732="公司筐",N(对接源_01水果!$T732)&lt;&gt;0)),1,0)</f>
        <v>0</v>
      </c>
      <c r="Q732" s="3">
        <f t="shared" si="198"/>
        <v>0</v>
      </c>
      <c r="R732" s="3">
        <f>IF(AND($K732=1,AND(对接源_01水果!$X732="公司筐",N(对接源_01水果!$U732)&lt;&gt;0)),1,0)</f>
        <v>0</v>
      </c>
      <c r="S732" s="3">
        <f t="shared" si="199"/>
        <v>0</v>
      </c>
      <c r="T732" s="3">
        <f>IF(AND($K732=1,AND(对接源_01水果!$X732="公司筐",N(对接源_01水果!$V732)&lt;&gt;0)),1,0)</f>
        <v>0</v>
      </c>
      <c r="U732" s="3">
        <f t="shared" si="200"/>
        <v>19</v>
      </c>
      <c r="V732" s="3">
        <f>IF(AND($L732=1,AND(对接源_01水果!$X732="自备筐",N(对接源_01水果!$V732)&lt;&gt;0)),1,0)</f>
        <v>0</v>
      </c>
      <c r="W732" s="3">
        <f t="shared" si="201"/>
        <v>8</v>
      </c>
      <c r="X732" s="3">
        <f>IF(AND($L732=1,AND(对接源_01水果!$X732="自备筐",N(对接源_01水果!$T732)&lt;&gt;0)),1,0)</f>
        <v>0</v>
      </c>
      <c r="Y732" s="3">
        <f t="shared" si="202"/>
        <v>0</v>
      </c>
      <c r="Z732" s="3">
        <f>IF(AND($M732=1,对接源_01水果!$D732="原料入库"),1,0)</f>
        <v>0</v>
      </c>
      <c r="AA732" s="3">
        <f t="shared" si="203"/>
        <v>24</v>
      </c>
      <c r="AB732" s="3">
        <f>IF(AND($M732=1,LEFT(对接源_01水果!$D732,4)="原料出库"),1,0)</f>
        <v>0</v>
      </c>
      <c r="AC732" s="3">
        <f t="shared" si="204"/>
        <v>0</v>
      </c>
      <c r="AD732" s="3">
        <f>IF(AND($M732=1,LEFT(对接源_01水果!$D732,4)="成品出库"),1,0)</f>
        <v>0</v>
      </c>
      <c r="AE732" s="3">
        <f t="shared" si="205"/>
        <v>0</v>
      </c>
      <c r="AF732" s="3">
        <f>IF(AND($N732=1,AND(LEFT(对接源_01水果!$D732,4)="包装物料",N(对接源_01水果!$K732)&lt;&gt;0)),1,0)</f>
        <v>0</v>
      </c>
      <c r="AG732" s="3">
        <f t="shared" si="206"/>
        <v>0</v>
      </c>
      <c r="AH732" s="3">
        <f>IF(AND($N732=1,AND(对接源_01水果!$D732="周转筐－销售出库",N(对接源_01水果!$K732)&lt;&gt;0)),1,0)</f>
        <v>0</v>
      </c>
      <c r="AI732" s="3">
        <f t="shared" si="207"/>
        <v>0</v>
      </c>
      <c r="AJ732" s="7"/>
      <c r="AL732" s="3">
        <f>IF(OR($AL$1="",对接源_01水果!$Y732="",对接源_01水果!$Y732&lt;&gt;$AL$1,对接源_01水果!$B732="",N(对接源_01水果!$AJ732)&lt;=0),0,IF(OR(N(对接源_01水果!$B732)&lt;$AL$2,N(对接源_01水果!$B732)&gt;$AL$3),0,1))</f>
        <v>0</v>
      </c>
      <c r="AM732" s="3">
        <f t="shared" si="208"/>
        <v>1</v>
      </c>
      <c r="AN732" s="3" t="str">
        <f>IF(对接源_01水果!$AC732="","",对接源_01水果!$AC732)</f>
        <v/>
      </c>
      <c r="AO732" s="3">
        <f t="shared" si="209"/>
        <v>0</v>
      </c>
      <c r="AP732" s="3">
        <f t="shared" si="210"/>
        <v>8</v>
      </c>
      <c r="AR732">
        <f t="shared" si="211"/>
        <v>0</v>
      </c>
      <c r="AS732">
        <f t="shared" si="212"/>
        <v>0</v>
      </c>
    </row>
    <row r="733" ht="14.25" customHeight="1" spans="1:45">
      <c r="A733" s="3" t="str">
        <f>IF(对接源_01水果!$C733="","",对接源_01水果!$C733)</f>
        <v/>
      </c>
      <c r="B733" s="3">
        <f t="shared" si="196"/>
        <v>0</v>
      </c>
      <c r="C733" s="3">
        <f t="shared" si="197"/>
        <v>18</v>
      </c>
      <c r="K733" s="3">
        <f>IF(OR($K$1="",对接源_01水果!$C733="",对接源_01水果!$C733&lt;&gt;$K$1,对接源_01水果!$B733=""),0,IF(OR(N(对接源_01水果!$B733)&lt;$K$2,N(对接源_01水果!$B733)&gt;$K$3),0,1))</f>
        <v>0</v>
      </c>
      <c r="L733" s="3">
        <f>IF(OR($L$1="",对接源_01水果!$C733="",对接源_01水果!$C733&lt;&gt;$L$1,对接源_01水果!$B733=""),0,IF(OR(N(对接源_01水果!$B733)&lt;$L$2,N(对接源_01水果!$B733)&gt;$L$3),0,1))</f>
        <v>0</v>
      </c>
      <c r="M733" s="3">
        <f>IF(OR($M$1="",对接源_01水果!$C733="",对接源_01水果!$C733&lt;&gt;$M$1,对接源_01水果!$B733=""),0,IF(OR(N(对接源_01水果!$B733)&lt;$M$2,N(对接源_01水果!$B733)&gt;$M$3),0,1))</f>
        <v>0</v>
      </c>
      <c r="N733" s="3">
        <f>IF(OR($N$1="",对接源_01水果!$C733="",对接源_01水果!$C733&lt;&gt;$N$1,对接源_01水果!$B733=""),0,IF(OR(N(对接源_01水果!$B733)&lt;$N$2,N(对接源_01水果!$B733)&gt;$N$3),0,1))</f>
        <v>0</v>
      </c>
      <c r="P733" s="3">
        <f>IF(AND($K733=1,AND(对接源_01水果!$X733="公司筐",N(对接源_01水果!$T733)&lt;&gt;0)),1,0)</f>
        <v>0</v>
      </c>
      <c r="Q733" s="3">
        <f t="shared" si="198"/>
        <v>0</v>
      </c>
      <c r="R733" s="3">
        <f>IF(AND($K733=1,AND(对接源_01水果!$X733="公司筐",N(对接源_01水果!$U733)&lt;&gt;0)),1,0)</f>
        <v>0</v>
      </c>
      <c r="S733" s="3">
        <f t="shared" si="199"/>
        <v>0</v>
      </c>
      <c r="T733" s="3">
        <f>IF(AND($K733=1,AND(对接源_01水果!$X733="公司筐",N(对接源_01水果!$V733)&lt;&gt;0)),1,0)</f>
        <v>0</v>
      </c>
      <c r="U733" s="3">
        <f t="shared" si="200"/>
        <v>19</v>
      </c>
      <c r="V733" s="3">
        <f>IF(AND($L733=1,AND(对接源_01水果!$X733="自备筐",N(对接源_01水果!$V733)&lt;&gt;0)),1,0)</f>
        <v>0</v>
      </c>
      <c r="W733" s="3">
        <f t="shared" si="201"/>
        <v>8</v>
      </c>
      <c r="X733" s="3">
        <f>IF(AND($L733=1,AND(对接源_01水果!$X733="自备筐",N(对接源_01水果!$T733)&lt;&gt;0)),1,0)</f>
        <v>0</v>
      </c>
      <c r="Y733" s="3">
        <f t="shared" si="202"/>
        <v>0</v>
      </c>
      <c r="Z733" s="3">
        <f>IF(AND($M733=1,对接源_01水果!$D733="原料入库"),1,0)</f>
        <v>0</v>
      </c>
      <c r="AA733" s="3">
        <f t="shared" si="203"/>
        <v>24</v>
      </c>
      <c r="AB733" s="3">
        <f>IF(AND($M733=1,LEFT(对接源_01水果!$D733,4)="原料出库"),1,0)</f>
        <v>0</v>
      </c>
      <c r="AC733" s="3">
        <f t="shared" si="204"/>
        <v>0</v>
      </c>
      <c r="AD733" s="3">
        <f>IF(AND($M733=1,LEFT(对接源_01水果!$D733,4)="成品出库"),1,0)</f>
        <v>0</v>
      </c>
      <c r="AE733" s="3">
        <f t="shared" si="205"/>
        <v>0</v>
      </c>
      <c r="AF733" s="3">
        <f>IF(AND($N733=1,AND(LEFT(对接源_01水果!$D733,4)="包装物料",N(对接源_01水果!$K733)&lt;&gt;0)),1,0)</f>
        <v>0</v>
      </c>
      <c r="AG733" s="3">
        <f t="shared" si="206"/>
        <v>0</v>
      </c>
      <c r="AH733" s="3">
        <f>IF(AND($N733=1,AND(对接源_01水果!$D733="周转筐－销售出库",N(对接源_01水果!$K733)&lt;&gt;0)),1,0)</f>
        <v>0</v>
      </c>
      <c r="AI733" s="3">
        <f t="shared" si="207"/>
        <v>0</v>
      </c>
      <c r="AJ733" s="7"/>
      <c r="AL733" s="3">
        <f>IF(OR($AL$1="",对接源_01水果!$Y733="",对接源_01水果!$Y733&lt;&gt;$AL$1,对接源_01水果!$B733="",N(对接源_01水果!$AJ733)&lt;=0),0,IF(OR(N(对接源_01水果!$B733)&lt;$AL$2,N(对接源_01水果!$B733)&gt;$AL$3),0,1))</f>
        <v>0</v>
      </c>
      <c r="AM733" s="3">
        <f t="shared" si="208"/>
        <v>1</v>
      </c>
      <c r="AN733" s="3" t="str">
        <f>IF(对接源_01水果!$AC733="","",对接源_01水果!$AC733)</f>
        <v/>
      </c>
      <c r="AO733" s="3">
        <f t="shared" si="209"/>
        <v>0</v>
      </c>
      <c r="AP733" s="3">
        <f t="shared" si="210"/>
        <v>8</v>
      </c>
      <c r="AR733">
        <f t="shared" si="211"/>
        <v>0</v>
      </c>
      <c r="AS733">
        <f t="shared" si="212"/>
        <v>0</v>
      </c>
    </row>
    <row r="734" ht="14.25" customHeight="1" spans="1:45">
      <c r="A734" s="3" t="str">
        <f>IF(对接源_01水果!$C734="","",对接源_01水果!$C734)</f>
        <v/>
      </c>
      <c r="B734" s="3">
        <f t="shared" si="196"/>
        <v>0</v>
      </c>
      <c r="C734" s="3">
        <f t="shared" si="197"/>
        <v>18</v>
      </c>
      <c r="K734" s="3">
        <f>IF(OR($K$1="",对接源_01水果!$C734="",对接源_01水果!$C734&lt;&gt;$K$1,对接源_01水果!$B734=""),0,IF(OR(N(对接源_01水果!$B734)&lt;$K$2,N(对接源_01水果!$B734)&gt;$K$3),0,1))</f>
        <v>0</v>
      </c>
      <c r="L734" s="3">
        <f>IF(OR($L$1="",对接源_01水果!$C734="",对接源_01水果!$C734&lt;&gt;$L$1,对接源_01水果!$B734=""),0,IF(OR(N(对接源_01水果!$B734)&lt;$L$2,N(对接源_01水果!$B734)&gt;$L$3),0,1))</f>
        <v>0</v>
      </c>
      <c r="M734" s="3">
        <f>IF(OR($M$1="",对接源_01水果!$C734="",对接源_01水果!$C734&lt;&gt;$M$1,对接源_01水果!$B734=""),0,IF(OR(N(对接源_01水果!$B734)&lt;$M$2,N(对接源_01水果!$B734)&gt;$M$3),0,1))</f>
        <v>0</v>
      </c>
      <c r="N734" s="3">
        <f>IF(OR($N$1="",对接源_01水果!$C734="",对接源_01水果!$C734&lt;&gt;$N$1,对接源_01水果!$B734=""),0,IF(OR(N(对接源_01水果!$B734)&lt;$N$2,N(对接源_01水果!$B734)&gt;$N$3),0,1))</f>
        <v>0</v>
      </c>
      <c r="P734" s="3">
        <f>IF(AND($K734=1,AND(对接源_01水果!$X734="公司筐",N(对接源_01水果!$T734)&lt;&gt;0)),1,0)</f>
        <v>0</v>
      </c>
      <c r="Q734" s="3">
        <f t="shared" si="198"/>
        <v>0</v>
      </c>
      <c r="R734" s="3">
        <f>IF(AND($K734=1,AND(对接源_01水果!$X734="公司筐",N(对接源_01水果!$U734)&lt;&gt;0)),1,0)</f>
        <v>0</v>
      </c>
      <c r="S734" s="3">
        <f t="shared" si="199"/>
        <v>0</v>
      </c>
      <c r="T734" s="3">
        <f>IF(AND($K734=1,AND(对接源_01水果!$X734="公司筐",N(对接源_01水果!$V734)&lt;&gt;0)),1,0)</f>
        <v>0</v>
      </c>
      <c r="U734" s="3">
        <f t="shared" si="200"/>
        <v>19</v>
      </c>
      <c r="V734" s="3">
        <f>IF(AND($L734=1,AND(对接源_01水果!$X734="自备筐",N(对接源_01水果!$V734)&lt;&gt;0)),1,0)</f>
        <v>0</v>
      </c>
      <c r="W734" s="3">
        <f t="shared" si="201"/>
        <v>8</v>
      </c>
      <c r="X734" s="3">
        <f>IF(AND($L734=1,AND(对接源_01水果!$X734="自备筐",N(对接源_01水果!$T734)&lt;&gt;0)),1,0)</f>
        <v>0</v>
      </c>
      <c r="Y734" s="3">
        <f t="shared" si="202"/>
        <v>0</v>
      </c>
      <c r="Z734" s="3">
        <f>IF(AND($M734=1,对接源_01水果!$D734="原料入库"),1,0)</f>
        <v>0</v>
      </c>
      <c r="AA734" s="3">
        <f t="shared" si="203"/>
        <v>24</v>
      </c>
      <c r="AB734" s="3">
        <f>IF(AND($M734=1,LEFT(对接源_01水果!$D734,4)="原料出库"),1,0)</f>
        <v>0</v>
      </c>
      <c r="AC734" s="3">
        <f t="shared" si="204"/>
        <v>0</v>
      </c>
      <c r="AD734" s="3">
        <f>IF(AND($M734=1,LEFT(对接源_01水果!$D734,4)="成品出库"),1,0)</f>
        <v>0</v>
      </c>
      <c r="AE734" s="3">
        <f t="shared" si="205"/>
        <v>0</v>
      </c>
      <c r="AF734" s="3">
        <f>IF(AND($N734=1,AND(LEFT(对接源_01水果!$D734,4)="包装物料",N(对接源_01水果!$K734)&lt;&gt;0)),1,0)</f>
        <v>0</v>
      </c>
      <c r="AG734" s="3">
        <f t="shared" si="206"/>
        <v>0</v>
      </c>
      <c r="AH734" s="3">
        <f>IF(AND($N734=1,AND(对接源_01水果!$D734="周转筐－销售出库",N(对接源_01水果!$K734)&lt;&gt;0)),1,0)</f>
        <v>0</v>
      </c>
      <c r="AI734" s="3">
        <f t="shared" si="207"/>
        <v>0</v>
      </c>
      <c r="AJ734" s="7"/>
      <c r="AL734" s="3">
        <f>IF(OR($AL$1="",对接源_01水果!$Y734="",对接源_01水果!$Y734&lt;&gt;$AL$1,对接源_01水果!$B734="",N(对接源_01水果!$AJ734)&lt;=0),0,IF(OR(N(对接源_01水果!$B734)&lt;$AL$2,N(对接源_01水果!$B734)&gt;$AL$3),0,1))</f>
        <v>0</v>
      </c>
      <c r="AM734" s="3">
        <f t="shared" si="208"/>
        <v>1</v>
      </c>
      <c r="AN734" s="3" t="str">
        <f>IF(对接源_01水果!$AC734="","",对接源_01水果!$AC734)</f>
        <v/>
      </c>
      <c r="AO734" s="3">
        <f t="shared" si="209"/>
        <v>0</v>
      </c>
      <c r="AP734" s="3">
        <f t="shared" si="210"/>
        <v>8</v>
      </c>
      <c r="AR734">
        <f t="shared" si="211"/>
        <v>0</v>
      </c>
      <c r="AS734">
        <f t="shared" si="212"/>
        <v>0</v>
      </c>
    </row>
    <row r="735" ht="14.25" customHeight="1" spans="1:45">
      <c r="A735" s="3" t="str">
        <f>IF(对接源_01水果!$C735="","",对接源_01水果!$C735)</f>
        <v/>
      </c>
      <c r="B735" s="3">
        <f t="shared" si="196"/>
        <v>0</v>
      </c>
      <c r="C735" s="3">
        <f t="shared" si="197"/>
        <v>18</v>
      </c>
      <c r="K735" s="3">
        <f>IF(OR($K$1="",对接源_01水果!$C735="",对接源_01水果!$C735&lt;&gt;$K$1,对接源_01水果!$B735=""),0,IF(OR(N(对接源_01水果!$B735)&lt;$K$2,N(对接源_01水果!$B735)&gt;$K$3),0,1))</f>
        <v>0</v>
      </c>
      <c r="L735" s="3">
        <f>IF(OR($L$1="",对接源_01水果!$C735="",对接源_01水果!$C735&lt;&gt;$L$1,对接源_01水果!$B735=""),0,IF(OR(N(对接源_01水果!$B735)&lt;$L$2,N(对接源_01水果!$B735)&gt;$L$3),0,1))</f>
        <v>0</v>
      </c>
      <c r="M735" s="3">
        <f>IF(OR($M$1="",对接源_01水果!$C735="",对接源_01水果!$C735&lt;&gt;$M$1,对接源_01水果!$B735=""),0,IF(OR(N(对接源_01水果!$B735)&lt;$M$2,N(对接源_01水果!$B735)&gt;$M$3),0,1))</f>
        <v>0</v>
      </c>
      <c r="N735" s="3">
        <f>IF(OR($N$1="",对接源_01水果!$C735="",对接源_01水果!$C735&lt;&gt;$N$1,对接源_01水果!$B735=""),0,IF(OR(N(对接源_01水果!$B735)&lt;$N$2,N(对接源_01水果!$B735)&gt;$N$3),0,1))</f>
        <v>0</v>
      </c>
      <c r="P735" s="3">
        <f>IF(AND($K735=1,AND(对接源_01水果!$X735="公司筐",N(对接源_01水果!$T735)&lt;&gt;0)),1,0)</f>
        <v>0</v>
      </c>
      <c r="Q735" s="3">
        <f t="shared" si="198"/>
        <v>0</v>
      </c>
      <c r="R735" s="3">
        <f>IF(AND($K735=1,AND(对接源_01水果!$X735="公司筐",N(对接源_01水果!$U735)&lt;&gt;0)),1,0)</f>
        <v>0</v>
      </c>
      <c r="S735" s="3">
        <f t="shared" si="199"/>
        <v>0</v>
      </c>
      <c r="T735" s="3">
        <f>IF(AND($K735=1,AND(对接源_01水果!$X735="公司筐",N(对接源_01水果!$V735)&lt;&gt;0)),1,0)</f>
        <v>0</v>
      </c>
      <c r="U735" s="3">
        <f t="shared" si="200"/>
        <v>19</v>
      </c>
      <c r="V735" s="3">
        <f>IF(AND($L735=1,AND(对接源_01水果!$X735="自备筐",N(对接源_01水果!$V735)&lt;&gt;0)),1,0)</f>
        <v>0</v>
      </c>
      <c r="W735" s="3">
        <f t="shared" si="201"/>
        <v>8</v>
      </c>
      <c r="X735" s="3">
        <f>IF(AND($L735=1,AND(对接源_01水果!$X735="自备筐",N(对接源_01水果!$T735)&lt;&gt;0)),1,0)</f>
        <v>0</v>
      </c>
      <c r="Y735" s="3">
        <f t="shared" si="202"/>
        <v>0</v>
      </c>
      <c r="Z735" s="3">
        <f>IF(AND($M735=1,对接源_01水果!$D735="原料入库"),1,0)</f>
        <v>0</v>
      </c>
      <c r="AA735" s="3">
        <f t="shared" si="203"/>
        <v>24</v>
      </c>
      <c r="AB735" s="3">
        <f>IF(AND($M735=1,LEFT(对接源_01水果!$D735,4)="原料出库"),1,0)</f>
        <v>0</v>
      </c>
      <c r="AC735" s="3">
        <f t="shared" si="204"/>
        <v>0</v>
      </c>
      <c r="AD735" s="3">
        <f>IF(AND($M735=1,LEFT(对接源_01水果!$D735,4)="成品出库"),1,0)</f>
        <v>0</v>
      </c>
      <c r="AE735" s="3">
        <f t="shared" si="205"/>
        <v>0</v>
      </c>
      <c r="AF735" s="3">
        <f>IF(AND($N735=1,AND(LEFT(对接源_01水果!$D735,4)="包装物料",N(对接源_01水果!$K735)&lt;&gt;0)),1,0)</f>
        <v>0</v>
      </c>
      <c r="AG735" s="3">
        <f t="shared" si="206"/>
        <v>0</v>
      </c>
      <c r="AH735" s="3">
        <f>IF(AND($N735=1,AND(对接源_01水果!$D735="周转筐－销售出库",N(对接源_01水果!$K735)&lt;&gt;0)),1,0)</f>
        <v>0</v>
      </c>
      <c r="AI735" s="3">
        <f t="shared" si="207"/>
        <v>0</v>
      </c>
      <c r="AJ735" s="7"/>
      <c r="AL735" s="3">
        <f>IF(OR($AL$1="",对接源_01水果!$Y735="",对接源_01水果!$Y735&lt;&gt;$AL$1,对接源_01水果!$B735="",N(对接源_01水果!$AJ735)&lt;=0),0,IF(OR(N(对接源_01水果!$B735)&lt;$AL$2,N(对接源_01水果!$B735)&gt;$AL$3),0,1))</f>
        <v>0</v>
      </c>
      <c r="AM735" s="3">
        <f t="shared" si="208"/>
        <v>1</v>
      </c>
      <c r="AN735" s="3" t="str">
        <f>IF(对接源_01水果!$AC735="","",对接源_01水果!$AC735)</f>
        <v/>
      </c>
      <c r="AO735" s="3">
        <f t="shared" si="209"/>
        <v>0</v>
      </c>
      <c r="AP735" s="3">
        <f t="shared" si="210"/>
        <v>8</v>
      </c>
      <c r="AR735">
        <f t="shared" si="211"/>
        <v>0</v>
      </c>
      <c r="AS735">
        <f t="shared" si="212"/>
        <v>0</v>
      </c>
    </row>
    <row r="736" ht="14.25" customHeight="1" spans="1:45">
      <c r="A736" s="3" t="str">
        <f>IF(对接源_01水果!$C736="","",对接源_01水果!$C736)</f>
        <v/>
      </c>
      <c r="B736" s="3">
        <f t="shared" si="196"/>
        <v>0</v>
      </c>
      <c r="C736" s="3">
        <f t="shared" si="197"/>
        <v>18</v>
      </c>
      <c r="K736" s="3">
        <f>IF(OR($K$1="",对接源_01水果!$C736="",对接源_01水果!$C736&lt;&gt;$K$1,对接源_01水果!$B736=""),0,IF(OR(N(对接源_01水果!$B736)&lt;$K$2,N(对接源_01水果!$B736)&gt;$K$3),0,1))</f>
        <v>0</v>
      </c>
      <c r="L736" s="3">
        <f>IF(OR($L$1="",对接源_01水果!$C736="",对接源_01水果!$C736&lt;&gt;$L$1,对接源_01水果!$B736=""),0,IF(OR(N(对接源_01水果!$B736)&lt;$L$2,N(对接源_01水果!$B736)&gt;$L$3),0,1))</f>
        <v>0</v>
      </c>
      <c r="M736" s="3">
        <f>IF(OR($M$1="",对接源_01水果!$C736="",对接源_01水果!$C736&lt;&gt;$M$1,对接源_01水果!$B736=""),0,IF(OR(N(对接源_01水果!$B736)&lt;$M$2,N(对接源_01水果!$B736)&gt;$M$3),0,1))</f>
        <v>0</v>
      </c>
      <c r="N736" s="3">
        <f>IF(OR($N$1="",对接源_01水果!$C736="",对接源_01水果!$C736&lt;&gt;$N$1,对接源_01水果!$B736=""),0,IF(OR(N(对接源_01水果!$B736)&lt;$N$2,N(对接源_01水果!$B736)&gt;$N$3),0,1))</f>
        <v>0</v>
      </c>
      <c r="P736" s="3">
        <f>IF(AND($K736=1,AND(对接源_01水果!$X736="公司筐",N(对接源_01水果!$T736)&lt;&gt;0)),1,0)</f>
        <v>0</v>
      </c>
      <c r="Q736" s="3">
        <f t="shared" si="198"/>
        <v>0</v>
      </c>
      <c r="R736" s="3">
        <f>IF(AND($K736=1,AND(对接源_01水果!$X736="公司筐",N(对接源_01水果!$U736)&lt;&gt;0)),1,0)</f>
        <v>0</v>
      </c>
      <c r="S736" s="3">
        <f t="shared" si="199"/>
        <v>0</v>
      </c>
      <c r="T736" s="3">
        <f>IF(AND($K736=1,AND(对接源_01水果!$X736="公司筐",N(对接源_01水果!$V736)&lt;&gt;0)),1,0)</f>
        <v>0</v>
      </c>
      <c r="U736" s="3">
        <f t="shared" si="200"/>
        <v>19</v>
      </c>
      <c r="V736" s="3">
        <f>IF(AND($L736=1,AND(对接源_01水果!$X736="自备筐",N(对接源_01水果!$V736)&lt;&gt;0)),1,0)</f>
        <v>0</v>
      </c>
      <c r="W736" s="3">
        <f t="shared" si="201"/>
        <v>8</v>
      </c>
      <c r="X736" s="3">
        <f>IF(AND($L736=1,AND(对接源_01水果!$X736="自备筐",N(对接源_01水果!$T736)&lt;&gt;0)),1,0)</f>
        <v>0</v>
      </c>
      <c r="Y736" s="3">
        <f t="shared" si="202"/>
        <v>0</v>
      </c>
      <c r="Z736" s="3">
        <f>IF(AND($M736=1,对接源_01水果!$D736="原料入库"),1,0)</f>
        <v>0</v>
      </c>
      <c r="AA736" s="3">
        <f t="shared" si="203"/>
        <v>24</v>
      </c>
      <c r="AB736" s="3">
        <f>IF(AND($M736=1,LEFT(对接源_01水果!$D736,4)="原料出库"),1,0)</f>
        <v>0</v>
      </c>
      <c r="AC736" s="3">
        <f t="shared" si="204"/>
        <v>0</v>
      </c>
      <c r="AD736" s="3">
        <f>IF(AND($M736=1,LEFT(对接源_01水果!$D736,4)="成品出库"),1,0)</f>
        <v>0</v>
      </c>
      <c r="AE736" s="3">
        <f t="shared" si="205"/>
        <v>0</v>
      </c>
      <c r="AF736" s="3">
        <f>IF(AND($N736=1,AND(LEFT(对接源_01水果!$D736,4)="包装物料",N(对接源_01水果!$K736)&lt;&gt;0)),1,0)</f>
        <v>0</v>
      </c>
      <c r="AG736" s="3">
        <f t="shared" si="206"/>
        <v>0</v>
      </c>
      <c r="AH736" s="3">
        <f>IF(AND($N736=1,AND(对接源_01水果!$D736="周转筐－销售出库",N(对接源_01水果!$K736)&lt;&gt;0)),1,0)</f>
        <v>0</v>
      </c>
      <c r="AI736" s="3">
        <f t="shared" si="207"/>
        <v>0</v>
      </c>
      <c r="AJ736" s="7"/>
      <c r="AL736" s="3">
        <f>IF(OR($AL$1="",对接源_01水果!$Y736="",对接源_01水果!$Y736&lt;&gt;$AL$1,对接源_01水果!$B736="",N(对接源_01水果!$AJ736)&lt;=0),0,IF(OR(N(对接源_01水果!$B736)&lt;$AL$2,N(对接源_01水果!$B736)&gt;$AL$3),0,1))</f>
        <v>0</v>
      </c>
      <c r="AM736" s="3">
        <f t="shared" si="208"/>
        <v>1</v>
      </c>
      <c r="AN736" s="3" t="str">
        <f>IF(对接源_01水果!$AC736="","",对接源_01水果!$AC736)</f>
        <v/>
      </c>
      <c r="AO736" s="3">
        <f t="shared" si="209"/>
        <v>0</v>
      </c>
      <c r="AP736" s="3">
        <f t="shared" si="210"/>
        <v>8</v>
      </c>
      <c r="AR736">
        <f t="shared" si="211"/>
        <v>0</v>
      </c>
      <c r="AS736">
        <f t="shared" si="212"/>
        <v>0</v>
      </c>
    </row>
    <row r="737" ht="14.25" customHeight="1" spans="1:45">
      <c r="A737" s="3" t="str">
        <f>IF(对接源_01水果!$C737="","",对接源_01水果!$C737)</f>
        <v/>
      </c>
      <c r="B737" s="3">
        <f t="shared" si="196"/>
        <v>0</v>
      </c>
      <c r="C737" s="3">
        <f t="shared" si="197"/>
        <v>18</v>
      </c>
      <c r="K737" s="3">
        <f>IF(OR($K$1="",对接源_01水果!$C737="",对接源_01水果!$C737&lt;&gt;$K$1,对接源_01水果!$B737=""),0,IF(OR(N(对接源_01水果!$B737)&lt;$K$2,N(对接源_01水果!$B737)&gt;$K$3),0,1))</f>
        <v>0</v>
      </c>
      <c r="L737" s="3">
        <f>IF(OR($L$1="",对接源_01水果!$C737="",对接源_01水果!$C737&lt;&gt;$L$1,对接源_01水果!$B737=""),0,IF(OR(N(对接源_01水果!$B737)&lt;$L$2,N(对接源_01水果!$B737)&gt;$L$3),0,1))</f>
        <v>0</v>
      </c>
      <c r="M737" s="3">
        <f>IF(OR($M$1="",对接源_01水果!$C737="",对接源_01水果!$C737&lt;&gt;$M$1,对接源_01水果!$B737=""),0,IF(OR(N(对接源_01水果!$B737)&lt;$M$2,N(对接源_01水果!$B737)&gt;$M$3),0,1))</f>
        <v>0</v>
      </c>
      <c r="N737" s="3">
        <f>IF(OR($N$1="",对接源_01水果!$C737="",对接源_01水果!$C737&lt;&gt;$N$1,对接源_01水果!$B737=""),0,IF(OR(N(对接源_01水果!$B737)&lt;$N$2,N(对接源_01水果!$B737)&gt;$N$3),0,1))</f>
        <v>0</v>
      </c>
      <c r="P737" s="3">
        <f>IF(AND($K737=1,AND(对接源_01水果!$X737="公司筐",N(对接源_01水果!$T737)&lt;&gt;0)),1,0)</f>
        <v>0</v>
      </c>
      <c r="Q737" s="3">
        <f t="shared" si="198"/>
        <v>0</v>
      </c>
      <c r="R737" s="3">
        <f>IF(AND($K737=1,AND(对接源_01水果!$X737="公司筐",N(对接源_01水果!$U737)&lt;&gt;0)),1,0)</f>
        <v>0</v>
      </c>
      <c r="S737" s="3">
        <f t="shared" si="199"/>
        <v>0</v>
      </c>
      <c r="T737" s="3">
        <f>IF(AND($K737=1,AND(对接源_01水果!$X737="公司筐",N(对接源_01水果!$V737)&lt;&gt;0)),1,0)</f>
        <v>0</v>
      </c>
      <c r="U737" s="3">
        <f t="shared" si="200"/>
        <v>19</v>
      </c>
      <c r="V737" s="3">
        <f>IF(AND($L737=1,AND(对接源_01水果!$X737="自备筐",N(对接源_01水果!$V737)&lt;&gt;0)),1,0)</f>
        <v>0</v>
      </c>
      <c r="W737" s="3">
        <f t="shared" si="201"/>
        <v>8</v>
      </c>
      <c r="X737" s="3">
        <f>IF(AND($L737=1,AND(对接源_01水果!$X737="自备筐",N(对接源_01水果!$T737)&lt;&gt;0)),1,0)</f>
        <v>0</v>
      </c>
      <c r="Y737" s="3">
        <f t="shared" si="202"/>
        <v>0</v>
      </c>
      <c r="Z737" s="3">
        <f>IF(AND($M737=1,对接源_01水果!$D737="原料入库"),1,0)</f>
        <v>0</v>
      </c>
      <c r="AA737" s="3">
        <f t="shared" si="203"/>
        <v>24</v>
      </c>
      <c r="AB737" s="3">
        <f>IF(AND($M737=1,LEFT(对接源_01水果!$D737,4)="原料出库"),1,0)</f>
        <v>0</v>
      </c>
      <c r="AC737" s="3">
        <f t="shared" si="204"/>
        <v>0</v>
      </c>
      <c r="AD737" s="3">
        <f>IF(AND($M737=1,LEFT(对接源_01水果!$D737,4)="成品出库"),1,0)</f>
        <v>0</v>
      </c>
      <c r="AE737" s="3">
        <f t="shared" si="205"/>
        <v>0</v>
      </c>
      <c r="AF737" s="3">
        <f>IF(AND($N737=1,AND(LEFT(对接源_01水果!$D737,4)="包装物料",N(对接源_01水果!$K737)&lt;&gt;0)),1,0)</f>
        <v>0</v>
      </c>
      <c r="AG737" s="3">
        <f t="shared" si="206"/>
        <v>0</v>
      </c>
      <c r="AH737" s="3">
        <f>IF(AND($N737=1,AND(对接源_01水果!$D737="周转筐－销售出库",N(对接源_01水果!$K737)&lt;&gt;0)),1,0)</f>
        <v>0</v>
      </c>
      <c r="AI737" s="3">
        <f t="shared" si="207"/>
        <v>0</v>
      </c>
      <c r="AJ737" s="7"/>
      <c r="AL737" s="3">
        <f>IF(OR($AL$1="",对接源_01水果!$Y737="",对接源_01水果!$Y737&lt;&gt;$AL$1,对接源_01水果!$B737="",N(对接源_01水果!$AJ737)&lt;=0),0,IF(OR(N(对接源_01水果!$B737)&lt;$AL$2,N(对接源_01水果!$B737)&gt;$AL$3),0,1))</f>
        <v>0</v>
      </c>
      <c r="AM737" s="3">
        <f t="shared" si="208"/>
        <v>1</v>
      </c>
      <c r="AN737" s="3" t="str">
        <f>IF(对接源_01水果!$AC737="","",对接源_01水果!$AC737)</f>
        <v/>
      </c>
      <c r="AO737" s="3">
        <f t="shared" si="209"/>
        <v>0</v>
      </c>
      <c r="AP737" s="3">
        <f t="shared" si="210"/>
        <v>8</v>
      </c>
      <c r="AR737">
        <f t="shared" si="211"/>
        <v>0</v>
      </c>
      <c r="AS737">
        <f t="shared" si="212"/>
        <v>0</v>
      </c>
    </row>
    <row r="738" ht="14.25" customHeight="1" spans="1:45">
      <c r="A738" s="3" t="str">
        <f>IF(对接源_01水果!$C738="","",对接源_01水果!$C738)</f>
        <v/>
      </c>
      <c r="B738" s="3">
        <f t="shared" si="196"/>
        <v>0</v>
      </c>
      <c r="C738" s="3">
        <f t="shared" si="197"/>
        <v>18</v>
      </c>
      <c r="K738" s="3">
        <f>IF(OR($K$1="",对接源_01水果!$C738="",对接源_01水果!$C738&lt;&gt;$K$1,对接源_01水果!$B738=""),0,IF(OR(N(对接源_01水果!$B738)&lt;$K$2,N(对接源_01水果!$B738)&gt;$K$3),0,1))</f>
        <v>0</v>
      </c>
      <c r="L738" s="3">
        <f>IF(OR($L$1="",对接源_01水果!$C738="",对接源_01水果!$C738&lt;&gt;$L$1,对接源_01水果!$B738=""),0,IF(OR(N(对接源_01水果!$B738)&lt;$L$2,N(对接源_01水果!$B738)&gt;$L$3),0,1))</f>
        <v>0</v>
      </c>
      <c r="M738" s="3">
        <f>IF(OR($M$1="",对接源_01水果!$C738="",对接源_01水果!$C738&lt;&gt;$M$1,对接源_01水果!$B738=""),0,IF(OR(N(对接源_01水果!$B738)&lt;$M$2,N(对接源_01水果!$B738)&gt;$M$3),0,1))</f>
        <v>0</v>
      </c>
      <c r="N738" s="3">
        <f>IF(OR($N$1="",对接源_01水果!$C738="",对接源_01水果!$C738&lt;&gt;$N$1,对接源_01水果!$B738=""),0,IF(OR(N(对接源_01水果!$B738)&lt;$N$2,N(对接源_01水果!$B738)&gt;$N$3),0,1))</f>
        <v>0</v>
      </c>
      <c r="P738" s="3">
        <f>IF(AND($K738=1,AND(对接源_01水果!$X738="公司筐",N(对接源_01水果!$T738)&lt;&gt;0)),1,0)</f>
        <v>0</v>
      </c>
      <c r="Q738" s="3">
        <f t="shared" si="198"/>
        <v>0</v>
      </c>
      <c r="R738" s="3">
        <f>IF(AND($K738=1,AND(对接源_01水果!$X738="公司筐",N(对接源_01水果!$U738)&lt;&gt;0)),1,0)</f>
        <v>0</v>
      </c>
      <c r="S738" s="3">
        <f t="shared" si="199"/>
        <v>0</v>
      </c>
      <c r="T738" s="3">
        <f>IF(AND($K738=1,AND(对接源_01水果!$X738="公司筐",N(对接源_01水果!$V738)&lt;&gt;0)),1,0)</f>
        <v>0</v>
      </c>
      <c r="U738" s="3">
        <f t="shared" si="200"/>
        <v>19</v>
      </c>
      <c r="V738" s="3">
        <f>IF(AND($L738=1,AND(对接源_01水果!$X738="自备筐",N(对接源_01水果!$V738)&lt;&gt;0)),1,0)</f>
        <v>0</v>
      </c>
      <c r="W738" s="3">
        <f t="shared" si="201"/>
        <v>8</v>
      </c>
      <c r="X738" s="3">
        <f>IF(AND($L738=1,AND(对接源_01水果!$X738="自备筐",N(对接源_01水果!$T738)&lt;&gt;0)),1,0)</f>
        <v>0</v>
      </c>
      <c r="Y738" s="3">
        <f t="shared" si="202"/>
        <v>0</v>
      </c>
      <c r="Z738" s="3">
        <f>IF(AND($M738=1,对接源_01水果!$D738="原料入库"),1,0)</f>
        <v>0</v>
      </c>
      <c r="AA738" s="3">
        <f t="shared" si="203"/>
        <v>24</v>
      </c>
      <c r="AB738" s="3">
        <f>IF(AND($M738=1,LEFT(对接源_01水果!$D738,4)="原料出库"),1,0)</f>
        <v>0</v>
      </c>
      <c r="AC738" s="3">
        <f t="shared" si="204"/>
        <v>0</v>
      </c>
      <c r="AD738" s="3">
        <f>IF(AND($M738=1,LEFT(对接源_01水果!$D738,4)="成品出库"),1,0)</f>
        <v>0</v>
      </c>
      <c r="AE738" s="3">
        <f t="shared" si="205"/>
        <v>0</v>
      </c>
      <c r="AF738" s="3">
        <f>IF(AND($N738=1,AND(LEFT(对接源_01水果!$D738,4)="包装物料",N(对接源_01水果!$K738)&lt;&gt;0)),1,0)</f>
        <v>0</v>
      </c>
      <c r="AG738" s="3">
        <f t="shared" si="206"/>
        <v>0</v>
      </c>
      <c r="AH738" s="3">
        <f>IF(AND($N738=1,AND(对接源_01水果!$D738="周转筐－销售出库",N(对接源_01水果!$K738)&lt;&gt;0)),1,0)</f>
        <v>0</v>
      </c>
      <c r="AI738" s="3">
        <f t="shared" si="207"/>
        <v>0</v>
      </c>
      <c r="AJ738" s="7"/>
      <c r="AL738" s="3">
        <f>IF(OR($AL$1="",对接源_01水果!$Y738="",对接源_01水果!$Y738&lt;&gt;$AL$1,对接源_01水果!$B738="",N(对接源_01水果!$AJ738)&lt;=0),0,IF(OR(N(对接源_01水果!$B738)&lt;$AL$2,N(对接源_01水果!$B738)&gt;$AL$3),0,1))</f>
        <v>0</v>
      </c>
      <c r="AM738" s="3">
        <f t="shared" si="208"/>
        <v>1</v>
      </c>
      <c r="AN738" s="3" t="str">
        <f>IF(对接源_01水果!$AC738="","",对接源_01水果!$AC738)</f>
        <v/>
      </c>
      <c r="AO738" s="3">
        <f t="shared" si="209"/>
        <v>0</v>
      </c>
      <c r="AP738" s="3">
        <f t="shared" si="210"/>
        <v>8</v>
      </c>
      <c r="AR738">
        <f t="shared" si="211"/>
        <v>0</v>
      </c>
      <c r="AS738">
        <f t="shared" si="212"/>
        <v>0</v>
      </c>
    </row>
    <row r="739" ht="14.25" customHeight="1" spans="1:45">
      <c r="A739" s="3" t="str">
        <f>IF(对接源_01水果!$C739="","",对接源_01水果!$C739)</f>
        <v/>
      </c>
      <c r="B739" s="3">
        <f t="shared" si="196"/>
        <v>0</v>
      </c>
      <c r="C739" s="3">
        <f t="shared" si="197"/>
        <v>18</v>
      </c>
      <c r="K739" s="3">
        <f>IF(OR($K$1="",对接源_01水果!$C739="",对接源_01水果!$C739&lt;&gt;$K$1,对接源_01水果!$B739=""),0,IF(OR(N(对接源_01水果!$B739)&lt;$K$2,N(对接源_01水果!$B739)&gt;$K$3),0,1))</f>
        <v>0</v>
      </c>
      <c r="L739" s="3">
        <f>IF(OR($L$1="",对接源_01水果!$C739="",对接源_01水果!$C739&lt;&gt;$L$1,对接源_01水果!$B739=""),0,IF(OR(N(对接源_01水果!$B739)&lt;$L$2,N(对接源_01水果!$B739)&gt;$L$3),0,1))</f>
        <v>0</v>
      </c>
      <c r="M739" s="3">
        <f>IF(OR($M$1="",对接源_01水果!$C739="",对接源_01水果!$C739&lt;&gt;$M$1,对接源_01水果!$B739=""),0,IF(OR(N(对接源_01水果!$B739)&lt;$M$2,N(对接源_01水果!$B739)&gt;$M$3),0,1))</f>
        <v>0</v>
      </c>
      <c r="N739" s="3">
        <f>IF(OR($N$1="",对接源_01水果!$C739="",对接源_01水果!$C739&lt;&gt;$N$1,对接源_01水果!$B739=""),0,IF(OR(N(对接源_01水果!$B739)&lt;$N$2,N(对接源_01水果!$B739)&gt;$N$3),0,1))</f>
        <v>0</v>
      </c>
      <c r="P739" s="3">
        <f>IF(AND($K739=1,AND(对接源_01水果!$X739="公司筐",N(对接源_01水果!$T739)&lt;&gt;0)),1,0)</f>
        <v>0</v>
      </c>
      <c r="Q739" s="3">
        <f t="shared" si="198"/>
        <v>0</v>
      </c>
      <c r="R739" s="3">
        <f>IF(AND($K739=1,AND(对接源_01水果!$X739="公司筐",N(对接源_01水果!$U739)&lt;&gt;0)),1,0)</f>
        <v>0</v>
      </c>
      <c r="S739" s="3">
        <f t="shared" si="199"/>
        <v>0</v>
      </c>
      <c r="T739" s="3">
        <f>IF(AND($K739=1,AND(对接源_01水果!$X739="公司筐",N(对接源_01水果!$V739)&lt;&gt;0)),1,0)</f>
        <v>0</v>
      </c>
      <c r="U739" s="3">
        <f t="shared" si="200"/>
        <v>19</v>
      </c>
      <c r="V739" s="3">
        <f>IF(AND($L739=1,AND(对接源_01水果!$X739="自备筐",N(对接源_01水果!$V739)&lt;&gt;0)),1,0)</f>
        <v>0</v>
      </c>
      <c r="W739" s="3">
        <f t="shared" si="201"/>
        <v>8</v>
      </c>
      <c r="X739" s="3">
        <f>IF(AND($L739=1,AND(对接源_01水果!$X739="自备筐",N(对接源_01水果!$T739)&lt;&gt;0)),1,0)</f>
        <v>0</v>
      </c>
      <c r="Y739" s="3">
        <f t="shared" si="202"/>
        <v>0</v>
      </c>
      <c r="Z739" s="3">
        <f>IF(AND($M739=1,对接源_01水果!$D739="原料入库"),1,0)</f>
        <v>0</v>
      </c>
      <c r="AA739" s="3">
        <f t="shared" si="203"/>
        <v>24</v>
      </c>
      <c r="AB739" s="3">
        <f>IF(AND($M739=1,LEFT(对接源_01水果!$D739,4)="原料出库"),1,0)</f>
        <v>0</v>
      </c>
      <c r="AC739" s="3">
        <f t="shared" si="204"/>
        <v>0</v>
      </c>
      <c r="AD739" s="3">
        <f>IF(AND($M739=1,LEFT(对接源_01水果!$D739,4)="成品出库"),1,0)</f>
        <v>0</v>
      </c>
      <c r="AE739" s="3">
        <f t="shared" si="205"/>
        <v>0</v>
      </c>
      <c r="AF739" s="3">
        <f>IF(AND($N739=1,AND(LEFT(对接源_01水果!$D739,4)="包装物料",N(对接源_01水果!$K739)&lt;&gt;0)),1,0)</f>
        <v>0</v>
      </c>
      <c r="AG739" s="3">
        <f t="shared" si="206"/>
        <v>0</v>
      </c>
      <c r="AH739" s="3">
        <f>IF(AND($N739=1,AND(对接源_01水果!$D739="周转筐－销售出库",N(对接源_01水果!$K739)&lt;&gt;0)),1,0)</f>
        <v>0</v>
      </c>
      <c r="AI739" s="3">
        <f t="shared" si="207"/>
        <v>0</v>
      </c>
      <c r="AJ739" s="7"/>
      <c r="AL739" s="3">
        <f>IF(OR($AL$1="",对接源_01水果!$Y739="",对接源_01水果!$Y739&lt;&gt;$AL$1,对接源_01水果!$B739="",N(对接源_01水果!$AJ739)&lt;=0),0,IF(OR(N(对接源_01水果!$B739)&lt;$AL$2,N(对接源_01水果!$B739)&gt;$AL$3),0,1))</f>
        <v>0</v>
      </c>
      <c r="AM739" s="3">
        <f t="shared" si="208"/>
        <v>1</v>
      </c>
      <c r="AN739" s="3" t="str">
        <f>IF(对接源_01水果!$AC739="","",对接源_01水果!$AC739)</f>
        <v/>
      </c>
      <c r="AO739" s="3">
        <f t="shared" si="209"/>
        <v>0</v>
      </c>
      <c r="AP739" s="3">
        <f t="shared" si="210"/>
        <v>8</v>
      </c>
      <c r="AR739">
        <f t="shared" si="211"/>
        <v>0</v>
      </c>
      <c r="AS739">
        <f t="shared" si="212"/>
        <v>0</v>
      </c>
    </row>
    <row r="740" ht="14.25" customHeight="1" spans="1:45">
      <c r="A740" s="3" t="str">
        <f>IF(对接源_01水果!$C740="","",对接源_01水果!$C740)</f>
        <v/>
      </c>
      <c r="B740" s="3">
        <f t="shared" si="196"/>
        <v>0</v>
      </c>
      <c r="C740" s="3">
        <f t="shared" si="197"/>
        <v>18</v>
      </c>
      <c r="K740" s="3">
        <f>IF(OR($K$1="",对接源_01水果!$C740="",对接源_01水果!$C740&lt;&gt;$K$1,对接源_01水果!$B740=""),0,IF(OR(N(对接源_01水果!$B740)&lt;$K$2,N(对接源_01水果!$B740)&gt;$K$3),0,1))</f>
        <v>0</v>
      </c>
      <c r="L740" s="3">
        <f>IF(OR($L$1="",对接源_01水果!$C740="",对接源_01水果!$C740&lt;&gt;$L$1,对接源_01水果!$B740=""),0,IF(OR(N(对接源_01水果!$B740)&lt;$L$2,N(对接源_01水果!$B740)&gt;$L$3),0,1))</f>
        <v>0</v>
      </c>
      <c r="M740" s="3">
        <f>IF(OR($M$1="",对接源_01水果!$C740="",对接源_01水果!$C740&lt;&gt;$M$1,对接源_01水果!$B740=""),0,IF(OR(N(对接源_01水果!$B740)&lt;$M$2,N(对接源_01水果!$B740)&gt;$M$3),0,1))</f>
        <v>0</v>
      </c>
      <c r="N740" s="3">
        <f>IF(OR($N$1="",对接源_01水果!$C740="",对接源_01水果!$C740&lt;&gt;$N$1,对接源_01水果!$B740=""),0,IF(OR(N(对接源_01水果!$B740)&lt;$N$2,N(对接源_01水果!$B740)&gt;$N$3),0,1))</f>
        <v>0</v>
      </c>
      <c r="P740" s="3">
        <f>IF(AND($K740=1,AND(对接源_01水果!$X740="公司筐",N(对接源_01水果!$T740)&lt;&gt;0)),1,0)</f>
        <v>0</v>
      </c>
      <c r="Q740" s="3">
        <f t="shared" si="198"/>
        <v>0</v>
      </c>
      <c r="R740" s="3">
        <f>IF(AND($K740=1,AND(对接源_01水果!$X740="公司筐",N(对接源_01水果!$U740)&lt;&gt;0)),1,0)</f>
        <v>0</v>
      </c>
      <c r="S740" s="3">
        <f t="shared" si="199"/>
        <v>0</v>
      </c>
      <c r="T740" s="3">
        <f>IF(AND($K740=1,AND(对接源_01水果!$X740="公司筐",N(对接源_01水果!$V740)&lt;&gt;0)),1,0)</f>
        <v>0</v>
      </c>
      <c r="U740" s="3">
        <f t="shared" si="200"/>
        <v>19</v>
      </c>
      <c r="V740" s="3">
        <f>IF(AND($L740=1,AND(对接源_01水果!$X740="自备筐",N(对接源_01水果!$V740)&lt;&gt;0)),1,0)</f>
        <v>0</v>
      </c>
      <c r="W740" s="3">
        <f t="shared" si="201"/>
        <v>8</v>
      </c>
      <c r="X740" s="3">
        <f>IF(AND($L740=1,AND(对接源_01水果!$X740="自备筐",N(对接源_01水果!$T740)&lt;&gt;0)),1,0)</f>
        <v>0</v>
      </c>
      <c r="Y740" s="3">
        <f t="shared" si="202"/>
        <v>0</v>
      </c>
      <c r="Z740" s="3">
        <f>IF(AND($M740=1,对接源_01水果!$D740="原料入库"),1,0)</f>
        <v>0</v>
      </c>
      <c r="AA740" s="3">
        <f t="shared" si="203"/>
        <v>24</v>
      </c>
      <c r="AB740" s="3">
        <f>IF(AND($M740=1,LEFT(对接源_01水果!$D740,4)="原料出库"),1,0)</f>
        <v>0</v>
      </c>
      <c r="AC740" s="3">
        <f t="shared" si="204"/>
        <v>0</v>
      </c>
      <c r="AD740" s="3">
        <f>IF(AND($M740=1,LEFT(对接源_01水果!$D740,4)="成品出库"),1,0)</f>
        <v>0</v>
      </c>
      <c r="AE740" s="3">
        <f t="shared" si="205"/>
        <v>0</v>
      </c>
      <c r="AF740" s="3">
        <f>IF(AND($N740=1,AND(LEFT(对接源_01水果!$D740,4)="包装物料",N(对接源_01水果!$K740)&lt;&gt;0)),1,0)</f>
        <v>0</v>
      </c>
      <c r="AG740" s="3">
        <f t="shared" si="206"/>
        <v>0</v>
      </c>
      <c r="AH740" s="3">
        <f>IF(AND($N740=1,AND(对接源_01水果!$D740="周转筐－销售出库",N(对接源_01水果!$K740)&lt;&gt;0)),1,0)</f>
        <v>0</v>
      </c>
      <c r="AI740" s="3">
        <f t="shared" si="207"/>
        <v>0</v>
      </c>
      <c r="AJ740" s="7"/>
      <c r="AL740" s="3">
        <f>IF(OR($AL$1="",对接源_01水果!$Y740="",对接源_01水果!$Y740&lt;&gt;$AL$1,对接源_01水果!$B740="",N(对接源_01水果!$AJ740)&lt;=0),0,IF(OR(N(对接源_01水果!$B740)&lt;$AL$2,N(对接源_01水果!$B740)&gt;$AL$3),0,1))</f>
        <v>0</v>
      </c>
      <c r="AM740" s="3">
        <f t="shared" si="208"/>
        <v>1</v>
      </c>
      <c r="AN740" s="3" t="str">
        <f>IF(对接源_01水果!$AC740="","",对接源_01水果!$AC740)</f>
        <v/>
      </c>
      <c r="AO740" s="3">
        <f t="shared" si="209"/>
        <v>0</v>
      </c>
      <c r="AP740" s="3">
        <f t="shared" si="210"/>
        <v>8</v>
      </c>
      <c r="AR740">
        <f t="shared" si="211"/>
        <v>0</v>
      </c>
      <c r="AS740">
        <f t="shared" si="212"/>
        <v>0</v>
      </c>
    </row>
    <row r="741" ht="14.25" customHeight="1" spans="1:45">
      <c r="A741" s="3" t="str">
        <f>IF(对接源_01水果!$C741="","",对接源_01水果!$C741)</f>
        <v/>
      </c>
      <c r="B741" s="3">
        <f t="shared" si="196"/>
        <v>0</v>
      </c>
      <c r="C741" s="3">
        <f t="shared" si="197"/>
        <v>18</v>
      </c>
      <c r="K741" s="3">
        <f>IF(OR($K$1="",对接源_01水果!$C741="",对接源_01水果!$C741&lt;&gt;$K$1,对接源_01水果!$B741=""),0,IF(OR(N(对接源_01水果!$B741)&lt;$K$2,N(对接源_01水果!$B741)&gt;$K$3),0,1))</f>
        <v>0</v>
      </c>
      <c r="L741" s="3">
        <f>IF(OR($L$1="",对接源_01水果!$C741="",对接源_01水果!$C741&lt;&gt;$L$1,对接源_01水果!$B741=""),0,IF(OR(N(对接源_01水果!$B741)&lt;$L$2,N(对接源_01水果!$B741)&gt;$L$3),0,1))</f>
        <v>0</v>
      </c>
      <c r="M741" s="3">
        <f>IF(OR($M$1="",对接源_01水果!$C741="",对接源_01水果!$C741&lt;&gt;$M$1,对接源_01水果!$B741=""),0,IF(OR(N(对接源_01水果!$B741)&lt;$M$2,N(对接源_01水果!$B741)&gt;$M$3),0,1))</f>
        <v>0</v>
      </c>
      <c r="N741" s="3">
        <f>IF(OR($N$1="",对接源_01水果!$C741="",对接源_01水果!$C741&lt;&gt;$N$1,对接源_01水果!$B741=""),0,IF(OR(N(对接源_01水果!$B741)&lt;$N$2,N(对接源_01水果!$B741)&gt;$N$3),0,1))</f>
        <v>0</v>
      </c>
      <c r="P741" s="3">
        <f>IF(AND($K741=1,AND(对接源_01水果!$X741="公司筐",N(对接源_01水果!$T741)&lt;&gt;0)),1,0)</f>
        <v>0</v>
      </c>
      <c r="Q741" s="3">
        <f t="shared" si="198"/>
        <v>0</v>
      </c>
      <c r="R741" s="3">
        <f>IF(AND($K741=1,AND(对接源_01水果!$X741="公司筐",N(对接源_01水果!$U741)&lt;&gt;0)),1,0)</f>
        <v>0</v>
      </c>
      <c r="S741" s="3">
        <f t="shared" si="199"/>
        <v>0</v>
      </c>
      <c r="T741" s="3">
        <f>IF(AND($K741=1,AND(对接源_01水果!$X741="公司筐",N(对接源_01水果!$V741)&lt;&gt;0)),1,0)</f>
        <v>0</v>
      </c>
      <c r="U741" s="3">
        <f t="shared" si="200"/>
        <v>19</v>
      </c>
      <c r="V741" s="3">
        <f>IF(AND($L741=1,AND(对接源_01水果!$X741="自备筐",N(对接源_01水果!$V741)&lt;&gt;0)),1,0)</f>
        <v>0</v>
      </c>
      <c r="W741" s="3">
        <f t="shared" si="201"/>
        <v>8</v>
      </c>
      <c r="X741" s="3">
        <f>IF(AND($L741=1,AND(对接源_01水果!$X741="自备筐",N(对接源_01水果!$T741)&lt;&gt;0)),1,0)</f>
        <v>0</v>
      </c>
      <c r="Y741" s="3">
        <f t="shared" si="202"/>
        <v>0</v>
      </c>
      <c r="Z741" s="3">
        <f>IF(AND($M741=1,对接源_01水果!$D741="原料入库"),1,0)</f>
        <v>0</v>
      </c>
      <c r="AA741" s="3">
        <f t="shared" si="203"/>
        <v>24</v>
      </c>
      <c r="AB741" s="3">
        <f>IF(AND($M741=1,LEFT(对接源_01水果!$D741,4)="原料出库"),1,0)</f>
        <v>0</v>
      </c>
      <c r="AC741" s="3">
        <f t="shared" si="204"/>
        <v>0</v>
      </c>
      <c r="AD741" s="3">
        <f>IF(AND($M741=1,LEFT(对接源_01水果!$D741,4)="成品出库"),1,0)</f>
        <v>0</v>
      </c>
      <c r="AE741" s="3">
        <f t="shared" si="205"/>
        <v>0</v>
      </c>
      <c r="AF741" s="3">
        <f>IF(AND($N741=1,AND(LEFT(对接源_01水果!$D741,4)="包装物料",N(对接源_01水果!$K741)&lt;&gt;0)),1,0)</f>
        <v>0</v>
      </c>
      <c r="AG741" s="3">
        <f t="shared" si="206"/>
        <v>0</v>
      </c>
      <c r="AH741" s="3">
        <f>IF(AND($N741=1,AND(对接源_01水果!$D741="周转筐－销售出库",N(对接源_01水果!$K741)&lt;&gt;0)),1,0)</f>
        <v>0</v>
      </c>
      <c r="AI741" s="3">
        <f t="shared" si="207"/>
        <v>0</v>
      </c>
      <c r="AJ741" s="7"/>
      <c r="AL741" s="3">
        <f>IF(OR($AL$1="",对接源_01水果!$Y741="",对接源_01水果!$Y741&lt;&gt;$AL$1,对接源_01水果!$B741="",N(对接源_01水果!$AJ741)&lt;=0),0,IF(OR(N(对接源_01水果!$B741)&lt;$AL$2,N(对接源_01水果!$B741)&gt;$AL$3),0,1))</f>
        <v>0</v>
      </c>
      <c r="AM741" s="3">
        <f t="shared" si="208"/>
        <v>1</v>
      </c>
      <c r="AN741" s="3" t="str">
        <f>IF(对接源_01水果!$AC741="","",对接源_01水果!$AC741)</f>
        <v/>
      </c>
      <c r="AO741" s="3">
        <f t="shared" si="209"/>
        <v>0</v>
      </c>
      <c r="AP741" s="3">
        <f t="shared" si="210"/>
        <v>8</v>
      </c>
      <c r="AR741">
        <f t="shared" si="211"/>
        <v>0</v>
      </c>
      <c r="AS741">
        <f t="shared" si="212"/>
        <v>0</v>
      </c>
    </row>
    <row r="742" ht="14.25" customHeight="1" spans="1:45">
      <c r="A742" s="3" t="str">
        <f>IF(对接源_01水果!$C742="","",对接源_01水果!$C742)</f>
        <v/>
      </c>
      <c r="B742" s="3">
        <f t="shared" si="196"/>
        <v>0</v>
      </c>
      <c r="C742" s="3">
        <f t="shared" si="197"/>
        <v>18</v>
      </c>
      <c r="K742" s="3">
        <f>IF(OR($K$1="",对接源_01水果!$C742="",对接源_01水果!$C742&lt;&gt;$K$1,对接源_01水果!$B742=""),0,IF(OR(N(对接源_01水果!$B742)&lt;$K$2,N(对接源_01水果!$B742)&gt;$K$3),0,1))</f>
        <v>0</v>
      </c>
      <c r="L742" s="3">
        <f>IF(OR($L$1="",对接源_01水果!$C742="",对接源_01水果!$C742&lt;&gt;$L$1,对接源_01水果!$B742=""),0,IF(OR(N(对接源_01水果!$B742)&lt;$L$2,N(对接源_01水果!$B742)&gt;$L$3),0,1))</f>
        <v>0</v>
      </c>
      <c r="M742" s="3">
        <f>IF(OR($M$1="",对接源_01水果!$C742="",对接源_01水果!$C742&lt;&gt;$M$1,对接源_01水果!$B742=""),0,IF(OR(N(对接源_01水果!$B742)&lt;$M$2,N(对接源_01水果!$B742)&gt;$M$3),0,1))</f>
        <v>0</v>
      </c>
      <c r="N742" s="3">
        <f>IF(OR($N$1="",对接源_01水果!$C742="",对接源_01水果!$C742&lt;&gt;$N$1,对接源_01水果!$B742=""),0,IF(OR(N(对接源_01水果!$B742)&lt;$N$2,N(对接源_01水果!$B742)&gt;$N$3),0,1))</f>
        <v>0</v>
      </c>
      <c r="P742" s="3">
        <f>IF(AND($K742=1,AND(对接源_01水果!$X742="公司筐",N(对接源_01水果!$T742)&lt;&gt;0)),1,0)</f>
        <v>0</v>
      </c>
      <c r="Q742" s="3">
        <f t="shared" si="198"/>
        <v>0</v>
      </c>
      <c r="R742" s="3">
        <f>IF(AND($K742=1,AND(对接源_01水果!$X742="公司筐",N(对接源_01水果!$U742)&lt;&gt;0)),1,0)</f>
        <v>0</v>
      </c>
      <c r="S742" s="3">
        <f t="shared" si="199"/>
        <v>0</v>
      </c>
      <c r="T742" s="3">
        <f>IF(AND($K742=1,AND(对接源_01水果!$X742="公司筐",N(对接源_01水果!$V742)&lt;&gt;0)),1,0)</f>
        <v>0</v>
      </c>
      <c r="U742" s="3">
        <f t="shared" si="200"/>
        <v>19</v>
      </c>
      <c r="V742" s="3">
        <f>IF(AND($L742=1,AND(对接源_01水果!$X742="自备筐",N(对接源_01水果!$V742)&lt;&gt;0)),1,0)</f>
        <v>0</v>
      </c>
      <c r="W742" s="3">
        <f t="shared" si="201"/>
        <v>8</v>
      </c>
      <c r="X742" s="3">
        <f>IF(AND($L742=1,AND(对接源_01水果!$X742="自备筐",N(对接源_01水果!$T742)&lt;&gt;0)),1,0)</f>
        <v>0</v>
      </c>
      <c r="Y742" s="3">
        <f t="shared" si="202"/>
        <v>0</v>
      </c>
      <c r="Z742" s="3">
        <f>IF(AND($M742=1,对接源_01水果!$D742="原料入库"),1,0)</f>
        <v>0</v>
      </c>
      <c r="AA742" s="3">
        <f t="shared" si="203"/>
        <v>24</v>
      </c>
      <c r="AB742" s="3">
        <f>IF(AND($M742=1,LEFT(对接源_01水果!$D742,4)="原料出库"),1,0)</f>
        <v>0</v>
      </c>
      <c r="AC742" s="3">
        <f t="shared" si="204"/>
        <v>0</v>
      </c>
      <c r="AD742" s="3">
        <f>IF(AND($M742=1,LEFT(对接源_01水果!$D742,4)="成品出库"),1,0)</f>
        <v>0</v>
      </c>
      <c r="AE742" s="3">
        <f t="shared" si="205"/>
        <v>0</v>
      </c>
      <c r="AF742" s="3">
        <f>IF(AND($N742=1,AND(LEFT(对接源_01水果!$D742,4)="包装物料",N(对接源_01水果!$K742)&lt;&gt;0)),1,0)</f>
        <v>0</v>
      </c>
      <c r="AG742" s="3">
        <f t="shared" si="206"/>
        <v>0</v>
      </c>
      <c r="AH742" s="3">
        <f>IF(AND($N742=1,AND(对接源_01水果!$D742="周转筐－销售出库",N(对接源_01水果!$K742)&lt;&gt;0)),1,0)</f>
        <v>0</v>
      </c>
      <c r="AI742" s="3">
        <f t="shared" si="207"/>
        <v>0</v>
      </c>
      <c r="AJ742" s="7"/>
      <c r="AL742" s="3">
        <f>IF(OR($AL$1="",对接源_01水果!$Y742="",对接源_01水果!$Y742&lt;&gt;$AL$1,对接源_01水果!$B742="",N(对接源_01水果!$AJ742)&lt;=0),0,IF(OR(N(对接源_01水果!$B742)&lt;$AL$2,N(对接源_01水果!$B742)&gt;$AL$3),0,1))</f>
        <v>0</v>
      </c>
      <c r="AM742" s="3">
        <f t="shared" si="208"/>
        <v>1</v>
      </c>
      <c r="AN742" s="3" t="str">
        <f>IF(对接源_01水果!$AC742="","",对接源_01水果!$AC742)</f>
        <v/>
      </c>
      <c r="AO742" s="3">
        <f t="shared" si="209"/>
        <v>0</v>
      </c>
      <c r="AP742" s="3">
        <f t="shared" si="210"/>
        <v>8</v>
      </c>
      <c r="AR742">
        <f t="shared" si="211"/>
        <v>0</v>
      </c>
      <c r="AS742">
        <f t="shared" si="212"/>
        <v>0</v>
      </c>
    </row>
    <row r="743" ht="14.25" customHeight="1" spans="1:45">
      <c r="A743" s="3" t="str">
        <f>IF(对接源_01水果!$C743="","",对接源_01水果!$C743)</f>
        <v/>
      </c>
      <c r="B743" s="3">
        <f t="shared" si="196"/>
        <v>0</v>
      </c>
      <c r="C743" s="3">
        <f t="shared" si="197"/>
        <v>18</v>
      </c>
      <c r="K743" s="3">
        <f>IF(OR($K$1="",对接源_01水果!$C743="",对接源_01水果!$C743&lt;&gt;$K$1,对接源_01水果!$B743=""),0,IF(OR(N(对接源_01水果!$B743)&lt;$K$2,N(对接源_01水果!$B743)&gt;$K$3),0,1))</f>
        <v>0</v>
      </c>
      <c r="L743" s="3">
        <f>IF(OR($L$1="",对接源_01水果!$C743="",对接源_01水果!$C743&lt;&gt;$L$1,对接源_01水果!$B743=""),0,IF(OR(N(对接源_01水果!$B743)&lt;$L$2,N(对接源_01水果!$B743)&gt;$L$3),0,1))</f>
        <v>0</v>
      </c>
      <c r="M743" s="3">
        <f>IF(OR($M$1="",对接源_01水果!$C743="",对接源_01水果!$C743&lt;&gt;$M$1,对接源_01水果!$B743=""),0,IF(OR(N(对接源_01水果!$B743)&lt;$M$2,N(对接源_01水果!$B743)&gt;$M$3),0,1))</f>
        <v>0</v>
      </c>
      <c r="N743" s="3">
        <f>IF(OR($N$1="",对接源_01水果!$C743="",对接源_01水果!$C743&lt;&gt;$N$1,对接源_01水果!$B743=""),0,IF(OR(N(对接源_01水果!$B743)&lt;$N$2,N(对接源_01水果!$B743)&gt;$N$3),0,1))</f>
        <v>0</v>
      </c>
      <c r="P743" s="3">
        <f>IF(AND($K743=1,AND(对接源_01水果!$X743="公司筐",N(对接源_01水果!$T743)&lt;&gt;0)),1,0)</f>
        <v>0</v>
      </c>
      <c r="Q743" s="3">
        <f t="shared" si="198"/>
        <v>0</v>
      </c>
      <c r="R743" s="3">
        <f>IF(AND($K743=1,AND(对接源_01水果!$X743="公司筐",N(对接源_01水果!$U743)&lt;&gt;0)),1,0)</f>
        <v>0</v>
      </c>
      <c r="S743" s="3">
        <f t="shared" si="199"/>
        <v>0</v>
      </c>
      <c r="T743" s="3">
        <f>IF(AND($K743=1,AND(对接源_01水果!$X743="公司筐",N(对接源_01水果!$V743)&lt;&gt;0)),1,0)</f>
        <v>0</v>
      </c>
      <c r="U743" s="3">
        <f t="shared" si="200"/>
        <v>19</v>
      </c>
      <c r="V743" s="3">
        <f>IF(AND($L743=1,AND(对接源_01水果!$X743="自备筐",N(对接源_01水果!$V743)&lt;&gt;0)),1,0)</f>
        <v>0</v>
      </c>
      <c r="W743" s="3">
        <f t="shared" si="201"/>
        <v>8</v>
      </c>
      <c r="X743" s="3">
        <f>IF(AND($L743=1,AND(对接源_01水果!$X743="自备筐",N(对接源_01水果!$T743)&lt;&gt;0)),1,0)</f>
        <v>0</v>
      </c>
      <c r="Y743" s="3">
        <f t="shared" si="202"/>
        <v>0</v>
      </c>
      <c r="Z743" s="3">
        <f>IF(AND($M743=1,对接源_01水果!$D743="原料入库"),1,0)</f>
        <v>0</v>
      </c>
      <c r="AA743" s="3">
        <f t="shared" si="203"/>
        <v>24</v>
      </c>
      <c r="AB743" s="3">
        <f>IF(AND($M743=1,LEFT(对接源_01水果!$D743,4)="原料出库"),1,0)</f>
        <v>0</v>
      </c>
      <c r="AC743" s="3">
        <f t="shared" si="204"/>
        <v>0</v>
      </c>
      <c r="AD743" s="3">
        <f>IF(AND($M743=1,LEFT(对接源_01水果!$D743,4)="成品出库"),1,0)</f>
        <v>0</v>
      </c>
      <c r="AE743" s="3">
        <f t="shared" si="205"/>
        <v>0</v>
      </c>
      <c r="AF743" s="3">
        <f>IF(AND($N743=1,AND(LEFT(对接源_01水果!$D743,4)="包装物料",N(对接源_01水果!$K743)&lt;&gt;0)),1,0)</f>
        <v>0</v>
      </c>
      <c r="AG743" s="3">
        <f t="shared" si="206"/>
        <v>0</v>
      </c>
      <c r="AH743" s="3">
        <f>IF(AND($N743=1,AND(对接源_01水果!$D743="周转筐－销售出库",N(对接源_01水果!$K743)&lt;&gt;0)),1,0)</f>
        <v>0</v>
      </c>
      <c r="AI743" s="3">
        <f t="shared" si="207"/>
        <v>0</v>
      </c>
      <c r="AJ743" s="7"/>
      <c r="AL743" s="3">
        <f>IF(OR($AL$1="",对接源_01水果!$Y743="",对接源_01水果!$Y743&lt;&gt;$AL$1,对接源_01水果!$B743="",N(对接源_01水果!$AJ743)&lt;=0),0,IF(OR(N(对接源_01水果!$B743)&lt;$AL$2,N(对接源_01水果!$B743)&gt;$AL$3),0,1))</f>
        <v>0</v>
      </c>
      <c r="AM743" s="3">
        <f t="shared" si="208"/>
        <v>1</v>
      </c>
      <c r="AN743" s="3" t="str">
        <f>IF(对接源_01水果!$AC743="","",对接源_01水果!$AC743)</f>
        <v/>
      </c>
      <c r="AO743" s="3">
        <f t="shared" si="209"/>
        <v>0</v>
      </c>
      <c r="AP743" s="3">
        <f t="shared" si="210"/>
        <v>8</v>
      </c>
      <c r="AR743">
        <f t="shared" si="211"/>
        <v>0</v>
      </c>
      <c r="AS743">
        <f t="shared" si="212"/>
        <v>0</v>
      </c>
    </row>
    <row r="744" ht="14.25" customHeight="1" spans="1:45">
      <c r="A744" s="3" t="str">
        <f>IF(对接源_01水果!$C744="","",对接源_01水果!$C744)</f>
        <v/>
      </c>
      <c r="B744" s="3">
        <f t="shared" si="196"/>
        <v>0</v>
      </c>
      <c r="C744" s="3">
        <f t="shared" si="197"/>
        <v>18</v>
      </c>
      <c r="K744" s="3">
        <f>IF(OR($K$1="",对接源_01水果!$C744="",对接源_01水果!$C744&lt;&gt;$K$1,对接源_01水果!$B744=""),0,IF(OR(N(对接源_01水果!$B744)&lt;$K$2,N(对接源_01水果!$B744)&gt;$K$3),0,1))</f>
        <v>0</v>
      </c>
      <c r="L744" s="3">
        <f>IF(OR($L$1="",对接源_01水果!$C744="",对接源_01水果!$C744&lt;&gt;$L$1,对接源_01水果!$B744=""),0,IF(OR(N(对接源_01水果!$B744)&lt;$L$2,N(对接源_01水果!$B744)&gt;$L$3),0,1))</f>
        <v>0</v>
      </c>
      <c r="M744" s="3">
        <f>IF(OR($M$1="",对接源_01水果!$C744="",对接源_01水果!$C744&lt;&gt;$M$1,对接源_01水果!$B744=""),0,IF(OR(N(对接源_01水果!$B744)&lt;$M$2,N(对接源_01水果!$B744)&gt;$M$3),0,1))</f>
        <v>0</v>
      </c>
      <c r="N744" s="3">
        <f>IF(OR($N$1="",对接源_01水果!$C744="",对接源_01水果!$C744&lt;&gt;$N$1,对接源_01水果!$B744=""),0,IF(OR(N(对接源_01水果!$B744)&lt;$N$2,N(对接源_01水果!$B744)&gt;$N$3),0,1))</f>
        <v>0</v>
      </c>
      <c r="P744" s="3">
        <f>IF(AND($K744=1,AND(对接源_01水果!$X744="公司筐",N(对接源_01水果!$T744)&lt;&gt;0)),1,0)</f>
        <v>0</v>
      </c>
      <c r="Q744" s="3">
        <f t="shared" si="198"/>
        <v>0</v>
      </c>
      <c r="R744" s="3">
        <f>IF(AND($K744=1,AND(对接源_01水果!$X744="公司筐",N(对接源_01水果!$U744)&lt;&gt;0)),1,0)</f>
        <v>0</v>
      </c>
      <c r="S744" s="3">
        <f t="shared" si="199"/>
        <v>0</v>
      </c>
      <c r="T744" s="3">
        <f>IF(AND($K744=1,AND(对接源_01水果!$X744="公司筐",N(对接源_01水果!$V744)&lt;&gt;0)),1,0)</f>
        <v>0</v>
      </c>
      <c r="U744" s="3">
        <f t="shared" si="200"/>
        <v>19</v>
      </c>
      <c r="V744" s="3">
        <f>IF(AND($L744=1,AND(对接源_01水果!$X744="自备筐",N(对接源_01水果!$V744)&lt;&gt;0)),1,0)</f>
        <v>0</v>
      </c>
      <c r="W744" s="3">
        <f t="shared" si="201"/>
        <v>8</v>
      </c>
      <c r="X744" s="3">
        <f>IF(AND($L744=1,AND(对接源_01水果!$X744="自备筐",N(对接源_01水果!$T744)&lt;&gt;0)),1,0)</f>
        <v>0</v>
      </c>
      <c r="Y744" s="3">
        <f t="shared" si="202"/>
        <v>0</v>
      </c>
      <c r="Z744" s="3">
        <f>IF(AND($M744=1,对接源_01水果!$D744="原料入库"),1,0)</f>
        <v>0</v>
      </c>
      <c r="AA744" s="3">
        <f t="shared" si="203"/>
        <v>24</v>
      </c>
      <c r="AB744" s="3">
        <f>IF(AND($M744=1,LEFT(对接源_01水果!$D744,4)="原料出库"),1,0)</f>
        <v>0</v>
      </c>
      <c r="AC744" s="3">
        <f t="shared" si="204"/>
        <v>0</v>
      </c>
      <c r="AD744" s="3">
        <f>IF(AND($M744=1,LEFT(对接源_01水果!$D744,4)="成品出库"),1,0)</f>
        <v>0</v>
      </c>
      <c r="AE744" s="3">
        <f t="shared" si="205"/>
        <v>0</v>
      </c>
      <c r="AF744" s="3">
        <f>IF(AND($N744=1,AND(LEFT(对接源_01水果!$D744,4)="包装物料",N(对接源_01水果!$K744)&lt;&gt;0)),1,0)</f>
        <v>0</v>
      </c>
      <c r="AG744" s="3">
        <f t="shared" si="206"/>
        <v>0</v>
      </c>
      <c r="AH744" s="3">
        <f>IF(AND($N744=1,AND(对接源_01水果!$D744="周转筐－销售出库",N(对接源_01水果!$K744)&lt;&gt;0)),1,0)</f>
        <v>0</v>
      </c>
      <c r="AI744" s="3">
        <f t="shared" si="207"/>
        <v>0</v>
      </c>
      <c r="AJ744" s="7"/>
      <c r="AL744" s="3">
        <f>IF(OR($AL$1="",对接源_01水果!$Y744="",对接源_01水果!$Y744&lt;&gt;$AL$1,对接源_01水果!$B744="",N(对接源_01水果!$AJ744)&lt;=0),0,IF(OR(N(对接源_01水果!$B744)&lt;$AL$2,N(对接源_01水果!$B744)&gt;$AL$3),0,1))</f>
        <v>0</v>
      </c>
      <c r="AM744" s="3">
        <f t="shared" si="208"/>
        <v>1</v>
      </c>
      <c r="AN744" s="3" t="str">
        <f>IF(对接源_01水果!$AC744="","",对接源_01水果!$AC744)</f>
        <v/>
      </c>
      <c r="AO744" s="3">
        <f t="shared" si="209"/>
        <v>0</v>
      </c>
      <c r="AP744" s="3">
        <f t="shared" si="210"/>
        <v>8</v>
      </c>
      <c r="AR744">
        <f t="shared" si="211"/>
        <v>0</v>
      </c>
      <c r="AS744">
        <f t="shared" si="212"/>
        <v>0</v>
      </c>
    </row>
    <row r="745" ht="14.25" customHeight="1" spans="1:45">
      <c r="A745" s="3" t="str">
        <f>IF(对接源_01水果!$C745="","",对接源_01水果!$C745)</f>
        <v/>
      </c>
      <c r="B745" s="3">
        <f t="shared" si="196"/>
        <v>0</v>
      </c>
      <c r="C745" s="3">
        <f t="shared" si="197"/>
        <v>18</v>
      </c>
      <c r="K745" s="3">
        <f>IF(OR($K$1="",对接源_01水果!$C745="",对接源_01水果!$C745&lt;&gt;$K$1,对接源_01水果!$B745=""),0,IF(OR(N(对接源_01水果!$B745)&lt;$K$2,N(对接源_01水果!$B745)&gt;$K$3),0,1))</f>
        <v>0</v>
      </c>
      <c r="L745" s="3">
        <f>IF(OR($L$1="",对接源_01水果!$C745="",对接源_01水果!$C745&lt;&gt;$L$1,对接源_01水果!$B745=""),0,IF(OR(N(对接源_01水果!$B745)&lt;$L$2,N(对接源_01水果!$B745)&gt;$L$3),0,1))</f>
        <v>0</v>
      </c>
      <c r="M745" s="3">
        <f>IF(OR($M$1="",对接源_01水果!$C745="",对接源_01水果!$C745&lt;&gt;$M$1,对接源_01水果!$B745=""),0,IF(OR(N(对接源_01水果!$B745)&lt;$M$2,N(对接源_01水果!$B745)&gt;$M$3),0,1))</f>
        <v>0</v>
      </c>
      <c r="N745" s="3">
        <f>IF(OR($N$1="",对接源_01水果!$C745="",对接源_01水果!$C745&lt;&gt;$N$1,对接源_01水果!$B745=""),0,IF(OR(N(对接源_01水果!$B745)&lt;$N$2,N(对接源_01水果!$B745)&gt;$N$3),0,1))</f>
        <v>0</v>
      </c>
      <c r="P745" s="3">
        <f>IF(AND($K745=1,AND(对接源_01水果!$X745="公司筐",N(对接源_01水果!$T745)&lt;&gt;0)),1,0)</f>
        <v>0</v>
      </c>
      <c r="Q745" s="3">
        <f t="shared" si="198"/>
        <v>0</v>
      </c>
      <c r="R745" s="3">
        <f>IF(AND($K745=1,AND(对接源_01水果!$X745="公司筐",N(对接源_01水果!$U745)&lt;&gt;0)),1,0)</f>
        <v>0</v>
      </c>
      <c r="S745" s="3">
        <f t="shared" si="199"/>
        <v>0</v>
      </c>
      <c r="T745" s="3">
        <f>IF(AND($K745=1,AND(对接源_01水果!$X745="公司筐",N(对接源_01水果!$V745)&lt;&gt;0)),1,0)</f>
        <v>0</v>
      </c>
      <c r="U745" s="3">
        <f t="shared" si="200"/>
        <v>19</v>
      </c>
      <c r="V745" s="3">
        <f>IF(AND($L745=1,AND(对接源_01水果!$X745="自备筐",N(对接源_01水果!$V745)&lt;&gt;0)),1,0)</f>
        <v>0</v>
      </c>
      <c r="W745" s="3">
        <f t="shared" si="201"/>
        <v>8</v>
      </c>
      <c r="X745" s="3">
        <f>IF(AND($L745=1,AND(对接源_01水果!$X745="自备筐",N(对接源_01水果!$T745)&lt;&gt;0)),1,0)</f>
        <v>0</v>
      </c>
      <c r="Y745" s="3">
        <f t="shared" si="202"/>
        <v>0</v>
      </c>
      <c r="Z745" s="3">
        <f>IF(AND($M745=1,对接源_01水果!$D745="原料入库"),1,0)</f>
        <v>0</v>
      </c>
      <c r="AA745" s="3">
        <f t="shared" si="203"/>
        <v>24</v>
      </c>
      <c r="AB745" s="3">
        <f>IF(AND($M745=1,LEFT(对接源_01水果!$D745,4)="原料出库"),1,0)</f>
        <v>0</v>
      </c>
      <c r="AC745" s="3">
        <f t="shared" si="204"/>
        <v>0</v>
      </c>
      <c r="AD745" s="3">
        <f>IF(AND($M745=1,LEFT(对接源_01水果!$D745,4)="成品出库"),1,0)</f>
        <v>0</v>
      </c>
      <c r="AE745" s="3">
        <f t="shared" si="205"/>
        <v>0</v>
      </c>
      <c r="AF745" s="3">
        <f>IF(AND($N745=1,AND(LEFT(对接源_01水果!$D745,4)="包装物料",N(对接源_01水果!$K745)&lt;&gt;0)),1,0)</f>
        <v>0</v>
      </c>
      <c r="AG745" s="3">
        <f t="shared" si="206"/>
        <v>0</v>
      </c>
      <c r="AH745" s="3">
        <f>IF(AND($N745=1,AND(对接源_01水果!$D745="周转筐－销售出库",N(对接源_01水果!$K745)&lt;&gt;0)),1,0)</f>
        <v>0</v>
      </c>
      <c r="AI745" s="3">
        <f t="shared" si="207"/>
        <v>0</v>
      </c>
      <c r="AJ745" s="7"/>
      <c r="AL745" s="3">
        <f>IF(OR($AL$1="",对接源_01水果!$Y745="",对接源_01水果!$Y745&lt;&gt;$AL$1,对接源_01水果!$B745="",N(对接源_01水果!$AJ745)&lt;=0),0,IF(OR(N(对接源_01水果!$B745)&lt;$AL$2,N(对接源_01水果!$B745)&gt;$AL$3),0,1))</f>
        <v>0</v>
      </c>
      <c r="AM745" s="3">
        <f t="shared" si="208"/>
        <v>1</v>
      </c>
      <c r="AN745" s="3" t="str">
        <f>IF(对接源_01水果!$AC745="","",对接源_01水果!$AC745)</f>
        <v/>
      </c>
      <c r="AO745" s="3">
        <f t="shared" si="209"/>
        <v>0</v>
      </c>
      <c r="AP745" s="3">
        <f t="shared" si="210"/>
        <v>8</v>
      </c>
      <c r="AR745">
        <f t="shared" si="211"/>
        <v>0</v>
      </c>
      <c r="AS745">
        <f t="shared" si="212"/>
        <v>0</v>
      </c>
    </row>
    <row r="746" ht="14.25" customHeight="1" spans="1:45">
      <c r="A746" s="3" t="str">
        <f>IF(对接源_01水果!$C746="","",对接源_01水果!$C746)</f>
        <v/>
      </c>
      <c r="B746" s="3">
        <f t="shared" si="196"/>
        <v>0</v>
      </c>
      <c r="C746" s="3">
        <f t="shared" si="197"/>
        <v>18</v>
      </c>
      <c r="K746" s="3">
        <f>IF(OR($K$1="",对接源_01水果!$C746="",对接源_01水果!$C746&lt;&gt;$K$1,对接源_01水果!$B746=""),0,IF(OR(N(对接源_01水果!$B746)&lt;$K$2,N(对接源_01水果!$B746)&gt;$K$3),0,1))</f>
        <v>0</v>
      </c>
      <c r="L746" s="3">
        <f>IF(OR($L$1="",对接源_01水果!$C746="",对接源_01水果!$C746&lt;&gt;$L$1,对接源_01水果!$B746=""),0,IF(OR(N(对接源_01水果!$B746)&lt;$L$2,N(对接源_01水果!$B746)&gt;$L$3),0,1))</f>
        <v>0</v>
      </c>
      <c r="M746" s="3">
        <f>IF(OR($M$1="",对接源_01水果!$C746="",对接源_01水果!$C746&lt;&gt;$M$1,对接源_01水果!$B746=""),0,IF(OR(N(对接源_01水果!$B746)&lt;$M$2,N(对接源_01水果!$B746)&gt;$M$3),0,1))</f>
        <v>0</v>
      </c>
      <c r="N746" s="3">
        <f>IF(OR($N$1="",对接源_01水果!$C746="",对接源_01水果!$C746&lt;&gt;$N$1,对接源_01水果!$B746=""),0,IF(OR(N(对接源_01水果!$B746)&lt;$N$2,N(对接源_01水果!$B746)&gt;$N$3),0,1))</f>
        <v>0</v>
      </c>
      <c r="P746" s="3">
        <f>IF(AND($K746=1,AND(对接源_01水果!$X746="公司筐",N(对接源_01水果!$T746)&lt;&gt;0)),1,0)</f>
        <v>0</v>
      </c>
      <c r="Q746" s="3">
        <f t="shared" si="198"/>
        <v>0</v>
      </c>
      <c r="R746" s="3">
        <f>IF(AND($K746=1,AND(对接源_01水果!$X746="公司筐",N(对接源_01水果!$U746)&lt;&gt;0)),1,0)</f>
        <v>0</v>
      </c>
      <c r="S746" s="3">
        <f t="shared" si="199"/>
        <v>0</v>
      </c>
      <c r="T746" s="3">
        <f>IF(AND($K746=1,AND(对接源_01水果!$X746="公司筐",N(对接源_01水果!$V746)&lt;&gt;0)),1,0)</f>
        <v>0</v>
      </c>
      <c r="U746" s="3">
        <f t="shared" si="200"/>
        <v>19</v>
      </c>
      <c r="V746" s="3">
        <f>IF(AND($L746=1,AND(对接源_01水果!$X746="自备筐",N(对接源_01水果!$V746)&lt;&gt;0)),1,0)</f>
        <v>0</v>
      </c>
      <c r="W746" s="3">
        <f t="shared" si="201"/>
        <v>8</v>
      </c>
      <c r="X746" s="3">
        <f>IF(AND($L746=1,AND(对接源_01水果!$X746="自备筐",N(对接源_01水果!$T746)&lt;&gt;0)),1,0)</f>
        <v>0</v>
      </c>
      <c r="Y746" s="3">
        <f t="shared" si="202"/>
        <v>0</v>
      </c>
      <c r="Z746" s="3">
        <f>IF(AND($M746=1,对接源_01水果!$D746="原料入库"),1,0)</f>
        <v>0</v>
      </c>
      <c r="AA746" s="3">
        <f t="shared" si="203"/>
        <v>24</v>
      </c>
      <c r="AB746" s="3">
        <f>IF(AND($M746=1,LEFT(对接源_01水果!$D746,4)="原料出库"),1,0)</f>
        <v>0</v>
      </c>
      <c r="AC746" s="3">
        <f t="shared" si="204"/>
        <v>0</v>
      </c>
      <c r="AD746" s="3">
        <f>IF(AND($M746=1,LEFT(对接源_01水果!$D746,4)="成品出库"),1,0)</f>
        <v>0</v>
      </c>
      <c r="AE746" s="3">
        <f t="shared" si="205"/>
        <v>0</v>
      </c>
      <c r="AF746" s="3">
        <f>IF(AND($N746=1,AND(LEFT(对接源_01水果!$D746,4)="包装物料",N(对接源_01水果!$K746)&lt;&gt;0)),1,0)</f>
        <v>0</v>
      </c>
      <c r="AG746" s="3">
        <f t="shared" si="206"/>
        <v>0</v>
      </c>
      <c r="AH746" s="3">
        <f>IF(AND($N746=1,AND(对接源_01水果!$D746="周转筐－销售出库",N(对接源_01水果!$K746)&lt;&gt;0)),1,0)</f>
        <v>0</v>
      </c>
      <c r="AI746" s="3">
        <f t="shared" si="207"/>
        <v>0</v>
      </c>
      <c r="AJ746" s="7"/>
      <c r="AL746" s="3">
        <f>IF(OR($AL$1="",对接源_01水果!$Y746="",对接源_01水果!$Y746&lt;&gt;$AL$1,对接源_01水果!$B746="",N(对接源_01水果!$AJ746)&lt;=0),0,IF(OR(N(对接源_01水果!$B746)&lt;$AL$2,N(对接源_01水果!$B746)&gt;$AL$3),0,1))</f>
        <v>0</v>
      </c>
      <c r="AM746" s="3">
        <f t="shared" si="208"/>
        <v>1</v>
      </c>
      <c r="AN746" s="3" t="str">
        <f>IF(对接源_01水果!$AC746="","",对接源_01水果!$AC746)</f>
        <v/>
      </c>
      <c r="AO746" s="3">
        <f t="shared" si="209"/>
        <v>0</v>
      </c>
      <c r="AP746" s="3">
        <f t="shared" si="210"/>
        <v>8</v>
      </c>
      <c r="AR746">
        <f t="shared" si="211"/>
        <v>0</v>
      </c>
      <c r="AS746">
        <f t="shared" si="212"/>
        <v>0</v>
      </c>
    </row>
    <row r="747" ht="14.25" customHeight="1" spans="1:45">
      <c r="A747" s="3" t="str">
        <f>IF(对接源_01水果!$C747="","",对接源_01水果!$C747)</f>
        <v/>
      </c>
      <c r="B747" s="3">
        <f t="shared" si="196"/>
        <v>0</v>
      </c>
      <c r="C747" s="3">
        <f t="shared" si="197"/>
        <v>18</v>
      </c>
      <c r="K747" s="3">
        <f>IF(OR($K$1="",对接源_01水果!$C747="",对接源_01水果!$C747&lt;&gt;$K$1,对接源_01水果!$B747=""),0,IF(OR(N(对接源_01水果!$B747)&lt;$K$2,N(对接源_01水果!$B747)&gt;$K$3),0,1))</f>
        <v>0</v>
      </c>
      <c r="L747" s="3">
        <f>IF(OR($L$1="",对接源_01水果!$C747="",对接源_01水果!$C747&lt;&gt;$L$1,对接源_01水果!$B747=""),0,IF(OR(N(对接源_01水果!$B747)&lt;$L$2,N(对接源_01水果!$B747)&gt;$L$3),0,1))</f>
        <v>0</v>
      </c>
      <c r="M747" s="3">
        <f>IF(OR($M$1="",对接源_01水果!$C747="",对接源_01水果!$C747&lt;&gt;$M$1,对接源_01水果!$B747=""),0,IF(OR(N(对接源_01水果!$B747)&lt;$M$2,N(对接源_01水果!$B747)&gt;$M$3),0,1))</f>
        <v>0</v>
      </c>
      <c r="N747" s="3">
        <f>IF(OR($N$1="",对接源_01水果!$C747="",对接源_01水果!$C747&lt;&gt;$N$1,对接源_01水果!$B747=""),0,IF(OR(N(对接源_01水果!$B747)&lt;$N$2,N(对接源_01水果!$B747)&gt;$N$3),0,1))</f>
        <v>0</v>
      </c>
      <c r="P747" s="3">
        <f>IF(AND($K747=1,AND(对接源_01水果!$X747="公司筐",N(对接源_01水果!$T747)&lt;&gt;0)),1,0)</f>
        <v>0</v>
      </c>
      <c r="Q747" s="3">
        <f t="shared" si="198"/>
        <v>0</v>
      </c>
      <c r="R747" s="3">
        <f>IF(AND($K747=1,AND(对接源_01水果!$X747="公司筐",N(对接源_01水果!$U747)&lt;&gt;0)),1,0)</f>
        <v>0</v>
      </c>
      <c r="S747" s="3">
        <f t="shared" si="199"/>
        <v>0</v>
      </c>
      <c r="T747" s="3">
        <f>IF(AND($K747=1,AND(对接源_01水果!$X747="公司筐",N(对接源_01水果!$V747)&lt;&gt;0)),1,0)</f>
        <v>0</v>
      </c>
      <c r="U747" s="3">
        <f t="shared" si="200"/>
        <v>19</v>
      </c>
      <c r="V747" s="3">
        <f>IF(AND($L747=1,AND(对接源_01水果!$X747="自备筐",N(对接源_01水果!$V747)&lt;&gt;0)),1,0)</f>
        <v>0</v>
      </c>
      <c r="W747" s="3">
        <f t="shared" si="201"/>
        <v>8</v>
      </c>
      <c r="X747" s="3">
        <f>IF(AND($L747=1,AND(对接源_01水果!$X747="自备筐",N(对接源_01水果!$T747)&lt;&gt;0)),1,0)</f>
        <v>0</v>
      </c>
      <c r="Y747" s="3">
        <f t="shared" si="202"/>
        <v>0</v>
      </c>
      <c r="Z747" s="3">
        <f>IF(AND($M747=1,对接源_01水果!$D747="原料入库"),1,0)</f>
        <v>0</v>
      </c>
      <c r="AA747" s="3">
        <f t="shared" si="203"/>
        <v>24</v>
      </c>
      <c r="AB747" s="3">
        <f>IF(AND($M747=1,LEFT(对接源_01水果!$D747,4)="原料出库"),1,0)</f>
        <v>0</v>
      </c>
      <c r="AC747" s="3">
        <f t="shared" si="204"/>
        <v>0</v>
      </c>
      <c r="AD747" s="3">
        <f>IF(AND($M747=1,LEFT(对接源_01水果!$D747,4)="成品出库"),1,0)</f>
        <v>0</v>
      </c>
      <c r="AE747" s="3">
        <f t="shared" si="205"/>
        <v>0</v>
      </c>
      <c r="AF747" s="3">
        <f>IF(AND($N747=1,AND(LEFT(对接源_01水果!$D747,4)="包装物料",N(对接源_01水果!$K747)&lt;&gt;0)),1,0)</f>
        <v>0</v>
      </c>
      <c r="AG747" s="3">
        <f t="shared" si="206"/>
        <v>0</v>
      </c>
      <c r="AH747" s="3">
        <f>IF(AND($N747=1,AND(对接源_01水果!$D747="周转筐－销售出库",N(对接源_01水果!$K747)&lt;&gt;0)),1,0)</f>
        <v>0</v>
      </c>
      <c r="AI747" s="3">
        <f t="shared" si="207"/>
        <v>0</v>
      </c>
      <c r="AJ747" s="7"/>
      <c r="AL747" s="3">
        <f>IF(OR($AL$1="",对接源_01水果!$Y747="",对接源_01水果!$Y747&lt;&gt;$AL$1,对接源_01水果!$B747="",N(对接源_01水果!$AJ747)&lt;=0),0,IF(OR(N(对接源_01水果!$B747)&lt;$AL$2,N(对接源_01水果!$B747)&gt;$AL$3),0,1))</f>
        <v>0</v>
      </c>
      <c r="AM747" s="3">
        <f t="shared" si="208"/>
        <v>1</v>
      </c>
      <c r="AN747" s="3" t="str">
        <f>IF(对接源_01水果!$AC747="","",对接源_01水果!$AC747)</f>
        <v/>
      </c>
      <c r="AO747" s="3">
        <f t="shared" si="209"/>
        <v>0</v>
      </c>
      <c r="AP747" s="3">
        <f t="shared" si="210"/>
        <v>8</v>
      </c>
      <c r="AR747">
        <f t="shared" si="211"/>
        <v>0</v>
      </c>
      <c r="AS747">
        <f t="shared" si="212"/>
        <v>0</v>
      </c>
    </row>
    <row r="748" ht="14.25" customHeight="1" spans="1:45">
      <c r="A748" s="3" t="str">
        <f>IF(对接源_01水果!$C748="","",对接源_01水果!$C748)</f>
        <v/>
      </c>
      <c r="B748" s="3">
        <f t="shared" si="196"/>
        <v>0</v>
      </c>
      <c r="C748" s="3">
        <f t="shared" si="197"/>
        <v>18</v>
      </c>
      <c r="K748" s="3">
        <f>IF(OR($K$1="",对接源_01水果!$C748="",对接源_01水果!$C748&lt;&gt;$K$1,对接源_01水果!$B748=""),0,IF(OR(N(对接源_01水果!$B748)&lt;$K$2,N(对接源_01水果!$B748)&gt;$K$3),0,1))</f>
        <v>0</v>
      </c>
      <c r="L748" s="3">
        <f>IF(OR($L$1="",对接源_01水果!$C748="",对接源_01水果!$C748&lt;&gt;$L$1,对接源_01水果!$B748=""),0,IF(OR(N(对接源_01水果!$B748)&lt;$L$2,N(对接源_01水果!$B748)&gt;$L$3),0,1))</f>
        <v>0</v>
      </c>
      <c r="M748" s="3">
        <f>IF(OR($M$1="",对接源_01水果!$C748="",对接源_01水果!$C748&lt;&gt;$M$1,对接源_01水果!$B748=""),0,IF(OR(N(对接源_01水果!$B748)&lt;$M$2,N(对接源_01水果!$B748)&gt;$M$3),0,1))</f>
        <v>0</v>
      </c>
      <c r="N748" s="3">
        <f>IF(OR($N$1="",对接源_01水果!$C748="",对接源_01水果!$C748&lt;&gt;$N$1,对接源_01水果!$B748=""),0,IF(OR(N(对接源_01水果!$B748)&lt;$N$2,N(对接源_01水果!$B748)&gt;$N$3),0,1))</f>
        <v>0</v>
      </c>
      <c r="P748" s="3">
        <f>IF(AND($K748=1,AND(对接源_01水果!$X748="公司筐",N(对接源_01水果!$T748)&lt;&gt;0)),1,0)</f>
        <v>0</v>
      </c>
      <c r="Q748" s="3">
        <f t="shared" si="198"/>
        <v>0</v>
      </c>
      <c r="R748" s="3">
        <f>IF(AND($K748=1,AND(对接源_01水果!$X748="公司筐",N(对接源_01水果!$U748)&lt;&gt;0)),1,0)</f>
        <v>0</v>
      </c>
      <c r="S748" s="3">
        <f t="shared" si="199"/>
        <v>0</v>
      </c>
      <c r="T748" s="3">
        <f>IF(AND($K748=1,AND(对接源_01水果!$X748="公司筐",N(对接源_01水果!$V748)&lt;&gt;0)),1,0)</f>
        <v>0</v>
      </c>
      <c r="U748" s="3">
        <f t="shared" si="200"/>
        <v>19</v>
      </c>
      <c r="V748" s="3">
        <f>IF(AND($L748=1,AND(对接源_01水果!$X748="自备筐",N(对接源_01水果!$V748)&lt;&gt;0)),1,0)</f>
        <v>0</v>
      </c>
      <c r="W748" s="3">
        <f t="shared" si="201"/>
        <v>8</v>
      </c>
      <c r="X748" s="3">
        <f>IF(AND($L748=1,AND(对接源_01水果!$X748="自备筐",N(对接源_01水果!$T748)&lt;&gt;0)),1,0)</f>
        <v>0</v>
      </c>
      <c r="Y748" s="3">
        <f t="shared" si="202"/>
        <v>0</v>
      </c>
      <c r="Z748" s="3">
        <f>IF(AND($M748=1,对接源_01水果!$D748="原料入库"),1,0)</f>
        <v>0</v>
      </c>
      <c r="AA748" s="3">
        <f t="shared" si="203"/>
        <v>24</v>
      </c>
      <c r="AB748" s="3">
        <f>IF(AND($M748=1,LEFT(对接源_01水果!$D748,4)="原料出库"),1,0)</f>
        <v>0</v>
      </c>
      <c r="AC748" s="3">
        <f t="shared" si="204"/>
        <v>0</v>
      </c>
      <c r="AD748" s="3">
        <f>IF(AND($M748=1,LEFT(对接源_01水果!$D748,4)="成品出库"),1,0)</f>
        <v>0</v>
      </c>
      <c r="AE748" s="3">
        <f t="shared" si="205"/>
        <v>0</v>
      </c>
      <c r="AF748" s="3">
        <f>IF(AND($N748=1,AND(LEFT(对接源_01水果!$D748,4)="包装物料",N(对接源_01水果!$K748)&lt;&gt;0)),1,0)</f>
        <v>0</v>
      </c>
      <c r="AG748" s="3">
        <f t="shared" si="206"/>
        <v>0</v>
      </c>
      <c r="AH748" s="3">
        <f>IF(AND($N748=1,AND(对接源_01水果!$D748="周转筐－销售出库",N(对接源_01水果!$K748)&lt;&gt;0)),1,0)</f>
        <v>0</v>
      </c>
      <c r="AI748" s="3">
        <f t="shared" si="207"/>
        <v>0</v>
      </c>
      <c r="AJ748" s="7"/>
      <c r="AL748" s="3">
        <f>IF(OR($AL$1="",对接源_01水果!$Y748="",对接源_01水果!$Y748&lt;&gt;$AL$1,对接源_01水果!$B748="",N(对接源_01水果!$AJ748)&lt;=0),0,IF(OR(N(对接源_01水果!$B748)&lt;$AL$2,N(对接源_01水果!$B748)&gt;$AL$3),0,1))</f>
        <v>0</v>
      </c>
      <c r="AM748" s="3">
        <f t="shared" si="208"/>
        <v>1</v>
      </c>
      <c r="AN748" s="3" t="str">
        <f>IF(对接源_01水果!$AC748="","",对接源_01水果!$AC748)</f>
        <v/>
      </c>
      <c r="AO748" s="3">
        <f t="shared" si="209"/>
        <v>0</v>
      </c>
      <c r="AP748" s="3">
        <f t="shared" si="210"/>
        <v>8</v>
      </c>
      <c r="AR748">
        <f t="shared" si="211"/>
        <v>0</v>
      </c>
      <c r="AS748">
        <f t="shared" si="212"/>
        <v>0</v>
      </c>
    </row>
    <row r="749" ht="14.25" customHeight="1" spans="1:45">
      <c r="A749" s="3" t="str">
        <f>IF(对接源_01水果!$C749="","",对接源_01水果!$C749)</f>
        <v/>
      </c>
      <c r="B749" s="3">
        <f t="shared" si="196"/>
        <v>0</v>
      </c>
      <c r="C749" s="3">
        <f t="shared" si="197"/>
        <v>18</v>
      </c>
      <c r="K749" s="3">
        <f>IF(OR($K$1="",对接源_01水果!$C749="",对接源_01水果!$C749&lt;&gt;$K$1,对接源_01水果!$B749=""),0,IF(OR(N(对接源_01水果!$B749)&lt;$K$2,N(对接源_01水果!$B749)&gt;$K$3),0,1))</f>
        <v>0</v>
      </c>
      <c r="L749" s="3">
        <f>IF(OR($L$1="",对接源_01水果!$C749="",对接源_01水果!$C749&lt;&gt;$L$1,对接源_01水果!$B749=""),0,IF(OR(N(对接源_01水果!$B749)&lt;$L$2,N(对接源_01水果!$B749)&gt;$L$3),0,1))</f>
        <v>0</v>
      </c>
      <c r="M749" s="3">
        <f>IF(OR($M$1="",对接源_01水果!$C749="",对接源_01水果!$C749&lt;&gt;$M$1,对接源_01水果!$B749=""),0,IF(OR(N(对接源_01水果!$B749)&lt;$M$2,N(对接源_01水果!$B749)&gt;$M$3),0,1))</f>
        <v>0</v>
      </c>
      <c r="N749" s="3">
        <f>IF(OR($N$1="",对接源_01水果!$C749="",对接源_01水果!$C749&lt;&gt;$N$1,对接源_01水果!$B749=""),0,IF(OR(N(对接源_01水果!$B749)&lt;$N$2,N(对接源_01水果!$B749)&gt;$N$3),0,1))</f>
        <v>0</v>
      </c>
      <c r="P749" s="3">
        <f>IF(AND($K749=1,AND(对接源_01水果!$X749="公司筐",N(对接源_01水果!$T749)&lt;&gt;0)),1,0)</f>
        <v>0</v>
      </c>
      <c r="Q749" s="3">
        <f t="shared" si="198"/>
        <v>0</v>
      </c>
      <c r="R749" s="3">
        <f>IF(AND($K749=1,AND(对接源_01水果!$X749="公司筐",N(对接源_01水果!$U749)&lt;&gt;0)),1,0)</f>
        <v>0</v>
      </c>
      <c r="S749" s="3">
        <f t="shared" si="199"/>
        <v>0</v>
      </c>
      <c r="T749" s="3">
        <f>IF(AND($K749=1,AND(对接源_01水果!$X749="公司筐",N(对接源_01水果!$V749)&lt;&gt;0)),1,0)</f>
        <v>0</v>
      </c>
      <c r="U749" s="3">
        <f t="shared" si="200"/>
        <v>19</v>
      </c>
      <c r="V749" s="3">
        <f>IF(AND($L749=1,AND(对接源_01水果!$X749="自备筐",N(对接源_01水果!$V749)&lt;&gt;0)),1,0)</f>
        <v>0</v>
      </c>
      <c r="W749" s="3">
        <f t="shared" si="201"/>
        <v>8</v>
      </c>
      <c r="X749" s="3">
        <f>IF(AND($L749=1,AND(对接源_01水果!$X749="自备筐",N(对接源_01水果!$T749)&lt;&gt;0)),1,0)</f>
        <v>0</v>
      </c>
      <c r="Y749" s="3">
        <f t="shared" si="202"/>
        <v>0</v>
      </c>
      <c r="Z749" s="3">
        <f>IF(AND($M749=1,对接源_01水果!$D749="原料入库"),1,0)</f>
        <v>0</v>
      </c>
      <c r="AA749" s="3">
        <f t="shared" si="203"/>
        <v>24</v>
      </c>
      <c r="AB749" s="3">
        <f>IF(AND($M749=1,LEFT(对接源_01水果!$D749,4)="原料出库"),1,0)</f>
        <v>0</v>
      </c>
      <c r="AC749" s="3">
        <f t="shared" si="204"/>
        <v>0</v>
      </c>
      <c r="AD749" s="3">
        <f>IF(AND($M749=1,LEFT(对接源_01水果!$D749,4)="成品出库"),1,0)</f>
        <v>0</v>
      </c>
      <c r="AE749" s="3">
        <f t="shared" si="205"/>
        <v>0</v>
      </c>
      <c r="AF749" s="3">
        <f>IF(AND($N749=1,AND(LEFT(对接源_01水果!$D749,4)="包装物料",N(对接源_01水果!$K749)&lt;&gt;0)),1,0)</f>
        <v>0</v>
      </c>
      <c r="AG749" s="3">
        <f t="shared" si="206"/>
        <v>0</v>
      </c>
      <c r="AH749" s="3">
        <f>IF(AND($N749=1,AND(对接源_01水果!$D749="周转筐－销售出库",N(对接源_01水果!$K749)&lt;&gt;0)),1,0)</f>
        <v>0</v>
      </c>
      <c r="AI749" s="3">
        <f t="shared" si="207"/>
        <v>0</v>
      </c>
      <c r="AJ749" s="7"/>
      <c r="AL749" s="3">
        <f>IF(OR($AL$1="",对接源_01水果!$Y749="",对接源_01水果!$Y749&lt;&gt;$AL$1,对接源_01水果!$B749="",N(对接源_01水果!$AJ749)&lt;=0),0,IF(OR(N(对接源_01水果!$B749)&lt;$AL$2,N(对接源_01水果!$B749)&gt;$AL$3),0,1))</f>
        <v>0</v>
      </c>
      <c r="AM749" s="3">
        <f t="shared" si="208"/>
        <v>1</v>
      </c>
      <c r="AN749" s="3" t="str">
        <f>IF(对接源_01水果!$AC749="","",对接源_01水果!$AC749)</f>
        <v/>
      </c>
      <c r="AO749" s="3">
        <f t="shared" si="209"/>
        <v>0</v>
      </c>
      <c r="AP749" s="3">
        <f t="shared" si="210"/>
        <v>8</v>
      </c>
      <c r="AR749">
        <f t="shared" si="211"/>
        <v>0</v>
      </c>
      <c r="AS749">
        <f t="shared" si="212"/>
        <v>0</v>
      </c>
    </row>
    <row r="750" ht="14.25" customHeight="1" spans="1:45">
      <c r="A750" s="3" t="str">
        <f>IF(对接源_01水果!$C750="","",对接源_01水果!$C750)</f>
        <v/>
      </c>
      <c r="B750" s="3">
        <f t="shared" si="196"/>
        <v>0</v>
      </c>
      <c r="C750" s="3">
        <f t="shared" si="197"/>
        <v>18</v>
      </c>
      <c r="K750" s="3">
        <f>IF(OR($K$1="",对接源_01水果!$C750="",对接源_01水果!$C750&lt;&gt;$K$1,对接源_01水果!$B750=""),0,IF(OR(N(对接源_01水果!$B750)&lt;$K$2,N(对接源_01水果!$B750)&gt;$K$3),0,1))</f>
        <v>0</v>
      </c>
      <c r="L750" s="3">
        <f>IF(OR($L$1="",对接源_01水果!$C750="",对接源_01水果!$C750&lt;&gt;$L$1,对接源_01水果!$B750=""),0,IF(OR(N(对接源_01水果!$B750)&lt;$L$2,N(对接源_01水果!$B750)&gt;$L$3),0,1))</f>
        <v>0</v>
      </c>
      <c r="M750" s="3">
        <f>IF(OR($M$1="",对接源_01水果!$C750="",对接源_01水果!$C750&lt;&gt;$M$1,对接源_01水果!$B750=""),0,IF(OR(N(对接源_01水果!$B750)&lt;$M$2,N(对接源_01水果!$B750)&gt;$M$3),0,1))</f>
        <v>0</v>
      </c>
      <c r="N750" s="3">
        <f>IF(OR($N$1="",对接源_01水果!$C750="",对接源_01水果!$C750&lt;&gt;$N$1,对接源_01水果!$B750=""),0,IF(OR(N(对接源_01水果!$B750)&lt;$N$2,N(对接源_01水果!$B750)&gt;$N$3),0,1))</f>
        <v>0</v>
      </c>
      <c r="P750" s="3">
        <f>IF(AND($K750=1,AND(对接源_01水果!$X750="公司筐",N(对接源_01水果!$T750)&lt;&gt;0)),1,0)</f>
        <v>0</v>
      </c>
      <c r="Q750" s="3">
        <f t="shared" si="198"/>
        <v>0</v>
      </c>
      <c r="R750" s="3">
        <f>IF(AND($K750=1,AND(对接源_01水果!$X750="公司筐",N(对接源_01水果!$U750)&lt;&gt;0)),1,0)</f>
        <v>0</v>
      </c>
      <c r="S750" s="3">
        <f t="shared" si="199"/>
        <v>0</v>
      </c>
      <c r="T750" s="3">
        <f>IF(AND($K750=1,AND(对接源_01水果!$X750="公司筐",N(对接源_01水果!$V750)&lt;&gt;0)),1,0)</f>
        <v>0</v>
      </c>
      <c r="U750" s="3">
        <f t="shared" si="200"/>
        <v>19</v>
      </c>
      <c r="V750" s="3">
        <f>IF(AND($L750=1,AND(对接源_01水果!$X750="自备筐",N(对接源_01水果!$V750)&lt;&gt;0)),1,0)</f>
        <v>0</v>
      </c>
      <c r="W750" s="3">
        <f t="shared" si="201"/>
        <v>8</v>
      </c>
      <c r="X750" s="3">
        <f>IF(AND($L750=1,AND(对接源_01水果!$X750="自备筐",N(对接源_01水果!$T750)&lt;&gt;0)),1,0)</f>
        <v>0</v>
      </c>
      <c r="Y750" s="3">
        <f t="shared" si="202"/>
        <v>0</v>
      </c>
      <c r="Z750" s="3">
        <f>IF(AND($M750=1,对接源_01水果!$D750="原料入库"),1,0)</f>
        <v>0</v>
      </c>
      <c r="AA750" s="3">
        <f t="shared" si="203"/>
        <v>24</v>
      </c>
      <c r="AB750" s="3">
        <f>IF(AND($M750=1,LEFT(对接源_01水果!$D750,4)="原料出库"),1,0)</f>
        <v>0</v>
      </c>
      <c r="AC750" s="3">
        <f t="shared" si="204"/>
        <v>0</v>
      </c>
      <c r="AD750" s="3">
        <f>IF(AND($M750=1,LEFT(对接源_01水果!$D750,4)="成品出库"),1,0)</f>
        <v>0</v>
      </c>
      <c r="AE750" s="3">
        <f t="shared" si="205"/>
        <v>0</v>
      </c>
      <c r="AF750" s="3">
        <f>IF(AND($N750=1,AND(LEFT(对接源_01水果!$D750,4)="包装物料",N(对接源_01水果!$K750)&lt;&gt;0)),1,0)</f>
        <v>0</v>
      </c>
      <c r="AG750" s="3">
        <f t="shared" si="206"/>
        <v>0</v>
      </c>
      <c r="AH750" s="3">
        <f>IF(AND($N750=1,AND(对接源_01水果!$D750="周转筐－销售出库",N(对接源_01水果!$K750)&lt;&gt;0)),1,0)</f>
        <v>0</v>
      </c>
      <c r="AI750" s="3">
        <f t="shared" si="207"/>
        <v>0</v>
      </c>
      <c r="AJ750" s="7"/>
      <c r="AL750" s="3">
        <f>IF(OR($AL$1="",对接源_01水果!$Y750="",对接源_01水果!$Y750&lt;&gt;$AL$1,对接源_01水果!$B750="",N(对接源_01水果!$AJ750)&lt;=0),0,IF(OR(N(对接源_01水果!$B750)&lt;$AL$2,N(对接源_01水果!$B750)&gt;$AL$3),0,1))</f>
        <v>0</v>
      </c>
      <c r="AM750" s="3">
        <f t="shared" si="208"/>
        <v>1</v>
      </c>
      <c r="AN750" s="3" t="str">
        <f>IF(对接源_01水果!$AC750="","",对接源_01水果!$AC750)</f>
        <v/>
      </c>
      <c r="AO750" s="3">
        <f t="shared" si="209"/>
        <v>0</v>
      </c>
      <c r="AP750" s="3">
        <f t="shared" si="210"/>
        <v>8</v>
      </c>
      <c r="AR750">
        <f t="shared" si="211"/>
        <v>0</v>
      </c>
      <c r="AS750">
        <f t="shared" si="212"/>
        <v>0</v>
      </c>
    </row>
    <row r="751" ht="14.25" customHeight="1" spans="1:45">
      <c r="A751" s="3" t="str">
        <f>IF(对接源_01水果!$C751="","",对接源_01水果!$C751)</f>
        <v/>
      </c>
      <c r="B751" s="3">
        <f t="shared" si="196"/>
        <v>0</v>
      </c>
      <c r="C751" s="3">
        <f t="shared" si="197"/>
        <v>18</v>
      </c>
      <c r="K751" s="3">
        <f>IF(OR($K$1="",对接源_01水果!$C751="",对接源_01水果!$C751&lt;&gt;$K$1,对接源_01水果!$B751=""),0,IF(OR(N(对接源_01水果!$B751)&lt;$K$2,N(对接源_01水果!$B751)&gt;$K$3),0,1))</f>
        <v>0</v>
      </c>
      <c r="L751" s="3">
        <f>IF(OR($L$1="",对接源_01水果!$C751="",对接源_01水果!$C751&lt;&gt;$L$1,对接源_01水果!$B751=""),0,IF(OR(N(对接源_01水果!$B751)&lt;$L$2,N(对接源_01水果!$B751)&gt;$L$3),0,1))</f>
        <v>0</v>
      </c>
      <c r="M751" s="3">
        <f>IF(OR($M$1="",对接源_01水果!$C751="",对接源_01水果!$C751&lt;&gt;$M$1,对接源_01水果!$B751=""),0,IF(OR(N(对接源_01水果!$B751)&lt;$M$2,N(对接源_01水果!$B751)&gt;$M$3),0,1))</f>
        <v>0</v>
      </c>
      <c r="N751" s="3">
        <f>IF(OR($N$1="",对接源_01水果!$C751="",对接源_01水果!$C751&lt;&gt;$N$1,对接源_01水果!$B751=""),0,IF(OR(N(对接源_01水果!$B751)&lt;$N$2,N(对接源_01水果!$B751)&gt;$N$3),0,1))</f>
        <v>0</v>
      </c>
      <c r="P751" s="3">
        <f>IF(AND($K751=1,AND(对接源_01水果!$X751="公司筐",N(对接源_01水果!$T751)&lt;&gt;0)),1,0)</f>
        <v>0</v>
      </c>
      <c r="Q751" s="3">
        <f t="shared" si="198"/>
        <v>0</v>
      </c>
      <c r="R751" s="3">
        <f>IF(AND($K751=1,AND(对接源_01水果!$X751="公司筐",N(对接源_01水果!$U751)&lt;&gt;0)),1,0)</f>
        <v>0</v>
      </c>
      <c r="S751" s="3">
        <f t="shared" si="199"/>
        <v>0</v>
      </c>
      <c r="T751" s="3">
        <f>IF(AND($K751=1,AND(对接源_01水果!$X751="公司筐",N(对接源_01水果!$V751)&lt;&gt;0)),1,0)</f>
        <v>0</v>
      </c>
      <c r="U751" s="3">
        <f t="shared" si="200"/>
        <v>19</v>
      </c>
      <c r="V751" s="3">
        <f>IF(AND($L751=1,AND(对接源_01水果!$X751="自备筐",N(对接源_01水果!$V751)&lt;&gt;0)),1,0)</f>
        <v>0</v>
      </c>
      <c r="W751" s="3">
        <f t="shared" si="201"/>
        <v>8</v>
      </c>
      <c r="X751" s="3">
        <f>IF(AND($L751=1,AND(对接源_01水果!$X751="自备筐",N(对接源_01水果!$T751)&lt;&gt;0)),1,0)</f>
        <v>0</v>
      </c>
      <c r="Y751" s="3">
        <f t="shared" si="202"/>
        <v>0</v>
      </c>
      <c r="Z751" s="3">
        <f>IF(AND($M751=1,对接源_01水果!$D751="原料入库"),1,0)</f>
        <v>0</v>
      </c>
      <c r="AA751" s="3">
        <f t="shared" si="203"/>
        <v>24</v>
      </c>
      <c r="AB751" s="3">
        <f>IF(AND($M751=1,LEFT(对接源_01水果!$D751,4)="原料出库"),1,0)</f>
        <v>0</v>
      </c>
      <c r="AC751" s="3">
        <f t="shared" si="204"/>
        <v>0</v>
      </c>
      <c r="AD751" s="3">
        <f>IF(AND($M751=1,LEFT(对接源_01水果!$D751,4)="成品出库"),1,0)</f>
        <v>0</v>
      </c>
      <c r="AE751" s="3">
        <f t="shared" si="205"/>
        <v>0</v>
      </c>
      <c r="AF751" s="3">
        <f>IF(AND($N751=1,AND(LEFT(对接源_01水果!$D751,4)="包装物料",N(对接源_01水果!$K751)&lt;&gt;0)),1,0)</f>
        <v>0</v>
      </c>
      <c r="AG751" s="3">
        <f t="shared" si="206"/>
        <v>0</v>
      </c>
      <c r="AH751" s="3">
        <f>IF(AND($N751=1,AND(对接源_01水果!$D751="周转筐－销售出库",N(对接源_01水果!$K751)&lt;&gt;0)),1,0)</f>
        <v>0</v>
      </c>
      <c r="AI751" s="3">
        <f t="shared" si="207"/>
        <v>0</v>
      </c>
      <c r="AJ751" s="7"/>
      <c r="AL751" s="3">
        <f>IF(OR($AL$1="",对接源_01水果!$Y751="",对接源_01水果!$Y751&lt;&gt;$AL$1,对接源_01水果!$B751="",N(对接源_01水果!$AJ751)&lt;=0),0,IF(OR(N(对接源_01水果!$B751)&lt;$AL$2,N(对接源_01水果!$B751)&gt;$AL$3),0,1))</f>
        <v>0</v>
      </c>
      <c r="AM751" s="3">
        <f t="shared" si="208"/>
        <v>1</v>
      </c>
      <c r="AN751" s="3" t="str">
        <f>IF(对接源_01水果!$AC751="","",对接源_01水果!$AC751)</f>
        <v/>
      </c>
      <c r="AO751" s="3">
        <f t="shared" si="209"/>
        <v>0</v>
      </c>
      <c r="AP751" s="3">
        <f t="shared" si="210"/>
        <v>8</v>
      </c>
      <c r="AR751">
        <f t="shared" si="211"/>
        <v>0</v>
      </c>
      <c r="AS751">
        <f t="shared" si="212"/>
        <v>0</v>
      </c>
    </row>
    <row r="752" ht="14.25" customHeight="1" spans="1:45">
      <c r="A752" s="3" t="str">
        <f>IF(对接源_01水果!$C752="","",对接源_01水果!$C752)</f>
        <v/>
      </c>
      <c r="B752" s="3">
        <f t="shared" si="196"/>
        <v>0</v>
      </c>
      <c r="C752" s="3">
        <f t="shared" si="197"/>
        <v>18</v>
      </c>
      <c r="K752" s="3">
        <f>IF(OR($K$1="",对接源_01水果!$C752="",对接源_01水果!$C752&lt;&gt;$K$1,对接源_01水果!$B752=""),0,IF(OR(N(对接源_01水果!$B752)&lt;$K$2,N(对接源_01水果!$B752)&gt;$K$3),0,1))</f>
        <v>0</v>
      </c>
      <c r="L752" s="3">
        <f>IF(OR($L$1="",对接源_01水果!$C752="",对接源_01水果!$C752&lt;&gt;$L$1,对接源_01水果!$B752=""),0,IF(OR(N(对接源_01水果!$B752)&lt;$L$2,N(对接源_01水果!$B752)&gt;$L$3),0,1))</f>
        <v>0</v>
      </c>
      <c r="M752" s="3">
        <f>IF(OR($M$1="",对接源_01水果!$C752="",对接源_01水果!$C752&lt;&gt;$M$1,对接源_01水果!$B752=""),0,IF(OR(N(对接源_01水果!$B752)&lt;$M$2,N(对接源_01水果!$B752)&gt;$M$3),0,1))</f>
        <v>0</v>
      </c>
      <c r="N752" s="3">
        <f>IF(OR($N$1="",对接源_01水果!$C752="",对接源_01水果!$C752&lt;&gt;$N$1,对接源_01水果!$B752=""),0,IF(OR(N(对接源_01水果!$B752)&lt;$N$2,N(对接源_01水果!$B752)&gt;$N$3),0,1))</f>
        <v>0</v>
      </c>
      <c r="P752" s="3">
        <f>IF(AND($K752=1,AND(对接源_01水果!$X752="公司筐",N(对接源_01水果!$T752)&lt;&gt;0)),1,0)</f>
        <v>0</v>
      </c>
      <c r="Q752" s="3">
        <f t="shared" si="198"/>
        <v>0</v>
      </c>
      <c r="R752" s="3">
        <f>IF(AND($K752=1,AND(对接源_01水果!$X752="公司筐",N(对接源_01水果!$U752)&lt;&gt;0)),1,0)</f>
        <v>0</v>
      </c>
      <c r="S752" s="3">
        <f t="shared" si="199"/>
        <v>0</v>
      </c>
      <c r="T752" s="3">
        <f>IF(AND($K752=1,AND(对接源_01水果!$X752="公司筐",N(对接源_01水果!$V752)&lt;&gt;0)),1,0)</f>
        <v>0</v>
      </c>
      <c r="U752" s="3">
        <f t="shared" si="200"/>
        <v>19</v>
      </c>
      <c r="V752" s="3">
        <f>IF(AND($L752=1,AND(对接源_01水果!$X752="自备筐",N(对接源_01水果!$V752)&lt;&gt;0)),1,0)</f>
        <v>0</v>
      </c>
      <c r="W752" s="3">
        <f t="shared" si="201"/>
        <v>8</v>
      </c>
      <c r="X752" s="3">
        <f>IF(AND($L752=1,AND(对接源_01水果!$X752="自备筐",N(对接源_01水果!$T752)&lt;&gt;0)),1,0)</f>
        <v>0</v>
      </c>
      <c r="Y752" s="3">
        <f t="shared" si="202"/>
        <v>0</v>
      </c>
      <c r="Z752" s="3">
        <f>IF(AND($M752=1,对接源_01水果!$D752="原料入库"),1,0)</f>
        <v>0</v>
      </c>
      <c r="AA752" s="3">
        <f t="shared" si="203"/>
        <v>24</v>
      </c>
      <c r="AB752" s="3">
        <f>IF(AND($M752=1,LEFT(对接源_01水果!$D752,4)="原料出库"),1,0)</f>
        <v>0</v>
      </c>
      <c r="AC752" s="3">
        <f t="shared" si="204"/>
        <v>0</v>
      </c>
      <c r="AD752" s="3">
        <f>IF(AND($M752=1,LEFT(对接源_01水果!$D752,4)="成品出库"),1,0)</f>
        <v>0</v>
      </c>
      <c r="AE752" s="3">
        <f t="shared" si="205"/>
        <v>0</v>
      </c>
      <c r="AF752" s="3">
        <f>IF(AND($N752=1,AND(LEFT(对接源_01水果!$D752,4)="包装物料",N(对接源_01水果!$K752)&lt;&gt;0)),1,0)</f>
        <v>0</v>
      </c>
      <c r="AG752" s="3">
        <f t="shared" si="206"/>
        <v>0</v>
      </c>
      <c r="AH752" s="3">
        <f>IF(AND($N752=1,AND(对接源_01水果!$D752="周转筐－销售出库",N(对接源_01水果!$K752)&lt;&gt;0)),1,0)</f>
        <v>0</v>
      </c>
      <c r="AI752" s="3">
        <f t="shared" si="207"/>
        <v>0</v>
      </c>
      <c r="AJ752" s="7"/>
      <c r="AL752" s="3">
        <f>IF(OR($AL$1="",对接源_01水果!$Y752="",对接源_01水果!$Y752&lt;&gt;$AL$1,对接源_01水果!$B752="",N(对接源_01水果!$AJ752)&lt;=0),0,IF(OR(N(对接源_01水果!$B752)&lt;$AL$2,N(对接源_01水果!$B752)&gt;$AL$3),0,1))</f>
        <v>0</v>
      </c>
      <c r="AM752" s="3">
        <f t="shared" si="208"/>
        <v>1</v>
      </c>
      <c r="AN752" s="3" t="str">
        <f>IF(对接源_01水果!$AC752="","",对接源_01水果!$AC752)</f>
        <v/>
      </c>
      <c r="AO752" s="3">
        <f t="shared" si="209"/>
        <v>0</v>
      </c>
      <c r="AP752" s="3">
        <f t="shared" si="210"/>
        <v>8</v>
      </c>
      <c r="AR752">
        <f t="shared" si="211"/>
        <v>0</v>
      </c>
      <c r="AS752">
        <f t="shared" si="212"/>
        <v>0</v>
      </c>
    </row>
    <row r="753" ht="14.25" customHeight="1" spans="1:45">
      <c r="A753" s="3" t="str">
        <f>IF(对接源_01水果!$C753="","",对接源_01水果!$C753)</f>
        <v/>
      </c>
      <c r="B753" s="3">
        <f t="shared" si="196"/>
        <v>0</v>
      </c>
      <c r="C753" s="3">
        <f t="shared" si="197"/>
        <v>18</v>
      </c>
      <c r="K753" s="3">
        <f>IF(OR($K$1="",对接源_01水果!$C753="",对接源_01水果!$C753&lt;&gt;$K$1,对接源_01水果!$B753=""),0,IF(OR(N(对接源_01水果!$B753)&lt;$K$2,N(对接源_01水果!$B753)&gt;$K$3),0,1))</f>
        <v>0</v>
      </c>
      <c r="L753" s="3">
        <f>IF(OR($L$1="",对接源_01水果!$C753="",对接源_01水果!$C753&lt;&gt;$L$1,对接源_01水果!$B753=""),0,IF(OR(N(对接源_01水果!$B753)&lt;$L$2,N(对接源_01水果!$B753)&gt;$L$3),0,1))</f>
        <v>0</v>
      </c>
      <c r="M753" s="3">
        <f>IF(OR($M$1="",对接源_01水果!$C753="",对接源_01水果!$C753&lt;&gt;$M$1,对接源_01水果!$B753=""),0,IF(OR(N(对接源_01水果!$B753)&lt;$M$2,N(对接源_01水果!$B753)&gt;$M$3),0,1))</f>
        <v>0</v>
      </c>
      <c r="N753" s="3">
        <f>IF(OR($N$1="",对接源_01水果!$C753="",对接源_01水果!$C753&lt;&gt;$N$1,对接源_01水果!$B753=""),0,IF(OR(N(对接源_01水果!$B753)&lt;$N$2,N(对接源_01水果!$B753)&gt;$N$3),0,1))</f>
        <v>0</v>
      </c>
      <c r="P753" s="3">
        <f>IF(AND($K753=1,AND(对接源_01水果!$X753="公司筐",N(对接源_01水果!$T753)&lt;&gt;0)),1,0)</f>
        <v>0</v>
      </c>
      <c r="Q753" s="3">
        <f t="shared" si="198"/>
        <v>0</v>
      </c>
      <c r="R753" s="3">
        <f>IF(AND($K753=1,AND(对接源_01水果!$X753="公司筐",N(对接源_01水果!$U753)&lt;&gt;0)),1,0)</f>
        <v>0</v>
      </c>
      <c r="S753" s="3">
        <f t="shared" si="199"/>
        <v>0</v>
      </c>
      <c r="T753" s="3">
        <f>IF(AND($K753=1,AND(对接源_01水果!$X753="公司筐",N(对接源_01水果!$V753)&lt;&gt;0)),1,0)</f>
        <v>0</v>
      </c>
      <c r="U753" s="3">
        <f t="shared" si="200"/>
        <v>19</v>
      </c>
      <c r="V753" s="3">
        <f>IF(AND($L753=1,AND(对接源_01水果!$X753="自备筐",N(对接源_01水果!$V753)&lt;&gt;0)),1,0)</f>
        <v>0</v>
      </c>
      <c r="W753" s="3">
        <f t="shared" si="201"/>
        <v>8</v>
      </c>
      <c r="X753" s="3">
        <f>IF(AND($L753=1,AND(对接源_01水果!$X753="自备筐",N(对接源_01水果!$T753)&lt;&gt;0)),1,0)</f>
        <v>0</v>
      </c>
      <c r="Y753" s="3">
        <f t="shared" si="202"/>
        <v>0</v>
      </c>
      <c r="Z753" s="3">
        <f>IF(AND($M753=1,对接源_01水果!$D753="原料入库"),1,0)</f>
        <v>0</v>
      </c>
      <c r="AA753" s="3">
        <f t="shared" si="203"/>
        <v>24</v>
      </c>
      <c r="AB753" s="3">
        <f>IF(AND($M753=1,LEFT(对接源_01水果!$D753,4)="原料出库"),1,0)</f>
        <v>0</v>
      </c>
      <c r="AC753" s="3">
        <f t="shared" si="204"/>
        <v>0</v>
      </c>
      <c r="AD753" s="3">
        <f>IF(AND($M753=1,LEFT(对接源_01水果!$D753,4)="成品出库"),1,0)</f>
        <v>0</v>
      </c>
      <c r="AE753" s="3">
        <f t="shared" si="205"/>
        <v>0</v>
      </c>
      <c r="AF753" s="3">
        <f>IF(AND($N753=1,AND(LEFT(对接源_01水果!$D753,4)="包装物料",N(对接源_01水果!$K753)&lt;&gt;0)),1,0)</f>
        <v>0</v>
      </c>
      <c r="AG753" s="3">
        <f t="shared" si="206"/>
        <v>0</v>
      </c>
      <c r="AH753" s="3">
        <f>IF(AND($N753=1,AND(对接源_01水果!$D753="周转筐－销售出库",N(对接源_01水果!$K753)&lt;&gt;0)),1,0)</f>
        <v>0</v>
      </c>
      <c r="AI753" s="3">
        <f t="shared" si="207"/>
        <v>0</v>
      </c>
      <c r="AJ753" s="7"/>
      <c r="AL753" s="3">
        <f>IF(OR($AL$1="",对接源_01水果!$Y753="",对接源_01水果!$Y753&lt;&gt;$AL$1,对接源_01水果!$B753="",N(对接源_01水果!$AJ753)&lt;=0),0,IF(OR(N(对接源_01水果!$B753)&lt;$AL$2,N(对接源_01水果!$B753)&gt;$AL$3),0,1))</f>
        <v>0</v>
      </c>
      <c r="AM753" s="3">
        <f t="shared" si="208"/>
        <v>1</v>
      </c>
      <c r="AN753" s="3" t="str">
        <f>IF(对接源_01水果!$AC753="","",对接源_01水果!$AC753)</f>
        <v/>
      </c>
      <c r="AO753" s="3">
        <f t="shared" si="209"/>
        <v>0</v>
      </c>
      <c r="AP753" s="3">
        <f t="shared" si="210"/>
        <v>8</v>
      </c>
      <c r="AR753">
        <f t="shared" si="211"/>
        <v>0</v>
      </c>
      <c r="AS753">
        <f t="shared" si="212"/>
        <v>0</v>
      </c>
    </row>
    <row r="754" ht="14.25" customHeight="1" spans="1:45">
      <c r="A754" s="3" t="str">
        <f>IF(对接源_01水果!$C754="","",对接源_01水果!$C754)</f>
        <v/>
      </c>
      <c r="B754" s="3">
        <f t="shared" si="196"/>
        <v>0</v>
      </c>
      <c r="C754" s="3">
        <f t="shared" si="197"/>
        <v>18</v>
      </c>
      <c r="K754" s="3">
        <f>IF(OR($K$1="",对接源_01水果!$C754="",对接源_01水果!$C754&lt;&gt;$K$1,对接源_01水果!$B754=""),0,IF(OR(N(对接源_01水果!$B754)&lt;$K$2,N(对接源_01水果!$B754)&gt;$K$3),0,1))</f>
        <v>0</v>
      </c>
      <c r="L754" s="3">
        <f>IF(OR($L$1="",对接源_01水果!$C754="",对接源_01水果!$C754&lt;&gt;$L$1,对接源_01水果!$B754=""),0,IF(OR(N(对接源_01水果!$B754)&lt;$L$2,N(对接源_01水果!$B754)&gt;$L$3),0,1))</f>
        <v>0</v>
      </c>
      <c r="M754" s="3">
        <f>IF(OR($M$1="",对接源_01水果!$C754="",对接源_01水果!$C754&lt;&gt;$M$1,对接源_01水果!$B754=""),0,IF(OR(N(对接源_01水果!$B754)&lt;$M$2,N(对接源_01水果!$B754)&gt;$M$3),0,1))</f>
        <v>0</v>
      </c>
      <c r="N754" s="3">
        <f>IF(OR($N$1="",对接源_01水果!$C754="",对接源_01水果!$C754&lt;&gt;$N$1,对接源_01水果!$B754=""),0,IF(OR(N(对接源_01水果!$B754)&lt;$N$2,N(对接源_01水果!$B754)&gt;$N$3),0,1))</f>
        <v>0</v>
      </c>
      <c r="P754" s="3">
        <f>IF(AND($K754=1,AND(对接源_01水果!$X754="公司筐",N(对接源_01水果!$T754)&lt;&gt;0)),1,0)</f>
        <v>0</v>
      </c>
      <c r="Q754" s="3">
        <f t="shared" si="198"/>
        <v>0</v>
      </c>
      <c r="R754" s="3">
        <f>IF(AND($K754=1,AND(对接源_01水果!$X754="公司筐",N(对接源_01水果!$U754)&lt;&gt;0)),1,0)</f>
        <v>0</v>
      </c>
      <c r="S754" s="3">
        <f t="shared" si="199"/>
        <v>0</v>
      </c>
      <c r="T754" s="3">
        <f>IF(AND($K754=1,AND(对接源_01水果!$X754="公司筐",N(对接源_01水果!$V754)&lt;&gt;0)),1,0)</f>
        <v>0</v>
      </c>
      <c r="U754" s="3">
        <f t="shared" si="200"/>
        <v>19</v>
      </c>
      <c r="V754" s="3">
        <f>IF(AND($L754=1,AND(对接源_01水果!$X754="自备筐",N(对接源_01水果!$V754)&lt;&gt;0)),1,0)</f>
        <v>0</v>
      </c>
      <c r="W754" s="3">
        <f t="shared" si="201"/>
        <v>8</v>
      </c>
      <c r="X754" s="3">
        <f>IF(AND($L754=1,AND(对接源_01水果!$X754="自备筐",N(对接源_01水果!$T754)&lt;&gt;0)),1,0)</f>
        <v>0</v>
      </c>
      <c r="Y754" s="3">
        <f t="shared" si="202"/>
        <v>0</v>
      </c>
      <c r="Z754" s="3">
        <f>IF(AND($M754=1,对接源_01水果!$D754="原料入库"),1,0)</f>
        <v>0</v>
      </c>
      <c r="AA754" s="3">
        <f t="shared" si="203"/>
        <v>24</v>
      </c>
      <c r="AB754" s="3">
        <f>IF(AND($M754=1,LEFT(对接源_01水果!$D754,4)="原料出库"),1,0)</f>
        <v>0</v>
      </c>
      <c r="AC754" s="3">
        <f t="shared" si="204"/>
        <v>0</v>
      </c>
      <c r="AD754" s="3">
        <f>IF(AND($M754=1,LEFT(对接源_01水果!$D754,4)="成品出库"),1,0)</f>
        <v>0</v>
      </c>
      <c r="AE754" s="3">
        <f t="shared" si="205"/>
        <v>0</v>
      </c>
      <c r="AF754" s="3">
        <f>IF(AND($N754=1,AND(LEFT(对接源_01水果!$D754,4)="包装物料",N(对接源_01水果!$K754)&lt;&gt;0)),1,0)</f>
        <v>0</v>
      </c>
      <c r="AG754" s="3">
        <f t="shared" si="206"/>
        <v>0</v>
      </c>
      <c r="AH754" s="3">
        <f>IF(AND($N754=1,AND(对接源_01水果!$D754="周转筐－销售出库",N(对接源_01水果!$K754)&lt;&gt;0)),1,0)</f>
        <v>0</v>
      </c>
      <c r="AI754" s="3">
        <f t="shared" si="207"/>
        <v>0</v>
      </c>
      <c r="AJ754" s="7"/>
      <c r="AL754" s="3">
        <f>IF(OR($AL$1="",对接源_01水果!$Y754="",对接源_01水果!$Y754&lt;&gt;$AL$1,对接源_01水果!$B754="",N(对接源_01水果!$AJ754)&lt;=0),0,IF(OR(N(对接源_01水果!$B754)&lt;$AL$2,N(对接源_01水果!$B754)&gt;$AL$3),0,1))</f>
        <v>0</v>
      </c>
      <c r="AM754" s="3">
        <f t="shared" si="208"/>
        <v>1</v>
      </c>
      <c r="AN754" s="3" t="str">
        <f>IF(对接源_01水果!$AC754="","",对接源_01水果!$AC754)</f>
        <v/>
      </c>
      <c r="AO754" s="3">
        <f t="shared" si="209"/>
        <v>0</v>
      </c>
      <c r="AP754" s="3">
        <f t="shared" si="210"/>
        <v>8</v>
      </c>
      <c r="AR754">
        <f t="shared" si="211"/>
        <v>0</v>
      </c>
      <c r="AS754">
        <f t="shared" si="212"/>
        <v>0</v>
      </c>
    </row>
    <row r="755" ht="14.25" customHeight="1" spans="1:45">
      <c r="A755" s="3" t="str">
        <f>IF(对接源_01水果!$C755="","",对接源_01水果!$C755)</f>
        <v/>
      </c>
      <c r="B755" s="3">
        <f t="shared" si="196"/>
        <v>0</v>
      </c>
      <c r="C755" s="3">
        <f t="shared" si="197"/>
        <v>18</v>
      </c>
      <c r="K755" s="3">
        <f>IF(OR($K$1="",对接源_01水果!$C755="",对接源_01水果!$C755&lt;&gt;$K$1,对接源_01水果!$B755=""),0,IF(OR(N(对接源_01水果!$B755)&lt;$K$2,N(对接源_01水果!$B755)&gt;$K$3),0,1))</f>
        <v>0</v>
      </c>
      <c r="L755" s="3">
        <f>IF(OR($L$1="",对接源_01水果!$C755="",对接源_01水果!$C755&lt;&gt;$L$1,对接源_01水果!$B755=""),0,IF(OR(N(对接源_01水果!$B755)&lt;$L$2,N(对接源_01水果!$B755)&gt;$L$3),0,1))</f>
        <v>0</v>
      </c>
      <c r="M755" s="3">
        <f>IF(OR($M$1="",对接源_01水果!$C755="",对接源_01水果!$C755&lt;&gt;$M$1,对接源_01水果!$B755=""),0,IF(OR(N(对接源_01水果!$B755)&lt;$M$2,N(对接源_01水果!$B755)&gt;$M$3),0,1))</f>
        <v>0</v>
      </c>
      <c r="N755" s="3">
        <f>IF(OR($N$1="",对接源_01水果!$C755="",对接源_01水果!$C755&lt;&gt;$N$1,对接源_01水果!$B755=""),0,IF(OR(N(对接源_01水果!$B755)&lt;$N$2,N(对接源_01水果!$B755)&gt;$N$3),0,1))</f>
        <v>0</v>
      </c>
      <c r="P755" s="3">
        <f>IF(AND($K755=1,AND(对接源_01水果!$X755="公司筐",N(对接源_01水果!$T755)&lt;&gt;0)),1,0)</f>
        <v>0</v>
      </c>
      <c r="Q755" s="3">
        <f t="shared" si="198"/>
        <v>0</v>
      </c>
      <c r="R755" s="3">
        <f>IF(AND($K755=1,AND(对接源_01水果!$X755="公司筐",N(对接源_01水果!$U755)&lt;&gt;0)),1,0)</f>
        <v>0</v>
      </c>
      <c r="S755" s="3">
        <f t="shared" si="199"/>
        <v>0</v>
      </c>
      <c r="T755" s="3">
        <f>IF(AND($K755=1,AND(对接源_01水果!$X755="公司筐",N(对接源_01水果!$V755)&lt;&gt;0)),1,0)</f>
        <v>0</v>
      </c>
      <c r="U755" s="3">
        <f t="shared" si="200"/>
        <v>19</v>
      </c>
      <c r="V755" s="3">
        <f>IF(AND($L755=1,AND(对接源_01水果!$X755="自备筐",N(对接源_01水果!$V755)&lt;&gt;0)),1,0)</f>
        <v>0</v>
      </c>
      <c r="W755" s="3">
        <f t="shared" si="201"/>
        <v>8</v>
      </c>
      <c r="X755" s="3">
        <f>IF(AND($L755=1,AND(对接源_01水果!$X755="自备筐",N(对接源_01水果!$T755)&lt;&gt;0)),1,0)</f>
        <v>0</v>
      </c>
      <c r="Y755" s="3">
        <f t="shared" si="202"/>
        <v>0</v>
      </c>
      <c r="Z755" s="3">
        <f>IF(AND($M755=1,对接源_01水果!$D755="原料入库"),1,0)</f>
        <v>0</v>
      </c>
      <c r="AA755" s="3">
        <f t="shared" si="203"/>
        <v>24</v>
      </c>
      <c r="AB755" s="3">
        <f>IF(AND($M755=1,LEFT(对接源_01水果!$D755,4)="原料出库"),1,0)</f>
        <v>0</v>
      </c>
      <c r="AC755" s="3">
        <f t="shared" si="204"/>
        <v>0</v>
      </c>
      <c r="AD755" s="3">
        <f>IF(AND($M755=1,LEFT(对接源_01水果!$D755,4)="成品出库"),1,0)</f>
        <v>0</v>
      </c>
      <c r="AE755" s="3">
        <f t="shared" si="205"/>
        <v>0</v>
      </c>
      <c r="AF755" s="3">
        <f>IF(AND($N755=1,AND(LEFT(对接源_01水果!$D755,4)="包装物料",N(对接源_01水果!$K755)&lt;&gt;0)),1,0)</f>
        <v>0</v>
      </c>
      <c r="AG755" s="3">
        <f t="shared" si="206"/>
        <v>0</v>
      </c>
      <c r="AH755" s="3">
        <f>IF(AND($N755=1,AND(对接源_01水果!$D755="周转筐－销售出库",N(对接源_01水果!$K755)&lt;&gt;0)),1,0)</f>
        <v>0</v>
      </c>
      <c r="AI755" s="3">
        <f t="shared" si="207"/>
        <v>0</v>
      </c>
      <c r="AJ755" s="7"/>
      <c r="AL755" s="3">
        <f>IF(OR($AL$1="",对接源_01水果!$Y755="",对接源_01水果!$Y755&lt;&gt;$AL$1,对接源_01水果!$B755="",N(对接源_01水果!$AJ755)&lt;=0),0,IF(OR(N(对接源_01水果!$B755)&lt;$AL$2,N(对接源_01水果!$B755)&gt;$AL$3),0,1))</f>
        <v>0</v>
      </c>
      <c r="AM755" s="3">
        <f t="shared" si="208"/>
        <v>1</v>
      </c>
      <c r="AN755" s="3" t="str">
        <f>IF(对接源_01水果!$AC755="","",对接源_01水果!$AC755)</f>
        <v/>
      </c>
      <c r="AO755" s="3">
        <f t="shared" si="209"/>
        <v>0</v>
      </c>
      <c r="AP755" s="3">
        <f t="shared" si="210"/>
        <v>8</v>
      </c>
      <c r="AR755">
        <f t="shared" si="211"/>
        <v>0</v>
      </c>
      <c r="AS755">
        <f t="shared" si="212"/>
        <v>0</v>
      </c>
    </row>
    <row r="756" ht="14.25" customHeight="1" spans="1:45">
      <c r="A756" s="3" t="str">
        <f>IF(对接源_01水果!$C756="","",对接源_01水果!$C756)</f>
        <v/>
      </c>
      <c r="B756" s="3">
        <f t="shared" si="196"/>
        <v>0</v>
      </c>
      <c r="C756" s="3">
        <f t="shared" si="197"/>
        <v>18</v>
      </c>
      <c r="K756" s="3">
        <f>IF(OR($K$1="",对接源_01水果!$C756="",对接源_01水果!$C756&lt;&gt;$K$1,对接源_01水果!$B756=""),0,IF(OR(N(对接源_01水果!$B756)&lt;$K$2,N(对接源_01水果!$B756)&gt;$K$3),0,1))</f>
        <v>0</v>
      </c>
      <c r="L756" s="3">
        <f>IF(OR($L$1="",对接源_01水果!$C756="",对接源_01水果!$C756&lt;&gt;$L$1,对接源_01水果!$B756=""),0,IF(OR(N(对接源_01水果!$B756)&lt;$L$2,N(对接源_01水果!$B756)&gt;$L$3),0,1))</f>
        <v>0</v>
      </c>
      <c r="M756" s="3">
        <f>IF(OR($M$1="",对接源_01水果!$C756="",对接源_01水果!$C756&lt;&gt;$M$1,对接源_01水果!$B756=""),0,IF(OR(N(对接源_01水果!$B756)&lt;$M$2,N(对接源_01水果!$B756)&gt;$M$3),0,1))</f>
        <v>0</v>
      </c>
      <c r="N756" s="3">
        <f>IF(OR($N$1="",对接源_01水果!$C756="",对接源_01水果!$C756&lt;&gt;$N$1,对接源_01水果!$B756=""),0,IF(OR(N(对接源_01水果!$B756)&lt;$N$2,N(对接源_01水果!$B756)&gt;$N$3),0,1))</f>
        <v>0</v>
      </c>
      <c r="P756" s="3">
        <f>IF(AND($K756=1,AND(对接源_01水果!$X756="公司筐",N(对接源_01水果!$T756)&lt;&gt;0)),1,0)</f>
        <v>0</v>
      </c>
      <c r="Q756" s="3">
        <f t="shared" si="198"/>
        <v>0</v>
      </c>
      <c r="R756" s="3">
        <f>IF(AND($K756=1,AND(对接源_01水果!$X756="公司筐",N(对接源_01水果!$U756)&lt;&gt;0)),1,0)</f>
        <v>0</v>
      </c>
      <c r="S756" s="3">
        <f t="shared" si="199"/>
        <v>0</v>
      </c>
      <c r="T756" s="3">
        <f>IF(AND($K756=1,AND(对接源_01水果!$X756="公司筐",N(对接源_01水果!$V756)&lt;&gt;0)),1,0)</f>
        <v>0</v>
      </c>
      <c r="U756" s="3">
        <f t="shared" si="200"/>
        <v>19</v>
      </c>
      <c r="V756" s="3">
        <f>IF(AND($L756=1,AND(对接源_01水果!$X756="自备筐",N(对接源_01水果!$V756)&lt;&gt;0)),1,0)</f>
        <v>0</v>
      </c>
      <c r="W756" s="3">
        <f t="shared" si="201"/>
        <v>8</v>
      </c>
      <c r="X756" s="3">
        <f>IF(AND($L756=1,AND(对接源_01水果!$X756="自备筐",N(对接源_01水果!$T756)&lt;&gt;0)),1,0)</f>
        <v>0</v>
      </c>
      <c r="Y756" s="3">
        <f t="shared" si="202"/>
        <v>0</v>
      </c>
      <c r="Z756" s="3">
        <f>IF(AND($M756=1,对接源_01水果!$D756="原料入库"),1,0)</f>
        <v>0</v>
      </c>
      <c r="AA756" s="3">
        <f t="shared" si="203"/>
        <v>24</v>
      </c>
      <c r="AB756" s="3">
        <f>IF(AND($M756=1,LEFT(对接源_01水果!$D756,4)="原料出库"),1,0)</f>
        <v>0</v>
      </c>
      <c r="AC756" s="3">
        <f t="shared" si="204"/>
        <v>0</v>
      </c>
      <c r="AD756" s="3">
        <f>IF(AND($M756=1,LEFT(对接源_01水果!$D756,4)="成品出库"),1,0)</f>
        <v>0</v>
      </c>
      <c r="AE756" s="3">
        <f t="shared" si="205"/>
        <v>0</v>
      </c>
      <c r="AF756" s="3">
        <f>IF(AND($N756=1,AND(LEFT(对接源_01水果!$D756,4)="包装物料",N(对接源_01水果!$K756)&lt;&gt;0)),1,0)</f>
        <v>0</v>
      </c>
      <c r="AG756" s="3">
        <f t="shared" si="206"/>
        <v>0</v>
      </c>
      <c r="AH756" s="3">
        <f>IF(AND($N756=1,AND(对接源_01水果!$D756="周转筐－销售出库",N(对接源_01水果!$K756)&lt;&gt;0)),1,0)</f>
        <v>0</v>
      </c>
      <c r="AI756" s="3">
        <f t="shared" si="207"/>
        <v>0</v>
      </c>
      <c r="AJ756" s="7"/>
      <c r="AL756" s="3">
        <f>IF(OR($AL$1="",对接源_01水果!$Y756="",对接源_01水果!$Y756&lt;&gt;$AL$1,对接源_01水果!$B756="",N(对接源_01水果!$AJ756)&lt;=0),0,IF(OR(N(对接源_01水果!$B756)&lt;$AL$2,N(对接源_01水果!$B756)&gt;$AL$3),0,1))</f>
        <v>0</v>
      </c>
      <c r="AM756" s="3">
        <f t="shared" si="208"/>
        <v>1</v>
      </c>
      <c r="AN756" s="3" t="str">
        <f>IF(对接源_01水果!$AC756="","",对接源_01水果!$AC756)</f>
        <v/>
      </c>
      <c r="AO756" s="3">
        <f t="shared" si="209"/>
        <v>0</v>
      </c>
      <c r="AP756" s="3">
        <f t="shared" si="210"/>
        <v>8</v>
      </c>
      <c r="AR756">
        <f t="shared" si="211"/>
        <v>0</v>
      </c>
      <c r="AS756">
        <f t="shared" si="212"/>
        <v>0</v>
      </c>
    </row>
    <row r="757" ht="14.25" customHeight="1" spans="1:45">
      <c r="A757" s="3" t="str">
        <f>IF(对接源_01水果!$C757="","",对接源_01水果!$C757)</f>
        <v/>
      </c>
      <c r="B757" s="3">
        <f t="shared" si="196"/>
        <v>0</v>
      </c>
      <c r="C757" s="3">
        <f t="shared" si="197"/>
        <v>18</v>
      </c>
      <c r="K757" s="3">
        <f>IF(OR($K$1="",对接源_01水果!$C757="",对接源_01水果!$C757&lt;&gt;$K$1,对接源_01水果!$B757=""),0,IF(OR(N(对接源_01水果!$B757)&lt;$K$2,N(对接源_01水果!$B757)&gt;$K$3),0,1))</f>
        <v>0</v>
      </c>
      <c r="L757" s="3">
        <f>IF(OR($L$1="",对接源_01水果!$C757="",对接源_01水果!$C757&lt;&gt;$L$1,对接源_01水果!$B757=""),0,IF(OR(N(对接源_01水果!$B757)&lt;$L$2,N(对接源_01水果!$B757)&gt;$L$3),0,1))</f>
        <v>0</v>
      </c>
      <c r="M757" s="3">
        <f>IF(OR($M$1="",对接源_01水果!$C757="",对接源_01水果!$C757&lt;&gt;$M$1,对接源_01水果!$B757=""),0,IF(OR(N(对接源_01水果!$B757)&lt;$M$2,N(对接源_01水果!$B757)&gt;$M$3),0,1))</f>
        <v>0</v>
      </c>
      <c r="N757" s="3">
        <f>IF(OR($N$1="",对接源_01水果!$C757="",对接源_01水果!$C757&lt;&gt;$N$1,对接源_01水果!$B757=""),0,IF(OR(N(对接源_01水果!$B757)&lt;$N$2,N(对接源_01水果!$B757)&gt;$N$3),0,1))</f>
        <v>0</v>
      </c>
      <c r="P757" s="3">
        <f>IF(AND($K757=1,AND(对接源_01水果!$X757="公司筐",N(对接源_01水果!$T757)&lt;&gt;0)),1,0)</f>
        <v>0</v>
      </c>
      <c r="Q757" s="3">
        <f t="shared" si="198"/>
        <v>0</v>
      </c>
      <c r="R757" s="3">
        <f>IF(AND($K757=1,AND(对接源_01水果!$X757="公司筐",N(对接源_01水果!$U757)&lt;&gt;0)),1,0)</f>
        <v>0</v>
      </c>
      <c r="S757" s="3">
        <f t="shared" si="199"/>
        <v>0</v>
      </c>
      <c r="T757" s="3">
        <f>IF(AND($K757=1,AND(对接源_01水果!$X757="公司筐",N(对接源_01水果!$V757)&lt;&gt;0)),1,0)</f>
        <v>0</v>
      </c>
      <c r="U757" s="3">
        <f t="shared" si="200"/>
        <v>19</v>
      </c>
      <c r="V757" s="3">
        <f>IF(AND($L757=1,AND(对接源_01水果!$X757="自备筐",N(对接源_01水果!$V757)&lt;&gt;0)),1,0)</f>
        <v>0</v>
      </c>
      <c r="W757" s="3">
        <f t="shared" si="201"/>
        <v>8</v>
      </c>
      <c r="X757" s="3">
        <f>IF(AND($L757=1,AND(对接源_01水果!$X757="自备筐",N(对接源_01水果!$T757)&lt;&gt;0)),1,0)</f>
        <v>0</v>
      </c>
      <c r="Y757" s="3">
        <f t="shared" si="202"/>
        <v>0</v>
      </c>
      <c r="Z757" s="3">
        <f>IF(AND($M757=1,对接源_01水果!$D757="原料入库"),1,0)</f>
        <v>0</v>
      </c>
      <c r="AA757" s="3">
        <f t="shared" si="203"/>
        <v>24</v>
      </c>
      <c r="AB757" s="3">
        <f>IF(AND($M757=1,LEFT(对接源_01水果!$D757,4)="原料出库"),1,0)</f>
        <v>0</v>
      </c>
      <c r="AC757" s="3">
        <f t="shared" si="204"/>
        <v>0</v>
      </c>
      <c r="AD757" s="3">
        <f>IF(AND($M757=1,LEFT(对接源_01水果!$D757,4)="成品出库"),1,0)</f>
        <v>0</v>
      </c>
      <c r="AE757" s="3">
        <f t="shared" si="205"/>
        <v>0</v>
      </c>
      <c r="AF757" s="3">
        <f>IF(AND($N757=1,AND(LEFT(对接源_01水果!$D757,4)="包装物料",N(对接源_01水果!$K757)&lt;&gt;0)),1,0)</f>
        <v>0</v>
      </c>
      <c r="AG757" s="3">
        <f t="shared" si="206"/>
        <v>0</v>
      </c>
      <c r="AH757" s="3">
        <f>IF(AND($N757=1,AND(对接源_01水果!$D757="周转筐－销售出库",N(对接源_01水果!$K757)&lt;&gt;0)),1,0)</f>
        <v>0</v>
      </c>
      <c r="AI757" s="3">
        <f t="shared" si="207"/>
        <v>0</v>
      </c>
      <c r="AJ757" s="7"/>
      <c r="AL757" s="3">
        <f>IF(OR($AL$1="",对接源_01水果!$Y757="",对接源_01水果!$Y757&lt;&gt;$AL$1,对接源_01水果!$B757="",N(对接源_01水果!$AJ757)&lt;=0),0,IF(OR(N(对接源_01水果!$B757)&lt;$AL$2,N(对接源_01水果!$B757)&gt;$AL$3),0,1))</f>
        <v>0</v>
      </c>
      <c r="AM757" s="3">
        <f t="shared" si="208"/>
        <v>1</v>
      </c>
      <c r="AN757" s="3" t="str">
        <f>IF(对接源_01水果!$AC757="","",对接源_01水果!$AC757)</f>
        <v/>
      </c>
      <c r="AO757" s="3">
        <f t="shared" si="209"/>
        <v>0</v>
      </c>
      <c r="AP757" s="3">
        <f t="shared" si="210"/>
        <v>8</v>
      </c>
      <c r="AR757">
        <f t="shared" si="211"/>
        <v>0</v>
      </c>
      <c r="AS757">
        <f t="shared" si="212"/>
        <v>0</v>
      </c>
    </row>
    <row r="758" ht="14.25" customHeight="1" spans="1:45">
      <c r="A758" s="3" t="str">
        <f>IF(对接源_01水果!$C758="","",对接源_01水果!$C758)</f>
        <v/>
      </c>
      <c r="B758" s="3">
        <f t="shared" si="196"/>
        <v>0</v>
      </c>
      <c r="C758" s="3">
        <f t="shared" si="197"/>
        <v>18</v>
      </c>
      <c r="K758" s="3">
        <f>IF(OR($K$1="",对接源_01水果!$C758="",对接源_01水果!$C758&lt;&gt;$K$1,对接源_01水果!$B758=""),0,IF(OR(N(对接源_01水果!$B758)&lt;$K$2,N(对接源_01水果!$B758)&gt;$K$3),0,1))</f>
        <v>0</v>
      </c>
      <c r="L758" s="3">
        <f>IF(OR($L$1="",对接源_01水果!$C758="",对接源_01水果!$C758&lt;&gt;$L$1,对接源_01水果!$B758=""),0,IF(OR(N(对接源_01水果!$B758)&lt;$L$2,N(对接源_01水果!$B758)&gt;$L$3),0,1))</f>
        <v>0</v>
      </c>
      <c r="M758" s="3">
        <f>IF(OR($M$1="",对接源_01水果!$C758="",对接源_01水果!$C758&lt;&gt;$M$1,对接源_01水果!$B758=""),0,IF(OR(N(对接源_01水果!$B758)&lt;$M$2,N(对接源_01水果!$B758)&gt;$M$3),0,1))</f>
        <v>0</v>
      </c>
      <c r="N758" s="3">
        <f>IF(OR($N$1="",对接源_01水果!$C758="",对接源_01水果!$C758&lt;&gt;$N$1,对接源_01水果!$B758=""),0,IF(OR(N(对接源_01水果!$B758)&lt;$N$2,N(对接源_01水果!$B758)&gt;$N$3),0,1))</f>
        <v>0</v>
      </c>
      <c r="P758" s="3">
        <f>IF(AND($K758=1,AND(对接源_01水果!$X758="公司筐",N(对接源_01水果!$T758)&lt;&gt;0)),1,0)</f>
        <v>0</v>
      </c>
      <c r="Q758" s="3">
        <f t="shared" si="198"/>
        <v>0</v>
      </c>
      <c r="R758" s="3">
        <f>IF(AND($K758=1,AND(对接源_01水果!$X758="公司筐",N(对接源_01水果!$U758)&lt;&gt;0)),1,0)</f>
        <v>0</v>
      </c>
      <c r="S758" s="3">
        <f t="shared" si="199"/>
        <v>0</v>
      </c>
      <c r="T758" s="3">
        <f>IF(AND($K758=1,AND(对接源_01水果!$X758="公司筐",N(对接源_01水果!$V758)&lt;&gt;0)),1,0)</f>
        <v>0</v>
      </c>
      <c r="U758" s="3">
        <f t="shared" si="200"/>
        <v>19</v>
      </c>
      <c r="V758" s="3">
        <f>IF(AND($L758=1,AND(对接源_01水果!$X758="自备筐",N(对接源_01水果!$V758)&lt;&gt;0)),1,0)</f>
        <v>0</v>
      </c>
      <c r="W758" s="3">
        <f t="shared" si="201"/>
        <v>8</v>
      </c>
      <c r="X758" s="3">
        <f>IF(AND($L758=1,AND(对接源_01水果!$X758="自备筐",N(对接源_01水果!$T758)&lt;&gt;0)),1,0)</f>
        <v>0</v>
      </c>
      <c r="Y758" s="3">
        <f t="shared" si="202"/>
        <v>0</v>
      </c>
      <c r="Z758" s="3">
        <f>IF(AND($M758=1,对接源_01水果!$D758="原料入库"),1,0)</f>
        <v>0</v>
      </c>
      <c r="AA758" s="3">
        <f t="shared" si="203"/>
        <v>24</v>
      </c>
      <c r="AB758" s="3">
        <f>IF(AND($M758=1,LEFT(对接源_01水果!$D758,4)="原料出库"),1,0)</f>
        <v>0</v>
      </c>
      <c r="AC758" s="3">
        <f t="shared" si="204"/>
        <v>0</v>
      </c>
      <c r="AD758" s="3">
        <f>IF(AND($M758=1,LEFT(对接源_01水果!$D758,4)="成品出库"),1,0)</f>
        <v>0</v>
      </c>
      <c r="AE758" s="3">
        <f t="shared" si="205"/>
        <v>0</v>
      </c>
      <c r="AF758" s="3">
        <f>IF(AND($N758=1,AND(LEFT(对接源_01水果!$D758,4)="包装物料",N(对接源_01水果!$K758)&lt;&gt;0)),1,0)</f>
        <v>0</v>
      </c>
      <c r="AG758" s="3">
        <f t="shared" si="206"/>
        <v>0</v>
      </c>
      <c r="AH758" s="3">
        <f>IF(AND($N758=1,AND(对接源_01水果!$D758="周转筐－销售出库",N(对接源_01水果!$K758)&lt;&gt;0)),1,0)</f>
        <v>0</v>
      </c>
      <c r="AI758" s="3">
        <f t="shared" si="207"/>
        <v>0</v>
      </c>
      <c r="AJ758" s="7"/>
      <c r="AL758" s="3">
        <f>IF(OR($AL$1="",对接源_01水果!$Y758="",对接源_01水果!$Y758&lt;&gt;$AL$1,对接源_01水果!$B758="",N(对接源_01水果!$AJ758)&lt;=0),0,IF(OR(N(对接源_01水果!$B758)&lt;$AL$2,N(对接源_01水果!$B758)&gt;$AL$3),0,1))</f>
        <v>0</v>
      </c>
      <c r="AM758" s="3">
        <f t="shared" si="208"/>
        <v>1</v>
      </c>
      <c r="AN758" s="3" t="str">
        <f>IF(对接源_01水果!$AC758="","",对接源_01水果!$AC758)</f>
        <v/>
      </c>
      <c r="AO758" s="3">
        <f t="shared" si="209"/>
        <v>0</v>
      </c>
      <c r="AP758" s="3">
        <f t="shared" si="210"/>
        <v>8</v>
      </c>
      <c r="AR758">
        <f t="shared" si="211"/>
        <v>0</v>
      </c>
      <c r="AS758">
        <f t="shared" si="212"/>
        <v>0</v>
      </c>
    </row>
    <row r="759" ht="14.25" customHeight="1" spans="1:45">
      <c r="A759" s="3" t="str">
        <f>IF(对接源_01水果!$C759="","",对接源_01水果!$C759)</f>
        <v/>
      </c>
      <c r="B759" s="3">
        <f t="shared" si="196"/>
        <v>0</v>
      </c>
      <c r="C759" s="3">
        <f t="shared" si="197"/>
        <v>18</v>
      </c>
      <c r="K759" s="3">
        <f>IF(OR($K$1="",对接源_01水果!$C759="",对接源_01水果!$C759&lt;&gt;$K$1,对接源_01水果!$B759=""),0,IF(OR(N(对接源_01水果!$B759)&lt;$K$2,N(对接源_01水果!$B759)&gt;$K$3),0,1))</f>
        <v>0</v>
      </c>
      <c r="L759" s="3">
        <f>IF(OR($L$1="",对接源_01水果!$C759="",对接源_01水果!$C759&lt;&gt;$L$1,对接源_01水果!$B759=""),0,IF(OR(N(对接源_01水果!$B759)&lt;$L$2,N(对接源_01水果!$B759)&gt;$L$3),0,1))</f>
        <v>0</v>
      </c>
      <c r="M759" s="3">
        <f>IF(OR($M$1="",对接源_01水果!$C759="",对接源_01水果!$C759&lt;&gt;$M$1,对接源_01水果!$B759=""),0,IF(OR(N(对接源_01水果!$B759)&lt;$M$2,N(对接源_01水果!$B759)&gt;$M$3),0,1))</f>
        <v>0</v>
      </c>
      <c r="N759" s="3">
        <f>IF(OR($N$1="",对接源_01水果!$C759="",对接源_01水果!$C759&lt;&gt;$N$1,对接源_01水果!$B759=""),0,IF(OR(N(对接源_01水果!$B759)&lt;$N$2,N(对接源_01水果!$B759)&gt;$N$3),0,1))</f>
        <v>0</v>
      </c>
      <c r="P759" s="3">
        <f>IF(AND($K759=1,AND(对接源_01水果!$X759="公司筐",N(对接源_01水果!$T759)&lt;&gt;0)),1,0)</f>
        <v>0</v>
      </c>
      <c r="Q759" s="3">
        <f t="shared" si="198"/>
        <v>0</v>
      </c>
      <c r="R759" s="3">
        <f>IF(AND($K759=1,AND(对接源_01水果!$X759="公司筐",N(对接源_01水果!$U759)&lt;&gt;0)),1,0)</f>
        <v>0</v>
      </c>
      <c r="S759" s="3">
        <f t="shared" si="199"/>
        <v>0</v>
      </c>
      <c r="T759" s="3">
        <f>IF(AND($K759=1,AND(对接源_01水果!$X759="公司筐",N(对接源_01水果!$V759)&lt;&gt;0)),1,0)</f>
        <v>0</v>
      </c>
      <c r="U759" s="3">
        <f t="shared" si="200"/>
        <v>19</v>
      </c>
      <c r="V759" s="3">
        <f>IF(AND($L759=1,AND(对接源_01水果!$X759="自备筐",N(对接源_01水果!$V759)&lt;&gt;0)),1,0)</f>
        <v>0</v>
      </c>
      <c r="W759" s="3">
        <f t="shared" si="201"/>
        <v>8</v>
      </c>
      <c r="X759" s="3">
        <f>IF(AND($L759=1,AND(对接源_01水果!$X759="自备筐",N(对接源_01水果!$T759)&lt;&gt;0)),1,0)</f>
        <v>0</v>
      </c>
      <c r="Y759" s="3">
        <f t="shared" si="202"/>
        <v>0</v>
      </c>
      <c r="Z759" s="3">
        <f>IF(AND($M759=1,对接源_01水果!$D759="原料入库"),1,0)</f>
        <v>0</v>
      </c>
      <c r="AA759" s="3">
        <f t="shared" si="203"/>
        <v>24</v>
      </c>
      <c r="AB759" s="3">
        <f>IF(AND($M759=1,LEFT(对接源_01水果!$D759,4)="原料出库"),1,0)</f>
        <v>0</v>
      </c>
      <c r="AC759" s="3">
        <f t="shared" si="204"/>
        <v>0</v>
      </c>
      <c r="AD759" s="3">
        <f>IF(AND($M759=1,LEFT(对接源_01水果!$D759,4)="成品出库"),1,0)</f>
        <v>0</v>
      </c>
      <c r="AE759" s="3">
        <f t="shared" si="205"/>
        <v>0</v>
      </c>
      <c r="AF759" s="3">
        <f>IF(AND($N759=1,AND(LEFT(对接源_01水果!$D759,4)="包装物料",N(对接源_01水果!$K759)&lt;&gt;0)),1,0)</f>
        <v>0</v>
      </c>
      <c r="AG759" s="3">
        <f t="shared" si="206"/>
        <v>0</v>
      </c>
      <c r="AH759" s="3">
        <f>IF(AND($N759=1,AND(对接源_01水果!$D759="周转筐－销售出库",N(对接源_01水果!$K759)&lt;&gt;0)),1,0)</f>
        <v>0</v>
      </c>
      <c r="AI759" s="3">
        <f t="shared" si="207"/>
        <v>0</v>
      </c>
      <c r="AJ759" s="7"/>
      <c r="AL759" s="3">
        <f>IF(OR($AL$1="",对接源_01水果!$Y759="",对接源_01水果!$Y759&lt;&gt;$AL$1,对接源_01水果!$B759="",N(对接源_01水果!$AJ759)&lt;=0),0,IF(OR(N(对接源_01水果!$B759)&lt;$AL$2,N(对接源_01水果!$B759)&gt;$AL$3),0,1))</f>
        <v>0</v>
      </c>
      <c r="AM759" s="3">
        <f t="shared" si="208"/>
        <v>1</v>
      </c>
      <c r="AN759" s="3" t="str">
        <f>IF(对接源_01水果!$AC759="","",对接源_01水果!$AC759)</f>
        <v/>
      </c>
      <c r="AO759" s="3">
        <f t="shared" si="209"/>
        <v>0</v>
      </c>
      <c r="AP759" s="3">
        <f t="shared" si="210"/>
        <v>8</v>
      </c>
      <c r="AR759">
        <f t="shared" si="211"/>
        <v>0</v>
      </c>
      <c r="AS759">
        <f t="shared" si="212"/>
        <v>0</v>
      </c>
    </row>
    <row r="760" ht="14.25" customHeight="1" spans="1:45">
      <c r="A760" s="3" t="str">
        <f>IF(对接源_01水果!$C760="","",对接源_01水果!$C760)</f>
        <v/>
      </c>
      <c r="B760" s="3">
        <f t="shared" si="196"/>
        <v>0</v>
      </c>
      <c r="C760" s="3">
        <f t="shared" si="197"/>
        <v>18</v>
      </c>
      <c r="K760" s="3">
        <f>IF(OR($K$1="",对接源_01水果!$C760="",对接源_01水果!$C760&lt;&gt;$K$1,对接源_01水果!$B760=""),0,IF(OR(N(对接源_01水果!$B760)&lt;$K$2,N(对接源_01水果!$B760)&gt;$K$3),0,1))</f>
        <v>0</v>
      </c>
      <c r="L760" s="3">
        <f>IF(OR($L$1="",对接源_01水果!$C760="",对接源_01水果!$C760&lt;&gt;$L$1,对接源_01水果!$B760=""),0,IF(OR(N(对接源_01水果!$B760)&lt;$L$2,N(对接源_01水果!$B760)&gt;$L$3),0,1))</f>
        <v>0</v>
      </c>
      <c r="M760" s="3">
        <f>IF(OR($M$1="",对接源_01水果!$C760="",对接源_01水果!$C760&lt;&gt;$M$1,对接源_01水果!$B760=""),0,IF(OR(N(对接源_01水果!$B760)&lt;$M$2,N(对接源_01水果!$B760)&gt;$M$3),0,1))</f>
        <v>0</v>
      </c>
      <c r="N760" s="3">
        <f>IF(OR($N$1="",对接源_01水果!$C760="",对接源_01水果!$C760&lt;&gt;$N$1,对接源_01水果!$B760=""),0,IF(OR(N(对接源_01水果!$B760)&lt;$N$2,N(对接源_01水果!$B760)&gt;$N$3),0,1))</f>
        <v>0</v>
      </c>
      <c r="P760" s="3">
        <f>IF(AND($K760=1,AND(对接源_01水果!$X760="公司筐",N(对接源_01水果!$T760)&lt;&gt;0)),1,0)</f>
        <v>0</v>
      </c>
      <c r="Q760" s="3">
        <f t="shared" si="198"/>
        <v>0</v>
      </c>
      <c r="R760" s="3">
        <f>IF(AND($K760=1,AND(对接源_01水果!$X760="公司筐",N(对接源_01水果!$U760)&lt;&gt;0)),1,0)</f>
        <v>0</v>
      </c>
      <c r="S760" s="3">
        <f t="shared" si="199"/>
        <v>0</v>
      </c>
      <c r="T760" s="3">
        <f>IF(AND($K760=1,AND(对接源_01水果!$X760="公司筐",N(对接源_01水果!$V760)&lt;&gt;0)),1,0)</f>
        <v>0</v>
      </c>
      <c r="U760" s="3">
        <f t="shared" si="200"/>
        <v>19</v>
      </c>
      <c r="V760" s="3">
        <f>IF(AND($L760=1,AND(对接源_01水果!$X760="自备筐",N(对接源_01水果!$V760)&lt;&gt;0)),1,0)</f>
        <v>0</v>
      </c>
      <c r="W760" s="3">
        <f t="shared" si="201"/>
        <v>8</v>
      </c>
      <c r="X760" s="3">
        <f>IF(AND($L760=1,AND(对接源_01水果!$X760="自备筐",N(对接源_01水果!$T760)&lt;&gt;0)),1,0)</f>
        <v>0</v>
      </c>
      <c r="Y760" s="3">
        <f t="shared" si="202"/>
        <v>0</v>
      </c>
      <c r="Z760" s="3">
        <f>IF(AND($M760=1,对接源_01水果!$D760="原料入库"),1,0)</f>
        <v>0</v>
      </c>
      <c r="AA760" s="3">
        <f t="shared" si="203"/>
        <v>24</v>
      </c>
      <c r="AB760" s="3">
        <f>IF(AND($M760=1,LEFT(对接源_01水果!$D760,4)="原料出库"),1,0)</f>
        <v>0</v>
      </c>
      <c r="AC760" s="3">
        <f t="shared" si="204"/>
        <v>0</v>
      </c>
      <c r="AD760" s="3">
        <f>IF(AND($M760=1,LEFT(对接源_01水果!$D760,4)="成品出库"),1,0)</f>
        <v>0</v>
      </c>
      <c r="AE760" s="3">
        <f t="shared" si="205"/>
        <v>0</v>
      </c>
      <c r="AF760" s="3">
        <f>IF(AND($N760=1,AND(LEFT(对接源_01水果!$D760,4)="包装物料",N(对接源_01水果!$K760)&lt;&gt;0)),1,0)</f>
        <v>0</v>
      </c>
      <c r="AG760" s="3">
        <f t="shared" si="206"/>
        <v>0</v>
      </c>
      <c r="AH760" s="3">
        <f>IF(AND($N760=1,AND(对接源_01水果!$D760="周转筐－销售出库",N(对接源_01水果!$K760)&lt;&gt;0)),1,0)</f>
        <v>0</v>
      </c>
      <c r="AI760" s="3">
        <f t="shared" si="207"/>
        <v>0</v>
      </c>
      <c r="AJ760" s="7"/>
      <c r="AL760" s="3">
        <f>IF(OR($AL$1="",对接源_01水果!$Y760="",对接源_01水果!$Y760&lt;&gt;$AL$1,对接源_01水果!$B760="",N(对接源_01水果!$AJ760)&lt;=0),0,IF(OR(N(对接源_01水果!$B760)&lt;$AL$2,N(对接源_01水果!$B760)&gt;$AL$3),0,1))</f>
        <v>0</v>
      </c>
      <c r="AM760" s="3">
        <f t="shared" si="208"/>
        <v>1</v>
      </c>
      <c r="AN760" s="3" t="str">
        <f>IF(对接源_01水果!$AC760="","",对接源_01水果!$AC760)</f>
        <v/>
      </c>
      <c r="AO760" s="3">
        <f t="shared" si="209"/>
        <v>0</v>
      </c>
      <c r="AP760" s="3">
        <f t="shared" si="210"/>
        <v>8</v>
      </c>
      <c r="AR760">
        <f t="shared" si="211"/>
        <v>0</v>
      </c>
      <c r="AS760">
        <f t="shared" si="212"/>
        <v>0</v>
      </c>
    </row>
    <row r="761" ht="14.25" customHeight="1" spans="1:45">
      <c r="A761" s="3" t="str">
        <f>IF(对接源_01水果!$C761="","",对接源_01水果!$C761)</f>
        <v/>
      </c>
      <c r="B761" s="3">
        <f t="shared" si="196"/>
        <v>0</v>
      </c>
      <c r="C761" s="3">
        <f t="shared" si="197"/>
        <v>18</v>
      </c>
      <c r="K761" s="3">
        <f>IF(OR($K$1="",对接源_01水果!$C761="",对接源_01水果!$C761&lt;&gt;$K$1,对接源_01水果!$B761=""),0,IF(OR(N(对接源_01水果!$B761)&lt;$K$2,N(对接源_01水果!$B761)&gt;$K$3),0,1))</f>
        <v>0</v>
      </c>
      <c r="L761" s="3">
        <f>IF(OR($L$1="",对接源_01水果!$C761="",对接源_01水果!$C761&lt;&gt;$L$1,对接源_01水果!$B761=""),0,IF(OR(N(对接源_01水果!$B761)&lt;$L$2,N(对接源_01水果!$B761)&gt;$L$3),0,1))</f>
        <v>0</v>
      </c>
      <c r="M761" s="3">
        <f>IF(OR($M$1="",对接源_01水果!$C761="",对接源_01水果!$C761&lt;&gt;$M$1,对接源_01水果!$B761=""),0,IF(OR(N(对接源_01水果!$B761)&lt;$M$2,N(对接源_01水果!$B761)&gt;$M$3),0,1))</f>
        <v>0</v>
      </c>
      <c r="N761" s="3">
        <f>IF(OR($N$1="",对接源_01水果!$C761="",对接源_01水果!$C761&lt;&gt;$N$1,对接源_01水果!$B761=""),0,IF(OR(N(对接源_01水果!$B761)&lt;$N$2,N(对接源_01水果!$B761)&gt;$N$3),0,1))</f>
        <v>0</v>
      </c>
      <c r="P761" s="3">
        <f>IF(AND($K761=1,AND(对接源_01水果!$X761="公司筐",N(对接源_01水果!$T761)&lt;&gt;0)),1,0)</f>
        <v>0</v>
      </c>
      <c r="Q761" s="3">
        <f t="shared" si="198"/>
        <v>0</v>
      </c>
      <c r="R761" s="3">
        <f>IF(AND($K761=1,AND(对接源_01水果!$X761="公司筐",N(对接源_01水果!$U761)&lt;&gt;0)),1,0)</f>
        <v>0</v>
      </c>
      <c r="S761" s="3">
        <f t="shared" si="199"/>
        <v>0</v>
      </c>
      <c r="T761" s="3">
        <f>IF(AND($K761=1,AND(对接源_01水果!$X761="公司筐",N(对接源_01水果!$V761)&lt;&gt;0)),1,0)</f>
        <v>0</v>
      </c>
      <c r="U761" s="3">
        <f t="shared" si="200"/>
        <v>19</v>
      </c>
      <c r="V761" s="3">
        <f>IF(AND($L761=1,AND(对接源_01水果!$X761="自备筐",N(对接源_01水果!$V761)&lt;&gt;0)),1,0)</f>
        <v>0</v>
      </c>
      <c r="W761" s="3">
        <f t="shared" si="201"/>
        <v>8</v>
      </c>
      <c r="X761" s="3">
        <f>IF(AND($L761=1,AND(对接源_01水果!$X761="自备筐",N(对接源_01水果!$T761)&lt;&gt;0)),1,0)</f>
        <v>0</v>
      </c>
      <c r="Y761" s="3">
        <f t="shared" si="202"/>
        <v>0</v>
      </c>
      <c r="Z761" s="3">
        <f>IF(AND($M761=1,对接源_01水果!$D761="原料入库"),1,0)</f>
        <v>0</v>
      </c>
      <c r="AA761" s="3">
        <f t="shared" si="203"/>
        <v>24</v>
      </c>
      <c r="AB761" s="3">
        <f>IF(AND($M761=1,LEFT(对接源_01水果!$D761,4)="原料出库"),1,0)</f>
        <v>0</v>
      </c>
      <c r="AC761" s="3">
        <f t="shared" si="204"/>
        <v>0</v>
      </c>
      <c r="AD761" s="3">
        <f>IF(AND($M761=1,LEFT(对接源_01水果!$D761,4)="成品出库"),1,0)</f>
        <v>0</v>
      </c>
      <c r="AE761" s="3">
        <f t="shared" si="205"/>
        <v>0</v>
      </c>
      <c r="AF761" s="3">
        <f>IF(AND($N761=1,AND(LEFT(对接源_01水果!$D761,4)="包装物料",N(对接源_01水果!$K761)&lt;&gt;0)),1,0)</f>
        <v>0</v>
      </c>
      <c r="AG761" s="3">
        <f t="shared" si="206"/>
        <v>0</v>
      </c>
      <c r="AH761" s="3">
        <f>IF(AND($N761=1,AND(对接源_01水果!$D761="周转筐－销售出库",N(对接源_01水果!$K761)&lt;&gt;0)),1,0)</f>
        <v>0</v>
      </c>
      <c r="AI761" s="3">
        <f t="shared" si="207"/>
        <v>0</v>
      </c>
      <c r="AJ761" s="7"/>
      <c r="AL761" s="3">
        <f>IF(OR($AL$1="",对接源_01水果!$Y761="",对接源_01水果!$Y761&lt;&gt;$AL$1,对接源_01水果!$B761="",N(对接源_01水果!$AJ761)&lt;=0),0,IF(OR(N(对接源_01水果!$B761)&lt;$AL$2,N(对接源_01水果!$B761)&gt;$AL$3),0,1))</f>
        <v>0</v>
      </c>
      <c r="AM761" s="3">
        <f t="shared" si="208"/>
        <v>1</v>
      </c>
      <c r="AN761" s="3" t="str">
        <f>IF(对接源_01水果!$AC761="","",对接源_01水果!$AC761)</f>
        <v/>
      </c>
      <c r="AO761" s="3">
        <f t="shared" si="209"/>
        <v>0</v>
      </c>
      <c r="AP761" s="3">
        <f t="shared" si="210"/>
        <v>8</v>
      </c>
      <c r="AR761">
        <f t="shared" si="211"/>
        <v>0</v>
      </c>
      <c r="AS761">
        <f t="shared" si="212"/>
        <v>0</v>
      </c>
    </row>
    <row r="762" ht="14.25" customHeight="1" spans="1:45">
      <c r="A762" s="3" t="str">
        <f>IF(对接源_01水果!$C762="","",对接源_01水果!$C762)</f>
        <v/>
      </c>
      <c r="B762" s="3">
        <f t="shared" si="196"/>
        <v>0</v>
      </c>
      <c r="C762" s="3">
        <f t="shared" si="197"/>
        <v>18</v>
      </c>
      <c r="K762" s="3">
        <f>IF(OR($K$1="",对接源_01水果!$C762="",对接源_01水果!$C762&lt;&gt;$K$1,对接源_01水果!$B762=""),0,IF(OR(N(对接源_01水果!$B762)&lt;$K$2,N(对接源_01水果!$B762)&gt;$K$3),0,1))</f>
        <v>0</v>
      </c>
      <c r="L762" s="3">
        <f>IF(OR($L$1="",对接源_01水果!$C762="",对接源_01水果!$C762&lt;&gt;$L$1,对接源_01水果!$B762=""),0,IF(OR(N(对接源_01水果!$B762)&lt;$L$2,N(对接源_01水果!$B762)&gt;$L$3),0,1))</f>
        <v>0</v>
      </c>
      <c r="M762" s="3">
        <f>IF(OR($M$1="",对接源_01水果!$C762="",对接源_01水果!$C762&lt;&gt;$M$1,对接源_01水果!$B762=""),0,IF(OR(N(对接源_01水果!$B762)&lt;$M$2,N(对接源_01水果!$B762)&gt;$M$3),0,1))</f>
        <v>0</v>
      </c>
      <c r="N762" s="3">
        <f>IF(OR($N$1="",对接源_01水果!$C762="",对接源_01水果!$C762&lt;&gt;$N$1,对接源_01水果!$B762=""),0,IF(OR(N(对接源_01水果!$B762)&lt;$N$2,N(对接源_01水果!$B762)&gt;$N$3),0,1))</f>
        <v>0</v>
      </c>
      <c r="P762" s="3">
        <f>IF(AND($K762=1,AND(对接源_01水果!$X762="公司筐",N(对接源_01水果!$T762)&lt;&gt;0)),1,0)</f>
        <v>0</v>
      </c>
      <c r="Q762" s="3">
        <f t="shared" si="198"/>
        <v>0</v>
      </c>
      <c r="R762" s="3">
        <f>IF(AND($K762=1,AND(对接源_01水果!$X762="公司筐",N(对接源_01水果!$U762)&lt;&gt;0)),1,0)</f>
        <v>0</v>
      </c>
      <c r="S762" s="3">
        <f t="shared" si="199"/>
        <v>0</v>
      </c>
      <c r="T762" s="3">
        <f>IF(AND($K762=1,AND(对接源_01水果!$X762="公司筐",N(对接源_01水果!$V762)&lt;&gt;0)),1,0)</f>
        <v>0</v>
      </c>
      <c r="U762" s="3">
        <f t="shared" si="200"/>
        <v>19</v>
      </c>
      <c r="V762" s="3">
        <f>IF(AND($L762=1,AND(对接源_01水果!$X762="自备筐",N(对接源_01水果!$V762)&lt;&gt;0)),1,0)</f>
        <v>0</v>
      </c>
      <c r="W762" s="3">
        <f t="shared" si="201"/>
        <v>8</v>
      </c>
      <c r="X762" s="3">
        <f>IF(AND($L762=1,AND(对接源_01水果!$X762="自备筐",N(对接源_01水果!$T762)&lt;&gt;0)),1,0)</f>
        <v>0</v>
      </c>
      <c r="Y762" s="3">
        <f t="shared" si="202"/>
        <v>0</v>
      </c>
      <c r="Z762" s="3">
        <f>IF(AND($M762=1,对接源_01水果!$D762="原料入库"),1,0)</f>
        <v>0</v>
      </c>
      <c r="AA762" s="3">
        <f t="shared" si="203"/>
        <v>24</v>
      </c>
      <c r="AB762" s="3">
        <f>IF(AND($M762=1,LEFT(对接源_01水果!$D762,4)="原料出库"),1,0)</f>
        <v>0</v>
      </c>
      <c r="AC762" s="3">
        <f t="shared" si="204"/>
        <v>0</v>
      </c>
      <c r="AD762" s="3">
        <f>IF(AND($M762=1,LEFT(对接源_01水果!$D762,4)="成品出库"),1,0)</f>
        <v>0</v>
      </c>
      <c r="AE762" s="3">
        <f t="shared" si="205"/>
        <v>0</v>
      </c>
      <c r="AF762" s="3">
        <f>IF(AND($N762=1,AND(LEFT(对接源_01水果!$D762,4)="包装物料",N(对接源_01水果!$K762)&lt;&gt;0)),1,0)</f>
        <v>0</v>
      </c>
      <c r="AG762" s="3">
        <f t="shared" si="206"/>
        <v>0</v>
      </c>
      <c r="AH762" s="3">
        <f>IF(AND($N762=1,AND(对接源_01水果!$D762="周转筐－销售出库",N(对接源_01水果!$K762)&lt;&gt;0)),1,0)</f>
        <v>0</v>
      </c>
      <c r="AI762" s="3">
        <f t="shared" si="207"/>
        <v>0</v>
      </c>
      <c r="AJ762" s="7"/>
      <c r="AL762" s="3">
        <f>IF(OR($AL$1="",对接源_01水果!$Y762="",对接源_01水果!$Y762&lt;&gt;$AL$1,对接源_01水果!$B762="",N(对接源_01水果!$AJ762)&lt;=0),0,IF(OR(N(对接源_01水果!$B762)&lt;$AL$2,N(对接源_01水果!$B762)&gt;$AL$3),0,1))</f>
        <v>0</v>
      </c>
      <c r="AM762" s="3">
        <f t="shared" si="208"/>
        <v>1</v>
      </c>
      <c r="AN762" s="3" t="str">
        <f>IF(对接源_01水果!$AC762="","",对接源_01水果!$AC762)</f>
        <v/>
      </c>
      <c r="AO762" s="3">
        <f t="shared" si="209"/>
        <v>0</v>
      </c>
      <c r="AP762" s="3">
        <f t="shared" si="210"/>
        <v>8</v>
      </c>
      <c r="AR762">
        <f t="shared" si="211"/>
        <v>0</v>
      </c>
      <c r="AS762">
        <f t="shared" si="212"/>
        <v>0</v>
      </c>
    </row>
    <row r="763" ht="14.25" customHeight="1" spans="1:45">
      <c r="A763" s="3" t="str">
        <f>IF(对接源_01水果!$C763="","",对接源_01水果!$C763)</f>
        <v/>
      </c>
      <c r="B763" s="3">
        <f t="shared" si="196"/>
        <v>0</v>
      </c>
      <c r="C763" s="3">
        <f t="shared" si="197"/>
        <v>18</v>
      </c>
      <c r="K763" s="3">
        <f>IF(OR($K$1="",对接源_01水果!$C763="",对接源_01水果!$C763&lt;&gt;$K$1,对接源_01水果!$B763=""),0,IF(OR(N(对接源_01水果!$B763)&lt;$K$2,N(对接源_01水果!$B763)&gt;$K$3),0,1))</f>
        <v>0</v>
      </c>
      <c r="L763" s="3">
        <f>IF(OR($L$1="",对接源_01水果!$C763="",对接源_01水果!$C763&lt;&gt;$L$1,对接源_01水果!$B763=""),0,IF(OR(N(对接源_01水果!$B763)&lt;$L$2,N(对接源_01水果!$B763)&gt;$L$3),0,1))</f>
        <v>0</v>
      </c>
      <c r="M763" s="3">
        <f>IF(OR($M$1="",对接源_01水果!$C763="",对接源_01水果!$C763&lt;&gt;$M$1,对接源_01水果!$B763=""),0,IF(OR(N(对接源_01水果!$B763)&lt;$M$2,N(对接源_01水果!$B763)&gt;$M$3),0,1))</f>
        <v>0</v>
      </c>
      <c r="N763" s="3">
        <f>IF(OR($N$1="",对接源_01水果!$C763="",对接源_01水果!$C763&lt;&gt;$N$1,对接源_01水果!$B763=""),0,IF(OR(N(对接源_01水果!$B763)&lt;$N$2,N(对接源_01水果!$B763)&gt;$N$3),0,1))</f>
        <v>0</v>
      </c>
      <c r="P763" s="3">
        <f>IF(AND($K763=1,AND(对接源_01水果!$X763="公司筐",N(对接源_01水果!$T763)&lt;&gt;0)),1,0)</f>
        <v>0</v>
      </c>
      <c r="Q763" s="3">
        <f t="shared" si="198"/>
        <v>0</v>
      </c>
      <c r="R763" s="3">
        <f>IF(AND($K763=1,AND(对接源_01水果!$X763="公司筐",N(对接源_01水果!$U763)&lt;&gt;0)),1,0)</f>
        <v>0</v>
      </c>
      <c r="S763" s="3">
        <f t="shared" si="199"/>
        <v>0</v>
      </c>
      <c r="T763" s="3">
        <f>IF(AND($K763=1,AND(对接源_01水果!$X763="公司筐",N(对接源_01水果!$V763)&lt;&gt;0)),1,0)</f>
        <v>0</v>
      </c>
      <c r="U763" s="3">
        <f t="shared" si="200"/>
        <v>19</v>
      </c>
      <c r="V763" s="3">
        <f>IF(AND($L763=1,AND(对接源_01水果!$X763="自备筐",N(对接源_01水果!$V763)&lt;&gt;0)),1,0)</f>
        <v>0</v>
      </c>
      <c r="W763" s="3">
        <f t="shared" si="201"/>
        <v>8</v>
      </c>
      <c r="X763" s="3">
        <f>IF(AND($L763=1,AND(对接源_01水果!$X763="自备筐",N(对接源_01水果!$T763)&lt;&gt;0)),1,0)</f>
        <v>0</v>
      </c>
      <c r="Y763" s="3">
        <f t="shared" si="202"/>
        <v>0</v>
      </c>
      <c r="Z763" s="3">
        <f>IF(AND($M763=1,对接源_01水果!$D763="原料入库"),1,0)</f>
        <v>0</v>
      </c>
      <c r="AA763" s="3">
        <f t="shared" si="203"/>
        <v>24</v>
      </c>
      <c r="AB763" s="3">
        <f>IF(AND($M763=1,LEFT(对接源_01水果!$D763,4)="原料出库"),1,0)</f>
        <v>0</v>
      </c>
      <c r="AC763" s="3">
        <f t="shared" si="204"/>
        <v>0</v>
      </c>
      <c r="AD763" s="3">
        <f>IF(AND($M763=1,LEFT(对接源_01水果!$D763,4)="成品出库"),1,0)</f>
        <v>0</v>
      </c>
      <c r="AE763" s="3">
        <f t="shared" si="205"/>
        <v>0</v>
      </c>
      <c r="AF763" s="3">
        <f>IF(AND($N763=1,AND(LEFT(对接源_01水果!$D763,4)="包装物料",N(对接源_01水果!$K763)&lt;&gt;0)),1,0)</f>
        <v>0</v>
      </c>
      <c r="AG763" s="3">
        <f t="shared" si="206"/>
        <v>0</v>
      </c>
      <c r="AH763" s="3">
        <f>IF(AND($N763=1,AND(对接源_01水果!$D763="周转筐－销售出库",N(对接源_01水果!$K763)&lt;&gt;0)),1,0)</f>
        <v>0</v>
      </c>
      <c r="AI763" s="3">
        <f t="shared" si="207"/>
        <v>0</v>
      </c>
      <c r="AJ763" s="7"/>
      <c r="AL763" s="3">
        <f>IF(OR($AL$1="",对接源_01水果!$Y763="",对接源_01水果!$Y763&lt;&gt;$AL$1,对接源_01水果!$B763="",N(对接源_01水果!$AJ763)&lt;=0),0,IF(OR(N(对接源_01水果!$B763)&lt;$AL$2,N(对接源_01水果!$B763)&gt;$AL$3),0,1))</f>
        <v>0</v>
      </c>
      <c r="AM763" s="3">
        <f t="shared" si="208"/>
        <v>1</v>
      </c>
      <c r="AN763" s="3" t="str">
        <f>IF(对接源_01水果!$AC763="","",对接源_01水果!$AC763)</f>
        <v/>
      </c>
      <c r="AO763" s="3">
        <f t="shared" si="209"/>
        <v>0</v>
      </c>
      <c r="AP763" s="3">
        <f t="shared" si="210"/>
        <v>8</v>
      </c>
      <c r="AR763">
        <f t="shared" si="211"/>
        <v>0</v>
      </c>
      <c r="AS763">
        <f t="shared" si="212"/>
        <v>0</v>
      </c>
    </row>
    <row r="764" ht="14.25" customHeight="1" spans="1:45">
      <c r="A764" s="3" t="str">
        <f>IF(对接源_01水果!$C764="","",对接源_01水果!$C764)</f>
        <v/>
      </c>
      <c r="B764" s="3">
        <f t="shared" si="196"/>
        <v>0</v>
      </c>
      <c r="C764" s="3">
        <f t="shared" si="197"/>
        <v>18</v>
      </c>
      <c r="K764" s="3">
        <f>IF(OR($K$1="",对接源_01水果!$C764="",对接源_01水果!$C764&lt;&gt;$K$1,对接源_01水果!$B764=""),0,IF(OR(N(对接源_01水果!$B764)&lt;$K$2,N(对接源_01水果!$B764)&gt;$K$3),0,1))</f>
        <v>0</v>
      </c>
      <c r="L764" s="3">
        <f>IF(OR($L$1="",对接源_01水果!$C764="",对接源_01水果!$C764&lt;&gt;$L$1,对接源_01水果!$B764=""),0,IF(OR(N(对接源_01水果!$B764)&lt;$L$2,N(对接源_01水果!$B764)&gt;$L$3),0,1))</f>
        <v>0</v>
      </c>
      <c r="M764" s="3">
        <f>IF(OR($M$1="",对接源_01水果!$C764="",对接源_01水果!$C764&lt;&gt;$M$1,对接源_01水果!$B764=""),0,IF(OR(N(对接源_01水果!$B764)&lt;$M$2,N(对接源_01水果!$B764)&gt;$M$3),0,1))</f>
        <v>0</v>
      </c>
      <c r="N764" s="3">
        <f>IF(OR($N$1="",对接源_01水果!$C764="",对接源_01水果!$C764&lt;&gt;$N$1,对接源_01水果!$B764=""),0,IF(OR(N(对接源_01水果!$B764)&lt;$N$2,N(对接源_01水果!$B764)&gt;$N$3),0,1))</f>
        <v>0</v>
      </c>
      <c r="P764" s="3">
        <f>IF(AND($K764=1,AND(对接源_01水果!$X764="公司筐",N(对接源_01水果!$T764)&lt;&gt;0)),1,0)</f>
        <v>0</v>
      </c>
      <c r="Q764" s="3">
        <f t="shared" si="198"/>
        <v>0</v>
      </c>
      <c r="R764" s="3">
        <f>IF(AND($K764=1,AND(对接源_01水果!$X764="公司筐",N(对接源_01水果!$U764)&lt;&gt;0)),1,0)</f>
        <v>0</v>
      </c>
      <c r="S764" s="3">
        <f t="shared" si="199"/>
        <v>0</v>
      </c>
      <c r="T764" s="3">
        <f>IF(AND($K764=1,AND(对接源_01水果!$X764="公司筐",N(对接源_01水果!$V764)&lt;&gt;0)),1,0)</f>
        <v>0</v>
      </c>
      <c r="U764" s="3">
        <f t="shared" si="200"/>
        <v>19</v>
      </c>
      <c r="V764" s="3">
        <f>IF(AND($L764=1,AND(对接源_01水果!$X764="自备筐",N(对接源_01水果!$V764)&lt;&gt;0)),1,0)</f>
        <v>0</v>
      </c>
      <c r="W764" s="3">
        <f t="shared" si="201"/>
        <v>8</v>
      </c>
      <c r="X764" s="3">
        <f>IF(AND($L764=1,AND(对接源_01水果!$X764="自备筐",N(对接源_01水果!$T764)&lt;&gt;0)),1,0)</f>
        <v>0</v>
      </c>
      <c r="Y764" s="3">
        <f t="shared" si="202"/>
        <v>0</v>
      </c>
      <c r="Z764" s="3">
        <f>IF(AND($M764=1,对接源_01水果!$D764="原料入库"),1,0)</f>
        <v>0</v>
      </c>
      <c r="AA764" s="3">
        <f t="shared" si="203"/>
        <v>24</v>
      </c>
      <c r="AB764" s="3">
        <f>IF(AND($M764=1,LEFT(对接源_01水果!$D764,4)="原料出库"),1,0)</f>
        <v>0</v>
      </c>
      <c r="AC764" s="3">
        <f t="shared" si="204"/>
        <v>0</v>
      </c>
      <c r="AD764" s="3">
        <f>IF(AND($M764=1,LEFT(对接源_01水果!$D764,4)="成品出库"),1,0)</f>
        <v>0</v>
      </c>
      <c r="AE764" s="3">
        <f t="shared" si="205"/>
        <v>0</v>
      </c>
      <c r="AF764" s="3">
        <f>IF(AND($N764=1,AND(LEFT(对接源_01水果!$D764,4)="包装物料",N(对接源_01水果!$K764)&lt;&gt;0)),1,0)</f>
        <v>0</v>
      </c>
      <c r="AG764" s="3">
        <f t="shared" si="206"/>
        <v>0</v>
      </c>
      <c r="AH764" s="3">
        <f>IF(AND($N764=1,AND(对接源_01水果!$D764="周转筐－销售出库",N(对接源_01水果!$K764)&lt;&gt;0)),1,0)</f>
        <v>0</v>
      </c>
      <c r="AI764" s="3">
        <f t="shared" si="207"/>
        <v>0</v>
      </c>
      <c r="AJ764" s="7"/>
      <c r="AL764" s="3">
        <f>IF(OR($AL$1="",对接源_01水果!$Y764="",对接源_01水果!$Y764&lt;&gt;$AL$1,对接源_01水果!$B764="",N(对接源_01水果!$AJ764)&lt;=0),0,IF(OR(N(对接源_01水果!$B764)&lt;$AL$2,N(对接源_01水果!$B764)&gt;$AL$3),0,1))</f>
        <v>0</v>
      </c>
      <c r="AM764" s="3">
        <f t="shared" si="208"/>
        <v>1</v>
      </c>
      <c r="AN764" s="3" t="str">
        <f>IF(对接源_01水果!$AC764="","",对接源_01水果!$AC764)</f>
        <v/>
      </c>
      <c r="AO764" s="3">
        <f t="shared" si="209"/>
        <v>0</v>
      </c>
      <c r="AP764" s="3">
        <f t="shared" si="210"/>
        <v>8</v>
      </c>
      <c r="AR764">
        <f t="shared" si="211"/>
        <v>0</v>
      </c>
      <c r="AS764">
        <f t="shared" si="212"/>
        <v>0</v>
      </c>
    </row>
    <row r="765" ht="14.25" customHeight="1" spans="1:45">
      <c r="A765" s="3" t="str">
        <f>IF(对接源_01水果!$C765="","",对接源_01水果!$C765)</f>
        <v/>
      </c>
      <c r="B765" s="3">
        <f t="shared" si="196"/>
        <v>0</v>
      </c>
      <c r="C765" s="3">
        <f t="shared" si="197"/>
        <v>18</v>
      </c>
      <c r="K765" s="3">
        <f>IF(OR($K$1="",对接源_01水果!$C765="",对接源_01水果!$C765&lt;&gt;$K$1,对接源_01水果!$B765=""),0,IF(OR(N(对接源_01水果!$B765)&lt;$K$2,N(对接源_01水果!$B765)&gt;$K$3),0,1))</f>
        <v>0</v>
      </c>
      <c r="L765" s="3">
        <f>IF(OR($L$1="",对接源_01水果!$C765="",对接源_01水果!$C765&lt;&gt;$L$1,对接源_01水果!$B765=""),0,IF(OR(N(对接源_01水果!$B765)&lt;$L$2,N(对接源_01水果!$B765)&gt;$L$3),0,1))</f>
        <v>0</v>
      </c>
      <c r="M765" s="3">
        <f>IF(OR($M$1="",对接源_01水果!$C765="",对接源_01水果!$C765&lt;&gt;$M$1,对接源_01水果!$B765=""),0,IF(OR(N(对接源_01水果!$B765)&lt;$M$2,N(对接源_01水果!$B765)&gt;$M$3),0,1))</f>
        <v>0</v>
      </c>
      <c r="N765" s="3">
        <f>IF(OR($N$1="",对接源_01水果!$C765="",对接源_01水果!$C765&lt;&gt;$N$1,对接源_01水果!$B765=""),0,IF(OR(N(对接源_01水果!$B765)&lt;$N$2,N(对接源_01水果!$B765)&gt;$N$3),0,1))</f>
        <v>0</v>
      </c>
      <c r="P765" s="3">
        <f>IF(AND($K765=1,AND(对接源_01水果!$X765="公司筐",N(对接源_01水果!$T765)&lt;&gt;0)),1,0)</f>
        <v>0</v>
      </c>
      <c r="Q765" s="3">
        <f t="shared" si="198"/>
        <v>0</v>
      </c>
      <c r="R765" s="3">
        <f>IF(AND($K765=1,AND(对接源_01水果!$X765="公司筐",N(对接源_01水果!$U765)&lt;&gt;0)),1,0)</f>
        <v>0</v>
      </c>
      <c r="S765" s="3">
        <f t="shared" si="199"/>
        <v>0</v>
      </c>
      <c r="T765" s="3">
        <f>IF(AND($K765=1,AND(对接源_01水果!$X765="公司筐",N(对接源_01水果!$V765)&lt;&gt;0)),1,0)</f>
        <v>0</v>
      </c>
      <c r="U765" s="3">
        <f t="shared" si="200"/>
        <v>19</v>
      </c>
      <c r="V765" s="3">
        <f>IF(AND($L765=1,AND(对接源_01水果!$X765="自备筐",N(对接源_01水果!$V765)&lt;&gt;0)),1,0)</f>
        <v>0</v>
      </c>
      <c r="W765" s="3">
        <f t="shared" si="201"/>
        <v>8</v>
      </c>
      <c r="X765" s="3">
        <f>IF(AND($L765=1,AND(对接源_01水果!$X765="自备筐",N(对接源_01水果!$T765)&lt;&gt;0)),1,0)</f>
        <v>0</v>
      </c>
      <c r="Y765" s="3">
        <f t="shared" si="202"/>
        <v>0</v>
      </c>
      <c r="Z765" s="3">
        <f>IF(AND($M765=1,对接源_01水果!$D765="原料入库"),1,0)</f>
        <v>0</v>
      </c>
      <c r="AA765" s="3">
        <f t="shared" si="203"/>
        <v>24</v>
      </c>
      <c r="AB765" s="3">
        <f>IF(AND($M765=1,LEFT(对接源_01水果!$D765,4)="原料出库"),1,0)</f>
        <v>0</v>
      </c>
      <c r="AC765" s="3">
        <f t="shared" si="204"/>
        <v>0</v>
      </c>
      <c r="AD765" s="3">
        <f>IF(AND($M765=1,LEFT(对接源_01水果!$D765,4)="成品出库"),1,0)</f>
        <v>0</v>
      </c>
      <c r="AE765" s="3">
        <f t="shared" si="205"/>
        <v>0</v>
      </c>
      <c r="AF765" s="3">
        <f>IF(AND($N765=1,AND(LEFT(对接源_01水果!$D765,4)="包装物料",N(对接源_01水果!$K765)&lt;&gt;0)),1,0)</f>
        <v>0</v>
      </c>
      <c r="AG765" s="3">
        <f t="shared" si="206"/>
        <v>0</v>
      </c>
      <c r="AH765" s="3">
        <f>IF(AND($N765=1,AND(对接源_01水果!$D765="周转筐－销售出库",N(对接源_01水果!$K765)&lt;&gt;0)),1,0)</f>
        <v>0</v>
      </c>
      <c r="AI765" s="3">
        <f t="shared" si="207"/>
        <v>0</v>
      </c>
      <c r="AJ765" s="7"/>
      <c r="AL765" s="3">
        <f>IF(OR($AL$1="",对接源_01水果!$Y765="",对接源_01水果!$Y765&lt;&gt;$AL$1,对接源_01水果!$B765="",N(对接源_01水果!$AJ765)&lt;=0),0,IF(OR(N(对接源_01水果!$B765)&lt;$AL$2,N(对接源_01水果!$B765)&gt;$AL$3),0,1))</f>
        <v>0</v>
      </c>
      <c r="AM765" s="3">
        <f t="shared" si="208"/>
        <v>1</v>
      </c>
      <c r="AN765" s="3" t="str">
        <f>IF(对接源_01水果!$AC765="","",对接源_01水果!$AC765)</f>
        <v/>
      </c>
      <c r="AO765" s="3">
        <f t="shared" si="209"/>
        <v>0</v>
      </c>
      <c r="AP765" s="3">
        <f t="shared" si="210"/>
        <v>8</v>
      </c>
      <c r="AR765">
        <f t="shared" si="211"/>
        <v>0</v>
      </c>
      <c r="AS765">
        <f t="shared" si="212"/>
        <v>0</v>
      </c>
    </row>
    <row r="766" ht="14.25" customHeight="1" spans="1:45">
      <c r="A766" s="3" t="str">
        <f>IF(对接源_01水果!$C766="","",对接源_01水果!$C766)</f>
        <v/>
      </c>
      <c r="B766" s="3">
        <f t="shared" si="196"/>
        <v>0</v>
      </c>
      <c r="C766" s="3">
        <f t="shared" si="197"/>
        <v>18</v>
      </c>
      <c r="K766" s="3">
        <f>IF(OR($K$1="",对接源_01水果!$C766="",对接源_01水果!$C766&lt;&gt;$K$1,对接源_01水果!$B766=""),0,IF(OR(N(对接源_01水果!$B766)&lt;$K$2,N(对接源_01水果!$B766)&gt;$K$3),0,1))</f>
        <v>0</v>
      </c>
      <c r="L766" s="3">
        <f>IF(OR($L$1="",对接源_01水果!$C766="",对接源_01水果!$C766&lt;&gt;$L$1,对接源_01水果!$B766=""),0,IF(OR(N(对接源_01水果!$B766)&lt;$L$2,N(对接源_01水果!$B766)&gt;$L$3),0,1))</f>
        <v>0</v>
      </c>
      <c r="M766" s="3">
        <f>IF(OR($M$1="",对接源_01水果!$C766="",对接源_01水果!$C766&lt;&gt;$M$1,对接源_01水果!$B766=""),0,IF(OR(N(对接源_01水果!$B766)&lt;$M$2,N(对接源_01水果!$B766)&gt;$M$3),0,1))</f>
        <v>0</v>
      </c>
      <c r="N766" s="3">
        <f>IF(OR($N$1="",对接源_01水果!$C766="",对接源_01水果!$C766&lt;&gt;$N$1,对接源_01水果!$B766=""),0,IF(OR(N(对接源_01水果!$B766)&lt;$N$2,N(对接源_01水果!$B766)&gt;$N$3),0,1))</f>
        <v>0</v>
      </c>
      <c r="P766" s="3">
        <f>IF(AND($K766=1,AND(对接源_01水果!$X766="公司筐",N(对接源_01水果!$T766)&lt;&gt;0)),1,0)</f>
        <v>0</v>
      </c>
      <c r="Q766" s="3">
        <f t="shared" si="198"/>
        <v>0</v>
      </c>
      <c r="R766" s="3">
        <f>IF(AND($K766=1,AND(对接源_01水果!$X766="公司筐",N(对接源_01水果!$U766)&lt;&gt;0)),1,0)</f>
        <v>0</v>
      </c>
      <c r="S766" s="3">
        <f t="shared" si="199"/>
        <v>0</v>
      </c>
      <c r="T766" s="3">
        <f>IF(AND($K766=1,AND(对接源_01水果!$X766="公司筐",N(对接源_01水果!$V766)&lt;&gt;0)),1,0)</f>
        <v>0</v>
      </c>
      <c r="U766" s="3">
        <f t="shared" si="200"/>
        <v>19</v>
      </c>
      <c r="V766" s="3">
        <f>IF(AND($L766=1,AND(对接源_01水果!$X766="自备筐",N(对接源_01水果!$V766)&lt;&gt;0)),1,0)</f>
        <v>0</v>
      </c>
      <c r="W766" s="3">
        <f t="shared" si="201"/>
        <v>8</v>
      </c>
      <c r="X766" s="3">
        <f>IF(AND($L766=1,AND(对接源_01水果!$X766="自备筐",N(对接源_01水果!$T766)&lt;&gt;0)),1,0)</f>
        <v>0</v>
      </c>
      <c r="Y766" s="3">
        <f t="shared" si="202"/>
        <v>0</v>
      </c>
      <c r="Z766" s="3">
        <f>IF(AND($M766=1,对接源_01水果!$D766="原料入库"),1,0)</f>
        <v>0</v>
      </c>
      <c r="AA766" s="3">
        <f t="shared" si="203"/>
        <v>24</v>
      </c>
      <c r="AB766" s="3">
        <f>IF(AND($M766=1,LEFT(对接源_01水果!$D766,4)="原料出库"),1,0)</f>
        <v>0</v>
      </c>
      <c r="AC766" s="3">
        <f t="shared" si="204"/>
        <v>0</v>
      </c>
      <c r="AD766" s="3">
        <f>IF(AND($M766=1,LEFT(对接源_01水果!$D766,4)="成品出库"),1,0)</f>
        <v>0</v>
      </c>
      <c r="AE766" s="3">
        <f t="shared" si="205"/>
        <v>0</v>
      </c>
      <c r="AF766" s="3">
        <f>IF(AND($N766=1,AND(LEFT(对接源_01水果!$D766,4)="包装物料",N(对接源_01水果!$K766)&lt;&gt;0)),1,0)</f>
        <v>0</v>
      </c>
      <c r="AG766" s="3">
        <f t="shared" si="206"/>
        <v>0</v>
      </c>
      <c r="AH766" s="3">
        <f>IF(AND($N766=1,AND(对接源_01水果!$D766="周转筐－销售出库",N(对接源_01水果!$K766)&lt;&gt;0)),1,0)</f>
        <v>0</v>
      </c>
      <c r="AI766" s="3">
        <f t="shared" si="207"/>
        <v>0</v>
      </c>
      <c r="AJ766" s="7"/>
      <c r="AL766" s="3">
        <f>IF(OR($AL$1="",对接源_01水果!$Y766="",对接源_01水果!$Y766&lt;&gt;$AL$1,对接源_01水果!$B766="",N(对接源_01水果!$AJ766)&lt;=0),0,IF(OR(N(对接源_01水果!$B766)&lt;$AL$2,N(对接源_01水果!$B766)&gt;$AL$3),0,1))</f>
        <v>0</v>
      </c>
      <c r="AM766" s="3">
        <f t="shared" si="208"/>
        <v>1</v>
      </c>
      <c r="AN766" s="3" t="str">
        <f>IF(对接源_01水果!$AC766="","",对接源_01水果!$AC766)</f>
        <v/>
      </c>
      <c r="AO766" s="3">
        <f t="shared" si="209"/>
        <v>0</v>
      </c>
      <c r="AP766" s="3">
        <f t="shared" si="210"/>
        <v>8</v>
      </c>
      <c r="AR766">
        <f t="shared" si="211"/>
        <v>0</v>
      </c>
      <c r="AS766">
        <f t="shared" si="212"/>
        <v>0</v>
      </c>
    </row>
    <row r="767" ht="14.25" customHeight="1" spans="1:45">
      <c r="A767" s="3" t="str">
        <f>IF(对接源_01水果!$C767="","",对接源_01水果!$C767)</f>
        <v/>
      </c>
      <c r="B767" s="3">
        <f t="shared" si="196"/>
        <v>0</v>
      </c>
      <c r="C767" s="3">
        <f t="shared" si="197"/>
        <v>18</v>
      </c>
      <c r="K767" s="3">
        <f>IF(OR($K$1="",对接源_01水果!$C767="",对接源_01水果!$C767&lt;&gt;$K$1,对接源_01水果!$B767=""),0,IF(OR(N(对接源_01水果!$B767)&lt;$K$2,N(对接源_01水果!$B767)&gt;$K$3),0,1))</f>
        <v>0</v>
      </c>
      <c r="L767" s="3">
        <f>IF(OR($L$1="",对接源_01水果!$C767="",对接源_01水果!$C767&lt;&gt;$L$1,对接源_01水果!$B767=""),0,IF(OR(N(对接源_01水果!$B767)&lt;$L$2,N(对接源_01水果!$B767)&gt;$L$3),0,1))</f>
        <v>0</v>
      </c>
      <c r="M767" s="3">
        <f>IF(OR($M$1="",对接源_01水果!$C767="",对接源_01水果!$C767&lt;&gt;$M$1,对接源_01水果!$B767=""),0,IF(OR(N(对接源_01水果!$B767)&lt;$M$2,N(对接源_01水果!$B767)&gt;$M$3),0,1))</f>
        <v>0</v>
      </c>
      <c r="N767" s="3">
        <f>IF(OR($N$1="",对接源_01水果!$C767="",对接源_01水果!$C767&lt;&gt;$N$1,对接源_01水果!$B767=""),0,IF(OR(N(对接源_01水果!$B767)&lt;$N$2,N(对接源_01水果!$B767)&gt;$N$3),0,1))</f>
        <v>0</v>
      </c>
      <c r="P767" s="3">
        <f>IF(AND($K767=1,AND(对接源_01水果!$X767="公司筐",N(对接源_01水果!$T767)&lt;&gt;0)),1,0)</f>
        <v>0</v>
      </c>
      <c r="Q767" s="3">
        <f t="shared" si="198"/>
        <v>0</v>
      </c>
      <c r="R767" s="3">
        <f>IF(AND($K767=1,AND(对接源_01水果!$X767="公司筐",N(对接源_01水果!$U767)&lt;&gt;0)),1,0)</f>
        <v>0</v>
      </c>
      <c r="S767" s="3">
        <f t="shared" si="199"/>
        <v>0</v>
      </c>
      <c r="T767" s="3">
        <f>IF(AND($K767=1,AND(对接源_01水果!$X767="公司筐",N(对接源_01水果!$V767)&lt;&gt;0)),1,0)</f>
        <v>0</v>
      </c>
      <c r="U767" s="3">
        <f t="shared" si="200"/>
        <v>19</v>
      </c>
      <c r="V767" s="3">
        <f>IF(AND($L767=1,AND(对接源_01水果!$X767="自备筐",N(对接源_01水果!$V767)&lt;&gt;0)),1,0)</f>
        <v>0</v>
      </c>
      <c r="W767" s="3">
        <f t="shared" si="201"/>
        <v>8</v>
      </c>
      <c r="X767" s="3">
        <f>IF(AND($L767=1,AND(对接源_01水果!$X767="自备筐",N(对接源_01水果!$T767)&lt;&gt;0)),1,0)</f>
        <v>0</v>
      </c>
      <c r="Y767" s="3">
        <f t="shared" si="202"/>
        <v>0</v>
      </c>
      <c r="Z767" s="3">
        <f>IF(AND($M767=1,对接源_01水果!$D767="原料入库"),1,0)</f>
        <v>0</v>
      </c>
      <c r="AA767" s="3">
        <f t="shared" si="203"/>
        <v>24</v>
      </c>
      <c r="AB767" s="3">
        <f>IF(AND($M767=1,LEFT(对接源_01水果!$D767,4)="原料出库"),1,0)</f>
        <v>0</v>
      </c>
      <c r="AC767" s="3">
        <f t="shared" si="204"/>
        <v>0</v>
      </c>
      <c r="AD767" s="3">
        <f>IF(AND($M767=1,LEFT(对接源_01水果!$D767,4)="成品出库"),1,0)</f>
        <v>0</v>
      </c>
      <c r="AE767" s="3">
        <f t="shared" si="205"/>
        <v>0</v>
      </c>
      <c r="AF767" s="3">
        <f>IF(AND($N767=1,AND(LEFT(对接源_01水果!$D767,4)="包装物料",N(对接源_01水果!$K767)&lt;&gt;0)),1,0)</f>
        <v>0</v>
      </c>
      <c r="AG767" s="3">
        <f t="shared" si="206"/>
        <v>0</v>
      </c>
      <c r="AH767" s="3">
        <f>IF(AND($N767=1,AND(对接源_01水果!$D767="周转筐－销售出库",N(对接源_01水果!$K767)&lt;&gt;0)),1,0)</f>
        <v>0</v>
      </c>
      <c r="AI767" s="3">
        <f t="shared" si="207"/>
        <v>0</v>
      </c>
      <c r="AJ767" s="7"/>
      <c r="AL767" s="3">
        <f>IF(OR($AL$1="",对接源_01水果!$Y767="",对接源_01水果!$Y767&lt;&gt;$AL$1,对接源_01水果!$B767="",N(对接源_01水果!$AJ767)&lt;=0),0,IF(OR(N(对接源_01水果!$B767)&lt;$AL$2,N(对接源_01水果!$B767)&gt;$AL$3),0,1))</f>
        <v>0</v>
      </c>
      <c r="AM767" s="3">
        <f t="shared" si="208"/>
        <v>1</v>
      </c>
      <c r="AN767" s="3" t="str">
        <f>IF(对接源_01水果!$AC767="","",对接源_01水果!$AC767)</f>
        <v/>
      </c>
      <c r="AO767" s="3">
        <f t="shared" si="209"/>
        <v>0</v>
      </c>
      <c r="AP767" s="3">
        <f t="shared" si="210"/>
        <v>8</v>
      </c>
      <c r="AR767">
        <f t="shared" si="211"/>
        <v>0</v>
      </c>
      <c r="AS767">
        <f t="shared" si="212"/>
        <v>0</v>
      </c>
    </row>
    <row r="768" ht="14.25" customHeight="1" spans="1:45">
      <c r="A768" s="3" t="str">
        <f>IF(对接源_01水果!$C768="","",对接源_01水果!$C768)</f>
        <v/>
      </c>
      <c r="B768" s="3">
        <f t="shared" si="196"/>
        <v>0</v>
      </c>
      <c r="C768" s="3">
        <f t="shared" si="197"/>
        <v>18</v>
      </c>
      <c r="K768" s="3">
        <f>IF(OR($K$1="",对接源_01水果!$C768="",对接源_01水果!$C768&lt;&gt;$K$1,对接源_01水果!$B768=""),0,IF(OR(N(对接源_01水果!$B768)&lt;$K$2,N(对接源_01水果!$B768)&gt;$K$3),0,1))</f>
        <v>0</v>
      </c>
      <c r="L768" s="3">
        <f>IF(OR($L$1="",对接源_01水果!$C768="",对接源_01水果!$C768&lt;&gt;$L$1,对接源_01水果!$B768=""),0,IF(OR(N(对接源_01水果!$B768)&lt;$L$2,N(对接源_01水果!$B768)&gt;$L$3),0,1))</f>
        <v>0</v>
      </c>
      <c r="M768" s="3">
        <f>IF(OR($M$1="",对接源_01水果!$C768="",对接源_01水果!$C768&lt;&gt;$M$1,对接源_01水果!$B768=""),0,IF(OR(N(对接源_01水果!$B768)&lt;$M$2,N(对接源_01水果!$B768)&gt;$M$3),0,1))</f>
        <v>0</v>
      </c>
      <c r="N768" s="3">
        <f>IF(OR($N$1="",对接源_01水果!$C768="",对接源_01水果!$C768&lt;&gt;$N$1,对接源_01水果!$B768=""),0,IF(OR(N(对接源_01水果!$B768)&lt;$N$2,N(对接源_01水果!$B768)&gt;$N$3),0,1))</f>
        <v>0</v>
      </c>
      <c r="P768" s="3">
        <f>IF(AND($K768=1,AND(对接源_01水果!$X768="公司筐",N(对接源_01水果!$T768)&lt;&gt;0)),1,0)</f>
        <v>0</v>
      </c>
      <c r="Q768" s="3">
        <f t="shared" si="198"/>
        <v>0</v>
      </c>
      <c r="R768" s="3">
        <f>IF(AND($K768=1,AND(对接源_01水果!$X768="公司筐",N(对接源_01水果!$U768)&lt;&gt;0)),1,0)</f>
        <v>0</v>
      </c>
      <c r="S768" s="3">
        <f t="shared" si="199"/>
        <v>0</v>
      </c>
      <c r="T768" s="3">
        <f>IF(AND($K768=1,AND(对接源_01水果!$X768="公司筐",N(对接源_01水果!$V768)&lt;&gt;0)),1,0)</f>
        <v>0</v>
      </c>
      <c r="U768" s="3">
        <f t="shared" si="200"/>
        <v>19</v>
      </c>
      <c r="V768" s="3">
        <f>IF(AND($L768=1,AND(对接源_01水果!$X768="自备筐",N(对接源_01水果!$V768)&lt;&gt;0)),1,0)</f>
        <v>0</v>
      </c>
      <c r="W768" s="3">
        <f t="shared" si="201"/>
        <v>8</v>
      </c>
      <c r="X768" s="3">
        <f>IF(AND($L768=1,AND(对接源_01水果!$X768="自备筐",N(对接源_01水果!$T768)&lt;&gt;0)),1,0)</f>
        <v>0</v>
      </c>
      <c r="Y768" s="3">
        <f t="shared" si="202"/>
        <v>0</v>
      </c>
      <c r="Z768" s="3">
        <f>IF(AND($M768=1,对接源_01水果!$D768="原料入库"),1,0)</f>
        <v>0</v>
      </c>
      <c r="AA768" s="3">
        <f t="shared" si="203"/>
        <v>24</v>
      </c>
      <c r="AB768" s="3">
        <f>IF(AND($M768=1,LEFT(对接源_01水果!$D768,4)="原料出库"),1,0)</f>
        <v>0</v>
      </c>
      <c r="AC768" s="3">
        <f t="shared" si="204"/>
        <v>0</v>
      </c>
      <c r="AD768" s="3">
        <f>IF(AND($M768=1,LEFT(对接源_01水果!$D768,4)="成品出库"),1,0)</f>
        <v>0</v>
      </c>
      <c r="AE768" s="3">
        <f t="shared" si="205"/>
        <v>0</v>
      </c>
      <c r="AF768" s="3">
        <f>IF(AND($N768=1,AND(LEFT(对接源_01水果!$D768,4)="包装物料",N(对接源_01水果!$K768)&lt;&gt;0)),1,0)</f>
        <v>0</v>
      </c>
      <c r="AG768" s="3">
        <f t="shared" si="206"/>
        <v>0</v>
      </c>
      <c r="AH768" s="3">
        <f>IF(AND($N768=1,AND(对接源_01水果!$D768="周转筐－销售出库",N(对接源_01水果!$K768)&lt;&gt;0)),1,0)</f>
        <v>0</v>
      </c>
      <c r="AI768" s="3">
        <f t="shared" si="207"/>
        <v>0</v>
      </c>
      <c r="AJ768" s="7"/>
      <c r="AL768" s="3">
        <f>IF(OR($AL$1="",对接源_01水果!$Y768="",对接源_01水果!$Y768&lt;&gt;$AL$1,对接源_01水果!$B768="",N(对接源_01水果!$AJ768)&lt;=0),0,IF(OR(N(对接源_01水果!$B768)&lt;$AL$2,N(对接源_01水果!$B768)&gt;$AL$3),0,1))</f>
        <v>0</v>
      </c>
      <c r="AM768" s="3">
        <f t="shared" si="208"/>
        <v>1</v>
      </c>
      <c r="AN768" s="3" t="str">
        <f>IF(对接源_01水果!$AC768="","",对接源_01水果!$AC768)</f>
        <v/>
      </c>
      <c r="AO768" s="3">
        <f t="shared" si="209"/>
        <v>0</v>
      </c>
      <c r="AP768" s="3">
        <f t="shared" si="210"/>
        <v>8</v>
      </c>
      <c r="AR768">
        <f t="shared" si="211"/>
        <v>0</v>
      </c>
      <c r="AS768">
        <f t="shared" si="212"/>
        <v>0</v>
      </c>
    </row>
    <row r="769" ht="14.25" customHeight="1" spans="1:45">
      <c r="A769" s="3" t="str">
        <f>IF(对接源_01水果!$C769="","",对接源_01水果!$C769)</f>
        <v/>
      </c>
      <c r="B769" s="3">
        <f t="shared" si="196"/>
        <v>0</v>
      </c>
      <c r="C769" s="3">
        <f t="shared" si="197"/>
        <v>18</v>
      </c>
      <c r="K769" s="3">
        <f>IF(OR($K$1="",对接源_01水果!$C769="",对接源_01水果!$C769&lt;&gt;$K$1,对接源_01水果!$B769=""),0,IF(OR(N(对接源_01水果!$B769)&lt;$K$2,N(对接源_01水果!$B769)&gt;$K$3),0,1))</f>
        <v>0</v>
      </c>
      <c r="L769" s="3">
        <f>IF(OR($L$1="",对接源_01水果!$C769="",对接源_01水果!$C769&lt;&gt;$L$1,对接源_01水果!$B769=""),0,IF(OR(N(对接源_01水果!$B769)&lt;$L$2,N(对接源_01水果!$B769)&gt;$L$3),0,1))</f>
        <v>0</v>
      </c>
      <c r="M769" s="3">
        <f>IF(OR($M$1="",对接源_01水果!$C769="",对接源_01水果!$C769&lt;&gt;$M$1,对接源_01水果!$B769=""),0,IF(OR(N(对接源_01水果!$B769)&lt;$M$2,N(对接源_01水果!$B769)&gt;$M$3),0,1))</f>
        <v>0</v>
      </c>
      <c r="N769" s="3">
        <f>IF(OR($N$1="",对接源_01水果!$C769="",对接源_01水果!$C769&lt;&gt;$N$1,对接源_01水果!$B769=""),0,IF(OR(N(对接源_01水果!$B769)&lt;$N$2,N(对接源_01水果!$B769)&gt;$N$3),0,1))</f>
        <v>0</v>
      </c>
      <c r="P769" s="3">
        <f>IF(AND($K769=1,AND(对接源_01水果!$X769="公司筐",N(对接源_01水果!$T769)&lt;&gt;0)),1,0)</f>
        <v>0</v>
      </c>
      <c r="Q769" s="3">
        <f t="shared" si="198"/>
        <v>0</v>
      </c>
      <c r="R769" s="3">
        <f>IF(AND($K769=1,AND(对接源_01水果!$X769="公司筐",N(对接源_01水果!$U769)&lt;&gt;0)),1,0)</f>
        <v>0</v>
      </c>
      <c r="S769" s="3">
        <f t="shared" si="199"/>
        <v>0</v>
      </c>
      <c r="T769" s="3">
        <f>IF(AND($K769=1,AND(对接源_01水果!$X769="公司筐",N(对接源_01水果!$V769)&lt;&gt;0)),1,0)</f>
        <v>0</v>
      </c>
      <c r="U769" s="3">
        <f t="shared" si="200"/>
        <v>19</v>
      </c>
      <c r="V769" s="3">
        <f>IF(AND($L769=1,AND(对接源_01水果!$X769="自备筐",N(对接源_01水果!$V769)&lt;&gt;0)),1,0)</f>
        <v>0</v>
      </c>
      <c r="W769" s="3">
        <f t="shared" si="201"/>
        <v>8</v>
      </c>
      <c r="X769" s="3">
        <f>IF(AND($L769=1,AND(对接源_01水果!$X769="自备筐",N(对接源_01水果!$T769)&lt;&gt;0)),1,0)</f>
        <v>0</v>
      </c>
      <c r="Y769" s="3">
        <f t="shared" si="202"/>
        <v>0</v>
      </c>
      <c r="Z769" s="3">
        <f>IF(AND($M769=1,对接源_01水果!$D769="原料入库"),1,0)</f>
        <v>0</v>
      </c>
      <c r="AA769" s="3">
        <f t="shared" si="203"/>
        <v>24</v>
      </c>
      <c r="AB769" s="3">
        <f>IF(AND($M769=1,LEFT(对接源_01水果!$D769,4)="原料出库"),1,0)</f>
        <v>0</v>
      </c>
      <c r="AC769" s="3">
        <f t="shared" si="204"/>
        <v>0</v>
      </c>
      <c r="AD769" s="3">
        <f>IF(AND($M769=1,LEFT(对接源_01水果!$D769,4)="成品出库"),1,0)</f>
        <v>0</v>
      </c>
      <c r="AE769" s="3">
        <f t="shared" si="205"/>
        <v>0</v>
      </c>
      <c r="AF769" s="3">
        <f>IF(AND($N769=1,AND(LEFT(对接源_01水果!$D769,4)="包装物料",N(对接源_01水果!$K769)&lt;&gt;0)),1,0)</f>
        <v>0</v>
      </c>
      <c r="AG769" s="3">
        <f t="shared" si="206"/>
        <v>0</v>
      </c>
      <c r="AH769" s="3">
        <f>IF(AND($N769=1,AND(对接源_01水果!$D769="周转筐－销售出库",N(对接源_01水果!$K769)&lt;&gt;0)),1,0)</f>
        <v>0</v>
      </c>
      <c r="AI769" s="3">
        <f t="shared" si="207"/>
        <v>0</v>
      </c>
      <c r="AJ769" s="7"/>
      <c r="AL769" s="3">
        <f>IF(OR($AL$1="",对接源_01水果!$Y769="",对接源_01水果!$Y769&lt;&gt;$AL$1,对接源_01水果!$B769="",N(对接源_01水果!$AJ769)&lt;=0),0,IF(OR(N(对接源_01水果!$B769)&lt;$AL$2,N(对接源_01水果!$B769)&gt;$AL$3),0,1))</f>
        <v>0</v>
      </c>
      <c r="AM769" s="3">
        <f t="shared" si="208"/>
        <v>1</v>
      </c>
      <c r="AN769" s="3" t="str">
        <f>IF(对接源_01水果!$AC769="","",对接源_01水果!$AC769)</f>
        <v/>
      </c>
      <c r="AO769" s="3">
        <f t="shared" si="209"/>
        <v>0</v>
      </c>
      <c r="AP769" s="3">
        <f t="shared" si="210"/>
        <v>8</v>
      </c>
      <c r="AR769">
        <f t="shared" si="211"/>
        <v>0</v>
      </c>
      <c r="AS769">
        <f t="shared" si="212"/>
        <v>0</v>
      </c>
    </row>
    <row r="770" ht="14.25" customHeight="1" spans="1:45">
      <c r="A770" s="3" t="str">
        <f>IF(对接源_01水果!$C770="","",对接源_01水果!$C770)</f>
        <v/>
      </c>
      <c r="B770" s="3">
        <f t="shared" si="196"/>
        <v>0</v>
      </c>
      <c r="C770" s="3">
        <f t="shared" si="197"/>
        <v>18</v>
      </c>
      <c r="K770" s="3">
        <f>IF(OR($K$1="",对接源_01水果!$C770="",对接源_01水果!$C770&lt;&gt;$K$1,对接源_01水果!$B770=""),0,IF(OR(N(对接源_01水果!$B770)&lt;$K$2,N(对接源_01水果!$B770)&gt;$K$3),0,1))</f>
        <v>0</v>
      </c>
      <c r="L770" s="3">
        <f>IF(OR($L$1="",对接源_01水果!$C770="",对接源_01水果!$C770&lt;&gt;$L$1,对接源_01水果!$B770=""),0,IF(OR(N(对接源_01水果!$B770)&lt;$L$2,N(对接源_01水果!$B770)&gt;$L$3),0,1))</f>
        <v>0</v>
      </c>
      <c r="M770" s="3">
        <f>IF(OR($M$1="",对接源_01水果!$C770="",对接源_01水果!$C770&lt;&gt;$M$1,对接源_01水果!$B770=""),0,IF(OR(N(对接源_01水果!$B770)&lt;$M$2,N(对接源_01水果!$B770)&gt;$M$3),0,1))</f>
        <v>0</v>
      </c>
      <c r="N770" s="3">
        <f>IF(OR($N$1="",对接源_01水果!$C770="",对接源_01水果!$C770&lt;&gt;$N$1,对接源_01水果!$B770=""),0,IF(OR(N(对接源_01水果!$B770)&lt;$N$2,N(对接源_01水果!$B770)&gt;$N$3),0,1))</f>
        <v>0</v>
      </c>
      <c r="P770" s="3">
        <f>IF(AND($K770=1,AND(对接源_01水果!$X770="公司筐",N(对接源_01水果!$T770)&lt;&gt;0)),1,0)</f>
        <v>0</v>
      </c>
      <c r="Q770" s="3">
        <f t="shared" si="198"/>
        <v>0</v>
      </c>
      <c r="R770" s="3">
        <f>IF(AND($K770=1,AND(对接源_01水果!$X770="公司筐",N(对接源_01水果!$U770)&lt;&gt;0)),1,0)</f>
        <v>0</v>
      </c>
      <c r="S770" s="3">
        <f t="shared" si="199"/>
        <v>0</v>
      </c>
      <c r="T770" s="3">
        <f>IF(AND($K770=1,AND(对接源_01水果!$X770="公司筐",N(对接源_01水果!$V770)&lt;&gt;0)),1,0)</f>
        <v>0</v>
      </c>
      <c r="U770" s="3">
        <f t="shared" si="200"/>
        <v>19</v>
      </c>
      <c r="V770" s="3">
        <f>IF(AND($L770=1,AND(对接源_01水果!$X770="自备筐",N(对接源_01水果!$V770)&lt;&gt;0)),1,0)</f>
        <v>0</v>
      </c>
      <c r="W770" s="3">
        <f t="shared" si="201"/>
        <v>8</v>
      </c>
      <c r="X770" s="3">
        <f>IF(AND($L770=1,AND(对接源_01水果!$X770="自备筐",N(对接源_01水果!$T770)&lt;&gt;0)),1,0)</f>
        <v>0</v>
      </c>
      <c r="Y770" s="3">
        <f t="shared" si="202"/>
        <v>0</v>
      </c>
      <c r="Z770" s="3">
        <f>IF(AND($M770=1,对接源_01水果!$D770="原料入库"),1,0)</f>
        <v>0</v>
      </c>
      <c r="AA770" s="3">
        <f t="shared" si="203"/>
        <v>24</v>
      </c>
      <c r="AB770" s="3">
        <f>IF(AND($M770=1,LEFT(对接源_01水果!$D770,4)="原料出库"),1,0)</f>
        <v>0</v>
      </c>
      <c r="AC770" s="3">
        <f t="shared" si="204"/>
        <v>0</v>
      </c>
      <c r="AD770" s="3">
        <f>IF(AND($M770=1,LEFT(对接源_01水果!$D770,4)="成品出库"),1,0)</f>
        <v>0</v>
      </c>
      <c r="AE770" s="3">
        <f t="shared" si="205"/>
        <v>0</v>
      </c>
      <c r="AF770" s="3">
        <f>IF(AND($N770=1,AND(LEFT(对接源_01水果!$D770,4)="包装物料",N(对接源_01水果!$K770)&lt;&gt;0)),1,0)</f>
        <v>0</v>
      </c>
      <c r="AG770" s="3">
        <f t="shared" si="206"/>
        <v>0</v>
      </c>
      <c r="AH770" s="3">
        <f>IF(AND($N770=1,AND(对接源_01水果!$D770="周转筐－销售出库",N(对接源_01水果!$K770)&lt;&gt;0)),1,0)</f>
        <v>0</v>
      </c>
      <c r="AI770" s="3">
        <f t="shared" si="207"/>
        <v>0</v>
      </c>
      <c r="AJ770" s="7"/>
      <c r="AL770" s="3">
        <f>IF(OR($AL$1="",对接源_01水果!$Y770="",对接源_01水果!$Y770&lt;&gt;$AL$1,对接源_01水果!$B770="",N(对接源_01水果!$AJ770)&lt;=0),0,IF(OR(N(对接源_01水果!$B770)&lt;$AL$2,N(对接源_01水果!$B770)&gt;$AL$3),0,1))</f>
        <v>0</v>
      </c>
      <c r="AM770" s="3">
        <f t="shared" si="208"/>
        <v>1</v>
      </c>
      <c r="AN770" s="3" t="str">
        <f>IF(对接源_01水果!$AC770="","",对接源_01水果!$AC770)</f>
        <v/>
      </c>
      <c r="AO770" s="3">
        <f t="shared" si="209"/>
        <v>0</v>
      </c>
      <c r="AP770" s="3">
        <f t="shared" si="210"/>
        <v>8</v>
      </c>
      <c r="AR770">
        <f t="shared" si="211"/>
        <v>0</v>
      </c>
      <c r="AS770">
        <f t="shared" si="212"/>
        <v>0</v>
      </c>
    </row>
    <row r="771" ht="14.25" customHeight="1" spans="1:45">
      <c r="A771" s="3" t="str">
        <f>IF(对接源_01水果!$C771="","",对接源_01水果!$C771)</f>
        <v/>
      </c>
      <c r="B771" s="3">
        <f t="shared" si="196"/>
        <v>0</v>
      </c>
      <c r="C771" s="3">
        <f t="shared" si="197"/>
        <v>18</v>
      </c>
      <c r="K771" s="3">
        <f>IF(OR($K$1="",对接源_01水果!$C771="",对接源_01水果!$C771&lt;&gt;$K$1,对接源_01水果!$B771=""),0,IF(OR(N(对接源_01水果!$B771)&lt;$K$2,N(对接源_01水果!$B771)&gt;$K$3),0,1))</f>
        <v>0</v>
      </c>
      <c r="L771" s="3">
        <f>IF(OR($L$1="",对接源_01水果!$C771="",对接源_01水果!$C771&lt;&gt;$L$1,对接源_01水果!$B771=""),0,IF(OR(N(对接源_01水果!$B771)&lt;$L$2,N(对接源_01水果!$B771)&gt;$L$3),0,1))</f>
        <v>0</v>
      </c>
      <c r="M771" s="3">
        <f>IF(OR($M$1="",对接源_01水果!$C771="",对接源_01水果!$C771&lt;&gt;$M$1,对接源_01水果!$B771=""),0,IF(OR(N(对接源_01水果!$B771)&lt;$M$2,N(对接源_01水果!$B771)&gt;$M$3),0,1))</f>
        <v>0</v>
      </c>
      <c r="N771" s="3">
        <f>IF(OR($N$1="",对接源_01水果!$C771="",对接源_01水果!$C771&lt;&gt;$N$1,对接源_01水果!$B771=""),0,IF(OR(N(对接源_01水果!$B771)&lt;$N$2,N(对接源_01水果!$B771)&gt;$N$3),0,1))</f>
        <v>0</v>
      </c>
      <c r="P771" s="3">
        <f>IF(AND($K771=1,AND(对接源_01水果!$X771="公司筐",N(对接源_01水果!$T771)&lt;&gt;0)),1,0)</f>
        <v>0</v>
      </c>
      <c r="Q771" s="3">
        <f t="shared" si="198"/>
        <v>0</v>
      </c>
      <c r="R771" s="3">
        <f>IF(AND($K771=1,AND(对接源_01水果!$X771="公司筐",N(对接源_01水果!$U771)&lt;&gt;0)),1,0)</f>
        <v>0</v>
      </c>
      <c r="S771" s="3">
        <f t="shared" si="199"/>
        <v>0</v>
      </c>
      <c r="T771" s="3">
        <f>IF(AND($K771=1,AND(对接源_01水果!$X771="公司筐",N(对接源_01水果!$V771)&lt;&gt;0)),1,0)</f>
        <v>0</v>
      </c>
      <c r="U771" s="3">
        <f t="shared" si="200"/>
        <v>19</v>
      </c>
      <c r="V771" s="3">
        <f>IF(AND($L771=1,AND(对接源_01水果!$X771="自备筐",N(对接源_01水果!$V771)&lt;&gt;0)),1,0)</f>
        <v>0</v>
      </c>
      <c r="W771" s="3">
        <f t="shared" si="201"/>
        <v>8</v>
      </c>
      <c r="X771" s="3">
        <f>IF(AND($L771=1,AND(对接源_01水果!$X771="自备筐",N(对接源_01水果!$T771)&lt;&gt;0)),1,0)</f>
        <v>0</v>
      </c>
      <c r="Y771" s="3">
        <f t="shared" si="202"/>
        <v>0</v>
      </c>
      <c r="Z771" s="3">
        <f>IF(AND($M771=1,对接源_01水果!$D771="原料入库"),1,0)</f>
        <v>0</v>
      </c>
      <c r="AA771" s="3">
        <f t="shared" si="203"/>
        <v>24</v>
      </c>
      <c r="AB771" s="3">
        <f>IF(AND($M771=1,LEFT(对接源_01水果!$D771,4)="原料出库"),1,0)</f>
        <v>0</v>
      </c>
      <c r="AC771" s="3">
        <f t="shared" si="204"/>
        <v>0</v>
      </c>
      <c r="AD771" s="3">
        <f>IF(AND($M771=1,LEFT(对接源_01水果!$D771,4)="成品出库"),1,0)</f>
        <v>0</v>
      </c>
      <c r="AE771" s="3">
        <f t="shared" si="205"/>
        <v>0</v>
      </c>
      <c r="AF771" s="3">
        <f>IF(AND($N771=1,AND(LEFT(对接源_01水果!$D771,4)="包装物料",N(对接源_01水果!$K771)&lt;&gt;0)),1,0)</f>
        <v>0</v>
      </c>
      <c r="AG771" s="3">
        <f t="shared" si="206"/>
        <v>0</v>
      </c>
      <c r="AH771" s="3">
        <f>IF(AND($N771=1,AND(对接源_01水果!$D771="周转筐－销售出库",N(对接源_01水果!$K771)&lt;&gt;0)),1,0)</f>
        <v>0</v>
      </c>
      <c r="AI771" s="3">
        <f t="shared" si="207"/>
        <v>0</v>
      </c>
      <c r="AJ771" s="7"/>
      <c r="AL771" s="3">
        <f>IF(OR($AL$1="",对接源_01水果!$Y771="",对接源_01水果!$Y771&lt;&gt;$AL$1,对接源_01水果!$B771="",N(对接源_01水果!$AJ771)&lt;=0),0,IF(OR(N(对接源_01水果!$B771)&lt;$AL$2,N(对接源_01水果!$B771)&gt;$AL$3),0,1))</f>
        <v>0</v>
      </c>
      <c r="AM771" s="3">
        <f t="shared" si="208"/>
        <v>1</v>
      </c>
      <c r="AN771" s="3" t="str">
        <f>IF(对接源_01水果!$AC771="","",对接源_01水果!$AC771)</f>
        <v/>
      </c>
      <c r="AO771" s="3">
        <f t="shared" si="209"/>
        <v>0</v>
      </c>
      <c r="AP771" s="3">
        <f t="shared" si="210"/>
        <v>8</v>
      </c>
      <c r="AR771">
        <f t="shared" si="211"/>
        <v>0</v>
      </c>
      <c r="AS771">
        <f t="shared" si="212"/>
        <v>0</v>
      </c>
    </row>
    <row r="772" ht="14.25" customHeight="1" spans="1:45">
      <c r="A772" s="3" t="str">
        <f>IF(对接源_01水果!$C772="","",对接源_01水果!$C772)</f>
        <v/>
      </c>
      <c r="B772" s="3">
        <f t="shared" ref="B772:B835" si="213">IF(A772="",0,IF(MATCH(A772,$A$4:$A$2403,0)=ROW()-3,1,0))</f>
        <v>0</v>
      </c>
      <c r="C772" s="3">
        <f t="shared" ref="C772:C835" si="214">N(C771)+B772</f>
        <v>18</v>
      </c>
      <c r="K772" s="3">
        <f>IF(OR($K$1="",对接源_01水果!$C772="",对接源_01水果!$C772&lt;&gt;$K$1,对接源_01水果!$B772=""),0,IF(OR(N(对接源_01水果!$B772)&lt;$K$2,N(对接源_01水果!$B772)&gt;$K$3),0,1))</f>
        <v>0</v>
      </c>
      <c r="L772" s="3">
        <f>IF(OR($L$1="",对接源_01水果!$C772="",对接源_01水果!$C772&lt;&gt;$L$1,对接源_01水果!$B772=""),0,IF(OR(N(对接源_01水果!$B772)&lt;$L$2,N(对接源_01水果!$B772)&gt;$L$3),0,1))</f>
        <v>0</v>
      </c>
      <c r="M772" s="3">
        <f>IF(OR($M$1="",对接源_01水果!$C772="",对接源_01水果!$C772&lt;&gt;$M$1,对接源_01水果!$B772=""),0,IF(OR(N(对接源_01水果!$B772)&lt;$M$2,N(对接源_01水果!$B772)&gt;$M$3),0,1))</f>
        <v>0</v>
      </c>
      <c r="N772" s="3">
        <f>IF(OR($N$1="",对接源_01水果!$C772="",对接源_01水果!$C772&lt;&gt;$N$1,对接源_01水果!$B772=""),0,IF(OR(N(对接源_01水果!$B772)&lt;$N$2,N(对接源_01水果!$B772)&gt;$N$3),0,1))</f>
        <v>0</v>
      </c>
      <c r="P772" s="3">
        <f>IF(AND($K772=1,AND(对接源_01水果!$X772="公司筐",N(对接源_01水果!$T772)&lt;&gt;0)),1,0)</f>
        <v>0</v>
      </c>
      <c r="Q772" s="3">
        <f t="shared" ref="Q772:Q835" si="215">N(Q771)+$P772</f>
        <v>0</v>
      </c>
      <c r="R772" s="3">
        <f>IF(AND($K772=1,AND(对接源_01水果!$X772="公司筐",N(对接源_01水果!$U772)&lt;&gt;0)),1,0)</f>
        <v>0</v>
      </c>
      <c r="S772" s="3">
        <f t="shared" ref="S772:S835" si="216">N(S771)+$R772</f>
        <v>0</v>
      </c>
      <c r="T772" s="3">
        <f>IF(AND($K772=1,AND(对接源_01水果!$X772="公司筐",N(对接源_01水果!$V772)&lt;&gt;0)),1,0)</f>
        <v>0</v>
      </c>
      <c r="U772" s="3">
        <f t="shared" ref="U772:U835" si="217">N(U771)+$T772</f>
        <v>19</v>
      </c>
      <c r="V772" s="3">
        <f>IF(AND($L772=1,AND(对接源_01水果!$X772="自备筐",N(对接源_01水果!$V772)&lt;&gt;0)),1,0)</f>
        <v>0</v>
      </c>
      <c r="W772" s="3">
        <f t="shared" ref="W772:W835" si="218">N(W771)+$V772</f>
        <v>8</v>
      </c>
      <c r="X772" s="3">
        <f>IF(AND($L772=1,AND(对接源_01水果!$X772="自备筐",N(对接源_01水果!$T772)&lt;&gt;0)),1,0)</f>
        <v>0</v>
      </c>
      <c r="Y772" s="3">
        <f t="shared" ref="Y772:Y835" si="219">N(Y771)+$X772</f>
        <v>0</v>
      </c>
      <c r="Z772" s="3">
        <f>IF(AND($M772=1,对接源_01水果!$D772="原料入库"),1,0)</f>
        <v>0</v>
      </c>
      <c r="AA772" s="3">
        <f t="shared" ref="AA772:AA835" si="220">N(AA771)+$Z772</f>
        <v>24</v>
      </c>
      <c r="AB772" s="3">
        <f>IF(AND($M772=1,LEFT(对接源_01水果!$D772,4)="原料出库"),1,0)</f>
        <v>0</v>
      </c>
      <c r="AC772" s="3">
        <f t="shared" ref="AC772:AC835" si="221">N(AC771)+$AB772</f>
        <v>0</v>
      </c>
      <c r="AD772" s="3">
        <f>IF(AND($M772=1,LEFT(对接源_01水果!$D772,4)="成品出库"),1,0)</f>
        <v>0</v>
      </c>
      <c r="AE772" s="3">
        <f t="shared" ref="AE772:AE835" si="222">N(AE771)+$AD772</f>
        <v>0</v>
      </c>
      <c r="AF772" s="3">
        <f>IF(AND($N772=1,AND(LEFT(对接源_01水果!$D772,4)="包装物料",N(对接源_01水果!$K772)&lt;&gt;0)),1,0)</f>
        <v>0</v>
      </c>
      <c r="AG772" s="3">
        <f t="shared" ref="AG772:AG835" si="223">N(AG771)+$AF772</f>
        <v>0</v>
      </c>
      <c r="AH772" s="3">
        <f>IF(AND($N772=1,AND(对接源_01水果!$D772="周转筐－销售出库",N(对接源_01水果!$K772)&lt;&gt;0)),1,0)</f>
        <v>0</v>
      </c>
      <c r="AI772" s="3">
        <f t="shared" ref="AI772:AI835" si="224">N(AI771)+$AH772</f>
        <v>0</v>
      </c>
      <c r="AJ772" s="7"/>
      <c r="AL772" s="3">
        <f>IF(OR($AL$1="",对接源_01水果!$Y772="",对接源_01水果!$Y772&lt;&gt;$AL$1,对接源_01水果!$B772="",N(对接源_01水果!$AJ772)&lt;=0),0,IF(OR(N(对接源_01水果!$B772)&lt;$AL$2,N(对接源_01水果!$B772)&gt;$AL$3),0,1))</f>
        <v>0</v>
      </c>
      <c r="AM772" s="3">
        <f t="shared" ref="AM772:AM835" si="225">N(AM771)+$AL772</f>
        <v>1</v>
      </c>
      <c r="AN772" s="3" t="str">
        <f>IF(对接源_01水果!$AC772="","",对接源_01水果!$AC772)</f>
        <v/>
      </c>
      <c r="AO772" s="3">
        <f t="shared" ref="AO772:AO835" si="226">IF(AN772="",0,IF(MATCH(AN772,$AN$4:$AN$1203,0)=ROW()-3,1,0))</f>
        <v>0</v>
      </c>
      <c r="AP772" s="3">
        <f t="shared" ref="AP772:AP835" si="227">N(AP771)+$AO772</f>
        <v>8</v>
      </c>
      <c r="AR772">
        <f t="shared" ref="AR772:AR835" si="228">IF(OR($AF772=1,$AH772=1),1,0)</f>
        <v>0</v>
      </c>
      <c r="AS772">
        <f t="shared" ref="AS772:AS835" si="229">N(AS771)+$AR772</f>
        <v>0</v>
      </c>
    </row>
    <row r="773" ht="14.25" customHeight="1" spans="1:45">
      <c r="A773" s="3" t="str">
        <f>IF(对接源_01水果!$C773="","",对接源_01水果!$C773)</f>
        <v/>
      </c>
      <c r="B773" s="3">
        <f t="shared" si="213"/>
        <v>0</v>
      </c>
      <c r="C773" s="3">
        <f t="shared" si="214"/>
        <v>18</v>
      </c>
      <c r="K773" s="3">
        <f>IF(OR($K$1="",对接源_01水果!$C773="",对接源_01水果!$C773&lt;&gt;$K$1,对接源_01水果!$B773=""),0,IF(OR(N(对接源_01水果!$B773)&lt;$K$2,N(对接源_01水果!$B773)&gt;$K$3),0,1))</f>
        <v>0</v>
      </c>
      <c r="L773" s="3">
        <f>IF(OR($L$1="",对接源_01水果!$C773="",对接源_01水果!$C773&lt;&gt;$L$1,对接源_01水果!$B773=""),0,IF(OR(N(对接源_01水果!$B773)&lt;$L$2,N(对接源_01水果!$B773)&gt;$L$3),0,1))</f>
        <v>0</v>
      </c>
      <c r="M773" s="3">
        <f>IF(OR($M$1="",对接源_01水果!$C773="",对接源_01水果!$C773&lt;&gt;$M$1,对接源_01水果!$B773=""),0,IF(OR(N(对接源_01水果!$B773)&lt;$M$2,N(对接源_01水果!$B773)&gt;$M$3),0,1))</f>
        <v>0</v>
      </c>
      <c r="N773" s="3">
        <f>IF(OR($N$1="",对接源_01水果!$C773="",对接源_01水果!$C773&lt;&gt;$N$1,对接源_01水果!$B773=""),0,IF(OR(N(对接源_01水果!$B773)&lt;$N$2,N(对接源_01水果!$B773)&gt;$N$3),0,1))</f>
        <v>0</v>
      </c>
      <c r="P773" s="3">
        <f>IF(AND($K773=1,AND(对接源_01水果!$X773="公司筐",N(对接源_01水果!$T773)&lt;&gt;0)),1,0)</f>
        <v>0</v>
      </c>
      <c r="Q773" s="3">
        <f t="shared" si="215"/>
        <v>0</v>
      </c>
      <c r="R773" s="3">
        <f>IF(AND($K773=1,AND(对接源_01水果!$X773="公司筐",N(对接源_01水果!$U773)&lt;&gt;0)),1,0)</f>
        <v>0</v>
      </c>
      <c r="S773" s="3">
        <f t="shared" si="216"/>
        <v>0</v>
      </c>
      <c r="T773" s="3">
        <f>IF(AND($K773=1,AND(对接源_01水果!$X773="公司筐",N(对接源_01水果!$V773)&lt;&gt;0)),1,0)</f>
        <v>0</v>
      </c>
      <c r="U773" s="3">
        <f t="shared" si="217"/>
        <v>19</v>
      </c>
      <c r="V773" s="3">
        <f>IF(AND($L773=1,AND(对接源_01水果!$X773="自备筐",N(对接源_01水果!$V773)&lt;&gt;0)),1,0)</f>
        <v>0</v>
      </c>
      <c r="W773" s="3">
        <f t="shared" si="218"/>
        <v>8</v>
      </c>
      <c r="X773" s="3">
        <f>IF(AND($L773=1,AND(对接源_01水果!$X773="自备筐",N(对接源_01水果!$T773)&lt;&gt;0)),1,0)</f>
        <v>0</v>
      </c>
      <c r="Y773" s="3">
        <f t="shared" si="219"/>
        <v>0</v>
      </c>
      <c r="Z773" s="3">
        <f>IF(AND($M773=1,对接源_01水果!$D773="原料入库"),1,0)</f>
        <v>0</v>
      </c>
      <c r="AA773" s="3">
        <f t="shared" si="220"/>
        <v>24</v>
      </c>
      <c r="AB773" s="3">
        <f>IF(AND($M773=1,LEFT(对接源_01水果!$D773,4)="原料出库"),1,0)</f>
        <v>0</v>
      </c>
      <c r="AC773" s="3">
        <f t="shared" si="221"/>
        <v>0</v>
      </c>
      <c r="AD773" s="3">
        <f>IF(AND($M773=1,LEFT(对接源_01水果!$D773,4)="成品出库"),1,0)</f>
        <v>0</v>
      </c>
      <c r="AE773" s="3">
        <f t="shared" si="222"/>
        <v>0</v>
      </c>
      <c r="AF773" s="3">
        <f>IF(AND($N773=1,AND(LEFT(对接源_01水果!$D773,4)="包装物料",N(对接源_01水果!$K773)&lt;&gt;0)),1,0)</f>
        <v>0</v>
      </c>
      <c r="AG773" s="3">
        <f t="shared" si="223"/>
        <v>0</v>
      </c>
      <c r="AH773" s="3">
        <f>IF(AND($N773=1,AND(对接源_01水果!$D773="周转筐－销售出库",N(对接源_01水果!$K773)&lt;&gt;0)),1,0)</f>
        <v>0</v>
      </c>
      <c r="AI773" s="3">
        <f t="shared" si="224"/>
        <v>0</v>
      </c>
      <c r="AJ773" s="7"/>
      <c r="AL773" s="3">
        <f>IF(OR($AL$1="",对接源_01水果!$Y773="",对接源_01水果!$Y773&lt;&gt;$AL$1,对接源_01水果!$B773="",N(对接源_01水果!$AJ773)&lt;=0),0,IF(OR(N(对接源_01水果!$B773)&lt;$AL$2,N(对接源_01水果!$B773)&gt;$AL$3),0,1))</f>
        <v>0</v>
      </c>
      <c r="AM773" s="3">
        <f t="shared" si="225"/>
        <v>1</v>
      </c>
      <c r="AN773" s="3" t="str">
        <f>IF(对接源_01水果!$AC773="","",对接源_01水果!$AC773)</f>
        <v/>
      </c>
      <c r="AO773" s="3">
        <f t="shared" si="226"/>
        <v>0</v>
      </c>
      <c r="AP773" s="3">
        <f t="shared" si="227"/>
        <v>8</v>
      </c>
      <c r="AR773">
        <f t="shared" si="228"/>
        <v>0</v>
      </c>
      <c r="AS773">
        <f t="shared" si="229"/>
        <v>0</v>
      </c>
    </row>
    <row r="774" ht="14.25" customHeight="1" spans="1:45">
      <c r="A774" s="3" t="str">
        <f>IF(对接源_01水果!$C774="","",对接源_01水果!$C774)</f>
        <v/>
      </c>
      <c r="B774" s="3">
        <f t="shared" si="213"/>
        <v>0</v>
      </c>
      <c r="C774" s="3">
        <f t="shared" si="214"/>
        <v>18</v>
      </c>
      <c r="K774" s="3">
        <f>IF(OR($K$1="",对接源_01水果!$C774="",对接源_01水果!$C774&lt;&gt;$K$1,对接源_01水果!$B774=""),0,IF(OR(N(对接源_01水果!$B774)&lt;$K$2,N(对接源_01水果!$B774)&gt;$K$3),0,1))</f>
        <v>0</v>
      </c>
      <c r="L774" s="3">
        <f>IF(OR($L$1="",对接源_01水果!$C774="",对接源_01水果!$C774&lt;&gt;$L$1,对接源_01水果!$B774=""),0,IF(OR(N(对接源_01水果!$B774)&lt;$L$2,N(对接源_01水果!$B774)&gt;$L$3),0,1))</f>
        <v>0</v>
      </c>
      <c r="M774" s="3">
        <f>IF(OR($M$1="",对接源_01水果!$C774="",对接源_01水果!$C774&lt;&gt;$M$1,对接源_01水果!$B774=""),0,IF(OR(N(对接源_01水果!$B774)&lt;$M$2,N(对接源_01水果!$B774)&gt;$M$3),0,1))</f>
        <v>0</v>
      </c>
      <c r="N774" s="3">
        <f>IF(OR($N$1="",对接源_01水果!$C774="",对接源_01水果!$C774&lt;&gt;$N$1,对接源_01水果!$B774=""),0,IF(OR(N(对接源_01水果!$B774)&lt;$N$2,N(对接源_01水果!$B774)&gt;$N$3),0,1))</f>
        <v>0</v>
      </c>
      <c r="P774" s="3">
        <f>IF(AND($K774=1,AND(对接源_01水果!$X774="公司筐",N(对接源_01水果!$T774)&lt;&gt;0)),1,0)</f>
        <v>0</v>
      </c>
      <c r="Q774" s="3">
        <f t="shared" si="215"/>
        <v>0</v>
      </c>
      <c r="R774" s="3">
        <f>IF(AND($K774=1,AND(对接源_01水果!$X774="公司筐",N(对接源_01水果!$U774)&lt;&gt;0)),1,0)</f>
        <v>0</v>
      </c>
      <c r="S774" s="3">
        <f t="shared" si="216"/>
        <v>0</v>
      </c>
      <c r="T774" s="3">
        <f>IF(AND($K774=1,AND(对接源_01水果!$X774="公司筐",N(对接源_01水果!$V774)&lt;&gt;0)),1,0)</f>
        <v>0</v>
      </c>
      <c r="U774" s="3">
        <f t="shared" si="217"/>
        <v>19</v>
      </c>
      <c r="V774" s="3">
        <f>IF(AND($L774=1,AND(对接源_01水果!$X774="自备筐",N(对接源_01水果!$V774)&lt;&gt;0)),1,0)</f>
        <v>0</v>
      </c>
      <c r="W774" s="3">
        <f t="shared" si="218"/>
        <v>8</v>
      </c>
      <c r="X774" s="3">
        <f>IF(AND($L774=1,AND(对接源_01水果!$X774="自备筐",N(对接源_01水果!$T774)&lt;&gt;0)),1,0)</f>
        <v>0</v>
      </c>
      <c r="Y774" s="3">
        <f t="shared" si="219"/>
        <v>0</v>
      </c>
      <c r="Z774" s="3">
        <f>IF(AND($M774=1,对接源_01水果!$D774="原料入库"),1,0)</f>
        <v>0</v>
      </c>
      <c r="AA774" s="3">
        <f t="shared" si="220"/>
        <v>24</v>
      </c>
      <c r="AB774" s="3">
        <f>IF(AND($M774=1,LEFT(对接源_01水果!$D774,4)="原料出库"),1,0)</f>
        <v>0</v>
      </c>
      <c r="AC774" s="3">
        <f t="shared" si="221"/>
        <v>0</v>
      </c>
      <c r="AD774" s="3">
        <f>IF(AND($M774=1,LEFT(对接源_01水果!$D774,4)="成品出库"),1,0)</f>
        <v>0</v>
      </c>
      <c r="AE774" s="3">
        <f t="shared" si="222"/>
        <v>0</v>
      </c>
      <c r="AF774" s="3">
        <f>IF(AND($N774=1,AND(LEFT(对接源_01水果!$D774,4)="包装物料",N(对接源_01水果!$K774)&lt;&gt;0)),1,0)</f>
        <v>0</v>
      </c>
      <c r="AG774" s="3">
        <f t="shared" si="223"/>
        <v>0</v>
      </c>
      <c r="AH774" s="3">
        <f>IF(AND($N774=1,AND(对接源_01水果!$D774="周转筐－销售出库",N(对接源_01水果!$K774)&lt;&gt;0)),1,0)</f>
        <v>0</v>
      </c>
      <c r="AI774" s="3">
        <f t="shared" si="224"/>
        <v>0</v>
      </c>
      <c r="AJ774" s="7"/>
      <c r="AL774" s="3">
        <f>IF(OR($AL$1="",对接源_01水果!$Y774="",对接源_01水果!$Y774&lt;&gt;$AL$1,对接源_01水果!$B774="",N(对接源_01水果!$AJ774)&lt;=0),0,IF(OR(N(对接源_01水果!$B774)&lt;$AL$2,N(对接源_01水果!$B774)&gt;$AL$3),0,1))</f>
        <v>0</v>
      </c>
      <c r="AM774" s="3">
        <f t="shared" si="225"/>
        <v>1</v>
      </c>
      <c r="AN774" s="3" t="str">
        <f>IF(对接源_01水果!$AC774="","",对接源_01水果!$AC774)</f>
        <v/>
      </c>
      <c r="AO774" s="3">
        <f t="shared" si="226"/>
        <v>0</v>
      </c>
      <c r="AP774" s="3">
        <f t="shared" si="227"/>
        <v>8</v>
      </c>
      <c r="AR774">
        <f t="shared" si="228"/>
        <v>0</v>
      </c>
      <c r="AS774">
        <f t="shared" si="229"/>
        <v>0</v>
      </c>
    </row>
    <row r="775" ht="14.25" customHeight="1" spans="1:45">
      <c r="A775" s="3" t="str">
        <f>IF(对接源_01水果!$C775="","",对接源_01水果!$C775)</f>
        <v/>
      </c>
      <c r="B775" s="3">
        <f t="shared" si="213"/>
        <v>0</v>
      </c>
      <c r="C775" s="3">
        <f t="shared" si="214"/>
        <v>18</v>
      </c>
      <c r="K775" s="3">
        <f>IF(OR($K$1="",对接源_01水果!$C775="",对接源_01水果!$C775&lt;&gt;$K$1,对接源_01水果!$B775=""),0,IF(OR(N(对接源_01水果!$B775)&lt;$K$2,N(对接源_01水果!$B775)&gt;$K$3),0,1))</f>
        <v>0</v>
      </c>
      <c r="L775" s="3">
        <f>IF(OR($L$1="",对接源_01水果!$C775="",对接源_01水果!$C775&lt;&gt;$L$1,对接源_01水果!$B775=""),0,IF(OR(N(对接源_01水果!$B775)&lt;$L$2,N(对接源_01水果!$B775)&gt;$L$3),0,1))</f>
        <v>0</v>
      </c>
      <c r="M775" s="3">
        <f>IF(OR($M$1="",对接源_01水果!$C775="",对接源_01水果!$C775&lt;&gt;$M$1,对接源_01水果!$B775=""),0,IF(OR(N(对接源_01水果!$B775)&lt;$M$2,N(对接源_01水果!$B775)&gt;$M$3),0,1))</f>
        <v>0</v>
      </c>
      <c r="N775" s="3">
        <f>IF(OR($N$1="",对接源_01水果!$C775="",对接源_01水果!$C775&lt;&gt;$N$1,对接源_01水果!$B775=""),0,IF(OR(N(对接源_01水果!$B775)&lt;$N$2,N(对接源_01水果!$B775)&gt;$N$3),0,1))</f>
        <v>0</v>
      </c>
      <c r="P775" s="3">
        <f>IF(AND($K775=1,AND(对接源_01水果!$X775="公司筐",N(对接源_01水果!$T775)&lt;&gt;0)),1,0)</f>
        <v>0</v>
      </c>
      <c r="Q775" s="3">
        <f t="shared" si="215"/>
        <v>0</v>
      </c>
      <c r="R775" s="3">
        <f>IF(AND($K775=1,AND(对接源_01水果!$X775="公司筐",N(对接源_01水果!$U775)&lt;&gt;0)),1,0)</f>
        <v>0</v>
      </c>
      <c r="S775" s="3">
        <f t="shared" si="216"/>
        <v>0</v>
      </c>
      <c r="T775" s="3">
        <f>IF(AND($K775=1,AND(对接源_01水果!$X775="公司筐",N(对接源_01水果!$V775)&lt;&gt;0)),1,0)</f>
        <v>0</v>
      </c>
      <c r="U775" s="3">
        <f t="shared" si="217"/>
        <v>19</v>
      </c>
      <c r="V775" s="3">
        <f>IF(AND($L775=1,AND(对接源_01水果!$X775="自备筐",N(对接源_01水果!$V775)&lt;&gt;0)),1,0)</f>
        <v>0</v>
      </c>
      <c r="W775" s="3">
        <f t="shared" si="218"/>
        <v>8</v>
      </c>
      <c r="X775" s="3">
        <f>IF(AND($L775=1,AND(对接源_01水果!$X775="自备筐",N(对接源_01水果!$T775)&lt;&gt;0)),1,0)</f>
        <v>0</v>
      </c>
      <c r="Y775" s="3">
        <f t="shared" si="219"/>
        <v>0</v>
      </c>
      <c r="Z775" s="3">
        <f>IF(AND($M775=1,对接源_01水果!$D775="原料入库"),1,0)</f>
        <v>0</v>
      </c>
      <c r="AA775" s="3">
        <f t="shared" si="220"/>
        <v>24</v>
      </c>
      <c r="AB775" s="3">
        <f>IF(AND($M775=1,LEFT(对接源_01水果!$D775,4)="原料出库"),1,0)</f>
        <v>0</v>
      </c>
      <c r="AC775" s="3">
        <f t="shared" si="221"/>
        <v>0</v>
      </c>
      <c r="AD775" s="3">
        <f>IF(AND($M775=1,LEFT(对接源_01水果!$D775,4)="成品出库"),1,0)</f>
        <v>0</v>
      </c>
      <c r="AE775" s="3">
        <f t="shared" si="222"/>
        <v>0</v>
      </c>
      <c r="AF775" s="3">
        <f>IF(AND($N775=1,AND(LEFT(对接源_01水果!$D775,4)="包装物料",N(对接源_01水果!$K775)&lt;&gt;0)),1,0)</f>
        <v>0</v>
      </c>
      <c r="AG775" s="3">
        <f t="shared" si="223"/>
        <v>0</v>
      </c>
      <c r="AH775" s="3">
        <f>IF(AND($N775=1,AND(对接源_01水果!$D775="周转筐－销售出库",N(对接源_01水果!$K775)&lt;&gt;0)),1,0)</f>
        <v>0</v>
      </c>
      <c r="AI775" s="3">
        <f t="shared" si="224"/>
        <v>0</v>
      </c>
      <c r="AJ775" s="7"/>
      <c r="AL775" s="3">
        <f>IF(OR($AL$1="",对接源_01水果!$Y775="",对接源_01水果!$Y775&lt;&gt;$AL$1,对接源_01水果!$B775="",N(对接源_01水果!$AJ775)&lt;=0),0,IF(OR(N(对接源_01水果!$B775)&lt;$AL$2,N(对接源_01水果!$B775)&gt;$AL$3),0,1))</f>
        <v>0</v>
      </c>
      <c r="AM775" s="3">
        <f t="shared" si="225"/>
        <v>1</v>
      </c>
      <c r="AN775" s="3" t="str">
        <f>IF(对接源_01水果!$AC775="","",对接源_01水果!$AC775)</f>
        <v/>
      </c>
      <c r="AO775" s="3">
        <f t="shared" si="226"/>
        <v>0</v>
      </c>
      <c r="AP775" s="3">
        <f t="shared" si="227"/>
        <v>8</v>
      </c>
      <c r="AR775">
        <f t="shared" si="228"/>
        <v>0</v>
      </c>
      <c r="AS775">
        <f t="shared" si="229"/>
        <v>0</v>
      </c>
    </row>
    <row r="776" ht="14.25" customHeight="1" spans="1:45">
      <c r="A776" s="3" t="str">
        <f>IF(对接源_01水果!$C776="","",对接源_01水果!$C776)</f>
        <v/>
      </c>
      <c r="B776" s="3">
        <f t="shared" si="213"/>
        <v>0</v>
      </c>
      <c r="C776" s="3">
        <f t="shared" si="214"/>
        <v>18</v>
      </c>
      <c r="K776" s="3">
        <f>IF(OR($K$1="",对接源_01水果!$C776="",对接源_01水果!$C776&lt;&gt;$K$1,对接源_01水果!$B776=""),0,IF(OR(N(对接源_01水果!$B776)&lt;$K$2,N(对接源_01水果!$B776)&gt;$K$3),0,1))</f>
        <v>0</v>
      </c>
      <c r="L776" s="3">
        <f>IF(OR($L$1="",对接源_01水果!$C776="",对接源_01水果!$C776&lt;&gt;$L$1,对接源_01水果!$B776=""),0,IF(OR(N(对接源_01水果!$B776)&lt;$L$2,N(对接源_01水果!$B776)&gt;$L$3),0,1))</f>
        <v>0</v>
      </c>
      <c r="M776" s="3">
        <f>IF(OR($M$1="",对接源_01水果!$C776="",对接源_01水果!$C776&lt;&gt;$M$1,对接源_01水果!$B776=""),0,IF(OR(N(对接源_01水果!$B776)&lt;$M$2,N(对接源_01水果!$B776)&gt;$M$3),0,1))</f>
        <v>0</v>
      </c>
      <c r="N776" s="3">
        <f>IF(OR($N$1="",对接源_01水果!$C776="",对接源_01水果!$C776&lt;&gt;$N$1,对接源_01水果!$B776=""),0,IF(OR(N(对接源_01水果!$B776)&lt;$N$2,N(对接源_01水果!$B776)&gt;$N$3),0,1))</f>
        <v>0</v>
      </c>
      <c r="P776" s="3">
        <f>IF(AND($K776=1,AND(对接源_01水果!$X776="公司筐",N(对接源_01水果!$T776)&lt;&gt;0)),1,0)</f>
        <v>0</v>
      </c>
      <c r="Q776" s="3">
        <f t="shared" si="215"/>
        <v>0</v>
      </c>
      <c r="R776" s="3">
        <f>IF(AND($K776=1,AND(对接源_01水果!$X776="公司筐",N(对接源_01水果!$U776)&lt;&gt;0)),1,0)</f>
        <v>0</v>
      </c>
      <c r="S776" s="3">
        <f t="shared" si="216"/>
        <v>0</v>
      </c>
      <c r="T776" s="3">
        <f>IF(AND($K776=1,AND(对接源_01水果!$X776="公司筐",N(对接源_01水果!$V776)&lt;&gt;0)),1,0)</f>
        <v>0</v>
      </c>
      <c r="U776" s="3">
        <f t="shared" si="217"/>
        <v>19</v>
      </c>
      <c r="V776" s="3">
        <f>IF(AND($L776=1,AND(对接源_01水果!$X776="自备筐",N(对接源_01水果!$V776)&lt;&gt;0)),1,0)</f>
        <v>0</v>
      </c>
      <c r="W776" s="3">
        <f t="shared" si="218"/>
        <v>8</v>
      </c>
      <c r="X776" s="3">
        <f>IF(AND($L776=1,AND(对接源_01水果!$X776="自备筐",N(对接源_01水果!$T776)&lt;&gt;0)),1,0)</f>
        <v>0</v>
      </c>
      <c r="Y776" s="3">
        <f t="shared" si="219"/>
        <v>0</v>
      </c>
      <c r="Z776" s="3">
        <f>IF(AND($M776=1,对接源_01水果!$D776="原料入库"),1,0)</f>
        <v>0</v>
      </c>
      <c r="AA776" s="3">
        <f t="shared" si="220"/>
        <v>24</v>
      </c>
      <c r="AB776" s="3">
        <f>IF(AND($M776=1,LEFT(对接源_01水果!$D776,4)="原料出库"),1,0)</f>
        <v>0</v>
      </c>
      <c r="AC776" s="3">
        <f t="shared" si="221"/>
        <v>0</v>
      </c>
      <c r="AD776" s="3">
        <f>IF(AND($M776=1,LEFT(对接源_01水果!$D776,4)="成品出库"),1,0)</f>
        <v>0</v>
      </c>
      <c r="AE776" s="3">
        <f t="shared" si="222"/>
        <v>0</v>
      </c>
      <c r="AF776" s="3">
        <f>IF(AND($N776=1,AND(LEFT(对接源_01水果!$D776,4)="包装物料",N(对接源_01水果!$K776)&lt;&gt;0)),1,0)</f>
        <v>0</v>
      </c>
      <c r="AG776" s="3">
        <f t="shared" si="223"/>
        <v>0</v>
      </c>
      <c r="AH776" s="3">
        <f>IF(AND($N776=1,AND(对接源_01水果!$D776="周转筐－销售出库",N(对接源_01水果!$K776)&lt;&gt;0)),1,0)</f>
        <v>0</v>
      </c>
      <c r="AI776" s="3">
        <f t="shared" si="224"/>
        <v>0</v>
      </c>
      <c r="AJ776" s="7"/>
      <c r="AL776" s="3">
        <f>IF(OR($AL$1="",对接源_01水果!$Y776="",对接源_01水果!$Y776&lt;&gt;$AL$1,对接源_01水果!$B776="",N(对接源_01水果!$AJ776)&lt;=0),0,IF(OR(N(对接源_01水果!$B776)&lt;$AL$2,N(对接源_01水果!$B776)&gt;$AL$3),0,1))</f>
        <v>0</v>
      </c>
      <c r="AM776" s="3">
        <f t="shared" si="225"/>
        <v>1</v>
      </c>
      <c r="AN776" s="3" t="str">
        <f>IF(对接源_01水果!$AC776="","",对接源_01水果!$AC776)</f>
        <v/>
      </c>
      <c r="AO776" s="3">
        <f t="shared" si="226"/>
        <v>0</v>
      </c>
      <c r="AP776" s="3">
        <f t="shared" si="227"/>
        <v>8</v>
      </c>
      <c r="AR776">
        <f t="shared" si="228"/>
        <v>0</v>
      </c>
      <c r="AS776">
        <f t="shared" si="229"/>
        <v>0</v>
      </c>
    </row>
    <row r="777" ht="14.25" customHeight="1" spans="1:45">
      <c r="A777" s="3" t="str">
        <f>IF(对接源_01水果!$C777="","",对接源_01水果!$C777)</f>
        <v/>
      </c>
      <c r="B777" s="3">
        <f t="shared" si="213"/>
        <v>0</v>
      </c>
      <c r="C777" s="3">
        <f t="shared" si="214"/>
        <v>18</v>
      </c>
      <c r="K777" s="3">
        <f>IF(OR($K$1="",对接源_01水果!$C777="",对接源_01水果!$C777&lt;&gt;$K$1,对接源_01水果!$B777=""),0,IF(OR(N(对接源_01水果!$B777)&lt;$K$2,N(对接源_01水果!$B777)&gt;$K$3),0,1))</f>
        <v>0</v>
      </c>
      <c r="L777" s="3">
        <f>IF(OR($L$1="",对接源_01水果!$C777="",对接源_01水果!$C777&lt;&gt;$L$1,对接源_01水果!$B777=""),0,IF(OR(N(对接源_01水果!$B777)&lt;$L$2,N(对接源_01水果!$B777)&gt;$L$3),0,1))</f>
        <v>0</v>
      </c>
      <c r="M777" s="3">
        <f>IF(OR($M$1="",对接源_01水果!$C777="",对接源_01水果!$C777&lt;&gt;$M$1,对接源_01水果!$B777=""),0,IF(OR(N(对接源_01水果!$B777)&lt;$M$2,N(对接源_01水果!$B777)&gt;$M$3),0,1))</f>
        <v>0</v>
      </c>
      <c r="N777" s="3">
        <f>IF(OR($N$1="",对接源_01水果!$C777="",对接源_01水果!$C777&lt;&gt;$N$1,对接源_01水果!$B777=""),0,IF(OR(N(对接源_01水果!$B777)&lt;$N$2,N(对接源_01水果!$B777)&gt;$N$3),0,1))</f>
        <v>0</v>
      </c>
      <c r="P777" s="3">
        <f>IF(AND($K777=1,AND(对接源_01水果!$X777="公司筐",N(对接源_01水果!$T777)&lt;&gt;0)),1,0)</f>
        <v>0</v>
      </c>
      <c r="Q777" s="3">
        <f t="shared" si="215"/>
        <v>0</v>
      </c>
      <c r="R777" s="3">
        <f>IF(AND($K777=1,AND(对接源_01水果!$X777="公司筐",N(对接源_01水果!$U777)&lt;&gt;0)),1,0)</f>
        <v>0</v>
      </c>
      <c r="S777" s="3">
        <f t="shared" si="216"/>
        <v>0</v>
      </c>
      <c r="T777" s="3">
        <f>IF(AND($K777=1,AND(对接源_01水果!$X777="公司筐",N(对接源_01水果!$V777)&lt;&gt;0)),1,0)</f>
        <v>0</v>
      </c>
      <c r="U777" s="3">
        <f t="shared" si="217"/>
        <v>19</v>
      </c>
      <c r="V777" s="3">
        <f>IF(AND($L777=1,AND(对接源_01水果!$X777="自备筐",N(对接源_01水果!$V777)&lt;&gt;0)),1,0)</f>
        <v>0</v>
      </c>
      <c r="W777" s="3">
        <f t="shared" si="218"/>
        <v>8</v>
      </c>
      <c r="X777" s="3">
        <f>IF(AND($L777=1,AND(对接源_01水果!$X777="自备筐",N(对接源_01水果!$T777)&lt;&gt;0)),1,0)</f>
        <v>0</v>
      </c>
      <c r="Y777" s="3">
        <f t="shared" si="219"/>
        <v>0</v>
      </c>
      <c r="Z777" s="3">
        <f>IF(AND($M777=1,对接源_01水果!$D777="原料入库"),1,0)</f>
        <v>0</v>
      </c>
      <c r="AA777" s="3">
        <f t="shared" si="220"/>
        <v>24</v>
      </c>
      <c r="AB777" s="3">
        <f>IF(AND($M777=1,LEFT(对接源_01水果!$D777,4)="原料出库"),1,0)</f>
        <v>0</v>
      </c>
      <c r="AC777" s="3">
        <f t="shared" si="221"/>
        <v>0</v>
      </c>
      <c r="AD777" s="3">
        <f>IF(AND($M777=1,LEFT(对接源_01水果!$D777,4)="成品出库"),1,0)</f>
        <v>0</v>
      </c>
      <c r="AE777" s="3">
        <f t="shared" si="222"/>
        <v>0</v>
      </c>
      <c r="AF777" s="3">
        <f>IF(AND($N777=1,AND(LEFT(对接源_01水果!$D777,4)="包装物料",N(对接源_01水果!$K777)&lt;&gt;0)),1,0)</f>
        <v>0</v>
      </c>
      <c r="AG777" s="3">
        <f t="shared" si="223"/>
        <v>0</v>
      </c>
      <c r="AH777" s="3">
        <f>IF(AND($N777=1,AND(对接源_01水果!$D777="周转筐－销售出库",N(对接源_01水果!$K777)&lt;&gt;0)),1,0)</f>
        <v>0</v>
      </c>
      <c r="AI777" s="3">
        <f t="shared" si="224"/>
        <v>0</v>
      </c>
      <c r="AJ777" s="7"/>
      <c r="AL777" s="3">
        <f>IF(OR($AL$1="",对接源_01水果!$Y777="",对接源_01水果!$Y777&lt;&gt;$AL$1,对接源_01水果!$B777="",N(对接源_01水果!$AJ777)&lt;=0),0,IF(OR(N(对接源_01水果!$B777)&lt;$AL$2,N(对接源_01水果!$B777)&gt;$AL$3),0,1))</f>
        <v>0</v>
      </c>
      <c r="AM777" s="3">
        <f t="shared" si="225"/>
        <v>1</v>
      </c>
      <c r="AN777" s="3" t="str">
        <f>IF(对接源_01水果!$AC777="","",对接源_01水果!$AC777)</f>
        <v/>
      </c>
      <c r="AO777" s="3">
        <f t="shared" si="226"/>
        <v>0</v>
      </c>
      <c r="AP777" s="3">
        <f t="shared" si="227"/>
        <v>8</v>
      </c>
      <c r="AR777">
        <f t="shared" si="228"/>
        <v>0</v>
      </c>
      <c r="AS777">
        <f t="shared" si="229"/>
        <v>0</v>
      </c>
    </row>
    <row r="778" ht="14.25" customHeight="1" spans="1:45">
      <c r="A778" s="3" t="str">
        <f>IF(对接源_01水果!$C778="","",对接源_01水果!$C778)</f>
        <v/>
      </c>
      <c r="B778" s="3">
        <f t="shared" si="213"/>
        <v>0</v>
      </c>
      <c r="C778" s="3">
        <f t="shared" si="214"/>
        <v>18</v>
      </c>
      <c r="K778" s="3">
        <f>IF(OR($K$1="",对接源_01水果!$C778="",对接源_01水果!$C778&lt;&gt;$K$1,对接源_01水果!$B778=""),0,IF(OR(N(对接源_01水果!$B778)&lt;$K$2,N(对接源_01水果!$B778)&gt;$K$3),0,1))</f>
        <v>0</v>
      </c>
      <c r="L778" s="3">
        <f>IF(OR($L$1="",对接源_01水果!$C778="",对接源_01水果!$C778&lt;&gt;$L$1,对接源_01水果!$B778=""),0,IF(OR(N(对接源_01水果!$B778)&lt;$L$2,N(对接源_01水果!$B778)&gt;$L$3),0,1))</f>
        <v>0</v>
      </c>
      <c r="M778" s="3">
        <f>IF(OR($M$1="",对接源_01水果!$C778="",对接源_01水果!$C778&lt;&gt;$M$1,对接源_01水果!$B778=""),0,IF(OR(N(对接源_01水果!$B778)&lt;$M$2,N(对接源_01水果!$B778)&gt;$M$3),0,1))</f>
        <v>0</v>
      </c>
      <c r="N778" s="3">
        <f>IF(OR($N$1="",对接源_01水果!$C778="",对接源_01水果!$C778&lt;&gt;$N$1,对接源_01水果!$B778=""),0,IF(OR(N(对接源_01水果!$B778)&lt;$N$2,N(对接源_01水果!$B778)&gt;$N$3),0,1))</f>
        <v>0</v>
      </c>
      <c r="P778" s="3">
        <f>IF(AND($K778=1,AND(对接源_01水果!$X778="公司筐",N(对接源_01水果!$T778)&lt;&gt;0)),1,0)</f>
        <v>0</v>
      </c>
      <c r="Q778" s="3">
        <f t="shared" si="215"/>
        <v>0</v>
      </c>
      <c r="R778" s="3">
        <f>IF(AND($K778=1,AND(对接源_01水果!$X778="公司筐",N(对接源_01水果!$U778)&lt;&gt;0)),1,0)</f>
        <v>0</v>
      </c>
      <c r="S778" s="3">
        <f t="shared" si="216"/>
        <v>0</v>
      </c>
      <c r="T778" s="3">
        <f>IF(AND($K778=1,AND(对接源_01水果!$X778="公司筐",N(对接源_01水果!$V778)&lt;&gt;0)),1,0)</f>
        <v>0</v>
      </c>
      <c r="U778" s="3">
        <f t="shared" si="217"/>
        <v>19</v>
      </c>
      <c r="V778" s="3">
        <f>IF(AND($L778=1,AND(对接源_01水果!$X778="自备筐",N(对接源_01水果!$V778)&lt;&gt;0)),1,0)</f>
        <v>0</v>
      </c>
      <c r="W778" s="3">
        <f t="shared" si="218"/>
        <v>8</v>
      </c>
      <c r="X778" s="3">
        <f>IF(AND($L778=1,AND(对接源_01水果!$X778="自备筐",N(对接源_01水果!$T778)&lt;&gt;0)),1,0)</f>
        <v>0</v>
      </c>
      <c r="Y778" s="3">
        <f t="shared" si="219"/>
        <v>0</v>
      </c>
      <c r="Z778" s="3">
        <f>IF(AND($M778=1,对接源_01水果!$D778="原料入库"),1,0)</f>
        <v>0</v>
      </c>
      <c r="AA778" s="3">
        <f t="shared" si="220"/>
        <v>24</v>
      </c>
      <c r="AB778" s="3">
        <f>IF(AND($M778=1,LEFT(对接源_01水果!$D778,4)="原料出库"),1,0)</f>
        <v>0</v>
      </c>
      <c r="AC778" s="3">
        <f t="shared" si="221"/>
        <v>0</v>
      </c>
      <c r="AD778" s="3">
        <f>IF(AND($M778=1,LEFT(对接源_01水果!$D778,4)="成品出库"),1,0)</f>
        <v>0</v>
      </c>
      <c r="AE778" s="3">
        <f t="shared" si="222"/>
        <v>0</v>
      </c>
      <c r="AF778" s="3">
        <f>IF(AND($N778=1,AND(LEFT(对接源_01水果!$D778,4)="包装物料",N(对接源_01水果!$K778)&lt;&gt;0)),1,0)</f>
        <v>0</v>
      </c>
      <c r="AG778" s="3">
        <f t="shared" si="223"/>
        <v>0</v>
      </c>
      <c r="AH778" s="3">
        <f>IF(AND($N778=1,AND(对接源_01水果!$D778="周转筐－销售出库",N(对接源_01水果!$K778)&lt;&gt;0)),1,0)</f>
        <v>0</v>
      </c>
      <c r="AI778" s="3">
        <f t="shared" si="224"/>
        <v>0</v>
      </c>
      <c r="AJ778" s="7"/>
      <c r="AL778" s="3">
        <f>IF(OR($AL$1="",对接源_01水果!$Y778="",对接源_01水果!$Y778&lt;&gt;$AL$1,对接源_01水果!$B778="",N(对接源_01水果!$AJ778)&lt;=0),0,IF(OR(N(对接源_01水果!$B778)&lt;$AL$2,N(对接源_01水果!$B778)&gt;$AL$3),0,1))</f>
        <v>0</v>
      </c>
      <c r="AM778" s="3">
        <f t="shared" si="225"/>
        <v>1</v>
      </c>
      <c r="AN778" s="3" t="str">
        <f>IF(对接源_01水果!$AC778="","",对接源_01水果!$AC778)</f>
        <v/>
      </c>
      <c r="AO778" s="3">
        <f t="shared" si="226"/>
        <v>0</v>
      </c>
      <c r="AP778" s="3">
        <f t="shared" si="227"/>
        <v>8</v>
      </c>
      <c r="AR778">
        <f t="shared" si="228"/>
        <v>0</v>
      </c>
      <c r="AS778">
        <f t="shared" si="229"/>
        <v>0</v>
      </c>
    </row>
    <row r="779" ht="14.25" customHeight="1" spans="1:45">
      <c r="A779" s="3" t="str">
        <f>IF(对接源_01水果!$C779="","",对接源_01水果!$C779)</f>
        <v/>
      </c>
      <c r="B779" s="3">
        <f t="shared" si="213"/>
        <v>0</v>
      </c>
      <c r="C779" s="3">
        <f t="shared" si="214"/>
        <v>18</v>
      </c>
      <c r="K779" s="3">
        <f>IF(OR($K$1="",对接源_01水果!$C779="",对接源_01水果!$C779&lt;&gt;$K$1,对接源_01水果!$B779=""),0,IF(OR(N(对接源_01水果!$B779)&lt;$K$2,N(对接源_01水果!$B779)&gt;$K$3),0,1))</f>
        <v>0</v>
      </c>
      <c r="L779" s="3">
        <f>IF(OR($L$1="",对接源_01水果!$C779="",对接源_01水果!$C779&lt;&gt;$L$1,对接源_01水果!$B779=""),0,IF(OR(N(对接源_01水果!$B779)&lt;$L$2,N(对接源_01水果!$B779)&gt;$L$3),0,1))</f>
        <v>0</v>
      </c>
      <c r="M779" s="3">
        <f>IF(OR($M$1="",对接源_01水果!$C779="",对接源_01水果!$C779&lt;&gt;$M$1,对接源_01水果!$B779=""),0,IF(OR(N(对接源_01水果!$B779)&lt;$M$2,N(对接源_01水果!$B779)&gt;$M$3),0,1))</f>
        <v>0</v>
      </c>
      <c r="N779" s="3">
        <f>IF(OR($N$1="",对接源_01水果!$C779="",对接源_01水果!$C779&lt;&gt;$N$1,对接源_01水果!$B779=""),0,IF(OR(N(对接源_01水果!$B779)&lt;$N$2,N(对接源_01水果!$B779)&gt;$N$3),0,1))</f>
        <v>0</v>
      </c>
      <c r="P779" s="3">
        <f>IF(AND($K779=1,AND(对接源_01水果!$X779="公司筐",N(对接源_01水果!$T779)&lt;&gt;0)),1,0)</f>
        <v>0</v>
      </c>
      <c r="Q779" s="3">
        <f t="shared" si="215"/>
        <v>0</v>
      </c>
      <c r="R779" s="3">
        <f>IF(AND($K779=1,AND(对接源_01水果!$X779="公司筐",N(对接源_01水果!$U779)&lt;&gt;0)),1,0)</f>
        <v>0</v>
      </c>
      <c r="S779" s="3">
        <f t="shared" si="216"/>
        <v>0</v>
      </c>
      <c r="T779" s="3">
        <f>IF(AND($K779=1,AND(对接源_01水果!$X779="公司筐",N(对接源_01水果!$V779)&lt;&gt;0)),1,0)</f>
        <v>0</v>
      </c>
      <c r="U779" s="3">
        <f t="shared" si="217"/>
        <v>19</v>
      </c>
      <c r="V779" s="3">
        <f>IF(AND($L779=1,AND(对接源_01水果!$X779="自备筐",N(对接源_01水果!$V779)&lt;&gt;0)),1,0)</f>
        <v>0</v>
      </c>
      <c r="W779" s="3">
        <f t="shared" si="218"/>
        <v>8</v>
      </c>
      <c r="X779" s="3">
        <f>IF(AND($L779=1,AND(对接源_01水果!$X779="自备筐",N(对接源_01水果!$T779)&lt;&gt;0)),1,0)</f>
        <v>0</v>
      </c>
      <c r="Y779" s="3">
        <f t="shared" si="219"/>
        <v>0</v>
      </c>
      <c r="Z779" s="3">
        <f>IF(AND($M779=1,对接源_01水果!$D779="原料入库"),1,0)</f>
        <v>0</v>
      </c>
      <c r="AA779" s="3">
        <f t="shared" si="220"/>
        <v>24</v>
      </c>
      <c r="AB779" s="3">
        <f>IF(AND($M779=1,LEFT(对接源_01水果!$D779,4)="原料出库"),1,0)</f>
        <v>0</v>
      </c>
      <c r="AC779" s="3">
        <f t="shared" si="221"/>
        <v>0</v>
      </c>
      <c r="AD779" s="3">
        <f>IF(AND($M779=1,LEFT(对接源_01水果!$D779,4)="成品出库"),1,0)</f>
        <v>0</v>
      </c>
      <c r="AE779" s="3">
        <f t="shared" si="222"/>
        <v>0</v>
      </c>
      <c r="AF779" s="3">
        <f>IF(AND($N779=1,AND(LEFT(对接源_01水果!$D779,4)="包装物料",N(对接源_01水果!$K779)&lt;&gt;0)),1,0)</f>
        <v>0</v>
      </c>
      <c r="AG779" s="3">
        <f t="shared" si="223"/>
        <v>0</v>
      </c>
      <c r="AH779" s="3">
        <f>IF(AND($N779=1,AND(对接源_01水果!$D779="周转筐－销售出库",N(对接源_01水果!$K779)&lt;&gt;0)),1,0)</f>
        <v>0</v>
      </c>
      <c r="AI779" s="3">
        <f t="shared" si="224"/>
        <v>0</v>
      </c>
      <c r="AJ779" s="7"/>
      <c r="AL779" s="3">
        <f>IF(OR($AL$1="",对接源_01水果!$Y779="",对接源_01水果!$Y779&lt;&gt;$AL$1,对接源_01水果!$B779="",N(对接源_01水果!$AJ779)&lt;=0),0,IF(OR(N(对接源_01水果!$B779)&lt;$AL$2,N(对接源_01水果!$B779)&gt;$AL$3),0,1))</f>
        <v>0</v>
      </c>
      <c r="AM779" s="3">
        <f t="shared" si="225"/>
        <v>1</v>
      </c>
      <c r="AN779" s="3" t="str">
        <f>IF(对接源_01水果!$AC779="","",对接源_01水果!$AC779)</f>
        <v/>
      </c>
      <c r="AO779" s="3">
        <f t="shared" si="226"/>
        <v>0</v>
      </c>
      <c r="AP779" s="3">
        <f t="shared" si="227"/>
        <v>8</v>
      </c>
      <c r="AR779">
        <f t="shared" si="228"/>
        <v>0</v>
      </c>
      <c r="AS779">
        <f t="shared" si="229"/>
        <v>0</v>
      </c>
    </row>
    <row r="780" ht="14.25" customHeight="1" spans="1:45">
      <c r="A780" s="3" t="str">
        <f>IF(对接源_01水果!$C780="","",对接源_01水果!$C780)</f>
        <v/>
      </c>
      <c r="B780" s="3">
        <f t="shared" si="213"/>
        <v>0</v>
      </c>
      <c r="C780" s="3">
        <f t="shared" si="214"/>
        <v>18</v>
      </c>
      <c r="K780" s="3">
        <f>IF(OR($K$1="",对接源_01水果!$C780="",对接源_01水果!$C780&lt;&gt;$K$1,对接源_01水果!$B780=""),0,IF(OR(N(对接源_01水果!$B780)&lt;$K$2,N(对接源_01水果!$B780)&gt;$K$3),0,1))</f>
        <v>0</v>
      </c>
      <c r="L780" s="3">
        <f>IF(OR($L$1="",对接源_01水果!$C780="",对接源_01水果!$C780&lt;&gt;$L$1,对接源_01水果!$B780=""),0,IF(OR(N(对接源_01水果!$B780)&lt;$L$2,N(对接源_01水果!$B780)&gt;$L$3),0,1))</f>
        <v>0</v>
      </c>
      <c r="M780" s="3">
        <f>IF(OR($M$1="",对接源_01水果!$C780="",对接源_01水果!$C780&lt;&gt;$M$1,对接源_01水果!$B780=""),0,IF(OR(N(对接源_01水果!$B780)&lt;$M$2,N(对接源_01水果!$B780)&gt;$M$3),0,1))</f>
        <v>0</v>
      </c>
      <c r="N780" s="3">
        <f>IF(OR($N$1="",对接源_01水果!$C780="",对接源_01水果!$C780&lt;&gt;$N$1,对接源_01水果!$B780=""),0,IF(OR(N(对接源_01水果!$B780)&lt;$N$2,N(对接源_01水果!$B780)&gt;$N$3),0,1))</f>
        <v>0</v>
      </c>
      <c r="P780" s="3">
        <f>IF(AND($K780=1,AND(对接源_01水果!$X780="公司筐",N(对接源_01水果!$T780)&lt;&gt;0)),1,0)</f>
        <v>0</v>
      </c>
      <c r="Q780" s="3">
        <f t="shared" si="215"/>
        <v>0</v>
      </c>
      <c r="R780" s="3">
        <f>IF(AND($K780=1,AND(对接源_01水果!$X780="公司筐",N(对接源_01水果!$U780)&lt;&gt;0)),1,0)</f>
        <v>0</v>
      </c>
      <c r="S780" s="3">
        <f t="shared" si="216"/>
        <v>0</v>
      </c>
      <c r="T780" s="3">
        <f>IF(AND($K780=1,AND(对接源_01水果!$X780="公司筐",N(对接源_01水果!$V780)&lt;&gt;0)),1,0)</f>
        <v>0</v>
      </c>
      <c r="U780" s="3">
        <f t="shared" si="217"/>
        <v>19</v>
      </c>
      <c r="V780" s="3">
        <f>IF(AND($L780=1,AND(对接源_01水果!$X780="自备筐",N(对接源_01水果!$V780)&lt;&gt;0)),1,0)</f>
        <v>0</v>
      </c>
      <c r="W780" s="3">
        <f t="shared" si="218"/>
        <v>8</v>
      </c>
      <c r="X780" s="3">
        <f>IF(AND($L780=1,AND(对接源_01水果!$X780="自备筐",N(对接源_01水果!$T780)&lt;&gt;0)),1,0)</f>
        <v>0</v>
      </c>
      <c r="Y780" s="3">
        <f t="shared" si="219"/>
        <v>0</v>
      </c>
      <c r="Z780" s="3">
        <f>IF(AND($M780=1,对接源_01水果!$D780="原料入库"),1,0)</f>
        <v>0</v>
      </c>
      <c r="AA780" s="3">
        <f t="shared" si="220"/>
        <v>24</v>
      </c>
      <c r="AB780" s="3">
        <f>IF(AND($M780=1,LEFT(对接源_01水果!$D780,4)="原料出库"),1,0)</f>
        <v>0</v>
      </c>
      <c r="AC780" s="3">
        <f t="shared" si="221"/>
        <v>0</v>
      </c>
      <c r="AD780" s="3">
        <f>IF(AND($M780=1,LEFT(对接源_01水果!$D780,4)="成品出库"),1,0)</f>
        <v>0</v>
      </c>
      <c r="AE780" s="3">
        <f t="shared" si="222"/>
        <v>0</v>
      </c>
      <c r="AF780" s="3">
        <f>IF(AND($N780=1,AND(LEFT(对接源_01水果!$D780,4)="包装物料",N(对接源_01水果!$K780)&lt;&gt;0)),1,0)</f>
        <v>0</v>
      </c>
      <c r="AG780" s="3">
        <f t="shared" si="223"/>
        <v>0</v>
      </c>
      <c r="AH780" s="3">
        <f>IF(AND($N780=1,AND(对接源_01水果!$D780="周转筐－销售出库",N(对接源_01水果!$K780)&lt;&gt;0)),1,0)</f>
        <v>0</v>
      </c>
      <c r="AI780" s="3">
        <f t="shared" si="224"/>
        <v>0</v>
      </c>
      <c r="AJ780" s="7"/>
      <c r="AL780" s="3">
        <f>IF(OR($AL$1="",对接源_01水果!$Y780="",对接源_01水果!$Y780&lt;&gt;$AL$1,对接源_01水果!$B780="",N(对接源_01水果!$AJ780)&lt;=0),0,IF(OR(N(对接源_01水果!$B780)&lt;$AL$2,N(对接源_01水果!$B780)&gt;$AL$3),0,1))</f>
        <v>0</v>
      </c>
      <c r="AM780" s="3">
        <f t="shared" si="225"/>
        <v>1</v>
      </c>
      <c r="AN780" s="3" t="str">
        <f>IF(对接源_01水果!$AC780="","",对接源_01水果!$AC780)</f>
        <v/>
      </c>
      <c r="AO780" s="3">
        <f t="shared" si="226"/>
        <v>0</v>
      </c>
      <c r="AP780" s="3">
        <f t="shared" si="227"/>
        <v>8</v>
      </c>
      <c r="AR780">
        <f t="shared" si="228"/>
        <v>0</v>
      </c>
      <c r="AS780">
        <f t="shared" si="229"/>
        <v>0</v>
      </c>
    </row>
    <row r="781" ht="14.25" customHeight="1" spans="1:45">
      <c r="A781" s="3" t="str">
        <f>IF(对接源_01水果!$C781="","",对接源_01水果!$C781)</f>
        <v/>
      </c>
      <c r="B781" s="3">
        <f t="shared" si="213"/>
        <v>0</v>
      </c>
      <c r="C781" s="3">
        <f t="shared" si="214"/>
        <v>18</v>
      </c>
      <c r="K781" s="3">
        <f>IF(OR($K$1="",对接源_01水果!$C781="",对接源_01水果!$C781&lt;&gt;$K$1,对接源_01水果!$B781=""),0,IF(OR(N(对接源_01水果!$B781)&lt;$K$2,N(对接源_01水果!$B781)&gt;$K$3),0,1))</f>
        <v>0</v>
      </c>
      <c r="L781" s="3">
        <f>IF(OR($L$1="",对接源_01水果!$C781="",对接源_01水果!$C781&lt;&gt;$L$1,对接源_01水果!$B781=""),0,IF(OR(N(对接源_01水果!$B781)&lt;$L$2,N(对接源_01水果!$B781)&gt;$L$3),0,1))</f>
        <v>0</v>
      </c>
      <c r="M781" s="3">
        <f>IF(OR($M$1="",对接源_01水果!$C781="",对接源_01水果!$C781&lt;&gt;$M$1,对接源_01水果!$B781=""),0,IF(OR(N(对接源_01水果!$B781)&lt;$M$2,N(对接源_01水果!$B781)&gt;$M$3),0,1))</f>
        <v>0</v>
      </c>
      <c r="N781" s="3">
        <f>IF(OR($N$1="",对接源_01水果!$C781="",对接源_01水果!$C781&lt;&gt;$N$1,对接源_01水果!$B781=""),0,IF(OR(N(对接源_01水果!$B781)&lt;$N$2,N(对接源_01水果!$B781)&gt;$N$3),0,1))</f>
        <v>0</v>
      </c>
      <c r="P781" s="3">
        <f>IF(AND($K781=1,AND(对接源_01水果!$X781="公司筐",N(对接源_01水果!$T781)&lt;&gt;0)),1,0)</f>
        <v>0</v>
      </c>
      <c r="Q781" s="3">
        <f t="shared" si="215"/>
        <v>0</v>
      </c>
      <c r="R781" s="3">
        <f>IF(AND($K781=1,AND(对接源_01水果!$X781="公司筐",N(对接源_01水果!$U781)&lt;&gt;0)),1,0)</f>
        <v>0</v>
      </c>
      <c r="S781" s="3">
        <f t="shared" si="216"/>
        <v>0</v>
      </c>
      <c r="T781" s="3">
        <f>IF(AND($K781=1,AND(对接源_01水果!$X781="公司筐",N(对接源_01水果!$V781)&lt;&gt;0)),1,0)</f>
        <v>0</v>
      </c>
      <c r="U781" s="3">
        <f t="shared" si="217"/>
        <v>19</v>
      </c>
      <c r="V781" s="3">
        <f>IF(AND($L781=1,AND(对接源_01水果!$X781="自备筐",N(对接源_01水果!$V781)&lt;&gt;0)),1,0)</f>
        <v>0</v>
      </c>
      <c r="W781" s="3">
        <f t="shared" si="218"/>
        <v>8</v>
      </c>
      <c r="X781" s="3">
        <f>IF(AND($L781=1,AND(对接源_01水果!$X781="自备筐",N(对接源_01水果!$T781)&lt;&gt;0)),1,0)</f>
        <v>0</v>
      </c>
      <c r="Y781" s="3">
        <f t="shared" si="219"/>
        <v>0</v>
      </c>
      <c r="Z781" s="3">
        <f>IF(AND($M781=1,对接源_01水果!$D781="原料入库"),1,0)</f>
        <v>0</v>
      </c>
      <c r="AA781" s="3">
        <f t="shared" si="220"/>
        <v>24</v>
      </c>
      <c r="AB781" s="3">
        <f>IF(AND($M781=1,LEFT(对接源_01水果!$D781,4)="原料出库"),1,0)</f>
        <v>0</v>
      </c>
      <c r="AC781" s="3">
        <f t="shared" si="221"/>
        <v>0</v>
      </c>
      <c r="AD781" s="3">
        <f>IF(AND($M781=1,LEFT(对接源_01水果!$D781,4)="成品出库"),1,0)</f>
        <v>0</v>
      </c>
      <c r="AE781" s="3">
        <f t="shared" si="222"/>
        <v>0</v>
      </c>
      <c r="AF781" s="3">
        <f>IF(AND($N781=1,AND(LEFT(对接源_01水果!$D781,4)="包装物料",N(对接源_01水果!$K781)&lt;&gt;0)),1,0)</f>
        <v>0</v>
      </c>
      <c r="AG781" s="3">
        <f t="shared" si="223"/>
        <v>0</v>
      </c>
      <c r="AH781" s="3">
        <f>IF(AND($N781=1,AND(对接源_01水果!$D781="周转筐－销售出库",N(对接源_01水果!$K781)&lt;&gt;0)),1,0)</f>
        <v>0</v>
      </c>
      <c r="AI781" s="3">
        <f t="shared" si="224"/>
        <v>0</v>
      </c>
      <c r="AJ781" s="7"/>
      <c r="AL781" s="3">
        <f>IF(OR($AL$1="",对接源_01水果!$Y781="",对接源_01水果!$Y781&lt;&gt;$AL$1,对接源_01水果!$B781="",N(对接源_01水果!$AJ781)&lt;=0),0,IF(OR(N(对接源_01水果!$B781)&lt;$AL$2,N(对接源_01水果!$B781)&gt;$AL$3),0,1))</f>
        <v>0</v>
      </c>
      <c r="AM781" s="3">
        <f t="shared" si="225"/>
        <v>1</v>
      </c>
      <c r="AN781" s="3" t="str">
        <f>IF(对接源_01水果!$AC781="","",对接源_01水果!$AC781)</f>
        <v/>
      </c>
      <c r="AO781" s="3">
        <f t="shared" si="226"/>
        <v>0</v>
      </c>
      <c r="AP781" s="3">
        <f t="shared" si="227"/>
        <v>8</v>
      </c>
      <c r="AR781">
        <f t="shared" si="228"/>
        <v>0</v>
      </c>
      <c r="AS781">
        <f t="shared" si="229"/>
        <v>0</v>
      </c>
    </row>
    <row r="782" ht="14.25" customHeight="1" spans="1:45">
      <c r="A782" s="3" t="str">
        <f>IF(对接源_01水果!$C782="","",对接源_01水果!$C782)</f>
        <v/>
      </c>
      <c r="B782" s="3">
        <f t="shared" si="213"/>
        <v>0</v>
      </c>
      <c r="C782" s="3">
        <f t="shared" si="214"/>
        <v>18</v>
      </c>
      <c r="K782" s="3">
        <f>IF(OR($K$1="",对接源_01水果!$C782="",对接源_01水果!$C782&lt;&gt;$K$1,对接源_01水果!$B782=""),0,IF(OR(N(对接源_01水果!$B782)&lt;$K$2,N(对接源_01水果!$B782)&gt;$K$3),0,1))</f>
        <v>0</v>
      </c>
      <c r="L782" s="3">
        <f>IF(OR($L$1="",对接源_01水果!$C782="",对接源_01水果!$C782&lt;&gt;$L$1,对接源_01水果!$B782=""),0,IF(OR(N(对接源_01水果!$B782)&lt;$L$2,N(对接源_01水果!$B782)&gt;$L$3),0,1))</f>
        <v>0</v>
      </c>
      <c r="M782" s="3">
        <f>IF(OR($M$1="",对接源_01水果!$C782="",对接源_01水果!$C782&lt;&gt;$M$1,对接源_01水果!$B782=""),0,IF(OR(N(对接源_01水果!$B782)&lt;$M$2,N(对接源_01水果!$B782)&gt;$M$3),0,1))</f>
        <v>0</v>
      </c>
      <c r="N782" s="3">
        <f>IF(OR($N$1="",对接源_01水果!$C782="",对接源_01水果!$C782&lt;&gt;$N$1,对接源_01水果!$B782=""),0,IF(OR(N(对接源_01水果!$B782)&lt;$N$2,N(对接源_01水果!$B782)&gt;$N$3),0,1))</f>
        <v>0</v>
      </c>
      <c r="P782" s="3">
        <f>IF(AND($K782=1,AND(对接源_01水果!$X782="公司筐",N(对接源_01水果!$T782)&lt;&gt;0)),1,0)</f>
        <v>0</v>
      </c>
      <c r="Q782" s="3">
        <f t="shared" si="215"/>
        <v>0</v>
      </c>
      <c r="R782" s="3">
        <f>IF(AND($K782=1,AND(对接源_01水果!$X782="公司筐",N(对接源_01水果!$U782)&lt;&gt;0)),1,0)</f>
        <v>0</v>
      </c>
      <c r="S782" s="3">
        <f t="shared" si="216"/>
        <v>0</v>
      </c>
      <c r="T782" s="3">
        <f>IF(AND($K782=1,AND(对接源_01水果!$X782="公司筐",N(对接源_01水果!$V782)&lt;&gt;0)),1,0)</f>
        <v>0</v>
      </c>
      <c r="U782" s="3">
        <f t="shared" si="217"/>
        <v>19</v>
      </c>
      <c r="V782" s="3">
        <f>IF(AND($L782=1,AND(对接源_01水果!$X782="自备筐",N(对接源_01水果!$V782)&lt;&gt;0)),1,0)</f>
        <v>0</v>
      </c>
      <c r="W782" s="3">
        <f t="shared" si="218"/>
        <v>8</v>
      </c>
      <c r="X782" s="3">
        <f>IF(AND($L782=1,AND(对接源_01水果!$X782="自备筐",N(对接源_01水果!$T782)&lt;&gt;0)),1,0)</f>
        <v>0</v>
      </c>
      <c r="Y782" s="3">
        <f t="shared" si="219"/>
        <v>0</v>
      </c>
      <c r="Z782" s="3">
        <f>IF(AND($M782=1,对接源_01水果!$D782="原料入库"),1,0)</f>
        <v>0</v>
      </c>
      <c r="AA782" s="3">
        <f t="shared" si="220"/>
        <v>24</v>
      </c>
      <c r="AB782" s="3">
        <f>IF(AND($M782=1,LEFT(对接源_01水果!$D782,4)="原料出库"),1,0)</f>
        <v>0</v>
      </c>
      <c r="AC782" s="3">
        <f t="shared" si="221"/>
        <v>0</v>
      </c>
      <c r="AD782" s="3">
        <f>IF(AND($M782=1,LEFT(对接源_01水果!$D782,4)="成品出库"),1,0)</f>
        <v>0</v>
      </c>
      <c r="AE782" s="3">
        <f t="shared" si="222"/>
        <v>0</v>
      </c>
      <c r="AF782" s="3">
        <f>IF(AND($N782=1,AND(LEFT(对接源_01水果!$D782,4)="包装物料",N(对接源_01水果!$K782)&lt;&gt;0)),1,0)</f>
        <v>0</v>
      </c>
      <c r="AG782" s="3">
        <f t="shared" si="223"/>
        <v>0</v>
      </c>
      <c r="AH782" s="3">
        <f>IF(AND($N782=1,AND(对接源_01水果!$D782="周转筐－销售出库",N(对接源_01水果!$K782)&lt;&gt;0)),1,0)</f>
        <v>0</v>
      </c>
      <c r="AI782" s="3">
        <f t="shared" si="224"/>
        <v>0</v>
      </c>
      <c r="AJ782" s="7"/>
      <c r="AL782" s="3">
        <f>IF(OR($AL$1="",对接源_01水果!$Y782="",对接源_01水果!$Y782&lt;&gt;$AL$1,对接源_01水果!$B782="",N(对接源_01水果!$AJ782)&lt;=0),0,IF(OR(N(对接源_01水果!$B782)&lt;$AL$2,N(对接源_01水果!$B782)&gt;$AL$3),0,1))</f>
        <v>0</v>
      </c>
      <c r="AM782" s="3">
        <f t="shared" si="225"/>
        <v>1</v>
      </c>
      <c r="AN782" s="3" t="str">
        <f>IF(对接源_01水果!$AC782="","",对接源_01水果!$AC782)</f>
        <v/>
      </c>
      <c r="AO782" s="3">
        <f t="shared" si="226"/>
        <v>0</v>
      </c>
      <c r="AP782" s="3">
        <f t="shared" si="227"/>
        <v>8</v>
      </c>
      <c r="AR782">
        <f t="shared" si="228"/>
        <v>0</v>
      </c>
      <c r="AS782">
        <f t="shared" si="229"/>
        <v>0</v>
      </c>
    </row>
    <row r="783" ht="14.25" customHeight="1" spans="1:45">
      <c r="A783" s="3" t="str">
        <f>IF(对接源_01水果!$C783="","",对接源_01水果!$C783)</f>
        <v/>
      </c>
      <c r="B783" s="3">
        <f t="shared" si="213"/>
        <v>0</v>
      </c>
      <c r="C783" s="3">
        <f t="shared" si="214"/>
        <v>18</v>
      </c>
      <c r="K783" s="3">
        <f>IF(OR($K$1="",对接源_01水果!$C783="",对接源_01水果!$C783&lt;&gt;$K$1,对接源_01水果!$B783=""),0,IF(OR(N(对接源_01水果!$B783)&lt;$K$2,N(对接源_01水果!$B783)&gt;$K$3),0,1))</f>
        <v>0</v>
      </c>
      <c r="L783" s="3">
        <f>IF(OR($L$1="",对接源_01水果!$C783="",对接源_01水果!$C783&lt;&gt;$L$1,对接源_01水果!$B783=""),0,IF(OR(N(对接源_01水果!$B783)&lt;$L$2,N(对接源_01水果!$B783)&gt;$L$3),0,1))</f>
        <v>0</v>
      </c>
      <c r="M783" s="3">
        <f>IF(OR($M$1="",对接源_01水果!$C783="",对接源_01水果!$C783&lt;&gt;$M$1,对接源_01水果!$B783=""),0,IF(OR(N(对接源_01水果!$B783)&lt;$M$2,N(对接源_01水果!$B783)&gt;$M$3),0,1))</f>
        <v>0</v>
      </c>
      <c r="N783" s="3">
        <f>IF(OR($N$1="",对接源_01水果!$C783="",对接源_01水果!$C783&lt;&gt;$N$1,对接源_01水果!$B783=""),0,IF(OR(N(对接源_01水果!$B783)&lt;$N$2,N(对接源_01水果!$B783)&gt;$N$3),0,1))</f>
        <v>0</v>
      </c>
      <c r="P783" s="3">
        <f>IF(AND($K783=1,AND(对接源_01水果!$X783="公司筐",N(对接源_01水果!$T783)&lt;&gt;0)),1,0)</f>
        <v>0</v>
      </c>
      <c r="Q783" s="3">
        <f t="shared" si="215"/>
        <v>0</v>
      </c>
      <c r="R783" s="3">
        <f>IF(AND($K783=1,AND(对接源_01水果!$X783="公司筐",N(对接源_01水果!$U783)&lt;&gt;0)),1,0)</f>
        <v>0</v>
      </c>
      <c r="S783" s="3">
        <f t="shared" si="216"/>
        <v>0</v>
      </c>
      <c r="T783" s="3">
        <f>IF(AND($K783=1,AND(对接源_01水果!$X783="公司筐",N(对接源_01水果!$V783)&lt;&gt;0)),1,0)</f>
        <v>0</v>
      </c>
      <c r="U783" s="3">
        <f t="shared" si="217"/>
        <v>19</v>
      </c>
      <c r="V783" s="3">
        <f>IF(AND($L783=1,AND(对接源_01水果!$X783="自备筐",N(对接源_01水果!$V783)&lt;&gt;0)),1,0)</f>
        <v>0</v>
      </c>
      <c r="W783" s="3">
        <f t="shared" si="218"/>
        <v>8</v>
      </c>
      <c r="X783" s="3">
        <f>IF(AND($L783=1,AND(对接源_01水果!$X783="自备筐",N(对接源_01水果!$T783)&lt;&gt;0)),1,0)</f>
        <v>0</v>
      </c>
      <c r="Y783" s="3">
        <f t="shared" si="219"/>
        <v>0</v>
      </c>
      <c r="Z783" s="3">
        <f>IF(AND($M783=1,对接源_01水果!$D783="原料入库"),1,0)</f>
        <v>0</v>
      </c>
      <c r="AA783" s="3">
        <f t="shared" si="220"/>
        <v>24</v>
      </c>
      <c r="AB783" s="3">
        <f>IF(AND($M783=1,LEFT(对接源_01水果!$D783,4)="原料出库"),1,0)</f>
        <v>0</v>
      </c>
      <c r="AC783" s="3">
        <f t="shared" si="221"/>
        <v>0</v>
      </c>
      <c r="AD783" s="3">
        <f>IF(AND($M783=1,LEFT(对接源_01水果!$D783,4)="成品出库"),1,0)</f>
        <v>0</v>
      </c>
      <c r="AE783" s="3">
        <f t="shared" si="222"/>
        <v>0</v>
      </c>
      <c r="AF783" s="3">
        <f>IF(AND($N783=1,AND(LEFT(对接源_01水果!$D783,4)="包装物料",N(对接源_01水果!$K783)&lt;&gt;0)),1,0)</f>
        <v>0</v>
      </c>
      <c r="AG783" s="3">
        <f t="shared" si="223"/>
        <v>0</v>
      </c>
      <c r="AH783" s="3">
        <f>IF(AND($N783=1,AND(对接源_01水果!$D783="周转筐－销售出库",N(对接源_01水果!$K783)&lt;&gt;0)),1,0)</f>
        <v>0</v>
      </c>
      <c r="AI783" s="3">
        <f t="shared" si="224"/>
        <v>0</v>
      </c>
      <c r="AJ783" s="7"/>
      <c r="AL783" s="3">
        <f>IF(OR($AL$1="",对接源_01水果!$Y783="",对接源_01水果!$Y783&lt;&gt;$AL$1,对接源_01水果!$B783="",N(对接源_01水果!$AJ783)&lt;=0),0,IF(OR(N(对接源_01水果!$B783)&lt;$AL$2,N(对接源_01水果!$B783)&gt;$AL$3),0,1))</f>
        <v>0</v>
      </c>
      <c r="AM783" s="3">
        <f t="shared" si="225"/>
        <v>1</v>
      </c>
      <c r="AN783" s="3" t="str">
        <f>IF(对接源_01水果!$AC783="","",对接源_01水果!$AC783)</f>
        <v/>
      </c>
      <c r="AO783" s="3">
        <f t="shared" si="226"/>
        <v>0</v>
      </c>
      <c r="AP783" s="3">
        <f t="shared" si="227"/>
        <v>8</v>
      </c>
      <c r="AR783">
        <f t="shared" si="228"/>
        <v>0</v>
      </c>
      <c r="AS783">
        <f t="shared" si="229"/>
        <v>0</v>
      </c>
    </row>
    <row r="784" ht="14.25" customHeight="1" spans="1:45">
      <c r="A784" s="3" t="str">
        <f>IF(对接源_01水果!$C784="","",对接源_01水果!$C784)</f>
        <v/>
      </c>
      <c r="B784" s="3">
        <f t="shared" si="213"/>
        <v>0</v>
      </c>
      <c r="C784" s="3">
        <f t="shared" si="214"/>
        <v>18</v>
      </c>
      <c r="K784" s="3">
        <f>IF(OR($K$1="",对接源_01水果!$C784="",对接源_01水果!$C784&lt;&gt;$K$1,对接源_01水果!$B784=""),0,IF(OR(N(对接源_01水果!$B784)&lt;$K$2,N(对接源_01水果!$B784)&gt;$K$3),0,1))</f>
        <v>0</v>
      </c>
      <c r="L784" s="3">
        <f>IF(OR($L$1="",对接源_01水果!$C784="",对接源_01水果!$C784&lt;&gt;$L$1,对接源_01水果!$B784=""),0,IF(OR(N(对接源_01水果!$B784)&lt;$L$2,N(对接源_01水果!$B784)&gt;$L$3),0,1))</f>
        <v>0</v>
      </c>
      <c r="M784" s="3">
        <f>IF(OR($M$1="",对接源_01水果!$C784="",对接源_01水果!$C784&lt;&gt;$M$1,对接源_01水果!$B784=""),0,IF(OR(N(对接源_01水果!$B784)&lt;$M$2,N(对接源_01水果!$B784)&gt;$M$3),0,1))</f>
        <v>0</v>
      </c>
      <c r="N784" s="3">
        <f>IF(OR($N$1="",对接源_01水果!$C784="",对接源_01水果!$C784&lt;&gt;$N$1,对接源_01水果!$B784=""),0,IF(OR(N(对接源_01水果!$B784)&lt;$N$2,N(对接源_01水果!$B784)&gt;$N$3),0,1))</f>
        <v>0</v>
      </c>
      <c r="P784" s="3">
        <f>IF(AND($K784=1,AND(对接源_01水果!$X784="公司筐",N(对接源_01水果!$T784)&lt;&gt;0)),1,0)</f>
        <v>0</v>
      </c>
      <c r="Q784" s="3">
        <f t="shared" si="215"/>
        <v>0</v>
      </c>
      <c r="R784" s="3">
        <f>IF(AND($K784=1,AND(对接源_01水果!$X784="公司筐",N(对接源_01水果!$U784)&lt;&gt;0)),1,0)</f>
        <v>0</v>
      </c>
      <c r="S784" s="3">
        <f t="shared" si="216"/>
        <v>0</v>
      </c>
      <c r="T784" s="3">
        <f>IF(AND($K784=1,AND(对接源_01水果!$X784="公司筐",N(对接源_01水果!$V784)&lt;&gt;0)),1,0)</f>
        <v>0</v>
      </c>
      <c r="U784" s="3">
        <f t="shared" si="217"/>
        <v>19</v>
      </c>
      <c r="V784" s="3">
        <f>IF(AND($L784=1,AND(对接源_01水果!$X784="自备筐",N(对接源_01水果!$V784)&lt;&gt;0)),1,0)</f>
        <v>0</v>
      </c>
      <c r="W784" s="3">
        <f t="shared" si="218"/>
        <v>8</v>
      </c>
      <c r="X784" s="3">
        <f>IF(AND($L784=1,AND(对接源_01水果!$X784="自备筐",N(对接源_01水果!$T784)&lt;&gt;0)),1,0)</f>
        <v>0</v>
      </c>
      <c r="Y784" s="3">
        <f t="shared" si="219"/>
        <v>0</v>
      </c>
      <c r="Z784" s="3">
        <f>IF(AND($M784=1,对接源_01水果!$D784="原料入库"),1,0)</f>
        <v>0</v>
      </c>
      <c r="AA784" s="3">
        <f t="shared" si="220"/>
        <v>24</v>
      </c>
      <c r="AB784" s="3">
        <f>IF(AND($M784=1,LEFT(对接源_01水果!$D784,4)="原料出库"),1,0)</f>
        <v>0</v>
      </c>
      <c r="AC784" s="3">
        <f t="shared" si="221"/>
        <v>0</v>
      </c>
      <c r="AD784" s="3">
        <f>IF(AND($M784=1,LEFT(对接源_01水果!$D784,4)="成品出库"),1,0)</f>
        <v>0</v>
      </c>
      <c r="AE784" s="3">
        <f t="shared" si="222"/>
        <v>0</v>
      </c>
      <c r="AF784" s="3">
        <f>IF(AND($N784=1,AND(LEFT(对接源_01水果!$D784,4)="包装物料",N(对接源_01水果!$K784)&lt;&gt;0)),1,0)</f>
        <v>0</v>
      </c>
      <c r="AG784" s="3">
        <f t="shared" si="223"/>
        <v>0</v>
      </c>
      <c r="AH784" s="3">
        <f>IF(AND($N784=1,AND(对接源_01水果!$D784="周转筐－销售出库",N(对接源_01水果!$K784)&lt;&gt;0)),1,0)</f>
        <v>0</v>
      </c>
      <c r="AI784" s="3">
        <f t="shared" si="224"/>
        <v>0</v>
      </c>
      <c r="AJ784" s="7"/>
      <c r="AL784" s="3">
        <f>IF(OR($AL$1="",对接源_01水果!$Y784="",对接源_01水果!$Y784&lt;&gt;$AL$1,对接源_01水果!$B784="",N(对接源_01水果!$AJ784)&lt;=0),0,IF(OR(N(对接源_01水果!$B784)&lt;$AL$2,N(对接源_01水果!$B784)&gt;$AL$3),0,1))</f>
        <v>0</v>
      </c>
      <c r="AM784" s="3">
        <f t="shared" si="225"/>
        <v>1</v>
      </c>
      <c r="AN784" s="3" t="str">
        <f>IF(对接源_01水果!$AC784="","",对接源_01水果!$AC784)</f>
        <v/>
      </c>
      <c r="AO784" s="3">
        <f t="shared" si="226"/>
        <v>0</v>
      </c>
      <c r="AP784" s="3">
        <f t="shared" si="227"/>
        <v>8</v>
      </c>
      <c r="AR784">
        <f t="shared" si="228"/>
        <v>0</v>
      </c>
      <c r="AS784">
        <f t="shared" si="229"/>
        <v>0</v>
      </c>
    </row>
    <row r="785" ht="14.25" customHeight="1" spans="1:45">
      <c r="A785" s="3" t="str">
        <f>IF(对接源_01水果!$C785="","",对接源_01水果!$C785)</f>
        <v/>
      </c>
      <c r="B785" s="3">
        <f t="shared" si="213"/>
        <v>0</v>
      </c>
      <c r="C785" s="3">
        <f t="shared" si="214"/>
        <v>18</v>
      </c>
      <c r="K785" s="3">
        <f>IF(OR($K$1="",对接源_01水果!$C785="",对接源_01水果!$C785&lt;&gt;$K$1,对接源_01水果!$B785=""),0,IF(OR(N(对接源_01水果!$B785)&lt;$K$2,N(对接源_01水果!$B785)&gt;$K$3),0,1))</f>
        <v>0</v>
      </c>
      <c r="L785" s="3">
        <f>IF(OR($L$1="",对接源_01水果!$C785="",对接源_01水果!$C785&lt;&gt;$L$1,对接源_01水果!$B785=""),0,IF(OR(N(对接源_01水果!$B785)&lt;$L$2,N(对接源_01水果!$B785)&gt;$L$3),0,1))</f>
        <v>0</v>
      </c>
      <c r="M785" s="3">
        <f>IF(OR($M$1="",对接源_01水果!$C785="",对接源_01水果!$C785&lt;&gt;$M$1,对接源_01水果!$B785=""),0,IF(OR(N(对接源_01水果!$B785)&lt;$M$2,N(对接源_01水果!$B785)&gt;$M$3),0,1))</f>
        <v>0</v>
      </c>
      <c r="N785" s="3">
        <f>IF(OR($N$1="",对接源_01水果!$C785="",对接源_01水果!$C785&lt;&gt;$N$1,对接源_01水果!$B785=""),0,IF(OR(N(对接源_01水果!$B785)&lt;$N$2,N(对接源_01水果!$B785)&gt;$N$3),0,1))</f>
        <v>0</v>
      </c>
      <c r="P785" s="3">
        <f>IF(AND($K785=1,AND(对接源_01水果!$X785="公司筐",N(对接源_01水果!$T785)&lt;&gt;0)),1,0)</f>
        <v>0</v>
      </c>
      <c r="Q785" s="3">
        <f t="shared" si="215"/>
        <v>0</v>
      </c>
      <c r="R785" s="3">
        <f>IF(AND($K785=1,AND(对接源_01水果!$X785="公司筐",N(对接源_01水果!$U785)&lt;&gt;0)),1,0)</f>
        <v>0</v>
      </c>
      <c r="S785" s="3">
        <f t="shared" si="216"/>
        <v>0</v>
      </c>
      <c r="T785" s="3">
        <f>IF(AND($K785=1,AND(对接源_01水果!$X785="公司筐",N(对接源_01水果!$V785)&lt;&gt;0)),1,0)</f>
        <v>0</v>
      </c>
      <c r="U785" s="3">
        <f t="shared" si="217"/>
        <v>19</v>
      </c>
      <c r="V785" s="3">
        <f>IF(AND($L785=1,AND(对接源_01水果!$X785="自备筐",N(对接源_01水果!$V785)&lt;&gt;0)),1,0)</f>
        <v>0</v>
      </c>
      <c r="W785" s="3">
        <f t="shared" si="218"/>
        <v>8</v>
      </c>
      <c r="X785" s="3">
        <f>IF(AND($L785=1,AND(对接源_01水果!$X785="自备筐",N(对接源_01水果!$T785)&lt;&gt;0)),1,0)</f>
        <v>0</v>
      </c>
      <c r="Y785" s="3">
        <f t="shared" si="219"/>
        <v>0</v>
      </c>
      <c r="Z785" s="3">
        <f>IF(AND($M785=1,对接源_01水果!$D785="原料入库"),1,0)</f>
        <v>0</v>
      </c>
      <c r="AA785" s="3">
        <f t="shared" si="220"/>
        <v>24</v>
      </c>
      <c r="AB785" s="3">
        <f>IF(AND($M785=1,LEFT(对接源_01水果!$D785,4)="原料出库"),1,0)</f>
        <v>0</v>
      </c>
      <c r="AC785" s="3">
        <f t="shared" si="221"/>
        <v>0</v>
      </c>
      <c r="AD785" s="3">
        <f>IF(AND($M785=1,LEFT(对接源_01水果!$D785,4)="成品出库"),1,0)</f>
        <v>0</v>
      </c>
      <c r="AE785" s="3">
        <f t="shared" si="222"/>
        <v>0</v>
      </c>
      <c r="AF785" s="3">
        <f>IF(AND($N785=1,AND(LEFT(对接源_01水果!$D785,4)="包装物料",N(对接源_01水果!$K785)&lt;&gt;0)),1,0)</f>
        <v>0</v>
      </c>
      <c r="AG785" s="3">
        <f t="shared" si="223"/>
        <v>0</v>
      </c>
      <c r="AH785" s="3">
        <f>IF(AND($N785=1,AND(对接源_01水果!$D785="周转筐－销售出库",N(对接源_01水果!$K785)&lt;&gt;0)),1,0)</f>
        <v>0</v>
      </c>
      <c r="AI785" s="3">
        <f t="shared" si="224"/>
        <v>0</v>
      </c>
      <c r="AJ785" s="7"/>
      <c r="AL785" s="3">
        <f>IF(OR($AL$1="",对接源_01水果!$Y785="",对接源_01水果!$Y785&lt;&gt;$AL$1,对接源_01水果!$B785="",N(对接源_01水果!$AJ785)&lt;=0),0,IF(OR(N(对接源_01水果!$B785)&lt;$AL$2,N(对接源_01水果!$B785)&gt;$AL$3),0,1))</f>
        <v>0</v>
      </c>
      <c r="AM785" s="3">
        <f t="shared" si="225"/>
        <v>1</v>
      </c>
      <c r="AN785" s="3" t="str">
        <f>IF(对接源_01水果!$AC785="","",对接源_01水果!$AC785)</f>
        <v/>
      </c>
      <c r="AO785" s="3">
        <f t="shared" si="226"/>
        <v>0</v>
      </c>
      <c r="AP785" s="3">
        <f t="shared" si="227"/>
        <v>8</v>
      </c>
      <c r="AR785">
        <f t="shared" si="228"/>
        <v>0</v>
      </c>
      <c r="AS785">
        <f t="shared" si="229"/>
        <v>0</v>
      </c>
    </row>
    <row r="786" ht="14.25" customHeight="1" spans="1:45">
      <c r="A786" s="3" t="str">
        <f>IF(对接源_01水果!$C786="","",对接源_01水果!$C786)</f>
        <v/>
      </c>
      <c r="B786" s="3">
        <f t="shared" si="213"/>
        <v>0</v>
      </c>
      <c r="C786" s="3">
        <f t="shared" si="214"/>
        <v>18</v>
      </c>
      <c r="K786" s="3">
        <f>IF(OR($K$1="",对接源_01水果!$C786="",对接源_01水果!$C786&lt;&gt;$K$1,对接源_01水果!$B786=""),0,IF(OR(N(对接源_01水果!$B786)&lt;$K$2,N(对接源_01水果!$B786)&gt;$K$3),0,1))</f>
        <v>0</v>
      </c>
      <c r="L786" s="3">
        <f>IF(OR($L$1="",对接源_01水果!$C786="",对接源_01水果!$C786&lt;&gt;$L$1,对接源_01水果!$B786=""),0,IF(OR(N(对接源_01水果!$B786)&lt;$L$2,N(对接源_01水果!$B786)&gt;$L$3),0,1))</f>
        <v>0</v>
      </c>
      <c r="M786" s="3">
        <f>IF(OR($M$1="",对接源_01水果!$C786="",对接源_01水果!$C786&lt;&gt;$M$1,对接源_01水果!$B786=""),0,IF(OR(N(对接源_01水果!$B786)&lt;$M$2,N(对接源_01水果!$B786)&gt;$M$3),0,1))</f>
        <v>0</v>
      </c>
      <c r="N786" s="3">
        <f>IF(OR($N$1="",对接源_01水果!$C786="",对接源_01水果!$C786&lt;&gt;$N$1,对接源_01水果!$B786=""),0,IF(OR(N(对接源_01水果!$B786)&lt;$N$2,N(对接源_01水果!$B786)&gt;$N$3),0,1))</f>
        <v>0</v>
      </c>
      <c r="P786" s="3">
        <f>IF(AND($K786=1,AND(对接源_01水果!$X786="公司筐",N(对接源_01水果!$T786)&lt;&gt;0)),1,0)</f>
        <v>0</v>
      </c>
      <c r="Q786" s="3">
        <f t="shared" si="215"/>
        <v>0</v>
      </c>
      <c r="R786" s="3">
        <f>IF(AND($K786=1,AND(对接源_01水果!$X786="公司筐",N(对接源_01水果!$U786)&lt;&gt;0)),1,0)</f>
        <v>0</v>
      </c>
      <c r="S786" s="3">
        <f t="shared" si="216"/>
        <v>0</v>
      </c>
      <c r="T786" s="3">
        <f>IF(AND($K786=1,AND(对接源_01水果!$X786="公司筐",N(对接源_01水果!$V786)&lt;&gt;0)),1,0)</f>
        <v>0</v>
      </c>
      <c r="U786" s="3">
        <f t="shared" si="217"/>
        <v>19</v>
      </c>
      <c r="V786" s="3">
        <f>IF(AND($L786=1,AND(对接源_01水果!$X786="自备筐",N(对接源_01水果!$V786)&lt;&gt;0)),1,0)</f>
        <v>0</v>
      </c>
      <c r="W786" s="3">
        <f t="shared" si="218"/>
        <v>8</v>
      </c>
      <c r="X786" s="3">
        <f>IF(AND($L786=1,AND(对接源_01水果!$X786="自备筐",N(对接源_01水果!$T786)&lt;&gt;0)),1,0)</f>
        <v>0</v>
      </c>
      <c r="Y786" s="3">
        <f t="shared" si="219"/>
        <v>0</v>
      </c>
      <c r="Z786" s="3">
        <f>IF(AND($M786=1,对接源_01水果!$D786="原料入库"),1,0)</f>
        <v>0</v>
      </c>
      <c r="AA786" s="3">
        <f t="shared" si="220"/>
        <v>24</v>
      </c>
      <c r="AB786" s="3">
        <f>IF(AND($M786=1,LEFT(对接源_01水果!$D786,4)="原料出库"),1,0)</f>
        <v>0</v>
      </c>
      <c r="AC786" s="3">
        <f t="shared" si="221"/>
        <v>0</v>
      </c>
      <c r="AD786" s="3">
        <f>IF(AND($M786=1,LEFT(对接源_01水果!$D786,4)="成品出库"),1,0)</f>
        <v>0</v>
      </c>
      <c r="AE786" s="3">
        <f t="shared" si="222"/>
        <v>0</v>
      </c>
      <c r="AF786" s="3">
        <f>IF(AND($N786=1,AND(LEFT(对接源_01水果!$D786,4)="包装物料",N(对接源_01水果!$K786)&lt;&gt;0)),1,0)</f>
        <v>0</v>
      </c>
      <c r="AG786" s="3">
        <f t="shared" si="223"/>
        <v>0</v>
      </c>
      <c r="AH786" s="3">
        <f>IF(AND($N786=1,AND(对接源_01水果!$D786="周转筐－销售出库",N(对接源_01水果!$K786)&lt;&gt;0)),1,0)</f>
        <v>0</v>
      </c>
      <c r="AI786" s="3">
        <f t="shared" si="224"/>
        <v>0</v>
      </c>
      <c r="AJ786" s="7"/>
      <c r="AL786" s="3">
        <f>IF(OR($AL$1="",对接源_01水果!$Y786="",对接源_01水果!$Y786&lt;&gt;$AL$1,对接源_01水果!$B786="",N(对接源_01水果!$AJ786)&lt;=0),0,IF(OR(N(对接源_01水果!$B786)&lt;$AL$2,N(对接源_01水果!$B786)&gt;$AL$3),0,1))</f>
        <v>0</v>
      </c>
      <c r="AM786" s="3">
        <f t="shared" si="225"/>
        <v>1</v>
      </c>
      <c r="AN786" s="3" t="str">
        <f>IF(对接源_01水果!$AC786="","",对接源_01水果!$AC786)</f>
        <v/>
      </c>
      <c r="AO786" s="3">
        <f t="shared" si="226"/>
        <v>0</v>
      </c>
      <c r="AP786" s="3">
        <f t="shared" si="227"/>
        <v>8</v>
      </c>
      <c r="AR786">
        <f t="shared" si="228"/>
        <v>0</v>
      </c>
      <c r="AS786">
        <f t="shared" si="229"/>
        <v>0</v>
      </c>
    </row>
    <row r="787" ht="14.25" customHeight="1" spans="1:45">
      <c r="A787" s="3" t="str">
        <f>IF(对接源_01水果!$C787="","",对接源_01水果!$C787)</f>
        <v/>
      </c>
      <c r="B787" s="3">
        <f t="shared" si="213"/>
        <v>0</v>
      </c>
      <c r="C787" s="3">
        <f t="shared" si="214"/>
        <v>18</v>
      </c>
      <c r="K787" s="3">
        <f>IF(OR($K$1="",对接源_01水果!$C787="",对接源_01水果!$C787&lt;&gt;$K$1,对接源_01水果!$B787=""),0,IF(OR(N(对接源_01水果!$B787)&lt;$K$2,N(对接源_01水果!$B787)&gt;$K$3),0,1))</f>
        <v>0</v>
      </c>
      <c r="L787" s="3">
        <f>IF(OR($L$1="",对接源_01水果!$C787="",对接源_01水果!$C787&lt;&gt;$L$1,对接源_01水果!$B787=""),0,IF(OR(N(对接源_01水果!$B787)&lt;$L$2,N(对接源_01水果!$B787)&gt;$L$3),0,1))</f>
        <v>0</v>
      </c>
      <c r="M787" s="3">
        <f>IF(OR($M$1="",对接源_01水果!$C787="",对接源_01水果!$C787&lt;&gt;$M$1,对接源_01水果!$B787=""),0,IF(OR(N(对接源_01水果!$B787)&lt;$M$2,N(对接源_01水果!$B787)&gt;$M$3),0,1))</f>
        <v>0</v>
      </c>
      <c r="N787" s="3">
        <f>IF(OR($N$1="",对接源_01水果!$C787="",对接源_01水果!$C787&lt;&gt;$N$1,对接源_01水果!$B787=""),0,IF(OR(N(对接源_01水果!$B787)&lt;$N$2,N(对接源_01水果!$B787)&gt;$N$3),0,1))</f>
        <v>0</v>
      </c>
      <c r="P787" s="3">
        <f>IF(AND($K787=1,AND(对接源_01水果!$X787="公司筐",N(对接源_01水果!$T787)&lt;&gt;0)),1,0)</f>
        <v>0</v>
      </c>
      <c r="Q787" s="3">
        <f t="shared" si="215"/>
        <v>0</v>
      </c>
      <c r="R787" s="3">
        <f>IF(AND($K787=1,AND(对接源_01水果!$X787="公司筐",N(对接源_01水果!$U787)&lt;&gt;0)),1,0)</f>
        <v>0</v>
      </c>
      <c r="S787" s="3">
        <f t="shared" si="216"/>
        <v>0</v>
      </c>
      <c r="T787" s="3">
        <f>IF(AND($K787=1,AND(对接源_01水果!$X787="公司筐",N(对接源_01水果!$V787)&lt;&gt;0)),1,0)</f>
        <v>0</v>
      </c>
      <c r="U787" s="3">
        <f t="shared" si="217"/>
        <v>19</v>
      </c>
      <c r="V787" s="3">
        <f>IF(AND($L787=1,AND(对接源_01水果!$X787="自备筐",N(对接源_01水果!$V787)&lt;&gt;0)),1,0)</f>
        <v>0</v>
      </c>
      <c r="W787" s="3">
        <f t="shared" si="218"/>
        <v>8</v>
      </c>
      <c r="X787" s="3">
        <f>IF(AND($L787=1,AND(对接源_01水果!$X787="自备筐",N(对接源_01水果!$T787)&lt;&gt;0)),1,0)</f>
        <v>0</v>
      </c>
      <c r="Y787" s="3">
        <f t="shared" si="219"/>
        <v>0</v>
      </c>
      <c r="Z787" s="3">
        <f>IF(AND($M787=1,对接源_01水果!$D787="原料入库"),1,0)</f>
        <v>0</v>
      </c>
      <c r="AA787" s="3">
        <f t="shared" si="220"/>
        <v>24</v>
      </c>
      <c r="AB787" s="3">
        <f>IF(AND($M787=1,LEFT(对接源_01水果!$D787,4)="原料出库"),1,0)</f>
        <v>0</v>
      </c>
      <c r="AC787" s="3">
        <f t="shared" si="221"/>
        <v>0</v>
      </c>
      <c r="AD787" s="3">
        <f>IF(AND($M787=1,LEFT(对接源_01水果!$D787,4)="成品出库"),1,0)</f>
        <v>0</v>
      </c>
      <c r="AE787" s="3">
        <f t="shared" si="222"/>
        <v>0</v>
      </c>
      <c r="AF787" s="3">
        <f>IF(AND($N787=1,AND(LEFT(对接源_01水果!$D787,4)="包装物料",N(对接源_01水果!$K787)&lt;&gt;0)),1,0)</f>
        <v>0</v>
      </c>
      <c r="AG787" s="3">
        <f t="shared" si="223"/>
        <v>0</v>
      </c>
      <c r="AH787" s="3">
        <f>IF(AND($N787=1,AND(对接源_01水果!$D787="周转筐－销售出库",N(对接源_01水果!$K787)&lt;&gt;0)),1,0)</f>
        <v>0</v>
      </c>
      <c r="AI787" s="3">
        <f t="shared" si="224"/>
        <v>0</v>
      </c>
      <c r="AJ787" s="7"/>
      <c r="AL787" s="3">
        <f>IF(OR($AL$1="",对接源_01水果!$Y787="",对接源_01水果!$Y787&lt;&gt;$AL$1,对接源_01水果!$B787="",N(对接源_01水果!$AJ787)&lt;=0),0,IF(OR(N(对接源_01水果!$B787)&lt;$AL$2,N(对接源_01水果!$B787)&gt;$AL$3),0,1))</f>
        <v>0</v>
      </c>
      <c r="AM787" s="3">
        <f t="shared" si="225"/>
        <v>1</v>
      </c>
      <c r="AN787" s="3" t="str">
        <f>IF(对接源_01水果!$AC787="","",对接源_01水果!$AC787)</f>
        <v/>
      </c>
      <c r="AO787" s="3">
        <f t="shared" si="226"/>
        <v>0</v>
      </c>
      <c r="AP787" s="3">
        <f t="shared" si="227"/>
        <v>8</v>
      </c>
      <c r="AR787">
        <f t="shared" si="228"/>
        <v>0</v>
      </c>
      <c r="AS787">
        <f t="shared" si="229"/>
        <v>0</v>
      </c>
    </row>
    <row r="788" ht="14.25" customHeight="1" spans="1:45">
      <c r="A788" s="3" t="str">
        <f>IF(对接源_01水果!$C788="","",对接源_01水果!$C788)</f>
        <v/>
      </c>
      <c r="B788" s="3">
        <f t="shared" si="213"/>
        <v>0</v>
      </c>
      <c r="C788" s="3">
        <f t="shared" si="214"/>
        <v>18</v>
      </c>
      <c r="K788" s="3">
        <f>IF(OR($K$1="",对接源_01水果!$C788="",对接源_01水果!$C788&lt;&gt;$K$1,对接源_01水果!$B788=""),0,IF(OR(N(对接源_01水果!$B788)&lt;$K$2,N(对接源_01水果!$B788)&gt;$K$3),0,1))</f>
        <v>0</v>
      </c>
      <c r="L788" s="3">
        <f>IF(OR($L$1="",对接源_01水果!$C788="",对接源_01水果!$C788&lt;&gt;$L$1,对接源_01水果!$B788=""),0,IF(OR(N(对接源_01水果!$B788)&lt;$L$2,N(对接源_01水果!$B788)&gt;$L$3),0,1))</f>
        <v>0</v>
      </c>
      <c r="M788" s="3">
        <f>IF(OR($M$1="",对接源_01水果!$C788="",对接源_01水果!$C788&lt;&gt;$M$1,对接源_01水果!$B788=""),0,IF(OR(N(对接源_01水果!$B788)&lt;$M$2,N(对接源_01水果!$B788)&gt;$M$3),0,1))</f>
        <v>0</v>
      </c>
      <c r="N788" s="3">
        <f>IF(OR($N$1="",对接源_01水果!$C788="",对接源_01水果!$C788&lt;&gt;$N$1,对接源_01水果!$B788=""),0,IF(OR(N(对接源_01水果!$B788)&lt;$N$2,N(对接源_01水果!$B788)&gt;$N$3),0,1))</f>
        <v>0</v>
      </c>
      <c r="P788" s="3">
        <f>IF(AND($K788=1,AND(对接源_01水果!$X788="公司筐",N(对接源_01水果!$T788)&lt;&gt;0)),1,0)</f>
        <v>0</v>
      </c>
      <c r="Q788" s="3">
        <f t="shared" si="215"/>
        <v>0</v>
      </c>
      <c r="R788" s="3">
        <f>IF(AND($K788=1,AND(对接源_01水果!$X788="公司筐",N(对接源_01水果!$U788)&lt;&gt;0)),1,0)</f>
        <v>0</v>
      </c>
      <c r="S788" s="3">
        <f t="shared" si="216"/>
        <v>0</v>
      </c>
      <c r="T788" s="3">
        <f>IF(AND($K788=1,AND(对接源_01水果!$X788="公司筐",N(对接源_01水果!$V788)&lt;&gt;0)),1,0)</f>
        <v>0</v>
      </c>
      <c r="U788" s="3">
        <f t="shared" si="217"/>
        <v>19</v>
      </c>
      <c r="V788" s="3">
        <f>IF(AND($L788=1,AND(对接源_01水果!$X788="自备筐",N(对接源_01水果!$V788)&lt;&gt;0)),1,0)</f>
        <v>0</v>
      </c>
      <c r="W788" s="3">
        <f t="shared" si="218"/>
        <v>8</v>
      </c>
      <c r="X788" s="3">
        <f>IF(AND($L788=1,AND(对接源_01水果!$X788="自备筐",N(对接源_01水果!$T788)&lt;&gt;0)),1,0)</f>
        <v>0</v>
      </c>
      <c r="Y788" s="3">
        <f t="shared" si="219"/>
        <v>0</v>
      </c>
      <c r="Z788" s="3">
        <f>IF(AND($M788=1,对接源_01水果!$D788="原料入库"),1,0)</f>
        <v>0</v>
      </c>
      <c r="AA788" s="3">
        <f t="shared" si="220"/>
        <v>24</v>
      </c>
      <c r="AB788" s="3">
        <f>IF(AND($M788=1,LEFT(对接源_01水果!$D788,4)="原料出库"),1,0)</f>
        <v>0</v>
      </c>
      <c r="AC788" s="3">
        <f t="shared" si="221"/>
        <v>0</v>
      </c>
      <c r="AD788" s="3">
        <f>IF(AND($M788=1,LEFT(对接源_01水果!$D788,4)="成品出库"),1,0)</f>
        <v>0</v>
      </c>
      <c r="AE788" s="3">
        <f t="shared" si="222"/>
        <v>0</v>
      </c>
      <c r="AF788" s="3">
        <f>IF(AND($N788=1,AND(LEFT(对接源_01水果!$D788,4)="包装物料",N(对接源_01水果!$K788)&lt;&gt;0)),1,0)</f>
        <v>0</v>
      </c>
      <c r="AG788" s="3">
        <f t="shared" si="223"/>
        <v>0</v>
      </c>
      <c r="AH788" s="3">
        <f>IF(AND($N788=1,AND(对接源_01水果!$D788="周转筐－销售出库",N(对接源_01水果!$K788)&lt;&gt;0)),1,0)</f>
        <v>0</v>
      </c>
      <c r="AI788" s="3">
        <f t="shared" si="224"/>
        <v>0</v>
      </c>
      <c r="AJ788" s="7"/>
      <c r="AL788" s="3">
        <f>IF(OR($AL$1="",对接源_01水果!$Y788="",对接源_01水果!$Y788&lt;&gt;$AL$1,对接源_01水果!$B788="",N(对接源_01水果!$AJ788)&lt;=0),0,IF(OR(N(对接源_01水果!$B788)&lt;$AL$2,N(对接源_01水果!$B788)&gt;$AL$3),0,1))</f>
        <v>0</v>
      </c>
      <c r="AM788" s="3">
        <f t="shared" si="225"/>
        <v>1</v>
      </c>
      <c r="AN788" s="3" t="str">
        <f>IF(对接源_01水果!$AC788="","",对接源_01水果!$AC788)</f>
        <v/>
      </c>
      <c r="AO788" s="3">
        <f t="shared" si="226"/>
        <v>0</v>
      </c>
      <c r="AP788" s="3">
        <f t="shared" si="227"/>
        <v>8</v>
      </c>
      <c r="AR788">
        <f t="shared" si="228"/>
        <v>0</v>
      </c>
      <c r="AS788">
        <f t="shared" si="229"/>
        <v>0</v>
      </c>
    </row>
    <row r="789" ht="14.25" customHeight="1" spans="1:45">
      <c r="A789" s="3" t="str">
        <f>IF(对接源_01水果!$C789="","",对接源_01水果!$C789)</f>
        <v/>
      </c>
      <c r="B789" s="3">
        <f t="shared" si="213"/>
        <v>0</v>
      </c>
      <c r="C789" s="3">
        <f t="shared" si="214"/>
        <v>18</v>
      </c>
      <c r="K789" s="3">
        <f>IF(OR($K$1="",对接源_01水果!$C789="",对接源_01水果!$C789&lt;&gt;$K$1,对接源_01水果!$B789=""),0,IF(OR(N(对接源_01水果!$B789)&lt;$K$2,N(对接源_01水果!$B789)&gt;$K$3),0,1))</f>
        <v>0</v>
      </c>
      <c r="L789" s="3">
        <f>IF(OR($L$1="",对接源_01水果!$C789="",对接源_01水果!$C789&lt;&gt;$L$1,对接源_01水果!$B789=""),0,IF(OR(N(对接源_01水果!$B789)&lt;$L$2,N(对接源_01水果!$B789)&gt;$L$3),0,1))</f>
        <v>0</v>
      </c>
      <c r="M789" s="3">
        <f>IF(OR($M$1="",对接源_01水果!$C789="",对接源_01水果!$C789&lt;&gt;$M$1,对接源_01水果!$B789=""),0,IF(OR(N(对接源_01水果!$B789)&lt;$M$2,N(对接源_01水果!$B789)&gt;$M$3),0,1))</f>
        <v>0</v>
      </c>
      <c r="N789" s="3">
        <f>IF(OR($N$1="",对接源_01水果!$C789="",对接源_01水果!$C789&lt;&gt;$N$1,对接源_01水果!$B789=""),0,IF(OR(N(对接源_01水果!$B789)&lt;$N$2,N(对接源_01水果!$B789)&gt;$N$3),0,1))</f>
        <v>0</v>
      </c>
      <c r="P789" s="3">
        <f>IF(AND($K789=1,AND(对接源_01水果!$X789="公司筐",N(对接源_01水果!$T789)&lt;&gt;0)),1,0)</f>
        <v>0</v>
      </c>
      <c r="Q789" s="3">
        <f t="shared" si="215"/>
        <v>0</v>
      </c>
      <c r="R789" s="3">
        <f>IF(AND($K789=1,AND(对接源_01水果!$X789="公司筐",N(对接源_01水果!$U789)&lt;&gt;0)),1,0)</f>
        <v>0</v>
      </c>
      <c r="S789" s="3">
        <f t="shared" si="216"/>
        <v>0</v>
      </c>
      <c r="T789" s="3">
        <f>IF(AND($K789=1,AND(对接源_01水果!$X789="公司筐",N(对接源_01水果!$V789)&lt;&gt;0)),1,0)</f>
        <v>0</v>
      </c>
      <c r="U789" s="3">
        <f t="shared" si="217"/>
        <v>19</v>
      </c>
      <c r="V789" s="3">
        <f>IF(AND($L789=1,AND(对接源_01水果!$X789="自备筐",N(对接源_01水果!$V789)&lt;&gt;0)),1,0)</f>
        <v>0</v>
      </c>
      <c r="W789" s="3">
        <f t="shared" si="218"/>
        <v>8</v>
      </c>
      <c r="X789" s="3">
        <f>IF(AND($L789=1,AND(对接源_01水果!$X789="自备筐",N(对接源_01水果!$T789)&lt;&gt;0)),1,0)</f>
        <v>0</v>
      </c>
      <c r="Y789" s="3">
        <f t="shared" si="219"/>
        <v>0</v>
      </c>
      <c r="Z789" s="3">
        <f>IF(AND($M789=1,对接源_01水果!$D789="原料入库"),1,0)</f>
        <v>0</v>
      </c>
      <c r="AA789" s="3">
        <f t="shared" si="220"/>
        <v>24</v>
      </c>
      <c r="AB789" s="3">
        <f>IF(AND($M789=1,LEFT(对接源_01水果!$D789,4)="原料出库"),1,0)</f>
        <v>0</v>
      </c>
      <c r="AC789" s="3">
        <f t="shared" si="221"/>
        <v>0</v>
      </c>
      <c r="AD789" s="3">
        <f>IF(AND($M789=1,LEFT(对接源_01水果!$D789,4)="成品出库"),1,0)</f>
        <v>0</v>
      </c>
      <c r="AE789" s="3">
        <f t="shared" si="222"/>
        <v>0</v>
      </c>
      <c r="AF789" s="3">
        <f>IF(AND($N789=1,AND(LEFT(对接源_01水果!$D789,4)="包装物料",N(对接源_01水果!$K789)&lt;&gt;0)),1,0)</f>
        <v>0</v>
      </c>
      <c r="AG789" s="3">
        <f t="shared" si="223"/>
        <v>0</v>
      </c>
      <c r="AH789" s="3">
        <f>IF(AND($N789=1,AND(对接源_01水果!$D789="周转筐－销售出库",N(对接源_01水果!$K789)&lt;&gt;0)),1,0)</f>
        <v>0</v>
      </c>
      <c r="AI789" s="3">
        <f t="shared" si="224"/>
        <v>0</v>
      </c>
      <c r="AJ789" s="7"/>
      <c r="AL789" s="3">
        <f>IF(OR($AL$1="",对接源_01水果!$Y789="",对接源_01水果!$Y789&lt;&gt;$AL$1,对接源_01水果!$B789="",N(对接源_01水果!$AJ789)&lt;=0),0,IF(OR(N(对接源_01水果!$B789)&lt;$AL$2,N(对接源_01水果!$B789)&gt;$AL$3),0,1))</f>
        <v>0</v>
      </c>
      <c r="AM789" s="3">
        <f t="shared" si="225"/>
        <v>1</v>
      </c>
      <c r="AN789" s="3" t="str">
        <f>IF(对接源_01水果!$AC789="","",对接源_01水果!$AC789)</f>
        <v/>
      </c>
      <c r="AO789" s="3">
        <f t="shared" si="226"/>
        <v>0</v>
      </c>
      <c r="AP789" s="3">
        <f t="shared" si="227"/>
        <v>8</v>
      </c>
      <c r="AR789">
        <f t="shared" si="228"/>
        <v>0</v>
      </c>
      <c r="AS789">
        <f t="shared" si="229"/>
        <v>0</v>
      </c>
    </row>
    <row r="790" ht="14.25" customHeight="1" spans="1:45">
      <c r="A790" s="3" t="str">
        <f>IF(对接源_01水果!$C790="","",对接源_01水果!$C790)</f>
        <v/>
      </c>
      <c r="B790" s="3">
        <f t="shared" si="213"/>
        <v>0</v>
      </c>
      <c r="C790" s="3">
        <f t="shared" si="214"/>
        <v>18</v>
      </c>
      <c r="K790" s="3">
        <f>IF(OR($K$1="",对接源_01水果!$C790="",对接源_01水果!$C790&lt;&gt;$K$1,对接源_01水果!$B790=""),0,IF(OR(N(对接源_01水果!$B790)&lt;$K$2,N(对接源_01水果!$B790)&gt;$K$3),0,1))</f>
        <v>0</v>
      </c>
      <c r="L790" s="3">
        <f>IF(OR($L$1="",对接源_01水果!$C790="",对接源_01水果!$C790&lt;&gt;$L$1,对接源_01水果!$B790=""),0,IF(OR(N(对接源_01水果!$B790)&lt;$L$2,N(对接源_01水果!$B790)&gt;$L$3),0,1))</f>
        <v>0</v>
      </c>
      <c r="M790" s="3">
        <f>IF(OR($M$1="",对接源_01水果!$C790="",对接源_01水果!$C790&lt;&gt;$M$1,对接源_01水果!$B790=""),0,IF(OR(N(对接源_01水果!$B790)&lt;$M$2,N(对接源_01水果!$B790)&gt;$M$3),0,1))</f>
        <v>0</v>
      </c>
      <c r="N790" s="3">
        <f>IF(OR($N$1="",对接源_01水果!$C790="",对接源_01水果!$C790&lt;&gt;$N$1,对接源_01水果!$B790=""),0,IF(OR(N(对接源_01水果!$B790)&lt;$N$2,N(对接源_01水果!$B790)&gt;$N$3),0,1))</f>
        <v>0</v>
      </c>
      <c r="P790" s="3">
        <f>IF(AND($K790=1,AND(对接源_01水果!$X790="公司筐",N(对接源_01水果!$T790)&lt;&gt;0)),1,0)</f>
        <v>0</v>
      </c>
      <c r="Q790" s="3">
        <f t="shared" si="215"/>
        <v>0</v>
      </c>
      <c r="R790" s="3">
        <f>IF(AND($K790=1,AND(对接源_01水果!$X790="公司筐",N(对接源_01水果!$U790)&lt;&gt;0)),1,0)</f>
        <v>0</v>
      </c>
      <c r="S790" s="3">
        <f t="shared" si="216"/>
        <v>0</v>
      </c>
      <c r="T790" s="3">
        <f>IF(AND($K790=1,AND(对接源_01水果!$X790="公司筐",N(对接源_01水果!$V790)&lt;&gt;0)),1,0)</f>
        <v>0</v>
      </c>
      <c r="U790" s="3">
        <f t="shared" si="217"/>
        <v>19</v>
      </c>
      <c r="V790" s="3">
        <f>IF(AND($L790=1,AND(对接源_01水果!$X790="自备筐",N(对接源_01水果!$V790)&lt;&gt;0)),1,0)</f>
        <v>0</v>
      </c>
      <c r="W790" s="3">
        <f t="shared" si="218"/>
        <v>8</v>
      </c>
      <c r="X790" s="3">
        <f>IF(AND($L790=1,AND(对接源_01水果!$X790="自备筐",N(对接源_01水果!$T790)&lt;&gt;0)),1,0)</f>
        <v>0</v>
      </c>
      <c r="Y790" s="3">
        <f t="shared" si="219"/>
        <v>0</v>
      </c>
      <c r="Z790" s="3">
        <f>IF(AND($M790=1,对接源_01水果!$D790="原料入库"),1,0)</f>
        <v>0</v>
      </c>
      <c r="AA790" s="3">
        <f t="shared" si="220"/>
        <v>24</v>
      </c>
      <c r="AB790" s="3">
        <f>IF(AND($M790=1,LEFT(对接源_01水果!$D790,4)="原料出库"),1,0)</f>
        <v>0</v>
      </c>
      <c r="AC790" s="3">
        <f t="shared" si="221"/>
        <v>0</v>
      </c>
      <c r="AD790" s="3">
        <f>IF(AND($M790=1,LEFT(对接源_01水果!$D790,4)="成品出库"),1,0)</f>
        <v>0</v>
      </c>
      <c r="AE790" s="3">
        <f t="shared" si="222"/>
        <v>0</v>
      </c>
      <c r="AF790" s="3">
        <f>IF(AND($N790=1,AND(LEFT(对接源_01水果!$D790,4)="包装物料",N(对接源_01水果!$K790)&lt;&gt;0)),1,0)</f>
        <v>0</v>
      </c>
      <c r="AG790" s="3">
        <f t="shared" si="223"/>
        <v>0</v>
      </c>
      <c r="AH790" s="3">
        <f>IF(AND($N790=1,AND(对接源_01水果!$D790="周转筐－销售出库",N(对接源_01水果!$K790)&lt;&gt;0)),1,0)</f>
        <v>0</v>
      </c>
      <c r="AI790" s="3">
        <f t="shared" si="224"/>
        <v>0</v>
      </c>
      <c r="AJ790" s="7"/>
      <c r="AL790" s="3">
        <f>IF(OR($AL$1="",对接源_01水果!$Y790="",对接源_01水果!$Y790&lt;&gt;$AL$1,对接源_01水果!$B790="",N(对接源_01水果!$AJ790)&lt;=0),0,IF(OR(N(对接源_01水果!$B790)&lt;$AL$2,N(对接源_01水果!$B790)&gt;$AL$3),0,1))</f>
        <v>0</v>
      </c>
      <c r="AM790" s="3">
        <f t="shared" si="225"/>
        <v>1</v>
      </c>
      <c r="AN790" s="3" t="str">
        <f>IF(对接源_01水果!$AC790="","",对接源_01水果!$AC790)</f>
        <v/>
      </c>
      <c r="AO790" s="3">
        <f t="shared" si="226"/>
        <v>0</v>
      </c>
      <c r="AP790" s="3">
        <f t="shared" si="227"/>
        <v>8</v>
      </c>
      <c r="AR790">
        <f t="shared" si="228"/>
        <v>0</v>
      </c>
      <c r="AS790">
        <f t="shared" si="229"/>
        <v>0</v>
      </c>
    </row>
    <row r="791" ht="14.25" customHeight="1" spans="1:45">
      <c r="A791" s="3" t="str">
        <f>IF(对接源_01水果!$C791="","",对接源_01水果!$C791)</f>
        <v/>
      </c>
      <c r="B791" s="3">
        <f t="shared" si="213"/>
        <v>0</v>
      </c>
      <c r="C791" s="3">
        <f t="shared" si="214"/>
        <v>18</v>
      </c>
      <c r="K791" s="3">
        <f>IF(OR($K$1="",对接源_01水果!$C791="",对接源_01水果!$C791&lt;&gt;$K$1,对接源_01水果!$B791=""),0,IF(OR(N(对接源_01水果!$B791)&lt;$K$2,N(对接源_01水果!$B791)&gt;$K$3),0,1))</f>
        <v>0</v>
      </c>
      <c r="L791" s="3">
        <f>IF(OR($L$1="",对接源_01水果!$C791="",对接源_01水果!$C791&lt;&gt;$L$1,对接源_01水果!$B791=""),0,IF(OR(N(对接源_01水果!$B791)&lt;$L$2,N(对接源_01水果!$B791)&gt;$L$3),0,1))</f>
        <v>0</v>
      </c>
      <c r="M791" s="3">
        <f>IF(OR($M$1="",对接源_01水果!$C791="",对接源_01水果!$C791&lt;&gt;$M$1,对接源_01水果!$B791=""),0,IF(OR(N(对接源_01水果!$B791)&lt;$M$2,N(对接源_01水果!$B791)&gt;$M$3),0,1))</f>
        <v>0</v>
      </c>
      <c r="N791" s="3">
        <f>IF(OR($N$1="",对接源_01水果!$C791="",对接源_01水果!$C791&lt;&gt;$N$1,对接源_01水果!$B791=""),0,IF(OR(N(对接源_01水果!$B791)&lt;$N$2,N(对接源_01水果!$B791)&gt;$N$3),0,1))</f>
        <v>0</v>
      </c>
      <c r="P791" s="3">
        <f>IF(AND($K791=1,AND(对接源_01水果!$X791="公司筐",N(对接源_01水果!$T791)&lt;&gt;0)),1,0)</f>
        <v>0</v>
      </c>
      <c r="Q791" s="3">
        <f t="shared" si="215"/>
        <v>0</v>
      </c>
      <c r="R791" s="3">
        <f>IF(AND($K791=1,AND(对接源_01水果!$X791="公司筐",N(对接源_01水果!$U791)&lt;&gt;0)),1,0)</f>
        <v>0</v>
      </c>
      <c r="S791" s="3">
        <f t="shared" si="216"/>
        <v>0</v>
      </c>
      <c r="T791" s="3">
        <f>IF(AND($K791=1,AND(对接源_01水果!$X791="公司筐",N(对接源_01水果!$V791)&lt;&gt;0)),1,0)</f>
        <v>0</v>
      </c>
      <c r="U791" s="3">
        <f t="shared" si="217"/>
        <v>19</v>
      </c>
      <c r="V791" s="3">
        <f>IF(AND($L791=1,AND(对接源_01水果!$X791="自备筐",N(对接源_01水果!$V791)&lt;&gt;0)),1,0)</f>
        <v>0</v>
      </c>
      <c r="W791" s="3">
        <f t="shared" si="218"/>
        <v>8</v>
      </c>
      <c r="X791" s="3">
        <f>IF(AND($L791=1,AND(对接源_01水果!$X791="自备筐",N(对接源_01水果!$T791)&lt;&gt;0)),1,0)</f>
        <v>0</v>
      </c>
      <c r="Y791" s="3">
        <f t="shared" si="219"/>
        <v>0</v>
      </c>
      <c r="Z791" s="3">
        <f>IF(AND($M791=1,对接源_01水果!$D791="原料入库"),1,0)</f>
        <v>0</v>
      </c>
      <c r="AA791" s="3">
        <f t="shared" si="220"/>
        <v>24</v>
      </c>
      <c r="AB791" s="3">
        <f>IF(AND($M791=1,LEFT(对接源_01水果!$D791,4)="原料出库"),1,0)</f>
        <v>0</v>
      </c>
      <c r="AC791" s="3">
        <f t="shared" si="221"/>
        <v>0</v>
      </c>
      <c r="AD791" s="3">
        <f>IF(AND($M791=1,LEFT(对接源_01水果!$D791,4)="成品出库"),1,0)</f>
        <v>0</v>
      </c>
      <c r="AE791" s="3">
        <f t="shared" si="222"/>
        <v>0</v>
      </c>
      <c r="AF791" s="3">
        <f>IF(AND($N791=1,AND(LEFT(对接源_01水果!$D791,4)="包装物料",N(对接源_01水果!$K791)&lt;&gt;0)),1,0)</f>
        <v>0</v>
      </c>
      <c r="AG791" s="3">
        <f t="shared" si="223"/>
        <v>0</v>
      </c>
      <c r="AH791" s="3">
        <f>IF(AND($N791=1,AND(对接源_01水果!$D791="周转筐－销售出库",N(对接源_01水果!$K791)&lt;&gt;0)),1,0)</f>
        <v>0</v>
      </c>
      <c r="AI791" s="3">
        <f t="shared" si="224"/>
        <v>0</v>
      </c>
      <c r="AJ791" s="7"/>
      <c r="AL791" s="3">
        <f>IF(OR($AL$1="",对接源_01水果!$Y791="",对接源_01水果!$Y791&lt;&gt;$AL$1,对接源_01水果!$B791="",N(对接源_01水果!$AJ791)&lt;=0),0,IF(OR(N(对接源_01水果!$B791)&lt;$AL$2,N(对接源_01水果!$B791)&gt;$AL$3),0,1))</f>
        <v>0</v>
      </c>
      <c r="AM791" s="3">
        <f t="shared" si="225"/>
        <v>1</v>
      </c>
      <c r="AN791" s="3" t="str">
        <f>IF(对接源_01水果!$AC791="","",对接源_01水果!$AC791)</f>
        <v/>
      </c>
      <c r="AO791" s="3">
        <f t="shared" si="226"/>
        <v>0</v>
      </c>
      <c r="AP791" s="3">
        <f t="shared" si="227"/>
        <v>8</v>
      </c>
      <c r="AR791">
        <f t="shared" si="228"/>
        <v>0</v>
      </c>
      <c r="AS791">
        <f t="shared" si="229"/>
        <v>0</v>
      </c>
    </row>
    <row r="792" ht="14.25" customHeight="1" spans="1:45">
      <c r="A792" s="3" t="str">
        <f>IF(对接源_01水果!$C792="","",对接源_01水果!$C792)</f>
        <v/>
      </c>
      <c r="B792" s="3">
        <f t="shared" si="213"/>
        <v>0</v>
      </c>
      <c r="C792" s="3">
        <f t="shared" si="214"/>
        <v>18</v>
      </c>
      <c r="K792" s="3">
        <f>IF(OR($K$1="",对接源_01水果!$C792="",对接源_01水果!$C792&lt;&gt;$K$1,对接源_01水果!$B792=""),0,IF(OR(N(对接源_01水果!$B792)&lt;$K$2,N(对接源_01水果!$B792)&gt;$K$3),0,1))</f>
        <v>0</v>
      </c>
      <c r="L792" s="3">
        <f>IF(OR($L$1="",对接源_01水果!$C792="",对接源_01水果!$C792&lt;&gt;$L$1,对接源_01水果!$B792=""),0,IF(OR(N(对接源_01水果!$B792)&lt;$L$2,N(对接源_01水果!$B792)&gt;$L$3),0,1))</f>
        <v>0</v>
      </c>
      <c r="M792" s="3">
        <f>IF(OR($M$1="",对接源_01水果!$C792="",对接源_01水果!$C792&lt;&gt;$M$1,对接源_01水果!$B792=""),0,IF(OR(N(对接源_01水果!$B792)&lt;$M$2,N(对接源_01水果!$B792)&gt;$M$3),0,1))</f>
        <v>0</v>
      </c>
      <c r="N792" s="3">
        <f>IF(OR($N$1="",对接源_01水果!$C792="",对接源_01水果!$C792&lt;&gt;$N$1,对接源_01水果!$B792=""),0,IF(OR(N(对接源_01水果!$B792)&lt;$N$2,N(对接源_01水果!$B792)&gt;$N$3),0,1))</f>
        <v>0</v>
      </c>
      <c r="P792" s="3">
        <f>IF(AND($K792=1,AND(对接源_01水果!$X792="公司筐",N(对接源_01水果!$T792)&lt;&gt;0)),1,0)</f>
        <v>0</v>
      </c>
      <c r="Q792" s="3">
        <f t="shared" si="215"/>
        <v>0</v>
      </c>
      <c r="R792" s="3">
        <f>IF(AND($K792=1,AND(对接源_01水果!$X792="公司筐",N(对接源_01水果!$U792)&lt;&gt;0)),1,0)</f>
        <v>0</v>
      </c>
      <c r="S792" s="3">
        <f t="shared" si="216"/>
        <v>0</v>
      </c>
      <c r="T792" s="3">
        <f>IF(AND($K792=1,AND(对接源_01水果!$X792="公司筐",N(对接源_01水果!$V792)&lt;&gt;0)),1,0)</f>
        <v>0</v>
      </c>
      <c r="U792" s="3">
        <f t="shared" si="217"/>
        <v>19</v>
      </c>
      <c r="V792" s="3">
        <f>IF(AND($L792=1,AND(对接源_01水果!$X792="自备筐",N(对接源_01水果!$V792)&lt;&gt;0)),1,0)</f>
        <v>0</v>
      </c>
      <c r="W792" s="3">
        <f t="shared" si="218"/>
        <v>8</v>
      </c>
      <c r="X792" s="3">
        <f>IF(AND($L792=1,AND(对接源_01水果!$X792="自备筐",N(对接源_01水果!$T792)&lt;&gt;0)),1,0)</f>
        <v>0</v>
      </c>
      <c r="Y792" s="3">
        <f t="shared" si="219"/>
        <v>0</v>
      </c>
      <c r="Z792" s="3">
        <f>IF(AND($M792=1,对接源_01水果!$D792="原料入库"),1,0)</f>
        <v>0</v>
      </c>
      <c r="AA792" s="3">
        <f t="shared" si="220"/>
        <v>24</v>
      </c>
      <c r="AB792" s="3">
        <f>IF(AND($M792=1,LEFT(对接源_01水果!$D792,4)="原料出库"),1,0)</f>
        <v>0</v>
      </c>
      <c r="AC792" s="3">
        <f t="shared" si="221"/>
        <v>0</v>
      </c>
      <c r="AD792" s="3">
        <f>IF(AND($M792=1,LEFT(对接源_01水果!$D792,4)="成品出库"),1,0)</f>
        <v>0</v>
      </c>
      <c r="AE792" s="3">
        <f t="shared" si="222"/>
        <v>0</v>
      </c>
      <c r="AF792" s="3">
        <f>IF(AND($N792=1,AND(LEFT(对接源_01水果!$D792,4)="包装物料",N(对接源_01水果!$K792)&lt;&gt;0)),1,0)</f>
        <v>0</v>
      </c>
      <c r="AG792" s="3">
        <f t="shared" si="223"/>
        <v>0</v>
      </c>
      <c r="AH792" s="3">
        <f>IF(AND($N792=1,AND(对接源_01水果!$D792="周转筐－销售出库",N(对接源_01水果!$K792)&lt;&gt;0)),1,0)</f>
        <v>0</v>
      </c>
      <c r="AI792" s="3">
        <f t="shared" si="224"/>
        <v>0</v>
      </c>
      <c r="AJ792" s="7"/>
      <c r="AL792" s="3">
        <f>IF(OR($AL$1="",对接源_01水果!$Y792="",对接源_01水果!$Y792&lt;&gt;$AL$1,对接源_01水果!$B792="",N(对接源_01水果!$AJ792)&lt;=0),0,IF(OR(N(对接源_01水果!$B792)&lt;$AL$2,N(对接源_01水果!$B792)&gt;$AL$3),0,1))</f>
        <v>0</v>
      </c>
      <c r="AM792" s="3">
        <f t="shared" si="225"/>
        <v>1</v>
      </c>
      <c r="AN792" s="3" t="str">
        <f>IF(对接源_01水果!$AC792="","",对接源_01水果!$AC792)</f>
        <v/>
      </c>
      <c r="AO792" s="3">
        <f t="shared" si="226"/>
        <v>0</v>
      </c>
      <c r="AP792" s="3">
        <f t="shared" si="227"/>
        <v>8</v>
      </c>
      <c r="AR792">
        <f t="shared" si="228"/>
        <v>0</v>
      </c>
      <c r="AS792">
        <f t="shared" si="229"/>
        <v>0</v>
      </c>
    </row>
    <row r="793" ht="14.25" customHeight="1" spans="1:45">
      <c r="A793" s="3" t="str">
        <f>IF(对接源_01水果!$C793="","",对接源_01水果!$C793)</f>
        <v/>
      </c>
      <c r="B793" s="3">
        <f t="shared" si="213"/>
        <v>0</v>
      </c>
      <c r="C793" s="3">
        <f t="shared" si="214"/>
        <v>18</v>
      </c>
      <c r="K793" s="3">
        <f>IF(OR($K$1="",对接源_01水果!$C793="",对接源_01水果!$C793&lt;&gt;$K$1,对接源_01水果!$B793=""),0,IF(OR(N(对接源_01水果!$B793)&lt;$K$2,N(对接源_01水果!$B793)&gt;$K$3),0,1))</f>
        <v>0</v>
      </c>
      <c r="L793" s="3">
        <f>IF(OR($L$1="",对接源_01水果!$C793="",对接源_01水果!$C793&lt;&gt;$L$1,对接源_01水果!$B793=""),0,IF(OR(N(对接源_01水果!$B793)&lt;$L$2,N(对接源_01水果!$B793)&gt;$L$3),0,1))</f>
        <v>0</v>
      </c>
      <c r="M793" s="3">
        <f>IF(OR($M$1="",对接源_01水果!$C793="",对接源_01水果!$C793&lt;&gt;$M$1,对接源_01水果!$B793=""),0,IF(OR(N(对接源_01水果!$B793)&lt;$M$2,N(对接源_01水果!$B793)&gt;$M$3),0,1))</f>
        <v>0</v>
      </c>
      <c r="N793" s="3">
        <f>IF(OR($N$1="",对接源_01水果!$C793="",对接源_01水果!$C793&lt;&gt;$N$1,对接源_01水果!$B793=""),0,IF(OR(N(对接源_01水果!$B793)&lt;$N$2,N(对接源_01水果!$B793)&gt;$N$3),0,1))</f>
        <v>0</v>
      </c>
      <c r="P793" s="3">
        <f>IF(AND($K793=1,AND(对接源_01水果!$X793="公司筐",N(对接源_01水果!$T793)&lt;&gt;0)),1,0)</f>
        <v>0</v>
      </c>
      <c r="Q793" s="3">
        <f t="shared" si="215"/>
        <v>0</v>
      </c>
      <c r="R793" s="3">
        <f>IF(AND($K793=1,AND(对接源_01水果!$X793="公司筐",N(对接源_01水果!$U793)&lt;&gt;0)),1,0)</f>
        <v>0</v>
      </c>
      <c r="S793" s="3">
        <f t="shared" si="216"/>
        <v>0</v>
      </c>
      <c r="T793" s="3">
        <f>IF(AND($K793=1,AND(对接源_01水果!$X793="公司筐",N(对接源_01水果!$V793)&lt;&gt;0)),1,0)</f>
        <v>0</v>
      </c>
      <c r="U793" s="3">
        <f t="shared" si="217"/>
        <v>19</v>
      </c>
      <c r="V793" s="3">
        <f>IF(AND($L793=1,AND(对接源_01水果!$X793="自备筐",N(对接源_01水果!$V793)&lt;&gt;0)),1,0)</f>
        <v>0</v>
      </c>
      <c r="W793" s="3">
        <f t="shared" si="218"/>
        <v>8</v>
      </c>
      <c r="X793" s="3">
        <f>IF(AND($L793=1,AND(对接源_01水果!$X793="自备筐",N(对接源_01水果!$T793)&lt;&gt;0)),1,0)</f>
        <v>0</v>
      </c>
      <c r="Y793" s="3">
        <f t="shared" si="219"/>
        <v>0</v>
      </c>
      <c r="Z793" s="3">
        <f>IF(AND($M793=1,对接源_01水果!$D793="原料入库"),1,0)</f>
        <v>0</v>
      </c>
      <c r="AA793" s="3">
        <f t="shared" si="220"/>
        <v>24</v>
      </c>
      <c r="AB793" s="3">
        <f>IF(AND($M793=1,LEFT(对接源_01水果!$D793,4)="原料出库"),1,0)</f>
        <v>0</v>
      </c>
      <c r="AC793" s="3">
        <f t="shared" si="221"/>
        <v>0</v>
      </c>
      <c r="AD793" s="3">
        <f>IF(AND($M793=1,LEFT(对接源_01水果!$D793,4)="成品出库"),1,0)</f>
        <v>0</v>
      </c>
      <c r="AE793" s="3">
        <f t="shared" si="222"/>
        <v>0</v>
      </c>
      <c r="AF793" s="3">
        <f>IF(AND($N793=1,AND(LEFT(对接源_01水果!$D793,4)="包装物料",N(对接源_01水果!$K793)&lt;&gt;0)),1,0)</f>
        <v>0</v>
      </c>
      <c r="AG793" s="3">
        <f t="shared" si="223"/>
        <v>0</v>
      </c>
      <c r="AH793" s="3">
        <f>IF(AND($N793=1,AND(对接源_01水果!$D793="周转筐－销售出库",N(对接源_01水果!$K793)&lt;&gt;0)),1,0)</f>
        <v>0</v>
      </c>
      <c r="AI793" s="3">
        <f t="shared" si="224"/>
        <v>0</v>
      </c>
      <c r="AJ793" s="7"/>
      <c r="AL793" s="3">
        <f>IF(OR($AL$1="",对接源_01水果!$Y793="",对接源_01水果!$Y793&lt;&gt;$AL$1,对接源_01水果!$B793="",N(对接源_01水果!$AJ793)&lt;=0),0,IF(OR(N(对接源_01水果!$B793)&lt;$AL$2,N(对接源_01水果!$B793)&gt;$AL$3),0,1))</f>
        <v>0</v>
      </c>
      <c r="AM793" s="3">
        <f t="shared" si="225"/>
        <v>1</v>
      </c>
      <c r="AN793" s="3" t="str">
        <f>IF(对接源_01水果!$AC793="","",对接源_01水果!$AC793)</f>
        <v/>
      </c>
      <c r="AO793" s="3">
        <f t="shared" si="226"/>
        <v>0</v>
      </c>
      <c r="AP793" s="3">
        <f t="shared" si="227"/>
        <v>8</v>
      </c>
      <c r="AR793">
        <f t="shared" si="228"/>
        <v>0</v>
      </c>
      <c r="AS793">
        <f t="shared" si="229"/>
        <v>0</v>
      </c>
    </row>
    <row r="794" ht="14.25" customHeight="1" spans="1:45">
      <c r="A794" s="3" t="str">
        <f>IF(对接源_01水果!$C794="","",对接源_01水果!$C794)</f>
        <v/>
      </c>
      <c r="B794" s="3">
        <f t="shared" si="213"/>
        <v>0</v>
      </c>
      <c r="C794" s="3">
        <f t="shared" si="214"/>
        <v>18</v>
      </c>
      <c r="K794" s="3">
        <f>IF(OR($K$1="",对接源_01水果!$C794="",对接源_01水果!$C794&lt;&gt;$K$1,对接源_01水果!$B794=""),0,IF(OR(N(对接源_01水果!$B794)&lt;$K$2,N(对接源_01水果!$B794)&gt;$K$3),0,1))</f>
        <v>0</v>
      </c>
      <c r="L794" s="3">
        <f>IF(OR($L$1="",对接源_01水果!$C794="",对接源_01水果!$C794&lt;&gt;$L$1,对接源_01水果!$B794=""),0,IF(OR(N(对接源_01水果!$B794)&lt;$L$2,N(对接源_01水果!$B794)&gt;$L$3),0,1))</f>
        <v>0</v>
      </c>
      <c r="M794" s="3">
        <f>IF(OR($M$1="",对接源_01水果!$C794="",对接源_01水果!$C794&lt;&gt;$M$1,对接源_01水果!$B794=""),0,IF(OR(N(对接源_01水果!$B794)&lt;$M$2,N(对接源_01水果!$B794)&gt;$M$3),0,1))</f>
        <v>0</v>
      </c>
      <c r="N794" s="3">
        <f>IF(OR($N$1="",对接源_01水果!$C794="",对接源_01水果!$C794&lt;&gt;$N$1,对接源_01水果!$B794=""),0,IF(OR(N(对接源_01水果!$B794)&lt;$N$2,N(对接源_01水果!$B794)&gt;$N$3),0,1))</f>
        <v>0</v>
      </c>
      <c r="P794" s="3">
        <f>IF(AND($K794=1,AND(对接源_01水果!$X794="公司筐",N(对接源_01水果!$T794)&lt;&gt;0)),1,0)</f>
        <v>0</v>
      </c>
      <c r="Q794" s="3">
        <f t="shared" si="215"/>
        <v>0</v>
      </c>
      <c r="R794" s="3">
        <f>IF(AND($K794=1,AND(对接源_01水果!$X794="公司筐",N(对接源_01水果!$U794)&lt;&gt;0)),1,0)</f>
        <v>0</v>
      </c>
      <c r="S794" s="3">
        <f t="shared" si="216"/>
        <v>0</v>
      </c>
      <c r="T794" s="3">
        <f>IF(AND($K794=1,AND(对接源_01水果!$X794="公司筐",N(对接源_01水果!$V794)&lt;&gt;0)),1,0)</f>
        <v>0</v>
      </c>
      <c r="U794" s="3">
        <f t="shared" si="217"/>
        <v>19</v>
      </c>
      <c r="V794" s="3">
        <f>IF(AND($L794=1,AND(对接源_01水果!$X794="自备筐",N(对接源_01水果!$V794)&lt;&gt;0)),1,0)</f>
        <v>0</v>
      </c>
      <c r="W794" s="3">
        <f t="shared" si="218"/>
        <v>8</v>
      </c>
      <c r="X794" s="3">
        <f>IF(AND($L794=1,AND(对接源_01水果!$X794="自备筐",N(对接源_01水果!$T794)&lt;&gt;0)),1,0)</f>
        <v>0</v>
      </c>
      <c r="Y794" s="3">
        <f t="shared" si="219"/>
        <v>0</v>
      </c>
      <c r="Z794" s="3">
        <f>IF(AND($M794=1,对接源_01水果!$D794="原料入库"),1,0)</f>
        <v>0</v>
      </c>
      <c r="AA794" s="3">
        <f t="shared" si="220"/>
        <v>24</v>
      </c>
      <c r="AB794" s="3">
        <f>IF(AND($M794=1,LEFT(对接源_01水果!$D794,4)="原料出库"),1,0)</f>
        <v>0</v>
      </c>
      <c r="AC794" s="3">
        <f t="shared" si="221"/>
        <v>0</v>
      </c>
      <c r="AD794" s="3">
        <f>IF(AND($M794=1,LEFT(对接源_01水果!$D794,4)="成品出库"),1,0)</f>
        <v>0</v>
      </c>
      <c r="AE794" s="3">
        <f t="shared" si="222"/>
        <v>0</v>
      </c>
      <c r="AF794" s="3">
        <f>IF(AND($N794=1,AND(LEFT(对接源_01水果!$D794,4)="包装物料",N(对接源_01水果!$K794)&lt;&gt;0)),1,0)</f>
        <v>0</v>
      </c>
      <c r="AG794" s="3">
        <f t="shared" si="223"/>
        <v>0</v>
      </c>
      <c r="AH794" s="3">
        <f>IF(AND($N794=1,AND(对接源_01水果!$D794="周转筐－销售出库",N(对接源_01水果!$K794)&lt;&gt;0)),1,0)</f>
        <v>0</v>
      </c>
      <c r="AI794" s="3">
        <f t="shared" si="224"/>
        <v>0</v>
      </c>
      <c r="AJ794" s="7"/>
      <c r="AL794" s="3">
        <f>IF(OR($AL$1="",对接源_01水果!$Y794="",对接源_01水果!$Y794&lt;&gt;$AL$1,对接源_01水果!$B794="",N(对接源_01水果!$AJ794)&lt;=0),0,IF(OR(N(对接源_01水果!$B794)&lt;$AL$2,N(对接源_01水果!$B794)&gt;$AL$3),0,1))</f>
        <v>0</v>
      </c>
      <c r="AM794" s="3">
        <f t="shared" si="225"/>
        <v>1</v>
      </c>
      <c r="AN794" s="3" t="str">
        <f>IF(对接源_01水果!$AC794="","",对接源_01水果!$AC794)</f>
        <v/>
      </c>
      <c r="AO794" s="3">
        <f t="shared" si="226"/>
        <v>0</v>
      </c>
      <c r="AP794" s="3">
        <f t="shared" si="227"/>
        <v>8</v>
      </c>
      <c r="AR794">
        <f t="shared" si="228"/>
        <v>0</v>
      </c>
      <c r="AS794">
        <f t="shared" si="229"/>
        <v>0</v>
      </c>
    </row>
    <row r="795" ht="14.25" customHeight="1" spans="1:45">
      <c r="A795" s="3" t="str">
        <f>IF(对接源_01水果!$C795="","",对接源_01水果!$C795)</f>
        <v/>
      </c>
      <c r="B795" s="3">
        <f t="shared" si="213"/>
        <v>0</v>
      </c>
      <c r="C795" s="3">
        <f t="shared" si="214"/>
        <v>18</v>
      </c>
      <c r="K795" s="3">
        <f>IF(OR($K$1="",对接源_01水果!$C795="",对接源_01水果!$C795&lt;&gt;$K$1,对接源_01水果!$B795=""),0,IF(OR(N(对接源_01水果!$B795)&lt;$K$2,N(对接源_01水果!$B795)&gt;$K$3),0,1))</f>
        <v>0</v>
      </c>
      <c r="L795" s="3">
        <f>IF(OR($L$1="",对接源_01水果!$C795="",对接源_01水果!$C795&lt;&gt;$L$1,对接源_01水果!$B795=""),0,IF(OR(N(对接源_01水果!$B795)&lt;$L$2,N(对接源_01水果!$B795)&gt;$L$3),0,1))</f>
        <v>0</v>
      </c>
      <c r="M795" s="3">
        <f>IF(OR($M$1="",对接源_01水果!$C795="",对接源_01水果!$C795&lt;&gt;$M$1,对接源_01水果!$B795=""),0,IF(OR(N(对接源_01水果!$B795)&lt;$M$2,N(对接源_01水果!$B795)&gt;$M$3),0,1))</f>
        <v>0</v>
      </c>
      <c r="N795" s="3">
        <f>IF(OR($N$1="",对接源_01水果!$C795="",对接源_01水果!$C795&lt;&gt;$N$1,对接源_01水果!$B795=""),0,IF(OR(N(对接源_01水果!$B795)&lt;$N$2,N(对接源_01水果!$B795)&gt;$N$3),0,1))</f>
        <v>0</v>
      </c>
      <c r="P795" s="3">
        <f>IF(AND($K795=1,AND(对接源_01水果!$X795="公司筐",N(对接源_01水果!$T795)&lt;&gt;0)),1,0)</f>
        <v>0</v>
      </c>
      <c r="Q795" s="3">
        <f t="shared" si="215"/>
        <v>0</v>
      </c>
      <c r="R795" s="3">
        <f>IF(AND($K795=1,AND(对接源_01水果!$X795="公司筐",N(对接源_01水果!$U795)&lt;&gt;0)),1,0)</f>
        <v>0</v>
      </c>
      <c r="S795" s="3">
        <f t="shared" si="216"/>
        <v>0</v>
      </c>
      <c r="T795" s="3">
        <f>IF(AND($K795=1,AND(对接源_01水果!$X795="公司筐",N(对接源_01水果!$V795)&lt;&gt;0)),1,0)</f>
        <v>0</v>
      </c>
      <c r="U795" s="3">
        <f t="shared" si="217"/>
        <v>19</v>
      </c>
      <c r="V795" s="3">
        <f>IF(AND($L795=1,AND(对接源_01水果!$X795="自备筐",N(对接源_01水果!$V795)&lt;&gt;0)),1,0)</f>
        <v>0</v>
      </c>
      <c r="W795" s="3">
        <f t="shared" si="218"/>
        <v>8</v>
      </c>
      <c r="X795" s="3">
        <f>IF(AND($L795=1,AND(对接源_01水果!$X795="自备筐",N(对接源_01水果!$T795)&lt;&gt;0)),1,0)</f>
        <v>0</v>
      </c>
      <c r="Y795" s="3">
        <f t="shared" si="219"/>
        <v>0</v>
      </c>
      <c r="Z795" s="3">
        <f>IF(AND($M795=1,对接源_01水果!$D795="原料入库"),1,0)</f>
        <v>0</v>
      </c>
      <c r="AA795" s="3">
        <f t="shared" si="220"/>
        <v>24</v>
      </c>
      <c r="AB795" s="3">
        <f>IF(AND($M795=1,LEFT(对接源_01水果!$D795,4)="原料出库"),1,0)</f>
        <v>0</v>
      </c>
      <c r="AC795" s="3">
        <f t="shared" si="221"/>
        <v>0</v>
      </c>
      <c r="AD795" s="3">
        <f>IF(AND($M795=1,LEFT(对接源_01水果!$D795,4)="成品出库"),1,0)</f>
        <v>0</v>
      </c>
      <c r="AE795" s="3">
        <f t="shared" si="222"/>
        <v>0</v>
      </c>
      <c r="AF795" s="3">
        <f>IF(AND($N795=1,AND(LEFT(对接源_01水果!$D795,4)="包装物料",N(对接源_01水果!$K795)&lt;&gt;0)),1,0)</f>
        <v>0</v>
      </c>
      <c r="AG795" s="3">
        <f t="shared" si="223"/>
        <v>0</v>
      </c>
      <c r="AH795" s="3">
        <f>IF(AND($N795=1,AND(对接源_01水果!$D795="周转筐－销售出库",N(对接源_01水果!$K795)&lt;&gt;0)),1,0)</f>
        <v>0</v>
      </c>
      <c r="AI795" s="3">
        <f t="shared" si="224"/>
        <v>0</v>
      </c>
      <c r="AJ795" s="7"/>
      <c r="AL795" s="3">
        <f>IF(OR($AL$1="",对接源_01水果!$Y795="",对接源_01水果!$Y795&lt;&gt;$AL$1,对接源_01水果!$B795="",N(对接源_01水果!$AJ795)&lt;=0),0,IF(OR(N(对接源_01水果!$B795)&lt;$AL$2,N(对接源_01水果!$B795)&gt;$AL$3),0,1))</f>
        <v>0</v>
      </c>
      <c r="AM795" s="3">
        <f t="shared" si="225"/>
        <v>1</v>
      </c>
      <c r="AN795" s="3" t="str">
        <f>IF(对接源_01水果!$AC795="","",对接源_01水果!$AC795)</f>
        <v/>
      </c>
      <c r="AO795" s="3">
        <f t="shared" si="226"/>
        <v>0</v>
      </c>
      <c r="AP795" s="3">
        <f t="shared" si="227"/>
        <v>8</v>
      </c>
      <c r="AR795">
        <f t="shared" si="228"/>
        <v>0</v>
      </c>
      <c r="AS795">
        <f t="shared" si="229"/>
        <v>0</v>
      </c>
    </row>
    <row r="796" ht="14.25" customHeight="1" spans="1:45">
      <c r="A796" s="3" t="str">
        <f>IF(对接源_01水果!$C796="","",对接源_01水果!$C796)</f>
        <v/>
      </c>
      <c r="B796" s="3">
        <f t="shared" si="213"/>
        <v>0</v>
      </c>
      <c r="C796" s="3">
        <f t="shared" si="214"/>
        <v>18</v>
      </c>
      <c r="K796" s="3">
        <f>IF(OR($K$1="",对接源_01水果!$C796="",对接源_01水果!$C796&lt;&gt;$K$1,对接源_01水果!$B796=""),0,IF(OR(N(对接源_01水果!$B796)&lt;$K$2,N(对接源_01水果!$B796)&gt;$K$3),0,1))</f>
        <v>0</v>
      </c>
      <c r="L796" s="3">
        <f>IF(OR($L$1="",对接源_01水果!$C796="",对接源_01水果!$C796&lt;&gt;$L$1,对接源_01水果!$B796=""),0,IF(OR(N(对接源_01水果!$B796)&lt;$L$2,N(对接源_01水果!$B796)&gt;$L$3),0,1))</f>
        <v>0</v>
      </c>
      <c r="M796" s="3">
        <f>IF(OR($M$1="",对接源_01水果!$C796="",对接源_01水果!$C796&lt;&gt;$M$1,对接源_01水果!$B796=""),0,IF(OR(N(对接源_01水果!$B796)&lt;$M$2,N(对接源_01水果!$B796)&gt;$M$3),0,1))</f>
        <v>0</v>
      </c>
      <c r="N796" s="3">
        <f>IF(OR($N$1="",对接源_01水果!$C796="",对接源_01水果!$C796&lt;&gt;$N$1,对接源_01水果!$B796=""),0,IF(OR(N(对接源_01水果!$B796)&lt;$N$2,N(对接源_01水果!$B796)&gt;$N$3),0,1))</f>
        <v>0</v>
      </c>
      <c r="P796" s="3">
        <f>IF(AND($K796=1,AND(对接源_01水果!$X796="公司筐",N(对接源_01水果!$T796)&lt;&gt;0)),1,0)</f>
        <v>0</v>
      </c>
      <c r="Q796" s="3">
        <f t="shared" si="215"/>
        <v>0</v>
      </c>
      <c r="R796" s="3">
        <f>IF(AND($K796=1,AND(对接源_01水果!$X796="公司筐",N(对接源_01水果!$U796)&lt;&gt;0)),1,0)</f>
        <v>0</v>
      </c>
      <c r="S796" s="3">
        <f t="shared" si="216"/>
        <v>0</v>
      </c>
      <c r="T796" s="3">
        <f>IF(AND($K796=1,AND(对接源_01水果!$X796="公司筐",N(对接源_01水果!$V796)&lt;&gt;0)),1,0)</f>
        <v>0</v>
      </c>
      <c r="U796" s="3">
        <f t="shared" si="217"/>
        <v>19</v>
      </c>
      <c r="V796" s="3">
        <f>IF(AND($L796=1,AND(对接源_01水果!$X796="自备筐",N(对接源_01水果!$V796)&lt;&gt;0)),1,0)</f>
        <v>0</v>
      </c>
      <c r="W796" s="3">
        <f t="shared" si="218"/>
        <v>8</v>
      </c>
      <c r="X796" s="3">
        <f>IF(AND($L796=1,AND(对接源_01水果!$X796="自备筐",N(对接源_01水果!$T796)&lt;&gt;0)),1,0)</f>
        <v>0</v>
      </c>
      <c r="Y796" s="3">
        <f t="shared" si="219"/>
        <v>0</v>
      </c>
      <c r="Z796" s="3">
        <f>IF(AND($M796=1,对接源_01水果!$D796="原料入库"),1,0)</f>
        <v>0</v>
      </c>
      <c r="AA796" s="3">
        <f t="shared" si="220"/>
        <v>24</v>
      </c>
      <c r="AB796" s="3">
        <f>IF(AND($M796=1,LEFT(对接源_01水果!$D796,4)="原料出库"),1,0)</f>
        <v>0</v>
      </c>
      <c r="AC796" s="3">
        <f t="shared" si="221"/>
        <v>0</v>
      </c>
      <c r="AD796" s="3">
        <f>IF(AND($M796=1,LEFT(对接源_01水果!$D796,4)="成品出库"),1,0)</f>
        <v>0</v>
      </c>
      <c r="AE796" s="3">
        <f t="shared" si="222"/>
        <v>0</v>
      </c>
      <c r="AF796" s="3">
        <f>IF(AND($N796=1,AND(LEFT(对接源_01水果!$D796,4)="包装物料",N(对接源_01水果!$K796)&lt;&gt;0)),1,0)</f>
        <v>0</v>
      </c>
      <c r="AG796" s="3">
        <f t="shared" si="223"/>
        <v>0</v>
      </c>
      <c r="AH796" s="3">
        <f>IF(AND($N796=1,AND(对接源_01水果!$D796="周转筐－销售出库",N(对接源_01水果!$K796)&lt;&gt;0)),1,0)</f>
        <v>0</v>
      </c>
      <c r="AI796" s="3">
        <f t="shared" si="224"/>
        <v>0</v>
      </c>
      <c r="AJ796" s="7"/>
      <c r="AL796" s="3">
        <f>IF(OR($AL$1="",对接源_01水果!$Y796="",对接源_01水果!$Y796&lt;&gt;$AL$1,对接源_01水果!$B796="",N(对接源_01水果!$AJ796)&lt;=0),0,IF(OR(N(对接源_01水果!$B796)&lt;$AL$2,N(对接源_01水果!$B796)&gt;$AL$3),0,1))</f>
        <v>0</v>
      </c>
      <c r="AM796" s="3">
        <f t="shared" si="225"/>
        <v>1</v>
      </c>
      <c r="AN796" s="3" t="str">
        <f>IF(对接源_01水果!$AC796="","",对接源_01水果!$AC796)</f>
        <v/>
      </c>
      <c r="AO796" s="3">
        <f t="shared" si="226"/>
        <v>0</v>
      </c>
      <c r="AP796" s="3">
        <f t="shared" si="227"/>
        <v>8</v>
      </c>
      <c r="AR796">
        <f t="shared" si="228"/>
        <v>0</v>
      </c>
      <c r="AS796">
        <f t="shared" si="229"/>
        <v>0</v>
      </c>
    </row>
    <row r="797" ht="14.25" customHeight="1" spans="1:45">
      <c r="A797" s="3" t="str">
        <f>IF(对接源_01水果!$C797="","",对接源_01水果!$C797)</f>
        <v/>
      </c>
      <c r="B797" s="3">
        <f t="shared" si="213"/>
        <v>0</v>
      </c>
      <c r="C797" s="3">
        <f t="shared" si="214"/>
        <v>18</v>
      </c>
      <c r="K797" s="3">
        <f>IF(OR($K$1="",对接源_01水果!$C797="",对接源_01水果!$C797&lt;&gt;$K$1,对接源_01水果!$B797=""),0,IF(OR(N(对接源_01水果!$B797)&lt;$K$2,N(对接源_01水果!$B797)&gt;$K$3),0,1))</f>
        <v>0</v>
      </c>
      <c r="L797" s="3">
        <f>IF(OR($L$1="",对接源_01水果!$C797="",对接源_01水果!$C797&lt;&gt;$L$1,对接源_01水果!$B797=""),0,IF(OR(N(对接源_01水果!$B797)&lt;$L$2,N(对接源_01水果!$B797)&gt;$L$3),0,1))</f>
        <v>0</v>
      </c>
      <c r="M797" s="3">
        <f>IF(OR($M$1="",对接源_01水果!$C797="",对接源_01水果!$C797&lt;&gt;$M$1,对接源_01水果!$B797=""),0,IF(OR(N(对接源_01水果!$B797)&lt;$M$2,N(对接源_01水果!$B797)&gt;$M$3),0,1))</f>
        <v>0</v>
      </c>
      <c r="N797" s="3">
        <f>IF(OR($N$1="",对接源_01水果!$C797="",对接源_01水果!$C797&lt;&gt;$N$1,对接源_01水果!$B797=""),0,IF(OR(N(对接源_01水果!$B797)&lt;$N$2,N(对接源_01水果!$B797)&gt;$N$3),0,1))</f>
        <v>0</v>
      </c>
      <c r="P797" s="3">
        <f>IF(AND($K797=1,AND(对接源_01水果!$X797="公司筐",N(对接源_01水果!$T797)&lt;&gt;0)),1,0)</f>
        <v>0</v>
      </c>
      <c r="Q797" s="3">
        <f t="shared" si="215"/>
        <v>0</v>
      </c>
      <c r="R797" s="3">
        <f>IF(AND($K797=1,AND(对接源_01水果!$X797="公司筐",N(对接源_01水果!$U797)&lt;&gt;0)),1,0)</f>
        <v>0</v>
      </c>
      <c r="S797" s="3">
        <f t="shared" si="216"/>
        <v>0</v>
      </c>
      <c r="T797" s="3">
        <f>IF(AND($K797=1,AND(对接源_01水果!$X797="公司筐",N(对接源_01水果!$V797)&lt;&gt;0)),1,0)</f>
        <v>0</v>
      </c>
      <c r="U797" s="3">
        <f t="shared" si="217"/>
        <v>19</v>
      </c>
      <c r="V797" s="3">
        <f>IF(AND($L797=1,AND(对接源_01水果!$X797="自备筐",N(对接源_01水果!$V797)&lt;&gt;0)),1,0)</f>
        <v>0</v>
      </c>
      <c r="W797" s="3">
        <f t="shared" si="218"/>
        <v>8</v>
      </c>
      <c r="X797" s="3">
        <f>IF(AND($L797=1,AND(对接源_01水果!$X797="自备筐",N(对接源_01水果!$T797)&lt;&gt;0)),1,0)</f>
        <v>0</v>
      </c>
      <c r="Y797" s="3">
        <f t="shared" si="219"/>
        <v>0</v>
      </c>
      <c r="Z797" s="3">
        <f>IF(AND($M797=1,对接源_01水果!$D797="原料入库"),1,0)</f>
        <v>0</v>
      </c>
      <c r="AA797" s="3">
        <f t="shared" si="220"/>
        <v>24</v>
      </c>
      <c r="AB797" s="3">
        <f>IF(AND($M797=1,LEFT(对接源_01水果!$D797,4)="原料出库"),1,0)</f>
        <v>0</v>
      </c>
      <c r="AC797" s="3">
        <f t="shared" si="221"/>
        <v>0</v>
      </c>
      <c r="AD797" s="3">
        <f>IF(AND($M797=1,LEFT(对接源_01水果!$D797,4)="成品出库"),1,0)</f>
        <v>0</v>
      </c>
      <c r="AE797" s="3">
        <f t="shared" si="222"/>
        <v>0</v>
      </c>
      <c r="AF797" s="3">
        <f>IF(AND($N797=1,AND(LEFT(对接源_01水果!$D797,4)="包装物料",N(对接源_01水果!$K797)&lt;&gt;0)),1,0)</f>
        <v>0</v>
      </c>
      <c r="AG797" s="3">
        <f t="shared" si="223"/>
        <v>0</v>
      </c>
      <c r="AH797" s="3">
        <f>IF(AND($N797=1,AND(对接源_01水果!$D797="周转筐－销售出库",N(对接源_01水果!$K797)&lt;&gt;0)),1,0)</f>
        <v>0</v>
      </c>
      <c r="AI797" s="3">
        <f t="shared" si="224"/>
        <v>0</v>
      </c>
      <c r="AJ797" s="7"/>
      <c r="AL797" s="3">
        <f>IF(OR($AL$1="",对接源_01水果!$Y797="",对接源_01水果!$Y797&lt;&gt;$AL$1,对接源_01水果!$B797="",N(对接源_01水果!$AJ797)&lt;=0),0,IF(OR(N(对接源_01水果!$B797)&lt;$AL$2,N(对接源_01水果!$B797)&gt;$AL$3),0,1))</f>
        <v>0</v>
      </c>
      <c r="AM797" s="3">
        <f t="shared" si="225"/>
        <v>1</v>
      </c>
      <c r="AN797" s="3" t="str">
        <f>IF(对接源_01水果!$AC797="","",对接源_01水果!$AC797)</f>
        <v/>
      </c>
      <c r="AO797" s="3">
        <f t="shared" si="226"/>
        <v>0</v>
      </c>
      <c r="AP797" s="3">
        <f t="shared" si="227"/>
        <v>8</v>
      </c>
      <c r="AR797">
        <f t="shared" si="228"/>
        <v>0</v>
      </c>
      <c r="AS797">
        <f t="shared" si="229"/>
        <v>0</v>
      </c>
    </row>
    <row r="798" ht="14.25" customHeight="1" spans="1:45">
      <c r="A798" s="3" t="str">
        <f>IF(对接源_01水果!$C798="","",对接源_01水果!$C798)</f>
        <v/>
      </c>
      <c r="B798" s="3">
        <f t="shared" si="213"/>
        <v>0</v>
      </c>
      <c r="C798" s="3">
        <f t="shared" si="214"/>
        <v>18</v>
      </c>
      <c r="K798" s="3">
        <f>IF(OR($K$1="",对接源_01水果!$C798="",对接源_01水果!$C798&lt;&gt;$K$1,对接源_01水果!$B798=""),0,IF(OR(N(对接源_01水果!$B798)&lt;$K$2,N(对接源_01水果!$B798)&gt;$K$3),0,1))</f>
        <v>0</v>
      </c>
      <c r="L798" s="3">
        <f>IF(OR($L$1="",对接源_01水果!$C798="",对接源_01水果!$C798&lt;&gt;$L$1,对接源_01水果!$B798=""),0,IF(OR(N(对接源_01水果!$B798)&lt;$L$2,N(对接源_01水果!$B798)&gt;$L$3),0,1))</f>
        <v>0</v>
      </c>
      <c r="M798" s="3">
        <f>IF(OR($M$1="",对接源_01水果!$C798="",对接源_01水果!$C798&lt;&gt;$M$1,对接源_01水果!$B798=""),0,IF(OR(N(对接源_01水果!$B798)&lt;$M$2,N(对接源_01水果!$B798)&gt;$M$3),0,1))</f>
        <v>0</v>
      </c>
      <c r="N798" s="3">
        <f>IF(OR($N$1="",对接源_01水果!$C798="",对接源_01水果!$C798&lt;&gt;$N$1,对接源_01水果!$B798=""),0,IF(OR(N(对接源_01水果!$B798)&lt;$N$2,N(对接源_01水果!$B798)&gt;$N$3),0,1))</f>
        <v>0</v>
      </c>
      <c r="P798" s="3">
        <f>IF(AND($K798=1,AND(对接源_01水果!$X798="公司筐",N(对接源_01水果!$T798)&lt;&gt;0)),1,0)</f>
        <v>0</v>
      </c>
      <c r="Q798" s="3">
        <f t="shared" si="215"/>
        <v>0</v>
      </c>
      <c r="R798" s="3">
        <f>IF(AND($K798=1,AND(对接源_01水果!$X798="公司筐",N(对接源_01水果!$U798)&lt;&gt;0)),1,0)</f>
        <v>0</v>
      </c>
      <c r="S798" s="3">
        <f t="shared" si="216"/>
        <v>0</v>
      </c>
      <c r="T798" s="3">
        <f>IF(AND($K798=1,AND(对接源_01水果!$X798="公司筐",N(对接源_01水果!$V798)&lt;&gt;0)),1,0)</f>
        <v>0</v>
      </c>
      <c r="U798" s="3">
        <f t="shared" si="217"/>
        <v>19</v>
      </c>
      <c r="V798" s="3">
        <f>IF(AND($L798=1,AND(对接源_01水果!$X798="自备筐",N(对接源_01水果!$V798)&lt;&gt;0)),1,0)</f>
        <v>0</v>
      </c>
      <c r="W798" s="3">
        <f t="shared" si="218"/>
        <v>8</v>
      </c>
      <c r="X798" s="3">
        <f>IF(AND($L798=1,AND(对接源_01水果!$X798="自备筐",N(对接源_01水果!$T798)&lt;&gt;0)),1,0)</f>
        <v>0</v>
      </c>
      <c r="Y798" s="3">
        <f t="shared" si="219"/>
        <v>0</v>
      </c>
      <c r="Z798" s="3">
        <f>IF(AND($M798=1,对接源_01水果!$D798="原料入库"),1,0)</f>
        <v>0</v>
      </c>
      <c r="AA798" s="3">
        <f t="shared" si="220"/>
        <v>24</v>
      </c>
      <c r="AB798" s="3">
        <f>IF(AND($M798=1,LEFT(对接源_01水果!$D798,4)="原料出库"),1,0)</f>
        <v>0</v>
      </c>
      <c r="AC798" s="3">
        <f t="shared" si="221"/>
        <v>0</v>
      </c>
      <c r="AD798" s="3">
        <f>IF(AND($M798=1,LEFT(对接源_01水果!$D798,4)="成品出库"),1,0)</f>
        <v>0</v>
      </c>
      <c r="AE798" s="3">
        <f t="shared" si="222"/>
        <v>0</v>
      </c>
      <c r="AF798" s="3">
        <f>IF(AND($N798=1,AND(LEFT(对接源_01水果!$D798,4)="包装物料",N(对接源_01水果!$K798)&lt;&gt;0)),1,0)</f>
        <v>0</v>
      </c>
      <c r="AG798" s="3">
        <f t="shared" si="223"/>
        <v>0</v>
      </c>
      <c r="AH798" s="3">
        <f>IF(AND($N798=1,AND(对接源_01水果!$D798="周转筐－销售出库",N(对接源_01水果!$K798)&lt;&gt;0)),1,0)</f>
        <v>0</v>
      </c>
      <c r="AI798" s="3">
        <f t="shared" si="224"/>
        <v>0</v>
      </c>
      <c r="AJ798" s="7"/>
      <c r="AL798" s="3">
        <f>IF(OR($AL$1="",对接源_01水果!$Y798="",对接源_01水果!$Y798&lt;&gt;$AL$1,对接源_01水果!$B798="",N(对接源_01水果!$AJ798)&lt;=0),0,IF(OR(N(对接源_01水果!$B798)&lt;$AL$2,N(对接源_01水果!$B798)&gt;$AL$3),0,1))</f>
        <v>0</v>
      </c>
      <c r="AM798" s="3">
        <f t="shared" si="225"/>
        <v>1</v>
      </c>
      <c r="AN798" s="3" t="str">
        <f>IF(对接源_01水果!$AC798="","",对接源_01水果!$AC798)</f>
        <v/>
      </c>
      <c r="AO798" s="3">
        <f t="shared" si="226"/>
        <v>0</v>
      </c>
      <c r="AP798" s="3">
        <f t="shared" si="227"/>
        <v>8</v>
      </c>
      <c r="AR798">
        <f t="shared" si="228"/>
        <v>0</v>
      </c>
      <c r="AS798">
        <f t="shared" si="229"/>
        <v>0</v>
      </c>
    </row>
    <row r="799" ht="14.25" customHeight="1" spans="1:45">
      <c r="A799" s="3" t="str">
        <f>IF(对接源_01水果!$C799="","",对接源_01水果!$C799)</f>
        <v/>
      </c>
      <c r="B799" s="3">
        <f t="shared" si="213"/>
        <v>0</v>
      </c>
      <c r="C799" s="3">
        <f t="shared" si="214"/>
        <v>18</v>
      </c>
      <c r="K799" s="3">
        <f>IF(OR($K$1="",对接源_01水果!$C799="",对接源_01水果!$C799&lt;&gt;$K$1,对接源_01水果!$B799=""),0,IF(OR(N(对接源_01水果!$B799)&lt;$K$2,N(对接源_01水果!$B799)&gt;$K$3),0,1))</f>
        <v>0</v>
      </c>
      <c r="L799" s="3">
        <f>IF(OR($L$1="",对接源_01水果!$C799="",对接源_01水果!$C799&lt;&gt;$L$1,对接源_01水果!$B799=""),0,IF(OR(N(对接源_01水果!$B799)&lt;$L$2,N(对接源_01水果!$B799)&gt;$L$3),0,1))</f>
        <v>0</v>
      </c>
      <c r="M799" s="3">
        <f>IF(OR($M$1="",对接源_01水果!$C799="",对接源_01水果!$C799&lt;&gt;$M$1,对接源_01水果!$B799=""),0,IF(OR(N(对接源_01水果!$B799)&lt;$M$2,N(对接源_01水果!$B799)&gt;$M$3),0,1))</f>
        <v>0</v>
      </c>
      <c r="N799" s="3">
        <f>IF(OR($N$1="",对接源_01水果!$C799="",对接源_01水果!$C799&lt;&gt;$N$1,对接源_01水果!$B799=""),0,IF(OR(N(对接源_01水果!$B799)&lt;$N$2,N(对接源_01水果!$B799)&gt;$N$3),0,1))</f>
        <v>0</v>
      </c>
      <c r="P799" s="3">
        <f>IF(AND($K799=1,AND(对接源_01水果!$X799="公司筐",N(对接源_01水果!$T799)&lt;&gt;0)),1,0)</f>
        <v>0</v>
      </c>
      <c r="Q799" s="3">
        <f t="shared" si="215"/>
        <v>0</v>
      </c>
      <c r="R799" s="3">
        <f>IF(AND($K799=1,AND(对接源_01水果!$X799="公司筐",N(对接源_01水果!$U799)&lt;&gt;0)),1,0)</f>
        <v>0</v>
      </c>
      <c r="S799" s="3">
        <f t="shared" si="216"/>
        <v>0</v>
      </c>
      <c r="T799" s="3">
        <f>IF(AND($K799=1,AND(对接源_01水果!$X799="公司筐",N(对接源_01水果!$V799)&lt;&gt;0)),1,0)</f>
        <v>0</v>
      </c>
      <c r="U799" s="3">
        <f t="shared" si="217"/>
        <v>19</v>
      </c>
      <c r="V799" s="3">
        <f>IF(AND($L799=1,AND(对接源_01水果!$X799="自备筐",N(对接源_01水果!$V799)&lt;&gt;0)),1,0)</f>
        <v>0</v>
      </c>
      <c r="W799" s="3">
        <f t="shared" si="218"/>
        <v>8</v>
      </c>
      <c r="X799" s="3">
        <f>IF(AND($L799=1,AND(对接源_01水果!$X799="自备筐",N(对接源_01水果!$T799)&lt;&gt;0)),1,0)</f>
        <v>0</v>
      </c>
      <c r="Y799" s="3">
        <f t="shared" si="219"/>
        <v>0</v>
      </c>
      <c r="Z799" s="3">
        <f>IF(AND($M799=1,对接源_01水果!$D799="原料入库"),1,0)</f>
        <v>0</v>
      </c>
      <c r="AA799" s="3">
        <f t="shared" si="220"/>
        <v>24</v>
      </c>
      <c r="AB799" s="3">
        <f>IF(AND($M799=1,LEFT(对接源_01水果!$D799,4)="原料出库"),1,0)</f>
        <v>0</v>
      </c>
      <c r="AC799" s="3">
        <f t="shared" si="221"/>
        <v>0</v>
      </c>
      <c r="AD799" s="3">
        <f>IF(AND($M799=1,LEFT(对接源_01水果!$D799,4)="成品出库"),1,0)</f>
        <v>0</v>
      </c>
      <c r="AE799" s="3">
        <f t="shared" si="222"/>
        <v>0</v>
      </c>
      <c r="AF799" s="3">
        <f>IF(AND($N799=1,AND(LEFT(对接源_01水果!$D799,4)="包装物料",N(对接源_01水果!$K799)&lt;&gt;0)),1,0)</f>
        <v>0</v>
      </c>
      <c r="AG799" s="3">
        <f t="shared" si="223"/>
        <v>0</v>
      </c>
      <c r="AH799" s="3">
        <f>IF(AND($N799=1,AND(对接源_01水果!$D799="周转筐－销售出库",N(对接源_01水果!$K799)&lt;&gt;0)),1,0)</f>
        <v>0</v>
      </c>
      <c r="AI799" s="3">
        <f t="shared" si="224"/>
        <v>0</v>
      </c>
      <c r="AJ799" s="7"/>
      <c r="AL799" s="3">
        <f>IF(OR($AL$1="",对接源_01水果!$Y799="",对接源_01水果!$Y799&lt;&gt;$AL$1,对接源_01水果!$B799="",N(对接源_01水果!$AJ799)&lt;=0),0,IF(OR(N(对接源_01水果!$B799)&lt;$AL$2,N(对接源_01水果!$B799)&gt;$AL$3),0,1))</f>
        <v>0</v>
      </c>
      <c r="AM799" s="3">
        <f t="shared" si="225"/>
        <v>1</v>
      </c>
      <c r="AN799" s="3" t="str">
        <f>IF(对接源_01水果!$AC799="","",对接源_01水果!$AC799)</f>
        <v/>
      </c>
      <c r="AO799" s="3">
        <f t="shared" si="226"/>
        <v>0</v>
      </c>
      <c r="AP799" s="3">
        <f t="shared" si="227"/>
        <v>8</v>
      </c>
      <c r="AR799">
        <f t="shared" si="228"/>
        <v>0</v>
      </c>
      <c r="AS799">
        <f t="shared" si="229"/>
        <v>0</v>
      </c>
    </row>
    <row r="800" ht="14.25" customHeight="1" spans="1:45">
      <c r="A800" s="3" t="str">
        <f>IF(对接源_01水果!$C800="","",对接源_01水果!$C800)</f>
        <v/>
      </c>
      <c r="B800" s="3">
        <f t="shared" si="213"/>
        <v>0</v>
      </c>
      <c r="C800" s="3">
        <f t="shared" si="214"/>
        <v>18</v>
      </c>
      <c r="K800" s="3">
        <f>IF(OR($K$1="",对接源_01水果!$C800="",对接源_01水果!$C800&lt;&gt;$K$1,对接源_01水果!$B800=""),0,IF(OR(N(对接源_01水果!$B800)&lt;$K$2,N(对接源_01水果!$B800)&gt;$K$3),0,1))</f>
        <v>0</v>
      </c>
      <c r="L800" s="3">
        <f>IF(OR($L$1="",对接源_01水果!$C800="",对接源_01水果!$C800&lt;&gt;$L$1,对接源_01水果!$B800=""),0,IF(OR(N(对接源_01水果!$B800)&lt;$L$2,N(对接源_01水果!$B800)&gt;$L$3),0,1))</f>
        <v>0</v>
      </c>
      <c r="M800" s="3">
        <f>IF(OR($M$1="",对接源_01水果!$C800="",对接源_01水果!$C800&lt;&gt;$M$1,对接源_01水果!$B800=""),0,IF(OR(N(对接源_01水果!$B800)&lt;$M$2,N(对接源_01水果!$B800)&gt;$M$3),0,1))</f>
        <v>0</v>
      </c>
      <c r="N800" s="3">
        <f>IF(OR($N$1="",对接源_01水果!$C800="",对接源_01水果!$C800&lt;&gt;$N$1,对接源_01水果!$B800=""),0,IF(OR(N(对接源_01水果!$B800)&lt;$N$2,N(对接源_01水果!$B800)&gt;$N$3),0,1))</f>
        <v>0</v>
      </c>
      <c r="P800" s="3">
        <f>IF(AND($K800=1,AND(对接源_01水果!$X800="公司筐",N(对接源_01水果!$T800)&lt;&gt;0)),1,0)</f>
        <v>0</v>
      </c>
      <c r="Q800" s="3">
        <f t="shared" si="215"/>
        <v>0</v>
      </c>
      <c r="R800" s="3">
        <f>IF(AND($K800=1,AND(对接源_01水果!$X800="公司筐",N(对接源_01水果!$U800)&lt;&gt;0)),1,0)</f>
        <v>0</v>
      </c>
      <c r="S800" s="3">
        <f t="shared" si="216"/>
        <v>0</v>
      </c>
      <c r="T800" s="3">
        <f>IF(AND($K800=1,AND(对接源_01水果!$X800="公司筐",N(对接源_01水果!$V800)&lt;&gt;0)),1,0)</f>
        <v>0</v>
      </c>
      <c r="U800" s="3">
        <f t="shared" si="217"/>
        <v>19</v>
      </c>
      <c r="V800" s="3">
        <f>IF(AND($L800=1,AND(对接源_01水果!$X800="自备筐",N(对接源_01水果!$V800)&lt;&gt;0)),1,0)</f>
        <v>0</v>
      </c>
      <c r="W800" s="3">
        <f t="shared" si="218"/>
        <v>8</v>
      </c>
      <c r="X800" s="3">
        <f>IF(AND($L800=1,AND(对接源_01水果!$X800="自备筐",N(对接源_01水果!$T800)&lt;&gt;0)),1,0)</f>
        <v>0</v>
      </c>
      <c r="Y800" s="3">
        <f t="shared" si="219"/>
        <v>0</v>
      </c>
      <c r="Z800" s="3">
        <f>IF(AND($M800=1,对接源_01水果!$D800="原料入库"),1,0)</f>
        <v>0</v>
      </c>
      <c r="AA800" s="3">
        <f t="shared" si="220"/>
        <v>24</v>
      </c>
      <c r="AB800" s="3">
        <f>IF(AND($M800=1,LEFT(对接源_01水果!$D800,4)="原料出库"),1,0)</f>
        <v>0</v>
      </c>
      <c r="AC800" s="3">
        <f t="shared" si="221"/>
        <v>0</v>
      </c>
      <c r="AD800" s="3">
        <f>IF(AND($M800=1,LEFT(对接源_01水果!$D800,4)="成品出库"),1,0)</f>
        <v>0</v>
      </c>
      <c r="AE800" s="3">
        <f t="shared" si="222"/>
        <v>0</v>
      </c>
      <c r="AF800" s="3">
        <f>IF(AND($N800=1,AND(LEFT(对接源_01水果!$D800,4)="包装物料",N(对接源_01水果!$K800)&lt;&gt;0)),1,0)</f>
        <v>0</v>
      </c>
      <c r="AG800" s="3">
        <f t="shared" si="223"/>
        <v>0</v>
      </c>
      <c r="AH800" s="3">
        <f>IF(AND($N800=1,AND(对接源_01水果!$D800="周转筐－销售出库",N(对接源_01水果!$K800)&lt;&gt;0)),1,0)</f>
        <v>0</v>
      </c>
      <c r="AI800" s="3">
        <f t="shared" si="224"/>
        <v>0</v>
      </c>
      <c r="AJ800" s="7"/>
      <c r="AL800" s="3">
        <f>IF(OR($AL$1="",对接源_01水果!$Y800="",对接源_01水果!$Y800&lt;&gt;$AL$1,对接源_01水果!$B800="",N(对接源_01水果!$AJ800)&lt;=0),0,IF(OR(N(对接源_01水果!$B800)&lt;$AL$2,N(对接源_01水果!$B800)&gt;$AL$3),0,1))</f>
        <v>0</v>
      </c>
      <c r="AM800" s="3">
        <f t="shared" si="225"/>
        <v>1</v>
      </c>
      <c r="AN800" s="3" t="str">
        <f>IF(对接源_01水果!$AC800="","",对接源_01水果!$AC800)</f>
        <v/>
      </c>
      <c r="AO800" s="3">
        <f t="shared" si="226"/>
        <v>0</v>
      </c>
      <c r="AP800" s="3">
        <f t="shared" si="227"/>
        <v>8</v>
      </c>
      <c r="AR800">
        <f t="shared" si="228"/>
        <v>0</v>
      </c>
      <c r="AS800">
        <f t="shared" si="229"/>
        <v>0</v>
      </c>
    </row>
    <row r="801" ht="14.25" customHeight="1" spans="1:45">
      <c r="A801" s="3" t="str">
        <f>IF(对接源_01水果!$C801="","",对接源_01水果!$C801)</f>
        <v/>
      </c>
      <c r="B801" s="3">
        <f t="shared" si="213"/>
        <v>0</v>
      </c>
      <c r="C801" s="3">
        <f t="shared" si="214"/>
        <v>18</v>
      </c>
      <c r="K801" s="3">
        <f>IF(OR($K$1="",对接源_01水果!$C801="",对接源_01水果!$C801&lt;&gt;$K$1,对接源_01水果!$B801=""),0,IF(OR(N(对接源_01水果!$B801)&lt;$K$2,N(对接源_01水果!$B801)&gt;$K$3),0,1))</f>
        <v>0</v>
      </c>
      <c r="L801" s="3">
        <f>IF(OR($L$1="",对接源_01水果!$C801="",对接源_01水果!$C801&lt;&gt;$L$1,对接源_01水果!$B801=""),0,IF(OR(N(对接源_01水果!$B801)&lt;$L$2,N(对接源_01水果!$B801)&gt;$L$3),0,1))</f>
        <v>0</v>
      </c>
      <c r="M801" s="3">
        <f>IF(OR($M$1="",对接源_01水果!$C801="",对接源_01水果!$C801&lt;&gt;$M$1,对接源_01水果!$B801=""),0,IF(OR(N(对接源_01水果!$B801)&lt;$M$2,N(对接源_01水果!$B801)&gt;$M$3),0,1))</f>
        <v>0</v>
      </c>
      <c r="N801" s="3">
        <f>IF(OR($N$1="",对接源_01水果!$C801="",对接源_01水果!$C801&lt;&gt;$N$1,对接源_01水果!$B801=""),0,IF(OR(N(对接源_01水果!$B801)&lt;$N$2,N(对接源_01水果!$B801)&gt;$N$3),0,1))</f>
        <v>0</v>
      </c>
      <c r="P801" s="3">
        <f>IF(AND($K801=1,AND(对接源_01水果!$X801="公司筐",N(对接源_01水果!$T801)&lt;&gt;0)),1,0)</f>
        <v>0</v>
      </c>
      <c r="Q801" s="3">
        <f t="shared" si="215"/>
        <v>0</v>
      </c>
      <c r="R801" s="3">
        <f>IF(AND($K801=1,AND(对接源_01水果!$X801="公司筐",N(对接源_01水果!$U801)&lt;&gt;0)),1,0)</f>
        <v>0</v>
      </c>
      <c r="S801" s="3">
        <f t="shared" si="216"/>
        <v>0</v>
      </c>
      <c r="T801" s="3">
        <f>IF(AND($K801=1,AND(对接源_01水果!$X801="公司筐",N(对接源_01水果!$V801)&lt;&gt;0)),1,0)</f>
        <v>0</v>
      </c>
      <c r="U801" s="3">
        <f t="shared" si="217"/>
        <v>19</v>
      </c>
      <c r="V801" s="3">
        <f>IF(AND($L801=1,AND(对接源_01水果!$X801="自备筐",N(对接源_01水果!$V801)&lt;&gt;0)),1,0)</f>
        <v>0</v>
      </c>
      <c r="W801" s="3">
        <f t="shared" si="218"/>
        <v>8</v>
      </c>
      <c r="X801" s="3">
        <f>IF(AND($L801=1,AND(对接源_01水果!$X801="自备筐",N(对接源_01水果!$T801)&lt;&gt;0)),1,0)</f>
        <v>0</v>
      </c>
      <c r="Y801" s="3">
        <f t="shared" si="219"/>
        <v>0</v>
      </c>
      <c r="Z801" s="3">
        <f>IF(AND($M801=1,对接源_01水果!$D801="原料入库"),1,0)</f>
        <v>0</v>
      </c>
      <c r="AA801" s="3">
        <f t="shared" si="220"/>
        <v>24</v>
      </c>
      <c r="AB801" s="3">
        <f>IF(AND($M801=1,LEFT(对接源_01水果!$D801,4)="原料出库"),1,0)</f>
        <v>0</v>
      </c>
      <c r="AC801" s="3">
        <f t="shared" si="221"/>
        <v>0</v>
      </c>
      <c r="AD801" s="3">
        <f>IF(AND($M801=1,LEFT(对接源_01水果!$D801,4)="成品出库"),1,0)</f>
        <v>0</v>
      </c>
      <c r="AE801" s="3">
        <f t="shared" si="222"/>
        <v>0</v>
      </c>
      <c r="AF801" s="3">
        <f>IF(AND($N801=1,AND(LEFT(对接源_01水果!$D801,4)="包装物料",N(对接源_01水果!$K801)&lt;&gt;0)),1,0)</f>
        <v>0</v>
      </c>
      <c r="AG801" s="3">
        <f t="shared" si="223"/>
        <v>0</v>
      </c>
      <c r="AH801" s="3">
        <f>IF(AND($N801=1,AND(对接源_01水果!$D801="周转筐－销售出库",N(对接源_01水果!$K801)&lt;&gt;0)),1,0)</f>
        <v>0</v>
      </c>
      <c r="AI801" s="3">
        <f t="shared" si="224"/>
        <v>0</v>
      </c>
      <c r="AJ801" s="7"/>
      <c r="AL801" s="3">
        <f>IF(OR($AL$1="",对接源_01水果!$Y801="",对接源_01水果!$Y801&lt;&gt;$AL$1,对接源_01水果!$B801="",N(对接源_01水果!$AJ801)&lt;=0),0,IF(OR(N(对接源_01水果!$B801)&lt;$AL$2,N(对接源_01水果!$B801)&gt;$AL$3),0,1))</f>
        <v>0</v>
      </c>
      <c r="AM801" s="3">
        <f t="shared" si="225"/>
        <v>1</v>
      </c>
      <c r="AN801" s="3" t="str">
        <f>IF(对接源_01水果!$AC801="","",对接源_01水果!$AC801)</f>
        <v/>
      </c>
      <c r="AO801" s="3">
        <f t="shared" si="226"/>
        <v>0</v>
      </c>
      <c r="AP801" s="3">
        <f t="shared" si="227"/>
        <v>8</v>
      </c>
      <c r="AR801">
        <f t="shared" si="228"/>
        <v>0</v>
      </c>
      <c r="AS801">
        <f t="shared" si="229"/>
        <v>0</v>
      </c>
    </row>
    <row r="802" ht="14.25" customHeight="1" spans="1:45">
      <c r="A802" s="3" t="str">
        <f>IF(对接源_01水果!$C802="","",对接源_01水果!$C802)</f>
        <v/>
      </c>
      <c r="B802" s="3">
        <f t="shared" si="213"/>
        <v>0</v>
      </c>
      <c r="C802" s="3">
        <f t="shared" si="214"/>
        <v>18</v>
      </c>
      <c r="K802" s="3">
        <f>IF(OR($K$1="",对接源_01水果!$C802="",对接源_01水果!$C802&lt;&gt;$K$1,对接源_01水果!$B802=""),0,IF(OR(N(对接源_01水果!$B802)&lt;$K$2,N(对接源_01水果!$B802)&gt;$K$3),0,1))</f>
        <v>0</v>
      </c>
      <c r="L802" s="3">
        <f>IF(OR($L$1="",对接源_01水果!$C802="",对接源_01水果!$C802&lt;&gt;$L$1,对接源_01水果!$B802=""),0,IF(OR(N(对接源_01水果!$B802)&lt;$L$2,N(对接源_01水果!$B802)&gt;$L$3),0,1))</f>
        <v>0</v>
      </c>
      <c r="M802" s="3">
        <f>IF(OR($M$1="",对接源_01水果!$C802="",对接源_01水果!$C802&lt;&gt;$M$1,对接源_01水果!$B802=""),0,IF(OR(N(对接源_01水果!$B802)&lt;$M$2,N(对接源_01水果!$B802)&gt;$M$3),0,1))</f>
        <v>0</v>
      </c>
      <c r="N802" s="3">
        <f>IF(OR($N$1="",对接源_01水果!$C802="",对接源_01水果!$C802&lt;&gt;$N$1,对接源_01水果!$B802=""),0,IF(OR(N(对接源_01水果!$B802)&lt;$N$2,N(对接源_01水果!$B802)&gt;$N$3),0,1))</f>
        <v>0</v>
      </c>
      <c r="P802" s="3">
        <f>IF(AND($K802=1,AND(对接源_01水果!$X802="公司筐",N(对接源_01水果!$T802)&lt;&gt;0)),1,0)</f>
        <v>0</v>
      </c>
      <c r="Q802" s="3">
        <f t="shared" si="215"/>
        <v>0</v>
      </c>
      <c r="R802" s="3">
        <f>IF(AND($K802=1,AND(对接源_01水果!$X802="公司筐",N(对接源_01水果!$U802)&lt;&gt;0)),1,0)</f>
        <v>0</v>
      </c>
      <c r="S802" s="3">
        <f t="shared" si="216"/>
        <v>0</v>
      </c>
      <c r="T802" s="3">
        <f>IF(AND($K802=1,AND(对接源_01水果!$X802="公司筐",N(对接源_01水果!$V802)&lt;&gt;0)),1,0)</f>
        <v>0</v>
      </c>
      <c r="U802" s="3">
        <f t="shared" si="217"/>
        <v>19</v>
      </c>
      <c r="V802" s="3">
        <f>IF(AND($L802=1,AND(对接源_01水果!$X802="自备筐",N(对接源_01水果!$V802)&lt;&gt;0)),1,0)</f>
        <v>0</v>
      </c>
      <c r="W802" s="3">
        <f t="shared" si="218"/>
        <v>8</v>
      </c>
      <c r="X802" s="3">
        <f>IF(AND($L802=1,AND(对接源_01水果!$X802="自备筐",N(对接源_01水果!$T802)&lt;&gt;0)),1,0)</f>
        <v>0</v>
      </c>
      <c r="Y802" s="3">
        <f t="shared" si="219"/>
        <v>0</v>
      </c>
      <c r="Z802" s="3">
        <f>IF(AND($M802=1,对接源_01水果!$D802="原料入库"),1,0)</f>
        <v>0</v>
      </c>
      <c r="AA802" s="3">
        <f t="shared" si="220"/>
        <v>24</v>
      </c>
      <c r="AB802" s="3">
        <f>IF(AND($M802=1,LEFT(对接源_01水果!$D802,4)="原料出库"),1,0)</f>
        <v>0</v>
      </c>
      <c r="AC802" s="3">
        <f t="shared" si="221"/>
        <v>0</v>
      </c>
      <c r="AD802" s="3">
        <f>IF(AND($M802=1,LEFT(对接源_01水果!$D802,4)="成品出库"),1,0)</f>
        <v>0</v>
      </c>
      <c r="AE802" s="3">
        <f t="shared" si="222"/>
        <v>0</v>
      </c>
      <c r="AF802" s="3">
        <f>IF(AND($N802=1,AND(LEFT(对接源_01水果!$D802,4)="包装物料",N(对接源_01水果!$K802)&lt;&gt;0)),1,0)</f>
        <v>0</v>
      </c>
      <c r="AG802" s="3">
        <f t="shared" si="223"/>
        <v>0</v>
      </c>
      <c r="AH802" s="3">
        <f>IF(AND($N802=1,AND(对接源_01水果!$D802="周转筐－销售出库",N(对接源_01水果!$K802)&lt;&gt;0)),1,0)</f>
        <v>0</v>
      </c>
      <c r="AI802" s="3">
        <f t="shared" si="224"/>
        <v>0</v>
      </c>
      <c r="AJ802" s="7"/>
      <c r="AL802" s="3">
        <f>IF(OR($AL$1="",对接源_01水果!$Y802="",对接源_01水果!$Y802&lt;&gt;$AL$1,对接源_01水果!$B802="",N(对接源_01水果!$AJ802)&lt;=0),0,IF(OR(N(对接源_01水果!$B802)&lt;$AL$2,N(对接源_01水果!$B802)&gt;$AL$3),0,1))</f>
        <v>0</v>
      </c>
      <c r="AM802" s="3">
        <f t="shared" si="225"/>
        <v>1</v>
      </c>
      <c r="AN802" s="3" t="str">
        <f>IF(对接源_01水果!$AC802="","",对接源_01水果!$AC802)</f>
        <v/>
      </c>
      <c r="AO802" s="3">
        <f t="shared" si="226"/>
        <v>0</v>
      </c>
      <c r="AP802" s="3">
        <f t="shared" si="227"/>
        <v>8</v>
      </c>
      <c r="AR802">
        <f t="shared" si="228"/>
        <v>0</v>
      </c>
      <c r="AS802">
        <f t="shared" si="229"/>
        <v>0</v>
      </c>
    </row>
    <row r="803" ht="14.25" customHeight="1" spans="1:45">
      <c r="A803" s="3" t="str">
        <f>IF(对接源_01水果!$C803="","",对接源_01水果!$C803)</f>
        <v/>
      </c>
      <c r="B803" s="3">
        <f t="shared" si="213"/>
        <v>0</v>
      </c>
      <c r="C803" s="3">
        <f t="shared" si="214"/>
        <v>18</v>
      </c>
      <c r="K803" s="3">
        <f>IF(OR($K$1="",对接源_01水果!$C803="",对接源_01水果!$C803&lt;&gt;$K$1,对接源_01水果!$B803=""),0,IF(OR(N(对接源_01水果!$B803)&lt;$K$2,N(对接源_01水果!$B803)&gt;$K$3),0,1))</f>
        <v>0</v>
      </c>
      <c r="L803" s="3">
        <f>IF(OR($L$1="",对接源_01水果!$C803="",对接源_01水果!$C803&lt;&gt;$L$1,对接源_01水果!$B803=""),0,IF(OR(N(对接源_01水果!$B803)&lt;$L$2,N(对接源_01水果!$B803)&gt;$L$3),0,1))</f>
        <v>0</v>
      </c>
      <c r="M803" s="3">
        <f>IF(OR($M$1="",对接源_01水果!$C803="",对接源_01水果!$C803&lt;&gt;$M$1,对接源_01水果!$B803=""),0,IF(OR(N(对接源_01水果!$B803)&lt;$M$2,N(对接源_01水果!$B803)&gt;$M$3),0,1))</f>
        <v>0</v>
      </c>
      <c r="N803" s="3">
        <f>IF(OR($N$1="",对接源_01水果!$C803="",对接源_01水果!$C803&lt;&gt;$N$1,对接源_01水果!$B803=""),0,IF(OR(N(对接源_01水果!$B803)&lt;$N$2,N(对接源_01水果!$B803)&gt;$N$3),0,1))</f>
        <v>0</v>
      </c>
      <c r="P803" s="3">
        <f>IF(AND($K803=1,AND(对接源_01水果!$X803="公司筐",N(对接源_01水果!$T803)&lt;&gt;0)),1,0)</f>
        <v>0</v>
      </c>
      <c r="Q803" s="3">
        <f t="shared" si="215"/>
        <v>0</v>
      </c>
      <c r="R803" s="3">
        <f>IF(AND($K803=1,AND(对接源_01水果!$X803="公司筐",N(对接源_01水果!$U803)&lt;&gt;0)),1,0)</f>
        <v>0</v>
      </c>
      <c r="S803" s="3">
        <f t="shared" si="216"/>
        <v>0</v>
      </c>
      <c r="T803" s="3">
        <f>IF(AND($K803=1,AND(对接源_01水果!$X803="公司筐",N(对接源_01水果!$V803)&lt;&gt;0)),1,0)</f>
        <v>0</v>
      </c>
      <c r="U803" s="3">
        <f t="shared" si="217"/>
        <v>19</v>
      </c>
      <c r="V803" s="3">
        <f>IF(AND($L803=1,AND(对接源_01水果!$X803="自备筐",N(对接源_01水果!$V803)&lt;&gt;0)),1,0)</f>
        <v>0</v>
      </c>
      <c r="W803" s="3">
        <f t="shared" si="218"/>
        <v>8</v>
      </c>
      <c r="X803" s="3">
        <f>IF(AND($L803=1,AND(对接源_01水果!$X803="自备筐",N(对接源_01水果!$T803)&lt;&gt;0)),1,0)</f>
        <v>0</v>
      </c>
      <c r="Y803" s="3">
        <f t="shared" si="219"/>
        <v>0</v>
      </c>
      <c r="Z803" s="3">
        <f>IF(AND($M803=1,对接源_01水果!$D803="原料入库"),1,0)</f>
        <v>0</v>
      </c>
      <c r="AA803" s="3">
        <f t="shared" si="220"/>
        <v>24</v>
      </c>
      <c r="AB803" s="3">
        <f>IF(AND($M803=1,LEFT(对接源_01水果!$D803,4)="原料出库"),1,0)</f>
        <v>0</v>
      </c>
      <c r="AC803" s="3">
        <f t="shared" si="221"/>
        <v>0</v>
      </c>
      <c r="AD803" s="3">
        <f>IF(AND($M803=1,LEFT(对接源_01水果!$D803,4)="成品出库"),1,0)</f>
        <v>0</v>
      </c>
      <c r="AE803" s="3">
        <f t="shared" si="222"/>
        <v>0</v>
      </c>
      <c r="AF803" s="3">
        <f>IF(AND($N803=1,AND(LEFT(对接源_01水果!$D803,4)="包装物料",N(对接源_01水果!$K803)&lt;&gt;0)),1,0)</f>
        <v>0</v>
      </c>
      <c r="AG803" s="3">
        <f t="shared" si="223"/>
        <v>0</v>
      </c>
      <c r="AH803" s="3">
        <f>IF(AND($N803=1,AND(对接源_01水果!$D803="周转筐－销售出库",N(对接源_01水果!$K803)&lt;&gt;0)),1,0)</f>
        <v>0</v>
      </c>
      <c r="AI803" s="3">
        <f t="shared" si="224"/>
        <v>0</v>
      </c>
      <c r="AJ803" s="7"/>
      <c r="AL803" s="3">
        <f>IF(OR($AL$1="",对接源_01水果!$Y803="",对接源_01水果!$Y803&lt;&gt;$AL$1,对接源_01水果!$B803="",N(对接源_01水果!$AJ803)&lt;=0),0,IF(OR(N(对接源_01水果!$B803)&lt;$AL$2,N(对接源_01水果!$B803)&gt;$AL$3),0,1))</f>
        <v>0</v>
      </c>
      <c r="AM803" s="3">
        <f t="shared" si="225"/>
        <v>1</v>
      </c>
      <c r="AN803" s="3" t="str">
        <f>IF(对接源_01水果!$AC803="","",对接源_01水果!$AC803)</f>
        <v/>
      </c>
      <c r="AO803" s="3">
        <f t="shared" si="226"/>
        <v>0</v>
      </c>
      <c r="AP803" s="3">
        <f t="shared" si="227"/>
        <v>8</v>
      </c>
      <c r="AR803">
        <f t="shared" si="228"/>
        <v>0</v>
      </c>
      <c r="AS803">
        <f t="shared" si="229"/>
        <v>0</v>
      </c>
    </row>
    <row r="804" ht="14.25" customHeight="1" spans="1:45">
      <c r="A804" s="3" t="str">
        <f>IF(对接源_01水果!$C804="","",对接源_01水果!$C804)</f>
        <v/>
      </c>
      <c r="B804" s="3">
        <f t="shared" si="213"/>
        <v>0</v>
      </c>
      <c r="C804" s="3">
        <f t="shared" si="214"/>
        <v>18</v>
      </c>
      <c r="K804" s="3">
        <f>IF(OR($K$1="",对接源_01水果!$C804="",对接源_01水果!$C804&lt;&gt;$K$1,对接源_01水果!$B804=""),0,IF(OR(N(对接源_01水果!$B804)&lt;$K$2,N(对接源_01水果!$B804)&gt;$K$3),0,1))</f>
        <v>0</v>
      </c>
      <c r="L804" s="3">
        <f>IF(OR($L$1="",对接源_01水果!$C804="",对接源_01水果!$C804&lt;&gt;$L$1,对接源_01水果!$B804=""),0,IF(OR(N(对接源_01水果!$B804)&lt;$L$2,N(对接源_01水果!$B804)&gt;$L$3),0,1))</f>
        <v>0</v>
      </c>
      <c r="M804" s="3">
        <f>IF(OR($M$1="",对接源_01水果!$C804="",对接源_01水果!$C804&lt;&gt;$M$1,对接源_01水果!$B804=""),0,IF(OR(N(对接源_01水果!$B804)&lt;$M$2,N(对接源_01水果!$B804)&gt;$M$3),0,1))</f>
        <v>0</v>
      </c>
      <c r="N804" s="3">
        <f>IF(OR($N$1="",对接源_01水果!$C804="",对接源_01水果!$C804&lt;&gt;$N$1,对接源_01水果!$B804=""),0,IF(OR(N(对接源_01水果!$B804)&lt;$N$2,N(对接源_01水果!$B804)&gt;$N$3),0,1))</f>
        <v>0</v>
      </c>
      <c r="P804" s="3">
        <f>IF(AND($K804=1,AND(对接源_01水果!$X804="公司筐",N(对接源_01水果!$T804)&lt;&gt;0)),1,0)</f>
        <v>0</v>
      </c>
      <c r="Q804" s="3">
        <f t="shared" si="215"/>
        <v>0</v>
      </c>
      <c r="R804" s="3">
        <f>IF(AND($K804=1,AND(对接源_01水果!$X804="公司筐",N(对接源_01水果!$U804)&lt;&gt;0)),1,0)</f>
        <v>0</v>
      </c>
      <c r="S804" s="3">
        <f t="shared" si="216"/>
        <v>0</v>
      </c>
      <c r="T804" s="3">
        <f>IF(AND($K804=1,AND(对接源_01水果!$X804="公司筐",N(对接源_01水果!$V804)&lt;&gt;0)),1,0)</f>
        <v>0</v>
      </c>
      <c r="U804" s="3">
        <f t="shared" si="217"/>
        <v>19</v>
      </c>
      <c r="V804" s="3">
        <f>IF(AND($L804=1,AND(对接源_01水果!$X804="自备筐",N(对接源_01水果!$V804)&lt;&gt;0)),1,0)</f>
        <v>0</v>
      </c>
      <c r="W804" s="3">
        <f t="shared" si="218"/>
        <v>8</v>
      </c>
      <c r="X804" s="3">
        <f>IF(AND($L804=1,AND(对接源_01水果!$X804="自备筐",N(对接源_01水果!$T804)&lt;&gt;0)),1,0)</f>
        <v>0</v>
      </c>
      <c r="Y804" s="3">
        <f t="shared" si="219"/>
        <v>0</v>
      </c>
      <c r="Z804" s="3">
        <f>IF(AND($M804=1,对接源_01水果!$D804="原料入库"),1,0)</f>
        <v>0</v>
      </c>
      <c r="AA804" s="3">
        <f t="shared" si="220"/>
        <v>24</v>
      </c>
      <c r="AB804" s="3">
        <f>IF(AND($M804=1,LEFT(对接源_01水果!$D804,4)="原料出库"),1,0)</f>
        <v>0</v>
      </c>
      <c r="AC804" s="3">
        <f t="shared" si="221"/>
        <v>0</v>
      </c>
      <c r="AD804" s="3">
        <f>IF(AND($M804=1,LEFT(对接源_01水果!$D804,4)="成品出库"),1,0)</f>
        <v>0</v>
      </c>
      <c r="AE804" s="3">
        <f t="shared" si="222"/>
        <v>0</v>
      </c>
      <c r="AF804" s="3">
        <f>IF(AND($N804=1,AND(LEFT(对接源_01水果!$D804,4)="包装物料",N(对接源_01水果!$K804)&lt;&gt;0)),1,0)</f>
        <v>0</v>
      </c>
      <c r="AG804" s="3">
        <f t="shared" si="223"/>
        <v>0</v>
      </c>
      <c r="AH804" s="3">
        <f>IF(AND($N804=1,AND(对接源_01水果!$D804="周转筐－销售出库",N(对接源_01水果!$K804)&lt;&gt;0)),1,0)</f>
        <v>0</v>
      </c>
      <c r="AI804" s="3">
        <f t="shared" si="224"/>
        <v>0</v>
      </c>
      <c r="AJ804" s="7"/>
      <c r="AL804" s="3">
        <f>IF(OR($AL$1="",对接源_01水果!$Y804="",对接源_01水果!$Y804&lt;&gt;$AL$1,对接源_01水果!$B804="",N(对接源_01水果!$AJ804)&lt;=0),0,IF(OR(N(对接源_01水果!$B804)&lt;$AL$2,N(对接源_01水果!$B804)&gt;$AL$3),0,1))</f>
        <v>0</v>
      </c>
      <c r="AM804" s="3">
        <f t="shared" si="225"/>
        <v>1</v>
      </c>
      <c r="AN804" s="3" t="str">
        <f>IF(对接源_01水果!$AC804="","",对接源_01水果!$AC804)</f>
        <v/>
      </c>
      <c r="AO804" s="3">
        <f t="shared" si="226"/>
        <v>0</v>
      </c>
      <c r="AP804" s="3">
        <f t="shared" si="227"/>
        <v>8</v>
      </c>
      <c r="AR804">
        <f t="shared" si="228"/>
        <v>0</v>
      </c>
      <c r="AS804">
        <f t="shared" si="229"/>
        <v>0</v>
      </c>
    </row>
    <row r="805" ht="14.25" customHeight="1" spans="1:45">
      <c r="A805" s="3" t="str">
        <f>IF(对接源_01水果!$C805="","",对接源_01水果!$C805)</f>
        <v/>
      </c>
      <c r="B805" s="3">
        <f t="shared" si="213"/>
        <v>0</v>
      </c>
      <c r="C805" s="3">
        <f t="shared" si="214"/>
        <v>18</v>
      </c>
      <c r="K805" s="3">
        <f>IF(OR($K$1="",对接源_01水果!$C805="",对接源_01水果!$C805&lt;&gt;$K$1,对接源_01水果!$B805=""),0,IF(OR(N(对接源_01水果!$B805)&lt;$K$2,N(对接源_01水果!$B805)&gt;$K$3),0,1))</f>
        <v>0</v>
      </c>
      <c r="L805" s="3">
        <f>IF(OR($L$1="",对接源_01水果!$C805="",对接源_01水果!$C805&lt;&gt;$L$1,对接源_01水果!$B805=""),0,IF(OR(N(对接源_01水果!$B805)&lt;$L$2,N(对接源_01水果!$B805)&gt;$L$3),0,1))</f>
        <v>0</v>
      </c>
      <c r="M805" s="3">
        <f>IF(OR($M$1="",对接源_01水果!$C805="",对接源_01水果!$C805&lt;&gt;$M$1,对接源_01水果!$B805=""),0,IF(OR(N(对接源_01水果!$B805)&lt;$M$2,N(对接源_01水果!$B805)&gt;$M$3),0,1))</f>
        <v>0</v>
      </c>
      <c r="N805" s="3">
        <f>IF(OR($N$1="",对接源_01水果!$C805="",对接源_01水果!$C805&lt;&gt;$N$1,对接源_01水果!$B805=""),0,IF(OR(N(对接源_01水果!$B805)&lt;$N$2,N(对接源_01水果!$B805)&gt;$N$3),0,1))</f>
        <v>0</v>
      </c>
      <c r="P805" s="3">
        <f>IF(AND($K805=1,AND(对接源_01水果!$X805="公司筐",N(对接源_01水果!$T805)&lt;&gt;0)),1,0)</f>
        <v>0</v>
      </c>
      <c r="Q805" s="3">
        <f t="shared" si="215"/>
        <v>0</v>
      </c>
      <c r="R805" s="3">
        <f>IF(AND($K805=1,AND(对接源_01水果!$X805="公司筐",N(对接源_01水果!$U805)&lt;&gt;0)),1,0)</f>
        <v>0</v>
      </c>
      <c r="S805" s="3">
        <f t="shared" si="216"/>
        <v>0</v>
      </c>
      <c r="T805" s="3">
        <f>IF(AND($K805=1,AND(对接源_01水果!$X805="公司筐",N(对接源_01水果!$V805)&lt;&gt;0)),1,0)</f>
        <v>0</v>
      </c>
      <c r="U805" s="3">
        <f t="shared" si="217"/>
        <v>19</v>
      </c>
      <c r="V805" s="3">
        <f>IF(AND($L805=1,AND(对接源_01水果!$X805="自备筐",N(对接源_01水果!$V805)&lt;&gt;0)),1,0)</f>
        <v>0</v>
      </c>
      <c r="W805" s="3">
        <f t="shared" si="218"/>
        <v>8</v>
      </c>
      <c r="X805" s="3">
        <f>IF(AND($L805=1,AND(对接源_01水果!$X805="自备筐",N(对接源_01水果!$T805)&lt;&gt;0)),1,0)</f>
        <v>0</v>
      </c>
      <c r="Y805" s="3">
        <f t="shared" si="219"/>
        <v>0</v>
      </c>
      <c r="Z805" s="3">
        <f>IF(AND($M805=1,对接源_01水果!$D805="原料入库"),1,0)</f>
        <v>0</v>
      </c>
      <c r="AA805" s="3">
        <f t="shared" si="220"/>
        <v>24</v>
      </c>
      <c r="AB805" s="3">
        <f>IF(AND($M805=1,LEFT(对接源_01水果!$D805,4)="原料出库"),1,0)</f>
        <v>0</v>
      </c>
      <c r="AC805" s="3">
        <f t="shared" si="221"/>
        <v>0</v>
      </c>
      <c r="AD805" s="3">
        <f>IF(AND($M805=1,LEFT(对接源_01水果!$D805,4)="成品出库"),1,0)</f>
        <v>0</v>
      </c>
      <c r="AE805" s="3">
        <f t="shared" si="222"/>
        <v>0</v>
      </c>
      <c r="AF805" s="3">
        <f>IF(AND($N805=1,AND(LEFT(对接源_01水果!$D805,4)="包装物料",N(对接源_01水果!$K805)&lt;&gt;0)),1,0)</f>
        <v>0</v>
      </c>
      <c r="AG805" s="3">
        <f t="shared" si="223"/>
        <v>0</v>
      </c>
      <c r="AH805" s="3">
        <f>IF(AND($N805=1,AND(对接源_01水果!$D805="周转筐－销售出库",N(对接源_01水果!$K805)&lt;&gt;0)),1,0)</f>
        <v>0</v>
      </c>
      <c r="AI805" s="3">
        <f t="shared" si="224"/>
        <v>0</v>
      </c>
      <c r="AJ805" s="7"/>
      <c r="AL805" s="3">
        <f>IF(OR($AL$1="",对接源_01水果!$Y805="",对接源_01水果!$Y805&lt;&gt;$AL$1,对接源_01水果!$B805="",N(对接源_01水果!$AJ805)&lt;=0),0,IF(OR(N(对接源_01水果!$B805)&lt;$AL$2,N(对接源_01水果!$B805)&gt;$AL$3),0,1))</f>
        <v>0</v>
      </c>
      <c r="AM805" s="3">
        <f t="shared" si="225"/>
        <v>1</v>
      </c>
      <c r="AN805" s="3" t="str">
        <f>IF(对接源_01水果!$AC805="","",对接源_01水果!$AC805)</f>
        <v/>
      </c>
      <c r="AO805" s="3">
        <f t="shared" si="226"/>
        <v>0</v>
      </c>
      <c r="AP805" s="3">
        <f t="shared" si="227"/>
        <v>8</v>
      </c>
      <c r="AR805">
        <f t="shared" si="228"/>
        <v>0</v>
      </c>
      <c r="AS805">
        <f t="shared" si="229"/>
        <v>0</v>
      </c>
    </row>
    <row r="806" ht="14.25" customHeight="1" spans="1:45">
      <c r="A806" s="3" t="str">
        <f>IF(对接源_01水果!$C806="","",对接源_01水果!$C806)</f>
        <v/>
      </c>
      <c r="B806" s="3">
        <f t="shared" si="213"/>
        <v>0</v>
      </c>
      <c r="C806" s="3">
        <f t="shared" si="214"/>
        <v>18</v>
      </c>
      <c r="K806" s="3">
        <f>IF(OR($K$1="",对接源_01水果!$C806="",对接源_01水果!$C806&lt;&gt;$K$1,对接源_01水果!$B806=""),0,IF(OR(N(对接源_01水果!$B806)&lt;$K$2,N(对接源_01水果!$B806)&gt;$K$3),0,1))</f>
        <v>0</v>
      </c>
      <c r="L806" s="3">
        <f>IF(OR($L$1="",对接源_01水果!$C806="",对接源_01水果!$C806&lt;&gt;$L$1,对接源_01水果!$B806=""),0,IF(OR(N(对接源_01水果!$B806)&lt;$L$2,N(对接源_01水果!$B806)&gt;$L$3),0,1))</f>
        <v>0</v>
      </c>
      <c r="M806" s="3">
        <f>IF(OR($M$1="",对接源_01水果!$C806="",对接源_01水果!$C806&lt;&gt;$M$1,对接源_01水果!$B806=""),0,IF(OR(N(对接源_01水果!$B806)&lt;$M$2,N(对接源_01水果!$B806)&gt;$M$3),0,1))</f>
        <v>0</v>
      </c>
      <c r="N806" s="3">
        <f>IF(OR($N$1="",对接源_01水果!$C806="",对接源_01水果!$C806&lt;&gt;$N$1,对接源_01水果!$B806=""),0,IF(OR(N(对接源_01水果!$B806)&lt;$N$2,N(对接源_01水果!$B806)&gt;$N$3),0,1))</f>
        <v>0</v>
      </c>
      <c r="P806" s="3">
        <f>IF(AND($K806=1,AND(对接源_01水果!$X806="公司筐",N(对接源_01水果!$T806)&lt;&gt;0)),1,0)</f>
        <v>0</v>
      </c>
      <c r="Q806" s="3">
        <f t="shared" si="215"/>
        <v>0</v>
      </c>
      <c r="R806" s="3">
        <f>IF(AND($K806=1,AND(对接源_01水果!$X806="公司筐",N(对接源_01水果!$U806)&lt;&gt;0)),1,0)</f>
        <v>0</v>
      </c>
      <c r="S806" s="3">
        <f t="shared" si="216"/>
        <v>0</v>
      </c>
      <c r="T806" s="3">
        <f>IF(AND($K806=1,AND(对接源_01水果!$X806="公司筐",N(对接源_01水果!$V806)&lt;&gt;0)),1,0)</f>
        <v>0</v>
      </c>
      <c r="U806" s="3">
        <f t="shared" si="217"/>
        <v>19</v>
      </c>
      <c r="V806" s="3">
        <f>IF(AND($L806=1,AND(对接源_01水果!$X806="自备筐",N(对接源_01水果!$V806)&lt;&gt;0)),1,0)</f>
        <v>0</v>
      </c>
      <c r="W806" s="3">
        <f t="shared" si="218"/>
        <v>8</v>
      </c>
      <c r="X806" s="3">
        <f>IF(AND($L806=1,AND(对接源_01水果!$X806="自备筐",N(对接源_01水果!$T806)&lt;&gt;0)),1,0)</f>
        <v>0</v>
      </c>
      <c r="Y806" s="3">
        <f t="shared" si="219"/>
        <v>0</v>
      </c>
      <c r="Z806" s="3">
        <f>IF(AND($M806=1,对接源_01水果!$D806="原料入库"),1,0)</f>
        <v>0</v>
      </c>
      <c r="AA806" s="3">
        <f t="shared" si="220"/>
        <v>24</v>
      </c>
      <c r="AB806" s="3">
        <f>IF(AND($M806=1,LEFT(对接源_01水果!$D806,4)="原料出库"),1,0)</f>
        <v>0</v>
      </c>
      <c r="AC806" s="3">
        <f t="shared" si="221"/>
        <v>0</v>
      </c>
      <c r="AD806" s="3">
        <f>IF(AND($M806=1,LEFT(对接源_01水果!$D806,4)="成品出库"),1,0)</f>
        <v>0</v>
      </c>
      <c r="AE806" s="3">
        <f t="shared" si="222"/>
        <v>0</v>
      </c>
      <c r="AF806" s="3">
        <f>IF(AND($N806=1,AND(LEFT(对接源_01水果!$D806,4)="包装物料",N(对接源_01水果!$K806)&lt;&gt;0)),1,0)</f>
        <v>0</v>
      </c>
      <c r="AG806" s="3">
        <f t="shared" si="223"/>
        <v>0</v>
      </c>
      <c r="AH806" s="3">
        <f>IF(AND($N806=1,AND(对接源_01水果!$D806="周转筐－销售出库",N(对接源_01水果!$K806)&lt;&gt;0)),1,0)</f>
        <v>0</v>
      </c>
      <c r="AI806" s="3">
        <f t="shared" si="224"/>
        <v>0</v>
      </c>
      <c r="AJ806" s="7"/>
      <c r="AL806" s="3">
        <f>IF(OR($AL$1="",对接源_01水果!$Y806="",对接源_01水果!$Y806&lt;&gt;$AL$1,对接源_01水果!$B806="",N(对接源_01水果!$AJ806)&lt;=0),0,IF(OR(N(对接源_01水果!$B806)&lt;$AL$2,N(对接源_01水果!$B806)&gt;$AL$3),0,1))</f>
        <v>0</v>
      </c>
      <c r="AM806" s="3">
        <f t="shared" si="225"/>
        <v>1</v>
      </c>
      <c r="AN806" s="3" t="str">
        <f>IF(对接源_01水果!$AC806="","",对接源_01水果!$AC806)</f>
        <v/>
      </c>
      <c r="AO806" s="3">
        <f t="shared" si="226"/>
        <v>0</v>
      </c>
      <c r="AP806" s="3">
        <f t="shared" si="227"/>
        <v>8</v>
      </c>
      <c r="AR806">
        <f t="shared" si="228"/>
        <v>0</v>
      </c>
      <c r="AS806">
        <f t="shared" si="229"/>
        <v>0</v>
      </c>
    </row>
    <row r="807" ht="14.25" customHeight="1" spans="1:45">
      <c r="A807" s="3" t="str">
        <f>IF(对接源_01水果!$C807="","",对接源_01水果!$C807)</f>
        <v/>
      </c>
      <c r="B807" s="3">
        <f t="shared" si="213"/>
        <v>0</v>
      </c>
      <c r="C807" s="3">
        <f t="shared" si="214"/>
        <v>18</v>
      </c>
      <c r="K807" s="3">
        <f>IF(OR($K$1="",对接源_01水果!$C807="",对接源_01水果!$C807&lt;&gt;$K$1,对接源_01水果!$B807=""),0,IF(OR(N(对接源_01水果!$B807)&lt;$K$2,N(对接源_01水果!$B807)&gt;$K$3),0,1))</f>
        <v>0</v>
      </c>
      <c r="L807" s="3">
        <f>IF(OR($L$1="",对接源_01水果!$C807="",对接源_01水果!$C807&lt;&gt;$L$1,对接源_01水果!$B807=""),0,IF(OR(N(对接源_01水果!$B807)&lt;$L$2,N(对接源_01水果!$B807)&gt;$L$3),0,1))</f>
        <v>0</v>
      </c>
      <c r="M807" s="3">
        <f>IF(OR($M$1="",对接源_01水果!$C807="",对接源_01水果!$C807&lt;&gt;$M$1,对接源_01水果!$B807=""),0,IF(OR(N(对接源_01水果!$B807)&lt;$M$2,N(对接源_01水果!$B807)&gt;$M$3),0,1))</f>
        <v>0</v>
      </c>
      <c r="N807" s="3">
        <f>IF(OR($N$1="",对接源_01水果!$C807="",对接源_01水果!$C807&lt;&gt;$N$1,对接源_01水果!$B807=""),0,IF(OR(N(对接源_01水果!$B807)&lt;$N$2,N(对接源_01水果!$B807)&gt;$N$3),0,1))</f>
        <v>0</v>
      </c>
      <c r="P807" s="3">
        <f>IF(AND($K807=1,AND(对接源_01水果!$X807="公司筐",N(对接源_01水果!$T807)&lt;&gt;0)),1,0)</f>
        <v>0</v>
      </c>
      <c r="Q807" s="3">
        <f t="shared" si="215"/>
        <v>0</v>
      </c>
      <c r="R807" s="3">
        <f>IF(AND($K807=1,AND(对接源_01水果!$X807="公司筐",N(对接源_01水果!$U807)&lt;&gt;0)),1,0)</f>
        <v>0</v>
      </c>
      <c r="S807" s="3">
        <f t="shared" si="216"/>
        <v>0</v>
      </c>
      <c r="T807" s="3">
        <f>IF(AND($K807=1,AND(对接源_01水果!$X807="公司筐",N(对接源_01水果!$V807)&lt;&gt;0)),1,0)</f>
        <v>0</v>
      </c>
      <c r="U807" s="3">
        <f t="shared" si="217"/>
        <v>19</v>
      </c>
      <c r="V807" s="3">
        <f>IF(AND($L807=1,AND(对接源_01水果!$X807="自备筐",N(对接源_01水果!$V807)&lt;&gt;0)),1,0)</f>
        <v>0</v>
      </c>
      <c r="W807" s="3">
        <f t="shared" si="218"/>
        <v>8</v>
      </c>
      <c r="X807" s="3">
        <f>IF(AND($L807=1,AND(对接源_01水果!$X807="自备筐",N(对接源_01水果!$T807)&lt;&gt;0)),1,0)</f>
        <v>0</v>
      </c>
      <c r="Y807" s="3">
        <f t="shared" si="219"/>
        <v>0</v>
      </c>
      <c r="Z807" s="3">
        <f>IF(AND($M807=1,对接源_01水果!$D807="原料入库"),1,0)</f>
        <v>0</v>
      </c>
      <c r="AA807" s="3">
        <f t="shared" si="220"/>
        <v>24</v>
      </c>
      <c r="AB807" s="3">
        <f>IF(AND($M807=1,LEFT(对接源_01水果!$D807,4)="原料出库"),1,0)</f>
        <v>0</v>
      </c>
      <c r="AC807" s="3">
        <f t="shared" si="221"/>
        <v>0</v>
      </c>
      <c r="AD807" s="3">
        <f>IF(AND($M807=1,LEFT(对接源_01水果!$D807,4)="成品出库"),1,0)</f>
        <v>0</v>
      </c>
      <c r="AE807" s="3">
        <f t="shared" si="222"/>
        <v>0</v>
      </c>
      <c r="AF807" s="3">
        <f>IF(AND($N807=1,AND(LEFT(对接源_01水果!$D807,4)="包装物料",N(对接源_01水果!$K807)&lt;&gt;0)),1,0)</f>
        <v>0</v>
      </c>
      <c r="AG807" s="3">
        <f t="shared" si="223"/>
        <v>0</v>
      </c>
      <c r="AH807" s="3">
        <f>IF(AND($N807=1,AND(对接源_01水果!$D807="周转筐－销售出库",N(对接源_01水果!$K807)&lt;&gt;0)),1,0)</f>
        <v>0</v>
      </c>
      <c r="AI807" s="3">
        <f t="shared" si="224"/>
        <v>0</v>
      </c>
      <c r="AJ807" s="7"/>
      <c r="AL807" s="3">
        <f>IF(OR($AL$1="",对接源_01水果!$Y807="",对接源_01水果!$Y807&lt;&gt;$AL$1,对接源_01水果!$B807="",N(对接源_01水果!$AJ807)&lt;=0),0,IF(OR(N(对接源_01水果!$B807)&lt;$AL$2,N(对接源_01水果!$B807)&gt;$AL$3),0,1))</f>
        <v>0</v>
      </c>
      <c r="AM807" s="3">
        <f t="shared" si="225"/>
        <v>1</v>
      </c>
      <c r="AN807" s="3" t="str">
        <f>IF(对接源_01水果!$AC807="","",对接源_01水果!$AC807)</f>
        <v/>
      </c>
      <c r="AO807" s="3">
        <f t="shared" si="226"/>
        <v>0</v>
      </c>
      <c r="AP807" s="3">
        <f t="shared" si="227"/>
        <v>8</v>
      </c>
      <c r="AR807">
        <f t="shared" si="228"/>
        <v>0</v>
      </c>
      <c r="AS807">
        <f t="shared" si="229"/>
        <v>0</v>
      </c>
    </row>
    <row r="808" ht="14.25" customHeight="1" spans="1:45">
      <c r="A808" s="3" t="str">
        <f>IF(对接源_01水果!$C808="","",对接源_01水果!$C808)</f>
        <v/>
      </c>
      <c r="B808" s="3">
        <f t="shared" si="213"/>
        <v>0</v>
      </c>
      <c r="C808" s="3">
        <f t="shared" si="214"/>
        <v>18</v>
      </c>
      <c r="K808" s="3">
        <f>IF(OR($K$1="",对接源_01水果!$C808="",对接源_01水果!$C808&lt;&gt;$K$1,对接源_01水果!$B808=""),0,IF(OR(N(对接源_01水果!$B808)&lt;$K$2,N(对接源_01水果!$B808)&gt;$K$3),0,1))</f>
        <v>0</v>
      </c>
      <c r="L808" s="3">
        <f>IF(OR($L$1="",对接源_01水果!$C808="",对接源_01水果!$C808&lt;&gt;$L$1,对接源_01水果!$B808=""),0,IF(OR(N(对接源_01水果!$B808)&lt;$L$2,N(对接源_01水果!$B808)&gt;$L$3),0,1))</f>
        <v>0</v>
      </c>
      <c r="M808" s="3">
        <f>IF(OR($M$1="",对接源_01水果!$C808="",对接源_01水果!$C808&lt;&gt;$M$1,对接源_01水果!$B808=""),0,IF(OR(N(对接源_01水果!$B808)&lt;$M$2,N(对接源_01水果!$B808)&gt;$M$3),0,1))</f>
        <v>0</v>
      </c>
      <c r="N808" s="3">
        <f>IF(OR($N$1="",对接源_01水果!$C808="",对接源_01水果!$C808&lt;&gt;$N$1,对接源_01水果!$B808=""),0,IF(OR(N(对接源_01水果!$B808)&lt;$N$2,N(对接源_01水果!$B808)&gt;$N$3),0,1))</f>
        <v>0</v>
      </c>
      <c r="P808" s="3">
        <f>IF(AND($K808=1,AND(对接源_01水果!$X808="公司筐",N(对接源_01水果!$T808)&lt;&gt;0)),1,0)</f>
        <v>0</v>
      </c>
      <c r="Q808" s="3">
        <f t="shared" si="215"/>
        <v>0</v>
      </c>
      <c r="R808" s="3">
        <f>IF(AND($K808=1,AND(对接源_01水果!$X808="公司筐",N(对接源_01水果!$U808)&lt;&gt;0)),1,0)</f>
        <v>0</v>
      </c>
      <c r="S808" s="3">
        <f t="shared" si="216"/>
        <v>0</v>
      </c>
      <c r="T808" s="3">
        <f>IF(AND($K808=1,AND(对接源_01水果!$X808="公司筐",N(对接源_01水果!$V808)&lt;&gt;0)),1,0)</f>
        <v>0</v>
      </c>
      <c r="U808" s="3">
        <f t="shared" si="217"/>
        <v>19</v>
      </c>
      <c r="V808" s="3">
        <f>IF(AND($L808=1,AND(对接源_01水果!$X808="自备筐",N(对接源_01水果!$V808)&lt;&gt;0)),1,0)</f>
        <v>0</v>
      </c>
      <c r="W808" s="3">
        <f t="shared" si="218"/>
        <v>8</v>
      </c>
      <c r="X808" s="3">
        <f>IF(AND($L808=1,AND(对接源_01水果!$X808="自备筐",N(对接源_01水果!$T808)&lt;&gt;0)),1,0)</f>
        <v>0</v>
      </c>
      <c r="Y808" s="3">
        <f t="shared" si="219"/>
        <v>0</v>
      </c>
      <c r="Z808" s="3">
        <f>IF(AND($M808=1,对接源_01水果!$D808="原料入库"),1,0)</f>
        <v>0</v>
      </c>
      <c r="AA808" s="3">
        <f t="shared" si="220"/>
        <v>24</v>
      </c>
      <c r="AB808" s="3">
        <f>IF(AND($M808=1,LEFT(对接源_01水果!$D808,4)="原料出库"),1,0)</f>
        <v>0</v>
      </c>
      <c r="AC808" s="3">
        <f t="shared" si="221"/>
        <v>0</v>
      </c>
      <c r="AD808" s="3">
        <f>IF(AND($M808=1,LEFT(对接源_01水果!$D808,4)="成品出库"),1,0)</f>
        <v>0</v>
      </c>
      <c r="AE808" s="3">
        <f t="shared" si="222"/>
        <v>0</v>
      </c>
      <c r="AF808" s="3">
        <f>IF(AND($N808=1,AND(LEFT(对接源_01水果!$D808,4)="包装物料",N(对接源_01水果!$K808)&lt;&gt;0)),1,0)</f>
        <v>0</v>
      </c>
      <c r="AG808" s="3">
        <f t="shared" si="223"/>
        <v>0</v>
      </c>
      <c r="AH808" s="3">
        <f>IF(AND($N808=1,AND(对接源_01水果!$D808="周转筐－销售出库",N(对接源_01水果!$K808)&lt;&gt;0)),1,0)</f>
        <v>0</v>
      </c>
      <c r="AI808" s="3">
        <f t="shared" si="224"/>
        <v>0</v>
      </c>
      <c r="AJ808" s="7"/>
      <c r="AL808" s="3">
        <f>IF(OR($AL$1="",对接源_01水果!$Y808="",对接源_01水果!$Y808&lt;&gt;$AL$1,对接源_01水果!$B808="",N(对接源_01水果!$AJ808)&lt;=0),0,IF(OR(N(对接源_01水果!$B808)&lt;$AL$2,N(对接源_01水果!$B808)&gt;$AL$3),0,1))</f>
        <v>0</v>
      </c>
      <c r="AM808" s="3">
        <f t="shared" si="225"/>
        <v>1</v>
      </c>
      <c r="AN808" s="3" t="str">
        <f>IF(对接源_01水果!$AC808="","",对接源_01水果!$AC808)</f>
        <v/>
      </c>
      <c r="AO808" s="3">
        <f t="shared" si="226"/>
        <v>0</v>
      </c>
      <c r="AP808" s="3">
        <f t="shared" si="227"/>
        <v>8</v>
      </c>
      <c r="AR808">
        <f t="shared" si="228"/>
        <v>0</v>
      </c>
      <c r="AS808">
        <f t="shared" si="229"/>
        <v>0</v>
      </c>
    </row>
    <row r="809" ht="14.25" customHeight="1" spans="1:45">
      <c r="A809" s="3" t="str">
        <f>IF(对接源_01水果!$C809="","",对接源_01水果!$C809)</f>
        <v/>
      </c>
      <c r="B809" s="3">
        <f t="shared" si="213"/>
        <v>0</v>
      </c>
      <c r="C809" s="3">
        <f t="shared" si="214"/>
        <v>18</v>
      </c>
      <c r="K809" s="3">
        <f>IF(OR($K$1="",对接源_01水果!$C809="",对接源_01水果!$C809&lt;&gt;$K$1,对接源_01水果!$B809=""),0,IF(OR(N(对接源_01水果!$B809)&lt;$K$2,N(对接源_01水果!$B809)&gt;$K$3),0,1))</f>
        <v>0</v>
      </c>
      <c r="L809" s="3">
        <f>IF(OR($L$1="",对接源_01水果!$C809="",对接源_01水果!$C809&lt;&gt;$L$1,对接源_01水果!$B809=""),0,IF(OR(N(对接源_01水果!$B809)&lt;$L$2,N(对接源_01水果!$B809)&gt;$L$3),0,1))</f>
        <v>0</v>
      </c>
      <c r="M809" s="3">
        <f>IF(OR($M$1="",对接源_01水果!$C809="",对接源_01水果!$C809&lt;&gt;$M$1,对接源_01水果!$B809=""),0,IF(OR(N(对接源_01水果!$B809)&lt;$M$2,N(对接源_01水果!$B809)&gt;$M$3),0,1))</f>
        <v>0</v>
      </c>
      <c r="N809" s="3">
        <f>IF(OR($N$1="",对接源_01水果!$C809="",对接源_01水果!$C809&lt;&gt;$N$1,对接源_01水果!$B809=""),0,IF(OR(N(对接源_01水果!$B809)&lt;$N$2,N(对接源_01水果!$B809)&gt;$N$3),0,1))</f>
        <v>0</v>
      </c>
      <c r="P809" s="3">
        <f>IF(AND($K809=1,AND(对接源_01水果!$X809="公司筐",N(对接源_01水果!$T809)&lt;&gt;0)),1,0)</f>
        <v>0</v>
      </c>
      <c r="Q809" s="3">
        <f t="shared" si="215"/>
        <v>0</v>
      </c>
      <c r="R809" s="3">
        <f>IF(AND($K809=1,AND(对接源_01水果!$X809="公司筐",N(对接源_01水果!$U809)&lt;&gt;0)),1,0)</f>
        <v>0</v>
      </c>
      <c r="S809" s="3">
        <f t="shared" si="216"/>
        <v>0</v>
      </c>
      <c r="T809" s="3">
        <f>IF(AND($K809=1,AND(对接源_01水果!$X809="公司筐",N(对接源_01水果!$V809)&lt;&gt;0)),1,0)</f>
        <v>0</v>
      </c>
      <c r="U809" s="3">
        <f t="shared" si="217"/>
        <v>19</v>
      </c>
      <c r="V809" s="3">
        <f>IF(AND($L809=1,AND(对接源_01水果!$X809="自备筐",N(对接源_01水果!$V809)&lt;&gt;0)),1,0)</f>
        <v>0</v>
      </c>
      <c r="W809" s="3">
        <f t="shared" si="218"/>
        <v>8</v>
      </c>
      <c r="X809" s="3">
        <f>IF(AND($L809=1,AND(对接源_01水果!$X809="自备筐",N(对接源_01水果!$T809)&lt;&gt;0)),1,0)</f>
        <v>0</v>
      </c>
      <c r="Y809" s="3">
        <f t="shared" si="219"/>
        <v>0</v>
      </c>
      <c r="Z809" s="3">
        <f>IF(AND($M809=1,对接源_01水果!$D809="原料入库"),1,0)</f>
        <v>0</v>
      </c>
      <c r="AA809" s="3">
        <f t="shared" si="220"/>
        <v>24</v>
      </c>
      <c r="AB809" s="3">
        <f>IF(AND($M809=1,LEFT(对接源_01水果!$D809,4)="原料出库"),1,0)</f>
        <v>0</v>
      </c>
      <c r="AC809" s="3">
        <f t="shared" si="221"/>
        <v>0</v>
      </c>
      <c r="AD809" s="3">
        <f>IF(AND($M809=1,LEFT(对接源_01水果!$D809,4)="成品出库"),1,0)</f>
        <v>0</v>
      </c>
      <c r="AE809" s="3">
        <f t="shared" si="222"/>
        <v>0</v>
      </c>
      <c r="AF809" s="3">
        <f>IF(AND($N809=1,AND(LEFT(对接源_01水果!$D809,4)="包装物料",N(对接源_01水果!$K809)&lt;&gt;0)),1,0)</f>
        <v>0</v>
      </c>
      <c r="AG809" s="3">
        <f t="shared" si="223"/>
        <v>0</v>
      </c>
      <c r="AH809" s="3">
        <f>IF(AND($N809=1,AND(对接源_01水果!$D809="周转筐－销售出库",N(对接源_01水果!$K809)&lt;&gt;0)),1,0)</f>
        <v>0</v>
      </c>
      <c r="AI809" s="3">
        <f t="shared" si="224"/>
        <v>0</v>
      </c>
      <c r="AJ809" s="7"/>
      <c r="AL809" s="3">
        <f>IF(OR($AL$1="",对接源_01水果!$Y809="",对接源_01水果!$Y809&lt;&gt;$AL$1,对接源_01水果!$B809="",N(对接源_01水果!$AJ809)&lt;=0),0,IF(OR(N(对接源_01水果!$B809)&lt;$AL$2,N(对接源_01水果!$B809)&gt;$AL$3),0,1))</f>
        <v>0</v>
      </c>
      <c r="AM809" s="3">
        <f t="shared" si="225"/>
        <v>1</v>
      </c>
      <c r="AN809" s="3" t="str">
        <f>IF(对接源_01水果!$AC809="","",对接源_01水果!$AC809)</f>
        <v/>
      </c>
      <c r="AO809" s="3">
        <f t="shared" si="226"/>
        <v>0</v>
      </c>
      <c r="AP809" s="3">
        <f t="shared" si="227"/>
        <v>8</v>
      </c>
      <c r="AR809">
        <f t="shared" si="228"/>
        <v>0</v>
      </c>
      <c r="AS809">
        <f t="shared" si="229"/>
        <v>0</v>
      </c>
    </row>
    <row r="810" ht="14.25" customHeight="1" spans="1:45">
      <c r="A810" s="3" t="str">
        <f>IF(对接源_01水果!$C810="","",对接源_01水果!$C810)</f>
        <v/>
      </c>
      <c r="B810" s="3">
        <f t="shared" si="213"/>
        <v>0</v>
      </c>
      <c r="C810" s="3">
        <f t="shared" si="214"/>
        <v>18</v>
      </c>
      <c r="K810" s="3">
        <f>IF(OR($K$1="",对接源_01水果!$C810="",对接源_01水果!$C810&lt;&gt;$K$1,对接源_01水果!$B810=""),0,IF(OR(N(对接源_01水果!$B810)&lt;$K$2,N(对接源_01水果!$B810)&gt;$K$3),0,1))</f>
        <v>0</v>
      </c>
      <c r="L810" s="3">
        <f>IF(OR($L$1="",对接源_01水果!$C810="",对接源_01水果!$C810&lt;&gt;$L$1,对接源_01水果!$B810=""),0,IF(OR(N(对接源_01水果!$B810)&lt;$L$2,N(对接源_01水果!$B810)&gt;$L$3),0,1))</f>
        <v>0</v>
      </c>
      <c r="M810" s="3">
        <f>IF(OR($M$1="",对接源_01水果!$C810="",对接源_01水果!$C810&lt;&gt;$M$1,对接源_01水果!$B810=""),0,IF(OR(N(对接源_01水果!$B810)&lt;$M$2,N(对接源_01水果!$B810)&gt;$M$3),0,1))</f>
        <v>0</v>
      </c>
      <c r="N810" s="3">
        <f>IF(OR($N$1="",对接源_01水果!$C810="",对接源_01水果!$C810&lt;&gt;$N$1,对接源_01水果!$B810=""),0,IF(OR(N(对接源_01水果!$B810)&lt;$N$2,N(对接源_01水果!$B810)&gt;$N$3),0,1))</f>
        <v>0</v>
      </c>
      <c r="P810" s="3">
        <f>IF(AND($K810=1,AND(对接源_01水果!$X810="公司筐",N(对接源_01水果!$T810)&lt;&gt;0)),1,0)</f>
        <v>0</v>
      </c>
      <c r="Q810" s="3">
        <f t="shared" si="215"/>
        <v>0</v>
      </c>
      <c r="R810" s="3">
        <f>IF(AND($K810=1,AND(对接源_01水果!$X810="公司筐",N(对接源_01水果!$U810)&lt;&gt;0)),1,0)</f>
        <v>0</v>
      </c>
      <c r="S810" s="3">
        <f t="shared" si="216"/>
        <v>0</v>
      </c>
      <c r="T810" s="3">
        <f>IF(AND($K810=1,AND(对接源_01水果!$X810="公司筐",N(对接源_01水果!$V810)&lt;&gt;0)),1,0)</f>
        <v>0</v>
      </c>
      <c r="U810" s="3">
        <f t="shared" si="217"/>
        <v>19</v>
      </c>
      <c r="V810" s="3">
        <f>IF(AND($L810=1,AND(对接源_01水果!$X810="自备筐",N(对接源_01水果!$V810)&lt;&gt;0)),1,0)</f>
        <v>0</v>
      </c>
      <c r="W810" s="3">
        <f t="shared" si="218"/>
        <v>8</v>
      </c>
      <c r="X810" s="3">
        <f>IF(AND($L810=1,AND(对接源_01水果!$X810="自备筐",N(对接源_01水果!$T810)&lt;&gt;0)),1,0)</f>
        <v>0</v>
      </c>
      <c r="Y810" s="3">
        <f t="shared" si="219"/>
        <v>0</v>
      </c>
      <c r="Z810" s="3">
        <f>IF(AND($M810=1,对接源_01水果!$D810="原料入库"),1,0)</f>
        <v>0</v>
      </c>
      <c r="AA810" s="3">
        <f t="shared" si="220"/>
        <v>24</v>
      </c>
      <c r="AB810" s="3">
        <f>IF(AND($M810=1,LEFT(对接源_01水果!$D810,4)="原料出库"),1,0)</f>
        <v>0</v>
      </c>
      <c r="AC810" s="3">
        <f t="shared" si="221"/>
        <v>0</v>
      </c>
      <c r="AD810" s="3">
        <f>IF(AND($M810=1,LEFT(对接源_01水果!$D810,4)="成品出库"),1,0)</f>
        <v>0</v>
      </c>
      <c r="AE810" s="3">
        <f t="shared" si="222"/>
        <v>0</v>
      </c>
      <c r="AF810" s="3">
        <f>IF(AND($N810=1,AND(LEFT(对接源_01水果!$D810,4)="包装物料",N(对接源_01水果!$K810)&lt;&gt;0)),1,0)</f>
        <v>0</v>
      </c>
      <c r="AG810" s="3">
        <f t="shared" si="223"/>
        <v>0</v>
      </c>
      <c r="AH810" s="3">
        <f>IF(AND($N810=1,AND(对接源_01水果!$D810="周转筐－销售出库",N(对接源_01水果!$K810)&lt;&gt;0)),1,0)</f>
        <v>0</v>
      </c>
      <c r="AI810" s="3">
        <f t="shared" si="224"/>
        <v>0</v>
      </c>
      <c r="AJ810" s="7"/>
      <c r="AL810" s="3">
        <f>IF(OR($AL$1="",对接源_01水果!$Y810="",对接源_01水果!$Y810&lt;&gt;$AL$1,对接源_01水果!$B810="",N(对接源_01水果!$AJ810)&lt;=0),0,IF(OR(N(对接源_01水果!$B810)&lt;$AL$2,N(对接源_01水果!$B810)&gt;$AL$3),0,1))</f>
        <v>0</v>
      </c>
      <c r="AM810" s="3">
        <f t="shared" si="225"/>
        <v>1</v>
      </c>
      <c r="AN810" s="3" t="str">
        <f>IF(对接源_01水果!$AC810="","",对接源_01水果!$AC810)</f>
        <v/>
      </c>
      <c r="AO810" s="3">
        <f t="shared" si="226"/>
        <v>0</v>
      </c>
      <c r="AP810" s="3">
        <f t="shared" si="227"/>
        <v>8</v>
      </c>
      <c r="AR810">
        <f t="shared" si="228"/>
        <v>0</v>
      </c>
      <c r="AS810">
        <f t="shared" si="229"/>
        <v>0</v>
      </c>
    </row>
    <row r="811" ht="14.25" customHeight="1" spans="1:45">
      <c r="A811" s="3" t="str">
        <f>IF(对接源_01水果!$C811="","",对接源_01水果!$C811)</f>
        <v/>
      </c>
      <c r="B811" s="3">
        <f t="shared" si="213"/>
        <v>0</v>
      </c>
      <c r="C811" s="3">
        <f t="shared" si="214"/>
        <v>18</v>
      </c>
      <c r="K811" s="3">
        <f>IF(OR($K$1="",对接源_01水果!$C811="",对接源_01水果!$C811&lt;&gt;$K$1,对接源_01水果!$B811=""),0,IF(OR(N(对接源_01水果!$B811)&lt;$K$2,N(对接源_01水果!$B811)&gt;$K$3),0,1))</f>
        <v>0</v>
      </c>
      <c r="L811" s="3">
        <f>IF(OR($L$1="",对接源_01水果!$C811="",对接源_01水果!$C811&lt;&gt;$L$1,对接源_01水果!$B811=""),0,IF(OR(N(对接源_01水果!$B811)&lt;$L$2,N(对接源_01水果!$B811)&gt;$L$3),0,1))</f>
        <v>0</v>
      </c>
      <c r="M811" s="3">
        <f>IF(OR($M$1="",对接源_01水果!$C811="",对接源_01水果!$C811&lt;&gt;$M$1,对接源_01水果!$B811=""),0,IF(OR(N(对接源_01水果!$B811)&lt;$M$2,N(对接源_01水果!$B811)&gt;$M$3),0,1))</f>
        <v>0</v>
      </c>
      <c r="N811" s="3">
        <f>IF(OR($N$1="",对接源_01水果!$C811="",对接源_01水果!$C811&lt;&gt;$N$1,对接源_01水果!$B811=""),0,IF(OR(N(对接源_01水果!$B811)&lt;$N$2,N(对接源_01水果!$B811)&gt;$N$3),0,1))</f>
        <v>0</v>
      </c>
      <c r="P811" s="3">
        <f>IF(AND($K811=1,AND(对接源_01水果!$X811="公司筐",N(对接源_01水果!$T811)&lt;&gt;0)),1,0)</f>
        <v>0</v>
      </c>
      <c r="Q811" s="3">
        <f t="shared" si="215"/>
        <v>0</v>
      </c>
      <c r="R811" s="3">
        <f>IF(AND($K811=1,AND(对接源_01水果!$X811="公司筐",N(对接源_01水果!$U811)&lt;&gt;0)),1,0)</f>
        <v>0</v>
      </c>
      <c r="S811" s="3">
        <f t="shared" si="216"/>
        <v>0</v>
      </c>
      <c r="T811" s="3">
        <f>IF(AND($K811=1,AND(对接源_01水果!$X811="公司筐",N(对接源_01水果!$V811)&lt;&gt;0)),1,0)</f>
        <v>0</v>
      </c>
      <c r="U811" s="3">
        <f t="shared" si="217"/>
        <v>19</v>
      </c>
      <c r="V811" s="3">
        <f>IF(AND($L811=1,AND(对接源_01水果!$X811="自备筐",N(对接源_01水果!$V811)&lt;&gt;0)),1,0)</f>
        <v>0</v>
      </c>
      <c r="W811" s="3">
        <f t="shared" si="218"/>
        <v>8</v>
      </c>
      <c r="X811" s="3">
        <f>IF(AND($L811=1,AND(对接源_01水果!$X811="自备筐",N(对接源_01水果!$T811)&lt;&gt;0)),1,0)</f>
        <v>0</v>
      </c>
      <c r="Y811" s="3">
        <f t="shared" si="219"/>
        <v>0</v>
      </c>
      <c r="Z811" s="3">
        <f>IF(AND($M811=1,对接源_01水果!$D811="原料入库"),1,0)</f>
        <v>0</v>
      </c>
      <c r="AA811" s="3">
        <f t="shared" si="220"/>
        <v>24</v>
      </c>
      <c r="AB811" s="3">
        <f>IF(AND($M811=1,LEFT(对接源_01水果!$D811,4)="原料出库"),1,0)</f>
        <v>0</v>
      </c>
      <c r="AC811" s="3">
        <f t="shared" si="221"/>
        <v>0</v>
      </c>
      <c r="AD811" s="3">
        <f>IF(AND($M811=1,LEFT(对接源_01水果!$D811,4)="成品出库"),1,0)</f>
        <v>0</v>
      </c>
      <c r="AE811" s="3">
        <f t="shared" si="222"/>
        <v>0</v>
      </c>
      <c r="AF811" s="3">
        <f>IF(AND($N811=1,AND(LEFT(对接源_01水果!$D811,4)="包装物料",N(对接源_01水果!$K811)&lt;&gt;0)),1,0)</f>
        <v>0</v>
      </c>
      <c r="AG811" s="3">
        <f t="shared" si="223"/>
        <v>0</v>
      </c>
      <c r="AH811" s="3">
        <f>IF(AND($N811=1,AND(对接源_01水果!$D811="周转筐－销售出库",N(对接源_01水果!$K811)&lt;&gt;0)),1,0)</f>
        <v>0</v>
      </c>
      <c r="AI811" s="3">
        <f t="shared" si="224"/>
        <v>0</v>
      </c>
      <c r="AJ811" s="7"/>
      <c r="AL811" s="3">
        <f>IF(OR($AL$1="",对接源_01水果!$Y811="",对接源_01水果!$Y811&lt;&gt;$AL$1,对接源_01水果!$B811="",N(对接源_01水果!$AJ811)&lt;=0),0,IF(OR(N(对接源_01水果!$B811)&lt;$AL$2,N(对接源_01水果!$B811)&gt;$AL$3),0,1))</f>
        <v>0</v>
      </c>
      <c r="AM811" s="3">
        <f t="shared" si="225"/>
        <v>1</v>
      </c>
      <c r="AN811" s="3" t="str">
        <f>IF(对接源_01水果!$AC811="","",对接源_01水果!$AC811)</f>
        <v/>
      </c>
      <c r="AO811" s="3">
        <f t="shared" si="226"/>
        <v>0</v>
      </c>
      <c r="AP811" s="3">
        <f t="shared" si="227"/>
        <v>8</v>
      </c>
      <c r="AR811">
        <f t="shared" si="228"/>
        <v>0</v>
      </c>
      <c r="AS811">
        <f t="shared" si="229"/>
        <v>0</v>
      </c>
    </row>
    <row r="812" ht="14.25" customHeight="1" spans="1:45">
      <c r="A812" s="3" t="str">
        <f>IF(对接源_01水果!$C812="","",对接源_01水果!$C812)</f>
        <v/>
      </c>
      <c r="B812" s="3">
        <f t="shared" si="213"/>
        <v>0</v>
      </c>
      <c r="C812" s="3">
        <f t="shared" si="214"/>
        <v>18</v>
      </c>
      <c r="K812" s="3">
        <f>IF(OR($K$1="",对接源_01水果!$C812="",对接源_01水果!$C812&lt;&gt;$K$1,对接源_01水果!$B812=""),0,IF(OR(N(对接源_01水果!$B812)&lt;$K$2,N(对接源_01水果!$B812)&gt;$K$3),0,1))</f>
        <v>0</v>
      </c>
      <c r="L812" s="3">
        <f>IF(OR($L$1="",对接源_01水果!$C812="",对接源_01水果!$C812&lt;&gt;$L$1,对接源_01水果!$B812=""),0,IF(OR(N(对接源_01水果!$B812)&lt;$L$2,N(对接源_01水果!$B812)&gt;$L$3),0,1))</f>
        <v>0</v>
      </c>
      <c r="M812" s="3">
        <f>IF(OR($M$1="",对接源_01水果!$C812="",对接源_01水果!$C812&lt;&gt;$M$1,对接源_01水果!$B812=""),0,IF(OR(N(对接源_01水果!$B812)&lt;$M$2,N(对接源_01水果!$B812)&gt;$M$3),0,1))</f>
        <v>0</v>
      </c>
      <c r="N812" s="3">
        <f>IF(OR($N$1="",对接源_01水果!$C812="",对接源_01水果!$C812&lt;&gt;$N$1,对接源_01水果!$B812=""),0,IF(OR(N(对接源_01水果!$B812)&lt;$N$2,N(对接源_01水果!$B812)&gt;$N$3),0,1))</f>
        <v>0</v>
      </c>
      <c r="P812" s="3">
        <f>IF(AND($K812=1,AND(对接源_01水果!$X812="公司筐",N(对接源_01水果!$T812)&lt;&gt;0)),1,0)</f>
        <v>0</v>
      </c>
      <c r="Q812" s="3">
        <f t="shared" si="215"/>
        <v>0</v>
      </c>
      <c r="R812" s="3">
        <f>IF(AND($K812=1,AND(对接源_01水果!$X812="公司筐",N(对接源_01水果!$U812)&lt;&gt;0)),1,0)</f>
        <v>0</v>
      </c>
      <c r="S812" s="3">
        <f t="shared" si="216"/>
        <v>0</v>
      </c>
      <c r="T812" s="3">
        <f>IF(AND($K812=1,AND(对接源_01水果!$X812="公司筐",N(对接源_01水果!$V812)&lt;&gt;0)),1,0)</f>
        <v>0</v>
      </c>
      <c r="U812" s="3">
        <f t="shared" si="217"/>
        <v>19</v>
      </c>
      <c r="V812" s="3">
        <f>IF(AND($L812=1,AND(对接源_01水果!$X812="自备筐",N(对接源_01水果!$V812)&lt;&gt;0)),1,0)</f>
        <v>0</v>
      </c>
      <c r="W812" s="3">
        <f t="shared" si="218"/>
        <v>8</v>
      </c>
      <c r="X812" s="3">
        <f>IF(AND($L812=1,AND(对接源_01水果!$X812="自备筐",N(对接源_01水果!$T812)&lt;&gt;0)),1,0)</f>
        <v>0</v>
      </c>
      <c r="Y812" s="3">
        <f t="shared" si="219"/>
        <v>0</v>
      </c>
      <c r="Z812" s="3">
        <f>IF(AND($M812=1,对接源_01水果!$D812="原料入库"),1,0)</f>
        <v>0</v>
      </c>
      <c r="AA812" s="3">
        <f t="shared" si="220"/>
        <v>24</v>
      </c>
      <c r="AB812" s="3">
        <f>IF(AND($M812=1,LEFT(对接源_01水果!$D812,4)="原料出库"),1,0)</f>
        <v>0</v>
      </c>
      <c r="AC812" s="3">
        <f t="shared" si="221"/>
        <v>0</v>
      </c>
      <c r="AD812" s="3">
        <f>IF(AND($M812=1,LEFT(对接源_01水果!$D812,4)="成品出库"),1,0)</f>
        <v>0</v>
      </c>
      <c r="AE812" s="3">
        <f t="shared" si="222"/>
        <v>0</v>
      </c>
      <c r="AF812" s="3">
        <f>IF(AND($N812=1,AND(LEFT(对接源_01水果!$D812,4)="包装物料",N(对接源_01水果!$K812)&lt;&gt;0)),1,0)</f>
        <v>0</v>
      </c>
      <c r="AG812" s="3">
        <f t="shared" si="223"/>
        <v>0</v>
      </c>
      <c r="AH812" s="3">
        <f>IF(AND($N812=1,AND(对接源_01水果!$D812="周转筐－销售出库",N(对接源_01水果!$K812)&lt;&gt;0)),1,0)</f>
        <v>0</v>
      </c>
      <c r="AI812" s="3">
        <f t="shared" si="224"/>
        <v>0</v>
      </c>
      <c r="AJ812" s="7"/>
      <c r="AL812" s="3">
        <f>IF(OR($AL$1="",对接源_01水果!$Y812="",对接源_01水果!$Y812&lt;&gt;$AL$1,对接源_01水果!$B812="",N(对接源_01水果!$AJ812)&lt;=0),0,IF(OR(N(对接源_01水果!$B812)&lt;$AL$2,N(对接源_01水果!$B812)&gt;$AL$3),0,1))</f>
        <v>0</v>
      </c>
      <c r="AM812" s="3">
        <f t="shared" si="225"/>
        <v>1</v>
      </c>
      <c r="AN812" s="3" t="str">
        <f>IF(对接源_01水果!$AC812="","",对接源_01水果!$AC812)</f>
        <v/>
      </c>
      <c r="AO812" s="3">
        <f t="shared" si="226"/>
        <v>0</v>
      </c>
      <c r="AP812" s="3">
        <f t="shared" si="227"/>
        <v>8</v>
      </c>
      <c r="AR812">
        <f t="shared" si="228"/>
        <v>0</v>
      </c>
      <c r="AS812">
        <f t="shared" si="229"/>
        <v>0</v>
      </c>
    </row>
    <row r="813" ht="14.25" customHeight="1" spans="1:45">
      <c r="A813" s="3" t="str">
        <f>IF(对接源_01水果!$C813="","",对接源_01水果!$C813)</f>
        <v/>
      </c>
      <c r="B813" s="3">
        <f t="shared" si="213"/>
        <v>0</v>
      </c>
      <c r="C813" s="3">
        <f t="shared" si="214"/>
        <v>18</v>
      </c>
      <c r="K813" s="3">
        <f>IF(OR($K$1="",对接源_01水果!$C813="",对接源_01水果!$C813&lt;&gt;$K$1,对接源_01水果!$B813=""),0,IF(OR(N(对接源_01水果!$B813)&lt;$K$2,N(对接源_01水果!$B813)&gt;$K$3),0,1))</f>
        <v>0</v>
      </c>
      <c r="L813" s="3">
        <f>IF(OR($L$1="",对接源_01水果!$C813="",对接源_01水果!$C813&lt;&gt;$L$1,对接源_01水果!$B813=""),0,IF(OR(N(对接源_01水果!$B813)&lt;$L$2,N(对接源_01水果!$B813)&gt;$L$3),0,1))</f>
        <v>0</v>
      </c>
      <c r="M813" s="3">
        <f>IF(OR($M$1="",对接源_01水果!$C813="",对接源_01水果!$C813&lt;&gt;$M$1,对接源_01水果!$B813=""),0,IF(OR(N(对接源_01水果!$B813)&lt;$M$2,N(对接源_01水果!$B813)&gt;$M$3),0,1))</f>
        <v>0</v>
      </c>
      <c r="N813" s="3">
        <f>IF(OR($N$1="",对接源_01水果!$C813="",对接源_01水果!$C813&lt;&gt;$N$1,对接源_01水果!$B813=""),0,IF(OR(N(对接源_01水果!$B813)&lt;$N$2,N(对接源_01水果!$B813)&gt;$N$3),0,1))</f>
        <v>0</v>
      </c>
      <c r="P813" s="3">
        <f>IF(AND($K813=1,AND(对接源_01水果!$X813="公司筐",N(对接源_01水果!$T813)&lt;&gt;0)),1,0)</f>
        <v>0</v>
      </c>
      <c r="Q813" s="3">
        <f t="shared" si="215"/>
        <v>0</v>
      </c>
      <c r="R813" s="3">
        <f>IF(AND($K813=1,AND(对接源_01水果!$X813="公司筐",N(对接源_01水果!$U813)&lt;&gt;0)),1,0)</f>
        <v>0</v>
      </c>
      <c r="S813" s="3">
        <f t="shared" si="216"/>
        <v>0</v>
      </c>
      <c r="T813" s="3">
        <f>IF(AND($K813=1,AND(对接源_01水果!$X813="公司筐",N(对接源_01水果!$V813)&lt;&gt;0)),1,0)</f>
        <v>0</v>
      </c>
      <c r="U813" s="3">
        <f t="shared" si="217"/>
        <v>19</v>
      </c>
      <c r="V813" s="3">
        <f>IF(AND($L813=1,AND(对接源_01水果!$X813="自备筐",N(对接源_01水果!$V813)&lt;&gt;0)),1,0)</f>
        <v>0</v>
      </c>
      <c r="W813" s="3">
        <f t="shared" si="218"/>
        <v>8</v>
      </c>
      <c r="X813" s="3">
        <f>IF(AND($L813=1,AND(对接源_01水果!$X813="自备筐",N(对接源_01水果!$T813)&lt;&gt;0)),1,0)</f>
        <v>0</v>
      </c>
      <c r="Y813" s="3">
        <f t="shared" si="219"/>
        <v>0</v>
      </c>
      <c r="Z813" s="3">
        <f>IF(AND($M813=1,对接源_01水果!$D813="原料入库"),1,0)</f>
        <v>0</v>
      </c>
      <c r="AA813" s="3">
        <f t="shared" si="220"/>
        <v>24</v>
      </c>
      <c r="AB813" s="3">
        <f>IF(AND($M813=1,LEFT(对接源_01水果!$D813,4)="原料出库"),1,0)</f>
        <v>0</v>
      </c>
      <c r="AC813" s="3">
        <f t="shared" si="221"/>
        <v>0</v>
      </c>
      <c r="AD813" s="3">
        <f>IF(AND($M813=1,LEFT(对接源_01水果!$D813,4)="成品出库"),1,0)</f>
        <v>0</v>
      </c>
      <c r="AE813" s="3">
        <f t="shared" si="222"/>
        <v>0</v>
      </c>
      <c r="AF813" s="3">
        <f>IF(AND($N813=1,AND(LEFT(对接源_01水果!$D813,4)="包装物料",N(对接源_01水果!$K813)&lt;&gt;0)),1,0)</f>
        <v>0</v>
      </c>
      <c r="AG813" s="3">
        <f t="shared" si="223"/>
        <v>0</v>
      </c>
      <c r="AH813" s="3">
        <f>IF(AND($N813=1,AND(对接源_01水果!$D813="周转筐－销售出库",N(对接源_01水果!$K813)&lt;&gt;0)),1,0)</f>
        <v>0</v>
      </c>
      <c r="AI813" s="3">
        <f t="shared" si="224"/>
        <v>0</v>
      </c>
      <c r="AJ813" s="7"/>
      <c r="AL813" s="3">
        <f>IF(OR($AL$1="",对接源_01水果!$Y813="",对接源_01水果!$Y813&lt;&gt;$AL$1,对接源_01水果!$B813="",N(对接源_01水果!$AJ813)&lt;=0),0,IF(OR(N(对接源_01水果!$B813)&lt;$AL$2,N(对接源_01水果!$B813)&gt;$AL$3),0,1))</f>
        <v>0</v>
      </c>
      <c r="AM813" s="3">
        <f t="shared" si="225"/>
        <v>1</v>
      </c>
      <c r="AN813" s="3" t="str">
        <f>IF(对接源_01水果!$AC813="","",对接源_01水果!$AC813)</f>
        <v/>
      </c>
      <c r="AO813" s="3">
        <f t="shared" si="226"/>
        <v>0</v>
      </c>
      <c r="AP813" s="3">
        <f t="shared" si="227"/>
        <v>8</v>
      </c>
      <c r="AR813">
        <f t="shared" si="228"/>
        <v>0</v>
      </c>
      <c r="AS813">
        <f t="shared" si="229"/>
        <v>0</v>
      </c>
    </row>
    <row r="814" ht="14.25" customHeight="1" spans="1:45">
      <c r="A814" s="3" t="str">
        <f>IF(对接源_01水果!$C814="","",对接源_01水果!$C814)</f>
        <v/>
      </c>
      <c r="B814" s="3">
        <f t="shared" si="213"/>
        <v>0</v>
      </c>
      <c r="C814" s="3">
        <f t="shared" si="214"/>
        <v>18</v>
      </c>
      <c r="K814" s="3">
        <f>IF(OR($K$1="",对接源_01水果!$C814="",对接源_01水果!$C814&lt;&gt;$K$1,对接源_01水果!$B814=""),0,IF(OR(N(对接源_01水果!$B814)&lt;$K$2,N(对接源_01水果!$B814)&gt;$K$3),0,1))</f>
        <v>0</v>
      </c>
      <c r="L814" s="3">
        <f>IF(OR($L$1="",对接源_01水果!$C814="",对接源_01水果!$C814&lt;&gt;$L$1,对接源_01水果!$B814=""),0,IF(OR(N(对接源_01水果!$B814)&lt;$L$2,N(对接源_01水果!$B814)&gt;$L$3),0,1))</f>
        <v>0</v>
      </c>
      <c r="M814" s="3">
        <f>IF(OR($M$1="",对接源_01水果!$C814="",对接源_01水果!$C814&lt;&gt;$M$1,对接源_01水果!$B814=""),0,IF(OR(N(对接源_01水果!$B814)&lt;$M$2,N(对接源_01水果!$B814)&gt;$M$3),0,1))</f>
        <v>0</v>
      </c>
      <c r="N814" s="3">
        <f>IF(OR($N$1="",对接源_01水果!$C814="",对接源_01水果!$C814&lt;&gt;$N$1,对接源_01水果!$B814=""),0,IF(OR(N(对接源_01水果!$B814)&lt;$N$2,N(对接源_01水果!$B814)&gt;$N$3),0,1))</f>
        <v>0</v>
      </c>
      <c r="P814" s="3">
        <f>IF(AND($K814=1,AND(对接源_01水果!$X814="公司筐",N(对接源_01水果!$T814)&lt;&gt;0)),1,0)</f>
        <v>0</v>
      </c>
      <c r="Q814" s="3">
        <f t="shared" si="215"/>
        <v>0</v>
      </c>
      <c r="R814" s="3">
        <f>IF(AND($K814=1,AND(对接源_01水果!$X814="公司筐",N(对接源_01水果!$U814)&lt;&gt;0)),1,0)</f>
        <v>0</v>
      </c>
      <c r="S814" s="3">
        <f t="shared" si="216"/>
        <v>0</v>
      </c>
      <c r="T814" s="3">
        <f>IF(AND($K814=1,AND(对接源_01水果!$X814="公司筐",N(对接源_01水果!$V814)&lt;&gt;0)),1,0)</f>
        <v>0</v>
      </c>
      <c r="U814" s="3">
        <f t="shared" si="217"/>
        <v>19</v>
      </c>
      <c r="V814" s="3">
        <f>IF(AND($L814=1,AND(对接源_01水果!$X814="自备筐",N(对接源_01水果!$V814)&lt;&gt;0)),1,0)</f>
        <v>0</v>
      </c>
      <c r="W814" s="3">
        <f t="shared" si="218"/>
        <v>8</v>
      </c>
      <c r="X814" s="3">
        <f>IF(AND($L814=1,AND(对接源_01水果!$X814="自备筐",N(对接源_01水果!$T814)&lt;&gt;0)),1,0)</f>
        <v>0</v>
      </c>
      <c r="Y814" s="3">
        <f t="shared" si="219"/>
        <v>0</v>
      </c>
      <c r="Z814" s="3">
        <f>IF(AND($M814=1,对接源_01水果!$D814="原料入库"),1,0)</f>
        <v>0</v>
      </c>
      <c r="AA814" s="3">
        <f t="shared" si="220"/>
        <v>24</v>
      </c>
      <c r="AB814" s="3">
        <f>IF(AND($M814=1,LEFT(对接源_01水果!$D814,4)="原料出库"),1,0)</f>
        <v>0</v>
      </c>
      <c r="AC814" s="3">
        <f t="shared" si="221"/>
        <v>0</v>
      </c>
      <c r="AD814" s="3">
        <f>IF(AND($M814=1,LEFT(对接源_01水果!$D814,4)="成品出库"),1,0)</f>
        <v>0</v>
      </c>
      <c r="AE814" s="3">
        <f t="shared" si="222"/>
        <v>0</v>
      </c>
      <c r="AF814" s="3">
        <f>IF(AND($N814=1,AND(LEFT(对接源_01水果!$D814,4)="包装物料",N(对接源_01水果!$K814)&lt;&gt;0)),1,0)</f>
        <v>0</v>
      </c>
      <c r="AG814" s="3">
        <f t="shared" si="223"/>
        <v>0</v>
      </c>
      <c r="AH814" s="3">
        <f>IF(AND($N814=1,AND(对接源_01水果!$D814="周转筐－销售出库",N(对接源_01水果!$K814)&lt;&gt;0)),1,0)</f>
        <v>0</v>
      </c>
      <c r="AI814" s="3">
        <f t="shared" si="224"/>
        <v>0</v>
      </c>
      <c r="AJ814" s="7"/>
      <c r="AL814" s="3">
        <f>IF(OR($AL$1="",对接源_01水果!$Y814="",对接源_01水果!$Y814&lt;&gt;$AL$1,对接源_01水果!$B814="",N(对接源_01水果!$AJ814)&lt;=0),0,IF(OR(N(对接源_01水果!$B814)&lt;$AL$2,N(对接源_01水果!$B814)&gt;$AL$3),0,1))</f>
        <v>0</v>
      </c>
      <c r="AM814" s="3">
        <f t="shared" si="225"/>
        <v>1</v>
      </c>
      <c r="AN814" s="3" t="str">
        <f>IF(对接源_01水果!$AC814="","",对接源_01水果!$AC814)</f>
        <v/>
      </c>
      <c r="AO814" s="3">
        <f t="shared" si="226"/>
        <v>0</v>
      </c>
      <c r="AP814" s="3">
        <f t="shared" si="227"/>
        <v>8</v>
      </c>
      <c r="AR814">
        <f t="shared" si="228"/>
        <v>0</v>
      </c>
      <c r="AS814">
        <f t="shared" si="229"/>
        <v>0</v>
      </c>
    </row>
    <row r="815" ht="14.25" customHeight="1" spans="1:45">
      <c r="A815" s="3" t="str">
        <f>IF(对接源_01水果!$C815="","",对接源_01水果!$C815)</f>
        <v/>
      </c>
      <c r="B815" s="3">
        <f t="shared" si="213"/>
        <v>0</v>
      </c>
      <c r="C815" s="3">
        <f t="shared" si="214"/>
        <v>18</v>
      </c>
      <c r="K815" s="3">
        <f>IF(OR($K$1="",对接源_01水果!$C815="",对接源_01水果!$C815&lt;&gt;$K$1,对接源_01水果!$B815=""),0,IF(OR(N(对接源_01水果!$B815)&lt;$K$2,N(对接源_01水果!$B815)&gt;$K$3),0,1))</f>
        <v>0</v>
      </c>
      <c r="L815" s="3">
        <f>IF(OR($L$1="",对接源_01水果!$C815="",对接源_01水果!$C815&lt;&gt;$L$1,对接源_01水果!$B815=""),0,IF(OR(N(对接源_01水果!$B815)&lt;$L$2,N(对接源_01水果!$B815)&gt;$L$3),0,1))</f>
        <v>0</v>
      </c>
      <c r="M815" s="3">
        <f>IF(OR($M$1="",对接源_01水果!$C815="",对接源_01水果!$C815&lt;&gt;$M$1,对接源_01水果!$B815=""),0,IF(OR(N(对接源_01水果!$B815)&lt;$M$2,N(对接源_01水果!$B815)&gt;$M$3),0,1))</f>
        <v>0</v>
      </c>
      <c r="N815" s="3">
        <f>IF(OR($N$1="",对接源_01水果!$C815="",对接源_01水果!$C815&lt;&gt;$N$1,对接源_01水果!$B815=""),0,IF(OR(N(对接源_01水果!$B815)&lt;$N$2,N(对接源_01水果!$B815)&gt;$N$3),0,1))</f>
        <v>0</v>
      </c>
      <c r="P815" s="3">
        <f>IF(AND($K815=1,AND(对接源_01水果!$X815="公司筐",N(对接源_01水果!$T815)&lt;&gt;0)),1,0)</f>
        <v>0</v>
      </c>
      <c r="Q815" s="3">
        <f t="shared" si="215"/>
        <v>0</v>
      </c>
      <c r="R815" s="3">
        <f>IF(AND($K815=1,AND(对接源_01水果!$X815="公司筐",N(对接源_01水果!$U815)&lt;&gt;0)),1,0)</f>
        <v>0</v>
      </c>
      <c r="S815" s="3">
        <f t="shared" si="216"/>
        <v>0</v>
      </c>
      <c r="T815" s="3">
        <f>IF(AND($K815=1,AND(对接源_01水果!$X815="公司筐",N(对接源_01水果!$V815)&lt;&gt;0)),1,0)</f>
        <v>0</v>
      </c>
      <c r="U815" s="3">
        <f t="shared" si="217"/>
        <v>19</v>
      </c>
      <c r="V815" s="3">
        <f>IF(AND($L815=1,AND(对接源_01水果!$X815="自备筐",N(对接源_01水果!$V815)&lt;&gt;0)),1,0)</f>
        <v>0</v>
      </c>
      <c r="W815" s="3">
        <f t="shared" si="218"/>
        <v>8</v>
      </c>
      <c r="X815" s="3">
        <f>IF(AND($L815=1,AND(对接源_01水果!$X815="自备筐",N(对接源_01水果!$T815)&lt;&gt;0)),1,0)</f>
        <v>0</v>
      </c>
      <c r="Y815" s="3">
        <f t="shared" si="219"/>
        <v>0</v>
      </c>
      <c r="Z815" s="3">
        <f>IF(AND($M815=1,对接源_01水果!$D815="原料入库"),1,0)</f>
        <v>0</v>
      </c>
      <c r="AA815" s="3">
        <f t="shared" si="220"/>
        <v>24</v>
      </c>
      <c r="AB815" s="3">
        <f>IF(AND($M815=1,LEFT(对接源_01水果!$D815,4)="原料出库"),1,0)</f>
        <v>0</v>
      </c>
      <c r="AC815" s="3">
        <f t="shared" si="221"/>
        <v>0</v>
      </c>
      <c r="AD815" s="3">
        <f>IF(AND($M815=1,LEFT(对接源_01水果!$D815,4)="成品出库"),1,0)</f>
        <v>0</v>
      </c>
      <c r="AE815" s="3">
        <f t="shared" si="222"/>
        <v>0</v>
      </c>
      <c r="AF815" s="3">
        <f>IF(AND($N815=1,AND(LEFT(对接源_01水果!$D815,4)="包装物料",N(对接源_01水果!$K815)&lt;&gt;0)),1,0)</f>
        <v>0</v>
      </c>
      <c r="AG815" s="3">
        <f t="shared" si="223"/>
        <v>0</v>
      </c>
      <c r="AH815" s="3">
        <f>IF(AND($N815=1,AND(对接源_01水果!$D815="周转筐－销售出库",N(对接源_01水果!$K815)&lt;&gt;0)),1,0)</f>
        <v>0</v>
      </c>
      <c r="AI815" s="3">
        <f t="shared" si="224"/>
        <v>0</v>
      </c>
      <c r="AJ815" s="7"/>
      <c r="AL815" s="3">
        <f>IF(OR($AL$1="",对接源_01水果!$Y815="",对接源_01水果!$Y815&lt;&gt;$AL$1,对接源_01水果!$B815="",N(对接源_01水果!$AJ815)&lt;=0),0,IF(OR(N(对接源_01水果!$B815)&lt;$AL$2,N(对接源_01水果!$B815)&gt;$AL$3),0,1))</f>
        <v>0</v>
      </c>
      <c r="AM815" s="3">
        <f t="shared" si="225"/>
        <v>1</v>
      </c>
      <c r="AN815" s="3" t="str">
        <f>IF(对接源_01水果!$AC815="","",对接源_01水果!$AC815)</f>
        <v/>
      </c>
      <c r="AO815" s="3">
        <f t="shared" si="226"/>
        <v>0</v>
      </c>
      <c r="AP815" s="3">
        <f t="shared" si="227"/>
        <v>8</v>
      </c>
      <c r="AR815">
        <f t="shared" si="228"/>
        <v>0</v>
      </c>
      <c r="AS815">
        <f t="shared" si="229"/>
        <v>0</v>
      </c>
    </row>
    <row r="816" ht="14.25" customHeight="1" spans="1:45">
      <c r="A816" s="3" t="str">
        <f>IF(对接源_01水果!$C816="","",对接源_01水果!$C816)</f>
        <v/>
      </c>
      <c r="B816" s="3">
        <f t="shared" si="213"/>
        <v>0</v>
      </c>
      <c r="C816" s="3">
        <f t="shared" si="214"/>
        <v>18</v>
      </c>
      <c r="K816" s="3">
        <f>IF(OR($K$1="",对接源_01水果!$C816="",对接源_01水果!$C816&lt;&gt;$K$1,对接源_01水果!$B816=""),0,IF(OR(N(对接源_01水果!$B816)&lt;$K$2,N(对接源_01水果!$B816)&gt;$K$3),0,1))</f>
        <v>0</v>
      </c>
      <c r="L816" s="3">
        <f>IF(OR($L$1="",对接源_01水果!$C816="",对接源_01水果!$C816&lt;&gt;$L$1,对接源_01水果!$B816=""),0,IF(OR(N(对接源_01水果!$B816)&lt;$L$2,N(对接源_01水果!$B816)&gt;$L$3),0,1))</f>
        <v>0</v>
      </c>
      <c r="M816" s="3">
        <f>IF(OR($M$1="",对接源_01水果!$C816="",对接源_01水果!$C816&lt;&gt;$M$1,对接源_01水果!$B816=""),0,IF(OR(N(对接源_01水果!$B816)&lt;$M$2,N(对接源_01水果!$B816)&gt;$M$3),0,1))</f>
        <v>0</v>
      </c>
      <c r="N816" s="3">
        <f>IF(OR($N$1="",对接源_01水果!$C816="",对接源_01水果!$C816&lt;&gt;$N$1,对接源_01水果!$B816=""),0,IF(OR(N(对接源_01水果!$B816)&lt;$N$2,N(对接源_01水果!$B816)&gt;$N$3),0,1))</f>
        <v>0</v>
      </c>
      <c r="P816" s="3">
        <f>IF(AND($K816=1,AND(对接源_01水果!$X816="公司筐",N(对接源_01水果!$T816)&lt;&gt;0)),1,0)</f>
        <v>0</v>
      </c>
      <c r="Q816" s="3">
        <f t="shared" si="215"/>
        <v>0</v>
      </c>
      <c r="R816" s="3">
        <f>IF(AND($K816=1,AND(对接源_01水果!$X816="公司筐",N(对接源_01水果!$U816)&lt;&gt;0)),1,0)</f>
        <v>0</v>
      </c>
      <c r="S816" s="3">
        <f t="shared" si="216"/>
        <v>0</v>
      </c>
      <c r="T816" s="3">
        <f>IF(AND($K816=1,AND(对接源_01水果!$X816="公司筐",N(对接源_01水果!$V816)&lt;&gt;0)),1,0)</f>
        <v>0</v>
      </c>
      <c r="U816" s="3">
        <f t="shared" si="217"/>
        <v>19</v>
      </c>
      <c r="V816" s="3">
        <f>IF(AND($L816=1,AND(对接源_01水果!$X816="自备筐",N(对接源_01水果!$V816)&lt;&gt;0)),1,0)</f>
        <v>0</v>
      </c>
      <c r="W816" s="3">
        <f t="shared" si="218"/>
        <v>8</v>
      </c>
      <c r="X816" s="3">
        <f>IF(AND($L816=1,AND(对接源_01水果!$X816="自备筐",N(对接源_01水果!$T816)&lt;&gt;0)),1,0)</f>
        <v>0</v>
      </c>
      <c r="Y816" s="3">
        <f t="shared" si="219"/>
        <v>0</v>
      </c>
      <c r="Z816" s="3">
        <f>IF(AND($M816=1,对接源_01水果!$D816="原料入库"),1,0)</f>
        <v>0</v>
      </c>
      <c r="AA816" s="3">
        <f t="shared" si="220"/>
        <v>24</v>
      </c>
      <c r="AB816" s="3">
        <f>IF(AND($M816=1,LEFT(对接源_01水果!$D816,4)="原料出库"),1,0)</f>
        <v>0</v>
      </c>
      <c r="AC816" s="3">
        <f t="shared" si="221"/>
        <v>0</v>
      </c>
      <c r="AD816" s="3">
        <f>IF(AND($M816=1,LEFT(对接源_01水果!$D816,4)="成品出库"),1,0)</f>
        <v>0</v>
      </c>
      <c r="AE816" s="3">
        <f t="shared" si="222"/>
        <v>0</v>
      </c>
      <c r="AF816" s="3">
        <f>IF(AND($N816=1,AND(LEFT(对接源_01水果!$D816,4)="包装物料",N(对接源_01水果!$K816)&lt;&gt;0)),1,0)</f>
        <v>0</v>
      </c>
      <c r="AG816" s="3">
        <f t="shared" si="223"/>
        <v>0</v>
      </c>
      <c r="AH816" s="3">
        <f>IF(AND($N816=1,AND(对接源_01水果!$D816="周转筐－销售出库",N(对接源_01水果!$K816)&lt;&gt;0)),1,0)</f>
        <v>0</v>
      </c>
      <c r="AI816" s="3">
        <f t="shared" si="224"/>
        <v>0</v>
      </c>
      <c r="AJ816" s="7"/>
      <c r="AL816" s="3">
        <f>IF(OR($AL$1="",对接源_01水果!$Y816="",对接源_01水果!$Y816&lt;&gt;$AL$1,对接源_01水果!$B816="",N(对接源_01水果!$AJ816)&lt;=0),0,IF(OR(N(对接源_01水果!$B816)&lt;$AL$2,N(对接源_01水果!$B816)&gt;$AL$3),0,1))</f>
        <v>0</v>
      </c>
      <c r="AM816" s="3">
        <f t="shared" si="225"/>
        <v>1</v>
      </c>
      <c r="AN816" s="3" t="str">
        <f>IF(对接源_01水果!$AC816="","",对接源_01水果!$AC816)</f>
        <v/>
      </c>
      <c r="AO816" s="3">
        <f t="shared" si="226"/>
        <v>0</v>
      </c>
      <c r="AP816" s="3">
        <f t="shared" si="227"/>
        <v>8</v>
      </c>
      <c r="AR816">
        <f t="shared" si="228"/>
        <v>0</v>
      </c>
      <c r="AS816">
        <f t="shared" si="229"/>
        <v>0</v>
      </c>
    </row>
    <row r="817" ht="14.25" customHeight="1" spans="1:45">
      <c r="A817" s="3" t="str">
        <f>IF(对接源_01水果!$C817="","",对接源_01水果!$C817)</f>
        <v/>
      </c>
      <c r="B817" s="3">
        <f t="shared" si="213"/>
        <v>0</v>
      </c>
      <c r="C817" s="3">
        <f t="shared" si="214"/>
        <v>18</v>
      </c>
      <c r="K817" s="3">
        <f>IF(OR($K$1="",对接源_01水果!$C817="",对接源_01水果!$C817&lt;&gt;$K$1,对接源_01水果!$B817=""),0,IF(OR(N(对接源_01水果!$B817)&lt;$K$2,N(对接源_01水果!$B817)&gt;$K$3),0,1))</f>
        <v>0</v>
      </c>
      <c r="L817" s="3">
        <f>IF(OR($L$1="",对接源_01水果!$C817="",对接源_01水果!$C817&lt;&gt;$L$1,对接源_01水果!$B817=""),0,IF(OR(N(对接源_01水果!$B817)&lt;$L$2,N(对接源_01水果!$B817)&gt;$L$3),0,1))</f>
        <v>0</v>
      </c>
      <c r="M817" s="3">
        <f>IF(OR($M$1="",对接源_01水果!$C817="",对接源_01水果!$C817&lt;&gt;$M$1,对接源_01水果!$B817=""),0,IF(OR(N(对接源_01水果!$B817)&lt;$M$2,N(对接源_01水果!$B817)&gt;$M$3),0,1))</f>
        <v>0</v>
      </c>
      <c r="N817" s="3">
        <f>IF(OR($N$1="",对接源_01水果!$C817="",对接源_01水果!$C817&lt;&gt;$N$1,对接源_01水果!$B817=""),0,IF(OR(N(对接源_01水果!$B817)&lt;$N$2,N(对接源_01水果!$B817)&gt;$N$3),0,1))</f>
        <v>0</v>
      </c>
      <c r="P817" s="3">
        <f>IF(AND($K817=1,AND(对接源_01水果!$X817="公司筐",N(对接源_01水果!$T817)&lt;&gt;0)),1,0)</f>
        <v>0</v>
      </c>
      <c r="Q817" s="3">
        <f t="shared" si="215"/>
        <v>0</v>
      </c>
      <c r="R817" s="3">
        <f>IF(AND($K817=1,AND(对接源_01水果!$X817="公司筐",N(对接源_01水果!$U817)&lt;&gt;0)),1,0)</f>
        <v>0</v>
      </c>
      <c r="S817" s="3">
        <f t="shared" si="216"/>
        <v>0</v>
      </c>
      <c r="T817" s="3">
        <f>IF(AND($K817=1,AND(对接源_01水果!$X817="公司筐",N(对接源_01水果!$V817)&lt;&gt;0)),1,0)</f>
        <v>0</v>
      </c>
      <c r="U817" s="3">
        <f t="shared" si="217"/>
        <v>19</v>
      </c>
      <c r="V817" s="3">
        <f>IF(AND($L817=1,AND(对接源_01水果!$X817="自备筐",N(对接源_01水果!$V817)&lt;&gt;0)),1,0)</f>
        <v>0</v>
      </c>
      <c r="W817" s="3">
        <f t="shared" si="218"/>
        <v>8</v>
      </c>
      <c r="X817" s="3">
        <f>IF(AND($L817=1,AND(对接源_01水果!$X817="自备筐",N(对接源_01水果!$T817)&lt;&gt;0)),1,0)</f>
        <v>0</v>
      </c>
      <c r="Y817" s="3">
        <f t="shared" si="219"/>
        <v>0</v>
      </c>
      <c r="Z817" s="3">
        <f>IF(AND($M817=1,对接源_01水果!$D817="原料入库"),1,0)</f>
        <v>0</v>
      </c>
      <c r="AA817" s="3">
        <f t="shared" si="220"/>
        <v>24</v>
      </c>
      <c r="AB817" s="3">
        <f>IF(AND($M817=1,LEFT(对接源_01水果!$D817,4)="原料出库"),1,0)</f>
        <v>0</v>
      </c>
      <c r="AC817" s="3">
        <f t="shared" si="221"/>
        <v>0</v>
      </c>
      <c r="AD817" s="3">
        <f>IF(AND($M817=1,LEFT(对接源_01水果!$D817,4)="成品出库"),1,0)</f>
        <v>0</v>
      </c>
      <c r="AE817" s="3">
        <f t="shared" si="222"/>
        <v>0</v>
      </c>
      <c r="AF817" s="3">
        <f>IF(AND($N817=1,AND(LEFT(对接源_01水果!$D817,4)="包装物料",N(对接源_01水果!$K817)&lt;&gt;0)),1,0)</f>
        <v>0</v>
      </c>
      <c r="AG817" s="3">
        <f t="shared" si="223"/>
        <v>0</v>
      </c>
      <c r="AH817" s="3">
        <f>IF(AND($N817=1,AND(对接源_01水果!$D817="周转筐－销售出库",N(对接源_01水果!$K817)&lt;&gt;0)),1,0)</f>
        <v>0</v>
      </c>
      <c r="AI817" s="3">
        <f t="shared" si="224"/>
        <v>0</v>
      </c>
      <c r="AJ817" s="7"/>
      <c r="AL817" s="3">
        <f>IF(OR($AL$1="",对接源_01水果!$Y817="",对接源_01水果!$Y817&lt;&gt;$AL$1,对接源_01水果!$B817="",N(对接源_01水果!$AJ817)&lt;=0),0,IF(OR(N(对接源_01水果!$B817)&lt;$AL$2,N(对接源_01水果!$B817)&gt;$AL$3),0,1))</f>
        <v>0</v>
      </c>
      <c r="AM817" s="3">
        <f t="shared" si="225"/>
        <v>1</v>
      </c>
      <c r="AN817" s="3" t="str">
        <f>IF(对接源_01水果!$AC817="","",对接源_01水果!$AC817)</f>
        <v/>
      </c>
      <c r="AO817" s="3">
        <f t="shared" si="226"/>
        <v>0</v>
      </c>
      <c r="AP817" s="3">
        <f t="shared" si="227"/>
        <v>8</v>
      </c>
      <c r="AR817">
        <f t="shared" si="228"/>
        <v>0</v>
      </c>
      <c r="AS817">
        <f t="shared" si="229"/>
        <v>0</v>
      </c>
    </row>
    <row r="818" ht="14.25" customHeight="1" spans="1:45">
      <c r="A818" s="3" t="str">
        <f>IF(对接源_01水果!$C818="","",对接源_01水果!$C818)</f>
        <v/>
      </c>
      <c r="B818" s="3">
        <f t="shared" si="213"/>
        <v>0</v>
      </c>
      <c r="C818" s="3">
        <f t="shared" si="214"/>
        <v>18</v>
      </c>
      <c r="K818" s="3">
        <f>IF(OR($K$1="",对接源_01水果!$C818="",对接源_01水果!$C818&lt;&gt;$K$1,对接源_01水果!$B818=""),0,IF(OR(N(对接源_01水果!$B818)&lt;$K$2,N(对接源_01水果!$B818)&gt;$K$3),0,1))</f>
        <v>0</v>
      </c>
      <c r="L818" s="3">
        <f>IF(OR($L$1="",对接源_01水果!$C818="",对接源_01水果!$C818&lt;&gt;$L$1,对接源_01水果!$B818=""),0,IF(OR(N(对接源_01水果!$B818)&lt;$L$2,N(对接源_01水果!$B818)&gt;$L$3),0,1))</f>
        <v>0</v>
      </c>
      <c r="M818" s="3">
        <f>IF(OR($M$1="",对接源_01水果!$C818="",对接源_01水果!$C818&lt;&gt;$M$1,对接源_01水果!$B818=""),0,IF(OR(N(对接源_01水果!$B818)&lt;$M$2,N(对接源_01水果!$B818)&gt;$M$3),0,1))</f>
        <v>0</v>
      </c>
      <c r="N818" s="3">
        <f>IF(OR($N$1="",对接源_01水果!$C818="",对接源_01水果!$C818&lt;&gt;$N$1,对接源_01水果!$B818=""),0,IF(OR(N(对接源_01水果!$B818)&lt;$N$2,N(对接源_01水果!$B818)&gt;$N$3),0,1))</f>
        <v>0</v>
      </c>
      <c r="P818" s="3">
        <f>IF(AND($K818=1,AND(对接源_01水果!$X818="公司筐",N(对接源_01水果!$T818)&lt;&gt;0)),1,0)</f>
        <v>0</v>
      </c>
      <c r="Q818" s="3">
        <f t="shared" si="215"/>
        <v>0</v>
      </c>
      <c r="R818" s="3">
        <f>IF(AND($K818=1,AND(对接源_01水果!$X818="公司筐",N(对接源_01水果!$U818)&lt;&gt;0)),1,0)</f>
        <v>0</v>
      </c>
      <c r="S818" s="3">
        <f t="shared" si="216"/>
        <v>0</v>
      </c>
      <c r="T818" s="3">
        <f>IF(AND($K818=1,AND(对接源_01水果!$X818="公司筐",N(对接源_01水果!$V818)&lt;&gt;0)),1,0)</f>
        <v>0</v>
      </c>
      <c r="U818" s="3">
        <f t="shared" si="217"/>
        <v>19</v>
      </c>
      <c r="V818" s="3">
        <f>IF(AND($L818=1,AND(对接源_01水果!$X818="自备筐",N(对接源_01水果!$V818)&lt;&gt;0)),1,0)</f>
        <v>0</v>
      </c>
      <c r="W818" s="3">
        <f t="shared" si="218"/>
        <v>8</v>
      </c>
      <c r="X818" s="3">
        <f>IF(AND($L818=1,AND(对接源_01水果!$X818="自备筐",N(对接源_01水果!$T818)&lt;&gt;0)),1,0)</f>
        <v>0</v>
      </c>
      <c r="Y818" s="3">
        <f t="shared" si="219"/>
        <v>0</v>
      </c>
      <c r="Z818" s="3">
        <f>IF(AND($M818=1,对接源_01水果!$D818="原料入库"),1,0)</f>
        <v>0</v>
      </c>
      <c r="AA818" s="3">
        <f t="shared" si="220"/>
        <v>24</v>
      </c>
      <c r="AB818" s="3">
        <f>IF(AND($M818=1,LEFT(对接源_01水果!$D818,4)="原料出库"),1,0)</f>
        <v>0</v>
      </c>
      <c r="AC818" s="3">
        <f t="shared" si="221"/>
        <v>0</v>
      </c>
      <c r="AD818" s="3">
        <f>IF(AND($M818=1,LEFT(对接源_01水果!$D818,4)="成品出库"),1,0)</f>
        <v>0</v>
      </c>
      <c r="AE818" s="3">
        <f t="shared" si="222"/>
        <v>0</v>
      </c>
      <c r="AF818" s="3">
        <f>IF(AND($N818=1,AND(LEFT(对接源_01水果!$D818,4)="包装物料",N(对接源_01水果!$K818)&lt;&gt;0)),1,0)</f>
        <v>0</v>
      </c>
      <c r="AG818" s="3">
        <f t="shared" si="223"/>
        <v>0</v>
      </c>
      <c r="AH818" s="3">
        <f>IF(AND($N818=1,AND(对接源_01水果!$D818="周转筐－销售出库",N(对接源_01水果!$K818)&lt;&gt;0)),1,0)</f>
        <v>0</v>
      </c>
      <c r="AI818" s="3">
        <f t="shared" si="224"/>
        <v>0</v>
      </c>
      <c r="AJ818" s="7"/>
      <c r="AL818" s="3">
        <f>IF(OR($AL$1="",对接源_01水果!$Y818="",对接源_01水果!$Y818&lt;&gt;$AL$1,对接源_01水果!$B818="",N(对接源_01水果!$AJ818)&lt;=0),0,IF(OR(N(对接源_01水果!$B818)&lt;$AL$2,N(对接源_01水果!$B818)&gt;$AL$3),0,1))</f>
        <v>0</v>
      </c>
      <c r="AM818" s="3">
        <f t="shared" si="225"/>
        <v>1</v>
      </c>
      <c r="AN818" s="3" t="str">
        <f>IF(对接源_01水果!$AC818="","",对接源_01水果!$AC818)</f>
        <v/>
      </c>
      <c r="AO818" s="3">
        <f t="shared" si="226"/>
        <v>0</v>
      </c>
      <c r="AP818" s="3">
        <f t="shared" si="227"/>
        <v>8</v>
      </c>
      <c r="AR818">
        <f t="shared" si="228"/>
        <v>0</v>
      </c>
      <c r="AS818">
        <f t="shared" si="229"/>
        <v>0</v>
      </c>
    </row>
    <row r="819" ht="14.25" customHeight="1" spans="1:45">
      <c r="A819" s="3" t="str">
        <f>IF(对接源_01水果!$C819="","",对接源_01水果!$C819)</f>
        <v/>
      </c>
      <c r="B819" s="3">
        <f t="shared" si="213"/>
        <v>0</v>
      </c>
      <c r="C819" s="3">
        <f t="shared" si="214"/>
        <v>18</v>
      </c>
      <c r="K819" s="3">
        <f>IF(OR($K$1="",对接源_01水果!$C819="",对接源_01水果!$C819&lt;&gt;$K$1,对接源_01水果!$B819=""),0,IF(OR(N(对接源_01水果!$B819)&lt;$K$2,N(对接源_01水果!$B819)&gt;$K$3),0,1))</f>
        <v>0</v>
      </c>
      <c r="L819" s="3">
        <f>IF(OR($L$1="",对接源_01水果!$C819="",对接源_01水果!$C819&lt;&gt;$L$1,对接源_01水果!$B819=""),0,IF(OR(N(对接源_01水果!$B819)&lt;$L$2,N(对接源_01水果!$B819)&gt;$L$3),0,1))</f>
        <v>0</v>
      </c>
      <c r="M819" s="3">
        <f>IF(OR($M$1="",对接源_01水果!$C819="",对接源_01水果!$C819&lt;&gt;$M$1,对接源_01水果!$B819=""),0,IF(OR(N(对接源_01水果!$B819)&lt;$M$2,N(对接源_01水果!$B819)&gt;$M$3),0,1))</f>
        <v>0</v>
      </c>
      <c r="N819" s="3">
        <f>IF(OR($N$1="",对接源_01水果!$C819="",对接源_01水果!$C819&lt;&gt;$N$1,对接源_01水果!$B819=""),0,IF(OR(N(对接源_01水果!$B819)&lt;$N$2,N(对接源_01水果!$B819)&gt;$N$3),0,1))</f>
        <v>0</v>
      </c>
      <c r="P819" s="3">
        <f>IF(AND($K819=1,AND(对接源_01水果!$X819="公司筐",N(对接源_01水果!$T819)&lt;&gt;0)),1,0)</f>
        <v>0</v>
      </c>
      <c r="Q819" s="3">
        <f t="shared" si="215"/>
        <v>0</v>
      </c>
      <c r="R819" s="3">
        <f>IF(AND($K819=1,AND(对接源_01水果!$X819="公司筐",N(对接源_01水果!$U819)&lt;&gt;0)),1,0)</f>
        <v>0</v>
      </c>
      <c r="S819" s="3">
        <f t="shared" si="216"/>
        <v>0</v>
      </c>
      <c r="T819" s="3">
        <f>IF(AND($K819=1,AND(对接源_01水果!$X819="公司筐",N(对接源_01水果!$V819)&lt;&gt;0)),1,0)</f>
        <v>0</v>
      </c>
      <c r="U819" s="3">
        <f t="shared" si="217"/>
        <v>19</v>
      </c>
      <c r="V819" s="3">
        <f>IF(AND($L819=1,AND(对接源_01水果!$X819="自备筐",N(对接源_01水果!$V819)&lt;&gt;0)),1,0)</f>
        <v>0</v>
      </c>
      <c r="W819" s="3">
        <f t="shared" si="218"/>
        <v>8</v>
      </c>
      <c r="X819" s="3">
        <f>IF(AND($L819=1,AND(对接源_01水果!$X819="自备筐",N(对接源_01水果!$T819)&lt;&gt;0)),1,0)</f>
        <v>0</v>
      </c>
      <c r="Y819" s="3">
        <f t="shared" si="219"/>
        <v>0</v>
      </c>
      <c r="Z819" s="3">
        <f>IF(AND($M819=1,对接源_01水果!$D819="原料入库"),1,0)</f>
        <v>0</v>
      </c>
      <c r="AA819" s="3">
        <f t="shared" si="220"/>
        <v>24</v>
      </c>
      <c r="AB819" s="3">
        <f>IF(AND($M819=1,LEFT(对接源_01水果!$D819,4)="原料出库"),1,0)</f>
        <v>0</v>
      </c>
      <c r="AC819" s="3">
        <f t="shared" si="221"/>
        <v>0</v>
      </c>
      <c r="AD819" s="3">
        <f>IF(AND($M819=1,LEFT(对接源_01水果!$D819,4)="成品出库"),1,0)</f>
        <v>0</v>
      </c>
      <c r="AE819" s="3">
        <f t="shared" si="222"/>
        <v>0</v>
      </c>
      <c r="AF819" s="3">
        <f>IF(AND($N819=1,AND(LEFT(对接源_01水果!$D819,4)="包装物料",N(对接源_01水果!$K819)&lt;&gt;0)),1,0)</f>
        <v>0</v>
      </c>
      <c r="AG819" s="3">
        <f t="shared" si="223"/>
        <v>0</v>
      </c>
      <c r="AH819" s="3">
        <f>IF(AND($N819=1,AND(对接源_01水果!$D819="周转筐－销售出库",N(对接源_01水果!$K819)&lt;&gt;0)),1,0)</f>
        <v>0</v>
      </c>
      <c r="AI819" s="3">
        <f t="shared" si="224"/>
        <v>0</v>
      </c>
      <c r="AJ819" s="7"/>
      <c r="AL819" s="3">
        <f>IF(OR($AL$1="",对接源_01水果!$Y819="",对接源_01水果!$Y819&lt;&gt;$AL$1,对接源_01水果!$B819="",N(对接源_01水果!$AJ819)&lt;=0),0,IF(OR(N(对接源_01水果!$B819)&lt;$AL$2,N(对接源_01水果!$B819)&gt;$AL$3),0,1))</f>
        <v>0</v>
      </c>
      <c r="AM819" s="3">
        <f t="shared" si="225"/>
        <v>1</v>
      </c>
      <c r="AN819" s="3" t="str">
        <f>IF(对接源_01水果!$AC819="","",对接源_01水果!$AC819)</f>
        <v/>
      </c>
      <c r="AO819" s="3">
        <f t="shared" si="226"/>
        <v>0</v>
      </c>
      <c r="AP819" s="3">
        <f t="shared" si="227"/>
        <v>8</v>
      </c>
      <c r="AR819">
        <f t="shared" si="228"/>
        <v>0</v>
      </c>
      <c r="AS819">
        <f t="shared" si="229"/>
        <v>0</v>
      </c>
    </row>
    <row r="820" ht="14.25" customHeight="1" spans="1:45">
      <c r="A820" s="3" t="str">
        <f>IF(对接源_01水果!$C820="","",对接源_01水果!$C820)</f>
        <v/>
      </c>
      <c r="B820" s="3">
        <f t="shared" si="213"/>
        <v>0</v>
      </c>
      <c r="C820" s="3">
        <f t="shared" si="214"/>
        <v>18</v>
      </c>
      <c r="K820" s="3">
        <f>IF(OR($K$1="",对接源_01水果!$C820="",对接源_01水果!$C820&lt;&gt;$K$1,对接源_01水果!$B820=""),0,IF(OR(N(对接源_01水果!$B820)&lt;$K$2,N(对接源_01水果!$B820)&gt;$K$3),0,1))</f>
        <v>0</v>
      </c>
      <c r="L820" s="3">
        <f>IF(OR($L$1="",对接源_01水果!$C820="",对接源_01水果!$C820&lt;&gt;$L$1,对接源_01水果!$B820=""),0,IF(OR(N(对接源_01水果!$B820)&lt;$L$2,N(对接源_01水果!$B820)&gt;$L$3),0,1))</f>
        <v>0</v>
      </c>
      <c r="M820" s="3">
        <f>IF(OR($M$1="",对接源_01水果!$C820="",对接源_01水果!$C820&lt;&gt;$M$1,对接源_01水果!$B820=""),0,IF(OR(N(对接源_01水果!$B820)&lt;$M$2,N(对接源_01水果!$B820)&gt;$M$3),0,1))</f>
        <v>0</v>
      </c>
      <c r="N820" s="3">
        <f>IF(OR($N$1="",对接源_01水果!$C820="",对接源_01水果!$C820&lt;&gt;$N$1,对接源_01水果!$B820=""),0,IF(OR(N(对接源_01水果!$B820)&lt;$N$2,N(对接源_01水果!$B820)&gt;$N$3),0,1))</f>
        <v>0</v>
      </c>
      <c r="P820" s="3">
        <f>IF(AND($K820=1,AND(对接源_01水果!$X820="公司筐",N(对接源_01水果!$T820)&lt;&gt;0)),1,0)</f>
        <v>0</v>
      </c>
      <c r="Q820" s="3">
        <f t="shared" si="215"/>
        <v>0</v>
      </c>
      <c r="R820" s="3">
        <f>IF(AND($K820=1,AND(对接源_01水果!$X820="公司筐",N(对接源_01水果!$U820)&lt;&gt;0)),1,0)</f>
        <v>0</v>
      </c>
      <c r="S820" s="3">
        <f t="shared" si="216"/>
        <v>0</v>
      </c>
      <c r="T820" s="3">
        <f>IF(AND($K820=1,AND(对接源_01水果!$X820="公司筐",N(对接源_01水果!$V820)&lt;&gt;0)),1,0)</f>
        <v>0</v>
      </c>
      <c r="U820" s="3">
        <f t="shared" si="217"/>
        <v>19</v>
      </c>
      <c r="V820" s="3">
        <f>IF(AND($L820=1,AND(对接源_01水果!$X820="自备筐",N(对接源_01水果!$V820)&lt;&gt;0)),1,0)</f>
        <v>0</v>
      </c>
      <c r="W820" s="3">
        <f t="shared" si="218"/>
        <v>8</v>
      </c>
      <c r="X820" s="3">
        <f>IF(AND($L820=1,AND(对接源_01水果!$X820="自备筐",N(对接源_01水果!$T820)&lt;&gt;0)),1,0)</f>
        <v>0</v>
      </c>
      <c r="Y820" s="3">
        <f t="shared" si="219"/>
        <v>0</v>
      </c>
      <c r="Z820" s="3">
        <f>IF(AND($M820=1,对接源_01水果!$D820="原料入库"),1,0)</f>
        <v>0</v>
      </c>
      <c r="AA820" s="3">
        <f t="shared" si="220"/>
        <v>24</v>
      </c>
      <c r="AB820" s="3">
        <f>IF(AND($M820=1,LEFT(对接源_01水果!$D820,4)="原料出库"),1,0)</f>
        <v>0</v>
      </c>
      <c r="AC820" s="3">
        <f t="shared" si="221"/>
        <v>0</v>
      </c>
      <c r="AD820" s="3">
        <f>IF(AND($M820=1,LEFT(对接源_01水果!$D820,4)="成品出库"),1,0)</f>
        <v>0</v>
      </c>
      <c r="AE820" s="3">
        <f t="shared" si="222"/>
        <v>0</v>
      </c>
      <c r="AF820" s="3">
        <f>IF(AND($N820=1,AND(LEFT(对接源_01水果!$D820,4)="包装物料",N(对接源_01水果!$K820)&lt;&gt;0)),1,0)</f>
        <v>0</v>
      </c>
      <c r="AG820" s="3">
        <f t="shared" si="223"/>
        <v>0</v>
      </c>
      <c r="AH820" s="3">
        <f>IF(AND($N820=1,AND(对接源_01水果!$D820="周转筐－销售出库",N(对接源_01水果!$K820)&lt;&gt;0)),1,0)</f>
        <v>0</v>
      </c>
      <c r="AI820" s="3">
        <f t="shared" si="224"/>
        <v>0</v>
      </c>
      <c r="AJ820" s="7"/>
      <c r="AL820" s="3">
        <f>IF(OR($AL$1="",对接源_01水果!$Y820="",对接源_01水果!$Y820&lt;&gt;$AL$1,对接源_01水果!$B820="",N(对接源_01水果!$AJ820)&lt;=0),0,IF(OR(N(对接源_01水果!$B820)&lt;$AL$2,N(对接源_01水果!$B820)&gt;$AL$3),0,1))</f>
        <v>0</v>
      </c>
      <c r="AM820" s="3">
        <f t="shared" si="225"/>
        <v>1</v>
      </c>
      <c r="AN820" s="3" t="str">
        <f>IF(对接源_01水果!$AC820="","",对接源_01水果!$AC820)</f>
        <v/>
      </c>
      <c r="AO820" s="3">
        <f t="shared" si="226"/>
        <v>0</v>
      </c>
      <c r="AP820" s="3">
        <f t="shared" si="227"/>
        <v>8</v>
      </c>
      <c r="AR820">
        <f t="shared" si="228"/>
        <v>0</v>
      </c>
      <c r="AS820">
        <f t="shared" si="229"/>
        <v>0</v>
      </c>
    </row>
    <row r="821" ht="14.25" customHeight="1" spans="1:45">
      <c r="A821" s="3" t="str">
        <f>IF(对接源_01水果!$C821="","",对接源_01水果!$C821)</f>
        <v/>
      </c>
      <c r="B821" s="3">
        <f t="shared" si="213"/>
        <v>0</v>
      </c>
      <c r="C821" s="3">
        <f t="shared" si="214"/>
        <v>18</v>
      </c>
      <c r="K821" s="3">
        <f>IF(OR($K$1="",对接源_01水果!$C821="",对接源_01水果!$C821&lt;&gt;$K$1,对接源_01水果!$B821=""),0,IF(OR(N(对接源_01水果!$B821)&lt;$K$2,N(对接源_01水果!$B821)&gt;$K$3),0,1))</f>
        <v>0</v>
      </c>
      <c r="L821" s="3">
        <f>IF(OR($L$1="",对接源_01水果!$C821="",对接源_01水果!$C821&lt;&gt;$L$1,对接源_01水果!$B821=""),0,IF(OR(N(对接源_01水果!$B821)&lt;$L$2,N(对接源_01水果!$B821)&gt;$L$3),0,1))</f>
        <v>0</v>
      </c>
      <c r="M821" s="3">
        <f>IF(OR($M$1="",对接源_01水果!$C821="",对接源_01水果!$C821&lt;&gt;$M$1,对接源_01水果!$B821=""),0,IF(OR(N(对接源_01水果!$B821)&lt;$M$2,N(对接源_01水果!$B821)&gt;$M$3),0,1))</f>
        <v>0</v>
      </c>
      <c r="N821" s="3">
        <f>IF(OR($N$1="",对接源_01水果!$C821="",对接源_01水果!$C821&lt;&gt;$N$1,对接源_01水果!$B821=""),0,IF(OR(N(对接源_01水果!$B821)&lt;$N$2,N(对接源_01水果!$B821)&gt;$N$3),0,1))</f>
        <v>0</v>
      </c>
      <c r="P821" s="3">
        <f>IF(AND($K821=1,AND(对接源_01水果!$X821="公司筐",N(对接源_01水果!$T821)&lt;&gt;0)),1,0)</f>
        <v>0</v>
      </c>
      <c r="Q821" s="3">
        <f t="shared" si="215"/>
        <v>0</v>
      </c>
      <c r="R821" s="3">
        <f>IF(AND($K821=1,AND(对接源_01水果!$X821="公司筐",N(对接源_01水果!$U821)&lt;&gt;0)),1,0)</f>
        <v>0</v>
      </c>
      <c r="S821" s="3">
        <f t="shared" si="216"/>
        <v>0</v>
      </c>
      <c r="T821" s="3">
        <f>IF(AND($K821=1,AND(对接源_01水果!$X821="公司筐",N(对接源_01水果!$V821)&lt;&gt;0)),1,0)</f>
        <v>0</v>
      </c>
      <c r="U821" s="3">
        <f t="shared" si="217"/>
        <v>19</v>
      </c>
      <c r="V821" s="3">
        <f>IF(AND($L821=1,AND(对接源_01水果!$X821="自备筐",N(对接源_01水果!$V821)&lt;&gt;0)),1,0)</f>
        <v>0</v>
      </c>
      <c r="W821" s="3">
        <f t="shared" si="218"/>
        <v>8</v>
      </c>
      <c r="X821" s="3">
        <f>IF(AND($L821=1,AND(对接源_01水果!$X821="自备筐",N(对接源_01水果!$T821)&lt;&gt;0)),1,0)</f>
        <v>0</v>
      </c>
      <c r="Y821" s="3">
        <f t="shared" si="219"/>
        <v>0</v>
      </c>
      <c r="Z821" s="3">
        <f>IF(AND($M821=1,对接源_01水果!$D821="原料入库"),1,0)</f>
        <v>0</v>
      </c>
      <c r="AA821" s="3">
        <f t="shared" si="220"/>
        <v>24</v>
      </c>
      <c r="AB821" s="3">
        <f>IF(AND($M821=1,LEFT(对接源_01水果!$D821,4)="原料出库"),1,0)</f>
        <v>0</v>
      </c>
      <c r="AC821" s="3">
        <f t="shared" si="221"/>
        <v>0</v>
      </c>
      <c r="AD821" s="3">
        <f>IF(AND($M821=1,LEFT(对接源_01水果!$D821,4)="成品出库"),1,0)</f>
        <v>0</v>
      </c>
      <c r="AE821" s="3">
        <f t="shared" si="222"/>
        <v>0</v>
      </c>
      <c r="AF821" s="3">
        <f>IF(AND($N821=1,AND(LEFT(对接源_01水果!$D821,4)="包装物料",N(对接源_01水果!$K821)&lt;&gt;0)),1,0)</f>
        <v>0</v>
      </c>
      <c r="AG821" s="3">
        <f t="shared" si="223"/>
        <v>0</v>
      </c>
      <c r="AH821" s="3">
        <f>IF(AND($N821=1,AND(对接源_01水果!$D821="周转筐－销售出库",N(对接源_01水果!$K821)&lt;&gt;0)),1,0)</f>
        <v>0</v>
      </c>
      <c r="AI821" s="3">
        <f t="shared" si="224"/>
        <v>0</v>
      </c>
      <c r="AJ821" s="7"/>
      <c r="AL821" s="3">
        <f>IF(OR($AL$1="",对接源_01水果!$Y821="",对接源_01水果!$Y821&lt;&gt;$AL$1,对接源_01水果!$B821="",N(对接源_01水果!$AJ821)&lt;=0),0,IF(OR(N(对接源_01水果!$B821)&lt;$AL$2,N(对接源_01水果!$B821)&gt;$AL$3),0,1))</f>
        <v>0</v>
      </c>
      <c r="AM821" s="3">
        <f t="shared" si="225"/>
        <v>1</v>
      </c>
      <c r="AN821" s="3" t="str">
        <f>IF(对接源_01水果!$AC821="","",对接源_01水果!$AC821)</f>
        <v/>
      </c>
      <c r="AO821" s="3">
        <f t="shared" si="226"/>
        <v>0</v>
      </c>
      <c r="AP821" s="3">
        <f t="shared" si="227"/>
        <v>8</v>
      </c>
      <c r="AR821">
        <f t="shared" si="228"/>
        <v>0</v>
      </c>
      <c r="AS821">
        <f t="shared" si="229"/>
        <v>0</v>
      </c>
    </row>
    <row r="822" ht="14.25" customHeight="1" spans="1:45">
      <c r="A822" s="3" t="str">
        <f>IF(对接源_01水果!$C822="","",对接源_01水果!$C822)</f>
        <v/>
      </c>
      <c r="B822" s="3">
        <f t="shared" si="213"/>
        <v>0</v>
      </c>
      <c r="C822" s="3">
        <f t="shared" si="214"/>
        <v>18</v>
      </c>
      <c r="K822" s="3">
        <f>IF(OR($K$1="",对接源_01水果!$C822="",对接源_01水果!$C822&lt;&gt;$K$1,对接源_01水果!$B822=""),0,IF(OR(N(对接源_01水果!$B822)&lt;$K$2,N(对接源_01水果!$B822)&gt;$K$3),0,1))</f>
        <v>0</v>
      </c>
      <c r="L822" s="3">
        <f>IF(OR($L$1="",对接源_01水果!$C822="",对接源_01水果!$C822&lt;&gt;$L$1,对接源_01水果!$B822=""),0,IF(OR(N(对接源_01水果!$B822)&lt;$L$2,N(对接源_01水果!$B822)&gt;$L$3),0,1))</f>
        <v>0</v>
      </c>
      <c r="M822" s="3">
        <f>IF(OR($M$1="",对接源_01水果!$C822="",对接源_01水果!$C822&lt;&gt;$M$1,对接源_01水果!$B822=""),0,IF(OR(N(对接源_01水果!$B822)&lt;$M$2,N(对接源_01水果!$B822)&gt;$M$3),0,1))</f>
        <v>0</v>
      </c>
      <c r="N822" s="3">
        <f>IF(OR($N$1="",对接源_01水果!$C822="",对接源_01水果!$C822&lt;&gt;$N$1,对接源_01水果!$B822=""),0,IF(OR(N(对接源_01水果!$B822)&lt;$N$2,N(对接源_01水果!$B822)&gt;$N$3),0,1))</f>
        <v>0</v>
      </c>
      <c r="P822" s="3">
        <f>IF(AND($K822=1,AND(对接源_01水果!$X822="公司筐",N(对接源_01水果!$T822)&lt;&gt;0)),1,0)</f>
        <v>0</v>
      </c>
      <c r="Q822" s="3">
        <f t="shared" si="215"/>
        <v>0</v>
      </c>
      <c r="R822" s="3">
        <f>IF(AND($K822=1,AND(对接源_01水果!$X822="公司筐",N(对接源_01水果!$U822)&lt;&gt;0)),1,0)</f>
        <v>0</v>
      </c>
      <c r="S822" s="3">
        <f t="shared" si="216"/>
        <v>0</v>
      </c>
      <c r="T822" s="3">
        <f>IF(AND($K822=1,AND(对接源_01水果!$X822="公司筐",N(对接源_01水果!$V822)&lt;&gt;0)),1,0)</f>
        <v>0</v>
      </c>
      <c r="U822" s="3">
        <f t="shared" si="217"/>
        <v>19</v>
      </c>
      <c r="V822" s="3">
        <f>IF(AND($L822=1,AND(对接源_01水果!$X822="自备筐",N(对接源_01水果!$V822)&lt;&gt;0)),1,0)</f>
        <v>0</v>
      </c>
      <c r="W822" s="3">
        <f t="shared" si="218"/>
        <v>8</v>
      </c>
      <c r="X822" s="3">
        <f>IF(AND($L822=1,AND(对接源_01水果!$X822="自备筐",N(对接源_01水果!$T822)&lt;&gt;0)),1,0)</f>
        <v>0</v>
      </c>
      <c r="Y822" s="3">
        <f t="shared" si="219"/>
        <v>0</v>
      </c>
      <c r="Z822" s="3">
        <f>IF(AND($M822=1,对接源_01水果!$D822="原料入库"),1,0)</f>
        <v>0</v>
      </c>
      <c r="AA822" s="3">
        <f t="shared" si="220"/>
        <v>24</v>
      </c>
      <c r="AB822" s="3">
        <f>IF(AND($M822=1,LEFT(对接源_01水果!$D822,4)="原料出库"),1,0)</f>
        <v>0</v>
      </c>
      <c r="AC822" s="3">
        <f t="shared" si="221"/>
        <v>0</v>
      </c>
      <c r="AD822" s="3">
        <f>IF(AND($M822=1,LEFT(对接源_01水果!$D822,4)="成品出库"),1,0)</f>
        <v>0</v>
      </c>
      <c r="AE822" s="3">
        <f t="shared" si="222"/>
        <v>0</v>
      </c>
      <c r="AF822" s="3">
        <f>IF(AND($N822=1,AND(LEFT(对接源_01水果!$D822,4)="包装物料",N(对接源_01水果!$K822)&lt;&gt;0)),1,0)</f>
        <v>0</v>
      </c>
      <c r="AG822" s="3">
        <f t="shared" si="223"/>
        <v>0</v>
      </c>
      <c r="AH822" s="3">
        <f>IF(AND($N822=1,AND(对接源_01水果!$D822="周转筐－销售出库",N(对接源_01水果!$K822)&lt;&gt;0)),1,0)</f>
        <v>0</v>
      </c>
      <c r="AI822" s="3">
        <f t="shared" si="224"/>
        <v>0</v>
      </c>
      <c r="AJ822" s="7"/>
      <c r="AL822" s="3">
        <f>IF(OR($AL$1="",对接源_01水果!$Y822="",对接源_01水果!$Y822&lt;&gt;$AL$1,对接源_01水果!$B822="",N(对接源_01水果!$AJ822)&lt;=0),0,IF(OR(N(对接源_01水果!$B822)&lt;$AL$2,N(对接源_01水果!$B822)&gt;$AL$3),0,1))</f>
        <v>0</v>
      </c>
      <c r="AM822" s="3">
        <f t="shared" si="225"/>
        <v>1</v>
      </c>
      <c r="AN822" s="3" t="str">
        <f>IF(对接源_01水果!$AC822="","",对接源_01水果!$AC822)</f>
        <v/>
      </c>
      <c r="AO822" s="3">
        <f t="shared" si="226"/>
        <v>0</v>
      </c>
      <c r="AP822" s="3">
        <f t="shared" si="227"/>
        <v>8</v>
      </c>
      <c r="AR822">
        <f t="shared" si="228"/>
        <v>0</v>
      </c>
      <c r="AS822">
        <f t="shared" si="229"/>
        <v>0</v>
      </c>
    </row>
    <row r="823" ht="14.25" customHeight="1" spans="1:45">
      <c r="A823" s="3" t="str">
        <f>IF(对接源_01水果!$C823="","",对接源_01水果!$C823)</f>
        <v/>
      </c>
      <c r="B823" s="3">
        <f t="shared" si="213"/>
        <v>0</v>
      </c>
      <c r="C823" s="3">
        <f t="shared" si="214"/>
        <v>18</v>
      </c>
      <c r="K823" s="3">
        <f>IF(OR($K$1="",对接源_01水果!$C823="",对接源_01水果!$C823&lt;&gt;$K$1,对接源_01水果!$B823=""),0,IF(OR(N(对接源_01水果!$B823)&lt;$K$2,N(对接源_01水果!$B823)&gt;$K$3),0,1))</f>
        <v>0</v>
      </c>
      <c r="L823" s="3">
        <f>IF(OR($L$1="",对接源_01水果!$C823="",对接源_01水果!$C823&lt;&gt;$L$1,对接源_01水果!$B823=""),0,IF(OR(N(对接源_01水果!$B823)&lt;$L$2,N(对接源_01水果!$B823)&gt;$L$3),0,1))</f>
        <v>0</v>
      </c>
      <c r="M823" s="3">
        <f>IF(OR($M$1="",对接源_01水果!$C823="",对接源_01水果!$C823&lt;&gt;$M$1,对接源_01水果!$B823=""),0,IF(OR(N(对接源_01水果!$B823)&lt;$M$2,N(对接源_01水果!$B823)&gt;$M$3),0,1))</f>
        <v>0</v>
      </c>
      <c r="N823" s="3">
        <f>IF(OR($N$1="",对接源_01水果!$C823="",对接源_01水果!$C823&lt;&gt;$N$1,对接源_01水果!$B823=""),0,IF(OR(N(对接源_01水果!$B823)&lt;$N$2,N(对接源_01水果!$B823)&gt;$N$3),0,1))</f>
        <v>0</v>
      </c>
      <c r="P823" s="3">
        <f>IF(AND($K823=1,AND(对接源_01水果!$X823="公司筐",N(对接源_01水果!$T823)&lt;&gt;0)),1,0)</f>
        <v>0</v>
      </c>
      <c r="Q823" s="3">
        <f t="shared" si="215"/>
        <v>0</v>
      </c>
      <c r="R823" s="3">
        <f>IF(AND($K823=1,AND(对接源_01水果!$X823="公司筐",N(对接源_01水果!$U823)&lt;&gt;0)),1,0)</f>
        <v>0</v>
      </c>
      <c r="S823" s="3">
        <f t="shared" si="216"/>
        <v>0</v>
      </c>
      <c r="T823" s="3">
        <f>IF(AND($K823=1,AND(对接源_01水果!$X823="公司筐",N(对接源_01水果!$V823)&lt;&gt;0)),1,0)</f>
        <v>0</v>
      </c>
      <c r="U823" s="3">
        <f t="shared" si="217"/>
        <v>19</v>
      </c>
      <c r="V823" s="3">
        <f>IF(AND($L823=1,AND(对接源_01水果!$X823="自备筐",N(对接源_01水果!$V823)&lt;&gt;0)),1,0)</f>
        <v>0</v>
      </c>
      <c r="W823" s="3">
        <f t="shared" si="218"/>
        <v>8</v>
      </c>
      <c r="X823" s="3">
        <f>IF(AND($L823=1,AND(对接源_01水果!$X823="自备筐",N(对接源_01水果!$T823)&lt;&gt;0)),1,0)</f>
        <v>0</v>
      </c>
      <c r="Y823" s="3">
        <f t="shared" si="219"/>
        <v>0</v>
      </c>
      <c r="Z823" s="3">
        <f>IF(AND($M823=1,对接源_01水果!$D823="原料入库"),1,0)</f>
        <v>0</v>
      </c>
      <c r="AA823" s="3">
        <f t="shared" si="220"/>
        <v>24</v>
      </c>
      <c r="AB823" s="3">
        <f>IF(AND($M823=1,LEFT(对接源_01水果!$D823,4)="原料出库"),1,0)</f>
        <v>0</v>
      </c>
      <c r="AC823" s="3">
        <f t="shared" si="221"/>
        <v>0</v>
      </c>
      <c r="AD823" s="3">
        <f>IF(AND($M823=1,LEFT(对接源_01水果!$D823,4)="成品出库"),1,0)</f>
        <v>0</v>
      </c>
      <c r="AE823" s="3">
        <f t="shared" si="222"/>
        <v>0</v>
      </c>
      <c r="AF823" s="3">
        <f>IF(AND($N823=1,AND(LEFT(对接源_01水果!$D823,4)="包装物料",N(对接源_01水果!$K823)&lt;&gt;0)),1,0)</f>
        <v>0</v>
      </c>
      <c r="AG823" s="3">
        <f t="shared" si="223"/>
        <v>0</v>
      </c>
      <c r="AH823" s="3">
        <f>IF(AND($N823=1,AND(对接源_01水果!$D823="周转筐－销售出库",N(对接源_01水果!$K823)&lt;&gt;0)),1,0)</f>
        <v>0</v>
      </c>
      <c r="AI823" s="3">
        <f t="shared" si="224"/>
        <v>0</v>
      </c>
      <c r="AJ823" s="7"/>
      <c r="AL823" s="3">
        <f>IF(OR($AL$1="",对接源_01水果!$Y823="",对接源_01水果!$Y823&lt;&gt;$AL$1,对接源_01水果!$B823="",N(对接源_01水果!$AJ823)&lt;=0),0,IF(OR(N(对接源_01水果!$B823)&lt;$AL$2,N(对接源_01水果!$B823)&gt;$AL$3),0,1))</f>
        <v>0</v>
      </c>
      <c r="AM823" s="3">
        <f t="shared" si="225"/>
        <v>1</v>
      </c>
      <c r="AN823" s="3" t="str">
        <f>IF(对接源_01水果!$AC823="","",对接源_01水果!$AC823)</f>
        <v/>
      </c>
      <c r="AO823" s="3">
        <f t="shared" si="226"/>
        <v>0</v>
      </c>
      <c r="AP823" s="3">
        <f t="shared" si="227"/>
        <v>8</v>
      </c>
      <c r="AR823">
        <f t="shared" si="228"/>
        <v>0</v>
      </c>
      <c r="AS823">
        <f t="shared" si="229"/>
        <v>0</v>
      </c>
    </row>
    <row r="824" ht="14.25" customHeight="1" spans="1:45">
      <c r="A824" s="3" t="str">
        <f>IF(对接源_01水果!$C824="","",对接源_01水果!$C824)</f>
        <v/>
      </c>
      <c r="B824" s="3">
        <f t="shared" si="213"/>
        <v>0</v>
      </c>
      <c r="C824" s="3">
        <f t="shared" si="214"/>
        <v>18</v>
      </c>
      <c r="K824" s="3">
        <f>IF(OR($K$1="",对接源_01水果!$C824="",对接源_01水果!$C824&lt;&gt;$K$1,对接源_01水果!$B824=""),0,IF(OR(N(对接源_01水果!$B824)&lt;$K$2,N(对接源_01水果!$B824)&gt;$K$3),0,1))</f>
        <v>0</v>
      </c>
      <c r="L824" s="3">
        <f>IF(OR($L$1="",对接源_01水果!$C824="",对接源_01水果!$C824&lt;&gt;$L$1,对接源_01水果!$B824=""),0,IF(OR(N(对接源_01水果!$B824)&lt;$L$2,N(对接源_01水果!$B824)&gt;$L$3),0,1))</f>
        <v>0</v>
      </c>
      <c r="M824" s="3">
        <f>IF(OR($M$1="",对接源_01水果!$C824="",对接源_01水果!$C824&lt;&gt;$M$1,对接源_01水果!$B824=""),0,IF(OR(N(对接源_01水果!$B824)&lt;$M$2,N(对接源_01水果!$B824)&gt;$M$3),0,1))</f>
        <v>0</v>
      </c>
      <c r="N824" s="3">
        <f>IF(OR($N$1="",对接源_01水果!$C824="",对接源_01水果!$C824&lt;&gt;$N$1,对接源_01水果!$B824=""),0,IF(OR(N(对接源_01水果!$B824)&lt;$N$2,N(对接源_01水果!$B824)&gt;$N$3),0,1))</f>
        <v>0</v>
      </c>
      <c r="P824" s="3">
        <f>IF(AND($K824=1,AND(对接源_01水果!$X824="公司筐",N(对接源_01水果!$T824)&lt;&gt;0)),1,0)</f>
        <v>0</v>
      </c>
      <c r="Q824" s="3">
        <f t="shared" si="215"/>
        <v>0</v>
      </c>
      <c r="R824" s="3">
        <f>IF(AND($K824=1,AND(对接源_01水果!$X824="公司筐",N(对接源_01水果!$U824)&lt;&gt;0)),1,0)</f>
        <v>0</v>
      </c>
      <c r="S824" s="3">
        <f t="shared" si="216"/>
        <v>0</v>
      </c>
      <c r="T824" s="3">
        <f>IF(AND($K824=1,AND(对接源_01水果!$X824="公司筐",N(对接源_01水果!$V824)&lt;&gt;0)),1,0)</f>
        <v>0</v>
      </c>
      <c r="U824" s="3">
        <f t="shared" si="217"/>
        <v>19</v>
      </c>
      <c r="V824" s="3">
        <f>IF(AND($L824=1,AND(对接源_01水果!$X824="自备筐",N(对接源_01水果!$V824)&lt;&gt;0)),1,0)</f>
        <v>0</v>
      </c>
      <c r="W824" s="3">
        <f t="shared" si="218"/>
        <v>8</v>
      </c>
      <c r="X824" s="3">
        <f>IF(AND($L824=1,AND(对接源_01水果!$X824="自备筐",N(对接源_01水果!$T824)&lt;&gt;0)),1,0)</f>
        <v>0</v>
      </c>
      <c r="Y824" s="3">
        <f t="shared" si="219"/>
        <v>0</v>
      </c>
      <c r="Z824" s="3">
        <f>IF(AND($M824=1,对接源_01水果!$D824="原料入库"),1,0)</f>
        <v>0</v>
      </c>
      <c r="AA824" s="3">
        <f t="shared" si="220"/>
        <v>24</v>
      </c>
      <c r="AB824" s="3">
        <f>IF(AND($M824=1,LEFT(对接源_01水果!$D824,4)="原料出库"),1,0)</f>
        <v>0</v>
      </c>
      <c r="AC824" s="3">
        <f t="shared" si="221"/>
        <v>0</v>
      </c>
      <c r="AD824" s="3">
        <f>IF(AND($M824=1,LEFT(对接源_01水果!$D824,4)="成品出库"),1,0)</f>
        <v>0</v>
      </c>
      <c r="AE824" s="3">
        <f t="shared" si="222"/>
        <v>0</v>
      </c>
      <c r="AF824" s="3">
        <f>IF(AND($N824=1,AND(LEFT(对接源_01水果!$D824,4)="包装物料",N(对接源_01水果!$K824)&lt;&gt;0)),1,0)</f>
        <v>0</v>
      </c>
      <c r="AG824" s="3">
        <f t="shared" si="223"/>
        <v>0</v>
      </c>
      <c r="AH824" s="3">
        <f>IF(AND($N824=1,AND(对接源_01水果!$D824="周转筐－销售出库",N(对接源_01水果!$K824)&lt;&gt;0)),1,0)</f>
        <v>0</v>
      </c>
      <c r="AI824" s="3">
        <f t="shared" si="224"/>
        <v>0</v>
      </c>
      <c r="AJ824" s="7"/>
      <c r="AL824" s="3">
        <f>IF(OR($AL$1="",对接源_01水果!$Y824="",对接源_01水果!$Y824&lt;&gt;$AL$1,对接源_01水果!$B824="",N(对接源_01水果!$AJ824)&lt;=0),0,IF(OR(N(对接源_01水果!$B824)&lt;$AL$2,N(对接源_01水果!$B824)&gt;$AL$3),0,1))</f>
        <v>0</v>
      </c>
      <c r="AM824" s="3">
        <f t="shared" si="225"/>
        <v>1</v>
      </c>
      <c r="AN824" s="3" t="str">
        <f>IF(对接源_01水果!$AC824="","",对接源_01水果!$AC824)</f>
        <v/>
      </c>
      <c r="AO824" s="3">
        <f t="shared" si="226"/>
        <v>0</v>
      </c>
      <c r="AP824" s="3">
        <f t="shared" si="227"/>
        <v>8</v>
      </c>
      <c r="AR824">
        <f t="shared" si="228"/>
        <v>0</v>
      </c>
      <c r="AS824">
        <f t="shared" si="229"/>
        <v>0</v>
      </c>
    </row>
    <row r="825" ht="14.25" customHeight="1" spans="1:45">
      <c r="A825" s="3" t="str">
        <f>IF(对接源_01水果!$C825="","",对接源_01水果!$C825)</f>
        <v/>
      </c>
      <c r="B825" s="3">
        <f t="shared" si="213"/>
        <v>0</v>
      </c>
      <c r="C825" s="3">
        <f t="shared" si="214"/>
        <v>18</v>
      </c>
      <c r="K825" s="3">
        <f>IF(OR($K$1="",对接源_01水果!$C825="",对接源_01水果!$C825&lt;&gt;$K$1,对接源_01水果!$B825=""),0,IF(OR(N(对接源_01水果!$B825)&lt;$K$2,N(对接源_01水果!$B825)&gt;$K$3),0,1))</f>
        <v>0</v>
      </c>
      <c r="L825" s="3">
        <f>IF(OR($L$1="",对接源_01水果!$C825="",对接源_01水果!$C825&lt;&gt;$L$1,对接源_01水果!$B825=""),0,IF(OR(N(对接源_01水果!$B825)&lt;$L$2,N(对接源_01水果!$B825)&gt;$L$3),0,1))</f>
        <v>0</v>
      </c>
      <c r="M825" s="3">
        <f>IF(OR($M$1="",对接源_01水果!$C825="",对接源_01水果!$C825&lt;&gt;$M$1,对接源_01水果!$B825=""),0,IF(OR(N(对接源_01水果!$B825)&lt;$M$2,N(对接源_01水果!$B825)&gt;$M$3),0,1))</f>
        <v>0</v>
      </c>
      <c r="N825" s="3">
        <f>IF(OR($N$1="",对接源_01水果!$C825="",对接源_01水果!$C825&lt;&gt;$N$1,对接源_01水果!$B825=""),0,IF(OR(N(对接源_01水果!$B825)&lt;$N$2,N(对接源_01水果!$B825)&gt;$N$3),0,1))</f>
        <v>0</v>
      </c>
      <c r="P825" s="3">
        <f>IF(AND($K825=1,AND(对接源_01水果!$X825="公司筐",N(对接源_01水果!$T825)&lt;&gt;0)),1,0)</f>
        <v>0</v>
      </c>
      <c r="Q825" s="3">
        <f t="shared" si="215"/>
        <v>0</v>
      </c>
      <c r="R825" s="3">
        <f>IF(AND($K825=1,AND(对接源_01水果!$X825="公司筐",N(对接源_01水果!$U825)&lt;&gt;0)),1,0)</f>
        <v>0</v>
      </c>
      <c r="S825" s="3">
        <f t="shared" si="216"/>
        <v>0</v>
      </c>
      <c r="T825" s="3">
        <f>IF(AND($K825=1,AND(对接源_01水果!$X825="公司筐",N(对接源_01水果!$V825)&lt;&gt;0)),1,0)</f>
        <v>0</v>
      </c>
      <c r="U825" s="3">
        <f t="shared" si="217"/>
        <v>19</v>
      </c>
      <c r="V825" s="3">
        <f>IF(AND($L825=1,AND(对接源_01水果!$X825="自备筐",N(对接源_01水果!$V825)&lt;&gt;0)),1,0)</f>
        <v>0</v>
      </c>
      <c r="W825" s="3">
        <f t="shared" si="218"/>
        <v>8</v>
      </c>
      <c r="X825" s="3">
        <f>IF(AND($L825=1,AND(对接源_01水果!$X825="自备筐",N(对接源_01水果!$T825)&lt;&gt;0)),1,0)</f>
        <v>0</v>
      </c>
      <c r="Y825" s="3">
        <f t="shared" si="219"/>
        <v>0</v>
      </c>
      <c r="Z825" s="3">
        <f>IF(AND($M825=1,对接源_01水果!$D825="原料入库"),1,0)</f>
        <v>0</v>
      </c>
      <c r="AA825" s="3">
        <f t="shared" si="220"/>
        <v>24</v>
      </c>
      <c r="AB825" s="3">
        <f>IF(AND($M825=1,LEFT(对接源_01水果!$D825,4)="原料出库"),1,0)</f>
        <v>0</v>
      </c>
      <c r="AC825" s="3">
        <f t="shared" si="221"/>
        <v>0</v>
      </c>
      <c r="AD825" s="3">
        <f>IF(AND($M825=1,LEFT(对接源_01水果!$D825,4)="成品出库"),1,0)</f>
        <v>0</v>
      </c>
      <c r="AE825" s="3">
        <f t="shared" si="222"/>
        <v>0</v>
      </c>
      <c r="AF825" s="3">
        <f>IF(AND($N825=1,AND(LEFT(对接源_01水果!$D825,4)="包装物料",N(对接源_01水果!$K825)&lt;&gt;0)),1,0)</f>
        <v>0</v>
      </c>
      <c r="AG825" s="3">
        <f t="shared" si="223"/>
        <v>0</v>
      </c>
      <c r="AH825" s="3">
        <f>IF(AND($N825=1,AND(对接源_01水果!$D825="周转筐－销售出库",N(对接源_01水果!$K825)&lt;&gt;0)),1,0)</f>
        <v>0</v>
      </c>
      <c r="AI825" s="3">
        <f t="shared" si="224"/>
        <v>0</v>
      </c>
      <c r="AJ825" s="7"/>
      <c r="AL825" s="3">
        <f>IF(OR($AL$1="",对接源_01水果!$Y825="",对接源_01水果!$Y825&lt;&gt;$AL$1,对接源_01水果!$B825="",N(对接源_01水果!$AJ825)&lt;=0),0,IF(OR(N(对接源_01水果!$B825)&lt;$AL$2,N(对接源_01水果!$B825)&gt;$AL$3),0,1))</f>
        <v>0</v>
      </c>
      <c r="AM825" s="3">
        <f t="shared" si="225"/>
        <v>1</v>
      </c>
      <c r="AN825" s="3" t="str">
        <f>IF(对接源_01水果!$AC825="","",对接源_01水果!$AC825)</f>
        <v/>
      </c>
      <c r="AO825" s="3">
        <f t="shared" si="226"/>
        <v>0</v>
      </c>
      <c r="AP825" s="3">
        <f t="shared" si="227"/>
        <v>8</v>
      </c>
      <c r="AR825">
        <f t="shared" si="228"/>
        <v>0</v>
      </c>
      <c r="AS825">
        <f t="shared" si="229"/>
        <v>0</v>
      </c>
    </row>
    <row r="826" ht="14.25" customHeight="1" spans="1:45">
      <c r="A826" s="3" t="str">
        <f>IF(对接源_01水果!$C826="","",对接源_01水果!$C826)</f>
        <v/>
      </c>
      <c r="B826" s="3">
        <f t="shared" si="213"/>
        <v>0</v>
      </c>
      <c r="C826" s="3">
        <f t="shared" si="214"/>
        <v>18</v>
      </c>
      <c r="K826" s="3">
        <f>IF(OR($K$1="",对接源_01水果!$C826="",对接源_01水果!$C826&lt;&gt;$K$1,对接源_01水果!$B826=""),0,IF(OR(N(对接源_01水果!$B826)&lt;$K$2,N(对接源_01水果!$B826)&gt;$K$3),0,1))</f>
        <v>0</v>
      </c>
      <c r="L826" s="3">
        <f>IF(OR($L$1="",对接源_01水果!$C826="",对接源_01水果!$C826&lt;&gt;$L$1,对接源_01水果!$B826=""),0,IF(OR(N(对接源_01水果!$B826)&lt;$L$2,N(对接源_01水果!$B826)&gt;$L$3),0,1))</f>
        <v>0</v>
      </c>
      <c r="M826" s="3">
        <f>IF(OR($M$1="",对接源_01水果!$C826="",对接源_01水果!$C826&lt;&gt;$M$1,对接源_01水果!$B826=""),0,IF(OR(N(对接源_01水果!$B826)&lt;$M$2,N(对接源_01水果!$B826)&gt;$M$3),0,1))</f>
        <v>0</v>
      </c>
      <c r="N826" s="3">
        <f>IF(OR($N$1="",对接源_01水果!$C826="",对接源_01水果!$C826&lt;&gt;$N$1,对接源_01水果!$B826=""),0,IF(OR(N(对接源_01水果!$B826)&lt;$N$2,N(对接源_01水果!$B826)&gt;$N$3),0,1))</f>
        <v>0</v>
      </c>
      <c r="P826" s="3">
        <f>IF(AND($K826=1,AND(对接源_01水果!$X826="公司筐",N(对接源_01水果!$T826)&lt;&gt;0)),1,0)</f>
        <v>0</v>
      </c>
      <c r="Q826" s="3">
        <f t="shared" si="215"/>
        <v>0</v>
      </c>
      <c r="R826" s="3">
        <f>IF(AND($K826=1,AND(对接源_01水果!$X826="公司筐",N(对接源_01水果!$U826)&lt;&gt;0)),1,0)</f>
        <v>0</v>
      </c>
      <c r="S826" s="3">
        <f t="shared" si="216"/>
        <v>0</v>
      </c>
      <c r="T826" s="3">
        <f>IF(AND($K826=1,AND(对接源_01水果!$X826="公司筐",N(对接源_01水果!$V826)&lt;&gt;0)),1,0)</f>
        <v>0</v>
      </c>
      <c r="U826" s="3">
        <f t="shared" si="217"/>
        <v>19</v>
      </c>
      <c r="V826" s="3">
        <f>IF(AND($L826=1,AND(对接源_01水果!$X826="自备筐",N(对接源_01水果!$V826)&lt;&gt;0)),1,0)</f>
        <v>0</v>
      </c>
      <c r="W826" s="3">
        <f t="shared" si="218"/>
        <v>8</v>
      </c>
      <c r="X826" s="3">
        <f>IF(AND($L826=1,AND(对接源_01水果!$X826="自备筐",N(对接源_01水果!$T826)&lt;&gt;0)),1,0)</f>
        <v>0</v>
      </c>
      <c r="Y826" s="3">
        <f t="shared" si="219"/>
        <v>0</v>
      </c>
      <c r="Z826" s="3">
        <f>IF(AND($M826=1,对接源_01水果!$D826="原料入库"),1,0)</f>
        <v>0</v>
      </c>
      <c r="AA826" s="3">
        <f t="shared" si="220"/>
        <v>24</v>
      </c>
      <c r="AB826" s="3">
        <f>IF(AND($M826=1,LEFT(对接源_01水果!$D826,4)="原料出库"),1,0)</f>
        <v>0</v>
      </c>
      <c r="AC826" s="3">
        <f t="shared" si="221"/>
        <v>0</v>
      </c>
      <c r="AD826" s="3">
        <f>IF(AND($M826=1,LEFT(对接源_01水果!$D826,4)="成品出库"),1,0)</f>
        <v>0</v>
      </c>
      <c r="AE826" s="3">
        <f t="shared" si="222"/>
        <v>0</v>
      </c>
      <c r="AF826" s="3">
        <f>IF(AND($N826=1,AND(LEFT(对接源_01水果!$D826,4)="包装物料",N(对接源_01水果!$K826)&lt;&gt;0)),1,0)</f>
        <v>0</v>
      </c>
      <c r="AG826" s="3">
        <f t="shared" si="223"/>
        <v>0</v>
      </c>
      <c r="AH826" s="3">
        <f>IF(AND($N826=1,AND(对接源_01水果!$D826="周转筐－销售出库",N(对接源_01水果!$K826)&lt;&gt;0)),1,0)</f>
        <v>0</v>
      </c>
      <c r="AI826" s="3">
        <f t="shared" si="224"/>
        <v>0</v>
      </c>
      <c r="AJ826" s="7"/>
      <c r="AL826" s="3">
        <f>IF(OR($AL$1="",对接源_01水果!$Y826="",对接源_01水果!$Y826&lt;&gt;$AL$1,对接源_01水果!$B826="",N(对接源_01水果!$AJ826)&lt;=0),0,IF(OR(N(对接源_01水果!$B826)&lt;$AL$2,N(对接源_01水果!$B826)&gt;$AL$3),0,1))</f>
        <v>0</v>
      </c>
      <c r="AM826" s="3">
        <f t="shared" si="225"/>
        <v>1</v>
      </c>
      <c r="AN826" s="3" t="str">
        <f>IF(对接源_01水果!$AC826="","",对接源_01水果!$AC826)</f>
        <v/>
      </c>
      <c r="AO826" s="3">
        <f t="shared" si="226"/>
        <v>0</v>
      </c>
      <c r="AP826" s="3">
        <f t="shared" si="227"/>
        <v>8</v>
      </c>
      <c r="AR826">
        <f t="shared" si="228"/>
        <v>0</v>
      </c>
      <c r="AS826">
        <f t="shared" si="229"/>
        <v>0</v>
      </c>
    </row>
    <row r="827" ht="14.25" customHeight="1" spans="1:45">
      <c r="A827" s="3" t="str">
        <f>IF(对接源_01水果!$C827="","",对接源_01水果!$C827)</f>
        <v/>
      </c>
      <c r="B827" s="3">
        <f t="shared" si="213"/>
        <v>0</v>
      </c>
      <c r="C827" s="3">
        <f t="shared" si="214"/>
        <v>18</v>
      </c>
      <c r="K827" s="3">
        <f>IF(OR($K$1="",对接源_01水果!$C827="",对接源_01水果!$C827&lt;&gt;$K$1,对接源_01水果!$B827=""),0,IF(OR(N(对接源_01水果!$B827)&lt;$K$2,N(对接源_01水果!$B827)&gt;$K$3),0,1))</f>
        <v>0</v>
      </c>
      <c r="L827" s="3">
        <f>IF(OR($L$1="",对接源_01水果!$C827="",对接源_01水果!$C827&lt;&gt;$L$1,对接源_01水果!$B827=""),0,IF(OR(N(对接源_01水果!$B827)&lt;$L$2,N(对接源_01水果!$B827)&gt;$L$3),0,1))</f>
        <v>0</v>
      </c>
      <c r="M827" s="3">
        <f>IF(OR($M$1="",对接源_01水果!$C827="",对接源_01水果!$C827&lt;&gt;$M$1,对接源_01水果!$B827=""),0,IF(OR(N(对接源_01水果!$B827)&lt;$M$2,N(对接源_01水果!$B827)&gt;$M$3),0,1))</f>
        <v>0</v>
      </c>
      <c r="N827" s="3">
        <f>IF(OR($N$1="",对接源_01水果!$C827="",对接源_01水果!$C827&lt;&gt;$N$1,对接源_01水果!$B827=""),0,IF(OR(N(对接源_01水果!$B827)&lt;$N$2,N(对接源_01水果!$B827)&gt;$N$3),0,1))</f>
        <v>0</v>
      </c>
      <c r="P827" s="3">
        <f>IF(AND($K827=1,AND(对接源_01水果!$X827="公司筐",N(对接源_01水果!$T827)&lt;&gt;0)),1,0)</f>
        <v>0</v>
      </c>
      <c r="Q827" s="3">
        <f t="shared" si="215"/>
        <v>0</v>
      </c>
      <c r="R827" s="3">
        <f>IF(AND($K827=1,AND(对接源_01水果!$X827="公司筐",N(对接源_01水果!$U827)&lt;&gt;0)),1,0)</f>
        <v>0</v>
      </c>
      <c r="S827" s="3">
        <f t="shared" si="216"/>
        <v>0</v>
      </c>
      <c r="T827" s="3">
        <f>IF(AND($K827=1,AND(对接源_01水果!$X827="公司筐",N(对接源_01水果!$V827)&lt;&gt;0)),1,0)</f>
        <v>0</v>
      </c>
      <c r="U827" s="3">
        <f t="shared" si="217"/>
        <v>19</v>
      </c>
      <c r="V827" s="3">
        <f>IF(AND($L827=1,AND(对接源_01水果!$X827="自备筐",N(对接源_01水果!$V827)&lt;&gt;0)),1,0)</f>
        <v>0</v>
      </c>
      <c r="W827" s="3">
        <f t="shared" si="218"/>
        <v>8</v>
      </c>
      <c r="X827" s="3">
        <f>IF(AND($L827=1,AND(对接源_01水果!$X827="自备筐",N(对接源_01水果!$T827)&lt;&gt;0)),1,0)</f>
        <v>0</v>
      </c>
      <c r="Y827" s="3">
        <f t="shared" si="219"/>
        <v>0</v>
      </c>
      <c r="Z827" s="3">
        <f>IF(AND($M827=1,对接源_01水果!$D827="原料入库"),1,0)</f>
        <v>0</v>
      </c>
      <c r="AA827" s="3">
        <f t="shared" si="220"/>
        <v>24</v>
      </c>
      <c r="AB827" s="3">
        <f>IF(AND($M827=1,LEFT(对接源_01水果!$D827,4)="原料出库"),1,0)</f>
        <v>0</v>
      </c>
      <c r="AC827" s="3">
        <f t="shared" si="221"/>
        <v>0</v>
      </c>
      <c r="AD827" s="3">
        <f>IF(AND($M827=1,LEFT(对接源_01水果!$D827,4)="成品出库"),1,0)</f>
        <v>0</v>
      </c>
      <c r="AE827" s="3">
        <f t="shared" si="222"/>
        <v>0</v>
      </c>
      <c r="AF827" s="3">
        <f>IF(AND($N827=1,AND(LEFT(对接源_01水果!$D827,4)="包装物料",N(对接源_01水果!$K827)&lt;&gt;0)),1,0)</f>
        <v>0</v>
      </c>
      <c r="AG827" s="3">
        <f t="shared" si="223"/>
        <v>0</v>
      </c>
      <c r="AH827" s="3">
        <f>IF(AND($N827=1,AND(对接源_01水果!$D827="周转筐－销售出库",N(对接源_01水果!$K827)&lt;&gt;0)),1,0)</f>
        <v>0</v>
      </c>
      <c r="AI827" s="3">
        <f t="shared" si="224"/>
        <v>0</v>
      </c>
      <c r="AJ827" s="7"/>
      <c r="AL827" s="3">
        <f>IF(OR($AL$1="",对接源_01水果!$Y827="",对接源_01水果!$Y827&lt;&gt;$AL$1,对接源_01水果!$B827="",N(对接源_01水果!$AJ827)&lt;=0),0,IF(OR(N(对接源_01水果!$B827)&lt;$AL$2,N(对接源_01水果!$B827)&gt;$AL$3),0,1))</f>
        <v>0</v>
      </c>
      <c r="AM827" s="3">
        <f t="shared" si="225"/>
        <v>1</v>
      </c>
      <c r="AN827" s="3" t="str">
        <f>IF(对接源_01水果!$AC827="","",对接源_01水果!$AC827)</f>
        <v/>
      </c>
      <c r="AO827" s="3">
        <f t="shared" si="226"/>
        <v>0</v>
      </c>
      <c r="AP827" s="3">
        <f t="shared" si="227"/>
        <v>8</v>
      </c>
      <c r="AR827">
        <f t="shared" si="228"/>
        <v>0</v>
      </c>
      <c r="AS827">
        <f t="shared" si="229"/>
        <v>0</v>
      </c>
    </row>
    <row r="828" ht="14.25" customHeight="1" spans="1:45">
      <c r="A828" s="3" t="str">
        <f>IF(对接源_01水果!$C828="","",对接源_01水果!$C828)</f>
        <v/>
      </c>
      <c r="B828" s="3">
        <f t="shared" si="213"/>
        <v>0</v>
      </c>
      <c r="C828" s="3">
        <f t="shared" si="214"/>
        <v>18</v>
      </c>
      <c r="K828" s="3">
        <f>IF(OR($K$1="",对接源_01水果!$C828="",对接源_01水果!$C828&lt;&gt;$K$1,对接源_01水果!$B828=""),0,IF(OR(N(对接源_01水果!$B828)&lt;$K$2,N(对接源_01水果!$B828)&gt;$K$3),0,1))</f>
        <v>0</v>
      </c>
      <c r="L828" s="3">
        <f>IF(OR($L$1="",对接源_01水果!$C828="",对接源_01水果!$C828&lt;&gt;$L$1,对接源_01水果!$B828=""),0,IF(OR(N(对接源_01水果!$B828)&lt;$L$2,N(对接源_01水果!$B828)&gt;$L$3),0,1))</f>
        <v>0</v>
      </c>
      <c r="M828" s="3">
        <f>IF(OR($M$1="",对接源_01水果!$C828="",对接源_01水果!$C828&lt;&gt;$M$1,对接源_01水果!$B828=""),0,IF(OR(N(对接源_01水果!$B828)&lt;$M$2,N(对接源_01水果!$B828)&gt;$M$3),0,1))</f>
        <v>0</v>
      </c>
      <c r="N828" s="3">
        <f>IF(OR($N$1="",对接源_01水果!$C828="",对接源_01水果!$C828&lt;&gt;$N$1,对接源_01水果!$B828=""),0,IF(OR(N(对接源_01水果!$B828)&lt;$N$2,N(对接源_01水果!$B828)&gt;$N$3),0,1))</f>
        <v>0</v>
      </c>
      <c r="P828" s="3">
        <f>IF(AND($K828=1,AND(对接源_01水果!$X828="公司筐",N(对接源_01水果!$T828)&lt;&gt;0)),1,0)</f>
        <v>0</v>
      </c>
      <c r="Q828" s="3">
        <f t="shared" si="215"/>
        <v>0</v>
      </c>
      <c r="R828" s="3">
        <f>IF(AND($K828=1,AND(对接源_01水果!$X828="公司筐",N(对接源_01水果!$U828)&lt;&gt;0)),1,0)</f>
        <v>0</v>
      </c>
      <c r="S828" s="3">
        <f t="shared" si="216"/>
        <v>0</v>
      </c>
      <c r="T828" s="3">
        <f>IF(AND($K828=1,AND(对接源_01水果!$X828="公司筐",N(对接源_01水果!$V828)&lt;&gt;0)),1,0)</f>
        <v>0</v>
      </c>
      <c r="U828" s="3">
        <f t="shared" si="217"/>
        <v>19</v>
      </c>
      <c r="V828" s="3">
        <f>IF(AND($L828=1,AND(对接源_01水果!$X828="自备筐",N(对接源_01水果!$V828)&lt;&gt;0)),1,0)</f>
        <v>0</v>
      </c>
      <c r="W828" s="3">
        <f t="shared" si="218"/>
        <v>8</v>
      </c>
      <c r="X828" s="3">
        <f>IF(AND($L828=1,AND(对接源_01水果!$X828="自备筐",N(对接源_01水果!$T828)&lt;&gt;0)),1,0)</f>
        <v>0</v>
      </c>
      <c r="Y828" s="3">
        <f t="shared" si="219"/>
        <v>0</v>
      </c>
      <c r="Z828" s="3">
        <f>IF(AND($M828=1,对接源_01水果!$D828="原料入库"),1,0)</f>
        <v>0</v>
      </c>
      <c r="AA828" s="3">
        <f t="shared" si="220"/>
        <v>24</v>
      </c>
      <c r="AB828" s="3">
        <f>IF(AND($M828=1,LEFT(对接源_01水果!$D828,4)="原料出库"),1,0)</f>
        <v>0</v>
      </c>
      <c r="AC828" s="3">
        <f t="shared" si="221"/>
        <v>0</v>
      </c>
      <c r="AD828" s="3">
        <f>IF(AND($M828=1,LEFT(对接源_01水果!$D828,4)="成品出库"),1,0)</f>
        <v>0</v>
      </c>
      <c r="AE828" s="3">
        <f t="shared" si="222"/>
        <v>0</v>
      </c>
      <c r="AF828" s="3">
        <f>IF(AND($N828=1,AND(LEFT(对接源_01水果!$D828,4)="包装物料",N(对接源_01水果!$K828)&lt;&gt;0)),1,0)</f>
        <v>0</v>
      </c>
      <c r="AG828" s="3">
        <f t="shared" si="223"/>
        <v>0</v>
      </c>
      <c r="AH828" s="3">
        <f>IF(AND($N828=1,AND(对接源_01水果!$D828="周转筐－销售出库",N(对接源_01水果!$K828)&lt;&gt;0)),1,0)</f>
        <v>0</v>
      </c>
      <c r="AI828" s="3">
        <f t="shared" si="224"/>
        <v>0</v>
      </c>
      <c r="AJ828" s="7"/>
      <c r="AL828" s="3">
        <f>IF(OR($AL$1="",对接源_01水果!$Y828="",对接源_01水果!$Y828&lt;&gt;$AL$1,对接源_01水果!$B828="",N(对接源_01水果!$AJ828)&lt;=0),0,IF(OR(N(对接源_01水果!$B828)&lt;$AL$2,N(对接源_01水果!$B828)&gt;$AL$3),0,1))</f>
        <v>0</v>
      </c>
      <c r="AM828" s="3">
        <f t="shared" si="225"/>
        <v>1</v>
      </c>
      <c r="AN828" s="3" t="str">
        <f>IF(对接源_01水果!$AC828="","",对接源_01水果!$AC828)</f>
        <v/>
      </c>
      <c r="AO828" s="3">
        <f t="shared" si="226"/>
        <v>0</v>
      </c>
      <c r="AP828" s="3">
        <f t="shared" si="227"/>
        <v>8</v>
      </c>
      <c r="AR828">
        <f t="shared" si="228"/>
        <v>0</v>
      </c>
      <c r="AS828">
        <f t="shared" si="229"/>
        <v>0</v>
      </c>
    </row>
    <row r="829" ht="14.25" customHeight="1" spans="1:45">
      <c r="A829" s="3" t="str">
        <f>IF(对接源_01水果!$C829="","",对接源_01水果!$C829)</f>
        <v/>
      </c>
      <c r="B829" s="3">
        <f t="shared" si="213"/>
        <v>0</v>
      </c>
      <c r="C829" s="3">
        <f t="shared" si="214"/>
        <v>18</v>
      </c>
      <c r="K829" s="3">
        <f>IF(OR($K$1="",对接源_01水果!$C829="",对接源_01水果!$C829&lt;&gt;$K$1,对接源_01水果!$B829=""),0,IF(OR(N(对接源_01水果!$B829)&lt;$K$2,N(对接源_01水果!$B829)&gt;$K$3),0,1))</f>
        <v>0</v>
      </c>
      <c r="L829" s="3">
        <f>IF(OR($L$1="",对接源_01水果!$C829="",对接源_01水果!$C829&lt;&gt;$L$1,对接源_01水果!$B829=""),0,IF(OR(N(对接源_01水果!$B829)&lt;$L$2,N(对接源_01水果!$B829)&gt;$L$3),0,1))</f>
        <v>0</v>
      </c>
      <c r="M829" s="3">
        <f>IF(OR($M$1="",对接源_01水果!$C829="",对接源_01水果!$C829&lt;&gt;$M$1,对接源_01水果!$B829=""),0,IF(OR(N(对接源_01水果!$B829)&lt;$M$2,N(对接源_01水果!$B829)&gt;$M$3),0,1))</f>
        <v>0</v>
      </c>
      <c r="N829" s="3">
        <f>IF(OR($N$1="",对接源_01水果!$C829="",对接源_01水果!$C829&lt;&gt;$N$1,对接源_01水果!$B829=""),0,IF(OR(N(对接源_01水果!$B829)&lt;$N$2,N(对接源_01水果!$B829)&gt;$N$3),0,1))</f>
        <v>0</v>
      </c>
      <c r="P829" s="3">
        <f>IF(AND($K829=1,AND(对接源_01水果!$X829="公司筐",N(对接源_01水果!$T829)&lt;&gt;0)),1,0)</f>
        <v>0</v>
      </c>
      <c r="Q829" s="3">
        <f t="shared" si="215"/>
        <v>0</v>
      </c>
      <c r="R829" s="3">
        <f>IF(AND($K829=1,AND(对接源_01水果!$X829="公司筐",N(对接源_01水果!$U829)&lt;&gt;0)),1,0)</f>
        <v>0</v>
      </c>
      <c r="S829" s="3">
        <f t="shared" si="216"/>
        <v>0</v>
      </c>
      <c r="T829" s="3">
        <f>IF(AND($K829=1,AND(对接源_01水果!$X829="公司筐",N(对接源_01水果!$V829)&lt;&gt;0)),1,0)</f>
        <v>0</v>
      </c>
      <c r="U829" s="3">
        <f t="shared" si="217"/>
        <v>19</v>
      </c>
      <c r="V829" s="3">
        <f>IF(AND($L829=1,AND(对接源_01水果!$X829="自备筐",N(对接源_01水果!$V829)&lt;&gt;0)),1,0)</f>
        <v>0</v>
      </c>
      <c r="W829" s="3">
        <f t="shared" si="218"/>
        <v>8</v>
      </c>
      <c r="X829" s="3">
        <f>IF(AND($L829=1,AND(对接源_01水果!$X829="自备筐",N(对接源_01水果!$T829)&lt;&gt;0)),1,0)</f>
        <v>0</v>
      </c>
      <c r="Y829" s="3">
        <f t="shared" si="219"/>
        <v>0</v>
      </c>
      <c r="Z829" s="3">
        <f>IF(AND($M829=1,对接源_01水果!$D829="原料入库"),1,0)</f>
        <v>0</v>
      </c>
      <c r="AA829" s="3">
        <f t="shared" si="220"/>
        <v>24</v>
      </c>
      <c r="AB829" s="3">
        <f>IF(AND($M829=1,LEFT(对接源_01水果!$D829,4)="原料出库"),1,0)</f>
        <v>0</v>
      </c>
      <c r="AC829" s="3">
        <f t="shared" si="221"/>
        <v>0</v>
      </c>
      <c r="AD829" s="3">
        <f>IF(AND($M829=1,LEFT(对接源_01水果!$D829,4)="成品出库"),1,0)</f>
        <v>0</v>
      </c>
      <c r="AE829" s="3">
        <f t="shared" si="222"/>
        <v>0</v>
      </c>
      <c r="AF829" s="3">
        <f>IF(AND($N829=1,AND(LEFT(对接源_01水果!$D829,4)="包装物料",N(对接源_01水果!$K829)&lt;&gt;0)),1,0)</f>
        <v>0</v>
      </c>
      <c r="AG829" s="3">
        <f t="shared" si="223"/>
        <v>0</v>
      </c>
      <c r="AH829" s="3">
        <f>IF(AND($N829=1,AND(对接源_01水果!$D829="周转筐－销售出库",N(对接源_01水果!$K829)&lt;&gt;0)),1,0)</f>
        <v>0</v>
      </c>
      <c r="AI829" s="3">
        <f t="shared" si="224"/>
        <v>0</v>
      </c>
      <c r="AJ829" s="7"/>
      <c r="AL829" s="3">
        <f>IF(OR($AL$1="",对接源_01水果!$Y829="",对接源_01水果!$Y829&lt;&gt;$AL$1,对接源_01水果!$B829="",N(对接源_01水果!$AJ829)&lt;=0),0,IF(OR(N(对接源_01水果!$B829)&lt;$AL$2,N(对接源_01水果!$B829)&gt;$AL$3),0,1))</f>
        <v>0</v>
      </c>
      <c r="AM829" s="3">
        <f t="shared" si="225"/>
        <v>1</v>
      </c>
      <c r="AN829" s="3" t="str">
        <f>IF(对接源_01水果!$AC829="","",对接源_01水果!$AC829)</f>
        <v/>
      </c>
      <c r="AO829" s="3">
        <f t="shared" si="226"/>
        <v>0</v>
      </c>
      <c r="AP829" s="3">
        <f t="shared" si="227"/>
        <v>8</v>
      </c>
      <c r="AR829">
        <f t="shared" si="228"/>
        <v>0</v>
      </c>
      <c r="AS829">
        <f t="shared" si="229"/>
        <v>0</v>
      </c>
    </row>
    <row r="830" ht="14.25" customHeight="1" spans="1:45">
      <c r="A830" s="3" t="str">
        <f>IF(对接源_01水果!$C830="","",对接源_01水果!$C830)</f>
        <v/>
      </c>
      <c r="B830" s="3">
        <f t="shared" si="213"/>
        <v>0</v>
      </c>
      <c r="C830" s="3">
        <f t="shared" si="214"/>
        <v>18</v>
      </c>
      <c r="K830" s="3">
        <f>IF(OR($K$1="",对接源_01水果!$C830="",对接源_01水果!$C830&lt;&gt;$K$1,对接源_01水果!$B830=""),0,IF(OR(N(对接源_01水果!$B830)&lt;$K$2,N(对接源_01水果!$B830)&gt;$K$3),0,1))</f>
        <v>0</v>
      </c>
      <c r="L830" s="3">
        <f>IF(OR($L$1="",对接源_01水果!$C830="",对接源_01水果!$C830&lt;&gt;$L$1,对接源_01水果!$B830=""),0,IF(OR(N(对接源_01水果!$B830)&lt;$L$2,N(对接源_01水果!$B830)&gt;$L$3),0,1))</f>
        <v>0</v>
      </c>
      <c r="M830" s="3">
        <f>IF(OR($M$1="",对接源_01水果!$C830="",对接源_01水果!$C830&lt;&gt;$M$1,对接源_01水果!$B830=""),0,IF(OR(N(对接源_01水果!$B830)&lt;$M$2,N(对接源_01水果!$B830)&gt;$M$3),0,1))</f>
        <v>0</v>
      </c>
      <c r="N830" s="3">
        <f>IF(OR($N$1="",对接源_01水果!$C830="",对接源_01水果!$C830&lt;&gt;$N$1,对接源_01水果!$B830=""),0,IF(OR(N(对接源_01水果!$B830)&lt;$N$2,N(对接源_01水果!$B830)&gt;$N$3),0,1))</f>
        <v>0</v>
      </c>
      <c r="P830" s="3">
        <f>IF(AND($K830=1,AND(对接源_01水果!$X830="公司筐",N(对接源_01水果!$T830)&lt;&gt;0)),1,0)</f>
        <v>0</v>
      </c>
      <c r="Q830" s="3">
        <f t="shared" si="215"/>
        <v>0</v>
      </c>
      <c r="R830" s="3">
        <f>IF(AND($K830=1,AND(对接源_01水果!$X830="公司筐",N(对接源_01水果!$U830)&lt;&gt;0)),1,0)</f>
        <v>0</v>
      </c>
      <c r="S830" s="3">
        <f t="shared" si="216"/>
        <v>0</v>
      </c>
      <c r="T830" s="3">
        <f>IF(AND($K830=1,AND(对接源_01水果!$X830="公司筐",N(对接源_01水果!$V830)&lt;&gt;0)),1,0)</f>
        <v>0</v>
      </c>
      <c r="U830" s="3">
        <f t="shared" si="217"/>
        <v>19</v>
      </c>
      <c r="V830" s="3">
        <f>IF(AND($L830=1,AND(对接源_01水果!$X830="自备筐",N(对接源_01水果!$V830)&lt;&gt;0)),1,0)</f>
        <v>0</v>
      </c>
      <c r="W830" s="3">
        <f t="shared" si="218"/>
        <v>8</v>
      </c>
      <c r="X830" s="3">
        <f>IF(AND($L830=1,AND(对接源_01水果!$X830="自备筐",N(对接源_01水果!$T830)&lt;&gt;0)),1,0)</f>
        <v>0</v>
      </c>
      <c r="Y830" s="3">
        <f t="shared" si="219"/>
        <v>0</v>
      </c>
      <c r="Z830" s="3">
        <f>IF(AND($M830=1,对接源_01水果!$D830="原料入库"),1,0)</f>
        <v>0</v>
      </c>
      <c r="AA830" s="3">
        <f t="shared" si="220"/>
        <v>24</v>
      </c>
      <c r="AB830" s="3">
        <f>IF(AND($M830=1,LEFT(对接源_01水果!$D830,4)="原料出库"),1,0)</f>
        <v>0</v>
      </c>
      <c r="AC830" s="3">
        <f t="shared" si="221"/>
        <v>0</v>
      </c>
      <c r="AD830" s="3">
        <f>IF(AND($M830=1,LEFT(对接源_01水果!$D830,4)="成品出库"),1,0)</f>
        <v>0</v>
      </c>
      <c r="AE830" s="3">
        <f t="shared" si="222"/>
        <v>0</v>
      </c>
      <c r="AF830" s="3">
        <f>IF(AND($N830=1,AND(LEFT(对接源_01水果!$D830,4)="包装物料",N(对接源_01水果!$K830)&lt;&gt;0)),1,0)</f>
        <v>0</v>
      </c>
      <c r="AG830" s="3">
        <f t="shared" si="223"/>
        <v>0</v>
      </c>
      <c r="AH830" s="3">
        <f>IF(AND($N830=1,AND(对接源_01水果!$D830="周转筐－销售出库",N(对接源_01水果!$K830)&lt;&gt;0)),1,0)</f>
        <v>0</v>
      </c>
      <c r="AI830" s="3">
        <f t="shared" si="224"/>
        <v>0</v>
      </c>
      <c r="AJ830" s="7"/>
      <c r="AL830" s="3">
        <f>IF(OR($AL$1="",对接源_01水果!$Y830="",对接源_01水果!$Y830&lt;&gt;$AL$1,对接源_01水果!$B830="",N(对接源_01水果!$AJ830)&lt;=0),0,IF(OR(N(对接源_01水果!$B830)&lt;$AL$2,N(对接源_01水果!$B830)&gt;$AL$3),0,1))</f>
        <v>0</v>
      </c>
      <c r="AM830" s="3">
        <f t="shared" si="225"/>
        <v>1</v>
      </c>
      <c r="AN830" s="3" t="str">
        <f>IF(对接源_01水果!$AC830="","",对接源_01水果!$AC830)</f>
        <v/>
      </c>
      <c r="AO830" s="3">
        <f t="shared" si="226"/>
        <v>0</v>
      </c>
      <c r="AP830" s="3">
        <f t="shared" si="227"/>
        <v>8</v>
      </c>
      <c r="AR830">
        <f t="shared" si="228"/>
        <v>0</v>
      </c>
      <c r="AS830">
        <f t="shared" si="229"/>
        <v>0</v>
      </c>
    </row>
    <row r="831" ht="14.25" customHeight="1" spans="1:45">
      <c r="A831" s="3" t="str">
        <f>IF(对接源_01水果!$C831="","",对接源_01水果!$C831)</f>
        <v/>
      </c>
      <c r="B831" s="3">
        <f t="shared" si="213"/>
        <v>0</v>
      </c>
      <c r="C831" s="3">
        <f t="shared" si="214"/>
        <v>18</v>
      </c>
      <c r="K831" s="3">
        <f>IF(OR($K$1="",对接源_01水果!$C831="",对接源_01水果!$C831&lt;&gt;$K$1,对接源_01水果!$B831=""),0,IF(OR(N(对接源_01水果!$B831)&lt;$K$2,N(对接源_01水果!$B831)&gt;$K$3),0,1))</f>
        <v>0</v>
      </c>
      <c r="L831" s="3">
        <f>IF(OR($L$1="",对接源_01水果!$C831="",对接源_01水果!$C831&lt;&gt;$L$1,对接源_01水果!$B831=""),0,IF(OR(N(对接源_01水果!$B831)&lt;$L$2,N(对接源_01水果!$B831)&gt;$L$3),0,1))</f>
        <v>0</v>
      </c>
      <c r="M831" s="3">
        <f>IF(OR($M$1="",对接源_01水果!$C831="",对接源_01水果!$C831&lt;&gt;$M$1,对接源_01水果!$B831=""),0,IF(OR(N(对接源_01水果!$B831)&lt;$M$2,N(对接源_01水果!$B831)&gt;$M$3),0,1))</f>
        <v>0</v>
      </c>
      <c r="N831" s="3">
        <f>IF(OR($N$1="",对接源_01水果!$C831="",对接源_01水果!$C831&lt;&gt;$N$1,对接源_01水果!$B831=""),0,IF(OR(N(对接源_01水果!$B831)&lt;$N$2,N(对接源_01水果!$B831)&gt;$N$3),0,1))</f>
        <v>0</v>
      </c>
      <c r="P831" s="3">
        <f>IF(AND($K831=1,AND(对接源_01水果!$X831="公司筐",N(对接源_01水果!$T831)&lt;&gt;0)),1,0)</f>
        <v>0</v>
      </c>
      <c r="Q831" s="3">
        <f t="shared" si="215"/>
        <v>0</v>
      </c>
      <c r="R831" s="3">
        <f>IF(AND($K831=1,AND(对接源_01水果!$X831="公司筐",N(对接源_01水果!$U831)&lt;&gt;0)),1,0)</f>
        <v>0</v>
      </c>
      <c r="S831" s="3">
        <f t="shared" si="216"/>
        <v>0</v>
      </c>
      <c r="T831" s="3">
        <f>IF(AND($K831=1,AND(对接源_01水果!$X831="公司筐",N(对接源_01水果!$V831)&lt;&gt;0)),1,0)</f>
        <v>0</v>
      </c>
      <c r="U831" s="3">
        <f t="shared" si="217"/>
        <v>19</v>
      </c>
      <c r="V831" s="3">
        <f>IF(AND($L831=1,AND(对接源_01水果!$X831="自备筐",N(对接源_01水果!$V831)&lt;&gt;0)),1,0)</f>
        <v>0</v>
      </c>
      <c r="W831" s="3">
        <f t="shared" si="218"/>
        <v>8</v>
      </c>
      <c r="X831" s="3">
        <f>IF(AND($L831=1,AND(对接源_01水果!$X831="自备筐",N(对接源_01水果!$T831)&lt;&gt;0)),1,0)</f>
        <v>0</v>
      </c>
      <c r="Y831" s="3">
        <f t="shared" si="219"/>
        <v>0</v>
      </c>
      <c r="Z831" s="3">
        <f>IF(AND($M831=1,对接源_01水果!$D831="原料入库"),1,0)</f>
        <v>0</v>
      </c>
      <c r="AA831" s="3">
        <f t="shared" si="220"/>
        <v>24</v>
      </c>
      <c r="AB831" s="3">
        <f>IF(AND($M831=1,LEFT(对接源_01水果!$D831,4)="原料出库"),1,0)</f>
        <v>0</v>
      </c>
      <c r="AC831" s="3">
        <f t="shared" si="221"/>
        <v>0</v>
      </c>
      <c r="AD831" s="3">
        <f>IF(AND($M831=1,LEFT(对接源_01水果!$D831,4)="成品出库"),1,0)</f>
        <v>0</v>
      </c>
      <c r="AE831" s="3">
        <f t="shared" si="222"/>
        <v>0</v>
      </c>
      <c r="AF831" s="3">
        <f>IF(AND($N831=1,AND(LEFT(对接源_01水果!$D831,4)="包装物料",N(对接源_01水果!$K831)&lt;&gt;0)),1,0)</f>
        <v>0</v>
      </c>
      <c r="AG831" s="3">
        <f t="shared" si="223"/>
        <v>0</v>
      </c>
      <c r="AH831" s="3">
        <f>IF(AND($N831=1,AND(对接源_01水果!$D831="周转筐－销售出库",N(对接源_01水果!$K831)&lt;&gt;0)),1,0)</f>
        <v>0</v>
      </c>
      <c r="AI831" s="3">
        <f t="shared" si="224"/>
        <v>0</v>
      </c>
      <c r="AJ831" s="7"/>
      <c r="AL831" s="3">
        <f>IF(OR($AL$1="",对接源_01水果!$Y831="",对接源_01水果!$Y831&lt;&gt;$AL$1,对接源_01水果!$B831="",N(对接源_01水果!$AJ831)&lt;=0),0,IF(OR(N(对接源_01水果!$B831)&lt;$AL$2,N(对接源_01水果!$B831)&gt;$AL$3),0,1))</f>
        <v>0</v>
      </c>
      <c r="AM831" s="3">
        <f t="shared" si="225"/>
        <v>1</v>
      </c>
      <c r="AN831" s="3" t="str">
        <f>IF(对接源_01水果!$AC831="","",对接源_01水果!$AC831)</f>
        <v/>
      </c>
      <c r="AO831" s="3">
        <f t="shared" si="226"/>
        <v>0</v>
      </c>
      <c r="AP831" s="3">
        <f t="shared" si="227"/>
        <v>8</v>
      </c>
      <c r="AR831">
        <f t="shared" si="228"/>
        <v>0</v>
      </c>
      <c r="AS831">
        <f t="shared" si="229"/>
        <v>0</v>
      </c>
    </row>
    <row r="832" ht="14.25" customHeight="1" spans="1:45">
      <c r="A832" s="3" t="str">
        <f>IF(对接源_01水果!$C832="","",对接源_01水果!$C832)</f>
        <v/>
      </c>
      <c r="B832" s="3">
        <f t="shared" si="213"/>
        <v>0</v>
      </c>
      <c r="C832" s="3">
        <f t="shared" si="214"/>
        <v>18</v>
      </c>
      <c r="K832" s="3">
        <f>IF(OR($K$1="",对接源_01水果!$C832="",对接源_01水果!$C832&lt;&gt;$K$1,对接源_01水果!$B832=""),0,IF(OR(N(对接源_01水果!$B832)&lt;$K$2,N(对接源_01水果!$B832)&gt;$K$3),0,1))</f>
        <v>0</v>
      </c>
      <c r="L832" s="3">
        <f>IF(OR($L$1="",对接源_01水果!$C832="",对接源_01水果!$C832&lt;&gt;$L$1,对接源_01水果!$B832=""),0,IF(OR(N(对接源_01水果!$B832)&lt;$L$2,N(对接源_01水果!$B832)&gt;$L$3),0,1))</f>
        <v>0</v>
      </c>
      <c r="M832" s="3">
        <f>IF(OR($M$1="",对接源_01水果!$C832="",对接源_01水果!$C832&lt;&gt;$M$1,对接源_01水果!$B832=""),0,IF(OR(N(对接源_01水果!$B832)&lt;$M$2,N(对接源_01水果!$B832)&gt;$M$3),0,1))</f>
        <v>0</v>
      </c>
      <c r="N832" s="3">
        <f>IF(OR($N$1="",对接源_01水果!$C832="",对接源_01水果!$C832&lt;&gt;$N$1,对接源_01水果!$B832=""),0,IF(OR(N(对接源_01水果!$B832)&lt;$N$2,N(对接源_01水果!$B832)&gt;$N$3),0,1))</f>
        <v>0</v>
      </c>
      <c r="P832" s="3">
        <f>IF(AND($K832=1,AND(对接源_01水果!$X832="公司筐",N(对接源_01水果!$T832)&lt;&gt;0)),1,0)</f>
        <v>0</v>
      </c>
      <c r="Q832" s="3">
        <f t="shared" si="215"/>
        <v>0</v>
      </c>
      <c r="R832" s="3">
        <f>IF(AND($K832=1,AND(对接源_01水果!$X832="公司筐",N(对接源_01水果!$U832)&lt;&gt;0)),1,0)</f>
        <v>0</v>
      </c>
      <c r="S832" s="3">
        <f t="shared" si="216"/>
        <v>0</v>
      </c>
      <c r="T832" s="3">
        <f>IF(AND($K832=1,AND(对接源_01水果!$X832="公司筐",N(对接源_01水果!$V832)&lt;&gt;0)),1,0)</f>
        <v>0</v>
      </c>
      <c r="U832" s="3">
        <f t="shared" si="217"/>
        <v>19</v>
      </c>
      <c r="V832" s="3">
        <f>IF(AND($L832=1,AND(对接源_01水果!$X832="自备筐",N(对接源_01水果!$V832)&lt;&gt;0)),1,0)</f>
        <v>0</v>
      </c>
      <c r="W832" s="3">
        <f t="shared" si="218"/>
        <v>8</v>
      </c>
      <c r="X832" s="3">
        <f>IF(AND($L832=1,AND(对接源_01水果!$X832="自备筐",N(对接源_01水果!$T832)&lt;&gt;0)),1,0)</f>
        <v>0</v>
      </c>
      <c r="Y832" s="3">
        <f t="shared" si="219"/>
        <v>0</v>
      </c>
      <c r="Z832" s="3">
        <f>IF(AND($M832=1,对接源_01水果!$D832="原料入库"),1,0)</f>
        <v>0</v>
      </c>
      <c r="AA832" s="3">
        <f t="shared" si="220"/>
        <v>24</v>
      </c>
      <c r="AB832" s="3">
        <f>IF(AND($M832=1,LEFT(对接源_01水果!$D832,4)="原料出库"),1,0)</f>
        <v>0</v>
      </c>
      <c r="AC832" s="3">
        <f t="shared" si="221"/>
        <v>0</v>
      </c>
      <c r="AD832" s="3">
        <f>IF(AND($M832=1,LEFT(对接源_01水果!$D832,4)="成品出库"),1,0)</f>
        <v>0</v>
      </c>
      <c r="AE832" s="3">
        <f t="shared" si="222"/>
        <v>0</v>
      </c>
      <c r="AF832" s="3">
        <f>IF(AND($N832=1,AND(LEFT(对接源_01水果!$D832,4)="包装物料",N(对接源_01水果!$K832)&lt;&gt;0)),1,0)</f>
        <v>0</v>
      </c>
      <c r="AG832" s="3">
        <f t="shared" si="223"/>
        <v>0</v>
      </c>
      <c r="AH832" s="3">
        <f>IF(AND($N832=1,AND(对接源_01水果!$D832="周转筐－销售出库",N(对接源_01水果!$K832)&lt;&gt;0)),1,0)</f>
        <v>0</v>
      </c>
      <c r="AI832" s="3">
        <f t="shared" si="224"/>
        <v>0</v>
      </c>
      <c r="AJ832" s="7"/>
      <c r="AL832" s="3">
        <f>IF(OR($AL$1="",对接源_01水果!$Y832="",对接源_01水果!$Y832&lt;&gt;$AL$1,对接源_01水果!$B832="",N(对接源_01水果!$AJ832)&lt;=0),0,IF(OR(N(对接源_01水果!$B832)&lt;$AL$2,N(对接源_01水果!$B832)&gt;$AL$3),0,1))</f>
        <v>0</v>
      </c>
      <c r="AM832" s="3">
        <f t="shared" si="225"/>
        <v>1</v>
      </c>
      <c r="AN832" s="3" t="str">
        <f>IF(对接源_01水果!$AC832="","",对接源_01水果!$AC832)</f>
        <v/>
      </c>
      <c r="AO832" s="3">
        <f t="shared" si="226"/>
        <v>0</v>
      </c>
      <c r="AP832" s="3">
        <f t="shared" si="227"/>
        <v>8</v>
      </c>
      <c r="AR832">
        <f t="shared" si="228"/>
        <v>0</v>
      </c>
      <c r="AS832">
        <f t="shared" si="229"/>
        <v>0</v>
      </c>
    </row>
    <row r="833" ht="14.25" customHeight="1" spans="1:45">
      <c r="A833" s="3" t="str">
        <f>IF(对接源_01水果!$C833="","",对接源_01水果!$C833)</f>
        <v/>
      </c>
      <c r="B833" s="3">
        <f t="shared" si="213"/>
        <v>0</v>
      </c>
      <c r="C833" s="3">
        <f t="shared" si="214"/>
        <v>18</v>
      </c>
      <c r="K833" s="3">
        <f>IF(OR($K$1="",对接源_01水果!$C833="",对接源_01水果!$C833&lt;&gt;$K$1,对接源_01水果!$B833=""),0,IF(OR(N(对接源_01水果!$B833)&lt;$K$2,N(对接源_01水果!$B833)&gt;$K$3),0,1))</f>
        <v>0</v>
      </c>
      <c r="L833" s="3">
        <f>IF(OR($L$1="",对接源_01水果!$C833="",对接源_01水果!$C833&lt;&gt;$L$1,对接源_01水果!$B833=""),0,IF(OR(N(对接源_01水果!$B833)&lt;$L$2,N(对接源_01水果!$B833)&gt;$L$3),0,1))</f>
        <v>0</v>
      </c>
      <c r="M833" s="3">
        <f>IF(OR($M$1="",对接源_01水果!$C833="",对接源_01水果!$C833&lt;&gt;$M$1,对接源_01水果!$B833=""),0,IF(OR(N(对接源_01水果!$B833)&lt;$M$2,N(对接源_01水果!$B833)&gt;$M$3),0,1))</f>
        <v>0</v>
      </c>
      <c r="N833" s="3">
        <f>IF(OR($N$1="",对接源_01水果!$C833="",对接源_01水果!$C833&lt;&gt;$N$1,对接源_01水果!$B833=""),0,IF(OR(N(对接源_01水果!$B833)&lt;$N$2,N(对接源_01水果!$B833)&gt;$N$3),0,1))</f>
        <v>0</v>
      </c>
      <c r="P833" s="3">
        <f>IF(AND($K833=1,AND(对接源_01水果!$X833="公司筐",N(对接源_01水果!$T833)&lt;&gt;0)),1,0)</f>
        <v>0</v>
      </c>
      <c r="Q833" s="3">
        <f t="shared" si="215"/>
        <v>0</v>
      </c>
      <c r="R833" s="3">
        <f>IF(AND($K833=1,AND(对接源_01水果!$X833="公司筐",N(对接源_01水果!$U833)&lt;&gt;0)),1,0)</f>
        <v>0</v>
      </c>
      <c r="S833" s="3">
        <f t="shared" si="216"/>
        <v>0</v>
      </c>
      <c r="T833" s="3">
        <f>IF(AND($K833=1,AND(对接源_01水果!$X833="公司筐",N(对接源_01水果!$V833)&lt;&gt;0)),1,0)</f>
        <v>0</v>
      </c>
      <c r="U833" s="3">
        <f t="shared" si="217"/>
        <v>19</v>
      </c>
      <c r="V833" s="3">
        <f>IF(AND($L833=1,AND(对接源_01水果!$X833="自备筐",N(对接源_01水果!$V833)&lt;&gt;0)),1,0)</f>
        <v>0</v>
      </c>
      <c r="W833" s="3">
        <f t="shared" si="218"/>
        <v>8</v>
      </c>
      <c r="X833" s="3">
        <f>IF(AND($L833=1,AND(对接源_01水果!$X833="自备筐",N(对接源_01水果!$T833)&lt;&gt;0)),1,0)</f>
        <v>0</v>
      </c>
      <c r="Y833" s="3">
        <f t="shared" si="219"/>
        <v>0</v>
      </c>
      <c r="Z833" s="3">
        <f>IF(AND($M833=1,对接源_01水果!$D833="原料入库"),1,0)</f>
        <v>0</v>
      </c>
      <c r="AA833" s="3">
        <f t="shared" si="220"/>
        <v>24</v>
      </c>
      <c r="AB833" s="3">
        <f>IF(AND($M833=1,LEFT(对接源_01水果!$D833,4)="原料出库"),1,0)</f>
        <v>0</v>
      </c>
      <c r="AC833" s="3">
        <f t="shared" si="221"/>
        <v>0</v>
      </c>
      <c r="AD833" s="3">
        <f>IF(AND($M833=1,LEFT(对接源_01水果!$D833,4)="成品出库"),1,0)</f>
        <v>0</v>
      </c>
      <c r="AE833" s="3">
        <f t="shared" si="222"/>
        <v>0</v>
      </c>
      <c r="AF833" s="3">
        <f>IF(AND($N833=1,AND(LEFT(对接源_01水果!$D833,4)="包装物料",N(对接源_01水果!$K833)&lt;&gt;0)),1,0)</f>
        <v>0</v>
      </c>
      <c r="AG833" s="3">
        <f t="shared" si="223"/>
        <v>0</v>
      </c>
      <c r="AH833" s="3">
        <f>IF(AND($N833=1,AND(对接源_01水果!$D833="周转筐－销售出库",N(对接源_01水果!$K833)&lt;&gt;0)),1,0)</f>
        <v>0</v>
      </c>
      <c r="AI833" s="3">
        <f t="shared" si="224"/>
        <v>0</v>
      </c>
      <c r="AJ833" s="7"/>
      <c r="AL833" s="3">
        <f>IF(OR($AL$1="",对接源_01水果!$Y833="",对接源_01水果!$Y833&lt;&gt;$AL$1,对接源_01水果!$B833="",N(对接源_01水果!$AJ833)&lt;=0),0,IF(OR(N(对接源_01水果!$B833)&lt;$AL$2,N(对接源_01水果!$B833)&gt;$AL$3),0,1))</f>
        <v>0</v>
      </c>
      <c r="AM833" s="3">
        <f t="shared" si="225"/>
        <v>1</v>
      </c>
      <c r="AN833" s="3" t="str">
        <f>IF(对接源_01水果!$AC833="","",对接源_01水果!$AC833)</f>
        <v/>
      </c>
      <c r="AO833" s="3">
        <f t="shared" si="226"/>
        <v>0</v>
      </c>
      <c r="AP833" s="3">
        <f t="shared" si="227"/>
        <v>8</v>
      </c>
      <c r="AR833">
        <f t="shared" si="228"/>
        <v>0</v>
      </c>
      <c r="AS833">
        <f t="shared" si="229"/>
        <v>0</v>
      </c>
    </row>
    <row r="834" ht="14.25" customHeight="1" spans="1:45">
      <c r="A834" s="3" t="str">
        <f>IF(对接源_01水果!$C834="","",对接源_01水果!$C834)</f>
        <v/>
      </c>
      <c r="B834" s="3">
        <f t="shared" si="213"/>
        <v>0</v>
      </c>
      <c r="C834" s="3">
        <f t="shared" si="214"/>
        <v>18</v>
      </c>
      <c r="K834" s="3">
        <f>IF(OR($K$1="",对接源_01水果!$C834="",对接源_01水果!$C834&lt;&gt;$K$1,对接源_01水果!$B834=""),0,IF(OR(N(对接源_01水果!$B834)&lt;$K$2,N(对接源_01水果!$B834)&gt;$K$3),0,1))</f>
        <v>0</v>
      </c>
      <c r="L834" s="3">
        <f>IF(OR($L$1="",对接源_01水果!$C834="",对接源_01水果!$C834&lt;&gt;$L$1,对接源_01水果!$B834=""),0,IF(OR(N(对接源_01水果!$B834)&lt;$L$2,N(对接源_01水果!$B834)&gt;$L$3),0,1))</f>
        <v>0</v>
      </c>
      <c r="M834" s="3">
        <f>IF(OR($M$1="",对接源_01水果!$C834="",对接源_01水果!$C834&lt;&gt;$M$1,对接源_01水果!$B834=""),0,IF(OR(N(对接源_01水果!$B834)&lt;$M$2,N(对接源_01水果!$B834)&gt;$M$3),0,1))</f>
        <v>0</v>
      </c>
      <c r="N834" s="3">
        <f>IF(OR($N$1="",对接源_01水果!$C834="",对接源_01水果!$C834&lt;&gt;$N$1,对接源_01水果!$B834=""),0,IF(OR(N(对接源_01水果!$B834)&lt;$N$2,N(对接源_01水果!$B834)&gt;$N$3),0,1))</f>
        <v>0</v>
      </c>
      <c r="P834" s="3">
        <f>IF(AND($K834=1,AND(对接源_01水果!$X834="公司筐",N(对接源_01水果!$T834)&lt;&gt;0)),1,0)</f>
        <v>0</v>
      </c>
      <c r="Q834" s="3">
        <f t="shared" si="215"/>
        <v>0</v>
      </c>
      <c r="R834" s="3">
        <f>IF(AND($K834=1,AND(对接源_01水果!$X834="公司筐",N(对接源_01水果!$U834)&lt;&gt;0)),1,0)</f>
        <v>0</v>
      </c>
      <c r="S834" s="3">
        <f t="shared" si="216"/>
        <v>0</v>
      </c>
      <c r="T834" s="3">
        <f>IF(AND($K834=1,AND(对接源_01水果!$X834="公司筐",N(对接源_01水果!$V834)&lt;&gt;0)),1,0)</f>
        <v>0</v>
      </c>
      <c r="U834" s="3">
        <f t="shared" si="217"/>
        <v>19</v>
      </c>
      <c r="V834" s="3">
        <f>IF(AND($L834=1,AND(对接源_01水果!$X834="自备筐",N(对接源_01水果!$V834)&lt;&gt;0)),1,0)</f>
        <v>0</v>
      </c>
      <c r="W834" s="3">
        <f t="shared" si="218"/>
        <v>8</v>
      </c>
      <c r="X834" s="3">
        <f>IF(AND($L834=1,AND(对接源_01水果!$X834="自备筐",N(对接源_01水果!$T834)&lt;&gt;0)),1,0)</f>
        <v>0</v>
      </c>
      <c r="Y834" s="3">
        <f t="shared" si="219"/>
        <v>0</v>
      </c>
      <c r="Z834" s="3">
        <f>IF(AND($M834=1,对接源_01水果!$D834="原料入库"),1,0)</f>
        <v>0</v>
      </c>
      <c r="AA834" s="3">
        <f t="shared" si="220"/>
        <v>24</v>
      </c>
      <c r="AB834" s="3">
        <f>IF(AND($M834=1,LEFT(对接源_01水果!$D834,4)="原料出库"),1,0)</f>
        <v>0</v>
      </c>
      <c r="AC834" s="3">
        <f t="shared" si="221"/>
        <v>0</v>
      </c>
      <c r="AD834" s="3">
        <f>IF(AND($M834=1,LEFT(对接源_01水果!$D834,4)="成品出库"),1,0)</f>
        <v>0</v>
      </c>
      <c r="AE834" s="3">
        <f t="shared" si="222"/>
        <v>0</v>
      </c>
      <c r="AF834" s="3">
        <f>IF(AND($N834=1,AND(LEFT(对接源_01水果!$D834,4)="包装物料",N(对接源_01水果!$K834)&lt;&gt;0)),1,0)</f>
        <v>0</v>
      </c>
      <c r="AG834" s="3">
        <f t="shared" si="223"/>
        <v>0</v>
      </c>
      <c r="AH834" s="3">
        <f>IF(AND($N834=1,AND(对接源_01水果!$D834="周转筐－销售出库",N(对接源_01水果!$K834)&lt;&gt;0)),1,0)</f>
        <v>0</v>
      </c>
      <c r="AI834" s="3">
        <f t="shared" si="224"/>
        <v>0</v>
      </c>
      <c r="AJ834" s="7"/>
      <c r="AL834" s="3">
        <f>IF(OR($AL$1="",对接源_01水果!$Y834="",对接源_01水果!$Y834&lt;&gt;$AL$1,对接源_01水果!$B834="",N(对接源_01水果!$AJ834)&lt;=0),0,IF(OR(N(对接源_01水果!$B834)&lt;$AL$2,N(对接源_01水果!$B834)&gt;$AL$3),0,1))</f>
        <v>0</v>
      </c>
      <c r="AM834" s="3">
        <f t="shared" si="225"/>
        <v>1</v>
      </c>
      <c r="AN834" s="3" t="str">
        <f>IF(对接源_01水果!$AC834="","",对接源_01水果!$AC834)</f>
        <v/>
      </c>
      <c r="AO834" s="3">
        <f t="shared" si="226"/>
        <v>0</v>
      </c>
      <c r="AP834" s="3">
        <f t="shared" si="227"/>
        <v>8</v>
      </c>
      <c r="AR834">
        <f t="shared" si="228"/>
        <v>0</v>
      </c>
      <c r="AS834">
        <f t="shared" si="229"/>
        <v>0</v>
      </c>
    </row>
    <row r="835" ht="14.25" customHeight="1" spans="1:45">
      <c r="A835" s="3" t="str">
        <f>IF(对接源_01水果!$C835="","",对接源_01水果!$C835)</f>
        <v/>
      </c>
      <c r="B835" s="3">
        <f t="shared" si="213"/>
        <v>0</v>
      </c>
      <c r="C835" s="3">
        <f t="shared" si="214"/>
        <v>18</v>
      </c>
      <c r="K835" s="3">
        <f>IF(OR($K$1="",对接源_01水果!$C835="",对接源_01水果!$C835&lt;&gt;$K$1,对接源_01水果!$B835=""),0,IF(OR(N(对接源_01水果!$B835)&lt;$K$2,N(对接源_01水果!$B835)&gt;$K$3),0,1))</f>
        <v>0</v>
      </c>
      <c r="L835" s="3">
        <f>IF(OR($L$1="",对接源_01水果!$C835="",对接源_01水果!$C835&lt;&gt;$L$1,对接源_01水果!$B835=""),0,IF(OR(N(对接源_01水果!$B835)&lt;$L$2,N(对接源_01水果!$B835)&gt;$L$3),0,1))</f>
        <v>0</v>
      </c>
      <c r="M835" s="3">
        <f>IF(OR($M$1="",对接源_01水果!$C835="",对接源_01水果!$C835&lt;&gt;$M$1,对接源_01水果!$B835=""),0,IF(OR(N(对接源_01水果!$B835)&lt;$M$2,N(对接源_01水果!$B835)&gt;$M$3),0,1))</f>
        <v>0</v>
      </c>
      <c r="N835" s="3">
        <f>IF(OR($N$1="",对接源_01水果!$C835="",对接源_01水果!$C835&lt;&gt;$N$1,对接源_01水果!$B835=""),0,IF(OR(N(对接源_01水果!$B835)&lt;$N$2,N(对接源_01水果!$B835)&gt;$N$3),0,1))</f>
        <v>0</v>
      </c>
      <c r="P835" s="3">
        <f>IF(AND($K835=1,AND(对接源_01水果!$X835="公司筐",N(对接源_01水果!$T835)&lt;&gt;0)),1,0)</f>
        <v>0</v>
      </c>
      <c r="Q835" s="3">
        <f t="shared" si="215"/>
        <v>0</v>
      </c>
      <c r="R835" s="3">
        <f>IF(AND($K835=1,AND(对接源_01水果!$X835="公司筐",N(对接源_01水果!$U835)&lt;&gt;0)),1,0)</f>
        <v>0</v>
      </c>
      <c r="S835" s="3">
        <f t="shared" si="216"/>
        <v>0</v>
      </c>
      <c r="T835" s="3">
        <f>IF(AND($K835=1,AND(对接源_01水果!$X835="公司筐",N(对接源_01水果!$V835)&lt;&gt;0)),1,0)</f>
        <v>0</v>
      </c>
      <c r="U835" s="3">
        <f t="shared" si="217"/>
        <v>19</v>
      </c>
      <c r="V835" s="3">
        <f>IF(AND($L835=1,AND(对接源_01水果!$X835="自备筐",N(对接源_01水果!$V835)&lt;&gt;0)),1,0)</f>
        <v>0</v>
      </c>
      <c r="W835" s="3">
        <f t="shared" si="218"/>
        <v>8</v>
      </c>
      <c r="X835" s="3">
        <f>IF(AND($L835=1,AND(对接源_01水果!$X835="自备筐",N(对接源_01水果!$T835)&lt;&gt;0)),1,0)</f>
        <v>0</v>
      </c>
      <c r="Y835" s="3">
        <f t="shared" si="219"/>
        <v>0</v>
      </c>
      <c r="Z835" s="3">
        <f>IF(AND($M835=1,对接源_01水果!$D835="原料入库"),1,0)</f>
        <v>0</v>
      </c>
      <c r="AA835" s="3">
        <f t="shared" si="220"/>
        <v>24</v>
      </c>
      <c r="AB835" s="3">
        <f>IF(AND($M835=1,LEFT(对接源_01水果!$D835,4)="原料出库"),1,0)</f>
        <v>0</v>
      </c>
      <c r="AC835" s="3">
        <f t="shared" si="221"/>
        <v>0</v>
      </c>
      <c r="AD835" s="3">
        <f>IF(AND($M835=1,LEFT(对接源_01水果!$D835,4)="成品出库"),1,0)</f>
        <v>0</v>
      </c>
      <c r="AE835" s="3">
        <f t="shared" si="222"/>
        <v>0</v>
      </c>
      <c r="AF835" s="3">
        <f>IF(AND($N835=1,AND(LEFT(对接源_01水果!$D835,4)="包装物料",N(对接源_01水果!$K835)&lt;&gt;0)),1,0)</f>
        <v>0</v>
      </c>
      <c r="AG835" s="3">
        <f t="shared" si="223"/>
        <v>0</v>
      </c>
      <c r="AH835" s="3">
        <f>IF(AND($N835=1,AND(对接源_01水果!$D835="周转筐－销售出库",N(对接源_01水果!$K835)&lt;&gt;0)),1,0)</f>
        <v>0</v>
      </c>
      <c r="AI835" s="3">
        <f t="shared" si="224"/>
        <v>0</v>
      </c>
      <c r="AJ835" s="7"/>
      <c r="AL835" s="3">
        <f>IF(OR($AL$1="",对接源_01水果!$Y835="",对接源_01水果!$Y835&lt;&gt;$AL$1,对接源_01水果!$B835="",N(对接源_01水果!$AJ835)&lt;=0),0,IF(OR(N(对接源_01水果!$B835)&lt;$AL$2,N(对接源_01水果!$B835)&gt;$AL$3),0,1))</f>
        <v>0</v>
      </c>
      <c r="AM835" s="3">
        <f t="shared" si="225"/>
        <v>1</v>
      </c>
      <c r="AN835" s="3" t="str">
        <f>IF(对接源_01水果!$AC835="","",对接源_01水果!$AC835)</f>
        <v/>
      </c>
      <c r="AO835" s="3">
        <f t="shared" si="226"/>
        <v>0</v>
      </c>
      <c r="AP835" s="3">
        <f t="shared" si="227"/>
        <v>8</v>
      </c>
      <c r="AR835">
        <f t="shared" si="228"/>
        <v>0</v>
      </c>
      <c r="AS835">
        <f t="shared" si="229"/>
        <v>0</v>
      </c>
    </row>
    <row r="836" ht="14.25" customHeight="1" spans="1:45">
      <c r="A836" s="3" t="str">
        <f>IF(对接源_01水果!$C836="","",对接源_01水果!$C836)</f>
        <v/>
      </c>
      <c r="B836" s="3">
        <f t="shared" ref="B836:B899" si="230">IF(A836="",0,IF(MATCH(A836,$A$4:$A$2403,0)=ROW()-3,1,0))</f>
        <v>0</v>
      </c>
      <c r="C836" s="3">
        <f t="shared" ref="C836:C899" si="231">N(C835)+B836</f>
        <v>18</v>
      </c>
      <c r="K836" s="3">
        <f>IF(OR($K$1="",对接源_01水果!$C836="",对接源_01水果!$C836&lt;&gt;$K$1,对接源_01水果!$B836=""),0,IF(OR(N(对接源_01水果!$B836)&lt;$K$2,N(对接源_01水果!$B836)&gt;$K$3),0,1))</f>
        <v>0</v>
      </c>
      <c r="L836" s="3">
        <f>IF(OR($L$1="",对接源_01水果!$C836="",对接源_01水果!$C836&lt;&gt;$L$1,对接源_01水果!$B836=""),0,IF(OR(N(对接源_01水果!$B836)&lt;$L$2,N(对接源_01水果!$B836)&gt;$L$3),0,1))</f>
        <v>0</v>
      </c>
      <c r="M836" s="3">
        <f>IF(OR($M$1="",对接源_01水果!$C836="",对接源_01水果!$C836&lt;&gt;$M$1,对接源_01水果!$B836=""),0,IF(OR(N(对接源_01水果!$B836)&lt;$M$2,N(对接源_01水果!$B836)&gt;$M$3),0,1))</f>
        <v>0</v>
      </c>
      <c r="N836" s="3">
        <f>IF(OR($N$1="",对接源_01水果!$C836="",对接源_01水果!$C836&lt;&gt;$N$1,对接源_01水果!$B836=""),0,IF(OR(N(对接源_01水果!$B836)&lt;$N$2,N(对接源_01水果!$B836)&gt;$N$3),0,1))</f>
        <v>0</v>
      </c>
      <c r="P836" s="3">
        <f>IF(AND($K836=1,AND(对接源_01水果!$X836="公司筐",N(对接源_01水果!$T836)&lt;&gt;0)),1,0)</f>
        <v>0</v>
      </c>
      <c r="Q836" s="3">
        <f t="shared" ref="Q836:Q899" si="232">N(Q835)+$P836</f>
        <v>0</v>
      </c>
      <c r="R836" s="3">
        <f>IF(AND($K836=1,AND(对接源_01水果!$X836="公司筐",N(对接源_01水果!$U836)&lt;&gt;0)),1,0)</f>
        <v>0</v>
      </c>
      <c r="S836" s="3">
        <f t="shared" ref="S836:S899" si="233">N(S835)+$R836</f>
        <v>0</v>
      </c>
      <c r="T836" s="3">
        <f>IF(AND($K836=1,AND(对接源_01水果!$X836="公司筐",N(对接源_01水果!$V836)&lt;&gt;0)),1,0)</f>
        <v>0</v>
      </c>
      <c r="U836" s="3">
        <f t="shared" ref="U836:U899" si="234">N(U835)+$T836</f>
        <v>19</v>
      </c>
      <c r="V836" s="3">
        <f>IF(AND($L836=1,AND(对接源_01水果!$X836="自备筐",N(对接源_01水果!$V836)&lt;&gt;0)),1,0)</f>
        <v>0</v>
      </c>
      <c r="W836" s="3">
        <f t="shared" ref="W836:W899" si="235">N(W835)+$V836</f>
        <v>8</v>
      </c>
      <c r="X836" s="3">
        <f>IF(AND($L836=1,AND(对接源_01水果!$X836="自备筐",N(对接源_01水果!$T836)&lt;&gt;0)),1,0)</f>
        <v>0</v>
      </c>
      <c r="Y836" s="3">
        <f t="shared" ref="Y836:Y899" si="236">N(Y835)+$X836</f>
        <v>0</v>
      </c>
      <c r="Z836" s="3">
        <f>IF(AND($M836=1,对接源_01水果!$D836="原料入库"),1,0)</f>
        <v>0</v>
      </c>
      <c r="AA836" s="3">
        <f t="shared" ref="AA836:AA899" si="237">N(AA835)+$Z836</f>
        <v>24</v>
      </c>
      <c r="AB836" s="3">
        <f>IF(AND($M836=1,LEFT(对接源_01水果!$D836,4)="原料出库"),1,0)</f>
        <v>0</v>
      </c>
      <c r="AC836" s="3">
        <f t="shared" ref="AC836:AC899" si="238">N(AC835)+$AB836</f>
        <v>0</v>
      </c>
      <c r="AD836" s="3">
        <f>IF(AND($M836=1,LEFT(对接源_01水果!$D836,4)="成品出库"),1,0)</f>
        <v>0</v>
      </c>
      <c r="AE836" s="3">
        <f t="shared" ref="AE836:AE899" si="239">N(AE835)+$AD836</f>
        <v>0</v>
      </c>
      <c r="AF836" s="3">
        <f>IF(AND($N836=1,AND(LEFT(对接源_01水果!$D836,4)="包装物料",N(对接源_01水果!$K836)&lt;&gt;0)),1,0)</f>
        <v>0</v>
      </c>
      <c r="AG836" s="3">
        <f t="shared" ref="AG836:AG899" si="240">N(AG835)+$AF836</f>
        <v>0</v>
      </c>
      <c r="AH836" s="3">
        <f>IF(AND($N836=1,AND(对接源_01水果!$D836="周转筐－销售出库",N(对接源_01水果!$K836)&lt;&gt;0)),1,0)</f>
        <v>0</v>
      </c>
      <c r="AI836" s="3">
        <f t="shared" ref="AI836:AI899" si="241">N(AI835)+$AH836</f>
        <v>0</v>
      </c>
      <c r="AJ836" s="7"/>
      <c r="AL836" s="3">
        <f>IF(OR($AL$1="",对接源_01水果!$Y836="",对接源_01水果!$Y836&lt;&gt;$AL$1,对接源_01水果!$B836="",N(对接源_01水果!$AJ836)&lt;=0),0,IF(OR(N(对接源_01水果!$B836)&lt;$AL$2,N(对接源_01水果!$B836)&gt;$AL$3),0,1))</f>
        <v>0</v>
      </c>
      <c r="AM836" s="3">
        <f t="shared" ref="AM836:AM899" si="242">N(AM835)+$AL836</f>
        <v>1</v>
      </c>
      <c r="AN836" s="3" t="str">
        <f>IF(对接源_01水果!$AC836="","",对接源_01水果!$AC836)</f>
        <v/>
      </c>
      <c r="AO836" s="3">
        <f t="shared" ref="AO836:AO899" si="243">IF(AN836="",0,IF(MATCH(AN836,$AN$4:$AN$1203,0)=ROW()-3,1,0))</f>
        <v>0</v>
      </c>
      <c r="AP836" s="3">
        <f t="shared" ref="AP836:AP899" si="244">N(AP835)+$AO836</f>
        <v>8</v>
      </c>
      <c r="AR836">
        <f t="shared" ref="AR836:AR899" si="245">IF(OR($AF836=1,$AH836=1),1,0)</f>
        <v>0</v>
      </c>
      <c r="AS836">
        <f t="shared" ref="AS836:AS899" si="246">N(AS835)+$AR836</f>
        <v>0</v>
      </c>
    </row>
    <row r="837" ht="14.25" customHeight="1" spans="1:45">
      <c r="A837" s="3" t="str">
        <f>IF(对接源_01水果!$C837="","",对接源_01水果!$C837)</f>
        <v/>
      </c>
      <c r="B837" s="3">
        <f t="shared" si="230"/>
        <v>0</v>
      </c>
      <c r="C837" s="3">
        <f t="shared" si="231"/>
        <v>18</v>
      </c>
      <c r="K837" s="3">
        <f>IF(OR($K$1="",对接源_01水果!$C837="",对接源_01水果!$C837&lt;&gt;$K$1,对接源_01水果!$B837=""),0,IF(OR(N(对接源_01水果!$B837)&lt;$K$2,N(对接源_01水果!$B837)&gt;$K$3),0,1))</f>
        <v>0</v>
      </c>
      <c r="L837" s="3">
        <f>IF(OR($L$1="",对接源_01水果!$C837="",对接源_01水果!$C837&lt;&gt;$L$1,对接源_01水果!$B837=""),0,IF(OR(N(对接源_01水果!$B837)&lt;$L$2,N(对接源_01水果!$B837)&gt;$L$3),0,1))</f>
        <v>0</v>
      </c>
      <c r="M837" s="3">
        <f>IF(OR($M$1="",对接源_01水果!$C837="",对接源_01水果!$C837&lt;&gt;$M$1,对接源_01水果!$B837=""),0,IF(OR(N(对接源_01水果!$B837)&lt;$M$2,N(对接源_01水果!$B837)&gt;$M$3),0,1))</f>
        <v>0</v>
      </c>
      <c r="N837" s="3">
        <f>IF(OR($N$1="",对接源_01水果!$C837="",对接源_01水果!$C837&lt;&gt;$N$1,对接源_01水果!$B837=""),0,IF(OR(N(对接源_01水果!$B837)&lt;$N$2,N(对接源_01水果!$B837)&gt;$N$3),0,1))</f>
        <v>0</v>
      </c>
      <c r="P837" s="3">
        <f>IF(AND($K837=1,AND(对接源_01水果!$X837="公司筐",N(对接源_01水果!$T837)&lt;&gt;0)),1,0)</f>
        <v>0</v>
      </c>
      <c r="Q837" s="3">
        <f t="shared" si="232"/>
        <v>0</v>
      </c>
      <c r="R837" s="3">
        <f>IF(AND($K837=1,AND(对接源_01水果!$X837="公司筐",N(对接源_01水果!$U837)&lt;&gt;0)),1,0)</f>
        <v>0</v>
      </c>
      <c r="S837" s="3">
        <f t="shared" si="233"/>
        <v>0</v>
      </c>
      <c r="T837" s="3">
        <f>IF(AND($K837=1,AND(对接源_01水果!$X837="公司筐",N(对接源_01水果!$V837)&lt;&gt;0)),1,0)</f>
        <v>0</v>
      </c>
      <c r="U837" s="3">
        <f t="shared" si="234"/>
        <v>19</v>
      </c>
      <c r="V837" s="3">
        <f>IF(AND($L837=1,AND(对接源_01水果!$X837="自备筐",N(对接源_01水果!$V837)&lt;&gt;0)),1,0)</f>
        <v>0</v>
      </c>
      <c r="W837" s="3">
        <f t="shared" si="235"/>
        <v>8</v>
      </c>
      <c r="X837" s="3">
        <f>IF(AND($L837=1,AND(对接源_01水果!$X837="自备筐",N(对接源_01水果!$T837)&lt;&gt;0)),1,0)</f>
        <v>0</v>
      </c>
      <c r="Y837" s="3">
        <f t="shared" si="236"/>
        <v>0</v>
      </c>
      <c r="Z837" s="3">
        <f>IF(AND($M837=1,对接源_01水果!$D837="原料入库"),1,0)</f>
        <v>0</v>
      </c>
      <c r="AA837" s="3">
        <f t="shared" si="237"/>
        <v>24</v>
      </c>
      <c r="AB837" s="3">
        <f>IF(AND($M837=1,LEFT(对接源_01水果!$D837,4)="原料出库"),1,0)</f>
        <v>0</v>
      </c>
      <c r="AC837" s="3">
        <f t="shared" si="238"/>
        <v>0</v>
      </c>
      <c r="AD837" s="3">
        <f>IF(AND($M837=1,LEFT(对接源_01水果!$D837,4)="成品出库"),1,0)</f>
        <v>0</v>
      </c>
      <c r="AE837" s="3">
        <f t="shared" si="239"/>
        <v>0</v>
      </c>
      <c r="AF837" s="3">
        <f>IF(AND($N837=1,AND(LEFT(对接源_01水果!$D837,4)="包装物料",N(对接源_01水果!$K837)&lt;&gt;0)),1,0)</f>
        <v>0</v>
      </c>
      <c r="AG837" s="3">
        <f t="shared" si="240"/>
        <v>0</v>
      </c>
      <c r="AH837" s="3">
        <f>IF(AND($N837=1,AND(对接源_01水果!$D837="周转筐－销售出库",N(对接源_01水果!$K837)&lt;&gt;0)),1,0)</f>
        <v>0</v>
      </c>
      <c r="AI837" s="3">
        <f t="shared" si="241"/>
        <v>0</v>
      </c>
      <c r="AJ837" s="7"/>
      <c r="AL837" s="3">
        <f>IF(OR($AL$1="",对接源_01水果!$Y837="",对接源_01水果!$Y837&lt;&gt;$AL$1,对接源_01水果!$B837="",N(对接源_01水果!$AJ837)&lt;=0),0,IF(OR(N(对接源_01水果!$B837)&lt;$AL$2,N(对接源_01水果!$B837)&gt;$AL$3),0,1))</f>
        <v>0</v>
      </c>
      <c r="AM837" s="3">
        <f t="shared" si="242"/>
        <v>1</v>
      </c>
      <c r="AN837" s="3" t="str">
        <f>IF(对接源_01水果!$AC837="","",对接源_01水果!$AC837)</f>
        <v/>
      </c>
      <c r="AO837" s="3">
        <f t="shared" si="243"/>
        <v>0</v>
      </c>
      <c r="AP837" s="3">
        <f t="shared" si="244"/>
        <v>8</v>
      </c>
      <c r="AR837">
        <f t="shared" si="245"/>
        <v>0</v>
      </c>
      <c r="AS837">
        <f t="shared" si="246"/>
        <v>0</v>
      </c>
    </row>
    <row r="838" ht="14.25" customHeight="1" spans="1:45">
      <c r="A838" s="3" t="str">
        <f>IF(对接源_01水果!$C838="","",对接源_01水果!$C838)</f>
        <v/>
      </c>
      <c r="B838" s="3">
        <f t="shared" si="230"/>
        <v>0</v>
      </c>
      <c r="C838" s="3">
        <f t="shared" si="231"/>
        <v>18</v>
      </c>
      <c r="K838" s="3">
        <f>IF(OR($K$1="",对接源_01水果!$C838="",对接源_01水果!$C838&lt;&gt;$K$1,对接源_01水果!$B838=""),0,IF(OR(N(对接源_01水果!$B838)&lt;$K$2,N(对接源_01水果!$B838)&gt;$K$3),0,1))</f>
        <v>0</v>
      </c>
      <c r="L838" s="3">
        <f>IF(OR($L$1="",对接源_01水果!$C838="",对接源_01水果!$C838&lt;&gt;$L$1,对接源_01水果!$B838=""),0,IF(OR(N(对接源_01水果!$B838)&lt;$L$2,N(对接源_01水果!$B838)&gt;$L$3),0,1))</f>
        <v>0</v>
      </c>
      <c r="M838" s="3">
        <f>IF(OR($M$1="",对接源_01水果!$C838="",对接源_01水果!$C838&lt;&gt;$M$1,对接源_01水果!$B838=""),0,IF(OR(N(对接源_01水果!$B838)&lt;$M$2,N(对接源_01水果!$B838)&gt;$M$3),0,1))</f>
        <v>0</v>
      </c>
      <c r="N838" s="3">
        <f>IF(OR($N$1="",对接源_01水果!$C838="",对接源_01水果!$C838&lt;&gt;$N$1,对接源_01水果!$B838=""),0,IF(OR(N(对接源_01水果!$B838)&lt;$N$2,N(对接源_01水果!$B838)&gt;$N$3),0,1))</f>
        <v>0</v>
      </c>
      <c r="P838" s="3">
        <f>IF(AND($K838=1,AND(对接源_01水果!$X838="公司筐",N(对接源_01水果!$T838)&lt;&gt;0)),1,0)</f>
        <v>0</v>
      </c>
      <c r="Q838" s="3">
        <f t="shared" si="232"/>
        <v>0</v>
      </c>
      <c r="R838" s="3">
        <f>IF(AND($K838=1,AND(对接源_01水果!$X838="公司筐",N(对接源_01水果!$U838)&lt;&gt;0)),1,0)</f>
        <v>0</v>
      </c>
      <c r="S838" s="3">
        <f t="shared" si="233"/>
        <v>0</v>
      </c>
      <c r="T838" s="3">
        <f>IF(AND($K838=1,AND(对接源_01水果!$X838="公司筐",N(对接源_01水果!$V838)&lt;&gt;0)),1,0)</f>
        <v>0</v>
      </c>
      <c r="U838" s="3">
        <f t="shared" si="234"/>
        <v>19</v>
      </c>
      <c r="V838" s="3">
        <f>IF(AND($L838=1,AND(对接源_01水果!$X838="自备筐",N(对接源_01水果!$V838)&lt;&gt;0)),1,0)</f>
        <v>0</v>
      </c>
      <c r="W838" s="3">
        <f t="shared" si="235"/>
        <v>8</v>
      </c>
      <c r="X838" s="3">
        <f>IF(AND($L838=1,AND(对接源_01水果!$X838="自备筐",N(对接源_01水果!$T838)&lt;&gt;0)),1,0)</f>
        <v>0</v>
      </c>
      <c r="Y838" s="3">
        <f t="shared" si="236"/>
        <v>0</v>
      </c>
      <c r="Z838" s="3">
        <f>IF(AND($M838=1,对接源_01水果!$D838="原料入库"),1,0)</f>
        <v>0</v>
      </c>
      <c r="AA838" s="3">
        <f t="shared" si="237"/>
        <v>24</v>
      </c>
      <c r="AB838" s="3">
        <f>IF(AND($M838=1,LEFT(对接源_01水果!$D838,4)="原料出库"),1,0)</f>
        <v>0</v>
      </c>
      <c r="AC838" s="3">
        <f t="shared" si="238"/>
        <v>0</v>
      </c>
      <c r="AD838" s="3">
        <f>IF(AND($M838=1,LEFT(对接源_01水果!$D838,4)="成品出库"),1,0)</f>
        <v>0</v>
      </c>
      <c r="AE838" s="3">
        <f t="shared" si="239"/>
        <v>0</v>
      </c>
      <c r="AF838" s="3">
        <f>IF(AND($N838=1,AND(LEFT(对接源_01水果!$D838,4)="包装物料",N(对接源_01水果!$K838)&lt;&gt;0)),1,0)</f>
        <v>0</v>
      </c>
      <c r="AG838" s="3">
        <f t="shared" si="240"/>
        <v>0</v>
      </c>
      <c r="AH838" s="3">
        <f>IF(AND($N838=1,AND(对接源_01水果!$D838="周转筐－销售出库",N(对接源_01水果!$K838)&lt;&gt;0)),1,0)</f>
        <v>0</v>
      </c>
      <c r="AI838" s="3">
        <f t="shared" si="241"/>
        <v>0</v>
      </c>
      <c r="AJ838" s="7"/>
      <c r="AL838" s="3">
        <f>IF(OR($AL$1="",对接源_01水果!$Y838="",对接源_01水果!$Y838&lt;&gt;$AL$1,对接源_01水果!$B838="",N(对接源_01水果!$AJ838)&lt;=0),0,IF(OR(N(对接源_01水果!$B838)&lt;$AL$2,N(对接源_01水果!$B838)&gt;$AL$3),0,1))</f>
        <v>0</v>
      </c>
      <c r="AM838" s="3">
        <f t="shared" si="242"/>
        <v>1</v>
      </c>
      <c r="AN838" s="3" t="str">
        <f>IF(对接源_01水果!$AC838="","",对接源_01水果!$AC838)</f>
        <v/>
      </c>
      <c r="AO838" s="3">
        <f t="shared" si="243"/>
        <v>0</v>
      </c>
      <c r="AP838" s="3">
        <f t="shared" si="244"/>
        <v>8</v>
      </c>
      <c r="AR838">
        <f t="shared" si="245"/>
        <v>0</v>
      </c>
      <c r="AS838">
        <f t="shared" si="246"/>
        <v>0</v>
      </c>
    </row>
    <row r="839" ht="14.25" customHeight="1" spans="1:45">
      <c r="A839" s="3" t="str">
        <f>IF(对接源_01水果!$C839="","",对接源_01水果!$C839)</f>
        <v/>
      </c>
      <c r="B839" s="3">
        <f t="shared" si="230"/>
        <v>0</v>
      </c>
      <c r="C839" s="3">
        <f t="shared" si="231"/>
        <v>18</v>
      </c>
      <c r="K839" s="3">
        <f>IF(OR($K$1="",对接源_01水果!$C839="",对接源_01水果!$C839&lt;&gt;$K$1,对接源_01水果!$B839=""),0,IF(OR(N(对接源_01水果!$B839)&lt;$K$2,N(对接源_01水果!$B839)&gt;$K$3),0,1))</f>
        <v>0</v>
      </c>
      <c r="L839" s="3">
        <f>IF(OR($L$1="",对接源_01水果!$C839="",对接源_01水果!$C839&lt;&gt;$L$1,对接源_01水果!$B839=""),0,IF(OR(N(对接源_01水果!$B839)&lt;$L$2,N(对接源_01水果!$B839)&gt;$L$3),0,1))</f>
        <v>0</v>
      </c>
      <c r="M839" s="3">
        <f>IF(OR($M$1="",对接源_01水果!$C839="",对接源_01水果!$C839&lt;&gt;$M$1,对接源_01水果!$B839=""),0,IF(OR(N(对接源_01水果!$B839)&lt;$M$2,N(对接源_01水果!$B839)&gt;$M$3),0,1))</f>
        <v>0</v>
      </c>
      <c r="N839" s="3">
        <f>IF(OR($N$1="",对接源_01水果!$C839="",对接源_01水果!$C839&lt;&gt;$N$1,对接源_01水果!$B839=""),0,IF(OR(N(对接源_01水果!$B839)&lt;$N$2,N(对接源_01水果!$B839)&gt;$N$3),0,1))</f>
        <v>0</v>
      </c>
      <c r="P839" s="3">
        <f>IF(AND($K839=1,AND(对接源_01水果!$X839="公司筐",N(对接源_01水果!$T839)&lt;&gt;0)),1,0)</f>
        <v>0</v>
      </c>
      <c r="Q839" s="3">
        <f t="shared" si="232"/>
        <v>0</v>
      </c>
      <c r="R839" s="3">
        <f>IF(AND($K839=1,AND(对接源_01水果!$X839="公司筐",N(对接源_01水果!$U839)&lt;&gt;0)),1,0)</f>
        <v>0</v>
      </c>
      <c r="S839" s="3">
        <f t="shared" si="233"/>
        <v>0</v>
      </c>
      <c r="T839" s="3">
        <f>IF(AND($K839=1,AND(对接源_01水果!$X839="公司筐",N(对接源_01水果!$V839)&lt;&gt;0)),1,0)</f>
        <v>0</v>
      </c>
      <c r="U839" s="3">
        <f t="shared" si="234"/>
        <v>19</v>
      </c>
      <c r="V839" s="3">
        <f>IF(AND($L839=1,AND(对接源_01水果!$X839="自备筐",N(对接源_01水果!$V839)&lt;&gt;0)),1,0)</f>
        <v>0</v>
      </c>
      <c r="W839" s="3">
        <f t="shared" si="235"/>
        <v>8</v>
      </c>
      <c r="X839" s="3">
        <f>IF(AND($L839=1,AND(对接源_01水果!$X839="自备筐",N(对接源_01水果!$T839)&lt;&gt;0)),1,0)</f>
        <v>0</v>
      </c>
      <c r="Y839" s="3">
        <f t="shared" si="236"/>
        <v>0</v>
      </c>
      <c r="Z839" s="3">
        <f>IF(AND($M839=1,对接源_01水果!$D839="原料入库"),1,0)</f>
        <v>0</v>
      </c>
      <c r="AA839" s="3">
        <f t="shared" si="237"/>
        <v>24</v>
      </c>
      <c r="AB839" s="3">
        <f>IF(AND($M839=1,LEFT(对接源_01水果!$D839,4)="原料出库"),1,0)</f>
        <v>0</v>
      </c>
      <c r="AC839" s="3">
        <f t="shared" si="238"/>
        <v>0</v>
      </c>
      <c r="AD839" s="3">
        <f>IF(AND($M839=1,LEFT(对接源_01水果!$D839,4)="成品出库"),1,0)</f>
        <v>0</v>
      </c>
      <c r="AE839" s="3">
        <f t="shared" si="239"/>
        <v>0</v>
      </c>
      <c r="AF839" s="3">
        <f>IF(AND($N839=1,AND(LEFT(对接源_01水果!$D839,4)="包装物料",N(对接源_01水果!$K839)&lt;&gt;0)),1,0)</f>
        <v>0</v>
      </c>
      <c r="AG839" s="3">
        <f t="shared" si="240"/>
        <v>0</v>
      </c>
      <c r="AH839" s="3">
        <f>IF(AND($N839=1,AND(对接源_01水果!$D839="周转筐－销售出库",N(对接源_01水果!$K839)&lt;&gt;0)),1,0)</f>
        <v>0</v>
      </c>
      <c r="AI839" s="3">
        <f t="shared" si="241"/>
        <v>0</v>
      </c>
      <c r="AJ839" s="7"/>
      <c r="AL839" s="3">
        <f>IF(OR($AL$1="",对接源_01水果!$Y839="",对接源_01水果!$Y839&lt;&gt;$AL$1,对接源_01水果!$B839="",N(对接源_01水果!$AJ839)&lt;=0),0,IF(OR(N(对接源_01水果!$B839)&lt;$AL$2,N(对接源_01水果!$B839)&gt;$AL$3),0,1))</f>
        <v>0</v>
      </c>
      <c r="AM839" s="3">
        <f t="shared" si="242"/>
        <v>1</v>
      </c>
      <c r="AN839" s="3" t="str">
        <f>IF(对接源_01水果!$AC839="","",对接源_01水果!$AC839)</f>
        <v/>
      </c>
      <c r="AO839" s="3">
        <f t="shared" si="243"/>
        <v>0</v>
      </c>
      <c r="AP839" s="3">
        <f t="shared" si="244"/>
        <v>8</v>
      </c>
      <c r="AR839">
        <f t="shared" si="245"/>
        <v>0</v>
      </c>
      <c r="AS839">
        <f t="shared" si="246"/>
        <v>0</v>
      </c>
    </row>
    <row r="840" ht="14.25" customHeight="1" spans="1:45">
      <c r="A840" s="3" t="str">
        <f>IF(对接源_01水果!$C840="","",对接源_01水果!$C840)</f>
        <v/>
      </c>
      <c r="B840" s="3">
        <f t="shared" si="230"/>
        <v>0</v>
      </c>
      <c r="C840" s="3">
        <f t="shared" si="231"/>
        <v>18</v>
      </c>
      <c r="K840" s="3">
        <f>IF(OR($K$1="",对接源_01水果!$C840="",对接源_01水果!$C840&lt;&gt;$K$1,对接源_01水果!$B840=""),0,IF(OR(N(对接源_01水果!$B840)&lt;$K$2,N(对接源_01水果!$B840)&gt;$K$3),0,1))</f>
        <v>0</v>
      </c>
      <c r="L840" s="3">
        <f>IF(OR($L$1="",对接源_01水果!$C840="",对接源_01水果!$C840&lt;&gt;$L$1,对接源_01水果!$B840=""),0,IF(OR(N(对接源_01水果!$B840)&lt;$L$2,N(对接源_01水果!$B840)&gt;$L$3),0,1))</f>
        <v>0</v>
      </c>
      <c r="M840" s="3">
        <f>IF(OR($M$1="",对接源_01水果!$C840="",对接源_01水果!$C840&lt;&gt;$M$1,对接源_01水果!$B840=""),0,IF(OR(N(对接源_01水果!$B840)&lt;$M$2,N(对接源_01水果!$B840)&gt;$M$3),0,1))</f>
        <v>0</v>
      </c>
      <c r="N840" s="3">
        <f>IF(OR($N$1="",对接源_01水果!$C840="",对接源_01水果!$C840&lt;&gt;$N$1,对接源_01水果!$B840=""),0,IF(OR(N(对接源_01水果!$B840)&lt;$N$2,N(对接源_01水果!$B840)&gt;$N$3),0,1))</f>
        <v>0</v>
      </c>
      <c r="P840" s="3">
        <f>IF(AND($K840=1,AND(对接源_01水果!$X840="公司筐",N(对接源_01水果!$T840)&lt;&gt;0)),1,0)</f>
        <v>0</v>
      </c>
      <c r="Q840" s="3">
        <f t="shared" si="232"/>
        <v>0</v>
      </c>
      <c r="R840" s="3">
        <f>IF(AND($K840=1,AND(对接源_01水果!$X840="公司筐",N(对接源_01水果!$U840)&lt;&gt;0)),1,0)</f>
        <v>0</v>
      </c>
      <c r="S840" s="3">
        <f t="shared" si="233"/>
        <v>0</v>
      </c>
      <c r="T840" s="3">
        <f>IF(AND($K840=1,AND(对接源_01水果!$X840="公司筐",N(对接源_01水果!$V840)&lt;&gt;0)),1,0)</f>
        <v>0</v>
      </c>
      <c r="U840" s="3">
        <f t="shared" si="234"/>
        <v>19</v>
      </c>
      <c r="V840" s="3">
        <f>IF(AND($L840=1,AND(对接源_01水果!$X840="自备筐",N(对接源_01水果!$V840)&lt;&gt;0)),1,0)</f>
        <v>0</v>
      </c>
      <c r="W840" s="3">
        <f t="shared" si="235"/>
        <v>8</v>
      </c>
      <c r="X840" s="3">
        <f>IF(AND($L840=1,AND(对接源_01水果!$X840="自备筐",N(对接源_01水果!$T840)&lt;&gt;0)),1,0)</f>
        <v>0</v>
      </c>
      <c r="Y840" s="3">
        <f t="shared" si="236"/>
        <v>0</v>
      </c>
      <c r="Z840" s="3">
        <f>IF(AND($M840=1,对接源_01水果!$D840="原料入库"),1,0)</f>
        <v>0</v>
      </c>
      <c r="AA840" s="3">
        <f t="shared" si="237"/>
        <v>24</v>
      </c>
      <c r="AB840" s="3">
        <f>IF(AND($M840=1,LEFT(对接源_01水果!$D840,4)="原料出库"),1,0)</f>
        <v>0</v>
      </c>
      <c r="AC840" s="3">
        <f t="shared" si="238"/>
        <v>0</v>
      </c>
      <c r="AD840" s="3">
        <f>IF(AND($M840=1,LEFT(对接源_01水果!$D840,4)="成品出库"),1,0)</f>
        <v>0</v>
      </c>
      <c r="AE840" s="3">
        <f t="shared" si="239"/>
        <v>0</v>
      </c>
      <c r="AF840" s="3">
        <f>IF(AND($N840=1,AND(LEFT(对接源_01水果!$D840,4)="包装物料",N(对接源_01水果!$K840)&lt;&gt;0)),1,0)</f>
        <v>0</v>
      </c>
      <c r="AG840" s="3">
        <f t="shared" si="240"/>
        <v>0</v>
      </c>
      <c r="AH840" s="3">
        <f>IF(AND($N840=1,AND(对接源_01水果!$D840="周转筐－销售出库",N(对接源_01水果!$K840)&lt;&gt;0)),1,0)</f>
        <v>0</v>
      </c>
      <c r="AI840" s="3">
        <f t="shared" si="241"/>
        <v>0</v>
      </c>
      <c r="AJ840" s="7"/>
      <c r="AL840" s="3">
        <f>IF(OR($AL$1="",对接源_01水果!$Y840="",对接源_01水果!$Y840&lt;&gt;$AL$1,对接源_01水果!$B840="",N(对接源_01水果!$AJ840)&lt;=0),0,IF(OR(N(对接源_01水果!$B840)&lt;$AL$2,N(对接源_01水果!$B840)&gt;$AL$3),0,1))</f>
        <v>0</v>
      </c>
      <c r="AM840" s="3">
        <f t="shared" si="242"/>
        <v>1</v>
      </c>
      <c r="AN840" s="3" t="str">
        <f>IF(对接源_01水果!$AC840="","",对接源_01水果!$AC840)</f>
        <v/>
      </c>
      <c r="AO840" s="3">
        <f t="shared" si="243"/>
        <v>0</v>
      </c>
      <c r="AP840" s="3">
        <f t="shared" si="244"/>
        <v>8</v>
      </c>
      <c r="AR840">
        <f t="shared" si="245"/>
        <v>0</v>
      </c>
      <c r="AS840">
        <f t="shared" si="246"/>
        <v>0</v>
      </c>
    </row>
    <row r="841" ht="14.25" customHeight="1" spans="1:45">
      <c r="A841" s="3" t="str">
        <f>IF(对接源_01水果!$C841="","",对接源_01水果!$C841)</f>
        <v/>
      </c>
      <c r="B841" s="3">
        <f t="shared" si="230"/>
        <v>0</v>
      </c>
      <c r="C841" s="3">
        <f t="shared" si="231"/>
        <v>18</v>
      </c>
      <c r="K841" s="3">
        <f>IF(OR($K$1="",对接源_01水果!$C841="",对接源_01水果!$C841&lt;&gt;$K$1,对接源_01水果!$B841=""),0,IF(OR(N(对接源_01水果!$B841)&lt;$K$2,N(对接源_01水果!$B841)&gt;$K$3),0,1))</f>
        <v>0</v>
      </c>
      <c r="L841" s="3">
        <f>IF(OR($L$1="",对接源_01水果!$C841="",对接源_01水果!$C841&lt;&gt;$L$1,对接源_01水果!$B841=""),0,IF(OR(N(对接源_01水果!$B841)&lt;$L$2,N(对接源_01水果!$B841)&gt;$L$3),0,1))</f>
        <v>0</v>
      </c>
      <c r="M841" s="3">
        <f>IF(OR($M$1="",对接源_01水果!$C841="",对接源_01水果!$C841&lt;&gt;$M$1,对接源_01水果!$B841=""),0,IF(OR(N(对接源_01水果!$B841)&lt;$M$2,N(对接源_01水果!$B841)&gt;$M$3),0,1))</f>
        <v>0</v>
      </c>
      <c r="N841" s="3">
        <f>IF(OR($N$1="",对接源_01水果!$C841="",对接源_01水果!$C841&lt;&gt;$N$1,对接源_01水果!$B841=""),0,IF(OR(N(对接源_01水果!$B841)&lt;$N$2,N(对接源_01水果!$B841)&gt;$N$3),0,1))</f>
        <v>0</v>
      </c>
      <c r="P841" s="3">
        <f>IF(AND($K841=1,AND(对接源_01水果!$X841="公司筐",N(对接源_01水果!$T841)&lt;&gt;0)),1,0)</f>
        <v>0</v>
      </c>
      <c r="Q841" s="3">
        <f t="shared" si="232"/>
        <v>0</v>
      </c>
      <c r="R841" s="3">
        <f>IF(AND($K841=1,AND(对接源_01水果!$X841="公司筐",N(对接源_01水果!$U841)&lt;&gt;0)),1,0)</f>
        <v>0</v>
      </c>
      <c r="S841" s="3">
        <f t="shared" si="233"/>
        <v>0</v>
      </c>
      <c r="T841" s="3">
        <f>IF(AND($K841=1,AND(对接源_01水果!$X841="公司筐",N(对接源_01水果!$V841)&lt;&gt;0)),1,0)</f>
        <v>0</v>
      </c>
      <c r="U841" s="3">
        <f t="shared" si="234"/>
        <v>19</v>
      </c>
      <c r="V841" s="3">
        <f>IF(AND($L841=1,AND(对接源_01水果!$X841="自备筐",N(对接源_01水果!$V841)&lt;&gt;0)),1,0)</f>
        <v>0</v>
      </c>
      <c r="W841" s="3">
        <f t="shared" si="235"/>
        <v>8</v>
      </c>
      <c r="X841" s="3">
        <f>IF(AND($L841=1,AND(对接源_01水果!$X841="自备筐",N(对接源_01水果!$T841)&lt;&gt;0)),1,0)</f>
        <v>0</v>
      </c>
      <c r="Y841" s="3">
        <f t="shared" si="236"/>
        <v>0</v>
      </c>
      <c r="Z841" s="3">
        <f>IF(AND($M841=1,对接源_01水果!$D841="原料入库"),1,0)</f>
        <v>0</v>
      </c>
      <c r="AA841" s="3">
        <f t="shared" si="237"/>
        <v>24</v>
      </c>
      <c r="AB841" s="3">
        <f>IF(AND($M841=1,LEFT(对接源_01水果!$D841,4)="原料出库"),1,0)</f>
        <v>0</v>
      </c>
      <c r="AC841" s="3">
        <f t="shared" si="238"/>
        <v>0</v>
      </c>
      <c r="AD841" s="3">
        <f>IF(AND($M841=1,LEFT(对接源_01水果!$D841,4)="成品出库"),1,0)</f>
        <v>0</v>
      </c>
      <c r="AE841" s="3">
        <f t="shared" si="239"/>
        <v>0</v>
      </c>
      <c r="AF841" s="3">
        <f>IF(AND($N841=1,AND(LEFT(对接源_01水果!$D841,4)="包装物料",N(对接源_01水果!$K841)&lt;&gt;0)),1,0)</f>
        <v>0</v>
      </c>
      <c r="AG841" s="3">
        <f t="shared" si="240"/>
        <v>0</v>
      </c>
      <c r="AH841" s="3">
        <f>IF(AND($N841=1,AND(对接源_01水果!$D841="周转筐－销售出库",N(对接源_01水果!$K841)&lt;&gt;0)),1,0)</f>
        <v>0</v>
      </c>
      <c r="AI841" s="3">
        <f t="shared" si="241"/>
        <v>0</v>
      </c>
      <c r="AJ841" s="7"/>
      <c r="AL841" s="3">
        <f>IF(OR($AL$1="",对接源_01水果!$Y841="",对接源_01水果!$Y841&lt;&gt;$AL$1,对接源_01水果!$B841="",N(对接源_01水果!$AJ841)&lt;=0),0,IF(OR(N(对接源_01水果!$B841)&lt;$AL$2,N(对接源_01水果!$B841)&gt;$AL$3),0,1))</f>
        <v>0</v>
      </c>
      <c r="AM841" s="3">
        <f t="shared" si="242"/>
        <v>1</v>
      </c>
      <c r="AN841" s="3" t="str">
        <f>IF(对接源_01水果!$AC841="","",对接源_01水果!$AC841)</f>
        <v/>
      </c>
      <c r="AO841" s="3">
        <f t="shared" si="243"/>
        <v>0</v>
      </c>
      <c r="AP841" s="3">
        <f t="shared" si="244"/>
        <v>8</v>
      </c>
      <c r="AR841">
        <f t="shared" si="245"/>
        <v>0</v>
      </c>
      <c r="AS841">
        <f t="shared" si="246"/>
        <v>0</v>
      </c>
    </row>
    <row r="842" ht="14.25" customHeight="1" spans="1:45">
      <c r="A842" s="3" t="str">
        <f>IF(对接源_01水果!$C842="","",对接源_01水果!$C842)</f>
        <v/>
      </c>
      <c r="B842" s="3">
        <f t="shared" si="230"/>
        <v>0</v>
      </c>
      <c r="C842" s="3">
        <f t="shared" si="231"/>
        <v>18</v>
      </c>
      <c r="K842" s="3">
        <f>IF(OR($K$1="",对接源_01水果!$C842="",对接源_01水果!$C842&lt;&gt;$K$1,对接源_01水果!$B842=""),0,IF(OR(N(对接源_01水果!$B842)&lt;$K$2,N(对接源_01水果!$B842)&gt;$K$3),0,1))</f>
        <v>0</v>
      </c>
      <c r="L842" s="3">
        <f>IF(OR($L$1="",对接源_01水果!$C842="",对接源_01水果!$C842&lt;&gt;$L$1,对接源_01水果!$B842=""),0,IF(OR(N(对接源_01水果!$B842)&lt;$L$2,N(对接源_01水果!$B842)&gt;$L$3),0,1))</f>
        <v>0</v>
      </c>
      <c r="M842" s="3">
        <f>IF(OR($M$1="",对接源_01水果!$C842="",对接源_01水果!$C842&lt;&gt;$M$1,对接源_01水果!$B842=""),0,IF(OR(N(对接源_01水果!$B842)&lt;$M$2,N(对接源_01水果!$B842)&gt;$M$3),0,1))</f>
        <v>0</v>
      </c>
      <c r="N842" s="3">
        <f>IF(OR($N$1="",对接源_01水果!$C842="",对接源_01水果!$C842&lt;&gt;$N$1,对接源_01水果!$B842=""),0,IF(OR(N(对接源_01水果!$B842)&lt;$N$2,N(对接源_01水果!$B842)&gt;$N$3),0,1))</f>
        <v>0</v>
      </c>
      <c r="P842" s="3">
        <f>IF(AND($K842=1,AND(对接源_01水果!$X842="公司筐",N(对接源_01水果!$T842)&lt;&gt;0)),1,0)</f>
        <v>0</v>
      </c>
      <c r="Q842" s="3">
        <f t="shared" si="232"/>
        <v>0</v>
      </c>
      <c r="R842" s="3">
        <f>IF(AND($K842=1,AND(对接源_01水果!$X842="公司筐",N(对接源_01水果!$U842)&lt;&gt;0)),1,0)</f>
        <v>0</v>
      </c>
      <c r="S842" s="3">
        <f t="shared" si="233"/>
        <v>0</v>
      </c>
      <c r="T842" s="3">
        <f>IF(AND($K842=1,AND(对接源_01水果!$X842="公司筐",N(对接源_01水果!$V842)&lt;&gt;0)),1,0)</f>
        <v>0</v>
      </c>
      <c r="U842" s="3">
        <f t="shared" si="234"/>
        <v>19</v>
      </c>
      <c r="V842" s="3">
        <f>IF(AND($L842=1,AND(对接源_01水果!$X842="自备筐",N(对接源_01水果!$V842)&lt;&gt;0)),1,0)</f>
        <v>0</v>
      </c>
      <c r="W842" s="3">
        <f t="shared" si="235"/>
        <v>8</v>
      </c>
      <c r="X842" s="3">
        <f>IF(AND($L842=1,AND(对接源_01水果!$X842="自备筐",N(对接源_01水果!$T842)&lt;&gt;0)),1,0)</f>
        <v>0</v>
      </c>
      <c r="Y842" s="3">
        <f t="shared" si="236"/>
        <v>0</v>
      </c>
      <c r="Z842" s="3">
        <f>IF(AND($M842=1,对接源_01水果!$D842="原料入库"),1,0)</f>
        <v>0</v>
      </c>
      <c r="AA842" s="3">
        <f t="shared" si="237"/>
        <v>24</v>
      </c>
      <c r="AB842" s="3">
        <f>IF(AND($M842=1,LEFT(对接源_01水果!$D842,4)="原料出库"),1,0)</f>
        <v>0</v>
      </c>
      <c r="AC842" s="3">
        <f t="shared" si="238"/>
        <v>0</v>
      </c>
      <c r="AD842" s="3">
        <f>IF(AND($M842=1,LEFT(对接源_01水果!$D842,4)="成品出库"),1,0)</f>
        <v>0</v>
      </c>
      <c r="AE842" s="3">
        <f t="shared" si="239"/>
        <v>0</v>
      </c>
      <c r="AF842" s="3">
        <f>IF(AND($N842=1,AND(LEFT(对接源_01水果!$D842,4)="包装物料",N(对接源_01水果!$K842)&lt;&gt;0)),1,0)</f>
        <v>0</v>
      </c>
      <c r="AG842" s="3">
        <f t="shared" si="240"/>
        <v>0</v>
      </c>
      <c r="AH842" s="3">
        <f>IF(AND($N842=1,AND(对接源_01水果!$D842="周转筐－销售出库",N(对接源_01水果!$K842)&lt;&gt;0)),1,0)</f>
        <v>0</v>
      </c>
      <c r="AI842" s="3">
        <f t="shared" si="241"/>
        <v>0</v>
      </c>
      <c r="AJ842" s="7"/>
      <c r="AL842" s="3">
        <f>IF(OR($AL$1="",对接源_01水果!$Y842="",对接源_01水果!$Y842&lt;&gt;$AL$1,对接源_01水果!$B842="",N(对接源_01水果!$AJ842)&lt;=0),0,IF(OR(N(对接源_01水果!$B842)&lt;$AL$2,N(对接源_01水果!$B842)&gt;$AL$3),0,1))</f>
        <v>0</v>
      </c>
      <c r="AM842" s="3">
        <f t="shared" si="242"/>
        <v>1</v>
      </c>
      <c r="AN842" s="3" t="str">
        <f>IF(对接源_01水果!$AC842="","",对接源_01水果!$AC842)</f>
        <v/>
      </c>
      <c r="AO842" s="3">
        <f t="shared" si="243"/>
        <v>0</v>
      </c>
      <c r="AP842" s="3">
        <f t="shared" si="244"/>
        <v>8</v>
      </c>
      <c r="AR842">
        <f t="shared" si="245"/>
        <v>0</v>
      </c>
      <c r="AS842">
        <f t="shared" si="246"/>
        <v>0</v>
      </c>
    </row>
    <row r="843" ht="14.25" customHeight="1" spans="1:45">
      <c r="A843" s="3" t="str">
        <f>IF(对接源_01水果!$C843="","",对接源_01水果!$C843)</f>
        <v/>
      </c>
      <c r="B843" s="3">
        <f t="shared" si="230"/>
        <v>0</v>
      </c>
      <c r="C843" s="3">
        <f t="shared" si="231"/>
        <v>18</v>
      </c>
      <c r="K843" s="3">
        <f>IF(OR($K$1="",对接源_01水果!$C843="",对接源_01水果!$C843&lt;&gt;$K$1,对接源_01水果!$B843=""),0,IF(OR(N(对接源_01水果!$B843)&lt;$K$2,N(对接源_01水果!$B843)&gt;$K$3),0,1))</f>
        <v>0</v>
      </c>
      <c r="L843" s="3">
        <f>IF(OR($L$1="",对接源_01水果!$C843="",对接源_01水果!$C843&lt;&gt;$L$1,对接源_01水果!$B843=""),0,IF(OR(N(对接源_01水果!$B843)&lt;$L$2,N(对接源_01水果!$B843)&gt;$L$3),0,1))</f>
        <v>0</v>
      </c>
      <c r="M843" s="3">
        <f>IF(OR($M$1="",对接源_01水果!$C843="",对接源_01水果!$C843&lt;&gt;$M$1,对接源_01水果!$B843=""),0,IF(OR(N(对接源_01水果!$B843)&lt;$M$2,N(对接源_01水果!$B843)&gt;$M$3),0,1))</f>
        <v>0</v>
      </c>
      <c r="N843" s="3">
        <f>IF(OR($N$1="",对接源_01水果!$C843="",对接源_01水果!$C843&lt;&gt;$N$1,对接源_01水果!$B843=""),0,IF(OR(N(对接源_01水果!$B843)&lt;$N$2,N(对接源_01水果!$B843)&gt;$N$3),0,1))</f>
        <v>0</v>
      </c>
      <c r="P843" s="3">
        <f>IF(AND($K843=1,AND(对接源_01水果!$X843="公司筐",N(对接源_01水果!$T843)&lt;&gt;0)),1,0)</f>
        <v>0</v>
      </c>
      <c r="Q843" s="3">
        <f t="shared" si="232"/>
        <v>0</v>
      </c>
      <c r="R843" s="3">
        <f>IF(AND($K843=1,AND(对接源_01水果!$X843="公司筐",N(对接源_01水果!$U843)&lt;&gt;0)),1,0)</f>
        <v>0</v>
      </c>
      <c r="S843" s="3">
        <f t="shared" si="233"/>
        <v>0</v>
      </c>
      <c r="T843" s="3">
        <f>IF(AND($K843=1,AND(对接源_01水果!$X843="公司筐",N(对接源_01水果!$V843)&lt;&gt;0)),1,0)</f>
        <v>0</v>
      </c>
      <c r="U843" s="3">
        <f t="shared" si="234"/>
        <v>19</v>
      </c>
      <c r="V843" s="3">
        <f>IF(AND($L843=1,AND(对接源_01水果!$X843="自备筐",N(对接源_01水果!$V843)&lt;&gt;0)),1,0)</f>
        <v>0</v>
      </c>
      <c r="W843" s="3">
        <f t="shared" si="235"/>
        <v>8</v>
      </c>
      <c r="X843" s="3">
        <f>IF(AND($L843=1,AND(对接源_01水果!$X843="自备筐",N(对接源_01水果!$T843)&lt;&gt;0)),1,0)</f>
        <v>0</v>
      </c>
      <c r="Y843" s="3">
        <f t="shared" si="236"/>
        <v>0</v>
      </c>
      <c r="Z843" s="3">
        <f>IF(AND($M843=1,对接源_01水果!$D843="原料入库"),1,0)</f>
        <v>0</v>
      </c>
      <c r="AA843" s="3">
        <f t="shared" si="237"/>
        <v>24</v>
      </c>
      <c r="AB843" s="3">
        <f>IF(AND($M843=1,LEFT(对接源_01水果!$D843,4)="原料出库"),1,0)</f>
        <v>0</v>
      </c>
      <c r="AC843" s="3">
        <f t="shared" si="238"/>
        <v>0</v>
      </c>
      <c r="AD843" s="3">
        <f>IF(AND($M843=1,LEFT(对接源_01水果!$D843,4)="成品出库"),1,0)</f>
        <v>0</v>
      </c>
      <c r="AE843" s="3">
        <f t="shared" si="239"/>
        <v>0</v>
      </c>
      <c r="AF843" s="3">
        <f>IF(AND($N843=1,AND(LEFT(对接源_01水果!$D843,4)="包装物料",N(对接源_01水果!$K843)&lt;&gt;0)),1,0)</f>
        <v>0</v>
      </c>
      <c r="AG843" s="3">
        <f t="shared" si="240"/>
        <v>0</v>
      </c>
      <c r="AH843" s="3">
        <f>IF(AND($N843=1,AND(对接源_01水果!$D843="周转筐－销售出库",N(对接源_01水果!$K843)&lt;&gt;0)),1,0)</f>
        <v>0</v>
      </c>
      <c r="AI843" s="3">
        <f t="shared" si="241"/>
        <v>0</v>
      </c>
      <c r="AJ843" s="7"/>
      <c r="AL843" s="3">
        <f>IF(OR($AL$1="",对接源_01水果!$Y843="",对接源_01水果!$Y843&lt;&gt;$AL$1,对接源_01水果!$B843="",N(对接源_01水果!$AJ843)&lt;=0),0,IF(OR(N(对接源_01水果!$B843)&lt;$AL$2,N(对接源_01水果!$B843)&gt;$AL$3),0,1))</f>
        <v>0</v>
      </c>
      <c r="AM843" s="3">
        <f t="shared" si="242"/>
        <v>1</v>
      </c>
      <c r="AN843" s="3" t="str">
        <f>IF(对接源_01水果!$AC843="","",对接源_01水果!$AC843)</f>
        <v/>
      </c>
      <c r="AO843" s="3">
        <f t="shared" si="243"/>
        <v>0</v>
      </c>
      <c r="AP843" s="3">
        <f t="shared" si="244"/>
        <v>8</v>
      </c>
      <c r="AR843">
        <f t="shared" si="245"/>
        <v>0</v>
      </c>
      <c r="AS843">
        <f t="shared" si="246"/>
        <v>0</v>
      </c>
    </row>
    <row r="844" ht="14.25" customHeight="1" spans="1:45">
      <c r="A844" s="3" t="str">
        <f>IF(对接源_01水果!$C844="","",对接源_01水果!$C844)</f>
        <v/>
      </c>
      <c r="B844" s="3">
        <f t="shared" si="230"/>
        <v>0</v>
      </c>
      <c r="C844" s="3">
        <f t="shared" si="231"/>
        <v>18</v>
      </c>
      <c r="K844" s="3">
        <f>IF(OR($K$1="",对接源_01水果!$C844="",对接源_01水果!$C844&lt;&gt;$K$1,对接源_01水果!$B844=""),0,IF(OR(N(对接源_01水果!$B844)&lt;$K$2,N(对接源_01水果!$B844)&gt;$K$3),0,1))</f>
        <v>0</v>
      </c>
      <c r="L844" s="3">
        <f>IF(OR($L$1="",对接源_01水果!$C844="",对接源_01水果!$C844&lt;&gt;$L$1,对接源_01水果!$B844=""),0,IF(OR(N(对接源_01水果!$B844)&lt;$L$2,N(对接源_01水果!$B844)&gt;$L$3),0,1))</f>
        <v>0</v>
      </c>
      <c r="M844" s="3">
        <f>IF(OR($M$1="",对接源_01水果!$C844="",对接源_01水果!$C844&lt;&gt;$M$1,对接源_01水果!$B844=""),0,IF(OR(N(对接源_01水果!$B844)&lt;$M$2,N(对接源_01水果!$B844)&gt;$M$3),0,1))</f>
        <v>0</v>
      </c>
      <c r="N844" s="3">
        <f>IF(OR($N$1="",对接源_01水果!$C844="",对接源_01水果!$C844&lt;&gt;$N$1,对接源_01水果!$B844=""),0,IF(OR(N(对接源_01水果!$B844)&lt;$N$2,N(对接源_01水果!$B844)&gt;$N$3),0,1))</f>
        <v>0</v>
      </c>
      <c r="P844" s="3">
        <f>IF(AND($K844=1,AND(对接源_01水果!$X844="公司筐",N(对接源_01水果!$T844)&lt;&gt;0)),1,0)</f>
        <v>0</v>
      </c>
      <c r="Q844" s="3">
        <f t="shared" si="232"/>
        <v>0</v>
      </c>
      <c r="R844" s="3">
        <f>IF(AND($K844=1,AND(对接源_01水果!$X844="公司筐",N(对接源_01水果!$U844)&lt;&gt;0)),1,0)</f>
        <v>0</v>
      </c>
      <c r="S844" s="3">
        <f t="shared" si="233"/>
        <v>0</v>
      </c>
      <c r="T844" s="3">
        <f>IF(AND($K844=1,AND(对接源_01水果!$X844="公司筐",N(对接源_01水果!$V844)&lt;&gt;0)),1,0)</f>
        <v>0</v>
      </c>
      <c r="U844" s="3">
        <f t="shared" si="234"/>
        <v>19</v>
      </c>
      <c r="V844" s="3">
        <f>IF(AND($L844=1,AND(对接源_01水果!$X844="自备筐",N(对接源_01水果!$V844)&lt;&gt;0)),1,0)</f>
        <v>0</v>
      </c>
      <c r="W844" s="3">
        <f t="shared" si="235"/>
        <v>8</v>
      </c>
      <c r="X844" s="3">
        <f>IF(AND($L844=1,AND(对接源_01水果!$X844="自备筐",N(对接源_01水果!$T844)&lt;&gt;0)),1,0)</f>
        <v>0</v>
      </c>
      <c r="Y844" s="3">
        <f t="shared" si="236"/>
        <v>0</v>
      </c>
      <c r="Z844" s="3">
        <f>IF(AND($M844=1,对接源_01水果!$D844="原料入库"),1,0)</f>
        <v>0</v>
      </c>
      <c r="AA844" s="3">
        <f t="shared" si="237"/>
        <v>24</v>
      </c>
      <c r="AB844" s="3">
        <f>IF(AND($M844=1,LEFT(对接源_01水果!$D844,4)="原料出库"),1,0)</f>
        <v>0</v>
      </c>
      <c r="AC844" s="3">
        <f t="shared" si="238"/>
        <v>0</v>
      </c>
      <c r="AD844" s="3">
        <f>IF(AND($M844=1,LEFT(对接源_01水果!$D844,4)="成品出库"),1,0)</f>
        <v>0</v>
      </c>
      <c r="AE844" s="3">
        <f t="shared" si="239"/>
        <v>0</v>
      </c>
      <c r="AF844" s="3">
        <f>IF(AND($N844=1,AND(LEFT(对接源_01水果!$D844,4)="包装物料",N(对接源_01水果!$K844)&lt;&gt;0)),1,0)</f>
        <v>0</v>
      </c>
      <c r="AG844" s="3">
        <f t="shared" si="240"/>
        <v>0</v>
      </c>
      <c r="AH844" s="3">
        <f>IF(AND($N844=1,AND(对接源_01水果!$D844="周转筐－销售出库",N(对接源_01水果!$K844)&lt;&gt;0)),1,0)</f>
        <v>0</v>
      </c>
      <c r="AI844" s="3">
        <f t="shared" si="241"/>
        <v>0</v>
      </c>
      <c r="AJ844" s="7"/>
      <c r="AL844" s="3">
        <f>IF(OR($AL$1="",对接源_01水果!$Y844="",对接源_01水果!$Y844&lt;&gt;$AL$1,对接源_01水果!$B844="",N(对接源_01水果!$AJ844)&lt;=0),0,IF(OR(N(对接源_01水果!$B844)&lt;$AL$2,N(对接源_01水果!$B844)&gt;$AL$3),0,1))</f>
        <v>0</v>
      </c>
      <c r="AM844" s="3">
        <f t="shared" si="242"/>
        <v>1</v>
      </c>
      <c r="AN844" s="3" t="str">
        <f>IF(对接源_01水果!$AC844="","",对接源_01水果!$AC844)</f>
        <v/>
      </c>
      <c r="AO844" s="3">
        <f t="shared" si="243"/>
        <v>0</v>
      </c>
      <c r="AP844" s="3">
        <f t="shared" si="244"/>
        <v>8</v>
      </c>
      <c r="AR844">
        <f t="shared" si="245"/>
        <v>0</v>
      </c>
      <c r="AS844">
        <f t="shared" si="246"/>
        <v>0</v>
      </c>
    </row>
    <row r="845" ht="14.25" customHeight="1" spans="1:45">
      <c r="A845" s="3" t="str">
        <f>IF(对接源_01水果!$C845="","",对接源_01水果!$C845)</f>
        <v/>
      </c>
      <c r="B845" s="3">
        <f t="shared" si="230"/>
        <v>0</v>
      </c>
      <c r="C845" s="3">
        <f t="shared" si="231"/>
        <v>18</v>
      </c>
      <c r="K845" s="3">
        <f>IF(OR($K$1="",对接源_01水果!$C845="",对接源_01水果!$C845&lt;&gt;$K$1,对接源_01水果!$B845=""),0,IF(OR(N(对接源_01水果!$B845)&lt;$K$2,N(对接源_01水果!$B845)&gt;$K$3),0,1))</f>
        <v>0</v>
      </c>
      <c r="L845" s="3">
        <f>IF(OR($L$1="",对接源_01水果!$C845="",对接源_01水果!$C845&lt;&gt;$L$1,对接源_01水果!$B845=""),0,IF(OR(N(对接源_01水果!$B845)&lt;$L$2,N(对接源_01水果!$B845)&gt;$L$3),0,1))</f>
        <v>0</v>
      </c>
      <c r="M845" s="3">
        <f>IF(OR($M$1="",对接源_01水果!$C845="",对接源_01水果!$C845&lt;&gt;$M$1,对接源_01水果!$B845=""),0,IF(OR(N(对接源_01水果!$B845)&lt;$M$2,N(对接源_01水果!$B845)&gt;$M$3),0,1))</f>
        <v>0</v>
      </c>
      <c r="N845" s="3">
        <f>IF(OR($N$1="",对接源_01水果!$C845="",对接源_01水果!$C845&lt;&gt;$N$1,对接源_01水果!$B845=""),0,IF(OR(N(对接源_01水果!$B845)&lt;$N$2,N(对接源_01水果!$B845)&gt;$N$3),0,1))</f>
        <v>0</v>
      </c>
      <c r="P845" s="3">
        <f>IF(AND($K845=1,AND(对接源_01水果!$X845="公司筐",N(对接源_01水果!$T845)&lt;&gt;0)),1,0)</f>
        <v>0</v>
      </c>
      <c r="Q845" s="3">
        <f t="shared" si="232"/>
        <v>0</v>
      </c>
      <c r="R845" s="3">
        <f>IF(AND($K845=1,AND(对接源_01水果!$X845="公司筐",N(对接源_01水果!$U845)&lt;&gt;0)),1,0)</f>
        <v>0</v>
      </c>
      <c r="S845" s="3">
        <f t="shared" si="233"/>
        <v>0</v>
      </c>
      <c r="T845" s="3">
        <f>IF(AND($K845=1,AND(对接源_01水果!$X845="公司筐",N(对接源_01水果!$V845)&lt;&gt;0)),1,0)</f>
        <v>0</v>
      </c>
      <c r="U845" s="3">
        <f t="shared" si="234"/>
        <v>19</v>
      </c>
      <c r="V845" s="3">
        <f>IF(AND($L845=1,AND(对接源_01水果!$X845="自备筐",N(对接源_01水果!$V845)&lt;&gt;0)),1,0)</f>
        <v>0</v>
      </c>
      <c r="W845" s="3">
        <f t="shared" si="235"/>
        <v>8</v>
      </c>
      <c r="X845" s="3">
        <f>IF(AND($L845=1,AND(对接源_01水果!$X845="自备筐",N(对接源_01水果!$T845)&lt;&gt;0)),1,0)</f>
        <v>0</v>
      </c>
      <c r="Y845" s="3">
        <f t="shared" si="236"/>
        <v>0</v>
      </c>
      <c r="Z845" s="3">
        <f>IF(AND($M845=1,对接源_01水果!$D845="原料入库"),1,0)</f>
        <v>0</v>
      </c>
      <c r="AA845" s="3">
        <f t="shared" si="237"/>
        <v>24</v>
      </c>
      <c r="AB845" s="3">
        <f>IF(AND($M845=1,LEFT(对接源_01水果!$D845,4)="原料出库"),1,0)</f>
        <v>0</v>
      </c>
      <c r="AC845" s="3">
        <f t="shared" si="238"/>
        <v>0</v>
      </c>
      <c r="AD845" s="3">
        <f>IF(AND($M845=1,LEFT(对接源_01水果!$D845,4)="成品出库"),1,0)</f>
        <v>0</v>
      </c>
      <c r="AE845" s="3">
        <f t="shared" si="239"/>
        <v>0</v>
      </c>
      <c r="AF845" s="3">
        <f>IF(AND($N845=1,AND(LEFT(对接源_01水果!$D845,4)="包装物料",N(对接源_01水果!$K845)&lt;&gt;0)),1,0)</f>
        <v>0</v>
      </c>
      <c r="AG845" s="3">
        <f t="shared" si="240"/>
        <v>0</v>
      </c>
      <c r="AH845" s="3">
        <f>IF(AND($N845=1,AND(对接源_01水果!$D845="周转筐－销售出库",N(对接源_01水果!$K845)&lt;&gt;0)),1,0)</f>
        <v>0</v>
      </c>
      <c r="AI845" s="3">
        <f t="shared" si="241"/>
        <v>0</v>
      </c>
      <c r="AJ845" s="7"/>
      <c r="AL845" s="3">
        <f>IF(OR($AL$1="",对接源_01水果!$Y845="",对接源_01水果!$Y845&lt;&gt;$AL$1,对接源_01水果!$B845="",N(对接源_01水果!$AJ845)&lt;=0),0,IF(OR(N(对接源_01水果!$B845)&lt;$AL$2,N(对接源_01水果!$B845)&gt;$AL$3),0,1))</f>
        <v>0</v>
      </c>
      <c r="AM845" s="3">
        <f t="shared" si="242"/>
        <v>1</v>
      </c>
      <c r="AN845" s="3" t="str">
        <f>IF(对接源_01水果!$AC845="","",对接源_01水果!$AC845)</f>
        <v/>
      </c>
      <c r="AO845" s="3">
        <f t="shared" si="243"/>
        <v>0</v>
      </c>
      <c r="AP845" s="3">
        <f t="shared" si="244"/>
        <v>8</v>
      </c>
      <c r="AR845">
        <f t="shared" si="245"/>
        <v>0</v>
      </c>
      <c r="AS845">
        <f t="shared" si="246"/>
        <v>0</v>
      </c>
    </row>
    <row r="846" ht="14.25" customHeight="1" spans="1:45">
      <c r="A846" s="3" t="str">
        <f>IF(对接源_01水果!$C846="","",对接源_01水果!$C846)</f>
        <v/>
      </c>
      <c r="B846" s="3">
        <f t="shared" si="230"/>
        <v>0</v>
      </c>
      <c r="C846" s="3">
        <f t="shared" si="231"/>
        <v>18</v>
      </c>
      <c r="K846" s="3">
        <f>IF(OR($K$1="",对接源_01水果!$C846="",对接源_01水果!$C846&lt;&gt;$K$1,对接源_01水果!$B846=""),0,IF(OR(N(对接源_01水果!$B846)&lt;$K$2,N(对接源_01水果!$B846)&gt;$K$3),0,1))</f>
        <v>0</v>
      </c>
      <c r="L846" s="3">
        <f>IF(OR($L$1="",对接源_01水果!$C846="",对接源_01水果!$C846&lt;&gt;$L$1,对接源_01水果!$B846=""),0,IF(OR(N(对接源_01水果!$B846)&lt;$L$2,N(对接源_01水果!$B846)&gt;$L$3),0,1))</f>
        <v>0</v>
      </c>
      <c r="M846" s="3">
        <f>IF(OR($M$1="",对接源_01水果!$C846="",对接源_01水果!$C846&lt;&gt;$M$1,对接源_01水果!$B846=""),0,IF(OR(N(对接源_01水果!$B846)&lt;$M$2,N(对接源_01水果!$B846)&gt;$M$3),0,1))</f>
        <v>0</v>
      </c>
      <c r="N846" s="3">
        <f>IF(OR($N$1="",对接源_01水果!$C846="",对接源_01水果!$C846&lt;&gt;$N$1,对接源_01水果!$B846=""),0,IF(OR(N(对接源_01水果!$B846)&lt;$N$2,N(对接源_01水果!$B846)&gt;$N$3),0,1))</f>
        <v>0</v>
      </c>
      <c r="P846" s="3">
        <f>IF(AND($K846=1,AND(对接源_01水果!$X846="公司筐",N(对接源_01水果!$T846)&lt;&gt;0)),1,0)</f>
        <v>0</v>
      </c>
      <c r="Q846" s="3">
        <f t="shared" si="232"/>
        <v>0</v>
      </c>
      <c r="R846" s="3">
        <f>IF(AND($K846=1,AND(对接源_01水果!$X846="公司筐",N(对接源_01水果!$U846)&lt;&gt;0)),1,0)</f>
        <v>0</v>
      </c>
      <c r="S846" s="3">
        <f t="shared" si="233"/>
        <v>0</v>
      </c>
      <c r="T846" s="3">
        <f>IF(AND($K846=1,AND(对接源_01水果!$X846="公司筐",N(对接源_01水果!$V846)&lt;&gt;0)),1,0)</f>
        <v>0</v>
      </c>
      <c r="U846" s="3">
        <f t="shared" si="234"/>
        <v>19</v>
      </c>
      <c r="V846" s="3">
        <f>IF(AND($L846=1,AND(对接源_01水果!$X846="自备筐",N(对接源_01水果!$V846)&lt;&gt;0)),1,0)</f>
        <v>0</v>
      </c>
      <c r="W846" s="3">
        <f t="shared" si="235"/>
        <v>8</v>
      </c>
      <c r="X846" s="3">
        <f>IF(AND($L846=1,AND(对接源_01水果!$X846="自备筐",N(对接源_01水果!$T846)&lt;&gt;0)),1,0)</f>
        <v>0</v>
      </c>
      <c r="Y846" s="3">
        <f t="shared" si="236"/>
        <v>0</v>
      </c>
      <c r="Z846" s="3">
        <f>IF(AND($M846=1,对接源_01水果!$D846="原料入库"),1,0)</f>
        <v>0</v>
      </c>
      <c r="AA846" s="3">
        <f t="shared" si="237"/>
        <v>24</v>
      </c>
      <c r="AB846" s="3">
        <f>IF(AND($M846=1,LEFT(对接源_01水果!$D846,4)="原料出库"),1,0)</f>
        <v>0</v>
      </c>
      <c r="AC846" s="3">
        <f t="shared" si="238"/>
        <v>0</v>
      </c>
      <c r="AD846" s="3">
        <f>IF(AND($M846=1,LEFT(对接源_01水果!$D846,4)="成品出库"),1,0)</f>
        <v>0</v>
      </c>
      <c r="AE846" s="3">
        <f t="shared" si="239"/>
        <v>0</v>
      </c>
      <c r="AF846" s="3">
        <f>IF(AND($N846=1,AND(LEFT(对接源_01水果!$D846,4)="包装物料",N(对接源_01水果!$K846)&lt;&gt;0)),1,0)</f>
        <v>0</v>
      </c>
      <c r="AG846" s="3">
        <f t="shared" si="240"/>
        <v>0</v>
      </c>
      <c r="AH846" s="3">
        <f>IF(AND($N846=1,AND(对接源_01水果!$D846="周转筐－销售出库",N(对接源_01水果!$K846)&lt;&gt;0)),1,0)</f>
        <v>0</v>
      </c>
      <c r="AI846" s="3">
        <f t="shared" si="241"/>
        <v>0</v>
      </c>
      <c r="AJ846" s="7"/>
      <c r="AL846" s="3">
        <f>IF(OR($AL$1="",对接源_01水果!$Y846="",对接源_01水果!$Y846&lt;&gt;$AL$1,对接源_01水果!$B846="",N(对接源_01水果!$AJ846)&lt;=0),0,IF(OR(N(对接源_01水果!$B846)&lt;$AL$2,N(对接源_01水果!$B846)&gt;$AL$3),0,1))</f>
        <v>0</v>
      </c>
      <c r="AM846" s="3">
        <f t="shared" si="242"/>
        <v>1</v>
      </c>
      <c r="AN846" s="3" t="str">
        <f>IF(对接源_01水果!$AC846="","",对接源_01水果!$AC846)</f>
        <v/>
      </c>
      <c r="AO846" s="3">
        <f t="shared" si="243"/>
        <v>0</v>
      </c>
      <c r="AP846" s="3">
        <f t="shared" si="244"/>
        <v>8</v>
      </c>
      <c r="AR846">
        <f t="shared" si="245"/>
        <v>0</v>
      </c>
      <c r="AS846">
        <f t="shared" si="246"/>
        <v>0</v>
      </c>
    </row>
    <row r="847" ht="14.25" customHeight="1" spans="1:45">
      <c r="A847" s="3" t="str">
        <f>IF(对接源_01水果!$C847="","",对接源_01水果!$C847)</f>
        <v/>
      </c>
      <c r="B847" s="3">
        <f t="shared" si="230"/>
        <v>0</v>
      </c>
      <c r="C847" s="3">
        <f t="shared" si="231"/>
        <v>18</v>
      </c>
      <c r="K847" s="3">
        <f>IF(OR($K$1="",对接源_01水果!$C847="",对接源_01水果!$C847&lt;&gt;$K$1,对接源_01水果!$B847=""),0,IF(OR(N(对接源_01水果!$B847)&lt;$K$2,N(对接源_01水果!$B847)&gt;$K$3),0,1))</f>
        <v>0</v>
      </c>
      <c r="L847" s="3">
        <f>IF(OR($L$1="",对接源_01水果!$C847="",对接源_01水果!$C847&lt;&gt;$L$1,对接源_01水果!$B847=""),0,IF(OR(N(对接源_01水果!$B847)&lt;$L$2,N(对接源_01水果!$B847)&gt;$L$3),0,1))</f>
        <v>0</v>
      </c>
      <c r="M847" s="3">
        <f>IF(OR($M$1="",对接源_01水果!$C847="",对接源_01水果!$C847&lt;&gt;$M$1,对接源_01水果!$B847=""),0,IF(OR(N(对接源_01水果!$B847)&lt;$M$2,N(对接源_01水果!$B847)&gt;$M$3),0,1))</f>
        <v>0</v>
      </c>
      <c r="N847" s="3">
        <f>IF(OR($N$1="",对接源_01水果!$C847="",对接源_01水果!$C847&lt;&gt;$N$1,对接源_01水果!$B847=""),0,IF(OR(N(对接源_01水果!$B847)&lt;$N$2,N(对接源_01水果!$B847)&gt;$N$3),0,1))</f>
        <v>0</v>
      </c>
      <c r="P847" s="3">
        <f>IF(AND($K847=1,AND(对接源_01水果!$X847="公司筐",N(对接源_01水果!$T847)&lt;&gt;0)),1,0)</f>
        <v>0</v>
      </c>
      <c r="Q847" s="3">
        <f t="shared" si="232"/>
        <v>0</v>
      </c>
      <c r="R847" s="3">
        <f>IF(AND($K847=1,AND(对接源_01水果!$X847="公司筐",N(对接源_01水果!$U847)&lt;&gt;0)),1,0)</f>
        <v>0</v>
      </c>
      <c r="S847" s="3">
        <f t="shared" si="233"/>
        <v>0</v>
      </c>
      <c r="T847" s="3">
        <f>IF(AND($K847=1,AND(对接源_01水果!$X847="公司筐",N(对接源_01水果!$V847)&lt;&gt;0)),1,0)</f>
        <v>0</v>
      </c>
      <c r="U847" s="3">
        <f t="shared" si="234"/>
        <v>19</v>
      </c>
      <c r="V847" s="3">
        <f>IF(AND($L847=1,AND(对接源_01水果!$X847="自备筐",N(对接源_01水果!$V847)&lt;&gt;0)),1,0)</f>
        <v>0</v>
      </c>
      <c r="W847" s="3">
        <f t="shared" si="235"/>
        <v>8</v>
      </c>
      <c r="X847" s="3">
        <f>IF(AND($L847=1,AND(对接源_01水果!$X847="自备筐",N(对接源_01水果!$T847)&lt;&gt;0)),1,0)</f>
        <v>0</v>
      </c>
      <c r="Y847" s="3">
        <f t="shared" si="236"/>
        <v>0</v>
      </c>
      <c r="Z847" s="3">
        <f>IF(AND($M847=1,对接源_01水果!$D847="原料入库"),1,0)</f>
        <v>0</v>
      </c>
      <c r="AA847" s="3">
        <f t="shared" si="237"/>
        <v>24</v>
      </c>
      <c r="AB847" s="3">
        <f>IF(AND($M847=1,LEFT(对接源_01水果!$D847,4)="原料出库"),1,0)</f>
        <v>0</v>
      </c>
      <c r="AC847" s="3">
        <f t="shared" si="238"/>
        <v>0</v>
      </c>
      <c r="AD847" s="3">
        <f>IF(AND($M847=1,LEFT(对接源_01水果!$D847,4)="成品出库"),1,0)</f>
        <v>0</v>
      </c>
      <c r="AE847" s="3">
        <f t="shared" si="239"/>
        <v>0</v>
      </c>
      <c r="AF847" s="3">
        <f>IF(AND($N847=1,AND(LEFT(对接源_01水果!$D847,4)="包装物料",N(对接源_01水果!$K847)&lt;&gt;0)),1,0)</f>
        <v>0</v>
      </c>
      <c r="AG847" s="3">
        <f t="shared" si="240"/>
        <v>0</v>
      </c>
      <c r="AH847" s="3">
        <f>IF(AND($N847=1,AND(对接源_01水果!$D847="周转筐－销售出库",N(对接源_01水果!$K847)&lt;&gt;0)),1,0)</f>
        <v>0</v>
      </c>
      <c r="AI847" s="3">
        <f t="shared" si="241"/>
        <v>0</v>
      </c>
      <c r="AJ847" s="7"/>
      <c r="AL847" s="3">
        <f>IF(OR($AL$1="",对接源_01水果!$Y847="",对接源_01水果!$Y847&lt;&gt;$AL$1,对接源_01水果!$B847="",N(对接源_01水果!$AJ847)&lt;=0),0,IF(OR(N(对接源_01水果!$B847)&lt;$AL$2,N(对接源_01水果!$B847)&gt;$AL$3),0,1))</f>
        <v>0</v>
      </c>
      <c r="AM847" s="3">
        <f t="shared" si="242"/>
        <v>1</v>
      </c>
      <c r="AN847" s="3" t="str">
        <f>IF(对接源_01水果!$AC847="","",对接源_01水果!$AC847)</f>
        <v/>
      </c>
      <c r="AO847" s="3">
        <f t="shared" si="243"/>
        <v>0</v>
      </c>
      <c r="AP847" s="3">
        <f t="shared" si="244"/>
        <v>8</v>
      </c>
      <c r="AR847">
        <f t="shared" si="245"/>
        <v>0</v>
      </c>
      <c r="AS847">
        <f t="shared" si="246"/>
        <v>0</v>
      </c>
    </row>
    <row r="848" ht="14.25" customHeight="1" spans="1:45">
      <c r="A848" s="3" t="str">
        <f>IF(对接源_01水果!$C848="","",对接源_01水果!$C848)</f>
        <v/>
      </c>
      <c r="B848" s="3">
        <f t="shared" si="230"/>
        <v>0</v>
      </c>
      <c r="C848" s="3">
        <f t="shared" si="231"/>
        <v>18</v>
      </c>
      <c r="K848" s="3">
        <f>IF(OR($K$1="",对接源_01水果!$C848="",对接源_01水果!$C848&lt;&gt;$K$1,对接源_01水果!$B848=""),0,IF(OR(N(对接源_01水果!$B848)&lt;$K$2,N(对接源_01水果!$B848)&gt;$K$3),0,1))</f>
        <v>0</v>
      </c>
      <c r="L848" s="3">
        <f>IF(OR($L$1="",对接源_01水果!$C848="",对接源_01水果!$C848&lt;&gt;$L$1,对接源_01水果!$B848=""),0,IF(OR(N(对接源_01水果!$B848)&lt;$L$2,N(对接源_01水果!$B848)&gt;$L$3),0,1))</f>
        <v>0</v>
      </c>
      <c r="M848" s="3">
        <f>IF(OR($M$1="",对接源_01水果!$C848="",对接源_01水果!$C848&lt;&gt;$M$1,对接源_01水果!$B848=""),0,IF(OR(N(对接源_01水果!$B848)&lt;$M$2,N(对接源_01水果!$B848)&gt;$M$3),0,1))</f>
        <v>0</v>
      </c>
      <c r="N848" s="3">
        <f>IF(OR($N$1="",对接源_01水果!$C848="",对接源_01水果!$C848&lt;&gt;$N$1,对接源_01水果!$B848=""),0,IF(OR(N(对接源_01水果!$B848)&lt;$N$2,N(对接源_01水果!$B848)&gt;$N$3),0,1))</f>
        <v>0</v>
      </c>
      <c r="P848" s="3">
        <f>IF(AND($K848=1,AND(对接源_01水果!$X848="公司筐",N(对接源_01水果!$T848)&lt;&gt;0)),1,0)</f>
        <v>0</v>
      </c>
      <c r="Q848" s="3">
        <f t="shared" si="232"/>
        <v>0</v>
      </c>
      <c r="R848" s="3">
        <f>IF(AND($K848=1,AND(对接源_01水果!$X848="公司筐",N(对接源_01水果!$U848)&lt;&gt;0)),1,0)</f>
        <v>0</v>
      </c>
      <c r="S848" s="3">
        <f t="shared" si="233"/>
        <v>0</v>
      </c>
      <c r="T848" s="3">
        <f>IF(AND($K848=1,AND(对接源_01水果!$X848="公司筐",N(对接源_01水果!$V848)&lt;&gt;0)),1,0)</f>
        <v>0</v>
      </c>
      <c r="U848" s="3">
        <f t="shared" si="234"/>
        <v>19</v>
      </c>
      <c r="V848" s="3">
        <f>IF(AND($L848=1,AND(对接源_01水果!$X848="自备筐",N(对接源_01水果!$V848)&lt;&gt;0)),1,0)</f>
        <v>0</v>
      </c>
      <c r="W848" s="3">
        <f t="shared" si="235"/>
        <v>8</v>
      </c>
      <c r="X848" s="3">
        <f>IF(AND($L848=1,AND(对接源_01水果!$X848="自备筐",N(对接源_01水果!$T848)&lt;&gt;0)),1,0)</f>
        <v>0</v>
      </c>
      <c r="Y848" s="3">
        <f t="shared" si="236"/>
        <v>0</v>
      </c>
      <c r="Z848" s="3">
        <f>IF(AND($M848=1,对接源_01水果!$D848="原料入库"),1,0)</f>
        <v>0</v>
      </c>
      <c r="AA848" s="3">
        <f t="shared" si="237"/>
        <v>24</v>
      </c>
      <c r="AB848" s="3">
        <f>IF(AND($M848=1,LEFT(对接源_01水果!$D848,4)="原料出库"),1,0)</f>
        <v>0</v>
      </c>
      <c r="AC848" s="3">
        <f t="shared" si="238"/>
        <v>0</v>
      </c>
      <c r="AD848" s="3">
        <f>IF(AND($M848=1,LEFT(对接源_01水果!$D848,4)="成品出库"),1,0)</f>
        <v>0</v>
      </c>
      <c r="AE848" s="3">
        <f t="shared" si="239"/>
        <v>0</v>
      </c>
      <c r="AF848" s="3">
        <f>IF(AND($N848=1,AND(LEFT(对接源_01水果!$D848,4)="包装物料",N(对接源_01水果!$K848)&lt;&gt;0)),1,0)</f>
        <v>0</v>
      </c>
      <c r="AG848" s="3">
        <f t="shared" si="240"/>
        <v>0</v>
      </c>
      <c r="AH848" s="3">
        <f>IF(AND($N848=1,AND(对接源_01水果!$D848="周转筐－销售出库",N(对接源_01水果!$K848)&lt;&gt;0)),1,0)</f>
        <v>0</v>
      </c>
      <c r="AI848" s="3">
        <f t="shared" si="241"/>
        <v>0</v>
      </c>
      <c r="AJ848" s="7"/>
      <c r="AL848" s="3">
        <f>IF(OR($AL$1="",对接源_01水果!$Y848="",对接源_01水果!$Y848&lt;&gt;$AL$1,对接源_01水果!$B848="",N(对接源_01水果!$AJ848)&lt;=0),0,IF(OR(N(对接源_01水果!$B848)&lt;$AL$2,N(对接源_01水果!$B848)&gt;$AL$3),0,1))</f>
        <v>0</v>
      </c>
      <c r="AM848" s="3">
        <f t="shared" si="242"/>
        <v>1</v>
      </c>
      <c r="AN848" s="3" t="str">
        <f>IF(对接源_01水果!$AC848="","",对接源_01水果!$AC848)</f>
        <v/>
      </c>
      <c r="AO848" s="3">
        <f t="shared" si="243"/>
        <v>0</v>
      </c>
      <c r="AP848" s="3">
        <f t="shared" si="244"/>
        <v>8</v>
      </c>
      <c r="AR848">
        <f t="shared" si="245"/>
        <v>0</v>
      </c>
      <c r="AS848">
        <f t="shared" si="246"/>
        <v>0</v>
      </c>
    </row>
    <row r="849" ht="14.25" customHeight="1" spans="1:45">
      <c r="A849" s="3" t="str">
        <f>IF(对接源_01水果!$C849="","",对接源_01水果!$C849)</f>
        <v/>
      </c>
      <c r="B849" s="3">
        <f t="shared" si="230"/>
        <v>0</v>
      </c>
      <c r="C849" s="3">
        <f t="shared" si="231"/>
        <v>18</v>
      </c>
      <c r="K849" s="3">
        <f>IF(OR($K$1="",对接源_01水果!$C849="",对接源_01水果!$C849&lt;&gt;$K$1,对接源_01水果!$B849=""),0,IF(OR(N(对接源_01水果!$B849)&lt;$K$2,N(对接源_01水果!$B849)&gt;$K$3),0,1))</f>
        <v>0</v>
      </c>
      <c r="L849" s="3">
        <f>IF(OR($L$1="",对接源_01水果!$C849="",对接源_01水果!$C849&lt;&gt;$L$1,对接源_01水果!$B849=""),0,IF(OR(N(对接源_01水果!$B849)&lt;$L$2,N(对接源_01水果!$B849)&gt;$L$3),0,1))</f>
        <v>0</v>
      </c>
      <c r="M849" s="3">
        <f>IF(OR($M$1="",对接源_01水果!$C849="",对接源_01水果!$C849&lt;&gt;$M$1,对接源_01水果!$B849=""),0,IF(OR(N(对接源_01水果!$B849)&lt;$M$2,N(对接源_01水果!$B849)&gt;$M$3),0,1))</f>
        <v>0</v>
      </c>
      <c r="N849" s="3">
        <f>IF(OR($N$1="",对接源_01水果!$C849="",对接源_01水果!$C849&lt;&gt;$N$1,对接源_01水果!$B849=""),0,IF(OR(N(对接源_01水果!$B849)&lt;$N$2,N(对接源_01水果!$B849)&gt;$N$3),0,1))</f>
        <v>0</v>
      </c>
      <c r="P849" s="3">
        <f>IF(AND($K849=1,AND(对接源_01水果!$X849="公司筐",N(对接源_01水果!$T849)&lt;&gt;0)),1,0)</f>
        <v>0</v>
      </c>
      <c r="Q849" s="3">
        <f t="shared" si="232"/>
        <v>0</v>
      </c>
      <c r="R849" s="3">
        <f>IF(AND($K849=1,AND(对接源_01水果!$X849="公司筐",N(对接源_01水果!$U849)&lt;&gt;0)),1,0)</f>
        <v>0</v>
      </c>
      <c r="S849" s="3">
        <f t="shared" si="233"/>
        <v>0</v>
      </c>
      <c r="T849" s="3">
        <f>IF(AND($K849=1,AND(对接源_01水果!$X849="公司筐",N(对接源_01水果!$V849)&lt;&gt;0)),1,0)</f>
        <v>0</v>
      </c>
      <c r="U849" s="3">
        <f t="shared" si="234"/>
        <v>19</v>
      </c>
      <c r="V849" s="3">
        <f>IF(AND($L849=1,AND(对接源_01水果!$X849="自备筐",N(对接源_01水果!$V849)&lt;&gt;0)),1,0)</f>
        <v>0</v>
      </c>
      <c r="W849" s="3">
        <f t="shared" si="235"/>
        <v>8</v>
      </c>
      <c r="X849" s="3">
        <f>IF(AND($L849=1,AND(对接源_01水果!$X849="自备筐",N(对接源_01水果!$T849)&lt;&gt;0)),1,0)</f>
        <v>0</v>
      </c>
      <c r="Y849" s="3">
        <f t="shared" si="236"/>
        <v>0</v>
      </c>
      <c r="Z849" s="3">
        <f>IF(AND($M849=1,对接源_01水果!$D849="原料入库"),1,0)</f>
        <v>0</v>
      </c>
      <c r="AA849" s="3">
        <f t="shared" si="237"/>
        <v>24</v>
      </c>
      <c r="AB849" s="3">
        <f>IF(AND($M849=1,LEFT(对接源_01水果!$D849,4)="原料出库"),1,0)</f>
        <v>0</v>
      </c>
      <c r="AC849" s="3">
        <f t="shared" si="238"/>
        <v>0</v>
      </c>
      <c r="AD849" s="3">
        <f>IF(AND($M849=1,LEFT(对接源_01水果!$D849,4)="成品出库"),1,0)</f>
        <v>0</v>
      </c>
      <c r="AE849" s="3">
        <f t="shared" si="239"/>
        <v>0</v>
      </c>
      <c r="AF849" s="3">
        <f>IF(AND($N849=1,AND(LEFT(对接源_01水果!$D849,4)="包装物料",N(对接源_01水果!$K849)&lt;&gt;0)),1,0)</f>
        <v>0</v>
      </c>
      <c r="AG849" s="3">
        <f t="shared" si="240"/>
        <v>0</v>
      </c>
      <c r="AH849" s="3">
        <f>IF(AND($N849=1,AND(对接源_01水果!$D849="周转筐－销售出库",N(对接源_01水果!$K849)&lt;&gt;0)),1,0)</f>
        <v>0</v>
      </c>
      <c r="AI849" s="3">
        <f t="shared" si="241"/>
        <v>0</v>
      </c>
      <c r="AJ849" s="7"/>
      <c r="AL849" s="3">
        <f>IF(OR($AL$1="",对接源_01水果!$Y849="",对接源_01水果!$Y849&lt;&gt;$AL$1,对接源_01水果!$B849="",N(对接源_01水果!$AJ849)&lt;=0),0,IF(OR(N(对接源_01水果!$B849)&lt;$AL$2,N(对接源_01水果!$B849)&gt;$AL$3),0,1))</f>
        <v>0</v>
      </c>
      <c r="AM849" s="3">
        <f t="shared" si="242"/>
        <v>1</v>
      </c>
      <c r="AN849" s="3" t="str">
        <f>IF(对接源_01水果!$AC849="","",对接源_01水果!$AC849)</f>
        <v/>
      </c>
      <c r="AO849" s="3">
        <f t="shared" si="243"/>
        <v>0</v>
      </c>
      <c r="AP849" s="3">
        <f t="shared" si="244"/>
        <v>8</v>
      </c>
      <c r="AR849">
        <f t="shared" si="245"/>
        <v>0</v>
      </c>
      <c r="AS849">
        <f t="shared" si="246"/>
        <v>0</v>
      </c>
    </row>
    <row r="850" ht="14.25" customHeight="1" spans="1:45">
      <c r="A850" s="3" t="str">
        <f>IF(对接源_01水果!$C850="","",对接源_01水果!$C850)</f>
        <v/>
      </c>
      <c r="B850" s="3">
        <f t="shared" si="230"/>
        <v>0</v>
      </c>
      <c r="C850" s="3">
        <f t="shared" si="231"/>
        <v>18</v>
      </c>
      <c r="K850" s="3">
        <f>IF(OR($K$1="",对接源_01水果!$C850="",对接源_01水果!$C850&lt;&gt;$K$1,对接源_01水果!$B850=""),0,IF(OR(N(对接源_01水果!$B850)&lt;$K$2,N(对接源_01水果!$B850)&gt;$K$3),0,1))</f>
        <v>0</v>
      </c>
      <c r="L850" s="3">
        <f>IF(OR($L$1="",对接源_01水果!$C850="",对接源_01水果!$C850&lt;&gt;$L$1,对接源_01水果!$B850=""),0,IF(OR(N(对接源_01水果!$B850)&lt;$L$2,N(对接源_01水果!$B850)&gt;$L$3),0,1))</f>
        <v>0</v>
      </c>
      <c r="M850" s="3">
        <f>IF(OR($M$1="",对接源_01水果!$C850="",对接源_01水果!$C850&lt;&gt;$M$1,对接源_01水果!$B850=""),0,IF(OR(N(对接源_01水果!$B850)&lt;$M$2,N(对接源_01水果!$B850)&gt;$M$3),0,1))</f>
        <v>0</v>
      </c>
      <c r="N850" s="3">
        <f>IF(OR($N$1="",对接源_01水果!$C850="",对接源_01水果!$C850&lt;&gt;$N$1,对接源_01水果!$B850=""),0,IF(OR(N(对接源_01水果!$B850)&lt;$N$2,N(对接源_01水果!$B850)&gt;$N$3),0,1))</f>
        <v>0</v>
      </c>
      <c r="P850" s="3">
        <f>IF(AND($K850=1,AND(对接源_01水果!$X850="公司筐",N(对接源_01水果!$T850)&lt;&gt;0)),1,0)</f>
        <v>0</v>
      </c>
      <c r="Q850" s="3">
        <f t="shared" si="232"/>
        <v>0</v>
      </c>
      <c r="R850" s="3">
        <f>IF(AND($K850=1,AND(对接源_01水果!$X850="公司筐",N(对接源_01水果!$U850)&lt;&gt;0)),1,0)</f>
        <v>0</v>
      </c>
      <c r="S850" s="3">
        <f t="shared" si="233"/>
        <v>0</v>
      </c>
      <c r="T850" s="3">
        <f>IF(AND($K850=1,AND(对接源_01水果!$X850="公司筐",N(对接源_01水果!$V850)&lt;&gt;0)),1,0)</f>
        <v>0</v>
      </c>
      <c r="U850" s="3">
        <f t="shared" si="234"/>
        <v>19</v>
      </c>
      <c r="V850" s="3">
        <f>IF(AND($L850=1,AND(对接源_01水果!$X850="自备筐",N(对接源_01水果!$V850)&lt;&gt;0)),1,0)</f>
        <v>0</v>
      </c>
      <c r="W850" s="3">
        <f t="shared" si="235"/>
        <v>8</v>
      </c>
      <c r="X850" s="3">
        <f>IF(AND($L850=1,AND(对接源_01水果!$X850="自备筐",N(对接源_01水果!$T850)&lt;&gt;0)),1,0)</f>
        <v>0</v>
      </c>
      <c r="Y850" s="3">
        <f t="shared" si="236"/>
        <v>0</v>
      </c>
      <c r="Z850" s="3">
        <f>IF(AND($M850=1,对接源_01水果!$D850="原料入库"),1,0)</f>
        <v>0</v>
      </c>
      <c r="AA850" s="3">
        <f t="shared" si="237"/>
        <v>24</v>
      </c>
      <c r="AB850" s="3">
        <f>IF(AND($M850=1,LEFT(对接源_01水果!$D850,4)="原料出库"),1,0)</f>
        <v>0</v>
      </c>
      <c r="AC850" s="3">
        <f t="shared" si="238"/>
        <v>0</v>
      </c>
      <c r="AD850" s="3">
        <f>IF(AND($M850=1,LEFT(对接源_01水果!$D850,4)="成品出库"),1,0)</f>
        <v>0</v>
      </c>
      <c r="AE850" s="3">
        <f t="shared" si="239"/>
        <v>0</v>
      </c>
      <c r="AF850" s="3">
        <f>IF(AND($N850=1,AND(LEFT(对接源_01水果!$D850,4)="包装物料",N(对接源_01水果!$K850)&lt;&gt;0)),1,0)</f>
        <v>0</v>
      </c>
      <c r="AG850" s="3">
        <f t="shared" si="240"/>
        <v>0</v>
      </c>
      <c r="AH850" s="3">
        <f>IF(AND($N850=1,AND(对接源_01水果!$D850="周转筐－销售出库",N(对接源_01水果!$K850)&lt;&gt;0)),1,0)</f>
        <v>0</v>
      </c>
      <c r="AI850" s="3">
        <f t="shared" si="241"/>
        <v>0</v>
      </c>
      <c r="AJ850" s="7"/>
      <c r="AL850" s="3">
        <f>IF(OR($AL$1="",对接源_01水果!$Y850="",对接源_01水果!$Y850&lt;&gt;$AL$1,对接源_01水果!$B850="",N(对接源_01水果!$AJ850)&lt;=0),0,IF(OR(N(对接源_01水果!$B850)&lt;$AL$2,N(对接源_01水果!$B850)&gt;$AL$3),0,1))</f>
        <v>0</v>
      </c>
      <c r="AM850" s="3">
        <f t="shared" si="242"/>
        <v>1</v>
      </c>
      <c r="AN850" s="3" t="str">
        <f>IF(对接源_01水果!$AC850="","",对接源_01水果!$AC850)</f>
        <v/>
      </c>
      <c r="AO850" s="3">
        <f t="shared" si="243"/>
        <v>0</v>
      </c>
      <c r="AP850" s="3">
        <f t="shared" si="244"/>
        <v>8</v>
      </c>
      <c r="AR850">
        <f t="shared" si="245"/>
        <v>0</v>
      </c>
      <c r="AS850">
        <f t="shared" si="246"/>
        <v>0</v>
      </c>
    </row>
    <row r="851" ht="14.25" customHeight="1" spans="1:45">
      <c r="A851" s="3" t="str">
        <f>IF(对接源_01水果!$C851="","",对接源_01水果!$C851)</f>
        <v/>
      </c>
      <c r="B851" s="3">
        <f t="shared" si="230"/>
        <v>0</v>
      </c>
      <c r="C851" s="3">
        <f t="shared" si="231"/>
        <v>18</v>
      </c>
      <c r="K851" s="3">
        <f>IF(OR($K$1="",对接源_01水果!$C851="",对接源_01水果!$C851&lt;&gt;$K$1,对接源_01水果!$B851=""),0,IF(OR(N(对接源_01水果!$B851)&lt;$K$2,N(对接源_01水果!$B851)&gt;$K$3),0,1))</f>
        <v>0</v>
      </c>
      <c r="L851" s="3">
        <f>IF(OR($L$1="",对接源_01水果!$C851="",对接源_01水果!$C851&lt;&gt;$L$1,对接源_01水果!$B851=""),0,IF(OR(N(对接源_01水果!$B851)&lt;$L$2,N(对接源_01水果!$B851)&gt;$L$3),0,1))</f>
        <v>0</v>
      </c>
      <c r="M851" s="3">
        <f>IF(OR($M$1="",对接源_01水果!$C851="",对接源_01水果!$C851&lt;&gt;$M$1,对接源_01水果!$B851=""),0,IF(OR(N(对接源_01水果!$B851)&lt;$M$2,N(对接源_01水果!$B851)&gt;$M$3),0,1))</f>
        <v>0</v>
      </c>
      <c r="N851" s="3">
        <f>IF(OR($N$1="",对接源_01水果!$C851="",对接源_01水果!$C851&lt;&gt;$N$1,对接源_01水果!$B851=""),0,IF(OR(N(对接源_01水果!$B851)&lt;$N$2,N(对接源_01水果!$B851)&gt;$N$3),0,1))</f>
        <v>0</v>
      </c>
      <c r="P851" s="3">
        <f>IF(AND($K851=1,AND(对接源_01水果!$X851="公司筐",N(对接源_01水果!$T851)&lt;&gt;0)),1,0)</f>
        <v>0</v>
      </c>
      <c r="Q851" s="3">
        <f t="shared" si="232"/>
        <v>0</v>
      </c>
      <c r="R851" s="3">
        <f>IF(AND($K851=1,AND(对接源_01水果!$X851="公司筐",N(对接源_01水果!$U851)&lt;&gt;0)),1,0)</f>
        <v>0</v>
      </c>
      <c r="S851" s="3">
        <f t="shared" si="233"/>
        <v>0</v>
      </c>
      <c r="T851" s="3">
        <f>IF(AND($K851=1,AND(对接源_01水果!$X851="公司筐",N(对接源_01水果!$V851)&lt;&gt;0)),1,0)</f>
        <v>0</v>
      </c>
      <c r="U851" s="3">
        <f t="shared" si="234"/>
        <v>19</v>
      </c>
      <c r="V851" s="3">
        <f>IF(AND($L851=1,AND(对接源_01水果!$X851="自备筐",N(对接源_01水果!$V851)&lt;&gt;0)),1,0)</f>
        <v>0</v>
      </c>
      <c r="W851" s="3">
        <f t="shared" si="235"/>
        <v>8</v>
      </c>
      <c r="X851" s="3">
        <f>IF(AND($L851=1,AND(对接源_01水果!$X851="自备筐",N(对接源_01水果!$T851)&lt;&gt;0)),1,0)</f>
        <v>0</v>
      </c>
      <c r="Y851" s="3">
        <f t="shared" si="236"/>
        <v>0</v>
      </c>
      <c r="Z851" s="3">
        <f>IF(AND($M851=1,对接源_01水果!$D851="原料入库"),1,0)</f>
        <v>0</v>
      </c>
      <c r="AA851" s="3">
        <f t="shared" si="237"/>
        <v>24</v>
      </c>
      <c r="AB851" s="3">
        <f>IF(AND($M851=1,LEFT(对接源_01水果!$D851,4)="原料出库"),1,0)</f>
        <v>0</v>
      </c>
      <c r="AC851" s="3">
        <f t="shared" si="238"/>
        <v>0</v>
      </c>
      <c r="AD851" s="3">
        <f>IF(AND($M851=1,LEFT(对接源_01水果!$D851,4)="成品出库"),1,0)</f>
        <v>0</v>
      </c>
      <c r="AE851" s="3">
        <f t="shared" si="239"/>
        <v>0</v>
      </c>
      <c r="AF851" s="3">
        <f>IF(AND($N851=1,AND(LEFT(对接源_01水果!$D851,4)="包装物料",N(对接源_01水果!$K851)&lt;&gt;0)),1,0)</f>
        <v>0</v>
      </c>
      <c r="AG851" s="3">
        <f t="shared" si="240"/>
        <v>0</v>
      </c>
      <c r="AH851" s="3">
        <f>IF(AND($N851=1,AND(对接源_01水果!$D851="周转筐－销售出库",N(对接源_01水果!$K851)&lt;&gt;0)),1,0)</f>
        <v>0</v>
      </c>
      <c r="AI851" s="3">
        <f t="shared" si="241"/>
        <v>0</v>
      </c>
      <c r="AJ851" s="7"/>
      <c r="AL851" s="3">
        <f>IF(OR($AL$1="",对接源_01水果!$Y851="",对接源_01水果!$Y851&lt;&gt;$AL$1,对接源_01水果!$B851="",N(对接源_01水果!$AJ851)&lt;=0),0,IF(OR(N(对接源_01水果!$B851)&lt;$AL$2,N(对接源_01水果!$B851)&gt;$AL$3),0,1))</f>
        <v>0</v>
      </c>
      <c r="AM851" s="3">
        <f t="shared" si="242"/>
        <v>1</v>
      </c>
      <c r="AN851" s="3" t="str">
        <f>IF(对接源_01水果!$AC851="","",对接源_01水果!$AC851)</f>
        <v/>
      </c>
      <c r="AO851" s="3">
        <f t="shared" si="243"/>
        <v>0</v>
      </c>
      <c r="AP851" s="3">
        <f t="shared" si="244"/>
        <v>8</v>
      </c>
      <c r="AR851">
        <f t="shared" si="245"/>
        <v>0</v>
      </c>
      <c r="AS851">
        <f t="shared" si="246"/>
        <v>0</v>
      </c>
    </row>
    <row r="852" ht="14.25" customHeight="1" spans="1:45">
      <c r="A852" s="3" t="str">
        <f>IF(对接源_01水果!$C852="","",对接源_01水果!$C852)</f>
        <v/>
      </c>
      <c r="B852" s="3">
        <f t="shared" si="230"/>
        <v>0</v>
      </c>
      <c r="C852" s="3">
        <f t="shared" si="231"/>
        <v>18</v>
      </c>
      <c r="K852" s="3">
        <f>IF(OR($K$1="",对接源_01水果!$C852="",对接源_01水果!$C852&lt;&gt;$K$1,对接源_01水果!$B852=""),0,IF(OR(N(对接源_01水果!$B852)&lt;$K$2,N(对接源_01水果!$B852)&gt;$K$3),0,1))</f>
        <v>0</v>
      </c>
      <c r="L852" s="3">
        <f>IF(OR($L$1="",对接源_01水果!$C852="",对接源_01水果!$C852&lt;&gt;$L$1,对接源_01水果!$B852=""),0,IF(OR(N(对接源_01水果!$B852)&lt;$L$2,N(对接源_01水果!$B852)&gt;$L$3),0,1))</f>
        <v>0</v>
      </c>
      <c r="M852" s="3">
        <f>IF(OR($M$1="",对接源_01水果!$C852="",对接源_01水果!$C852&lt;&gt;$M$1,对接源_01水果!$B852=""),0,IF(OR(N(对接源_01水果!$B852)&lt;$M$2,N(对接源_01水果!$B852)&gt;$M$3),0,1))</f>
        <v>0</v>
      </c>
      <c r="N852" s="3">
        <f>IF(OR($N$1="",对接源_01水果!$C852="",对接源_01水果!$C852&lt;&gt;$N$1,对接源_01水果!$B852=""),0,IF(OR(N(对接源_01水果!$B852)&lt;$N$2,N(对接源_01水果!$B852)&gt;$N$3),0,1))</f>
        <v>0</v>
      </c>
      <c r="P852" s="3">
        <f>IF(AND($K852=1,AND(对接源_01水果!$X852="公司筐",N(对接源_01水果!$T852)&lt;&gt;0)),1,0)</f>
        <v>0</v>
      </c>
      <c r="Q852" s="3">
        <f t="shared" si="232"/>
        <v>0</v>
      </c>
      <c r="R852" s="3">
        <f>IF(AND($K852=1,AND(对接源_01水果!$X852="公司筐",N(对接源_01水果!$U852)&lt;&gt;0)),1,0)</f>
        <v>0</v>
      </c>
      <c r="S852" s="3">
        <f t="shared" si="233"/>
        <v>0</v>
      </c>
      <c r="T852" s="3">
        <f>IF(AND($K852=1,AND(对接源_01水果!$X852="公司筐",N(对接源_01水果!$V852)&lt;&gt;0)),1,0)</f>
        <v>0</v>
      </c>
      <c r="U852" s="3">
        <f t="shared" si="234"/>
        <v>19</v>
      </c>
      <c r="V852" s="3">
        <f>IF(AND($L852=1,AND(对接源_01水果!$X852="自备筐",N(对接源_01水果!$V852)&lt;&gt;0)),1,0)</f>
        <v>0</v>
      </c>
      <c r="W852" s="3">
        <f t="shared" si="235"/>
        <v>8</v>
      </c>
      <c r="X852" s="3">
        <f>IF(AND($L852=1,AND(对接源_01水果!$X852="自备筐",N(对接源_01水果!$T852)&lt;&gt;0)),1,0)</f>
        <v>0</v>
      </c>
      <c r="Y852" s="3">
        <f t="shared" si="236"/>
        <v>0</v>
      </c>
      <c r="Z852" s="3">
        <f>IF(AND($M852=1,对接源_01水果!$D852="原料入库"),1,0)</f>
        <v>0</v>
      </c>
      <c r="AA852" s="3">
        <f t="shared" si="237"/>
        <v>24</v>
      </c>
      <c r="AB852" s="3">
        <f>IF(AND($M852=1,LEFT(对接源_01水果!$D852,4)="原料出库"),1,0)</f>
        <v>0</v>
      </c>
      <c r="AC852" s="3">
        <f t="shared" si="238"/>
        <v>0</v>
      </c>
      <c r="AD852" s="3">
        <f>IF(AND($M852=1,LEFT(对接源_01水果!$D852,4)="成品出库"),1,0)</f>
        <v>0</v>
      </c>
      <c r="AE852" s="3">
        <f t="shared" si="239"/>
        <v>0</v>
      </c>
      <c r="AF852" s="3">
        <f>IF(AND($N852=1,AND(LEFT(对接源_01水果!$D852,4)="包装物料",N(对接源_01水果!$K852)&lt;&gt;0)),1,0)</f>
        <v>0</v>
      </c>
      <c r="AG852" s="3">
        <f t="shared" si="240"/>
        <v>0</v>
      </c>
      <c r="AH852" s="3">
        <f>IF(AND($N852=1,AND(对接源_01水果!$D852="周转筐－销售出库",N(对接源_01水果!$K852)&lt;&gt;0)),1,0)</f>
        <v>0</v>
      </c>
      <c r="AI852" s="3">
        <f t="shared" si="241"/>
        <v>0</v>
      </c>
      <c r="AJ852" s="7"/>
      <c r="AL852" s="3">
        <f>IF(OR($AL$1="",对接源_01水果!$Y852="",对接源_01水果!$Y852&lt;&gt;$AL$1,对接源_01水果!$B852="",N(对接源_01水果!$AJ852)&lt;=0),0,IF(OR(N(对接源_01水果!$B852)&lt;$AL$2,N(对接源_01水果!$B852)&gt;$AL$3),0,1))</f>
        <v>0</v>
      </c>
      <c r="AM852" s="3">
        <f t="shared" si="242"/>
        <v>1</v>
      </c>
      <c r="AN852" s="3" t="str">
        <f>IF(对接源_01水果!$AC852="","",对接源_01水果!$AC852)</f>
        <v/>
      </c>
      <c r="AO852" s="3">
        <f t="shared" si="243"/>
        <v>0</v>
      </c>
      <c r="AP852" s="3">
        <f t="shared" si="244"/>
        <v>8</v>
      </c>
      <c r="AR852">
        <f t="shared" si="245"/>
        <v>0</v>
      </c>
      <c r="AS852">
        <f t="shared" si="246"/>
        <v>0</v>
      </c>
    </row>
    <row r="853" ht="14.25" customHeight="1" spans="1:45">
      <c r="A853" s="3" t="str">
        <f>IF(对接源_01水果!$C853="","",对接源_01水果!$C853)</f>
        <v/>
      </c>
      <c r="B853" s="3">
        <f t="shared" si="230"/>
        <v>0</v>
      </c>
      <c r="C853" s="3">
        <f t="shared" si="231"/>
        <v>18</v>
      </c>
      <c r="K853" s="3">
        <f>IF(OR($K$1="",对接源_01水果!$C853="",对接源_01水果!$C853&lt;&gt;$K$1,对接源_01水果!$B853=""),0,IF(OR(N(对接源_01水果!$B853)&lt;$K$2,N(对接源_01水果!$B853)&gt;$K$3),0,1))</f>
        <v>0</v>
      </c>
      <c r="L853" s="3">
        <f>IF(OR($L$1="",对接源_01水果!$C853="",对接源_01水果!$C853&lt;&gt;$L$1,对接源_01水果!$B853=""),0,IF(OR(N(对接源_01水果!$B853)&lt;$L$2,N(对接源_01水果!$B853)&gt;$L$3),0,1))</f>
        <v>0</v>
      </c>
      <c r="M853" s="3">
        <f>IF(OR($M$1="",对接源_01水果!$C853="",对接源_01水果!$C853&lt;&gt;$M$1,对接源_01水果!$B853=""),0,IF(OR(N(对接源_01水果!$B853)&lt;$M$2,N(对接源_01水果!$B853)&gt;$M$3),0,1))</f>
        <v>0</v>
      </c>
      <c r="N853" s="3">
        <f>IF(OR($N$1="",对接源_01水果!$C853="",对接源_01水果!$C853&lt;&gt;$N$1,对接源_01水果!$B853=""),0,IF(OR(N(对接源_01水果!$B853)&lt;$N$2,N(对接源_01水果!$B853)&gt;$N$3),0,1))</f>
        <v>0</v>
      </c>
      <c r="P853" s="3">
        <f>IF(AND($K853=1,AND(对接源_01水果!$X853="公司筐",N(对接源_01水果!$T853)&lt;&gt;0)),1,0)</f>
        <v>0</v>
      </c>
      <c r="Q853" s="3">
        <f t="shared" si="232"/>
        <v>0</v>
      </c>
      <c r="R853" s="3">
        <f>IF(AND($K853=1,AND(对接源_01水果!$X853="公司筐",N(对接源_01水果!$U853)&lt;&gt;0)),1,0)</f>
        <v>0</v>
      </c>
      <c r="S853" s="3">
        <f t="shared" si="233"/>
        <v>0</v>
      </c>
      <c r="T853" s="3">
        <f>IF(AND($K853=1,AND(对接源_01水果!$X853="公司筐",N(对接源_01水果!$V853)&lt;&gt;0)),1,0)</f>
        <v>0</v>
      </c>
      <c r="U853" s="3">
        <f t="shared" si="234"/>
        <v>19</v>
      </c>
      <c r="V853" s="3">
        <f>IF(AND($L853=1,AND(对接源_01水果!$X853="自备筐",N(对接源_01水果!$V853)&lt;&gt;0)),1,0)</f>
        <v>0</v>
      </c>
      <c r="W853" s="3">
        <f t="shared" si="235"/>
        <v>8</v>
      </c>
      <c r="X853" s="3">
        <f>IF(AND($L853=1,AND(对接源_01水果!$X853="自备筐",N(对接源_01水果!$T853)&lt;&gt;0)),1,0)</f>
        <v>0</v>
      </c>
      <c r="Y853" s="3">
        <f t="shared" si="236"/>
        <v>0</v>
      </c>
      <c r="Z853" s="3">
        <f>IF(AND($M853=1,对接源_01水果!$D853="原料入库"),1,0)</f>
        <v>0</v>
      </c>
      <c r="AA853" s="3">
        <f t="shared" si="237"/>
        <v>24</v>
      </c>
      <c r="AB853" s="3">
        <f>IF(AND($M853=1,LEFT(对接源_01水果!$D853,4)="原料出库"),1,0)</f>
        <v>0</v>
      </c>
      <c r="AC853" s="3">
        <f t="shared" si="238"/>
        <v>0</v>
      </c>
      <c r="AD853" s="3">
        <f>IF(AND($M853=1,LEFT(对接源_01水果!$D853,4)="成品出库"),1,0)</f>
        <v>0</v>
      </c>
      <c r="AE853" s="3">
        <f t="shared" si="239"/>
        <v>0</v>
      </c>
      <c r="AF853" s="3">
        <f>IF(AND($N853=1,AND(LEFT(对接源_01水果!$D853,4)="包装物料",N(对接源_01水果!$K853)&lt;&gt;0)),1,0)</f>
        <v>0</v>
      </c>
      <c r="AG853" s="3">
        <f t="shared" si="240"/>
        <v>0</v>
      </c>
      <c r="AH853" s="3">
        <f>IF(AND($N853=1,AND(对接源_01水果!$D853="周转筐－销售出库",N(对接源_01水果!$K853)&lt;&gt;0)),1,0)</f>
        <v>0</v>
      </c>
      <c r="AI853" s="3">
        <f t="shared" si="241"/>
        <v>0</v>
      </c>
      <c r="AJ853" s="7"/>
      <c r="AL853" s="3">
        <f>IF(OR($AL$1="",对接源_01水果!$Y853="",对接源_01水果!$Y853&lt;&gt;$AL$1,对接源_01水果!$B853="",N(对接源_01水果!$AJ853)&lt;=0),0,IF(OR(N(对接源_01水果!$B853)&lt;$AL$2,N(对接源_01水果!$B853)&gt;$AL$3),0,1))</f>
        <v>0</v>
      </c>
      <c r="AM853" s="3">
        <f t="shared" si="242"/>
        <v>1</v>
      </c>
      <c r="AN853" s="3" t="str">
        <f>IF(对接源_01水果!$AC853="","",对接源_01水果!$AC853)</f>
        <v/>
      </c>
      <c r="AO853" s="3">
        <f t="shared" si="243"/>
        <v>0</v>
      </c>
      <c r="AP853" s="3">
        <f t="shared" si="244"/>
        <v>8</v>
      </c>
      <c r="AR853">
        <f t="shared" si="245"/>
        <v>0</v>
      </c>
      <c r="AS853">
        <f t="shared" si="246"/>
        <v>0</v>
      </c>
    </row>
    <row r="854" ht="14.25" customHeight="1" spans="1:45">
      <c r="A854" s="3" t="str">
        <f>IF(对接源_01水果!$C854="","",对接源_01水果!$C854)</f>
        <v/>
      </c>
      <c r="B854" s="3">
        <f t="shared" si="230"/>
        <v>0</v>
      </c>
      <c r="C854" s="3">
        <f t="shared" si="231"/>
        <v>18</v>
      </c>
      <c r="K854" s="3">
        <f>IF(OR($K$1="",对接源_01水果!$C854="",对接源_01水果!$C854&lt;&gt;$K$1,对接源_01水果!$B854=""),0,IF(OR(N(对接源_01水果!$B854)&lt;$K$2,N(对接源_01水果!$B854)&gt;$K$3),0,1))</f>
        <v>0</v>
      </c>
      <c r="L854" s="3">
        <f>IF(OR($L$1="",对接源_01水果!$C854="",对接源_01水果!$C854&lt;&gt;$L$1,对接源_01水果!$B854=""),0,IF(OR(N(对接源_01水果!$B854)&lt;$L$2,N(对接源_01水果!$B854)&gt;$L$3),0,1))</f>
        <v>0</v>
      </c>
      <c r="M854" s="3">
        <f>IF(OR($M$1="",对接源_01水果!$C854="",对接源_01水果!$C854&lt;&gt;$M$1,对接源_01水果!$B854=""),0,IF(OR(N(对接源_01水果!$B854)&lt;$M$2,N(对接源_01水果!$B854)&gt;$M$3),0,1))</f>
        <v>0</v>
      </c>
      <c r="N854" s="3">
        <f>IF(OR($N$1="",对接源_01水果!$C854="",对接源_01水果!$C854&lt;&gt;$N$1,对接源_01水果!$B854=""),0,IF(OR(N(对接源_01水果!$B854)&lt;$N$2,N(对接源_01水果!$B854)&gt;$N$3),0,1))</f>
        <v>0</v>
      </c>
      <c r="P854" s="3">
        <f>IF(AND($K854=1,AND(对接源_01水果!$X854="公司筐",N(对接源_01水果!$T854)&lt;&gt;0)),1,0)</f>
        <v>0</v>
      </c>
      <c r="Q854" s="3">
        <f t="shared" si="232"/>
        <v>0</v>
      </c>
      <c r="R854" s="3">
        <f>IF(AND($K854=1,AND(对接源_01水果!$X854="公司筐",N(对接源_01水果!$U854)&lt;&gt;0)),1,0)</f>
        <v>0</v>
      </c>
      <c r="S854" s="3">
        <f t="shared" si="233"/>
        <v>0</v>
      </c>
      <c r="T854" s="3">
        <f>IF(AND($K854=1,AND(对接源_01水果!$X854="公司筐",N(对接源_01水果!$V854)&lt;&gt;0)),1,0)</f>
        <v>0</v>
      </c>
      <c r="U854" s="3">
        <f t="shared" si="234"/>
        <v>19</v>
      </c>
      <c r="V854" s="3">
        <f>IF(AND($L854=1,AND(对接源_01水果!$X854="自备筐",N(对接源_01水果!$V854)&lt;&gt;0)),1,0)</f>
        <v>0</v>
      </c>
      <c r="W854" s="3">
        <f t="shared" si="235"/>
        <v>8</v>
      </c>
      <c r="X854" s="3">
        <f>IF(AND($L854=1,AND(对接源_01水果!$X854="自备筐",N(对接源_01水果!$T854)&lt;&gt;0)),1,0)</f>
        <v>0</v>
      </c>
      <c r="Y854" s="3">
        <f t="shared" si="236"/>
        <v>0</v>
      </c>
      <c r="Z854" s="3">
        <f>IF(AND($M854=1,对接源_01水果!$D854="原料入库"),1,0)</f>
        <v>0</v>
      </c>
      <c r="AA854" s="3">
        <f t="shared" si="237"/>
        <v>24</v>
      </c>
      <c r="AB854" s="3">
        <f>IF(AND($M854=1,LEFT(对接源_01水果!$D854,4)="原料出库"),1,0)</f>
        <v>0</v>
      </c>
      <c r="AC854" s="3">
        <f t="shared" si="238"/>
        <v>0</v>
      </c>
      <c r="AD854" s="3">
        <f>IF(AND($M854=1,LEFT(对接源_01水果!$D854,4)="成品出库"),1,0)</f>
        <v>0</v>
      </c>
      <c r="AE854" s="3">
        <f t="shared" si="239"/>
        <v>0</v>
      </c>
      <c r="AF854" s="3">
        <f>IF(AND($N854=1,AND(LEFT(对接源_01水果!$D854,4)="包装物料",N(对接源_01水果!$K854)&lt;&gt;0)),1,0)</f>
        <v>0</v>
      </c>
      <c r="AG854" s="3">
        <f t="shared" si="240"/>
        <v>0</v>
      </c>
      <c r="AH854" s="3">
        <f>IF(AND($N854=1,AND(对接源_01水果!$D854="周转筐－销售出库",N(对接源_01水果!$K854)&lt;&gt;0)),1,0)</f>
        <v>0</v>
      </c>
      <c r="AI854" s="3">
        <f t="shared" si="241"/>
        <v>0</v>
      </c>
      <c r="AJ854" s="7"/>
      <c r="AL854" s="3">
        <f>IF(OR($AL$1="",对接源_01水果!$Y854="",对接源_01水果!$Y854&lt;&gt;$AL$1,对接源_01水果!$B854="",N(对接源_01水果!$AJ854)&lt;=0),0,IF(OR(N(对接源_01水果!$B854)&lt;$AL$2,N(对接源_01水果!$B854)&gt;$AL$3),0,1))</f>
        <v>0</v>
      </c>
      <c r="AM854" s="3">
        <f t="shared" si="242"/>
        <v>1</v>
      </c>
      <c r="AN854" s="3" t="str">
        <f>IF(对接源_01水果!$AC854="","",对接源_01水果!$AC854)</f>
        <v/>
      </c>
      <c r="AO854" s="3">
        <f t="shared" si="243"/>
        <v>0</v>
      </c>
      <c r="AP854" s="3">
        <f t="shared" si="244"/>
        <v>8</v>
      </c>
      <c r="AR854">
        <f t="shared" si="245"/>
        <v>0</v>
      </c>
      <c r="AS854">
        <f t="shared" si="246"/>
        <v>0</v>
      </c>
    </row>
    <row r="855" ht="14.25" customHeight="1" spans="1:45">
      <c r="A855" s="3" t="str">
        <f>IF(对接源_01水果!$C855="","",对接源_01水果!$C855)</f>
        <v/>
      </c>
      <c r="B855" s="3">
        <f t="shared" si="230"/>
        <v>0</v>
      </c>
      <c r="C855" s="3">
        <f t="shared" si="231"/>
        <v>18</v>
      </c>
      <c r="K855" s="3">
        <f>IF(OR($K$1="",对接源_01水果!$C855="",对接源_01水果!$C855&lt;&gt;$K$1,对接源_01水果!$B855=""),0,IF(OR(N(对接源_01水果!$B855)&lt;$K$2,N(对接源_01水果!$B855)&gt;$K$3),0,1))</f>
        <v>0</v>
      </c>
      <c r="L855" s="3">
        <f>IF(OR($L$1="",对接源_01水果!$C855="",对接源_01水果!$C855&lt;&gt;$L$1,对接源_01水果!$B855=""),0,IF(OR(N(对接源_01水果!$B855)&lt;$L$2,N(对接源_01水果!$B855)&gt;$L$3),0,1))</f>
        <v>0</v>
      </c>
      <c r="M855" s="3">
        <f>IF(OR($M$1="",对接源_01水果!$C855="",对接源_01水果!$C855&lt;&gt;$M$1,对接源_01水果!$B855=""),0,IF(OR(N(对接源_01水果!$B855)&lt;$M$2,N(对接源_01水果!$B855)&gt;$M$3),0,1))</f>
        <v>0</v>
      </c>
      <c r="N855" s="3">
        <f>IF(OR($N$1="",对接源_01水果!$C855="",对接源_01水果!$C855&lt;&gt;$N$1,对接源_01水果!$B855=""),0,IF(OR(N(对接源_01水果!$B855)&lt;$N$2,N(对接源_01水果!$B855)&gt;$N$3),0,1))</f>
        <v>0</v>
      </c>
      <c r="P855" s="3">
        <f>IF(AND($K855=1,AND(对接源_01水果!$X855="公司筐",N(对接源_01水果!$T855)&lt;&gt;0)),1,0)</f>
        <v>0</v>
      </c>
      <c r="Q855" s="3">
        <f t="shared" si="232"/>
        <v>0</v>
      </c>
      <c r="R855" s="3">
        <f>IF(AND($K855=1,AND(对接源_01水果!$X855="公司筐",N(对接源_01水果!$U855)&lt;&gt;0)),1,0)</f>
        <v>0</v>
      </c>
      <c r="S855" s="3">
        <f t="shared" si="233"/>
        <v>0</v>
      </c>
      <c r="T855" s="3">
        <f>IF(AND($K855=1,AND(对接源_01水果!$X855="公司筐",N(对接源_01水果!$V855)&lt;&gt;0)),1,0)</f>
        <v>0</v>
      </c>
      <c r="U855" s="3">
        <f t="shared" si="234"/>
        <v>19</v>
      </c>
      <c r="V855" s="3">
        <f>IF(AND($L855=1,AND(对接源_01水果!$X855="自备筐",N(对接源_01水果!$V855)&lt;&gt;0)),1,0)</f>
        <v>0</v>
      </c>
      <c r="W855" s="3">
        <f t="shared" si="235"/>
        <v>8</v>
      </c>
      <c r="X855" s="3">
        <f>IF(AND($L855=1,AND(对接源_01水果!$X855="自备筐",N(对接源_01水果!$T855)&lt;&gt;0)),1,0)</f>
        <v>0</v>
      </c>
      <c r="Y855" s="3">
        <f t="shared" si="236"/>
        <v>0</v>
      </c>
      <c r="Z855" s="3">
        <f>IF(AND($M855=1,对接源_01水果!$D855="原料入库"),1,0)</f>
        <v>0</v>
      </c>
      <c r="AA855" s="3">
        <f t="shared" si="237"/>
        <v>24</v>
      </c>
      <c r="AB855" s="3">
        <f>IF(AND($M855=1,LEFT(对接源_01水果!$D855,4)="原料出库"),1,0)</f>
        <v>0</v>
      </c>
      <c r="AC855" s="3">
        <f t="shared" si="238"/>
        <v>0</v>
      </c>
      <c r="AD855" s="3">
        <f>IF(AND($M855=1,LEFT(对接源_01水果!$D855,4)="成品出库"),1,0)</f>
        <v>0</v>
      </c>
      <c r="AE855" s="3">
        <f t="shared" si="239"/>
        <v>0</v>
      </c>
      <c r="AF855" s="3">
        <f>IF(AND($N855=1,AND(LEFT(对接源_01水果!$D855,4)="包装物料",N(对接源_01水果!$K855)&lt;&gt;0)),1,0)</f>
        <v>0</v>
      </c>
      <c r="AG855" s="3">
        <f t="shared" si="240"/>
        <v>0</v>
      </c>
      <c r="AH855" s="3">
        <f>IF(AND($N855=1,AND(对接源_01水果!$D855="周转筐－销售出库",N(对接源_01水果!$K855)&lt;&gt;0)),1,0)</f>
        <v>0</v>
      </c>
      <c r="AI855" s="3">
        <f t="shared" si="241"/>
        <v>0</v>
      </c>
      <c r="AJ855" s="7"/>
      <c r="AL855" s="3">
        <f>IF(OR($AL$1="",对接源_01水果!$Y855="",对接源_01水果!$Y855&lt;&gt;$AL$1,对接源_01水果!$B855="",N(对接源_01水果!$AJ855)&lt;=0),0,IF(OR(N(对接源_01水果!$B855)&lt;$AL$2,N(对接源_01水果!$B855)&gt;$AL$3),0,1))</f>
        <v>0</v>
      </c>
      <c r="AM855" s="3">
        <f t="shared" si="242"/>
        <v>1</v>
      </c>
      <c r="AN855" s="3" t="str">
        <f>IF(对接源_01水果!$AC855="","",对接源_01水果!$AC855)</f>
        <v/>
      </c>
      <c r="AO855" s="3">
        <f t="shared" si="243"/>
        <v>0</v>
      </c>
      <c r="AP855" s="3">
        <f t="shared" si="244"/>
        <v>8</v>
      </c>
      <c r="AR855">
        <f t="shared" si="245"/>
        <v>0</v>
      </c>
      <c r="AS855">
        <f t="shared" si="246"/>
        <v>0</v>
      </c>
    </row>
    <row r="856" ht="14.25" customHeight="1" spans="1:45">
      <c r="A856" s="3" t="str">
        <f>IF(对接源_01水果!$C856="","",对接源_01水果!$C856)</f>
        <v/>
      </c>
      <c r="B856" s="3">
        <f t="shared" si="230"/>
        <v>0</v>
      </c>
      <c r="C856" s="3">
        <f t="shared" si="231"/>
        <v>18</v>
      </c>
      <c r="K856" s="3">
        <f>IF(OR($K$1="",对接源_01水果!$C856="",对接源_01水果!$C856&lt;&gt;$K$1,对接源_01水果!$B856=""),0,IF(OR(N(对接源_01水果!$B856)&lt;$K$2,N(对接源_01水果!$B856)&gt;$K$3),0,1))</f>
        <v>0</v>
      </c>
      <c r="L856" s="3">
        <f>IF(OR($L$1="",对接源_01水果!$C856="",对接源_01水果!$C856&lt;&gt;$L$1,对接源_01水果!$B856=""),0,IF(OR(N(对接源_01水果!$B856)&lt;$L$2,N(对接源_01水果!$B856)&gt;$L$3),0,1))</f>
        <v>0</v>
      </c>
      <c r="M856" s="3">
        <f>IF(OR($M$1="",对接源_01水果!$C856="",对接源_01水果!$C856&lt;&gt;$M$1,对接源_01水果!$B856=""),0,IF(OR(N(对接源_01水果!$B856)&lt;$M$2,N(对接源_01水果!$B856)&gt;$M$3),0,1))</f>
        <v>0</v>
      </c>
      <c r="N856" s="3">
        <f>IF(OR($N$1="",对接源_01水果!$C856="",对接源_01水果!$C856&lt;&gt;$N$1,对接源_01水果!$B856=""),0,IF(OR(N(对接源_01水果!$B856)&lt;$N$2,N(对接源_01水果!$B856)&gt;$N$3),0,1))</f>
        <v>0</v>
      </c>
      <c r="P856" s="3">
        <f>IF(AND($K856=1,AND(对接源_01水果!$X856="公司筐",N(对接源_01水果!$T856)&lt;&gt;0)),1,0)</f>
        <v>0</v>
      </c>
      <c r="Q856" s="3">
        <f t="shared" si="232"/>
        <v>0</v>
      </c>
      <c r="R856" s="3">
        <f>IF(AND($K856=1,AND(对接源_01水果!$X856="公司筐",N(对接源_01水果!$U856)&lt;&gt;0)),1,0)</f>
        <v>0</v>
      </c>
      <c r="S856" s="3">
        <f t="shared" si="233"/>
        <v>0</v>
      </c>
      <c r="T856" s="3">
        <f>IF(AND($K856=1,AND(对接源_01水果!$X856="公司筐",N(对接源_01水果!$V856)&lt;&gt;0)),1,0)</f>
        <v>0</v>
      </c>
      <c r="U856" s="3">
        <f t="shared" si="234"/>
        <v>19</v>
      </c>
      <c r="V856" s="3">
        <f>IF(AND($L856=1,AND(对接源_01水果!$X856="自备筐",N(对接源_01水果!$V856)&lt;&gt;0)),1,0)</f>
        <v>0</v>
      </c>
      <c r="W856" s="3">
        <f t="shared" si="235"/>
        <v>8</v>
      </c>
      <c r="X856" s="3">
        <f>IF(AND($L856=1,AND(对接源_01水果!$X856="自备筐",N(对接源_01水果!$T856)&lt;&gt;0)),1,0)</f>
        <v>0</v>
      </c>
      <c r="Y856" s="3">
        <f t="shared" si="236"/>
        <v>0</v>
      </c>
      <c r="Z856" s="3">
        <f>IF(AND($M856=1,对接源_01水果!$D856="原料入库"),1,0)</f>
        <v>0</v>
      </c>
      <c r="AA856" s="3">
        <f t="shared" si="237"/>
        <v>24</v>
      </c>
      <c r="AB856" s="3">
        <f>IF(AND($M856=1,LEFT(对接源_01水果!$D856,4)="原料出库"),1,0)</f>
        <v>0</v>
      </c>
      <c r="AC856" s="3">
        <f t="shared" si="238"/>
        <v>0</v>
      </c>
      <c r="AD856" s="3">
        <f>IF(AND($M856=1,LEFT(对接源_01水果!$D856,4)="成品出库"),1,0)</f>
        <v>0</v>
      </c>
      <c r="AE856" s="3">
        <f t="shared" si="239"/>
        <v>0</v>
      </c>
      <c r="AF856" s="3">
        <f>IF(AND($N856=1,AND(LEFT(对接源_01水果!$D856,4)="包装物料",N(对接源_01水果!$K856)&lt;&gt;0)),1,0)</f>
        <v>0</v>
      </c>
      <c r="AG856" s="3">
        <f t="shared" si="240"/>
        <v>0</v>
      </c>
      <c r="AH856" s="3">
        <f>IF(AND($N856=1,AND(对接源_01水果!$D856="周转筐－销售出库",N(对接源_01水果!$K856)&lt;&gt;0)),1,0)</f>
        <v>0</v>
      </c>
      <c r="AI856" s="3">
        <f t="shared" si="241"/>
        <v>0</v>
      </c>
      <c r="AJ856" s="7"/>
      <c r="AL856" s="3">
        <f>IF(OR($AL$1="",对接源_01水果!$Y856="",对接源_01水果!$Y856&lt;&gt;$AL$1,对接源_01水果!$B856="",N(对接源_01水果!$AJ856)&lt;=0),0,IF(OR(N(对接源_01水果!$B856)&lt;$AL$2,N(对接源_01水果!$B856)&gt;$AL$3),0,1))</f>
        <v>0</v>
      </c>
      <c r="AM856" s="3">
        <f t="shared" si="242"/>
        <v>1</v>
      </c>
      <c r="AN856" s="3" t="str">
        <f>IF(对接源_01水果!$AC856="","",对接源_01水果!$AC856)</f>
        <v/>
      </c>
      <c r="AO856" s="3">
        <f t="shared" si="243"/>
        <v>0</v>
      </c>
      <c r="AP856" s="3">
        <f t="shared" si="244"/>
        <v>8</v>
      </c>
      <c r="AR856">
        <f t="shared" si="245"/>
        <v>0</v>
      </c>
      <c r="AS856">
        <f t="shared" si="246"/>
        <v>0</v>
      </c>
    </row>
    <row r="857" ht="14.25" customHeight="1" spans="1:45">
      <c r="A857" s="3" t="str">
        <f>IF(对接源_01水果!$C857="","",对接源_01水果!$C857)</f>
        <v/>
      </c>
      <c r="B857" s="3">
        <f t="shared" si="230"/>
        <v>0</v>
      </c>
      <c r="C857" s="3">
        <f t="shared" si="231"/>
        <v>18</v>
      </c>
      <c r="K857" s="3">
        <f>IF(OR($K$1="",对接源_01水果!$C857="",对接源_01水果!$C857&lt;&gt;$K$1,对接源_01水果!$B857=""),0,IF(OR(N(对接源_01水果!$B857)&lt;$K$2,N(对接源_01水果!$B857)&gt;$K$3),0,1))</f>
        <v>0</v>
      </c>
      <c r="L857" s="3">
        <f>IF(OR($L$1="",对接源_01水果!$C857="",对接源_01水果!$C857&lt;&gt;$L$1,对接源_01水果!$B857=""),0,IF(OR(N(对接源_01水果!$B857)&lt;$L$2,N(对接源_01水果!$B857)&gt;$L$3),0,1))</f>
        <v>0</v>
      </c>
      <c r="M857" s="3">
        <f>IF(OR($M$1="",对接源_01水果!$C857="",对接源_01水果!$C857&lt;&gt;$M$1,对接源_01水果!$B857=""),0,IF(OR(N(对接源_01水果!$B857)&lt;$M$2,N(对接源_01水果!$B857)&gt;$M$3),0,1))</f>
        <v>0</v>
      </c>
      <c r="N857" s="3">
        <f>IF(OR($N$1="",对接源_01水果!$C857="",对接源_01水果!$C857&lt;&gt;$N$1,对接源_01水果!$B857=""),0,IF(OR(N(对接源_01水果!$B857)&lt;$N$2,N(对接源_01水果!$B857)&gt;$N$3),0,1))</f>
        <v>0</v>
      </c>
      <c r="P857" s="3">
        <f>IF(AND($K857=1,AND(对接源_01水果!$X857="公司筐",N(对接源_01水果!$T857)&lt;&gt;0)),1,0)</f>
        <v>0</v>
      </c>
      <c r="Q857" s="3">
        <f t="shared" si="232"/>
        <v>0</v>
      </c>
      <c r="R857" s="3">
        <f>IF(AND($K857=1,AND(对接源_01水果!$X857="公司筐",N(对接源_01水果!$U857)&lt;&gt;0)),1,0)</f>
        <v>0</v>
      </c>
      <c r="S857" s="3">
        <f t="shared" si="233"/>
        <v>0</v>
      </c>
      <c r="T857" s="3">
        <f>IF(AND($K857=1,AND(对接源_01水果!$X857="公司筐",N(对接源_01水果!$V857)&lt;&gt;0)),1,0)</f>
        <v>0</v>
      </c>
      <c r="U857" s="3">
        <f t="shared" si="234"/>
        <v>19</v>
      </c>
      <c r="V857" s="3">
        <f>IF(AND($L857=1,AND(对接源_01水果!$X857="自备筐",N(对接源_01水果!$V857)&lt;&gt;0)),1,0)</f>
        <v>0</v>
      </c>
      <c r="W857" s="3">
        <f t="shared" si="235"/>
        <v>8</v>
      </c>
      <c r="X857" s="3">
        <f>IF(AND($L857=1,AND(对接源_01水果!$X857="自备筐",N(对接源_01水果!$T857)&lt;&gt;0)),1,0)</f>
        <v>0</v>
      </c>
      <c r="Y857" s="3">
        <f t="shared" si="236"/>
        <v>0</v>
      </c>
      <c r="Z857" s="3">
        <f>IF(AND($M857=1,对接源_01水果!$D857="原料入库"),1,0)</f>
        <v>0</v>
      </c>
      <c r="AA857" s="3">
        <f t="shared" si="237"/>
        <v>24</v>
      </c>
      <c r="AB857" s="3">
        <f>IF(AND($M857=1,LEFT(对接源_01水果!$D857,4)="原料出库"),1,0)</f>
        <v>0</v>
      </c>
      <c r="AC857" s="3">
        <f t="shared" si="238"/>
        <v>0</v>
      </c>
      <c r="AD857" s="3">
        <f>IF(AND($M857=1,LEFT(对接源_01水果!$D857,4)="成品出库"),1,0)</f>
        <v>0</v>
      </c>
      <c r="AE857" s="3">
        <f t="shared" si="239"/>
        <v>0</v>
      </c>
      <c r="AF857" s="3">
        <f>IF(AND($N857=1,AND(LEFT(对接源_01水果!$D857,4)="包装物料",N(对接源_01水果!$K857)&lt;&gt;0)),1,0)</f>
        <v>0</v>
      </c>
      <c r="AG857" s="3">
        <f t="shared" si="240"/>
        <v>0</v>
      </c>
      <c r="AH857" s="3">
        <f>IF(AND($N857=1,AND(对接源_01水果!$D857="周转筐－销售出库",N(对接源_01水果!$K857)&lt;&gt;0)),1,0)</f>
        <v>0</v>
      </c>
      <c r="AI857" s="3">
        <f t="shared" si="241"/>
        <v>0</v>
      </c>
      <c r="AJ857" s="7"/>
      <c r="AL857" s="3">
        <f>IF(OR($AL$1="",对接源_01水果!$Y857="",对接源_01水果!$Y857&lt;&gt;$AL$1,对接源_01水果!$B857="",N(对接源_01水果!$AJ857)&lt;=0),0,IF(OR(N(对接源_01水果!$B857)&lt;$AL$2,N(对接源_01水果!$B857)&gt;$AL$3),0,1))</f>
        <v>0</v>
      </c>
      <c r="AM857" s="3">
        <f t="shared" si="242"/>
        <v>1</v>
      </c>
      <c r="AN857" s="3" t="str">
        <f>IF(对接源_01水果!$AC857="","",对接源_01水果!$AC857)</f>
        <v/>
      </c>
      <c r="AO857" s="3">
        <f t="shared" si="243"/>
        <v>0</v>
      </c>
      <c r="AP857" s="3">
        <f t="shared" si="244"/>
        <v>8</v>
      </c>
      <c r="AR857">
        <f t="shared" si="245"/>
        <v>0</v>
      </c>
      <c r="AS857">
        <f t="shared" si="246"/>
        <v>0</v>
      </c>
    </row>
    <row r="858" ht="14.25" customHeight="1" spans="1:45">
      <c r="A858" s="3" t="str">
        <f>IF(对接源_01水果!$C858="","",对接源_01水果!$C858)</f>
        <v/>
      </c>
      <c r="B858" s="3">
        <f t="shared" si="230"/>
        <v>0</v>
      </c>
      <c r="C858" s="3">
        <f t="shared" si="231"/>
        <v>18</v>
      </c>
      <c r="K858" s="3">
        <f>IF(OR($K$1="",对接源_01水果!$C858="",对接源_01水果!$C858&lt;&gt;$K$1,对接源_01水果!$B858=""),0,IF(OR(N(对接源_01水果!$B858)&lt;$K$2,N(对接源_01水果!$B858)&gt;$K$3),0,1))</f>
        <v>0</v>
      </c>
      <c r="L858" s="3">
        <f>IF(OR($L$1="",对接源_01水果!$C858="",对接源_01水果!$C858&lt;&gt;$L$1,对接源_01水果!$B858=""),0,IF(OR(N(对接源_01水果!$B858)&lt;$L$2,N(对接源_01水果!$B858)&gt;$L$3),0,1))</f>
        <v>0</v>
      </c>
      <c r="M858" s="3">
        <f>IF(OR($M$1="",对接源_01水果!$C858="",对接源_01水果!$C858&lt;&gt;$M$1,对接源_01水果!$B858=""),0,IF(OR(N(对接源_01水果!$B858)&lt;$M$2,N(对接源_01水果!$B858)&gt;$M$3),0,1))</f>
        <v>0</v>
      </c>
      <c r="N858" s="3">
        <f>IF(OR($N$1="",对接源_01水果!$C858="",对接源_01水果!$C858&lt;&gt;$N$1,对接源_01水果!$B858=""),0,IF(OR(N(对接源_01水果!$B858)&lt;$N$2,N(对接源_01水果!$B858)&gt;$N$3),0,1))</f>
        <v>0</v>
      </c>
      <c r="P858" s="3">
        <f>IF(AND($K858=1,AND(对接源_01水果!$X858="公司筐",N(对接源_01水果!$T858)&lt;&gt;0)),1,0)</f>
        <v>0</v>
      </c>
      <c r="Q858" s="3">
        <f t="shared" si="232"/>
        <v>0</v>
      </c>
      <c r="R858" s="3">
        <f>IF(AND($K858=1,AND(对接源_01水果!$X858="公司筐",N(对接源_01水果!$U858)&lt;&gt;0)),1,0)</f>
        <v>0</v>
      </c>
      <c r="S858" s="3">
        <f t="shared" si="233"/>
        <v>0</v>
      </c>
      <c r="T858" s="3">
        <f>IF(AND($K858=1,AND(对接源_01水果!$X858="公司筐",N(对接源_01水果!$V858)&lt;&gt;0)),1,0)</f>
        <v>0</v>
      </c>
      <c r="U858" s="3">
        <f t="shared" si="234"/>
        <v>19</v>
      </c>
      <c r="V858" s="3">
        <f>IF(AND($L858=1,AND(对接源_01水果!$X858="自备筐",N(对接源_01水果!$V858)&lt;&gt;0)),1,0)</f>
        <v>0</v>
      </c>
      <c r="W858" s="3">
        <f t="shared" si="235"/>
        <v>8</v>
      </c>
      <c r="X858" s="3">
        <f>IF(AND($L858=1,AND(对接源_01水果!$X858="自备筐",N(对接源_01水果!$T858)&lt;&gt;0)),1,0)</f>
        <v>0</v>
      </c>
      <c r="Y858" s="3">
        <f t="shared" si="236"/>
        <v>0</v>
      </c>
      <c r="Z858" s="3">
        <f>IF(AND($M858=1,对接源_01水果!$D858="原料入库"),1,0)</f>
        <v>0</v>
      </c>
      <c r="AA858" s="3">
        <f t="shared" si="237"/>
        <v>24</v>
      </c>
      <c r="AB858" s="3">
        <f>IF(AND($M858=1,LEFT(对接源_01水果!$D858,4)="原料出库"),1,0)</f>
        <v>0</v>
      </c>
      <c r="AC858" s="3">
        <f t="shared" si="238"/>
        <v>0</v>
      </c>
      <c r="AD858" s="3">
        <f>IF(AND($M858=1,LEFT(对接源_01水果!$D858,4)="成品出库"),1,0)</f>
        <v>0</v>
      </c>
      <c r="AE858" s="3">
        <f t="shared" si="239"/>
        <v>0</v>
      </c>
      <c r="AF858" s="3">
        <f>IF(AND($N858=1,AND(LEFT(对接源_01水果!$D858,4)="包装物料",N(对接源_01水果!$K858)&lt;&gt;0)),1,0)</f>
        <v>0</v>
      </c>
      <c r="AG858" s="3">
        <f t="shared" si="240"/>
        <v>0</v>
      </c>
      <c r="AH858" s="3">
        <f>IF(AND($N858=1,AND(对接源_01水果!$D858="周转筐－销售出库",N(对接源_01水果!$K858)&lt;&gt;0)),1,0)</f>
        <v>0</v>
      </c>
      <c r="AI858" s="3">
        <f t="shared" si="241"/>
        <v>0</v>
      </c>
      <c r="AJ858" s="7"/>
      <c r="AL858" s="3">
        <f>IF(OR($AL$1="",对接源_01水果!$Y858="",对接源_01水果!$Y858&lt;&gt;$AL$1,对接源_01水果!$B858="",N(对接源_01水果!$AJ858)&lt;=0),0,IF(OR(N(对接源_01水果!$B858)&lt;$AL$2,N(对接源_01水果!$B858)&gt;$AL$3),0,1))</f>
        <v>0</v>
      </c>
      <c r="AM858" s="3">
        <f t="shared" si="242"/>
        <v>1</v>
      </c>
      <c r="AN858" s="3" t="str">
        <f>IF(对接源_01水果!$AC858="","",对接源_01水果!$AC858)</f>
        <v/>
      </c>
      <c r="AO858" s="3">
        <f t="shared" si="243"/>
        <v>0</v>
      </c>
      <c r="AP858" s="3">
        <f t="shared" si="244"/>
        <v>8</v>
      </c>
      <c r="AR858">
        <f t="shared" si="245"/>
        <v>0</v>
      </c>
      <c r="AS858">
        <f t="shared" si="246"/>
        <v>0</v>
      </c>
    </row>
    <row r="859" ht="14.25" customHeight="1" spans="1:45">
      <c r="A859" s="3" t="str">
        <f>IF(对接源_01水果!$C859="","",对接源_01水果!$C859)</f>
        <v/>
      </c>
      <c r="B859" s="3">
        <f t="shared" si="230"/>
        <v>0</v>
      </c>
      <c r="C859" s="3">
        <f t="shared" si="231"/>
        <v>18</v>
      </c>
      <c r="K859" s="3">
        <f>IF(OR($K$1="",对接源_01水果!$C859="",对接源_01水果!$C859&lt;&gt;$K$1,对接源_01水果!$B859=""),0,IF(OR(N(对接源_01水果!$B859)&lt;$K$2,N(对接源_01水果!$B859)&gt;$K$3),0,1))</f>
        <v>0</v>
      </c>
      <c r="L859" s="3">
        <f>IF(OR($L$1="",对接源_01水果!$C859="",对接源_01水果!$C859&lt;&gt;$L$1,对接源_01水果!$B859=""),0,IF(OR(N(对接源_01水果!$B859)&lt;$L$2,N(对接源_01水果!$B859)&gt;$L$3),0,1))</f>
        <v>0</v>
      </c>
      <c r="M859" s="3">
        <f>IF(OR($M$1="",对接源_01水果!$C859="",对接源_01水果!$C859&lt;&gt;$M$1,对接源_01水果!$B859=""),0,IF(OR(N(对接源_01水果!$B859)&lt;$M$2,N(对接源_01水果!$B859)&gt;$M$3),0,1))</f>
        <v>0</v>
      </c>
      <c r="N859" s="3">
        <f>IF(OR($N$1="",对接源_01水果!$C859="",对接源_01水果!$C859&lt;&gt;$N$1,对接源_01水果!$B859=""),0,IF(OR(N(对接源_01水果!$B859)&lt;$N$2,N(对接源_01水果!$B859)&gt;$N$3),0,1))</f>
        <v>0</v>
      </c>
      <c r="P859" s="3">
        <f>IF(AND($K859=1,AND(对接源_01水果!$X859="公司筐",N(对接源_01水果!$T859)&lt;&gt;0)),1,0)</f>
        <v>0</v>
      </c>
      <c r="Q859" s="3">
        <f t="shared" si="232"/>
        <v>0</v>
      </c>
      <c r="R859" s="3">
        <f>IF(AND($K859=1,AND(对接源_01水果!$X859="公司筐",N(对接源_01水果!$U859)&lt;&gt;0)),1,0)</f>
        <v>0</v>
      </c>
      <c r="S859" s="3">
        <f t="shared" si="233"/>
        <v>0</v>
      </c>
      <c r="T859" s="3">
        <f>IF(AND($K859=1,AND(对接源_01水果!$X859="公司筐",N(对接源_01水果!$V859)&lt;&gt;0)),1,0)</f>
        <v>0</v>
      </c>
      <c r="U859" s="3">
        <f t="shared" si="234"/>
        <v>19</v>
      </c>
      <c r="V859" s="3">
        <f>IF(AND($L859=1,AND(对接源_01水果!$X859="自备筐",N(对接源_01水果!$V859)&lt;&gt;0)),1,0)</f>
        <v>0</v>
      </c>
      <c r="W859" s="3">
        <f t="shared" si="235"/>
        <v>8</v>
      </c>
      <c r="X859" s="3">
        <f>IF(AND($L859=1,AND(对接源_01水果!$X859="自备筐",N(对接源_01水果!$T859)&lt;&gt;0)),1,0)</f>
        <v>0</v>
      </c>
      <c r="Y859" s="3">
        <f t="shared" si="236"/>
        <v>0</v>
      </c>
      <c r="Z859" s="3">
        <f>IF(AND($M859=1,对接源_01水果!$D859="原料入库"),1,0)</f>
        <v>0</v>
      </c>
      <c r="AA859" s="3">
        <f t="shared" si="237"/>
        <v>24</v>
      </c>
      <c r="AB859" s="3">
        <f>IF(AND($M859=1,LEFT(对接源_01水果!$D859,4)="原料出库"),1,0)</f>
        <v>0</v>
      </c>
      <c r="AC859" s="3">
        <f t="shared" si="238"/>
        <v>0</v>
      </c>
      <c r="AD859" s="3">
        <f>IF(AND($M859=1,LEFT(对接源_01水果!$D859,4)="成品出库"),1,0)</f>
        <v>0</v>
      </c>
      <c r="AE859" s="3">
        <f t="shared" si="239"/>
        <v>0</v>
      </c>
      <c r="AF859" s="3">
        <f>IF(AND($N859=1,AND(LEFT(对接源_01水果!$D859,4)="包装物料",N(对接源_01水果!$K859)&lt;&gt;0)),1,0)</f>
        <v>0</v>
      </c>
      <c r="AG859" s="3">
        <f t="shared" si="240"/>
        <v>0</v>
      </c>
      <c r="AH859" s="3">
        <f>IF(AND($N859=1,AND(对接源_01水果!$D859="周转筐－销售出库",N(对接源_01水果!$K859)&lt;&gt;0)),1,0)</f>
        <v>0</v>
      </c>
      <c r="AI859" s="3">
        <f t="shared" si="241"/>
        <v>0</v>
      </c>
      <c r="AJ859" s="7"/>
      <c r="AL859" s="3">
        <f>IF(OR($AL$1="",对接源_01水果!$Y859="",对接源_01水果!$Y859&lt;&gt;$AL$1,对接源_01水果!$B859="",N(对接源_01水果!$AJ859)&lt;=0),0,IF(OR(N(对接源_01水果!$B859)&lt;$AL$2,N(对接源_01水果!$B859)&gt;$AL$3),0,1))</f>
        <v>0</v>
      </c>
      <c r="AM859" s="3">
        <f t="shared" si="242"/>
        <v>1</v>
      </c>
      <c r="AN859" s="3" t="str">
        <f>IF(对接源_01水果!$AC859="","",对接源_01水果!$AC859)</f>
        <v/>
      </c>
      <c r="AO859" s="3">
        <f t="shared" si="243"/>
        <v>0</v>
      </c>
      <c r="AP859" s="3">
        <f t="shared" si="244"/>
        <v>8</v>
      </c>
      <c r="AR859">
        <f t="shared" si="245"/>
        <v>0</v>
      </c>
      <c r="AS859">
        <f t="shared" si="246"/>
        <v>0</v>
      </c>
    </row>
    <row r="860" ht="14.25" customHeight="1" spans="1:45">
      <c r="A860" s="3" t="str">
        <f>IF(对接源_01水果!$C860="","",对接源_01水果!$C860)</f>
        <v/>
      </c>
      <c r="B860" s="3">
        <f t="shared" si="230"/>
        <v>0</v>
      </c>
      <c r="C860" s="3">
        <f t="shared" si="231"/>
        <v>18</v>
      </c>
      <c r="K860" s="3">
        <f>IF(OR($K$1="",对接源_01水果!$C860="",对接源_01水果!$C860&lt;&gt;$K$1,对接源_01水果!$B860=""),0,IF(OR(N(对接源_01水果!$B860)&lt;$K$2,N(对接源_01水果!$B860)&gt;$K$3),0,1))</f>
        <v>0</v>
      </c>
      <c r="L860" s="3">
        <f>IF(OR($L$1="",对接源_01水果!$C860="",对接源_01水果!$C860&lt;&gt;$L$1,对接源_01水果!$B860=""),0,IF(OR(N(对接源_01水果!$B860)&lt;$L$2,N(对接源_01水果!$B860)&gt;$L$3),0,1))</f>
        <v>0</v>
      </c>
      <c r="M860" s="3">
        <f>IF(OR($M$1="",对接源_01水果!$C860="",对接源_01水果!$C860&lt;&gt;$M$1,对接源_01水果!$B860=""),0,IF(OR(N(对接源_01水果!$B860)&lt;$M$2,N(对接源_01水果!$B860)&gt;$M$3),0,1))</f>
        <v>0</v>
      </c>
      <c r="N860" s="3">
        <f>IF(OR($N$1="",对接源_01水果!$C860="",对接源_01水果!$C860&lt;&gt;$N$1,对接源_01水果!$B860=""),0,IF(OR(N(对接源_01水果!$B860)&lt;$N$2,N(对接源_01水果!$B860)&gt;$N$3),0,1))</f>
        <v>0</v>
      </c>
      <c r="P860" s="3">
        <f>IF(AND($K860=1,AND(对接源_01水果!$X860="公司筐",N(对接源_01水果!$T860)&lt;&gt;0)),1,0)</f>
        <v>0</v>
      </c>
      <c r="Q860" s="3">
        <f t="shared" si="232"/>
        <v>0</v>
      </c>
      <c r="R860" s="3">
        <f>IF(AND($K860=1,AND(对接源_01水果!$X860="公司筐",N(对接源_01水果!$U860)&lt;&gt;0)),1,0)</f>
        <v>0</v>
      </c>
      <c r="S860" s="3">
        <f t="shared" si="233"/>
        <v>0</v>
      </c>
      <c r="T860" s="3">
        <f>IF(AND($K860=1,AND(对接源_01水果!$X860="公司筐",N(对接源_01水果!$V860)&lt;&gt;0)),1,0)</f>
        <v>0</v>
      </c>
      <c r="U860" s="3">
        <f t="shared" si="234"/>
        <v>19</v>
      </c>
      <c r="V860" s="3">
        <f>IF(AND($L860=1,AND(对接源_01水果!$X860="自备筐",N(对接源_01水果!$V860)&lt;&gt;0)),1,0)</f>
        <v>0</v>
      </c>
      <c r="W860" s="3">
        <f t="shared" si="235"/>
        <v>8</v>
      </c>
      <c r="X860" s="3">
        <f>IF(AND($L860=1,AND(对接源_01水果!$X860="自备筐",N(对接源_01水果!$T860)&lt;&gt;0)),1,0)</f>
        <v>0</v>
      </c>
      <c r="Y860" s="3">
        <f t="shared" si="236"/>
        <v>0</v>
      </c>
      <c r="Z860" s="3">
        <f>IF(AND($M860=1,对接源_01水果!$D860="原料入库"),1,0)</f>
        <v>0</v>
      </c>
      <c r="AA860" s="3">
        <f t="shared" si="237"/>
        <v>24</v>
      </c>
      <c r="AB860" s="3">
        <f>IF(AND($M860=1,LEFT(对接源_01水果!$D860,4)="原料出库"),1,0)</f>
        <v>0</v>
      </c>
      <c r="AC860" s="3">
        <f t="shared" si="238"/>
        <v>0</v>
      </c>
      <c r="AD860" s="3">
        <f>IF(AND($M860=1,LEFT(对接源_01水果!$D860,4)="成品出库"),1,0)</f>
        <v>0</v>
      </c>
      <c r="AE860" s="3">
        <f t="shared" si="239"/>
        <v>0</v>
      </c>
      <c r="AF860" s="3">
        <f>IF(AND($N860=1,AND(LEFT(对接源_01水果!$D860,4)="包装物料",N(对接源_01水果!$K860)&lt;&gt;0)),1,0)</f>
        <v>0</v>
      </c>
      <c r="AG860" s="3">
        <f t="shared" si="240"/>
        <v>0</v>
      </c>
      <c r="AH860" s="3">
        <f>IF(AND($N860=1,AND(对接源_01水果!$D860="周转筐－销售出库",N(对接源_01水果!$K860)&lt;&gt;0)),1,0)</f>
        <v>0</v>
      </c>
      <c r="AI860" s="3">
        <f t="shared" si="241"/>
        <v>0</v>
      </c>
      <c r="AJ860" s="7"/>
      <c r="AL860" s="3">
        <f>IF(OR($AL$1="",对接源_01水果!$Y860="",对接源_01水果!$Y860&lt;&gt;$AL$1,对接源_01水果!$B860="",N(对接源_01水果!$AJ860)&lt;=0),0,IF(OR(N(对接源_01水果!$B860)&lt;$AL$2,N(对接源_01水果!$B860)&gt;$AL$3),0,1))</f>
        <v>0</v>
      </c>
      <c r="AM860" s="3">
        <f t="shared" si="242"/>
        <v>1</v>
      </c>
      <c r="AN860" s="3" t="str">
        <f>IF(对接源_01水果!$AC860="","",对接源_01水果!$AC860)</f>
        <v/>
      </c>
      <c r="AO860" s="3">
        <f t="shared" si="243"/>
        <v>0</v>
      </c>
      <c r="AP860" s="3">
        <f t="shared" si="244"/>
        <v>8</v>
      </c>
      <c r="AR860">
        <f t="shared" si="245"/>
        <v>0</v>
      </c>
      <c r="AS860">
        <f t="shared" si="246"/>
        <v>0</v>
      </c>
    </row>
    <row r="861" ht="14.25" customHeight="1" spans="1:45">
      <c r="A861" s="3" t="str">
        <f>IF(对接源_01水果!$C861="","",对接源_01水果!$C861)</f>
        <v/>
      </c>
      <c r="B861" s="3">
        <f t="shared" si="230"/>
        <v>0</v>
      </c>
      <c r="C861" s="3">
        <f t="shared" si="231"/>
        <v>18</v>
      </c>
      <c r="K861" s="3">
        <f>IF(OR($K$1="",对接源_01水果!$C861="",对接源_01水果!$C861&lt;&gt;$K$1,对接源_01水果!$B861=""),0,IF(OR(N(对接源_01水果!$B861)&lt;$K$2,N(对接源_01水果!$B861)&gt;$K$3),0,1))</f>
        <v>0</v>
      </c>
      <c r="L861" s="3">
        <f>IF(OR($L$1="",对接源_01水果!$C861="",对接源_01水果!$C861&lt;&gt;$L$1,对接源_01水果!$B861=""),0,IF(OR(N(对接源_01水果!$B861)&lt;$L$2,N(对接源_01水果!$B861)&gt;$L$3),0,1))</f>
        <v>0</v>
      </c>
      <c r="M861" s="3">
        <f>IF(OR($M$1="",对接源_01水果!$C861="",对接源_01水果!$C861&lt;&gt;$M$1,对接源_01水果!$B861=""),0,IF(OR(N(对接源_01水果!$B861)&lt;$M$2,N(对接源_01水果!$B861)&gt;$M$3),0,1))</f>
        <v>0</v>
      </c>
      <c r="N861" s="3">
        <f>IF(OR($N$1="",对接源_01水果!$C861="",对接源_01水果!$C861&lt;&gt;$N$1,对接源_01水果!$B861=""),0,IF(OR(N(对接源_01水果!$B861)&lt;$N$2,N(对接源_01水果!$B861)&gt;$N$3),0,1))</f>
        <v>0</v>
      </c>
      <c r="P861" s="3">
        <f>IF(AND($K861=1,AND(对接源_01水果!$X861="公司筐",N(对接源_01水果!$T861)&lt;&gt;0)),1,0)</f>
        <v>0</v>
      </c>
      <c r="Q861" s="3">
        <f t="shared" si="232"/>
        <v>0</v>
      </c>
      <c r="R861" s="3">
        <f>IF(AND($K861=1,AND(对接源_01水果!$X861="公司筐",N(对接源_01水果!$U861)&lt;&gt;0)),1,0)</f>
        <v>0</v>
      </c>
      <c r="S861" s="3">
        <f t="shared" si="233"/>
        <v>0</v>
      </c>
      <c r="T861" s="3">
        <f>IF(AND($K861=1,AND(对接源_01水果!$X861="公司筐",N(对接源_01水果!$V861)&lt;&gt;0)),1,0)</f>
        <v>0</v>
      </c>
      <c r="U861" s="3">
        <f t="shared" si="234"/>
        <v>19</v>
      </c>
      <c r="V861" s="3">
        <f>IF(AND($L861=1,AND(对接源_01水果!$X861="自备筐",N(对接源_01水果!$V861)&lt;&gt;0)),1,0)</f>
        <v>0</v>
      </c>
      <c r="W861" s="3">
        <f t="shared" si="235"/>
        <v>8</v>
      </c>
      <c r="X861" s="3">
        <f>IF(AND($L861=1,AND(对接源_01水果!$X861="自备筐",N(对接源_01水果!$T861)&lt;&gt;0)),1,0)</f>
        <v>0</v>
      </c>
      <c r="Y861" s="3">
        <f t="shared" si="236"/>
        <v>0</v>
      </c>
      <c r="Z861" s="3">
        <f>IF(AND($M861=1,对接源_01水果!$D861="原料入库"),1,0)</f>
        <v>0</v>
      </c>
      <c r="AA861" s="3">
        <f t="shared" si="237"/>
        <v>24</v>
      </c>
      <c r="AB861" s="3">
        <f>IF(AND($M861=1,LEFT(对接源_01水果!$D861,4)="原料出库"),1,0)</f>
        <v>0</v>
      </c>
      <c r="AC861" s="3">
        <f t="shared" si="238"/>
        <v>0</v>
      </c>
      <c r="AD861" s="3">
        <f>IF(AND($M861=1,LEFT(对接源_01水果!$D861,4)="成品出库"),1,0)</f>
        <v>0</v>
      </c>
      <c r="AE861" s="3">
        <f t="shared" si="239"/>
        <v>0</v>
      </c>
      <c r="AF861" s="3">
        <f>IF(AND($N861=1,AND(LEFT(对接源_01水果!$D861,4)="包装物料",N(对接源_01水果!$K861)&lt;&gt;0)),1,0)</f>
        <v>0</v>
      </c>
      <c r="AG861" s="3">
        <f t="shared" si="240"/>
        <v>0</v>
      </c>
      <c r="AH861" s="3">
        <f>IF(AND($N861=1,AND(对接源_01水果!$D861="周转筐－销售出库",N(对接源_01水果!$K861)&lt;&gt;0)),1,0)</f>
        <v>0</v>
      </c>
      <c r="AI861" s="3">
        <f t="shared" si="241"/>
        <v>0</v>
      </c>
      <c r="AJ861" s="7"/>
      <c r="AL861" s="3">
        <f>IF(OR($AL$1="",对接源_01水果!$Y861="",对接源_01水果!$Y861&lt;&gt;$AL$1,对接源_01水果!$B861="",N(对接源_01水果!$AJ861)&lt;=0),0,IF(OR(N(对接源_01水果!$B861)&lt;$AL$2,N(对接源_01水果!$B861)&gt;$AL$3),0,1))</f>
        <v>0</v>
      </c>
      <c r="AM861" s="3">
        <f t="shared" si="242"/>
        <v>1</v>
      </c>
      <c r="AN861" s="3" t="str">
        <f>IF(对接源_01水果!$AC861="","",对接源_01水果!$AC861)</f>
        <v/>
      </c>
      <c r="AO861" s="3">
        <f t="shared" si="243"/>
        <v>0</v>
      </c>
      <c r="AP861" s="3">
        <f t="shared" si="244"/>
        <v>8</v>
      </c>
      <c r="AR861">
        <f t="shared" si="245"/>
        <v>0</v>
      </c>
      <c r="AS861">
        <f t="shared" si="246"/>
        <v>0</v>
      </c>
    </row>
    <row r="862" ht="14.25" customHeight="1" spans="1:45">
      <c r="A862" s="3" t="str">
        <f>IF(对接源_01水果!$C862="","",对接源_01水果!$C862)</f>
        <v/>
      </c>
      <c r="B862" s="3">
        <f t="shared" si="230"/>
        <v>0</v>
      </c>
      <c r="C862" s="3">
        <f t="shared" si="231"/>
        <v>18</v>
      </c>
      <c r="K862" s="3">
        <f>IF(OR($K$1="",对接源_01水果!$C862="",对接源_01水果!$C862&lt;&gt;$K$1,对接源_01水果!$B862=""),0,IF(OR(N(对接源_01水果!$B862)&lt;$K$2,N(对接源_01水果!$B862)&gt;$K$3),0,1))</f>
        <v>0</v>
      </c>
      <c r="L862" s="3">
        <f>IF(OR($L$1="",对接源_01水果!$C862="",对接源_01水果!$C862&lt;&gt;$L$1,对接源_01水果!$B862=""),0,IF(OR(N(对接源_01水果!$B862)&lt;$L$2,N(对接源_01水果!$B862)&gt;$L$3),0,1))</f>
        <v>0</v>
      </c>
      <c r="M862" s="3">
        <f>IF(OR($M$1="",对接源_01水果!$C862="",对接源_01水果!$C862&lt;&gt;$M$1,对接源_01水果!$B862=""),0,IF(OR(N(对接源_01水果!$B862)&lt;$M$2,N(对接源_01水果!$B862)&gt;$M$3),0,1))</f>
        <v>0</v>
      </c>
      <c r="N862" s="3">
        <f>IF(OR($N$1="",对接源_01水果!$C862="",对接源_01水果!$C862&lt;&gt;$N$1,对接源_01水果!$B862=""),0,IF(OR(N(对接源_01水果!$B862)&lt;$N$2,N(对接源_01水果!$B862)&gt;$N$3),0,1))</f>
        <v>0</v>
      </c>
      <c r="P862" s="3">
        <f>IF(AND($K862=1,AND(对接源_01水果!$X862="公司筐",N(对接源_01水果!$T862)&lt;&gt;0)),1,0)</f>
        <v>0</v>
      </c>
      <c r="Q862" s="3">
        <f t="shared" si="232"/>
        <v>0</v>
      </c>
      <c r="R862" s="3">
        <f>IF(AND($K862=1,AND(对接源_01水果!$X862="公司筐",N(对接源_01水果!$U862)&lt;&gt;0)),1,0)</f>
        <v>0</v>
      </c>
      <c r="S862" s="3">
        <f t="shared" si="233"/>
        <v>0</v>
      </c>
      <c r="T862" s="3">
        <f>IF(AND($K862=1,AND(对接源_01水果!$X862="公司筐",N(对接源_01水果!$V862)&lt;&gt;0)),1,0)</f>
        <v>0</v>
      </c>
      <c r="U862" s="3">
        <f t="shared" si="234"/>
        <v>19</v>
      </c>
      <c r="V862" s="3">
        <f>IF(AND($L862=1,AND(对接源_01水果!$X862="自备筐",N(对接源_01水果!$V862)&lt;&gt;0)),1,0)</f>
        <v>0</v>
      </c>
      <c r="W862" s="3">
        <f t="shared" si="235"/>
        <v>8</v>
      </c>
      <c r="X862" s="3">
        <f>IF(AND($L862=1,AND(对接源_01水果!$X862="自备筐",N(对接源_01水果!$T862)&lt;&gt;0)),1,0)</f>
        <v>0</v>
      </c>
      <c r="Y862" s="3">
        <f t="shared" si="236"/>
        <v>0</v>
      </c>
      <c r="Z862" s="3">
        <f>IF(AND($M862=1,对接源_01水果!$D862="原料入库"),1,0)</f>
        <v>0</v>
      </c>
      <c r="AA862" s="3">
        <f t="shared" si="237"/>
        <v>24</v>
      </c>
      <c r="AB862" s="3">
        <f>IF(AND($M862=1,LEFT(对接源_01水果!$D862,4)="原料出库"),1,0)</f>
        <v>0</v>
      </c>
      <c r="AC862" s="3">
        <f t="shared" si="238"/>
        <v>0</v>
      </c>
      <c r="AD862" s="3">
        <f>IF(AND($M862=1,LEFT(对接源_01水果!$D862,4)="成品出库"),1,0)</f>
        <v>0</v>
      </c>
      <c r="AE862" s="3">
        <f t="shared" si="239"/>
        <v>0</v>
      </c>
      <c r="AF862" s="3">
        <f>IF(AND($N862=1,AND(LEFT(对接源_01水果!$D862,4)="包装物料",N(对接源_01水果!$K862)&lt;&gt;0)),1,0)</f>
        <v>0</v>
      </c>
      <c r="AG862" s="3">
        <f t="shared" si="240"/>
        <v>0</v>
      </c>
      <c r="AH862" s="3">
        <f>IF(AND($N862=1,AND(对接源_01水果!$D862="周转筐－销售出库",N(对接源_01水果!$K862)&lt;&gt;0)),1,0)</f>
        <v>0</v>
      </c>
      <c r="AI862" s="3">
        <f t="shared" si="241"/>
        <v>0</v>
      </c>
      <c r="AJ862" s="7"/>
      <c r="AL862" s="3">
        <f>IF(OR($AL$1="",对接源_01水果!$Y862="",对接源_01水果!$Y862&lt;&gt;$AL$1,对接源_01水果!$B862="",N(对接源_01水果!$AJ862)&lt;=0),0,IF(OR(N(对接源_01水果!$B862)&lt;$AL$2,N(对接源_01水果!$B862)&gt;$AL$3),0,1))</f>
        <v>0</v>
      </c>
      <c r="AM862" s="3">
        <f t="shared" si="242"/>
        <v>1</v>
      </c>
      <c r="AN862" s="3" t="str">
        <f>IF(对接源_01水果!$AC862="","",对接源_01水果!$AC862)</f>
        <v/>
      </c>
      <c r="AO862" s="3">
        <f t="shared" si="243"/>
        <v>0</v>
      </c>
      <c r="AP862" s="3">
        <f t="shared" si="244"/>
        <v>8</v>
      </c>
      <c r="AR862">
        <f t="shared" si="245"/>
        <v>0</v>
      </c>
      <c r="AS862">
        <f t="shared" si="246"/>
        <v>0</v>
      </c>
    </row>
    <row r="863" ht="14.25" customHeight="1" spans="1:45">
      <c r="A863" s="3" t="str">
        <f>IF(对接源_01水果!$C863="","",对接源_01水果!$C863)</f>
        <v/>
      </c>
      <c r="B863" s="3">
        <f t="shared" si="230"/>
        <v>0</v>
      </c>
      <c r="C863" s="3">
        <f t="shared" si="231"/>
        <v>18</v>
      </c>
      <c r="K863" s="3">
        <f>IF(OR($K$1="",对接源_01水果!$C863="",对接源_01水果!$C863&lt;&gt;$K$1,对接源_01水果!$B863=""),0,IF(OR(N(对接源_01水果!$B863)&lt;$K$2,N(对接源_01水果!$B863)&gt;$K$3),0,1))</f>
        <v>0</v>
      </c>
      <c r="L863" s="3">
        <f>IF(OR($L$1="",对接源_01水果!$C863="",对接源_01水果!$C863&lt;&gt;$L$1,对接源_01水果!$B863=""),0,IF(OR(N(对接源_01水果!$B863)&lt;$L$2,N(对接源_01水果!$B863)&gt;$L$3),0,1))</f>
        <v>0</v>
      </c>
      <c r="M863" s="3">
        <f>IF(OR($M$1="",对接源_01水果!$C863="",对接源_01水果!$C863&lt;&gt;$M$1,对接源_01水果!$B863=""),0,IF(OR(N(对接源_01水果!$B863)&lt;$M$2,N(对接源_01水果!$B863)&gt;$M$3),0,1))</f>
        <v>0</v>
      </c>
      <c r="N863" s="3">
        <f>IF(OR($N$1="",对接源_01水果!$C863="",对接源_01水果!$C863&lt;&gt;$N$1,对接源_01水果!$B863=""),0,IF(OR(N(对接源_01水果!$B863)&lt;$N$2,N(对接源_01水果!$B863)&gt;$N$3),0,1))</f>
        <v>0</v>
      </c>
      <c r="P863" s="3">
        <f>IF(AND($K863=1,AND(对接源_01水果!$X863="公司筐",N(对接源_01水果!$T863)&lt;&gt;0)),1,0)</f>
        <v>0</v>
      </c>
      <c r="Q863" s="3">
        <f t="shared" si="232"/>
        <v>0</v>
      </c>
      <c r="R863" s="3">
        <f>IF(AND($K863=1,AND(对接源_01水果!$X863="公司筐",N(对接源_01水果!$U863)&lt;&gt;0)),1,0)</f>
        <v>0</v>
      </c>
      <c r="S863" s="3">
        <f t="shared" si="233"/>
        <v>0</v>
      </c>
      <c r="T863" s="3">
        <f>IF(AND($K863=1,AND(对接源_01水果!$X863="公司筐",N(对接源_01水果!$V863)&lt;&gt;0)),1,0)</f>
        <v>0</v>
      </c>
      <c r="U863" s="3">
        <f t="shared" si="234"/>
        <v>19</v>
      </c>
      <c r="V863" s="3">
        <f>IF(AND($L863=1,AND(对接源_01水果!$X863="自备筐",N(对接源_01水果!$V863)&lt;&gt;0)),1,0)</f>
        <v>0</v>
      </c>
      <c r="W863" s="3">
        <f t="shared" si="235"/>
        <v>8</v>
      </c>
      <c r="X863" s="3">
        <f>IF(AND($L863=1,AND(对接源_01水果!$X863="自备筐",N(对接源_01水果!$T863)&lt;&gt;0)),1,0)</f>
        <v>0</v>
      </c>
      <c r="Y863" s="3">
        <f t="shared" si="236"/>
        <v>0</v>
      </c>
      <c r="Z863" s="3">
        <f>IF(AND($M863=1,对接源_01水果!$D863="原料入库"),1,0)</f>
        <v>0</v>
      </c>
      <c r="AA863" s="3">
        <f t="shared" si="237"/>
        <v>24</v>
      </c>
      <c r="AB863" s="3">
        <f>IF(AND($M863=1,LEFT(对接源_01水果!$D863,4)="原料出库"),1,0)</f>
        <v>0</v>
      </c>
      <c r="AC863" s="3">
        <f t="shared" si="238"/>
        <v>0</v>
      </c>
      <c r="AD863" s="3">
        <f>IF(AND($M863=1,LEFT(对接源_01水果!$D863,4)="成品出库"),1,0)</f>
        <v>0</v>
      </c>
      <c r="AE863" s="3">
        <f t="shared" si="239"/>
        <v>0</v>
      </c>
      <c r="AF863" s="3">
        <f>IF(AND($N863=1,AND(LEFT(对接源_01水果!$D863,4)="包装物料",N(对接源_01水果!$K863)&lt;&gt;0)),1,0)</f>
        <v>0</v>
      </c>
      <c r="AG863" s="3">
        <f t="shared" si="240"/>
        <v>0</v>
      </c>
      <c r="AH863" s="3">
        <f>IF(AND($N863=1,AND(对接源_01水果!$D863="周转筐－销售出库",N(对接源_01水果!$K863)&lt;&gt;0)),1,0)</f>
        <v>0</v>
      </c>
      <c r="AI863" s="3">
        <f t="shared" si="241"/>
        <v>0</v>
      </c>
      <c r="AJ863" s="7"/>
      <c r="AL863" s="3">
        <f>IF(OR($AL$1="",对接源_01水果!$Y863="",对接源_01水果!$Y863&lt;&gt;$AL$1,对接源_01水果!$B863="",N(对接源_01水果!$AJ863)&lt;=0),0,IF(OR(N(对接源_01水果!$B863)&lt;$AL$2,N(对接源_01水果!$B863)&gt;$AL$3),0,1))</f>
        <v>0</v>
      </c>
      <c r="AM863" s="3">
        <f t="shared" si="242"/>
        <v>1</v>
      </c>
      <c r="AN863" s="3" t="str">
        <f>IF(对接源_01水果!$AC863="","",对接源_01水果!$AC863)</f>
        <v/>
      </c>
      <c r="AO863" s="3">
        <f t="shared" si="243"/>
        <v>0</v>
      </c>
      <c r="AP863" s="3">
        <f t="shared" si="244"/>
        <v>8</v>
      </c>
      <c r="AR863">
        <f t="shared" si="245"/>
        <v>0</v>
      </c>
      <c r="AS863">
        <f t="shared" si="246"/>
        <v>0</v>
      </c>
    </row>
    <row r="864" ht="14.25" customHeight="1" spans="1:45">
      <c r="A864" s="3" t="str">
        <f>IF(对接源_01水果!$C864="","",对接源_01水果!$C864)</f>
        <v/>
      </c>
      <c r="B864" s="3">
        <f t="shared" si="230"/>
        <v>0</v>
      </c>
      <c r="C864" s="3">
        <f t="shared" si="231"/>
        <v>18</v>
      </c>
      <c r="K864" s="3">
        <f>IF(OR($K$1="",对接源_01水果!$C864="",对接源_01水果!$C864&lt;&gt;$K$1,对接源_01水果!$B864=""),0,IF(OR(N(对接源_01水果!$B864)&lt;$K$2,N(对接源_01水果!$B864)&gt;$K$3),0,1))</f>
        <v>0</v>
      </c>
      <c r="L864" s="3">
        <f>IF(OR($L$1="",对接源_01水果!$C864="",对接源_01水果!$C864&lt;&gt;$L$1,对接源_01水果!$B864=""),0,IF(OR(N(对接源_01水果!$B864)&lt;$L$2,N(对接源_01水果!$B864)&gt;$L$3),0,1))</f>
        <v>0</v>
      </c>
      <c r="M864" s="3">
        <f>IF(OR($M$1="",对接源_01水果!$C864="",对接源_01水果!$C864&lt;&gt;$M$1,对接源_01水果!$B864=""),0,IF(OR(N(对接源_01水果!$B864)&lt;$M$2,N(对接源_01水果!$B864)&gt;$M$3),0,1))</f>
        <v>0</v>
      </c>
      <c r="N864" s="3">
        <f>IF(OR($N$1="",对接源_01水果!$C864="",对接源_01水果!$C864&lt;&gt;$N$1,对接源_01水果!$B864=""),0,IF(OR(N(对接源_01水果!$B864)&lt;$N$2,N(对接源_01水果!$B864)&gt;$N$3),0,1))</f>
        <v>0</v>
      </c>
      <c r="P864" s="3">
        <f>IF(AND($K864=1,AND(对接源_01水果!$X864="公司筐",N(对接源_01水果!$T864)&lt;&gt;0)),1,0)</f>
        <v>0</v>
      </c>
      <c r="Q864" s="3">
        <f t="shared" si="232"/>
        <v>0</v>
      </c>
      <c r="R864" s="3">
        <f>IF(AND($K864=1,AND(对接源_01水果!$X864="公司筐",N(对接源_01水果!$U864)&lt;&gt;0)),1,0)</f>
        <v>0</v>
      </c>
      <c r="S864" s="3">
        <f t="shared" si="233"/>
        <v>0</v>
      </c>
      <c r="T864" s="3">
        <f>IF(AND($K864=1,AND(对接源_01水果!$X864="公司筐",N(对接源_01水果!$V864)&lt;&gt;0)),1,0)</f>
        <v>0</v>
      </c>
      <c r="U864" s="3">
        <f t="shared" si="234"/>
        <v>19</v>
      </c>
      <c r="V864" s="3">
        <f>IF(AND($L864=1,AND(对接源_01水果!$X864="自备筐",N(对接源_01水果!$V864)&lt;&gt;0)),1,0)</f>
        <v>0</v>
      </c>
      <c r="W864" s="3">
        <f t="shared" si="235"/>
        <v>8</v>
      </c>
      <c r="X864" s="3">
        <f>IF(AND($L864=1,AND(对接源_01水果!$X864="自备筐",N(对接源_01水果!$T864)&lt;&gt;0)),1,0)</f>
        <v>0</v>
      </c>
      <c r="Y864" s="3">
        <f t="shared" si="236"/>
        <v>0</v>
      </c>
      <c r="Z864" s="3">
        <f>IF(AND($M864=1,对接源_01水果!$D864="原料入库"),1,0)</f>
        <v>0</v>
      </c>
      <c r="AA864" s="3">
        <f t="shared" si="237"/>
        <v>24</v>
      </c>
      <c r="AB864" s="3">
        <f>IF(AND($M864=1,LEFT(对接源_01水果!$D864,4)="原料出库"),1,0)</f>
        <v>0</v>
      </c>
      <c r="AC864" s="3">
        <f t="shared" si="238"/>
        <v>0</v>
      </c>
      <c r="AD864" s="3">
        <f>IF(AND($M864=1,LEFT(对接源_01水果!$D864,4)="成品出库"),1,0)</f>
        <v>0</v>
      </c>
      <c r="AE864" s="3">
        <f t="shared" si="239"/>
        <v>0</v>
      </c>
      <c r="AF864" s="3">
        <f>IF(AND($N864=1,AND(LEFT(对接源_01水果!$D864,4)="包装物料",N(对接源_01水果!$K864)&lt;&gt;0)),1,0)</f>
        <v>0</v>
      </c>
      <c r="AG864" s="3">
        <f t="shared" si="240"/>
        <v>0</v>
      </c>
      <c r="AH864" s="3">
        <f>IF(AND($N864=1,AND(对接源_01水果!$D864="周转筐－销售出库",N(对接源_01水果!$K864)&lt;&gt;0)),1,0)</f>
        <v>0</v>
      </c>
      <c r="AI864" s="3">
        <f t="shared" si="241"/>
        <v>0</v>
      </c>
      <c r="AJ864" s="7"/>
      <c r="AL864" s="3">
        <f>IF(OR($AL$1="",对接源_01水果!$Y864="",对接源_01水果!$Y864&lt;&gt;$AL$1,对接源_01水果!$B864="",N(对接源_01水果!$AJ864)&lt;=0),0,IF(OR(N(对接源_01水果!$B864)&lt;$AL$2,N(对接源_01水果!$B864)&gt;$AL$3),0,1))</f>
        <v>0</v>
      </c>
      <c r="AM864" s="3">
        <f t="shared" si="242"/>
        <v>1</v>
      </c>
      <c r="AN864" s="3" t="str">
        <f>IF(对接源_01水果!$AC864="","",对接源_01水果!$AC864)</f>
        <v/>
      </c>
      <c r="AO864" s="3">
        <f t="shared" si="243"/>
        <v>0</v>
      </c>
      <c r="AP864" s="3">
        <f t="shared" si="244"/>
        <v>8</v>
      </c>
      <c r="AR864">
        <f t="shared" si="245"/>
        <v>0</v>
      </c>
      <c r="AS864">
        <f t="shared" si="246"/>
        <v>0</v>
      </c>
    </row>
    <row r="865" ht="14.25" customHeight="1" spans="1:45">
      <c r="A865" s="3" t="str">
        <f>IF(对接源_01水果!$C865="","",对接源_01水果!$C865)</f>
        <v/>
      </c>
      <c r="B865" s="3">
        <f t="shared" si="230"/>
        <v>0</v>
      </c>
      <c r="C865" s="3">
        <f t="shared" si="231"/>
        <v>18</v>
      </c>
      <c r="K865" s="3">
        <f>IF(OR($K$1="",对接源_01水果!$C865="",对接源_01水果!$C865&lt;&gt;$K$1,对接源_01水果!$B865=""),0,IF(OR(N(对接源_01水果!$B865)&lt;$K$2,N(对接源_01水果!$B865)&gt;$K$3),0,1))</f>
        <v>0</v>
      </c>
      <c r="L865" s="3">
        <f>IF(OR($L$1="",对接源_01水果!$C865="",对接源_01水果!$C865&lt;&gt;$L$1,对接源_01水果!$B865=""),0,IF(OR(N(对接源_01水果!$B865)&lt;$L$2,N(对接源_01水果!$B865)&gt;$L$3),0,1))</f>
        <v>0</v>
      </c>
      <c r="M865" s="3">
        <f>IF(OR($M$1="",对接源_01水果!$C865="",对接源_01水果!$C865&lt;&gt;$M$1,对接源_01水果!$B865=""),0,IF(OR(N(对接源_01水果!$B865)&lt;$M$2,N(对接源_01水果!$B865)&gt;$M$3),0,1))</f>
        <v>0</v>
      </c>
      <c r="N865" s="3">
        <f>IF(OR($N$1="",对接源_01水果!$C865="",对接源_01水果!$C865&lt;&gt;$N$1,对接源_01水果!$B865=""),0,IF(OR(N(对接源_01水果!$B865)&lt;$N$2,N(对接源_01水果!$B865)&gt;$N$3),0,1))</f>
        <v>0</v>
      </c>
      <c r="P865" s="3">
        <f>IF(AND($K865=1,AND(对接源_01水果!$X865="公司筐",N(对接源_01水果!$T865)&lt;&gt;0)),1,0)</f>
        <v>0</v>
      </c>
      <c r="Q865" s="3">
        <f t="shared" si="232"/>
        <v>0</v>
      </c>
      <c r="R865" s="3">
        <f>IF(AND($K865=1,AND(对接源_01水果!$X865="公司筐",N(对接源_01水果!$U865)&lt;&gt;0)),1,0)</f>
        <v>0</v>
      </c>
      <c r="S865" s="3">
        <f t="shared" si="233"/>
        <v>0</v>
      </c>
      <c r="T865" s="3">
        <f>IF(AND($K865=1,AND(对接源_01水果!$X865="公司筐",N(对接源_01水果!$V865)&lt;&gt;0)),1,0)</f>
        <v>0</v>
      </c>
      <c r="U865" s="3">
        <f t="shared" si="234"/>
        <v>19</v>
      </c>
      <c r="V865" s="3">
        <f>IF(AND($L865=1,AND(对接源_01水果!$X865="自备筐",N(对接源_01水果!$V865)&lt;&gt;0)),1,0)</f>
        <v>0</v>
      </c>
      <c r="W865" s="3">
        <f t="shared" si="235"/>
        <v>8</v>
      </c>
      <c r="X865" s="3">
        <f>IF(AND($L865=1,AND(对接源_01水果!$X865="自备筐",N(对接源_01水果!$T865)&lt;&gt;0)),1,0)</f>
        <v>0</v>
      </c>
      <c r="Y865" s="3">
        <f t="shared" si="236"/>
        <v>0</v>
      </c>
      <c r="Z865" s="3">
        <f>IF(AND($M865=1,对接源_01水果!$D865="原料入库"),1,0)</f>
        <v>0</v>
      </c>
      <c r="AA865" s="3">
        <f t="shared" si="237"/>
        <v>24</v>
      </c>
      <c r="AB865" s="3">
        <f>IF(AND($M865=1,LEFT(对接源_01水果!$D865,4)="原料出库"),1,0)</f>
        <v>0</v>
      </c>
      <c r="AC865" s="3">
        <f t="shared" si="238"/>
        <v>0</v>
      </c>
      <c r="AD865" s="3">
        <f>IF(AND($M865=1,LEFT(对接源_01水果!$D865,4)="成品出库"),1,0)</f>
        <v>0</v>
      </c>
      <c r="AE865" s="3">
        <f t="shared" si="239"/>
        <v>0</v>
      </c>
      <c r="AF865" s="3">
        <f>IF(AND($N865=1,AND(LEFT(对接源_01水果!$D865,4)="包装物料",N(对接源_01水果!$K865)&lt;&gt;0)),1,0)</f>
        <v>0</v>
      </c>
      <c r="AG865" s="3">
        <f t="shared" si="240"/>
        <v>0</v>
      </c>
      <c r="AH865" s="3">
        <f>IF(AND($N865=1,AND(对接源_01水果!$D865="周转筐－销售出库",N(对接源_01水果!$K865)&lt;&gt;0)),1,0)</f>
        <v>0</v>
      </c>
      <c r="AI865" s="3">
        <f t="shared" si="241"/>
        <v>0</v>
      </c>
      <c r="AJ865" s="7"/>
      <c r="AL865" s="3">
        <f>IF(OR($AL$1="",对接源_01水果!$Y865="",对接源_01水果!$Y865&lt;&gt;$AL$1,对接源_01水果!$B865="",N(对接源_01水果!$AJ865)&lt;=0),0,IF(OR(N(对接源_01水果!$B865)&lt;$AL$2,N(对接源_01水果!$B865)&gt;$AL$3),0,1))</f>
        <v>0</v>
      </c>
      <c r="AM865" s="3">
        <f t="shared" si="242"/>
        <v>1</v>
      </c>
      <c r="AN865" s="3" t="str">
        <f>IF(对接源_01水果!$AC865="","",对接源_01水果!$AC865)</f>
        <v/>
      </c>
      <c r="AO865" s="3">
        <f t="shared" si="243"/>
        <v>0</v>
      </c>
      <c r="AP865" s="3">
        <f t="shared" si="244"/>
        <v>8</v>
      </c>
      <c r="AR865">
        <f t="shared" si="245"/>
        <v>0</v>
      </c>
      <c r="AS865">
        <f t="shared" si="246"/>
        <v>0</v>
      </c>
    </row>
    <row r="866" ht="14.25" customHeight="1" spans="1:45">
      <c r="A866" s="3" t="str">
        <f>IF(对接源_01水果!$C866="","",对接源_01水果!$C866)</f>
        <v/>
      </c>
      <c r="B866" s="3">
        <f t="shared" si="230"/>
        <v>0</v>
      </c>
      <c r="C866" s="3">
        <f t="shared" si="231"/>
        <v>18</v>
      </c>
      <c r="K866" s="3">
        <f>IF(OR($K$1="",对接源_01水果!$C866="",对接源_01水果!$C866&lt;&gt;$K$1,对接源_01水果!$B866=""),0,IF(OR(N(对接源_01水果!$B866)&lt;$K$2,N(对接源_01水果!$B866)&gt;$K$3),0,1))</f>
        <v>0</v>
      </c>
      <c r="L866" s="3">
        <f>IF(OR($L$1="",对接源_01水果!$C866="",对接源_01水果!$C866&lt;&gt;$L$1,对接源_01水果!$B866=""),0,IF(OR(N(对接源_01水果!$B866)&lt;$L$2,N(对接源_01水果!$B866)&gt;$L$3),0,1))</f>
        <v>0</v>
      </c>
      <c r="M866" s="3">
        <f>IF(OR($M$1="",对接源_01水果!$C866="",对接源_01水果!$C866&lt;&gt;$M$1,对接源_01水果!$B866=""),0,IF(OR(N(对接源_01水果!$B866)&lt;$M$2,N(对接源_01水果!$B866)&gt;$M$3),0,1))</f>
        <v>0</v>
      </c>
      <c r="N866" s="3">
        <f>IF(OR($N$1="",对接源_01水果!$C866="",对接源_01水果!$C866&lt;&gt;$N$1,对接源_01水果!$B866=""),0,IF(OR(N(对接源_01水果!$B866)&lt;$N$2,N(对接源_01水果!$B866)&gt;$N$3),0,1))</f>
        <v>0</v>
      </c>
      <c r="P866" s="3">
        <f>IF(AND($K866=1,AND(对接源_01水果!$X866="公司筐",N(对接源_01水果!$T866)&lt;&gt;0)),1,0)</f>
        <v>0</v>
      </c>
      <c r="Q866" s="3">
        <f t="shared" si="232"/>
        <v>0</v>
      </c>
      <c r="R866" s="3">
        <f>IF(AND($K866=1,AND(对接源_01水果!$X866="公司筐",N(对接源_01水果!$U866)&lt;&gt;0)),1,0)</f>
        <v>0</v>
      </c>
      <c r="S866" s="3">
        <f t="shared" si="233"/>
        <v>0</v>
      </c>
      <c r="T866" s="3">
        <f>IF(AND($K866=1,AND(对接源_01水果!$X866="公司筐",N(对接源_01水果!$V866)&lt;&gt;0)),1,0)</f>
        <v>0</v>
      </c>
      <c r="U866" s="3">
        <f t="shared" si="234"/>
        <v>19</v>
      </c>
      <c r="V866" s="3">
        <f>IF(AND($L866=1,AND(对接源_01水果!$X866="自备筐",N(对接源_01水果!$V866)&lt;&gt;0)),1,0)</f>
        <v>0</v>
      </c>
      <c r="W866" s="3">
        <f t="shared" si="235"/>
        <v>8</v>
      </c>
      <c r="X866" s="3">
        <f>IF(AND($L866=1,AND(对接源_01水果!$X866="自备筐",N(对接源_01水果!$T866)&lt;&gt;0)),1,0)</f>
        <v>0</v>
      </c>
      <c r="Y866" s="3">
        <f t="shared" si="236"/>
        <v>0</v>
      </c>
      <c r="Z866" s="3">
        <f>IF(AND($M866=1,对接源_01水果!$D866="原料入库"),1,0)</f>
        <v>0</v>
      </c>
      <c r="AA866" s="3">
        <f t="shared" si="237"/>
        <v>24</v>
      </c>
      <c r="AB866" s="3">
        <f>IF(AND($M866=1,LEFT(对接源_01水果!$D866,4)="原料出库"),1,0)</f>
        <v>0</v>
      </c>
      <c r="AC866" s="3">
        <f t="shared" si="238"/>
        <v>0</v>
      </c>
      <c r="AD866" s="3">
        <f>IF(AND($M866=1,LEFT(对接源_01水果!$D866,4)="成品出库"),1,0)</f>
        <v>0</v>
      </c>
      <c r="AE866" s="3">
        <f t="shared" si="239"/>
        <v>0</v>
      </c>
      <c r="AF866" s="3">
        <f>IF(AND($N866=1,AND(LEFT(对接源_01水果!$D866,4)="包装物料",N(对接源_01水果!$K866)&lt;&gt;0)),1,0)</f>
        <v>0</v>
      </c>
      <c r="AG866" s="3">
        <f t="shared" si="240"/>
        <v>0</v>
      </c>
      <c r="AH866" s="3">
        <f>IF(AND($N866=1,AND(对接源_01水果!$D866="周转筐－销售出库",N(对接源_01水果!$K866)&lt;&gt;0)),1,0)</f>
        <v>0</v>
      </c>
      <c r="AI866" s="3">
        <f t="shared" si="241"/>
        <v>0</v>
      </c>
      <c r="AJ866" s="7"/>
      <c r="AL866" s="3">
        <f>IF(OR($AL$1="",对接源_01水果!$Y866="",对接源_01水果!$Y866&lt;&gt;$AL$1,对接源_01水果!$B866="",N(对接源_01水果!$AJ866)&lt;=0),0,IF(OR(N(对接源_01水果!$B866)&lt;$AL$2,N(对接源_01水果!$B866)&gt;$AL$3),0,1))</f>
        <v>0</v>
      </c>
      <c r="AM866" s="3">
        <f t="shared" si="242"/>
        <v>1</v>
      </c>
      <c r="AN866" s="3" t="str">
        <f>IF(对接源_01水果!$AC866="","",对接源_01水果!$AC866)</f>
        <v/>
      </c>
      <c r="AO866" s="3">
        <f t="shared" si="243"/>
        <v>0</v>
      </c>
      <c r="AP866" s="3">
        <f t="shared" si="244"/>
        <v>8</v>
      </c>
      <c r="AR866">
        <f t="shared" si="245"/>
        <v>0</v>
      </c>
      <c r="AS866">
        <f t="shared" si="246"/>
        <v>0</v>
      </c>
    </row>
    <row r="867" ht="14.25" customHeight="1" spans="1:45">
      <c r="A867" s="3" t="str">
        <f>IF(对接源_01水果!$C867="","",对接源_01水果!$C867)</f>
        <v/>
      </c>
      <c r="B867" s="3">
        <f t="shared" si="230"/>
        <v>0</v>
      </c>
      <c r="C867" s="3">
        <f t="shared" si="231"/>
        <v>18</v>
      </c>
      <c r="K867" s="3">
        <f>IF(OR($K$1="",对接源_01水果!$C867="",对接源_01水果!$C867&lt;&gt;$K$1,对接源_01水果!$B867=""),0,IF(OR(N(对接源_01水果!$B867)&lt;$K$2,N(对接源_01水果!$B867)&gt;$K$3),0,1))</f>
        <v>0</v>
      </c>
      <c r="L867" s="3">
        <f>IF(OR($L$1="",对接源_01水果!$C867="",对接源_01水果!$C867&lt;&gt;$L$1,对接源_01水果!$B867=""),0,IF(OR(N(对接源_01水果!$B867)&lt;$L$2,N(对接源_01水果!$B867)&gt;$L$3),0,1))</f>
        <v>0</v>
      </c>
      <c r="M867" s="3">
        <f>IF(OR($M$1="",对接源_01水果!$C867="",对接源_01水果!$C867&lt;&gt;$M$1,对接源_01水果!$B867=""),0,IF(OR(N(对接源_01水果!$B867)&lt;$M$2,N(对接源_01水果!$B867)&gt;$M$3),0,1))</f>
        <v>0</v>
      </c>
      <c r="N867" s="3">
        <f>IF(OR($N$1="",对接源_01水果!$C867="",对接源_01水果!$C867&lt;&gt;$N$1,对接源_01水果!$B867=""),0,IF(OR(N(对接源_01水果!$B867)&lt;$N$2,N(对接源_01水果!$B867)&gt;$N$3),0,1))</f>
        <v>0</v>
      </c>
      <c r="P867" s="3">
        <f>IF(AND($K867=1,AND(对接源_01水果!$X867="公司筐",N(对接源_01水果!$T867)&lt;&gt;0)),1,0)</f>
        <v>0</v>
      </c>
      <c r="Q867" s="3">
        <f t="shared" si="232"/>
        <v>0</v>
      </c>
      <c r="R867" s="3">
        <f>IF(AND($K867=1,AND(对接源_01水果!$X867="公司筐",N(对接源_01水果!$U867)&lt;&gt;0)),1,0)</f>
        <v>0</v>
      </c>
      <c r="S867" s="3">
        <f t="shared" si="233"/>
        <v>0</v>
      </c>
      <c r="T867" s="3">
        <f>IF(AND($K867=1,AND(对接源_01水果!$X867="公司筐",N(对接源_01水果!$V867)&lt;&gt;0)),1,0)</f>
        <v>0</v>
      </c>
      <c r="U867" s="3">
        <f t="shared" si="234"/>
        <v>19</v>
      </c>
      <c r="V867" s="3">
        <f>IF(AND($L867=1,AND(对接源_01水果!$X867="自备筐",N(对接源_01水果!$V867)&lt;&gt;0)),1,0)</f>
        <v>0</v>
      </c>
      <c r="W867" s="3">
        <f t="shared" si="235"/>
        <v>8</v>
      </c>
      <c r="X867" s="3">
        <f>IF(AND($L867=1,AND(对接源_01水果!$X867="自备筐",N(对接源_01水果!$T867)&lt;&gt;0)),1,0)</f>
        <v>0</v>
      </c>
      <c r="Y867" s="3">
        <f t="shared" si="236"/>
        <v>0</v>
      </c>
      <c r="Z867" s="3">
        <f>IF(AND($M867=1,对接源_01水果!$D867="原料入库"),1,0)</f>
        <v>0</v>
      </c>
      <c r="AA867" s="3">
        <f t="shared" si="237"/>
        <v>24</v>
      </c>
      <c r="AB867" s="3">
        <f>IF(AND($M867=1,LEFT(对接源_01水果!$D867,4)="原料出库"),1,0)</f>
        <v>0</v>
      </c>
      <c r="AC867" s="3">
        <f t="shared" si="238"/>
        <v>0</v>
      </c>
      <c r="AD867" s="3">
        <f>IF(AND($M867=1,LEFT(对接源_01水果!$D867,4)="成品出库"),1,0)</f>
        <v>0</v>
      </c>
      <c r="AE867" s="3">
        <f t="shared" si="239"/>
        <v>0</v>
      </c>
      <c r="AF867" s="3">
        <f>IF(AND($N867=1,AND(LEFT(对接源_01水果!$D867,4)="包装物料",N(对接源_01水果!$K867)&lt;&gt;0)),1,0)</f>
        <v>0</v>
      </c>
      <c r="AG867" s="3">
        <f t="shared" si="240"/>
        <v>0</v>
      </c>
      <c r="AH867" s="3">
        <f>IF(AND($N867=1,AND(对接源_01水果!$D867="周转筐－销售出库",N(对接源_01水果!$K867)&lt;&gt;0)),1,0)</f>
        <v>0</v>
      </c>
      <c r="AI867" s="3">
        <f t="shared" si="241"/>
        <v>0</v>
      </c>
      <c r="AJ867" s="7"/>
      <c r="AL867" s="3">
        <f>IF(OR($AL$1="",对接源_01水果!$Y867="",对接源_01水果!$Y867&lt;&gt;$AL$1,对接源_01水果!$B867="",N(对接源_01水果!$AJ867)&lt;=0),0,IF(OR(N(对接源_01水果!$B867)&lt;$AL$2,N(对接源_01水果!$B867)&gt;$AL$3),0,1))</f>
        <v>0</v>
      </c>
      <c r="AM867" s="3">
        <f t="shared" si="242"/>
        <v>1</v>
      </c>
      <c r="AN867" s="3" t="str">
        <f>IF(对接源_01水果!$AC867="","",对接源_01水果!$AC867)</f>
        <v/>
      </c>
      <c r="AO867" s="3">
        <f t="shared" si="243"/>
        <v>0</v>
      </c>
      <c r="AP867" s="3">
        <f t="shared" si="244"/>
        <v>8</v>
      </c>
      <c r="AR867">
        <f t="shared" si="245"/>
        <v>0</v>
      </c>
      <c r="AS867">
        <f t="shared" si="246"/>
        <v>0</v>
      </c>
    </row>
    <row r="868" ht="14.25" customHeight="1" spans="1:45">
      <c r="A868" s="3" t="str">
        <f>IF(对接源_01水果!$C868="","",对接源_01水果!$C868)</f>
        <v/>
      </c>
      <c r="B868" s="3">
        <f t="shared" si="230"/>
        <v>0</v>
      </c>
      <c r="C868" s="3">
        <f t="shared" si="231"/>
        <v>18</v>
      </c>
      <c r="K868" s="3">
        <f>IF(OR($K$1="",对接源_01水果!$C868="",对接源_01水果!$C868&lt;&gt;$K$1,对接源_01水果!$B868=""),0,IF(OR(N(对接源_01水果!$B868)&lt;$K$2,N(对接源_01水果!$B868)&gt;$K$3),0,1))</f>
        <v>0</v>
      </c>
      <c r="L868" s="3">
        <f>IF(OR($L$1="",对接源_01水果!$C868="",对接源_01水果!$C868&lt;&gt;$L$1,对接源_01水果!$B868=""),0,IF(OR(N(对接源_01水果!$B868)&lt;$L$2,N(对接源_01水果!$B868)&gt;$L$3),0,1))</f>
        <v>0</v>
      </c>
      <c r="M868" s="3">
        <f>IF(OR($M$1="",对接源_01水果!$C868="",对接源_01水果!$C868&lt;&gt;$M$1,对接源_01水果!$B868=""),0,IF(OR(N(对接源_01水果!$B868)&lt;$M$2,N(对接源_01水果!$B868)&gt;$M$3),0,1))</f>
        <v>0</v>
      </c>
      <c r="N868" s="3">
        <f>IF(OR($N$1="",对接源_01水果!$C868="",对接源_01水果!$C868&lt;&gt;$N$1,对接源_01水果!$B868=""),0,IF(OR(N(对接源_01水果!$B868)&lt;$N$2,N(对接源_01水果!$B868)&gt;$N$3),0,1))</f>
        <v>0</v>
      </c>
      <c r="P868" s="3">
        <f>IF(AND($K868=1,AND(对接源_01水果!$X868="公司筐",N(对接源_01水果!$T868)&lt;&gt;0)),1,0)</f>
        <v>0</v>
      </c>
      <c r="Q868" s="3">
        <f t="shared" si="232"/>
        <v>0</v>
      </c>
      <c r="R868" s="3">
        <f>IF(AND($K868=1,AND(对接源_01水果!$X868="公司筐",N(对接源_01水果!$U868)&lt;&gt;0)),1,0)</f>
        <v>0</v>
      </c>
      <c r="S868" s="3">
        <f t="shared" si="233"/>
        <v>0</v>
      </c>
      <c r="T868" s="3">
        <f>IF(AND($K868=1,AND(对接源_01水果!$X868="公司筐",N(对接源_01水果!$V868)&lt;&gt;0)),1,0)</f>
        <v>0</v>
      </c>
      <c r="U868" s="3">
        <f t="shared" si="234"/>
        <v>19</v>
      </c>
      <c r="V868" s="3">
        <f>IF(AND($L868=1,AND(对接源_01水果!$X868="自备筐",N(对接源_01水果!$V868)&lt;&gt;0)),1,0)</f>
        <v>0</v>
      </c>
      <c r="W868" s="3">
        <f t="shared" si="235"/>
        <v>8</v>
      </c>
      <c r="X868" s="3">
        <f>IF(AND($L868=1,AND(对接源_01水果!$X868="自备筐",N(对接源_01水果!$T868)&lt;&gt;0)),1,0)</f>
        <v>0</v>
      </c>
      <c r="Y868" s="3">
        <f t="shared" si="236"/>
        <v>0</v>
      </c>
      <c r="Z868" s="3">
        <f>IF(AND($M868=1,对接源_01水果!$D868="原料入库"),1,0)</f>
        <v>0</v>
      </c>
      <c r="AA868" s="3">
        <f t="shared" si="237"/>
        <v>24</v>
      </c>
      <c r="AB868" s="3">
        <f>IF(AND($M868=1,LEFT(对接源_01水果!$D868,4)="原料出库"),1,0)</f>
        <v>0</v>
      </c>
      <c r="AC868" s="3">
        <f t="shared" si="238"/>
        <v>0</v>
      </c>
      <c r="AD868" s="3">
        <f>IF(AND($M868=1,LEFT(对接源_01水果!$D868,4)="成品出库"),1,0)</f>
        <v>0</v>
      </c>
      <c r="AE868" s="3">
        <f t="shared" si="239"/>
        <v>0</v>
      </c>
      <c r="AF868" s="3">
        <f>IF(AND($N868=1,AND(LEFT(对接源_01水果!$D868,4)="包装物料",N(对接源_01水果!$K868)&lt;&gt;0)),1,0)</f>
        <v>0</v>
      </c>
      <c r="AG868" s="3">
        <f t="shared" si="240"/>
        <v>0</v>
      </c>
      <c r="AH868" s="3">
        <f>IF(AND($N868=1,AND(对接源_01水果!$D868="周转筐－销售出库",N(对接源_01水果!$K868)&lt;&gt;0)),1,0)</f>
        <v>0</v>
      </c>
      <c r="AI868" s="3">
        <f t="shared" si="241"/>
        <v>0</v>
      </c>
      <c r="AJ868" s="7"/>
      <c r="AL868" s="3">
        <f>IF(OR($AL$1="",对接源_01水果!$Y868="",对接源_01水果!$Y868&lt;&gt;$AL$1,对接源_01水果!$B868="",N(对接源_01水果!$AJ868)&lt;=0),0,IF(OR(N(对接源_01水果!$B868)&lt;$AL$2,N(对接源_01水果!$B868)&gt;$AL$3),0,1))</f>
        <v>0</v>
      </c>
      <c r="AM868" s="3">
        <f t="shared" si="242"/>
        <v>1</v>
      </c>
      <c r="AN868" s="3" t="str">
        <f>IF(对接源_01水果!$AC868="","",对接源_01水果!$AC868)</f>
        <v/>
      </c>
      <c r="AO868" s="3">
        <f t="shared" si="243"/>
        <v>0</v>
      </c>
      <c r="AP868" s="3">
        <f t="shared" si="244"/>
        <v>8</v>
      </c>
      <c r="AR868">
        <f t="shared" si="245"/>
        <v>0</v>
      </c>
      <c r="AS868">
        <f t="shared" si="246"/>
        <v>0</v>
      </c>
    </row>
    <row r="869" ht="14.25" customHeight="1" spans="1:45">
      <c r="A869" s="3" t="str">
        <f>IF(对接源_01水果!$C869="","",对接源_01水果!$C869)</f>
        <v/>
      </c>
      <c r="B869" s="3">
        <f t="shared" si="230"/>
        <v>0</v>
      </c>
      <c r="C869" s="3">
        <f t="shared" si="231"/>
        <v>18</v>
      </c>
      <c r="K869" s="3">
        <f>IF(OR($K$1="",对接源_01水果!$C869="",对接源_01水果!$C869&lt;&gt;$K$1,对接源_01水果!$B869=""),0,IF(OR(N(对接源_01水果!$B869)&lt;$K$2,N(对接源_01水果!$B869)&gt;$K$3),0,1))</f>
        <v>0</v>
      </c>
      <c r="L869" s="3">
        <f>IF(OR($L$1="",对接源_01水果!$C869="",对接源_01水果!$C869&lt;&gt;$L$1,对接源_01水果!$B869=""),0,IF(OR(N(对接源_01水果!$B869)&lt;$L$2,N(对接源_01水果!$B869)&gt;$L$3),0,1))</f>
        <v>0</v>
      </c>
      <c r="M869" s="3">
        <f>IF(OR($M$1="",对接源_01水果!$C869="",对接源_01水果!$C869&lt;&gt;$M$1,对接源_01水果!$B869=""),0,IF(OR(N(对接源_01水果!$B869)&lt;$M$2,N(对接源_01水果!$B869)&gt;$M$3),0,1))</f>
        <v>0</v>
      </c>
      <c r="N869" s="3">
        <f>IF(OR($N$1="",对接源_01水果!$C869="",对接源_01水果!$C869&lt;&gt;$N$1,对接源_01水果!$B869=""),0,IF(OR(N(对接源_01水果!$B869)&lt;$N$2,N(对接源_01水果!$B869)&gt;$N$3),0,1))</f>
        <v>0</v>
      </c>
      <c r="P869" s="3">
        <f>IF(AND($K869=1,AND(对接源_01水果!$X869="公司筐",N(对接源_01水果!$T869)&lt;&gt;0)),1,0)</f>
        <v>0</v>
      </c>
      <c r="Q869" s="3">
        <f t="shared" si="232"/>
        <v>0</v>
      </c>
      <c r="R869" s="3">
        <f>IF(AND($K869=1,AND(对接源_01水果!$X869="公司筐",N(对接源_01水果!$U869)&lt;&gt;0)),1,0)</f>
        <v>0</v>
      </c>
      <c r="S869" s="3">
        <f t="shared" si="233"/>
        <v>0</v>
      </c>
      <c r="T869" s="3">
        <f>IF(AND($K869=1,AND(对接源_01水果!$X869="公司筐",N(对接源_01水果!$V869)&lt;&gt;0)),1,0)</f>
        <v>0</v>
      </c>
      <c r="U869" s="3">
        <f t="shared" si="234"/>
        <v>19</v>
      </c>
      <c r="V869" s="3">
        <f>IF(AND($L869=1,AND(对接源_01水果!$X869="自备筐",N(对接源_01水果!$V869)&lt;&gt;0)),1,0)</f>
        <v>0</v>
      </c>
      <c r="W869" s="3">
        <f t="shared" si="235"/>
        <v>8</v>
      </c>
      <c r="X869" s="3">
        <f>IF(AND($L869=1,AND(对接源_01水果!$X869="自备筐",N(对接源_01水果!$T869)&lt;&gt;0)),1,0)</f>
        <v>0</v>
      </c>
      <c r="Y869" s="3">
        <f t="shared" si="236"/>
        <v>0</v>
      </c>
      <c r="Z869" s="3">
        <f>IF(AND($M869=1,对接源_01水果!$D869="原料入库"),1,0)</f>
        <v>0</v>
      </c>
      <c r="AA869" s="3">
        <f t="shared" si="237"/>
        <v>24</v>
      </c>
      <c r="AB869" s="3">
        <f>IF(AND($M869=1,LEFT(对接源_01水果!$D869,4)="原料出库"),1,0)</f>
        <v>0</v>
      </c>
      <c r="AC869" s="3">
        <f t="shared" si="238"/>
        <v>0</v>
      </c>
      <c r="AD869" s="3">
        <f>IF(AND($M869=1,LEFT(对接源_01水果!$D869,4)="成品出库"),1,0)</f>
        <v>0</v>
      </c>
      <c r="AE869" s="3">
        <f t="shared" si="239"/>
        <v>0</v>
      </c>
      <c r="AF869" s="3">
        <f>IF(AND($N869=1,AND(LEFT(对接源_01水果!$D869,4)="包装物料",N(对接源_01水果!$K869)&lt;&gt;0)),1,0)</f>
        <v>0</v>
      </c>
      <c r="AG869" s="3">
        <f t="shared" si="240"/>
        <v>0</v>
      </c>
      <c r="AH869" s="3">
        <f>IF(AND($N869=1,AND(对接源_01水果!$D869="周转筐－销售出库",N(对接源_01水果!$K869)&lt;&gt;0)),1,0)</f>
        <v>0</v>
      </c>
      <c r="AI869" s="3">
        <f t="shared" si="241"/>
        <v>0</v>
      </c>
      <c r="AJ869" s="7"/>
      <c r="AL869" s="3">
        <f>IF(OR($AL$1="",对接源_01水果!$Y869="",对接源_01水果!$Y869&lt;&gt;$AL$1,对接源_01水果!$B869="",N(对接源_01水果!$AJ869)&lt;=0),0,IF(OR(N(对接源_01水果!$B869)&lt;$AL$2,N(对接源_01水果!$B869)&gt;$AL$3),0,1))</f>
        <v>0</v>
      </c>
      <c r="AM869" s="3">
        <f t="shared" si="242"/>
        <v>1</v>
      </c>
      <c r="AN869" s="3" t="str">
        <f>IF(对接源_01水果!$AC869="","",对接源_01水果!$AC869)</f>
        <v/>
      </c>
      <c r="AO869" s="3">
        <f t="shared" si="243"/>
        <v>0</v>
      </c>
      <c r="AP869" s="3">
        <f t="shared" si="244"/>
        <v>8</v>
      </c>
      <c r="AR869">
        <f t="shared" si="245"/>
        <v>0</v>
      </c>
      <c r="AS869">
        <f t="shared" si="246"/>
        <v>0</v>
      </c>
    </row>
    <row r="870" ht="14.25" customHeight="1" spans="1:45">
      <c r="A870" s="3" t="str">
        <f>IF(对接源_01水果!$C870="","",对接源_01水果!$C870)</f>
        <v/>
      </c>
      <c r="B870" s="3">
        <f t="shared" si="230"/>
        <v>0</v>
      </c>
      <c r="C870" s="3">
        <f t="shared" si="231"/>
        <v>18</v>
      </c>
      <c r="K870" s="3">
        <f>IF(OR($K$1="",对接源_01水果!$C870="",对接源_01水果!$C870&lt;&gt;$K$1,对接源_01水果!$B870=""),0,IF(OR(N(对接源_01水果!$B870)&lt;$K$2,N(对接源_01水果!$B870)&gt;$K$3),0,1))</f>
        <v>0</v>
      </c>
      <c r="L870" s="3">
        <f>IF(OR($L$1="",对接源_01水果!$C870="",对接源_01水果!$C870&lt;&gt;$L$1,对接源_01水果!$B870=""),0,IF(OR(N(对接源_01水果!$B870)&lt;$L$2,N(对接源_01水果!$B870)&gt;$L$3),0,1))</f>
        <v>0</v>
      </c>
      <c r="M870" s="3">
        <f>IF(OR($M$1="",对接源_01水果!$C870="",对接源_01水果!$C870&lt;&gt;$M$1,对接源_01水果!$B870=""),0,IF(OR(N(对接源_01水果!$B870)&lt;$M$2,N(对接源_01水果!$B870)&gt;$M$3),0,1))</f>
        <v>0</v>
      </c>
      <c r="N870" s="3">
        <f>IF(OR($N$1="",对接源_01水果!$C870="",对接源_01水果!$C870&lt;&gt;$N$1,对接源_01水果!$B870=""),0,IF(OR(N(对接源_01水果!$B870)&lt;$N$2,N(对接源_01水果!$B870)&gt;$N$3),0,1))</f>
        <v>0</v>
      </c>
      <c r="P870" s="3">
        <f>IF(AND($K870=1,AND(对接源_01水果!$X870="公司筐",N(对接源_01水果!$T870)&lt;&gt;0)),1,0)</f>
        <v>0</v>
      </c>
      <c r="Q870" s="3">
        <f t="shared" si="232"/>
        <v>0</v>
      </c>
      <c r="R870" s="3">
        <f>IF(AND($K870=1,AND(对接源_01水果!$X870="公司筐",N(对接源_01水果!$U870)&lt;&gt;0)),1,0)</f>
        <v>0</v>
      </c>
      <c r="S870" s="3">
        <f t="shared" si="233"/>
        <v>0</v>
      </c>
      <c r="T870" s="3">
        <f>IF(AND($K870=1,AND(对接源_01水果!$X870="公司筐",N(对接源_01水果!$V870)&lt;&gt;0)),1,0)</f>
        <v>0</v>
      </c>
      <c r="U870" s="3">
        <f t="shared" si="234"/>
        <v>19</v>
      </c>
      <c r="V870" s="3">
        <f>IF(AND($L870=1,AND(对接源_01水果!$X870="自备筐",N(对接源_01水果!$V870)&lt;&gt;0)),1,0)</f>
        <v>0</v>
      </c>
      <c r="W870" s="3">
        <f t="shared" si="235"/>
        <v>8</v>
      </c>
      <c r="X870" s="3">
        <f>IF(AND($L870=1,AND(对接源_01水果!$X870="自备筐",N(对接源_01水果!$T870)&lt;&gt;0)),1,0)</f>
        <v>0</v>
      </c>
      <c r="Y870" s="3">
        <f t="shared" si="236"/>
        <v>0</v>
      </c>
      <c r="Z870" s="3">
        <f>IF(AND($M870=1,对接源_01水果!$D870="原料入库"),1,0)</f>
        <v>0</v>
      </c>
      <c r="AA870" s="3">
        <f t="shared" si="237"/>
        <v>24</v>
      </c>
      <c r="AB870" s="3">
        <f>IF(AND($M870=1,LEFT(对接源_01水果!$D870,4)="原料出库"),1,0)</f>
        <v>0</v>
      </c>
      <c r="AC870" s="3">
        <f t="shared" si="238"/>
        <v>0</v>
      </c>
      <c r="AD870" s="3">
        <f>IF(AND($M870=1,LEFT(对接源_01水果!$D870,4)="成品出库"),1,0)</f>
        <v>0</v>
      </c>
      <c r="AE870" s="3">
        <f t="shared" si="239"/>
        <v>0</v>
      </c>
      <c r="AF870" s="3">
        <f>IF(AND($N870=1,AND(LEFT(对接源_01水果!$D870,4)="包装物料",N(对接源_01水果!$K870)&lt;&gt;0)),1,0)</f>
        <v>0</v>
      </c>
      <c r="AG870" s="3">
        <f t="shared" si="240"/>
        <v>0</v>
      </c>
      <c r="AH870" s="3">
        <f>IF(AND($N870=1,AND(对接源_01水果!$D870="周转筐－销售出库",N(对接源_01水果!$K870)&lt;&gt;0)),1,0)</f>
        <v>0</v>
      </c>
      <c r="AI870" s="3">
        <f t="shared" si="241"/>
        <v>0</v>
      </c>
      <c r="AJ870" s="7"/>
      <c r="AL870" s="3">
        <f>IF(OR($AL$1="",对接源_01水果!$Y870="",对接源_01水果!$Y870&lt;&gt;$AL$1,对接源_01水果!$B870="",N(对接源_01水果!$AJ870)&lt;=0),0,IF(OR(N(对接源_01水果!$B870)&lt;$AL$2,N(对接源_01水果!$B870)&gt;$AL$3),0,1))</f>
        <v>0</v>
      </c>
      <c r="AM870" s="3">
        <f t="shared" si="242"/>
        <v>1</v>
      </c>
      <c r="AN870" s="3" t="str">
        <f>IF(对接源_01水果!$AC870="","",对接源_01水果!$AC870)</f>
        <v/>
      </c>
      <c r="AO870" s="3">
        <f t="shared" si="243"/>
        <v>0</v>
      </c>
      <c r="AP870" s="3">
        <f t="shared" si="244"/>
        <v>8</v>
      </c>
      <c r="AR870">
        <f t="shared" si="245"/>
        <v>0</v>
      </c>
      <c r="AS870">
        <f t="shared" si="246"/>
        <v>0</v>
      </c>
    </row>
    <row r="871" ht="14.25" customHeight="1" spans="1:45">
      <c r="A871" s="3" t="str">
        <f>IF(对接源_01水果!$C871="","",对接源_01水果!$C871)</f>
        <v/>
      </c>
      <c r="B871" s="3">
        <f t="shared" si="230"/>
        <v>0</v>
      </c>
      <c r="C871" s="3">
        <f t="shared" si="231"/>
        <v>18</v>
      </c>
      <c r="K871" s="3">
        <f>IF(OR($K$1="",对接源_01水果!$C871="",对接源_01水果!$C871&lt;&gt;$K$1,对接源_01水果!$B871=""),0,IF(OR(N(对接源_01水果!$B871)&lt;$K$2,N(对接源_01水果!$B871)&gt;$K$3),0,1))</f>
        <v>0</v>
      </c>
      <c r="L871" s="3">
        <f>IF(OR($L$1="",对接源_01水果!$C871="",对接源_01水果!$C871&lt;&gt;$L$1,对接源_01水果!$B871=""),0,IF(OR(N(对接源_01水果!$B871)&lt;$L$2,N(对接源_01水果!$B871)&gt;$L$3),0,1))</f>
        <v>0</v>
      </c>
      <c r="M871" s="3">
        <f>IF(OR($M$1="",对接源_01水果!$C871="",对接源_01水果!$C871&lt;&gt;$M$1,对接源_01水果!$B871=""),0,IF(OR(N(对接源_01水果!$B871)&lt;$M$2,N(对接源_01水果!$B871)&gt;$M$3),0,1))</f>
        <v>0</v>
      </c>
      <c r="N871" s="3">
        <f>IF(OR($N$1="",对接源_01水果!$C871="",对接源_01水果!$C871&lt;&gt;$N$1,对接源_01水果!$B871=""),0,IF(OR(N(对接源_01水果!$B871)&lt;$N$2,N(对接源_01水果!$B871)&gt;$N$3),0,1))</f>
        <v>0</v>
      </c>
      <c r="P871" s="3">
        <f>IF(AND($K871=1,AND(对接源_01水果!$X871="公司筐",N(对接源_01水果!$T871)&lt;&gt;0)),1,0)</f>
        <v>0</v>
      </c>
      <c r="Q871" s="3">
        <f t="shared" si="232"/>
        <v>0</v>
      </c>
      <c r="R871" s="3">
        <f>IF(AND($K871=1,AND(对接源_01水果!$X871="公司筐",N(对接源_01水果!$U871)&lt;&gt;0)),1,0)</f>
        <v>0</v>
      </c>
      <c r="S871" s="3">
        <f t="shared" si="233"/>
        <v>0</v>
      </c>
      <c r="T871" s="3">
        <f>IF(AND($K871=1,AND(对接源_01水果!$X871="公司筐",N(对接源_01水果!$V871)&lt;&gt;0)),1,0)</f>
        <v>0</v>
      </c>
      <c r="U871" s="3">
        <f t="shared" si="234"/>
        <v>19</v>
      </c>
      <c r="V871" s="3">
        <f>IF(AND($L871=1,AND(对接源_01水果!$X871="自备筐",N(对接源_01水果!$V871)&lt;&gt;0)),1,0)</f>
        <v>0</v>
      </c>
      <c r="W871" s="3">
        <f t="shared" si="235"/>
        <v>8</v>
      </c>
      <c r="X871" s="3">
        <f>IF(AND($L871=1,AND(对接源_01水果!$X871="自备筐",N(对接源_01水果!$T871)&lt;&gt;0)),1,0)</f>
        <v>0</v>
      </c>
      <c r="Y871" s="3">
        <f t="shared" si="236"/>
        <v>0</v>
      </c>
      <c r="Z871" s="3">
        <f>IF(AND($M871=1,对接源_01水果!$D871="原料入库"),1,0)</f>
        <v>0</v>
      </c>
      <c r="AA871" s="3">
        <f t="shared" si="237"/>
        <v>24</v>
      </c>
      <c r="AB871" s="3">
        <f>IF(AND($M871=1,LEFT(对接源_01水果!$D871,4)="原料出库"),1,0)</f>
        <v>0</v>
      </c>
      <c r="AC871" s="3">
        <f t="shared" si="238"/>
        <v>0</v>
      </c>
      <c r="AD871" s="3">
        <f>IF(AND($M871=1,LEFT(对接源_01水果!$D871,4)="成品出库"),1,0)</f>
        <v>0</v>
      </c>
      <c r="AE871" s="3">
        <f t="shared" si="239"/>
        <v>0</v>
      </c>
      <c r="AF871" s="3">
        <f>IF(AND($N871=1,AND(LEFT(对接源_01水果!$D871,4)="包装物料",N(对接源_01水果!$K871)&lt;&gt;0)),1,0)</f>
        <v>0</v>
      </c>
      <c r="AG871" s="3">
        <f t="shared" si="240"/>
        <v>0</v>
      </c>
      <c r="AH871" s="3">
        <f>IF(AND($N871=1,AND(对接源_01水果!$D871="周转筐－销售出库",N(对接源_01水果!$K871)&lt;&gt;0)),1,0)</f>
        <v>0</v>
      </c>
      <c r="AI871" s="3">
        <f t="shared" si="241"/>
        <v>0</v>
      </c>
      <c r="AJ871" s="7"/>
      <c r="AL871" s="3">
        <f>IF(OR($AL$1="",对接源_01水果!$Y871="",对接源_01水果!$Y871&lt;&gt;$AL$1,对接源_01水果!$B871="",N(对接源_01水果!$AJ871)&lt;=0),0,IF(OR(N(对接源_01水果!$B871)&lt;$AL$2,N(对接源_01水果!$B871)&gt;$AL$3),0,1))</f>
        <v>0</v>
      </c>
      <c r="AM871" s="3">
        <f t="shared" si="242"/>
        <v>1</v>
      </c>
      <c r="AN871" s="3" t="str">
        <f>IF(对接源_01水果!$AC871="","",对接源_01水果!$AC871)</f>
        <v/>
      </c>
      <c r="AO871" s="3">
        <f t="shared" si="243"/>
        <v>0</v>
      </c>
      <c r="AP871" s="3">
        <f t="shared" si="244"/>
        <v>8</v>
      </c>
      <c r="AR871">
        <f t="shared" si="245"/>
        <v>0</v>
      </c>
      <c r="AS871">
        <f t="shared" si="246"/>
        <v>0</v>
      </c>
    </row>
    <row r="872" ht="14.25" customHeight="1" spans="1:45">
      <c r="A872" s="3" t="str">
        <f>IF(对接源_01水果!$C872="","",对接源_01水果!$C872)</f>
        <v/>
      </c>
      <c r="B872" s="3">
        <f t="shared" si="230"/>
        <v>0</v>
      </c>
      <c r="C872" s="3">
        <f t="shared" si="231"/>
        <v>18</v>
      </c>
      <c r="K872" s="3">
        <f>IF(OR($K$1="",对接源_01水果!$C872="",对接源_01水果!$C872&lt;&gt;$K$1,对接源_01水果!$B872=""),0,IF(OR(N(对接源_01水果!$B872)&lt;$K$2,N(对接源_01水果!$B872)&gt;$K$3),0,1))</f>
        <v>0</v>
      </c>
      <c r="L872" s="3">
        <f>IF(OR($L$1="",对接源_01水果!$C872="",对接源_01水果!$C872&lt;&gt;$L$1,对接源_01水果!$B872=""),0,IF(OR(N(对接源_01水果!$B872)&lt;$L$2,N(对接源_01水果!$B872)&gt;$L$3),0,1))</f>
        <v>0</v>
      </c>
      <c r="M872" s="3">
        <f>IF(OR($M$1="",对接源_01水果!$C872="",对接源_01水果!$C872&lt;&gt;$M$1,对接源_01水果!$B872=""),0,IF(OR(N(对接源_01水果!$B872)&lt;$M$2,N(对接源_01水果!$B872)&gt;$M$3),0,1))</f>
        <v>0</v>
      </c>
      <c r="N872" s="3">
        <f>IF(OR($N$1="",对接源_01水果!$C872="",对接源_01水果!$C872&lt;&gt;$N$1,对接源_01水果!$B872=""),0,IF(OR(N(对接源_01水果!$B872)&lt;$N$2,N(对接源_01水果!$B872)&gt;$N$3),0,1))</f>
        <v>0</v>
      </c>
      <c r="P872" s="3">
        <f>IF(AND($K872=1,AND(对接源_01水果!$X872="公司筐",N(对接源_01水果!$T872)&lt;&gt;0)),1,0)</f>
        <v>0</v>
      </c>
      <c r="Q872" s="3">
        <f t="shared" si="232"/>
        <v>0</v>
      </c>
      <c r="R872" s="3">
        <f>IF(AND($K872=1,AND(对接源_01水果!$X872="公司筐",N(对接源_01水果!$U872)&lt;&gt;0)),1,0)</f>
        <v>0</v>
      </c>
      <c r="S872" s="3">
        <f t="shared" si="233"/>
        <v>0</v>
      </c>
      <c r="T872" s="3">
        <f>IF(AND($K872=1,AND(对接源_01水果!$X872="公司筐",N(对接源_01水果!$V872)&lt;&gt;0)),1,0)</f>
        <v>0</v>
      </c>
      <c r="U872" s="3">
        <f t="shared" si="234"/>
        <v>19</v>
      </c>
      <c r="V872" s="3">
        <f>IF(AND($L872=1,AND(对接源_01水果!$X872="自备筐",N(对接源_01水果!$V872)&lt;&gt;0)),1,0)</f>
        <v>0</v>
      </c>
      <c r="W872" s="3">
        <f t="shared" si="235"/>
        <v>8</v>
      </c>
      <c r="X872" s="3">
        <f>IF(AND($L872=1,AND(对接源_01水果!$X872="自备筐",N(对接源_01水果!$T872)&lt;&gt;0)),1,0)</f>
        <v>0</v>
      </c>
      <c r="Y872" s="3">
        <f t="shared" si="236"/>
        <v>0</v>
      </c>
      <c r="Z872" s="3">
        <f>IF(AND($M872=1,对接源_01水果!$D872="原料入库"),1,0)</f>
        <v>0</v>
      </c>
      <c r="AA872" s="3">
        <f t="shared" si="237"/>
        <v>24</v>
      </c>
      <c r="AB872" s="3">
        <f>IF(AND($M872=1,LEFT(对接源_01水果!$D872,4)="原料出库"),1,0)</f>
        <v>0</v>
      </c>
      <c r="AC872" s="3">
        <f t="shared" si="238"/>
        <v>0</v>
      </c>
      <c r="AD872" s="3">
        <f>IF(AND($M872=1,LEFT(对接源_01水果!$D872,4)="成品出库"),1,0)</f>
        <v>0</v>
      </c>
      <c r="AE872" s="3">
        <f t="shared" si="239"/>
        <v>0</v>
      </c>
      <c r="AF872" s="3">
        <f>IF(AND($N872=1,AND(LEFT(对接源_01水果!$D872,4)="包装物料",N(对接源_01水果!$K872)&lt;&gt;0)),1,0)</f>
        <v>0</v>
      </c>
      <c r="AG872" s="3">
        <f t="shared" si="240"/>
        <v>0</v>
      </c>
      <c r="AH872" s="3">
        <f>IF(AND($N872=1,AND(对接源_01水果!$D872="周转筐－销售出库",N(对接源_01水果!$K872)&lt;&gt;0)),1,0)</f>
        <v>0</v>
      </c>
      <c r="AI872" s="3">
        <f t="shared" si="241"/>
        <v>0</v>
      </c>
      <c r="AJ872" s="7"/>
      <c r="AL872" s="3">
        <f>IF(OR($AL$1="",对接源_01水果!$Y872="",对接源_01水果!$Y872&lt;&gt;$AL$1,对接源_01水果!$B872="",N(对接源_01水果!$AJ872)&lt;=0),0,IF(OR(N(对接源_01水果!$B872)&lt;$AL$2,N(对接源_01水果!$B872)&gt;$AL$3),0,1))</f>
        <v>0</v>
      </c>
      <c r="AM872" s="3">
        <f t="shared" si="242"/>
        <v>1</v>
      </c>
      <c r="AN872" s="3" t="str">
        <f>IF(对接源_01水果!$AC872="","",对接源_01水果!$AC872)</f>
        <v/>
      </c>
      <c r="AO872" s="3">
        <f t="shared" si="243"/>
        <v>0</v>
      </c>
      <c r="AP872" s="3">
        <f t="shared" si="244"/>
        <v>8</v>
      </c>
      <c r="AR872">
        <f t="shared" si="245"/>
        <v>0</v>
      </c>
      <c r="AS872">
        <f t="shared" si="246"/>
        <v>0</v>
      </c>
    </row>
    <row r="873" ht="14.25" customHeight="1" spans="1:45">
      <c r="A873" s="3" t="str">
        <f>IF(对接源_01水果!$C873="","",对接源_01水果!$C873)</f>
        <v/>
      </c>
      <c r="B873" s="3">
        <f t="shared" si="230"/>
        <v>0</v>
      </c>
      <c r="C873" s="3">
        <f t="shared" si="231"/>
        <v>18</v>
      </c>
      <c r="K873" s="3">
        <f>IF(OR($K$1="",对接源_01水果!$C873="",对接源_01水果!$C873&lt;&gt;$K$1,对接源_01水果!$B873=""),0,IF(OR(N(对接源_01水果!$B873)&lt;$K$2,N(对接源_01水果!$B873)&gt;$K$3),0,1))</f>
        <v>0</v>
      </c>
      <c r="L873" s="3">
        <f>IF(OR($L$1="",对接源_01水果!$C873="",对接源_01水果!$C873&lt;&gt;$L$1,对接源_01水果!$B873=""),0,IF(OR(N(对接源_01水果!$B873)&lt;$L$2,N(对接源_01水果!$B873)&gt;$L$3),0,1))</f>
        <v>0</v>
      </c>
      <c r="M873" s="3">
        <f>IF(OR($M$1="",对接源_01水果!$C873="",对接源_01水果!$C873&lt;&gt;$M$1,对接源_01水果!$B873=""),0,IF(OR(N(对接源_01水果!$B873)&lt;$M$2,N(对接源_01水果!$B873)&gt;$M$3),0,1))</f>
        <v>0</v>
      </c>
      <c r="N873" s="3">
        <f>IF(OR($N$1="",对接源_01水果!$C873="",对接源_01水果!$C873&lt;&gt;$N$1,对接源_01水果!$B873=""),0,IF(OR(N(对接源_01水果!$B873)&lt;$N$2,N(对接源_01水果!$B873)&gt;$N$3),0,1))</f>
        <v>0</v>
      </c>
      <c r="P873" s="3">
        <f>IF(AND($K873=1,AND(对接源_01水果!$X873="公司筐",N(对接源_01水果!$T873)&lt;&gt;0)),1,0)</f>
        <v>0</v>
      </c>
      <c r="Q873" s="3">
        <f t="shared" si="232"/>
        <v>0</v>
      </c>
      <c r="R873" s="3">
        <f>IF(AND($K873=1,AND(对接源_01水果!$X873="公司筐",N(对接源_01水果!$U873)&lt;&gt;0)),1,0)</f>
        <v>0</v>
      </c>
      <c r="S873" s="3">
        <f t="shared" si="233"/>
        <v>0</v>
      </c>
      <c r="T873" s="3">
        <f>IF(AND($K873=1,AND(对接源_01水果!$X873="公司筐",N(对接源_01水果!$V873)&lt;&gt;0)),1,0)</f>
        <v>0</v>
      </c>
      <c r="U873" s="3">
        <f t="shared" si="234"/>
        <v>19</v>
      </c>
      <c r="V873" s="3">
        <f>IF(AND($L873=1,AND(对接源_01水果!$X873="自备筐",N(对接源_01水果!$V873)&lt;&gt;0)),1,0)</f>
        <v>0</v>
      </c>
      <c r="W873" s="3">
        <f t="shared" si="235"/>
        <v>8</v>
      </c>
      <c r="X873" s="3">
        <f>IF(AND($L873=1,AND(对接源_01水果!$X873="自备筐",N(对接源_01水果!$T873)&lt;&gt;0)),1,0)</f>
        <v>0</v>
      </c>
      <c r="Y873" s="3">
        <f t="shared" si="236"/>
        <v>0</v>
      </c>
      <c r="Z873" s="3">
        <f>IF(AND($M873=1,对接源_01水果!$D873="原料入库"),1,0)</f>
        <v>0</v>
      </c>
      <c r="AA873" s="3">
        <f t="shared" si="237"/>
        <v>24</v>
      </c>
      <c r="AB873" s="3">
        <f>IF(AND($M873=1,LEFT(对接源_01水果!$D873,4)="原料出库"),1,0)</f>
        <v>0</v>
      </c>
      <c r="AC873" s="3">
        <f t="shared" si="238"/>
        <v>0</v>
      </c>
      <c r="AD873" s="3">
        <f>IF(AND($M873=1,LEFT(对接源_01水果!$D873,4)="成品出库"),1,0)</f>
        <v>0</v>
      </c>
      <c r="AE873" s="3">
        <f t="shared" si="239"/>
        <v>0</v>
      </c>
      <c r="AF873" s="3">
        <f>IF(AND($N873=1,AND(LEFT(对接源_01水果!$D873,4)="包装物料",N(对接源_01水果!$K873)&lt;&gt;0)),1,0)</f>
        <v>0</v>
      </c>
      <c r="AG873" s="3">
        <f t="shared" si="240"/>
        <v>0</v>
      </c>
      <c r="AH873" s="3">
        <f>IF(AND($N873=1,AND(对接源_01水果!$D873="周转筐－销售出库",N(对接源_01水果!$K873)&lt;&gt;0)),1,0)</f>
        <v>0</v>
      </c>
      <c r="AI873" s="3">
        <f t="shared" si="241"/>
        <v>0</v>
      </c>
      <c r="AJ873" s="7"/>
      <c r="AL873" s="3">
        <f>IF(OR($AL$1="",对接源_01水果!$Y873="",对接源_01水果!$Y873&lt;&gt;$AL$1,对接源_01水果!$B873="",N(对接源_01水果!$AJ873)&lt;=0),0,IF(OR(N(对接源_01水果!$B873)&lt;$AL$2,N(对接源_01水果!$B873)&gt;$AL$3),0,1))</f>
        <v>0</v>
      </c>
      <c r="AM873" s="3">
        <f t="shared" si="242"/>
        <v>1</v>
      </c>
      <c r="AN873" s="3" t="str">
        <f>IF(对接源_01水果!$AC873="","",对接源_01水果!$AC873)</f>
        <v/>
      </c>
      <c r="AO873" s="3">
        <f t="shared" si="243"/>
        <v>0</v>
      </c>
      <c r="AP873" s="3">
        <f t="shared" si="244"/>
        <v>8</v>
      </c>
      <c r="AR873">
        <f t="shared" si="245"/>
        <v>0</v>
      </c>
      <c r="AS873">
        <f t="shared" si="246"/>
        <v>0</v>
      </c>
    </row>
    <row r="874" ht="14.25" customHeight="1" spans="1:45">
      <c r="A874" s="3" t="str">
        <f>IF(对接源_01水果!$C874="","",对接源_01水果!$C874)</f>
        <v/>
      </c>
      <c r="B874" s="3">
        <f t="shared" si="230"/>
        <v>0</v>
      </c>
      <c r="C874" s="3">
        <f t="shared" si="231"/>
        <v>18</v>
      </c>
      <c r="K874" s="3">
        <f>IF(OR($K$1="",对接源_01水果!$C874="",对接源_01水果!$C874&lt;&gt;$K$1,对接源_01水果!$B874=""),0,IF(OR(N(对接源_01水果!$B874)&lt;$K$2,N(对接源_01水果!$B874)&gt;$K$3),0,1))</f>
        <v>0</v>
      </c>
      <c r="L874" s="3">
        <f>IF(OR($L$1="",对接源_01水果!$C874="",对接源_01水果!$C874&lt;&gt;$L$1,对接源_01水果!$B874=""),0,IF(OR(N(对接源_01水果!$B874)&lt;$L$2,N(对接源_01水果!$B874)&gt;$L$3),0,1))</f>
        <v>0</v>
      </c>
      <c r="M874" s="3">
        <f>IF(OR($M$1="",对接源_01水果!$C874="",对接源_01水果!$C874&lt;&gt;$M$1,对接源_01水果!$B874=""),0,IF(OR(N(对接源_01水果!$B874)&lt;$M$2,N(对接源_01水果!$B874)&gt;$M$3),0,1))</f>
        <v>0</v>
      </c>
      <c r="N874" s="3">
        <f>IF(OR($N$1="",对接源_01水果!$C874="",对接源_01水果!$C874&lt;&gt;$N$1,对接源_01水果!$B874=""),0,IF(OR(N(对接源_01水果!$B874)&lt;$N$2,N(对接源_01水果!$B874)&gt;$N$3),0,1))</f>
        <v>0</v>
      </c>
      <c r="P874" s="3">
        <f>IF(AND($K874=1,AND(对接源_01水果!$X874="公司筐",N(对接源_01水果!$T874)&lt;&gt;0)),1,0)</f>
        <v>0</v>
      </c>
      <c r="Q874" s="3">
        <f t="shared" si="232"/>
        <v>0</v>
      </c>
      <c r="R874" s="3">
        <f>IF(AND($K874=1,AND(对接源_01水果!$X874="公司筐",N(对接源_01水果!$U874)&lt;&gt;0)),1,0)</f>
        <v>0</v>
      </c>
      <c r="S874" s="3">
        <f t="shared" si="233"/>
        <v>0</v>
      </c>
      <c r="T874" s="3">
        <f>IF(AND($K874=1,AND(对接源_01水果!$X874="公司筐",N(对接源_01水果!$V874)&lt;&gt;0)),1,0)</f>
        <v>0</v>
      </c>
      <c r="U874" s="3">
        <f t="shared" si="234"/>
        <v>19</v>
      </c>
      <c r="V874" s="3">
        <f>IF(AND($L874=1,AND(对接源_01水果!$X874="自备筐",N(对接源_01水果!$V874)&lt;&gt;0)),1,0)</f>
        <v>0</v>
      </c>
      <c r="W874" s="3">
        <f t="shared" si="235"/>
        <v>8</v>
      </c>
      <c r="X874" s="3">
        <f>IF(AND($L874=1,AND(对接源_01水果!$X874="自备筐",N(对接源_01水果!$T874)&lt;&gt;0)),1,0)</f>
        <v>0</v>
      </c>
      <c r="Y874" s="3">
        <f t="shared" si="236"/>
        <v>0</v>
      </c>
      <c r="Z874" s="3">
        <f>IF(AND($M874=1,对接源_01水果!$D874="原料入库"),1,0)</f>
        <v>0</v>
      </c>
      <c r="AA874" s="3">
        <f t="shared" si="237"/>
        <v>24</v>
      </c>
      <c r="AB874" s="3">
        <f>IF(AND($M874=1,LEFT(对接源_01水果!$D874,4)="原料出库"),1,0)</f>
        <v>0</v>
      </c>
      <c r="AC874" s="3">
        <f t="shared" si="238"/>
        <v>0</v>
      </c>
      <c r="AD874" s="3">
        <f>IF(AND($M874=1,LEFT(对接源_01水果!$D874,4)="成品出库"),1,0)</f>
        <v>0</v>
      </c>
      <c r="AE874" s="3">
        <f t="shared" si="239"/>
        <v>0</v>
      </c>
      <c r="AF874" s="3">
        <f>IF(AND($N874=1,AND(LEFT(对接源_01水果!$D874,4)="包装物料",N(对接源_01水果!$K874)&lt;&gt;0)),1,0)</f>
        <v>0</v>
      </c>
      <c r="AG874" s="3">
        <f t="shared" si="240"/>
        <v>0</v>
      </c>
      <c r="AH874" s="3">
        <f>IF(AND($N874=1,AND(对接源_01水果!$D874="周转筐－销售出库",N(对接源_01水果!$K874)&lt;&gt;0)),1,0)</f>
        <v>0</v>
      </c>
      <c r="AI874" s="3">
        <f t="shared" si="241"/>
        <v>0</v>
      </c>
      <c r="AJ874" s="7"/>
      <c r="AL874" s="3">
        <f>IF(OR($AL$1="",对接源_01水果!$Y874="",对接源_01水果!$Y874&lt;&gt;$AL$1,对接源_01水果!$B874="",N(对接源_01水果!$AJ874)&lt;=0),0,IF(OR(N(对接源_01水果!$B874)&lt;$AL$2,N(对接源_01水果!$B874)&gt;$AL$3),0,1))</f>
        <v>0</v>
      </c>
      <c r="AM874" s="3">
        <f t="shared" si="242"/>
        <v>1</v>
      </c>
      <c r="AN874" s="3" t="str">
        <f>IF(对接源_01水果!$AC874="","",对接源_01水果!$AC874)</f>
        <v/>
      </c>
      <c r="AO874" s="3">
        <f t="shared" si="243"/>
        <v>0</v>
      </c>
      <c r="AP874" s="3">
        <f t="shared" si="244"/>
        <v>8</v>
      </c>
      <c r="AR874">
        <f t="shared" si="245"/>
        <v>0</v>
      </c>
      <c r="AS874">
        <f t="shared" si="246"/>
        <v>0</v>
      </c>
    </row>
    <row r="875" ht="14.25" customHeight="1" spans="1:45">
      <c r="A875" s="3" t="str">
        <f>IF(对接源_01水果!$C875="","",对接源_01水果!$C875)</f>
        <v/>
      </c>
      <c r="B875" s="3">
        <f t="shared" si="230"/>
        <v>0</v>
      </c>
      <c r="C875" s="3">
        <f t="shared" si="231"/>
        <v>18</v>
      </c>
      <c r="K875" s="3">
        <f>IF(OR($K$1="",对接源_01水果!$C875="",对接源_01水果!$C875&lt;&gt;$K$1,对接源_01水果!$B875=""),0,IF(OR(N(对接源_01水果!$B875)&lt;$K$2,N(对接源_01水果!$B875)&gt;$K$3),0,1))</f>
        <v>0</v>
      </c>
      <c r="L875" s="3">
        <f>IF(OR($L$1="",对接源_01水果!$C875="",对接源_01水果!$C875&lt;&gt;$L$1,对接源_01水果!$B875=""),0,IF(OR(N(对接源_01水果!$B875)&lt;$L$2,N(对接源_01水果!$B875)&gt;$L$3),0,1))</f>
        <v>0</v>
      </c>
      <c r="M875" s="3">
        <f>IF(OR($M$1="",对接源_01水果!$C875="",对接源_01水果!$C875&lt;&gt;$M$1,对接源_01水果!$B875=""),0,IF(OR(N(对接源_01水果!$B875)&lt;$M$2,N(对接源_01水果!$B875)&gt;$M$3),0,1))</f>
        <v>0</v>
      </c>
      <c r="N875" s="3">
        <f>IF(OR($N$1="",对接源_01水果!$C875="",对接源_01水果!$C875&lt;&gt;$N$1,对接源_01水果!$B875=""),0,IF(OR(N(对接源_01水果!$B875)&lt;$N$2,N(对接源_01水果!$B875)&gt;$N$3),0,1))</f>
        <v>0</v>
      </c>
      <c r="P875" s="3">
        <f>IF(AND($K875=1,AND(对接源_01水果!$X875="公司筐",N(对接源_01水果!$T875)&lt;&gt;0)),1,0)</f>
        <v>0</v>
      </c>
      <c r="Q875" s="3">
        <f t="shared" si="232"/>
        <v>0</v>
      </c>
      <c r="R875" s="3">
        <f>IF(AND($K875=1,AND(对接源_01水果!$X875="公司筐",N(对接源_01水果!$U875)&lt;&gt;0)),1,0)</f>
        <v>0</v>
      </c>
      <c r="S875" s="3">
        <f t="shared" si="233"/>
        <v>0</v>
      </c>
      <c r="T875" s="3">
        <f>IF(AND($K875=1,AND(对接源_01水果!$X875="公司筐",N(对接源_01水果!$V875)&lt;&gt;0)),1,0)</f>
        <v>0</v>
      </c>
      <c r="U875" s="3">
        <f t="shared" si="234"/>
        <v>19</v>
      </c>
      <c r="V875" s="3">
        <f>IF(AND($L875=1,AND(对接源_01水果!$X875="自备筐",N(对接源_01水果!$V875)&lt;&gt;0)),1,0)</f>
        <v>0</v>
      </c>
      <c r="W875" s="3">
        <f t="shared" si="235"/>
        <v>8</v>
      </c>
      <c r="X875" s="3">
        <f>IF(AND($L875=1,AND(对接源_01水果!$X875="自备筐",N(对接源_01水果!$T875)&lt;&gt;0)),1,0)</f>
        <v>0</v>
      </c>
      <c r="Y875" s="3">
        <f t="shared" si="236"/>
        <v>0</v>
      </c>
      <c r="Z875" s="3">
        <f>IF(AND($M875=1,对接源_01水果!$D875="原料入库"),1,0)</f>
        <v>0</v>
      </c>
      <c r="AA875" s="3">
        <f t="shared" si="237"/>
        <v>24</v>
      </c>
      <c r="AB875" s="3">
        <f>IF(AND($M875=1,LEFT(对接源_01水果!$D875,4)="原料出库"),1,0)</f>
        <v>0</v>
      </c>
      <c r="AC875" s="3">
        <f t="shared" si="238"/>
        <v>0</v>
      </c>
      <c r="AD875" s="3">
        <f>IF(AND($M875=1,LEFT(对接源_01水果!$D875,4)="成品出库"),1,0)</f>
        <v>0</v>
      </c>
      <c r="AE875" s="3">
        <f t="shared" si="239"/>
        <v>0</v>
      </c>
      <c r="AF875" s="3">
        <f>IF(AND($N875=1,AND(LEFT(对接源_01水果!$D875,4)="包装物料",N(对接源_01水果!$K875)&lt;&gt;0)),1,0)</f>
        <v>0</v>
      </c>
      <c r="AG875" s="3">
        <f t="shared" si="240"/>
        <v>0</v>
      </c>
      <c r="AH875" s="3">
        <f>IF(AND($N875=1,AND(对接源_01水果!$D875="周转筐－销售出库",N(对接源_01水果!$K875)&lt;&gt;0)),1,0)</f>
        <v>0</v>
      </c>
      <c r="AI875" s="3">
        <f t="shared" si="241"/>
        <v>0</v>
      </c>
      <c r="AJ875" s="7"/>
      <c r="AL875" s="3">
        <f>IF(OR($AL$1="",对接源_01水果!$Y875="",对接源_01水果!$Y875&lt;&gt;$AL$1,对接源_01水果!$B875="",N(对接源_01水果!$AJ875)&lt;=0),0,IF(OR(N(对接源_01水果!$B875)&lt;$AL$2,N(对接源_01水果!$B875)&gt;$AL$3),0,1))</f>
        <v>0</v>
      </c>
      <c r="AM875" s="3">
        <f t="shared" si="242"/>
        <v>1</v>
      </c>
      <c r="AN875" s="3" t="str">
        <f>IF(对接源_01水果!$AC875="","",对接源_01水果!$AC875)</f>
        <v/>
      </c>
      <c r="AO875" s="3">
        <f t="shared" si="243"/>
        <v>0</v>
      </c>
      <c r="AP875" s="3">
        <f t="shared" si="244"/>
        <v>8</v>
      </c>
      <c r="AR875">
        <f t="shared" si="245"/>
        <v>0</v>
      </c>
      <c r="AS875">
        <f t="shared" si="246"/>
        <v>0</v>
      </c>
    </row>
    <row r="876" ht="14.25" customHeight="1" spans="1:45">
      <c r="A876" s="3" t="str">
        <f>IF(对接源_01水果!$C876="","",对接源_01水果!$C876)</f>
        <v/>
      </c>
      <c r="B876" s="3">
        <f t="shared" si="230"/>
        <v>0</v>
      </c>
      <c r="C876" s="3">
        <f t="shared" si="231"/>
        <v>18</v>
      </c>
      <c r="K876" s="3">
        <f>IF(OR($K$1="",对接源_01水果!$C876="",对接源_01水果!$C876&lt;&gt;$K$1,对接源_01水果!$B876=""),0,IF(OR(N(对接源_01水果!$B876)&lt;$K$2,N(对接源_01水果!$B876)&gt;$K$3),0,1))</f>
        <v>0</v>
      </c>
      <c r="L876" s="3">
        <f>IF(OR($L$1="",对接源_01水果!$C876="",对接源_01水果!$C876&lt;&gt;$L$1,对接源_01水果!$B876=""),0,IF(OR(N(对接源_01水果!$B876)&lt;$L$2,N(对接源_01水果!$B876)&gt;$L$3),0,1))</f>
        <v>0</v>
      </c>
      <c r="M876" s="3">
        <f>IF(OR($M$1="",对接源_01水果!$C876="",对接源_01水果!$C876&lt;&gt;$M$1,对接源_01水果!$B876=""),0,IF(OR(N(对接源_01水果!$B876)&lt;$M$2,N(对接源_01水果!$B876)&gt;$M$3),0,1))</f>
        <v>0</v>
      </c>
      <c r="N876" s="3">
        <f>IF(OR($N$1="",对接源_01水果!$C876="",对接源_01水果!$C876&lt;&gt;$N$1,对接源_01水果!$B876=""),0,IF(OR(N(对接源_01水果!$B876)&lt;$N$2,N(对接源_01水果!$B876)&gt;$N$3),0,1))</f>
        <v>0</v>
      </c>
      <c r="P876" s="3">
        <f>IF(AND($K876=1,AND(对接源_01水果!$X876="公司筐",N(对接源_01水果!$T876)&lt;&gt;0)),1,0)</f>
        <v>0</v>
      </c>
      <c r="Q876" s="3">
        <f t="shared" si="232"/>
        <v>0</v>
      </c>
      <c r="R876" s="3">
        <f>IF(AND($K876=1,AND(对接源_01水果!$X876="公司筐",N(对接源_01水果!$U876)&lt;&gt;0)),1,0)</f>
        <v>0</v>
      </c>
      <c r="S876" s="3">
        <f t="shared" si="233"/>
        <v>0</v>
      </c>
      <c r="T876" s="3">
        <f>IF(AND($K876=1,AND(对接源_01水果!$X876="公司筐",N(对接源_01水果!$V876)&lt;&gt;0)),1,0)</f>
        <v>0</v>
      </c>
      <c r="U876" s="3">
        <f t="shared" si="234"/>
        <v>19</v>
      </c>
      <c r="V876" s="3">
        <f>IF(AND($L876=1,AND(对接源_01水果!$X876="自备筐",N(对接源_01水果!$V876)&lt;&gt;0)),1,0)</f>
        <v>0</v>
      </c>
      <c r="W876" s="3">
        <f t="shared" si="235"/>
        <v>8</v>
      </c>
      <c r="X876" s="3">
        <f>IF(AND($L876=1,AND(对接源_01水果!$X876="自备筐",N(对接源_01水果!$T876)&lt;&gt;0)),1,0)</f>
        <v>0</v>
      </c>
      <c r="Y876" s="3">
        <f t="shared" si="236"/>
        <v>0</v>
      </c>
      <c r="Z876" s="3">
        <f>IF(AND($M876=1,对接源_01水果!$D876="原料入库"),1,0)</f>
        <v>0</v>
      </c>
      <c r="AA876" s="3">
        <f t="shared" si="237"/>
        <v>24</v>
      </c>
      <c r="AB876" s="3">
        <f>IF(AND($M876=1,LEFT(对接源_01水果!$D876,4)="原料出库"),1,0)</f>
        <v>0</v>
      </c>
      <c r="AC876" s="3">
        <f t="shared" si="238"/>
        <v>0</v>
      </c>
      <c r="AD876" s="3">
        <f>IF(AND($M876=1,LEFT(对接源_01水果!$D876,4)="成品出库"),1,0)</f>
        <v>0</v>
      </c>
      <c r="AE876" s="3">
        <f t="shared" si="239"/>
        <v>0</v>
      </c>
      <c r="AF876" s="3">
        <f>IF(AND($N876=1,AND(LEFT(对接源_01水果!$D876,4)="包装物料",N(对接源_01水果!$K876)&lt;&gt;0)),1,0)</f>
        <v>0</v>
      </c>
      <c r="AG876" s="3">
        <f t="shared" si="240"/>
        <v>0</v>
      </c>
      <c r="AH876" s="3">
        <f>IF(AND($N876=1,AND(对接源_01水果!$D876="周转筐－销售出库",N(对接源_01水果!$K876)&lt;&gt;0)),1,0)</f>
        <v>0</v>
      </c>
      <c r="AI876" s="3">
        <f t="shared" si="241"/>
        <v>0</v>
      </c>
      <c r="AJ876" s="7"/>
      <c r="AL876" s="3">
        <f>IF(OR($AL$1="",对接源_01水果!$Y876="",对接源_01水果!$Y876&lt;&gt;$AL$1,对接源_01水果!$B876="",N(对接源_01水果!$AJ876)&lt;=0),0,IF(OR(N(对接源_01水果!$B876)&lt;$AL$2,N(对接源_01水果!$B876)&gt;$AL$3),0,1))</f>
        <v>0</v>
      </c>
      <c r="AM876" s="3">
        <f t="shared" si="242"/>
        <v>1</v>
      </c>
      <c r="AN876" s="3" t="str">
        <f>IF(对接源_01水果!$AC876="","",对接源_01水果!$AC876)</f>
        <v/>
      </c>
      <c r="AO876" s="3">
        <f t="shared" si="243"/>
        <v>0</v>
      </c>
      <c r="AP876" s="3">
        <f t="shared" si="244"/>
        <v>8</v>
      </c>
      <c r="AR876">
        <f t="shared" si="245"/>
        <v>0</v>
      </c>
      <c r="AS876">
        <f t="shared" si="246"/>
        <v>0</v>
      </c>
    </row>
    <row r="877" ht="14.25" customHeight="1" spans="1:45">
      <c r="A877" s="3" t="str">
        <f>IF(对接源_01水果!$C877="","",对接源_01水果!$C877)</f>
        <v/>
      </c>
      <c r="B877" s="3">
        <f t="shared" si="230"/>
        <v>0</v>
      </c>
      <c r="C877" s="3">
        <f t="shared" si="231"/>
        <v>18</v>
      </c>
      <c r="K877" s="3">
        <f>IF(OR($K$1="",对接源_01水果!$C877="",对接源_01水果!$C877&lt;&gt;$K$1,对接源_01水果!$B877=""),0,IF(OR(N(对接源_01水果!$B877)&lt;$K$2,N(对接源_01水果!$B877)&gt;$K$3),0,1))</f>
        <v>0</v>
      </c>
      <c r="L877" s="3">
        <f>IF(OR($L$1="",对接源_01水果!$C877="",对接源_01水果!$C877&lt;&gt;$L$1,对接源_01水果!$B877=""),0,IF(OR(N(对接源_01水果!$B877)&lt;$L$2,N(对接源_01水果!$B877)&gt;$L$3),0,1))</f>
        <v>0</v>
      </c>
      <c r="M877" s="3">
        <f>IF(OR($M$1="",对接源_01水果!$C877="",对接源_01水果!$C877&lt;&gt;$M$1,对接源_01水果!$B877=""),0,IF(OR(N(对接源_01水果!$B877)&lt;$M$2,N(对接源_01水果!$B877)&gt;$M$3),0,1))</f>
        <v>0</v>
      </c>
      <c r="N877" s="3">
        <f>IF(OR($N$1="",对接源_01水果!$C877="",对接源_01水果!$C877&lt;&gt;$N$1,对接源_01水果!$B877=""),0,IF(OR(N(对接源_01水果!$B877)&lt;$N$2,N(对接源_01水果!$B877)&gt;$N$3),0,1))</f>
        <v>0</v>
      </c>
      <c r="P877" s="3">
        <f>IF(AND($K877=1,AND(对接源_01水果!$X877="公司筐",N(对接源_01水果!$T877)&lt;&gt;0)),1,0)</f>
        <v>0</v>
      </c>
      <c r="Q877" s="3">
        <f t="shared" si="232"/>
        <v>0</v>
      </c>
      <c r="R877" s="3">
        <f>IF(AND($K877=1,AND(对接源_01水果!$X877="公司筐",N(对接源_01水果!$U877)&lt;&gt;0)),1,0)</f>
        <v>0</v>
      </c>
      <c r="S877" s="3">
        <f t="shared" si="233"/>
        <v>0</v>
      </c>
      <c r="T877" s="3">
        <f>IF(AND($K877=1,AND(对接源_01水果!$X877="公司筐",N(对接源_01水果!$V877)&lt;&gt;0)),1,0)</f>
        <v>0</v>
      </c>
      <c r="U877" s="3">
        <f t="shared" si="234"/>
        <v>19</v>
      </c>
      <c r="V877" s="3">
        <f>IF(AND($L877=1,AND(对接源_01水果!$X877="自备筐",N(对接源_01水果!$V877)&lt;&gt;0)),1,0)</f>
        <v>0</v>
      </c>
      <c r="W877" s="3">
        <f t="shared" si="235"/>
        <v>8</v>
      </c>
      <c r="X877" s="3">
        <f>IF(AND($L877=1,AND(对接源_01水果!$X877="自备筐",N(对接源_01水果!$T877)&lt;&gt;0)),1,0)</f>
        <v>0</v>
      </c>
      <c r="Y877" s="3">
        <f t="shared" si="236"/>
        <v>0</v>
      </c>
      <c r="Z877" s="3">
        <f>IF(AND($M877=1,对接源_01水果!$D877="原料入库"),1,0)</f>
        <v>0</v>
      </c>
      <c r="AA877" s="3">
        <f t="shared" si="237"/>
        <v>24</v>
      </c>
      <c r="AB877" s="3">
        <f>IF(AND($M877=1,LEFT(对接源_01水果!$D877,4)="原料出库"),1,0)</f>
        <v>0</v>
      </c>
      <c r="AC877" s="3">
        <f t="shared" si="238"/>
        <v>0</v>
      </c>
      <c r="AD877" s="3">
        <f>IF(AND($M877=1,LEFT(对接源_01水果!$D877,4)="成品出库"),1,0)</f>
        <v>0</v>
      </c>
      <c r="AE877" s="3">
        <f t="shared" si="239"/>
        <v>0</v>
      </c>
      <c r="AF877" s="3">
        <f>IF(AND($N877=1,AND(LEFT(对接源_01水果!$D877,4)="包装物料",N(对接源_01水果!$K877)&lt;&gt;0)),1,0)</f>
        <v>0</v>
      </c>
      <c r="AG877" s="3">
        <f t="shared" si="240"/>
        <v>0</v>
      </c>
      <c r="AH877" s="3">
        <f>IF(AND($N877=1,AND(对接源_01水果!$D877="周转筐－销售出库",N(对接源_01水果!$K877)&lt;&gt;0)),1,0)</f>
        <v>0</v>
      </c>
      <c r="AI877" s="3">
        <f t="shared" si="241"/>
        <v>0</v>
      </c>
      <c r="AJ877" s="7"/>
      <c r="AL877" s="3">
        <f>IF(OR($AL$1="",对接源_01水果!$Y877="",对接源_01水果!$Y877&lt;&gt;$AL$1,对接源_01水果!$B877="",N(对接源_01水果!$AJ877)&lt;=0),0,IF(OR(N(对接源_01水果!$B877)&lt;$AL$2,N(对接源_01水果!$B877)&gt;$AL$3),0,1))</f>
        <v>0</v>
      </c>
      <c r="AM877" s="3">
        <f t="shared" si="242"/>
        <v>1</v>
      </c>
      <c r="AN877" s="3" t="str">
        <f>IF(对接源_01水果!$AC877="","",对接源_01水果!$AC877)</f>
        <v/>
      </c>
      <c r="AO877" s="3">
        <f t="shared" si="243"/>
        <v>0</v>
      </c>
      <c r="AP877" s="3">
        <f t="shared" si="244"/>
        <v>8</v>
      </c>
      <c r="AR877">
        <f t="shared" si="245"/>
        <v>0</v>
      </c>
      <c r="AS877">
        <f t="shared" si="246"/>
        <v>0</v>
      </c>
    </row>
    <row r="878" ht="14.25" customHeight="1" spans="1:45">
      <c r="A878" s="3" t="str">
        <f>IF(对接源_01水果!$C878="","",对接源_01水果!$C878)</f>
        <v/>
      </c>
      <c r="B878" s="3">
        <f t="shared" si="230"/>
        <v>0</v>
      </c>
      <c r="C878" s="3">
        <f t="shared" si="231"/>
        <v>18</v>
      </c>
      <c r="K878" s="3">
        <f>IF(OR($K$1="",对接源_01水果!$C878="",对接源_01水果!$C878&lt;&gt;$K$1,对接源_01水果!$B878=""),0,IF(OR(N(对接源_01水果!$B878)&lt;$K$2,N(对接源_01水果!$B878)&gt;$K$3),0,1))</f>
        <v>0</v>
      </c>
      <c r="L878" s="3">
        <f>IF(OR($L$1="",对接源_01水果!$C878="",对接源_01水果!$C878&lt;&gt;$L$1,对接源_01水果!$B878=""),0,IF(OR(N(对接源_01水果!$B878)&lt;$L$2,N(对接源_01水果!$B878)&gt;$L$3),0,1))</f>
        <v>0</v>
      </c>
      <c r="M878" s="3">
        <f>IF(OR($M$1="",对接源_01水果!$C878="",对接源_01水果!$C878&lt;&gt;$M$1,对接源_01水果!$B878=""),0,IF(OR(N(对接源_01水果!$B878)&lt;$M$2,N(对接源_01水果!$B878)&gt;$M$3),0,1))</f>
        <v>0</v>
      </c>
      <c r="N878" s="3">
        <f>IF(OR($N$1="",对接源_01水果!$C878="",对接源_01水果!$C878&lt;&gt;$N$1,对接源_01水果!$B878=""),0,IF(OR(N(对接源_01水果!$B878)&lt;$N$2,N(对接源_01水果!$B878)&gt;$N$3),0,1))</f>
        <v>0</v>
      </c>
      <c r="P878" s="3">
        <f>IF(AND($K878=1,AND(对接源_01水果!$X878="公司筐",N(对接源_01水果!$T878)&lt;&gt;0)),1,0)</f>
        <v>0</v>
      </c>
      <c r="Q878" s="3">
        <f t="shared" si="232"/>
        <v>0</v>
      </c>
      <c r="R878" s="3">
        <f>IF(AND($K878=1,AND(对接源_01水果!$X878="公司筐",N(对接源_01水果!$U878)&lt;&gt;0)),1,0)</f>
        <v>0</v>
      </c>
      <c r="S878" s="3">
        <f t="shared" si="233"/>
        <v>0</v>
      </c>
      <c r="T878" s="3">
        <f>IF(AND($K878=1,AND(对接源_01水果!$X878="公司筐",N(对接源_01水果!$V878)&lt;&gt;0)),1,0)</f>
        <v>0</v>
      </c>
      <c r="U878" s="3">
        <f t="shared" si="234"/>
        <v>19</v>
      </c>
      <c r="V878" s="3">
        <f>IF(AND($L878=1,AND(对接源_01水果!$X878="自备筐",N(对接源_01水果!$V878)&lt;&gt;0)),1,0)</f>
        <v>0</v>
      </c>
      <c r="W878" s="3">
        <f t="shared" si="235"/>
        <v>8</v>
      </c>
      <c r="X878" s="3">
        <f>IF(AND($L878=1,AND(对接源_01水果!$X878="自备筐",N(对接源_01水果!$T878)&lt;&gt;0)),1,0)</f>
        <v>0</v>
      </c>
      <c r="Y878" s="3">
        <f t="shared" si="236"/>
        <v>0</v>
      </c>
      <c r="Z878" s="3">
        <f>IF(AND($M878=1,对接源_01水果!$D878="原料入库"),1,0)</f>
        <v>0</v>
      </c>
      <c r="AA878" s="3">
        <f t="shared" si="237"/>
        <v>24</v>
      </c>
      <c r="AB878" s="3">
        <f>IF(AND($M878=1,LEFT(对接源_01水果!$D878,4)="原料出库"),1,0)</f>
        <v>0</v>
      </c>
      <c r="AC878" s="3">
        <f t="shared" si="238"/>
        <v>0</v>
      </c>
      <c r="AD878" s="3">
        <f>IF(AND($M878=1,LEFT(对接源_01水果!$D878,4)="成品出库"),1,0)</f>
        <v>0</v>
      </c>
      <c r="AE878" s="3">
        <f t="shared" si="239"/>
        <v>0</v>
      </c>
      <c r="AF878" s="3">
        <f>IF(AND($N878=1,AND(LEFT(对接源_01水果!$D878,4)="包装物料",N(对接源_01水果!$K878)&lt;&gt;0)),1,0)</f>
        <v>0</v>
      </c>
      <c r="AG878" s="3">
        <f t="shared" si="240"/>
        <v>0</v>
      </c>
      <c r="AH878" s="3">
        <f>IF(AND($N878=1,AND(对接源_01水果!$D878="周转筐－销售出库",N(对接源_01水果!$K878)&lt;&gt;0)),1,0)</f>
        <v>0</v>
      </c>
      <c r="AI878" s="3">
        <f t="shared" si="241"/>
        <v>0</v>
      </c>
      <c r="AJ878" s="7"/>
      <c r="AL878" s="3">
        <f>IF(OR($AL$1="",对接源_01水果!$Y878="",对接源_01水果!$Y878&lt;&gt;$AL$1,对接源_01水果!$B878="",N(对接源_01水果!$AJ878)&lt;=0),0,IF(OR(N(对接源_01水果!$B878)&lt;$AL$2,N(对接源_01水果!$B878)&gt;$AL$3),0,1))</f>
        <v>0</v>
      </c>
      <c r="AM878" s="3">
        <f t="shared" si="242"/>
        <v>1</v>
      </c>
      <c r="AN878" s="3" t="str">
        <f>IF(对接源_01水果!$AC878="","",对接源_01水果!$AC878)</f>
        <v/>
      </c>
      <c r="AO878" s="3">
        <f t="shared" si="243"/>
        <v>0</v>
      </c>
      <c r="AP878" s="3">
        <f t="shared" si="244"/>
        <v>8</v>
      </c>
      <c r="AR878">
        <f t="shared" si="245"/>
        <v>0</v>
      </c>
      <c r="AS878">
        <f t="shared" si="246"/>
        <v>0</v>
      </c>
    </row>
    <row r="879" ht="14.25" customHeight="1" spans="1:45">
      <c r="A879" s="3" t="str">
        <f>IF(对接源_01水果!$C879="","",对接源_01水果!$C879)</f>
        <v/>
      </c>
      <c r="B879" s="3">
        <f t="shared" si="230"/>
        <v>0</v>
      </c>
      <c r="C879" s="3">
        <f t="shared" si="231"/>
        <v>18</v>
      </c>
      <c r="K879" s="3">
        <f>IF(OR($K$1="",对接源_01水果!$C879="",对接源_01水果!$C879&lt;&gt;$K$1,对接源_01水果!$B879=""),0,IF(OR(N(对接源_01水果!$B879)&lt;$K$2,N(对接源_01水果!$B879)&gt;$K$3),0,1))</f>
        <v>0</v>
      </c>
      <c r="L879" s="3">
        <f>IF(OR($L$1="",对接源_01水果!$C879="",对接源_01水果!$C879&lt;&gt;$L$1,对接源_01水果!$B879=""),0,IF(OR(N(对接源_01水果!$B879)&lt;$L$2,N(对接源_01水果!$B879)&gt;$L$3),0,1))</f>
        <v>0</v>
      </c>
      <c r="M879" s="3">
        <f>IF(OR($M$1="",对接源_01水果!$C879="",对接源_01水果!$C879&lt;&gt;$M$1,对接源_01水果!$B879=""),0,IF(OR(N(对接源_01水果!$B879)&lt;$M$2,N(对接源_01水果!$B879)&gt;$M$3),0,1))</f>
        <v>0</v>
      </c>
      <c r="N879" s="3">
        <f>IF(OR($N$1="",对接源_01水果!$C879="",对接源_01水果!$C879&lt;&gt;$N$1,对接源_01水果!$B879=""),0,IF(OR(N(对接源_01水果!$B879)&lt;$N$2,N(对接源_01水果!$B879)&gt;$N$3),0,1))</f>
        <v>0</v>
      </c>
      <c r="P879" s="3">
        <f>IF(AND($K879=1,AND(对接源_01水果!$X879="公司筐",N(对接源_01水果!$T879)&lt;&gt;0)),1,0)</f>
        <v>0</v>
      </c>
      <c r="Q879" s="3">
        <f t="shared" si="232"/>
        <v>0</v>
      </c>
      <c r="R879" s="3">
        <f>IF(AND($K879=1,AND(对接源_01水果!$X879="公司筐",N(对接源_01水果!$U879)&lt;&gt;0)),1,0)</f>
        <v>0</v>
      </c>
      <c r="S879" s="3">
        <f t="shared" si="233"/>
        <v>0</v>
      </c>
      <c r="T879" s="3">
        <f>IF(AND($K879=1,AND(对接源_01水果!$X879="公司筐",N(对接源_01水果!$V879)&lt;&gt;0)),1,0)</f>
        <v>0</v>
      </c>
      <c r="U879" s="3">
        <f t="shared" si="234"/>
        <v>19</v>
      </c>
      <c r="V879" s="3">
        <f>IF(AND($L879=1,AND(对接源_01水果!$X879="自备筐",N(对接源_01水果!$V879)&lt;&gt;0)),1,0)</f>
        <v>0</v>
      </c>
      <c r="W879" s="3">
        <f t="shared" si="235"/>
        <v>8</v>
      </c>
      <c r="X879" s="3">
        <f>IF(AND($L879=1,AND(对接源_01水果!$X879="自备筐",N(对接源_01水果!$T879)&lt;&gt;0)),1,0)</f>
        <v>0</v>
      </c>
      <c r="Y879" s="3">
        <f t="shared" si="236"/>
        <v>0</v>
      </c>
      <c r="Z879" s="3">
        <f>IF(AND($M879=1,对接源_01水果!$D879="原料入库"),1,0)</f>
        <v>0</v>
      </c>
      <c r="AA879" s="3">
        <f t="shared" si="237"/>
        <v>24</v>
      </c>
      <c r="AB879" s="3">
        <f>IF(AND($M879=1,LEFT(对接源_01水果!$D879,4)="原料出库"),1,0)</f>
        <v>0</v>
      </c>
      <c r="AC879" s="3">
        <f t="shared" si="238"/>
        <v>0</v>
      </c>
      <c r="AD879" s="3">
        <f>IF(AND($M879=1,LEFT(对接源_01水果!$D879,4)="成品出库"),1,0)</f>
        <v>0</v>
      </c>
      <c r="AE879" s="3">
        <f t="shared" si="239"/>
        <v>0</v>
      </c>
      <c r="AF879" s="3">
        <f>IF(AND($N879=1,AND(LEFT(对接源_01水果!$D879,4)="包装物料",N(对接源_01水果!$K879)&lt;&gt;0)),1,0)</f>
        <v>0</v>
      </c>
      <c r="AG879" s="3">
        <f t="shared" si="240"/>
        <v>0</v>
      </c>
      <c r="AH879" s="3">
        <f>IF(AND($N879=1,AND(对接源_01水果!$D879="周转筐－销售出库",N(对接源_01水果!$K879)&lt;&gt;0)),1,0)</f>
        <v>0</v>
      </c>
      <c r="AI879" s="3">
        <f t="shared" si="241"/>
        <v>0</v>
      </c>
      <c r="AJ879" s="7"/>
      <c r="AL879" s="3">
        <f>IF(OR($AL$1="",对接源_01水果!$Y879="",对接源_01水果!$Y879&lt;&gt;$AL$1,对接源_01水果!$B879="",N(对接源_01水果!$AJ879)&lt;=0),0,IF(OR(N(对接源_01水果!$B879)&lt;$AL$2,N(对接源_01水果!$B879)&gt;$AL$3),0,1))</f>
        <v>0</v>
      </c>
      <c r="AM879" s="3">
        <f t="shared" si="242"/>
        <v>1</v>
      </c>
      <c r="AN879" s="3" t="str">
        <f>IF(对接源_01水果!$AC879="","",对接源_01水果!$AC879)</f>
        <v/>
      </c>
      <c r="AO879" s="3">
        <f t="shared" si="243"/>
        <v>0</v>
      </c>
      <c r="AP879" s="3">
        <f t="shared" si="244"/>
        <v>8</v>
      </c>
      <c r="AR879">
        <f t="shared" si="245"/>
        <v>0</v>
      </c>
      <c r="AS879">
        <f t="shared" si="246"/>
        <v>0</v>
      </c>
    </row>
    <row r="880" ht="14.25" customHeight="1" spans="1:45">
      <c r="A880" s="3" t="str">
        <f>IF(对接源_01水果!$C880="","",对接源_01水果!$C880)</f>
        <v/>
      </c>
      <c r="B880" s="3">
        <f t="shared" si="230"/>
        <v>0</v>
      </c>
      <c r="C880" s="3">
        <f t="shared" si="231"/>
        <v>18</v>
      </c>
      <c r="K880" s="3">
        <f>IF(OR($K$1="",对接源_01水果!$C880="",对接源_01水果!$C880&lt;&gt;$K$1,对接源_01水果!$B880=""),0,IF(OR(N(对接源_01水果!$B880)&lt;$K$2,N(对接源_01水果!$B880)&gt;$K$3),0,1))</f>
        <v>0</v>
      </c>
      <c r="L880" s="3">
        <f>IF(OR($L$1="",对接源_01水果!$C880="",对接源_01水果!$C880&lt;&gt;$L$1,对接源_01水果!$B880=""),0,IF(OR(N(对接源_01水果!$B880)&lt;$L$2,N(对接源_01水果!$B880)&gt;$L$3),0,1))</f>
        <v>0</v>
      </c>
      <c r="M880" s="3">
        <f>IF(OR($M$1="",对接源_01水果!$C880="",对接源_01水果!$C880&lt;&gt;$M$1,对接源_01水果!$B880=""),0,IF(OR(N(对接源_01水果!$B880)&lt;$M$2,N(对接源_01水果!$B880)&gt;$M$3),0,1))</f>
        <v>0</v>
      </c>
      <c r="N880" s="3">
        <f>IF(OR($N$1="",对接源_01水果!$C880="",对接源_01水果!$C880&lt;&gt;$N$1,对接源_01水果!$B880=""),0,IF(OR(N(对接源_01水果!$B880)&lt;$N$2,N(对接源_01水果!$B880)&gt;$N$3),0,1))</f>
        <v>0</v>
      </c>
      <c r="P880" s="3">
        <f>IF(AND($K880=1,AND(对接源_01水果!$X880="公司筐",N(对接源_01水果!$T880)&lt;&gt;0)),1,0)</f>
        <v>0</v>
      </c>
      <c r="Q880" s="3">
        <f t="shared" si="232"/>
        <v>0</v>
      </c>
      <c r="R880" s="3">
        <f>IF(AND($K880=1,AND(对接源_01水果!$X880="公司筐",N(对接源_01水果!$U880)&lt;&gt;0)),1,0)</f>
        <v>0</v>
      </c>
      <c r="S880" s="3">
        <f t="shared" si="233"/>
        <v>0</v>
      </c>
      <c r="T880" s="3">
        <f>IF(AND($K880=1,AND(对接源_01水果!$X880="公司筐",N(对接源_01水果!$V880)&lt;&gt;0)),1,0)</f>
        <v>0</v>
      </c>
      <c r="U880" s="3">
        <f t="shared" si="234"/>
        <v>19</v>
      </c>
      <c r="V880" s="3">
        <f>IF(AND($L880=1,AND(对接源_01水果!$X880="自备筐",N(对接源_01水果!$V880)&lt;&gt;0)),1,0)</f>
        <v>0</v>
      </c>
      <c r="W880" s="3">
        <f t="shared" si="235"/>
        <v>8</v>
      </c>
      <c r="X880" s="3">
        <f>IF(AND($L880=1,AND(对接源_01水果!$X880="自备筐",N(对接源_01水果!$T880)&lt;&gt;0)),1,0)</f>
        <v>0</v>
      </c>
      <c r="Y880" s="3">
        <f t="shared" si="236"/>
        <v>0</v>
      </c>
      <c r="Z880" s="3">
        <f>IF(AND($M880=1,对接源_01水果!$D880="原料入库"),1,0)</f>
        <v>0</v>
      </c>
      <c r="AA880" s="3">
        <f t="shared" si="237"/>
        <v>24</v>
      </c>
      <c r="AB880" s="3">
        <f>IF(AND($M880=1,LEFT(对接源_01水果!$D880,4)="原料出库"),1,0)</f>
        <v>0</v>
      </c>
      <c r="AC880" s="3">
        <f t="shared" si="238"/>
        <v>0</v>
      </c>
      <c r="AD880" s="3">
        <f>IF(AND($M880=1,LEFT(对接源_01水果!$D880,4)="成品出库"),1,0)</f>
        <v>0</v>
      </c>
      <c r="AE880" s="3">
        <f t="shared" si="239"/>
        <v>0</v>
      </c>
      <c r="AF880" s="3">
        <f>IF(AND($N880=1,AND(LEFT(对接源_01水果!$D880,4)="包装物料",N(对接源_01水果!$K880)&lt;&gt;0)),1,0)</f>
        <v>0</v>
      </c>
      <c r="AG880" s="3">
        <f t="shared" si="240"/>
        <v>0</v>
      </c>
      <c r="AH880" s="3">
        <f>IF(AND($N880=1,AND(对接源_01水果!$D880="周转筐－销售出库",N(对接源_01水果!$K880)&lt;&gt;0)),1,0)</f>
        <v>0</v>
      </c>
      <c r="AI880" s="3">
        <f t="shared" si="241"/>
        <v>0</v>
      </c>
      <c r="AJ880" s="7"/>
      <c r="AL880" s="3">
        <f>IF(OR($AL$1="",对接源_01水果!$Y880="",对接源_01水果!$Y880&lt;&gt;$AL$1,对接源_01水果!$B880="",N(对接源_01水果!$AJ880)&lt;=0),0,IF(OR(N(对接源_01水果!$B880)&lt;$AL$2,N(对接源_01水果!$B880)&gt;$AL$3),0,1))</f>
        <v>0</v>
      </c>
      <c r="AM880" s="3">
        <f t="shared" si="242"/>
        <v>1</v>
      </c>
      <c r="AN880" s="3" t="str">
        <f>IF(对接源_01水果!$AC880="","",对接源_01水果!$AC880)</f>
        <v/>
      </c>
      <c r="AO880" s="3">
        <f t="shared" si="243"/>
        <v>0</v>
      </c>
      <c r="AP880" s="3">
        <f t="shared" si="244"/>
        <v>8</v>
      </c>
      <c r="AR880">
        <f t="shared" si="245"/>
        <v>0</v>
      </c>
      <c r="AS880">
        <f t="shared" si="246"/>
        <v>0</v>
      </c>
    </row>
    <row r="881" ht="14.25" customHeight="1" spans="1:45">
      <c r="A881" s="3" t="str">
        <f>IF(对接源_01水果!$C881="","",对接源_01水果!$C881)</f>
        <v/>
      </c>
      <c r="B881" s="3">
        <f t="shared" si="230"/>
        <v>0</v>
      </c>
      <c r="C881" s="3">
        <f t="shared" si="231"/>
        <v>18</v>
      </c>
      <c r="K881" s="3">
        <f>IF(OR($K$1="",对接源_01水果!$C881="",对接源_01水果!$C881&lt;&gt;$K$1,对接源_01水果!$B881=""),0,IF(OR(N(对接源_01水果!$B881)&lt;$K$2,N(对接源_01水果!$B881)&gt;$K$3),0,1))</f>
        <v>0</v>
      </c>
      <c r="L881" s="3">
        <f>IF(OR($L$1="",对接源_01水果!$C881="",对接源_01水果!$C881&lt;&gt;$L$1,对接源_01水果!$B881=""),0,IF(OR(N(对接源_01水果!$B881)&lt;$L$2,N(对接源_01水果!$B881)&gt;$L$3),0,1))</f>
        <v>0</v>
      </c>
      <c r="M881" s="3">
        <f>IF(OR($M$1="",对接源_01水果!$C881="",对接源_01水果!$C881&lt;&gt;$M$1,对接源_01水果!$B881=""),0,IF(OR(N(对接源_01水果!$B881)&lt;$M$2,N(对接源_01水果!$B881)&gt;$M$3),0,1))</f>
        <v>0</v>
      </c>
      <c r="N881" s="3">
        <f>IF(OR($N$1="",对接源_01水果!$C881="",对接源_01水果!$C881&lt;&gt;$N$1,对接源_01水果!$B881=""),0,IF(OR(N(对接源_01水果!$B881)&lt;$N$2,N(对接源_01水果!$B881)&gt;$N$3),0,1))</f>
        <v>0</v>
      </c>
      <c r="P881" s="3">
        <f>IF(AND($K881=1,AND(对接源_01水果!$X881="公司筐",N(对接源_01水果!$T881)&lt;&gt;0)),1,0)</f>
        <v>0</v>
      </c>
      <c r="Q881" s="3">
        <f t="shared" si="232"/>
        <v>0</v>
      </c>
      <c r="R881" s="3">
        <f>IF(AND($K881=1,AND(对接源_01水果!$X881="公司筐",N(对接源_01水果!$U881)&lt;&gt;0)),1,0)</f>
        <v>0</v>
      </c>
      <c r="S881" s="3">
        <f t="shared" si="233"/>
        <v>0</v>
      </c>
      <c r="T881" s="3">
        <f>IF(AND($K881=1,AND(对接源_01水果!$X881="公司筐",N(对接源_01水果!$V881)&lt;&gt;0)),1,0)</f>
        <v>0</v>
      </c>
      <c r="U881" s="3">
        <f t="shared" si="234"/>
        <v>19</v>
      </c>
      <c r="V881" s="3">
        <f>IF(AND($L881=1,AND(对接源_01水果!$X881="自备筐",N(对接源_01水果!$V881)&lt;&gt;0)),1,0)</f>
        <v>0</v>
      </c>
      <c r="W881" s="3">
        <f t="shared" si="235"/>
        <v>8</v>
      </c>
      <c r="X881" s="3">
        <f>IF(AND($L881=1,AND(对接源_01水果!$X881="自备筐",N(对接源_01水果!$T881)&lt;&gt;0)),1,0)</f>
        <v>0</v>
      </c>
      <c r="Y881" s="3">
        <f t="shared" si="236"/>
        <v>0</v>
      </c>
      <c r="Z881" s="3">
        <f>IF(AND($M881=1,对接源_01水果!$D881="原料入库"),1,0)</f>
        <v>0</v>
      </c>
      <c r="AA881" s="3">
        <f t="shared" si="237"/>
        <v>24</v>
      </c>
      <c r="AB881" s="3">
        <f>IF(AND($M881=1,LEFT(对接源_01水果!$D881,4)="原料出库"),1,0)</f>
        <v>0</v>
      </c>
      <c r="AC881" s="3">
        <f t="shared" si="238"/>
        <v>0</v>
      </c>
      <c r="AD881" s="3">
        <f>IF(AND($M881=1,LEFT(对接源_01水果!$D881,4)="成品出库"),1,0)</f>
        <v>0</v>
      </c>
      <c r="AE881" s="3">
        <f t="shared" si="239"/>
        <v>0</v>
      </c>
      <c r="AF881" s="3">
        <f>IF(AND($N881=1,AND(LEFT(对接源_01水果!$D881,4)="包装物料",N(对接源_01水果!$K881)&lt;&gt;0)),1,0)</f>
        <v>0</v>
      </c>
      <c r="AG881" s="3">
        <f t="shared" si="240"/>
        <v>0</v>
      </c>
      <c r="AH881" s="3">
        <f>IF(AND($N881=1,AND(对接源_01水果!$D881="周转筐－销售出库",N(对接源_01水果!$K881)&lt;&gt;0)),1,0)</f>
        <v>0</v>
      </c>
      <c r="AI881" s="3">
        <f t="shared" si="241"/>
        <v>0</v>
      </c>
      <c r="AJ881" s="7"/>
      <c r="AL881" s="3">
        <f>IF(OR($AL$1="",对接源_01水果!$Y881="",对接源_01水果!$Y881&lt;&gt;$AL$1,对接源_01水果!$B881="",N(对接源_01水果!$AJ881)&lt;=0),0,IF(OR(N(对接源_01水果!$B881)&lt;$AL$2,N(对接源_01水果!$B881)&gt;$AL$3),0,1))</f>
        <v>0</v>
      </c>
      <c r="AM881" s="3">
        <f t="shared" si="242"/>
        <v>1</v>
      </c>
      <c r="AN881" s="3" t="str">
        <f>IF(对接源_01水果!$AC881="","",对接源_01水果!$AC881)</f>
        <v/>
      </c>
      <c r="AO881" s="3">
        <f t="shared" si="243"/>
        <v>0</v>
      </c>
      <c r="AP881" s="3">
        <f t="shared" si="244"/>
        <v>8</v>
      </c>
      <c r="AR881">
        <f t="shared" si="245"/>
        <v>0</v>
      </c>
      <c r="AS881">
        <f t="shared" si="246"/>
        <v>0</v>
      </c>
    </row>
    <row r="882" ht="14.25" customHeight="1" spans="1:45">
      <c r="A882" s="3" t="str">
        <f>IF(对接源_01水果!$C882="","",对接源_01水果!$C882)</f>
        <v/>
      </c>
      <c r="B882" s="3">
        <f t="shared" si="230"/>
        <v>0</v>
      </c>
      <c r="C882" s="3">
        <f t="shared" si="231"/>
        <v>18</v>
      </c>
      <c r="K882" s="3">
        <f>IF(OR($K$1="",对接源_01水果!$C882="",对接源_01水果!$C882&lt;&gt;$K$1,对接源_01水果!$B882=""),0,IF(OR(N(对接源_01水果!$B882)&lt;$K$2,N(对接源_01水果!$B882)&gt;$K$3),0,1))</f>
        <v>0</v>
      </c>
      <c r="L882" s="3">
        <f>IF(OR($L$1="",对接源_01水果!$C882="",对接源_01水果!$C882&lt;&gt;$L$1,对接源_01水果!$B882=""),0,IF(OR(N(对接源_01水果!$B882)&lt;$L$2,N(对接源_01水果!$B882)&gt;$L$3),0,1))</f>
        <v>0</v>
      </c>
      <c r="M882" s="3">
        <f>IF(OR($M$1="",对接源_01水果!$C882="",对接源_01水果!$C882&lt;&gt;$M$1,对接源_01水果!$B882=""),0,IF(OR(N(对接源_01水果!$B882)&lt;$M$2,N(对接源_01水果!$B882)&gt;$M$3),0,1))</f>
        <v>0</v>
      </c>
      <c r="N882" s="3">
        <f>IF(OR($N$1="",对接源_01水果!$C882="",对接源_01水果!$C882&lt;&gt;$N$1,对接源_01水果!$B882=""),0,IF(OR(N(对接源_01水果!$B882)&lt;$N$2,N(对接源_01水果!$B882)&gt;$N$3),0,1))</f>
        <v>0</v>
      </c>
      <c r="P882" s="3">
        <f>IF(AND($K882=1,AND(对接源_01水果!$X882="公司筐",N(对接源_01水果!$T882)&lt;&gt;0)),1,0)</f>
        <v>0</v>
      </c>
      <c r="Q882" s="3">
        <f t="shared" si="232"/>
        <v>0</v>
      </c>
      <c r="R882" s="3">
        <f>IF(AND($K882=1,AND(对接源_01水果!$X882="公司筐",N(对接源_01水果!$U882)&lt;&gt;0)),1,0)</f>
        <v>0</v>
      </c>
      <c r="S882" s="3">
        <f t="shared" si="233"/>
        <v>0</v>
      </c>
      <c r="T882" s="3">
        <f>IF(AND($K882=1,AND(对接源_01水果!$X882="公司筐",N(对接源_01水果!$V882)&lt;&gt;0)),1,0)</f>
        <v>0</v>
      </c>
      <c r="U882" s="3">
        <f t="shared" si="234"/>
        <v>19</v>
      </c>
      <c r="V882" s="3">
        <f>IF(AND($L882=1,AND(对接源_01水果!$X882="自备筐",N(对接源_01水果!$V882)&lt;&gt;0)),1,0)</f>
        <v>0</v>
      </c>
      <c r="W882" s="3">
        <f t="shared" si="235"/>
        <v>8</v>
      </c>
      <c r="X882" s="3">
        <f>IF(AND($L882=1,AND(对接源_01水果!$X882="自备筐",N(对接源_01水果!$T882)&lt;&gt;0)),1,0)</f>
        <v>0</v>
      </c>
      <c r="Y882" s="3">
        <f t="shared" si="236"/>
        <v>0</v>
      </c>
      <c r="Z882" s="3">
        <f>IF(AND($M882=1,对接源_01水果!$D882="原料入库"),1,0)</f>
        <v>0</v>
      </c>
      <c r="AA882" s="3">
        <f t="shared" si="237"/>
        <v>24</v>
      </c>
      <c r="AB882" s="3">
        <f>IF(AND($M882=1,LEFT(对接源_01水果!$D882,4)="原料出库"),1,0)</f>
        <v>0</v>
      </c>
      <c r="AC882" s="3">
        <f t="shared" si="238"/>
        <v>0</v>
      </c>
      <c r="AD882" s="3">
        <f>IF(AND($M882=1,LEFT(对接源_01水果!$D882,4)="成品出库"),1,0)</f>
        <v>0</v>
      </c>
      <c r="AE882" s="3">
        <f t="shared" si="239"/>
        <v>0</v>
      </c>
      <c r="AF882" s="3">
        <f>IF(AND($N882=1,AND(LEFT(对接源_01水果!$D882,4)="包装物料",N(对接源_01水果!$K882)&lt;&gt;0)),1,0)</f>
        <v>0</v>
      </c>
      <c r="AG882" s="3">
        <f t="shared" si="240"/>
        <v>0</v>
      </c>
      <c r="AH882" s="3">
        <f>IF(AND($N882=1,AND(对接源_01水果!$D882="周转筐－销售出库",N(对接源_01水果!$K882)&lt;&gt;0)),1,0)</f>
        <v>0</v>
      </c>
      <c r="AI882" s="3">
        <f t="shared" si="241"/>
        <v>0</v>
      </c>
      <c r="AJ882" s="7"/>
      <c r="AL882" s="3">
        <f>IF(OR($AL$1="",对接源_01水果!$Y882="",对接源_01水果!$Y882&lt;&gt;$AL$1,对接源_01水果!$B882="",N(对接源_01水果!$AJ882)&lt;=0),0,IF(OR(N(对接源_01水果!$B882)&lt;$AL$2,N(对接源_01水果!$B882)&gt;$AL$3),0,1))</f>
        <v>0</v>
      </c>
      <c r="AM882" s="3">
        <f t="shared" si="242"/>
        <v>1</v>
      </c>
      <c r="AN882" s="3" t="str">
        <f>IF(对接源_01水果!$AC882="","",对接源_01水果!$AC882)</f>
        <v/>
      </c>
      <c r="AO882" s="3">
        <f t="shared" si="243"/>
        <v>0</v>
      </c>
      <c r="AP882" s="3">
        <f t="shared" si="244"/>
        <v>8</v>
      </c>
      <c r="AR882">
        <f t="shared" si="245"/>
        <v>0</v>
      </c>
      <c r="AS882">
        <f t="shared" si="246"/>
        <v>0</v>
      </c>
    </row>
    <row r="883" ht="14.25" customHeight="1" spans="1:45">
      <c r="A883" s="3" t="str">
        <f>IF(对接源_01水果!$C883="","",对接源_01水果!$C883)</f>
        <v/>
      </c>
      <c r="B883" s="3">
        <f t="shared" si="230"/>
        <v>0</v>
      </c>
      <c r="C883" s="3">
        <f t="shared" si="231"/>
        <v>18</v>
      </c>
      <c r="K883" s="3">
        <f>IF(OR($K$1="",对接源_01水果!$C883="",对接源_01水果!$C883&lt;&gt;$K$1,对接源_01水果!$B883=""),0,IF(OR(N(对接源_01水果!$B883)&lt;$K$2,N(对接源_01水果!$B883)&gt;$K$3),0,1))</f>
        <v>0</v>
      </c>
      <c r="L883" s="3">
        <f>IF(OR($L$1="",对接源_01水果!$C883="",对接源_01水果!$C883&lt;&gt;$L$1,对接源_01水果!$B883=""),0,IF(OR(N(对接源_01水果!$B883)&lt;$L$2,N(对接源_01水果!$B883)&gt;$L$3),0,1))</f>
        <v>0</v>
      </c>
      <c r="M883" s="3">
        <f>IF(OR($M$1="",对接源_01水果!$C883="",对接源_01水果!$C883&lt;&gt;$M$1,对接源_01水果!$B883=""),0,IF(OR(N(对接源_01水果!$B883)&lt;$M$2,N(对接源_01水果!$B883)&gt;$M$3),0,1))</f>
        <v>0</v>
      </c>
      <c r="N883" s="3">
        <f>IF(OR($N$1="",对接源_01水果!$C883="",对接源_01水果!$C883&lt;&gt;$N$1,对接源_01水果!$B883=""),0,IF(OR(N(对接源_01水果!$B883)&lt;$N$2,N(对接源_01水果!$B883)&gt;$N$3),0,1))</f>
        <v>0</v>
      </c>
      <c r="P883" s="3">
        <f>IF(AND($K883=1,AND(对接源_01水果!$X883="公司筐",N(对接源_01水果!$T883)&lt;&gt;0)),1,0)</f>
        <v>0</v>
      </c>
      <c r="Q883" s="3">
        <f t="shared" si="232"/>
        <v>0</v>
      </c>
      <c r="R883" s="3">
        <f>IF(AND($K883=1,AND(对接源_01水果!$X883="公司筐",N(对接源_01水果!$U883)&lt;&gt;0)),1,0)</f>
        <v>0</v>
      </c>
      <c r="S883" s="3">
        <f t="shared" si="233"/>
        <v>0</v>
      </c>
      <c r="T883" s="3">
        <f>IF(AND($K883=1,AND(对接源_01水果!$X883="公司筐",N(对接源_01水果!$V883)&lt;&gt;0)),1,0)</f>
        <v>0</v>
      </c>
      <c r="U883" s="3">
        <f t="shared" si="234"/>
        <v>19</v>
      </c>
      <c r="V883" s="3">
        <f>IF(AND($L883=1,AND(对接源_01水果!$X883="自备筐",N(对接源_01水果!$V883)&lt;&gt;0)),1,0)</f>
        <v>0</v>
      </c>
      <c r="W883" s="3">
        <f t="shared" si="235"/>
        <v>8</v>
      </c>
      <c r="X883" s="3">
        <f>IF(AND($L883=1,AND(对接源_01水果!$X883="自备筐",N(对接源_01水果!$T883)&lt;&gt;0)),1,0)</f>
        <v>0</v>
      </c>
      <c r="Y883" s="3">
        <f t="shared" si="236"/>
        <v>0</v>
      </c>
      <c r="Z883" s="3">
        <f>IF(AND($M883=1,对接源_01水果!$D883="原料入库"),1,0)</f>
        <v>0</v>
      </c>
      <c r="AA883" s="3">
        <f t="shared" si="237"/>
        <v>24</v>
      </c>
      <c r="AB883" s="3">
        <f>IF(AND($M883=1,LEFT(对接源_01水果!$D883,4)="原料出库"),1,0)</f>
        <v>0</v>
      </c>
      <c r="AC883" s="3">
        <f t="shared" si="238"/>
        <v>0</v>
      </c>
      <c r="AD883" s="3">
        <f>IF(AND($M883=1,LEFT(对接源_01水果!$D883,4)="成品出库"),1,0)</f>
        <v>0</v>
      </c>
      <c r="AE883" s="3">
        <f t="shared" si="239"/>
        <v>0</v>
      </c>
      <c r="AF883" s="3">
        <f>IF(AND($N883=1,AND(LEFT(对接源_01水果!$D883,4)="包装物料",N(对接源_01水果!$K883)&lt;&gt;0)),1,0)</f>
        <v>0</v>
      </c>
      <c r="AG883" s="3">
        <f t="shared" si="240"/>
        <v>0</v>
      </c>
      <c r="AH883" s="3">
        <f>IF(AND($N883=1,AND(对接源_01水果!$D883="周转筐－销售出库",N(对接源_01水果!$K883)&lt;&gt;0)),1,0)</f>
        <v>0</v>
      </c>
      <c r="AI883" s="3">
        <f t="shared" si="241"/>
        <v>0</v>
      </c>
      <c r="AJ883" s="7"/>
      <c r="AL883" s="3">
        <f>IF(OR($AL$1="",对接源_01水果!$Y883="",对接源_01水果!$Y883&lt;&gt;$AL$1,对接源_01水果!$B883="",N(对接源_01水果!$AJ883)&lt;=0),0,IF(OR(N(对接源_01水果!$B883)&lt;$AL$2,N(对接源_01水果!$B883)&gt;$AL$3),0,1))</f>
        <v>0</v>
      </c>
      <c r="AM883" s="3">
        <f t="shared" si="242"/>
        <v>1</v>
      </c>
      <c r="AN883" s="3" t="str">
        <f>IF(对接源_01水果!$AC883="","",对接源_01水果!$AC883)</f>
        <v/>
      </c>
      <c r="AO883" s="3">
        <f t="shared" si="243"/>
        <v>0</v>
      </c>
      <c r="AP883" s="3">
        <f t="shared" si="244"/>
        <v>8</v>
      </c>
      <c r="AR883">
        <f t="shared" si="245"/>
        <v>0</v>
      </c>
      <c r="AS883">
        <f t="shared" si="246"/>
        <v>0</v>
      </c>
    </row>
    <row r="884" ht="14.25" customHeight="1" spans="1:45">
      <c r="A884" s="3" t="str">
        <f>IF(对接源_01水果!$C884="","",对接源_01水果!$C884)</f>
        <v/>
      </c>
      <c r="B884" s="3">
        <f t="shared" si="230"/>
        <v>0</v>
      </c>
      <c r="C884" s="3">
        <f t="shared" si="231"/>
        <v>18</v>
      </c>
      <c r="K884" s="3">
        <f>IF(OR($K$1="",对接源_01水果!$C884="",对接源_01水果!$C884&lt;&gt;$K$1,对接源_01水果!$B884=""),0,IF(OR(N(对接源_01水果!$B884)&lt;$K$2,N(对接源_01水果!$B884)&gt;$K$3),0,1))</f>
        <v>0</v>
      </c>
      <c r="L884" s="3">
        <f>IF(OR($L$1="",对接源_01水果!$C884="",对接源_01水果!$C884&lt;&gt;$L$1,对接源_01水果!$B884=""),0,IF(OR(N(对接源_01水果!$B884)&lt;$L$2,N(对接源_01水果!$B884)&gt;$L$3),0,1))</f>
        <v>0</v>
      </c>
      <c r="M884" s="3">
        <f>IF(OR($M$1="",对接源_01水果!$C884="",对接源_01水果!$C884&lt;&gt;$M$1,对接源_01水果!$B884=""),0,IF(OR(N(对接源_01水果!$B884)&lt;$M$2,N(对接源_01水果!$B884)&gt;$M$3),0,1))</f>
        <v>0</v>
      </c>
      <c r="N884" s="3">
        <f>IF(OR($N$1="",对接源_01水果!$C884="",对接源_01水果!$C884&lt;&gt;$N$1,对接源_01水果!$B884=""),0,IF(OR(N(对接源_01水果!$B884)&lt;$N$2,N(对接源_01水果!$B884)&gt;$N$3),0,1))</f>
        <v>0</v>
      </c>
      <c r="P884" s="3">
        <f>IF(AND($K884=1,AND(对接源_01水果!$X884="公司筐",N(对接源_01水果!$T884)&lt;&gt;0)),1,0)</f>
        <v>0</v>
      </c>
      <c r="Q884" s="3">
        <f t="shared" si="232"/>
        <v>0</v>
      </c>
      <c r="R884" s="3">
        <f>IF(AND($K884=1,AND(对接源_01水果!$X884="公司筐",N(对接源_01水果!$U884)&lt;&gt;0)),1,0)</f>
        <v>0</v>
      </c>
      <c r="S884" s="3">
        <f t="shared" si="233"/>
        <v>0</v>
      </c>
      <c r="T884" s="3">
        <f>IF(AND($K884=1,AND(对接源_01水果!$X884="公司筐",N(对接源_01水果!$V884)&lt;&gt;0)),1,0)</f>
        <v>0</v>
      </c>
      <c r="U884" s="3">
        <f t="shared" si="234"/>
        <v>19</v>
      </c>
      <c r="V884" s="3">
        <f>IF(AND($L884=1,AND(对接源_01水果!$X884="自备筐",N(对接源_01水果!$V884)&lt;&gt;0)),1,0)</f>
        <v>0</v>
      </c>
      <c r="W884" s="3">
        <f t="shared" si="235"/>
        <v>8</v>
      </c>
      <c r="X884" s="3">
        <f>IF(AND($L884=1,AND(对接源_01水果!$X884="自备筐",N(对接源_01水果!$T884)&lt;&gt;0)),1,0)</f>
        <v>0</v>
      </c>
      <c r="Y884" s="3">
        <f t="shared" si="236"/>
        <v>0</v>
      </c>
      <c r="Z884" s="3">
        <f>IF(AND($M884=1,对接源_01水果!$D884="原料入库"),1,0)</f>
        <v>0</v>
      </c>
      <c r="AA884" s="3">
        <f t="shared" si="237"/>
        <v>24</v>
      </c>
      <c r="AB884" s="3">
        <f>IF(AND($M884=1,LEFT(对接源_01水果!$D884,4)="原料出库"),1,0)</f>
        <v>0</v>
      </c>
      <c r="AC884" s="3">
        <f t="shared" si="238"/>
        <v>0</v>
      </c>
      <c r="AD884" s="3">
        <f>IF(AND($M884=1,LEFT(对接源_01水果!$D884,4)="成品出库"),1,0)</f>
        <v>0</v>
      </c>
      <c r="AE884" s="3">
        <f t="shared" si="239"/>
        <v>0</v>
      </c>
      <c r="AF884" s="3">
        <f>IF(AND($N884=1,AND(LEFT(对接源_01水果!$D884,4)="包装物料",N(对接源_01水果!$K884)&lt;&gt;0)),1,0)</f>
        <v>0</v>
      </c>
      <c r="AG884" s="3">
        <f t="shared" si="240"/>
        <v>0</v>
      </c>
      <c r="AH884" s="3">
        <f>IF(AND($N884=1,AND(对接源_01水果!$D884="周转筐－销售出库",N(对接源_01水果!$K884)&lt;&gt;0)),1,0)</f>
        <v>0</v>
      </c>
      <c r="AI884" s="3">
        <f t="shared" si="241"/>
        <v>0</v>
      </c>
      <c r="AJ884" s="7"/>
      <c r="AL884" s="3">
        <f>IF(OR($AL$1="",对接源_01水果!$Y884="",对接源_01水果!$Y884&lt;&gt;$AL$1,对接源_01水果!$B884="",N(对接源_01水果!$AJ884)&lt;=0),0,IF(OR(N(对接源_01水果!$B884)&lt;$AL$2,N(对接源_01水果!$B884)&gt;$AL$3),0,1))</f>
        <v>0</v>
      </c>
      <c r="AM884" s="3">
        <f t="shared" si="242"/>
        <v>1</v>
      </c>
      <c r="AN884" s="3" t="str">
        <f>IF(对接源_01水果!$AC884="","",对接源_01水果!$AC884)</f>
        <v/>
      </c>
      <c r="AO884" s="3">
        <f t="shared" si="243"/>
        <v>0</v>
      </c>
      <c r="AP884" s="3">
        <f t="shared" si="244"/>
        <v>8</v>
      </c>
      <c r="AR884">
        <f t="shared" si="245"/>
        <v>0</v>
      </c>
      <c r="AS884">
        <f t="shared" si="246"/>
        <v>0</v>
      </c>
    </row>
    <row r="885" ht="14.25" customHeight="1" spans="1:45">
      <c r="A885" s="3" t="str">
        <f>IF(对接源_01水果!$C885="","",对接源_01水果!$C885)</f>
        <v/>
      </c>
      <c r="B885" s="3">
        <f t="shared" si="230"/>
        <v>0</v>
      </c>
      <c r="C885" s="3">
        <f t="shared" si="231"/>
        <v>18</v>
      </c>
      <c r="K885" s="3">
        <f>IF(OR($K$1="",对接源_01水果!$C885="",对接源_01水果!$C885&lt;&gt;$K$1,对接源_01水果!$B885=""),0,IF(OR(N(对接源_01水果!$B885)&lt;$K$2,N(对接源_01水果!$B885)&gt;$K$3),0,1))</f>
        <v>0</v>
      </c>
      <c r="L885" s="3">
        <f>IF(OR($L$1="",对接源_01水果!$C885="",对接源_01水果!$C885&lt;&gt;$L$1,对接源_01水果!$B885=""),0,IF(OR(N(对接源_01水果!$B885)&lt;$L$2,N(对接源_01水果!$B885)&gt;$L$3),0,1))</f>
        <v>0</v>
      </c>
      <c r="M885" s="3">
        <f>IF(OR($M$1="",对接源_01水果!$C885="",对接源_01水果!$C885&lt;&gt;$M$1,对接源_01水果!$B885=""),0,IF(OR(N(对接源_01水果!$B885)&lt;$M$2,N(对接源_01水果!$B885)&gt;$M$3),0,1))</f>
        <v>0</v>
      </c>
      <c r="N885" s="3">
        <f>IF(OR($N$1="",对接源_01水果!$C885="",对接源_01水果!$C885&lt;&gt;$N$1,对接源_01水果!$B885=""),0,IF(OR(N(对接源_01水果!$B885)&lt;$N$2,N(对接源_01水果!$B885)&gt;$N$3),0,1))</f>
        <v>0</v>
      </c>
      <c r="P885" s="3">
        <f>IF(AND($K885=1,AND(对接源_01水果!$X885="公司筐",N(对接源_01水果!$T885)&lt;&gt;0)),1,0)</f>
        <v>0</v>
      </c>
      <c r="Q885" s="3">
        <f t="shared" si="232"/>
        <v>0</v>
      </c>
      <c r="R885" s="3">
        <f>IF(AND($K885=1,AND(对接源_01水果!$X885="公司筐",N(对接源_01水果!$U885)&lt;&gt;0)),1,0)</f>
        <v>0</v>
      </c>
      <c r="S885" s="3">
        <f t="shared" si="233"/>
        <v>0</v>
      </c>
      <c r="T885" s="3">
        <f>IF(AND($K885=1,AND(对接源_01水果!$X885="公司筐",N(对接源_01水果!$V885)&lt;&gt;0)),1,0)</f>
        <v>0</v>
      </c>
      <c r="U885" s="3">
        <f t="shared" si="234"/>
        <v>19</v>
      </c>
      <c r="V885" s="3">
        <f>IF(AND($L885=1,AND(对接源_01水果!$X885="自备筐",N(对接源_01水果!$V885)&lt;&gt;0)),1,0)</f>
        <v>0</v>
      </c>
      <c r="W885" s="3">
        <f t="shared" si="235"/>
        <v>8</v>
      </c>
      <c r="X885" s="3">
        <f>IF(AND($L885=1,AND(对接源_01水果!$X885="自备筐",N(对接源_01水果!$T885)&lt;&gt;0)),1,0)</f>
        <v>0</v>
      </c>
      <c r="Y885" s="3">
        <f t="shared" si="236"/>
        <v>0</v>
      </c>
      <c r="Z885" s="3">
        <f>IF(AND($M885=1,对接源_01水果!$D885="原料入库"),1,0)</f>
        <v>0</v>
      </c>
      <c r="AA885" s="3">
        <f t="shared" si="237"/>
        <v>24</v>
      </c>
      <c r="AB885" s="3">
        <f>IF(AND($M885=1,LEFT(对接源_01水果!$D885,4)="原料出库"),1,0)</f>
        <v>0</v>
      </c>
      <c r="AC885" s="3">
        <f t="shared" si="238"/>
        <v>0</v>
      </c>
      <c r="AD885" s="3">
        <f>IF(AND($M885=1,LEFT(对接源_01水果!$D885,4)="成品出库"),1,0)</f>
        <v>0</v>
      </c>
      <c r="AE885" s="3">
        <f t="shared" si="239"/>
        <v>0</v>
      </c>
      <c r="AF885" s="3">
        <f>IF(AND($N885=1,AND(LEFT(对接源_01水果!$D885,4)="包装物料",N(对接源_01水果!$K885)&lt;&gt;0)),1,0)</f>
        <v>0</v>
      </c>
      <c r="AG885" s="3">
        <f t="shared" si="240"/>
        <v>0</v>
      </c>
      <c r="AH885" s="3">
        <f>IF(AND($N885=1,AND(对接源_01水果!$D885="周转筐－销售出库",N(对接源_01水果!$K885)&lt;&gt;0)),1,0)</f>
        <v>0</v>
      </c>
      <c r="AI885" s="3">
        <f t="shared" si="241"/>
        <v>0</v>
      </c>
      <c r="AJ885" s="7"/>
      <c r="AL885" s="3">
        <f>IF(OR($AL$1="",对接源_01水果!$Y885="",对接源_01水果!$Y885&lt;&gt;$AL$1,对接源_01水果!$B885="",N(对接源_01水果!$AJ885)&lt;=0),0,IF(OR(N(对接源_01水果!$B885)&lt;$AL$2,N(对接源_01水果!$B885)&gt;$AL$3),0,1))</f>
        <v>0</v>
      </c>
      <c r="AM885" s="3">
        <f t="shared" si="242"/>
        <v>1</v>
      </c>
      <c r="AN885" s="3" t="str">
        <f>IF(对接源_01水果!$AC885="","",对接源_01水果!$AC885)</f>
        <v/>
      </c>
      <c r="AO885" s="3">
        <f t="shared" si="243"/>
        <v>0</v>
      </c>
      <c r="AP885" s="3">
        <f t="shared" si="244"/>
        <v>8</v>
      </c>
      <c r="AR885">
        <f t="shared" si="245"/>
        <v>0</v>
      </c>
      <c r="AS885">
        <f t="shared" si="246"/>
        <v>0</v>
      </c>
    </row>
    <row r="886" ht="14.25" customHeight="1" spans="1:45">
      <c r="A886" s="3" t="str">
        <f>IF(对接源_01水果!$C886="","",对接源_01水果!$C886)</f>
        <v/>
      </c>
      <c r="B886" s="3">
        <f t="shared" si="230"/>
        <v>0</v>
      </c>
      <c r="C886" s="3">
        <f t="shared" si="231"/>
        <v>18</v>
      </c>
      <c r="K886" s="3">
        <f>IF(OR($K$1="",对接源_01水果!$C886="",对接源_01水果!$C886&lt;&gt;$K$1,对接源_01水果!$B886=""),0,IF(OR(N(对接源_01水果!$B886)&lt;$K$2,N(对接源_01水果!$B886)&gt;$K$3),0,1))</f>
        <v>0</v>
      </c>
      <c r="L886" s="3">
        <f>IF(OR($L$1="",对接源_01水果!$C886="",对接源_01水果!$C886&lt;&gt;$L$1,对接源_01水果!$B886=""),0,IF(OR(N(对接源_01水果!$B886)&lt;$L$2,N(对接源_01水果!$B886)&gt;$L$3),0,1))</f>
        <v>0</v>
      </c>
      <c r="M886" s="3">
        <f>IF(OR($M$1="",对接源_01水果!$C886="",对接源_01水果!$C886&lt;&gt;$M$1,对接源_01水果!$B886=""),0,IF(OR(N(对接源_01水果!$B886)&lt;$M$2,N(对接源_01水果!$B886)&gt;$M$3),0,1))</f>
        <v>0</v>
      </c>
      <c r="N886" s="3">
        <f>IF(OR($N$1="",对接源_01水果!$C886="",对接源_01水果!$C886&lt;&gt;$N$1,对接源_01水果!$B886=""),0,IF(OR(N(对接源_01水果!$B886)&lt;$N$2,N(对接源_01水果!$B886)&gt;$N$3),0,1))</f>
        <v>0</v>
      </c>
      <c r="P886" s="3">
        <f>IF(AND($K886=1,AND(对接源_01水果!$X886="公司筐",N(对接源_01水果!$T886)&lt;&gt;0)),1,0)</f>
        <v>0</v>
      </c>
      <c r="Q886" s="3">
        <f t="shared" si="232"/>
        <v>0</v>
      </c>
      <c r="R886" s="3">
        <f>IF(AND($K886=1,AND(对接源_01水果!$X886="公司筐",N(对接源_01水果!$U886)&lt;&gt;0)),1,0)</f>
        <v>0</v>
      </c>
      <c r="S886" s="3">
        <f t="shared" si="233"/>
        <v>0</v>
      </c>
      <c r="T886" s="3">
        <f>IF(AND($K886=1,AND(对接源_01水果!$X886="公司筐",N(对接源_01水果!$V886)&lt;&gt;0)),1,0)</f>
        <v>0</v>
      </c>
      <c r="U886" s="3">
        <f t="shared" si="234"/>
        <v>19</v>
      </c>
      <c r="V886" s="3">
        <f>IF(AND($L886=1,AND(对接源_01水果!$X886="自备筐",N(对接源_01水果!$V886)&lt;&gt;0)),1,0)</f>
        <v>0</v>
      </c>
      <c r="W886" s="3">
        <f t="shared" si="235"/>
        <v>8</v>
      </c>
      <c r="X886" s="3">
        <f>IF(AND($L886=1,AND(对接源_01水果!$X886="自备筐",N(对接源_01水果!$T886)&lt;&gt;0)),1,0)</f>
        <v>0</v>
      </c>
      <c r="Y886" s="3">
        <f t="shared" si="236"/>
        <v>0</v>
      </c>
      <c r="Z886" s="3">
        <f>IF(AND($M886=1,对接源_01水果!$D886="原料入库"),1,0)</f>
        <v>0</v>
      </c>
      <c r="AA886" s="3">
        <f t="shared" si="237"/>
        <v>24</v>
      </c>
      <c r="AB886" s="3">
        <f>IF(AND($M886=1,LEFT(对接源_01水果!$D886,4)="原料出库"),1,0)</f>
        <v>0</v>
      </c>
      <c r="AC886" s="3">
        <f t="shared" si="238"/>
        <v>0</v>
      </c>
      <c r="AD886" s="3">
        <f>IF(AND($M886=1,LEFT(对接源_01水果!$D886,4)="成品出库"),1,0)</f>
        <v>0</v>
      </c>
      <c r="AE886" s="3">
        <f t="shared" si="239"/>
        <v>0</v>
      </c>
      <c r="AF886" s="3">
        <f>IF(AND($N886=1,AND(LEFT(对接源_01水果!$D886,4)="包装物料",N(对接源_01水果!$K886)&lt;&gt;0)),1,0)</f>
        <v>0</v>
      </c>
      <c r="AG886" s="3">
        <f t="shared" si="240"/>
        <v>0</v>
      </c>
      <c r="AH886" s="3">
        <f>IF(AND($N886=1,AND(对接源_01水果!$D886="周转筐－销售出库",N(对接源_01水果!$K886)&lt;&gt;0)),1,0)</f>
        <v>0</v>
      </c>
      <c r="AI886" s="3">
        <f t="shared" si="241"/>
        <v>0</v>
      </c>
      <c r="AJ886" s="7"/>
      <c r="AL886" s="3">
        <f>IF(OR($AL$1="",对接源_01水果!$Y886="",对接源_01水果!$Y886&lt;&gt;$AL$1,对接源_01水果!$B886="",N(对接源_01水果!$AJ886)&lt;=0),0,IF(OR(N(对接源_01水果!$B886)&lt;$AL$2,N(对接源_01水果!$B886)&gt;$AL$3),0,1))</f>
        <v>0</v>
      </c>
      <c r="AM886" s="3">
        <f t="shared" si="242"/>
        <v>1</v>
      </c>
      <c r="AN886" s="3" t="str">
        <f>IF(对接源_01水果!$AC886="","",对接源_01水果!$AC886)</f>
        <v/>
      </c>
      <c r="AO886" s="3">
        <f t="shared" si="243"/>
        <v>0</v>
      </c>
      <c r="AP886" s="3">
        <f t="shared" si="244"/>
        <v>8</v>
      </c>
      <c r="AR886">
        <f t="shared" si="245"/>
        <v>0</v>
      </c>
      <c r="AS886">
        <f t="shared" si="246"/>
        <v>0</v>
      </c>
    </row>
    <row r="887" ht="14.25" customHeight="1" spans="1:45">
      <c r="A887" s="3" t="str">
        <f>IF(对接源_01水果!$C887="","",对接源_01水果!$C887)</f>
        <v/>
      </c>
      <c r="B887" s="3">
        <f t="shared" si="230"/>
        <v>0</v>
      </c>
      <c r="C887" s="3">
        <f t="shared" si="231"/>
        <v>18</v>
      </c>
      <c r="K887" s="3">
        <f>IF(OR($K$1="",对接源_01水果!$C887="",对接源_01水果!$C887&lt;&gt;$K$1,对接源_01水果!$B887=""),0,IF(OR(N(对接源_01水果!$B887)&lt;$K$2,N(对接源_01水果!$B887)&gt;$K$3),0,1))</f>
        <v>0</v>
      </c>
      <c r="L887" s="3">
        <f>IF(OR($L$1="",对接源_01水果!$C887="",对接源_01水果!$C887&lt;&gt;$L$1,对接源_01水果!$B887=""),0,IF(OR(N(对接源_01水果!$B887)&lt;$L$2,N(对接源_01水果!$B887)&gt;$L$3),0,1))</f>
        <v>0</v>
      </c>
      <c r="M887" s="3">
        <f>IF(OR($M$1="",对接源_01水果!$C887="",对接源_01水果!$C887&lt;&gt;$M$1,对接源_01水果!$B887=""),0,IF(OR(N(对接源_01水果!$B887)&lt;$M$2,N(对接源_01水果!$B887)&gt;$M$3),0,1))</f>
        <v>0</v>
      </c>
      <c r="N887" s="3">
        <f>IF(OR($N$1="",对接源_01水果!$C887="",对接源_01水果!$C887&lt;&gt;$N$1,对接源_01水果!$B887=""),0,IF(OR(N(对接源_01水果!$B887)&lt;$N$2,N(对接源_01水果!$B887)&gt;$N$3),0,1))</f>
        <v>0</v>
      </c>
      <c r="P887" s="3">
        <f>IF(AND($K887=1,AND(对接源_01水果!$X887="公司筐",N(对接源_01水果!$T887)&lt;&gt;0)),1,0)</f>
        <v>0</v>
      </c>
      <c r="Q887" s="3">
        <f t="shared" si="232"/>
        <v>0</v>
      </c>
      <c r="R887" s="3">
        <f>IF(AND($K887=1,AND(对接源_01水果!$X887="公司筐",N(对接源_01水果!$U887)&lt;&gt;0)),1,0)</f>
        <v>0</v>
      </c>
      <c r="S887" s="3">
        <f t="shared" si="233"/>
        <v>0</v>
      </c>
      <c r="T887" s="3">
        <f>IF(AND($K887=1,AND(对接源_01水果!$X887="公司筐",N(对接源_01水果!$V887)&lt;&gt;0)),1,0)</f>
        <v>0</v>
      </c>
      <c r="U887" s="3">
        <f t="shared" si="234"/>
        <v>19</v>
      </c>
      <c r="V887" s="3">
        <f>IF(AND($L887=1,AND(对接源_01水果!$X887="自备筐",N(对接源_01水果!$V887)&lt;&gt;0)),1,0)</f>
        <v>0</v>
      </c>
      <c r="W887" s="3">
        <f t="shared" si="235"/>
        <v>8</v>
      </c>
      <c r="X887" s="3">
        <f>IF(AND($L887=1,AND(对接源_01水果!$X887="自备筐",N(对接源_01水果!$T887)&lt;&gt;0)),1,0)</f>
        <v>0</v>
      </c>
      <c r="Y887" s="3">
        <f t="shared" si="236"/>
        <v>0</v>
      </c>
      <c r="Z887" s="3">
        <f>IF(AND($M887=1,对接源_01水果!$D887="原料入库"),1,0)</f>
        <v>0</v>
      </c>
      <c r="AA887" s="3">
        <f t="shared" si="237"/>
        <v>24</v>
      </c>
      <c r="AB887" s="3">
        <f>IF(AND($M887=1,LEFT(对接源_01水果!$D887,4)="原料出库"),1,0)</f>
        <v>0</v>
      </c>
      <c r="AC887" s="3">
        <f t="shared" si="238"/>
        <v>0</v>
      </c>
      <c r="AD887" s="3">
        <f>IF(AND($M887=1,LEFT(对接源_01水果!$D887,4)="成品出库"),1,0)</f>
        <v>0</v>
      </c>
      <c r="AE887" s="3">
        <f t="shared" si="239"/>
        <v>0</v>
      </c>
      <c r="AF887" s="3">
        <f>IF(AND($N887=1,AND(LEFT(对接源_01水果!$D887,4)="包装物料",N(对接源_01水果!$K887)&lt;&gt;0)),1,0)</f>
        <v>0</v>
      </c>
      <c r="AG887" s="3">
        <f t="shared" si="240"/>
        <v>0</v>
      </c>
      <c r="AH887" s="3">
        <f>IF(AND($N887=1,AND(对接源_01水果!$D887="周转筐－销售出库",N(对接源_01水果!$K887)&lt;&gt;0)),1,0)</f>
        <v>0</v>
      </c>
      <c r="AI887" s="3">
        <f t="shared" si="241"/>
        <v>0</v>
      </c>
      <c r="AJ887" s="7"/>
      <c r="AL887" s="3">
        <f>IF(OR($AL$1="",对接源_01水果!$Y887="",对接源_01水果!$Y887&lt;&gt;$AL$1,对接源_01水果!$B887="",N(对接源_01水果!$AJ887)&lt;=0),0,IF(OR(N(对接源_01水果!$B887)&lt;$AL$2,N(对接源_01水果!$B887)&gt;$AL$3),0,1))</f>
        <v>0</v>
      </c>
      <c r="AM887" s="3">
        <f t="shared" si="242"/>
        <v>1</v>
      </c>
      <c r="AN887" s="3" t="str">
        <f>IF(对接源_01水果!$AC887="","",对接源_01水果!$AC887)</f>
        <v/>
      </c>
      <c r="AO887" s="3">
        <f t="shared" si="243"/>
        <v>0</v>
      </c>
      <c r="AP887" s="3">
        <f t="shared" si="244"/>
        <v>8</v>
      </c>
      <c r="AR887">
        <f t="shared" si="245"/>
        <v>0</v>
      </c>
      <c r="AS887">
        <f t="shared" si="246"/>
        <v>0</v>
      </c>
    </row>
    <row r="888" ht="14.25" customHeight="1" spans="1:45">
      <c r="A888" s="3" t="str">
        <f>IF(对接源_01水果!$C888="","",对接源_01水果!$C888)</f>
        <v/>
      </c>
      <c r="B888" s="3">
        <f t="shared" si="230"/>
        <v>0</v>
      </c>
      <c r="C888" s="3">
        <f t="shared" si="231"/>
        <v>18</v>
      </c>
      <c r="K888" s="3">
        <f>IF(OR($K$1="",对接源_01水果!$C888="",对接源_01水果!$C888&lt;&gt;$K$1,对接源_01水果!$B888=""),0,IF(OR(N(对接源_01水果!$B888)&lt;$K$2,N(对接源_01水果!$B888)&gt;$K$3),0,1))</f>
        <v>0</v>
      </c>
      <c r="L888" s="3">
        <f>IF(OR($L$1="",对接源_01水果!$C888="",对接源_01水果!$C888&lt;&gt;$L$1,对接源_01水果!$B888=""),0,IF(OR(N(对接源_01水果!$B888)&lt;$L$2,N(对接源_01水果!$B888)&gt;$L$3),0,1))</f>
        <v>0</v>
      </c>
      <c r="M888" s="3">
        <f>IF(OR($M$1="",对接源_01水果!$C888="",对接源_01水果!$C888&lt;&gt;$M$1,对接源_01水果!$B888=""),0,IF(OR(N(对接源_01水果!$B888)&lt;$M$2,N(对接源_01水果!$B888)&gt;$M$3),0,1))</f>
        <v>0</v>
      </c>
      <c r="N888" s="3">
        <f>IF(OR($N$1="",对接源_01水果!$C888="",对接源_01水果!$C888&lt;&gt;$N$1,对接源_01水果!$B888=""),0,IF(OR(N(对接源_01水果!$B888)&lt;$N$2,N(对接源_01水果!$B888)&gt;$N$3),0,1))</f>
        <v>0</v>
      </c>
      <c r="P888" s="3">
        <f>IF(AND($K888=1,AND(对接源_01水果!$X888="公司筐",N(对接源_01水果!$T888)&lt;&gt;0)),1,0)</f>
        <v>0</v>
      </c>
      <c r="Q888" s="3">
        <f t="shared" si="232"/>
        <v>0</v>
      </c>
      <c r="R888" s="3">
        <f>IF(AND($K888=1,AND(对接源_01水果!$X888="公司筐",N(对接源_01水果!$U888)&lt;&gt;0)),1,0)</f>
        <v>0</v>
      </c>
      <c r="S888" s="3">
        <f t="shared" si="233"/>
        <v>0</v>
      </c>
      <c r="T888" s="3">
        <f>IF(AND($K888=1,AND(对接源_01水果!$X888="公司筐",N(对接源_01水果!$V888)&lt;&gt;0)),1,0)</f>
        <v>0</v>
      </c>
      <c r="U888" s="3">
        <f t="shared" si="234"/>
        <v>19</v>
      </c>
      <c r="V888" s="3">
        <f>IF(AND($L888=1,AND(对接源_01水果!$X888="自备筐",N(对接源_01水果!$V888)&lt;&gt;0)),1,0)</f>
        <v>0</v>
      </c>
      <c r="W888" s="3">
        <f t="shared" si="235"/>
        <v>8</v>
      </c>
      <c r="X888" s="3">
        <f>IF(AND($L888=1,AND(对接源_01水果!$X888="自备筐",N(对接源_01水果!$T888)&lt;&gt;0)),1,0)</f>
        <v>0</v>
      </c>
      <c r="Y888" s="3">
        <f t="shared" si="236"/>
        <v>0</v>
      </c>
      <c r="Z888" s="3">
        <f>IF(AND($M888=1,对接源_01水果!$D888="原料入库"),1,0)</f>
        <v>0</v>
      </c>
      <c r="AA888" s="3">
        <f t="shared" si="237"/>
        <v>24</v>
      </c>
      <c r="AB888" s="3">
        <f>IF(AND($M888=1,LEFT(对接源_01水果!$D888,4)="原料出库"),1,0)</f>
        <v>0</v>
      </c>
      <c r="AC888" s="3">
        <f t="shared" si="238"/>
        <v>0</v>
      </c>
      <c r="AD888" s="3">
        <f>IF(AND($M888=1,LEFT(对接源_01水果!$D888,4)="成品出库"),1,0)</f>
        <v>0</v>
      </c>
      <c r="AE888" s="3">
        <f t="shared" si="239"/>
        <v>0</v>
      </c>
      <c r="AF888" s="3">
        <f>IF(AND($N888=1,AND(LEFT(对接源_01水果!$D888,4)="包装物料",N(对接源_01水果!$K888)&lt;&gt;0)),1,0)</f>
        <v>0</v>
      </c>
      <c r="AG888" s="3">
        <f t="shared" si="240"/>
        <v>0</v>
      </c>
      <c r="AH888" s="3">
        <f>IF(AND($N888=1,AND(对接源_01水果!$D888="周转筐－销售出库",N(对接源_01水果!$K888)&lt;&gt;0)),1,0)</f>
        <v>0</v>
      </c>
      <c r="AI888" s="3">
        <f t="shared" si="241"/>
        <v>0</v>
      </c>
      <c r="AJ888" s="7"/>
      <c r="AL888" s="3">
        <f>IF(OR($AL$1="",对接源_01水果!$Y888="",对接源_01水果!$Y888&lt;&gt;$AL$1,对接源_01水果!$B888="",N(对接源_01水果!$AJ888)&lt;=0),0,IF(OR(N(对接源_01水果!$B888)&lt;$AL$2,N(对接源_01水果!$B888)&gt;$AL$3),0,1))</f>
        <v>0</v>
      </c>
      <c r="AM888" s="3">
        <f t="shared" si="242"/>
        <v>1</v>
      </c>
      <c r="AN888" s="3" t="str">
        <f>IF(对接源_01水果!$AC888="","",对接源_01水果!$AC888)</f>
        <v/>
      </c>
      <c r="AO888" s="3">
        <f t="shared" si="243"/>
        <v>0</v>
      </c>
      <c r="AP888" s="3">
        <f t="shared" si="244"/>
        <v>8</v>
      </c>
      <c r="AR888">
        <f t="shared" si="245"/>
        <v>0</v>
      </c>
      <c r="AS888">
        <f t="shared" si="246"/>
        <v>0</v>
      </c>
    </row>
    <row r="889" ht="14.25" customHeight="1" spans="1:45">
      <c r="A889" s="3" t="str">
        <f>IF(对接源_01水果!$C889="","",对接源_01水果!$C889)</f>
        <v/>
      </c>
      <c r="B889" s="3">
        <f t="shared" si="230"/>
        <v>0</v>
      </c>
      <c r="C889" s="3">
        <f t="shared" si="231"/>
        <v>18</v>
      </c>
      <c r="K889" s="3">
        <f>IF(OR($K$1="",对接源_01水果!$C889="",对接源_01水果!$C889&lt;&gt;$K$1,对接源_01水果!$B889=""),0,IF(OR(N(对接源_01水果!$B889)&lt;$K$2,N(对接源_01水果!$B889)&gt;$K$3),0,1))</f>
        <v>0</v>
      </c>
      <c r="L889" s="3">
        <f>IF(OR($L$1="",对接源_01水果!$C889="",对接源_01水果!$C889&lt;&gt;$L$1,对接源_01水果!$B889=""),0,IF(OR(N(对接源_01水果!$B889)&lt;$L$2,N(对接源_01水果!$B889)&gt;$L$3),0,1))</f>
        <v>0</v>
      </c>
      <c r="M889" s="3">
        <f>IF(OR($M$1="",对接源_01水果!$C889="",对接源_01水果!$C889&lt;&gt;$M$1,对接源_01水果!$B889=""),0,IF(OR(N(对接源_01水果!$B889)&lt;$M$2,N(对接源_01水果!$B889)&gt;$M$3),0,1))</f>
        <v>0</v>
      </c>
      <c r="N889" s="3">
        <f>IF(OR($N$1="",对接源_01水果!$C889="",对接源_01水果!$C889&lt;&gt;$N$1,对接源_01水果!$B889=""),0,IF(OR(N(对接源_01水果!$B889)&lt;$N$2,N(对接源_01水果!$B889)&gt;$N$3),0,1))</f>
        <v>0</v>
      </c>
      <c r="P889" s="3">
        <f>IF(AND($K889=1,AND(对接源_01水果!$X889="公司筐",N(对接源_01水果!$T889)&lt;&gt;0)),1,0)</f>
        <v>0</v>
      </c>
      <c r="Q889" s="3">
        <f t="shared" si="232"/>
        <v>0</v>
      </c>
      <c r="R889" s="3">
        <f>IF(AND($K889=1,AND(对接源_01水果!$X889="公司筐",N(对接源_01水果!$U889)&lt;&gt;0)),1,0)</f>
        <v>0</v>
      </c>
      <c r="S889" s="3">
        <f t="shared" si="233"/>
        <v>0</v>
      </c>
      <c r="T889" s="3">
        <f>IF(AND($K889=1,AND(对接源_01水果!$X889="公司筐",N(对接源_01水果!$V889)&lt;&gt;0)),1,0)</f>
        <v>0</v>
      </c>
      <c r="U889" s="3">
        <f t="shared" si="234"/>
        <v>19</v>
      </c>
      <c r="V889" s="3">
        <f>IF(AND($L889=1,AND(对接源_01水果!$X889="自备筐",N(对接源_01水果!$V889)&lt;&gt;0)),1,0)</f>
        <v>0</v>
      </c>
      <c r="W889" s="3">
        <f t="shared" si="235"/>
        <v>8</v>
      </c>
      <c r="X889" s="3">
        <f>IF(AND($L889=1,AND(对接源_01水果!$X889="自备筐",N(对接源_01水果!$T889)&lt;&gt;0)),1,0)</f>
        <v>0</v>
      </c>
      <c r="Y889" s="3">
        <f t="shared" si="236"/>
        <v>0</v>
      </c>
      <c r="Z889" s="3">
        <f>IF(AND($M889=1,对接源_01水果!$D889="原料入库"),1,0)</f>
        <v>0</v>
      </c>
      <c r="AA889" s="3">
        <f t="shared" si="237"/>
        <v>24</v>
      </c>
      <c r="AB889" s="3">
        <f>IF(AND($M889=1,LEFT(对接源_01水果!$D889,4)="原料出库"),1,0)</f>
        <v>0</v>
      </c>
      <c r="AC889" s="3">
        <f t="shared" si="238"/>
        <v>0</v>
      </c>
      <c r="AD889" s="3">
        <f>IF(AND($M889=1,LEFT(对接源_01水果!$D889,4)="成品出库"),1,0)</f>
        <v>0</v>
      </c>
      <c r="AE889" s="3">
        <f t="shared" si="239"/>
        <v>0</v>
      </c>
      <c r="AF889" s="3">
        <f>IF(AND($N889=1,AND(LEFT(对接源_01水果!$D889,4)="包装物料",N(对接源_01水果!$K889)&lt;&gt;0)),1,0)</f>
        <v>0</v>
      </c>
      <c r="AG889" s="3">
        <f t="shared" si="240"/>
        <v>0</v>
      </c>
      <c r="AH889" s="3">
        <f>IF(AND($N889=1,AND(对接源_01水果!$D889="周转筐－销售出库",N(对接源_01水果!$K889)&lt;&gt;0)),1,0)</f>
        <v>0</v>
      </c>
      <c r="AI889" s="3">
        <f t="shared" si="241"/>
        <v>0</v>
      </c>
      <c r="AJ889" s="7"/>
      <c r="AL889" s="3">
        <f>IF(OR($AL$1="",对接源_01水果!$Y889="",对接源_01水果!$Y889&lt;&gt;$AL$1,对接源_01水果!$B889="",N(对接源_01水果!$AJ889)&lt;=0),0,IF(OR(N(对接源_01水果!$B889)&lt;$AL$2,N(对接源_01水果!$B889)&gt;$AL$3),0,1))</f>
        <v>0</v>
      </c>
      <c r="AM889" s="3">
        <f t="shared" si="242"/>
        <v>1</v>
      </c>
      <c r="AN889" s="3" t="str">
        <f>IF(对接源_01水果!$AC889="","",对接源_01水果!$AC889)</f>
        <v/>
      </c>
      <c r="AO889" s="3">
        <f t="shared" si="243"/>
        <v>0</v>
      </c>
      <c r="AP889" s="3">
        <f t="shared" si="244"/>
        <v>8</v>
      </c>
      <c r="AR889">
        <f t="shared" si="245"/>
        <v>0</v>
      </c>
      <c r="AS889">
        <f t="shared" si="246"/>
        <v>0</v>
      </c>
    </row>
    <row r="890" ht="14.25" customHeight="1" spans="1:45">
      <c r="A890" s="3" t="str">
        <f>IF(对接源_01水果!$C890="","",对接源_01水果!$C890)</f>
        <v/>
      </c>
      <c r="B890" s="3">
        <f t="shared" si="230"/>
        <v>0</v>
      </c>
      <c r="C890" s="3">
        <f t="shared" si="231"/>
        <v>18</v>
      </c>
      <c r="K890" s="3">
        <f>IF(OR($K$1="",对接源_01水果!$C890="",对接源_01水果!$C890&lt;&gt;$K$1,对接源_01水果!$B890=""),0,IF(OR(N(对接源_01水果!$B890)&lt;$K$2,N(对接源_01水果!$B890)&gt;$K$3),0,1))</f>
        <v>0</v>
      </c>
      <c r="L890" s="3">
        <f>IF(OR($L$1="",对接源_01水果!$C890="",对接源_01水果!$C890&lt;&gt;$L$1,对接源_01水果!$B890=""),0,IF(OR(N(对接源_01水果!$B890)&lt;$L$2,N(对接源_01水果!$B890)&gt;$L$3),0,1))</f>
        <v>0</v>
      </c>
      <c r="M890" s="3">
        <f>IF(OR($M$1="",对接源_01水果!$C890="",对接源_01水果!$C890&lt;&gt;$M$1,对接源_01水果!$B890=""),0,IF(OR(N(对接源_01水果!$B890)&lt;$M$2,N(对接源_01水果!$B890)&gt;$M$3),0,1))</f>
        <v>0</v>
      </c>
      <c r="N890" s="3">
        <f>IF(OR($N$1="",对接源_01水果!$C890="",对接源_01水果!$C890&lt;&gt;$N$1,对接源_01水果!$B890=""),0,IF(OR(N(对接源_01水果!$B890)&lt;$N$2,N(对接源_01水果!$B890)&gt;$N$3),0,1))</f>
        <v>0</v>
      </c>
      <c r="P890" s="3">
        <f>IF(AND($K890=1,AND(对接源_01水果!$X890="公司筐",N(对接源_01水果!$T890)&lt;&gt;0)),1,0)</f>
        <v>0</v>
      </c>
      <c r="Q890" s="3">
        <f t="shared" si="232"/>
        <v>0</v>
      </c>
      <c r="R890" s="3">
        <f>IF(AND($K890=1,AND(对接源_01水果!$X890="公司筐",N(对接源_01水果!$U890)&lt;&gt;0)),1,0)</f>
        <v>0</v>
      </c>
      <c r="S890" s="3">
        <f t="shared" si="233"/>
        <v>0</v>
      </c>
      <c r="T890" s="3">
        <f>IF(AND($K890=1,AND(对接源_01水果!$X890="公司筐",N(对接源_01水果!$V890)&lt;&gt;0)),1,0)</f>
        <v>0</v>
      </c>
      <c r="U890" s="3">
        <f t="shared" si="234"/>
        <v>19</v>
      </c>
      <c r="V890" s="3">
        <f>IF(AND($L890=1,AND(对接源_01水果!$X890="自备筐",N(对接源_01水果!$V890)&lt;&gt;0)),1,0)</f>
        <v>0</v>
      </c>
      <c r="W890" s="3">
        <f t="shared" si="235"/>
        <v>8</v>
      </c>
      <c r="X890" s="3">
        <f>IF(AND($L890=1,AND(对接源_01水果!$X890="自备筐",N(对接源_01水果!$T890)&lt;&gt;0)),1,0)</f>
        <v>0</v>
      </c>
      <c r="Y890" s="3">
        <f t="shared" si="236"/>
        <v>0</v>
      </c>
      <c r="Z890" s="3">
        <f>IF(AND($M890=1,对接源_01水果!$D890="原料入库"),1,0)</f>
        <v>0</v>
      </c>
      <c r="AA890" s="3">
        <f t="shared" si="237"/>
        <v>24</v>
      </c>
      <c r="AB890" s="3">
        <f>IF(AND($M890=1,LEFT(对接源_01水果!$D890,4)="原料出库"),1,0)</f>
        <v>0</v>
      </c>
      <c r="AC890" s="3">
        <f t="shared" si="238"/>
        <v>0</v>
      </c>
      <c r="AD890" s="3">
        <f>IF(AND($M890=1,LEFT(对接源_01水果!$D890,4)="成品出库"),1,0)</f>
        <v>0</v>
      </c>
      <c r="AE890" s="3">
        <f t="shared" si="239"/>
        <v>0</v>
      </c>
      <c r="AF890" s="3">
        <f>IF(AND($N890=1,AND(LEFT(对接源_01水果!$D890,4)="包装物料",N(对接源_01水果!$K890)&lt;&gt;0)),1,0)</f>
        <v>0</v>
      </c>
      <c r="AG890" s="3">
        <f t="shared" si="240"/>
        <v>0</v>
      </c>
      <c r="AH890" s="3">
        <f>IF(AND($N890=1,AND(对接源_01水果!$D890="周转筐－销售出库",N(对接源_01水果!$K890)&lt;&gt;0)),1,0)</f>
        <v>0</v>
      </c>
      <c r="AI890" s="3">
        <f t="shared" si="241"/>
        <v>0</v>
      </c>
      <c r="AJ890" s="7"/>
      <c r="AL890" s="3">
        <f>IF(OR($AL$1="",对接源_01水果!$Y890="",对接源_01水果!$Y890&lt;&gt;$AL$1,对接源_01水果!$B890="",N(对接源_01水果!$AJ890)&lt;=0),0,IF(OR(N(对接源_01水果!$B890)&lt;$AL$2,N(对接源_01水果!$B890)&gt;$AL$3),0,1))</f>
        <v>0</v>
      </c>
      <c r="AM890" s="3">
        <f t="shared" si="242"/>
        <v>1</v>
      </c>
      <c r="AN890" s="3" t="str">
        <f>IF(对接源_01水果!$AC890="","",对接源_01水果!$AC890)</f>
        <v/>
      </c>
      <c r="AO890" s="3">
        <f t="shared" si="243"/>
        <v>0</v>
      </c>
      <c r="AP890" s="3">
        <f t="shared" si="244"/>
        <v>8</v>
      </c>
      <c r="AR890">
        <f t="shared" si="245"/>
        <v>0</v>
      </c>
      <c r="AS890">
        <f t="shared" si="246"/>
        <v>0</v>
      </c>
    </row>
    <row r="891" ht="14.25" customHeight="1" spans="1:45">
      <c r="A891" s="3" t="str">
        <f>IF(对接源_01水果!$C891="","",对接源_01水果!$C891)</f>
        <v/>
      </c>
      <c r="B891" s="3">
        <f t="shared" si="230"/>
        <v>0</v>
      </c>
      <c r="C891" s="3">
        <f t="shared" si="231"/>
        <v>18</v>
      </c>
      <c r="K891" s="3">
        <f>IF(OR($K$1="",对接源_01水果!$C891="",对接源_01水果!$C891&lt;&gt;$K$1,对接源_01水果!$B891=""),0,IF(OR(N(对接源_01水果!$B891)&lt;$K$2,N(对接源_01水果!$B891)&gt;$K$3),0,1))</f>
        <v>0</v>
      </c>
      <c r="L891" s="3">
        <f>IF(OR($L$1="",对接源_01水果!$C891="",对接源_01水果!$C891&lt;&gt;$L$1,对接源_01水果!$B891=""),0,IF(OR(N(对接源_01水果!$B891)&lt;$L$2,N(对接源_01水果!$B891)&gt;$L$3),0,1))</f>
        <v>0</v>
      </c>
      <c r="M891" s="3">
        <f>IF(OR($M$1="",对接源_01水果!$C891="",对接源_01水果!$C891&lt;&gt;$M$1,对接源_01水果!$B891=""),0,IF(OR(N(对接源_01水果!$B891)&lt;$M$2,N(对接源_01水果!$B891)&gt;$M$3),0,1))</f>
        <v>0</v>
      </c>
      <c r="N891" s="3">
        <f>IF(OR($N$1="",对接源_01水果!$C891="",对接源_01水果!$C891&lt;&gt;$N$1,对接源_01水果!$B891=""),0,IF(OR(N(对接源_01水果!$B891)&lt;$N$2,N(对接源_01水果!$B891)&gt;$N$3),0,1))</f>
        <v>0</v>
      </c>
      <c r="P891" s="3">
        <f>IF(AND($K891=1,AND(对接源_01水果!$X891="公司筐",N(对接源_01水果!$T891)&lt;&gt;0)),1,0)</f>
        <v>0</v>
      </c>
      <c r="Q891" s="3">
        <f t="shared" si="232"/>
        <v>0</v>
      </c>
      <c r="R891" s="3">
        <f>IF(AND($K891=1,AND(对接源_01水果!$X891="公司筐",N(对接源_01水果!$U891)&lt;&gt;0)),1,0)</f>
        <v>0</v>
      </c>
      <c r="S891" s="3">
        <f t="shared" si="233"/>
        <v>0</v>
      </c>
      <c r="T891" s="3">
        <f>IF(AND($K891=1,AND(对接源_01水果!$X891="公司筐",N(对接源_01水果!$V891)&lt;&gt;0)),1,0)</f>
        <v>0</v>
      </c>
      <c r="U891" s="3">
        <f t="shared" si="234"/>
        <v>19</v>
      </c>
      <c r="V891" s="3">
        <f>IF(AND($L891=1,AND(对接源_01水果!$X891="自备筐",N(对接源_01水果!$V891)&lt;&gt;0)),1,0)</f>
        <v>0</v>
      </c>
      <c r="W891" s="3">
        <f t="shared" si="235"/>
        <v>8</v>
      </c>
      <c r="X891" s="3">
        <f>IF(AND($L891=1,AND(对接源_01水果!$X891="自备筐",N(对接源_01水果!$T891)&lt;&gt;0)),1,0)</f>
        <v>0</v>
      </c>
      <c r="Y891" s="3">
        <f t="shared" si="236"/>
        <v>0</v>
      </c>
      <c r="Z891" s="3">
        <f>IF(AND($M891=1,对接源_01水果!$D891="原料入库"),1,0)</f>
        <v>0</v>
      </c>
      <c r="AA891" s="3">
        <f t="shared" si="237"/>
        <v>24</v>
      </c>
      <c r="AB891" s="3">
        <f>IF(AND($M891=1,LEFT(对接源_01水果!$D891,4)="原料出库"),1,0)</f>
        <v>0</v>
      </c>
      <c r="AC891" s="3">
        <f t="shared" si="238"/>
        <v>0</v>
      </c>
      <c r="AD891" s="3">
        <f>IF(AND($M891=1,LEFT(对接源_01水果!$D891,4)="成品出库"),1,0)</f>
        <v>0</v>
      </c>
      <c r="AE891" s="3">
        <f t="shared" si="239"/>
        <v>0</v>
      </c>
      <c r="AF891" s="3">
        <f>IF(AND($N891=1,AND(LEFT(对接源_01水果!$D891,4)="包装物料",N(对接源_01水果!$K891)&lt;&gt;0)),1,0)</f>
        <v>0</v>
      </c>
      <c r="AG891" s="3">
        <f t="shared" si="240"/>
        <v>0</v>
      </c>
      <c r="AH891" s="3">
        <f>IF(AND($N891=1,AND(对接源_01水果!$D891="周转筐－销售出库",N(对接源_01水果!$K891)&lt;&gt;0)),1,0)</f>
        <v>0</v>
      </c>
      <c r="AI891" s="3">
        <f t="shared" si="241"/>
        <v>0</v>
      </c>
      <c r="AJ891" s="7"/>
      <c r="AL891" s="3">
        <f>IF(OR($AL$1="",对接源_01水果!$Y891="",对接源_01水果!$Y891&lt;&gt;$AL$1,对接源_01水果!$B891="",N(对接源_01水果!$AJ891)&lt;=0),0,IF(OR(N(对接源_01水果!$B891)&lt;$AL$2,N(对接源_01水果!$B891)&gt;$AL$3),0,1))</f>
        <v>0</v>
      </c>
      <c r="AM891" s="3">
        <f t="shared" si="242"/>
        <v>1</v>
      </c>
      <c r="AN891" s="3" t="str">
        <f>IF(对接源_01水果!$AC891="","",对接源_01水果!$AC891)</f>
        <v/>
      </c>
      <c r="AO891" s="3">
        <f t="shared" si="243"/>
        <v>0</v>
      </c>
      <c r="AP891" s="3">
        <f t="shared" si="244"/>
        <v>8</v>
      </c>
      <c r="AR891">
        <f t="shared" si="245"/>
        <v>0</v>
      </c>
      <c r="AS891">
        <f t="shared" si="246"/>
        <v>0</v>
      </c>
    </row>
    <row r="892" ht="14.25" customHeight="1" spans="1:45">
      <c r="A892" s="3" t="str">
        <f>IF(对接源_01水果!$C892="","",对接源_01水果!$C892)</f>
        <v/>
      </c>
      <c r="B892" s="3">
        <f t="shared" si="230"/>
        <v>0</v>
      </c>
      <c r="C892" s="3">
        <f t="shared" si="231"/>
        <v>18</v>
      </c>
      <c r="K892" s="3">
        <f>IF(OR($K$1="",对接源_01水果!$C892="",对接源_01水果!$C892&lt;&gt;$K$1,对接源_01水果!$B892=""),0,IF(OR(N(对接源_01水果!$B892)&lt;$K$2,N(对接源_01水果!$B892)&gt;$K$3),0,1))</f>
        <v>0</v>
      </c>
      <c r="L892" s="3">
        <f>IF(OR($L$1="",对接源_01水果!$C892="",对接源_01水果!$C892&lt;&gt;$L$1,对接源_01水果!$B892=""),0,IF(OR(N(对接源_01水果!$B892)&lt;$L$2,N(对接源_01水果!$B892)&gt;$L$3),0,1))</f>
        <v>0</v>
      </c>
      <c r="M892" s="3">
        <f>IF(OR($M$1="",对接源_01水果!$C892="",对接源_01水果!$C892&lt;&gt;$M$1,对接源_01水果!$B892=""),0,IF(OR(N(对接源_01水果!$B892)&lt;$M$2,N(对接源_01水果!$B892)&gt;$M$3),0,1))</f>
        <v>0</v>
      </c>
      <c r="N892" s="3">
        <f>IF(OR($N$1="",对接源_01水果!$C892="",对接源_01水果!$C892&lt;&gt;$N$1,对接源_01水果!$B892=""),0,IF(OR(N(对接源_01水果!$B892)&lt;$N$2,N(对接源_01水果!$B892)&gt;$N$3),0,1))</f>
        <v>0</v>
      </c>
      <c r="P892" s="3">
        <f>IF(AND($K892=1,AND(对接源_01水果!$X892="公司筐",N(对接源_01水果!$T892)&lt;&gt;0)),1,0)</f>
        <v>0</v>
      </c>
      <c r="Q892" s="3">
        <f t="shared" si="232"/>
        <v>0</v>
      </c>
      <c r="R892" s="3">
        <f>IF(AND($K892=1,AND(对接源_01水果!$X892="公司筐",N(对接源_01水果!$U892)&lt;&gt;0)),1,0)</f>
        <v>0</v>
      </c>
      <c r="S892" s="3">
        <f t="shared" si="233"/>
        <v>0</v>
      </c>
      <c r="T892" s="3">
        <f>IF(AND($K892=1,AND(对接源_01水果!$X892="公司筐",N(对接源_01水果!$V892)&lt;&gt;0)),1,0)</f>
        <v>0</v>
      </c>
      <c r="U892" s="3">
        <f t="shared" si="234"/>
        <v>19</v>
      </c>
      <c r="V892" s="3">
        <f>IF(AND($L892=1,AND(对接源_01水果!$X892="自备筐",N(对接源_01水果!$V892)&lt;&gt;0)),1,0)</f>
        <v>0</v>
      </c>
      <c r="W892" s="3">
        <f t="shared" si="235"/>
        <v>8</v>
      </c>
      <c r="X892" s="3">
        <f>IF(AND($L892=1,AND(对接源_01水果!$X892="自备筐",N(对接源_01水果!$T892)&lt;&gt;0)),1,0)</f>
        <v>0</v>
      </c>
      <c r="Y892" s="3">
        <f t="shared" si="236"/>
        <v>0</v>
      </c>
      <c r="Z892" s="3">
        <f>IF(AND($M892=1,对接源_01水果!$D892="原料入库"),1,0)</f>
        <v>0</v>
      </c>
      <c r="AA892" s="3">
        <f t="shared" si="237"/>
        <v>24</v>
      </c>
      <c r="AB892" s="3">
        <f>IF(AND($M892=1,LEFT(对接源_01水果!$D892,4)="原料出库"),1,0)</f>
        <v>0</v>
      </c>
      <c r="AC892" s="3">
        <f t="shared" si="238"/>
        <v>0</v>
      </c>
      <c r="AD892" s="3">
        <f>IF(AND($M892=1,LEFT(对接源_01水果!$D892,4)="成品出库"),1,0)</f>
        <v>0</v>
      </c>
      <c r="AE892" s="3">
        <f t="shared" si="239"/>
        <v>0</v>
      </c>
      <c r="AF892" s="3">
        <f>IF(AND($N892=1,AND(LEFT(对接源_01水果!$D892,4)="包装物料",N(对接源_01水果!$K892)&lt;&gt;0)),1,0)</f>
        <v>0</v>
      </c>
      <c r="AG892" s="3">
        <f t="shared" si="240"/>
        <v>0</v>
      </c>
      <c r="AH892" s="3">
        <f>IF(AND($N892=1,AND(对接源_01水果!$D892="周转筐－销售出库",N(对接源_01水果!$K892)&lt;&gt;0)),1,0)</f>
        <v>0</v>
      </c>
      <c r="AI892" s="3">
        <f t="shared" si="241"/>
        <v>0</v>
      </c>
      <c r="AJ892" s="7"/>
      <c r="AL892" s="3">
        <f>IF(OR($AL$1="",对接源_01水果!$Y892="",对接源_01水果!$Y892&lt;&gt;$AL$1,对接源_01水果!$B892="",N(对接源_01水果!$AJ892)&lt;=0),0,IF(OR(N(对接源_01水果!$B892)&lt;$AL$2,N(对接源_01水果!$B892)&gt;$AL$3),0,1))</f>
        <v>0</v>
      </c>
      <c r="AM892" s="3">
        <f t="shared" si="242"/>
        <v>1</v>
      </c>
      <c r="AN892" s="3" t="str">
        <f>IF(对接源_01水果!$AC892="","",对接源_01水果!$AC892)</f>
        <v/>
      </c>
      <c r="AO892" s="3">
        <f t="shared" si="243"/>
        <v>0</v>
      </c>
      <c r="AP892" s="3">
        <f t="shared" si="244"/>
        <v>8</v>
      </c>
      <c r="AR892">
        <f t="shared" si="245"/>
        <v>0</v>
      </c>
      <c r="AS892">
        <f t="shared" si="246"/>
        <v>0</v>
      </c>
    </row>
    <row r="893" ht="14.25" customHeight="1" spans="1:45">
      <c r="A893" s="3" t="str">
        <f>IF(对接源_01水果!$C893="","",对接源_01水果!$C893)</f>
        <v/>
      </c>
      <c r="B893" s="3">
        <f t="shared" si="230"/>
        <v>0</v>
      </c>
      <c r="C893" s="3">
        <f t="shared" si="231"/>
        <v>18</v>
      </c>
      <c r="K893" s="3">
        <f>IF(OR($K$1="",对接源_01水果!$C893="",对接源_01水果!$C893&lt;&gt;$K$1,对接源_01水果!$B893=""),0,IF(OR(N(对接源_01水果!$B893)&lt;$K$2,N(对接源_01水果!$B893)&gt;$K$3),0,1))</f>
        <v>0</v>
      </c>
      <c r="L893" s="3">
        <f>IF(OR($L$1="",对接源_01水果!$C893="",对接源_01水果!$C893&lt;&gt;$L$1,对接源_01水果!$B893=""),0,IF(OR(N(对接源_01水果!$B893)&lt;$L$2,N(对接源_01水果!$B893)&gt;$L$3),0,1))</f>
        <v>0</v>
      </c>
      <c r="M893" s="3">
        <f>IF(OR($M$1="",对接源_01水果!$C893="",对接源_01水果!$C893&lt;&gt;$M$1,对接源_01水果!$B893=""),0,IF(OR(N(对接源_01水果!$B893)&lt;$M$2,N(对接源_01水果!$B893)&gt;$M$3),0,1))</f>
        <v>0</v>
      </c>
      <c r="N893" s="3">
        <f>IF(OR($N$1="",对接源_01水果!$C893="",对接源_01水果!$C893&lt;&gt;$N$1,对接源_01水果!$B893=""),0,IF(OR(N(对接源_01水果!$B893)&lt;$N$2,N(对接源_01水果!$B893)&gt;$N$3),0,1))</f>
        <v>0</v>
      </c>
      <c r="P893" s="3">
        <f>IF(AND($K893=1,AND(对接源_01水果!$X893="公司筐",N(对接源_01水果!$T893)&lt;&gt;0)),1,0)</f>
        <v>0</v>
      </c>
      <c r="Q893" s="3">
        <f t="shared" si="232"/>
        <v>0</v>
      </c>
      <c r="R893" s="3">
        <f>IF(AND($K893=1,AND(对接源_01水果!$X893="公司筐",N(对接源_01水果!$U893)&lt;&gt;0)),1,0)</f>
        <v>0</v>
      </c>
      <c r="S893" s="3">
        <f t="shared" si="233"/>
        <v>0</v>
      </c>
      <c r="T893" s="3">
        <f>IF(AND($K893=1,AND(对接源_01水果!$X893="公司筐",N(对接源_01水果!$V893)&lt;&gt;0)),1,0)</f>
        <v>0</v>
      </c>
      <c r="U893" s="3">
        <f t="shared" si="234"/>
        <v>19</v>
      </c>
      <c r="V893" s="3">
        <f>IF(AND($L893=1,AND(对接源_01水果!$X893="自备筐",N(对接源_01水果!$V893)&lt;&gt;0)),1,0)</f>
        <v>0</v>
      </c>
      <c r="W893" s="3">
        <f t="shared" si="235"/>
        <v>8</v>
      </c>
      <c r="X893" s="3">
        <f>IF(AND($L893=1,AND(对接源_01水果!$X893="自备筐",N(对接源_01水果!$T893)&lt;&gt;0)),1,0)</f>
        <v>0</v>
      </c>
      <c r="Y893" s="3">
        <f t="shared" si="236"/>
        <v>0</v>
      </c>
      <c r="Z893" s="3">
        <f>IF(AND($M893=1,对接源_01水果!$D893="原料入库"),1,0)</f>
        <v>0</v>
      </c>
      <c r="AA893" s="3">
        <f t="shared" si="237"/>
        <v>24</v>
      </c>
      <c r="AB893" s="3">
        <f>IF(AND($M893=1,LEFT(对接源_01水果!$D893,4)="原料出库"),1,0)</f>
        <v>0</v>
      </c>
      <c r="AC893" s="3">
        <f t="shared" si="238"/>
        <v>0</v>
      </c>
      <c r="AD893" s="3">
        <f>IF(AND($M893=1,LEFT(对接源_01水果!$D893,4)="成品出库"),1,0)</f>
        <v>0</v>
      </c>
      <c r="AE893" s="3">
        <f t="shared" si="239"/>
        <v>0</v>
      </c>
      <c r="AF893" s="3">
        <f>IF(AND($N893=1,AND(LEFT(对接源_01水果!$D893,4)="包装物料",N(对接源_01水果!$K893)&lt;&gt;0)),1,0)</f>
        <v>0</v>
      </c>
      <c r="AG893" s="3">
        <f t="shared" si="240"/>
        <v>0</v>
      </c>
      <c r="AH893" s="3">
        <f>IF(AND($N893=1,AND(对接源_01水果!$D893="周转筐－销售出库",N(对接源_01水果!$K893)&lt;&gt;0)),1,0)</f>
        <v>0</v>
      </c>
      <c r="AI893" s="3">
        <f t="shared" si="241"/>
        <v>0</v>
      </c>
      <c r="AJ893" s="7"/>
      <c r="AL893" s="3">
        <f>IF(OR($AL$1="",对接源_01水果!$Y893="",对接源_01水果!$Y893&lt;&gt;$AL$1,对接源_01水果!$B893="",N(对接源_01水果!$AJ893)&lt;=0),0,IF(OR(N(对接源_01水果!$B893)&lt;$AL$2,N(对接源_01水果!$B893)&gt;$AL$3),0,1))</f>
        <v>0</v>
      </c>
      <c r="AM893" s="3">
        <f t="shared" si="242"/>
        <v>1</v>
      </c>
      <c r="AN893" s="3" t="str">
        <f>IF(对接源_01水果!$AC893="","",对接源_01水果!$AC893)</f>
        <v/>
      </c>
      <c r="AO893" s="3">
        <f t="shared" si="243"/>
        <v>0</v>
      </c>
      <c r="AP893" s="3">
        <f t="shared" si="244"/>
        <v>8</v>
      </c>
      <c r="AR893">
        <f t="shared" si="245"/>
        <v>0</v>
      </c>
      <c r="AS893">
        <f t="shared" si="246"/>
        <v>0</v>
      </c>
    </row>
    <row r="894" ht="14.25" customHeight="1" spans="1:45">
      <c r="A894" s="3" t="str">
        <f>IF(对接源_01水果!$C894="","",对接源_01水果!$C894)</f>
        <v/>
      </c>
      <c r="B894" s="3">
        <f t="shared" si="230"/>
        <v>0</v>
      </c>
      <c r="C894" s="3">
        <f t="shared" si="231"/>
        <v>18</v>
      </c>
      <c r="K894" s="3">
        <f>IF(OR($K$1="",对接源_01水果!$C894="",对接源_01水果!$C894&lt;&gt;$K$1,对接源_01水果!$B894=""),0,IF(OR(N(对接源_01水果!$B894)&lt;$K$2,N(对接源_01水果!$B894)&gt;$K$3),0,1))</f>
        <v>0</v>
      </c>
      <c r="L894" s="3">
        <f>IF(OR($L$1="",对接源_01水果!$C894="",对接源_01水果!$C894&lt;&gt;$L$1,对接源_01水果!$B894=""),0,IF(OR(N(对接源_01水果!$B894)&lt;$L$2,N(对接源_01水果!$B894)&gt;$L$3),0,1))</f>
        <v>0</v>
      </c>
      <c r="M894" s="3">
        <f>IF(OR($M$1="",对接源_01水果!$C894="",对接源_01水果!$C894&lt;&gt;$M$1,对接源_01水果!$B894=""),0,IF(OR(N(对接源_01水果!$B894)&lt;$M$2,N(对接源_01水果!$B894)&gt;$M$3),0,1))</f>
        <v>0</v>
      </c>
      <c r="N894" s="3">
        <f>IF(OR($N$1="",对接源_01水果!$C894="",对接源_01水果!$C894&lt;&gt;$N$1,对接源_01水果!$B894=""),0,IF(OR(N(对接源_01水果!$B894)&lt;$N$2,N(对接源_01水果!$B894)&gt;$N$3),0,1))</f>
        <v>0</v>
      </c>
      <c r="P894" s="3">
        <f>IF(AND($K894=1,AND(对接源_01水果!$X894="公司筐",N(对接源_01水果!$T894)&lt;&gt;0)),1,0)</f>
        <v>0</v>
      </c>
      <c r="Q894" s="3">
        <f t="shared" si="232"/>
        <v>0</v>
      </c>
      <c r="R894" s="3">
        <f>IF(AND($K894=1,AND(对接源_01水果!$X894="公司筐",N(对接源_01水果!$U894)&lt;&gt;0)),1,0)</f>
        <v>0</v>
      </c>
      <c r="S894" s="3">
        <f t="shared" si="233"/>
        <v>0</v>
      </c>
      <c r="T894" s="3">
        <f>IF(AND($K894=1,AND(对接源_01水果!$X894="公司筐",N(对接源_01水果!$V894)&lt;&gt;0)),1,0)</f>
        <v>0</v>
      </c>
      <c r="U894" s="3">
        <f t="shared" si="234"/>
        <v>19</v>
      </c>
      <c r="V894" s="3">
        <f>IF(AND($L894=1,AND(对接源_01水果!$X894="自备筐",N(对接源_01水果!$V894)&lt;&gt;0)),1,0)</f>
        <v>0</v>
      </c>
      <c r="W894" s="3">
        <f t="shared" si="235"/>
        <v>8</v>
      </c>
      <c r="X894" s="3">
        <f>IF(AND($L894=1,AND(对接源_01水果!$X894="自备筐",N(对接源_01水果!$T894)&lt;&gt;0)),1,0)</f>
        <v>0</v>
      </c>
      <c r="Y894" s="3">
        <f t="shared" si="236"/>
        <v>0</v>
      </c>
      <c r="Z894" s="3">
        <f>IF(AND($M894=1,对接源_01水果!$D894="原料入库"),1,0)</f>
        <v>0</v>
      </c>
      <c r="AA894" s="3">
        <f t="shared" si="237"/>
        <v>24</v>
      </c>
      <c r="AB894" s="3">
        <f>IF(AND($M894=1,LEFT(对接源_01水果!$D894,4)="原料出库"),1,0)</f>
        <v>0</v>
      </c>
      <c r="AC894" s="3">
        <f t="shared" si="238"/>
        <v>0</v>
      </c>
      <c r="AD894" s="3">
        <f>IF(AND($M894=1,LEFT(对接源_01水果!$D894,4)="成品出库"),1,0)</f>
        <v>0</v>
      </c>
      <c r="AE894" s="3">
        <f t="shared" si="239"/>
        <v>0</v>
      </c>
      <c r="AF894" s="3">
        <f>IF(AND($N894=1,AND(LEFT(对接源_01水果!$D894,4)="包装物料",N(对接源_01水果!$K894)&lt;&gt;0)),1,0)</f>
        <v>0</v>
      </c>
      <c r="AG894" s="3">
        <f t="shared" si="240"/>
        <v>0</v>
      </c>
      <c r="AH894" s="3">
        <f>IF(AND($N894=1,AND(对接源_01水果!$D894="周转筐－销售出库",N(对接源_01水果!$K894)&lt;&gt;0)),1,0)</f>
        <v>0</v>
      </c>
      <c r="AI894" s="3">
        <f t="shared" si="241"/>
        <v>0</v>
      </c>
      <c r="AJ894" s="7"/>
      <c r="AL894" s="3">
        <f>IF(OR($AL$1="",对接源_01水果!$Y894="",对接源_01水果!$Y894&lt;&gt;$AL$1,对接源_01水果!$B894="",N(对接源_01水果!$AJ894)&lt;=0),0,IF(OR(N(对接源_01水果!$B894)&lt;$AL$2,N(对接源_01水果!$B894)&gt;$AL$3),0,1))</f>
        <v>0</v>
      </c>
      <c r="AM894" s="3">
        <f t="shared" si="242"/>
        <v>1</v>
      </c>
      <c r="AN894" s="3" t="str">
        <f>IF(对接源_01水果!$AC894="","",对接源_01水果!$AC894)</f>
        <v/>
      </c>
      <c r="AO894" s="3">
        <f t="shared" si="243"/>
        <v>0</v>
      </c>
      <c r="AP894" s="3">
        <f t="shared" si="244"/>
        <v>8</v>
      </c>
      <c r="AR894">
        <f t="shared" si="245"/>
        <v>0</v>
      </c>
      <c r="AS894">
        <f t="shared" si="246"/>
        <v>0</v>
      </c>
    </row>
    <row r="895" ht="14.25" customHeight="1" spans="1:45">
      <c r="A895" s="3" t="str">
        <f>IF(对接源_01水果!$C895="","",对接源_01水果!$C895)</f>
        <v/>
      </c>
      <c r="B895" s="3">
        <f t="shared" si="230"/>
        <v>0</v>
      </c>
      <c r="C895" s="3">
        <f t="shared" si="231"/>
        <v>18</v>
      </c>
      <c r="K895" s="3">
        <f>IF(OR($K$1="",对接源_01水果!$C895="",对接源_01水果!$C895&lt;&gt;$K$1,对接源_01水果!$B895=""),0,IF(OR(N(对接源_01水果!$B895)&lt;$K$2,N(对接源_01水果!$B895)&gt;$K$3),0,1))</f>
        <v>0</v>
      </c>
      <c r="L895" s="3">
        <f>IF(OR($L$1="",对接源_01水果!$C895="",对接源_01水果!$C895&lt;&gt;$L$1,对接源_01水果!$B895=""),0,IF(OR(N(对接源_01水果!$B895)&lt;$L$2,N(对接源_01水果!$B895)&gt;$L$3),0,1))</f>
        <v>0</v>
      </c>
      <c r="M895" s="3">
        <f>IF(OR($M$1="",对接源_01水果!$C895="",对接源_01水果!$C895&lt;&gt;$M$1,对接源_01水果!$B895=""),0,IF(OR(N(对接源_01水果!$B895)&lt;$M$2,N(对接源_01水果!$B895)&gt;$M$3),0,1))</f>
        <v>0</v>
      </c>
      <c r="N895" s="3">
        <f>IF(OR($N$1="",对接源_01水果!$C895="",对接源_01水果!$C895&lt;&gt;$N$1,对接源_01水果!$B895=""),0,IF(OR(N(对接源_01水果!$B895)&lt;$N$2,N(对接源_01水果!$B895)&gt;$N$3),0,1))</f>
        <v>0</v>
      </c>
      <c r="P895" s="3">
        <f>IF(AND($K895=1,AND(对接源_01水果!$X895="公司筐",N(对接源_01水果!$T895)&lt;&gt;0)),1,0)</f>
        <v>0</v>
      </c>
      <c r="Q895" s="3">
        <f t="shared" si="232"/>
        <v>0</v>
      </c>
      <c r="R895" s="3">
        <f>IF(AND($K895=1,AND(对接源_01水果!$X895="公司筐",N(对接源_01水果!$U895)&lt;&gt;0)),1,0)</f>
        <v>0</v>
      </c>
      <c r="S895" s="3">
        <f t="shared" si="233"/>
        <v>0</v>
      </c>
      <c r="T895" s="3">
        <f>IF(AND($K895=1,AND(对接源_01水果!$X895="公司筐",N(对接源_01水果!$V895)&lt;&gt;0)),1,0)</f>
        <v>0</v>
      </c>
      <c r="U895" s="3">
        <f t="shared" si="234"/>
        <v>19</v>
      </c>
      <c r="V895" s="3">
        <f>IF(AND($L895=1,AND(对接源_01水果!$X895="自备筐",N(对接源_01水果!$V895)&lt;&gt;0)),1,0)</f>
        <v>0</v>
      </c>
      <c r="W895" s="3">
        <f t="shared" si="235"/>
        <v>8</v>
      </c>
      <c r="X895" s="3">
        <f>IF(AND($L895=1,AND(对接源_01水果!$X895="自备筐",N(对接源_01水果!$T895)&lt;&gt;0)),1,0)</f>
        <v>0</v>
      </c>
      <c r="Y895" s="3">
        <f t="shared" si="236"/>
        <v>0</v>
      </c>
      <c r="Z895" s="3">
        <f>IF(AND($M895=1,对接源_01水果!$D895="原料入库"),1,0)</f>
        <v>0</v>
      </c>
      <c r="AA895" s="3">
        <f t="shared" si="237"/>
        <v>24</v>
      </c>
      <c r="AB895" s="3">
        <f>IF(AND($M895=1,LEFT(对接源_01水果!$D895,4)="原料出库"),1,0)</f>
        <v>0</v>
      </c>
      <c r="AC895" s="3">
        <f t="shared" si="238"/>
        <v>0</v>
      </c>
      <c r="AD895" s="3">
        <f>IF(AND($M895=1,LEFT(对接源_01水果!$D895,4)="成品出库"),1,0)</f>
        <v>0</v>
      </c>
      <c r="AE895" s="3">
        <f t="shared" si="239"/>
        <v>0</v>
      </c>
      <c r="AF895" s="3">
        <f>IF(AND($N895=1,AND(LEFT(对接源_01水果!$D895,4)="包装物料",N(对接源_01水果!$K895)&lt;&gt;0)),1,0)</f>
        <v>0</v>
      </c>
      <c r="AG895" s="3">
        <f t="shared" si="240"/>
        <v>0</v>
      </c>
      <c r="AH895" s="3">
        <f>IF(AND($N895=1,AND(对接源_01水果!$D895="周转筐－销售出库",N(对接源_01水果!$K895)&lt;&gt;0)),1,0)</f>
        <v>0</v>
      </c>
      <c r="AI895" s="3">
        <f t="shared" si="241"/>
        <v>0</v>
      </c>
      <c r="AJ895" s="7"/>
      <c r="AL895" s="3">
        <f>IF(OR($AL$1="",对接源_01水果!$Y895="",对接源_01水果!$Y895&lt;&gt;$AL$1,对接源_01水果!$B895="",N(对接源_01水果!$AJ895)&lt;=0),0,IF(OR(N(对接源_01水果!$B895)&lt;$AL$2,N(对接源_01水果!$B895)&gt;$AL$3),0,1))</f>
        <v>0</v>
      </c>
      <c r="AM895" s="3">
        <f t="shared" si="242"/>
        <v>1</v>
      </c>
      <c r="AN895" s="3" t="str">
        <f>IF(对接源_01水果!$AC895="","",对接源_01水果!$AC895)</f>
        <v/>
      </c>
      <c r="AO895" s="3">
        <f t="shared" si="243"/>
        <v>0</v>
      </c>
      <c r="AP895" s="3">
        <f t="shared" si="244"/>
        <v>8</v>
      </c>
      <c r="AR895">
        <f t="shared" si="245"/>
        <v>0</v>
      </c>
      <c r="AS895">
        <f t="shared" si="246"/>
        <v>0</v>
      </c>
    </row>
    <row r="896" ht="14.25" customHeight="1" spans="1:45">
      <c r="A896" s="3" t="str">
        <f>IF(对接源_01水果!$C896="","",对接源_01水果!$C896)</f>
        <v/>
      </c>
      <c r="B896" s="3">
        <f t="shared" si="230"/>
        <v>0</v>
      </c>
      <c r="C896" s="3">
        <f t="shared" si="231"/>
        <v>18</v>
      </c>
      <c r="K896" s="3">
        <f>IF(OR($K$1="",对接源_01水果!$C896="",对接源_01水果!$C896&lt;&gt;$K$1,对接源_01水果!$B896=""),0,IF(OR(N(对接源_01水果!$B896)&lt;$K$2,N(对接源_01水果!$B896)&gt;$K$3),0,1))</f>
        <v>0</v>
      </c>
      <c r="L896" s="3">
        <f>IF(OR($L$1="",对接源_01水果!$C896="",对接源_01水果!$C896&lt;&gt;$L$1,对接源_01水果!$B896=""),0,IF(OR(N(对接源_01水果!$B896)&lt;$L$2,N(对接源_01水果!$B896)&gt;$L$3),0,1))</f>
        <v>0</v>
      </c>
      <c r="M896" s="3">
        <f>IF(OR($M$1="",对接源_01水果!$C896="",对接源_01水果!$C896&lt;&gt;$M$1,对接源_01水果!$B896=""),0,IF(OR(N(对接源_01水果!$B896)&lt;$M$2,N(对接源_01水果!$B896)&gt;$M$3),0,1))</f>
        <v>0</v>
      </c>
      <c r="N896" s="3">
        <f>IF(OR($N$1="",对接源_01水果!$C896="",对接源_01水果!$C896&lt;&gt;$N$1,对接源_01水果!$B896=""),0,IF(OR(N(对接源_01水果!$B896)&lt;$N$2,N(对接源_01水果!$B896)&gt;$N$3),0,1))</f>
        <v>0</v>
      </c>
      <c r="P896" s="3">
        <f>IF(AND($K896=1,AND(对接源_01水果!$X896="公司筐",N(对接源_01水果!$T896)&lt;&gt;0)),1,0)</f>
        <v>0</v>
      </c>
      <c r="Q896" s="3">
        <f t="shared" si="232"/>
        <v>0</v>
      </c>
      <c r="R896" s="3">
        <f>IF(AND($K896=1,AND(对接源_01水果!$X896="公司筐",N(对接源_01水果!$U896)&lt;&gt;0)),1,0)</f>
        <v>0</v>
      </c>
      <c r="S896" s="3">
        <f t="shared" si="233"/>
        <v>0</v>
      </c>
      <c r="T896" s="3">
        <f>IF(AND($K896=1,AND(对接源_01水果!$X896="公司筐",N(对接源_01水果!$V896)&lt;&gt;0)),1,0)</f>
        <v>0</v>
      </c>
      <c r="U896" s="3">
        <f t="shared" si="234"/>
        <v>19</v>
      </c>
      <c r="V896" s="3">
        <f>IF(AND($L896=1,AND(对接源_01水果!$X896="自备筐",N(对接源_01水果!$V896)&lt;&gt;0)),1,0)</f>
        <v>0</v>
      </c>
      <c r="W896" s="3">
        <f t="shared" si="235"/>
        <v>8</v>
      </c>
      <c r="X896" s="3">
        <f>IF(AND($L896=1,AND(对接源_01水果!$X896="自备筐",N(对接源_01水果!$T896)&lt;&gt;0)),1,0)</f>
        <v>0</v>
      </c>
      <c r="Y896" s="3">
        <f t="shared" si="236"/>
        <v>0</v>
      </c>
      <c r="Z896" s="3">
        <f>IF(AND($M896=1,对接源_01水果!$D896="原料入库"),1,0)</f>
        <v>0</v>
      </c>
      <c r="AA896" s="3">
        <f t="shared" si="237"/>
        <v>24</v>
      </c>
      <c r="AB896" s="3">
        <f>IF(AND($M896=1,LEFT(对接源_01水果!$D896,4)="原料出库"),1,0)</f>
        <v>0</v>
      </c>
      <c r="AC896" s="3">
        <f t="shared" si="238"/>
        <v>0</v>
      </c>
      <c r="AD896" s="3">
        <f>IF(AND($M896=1,LEFT(对接源_01水果!$D896,4)="成品出库"),1,0)</f>
        <v>0</v>
      </c>
      <c r="AE896" s="3">
        <f t="shared" si="239"/>
        <v>0</v>
      </c>
      <c r="AF896" s="3">
        <f>IF(AND($N896=1,AND(LEFT(对接源_01水果!$D896,4)="包装物料",N(对接源_01水果!$K896)&lt;&gt;0)),1,0)</f>
        <v>0</v>
      </c>
      <c r="AG896" s="3">
        <f t="shared" si="240"/>
        <v>0</v>
      </c>
      <c r="AH896" s="3">
        <f>IF(AND($N896=1,AND(对接源_01水果!$D896="周转筐－销售出库",N(对接源_01水果!$K896)&lt;&gt;0)),1,0)</f>
        <v>0</v>
      </c>
      <c r="AI896" s="3">
        <f t="shared" si="241"/>
        <v>0</v>
      </c>
      <c r="AJ896" s="7"/>
      <c r="AL896" s="3">
        <f>IF(OR($AL$1="",对接源_01水果!$Y896="",对接源_01水果!$Y896&lt;&gt;$AL$1,对接源_01水果!$B896="",N(对接源_01水果!$AJ896)&lt;=0),0,IF(OR(N(对接源_01水果!$B896)&lt;$AL$2,N(对接源_01水果!$B896)&gt;$AL$3),0,1))</f>
        <v>0</v>
      </c>
      <c r="AM896" s="3">
        <f t="shared" si="242"/>
        <v>1</v>
      </c>
      <c r="AN896" s="3" t="str">
        <f>IF(对接源_01水果!$AC896="","",对接源_01水果!$AC896)</f>
        <v/>
      </c>
      <c r="AO896" s="3">
        <f t="shared" si="243"/>
        <v>0</v>
      </c>
      <c r="AP896" s="3">
        <f t="shared" si="244"/>
        <v>8</v>
      </c>
      <c r="AR896">
        <f t="shared" si="245"/>
        <v>0</v>
      </c>
      <c r="AS896">
        <f t="shared" si="246"/>
        <v>0</v>
      </c>
    </row>
    <row r="897" ht="14.25" customHeight="1" spans="1:45">
      <c r="A897" s="3" t="str">
        <f>IF(对接源_01水果!$C897="","",对接源_01水果!$C897)</f>
        <v/>
      </c>
      <c r="B897" s="3">
        <f t="shared" si="230"/>
        <v>0</v>
      </c>
      <c r="C897" s="3">
        <f t="shared" si="231"/>
        <v>18</v>
      </c>
      <c r="K897" s="3">
        <f>IF(OR($K$1="",对接源_01水果!$C897="",对接源_01水果!$C897&lt;&gt;$K$1,对接源_01水果!$B897=""),0,IF(OR(N(对接源_01水果!$B897)&lt;$K$2,N(对接源_01水果!$B897)&gt;$K$3),0,1))</f>
        <v>0</v>
      </c>
      <c r="L897" s="3">
        <f>IF(OR($L$1="",对接源_01水果!$C897="",对接源_01水果!$C897&lt;&gt;$L$1,对接源_01水果!$B897=""),0,IF(OR(N(对接源_01水果!$B897)&lt;$L$2,N(对接源_01水果!$B897)&gt;$L$3),0,1))</f>
        <v>0</v>
      </c>
      <c r="M897" s="3">
        <f>IF(OR($M$1="",对接源_01水果!$C897="",对接源_01水果!$C897&lt;&gt;$M$1,对接源_01水果!$B897=""),0,IF(OR(N(对接源_01水果!$B897)&lt;$M$2,N(对接源_01水果!$B897)&gt;$M$3),0,1))</f>
        <v>0</v>
      </c>
      <c r="N897" s="3">
        <f>IF(OR($N$1="",对接源_01水果!$C897="",对接源_01水果!$C897&lt;&gt;$N$1,对接源_01水果!$B897=""),0,IF(OR(N(对接源_01水果!$B897)&lt;$N$2,N(对接源_01水果!$B897)&gt;$N$3),0,1))</f>
        <v>0</v>
      </c>
      <c r="P897" s="3">
        <f>IF(AND($K897=1,AND(对接源_01水果!$X897="公司筐",N(对接源_01水果!$T897)&lt;&gt;0)),1,0)</f>
        <v>0</v>
      </c>
      <c r="Q897" s="3">
        <f t="shared" si="232"/>
        <v>0</v>
      </c>
      <c r="R897" s="3">
        <f>IF(AND($K897=1,AND(对接源_01水果!$X897="公司筐",N(对接源_01水果!$U897)&lt;&gt;0)),1,0)</f>
        <v>0</v>
      </c>
      <c r="S897" s="3">
        <f t="shared" si="233"/>
        <v>0</v>
      </c>
      <c r="T897" s="3">
        <f>IF(AND($K897=1,AND(对接源_01水果!$X897="公司筐",N(对接源_01水果!$V897)&lt;&gt;0)),1,0)</f>
        <v>0</v>
      </c>
      <c r="U897" s="3">
        <f t="shared" si="234"/>
        <v>19</v>
      </c>
      <c r="V897" s="3">
        <f>IF(AND($L897=1,AND(对接源_01水果!$X897="自备筐",N(对接源_01水果!$V897)&lt;&gt;0)),1,0)</f>
        <v>0</v>
      </c>
      <c r="W897" s="3">
        <f t="shared" si="235"/>
        <v>8</v>
      </c>
      <c r="X897" s="3">
        <f>IF(AND($L897=1,AND(对接源_01水果!$X897="自备筐",N(对接源_01水果!$T897)&lt;&gt;0)),1,0)</f>
        <v>0</v>
      </c>
      <c r="Y897" s="3">
        <f t="shared" si="236"/>
        <v>0</v>
      </c>
      <c r="Z897" s="3">
        <f>IF(AND($M897=1,对接源_01水果!$D897="原料入库"),1,0)</f>
        <v>0</v>
      </c>
      <c r="AA897" s="3">
        <f t="shared" si="237"/>
        <v>24</v>
      </c>
      <c r="AB897" s="3">
        <f>IF(AND($M897=1,LEFT(对接源_01水果!$D897,4)="原料出库"),1,0)</f>
        <v>0</v>
      </c>
      <c r="AC897" s="3">
        <f t="shared" si="238"/>
        <v>0</v>
      </c>
      <c r="AD897" s="3">
        <f>IF(AND($M897=1,LEFT(对接源_01水果!$D897,4)="成品出库"),1,0)</f>
        <v>0</v>
      </c>
      <c r="AE897" s="3">
        <f t="shared" si="239"/>
        <v>0</v>
      </c>
      <c r="AF897" s="3">
        <f>IF(AND($N897=1,AND(LEFT(对接源_01水果!$D897,4)="包装物料",N(对接源_01水果!$K897)&lt;&gt;0)),1,0)</f>
        <v>0</v>
      </c>
      <c r="AG897" s="3">
        <f t="shared" si="240"/>
        <v>0</v>
      </c>
      <c r="AH897" s="3">
        <f>IF(AND($N897=1,AND(对接源_01水果!$D897="周转筐－销售出库",N(对接源_01水果!$K897)&lt;&gt;0)),1,0)</f>
        <v>0</v>
      </c>
      <c r="AI897" s="3">
        <f t="shared" si="241"/>
        <v>0</v>
      </c>
      <c r="AJ897" s="7"/>
      <c r="AL897" s="3">
        <f>IF(OR($AL$1="",对接源_01水果!$Y897="",对接源_01水果!$Y897&lt;&gt;$AL$1,对接源_01水果!$B897="",N(对接源_01水果!$AJ897)&lt;=0),0,IF(OR(N(对接源_01水果!$B897)&lt;$AL$2,N(对接源_01水果!$B897)&gt;$AL$3),0,1))</f>
        <v>0</v>
      </c>
      <c r="AM897" s="3">
        <f t="shared" si="242"/>
        <v>1</v>
      </c>
      <c r="AN897" s="3" t="str">
        <f>IF(对接源_01水果!$AC897="","",对接源_01水果!$AC897)</f>
        <v/>
      </c>
      <c r="AO897" s="3">
        <f t="shared" si="243"/>
        <v>0</v>
      </c>
      <c r="AP897" s="3">
        <f t="shared" si="244"/>
        <v>8</v>
      </c>
      <c r="AR897">
        <f t="shared" si="245"/>
        <v>0</v>
      </c>
      <c r="AS897">
        <f t="shared" si="246"/>
        <v>0</v>
      </c>
    </row>
    <row r="898" ht="14.25" customHeight="1" spans="1:45">
      <c r="A898" s="3" t="str">
        <f>IF(对接源_01水果!$C898="","",对接源_01水果!$C898)</f>
        <v/>
      </c>
      <c r="B898" s="3">
        <f t="shared" si="230"/>
        <v>0</v>
      </c>
      <c r="C898" s="3">
        <f t="shared" si="231"/>
        <v>18</v>
      </c>
      <c r="K898" s="3">
        <f>IF(OR($K$1="",对接源_01水果!$C898="",对接源_01水果!$C898&lt;&gt;$K$1,对接源_01水果!$B898=""),0,IF(OR(N(对接源_01水果!$B898)&lt;$K$2,N(对接源_01水果!$B898)&gt;$K$3),0,1))</f>
        <v>0</v>
      </c>
      <c r="L898" s="3">
        <f>IF(OR($L$1="",对接源_01水果!$C898="",对接源_01水果!$C898&lt;&gt;$L$1,对接源_01水果!$B898=""),0,IF(OR(N(对接源_01水果!$B898)&lt;$L$2,N(对接源_01水果!$B898)&gt;$L$3),0,1))</f>
        <v>0</v>
      </c>
      <c r="M898" s="3">
        <f>IF(OR($M$1="",对接源_01水果!$C898="",对接源_01水果!$C898&lt;&gt;$M$1,对接源_01水果!$B898=""),0,IF(OR(N(对接源_01水果!$B898)&lt;$M$2,N(对接源_01水果!$B898)&gt;$M$3),0,1))</f>
        <v>0</v>
      </c>
      <c r="N898" s="3">
        <f>IF(OR($N$1="",对接源_01水果!$C898="",对接源_01水果!$C898&lt;&gt;$N$1,对接源_01水果!$B898=""),0,IF(OR(N(对接源_01水果!$B898)&lt;$N$2,N(对接源_01水果!$B898)&gt;$N$3),0,1))</f>
        <v>0</v>
      </c>
      <c r="P898" s="3">
        <f>IF(AND($K898=1,AND(对接源_01水果!$X898="公司筐",N(对接源_01水果!$T898)&lt;&gt;0)),1,0)</f>
        <v>0</v>
      </c>
      <c r="Q898" s="3">
        <f t="shared" si="232"/>
        <v>0</v>
      </c>
      <c r="R898" s="3">
        <f>IF(AND($K898=1,AND(对接源_01水果!$X898="公司筐",N(对接源_01水果!$U898)&lt;&gt;0)),1,0)</f>
        <v>0</v>
      </c>
      <c r="S898" s="3">
        <f t="shared" si="233"/>
        <v>0</v>
      </c>
      <c r="T898" s="3">
        <f>IF(AND($K898=1,AND(对接源_01水果!$X898="公司筐",N(对接源_01水果!$V898)&lt;&gt;0)),1,0)</f>
        <v>0</v>
      </c>
      <c r="U898" s="3">
        <f t="shared" si="234"/>
        <v>19</v>
      </c>
      <c r="V898" s="3">
        <f>IF(AND($L898=1,AND(对接源_01水果!$X898="自备筐",N(对接源_01水果!$V898)&lt;&gt;0)),1,0)</f>
        <v>0</v>
      </c>
      <c r="W898" s="3">
        <f t="shared" si="235"/>
        <v>8</v>
      </c>
      <c r="X898" s="3">
        <f>IF(AND($L898=1,AND(对接源_01水果!$X898="自备筐",N(对接源_01水果!$T898)&lt;&gt;0)),1,0)</f>
        <v>0</v>
      </c>
      <c r="Y898" s="3">
        <f t="shared" si="236"/>
        <v>0</v>
      </c>
      <c r="Z898" s="3">
        <f>IF(AND($M898=1,对接源_01水果!$D898="原料入库"),1,0)</f>
        <v>0</v>
      </c>
      <c r="AA898" s="3">
        <f t="shared" si="237"/>
        <v>24</v>
      </c>
      <c r="AB898" s="3">
        <f>IF(AND($M898=1,LEFT(对接源_01水果!$D898,4)="原料出库"),1,0)</f>
        <v>0</v>
      </c>
      <c r="AC898" s="3">
        <f t="shared" si="238"/>
        <v>0</v>
      </c>
      <c r="AD898" s="3">
        <f>IF(AND($M898=1,LEFT(对接源_01水果!$D898,4)="成品出库"),1,0)</f>
        <v>0</v>
      </c>
      <c r="AE898" s="3">
        <f t="shared" si="239"/>
        <v>0</v>
      </c>
      <c r="AF898" s="3">
        <f>IF(AND($N898=1,AND(LEFT(对接源_01水果!$D898,4)="包装物料",N(对接源_01水果!$K898)&lt;&gt;0)),1,0)</f>
        <v>0</v>
      </c>
      <c r="AG898" s="3">
        <f t="shared" si="240"/>
        <v>0</v>
      </c>
      <c r="AH898" s="3">
        <f>IF(AND($N898=1,AND(对接源_01水果!$D898="周转筐－销售出库",N(对接源_01水果!$K898)&lt;&gt;0)),1,0)</f>
        <v>0</v>
      </c>
      <c r="AI898" s="3">
        <f t="shared" si="241"/>
        <v>0</v>
      </c>
      <c r="AJ898" s="7"/>
      <c r="AL898" s="3">
        <f>IF(OR($AL$1="",对接源_01水果!$Y898="",对接源_01水果!$Y898&lt;&gt;$AL$1,对接源_01水果!$B898="",N(对接源_01水果!$AJ898)&lt;=0),0,IF(OR(N(对接源_01水果!$B898)&lt;$AL$2,N(对接源_01水果!$B898)&gt;$AL$3),0,1))</f>
        <v>0</v>
      </c>
      <c r="AM898" s="3">
        <f t="shared" si="242"/>
        <v>1</v>
      </c>
      <c r="AN898" s="3" t="str">
        <f>IF(对接源_01水果!$AC898="","",对接源_01水果!$AC898)</f>
        <v/>
      </c>
      <c r="AO898" s="3">
        <f t="shared" si="243"/>
        <v>0</v>
      </c>
      <c r="AP898" s="3">
        <f t="shared" si="244"/>
        <v>8</v>
      </c>
      <c r="AR898">
        <f t="shared" si="245"/>
        <v>0</v>
      </c>
      <c r="AS898">
        <f t="shared" si="246"/>
        <v>0</v>
      </c>
    </row>
    <row r="899" ht="14.25" customHeight="1" spans="1:45">
      <c r="A899" s="3" t="str">
        <f>IF(对接源_01水果!$C899="","",对接源_01水果!$C899)</f>
        <v/>
      </c>
      <c r="B899" s="3">
        <f t="shared" si="230"/>
        <v>0</v>
      </c>
      <c r="C899" s="3">
        <f t="shared" si="231"/>
        <v>18</v>
      </c>
      <c r="K899" s="3">
        <f>IF(OR($K$1="",对接源_01水果!$C899="",对接源_01水果!$C899&lt;&gt;$K$1,对接源_01水果!$B899=""),0,IF(OR(N(对接源_01水果!$B899)&lt;$K$2,N(对接源_01水果!$B899)&gt;$K$3),0,1))</f>
        <v>0</v>
      </c>
      <c r="L899" s="3">
        <f>IF(OR($L$1="",对接源_01水果!$C899="",对接源_01水果!$C899&lt;&gt;$L$1,对接源_01水果!$B899=""),0,IF(OR(N(对接源_01水果!$B899)&lt;$L$2,N(对接源_01水果!$B899)&gt;$L$3),0,1))</f>
        <v>0</v>
      </c>
      <c r="M899" s="3">
        <f>IF(OR($M$1="",对接源_01水果!$C899="",对接源_01水果!$C899&lt;&gt;$M$1,对接源_01水果!$B899=""),0,IF(OR(N(对接源_01水果!$B899)&lt;$M$2,N(对接源_01水果!$B899)&gt;$M$3),0,1))</f>
        <v>0</v>
      </c>
      <c r="N899" s="3">
        <f>IF(OR($N$1="",对接源_01水果!$C899="",对接源_01水果!$C899&lt;&gt;$N$1,对接源_01水果!$B899=""),0,IF(OR(N(对接源_01水果!$B899)&lt;$N$2,N(对接源_01水果!$B899)&gt;$N$3),0,1))</f>
        <v>0</v>
      </c>
      <c r="P899" s="3">
        <f>IF(AND($K899=1,AND(对接源_01水果!$X899="公司筐",N(对接源_01水果!$T899)&lt;&gt;0)),1,0)</f>
        <v>0</v>
      </c>
      <c r="Q899" s="3">
        <f t="shared" si="232"/>
        <v>0</v>
      </c>
      <c r="R899" s="3">
        <f>IF(AND($K899=1,AND(对接源_01水果!$X899="公司筐",N(对接源_01水果!$U899)&lt;&gt;0)),1,0)</f>
        <v>0</v>
      </c>
      <c r="S899" s="3">
        <f t="shared" si="233"/>
        <v>0</v>
      </c>
      <c r="T899" s="3">
        <f>IF(AND($K899=1,AND(对接源_01水果!$X899="公司筐",N(对接源_01水果!$V899)&lt;&gt;0)),1,0)</f>
        <v>0</v>
      </c>
      <c r="U899" s="3">
        <f t="shared" si="234"/>
        <v>19</v>
      </c>
      <c r="V899" s="3">
        <f>IF(AND($L899=1,AND(对接源_01水果!$X899="自备筐",N(对接源_01水果!$V899)&lt;&gt;0)),1,0)</f>
        <v>0</v>
      </c>
      <c r="W899" s="3">
        <f t="shared" si="235"/>
        <v>8</v>
      </c>
      <c r="X899" s="3">
        <f>IF(AND($L899=1,AND(对接源_01水果!$X899="自备筐",N(对接源_01水果!$T899)&lt;&gt;0)),1,0)</f>
        <v>0</v>
      </c>
      <c r="Y899" s="3">
        <f t="shared" si="236"/>
        <v>0</v>
      </c>
      <c r="Z899" s="3">
        <f>IF(AND($M899=1,对接源_01水果!$D899="原料入库"),1,0)</f>
        <v>0</v>
      </c>
      <c r="AA899" s="3">
        <f t="shared" si="237"/>
        <v>24</v>
      </c>
      <c r="AB899" s="3">
        <f>IF(AND($M899=1,LEFT(对接源_01水果!$D899,4)="原料出库"),1,0)</f>
        <v>0</v>
      </c>
      <c r="AC899" s="3">
        <f t="shared" si="238"/>
        <v>0</v>
      </c>
      <c r="AD899" s="3">
        <f>IF(AND($M899=1,LEFT(对接源_01水果!$D899,4)="成品出库"),1,0)</f>
        <v>0</v>
      </c>
      <c r="AE899" s="3">
        <f t="shared" si="239"/>
        <v>0</v>
      </c>
      <c r="AF899" s="3">
        <f>IF(AND($N899=1,AND(LEFT(对接源_01水果!$D899,4)="包装物料",N(对接源_01水果!$K899)&lt;&gt;0)),1,0)</f>
        <v>0</v>
      </c>
      <c r="AG899" s="3">
        <f t="shared" si="240"/>
        <v>0</v>
      </c>
      <c r="AH899" s="3">
        <f>IF(AND($N899=1,AND(对接源_01水果!$D899="周转筐－销售出库",N(对接源_01水果!$K899)&lt;&gt;0)),1,0)</f>
        <v>0</v>
      </c>
      <c r="AI899" s="3">
        <f t="shared" si="241"/>
        <v>0</v>
      </c>
      <c r="AJ899" s="7"/>
      <c r="AL899" s="3">
        <f>IF(OR($AL$1="",对接源_01水果!$Y899="",对接源_01水果!$Y899&lt;&gt;$AL$1,对接源_01水果!$B899="",N(对接源_01水果!$AJ899)&lt;=0),0,IF(OR(N(对接源_01水果!$B899)&lt;$AL$2,N(对接源_01水果!$B899)&gt;$AL$3),0,1))</f>
        <v>0</v>
      </c>
      <c r="AM899" s="3">
        <f t="shared" si="242"/>
        <v>1</v>
      </c>
      <c r="AN899" s="3" t="str">
        <f>IF(对接源_01水果!$AC899="","",对接源_01水果!$AC899)</f>
        <v/>
      </c>
      <c r="AO899" s="3">
        <f t="shared" si="243"/>
        <v>0</v>
      </c>
      <c r="AP899" s="3">
        <f t="shared" si="244"/>
        <v>8</v>
      </c>
      <c r="AR899">
        <f t="shared" si="245"/>
        <v>0</v>
      </c>
      <c r="AS899">
        <f t="shared" si="246"/>
        <v>0</v>
      </c>
    </row>
    <row r="900" ht="14.25" customHeight="1" spans="1:45">
      <c r="A900" s="3" t="str">
        <f>IF(对接源_01水果!$C900="","",对接源_01水果!$C900)</f>
        <v/>
      </c>
      <c r="B900" s="3">
        <f t="shared" ref="B900:B963" si="247">IF(A900="",0,IF(MATCH(A900,$A$4:$A$2403,0)=ROW()-3,1,0))</f>
        <v>0</v>
      </c>
      <c r="C900" s="3">
        <f t="shared" ref="C900:C963" si="248">N(C899)+B900</f>
        <v>18</v>
      </c>
      <c r="K900" s="3">
        <f>IF(OR($K$1="",对接源_01水果!$C900="",对接源_01水果!$C900&lt;&gt;$K$1,对接源_01水果!$B900=""),0,IF(OR(N(对接源_01水果!$B900)&lt;$K$2,N(对接源_01水果!$B900)&gt;$K$3),0,1))</f>
        <v>0</v>
      </c>
      <c r="L900" s="3">
        <f>IF(OR($L$1="",对接源_01水果!$C900="",对接源_01水果!$C900&lt;&gt;$L$1,对接源_01水果!$B900=""),0,IF(OR(N(对接源_01水果!$B900)&lt;$L$2,N(对接源_01水果!$B900)&gt;$L$3),0,1))</f>
        <v>0</v>
      </c>
      <c r="M900" s="3">
        <f>IF(OR($M$1="",对接源_01水果!$C900="",对接源_01水果!$C900&lt;&gt;$M$1,对接源_01水果!$B900=""),0,IF(OR(N(对接源_01水果!$B900)&lt;$M$2,N(对接源_01水果!$B900)&gt;$M$3),0,1))</f>
        <v>0</v>
      </c>
      <c r="N900" s="3">
        <f>IF(OR($N$1="",对接源_01水果!$C900="",对接源_01水果!$C900&lt;&gt;$N$1,对接源_01水果!$B900=""),0,IF(OR(N(对接源_01水果!$B900)&lt;$N$2,N(对接源_01水果!$B900)&gt;$N$3),0,1))</f>
        <v>0</v>
      </c>
      <c r="P900" s="3">
        <f>IF(AND($K900=1,AND(对接源_01水果!$X900="公司筐",N(对接源_01水果!$T900)&lt;&gt;0)),1,0)</f>
        <v>0</v>
      </c>
      <c r="Q900" s="3">
        <f t="shared" ref="Q900:Q963" si="249">N(Q899)+$P900</f>
        <v>0</v>
      </c>
      <c r="R900" s="3">
        <f>IF(AND($K900=1,AND(对接源_01水果!$X900="公司筐",N(对接源_01水果!$U900)&lt;&gt;0)),1,0)</f>
        <v>0</v>
      </c>
      <c r="S900" s="3">
        <f t="shared" ref="S900:S963" si="250">N(S899)+$R900</f>
        <v>0</v>
      </c>
      <c r="T900" s="3">
        <f>IF(AND($K900=1,AND(对接源_01水果!$X900="公司筐",N(对接源_01水果!$V900)&lt;&gt;0)),1,0)</f>
        <v>0</v>
      </c>
      <c r="U900" s="3">
        <f t="shared" ref="U900:U963" si="251">N(U899)+$T900</f>
        <v>19</v>
      </c>
      <c r="V900" s="3">
        <f>IF(AND($L900=1,AND(对接源_01水果!$X900="自备筐",N(对接源_01水果!$V900)&lt;&gt;0)),1,0)</f>
        <v>0</v>
      </c>
      <c r="W900" s="3">
        <f t="shared" ref="W900:W963" si="252">N(W899)+$V900</f>
        <v>8</v>
      </c>
      <c r="X900" s="3">
        <f>IF(AND($L900=1,AND(对接源_01水果!$X900="自备筐",N(对接源_01水果!$T900)&lt;&gt;0)),1,0)</f>
        <v>0</v>
      </c>
      <c r="Y900" s="3">
        <f t="shared" ref="Y900:Y963" si="253">N(Y899)+$X900</f>
        <v>0</v>
      </c>
      <c r="Z900" s="3">
        <f>IF(AND($M900=1,对接源_01水果!$D900="原料入库"),1,0)</f>
        <v>0</v>
      </c>
      <c r="AA900" s="3">
        <f t="shared" ref="AA900:AA963" si="254">N(AA899)+$Z900</f>
        <v>24</v>
      </c>
      <c r="AB900" s="3">
        <f>IF(AND($M900=1,LEFT(对接源_01水果!$D900,4)="原料出库"),1,0)</f>
        <v>0</v>
      </c>
      <c r="AC900" s="3">
        <f t="shared" ref="AC900:AC963" si="255">N(AC899)+$AB900</f>
        <v>0</v>
      </c>
      <c r="AD900" s="3">
        <f>IF(AND($M900=1,LEFT(对接源_01水果!$D900,4)="成品出库"),1,0)</f>
        <v>0</v>
      </c>
      <c r="AE900" s="3">
        <f t="shared" ref="AE900:AE963" si="256">N(AE899)+$AD900</f>
        <v>0</v>
      </c>
      <c r="AF900" s="3">
        <f>IF(AND($N900=1,AND(LEFT(对接源_01水果!$D900,4)="包装物料",N(对接源_01水果!$K900)&lt;&gt;0)),1,0)</f>
        <v>0</v>
      </c>
      <c r="AG900" s="3">
        <f t="shared" ref="AG900:AG963" si="257">N(AG899)+$AF900</f>
        <v>0</v>
      </c>
      <c r="AH900" s="3">
        <f>IF(AND($N900=1,AND(对接源_01水果!$D900="周转筐－销售出库",N(对接源_01水果!$K900)&lt;&gt;0)),1,0)</f>
        <v>0</v>
      </c>
      <c r="AI900" s="3">
        <f t="shared" ref="AI900:AI963" si="258">N(AI899)+$AH900</f>
        <v>0</v>
      </c>
      <c r="AJ900" s="7"/>
      <c r="AL900" s="3">
        <f>IF(OR($AL$1="",对接源_01水果!$Y900="",对接源_01水果!$Y900&lt;&gt;$AL$1,对接源_01水果!$B900="",N(对接源_01水果!$AJ900)&lt;=0),0,IF(OR(N(对接源_01水果!$B900)&lt;$AL$2,N(对接源_01水果!$B900)&gt;$AL$3),0,1))</f>
        <v>0</v>
      </c>
      <c r="AM900" s="3">
        <f t="shared" ref="AM900:AM963" si="259">N(AM899)+$AL900</f>
        <v>1</v>
      </c>
      <c r="AN900" s="3" t="str">
        <f>IF(对接源_01水果!$AC900="","",对接源_01水果!$AC900)</f>
        <v/>
      </c>
      <c r="AO900" s="3">
        <f t="shared" ref="AO900:AO963" si="260">IF(AN900="",0,IF(MATCH(AN900,$AN$4:$AN$1203,0)=ROW()-3,1,0))</f>
        <v>0</v>
      </c>
      <c r="AP900" s="3">
        <f t="shared" ref="AP900:AP963" si="261">N(AP899)+$AO900</f>
        <v>8</v>
      </c>
      <c r="AR900">
        <f t="shared" ref="AR900:AR963" si="262">IF(OR($AF900=1,$AH900=1),1,0)</f>
        <v>0</v>
      </c>
      <c r="AS900">
        <f t="shared" ref="AS900:AS963" si="263">N(AS899)+$AR900</f>
        <v>0</v>
      </c>
    </row>
    <row r="901" ht="14.25" customHeight="1" spans="1:45">
      <c r="A901" s="3" t="str">
        <f>IF(对接源_01水果!$C901="","",对接源_01水果!$C901)</f>
        <v/>
      </c>
      <c r="B901" s="3">
        <f t="shared" si="247"/>
        <v>0</v>
      </c>
      <c r="C901" s="3">
        <f t="shared" si="248"/>
        <v>18</v>
      </c>
      <c r="K901" s="3">
        <f>IF(OR($K$1="",对接源_01水果!$C901="",对接源_01水果!$C901&lt;&gt;$K$1,对接源_01水果!$B901=""),0,IF(OR(N(对接源_01水果!$B901)&lt;$K$2,N(对接源_01水果!$B901)&gt;$K$3),0,1))</f>
        <v>0</v>
      </c>
      <c r="L901" s="3">
        <f>IF(OR($L$1="",对接源_01水果!$C901="",对接源_01水果!$C901&lt;&gt;$L$1,对接源_01水果!$B901=""),0,IF(OR(N(对接源_01水果!$B901)&lt;$L$2,N(对接源_01水果!$B901)&gt;$L$3),0,1))</f>
        <v>0</v>
      </c>
      <c r="M901" s="3">
        <f>IF(OR($M$1="",对接源_01水果!$C901="",对接源_01水果!$C901&lt;&gt;$M$1,对接源_01水果!$B901=""),0,IF(OR(N(对接源_01水果!$B901)&lt;$M$2,N(对接源_01水果!$B901)&gt;$M$3),0,1))</f>
        <v>0</v>
      </c>
      <c r="N901" s="3">
        <f>IF(OR($N$1="",对接源_01水果!$C901="",对接源_01水果!$C901&lt;&gt;$N$1,对接源_01水果!$B901=""),0,IF(OR(N(对接源_01水果!$B901)&lt;$N$2,N(对接源_01水果!$B901)&gt;$N$3),0,1))</f>
        <v>0</v>
      </c>
      <c r="P901" s="3">
        <f>IF(AND($K901=1,AND(对接源_01水果!$X901="公司筐",N(对接源_01水果!$T901)&lt;&gt;0)),1,0)</f>
        <v>0</v>
      </c>
      <c r="Q901" s="3">
        <f t="shared" si="249"/>
        <v>0</v>
      </c>
      <c r="R901" s="3">
        <f>IF(AND($K901=1,AND(对接源_01水果!$X901="公司筐",N(对接源_01水果!$U901)&lt;&gt;0)),1,0)</f>
        <v>0</v>
      </c>
      <c r="S901" s="3">
        <f t="shared" si="250"/>
        <v>0</v>
      </c>
      <c r="T901" s="3">
        <f>IF(AND($K901=1,AND(对接源_01水果!$X901="公司筐",N(对接源_01水果!$V901)&lt;&gt;0)),1,0)</f>
        <v>0</v>
      </c>
      <c r="U901" s="3">
        <f t="shared" si="251"/>
        <v>19</v>
      </c>
      <c r="V901" s="3">
        <f>IF(AND($L901=1,AND(对接源_01水果!$X901="自备筐",N(对接源_01水果!$V901)&lt;&gt;0)),1,0)</f>
        <v>0</v>
      </c>
      <c r="W901" s="3">
        <f t="shared" si="252"/>
        <v>8</v>
      </c>
      <c r="X901" s="3">
        <f>IF(AND($L901=1,AND(对接源_01水果!$X901="自备筐",N(对接源_01水果!$T901)&lt;&gt;0)),1,0)</f>
        <v>0</v>
      </c>
      <c r="Y901" s="3">
        <f t="shared" si="253"/>
        <v>0</v>
      </c>
      <c r="Z901" s="3">
        <f>IF(AND($M901=1,对接源_01水果!$D901="原料入库"),1,0)</f>
        <v>0</v>
      </c>
      <c r="AA901" s="3">
        <f t="shared" si="254"/>
        <v>24</v>
      </c>
      <c r="AB901" s="3">
        <f>IF(AND($M901=1,LEFT(对接源_01水果!$D901,4)="原料出库"),1,0)</f>
        <v>0</v>
      </c>
      <c r="AC901" s="3">
        <f t="shared" si="255"/>
        <v>0</v>
      </c>
      <c r="AD901" s="3">
        <f>IF(AND($M901=1,LEFT(对接源_01水果!$D901,4)="成品出库"),1,0)</f>
        <v>0</v>
      </c>
      <c r="AE901" s="3">
        <f t="shared" si="256"/>
        <v>0</v>
      </c>
      <c r="AF901" s="3">
        <f>IF(AND($N901=1,AND(LEFT(对接源_01水果!$D901,4)="包装物料",N(对接源_01水果!$K901)&lt;&gt;0)),1,0)</f>
        <v>0</v>
      </c>
      <c r="AG901" s="3">
        <f t="shared" si="257"/>
        <v>0</v>
      </c>
      <c r="AH901" s="3">
        <f>IF(AND($N901=1,AND(对接源_01水果!$D901="周转筐－销售出库",N(对接源_01水果!$K901)&lt;&gt;0)),1,0)</f>
        <v>0</v>
      </c>
      <c r="AI901" s="3">
        <f t="shared" si="258"/>
        <v>0</v>
      </c>
      <c r="AJ901" s="7"/>
      <c r="AL901" s="3">
        <f>IF(OR($AL$1="",对接源_01水果!$Y901="",对接源_01水果!$Y901&lt;&gt;$AL$1,对接源_01水果!$B901="",N(对接源_01水果!$AJ901)&lt;=0),0,IF(OR(N(对接源_01水果!$B901)&lt;$AL$2,N(对接源_01水果!$B901)&gt;$AL$3),0,1))</f>
        <v>0</v>
      </c>
      <c r="AM901" s="3">
        <f t="shared" si="259"/>
        <v>1</v>
      </c>
      <c r="AN901" s="3" t="str">
        <f>IF(对接源_01水果!$AC901="","",对接源_01水果!$AC901)</f>
        <v/>
      </c>
      <c r="AO901" s="3">
        <f t="shared" si="260"/>
        <v>0</v>
      </c>
      <c r="AP901" s="3">
        <f t="shared" si="261"/>
        <v>8</v>
      </c>
      <c r="AR901">
        <f t="shared" si="262"/>
        <v>0</v>
      </c>
      <c r="AS901">
        <f t="shared" si="263"/>
        <v>0</v>
      </c>
    </row>
    <row r="902" ht="14.25" customHeight="1" spans="1:45">
      <c r="A902" s="3" t="str">
        <f>IF(对接源_01水果!$C902="","",对接源_01水果!$C902)</f>
        <v/>
      </c>
      <c r="B902" s="3">
        <f t="shared" si="247"/>
        <v>0</v>
      </c>
      <c r="C902" s="3">
        <f t="shared" si="248"/>
        <v>18</v>
      </c>
      <c r="K902" s="3">
        <f>IF(OR($K$1="",对接源_01水果!$C902="",对接源_01水果!$C902&lt;&gt;$K$1,对接源_01水果!$B902=""),0,IF(OR(N(对接源_01水果!$B902)&lt;$K$2,N(对接源_01水果!$B902)&gt;$K$3),0,1))</f>
        <v>0</v>
      </c>
      <c r="L902" s="3">
        <f>IF(OR($L$1="",对接源_01水果!$C902="",对接源_01水果!$C902&lt;&gt;$L$1,对接源_01水果!$B902=""),0,IF(OR(N(对接源_01水果!$B902)&lt;$L$2,N(对接源_01水果!$B902)&gt;$L$3),0,1))</f>
        <v>0</v>
      </c>
      <c r="M902" s="3">
        <f>IF(OR($M$1="",对接源_01水果!$C902="",对接源_01水果!$C902&lt;&gt;$M$1,对接源_01水果!$B902=""),0,IF(OR(N(对接源_01水果!$B902)&lt;$M$2,N(对接源_01水果!$B902)&gt;$M$3),0,1))</f>
        <v>0</v>
      </c>
      <c r="N902" s="3">
        <f>IF(OR($N$1="",对接源_01水果!$C902="",对接源_01水果!$C902&lt;&gt;$N$1,对接源_01水果!$B902=""),0,IF(OR(N(对接源_01水果!$B902)&lt;$N$2,N(对接源_01水果!$B902)&gt;$N$3),0,1))</f>
        <v>0</v>
      </c>
      <c r="P902" s="3">
        <f>IF(AND($K902=1,AND(对接源_01水果!$X902="公司筐",N(对接源_01水果!$T902)&lt;&gt;0)),1,0)</f>
        <v>0</v>
      </c>
      <c r="Q902" s="3">
        <f t="shared" si="249"/>
        <v>0</v>
      </c>
      <c r="R902" s="3">
        <f>IF(AND($K902=1,AND(对接源_01水果!$X902="公司筐",N(对接源_01水果!$U902)&lt;&gt;0)),1,0)</f>
        <v>0</v>
      </c>
      <c r="S902" s="3">
        <f t="shared" si="250"/>
        <v>0</v>
      </c>
      <c r="T902" s="3">
        <f>IF(AND($K902=1,AND(对接源_01水果!$X902="公司筐",N(对接源_01水果!$V902)&lt;&gt;0)),1,0)</f>
        <v>0</v>
      </c>
      <c r="U902" s="3">
        <f t="shared" si="251"/>
        <v>19</v>
      </c>
      <c r="V902" s="3">
        <f>IF(AND($L902=1,AND(对接源_01水果!$X902="自备筐",N(对接源_01水果!$V902)&lt;&gt;0)),1,0)</f>
        <v>0</v>
      </c>
      <c r="W902" s="3">
        <f t="shared" si="252"/>
        <v>8</v>
      </c>
      <c r="X902" s="3">
        <f>IF(AND($L902=1,AND(对接源_01水果!$X902="自备筐",N(对接源_01水果!$T902)&lt;&gt;0)),1,0)</f>
        <v>0</v>
      </c>
      <c r="Y902" s="3">
        <f t="shared" si="253"/>
        <v>0</v>
      </c>
      <c r="Z902" s="3">
        <f>IF(AND($M902=1,对接源_01水果!$D902="原料入库"),1,0)</f>
        <v>0</v>
      </c>
      <c r="AA902" s="3">
        <f t="shared" si="254"/>
        <v>24</v>
      </c>
      <c r="AB902" s="3">
        <f>IF(AND($M902=1,LEFT(对接源_01水果!$D902,4)="原料出库"),1,0)</f>
        <v>0</v>
      </c>
      <c r="AC902" s="3">
        <f t="shared" si="255"/>
        <v>0</v>
      </c>
      <c r="AD902" s="3">
        <f>IF(AND($M902=1,LEFT(对接源_01水果!$D902,4)="成品出库"),1,0)</f>
        <v>0</v>
      </c>
      <c r="AE902" s="3">
        <f t="shared" si="256"/>
        <v>0</v>
      </c>
      <c r="AF902" s="3">
        <f>IF(AND($N902=1,AND(LEFT(对接源_01水果!$D902,4)="包装物料",N(对接源_01水果!$K902)&lt;&gt;0)),1,0)</f>
        <v>0</v>
      </c>
      <c r="AG902" s="3">
        <f t="shared" si="257"/>
        <v>0</v>
      </c>
      <c r="AH902" s="3">
        <f>IF(AND($N902=1,AND(对接源_01水果!$D902="周转筐－销售出库",N(对接源_01水果!$K902)&lt;&gt;0)),1,0)</f>
        <v>0</v>
      </c>
      <c r="AI902" s="3">
        <f t="shared" si="258"/>
        <v>0</v>
      </c>
      <c r="AJ902" s="7"/>
      <c r="AL902" s="3">
        <f>IF(OR($AL$1="",对接源_01水果!$Y902="",对接源_01水果!$Y902&lt;&gt;$AL$1,对接源_01水果!$B902="",N(对接源_01水果!$AJ902)&lt;=0),0,IF(OR(N(对接源_01水果!$B902)&lt;$AL$2,N(对接源_01水果!$B902)&gt;$AL$3),0,1))</f>
        <v>0</v>
      </c>
      <c r="AM902" s="3">
        <f t="shared" si="259"/>
        <v>1</v>
      </c>
      <c r="AN902" s="3" t="str">
        <f>IF(对接源_01水果!$AC902="","",对接源_01水果!$AC902)</f>
        <v/>
      </c>
      <c r="AO902" s="3">
        <f t="shared" si="260"/>
        <v>0</v>
      </c>
      <c r="AP902" s="3">
        <f t="shared" si="261"/>
        <v>8</v>
      </c>
      <c r="AR902">
        <f t="shared" si="262"/>
        <v>0</v>
      </c>
      <c r="AS902">
        <f t="shared" si="263"/>
        <v>0</v>
      </c>
    </row>
    <row r="903" ht="14.25" customHeight="1" spans="1:45">
      <c r="A903" s="3" t="str">
        <f>IF(对接源_01水果!$C903="","",对接源_01水果!$C903)</f>
        <v/>
      </c>
      <c r="B903" s="3">
        <f t="shared" si="247"/>
        <v>0</v>
      </c>
      <c r="C903" s="3">
        <f t="shared" si="248"/>
        <v>18</v>
      </c>
      <c r="K903" s="3">
        <f>IF(OR($K$1="",对接源_01水果!$C903="",对接源_01水果!$C903&lt;&gt;$K$1,对接源_01水果!$B903=""),0,IF(OR(N(对接源_01水果!$B903)&lt;$K$2,N(对接源_01水果!$B903)&gt;$K$3),0,1))</f>
        <v>0</v>
      </c>
      <c r="L903" s="3">
        <f>IF(OR($L$1="",对接源_01水果!$C903="",对接源_01水果!$C903&lt;&gt;$L$1,对接源_01水果!$B903=""),0,IF(OR(N(对接源_01水果!$B903)&lt;$L$2,N(对接源_01水果!$B903)&gt;$L$3),0,1))</f>
        <v>0</v>
      </c>
      <c r="M903" s="3">
        <f>IF(OR($M$1="",对接源_01水果!$C903="",对接源_01水果!$C903&lt;&gt;$M$1,对接源_01水果!$B903=""),0,IF(OR(N(对接源_01水果!$B903)&lt;$M$2,N(对接源_01水果!$B903)&gt;$M$3),0,1))</f>
        <v>0</v>
      </c>
      <c r="N903" s="3">
        <f>IF(OR($N$1="",对接源_01水果!$C903="",对接源_01水果!$C903&lt;&gt;$N$1,对接源_01水果!$B903=""),0,IF(OR(N(对接源_01水果!$B903)&lt;$N$2,N(对接源_01水果!$B903)&gt;$N$3),0,1))</f>
        <v>0</v>
      </c>
      <c r="P903" s="3">
        <f>IF(AND($K903=1,AND(对接源_01水果!$X903="公司筐",N(对接源_01水果!$T903)&lt;&gt;0)),1,0)</f>
        <v>0</v>
      </c>
      <c r="Q903" s="3">
        <f t="shared" si="249"/>
        <v>0</v>
      </c>
      <c r="R903" s="3">
        <f>IF(AND($K903=1,AND(对接源_01水果!$X903="公司筐",N(对接源_01水果!$U903)&lt;&gt;0)),1,0)</f>
        <v>0</v>
      </c>
      <c r="S903" s="3">
        <f t="shared" si="250"/>
        <v>0</v>
      </c>
      <c r="T903" s="3">
        <f>IF(AND($K903=1,AND(对接源_01水果!$X903="公司筐",N(对接源_01水果!$V903)&lt;&gt;0)),1,0)</f>
        <v>0</v>
      </c>
      <c r="U903" s="3">
        <f t="shared" si="251"/>
        <v>19</v>
      </c>
      <c r="V903" s="3">
        <f>IF(AND($L903=1,AND(对接源_01水果!$X903="自备筐",N(对接源_01水果!$V903)&lt;&gt;0)),1,0)</f>
        <v>0</v>
      </c>
      <c r="W903" s="3">
        <f t="shared" si="252"/>
        <v>8</v>
      </c>
      <c r="X903" s="3">
        <f>IF(AND($L903=1,AND(对接源_01水果!$X903="自备筐",N(对接源_01水果!$T903)&lt;&gt;0)),1,0)</f>
        <v>0</v>
      </c>
      <c r="Y903" s="3">
        <f t="shared" si="253"/>
        <v>0</v>
      </c>
      <c r="Z903" s="3">
        <f>IF(AND($M903=1,对接源_01水果!$D903="原料入库"),1,0)</f>
        <v>0</v>
      </c>
      <c r="AA903" s="3">
        <f t="shared" si="254"/>
        <v>24</v>
      </c>
      <c r="AB903" s="3">
        <f>IF(AND($M903=1,LEFT(对接源_01水果!$D903,4)="原料出库"),1,0)</f>
        <v>0</v>
      </c>
      <c r="AC903" s="3">
        <f t="shared" si="255"/>
        <v>0</v>
      </c>
      <c r="AD903" s="3">
        <f>IF(AND($M903=1,LEFT(对接源_01水果!$D903,4)="成品出库"),1,0)</f>
        <v>0</v>
      </c>
      <c r="AE903" s="3">
        <f t="shared" si="256"/>
        <v>0</v>
      </c>
      <c r="AF903" s="3">
        <f>IF(AND($N903=1,AND(LEFT(对接源_01水果!$D903,4)="包装物料",N(对接源_01水果!$K903)&lt;&gt;0)),1,0)</f>
        <v>0</v>
      </c>
      <c r="AG903" s="3">
        <f t="shared" si="257"/>
        <v>0</v>
      </c>
      <c r="AH903" s="3">
        <f>IF(AND($N903=1,AND(对接源_01水果!$D903="周转筐－销售出库",N(对接源_01水果!$K903)&lt;&gt;0)),1,0)</f>
        <v>0</v>
      </c>
      <c r="AI903" s="3">
        <f t="shared" si="258"/>
        <v>0</v>
      </c>
      <c r="AJ903" s="7"/>
      <c r="AL903" s="3">
        <f>IF(OR($AL$1="",对接源_01水果!$Y903="",对接源_01水果!$Y903&lt;&gt;$AL$1,对接源_01水果!$B903="",N(对接源_01水果!$AJ903)&lt;=0),0,IF(OR(N(对接源_01水果!$B903)&lt;$AL$2,N(对接源_01水果!$B903)&gt;$AL$3),0,1))</f>
        <v>0</v>
      </c>
      <c r="AM903" s="3">
        <f t="shared" si="259"/>
        <v>1</v>
      </c>
      <c r="AN903" s="3" t="str">
        <f>IF(对接源_01水果!$AC903="","",对接源_01水果!$AC903)</f>
        <v/>
      </c>
      <c r="AO903" s="3">
        <f t="shared" si="260"/>
        <v>0</v>
      </c>
      <c r="AP903" s="3">
        <f t="shared" si="261"/>
        <v>8</v>
      </c>
      <c r="AR903">
        <f t="shared" si="262"/>
        <v>0</v>
      </c>
      <c r="AS903">
        <f t="shared" si="263"/>
        <v>0</v>
      </c>
    </row>
    <row r="904" ht="14.25" customHeight="1" spans="1:45">
      <c r="A904" s="3" t="str">
        <f>IF(对接源_01水果!$C904="","",对接源_01水果!$C904)</f>
        <v/>
      </c>
      <c r="B904" s="3">
        <f t="shared" si="247"/>
        <v>0</v>
      </c>
      <c r="C904" s="3">
        <f t="shared" si="248"/>
        <v>18</v>
      </c>
      <c r="K904" s="3">
        <f>IF(OR($K$1="",对接源_01水果!$C904="",对接源_01水果!$C904&lt;&gt;$K$1,对接源_01水果!$B904=""),0,IF(OR(N(对接源_01水果!$B904)&lt;$K$2,N(对接源_01水果!$B904)&gt;$K$3),0,1))</f>
        <v>0</v>
      </c>
      <c r="L904" s="3">
        <f>IF(OR($L$1="",对接源_01水果!$C904="",对接源_01水果!$C904&lt;&gt;$L$1,对接源_01水果!$B904=""),0,IF(OR(N(对接源_01水果!$B904)&lt;$L$2,N(对接源_01水果!$B904)&gt;$L$3),0,1))</f>
        <v>0</v>
      </c>
      <c r="M904" s="3">
        <f>IF(OR($M$1="",对接源_01水果!$C904="",对接源_01水果!$C904&lt;&gt;$M$1,对接源_01水果!$B904=""),0,IF(OR(N(对接源_01水果!$B904)&lt;$M$2,N(对接源_01水果!$B904)&gt;$M$3),0,1))</f>
        <v>0</v>
      </c>
      <c r="N904" s="3">
        <f>IF(OR($N$1="",对接源_01水果!$C904="",对接源_01水果!$C904&lt;&gt;$N$1,对接源_01水果!$B904=""),0,IF(OR(N(对接源_01水果!$B904)&lt;$N$2,N(对接源_01水果!$B904)&gt;$N$3),0,1))</f>
        <v>0</v>
      </c>
      <c r="P904" s="3">
        <f>IF(AND($K904=1,AND(对接源_01水果!$X904="公司筐",N(对接源_01水果!$T904)&lt;&gt;0)),1,0)</f>
        <v>0</v>
      </c>
      <c r="Q904" s="3">
        <f t="shared" si="249"/>
        <v>0</v>
      </c>
      <c r="R904" s="3">
        <f>IF(AND($K904=1,AND(对接源_01水果!$X904="公司筐",N(对接源_01水果!$U904)&lt;&gt;0)),1,0)</f>
        <v>0</v>
      </c>
      <c r="S904" s="3">
        <f t="shared" si="250"/>
        <v>0</v>
      </c>
      <c r="T904" s="3">
        <f>IF(AND($K904=1,AND(对接源_01水果!$X904="公司筐",N(对接源_01水果!$V904)&lt;&gt;0)),1,0)</f>
        <v>0</v>
      </c>
      <c r="U904" s="3">
        <f t="shared" si="251"/>
        <v>19</v>
      </c>
      <c r="V904" s="3">
        <f>IF(AND($L904=1,AND(对接源_01水果!$X904="自备筐",N(对接源_01水果!$V904)&lt;&gt;0)),1,0)</f>
        <v>0</v>
      </c>
      <c r="W904" s="3">
        <f t="shared" si="252"/>
        <v>8</v>
      </c>
      <c r="X904" s="3">
        <f>IF(AND($L904=1,AND(对接源_01水果!$X904="自备筐",N(对接源_01水果!$T904)&lt;&gt;0)),1,0)</f>
        <v>0</v>
      </c>
      <c r="Y904" s="3">
        <f t="shared" si="253"/>
        <v>0</v>
      </c>
      <c r="Z904" s="3">
        <f>IF(AND($M904=1,对接源_01水果!$D904="原料入库"),1,0)</f>
        <v>0</v>
      </c>
      <c r="AA904" s="3">
        <f t="shared" si="254"/>
        <v>24</v>
      </c>
      <c r="AB904" s="3">
        <f>IF(AND($M904=1,LEFT(对接源_01水果!$D904,4)="原料出库"),1,0)</f>
        <v>0</v>
      </c>
      <c r="AC904" s="3">
        <f t="shared" si="255"/>
        <v>0</v>
      </c>
      <c r="AD904" s="3">
        <f>IF(AND($M904=1,LEFT(对接源_01水果!$D904,4)="成品出库"),1,0)</f>
        <v>0</v>
      </c>
      <c r="AE904" s="3">
        <f t="shared" si="256"/>
        <v>0</v>
      </c>
      <c r="AF904" s="3">
        <f>IF(AND($N904=1,AND(LEFT(对接源_01水果!$D904,4)="包装物料",N(对接源_01水果!$K904)&lt;&gt;0)),1,0)</f>
        <v>0</v>
      </c>
      <c r="AG904" s="3">
        <f t="shared" si="257"/>
        <v>0</v>
      </c>
      <c r="AH904" s="3">
        <f>IF(AND($N904=1,AND(对接源_01水果!$D904="周转筐－销售出库",N(对接源_01水果!$K904)&lt;&gt;0)),1,0)</f>
        <v>0</v>
      </c>
      <c r="AI904" s="3">
        <f t="shared" si="258"/>
        <v>0</v>
      </c>
      <c r="AJ904" s="7"/>
      <c r="AL904" s="3">
        <f>IF(OR($AL$1="",对接源_01水果!$Y904="",对接源_01水果!$Y904&lt;&gt;$AL$1,对接源_01水果!$B904="",N(对接源_01水果!$AJ904)&lt;=0),0,IF(OR(N(对接源_01水果!$B904)&lt;$AL$2,N(对接源_01水果!$B904)&gt;$AL$3),0,1))</f>
        <v>0</v>
      </c>
      <c r="AM904" s="3">
        <f t="shared" si="259"/>
        <v>1</v>
      </c>
      <c r="AN904" s="3" t="str">
        <f>IF(对接源_01水果!$AC904="","",对接源_01水果!$AC904)</f>
        <v/>
      </c>
      <c r="AO904" s="3">
        <f t="shared" si="260"/>
        <v>0</v>
      </c>
      <c r="AP904" s="3">
        <f t="shared" si="261"/>
        <v>8</v>
      </c>
      <c r="AR904">
        <f t="shared" si="262"/>
        <v>0</v>
      </c>
      <c r="AS904">
        <f t="shared" si="263"/>
        <v>0</v>
      </c>
    </row>
    <row r="905" ht="14.25" customHeight="1" spans="1:45">
      <c r="A905" s="3" t="str">
        <f>IF(对接源_01水果!$C905="","",对接源_01水果!$C905)</f>
        <v/>
      </c>
      <c r="B905" s="3">
        <f t="shared" si="247"/>
        <v>0</v>
      </c>
      <c r="C905" s="3">
        <f t="shared" si="248"/>
        <v>18</v>
      </c>
      <c r="K905" s="3">
        <f>IF(OR($K$1="",对接源_01水果!$C905="",对接源_01水果!$C905&lt;&gt;$K$1,对接源_01水果!$B905=""),0,IF(OR(N(对接源_01水果!$B905)&lt;$K$2,N(对接源_01水果!$B905)&gt;$K$3),0,1))</f>
        <v>0</v>
      </c>
      <c r="L905" s="3">
        <f>IF(OR($L$1="",对接源_01水果!$C905="",对接源_01水果!$C905&lt;&gt;$L$1,对接源_01水果!$B905=""),0,IF(OR(N(对接源_01水果!$B905)&lt;$L$2,N(对接源_01水果!$B905)&gt;$L$3),0,1))</f>
        <v>0</v>
      </c>
      <c r="M905" s="3">
        <f>IF(OR($M$1="",对接源_01水果!$C905="",对接源_01水果!$C905&lt;&gt;$M$1,对接源_01水果!$B905=""),0,IF(OR(N(对接源_01水果!$B905)&lt;$M$2,N(对接源_01水果!$B905)&gt;$M$3),0,1))</f>
        <v>0</v>
      </c>
      <c r="N905" s="3">
        <f>IF(OR($N$1="",对接源_01水果!$C905="",对接源_01水果!$C905&lt;&gt;$N$1,对接源_01水果!$B905=""),0,IF(OR(N(对接源_01水果!$B905)&lt;$N$2,N(对接源_01水果!$B905)&gt;$N$3),0,1))</f>
        <v>0</v>
      </c>
      <c r="P905" s="3">
        <f>IF(AND($K905=1,AND(对接源_01水果!$X905="公司筐",N(对接源_01水果!$T905)&lt;&gt;0)),1,0)</f>
        <v>0</v>
      </c>
      <c r="Q905" s="3">
        <f t="shared" si="249"/>
        <v>0</v>
      </c>
      <c r="R905" s="3">
        <f>IF(AND($K905=1,AND(对接源_01水果!$X905="公司筐",N(对接源_01水果!$U905)&lt;&gt;0)),1,0)</f>
        <v>0</v>
      </c>
      <c r="S905" s="3">
        <f t="shared" si="250"/>
        <v>0</v>
      </c>
      <c r="T905" s="3">
        <f>IF(AND($K905=1,AND(对接源_01水果!$X905="公司筐",N(对接源_01水果!$V905)&lt;&gt;0)),1,0)</f>
        <v>0</v>
      </c>
      <c r="U905" s="3">
        <f t="shared" si="251"/>
        <v>19</v>
      </c>
      <c r="V905" s="3">
        <f>IF(AND($L905=1,AND(对接源_01水果!$X905="自备筐",N(对接源_01水果!$V905)&lt;&gt;0)),1,0)</f>
        <v>0</v>
      </c>
      <c r="W905" s="3">
        <f t="shared" si="252"/>
        <v>8</v>
      </c>
      <c r="X905" s="3">
        <f>IF(AND($L905=1,AND(对接源_01水果!$X905="自备筐",N(对接源_01水果!$T905)&lt;&gt;0)),1,0)</f>
        <v>0</v>
      </c>
      <c r="Y905" s="3">
        <f t="shared" si="253"/>
        <v>0</v>
      </c>
      <c r="Z905" s="3">
        <f>IF(AND($M905=1,对接源_01水果!$D905="原料入库"),1,0)</f>
        <v>0</v>
      </c>
      <c r="AA905" s="3">
        <f t="shared" si="254"/>
        <v>24</v>
      </c>
      <c r="AB905" s="3">
        <f>IF(AND($M905=1,LEFT(对接源_01水果!$D905,4)="原料出库"),1,0)</f>
        <v>0</v>
      </c>
      <c r="AC905" s="3">
        <f t="shared" si="255"/>
        <v>0</v>
      </c>
      <c r="AD905" s="3">
        <f>IF(AND($M905=1,LEFT(对接源_01水果!$D905,4)="成品出库"),1,0)</f>
        <v>0</v>
      </c>
      <c r="AE905" s="3">
        <f t="shared" si="256"/>
        <v>0</v>
      </c>
      <c r="AF905" s="3">
        <f>IF(AND($N905=1,AND(LEFT(对接源_01水果!$D905,4)="包装物料",N(对接源_01水果!$K905)&lt;&gt;0)),1,0)</f>
        <v>0</v>
      </c>
      <c r="AG905" s="3">
        <f t="shared" si="257"/>
        <v>0</v>
      </c>
      <c r="AH905" s="3">
        <f>IF(AND($N905=1,AND(对接源_01水果!$D905="周转筐－销售出库",N(对接源_01水果!$K905)&lt;&gt;0)),1,0)</f>
        <v>0</v>
      </c>
      <c r="AI905" s="3">
        <f t="shared" si="258"/>
        <v>0</v>
      </c>
      <c r="AJ905" s="7"/>
      <c r="AL905" s="3">
        <f>IF(OR($AL$1="",对接源_01水果!$Y905="",对接源_01水果!$Y905&lt;&gt;$AL$1,对接源_01水果!$B905="",N(对接源_01水果!$AJ905)&lt;=0),0,IF(OR(N(对接源_01水果!$B905)&lt;$AL$2,N(对接源_01水果!$B905)&gt;$AL$3),0,1))</f>
        <v>0</v>
      </c>
      <c r="AM905" s="3">
        <f t="shared" si="259"/>
        <v>1</v>
      </c>
      <c r="AN905" s="3" t="str">
        <f>IF(对接源_01水果!$AC905="","",对接源_01水果!$AC905)</f>
        <v/>
      </c>
      <c r="AO905" s="3">
        <f t="shared" si="260"/>
        <v>0</v>
      </c>
      <c r="AP905" s="3">
        <f t="shared" si="261"/>
        <v>8</v>
      </c>
      <c r="AR905">
        <f t="shared" si="262"/>
        <v>0</v>
      </c>
      <c r="AS905">
        <f t="shared" si="263"/>
        <v>0</v>
      </c>
    </row>
    <row r="906" ht="14.25" customHeight="1" spans="1:45">
      <c r="A906" s="3" t="str">
        <f>IF(对接源_01水果!$C906="","",对接源_01水果!$C906)</f>
        <v/>
      </c>
      <c r="B906" s="3">
        <f t="shared" si="247"/>
        <v>0</v>
      </c>
      <c r="C906" s="3">
        <f t="shared" si="248"/>
        <v>18</v>
      </c>
      <c r="K906" s="3">
        <f>IF(OR($K$1="",对接源_01水果!$C906="",对接源_01水果!$C906&lt;&gt;$K$1,对接源_01水果!$B906=""),0,IF(OR(N(对接源_01水果!$B906)&lt;$K$2,N(对接源_01水果!$B906)&gt;$K$3),0,1))</f>
        <v>0</v>
      </c>
      <c r="L906" s="3">
        <f>IF(OR($L$1="",对接源_01水果!$C906="",对接源_01水果!$C906&lt;&gt;$L$1,对接源_01水果!$B906=""),0,IF(OR(N(对接源_01水果!$B906)&lt;$L$2,N(对接源_01水果!$B906)&gt;$L$3),0,1))</f>
        <v>0</v>
      </c>
      <c r="M906" s="3">
        <f>IF(OR($M$1="",对接源_01水果!$C906="",对接源_01水果!$C906&lt;&gt;$M$1,对接源_01水果!$B906=""),0,IF(OR(N(对接源_01水果!$B906)&lt;$M$2,N(对接源_01水果!$B906)&gt;$M$3),0,1))</f>
        <v>0</v>
      </c>
      <c r="N906" s="3">
        <f>IF(OR($N$1="",对接源_01水果!$C906="",对接源_01水果!$C906&lt;&gt;$N$1,对接源_01水果!$B906=""),0,IF(OR(N(对接源_01水果!$B906)&lt;$N$2,N(对接源_01水果!$B906)&gt;$N$3),0,1))</f>
        <v>0</v>
      </c>
      <c r="P906" s="3">
        <f>IF(AND($K906=1,AND(对接源_01水果!$X906="公司筐",N(对接源_01水果!$T906)&lt;&gt;0)),1,0)</f>
        <v>0</v>
      </c>
      <c r="Q906" s="3">
        <f t="shared" si="249"/>
        <v>0</v>
      </c>
      <c r="R906" s="3">
        <f>IF(AND($K906=1,AND(对接源_01水果!$X906="公司筐",N(对接源_01水果!$U906)&lt;&gt;0)),1,0)</f>
        <v>0</v>
      </c>
      <c r="S906" s="3">
        <f t="shared" si="250"/>
        <v>0</v>
      </c>
      <c r="T906" s="3">
        <f>IF(AND($K906=1,AND(对接源_01水果!$X906="公司筐",N(对接源_01水果!$V906)&lt;&gt;0)),1,0)</f>
        <v>0</v>
      </c>
      <c r="U906" s="3">
        <f t="shared" si="251"/>
        <v>19</v>
      </c>
      <c r="V906" s="3">
        <f>IF(AND($L906=1,AND(对接源_01水果!$X906="自备筐",N(对接源_01水果!$V906)&lt;&gt;0)),1,0)</f>
        <v>0</v>
      </c>
      <c r="W906" s="3">
        <f t="shared" si="252"/>
        <v>8</v>
      </c>
      <c r="X906" s="3">
        <f>IF(AND($L906=1,AND(对接源_01水果!$X906="自备筐",N(对接源_01水果!$T906)&lt;&gt;0)),1,0)</f>
        <v>0</v>
      </c>
      <c r="Y906" s="3">
        <f t="shared" si="253"/>
        <v>0</v>
      </c>
      <c r="Z906" s="3">
        <f>IF(AND($M906=1,对接源_01水果!$D906="原料入库"),1,0)</f>
        <v>0</v>
      </c>
      <c r="AA906" s="3">
        <f t="shared" si="254"/>
        <v>24</v>
      </c>
      <c r="AB906" s="3">
        <f>IF(AND($M906=1,LEFT(对接源_01水果!$D906,4)="原料出库"),1,0)</f>
        <v>0</v>
      </c>
      <c r="AC906" s="3">
        <f t="shared" si="255"/>
        <v>0</v>
      </c>
      <c r="AD906" s="3">
        <f>IF(AND($M906=1,LEFT(对接源_01水果!$D906,4)="成品出库"),1,0)</f>
        <v>0</v>
      </c>
      <c r="AE906" s="3">
        <f t="shared" si="256"/>
        <v>0</v>
      </c>
      <c r="AF906" s="3">
        <f>IF(AND($N906=1,AND(LEFT(对接源_01水果!$D906,4)="包装物料",N(对接源_01水果!$K906)&lt;&gt;0)),1,0)</f>
        <v>0</v>
      </c>
      <c r="AG906" s="3">
        <f t="shared" si="257"/>
        <v>0</v>
      </c>
      <c r="AH906" s="3">
        <f>IF(AND($N906=1,AND(对接源_01水果!$D906="周转筐－销售出库",N(对接源_01水果!$K906)&lt;&gt;0)),1,0)</f>
        <v>0</v>
      </c>
      <c r="AI906" s="3">
        <f t="shared" si="258"/>
        <v>0</v>
      </c>
      <c r="AJ906" s="7"/>
      <c r="AL906" s="3">
        <f>IF(OR($AL$1="",对接源_01水果!$Y906="",对接源_01水果!$Y906&lt;&gt;$AL$1,对接源_01水果!$B906="",N(对接源_01水果!$AJ906)&lt;=0),0,IF(OR(N(对接源_01水果!$B906)&lt;$AL$2,N(对接源_01水果!$B906)&gt;$AL$3),0,1))</f>
        <v>0</v>
      </c>
      <c r="AM906" s="3">
        <f t="shared" si="259"/>
        <v>1</v>
      </c>
      <c r="AN906" s="3" t="str">
        <f>IF(对接源_01水果!$AC906="","",对接源_01水果!$AC906)</f>
        <v/>
      </c>
      <c r="AO906" s="3">
        <f t="shared" si="260"/>
        <v>0</v>
      </c>
      <c r="AP906" s="3">
        <f t="shared" si="261"/>
        <v>8</v>
      </c>
      <c r="AR906">
        <f t="shared" si="262"/>
        <v>0</v>
      </c>
      <c r="AS906">
        <f t="shared" si="263"/>
        <v>0</v>
      </c>
    </row>
    <row r="907" ht="14.25" customHeight="1" spans="1:45">
      <c r="A907" s="3" t="str">
        <f>IF(对接源_01水果!$C907="","",对接源_01水果!$C907)</f>
        <v/>
      </c>
      <c r="B907" s="3">
        <f t="shared" si="247"/>
        <v>0</v>
      </c>
      <c r="C907" s="3">
        <f t="shared" si="248"/>
        <v>18</v>
      </c>
      <c r="K907" s="3">
        <f>IF(OR($K$1="",对接源_01水果!$C907="",对接源_01水果!$C907&lt;&gt;$K$1,对接源_01水果!$B907=""),0,IF(OR(N(对接源_01水果!$B907)&lt;$K$2,N(对接源_01水果!$B907)&gt;$K$3),0,1))</f>
        <v>0</v>
      </c>
      <c r="L907" s="3">
        <f>IF(OR($L$1="",对接源_01水果!$C907="",对接源_01水果!$C907&lt;&gt;$L$1,对接源_01水果!$B907=""),0,IF(OR(N(对接源_01水果!$B907)&lt;$L$2,N(对接源_01水果!$B907)&gt;$L$3),0,1))</f>
        <v>0</v>
      </c>
      <c r="M907" s="3">
        <f>IF(OR($M$1="",对接源_01水果!$C907="",对接源_01水果!$C907&lt;&gt;$M$1,对接源_01水果!$B907=""),0,IF(OR(N(对接源_01水果!$B907)&lt;$M$2,N(对接源_01水果!$B907)&gt;$M$3),0,1))</f>
        <v>0</v>
      </c>
      <c r="N907" s="3">
        <f>IF(OR($N$1="",对接源_01水果!$C907="",对接源_01水果!$C907&lt;&gt;$N$1,对接源_01水果!$B907=""),0,IF(OR(N(对接源_01水果!$B907)&lt;$N$2,N(对接源_01水果!$B907)&gt;$N$3),0,1))</f>
        <v>0</v>
      </c>
      <c r="P907" s="3">
        <f>IF(AND($K907=1,AND(对接源_01水果!$X907="公司筐",N(对接源_01水果!$T907)&lt;&gt;0)),1,0)</f>
        <v>0</v>
      </c>
      <c r="Q907" s="3">
        <f t="shared" si="249"/>
        <v>0</v>
      </c>
      <c r="R907" s="3">
        <f>IF(AND($K907=1,AND(对接源_01水果!$X907="公司筐",N(对接源_01水果!$U907)&lt;&gt;0)),1,0)</f>
        <v>0</v>
      </c>
      <c r="S907" s="3">
        <f t="shared" si="250"/>
        <v>0</v>
      </c>
      <c r="T907" s="3">
        <f>IF(AND($K907=1,AND(对接源_01水果!$X907="公司筐",N(对接源_01水果!$V907)&lt;&gt;0)),1,0)</f>
        <v>0</v>
      </c>
      <c r="U907" s="3">
        <f t="shared" si="251"/>
        <v>19</v>
      </c>
      <c r="V907" s="3">
        <f>IF(AND($L907=1,AND(对接源_01水果!$X907="自备筐",N(对接源_01水果!$V907)&lt;&gt;0)),1,0)</f>
        <v>0</v>
      </c>
      <c r="W907" s="3">
        <f t="shared" si="252"/>
        <v>8</v>
      </c>
      <c r="X907" s="3">
        <f>IF(AND($L907=1,AND(对接源_01水果!$X907="自备筐",N(对接源_01水果!$T907)&lt;&gt;0)),1,0)</f>
        <v>0</v>
      </c>
      <c r="Y907" s="3">
        <f t="shared" si="253"/>
        <v>0</v>
      </c>
      <c r="Z907" s="3">
        <f>IF(AND($M907=1,对接源_01水果!$D907="原料入库"),1,0)</f>
        <v>0</v>
      </c>
      <c r="AA907" s="3">
        <f t="shared" si="254"/>
        <v>24</v>
      </c>
      <c r="AB907" s="3">
        <f>IF(AND($M907=1,LEFT(对接源_01水果!$D907,4)="原料出库"),1,0)</f>
        <v>0</v>
      </c>
      <c r="AC907" s="3">
        <f t="shared" si="255"/>
        <v>0</v>
      </c>
      <c r="AD907" s="3">
        <f>IF(AND($M907=1,LEFT(对接源_01水果!$D907,4)="成品出库"),1,0)</f>
        <v>0</v>
      </c>
      <c r="AE907" s="3">
        <f t="shared" si="256"/>
        <v>0</v>
      </c>
      <c r="AF907" s="3">
        <f>IF(AND($N907=1,AND(LEFT(对接源_01水果!$D907,4)="包装物料",N(对接源_01水果!$K907)&lt;&gt;0)),1,0)</f>
        <v>0</v>
      </c>
      <c r="AG907" s="3">
        <f t="shared" si="257"/>
        <v>0</v>
      </c>
      <c r="AH907" s="3">
        <f>IF(AND($N907=1,AND(对接源_01水果!$D907="周转筐－销售出库",N(对接源_01水果!$K907)&lt;&gt;0)),1,0)</f>
        <v>0</v>
      </c>
      <c r="AI907" s="3">
        <f t="shared" si="258"/>
        <v>0</v>
      </c>
      <c r="AJ907" s="7"/>
      <c r="AL907" s="3">
        <f>IF(OR($AL$1="",对接源_01水果!$Y907="",对接源_01水果!$Y907&lt;&gt;$AL$1,对接源_01水果!$B907="",N(对接源_01水果!$AJ907)&lt;=0),0,IF(OR(N(对接源_01水果!$B907)&lt;$AL$2,N(对接源_01水果!$B907)&gt;$AL$3),0,1))</f>
        <v>0</v>
      </c>
      <c r="AM907" s="3">
        <f t="shared" si="259"/>
        <v>1</v>
      </c>
      <c r="AN907" s="3" t="str">
        <f>IF(对接源_01水果!$AC907="","",对接源_01水果!$AC907)</f>
        <v/>
      </c>
      <c r="AO907" s="3">
        <f t="shared" si="260"/>
        <v>0</v>
      </c>
      <c r="AP907" s="3">
        <f t="shared" si="261"/>
        <v>8</v>
      </c>
      <c r="AR907">
        <f t="shared" si="262"/>
        <v>0</v>
      </c>
      <c r="AS907">
        <f t="shared" si="263"/>
        <v>0</v>
      </c>
    </row>
    <row r="908" ht="14.25" customHeight="1" spans="1:45">
      <c r="A908" s="3" t="str">
        <f>IF(对接源_01水果!$C908="","",对接源_01水果!$C908)</f>
        <v/>
      </c>
      <c r="B908" s="3">
        <f t="shared" si="247"/>
        <v>0</v>
      </c>
      <c r="C908" s="3">
        <f t="shared" si="248"/>
        <v>18</v>
      </c>
      <c r="K908" s="3">
        <f>IF(OR($K$1="",对接源_01水果!$C908="",对接源_01水果!$C908&lt;&gt;$K$1,对接源_01水果!$B908=""),0,IF(OR(N(对接源_01水果!$B908)&lt;$K$2,N(对接源_01水果!$B908)&gt;$K$3),0,1))</f>
        <v>0</v>
      </c>
      <c r="L908" s="3">
        <f>IF(OR($L$1="",对接源_01水果!$C908="",对接源_01水果!$C908&lt;&gt;$L$1,对接源_01水果!$B908=""),0,IF(OR(N(对接源_01水果!$B908)&lt;$L$2,N(对接源_01水果!$B908)&gt;$L$3),0,1))</f>
        <v>0</v>
      </c>
      <c r="M908" s="3">
        <f>IF(OR($M$1="",对接源_01水果!$C908="",对接源_01水果!$C908&lt;&gt;$M$1,对接源_01水果!$B908=""),0,IF(OR(N(对接源_01水果!$B908)&lt;$M$2,N(对接源_01水果!$B908)&gt;$M$3),0,1))</f>
        <v>0</v>
      </c>
      <c r="N908" s="3">
        <f>IF(OR($N$1="",对接源_01水果!$C908="",对接源_01水果!$C908&lt;&gt;$N$1,对接源_01水果!$B908=""),0,IF(OR(N(对接源_01水果!$B908)&lt;$N$2,N(对接源_01水果!$B908)&gt;$N$3),0,1))</f>
        <v>0</v>
      </c>
      <c r="P908" s="3">
        <f>IF(AND($K908=1,AND(对接源_01水果!$X908="公司筐",N(对接源_01水果!$T908)&lt;&gt;0)),1,0)</f>
        <v>0</v>
      </c>
      <c r="Q908" s="3">
        <f t="shared" si="249"/>
        <v>0</v>
      </c>
      <c r="R908" s="3">
        <f>IF(AND($K908=1,AND(对接源_01水果!$X908="公司筐",N(对接源_01水果!$U908)&lt;&gt;0)),1,0)</f>
        <v>0</v>
      </c>
      <c r="S908" s="3">
        <f t="shared" si="250"/>
        <v>0</v>
      </c>
      <c r="T908" s="3">
        <f>IF(AND($K908=1,AND(对接源_01水果!$X908="公司筐",N(对接源_01水果!$V908)&lt;&gt;0)),1,0)</f>
        <v>0</v>
      </c>
      <c r="U908" s="3">
        <f t="shared" si="251"/>
        <v>19</v>
      </c>
      <c r="V908" s="3">
        <f>IF(AND($L908=1,AND(对接源_01水果!$X908="自备筐",N(对接源_01水果!$V908)&lt;&gt;0)),1,0)</f>
        <v>0</v>
      </c>
      <c r="W908" s="3">
        <f t="shared" si="252"/>
        <v>8</v>
      </c>
      <c r="X908" s="3">
        <f>IF(AND($L908=1,AND(对接源_01水果!$X908="自备筐",N(对接源_01水果!$T908)&lt;&gt;0)),1,0)</f>
        <v>0</v>
      </c>
      <c r="Y908" s="3">
        <f t="shared" si="253"/>
        <v>0</v>
      </c>
      <c r="Z908" s="3">
        <f>IF(AND($M908=1,对接源_01水果!$D908="原料入库"),1,0)</f>
        <v>0</v>
      </c>
      <c r="AA908" s="3">
        <f t="shared" si="254"/>
        <v>24</v>
      </c>
      <c r="AB908" s="3">
        <f>IF(AND($M908=1,LEFT(对接源_01水果!$D908,4)="原料出库"),1,0)</f>
        <v>0</v>
      </c>
      <c r="AC908" s="3">
        <f t="shared" si="255"/>
        <v>0</v>
      </c>
      <c r="AD908" s="3">
        <f>IF(AND($M908=1,LEFT(对接源_01水果!$D908,4)="成品出库"),1,0)</f>
        <v>0</v>
      </c>
      <c r="AE908" s="3">
        <f t="shared" si="256"/>
        <v>0</v>
      </c>
      <c r="AF908" s="3">
        <f>IF(AND($N908=1,AND(LEFT(对接源_01水果!$D908,4)="包装物料",N(对接源_01水果!$K908)&lt;&gt;0)),1,0)</f>
        <v>0</v>
      </c>
      <c r="AG908" s="3">
        <f t="shared" si="257"/>
        <v>0</v>
      </c>
      <c r="AH908" s="3">
        <f>IF(AND($N908=1,AND(对接源_01水果!$D908="周转筐－销售出库",N(对接源_01水果!$K908)&lt;&gt;0)),1,0)</f>
        <v>0</v>
      </c>
      <c r="AI908" s="3">
        <f t="shared" si="258"/>
        <v>0</v>
      </c>
      <c r="AJ908" s="7"/>
      <c r="AL908" s="3">
        <f>IF(OR($AL$1="",对接源_01水果!$Y908="",对接源_01水果!$Y908&lt;&gt;$AL$1,对接源_01水果!$B908="",N(对接源_01水果!$AJ908)&lt;=0),0,IF(OR(N(对接源_01水果!$B908)&lt;$AL$2,N(对接源_01水果!$B908)&gt;$AL$3),0,1))</f>
        <v>0</v>
      </c>
      <c r="AM908" s="3">
        <f t="shared" si="259"/>
        <v>1</v>
      </c>
      <c r="AN908" s="3" t="str">
        <f>IF(对接源_01水果!$AC908="","",对接源_01水果!$AC908)</f>
        <v/>
      </c>
      <c r="AO908" s="3">
        <f t="shared" si="260"/>
        <v>0</v>
      </c>
      <c r="AP908" s="3">
        <f t="shared" si="261"/>
        <v>8</v>
      </c>
      <c r="AR908">
        <f t="shared" si="262"/>
        <v>0</v>
      </c>
      <c r="AS908">
        <f t="shared" si="263"/>
        <v>0</v>
      </c>
    </row>
    <row r="909" ht="14.25" customHeight="1" spans="1:45">
      <c r="A909" s="3" t="str">
        <f>IF(对接源_01水果!$C909="","",对接源_01水果!$C909)</f>
        <v/>
      </c>
      <c r="B909" s="3">
        <f t="shared" si="247"/>
        <v>0</v>
      </c>
      <c r="C909" s="3">
        <f t="shared" si="248"/>
        <v>18</v>
      </c>
      <c r="K909" s="3">
        <f>IF(OR($K$1="",对接源_01水果!$C909="",对接源_01水果!$C909&lt;&gt;$K$1,对接源_01水果!$B909=""),0,IF(OR(N(对接源_01水果!$B909)&lt;$K$2,N(对接源_01水果!$B909)&gt;$K$3),0,1))</f>
        <v>0</v>
      </c>
      <c r="L909" s="3">
        <f>IF(OR($L$1="",对接源_01水果!$C909="",对接源_01水果!$C909&lt;&gt;$L$1,对接源_01水果!$B909=""),0,IF(OR(N(对接源_01水果!$B909)&lt;$L$2,N(对接源_01水果!$B909)&gt;$L$3),0,1))</f>
        <v>0</v>
      </c>
      <c r="M909" s="3">
        <f>IF(OR($M$1="",对接源_01水果!$C909="",对接源_01水果!$C909&lt;&gt;$M$1,对接源_01水果!$B909=""),0,IF(OR(N(对接源_01水果!$B909)&lt;$M$2,N(对接源_01水果!$B909)&gt;$M$3),0,1))</f>
        <v>0</v>
      </c>
      <c r="N909" s="3">
        <f>IF(OR($N$1="",对接源_01水果!$C909="",对接源_01水果!$C909&lt;&gt;$N$1,对接源_01水果!$B909=""),0,IF(OR(N(对接源_01水果!$B909)&lt;$N$2,N(对接源_01水果!$B909)&gt;$N$3),0,1))</f>
        <v>0</v>
      </c>
      <c r="P909" s="3">
        <f>IF(AND($K909=1,AND(对接源_01水果!$X909="公司筐",N(对接源_01水果!$T909)&lt;&gt;0)),1,0)</f>
        <v>0</v>
      </c>
      <c r="Q909" s="3">
        <f t="shared" si="249"/>
        <v>0</v>
      </c>
      <c r="R909" s="3">
        <f>IF(AND($K909=1,AND(对接源_01水果!$X909="公司筐",N(对接源_01水果!$U909)&lt;&gt;0)),1,0)</f>
        <v>0</v>
      </c>
      <c r="S909" s="3">
        <f t="shared" si="250"/>
        <v>0</v>
      </c>
      <c r="T909" s="3">
        <f>IF(AND($K909=1,AND(对接源_01水果!$X909="公司筐",N(对接源_01水果!$V909)&lt;&gt;0)),1,0)</f>
        <v>0</v>
      </c>
      <c r="U909" s="3">
        <f t="shared" si="251"/>
        <v>19</v>
      </c>
      <c r="V909" s="3">
        <f>IF(AND($L909=1,AND(对接源_01水果!$X909="自备筐",N(对接源_01水果!$V909)&lt;&gt;0)),1,0)</f>
        <v>0</v>
      </c>
      <c r="W909" s="3">
        <f t="shared" si="252"/>
        <v>8</v>
      </c>
      <c r="X909" s="3">
        <f>IF(AND($L909=1,AND(对接源_01水果!$X909="自备筐",N(对接源_01水果!$T909)&lt;&gt;0)),1,0)</f>
        <v>0</v>
      </c>
      <c r="Y909" s="3">
        <f t="shared" si="253"/>
        <v>0</v>
      </c>
      <c r="Z909" s="3">
        <f>IF(AND($M909=1,对接源_01水果!$D909="原料入库"),1,0)</f>
        <v>0</v>
      </c>
      <c r="AA909" s="3">
        <f t="shared" si="254"/>
        <v>24</v>
      </c>
      <c r="AB909" s="3">
        <f>IF(AND($M909=1,LEFT(对接源_01水果!$D909,4)="原料出库"),1,0)</f>
        <v>0</v>
      </c>
      <c r="AC909" s="3">
        <f t="shared" si="255"/>
        <v>0</v>
      </c>
      <c r="AD909" s="3">
        <f>IF(AND($M909=1,LEFT(对接源_01水果!$D909,4)="成品出库"),1,0)</f>
        <v>0</v>
      </c>
      <c r="AE909" s="3">
        <f t="shared" si="256"/>
        <v>0</v>
      </c>
      <c r="AF909" s="3">
        <f>IF(AND($N909=1,AND(LEFT(对接源_01水果!$D909,4)="包装物料",N(对接源_01水果!$K909)&lt;&gt;0)),1,0)</f>
        <v>0</v>
      </c>
      <c r="AG909" s="3">
        <f t="shared" si="257"/>
        <v>0</v>
      </c>
      <c r="AH909" s="3">
        <f>IF(AND($N909=1,AND(对接源_01水果!$D909="周转筐－销售出库",N(对接源_01水果!$K909)&lt;&gt;0)),1,0)</f>
        <v>0</v>
      </c>
      <c r="AI909" s="3">
        <f t="shared" si="258"/>
        <v>0</v>
      </c>
      <c r="AJ909" s="7"/>
      <c r="AL909" s="3">
        <f>IF(OR($AL$1="",对接源_01水果!$Y909="",对接源_01水果!$Y909&lt;&gt;$AL$1,对接源_01水果!$B909="",N(对接源_01水果!$AJ909)&lt;=0),0,IF(OR(N(对接源_01水果!$B909)&lt;$AL$2,N(对接源_01水果!$B909)&gt;$AL$3),0,1))</f>
        <v>0</v>
      </c>
      <c r="AM909" s="3">
        <f t="shared" si="259"/>
        <v>1</v>
      </c>
      <c r="AN909" s="3" t="str">
        <f>IF(对接源_01水果!$AC909="","",对接源_01水果!$AC909)</f>
        <v/>
      </c>
      <c r="AO909" s="3">
        <f t="shared" si="260"/>
        <v>0</v>
      </c>
      <c r="AP909" s="3">
        <f t="shared" si="261"/>
        <v>8</v>
      </c>
      <c r="AR909">
        <f t="shared" si="262"/>
        <v>0</v>
      </c>
      <c r="AS909">
        <f t="shared" si="263"/>
        <v>0</v>
      </c>
    </row>
    <row r="910" ht="14.25" customHeight="1" spans="1:45">
      <c r="A910" s="3" t="str">
        <f>IF(对接源_01水果!$C910="","",对接源_01水果!$C910)</f>
        <v/>
      </c>
      <c r="B910" s="3">
        <f t="shared" si="247"/>
        <v>0</v>
      </c>
      <c r="C910" s="3">
        <f t="shared" si="248"/>
        <v>18</v>
      </c>
      <c r="K910" s="3">
        <f>IF(OR($K$1="",对接源_01水果!$C910="",对接源_01水果!$C910&lt;&gt;$K$1,对接源_01水果!$B910=""),0,IF(OR(N(对接源_01水果!$B910)&lt;$K$2,N(对接源_01水果!$B910)&gt;$K$3),0,1))</f>
        <v>0</v>
      </c>
      <c r="L910" s="3">
        <f>IF(OR($L$1="",对接源_01水果!$C910="",对接源_01水果!$C910&lt;&gt;$L$1,对接源_01水果!$B910=""),0,IF(OR(N(对接源_01水果!$B910)&lt;$L$2,N(对接源_01水果!$B910)&gt;$L$3),0,1))</f>
        <v>0</v>
      </c>
      <c r="M910" s="3">
        <f>IF(OR($M$1="",对接源_01水果!$C910="",对接源_01水果!$C910&lt;&gt;$M$1,对接源_01水果!$B910=""),0,IF(OR(N(对接源_01水果!$B910)&lt;$M$2,N(对接源_01水果!$B910)&gt;$M$3),0,1))</f>
        <v>0</v>
      </c>
      <c r="N910" s="3">
        <f>IF(OR($N$1="",对接源_01水果!$C910="",对接源_01水果!$C910&lt;&gt;$N$1,对接源_01水果!$B910=""),0,IF(OR(N(对接源_01水果!$B910)&lt;$N$2,N(对接源_01水果!$B910)&gt;$N$3),0,1))</f>
        <v>0</v>
      </c>
      <c r="P910" s="3">
        <f>IF(AND($K910=1,AND(对接源_01水果!$X910="公司筐",N(对接源_01水果!$T910)&lt;&gt;0)),1,0)</f>
        <v>0</v>
      </c>
      <c r="Q910" s="3">
        <f t="shared" si="249"/>
        <v>0</v>
      </c>
      <c r="R910" s="3">
        <f>IF(AND($K910=1,AND(对接源_01水果!$X910="公司筐",N(对接源_01水果!$U910)&lt;&gt;0)),1,0)</f>
        <v>0</v>
      </c>
      <c r="S910" s="3">
        <f t="shared" si="250"/>
        <v>0</v>
      </c>
      <c r="T910" s="3">
        <f>IF(AND($K910=1,AND(对接源_01水果!$X910="公司筐",N(对接源_01水果!$V910)&lt;&gt;0)),1,0)</f>
        <v>0</v>
      </c>
      <c r="U910" s="3">
        <f t="shared" si="251"/>
        <v>19</v>
      </c>
      <c r="V910" s="3">
        <f>IF(AND($L910=1,AND(对接源_01水果!$X910="自备筐",N(对接源_01水果!$V910)&lt;&gt;0)),1,0)</f>
        <v>0</v>
      </c>
      <c r="W910" s="3">
        <f t="shared" si="252"/>
        <v>8</v>
      </c>
      <c r="X910" s="3">
        <f>IF(AND($L910=1,AND(对接源_01水果!$X910="自备筐",N(对接源_01水果!$T910)&lt;&gt;0)),1,0)</f>
        <v>0</v>
      </c>
      <c r="Y910" s="3">
        <f t="shared" si="253"/>
        <v>0</v>
      </c>
      <c r="Z910" s="3">
        <f>IF(AND($M910=1,对接源_01水果!$D910="原料入库"),1,0)</f>
        <v>0</v>
      </c>
      <c r="AA910" s="3">
        <f t="shared" si="254"/>
        <v>24</v>
      </c>
      <c r="AB910" s="3">
        <f>IF(AND($M910=1,LEFT(对接源_01水果!$D910,4)="原料出库"),1,0)</f>
        <v>0</v>
      </c>
      <c r="AC910" s="3">
        <f t="shared" si="255"/>
        <v>0</v>
      </c>
      <c r="AD910" s="3">
        <f>IF(AND($M910=1,LEFT(对接源_01水果!$D910,4)="成品出库"),1,0)</f>
        <v>0</v>
      </c>
      <c r="AE910" s="3">
        <f t="shared" si="256"/>
        <v>0</v>
      </c>
      <c r="AF910" s="3">
        <f>IF(AND($N910=1,AND(LEFT(对接源_01水果!$D910,4)="包装物料",N(对接源_01水果!$K910)&lt;&gt;0)),1,0)</f>
        <v>0</v>
      </c>
      <c r="AG910" s="3">
        <f t="shared" si="257"/>
        <v>0</v>
      </c>
      <c r="AH910" s="3">
        <f>IF(AND($N910=1,AND(对接源_01水果!$D910="周转筐－销售出库",N(对接源_01水果!$K910)&lt;&gt;0)),1,0)</f>
        <v>0</v>
      </c>
      <c r="AI910" s="3">
        <f t="shared" si="258"/>
        <v>0</v>
      </c>
      <c r="AJ910" s="7"/>
      <c r="AL910" s="3">
        <f>IF(OR($AL$1="",对接源_01水果!$Y910="",对接源_01水果!$Y910&lt;&gt;$AL$1,对接源_01水果!$B910="",N(对接源_01水果!$AJ910)&lt;=0),0,IF(OR(N(对接源_01水果!$B910)&lt;$AL$2,N(对接源_01水果!$B910)&gt;$AL$3),0,1))</f>
        <v>0</v>
      </c>
      <c r="AM910" s="3">
        <f t="shared" si="259"/>
        <v>1</v>
      </c>
      <c r="AN910" s="3" t="str">
        <f>IF(对接源_01水果!$AC910="","",对接源_01水果!$AC910)</f>
        <v/>
      </c>
      <c r="AO910" s="3">
        <f t="shared" si="260"/>
        <v>0</v>
      </c>
      <c r="AP910" s="3">
        <f t="shared" si="261"/>
        <v>8</v>
      </c>
      <c r="AR910">
        <f t="shared" si="262"/>
        <v>0</v>
      </c>
      <c r="AS910">
        <f t="shared" si="263"/>
        <v>0</v>
      </c>
    </row>
    <row r="911" ht="14.25" customHeight="1" spans="1:45">
      <c r="A911" s="3" t="str">
        <f>IF(对接源_01水果!$C911="","",对接源_01水果!$C911)</f>
        <v/>
      </c>
      <c r="B911" s="3">
        <f t="shared" si="247"/>
        <v>0</v>
      </c>
      <c r="C911" s="3">
        <f t="shared" si="248"/>
        <v>18</v>
      </c>
      <c r="K911" s="3">
        <f>IF(OR($K$1="",对接源_01水果!$C911="",对接源_01水果!$C911&lt;&gt;$K$1,对接源_01水果!$B911=""),0,IF(OR(N(对接源_01水果!$B911)&lt;$K$2,N(对接源_01水果!$B911)&gt;$K$3),0,1))</f>
        <v>0</v>
      </c>
      <c r="L911" s="3">
        <f>IF(OR($L$1="",对接源_01水果!$C911="",对接源_01水果!$C911&lt;&gt;$L$1,对接源_01水果!$B911=""),0,IF(OR(N(对接源_01水果!$B911)&lt;$L$2,N(对接源_01水果!$B911)&gt;$L$3),0,1))</f>
        <v>0</v>
      </c>
      <c r="M911" s="3">
        <f>IF(OR($M$1="",对接源_01水果!$C911="",对接源_01水果!$C911&lt;&gt;$M$1,对接源_01水果!$B911=""),0,IF(OR(N(对接源_01水果!$B911)&lt;$M$2,N(对接源_01水果!$B911)&gt;$M$3),0,1))</f>
        <v>0</v>
      </c>
      <c r="N911" s="3">
        <f>IF(OR($N$1="",对接源_01水果!$C911="",对接源_01水果!$C911&lt;&gt;$N$1,对接源_01水果!$B911=""),0,IF(OR(N(对接源_01水果!$B911)&lt;$N$2,N(对接源_01水果!$B911)&gt;$N$3),0,1))</f>
        <v>0</v>
      </c>
      <c r="P911" s="3">
        <f>IF(AND($K911=1,AND(对接源_01水果!$X911="公司筐",N(对接源_01水果!$T911)&lt;&gt;0)),1,0)</f>
        <v>0</v>
      </c>
      <c r="Q911" s="3">
        <f t="shared" si="249"/>
        <v>0</v>
      </c>
      <c r="R911" s="3">
        <f>IF(AND($K911=1,AND(对接源_01水果!$X911="公司筐",N(对接源_01水果!$U911)&lt;&gt;0)),1,0)</f>
        <v>0</v>
      </c>
      <c r="S911" s="3">
        <f t="shared" si="250"/>
        <v>0</v>
      </c>
      <c r="T911" s="3">
        <f>IF(AND($K911=1,AND(对接源_01水果!$X911="公司筐",N(对接源_01水果!$V911)&lt;&gt;0)),1,0)</f>
        <v>0</v>
      </c>
      <c r="U911" s="3">
        <f t="shared" si="251"/>
        <v>19</v>
      </c>
      <c r="V911" s="3">
        <f>IF(AND($L911=1,AND(对接源_01水果!$X911="自备筐",N(对接源_01水果!$V911)&lt;&gt;0)),1,0)</f>
        <v>0</v>
      </c>
      <c r="W911" s="3">
        <f t="shared" si="252"/>
        <v>8</v>
      </c>
      <c r="X911" s="3">
        <f>IF(AND($L911=1,AND(对接源_01水果!$X911="自备筐",N(对接源_01水果!$T911)&lt;&gt;0)),1,0)</f>
        <v>0</v>
      </c>
      <c r="Y911" s="3">
        <f t="shared" si="253"/>
        <v>0</v>
      </c>
      <c r="Z911" s="3">
        <f>IF(AND($M911=1,对接源_01水果!$D911="原料入库"),1,0)</f>
        <v>0</v>
      </c>
      <c r="AA911" s="3">
        <f t="shared" si="254"/>
        <v>24</v>
      </c>
      <c r="AB911" s="3">
        <f>IF(AND($M911=1,LEFT(对接源_01水果!$D911,4)="原料出库"),1,0)</f>
        <v>0</v>
      </c>
      <c r="AC911" s="3">
        <f t="shared" si="255"/>
        <v>0</v>
      </c>
      <c r="AD911" s="3">
        <f>IF(AND($M911=1,LEFT(对接源_01水果!$D911,4)="成品出库"),1,0)</f>
        <v>0</v>
      </c>
      <c r="AE911" s="3">
        <f t="shared" si="256"/>
        <v>0</v>
      </c>
      <c r="AF911" s="3">
        <f>IF(AND($N911=1,AND(LEFT(对接源_01水果!$D911,4)="包装物料",N(对接源_01水果!$K911)&lt;&gt;0)),1,0)</f>
        <v>0</v>
      </c>
      <c r="AG911" s="3">
        <f t="shared" si="257"/>
        <v>0</v>
      </c>
      <c r="AH911" s="3">
        <f>IF(AND($N911=1,AND(对接源_01水果!$D911="周转筐－销售出库",N(对接源_01水果!$K911)&lt;&gt;0)),1,0)</f>
        <v>0</v>
      </c>
      <c r="AI911" s="3">
        <f t="shared" si="258"/>
        <v>0</v>
      </c>
      <c r="AJ911" s="7"/>
      <c r="AL911" s="3">
        <f>IF(OR($AL$1="",对接源_01水果!$Y911="",对接源_01水果!$Y911&lt;&gt;$AL$1,对接源_01水果!$B911="",N(对接源_01水果!$AJ911)&lt;=0),0,IF(OR(N(对接源_01水果!$B911)&lt;$AL$2,N(对接源_01水果!$B911)&gt;$AL$3),0,1))</f>
        <v>0</v>
      </c>
      <c r="AM911" s="3">
        <f t="shared" si="259"/>
        <v>1</v>
      </c>
      <c r="AN911" s="3" t="str">
        <f>IF(对接源_01水果!$AC911="","",对接源_01水果!$AC911)</f>
        <v/>
      </c>
      <c r="AO911" s="3">
        <f t="shared" si="260"/>
        <v>0</v>
      </c>
      <c r="AP911" s="3">
        <f t="shared" si="261"/>
        <v>8</v>
      </c>
      <c r="AR911">
        <f t="shared" si="262"/>
        <v>0</v>
      </c>
      <c r="AS911">
        <f t="shared" si="263"/>
        <v>0</v>
      </c>
    </row>
    <row r="912" ht="14.25" customHeight="1" spans="1:45">
      <c r="A912" s="3" t="str">
        <f>IF(对接源_01水果!$C912="","",对接源_01水果!$C912)</f>
        <v/>
      </c>
      <c r="B912" s="3">
        <f t="shared" si="247"/>
        <v>0</v>
      </c>
      <c r="C912" s="3">
        <f t="shared" si="248"/>
        <v>18</v>
      </c>
      <c r="K912" s="3">
        <f>IF(OR($K$1="",对接源_01水果!$C912="",对接源_01水果!$C912&lt;&gt;$K$1,对接源_01水果!$B912=""),0,IF(OR(N(对接源_01水果!$B912)&lt;$K$2,N(对接源_01水果!$B912)&gt;$K$3),0,1))</f>
        <v>0</v>
      </c>
      <c r="L912" s="3">
        <f>IF(OR($L$1="",对接源_01水果!$C912="",对接源_01水果!$C912&lt;&gt;$L$1,对接源_01水果!$B912=""),0,IF(OR(N(对接源_01水果!$B912)&lt;$L$2,N(对接源_01水果!$B912)&gt;$L$3),0,1))</f>
        <v>0</v>
      </c>
      <c r="M912" s="3">
        <f>IF(OR($M$1="",对接源_01水果!$C912="",对接源_01水果!$C912&lt;&gt;$M$1,对接源_01水果!$B912=""),0,IF(OR(N(对接源_01水果!$B912)&lt;$M$2,N(对接源_01水果!$B912)&gt;$M$3),0,1))</f>
        <v>0</v>
      </c>
      <c r="N912" s="3">
        <f>IF(OR($N$1="",对接源_01水果!$C912="",对接源_01水果!$C912&lt;&gt;$N$1,对接源_01水果!$B912=""),0,IF(OR(N(对接源_01水果!$B912)&lt;$N$2,N(对接源_01水果!$B912)&gt;$N$3),0,1))</f>
        <v>0</v>
      </c>
      <c r="P912" s="3">
        <f>IF(AND($K912=1,AND(对接源_01水果!$X912="公司筐",N(对接源_01水果!$T912)&lt;&gt;0)),1,0)</f>
        <v>0</v>
      </c>
      <c r="Q912" s="3">
        <f t="shared" si="249"/>
        <v>0</v>
      </c>
      <c r="R912" s="3">
        <f>IF(AND($K912=1,AND(对接源_01水果!$X912="公司筐",N(对接源_01水果!$U912)&lt;&gt;0)),1,0)</f>
        <v>0</v>
      </c>
      <c r="S912" s="3">
        <f t="shared" si="250"/>
        <v>0</v>
      </c>
      <c r="T912" s="3">
        <f>IF(AND($K912=1,AND(对接源_01水果!$X912="公司筐",N(对接源_01水果!$V912)&lt;&gt;0)),1,0)</f>
        <v>0</v>
      </c>
      <c r="U912" s="3">
        <f t="shared" si="251"/>
        <v>19</v>
      </c>
      <c r="V912" s="3">
        <f>IF(AND($L912=1,AND(对接源_01水果!$X912="自备筐",N(对接源_01水果!$V912)&lt;&gt;0)),1,0)</f>
        <v>0</v>
      </c>
      <c r="W912" s="3">
        <f t="shared" si="252"/>
        <v>8</v>
      </c>
      <c r="X912" s="3">
        <f>IF(AND($L912=1,AND(对接源_01水果!$X912="自备筐",N(对接源_01水果!$T912)&lt;&gt;0)),1,0)</f>
        <v>0</v>
      </c>
      <c r="Y912" s="3">
        <f t="shared" si="253"/>
        <v>0</v>
      </c>
      <c r="Z912" s="3">
        <f>IF(AND($M912=1,对接源_01水果!$D912="原料入库"),1,0)</f>
        <v>0</v>
      </c>
      <c r="AA912" s="3">
        <f t="shared" si="254"/>
        <v>24</v>
      </c>
      <c r="AB912" s="3">
        <f>IF(AND($M912=1,LEFT(对接源_01水果!$D912,4)="原料出库"),1,0)</f>
        <v>0</v>
      </c>
      <c r="AC912" s="3">
        <f t="shared" si="255"/>
        <v>0</v>
      </c>
      <c r="AD912" s="3">
        <f>IF(AND($M912=1,LEFT(对接源_01水果!$D912,4)="成品出库"),1,0)</f>
        <v>0</v>
      </c>
      <c r="AE912" s="3">
        <f t="shared" si="256"/>
        <v>0</v>
      </c>
      <c r="AF912" s="3">
        <f>IF(AND($N912=1,AND(LEFT(对接源_01水果!$D912,4)="包装物料",N(对接源_01水果!$K912)&lt;&gt;0)),1,0)</f>
        <v>0</v>
      </c>
      <c r="AG912" s="3">
        <f t="shared" si="257"/>
        <v>0</v>
      </c>
      <c r="AH912" s="3">
        <f>IF(AND($N912=1,AND(对接源_01水果!$D912="周转筐－销售出库",N(对接源_01水果!$K912)&lt;&gt;0)),1,0)</f>
        <v>0</v>
      </c>
      <c r="AI912" s="3">
        <f t="shared" si="258"/>
        <v>0</v>
      </c>
      <c r="AJ912" s="7"/>
      <c r="AL912" s="3">
        <f>IF(OR($AL$1="",对接源_01水果!$Y912="",对接源_01水果!$Y912&lt;&gt;$AL$1,对接源_01水果!$B912="",N(对接源_01水果!$AJ912)&lt;=0),0,IF(OR(N(对接源_01水果!$B912)&lt;$AL$2,N(对接源_01水果!$B912)&gt;$AL$3),0,1))</f>
        <v>0</v>
      </c>
      <c r="AM912" s="3">
        <f t="shared" si="259"/>
        <v>1</v>
      </c>
      <c r="AN912" s="3" t="str">
        <f>IF(对接源_01水果!$AC912="","",对接源_01水果!$AC912)</f>
        <v/>
      </c>
      <c r="AO912" s="3">
        <f t="shared" si="260"/>
        <v>0</v>
      </c>
      <c r="AP912" s="3">
        <f t="shared" si="261"/>
        <v>8</v>
      </c>
      <c r="AR912">
        <f t="shared" si="262"/>
        <v>0</v>
      </c>
      <c r="AS912">
        <f t="shared" si="263"/>
        <v>0</v>
      </c>
    </row>
    <row r="913" ht="14.25" customHeight="1" spans="1:45">
      <c r="A913" s="3" t="str">
        <f>IF(对接源_01水果!$C913="","",对接源_01水果!$C913)</f>
        <v/>
      </c>
      <c r="B913" s="3">
        <f t="shared" si="247"/>
        <v>0</v>
      </c>
      <c r="C913" s="3">
        <f t="shared" si="248"/>
        <v>18</v>
      </c>
      <c r="K913" s="3">
        <f>IF(OR($K$1="",对接源_01水果!$C913="",对接源_01水果!$C913&lt;&gt;$K$1,对接源_01水果!$B913=""),0,IF(OR(N(对接源_01水果!$B913)&lt;$K$2,N(对接源_01水果!$B913)&gt;$K$3),0,1))</f>
        <v>0</v>
      </c>
      <c r="L913" s="3">
        <f>IF(OR($L$1="",对接源_01水果!$C913="",对接源_01水果!$C913&lt;&gt;$L$1,对接源_01水果!$B913=""),0,IF(OR(N(对接源_01水果!$B913)&lt;$L$2,N(对接源_01水果!$B913)&gt;$L$3),0,1))</f>
        <v>0</v>
      </c>
      <c r="M913" s="3">
        <f>IF(OR($M$1="",对接源_01水果!$C913="",对接源_01水果!$C913&lt;&gt;$M$1,对接源_01水果!$B913=""),0,IF(OR(N(对接源_01水果!$B913)&lt;$M$2,N(对接源_01水果!$B913)&gt;$M$3),0,1))</f>
        <v>0</v>
      </c>
      <c r="N913" s="3">
        <f>IF(OR($N$1="",对接源_01水果!$C913="",对接源_01水果!$C913&lt;&gt;$N$1,对接源_01水果!$B913=""),0,IF(OR(N(对接源_01水果!$B913)&lt;$N$2,N(对接源_01水果!$B913)&gt;$N$3),0,1))</f>
        <v>0</v>
      </c>
      <c r="P913" s="3">
        <f>IF(AND($K913=1,AND(对接源_01水果!$X913="公司筐",N(对接源_01水果!$T913)&lt;&gt;0)),1,0)</f>
        <v>0</v>
      </c>
      <c r="Q913" s="3">
        <f t="shared" si="249"/>
        <v>0</v>
      </c>
      <c r="R913" s="3">
        <f>IF(AND($K913=1,AND(对接源_01水果!$X913="公司筐",N(对接源_01水果!$U913)&lt;&gt;0)),1,0)</f>
        <v>0</v>
      </c>
      <c r="S913" s="3">
        <f t="shared" si="250"/>
        <v>0</v>
      </c>
      <c r="T913" s="3">
        <f>IF(AND($K913=1,AND(对接源_01水果!$X913="公司筐",N(对接源_01水果!$V913)&lt;&gt;0)),1,0)</f>
        <v>0</v>
      </c>
      <c r="U913" s="3">
        <f t="shared" si="251"/>
        <v>19</v>
      </c>
      <c r="V913" s="3">
        <f>IF(AND($L913=1,AND(对接源_01水果!$X913="自备筐",N(对接源_01水果!$V913)&lt;&gt;0)),1,0)</f>
        <v>0</v>
      </c>
      <c r="W913" s="3">
        <f t="shared" si="252"/>
        <v>8</v>
      </c>
      <c r="X913" s="3">
        <f>IF(AND($L913=1,AND(对接源_01水果!$X913="自备筐",N(对接源_01水果!$T913)&lt;&gt;0)),1,0)</f>
        <v>0</v>
      </c>
      <c r="Y913" s="3">
        <f t="shared" si="253"/>
        <v>0</v>
      </c>
      <c r="Z913" s="3">
        <f>IF(AND($M913=1,对接源_01水果!$D913="原料入库"),1,0)</f>
        <v>0</v>
      </c>
      <c r="AA913" s="3">
        <f t="shared" si="254"/>
        <v>24</v>
      </c>
      <c r="AB913" s="3">
        <f>IF(AND($M913=1,LEFT(对接源_01水果!$D913,4)="原料出库"),1,0)</f>
        <v>0</v>
      </c>
      <c r="AC913" s="3">
        <f t="shared" si="255"/>
        <v>0</v>
      </c>
      <c r="AD913" s="3">
        <f>IF(AND($M913=1,LEFT(对接源_01水果!$D913,4)="成品出库"),1,0)</f>
        <v>0</v>
      </c>
      <c r="AE913" s="3">
        <f t="shared" si="256"/>
        <v>0</v>
      </c>
      <c r="AF913" s="3">
        <f>IF(AND($N913=1,AND(LEFT(对接源_01水果!$D913,4)="包装物料",N(对接源_01水果!$K913)&lt;&gt;0)),1,0)</f>
        <v>0</v>
      </c>
      <c r="AG913" s="3">
        <f t="shared" si="257"/>
        <v>0</v>
      </c>
      <c r="AH913" s="3">
        <f>IF(AND($N913=1,AND(对接源_01水果!$D913="周转筐－销售出库",N(对接源_01水果!$K913)&lt;&gt;0)),1,0)</f>
        <v>0</v>
      </c>
      <c r="AI913" s="3">
        <f t="shared" si="258"/>
        <v>0</v>
      </c>
      <c r="AJ913" s="7"/>
      <c r="AL913" s="3">
        <f>IF(OR($AL$1="",对接源_01水果!$Y913="",对接源_01水果!$Y913&lt;&gt;$AL$1,对接源_01水果!$B913="",N(对接源_01水果!$AJ913)&lt;=0),0,IF(OR(N(对接源_01水果!$B913)&lt;$AL$2,N(对接源_01水果!$B913)&gt;$AL$3),0,1))</f>
        <v>0</v>
      </c>
      <c r="AM913" s="3">
        <f t="shared" si="259"/>
        <v>1</v>
      </c>
      <c r="AN913" s="3" t="str">
        <f>IF(对接源_01水果!$AC913="","",对接源_01水果!$AC913)</f>
        <v/>
      </c>
      <c r="AO913" s="3">
        <f t="shared" si="260"/>
        <v>0</v>
      </c>
      <c r="AP913" s="3">
        <f t="shared" si="261"/>
        <v>8</v>
      </c>
      <c r="AR913">
        <f t="shared" si="262"/>
        <v>0</v>
      </c>
      <c r="AS913">
        <f t="shared" si="263"/>
        <v>0</v>
      </c>
    </row>
    <row r="914" ht="14.25" customHeight="1" spans="1:45">
      <c r="A914" s="3" t="str">
        <f>IF(对接源_01水果!$C914="","",对接源_01水果!$C914)</f>
        <v/>
      </c>
      <c r="B914" s="3">
        <f t="shared" si="247"/>
        <v>0</v>
      </c>
      <c r="C914" s="3">
        <f t="shared" si="248"/>
        <v>18</v>
      </c>
      <c r="K914" s="3">
        <f>IF(OR($K$1="",对接源_01水果!$C914="",对接源_01水果!$C914&lt;&gt;$K$1,对接源_01水果!$B914=""),0,IF(OR(N(对接源_01水果!$B914)&lt;$K$2,N(对接源_01水果!$B914)&gt;$K$3),0,1))</f>
        <v>0</v>
      </c>
      <c r="L914" s="3">
        <f>IF(OR($L$1="",对接源_01水果!$C914="",对接源_01水果!$C914&lt;&gt;$L$1,对接源_01水果!$B914=""),0,IF(OR(N(对接源_01水果!$B914)&lt;$L$2,N(对接源_01水果!$B914)&gt;$L$3),0,1))</f>
        <v>0</v>
      </c>
      <c r="M914" s="3">
        <f>IF(OR($M$1="",对接源_01水果!$C914="",对接源_01水果!$C914&lt;&gt;$M$1,对接源_01水果!$B914=""),0,IF(OR(N(对接源_01水果!$B914)&lt;$M$2,N(对接源_01水果!$B914)&gt;$M$3),0,1))</f>
        <v>0</v>
      </c>
      <c r="N914" s="3">
        <f>IF(OR($N$1="",对接源_01水果!$C914="",对接源_01水果!$C914&lt;&gt;$N$1,对接源_01水果!$B914=""),0,IF(OR(N(对接源_01水果!$B914)&lt;$N$2,N(对接源_01水果!$B914)&gt;$N$3),0,1))</f>
        <v>0</v>
      </c>
      <c r="P914" s="3">
        <f>IF(AND($K914=1,AND(对接源_01水果!$X914="公司筐",N(对接源_01水果!$T914)&lt;&gt;0)),1,0)</f>
        <v>0</v>
      </c>
      <c r="Q914" s="3">
        <f t="shared" si="249"/>
        <v>0</v>
      </c>
      <c r="R914" s="3">
        <f>IF(AND($K914=1,AND(对接源_01水果!$X914="公司筐",N(对接源_01水果!$U914)&lt;&gt;0)),1,0)</f>
        <v>0</v>
      </c>
      <c r="S914" s="3">
        <f t="shared" si="250"/>
        <v>0</v>
      </c>
      <c r="T914" s="3">
        <f>IF(AND($K914=1,AND(对接源_01水果!$X914="公司筐",N(对接源_01水果!$V914)&lt;&gt;0)),1,0)</f>
        <v>0</v>
      </c>
      <c r="U914" s="3">
        <f t="shared" si="251"/>
        <v>19</v>
      </c>
      <c r="V914" s="3">
        <f>IF(AND($L914=1,AND(对接源_01水果!$X914="自备筐",N(对接源_01水果!$V914)&lt;&gt;0)),1,0)</f>
        <v>0</v>
      </c>
      <c r="W914" s="3">
        <f t="shared" si="252"/>
        <v>8</v>
      </c>
      <c r="X914" s="3">
        <f>IF(AND($L914=1,AND(对接源_01水果!$X914="自备筐",N(对接源_01水果!$T914)&lt;&gt;0)),1,0)</f>
        <v>0</v>
      </c>
      <c r="Y914" s="3">
        <f t="shared" si="253"/>
        <v>0</v>
      </c>
      <c r="Z914" s="3">
        <f>IF(AND($M914=1,对接源_01水果!$D914="原料入库"),1,0)</f>
        <v>0</v>
      </c>
      <c r="AA914" s="3">
        <f t="shared" si="254"/>
        <v>24</v>
      </c>
      <c r="AB914" s="3">
        <f>IF(AND($M914=1,LEFT(对接源_01水果!$D914,4)="原料出库"),1,0)</f>
        <v>0</v>
      </c>
      <c r="AC914" s="3">
        <f t="shared" si="255"/>
        <v>0</v>
      </c>
      <c r="AD914" s="3">
        <f>IF(AND($M914=1,LEFT(对接源_01水果!$D914,4)="成品出库"),1,0)</f>
        <v>0</v>
      </c>
      <c r="AE914" s="3">
        <f t="shared" si="256"/>
        <v>0</v>
      </c>
      <c r="AF914" s="3">
        <f>IF(AND($N914=1,AND(LEFT(对接源_01水果!$D914,4)="包装物料",N(对接源_01水果!$K914)&lt;&gt;0)),1,0)</f>
        <v>0</v>
      </c>
      <c r="AG914" s="3">
        <f t="shared" si="257"/>
        <v>0</v>
      </c>
      <c r="AH914" s="3">
        <f>IF(AND($N914=1,AND(对接源_01水果!$D914="周转筐－销售出库",N(对接源_01水果!$K914)&lt;&gt;0)),1,0)</f>
        <v>0</v>
      </c>
      <c r="AI914" s="3">
        <f t="shared" si="258"/>
        <v>0</v>
      </c>
      <c r="AJ914" s="7"/>
      <c r="AL914" s="3">
        <f>IF(OR($AL$1="",对接源_01水果!$Y914="",对接源_01水果!$Y914&lt;&gt;$AL$1,对接源_01水果!$B914="",N(对接源_01水果!$AJ914)&lt;=0),0,IF(OR(N(对接源_01水果!$B914)&lt;$AL$2,N(对接源_01水果!$B914)&gt;$AL$3),0,1))</f>
        <v>0</v>
      </c>
      <c r="AM914" s="3">
        <f t="shared" si="259"/>
        <v>1</v>
      </c>
      <c r="AN914" s="3" t="str">
        <f>IF(对接源_01水果!$AC914="","",对接源_01水果!$AC914)</f>
        <v/>
      </c>
      <c r="AO914" s="3">
        <f t="shared" si="260"/>
        <v>0</v>
      </c>
      <c r="AP914" s="3">
        <f t="shared" si="261"/>
        <v>8</v>
      </c>
      <c r="AR914">
        <f t="shared" si="262"/>
        <v>0</v>
      </c>
      <c r="AS914">
        <f t="shared" si="263"/>
        <v>0</v>
      </c>
    </row>
    <row r="915" ht="14.25" customHeight="1" spans="1:45">
      <c r="A915" s="3" t="str">
        <f>IF(对接源_01水果!$C915="","",对接源_01水果!$C915)</f>
        <v/>
      </c>
      <c r="B915" s="3">
        <f t="shared" si="247"/>
        <v>0</v>
      </c>
      <c r="C915" s="3">
        <f t="shared" si="248"/>
        <v>18</v>
      </c>
      <c r="K915" s="3">
        <f>IF(OR($K$1="",对接源_01水果!$C915="",对接源_01水果!$C915&lt;&gt;$K$1,对接源_01水果!$B915=""),0,IF(OR(N(对接源_01水果!$B915)&lt;$K$2,N(对接源_01水果!$B915)&gt;$K$3),0,1))</f>
        <v>0</v>
      </c>
      <c r="L915" s="3">
        <f>IF(OR($L$1="",对接源_01水果!$C915="",对接源_01水果!$C915&lt;&gt;$L$1,对接源_01水果!$B915=""),0,IF(OR(N(对接源_01水果!$B915)&lt;$L$2,N(对接源_01水果!$B915)&gt;$L$3),0,1))</f>
        <v>0</v>
      </c>
      <c r="M915" s="3">
        <f>IF(OR($M$1="",对接源_01水果!$C915="",对接源_01水果!$C915&lt;&gt;$M$1,对接源_01水果!$B915=""),0,IF(OR(N(对接源_01水果!$B915)&lt;$M$2,N(对接源_01水果!$B915)&gt;$M$3),0,1))</f>
        <v>0</v>
      </c>
      <c r="N915" s="3">
        <f>IF(OR($N$1="",对接源_01水果!$C915="",对接源_01水果!$C915&lt;&gt;$N$1,对接源_01水果!$B915=""),0,IF(OR(N(对接源_01水果!$B915)&lt;$N$2,N(对接源_01水果!$B915)&gt;$N$3),0,1))</f>
        <v>0</v>
      </c>
      <c r="P915" s="3">
        <f>IF(AND($K915=1,AND(对接源_01水果!$X915="公司筐",N(对接源_01水果!$T915)&lt;&gt;0)),1,0)</f>
        <v>0</v>
      </c>
      <c r="Q915" s="3">
        <f t="shared" si="249"/>
        <v>0</v>
      </c>
      <c r="R915" s="3">
        <f>IF(AND($K915=1,AND(对接源_01水果!$X915="公司筐",N(对接源_01水果!$U915)&lt;&gt;0)),1,0)</f>
        <v>0</v>
      </c>
      <c r="S915" s="3">
        <f t="shared" si="250"/>
        <v>0</v>
      </c>
      <c r="T915" s="3">
        <f>IF(AND($K915=1,AND(对接源_01水果!$X915="公司筐",N(对接源_01水果!$V915)&lt;&gt;0)),1,0)</f>
        <v>0</v>
      </c>
      <c r="U915" s="3">
        <f t="shared" si="251"/>
        <v>19</v>
      </c>
      <c r="V915" s="3">
        <f>IF(AND($L915=1,AND(对接源_01水果!$X915="自备筐",N(对接源_01水果!$V915)&lt;&gt;0)),1,0)</f>
        <v>0</v>
      </c>
      <c r="W915" s="3">
        <f t="shared" si="252"/>
        <v>8</v>
      </c>
      <c r="X915" s="3">
        <f>IF(AND($L915=1,AND(对接源_01水果!$X915="自备筐",N(对接源_01水果!$T915)&lt;&gt;0)),1,0)</f>
        <v>0</v>
      </c>
      <c r="Y915" s="3">
        <f t="shared" si="253"/>
        <v>0</v>
      </c>
      <c r="Z915" s="3">
        <f>IF(AND($M915=1,对接源_01水果!$D915="原料入库"),1,0)</f>
        <v>0</v>
      </c>
      <c r="AA915" s="3">
        <f t="shared" si="254"/>
        <v>24</v>
      </c>
      <c r="AB915" s="3">
        <f>IF(AND($M915=1,LEFT(对接源_01水果!$D915,4)="原料出库"),1,0)</f>
        <v>0</v>
      </c>
      <c r="AC915" s="3">
        <f t="shared" si="255"/>
        <v>0</v>
      </c>
      <c r="AD915" s="3">
        <f>IF(AND($M915=1,LEFT(对接源_01水果!$D915,4)="成品出库"),1,0)</f>
        <v>0</v>
      </c>
      <c r="AE915" s="3">
        <f t="shared" si="256"/>
        <v>0</v>
      </c>
      <c r="AF915" s="3">
        <f>IF(AND($N915=1,AND(LEFT(对接源_01水果!$D915,4)="包装物料",N(对接源_01水果!$K915)&lt;&gt;0)),1,0)</f>
        <v>0</v>
      </c>
      <c r="AG915" s="3">
        <f t="shared" si="257"/>
        <v>0</v>
      </c>
      <c r="AH915" s="3">
        <f>IF(AND($N915=1,AND(对接源_01水果!$D915="周转筐－销售出库",N(对接源_01水果!$K915)&lt;&gt;0)),1,0)</f>
        <v>0</v>
      </c>
      <c r="AI915" s="3">
        <f t="shared" si="258"/>
        <v>0</v>
      </c>
      <c r="AJ915" s="7"/>
      <c r="AL915" s="3">
        <f>IF(OR($AL$1="",对接源_01水果!$Y915="",对接源_01水果!$Y915&lt;&gt;$AL$1,对接源_01水果!$B915="",N(对接源_01水果!$AJ915)&lt;=0),0,IF(OR(N(对接源_01水果!$B915)&lt;$AL$2,N(对接源_01水果!$B915)&gt;$AL$3),0,1))</f>
        <v>0</v>
      </c>
      <c r="AM915" s="3">
        <f t="shared" si="259"/>
        <v>1</v>
      </c>
      <c r="AN915" s="3" t="str">
        <f>IF(对接源_01水果!$AC915="","",对接源_01水果!$AC915)</f>
        <v/>
      </c>
      <c r="AO915" s="3">
        <f t="shared" si="260"/>
        <v>0</v>
      </c>
      <c r="AP915" s="3">
        <f t="shared" si="261"/>
        <v>8</v>
      </c>
      <c r="AR915">
        <f t="shared" si="262"/>
        <v>0</v>
      </c>
      <c r="AS915">
        <f t="shared" si="263"/>
        <v>0</v>
      </c>
    </row>
    <row r="916" ht="14.25" customHeight="1" spans="1:45">
      <c r="A916" s="3" t="str">
        <f>IF(对接源_01水果!$C916="","",对接源_01水果!$C916)</f>
        <v/>
      </c>
      <c r="B916" s="3">
        <f t="shared" si="247"/>
        <v>0</v>
      </c>
      <c r="C916" s="3">
        <f t="shared" si="248"/>
        <v>18</v>
      </c>
      <c r="K916" s="3">
        <f>IF(OR($K$1="",对接源_01水果!$C916="",对接源_01水果!$C916&lt;&gt;$K$1,对接源_01水果!$B916=""),0,IF(OR(N(对接源_01水果!$B916)&lt;$K$2,N(对接源_01水果!$B916)&gt;$K$3),0,1))</f>
        <v>0</v>
      </c>
      <c r="L916" s="3">
        <f>IF(OR($L$1="",对接源_01水果!$C916="",对接源_01水果!$C916&lt;&gt;$L$1,对接源_01水果!$B916=""),0,IF(OR(N(对接源_01水果!$B916)&lt;$L$2,N(对接源_01水果!$B916)&gt;$L$3),0,1))</f>
        <v>0</v>
      </c>
      <c r="M916" s="3">
        <f>IF(OR($M$1="",对接源_01水果!$C916="",对接源_01水果!$C916&lt;&gt;$M$1,对接源_01水果!$B916=""),0,IF(OR(N(对接源_01水果!$B916)&lt;$M$2,N(对接源_01水果!$B916)&gt;$M$3),0,1))</f>
        <v>0</v>
      </c>
      <c r="N916" s="3">
        <f>IF(OR($N$1="",对接源_01水果!$C916="",对接源_01水果!$C916&lt;&gt;$N$1,对接源_01水果!$B916=""),0,IF(OR(N(对接源_01水果!$B916)&lt;$N$2,N(对接源_01水果!$B916)&gt;$N$3),0,1))</f>
        <v>0</v>
      </c>
      <c r="P916" s="3">
        <f>IF(AND($K916=1,AND(对接源_01水果!$X916="公司筐",N(对接源_01水果!$T916)&lt;&gt;0)),1,0)</f>
        <v>0</v>
      </c>
      <c r="Q916" s="3">
        <f t="shared" si="249"/>
        <v>0</v>
      </c>
      <c r="R916" s="3">
        <f>IF(AND($K916=1,AND(对接源_01水果!$X916="公司筐",N(对接源_01水果!$U916)&lt;&gt;0)),1,0)</f>
        <v>0</v>
      </c>
      <c r="S916" s="3">
        <f t="shared" si="250"/>
        <v>0</v>
      </c>
      <c r="T916" s="3">
        <f>IF(AND($K916=1,AND(对接源_01水果!$X916="公司筐",N(对接源_01水果!$V916)&lt;&gt;0)),1,0)</f>
        <v>0</v>
      </c>
      <c r="U916" s="3">
        <f t="shared" si="251"/>
        <v>19</v>
      </c>
      <c r="V916" s="3">
        <f>IF(AND($L916=1,AND(对接源_01水果!$X916="自备筐",N(对接源_01水果!$V916)&lt;&gt;0)),1,0)</f>
        <v>0</v>
      </c>
      <c r="W916" s="3">
        <f t="shared" si="252"/>
        <v>8</v>
      </c>
      <c r="X916" s="3">
        <f>IF(AND($L916=1,AND(对接源_01水果!$X916="自备筐",N(对接源_01水果!$T916)&lt;&gt;0)),1,0)</f>
        <v>0</v>
      </c>
      <c r="Y916" s="3">
        <f t="shared" si="253"/>
        <v>0</v>
      </c>
      <c r="Z916" s="3">
        <f>IF(AND($M916=1,对接源_01水果!$D916="原料入库"),1,0)</f>
        <v>0</v>
      </c>
      <c r="AA916" s="3">
        <f t="shared" si="254"/>
        <v>24</v>
      </c>
      <c r="AB916" s="3">
        <f>IF(AND($M916=1,LEFT(对接源_01水果!$D916,4)="原料出库"),1,0)</f>
        <v>0</v>
      </c>
      <c r="AC916" s="3">
        <f t="shared" si="255"/>
        <v>0</v>
      </c>
      <c r="AD916" s="3">
        <f>IF(AND($M916=1,LEFT(对接源_01水果!$D916,4)="成品出库"),1,0)</f>
        <v>0</v>
      </c>
      <c r="AE916" s="3">
        <f t="shared" si="256"/>
        <v>0</v>
      </c>
      <c r="AF916" s="3">
        <f>IF(AND($N916=1,AND(LEFT(对接源_01水果!$D916,4)="包装物料",N(对接源_01水果!$K916)&lt;&gt;0)),1,0)</f>
        <v>0</v>
      </c>
      <c r="AG916" s="3">
        <f t="shared" si="257"/>
        <v>0</v>
      </c>
      <c r="AH916" s="3">
        <f>IF(AND($N916=1,AND(对接源_01水果!$D916="周转筐－销售出库",N(对接源_01水果!$K916)&lt;&gt;0)),1,0)</f>
        <v>0</v>
      </c>
      <c r="AI916" s="3">
        <f t="shared" si="258"/>
        <v>0</v>
      </c>
      <c r="AJ916" s="7"/>
      <c r="AL916" s="3">
        <f>IF(OR($AL$1="",对接源_01水果!$Y916="",对接源_01水果!$Y916&lt;&gt;$AL$1,对接源_01水果!$B916="",N(对接源_01水果!$AJ916)&lt;=0),0,IF(OR(N(对接源_01水果!$B916)&lt;$AL$2,N(对接源_01水果!$B916)&gt;$AL$3),0,1))</f>
        <v>0</v>
      </c>
      <c r="AM916" s="3">
        <f t="shared" si="259"/>
        <v>1</v>
      </c>
      <c r="AN916" s="3" t="str">
        <f>IF(对接源_01水果!$AC916="","",对接源_01水果!$AC916)</f>
        <v/>
      </c>
      <c r="AO916" s="3">
        <f t="shared" si="260"/>
        <v>0</v>
      </c>
      <c r="AP916" s="3">
        <f t="shared" si="261"/>
        <v>8</v>
      </c>
      <c r="AR916">
        <f t="shared" si="262"/>
        <v>0</v>
      </c>
      <c r="AS916">
        <f t="shared" si="263"/>
        <v>0</v>
      </c>
    </row>
    <row r="917" ht="14.25" customHeight="1" spans="1:45">
      <c r="A917" s="3" t="str">
        <f>IF(对接源_01水果!$C917="","",对接源_01水果!$C917)</f>
        <v/>
      </c>
      <c r="B917" s="3">
        <f t="shared" si="247"/>
        <v>0</v>
      </c>
      <c r="C917" s="3">
        <f t="shared" si="248"/>
        <v>18</v>
      </c>
      <c r="K917" s="3">
        <f>IF(OR($K$1="",对接源_01水果!$C917="",对接源_01水果!$C917&lt;&gt;$K$1,对接源_01水果!$B917=""),0,IF(OR(N(对接源_01水果!$B917)&lt;$K$2,N(对接源_01水果!$B917)&gt;$K$3),0,1))</f>
        <v>0</v>
      </c>
      <c r="L917" s="3">
        <f>IF(OR($L$1="",对接源_01水果!$C917="",对接源_01水果!$C917&lt;&gt;$L$1,对接源_01水果!$B917=""),0,IF(OR(N(对接源_01水果!$B917)&lt;$L$2,N(对接源_01水果!$B917)&gt;$L$3),0,1))</f>
        <v>0</v>
      </c>
      <c r="M917" s="3">
        <f>IF(OR($M$1="",对接源_01水果!$C917="",对接源_01水果!$C917&lt;&gt;$M$1,对接源_01水果!$B917=""),0,IF(OR(N(对接源_01水果!$B917)&lt;$M$2,N(对接源_01水果!$B917)&gt;$M$3),0,1))</f>
        <v>0</v>
      </c>
      <c r="N917" s="3">
        <f>IF(OR($N$1="",对接源_01水果!$C917="",对接源_01水果!$C917&lt;&gt;$N$1,对接源_01水果!$B917=""),0,IF(OR(N(对接源_01水果!$B917)&lt;$N$2,N(对接源_01水果!$B917)&gt;$N$3),0,1))</f>
        <v>0</v>
      </c>
      <c r="P917" s="3">
        <f>IF(AND($K917=1,AND(对接源_01水果!$X917="公司筐",N(对接源_01水果!$T917)&lt;&gt;0)),1,0)</f>
        <v>0</v>
      </c>
      <c r="Q917" s="3">
        <f t="shared" si="249"/>
        <v>0</v>
      </c>
      <c r="R917" s="3">
        <f>IF(AND($K917=1,AND(对接源_01水果!$X917="公司筐",N(对接源_01水果!$U917)&lt;&gt;0)),1,0)</f>
        <v>0</v>
      </c>
      <c r="S917" s="3">
        <f t="shared" si="250"/>
        <v>0</v>
      </c>
      <c r="T917" s="3">
        <f>IF(AND($K917=1,AND(对接源_01水果!$X917="公司筐",N(对接源_01水果!$V917)&lt;&gt;0)),1,0)</f>
        <v>0</v>
      </c>
      <c r="U917" s="3">
        <f t="shared" si="251"/>
        <v>19</v>
      </c>
      <c r="V917" s="3">
        <f>IF(AND($L917=1,AND(对接源_01水果!$X917="自备筐",N(对接源_01水果!$V917)&lt;&gt;0)),1,0)</f>
        <v>0</v>
      </c>
      <c r="W917" s="3">
        <f t="shared" si="252"/>
        <v>8</v>
      </c>
      <c r="X917" s="3">
        <f>IF(AND($L917=1,AND(对接源_01水果!$X917="自备筐",N(对接源_01水果!$T917)&lt;&gt;0)),1,0)</f>
        <v>0</v>
      </c>
      <c r="Y917" s="3">
        <f t="shared" si="253"/>
        <v>0</v>
      </c>
      <c r="Z917" s="3">
        <f>IF(AND($M917=1,对接源_01水果!$D917="原料入库"),1,0)</f>
        <v>0</v>
      </c>
      <c r="AA917" s="3">
        <f t="shared" si="254"/>
        <v>24</v>
      </c>
      <c r="AB917" s="3">
        <f>IF(AND($M917=1,LEFT(对接源_01水果!$D917,4)="原料出库"),1,0)</f>
        <v>0</v>
      </c>
      <c r="AC917" s="3">
        <f t="shared" si="255"/>
        <v>0</v>
      </c>
      <c r="AD917" s="3">
        <f>IF(AND($M917=1,LEFT(对接源_01水果!$D917,4)="成品出库"),1,0)</f>
        <v>0</v>
      </c>
      <c r="AE917" s="3">
        <f t="shared" si="256"/>
        <v>0</v>
      </c>
      <c r="AF917" s="3">
        <f>IF(AND($N917=1,AND(LEFT(对接源_01水果!$D917,4)="包装物料",N(对接源_01水果!$K917)&lt;&gt;0)),1,0)</f>
        <v>0</v>
      </c>
      <c r="AG917" s="3">
        <f t="shared" si="257"/>
        <v>0</v>
      </c>
      <c r="AH917" s="3">
        <f>IF(AND($N917=1,AND(对接源_01水果!$D917="周转筐－销售出库",N(对接源_01水果!$K917)&lt;&gt;0)),1,0)</f>
        <v>0</v>
      </c>
      <c r="AI917" s="3">
        <f t="shared" si="258"/>
        <v>0</v>
      </c>
      <c r="AJ917" s="7"/>
      <c r="AL917" s="3">
        <f>IF(OR($AL$1="",对接源_01水果!$Y917="",对接源_01水果!$Y917&lt;&gt;$AL$1,对接源_01水果!$B917="",N(对接源_01水果!$AJ917)&lt;=0),0,IF(OR(N(对接源_01水果!$B917)&lt;$AL$2,N(对接源_01水果!$B917)&gt;$AL$3),0,1))</f>
        <v>0</v>
      </c>
      <c r="AM917" s="3">
        <f t="shared" si="259"/>
        <v>1</v>
      </c>
      <c r="AN917" s="3" t="str">
        <f>IF(对接源_01水果!$AC917="","",对接源_01水果!$AC917)</f>
        <v/>
      </c>
      <c r="AO917" s="3">
        <f t="shared" si="260"/>
        <v>0</v>
      </c>
      <c r="AP917" s="3">
        <f t="shared" si="261"/>
        <v>8</v>
      </c>
      <c r="AR917">
        <f t="shared" si="262"/>
        <v>0</v>
      </c>
      <c r="AS917">
        <f t="shared" si="263"/>
        <v>0</v>
      </c>
    </row>
    <row r="918" ht="14.25" customHeight="1" spans="1:45">
      <c r="A918" s="3" t="str">
        <f>IF(对接源_01水果!$C918="","",对接源_01水果!$C918)</f>
        <v/>
      </c>
      <c r="B918" s="3">
        <f t="shared" si="247"/>
        <v>0</v>
      </c>
      <c r="C918" s="3">
        <f t="shared" si="248"/>
        <v>18</v>
      </c>
      <c r="K918" s="3">
        <f>IF(OR($K$1="",对接源_01水果!$C918="",对接源_01水果!$C918&lt;&gt;$K$1,对接源_01水果!$B918=""),0,IF(OR(N(对接源_01水果!$B918)&lt;$K$2,N(对接源_01水果!$B918)&gt;$K$3),0,1))</f>
        <v>0</v>
      </c>
      <c r="L918" s="3">
        <f>IF(OR($L$1="",对接源_01水果!$C918="",对接源_01水果!$C918&lt;&gt;$L$1,对接源_01水果!$B918=""),0,IF(OR(N(对接源_01水果!$B918)&lt;$L$2,N(对接源_01水果!$B918)&gt;$L$3),0,1))</f>
        <v>0</v>
      </c>
      <c r="M918" s="3">
        <f>IF(OR($M$1="",对接源_01水果!$C918="",对接源_01水果!$C918&lt;&gt;$M$1,对接源_01水果!$B918=""),0,IF(OR(N(对接源_01水果!$B918)&lt;$M$2,N(对接源_01水果!$B918)&gt;$M$3),0,1))</f>
        <v>0</v>
      </c>
      <c r="N918" s="3">
        <f>IF(OR($N$1="",对接源_01水果!$C918="",对接源_01水果!$C918&lt;&gt;$N$1,对接源_01水果!$B918=""),0,IF(OR(N(对接源_01水果!$B918)&lt;$N$2,N(对接源_01水果!$B918)&gt;$N$3),0,1))</f>
        <v>0</v>
      </c>
      <c r="P918" s="3">
        <f>IF(AND($K918=1,AND(对接源_01水果!$X918="公司筐",N(对接源_01水果!$T918)&lt;&gt;0)),1,0)</f>
        <v>0</v>
      </c>
      <c r="Q918" s="3">
        <f t="shared" si="249"/>
        <v>0</v>
      </c>
      <c r="R918" s="3">
        <f>IF(AND($K918=1,AND(对接源_01水果!$X918="公司筐",N(对接源_01水果!$U918)&lt;&gt;0)),1,0)</f>
        <v>0</v>
      </c>
      <c r="S918" s="3">
        <f t="shared" si="250"/>
        <v>0</v>
      </c>
      <c r="T918" s="3">
        <f>IF(AND($K918=1,AND(对接源_01水果!$X918="公司筐",N(对接源_01水果!$V918)&lt;&gt;0)),1,0)</f>
        <v>0</v>
      </c>
      <c r="U918" s="3">
        <f t="shared" si="251"/>
        <v>19</v>
      </c>
      <c r="V918" s="3">
        <f>IF(AND($L918=1,AND(对接源_01水果!$X918="自备筐",N(对接源_01水果!$V918)&lt;&gt;0)),1,0)</f>
        <v>0</v>
      </c>
      <c r="W918" s="3">
        <f t="shared" si="252"/>
        <v>8</v>
      </c>
      <c r="X918" s="3">
        <f>IF(AND($L918=1,AND(对接源_01水果!$X918="自备筐",N(对接源_01水果!$T918)&lt;&gt;0)),1,0)</f>
        <v>0</v>
      </c>
      <c r="Y918" s="3">
        <f t="shared" si="253"/>
        <v>0</v>
      </c>
      <c r="Z918" s="3">
        <f>IF(AND($M918=1,对接源_01水果!$D918="原料入库"),1,0)</f>
        <v>0</v>
      </c>
      <c r="AA918" s="3">
        <f t="shared" si="254"/>
        <v>24</v>
      </c>
      <c r="AB918" s="3">
        <f>IF(AND($M918=1,LEFT(对接源_01水果!$D918,4)="原料出库"),1,0)</f>
        <v>0</v>
      </c>
      <c r="AC918" s="3">
        <f t="shared" si="255"/>
        <v>0</v>
      </c>
      <c r="AD918" s="3">
        <f>IF(AND($M918=1,LEFT(对接源_01水果!$D918,4)="成品出库"),1,0)</f>
        <v>0</v>
      </c>
      <c r="AE918" s="3">
        <f t="shared" si="256"/>
        <v>0</v>
      </c>
      <c r="AF918" s="3">
        <f>IF(AND($N918=1,AND(LEFT(对接源_01水果!$D918,4)="包装物料",N(对接源_01水果!$K918)&lt;&gt;0)),1,0)</f>
        <v>0</v>
      </c>
      <c r="AG918" s="3">
        <f t="shared" si="257"/>
        <v>0</v>
      </c>
      <c r="AH918" s="3">
        <f>IF(AND($N918=1,AND(对接源_01水果!$D918="周转筐－销售出库",N(对接源_01水果!$K918)&lt;&gt;0)),1,0)</f>
        <v>0</v>
      </c>
      <c r="AI918" s="3">
        <f t="shared" si="258"/>
        <v>0</v>
      </c>
      <c r="AJ918" s="7"/>
      <c r="AL918" s="3">
        <f>IF(OR($AL$1="",对接源_01水果!$Y918="",对接源_01水果!$Y918&lt;&gt;$AL$1,对接源_01水果!$B918="",N(对接源_01水果!$AJ918)&lt;=0),0,IF(OR(N(对接源_01水果!$B918)&lt;$AL$2,N(对接源_01水果!$B918)&gt;$AL$3),0,1))</f>
        <v>0</v>
      </c>
      <c r="AM918" s="3">
        <f t="shared" si="259"/>
        <v>1</v>
      </c>
      <c r="AN918" s="3" t="str">
        <f>IF(对接源_01水果!$AC918="","",对接源_01水果!$AC918)</f>
        <v/>
      </c>
      <c r="AO918" s="3">
        <f t="shared" si="260"/>
        <v>0</v>
      </c>
      <c r="AP918" s="3">
        <f t="shared" si="261"/>
        <v>8</v>
      </c>
      <c r="AR918">
        <f t="shared" si="262"/>
        <v>0</v>
      </c>
      <c r="AS918">
        <f t="shared" si="263"/>
        <v>0</v>
      </c>
    </row>
    <row r="919" ht="14.25" customHeight="1" spans="1:45">
      <c r="A919" s="3" t="str">
        <f>IF(对接源_01水果!$C919="","",对接源_01水果!$C919)</f>
        <v/>
      </c>
      <c r="B919" s="3">
        <f t="shared" si="247"/>
        <v>0</v>
      </c>
      <c r="C919" s="3">
        <f t="shared" si="248"/>
        <v>18</v>
      </c>
      <c r="K919" s="3">
        <f>IF(OR($K$1="",对接源_01水果!$C919="",对接源_01水果!$C919&lt;&gt;$K$1,对接源_01水果!$B919=""),0,IF(OR(N(对接源_01水果!$B919)&lt;$K$2,N(对接源_01水果!$B919)&gt;$K$3),0,1))</f>
        <v>0</v>
      </c>
      <c r="L919" s="3">
        <f>IF(OR($L$1="",对接源_01水果!$C919="",对接源_01水果!$C919&lt;&gt;$L$1,对接源_01水果!$B919=""),0,IF(OR(N(对接源_01水果!$B919)&lt;$L$2,N(对接源_01水果!$B919)&gt;$L$3),0,1))</f>
        <v>0</v>
      </c>
      <c r="M919" s="3">
        <f>IF(OR($M$1="",对接源_01水果!$C919="",对接源_01水果!$C919&lt;&gt;$M$1,对接源_01水果!$B919=""),0,IF(OR(N(对接源_01水果!$B919)&lt;$M$2,N(对接源_01水果!$B919)&gt;$M$3),0,1))</f>
        <v>0</v>
      </c>
      <c r="N919" s="3">
        <f>IF(OR($N$1="",对接源_01水果!$C919="",对接源_01水果!$C919&lt;&gt;$N$1,对接源_01水果!$B919=""),0,IF(OR(N(对接源_01水果!$B919)&lt;$N$2,N(对接源_01水果!$B919)&gt;$N$3),0,1))</f>
        <v>0</v>
      </c>
      <c r="P919" s="3">
        <f>IF(AND($K919=1,AND(对接源_01水果!$X919="公司筐",N(对接源_01水果!$T919)&lt;&gt;0)),1,0)</f>
        <v>0</v>
      </c>
      <c r="Q919" s="3">
        <f t="shared" si="249"/>
        <v>0</v>
      </c>
      <c r="R919" s="3">
        <f>IF(AND($K919=1,AND(对接源_01水果!$X919="公司筐",N(对接源_01水果!$U919)&lt;&gt;0)),1,0)</f>
        <v>0</v>
      </c>
      <c r="S919" s="3">
        <f t="shared" si="250"/>
        <v>0</v>
      </c>
      <c r="T919" s="3">
        <f>IF(AND($K919=1,AND(对接源_01水果!$X919="公司筐",N(对接源_01水果!$V919)&lt;&gt;0)),1,0)</f>
        <v>0</v>
      </c>
      <c r="U919" s="3">
        <f t="shared" si="251"/>
        <v>19</v>
      </c>
      <c r="V919" s="3">
        <f>IF(AND($L919=1,AND(对接源_01水果!$X919="自备筐",N(对接源_01水果!$V919)&lt;&gt;0)),1,0)</f>
        <v>0</v>
      </c>
      <c r="W919" s="3">
        <f t="shared" si="252"/>
        <v>8</v>
      </c>
      <c r="X919" s="3">
        <f>IF(AND($L919=1,AND(对接源_01水果!$X919="自备筐",N(对接源_01水果!$T919)&lt;&gt;0)),1,0)</f>
        <v>0</v>
      </c>
      <c r="Y919" s="3">
        <f t="shared" si="253"/>
        <v>0</v>
      </c>
      <c r="Z919" s="3">
        <f>IF(AND($M919=1,对接源_01水果!$D919="原料入库"),1,0)</f>
        <v>0</v>
      </c>
      <c r="AA919" s="3">
        <f t="shared" si="254"/>
        <v>24</v>
      </c>
      <c r="AB919" s="3">
        <f>IF(AND($M919=1,LEFT(对接源_01水果!$D919,4)="原料出库"),1,0)</f>
        <v>0</v>
      </c>
      <c r="AC919" s="3">
        <f t="shared" si="255"/>
        <v>0</v>
      </c>
      <c r="AD919" s="3">
        <f>IF(AND($M919=1,LEFT(对接源_01水果!$D919,4)="成品出库"),1,0)</f>
        <v>0</v>
      </c>
      <c r="AE919" s="3">
        <f t="shared" si="256"/>
        <v>0</v>
      </c>
      <c r="AF919" s="3">
        <f>IF(AND($N919=1,AND(LEFT(对接源_01水果!$D919,4)="包装物料",N(对接源_01水果!$K919)&lt;&gt;0)),1,0)</f>
        <v>0</v>
      </c>
      <c r="AG919" s="3">
        <f t="shared" si="257"/>
        <v>0</v>
      </c>
      <c r="AH919" s="3">
        <f>IF(AND($N919=1,AND(对接源_01水果!$D919="周转筐－销售出库",N(对接源_01水果!$K919)&lt;&gt;0)),1,0)</f>
        <v>0</v>
      </c>
      <c r="AI919" s="3">
        <f t="shared" si="258"/>
        <v>0</v>
      </c>
      <c r="AJ919" s="7"/>
      <c r="AL919" s="3">
        <f>IF(OR($AL$1="",对接源_01水果!$Y919="",对接源_01水果!$Y919&lt;&gt;$AL$1,对接源_01水果!$B919="",N(对接源_01水果!$AJ919)&lt;=0),0,IF(OR(N(对接源_01水果!$B919)&lt;$AL$2,N(对接源_01水果!$B919)&gt;$AL$3),0,1))</f>
        <v>0</v>
      </c>
      <c r="AM919" s="3">
        <f t="shared" si="259"/>
        <v>1</v>
      </c>
      <c r="AN919" s="3" t="str">
        <f>IF(对接源_01水果!$AC919="","",对接源_01水果!$AC919)</f>
        <v/>
      </c>
      <c r="AO919" s="3">
        <f t="shared" si="260"/>
        <v>0</v>
      </c>
      <c r="AP919" s="3">
        <f t="shared" si="261"/>
        <v>8</v>
      </c>
      <c r="AR919">
        <f t="shared" si="262"/>
        <v>0</v>
      </c>
      <c r="AS919">
        <f t="shared" si="263"/>
        <v>0</v>
      </c>
    </row>
    <row r="920" ht="14.25" customHeight="1" spans="1:45">
      <c r="A920" s="3" t="str">
        <f>IF(对接源_01水果!$C920="","",对接源_01水果!$C920)</f>
        <v/>
      </c>
      <c r="B920" s="3">
        <f t="shared" si="247"/>
        <v>0</v>
      </c>
      <c r="C920" s="3">
        <f t="shared" si="248"/>
        <v>18</v>
      </c>
      <c r="K920" s="3">
        <f>IF(OR($K$1="",对接源_01水果!$C920="",对接源_01水果!$C920&lt;&gt;$K$1,对接源_01水果!$B920=""),0,IF(OR(N(对接源_01水果!$B920)&lt;$K$2,N(对接源_01水果!$B920)&gt;$K$3),0,1))</f>
        <v>0</v>
      </c>
      <c r="L920" s="3">
        <f>IF(OR($L$1="",对接源_01水果!$C920="",对接源_01水果!$C920&lt;&gt;$L$1,对接源_01水果!$B920=""),0,IF(OR(N(对接源_01水果!$B920)&lt;$L$2,N(对接源_01水果!$B920)&gt;$L$3),0,1))</f>
        <v>0</v>
      </c>
      <c r="M920" s="3">
        <f>IF(OR($M$1="",对接源_01水果!$C920="",对接源_01水果!$C920&lt;&gt;$M$1,对接源_01水果!$B920=""),0,IF(OR(N(对接源_01水果!$B920)&lt;$M$2,N(对接源_01水果!$B920)&gt;$M$3),0,1))</f>
        <v>0</v>
      </c>
      <c r="N920" s="3">
        <f>IF(OR($N$1="",对接源_01水果!$C920="",对接源_01水果!$C920&lt;&gt;$N$1,对接源_01水果!$B920=""),0,IF(OR(N(对接源_01水果!$B920)&lt;$N$2,N(对接源_01水果!$B920)&gt;$N$3),0,1))</f>
        <v>0</v>
      </c>
      <c r="P920" s="3">
        <f>IF(AND($K920=1,AND(对接源_01水果!$X920="公司筐",N(对接源_01水果!$T920)&lt;&gt;0)),1,0)</f>
        <v>0</v>
      </c>
      <c r="Q920" s="3">
        <f t="shared" si="249"/>
        <v>0</v>
      </c>
      <c r="R920" s="3">
        <f>IF(AND($K920=1,AND(对接源_01水果!$X920="公司筐",N(对接源_01水果!$U920)&lt;&gt;0)),1,0)</f>
        <v>0</v>
      </c>
      <c r="S920" s="3">
        <f t="shared" si="250"/>
        <v>0</v>
      </c>
      <c r="T920" s="3">
        <f>IF(AND($K920=1,AND(对接源_01水果!$X920="公司筐",N(对接源_01水果!$V920)&lt;&gt;0)),1,0)</f>
        <v>0</v>
      </c>
      <c r="U920" s="3">
        <f t="shared" si="251"/>
        <v>19</v>
      </c>
      <c r="V920" s="3">
        <f>IF(AND($L920=1,AND(对接源_01水果!$X920="自备筐",N(对接源_01水果!$V920)&lt;&gt;0)),1,0)</f>
        <v>0</v>
      </c>
      <c r="W920" s="3">
        <f t="shared" si="252"/>
        <v>8</v>
      </c>
      <c r="X920" s="3">
        <f>IF(AND($L920=1,AND(对接源_01水果!$X920="自备筐",N(对接源_01水果!$T920)&lt;&gt;0)),1,0)</f>
        <v>0</v>
      </c>
      <c r="Y920" s="3">
        <f t="shared" si="253"/>
        <v>0</v>
      </c>
      <c r="Z920" s="3">
        <f>IF(AND($M920=1,对接源_01水果!$D920="原料入库"),1,0)</f>
        <v>0</v>
      </c>
      <c r="AA920" s="3">
        <f t="shared" si="254"/>
        <v>24</v>
      </c>
      <c r="AB920" s="3">
        <f>IF(AND($M920=1,LEFT(对接源_01水果!$D920,4)="原料出库"),1,0)</f>
        <v>0</v>
      </c>
      <c r="AC920" s="3">
        <f t="shared" si="255"/>
        <v>0</v>
      </c>
      <c r="AD920" s="3">
        <f>IF(AND($M920=1,LEFT(对接源_01水果!$D920,4)="成品出库"),1,0)</f>
        <v>0</v>
      </c>
      <c r="AE920" s="3">
        <f t="shared" si="256"/>
        <v>0</v>
      </c>
      <c r="AF920" s="3">
        <f>IF(AND($N920=1,AND(LEFT(对接源_01水果!$D920,4)="包装物料",N(对接源_01水果!$K920)&lt;&gt;0)),1,0)</f>
        <v>0</v>
      </c>
      <c r="AG920" s="3">
        <f t="shared" si="257"/>
        <v>0</v>
      </c>
      <c r="AH920" s="3">
        <f>IF(AND($N920=1,AND(对接源_01水果!$D920="周转筐－销售出库",N(对接源_01水果!$K920)&lt;&gt;0)),1,0)</f>
        <v>0</v>
      </c>
      <c r="AI920" s="3">
        <f t="shared" si="258"/>
        <v>0</v>
      </c>
      <c r="AJ920" s="7"/>
      <c r="AL920" s="3">
        <f>IF(OR($AL$1="",对接源_01水果!$Y920="",对接源_01水果!$Y920&lt;&gt;$AL$1,对接源_01水果!$B920="",N(对接源_01水果!$AJ920)&lt;=0),0,IF(OR(N(对接源_01水果!$B920)&lt;$AL$2,N(对接源_01水果!$B920)&gt;$AL$3),0,1))</f>
        <v>0</v>
      </c>
      <c r="AM920" s="3">
        <f t="shared" si="259"/>
        <v>1</v>
      </c>
      <c r="AN920" s="3" t="str">
        <f>IF(对接源_01水果!$AC920="","",对接源_01水果!$AC920)</f>
        <v/>
      </c>
      <c r="AO920" s="3">
        <f t="shared" si="260"/>
        <v>0</v>
      </c>
      <c r="AP920" s="3">
        <f t="shared" si="261"/>
        <v>8</v>
      </c>
      <c r="AR920">
        <f t="shared" si="262"/>
        <v>0</v>
      </c>
      <c r="AS920">
        <f t="shared" si="263"/>
        <v>0</v>
      </c>
    </row>
    <row r="921" ht="14.25" customHeight="1" spans="1:45">
      <c r="A921" s="3" t="str">
        <f>IF(对接源_01水果!$C921="","",对接源_01水果!$C921)</f>
        <v/>
      </c>
      <c r="B921" s="3">
        <f t="shared" si="247"/>
        <v>0</v>
      </c>
      <c r="C921" s="3">
        <f t="shared" si="248"/>
        <v>18</v>
      </c>
      <c r="K921" s="3">
        <f>IF(OR($K$1="",对接源_01水果!$C921="",对接源_01水果!$C921&lt;&gt;$K$1,对接源_01水果!$B921=""),0,IF(OR(N(对接源_01水果!$B921)&lt;$K$2,N(对接源_01水果!$B921)&gt;$K$3),0,1))</f>
        <v>0</v>
      </c>
      <c r="L921" s="3">
        <f>IF(OR($L$1="",对接源_01水果!$C921="",对接源_01水果!$C921&lt;&gt;$L$1,对接源_01水果!$B921=""),0,IF(OR(N(对接源_01水果!$B921)&lt;$L$2,N(对接源_01水果!$B921)&gt;$L$3),0,1))</f>
        <v>0</v>
      </c>
      <c r="M921" s="3">
        <f>IF(OR($M$1="",对接源_01水果!$C921="",对接源_01水果!$C921&lt;&gt;$M$1,对接源_01水果!$B921=""),0,IF(OR(N(对接源_01水果!$B921)&lt;$M$2,N(对接源_01水果!$B921)&gt;$M$3),0,1))</f>
        <v>0</v>
      </c>
      <c r="N921" s="3">
        <f>IF(OR($N$1="",对接源_01水果!$C921="",对接源_01水果!$C921&lt;&gt;$N$1,对接源_01水果!$B921=""),0,IF(OR(N(对接源_01水果!$B921)&lt;$N$2,N(对接源_01水果!$B921)&gt;$N$3),0,1))</f>
        <v>0</v>
      </c>
      <c r="P921" s="3">
        <f>IF(AND($K921=1,AND(对接源_01水果!$X921="公司筐",N(对接源_01水果!$T921)&lt;&gt;0)),1,0)</f>
        <v>0</v>
      </c>
      <c r="Q921" s="3">
        <f t="shared" si="249"/>
        <v>0</v>
      </c>
      <c r="R921" s="3">
        <f>IF(AND($K921=1,AND(对接源_01水果!$X921="公司筐",N(对接源_01水果!$U921)&lt;&gt;0)),1,0)</f>
        <v>0</v>
      </c>
      <c r="S921" s="3">
        <f t="shared" si="250"/>
        <v>0</v>
      </c>
      <c r="T921" s="3">
        <f>IF(AND($K921=1,AND(对接源_01水果!$X921="公司筐",N(对接源_01水果!$V921)&lt;&gt;0)),1,0)</f>
        <v>0</v>
      </c>
      <c r="U921" s="3">
        <f t="shared" si="251"/>
        <v>19</v>
      </c>
      <c r="V921" s="3">
        <f>IF(AND($L921=1,AND(对接源_01水果!$X921="自备筐",N(对接源_01水果!$V921)&lt;&gt;0)),1,0)</f>
        <v>0</v>
      </c>
      <c r="W921" s="3">
        <f t="shared" si="252"/>
        <v>8</v>
      </c>
      <c r="X921" s="3">
        <f>IF(AND($L921=1,AND(对接源_01水果!$X921="自备筐",N(对接源_01水果!$T921)&lt;&gt;0)),1,0)</f>
        <v>0</v>
      </c>
      <c r="Y921" s="3">
        <f t="shared" si="253"/>
        <v>0</v>
      </c>
      <c r="Z921" s="3">
        <f>IF(AND($M921=1,对接源_01水果!$D921="原料入库"),1,0)</f>
        <v>0</v>
      </c>
      <c r="AA921" s="3">
        <f t="shared" si="254"/>
        <v>24</v>
      </c>
      <c r="AB921" s="3">
        <f>IF(AND($M921=1,LEFT(对接源_01水果!$D921,4)="原料出库"),1,0)</f>
        <v>0</v>
      </c>
      <c r="AC921" s="3">
        <f t="shared" si="255"/>
        <v>0</v>
      </c>
      <c r="AD921" s="3">
        <f>IF(AND($M921=1,LEFT(对接源_01水果!$D921,4)="成品出库"),1,0)</f>
        <v>0</v>
      </c>
      <c r="AE921" s="3">
        <f t="shared" si="256"/>
        <v>0</v>
      </c>
      <c r="AF921" s="3">
        <f>IF(AND($N921=1,AND(LEFT(对接源_01水果!$D921,4)="包装物料",N(对接源_01水果!$K921)&lt;&gt;0)),1,0)</f>
        <v>0</v>
      </c>
      <c r="AG921" s="3">
        <f t="shared" si="257"/>
        <v>0</v>
      </c>
      <c r="AH921" s="3">
        <f>IF(AND($N921=1,AND(对接源_01水果!$D921="周转筐－销售出库",N(对接源_01水果!$K921)&lt;&gt;0)),1,0)</f>
        <v>0</v>
      </c>
      <c r="AI921" s="3">
        <f t="shared" si="258"/>
        <v>0</v>
      </c>
      <c r="AJ921" s="7"/>
      <c r="AL921" s="3">
        <f>IF(OR($AL$1="",对接源_01水果!$Y921="",对接源_01水果!$Y921&lt;&gt;$AL$1,对接源_01水果!$B921="",N(对接源_01水果!$AJ921)&lt;=0),0,IF(OR(N(对接源_01水果!$B921)&lt;$AL$2,N(对接源_01水果!$B921)&gt;$AL$3),0,1))</f>
        <v>0</v>
      </c>
      <c r="AM921" s="3">
        <f t="shared" si="259"/>
        <v>1</v>
      </c>
      <c r="AN921" s="3" t="str">
        <f>IF(对接源_01水果!$AC921="","",对接源_01水果!$AC921)</f>
        <v/>
      </c>
      <c r="AO921" s="3">
        <f t="shared" si="260"/>
        <v>0</v>
      </c>
      <c r="AP921" s="3">
        <f t="shared" si="261"/>
        <v>8</v>
      </c>
      <c r="AR921">
        <f t="shared" si="262"/>
        <v>0</v>
      </c>
      <c r="AS921">
        <f t="shared" si="263"/>
        <v>0</v>
      </c>
    </row>
    <row r="922" ht="14.25" customHeight="1" spans="1:45">
      <c r="A922" s="3" t="str">
        <f>IF(对接源_01水果!$C922="","",对接源_01水果!$C922)</f>
        <v/>
      </c>
      <c r="B922" s="3">
        <f t="shared" si="247"/>
        <v>0</v>
      </c>
      <c r="C922" s="3">
        <f t="shared" si="248"/>
        <v>18</v>
      </c>
      <c r="K922" s="3">
        <f>IF(OR($K$1="",对接源_01水果!$C922="",对接源_01水果!$C922&lt;&gt;$K$1,对接源_01水果!$B922=""),0,IF(OR(N(对接源_01水果!$B922)&lt;$K$2,N(对接源_01水果!$B922)&gt;$K$3),0,1))</f>
        <v>0</v>
      </c>
      <c r="L922" s="3">
        <f>IF(OR($L$1="",对接源_01水果!$C922="",对接源_01水果!$C922&lt;&gt;$L$1,对接源_01水果!$B922=""),0,IF(OR(N(对接源_01水果!$B922)&lt;$L$2,N(对接源_01水果!$B922)&gt;$L$3),0,1))</f>
        <v>0</v>
      </c>
      <c r="M922" s="3">
        <f>IF(OR($M$1="",对接源_01水果!$C922="",对接源_01水果!$C922&lt;&gt;$M$1,对接源_01水果!$B922=""),0,IF(OR(N(对接源_01水果!$B922)&lt;$M$2,N(对接源_01水果!$B922)&gt;$M$3),0,1))</f>
        <v>0</v>
      </c>
      <c r="N922" s="3">
        <f>IF(OR($N$1="",对接源_01水果!$C922="",对接源_01水果!$C922&lt;&gt;$N$1,对接源_01水果!$B922=""),0,IF(OR(N(对接源_01水果!$B922)&lt;$N$2,N(对接源_01水果!$B922)&gt;$N$3),0,1))</f>
        <v>0</v>
      </c>
      <c r="P922" s="3">
        <f>IF(AND($K922=1,AND(对接源_01水果!$X922="公司筐",N(对接源_01水果!$T922)&lt;&gt;0)),1,0)</f>
        <v>0</v>
      </c>
      <c r="Q922" s="3">
        <f t="shared" si="249"/>
        <v>0</v>
      </c>
      <c r="R922" s="3">
        <f>IF(AND($K922=1,AND(对接源_01水果!$X922="公司筐",N(对接源_01水果!$U922)&lt;&gt;0)),1,0)</f>
        <v>0</v>
      </c>
      <c r="S922" s="3">
        <f t="shared" si="250"/>
        <v>0</v>
      </c>
      <c r="T922" s="3">
        <f>IF(AND($K922=1,AND(对接源_01水果!$X922="公司筐",N(对接源_01水果!$V922)&lt;&gt;0)),1,0)</f>
        <v>0</v>
      </c>
      <c r="U922" s="3">
        <f t="shared" si="251"/>
        <v>19</v>
      </c>
      <c r="V922" s="3">
        <f>IF(AND($L922=1,AND(对接源_01水果!$X922="自备筐",N(对接源_01水果!$V922)&lt;&gt;0)),1,0)</f>
        <v>0</v>
      </c>
      <c r="W922" s="3">
        <f t="shared" si="252"/>
        <v>8</v>
      </c>
      <c r="X922" s="3">
        <f>IF(AND($L922=1,AND(对接源_01水果!$X922="自备筐",N(对接源_01水果!$T922)&lt;&gt;0)),1,0)</f>
        <v>0</v>
      </c>
      <c r="Y922" s="3">
        <f t="shared" si="253"/>
        <v>0</v>
      </c>
      <c r="Z922" s="3">
        <f>IF(AND($M922=1,对接源_01水果!$D922="原料入库"),1,0)</f>
        <v>0</v>
      </c>
      <c r="AA922" s="3">
        <f t="shared" si="254"/>
        <v>24</v>
      </c>
      <c r="AB922" s="3">
        <f>IF(AND($M922=1,LEFT(对接源_01水果!$D922,4)="原料出库"),1,0)</f>
        <v>0</v>
      </c>
      <c r="AC922" s="3">
        <f t="shared" si="255"/>
        <v>0</v>
      </c>
      <c r="AD922" s="3">
        <f>IF(AND($M922=1,LEFT(对接源_01水果!$D922,4)="成品出库"),1,0)</f>
        <v>0</v>
      </c>
      <c r="AE922" s="3">
        <f t="shared" si="256"/>
        <v>0</v>
      </c>
      <c r="AF922" s="3">
        <f>IF(AND($N922=1,AND(LEFT(对接源_01水果!$D922,4)="包装物料",N(对接源_01水果!$K922)&lt;&gt;0)),1,0)</f>
        <v>0</v>
      </c>
      <c r="AG922" s="3">
        <f t="shared" si="257"/>
        <v>0</v>
      </c>
      <c r="AH922" s="3">
        <f>IF(AND($N922=1,AND(对接源_01水果!$D922="周转筐－销售出库",N(对接源_01水果!$K922)&lt;&gt;0)),1,0)</f>
        <v>0</v>
      </c>
      <c r="AI922" s="3">
        <f t="shared" si="258"/>
        <v>0</v>
      </c>
      <c r="AJ922" s="7"/>
      <c r="AL922" s="3">
        <f>IF(OR($AL$1="",对接源_01水果!$Y922="",对接源_01水果!$Y922&lt;&gt;$AL$1,对接源_01水果!$B922="",N(对接源_01水果!$AJ922)&lt;=0),0,IF(OR(N(对接源_01水果!$B922)&lt;$AL$2,N(对接源_01水果!$B922)&gt;$AL$3),0,1))</f>
        <v>0</v>
      </c>
      <c r="AM922" s="3">
        <f t="shared" si="259"/>
        <v>1</v>
      </c>
      <c r="AN922" s="3" t="str">
        <f>IF(对接源_01水果!$AC922="","",对接源_01水果!$AC922)</f>
        <v/>
      </c>
      <c r="AO922" s="3">
        <f t="shared" si="260"/>
        <v>0</v>
      </c>
      <c r="AP922" s="3">
        <f t="shared" si="261"/>
        <v>8</v>
      </c>
      <c r="AR922">
        <f t="shared" si="262"/>
        <v>0</v>
      </c>
      <c r="AS922">
        <f t="shared" si="263"/>
        <v>0</v>
      </c>
    </row>
    <row r="923" ht="14.25" customHeight="1" spans="1:45">
      <c r="A923" s="3" t="str">
        <f>IF(对接源_01水果!$C923="","",对接源_01水果!$C923)</f>
        <v/>
      </c>
      <c r="B923" s="3">
        <f t="shared" si="247"/>
        <v>0</v>
      </c>
      <c r="C923" s="3">
        <f t="shared" si="248"/>
        <v>18</v>
      </c>
      <c r="K923" s="3">
        <f>IF(OR($K$1="",对接源_01水果!$C923="",对接源_01水果!$C923&lt;&gt;$K$1,对接源_01水果!$B923=""),0,IF(OR(N(对接源_01水果!$B923)&lt;$K$2,N(对接源_01水果!$B923)&gt;$K$3),0,1))</f>
        <v>0</v>
      </c>
      <c r="L923" s="3">
        <f>IF(OR($L$1="",对接源_01水果!$C923="",对接源_01水果!$C923&lt;&gt;$L$1,对接源_01水果!$B923=""),0,IF(OR(N(对接源_01水果!$B923)&lt;$L$2,N(对接源_01水果!$B923)&gt;$L$3),0,1))</f>
        <v>0</v>
      </c>
      <c r="M923" s="3">
        <f>IF(OR($M$1="",对接源_01水果!$C923="",对接源_01水果!$C923&lt;&gt;$M$1,对接源_01水果!$B923=""),0,IF(OR(N(对接源_01水果!$B923)&lt;$M$2,N(对接源_01水果!$B923)&gt;$M$3),0,1))</f>
        <v>0</v>
      </c>
      <c r="N923" s="3">
        <f>IF(OR($N$1="",对接源_01水果!$C923="",对接源_01水果!$C923&lt;&gt;$N$1,对接源_01水果!$B923=""),0,IF(OR(N(对接源_01水果!$B923)&lt;$N$2,N(对接源_01水果!$B923)&gt;$N$3),0,1))</f>
        <v>0</v>
      </c>
      <c r="P923" s="3">
        <f>IF(AND($K923=1,AND(对接源_01水果!$X923="公司筐",N(对接源_01水果!$T923)&lt;&gt;0)),1,0)</f>
        <v>0</v>
      </c>
      <c r="Q923" s="3">
        <f t="shared" si="249"/>
        <v>0</v>
      </c>
      <c r="R923" s="3">
        <f>IF(AND($K923=1,AND(对接源_01水果!$X923="公司筐",N(对接源_01水果!$U923)&lt;&gt;0)),1,0)</f>
        <v>0</v>
      </c>
      <c r="S923" s="3">
        <f t="shared" si="250"/>
        <v>0</v>
      </c>
      <c r="T923" s="3">
        <f>IF(AND($K923=1,AND(对接源_01水果!$X923="公司筐",N(对接源_01水果!$V923)&lt;&gt;0)),1,0)</f>
        <v>0</v>
      </c>
      <c r="U923" s="3">
        <f t="shared" si="251"/>
        <v>19</v>
      </c>
      <c r="V923" s="3">
        <f>IF(AND($L923=1,AND(对接源_01水果!$X923="自备筐",N(对接源_01水果!$V923)&lt;&gt;0)),1,0)</f>
        <v>0</v>
      </c>
      <c r="W923" s="3">
        <f t="shared" si="252"/>
        <v>8</v>
      </c>
      <c r="X923" s="3">
        <f>IF(AND($L923=1,AND(对接源_01水果!$X923="自备筐",N(对接源_01水果!$T923)&lt;&gt;0)),1,0)</f>
        <v>0</v>
      </c>
      <c r="Y923" s="3">
        <f t="shared" si="253"/>
        <v>0</v>
      </c>
      <c r="Z923" s="3">
        <f>IF(AND($M923=1,对接源_01水果!$D923="原料入库"),1,0)</f>
        <v>0</v>
      </c>
      <c r="AA923" s="3">
        <f t="shared" si="254"/>
        <v>24</v>
      </c>
      <c r="AB923" s="3">
        <f>IF(AND($M923=1,LEFT(对接源_01水果!$D923,4)="原料出库"),1,0)</f>
        <v>0</v>
      </c>
      <c r="AC923" s="3">
        <f t="shared" si="255"/>
        <v>0</v>
      </c>
      <c r="AD923" s="3">
        <f>IF(AND($M923=1,LEFT(对接源_01水果!$D923,4)="成品出库"),1,0)</f>
        <v>0</v>
      </c>
      <c r="AE923" s="3">
        <f t="shared" si="256"/>
        <v>0</v>
      </c>
      <c r="AF923" s="3">
        <f>IF(AND($N923=1,AND(LEFT(对接源_01水果!$D923,4)="包装物料",N(对接源_01水果!$K923)&lt;&gt;0)),1,0)</f>
        <v>0</v>
      </c>
      <c r="AG923" s="3">
        <f t="shared" si="257"/>
        <v>0</v>
      </c>
      <c r="AH923" s="3">
        <f>IF(AND($N923=1,AND(对接源_01水果!$D923="周转筐－销售出库",N(对接源_01水果!$K923)&lt;&gt;0)),1,0)</f>
        <v>0</v>
      </c>
      <c r="AI923" s="3">
        <f t="shared" si="258"/>
        <v>0</v>
      </c>
      <c r="AJ923" s="7"/>
      <c r="AL923" s="3">
        <f>IF(OR($AL$1="",对接源_01水果!$Y923="",对接源_01水果!$Y923&lt;&gt;$AL$1,对接源_01水果!$B923="",N(对接源_01水果!$AJ923)&lt;=0),0,IF(OR(N(对接源_01水果!$B923)&lt;$AL$2,N(对接源_01水果!$B923)&gt;$AL$3),0,1))</f>
        <v>0</v>
      </c>
      <c r="AM923" s="3">
        <f t="shared" si="259"/>
        <v>1</v>
      </c>
      <c r="AN923" s="3" t="str">
        <f>IF(对接源_01水果!$AC923="","",对接源_01水果!$AC923)</f>
        <v/>
      </c>
      <c r="AO923" s="3">
        <f t="shared" si="260"/>
        <v>0</v>
      </c>
      <c r="AP923" s="3">
        <f t="shared" si="261"/>
        <v>8</v>
      </c>
      <c r="AR923">
        <f t="shared" si="262"/>
        <v>0</v>
      </c>
      <c r="AS923">
        <f t="shared" si="263"/>
        <v>0</v>
      </c>
    </row>
    <row r="924" ht="14.25" customHeight="1" spans="1:45">
      <c r="A924" s="3" t="str">
        <f>IF(对接源_01水果!$C924="","",对接源_01水果!$C924)</f>
        <v/>
      </c>
      <c r="B924" s="3">
        <f t="shared" si="247"/>
        <v>0</v>
      </c>
      <c r="C924" s="3">
        <f t="shared" si="248"/>
        <v>18</v>
      </c>
      <c r="K924" s="3">
        <f>IF(OR($K$1="",对接源_01水果!$C924="",对接源_01水果!$C924&lt;&gt;$K$1,对接源_01水果!$B924=""),0,IF(OR(N(对接源_01水果!$B924)&lt;$K$2,N(对接源_01水果!$B924)&gt;$K$3),0,1))</f>
        <v>0</v>
      </c>
      <c r="L924" s="3">
        <f>IF(OR($L$1="",对接源_01水果!$C924="",对接源_01水果!$C924&lt;&gt;$L$1,对接源_01水果!$B924=""),0,IF(OR(N(对接源_01水果!$B924)&lt;$L$2,N(对接源_01水果!$B924)&gt;$L$3),0,1))</f>
        <v>0</v>
      </c>
      <c r="M924" s="3">
        <f>IF(OR($M$1="",对接源_01水果!$C924="",对接源_01水果!$C924&lt;&gt;$M$1,对接源_01水果!$B924=""),0,IF(OR(N(对接源_01水果!$B924)&lt;$M$2,N(对接源_01水果!$B924)&gt;$M$3),0,1))</f>
        <v>0</v>
      </c>
      <c r="N924" s="3">
        <f>IF(OR($N$1="",对接源_01水果!$C924="",对接源_01水果!$C924&lt;&gt;$N$1,对接源_01水果!$B924=""),0,IF(OR(N(对接源_01水果!$B924)&lt;$N$2,N(对接源_01水果!$B924)&gt;$N$3),0,1))</f>
        <v>0</v>
      </c>
      <c r="P924" s="3">
        <f>IF(AND($K924=1,AND(对接源_01水果!$X924="公司筐",N(对接源_01水果!$T924)&lt;&gt;0)),1,0)</f>
        <v>0</v>
      </c>
      <c r="Q924" s="3">
        <f t="shared" si="249"/>
        <v>0</v>
      </c>
      <c r="R924" s="3">
        <f>IF(AND($K924=1,AND(对接源_01水果!$X924="公司筐",N(对接源_01水果!$U924)&lt;&gt;0)),1,0)</f>
        <v>0</v>
      </c>
      <c r="S924" s="3">
        <f t="shared" si="250"/>
        <v>0</v>
      </c>
      <c r="T924" s="3">
        <f>IF(AND($K924=1,AND(对接源_01水果!$X924="公司筐",N(对接源_01水果!$V924)&lt;&gt;0)),1,0)</f>
        <v>0</v>
      </c>
      <c r="U924" s="3">
        <f t="shared" si="251"/>
        <v>19</v>
      </c>
      <c r="V924" s="3">
        <f>IF(AND($L924=1,AND(对接源_01水果!$X924="自备筐",N(对接源_01水果!$V924)&lt;&gt;0)),1,0)</f>
        <v>0</v>
      </c>
      <c r="W924" s="3">
        <f t="shared" si="252"/>
        <v>8</v>
      </c>
      <c r="X924" s="3">
        <f>IF(AND($L924=1,AND(对接源_01水果!$X924="自备筐",N(对接源_01水果!$T924)&lt;&gt;0)),1,0)</f>
        <v>0</v>
      </c>
      <c r="Y924" s="3">
        <f t="shared" si="253"/>
        <v>0</v>
      </c>
      <c r="Z924" s="3">
        <f>IF(AND($M924=1,对接源_01水果!$D924="原料入库"),1,0)</f>
        <v>0</v>
      </c>
      <c r="AA924" s="3">
        <f t="shared" si="254"/>
        <v>24</v>
      </c>
      <c r="AB924" s="3">
        <f>IF(AND($M924=1,LEFT(对接源_01水果!$D924,4)="原料出库"),1,0)</f>
        <v>0</v>
      </c>
      <c r="AC924" s="3">
        <f t="shared" si="255"/>
        <v>0</v>
      </c>
      <c r="AD924" s="3">
        <f>IF(AND($M924=1,LEFT(对接源_01水果!$D924,4)="成品出库"),1,0)</f>
        <v>0</v>
      </c>
      <c r="AE924" s="3">
        <f t="shared" si="256"/>
        <v>0</v>
      </c>
      <c r="AF924" s="3">
        <f>IF(AND($N924=1,AND(LEFT(对接源_01水果!$D924,4)="包装物料",N(对接源_01水果!$K924)&lt;&gt;0)),1,0)</f>
        <v>0</v>
      </c>
      <c r="AG924" s="3">
        <f t="shared" si="257"/>
        <v>0</v>
      </c>
      <c r="AH924" s="3">
        <f>IF(AND($N924=1,AND(对接源_01水果!$D924="周转筐－销售出库",N(对接源_01水果!$K924)&lt;&gt;0)),1,0)</f>
        <v>0</v>
      </c>
      <c r="AI924" s="3">
        <f t="shared" si="258"/>
        <v>0</v>
      </c>
      <c r="AJ924" s="7"/>
      <c r="AL924" s="3">
        <f>IF(OR($AL$1="",对接源_01水果!$Y924="",对接源_01水果!$Y924&lt;&gt;$AL$1,对接源_01水果!$B924="",N(对接源_01水果!$AJ924)&lt;=0),0,IF(OR(N(对接源_01水果!$B924)&lt;$AL$2,N(对接源_01水果!$B924)&gt;$AL$3),0,1))</f>
        <v>0</v>
      </c>
      <c r="AM924" s="3">
        <f t="shared" si="259"/>
        <v>1</v>
      </c>
      <c r="AN924" s="3" t="str">
        <f>IF(对接源_01水果!$AC924="","",对接源_01水果!$AC924)</f>
        <v/>
      </c>
      <c r="AO924" s="3">
        <f t="shared" si="260"/>
        <v>0</v>
      </c>
      <c r="AP924" s="3">
        <f t="shared" si="261"/>
        <v>8</v>
      </c>
      <c r="AR924">
        <f t="shared" si="262"/>
        <v>0</v>
      </c>
      <c r="AS924">
        <f t="shared" si="263"/>
        <v>0</v>
      </c>
    </row>
    <row r="925" ht="14.25" customHeight="1" spans="1:45">
      <c r="A925" s="3" t="str">
        <f>IF(对接源_01水果!$C925="","",对接源_01水果!$C925)</f>
        <v/>
      </c>
      <c r="B925" s="3">
        <f t="shared" si="247"/>
        <v>0</v>
      </c>
      <c r="C925" s="3">
        <f t="shared" si="248"/>
        <v>18</v>
      </c>
      <c r="K925" s="3">
        <f>IF(OR($K$1="",对接源_01水果!$C925="",对接源_01水果!$C925&lt;&gt;$K$1,对接源_01水果!$B925=""),0,IF(OR(N(对接源_01水果!$B925)&lt;$K$2,N(对接源_01水果!$B925)&gt;$K$3),0,1))</f>
        <v>0</v>
      </c>
      <c r="L925" s="3">
        <f>IF(OR($L$1="",对接源_01水果!$C925="",对接源_01水果!$C925&lt;&gt;$L$1,对接源_01水果!$B925=""),0,IF(OR(N(对接源_01水果!$B925)&lt;$L$2,N(对接源_01水果!$B925)&gt;$L$3),0,1))</f>
        <v>0</v>
      </c>
      <c r="M925" s="3">
        <f>IF(OR($M$1="",对接源_01水果!$C925="",对接源_01水果!$C925&lt;&gt;$M$1,对接源_01水果!$B925=""),0,IF(OR(N(对接源_01水果!$B925)&lt;$M$2,N(对接源_01水果!$B925)&gt;$M$3),0,1))</f>
        <v>0</v>
      </c>
      <c r="N925" s="3">
        <f>IF(OR($N$1="",对接源_01水果!$C925="",对接源_01水果!$C925&lt;&gt;$N$1,对接源_01水果!$B925=""),0,IF(OR(N(对接源_01水果!$B925)&lt;$N$2,N(对接源_01水果!$B925)&gt;$N$3),0,1))</f>
        <v>0</v>
      </c>
      <c r="P925" s="3">
        <f>IF(AND($K925=1,AND(对接源_01水果!$X925="公司筐",N(对接源_01水果!$T925)&lt;&gt;0)),1,0)</f>
        <v>0</v>
      </c>
      <c r="Q925" s="3">
        <f t="shared" si="249"/>
        <v>0</v>
      </c>
      <c r="R925" s="3">
        <f>IF(AND($K925=1,AND(对接源_01水果!$X925="公司筐",N(对接源_01水果!$U925)&lt;&gt;0)),1,0)</f>
        <v>0</v>
      </c>
      <c r="S925" s="3">
        <f t="shared" si="250"/>
        <v>0</v>
      </c>
      <c r="T925" s="3">
        <f>IF(AND($K925=1,AND(对接源_01水果!$X925="公司筐",N(对接源_01水果!$V925)&lt;&gt;0)),1,0)</f>
        <v>0</v>
      </c>
      <c r="U925" s="3">
        <f t="shared" si="251"/>
        <v>19</v>
      </c>
      <c r="V925" s="3">
        <f>IF(AND($L925=1,AND(对接源_01水果!$X925="自备筐",N(对接源_01水果!$V925)&lt;&gt;0)),1,0)</f>
        <v>0</v>
      </c>
      <c r="W925" s="3">
        <f t="shared" si="252"/>
        <v>8</v>
      </c>
      <c r="X925" s="3">
        <f>IF(AND($L925=1,AND(对接源_01水果!$X925="自备筐",N(对接源_01水果!$T925)&lt;&gt;0)),1,0)</f>
        <v>0</v>
      </c>
      <c r="Y925" s="3">
        <f t="shared" si="253"/>
        <v>0</v>
      </c>
      <c r="Z925" s="3">
        <f>IF(AND($M925=1,对接源_01水果!$D925="原料入库"),1,0)</f>
        <v>0</v>
      </c>
      <c r="AA925" s="3">
        <f t="shared" si="254"/>
        <v>24</v>
      </c>
      <c r="AB925" s="3">
        <f>IF(AND($M925=1,LEFT(对接源_01水果!$D925,4)="原料出库"),1,0)</f>
        <v>0</v>
      </c>
      <c r="AC925" s="3">
        <f t="shared" si="255"/>
        <v>0</v>
      </c>
      <c r="AD925" s="3">
        <f>IF(AND($M925=1,LEFT(对接源_01水果!$D925,4)="成品出库"),1,0)</f>
        <v>0</v>
      </c>
      <c r="AE925" s="3">
        <f t="shared" si="256"/>
        <v>0</v>
      </c>
      <c r="AF925" s="3">
        <f>IF(AND($N925=1,AND(LEFT(对接源_01水果!$D925,4)="包装物料",N(对接源_01水果!$K925)&lt;&gt;0)),1,0)</f>
        <v>0</v>
      </c>
      <c r="AG925" s="3">
        <f t="shared" si="257"/>
        <v>0</v>
      </c>
      <c r="AH925" s="3">
        <f>IF(AND($N925=1,AND(对接源_01水果!$D925="周转筐－销售出库",N(对接源_01水果!$K925)&lt;&gt;0)),1,0)</f>
        <v>0</v>
      </c>
      <c r="AI925" s="3">
        <f t="shared" si="258"/>
        <v>0</v>
      </c>
      <c r="AJ925" s="7"/>
      <c r="AL925" s="3">
        <f>IF(OR($AL$1="",对接源_01水果!$Y925="",对接源_01水果!$Y925&lt;&gt;$AL$1,对接源_01水果!$B925="",N(对接源_01水果!$AJ925)&lt;=0),0,IF(OR(N(对接源_01水果!$B925)&lt;$AL$2,N(对接源_01水果!$B925)&gt;$AL$3),0,1))</f>
        <v>0</v>
      </c>
      <c r="AM925" s="3">
        <f t="shared" si="259"/>
        <v>1</v>
      </c>
      <c r="AN925" s="3" t="str">
        <f>IF(对接源_01水果!$AC925="","",对接源_01水果!$AC925)</f>
        <v/>
      </c>
      <c r="AO925" s="3">
        <f t="shared" si="260"/>
        <v>0</v>
      </c>
      <c r="AP925" s="3">
        <f t="shared" si="261"/>
        <v>8</v>
      </c>
      <c r="AR925">
        <f t="shared" si="262"/>
        <v>0</v>
      </c>
      <c r="AS925">
        <f t="shared" si="263"/>
        <v>0</v>
      </c>
    </row>
    <row r="926" ht="14.25" customHeight="1" spans="1:45">
      <c r="A926" s="3" t="str">
        <f>IF(对接源_01水果!$C926="","",对接源_01水果!$C926)</f>
        <v/>
      </c>
      <c r="B926" s="3">
        <f t="shared" si="247"/>
        <v>0</v>
      </c>
      <c r="C926" s="3">
        <f t="shared" si="248"/>
        <v>18</v>
      </c>
      <c r="K926" s="3">
        <f>IF(OR($K$1="",对接源_01水果!$C926="",对接源_01水果!$C926&lt;&gt;$K$1,对接源_01水果!$B926=""),0,IF(OR(N(对接源_01水果!$B926)&lt;$K$2,N(对接源_01水果!$B926)&gt;$K$3),0,1))</f>
        <v>0</v>
      </c>
      <c r="L926" s="3">
        <f>IF(OR($L$1="",对接源_01水果!$C926="",对接源_01水果!$C926&lt;&gt;$L$1,对接源_01水果!$B926=""),0,IF(OR(N(对接源_01水果!$B926)&lt;$L$2,N(对接源_01水果!$B926)&gt;$L$3),0,1))</f>
        <v>0</v>
      </c>
      <c r="M926" s="3">
        <f>IF(OR($M$1="",对接源_01水果!$C926="",对接源_01水果!$C926&lt;&gt;$M$1,对接源_01水果!$B926=""),0,IF(OR(N(对接源_01水果!$B926)&lt;$M$2,N(对接源_01水果!$B926)&gt;$M$3),0,1))</f>
        <v>0</v>
      </c>
      <c r="N926" s="3">
        <f>IF(OR($N$1="",对接源_01水果!$C926="",对接源_01水果!$C926&lt;&gt;$N$1,对接源_01水果!$B926=""),0,IF(OR(N(对接源_01水果!$B926)&lt;$N$2,N(对接源_01水果!$B926)&gt;$N$3),0,1))</f>
        <v>0</v>
      </c>
      <c r="P926" s="3">
        <f>IF(AND($K926=1,AND(对接源_01水果!$X926="公司筐",N(对接源_01水果!$T926)&lt;&gt;0)),1,0)</f>
        <v>0</v>
      </c>
      <c r="Q926" s="3">
        <f t="shared" si="249"/>
        <v>0</v>
      </c>
      <c r="R926" s="3">
        <f>IF(AND($K926=1,AND(对接源_01水果!$X926="公司筐",N(对接源_01水果!$U926)&lt;&gt;0)),1,0)</f>
        <v>0</v>
      </c>
      <c r="S926" s="3">
        <f t="shared" si="250"/>
        <v>0</v>
      </c>
      <c r="T926" s="3">
        <f>IF(AND($K926=1,AND(对接源_01水果!$X926="公司筐",N(对接源_01水果!$V926)&lt;&gt;0)),1,0)</f>
        <v>0</v>
      </c>
      <c r="U926" s="3">
        <f t="shared" si="251"/>
        <v>19</v>
      </c>
      <c r="V926" s="3">
        <f>IF(AND($L926=1,AND(对接源_01水果!$X926="自备筐",N(对接源_01水果!$V926)&lt;&gt;0)),1,0)</f>
        <v>0</v>
      </c>
      <c r="W926" s="3">
        <f t="shared" si="252"/>
        <v>8</v>
      </c>
      <c r="X926" s="3">
        <f>IF(AND($L926=1,AND(对接源_01水果!$X926="自备筐",N(对接源_01水果!$T926)&lt;&gt;0)),1,0)</f>
        <v>0</v>
      </c>
      <c r="Y926" s="3">
        <f t="shared" si="253"/>
        <v>0</v>
      </c>
      <c r="Z926" s="3">
        <f>IF(AND($M926=1,对接源_01水果!$D926="原料入库"),1,0)</f>
        <v>0</v>
      </c>
      <c r="AA926" s="3">
        <f t="shared" si="254"/>
        <v>24</v>
      </c>
      <c r="AB926" s="3">
        <f>IF(AND($M926=1,LEFT(对接源_01水果!$D926,4)="原料出库"),1,0)</f>
        <v>0</v>
      </c>
      <c r="AC926" s="3">
        <f t="shared" si="255"/>
        <v>0</v>
      </c>
      <c r="AD926" s="3">
        <f>IF(AND($M926=1,LEFT(对接源_01水果!$D926,4)="成品出库"),1,0)</f>
        <v>0</v>
      </c>
      <c r="AE926" s="3">
        <f t="shared" si="256"/>
        <v>0</v>
      </c>
      <c r="AF926" s="3">
        <f>IF(AND($N926=1,AND(LEFT(对接源_01水果!$D926,4)="包装物料",N(对接源_01水果!$K926)&lt;&gt;0)),1,0)</f>
        <v>0</v>
      </c>
      <c r="AG926" s="3">
        <f t="shared" si="257"/>
        <v>0</v>
      </c>
      <c r="AH926" s="3">
        <f>IF(AND($N926=1,AND(对接源_01水果!$D926="周转筐－销售出库",N(对接源_01水果!$K926)&lt;&gt;0)),1,0)</f>
        <v>0</v>
      </c>
      <c r="AI926" s="3">
        <f t="shared" si="258"/>
        <v>0</v>
      </c>
      <c r="AJ926" s="7"/>
      <c r="AL926" s="3">
        <f>IF(OR($AL$1="",对接源_01水果!$Y926="",对接源_01水果!$Y926&lt;&gt;$AL$1,对接源_01水果!$B926="",N(对接源_01水果!$AJ926)&lt;=0),0,IF(OR(N(对接源_01水果!$B926)&lt;$AL$2,N(对接源_01水果!$B926)&gt;$AL$3),0,1))</f>
        <v>0</v>
      </c>
      <c r="AM926" s="3">
        <f t="shared" si="259"/>
        <v>1</v>
      </c>
      <c r="AN926" s="3" t="str">
        <f>IF(对接源_01水果!$AC926="","",对接源_01水果!$AC926)</f>
        <v/>
      </c>
      <c r="AO926" s="3">
        <f t="shared" si="260"/>
        <v>0</v>
      </c>
      <c r="AP926" s="3">
        <f t="shared" si="261"/>
        <v>8</v>
      </c>
      <c r="AR926">
        <f t="shared" si="262"/>
        <v>0</v>
      </c>
      <c r="AS926">
        <f t="shared" si="263"/>
        <v>0</v>
      </c>
    </row>
    <row r="927" ht="14.25" customHeight="1" spans="1:45">
      <c r="A927" s="3" t="str">
        <f>IF(对接源_01水果!$C927="","",对接源_01水果!$C927)</f>
        <v/>
      </c>
      <c r="B927" s="3">
        <f t="shared" si="247"/>
        <v>0</v>
      </c>
      <c r="C927" s="3">
        <f t="shared" si="248"/>
        <v>18</v>
      </c>
      <c r="K927" s="3">
        <f>IF(OR($K$1="",对接源_01水果!$C927="",对接源_01水果!$C927&lt;&gt;$K$1,对接源_01水果!$B927=""),0,IF(OR(N(对接源_01水果!$B927)&lt;$K$2,N(对接源_01水果!$B927)&gt;$K$3),0,1))</f>
        <v>0</v>
      </c>
      <c r="L927" s="3">
        <f>IF(OR($L$1="",对接源_01水果!$C927="",对接源_01水果!$C927&lt;&gt;$L$1,对接源_01水果!$B927=""),0,IF(OR(N(对接源_01水果!$B927)&lt;$L$2,N(对接源_01水果!$B927)&gt;$L$3),0,1))</f>
        <v>0</v>
      </c>
      <c r="M927" s="3">
        <f>IF(OR($M$1="",对接源_01水果!$C927="",对接源_01水果!$C927&lt;&gt;$M$1,对接源_01水果!$B927=""),0,IF(OR(N(对接源_01水果!$B927)&lt;$M$2,N(对接源_01水果!$B927)&gt;$M$3),0,1))</f>
        <v>0</v>
      </c>
      <c r="N927" s="3">
        <f>IF(OR($N$1="",对接源_01水果!$C927="",对接源_01水果!$C927&lt;&gt;$N$1,对接源_01水果!$B927=""),0,IF(OR(N(对接源_01水果!$B927)&lt;$N$2,N(对接源_01水果!$B927)&gt;$N$3),0,1))</f>
        <v>0</v>
      </c>
      <c r="P927" s="3">
        <f>IF(AND($K927=1,AND(对接源_01水果!$X927="公司筐",N(对接源_01水果!$T927)&lt;&gt;0)),1,0)</f>
        <v>0</v>
      </c>
      <c r="Q927" s="3">
        <f t="shared" si="249"/>
        <v>0</v>
      </c>
      <c r="R927" s="3">
        <f>IF(AND($K927=1,AND(对接源_01水果!$X927="公司筐",N(对接源_01水果!$U927)&lt;&gt;0)),1,0)</f>
        <v>0</v>
      </c>
      <c r="S927" s="3">
        <f t="shared" si="250"/>
        <v>0</v>
      </c>
      <c r="T927" s="3">
        <f>IF(AND($K927=1,AND(对接源_01水果!$X927="公司筐",N(对接源_01水果!$V927)&lt;&gt;0)),1,0)</f>
        <v>0</v>
      </c>
      <c r="U927" s="3">
        <f t="shared" si="251"/>
        <v>19</v>
      </c>
      <c r="V927" s="3">
        <f>IF(AND($L927=1,AND(对接源_01水果!$X927="自备筐",N(对接源_01水果!$V927)&lt;&gt;0)),1,0)</f>
        <v>0</v>
      </c>
      <c r="W927" s="3">
        <f t="shared" si="252"/>
        <v>8</v>
      </c>
      <c r="X927" s="3">
        <f>IF(AND($L927=1,AND(对接源_01水果!$X927="自备筐",N(对接源_01水果!$T927)&lt;&gt;0)),1,0)</f>
        <v>0</v>
      </c>
      <c r="Y927" s="3">
        <f t="shared" si="253"/>
        <v>0</v>
      </c>
      <c r="Z927" s="3">
        <f>IF(AND($M927=1,对接源_01水果!$D927="原料入库"),1,0)</f>
        <v>0</v>
      </c>
      <c r="AA927" s="3">
        <f t="shared" si="254"/>
        <v>24</v>
      </c>
      <c r="AB927" s="3">
        <f>IF(AND($M927=1,LEFT(对接源_01水果!$D927,4)="原料出库"),1,0)</f>
        <v>0</v>
      </c>
      <c r="AC927" s="3">
        <f t="shared" si="255"/>
        <v>0</v>
      </c>
      <c r="AD927" s="3">
        <f>IF(AND($M927=1,LEFT(对接源_01水果!$D927,4)="成品出库"),1,0)</f>
        <v>0</v>
      </c>
      <c r="AE927" s="3">
        <f t="shared" si="256"/>
        <v>0</v>
      </c>
      <c r="AF927" s="3">
        <f>IF(AND($N927=1,AND(LEFT(对接源_01水果!$D927,4)="包装物料",N(对接源_01水果!$K927)&lt;&gt;0)),1,0)</f>
        <v>0</v>
      </c>
      <c r="AG927" s="3">
        <f t="shared" si="257"/>
        <v>0</v>
      </c>
      <c r="AH927" s="3">
        <f>IF(AND($N927=1,AND(对接源_01水果!$D927="周转筐－销售出库",N(对接源_01水果!$K927)&lt;&gt;0)),1,0)</f>
        <v>0</v>
      </c>
      <c r="AI927" s="3">
        <f t="shared" si="258"/>
        <v>0</v>
      </c>
      <c r="AJ927" s="7"/>
      <c r="AL927" s="3">
        <f>IF(OR($AL$1="",对接源_01水果!$Y927="",对接源_01水果!$Y927&lt;&gt;$AL$1,对接源_01水果!$B927="",N(对接源_01水果!$AJ927)&lt;=0),0,IF(OR(N(对接源_01水果!$B927)&lt;$AL$2,N(对接源_01水果!$B927)&gt;$AL$3),0,1))</f>
        <v>0</v>
      </c>
      <c r="AM927" s="3">
        <f t="shared" si="259"/>
        <v>1</v>
      </c>
      <c r="AN927" s="3" t="str">
        <f>IF(对接源_01水果!$AC927="","",对接源_01水果!$AC927)</f>
        <v/>
      </c>
      <c r="AO927" s="3">
        <f t="shared" si="260"/>
        <v>0</v>
      </c>
      <c r="AP927" s="3">
        <f t="shared" si="261"/>
        <v>8</v>
      </c>
      <c r="AR927">
        <f t="shared" si="262"/>
        <v>0</v>
      </c>
      <c r="AS927">
        <f t="shared" si="263"/>
        <v>0</v>
      </c>
    </row>
    <row r="928" ht="14.25" customHeight="1" spans="1:45">
      <c r="A928" s="3" t="str">
        <f>IF(对接源_01水果!$C928="","",对接源_01水果!$C928)</f>
        <v/>
      </c>
      <c r="B928" s="3">
        <f t="shared" si="247"/>
        <v>0</v>
      </c>
      <c r="C928" s="3">
        <f t="shared" si="248"/>
        <v>18</v>
      </c>
      <c r="K928" s="3">
        <f>IF(OR($K$1="",对接源_01水果!$C928="",对接源_01水果!$C928&lt;&gt;$K$1,对接源_01水果!$B928=""),0,IF(OR(N(对接源_01水果!$B928)&lt;$K$2,N(对接源_01水果!$B928)&gt;$K$3),0,1))</f>
        <v>0</v>
      </c>
      <c r="L928" s="3">
        <f>IF(OR($L$1="",对接源_01水果!$C928="",对接源_01水果!$C928&lt;&gt;$L$1,对接源_01水果!$B928=""),0,IF(OR(N(对接源_01水果!$B928)&lt;$L$2,N(对接源_01水果!$B928)&gt;$L$3),0,1))</f>
        <v>0</v>
      </c>
      <c r="M928" s="3">
        <f>IF(OR($M$1="",对接源_01水果!$C928="",对接源_01水果!$C928&lt;&gt;$M$1,对接源_01水果!$B928=""),0,IF(OR(N(对接源_01水果!$B928)&lt;$M$2,N(对接源_01水果!$B928)&gt;$M$3),0,1))</f>
        <v>0</v>
      </c>
      <c r="N928" s="3">
        <f>IF(OR($N$1="",对接源_01水果!$C928="",对接源_01水果!$C928&lt;&gt;$N$1,对接源_01水果!$B928=""),0,IF(OR(N(对接源_01水果!$B928)&lt;$N$2,N(对接源_01水果!$B928)&gt;$N$3),0,1))</f>
        <v>0</v>
      </c>
      <c r="P928" s="3">
        <f>IF(AND($K928=1,AND(对接源_01水果!$X928="公司筐",N(对接源_01水果!$T928)&lt;&gt;0)),1,0)</f>
        <v>0</v>
      </c>
      <c r="Q928" s="3">
        <f t="shared" si="249"/>
        <v>0</v>
      </c>
      <c r="R928" s="3">
        <f>IF(AND($K928=1,AND(对接源_01水果!$X928="公司筐",N(对接源_01水果!$U928)&lt;&gt;0)),1,0)</f>
        <v>0</v>
      </c>
      <c r="S928" s="3">
        <f t="shared" si="250"/>
        <v>0</v>
      </c>
      <c r="T928" s="3">
        <f>IF(AND($K928=1,AND(对接源_01水果!$X928="公司筐",N(对接源_01水果!$V928)&lt;&gt;0)),1,0)</f>
        <v>0</v>
      </c>
      <c r="U928" s="3">
        <f t="shared" si="251"/>
        <v>19</v>
      </c>
      <c r="V928" s="3">
        <f>IF(AND($L928=1,AND(对接源_01水果!$X928="自备筐",N(对接源_01水果!$V928)&lt;&gt;0)),1,0)</f>
        <v>0</v>
      </c>
      <c r="W928" s="3">
        <f t="shared" si="252"/>
        <v>8</v>
      </c>
      <c r="X928" s="3">
        <f>IF(AND($L928=1,AND(对接源_01水果!$X928="自备筐",N(对接源_01水果!$T928)&lt;&gt;0)),1,0)</f>
        <v>0</v>
      </c>
      <c r="Y928" s="3">
        <f t="shared" si="253"/>
        <v>0</v>
      </c>
      <c r="Z928" s="3">
        <f>IF(AND($M928=1,对接源_01水果!$D928="原料入库"),1,0)</f>
        <v>0</v>
      </c>
      <c r="AA928" s="3">
        <f t="shared" si="254"/>
        <v>24</v>
      </c>
      <c r="AB928" s="3">
        <f>IF(AND($M928=1,LEFT(对接源_01水果!$D928,4)="原料出库"),1,0)</f>
        <v>0</v>
      </c>
      <c r="AC928" s="3">
        <f t="shared" si="255"/>
        <v>0</v>
      </c>
      <c r="AD928" s="3">
        <f>IF(AND($M928=1,LEFT(对接源_01水果!$D928,4)="成品出库"),1,0)</f>
        <v>0</v>
      </c>
      <c r="AE928" s="3">
        <f t="shared" si="256"/>
        <v>0</v>
      </c>
      <c r="AF928" s="3">
        <f>IF(AND($N928=1,AND(LEFT(对接源_01水果!$D928,4)="包装物料",N(对接源_01水果!$K928)&lt;&gt;0)),1,0)</f>
        <v>0</v>
      </c>
      <c r="AG928" s="3">
        <f t="shared" si="257"/>
        <v>0</v>
      </c>
      <c r="AH928" s="3">
        <f>IF(AND($N928=1,AND(对接源_01水果!$D928="周转筐－销售出库",N(对接源_01水果!$K928)&lt;&gt;0)),1,0)</f>
        <v>0</v>
      </c>
      <c r="AI928" s="3">
        <f t="shared" si="258"/>
        <v>0</v>
      </c>
      <c r="AJ928" s="7"/>
      <c r="AL928" s="3">
        <f>IF(OR($AL$1="",对接源_01水果!$Y928="",对接源_01水果!$Y928&lt;&gt;$AL$1,对接源_01水果!$B928="",N(对接源_01水果!$AJ928)&lt;=0),0,IF(OR(N(对接源_01水果!$B928)&lt;$AL$2,N(对接源_01水果!$B928)&gt;$AL$3),0,1))</f>
        <v>0</v>
      </c>
      <c r="AM928" s="3">
        <f t="shared" si="259"/>
        <v>1</v>
      </c>
      <c r="AN928" s="3" t="str">
        <f>IF(对接源_01水果!$AC928="","",对接源_01水果!$AC928)</f>
        <v/>
      </c>
      <c r="AO928" s="3">
        <f t="shared" si="260"/>
        <v>0</v>
      </c>
      <c r="AP928" s="3">
        <f t="shared" si="261"/>
        <v>8</v>
      </c>
      <c r="AR928">
        <f t="shared" si="262"/>
        <v>0</v>
      </c>
      <c r="AS928">
        <f t="shared" si="263"/>
        <v>0</v>
      </c>
    </row>
    <row r="929" ht="14.25" customHeight="1" spans="1:45">
      <c r="A929" s="3" t="str">
        <f>IF(对接源_01水果!$C929="","",对接源_01水果!$C929)</f>
        <v/>
      </c>
      <c r="B929" s="3">
        <f t="shared" si="247"/>
        <v>0</v>
      </c>
      <c r="C929" s="3">
        <f t="shared" si="248"/>
        <v>18</v>
      </c>
      <c r="K929" s="3">
        <f>IF(OR($K$1="",对接源_01水果!$C929="",对接源_01水果!$C929&lt;&gt;$K$1,对接源_01水果!$B929=""),0,IF(OR(N(对接源_01水果!$B929)&lt;$K$2,N(对接源_01水果!$B929)&gt;$K$3),0,1))</f>
        <v>0</v>
      </c>
      <c r="L929" s="3">
        <f>IF(OR($L$1="",对接源_01水果!$C929="",对接源_01水果!$C929&lt;&gt;$L$1,对接源_01水果!$B929=""),0,IF(OR(N(对接源_01水果!$B929)&lt;$L$2,N(对接源_01水果!$B929)&gt;$L$3),0,1))</f>
        <v>0</v>
      </c>
      <c r="M929" s="3">
        <f>IF(OR($M$1="",对接源_01水果!$C929="",对接源_01水果!$C929&lt;&gt;$M$1,对接源_01水果!$B929=""),0,IF(OR(N(对接源_01水果!$B929)&lt;$M$2,N(对接源_01水果!$B929)&gt;$M$3),0,1))</f>
        <v>0</v>
      </c>
      <c r="N929" s="3">
        <f>IF(OR($N$1="",对接源_01水果!$C929="",对接源_01水果!$C929&lt;&gt;$N$1,对接源_01水果!$B929=""),0,IF(OR(N(对接源_01水果!$B929)&lt;$N$2,N(对接源_01水果!$B929)&gt;$N$3),0,1))</f>
        <v>0</v>
      </c>
      <c r="P929" s="3">
        <f>IF(AND($K929=1,AND(对接源_01水果!$X929="公司筐",N(对接源_01水果!$T929)&lt;&gt;0)),1,0)</f>
        <v>0</v>
      </c>
      <c r="Q929" s="3">
        <f t="shared" si="249"/>
        <v>0</v>
      </c>
      <c r="R929" s="3">
        <f>IF(AND($K929=1,AND(对接源_01水果!$X929="公司筐",N(对接源_01水果!$U929)&lt;&gt;0)),1,0)</f>
        <v>0</v>
      </c>
      <c r="S929" s="3">
        <f t="shared" si="250"/>
        <v>0</v>
      </c>
      <c r="T929" s="3">
        <f>IF(AND($K929=1,AND(对接源_01水果!$X929="公司筐",N(对接源_01水果!$V929)&lt;&gt;0)),1,0)</f>
        <v>0</v>
      </c>
      <c r="U929" s="3">
        <f t="shared" si="251"/>
        <v>19</v>
      </c>
      <c r="V929" s="3">
        <f>IF(AND($L929=1,AND(对接源_01水果!$X929="自备筐",N(对接源_01水果!$V929)&lt;&gt;0)),1,0)</f>
        <v>0</v>
      </c>
      <c r="W929" s="3">
        <f t="shared" si="252"/>
        <v>8</v>
      </c>
      <c r="X929" s="3">
        <f>IF(AND($L929=1,AND(对接源_01水果!$X929="自备筐",N(对接源_01水果!$T929)&lt;&gt;0)),1,0)</f>
        <v>0</v>
      </c>
      <c r="Y929" s="3">
        <f t="shared" si="253"/>
        <v>0</v>
      </c>
      <c r="Z929" s="3">
        <f>IF(AND($M929=1,对接源_01水果!$D929="原料入库"),1,0)</f>
        <v>0</v>
      </c>
      <c r="AA929" s="3">
        <f t="shared" si="254"/>
        <v>24</v>
      </c>
      <c r="AB929" s="3">
        <f>IF(AND($M929=1,LEFT(对接源_01水果!$D929,4)="原料出库"),1,0)</f>
        <v>0</v>
      </c>
      <c r="AC929" s="3">
        <f t="shared" si="255"/>
        <v>0</v>
      </c>
      <c r="AD929" s="3">
        <f>IF(AND($M929=1,LEFT(对接源_01水果!$D929,4)="成品出库"),1,0)</f>
        <v>0</v>
      </c>
      <c r="AE929" s="3">
        <f t="shared" si="256"/>
        <v>0</v>
      </c>
      <c r="AF929" s="3">
        <f>IF(AND($N929=1,AND(LEFT(对接源_01水果!$D929,4)="包装物料",N(对接源_01水果!$K929)&lt;&gt;0)),1,0)</f>
        <v>0</v>
      </c>
      <c r="AG929" s="3">
        <f t="shared" si="257"/>
        <v>0</v>
      </c>
      <c r="AH929" s="3">
        <f>IF(AND($N929=1,AND(对接源_01水果!$D929="周转筐－销售出库",N(对接源_01水果!$K929)&lt;&gt;0)),1,0)</f>
        <v>0</v>
      </c>
      <c r="AI929" s="3">
        <f t="shared" si="258"/>
        <v>0</v>
      </c>
      <c r="AJ929" s="7"/>
      <c r="AL929" s="3">
        <f>IF(OR($AL$1="",对接源_01水果!$Y929="",对接源_01水果!$Y929&lt;&gt;$AL$1,对接源_01水果!$B929="",N(对接源_01水果!$AJ929)&lt;=0),0,IF(OR(N(对接源_01水果!$B929)&lt;$AL$2,N(对接源_01水果!$B929)&gt;$AL$3),0,1))</f>
        <v>0</v>
      </c>
      <c r="AM929" s="3">
        <f t="shared" si="259"/>
        <v>1</v>
      </c>
      <c r="AN929" s="3" t="str">
        <f>IF(对接源_01水果!$AC929="","",对接源_01水果!$AC929)</f>
        <v/>
      </c>
      <c r="AO929" s="3">
        <f t="shared" si="260"/>
        <v>0</v>
      </c>
      <c r="AP929" s="3">
        <f t="shared" si="261"/>
        <v>8</v>
      </c>
      <c r="AR929">
        <f t="shared" si="262"/>
        <v>0</v>
      </c>
      <c r="AS929">
        <f t="shared" si="263"/>
        <v>0</v>
      </c>
    </row>
    <row r="930" ht="14.25" customHeight="1" spans="1:45">
      <c r="A930" s="3" t="str">
        <f>IF(对接源_01水果!$C930="","",对接源_01水果!$C930)</f>
        <v/>
      </c>
      <c r="B930" s="3">
        <f t="shared" si="247"/>
        <v>0</v>
      </c>
      <c r="C930" s="3">
        <f t="shared" si="248"/>
        <v>18</v>
      </c>
      <c r="K930" s="3">
        <f>IF(OR($K$1="",对接源_01水果!$C930="",对接源_01水果!$C930&lt;&gt;$K$1,对接源_01水果!$B930=""),0,IF(OR(N(对接源_01水果!$B930)&lt;$K$2,N(对接源_01水果!$B930)&gt;$K$3),0,1))</f>
        <v>0</v>
      </c>
      <c r="L930" s="3">
        <f>IF(OR($L$1="",对接源_01水果!$C930="",对接源_01水果!$C930&lt;&gt;$L$1,对接源_01水果!$B930=""),0,IF(OR(N(对接源_01水果!$B930)&lt;$L$2,N(对接源_01水果!$B930)&gt;$L$3),0,1))</f>
        <v>0</v>
      </c>
      <c r="M930" s="3">
        <f>IF(OR($M$1="",对接源_01水果!$C930="",对接源_01水果!$C930&lt;&gt;$M$1,对接源_01水果!$B930=""),0,IF(OR(N(对接源_01水果!$B930)&lt;$M$2,N(对接源_01水果!$B930)&gt;$M$3),0,1))</f>
        <v>0</v>
      </c>
      <c r="N930" s="3">
        <f>IF(OR($N$1="",对接源_01水果!$C930="",对接源_01水果!$C930&lt;&gt;$N$1,对接源_01水果!$B930=""),0,IF(OR(N(对接源_01水果!$B930)&lt;$N$2,N(对接源_01水果!$B930)&gt;$N$3),0,1))</f>
        <v>0</v>
      </c>
      <c r="P930" s="3">
        <f>IF(AND($K930=1,AND(对接源_01水果!$X930="公司筐",N(对接源_01水果!$T930)&lt;&gt;0)),1,0)</f>
        <v>0</v>
      </c>
      <c r="Q930" s="3">
        <f t="shared" si="249"/>
        <v>0</v>
      </c>
      <c r="R930" s="3">
        <f>IF(AND($K930=1,AND(对接源_01水果!$X930="公司筐",N(对接源_01水果!$U930)&lt;&gt;0)),1,0)</f>
        <v>0</v>
      </c>
      <c r="S930" s="3">
        <f t="shared" si="250"/>
        <v>0</v>
      </c>
      <c r="T930" s="3">
        <f>IF(AND($K930=1,AND(对接源_01水果!$X930="公司筐",N(对接源_01水果!$V930)&lt;&gt;0)),1,0)</f>
        <v>0</v>
      </c>
      <c r="U930" s="3">
        <f t="shared" si="251"/>
        <v>19</v>
      </c>
      <c r="V930" s="3">
        <f>IF(AND($L930=1,AND(对接源_01水果!$X930="自备筐",N(对接源_01水果!$V930)&lt;&gt;0)),1,0)</f>
        <v>0</v>
      </c>
      <c r="W930" s="3">
        <f t="shared" si="252"/>
        <v>8</v>
      </c>
      <c r="X930" s="3">
        <f>IF(AND($L930=1,AND(对接源_01水果!$X930="自备筐",N(对接源_01水果!$T930)&lt;&gt;0)),1,0)</f>
        <v>0</v>
      </c>
      <c r="Y930" s="3">
        <f t="shared" si="253"/>
        <v>0</v>
      </c>
      <c r="Z930" s="3">
        <f>IF(AND($M930=1,对接源_01水果!$D930="原料入库"),1,0)</f>
        <v>0</v>
      </c>
      <c r="AA930" s="3">
        <f t="shared" si="254"/>
        <v>24</v>
      </c>
      <c r="AB930" s="3">
        <f>IF(AND($M930=1,LEFT(对接源_01水果!$D930,4)="原料出库"),1,0)</f>
        <v>0</v>
      </c>
      <c r="AC930" s="3">
        <f t="shared" si="255"/>
        <v>0</v>
      </c>
      <c r="AD930" s="3">
        <f>IF(AND($M930=1,LEFT(对接源_01水果!$D930,4)="成品出库"),1,0)</f>
        <v>0</v>
      </c>
      <c r="AE930" s="3">
        <f t="shared" si="256"/>
        <v>0</v>
      </c>
      <c r="AF930" s="3">
        <f>IF(AND($N930=1,AND(LEFT(对接源_01水果!$D930,4)="包装物料",N(对接源_01水果!$K930)&lt;&gt;0)),1,0)</f>
        <v>0</v>
      </c>
      <c r="AG930" s="3">
        <f t="shared" si="257"/>
        <v>0</v>
      </c>
      <c r="AH930" s="3">
        <f>IF(AND($N930=1,AND(对接源_01水果!$D930="周转筐－销售出库",N(对接源_01水果!$K930)&lt;&gt;0)),1,0)</f>
        <v>0</v>
      </c>
      <c r="AI930" s="3">
        <f t="shared" si="258"/>
        <v>0</v>
      </c>
      <c r="AJ930" s="7"/>
      <c r="AL930" s="3">
        <f>IF(OR($AL$1="",对接源_01水果!$Y930="",对接源_01水果!$Y930&lt;&gt;$AL$1,对接源_01水果!$B930="",N(对接源_01水果!$AJ930)&lt;=0),0,IF(OR(N(对接源_01水果!$B930)&lt;$AL$2,N(对接源_01水果!$B930)&gt;$AL$3),0,1))</f>
        <v>0</v>
      </c>
      <c r="AM930" s="3">
        <f t="shared" si="259"/>
        <v>1</v>
      </c>
      <c r="AN930" s="3" t="str">
        <f>IF(对接源_01水果!$AC930="","",对接源_01水果!$AC930)</f>
        <v/>
      </c>
      <c r="AO930" s="3">
        <f t="shared" si="260"/>
        <v>0</v>
      </c>
      <c r="AP930" s="3">
        <f t="shared" si="261"/>
        <v>8</v>
      </c>
      <c r="AR930">
        <f t="shared" si="262"/>
        <v>0</v>
      </c>
      <c r="AS930">
        <f t="shared" si="263"/>
        <v>0</v>
      </c>
    </row>
    <row r="931" ht="14.25" customHeight="1" spans="1:45">
      <c r="A931" s="3" t="str">
        <f>IF(对接源_01水果!$C931="","",对接源_01水果!$C931)</f>
        <v/>
      </c>
      <c r="B931" s="3">
        <f t="shared" si="247"/>
        <v>0</v>
      </c>
      <c r="C931" s="3">
        <f t="shared" si="248"/>
        <v>18</v>
      </c>
      <c r="K931" s="3">
        <f>IF(OR($K$1="",对接源_01水果!$C931="",对接源_01水果!$C931&lt;&gt;$K$1,对接源_01水果!$B931=""),0,IF(OR(N(对接源_01水果!$B931)&lt;$K$2,N(对接源_01水果!$B931)&gt;$K$3),0,1))</f>
        <v>0</v>
      </c>
      <c r="L931" s="3">
        <f>IF(OR($L$1="",对接源_01水果!$C931="",对接源_01水果!$C931&lt;&gt;$L$1,对接源_01水果!$B931=""),0,IF(OR(N(对接源_01水果!$B931)&lt;$L$2,N(对接源_01水果!$B931)&gt;$L$3),0,1))</f>
        <v>0</v>
      </c>
      <c r="M931" s="3">
        <f>IF(OR($M$1="",对接源_01水果!$C931="",对接源_01水果!$C931&lt;&gt;$M$1,对接源_01水果!$B931=""),0,IF(OR(N(对接源_01水果!$B931)&lt;$M$2,N(对接源_01水果!$B931)&gt;$M$3),0,1))</f>
        <v>0</v>
      </c>
      <c r="N931" s="3">
        <f>IF(OR($N$1="",对接源_01水果!$C931="",对接源_01水果!$C931&lt;&gt;$N$1,对接源_01水果!$B931=""),0,IF(OR(N(对接源_01水果!$B931)&lt;$N$2,N(对接源_01水果!$B931)&gt;$N$3),0,1))</f>
        <v>0</v>
      </c>
      <c r="P931" s="3">
        <f>IF(AND($K931=1,AND(对接源_01水果!$X931="公司筐",N(对接源_01水果!$T931)&lt;&gt;0)),1,0)</f>
        <v>0</v>
      </c>
      <c r="Q931" s="3">
        <f t="shared" si="249"/>
        <v>0</v>
      </c>
      <c r="R931" s="3">
        <f>IF(AND($K931=1,AND(对接源_01水果!$X931="公司筐",N(对接源_01水果!$U931)&lt;&gt;0)),1,0)</f>
        <v>0</v>
      </c>
      <c r="S931" s="3">
        <f t="shared" si="250"/>
        <v>0</v>
      </c>
      <c r="T931" s="3">
        <f>IF(AND($K931=1,AND(对接源_01水果!$X931="公司筐",N(对接源_01水果!$V931)&lt;&gt;0)),1,0)</f>
        <v>0</v>
      </c>
      <c r="U931" s="3">
        <f t="shared" si="251"/>
        <v>19</v>
      </c>
      <c r="V931" s="3">
        <f>IF(AND($L931=1,AND(对接源_01水果!$X931="自备筐",N(对接源_01水果!$V931)&lt;&gt;0)),1,0)</f>
        <v>0</v>
      </c>
      <c r="W931" s="3">
        <f t="shared" si="252"/>
        <v>8</v>
      </c>
      <c r="X931" s="3">
        <f>IF(AND($L931=1,AND(对接源_01水果!$X931="自备筐",N(对接源_01水果!$T931)&lt;&gt;0)),1,0)</f>
        <v>0</v>
      </c>
      <c r="Y931" s="3">
        <f t="shared" si="253"/>
        <v>0</v>
      </c>
      <c r="Z931" s="3">
        <f>IF(AND($M931=1,对接源_01水果!$D931="原料入库"),1,0)</f>
        <v>0</v>
      </c>
      <c r="AA931" s="3">
        <f t="shared" si="254"/>
        <v>24</v>
      </c>
      <c r="AB931" s="3">
        <f>IF(AND($M931=1,LEFT(对接源_01水果!$D931,4)="原料出库"),1,0)</f>
        <v>0</v>
      </c>
      <c r="AC931" s="3">
        <f t="shared" si="255"/>
        <v>0</v>
      </c>
      <c r="AD931" s="3">
        <f>IF(AND($M931=1,LEFT(对接源_01水果!$D931,4)="成品出库"),1,0)</f>
        <v>0</v>
      </c>
      <c r="AE931" s="3">
        <f t="shared" si="256"/>
        <v>0</v>
      </c>
      <c r="AF931" s="3">
        <f>IF(AND($N931=1,AND(LEFT(对接源_01水果!$D931,4)="包装物料",N(对接源_01水果!$K931)&lt;&gt;0)),1,0)</f>
        <v>0</v>
      </c>
      <c r="AG931" s="3">
        <f t="shared" si="257"/>
        <v>0</v>
      </c>
      <c r="AH931" s="3">
        <f>IF(AND($N931=1,AND(对接源_01水果!$D931="周转筐－销售出库",N(对接源_01水果!$K931)&lt;&gt;0)),1,0)</f>
        <v>0</v>
      </c>
      <c r="AI931" s="3">
        <f t="shared" si="258"/>
        <v>0</v>
      </c>
      <c r="AJ931" s="7"/>
      <c r="AL931" s="3">
        <f>IF(OR($AL$1="",对接源_01水果!$Y931="",对接源_01水果!$Y931&lt;&gt;$AL$1,对接源_01水果!$B931="",N(对接源_01水果!$AJ931)&lt;=0),0,IF(OR(N(对接源_01水果!$B931)&lt;$AL$2,N(对接源_01水果!$B931)&gt;$AL$3),0,1))</f>
        <v>0</v>
      </c>
      <c r="AM931" s="3">
        <f t="shared" si="259"/>
        <v>1</v>
      </c>
      <c r="AN931" s="3" t="str">
        <f>IF(对接源_01水果!$AC931="","",对接源_01水果!$AC931)</f>
        <v/>
      </c>
      <c r="AO931" s="3">
        <f t="shared" si="260"/>
        <v>0</v>
      </c>
      <c r="AP931" s="3">
        <f t="shared" si="261"/>
        <v>8</v>
      </c>
      <c r="AR931">
        <f t="shared" si="262"/>
        <v>0</v>
      </c>
      <c r="AS931">
        <f t="shared" si="263"/>
        <v>0</v>
      </c>
    </row>
    <row r="932" ht="14.25" customHeight="1" spans="1:45">
      <c r="A932" s="3" t="str">
        <f>IF(对接源_01水果!$C932="","",对接源_01水果!$C932)</f>
        <v/>
      </c>
      <c r="B932" s="3">
        <f t="shared" si="247"/>
        <v>0</v>
      </c>
      <c r="C932" s="3">
        <f t="shared" si="248"/>
        <v>18</v>
      </c>
      <c r="K932" s="3">
        <f>IF(OR($K$1="",对接源_01水果!$C932="",对接源_01水果!$C932&lt;&gt;$K$1,对接源_01水果!$B932=""),0,IF(OR(N(对接源_01水果!$B932)&lt;$K$2,N(对接源_01水果!$B932)&gt;$K$3),0,1))</f>
        <v>0</v>
      </c>
      <c r="L932" s="3">
        <f>IF(OR($L$1="",对接源_01水果!$C932="",对接源_01水果!$C932&lt;&gt;$L$1,对接源_01水果!$B932=""),0,IF(OR(N(对接源_01水果!$B932)&lt;$L$2,N(对接源_01水果!$B932)&gt;$L$3),0,1))</f>
        <v>0</v>
      </c>
      <c r="M932" s="3">
        <f>IF(OR($M$1="",对接源_01水果!$C932="",对接源_01水果!$C932&lt;&gt;$M$1,对接源_01水果!$B932=""),0,IF(OR(N(对接源_01水果!$B932)&lt;$M$2,N(对接源_01水果!$B932)&gt;$M$3),0,1))</f>
        <v>0</v>
      </c>
      <c r="N932" s="3">
        <f>IF(OR($N$1="",对接源_01水果!$C932="",对接源_01水果!$C932&lt;&gt;$N$1,对接源_01水果!$B932=""),0,IF(OR(N(对接源_01水果!$B932)&lt;$N$2,N(对接源_01水果!$B932)&gt;$N$3),0,1))</f>
        <v>0</v>
      </c>
      <c r="P932" s="3">
        <f>IF(AND($K932=1,AND(对接源_01水果!$X932="公司筐",N(对接源_01水果!$T932)&lt;&gt;0)),1,0)</f>
        <v>0</v>
      </c>
      <c r="Q932" s="3">
        <f t="shared" si="249"/>
        <v>0</v>
      </c>
      <c r="R932" s="3">
        <f>IF(AND($K932=1,AND(对接源_01水果!$X932="公司筐",N(对接源_01水果!$U932)&lt;&gt;0)),1,0)</f>
        <v>0</v>
      </c>
      <c r="S932" s="3">
        <f t="shared" si="250"/>
        <v>0</v>
      </c>
      <c r="T932" s="3">
        <f>IF(AND($K932=1,AND(对接源_01水果!$X932="公司筐",N(对接源_01水果!$V932)&lt;&gt;0)),1,0)</f>
        <v>0</v>
      </c>
      <c r="U932" s="3">
        <f t="shared" si="251"/>
        <v>19</v>
      </c>
      <c r="V932" s="3">
        <f>IF(AND($L932=1,AND(对接源_01水果!$X932="自备筐",N(对接源_01水果!$V932)&lt;&gt;0)),1,0)</f>
        <v>0</v>
      </c>
      <c r="W932" s="3">
        <f t="shared" si="252"/>
        <v>8</v>
      </c>
      <c r="X932" s="3">
        <f>IF(AND($L932=1,AND(对接源_01水果!$X932="自备筐",N(对接源_01水果!$T932)&lt;&gt;0)),1,0)</f>
        <v>0</v>
      </c>
      <c r="Y932" s="3">
        <f t="shared" si="253"/>
        <v>0</v>
      </c>
      <c r="Z932" s="3">
        <f>IF(AND($M932=1,对接源_01水果!$D932="原料入库"),1,0)</f>
        <v>0</v>
      </c>
      <c r="AA932" s="3">
        <f t="shared" si="254"/>
        <v>24</v>
      </c>
      <c r="AB932" s="3">
        <f>IF(AND($M932=1,LEFT(对接源_01水果!$D932,4)="原料出库"),1,0)</f>
        <v>0</v>
      </c>
      <c r="AC932" s="3">
        <f t="shared" si="255"/>
        <v>0</v>
      </c>
      <c r="AD932" s="3">
        <f>IF(AND($M932=1,LEFT(对接源_01水果!$D932,4)="成品出库"),1,0)</f>
        <v>0</v>
      </c>
      <c r="AE932" s="3">
        <f t="shared" si="256"/>
        <v>0</v>
      </c>
      <c r="AF932" s="3">
        <f>IF(AND($N932=1,AND(LEFT(对接源_01水果!$D932,4)="包装物料",N(对接源_01水果!$K932)&lt;&gt;0)),1,0)</f>
        <v>0</v>
      </c>
      <c r="AG932" s="3">
        <f t="shared" si="257"/>
        <v>0</v>
      </c>
      <c r="AH932" s="3">
        <f>IF(AND($N932=1,AND(对接源_01水果!$D932="周转筐－销售出库",N(对接源_01水果!$K932)&lt;&gt;0)),1,0)</f>
        <v>0</v>
      </c>
      <c r="AI932" s="3">
        <f t="shared" si="258"/>
        <v>0</v>
      </c>
      <c r="AJ932" s="7"/>
      <c r="AL932" s="3">
        <f>IF(OR($AL$1="",对接源_01水果!$Y932="",对接源_01水果!$Y932&lt;&gt;$AL$1,对接源_01水果!$B932="",N(对接源_01水果!$AJ932)&lt;=0),0,IF(OR(N(对接源_01水果!$B932)&lt;$AL$2,N(对接源_01水果!$B932)&gt;$AL$3),0,1))</f>
        <v>0</v>
      </c>
      <c r="AM932" s="3">
        <f t="shared" si="259"/>
        <v>1</v>
      </c>
      <c r="AN932" s="3" t="str">
        <f>IF(对接源_01水果!$AC932="","",对接源_01水果!$AC932)</f>
        <v/>
      </c>
      <c r="AO932" s="3">
        <f t="shared" si="260"/>
        <v>0</v>
      </c>
      <c r="AP932" s="3">
        <f t="shared" si="261"/>
        <v>8</v>
      </c>
      <c r="AR932">
        <f t="shared" si="262"/>
        <v>0</v>
      </c>
      <c r="AS932">
        <f t="shared" si="263"/>
        <v>0</v>
      </c>
    </row>
    <row r="933" ht="14.25" customHeight="1" spans="1:45">
      <c r="A933" s="3" t="str">
        <f>IF(对接源_01水果!$C933="","",对接源_01水果!$C933)</f>
        <v/>
      </c>
      <c r="B933" s="3">
        <f t="shared" si="247"/>
        <v>0</v>
      </c>
      <c r="C933" s="3">
        <f t="shared" si="248"/>
        <v>18</v>
      </c>
      <c r="K933" s="3">
        <f>IF(OR($K$1="",对接源_01水果!$C933="",对接源_01水果!$C933&lt;&gt;$K$1,对接源_01水果!$B933=""),0,IF(OR(N(对接源_01水果!$B933)&lt;$K$2,N(对接源_01水果!$B933)&gt;$K$3),0,1))</f>
        <v>0</v>
      </c>
      <c r="L933" s="3">
        <f>IF(OR($L$1="",对接源_01水果!$C933="",对接源_01水果!$C933&lt;&gt;$L$1,对接源_01水果!$B933=""),0,IF(OR(N(对接源_01水果!$B933)&lt;$L$2,N(对接源_01水果!$B933)&gt;$L$3),0,1))</f>
        <v>0</v>
      </c>
      <c r="M933" s="3">
        <f>IF(OR($M$1="",对接源_01水果!$C933="",对接源_01水果!$C933&lt;&gt;$M$1,对接源_01水果!$B933=""),0,IF(OR(N(对接源_01水果!$B933)&lt;$M$2,N(对接源_01水果!$B933)&gt;$M$3),0,1))</f>
        <v>0</v>
      </c>
      <c r="N933" s="3">
        <f>IF(OR($N$1="",对接源_01水果!$C933="",对接源_01水果!$C933&lt;&gt;$N$1,对接源_01水果!$B933=""),0,IF(OR(N(对接源_01水果!$B933)&lt;$N$2,N(对接源_01水果!$B933)&gt;$N$3),0,1))</f>
        <v>0</v>
      </c>
      <c r="P933" s="3">
        <f>IF(AND($K933=1,AND(对接源_01水果!$X933="公司筐",N(对接源_01水果!$T933)&lt;&gt;0)),1,0)</f>
        <v>0</v>
      </c>
      <c r="Q933" s="3">
        <f t="shared" si="249"/>
        <v>0</v>
      </c>
      <c r="R933" s="3">
        <f>IF(AND($K933=1,AND(对接源_01水果!$X933="公司筐",N(对接源_01水果!$U933)&lt;&gt;0)),1,0)</f>
        <v>0</v>
      </c>
      <c r="S933" s="3">
        <f t="shared" si="250"/>
        <v>0</v>
      </c>
      <c r="T933" s="3">
        <f>IF(AND($K933=1,AND(对接源_01水果!$X933="公司筐",N(对接源_01水果!$V933)&lt;&gt;0)),1,0)</f>
        <v>0</v>
      </c>
      <c r="U933" s="3">
        <f t="shared" si="251"/>
        <v>19</v>
      </c>
      <c r="V933" s="3">
        <f>IF(AND($L933=1,AND(对接源_01水果!$X933="自备筐",N(对接源_01水果!$V933)&lt;&gt;0)),1,0)</f>
        <v>0</v>
      </c>
      <c r="W933" s="3">
        <f t="shared" si="252"/>
        <v>8</v>
      </c>
      <c r="X933" s="3">
        <f>IF(AND($L933=1,AND(对接源_01水果!$X933="自备筐",N(对接源_01水果!$T933)&lt;&gt;0)),1,0)</f>
        <v>0</v>
      </c>
      <c r="Y933" s="3">
        <f t="shared" si="253"/>
        <v>0</v>
      </c>
      <c r="Z933" s="3">
        <f>IF(AND($M933=1,对接源_01水果!$D933="原料入库"),1,0)</f>
        <v>0</v>
      </c>
      <c r="AA933" s="3">
        <f t="shared" si="254"/>
        <v>24</v>
      </c>
      <c r="AB933" s="3">
        <f>IF(AND($M933=1,LEFT(对接源_01水果!$D933,4)="原料出库"),1,0)</f>
        <v>0</v>
      </c>
      <c r="AC933" s="3">
        <f t="shared" si="255"/>
        <v>0</v>
      </c>
      <c r="AD933" s="3">
        <f>IF(AND($M933=1,LEFT(对接源_01水果!$D933,4)="成品出库"),1,0)</f>
        <v>0</v>
      </c>
      <c r="AE933" s="3">
        <f t="shared" si="256"/>
        <v>0</v>
      </c>
      <c r="AF933" s="3">
        <f>IF(AND($N933=1,AND(LEFT(对接源_01水果!$D933,4)="包装物料",N(对接源_01水果!$K933)&lt;&gt;0)),1,0)</f>
        <v>0</v>
      </c>
      <c r="AG933" s="3">
        <f t="shared" si="257"/>
        <v>0</v>
      </c>
      <c r="AH933" s="3">
        <f>IF(AND($N933=1,AND(对接源_01水果!$D933="周转筐－销售出库",N(对接源_01水果!$K933)&lt;&gt;0)),1,0)</f>
        <v>0</v>
      </c>
      <c r="AI933" s="3">
        <f t="shared" si="258"/>
        <v>0</v>
      </c>
      <c r="AJ933" s="7"/>
      <c r="AL933" s="3">
        <f>IF(OR($AL$1="",对接源_01水果!$Y933="",对接源_01水果!$Y933&lt;&gt;$AL$1,对接源_01水果!$B933="",N(对接源_01水果!$AJ933)&lt;=0),0,IF(OR(N(对接源_01水果!$B933)&lt;$AL$2,N(对接源_01水果!$B933)&gt;$AL$3),0,1))</f>
        <v>0</v>
      </c>
      <c r="AM933" s="3">
        <f t="shared" si="259"/>
        <v>1</v>
      </c>
      <c r="AN933" s="3" t="str">
        <f>IF(对接源_01水果!$AC933="","",对接源_01水果!$AC933)</f>
        <v/>
      </c>
      <c r="AO933" s="3">
        <f t="shared" si="260"/>
        <v>0</v>
      </c>
      <c r="AP933" s="3">
        <f t="shared" si="261"/>
        <v>8</v>
      </c>
      <c r="AR933">
        <f t="shared" si="262"/>
        <v>0</v>
      </c>
      <c r="AS933">
        <f t="shared" si="263"/>
        <v>0</v>
      </c>
    </row>
    <row r="934" ht="14.25" customHeight="1" spans="1:45">
      <c r="A934" s="3" t="str">
        <f>IF(对接源_01水果!$C934="","",对接源_01水果!$C934)</f>
        <v/>
      </c>
      <c r="B934" s="3">
        <f t="shared" si="247"/>
        <v>0</v>
      </c>
      <c r="C934" s="3">
        <f t="shared" si="248"/>
        <v>18</v>
      </c>
      <c r="K934" s="3">
        <f>IF(OR($K$1="",对接源_01水果!$C934="",对接源_01水果!$C934&lt;&gt;$K$1,对接源_01水果!$B934=""),0,IF(OR(N(对接源_01水果!$B934)&lt;$K$2,N(对接源_01水果!$B934)&gt;$K$3),0,1))</f>
        <v>0</v>
      </c>
      <c r="L934" s="3">
        <f>IF(OR($L$1="",对接源_01水果!$C934="",对接源_01水果!$C934&lt;&gt;$L$1,对接源_01水果!$B934=""),0,IF(OR(N(对接源_01水果!$B934)&lt;$L$2,N(对接源_01水果!$B934)&gt;$L$3),0,1))</f>
        <v>0</v>
      </c>
      <c r="M934" s="3">
        <f>IF(OR($M$1="",对接源_01水果!$C934="",对接源_01水果!$C934&lt;&gt;$M$1,对接源_01水果!$B934=""),0,IF(OR(N(对接源_01水果!$B934)&lt;$M$2,N(对接源_01水果!$B934)&gt;$M$3),0,1))</f>
        <v>0</v>
      </c>
      <c r="N934" s="3">
        <f>IF(OR($N$1="",对接源_01水果!$C934="",对接源_01水果!$C934&lt;&gt;$N$1,对接源_01水果!$B934=""),0,IF(OR(N(对接源_01水果!$B934)&lt;$N$2,N(对接源_01水果!$B934)&gt;$N$3),0,1))</f>
        <v>0</v>
      </c>
      <c r="P934" s="3">
        <f>IF(AND($K934=1,AND(对接源_01水果!$X934="公司筐",N(对接源_01水果!$T934)&lt;&gt;0)),1,0)</f>
        <v>0</v>
      </c>
      <c r="Q934" s="3">
        <f t="shared" si="249"/>
        <v>0</v>
      </c>
      <c r="R934" s="3">
        <f>IF(AND($K934=1,AND(对接源_01水果!$X934="公司筐",N(对接源_01水果!$U934)&lt;&gt;0)),1,0)</f>
        <v>0</v>
      </c>
      <c r="S934" s="3">
        <f t="shared" si="250"/>
        <v>0</v>
      </c>
      <c r="T934" s="3">
        <f>IF(AND($K934=1,AND(对接源_01水果!$X934="公司筐",N(对接源_01水果!$V934)&lt;&gt;0)),1,0)</f>
        <v>0</v>
      </c>
      <c r="U934" s="3">
        <f t="shared" si="251"/>
        <v>19</v>
      </c>
      <c r="V934" s="3">
        <f>IF(AND($L934=1,AND(对接源_01水果!$X934="自备筐",N(对接源_01水果!$V934)&lt;&gt;0)),1,0)</f>
        <v>0</v>
      </c>
      <c r="W934" s="3">
        <f t="shared" si="252"/>
        <v>8</v>
      </c>
      <c r="X934" s="3">
        <f>IF(AND($L934=1,AND(对接源_01水果!$X934="自备筐",N(对接源_01水果!$T934)&lt;&gt;0)),1,0)</f>
        <v>0</v>
      </c>
      <c r="Y934" s="3">
        <f t="shared" si="253"/>
        <v>0</v>
      </c>
      <c r="Z934" s="3">
        <f>IF(AND($M934=1,对接源_01水果!$D934="原料入库"),1,0)</f>
        <v>0</v>
      </c>
      <c r="AA934" s="3">
        <f t="shared" si="254"/>
        <v>24</v>
      </c>
      <c r="AB934" s="3">
        <f>IF(AND($M934=1,LEFT(对接源_01水果!$D934,4)="原料出库"),1,0)</f>
        <v>0</v>
      </c>
      <c r="AC934" s="3">
        <f t="shared" si="255"/>
        <v>0</v>
      </c>
      <c r="AD934" s="3">
        <f>IF(AND($M934=1,LEFT(对接源_01水果!$D934,4)="成品出库"),1,0)</f>
        <v>0</v>
      </c>
      <c r="AE934" s="3">
        <f t="shared" si="256"/>
        <v>0</v>
      </c>
      <c r="AF934" s="3">
        <f>IF(AND($N934=1,AND(LEFT(对接源_01水果!$D934,4)="包装物料",N(对接源_01水果!$K934)&lt;&gt;0)),1,0)</f>
        <v>0</v>
      </c>
      <c r="AG934" s="3">
        <f t="shared" si="257"/>
        <v>0</v>
      </c>
      <c r="AH934" s="3">
        <f>IF(AND($N934=1,AND(对接源_01水果!$D934="周转筐－销售出库",N(对接源_01水果!$K934)&lt;&gt;0)),1,0)</f>
        <v>0</v>
      </c>
      <c r="AI934" s="3">
        <f t="shared" si="258"/>
        <v>0</v>
      </c>
      <c r="AJ934" s="7"/>
      <c r="AL934" s="3">
        <f>IF(OR($AL$1="",对接源_01水果!$Y934="",对接源_01水果!$Y934&lt;&gt;$AL$1,对接源_01水果!$B934="",N(对接源_01水果!$AJ934)&lt;=0),0,IF(OR(N(对接源_01水果!$B934)&lt;$AL$2,N(对接源_01水果!$B934)&gt;$AL$3),0,1))</f>
        <v>0</v>
      </c>
      <c r="AM934" s="3">
        <f t="shared" si="259"/>
        <v>1</v>
      </c>
      <c r="AN934" s="3" t="str">
        <f>IF(对接源_01水果!$AC934="","",对接源_01水果!$AC934)</f>
        <v/>
      </c>
      <c r="AO934" s="3">
        <f t="shared" si="260"/>
        <v>0</v>
      </c>
      <c r="AP934" s="3">
        <f t="shared" si="261"/>
        <v>8</v>
      </c>
      <c r="AR934">
        <f t="shared" si="262"/>
        <v>0</v>
      </c>
      <c r="AS934">
        <f t="shared" si="263"/>
        <v>0</v>
      </c>
    </row>
    <row r="935" ht="14.25" customHeight="1" spans="1:45">
      <c r="A935" s="3" t="str">
        <f>IF(对接源_01水果!$C935="","",对接源_01水果!$C935)</f>
        <v/>
      </c>
      <c r="B935" s="3">
        <f t="shared" si="247"/>
        <v>0</v>
      </c>
      <c r="C935" s="3">
        <f t="shared" si="248"/>
        <v>18</v>
      </c>
      <c r="K935" s="3">
        <f>IF(OR($K$1="",对接源_01水果!$C935="",对接源_01水果!$C935&lt;&gt;$K$1,对接源_01水果!$B935=""),0,IF(OR(N(对接源_01水果!$B935)&lt;$K$2,N(对接源_01水果!$B935)&gt;$K$3),0,1))</f>
        <v>0</v>
      </c>
      <c r="L935" s="3">
        <f>IF(OR($L$1="",对接源_01水果!$C935="",对接源_01水果!$C935&lt;&gt;$L$1,对接源_01水果!$B935=""),0,IF(OR(N(对接源_01水果!$B935)&lt;$L$2,N(对接源_01水果!$B935)&gt;$L$3),0,1))</f>
        <v>0</v>
      </c>
      <c r="M935" s="3">
        <f>IF(OR($M$1="",对接源_01水果!$C935="",对接源_01水果!$C935&lt;&gt;$M$1,对接源_01水果!$B935=""),0,IF(OR(N(对接源_01水果!$B935)&lt;$M$2,N(对接源_01水果!$B935)&gt;$M$3),0,1))</f>
        <v>0</v>
      </c>
      <c r="N935" s="3">
        <f>IF(OR($N$1="",对接源_01水果!$C935="",对接源_01水果!$C935&lt;&gt;$N$1,对接源_01水果!$B935=""),0,IF(OR(N(对接源_01水果!$B935)&lt;$N$2,N(对接源_01水果!$B935)&gt;$N$3),0,1))</f>
        <v>0</v>
      </c>
      <c r="P935" s="3">
        <f>IF(AND($K935=1,AND(对接源_01水果!$X935="公司筐",N(对接源_01水果!$T935)&lt;&gt;0)),1,0)</f>
        <v>0</v>
      </c>
      <c r="Q935" s="3">
        <f t="shared" si="249"/>
        <v>0</v>
      </c>
      <c r="R935" s="3">
        <f>IF(AND($K935=1,AND(对接源_01水果!$X935="公司筐",N(对接源_01水果!$U935)&lt;&gt;0)),1,0)</f>
        <v>0</v>
      </c>
      <c r="S935" s="3">
        <f t="shared" si="250"/>
        <v>0</v>
      </c>
      <c r="T935" s="3">
        <f>IF(AND($K935=1,AND(对接源_01水果!$X935="公司筐",N(对接源_01水果!$V935)&lt;&gt;0)),1,0)</f>
        <v>0</v>
      </c>
      <c r="U935" s="3">
        <f t="shared" si="251"/>
        <v>19</v>
      </c>
      <c r="V935" s="3">
        <f>IF(AND($L935=1,AND(对接源_01水果!$X935="自备筐",N(对接源_01水果!$V935)&lt;&gt;0)),1,0)</f>
        <v>0</v>
      </c>
      <c r="W935" s="3">
        <f t="shared" si="252"/>
        <v>8</v>
      </c>
      <c r="X935" s="3">
        <f>IF(AND($L935=1,AND(对接源_01水果!$X935="自备筐",N(对接源_01水果!$T935)&lt;&gt;0)),1,0)</f>
        <v>0</v>
      </c>
      <c r="Y935" s="3">
        <f t="shared" si="253"/>
        <v>0</v>
      </c>
      <c r="Z935" s="3">
        <f>IF(AND($M935=1,对接源_01水果!$D935="原料入库"),1,0)</f>
        <v>0</v>
      </c>
      <c r="AA935" s="3">
        <f t="shared" si="254"/>
        <v>24</v>
      </c>
      <c r="AB935" s="3">
        <f>IF(AND($M935=1,LEFT(对接源_01水果!$D935,4)="原料出库"),1,0)</f>
        <v>0</v>
      </c>
      <c r="AC935" s="3">
        <f t="shared" si="255"/>
        <v>0</v>
      </c>
      <c r="AD935" s="3">
        <f>IF(AND($M935=1,LEFT(对接源_01水果!$D935,4)="成品出库"),1,0)</f>
        <v>0</v>
      </c>
      <c r="AE935" s="3">
        <f t="shared" si="256"/>
        <v>0</v>
      </c>
      <c r="AF935" s="3">
        <f>IF(AND($N935=1,AND(LEFT(对接源_01水果!$D935,4)="包装物料",N(对接源_01水果!$K935)&lt;&gt;0)),1,0)</f>
        <v>0</v>
      </c>
      <c r="AG935" s="3">
        <f t="shared" si="257"/>
        <v>0</v>
      </c>
      <c r="AH935" s="3">
        <f>IF(AND($N935=1,AND(对接源_01水果!$D935="周转筐－销售出库",N(对接源_01水果!$K935)&lt;&gt;0)),1,0)</f>
        <v>0</v>
      </c>
      <c r="AI935" s="3">
        <f t="shared" si="258"/>
        <v>0</v>
      </c>
      <c r="AJ935" s="7"/>
      <c r="AL935" s="3">
        <f>IF(OR($AL$1="",对接源_01水果!$Y935="",对接源_01水果!$Y935&lt;&gt;$AL$1,对接源_01水果!$B935="",N(对接源_01水果!$AJ935)&lt;=0),0,IF(OR(N(对接源_01水果!$B935)&lt;$AL$2,N(对接源_01水果!$B935)&gt;$AL$3),0,1))</f>
        <v>0</v>
      </c>
      <c r="AM935" s="3">
        <f t="shared" si="259"/>
        <v>1</v>
      </c>
      <c r="AN935" s="3" t="str">
        <f>IF(对接源_01水果!$AC935="","",对接源_01水果!$AC935)</f>
        <v/>
      </c>
      <c r="AO935" s="3">
        <f t="shared" si="260"/>
        <v>0</v>
      </c>
      <c r="AP935" s="3">
        <f t="shared" si="261"/>
        <v>8</v>
      </c>
      <c r="AR935">
        <f t="shared" si="262"/>
        <v>0</v>
      </c>
      <c r="AS935">
        <f t="shared" si="263"/>
        <v>0</v>
      </c>
    </row>
    <row r="936" ht="14.25" customHeight="1" spans="1:45">
      <c r="A936" s="3" t="str">
        <f>IF(对接源_01水果!$C936="","",对接源_01水果!$C936)</f>
        <v/>
      </c>
      <c r="B936" s="3">
        <f t="shared" si="247"/>
        <v>0</v>
      </c>
      <c r="C936" s="3">
        <f t="shared" si="248"/>
        <v>18</v>
      </c>
      <c r="K936" s="3">
        <f>IF(OR($K$1="",对接源_01水果!$C936="",对接源_01水果!$C936&lt;&gt;$K$1,对接源_01水果!$B936=""),0,IF(OR(N(对接源_01水果!$B936)&lt;$K$2,N(对接源_01水果!$B936)&gt;$K$3),0,1))</f>
        <v>0</v>
      </c>
      <c r="L936" s="3">
        <f>IF(OR($L$1="",对接源_01水果!$C936="",对接源_01水果!$C936&lt;&gt;$L$1,对接源_01水果!$B936=""),0,IF(OR(N(对接源_01水果!$B936)&lt;$L$2,N(对接源_01水果!$B936)&gt;$L$3),0,1))</f>
        <v>0</v>
      </c>
      <c r="M936" s="3">
        <f>IF(OR($M$1="",对接源_01水果!$C936="",对接源_01水果!$C936&lt;&gt;$M$1,对接源_01水果!$B936=""),0,IF(OR(N(对接源_01水果!$B936)&lt;$M$2,N(对接源_01水果!$B936)&gt;$M$3),0,1))</f>
        <v>0</v>
      </c>
      <c r="N936" s="3">
        <f>IF(OR($N$1="",对接源_01水果!$C936="",对接源_01水果!$C936&lt;&gt;$N$1,对接源_01水果!$B936=""),0,IF(OR(N(对接源_01水果!$B936)&lt;$N$2,N(对接源_01水果!$B936)&gt;$N$3),0,1))</f>
        <v>0</v>
      </c>
      <c r="P936" s="3">
        <f>IF(AND($K936=1,AND(对接源_01水果!$X936="公司筐",N(对接源_01水果!$T936)&lt;&gt;0)),1,0)</f>
        <v>0</v>
      </c>
      <c r="Q936" s="3">
        <f t="shared" si="249"/>
        <v>0</v>
      </c>
      <c r="R936" s="3">
        <f>IF(AND($K936=1,AND(对接源_01水果!$X936="公司筐",N(对接源_01水果!$U936)&lt;&gt;0)),1,0)</f>
        <v>0</v>
      </c>
      <c r="S936" s="3">
        <f t="shared" si="250"/>
        <v>0</v>
      </c>
      <c r="T936" s="3">
        <f>IF(AND($K936=1,AND(对接源_01水果!$X936="公司筐",N(对接源_01水果!$V936)&lt;&gt;0)),1,0)</f>
        <v>0</v>
      </c>
      <c r="U936" s="3">
        <f t="shared" si="251"/>
        <v>19</v>
      </c>
      <c r="V936" s="3">
        <f>IF(AND($L936=1,AND(对接源_01水果!$X936="自备筐",N(对接源_01水果!$V936)&lt;&gt;0)),1,0)</f>
        <v>0</v>
      </c>
      <c r="W936" s="3">
        <f t="shared" si="252"/>
        <v>8</v>
      </c>
      <c r="X936" s="3">
        <f>IF(AND($L936=1,AND(对接源_01水果!$X936="自备筐",N(对接源_01水果!$T936)&lt;&gt;0)),1,0)</f>
        <v>0</v>
      </c>
      <c r="Y936" s="3">
        <f t="shared" si="253"/>
        <v>0</v>
      </c>
      <c r="Z936" s="3">
        <f>IF(AND($M936=1,对接源_01水果!$D936="原料入库"),1,0)</f>
        <v>0</v>
      </c>
      <c r="AA936" s="3">
        <f t="shared" si="254"/>
        <v>24</v>
      </c>
      <c r="AB936" s="3">
        <f>IF(AND($M936=1,LEFT(对接源_01水果!$D936,4)="原料出库"),1,0)</f>
        <v>0</v>
      </c>
      <c r="AC936" s="3">
        <f t="shared" si="255"/>
        <v>0</v>
      </c>
      <c r="AD936" s="3">
        <f>IF(AND($M936=1,LEFT(对接源_01水果!$D936,4)="成品出库"),1,0)</f>
        <v>0</v>
      </c>
      <c r="AE936" s="3">
        <f t="shared" si="256"/>
        <v>0</v>
      </c>
      <c r="AF936" s="3">
        <f>IF(AND($N936=1,AND(LEFT(对接源_01水果!$D936,4)="包装物料",N(对接源_01水果!$K936)&lt;&gt;0)),1,0)</f>
        <v>0</v>
      </c>
      <c r="AG936" s="3">
        <f t="shared" si="257"/>
        <v>0</v>
      </c>
      <c r="AH936" s="3">
        <f>IF(AND($N936=1,AND(对接源_01水果!$D936="周转筐－销售出库",N(对接源_01水果!$K936)&lt;&gt;0)),1,0)</f>
        <v>0</v>
      </c>
      <c r="AI936" s="3">
        <f t="shared" si="258"/>
        <v>0</v>
      </c>
      <c r="AJ936" s="7"/>
      <c r="AL936" s="3">
        <f>IF(OR($AL$1="",对接源_01水果!$Y936="",对接源_01水果!$Y936&lt;&gt;$AL$1,对接源_01水果!$B936="",N(对接源_01水果!$AJ936)&lt;=0),0,IF(OR(N(对接源_01水果!$B936)&lt;$AL$2,N(对接源_01水果!$B936)&gt;$AL$3),0,1))</f>
        <v>0</v>
      </c>
      <c r="AM936" s="3">
        <f t="shared" si="259"/>
        <v>1</v>
      </c>
      <c r="AN936" s="3" t="str">
        <f>IF(对接源_01水果!$AC936="","",对接源_01水果!$AC936)</f>
        <v/>
      </c>
      <c r="AO936" s="3">
        <f t="shared" si="260"/>
        <v>0</v>
      </c>
      <c r="AP936" s="3">
        <f t="shared" si="261"/>
        <v>8</v>
      </c>
      <c r="AR936">
        <f t="shared" si="262"/>
        <v>0</v>
      </c>
      <c r="AS936">
        <f t="shared" si="263"/>
        <v>0</v>
      </c>
    </row>
    <row r="937" ht="14.25" customHeight="1" spans="1:45">
      <c r="A937" s="3" t="str">
        <f>IF(对接源_01水果!$C937="","",对接源_01水果!$C937)</f>
        <v/>
      </c>
      <c r="B937" s="3">
        <f t="shared" si="247"/>
        <v>0</v>
      </c>
      <c r="C937" s="3">
        <f t="shared" si="248"/>
        <v>18</v>
      </c>
      <c r="K937" s="3">
        <f>IF(OR($K$1="",对接源_01水果!$C937="",对接源_01水果!$C937&lt;&gt;$K$1,对接源_01水果!$B937=""),0,IF(OR(N(对接源_01水果!$B937)&lt;$K$2,N(对接源_01水果!$B937)&gt;$K$3),0,1))</f>
        <v>0</v>
      </c>
      <c r="L937" s="3">
        <f>IF(OR($L$1="",对接源_01水果!$C937="",对接源_01水果!$C937&lt;&gt;$L$1,对接源_01水果!$B937=""),0,IF(OR(N(对接源_01水果!$B937)&lt;$L$2,N(对接源_01水果!$B937)&gt;$L$3),0,1))</f>
        <v>0</v>
      </c>
      <c r="M937" s="3">
        <f>IF(OR($M$1="",对接源_01水果!$C937="",对接源_01水果!$C937&lt;&gt;$M$1,对接源_01水果!$B937=""),0,IF(OR(N(对接源_01水果!$B937)&lt;$M$2,N(对接源_01水果!$B937)&gt;$M$3),0,1))</f>
        <v>0</v>
      </c>
      <c r="N937" s="3">
        <f>IF(OR($N$1="",对接源_01水果!$C937="",对接源_01水果!$C937&lt;&gt;$N$1,对接源_01水果!$B937=""),0,IF(OR(N(对接源_01水果!$B937)&lt;$N$2,N(对接源_01水果!$B937)&gt;$N$3),0,1))</f>
        <v>0</v>
      </c>
      <c r="P937" s="3">
        <f>IF(AND($K937=1,AND(对接源_01水果!$X937="公司筐",N(对接源_01水果!$T937)&lt;&gt;0)),1,0)</f>
        <v>0</v>
      </c>
      <c r="Q937" s="3">
        <f t="shared" si="249"/>
        <v>0</v>
      </c>
      <c r="R937" s="3">
        <f>IF(AND($K937=1,AND(对接源_01水果!$X937="公司筐",N(对接源_01水果!$U937)&lt;&gt;0)),1,0)</f>
        <v>0</v>
      </c>
      <c r="S937" s="3">
        <f t="shared" si="250"/>
        <v>0</v>
      </c>
      <c r="T937" s="3">
        <f>IF(AND($K937=1,AND(对接源_01水果!$X937="公司筐",N(对接源_01水果!$V937)&lt;&gt;0)),1,0)</f>
        <v>0</v>
      </c>
      <c r="U937" s="3">
        <f t="shared" si="251"/>
        <v>19</v>
      </c>
      <c r="V937" s="3">
        <f>IF(AND($L937=1,AND(对接源_01水果!$X937="自备筐",N(对接源_01水果!$V937)&lt;&gt;0)),1,0)</f>
        <v>0</v>
      </c>
      <c r="W937" s="3">
        <f t="shared" si="252"/>
        <v>8</v>
      </c>
      <c r="X937" s="3">
        <f>IF(AND($L937=1,AND(对接源_01水果!$X937="自备筐",N(对接源_01水果!$T937)&lt;&gt;0)),1,0)</f>
        <v>0</v>
      </c>
      <c r="Y937" s="3">
        <f t="shared" si="253"/>
        <v>0</v>
      </c>
      <c r="Z937" s="3">
        <f>IF(AND($M937=1,对接源_01水果!$D937="原料入库"),1,0)</f>
        <v>0</v>
      </c>
      <c r="AA937" s="3">
        <f t="shared" si="254"/>
        <v>24</v>
      </c>
      <c r="AB937" s="3">
        <f>IF(AND($M937=1,LEFT(对接源_01水果!$D937,4)="原料出库"),1,0)</f>
        <v>0</v>
      </c>
      <c r="AC937" s="3">
        <f t="shared" si="255"/>
        <v>0</v>
      </c>
      <c r="AD937" s="3">
        <f>IF(AND($M937=1,LEFT(对接源_01水果!$D937,4)="成品出库"),1,0)</f>
        <v>0</v>
      </c>
      <c r="AE937" s="3">
        <f t="shared" si="256"/>
        <v>0</v>
      </c>
      <c r="AF937" s="3">
        <f>IF(AND($N937=1,AND(LEFT(对接源_01水果!$D937,4)="包装物料",N(对接源_01水果!$K937)&lt;&gt;0)),1,0)</f>
        <v>0</v>
      </c>
      <c r="AG937" s="3">
        <f t="shared" si="257"/>
        <v>0</v>
      </c>
      <c r="AH937" s="3">
        <f>IF(AND($N937=1,AND(对接源_01水果!$D937="周转筐－销售出库",N(对接源_01水果!$K937)&lt;&gt;0)),1,0)</f>
        <v>0</v>
      </c>
      <c r="AI937" s="3">
        <f t="shared" si="258"/>
        <v>0</v>
      </c>
      <c r="AJ937" s="7"/>
      <c r="AL937" s="3">
        <f>IF(OR($AL$1="",对接源_01水果!$Y937="",对接源_01水果!$Y937&lt;&gt;$AL$1,对接源_01水果!$B937="",N(对接源_01水果!$AJ937)&lt;=0),0,IF(OR(N(对接源_01水果!$B937)&lt;$AL$2,N(对接源_01水果!$B937)&gt;$AL$3),0,1))</f>
        <v>0</v>
      </c>
      <c r="AM937" s="3">
        <f t="shared" si="259"/>
        <v>1</v>
      </c>
      <c r="AN937" s="3" t="str">
        <f>IF(对接源_01水果!$AC937="","",对接源_01水果!$AC937)</f>
        <v/>
      </c>
      <c r="AO937" s="3">
        <f t="shared" si="260"/>
        <v>0</v>
      </c>
      <c r="AP937" s="3">
        <f t="shared" si="261"/>
        <v>8</v>
      </c>
      <c r="AR937">
        <f t="shared" si="262"/>
        <v>0</v>
      </c>
      <c r="AS937">
        <f t="shared" si="263"/>
        <v>0</v>
      </c>
    </row>
    <row r="938" ht="14.25" customHeight="1" spans="1:45">
      <c r="A938" s="3" t="str">
        <f>IF(对接源_01水果!$C938="","",对接源_01水果!$C938)</f>
        <v/>
      </c>
      <c r="B938" s="3">
        <f t="shared" si="247"/>
        <v>0</v>
      </c>
      <c r="C938" s="3">
        <f t="shared" si="248"/>
        <v>18</v>
      </c>
      <c r="K938" s="3">
        <f>IF(OR($K$1="",对接源_01水果!$C938="",对接源_01水果!$C938&lt;&gt;$K$1,对接源_01水果!$B938=""),0,IF(OR(N(对接源_01水果!$B938)&lt;$K$2,N(对接源_01水果!$B938)&gt;$K$3),0,1))</f>
        <v>0</v>
      </c>
      <c r="L938" s="3">
        <f>IF(OR($L$1="",对接源_01水果!$C938="",对接源_01水果!$C938&lt;&gt;$L$1,对接源_01水果!$B938=""),0,IF(OR(N(对接源_01水果!$B938)&lt;$L$2,N(对接源_01水果!$B938)&gt;$L$3),0,1))</f>
        <v>0</v>
      </c>
      <c r="M938" s="3">
        <f>IF(OR($M$1="",对接源_01水果!$C938="",对接源_01水果!$C938&lt;&gt;$M$1,对接源_01水果!$B938=""),0,IF(OR(N(对接源_01水果!$B938)&lt;$M$2,N(对接源_01水果!$B938)&gt;$M$3),0,1))</f>
        <v>0</v>
      </c>
      <c r="N938" s="3">
        <f>IF(OR($N$1="",对接源_01水果!$C938="",对接源_01水果!$C938&lt;&gt;$N$1,对接源_01水果!$B938=""),0,IF(OR(N(对接源_01水果!$B938)&lt;$N$2,N(对接源_01水果!$B938)&gt;$N$3),0,1))</f>
        <v>0</v>
      </c>
      <c r="P938" s="3">
        <f>IF(AND($K938=1,AND(对接源_01水果!$X938="公司筐",N(对接源_01水果!$T938)&lt;&gt;0)),1,0)</f>
        <v>0</v>
      </c>
      <c r="Q938" s="3">
        <f t="shared" si="249"/>
        <v>0</v>
      </c>
      <c r="R938" s="3">
        <f>IF(AND($K938=1,AND(对接源_01水果!$X938="公司筐",N(对接源_01水果!$U938)&lt;&gt;0)),1,0)</f>
        <v>0</v>
      </c>
      <c r="S938" s="3">
        <f t="shared" si="250"/>
        <v>0</v>
      </c>
      <c r="T938" s="3">
        <f>IF(AND($K938=1,AND(对接源_01水果!$X938="公司筐",N(对接源_01水果!$V938)&lt;&gt;0)),1,0)</f>
        <v>0</v>
      </c>
      <c r="U938" s="3">
        <f t="shared" si="251"/>
        <v>19</v>
      </c>
      <c r="V938" s="3">
        <f>IF(AND($L938=1,AND(对接源_01水果!$X938="自备筐",N(对接源_01水果!$V938)&lt;&gt;0)),1,0)</f>
        <v>0</v>
      </c>
      <c r="W938" s="3">
        <f t="shared" si="252"/>
        <v>8</v>
      </c>
      <c r="X938" s="3">
        <f>IF(AND($L938=1,AND(对接源_01水果!$X938="自备筐",N(对接源_01水果!$T938)&lt;&gt;0)),1,0)</f>
        <v>0</v>
      </c>
      <c r="Y938" s="3">
        <f t="shared" si="253"/>
        <v>0</v>
      </c>
      <c r="Z938" s="3">
        <f>IF(AND($M938=1,对接源_01水果!$D938="原料入库"),1,0)</f>
        <v>0</v>
      </c>
      <c r="AA938" s="3">
        <f t="shared" si="254"/>
        <v>24</v>
      </c>
      <c r="AB938" s="3">
        <f>IF(AND($M938=1,LEFT(对接源_01水果!$D938,4)="原料出库"),1,0)</f>
        <v>0</v>
      </c>
      <c r="AC938" s="3">
        <f t="shared" si="255"/>
        <v>0</v>
      </c>
      <c r="AD938" s="3">
        <f>IF(AND($M938=1,LEFT(对接源_01水果!$D938,4)="成品出库"),1,0)</f>
        <v>0</v>
      </c>
      <c r="AE938" s="3">
        <f t="shared" si="256"/>
        <v>0</v>
      </c>
      <c r="AF938" s="3">
        <f>IF(AND($N938=1,AND(LEFT(对接源_01水果!$D938,4)="包装物料",N(对接源_01水果!$K938)&lt;&gt;0)),1,0)</f>
        <v>0</v>
      </c>
      <c r="AG938" s="3">
        <f t="shared" si="257"/>
        <v>0</v>
      </c>
      <c r="AH938" s="3">
        <f>IF(AND($N938=1,AND(对接源_01水果!$D938="周转筐－销售出库",N(对接源_01水果!$K938)&lt;&gt;0)),1,0)</f>
        <v>0</v>
      </c>
      <c r="AI938" s="3">
        <f t="shared" si="258"/>
        <v>0</v>
      </c>
      <c r="AJ938" s="7"/>
      <c r="AL938" s="3">
        <f>IF(OR($AL$1="",对接源_01水果!$Y938="",对接源_01水果!$Y938&lt;&gt;$AL$1,对接源_01水果!$B938="",N(对接源_01水果!$AJ938)&lt;=0),0,IF(OR(N(对接源_01水果!$B938)&lt;$AL$2,N(对接源_01水果!$B938)&gt;$AL$3),0,1))</f>
        <v>0</v>
      </c>
      <c r="AM938" s="3">
        <f t="shared" si="259"/>
        <v>1</v>
      </c>
      <c r="AN938" s="3" t="str">
        <f>IF(对接源_01水果!$AC938="","",对接源_01水果!$AC938)</f>
        <v/>
      </c>
      <c r="AO938" s="3">
        <f t="shared" si="260"/>
        <v>0</v>
      </c>
      <c r="AP938" s="3">
        <f t="shared" si="261"/>
        <v>8</v>
      </c>
      <c r="AR938">
        <f t="shared" si="262"/>
        <v>0</v>
      </c>
      <c r="AS938">
        <f t="shared" si="263"/>
        <v>0</v>
      </c>
    </row>
    <row r="939" ht="14.25" customHeight="1" spans="1:45">
      <c r="A939" s="3" t="str">
        <f>IF(对接源_01水果!$C939="","",对接源_01水果!$C939)</f>
        <v/>
      </c>
      <c r="B939" s="3">
        <f t="shared" si="247"/>
        <v>0</v>
      </c>
      <c r="C939" s="3">
        <f t="shared" si="248"/>
        <v>18</v>
      </c>
      <c r="K939" s="3">
        <f>IF(OR($K$1="",对接源_01水果!$C939="",对接源_01水果!$C939&lt;&gt;$K$1,对接源_01水果!$B939=""),0,IF(OR(N(对接源_01水果!$B939)&lt;$K$2,N(对接源_01水果!$B939)&gt;$K$3),0,1))</f>
        <v>0</v>
      </c>
      <c r="L939" s="3">
        <f>IF(OR($L$1="",对接源_01水果!$C939="",对接源_01水果!$C939&lt;&gt;$L$1,对接源_01水果!$B939=""),0,IF(OR(N(对接源_01水果!$B939)&lt;$L$2,N(对接源_01水果!$B939)&gt;$L$3),0,1))</f>
        <v>0</v>
      </c>
      <c r="M939" s="3">
        <f>IF(OR($M$1="",对接源_01水果!$C939="",对接源_01水果!$C939&lt;&gt;$M$1,对接源_01水果!$B939=""),0,IF(OR(N(对接源_01水果!$B939)&lt;$M$2,N(对接源_01水果!$B939)&gt;$M$3),0,1))</f>
        <v>0</v>
      </c>
      <c r="N939" s="3">
        <f>IF(OR($N$1="",对接源_01水果!$C939="",对接源_01水果!$C939&lt;&gt;$N$1,对接源_01水果!$B939=""),0,IF(OR(N(对接源_01水果!$B939)&lt;$N$2,N(对接源_01水果!$B939)&gt;$N$3),0,1))</f>
        <v>0</v>
      </c>
      <c r="P939" s="3">
        <f>IF(AND($K939=1,AND(对接源_01水果!$X939="公司筐",N(对接源_01水果!$T939)&lt;&gt;0)),1,0)</f>
        <v>0</v>
      </c>
      <c r="Q939" s="3">
        <f t="shared" si="249"/>
        <v>0</v>
      </c>
      <c r="R939" s="3">
        <f>IF(AND($K939=1,AND(对接源_01水果!$X939="公司筐",N(对接源_01水果!$U939)&lt;&gt;0)),1,0)</f>
        <v>0</v>
      </c>
      <c r="S939" s="3">
        <f t="shared" si="250"/>
        <v>0</v>
      </c>
      <c r="T939" s="3">
        <f>IF(AND($K939=1,AND(对接源_01水果!$X939="公司筐",N(对接源_01水果!$V939)&lt;&gt;0)),1,0)</f>
        <v>0</v>
      </c>
      <c r="U939" s="3">
        <f t="shared" si="251"/>
        <v>19</v>
      </c>
      <c r="V939" s="3">
        <f>IF(AND($L939=1,AND(对接源_01水果!$X939="自备筐",N(对接源_01水果!$V939)&lt;&gt;0)),1,0)</f>
        <v>0</v>
      </c>
      <c r="W939" s="3">
        <f t="shared" si="252"/>
        <v>8</v>
      </c>
      <c r="X939" s="3">
        <f>IF(AND($L939=1,AND(对接源_01水果!$X939="自备筐",N(对接源_01水果!$T939)&lt;&gt;0)),1,0)</f>
        <v>0</v>
      </c>
      <c r="Y939" s="3">
        <f t="shared" si="253"/>
        <v>0</v>
      </c>
      <c r="Z939" s="3">
        <f>IF(AND($M939=1,对接源_01水果!$D939="原料入库"),1,0)</f>
        <v>0</v>
      </c>
      <c r="AA939" s="3">
        <f t="shared" si="254"/>
        <v>24</v>
      </c>
      <c r="AB939" s="3">
        <f>IF(AND($M939=1,LEFT(对接源_01水果!$D939,4)="原料出库"),1,0)</f>
        <v>0</v>
      </c>
      <c r="AC939" s="3">
        <f t="shared" si="255"/>
        <v>0</v>
      </c>
      <c r="AD939" s="3">
        <f>IF(AND($M939=1,LEFT(对接源_01水果!$D939,4)="成品出库"),1,0)</f>
        <v>0</v>
      </c>
      <c r="AE939" s="3">
        <f t="shared" si="256"/>
        <v>0</v>
      </c>
      <c r="AF939" s="3">
        <f>IF(AND($N939=1,AND(LEFT(对接源_01水果!$D939,4)="包装物料",N(对接源_01水果!$K939)&lt;&gt;0)),1,0)</f>
        <v>0</v>
      </c>
      <c r="AG939" s="3">
        <f t="shared" si="257"/>
        <v>0</v>
      </c>
      <c r="AH939" s="3">
        <f>IF(AND($N939=1,AND(对接源_01水果!$D939="周转筐－销售出库",N(对接源_01水果!$K939)&lt;&gt;0)),1,0)</f>
        <v>0</v>
      </c>
      <c r="AI939" s="3">
        <f t="shared" si="258"/>
        <v>0</v>
      </c>
      <c r="AJ939" s="7"/>
      <c r="AL939" s="3">
        <f>IF(OR($AL$1="",对接源_01水果!$Y939="",对接源_01水果!$Y939&lt;&gt;$AL$1,对接源_01水果!$B939="",N(对接源_01水果!$AJ939)&lt;=0),0,IF(OR(N(对接源_01水果!$B939)&lt;$AL$2,N(对接源_01水果!$B939)&gt;$AL$3),0,1))</f>
        <v>0</v>
      </c>
      <c r="AM939" s="3">
        <f t="shared" si="259"/>
        <v>1</v>
      </c>
      <c r="AN939" s="3" t="str">
        <f>IF(对接源_01水果!$AC939="","",对接源_01水果!$AC939)</f>
        <v/>
      </c>
      <c r="AO939" s="3">
        <f t="shared" si="260"/>
        <v>0</v>
      </c>
      <c r="AP939" s="3">
        <f t="shared" si="261"/>
        <v>8</v>
      </c>
      <c r="AR939">
        <f t="shared" si="262"/>
        <v>0</v>
      </c>
      <c r="AS939">
        <f t="shared" si="263"/>
        <v>0</v>
      </c>
    </row>
    <row r="940" ht="14.25" customHeight="1" spans="1:45">
      <c r="A940" s="3" t="str">
        <f>IF(对接源_01水果!$C940="","",对接源_01水果!$C940)</f>
        <v/>
      </c>
      <c r="B940" s="3">
        <f t="shared" si="247"/>
        <v>0</v>
      </c>
      <c r="C940" s="3">
        <f t="shared" si="248"/>
        <v>18</v>
      </c>
      <c r="K940" s="3">
        <f>IF(OR($K$1="",对接源_01水果!$C940="",对接源_01水果!$C940&lt;&gt;$K$1,对接源_01水果!$B940=""),0,IF(OR(N(对接源_01水果!$B940)&lt;$K$2,N(对接源_01水果!$B940)&gt;$K$3),0,1))</f>
        <v>0</v>
      </c>
      <c r="L940" s="3">
        <f>IF(OR($L$1="",对接源_01水果!$C940="",对接源_01水果!$C940&lt;&gt;$L$1,对接源_01水果!$B940=""),0,IF(OR(N(对接源_01水果!$B940)&lt;$L$2,N(对接源_01水果!$B940)&gt;$L$3),0,1))</f>
        <v>0</v>
      </c>
      <c r="M940" s="3">
        <f>IF(OR($M$1="",对接源_01水果!$C940="",对接源_01水果!$C940&lt;&gt;$M$1,对接源_01水果!$B940=""),0,IF(OR(N(对接源_01水果!$B940)&lt;$M$2,N(对接源_01水果!$B940)&gt;$M$3),0,1))</f>
        <v>0</v>
      </c>
      <c r="N940" s="3">
        <f>IF(OR($N$1="",对接源_01水果!$C940="",对接源_01水果!$C940&lt;&gt;$N$1,对接源_01水果!$B940=""),0,IF(OR(N(对接源_01水果!$B940)&lt;$N$2,N(对接源_01水果!$B940)&gt;$N$3),0,1))</f>
        <v>0</v>
      </c>
      <c r="P940" s="3">
        <f>IF(AND($K940=1,AND(对接源_01水果!$X940="公司筐",N(对接源_01水果!$T940)&lt;&gt;0)),1,0)</f>
        <v>0</v>
      </c>
      <c r="Q940" s="3">
        <f t="shared" si="249"/>
        <v>0</v>
      </c>
      <c r="R940" s="3">
        <f>IF(AND($K940=1,AND(对接源_01水果!$X940="公司筐",N(对接源_01水果!$U940)&lt;&gt;0)),1,0)</f>
        <v>0</v>
      </c>
      <c r="S940" s="3">
        <f t="shared" si="250"/>
        <v>0</v>
      </c>
      <c r="T940" s="3">
        <f>IF(AND($K940=1,AND(对接源_01水果!$X940="公司筐",N(对接源_01水果!$V940)&lt;&gt;0)),1,0)</f>
        <v>0</v>
      </c>
      <c r="U940" s="3">
        <f t="shared" si="251"/>
        <v>19</v>
      </c>
      <c r="V940" s="3">
        <f>IF(AND($L940=1,AND(对接源_01水果!$X940="自备筐",N(对接源_01水果!$V940)&lt;&gt;0)),1,0)</f>
        <v>0</v>
      </c>
      <c r="W940" s="3">
        <f t="shared" si="252"/>
        <v>8</v>
      </c>
      <c r="X940" s="3">
        <f>IF(AND($L940=1,AND(对接源_01水果!$X940="自备筐",N(对接源_01水果!$T940)&lt;&gt;0)),1,0)</f>
        <v>0</v>
      </c>
      <c r="Y940" s="3">
        <f t="shared" si="253"/>
        <v>0</v>
      </c>
      <c r="Z940" s="3">
        <f>IF(AND($M940=1,对接源_01水果!$D940="原料入库"),1,0)</f>
        <v>0</v>
      </c>
      <c r="AA940" s="3">
        <f t="shared" si="254"/>
        <v>24</v>
      </c>
      <c r="AB940" s="3">
        <f>IF(AND($M940=1,LEFT(对接源_01水果!$D940,4)="原料出库"),1,0)</f>
        <v>0</v>
      </c>
      <c r="AC940" s="3">
        <f t="shared" si="255"/>
        <v>0</v>
      </c>
      <c r="AD940" s="3">
        <f>IF(AND($M940=1,LEFT(对接源_01水果!$D940,4)="成品出库"),1,0)</f>
        <v>0</v>
      </c>
      <c r="AE940" s="3">
        <f t="shared" si="256"/>
        <v>0</v>
      </c>
      <c r="AF940" s="3">
        <f>IF(AND($N940=1,AND(LEFT(对接源_01水果!$D940,4)="包装物料",N(对接源_01水果!$K940)&lt;&gt;0)),1,0)</f>
        <v>0</v>
      </c>
      <c r="AG940" s="3">
        <f t="shared" si="257"/>
        <v>0</v>
      </c>
      <c r="AH940" s="3">
        <f>IF(AND($N940=1,AND(对接源_01水果!$D940="周转筐－销售出库",N(对接源_01水果!$K940)&lt;&gt;0)),1,0)</f>
        <v>0</v>
      </c>
      <c r="AI940" s="3">
        <f t="shared" si="258"/>
        <v>0</v>
      </c>
      <c r="AJ940" s="7"/>
      <c r="AL940" s="3">
        <f>IF(OR($AL$1="",对接源_01水果!$Y940="",对接源_01水果!$Y940&lt;&gt;$AL$1,对接源_01水果!$B940="",N(对接源_01水果!$AJ940)&lt;=0),0,IF(OR(N(对接源_01水果!$B940)&lt;$AL$2,N(对接源_01水果!$B940)&gt;$AL$3),0,1))</f>
        <v>0</v>
      </c>
      <c r="AM940" s="3">
        <f t="shared" si="259"/>
        <v>1</v>
      </c>
      <c r="AN940" s="3" t="str">
        <f>IF(对接源_01水果!$AC940="","",对接源_01水果!$AC940)</f>
        <v/>
      </c>
      <c r="AO940" s="3">
        <f t="shared" si="260"/>
        <v>0</v>
      </c>
      <c r="AP940" s="3">
        <f t="shared" si="261"/>
        <v>8</v>
      </c>
      <c r="AR940">
        <f t="shared" si="262"/>
        <v>0</v>
      </c>
      <c r="AS940">
        <f t="shared" si="263"/>
        <v>0</v>
      </c>
    </row>
    <row r="941" ht="14.25" customHeight="1" spans="1:45">
      <c r="A941" s="3" t="str">
        <f>IF(对接源_01水果!$C941="","",对接源_01水果!$C941)</f>
        <v/>
      </c>
      <c r="B941" s="3">
        <f t="shared" si="247"/>
        <v>0</v>
      </c>
      <c r="C941" s="3">
        <f t="shared" si="248"/>
        <v>18</v>
      </c>
      <c r="K941" s="3">
        <f>IF(OR($K$1="",对接源_01水果!$C941="",对接源_01水果!$C941&lt;&gt;$K$1,对接源_01水果!$B941=""),0,IF(OR(N(对接源_01水果!$B941)&lt;$K$2,N(对接源_01水果!$B941)&gt;$K$3),0,1))</f>
        <v>0</v>
      </c>
      <c r="L941" s="3">
        <f>IF(OR($L$1="",对接源_01水果!$C941="",对接源_01水果!$C941&lt;&gt;$L$1,对接源_01水果!$B941=""),0,IF(OR(N(对接源_01水果!$B941)&lt;$L$2,N(对接源_01水果!$B941)&gt;$L$3),0,1))</f>
        <v>0</v>
      </c>
      <c r="M941" s="3">
        <f>IF(OR($M$1="",对接源_01水果!$C941="",对接源_01水果!$C941&lt;&gt;$M$1,对接源_01水果!$B941=""),0,IF(OR(N(对接源_01水果!$B941)&lt;$M$2,N(对接源_01水果!$B941)&gt;$M$3),0,1))</f>
        <v>0</v>
      </c>
      <c r="N941" s="3">
        <f>IF(OR($N$1="",对接源_01水果!$C941="",对接源_01水果!$C941&lt;&gt;$N$1,对接源_01水果!$B941=""),0,IF(OR(N(对接源_01水果!$B941)&lt;$N$2,N(对接源_01水果!$B941)&gt;$N$3),0,1))</f>
        <v>0</v>
      </c>
      <c r="P941" s="3">
        <f>IF(AND($K941=1,AND(对接源_01水果!$X941="公司筐",N(对接源_01水果!$T941)&lt;&gt;0)),1,0)</f>
        <v>0</v>
      </c>
      <c r="Q941" s="3">
        <f t="shared" si="249"/>
        <v>0</v>
      </c>
      <c r="R941" s="3">
        <f>IF(AND($K941=1,AND(对接源_01水果!$X941="公司筐",N(对接源_01水果!$U941)&lt;&gt;0)),1,0)</f>
        <v>0</v>
      </c>
      <c r="S941" s="3">
        <f t="shared" si="250"/>
        <v>0</v>
      </c>
      <c r="T941" s="3">
        <f>IF(AND($K941=1,AND(对接源_01水果!$X941="公司筐",N(对接源_01水果!$V941)&lt;&gt;0)),1,0)</f>
        <v>0</v>
      </c>
      <c r="U941" s="3">
        <f t="shared" si="251"/>
        <v>19</v>
      </c>
      <c r="V941" s="3">
        <f>IF(AND($L941=1,AND(对接源_01水果!$X941="自备筐",N(对接源_01水果!$V941)&lt;&gt;0)),1,0)</f>
        <v>0</v>
      </c>
      <c r="W941" s="3">
        <f t="shared" si="252"/>
        <v>8</v>
      </c>
      <c r="X941" s="3">
        <f>IF(AND($L941=1,AND(对接源_01水果!$X941="自备筐",N(对接源_01水果!$T941)&lt;&gt;0)),1,0)</f>
        <v>0</v>
      </c>
      <c r="Y941" s="3">
        <f t="shared" si="253"/>
        <v>0</v>
      </c>
      <c r="Z941" s="3">
        <f>IF(AND($M941=1,对接源_01水果!$D941="原料入库"),1,0)</f>
        <v>0</v>
      </c>
      <c r="AA941" s="3">
        <f t="shared" si="254"/>
        <v>24</v>
      </c>
      <c r="AB941" s="3">
        <f>IF(AND($M941=1,LEFT(对接源_01水果!$D941,4)="原料出库"),1,0)</f>
        <v>0</v>
      </c>
      <c r="AC941" s="3">
        <f t="shared" si="255"/>
        <v>0</v>
      </c>
      <c r="AD941" s="3">
        <f>IF(AND($M941=1,LEFT(对接源_01水果!$D941,4)="成品出库"),1,0)</f>
        <v>0</v>
      </c>
      <c r="AE941" s="3">
        <f t="shared" si="256"/>
        <v>0</v>
      </c>
      <c r="AF941" s="3">
        <f>IF(AND($N941=1,AND(LEFT(对接源_01水果!$D941,4)="包装物料",N(对接源_01水果!$K941)&lt;&gt;0)),1,0)</f>
        <v>0</v>
      </c>
      <c r="AG941" s="3">
        <f t="shared" si="257"/>
        <v>0</v>
      </c>
      <c r="AH941" s="3">
        <f>IF(AND($N941=1,AND(对接源_01水果!$D941="周转筐－销售出库",N(对接源_01水果!$K941)&lt;&gt;0)),1,0)</f>
        <v>0</v>
      </c>
      <c r="AI941" s="3">
        <f t="shared" si="258"/>
        <v>0</v>
      </c>
      <c r="AJ941" s="7"/>
      <c r="AL941" s="3">
        <f>IF(OR($AL$1="",对接源_01水果!$Y941="",对接源_01水果!$Y941&lt;&gt;$AL$1,对接源_01水果!$B941="",N(对接源_01水果!$AJ941)&lt;=0),0,IF(OR(N(对接源_01水果!$B941)&lt;$AL$2,N(对接源_01水果!$B941)&gt;$AL$3),0,1))</f>
        <v>0</v>
      </c>
      <c r="AM941" s="3">
        <f t="shared" si="259"/>
        <v>1</v>
      </c>
      <c r="AN941" s="3" t="str">
        <f>IF(对接源_01水果!$AC941="","",对接源_01水果!$AC941)</f>
        <v/>
      </c>
      <c r="AO941" s="3">
        <f t="shared" si="260"/>
        <v>0</v>
      </c>
      <c r="AP941" s="3">
        <f t="shared" si="261"/>
        <v>8</v>
      </c>
      <c r="AR941">
        <f t="shared" si="262"/>
        <v>0</v>
      </c>
      <c r="AS941">
        <f t="shared" si="263"/>
        <v>0</v>
      </c>
    </row>
    <row r="942" ht="14.25" customHeight="1" spans="1:45">
      <c r="A942" s="3" t="str">
        <f>IF(对接源_01水果!$C942="","",对接源_01水果!$C942)</f>
        <v/>
      </c>
      <c r="B942" s="3">
        <f t="shared" si="247"/>
        <v>0</v>
      </c>
      <c r="C942" s="3">
        <f t="shared" si="248"/>
        <v>18</v>
      </c>
      <c r="K942" s="3">
        <f>IF(OR($K$1="",对接源_01水果!$C942="",对接源_01水果!$C942&lt;&gt;$K$1,对接源_01水果!$B942=""),0,IF(OR(N(对接源_01水果!$B942)&lt;$K$2,N(对接源_01水果!$B942)&gt;$K$3),0,1))</f>
        <v>0</v>
      </c>
      <c r="L942" s="3">
        <f>IF(OR($L$1="",对接源_01水果!$C942="",对接源_01水果!$C942&lt;&gt;$L$1,对接源_01水果!$B942=""),0,IF(OR(N(对接源_01水果!$B942)&lt;$L$2,N(对接源_01水果!$B942)&gt;$L$3),0,1))</f>
        <v>0</v>
      </c>
      <c r="M942" s="3">
        <f>IF(OR($M$1="",对接源_01水果!$C942="",对接源_01水果!$C942&lt;&gt;$M$1,对接源_01水果!$B942=""),0,IF(OR(N(对接源_01水果!$B942)&lt;$M$2,N(对接源_01水果!$B942)&gt;$M$3),0,1))</f>
        <v>0</v>
      </c>
      <c r="N942" s="3">
        <f>IF(OR($N$1="",对接源_01水果!$C942="",对接源_01水果!$C942&lt;&gt;$N$1,对接源_01水果!$B942=""),0,IF(OR(N(对接源_01水果!$B942)&lt;$N$2,N(对接源_01水果!$B942)&gt;$N$3),0,1))</f>
        <v>0</v>
      </c>
      <c r="P942" s="3">
        <f>IF(AND($K942=1,AND(对接源_01水果!$X942="公司筐",N(对接源_01水果!$T942)&lt;&gt;0)),1,0)</f>
        <v>0</v>
      </c>
      <c r="Q942" s="3">
        <f t="shared" si="249"/>
        <v>0</v>
      </c>
      <c r="R942" s="3">
        <f>IF(AND($K942=1,AND(对接源_01水果!$X942="公司筐",N(对接源_01水果!$U942)&lt;&gt;0)),1,0)</f>
        <v>0</v>
      </c>
      <c r="S942" s="3">
        <f t="shared" si="250"/>
        <v>0</v>
      </c>
      <c r="T942" s="3">
        <f>IF(AND($K942=1,AND(对接源_01水果!$X942="公司筐",N(对接源_01水果!$V942)&lt;&gt;0)),1,0)</f>
        <v>0</v>
      </c>
      <c r="U942" s="3">
        <f t="shared" si="251"/>
        <v>19</v>
      </c>
      <c r="V942" s="3">
        <f>IF(AND($L942=1,AND(对接源_01水果!$X942="自备筐",N(对接源_01水果!$V942)&lt;&gt;0)),1,0)</f>
        <v>0</v>
      </c>
      <c r="W942" s="3">
        <f t="shared" si="252"/>
        <v>8</v>
      </c>
      <c r="X942" s="3">
        <f>IF(AND($L942=1,AND(对接源_01水果!$X942="自备筐",N(对接源_01水果!$T942)&lt;&gt;0)),1,0)</f>
        <v>0</v>
      </c>
      <c r="Y942" s="3">
        <f t="shared" si="253"/>
        <v>0</v>
      </c>
      <c r="Z942" s="3">
        <f>IF(AND($M942=1,对接源_01水果!$D942="原料入库"),1,0)</f>
        <v>0</v>
      </c>
      <c r="AA942" s="3">
        <f t="shared" si="254"/>
        <v>24</v>
      </c>
      <c r="AB942" s="3">
        <f>IF(AND($M942=1,LEFT(对接源_01水果!$D942,4)="原料出库"),1,0)</f>
        <v>0</v>
      </c>
      <c r="AC942" s="3">
        <f t="shared" si="255"/>
        <v>0</v>
      </c>
      <c r="AD942" s="3">
        <f>IF(AND($M942=1,LEFT(对接源_01水果!$D942,4)="成品出库"),1,0)</f>
        <v>0</v>
      </c>
      <c r="AE942" s="3">
        <f t="shared" si="256"/>
        <v>0</v>
      </c>
      <c r="AF942" s="3">
        <f>IF(AND($N942=1,AND(LEFT(对接源_01水果!$D942,4)="包装物料",N(对接源_01水果!$K942)&lt;&gt;0)),1,0)</f>
        <v>0</v>
      </c>
      <c r="AG942" s="3">
        <f t="shared" si="257"/>
        <v>0</v>
      </c>
      <c r="AH942" s="3">
        <f>IF(AND($N942=1,AND(对接源_01水果!$D942="周转筐－销售出库",N(对接源_01水果!$K942)&lt;&gt;0)),1,0)</f>
        <v>0</v>
      </c>
      <c r="AI942" s="3">
        <f t="shared" si="258"/>
        <v>0</v>
      </c>
      <c r="AJ942" s="7"/>
      <c r="AL942" s="3">
        <f>IF(OR($AL$1="",对接源_01水果!$Y942="",对接源_01水果!$Y942&lt;&gt;$AL$1,对接源_01水果!$B942="",N(对接源_01水果!$AJ942)&lt;=0),0,IF(OR(N(对接源_01水果!$B942)&lt;$AL$2,N(对接源_01水果!$B942)&gt;$AL$3),0,1))</f>
        <v>0</v>
      </c>
      <c r="AM942" s="3">
        <f t="shared" si="259"/>
        <v>1</v>
      </c>
      <c r="AN942" s="3" t="str">
        <f>IF(对接源_01水果!$AC942="","",对接源_01水果!$AC942)</f>
        <v/>
      </c>
      <c r="AO942" s="3">
        <f t="shared" si="260"/>
        <v>0</v>
      </c>
      <c r="AP942" s="3">
        <f t="shared" si="261"/>
        <v>8</v>
      </c>
      <c r="AR942">
        <f t="shared" si="262"/>
        <v>0</v>
      </c>
      <c r="AS942">
        <f t="shared" si="263"/>
        <v>0</v>
      </c>
    </row>
    <row r="943" ht="14.25" customHeight="1" spans="1:45">
      <c r="A943" s="3" t="str">
        <f>IF(对接源_01水果!$C943="","",对接源_01水果!$C943)</f>
        <v/>
      </c>
      <c r="B943" s="3">
        <f t="shared" si="247"/>
        <v>0</v>
      </c>
      <c r="C943" s="3">
        <f t="shared" si="248"/>
        <v>18</v>
      </c>
      <c r="K943" s="3">
        <f>IF(OR($K$1="",对接源_01水果!$C943="",对接源_01水果!$C943&lt;&gt;$K$1,对接源_01水果!$B943=""),0,IF(OR(N(对接源_01水果!$B943)&lt;$K$2,N(对接源_01水果!$B943)&gt;$K$3),0,1))</f>
        <v>0</v>
      </c>
      <c r="L943" s="3">
        <f>IF(OR($L$1="",对接源_01水果!$C943="",对接源_01水果!$C943&lt;&gt;$L$1,对接源_01水果!$B943=""),0,IF(OR(N(对接源_01水果!$B943)&lt;$L$2,N(对接源_01水果!$B943)&gt;$L$3),0,1))</f>
        <v>0</v>
      </c>
      <c r="M943" s="3">
        <f>IF(OR($M$1="",对接源_01水果!$C943="",对接源_01水果!$C943&lt;&gt;$M$1,对接源_01水果!$B943=""),0,IF(OR(N(对接源_01水果!$B943)&lt;$M$2,N(对接源_01水果!$B943)&gt;$M$3),0,1))</f>
        <v>0</v>
      </c>
      <c r="N943" s="3">
        <f>IF(OR($N$1="",对接源_01水果!$C943="",对接源_01水果!$C943&lt;&gt;$N$1,对接源_01水果!$B943=""),0,IF(OR(N(对接源_01水果!$B943)&lt;$N$2,N(对接源_01水果!$B943)&gt;$N$3),0,1))</f>
        <v>0</v>
      </c>
      <c r="P943" s="3">
        <f>IF(AND($K943=1,AND(对接源_01水果!$X943="公司筐",N(对接源_01水果!$T943)&lt;&gt;0)),1,0)</f>
        <v>0</v>
      </c>
      <c r="Q943" s="3">
        <f t="shared" si="249"/>
        <v>0</v>
      </c>
      <c r="R943" s="3">
        <f>IF(AND($K943=1,AND(对接源_01水果!$X943="公司筐",N(对接源_01水果!$U943)&lt;&gt;0)),1,0)</f>
        <v>0</v>
      </c>
      <c r="S943" s="3">
        <f t="shared" si="250"/>
        <v>0</v>
      </c>
      <c r="T943" s="3">
        <f>IF(AND($K943=1,AND(对接源_01水果!$X943="公司筐",N(对接源_01水果!$V943)&lt;&gt;0)),1,0)</f>
        <v>0</v>
      </c>
      <c r="U943" s="3">
        <f t="shared" si="251"/>
        <v>19</v>
      </c>
      <c r="V943" s="3">
        <f>IF(AND($L943=1,AND(对接源_01水果!$X943="自备筐",N(对接源_01水果!$V943)&lt;&gt;0)),1,0)</f>
        <v>0</v>
      </c>
      <c r="W943" s="3">
        <f t="shared" si="252"/>
        <v>8</v>
      </c>
      <c r="X943" s="3">
        <f>IF(AND($L943=1,AND(对接源_01水果!$X943="自备筐",N(对接源_01水果!$T943)&lt;&gt;0)),1,0)</f>
        <v>0</v>
      </c>
      <c r="Y943" s="3">
        <f t="shared" si="253"/>
        <v>0</v>
      </c>
      <c r="Z943" s="3">
        <f>IF(AND($M943=1,对接源_01水果!$D943="原料入库"),1,0)</f>
        <v>0</v>
      </c>
      <c r="AA943" s="3">
        <f t="shared" si="254"/>
        <v>24</v>
      </c>
      <c r="AB943" s="3">
        <f>IF(AND($M943=1,LEFT(对接源_01水果!$D943,4)="原料出库"),1,0)</f>
        <v>0</v>
      </c>
      <c r="AC943" s="3">
        <f t="shared" si="255"/>
        <v>0</v>
      </c>
      <c r="AD943" s="3">
        <f>IF(AND($M943=1,LEFT(对接源_01水果!$D943,4)="成品出库"),1,0)</f>
        <v>0</v>
      </c>
      <c r="AE943" s="3">
        <f t="shared" si="256"/>
        <v>0</v>
      </c>
      <c r="AF943" s="3">
        <f>IF(AND($N943=1,AND(LEFT(对接源_01水果!$D943,4)="包装物料",N(对接源_01水果!$K943)&lt;&gt;0)),1,0)</f>
        <v>0</v>
      </c>
      <c r="AG943" s="3">
        <f t="shared" si="257"/>
        <v>0</v>
      </c>
      <c r="AH943" s="3">
        <f>IF(AND($N943=1,AND(对接源_01水果!$D943="周转筐－销售出库",N(对接源_01水果!$K943)&lt;&gt;0)),1,0)</f>
        <v>0</v>
      </c>
      <c r="AI943" s="3">
        <f t="shared" si="258"/>
        <v>0</v>
      </c>
      <c r="AJ943" s="7"/>
      <c r="AL943" s="3">
        <f>IF(OR($AL$1="",对接源_01水果!$Y943="",对接源_01水果!$Y943&lt;&gt;$AL$1,对接源_01水果!$B943="",N(对接源_01水果!$AJ943)&lt;=0),0,IF(OR(N(对接源_01水果!$B943)&lt;$AL$2,N(对接源_01水果!$B943)&gt;$AL$3),0,1))</f>
        <v>0</v>
      </c>
      <c r="AM943" s="3">
        <f t="shared" si="259"/>
        <v>1</v>
      </c>
      <c r="AN943" s="3" t="str">
        <f>IF(对接源_01水果!$AC943="","",对接源_01水果!$AC943)</f>
        <v/>
      </c>
      <c r="AO943" s="3">
        <f t="shared" si="260"/>
        <v>0</v>
      </c>
      <c r="AP943" s="3">
        <f t="shared" si="261"/>
        <v>8</v>
      </c>
      <c r="AR943">
        <f t="shared" si="262"/>
        <v>0</v>
      </c>
      <c r="AS943">
        <f t="shared" si="263"/>
        <v>0</v>
      </c>
    </row>
    <row r="944" ht="14.25" customHeight="1" spans="1:45">
      <c r="A944" s="3" t="str">
        <f>IF(对接源_01水果!$C944="","",对接源_01水果!$C944)</f>
        <v/>
      </c>
      <c r="B944" s="3">
        <f t="shared" si="247"/>
        <v>0</v>
      </c>
      <c r="C944" s="3">
        <f t="shared" si="248"/>
        <v>18</v>
      </c>
      <c r="K944" s="3">
        <f>IF(OR($K$1="",对接源_01水果!$C944="",对接源_01水果!$C944&lt;&gt;$K$1,对接源_01水果!$B944=""),0,IF(OR(N(对接源_01水果!$B944)&lt;$K$2,N(对接源_01水果!$B944)&gt;$K$3),0,1))</f>
        <v>0</v>
      </c>
      <c r="L944" s="3">
        <f>IF(OR($L$1="",对接源_01水果!$C944="",对接源_01水果!$C944&lt;&gt;$L$1,对接源_01水果!$B944=""),0,IF(OR(N(对接源_01水果!$B944)&lt;$L$2,N(对接源_01水果!$B944)&gt;$L$3),0,1))</f>
        <v>0</v>
      </c>
      <c r="M944" s="3">
        <f>IF(OR($M$1="",对接源_01水果!$C944="",对接源_01水果!$C944&lt;&gt;$M$1,对接源_01水果!$B944=""),0,IF(OR(N(对接源_01水果!$B944)&lt;$M$2,N(对接源_01水果!$B944)&gt;$M$3),0,1))</f>
        <v>0</v>
      </c>
      <c r="N944" s="3">
        <f>IF(OR($N$1="",对接源_01水果!$C944="",对接源_01水果!$C944&lt;&gt;$N$1,对接源_01水果!$B944=""),0,IF(OR(N(对接源_01水果!$B944)&lt;$N$2,N(对接源_01水果!$B944)&gt;$N$3),0,1))</f>
        <v>0</v>
      </c>
      <c r="P944" s="3">
        <f>IF(AND($K944=1,AND(对接源_01水果!$X944="公司筐",N(对接源_01水果!$T944)&lt;&gt;0)),1,0)</f>
        <v>0</v>
      </c>
      <c r="Q944" s="3">
        <f t="shared" si="249"/>
        <v>0</v>
      </c>
      <c r="R944" s="3">
        <f>IF(AND($K944=1,AND(对接源_01水果!$X944="公司筐",N(对接源_01水果!$U944)&lt;&gt;0)),1,0)</f>
        <v>0</v>
      </c>
      <c r="S944" s="3">
        <f t="shared" si="250"/>
        <v>0</v>
      </c>
      <c r="T944" s="3">
        <f>IF(AND($K944=1,AND(对接源_01水果!$X944="公司筐",N(对接源_01水果!$V944)&lt;&gt;0)),1,0)</f>
        <v>0</v>
      </c>
      <c r="U944" s="3">
        <f t="shared" si="251"/>
        <v>19</v>
      </c>
      <c r="V944" s="3">
        <f>IF(AND($L944=1,AND(对接源_01水果!$X944="自备筐",N(对接源_01水果!$V944)&lt;&gt;0)),1,0)</f>
        <v>0</v>
      </c>
      <c r="W944" s="3">
        <f t="shared" si="252"/>
        <v>8</v>
      </c>
      <c r="X944" s="3">
        <f>IF(AND($L944=1,AND(对接源_01水果!$X944="自备筐",N(对接源_01水果!$T944)&lt;&gt;0)),1,0)</f>
        <v>0</v>
      </c>
      <c r="Y944" s="3">
        <f t="shared" si="253"/>
        <v>0</v>
      </c>
      <c r="Z944" s="3">
        <f>IF(AND($M944=1,对接源_01水果!$D944="原料入库"),1,0)</f>
        <v>0</v>
      </c>
      <c r="AA944" s="3">
        <f t="shared" si="254"/>
        <v>24</v>
      </c>
      <c r="AB944" s="3">
        <f>IF(AND($M944=1,LEFT(对接源_01水果!$D944,4)="原料出库"),1,0)</f>
        <v>0</v>
      </c>
      <c r="AC944" s="3">
        <f t="shared" si="255"/>
        <v>0</v>
      </c>
      <c r="AD944" s="3">
        <f>IF(AND($M944=1,LEFT(对接源_01水果!$D944,4)="成品出库"),1,0)</f>
        <v>0</v>
      </c>
      <c r="AE944" s="3">
        <f t="shared" si="256"/>
        <v>0</v>
      </c>
      <c r="AF944" s="3">
        <f>IF(AND($N944=1,AND(LEFT(对接源_01水果!$D944,4)="包装物料",N(对接源_01水果!$K944)&lt;&gt;0)),1,0)</f>
        <v>0</v>
      </c>
      <c r="AG944" s="3">
        <f t="shared" si="257"/>
        <v>0</v>
      </c>
      <c r="AH944" s="3">
        <f>IF(AND($N944=1,AND(对接源_01水果!$D944="周转筐－销售出库",N(对接源_01水果!$K944)&lt;&gt;0)),1,0)</f>
        <v>0</v>
      </c>
      <c r="AI944" s="3">
        <f t="shared" si="258"/>
        <v>0</v>
      </c>
      <c r="AJ944" s="7"/>
      <c r="AL944" s="3">
        <f>IF(OR($AL$1="",对接源_01水果!$Y944="",对接源_01水果!$Y944&lt;&gt;$AL$1,对接源_01水果!$B944="",N(对接源_01水果!$AJ944)&lt;=0),0,IF(OR(N(对接源_01水果!$B944)&lt;$AL$2,N(对接源_01水果!$B944)&gt;$AL$3),0,1))</f>
        <v>0</v>
      </c>
      <c r="AM944" s="3">
        <f t="shared" si="259"/>
        <v>1</v>
      </c>
      <c r="AN944" s="3" t="str">
        <f>IF(对接源_01水果!$AC944="","",对接源_01水果!$AC944)</f>
        <v/>
      </c>
      <c r="AO944" s="3">
        <f t="shared" si="260"/>
        <v>0</v>
      </c>
      <c r="AP944" s="3">
        <f t="shared" si="261"/>
        <v>8</v>
      </c>
      <c r="AR944">
        <f t="shared" si="262"/>
        <v>0</v>
      </c>
      <c r="AS944">
        <f t="shared" si="263"/>
        <v>0</v>
      </c>
    </row>
    <row r="945" ht="14.25" customHeight="1" spans="1:45">
      <c r="A945" s="3" t="str">
        <f>IF(对接源_01水果!$C945="","",对接源_01水果!$C945)</f>
        <v/>
      </c>
      <c r="B945" s="3">
        <f t="shared" si="247"/>
        <v>0</v>
      </c>
      <c r="C945" s="3">
        <f t="shared" si="248"/>
        <v>18</v>
      </c>
      <c r="K945" s="3">
        <f>IF(OR($K$1="",对接源_01水果!$C945="",对接源_01水果!$C945&lt;&gt;$K$1,对接源_01水果!$B945=""),0,IF(OR(N(对接源_01水果!$B945)&lt;$K$2,N(对接源_01水果!$B945)&gt;$K$3),0,1))</f>
        <v>0</v>
      </c>
      <c r="L945" s="3">
        <f>IF(OR($L$1="",对接源_01水果!$C945="",对接源_01水果!$C945&lt;&gt;$L$1,对接源_01水果!$B945=""),0,IF(OR(N(对接源_01水果!$B945)&lt;$L$2,N(对接源_01水果!$B945)&gt;$L$3),0,1))</f>
        <v>0</v>
      </c>
      <c r="M945" s="3">
        <f>IF(OR($M$1="",对接源_01水果!$C945="",对接源_01水果!$C945&lt;&gt;$M$1,对接源_01水果!$B945=""),0,IF(OR(N(对接源_01水果!$B945)&lt;$M$2,N(对接源_01水果!$B945)&gt;$M$3),0,1))</f>
        <v>0</v>
      </c>
      <c r="N945" s="3">
        <f>IF(OR($N$1="",对接源_01水果!$C945="",对接源_01水果!$C945&lt;&gt;$N$1,对接源_01水果!$B945=""),0,IF(OR(N(对接源_01水果!$B945)&lt;$N$2,N(对接源_01水果!$B945)&gt;$N$3),0,1))</f>
        <v>0</v>
      </c>
      <c r="P945" s="3">
        <f>IF(AND($K945=1,AND(对接源_01水果!$X945="公司筐",N(对接源_01水果!$T945)&lt;&gt;0)),1,0)</f>
        <v>0</v>
      </c>
      <c r="Q945" s="3">
        <f t="shared" si="249"/>
        <v>0</v>
      </c>
      <c r="R945" s="3">
        <f>IF(AND($K945=1,AND(对接源_01水果!$X945="公司筐",N(对接源_01水果!$U945)&lt;&gt;0)),1,0)</f>
        <v>0</v>
      </c>
      <c r="S945" s="3">
        <f t="shared" si="250"/>
        <v>0</v>
      </c>
      <c r="T945" s="3">
        <f>IF(AND($K945=1,AND(对接源_01水果!$X945="公司筐",N(对接源_01水果!$V945)&lt;&gt;0)),1,0)</f>
        <v>0</v>
      </c>
      <c r="U945" s="3">
        <f t="shared" si="251"/>
        <v>19</v>
      </c>
      <c r="V945" s="3">
        <f>IF(AND($L945=1,AND(对接源_01水果!$X945="自备筐",N(对接源_01水果!$V945)&lt;&gt;0)),1,0)</f>
        <v>0</v>
      </c>
      <c r="W945" s="3">
        <f t="shared" si="252"/>
        <v>8</v>
      </c>
      <c r="X945" s="3">
        <f>IF(AND($L945=1,AND(对接源_01水果!$X945="自备筐",N(对接源_01水果!$T945)&lt;&gt;0)),1,0)</f>
        <v>0</v>
      </c>
      <c r="Y945" s="3">
        <f t="shared" si="253"/>
        <v>0</v>
      </c>
      <c r="Z945" s="3">
        <f>IF(AND($M945=1,对接源_01水果!$D945="原料入库"),1,0)</f>
        <v>0</v>
      </c>
      <c r="AA945" s="3">
        <f t="shared" si="254"/>
        <v>24</v>
      </c>
      <c r="AB945" s="3">
        <f>IF(AND($M945=1,LEFT(对接源_01水果!$D945,4)="原料出库"),1,0)</f>
        <v>0</v>
      </c>
      <c r="AC945" s="3">
        <f t="shared" si="255"/>
        <v>0</v>
      </c>
      <c r="AD945" s="3">
        <f>IF(AND($M945=1,LEFT(对接源_01水果!$D945,4)="成品出库"),1,0)</f>
        <v>0</v>
      </c>
      <c r="AE945" s="3">
        <f t="shared" si="256"/>
        <v>0</v>
      </c>
      <c r="AF945" s="3">
        <f>IF(AND($N945=1,AND(LEFT(对接源_01水果!$D945,4)="包装物料",N(对接源_01水果!$K945)&lt;&gt;0)),1,0)</f>
        <v>0</v>
      </c>
      <c r="AG945" s="3">
        <f t="shared" si="257"/>
        <v>0</v>
      </c>
      <c r="AH945" s="3">
        <f>IF(AND($N945=1,AND(对接源_01水果!$D945="周转筐－销售出库",N(对接源_01水果!$K945)&lt;&gt;0)),1,0)</f>
        <v>0</v>
      </c>
      <c r="AI945" s="3">
        <f t="shared" si="258"/>
        <v>0</v>
      </c>
      <c r="AJ945" s="7"/>
      <c r="AL945" s="3">
        <f>IF(OR($AL$1="",对接源_01水果!$Y945="",对接源_01水果!$Y945&lt;&gt;$AL$1,对接源_01水果!$B945="",N(对接源_01水果!$AJ945)&lt;=0),0,IF(OR(N(对接源_01水果!$B945)&lt;$AL$2,N(对接源_01水果!$B945)&gt;$AL$3),0,1))</f>
        <v>0</v>
      </c>
      <c r="AM945" s="3">
        <f t="shared" si="259"/>
        <v>1</v>
      </c>
      <c r="AN945" s="3" t="str">
        <f>IF(对接源_01水果!$AC945="","",对接源_01水果!$AC945)</f>
        <v/>
      </c>
      <c r="AO945" s="3">
        <f t="shared" si="260"/>
        <v>0</v>
      </c>
      <c r="AP945" s="3">
        <f t="shared" si="261"/>
        <v>8</v>
      </c>
      <c r="AR945">
        <f t="shared" si="262"/>
        <v>0</v>
      </c>
      <c r="AS945">
        <f t="shared" si="263"/>
        <v>0</v>
      </c>
    </row>
    <row r="946" ht="14.25" customHeight="1" spans="1:45">
      <c r="A946" s="3" t="str">
        <f>IF(对接源_01水果!$C946="","",对接源_01水果!$C946)</f>
        <v/>
      </c>
      <c r="B946" s="3">
        <f t="shared" si="247"/>
        <v>0</v>
      </c>
      <c r="C946" s="3">
        <f t="shared" si="248"/>
        <v>18</v>
      </c>
      <c r="K946" s="3">
        <f>IF(OR($K$1="",对接源_01水果!$C946="",对接源_01水果!$C946&lt;&gt;$K$1,对接源_01水果!$B946=""),0,IF(OR(N(对接源_01水果!$B946)&lt;$K$2,N(对接源_01水果!$B946)&gt;$K$3),0,1))</f>
        <v>0</v>
      </c>
      <c r="L946" s="3">
        <f>IF(OR($L$1="",对接源_01水果!$C946="",对接源_01水果!$C946&lt;&gt;$L$1,对接源_01水果!$B946=""),0,IF(OR(N(对接源_01水果!$B946)&lt;$L$2,N(对接源_01水果!$B946)&gt;$L$3),0,1))</f>
        <v>0</v>
      </c>
      <c r="M946" s="3">
        <f>IF(OR($M$1="",对接源_01水果!$C946="",对接源_01水果!$C946&lt;&gt;$M$1,对接源_01水果!$B946=""),0,IF(OR(N(对接源_01水果!$B946)&lt;$M$2,N(对接源_01水果!$B946)&gt;$M$3),0,1))</f>
        <v>0</v>
      </c>
      <c r="N946" s="3">
        <f>IF(OR($N$1="",对接源_01水果!$C946="",对接源_01水果!$C946&lt;&gt;$N$1,对接源_01水果!$B946=""),0,IF(OR(N(对接源_01水果!$B946)&lt;$N$2,N(对接源_01水果!$B946)&gt;$N$3),0,1))</f>
        <v>0</v>
      </c>
      <c r="P946" s="3">
        <f>IF(AND($K946=1,AND(对接源_01水果!$X946="公司筐",N(对接源_01水果!$T946)&lt;&gt;0)),1,0)</f>
        <v>0</v>
      </c>
      <c r="Q946" s="3">
        <f t="shared" si="249"/>
        <v>0</v>
      </c>
      <c r="R946" s="3">
        <f>IF(AND($K946=1,AND(对接源_01水果!$X946="公司筐",N(对接源_01水果!$U946)&lt;&gt;0)),1,0)</f>
        <v>0</v>
      </c>
      <c r="S946" s="3">
        <f t="shared" si="250"/>
        <v>0</v>
      </c>
      <c r="T946" s="3">
        <f>IF(AND($K946=1,AND(对接源_01水果!$X946="公司筐",N(对接源_01水果!$V946)&lt;&gt;0)),1,0)</f>
        <v>0</v>
      </c>
      <c r="U946" s="3">
        <f t="shared" si="251"/>
        <v>19</v>
      </c>
      <c r="V946" s="3">
        <f>IF(AND($L946=1,AND(对接源_01水果!$X946="自备筐",N(对接源_01水果!$V946)&lt;&gt;0)),1,0)</f>
        <v>0</v>
      </c>
      <c r="W946" s="3">
        <f t="shared" si="252"/>
        <v>8</v>
      </c>
      <c r="X946" s="3">
        <f>IF(AND($L946=1,AND(对接源_01水果!$X946="自备筐",N(对接源_01水果!$T946)&lt;&gt;0)),1,0)</f>
        <v>0</v>
      </c>
      <c r="Y946" s="3">
        <f t="shared" si="253"/>
        <v>0</v>
      </c>
      <c r="Z946" s="3">
        <f>IF(AND($M946=1,对接源_01水果!$D946="原料入库"),1,0)</f>
        <v>0</v>
      </c>
      <c r="AA946" s="3">
        <f t="shared" si="254"/>
        <v>24</v>
      </c>
      <c r="AB946" s="3">
        <f>IF(AND($M946=1,LEFT(对接源_01水果!$D946,4)="原料出库"),1,0)</f>
        <v>0</v>
      </c>
      <c r="AC946" s="3">
        <f t="shared" si="255"/>
        <v>0</v>
      </c>
      <c r="AD946" s="3">
        <f>IF(AND($M946=1,LEFT(对接源_01水果!$D946,4)="成品出库"),1,0)</f>
        <v>0</v>
      </c>
      <c r="AE946" s="3">
        <f t="shared" si="256"/>
        <v>0</v>
      </c>
      <c r="AF946" s="3">
        <f>IF(AND($N946=1,AND(LEFT(对接源_01水果!$D946,4)="包装物料",N(对接源_01水果!$K946)&lt;&gt;0)),1,0)</f>
        <v>0</v>
      </c>
      <c r="AG946" s="3">
        <f t="shared" si="257"/>
        <v>0</v>
      </c>
      <c r="AH946" s="3">
        <f>IF(AND($N946=1,AND(对接源_01水果!$D946="周转筐－销售出库",N(对接源_01水果!$K946)&lt;&gt;0)),1,0)</f>
        <v>0</v>
      </c>
      <c r="AI946" s="3">
        <f t="shared" si="258"/>
        <v>0</v>
      </c>
      <c r="AJ946" s="7"/>
      <c r="AL946" s="3">
        <f>IF(OR($AL$1="",对接源_01水果!$Y946="",对接源_01水果!$Y946&lt;&gt;$AL$1,对接源_01水果!$B946="",N(对接源_01水果!$AJ946)&lt;=0),0,IF(OR(N(对接源_01水果!$B946)&lt;$AL$2,N(对接源_01水果!$B946)&gt;$AL$3),0,1))</f>
        <v>0</v>
      </c>
      <c r="AM946" s="3">
        <f t="shared" si="259"/>
        <v>1</v>
      </c>
      <c r="AN946" s="3" t="str">
        <f>IF(对接源_01水果!$AC946="","",对接源_01水果!$AC946)</f>
        <v/>
      </c>
      <c r="AO946" s="3">
        <f t="shared" si="260"/>
        <v>0</v>
      </c>
      <c r="AP946" s="3">
        <f t="shared" si="261"/>
        <v>8</v>
      </c>
      <c r="AR946">
        <f t="shared" si="262"/>
        <v>0</v>
      </c>
      <c r="AS946">
        <f t="shared" si="263"/>
        <v>0</v>
      </c>
    </row>
    <row r="947" ht="14.25" customHeight="1" spans="1:45">
      <c r="A947" s="3" t="str">
        <f>IF(对接源_01水果!$C947="","",对接源_01水果!$C947)</f>
        <v/>
      </c>
      <c r="B947" s="3">
        <f t="shared" si="247"/>
        <v>0</v>
      </c>
      <c r="C947" s="3">
        <f t="shared" si="248"/>
        <v>18</v>
      </c>
      <c r="K947" s="3">
        <f>IF(OR($K$1="",对接源_01水果!$C947="",对接源_01水果!$C947&lt;&gt;$K$1,对接源_01水果!$B947=""),0,IF(OR(N(对接源_01水果!$B947)&lt;$K$2,N(对接源_01水果!$B947)&gt;$K$3),0,1))</f>
        <v>0</v>
      </c>
      <c r="L947" s="3">
        <f>IF(OR($L$1="",对接源_01水果!$C947="",对接源_01水果!$C947&lt;&gt;$L$1,对接源_01水果!$B947=""),0,IF(OR(N(对接源_01水果!$B947)&lt;$L$2,N(对接源_01水果!$B947)&gt;$L$3),0,1))</f>
        <v>0</v>
      </c>
      <c r="M947" s="3">
        <f>IF(OR($M$1="",对接源_01水果!$C947="",对接源_01水果!$C947&lt;&gt;$M$1,对接源_01水果!$B947=""),0,IF(OR(N(对接源_01水果!$B947)&lt;$M$2,N(对接源_01水果!$B947)&gt;$M$3),0,1))</f>
        <v>0</v>
      </c>
      <c r="N947" s="3">
        <f>IF(OR($N$1="",对接源_01水果!$C947="",对接源_01水果!$C947&lt;&gt;$N$1,对接源_01水果!$B947=""),0,IF(OR(N(对接源_01水果!$B947)&lt;$N$2,N(对接源_01水果!$B947)&gt;$N$3),0,1))</f>
        <v>0</v>
      </c>
      <c r="P947" s="3">
        <f>IF(AND($K947=1,AND(对接源_01水果!$X947="公司筐",N(对接源_01水果!$T947)&lt;&gt;0)),1,0)</f>
        <v>0</v>
      </c>
      <c r="Q947" s="3">
        <f t="shared" si="249"/>
        <v>0</v>
      </c>
      <c r="R947" s="3">
        <f>IF(AND($K947=1,AND(对接源_01水果!$X947="公司筐",N(对接源_01水果!$U947)&lt;&gt;0)),1,0)</f>
        <v>0</v>
      </c>
      <c r="S947" s="3">
        <f t="shared" si="250"/>
        <v>0</v>
      </c>
      <c r="T947" s="3">
        <f>IF(AND($K947=1,AND(对接源_01水果!$X947="公司筐",N(对接源_01水果!$V947)&lt;&gt;0)),1,0)</f>
        <v>0</v>
      </c>
      <c r="U947" s="3">
        <f t="shared" si="251"/>
        <v>19</v>
      </c>
      <c r="V947" s="3">
        <f>IF(AND($L947=1,AND(对接源_01水果!$X947="自备筐",N(对接源_01水果!$V947)&lt;&gt;0)),1,0)</f>
        <v>0</v>
      </c>
      <c r="W947" s="3">
        <f t="shared" si="252"/>
        <v>8</v>
      </c>
      <c r="X947" s="3">
        <f>IF(AND($L947=1,AND(对接源_01水果!$X947="自备筐",N(对接源_01水果!$T947)&lt;&gt;0)),1,0)</f>
        <v>0</v>
      </c>
      <c r="Y947" s="3">
        <f t="shared" si="253"/>
        <v>0</v>
      </c>
      <c r="Z947" s="3">
        <f>IF(AND($M947=1,对接源_01水果!$D947="原料入库"),1,0)</f>
        <v>0</v>
      </c>
      <c r="AA947" s="3">
        <f t="shared" si="254"/>
        <v>24</v>
      </c>
      <c r="AB947" s="3">
        <f>IF(AND($M947=1,LEFT(对接源_01水果!$D947,4)="原料出库"),1,0)</f>
        <v>0</v>
      </c>
      <c r="AC947" s="3">
        <f t="shared" si="255"/>
        <v>0</v>
      </c>
      <c r="AD947" s="3">
        <f>IF(AND($M947=1,LEFT(对接源_01水果!$D947,4)="成品出库"),1,0)</f>
        <v>0</v>
      </c>
      <c r="AE947" s="3">
        <f t="shared" si="256"/>
        <v>0</v>
      </c>
      <c r="AF947" s="3">
        <f>IF(AND($N947=1,AND(LEFT(对接源_01水果!$D947,4)="包装物料",N(对接源_01水果!$K947)&lt;&gt;0)),1,0)</f>
        <v>0</v>
      </c>
      <c r="AG947" s="3">
        <f t="shared" si="257"/>
        <v>0</v>
      </c>
      <c r="AH947" s="3">
        <f>IF(AND($N947=1,AND(对接源_01水果!$D947="周转筐－销售出库",N(对接源_01水果!$K947)&lt;&gt;0)),1,0)</f>
        <v>0</v>
      </c>
      <c r="AI947" s="3">
        <f t="shared" si="258"/>
        <v>0</v>
      </c>
      <c r="AJ947" s="7"/>
      <c r="AL947" s="3">
        <f>IF(OR($AL$1="",对接源_01水果!$Y947="",对接源_01水果!$Y947&lt;&gt;$AL$1,对接源_01水果!$B947="",N(对接源_01水果!$AJ947)&lt;=0),0,IF(OR(N(对接源_01水果!$B947)&lt;$AL$2,N(对接源_01水果!$B947)&gt;$AL$3),0,1))</f>
        <v>0</v>
      </c>
      <c r="AM947" s="3">
        <f t="shared" si="259"/>
        <v>1</v>
      </c>
      <c r="AN947" s="3" t="str">
        <f>IF(对接源_01水果!$AC947="","",对接源_01水果!$AC947)</f>
        <v/>
      </c>
      <c r="AO947" s="3">
        <f t="shared" si="260"/>
        <v>0</v>
      </c>
      <c r="AP947" s="3">
        <f t="shared" si="261"/>
        <v>8</v>
      </c>
      <c r="AR947">
        <f t="shared" si="262"/>
        <v>0</v>
      </c>
      <c r="AS947">
        <f t="shared" si="263"/>
        <v>0</v>
      </c>
    </row>
    <row r="948" ht="14.25" customHeight="1" spans="1:45">
      <c r="A948" s="3" t="str">
        <f>IF(对接源_01水果!$C948="","",对接源_01水果!$C948)</f>
        <v/>
      </c>
      <c r="B948" s="3">
        <f t="shared" si="247"/>
        <v>0</v>
      </c>
      <c r="C948" s="3">
        <f t="shared" si="248"/>
        <v>18</v>
      </c>
      <c r="K948" s="3">
        <f>IF(OR($K$1="",对接源_01水果!$C948="",对接源_01水果!$C948&lt;&gt;$K$1,对接源_01水果!$B948=""),0,IF(OR(N(对接源_01水果!$B948)&lt;$K$2,N(对接源_01水果!$B948)&gt;$K$3),0,1))</f>
        <v>0</v>
      </c>
      <c r="L948" s="3">
        <f>IF(OR($L$1="",对接源_01水果!$C948="",对接源_01水果!$C948&lt;&gt;$L$1,对接源_01水果!$B948=""),0,IF(OR(N(对接源_01水果!$B948)&lt;$L$2,N(对接源_01水果!$B948)&gt;$L$3),0,1))</f>
        <v>0</v>
      </c>
      <c r="M948" s="3">
        <f>IF(OR($M$1="",对接源_01水果!$C948="",对接源_01水果!$C948&lt;&gt;$M$1,对接源_01水果!$B948=""),0,IF(OR(N(对接源_01水果!$B948)&lt;$M$2,N(对接源_01水果!$B948)&gt;$M$3),0,1))</f>
        <v>0</v>
      </c>
      <c r="N948" s="3">
        <f>IF(OR($N$1="",对接源_01水果!$C948="",对接源_01水果!$C948&lt;&gt;$N$1,对接源_01水果!$B948=""),0,IF(OR(N(对接源_01水果!$B948)&lt;$N$2,N(对接源_01水果!$B948)&gt;$N$3),0,1))</f>
        <v>0</v>
      </c>
      <c r="P948" s="3">
        <f>IF(AND($K948=1,AND(对接源_01水果!$X948="公司筐",N(对接源_01水果!$T948)&lt;&gt;0)),1,0)</f>
        <v>0</v>
      </c>
      <c r="Q948" s="3">
        <f t="shared" si="249"/>
        <v>0</v>
      </c>
      <c r="R948" s="3">
        <f>IF(AND($K948=1,AND(对接源_01水果!$X948="公司筐",N(对接源_01水果!$U948)&lt;&gt;0)),1,0)</f>
        <v>0</v>
      </c>
      <c r="S948" s="3">
        <f t="shared" si="250"/>
        <v>0</v>
      </c>
      <c r="T948" s="3">
        <f>IF(AND($K948=1,AND(对接源_01水果!$X948="公司筐",N(对接源_01水果!$V948)&lt;&gt;0)),1,0)</f>
        <v>0</v>
      </c>
      <c r="U948" s="3">
        <f t="shared" si="251"/>
        <v>19</v>
      </c>
      <c r="V948" s="3">
        <f>IF(AND($L948=1,AND(对接源_01水果!$X948="自备筐",N(对接源_01水果!$V948)&lt;&gt;0)),1,0)</f>
        <v>0</v>
      </c>
      <c r="W948" s="3">
        <f t="shared" si="252"/>
        <v>8</v>
      </c>
      <c r="X948" s="3">
        <f>IF(AND($L948=1,AND(对接源_01水果!$X948="自备筐",N(对接源_01水果!$T948)&lt;&gt;0)),1,0)</f>
        <v>0</v>
      </c>
      <c r="Y948" s="3">
        <f t="shared" si="253"/>
        <v>0</v>
      </c>
      <c r="Z948" s="3">
        <f>IF(AND($M948=1,对接源_01水果!$D948="原料入库"),1,0)</f>
        <v>0</v>
      </c>
      <c r="AA948" s="3">
        <f t="shared" si="254"/>
        <v>24</v>
      </c>
      <c r="AB948" s="3">
        <f>IF(AND($M948=1,LEFT(对接源_01水果!$D948,4)="原料出库"),1,0)</f>
        <v>0</v>
      </c>
      <c r="AC948" s="3">
        <f t="shared" si="255"/>
        <v>0</v>
      </c>
      <c r="AD948" s="3">
        <f>IF(AND($M948=1,LEFT(对接源_01水果!$D948,4)="成品出库"),1,0)</f>
        <v>0</v>
      </c>
      <c r="AE948" s="3">
        <f t="shared" si="256"/>
        <v>0</v>
      </c>
      <c r="AF948" s="3">
        <f>IF(AND($N948=1,AND(LEFT(对接源_01水果!$D948,4)="包装物料",N(对接源_01水果!$K948)&lt;&gt;0)),1,0)</f>
        <v>0</v>
      </c>
      <c r="AG948" s="3">
        <f t="shared" si="257"/>
        <v>0</v>
      </c>
      <c r="AH948" s="3">
        <f>IF(AND($N948=1,AND(对接源_01水果!$D948="周转筐－销售出库",N(对接源_01水果!$K948)&lt;&gt;0)),1,0)</f>
        <v>0</v>
      </c>
      <c r="AI948" s="3">
        <f t="shared" si="258"/>
        <v>0</v>
      </c>
      <c r="AJ948" s="7"/>
      <c r="AL948" s="3">
        <f>IF(OR($AL$1="",对接源_01水果!$Y948="",对接源_01水果!$Y948&lt;&gt;$AL$1,对接源_01水果!$B948="",N(对接源_01水果!$AJ948)&lt;=0),0,IF(OR(N(对接源_01水果!$B948)&lt;$AL$2,N(对接源_01水果!$B948)&gt;$AL$3),0,1))</f>
        <v>0</v>
      </c>
      <c r="AM948" s="3">
        <f t="shared" si="259"/>
        <v>1</v>
      </c>
      <c r="AN948" s="3" t="str">
        <f>IF(对接源_01水果!$AC948="","",对接源_01水果!$AC948)</f>
        <v/>
      </c>
      <c r="AO948" s="3">
        <f t="shared" si="260"/>
        <v>0</v>
      </c>
      <c r="AP948" s="3">
        <f t="shared" si="261"/>
        <v>8</v>
      </c>
      <c r="AR948">
        <f t="shared" si="262"/>
        <v>0</v>
      </c>
      <c r="AS948">
        <f t="shared" si="263"/>
        <v>0</v>
      </c>
    </row>
    <row r="949" ht="14.25" customHeight="1" spans="1:45">
      <c r="A949" s="3" t="str">
        <f>IF(对接源_01水果!$C949="","",对接源_01水果!$C949)</f>
        <v/>
      </c>
      <c r="B949" s="3">
        <f t="shared" si="247"/>
        <v>0</v>
      </c>
      <c r="C949" s="3">
        <f t="shared" si="248"/>
        <v>18</v>
      </c>
      <c r="K949" s="3">
        <f>IF(OR($K$1="",对接源_01水果!$C949="",对接源_01水果!$C949&lt;&gt;$K$1,对接源_01水果!$B949=""),0,IF(OR(N(对接源_01水果!$B949)&lt;$K$2,N(对接源_01水果!$B949)&gt;$K$3),0,1))</f>
        <v>0</v>
      </c>
      <c r="L949" s="3">
        <f>IF(OR($L$1="",对接源_01水果!$C949="",对接源_01水果!$C949&lt;&gt;$L$1,对接源_01水果!$B949=""),0,IF(OR(N(对接源_01水果!$B949)&lt;$L$2,N(对接源_01水果!$B949)&gt;$L$3),0,1))</f>
        <v>0</v>
      </c>
      <c r="M949" s="3">
        <f>IF(OR($M$1="",对接源_01水果!$C949="",对接源_01水果!$C949&lt;&gt;$M$1,对接源_01水果!$B949=""),0,IF(OR(N(对接源_01水果!$B949)&lt;$M$2,N(对接源_01水果!$B949)&gt;$M$3),0,1))</f>
        <v>0</v>
      </c>
      <c r="N949" s="3">
        <f>IF(OR($N$1="",对接源_01水果!$C949="",对接源_01水果!$C949&lt;&gt;$N$1,对接源_01水果!$B949=""),0,IF(OR(N(对接源_01水果!$B949)&lt;$N$2,N(对接源_01水果!$B949)&gt;$N$3),0,1))</f>
        <v>0</v>
      </c>
      <c r="P949" s="3">
        <f>IF(AND($K949=1,AND(对接源_01水果!$X949="公司筐",N(对接源_01水果!$T949)&lt;&gt;0)),1,0)</f>
        <v>0</v>
      </c>
      <c r="Q949" s="3">
        <f t="shared" si="249"/>
        <v>0</v>
      </c>
      <c r="R949" s="3">
        <f>IF(AND($K949=1,AND(对接源_01水果!$X949="公司筐",N(对接源_01水果!$U949)&lt;&gt;0)),1,0)</f>
        <v>0</v>
      </c>
      <c r="S949" s="3">
        <f t="shared" si="250"/>
        <v>0</v>
      </c>
      <c r="T949" s="3">
        <f>IF(AND($K949=1,AND(对接源_01水果!$X949="公司筐",N(对接源_01水果!$V949)&lt;&gt;0)),1,0)</f>
        <v>0</v>
      </c>
      <c r="U949" s="3">
        <f t="shared" si="251"/>
        <v>19</v>
      </c>
      <c r="V949" s="3">
        <f>IF(AND($L949=1,AND(对接源_01水果!$X949="自备筐",N(对接源_01水果!$V949)&lt;&gt;0)),1,0)</f>
        <v>0</v>
      </c>
      <c r="W949" s="3">
        <f t="shared" si="252"/>
        <v>8</v>
      </c>
      <c r="X949" s="3">
        <f>IF(AND($L949=1,AND(对接源_01水果!$X949="自备筐",N(对接源_01水果!$T949)&lt;&gt;0)),1,0)</f>
        <v>0</v>
      </c>
      <c r="Y949" s="3">
        <f t="shared" si="253"/>
        <v>0</v>
      </c>
      <c r="Z949" s="3">
        <f>IF(AND($M949=1,对接源_01水果!$D949="原料入库"),1,0)</f>
        <v>0</v>
      </c>
      <c r="AA949" s="3">
        <f t="shared" si="254"/>
        <v>24</v>
      </c>
      <c r="AB949" s="3">
        <f>IF(AND($M949=1,LEFT(对接源_01水果!$D949,4)="原料出库"),1,0)</f>
        <v>0</v>
      </c>
      <c r="AC949" s="3">
        <f t="shared" si="255"/>
        <v>0</v>
      </c>
      <c r="AD949" s="3">
        <f>IF(AND($M949=1,LEFT(对接源_01水果!$D949,4)="成品出库"),1,0)</f>
        <v>0</v>
      </c>
      <c r="AE949" s="3">
        <f t="shared" si="256"/>
        <v>0</v>
      </c>
      <c r="AF949" s="3">
        <f>IF(AND($N949=1,AND(LEFT(对接源_01水果!$D949,4)="包装物料",N(对接源_01水果!$K949)&lt;&gt;0)),1,0)</f>
        <v>0</v>
      </c>
      <c r="AG949" s="3">
        <f t="shared" si="257"/>
        <v>0</v>
      </c>
      <c r="AH949" s="3">
        <f>IF(AND($N949=1,AND(对接源_01水果!$D949="周转筐－销售出库",N(对接源_01水果!$K949)&lt;&gt;0)),1,0)</f>
        <v>0</v>
      </c>
      <c r="AI949" s="3">
        <f t="shared" si="258"/>
        <v>0</v>
      </c>
      <c r="AJ949" s="7"/>
      <c r="AL949" s="3">
        <f>IF(OR($AL$1="",对接源_01水果!$Y949="",对接源_01水果!$Y949&lt;&gt;$AL$1,对接源_01水果!$B949="",N(对接源_01水果!$AJ949)&lt;=0),0,IF(OR(N(对接源_01水果!$B949)&lt;$AL$2,N(对接源_01水果!$B949)&gt;$AL$3),0,1))</f>
        <v>0</v>
      </c>
      <c r="AM949" s="3">
        <f t="shared" si="259"/>
        <v>1</v>
      </c>
      <c r="AN949" s="3" t="str">
        <f>IF(对接源_01水果!$AC949="","",对接源_01水果!$AC949)</f>
        <v/>
      </c>
      <c r="AO949" s="3">
        <f t="shared" si="260"/>
        <v>0</v>
      </c>
      <c r="AP949" s="3">
        <f t="shared" si="261"/>
        <v>8</v>
      </c>
      <c r="AR949">
        <f t="shared" si="262"/>
        <v>0</v>
      </c>
      <c r="AS949">
        <f t="shared" si="263"/>
        <v>0</v>
      </c>
    </row>
    <row r="950" ht="14.25" customHeight="1" spans="1:45">
      <c r="A950" s="3" t="str">
        <f>IF(对接源_01水果!$C950="","",对接源_01水果!$C950)</f>
        <v/>
      </c>
      <c r="B950" s="3">
        <f t="shared" si="247"/>
        <v>0</v>
      </c>
      <c r="C950" s="3">
        <f t="shared" si="248"/>
        <v>18</v>
      </c>
      <c r="K950" s="3">
        <f>IF(OR($K$1="",对接源_01水果!$C950="",对接源_01水果!$C950&lt;&gt;$K$1,对接源_01水果!$B950=""),0,IF(OR(N(对接源_01水果!$B950)&lt;$K$2,N(对接源_01水果!$B950)&gt;$K$3),0,1))</f>
        <v>0</v>
      </c>
      <c r="L950" s="3">
        <f>IF(OR($L$1="",对接源_01水果!$C950="",对接源_01水果!$C950&lt;&gt;$L$1,对接源_01水果!$B950=""),0,IF(OR(N(对接源_01水果!$B950)&lt;$L$2,N(对接源_01水果!$B950)&gt;$L$3),0,1))</f>
        <v>0</v>
      </c>
      <c r="M950" s="3">
        <f>IF(OR($M$1="",对接源_01水果!$C950="",对接源_01水果!$C950&lt;&gt;$M$1,对接源_01水果!$B950=""),0,IF(OR(N(对接源_01水果!$B950)&lt;$M$2,N(对接源_01水果!$B950)&gt;$M$3),0,1))</f>
        <v>0</v>
      </c>
      <c r="N950" s="3">
        <f>IF(OR($N$1="",对接源_01水果!$C950="",对接源_01水果!$C950&lt;&gt;$N$1,对接源_01水果!$B950=""),0,IF(OR(N(对接源_01水果!$B950)&lt;$N$2,N(对接源_01水果!$B950)&gt;$N$3),0,1))</f>
        <v>0</v>
      </c>
      <c r="P950" s="3">
        <f>IF(AND($K950=1,AND(对接源_01水果!$X950="公司筐",N(对接源_01水果!$T950)&lt;&gt;0)),1,0)</f>
        <v>0</v>
      </c>
      <c r="Q950" s="3">
        <f t="shared" si="249"/>
        <v>0</v>
      </c>
      <c r="R950" s="3">
        <f>IF(AND($K950=1,AND(对接源_01水果!$X950="公司筐",N(对接源_01水果!$U950)&lt;&gt;0)),1,0)</f>
        <v>0</v>
      </c>
      <c r="S950" s="3">
        <f t="shared" si="250"/>
        <v>0</v>
      </c>
      <c r="T950" s="3">
        <f>IF(AND($K950=1,AND(对接源_01水果!$X950="公司筐",N(对接源_01水果!$V950)&lt;&gt;0)),1,0)</f>
        <v>0</v>
      </c>
      <c r="U950" s="3">
        <f t="shared" si="251"/>
        <v>19</v>
      </c>
      <c r="V950" s="3">
        <f>IF(AND($L950=1,AND(对接源_01水果!$X950="自备筐",N(对接源_01水果!$V950)&lt;&gt;0)),1,0)</f>
        <v>0</v>
      </c>
      <c r="W950" s="3">
        <f t="shared" si="252"/>
        <v>8</v>
      </c>
      <c r="X950" s="3">
        <f>IF(AND($L950=1,AND(对接源_01水果!$X950="自备筐",N(对接源_01水果!$T950)&lt;&gt;0)),1,0)</f>
        <v>0</v>
      </c>
      <c r="Y950" s="3">
        <f t="shared" si="253"/>
        <v>0</v>
      </c>
      <c r="Z950" s="3">
        <f>IF(AND($M950=1,对接源_01水果!$D950="原料入库"),1,0)</f>
        <v>0</v>
      </c>
      <c r="AA950" s="3">
        <f t="shared" si="254"/>
        <v>24</v>
      </c>
      <c r="AB950" s="3">
        <f>IF(AND($M950=1,LEFT(对接源_01水果!$D950,4)="原料出库"),1,0)</f>
        <v>0</v>
      </c>
      <c r="AC950" s="3">
        <f t="shared" si="255"/>
        <v>0</v>
      </c>
      <c r="AD950" s="3">
        <f>IF(AND($M950=1,LEFT(对接源_01水果!$D950,4)="成品出库"),1,0)</f>
        <v>0</v>
      </c>
      <c r="AE950" s="3">
        <f t="shared" si="256"/>
        <v>0</v>
      </c>
      <c r="AF950" s="3">
        <f>IF(AND($N950=1,AND(LEFT(对接源_01水果!$D950,4)="包装物料",N(对接源_01水果!$K950)&lt;&gt;0)),1,0)</f>
        <v>0</v>
      </c>
      <c r="AG950" s="3">
        <f t="shared" si="257"/>
        <v>0</v>
      </c>
      <c r="AH950" s="3">
        <f>IF(AND($N950=1,AND(对接源_01水果!$D950="周转筐－销售出库",N(对接源_01水果!$K950)&lt;&gt;0)),1,0)</f>
        <v>0</v>
      </c>
      <c r="AI950" s="3">
        <f t="shared" si="258"/>
        <v>0</v>
      </c>
      <c r="AJ950" s="7"/>
      <c r="AL950" s="3">
        <f>IF(OR($AL$1="",对接源_01水果!$Y950="",对接源_01水果!$Y950&lt;&gt;$AL$1,对接源_01水果!$B950="",N(对接源_01水果!$AJ950)&lt;=0),0,IF(OR(N(对接源_01水果!$B950)&lt;$AL$2,N(对接源_01水果!$B950)&gt;$AL$3),0,1))</f>
        <v>0</v>
      </c>
      <c r="AM950" s="3">
        <f t="shared" si="259"/>
        <v>1</v>
      </c>
      <c r="AN950" s="3" t="str">
        <f>IF(对接源_01水果!$AC950="","",对接源_01水果!$AC950)</f>
        <v/>
      </c>
      <c r="AO950" s="3">
        <f t="shared" si="260"/>
        <v>0</v>
      </c>
      <c r="AP950" s="3">
        <f t="shared" si="261"/>
        <v>8</v>
      </c>
      <c r="AR950">
        <f t="shared" si="262"/>
        <v>0</v>
      </c>
      <c r="AS950">
        <f t="shared" si="263"/>
        <v>0</v>
      </c>
    </row>
    <row r="951" ht="14.25" customHeight="1" spans="1:45">
      <c r="A951" s="3" t="str">
        <f>IF(对接源_01水果!$C951="","",对接源_01水果!$C951)</f>
        <v/>
      </c>
      <c r="B951" s="3">
        <f t="shared" si="247"/>
        <v>0</v>
      </c>
      <c r="C951" s="3">
        <f t="shared" si="248"/>
        <v>18</v>
      </c>
      <c r="K951" s="3">
        <f>IF(OR($K$1="",对接源_01水果!$C951="",对接源_01水果!$C951&lt;&gt;$K$1,对接源_01水果!$B951=""),0,IF(OR(N(对接源_01水果!$B951)&lt;$K$2,N(对接源_01水果!$B951)&gt;$K$3),0,1))</f>
        <v>0</v>
      </c>
      <c r="L951" s="3">
        <f>IF(OR($L$1="",对接源_01水果!$C951="",对接源_01水果!$C951&lt;&gt;$L$1,对接源_01水果!$B951=""),0,IF(OR(N(对接源_01水果!$B951)&lt;$L$2,N(对接源_01水果!$B951)&gt;$L$3),0,1))</f>
        <v>0</v>
      </c>
      <c r="M951" s="3">
        <f>IF(OR($M$1="",对接源_01水果!$C951="",对接源_01水果!$C951&lt;&gt;$M$1,对接源_01水果!$B951=""),0,IF(OR(N(对接源_01水果!$B951)&lt;$M$2,N(对接源_01水果!$B951)&gt;$M$3),0,1))</f>
        <v>0</v>
      </c>
      <c r="N951" s="3">
        <f>IF(OR($N$1="",对接源_01水果!$C951="",对接源_01水果!$C951&lt;&gt;$N$1,对接源_01水果!$B951=""),0,IF(OR(N(对接源_01水果!$B951)&lt;$N$2,N(对接源_01水果!$B951)&gt;$N$3),0,1))</f>
        <v>0</v>
      </c>
      <c r="P951" s="3">
        <f>IF(AND($K951=1,AND(对接源_01水果!$X951="公司筐",N(对接源_01水果!$T951)&lt;&gt;0)),1,0)</f>
        <v>0</v>
      </c>
      <c r="Q951" s="3">
        <f t="shared" si="249"/>
        <v>0</v>
      </c>
      <c r="R951" s="3">
        <f>IF(AND($K951=1,AND(对接源_01水果!$X951="公司筐",N(对接源_01水果!$U951)&lt;&gt;0)),1,0)</f>
        <v>0</v>
      </c>
      <c r="S951" s="3">
        <f t="shared" si="250"/>
        <v>0</v>
      </c>
      <c r="T951" s="3">
        <f>IF(AND($K951=1,AND(对接源_01水果!$X951="公司筐",N(对接源_01水果!$V951)&lt;&gt;0)),1,0)</f>
        <v>0</v>
      </c>
      <c r="U951" s="3">
        <f t="shared" si="251"/>
        <v>19</v>
      </c>
      <c r="V951" s="3">
        <f>IF(AND($L951=1,AND(对接源_01水果!$X951="自备筐",N(对接源_01水果!$V951)&lt;&gt;0)),1,0)</f>
        <v>0</v>
      </c>
      <c r="W951" s="3">
        <f t="shared" si="252"/>
        <v>8</v>
      </c>
      <c r="X951" s="3">
        <f>IF(AND($L951=1,AND(对接源_01水果!$X951="自备筐",N(对接源_01水果!$T951)&lt;&gt;0)),1,0)</f>
        <v>0</v>
      </c>
      <c r="Y951" s="3">
        <f t="shared" si="253"/>
        <v>0</v>
      </c>
      <c r="Z951" s="3">
        <f>IF(AND($M951=1,对接源_01水果!$D951="原料入库"),1,0)</f>
        <v>0</v>
      </c>
      <c r="AA951" s="3">
        <f t="shared" si="254"/>
        <v>24</v>
      </c>
      <c r="AB951" s="3">
        <f>IF(AND($M951=1,LEFT(对接源_01水果!$D951,4)="原料出库"),1,0)</f>
        <v>0</v>
      </c>
      <c r="AC951" s="3">
        <f t="shared" si="255"/>
        <v>0</v>
      </c>
      <c r="AD951" s="3">
        <f>IF(AND($M951=1,LEFT(对接源_01水果!$D951,4)="成品出库"),1,0)</f>
        <v>0</v>
      </c>
      <c r="AE951" s="3">
        <f t="shared" si="256"/>
        <v>0</v>
      </c>
      <c r="AF951" s="3">
        <f>IF(AND($N951=1,AND(LEFT(对接源_01水果!$D951,4)="包装物料",N(对接源_01水果!$K951)&lt;&gt;0)),1,0)</f>
        <v>0</v>
      </c>
      <c r="AG951" s="3">
        <f t="shared" si="257"/>
        <v>0</v>
      </c>
      <c r="AH951" s="3">
        <f>IF(AND($N951=1,AND(对接源_01水果!$D951="周转筐－销售出库",N(对接源_01水果!$K951)&lt;&gt;0)),1,0)</f>
        <v>0</v>
      </c>
      <c r="AI951" s="3">
        <f t="shared" si="258"/>
        <v>0</v>
      </c>
      <c r="AJ951" s="7"/>
      <c r="AL951" s="3">
        <f>IF(OR($AL$1="",对接源_01水果!$Y951="",对接源_01水果!$Y951&lt;&gt;$AL$1,对接源_01水果!$B951="",N(对接源_01水果!$AJ951)&lt;=0),0,IF(OR(N(对接源_01水果!$B951)&lt;$AL$2,N(对接源_01水果!$B951)&gt;$AL$3),0,1))</f>
        <v>0</v>
      </c>
      <c r="AM951" s="3">
        <f t="shared" si="259"/>
        <v>1</v>
      </c>
      <c r="AN951" s="3" t="str">
        <f>IF(对接源_01水果!$AC951="","",对接源_01水果!$AC951)</f>
        <v/>
      </c>
      <c r="AO951" s="3">
        <f t="shared" si="260"/>
        <v>0</v>
      </c>
      <c r="AP951" s="3">
        <f t="shared" si="261"/>
        <v>8</v>
      </c>
      <c r="AR951">
        <f t="shared" si="262"/>
        <v>0</v>
      </c>
      <c r="AS951">
        <f t="shared" si="263"/>
        <v>0</v>
      </c>
    </row>
    <row r="952" ht="14.25" customHeight="1" spans="1:45">
      <c r="A952" s="3" t="str">
        <f>IF(对接源_01水果!$C952="","",对接源_01水果!$C952)</f>
        <v/>
      </c>
      <c r="B952" s="3">
        <f t="shared" si="247"/>
        <v>0</v>
      </c>
      <c r="C952" s="3">
        <f t="shared" si="248"/>
        <v>18</v>
      </c>
      <c r="K952" s="3">
        <f>IF(OR($K$1="",对接源_01水果!$C952="",对接源_01水果!$C952&lt;&gt;$K$1,对接源_01水果!$B952=""),0,IF(OR(N(对接源_01水果!$B952)&lt;$K$2,N(对接源_01水果!$B952)&gt;$K$3),0,1))</f>
        <v>0</v>
      </c>
      <c r="L952" s="3">
        <f>IF(OR($L$1="",对接源_01水果!$C952="",对接源_01水果!$C952&lt;&gt;$L$1,对接源_01水果!$B952=""),0,IF(OR(N(对接源_01水果!$B952)&lt;$L$2,N(对接源_01水果!$B952)&gt;$L$3),0,1))</f>
        <v>0</v>
      </c>
      <c r="M952" s="3">
        <f>IF(OR($M$1="",对接源_01水果!$C952="",对接源_01水果!$C952&lt;&gt;$M$1,对接源_01水果!$B952=""),0,IF(OR(N(对接源_01水果!$B952)&lt;$M$2,N(对接源_01水果!$B952)&gt;$M$3),0,1))</f>
        <v>0</v>
      </c>
      <c r="N952" s="3">
        <f>IF(OR($N$1="",对接源_01水果!$C952="",对接源_01水果!$C952&lt;&gt;$N$1,对接源_01水果!$B952=""),0,IF(OR(N(对接源_01水果!$B952)&lt;$N$2,N(对接源_01水果!$B952)&gt;$N$3),0,1))</f>
        <v>0</v>
      </c>
      <c r="P952" s="3">
        <f>IF(AND($K952=1,AND(对接源_01水果!$X952="公司筐",N(对接源_01水果!$T952)&lt;&gt;0)),1,0)</f>
        <v>0</v>
      </c>
      <c r="Q952" s="3">
        <f t="shared" si="249"/>
        <v>0</v>
      </c>
      <c r="R952" s="3">
        <f>IF(AND($K952=1,AND(对接源_01水果!$X952="公司筐",N(对接源_01水果!$U952)&lt;&gt;0)),1,0)</f>
        <v>0</v>
      </c>
      <c r="S952" s="3">
        <f t="shared" si="250"/>
        <v>0</v>
      </c>
      <c r="T952" s="3">
        <f>IF(AND($K952=1,AND(对接源_01水果!$X952="公司筐",N(对接源_01水果!$V952)&lt;&gt;0)),1,0)</f>
        <v>0</v>
      </c>
      <c r="U952" s="3">
        <f t="shared" si="251"/>
        <v>19</v>
      </c>
      <c r="V952" s="3">
        <f>IF(AND($L952=1,AND(对接源_01水果!$X952="自备筐",N(对接源_01水果!$V952)&lt;&gt;0)),1,0)</f>
        <v>0</v>
      </c>
      <c r="W952" s="3">
        <f t="shared" si="252"/>
        <v>8</v>
      </c>
      <c r="X952" s="3">
        <f>IF(AND($L952=1,AND(对接源_01水果!$X952="自备筐",N(对接源_01水果!$T952)&lt;&gt;0)),1,0)</f>
        <v>0</v>
      </c>
      <c r="Y952" s="3">
        <f t="shared" si="253"/>
        <v>0</v>
      </c>
      <c r="Z952" s="3">
        <f>IF(AND($M952=1,对接源_01水果!$D952="原料入库"),1,0)</f>
        <v>0</v>
      </c>
      <c r="AA952" s="3">
        <f t="shared" si="254"/>
        <v>24</v>
      </c>
      <c r="AB952" s="3">
        <f>IF(AND($M952=1,LEFT(对接源_01水果!$D952,4)="原料出库"),1,0)</f>
        <v>0</v>
      </c>
      <c r="AC952" s="3">
        <f t="shared" si="255"/>
        <v>0</v>
      </c>
      <c r="AD952" s="3">
        <f>IF(AND($M952=1,LEFT(对接源_01水果!$D952,4)="成品出库"),1,0)</f>
        <v>0</v>
      </c>
      <c r="AE952" s="3">
        <f t="shared" si="256"/>
        <v>0</v>
      </c>
      <c r="AF952" s="3">
        <f>IF(AND($N952=1,AND(LEFT(对接源_01水果!$D952,4)="包装物料",N(对接源_01水果!$K952)&lt;&gt;0)),1,0)</f>
        <v>0</v>
      </c>
      <c r="AG952" s="3">
        <f t="shared" si="257"/>
        <v>0</v>
      </c>
      <c r="AH952" s="3">
        <f>IF(AND($N952=1,AND(对接源_01水果!$D952="周转筐－销售出库",N(对接源_01水果!$K952)&lt;&gt;0)),1,0)</f>
        <v>0</v>
      </c>
      <c r="AI952" s="3">
        <f t="shared" si="258"/>
        <v>0</v>
      </c>
      <c r="AJ952" s="7"/>
      <c r="AL952" s="3">
        <f>IF(OR($AL$1="",对接源_01水果!$Y952="",对接源_01水果!$Y952&lt;&gt;$AL$1,对接源_01水果!$B952="",N(对接源_01水果!$AJ952)&lt;=0),0,IF(OR(N(对接源_01水果!$B952)&lt;$AL$2,N(对接源_01水果!$B952)&gt;$AL$3),0,1))</f>
        <v>0</v>
      </c>
      <c r="AM952" s="3">
        <f t="shared" si="259"/>
        <v>1</v>
      </c>
      <c r="AN952" s="3" t="str">
        <f>IF(对接源_01水果!$AC952="","",对接源_01水果!$AC952)</f>
        <v/>
      </c>
      <c r="AO952" s="3">
        <f t="shared" si="260"/>
        <v>0</v>
      </c>
      <c r="AP952" s="3">
        <f t="shared" si="261"/>
        <v>8</v>
      </c>
      <c r="AR952">
        <f t="shared" si="262"/>
        <v>0</v>
      </c>
      <c r="AS952">
        <f t="shared" si="263"/>
        <v>0</v>
      </c>
    </row>
    <row r="953" ht="14.25" customHeight="1" spans="1:45">
      <c r="A953" s="3" t="str">
        <f>IF(对接源_01水果!$C953="","",对接源_01水果!$C953)</f>
        <v/>
      </c>
      <c r="B953" s="3">
        <f t="shared" si="247"/>
        <v>0</v>
      </c>
      <c r="C953" s="3">
        <f t="shared" si="248"/>
        <v>18</v>
      </c>
      <c r="K953" s="3">
        <f>IF(OR($K$1="",对接源_01水果!$C953="",对接源_01水果!$C953&lt;&gt;$K$1,对接源_01水果!$B953=""),0,IF(OR(N(对接源_01水果!$B953)&lt;$K$2,N(对接源_01水果!$B953)&gt;$K$3),0,1))</f>
        <v>0</v>
      </c>
      <c r="L953" s="3">
        <f>IF(OR($L$1="",对接源_01水果!$C953="",对接源_01水果!$C953&lt;&gt;$L$1,对接源_01水果!$B953=""),0,IF(OR(N(对接源_01水果!$B953)&lt;$L$2,N(对接源_01水果!$B953)&gt;$L$3),0,1))</f>
        <v>0</v>
      </c>
      <c r="M953" s="3">
        <f>IF(OR($M$1="",对接源_01水果!$C953="",对接源_01水果!$C953&lt;&gt;$M$1,对接源_01水果!$B953=""),0,IF(OR(N(对接源_01水果!$B953)&lt;$M$2,N(对接源_01水果!$B953)&gt;$M$3),0,1))</f>
        <v>0</v>
      </c>
      <c r="N953" s="3">
        <f>IF(OR($N$1="",对接源_01水果!$C953="",对接源_01水果!$C953&lt;&gt;$N$1,对接源_01水果!$B953=""),0,IF(OR(N(对接源_01水果!$B953)&lt;$N$2,N(对接源_01水果!$B953)&gt;$N$3),0,1))</f>
        <v>0</v>
      </c>
      <c r="P953" s="3">
        <f>IF(AND($K953=1,AND(对接源_01水果!$X953="公司筐",N(对接源_01水果!$T953)&lt;&gt;0)),1,0)</f>
        <v>0</v>
      </c>
      <c r="Q953" s="3">
        <f t="shared" si="249"/>
        <v>0</v>
      </c>
      <c r="R953" s="3">
        <f>IF(AND($K953=1,AND(对接源_01水果!$X953="公司筐",N(对接源_01水果!$U953)&lt;&gt;0)),1,0)</f>
        <v>0</v>
      </c>
      <c r="S953" s="3">
        <f t="shared" si="250"/>
        <v>0</v>
      </c>
      <c r="T953" s="3">
        <f>IF(AND($K953=1,AND(对接源_01水果!$X953="公司筐",N(对接源_01水果!$V953)&lt;&gt;0)),1,0)</f>
        <v>0</v>
      </c>
      <c r="U953" s="3">
        <f t="shared" si="251"/>
        <v>19</v>
      </c>
      <c r="V953" s="3">
        <f>IF(AND($L953=1,AND(对接源_01水果!$X953="自备筐",N(对接源_01水果!$V953)&lt;&gt;0)),1,0)</f>
        <v>0</v>
      </c>
      <c r="W953" s="3">
        <f t="shared" si="252"/>
        <v>8</v>
      </c>
      <c r="X953" s="3">
        <f>IF(AND($L953=1,AND(对接源_01水果!$X953="自备筐",N(对接源_01水果!$T953)&lt;&gt;0)),1,0)</f>
        <v>0</v>
      </c>
      <c r="Y953" s="3">
        <f t="shared" si="253"/>
        <v>0</v>
      </c>
      <c r="Z953" s="3">
        <f>IF(AND($M953=1,对接源_01水果!$D953="原料入库"),1,0)</f>
        <v>0</v>
      </c>
      <c r="AA953" s="3">
        <f t="shared" si="254"/>
        <v>24</v>
      </c>
      <c r="AB953" s="3">
        <f>IF(AND($M953=1,LEFT(对接源_01水果!$D953,4)="原料出库"),1,0)</f>
        <v>0</v>
      </c>
      <c r="AC953" s="3">
        <f t="shared" si="255"/>
        <v>0</v>
      </c>
      <c r="AD953" s="3">
        <f>IF(AND($M953=1,LEFT(对接源_01水果!$D953,4)="成品出库"),1,0)</f>
        <v>0</v>
      </c>
      <c r="AE953" s="3">
        <f t="shared" si="256"/>
        <v>0</v>
      </c>
      <c r="AF953" s="3">
        <f>IF(AND($N953=1,AND(LEFT(对接源_01水果!$D953,4)="包装物料",N(对接源_01水果!$K953)&lt;&gt;0)),1,0)</f>
        <v>0</v>
      </c>
      <c r="AG953" s="3">
        <f t="shared" si="257"/>
        <v>0</v>
      </c>
      <c r="AH953" s="3">
        <f>IF(AND($N953=1,AND(对接源_01水果!$D953="周转筐－销售出库",N(对接源_01水果!$K953)&lt;&gt;0)),1,0)</f>
        <v>0</v>
      </c>
      <c r="AI953" s="3">
        <f t="shared" si="258"/>
        <v>0</v>
      </c>
      <c r="AJ953" s="7"/>
      <c r="AL953" s="3">
        <f>IF(OR($AL$1="",对接源_01水果!$Y953="",对接源_01水果!$Y953&lt;&gt;$AL$1,对接源_01水果!$B953="",N(对接源_01水果!$AJ953)&lt;=0),0,IF(OR(N(对接源_01水果!$B953)&lt;$AL$2,N(对接源_01水果!$B953)&gt;$AL$3),0,1))</f>
        <v>0</v>
      </c>
      <c r="AM953" s="3">
        <f t="shared" si="259"/>
        <v>1</v>
      </c>
      <c r="AN953" s="3" t="str">
        <f>IF(对接源_01水果!$AC953="","",对接源_01水果!$AC953)</f>
        <v/>
      </c>
      <c r="AO953" s="3">
        <f t="shared" si="260"/>
        <v>0</v>
      </c>
      <c r="AP953" s="3">
        <f t="shared" si="261"/>
        <v>8</v>
      </c>
      <c r="AR953">
        <f t="shared" si="262"/>
        <v>0</v>
      </c>
      <c r="AS953">
        <f t="shared" si="263"/>
        <v>0</v>
      </c>
    </row>
    <row r="954" ht="14.25" customHeight="1" spans="1:45">
      <c r="A954" s="3" t="str">
        <f>IF(对接源_01水果!$C954="","",对接源_01水果!$C954)</f>
        <v/>
      </c>
      <c r="B954" s="3">
        <f t="shared" si="247"/>
        <v>0</v>
      </c>
      <c r="C954" s="3">
        <f t="shared" si="248"/>
        <v>18</v>
      </c>
      <c r="K954" s="3">
        <f>IF(OR($K$1="",对接源_01水果!$C954="",对接源_01水果!$C954&lt;&gt;$K$1,对接源_01水果!$B954=""),0,IF(OR(N(对接源_01水果!$B954)&lt;$K$2,N(对接源_01水果!$B954)&gt;$K$3),0,1))</f>
        <v>0</v>
      </c>
      <c r="L954" s="3">
        <f>IF(OR($L$1="",对接源_01水果!$C954="",对接源_01水果!$C954&lt;&gt;$L$1,对接源_01水果!$B954=""),0,IF(OR(N(对接源_01水果!$B954)&lt;$L$2,N(对接源_01水果!$B954)&gt;$L$3),0,1))</f>
        <v>0</v>
      </c>
      <c r="M954" s="3">
        <f>IF(OR($M$1="",对接源_01水果!$C954="",对接源_01水果!$C954&lt;&gt;$M$1,对接源_01水果!$B954=""),0,IF(OR(N(对接源_01水果!$B954)&lt;$M$2,N(对接源_01水果!$B954)&gt;$M$3),0,1))</f>
        <v>0</v>
      </c>
      <c r="N954" s="3">
        <f>IF(OR($N$1="",对接源_01水果!$C954="",对接源_01水果!$C954&lt;&gt;$N$1,对接源_01水果!$B954=""),0,IF(OR(N(对接源_01水果!$B954)&lt;$N$2,N(对接源_01水果!$B954)&gt;$N$3),0,1))</f>
        <v>0</v>
      </c>
      <c r="P954" s="3">
        <f>IF(AND($K954=1,AND(对接源_01水果!$X954="公司筐",N(对接源_01水果!$T954)&lt;&gt;0)),1,0)</f>
        <v>0</v>
      </c>
      <c r="Q954" s="3">
        <f t="shared" si="249"/>
        <v>0</v>
      </c>
      <c r="R954" s="3">
        <f>IF(AND($K954=1,AND(对接源_01水果!$X954="公司筐",N(对接源_01水果!$U954)&lt;&gt;0)),1,0)</f>
        <v>0</v>
      </c>
      <c r="S954" s="3">
        <f t="shared" si="250"/>
        <v>0</v>
      </c>
      <c r="T954" s="3">
        <f>IF(AND($K954=1,AND(对接源_01水果!$X954="公司筐",N(对接源_01水果!$V954)&lt;&gt;0)),1,0)</f>
        <v>0</v>
      </c>
      <c r="U954" s="3">
        <f t="shared" si="251"/>
        <v>19</v>
      </c>
      <c r="V954" s="3">
        <f>IF(AND($L954=1,AND(对接源_01水果!$X954="自备筐",N(对接源_01水果!$V954)&lt;&gt;0)),1,0)</f>
        <v>0</v>
      </c>
      <c r="W954" s="3">
        <f t="shared" si="252"/>
        <v>8</v>
      </c>
      <c r="X954" s="3">
        <f>IF(AND($L954=1,AND(对接源_01水果!$X954="自备筐",N(对接源_01水果!$T954)&lt;&gt;0)),1,0)</f>
        <v>0</v>
      </c>
      <c r="Y954" s="3">
        <f t="shared" si="253"/>
        <v>0</v>
      </c>
      <c r="Z954" s="3">
        <f>IF(AND($M954=1,对接源_01水果!$D954="原料入库"),1,0)</f>
        <v>0</v>
      </c>
      <c r="AA954" s="3">
        <f t="shared" si="254"/>
        <v>24</v>
      </c>
      <c r="AB954" s="3">
        <f>IF(AND($M954=1,LEFT(对接源_01水果!$D954,4)="原料出库"),1,0)</f>
        <v>0</v>
      </c>
      <c r="AC954" s="3">
        <f t="shared" si="255"/>
        <v>0</v>
      </c>
      <c r="AD954" s="3">
        <f>IF(AND($M954=1,LEFT(对接源_01水果!$D954,4)="成品出库"),1,0)</f>
        <v>0</v>
      </c>
      <c r="AE954" s="3">
        <f t="shared" si="256"/>
        <v>0</v>
      </c>
      <c r="AF954" s="3">
        <f>IF(AND($N954=1,AND(LEFT(对接源_01水果!$D954,4)="包装物料",N(对接源_01水果!$K954)&lt;&gt;0)),1,0)</f>
        <v>0</v>
      </c>
      <c r="AG954" s="3">
        <f t="shared" si="257"/>
        <v>0</v>
      </c>
      <c r="AH954" s="3">
        <f>IF(AND($N954=1,AND(对接源_01水果!$D954="周转筐－销售出库",N(对接源_01水果!$K954)&lt;&gt;0)),1,0)</f>
        <v>0</v>
      </c>
      <c r="AI954" s="3">
        <f t="shared" si="258"/>
        <v>0</v>
      </c>
      <c r="AJ954" s="7"/>
      <c r="AL954" s="3">
        <f>IF(OR($AL$1="",对接源_01水果!$Y954="",对接源_01水果!$Y954&lt;&gt;$AL$1,对接源_01水果!$B954="",N(对接源_01水果!$AJ954)&lt;=0),0,IF(OR(N(对接源_01水果!$B954)&lt;$AL$2,N(对接源_01水果!$B954)&gt;$AL$3),0,1))</f>
        <v>0</v>
      </c>
      <c r="AM954" s="3">
        <f t="shared" si="259"/>
        <v>1</v>
      </c>
      <c r="AN954" s="3" t="str">
        <f>IF(对接源_01水果!$AC954="","",对接源_01水果!$AC954)</f>
        <v/>
      </c>
      <c r="AO954" s="3">
        <f t="shared" si="260"/>
        <v>0</v>
      </c>
      <c r="AP954" s="3">
        <f t="shared" si="261"/>
        <v>8</v>
      </c>
      <c r="AR954">
        <f t="shared" si="262"/>
        <v>0</v>
      </c>
      <c r="AS954">
        <f t="shared" si="263"/>
        <v>0</v>
      </c>
    </row>
    <row r="955" ht="14.25" customHeight="1" spans="1:45">
      <c r="A955" s="3" t="str">
        <f>IF(对接源_01水果!$C955="","",对接源_01水果!$C955)</f>
        <v/>
      </c>
      <c r="B955" s="3">
        <f t="shared" si="247"/>
        <v>0</v>
      </c>
      <c r="C955" s="3">
        <f t="shared" si="248"/>
        <v>18</v>
      </c>
      <c r="K955" s="3">
        <f>IF(OR($K$1="",对接源_01水果!$C955="",对接源_01水果!$C955&lt;&gt;$K$1,对接源_01水果!$B955=""),0,IF(OR(N(对接源_01水果!$B955)&lt;$K$2,N(对接源_01水果!$B955)&gt;$K$3),0,1))</f>
        <v>0</v>
      </c>
      <c r="L955" s="3">
        <f>IF(OR($L$1="",对接源_01水果!$C955="",对接源_01水果!$C955&lt;&gt;$L$1,对接源_01水果!$B955=""),0,IF(OR(N(对接源_01水果!$B955)&lt;$L$2,N(对接源_01水果!$B955)&gt;$L$3),0,1))</f>
        <v>0</v>
      </c>
      <c r="M955" s="3">
        <f>IF(OR($M$1="",对接源_01水果!$C955="",对接源_01水果!$C955&lt;&gt;$M$1,对接源_01水果!$B955=""),0,IF(OR(N(对接源_01水果!$B955)&lt;$M$2,N(对接源_01水果!$B955)&gt;$M$3),0,1))</f>
        <v>0</v>
      </c>
      <c r="N955" s="3">
        <f>IF(OR($N$1="",对接源_01水果!$C955="",对接源_01水果!$C955&lt;&gt;$N$1,对接源_01水果!$B955=""),0,IF(OR(N(对接源_01水果!$B955)&lt;$N$2,N(对接源_01水果!$B955)&gt;$N$3),0,1))</f>
        <v>0</v>
      </c>
      <c r="P955" s="3">
        <f>IF(AND($K955=1,AND(对接源_01水果!$X955="公司筐",N(对接源_01水果!$T955)&lt;&gt;0)),1,0)</f>
        <v>0</v>
      </c>
      <c r="Q955" s="3">
        <f t="shared" si="249"/>
        <v>0</v>
      </c>
      <c r="R955" s="3">
        <f>IF(AND($K955=1,AND(对接源_01水果!$X955="公司筐",N(对接源_01水果!$U955)&lt;&gt;0)),1,0)</f>
        <v>0</v>
      </c>
      <c r="S955" s="3">
        <f t="shared" si="250"/>
        <v>0</v>
      </c>
      <c r="T955" s="3">
        <f>IF(AND($K955=1,AND(对接源_01水果!$X955="公司筐",N(对接源_01水果!$V955)&lt;&gt;0)),1,0)</f>
        <v>0</v>
      </c>
      <c r="U955" s="3">
        <f t="shared" si="251"/>
        <v>19</v>
      </c>
      <c r="V955" s="3">
        <f>IF(AND($L955=1,AND(对接源_01水果!$X955="自备筐",N(对接源_01水果!$V955)&lt;&gt;0)),1,0)</f>
        <v>0</v>
      </c>
      <c r="W955" s="3">
        <f t="shared" si="252"/>
        <v>8</v>
      </c>
      <c r="X955" s="3">
        <f>IF(AND($L955=1,AND(对接源_01水果!$X955="自备筐",N(对接源_01水果!$T955)&lt;&gt;0)),1,0)</f>
        <v>0</v>
      </c>
      <c r="Y955" s="3">
        <f t="shared" si="253"/>
        <v>0</v>
      </c>
      <c r="Z955" s="3">
        <f>IF(AND($M955=1,对接源_01水果!$D955="原料入库"),1,0)</f>
        <v>0</v>
      </c>
      <c r="AA955" s="3">
        <f t="shared" si="254"/>
        <v>24</v>
      </c>
      <c r="AB955" s="3">
        <f>IF(AND($M955=1,LEFT(对接源_01水果!$D955,4)="原料出库"),1,0)</f>
        <v>0</v>
      </c>
      <c r="AC955" s="3">
        <f t="shared" si="255"/>
        <v>0</v>
      </c>
      <c r="AD955" s="3">
        <f>IF(AND($M955=1,LEFT(对接源_01水果!$D955,4)="成品出库"),1,0)</f>
        <v>0</v>
      </c>
      <c r="AE955" s="3">
        <f t="shared" si="256"/>
        <v>0</v>
      </c>
      <c r="AF955" s="3">
        <f>IF(AND($N955=1,AND(LEFT(对接源_01水果!$D955,4)="包装物料",N(对接源_01水果!$K955)&lt;&gt;0)),1,0)</f>
        <v>0</v>
      </c>
      <c r="AG955" s="3">
        <f t="shared" si="257"/>
        <v>0</v>
      </c>
      <c r="AH955" s="3">
        <f>IF(AND($N955=1,AND(对接源_01水果!$D955="周转筐－销售出库",N(对接源_01水果!$K955)&lt;&gt;0)),1,0)</f>
        <v>0</v>
      </c>
      <c r="AI955" s="3">
        <f t="shared" si="258"/>
        <v>0</v>
      </c>
      <c r="AJ955" s="7"/>
      <c r="AL955" s="3">
        <f>IF(OR($AL$1="",对接源_01水果!$Y955="",对接源_01水果!$Y955&lt;&gt;$AL$1,对接源_01水果!$B955="",N(对接源_01水果!$AJ955)&lt;=0),0,IF(OR(N(对接源_01水果!$B955)&lt;$AL$2,N(对接源_01水果!$B955)&gt;$AL$3),0,1))</f>
        <v>0</v>
      </c>
      <c r="AM955" s="3">
        <f t="shared" si="259"/>
        <v>1</v>
      </c>
      <c r="AN955" s="3" t="str">
        <f>IF(对接源_01水果!$AC955="","",对接源_01水果!$AC955)</f>
        <v/>
      </c>
      <c r="AO955" s="3">
        <f t="shared" si="260"/>
        <v>0</v>
      </c>
      <c r="AP955" s="3">
        <f t="shared" si="261"/>
        <v>8</v>
      </c>
      <c r="AR955">
        <f t="shared" si="262"/>
        <v>0</v>
      </c>
      <c r="AS955">
        <f t="shared" si="263"/>
        <v>0</v>
      </c>
    </row>
    <row r="956" ht="14.25" customHeight="1" spans="1:45">
      <c r="A956" s="3" t="str">
        <f>IF(对接源_01水果!$C956="","",对接源_01水果!$C956)</f>
        <v/>
      </c>
      <c r="B956" s="3">
        <f t="shared" si="247"/>
        <v>0</v>
      </c>
      <c r="C956" s="3">
        <f t="shared" si="248"/>
        <v>18</v>
      </c>
      <c r="K956" s="3">
        <f>IF(OR($K$1="",对接源_01水果!$C956="",对接源_01水果!$C956&lt;&gt;$K$1,对接源_01水果!$B956=""),0,IF(OR(N(对接源_01水果!$B956)&lt;$K$2,N(对接源_01水果!$B956)&gt;$K$3),0,1))</f>
        <v>0</v>
      </c>
      <c r="L956" s="3">
        <f>IF(OR($L$1="",对接源_01水果!$C956="",对接源_01水果!$C956&lt;&gt;$L$1,对接源_01水果!$B956=""),0,IF(OR(N(对接源_01水果!$B956)&lt;$L$2,N(对接源_01水果!$B956)&gt;$L$3),0,1))</f>
        <v>0</v>
      </c>
      <c r="M956" s="3">
        <f>IF(OR($M$1="",对接源_01水果!$C956="",对接源_01水果!$C956&lt;&gt;$M$1,对接源_01水果!$B956=""),0,IF(OR(N(对接源_01水果!$B956)&lt;$M$2,N(对接源_01水果!$B956)&gt;$M$3),0,1))</f>
        <v>0</v>
      </c>
      <c r="N956" s="3">
        <f>IF(OR($N$1="",对接源_01水果!$C956="",对接源_01水果!$C956&lt;&gt;$N$1,对接源_01水果!$B956=""),0,IF(OR(N(对接源_01水果!$B956)&lt;$N$2,N(对接源_01水果!$B956)&gt;$N$3),0,1))</f>
        <v>0</v>
      </c>
      <c r="P956" s="3">
        <f>IF(AND($K956=1,AND(对接源_01水果!$X956="公司筐",N(对接源_01水果!$T956)&lt;&gt;0)),1,0)</f>
        <v>0</v>
      </c>
      <c r="Q956" s="3">
        <f t="shared" si="249"/>
        <v>0</v>
      </c>
      <c r="R956" s="3">
        <f>IF(AND($K956=1,AND(对接源_01水果!$X956="公司筐",N(对接源_01水果!$U956)&lt;&gt;0)),1,0)</f>
        <v>0</v>
      </c>
      <c r="S956" s="3">
        <f t="shared" si="250"/>
        <v>0</v>
      </c>
      <c r="T956" s="3">
        <f>IF(AND($K956=1,AND(对接源_01水果!$X956="公司筐",N(对接源_01水果!$V956)&lt;&gt;0)),1,0)</f>
        <v>0</v>
      </c>
      <c r="U956" s="3">
        <f t="shared" si="251"/>
        <v>19</v>
      </c>
      <c r="V956" s="3">
        <f>IF(AND($L956=1,AND(对接源_01水果!$X956="自备筐",N(对接源_01水果!$V956)&lt;&gt;0)),1,0)</f>
        <v>0</v>
      </c>
      <c r="W956" s="3">
        <f t="shared" si="252"/>
        <v>8</v>
      </c>
      <c r="X956" s="3">
        <f>IF(AND($L956=1,AND(对接源_01水果!$X956="自备筐",N(对接源_01水果!$T956)&lt;&gt;0)),1,0)</f>
        <v>0</v>
      </c>
      <c r="Y956" s="3">
        <f t="shared" si="253"/>
        <v>0</v>
      </c>
      <c r="Z956" s="3">
        <f>IF(AND($M956=1,对接源_01水果!$D956="原料入库"),1,0)</f>
        <v>0</v>
      </c>
      <c r="AA956" s="3">
        <f t="shared" si="254"/>
        <v>24</v>
      </c>
      <c r="AB956" s="3">
        <f>IF(AND($M956=1,LEFT(对接源_01水果!$D956,4)="原料出库"),1,0)</f>
        <v>0</v>
      </c>
      <c r="AC956" s="3">
        <f t="shared" si="255"/>
        <v>0</v>
      </c>
      <c r="AD956" s="3">
        <f>IF(AND($M956=1,LEFT(对接源_01水果!$D956,4)="成品出库"),1,0)</f>
        <v>0</v>
      </c>
      <c r="AE956" s="3">
        <f t="shared" si="256"/>
        <v>0</v>
      </c>
      <c r="AF956" s="3">
        <f>IF(AND($N956=1,AND(LEFT(对接源_01水果!$D956,4)="包装物料",N(对接源_01水果!$K956)&lt;&gt;0)),1,0)</f>
        <v>0</v>
      </c>
      <c r="AG956" s="3">
        <f t="shared" si="257"/>
        <v>0</v>
      </c>
      <c r="AH956" s="3">
        <f>IF(AND($N956=1,AND(对接源_01水果!$D956="周转筐－销售出库",N(对接源_01水果!$K956)&lt;&gt;0)),1,0)</f>
        <v>0</v>
      </c>
      <c r="AI956" s="3">
        <f t="shared" si="258"/>
        <v>0</v>
      </c>
      <c r="AJ956" s="7"/>
      <c r="AL956" s="3">
        <f>IF(OR($AL$1="",对接源_01水果!$Y956="",对接源_01水果!$Y956&lt;&gt;$AL$1,对接源_01水果!$B956="",N(对接源_01水果!$AJ956)&lt;=0),0,IF(OR(N(对接源_01水果!$B956)&lt;$AL$2,N(对接源_01水果!$B956)&gt;$AL$3),0,1))</f>
        <v>0</v>
      </c>
      <c r="AM956" s="3">
        <f t="shared" si="259"/>
        <v>1</v>
      </c>
      <c r="AN956" s="3" t="str">
        <f>IF(对接源_01水果!$AC956="","",对接源_01水果!$AC956)</f>
        <v/>
      </c>
      <c r="AO956" s="3">
        <f t="shared" si="260"/>
        <v>0</v>
      </c>
      <c r="AP956" s="3">
        <f t="shared" si="261"/>
        <v>8</v>
      </c>
      <c r="AR956">
        <f t="shared" si="262"/>
        <v>0</v>
      </c>
      <c r="AS956">
        <f t="shared" si="263"/>
        <v>0</v>
      </c>
    </row>
    <row r="957" ht="14.25" customHeight="1" spans="1:45">
      <c r="A957" s="3" t="str">
        <f>IF(对接源_01水果!$C957="","",对接源_01水果!$C957)</f>
        <v/>
      </c>
      <c r="B957" s="3">
        <f t="shared" si="247"/>
        <v>0</v>
      </c>
      <c r="C957" s="3">
        <f t="shared" si="248"/>
        <v>18</v>
      </c>
      <c r="K957" s="3">
        <f>IF(OR($K$1="",对接源_01水果!$C957="",对接源_01水果!$C957&lt;&gt;$K$1,对接源_01水果!$B957=""),0,IF(OR(N(对接源_01水果!$B957)&lt;$K$2,N(对接源_01水果!$B957)&gt;$K$3),0,1))</f>
        <v>0</v>
      </c>
      <c r="L957" s="3">
        <f>IF(OR($L$1="",对接源_01水果!$C957="",对接源_01水果!$C957&lt;&gt;$L$1,对接源_01水果!$B957=""),0,IF(OR(N(对接源_01水果!$B957)&lt;$L$2,N(对接源_01水果!$B957)&gt;$L$3),0,1))</f>
        <v>0</v>
      </c>
      <c r="M957" s="3">
        <f>IF(OR($M$1="",对接源_01水果!$C957="",对接源_01水果!$C957&lt;&gt;$M$1,对接源_01水果!$B957=""),0,IF(OR(N(对接源_01水果!$B957)&lt;$M$2,N(对接源_01水果!$B957)&gt;$M$3),0,1))</f>
        <v>0</v>
      </c>
      <c r="N957" s="3">
        <f>IF(OR($N$1="",对接源_01水果!$C957="",对接源_01水果!$C957&lt;&gt;$N$1,对接源_01水果!$B957=""),0,IF(OR(N(对接源_01水果!$B957)&lt;$N$2,N(对接源_01水果!$B957)&gt;$N$3),0,1))</f>
        <v>0</v>
      </c>
      <c r="P957" s="3">
        <f>IF(AND($K957=1,AND(对接源_01水果!$X957="公司筐",N(对接源_01水果!$T957)&lt;&gt;0)),1,0)</f>
        <v>0</v>
      </c>
      <c r="Q957" s="3">
        <f t="shared" si="249"/>
        <v>0</v>
      </c>
      <c r="R957" s="3">
        <f>IF(AND($K957=1,AND(对接源_01水果!$X957="公司筐",N(对接源_01水果!$U957)&lt;&gt;0)),1,0)</f>
        <v>0</v>
      </c>
      <c r="S957" s="3">
        <f t="shared" si="250"/>
        <v>0</v>
      </c>
      <c r="T957" s="3">
        <f>IF(AND($K957=1,AND(对接源_01水果!$X957="公司筐",N(对接源_01水果!$V957)&lt;&gt;0)),1,0)</f>
        <v>0</v>
      </c>
      <c r="U957" s="3">
        <f t="shared" si="251"/>
        <v>19</v>
      </c>
      <c r="V957" s="3">
        <f>IF(AND($L957=1,AND(对接源_01水果!$X957="自备筐",N(对接源_01水果!$V957)&lt;&gt;0)),1,0)</f>
        <v>0</v>
      </c>
      <c r="W957" s="3">
        <f t="shared" si="252"/>
        <v>8</v>
      </c>
      <c r="X957" s="3">
        <f>IF(AND($L957=1,AND(对接源_01水果!$X957="自备筐",N(对接源_01水果!$T957)&lt;&gt;0)),1,0)</f>
        <v>0</v>
      </c>
      <c r="Y957" s="3">
        <f t="shared" si="253"/>
        <v>0</v>
      </c>
      <c r="Z957" s="3">
        <f>IF(AND($M957=1,对接源_01水果!$D957="原料入库"),1,0)</f>
        <v>0</v>
      </c>
      <c r="AA957" s="3">
        <f t="shared" si="254"/>
        <v>24</v>
      </c>
      <c r="AB957" s="3">
        <f>IF(AND($M957=1,LEFT(对接源_01水果!$D957,4)="原料出库"),1,0)</f>
        <v>0</v>
      </c>
      <c r="AC957" s="3">
        <f t="shared" si="255"/>
        <v>0</v>
      </c>
      <c r="AD957" s="3">
        <f>IF(AND($M957=1,LEFT(对接源_01水果!$D957,4)="成品出库"),1,0)</f>
        <v>0</v>
      </c>
      <c r="AE957" s="3">
        <f t="shared" si="256"/>
        <v>0</v>
      </c>
      <c r="AF957" s="3">
        <f>IF(AND($N957=1,AND(LEFT(对接源_01水果!$D957,4)="包装物料",N(对接源_01水果!$K957)&lt;&gt;0)),1,0)</f>
        <v>0</v>
      </c>
      <c r="AG957" s="3">
        <f t="shared" si="257"/>
        <v>0</v>
      </c>
      <c r="AH957" s="3">
        <f>IF(AND($N957=1,AND(对接源_01水果!$D957="周转筐－销售出库",N(对接源_01水果!$K957)&lt;&gt;0)),1,0)</f>
        <v>0</v>
      </c>
      <c r="AI957" s="3">
        <f t="shared" si="258"/>
        <v>0</v>
      </c>
      <c r="AJ957" s="7"/>
      <c r="AL957" s="3">
        <f>IF(OR($AL$1="",对接源_01水果!$Y957="",对接源_01水果!$Y957&lt;&gt;$AL$1,对接源_01水果!$B957="",N(对接源_01水果!$AJ957)&lt;=0),0,IF(OR(N(对接源_01水果!$B957)&lt;$AL$2,N(对接源_01水果!$B957)&gt;$AL$3),0,1))</f>
        <v>0</v>
      </c>
      <c r="AM957" s="3">
        <f t="shared" si="259"/>
        <v>1</v>
      </c>
      <c r="AN957" s="3" t="str">
        <f>IF(对接源_01水果!$AC957="","",对接源_01水果!$AC957)</f>
        <v/>
      </c>
      <c r="AO957" s="3">
        <f t="shared" si="260"/>
        <v>0</v>
      </c>
      <c r="AP957" s="3">
        <f t="shared" si="261"/>
        <v>8</v>
      </c>
      <c r="AR957">
        <f t="shared" si="262"/>
        <v>0</v>
      </c>
      <c r="AS957">
        <f t="shared" si="263"/>
        <v>0</v>
      </c>
    </row>
    <row r="958" ht="14.25" customHeight="1" spans="1:45">
      <c r="A958" s="3" t="str">
        <f>IF(对接源_01水果!$C958="","",对接源_01水果!$C958)</f>
        <v/>
      </c>
      <c r="B958" s="3">
        <f t="shared" si="247"/>
        <v>0</v>
      </c>
      <c r="C958" s="3">
        <f t="shared" si="248"/>
        <v>18</v>
      </c>
      <c r="K958" s="3">
        <f>IF(OR($K$1="",对接源_01水果!$C958="",对接源_01水果!$C958&lt;&gt;$K$1,对接源_01水果!$B958=""),0,IF(OR(N(对接源_01水果!$B958)&lt;$K$2,N(对接源_01水果!$B958)&gt;$K$3),0,1))</f>
        <v>0</v>
      </c>
      <c r="L958" s="3">
        <f>IF(OR($L$1="",对接源_01水果!$C958="",对接源_01水果!$C958&lt;&gt;$L$1,对接源_01水果!$B958=""),0,IF(OR(N(对接源_01水果!$B958)&lt;$L$2,N(对接源_01水果!$B958)&gt;$L$3),0,1))</f>
        <v>0</v>
      </c>
      <c r="M958" s="3">
        <f>IF(OR($M$1="",对接源_01水果!$C958="",对接源_01水果!$C958&lt;&gt;$M$1,对接源_01水果!$B958=""),0,IF(OR(N(对接源_01水果!$B958)&lt;$M$2,N(对接源_01水果!$B958)&gt;$M$3),0,1))</f>
        <v>0</v>
      </c>
      <c r="N958" s="3">
        <f>IF(OR($N$1="",对接源_01水果!$C958="",对接源_01水果!$C958&lt;&gt;$N$1,对接源_01水果!$B958=""),0,IF(OR(N(对接源_01水果!$B958)&lt;$N$2,N(对接源_01水果!$B958)&gt;$N$3),0,1))</f>
        <v>0</v>
      </c>
      <c r="P958" s="3">
        <f>IF(AND($K958=1,AND(对接源_01水果!$X958="公司筐",N(对接源_01水果!$T958)&lt;&gt;0)),1,0)</f>
        <v>0</v>
      </c>
      <c r="Q958" s="3">
        <f t="shared" si="249"/>
        <v>0</v>
      </c>
      <c r="R958" s="3">
        <f>IF(AND($K958=1,AND(对接源_01水果!$X958="公司筐",N(对接源_01水果!$U958)&lt;&gt;0)),1,0)</f>
        <v>0</v>
      </c>
      <c r="S958" s="3">
        <f t="shared" si="250"/>
        <v>0</v>
      </c>
      <c r="T958" s="3">
        <f>IF(AND($K958=1,AND(对接源_01水果!$X958="公司筐",N(对接源_01水果!$V958)&lt;&gt;0)),1,0)</f>
        <v>0</v>
      </c>
      <c r="U958" s="3">
        <f t="shared" si="251"/>
        <v>19</v>
      </c>
      <c r="V958" s="3">
        <f>IF(AND($L958=1,AND(对接源_01水果!$X958="自备筐",N(对接源_01水果!$V958)&lt;&gt;0)),1,0)</f>
        <v>0</v>
      </c>
      <c r="W958" s="3">
        <f t="shared" si="252"/>
        <v>8</v>
      </c>
      <c r="X958" s="3">
        <f>IF(AND($L958=1,AND(对接源_01水果!$X958="自备筐",N(对接源_01水果!$T958)&lt;&gt;0)),1,0)</f>
        <v>0</v>
      </c>
      <c r="Y958" s="3">
        <f t="shared" si="253"/>
        <v>0</v>
      </c>
      <c r="Z958" s="3">
        <f>IF(AND($M958=1,对接源_01水果!$D958="原料入库"),1,0)</f>
        <v>0</v>
      </c>
      <c r="AA958" s="3">
        <f t="shared" si="254"/>
        <v>24</v>
      </c>
      <c r="AB958" s="3">
        <f>IF(AND($M958=1,LEFT(对接源_01水果!$D958,4)="原料出库"),1,0)</f>
        <v>0</v>
      </c>
      <c r="AC958" s="3">
        <f t="shared" si="255"/>
        <v>0</v>
      </c>
      <c r="AD958" s="3">
        <f>IF(AND($M958=1,LEFT(对接源_01水果!$D958,4)="成品出库"),1,0)</f>
        <v>0</v>
      </c>
      <c r="AE958" s="3">
        <f t="shared" si="256"/>
        <v>0</v>
      </c>
      <c r="AF958" s="3">
        <f>IF(AND($N958=1,AND(LEFT(对接源_01水果!$D958,4)="包装物料",N(对接源_01水果!$K958)&lt;&gt;0)),1,0)</f>
        <v>0</v>
      </c>
      <c r="AG958" s="3">
        <f t="shared" si="257"/>
        <v>0</v>
      </c>
      <c r="AH958" s="3">
        <f>IF(AND($N958=1,AND(对接源_01水果!$D958="周转筐－销售出库",N(对接源_01水果!$K958)&lt;&gt;0)),1,0)</f>
        <v>0</v>
      </c>
      <c r="AI958" s="3">
        <f t="shared" si="258"/>
        <v>0</v>
      </c>
      <c r="AJ958" s="7"/>
      <c r="AL958" s="3">
        <f>IF(OR($AL$1="",对接源_01水果!$Y958="",对接源_01水果!$Y958&lt;&gt;$AL$1,对接源_01水果!$B958="",N(对接源_01水果!$AJ958)&lt;=0),0,IF(OR(N(对接源_01水果!$B958)&lt;$AL$2,N(对接源_01水果!$B958)&gt;$AL$3),0,1))</f>
        <v>0</v>
      </c>
      <c r="AM958" s="3">
        <f t="shared" si="259"/>
        <v>1</v>
      </c>
      <c r="AN958" s="3" t="str">
        <f>IF(对接源_01水果!$AC958="","",对接源_01水果!$AC958)</f>
        <v/>
      </c>
      <c r="AO958" s="3">
        <f t="shared" si="260"/>
        <v>0</v>
      </c>
      <c r="AP958" s="3">
        <f t="shared" si="261"/>
        <v>8</v>
      </c>
      <c r="AR958">
        <f t="shared" si="262"/>
        <v>0</v>
      </c>
      <c r="AS958">
        <f t="shared" si="263"/>
        <v>0</v>
      </c>
    </row>
    <row r="959" ht="14.25" customHeight="1" spans="1:45">
      <c r="A959" s="3" t="str">
        <f>IF(对接源_01水果!$C959="","",对接源_01水果!$C959)</f>
        <v/>
      </c>
      <c r="B959" s="3">
        <f t="shared" si="247"/>
        <v>0</v>
      </c>
      <c r="C959" s="3">
        <f t="shared" si="248"/>
        <v>18</v>
      </c>
      <c r="K959" s="3">
        <f>IF(OR($K$1="",对接源_01水果!$C959="",对接源_01水果!$C959&lt;&gt;$K$1,对接源_01水果!$B959=""),0,IF(OR(N(对接源_01水果!$B959)&lt;$K$2,N(对接源_01水果!$B959)&gt;$K$3),0,1))</f>
        <v>0</v>
      </c>
      <c r="L959" s="3">
        <f>IF(OR($L$1="",对接源_01水果!$C959="",对接源_01水果!$C959&lt;&gt;$L$1,对接源_01水果!$B959=""),0,IF(OR(N(对接源_01水果!$B959)&lt;$L$2,N(对接源_01水果!$B959)&gt;$L$3),0,1))</f>
        <v>0</v>
      </c>
      <c r="M959" s="3">
        <f>IF(OR($M$1="",对接源_01水果!$C959="",对接源_01水果!$C959&lt;&gt;$M$1,对接源_01水果!$B959=""),0,IF(OR(N(对接源_01水果!$B959)&lt;$M$2,N(对接源_01水果!$B959)&gt;$M$3),0,1))</f>
        <v>0</v>
      </c>
      <c r="N959" s="3">
        <f>IF(OR($N$1="",对接源_01水果!$C959="",对接源_01水果!$C959&lt;&gt;$N$1,对接源_01水果!$B959=""),0,IF(OR(N(对接源_01水果!$B959)&lt;$N$2,N(对接源_01水果!$B959)&gt;$N$3),0,1))</f>
        <v>0</v>
      </c>
      <c r="P959" s="3">
        <f>IF(AND($K959=1,AND(对接源_01水果!$X959="公司筐",N(对接源_01水果!$T959)&lt;&gt;0)),1,0)</f>
        <v>0</v>
      </c>
      <c r="Q959" s="3">
        <f t="shared" si="249"/>
        <v>0</v>
      </c>
      <c r="R959" s="3">
        <f>IF(AND($K959=1,AND(对接源_01水果!$X959="公司筐",N(对接源_01水果!$U959)&lt;&gt;0)),1,0)</f>
        <v>0</v>
      </c>
      <c r="S959" s="3">
        <f t="shared" si="250"/>
        <v>0</v>
      </c>
      <c r="T959" s="3">
        <f>IF(AND($K959=1,AND(对接源_01水果!$X959="公司筐",N(对接源_01水果!$V959)&lt;&gt;0)),1,0)</f>
        <v>0</v>
      </c>
      <c r="U959" s="3">
        <f t="shared" si="251"/>
        <v>19</v>
      </c>
      <c r="V959" s="3">
        <f>IF(AND($L959=1,AND(对接源_01水果!$X959="自备筐",N(对接源_01水果!$V959)&lt;&gt;0)),1,0)</f>
        <v>0</v>
      </c>
      <c r="W959" s="3">
        <f t="shared" si="252"/>
        <v>8</v>
      </c>
      <c r="X959" s="3">
        <f>IF(AND($L959=1,AND(对接源_01水果!$X959="自备筐",N(对接源_01水果!$T959)&lt;&gt;0)),1,0)</f>
        <v>0</v>
      </c>
      <c r="Y959" s="3">
        <f t="shared" si="253"/>
        <v>0</v>
      </c>
      <c r="Z959" s="3">
        <f>IF(AND($M959=1,对接源_01水果!$D959="原料入库"),1,0)</f>
        <v>0</v>
      </c>
      <c r="AA959" s="3">
        <f t="shared" si="254"/>
        <v>24</v>
      </c>
      <c r="AB959" s="3">
        <f>IF(AND($M959=1,LEFT(对接源_01水果!$D959,4)="原料出库"),1,0)</f>
        <v>0</v>
      </c>
      <c r="AC959" s="3">
        <f t="shared" si="255"/>
        <v>0</v>
      </c>
      <c r="AD959" s="3">
        <f>IF(AND($M959=1,LEFT(对接源_01水果!$D959,4)="成品出库"),1,0)</f>
        <v>0</v>
      </c>
      <c r="AE959" s="3">
        <f t="shared" si="256"/>
        <v>0</v>
      </c>
      <c r="AF959" s="3">
        <f>IF(AND($N959=1,AND(LEFT(对接源_01水果!$D959,4)="包装物料",N(对接源_01水果!$K959)&lt;&gt;0)),1,0)</f>
        <v>0</v>
      </c>
      <c r="AG959" s="3">
        <f t="shared" si="257"/>
        <v>0</v>
      </c>
      <c r="AH959" s="3">
        <f>IF(AND($N959=1,AND(对接源_01水果!$D959="周转筐－销售出库",N(对接源_01水果!$K959)&lt;&gt;0)),1,0)</f>
        <v>0</v>
      </c>
      <c r="AI959" s="3">
        <f t="shared" si="258"/>
        <v>0</v>
      </c>
      <c r="AJ959" s="7"/>
      <c r="AL959" s="3">
        <f>IF(OR($AL$1="",对接源_01水果!$Y959="",对接源_01水果!$Y959&lt;&gt;$AL$1,对接源_01水果!$B959="",N(对接源_01水果!$AJ959)&lt;=0),0,IF(OR(N(对接源_01水果!$B959)&lt;$AL$2,N(对接源_01水果!$B959)&gt;$AL$3),0,1))</f>
        <v>0</v>
      </c>
      <c r="AM959" s="3">
        <f t="shared" si="259"/>
        <v>1</v>
      </c>
      <c r="AN959" s="3" t="str">
        <f>IF(对接源_01水果!$AC959="","",对接源_01水果!$AC959)</f>
        <v/>
      </c>
      <c r="AO959" s="3">
        <f t="shared" si="260"/>
        <v>0</v>
      </c>
      <c r="AP959" s="3">
        <f t="shared" si="261"/>
        <v>8</v>
      </c>
      <c r="AR959">
        <f t="shared" si="262"/>
        <v>0</v>
      </c>
      <c r="AS959">
        <f t="shared" si="263"/>
        <v>0</v>
      </c>
    </row>
    <row r="960" ht="14.25" customHeight="1" spans="1:45">
      <c r="A960" s="3" t="str">
        <f>IF(对接源_01水果!$C960="","",对接源_01水果!$C960)</f>
        <v/>
      </c>
      <c r="B960" s="3">
        <f t="shared" si="247"/>
        <v>0</v>
      </c>
      <c r="C960" s="3">
        <f t="shared" si="248"/>
        <v>18</v>
      </c>
      <c r="K960" s="3">
        <f>IF(OR($K$1="",对接源_01水果!$C960="",对接源_01水果!$C960&lt;&gt;$K$1,对接源_01水果!$B960=""),0,IF(OR(N(对接源_01水果!$B960)&lt;$K$2,N(对接源_01水果!$B960)&gt;$K$3),0,1))</f>
        <v>0</v>
      </c>
      <c r="L960" s="3">
        <f>IF(OR($L$1="",对接源_01水果!$C960="",对接源_01水果!$C960&lt;&gt;$L$1,对接源_01水果!$B960=""),0,IF(OR(N(对接源_01水果!$B960)&lt;$L$2,N(对接源_01水果!$B960)&gt;$L$3),0,1))</f>
        <v>0</v>
      </c>
      <c r="M960" s="3">
        <f>IF(OR($M$1="",对接源_01水果!$C960="",对接源_01水果!$C960&lt;&gt;$M$1,对接源_01水果!$B960=""),0,IF(OR(N(对接源_01水果!$B960)&lt;$M$2,N(对接源_01水果!$B960)&gt;$M$3),0,1))</f>
        <v>0</v>
      </c>
      <c r="N960" s="3">
        <f>IF(OR($N$1="",对接源_01水果!$C960="",对接源_01水果!$C960&lt;&gt;$N$1,对接源_01水果!$B960=""),0,IF(OR(N(对接源_01水果!$B960)&lt;$N$2,N(对接源_01水果!$B960)&gt;$N$3),0,1))</f>
        <v>0</v>
      </c>
      <c r="P960" s="3">
        <f>IF(AND($K960=1,AND(对接源_01水果!$X960="公司筐",N(对接源_01水果!$T960)&lt;&gt;0)),1,0)</f>
        <v>0</v>
      </c>
      <c r="Q960" s="3">
        <f t="shared" si="249"/>
        <v>0</v>
      </c>
      <c r="R960" s="3">
        <f>IF(AND($K960=1,AND(对接源_01水果!$X960="公司筐",N(对接源_01水果!$U960)&lt;&gt;0)),1,0)</f>
        <v>0</v>
      </c>
      <c r="S960" s="3">
        <f t="shared" si="250"/>
        <v>0</v>
      </c>
      <c r="T960" s="3">
        <f>IF(AND($K960=1,AND(对接源_01水果!$X960="公司筐",N(对接源_01水果!$V960)&lt;&gt;0)),1,0)</f>
        <v>0</v>
      </c>
      <c r="U960" s="3">
        <f t="shared" si="251"/>
        <v>19</v>
      </c>
      <c r="V960" s="3">
        <f>IF(AND($L960=1,AND(对接源_01水果!$X960="自备筐",N(对接源_01水果!$V960)&lt;&gt;0)),1,0)</f>
        <v>0</v>
      </c>
      <c r="W960" s="3">
        <f t="shared" si="252"/>
        <v>8</v>
      </c>
      <c r="X960" s="3">
        <f>IF(AND($L960=1,AND(对接源_01水果!$X960="自备筐",N(对接源_01水果!$T960)&lt;&gt;0)),1,0)</f>
        <v>0</v>
      </c>
      <c r="Y960" s="3">
        <f t="shared" si="253"/>
        <v>0</v>
      </c>
      <c r="Z960" s="3">
        <f>IF(AND($M960=1,对接源_01水果!$D960="原料入库"),1,0)</f>
        <v>0</v>
      </c>
      <c r="AA960" s="3">
        <f t="shared" si="254"/>
        <v>24</v>
      </c>
      <c r="AB960" s="3">
        <f>IF(AND($M960=1,LEFT(对接源_01水果!$D960,4)="原料出库"),1,0)</f>
        <v>0</v>
      </c>
      <c r="AC960" s="3">
        <f t="shared" si="255"/>
        <v>0</v>
      </c>
      <c r="AD960" s="3">
        <f>IF(AND($M960=1,LEFT(对接源_01水果!$D960,4)="成品出库"),1,0)</f>
        <v>0</v>
      </c>
      <c r="AE960" s="3">
        <f t="shared" si="256"/>
        <v>0</v>
      </c>
      <c r="AF960" s="3">
        <f>IF(AND($N960=1,AND(LEFT(对接源_01水果!$D960,4)="包装物料",N(对接源_01水果!$K960)&lt;&gt;0)),1,0)</f>
        <v>0</v>
      </c>
      <c r="AG960" s="3">
        <f t="shared" si="257"/>
        <v>0</v>
      </c>
      <c r="AH960" s="3">
        <f>IF(AND($N960=1,AND(对接源_01水果!$D960="周转筐－销售出库",N(对接源_01水果!$K960)&lt;&gt;0)),1,0)</f>
        <v>0</v>
      </c>
      <c r="AI960" s="3">
        <f t="shared" si="258"/>
        <v>0</v>
      </c>
      <c r="AJ960" s="7"/>
      <c r="AL960" s="3">
        <f>IF(OR($AL$1="",对接源_01水果!$Y960="",对接源_01水果!$Y960&lt;&gt;$AL$1,对接源_01水果!$B960="",N(对接源_01水果!$AJ960)&lt;=0),0,IF(OR(N(对接源_01水果!$B960)&lt;$AL$2,N(对接源_01水果!$B960)&gt;$AL$3),0,1))</f>
        <v>0</v>
      </c>
      <c r="AM960" s="3">
        <f t="shared" si="259"/>
        <v>1</v>
      </c>
      <c r="AN960" s="3" t="str">
        <f>IF(对接源_01水果!$AC960="","",对接源_01水果!$AC960)</f>
        <v/>
      </c>
      <c r="AO960" s="3">
        <f t="shared" si="260"/>
        <v>0</v>
      </c>
      <c r="AP960" s="3">
        <f t="shared" si="261"/>
        <v>8</v>
      </c>
      <c r="AR960">
        <f t="shared" si="262"/>
        <v>0</v>
      </c>
      <c r="AS960">
        <f t="shared" si="263"/>
        <v>0</v>
      </c>
    </row>
    <row r="961" ht="14.25" customHeight="1" spans="1:45">
      <c r="A961" s="3" t="str">
        <f>IF(对接源_01水果!$C961="","",对接源_01水果!$C961)</f>
        <v/>
      </c>
      <c r="B961" s="3">
        <f t="shared" si="247"/>
        <v>0</v>
      </c>
      <c r="C961" s="3">
        <f t="shared" si="248"/>
        <v>18</v>
      </c>
      <c r="K961" s="3">
        <f>IF(OR($K$1="",对接源_01水果!$C961="",对接源_01水果!$C961&lt;&gt;$K$1,对接源_01水果!$B961=""),0,IF(OR(N(对接源_01水果!$B961)&lt;$K$2,N(对接源_01水果!$B961)&gt;$K$3),0,1))</f>
        <v>0</v>
      </c>
      <c r="L961" s="3">
        <f>IF(OR($L$1="",对接源_01水果!$C961="",对接源_01水果!$C961&lt;&gt;$L$1,对接源_01水果!$B961=""),0,IF(OR(N(对接源_01水果!$B961)&lt;$L$2,N(对接源_01水果!$B961)&gt;$L$3),0,1))</f>
        <v>0</v>
      </c>
      <c r="M961" s="3">
        <f>IF(OR($M$1="",对接源_01水果!$C961="",对接源_01水果!$C961&lt;&gt;$M$1,对接源_01水果!$B961=""),0,IF(OR(N(对接源_01水果!$B961)&lt;$M$2,N(对接源_01水果!$B961)&gt;$M$3),0,1))</f>
        <v>0</v>
      </c>
      <c r="N961" s="3">
        <f>IF(OR($N$1="",对接源_01水果!$C961="",对接源_01水果!$C961&lt;&gt;$N$1,对接源_01水果!$B961=""),0,IF(OR(N(对接源_01水果!$B961)&lt;$N$2,N(对接源_01水果!$B961)&gt;$N$3),0,1))</f>
        <v>0</v>
      </c>
      <c r="P961" s="3">
        <f>IF(AND($K961=1,AND(对接源_01水果!$X961="公司筐",N(对接源_01水果!$T961)&lt;&gt;0)),1,0)</f>
        <v>0</v>
      </c>
      <c r="Q961" s="3">
        <f t="shared" si="249"/>
        <v>0</v>
      </c>
      <c r="R961" s="3">
        <f>IF(AND($K961=1,AND(对接源_01水果!$X961="公司筐",N(对接源_01水果!$U961)&lt;&gt;0)),1,0)</f>
        <v>0</v>
      </c>
      <c r="S961" s="3">
        <f t="shared" si="250"/>
        <v>0</v>
      </c>
      <c r="T961" s="3">
        <f>IF(AND($K961=1,AND(对接源_01水果!$X961="公司筐",N(对接源_01水果!$V961)&lt;&gt;0)),1,0)</f>
        <v>0</v>
      </c>
      <c r="U961" s="3">
        <f t="shared" si="251"/>
        <v>19</v>
      </c>
      <c r="V961" s="3">
        <f>IF(AND($L961=1,AND(对接源_01水果!$X961="自备筐",N(对接源_01水果!$V961)&lt;&gt;0)),1,0)</f>
        <v>0</v>
      </c>
      <c r="W961" s="3">
        <f t="shared" si="252"/>
        <v>8</v>
      </c>
      <c r="X961" s="3">
        <f>IF(AND($L961=1,AND(对接源_01水果!$X961="自备筐",N(对接源_01水果!$T961)&lt;&gt;0)),1,0)</f>
        <v>0</v>
      </c>
      <c r="Y961" s="3">
        <f t="shared" si="253"/>
        <v>0</v>
      </c>
      <c r="Z961" s="3">
        <f>IF(AND($M961=1,对接源_01水果!$D961="原料入库"),1,0)</f>
        <v>0</v>
      </c>
      <c r="AA961" s="3">
        <f t="shared" si="254"/>
        <v>24</v>
      </c>
      <c r="AB961" s="3">
        <f>IF(AND($M961=1,LEFT(对接源_01水果!$D961,4)="原料出库"),1,0)</f>
        <v>0</v>
      </c>
      <c r="AC961" s="3">
        <f t="shared" si="255"/>
        <v>0</v>
      </c>
      <c r="AD961" s="3">
        <f>IF(AND($M961=1,LEFT(对接源_01水果!$D961,4)="成品出库"),1,0)</f>
        <v>0</v>
      </c>
      <c r="AE961" s="3">
        <f t="shared" si="256"/>
        <v>0</v>
      </c>
      <c r="AF961" s="3">
        <f>IF(AND($N961=1,AND(LEFT(对接源_01水果!$D961,4)="包装物料",N(对接源_01水果!$K961)&lt;&gt;0)),1,0)</f>
        <v>0</v>
      </c>
      <c r="AG961" s="3">
        <f t="shared" si="257"/>
        <v>0</v>
      </c>
      <c r="AH961" s="3">
        <f>IF(AND($N961=1,AND(对接源_01水果!$D961="周转筐－销售出库",N(对接源_01水果!$K961)&lt;&gt;0)),1,0)</f>
        <v>0</v>
      </c>
      <c r="AI961" s="3">
        <f t="shared" si="258"/>
        <v>0</v>
      </c>
      <c r="AJ961" s="7"/>
      <c r="AL961" s="3">
        <f>IF(OR($AL$1="",对接源_01水果!$Y961="",对接源_01水果!$Y961&lt;&gt;$AL$1,对接源_01水果!$B961="",N(对接源_01水果!$AJ961)&lt;=0),0,IF(OR(N(对接源_01水果!$B961)&lt;$AL$2,N(对接源_01水果!$B961)&gt;$AL$3),0,1))</f>
        <v>0</v>
      </c>
      <c r="AM961" s="3">
        <f t="shared" si="259"/>
        <v>1</v>
      </c>
      <c r="AN961" s="3" t="str">
        <f>IF(对接源_01水果!$AC961="","",对接源_01水果!$AC961)</f>
        <v/>
      </c>
      <c r="AO961" s="3">
        <f t="shared" si="260"/>
        <v>0</v>
      </c>
      <c r="AP961" s="3">
        <f t="shared" si="261"/>
        <v>8</v>
      </c>
      <c r="AR961">
        <f t="shared" si="262"/>
        <v>0</v>
      </c>
      <c r="AS961">
        <f t="shared" si="263"/>
        <v>0</v>
      </c>
    </row>
    <row r="962" ht="14.25" customHeight="1" spans="1:45">
      <c r="A962" s="3" t="str">
        <f>IF(对接源_01水果!$C962="","",对接源_01水果!$C962)</f>
        <v/>
      </c>
      <c r="B962" s="3">
        <f t="shared" si="247"/>
        <v>0</v>
      </c>
      <c r="C962" s="3">
        <f t="shared" si="248"/>
        <v>18</v>
      </c>
      <c r="K962" s="3">
        <f>IF(OR($K$1="",对接源_01水果!$C962="",对接源_01水果!$C962&lt;&gt;$K$1,对接源_01水果!$B962=""),0,IF(OR(N(对接源_01水果!$B962)&lt;$K$2,N(对接源_01水果!$B962)&gt;$K$3),0,1))</f>
        <v>0</v>
      </c>
      <c r="L962" s="3">
        <f>IF(OR($L$1="",对接源_01水果!$C962="",对接源_01水果!$C962&lt;&gt;$L$1,对接源_01水果!$B962=""),0,IF(OR(N(对接源_01水果!$B962)&lt;$L$2,N(对接源_01水果!$B962)&gt;$L$3),0,1))</f>
        <v>0</v>
      </c>
      <c r="M962" s="3">
        <f>IF(OR($M$1="",对接源_01水果!$C962="",对接源_01水果!$C962&lt;&gt;$M$1,对接源_01水果!$B962=""),0,IF(OR(N(对接源_01水果!$B962)&lt;$M$2,N(对接源_01水果!$B962)&gt;$M$3),0,1))</f>
        <v>0</v>
      </c>
      <c r="N962" s="3">
        <f>IF(OR($N$1="",对接源_01水果!$C962="",对接源_01水果!$C962&lt;&gt;$N$1,对接源_01水果!$B962=""),0,IF(OR(N(对接源_01水果!$B962)&lt;$N$2,N(对接源_01水果!$B962)&gt;$N$3),0,1))</f>
        <v>0</v>
      </c>
      <c r="P962" s="3">
        <f>IF(AND($K962=1,AND(对接源_01水果!$X962="公司筐",N(对接源_01水果!$T962)&lt;&gt;0)),1,0)</f>
        <v>0</v>
      </c>
      <c r="Q962" s="3">
        <f t="shared" si="249"/>
        <v>0</v>
      </c>
      <c r="R962" s="3">
        <f>IF(AND($K962=1,AND(对接源_01水果!$X962="公司筐",N(对接源_01水果!$U962)&lt;&gt;0)),1,0)</f>
        <v>0</v>
      </c>
      <c r="S962" s="3">
        <f t="shared" si="250"/>
        <v>0</v>
      </c>
      <c r="T962" s="3">
        <f>IF(AND($K962=1,AND(对接源_01水果!$X962="公司筐",N(对接源_01水果!$V962)&lt;&gt;0)),1,0)</f>
        <v>0</v>
      </c>
      <c r="U962" s="3">
        <f t="shared" si="251"/>
        <v>19</v>
      </c>
      <c r="V962" s="3">
        <f>IF(AND($L962=1,AND(对接源_01水果!$X962="自备筐",N(对接源_01水果!$V962)&lt;&gt;0)),1,0)</f>
        <v>0</v>
      </c>
      <c r="W962" s="3">
        <f t="shared" si="252"/>
        <v>8</v>
      </c>
      <c r="X962" s="3">
        <f>IF(AND($L962=1,AND(对接源_01水果!$X962="自备筐",N(对接源_01水果!$T962)&lt;&gt;0)),1,0)</f>
        <v>0</v>
      </c>
      <c r="Y962" s="3">
        <f t="shared" si="253"/>
        <v>0</v>
      </c>
      <c r="Z962" s="3">
        <f>IF(AND($M962=1,对接源_01水果!$D962="原料入库"),1,0)</f>
        <v>0</v>
      </c>
      <c r="AA962" s="3">
        <f t="shared" si="254"/>
        <v>24</v>
      </c>
      <c r="AB962" s="3">
        <f>IF(AND($M962=1,LEFT(对接源_01水果!$D962,4)="原料出库"),1,0)</f>
        <v>0</v>
      </c>
      <c r="AC962" s="3">
        <f t="shared" si="255"/>
        <v>0</v>
      </c>
      <c r="AD962" s="3">
        <f>IF(AND($M962=1,LEFT(对接源_01水果!$D962,4)="成品出库"),1,0)</f>
        <v>0</v>
      </c>
      <c r="AE962" s="3">
        <f t="shared" si="256"/>
        <v>0</v>
      </c>
      <c r="AF962" s="3">
        <f>IF(AND($N962=1,AND(LEFT(对接源_01水果!$D962,4)="包装物料",N(对接源_01水果!$K962)&lt;&gt;0)),1,0)</f>
        <v>0</v>
      </c>
      <c r="AG962" s="3">
        <f t="shared" si="257"/>
        <v>0</v>
      </c>
      <c r="AH962" s="3">
        <f>IF(AND($N962=1,AND(对接源_01水果!$D962="周转筐－销售出库",N(对接源_01水果!$K962)&lt;&gt;0)),1,0)</f>
        <v>0</v>
      </c>
      <c r="AI962" s="3">
        <f t="shared" si="258"/>
        <v>0</v>
      </c>
      <c r="AJ962" s="7"/>
      <c r="AL962" s="3">
        <f>IF(OR($AL$1="",对接源_01水果!$Y962="",对接源_01水果!$Y962&lt;&gt;$AL$1,对接源_01水果!$B962="",N(对接源_01水果!$AJ962)&lt;=0),0,IF(OR(N(对接源_01水果!$B962)&lt;$AL$2,N(对接源_01水果!$B962)&gt;$AL$3),0,1))</f>
        <v>0</v>
      </c>
      <c r="AM962" s="3">
        <f t="shared" si="259"/>
        <v>1</v>
      </c>
      <c r="AN962" s="3" t="str">
        <f>IF(对接源_01水果!$AC962="","",对接源_01水果!$AC962)</f>
        <v/>
      </c>
      <c r="AO962" s="3">
        <f t="shared" si="260"/>
        <v>0</v>
      </c>
      <c r="AP962" s="3">
        <f t="shared" si="261"/>
        <v>8</v>
      </c>
      <c r="AR962">
        <f t="shared" si="262"/>
        <v>0</v>
      </c>
      <c r="AS962">
        <f t="shared" si="263"/>
        <v>0</v>
      </c>
    </row>
    <row r="963" ht="14.25" customHeight="1" spans="1:45">
      <c r="A963" s="3" t="str">
        <f>IF(对接源_01水果!$C963="","",对接源_01水果!$C963)</f>
        <v/>
      </c>
      <c r="B963" s="3">
        <f t="shared" si="247"/>
        <v>0</v>
      </c>
      <c r="C963" s="3">
        <f t="shared" si="248"/>
        <v>18</v>
      </c>
      <c r="K963" s="3">
        <f>IF(OR($K$1="",对接源_01水果!$C963="",对接源_01水果!$C963&lt;&gt;$K$1,对接源_01水果!$B963=""),0,IF(OR(N(对接源_01水果!$B963)&lt;$K$2,N(对接源_01水果!$B963)&gt;$K$3),0,1))</f>
        <v>0</v>
      </c>
      <c r="L963" s="3">
        <f>IF(OR($L$1="",对接源_01水果!$C963="",对接源_01水果!$C963&lt;&gt;$L$1,对接源_01水果!$B963=""),0,IF(OR(N(对接源_01水果!$B963)&lt;$L$2,N(对接源_01水果!$B963)&gt;$L$3),0,1))</f>
        <v>0</v>
      </c>
      <c r="M963" s="3">
        <f>IF(OR($M$1="",对接源_01水果!$C963="",对接源_01水果!$C963&lt;&gt;$M$1,对接源_01水果!$B963=""),0,IF(OR(N(对接源_01水果!$B963)&lt;$M$2,N(对接源_01水果!$B963)&gt;$M$3),0,1))</f>
        <v>0</v>
      </c>
      <c r="N963" s="3">
        <f>IF(OR($N$1="",对接源_01水果!$C963="",对接源_01水果!$C963&lt;&gt;$N$1,对接源_01水果!$B963=""),0,IF(OR(N(对接源_01水果!$B963)&lt;$N$2,N(对接源_01水果!$B963)&gt;$N$3),0,1))</f>
        <v>0</v>
      </c>
      <c r="P963" s="3">
        <f>IF(AND($K963=1,AND(对接源_01水果!$X963="公司筐",N(对接源_01水果!$T963)&lt;&gt;0)),1,0)</f>
        <v>0</v>
      </c>
      <c r="Q963" s="3">
        <f t="shared" si="249"/>
        <v>0</v>
      </c>
      <c r="R963" s="3">
        <f>IF(AND($K963=1,AND(对接源_01水果!$X963="公司筐",N(对接源_01水果!$U963)&lt;&gt;0)),1,0)</f>
        <v>0</v>
      </c>
      <c r="S963" s="3">
        <f t="shared" si="250"/>
        <v>0</v>
      </c>
      <c r="T963" s="3">
        <f>IF(AND($K963=1,AND(对接源_01水果!$X963="公司筐",N(对接源_01水果!$V963)&lt;&gt;0)),1,0)</f>
        <v>0</v>
      </c>
      <c r="U963" s="3">
        <f t="shared" si="251"/>
        <v>19</v>
      </c>
      <c r="V963" s="3">
        <f>IF(AND($L963=1,AND(对接源_01水果!$X963="自备筐",N(对接源_01水果!$V963)&lt;&gt;0)),1,0)</f>
        <v>0</v>
      </c>
      <c r="W963" s="3">
        <f t="shared" si="252"/>
        <v>8</v>
      </c>
      <c r="X963" s="3">
        <f>IF(AND($L963=1,AND(对接源_01水果!$X963="自备筐",N(对接源_01水果!$T963)&lt;&gt;0)),1,0)</f>
        <v>0</v>
      </c>
      <c r="Y963" s="3">
        <f t="shared" si="253"/>
        <v>0</v>
      </c>
      <c r="Z963" s="3">
        <f>IF(AND($M963=1,对接源_01水果!$D963="原料入库"),1,0)</f>
        <v>0</v>
      </c>
      <c r="AA963" s="3">
        <f t="shared" si="254"/>
        <v>24</v>
      </c>
      <c r="AB963" s="3">
        <f>IF(AND($M963=1,LEFT(对接源_01水果!$D963,4)="原料出库"),1,0)</f>
        <v>0</v>
      </c>
      <c r="AC963" s="3">
        <f t="shared" si="255"/>
        <v>0</v>
      </c>
      <c r="AD963" s="3">
        <f>IF(AND($M963=1,LEFT(对接源_01水果!$D963,4)="成品出库"),1,0)</f>
        <v>0</v>
      </c>
      <c r="AE963" s="3">
        <f t="shared" si="256"/>
        <v>0</v>
      </c>
      <c r="AF963" s="3">
        <f>IF(AND($N963=1,AND(LEFT(对接源_01水果!$D963,4)="包装物料",N(对接源_01水果!$K963)&lt;&gt;0)),1,0)</f>
        <v>0</v>
      </c>
      <c r="AG963" s="3">
        <f t="shared" si="257"/>
        <v>0</v>
      </c>
      <c r="AH963" s="3">
        <f>IF(AND($N963=1,AND(对接源_01水果!$D963="周转筐－销售出库",N(对接源_01水果!$K963)&lt;&gt;0)),1,0)</f>
        <v>0</v>
      </c>
      <c r="AI963" s="3">
        <f t="shared" si="258"/>
        <v>0</v>
      </c>
      <c r="AJ963" s="7"/>
      <c r="AL963" s="3">
        <f>IF(OR($AL$1="",对接源_01水果!$Y963="",对接源_01水果!$Y963&lt;&gt;$AL$1,对接源_01水果!$B963="",N(对接源_01水果!$AJ963)&lt;=0),0,IF(OR(N(对接源_01水果!$B963)&lt;$AL$2,N(对接源_01水果!$B963)&gt;$AL$3),0,1))</f>
        <v>0</v>
      </c>
      <c r="AM963" s="3">
        <f t="shared" si="259"/>
        <v>1</v>
      </c>
      <c r="AN963" s="3" t="str">
        <f>IF(对接源_01水果!$AC963="","",对接源_01水果!$AC963)</f>
        <v/>
      </c>
      <c r="AO963" s="3">
        <f t="shared" si="260"/>
        <v>0</v>
      </c>
      <c r="AP963" s="3">
        <f t="shared" si="261"/>
        <v>8</v>
      </c>
      <c r="AR963">
        <f t="shared" si="262"/>
        <v>0</v>
      </c>
      <c r="AS963">
        <f t="shared" si="263"/>
        <v>0</v>
      </c>
    </row>
    <row r="964" ht="14.25" customHeight="1" spans="1:45">
      <c r="A964" s="3" t="str">
        <f>IF(对接源_01水果!$C964="","",对接源_01水果!$C964)</f>
        <v/>
      </c>
      <c r="B964" s="3">
        <f t="shared" ref="B964:B1027" si="264">IF(A964="",0,IF(MATCH(A964,$A$4:$A$2403,0)=ROW()-3,1,0))</f>
        <v>0</v>
      </c>
      <c r="C964" s="3">
        <f t="shared" ref="C964:C1027" si="265">N(C963)+B964</f>
        <v>18</v>
      </c>
      <c r="K964" s="3">
        <f>IF(OR($K$1="",对接源_01水果!$C964="",对接源_01水果!$C964&lt;&gt;$K$1,对接源_01水果!$B964=""),0,IF(OR(N(对接源_01水果!$B964)&lt;$K$2,N(对接源_01水果!$B964)&gt;$K$3),0,1))</f>
        <v>0</v>
      </c>
      <c r="L964" s="3">
        <f>IF(OR($L$1="",对接源_01水果!$C964="",对接源_01水果!$C964&lt;&gt;$L$1,对接源_01水果!$B964=""),0,IF(OR(N(对接源_01水果!$B964)&lt;$L$2,N(对接源_01水果!$B964)&gt;$L$3),0,1))</f>
        <v>0</v>
      </c>
      <c r="M964" s="3">
        <f>IF(OR($M$1="",对接源_01水果!$C964="",对接源_01水果!$C964&lt;&gt;$M$1,对接源_01水果!$B964=""),0,IF(OR(N(对接源_01水果!$B964)&lt;$M$2,N(对接源_01水果!$B964)&gt;$M$3),0,1))</f>
        <v>0</v>
      </c>
      <c r="N964" s="3">
        <f>IF(OR($N$1="",对接源_01水果!$C964="",对接源_01水果!$C964&lt;&gt;$N$1,对接源_01水果!$B964=""),0,IF(OR(N(对接源_01水果!$B964)&lt;$N$2,N(对接源_01水果!$B964)&gt;$N$3),0,1))</f>
        <v>0</v>
      </c>
      <c r="P964" s="3">
        <f>IF(AND($K964=1,AND(对接源_01水果!$X964="公司筐",N(对接源_01水果!$T964)&lt;&gt;0)),1,0)</f>
        <v>0</v>
      </c>
      <c r="Q964" s="3">
        <f t="shared" ref="Q964:Q1027" si="266">N(Q963)+$P964</f>
        <v>0</v>
      </c>
      <c r="R964" s="3">
        <f>IF(AND($K964=1,AND(对接源_01水果!$X964="公司筐",N(对接源_01水果!$U964)&lt;&gt;0)),1,0)</f>
        <v>0</v>
      </c>
      <c r="S964" s="3">
        <f t="shared" ref="S964:S1027" si="267">N(S963)+$R964</f>
        <v>0</v>
      </c>
      <c r="T964" s="3">
        <f>IF(AND($K964=1,AND(对接源_01水果!$X964="公司筐",N(对接源_01水果!$V964)&lt;&gt;0)),1,0)</f>
        <v>0</v>
      </c>
      <c r="U964" s="3">
        <f t="shared" ref="U964:U1027" si="268">N(U963)+$T964</f>
        <v>19</v>
      </c>
      <c r="V964" s="3">
        <f>IF(AND($L964=1,AND(对接源_01水果!$X964="自备筐",N(对接源_01水果!$V964)&lt;&gt;0)),1,0)</f>
        <v>0</v>
      </c>
      <c r="W964" s="3">
        <f t="shared" ref="W964:W1027" si="269">N(W963)+$V964</f>
        <v>8</v>
      </c>
      <c r="X964" s="3">
        <f>IF(AND($L964=1,AND(对接源_01水果!$X964="自备筐",N(对接源_01水果!$T964)&lt;&gt;0)),1,0)</f>
        <v>0</v>
      </c>
      <c r="Y964" s="3">
        <f t="shared" ref="Y964:Y1027" si="270">N(Y963)+$X964</f>
        <v>0</v>
      </c>
      <c r="Z964" s="3">
        <f>IF(AND($M964=1,对接源_01水果!$D964="原料入库"),1,0)</f>
        <v>0</v>
      </c>
      <c r="AA964" s="3">
        <f t="shared" ref="AA964:AA1027" si="271">N(AA963)+$Z964</f>
        <v>24</v>
      </c>
      <c r="AB964" s="3">
        <f>IF(AND($M964=1,LEFT(对接源_01水果!$D964,4)="原料出库"),1,0)</f>
        <v>0</v>
      </c>
      <c r="AC964" s="3">
        <f t="shared" ref="AC964:AC1027" si="272">N(AC963)+$AB964</f>
        <v>0</v>
      </c>
      <c r="AD964" s="3">
        <f>IF(AND($M964=1,LEFT(对接源_01水果!$D964,4)="成品出库"),1,0)</f>
        <v>0</v>
      </c>
      <c r="AE964" s="3">
        <f t="shared" ref="AE964:AE1027" si="273">N(AE963)+$AD964</f>
        <v>0</v>
      </c>
      <c r="AF964" s="3">
        <f>IF(AND($N964=1,AND(LEFT(对接源_01水果!$D964,4)="包装物料",N(对接源_01水果!$K964)&lt;&gt;0)),1,0)</f>
        <v>0</v>
      </c>
      <c r="AG964" s="3">
        <f t="shared" ref="AG964:AG1027" si="274">N(AG963)+$AF964</f>
        <v>0</v>
      </c>
      <c r="AH964" s="3">
        <f>IF(AND($N964=1,AND(对接源_01水果!$D964="周转筐－销售出库",N(对接源_01水果!$K964)&lt;&gt;0)),1,0)</f>
        <v>0</v>
      </c>
      <c r="AI964" s="3">
        <f t="shared" ref="AI964:AI1027" si="275">N(AI963)+$AH964</f>
        <v>0</v>
      </c>
      <c r="AJ964" s="7"/>
      <c r="AL964" s="3">
        <f>IF(OR($AL$1="",对接源_01水果!$Y964="",对接源_01水果!$Y964&lt;&gt;$AL$1,对接源_01水果!$B964="",N(对接源_01水果!$AJ964)&lt;=0),0,IF(OR(N(对接源_01水果!$B964)&lt;$AL$2,N(对接源_01水果!$B964)&gt;$AL$3),0,1))</f>
        <v>0</v>
      </c>
      <c r="AM964" s="3">
        <f t="shared" ref="AM964:AM1027" si="276">N(AM963)+$AL964</f>
        <v>1</v>
      </c>
      <c r="AN964" s="3" t="str">
        <f>IF(对接源_01水果!$AC964="","",对接源_01水果!$AC964)</f>
        <v/>
      </c>
      <c r="AO964" s="3">
        <f t="shared" ref="AO964:AO1027" si="277">IF(AN964="",0,IF(MATCH(AN964,$AN$4:$AN$1203,0)=ROW()-3,1,0))</f>
        <v>0</v>
      </c>
      <c r="AP964" s="3">
        <f t="shared" ref="AP964:AP1027" si="278">N(AP963)+$AO964</f>
        <v>8</v>
      </c>
      <c r="AR964">
        <f t="shared" ref="AR964:AR1027" si="279">IF(OR($AF964=1,$AH964=1),1,0)</f>
        <v>0</v>
      </c>
      <c r="AS964">
        <f t="shared" ref="AS964:AS1027" si="280">N(AS963)+$AR964</f>
        <v>0</v>
      </c>
    </row>
    <row r="965" ht="14.25" customHeight="1" spans="1:45">
      <c r="A965" s="3" t="str">
        <f>IF(对接源_01水果!$C965="","",对接源_01水果!$C965)</f>
        <v/>
      </c>
      <c r="B965" s="3">
        <f t="shared" si="264"/>
        <v>0</v>
      </c>
      <c r="C965" s="3">
        <f t="shared" si="265"/>
        <v>18</v>
      </c>
      <c r="K965" s="3">
        <f>IF(OR($K$1="",对接源_01水果!$C965="",对接源_01水果!$C965&lt;&gt;$K$1,对接源_01水果!$B965=""),0,IF(OR(N(对接源_01水果!$B965)&lt;$K$2,N(对接源_01水果!$B965)&gt;$K$3),0,1))</f>
        <v>0</v>
      </c>
      <c r="L965" s="3">
        <f>IF(OR($L$1="",对接源_01水果!$C965="",对接源_01水果!$C965&lt;&gt;$L$1,对接源_01水果!$B965=""),0,IF(OR(N(对接源_01水果!$B965)&lt;$L$2,N(对接源_01水果!$B965)&gt;$L$3),0,1))</f>
        <v>0</v>
      </c>
      <c r="M965" s="3">
        <f>IF(OR($M$1="",对接源_01水果!$C965="",对接源_01水果!$C965&lt;&gt;$M$1,对接源_01水果!$B965=""),0,IF(OR(N(对接源_01水果!$B965)&lt;$M$2,N(对接源_01水果!$B965)&gt;$M$3),0,1))</f>
        <v>0</v>
      </c>
      <c r="N965" s="3">
        <f>IF(OR($N$1="",对接源_01水果!$C965="",对接源_01水果!$C965&lt;&gt;$N$1,对接源_01水果!$B965=""),0,IF(OR(N(对接源_01水果!$B965)&lt;$N$2,N(对接源_01水果!$B965)&gt;$N$3),0,1))</f>
        <v>0</v>
      </c>
      <c r="P965" s="3">
        <f>IF(AND($K965=1,AND(对接源_01水果!$X965="公司筐",N(对接源_01水果!$T965)&lt;&gt;0)),1,0)</f>
        <v>0</v>
      </c>
      <c r="Q965" s="3">
        <f t="shared" si="266"/>
        <v>0</v>
      </c>
      <c r="R965" s="3">
        <f>IF(AND($K965=1,AND(对接源_01水果!$X965="公司筐",N(对接源_01水果!$U965)&lt;&gt;0)),1,0)</f>
        <v>0</v>
      </c>
      <c r="S965" s="3">
        <f t="shared" si="267"/>
        <v>0</v>
      </c>
      <c r="T965" s="3">
        <f>IF(AND($K965=1,AND(对接源_01水果!$X965="公司筐",N(对接源_01水果!$V965)&lt;&gt;0)),1,0)</f>
        <v>0</v>
      </c>
      <c r="U965" s="3">
        <f t="shared" si="268"/>
        <v>19</v>
      </c>
      <c r="V965" s="3">
        <f>IF(AND($L965=1,AND(对接源_01水果!$X965="自备筐",N(对接源_01水果!$V965)&lt;&gt;0)),1,0)</f>
        <v>0</v>
      </c>
      <c r="W965" s="3">
        <f t="shared" si="269"/>
        <v>8</v>
      </c>
      <c r="X965" s="3">
        <f>IF(AND($L965=1,AND(对接源_01水果!$X965="自备筐",N(对接源_01水果!$T965)&lt;&gt;0)),1,0)</f>
        <v>0</v>
      </c>
      <c r="Y965" s="3">
        <f t="shared" si="270"/>
        <v>0</v>
      </c>
      <c r="Z965" s="3">
        <f>IF(AND($M965=1,对接源_01水果!$D965="原料入库"),1,0)</f>
        <v>0</v>
      </c>
      <c r="AA965" s="3">
        <f t="shared" si="271"/>
        <v>24</v>
      </c>
      <c r="AB965" s="3">
        <f>IF(AND($M965=1,LEFT(对接源_01水果!$D965,4)="原料出库"),1,0)</f>
        <v>0</v>
      </c>
      <c r="AC965" s="3">
        <f t="shared" si="272"/>
        <v>0</v>
      </c>
      <c r="AD965" s="3">
        <f>IF(AND($M965=1,LEFT(对接源_01水果!$D965,4)="成品出库"),1,0)</f>
        <v>0</v>
      </c>
      <c r="AE965" s="3">
        <f t="shared" si="273"/>
        <v>0</v>
      </c>
      <c r="AF965" s="3">
        <f>IF(AND($N965=1,AND(LEFT(对接源_01水果!$D965,4)="包装物料",N(对接源_01水果!$K965)&lt;&gt;0)),1,0)</f>
        <v>0</v>
      </c>
      <c r="AG965" s="3">
        <f t="shared" si="274"/>
        <v>0</v>
      </c>
      <c r="AH965" s="3">
        <f>IF(AND($N965=1,AND(对接源_01水果!$D965="周转筐－销售出库",N(对接源_01水果!$K965)&lt;&gt;0)),1,0)</f>
        <v>0</v>
      </c>
      <c r="AI965" s="3">
        <f t="shared" si="275"/>
        <v>0</v>
      </c>
      <c r="AJ965" s="7"/>
      <c r="AL965" s="3">
        <f>IF(OR($AL$1="",对接源_01水果!$Y965="",对接源_01水果!$Y965&lt;&gt;$AL$1,对接源_01水果!$B965="",N(对接源_01水果!$AJ965)&lt;=0),0,IF(OR(N(对接源_01水果!$B965)&lt;$AL$2,N(对接源_01水果!$B965)&gt;$AL$3),0,1))</f>
        <v>0</v>
      </c>
      <c r="AM965" s="3">
        <f t="shared" si="276"/>
        <v>1</v>
      </c>
      <c r="AN965" s="3" t="str">
        <f>IF(对接源_01水果!$AC965="","",对接源_01水果!$AC965)</f>
        <v/>
      </c>
      <c r="AO965" s="3">
        <f t="shared" si="277"/>
        <v>0</v>
      </c>
      <c r="AP965" s="3">
        <f t="shared" si="278"/>
        <v>8</v>
      </c>
      <c r="AR965">
        <f t="shared" si="279"/>
        <v>0</v>
      </c>
      <c r="AS965">
        <f t="shared" si="280"/>
        <v>0</v>
      </c>
    </row>
    <row r="966" ht="14.25" customHeight="1" spans="1:45">
      <c r="A966" s="3" t="str">
        <f>IF(对接源_01水果!$C966="","",对接源_01水果!$C966)</f>
        <v/>
      </c>
      <c r="B966" s="3">
        <f t="shared" si="264"/>
        <v>0</v>
      </c>
      <c r="C966" s="3">
        <f t="shared" si="265"/>
        <v>18</v>
      </c>
      <c r="K966" s="3">
        <f>IF(OR($K$1="",对接源_01水果!$C966="",对接源_01水果!$C966&lt;&gt;$K$1,对接源_01水果!$B966=""),0,IF(OR(N(对接源_01水果!$B966)&lt;$K$2,N(对接源_01水果!$B966)&gt;$K$3),0,1))</f>
        <v>0</v>
      </c>
      <c r="L966" s="3">
        <f>IF(OR($L$1="",对接源_01水果!$C966="",对接源_01水果!$C966&lt;&gt;$L$1,对接源_01水果!$B966=""),0,IF(OR(N(对接源_01水果!$B966)&lt;$L$2,N(对接源_01水果!$B966)&gt;$L$3),0,1))</f>
        <v>0</v>
      </c>
      <c r="M966" s="3">
        <f>IF(OR($M$1="",对接源_01水果!$C966="",对接源_01水果!$C966&lt;&gt;$M$1,对接源_01水果!$B966=""),0,IF(OR(N(对接源_01水果!$B966)&lt;$M$2,N(对接源_01水果!$B966)&gt;$M$3),0,1))</f>
        <v>0</v>
      </c>
      <c r="N966" s="3">
        <f>IF(OR($N$1="",对接源_01水果!$C966="",对接源_01水果!$C966&lt;&gt;$N$1,对接源_01水果!$B966=""),0,IF(OR(N(对接源_01水果!$B966)&lt;$N$2,N(对接源_01水果!$B966)&gt;$N$3),0,1))</f>
        <v>0</v>
      </c>
      <c r="P966" s="3">
        <f>IF(AND($K966=1,AND(对接源_01水果!$X966="公司筐",N(对接源_01水果!$T966)&lt;&gt;0)),1,0)</f>
        <v>0</v>
      </c>
      <c r="Q966" s="3">
        <f t="shared" si="266"/>
        <v>0</v>
      </c>
      <c r="R966" s="3">
        <f>IF(AND($K966=1,AND(对接源_01水果!$X966="公司筐",N(对接源_01水果!$U966)&lt;&gt;0)),1,0)</f>
        <v>0</v>
      </c>
      <c r="S966" s="3">
        <f t="shared" si="267"/>
        <v>0</v>
      </c>
      <c r="T966" s="3">
        <f>IF(AND($K966=1,AND(对接源_01水果!$X966="公司筐",N(对接源_01水果!$V966)&lt;&gt;0)),1,0)</f>
        <v>0</v>
      </c>
      <c r="U966" s="3">
        <f t="shared" si="268"/>
        <v>19</v>
      </c>
      <c r="V966" s="3">
        <f>IF(AND($L966=1,AND(对接源_01水果!$X966="自备筐",N(对接源_01水果!$V966)&lt;&gt;0)),1,0)</f>
        <v>0</v>
      </c>
      <c r="W966" s="3">
        <f t="shared" si="269"/>
        <v>8</v>
      </c>
      <c r="X966" s="3">
        <f>IF(AND($L966=1,AND(对接源_01水果!$X966="自备筐",N(对接源_01水果!$T966)&lt;&gt;0)),1,0)</f>
        <v>0</v>
      </c>
      <c r="Y966" s="3">
        <f t="shared" si="270"/>
        <v>0</v>
      </c>
      <c r="Z966" s="3">
        <f>IF(AND($M966=1,对接源_01水果!$D966="原料入库"),1,0)</f>
        <v>0</v>
      </c>
      <c r="AA966" s="3">
        <f t="shared" si="271"/>
        <v>24</v>
      </c>
      <c r="AB966" s="3">
        <f>IF(AND($M966=1,LEFT(对接源_01水果!$D966,4)="原料出库"),1,0)</f>
        <v>0</v>
      </c>
      <c r="AC966" s="3">
        <f t="shared" si="272"/>
        <v>0</v>
      </c>
      <c r="AD966" s="3">
        <f>IF(AND($M966=1,LEFT(对接源_01水果!$D966,4)="成品出库"),1,0)</f>
        <v>0</v>
      </c>
      <c r="AE966" s="3">
        <f t="shared" si="273"/>
        <v>0</v>
      </c>
      <c r="AF966" s="3">
        <f>IF(AND($N966=1,AND(LEFT(对接源_01水果!$D966,4)="包装物料",N(对接源_01水果!$K966)&lt;&gt;0)),1,0)</f>
        <v>0</v>
      </c>
      <c r="AG966" s="3">
        <f t="shared" si="274"/>
        <v>0</v>
      </c>
      <c r="AH966" s="3">
        <f>IF(AND($N966=1,AND(对接源_01水果!$D966="周转筐－销售出库",N(对接源_01水果!$K966)&lt;&gt;0)),1,0)</f>
        <v>0</v>
      </c>
      <c r="AI966" s="3">
        <f t="shared" si="275"/>
        <v>0</v>
      </c>
      <c r="AJ966" s="7"/>
      <c r="AL966" s="3">
        <f>IF(OR($AL$1="",对接源_01水果!$Y966="",对接源_01水果!$Y966&lt;&gt;$AL$1,对接源_01水果!$B966="",N(对接源_01水果!$AJ966)&lt;=0),0,IF(OR(N(对接源_01水果!$B966)&lt;$AL$2,N(对接源_01水果!$B966)&gt;$AL$3),0,1))</f>
        <v>0</v>
      </c>
      <c r="AM966" s="3">
        <f t="shared" si="276"/>
        <v>1</v>
      </c>
      <c r="AN966" s="3" t="str">
        <f>IF(对接源_01水果!$AC966="","",对接源_01水果!$AC966)</f>
        <v/>
      </c>
      <c r="AO966" s="3">
        <f t="shared" si="277"/>
        <v>0</v>
      </c>
      <c r="AP966" s="3">
        <f t="shared" si="278"/>
        <v>8</v>
      </c>
      <c r="AR966">
        <f t="shared" si="279"/>
        <v>0</v>
      </c>
      <c r="AS966">
        <f t="shared" si="280"/>
        <v>0</v>
      </c>
    </row>
    <row r="967" ht="14.25" customHeight="1" spans="1:45">
      <c r="A967" s="3" t="str">
        <f>IF(对接源_01水果!$C967="","",对接源_01水果!$C967)</f>
        <v/>
      </c>
      <c r="B967" s="3">
        <f t="shared" si="264"/>
        <v>0</v>
      </c>
      <c r="C967" s="3">
        <f t="shared" si="265"/>
        <v>18</v>
      </c>
      <c r="K967" s="3">
        <f>IF(OR($K$1="",对接源_01水果!$C967="",对接源_01水果!$C967&lt;&gt;$K$1,对接源_01水果!$B967=""),0,IF(OR(N(对接源_01水果!$B967)&lt;$K$2,N(对接源_01水果!$B967)&gt;$K$3),0,1))</f>
        <v>0</v>
      </c>
      <c r="L967" s="3">
        <f>IF(OR($L$1="",对接源_01水果!$C967="",对接源_01水果!$C967&lt;&gt;$L$1,对接源_01水果!$B967=""),0,IF(OR(N(对接源_01水果!$B967)&lt;$L$2,N(对接源_01水果!$B967)&gt;$L$3),0,1))</f>
        <v>0</v>
      </c>
      <c r="M967" s="3">
        <f>IF(OR($M$1="",对接源_01水果!$C967="",对接源_01水果!$C967&lt;&gt;$M$1,对接源_01水果!$B967=""),0,IF(OR(N(对接源_01水果!$B967)&lt;$M$2,N(对接源_01水果!$B967)&gt;$M$3),0,1))</f>
        <v>0</v>
      </c>
      <c r="N967" s="3">
        <f>IF(OR($N$1="",对接源_01水果!$C967="",对接源_01水果!$C967&lt;&gt;$N$1,对接源_01水果!$B967=""),0,IF(OR(N(对接源_01水果!$B967)&lt;$N$2,N(对接源_01水果!$B967)&gt;$N$3),0,1))</f>
        <v>0</v>
      </c>
      <c r="P967" s="3">
        <f>IF(AND($K967=1,AND(对接源_01水果!$X967="公司筐",N(对接源_01水果!$T967)&lt;&gt;0)),1,0)</f>
        <v>0</v>
      </c>
      <c r="Q967" s="3">
        <f t="shared" si="266"/>
        <v>0</v>
      </c>
      <c r="R967" s="3">
        <f>IF(AND($K967=1,AND(对接源_01水果!$X967="公司筐",N(对接源_01水果!$U967)&lt;&gt;0)),1,0)</f>
        <v>0</v>
      </c>
      <c r="S967" s="3">
        <f t="shared" si="267"/>
        <v>0</v>
      </c>
      <c r="T967" s="3">
        <f>IF(AND($K967=1,AND(对接源_01水果!$X967="公司筐",N(对接源_01水果!$V967)&lt;&gt;0)),1,0)</f>
        <v>0</v>
      </c>
      <c r="U967" s="3">
        <f t="shared" si="268"/>
        <v>19</v>
      </c>
      <c r="V967" s="3">
        <f>IF(AND($L967=1,AND(对接源_01水果!$X967="自备筐",N(对接源_01水果!$V967)&lt;&gt;0)),1,0)</f>
        <v>0</v>
      </c>
      <c r="W967" s="3">
        <f t="shared" si="269"/>
        <v>8</v>
      </c>
      <c r="X967" s="3">
        <f>IF(AND($L967=1,AND(对接源_01水果!$X967="自备筐",N(对接源_01水果!$T967)&lt;&gt;0)),1,0)</f>
        <v>0</v>
      </c>
      <c r="Y967" s="3">
        <f t="shared" si="270"/>
        <v>0</v>
      </c>
      <c r="Z967" s="3">
        <f>IF(AND($M967=1,对接源_01水果!$D967="原料入库"),1,0)</f>
        <v>0</v>
      </c>
      <c r="AA967" s="3">
        <f t="shared" si="271"/>
        <v>24</v>
      </c>
      <c r="AB967" s="3">
        <f>IF(AND($M967=1,LEFT(对接源_01水果!$D967,4)="原料出库"),1,0)</f>
        <v>0</v>
      </c>
      <c r="AC967" s="3">
        <f t="shared" si="272"/>
        <v>0</v>
      </c>
      <c r="AD967" s="3">
        <f>IF(AND($M967=1,LEFT(对接源_01水果!$D967,4)="成品出库"),1,0)</f>
        <v>0</v>
      </c>
      <c r="AE967" s="3">
        <f t="shared" si="273"/>
        <v>0</v>
      </c>
      <c r="AF967" s="3">
        <f>IF(AND($N967=1,AND(LEFT(对接源_01水果!$D967,4)="包装物料",N(对接源_01水果!$K967)&lt;&gt;0)),1,0)</f>
        <v>0</v>
      </c>
      <c r="AG967" s="3">
        <f t="shared" si="274"/>
        <v>0</v>
      </c>
      <c r="AH967" s="3">
        <f>IF(AND($N967=1,AND(对接源_01水果!$D967="周转筐－销售出库",N(对接源_01水果!$K967)&lt;&gt;0)),1,0)</f>
        <v>0</v>
      </c>
      <c r="AI967" s="3">
        <f t="shared" si="275"/>
        <v>0</v>
      </c>
      <c r="AJ967" s="7"/>
      <c r="AL967" s="3">
        <f>IF(OR($AL$1="",对接源_01水果!$Y967="",对接源_01水果!$Y967&lt;&gt;$AL$1,对接源_01水果!$B967="",N(对接源_01水果!$AJ967)&lt;=0),0,IF(OR(N(对接源_01水果!$B967)&lt;$AL$2,N(对接源_01水果!$B967)&gt;$AL$3),0,1))</f>
        <v>0</v>
      </c>
      <c r="AM967" s="3">
        <f t="shared" si="276"/>
        <v>1</v>
      </c>
      <c r="AN967" s="3" t="str">
        <f>IF(对接源_01水果!$AC967="","",对接源_01水果!$AC967)</f>
        <v/>
      </c>
      <c r="AO967" s="3">
        <f t="shared" si="277"/>
        <v>0</v>
      </c>
      <c r="AP967" s="3">
        <f t="shared" si="278"/>
        <v>8</v>
      </c>
      <c r="AR967">
        <f t="shared" si="279"/>
        <v>0</v>
      </c>
      <c r="AS967">
        <f t="shared" si="280"/>
        <v>0</v>
      </c>
    </row>
    <row r="968" ht="14.25" customHeight="1" spans="1:45">
      <c r="A968" s="3" t="str">
        <f>IF(对接源_01水果!$C968="","",对接源_01水果!$C968)</f>
        <v/>
      </c>
      <c r="B968" s="3">
        <f t="shared" si="264"/>
        <v>0</v>
      </c>
      <c r="C968" s="3">
        <f t="shared" si="265"/>
        <v>18</v>
      </c>
      <c r="K968" s="3">
        <f>IF(OR($K$1="",对接源_01水果!$C968="",对接源_01水果!$C968&lt;&gt;$K$1,对接源_01水果!$B968=""),0,IF(OR(N(对接源_01水果!$B968)&lt;$K$2,N(对接源_01水果!$B968)&gt;$K$3),0,1))</f>
        <v>0</v>
      </c>
      <c r="L968" s="3">
        <f>IF(OR($L$1="",对接源_01水果!$C968="",对接源_01水果!$C968&lt;&gt;$L$1,对接源_01水果!$B968=""),0,IF(OR(N(对接源_01水果!$B968)&lt;$L$2,N(对接源_01水果!$B968)&gt;$L$3),0,1))</f>
        <v>0</v>
      </c>
      <c r="M968" s="3">
        <f>IF(OR($M$1="",对接源_01水果!$C968="",对接源_01水果!$C968&lt;&gt;$M$1,对接源_01水果!$B968=""),0,IF(OR(N(对接源_01水果!$B968)&lt;$M$2,N(对接源_01水果!$B968)&gt;$M$3),0,1))</f>
        <v>0</v>
      </c>
      <c r="N968" s="3">
        <f>IF(OR($N$1="",对接源_01水果!$C968="",对接源_01水果!$C968&lt;&gt;$N$1,对接源_01水果!$B968=""),0,IF(OR(N(对接源_01水果!$B968)&lt;$N$2,N(对接源_01水果!$B968)&gt;$N$3),0,1))</f>
        <v>0</v>
      </c>
      <c r="P968" s="3">
        <f>IF(AND($K968=1,AND(对接源_01水果!$X968="公司筐",N(对接源_01水果!$T968)&lt;&gt;0)),1,0)</f>
        <v>0</v>
      </c>
      <c r="Q968" s="3">
        <f t="shared" si="266"/>
        <v>0</v>
      </c>
      <c r="R968" s="3">
        <f>IF(AND($K968=1,AND(对接源_01水果!$X968="公司筐",N(对接源_01水果!$U968)&lt;&gt;0)),1,0)</f>
        <v>0</v>
      </c>
      <c r="S968" s="3">
        <f t="shared" si="267"/>
        <v>0</v>
      </c>
      <c r="T968" s="3">
        <f>IF(AND($K968=1,AND(对接源_01水果!$X968="公司筐",N(对接源_01水果!$V968)&lt;&gt;0)),1,0)</f>
        <v>0</v>
      </c>
      <c r="U968" s="3">
        <f t="shared" si="268"/>
        <v>19</v>
      </c>
      <c r="V968" s="3">
        <f>IF(AND($L968=1,AND(对接源_01水果!$X968="自备筐",N(对接源_01水果!$V968)&lt;&gt;0)),1,0)</f>
        <v>0</v>
      </c>
      <c r="W968" s="3">
        <f t="shared" si="269"/>
        <v>8</v>
      </c>
      <c r="X968" s="3">
        <f>IF(AND($L968=1,AND(对接源_01水果!$X968="自备筐",N(对接源_01水果!$T968)&lt;&gt;0)),1,0)</f>
        <v>0</v>
      </c>
      <c r="Y968" s="3">
        <f t="shared" si="270"/>
        <v>0</v>
      </c>
      <c r="Z968" s="3">
        <f>IF(AND($M968=1,对接源_01水果!$D968="原料入库"),1,0)</f>
        <v>0</v>
      </c>
      <c r="AA968" s="3">
        <f t="shared" si="271"/>
        <v>24</v>
      </c>
      <c r="AB968" s="3">
        <f>IF(AND($M968=1,LEFT(对接源_01水果!$D968,4)="原料出库"),1,0)</f>
        <v>0</v>
      </c>
      <c r="AC968" s="3">
        <f t="shared" si="272"/>
        <v>0</v>
      </c>
      <c r="AD968" s="3">
        <f>IF(AND($M968=1,LEFT(对接源_01水果!$D968,4)="成品出库"),1,0)</f>
        <v>0</v>
      </c>
      <c r="AE968" s="3">
        <f t="shared" si="273"/>
        <v>0</v>
      </c>
      <c r="AF968" s="3">
        <f>IF(AND($N968=1,AND(LEFT(对接源_01水果!$D968,4)="包装物料",N(对接源_01水果!$K968)&lt;&gt;0)),1,0)</f>
        <v>0</v>
      </c>
      <c r="AG968" s="3">
        <f t="shared" si="274"/>
        <v>0</v>
      </c>
      <c r="AH968" s="3">
        <f>IF(AND($N968=1,AND(对接源_01水果!$D968="周转筐－销售出库",N(对接源_01水果!$K968)&lt;&gt;0)),1,0)</f>
        <v>0</v>
      </c>
      <c r="AI968" s="3">
        <f t="shared" si="275"/>
        <v>0</v>
      </c>
      <c r="AJ968" s="7"/>
      <c r="AL968" s="3">
        <f>IF(OR($AL$1="",对接源_01水果!$Y968="",对接源_01水果!$Y968&lt;&gt;$AL$1,对接源_01水果!$B968="",N(对接源_01水果!$AJ968)&lt;=0),0,IF(OR(N(对接源_01水果!$B968)&lt;$AL$2,N(对接源_01水果!$B968)&gt;$AL$3),0,1))</f>
        <v>0</v>
      </c>
      <c r="AM968" s="3">
        <f t="shared" si="276"/>
        <v>1</v>
      </c>
      <c r="AN968" s="3" t="str">
        <f>IF(对接源_01水果!$AC968="","",对接源_01水果!$AC968)</f>
        <v/>
      </c>
      <c r="AO968" s="3">
        <f t="shared" si="277"/>
        <v>0</v>
      </c>
      <c r="AP968" s="3">
        <f t="shared" si="278"/>
        <v>8</v>
      </c>
      <c r="AR968">
        <f t="shared" si="279"/>
        <v>0</v>
      </c>
      <c r="AS968">
        <f t="shared" si="280"/>
        <v>0</v>
      </c>
    </row>
    <row r="969" ht="14.25" customHeight="1" spans="1:45">
      <c r="A969" s="3" t="str">
        <f>IF(对接源_01水果!$C969="","",对接源_01水果!$C969)</f>
        <v/>
      </c>
      <c r="B969" s="3">
        <f t="shared" si="264"/>
        <v>0</v>
      </c>
      <c r="C969" s="3">
        <f t="shared" si="265"/>
        <v>18</v>
      </c>
      <c r="K969" s="3">
        <f>IF(OR($K$1="",对接源_01水果!$C969="",对接源_01水果!$C969&lt;&gt;$K$1,对接源_01水果!$B969=""),0,IF(OR(N(对接源_01水果!$B969)&lt;$K$2,N(对接源_01水果!$B969)&gt;$K$3),0,1))</f>
        <v>0</v>
      </c>
      <c r="L969" s="3">
        <f>IF(OR($L$1="",对接源_01水果!$C969="",对接源_01水果!$C969&lt;&gt;$L$1,对接源_01水果!$B969=""),0,IF(OR(N(对接源_01水果!$B969)&lt;$L$2,N(对接源_01水果!$B969)&gt;$L$3),0,1))</f>
        <v>0</v>
      </c>
      <c r="M969" s="3">
        <f>IF(OR($M$1="",对接源_01水果!$C969="",对接源_01水果!$C969&lt;&gt;$M$1,对接源_01水果!$B969=""),0,IF(OR(N(对接源_01水果!$B969)&lt;$M$2,N(对接源_01水果!$B969)&gt;$M$3),0,1))</f>
        <v>0</v>
      </c>
      <c r="N969" s="3">
        <f>IF(OR($N$1="",对接源_01水果!$C969="",对接源_01水果!$C969&lt;&gt;$N$1,对接源_01水果!$B969=""),0,IF(OR(N(对接源_01水果!$B969)&lt;$N$2,N(对接源_01水果!$B969)&gt;$N$3),0,1))</f>
        <v>0</v>
      </c>
      <c r="P969" s="3">
        <f>IF(AND($K969=1,AND(对接源_01水果!$X969="公司筐",N(对接源_01水果!$T969)&lt;&gt;0)),1,0)</f>
        <v>0</v>
      </c>
      <c r="Q969" s="3">
        <f t="shared" si="266"/>
        <v>0</v>
      </c>
      <c r="R969" s="3">
        <f>IF(AND($K969=1,AND(对接源_01水果!$X969="公司筐",N(对接源_01水果!$U969)&lt;&gt;0)),1,0)</f>
        <v>0</v>
      </c>
      <c r="S969" s="3">
        <f t="shared" si="267"/>
        <v>0</v>
      </c>
      <c r="T969" s="3">
        <f>IF(AND($K969=1,AND(对接源_01水果!$X969="公司筐",N(对接源_01水果!$V969)&lt;&gt;0)),1,0)</f>
        <v>0</v>
      </c>
      <c r="U969" s="3">
        <f t="shared" si="268"/>
        <v>19</v>
      </c>
      <c r="V969" s="3">
        <f>IF(AND($L969=1,AND(对接源_01水果!$X969="自备筐",N(对接源_01水果!$V969)&lt;&gt;0)),1,0)</f>
        <v>0</v>
      </c>
      <c r="W969" s="3">
        <f t="shared" si="269"/>
        <v>8</v>
      </c>
      <c r="X969" s="3">
        <f>IF(AND($L969=1,AND(对接源_01水果!$X969="自备筐",N(对接源_01水果!$T969)&lt;&gt;0)),1,0)</f>
        <v>0</v>
      </c>
      <c r="Y969" s="3">
        <f t="shared" si="270"/>
        <v>0</v>
      </c>
      <c r="Z969" s="3">
        <f>IF(AND($M969=1,对接源_01水果!$D969="原料入库"),1,0)</f>
        <v>0</v>
      </c>
      <c r="AA969" s="3">
        <f t="shared" si="271"/>
        <v>24</v>
      </c>
      <c r="AB969" s="3">
        <f>IF(AND($M969=1,LEFT(对接源_01水果!$D969,4)="原料出库"),1,0)</f>
        <v>0</v>
      </c>
      <c r="AC969" s="3">
        <f t="shared" si="272"/>
        <v>0</v>
      </c>
      <c r="AD969" s="3">
        <f>IF(AND($M969=1,LEFT(对接源_01水果!$D969,4)="成品出库"),1,0)</f>
        <v>0</v>
      </c>
      <c r="AE969" s="3">
        <f t="shared" si="273"/>
        <v>0</v>
      </c>
      <c r="AF969" s="3">
        <f>IF(AND($N969=1,AND(LEFT(对接源_01水果!$D969,4)="包装物料",N(对接源_01水果!$K969)&lt;&gt;0)),1,0)</f>
        <v>0</v>
      </c>
      <c r="AG969" s="3">
        <f t="shared" si="274"/>
        <v>0</v>
      </c>
      <c r="AH969" s="3">
        <f>IF(AND($N969=1,AND(对接源_01水果!$D969="周转筐－销售出库",N(对接源_01水果!$K969)&lt;&gt;0)),1,0)</f>
        <v>0</v>
      </c>
      <c r="AI969" s="3">
        <f t="shared" si="275"/>
        <v>0</v>
      </c>
      <c r="AJ969" s="7"/>
      <c r="AL969" s="3">
        <f>IF(OR($AL$1="",对接源_01水果!$Y969="",对接源_01水果!$Y969&lt;&gt;$AL$1,对接源_01水果!$B969="",N(对接源_01水果!$AJ969)&lt;=0),0,IF(OR(N(对接源_01水果!$B969)&lt;$AL$2,N(对接源_01水果!$B969)&gt;$AL$3),0,1))</f>
        <v>0</v>
      </c>
      <c r="AM969" s="3">
        <f t="shared" si="276"/>
        <v>1</v>
      </c>
      <c r="AN969" s="3" t="str">
        <f>IF(对接源_01水果!$AC969="","",对接源_01水果!$AC969)</f>
        <v/>
      </c>
      <c r="AO969" s="3">
        <f t="shared" si="277"/>
        <v>0</v>
      </c>
      <c r="AP969" s="3">
        <f t="shared" si="278"/>
        <v>8</v>
      </c>
      <c r="AR969">
        <f t="shared" si="279"/>
        <v>0</v>
      </c>
      <c r="AS969">
        <f t="shared" si="280"/>
        <v>0</v>
      </c>
    </row>
    <row r="970" ht="14.25" customHeight="1" spans="1:45">
      <c r="A970" s="3" t="str">
        <f>IF(对接源_01水果!$C970="","",对接源_01水果!$C970)</f>
        <v/>
      </c>
      <c r="B970" s="3">
        <f t="shared" si="264"/>
        <v>0</v>
      </c>
      <c r="C970" s="3">
        <f t="shared" si="265"/>
        <v>18</v>
      </c>
      <c r="K970" s="3">
        <f>IF(OR($K$1="",对接源_01水果!$C970="",对接源_01水果!$C970&lt;&gt;$K$1,对接源_01水果!$B970=""),0,IF(OR(N(对接源_01水果!$B970)&lt;$K$2,N(对接源_01水果!$B970)&gt;$K$3),0,1))</f>
        <v>0</v>
      </c>
      <c r="L970" s="3">
        <f>IF(OR($L$1="",对接源_01水果!$C970="",对接源_01水果!$C970&lt;&gt;$L$1,对接源_01水果!$B970=""),0,IF(OR(N(对接源_01水果!$B970)&lt;$L$2,N(对接源_01水果!$B970)&gt;$L$3),0,1))</f>
        <v>0</v>
      </c>
      <c r="M970" s="3">
        <f>IF(OR($M$1="",对接源_01水果!$C970="",对接源_01水果!$C970&lt;&gt;$M$1,对接源_01水果!$B970=""),0,IF(OR(N(对接源_01水果!$B970)&lt;$M$2,N(对接源_01水果!$B970)&gt;$M$3),0,1))</f>
        <v>0</v>
      </c>
      <c r="N970" s="3">
        <f>IF(OR($N$1="",对接源_01水果!$C970="",对接源_01水果!$C970&lt;&gt;$N$1,对接源_01水果!$B970=""),0,IF(OR(N(对接源_01水果!$B970)&lt;$N$2,N(对接源_01水果!$B970)&gt;$N$3),0,1))</f>
        <v>0</v>
      </c>
      <c r="P970" s="3">
        <f>IF(AND($K970=1,AND(对接源_01水果!$X970="公司筐",N(对接源_01水果!$T970)&lt;&gt;0)),1,0)</f>
        <v>0</v>
      </c>
      <c r="Q970" s="3">
        <f t="shared" si="266"/>
        <v>0</v>
      </c>
      <c r="R970" s="3">
        <f>IF(AND($K970=1,AND(对接源_01水果!$X970="公司筐",N(对接源_01水果!$U970)&lt;&gt;0)),1,0)</f>
        <v>0</v>
      </c>
      <c r="S970" s="3">
        <f t="shared" si="267"/>
        <v>0</v>
      </c>
      <c r="T970" s="3">
        <f>IF(AND($K970=1,AND(对接源_01水果!$X970="公司筐",N(对接源_01水果!$V970)&lt;&gt;0)),1,0)</f>
        <v>0</v>
      </c>
      <c r="U970" s="3">
        <f t="shared" si="268"/>
        <v>19</v>
      </c>
      <c r="V970" s="3">
        <f>IF(AND($L970=1,AND(对接源_01水果!$X970="自备筐",N(对接源_01水果!$V970)&lt;&gt;0)),1,0)</f>
        <v>0</v>
      </c>
      <c r="W970" s="3">
        <f t="shared" si="269"/>
        <v>8</v>
      </c>
      <c r="X970" s="3">
        <f>IF(AND($L970=1,AND(对接源_01水果!$X970="自备筐",N(对接源_01水果!$T970)&lt;&gt;0)),1,0)</f>
        <v>0</v>
      </c>
      <c r="Y970" s="3">
        <f t="shared" si="270"/>
        <v>0</v>
      </c>
      <c r="Z970" s="3">
        <f>IF(AND($M970=1,对接源_01水果!$D970="原料入库"),1,0)</f>
        <v>0</v>
      </c>
      <c r="AA970" s="3">
        <f t="shared" si="271"/>
        <v>24</v>
      </c>
      <c r="AB970" s="3">
        <f>IF(AND($M970=1,LEFT(对接源_01水果!$D970,4)="原料出库"),1,0)</f>
        <v>0</v>
      </c>
      <c r="AC970" s="3">
        <f t="shared" si="272"/>
        <v>0</v>
      </c>
      <c r="AD970" s="3">
        <f>IF(AND($M970=1,LEFT(对接源_01水果!$D970,4)="成品出库"),1,0)</f>
        <v>0</v>
      </c>
      <c r="AE970" s="3">
        <f t="shared" si="273"/>
        <v>0</v>
      </c>
      <c r="AF970" s="3">
        <f>IF(AND($N970=1,AND(LEFT(对接源_01水果!$D970,4)="包装物料",N(对接源_01水果!$K970)&lt;&gt;0)),1,0)</f>
        <v>0</v>
      </c>
      <c r="AG970" s="3">
        <f t="shared" si="274"/>
        <v>0</v>
      </c>
      <c r="AH970" s="3">
        <f>IF(AND($N970=1,AND(对接源_01水果!$D970="周转筐－销售出库",N(对接源_01水果!$K970)&lt;&gt;0)),1,0)</f>
        <v>0</v>
      </c>
      <c r="AI970" s="3">
        <f t="shared" si="275"/>
        <v>0</v>
      </c>
      <c r="AJ970" s="7"/>
      <c r="AL970" s="3">
        <f>IF(OR($AL$1="",对接源_01水果!$Y970="",对接源_01水果!$Y970&lt;&gt;$AL$1,对接源_01水果!$B970="",N(对接源_01水果!$AJ970)&lt;=0),0,IF(OR(N(对接源_01水果!$B970)&lt;$AL$2,N(对接源_01水果!$B970)&gt;$AL$3),0,1))</f>
        <v>0</v>
      </c>
      <c r="AM970" s="3">
        <f t="shared" si="276"/>
        <v>1</v>
      </c>
      <c r="AN970" s="3" t="str">
        <f>IF(对接源_01水果!$AC970="","",对接源_01水果!$AC970)</f>
        <v/>
      </c>
      <c r="AO970" s="3">
        <f t="shared" si="277"/>
        <v>0</v>
      </c>
      <c r="AP970" s="3">
        <f t="shared" si="278"/>
        <v>8</v>
      </c>
      <c r="AR970">
        <f t="shared" si="279"/>
        <v>0</v>
      </c>
      <c r="AS970">
        <f t="shared" si="280"/>
        <v>0</v>
      </c>
    </row>
    <row r="971" ht="14.25" customHeight="1" spans="1:45">
      <c r="A971" s="3" t="str">
        <f>IF(对接源_01水果!$C971="","",对接源_01水果!$C971)</f>
        <v/>
      </c>
      <c r="B971" s="3">
        <f t="shared" si="264"/>
        <v>0</v>
      </c>
      <c r="C971" s="3">
        <f t="shared" si="265"/>
        <v>18</v>
      </c>
      <c r="K971" s="3">
        <f>IF(OR($K$1="",对接源_01水果!$C971="",对接源_01水果!$C971&lt;&gt;$K$1,对接源_01水果!$B971=""),0,IF(OR(N(对接源_01水果!$B971)&lt;$K$2,N(对接源_01水果!$B971)&gt;$K$3),0,1))</f>
        <v>0</v>
      </c>
      <c r="L971" s="3">
        <f>IF(OR($L$1="",对接源_01水果!$C971="",对接源_01水果!$C971&lt;&gt;$L$1,对接源_01水果!$B971=""),0,IF(OR(N(对接源_01水果!$B971)&lt;$L$2,N(对接源_01水果!$B971)&gt;$L$3),0,1))</f>
        <v>0</v>
      </c>
      <c r="M971" s="3">
        <f>IF(OR($M$1="",对接源_01水果!$C971="",对接源_01水果!$C971&lt;&gt;$M$1,对接源_01水果!$B971=""),0,IF(OR(N(对接源_01水果!$B971)&lt;$M$2,N(对接源_01水果!$B971)&gt;$M$3),0,1))</f>
        <v>0</v>
      </c>
      <c r="N971" s="3">
        <f>IF(OR($N$1="",对接源_01水果!$C971="",对接源_01水果!$C971&lt;&gt;$N$1,对接源_01水果!$B971=""),0,IF(OR(N(对接源_01水果!$B971)&lt;$N$2,N(对接源_01水果!$B971)&gt;$N$3),0,1))</f>
        <v>0</v>
      </c>
      <c r="P971" s="3">
        <f>IF(AND($K971=1,AND(对接源_01水果!$X971="公司筐",N(对接源_01水果!$T971)&lt;&gt;0)),1,0)</f>
        <v>0</v>
      </c>
      <c r="Q971" s="3">
        <f t="shared" si="266"/>
        <v>0</v>
      </c>
      <c r="R971" s="3">
        <f>IF(AND($K971=1,AND(对接源_01水果!$X971="公司筐",N(对接源_01水果!$U971)&lt;&gt;0)),1,0)</f>
        <v>0</v>
      </c>
      <c r="S971" s="3">
        <f t="shared" si="267"/>
        <v>0</v>
      </c>
      <c r="T971" s="3">
        <f>IF(AND($K971=1,AND(对接源_01水果!$X971="公司筐",N(对接源_01水果!$V971)&lt;&gt;0)),1,0)</f>
        <v>0</v>
      </c>
      <c r="U971" s="3">
        <f t="shared" si="268"/>
        <v>19</v>
      </c>
      <c r="V971" s="3">
        <f>IF(AND($L971=1,AND(对接源_01水果!$X971="自备筐",N(对接源_01水果!$V971)&lt;&gt;0)),1,0)</f>
        <v>0</v>
      </c>
      <c r="W971" s="3">
        <f t="shared" si="269"/>
        <v>8</v>
      </c>
      <c r="X971" s="3">
        <f>IF(AND($L971=1,AND(对接源_01水果!$X971="自备筐",N(对接源_01水果!$T971)&lt;&gt;0)),1,0)</f>
        <v>0</v>
      </c>
      <c r="Y971" s="3">
        <f t="shared" si="270"/>
        <v>0</v>
      </c>
      <c r="Z971" s="3">
        <f>IF(AND($M971=1,对接源_01水果!$D971="原料入库"),1,0)</f>
        <v>0</v>
      </c>
      <c r="AA971" s="3">
        <f t="shared" si="271"/>
        <v>24</v>
      </c>
      <c r="AB971" s="3">
        <f>IF(AND($M971=1,LEFT(对接源_01水果!$D971,4)="原料出库"),1,0)</f>
        <v>0</v>
      </c>
      <c r="AC971" s="3">
        <f t="shared" si="272"/>
        <v>0</v>
      </c>
      <c r="AD971" s="3">
        <f>IF(AND($M971=1,LEFT(对接源_01水果!$D971,4)="成品出库"),1,0)</f>
        <v>0</v>
      </c>
      <c r="AE971" s="3">
        <f t="shared" si="273"/>
        <v>0</v>
      </c>
      <c r="AF971" s="3">
        <f>IF(AND($N971=1,AND(LEFT(对接源_01水果!$D971,4)="包装物料",N(对接源_01水果!$K971)&lt;&gt;0)),1,0)</f>
        <v>0</v>
      </c>
      <c r="AG971" s="3">
        <f t="shared" si="274"/>
        <v>0</v>
      </c>
      <c r="AH971" s="3">
        <f>IF(AND($N971=1,AND(对接源_01水果!$D971="周转筐－销售出库",N(对接源_01水果!$K971)&lt;&gt;0)),1,0)</f>
        <v>0</v>
      </c>
      <c r="AI971" s="3">
        <f t="shared" si="275"/>
        <v>0</v>
      </c>
      <c r="AJ971" s="7"/>
      <c r="AL971" s="3">
        <f>IF(OR($AL$1="",对接源_01水果!$Y971="",对接源_01水果!$Y971&lt;&gt;$AL$1,对接源_01水果!$B971="",N(对接源_01水果!$AJ971)&lt;=0),0,IF(OR(N(对接源_01水果!$B971)&lt;$AL$2,N(对接源_01水果!$B971)&gt;$AL$3),0,1))</f>
        <v>0</v>
      </c>
      <c r="AM971" s="3">
        <f t="shared" si="276"/>
        <v>1</v>
      </c>
      <c r="AN971" s="3" t="str">
        <f>IF(对接源_01水果!$AC971="","",对接源_01水果!$AC971)</f>
        <v/>
      </c>
      <c r="AO971" s="3">
        <f t="shared" si="277"/>
        <v>0</v>
      </c>
      <c r="AP971" s="3">
        <f t="shared" si="278"/>
        <v>8</v>
      </c>
      <c r="AR971">
        <f t="shared" si="279"/>
        <v>0</v>
      </c>
      <c r="AS971">
        <f t="shared" si="280"/>
        <v>0</v>
      </c>
    </row>
    <row r="972" ht="14.25" customHeight="1" spans="1:45">
      <c r="A972" s="3" t="str">
        <f>IF(对接源_01水果!$C972="","",对接源_01水果!$C972)</f>
        <v/>
      </c>
      <c r="B972" s="3">
        <f t="shared" si="264"/>
        <v>0</v>
      </c>
      <c r="C972" s="3">
        <f t="shared" si="265"/>
        <v>18</v>
      </c>
      <c r="K972" s="3">
        <f>IF(OR($K$1="",对接源_01水果!$C972="",对接源_01水果!$C972&lt;&gt;$K$1,对接源_01水果!$B972=""),0,IF(OR(N(对接源_01水果!$B972)&lt;$K$2,N(对接源_01水果!$B972)&gt;$K$3),0,1))</f>
        <v>0</v>
      </c>
      <c r="L972" s="3">
        <f>IF(OR($L$1="",对接源_01水果!$C972="",对接源_01水果!$C972&lt;&gt;$L$1,对接源_01水果!$B972=""),0,IF(OR(N(对接源_01水果!$B972)&lt;$L$2,N(对接源_01水果!$B972)&gt;$L$3),0,1))</f>
        <v>0</v>
      </c>
      <c r="M972" s="3">
        <f>IF(OR($M$1="",对接源_01水果!$C972="",对接源_01水果!$C972&lt;&gt;$M$1,对接源_01水果!$B972=""),0,IF(OR(N(对接源_01水果!$B972)&lt;$M$2,N(对接源_01水果!$B972)&gt;$M$3),0,1))</f>
        <v>0</v>
      </c>
      <c r="N972" s="3">
        <f>IF(OR($N$1="",对接源_01水果!$C972="",对接源_01水果!$C972&lt;&gt;$N$1,对接源_01水果!$B972=""),0,IF(OR(N(对接源_01水果!$B972)&lt;$N$2,N(对接源_01水果!$B972)&gt;$N$3),0,1))</f>
        <v>0</v>
      </c>
      <c r="P972" s="3">
        <f>IF(AND($K972=1,AND(对接源_01水果!$X972="公司筐",N(对接源_01水果!$T972)&lt;&gt;0)),1,0)</f>
        <v>0</v>
      </c>
      <c r="Q972" s="3">
        <f t="shared" si="266"/>
        <v>0</v>
      </c>
      <c r="R972" s="3">
        <f>IF(AND($K972=1,AND(对接源_01水果!$X972="公司筐",N(对接源_01水果!$U972)&lt;&gt;0)),1,0)</f>
        <v>0</v>
      </c>
      <c r="S972" s="3">
        <f t="shared" si="267"/>
        <v>0</v>
      </c>
      <c r="T972" s="3">
        <f>IF(AND($K972=1,AND(对接源_01水果!$X972="公司筐",N(对接源_01水果!$V972)&lt;&gt;0)),1,0)</f>
        <v>0</v>
      </c>
      <c r="U972" s="3">
        <f t="shared" si="268"/>
        <v>19</v>
      </c>
      <c r="V972" s="3">
        <f>IF(AND($L972=1,AND(对接源_01水果!$X972="自备筐",N(对接源_01水果!$V972)&lt;&gt;0)),1,0)</f>
        <v>0</v>
      </c>
      <c r="W972" s="3">
        <f t="shared" si="269"/>
        <v>8</v>
      </c>
      <c r="X972" s="3">
        <f>IF(AND($L972=1,AND(对接源_01水果!$X972="自备筐",N(对接源_01水果!$T972)&lt;&gt;0)),1,0)</f>
        <v>0</v>
      </c>
      <c r="Y972" s="3">
        <f t="shared" si="270"/>
        <v>0</v>
      </c>
      <c r="Z972" s="3">
        <f>IF(AND($M972=1,对接源_01水果!$D972="原料入库"),1,0)</f>
        <v>0</v>
      </c>
      <c r="AA972" s="3">
        <f t="shared" si="271"/>
        <v>24</v>
      </c>
      <c r="AB972" s="3">
        <f>IF(AND($M972=1,LEFT(对接源_01水果!$D972,4)="原料出库"),1,0)</f>
        <v>0</v>
      </c>
      <c r="AC972" s="3">
        <f t="shared" si="272"/>
        <v>0</v>
      </c>
      <c r="AD972" s="3">
        <f>IF(AND($M972=1,LEFT(对接源_01水果!$D972,4)="成品出库"),1,0)</f>
        <v>0</v>
      </c>
      <c r="AE972" s="3">
        <f t="shared" si="273"/>
        <v>0</v>
      </c>
      <c r="AF972" s="3">
        <f>IF(AND($N972=1,AND(LEFT(对接源_01水果!$D972,4)="包装物料",N(对接源_01水果!$K972)&lt;&gt;0)),1,0)</f>
        <v>0</v>
      </c>
      <c r="AG972" s="3">
        <f t="shared" si="274"/>
        <v>0</v>
      </c>
      <c r="AH972" s="3">
        <f>IF(AND($N972=1,AND(对接源_01水果!$D972="周转筐－销售出库",N(对接源_01水果!$K972)&lt;&gt;0)),1,0)</f>
        <v>0</v>
      </c>
      <c r="AI972" s="3">
        <f t="shared" si="275"/>
        <v>0</v>
      </c>
      <c r="AJ972" s="7"/>
      <c r="AL972" s="3">
        <f>IF(OR($AL$1="",对接源_01水果!$Y972="",对接源_01水果!$Y972&lt;&gt;$AL$1,对接源_01水果!$B972="",N(对接源_01水果!$AJ972)&lt;=0),0,IF(OR(N(对接源_01水果!$B972)&lt;$AL$2,N(对接源_01水果!$B972)&gt;$AL$3),0,1))</f>
        <v>0</v>
      </c>
      <c r="AM972" s="3">
        <f t="shared" si="276"/>
        <v>1</v>
      </c>
      <c r="AN972" s="3" t="str">
        <f>IF(对接源_01水果!$AC972="","",对接源_01水果!$AC972)</f>
        <v/>
      </c>
      <c r="AO972" s="3">
        <f t="shared" si="277"/>
        <v>0</v>
      </c>
      <c r="AP972" s="3">
        <f t="shared" si="278"/>
        <v>8</v>
      </c>
      <c r="AR972">
        <f t="shared" si="279"/>
        <v>0</v>
      </c>
      <c r="AS972">
        <f t="shared" si="280"/>
        <v>0</v>
      </c>
    </row>
    <row r="973" ht="14.25" customHeight="1" spans="1:45">
      <c r="A973" s="3" t="str">
        <f>IF(对接源_01水果!$C973="","",对接源_01水果!$C973)</f>
        <v/>
      </c>
      <c r="B973" s="3">
        <f t="shared" si="264"/>
        <v>0</v>
      </c>
      <c r="C973" s="3">
        <f t="shared" si="265"/>
        <v>18</v>
      </c>
      <c r="K973" s="3">
        <f>IF(OR($K$1="",对接源_01水果!$C973="",对接源_01水果!$C973&lt;&gt;$K$1,对接源_01水果!$B973=""),0,IF(OR(N(对接源_01水果!$B973)&lt;$K$2,N(对接源_01水果!$B973)&gt;$K$3),0,1))</f>
        <v>0</v>
      </c>
      <c r="L973" s="3">
        <f>IF(OR($L$1="",对接源_01水果!$C973="",对接源_01水果!$C973&lt;&gt;$L$1,对接源_01水果!$B973=""),0,IF(OR(N(对接源_01水果!$B973)&lt;$L$2,N(对接源_01水果!$B973)&gt;$L$3),0,1))</f>
        <v>0</v>
      </c>
      <c r="M973" s="3">
        <f>IF(OR($M$1="",对接源_01水果!$C973="",对接源_01水果!$C973&lt;&gt;$M$1,对接源_01水果!$B973=""),0,IF(OR(N(对接源_01水果!$B973)&lt;$M$2,N(对接源_01水果!$B973)&gt;$M$3),0,1))</f>
        <v>0</v>
      </c>
      <c r="N973" s="3">
        <f>IF(OR($N$1="",对接源_01水果!$C973="",对接源_01水果!$C973&lt;&gt;$N$1,对接源_01水果!$B973=""),0,IF(OR(N(对接源_01水果!$B973)&lt;$N$2,N(对接源_01水果!$B973)&gt;$N$3),0,1))</f>
        <v>0</v>
      </c>
      <c r="P973" s="3">
        <f>IF(AND($K973=1,AND(对接源_01水果!$X973="公司筐",N(对接源_01水果!$T973)&lt;&gt;0)),1,0)</f>
        <v>0</v>
      </c>
      <c r="Q973" s="3">
        <f t="shared" si="266"/>
        <v>0</v>
      </c>
      <c r="R973" s="3">
        <f>IF(AND($K973=1,AND(对接源_01水果!$X973="公司筐",N(对接源_01水果!$U973)&lt;&gt;0)),1,0)</f>
        <v>0</v>
      </c>
      <c r="S973" s="3">
        <f t="shared" si="267"/>
        <v>0</v>
      </c>
      <c r="T973" s="3">
        <f>IF(AND($K973=1,AND(对接源_01水果!$X973="公司筐",N(对接源_01水果!$V973)&lt;&gt;0)),1,0)</f>
        <v>0</v>
      </c>
      <c r="U973" s="3">
        <f t="shared" si="268"/>
        <v>19</v>
      </c>
      <c r="V973" s="3">
        <f>IF(AND($L973=1,AND(对接源_01水果!$X973="自备筐",N(对接源_01水果!$V973)&lt;&gt;0)),1,0)</f>
        <v>0</v>
      </c>
      <c r="W973" s="3">
        <f t="shared" si="269"/>
        <v>8</v>
      </c>
      <c r="X973" s="3">
        <f>IF(AND($L973=1,AND(对接源_01水果!$X973="自备筐",N(对接源_01水果!$T973)&lt;&gt;0)),1,0)</f>
        <v>0</v>
      </c>
      <c r="Y973" s="3">
        <f t="shared" si="270"/>
        <v>0</v>
      </c>
      <c r="Z973" s="3">
        <f>IF(AND($M973=1,对接源_01水果!$D973="原料入库"),1,0)</f>
        <v>0</v>
      </c>
      <c r="AA973" s="3">
        <f t="shared" si="271"/>
        <v>24</v>
      </c>
      <c r="AB973" s="3">
        <f>IF(AND($M973=1,LEFT(对接源_01水果!$D973,4)="原料出库"),1,0)</f>
        <v>0</v>
      </c>
      <c r="AC973" s="3">
        <f t="shared" si="272"/>
        <v>0</v>
      </c>
      <c r="AD973" s="3">
        <f>IF(AND($M973=1,LEFT(对接源_01水果!$D973,4)="成品出库"),1,0)</f>
        <v>0</v>
      </c>
      <c r="AE973" s="3">
        <f t="shared" si="273"/>
        <v>0</v>
      </c>
      <c r="AF973" s="3">
        <f>IF(AND($N973=1,AND(LEFT(对接源_01水果!$D973,4)="包装物料",N(对接源_01水果!$K973)&lt;&gt;0)),1,0)</f>
        <v>0</v>
      </c>
      <c r="AG973" s="3">
        <f t="shared" si="274"/>
        <v>0</v>
      </c>
      <c r="AH973" s="3">
        <f>IF(AND($N973=1,AND(对接源_01水果!$D973="周转筐－销售出库",N(对接源_01水果!$K973)&lt;&gt;0)),1,0)</f>
        <v>0</v>
      </c>
      <c r="AI973" s="3">
        <f t="shared" si="275"/>
        <v>0</v>
      </c>
      <c r="AJ973" s="7"/>
      <c r="AL973" s="3">
        <f>IF(OR($AL$1="",对接源_01水果!$Y973="",对接源_01水果!$Y973&lt;&gt;$AL$1,对接源_01水果!$B973="",N(对接源_01水果!$AJ973)&lt;=0),0,IF(OR(N(对接源_01水果!$B973)&lt;$AL$2,N(对接源_01水果!$B973)&gt;$AL$3),0,1))</f>
        <v>0</v>
      </c>
      <c r="AM973" s="3">
        <f t="shared" si="276"/>
        <v>1</v>
      </c>
      <c r="AN973" s="3" t="str">
        <f>IF(对接源_01水果!$AC973="","",对接源_01水果!$AC973)</f>
        <v/>
      </c>
      <c r="AO973" s="3">
        <f t="shared" si="277"/>
        <v>0</v>
      </c>
      <c r="AP973" s="3">
        <f t="shared" si="278"/>
        <v>8</v>
      </c>
      <c r="AR973">
        <f t="shared" si="279"/>
        <v>0</v>
      </c>
      <c r="AS973">
        <f t="shared" si="280"/>
        <v>0</v>
      </c>
    </row>
    <row r="974" ht="14.25" customHeight="1" spans="1:45">
      <c r="A974" s="3" t="str">
        <f>IF(对接源_01水果!$C974="","",对接源_01水果!$C974)</f>
        <v/>
      </c>
      <c r="B974" s="3">
        <f t="shared" si="264"/>
        <v>0</v>
      </c>
      <c r="C974" s="3">
        <f t="shared" si="265"/>
        <v>18</v>
      </c>
      <c r="K974" s="3">
        <f>IF(OR($K$1="",对接源_01水果!$C974="",对接源_01水果!$C974&lt;&gt;$K$1,对接源_01水果!$B974=""),0,IF(OR(N(对接源_01水果!$B974)&lt;$K$2,N(对接源_01水果!$B974)&gt;$K$3),0,1))</f>
        <v>0</v>
      </c>
      <c r="L974" s="3">
        <f>IF(OR($L$1="",对接源_01水果!$C974="",对接源_01水果!$C974&lt;&gt;$L$1,对接源_01水果!$B974=""),0,IF(OR(N(对接源_01水果!$B974)&lt;$L$2,N(对接源_01水果!$B974)&gt;$L$3),0,1))</f>
        <v>0</v>
      </c>
      <c r="M974" s="3">
        <f>IF(OR($M$1="",对接源_01水果!$C974="",对接源_01水果!$C974&lt;&gt;$M$1,对接源_01水果!$B974=""),0,IF(OR(N(对接源_01水果!$B974)&lt;$M$2,N(对接源_01水果!$B974)&gt;$M$3),0,1))</f>
        <v>0</v>
      </c>
      <c r="N974" s="3">
        <f>IF(OR($N$1="",对接源_01水果!$C974="",对接源_01水果!$C974&lt;&gt;$N$1,对接源_01水果!$B974=""),0,IF(OR(N(对接源_01水果!$B974)&lt;$N$2,N(对接源_01水果!$B974)&gt;$N$3),0,1))</f>
        <v>0</v>
      </c>
      <c r="P974" s="3">
        <f>IF(AND($K974=1,AND(对接源_01水果!$X974="公司筐",N(对接源_01水果!$T974)&lt;&gt;0)),1,0)</f>
        <v>0</v>
      </c>
      <c r="Q974" s="3">
        <f t="shared" si="266"/>
        <v>0</v>
      </c>
      <c r="R974" s="3">
        <f>IF(AND($K974=1,AND(对接源_01水果!$X974="公司筐",N(对接源_01水果!$U974)&lt;&gt;0)),1,0)</f>
        <v>0</v>
      </c>
      <c r="S974" s="3">
        <f t="shared" si="267"/>
        <v>0</v>
      </c>
      <c r="T974" s="3">
        <f>IF(AND($K974=1,AND(对接源_01水果!$X974="公司筐",N(对接源_01水果!$V974)&lt;&gt;0)),1,0)</f>
        <v>0</v>
      </c>
      <c r="U974" s="3">
        <f t="shared" si="268"/>
        <v>19</v>
      </c>
      <c r="V974" s="3">
        <f>IF(AND($L974=1,AND(对接源_01水果!$X974="自备筐",N(对接源_01水果!$V974)&lt;&gt;0)),1,0)</f>
        <v>0</v>
      </c>
      <c r="W974" s="3">
        <f t="shared" si="269"/>
        <v>8</v>
      </c>
      <c r="X974" s="3">
        <f>IF(AND($L974=1,AND(对接源_01水果!$X974="自备筐",N(对接源_01水果!$T974)&lt;&gt;0)),1,0)</f>
        <v>0</v>
      </c>
      <c r="Y974" s="3">
        <f t="shared" si="270"/>
        <v>0</v>
      </c>
      <c r="Z974" s="3">
        <f>IF(AND($M974=1,对接源_01水果!$D974="原料入库"),1,0)</f>
        <v>0</v>
      </c>
      <c r="AA974" s="3">
        <f t="shared" si="271"/>
        <v>24</v>
      </c>
      <c r="AB974" s="3">
        <f>IF(AND($M974=1,LEFT(对接源_01水果!$D974,4)="原料出库"),1,0)</f>
        <v>0</v>
      </c>
      <c r="AC974" s="3">
        <f t="shared" si="272"/>
        <v>0</v>
      </c>
      <c r="AD974" s="3">
        <f>IF(AND($M974=1,LEFT(对接源_01水果!$D974,4)="成品出库"),1,0)</f>
        <v>0</v>
      </c>
      <c r="AE974" s="3">
        <f t="shared" si="273"/>
        <v>0</v>
      </c>
      <c r="AF974" s="3">
        <f>IF(AND($N974=1,AND(LEFT(对接源_01水果!$D974,4)="包装物料",N(对接源_01水果!$K974)&lt;&gt;0)),1,0)</f>
        <v>0</v>
      </c>
      <c r="AG974" s="3">
        <f t="shared" si="274"/>
        <v>0</v>
      </c>
      <c r="AH974" s="3">
        <f>IF(AND($N974=1,AND(对接源_01水果!$D974="周转筐－销售出库",N(对接源_01水果!$K974)&lt;&gt;0)),1,0)</f>
        <v>0</v>
      </c>
      <c r="AI974" s="3">
        <f t="shared" si="275"/>
        <v>0</v>
      </c>
      <c r="AJ974" s="7"/>
      <c r="AL974" s="3">
        <f>IF(OR($AL$1="",对接源_01水果!$Y974="",对接源_01水果!$Y974&lt;&gt;$AL$1,对接源_01水果!$B974="",N(对接源_01水果!$AJ974)&lt;=0),0,IF(OR(N(对接源_01水果!$B974)&lt;$AL$2,N(对接源_01水果!$B974)&gt;$AL$3),0,1))</f>
        <v>0</v>
      </c>
      <c r="AM974" s="3">
        <f t="shared" si="276"/>
        <v>1</v>
      </c>
      <c r="AN974" s="3" t="str">
        <f>IF(对接源_01水果!$AC974="","",对接源_01水果!$AC974)</f>
        <v/>
      </c>
      <c r="AO974" s="3">
        <f t="shared" si="277"/>
        <v>0</v>
      </c>
      <c r="AP974" s="3">
        <f t="shared" si="278"/>
        <v>8</v>
      </c>
      <c r="AR974">
        <f t="shared" si="279"/>
        <v>0</v>
      </c>
      <c r="AS974">
        <f t="shared" si="280"/>
        <v>0</v>
      </c>
    </row>
    <row r="975" ht="14.25" customHeight="1" spans="1:45">
      <c r="A975" s="3" t="str">
        <f>IF(对接源_01水果!$C975="","",对接源_01水果!$C975)</f>
        <v/>
      </c>
      <c r="B975" s="3">
        <f t="shared" si="264"/>
        <v>0</v>
      </c>
      <c r="C975" s="3">
        <f t="shared" si="265"/>
        <v>18</v>
      </c>
      <c r="K975" s="3">
        <f>IF(OR($K$1="",对接源_01水果!$C975="",对接源_01水果!$C975&lt;&gt;$K$1,对接源_01水果!$B975=""),0,IF(OR(N(对接源_01水果!$B975)&lt;$K$2,N(对接源_01水果!$B975)&gt;$K$3),0,1))</f>
        <v>0</v>
      </c>
      <c r="L975" s="3">
        <f>IF(OR($L$1="",对接源_01水果!$C975="",对接源_01水果!$C975&lt;&gt;$L$1,对接源_01水果!$B975=""),0,IF(OR(N(对接源_01水果!$B975)&lt;$L$2,N(对接源_01水果!$B975)&gt;$L$3),0,1))</f>
        <v>0</v>
      </c>
      <c r="M975" s="3">
        <f>IF(OR($M$1="",对接源_01水果!$C975="",对接源_01水果!$C975&lt;&gt;$M$1,对接源_01水果!$B975=""),0,IF(OR(N(对接源_01水果!$B975)&lt;$M$2,N(对接源_01水果!$B975)&gt;$M$3),0,1))</f>
        <v>0</v>
      </c>
      <c r="N975" s="3">
        <f>IF(OR($N$1="",对接源_01水果!$C975="",对接源_01水果!$C975&lt;&gt;$N$1,对接源_01水果!$B975=""),0,IF(OR(N(对接源_01水果!$B975)&lt;$N$2,N(对接源_01水果!$B975)&gt;$N$3),0,1))</f>
        <v>0</v>
      </c>
      <c r="P975" s="3">
        <f>IF(AND($K975=1,AND(对接源_01水果!$X975="公司筐",N(对接源_01水果!$T975)&lt;&gt;0)),1,0)</f>
        <v>0</v>
      </c>
      <c r="Q975" s="3">
        <f t="shared" si="266"/>
        <v>0</v>
      </c>
      <c r="R975" s="3">
        <f>IF(AND($K975=1,AND(对接源_01水果!$X975="公司筐",N(对接源_01水果!$U975)&lt;&gt;0)),1,0)</f>
        <v>0</v>
      </c>
      <c r="S975" s="3">
        <f t="shared" si="267"/>
        <v>0</v>
      </c>
      <c r="T975" s="3">
        <f>IF(AND($K975=1,AND(对接源_01水果!$X975="公司筐",N(对接源_01水果!$V975)&lt;&gt;0)),1,0)</f>
        <v>0</v>
      </c>
      <c r="U975" s="3">
        <f t="shared" si="268"/>
        <v>19</v>
      </c>
      <c r="V975" s="3">
        <f>IF(AND($L975=1,AND(对接源_01水果!$X975="自备筐",N(对接源_01水果!$V975)&lt;&gt;0)),1,0)</f>
        <v>0</v>
      </c>
      <c r="W975" s="3">
        <f t="shared" si="269"/>
        <v>8</v>
      </c>
      <c r="X975" s="3">
        <f>IF(AND($L975=1,AND(对接源_01水果!$X975="自备筐",N(对接源_01水果!$T975)&lt;&gt;0)),1,0)</f>
        <v>0</v>
      </c>
      <c r="Y975" s="3">
        <f t="shared" si="270"/>
        <v>0</v>
      </c>
      <c r="Z975" s="3">
        <f>IF(AND($M975=1,对接源_01水果!$D975="原料入库"),1,0)</f>
        <v>0</v>
      </c>
      <c r="AA975" s="3">
        <f t="shared" si="271"/>
        <v>24</v>
      </c>
      <c r="AB975" s="3">
        <f>IF(AND($M975=1,LEFT(对接源_01水果!$D975,4)="原料出库"),1,0)</f>
        <v>0</v>
      </c>
      <c r="AC975" s="3">
        <f t="shared" si="272"/>
        <v>0</v>
      </c>
      <c r="AD975" s="3">
        <f>IF(AND($M975=1,LEFT(对接源_01水果!$D975,4)="成品出库"),1,0)</f>
        <v>0</v>
      </c>
      <c r="AE975" s="3">
        <f t="shared" si="273"/>
        <v>0</v>
      </c>
      <c r="AF975" s="3">
        <f>IF(AND($N975=1,AND(LEFT(对接源_01水果!$D975,4)="包装物料",N(对接源_01水果!$K975)&lt;&gt;0)),1,0)</f>
        <v>0</v>
      </c>
      <c r="AG975" s="3">
        <f t="shared" si="274"/>
        <v>0</v>
      </c>
      <c r="AH975" s="3">
        <f>IF(AND($N975=1,AND(对接源_01水果!$D975="周转筐－销售出库",N(对接源_01水果!$K975)&lt;&gt;0)),1,0)</f>
        <v>0</v>
      </c>
      <c r="AI975" s="3">
        <f t="shared" si="275"/>
        <v>0</v>
      </c>
      <c r="AJ975" s="7"/>
      <c r="AL975" s="3">
        <f>IF(OR($AL$1="",对接源_01水果!$Y975="",对接源_01水果!$Y975&lt;&gt;$AL$1,对接源_01水果!$B975="",N(对接源_01水果!$AJ975)&lt;=0),0,IF(OR(N(对接源_01水果!$B975)&lt;$AL$2,N(对接源_01水果!$B975)&gt;$AL$3),0,1))</f>
        <v>0</v>
      </c>
      <c r="AM975" s="3">
        <f t="shared" si="276"/>
        <v>1</v>
      </c>
      <c r="AN975" s="3" t="str">
        <f>IF(对接源_01水果!$AC975="","",对接源_01水果!$AC975)</f>
        <v/>
      </c>
      <c r="AO975" s="3">
        <f t="shared" si="277"/>
        <v>0</v>
      </c>
      <c r="AP975" s="3">
        <f t="shared" si="278"/>
        <v>8</v>
      </c>
      <c r="AR975">
        <f t="shared" si="279"/>
        <v>0</v>
      </c>
      <c r="AS975">
        <f t="shared" si="280"/>
        <v>0</v>
      </c>
    </row>
    <row r="976" ht="14.25" customHeight="1" spans="1:45">
      <c r="A976" s="3" t="str">
        <f>IF(对接源_01水果!$C976="","",对接源_01水果!$C976)</f>
        <v/>
      </c>
      <c r="B976" s="3">
        <f t="shared" si="264"/>
        <v>0</v>
      </c>
      <c r="C976" s="3">
        <f t="shared" si="265"/>
        <v>18</v>
      </c>
      <c r="K976" s="3">
        <f>IF(OR($K$1="",对接源_01水果!$C976="",对接源_01水果!$C976&lt;&gt;$K$1,对接源_01水果!$B976=""),0,IF(OR(N(对接源_01水果!$B976)&lt;$K$2,N(对接源_01水果!$B976)&gt;$K$3),0,1))</f>
        <v>0</v>
      </c>
      <c r="L976" s="3">
        <f>IF(OR($L$1="",对接源_01水果!$C976="",对接源_01水果!$C976&lt;&gt;$L$1,对接源_01水果!$B976=""),0,IF(OR(N(对接源_01水果!$B976)&lt;$L$2,N(对接源_01水果!$B976)&gt;$L$3),0,1))</f>
        <v>0</v>
      </c>
      <c r="M976" s="3">
        <f>IF(OR($M$1="",对接源_01水果!$C976="",对接源_01水果!$C976&lt;&gt;$M$1,对接源_01水果!$B976=""),0,IF(OR(N(对接源_01水果!$B976)&lt;$M$2,N(对接源_01水果!$B976)&gt;$M$3),0,1))</f>
        <v>0</v>
      </c>
      <c r="N976" s="3">
        <f>IF(OR($N$1="",对接源_01水果!$C976="",对接源_01水果!$C976&lt;&gt;$N$1,对接源_01水果!$B976=""),0,IF(OR(N(对接源_01水果!$B976)&lt;$N$2,N(对接源_01水果!$B976)&gt;$N$3),0,1))</f>
        <v>0</v>
      </c>
      <c r="P976" s="3">
        <f>IF(AND($K976=1,AND(对接源_01水果!$X976="公司筐",N(对接源_01水果!$T976)&lt;&gt;0)),1,0)</f>
        <v>0</v>
      </c>
      <c r="Q976" s="3">
        <f t="shared" si="266"/>
        <v>0</v>
      </c>
      <c r="R976" s="3">
        <f>IF(AND($K976=1,AND(对接源_01水果!$X976="公司筐",N(对接源_01水果!$U976)&lt;&gt;0)),1,0)</f>
        <v>0</v>
      </c>
      <c r="S976" s="3">
        <f t="shared" si="267"/>
        <v>0</v>
      </c>
      <c r="T976" s="3">
        <f>IF(AND($K976=1,AND(对接源_01水果!$X976="公司筐",N(对接源_01水果!$V976)&lt;&gt;0)),1,0)</f>
        <v>0</v>
      </c>
      <c r="U976" s="3">
        <f t="shared" si="268"/>
        <v>19</v>
      </c>
      <c r="V976" s="3">
        <f>IF(AND($L976=1,AND(对接源_01水果!$X976="自备筐",N(对接源_01水果!$V976)&lt;&gt;0)),1,0)</f>
        <v>0</v>
      </c>
      <c r="W976" s="3">
        <f t="shared" si="269"/>
        <v>8</v>
      </c>
      <c r="X976" s="3">
        <f>IF(AND($L976=1,AND(对接源_01水果!$X976="自备筐",N(对接源_01水果!$T976)&lt;&gt;0)),1,0)</f>
        <v>0</v>
      </c>
      <c r="Y976" s="3">
        <f t="shared" si="270"/>
        <v>0</v>
      </c>
      <c r="Z976" s="3">
        <f>IF(AND($M976=1,对接源_01水果!$D976="原料入库"),1,0)</f>
        <v>0</v>
      </c>
      <c r="AA976" s="3">
        <f t="shared" si="271"/>
        <v>24</v>
      </c>
      <c r="AB976" s="3">
        <f>IF(AND($M976=1,LEFT(对接源_01水果!$D976,4)="原料出库"),1,0)</f>
        <v>0</v>
      </c>
      <c r="AC976" s="3">
        <f t="shared" si="272"/>
        <v>0</v>
      </c>
      <c r="AD976" s="3">
        <f>IF(AND($M976=1,LEFT(对接源_01水果!$D976,4)="成品出库"),1,0)</f>
        <v>0</v>
      </c>
      <c r="AE976" s="3">
        <f t="shared" si="273"/>
        <v>0</v>
      </c>
      <c r="AF976" s="3">
        <f>IF(AND($N976=1,AND(LEFT(对接源_01水果!$D976,4)="包装物料",N(对接源_01水果!$K976)&lt;&gt;0)),1,0)</f>
        <v>0</v>
      </c>
      <c r="AG976" s="3">
        <f t="shared" si="274"/>
        <v>0</v>
      </c>
      <c r="AH976" s="3">
        <f>IF(AND($N976=1,AND(对接源_01水果!$D976="周转筐－销售出库",N(对接源_01水果!$K976)&lt;&gt;0)),1,0)</f>
        <v>0</v>
      </c>
      <c r="AI976" s="3">
        <f t="shared" si="275"/>
        <v>0</v>
      </c>
      <c r="AJ976" s="7"/>
      <c r="AL976" s="3">
        <f>IF(OR($AL$1="",对接源_01水果!$Y976="",对接源_01水果!$Y976&lt;&gt;$AL$1,对接源_01水果!$B976="",N(对接源_01水果!$AJ976)&lt;=0),0,IF(OR(N(对接源_01水果!$B976)&lt;$AL$2,N(对接源_01水果!$B976)&gt;$AL$3),0,1))</f>
        <v>0</v>
      </c>
      <c r="AM976" s="3">
        <f t="shared" si="276"/>
        <v>1</v>
      </c>
      <c r="AN976" s="3" t="str">
        <f>IF(对接源_01水果!$AC976="","",对接源_01水果!$AC976)</f>
        <v/>
      </c>
      <c r="AO976" s="3">
        <f t="shared" si="277"/>
        <v>0</v>
      </c>
      <c r="AP976" s="3">
        <f t="shared" si="278"/>
        <v>8</v>
      </c>
      <c r="AR976">
        <f t="shared" si="279"/>
        <v>0</v>
      </c>
      <c r="AS976">
        <f t="shared" si="280"/>
        <v>0</v>
      </c>
    </row>
    <row r="977" ht="14.25" customHeight="1" spans="1:45">
      <c r="A977" s="3" t="str">
        <f>IF(对接源_01水果!$C977="","",对接源_01水果!$C977)</f>
        <v/>
      </c>
      <c r="B977" s="3">
        <f t="shared" si="264"/>
        <v>0</v>
      </c>
      <c r="C977" s="3">
        <f t="shared" si="265"/>
        <v>18</v>
      </c>
      <c r="K977" s="3">
        <f>IF(OR($K$1="",对接源_01水果!$C977="",对接源_01水果!$C977&lt;&gt;$K$1,对接源_01水果!$B977=""),0,IF(OR(N(对接源_01水果!$B977)&lt;$K$2,N(对接源_01水果!$B977)&gt;$K$3),0,1))</f>
        <v>0</v>
      </c>
      <c r="L977" s="3">
        <f>IF(OR($L$1="",对接源_01水果!$C977="",对接源_01水果!$C977&lt;&gt;$L$1,对接源_01水果!$B977=""),0,IF(OR(N(对接源_01水果!$B977)&lt;$L$2,N(对接源_01水果!$B977)&gt;$L$3),0,1))</f>
        <v>0</v>
      </c>
      <c r="M977" s="3">
        <f>IF(OR($M$1="",对接源_01水果!$C977="",对接源_01水果!$C977&lt;&gt;$M$1,对接源_01水果!$B977=""),0,IF(OR(N(对接源_01水果!$B977)&lt;$M$2,N(对接源_01水果!$B977)&gt;$M$3),0,1))</f>
        <v>0</v>
      </c>
      <c r="N977" s="3">
        <f>IF(OR($N$1="",对接源_01水果!$C977="",对接源_01水果!$C977&lt;&gt;$N$1,对接源_01水果!$B977=""),0,IF(OR(N(对接源_01水果!$B977)&lt;$N$2,N(对接源_01水果!$B977)&gt;$N$3),0,1))</f>
        <v>0</v>
      </c>
      <c r="P977" s="3">
        <f>IF(AND($K977=1,AND(对接源_01水果!$X977="公司筐",N(对接源_01水果!$T977)&lt;&gt;0)),1,0)</f>
        <v>0</v>
      </c>
      <c r="Q977" s="3">
        <f t="shared" si="266"/>
        <v>0</v>
      </c>
      <c r="R977" s="3">
        <f>IF(AND($K977=1,AND(对接源_01水果!$X977="公司筐",N(对接源_01水果!$U977)&lt;&gt;0)),1,0)</f>
        <v>0</v>
      </c>
      <c r="S977" s="3">
        <f t="shared" si="267"/>
        <v>0</v>
      </c>
      <c r="T977" s="3">
        <f>IF(AND($K977=1,AND(对接源_01水果!$X977="公司筐",N(对接源_01水果!$V977)&lt;&gt;0)),1,0)</f>
        <v>0</v>
      </c>
      <c r="U977" s="3">
        <f t="shared" si="268"/>
        <v>19</v>
      </c>
      <c r="V977" s="3">
        <f>IF(AND($L977=1,AND(对接源_01水果!$X977="自备筐",N(对接源_01水果!$V977)&lt;&gt;0)),1,0)</f>
        <v>0</v>
      </c>
      <c r="W977" s="3">
        <f t="shared" si="269"/>
        <v>8</v>
      </c>
      <c r="X977" s="3">
        <f>IF(AND($L977=1,AND(对接源_01水果!$X977="自备筐",N(对接源_01水果!$T977)&lt;&gt;0)),1,0)</f>
        <v>0</v>
      </c>
      <c r="Y977" s="3">
        <f t="shared" si="270"/>
        <v>0</v>
      </c>
      <c r="Z977" s="3">
        <f>IF(AND($M977=1,对接源_01水果!$D977="原料入库"),1,0)</f>
        <v>0</v>
      </c>
      <c r="AA977" s="3">
        <f t="shared" si="271"/>
        <v>24</v>
      </c>
      <c r="AB977" s="3">
        <f>IF(AND($M977=1,LEFT(对接源_01水果!$D977,4)="原料出库"),1,0)</f>
        <v>0</v>
      </c>
      <c r="AC977" s="3">
        <f t="shared" si="272"/>
        <v>0</v>
      </c>
      <c r="AD977" s="3">
        <f>IF(AND($M977=1,LEFT(对接源_01水果!$D977,4)="成品出库"),1,0)</f>
        <v>0</v>
      </c>
      <c r="AE977" s="3">
        <f t="shared" si="273"/>
        <v>0</v>
      </c>
      <c r="AF977" s="3">
        <f>IF(AND($N977=1,AND(LEFT(对接源_01水果!$D977,4)="包装物料",N(对接源_01水果!$K977)&lt;&gt;0)),1,0)</f>
        <v>0</v>
      </c>
      <c r="AG977" s="3">
        <f t="shared" si="274"/>
        <v>0</v>
      </c>
      <c r="AH977" s="3">
        <f>IF(AND($N977=1,AND(对接源_01水果!$D977="周转筐－销售出库",N(对接源_01水果!$K977)&lt;&gt;0)),1,0)</f>
        <v>0</v>
      </c>
      <c r="AI977" s="3">
        <f t="shared" si="275"/>
        <v>0</v>
      </c>
      <c r="AJ977" s="7"/>
      <c r="AL977" s="3">
        <f>IF(OR($AL$1="",对接源_01水果!$Y977="",对接源_01水果!$Y977&lt;&gt;$AL$1,对接源_01水果!$B977="",N(对接源_01水果!$AJ977)&lt;=0),0,IF(OR(N(对接源_01水果!$B977)&lt;$AL$2,N(对接源_01水果!$B977)&gt;$AL$3),0,1))</f>
        <v>0</v>
      </c>
      <c r="AM977" s="3">
        <f t="shared" si="276"/>
        <v>1</v>
      </c>
      <c r="AN977" s="3" t="str">
        <f>IF(对接源_01水果!$AC977="","",对接源_01水果!$AC977)</f>
        <v/>
      </c>
      <c r="AO977" s="3">
        <f t="shared" si="277"/>
        <v>0</v>
      </c>
      <c r="AP977" s="3">
        <f t="shared" si="278"/>
        <v>8</v>
      </c>
      <c r="AR977">
        <f t="shared" si="279"/>
        <v>0</v>
      </c>
      <c r="AS977">
        <f t="shared" si="280"/>
        <v>0</v>
      </c>
    </row>
    <row r="978" ht="14.25" customHeight="1" spans="1:45">
      <c r="A978" s="3" t="str">
        <f>IF(对接源_01水果!$C978="","",对接源_01水果!$C978)</f>
        <v/>
      </c>
      <c r="B978" s="3">
        <f t="shared" si="264"/>
        <v>0</v>
      </c>
      <c r="C978" s="3">
        <f t="shared" si="265"/>
        <v>18</v>
      </c>
      <c r="K978" s="3">
        <f>IF(OR($K$1="",对接源_01水果!$C978="",对接源_01水果!$C978&lt;&gt;$K$1,对接源_01水果!$B978=""),0,IF(OR(N(对接源_01水果!$B978)&lt;$K$2,N(对接源_01水果!$B978)&gt;$K$3),0,1))</f>
        <v>0</v>
      </c>
      <c r="L978" s="3">
        <f>IF(OR($L$1="",对接源_01水果!$C978="",对接源_01水果!$C978&lt;&gt;$L$1,对接源_01水果!$B978=""),0,IF(OR(N(对接源_01水果!$B978)&lt;$L$2,N(对接源_01水果!$B978)&gt;$L$3),0,1))</f>
        <v>0</v>
      </c>
      <c r="M978" s="3">
        <f>IF(OR($M$1="",对接源_01水果!$C978="",对接源_01水果!$C978&lt;&gt;$M$1,对接源_01水果!$B978=""),0,IF(OR(N(对接源_01水果!$B978)&lt;$M$2,N(对接源_01水果!$B978)&gt;$M$3),0,1))</f>
        <v>0</v>
      </c>
      <c r="N978" s="3">
        <f>IF(OR($N$1="",对接源_01水果!$C978="",对接源_01水果!$C978&lt;&gt;$N$1,对接源_01水果!$B978=""),0,IF(OR(N(对接源_01水果!$B978)&lt;$N$2,N(对接源_01水果!$B978)&gt;$N$3),0,1))</f>
        <v>0</v>
      </c>
      <c r="P978" s="3">
        <f>IF(AND($K978=1,AND(对接源_01水果!$X978="公司筐",N(对接源_01水果!$T978)&lt;&gt;0)),1,0)</f>
        <v>0</v>
      </c>
      <c r="Q978" s="3">
        <f t="shared" si="266"/>
        <v>0</v>
      </c>
      <c r="R978" s="3">
        <f>IF(AND($K978=1,AND(对接源_01水果!$X978="公司筐",N(对接源_01水果!$U978)&lt;&gt;0)),1,0)</f>
        <v>0</v>
      </c>
      <c r="S978" s="3">
        <f t="shared" si="267"/>
        <v>0</v>
      </c>
      <c r="T978" s="3">
        <f>IF(AND($K978=1,AND(对接源_01水果!$X978="公司筐",N(对接源_01水果!$V978)&lt;&gt;0)),1,0)</f>
        <v>0</v>
      </c>
      <c r="U978" s="3">
        <f t="shared" si="268"/>
        <v>19</v>
      </c>
      <c r="V978" s="3">
        <f>IF(AND($L978=1,AND(对接源_01水果!$X978="自备筐",N(对接源_01水果!$V978)&lt;&gt;0)),1,0)</f>
        <v>0</v>
      </c>
      <c r="W978" s="3">
        <f t="shared" si="269"/>
        <v>8</v>
      </c>
      <c r="X978" s="3">
        <f>IF(AND($L978=1,AND(对接源_01水果!$X978="自备筐",N(对接源_01水果!$T978)&lt;&gt;0)),1,0)</f>
        <v>0</v>
      </c>
      <c r="Y978" s="3">
        <f t="shared" si="270"/>
        <v>0</v>
      </c>
      <c r="Z978" s="3">
        <f>IF(AND($M978=1,对接源_01水果!$D978="原料入库"),1,0)</f>
        <v>0</v>
      </c>
      <c r="AA978" s="3">
        <f t="shared" si="271"/>
        <v>24</v>
      </c>
      <c r="AB978" s="3">
        <f>IF(AND($M978=1,LEFT(对接源_01水果!$D978,4)="原料出库"),1,0)</f>
        <v>0</v>
      </c>
      <c r="AC978" s="3">
        <f t="shared" si="272"/>
        <v>0</v>
      </c>
      <c r="AD978" s="3">
        <f>IF(AND($M978=1,LEFT(对接源_01水果!$D978,4)="成品出库"),1,0)</f>
        <v>0</v>
      </c>
      <c r="AE978" s="3">
        <f t="shared" si="273"/>
        <v>0</v>
      </c>
      <c r="AF978" s="3">
        <f>IF(AND($N978=1,AND(LEFT(对接源_01水果!$D978,4)="包装物料",N(对接源_01水果!$K978)&lt;&gt;0)),1,0)</f>
        <v>0</v>
      </c>
      <c r="AG978" s="3">
        <f t="shared" si="274"/>
        <v>0</v>
      </c>
      <c r="AH978" s="3">
        <f>IF(AND($N978=1,AND(对接源_01水果!$D978="周转筐－销售出库",N(对接源_01水果!$K978)&lt;&gt;0)),1,0)</f>
        <v>0</v>
      </c>
      <c r="AI978" s="3">
        <f t="shared" si="275"/>
        <v>0</v>
      </c>
      <c r="AJ978" s="7"/>
      <c r="AL978" s="3">
        <f>IF(OR($AL$1="",对接源_01水果!$Y978="",对接源_01水果!$Y978&lt;&gt;$AL$1,对接源_01水果!$B978="",N(对接源_01水果!$AJ978)&lt;=0),0,IF(OR(N(对接源_01水果!$B978)&lt;$AL$2,N(对接源_01水果!$B978)&gt;$AL$3),0,1))</f>
        <v>0</v>
      </c>
      <c r="AM978" s="3">
        <f t="shared" si="276"/>
        <v>1</v>
      </c>
      <c r="AN978" s="3" t="str">
        <f>IF(对接源_01水果!$AC978="","",对接源_01水果!$AC978)</f>
        <v/>
      </c>
      <c r="AO978" s="3">
        <f t="shared" si="277"/>
        <v>0</v>
      </c>
      <c r="AP978" s="3">
        <f t="shared" si="278"/>
        <v>8</v>
      </c>
      <c r="AR978">
        <f t="shared" si="279"/>
        <v>0</v>
      </c>
      <c r="AS978">
        <f t="shared" si="280"/>
        <v>0</v>
      </c>
    </row>
    <row r="979" ht="14.25" customHeight="1" spans="1:45">
      <c r="A979" s="3" t="str">
        <f>IF(对接源_01水果!$C979="","",对接源_01水果!$C979)</f>
        <v/>
      </c>
      <c r="B979" s="3">
        <f t="shared" si="264"/>
        <v>0</v>
      </c>
      <c r="C979" s="3">
        <f t="shared" si="265"/>
        <v>18</v>
      </c>
      <c r="K979" s="3">
        <f>IF(OR($K$1="",对接源_01水果!$C979="",对接源_01水果!$C979&lt;&gt;$K$1,对接源_01水果!$B979=""),0,IF(OR(N(对接源_01水果!$B979)&lt;$K$2,N(对接源_01水果!$B979)&gt;$K$3),0,1))</f>
        <v>0</v>
      </c>
      <c r="L979" s="3">
        <f>IF(OR($L$1="",对接源_01水果!$C979="",对接源_01水果!$C979&lt;&gt;$L$1,对接源_01水果!$B979=""),0,IF(OR(N(对接源_01水果!$B979)&lt;$L$2,N(对接源_01水果!$B979)&gt;$L$3),0,1))</f>
        <v>0</v>
      </c>
      <c r="M979" s="3">
        <f>IF(OR($M$1="",对接源_01水果!$C979="",对接源_01水果!$C979&lt;&gt;$M$1,对接源_01水果!$B979=""),0,IF(OR(N(对接源_01水果!$B979)&lt;$M$2,N(对接源_01水果!$B979)&gt;$M$3),0,1))</f>
        <v>0</v>
      </c>
      <c r="N979" s="3">
        <f>IF(OR($N$1="",对接源_01水果!$C979="",对接源_01水果!$C979&lt;&gt;$N$1,对接源_01水果!$B979=""),0,IF(OR(N(对接源_01水果!$B979)&lt;$N$2,N(对接源_01水果!$B979)&gt;$N$3),0,1))</f>
        <v>0</v>
      </c>
      <c r="P979" s="3">
        <f>IF(AND($K979=1,AND(对接源_01水果!$X979="公司筐",N(对接源_01水果!$T979)&lt;&gt;0)),1,0)</f>
        <v>0</v>
      </c>
      <c r="Q979" s="3">
        <f t="shared" si="266"/>
        <v>0</v>
      </c>
      <c r="R979" s="3">
        <f>IF(AND($K979=1,AND(对接源_01水果!$X979="公司筐",N(对接源_01水果!$U979)&lt;&gt;0)),1,0)</f>
        <v>0</v>
      </c>
      <c r="S979" s="3">
        <f t="shared" si="267"/>
        <v>0</v>
      </c>
      <c r="T979" s="3">
        <f>IF(AND($K979=1,AND(对接源_01水果!$X979="公司筐",N(对接源_01水果!$V979)&lt;&gt;0)),1,0)</f>
        <v>0</v>
      </c>
      <c r="U979" s="3">
        <f t="shared" si="268"/>
        <v>19</v>
      </c>
      <c r="V979" s="3">
        <f>IF(AND($L979=1,AND(对接源_01水果!$X979="自备筐",N(对接源_01水果!$V979)&lt;&gt;0)),1,0)</f>
        <v>0</v>
      </c>
      <c r="W979" s="3">
        <f t="shared" si="269"/>
        <v>8</v>
      </c>
      <c r="X979" s="3">
        <f>IF(AND($L979=1,AND(对接源_01水果!$X979="自备筐",N(对接源_01水果!$T979)&lt;&gt;0)),1,0)</f>
        <v>0</v>
      </c>
      <c r="Y979" s="3">
        <f t="shared" si="270"/>
        <v>0</v>
      </c>
      <c r="Z979" s="3">
        <f>IF(AND($M979=1,对接源_01水果!$D979="原料入库"),1,0)</f>
        <v>0</v>
      </c>
      <c r="AA979" s="3">
        <f t="shared" si="271"/>
        <v>24</v>
      </c>
      <c r="AB979" s="3">
        <f>IF(AND($M979=1,LEFT(对接源_01水果!$D979,4)="原料出库"),1,0)</f>
        <v>0</v>
      </c>
      <c r="AC979" s="3">
        <f t="shared" si="272"/>
        <v>0</v>
      </c>
      <c r="AD979" s="3">
        <f>IF(AND($M979=1,LEFT(对接源_01水果!$D979,4)="成品出库"),1,0)</f>
        <v>0</v>
      </c>
      <c r="AE979" s="3">
        <f t="shared" si="273"/>
        <v>0</v>
      </c>
      <c r="AF979" s="3">
        <f>IF(AND($N979=1,AND(LEFT(对接源_01水果!$D979,4)="包装物料",N(对接源_01水果!$K979)&lt;&gt;0)),1,0)</f>
        <v>0</v>
      </c>
      <c r="AG979" s="3">
        <f t="shared" si="274"/>
        <v>0</v>
      </c>
      <c r="AH979" s="3">
        <f>IF(AND($N979=1,AND(对接源_01水果!$D979="周转筐－销售出库",N(对接源_01水果!$K979)&lt;&gt;0)),1,0)</f>
        <v>0</v>
      </c>
      <c r="AI979" s="3">
        <f t="shared" si="275"/>
        <v>0</v>
      </c>
      <c r="AJ979" s="7"/>
      <c r="AL979" s="3">
        <f>IF(OR($AL$1="",对接源_01水果!$Y979="",对接源_01水果!$Y979&lt;&gt;$AL$1,对接源_01水果!$B979="",N(对接源_01水果!$AJ979)&lt;=0),0,IF(OR(N(对接源_01水果!$B979)&lt;$AL$2,N(对接源_01水果!$B979)&gt;$AL$3),0,1))</f>
        <v>0</v>
      </c>
      <c r="AM979" s="3">
        <f t="shared" si="276"/>
        <v>1</v>
      </c>
      <c r="AN979" s="3" t="str">
        <f>IF(对接源_01水果!$AC979="","",对接源_01水果!$AC979)</f>
        <v/>
      </c>
      <c r="AO979" s="3">
        <f t="shared" si="277"/>
        <v>0</v>
      </c>
      <c r="AP979" s="3">
        <f t="shared" si="278"/>
        <v>8</v>
      </c>
      <c r="AR979">
        <f t="shared" si="279"/>
        <v>0</v>
      </c>
      <c r="AS979">
        <f t="shared" si="280"/>
        <v>0</v>
      </c>
    </row>
    <row r="980" ht="14.25" customHeight="1" spans="1:45">
      <c r="A980" s="3" t="str">
        <f>IF(对接源_01水果!$C980="","",对接源_01水果!$C980)</f>
        <v/>
      </c>
      <c r="B980" s="3">
        <f t="shared" si="264"/>
        <v>0</v>
      </c>
      <c r="C980" s="3">
        <f t="shared" si="265"/>
        <v>18</v>
      </c>
      <c r="K980" s="3">
        <f>IF(OR($K$1="",对接源_01水果!$C980="",对接源_01水果!$C980&lt;&gt;$K$1,对接源_01水果!$B980=""),0,IF(OR(N(对接源_01水果!$B980)&lt;$K$2,N(对接源_01水果!$B980)&gt;$K$3),0,1))</f>
        <v>0</v>
      </c>
      <c r="L980" s="3">
        <f>IF(OR($L$1="",对接源_01水果!$C980="",对接源_01水果!$C980&lt;&gt;$L$1,对接源_01水果!$B980=""),0,IF(OR(N(对接源_01水果!$B980)&lt;$L$2,N(对接源_01水果!$B980)&gt;$L$3),0,1))</f>
        <v>0</v>
      </c>
      <c r="M980" s="3">
        <f>IF(OR($M$1="",对接源_01水果!$C980="",对接源_01水果!$C980&lt;&gt;$M$1,对接源_01水果!$B980=""),0,IF(OR(N(对接源_01水果!$B980)&lt;$M$2,N(对接源_01水果!$B980)&gt;$M$3),0,1))</f>
        <v>0</v>
      </c>
      <c r="N980" s="3">
        <f>IF(OR($N$1="",对接源_01水果!$C980="",对接源_01水果!$C980&lt;&gt;$N$1,对接源_01水果!$B980=""),0,IF(OR(N(对接源_01水果!$B980)&lt;$N$2,N(对接源_01水果!$B980)&gt;$N$3),0,1))</f>
        <v>0</v>
      </c>
      <c r="P980" s="3">
        <f>IF(AND($K980=1,AND(对接源_01水果!$X980="公司筐",N(对接源_01水果!$T980)&lt;&gt;0)),1,0)</f>
        <v>0</v>
      </c>
      <c r="Q980" s="3">
        <f t="shared" si="266"/>
        <v>0</v>
      </c>
      <c r="R980" s="3">
        <f>IF(AND($K980=1,AND(对接源_01水果!$X980="公司筐",N(对接源_01水果!$U980)&lt;&gt;0)),1,0)</f>
        <v>0</v>
      </c>
      <c r="S980" s="3">
        <f t="shared" si="267"/>
        <v>0</v>
      </c>
      <c r="T980" s="3">
        <f>IF(AND($K980=1,AND(对接源_01水果!$X980="公司筐",N(对接源_01水果!$V980)&lt;&gt;0)),1,0)</f>
        <v>0</v>
      </c>
      <c r="U980" s="3">
        <f t="shared" si="268"/>
        <v>19</v>
      </c>
      <c r="V980" s="3">
        <f>IF(AND($L980=1,AND(对接源_01水果!$X980="自备筐",N(对接源_01水果!$V980)&lt;&gt;0)),1,0)</f>
        <v>0</v>
      </c>
      <c r="W980" s="3">
        <f t="shared" si="269"/>
        <v>8</v>
      </c>
      <c r="X980" s="3">
        <f>IF(AND($L980=1,AND(对接源_01水果!$X980="自备筐",N(对接源_01水果!$T980)&lt;&gt;0)),1,0)</f>
        <v>0</v>
      </c>
      <c r="Y980" s="3">
        <f t="shared" si="270"/>
        <v>0</v>
      </c>
      <c r="Z980" s="3">
        <f>IF(AND($M980=1,对接源_01水果!$D980="原料入库"),1,0)</f>
        <v>0</v>
      </c>
      <c r="AA980" s="3">
        <f t="shared" si="271"/>
        <v>24</v>
      </c>
      <c r="AB980" s="3">
        <f>IF(AND($M980=1,LEFT(对接源_01水果!$D980,4)="原料出库"),1,0)</f>
        <v>0</v>
      </c>
      <c r="AC980" s="3">
        <f t="shared" si="272"/>
        <v>0</v>
      </c>
      <c r="AD980" s="3">
        <f>IF(AND($M980=1,LEFT(对接源_01水果!$D980,4)="成品出库"),1,0)</f>
        <v>0</v>
      </c>
      <c r="AE980" s="3">
        <f t="shared" si="273"/>
        <v>0</v>
      </c>
      <c r="AF980" s="3">
        <f>IF(AND($N980=1,AND(LEFT(对接源_01水果!$D980,4)="包装物料",N(对接源_01水果!$K980)&lt;&gt;0)),1,0)</f>
        <v>0</v>
      </c>
      <c r="AG980" s="3">
        <f t="shared" si="274"/>
        <v>0</v>
      </c>
      <c r="AH980" s="3">
        <f>IF(AND($N980=1,AND(对接源_01水果!$D980="周转筐－销售出库",N(对接源_01水果!$K980)&lt;&gt;0)),1,0)</f>
        <v>0</v>
      </c>
      <c r="AI980" s="3">
        <f t="shared" si="275"/>
        <v>0</v>
      </c>
      <c r="AJ980" s="7"/>
      <c r="AL980" s="3">
        <f>IF(OR($AL$1="",对接源_01水果!$Y980="",对接源_01水果!$Y980&lt;&gt;$AL$1,对接源_01水果!$B980="",N(对接源_01水果!$AJ980)&lt;=0),0,IF(OR(N(对接源_01水果!$B980)&lt;$AL$2,N(对接源_01水果!$B980)&gt;$AL$3),0,1))</f>
        <v>0</v>
      </c>
      <c r="AM980" s="3">
        <f t="shared" si="276"/>
        <v>1</v>
      </c>
      <c r="AN980" s="3" t="str">
        <f>IF(对接源_01水果!$AC980="","",对接源_01水果!$AC980)</f>
        <v/>
      </c>
      <c r="AO980" s="3">
        <f t="shared" si="277"/>
        <v>0</v>
      </c>
      <c r="AP980" s="3">
        <f t="shared" si="278"/>
        <v>8</v>
      </c>
      <c r="AR980">
        <f t="shared" si="279"/>
        <v>0</v>
      </c>
      <c r="AS980">
        <f t="shared" si="280"/>
        <v>0</v>
      </c>
    </row>
    <row r="981" ht="14.25" customHeight="1" spans="1:45">
      <c r="A981" s="3" t="str">
        <f>IF(对接源_01水果!$C981="","",对接源_01水果!$C981)</f>
        <v/>
      </c>
      <c r="B981" s="3">
        <f t="shared" si="264"/>
        <v>0</v>
      </c>
      <c r="C981" s="3">
        <f t="shared" si="265"/>
        <v>18</v>
      </c>
      <c r="K981" s="3">
        <f>IF(OR($K$1="",对接源_01水果!$C981="",对接源_01水果!$C981&lt;&gt;$K$1,对接源_01水果!$B981=""),0,IF(OR(N(对接源_01水果!$B981)&lt;$K$2,N(对接源_01水果!$B981)&gt;$K$3),0,1))</f>
        <v>0</v>
      </c>
      <c r="L981" s="3">
        <f>IF(OR($L$1="",对接源_01水果!$C981="",对接源_01水果!$C981&lt;&gt;$L$1,对接源_01水果!$B981=""),0,IF(OR(N(对接源_01水果!$B981)&lt;$L$2,N(对接源_01水果!$B981)&gt;$L$3),0,1))</f>
        <v>0</v>
      </c>
      <c r="M981" s="3">
        <f>IF(OR($M$1="",对接源_01水果!$C981="",对接源_01水果!$C981&lt;&gt;$M$1,对接源_01水果!$B981=""),0,IF(OR(N(对接源_01水果!$B981)&lt;$M$2,N(对接源_01水果!$B981)&gt;$M$3),0,1))</f>
        <v>0</v>
      </c>
      <c r="N981" s="3">
        <f>IF(OR($N$1="",对接源_01水果!$C981="",对接源_01水果!$C981&lt;&gt;$N$1,对接源_01水果!$B981=""),0,IF(OR(N(对接源_01水果!$B981)&lt;$N$2,N(对接源_01水果!$B981)&gt;$N$3),0,1))</f>
        <v>0</v>
      </c>
      <c r="P981" s="3">
        <f>IF(AND($K981=1,AND(对接源_01水果!$X981="公司筐",N(对接源_01水果!$T981)&lt;&gt;0)),1,0)</f>
        <v>0</v>
      </c>
      <c r="Q981" s="3">
        <f t="shared" si="266"/>
        <v>0</v>
      </c>
      <c r="R981" s="3">
        <f>IF(AND($K981=1,AND(对接源_01水果!$X981="公司筐",N(对接源_01水果!$U981)&lt;&gt;0)),1,0)</f>
        <v>0</v>
      </c>
      <c r="S981" s="3">
        <f t="shared" si="267"/>
        <v>0</v>
      </c>
      <c r="T981" s="3">
        <f>IF(AND($K981=1,AND(对接源_01水果!$X981="公司筐",N(对接源_01水果!$V981)&lt;&gt;0)),1,0)</f>
        <v>0</v>
      </c>
      <c r="U981" s="3">
        <f t="shared" si="268"/>
        <v>19</v>
      </c>
      <c r="V981" s="3">
        <f>IF(AND($L981=1,AND(对接源_01水果!$X981="自备筐",N(对接源_01水果!$V981)&lt;&gt;0)),1,0)</f>
        <v>0</v>
      </c>
      <c r="W981" s="3">
        <f t="shared" si="269"/>
        <v>8</v>
      </c>
      <c r="X981" s="3">
        <f>IF(AND($L981=1,AND(对接源_01水果!$X981="自备筐",N(对接源_01水果!$T981)&lt;&gt;0)),1,0)</f>
        <v>0</v>
      </c>
      <c r="Y981" s="3">
        <f t="shared" si="270"/>
        <v>0</v>
      </c>
      <c r="Z981" s="3">
        <f>IF(AND($M981=1,对接源_01水果!$D981="原料入库"),1,0)</f>
        <v>0</v>
      </c>
      <c r="AA981" s="3">
        <f t="shared" si="271"/>
        <v>24</v>
      </c>
      <c r="AB981" s="3">
        <f>IF(AND($M981=1,LEFT(对接源_01水果!$D981,4)="原料出库"),1,0)</f>
        <v>0</v>
      </c>
      <c r="AC981" s="3">
        <f t="shared" si="272"/>
        <v>0</v>
      </c>
      <c r="AD981" s="3">
        <f>IF(AND($M981=1,LEFT(对接源_01水果!$D981,4)="成品出库"),1,0)</f>
        <v>0</v>
      </c>
      <c r="AE981" s="3">
        <f t="shared" si="273"/>
        <v>0</v>
      </c>
      <c r="AF981" s="3">
        <f>IF(AND($N981=1,AND(LEFT(对接源_01水果!$D981,4)="包装物料",N(对接源_01水果!$K981)&lt;&gt;0)),1,0)</f>
        <v>0</v>
      </c>
      <c r="AG981" s="3">
        <f t="shared" si="274"/>
        <v>0</v>
      </c>
      <c r="AH981" s="3">
        <f>IF(AND($N981=1,AND(对接源_01水果!$D981="周转筐－销售出库",N(对接源_01水果!$K981)&lt;&gt;0)),1,0)</f>
        <v>0</v>
      </c>
      <c r="AI981" s="3">
        <f t="shared" si="275"/>
        <v>0</v>
      </c>
      <c r="AJ981" s="7"/>
      <c r="AL981" s="3">
        <f>IF(OR($AL$1="",对接源_01水果!$Y981="",对接源_01水果!$Y981&lt;&gt;$AL$1,对接源_01水果!$B981="",N(对接源_01水果!$AJ981)&lt;=0),0,IF(OR(N(对接源_01水果!$B981)&lt;$AL$2,N(对接源_01水果!$B981)&gt;$AL$3),0,1))</f>
        <v>0</v>
      </c>
      <c r="AM981" s="3">
        <f t="shared" si="276"/>
        <v>1</v>
      </c>
      <c r="AN981" s="3" t="str">
        <f>IF(对接源_01水果!$AC981="","",对接源_01水果!$AC981)</f>
        <v/>
      </c>
      <c r="AO981" s="3">
        <f t="shared" si="277"/>
        <v>0</v>
      </c>
      <c r="AP981" s="3">
        <f t="shared" si="278"/>
        <v>8</v>
      </c>
      <c r="AR981">
        <f t="shared" si="279"/>
        <v>0</v>
      </c>
      <c r="AS981">
        <f t="shared" si="280"/>
        <v>0</v>
      </c>
    </row>
    <row r="982" ht="14.25" customHeight="1" spans="1:45">
      <c r="A982" s="3" t="str">
        <f>IF(对接源_01水果!$C982="","",对接源_01水果!$C982)</f>
        <v/>
      </c>
      <c r="B982" s="3">
        <f t="shared" si="264"/>
        <v>0</v>
      </c>
      <c r="C982" s="3">
        <f t="shared" si="265"/>
        <v>18</v>
      </c>
      <c r="K982" s="3">
        <f>IF(OR($K$1="",对接源_01水果!$C982="",对接源_01水果!$C982&lt;&gt;$K$1,对接源_01水果!$B982=""),0,IF(OR(N(对接源_01水果!$B982)&lt;$K$2,N(对接源_01水果!$B982)&gt;$K$3),0,1))</f>
        <v>0</v>
      </c>
      <c r="L982" s="3">
        <f>IF(OR($L$1="",对接源_01水果!$C982="",对接源_01水果!$C982&lt;&gt;$L$1,对接源_01水果!$B982=""),0,IF(OR(N(对接源_01水果!$B982)&lt;$L$2,N(对接源_01水果!$B982)&gt;$L$3),0,1))</f>
        <v>0</v>
      </c>
      <c r="M982" s="3">
        <f>IF(OR($M$1="",对接源_01水果!$C982="",对接源_01水果!$C982&lt;&gt;$M$1,对接源_01水果!$B982=""),0,IF(OR(N(对接源_01水果!$B982)&lt;$M$2,N(对接源_01水果!$B982)&gt;$M$3),0,1))</f>
        <v>0</v>
      </c>
      <c r="N982" s="3">
        <f>IF(OR($N$1="",对接源_01水果!$C982="",对接源_01水果!$C982&lt;&gt;$N$1,对接源_01水果!$B982=""),0,IF(OR(N(对接源_01水果!$B982)&lt;$N$2,N(对接源_01水果!$B982)&gt;$N$3),0,1))</f>
        <v>0</v>
      </c>
      <c r="P982" s="3">
        <f>IF(AND($K982=1,AND(对接源_01水果!$X982="公司筐",N(对接源_01水果!$T982)&lt;&gt;0)),1,0)</f>
        <v>0</v>
      </c>
      <c r="Q982" s="3">
        <f t="shared" si="266"/>
        <v>0</v>
      </c>
      <c r="R982" s="3">
        <f>IF(AND($K982=1,AND(对接源_01水果!$X982="公司筐",N(对接源_01水果!$U982)&lt;&gt;0)),1,0)</f>
        <v>0</v>
      </c>
      <c r="S982" s="3">
        <f t="shared" si="267"/>
        <v>0</v>
      </c>
      <c r="T982" s="3">
        <f>IF(AND($K982=1,AND(对接源_01水果!$X982="公司筐",N(对接源_01水果!$V982)&lt;&gt;0)),1,0)</f>
        <v>0</v>
      </c>
      <c r="U982" s="3">
        <f t="shared" si="268"/>
        <v>19</v>
      </c>
      <c r="V982" s="3">
        <f>IF(AND($L982=1,AND(对接源_01水果!$X982="自备筐",N(对接源_01水果!$V982)&lt;&gt;0)),1,0)</f>
        <v>0</v>
      </c>
      <c r="W982" s="3">
        <f t="shared" si="269"/>
        <v>8</v>
      </c>
      <c r="X982" s="3">
        <f>IF(AND($L982=1,AND(对接源_01水果!$X982="自备筐",N(对接源_01水果!$T982)&lt;&gt;0)),1,0)</f>
        <v>0</v>
      </c>
      <c r="Y982" s="3">
        <f t="shared" si="270"/>
        <v>0</v>
      </c>
      <c r="Z982" s="3">
        <f>IF(AND($M982=1,对接源_01水果!$D982="原料入库"),1,0)</f>
        <v>0</v>
      </c>
      <c r="AA982" s="3">
        <f t="shared" si="271"/>
        <v>24</v>
      </c>
      <c r="AB982" s="3">
        <f>IF(AND($M982=1,LEFT(对接源_01水果!$D982,4)="原料出库"),1,0)</f>
        <v>0</v>
      </c>
      <c r="AC982" s="3">
        <f t="shared" si="272"/>
        <v>0</v>
      </c>
      <c r="AD982" s="3">
        <f>IF(AND($M982=1,LEFT(对接源_01水果!$D982,4)="成品出库"),1,0)</f>
        <v>0</v>
      </c>
      <c r="AE982" s="3">
        <f t="shared" si="273"/>
        <v>0</v>
      </c>
      <c r="AF982" s="3">
        <f>IF(AND($N982=1,AND(LEFT(对接源_01水果!$D982,4)="包装物料",N(对接源_01水果!$K982)&lt;&gt;0)),1,0)</f>
        <v>0</v>
      </c>
      <c r="AG982" s="3">
        <f t="shared" si="274"/>
        <v>0</v>
      </c>
      <c r="AH982" s="3">
        <f>IF(AND($N982=1,AND(对接源_01水果!$D982="周转筐－销售出库",N(对接源_01水果!$K982)&lt;&gt;0)),1,0)</f>
        <v>0</v>
      </c>
      <c r="AI982" s="3">
        <f t="shared" si="275"/>
        <v>0</v>
      </c>
      <c r="AJ982" s="7"/>
      <c r="AL982" s="3">
        <f>IF(OR($AL$1="",对接源_01水果!$Y982="",对接源_01水果!$Y982&lt;&gt;$AL$1,对接源_01水果!$B982="",N(对接源_01水果!$AJ982)&lt;=0),0,IF(OR(N(对接源_01水果!$B982)&lt;$AL$2,N(对接源_01水果!$B982)&gt;$AL$3),0,1))</f>
        <v>0</v>
      </c>
      <c r="AM982" s="3">
        <f t="shared" si="276"/>
        <v>1</v>
      </c>
      <c r="AN982" s="3" t="str">
        <f>IF(对接源_01水果!$AC982="","",对接源_01水果!$AC982)</f>
        <v/>
      </c>
      <c r="AO982" s="3">
        <f t="shared" si="277"/>
        <v>0</v>
      </c>
      <c r="AP982" s="3">
        <f t="shared" si="278"/>
        <v>8</v>
      </c>
      <c r="AR982">
        <f t="shared" si="279"/>
        <v>0</v>
      </c>
      <c r="AS982">
        <f t="shared" si="280"/>
        <v>0</v>
      </c>
    </row>
    <row r="983" ht="14.25" customHeight="1" spans="1:45">
      <c r="A983" s="3" t="str">
        <f>IF(对接源_01水果!$C983="","",对接源_01水果!$C983)</f>
        <v/>
      </c>
      <c r="B983" s="3">
        <f t="shared" si="264"/>
        <v>0</v>
      </c>
      <c r="C983" s="3">
        <f t="shared" si="265"/>
        <v>18</v>
      </c>
      <c r="K983" s="3">
        <f>IF(OR($K$1="",对接源_01水果!$C983="",对接源_01水果!$C983&lt;&gt;$K$1,对接源_01水果!$B983=""),0,IF(OR(N(对接源_01水果!$B983)&lt;$K$2,N(对接源_01水果!$B983)&gt;$K$3),0,1))</f>
        <v>0</v>
      </c>
      <c r="L983" s="3">
        <f>IF(OR($L$1="",对接源_01水果!$C983="",对接源_01水果!$C983&lt;&gt;$L$1,对接源_01水果!$B983=""),0,IF(OR(N(对接源_01水果!$B983)&lt;$L$2,N(对接源_01水果!$B983)&gt;$L$3),0,1))</f>
        <v>0</v>
      </c>
      <c r="M983" s="3">
        <f>IF(OR($M$1="",对接源_01水果!$C983="",对接源_01水果!$C983&lt;&gt;$M$1,对接源_01水果!$B983=""),0,IF(OR(N(对接源_01水果!$B983)&lt;$M$2,N(对接源_01水果!$B983)&gt;$M$3),0,1))</f>
        <v>0</v>
      </c>
      <c r="N983" s="3">
        <f>IF(OR($N$1="",对接源_01水果!$C983="",对接源_01水果!$C983&lt;&gt;$N$1,对接源_01水果!$B983=""),0,IF(OR(N(对接源_01水果!$B983)&lt;$N$2,N(对接源_01水果!$B983)&gt;$N$3),0,1))</f>
        <v>0</v>
      </c>
      <c r="P983" s="3">
        <f>IF(AND($K983=1,AND(对接源_01水果!$X983="公司筐",N(对接源_01水果!$T983)&lt;&gt;0)),1,0)</f>
        <v>0</v>
      </c>
      <c r="Q983" s="3">
        <f t="shared" si="266"/>
        <v>0</v>
      </c>
      <c r="R983" s="3">
        <f>IF(AND($K983=1,AND(对接源_01水果!$X983="公司筐",N(对接源_01水果!$U983)&lt;&gt;0)),1,0)</f>
        <v>0</v>
      </c>
      <c r="S983" s="3">
        <f t="shared" si="267"/>
        <v>0</v>
      </c>
      <c r="T983" s="3">
        <f>IF(AND($K983=1,AND(对接源_01水果!$X983="公司筐",N(对接源_01水果!$V983)&lt;&gt;0)),1,0)</f>
        <v>0</v>
      </c>
      <c r="U983" s="3">
        <f t="shared" si="268"/>
        <v>19</v>
      </c>
      <c r="V983" s="3">
        <f>IF(AND($L983=1,AND(对接源_01水果!$X983="自备筐",N(对接源_01水果!$V983)&lt;&gt;0)),1,0)</f>
        <v>0</v>
      </c>
      <c r="W983" s="3">
        <f t="shared" si="269"/>
        <v>8</v>
      </c>
      <c r="X983" s="3">
        <f>IF(AND($L983=1,AND(对接源_01水果!$X983="自备筐",N(对接源_01水果!$T983)&lt;&gt;0)),1,0)</f>
        <v>0</v>
      </c>
      <c r="Y983" s="3">
        <f t="shared" si="270"/>
        <v>0</v>
      </c>
      <c r="Z983" s="3">
        <f>IF(AND($M983=1,对接源_01水果!$D983="原料入库"),1,0)</f>
        <v>0</v>
      </c>
      <c r="AA983" s="3">
        <f t="shared" si="271"/>
        <v>24</v>
      </c>
      <c r="AB983" s="3">
        <f>IF(AND($M983=1,LEFT(对接源_01水果!$D983,4)="原料出库"),1,0)</f>
        <v>0</v>
      </c>
      <c r="AC983" s="3">
        <f t="shared" si="272"/>
        <v>0</v>
      </c>
      <c r="AD983" s="3">
        <f>IF(AND($M983=1,LEFT(对接源_01水果!$D983,4)="成品出库"),1,0)</f>
        <v>0</v>
      </c>
      <c r="AE983" s="3">
        <f t="shared" si="273"/>
        <v>0</v>
      </c>
      <c r="AF983" s="3">
        <f>IF(AND($N983=1,AND(LEFT(对接源_01水果!$D983,4)="包装物料",N(对接源_01水果!$K983)&lt;&gt;0)),1,0)</f>
        <v>0</v>
      </c>
      <c r="AG983" s="3">
        <f t="shared" si="274"/>
        <v>0</v>
      </c>
      <c r="AH983" s="3">
        <f>IF(AND($N983=1,AND(对接源_01水果!$D983="周转筐－销售出库",N(对接源_01水果!$K983)&lt;&gt;0)),1,0)</f>
        <v>0</v>
      </c>
      <c r="AI983" s="3">
        <f t="shared" si="275"/>
        <v>0</v>
      </c>
      <c r="AJ983" s="7"/>
      <c r="AL983" s="3">
        <f>IF(OR($AL$1="",对接源_01水果!$Y983="",对接源_01水果!$Y983&lt;&gt;$AL$1,对接源_01水果!$B983="",N(对接源_01水果!$AJ983)&lt;=0),0,IF(OR(N(对接源_01水果!$B983)&lt;$AL$2,N(对接源_01水果!$B983)&gt;$AL$3),0,1))</f>
        <v>0</v>
      </c>
      <c r="AM983" s="3">
        <f t="shared" si="276"/>
        <v>1</v>
      </c>
      <c r="AN983" s="3" t="str">
        <f>IF(对接源_01水果!$AC983="","",对接源_01水果!$AC983)</f>
        <v/>
      </c>
      <c r="AO983" s="3">
        <f t="shared" si="277"/>
        <v>0</v>
      </c>
      <c r="AP983" s="3">
        <f t="shared" si="278"/>
        <v>8</v>
      </c>
      <c r="AR983">
        <f t="shared" si="279"/>
        <v>0</v>
      </c>
      <c r="AS983">
        <f t="shared" si="280"/>
        <v>0</v>
      </c>
    </row>
    <row r="984" ht="14.25" customHeight="1" spans="1:45">
      <c r="A984" s="3" t="str">
        <f>IF(对接源_01水果!$C984="","",对接源_01水果!$C984)</f>
        <v/>
      </c>
      <c r="B984" s="3">
        <f t="shared" si="264"/>
        <v>0</v>
      </c>
      <c r="C984" s="3">
        <f t="shared" si="265"/>
        <v>18</v>
      </c>
      <c r="K984" s="3">
        <f>IF(OR($K$1="",对接源_01水果!$C984="",对接源_01水果!$C984&lt;&gt;$K$1,对接源_01水果!$B984=""),0,IF(OR(N(对接源_01水果!$B984)&lt;$K$2,N(对接源_01水果!$B984)&gt;$K$3),0,1))</f>
        <v>0</v>
      </c>
      <c r="L984" s="3">
        <f>IF(OR($L$1="",对接源_01水果!$C984="",对接源_01水果!$C984&lt;&gt;$L$1,对接源_01水果!$B984=""),0,IF(OR(N(对接源_01水果!$B984)&lt;$L$2,N(对接源_01水果!$B984)&gt;$L$3),0,1))</f>
        <v>0</v>
      </c>
      <c r="M984" s="3">
        <f>IF(OR($M$1="",对接源_01水果!$C984="",对接源_01水果!$C984&lt;&gt;$M$1,对接源_01水果!$B984=""),0,IF(OR(N(对接源_01水果!$B984)&lt;$M$2,N(对接源_01水果!$B984)&gt;$M$3),0,1))</f>
        <v>0</v>
      </c>
      <c r="N984" s="3">
        <f>IF(OR($N$1="",对接源_01水果!$C984="",对接源_01水果!$C984&lt;&gt;$N$1,对接源_01水果!$B984=""),0,IF(OR(N(对接源_01水果!$B984)&lt;$N$2,N(对接源_01水果!$B984)&gt;$N$3),0,1))</f>
        <v>0</v>
      </c>
      <c r="P984" s="3">
        <f>IF(AND($K984=1,AND(对接源_01水果!$X984="公司筐",N(对接源_01水果!$T984)&lt;&gt;0)),1,0)</f>
        <v>0</v>
      </c>
      <c r="Q984" s="3">
        <f t="shared" si="266"/>
        <v>0</v>
      </c>
      <c r="R984" s="3">
        <f>IF(AND($K984=1,AND(对接源_01水果!$X984="公司筐",N(对接源_01水果!$U984)&lt;&gt;0)),1,0)</f>
        <v>0</v>
      </c>
      <c r="S984" s="3">
        <f t="shared" si="267"/>
        <v>0</v>
      </c>
      <c r="T984" s="3">
        <f>IF(AND($K984=1,AND(对接源_01水果!$X984="公司筐",N(对接源_01水果!$V984)&lt;&gt;0)),1,0)</f>
        <v>0</v>
      </c>
      <c r="U984" s="3">
        <f t="shared" si="268"/>
        <v>19</v>
      </c>
      <c r="V984" s="3">
        <f>IF(AND($L984=1,AND(对接源_01水果!$X984="自备筐",N(对接源_01水果!$V984)&lt;&gt;0)),1,0)</f>
        <v>0</v>
      </c>
      <c r="W984" s="3">
        <f t="shared" si="269"/>
        <v>8</v>
      </c>
      <c r="X984" s="3">
        <f>IF(AND($L984=1,AND(对接源_01水果!$X984="自备筐",N(对接源_01水果!$T984)&lt;&gt;0)),1,0)</f>
        <v>0</v>
      </c>
      <c r="Y984" s="3">
        <f t="shared" si="270"/>
        <v>0</v>
      </c>
      <c r="Z984" s="3">
        <f>IF(AND($M984=1,对接源_01水果!$D984="原料入库"),1,0)</f>
        <v>0</v>
      </c>
      <c r="AA984" s="3">
        <f t="shared" si="271"/>
        <v>24</v>
      </c>
      <c r="AB984" s="3">
        <f>IF(AND($M984=1,LEFT(对接源_01水果!$D984,4)="原料出库"),1,0)</f>
        <v>0</v>
      </c>
      <c r="AC984" s="3">
        <f t="shared" si="272"/>
        <v>0</v>
      </c>
      <c r="AD984" s="3">
        <f>IF(AND($M984=1,LEFT(对接源_01水果!$D984,4)="成品出库"),1,0)</f>
        <v>0</v>
      </c>
      <c r="AE984" s="3">
        <f t="shared" si="273"/>
        <v>0</v>
      </c>
      <c r="AF984" s="3">
        <f>IF(AND($N984=1,AND(LEFT(对接源_01水果!$D984,4)="包装物料",N(对接源_01水果!$K984)&lt;&gt;0)),1,0)</f>
        <v>0</v>
      </c>
      <c r="AG984" s="3">
        <f t="shared" si="274"/>
        <v>0</v>
      </c>
      <c r="AH984" s="3">
        <f>IF(AND($N984=1,AND(对接源_01水果!$D984="周转筐－销售出库",N(对接源_01水果!$K984)&lt;&gt;0)),1,0)</f>
        <v>0</v>
      </c>
      <c r="AI984" s="3">
        <f t="shared" si="275"/>
        <v>0</v>
      </c>
      <c r="AJ984" s="7"/>
      <c r="AL984" s="3">
        <f>IF(OR($AL$1="",对接源_01水果!$Y984="",对接源_01水果!$Y984&lt;&gt;$AL$1,对接源_01水果!$B984="",N(对接源_01水果!$AJ984)&lt;=0),0,IF(OR(N(对接源_01水果!$B984)&lt;$AL$2,N(对接源_01水果!$B984)&gt;$AL$3),0,1))</f>
        <v>0</v>
      </c>
      <c r="AM984" s="3">
        <f t="shared" si="276"/>
        <v>1</v>
      </c>
      <c r="AN984" s="3" t="str">
        <f>IF(对接源_01水果!$AC984="","",对接源_01水果!$AC984)</f>
        <v/>
      </c>
      <c r="AO984" s="3">
        <f t="shared" si="277"/>
        <v>0</v>
      </c>
      <c r="AP984" s="3">
        <f t="shared" si="278"/>
        <v>8</v>
      </c>
      <c r="AR984">
        <f t="shared" si="279"/>
        <v>0</v>
      </c>
      <c r="AS984">
        <f t="shared" si="280"/>
        <v>0</v>
      </c>
    </row>
    <row r="985" ht="14.25" customHeight="1" spans="1:45">
      <c r="A985" s="3" t="str">
        <f>IF(对接源_01水果!$C985="","",对接源_01水果!$C985)</f>
        <v/>
      </c>
      <c r="B985" s="3">
        <f t="shared" si="264"/>
        <v>0</v>
      </c>
      <c r="C985" s="3">
        <f t="shared" si="265"/>
        <v>18</v>
      </c>
      <c r="K985" s="3">
        <f>IF(OR($K$1="",对接源_01水果!$C985="",对接源_01水果!$C985&lt;&gt;$K$1,对接源_01水果!$B985=""),0,IF(OR(N(对接源_01水果!$B985)&lt;$K$2,N(对接源_01水果!$B985)&gt;$K$3),0,1))</f>
        <v>0</v>
      </c>
      <c r="L985" s="3">
        <f>IF(OR($L$1="",对接源_01水果!$C985="",对接源_01水果!$C985&lt;&gt;$L$1,对接源_01水果!$B985=""),0,IF(OR(N(对接源_01水果!$B985)&lt;$L$2,N(对接源_01水果!$B985)&gt;$L$3),0,1))</f>
        <v>0</v>
      </c>
      <c r="M985" s="3">
        <f>IF(OR($M$1="",对接源_01水果!$C985="",对接源_01水果!$C985&lt;&gt;$M$1,对接源_01水果!$B985=""),0,IF(OR(N(对接源_01水果!$B985)&lt;$M$2,N(对接源_01水果!$B985)&gt;$M$3),0,1))</f>
        <v>0</v>
      </c>
      <c r="N985" s="3">
        <f>IF(OR($N$1="",对接源_01水果!$C985="",对接源_01水果!$C985&lt;&gt;$N$1,对接源_01水果!$B985=""),0,IF(OR(N(对接源_01水果!$B985)&lt;$N$2,N(对接源_01水果!$B985)&gt;$N$3),0,1))</f>
        <v>0</v>
      </c>
      <c r="P985" s="3">
        <f>IF(AND($K985=1,AND(对接源_01水果!$X985="公司筐",N(对接源_01水果!$T985)&lt;&gt;0)),1,0)</f>
        <v>0</v>
      </c>
      <c r="Q985" s="3">
        <f t="shared" si="266"/>
        <v>0</v>
      </c>
      <c r="R985" s="3">
        <f>IF(AND($K985=1,AND(对接源_01水果!$X985="公司筐",N(对接源_01水果!$U985)&lt;&gt;0)),1,0)</f>
        <v>0</v>
      </c>
      <c r="S985" s="3">
        <f t="shared" si="267"/>
        <v>0</v>
      </c>
      <c r="T985" s="3">
        <f>IF(AND($K985=1,AND(对接源_01水果!$X985="公司筐",N(对接源_01水果!$V985)&lt;&gt;0)),1,0)</f>
        <v>0</v>
      </c>
      <c r="U985" s="3">
        <f t="shared" si="268"/>
        <v>19</v>
      </c>
      <c r="V985" s="3">
        <f>IF(AND($L985=1,AND(对接源_01水果!$X985="自备筐",N(对接源_01水果!$V985)&lt;&gt;0)),1,0)</f>
        <v>0</v>
      </c>
      <c r="W985" s="3">
        <f t="shared" si="269"/>
        <v>8</v>
      </c>
      <c r="X985" s="3">
        <f>IF(AND($L985=1,AND(对接源_01水果!$X985="自备筐",N(对接源_01水果!$T985)&lt;&gt;0)),1,0)</f>
        <v>0</v>
      </c>
      <c r="Y985" s="3">
        <f t="shared" si="270"/>
        <v>0</v>
      </c>
      <c r="Z985" s="3">
        <f>IF(AND($M985=1,对接源_01水果!$D985="原料入库"),1,0)</f>
        <v>0</v>
      </c>
      <c r="AA985" s="3">
        <f t="shared" si="271"/>
        <v>24</v>
      </c>
      <c r="AB985" s="3">
        <f>IF(AND($M985=1,LEFT(对接源_01水果!$D985,4)="原料出库"),1,0)</f>
        <v>0</v>
      </c>
      <c r="AC985" s="3">
        <f t="shared" si="272"/>
        <v>0</v>
      </c>
      <c r="AD985" s="3">
        <f>IF(AND($M985=1,LEFT(对接源_01水果!$D985,4)="成品出库"),1,0)</f>
        <v>0</v>
      </c>
      <c r="AE985" s="3">
        <f t="shared" si="273"/>
        <v>0</v>
      </c>
      <c r="AF985" s="3">
        <f>IF(AND($N985=1,AND(LEFT(对接源_01水果!$D985,4)="包装物料",N(对接源_01水果!$K985)&lt;&gt;0)),1,0)</f>
        <v>0</v>
      </c>
      <c r="AG985" s="3">
        <f t="shared" si="274"/>
        <v>0</v>
      </c>
      <c r="AH985" s="3">
        <f>IF(AND($N985=1,AND(对接源_01水果!$D985="周转筐－销售出库",N(对接源_01水果!$K985)&lt;&gt;0)),1,0)</f>
        <v>0</v>
      </c>
      <c r="AI985" s="3">
        <f t="shared" si="275"/>
        <v>0</v>
      </c>
      <c r="AJ985" s="7"/>
      <c r="AL985" s="3">
        <f>IF(OR($AL$1="",对接源_01水果!$Y985="",对接源_01水果!$Y985&lt;&gt;$AL$1,对接源_01水果!$B985="",N(对接源_01水果!$AJ985)&lt;=0),0,IF(OR(N(对接源_01水果!$B985)&lt;$AL$2,N(对接源_01水果!$B985)&gt;$AL$3),0,1))</f>
        <v>0</v>
      </c>
      <c r="AM985" s="3">
        <f t="shared" si="276"/>
        <v>1</v>
      </c>
      <c r="AN985" s="3" t="str">
        <f>IF(对接源_01水果!$AC985="","",对接源_01水果!$AC985)</f>
        <v/>
      </c>
      <c r="AO985" s="3">
        <f t="shared" si="277"/>
        <v>0</v>
      </c>
      <c r="AP985" s="3">
        <f t="shared" si="278"/>
        <v>8</v>
      </c>
      <c r="AR985">
        <f t="shared" si="279"/>
        <v>0</v>
      </c>
      <c r="AS985">
        <f t="shared" si="280"/>
        <v>0</v>
      </c>
    </row>
    <row r="986" ht="14.25" customHeight="1" spans="1:45">
      <c r="A986" s="3" t="str">
        <f>IF(对接源_01水果!$C986="","",对接源_01水果!$C986)</f>
        <v/>
      </c>
      <c r="B986" s="3">
        <f t="shared" si="264"/>
        <v>0</v>
      </c>
      <c r="C986" s="3">
        <f t="shared" si="265"/>
        <v>18</v>
      </c>
      <c r="K986" s="3">
        <f>IF(OR($K$1="",对接源_01水果!$C986="",对接源_01水果!$C986&lt;&gt;$K$1,对接源_01水果!$B986=""),0,IF(OR(N(对接源_01水果!$B986)&lt;$K$2,N(对接源_01水果!$B986)&gt;$K$3),0,1))</f>
        <v>0</v>
      </c>
      <c r="L986" s="3">
        <f>IF(OR($L$1="",对接源_01水果!$C986="",对接源_01水果!$C986&lt;&gt;$L$1,对接源_01水果!$B986=""),0,IF(OR(N(对接源_01水果!$B986)&lt;$L$2,N(对接源_01水果!$B986)&gt;$L$3),0,1))</f>
        <v>0</v>
      </c>
      <c r="M986" s="3">
        <f>IF(OR($M$1="",对接源_01水果!$C986="",对接源_01水果!$C986&lt;&gt;$M$1,对接源_01水果!$B986=""),0,IF(OR(N(对接源_01水果!$B986)&lt;$M$2,N(对接源_01水果!$B986)&gt;$M$3),0,1))</f>
        <v>0</v>
      </c>
      <c r="N986" s="3">
        <f>IF(OR($N$1="",对接源_01水果!$C986="",对接源_01水果!$C986&lt;&gt;$N$1,对接源_01水果!$B986=""),0,IF(OR(N(对接源_01水果!$B986)&lt;$N$2,N(对接源_01水果!$B986)&gt;$N$3),0,1))</f>
        <v>0</v>
      </c>
      <c r="P986" s="3">
        <f>IF(AND($K986=1,AND(对接源_01水果!$X986="公司筐",N(对接源_01水果!$T986)&lt;&gt;0)),1,0)</f>
        <v>0</v>
      </c>
      <c r="Q986" s="3">
        <f t="shared" si="266"/>
        <v>0</v>
      </c>
      <c r="R986" s="3">
        <f>IF(AND($K986=1,AND(对接源_01水果!$X986="公司筐",N(对接源_01水果!$U986)&lt;&gt;0)),1,0)</f>
        <v>0</v>
      </c>
      <c r="S986" s="3">
        <f t="shared" si="267"/>
        <v>0</v>
      </c>
      <c r="T986" s="3">
        <f>IF(AND($K986=1,AND(对接源_01水果!$X986="公司筐",N(对接源_01水果!$V986)&lt;&gt;0)),1,0)</f>
        <v>0</v>
      </c>
      <c r="U986" s="3">
        <f t="shared" si="268"/>
        <v>19</v>
      </c>
      <c r="V986" s="3">
        <f>IF(AND($L986=1,AND(对接源_01水果!$X986="自备筐",N(对接源_01水果!$V986)&lt;&gt;0)),1,0)</f>
        <v>0</v>
      </c>
      <c r="W986" s="3">
        <f t="shared" si="269"/>
        <v>8</v>
      </c>
      <c r="X986" s="3">
        <f>IF(AND($L986=1,AND(对接源_01水果!$X986="自备筐",N(对接源_01水果!$T986)&lt;&gt;0)),1,0)</f>
        <v>0</v>
      </c>
      <c r="Y986" s="3">
        <f t="shared" si="270"/>
        <v>0</v>
      </c>
      <c r="Z986" s="3">
        <f>IF(AND($M986=1,对接源_01水果!$D986="原料入库"),1,0)</f>
        <v>0</v>
      </c>
      <c r="AA986" s="3">
        <f t="shared" si="271"/>
        <v>24</v>
      </c>
      <c r="AB986" s="3">
        <f>IF(AND($M986=1,LEFT(对接源_01水果!$D986,4)="原料出库"),1,0)</f>
        <v>0</v>
      </c>
      <c r="AC986" s="3">
        <f t="shared" si="272"/>
        <v>0</v>
      </c>
      <c r="AD986" s="3">
        <f>IF(AND($M986=1,LEFT(对接源_01水果!$D986,4)="成品出库"),1,0)</f>
        <v>0</v>
      </c>
      <c r="AE986" s="3">
        <f t="shared" si="273"/>
        <v>0</v>
      </c>
      <c r="AF986" s="3">
        <f>IF(AND($N986=1,AND(LEFT(对接源_01水果!$D986,4)="包装物料",N(对接源_01水果!$K986)&lt;&gt;0)),1,0)</f>
        <v>0</v>
      </c>
      <c r="AG986" s="3">
        <f t="shared" si="274"/>
        <v>0</v>
      </c>
      <c r="AH986" s="3">
        <f>IF(AND($N986=1,AND(对接源_01水果!$D986="周转筐－销售出库",N(对接源_01水果!$K986)&lt;&gt;0)),1,0)</f>
        <v>0</v>
      </c>
      <c r="AI986" s="3">
        <f t="shared" si="275"/>
        <v>0</v>
      </c>
      <c r="AJ986" s="7"/>
      <c r="AL986" s="3">
        <f>IF(OR($AL$1="",对接源_01水果!$Y986="",对接源_01水果!$Y986&lt;&gt;$AL$1,对接源_01水果!$B986="",N(对接源_01水果!$AJ986)&lt;=0),0,IF(OR(N(对接源_01水果!$B986)&lt;$AL$2,N(对接源_01水果!$B986)&gt;$AL$3),0,1))</f>
        <v>0</v>
      </c>
      <c r="AM986" s="3">
        <f t="shared" si="276"/>
        <v>1</v>
      </c>
      <c r="AN986" s="3" t="str">
        <f>IF(对接源_01水果!$AC986="","",对接源_01水果!$AC986)</f>
        <v/>
      </c>
      <c r="AO986" s="3">
        <f t="shared" si="277"/>
        <v>0</v>
      </c>
      <c r="AP986" s="3">
        <f t="shared" si="278"/>
        <v>8</v>
      </c>
      <c r="AR986">
        <f t="shared" si="279"/>
        <v>0</v>
      </c>
      <c r="AS986">
        <f t="shared" si="280"/>
        <v>0</v>
      </c>
    </row>
    <row r="987" ht="14.25" customHeight="1" spans="1:45">
      <c r="A987" s="3" t="str">
        <f>IF(对接源_01水果!$C987="","",对接源_01水果!$C987)</f>
        <v/>
      </c>
      <c r="B987" s="3">
        <f t="shared" si="264"/>
        <v>0</v>
      </c>
      <c r="C987" s="3">
        <f t="shared" si="265"/>
        <v>18</v>
      </c>
      <c r="K987" s="3">
        <f>IF(OR($K$1="",对接源_01水果!$C987="",对接源_01水果!$C987&lt;&gt;$K$1,对接源_01水果!$B987=""),0,IF(OR(N(对接源_01水果!$B987)&lt;$K$2,N(对接源_01水果!$B987)&gt;$K$3),0,1))</f>
        <v>0</v>
      </c>
      <c r="L987" s="3">
        <f>IF(OR($L$1="",对接源_01水果!$C987="",对接源_01水果!$C987&lt;&gt;$L$1,对接源_01水果!$B987=""),0,IF(OR(N(对接源_01水果!$B987)&lt;$L$2,N(对接源_01水果!$B987)&gt;$L$3),0,1))</f>
        <v>0</v>
      </c>
      <c r="M987" s="3">
        <f>IF(OR($M$1="",对接源_01水果!$C987="",对接源_01水果!$C987&lt;&gt;$M$1,对接源_01水果!$B987=""),0,IF(OR(N(对接源_01水果!$B987)&lt;$M$2,N(对接源_01水果!$B987)&gt;$M$3),0,1))</f>
        <v>0</v>
      </c>
      <c r="N987" s="3">
        <f>IF(OR($N$1="",对接源_01水果!$C987="",对接源_01水果!$C987&lt;&gt;$N$1,对接源_01水果!$B987=""),0,IF(OR(N(对接源_01水果!$B987)&lt;$N$2,N(对接源_01水果!$B987)&gt;$N$3),0,1))</f>
        <v>0</v>
      </c>
      <c r="P987" s="3">
        <f>IF(AND($K987=1,AND(对接源_01水果!$X987="公司筐",N(对接源_01水果!$T987)&lt;&gt;0)),1,0)</f>
        <v>0</v>
      </c>
      <c r="Q987" s="3">
        <f t="shared" si="266"/>
        <v>0</v>
      </c>
      <c r="R987" s="3">
        <f>IF(AND($K987=1,AND(对接源_01水果!$X987="公司筐",N(对接源_01水果!$U987)&lt;&gt;0)),1,0)</f>
        <v>0</v>
      </c>
      <c r="S987" s="3">
        <f t="shared" si="267"/>
        <v>0</v>
      </c>
      <c r="T987" s="3">
        <f>IF(AND($K987=1,AND(对接源_01水果!$X987="公司筐",N(对接源_01水果!$V987)&lt;&gt;0)),1,0)</f>
        <v>0</v>
      </c>
      <c r="U987" s="3">
        <f t="shared" si="268"/>
        <v>19</v>
      </c>
      <c r="V987" s="3">
        <f>IF(AND($L987=1,AND(对接源_01水果!$X987="自备筐",N(对接源_01水果!$V987)&lt;&gt;0)),1,0)</f>
        <v>0</v>
      </c>
      <c r="W987" s="3">
        <f t="shared" si="269"/>
        <v>8</v>
      </c>
      <c r="X987" s="3">
        <f>IF(AND($L987=1,AND(对接源_01水果!$X987="自备筐",N(对接源_01水果!$T987)&lt;&gt;0)),1,0)</f>
        <v>0</v>
      </c>
      <c r="Y987" s="3">
        <f t="shared" si="270"/>
        <v>0</v>
      </c>
      <c r="Z987" s="3">
        <f>IF(AND($M987=1,对接源_01水果!$D987="原料入库"),1,0)</f>
        <v>0</v>
      </c>
      <c r="AA987" s="3">
        <f t="shared" si="271"/>
        <v>24</v>
      </c>
      <c r="AB987" s="3">
        <f>IF(AND($M987=1,LEFT(对接源_01水果!$D987,4)="原料出库"),1,0)</f>
        <v>0</v>
      </c>
      <c r="AC987" s="3">
        <f t="shared" si="272"/>
        <v>0</v>
      </c>
      <c r="AD987" s="3">
        <f>IF(AND($M987=1,LEFT(对接源_01水果!$D987,4)="成品出库"),1,0)</f>
        <v>0</v>
      </c>
      <c r="AE987" s="3">
        <f t="shared" si="273"/>
        <v>0</v>
      </c>
      <c r="AF987" s="3">
        <f>IF(AND($N987=1,AND(LEFT(对接源_01水果!$D987,4)="包装物料",N(对接源_01水果!$K987)&lt;&gt;0)),1,0)</f>
        <v>0</v>
      </c>
      <c r="AG987" s="3">
        <f t="shared" si="274"/>
        <v>0</v>
      </c>
      <c r="AH987" s="3">
        <f>IF(AND($N987=1,AND(对接源_01水果!$D987="周转筐－销售出库",N(对接源_01水果!$K987)&lt;&gt;0)),1,0)</f>
        <v>0</v>
      </c>
      <c r="AI987" s="3">
        <f t="shared" si="275"/>
        <v>0</v>
      </c>
      <c r="AJ987" s="7"/>
      <c r="AL987" s="3">
        <f>IF(OR($AL$1="",对接源_01水果!$Y987="",对接源_01水果!$Y987&lt;&gt;$AL$1,对接源_01水果!$B987="",N(对接源_01水果!$AJ987)&lt;=0),0,IF(OR(N(对接源_01水果!$B987)&lt;$AL$2,N(对接源_01水果!$B987)&gt;$AL$3),0,1))</f>
        <v>0</v>
      </c>
      <c r="AM987" s="3">
        <f t="shared" si="276"/>
        <v>1</v>
      </c>
      <c r="AN987" s="3" t="str">
        <f>IF(对接源_01水果!$AC987="","",对接源_01水果!$AC987)</f>
        <v/>
      </c>
      <c r="AO987" s="3">
        <f t="shared" si="277"/>
        <v>0</v>
      </c>
      <c r="AP987" s="3">
        <f t="shared" si="278"/>
        <v>8</v>
      </c>
      <c r="AR987">
        <f t="shared" si="279"/>
        <v>0</v>
      </c>
      <c r="AS987">
        <f t="shared" si="280"/>
        <v>0</v>
      </c>
    </row>
    <row r="988" ht="14.25" customHeight="1" spans="1:45">
      <c r="A988" s="3" t="str">
        <f>IF(对接源_01水果!$C988="","",对接源_01水果!$C988)</f>
        <v/>
      </c>
      <c r="B988" s="3">
        <f t="shared" si="264"/>
        <v>0</v>
      </c>
      <c r="C988" s="3">
        <f t="shared" si="265"/>
        <v>18</v>
      </c>
      <c r="K988" s="3">
        <f>IF(OR($K$1="",对接源_01水果!$C988="",对接源_01水果!$C988&lt;&gt;$K$1,对接源_01水果!$B988=""),0,IF(OR(N(对接源_01水果!$B988)&lt;$K$2,N(对接源_01水果!$B988)&gt;$K$3),0,1))</f>
        <v>0</v>
      </c>
      <c r="L988" s="3">
        <f>IF(OR($L$1="",对接源_01水果!$C988="",对接源_01水果!$C988&lt;&gt;$L$1,对接源_01水果!$B988=""),0,IF(OR(N(对接源_01水果!$B988)&lt;$L$2,N(对接源_01水果!$B988)&gt;$L$3),0,1))</f>
        <v>0</v>
      </c>
      <c r="M988" s="3">
        <f>IF(OR($M$1="",对接源_01水果!$C988="",对接源_01水果!$C988&lt;&gt;$M$1,对接源_01水果!$B988=""),0,IF(OR(N(对接源_01水果!$B988)&lt;$M$2,N(对接源_01水果!$B988)&gt;$M$3),0,1))</f>
        <v>0</v>
      </c>
      <c r="N988" s="3">
        <f>IF(OR($N$1="",对接源_01水果!$C988="",对接源_01水果!$C988&lt;&gt;$N$1,对接源_01水果!$B988=""),0,IF(OR(N(对接源_01水果!$B988)&lt;$N$2,N(对接源_01水果!$B988)&gt;$N$3),0,1))</f>
        <v>0</v>
      </c>
      <c r="P988" s="3">
        <f>IF(AND($K988=1,AND(对接源_01水果!$X988="公司筐",N(对接源_01水果!$T988)&lt;&gt;0)),1,0)</f>
        <v>0</v>
      </c>
      <c r="Q988" s="3">
        <f t="shared" si="266"/>
        <v>0</v>
      </c>
      <c r="R988" s="3">
        <f>IF(AND($K988=1,AND(对接源_01水果!$X988="公司筐",N(对接源_01水果!$U988)&lt;&gt;0)),1,0)</f>
        <v>0</v>
      </c>
      <c r="S988" s="3">
        <f t="shared" si="267"/>
        <v>0</v>
      </c>
      <c r="T988" s="3">
        <f>IF(AND($K988=1,AND(对接源_01水果!$X988="公司筐",N(对接源_01水果!$V988)&lt;&gt;0)),1,0)</f>
        <v>0</v>
      </c>
      <c r="U988" s="3">
        <f t="shared" si="268"/>
        <v>19</v>
      </c>
      <c r="V988" s="3">
        <f>IF(AND($L988=1,AND(对接源_01水果!$X988="自备筐",N(对接源_01水果!$V988)&lt;&gt;0)),1,0)</f>
        <v>0</v>
      </c>
      <c r="W988" s="3">
        <f t="shared" si="269"/>
        <v>8</v>
      </c>
      <c r="X988" s="3">
        <f>IF(AND($L988=1,AND(对接源_01水果!$X988="自备筐",N(对接源_01水果!$T988)&lt;&gt;0)),1,0)</f>
        <v>0</v>
      </c>
      <c r="Y988" s="3">
        <f t="shared" si="270"/>
        <v>0</v>
      </c>
      <c r="Z988" s="3">
        <f>IF(AND($M988=1,对接源_01水果!$D988="原料入库"),1,0)</f>
        <v>0</v>
      </c>
      <c r="AA988" s="3">
        <f t="shared" si="271"/>
        <v>24</v>
      </c>
      <c r="AB988" s="3">
        <f>IF(AND($M988=1,LEFT(对接源_01水果!$D988,4)="原料出库"),1,0)</f>
        <v>0</v>
      </c>
      <c r="AC988" s="3">
        <f t="shared" si="272"/>
        <v>0</v>
      </c>
      <c r="AD988" s="3">
        <f>IF(AND($M988=1,LEFT(对接源_01水果!$D988,4)="成品出库"),1,0)</f>
        <v>0</v>
      </c>
      <c r="AE988" s="3">
        <f t="shared" si="273"/>
        <v>0</v>
      </c>
      <c r="AF988" s="3">
        <f>IF(AND($N988=1,AND(LEFT(对接源_01水果!$D988,4)="包装物料",N(对接源_01水果!$K988)&lt;&gt;0)),1,0)</f>
        <v>0</v>
      </c>
      <c r="AG988" s="3">
        <f t="shared" si="274"/>
        <v>0</v>
      </c>
      <c r="AH988" s="3">
        <f>IF(AND($N988=1,AND(对接源_01水果!$D988="周转筐－销售出库",N(对接源_01水果!$K988)&lt;&gt;0)),1,0)</f>
        <v>0</v>
      </c>
      <c r="AI988" s="3">
        <f t="shared" si="275"/>
        <v>0</v>
      </c>
      <c r="AJ988" s="7"/>
      <c r="AL988" s="3">
        <f>IF(OR($AL$1="",对接源_01水果!$Y988="",对接源_01水果!$Y988&lt;&gt;$AL$1,对接源_01水果!$B988="",N(对接源_01水果!$AJ988)&lt;=0),0,IF(OR(N(对接源_01水果!$B988)&lt;$AL$2,N(对接源_01水果!$B988)&gt;$AL$3),0,1))</f>
        <v>0</v>
      </c>
      <c r="AM988" s="3">
        <f t="shared" si="276"/>
        <v>1</v>
      </c>
      <c r="AN988" s="3" t="str">
        <f>IF(对接源_01水果!$AC988="","",对接源_01水果!$AC988)</f>
        <v/>
      </c>
      <c r="AO988" s="3">
        <f t="shared" si="277"/>
        <v>0</v>
      </c>
      <c r="AP988" s="3">
        <f t="shared" si="278"/>
        <v>8</v>
      </c>
      <c r="AR988">
        <f t="shared" si="279"/>
        <v>0</v>
      </c>
      <c r="AS988">
        <f t="shared" si="280"/>
        <v>0</v>
      </c>
    </row>
    <row r="989" ht="14.25" customHeight="1" spans="1:45">
      <c r="A989" s="3" t="str">
        <f>IF(对接源_01水果!$C989="","",对接源_01水果!$C989)</f>
        <v/>
      </c>
      <c r="B989" s="3">
        <f t="shared" si="264"/>
        <v>0</v>
      </c>
      <c r="C989" s="3">
        <f t="shared" si="265"/>
        <v>18</v>
      </c>
      <c r="K989" s="3">
        <f>IF(OR($K$1="",对接源_01水果!$C989="",对接源_01水果!$C989&lt;&gt;$K$1,对接源_01水果!$B989=""),0,IF(OR(N(对接源_01水果!$B989)&lt;$K$2,N(对接源_01水果!$B989)&gt;$K$3),0,1))</f>
        <v>0</v>
      </c>
      <c r="L989" s="3">
        <f>IF(OR($L$1="",对接源_01水果!$C989="",对接源_01水果!$C989&lt;&gt;$L$1,对接源_01水果!$B989=""),0,IF(OR(N(对接源_01水果!$B989)&lt;$L$2,N(对接源_01水果!$B989)&gt;$L$3),0,1))</f>
        <v>0</v>
      </c>
      <c r="M989" s="3">
        <f>IF(OR($M$1="",对接源_01水果!$C989="",对接源_01水果!$C989&lt;&gt;$M$1,对接源_01水果!$B989=""),0,IF(OR(N(对接源_01水果!$B989)&lt;$M$2,N(对接源_01水果!$B989)&gt;$M$3),0,1))</f>
        <v>0</v>
      </c>
      <c r="N989" s="3">
        <f>IF(OR($N$1="",对接源_01水果!$C989="",对接源_01水果!$C989&lt;&gt;$N$1,对接源_01水果!$B989=""),0,IF(OR(N(对接源_01水果!$B989)&lt;$N$2,N(对接源_01水果!$B989)&gt;$N$3),0,1))</f>
        <v>0</v>
      </c>
      <c r="P989" s="3">
        <f>IF(AND($K989=1,AND(对接源_01水果!$X989="公司筐",N(对接源_01水果!$T989)&lt;&gt;0)),1,0)</f>
        <v>0</v>
      </c>
      <c r="Q989" s="3">
        <f t="shared" si="266"/>
        <v>0</v>
      </c>
      <c r="R989" s="3">
        <f>IF(AND($K989=1,AND(对接源_01水果!$X989="公司筐",N(对接源_01水果!$U989)&lt;&gt;0)),1,0)</f>
        <v>0</v>
      </c>
      <c r="S989" s="3">
        <f t="shared" si="267"/>
        <v>0</v>
      </c>
      <c r="T989" s="3">
        <f>IF(AND($K989=1,AND(对接源_01水果!$X989="公司筐",N(对接源_01水果!$V989)&lt;&gt;0)),1,0)</f>
        <v>0</v>
      </c>
      <c r="U989" s="3">
        <f t="shared" si="268"/>
        <v>19</v>
      </c>
      <c r="V989" s="3">
        <f>IF(AND($L989=1,AND(对接源_01水果!$X989="自备筐",N(对接源_01水果!$V989)&lt;&gt;0)),1,0)</f>
        <v>0</v>
      </c>
      <c r="W989" s="3">
        <f t="shared" si="269"/>
        <v>8</v>
      </c>
      <c r="X989" s="3">
        <f>IF(AND($L989=1,AND(对接源_01水果!$X989="自备筐",N(对接源_01水果!$T989)&lt;&gt;0)),1,0)</f>
        <v>0</v>
      </c>
      <c r="Y989" s="3">
        <f t="shared" si="270"/>
        <v>0</v>
      </c>
      <c r="Z989" s="3">
        <f>IF(AND($M989=1,对接源_01水果!$D989="原料入库"),1,0)</f>
        <v>0</v>
      </c>
      <c r="AA989" s="3">
        <f t="shared" si="271"/>
        <v>24</v>
      </c>
      <c r="AB989" s="3">
        <f>IF(AND($M989=1,LEFT(对接源_01水果!$D989,4)="原料出库"),1,0)</f>
        <v>0</v>
      </c>
      <c r="AC989" s="3">
        <f t="shared" si="272"/>
        <v>0</v>
      </c>
      <c r="AD989" s="3">
        <f>IF(AND($M989=1,LEFT(对接源_01水果!$D989,4)="成品出库"),1,0)</f>
        <v>0</v>
      </c>
      <c r="AE989" s="3">
        <f t="shared" si="273"/>
        <v>0</v>
      </c>
      <c r="AF989" s="3">
        <f>IF(AND($N989=1,AND(LEFT(对接源_01水果!$D989,4)="包装物料",N(对接源_01水果!$K989)&lt;&gt;0)),1,0)</f>
        <v>0</v>
      </c>
      <c r="AG989" s="3">
        <f t="shared" si="274"/>
        <v>0</v>
      </c>
      <c r="AH989" s="3">
        <f>IF(AND($N989=1,AND(对接源_01水果!$D989="周转筐－销售出库",N(对接源_01水果!$K989)&lt;&gt;0)),1,0)</f>
        <v>0</v>
      </c>
      <c r="AI989" s="3">
        <f t="shared" si="275"/>
        <v>0</v>
      </c>
      <c r="AJ989" s="7"/>
      <c r="AL989" s="3">
        <f>IF(OR($AL$1="",对接源_01水果!$Y989="",对接源_01水果!$Y989&lt;&gt;$AL$1,对接源_01水果!$B989="",N(对接源_01水果!$AJ989)&lt;=0),0,IF(OR(N(对接源_01水果!$B989)&lt;$AL$2,N(对接源_01水果!$B989)&gt;$AL$3),0,1))</f>
        <v>0</v>
      </c>
      <c r="AM989" s="3">
        <f t="shared" si="276"/>
        <v>1</v>
      </c>
      <c r="AN989" s="3" t="str">
        <f>IF(对接源_01水果!$AC989="","",对接源_01水果!$AC989)</f>
        <v/>
      </c>
      <c r="AO989" s="3">
        <f t="shared" si="277"/>
        <v>0</v>
      </c>
      <c r="AP989" s="3">
        <f t="shared" si="278"/>
        <v>8</v>
      </c>
      <c r="AR989">
        <f t="shared" si="279"/>
        <v>0</v>
      </c>
      <c r="AS989">
        <f t="shared" si="280"/>
        <v>0</v>
      </c>
    </row>
    <row r="990" ht="14.25" customHeight="1" spans="1:45">
      <c r="A990" s="3" t="str">
        <f>IF(对接源_01水果!$C990="","",对接源_01水果!$C990)</f>
        <v/>
      </c>
      <c r="B990" s="3">
        <f t="shared" si="264"/>
        <v>0</v>
      </c>
      <c r="C990" s="3">
        <f t="shared" si="265"/>
        <v>18</v>
      </c>
      <c r="K990" s="3">
        <f>IF(OR($K$1="",对接源_01水果!$C990="",对接源_01水果!$C990&lt;&gt;$K$1,对接源_01水果!$B990=""),0,IF(OR(N(对接源_01水果!$B990)&lt;$K$2,N(对接源_01水果!$B990)&gt;$K$3),0,1))</f>
        <v>0</v>
      </c>
      <c r="L990" s="3">
        <f>IF(OR($L$1="",对接源_01水果!$C990="",对接源_01水果!$C990&lt;&gt;$L$1,对接源_01水果!$B990=""),0,IF(OR(N(对接源_01水果!$B990)&lt;$L$2,N(对接源_01水果!$B990)&gt;$L$3),0,1))</f>
        <v>0</v>
      </c>
      <c r="M990" s="3">
        <f>IF(OR($M$1="",对接源_01水果!$C990="",对接源_01水果!$C990&lt;&gt;$M$1,对接源_01水果!$B990=""),0,IF(OR(N(对接源_01水果!$B990)&lt;$M$2,N(对接源_01水果!$B990)&gt;$M$3),0,1))</f>
        <v>0</v>
      </c>
      <c r="N990" s="3">
        <f>IF(OR($N$1="",对接源_01水果!$C990="",对接源_01水果!$C990&lt;&gt;$N$1,对接源_01水果!$B990=""),0,IF(OR(N(对接源_01水果!$B990)&lt;$N$2,N(对接源_01水果!$B990)&gt;$N$3),0,1))</f>
        <v>0</v>
      </c>
      <c r="P990" s="3">
        <f>IF(AND($K990=1,AND(对接源_01水果!$X990="公司筐",N(对接源_01水果!$T990)&lt;&gt;0)),1,0)</f>
        <v>0</v>
      </c>
      <c r="Q990" s="3">
        <f t="shared" si="266"/>
        <v>0</v>
      </c>
      <c r="R990" s="3">
        <f>IF(AND($K990=1,AND(对接源_01水果!$X990="公司筐",N(对接源_01水果!$U990)&lt;&gt;0)),1,0)</f>
        <v>0</v>
      </c>
      <c r="S990" s="3">
        <f t="shared" si="267"/>
        <v>0</v>
      </c>
      <c r="T990" s="3">
        <f>IF(AND($K990=1,AND(对接源_01水果!$X990="公司筐",N(对接源_01水果!$V990)&lt;&gt;0)),1,0)</f>
        <v>0</v>
      </c>
      <c r="U990" s="3">
        <f t="shared" si="268"/>
        <v>19</v>
      </c>
      <c r="V990" s="3">
        <f>IF(AND($L990=1,AND(对接源_01水果!$X990="自备筐",N(对接源_01水果!$V990)&lt;&gt;0)),1,0)</f>
        <v>0</v>
      </c>
      <c r="W990" s="3">
        <f t="shared" si="269"/>
        <v>8</v>
      </c>
      <c r="X990" s="3">
        <f>IF(AND($L990=1,AND(对接源_01水果!$X990="自备筐",N(对接源_01水果!$T990)&lt;&gt;0)),1,0)</f>
        <v>0</v>
      </c>
      <c r="Y990" s="3">
        <f t="shared" si="270"/>
        <v>0</v>
      </c>
      <c r="Z990" s="3">
        <f>IF(AND($M990=1,对接源_01水果!$D990="原料入库"),1,0)</f>
        <v>0</v>
      </c>
      <c r="AA990" s="3">
        <f t="shared" si="271"/>
        <v>24</v>
      </c>
      <c r="AB990" s="3">
        <f>IF(AND($M990=1,LEFT(对接源_01水果!$D990,4)="原料出库"),1,0)</f>
        <v>0</v>
      </c>
      <c r="AC990" s="3">
        <f t="shared" si="272"/>
        <v>0</v>
      </c>
      <c r="AD990" s="3">
        <f>IF(AND($M990=1,LEFT(对接源_01水果!$D990,4)="成品出库"),1,0)</f>
        <v>0</v>
      </c>
      <c r="AE990" s="3">
        <f t="shared" si="273"/>
        <v>0</v>
      </c>
      <c r="AF990" s="3">
        <f>IF(AND($N990=1,AND(LEFT(对接源_01水果!$D990,4)="包装物料",N(对接源_01水果!$K990)&lt;&gt;0)),1,0)</f>
        <v>0</v>
      </c>
      <c r="AG990" s="3">
        <f t="shared" si="274"/>
        <v>0</v>
      </c>
      <c r="AH990" s="3">
        <f>IF(AND($N990=1,AND(对接源_01水果!$D990="周转筐－销售出库",N(对接源_01水果!$K990)&lt;&gt;0)),1,0)</f>
        <v>0</v>
      </c>
      <c r="AI990" s="3">
        <f t="shared" si="275"/>
        <v>0</v>
      </c>
      <c r="AJ990" s="7"/>
      <c r="AL990" s="3">
        <f>IF(OR($AL$1="",对接源_01水果!$Y990="",对接源_01水果!$Y990&lt;&gt;$AL$1,对接源_01水果!$B990="",N(对接源_01水果!$AJ990)&lt;=0),0,IF(OR(N(对接源_01水果!$B990)&lt;$AL$2,N(对接源_01水果!$B990)&gt;$AL$3),0,1))</f>
        <v>0</v>
      </c>
      <c r="AM990" s="3">
        <f t="shared" si="276"/>
        <v>1</v>
      </c>
      <c r="AN990" s="3" t="str">
        <f>IF(对接源_01水果!$AC990="","",对接源_01水果!$AC990)</f>
        <v/>
      </c>
      <c r="AO990" s="3">
        <f t="shared" si="277"/>
        <v>0</v>
      </c>
      <c r="AP990" s="3">
        <f t="shared" si="278"/>
        <v>8</v>
      </c>
      <c r="AR990">
        <f t="shared" si="279"/>
        <v>0</v>
      </c>
      <c r="AS990">
        <f t="shared" si="280"/>
        <v>0</v>
      </c>
    </row>
    <row r="991" ht="14.25" customHeight="1" spans="1:45">
      <c r="A991" s="3" t="str">
        <f>IF(对接源_01水果!$C991="","",对接源_01水果!$C991)</f>
        <v/>
      </c>
      <c r="B991" s="3">
        <f t="shared" si="264"/>
        <v>0</v>
      </c>
      <c r="C991" s="3">
        <f t="shared" si="265"/>
        <v>18</v>
      </c>
      <c r="K991" s="3">
        <f>IF(OR($K$1="",对接源_01水果!$C991="",对接源_01水果!$C991&lt;&gt;$K$1,对接源_01水果!$B991=""),0,IF(OR(N(对接源_01水果!$B991)&lt;$K$2,N(对接源_01水果!$B991)&gt;$K$3),0,1))</f>
        <v>0</v>
      </c>
      <c r="L991" s="3">
        <f>IF(OR($L$1="",对接源_01水果!$C991="",对接源_01水果!$C991&lt;&gt;$L$1,对接源_01水果!$B991=""),0,IF(OR(N(对接源_01水果!$B991)&lt;$L$2,N(对接源_01水果!$B991)&gt;$L$3),0,1))</f>
        <v>0</v>
      </c>
      <c r="M991" s="3">
        <f>IF(OR($M$1="",对接源_01水果!$C991="",对接源_01水果!$C991&lt;&gt;$M$1,对接源_01水果!$B991=""),0,IF(OR(N(对接源_01水果!$B991)&lt;$M$2,N(对接源_01水果!$B991)&gt;$M$3),0,1))</f>
        <v>0</v>
      </c>
      <c r="N991" s="3">
        <f>IF(OR($N$1="",对接源_01水果!$C991="",对接源_01水果!$C991&lt;&gt;$N$1,对接源_01水果!$B991=""),0,IF(OR(N(对接源_01水果!$B991)&lt;$N$2,N(对接源_01水果!$B991)&gt;$N$3),0,1))</f>
        <v>0</v>
      </c>
      <c r="P991" s="3">
        <f>IF(AND($K991=1,AND(对接源_01水果!$X991="公司筐",N(对接源_01水果!$T991)&lt;&gt;0)),1,0)</f>
        <v>0</v>
      </c>
      <c r="Q991" s="3">
        <f t="shared" si="266"/>
        <v>0</v>
      </c>
      <c r="R991" s="3">
        <f>IF(AND($K991=1,AND(对接源_01水果!$X991="公司筐",N(对接源_01水果!$U991)&lt;&gt;0)),1,0)</f>
        <v>0</v>
      </c>
      <c r="S991" s="3">
        <f t="shared" si="267"/>
        <v>0</v>
      </c>
      <c r="T991" s="3">
        <f>IF(AND($K991=1,AND(对接源_01水果!$X991="公司筐",N(对接源_01水果!$V991)&lt;&gt;0)),1,0)</f>
        <v>0</v>
      </c>
      <c r="U991" s="3">
        <f t="shared" si="268"/>
        <v>19</v>
      </c>
      <c r="V991" s="3">
        <f>IF(AND($L991=1,AND(对接源_01水果!$X991="自备筐",N(对接源_01水果!$V991)&lt;&gt;0)),1,0)</f>
        <v>0</v>
      </c>
      <c r="W991" s="3">
        <f t="shared" si="269"/>
        <v>8</v>
      </c>
      <c r="X991" s="3">
        <f>IF(AND($L991=1,AND(对接源_01水果!$X991="自备筐",N(对接源_01水果!$T991)&lt;&gt;0)),1,0)</f>
        <v>0</v>
      </c>
      <c r="Y991" s="3">
        <f t="shared" si="270"/>
        <v>0</v>
      </c>
      <c r="Z991" s="3">
        <f>IF(AND($M991=1,对接源_01水果!$D991="原料入库"),1,0)</f>
        <v>0</v>
      </c>
      <c r="AA991" s="3">
        <f t="shared" si="271"/>
        <v>24</v>
      </c>
      <c r="AB991" s="3">
        <f>IF(AND($M991=1,LEFT(对接源_01水果!$D991,4)="原料出库"),1,0)</f>
        <v>0</v>
      </c>
      <c r="AC991" s="3">
        <f t="shared" si="272"/>
        <v>0</v>
      </c>
      <c r="AD991" s="3">
        <f>IF(AND($M991=1,LEFT(对接源_01水果!$D991,4)="成品出库"),1,0)</f>
        <v>0</v>
      </c>
      <c r="AE991" s="3">
        <f t="shared" si="273"/>
        <v>0</v>
      </c>
      <c r="AF991" s="3">
        <f>IF(AND($N991=1,AND(LEFT(对接源_01水果!$D991,4)="包装物料",N(对接源_01水果!$K991)&lt;&gt;0)),1,0)</f>
        <v>0</v>
      </c>
      <c r="AG991" s="3">
        <f t="shared" si="274"/>
        <v>0</v>
      </c>
      <c r="AH991" s="3">
        <f>IF(AND($N991=1,AND(对接源_01水果!$D991="周转筐－销售出库",N(对接源_01水果!$K991)&lt;&gt;0)),1,0)</f>
        <v>0</v>
      </c>
      <c r="AI991" s="3">
        <f t="shared" si="275"/>
        <v>0</v>
      </c>
      <c r="AJ991" s="7"/>
      <c r="AL991" s="3">
        <f>IF(OR($AL$1="",对接源_01水果!$Y991="",对接源_01水果!$Y991&lt;&gt;$AL$1,对接源_01水果!$B991="",N(对接源_01水果!$AJ991)&lt;=0),0,IF(OR(N(对接源_01水果!$B991)&lt;$AL$2,N(对接源_01水果!$B991)&gt;$AL$3),0,1))</f>
        <v>0</v>
      </c>
      <c r="AM991" s="3">
        <f t="shared" si="276"/>
        <v>1</v>
      </c>
      <c r="AN991" s="3" t="str">
        <f>IF(对接源_01水果!$AC991="","",对接源_01水果!$AC991)</f>
        <v/>
      </c>
      <c r="AO991" s="3">
        <f t="shared" si="277"/>
        <v>0</v>
      </c>
      <c r="AP991" s="3">
        <f t="shared" si="278"/>
        <v>8</v>
      </c>
      <c r="AR991">
        <f t="shared" si="279"/>
        <v>0</v>
      </c>
      <c r="AS991">
        <f t="shared" si="280"/>
        <v>0</v>
      </c>
    </row>
    <row r="992" ht="14.25" customHeight="1" spans="1:45">
      <c r="A992" s="3" t="str">
        <f>IF(对接源_01水果!$C992="","",对接源_01水果!$C992)</f>
        <v/>
      </c>
      <c r="B992" s="3">
        <f t="shared" si="264"/>
        <v>0</v>
      </c>
      <c r="C992" s="3">
        <f t="shared" si="265"/>
        <v>18</v>
      </c>
      <c r="K992" s="3">
        <f>IF(OR($K$1="",对接源_01水果!$C992="",对接源_01水果!$C992&lt;&gt;$K$1,对接源_01水果!$B992=""),0,IF(OR(N(对接源_01水果!$B992)&lt;$K$2,N(对接源_01水果!$B992)&gt;$K$3),0,1))</f>
        <v>0</v>
      </c>
      <c r="L992" s="3">
        <f>IF(OR($L$1="",对接源_01水果!$C992="",对接源_01水果!$C992&lt;&gt;$L$1,对接源_01水果!$B992=""),0,IF(OR(N(对接源_01水果!$B992)&lt;$L$2,N(对接源_01水果!$B992)&gt;$L$3),0,1))</f>
        <v>0</v>
      </c>
      <c r="M992" s="3">
        <f>IF(OR($M$1="",对接源_01水果!$C992="",对接源_01水果!$C992&lt;&gt;$M$1,对接源_01水果!$B992=""),0,IF(OR(N(对接源_01水果!$B992)&lt;$M$2,N(对接源_01水果!$B992)&gt;$M$3),0,1))</f>
        <v>0</v>
      </c>
      <c r="N992" s="3">
        <f>IF(OR($N$1="",对接源_01水果!$C992="",对接源_01水果!$C992&lt;&gt;$N$1,对接源_01水果!$B992=""),0,IF(OR(N(对接源_01水果!$B992)&lt;$N$2,N(对接源_01水果!$B992)&gt;$N$3),0,1))</f>
        <v>0</v>
      </c>
      <c r="P992" s="3">
        <f>IF(AND($K992=1,AND(对接源_01水果!$X992="公司筐",N(对接源_01水果!$T992)&lt;&gt;0)),1,0)</f>
        <v>0</v>
      </c>
      <c r="Q992" s="3">
        <f t="shared" si="266"/>
        <v>0</v>
      </c>
      <c r="R992" s="3">
        <f>IF(AND($K992=1,AND(对接源_01水果!$X992="公司筐",N(对接源_01水果!$U992)&lt;&gt;0)),1,0)</f>
        <v>0</v>
      </c>
      <c r="S992" s="3">
        <f t="shared" si="267"/>
        <v>0</v>
      </c>
      <c r="T992" s="3">
        <f>IF(AND($K992=1,AND(对接源_01水果!$X992="公司筐",N(对接源_01水果!$V992)&lt;&gt;0)),1,0)</f>
        <v>0</v>
      </c>
      <c r="U992" s="3">
        <f t="shared" si="268"/>
        <v>19</v>
      </c>
      <c r="V992" s="3">
        <f>IF(AND($L992=1,AND(对接源_01水果!$X992="自备筐",N(对接源_01水果!$V992)&lt;&gt;0)),1,0)</f>
        <v>0</v>
      </c>
      <c r="W992" s="3">
        <f t="shared" si="269"/>
        <v>8</v>
      </c>
      <c r="X992" s="3">
        <f>IF(AND($L992=1,AND(对接源_01水果!$X992="自备筐",N(对接源_01水果!$T992)&lt;&gt;0)),1,0)</f>
        <v>0</v>
      </c>
      <c r="Y992" s="3">
        <f t="shared" si="270"/>
        <v>0</v>
      </c>
      <c r="Z992" s="3">
        <f>IF(AND($M992=1,对接源_01水果!$D992="原料入库"),1,0)</f>
        <v>0</v>
      </c>
      <c r="AA992" s="3">
        <f t="shared" si="271"/>
        <v>24</v>
      </c>
      <c r="AB992" s="3">
        <f>IF(AND($M992=1,LEFT(对接源_01水果!$D992,4)="原料出库"),1,0)</f>
        <v>0</v>
      </c>
      <c r="AC992" s="3">
        <f t="shared" si="272"/>
        <v>0</v>
      </c>
      <c r="AD992" s="3">
        <f>IF(AND($M992=1,LEFT(对接源_01水果!$D992,4)="成品出库"),1,0)</f>
        <v>0</v>
      </c>
      <c r="AE992" s="3">
        <f t="shared" si="273"/>
        <v>0</v>
      </c>
      <c r="AF992" s="3">
        <f>IF(AND($N992=1,AND(LEFT(对接源_01水果!$D992,4)="包装物料",N(对接源_01水果!$K992)&lt;&gt;0)),1,0)</f>
        <v>0</v>
      </c>
      <c r="AG992" s="3">
        <f t="shared" si="274"/>
        <v>0</v>
      </c>
      <c r="AH992" s="3">
        <f>IF(AND($N992=1,AND(对接源_01水果!$D992="周转筐－销售出库",N(对接源_01水果!$K992)&lt;&gt;0)),1,0)</f>
        <v>0</v>
      </c>
      <c r="AI992" s="3">
        <f t="shared" si="275"/>
        <v>0</v>
      </c>
      <c r="AJ992" s="7"/>
      <c r="AL992" s="3">
        <f>IF(OR($AL$1="",对接源_01水果!$Y992="",对接源_01水果!$Y992&lt;&gt;$AL$1,对接源_01水果!$B992="",N(对接源_01水果!$AJ992)&lt;=0),0,IF(OR(N(对接源_01水果!$B992)&lt;$AL$2,N(对接源_01水果!$B992)&gt;$AL$3),0,1))</f>
        <v>0</v>
      </c>
      <c r="AM992" s="3">
        <f t="shared" si="276"/>
        <v>1</v>
      </c>
      <c r="AN992" s="3" t="str">
        <f>IF(对接源_01水果!$AC992="","",对接源_01水果!$AC992)</f>
        <v/>
      </c>
      <c r="AO992" s="3">
        <f t="shared" si="277"/>
        <v>0</v>
      </c>
      <c r="AP992" s="3">
        <f t="shared" si="278"/>
        <v>8</v>
      </c>
      <c r="AR992">
        <f t="shared" si="279"/>
        <v>0</v>
      </c>
      <c r="AS992">
        <f t="shared" si="280"/>
        <v>0</v>
      </c>
    </row>
    <row r="993" ht="14.25" customHeight="1" spans="1:45">
      <c r="A993" s="3" t="str">
        <f>IF(对接源_01水果!$C993="","",对接源_01水果!$C993)</f>
        <v/>
      </c>
      <c r="B993" s="3">
        <f t="shared" si="264"/>
        <v>0</v>
      </c>
      <c r="C993" s="3">
        <f t="shared" si="265"/>
        <v>18</v>
      </c>
      <c r="K993" s="3">
        <f>IF(OR($K$1="",对接源_01水果!$C993="",对接源_01水果!$C993&lt;&gt;$K$1,对接源_01水果!$B993=""),0,IF(OR(N(对接源_01水果!$B993)&lt;$K$2,N(对接源_01水果!$B993)&gt;$K$3),0,1))</f>
        <v>0</v>
      </c>
      <c r="L993" s="3">
        <f>IF(OR($L$1="",对接源_01水果!$C993="",对接源_01水果!$C993&lt;&gt;$L$1,对接源_01水果!$B993=""),0,IF(OR(N(对接源_01水果!$B993)&lt;$L$2,N(对接源_01水果!$B993)&gt;$L$3),0,1))</f>
        <v>0</v>
      </c>
      <c r="M993" s="3">
        <f>IF(OR($M$1="",对接源_01水果!$C993="",对接源_01水果!$C993&lt;&gt;$M$1,对接源_01水果!$B993=""),0,IF(OR(N(对接源_01水果!$B993)&lt;$M$2,N(对接源_01水果!$B993)&gt;$M$3),0,1))</f>
        <v>0</v>
      </c>
      <c r="N993" s="3">
        <f>IF(OR($N$1="",对接源_01水果!$C993="",对接源_01水果!$C993&lt;&gt;$N$1,对接源_01水果!$B993=""),0,IF(OR(N(对接源_01水果!$B993)&lt;$N$2,N(对接源_01水果!$B993)&gt;$N$3),0,1))</f>
        <v>0</v>
      </c>
      <c r="P993" s="3">
        <f>IF(AND($K993=1,AND(对接源_01水果!$X993="公司筐",N(对接源_01水果!$T993)&lt;&gt;0)),1,0)</f>
        <v>0</v>
      </c>
      <c r="Q993" s="3">
        <f t="shared" si="266"/>
        <v>0</v>
      </c>
      <c r="R993" s="3">
        <f>IF(AND($K993=1,AND(对接源_01水果!$X993="公司筐",N(对接源_01水果!$U993)&lt;&gt;0)),1,0)</f>
        <v>0</v>
      </c>
      <c r="S993" s="3">
        <f t="shared" si="267"/>
        <v>0</v>
      </c>
      <c r="T993" s="3">
        <f>IF(AND($K993=1,AND(对接源_01水果!$X993="公司筐",N(对接源_01水果!$V993)&lt;&gt;0)),1,0)</f>
        <v>0</v>
      </c>
      <c r="U993" s="3">
        <f t="shared" si="268"/>
        <v>19</v>
      </c>
      <c r="V993" s="3">
        <f>IF(AND($L993=1,AND(对接源_01水果!$X993="自备筐",N(对接源_01水果!$V993)&lt;&gt;0)),1,0)</f>
        <v>0</v>
      </c>
      <c r="W993" s="3">
        <f t="shared" si="269"/>
        <v>8</v>
      </c>
      <c r="X993" s="3">
        <f>IF(AND($L993=1,AND(对接源_01水果!$X993="自备筐",N(对接源_01水果!$T993)&lt;&gt;0)),1,0)</f>
        <v>0</v>
      </c>
      <c r="Y993" s="3">
        <f t="shared" si="270"/>
        <v>0</v>
      </c>
      <c r="Z993" s="3">
        <f>IF(AND($M993=1,对接源_01水果!$D993="原料入库"),1,0)</f>
        <v>0</v>
      </c>
      <c r="AA993" s="3">
        <f t="shared" si="271"/>
        <v>24</v>
      </c>
      <c r="AB993" s="3">
        <f>IF(AND($M993=1,LEFT(对接源_01水果!$D993,4)="原料出库"),1,0)</f>
        <v>0</v>
      </c>
      <c r="AC993" s="3">
        <f t="shared" si="272"/>
        <v>0</v>
      </c>
      <c r="AD993" s="3">
        <f>IF(AND($M993=1,LEFT(对接源_01水果!$D993,4)="成品出库"),1,0)</f>
        <v>0</v>
      </c>
      <c r="AE993" s="3">
        <f t="shared" si="273"/>
        <v>0</v>
      </c>
      <c r="AF993" s="3">
        <f>IF(AND($N993=1,AND(LEFT(对接源_01水果!$D993,4)="包装物料",N(对接源_01水果!$K993)&lt;&gt;0)),1,0)</f>
        <v>0</v>
      </c>
      <c r="AG993" s="3">
        <f t="shared" si="274"/>
        <v>0</v>
      </c>
      <c r="AH993" s="3">
        <f>IF(AND($N993=1,AND(对接源_01水果!$D993="周转筐－销售出库",N(对接源_01水果!$K993)&lt;&gt;0)),1,0)</f>
        <v>0</v>
      </c>
      <c r="AI993" s="3">
        <f t="shared" si="275"/>
        <v>0</v>
      </c>
      <c r="AJ993" s="7"/>
      <c r="AL993" s="3">
        <f>IF(OR($AL$1="",对接源_01水果!$Y993="",对接源_01水果!$Y993&lt;&gt;$AL$1,对接源_01水果!$B993="",N(对接源_01水果!$AJ993)&lt;=0),0,IF(OR(N(对接源_01水果!$B993)&lt;$AL$2,N(对接源_01水果!$B993)&gt;$AL$3),0,1))</f>
        <v>0</v>
      </c>
      <c r="AM993" s="3">
        <f t="shared" si="276"/>
        <v>1</v>
      </c>
      <c r="AN993" s="3" t="str">
        <f>IF(对接源_01水果!$AC993="","",对接源_01水果!$AC993)</f>
        <v/>
      </c>
      <c r="AO993" s="3">
        <f t="shared" si="277"/>
        <v>0</v>
      </c>
      <c r="AP993" s="3">
        <f t="shared" si="278"/>
        <v>8</v>
      </c>
      <c r="AR993">
        <f t="shared" si="279"/>
        <v>0</v>
      </c>
      <c r="AS993">
        <f t="shared" si="280"/>
        <v>0</v>
      </c>
    </row>
    <row r="994" ht="14.25" customHeight="1" spans="1:45">
      <c r="A994" s="3" t="str">
        <f>IF(对接源_01水果!$C994="","",对接源_01水果!$C994)</f>
        <v/>
      </c>
      <c r="B994" s="3">
        <f t="shared" si="264"/>
        <v>0</v>
      </c>
      <c r="C994" s="3">
        <f t="shared" si="265"/>
        <v>18</v>
      </c>
      <c r="K994" s="3">
        <f>IF(OR($K$1="",对接源_01水果!$C994="",对接源_01水果!$C994&lt;&gt;$K$1,对接源_01水果!$B994=""),0,IF(OR(N(对接源_01水果!$B994)&lt;$K$2,N(对接源_01水果!$B994)&gt;$K$3),0,1))</f>
        <v>0</v>
      </c>
      <c r="L994" s="3">
        <f>IF(OR($L$1="",对接源_01水果!$C994="",对接源_01水果!$C994&lt;&gt;$L$1,对接源_01水果!$B994=""),0,IF(OR(N(对接源_01水果!$B994)&lt;$L$2,N(对接源_01水果!$B994)&gt;$L$3),0,1))</f>
        <v>0</v>
      </c>
      <c r="M994" s="3">
        <f>IF(OR($M$1="",对接源_01水果!$C994="",对接源_01水果!$C994&lt;&gt;$M$1,对接源_01水果!$B994=""),0,IF(OR(N(对接源_01水果!$B994)&lt;$M$2,N(对接源_01水果!$B994)&gt;$M$3),0,1))</f>
        <v>0</v>
      </c>
      <c r="N994" s="3">
        <f>IF(OR($N$1="",对接源_01水果!$C994="",对接源_01水果!$C994&lt;&gt;$N$1,对接源_01水果!$B994=""),0,IF(OR(N(对接源_01水果!$B994)&lt;$N$2,N(对接源_01水果!$B994)&gt;$N$3),0,1))</f>
        <v>0</v>
      </c>
      <c r="P994" s="3">
        <f>IF(AND($K994=1,AND(对接源_01水果!$X994="公司筐",N(对接源_01水果!$T994)&lt;&gt;0)),1,0)</f>
        <v>0</v>
      </c>
      <c r="Q994" s="3">
        <f t="shared" si="266"/>
        <v>0</v>
      </c>
      <c r="R994" s="3">
        <f>IF(AND($K994=1,AND(对接源_01水果!$X994="公司筐",N(对接源_01水果!$U994)&lt;&gt;0)),1,0)</f>
        <v>0</v>
      </c>
      <c r="S994" s="3">
        <f t="shared" si="267"/>
        <v>0</v>
      </c>
      <c r="T994" s="3">
        <f>IF(AND($K994=1,AND(对接源_01水果!$X994="公司筐",N(对接源_01水果!$V994)&lt;&gt;0)),1,0)</f>
        <v>0</v>
      </c>
      <c r="U994" s="3">
        <f t="shared" si="268"/>
        <v>19</v>
      </c>
      <c r="V994" s="3">
        <f>IF(AND($L994=1,AND(对接源_01水果!$X994="自备筐",N(对接源_01水果!$V994)&lt;&gt;0)),1,0)</f>
        <v>0</v>
      </c>
      <c r="W994" s="3">
        <f t="shared" si="269"/>
        <v>8</v>
      </c>
      <c r="X994" s="3">
        <f>IF(AND($L994=1,AND(对接源_01水果!$X994="自备筐",N(对接源_01水果!$T994)&lt;&gt;0)),1,0)</f>
        <v>0</v>
      </c>
      <c r="Y994" s="3">
        <f t="shared" si="270"/>
        <v>0</v>
      </c>
      <c r="Z994" s="3">
        <f>IF(AND($M994=1,对接源_01水果!$D994="原料入库"),1,0)</f>
        <v>0</v>
      </c>
      <c r="AA994" s="3">
        <f t="shared" si="271"/>
        <v>24</v>
      </c>
      <c r="AB994" s="3">
        <f>IF(AND($M994=1,LEFT(对接源_01水果!$D994,4)="原料出库"),1,0)</f>
        <v>0</v>
      </c>
      <c r="AC994" s="3">
        <f t="shared" si="272"/>
        <v>0</v>
      </c>
      <c r="AD994" s="3">
        <f>IF(AND($M994=1,LEFT(对接源_01水果!$D994,4)="成品出库"),1,0)</f>
        <v>0</v>
      </c>
      <c r="AE994" s="3">
        <f t="shared" si="273"/>
        <v>0</v>
      </c>
      <c r="AF994" s="3">
        <f>IF(AND($N994=1,AND(LEFT(对接源_01水果!$D994,4)="包装物料",N(对接源_01水果!$K994)&lt;&gt;0)),1,0)</f>
        <v>0</v>
      </c>
      <c r="AG994" s="3">
        <f t="shared" si="274"/>
        <v>0</v>
      </c>
      <c r="AH994" s="3">
        <f>IF(AND($N994=1,AND(对接源_01水果!$D994="周转筐－销售出库",N(对接源_01水果!$K994)&lt;&gt;0)),1,0)</f>
        <v>0</v>
      </c>
      <c r="AI994" s="3">
        <f t="shared" si="275"/>
        <v>0</v>
      </c>
      <c r="AJ994" s="7"/>
      <c r="AL994" s="3">
        <f>IF(OR($AL$1="",对接源_01水果!$Y994="",对接源_01水果!$Y994&lt;&gt;$AL$1,对接源_01水果!$B994="",N(对接源_01水果!$AJ994)&lt;=0),0,IF(OR(N(对接源_01水果!$B994)&lt;$AL$2,N(对接源_01水果!$B994)&gt;$AL$3),0,1))</f>
        <v>0</v>
      </c>
      <c r="AM994" s="3">
        <f t="shared" si="276"/>
        <v>1</v>
      </c>
      <c r="AN994" s="3" t="str">
        <f>IF(对接源_01水果!$AC994="","",对接源_01水果!$AC994)</f>
        <v/>
      </c>
      <c r="AO994" s="3">
        <f t="shared" si="277"/>
        <v>0</v>
      </c>
      <c r="AP994" s="3">
        <f t="shared" si="278"/>
        <v>8</v>
      </c>
      <c r="AR994">
        <f t="shared" si="279"/>
        <v>0</v>
      </c>
      <c r="AS994">
        <f t="shared" si="280"/>
        <v>0</v>
      </c>
    </row>
    <row r="995" ht="14.25" customHeight="1" spans="1:45">
      <c r="A995" s="3" t="str">
        <f>IF(对接源_01水果!$C995="","",对接源_01水果!$C995)</f>
        <v/>
      </c>
      <c r="B995" s="3">
        <f t="shared" si="264"/>
        <v>0</v>
      </c>
      <c r="C995" s="3">
        <f t="shared" si="265"/>
        <v>18</v>
      </c>
      <c r="K995" s="3">
        <f>IF(OR($K$1="",对接源_01水果!$C995="",对接源_01水果!$C995&lt;&gt;$K$1,对接源_01水果!$B995=""),0,IF(OR(N(对接源_01水果!$B995)&lt;$K$2,N(对接源_01水果!$B995)&gt;$K$3),0,1))</f>
        <v>0</v>
      </c>
      <c r="L995" s="3">
        <f>IF(OR($L$1="",对接源_01水果!$C995="",对接源_01水果!$C995&lt;&gt;$L$1,对接源_01水果!$B995=""),0,IF(OR(N(对接源_01水果!$B995)&lt;$L$2,N(对接源_01水果!$B995)&gt;$L$3),0,1))</f>
        <v>0</v>
      </c>
      <c r="M995" s="3">
        <f>IF(OR($M$1="",对接源_01水果!$C995="",对接源_01水果!$C995&lt;&gt;$M$1,对接源_01水果!$B995=""),0,IF(OR(N(对接源_01水果!$B995)&lt;$M$2,N(对接源_01水果!$B995)&gt;$M$3),0,1))</f>
        <v>0</v>
      </c>
      <c r="N995" s="3">
        <f>IF(OR($N$1="",对接源_01水果!$C995="",对接源_01水果!$C995&lt;&gt;$N$1,对接源_01水果!$B995=""),0,IF(OR(N(对接源_01水果!$B995)&lt;$N$2,N(对接源_01水果!$B995)&gt;$N$3),0,1))</f>
        <v>0</v>
      </c>
      <c r="P995" s="3">
        <f>IF(AND($K995=1,AND(对接源_01水果!$X995="公司筐",N(对接源_01水果!$T995)&lt;&gt;0)),1,0)</f>
        <v>0</v>
      </c>
      <c r="Q995" s="3">
        <f t="shared" si="266"/>
        <v>0</v>
      </c>
      <c r="R995" s="3">
        <f>IF(AND($K995=1,AND(对接源_01水果!$X995="公司筐",N(对接源_01水果!$U995)&lt;&gt;0)),1,0)</f>
        <v>0</v>
      </c>
      <c r="S995" s="3">
        <f t="shared" si="267"/>
        <v>0</v>
      </c>
      <c r="T995" s="3">
        <f>IF(AND($K995=1,AND(对接源_01水果!$X995="公司筐",N(对接源_01水果!$V995)&lt;&gt;0)),1,0)</f>
        <v>0</v>
      </c>
      <c r="U995" s="3">
        <f t="shared" si="268"/>
        <v>19</v>
      </c>
      <c r="V995" s="3">
        <f>IF(AND($L995=1,AND(对接源_01水果!$X995="自备筐",N(对接源_01水果!$V995)&lt;&gt;0)),1,0)</f>
        <v>0</v>
      </c>
      <c r="W995" s="3">
        <f t="shared" si="269"/>
        <v>8</v>
      </c>
      <c r="X995" s="3">
        <f>IF(AND($L995=1,AND(对接源_01水果!$X995="自备筐",N(对接源_01水果!$T995)&lt;&gt;0)),1,0)</f>
        <v>0</v>
      </c>
      <c r="Y995" s="3">
        <f t="shared" si="270"/>
        <v>0</v>
      </c>
      <c r="Z995" s="3">
        <f>IF(AND($M995=1,对接源_01水果!$D995="原料入库"),1,0)</f>
        <v>0</v>
      </c>
      <c r="AA995" s="3">
        <f t="shared" si="271"/>
        <v>24</v>
      </c>
      <c r="AB995" s="3">
        <f>IF(AND($M995=1,LEFT(对接源_01水果!$D995,4)="原料出库"),1,0)</f>
        <v>0</v>
      </c>
      <c r="AC995" s="3">
        <f t="shared" si="272"/>
        <v>0</v>
      </c>
      <c r="AD995" s="3">
        <f>IF(AND($M995=1,LEFT(对接源_01水果!$D995,4)="成品出库"),1,0)</f>
        <v>0</v>
      </c>
      <c r="AE995" s="3">
        <f t="shared" si="273"/>
        <v>0</v>
      </c>
      <c r="AF995" s="3">
        <f>IF(AND($N995=1,AND(LEFT(对接源_01水果!$D995,4)="包装物料",N(对接源_01水果!$K995)&lt;&gt;0)),1,0)</f>
        <v>0</v>
      </c>
      <c r="AG995" s="3">
        <f t="shared" si="274"/>
        <v>0</v>
      </c>
      <c r="AH995" s="3">
        <f>IF(AND($N995=1,AND(对接源_01水果!$D995="周转筐－销售出库",N(对接源_01水果!$K995)&lt;&gt;0)),1,0)</f>
        <v>0</v>
      </c>
      <c r="AI995" s="3">
        <f t="shared" si="275"/>
        <v>0</v>
      </c>
      <c r="AJ995" s="7"/>
      <c r="AL995" s="3">
        <f>IF(OR($AL$1="",对接源_01水果!$Y995="",对接源_01水果!$Y995&lt;&gt;$AL$1,对接源_01水果!$B995="",N(对接源_01水果!$AJ995)&lt;=0),0,IF(OR(N(对接源_01水果!$B995)&lt;$AL$2,N(对接源_01水果!$B995)&gt;$AL$3),0,1))</f>
        <v>0</v>
      </c>
      <c r="AM995" s="3">
        <f t="shared" si="276"/>
        <v>1</v>
      </c>
      <c r="AN995" s="3" t="str">
        <f>IF(对接源_01水果!$AC995="","",对接源_01水果!$AC995)</f>
        <v/>
      </c>
      <c r="AO995" s="3">
        <f t="shared" si="277"/>
        <v>0</v>
      </c>
      <c r="AP995" s="3">
        <f t="shared" si="278"/>
        <v>8</v>
      </c>
      <c r="AR995">
        <f t="shared" si="279"/>
        <v>0</v>
      </c>
      <c r="AS995">
        <f t="shared" si="280"/>
        <v>0</v>
      </c>
    </row>
    <row r="996" ht="14.25" customHeight="1" spans="1:45">
      <c r="A996" s="3" t="str">
        <f>IF(对接源_01水果!$C996="","",对接源_01水果!$C996)</f>
        <v/>
      </c>
      <c r="B996" s="3">
        <f t="shared" si="264"/>
        <v>0</v>
      </c>
      <c r="C996" s="3">
        <f t="shared" si="265"/>
        <v>18</v>
      </c>
      <c r="K996" s="3">
        <f>IF(OR($K$1="",对接源_01水果!$C996="",对接源_01水果!$C996&lt;&gt;$K$1,对接源_01水果!$B996=""),0,IF(OR(N(对接源_01水果!$B996)&lt;$K$2,N(对接源_01水果!$B996)&gt;$K$3),0,1))</f>
        <v>0</v>
      </c>
      <c r="L996" s="3">
        <f>IF(OR($L$1="",对接源_01水果!$C996="",对接源_01水果!$C996&lt;&gt;$L$1,对接源_01水果!$B996=""),0,IF(OR(N(对接源_01水果!$B996)&lt;$L$2,N(对接源_01水果!$B996)&gt;$L$3),0,1))</f>
        <v>0</v>
      </c>
      <c r="M996" s="3">
        <f>IF(OR($M$1="",对接源_01水果!$C996="",对接源_01水果!$C996&lt;&gt;$M$1,对接源_01水果!$B996=""),0,IF(OR(N(对接源_01水果!$B996)&lt;$M$2,N(对接源_01水果!$B996)&gt;$M$3),0,1))</f>
        <v>0</v>
      </c>
      <c r="N996" s="3">
        <f>IF(OR($N$1="",对接源_01水果!$C996="",对接源_01水果!$C996&lt;&gt;$N$1,对接源_01水果!$B996=""),0,IF(OR(N(对接源_01水果!$B996)&lt;$N$2,N(对接源_01水果!$B996)&gt;$N$3),0,1))</f>
        <v>0</v>
      </c>
      <c r="P996" s="3">
        <f>IF(AND($K996=1,AND(对接源_01水果!$X996="公司筐",N(对接源_01水果!$T996)&lt;&gt;0)),1,0)</f>
        <v>0</v>
      </c>
      <c r="Q996" s="3">
        <f t="shared" si="266"/>
        <v>0</v>
      </c>
      <c r="R996" s="3">
        <f>IF(AND($K996=1,AND(对接源_01水果!$X996="公司筐",N(对接源_01水果!$U996)&lt;&gt;0)),1,0)</f>
        <v>0</v>
      </c>
      <c r="S996" s="3">
        <f t="shared" si="267"/>
        <v>0</v>
      </c>
      <c r="T996" s="3">
        <f>IF(AND($K996=1,AND(对接源_01水果!$X996="公司筐",N(对接源_01水果!$V996)&lt;&gt;0)),1,0)</f>
        <v>0</v>
      </c>
      <c r="U996" s="3">
        <f t="shared" si="268"/>
        <v>19</v>
      </c>
      <c r="V996" s="3">
        <f>IF(AND($L996=1,AND(对接源_01水果!$X996="自备筐",N(对接源_01水果!$V996)&lt;&gt;0)),1,0)</f>
        <v>0</v>
      </c>
      <c r="W996" s="3">
        <f t="shared" si="269"/>
        <v>8</v>
      </c>
      <c r="X996" s="3">
        <f>IF(AND($L996=1,AND(对接源_01水果!$X996="自备筐",N(对接源_01水果!$T996)&lt;&gt;0)),1,0)</f>
        <v>0</v>
      </c>
      <c r="Y996" s="3">
        <f t="shared" si="270"/>
        <v>0</v>
      </c>
      <c r="Z996" s="3">
        <f>IF(AND($M996=1,对接源_01水果!$D996="原料入库"),1,0)</f>
        <v>0</v>
      </c>
      <c r="AA996" s="3">
        <f t="shared" si="271"/>
        <v>24</v>
      </c>
      <c r="AB996" s="3">
        <f>IF(AND($M996=1,LEFT(对接源_01水果!$D996,4)="原料出库"),1,0)</f>
        <v>0</v>
      </c>
      <c r="AC996" s="3">
        <f t="shared" si="272"/>
        <v>0</v>
      </c>
      <c r="AD996" s="3">
        <f>IF(AND($M996=1,LEFT(对接源_01水果!$D996,4)="成品出库"),1,0)</f>
        <v>0</v>
      </c>
      <c r="AE996" s="3">
        <f t="shared" si="273"/>
        <v>0</v>
      </c>
      <c r="AF996" s="3">
        <f>IF(AND($N996=1,AND(LEFT(对接源_01水果!$D996,4)="包装物料",N(对接源_01水果!$K996)&lt;&gt;0)),1,0)</f>
        <v>0</v>
      </c>
      <c r="AG996" s="3">
        <f t="shared" si="274"/>
        <v>0</v>
      </c>
      <c r="AH996" s="3">
        <f>IF(AND($N996=1,AND(对接源_01水果!$D996="周转筐－销售出库",N(对接源_01水果!$K996)&lt;&gt;0)),1,0)</f>
        <v>0</v>
      </c>
      <c r="AI996" s="3">
        <f t="shared" si="275"/>
        <v>0</v>
      </c>
      <c r="AJ996" s="7"/>
      <c r="AL996" s="3">
        <f>IF(OR($AL$1="",对接源_01水果!$Y996="",对接源_01水果!$Y996&lt;&gt;$AL$1,对接源_01水果!$B996="",N(对接源_01水果!$AJ996)&lt;=0),0,IF(OR(N(对接源_01水果!$B996)&lt;$AL$2,N(对接源_01水果!$B996)&gt;$AL$3),0,1))</f>
        <v>0</v>
      </c>
      <c r="AM996" s="3">
        <f t="shared" si="276"/>
        <v>1</v>
      </c>
      <c r="AN996" s="3" t="str">
        <f>IF(对接源_01水果!$AC996="","",对接源_01水果!$AC996)</f>
        <v/>
      </c>
      <c r="AO996" s="3">
        <f t="shared" si="277"/>
        <v>0</v>
      </c>
      <c r="AP996" s="3">
        <f t="shared" si="278"/>
        <v>8</v>
      </c>
      <c r="AR996">
        <f t="shared" si="279"/>
        <v>0</v>
      </c>
      <c r="AS996">
        <f t="shared" si="280"/>
        <v>0</v>
      </c>
    </row>
    <row r="997" ht="14.25" customHeight="1" spans="1:45">
      <c r="A997" s="3" t="str">
        <f>IF(对接源_01水果!$C997="","",对接源_01水果!$C997)</f>
        <v/>
      </c>
      <c r="B997" s="3">
        <f t="shared" si="264"/>
        <v>0</v>
      </c>
      <c r="C997" s="3">
        <f t="shared" si="265"/>
        <v>18</v>
      </c>
      <c r="K997" s="3">
        <f>IF(OR($K$1="",对接源_01水果!$C997="",对接源_01水果!$C997&lt;&gt;$K$1,对接源_01水果!$B997=""),0,IF(OR(N(对接源_01水果!$B997)&lt;$K$2,N(对接源_01水果!$B997)&gt;$K$3),0,1))</f>
        <v>0</v>
      </c>
      <c r="L997" s="3">
        <f>IF(OR($L$1="",对接源_01水果!$C997="",对接源_01水果!$C997&lt;&gt;$L$1,对接源_01水果!$B997=""),0,IF(OR(N(对接源_01水果!$B997)&lt;$L$2,N(对接源_01水果!$B997)&gt;$L$3),0,1))</f>
        <v>0</v>
      </c>
      <c r="M997" s="3">
        <f>IF(OR($M$1="",对接源_01水果!$C997="",对接源_01水果!$C997&lt;&gt;$M$1,对接源_01水果!$B997=""),0,IF(OR(N(对接源_01水果!$B997)&lt;$M$2,N(对接源_01水果!$B997)&gt;$M$3),0,1))</f>
        <v>0</v>
      </c>
      <c r="N997" s="3">
        <f>IF(OR($N$1="",对接源_01水果!$C997="",对接源_01水果!$C997&lt;&gt;$N$1,对接源_01水果!$B997=""),0,IF(OR(N(对接源_01水果!$B997)&lt;$N$2,N(对接源_01水果!$B997)&gt;$N$3),0,1))</f>
        <v>0</v>
      </c>
      <c r="P997" s="3">
        <f>IF(AND($K997=1,AND(对接源_01水果!$X997="公司筐",N(对接源_01水果!$T997)&lt;&gt;0)),1,0)</f>
        <v>0</v>
      </c>
      <c r="Q997" s="3">
        <f t="shared" si="266"/>
        <v>0</v>
      </c>
      <c r="R997" s="3">
        <f>IF(AND($K997=1,AND(对接源_01水果!$X997="公司筐",N(对接源_01水果!$U997)&lt;&gt;0)),1,0)</f>
        <v>0</v>
      </c>
      <c r="S997" s="3">
        <f t="shared" si="267"/>
        <v>0</v>
      </c>
      <c r="T997" s="3">
        <f>IF(AND($K997=1,AND(对接源_01水果!$X997="公司筐",N(对接源_01水果!$V997)&lt;&gt;0)),1,0)</f>
        <v>0</v>
      </c>
      <c r="U997" s="3">
        <f t="shared" si="268"/>
        <v>19</v>
      </c>
      <c r="V997" s="3">
        <f>IF(AND($L997=1,AND(对接源_01水果!$X997="自备筐",N(对接源_01水果!$V997)&lt;&gt;0)),1,0)</f>
        <v>0</v>
      </c>
      <c r="W997" s="3">
        <f t="shared" si="269"/>
        <v>8</v>
      </c>
      <c r="X997" s="3">
        <f>IF(AND($L997=1,AND(对接源_01水果!$X997="自备筐",N(对接源_01水果!$T997)&lt;&gt;0)),1,0)</f>
        <v>0</v>
      </c>
      <c r="Y997" s="3">
        <f t="shared" si="270"/>
        <v>0</v>
      </c>
      <c r="Z997" s="3">
        <f>IF(AND($M997=1,对接源_01水果!$D997="原料入库"),1,0)</f>
        <v>0</v>
      </c>
      <c r="AA997" s="3">
        <f t="shared" si="271"/>
        <v>24</v>
      </c>
      <c r="AB997" s="3">
        <f>IF(AND($M997=1,LEFT(对接源_01水果!$D997,4)="原料出库"),1,0)</f>
        <v>0</v>
      </c>
      <c r="AC997" s="3">
        <f t="shared" si="272"/>
        <v>0</v>
      </c>
      <c r="AD997" s="3">
        <f>IF(AND($M997=1,LEFT(对接源_01水果!$D997,4)="成品出库"),1,0)</f>
        <v>0</v>
      </c>
      <c r="AE997" s="3">
        <f t="shared" si="273"/>
        <v>0</v>
      </c>
      <c r="AF997" s="3">
        <f>IF(AND($N997=1,AND(LEFT(对接源_01水果!$D997,4)="包装物料",N(对接源_01水果!$K997)&lt;&gt;0)),1,0)</f>
        <v>0</v>
      </c>
      <c r="AG997" s="3">
        <f t="shared" si="274"/>
        <v>0</v>
      </c>
      <c r="AH997" s="3">
        <f>IF(AND($N997=1,AND(对接源_01水果!$D997="周转筐－销售出库",N(对接源_01水果!$K997)&lt;&gt;0)),1,0)</f>
        <v>0</v>
      </c>
      <c r="AI997" s="3">
        <f t="shared" si="275"/>
        <v>0</v>
      </c>
      <c r="AJ997" s="7"/>
      <c r="AL997" s="3">
        <f>IF(OR($AL$1="",对接源_01水果!$Y997="",对接源_01水果!$Y997&lt;&gt;$AL$1,对接源_01水果!$B997="",N(对接源_01水果!$AJ997)&lt;=0),0,IF(OR(N(对接源_01水果!$B997)&lt;$AL$2,N(对接源_01水果!$B997)&gt;$AL$3),0,1))</f>
        <v>0</v>
      </c>
      <c r="AM997" s="3">
        <f t="shared" si="276"/>
        <v>1</v>
      </c>
      <c r="AN997" s="3" t="str">
        <f>IF(对接源_01水果!$AC997="","",对接源_01水果!$AC997)</f>
        <v/>
      </c>
      <c r="AO997" s="3">
        <f t="shared" si="277"/>
        <v>0</v>
      </c>
      <c r="AP997" s="3">
        <f t="shared" si="278"/>
        <v>8</v>
      </c>
      <c r="AR997">
        <f t="shared" si="279"/>
        <v>0</v>
      </c>
      <c r="AS997">
        <f t="shared" si="280"/>
        <v>0</v>
      </c>
    </row>
    <row r="998" ht="14.25" customHeight="1" spans="1:45">
      <c r="A998" s="3" t="str">
        <f>IF(对接源_01水果!$C998="","",对接源_01水果!$C998)</f>
        <v/>
      </c>
      <c r="B998" s="3">
        <f t="shared" si="264"/>
        <v>0</v>
      </c>
      <c r="C998" s="3">
        <f t="shared" si="265"/>
        <v>18</v>
      </c>
      <c r="K998" s="3">
        <f>IF(OR($K$1="",对接源_01水果!$C998="",对接源_01水果!$C998&lt;&gt;$K$1,对接源_01水果!$B998=""),0,IF(OR(N(对接源_01水果!$B998)&lt;$K$2,N(对接源_01水果!$B998)&gt;$K$3),0,1))</f>
        <v>0</v>
      </c>
      <c r="L998" s="3">
        <f>IF(OR($L$1="",对接源_01水果!$C998="",对接源_01水果!$C998&lt;&gt;$L$1,对接源_01水果!$B998=""),0,IF(OR(N(对接源_01水果!$B998)&lt;$L$2,N(对接源_01水果!$B998)&gt;$L$3),0,1))</f>
        <v>0</v>
      </c>
      <c r="M998" s="3">
        <f>IF(OR($M$1="",对接源_01水果!$C998="",对接源_01水果!$C998&lt;&gt;$M$1,对接源_01水果!$B998=""),0,IF(OR(N(对接源_01水果!$B998)&lt;$M$2,N(对接源_01水果!$B998)&gt;$M$3),0,1))</f>
        <v>0</v>
      </c>
      <c r="N998" s="3">
        <f>IF(OR($N$1="",对接源_01水果!$C998="",对接源_01水果!$C998&lt;&gt;$N$1,对接源_01水果!$B998=""),0,IF(OR(N(对接源_01水果!$B998)&lt;$N$2,N(对接源_01水果!$B998)&gt;$N$3),0,1))</f>
        <v>0</v>
      </c>
      <c r="P998" s="3">
        <f>IF(AND($K998=1,AND(对接源_01水果!$X998="公司筐",N(对接源_01水果!$T998)&lt;&gt;0)),1,0)</f>
        <v>0</v>
      </c>
      <c r="Q998" s="3">
        <f t="shared" si="266"/>
        <v>0</v>
      </c>
      <c r="R998" s="3">
        <f>IF(AND($K998=1,AND(对接源_01水果!$X998="公司筐",N(对接源_01水果!$U998)&lt;&gt;0)),1,0)</f>
        <v>0</v>
      </c>
      <c r="S998" s="3">
        <f t="shared" si="267"/>
        <v>0</v>
      </c>
      <c r="T998" s="3">
        <f>IF(AND($K998=1,AND(对接源_01水果!$X998="公司筐",N(对接源_01水果!$V998)&lt;&gt;0)),1,0)</f>
        <v>0</v>
      </c>
      <c r="U998" s="3">
        <f t="shared" si="268"/>
        <v>19</v>
      </c>
      <c r="V998" s="3">
        <f>IF(AND($L998=1,AND(对接源_01水果!$X998="自备筐",N(对接源_01水果!$V998)&lt;&gt;0)),1,0)</f>
        <v>0</v>
      </c>
      <c r="W998" s="3">
        <f t="shared" si="269"/>
        <v>8</v>
      </c>
      <c r="X998" s="3">
        <f>IF(AND($L998=1,AND(对接源_01水果!$X998="自备筐",N(对接源_01水果!$T998)&lt;&gt;0)),1,0)</f>
        <v>0</v>
      </c>
      <c r="Y998" s="3">
        <f t="shared" si="270"/>
        <v>0</v>
      </c>
      <c r="Z998" s="3">
        <f>IF(AND($M998=1,对接源_01水果!$D998="原料入库"),1,0)</f>
        <v>0</v>
      </c>
      <c r="AA998" s="3">
        <f t="shared" si="271"/>
        <v>24</v>
      </c>
      <c r="AB998" s="3">
        <f>IF(AND($M998=1,LEFT(对接源_01水果!$D998,4)="原料出库"),1,0)</f>
        <v>0</v>
      </c>
      <c r="AC998" s="3">
        <f t="shared" si="272"/>
        <v>0</v>
      </c>
      <c r="AD998" s="3">
        <f>IF(AND($M998=1,LEFT(对接源_01水果!$D998,4)="成品出库"),1,0)</f>
        <v>0</v>
      </c>
      <c r="AE998" s="3">
        <f t="shared" si="273"/>
        <v>0</v>
      </c>
      <c r="AF998" s="3">
        <f>IF(AND($N998=1,AND(LEFT(对接源_01水果!$D998,4)="包装物料",N(对接源_01水果!$K998)&lt;&gt;0)),1,0)</f>
        <v>0</v>
      </c>
      <c r="AG998" s="3">
        <f t="shared" si="274"/>
        <v>0</v>
      </c>
      <c r="AH998" s="3">
        <f>IF(AND($N998=1,AND(对接源_01水果!$D998="周转筐－销售出库",N(对接源_01水果!$K998)&lt;&gt;0)),1,0)</f>
        <v>0</v>
      </c>
      <c r="AI998" s="3">
        <f t="shared" si="275"/>
        <v>0</v>
      </c>
      <c r="AJ998" s="7"/>
      <c r="AL998" s="3">
        <f>IF(OR($AL$1="",对接源_01水果!$Y998="",对接源_01水果!$Y998&lt;&gt;$AL$1,对接源_01水果!$B998="",N(对接源_01水果!$AJ998)&lt;=0),0,IF(OR(N(对接源_01水果!$B998)&lt;$AL$2,N(对接源_01水果!$B998)&gt;$AL$3),0,1))</f>
        <v>0</v>
      </c>
      <c r="AM998" s="3">
        <f t="shared" si="276"/>
        <v>1</v>
      </c>
      <c r="AN998" s="3" t="str">
        <f>IF(对接源_01水果!$AC998="","",对接源_01水果!$AC998)</f>
        <v/>
      </c>
      <c r="AO998" s="3">
        <f t="shared" si="277"/>
        <v>0</v>
      </c>
      <c r="AP998" s="3">
        <f t="shared" si="278"/>
        <v>8</v>
      </c>
      <c r="AR998">
        <f t="shared" si="279"/>
        <v>0</v>
      </c>
      <c r="AS998">
        <f t="shared" si="280"/>
        <v>0</v>
      </c>
    </row>
    <row r="999" ht="14.25" customHeight="1" spans="1:45">
      <c r="A999" s="3" t="str">
        <f>IF(对接源_01水果!$C999="","",对接源_01水果!$C999)</f>
        <v/>
      </c>
      <c r="B999" s="3">
        <f t="shared" si="264"/>
        <v>0</v>
      </c>
      <c r="C999" s="3">
        <f t="shared" si="265"/>
        <v>18</v>
      </c>
      <c r="K999" s="3">
        <f>IF(OR($K$1="",对接源_01水果!$C999="",对接源_01水果!$C999&lt;&gt;$K$1,对接源_01水果!$B999=""),0,IF(OR(N(对接源_01水果!$B999)&lt;$K$2,N(对接源_01水果!$B999)&gt;$K$3),0,1))</f>
        <v>0</v>
      </c>
      <c r="L999" s="3">
        <f>IF(OR($L$1="",对接源_01水果!$C999="",对接源_01水果!$C999&lt;&gt;$L$1,对接源_01水果!$B999=""),0,IF(OR(N(对接源_01水果!$B999)&lt;$L$2,N(对接源_01水果!$B999)&gt;$L$3),0,1))</f>
        <v>0</v>
      </c>
      <c r="M999" s="3">
        <f>IF(OR($M$1="",对接源_01水果!$C999="",对接源_01水果!$C999&lt;&gt;$M$1,对接源_01水果!$B999=""),0,IF(OR(N(对接源_01水果!$B999)&lt;$M$2,N(对接源_01水果!$B999)&gt;$M$3),0,1))</f>
        <v>0</v>
      </c>
      <c r="N999" s="3">
        <f>IF(OR($N$1="",对接源_01水果!$C999="",对接源_01水果!$C999&lt;&gt;$N$1,对接源_01水果!$B999=""),0,IF(OR(N(对接源_01水果!$B999)&lt;$N$2,N(对接源_01水果!$B999)&gt;$N$3),0,1))</f>
        <v>0</v>
      </c>
      <c r="P999" s="3">
        <f>IF(AND($K999=1,AND(对接源_01水果!$X999="公司筐",N(对接源_01水果!$T999)&lt;&gt;0)),1,0)</f>
        <v>0</v>
      </c>
      <c r="Q999" s="3">
        <f t="shared" si="266"/>
        <v>0</v>
      </c>
      <c r="R999" s="3">
        <f>IF(AND($K999=1,AND(对接源_01水果!$X999="公司筐",N(对接源_01水果!$U999)&lt;&gt;0)),1,0)</f>
        <v>0</v>
      </c>
      <c r="S999" s="3">
        <f t="shared" si="267"/>
        <v>0</v>
      </c>
      <c r="T999" s="3">
        <f>IF(AND($K999=1,AND(对接源_01水果!$X999="公司筐",N(对接源_01水果!$V999)&lt;&gt;0)),1,0)</f>
        <v>0</v>
      </c>
      <c r="U999" s="3">
        <f t="shared" si="268"/>
        <v>19</v>
      </c>
      <c r="V999" s="3">
        <f>IF(AND($L999=1,AND(对接源_01水果!$X999="自备筐",N(对接源_01水果!$V999)&lt;&gt;0)),1,0)</f>
        <v>0</v>
      </c>
      <c r="W999" s="3">
        <f t="shared" si="269"/>
        <v>8</v>
      </c>
      <c r="X999" s="3">
        <f>IF(AND($L999=1,AND(对接源_01水果!$X999="自备筐",N(对接源_01水果!$T999)&lt;&gt;0)),1,0)</f>
        <v>0</v>
      </c>
      <c r="Y999" s="3">
        <f t="shared" si="270"/>
        <v>0</v>
      </c>
      <c r="Z999" s="3">
        <f>IF(AND($M999=1,对接源_01水果!$D999="原料入库"),1,0)</f>
        <v>0</v>
      </c>
      <c r="AA999" s="3">
        <f t="shared" si="271"/>
        <v>24</v>
      </c>
      <c r="AB999" s="3">
        <f>IF(AND($M999=1,LEFT(对接源_01水果!$D999,4)="原料出库"),1,0)</f>
        <v>0</v>
      </c>
      <c r="AC999" s="3">
        <f t="shared" si="272"/>
        <v>0</v>
      </c>
      <c r="AD999" s="3">
        <f>IF(AND($M999=1,LEFT(对接源_01水果!$D999,4)="成品出库"),1,0)</f>
        <v>0</v>
      </c>
      <c r="AE999" s="3">
        <f t="shared" si="273"/>
        <v>0</v>
      </c>
      <c r="AF999" s="3">
        <f>IF(AND($N999=1,AND(LEFT(对接源_01水果!$D999,4)="包装物料",N(对接源_01水果!$K999)&lt;&gt;0)),1,0)</f>
        <v>0</v>
      </c>
      <c r="AG999" s="3">
        <f t="shared" si="274"/>
        <v>0</v>
      </c>
      <c r="AH999" s="3">
        <f>IF(AND($N999=1,AND(对接源_01水果!$D999="周转筐－销售出库",N(对接源_01水果!$K999)&lt;&gt;0)),1,0)</f>
        <v>0</v>
      </c>
      <c r="AI999" s="3">
        <f t="shared" si="275"/>
        <v>0</v>
      </c>
      <c r="AJ999" s="7"/>
      <c r="AL999" s="3">
        <f>IF(OR($AL$1="",对接源_01水果!$Y999="",对接源_01水果!$Y999&lt;&gt;$AL$1,对接源_01水果!$B999="",N(对接源_01水果!$AJ999)&lt;=0),0,IF(OR(N(对接源_01水果!$B999)&lt;$AL$2,N(对接源_01水果!$B999)&gt;$AL$3),0,1))</f>
        <v>0</v>
      </c>
      <c r="AM999" s="3">
        <f t="shared" si="276"/>
        <v>1</v>
      </c>
      <c r="AN999" s="3" t="str">
        <f>IF(对接源_01水果!$AC999="","",对接源_01水果!$AC999)</f>
        <v/>
      </c>
      <c r="AO999" s="3">
        <f t="shared" si="277"/>
        <v>0</v>
      </c>
      <c r="AP999" s="3">
        <f t="shared" si="278"/>
        <v>8</v>
      </c>
      <c r="AR999">
        <f t="shared" si="279"/>
        <v>0</v>
      </c>
      <c r="AS999">
        <f t="shared" si="280"/>
        <v>0</v>
      </c>
    </row>
    <row r="1000" ht="14.25" customHeight="1" spans="1:45">
      <c r="A1000" s="3" t="str">
        <f>IF(对接源_01水果!$C1000="","",对接源_01水果!$C1000)</f>
        <v/>
      </c>
      <c r="B1000" s="3">
        <f t="shared" si="264"/>
        <v>0</v>
      </c>
      <c r="C1000" s="3">
        <f t="shared" si="265"/>
        <v>18</v>
      </c>
      <c r="K1000" s="3">
        <f>IF(OR($K$1="",对接源_01水果!$C1000="",对接源_01水果!$C1000&lt;&gt;$K$1,对接源_01水果!$B1000=""),0,IF(OR(N(对接源_01水果!$B1000)&lt;$K$2,N(对接源_01水果!$B1000)&gt;$K$3),0,1))</f>
        <v>0</v>
      </c>
      <c r="L1000" s="3">
        <f>IF(OR($L$1="",对接源_01水果!$C1000="",对接源_01水果!$C1000&lt;&gt;$L$1,对接源_01水果!$B1000=""),0,IF(OR(N(对接源_01水果!$B1000)&lt;$L$2,N(对接源_01水果!$B1000)&gt;$L$3),0,1))</f>
        <v>0</v>
      </c>
      <c r="M1000" s="3">
        <f>IF(OR($M$1="",对接源_01水果!$C1000="",对接源_01水果!$C1000&lt;&gt;$M$1,对接源_01水果!$B1000=""),0,IF(OR(N(对接源_01水果!$B1000)&lt;$M$2,N(对接源_01水果!$B1000)&gt;$M$3),0,1))</f>
        <v>0</v>
      </c>
      <c r="N1000" s="3">
        <f>IF(OR($N$1="",对接源_01水果!$C1000="",对接源_01水果!$C1000&lt;&gt;$N$1,对接源_01水果!$B1000=""),0,IF(OR(N(对接源_01水果!$B1000)&lt;$N$2,N(对接源_01水果!$B1000)&gt;$N$3),0,1))</f>
        <v>0</v>
      </c>
      <c r="P1000" s="3">
        <f>IF(AND($K1000=1,AND(对接源_01水果!$X1000="公司筐",N(对接源_01水果!$T1000)&lt;&gt;0)),1,0)</f>
        <v>0</v>
      </c>
      <c r="Q1000" s="3">
        <f t="shared" si="266"/>
        <v>0</v>
      </c>
      <c r="R1000" s="3">
        <f>IF(AND($K1000=1,AND(对接源_01水果!$X1000="公司筐",N(对接源_01水果!$U1000)&lt;&gt;0)),1,0)</f>
        <v>0</v>
      </c>
      <c r="S1000" s="3">
        <f t="shared" si="267"/>
        <v>0</v>
      </c>
      <c r="T1000" s="3">
        <f>IF(AND($K1000=1,AND(对接源_01水果!$X1000="公司筐",N(对接源_01水果!$V1000)&lt;&gt;0)),1,0)</f>
        <v>0</v>
      </c>
      <c r="U1000" s="3">
        <f t="shared" si="268"/>
        <v>19</v>
      </c>
      <c r="V1000" s="3">
        <f>IF(AND($L1000=1,AND(对接源_01水果!$X1000="自备筐",N(对接源_01水果!$V1000)&lt;&gt;0)),1,0)</f>
        <v>0</v>
      </c>
      <c r="W1000" s="3">
        <f t="shared" si="269"/>
        <v>8</v>
      </c>
      <c r="X1000" s="3">
        <f>IF(AND($L1000=1,AND(对接源_01水果!$X1000="自备筐",N(对接源_01水果!$T1000)&lt;&gt;0)),1,0)</f>
        <v>0</v>
      </c>
      <c r="Y1000" s="3">
        <f t="shared" si="270"/>
        <v>0</v>
      </c>
      <c r="Z1000" s="3">
        <f>IF(AND($M1000=1,对接源_01水果!$D1000="原料入库"),1,0)</f>
        <v>0</v>
      </c>
      <c r="AA1000" s="3">
        <f t="shared" si="271"/>
        <v>24</v>
      </c>
      <c r="AB1000" s="3">
        <f>IF(AND($M1000=1,LEFT(对接源_01水果!$D1000,4)="原料出库"),1,0)</f>
        <v>0</v>
      </c>
      <c r="AC1000" s="3">
        <f t="shared" si="272"/>
        <v>0</v>
      </c>
      <c r="AD1000" s="3">
        <f>IF(AND($M1000=1,LEFT(对接源_01水果!$D1000,4)="成品出库"),1,0)</f>
        <v>0</v>
      </c>
      <c r="AE1000" s="3">
        <f t="shared" si="273"/>
        <v>0</v>
      </c>
      <c r="AF1000" s="3">
        <f>IF(AND($N1000=1,AND(LEFT(对接源_01水果!$D1000,4)="包装物料",N(对接源_01水果!$K1000)&lt;&gt;0)),1,0)</f>
        <v>0</v>
      </c>
      <c r="AG1000" s="3">
        <f t="shared" si="274"/>
        <v>0</v>
      </c>
      <c r="AH1000" s="3">
        <f>IF(AND($N1000=1,AND(对接源_01水果!$D1000="周转筐－销售出库",N(对接源_01水果!$K1000)&lt;&gt;0)),1,0)</f>
        <v>0</v>
      </c>
      <c r="AI1000" s="3">
        <f t="shared" si="275"/>
        <v>0</v>
      </c>
      <c r="AJ1000" s="7"/>
      <c r="AL1000" s="3">
        <f>IF(OR($AL$1="",对接源_01水果!$Y1000="",对接源_01水果!$Y1000&lt;&gt;$AL$1,对接源_01水果!$B1000="",N(对接源_01水果!$AJ1000)&lt;=0),0,IF(OR(N(对接源_01水果!$B1000)&lt;$AL$2,N(对接源_01水果!$B1000)&gt;$AL$3),0,1))</f>
        <v>0</v>
      </c>
      <c r="AM1000" s="3">
        <f t="shared" si="276"/>
        <v>1</v>
      </c>
      <c r="AN1000" s="3" t="str">
        <f>IF(对接源_01水果!$AC1000="","",对接源_01水果!$AC1000)</f>
        <v/>
      </c>
      <c r="AO1000" s="3">
        <f t="shared" si="277"/>
        <v>0</v>
      </c>
      <c r="AP1000" s="3">
        <f t="shared" si="278"/>
        <v>8</v>
      </c>
      <c r="AR1000">
        <f t="shared" si="279"/>
        <v>0</v>
      </c>
      <c r="AS1000">
        <f t="shared" si="280"/>
        <v>0</v>
      </c>
    </row>
    <row r="1001" ht="14.25" customHeight="1" spans="1:45">
      <c r="A1001" s="3" t="str">
        <f>IF(对接源_01水果!$C1001="","",对接源_01水果!$C1001)</f>
        <v/>
      </c>
      <c r="B1001" s="3">
        <f t="shared" si="264"/>
        <v>0</v>
      </c>
      <c r="C1001" s="3">
        <f t="shared" si="265"/>
        <v>18</v>
      </c>
      <c r="K1001" s="3">
        <f>IF(OR($K$1="",对接源_01水果!$C1001="",对接源_01水果!$C1001&lt;&gt;$K$1,对接源_01水果!$B1001=""),0,IF(OR(N(对接源_01水果!$B1001)&lt;$K$2,N(对接源_01水果!$B1001)&gt;$K$3),0,1))</f>
        <v>0</v>
      </c>
      <c r="L1001" s="3">
        <f>IF(OR($L$1="",对接源_01水果!$C1001="",对接源_01水果!$C1001&lt;&gt;$L$1,对接源_01水果!$B1001=""),0,IF(OR(N(对接源_01水果!$B1001)&lt;$L$2,N(对接源_01水果!$B1001)&gt;$L$3),0,1))</f>
        <v>0</v>
      </c>
      <c r="M1001" s="3">
        <f>IF(OR($M$1="",对接源_01水果!$C1001="",对接源_01水果!$C1001&lt;&gt;$M$1,对接源_01水果!$B1001=""),0,IF(OR(N(对接源_01水果!$B1001)&lt;$M$2,N(对接源_01水果!$B1001)&gt;$M$3),0,1))</f>
        <v>0</v>
      </c>
      <c r="N1001" s="3">
        <f>IF(OR($N$1="",对接源_01水果!$C1001="",对接源_01水果!$C1001&lt;&gt;$N$1,对接源_01水果!$B1001=""),0,IF(OR(N(对接源_01水果!$B1001)&lt;$N$2,N(对接源_01水果!$B1001)&gt;$N$3),0,1))</f>
        <v>0</v>
      </c>
      <c r="P1001" s="3">
        <f>IF(AND($K1001=1,AND(对接源_01水果!$X1001="公司筐",N(对接源_01水果!$T1001)&lt;&gt;0)),1,0)</f>
        <v>0</v>
      </c>
      <c r="Q1001" s="3">
        <f t="shared" si="266"/>
        <v>0</v>
      </c>
      <c r="R1001" s="3">
        <f>IF(AND($K1001=1,AND(对接源_01水果!$X1001="公司筐",N(对接源_01水果!$U1001)&lt;&gt;0)),1,0)</f>
        <v>0</v>
      </c>
      <c r="S1001" s="3">
        <f t="shared" si="267"/>
        <v>0</v>
      </c>
      <c r="T1001" s="3">
        <f>IF(AND($K1001=1,AND(对接源_01水果!$X1001="公司筐",N(对接源_01水果!$V1001)&lt;&gt;0)),1,0)</f>
        <v>0</v>
      </c>
      <c r="U1001" s="3">
        <f t="shared" si="268"/>
        <v>19</v>
      </c>
      <c r="V1001" s="3">
        <f>IF(AND($L1001=1,AND(对接源_01水果!$X1001="自备筐",N(对接源_01水果!$V1001)&lt;&gt;0)),1,0)</f>
        <v>0</v>
      </c>
      <c r="W1001" s="3">
        <f t="shared" si="269"/>
        <v>8</v>
      </c>
      <c r="X1001" s="3">
        <f>IF(AND($L1001=1,AND(对接源_01水果!$X1001="自备筐",N(对接源_01水果!$T1001)&lt;&gt;0)),1,0)</f>
        <v>0</v>
      </c>
      <c r="Y1001" s="3">
        <f t="shared" si="270"/>
        <v>0</v>
      </c>
      <c r="Z1001" s="3">
        <f>IF(AND($M1001=1,对接源_01水果!$D1001="原料入库"),1,0)</f>
        <v>0</v>
      </c>
      <c r="AA1001" s="3">
        <f t="shared" si="271"/>
        <v>24</v>
      </c>
      <c r="AB1001" s="3">
        <f>IF(AND($M1001=1,LEFT(对接源_01水果!$D1001,4)="原料出库"),1,0)</f>
        <v>0</v>
      </c>
      <c r="AC1001" s="3">
        <f t="shared" si="272"/>
        <v>0</v>
      </c>
      <c r="AD1001" s="3">
        <f>IF(AND($M1001=1,LEFT(对接源_01水果!$D1001,4)="成品出库"),1,0)</f>
        <v>0</v>
      </c>
      <c r="AE1001" s="3">
        <f t="shared" si="273"/>
        <v>0</v>
      </c>
      <c r="AF1001" s="3">
        <f>IF(AND($N1001=1,AND(LEFT(对接源_01水果!$D1001,4)="包装物料",N(对接源_01水果!$K1001)&lt;&gt;0)),1,0)</f>
        <v>0</v>
      </c>
      <c r="AG1001" s="3">
        <f t="shared" si="274"/>
        <v>0</v>
      </c>
      <c r="AH1001" s="3">
        <f>IF(AND($N1001=1,AND(对接源_01水果!$D1001="周转筐－销售出库",N(对接源_01水果!$K1001)&lt;&gt;0)),1,0)</f>
        <v>0</v>
      </c>
      <c r="AI1001" s="3">
        <f t="shared" si="275"/>
        <v>0</v>
      </c>
      <c r="AJ1001" s="7"/>
      <c r="AL1001" s="3">
        <f>IF(OR($AL$1="",对接源_01水果!$Y1001="",对接源_01水果!$Y1001&lt;&gt;$AL$1,对接源_01水果!$B1001="",N(对接源_01水果!$AJ1001)&lt;=0),0,IF(OR(N(对接源_01水果!$B1001)&lt;$AL$2,N(对接源_01水果!$B1001)&gt;$AL$3),0,1))</f>
        <v>0</v>
      </c>
      <c r="AM1001" s="3">
        <f t="shared" si="276"/>
        <v>1</v>
      </c>
      <c r="AN1001" s="3" t="str">
        <f>IF(对接源_01水果!$AC1001="","",对接源_01水果!$AC1001)</f>
        <v/>
      </c>
      <c r="AO1001" s="3">
        <f t="shared" si="277"/>
        <v>0</v>
      </c>
      <c r="AP1001" s="3">
        <f t="shared" si="278"/>
        <v>8</v>
      </c>
      <c r="AR1001">
        <f t="shared" si="279"/>
        <v>0</v>
      </c>
      <c r="AS1001">
        <f t="shared" si="280"/>
        <v>0</v>
      </c>
    </row>
    <row r="1002" ht="14.25" customHeight="1" spans="1:45">
      <c r="A1002" s="3" t="str">
        <f>IF(对接源_01水果!$C1002="","",对接源_01水果!$C1002)</f>
        <v/>
      </c>
      <c r="B1002" s="3">
        <f t="shared" si="264"/>
        <v>0</v>
      </c>
      <c r="C1002" s="3">
        <f t="shared" si="265"/>
        <v>18</v>
      </c>
      <c r="K1002" s="3">
        <f>IF(OR($K$1="",对接源_01水果!$C1002="",对接源_01水果!$C1002&lt;&gt;$K$1,对接源_01水果!$B1002=""),0,IF(OR(N(对接源_01水果!$B1002)&lt;$K$2,N(对接源_01水果!$B1002)&gt;$K$3),0,1))</f>
        <v>0</v>
      </c>
      <c r="L1002" s="3">
        <f>IF(OR($L$1="",对接源_01水果!$C1002="",对接源_01水果!$C1002&lt;&gt;$L$1,对接源_01水果!$B1002=""),0,IF(OR(N(对接源_01水果!$B1002)&lt;$L$2,N(对接源_01水果!$B1002)&gt;$L$3),0,1))</f>
        <v>0</v>
      </c>
      <c r="M1002" s="3">
        <f>IF(OR($M$1="",对接源_01水果!$C1002="",对接源_01水果!$C1002&lt;&gt;$M$1,对接源_01水果!$B1002=""),0,IF(OR(N(对接源_01水果!$B1002)&lt;$M$2,N(对接源_01水果!$B1002)&gt;$M$3),0,1))</f>
        <v>0</v>
      </c>
      <c r="N1002" s="3">
        <f>IF(OR($N$1="",对接源_01水果!$C1002="",对接源_01水果!$C1002&lt;&gt;$N$1,对接源_01水果!$B1002=""),0,IF(OR(N(对接源_01水果!$B1002)&lt;$N$2,N(对接源_01水果!$B1002)&gt;$N$3),0,1))</f>
        <v>0</v>
      </c>
      <c r="P1002" s="3">
        <f>IF(AND($K1002=1,AND(对接源_01水果!$X1002="公司筐",N(对接源_01水果!$T1002)&lt;&gt;0)),1,0)</f>
        <v>0</v>
      </c>
      <c r="Q1002" s="3">
        <f t="shared" si="266"/>
        <v>0</v>
      </c>
      <c r="R1002" s="3">
        <f>IF(AND($K1002=1,AND(对接源_01水果!$X1002="公司筐",N(对接源_01水果!$U1002)&lt;&gt;0)),1,0)</f>
        <v>0</v>
      </c>
      <c r="S1002" s="3">
        <f t="shared" si="267"/>
        <v>0</v>
      </c>
      <c r="T1002" s="3">
        <f>IF(AND($K1002=1,AND(对接源_01水果!$X1002="公司筐",N(对接源_01水果!$V1002)&lt;&gt;0)),1,0)</f>
        <v>0</v>
      </c>
      <c r="U1002" s="3">
        <f t="shared" si="268"/>
        <v>19</v>
      </c>
      <c r="V1002" s="3">
        <f>IF(AND($L1002=1,AND(对接源_01水果!$X1002="自备筐",N(对接源_01水果!$V1002)&lt;&gt;0)),1,0)</f>
        <v>0</v>
      </c>
      <c r="W1002" s="3">
        <f t="shared" si="269"/>
        <v>8</v>
      </c>
      <c r="X1002" s="3">
        <f>IF(AND($L1002=1,AND(对接源_01水果!$X1002="自备筐",N(对接源_01水果!$T1002)&lt;&gt;0)),1,0)</f>
        <v>0</v>
      </c>
      <c r="Y1002" s="3">
        <f t="shared" si="270"/>
        <v>0</v>
      </c>
      <c r="Z1002" s="3">
        <f>IF(AND($M1002=1,对接源_01水果!$D1002="原料入库"),1,0)</f>
        <v>0</v>
      </c>
      <c r="AA1002" s="3">
        <f t="shared" si="271"/>
        <v>24</v>
      </c>
      <c r="AB1002" s="3">
        <f>IF(AND($M1002=1,LEFT(对接源_01水果!$D1002,4)="原料出库"),1,0)</f>
        <v>0</v>
      </c>
      <c r="AC1002" s="3">
        <f t="shared" si="272"/>
        <v>0</v>
      </c>
      <c r="AD1002" s="3">
        <f>IF(AND($M1002=1,LEFT(对接源_01水果!$D1002,4)="成品出库"),1,0)</f>
        <v>0</v>
      </c>
      <c r="AE1002" s="3">
        <f t="shared" si="273"/>
        <v>0</v>
      </c>
      <c r="AF1002" s="3">
        <f>IF(AND($N1002=1,AND(LEFT(对接源_01水果!$D1002,4)="包装物料",N(对接源_01水果!$K1002)&lt;&gt;0)),1,0)</f>
        <v>0</v>
      </c>
      <c r="AG1002" s="3">
        <f t="shared" si="274"/>
        <v>0</v>
      </c>
      <c r="AH1002" s="3">
        <f>IF(AND($N1002=1,AND(对接源_01水果!$D1002="周转筐－销售出库",N(对接源_01水果!$K1002)&lt;&gt;0)),1,0)</f>
        <v>0</v>
      </c>
      <c r="AI1002" s="3">
        <f t="shared" si="275"/>
        <v>0</v>
      </c>
      <c r="AJ1002" s="7"/>
      <c r="AL1002" s="3">
        <f>IF(OR($AL$1="",对接源_01水果!$Y1002="",对接源_01水果!$Y1002&lt;&gt;$AL$1,对接源_01水果!$B1002="",N(对接源_01水果!$AJ1002)&lt;=0),0,IF(OR(N(对接源_01水果!$B1002)&lt;$AL$2,N(对接源_01水果!$B1002)&gt;$AL$3),0,1))</f>
        <v>0</v>
      </c>
      <c r="AM1002" s="3">
        <f t="shared" si="276"/>
        <v>1</v>
      </c>
      <c r="AN1002" s="3" t="str">
        <f>IF(对接源_01水果!$AC1002="","",对接源_01水果!$AC1002)</f>
        <v/>
      </c>
      <c r="AO1002" s="3">
        <f t="shared" si="277"/>
        <v>0</v>
      </c>
      <c r="AP1002" s="3">
        <f t="shared" si="278"/>
        <v>8</v>
      </c>
      <c r="AR1002">
        <f t="shared" si="279"/>
        <v>0</v>
      </c>
      <c r="AS1002">
        <f t="shared" si="280"/>
        <v>0</v>
      </c>
    </row>
    <row r="1003" ht="14.25" customHeight="1" spans="1:45">
      <c r="A1003" s="3" t="str">
        <f>IF(对接源_01水果!$C1003="","",对接源_01水果!$C1003)</f>
        <v/>
      </c>
      <c r="B1003" s="3">
        <f t="shared" si="264"/>
        <v>0</v>
      </c>
      <c r="C1003" s="3">
        <f t="shared" si="265"/>
        <v>18</v>
      </c>
      <c r="K1003" s="3">
        <f>IF(OR($K$1="",对接源_01水果!$C1003="",对接源_01水果!$C1003&lt;&gt;$K$1,对接源_01水果!$B1003=""),0,IF(OR(N(对接源_01水果!$B1003)&lt;$K$2,N(对接源_01水果!$B1003)&gt;$K$3),0,1))</f>
        <v>0</v>
      </c>
      <c r="L1003" s="3">
        <f>IF(OR($L$1="",对接源_01水果!$C1003="",对接源_01水果!$C1003&lt;&gt;$L$1,对接源_01水果!$B1003=""),0,IF(OR(N(对接源_01水果!$B1003)&lt;$L$2,N(对接源_01水果!$B1003)&gt;$L$3),0,1))</f>
        <v>0</v>
      </c>
      <c r="M1003" s="3">
        <f>IF(OR($M$1="",对接源_01水果!$C1003="",对接源_01水果!$C1003&lt;&gt;$M$1,对接源_01水果!$B1003=""),0,IF(OR(N(对接源_01水果!$B1003)&lt;$M$2,N(对接源_01水果!$B1003)&gt;$M$3),0,1))</f>
        <v>0</v>
      </c>
      <c r="N1003" s="3">
        <f>IF(OR($N$1="",对接源_01水果!$C1003="",对接源_01水果!$C1003&lt;&gt;$N$1,对接源_01水果!$B1003=""),0,IF(OR(N(对接源_01水果!$B1003)&lt;$N$2,N(对接源_01水果!$B1003)&gt;$N$3),0,1))</f>
        <v>0</v>
      </c>
      <c r="P1003" s="3">
        <f>IF(AND($K1003=1,AND(对接源_01水果!$X1003="公司筐",N(对接源_01水果!$T1003)&lt;&gt;0)),1,0)</f>
        <v>0</v>
      </c>
      <c r="Q1003" s="3">
        <f t="shared" si="266"/>
        <v>0</v>
      </c>
      <c r="R1003" s="3">
        <f>IF(AND($K1003=1,AND(对接源_01水果!$X1003="公司筐",N(对接源_01水果!$U1003)&lt;&gt;0)),1,0)</f>
        <v>0</v>
      </c>
      <c r="S1003" s="3">
        <f t="shared" si="267"/>
        <v>0</v>
      </c>
      <c r="T1003" s="3">
        <f>IF(AND($K1003=1,AND(对接源_01水果!$X1003="公司筐",N(对接源_01水果!$V1003)&lt;&gt;0)),1,0)</f>
        <v>0</v>
      </c>
      <c r="U1003" s="3">
        <f t="shared" si="268"/>
        <v>19</v>
      </c>
      <c r="V1003" s="3">
        <f>IF(AND($L1003=1,AND(对接源_01水果!$X1003="自备筐",N(对接源_01水果!$V1003)&lt;&gt;0)),1,0)</f>
        <v>0</v>
      </c>
      <c r="W1003" s="3">
        <f t="shared" si="269"/>
        <v>8</v>
      </c>
      <c r="X1003" s="3">
        <f>IF(AND($L1003=1,AND(对接源_01水果!$X1003="自备筐",N(对接源_01水果!$T1003)&lt;&gt;0)),1,0)</f>
        <v>0</v>
      </c>
      <c r="Y1003" s="3">
        <f t="shared" si="270"/>
        <v>0</v>
      </c>
      <c r="Z1003" s="3">
        <f>IF(AND($M1003=1,对接源_01水果!$D1003="原料入库"),1,0)</f>
        <v>0</v>
      </c>
      <c r="AA1003" s="3">
        <f t="shared" si="271"/>
        <v>24</v>
      </c>
      <c r="AB1003" s="3">
        <f>IF(AND($M1003=1,LEFT(对接源_01水果!$D1003,4)="原料出库"),1,0)</f>
        <v>0</v>
      </c>
      <c r="AC1003" s="3">
        <f t="shared" si="272"/>
        <v>0</v>
      </c>
      <c r="AD1003" s="3">
        <f>IF(AND($M1003=1,LEFT(对接源_01水果!$D1003,4)="成品出库"),1,0)</f>
        <v>0</v>
      </c>
      <c r="AE1003" s="3">
        <f t="shared" si="273"/>
        <v>0</v>
      </c>
      <c r="AF1003" s="3">
        <f>IF(AND($N1003=1,AND(LEFT(对接源_01水果!$D1003,4)="包装物料",N(对接源_01水果!$K1003)&lt;&gt;0)),1,0)</f>
        <v>0</v>
      </c>
      <c r="AG1003" s="3">
        <f t="shared" si="274"/>
        <v>0</v>
      </c>
      <c r="AH1003" s="3">
        <f>IF(AND($N1003=1,AND(对接源_01水果!$D1003="周转筐－销售出库",N(对接源_01水果!$K1003)&lt;&gt;0)),1,0)</f>
        <v>0</v>
      </c>
      <c r="AI1003" s="3">
        <f t="shared" si="275"/>
        <v>0</v>
      </c>
      <c r="AJ1003" s="7"/>
      <c r="AL1003" s="3">
        <f>IF(OR($AL$1="",对接源_01水果!$Y1003="",对接源_01水果!$Y1003&lt;&gt;$AL$1,对接源_01水果!$B1003="",N(对接源_01水果!$AJ1003)&lt;=0),0,IF(OR(N(对接源_01水果!$B1003)&lt;$AL$2,N(对接源_01水果!$B1003)&gt;$AL$3),0,1))</f>
        <v>0</v>
      </c>
      <c r="AM1003" s="3">
        <f t="shared" si="276"/>
        <v>1</v>
      </c>
      <c r="AN1003" s="3" t="str">
        <f>IF(对接源_01水果!$AC1003="","",对接源_01水果!$AC1003)</f>
        <v/>
      </c>
      <c r="AO1003" s="3">
        <f t="shared" si="277"/>
        <v>0</v>
      </c>
      <c r="AP1003" s="3">
        <f t="shared" si="278"/>
        <v>8</v>
      </c>
      <c r="AR1003">
        <f t="shared" si="279"/>
        <v>0</v>
      </c>
      <c r="AS1003">
        <f t="shared" si="280"/>
        <v>0</v>
      </c>
    </row>
    <row r="1004" ht="14.25" customHeight="1" spans="1:45">
      <c r="A1004" s="3" t="str">
        <f>IF(对接源_01水果!$C1004="","",对接源_01水果!$C1004)</f>
        <v/>
      </c>
      <c r="B1004" s="3">
        <f t="shared" si="264"/>
        <v>0</v>
      </c>
      <c r="C1004" s="3">
        <f t="shared" si="265"/>
        <v>18</v>
      </c>
      <c r="K1004" s="3">
        <f>IF(OR($K$1="",对接源_01水果!$C1004="",对接源_01水果!$C1004&lt;&gt;$K$1,对接源_01水果!$B1004=""),0,IF(OR(N(对接源_01水果!$B1004)&lt;$K$2,N(对接源_01水果!$B1004)&gt;$K$3),0,1))</f>
        <v>0</v>
      </c>
      <c r="L1004" s="3">
        <f>IF(OR($L$1="",对接源_01水果!$C1004="",对接源_01水果!$C1004&lt;&gt;$L$1,对接源_01水果!$B1004=""),0,IF(OR(N(对接源_01水果!$B1004)&lt;$L$2,N(对接源_01水果!$B1004)&gt;$L$3),0,1))</f>
        <v>0</v>
      </c>
      <c r="M1004" s="3">
        <f>IF(OR($M$1="",对接源_01水果!$C1004="",对接源_01水果!$C1004&lt;&gt;$M$1,对接源_01水果!$B1004=""),0,IF(OR(N(对接源_01水果!$B1004)&lt;$M$2,N(对接源_01水果!$B1004)&gt;$M$3),0,1))</f>
        <v>0</v>
      </c>
      <c r="N1004" s="3">
        <f>IF(OR($N$1="",对接源_01水果!$C1004="",对接源_01水果!$C1004&lt;&gt;$N$1,对接源_01水果!$B1004=""),0,IF(OR(N(对接源_01水果!$B1004)&lt;$N$2,N(对接源_01水果!$B1004)&gt;$N$3),0,1))</f>
        <v>0</v>
      </c>
      <c r="P1004" s="3">
        <f>IF(AND($K1004=1,AND(对接源_01水果!$X1004="公司筐",N(对接源_01水果!$T1004)&lt;&gt;0)),1,0)</f>
        <v>0</v>
      </c>
      <c r="Q1004" s="3">
        <f t="shared" si="266"/>
        <v>0</v>
      </c>
      <c r="R1004" s="3">
        <f>IF(AND($K1004=1,AND(对接源_01水果!$X1004="公司筐",N(对接源_01水果!$U1004)&lt;&gt;0)),1,0)</f>
        <v>0</v>
      </c>
      <c r="S1004" s="3">
        <f t="shared" si="267"/>
        <v>0</v>
      </c>
      <c r="T1004" s="3">
        <f>IF(AND($K1004=1,AND(对接源_01水果!$X1004="公司筐",N(对接源_01水果!$V1004)&lt;&gt;0)),1,0)</f>
        <v>0</v>
      </c>
      <c r="U1004" s="3">
        <f t="shared" si="268"/>
        <v>19</v>
      </c>
      <c r="V1004" s="3">
        <f>IF(AND($L1004=1,AND(对接源_01水果!$X1004="自备筐",N(对接源_01水果!$V1004)&lt;&gt;0)),1,0)</f>
        <v>0</v>
      </c>
      <c r="W1004" s="3">
        <f t="shared" si="269"/>
        <v>8</v>
      </c>
      <c r="X1004" s="3">
        <f>IF(AND($L1004=1,AND(对接源_01水果!$X1004="自备筐",N(对接源_01水果!$T1004)&lt;&gt;0)),1,0)</f>
        <v>0</v>
      </c>
      <c r="Y1004" s="3">
        <f t="shared" si="270"/>
        <v>0</v>
      </c>
      <c r="Z1004" s="3">
        <f>IF(AND($M1004=1,对接源_01水果!$D1004="原料入库"),1,0)</f>
        <v>0</v>
      </c>
      <c r="AA1004" s="3">
        <f t="shared" si="271"/>
        <v>24</v>
      </c>
      <c r="AB1004" s="3">
        <f>IF(AND($M1004=1,LEFT(对接源_01水果!$D1004,4)="原料出库"),1,0)</f>
        <v>0</v>
      </c>
      <c r="AC1004" s="3">
        <f t="shared" si="272"/>
        <v>0</v>
      </c>
      <c r="AD1004" s="3">
        <f>IF(AND($M1004=1,LEFT(对接源_01水果!$D1004,4)="成品出库"),1,0)</f>
        <v>0</v>
      </c>
      <c r="AE1004" s="3">
        <f t="shared" si="273"/>
        <v>0</v>
      </c>
      <c r="AF1004" s="3">
        <f>IF(AND($N1004=1,AND(LEFT(对接源_01水果!$D1004,4)="包装物料",N(对接源_01水果!$K1004)&lt;&gt;0)),1,0)</f>
        <v>0</v>
      </c>
      <c r="AG1004" s="3">
        <f t="shared" si="274"/>
        <v>0</v>
      </c>
      <c r="AH1004" s="3">
        <f>IF(AND($N1004=1,AND(对接源_01水果!$D1004="周转筐－销售出库",N(对接源_01水果!$K1004)&lt;&gt;0)),1,0)</f>
        <v>0</v>
      </c>
      <c r="AI1004" s="3">
        <f t="shared" si="275"/>
        <v>0</v>
      </c>
      <c r="AJ1004" s="7"/>
      <c r="AL1004" s="3">
        <f>IF(OR($AL$1="",对接源_01水果!$Y1004="",对接源_01水果!$Y1004&lt;&gt;$AL$1,对接源_01水果!$B1004="",N(对接源_01水果!$AJ1004)&lt;=0),0,IF(OR(N(对接源_01水果!$B1004)&lt;$AL$2,N(对接源_01水果!$B1004)&gt;$AL$3),0,1))</f>
        <v>0</v>
      </c>
      <c r="AM1004" s="3">
        <f t="shared" si="276"/>
        <v>1</v>
      </c>
      <c r="AN1004" s="3" t="str">
        <f>IF(对接源_01水果!$AC1004="","",对接源_01水果!$AC1004)</f>
        <v/>
      </c>
      <c r="AO1004" s="3">
        <f t="shared" si="277"/>
        <v>0</v>
      </c>
      <c r="AP1004" s="3">
        <f t="shared" si="278"/>
        <v>8</v>
      </c>
      <c r="AR1004">
        <f t="shared" si="279"/>
        <v>0</v>
      </c>
      <c r="AS1004">
        <f t="shared" si="280"/>
        <v>0</v>
      </c>
    </row>
    <row r="1005" ht="14.25" customHeight="1" spans="1:45">
      <c r="A1005" s="3" t="str">
        <f>IF(对接源_01水果!$C1005="","",对接源_01水果!$C1005)</f>
        <v/>
      </c>
      <c r="B1005" s="3">
        <f t="shared" si="264"/>
        <v>0</v>
      </c>
      <c r="C1005" s="3">
        <f t="shared" si="265"/>
        <v>18</v>
      </c>
      <c r="K1005" s="3">
        <f>IF(OR($K$1="",对接源_01水果!$C1005="",对接源_01水果!$C1005&lt;&gt;$K$1,对接源_01水果!$B1005=""),0,IF(OR(N(对接源_01水果!$B1005)&lt;$K$2,N(对接源_01水果!$B1005)&gt;$K$3),0,1))</f>
        <v>0</v>
      </c>
      <c r="L1005" s="3">
        <f>IF(OR($L$1="",对接源_01水果!$C1005="",对接源_01水果!$C1005&lt;&gt;$L$1,对接源_01水果!$B1005=""),0,IF(OR(N(对接源_01水果!$B1005)&lt;$L$2,N(对接源_01水果!$B1005)&gt;$L$3),0,1))</f>
        <v>0</v>
      </c>
      <c r="M1005" s="3">
        <f>IF(OR($M$1="",对接源_01水果!$C1005="",对接源_01水果!$C1005&lt;&gt;$M$1,对接源_01水果!$B1005=""),0,IF(OR(N(对接源_01水果!$B1005)&lt;$M$2,N(对接源_01水果!$B1005)&gt;$M$3),0,1))</f>
        <v>0</v>
      </c>
      <c r="N1005" s="3">
        <f>IF(OR($N$1="",对接源_01水果!$C1005="",对接源_01水果!$C1005&lt;&gt;$N$1,对接源_01水果!$B1005=""),0,IF(OR(N(对接源_01水果!$B1005)&lt;$N$2,N(对接源_01水果!$B1005)&gt;$N$3),0,1))</f>
        <v>0</v>
      </c>
      <c r="P1005" s="3">
        <f>IF(AND($K1005=1,AND(对接源_01水果!$X1005="公司筐",N(对接源_01水果!$T1005)&lt;&gt;0)),1,0)</f>
        <v>0</v>
      </c>
      <c r="Q1005" s="3">
        <f t="shared" si="266"/>
        <v>0</v>
      </c>
      <c r="R1005" s="3">
        <f>IF(AND($K1005=1,AND(对接源_01水果!$X1005="公司筐",N(对接源_01水果!$U1005)&lt;&gt;0)),1,0)</f>
        <v>0</v>
      </c>
      <c r="S1005" s="3">
        <f t="shared" si="267"/>
        <v>0</v>
      </c>
      <c r="T1005" s="3">
        <f>IF(AND($K1005=1,AND(对接源_01水果!$X1005="公司筐",N(对接源_01水果!$V1005)&lt;&gt;0)),1,0)</f>
        <v>0</v>
      </c>
      <c r="U1005" s="3">
        <f t="shared" si="268"/>
        <v>19</v>
      </c>
      <c r="V1005" s="3">
        <f>IF(AND($L1005=1,AND(对接源_01水果!$X1005="自备筐",N(对接源_01水果!$V1005)&lt;&gt;0)),1,0)</f>
        <v>0</v>
      </c>
      <c r="W1005" s="3">
        <f t="shared" si="269"/>
        <v>8</v>
      </c>
      <c r="X1005" s="3">
        <f>IF(AND($L1005=1,AND(对接源_01水果!$X1005="自备筐",N(对接源_01水果!$T1005)&lt;&gt;0)),1,0)</f>
        <v>0</v>
      </c>
      <c r="Y1005" s="3">
        <f t="shared" si="270"/>
        <v>0</v>
      </c>
      <c r="Z1005" s="3">
        <f>IF(AND($M1005=1,对接源_01水果!$D1005="原料入库"),1,0)</f>
        <v>0</v>
      </c>
      <c r="AA1005" s="3">
        <f t="shared" si="271"/>
        <v>24</v>
      </c>
      <c r="AB1005" s="3">
        <f>IF(AND($M1005=1,LEFT(对接源_01水果!$D1005,4)="原料出库"),1,0)</f>
        <v>0</v>
      </c>
      <c r="AC1005" s="3">
        <f t="shared" si="272"/>
        <v>0</v>
      </c>
      <c r="AD1005" s="3">
        <f>IF(AND($M1005=1,LEFT(对接源_01水果!$D1005,4)="成品出库"),1,0)</f>
        <v>0</v>
      </c>
      <c r="AE1005" s="3">
        <f t="shared" si="273"/>
        <v>0</v>
      </c>
      <c r="AF1005" s="3">
        <f>IF(AND($N1005=1,AND(LEFT(对接源_01水果!$D1005,4)="包装物料",N(对接源_01水果!$K1005)&lt;&gt;0)),1,0)</f>
        <v>0</v>
      </c>
      <c r="AG1005" s="3">
        <f t="shared" si="274"/>
        <v>0</v>
      </c>
      <c r="AH1005" s="3">
        <f>IF(AND($N1005=1,AND(对接源_01水果!$D1005="周转筐－销售出库",N(对接源_01水果!$K1005)&lt;&gt;0)),1,0)</f>
        <v>0</v>
      </c>
      <c r="AI1005" s="3">
        <f t="shared" si="275"/>
        <v>0</v>
      </c>
      <c r="AJ1005" s="7"/>
      <c r="AL1005" s="3">
        <f>IF(OR($AL$1="",对接源_01水果!$Y1005="",对接源_01水果!$Y1005&lt;&gt;$AL$1,对接源_01水果!$B1005="",N(对接源_01水果!$AJ1005)&lt;=0),0,IF(OR(N(对接源_01水果!$B1005)&lt;$AL$2,N(对接源_01水果!$B1005)&gt;$AL$3),0,1))</f>
        <v>0</v>
      </c>
      <c r="AM1005" s="3">
        <f t="shared" si="276"/>
        <v>1</v>
      </c>
      <c r="AN1005" s="3" t="str">
        <f>IF(对接源_01水果!$AC1005="","",对接源_01水果!$AC1005)</f>
        <v/>
      </c>
      <c r="AO1005" s="3">
        <f t="shared" si="277"/>
        <v>0</v>
      </c>
      <c r="AP1005" s="3">
        <f t="shared" si="278"/>
        <v>8</v>
      </c>
      <c r="AR1005">
        <f t="shared" si="279"/>
        <v>0</v>
      </c>
      <c r="AS1005">
        <f t="shared" si="280"/>
        <v>0</v>
      </c>
    </row>
    <row r="1006" ht="14.25" customHeight="1" spans="1:45">
      <c r="A1006" s="3" t="str">
        <f>IF(对接源_01水果!$C1006="","",对接源_01水果!$C1006)</f>
        <v/>
      </c>
      <c r="B1006" s="3">
        <f t="shared" si="264"/>
        <v>0</v>
      </c>
      <c r="C1006" s="3">
        <f t="shared" si="265"/>
        <v>18</v>
      </c>
      <c r="K1006" s="3">
        <f>IF(OR($K$1="",对接源_01水果!$C1006="",对接源_01水果!$C1006&lt;&gt;$K$1,对接源_01水果!$B1006=""),0,IF(OR(N(对接源_01水果!$B1006)&lt;$K$2,N(对接源_01水果!$B1006)&gt;$K$3),0,1))</f>
        <v>0</v>
      </c>
      <c r="L1006" s="3">
        <f>IF(OR($L$1="",对接源_01水果!$C1006="",对接源_01水果!$C1006&lt;&gt;$L$1,对接源_01水果!$B1006=""),0,IF(OR(N(对接源_01水果!$B1006)&lt;$L$2,N(对接源_01水果!$B1006)&gt;$L$3),0,1))</f>
        <v>0</v>
      </c>
      <c r="M1006" s="3">
        <f>IF(OR($M$1="",对接源_01水果!$C1006="",对接源_01水果!$C1006&lt;&gt;$M$1,对接源_01水果!$B1006=""),0,IF(OR(N(对接源_01水果!$B1006)&lt;$M$2,N(对接源_01水果!$B1006)&gt;$M$3),0,1))</f>
        <v>0</v>
      </c>
      <c r="N1006" s="3">
        <f>IF(OR($N$1="",对接源_01水果!$C1006="",对接源_01水果!$C1006&lt;&gt;$N$1,对接源_01水果!$B1006=""),0,IF(OR(N(对接源_01水果!$B1006)&lt;$N$2,N(对接源_01水果!$B1006)&gt;$N$3),0,1))</f>
        <v>0</v>
      </c>
      <c r="P1006" s="3">
        <f>IF(AND($K1006=1,AND(对接源_01水果!$X1006="公司筐",N(对接源_01水果!$T1006)&lt;&gt;0)),1,0)</f>
        <v>0</v>
      </c>
      <c r="Q1006" s="3">
        <f t="shared" si="266"/>
        <v>0</v>
      </c>
      <c r="R1006" s="3">
        <f>IF(AND($K1006=1,AND(对接源_01水果!$X1006="公司筐",N(对接源_01水果!$U1006)&lt;&gt;0)),1,0)</f>
        <v>0</v>
      </c>
      <c r="S1006" s="3">
        <f t="shared" si="267"/>
        <v>0</v>
      </c>
      <c r="T1006" s="3">
        <f>IF(AND($K1006=1,AND(对接源_01水果!$X1006="公司筐",N(对接源_01水果!$V1006)&lt;&gt;0)),1,0)</f>
        <v>0</v>
      </c>
      <c r="U1006" s="3">
        <f t="shared" si="268"/>
        <v>19</v>
      </c>
      <c r="V1006" s="3">
        <f>IF(AND($L1006=1,AND(对接源_01水果!$X1006="自备筐",N(对接源_01水果!$V1006)&lt;&gt;0)),1,0)</f>
        <v>0</v>
      </c>
      <c r="W1006" s="3">
        <f t="shared" si="269"/>
        <v>8</v>
      </c>
      <c r="X1006" s="3">
        <f>IF(AND($L1006=1,AND(对接源_01水果!$X1006="自备筐",N(对接源_01水果!$T1006)&lt;&gt;0)),1,0)</f>
        <v>0</v>
      </c>
      <c r="Y1006" s="3">
        <f t="shared" si="270"/>
        <v>0</v>
      </c>
      <c r="Z1006" s="3">
        <f>IF(AND($M1006=1,对接源_01水果!$D1006="原料入库"),1,0)</f>
        <v>0</v>
      </c>
      <c r="AA1006" s="3">
        <f t="shared" si="271"/>
        <v>24</v>
      </c>
      <c r="AB1006" s="3">
        <f>IF(AND($M1006=1,LEFT(对接源_01水果!$D1006,4)="原料出库"),1,0)</f>
        <v>0</v>
      </c>
      <c r="AC1006" s="3">
        <f t="shared" si="272"/>
        <v>0</v>
      </c>
      <c r="AD1006" s="3">
        <f>IF(AND($M1006=1,LEFT(对接源_01水果!$D1006,4)="成品出库"),1,0)</f>
        <v>0</v>
      </c>
      <c r="AE1006" s="3">
        <f t="shared" si="273"/>
        <v>0</v>
      </c>
      <c r="AF1006" s="3">
        <f>IF(AND($N1006=1,AND(LEFT(对接源_01水果!$D1006,4)="包装物料",N(对接源_01水果!$K1006)&lt;&gt;0)),1,0)</f>
        <v>0</v>
      </c>
      <c r="AG1006" s="3">
        <f t="shared" si="274"/>
        <v>0</v>
      </c>
      <c r="AH1006" s="3">
        <f>IF(AND($N1006=1,AND(对接源_01水果!$D1006="周转筐－销售出库",N(对接源_01水果!$K1006)&lt;&gt;0)),1,0)</f>
        <v>0</v>
      </c>
      <c r="AI1006" s="3">
        <f t="shared" si="275"/>
        <v>0</v>
      </c>
      <c r="AJ1006" s="7"/>
      <c r="AL1006" s="3">
        <f>IF(OR($AL$1="",对接源_01水果!$Y1006="",对接源_01水果!$Y1006&lt;&gt;$AL$1,对接源_01水果!$B1006="",N(对接源_01水果!$AJ1006)&lt;=0),0,IF(OR(N(对接源_01水果!$B1006)&lt;$AL$2,N(对接源_01水果!$B1006)&gt;$AL$3),0,1))</f>
        <v>0</v>
      </c>
      <c r="AM1006" s="3">
        <f t="shared" si="276"/>
        <v>1</v>
      </c>
      <c r="AN1006" s="3" t="str">
        <f>IF(对接源_01水果!$AC1006="","",对接源_01水果!$AC1006)</f>
        <v/>
      </c>
      <c r="AO1006" s="3">
        <f t="shared" si="277"/>
        <v>0</v>
      </c>
      <c r="AP1006" s="3">
        <f t="shared" si="278"/>
        <v>8</v>
      </c>
      <c r="AR1006">
        <f t="shared" si="279"/>
        <v>0</v>
      </c>
      <c r="AS1006">
        <f t="shared" si="280"/>
        <v>0</v>
      </c>
    </row>
    <row r="1007" ht="14.25" customHeight="1" spans="1:45">
      <c r="A1007" s="3" t="str">
        <f>IF(对接源_01水果!$C1007="","",对接源_01水果!$C1007)</f>
        <v/>
      </c>
      <c r="B1007" s="3">
        <f t="shared" si="264"/>
        <v>0</v>
      </c>
      <c r="C1007" s="3">
        <f t="shared" si="265"/>
        <v>18</v>
      </c>
      <c r="K1007" s="3">
        <f>IF(OR($K$1="",对接源_01水果!$C1007="",对接源_01水果!$C1007&lt;&gt;$K$1,对接源_01水果!$B1007=""),0,IF(OR(N(对接源_01水果!$B1007)&lt;$K$2,N(对接源_01水果!$B1007)&gt;$K$3),0,1))</f>
        <v>0</v>
      </c>
      <c r="L1007" s="3">
        <f>IF(OR($L$1="",对接源_01水果!$C1007="",对接源_01水果!$C1007&lt;&gt;$L$1,对接源_01水果!$B1007=""),0,IF(OR(N(对接源_01水果!$B1007)&lt;$L$2,N(对接源_01水果!$B1007)&gt;$L$3),0,1))</f>
        <v>0</v>
      </c>
      <c r="M1007" s="3">
        <f>IF(OR($M$1="",对接源_01水果!$C1007="",对接源_01水果!$C1007&lt;&gt;$M$1,对接源_01水果!$B1007=""),0,IF(OR(N(对接源_01水果!$B1007)&lt;$M$2,N(对接源_01水果!$B1007)&gt;$M$3),0,1))</f>
        <v>0</v>
      </c>
      <c r="N1007" s="3">
        <f>IF(OR($N$1="",对接源_01水果!$C1007="",对接源_01水果!$C1007&lt;&gt;$N$1,对接源_01水果!$B1007=""),0,IF(OR(N(对接源_01水果!$B1007)&lt;$N$2,N(对接源_01水果!$B1007)&gt;$N$3),0,1))</f>
        <v>0</v>
      </c>
      <c r="P1007" s="3">
        <f>IF(AND($K1007=1,AND(对接源_01水果!$X1007="公司筐",N(对接源_01水果!$T1007)&lt;&gt;0)),1,0)</f>
        <v>0</v>
      </c>
      <c r="Q1007" s="3">
        <f t="shared" si="266"/>
        <v>0</v>
      </c>
      <c r="R1007" s="3">
        <f>IF(AND($K1007=1,AND(对接源_01水果!$X1007="公司筐",N(对接源_01水果!$U1007)&lt;&gt;0)),1,0)</f>
        <v>0</v>
      </c>
      <c r="S1007" s="3">
        <f t="shared" si="267"/>
        <v>0</v>
      </c>
      <c r="T1007" s="3">
        <f>IF(AND($K1007=1,AND(对接源_01水果!$X1007="公司筐",N(对接源_01水果!$V1007)&lt;&gt;0)),1,0)</f>
        <v>0</v>
      </c>
      <c r="U1007" s="3">
        <f t="shared" si="268"/>
        <v>19</v>
      </c>
      <c r="V1007" s="3">
        <f>IF(AND($L1007=1,AND(对接源_01水果!$X1007="自备筐",N(对接源_01水果!$V1007)&lt;&gt;0)),1,0)</f>
        <v>0</v>
      </c>
      <c r="W1007" s="3">
        <f t="shared" si="269"/>
        <v>8</v>
      </c>
      <c r="X1007" s="3">
        <f>IF(AND($L1007=1,AND(对接源_01水果!$X1007="自备筐",N(对接源_01水果!$T1007)&lt;&gt;0)),1,0)</f>
        <v>0</v>
      </c>
      <c r="Y1007" s="3">
        <f t="shared" si="270"/>
        <v>0</v>
      </c>
      <c r="Z1007" s="3">
        <f>IF(AND($M1007=1,对接源_01水果!$D1007="原料入库"),1,0)</f>
        <v>0</v>
      </c>
      <c r="AA1007" s="3">
        <f t="shared" si="271"/>
        <v>24</v>
      </c>
      <c r="AB1007" s="3">
        <f>IF(AND($M1007=1,LEFT(对接源_01水果!$D1007,4)="原料出库"),1,0)</f>
        <v>0</v>
      </c>
      <c r="AC1007" s="3">
        <f t="shared" si="272"/>
        <v>0</v>
      </c>
      <c r="AD1007" s="3">
        <f>IF(AND($M1007=1,LEFT(对接源_01水果!$D1007,4)="成品出库"),1,0)</f>
        <v>0</v>
      </c>
      <c r="AE1007" s="3">
        <f t="shared" si="273"/>
        <v>0</v>
      </c>
      <c r="AF1007" s="3">
        <f>IF(AND($N1007=1,AND(LEFT(对接源_01水果!$D1007,4)="包装物料",N(对接源_01水果!$K1007)&lt;&gt;0)),1,0)</f>
        <v>0</v>
      </c>
      <c r="AG1007" s="3">
        <f t="shared" si="274"/>
        <v>0</v>
      </c>
      <c r="AH1007" s="3">
        <f>IF(AND($N1007=1,AND(对接源_01水果!$D1007="周转筐－销售出库",N(对接源_01水果!$K1007)&lt;&gt;0)),1,0)</f>
        <v>0</v>
      </c>
      <c r="AI1007" s="3">
        <f t="shared" si="275"/>
        <v>0</v>
      </c>
      <c r="AJ1007" s="7"/>
      <c r="AL1007" s="3">
        <f>IF(OR($AL$1="",对接源_01水果!$Y1007="",对接源_01水果!$Y1007&lt;&gt;$AL$1,对接源_01水果!$B1007="",N(对接源_01水果!$AJ1007)&lt;=0),0,IF(OR(N(对接源_01水果!$B1007)&lt;$AL$2,N(对接源_01水果!$B1007)&gt;$AL$3),0,1))</f>
        <v>0</v>
      </c>
      <c r="AM1007" s="3">
        <f t="shared" si="276"/>
        <v>1</v>
      </c>
      <c r="AN1007" s="3" t="str">
        <f>IF(对接源_01水果!$AC1007="","",对接源_01水果!$AC1007)</f>
        <v/>
      </c>
      <c r="AO1007" s="3">
        <f t="shared" si="277"/>
        <v>0</v>
      </c>
      <c r="AP1007" s="3">
        <f t="shared" si="278"/>
        <v>8</v>
      </c>
      <c r="AR1007">
        <f t="shared" si="279"/>
        <v>0</v>
      </c>
      <c r="AS1007">
        <f t="shared" si="280"/>
        <v>0</v>
      </c>
    </row>
    <row r="1008" ht="14.25" customHeight="1" spans="1:45">
      <c r="A1008" s="3" t="str">
        <f>IF(对接源_01水果!$C1008="","",对接源_01水果!$C1008)</f>
        <v/>
      </c>
      <c r="B1008" s="3">
        <f t="shared" si="264"/>
        <v>0</v>
      </c>
      <c r="C1008" s="3">
        <f t="shared" si="265"/>
        <v>18</v>
      </c>
      <c r="K1008" s="3">
        <f>IF(OR($K$1="",对接源_01水果!$C1008="",对接源_01水果!$C1008&lt;&gt;$K$1,对接源_01水果!$B1008=""),0,IF(OR(N(对接源_01水果!$B1008)&lt;$K$2,N(对接源_01水果!$B1008)&gt;$K$3),0,1))</f>
        <v>0</v>
      </c>
      <c r="L1008" s="3">
        <f>IF(OR($L$1="",对接源_01水果!$C1008="",对接源_01水果!$C1008&lt;&gt;$L$1,对接源_01水果!$B1008=""),0,IF(OR(N(对接源_01水果!$B1008)&lt;$L$2,N(对接源_01水果!$B1008)&gt;$L$3),0,1))</f>
        <v>0</v>
      </c>
      <c r="M1008" s="3">
        <f>IF(OR($M$1="",对接源_01水果!$C1008="",对接源_01水果!$C1008&lt;&gt;$M$1,对接源_01水果!$B1008=""),0,IF(OR(N(对接源_01水果!$B1008)&lt;$M$2,N(对接源_01水果!$B1008)&gt;$M$3),0,1))</f>
        <v>0</v>
      </c>
      <c r="N1008" s="3">
        <f>IF(OR($N$1="",对接源_01水果!$C1008="",对接源_01水果!$C1008&lt;&gt;$N$1,对接源_01水果!$B1008=""),0,IF(OR(N(对接源_01水果!$B1008)&lt;$N$2,N(对接源_01水果!$B1008)&gt;$N$3),0,1))</f>
        <v>0</v>
      </c>
      <c r="P1008" s="3">
        <f>IF(AND($K1008=1,AND(对接源_01水果!$X1008="公司筐",N(对接源_01水果!$T1008)&lt;&gt;0)),1,0)</f>
        <v>0</v>
      </c>
      <c r="Q1008" s="3">
        <f t="shared" si="266"/>
        <v>0</v>
      </c>
      <c r="R1008" s="3">
        <f>IF(AND($K1008=1,AND(对接源_01水果!$X1008="公司筐",N(对接源_01水果!$U1008)&lt;&gt;0)),1,0)</f>
        <v>0</v>
      </c>
      <c r="S1008" s="3">
        <f t="shared" si="267"/>
        <v>0</v>
      </c>
      <c r="T1008" s="3">
        <f>IF(AND($K1008=1,AND(对接源_01水果!$X1008="公司筐",N(对接源_01水果!$V1008)&lt;&gt;0)),1,0)</f>
        <v>0</v>
      </c>
      <c r="U1008" s="3">
        <f t="shared" si="268"/>
        <v>19</v>
      </c>
      <c r="V1008" s="3">
        <f>IF(AND($L1008=1,AND(对接源_01水果!$X1008="自备筐",N(对接源_01水果!$V1008)&lt;&gt;0)),1,0)</f>
        <v>0</v>
      </c>
      <c r="W1008" s="3">
        <f t="shared" si="269"/>
        <v>8</v>
      </c>
      <c r="X1008" s="3">
        <f>IF(AND($L1008=1,AND(对接源_01水果!$X1008="自备筐",N(对接源_01水果!$T1008)&lt;&gt;0)),1,0)</f>
        <v>0</v>
      </c>
      <c r="Y1008" s="3">
        <f t="shared" si="270"/>
        <v>0</v>
      </c>
      <c r="Z1008" s="3">
        <f>IF(AND($M1008=1,对接源_01水果!$D1008="原料入库"),1,0)</f>
        <v>0</v>
      </c>
      <c r="AA1008" s="3">
        <f t="shared" si="271"/>
        <v>24</v>
      </c>
      <c r="AB1008" s="3">
        <f>IF(AND($M1008=1,LEFT(对接源_01水果!$D1008,4)="原料出库"),1,0)</f>
        <v>0</v>
      </c>
      <c r="AC1008" s="3">
        <f t="shared" si="272"/>
        <v>0</v>
      </c>
      <c r="AD1008" s="3">
        <f>IF(AND($M1008=1,LEFT(对接源_01水果!$D1008,4)="成品出库"),1,0)</f>
        <v>0</v>
      </c>
      <c r="AE1008" s="3">
        <f t="shared" si="273"/>
        <v>0</v>
      </c>
      <c r="AF1008" s="3">
        <f>IF(AND($N1008=1,AND(LEFT(对接源_01水果!$D1008,4)="包装物料",N(对接源_01水果!$K1008)&lt;&gt;0)),1,0)</f>
        <v>0</v>
      </c>
      <c r="AG1008" s="3">
        <f t="shared" si="274"/>
        <v>0</v>
      </c>
      <c r="AH1008" s="3">
        <f>IF(AND($N1008=1,AND(对接源_01水果!$D1008="周转筐－销售出库",N(对接源_01水果!$K1008)&lt;&gt;0)),1,0)</f>
        <v>0</v>
      </c>
      <c r="AI1008" s="3">
        <f t="shared" si="275"/>
        <v>0</v>
      </c>
      <c r="AJ1008" s="7"/>
      <c r="AL1008" s="3">
        <f>IF(OR($AL$1="",对接源_01水果!$Y1008="",对接源_01水果!$Y1008&lt;&gt;$AL$1,对接源_01水果!$B1008="",N(对接源_01水果!$AJ1008)&lt;=0),0,IF(OR(N(对接源_01水果!$B1008)&lt;$AL$2,N(对接源_01水果!$B1008)&gt;$AL$3),0,1))</f>
        <v>0</v>
      </c>
      <c r="AM1008" s="3">
        <f t="shared" si="276"/>
        <v>1</v>
      </c>
      <c r="AN1008" s="3" t="str">
        <f>IF(对接源_01水果!$AC1008="","",对接源_01水果!$AC1008)</f>
        <v/>
      </c>
      <c r="AO1008" s="3">
        <f t="shared" si="277"/>
        <v>0</v>
      </c>
      <c r="AP1008" s="3">
        <f t="shared" si="278"/>
        <v>8</v>
      </c>
      <c r="AR1008">
        <f t="shared" si="279"/>
        <v>0</v>
      </c>
      <c r="AS1008">
        <f t="shared" si="280"/>
        <v>0</v>
      </c>
    </row>
    <row r="1009" ht="14.25" customHeight="1" spans="1:45">
      <c r="A1009" s="3" t="str">
        <f>IF(对接源_01水果!$C1009="","",对接源_01水果!$C1009)</f>
        <v/>
      </c>
      <c r="B1009" s="3">
        <f t="shared" si="264"/>
        <v>0</v>
      </c>
      <c r="C1009" s="3">
        <f t="shared" si="265"/>
        <v>18</v>
      </c>
      <c r="K1009" s="3">
        <f>IF(OR($K$1="",对接源_01水果!$C1009="",对接源_01水果!$C1009&lt;&gt;$K$1,对接源_01水果!$B1009=""),0,IF(OR(N(对接源_01水果!$B1009)&lt;$K$2,N(对接源_01水果!$B1009)&gt;$K$3),0,1))</f>
        <v>0</v>
      </c>
      <c r="L1009" s="3">
        <f>IF(OR($L$1="",对接源_01水果!$C1009="",对接源_01水果!$C1009&lt;&gt;$L$1,对接源_01水果!$B1009=""),0,IF(OR(N(对接源_01水果!$B1009)&lt;$L$2,N(对接源_01水果!$B1009)&gt;$L$3),0,1))</f>
        <v>0</v>
      </c>
      <c r="M1009" s="3">
        <f>IF(OR($M$1="",对接源_01水果!$C1009="",对接源_01水果!$C1009&lt;&gt;$M$1,对接源_01水果!$B1009=""),0,IF(OR(N(对接源_01水果!$B1009)&lt;$M$2,N(对接源_01水果!$B1009)&gt;$M$3),0,1))</f>
        <v>0</v>
      </c>
      <c r="N1009" s="3">
        <f>IF(OR($N$1="",对接源_01水果!$C1009="",对接源_01水果!$C1009&lt;&gt;$N$1,对接源_01水果!$B1009=""),0,IF(OR(N(对接源_01水果!$B1009)&lt;$N$2,N(对接源_01水果!$B1009)&gt;$N$3),0,1))</f>
        <v>0</v>
      </c>
      <c r="P1009" s="3">
        <f>IF(AND($K1009=1,AND(对接源_01水果!$X1009="公司筐",N(对接源_01水果!$T1009)&lt;&gt;0)),1,0)</f>
        <v>0</v>
      </c>
      <c r="Q1009" s="3">
        <f t="shared" si="266"/>
        <v>0</v>
      </c>
      <c r="R1009" s="3">
        <f>IF(AND($K1009=1,AND(对接源_01水果!$X1009="公司筐",N(对接源_01水果!$U1009)&lt;&gt;0)),1,0)</f>
        <v>0</v>
      </c>
      <c r="S1009" s="3">
        <f t="shared" si="267"/>
        <v>0</v>
      </c>
      <c r="T1009" s="3">
        <f>IF(AND($K1009=1,AND(对接源_01水果!$X1009="公司筐",N(对接源_01水果!$V1009)&lt;&gt;0)),1,0)</f>
        <v>0</v>
      </c>
      <c r="U1009" s="3">
        <f t="shared" si="268"/>
        <v>19</v>
      </c>
      <c r="V1009" s="3">
        <f>IF(AND($L1009=1,AND(对接源_01水果!$X1009="自备筐",N(对接源_01水果!$V1009)&lt;&gt;0)),1,0)</f>
        <v>0</v>
      </c>
      <c r="W1009" s="3">
        <f t="shared" si="269"/>
        <v>8</v>
      </c>
      <c r="X1009" s="3">
        <f>IF(AND($L1009=1,AND(对接源_01水果!$X1009="自备筐",N(对接源_01水果!$T1009)&lt;&gt;0)),1,0)</f>
        <v>0</v>
      </c>
      <c r="Y1009" s="3">
        <f t="shared" si="270"/>
        <v>0</v>
      </c>
      <c r="Z1009" s="3">
        <f>IF(AND($M1009=1,对接源_01水果!$D1009="原料入库"),1,0)</f>
        <v>0</v>
      </c>
      <c r="AA1009" s="3">
        <f t="shared" si="271"/>
        <v>24</v>
      </c>
      <c r="AB1009" s="3">
        <f>IF(AND($M1009=1,LEFT(对接源_01水果!$D1009,4)="原料出库"),1,0)</f>
        <v>0</v>
      </c>
      <c r="AC1009" s="3">
        <f t="shared" si="272"/>
        <v>0</v>
      </c>
      <c r="AD1009" s="3">
        <f>IF(AND($M1009=1,LEFT(对接源_01水果!$D1009,4)="成品出库"),1,0)</f>
        <v>0</v>
      </c>
      <c r="AE1009" s="3">
        <f t="shared" si="273"/>
        <v>0</v>
      </c>
      <c r="AF1009" s="3">
        <f>IF(AND($N1009=1,AND(LEFT(对接源_01水果!$D1009,4)="包装物料",N(对接源_01水果!$K1009)&lt;&gt;0)),1,0)</f>
        <v>0</v>
      </c>
      <c r="AG1009" s="3">
        <f t="shared" si="274"/>
        <v>0</v>
      </c>
      <c r="AH1009" s="3">
        <f>IF(AND($N1009=1,AND(对接源_01水果!$D1009="周转筐－销售出库",N(对接源_01水果!$K1009)&lt;&gt;0)),1,0)</f>
        <v>0</v>
      </c>
      <c r="AI1009" s="3">
        <f t="shared" si="275"/>
        <v>0</v>
      </c>
      <c r="AJ1009" s="7"/>
      <c r="AL1009" s="3">
        <f>IF(OR($AL$1="",对接源_01水果!$Y1009="",对接源_01水果!$Y1009&lt;&gt;$AL$1,对接源_01水果!$B1009="",N(对接源_01水果!$AJ1009)&lt;=0),0,IF(OR(N(对接源_01水果!$B1009)&lt;$AL$2,N(对接源_01水果!$B1009)&gt;$AL$3),0,1))</f>
        <v>0</v>
      </c>
      <c r="AM1009" s="3">
        <f t="shared" si="276"/>
        <v>1</v>
      </c>
      <c r="AN1009" s="3" t="str">
        <f>IF(对接源_01水果!$AC1009="","",对接源_01水果!$AC1009)</f>
        <v/>
      </c>
      <c r="AO1009" s="3">
        <f t="shared" si="277"/>
        <v>0</v>
      </c>
      <c r="AP1009" s="3">
        <f t="shared" si="278"/>
        <v>8</v>
      </c>
      <c r="AR1009">
        <f t="shared" si="279"/>
        <v>0</v>
      </c>
      <c r="AS1009">
        <f t="shared" si="280"/>
        <v>0</v>
      </c>
    </row>
    <row r="1010" ht="14.25" customHeight="1" spans="1:45">
      <c r="A1010" s="3" t="str">
        <f>IF(对接源_01水果!$C1010="","",对接源_01水果!$C1010)</f>
        <v/>
      </c>
      <c r="B1010" s="3">
        <f t="shared" si="264"/>
        <v>0</v>
      </c>
      <c r="C1010" s="3">
        <f t="shared" si="265"/>
        <v>18</v>
      </c>
      <c r="K1010" s="3">
        <f>IF(OR($K$1="",对接源_01水果!$C1010="",对接源_01水果!$C1010&lt;&gt;$K$1,对接源_01水果!$B1010=""),0,IF(OR(N(对接源_01水果!$B1010)&lt;$K$2,N(对接源_01水果!$B1010)&gt;$K$3),0,1))</f>
        <v>0</v>
      </c>
      <c r="L1010" s="3">
        <f>IF(OR($L$1="",对接源_01水果!$C1010="",对接源_01水果!$C1010&lt;&gt;$L$1,对接源_01水果!$B1010=""),0,IF(OR(N(对接源_01水果!$B1010)&lt;$L$2,N(对接源_01水果!$B1010)&gt;$L$3),0,1))</f>
        <v>0</v>
      </c>
      <c r="M1010" s="3">
        <f>IF(OR($M$1="",对接源_01水果!$C1010="",对接源_01水果!$C1010&lt;&gt;$M$1,对接源_01水果!$B1010=""),0,IF(OR(N(对接源_01水果!$B1010)&lt;$M$2,N(对接源_01水果!$B1010)&gt;$M$3),0,1))</f>
        <v>0</v>
      </c>
      <c r="N1010" s="3">
        <f>IF(OR($N$1="",对接源_01水果!$C1010="",对接源_01水果!$C1010&lt;&gt;$N$1,对接源_01水果!$B1010=""),0,IF(OR(N(对接源_01水果!$B1010)&lt;$N$2,N(对接源_01水果!$B1010)&gt;$N$3),0,1))</f>
        <v>0</v>
      </c>
      <c r="P1010" s="3">
        <f>IF(AND($K1010=1,AND(对接源_01水果!$X1010="公司筐",N(对接源_01水果!$T1010)&lt;&gt;0)),1,0)</f>
        <v>0</v>
      </c>
      <c r="Q1010" s="3">
        <f t="shared" si="266"/>
        <v>0</v>
      </c>
      <c r="R1010" s="3">
        <f>IF(AND($K1010=1,AND(对接源_01水果!$X1010="公司筐",N(对接源_01水果!$U1010)&lt;&gt;0)),1,0)</f>
        <v>0</v>
      </c>
      <c r="S1010" s="3">
        <f t="shared" si="267"/>
        <v>0</v>
      </c>
      <c r="T1010" s="3">
        <f>IF(AND($K1010=1,AND(对接源_01水果!$X1010="公司筐",N(对接源_01水果!$V1010)&lt;&gt;0)),1,0)</f>
        <v>0</v>
      </c>
      <c r="U1010" s="3">
        <f t="shared" si="268"/>
        <v>19</v>
      </c>
      <c r="V1010" s="3">
        <f>IF(AND($L1010=1,AND(对接源_01水果!$X1010="自备筐",N(对接源_01水果!$V1010)&lt;&gt;0)),1,0)</f>
        <v>0</v>
      </c>
      <c r="W1010" s="3">
        <f t="shared" si="269"/>
        <v>8</v>
      </c>
      <c r="X1010" s="3">
        <f>IF(AND($L1010=1,AND(对接源_01水果!$X1010="自备筐",N(对接源_01水果!$T1010)&lt;&gt;0)),1,0)</f>
        <v>0</v>
      </c>
      <c r="Y1010" s="3">
        <f t="shared" si="270"/>
        <v>0</v>
      </c>
      <c r="Z1010" s="3">
        <f>IF(AND($M1010=1,对接源_01水果!$D1010="原料入库"),1,0)</f>
        <v>0</v>
      </c>
      <c r="AA1010" s="3">
        <f t="shared" si="271"/>
        <v>24</v>
      </c>
      <c r="AB1010" s="3">
        <f>IF(AND($M1010=1,LEFT(对接源_01水果!$D1010,4)="原料出库"),1,0)</f>
        <v>0</v>
      </c>
      <c r="AC1010" s="3">
        <f t="shared" si="272"/>
        <v>0</v>
      </c>
      <c r="AD1010" s="3">
        <f>IF(AND($M1010=1,LEFT(对接源_01水果!$D1010,4)="成品出库"),1,0)</f>
        <v>0</v>
      </c>
      <c r="AE1010" s="3">
        <f t="shared" si="273"/>
        <v>0</v>
      </c>
      <c r="AF1010" s="3">
        <f>IF(AND($N1010=1,AND(LEFT(对接源_01水果!$D1010,4)="包装物料",N(对接源_01水果!$K1010)&lt;&gt;0)),1,0)</f>
        <v>0</v>
      </c>
      <c r="AG1010" s="3">
        <f t="shared" si="274"/>
        <v>0</v>
      </c>
      <c r="AH1010" s="3">
        <f>IF(AND($N1010=1,AND(对接源_01水果!$D1010="周转筐－销售出库",N(对接源_01水果!$K1010)&lt;&gt;0)),1,0)</f>
        <v>0</v>
      </c>
      <c r="AI1010" s="3">
        <f t="shared" si="275"/>
        <v>0</v>
      </c>
      <c r="AJ1010" s="7"/>
      <c r="AL1010" s="3">
        <f>IF(OR($AL$1="",对接源_01水果!$Y1010="",对接源_01水果!$Y1010&lt;&gt;$AL$1,对接源_01水果!$B1010="",N(对接源_01水果!$AJ1010)&lt;=0),0,IF(OR(N(对接源_01水果!$B1010)&lt;$AL$2,N(对接源_01水果!$B1010)&gt;$AL$3),0,1))</f>
        <v>0</v>
      </c>
      <c r="AM1010" s="3">
        <f t="shared" si="276"/>
        <v>1</v>
      </c>
      <c r="AN1010" s="3" t="str">
        <f>IF(对接源_01水果!$AC1010="","",对接源_01水果!$AC1010)</f>
        <v/>
      </c>
      <c r="AO1010" s="3">
        <f t="shared" si="277"/>
        <v>0</v>
      </c>
      <c r="AP1010" s="3">
        <f t="shared" si="278"/>
        <v>8</v>
      </c>
      <c r="AR1010">
        <f t="shared" si="279"/>
        <v>0</v>
      </c>
      <c r="AS1010">
        <f t="shared" si="280"/>
        <v>0</v>
      </c>
    </row>
    <row r="1011" ht="14.25" customHeight="1" spans="1:45">
      <c r="A1011" s="3" t="str">
        <f>IF(对接源_01水果!$C1011="","",对接源_01水果!$C1011)</f>
        <v/>
      </c>
      <c r="B1011" s="3">
        <f t="shared" si="264"/>
        <v>0</v>
      </c>
      <c r="C1011" s="3">
        <f t="shared" si="265"/>
        <v>18</v>
      </c>
      <c r="K1011" s="3">
        <f>IF(OR($K$1="",对接源_01水果!$C1011="",对接源_01水果!$C1011&lt;&gt;$K$1,对接源_01水果!$B1011=""),0,IF(OR(N(对接源_01水果!$B1011)&lt;$K$2,N(对接源_01水果!$B1011)&gt;$K$3),0,1))</f>
        <v>0</v>
      </c>
      <c r="L1011" s="3">
        <f>IF(OR($L$1="",对接源_01水果!$C1011="",对接源_01水果!$C1011&lt;&gt;$L$1,对接源_01水果!$B1011=""),0,IF(OR(N(对接源_01水果!$B1011)&lt;$L$2,N(对接源_01水果!$B1011)&gt;$L$3),0,1))</f>
        <v>0</v>
      </c>
      <c r="M1011" s="3">
        <f>IF(OR($M$1="",对接源_01水果!$C1011="",对接源_01水果!$C1011&lt;&gt;$M$1,对接源_01水果!$B1011=""),0,IF(OR(N(对接源_01水果!$B1011)&lt;$M$2,N(对接源_01水果!$B1011)&gt;$M$3),0,1))</f>
        <v>0</v>
      </c>
      <c r="N1011" s="3">
        <f>IF(OR($N$1="",对接源_01水果!$C1011="",对接源_01水果!$C1011&lt;&gt;$N$1,对接源_01水果!$B1011=""),0,IF(OR(N(对接源_01水果!$B1011)&lt;$N$2,N(对接源_01水果!$B1011)&gt;$N$3),0,1))</f>
        <v>0</v>
      </c>
      <c r="P1011" s="3">
        <f>IF(AND($K1011=1,AND(对接源_01水果!$X1011="公司筐",N(对接源_01水果!$T1011)&lt;&gt;0)),1,0)</f>
        <v>0</v>
      </c>
      <c r="Q1011" s="3">
        <f t="shared" si="266"/>
        <v>0</v>
      </c>
      <c r="R1011" s="3">
        <f>IF(AND($K1011=1,AND(对接源_01水果!$X1011="公司筐",N(对接源_01水果!$U1011)&lt;&gt;0)),1,0)</f>
        <v>0</v>
      </c>
      <c r="S1011" s="3">
        <f t="shared" si="267"/>
        <v>0</v>
      </c>
      <c r="T1011" s="3">
        <f>IF(AND($K1011=1,AND(对接源_01水果!$X1011="公司筐",N(对接源_01水果!$V1011)&lt;&gt;0)),1,0)</f>
        <v>0</v>
      </c>
      <c r="U1011" s="3">
        <f t="shared" si="268"/>
        <v>19</v>
      </c>
      <c r="V1011" s="3">
        <f>IF(AND($L1011=1,AND(对接源_01水果!$X1011="自备筐",N(对接源_01水果!$V1011)&lt;&gt;0)),1,0)</f>
        <v>0</v>
      </c>
      <c r="W1011" s="3">
        <f t="shared" si="269"/>
        <v>8</v>
      </c>
      <c r="X1011" s="3">
        <f>IF(AND($L1011=1,AND(对接源_01水果!$X1011="自备筐",N(对接源_01水果!$T1011)&lt;&gt;0)),1,0)</f>
        <v>0</v>
      </c>
      <c r="Y1011" s="3">
        <f t="shared" si="270"/>
        <v>0</v>
      </c>
      <c r="Z1011" s="3">
        <f>IF(AND($M1011=1,对接源_01水果!$D1011="原料入库"),1,0)</f>
        <v>0</v>
      </c>
      <c r="AA1011" s="3">
        <f t="shared" si="271"/>
        <v>24</v>
      </c>
      <c r="AB1011" s="3">
        <f>IF(AND($M1011=1,LEFT(对接源_01水果!$D1011,4)="原料出库"),1,0)</f>
        <v>0</v>
      </c>
      <c r="AC1011" s="3">
        <f t="shared" si="272"/>
        <v>0</v>
      </c>
      <c r="AD1011" s="3">
        <f>IF(AND($M1011=1,LEFT(对接源_01水果!$D1011,4)="成品出库"),1,0)</f>
        <v>0</v>
      </c>
      <c r="AE1011" s="3">
        <f t="shared" si="273"/>
        <v>0</v>
      </c>
      <c r="AF1011" s="3">
        <f>IF(AND($N1011=1,AND(LEFT(对接源_01水果!$D1011,4)="包装物料",N(对接源_01水果!$K1011)&lt;&gt;0)),1,0)</f>
        <v>0</v>
      </c>
      <c r="AG1011" s="3">
        <f t="shared" si="274"/>
        <v>0</v>
      </c>
      <c r="AH1011" s="3">
        <f>IF(AND($N1011=1,AND(对接源_01水果!$D1011="周转筐－销售出库",N(对接源_01水果!$K1011)&lt;&gt;0)),1,0)</f>
        <v>0</v>
      </c>
      <c r="AI1011" s="3">
        <f t="shared" si="275"/>
        <v>0</v>
      </c>
      <c r="AJ1011" s="7"/>
      <c r="AL1011" s="3">
        <f>IF(OR($AL$1="",对接源_01水果!$Y1011="",对接源_01水果!$Y1011&lt;&gt;$AL$1,对接源_01水果!$B1011="",N(对接源_01水果!$AJ1011)&lt;=0),0,IF(OR(N(对接源_01水果!$B1011)&lt;$AL$2,N(对接源_01水果!$B1011)&gt;$AL$3),0,1))</f>
        <v>0</v>
      </c>
      <c r="AM1011" s="3">
        <f t="shared" si="276"/>
        <v>1</v>
      </c>
      <c r="AN1011" s="3" t="str">
        <f>IF(对接源_01水果!$AC1011="","",对接源_01水果!$AC1011)</f>
        <v/>
      </c>
      <c r="AO1011" s="3">
        <f t="shared" si="277"/>
        <v>0</v>
      </c>
      <c r="AP1011" s="3">
        <f t="shared" si="278"/>
        <v>8</v>
      </c>
      <c r="AR1011">
        <f t="shared" si="279"/>
        <v>0</v>
      </c>
      <c r="AS1011">
        <f t="shared" si="280"/>
        <v>0</v>
      </c>
    </row>
    <row r="1012" ht="14.25" customHeight="1" spans="1:45">
      <c r="A1012" s="3" t="str">
        <f>IF(对接源_01水果!$C1012="","",对接源_01水果!$C1012)</f>
        <v/>
      </c>
      <c r="B1012" s="3">
        <f t="shared" si="264"/>
        <v>0</v>
      </c>
      <c r="C1012" s="3">
        <f t="shared" si="265"/>
        <v>18</v>
      </c>
      <c r="K1012" s="3">
        <f>IF(OR($K$1="",对接源_01水果!$C1012="",对接源_01水果!$C1012&lt;&gt;$K$1,对接源_01水果!$B1012=""),0,IF(OR(N(对接源_01水果!$B1012)&lt;$K$2,N(对接源_01水果!$B1012)&gt;$K$3),0,1))</f>
        <v>0</v>
      </c>
      <c r="L1012" s="3">
        <f>IF(OR($L$1="",对接源_01水果!$C1012="",对接源_01水果!$C1012&lt;&gt;$L$1,对接源_01水果!$B1012=""),0,IF(OR(N(对接源_01水果!$B1012)&lt;$L$2,N(对接源_01水果!$B1012)&gt;$L$3),0,1))</f>
        <v>0</v>
      </c>
      <c r="M1012" s="3">
        <f>IF(OR($M$1="",对接源_01水果!$C1012="",对接源_01水果!$C1012&lt;&gt;$M$1,对接源_01水果!$B1012=""),0,IF(OR(N(对接源_01水果!$B1012)&lt;$M$2,N(对接源_01水果!$B1012)&gt;$M$3),0,1))</f>
        <v>0</v>
      </c>
      <c r="N1012" s="3">
        <f>IF(OR($N$1="",对接源_01水果!$C1012="",对接源_01水果!$C1012&lt;&gt;$N$1,对接源_01水果!$B1012=""),0,IF(OR(N(对接源_01水果!$B1012)&lt;$N$2,N(对接源_01水果!$B1012)&gt;$N$3),0,1))</f>
        <v>0</v>
      </c>
      <c r="P1012" s="3">
        <f>IF(AND($K1012=1,AND(对接源_01水果!$X1012="公司筐",N(对接源_01水果!$T1012)&lt;&gt;0)),1,0)</f>
        <v>0</v>
      </c>
      <c r="Q1012" s="3">
        <f t="shared" si="266"/>
        <v>0</v>
      </c>
      <c r="R1012" s="3">
        <f>IF(AND($K1012=1,AND(对接源_01水果!$X1012="公司筐",N(对接源_01水果!$U1012)&lt;&gt;0)),1,0)</f>
        <v>0</v>
      </c>
      <c r="S1012" s="3">
        <f t="shared" si="267"/>
        <v>0</v>
      </c>
      <c r="T1012" s="3">
        <f>IF(AND($K1012=1,AND(对接源_01水果!$X1012="公司筐",N(对接源_01水果!$V1012)&lt;&gt;0)),1,0)</f>
        <v>0</v>
      </c>
      <c r="U1012" s="3">
        <f t="shared" si="268"/>
        <v>19</v>
      </c>
      <c r="V1012" s="3">
        <f>IF(AND($L1012=1,AND(对接源_01水果!$X1012="自备筐",N(对接源_01水果!$V1012)&lt;&gt;0)),1,0)</f>
        <v>0</v>
      </c>
      <c r="W1012" s="3">
        <f t="shared" si="269"/>
        <v>8</v>
      </c>
      <c r="X1012" s="3">
        <f>IF(AND($L1012=1,AND(对接源_01水果!$X1012="自备筐",N(对接源_01水果!$T1012)&lt;&gt;0)),1,0)</f>
        <v>0</v>
      </c>
      <c r="Y1012" s="3">
        <f t="shared" si="270"/>
        <v>0</v>
      </c>
      <c r="Z1012" s="3">
        <f>IF(AND($M1012=1,对接源_01水果!$D1012="原料入库"),1,0)</f>
        <v>0</v>
      </c>
      <c r="AA1012" s="3">
        <f t="shared" si="271"/>
        <v>24</v>
      </c>
      <c r="AB1012" s="3">
        <f>IF(AND($M1012=1,LEFT(对接源_01水果!$D1012,4)="原料出库"),1,0)</f>
        <v>0</v>
      </c>
      <c r="AC1012" s="3">
        <f t="shared" si="272"/>
        <v>0</v>
      </c>
      <c r="AD1012" s="3">
        <f>IF(AND($M1012=1,LEFT(对接源_01水果!$D1012,4)="成品出库"),1,0)</f>
        <v>0</v>
      </c>
      <c r="AE1012" s="3">
        <f t="shared" si="273"/>
        <v>0</v>
      </c>
      <c r="AF1012" s="3">
        <f>IF(AND($N1012=1,AND(LEFT(对接源_01水果!$D1012,4)="包装物料",N(对接源_01水果!$K1012)&lt;&gt;0)),1,0)</f>
        <v>0</v>
      </c>
      <c r="AG1012" s="3">
        <f t="shared" si="274"/>
        <v>0</v>
      </c>
      <c r="AH1012" s="3">
        <f>IF(AND($N1012=1,AND(对接源_01水果!$D1012="周转筐－销售出库",N(对接源_01水果!$K1012)&lt;&gt;0)),1,0)</f>
        <v>0</v>
      </c>
      <c r="AI1012" s="3">
        <f t="shared" si="275"/>
        <v>0</v>
      </c>
      <c r="AJ1012" s="7"/>
      <c r="AL1012" s="3">
        <f>IF(OR($AL$1="",对接源_01水果!$Y1012="",对接源_01水果!$Y1012&lt;&gt;$AL$1,对接源_01水果!$B1012="",N(对接源_01水果!$AJ1012)&lt;=0),0,IF(OR(N(对接源_01水果!$B1012)&lt;$AL$2,N(对接源_01水果!$B1012)&gt;$AL$3),0,1))</f>
        <v>0</v>
      </c>
      <c r="AM1012" s="3">
        <f t="shared" si="276"/>
        <v>1</v>
      </c>
      <c r="AN1012" s="3" t="str">
        <f>IF(对接源_01水果!$AC1012="","",对接源_01水果!$AC1012)</f>
        <v/>
      </c>
      <c r="AO1012" s="3">
        <f t="shared" si="277"/>
        <v>0</v>
      </c>
      <c r="AP1012" s="3">
        <f t="shared" si="278"/>
        <v>8</v>
      </c>
      <c r="AR1012">
        <f t="shared" si="279"/>
        <v>0</v>
      </c>
      <c r="AS1012">
        <f t="shared" si="280"/>
        <v>0</v>
      </c>
    </row>
    <row r="1013" ht="14.25" customHeight="1" spans="1:45">
      <c r="A1013" s="3" t="str">
        <f>IF(对接源_01水果!$C1013="","",对接源_01水果!$C1013)</f>
        <v/>
      </c>
      <c r="B1013" s="3">
        <f t="shared" si="264"/>
        <v>0</v>
      </c>
      <c r="C1013" s="3">
        <f t="shared" si="265"/>
        <v>18</v>
      </c>
      <c r="K1013" s="3">
        <f>IF(OR($K$1="",对接源_01水果!$C1013="",对接源_01水果!$C1013&lt;&gt;$K$1,对接源_01水果!$B1013=""),0,IF(OR(N(对接源_01水果!$B1013)&lt;$K$2,N(对接源_01水果!$B1013)&gt;$K$3),0,1))</f>
        <v>0</v>
      </c>
      <c r="L1013" s="3">
        <f>IF(OR($L$1="",对接源_01水果!$C1013="",对接源_01水果!$C1013&lt;&gt;$L$1,对接源_01水果!$B1013=""),0,IF(OR(N(对接源_01水果!$B1013)&lt;$L$2,N(对接源_01水果!$B1013)&gt;$L$3),0,1))</f>
        <v>0</v>
      </c>
      <c r="M1013" s="3">
        <f>IF(OR($M$1="",对接源_01水果!$C1013="",对接源_01水果!$C1013&lt;&gt;$M$1,对接源_01水果!$B1013=""),0,IF(OR(N(对接源_01水果!$B1013)&lt;$M$2,N(对接源_01水果!$B1013)&gt;$M$3),0,1))</f>
        <v>0</v>
      </c>
      <c r="N1013" s="3">
        <f>IF(OR($N$1="",对接源_01水果!$C1013="",对接源_01水果!$C1013&lt;&gt;$N$1,对接源_01水果!$B1013=""),0,IF(OR(N(对接源_01水果!$B1013)&lt;$N$2,N(对接源_01水果!$B1013)&gt;$N$3),0,1))</f>
        <v>0</v>
      </c>
      <c r="P1013" s="3">
        <f>IF(AND($K1013=1,AND(对接源_01水果!$X1013="公司筐",N(对接源_01水果!$T1013)&lt;&gt;0)),1,0)</f>
        <v>0</v>
      </c>
      <c r="Q1013" s="3">
        <f t="shared" si="266"/>
        <v>0</v>
      </c>
      <c r="R1013" s="3">
        <f>IF(AND($K1013=1,AND(对接源_01水果!$X1013="公司筐",N(对接源_01水果!$U1013)&lt;&gt;0)),1,0)</f>
        <v>0</v>
      </c>
      <c r="S1013" s="3">
        <f t="shared" si="267"/>
        <v>0</v>
      </c>
      <c r="T1013" s="3">
        <f>IF(AND($K1013=1,AND(对接源_01水果!$X1013="公司筐",N(对接源_01水果!$V1013)&lt;&gt;0)),1,0)</f>
        <v>0</v>
      </c>
      <c r="U1013" s="3">
        <f t="shared" si="268"/>
        <v>19</v>
      </c>
      <c r="V1013" s="3">
        <f>IF(AND($L1013=1,AND(对接源_01水果!$X1013="自备筐",N(对接源_01水果!$V1013)&lt;&gt;0)),1,0)</f>
        <v>0</v>
      </c>
      <c r="W1013" s="3">
        <f t="shared" si="269"/>
        <v>8</v>
      </c>
      <c r="X1013" s="3">
        <f>IF(AND($L1013=1,AND(对接源_01水果!$X1013="自备筐",N(对接源_01水果!$T1013)&lt;&gt;0)),1,0)</f>
        <v>0</v>
      </c>
      <c r="Y1013" s="3">
        <f t="shared" si="270"/>
        <v>0</v>
      </c>
      <c r="Z1013" s="3">
        <f>IF(AND($M1013=1,对接源_01水果!$D1013="原料入库"),1,0)</f>
        <v>0</v>
      </c>
      <c r="AA1013" s="3">
        <f t="shared" si="271"/>
        <v>24</v>
      </c>
      <c r="AB1013" s="3">
        <f>IF(AND($M1013=1,LEFT(对接源_01水果!$D1013,4)="原料出库"),1,0)</f>
        <v>0</v>
      </c>
      <c r="AC1013" s="3">
        <f t="shared" si="272"/>
        <v>0</v>
      </c>
      <c r="AD1013" s="3">
        <f>IF(AND($M1013=1,LEFT(对接源_01水果!$D1013,4)="成品出库"),1,0)</f>
        <v>0</v>
      </c>
      <c r="AE1013" s="3">
        <f t="shared" si="273"/>
        <v>0</v>
      </c>
      <c r="AF1013" s="3">
        <f>IF(AND($N1013=1,AND(LEFT(对接源_01水果!$D1013,4)="包装物料",N(对接源_01水果!$K1013)&lt;&gt;0)),1,0)</f>
        <v>0</v>
      </c>
      <c r="AG1013" s="3">
        <f t="shared" si="274"/>
        <v>0</v>
      </c>
      <c r="AH1013" s="3">
        <f>IF(AND($N1013=1,AND(对接源_01水果!$D1013="周转筐－销售出库",N(对接源_01水果!$K1013)&lt;&gt;0)),1,0)</f>
        <v>0</v>
      </c>
      <c r="AI1013" s="3">
        <f t="shared" si="275"/>
        <v>0</v>
      </c>
      <c r="AJ1013" s="7"/>
      <c r="AL1013" s="3">
        <f>IF(OR($AL$1="",对接源_01水果!$Y1013="",对接源_01水果!$Y1013&lt;&gt;$AL$1,对接源_01水果!$B1013="",N(对接源_01水果!$AJ1013)&lt;=0),0,IF(OR(N(对接源_01水果!$B1013)&lt;$AL$2,N(对接源_01水果!$B1013)&gt;$AL$3),0,1))</f>
        <v>0</v>
      </c>
      <c r="AM1013" s="3">
        <f t="shared" si="276"/>
        <v>1</v>
      </c>
      <c r="AN1013" s="3" t="str">
        <f>IF(对接源_01水果!$AC1013="","",对接源_01水果!$AC1013)</f>
        <v/>
      </c>
      <c r="AO1013" s="3">
        <f t="shared" si="277"/>
        <v>0</v>
      </c>
      <c r="AP1013" s="3">
        <f t="shared" si="278"/>
        <v>8</v>
      </c>
      <c r="AR1013">
        <f t="shared" si="279"/>
        <v>0</v>
      </c>
      <c r="AS1013">
        <f t="shared" si="280"/>
        <v>0</v>
      </c>
    </row>
    <row r="1014" ht="14.25" customHeight="1" spans="1:45">
      <c r="A1014" s="3" t="str">
        <f>IF(对接源_01水果!$C1014="","",对接源_01水果!$C1014)</f>
        <v/>
      </c>
      <c r="B1014" s="3">
        <f t="shared" si="264"/>
        <v>0</v>
      </c>
      <c r="C1014" s="3">
        <f t="shared" si="265"/>
        <v>18</v>
      </c>
      <c r="K1014" s="3">
        <f>IF(OR($K$1="",对接源_01水果!$C1014="",对接源_01水果!$C1014&lt;&gt;$K$1,对接源_01水果!$B1014=""),0,IF(OR(N(对接源_01水果!$B1014)&lt;$K$2,N(对接源_01水果!$B1014)&gt;$K$3),0,1))</f>
        <v>0</v>
      </c>
      <c r="L1014" s="3">
        <f>IF(OR($L$1="",对接源_01水果!$C1014="",对接源_01水果!$C1014&lt;&gt;$L$1,对接源_01水果!$B1014=""),0,IF(OR(N(对接源_01水果!$B1014)&lt;$L$2,N(对接源_01水果!$B1014)&gt;$L$3),0,1))</f>
        <v>0</v>
      </c>
      <c r="M1014" s="3">
        <f>IF(OR($M$1="",对接源_01水果!$C1014="",对接源_01水果!$C1014&lt;&gt;$M$1,对接源_01水果!$B1014=""),0,IF(OR(N(对接源_01水果!$B1014)&lt;$M$2,N(对接源_01水果!$B1014)&gt;$M$3),0,1))</f>
        <v>0</v>
      </c>
      <c r="N1014" s="3">
        <f>IF(OR($N$1="",对接源_01水果!$C1014="",对接源_01水果!$C1014&lt;&gt;$N$1,对接源_01水果!$B1014=""),0,IF(OR(N(对接源_01水果!$B1014)&lt;$N$2,N(对接源_01水果!$B1014)&gt;$N$3),0,1))</f>
        <v>0</v>
      </c>
      <c r="P1014" s="3">
        <f>IF(AND($K1014=1,AND(对接源_01水果!$X1014="公司筐",N(对接源_01水果!$T1014)&lt;&gt;0)),1,0)</f>
        <v>0</v>
      </c>
      <c r="Q1014" s="3">
        <f t="shared" si="266"/>
        <v>0</v>
      </c>
      <c r="R1014" s="3">
        <f>IF(AND($K1014=1,AND(对接源_01水果!$X1014="公司筐",N(对接源_01水果!$U1014)&lt;&gt;0)),1,0)</f>
        <v>0</v>
      </c>
      <c r="S1014" s="3">
        <f t="shared" si="267"/>
        <v>0</v>
      </c>
      <c r="T1014" s="3">
        <f>IF(AND($K1014=1,AND(对接源_01水果!$X1014="公司筐",N(对接源_01水果!$V1014)&lt;&gt;0)),1,0)</f>
        <v>0</v>
      </c>
      <c r="U1014" s="3">
        <f t="shared" si="268"/>
        <v>19</v>
      </c>
      <c r="V1014" s="3">
        <f>IF(AND($L1014=1,AND(对接源_01水果!$X1014="自备筐",N(对接源_01水果!$V1014)&lt;&gt;0)),1,0)</f>
        <v>0</v>
      </c>
      <c r="W1014" s="3">
        <f t="shared" si="269"/>
        <v>8</v>
      </c>
      <c r="X1014" s="3">
        <f>IF(AND($L1014=1,AND(对接源_01水果!$X1014="自备筐",N(对接源_01水果!$T1014)&lt;&gt;0)),1,0)</f>
        <v>0</v>
      </c>
      <c r="Y1014" s="3">
        <f t="shared" si="270"/>
        <v>0</v>
      </c>
      <c r="Z1014" s="3">
        <f>IF(AND($M1014=1,对接源_01水果!$D1014="原料入库"),1,0)</f>
        <v>0</v>
      </c>
      <c r="AA1014" s="3">
        <f t="shared" si="271"/>
        <v>24</v>
      </c>
      <c r="AB1014" s="3">
        <f>IF(AND($M1014=1,LEFT(对接源_01水果!$D1014,4)="原料出库"),1,0)</f>
        <v>0</v>
      </c>
      <c r="AC1014" s="3">
        <f t="shared" si="272"/>
        <v>0</v>
      </c>
      <c r="AD1014" s="3">
        <f>IF(AND($M1014=1,LEFT(对接源_01水果!$D1014,4)="成品出库"),1,0)</f>
        <v>0</v>
      </c>
      <c r="AE1014" s="3">
        <f t="shared" si="273"/>
        <v>0</v>
      </c>
      <c r="AF1014" s="3">
        <f>IF(AND($N1014=1,AND(LEFT(对接源_01水果!$D1014,4)="包装物料",N(对接源_01水果!$K1014)&lt;&gt;0)),1,0)</f>
        <v>0</v>
      </c>
      <c r="AG1014" s="3">
        <f t="shared" si="274"/>
        <v>0</v>
      </c>
      <c r="AH1014" s="3">
        <f>IF(AND($N1014=1,AND(对接源_01水果!$D1014="周转筐－销售出库",N(对接源_01水果!$K1014)&lt;&gt;0)),1,0)</f>
        <v>0</v>
      </c>
      <c r="AI1014" s="3">
        <f t="shared" si="275"/>
        <v>0</v>
      </c>
      <c r="AJ1014" s="7"/>
      <c r="AL1014" s="3">
        <f>IF(OR($AL$1="",对接源_01水果!$Y1014="",对接源_01水果!$Y1014&lt;&gt;$AL$1,对接源_01水果!$B1014="",N(对接源_01水果!$AJ1014)&lt;=0),0,IF(OR(N(对接源_01水果!$B1014)&lt;$AL$2,N(对接源_01水果!$B1014)&gt;$AL$3),0,1))</f>
        <v>0</v>
      </c>
      <c r="AM1014" s="3">
        <f t="shared" si="276"/>
        <v>1</v>
      </c>
      <c r="AN1014" s="3" t="str">
        <f>IF(对接源_01水果!$AC1014="","",对接源_01水果!$AC1014)</f>
        <v/>
      </c>
      <c r="AO1014" s="3">
        <f t="shared" si="277"/>
        <v>0</v>
      </c>
      <c r="AP1014" s="3">
        <f t="shared" si="278"/>
        <v>8</v>
      </c>
      <c r="AR1014">
        <f t="shared" si="279"/>
        <v>0</v>
      </c>
      <c r="AS1014">
        <f t="shared" si="280"/>
        <v>0</v>
      </c>
    </row>
    <row r="1015" ht="14.25" customHeight="1" spans="1:45">
      <c r="A1015" s="3" t="str">
        <f>IF(对接源_01水果!$C1015="","",对接源_01水果!$C1015)</f>
        <v/>
      </c>
      <c r="B1015" s="3">
        <f t="shared" si="264"/>
        <v>0</v>
      </c>
      <c r="C1015" s="3">
        <f t="shared" si="265"/>
        <v>18</v>
      </c>
      <c r="K1015" s="3">
        <f>IF(OR($K$1="",对接源_01水果!$C1015="",对接源_01水果!$C1015&lt;&gt;$K$1,对接源_01水果!$B1015=""),0,IF(OR(N(对接源_01水果!$B1015)&lt;$K$2,N(对接源_01水果!$B1015)&gt;$K$3),0,1))</f>
        <v>0</v>
      </c>
      <c r="L1015" s="3">
        <f>IF(OR($L$1="",对接源_01水果!$C1015="",对接源_01水果!$C1015&lt;&gt;$L$1,对接源_01水果!$B1015=""),0,IF(OR(N(对接源_01水果!$B1015)&lt;$L$2,N(对接源_01水果!$B1015)&gt;$L$3),0,1))</f>
        <v>0</v>
      </c>
      <c r="M1015" s="3">
        <f>IF(OR($M$1="",对接源_01水果!$C1015="",对接源_01水果!$C1015&lt;&gt;$M$1,对接源_01水果!$B1015=""),0,IF(OR(N(对接源_01水果!$B1015)&lt;$M$2,N(对接源_01水果!$B1015)&gt;$M$3),0,1))</f>
        <v>0</v>
      </c>
      <c r="N1015" s="3">
        <f>IF(OR($N$1="",对接源_01水果!$C1015="",对接源_01水果!$C1015&lt;&gt;$N$1,对接源_01水果!$B1015=""),0,IF(OR(N(对接源_01水果!$B1015)&lt;$N$2,N(对接源_01水果!$B1015)&gt;$N$3),0,1))</f>
        <v>0</v>
      </c>
      <c r="P1015" s="3">
        <f>IF(AND($K1015=1,AND(对接源_01水果!$X1015="公司筐",N(对接源_01水果!$T1015)&lt;&gt;0)),1,0)</f>
        <v>0</v>
      </c>
      <c r="Q1015" s="3">
        <f t="shared" si="266"/>
        <v>0</v>
      </c>
      <c r="R1015" s="3">
        <f>IF(AND($K1015=1,AND(对接源_01水果!$X1015="公司筐",N(对接源_01水果!$U1015)&lt;&gt;0)),1,0)</f>
        <v>0</v>
      </c>
      <c r="S1015" s="3">
        <f t="shared" si="267"/>
        <v>0</v>
      </c>
      <c r="T1015" s="3">
        <f>IF(AND($K1015=1,AND(对接源_01水果!$X1015="公司筐",N(对接源_01水果!$V1015)&lt;&gt;0)),1,0)</f>
        <v>0</v>
      </c>
      <c r="U1015" s="3">
        <f t="shared" si="268"/>
        <v>19</v>
      </c>
      <c r="V1015" s="3">
        <f>IF(AND($L1015=1,AND(对接源_01水果!$X1015="自备筐",N(对接源_01水果!$V1015)&lt;&gt;0)),1,0)</f>
        <v>0</v>
      </c>
      <c r="W1015" s="3">
        <f t="shared" si="269"/>
        <v>8</v>
      </c>
      <c r="X1015" s="3">
        <f>IF(AND($L1015=1,AND(对接源_01水果!$X1015="自备筐",N(对接源_01水果!$T1015)&lt;&gt;0)),1,0)</f>
        <v>0</v>
      </c>
      <c r="Y1015" s="3">
        <f t="shared" si="270"/>
        <v>0</v>
      </c>
      <c r="Z1015" s="3">
        <f>IF(AND($M1015=1,对接源_01水果!$D1015="原料入库"),1,0)</f>
        <v>0</v>
      </c>
      <c r="AA1015" s="3">
        <f t="shared" si="271"/>
        <v>24</v>
      </c>
      <c r="AB1015" s="3">
        <f>IF(AND($M1015=1,LEFT(对接源_01水果!$D1015,4)="原料出库"),1,0)</f>
        <v>0</v>
      </c>
      <c r="AC1015" s="3">
        <f t="shared" si="272"/>
        <v>0</v>
      </c>
      <c r="AD1015" s="3">
        <f>IF(AND($M1015=1,LEFT(对接源_01水果!$D1015,4)="成品出库"),1,0)</f>
        <v>0</v>
      </c>
      <c r="AE1015" s="3">
        <f t="shared" si="273"/>
        <v>0</v>
      </c>
      <c r="AF1015" s="3">
        <f>IF(AND($N1015=1,AND(LEFT(对接源_01水果!$D1015,4)="包装物料",N(对接源_01水果!$K1015)&lt;&gt;0)),1,0)</f>
        <v>0</v>
      </c>
      <c r="AG1015" s="3">
        <f t="shared" si="274"/>
        <v>0</v>
      </c>
      <c r="AH1015" s="3">
        <f>IF(AND($N1015=1,AND(对接源_01水果!$D1015="周转筐－销售出库",N(对接源_01水果!$K1015)&lt;&gt;0)),1,0)</f>
        <v>0</v>
      </c>
      <c r="AI1015" s="3">
        <f t="shared" si="275"/>
        <v>0</v>
      </c>
      <c r="AJ1015" s="7"/>
      <c r="AL1015" s="3">
        <f>IF(OR($AL$1="",对接源_01水果!$Y1015="",对接源_01水果!$Y1015&lt;&gt;$AL$1,对接源_01水果!$B1015="",N(对接源_01水果!$AJ1015)&lt;=0),0,IF(OR(N(对接源_01水果!$B1015)&lt;$AL$2,N(对接源_01水果!$B1015)&gt;$AL$3),0,1))</f>
        <v>0</v>
      </c>
      <c r="AM1015" s="3">
        <f t="shared" si="276"/>
        <v>1</v>
      </c>
      <c r="AN1015" s="3" t="str">
        <f>IF(对接源_01水果!$AC1015="","",对接源_01水果!$AC1015)</f>
        <v/>
      </c>
      <c r="AO1015" s="3">
        <f t="shared" si="277"/>
        <v>0</v>
      </c>
      <c r="AP1015" s="3">
        <f t="shared" si="278"/>
        <v>8</v>
      </c>
      <c r="AR1015">
        <f t="shared" si="279"/>
        <v>0</v>
      </c>
      <c r="AS1015">
        <f t="shared" si="280"/>
        <v>0</v>
      </c>
    </row>
    <row r="1016" ht="14.25" customHeight="1" spans="1:45">
      <c r="A1016" s="3" t="str">
        <f>IF(对接源_01水果!$C1016="","",对接源_01水果!$C1016)</f>
        <v/>
      </c>
      <c r="B1016" s="3">
        <f t="shared" si="264"/>
        <v>0</v>
      </c>
      <c r="C1016" s="3">
        <f t="shared" si="265"/>
        <v>18</v>
      </c>
      <c r="K1016" s="3">
        <f>IF(OR($K$1="",对接源_01水果!$C1016="",对接源_01水果!$C1016&lt;&gt;$K$1,对接源_01水果!$B1016=""),0,IF(OR(N(对接源_01水果!$B1016)&lt;$K$2,N(对接源_01水果!$B1016)&gt;$K$3),0,1))</f>
        <v>0</v>
      </c>
      <c r="L1016" s="3">
        <f>IF(OR($L$1="",对接源_01水果!$C1016="",对接源_01水果!$C1016&lt;&gt;$L$1,对接源_01水果!$B1016=""),0,IF(OR(N(对接源_01水果!$B1016)&lt;$L$2,N(对接源_01水果!$B1016)&gt;$L$3),0,1))</f>
        <v>0</v>
      </c>
      <c r="M1016" s="3">
        <f>IF(OR($M$1="",对接源_01水果!$C1016="",对接源_01水果!$C1016&lt;&gt;$M$1,对接源_01水果!$B1016=""),0,IF(OR(N(对接源_01水果!$B1016)&lt;$M$2,N(对接源_01水果!$B1016)&gt;$M$3),0,1))</f>
        <v>0</v>
      </c>
      <c r="N1016" s="3">
        <f>IF(OR($N$1="",对接源_01水果!$C1016="",对接源_01水果!$C1016&lt;&gt;$N$1,对接源_01水果!$B1016=""),0,IF(OR(N(对接源_01水果!$B1016)&lt;$N$2,N(对接源_01水果!$B1016)&gt;$N$3),0,1))</f>
        <v>0</v>
      </c>
      <c r="P1016" s="3">
        <f>IF(AND($K1016=1,AND(对接源_01水果!$X1016="公司筐",N(对接源_01水果!$T1016)&lt;&gt;0)),1,0)</f>
        <v>0</v>
      </c>
      <c r="Q1016" s="3">
        <f t="shared" si="266"/>
        <v>0</v>
      </c>
      <c r="R1016" s="3">
        <f>IF(AND($K1016=1,AND(对接源_01水果!$X1016="公司筐",N(对接源_01水果!$U1016)&lt;&gt;0)),1,0)</f>
        <v>0</v>
      </c>
      <c r="S1016" s="3">
        <f t="shared" si="267"/>
        <v>0</v>
      </c>
      <c r="T1016" s="3">
        <f>IF(AND($K1016=1,AND(对接源_01水果!$X1016="公司筐",N(对接源_01水果!$V1016)&lt;&gt;0)),1,0)</f>
        <v>0</v>
      </c>
      <c r="U1016" s="3">
        <f t="shared" si="268"/>
        <v>19</v>
      </c>
      <c r="V1016" s="3">
        <f>IF(AND($L1016=1,AND(对接源_01水果!$X1016="自备筐",N(对接源_01水果!$V1016)&lt;&gt;0)),1,0)</f>
        <v>0</v>
      </c>
      <c r="W1016" s="3">
        <f t="shared" si="269"/>
        <v>8</v>
      </c>
      <c r="X1016" s="3">
        <f>IF(AND($L1016=1,AND(对接源_01水果!$X1016="自备筐",N(对接源_01水果!$T1016)&lt;&gt;0)),1,0)</f>
        <v>0</v>
      </c>
      <c r="Y1016" s="3">
        <f t="shared" si="270"/>
        <v>0</v>
      </c>
      <c r="Z1016" s="3">
        <f>IF(AND($M1016=1,对接源_01水果!$D1016="原料入库"),1,0)</f>
        <v>0</v>
      </c>
      <c r="AA1016" s="3">
        <f t="shared" si="271"/>
        <v>24</v>
      </c>
      <c r="AB1016" s="3">
        <f>IF(AND($M1016=1,LEFT(对接源_01水果!$D1016,4)="原料出库"),1,0)</f>
        <v>0</v>
      </c>
      <c r="AC1016" s="3">
        <f t="shared" si="272"/>
        <v>0</v>
      </c>
      <c r="AD1016" s="3">
        <f>IF(AND($M1016=1,LEFT(对接源_01水果!$D1016,4)="成品出库"),1,0)</f>
        <v>0</v>
      </c>
      <c r="AE1016" s="3">
        <f t="shared" si="273"/>
        <v>0</v>
      </c>
      <c r="AF1016" s="3">
        <f>IF(AND($N1016=1,AND(LEFT(对接源_01水果!$D1016,4)="包装物料",N(对接源_01水果!$K1016)&lt;&gt;0)),1,0)</f>
        <v>0</v>
      </c>
      <c r="AG1016" s="3">
        <f t="shared" si="274"/>
        <v>0</v>
      </c>
      <c r="AH1016" s="3">
        <f>IF(AND($N1016=1,AND(对接源_01水果!$D1016="周转筐－销售出库",N(对接源_01水果!$K1016)&lt;&gt;0)),1,0)</f>
        <v>0</v>
      </c>
      <c r="AI1016" s="3">
        <f t="shared" si="275"/>
        <v>0</v>
      </c>
      <c r="AJ1016" s="7"/>
      <c r="AL1016" s="3">
        <f>IF(OR($AL$1="",对接源_01水果!$Y1016="",对接源_01水果!$Y1016&lt;&gt;$AL$1,对接源_01水果!$B1016="",N(对接源_01水果!$AJ1016)&lt;=0),0,IF(OR(N(对接源_01水果!$B1016)&lt;$AL$2,N(对接源_01水果!$B1016)&gt;$AL$3),0,1))</f>
        <v>0</v>
      </c>
      <c r="AM1016" s="3">
        <f t="shared" si="276"/>
        <v>1</v>
      </c>
      <c r="AN1016" s="3" t="str">
        <f>IF(对接源_01水果!$AC1016="","",对接源_01水果!$AC1016)</f>
        <v/>
      </c>
      <c r="AO1016" s="3">
        <f t="shared" si="277"/>
        <v>0</v>
      </c>
      <c r="AP1016" s="3">
        <f t="shared" si="278"/>
        <v>8</v>
      </c>
      <c r="AR1016">
        <f t="shared" si="279"/>
        <v>0</v>
      </c>
      <c r="AS1016">
        <f t="shared" si="280"/>
        <v>0</v>
      </c>
    </row>
    <row r="1017" ht="14.25" customHeight="1" spans="1:45">
      <c r="A1017" s="3" t="str">
        <f>IF(对接源_01水果!$C1017="","",对接源_01水果!$C1017)</f>
        <v/>
      </c>
      <c r="B1017" s="3">
        <f t="shared" si="264"/>
        <v>0</v>
      </c>
      <c r="C1017" s="3">
        <f t="shared" si="265"/>
        <v>18</v>
      </c>
      <c r="K1017" s="3">
        <f>IF(OR($K$1="",对接源_01水果!$C1017="",对接源_01水果!$C1017&lt;&gt;$K$1,对接源_01水果!$B1017=""),0,IF(OR(N(对接源_01水果!$B1017)&lt;$K$2,N(对接源_01水果!$B1017)&gt;$K$3),0,1))</f>
        <v>0</v>
      </c>
      <c r="L1017" s="3">
        <f>IF(OR($L$1="",对接源_01水果!$C1017="",对接源_01水果!$C1017&lt;&gt;$L$1,对接源_01水果!$B1017=""),0,IF(OR(N(对接源_01水果!$B1017)&lt;$L$2,N(对接源_01水果!$B1017)&gt;$L$3),0,1))</f>
        <v>0</v>
      </c>
      <c r="M1017" s="3">
        <f>IF(OR($M$1="",对接源_01水果!$C1017="",对接源_01水果!$C1017&lt;&gt;$M$1,对接源_01水果!$B1017=""),0,IF(OR(N(对接源_01水果!$B1017)&lt;$M$2,N(对接源_01水果!$B1017)&gt;$M$3),0,1))</f>
        <v>0</v>
      </c>
      <c r="N1017" s="3">
        <f>IF(OR($N$1="",对接源_01水果!$C1017="",对接源_01水果!$C1017&lt;&gt;$N$1,对接源_01水果!$B1017=""),0,IF(OR(N(对接源_01水果!$B1017)&lt;$N$2,N(对接源_01水果!$B1017)&gt;$N$3),0,1))</f>
        <v>0</v>
      </c>
      <c r="P1017" s="3">
        <f>IF(AND($K1017=1,AND(对接源_01水果!$X1017="公司筐",N(对接源_01水果!$T1017)&lt;&gt;0)),1,0)</f>
        <v>0</v>
      </c>
      <c r="Q1017" s="3">
        <f t="shared" si="266"/>
        <v>0</v>
      </c>
      <c r="R1017" s="3">
        <f>IF(AND($K1017=1,AND(对接源_01水果!$X1017="公司筐",N(对接源_01水果!$U1017)&lt;&gt;0)),1,0)</f>
        <v>0</v>
      </c>
      <c r="S1017" s="3">
        <f t="shared" si="267"/>
        <v>0</v>
      </c>
      <c r="T1017" s="3">
        <f>IF(AND($K1017=1,AND(对接源_01水果!$X1017="公司筐",N(对接源_01水果!$V1017)&lt;&gt;0)),1,0)</f>
        <v>0</v>
      </c>
      <c r="U1017" s="3">
        <f t="shared" si="268"/>
        <v>19</v>
      </c>
      <c r="V1017" s="3">
        <f>IF(AND($L1017=1,AND(对接源_01水果!$X1017="自备筐",N(对接源_01水果!$V1017)&lt;&gt;0)),1,0)</f>
        <v>0</v>
      </c>
      <c r="W1017" s="3">
        <f t="shared" si="269"/>
        <v>8</v>
      </c>
      <c r="X1017" s="3">
        <f>IF(AND($L1017=1,AND(对接源_01水果!$X1017="自备筐",N(对接源_01水果!$T1017)&lt;&gt;0)),1,0)</f>
        <v>0</v>
      </c>
      <c r="Y1017" s="3">
        <f t="shared" si="270"/>
        <v>0</v>
      </c>
      <c r="Z1017" s="3">
        <f>IF(AND($M1017=1,对接源_01水果!$D1017="原料入库"),1,0)</f>
        <v>0</v>
      </c>
      <c r="AA1017" s="3">
        <f t="shared" si="271"/>
        <v>24</v>
      </c>
      <c r="AB1017" s="3">
        <f>IF(AND($M1017=1,LEFT(对接源_01水果!$D1017,4)="原料出库"),1,0)</f>
        <v>0</v>
      </c>
      <c r="AC1017" s="3">
        <f t="shared" si="272"/>
        <v>0</v>
      </c>
      <c r="AD1017" s="3">
        <f>IF(AND($M1017=1,LEFT(对接源_01水果!$D1017,4)="成品出库"),1,0)</f>
        <v>0</v>
      </c>
      <c r="AE1017" s="3">
        <f t="shared" si="273"/>
        <v>0</v>
      </c>
      <c r="AF1017" s="3">
        <f>IF(AND($N1017=1,AND(LEFT(对接源_01水果!$D1017,4)="包装物料",N(对接源_01水果!$K1017)&lt;&gt;0)),1,0)</f>
        <v>0</v>
      </c>
      <c r="AG1017" s="3">
        <f t="shared" si="274"/>
        <v>0</v>
      </c>
      <c r="AH1017" s="3">
        <f>IF(AND($N1017=1,AND(对接源_01水果!$D1017="周转筐－销售出库",N(对接源_01水果!$K1017)&lt;&gt;0)),1,0)</f>
        <v>0</v>
      </c>
      <c r="AI1017" s="3">
        <f t="shared" si="275"/>
        <v>0</v>
      </c>
      <c r="AJ1017" s="7"/>
      <c r="AL1017" s="3">
        <f>IF(OR($AL$1="",对接源_01水果!$Y1017="",对接源_01水果!$Y1017&lt;&gt;$AL$1,对接源_01水果!$B1017="",N(对接源_01水果!$AJ1017)&lt;=0),0,IF(OR(N(对接源_01水果!$B1017)&lt;$AL$2,N(对接源_01水果!$B1017)&gt;$AL$3),0,1))</f>
        <v>0</v>
      </c>
      <c r="AM1017" s="3">
        <f t="shared" si="276"/>
        <v>1</v>
      </c>
      <c r="AN1017" s="3" t="str">
        <f>IF(对接源_01水果!$AC1017="","",对接源_01水果!$AC1017)</f>
        <v/>
      </c>
      <c r="AO1017" s="3">
        <f t="shared" si="277"/>
        <v>0</v>
      </c>
      <c r="AP1017" s="3">
        <f t="shared" si="278"/>
        <v>8</v>
      </c>
      <c r="AR1017">
        <f t="shared" si="279"/>
        <v>0</v>
      </c>
      <c r="AS1017">
        <f t="shared" si="280"/>
        <v>0</v>
      </c>
    </row>
    <row r="1018" ht="14.25" customHeight="1" spans="1:45">
      <c r="A1018" s="3" t="str">
        <f>IF(对接源_01水果!$C1018="","",对接源_01水果!$C1018)</f>
        <v/>
      </c>
      <c r="B1018" s="3">
        <f t="shared" si="264"/>
        <v>0</v>
      </c>
      <c r="C1018" s="3">
        <f t="shared" si="265"/>
        <v>18</v>
      </c>
      <c r="K1018" s="3">
        <f>IF(OR($K$1="",对接源_01水果!$C1018="",对接源_01水果!$C1018&lt;&gt;$K$1,对接源_01水果!$B1018=""),0,IF(OR(N(对接源_01水果!$B1018)&lt;$K$2,N(对接源_01水果!$B1018)&gt;$K$3),0,1))</f>
        <v>0</v>
      </c>
      <c r="L1018" s="3">
        <f>IF(OR($L$1="",对接源_01水果!$C1018="",对接源_01水果!$C1018&lt;&gt;$L$1,对接源_01水果!$B1018=""),0,IF(OR(N(对接源_01水果!$B1018)&lt;$L$2,N(对接源_01水果!$B1018)&gt;$L$3),0,1))</f>
        <v>0</v>
      </c>
      <c r="M1018" s="3">
        <f>IF(OR($M$1="",对接源_01水果!$C1018="",对接源_01水果!$C1018&lt;&gt;$M$1,对接源_01水果!$B1018=""),0,IF(OR(N(对接源_01水果!$B1018)&lt;$M$2,N(对接源_01水果!$B1018)&gt;$M$3),0,1))</f>
        <v>0</v>
      </c>
      <c r="N1018" s="3">
        <f>IF(OR($N$1="",对接源_01水果!$C1018="",对接源_01水果!$C1018&lt;&gt;$N$1,对接源_01水果!$B1018=""),0,IF(OR(N(对接源_01水果!$B1018)&lt;$N$2,N(对接源_01水果!$B1018)&gt;$N$3),0,1))</f>
        <v>0</v>
      </c>
      <c r="P1018" s="3">
        <f>IF(AND($K1018=1,AND(对接源_01水果!$X1018="公司筐",N(对接源_01水果!$T1018)&lt;&gt;0)),1,0)</f>
        <v>0</v>
      </c>
      <c r="Q1018" s="3">
        <f t="shared" si="266"/>
        <v>0</v>
      </c>
      <c r="R1018" s="3">
        <f>IF(AND($K1018=1,AND(对接源_01水果!$X1018="公司筐",N(对接源_01水果!$U1018)&lt;&gt;0)),1,0)</f>
        <v>0</v>
      </c>
      <c r="S1018" s="3">
        <f t="shared" si="267"/>
        <v>0</v>
      </c>
      <c r="T1018" s="3">
        <f>IF(AND($K1018=1,AND(对接源_01水果!$X1018="公司筐",N(对接源_01水果!$V1018)&lt;&gt;0)),1,0)</f>
        <v>0</v>
      </c>
      <c r="U1018" s="3">
        <f t="shared" si="268"/>
        <v>19</v>
      </c>
      <c r="V1018" s="3">
        <f>IF(AND($L1018=1,AND(对接源_01水果!$X1018="自备筐",N(对接源_01水果!$V1018)&lt;&gt;0)),1,0)</f>
        <v>0</v>
      </c>
      <c r="W1018" s="3">
        <f t="shared" si="269"/>
        <v>8</v>
      </c>
      <c r="X1018" s="3">
        <f>IF(AND($L1018=1,AND(对接源_01水果!$X1018="自备筐",N(对接源_01水果!$T1018)&lt;&gt;0)),1,0)</f>
        <v>0</v>
      </c>
      <c r="Y1018" s="3">
        <f t="shared" si="270"/>
        <v>0</v>
      </c>
      <c r="Z1018" s="3">
        <f>IF(AND($M1018=1,对接源_01水果!$D1018="原料入库"),1,0)</f>
        <v>0</v>
      </c>
      <c r="AA1018" s="3">
        <f t="shared" si="271"/>
        <v>24</v>
      </c>
      <c r="AB1018" s="3">
        <f>IF(AND($M1018=1,LEFT(对接源_01水果!$D1018,4)="原料出库"),1,0)</f>
        <v>0</v>
      </c>
      <c r="AC1018" s="3">
        <f t="shared" si="272"/>
        <v>0</v>
      </c>
      <c r="AD1018" s="3">
        <f>IF(AND($M1018=1,LEFT(对接源_01水果!$D1018,4)="成品出库"),1,0)</f>
        <v>0</v>
      </c>
      <c r="AE1018" s="3">
        <f t="shared" si="273"/>
        <v>0</v>
      </c>
      <c r="AF1018" s="3">
        <f>IF(AND($N1018=1,AND(LEFT(对接源_01水果!$D1018,4)="包装物料",N(对接源_01水果!$K1018)&lt;&gt;0)),1,0)</f>
        <v>0</v>
      </c>
      <c r="AG1018" s="3">
        <f t="shared" si="274"/>
        <v>0</v>
      </c>
      <c r="AH1018" s="3">
        <f>IF(AND($N1018=1,AND(对接源_01水果!$D1018="周转筐－销售出库",N(对接源_01水果!$K1018)&lt;&gt;0)),1,0)</f>
        <v>0</v>
      </c>
      <c r="AI1018" s="3">
        <f t="shared" si="275"/>
        <v>0</v>
      </c>
      <c r="AJ1018" s="7"/>
      <c r="AL1018" s="3">
        <f>IF(OR($AL$1="",对接源_01水果!$Y1018="",对接源_01水果!$Y1018&lt;&gt;$AL$1,对接源_01水果!$B1018="",N(对接源_01水果!$AJ1018)&lt;=0),0,IF(OR(N(对接源_01水果!$B1018)&lt;$AL$2,N(对接源_01水果!$B1018)&gt;$AL$3),0,1))</f>
        <v>0</v>
      </c>
      <c r="AM1018" s="3">
        <f t="shared" si="276"/>
        <v>1</v>
      </c>
      <c r="AN1018" s="3" t="str">
        <f>IF(对接源_01水果!$AC1018="","",对接源_01水果!$AC1018)</f>
        <v/>
      </c>
      <c r="AO1018" s="3">
        <f t="shared" si="277"/>
        <v>0</v>
      </c>
      <c r="AP1018" s="3">
        <f t="shared" si="278"/>
        <v>8</v>
      </c>
      <c r="AR1018">
        <f t="shared" si="279"/>
        <v>0</v>
      </c>
      <c r="AS1018">
        <f t="shared" si="280"/>
        <v>0</v>
      </c>
    </row>
    <row r="1019" ht="14.25" customHeight="1" spans="1:45">
      <c r="A1019" s="3" t="str">
        <f>IF(对接源_01水果!$C1019="","",对接源_01水果!$C1019)</f>
        <v/>
      </c>
      <c r="B1019" s="3">
        <f t="shared" si="264"/>
        <v>0</v>
      </c>
      <c r="C1019" s="3">
        <f t="shared" si="265"/>
        <v>18</v>
      </c>
      <c r="K1019" s="3">
        <f>IF(OR($K$1="",对接源_01水果!$C1019="",对接源_01水果!$C1019&lt;&gt;$K$1,对接源_01水果!$B1019=""),0,IF(OR(N(对接源_01水果!$B1019)&lt;$K$2,N(对接源_01水果!$B1019)&gt;$K$3),0,1))</f>
        <v>0</v>
      </c>
      <c r="L1019" s="3">
        <f>IF(OR($L$1="",对接源_01水果!$C1019="",对接源_01水果!$C1019&lt;&gt;$L$1,对接源_01水果!$B1019=""),0,IF(OR(N(对接源_01水果!$B1019)&lt;$L$2,N(对接源_01水果!$B1019)&gt;$L$3),0,1))</f>
        <v>0</v>
      </c>
      <c r="M1019" s="3">
        <f>IF(OR($M$1="",对接源_01水果!$C1019="",对接源_01水果!$C1019&lt;&gt;$M$1,对接源_01水果!$B1019=""),0,IF(OR(N(对接源_01水果!$B1019)&lt;$M$2,N(对接源_01水果!$B1019)&gt;$M$3),0,1))</f>
        <v>0</v>
      </c>
      <c r="N1019" s="3">
        <f>IF(OR($N$1="",对接源_01水果!$C1019="",对接源_01水果!$C1019&lt;&gt;$N$1,对接源_01水果!$B1019=""),0,IF(OR(N(对接源_01水果!$B1019)&lt;$N$2,N(对接源_01水果!$B1019)&gt;$N$3),0,1))</f>
        <v>0</v>
      </c>
      <c r="P1019" s="3">
        <f>IF(AND($K1019=1,AND(对接源_01水果!$X1019="公司筐",N(对接源_01水果!$T1019)&lt;&gt;0)),1,0)</f>
        <v>0</v>
      </c>
      <c r="Q1019" s="3">
        <f t="shared" si="266"/>
        <v>0</v>
      </c>
      <c r="R1019" s="3">
        <f>IF(AND($K1019=1,AND(对接源_01水果!$X1019="公司筐",N(对接源_01水果!$U1019)&lt;&gt;0)),1,0)</f>
        <v>0</v>
      </c>
      <c r="S1019" s="3">
        <f t="shared" si="267"/>
        <v>0</v>
      </c>
      <c r="T1019" s="3">
        <f>IF(AND($K1019=1,AND(对接源_01水果!$X1019="公司筐",N(对接源_01水果!$V1019)&lt;&gt;0)),1,0)</f>
        <v>0</v>
      </c>
      <c r="U1019" s="3">
        <f t="shared" si="268"/>
        <v>19</v>
      </c>
      <c r="V1019" s="3">
        <f>IF(AND($L1019=1,AND(对接源_01水果!$X1019="自备筐",N(对接源_01水果!$V1019)&lt;&gt;0)),1,0)</f>
        <v>0</v>
      </c>
      <c r="W1019" s="3">
        <f t="shared" si="269"/>
        <v>8</v>
      </c>
      <c r="X1019" s="3">
        <f>IF(AND($L1019=1,AND(对接源_01水果!$X1019="自备筐",N(对接源_01水果!$T1019)&lt;&gt;0)),1,0)</f>
        <v>0</v>
      </c>
      <c r="Y1019" s="3">
        <f t="shared" si="270"/>
        <v>0</v>
      </c>
      <c r="Z1019" s="3">
        <f>IF(AND($M1019=1,对接源_01水果!$D1019="原料入库"),1,0)</f>
        <v>0</v>
      </c>
      <c r="AA1019" s="3">
        <f t="shared" si="271"/>
        <v>24</v>
      </c>
      <c r="AB1019" s="3">
        <f>IF(AND($M1019=1,LEFT(对接源_01水果!$D1019,4)="原料出库"),1,0)</f>
        <v>0</v>
      </c>
      <c r="AC1019" s="3">
        <f t="shared" si="272"/>
        <v>0</v>
      </c>
      <c r="AD1019" s="3">
        <f>IF(AND($M1019=1,LEFT(对接源_01水果!$D1019,4)="成品出库"),1,0)</f>
        <v>0</v>
      </c>
      <c r="AE1019" s="3">
        <f t="shared" si="273"/>
        <v>0</v>
      </c>
      <c r="AF1019" s="3">
        <f>IF(AND($N1019=1,AND(LEFT(对接源_01水果!$D1019,4)="包装物料",N(对接源_01水果!$K1019)&lt;&gt;0)),1,0)</f>
        <v>0</v>
      </c>
      <c r="AG1019" s="3">
        <f t="shared" si="274"/>
        <v>0</v>
      </c>
      <c r="AH1019" s="3">
        <f>IF(AND($N1019=1,AND(对接源_01水果!$D1019="周转筐－销售出库",N(对接源_01水果!$K1019)&lt;&gt;0)),1,0)</f>
        <v>0</v>
      </c>
      <c r="AI1019" s="3">
        <f t="shared" si="275"/>
        <v>0</v>
      </c>
      <c r="AJ1019" s="7"/>
      <c r="AL1019" s="3">
        <f>IF(OR($AL$1="",对接源_01水果!$Y1019="",对接源_01水果!$Y1019&lt;&gt;$AL$1,对接源_01水果!$B1019="",N(对接源_01水果!$AJ1019)&lt;=0),0,IF(OR(N(对接源_01水果!$B1019)&lt;$AL$2,N(对接源_01水果!$B1019)&gt;$AL$3),0,1))</f>
        <v>0</v>
      </c>
      <c r="AM1019" s="3">
        <f t="shared" si="276"/>
        <v>1</v>
      </c>
      <c r="AN1019" s="3" t="str">
        <f>IF(对接源_01水果!$AC1019="","",对接源_01水果!$AC1019)</f>
        <v/>
      </c>
      <c r="AO1019" s="3">
        <f t="shared" si="277"/>
        <v>0</v>
      </c>
      <c r="AP1019" s="3">
        <f t="shared" si="278"/>
        <v>8</v>
      </c>
      <c r="AR1019">
        <f t="shared" si="279"/>
        <v>0</v>
      </c>
      <c r="AS1019">
        <f t="shared" si="280"/>
        <v>0</v>
      </c>
    </row>
    <row r="1020" ht="14.25" customHeight="1" spans="1:45">
      <c r="A1020" s="3" t="str">
        <f>IF(对接源_01水果!$C1020="","",对接源_01水果!$C1020)</f>
        <v/>
      </c>
      <c r="B1020" s="3">
        <f t="shared" si="264"/>
        <v>0</v>
      </c>
      <c r="C1020" s="3">
        <f t="shared" si="265"/>
        <v>18</v>
      </c>
      <c r="K1020" s="3">
        <f>IF(OR($K$1="",对接源_01水果!$C1020="",对接源_01水果!$C1020&lt;&gt;$K$1,对接源_01水果!$B1020=""),0,IF(OR(N(对接源_01水果!$B1020)&lt;$K$2,N(对接源_01水果!$B1020)&gt;$K$3),0,1))</f>
        <v>0</v>
      </c>
      <c r="L1020" s="3">
        <f>IF(OR($L$1="",对接源_01水果!$C1020="",对接源_01水果!$C1020&lt;&gt;$L$1,对接源_01水果!$B1020=""),0,IF(OR(N(对接源_01水果!$B1020)&lt;$L$2,N(对接源_01水果!$B1020)&gt;$L$3),0,1))</f>
        <v>0</v>
      </c>
      <c r="M1020" s="3">
        <f>IF(OR($M$1="",对接源_01水果!$C1020="",对接源_01水果!$C1020&lt;&gt;$M$1,对接源_01水果!$B1020=""),0,IF(OR(N(对接源_01水果!$B1020)&lt;$M$2,N(对接源_01水果!$B1020)&gt;$M$3),0,1))</f>
        <v>0</v>
      </c>
      <c r="N1020" s="3">
        <f>IF(OR($N$1="",对接源_01水果!$C1020="",对接源_01水果!$C1020&lt;&gt;$N$1,对接源_01水果!$B1020=""),0,IF(OR(N(对接源_01水果!$B1020)&lt;$N$2,N(对接源_01水果!$B1020)&gt;$N$3),0,1))</f>
        <v>0</v>
      </c>
      <c r="P1020" s="3">
        <f>IF(AND($K1020=1,AND(对接源_01水果!$X1020="公司筐",N(对接源_01水果!$T1020)&lt;&gt;0)),1,0)</f>
        <v>0</v>
      </c>
      <c r="Q1020" s="3">
        <f t="shared" si="266"/>
        <v>0</v>
      </c>
      <c r="R1020" s="3">
        <f>IF(AND($K1020=1,AND(对接源_01水果!$X1020="公司筐",N(对接源_01水果!$U1020)&lt;&gt;0)),1,0)</f>
        <v>0</v>
      </c>
      <c r="S1020" s="3">
        <f t="shared" si="267"/>
        <v>0</v>
      </c>
      <c r="T1020" s="3">
        <f>IF(AND($K1020=1,AND(对接源_01水果!$X1020="公司筐",N(对接源_01水果!$V1020)&lt;&gt;0)),1,0)</f>
        <v>0</v>
      </c>
      <c r="U1020" s="3">
        <f t="shared" si="268"/>
        <v>19</v>
      </c>
      <c r="V1020" s="3">
        <f>IF(AND($L1020=1,AND(对接源_01水果!$X1020="自备筐",N(对接源_01水果!$V1020)&lt;&gt;0)),1,0)</f>
        <v>0</v>
      </c>
      <c r="W1020" s="3">
        <f t="shared" si="269"/>
        <v>8</v>
      </c>
      <c r="X1020" s="3">
        <f>IF(AND($L1020=1,AND(对接源_01水果!$X1020="自备筐",N(对接源_01水果!$T1020)&lt;&gt;0)),1,0)</f>
        <v>0</v>
      </c>
      <c r="Y1020" s="3">
        <f t="shared" si="270"/>
        <v>0</v>
      </c>
      <c r="Z1020" s="3">
        <f>IF(AND($M1020=1,对接源_01水果!$D1020="原料入库"),1,0)</f>
        <v>0</v>
      </c>
      <c r="AA1020" s="3">
        <f t="shared" si="271"/>
        <v>24</v>
      </c>
      <c r="AB1020" s="3">
        <f>IF(AND($M1020=1,LEFT(对接源_01水果!$D1020,4)="原料出库"),1,0)</f>
        <v>0</v>
      </c>
      <c r="AC1020" s="3">
        <f t="shared" si="272"/>
        <v>0</v>
      </c>
      <c r="AD1020" s="3">
        <f>IF(AND($M1020=1,LEFT(对接源_01水果!$D1020,4)="成品出库"),1,0)</f>
        <v>0</v>
      </c>
      <c r="AE1020" s="3">
        <f t="shared" si="273"/>
        <v>0</v>
      </c>
      <c r="AF1020" s="3">
        <f>IF(AND($N1020=1,AND(LEFT(对接源_01水果!$D1020,4)="包装物料",N(对接源_01水果!$K1020)&lt;&gt;0)),1,0)</f>
        <v>0</v>
      </c>
      <c r="AG1020" s="3">
        <f t="shared" si="274"/>
        <v>0</v>
      </c>
      <c r="AH1020" s="3">
        <f>IF(AND($N1020=1,AND(对接源_01水果!$D1020="周转筐－销售出库",N(对接源_01水果!$K1020)&lt;&gt;0)),1,0)</f>
        <v>0</v>
      </c>
      <c r="AI1020" s="3">
        <f t="shared" si="275"/>
        <v>0</v>
      </c>
      <c r="AJ1020" s="7"/>
      <c r="AL1020" s="3">
        <f>IF(OR($AL$1="",对接源_01水果!$Y1020="",对接源_01水果!$Y1020&lt;&gt;$AL$1,对接源_01水果!$B1020="",N(对接源_01水果!$AJ1020)&lt;=0),0,IF(OR(N(对接源_01水果!$B1020)&lt;$AL$2,N(对接源_01水果!$B1020)&gt;$AL$3),0,1))</f>
        <v>0</v>
      </c>
      <c r="AM1020" s="3">
        <f t="shared" si="276"/>
        <v>1</v>
      </c>
      <c r="AN1020" s="3" t="str">
        <f>IF(对接源_01水果!$AC1020="","",对接源_01水果!$AC1020)</f>
        <v/>
      </c>
      <c r="AO1020" s="3">
        <f t="shared" si="277"/>
        <v>0</v>
      </c>
      <c r="AP1020" s="3">
        <f t="shared" si="278"/>
        <v>8</v>
      </c>
      <c r="AR1020">
        <f t="shared" si="279"/>
        <v>0</v>
      </c>
      <c r="AS1020">
        <f t="shared" si="280"/>
        <v>0</v>
      </c>
    </row>
    <row r="1021" ht="14.25" customHeight="1" spans="1:45">
      <c r="A1021" s="3" t="str">
        <f>IF(对接源_01水果!$C1021="","",对接源_01水果!$C1021)</f>
        <v/>
      </c>
      <c r="B1021" s="3">
        <f t="shared" si="264"/>
        <v>0</v>
      </c>
      <c r="C1021" s="3">
        <f t="shared" si="265"/>
        <v>18</v>
      </c>
      <c r="K1021" s="3">
        <f>IF(OR($K$1="",对接源_01水果!$C1021="",对接源_01水果!$C1021&lt;&gt;$K$1,对接源_01水果!$B1021=""),0,IF(OR(N(对接源_01水果!$B1021)&lt;$K$2,N(对接源_01水果!$B1021)&gt;$K$3),0,1))</f>
        <v>0</v>
      </c>
      <c r="L1021" s="3">
        <f>IF(OR($L$1="",对接源_01水果!$C1021="",对接源_01水果!$C1021&lt;&gt;$L$1,对接源_01水果!$B1021=""),0,IF(OR(N(对接源_01水果!$B1021)&lt;$L$2,N(对接源_01水果!$B1021)&gt;$L$3),0,1))</f>
        <v>0</v>
      </c>
      <c r="M1021" s="3">
        <f>IF(OR($M$1="",对接源_01水果!$C1021="",对接源_01水果!$C1021&lt;&gt;$M$1,对接源_01水果!$B1021=""),0,IF(OR(N(对接源_01水果!$B1021)&lt;$M$2,N(对接源_01水果!$B1021)&gt;$M$3),0,1))</f>
        <v>0</v>
      </c>
      <c r="N1021" s="3">
        <f>IF(OR($N$1="",对接源_01水果!$C1021="",对接源_01水果!$C1021&lt;&gt;$N$1,对接源_01水果!$B1021=""),0,IF(OR(N(对接源_01水果!$B1021)&lt;$N$2,N(对接源_01水果!$B1021)&gt;$N$3),0,1))</f>
        <v>0</v>
      </c>
      <c r="P1021" s="3">
        <f>IF(AND($K1021=1,AND(对接源_01水果!$X1021="公司筐",N(对接源_01水果!$T1021)&lt;&gt;0)),1,0)</f>
        <v>0</v>
      </c>
      <c r="Q1021" s="3">
        <f t="shared" si="266"/>
        <v>0</v>
      </c>
      <c r="R1021" s="3">
        <f>IF(AND($K1021=1,AND(对接源_01水果!$X1021="公司筐",N(对接源_01水果!$U1021)&lt;&gt;0)),1,0)</f>
        <v>0</v>
      </c>
      <c r="S1021" s="3">
        <f t="shared" si="267"/>
        <v>0</v>
      </c>
      <c r="T1021" s="3">
        <f>IF(AND($K1021=1,AND(对接源_01水果!$X1021="公司筐",N(对接源_01水果!$V1021)&lt;&gt;0)),1,0)</f>
        <v>0</v>
      </c>
      <c r="U1021" s="3">
        <f t="shared" si="268"/>
        <v>19</v>
      </c>
      <c r="V1021" s="3">
        <f>IF(AND($L1021=1,AND(对接源_01水果!$X1021="自备筐",N(对接源_01水果!$V1021)&lt;&gt;0)),1,0)</f>
        <v>0</v>
      </c>
      <c r="W1021" s="3">
        <f t="shared" si="269"/>
        <v>8</v>
      </c>
      <c r="X1021" s="3">
        <f>IF(AND($L1021=1,AND(对接源_01水果!$X1021="自备筐",N(对接源_01水果!$T1021)&lt;&gt;0)),1,0)</f>
        <v>0</v>
      </c>
      <c r="Y1021" s="3">
        <f t="shared" si="270"/>
        <v>0</v>
      </c>
      <c r="Z1021" s="3">
        <f>IF(AND($M1021=1,对接源_01水果!$D1021="原料入库"),1,0)</f>
        <v>0</v>
      </c>
      <c r="AA1021" s="3">
        <f t="shared" si="271"/>
        <v>24</v>
      </c>
      <c r="AB1021" s="3">
        <f>IF(AND($M1021=1,LEFT(对接源_01水果!$D1021,4)="原料出库"),1,0)</f>
        <v>0</v>
      </c>
      <c r="AC1021" s="3">
        <f t="shared" si="272"/>
        <v>0</v>
      </c>
      <c r="AD1021" s="3">
        <f>IF(AND($M1021=1,LEFT(对接源_01水果!$D1021,4)="成品出库"),1,0)</f>
        <v>0</v>
      </c>
      <c r="AE1021" s="3">
        <f t="shared" si="273"/>
        <v>0</v>
      </c>
      <c r="AF1021" s="3">
        <f>IF(AND($N1021=1,AND(LEFT(对接源_01水果!$D1021,4)="包装物料",N(对接源_01水果!$K1021)&lt;&gt;0)),1,0)</f>
        <v>0</v>
      </c>
      <c r="AG1021" s="3">
        <f t="shared" si="274"/>
        <v>0</v>
      </c>
      <c r="AH1021" s="3">
        <f>IF(AND($N1021=1,AND(对接源_01水果!$D1021="周转筐－销售出库",N(对接源_01水果!$K1021)&lt;&gt;0)),1,0)</f>
        <v>0</v>
      </c>
      <c r="AI1021" s="3">
        <f t="shared" si="275"/>
        <v>0</v>
      </c>
      <c r="AJ1021" s="7"/>
      <c r="AL1021" s="3">
        <f>IF(OR($AL$1="",对接源_01水果!$Y1021="",对接源_01水果!$Y1021&lt;&gt;$AL$1,对接源_01水果!$B1021="",N(对接源_01水果!$AJ1021)&lt;=0),0,IF(OR(N(对接源_01水果!$B1021)&lt;$AL$2,N(对接源_01水果!$B1021)&gt;$AL$3),0,1))</f>
        <v>0</v>
      </c>
      <c r="AM1021" s="3">
        <f t="shared" si="276"/>
        <v>1</v>
      </c>
      <c r="AN1021" s="3" t="str">
        <f>IF(对接源_01水果!$AC1021="","",对接源_01水果!$AC1021)</f>
        <v/>
      </c>
      <c r="AO1021" s="3">
        <f t="shared" si="277"/>
        <v>0</v>
      </c>
      <c r="AP1021" s="3">
        <f t="shared" si="278"/>
        <v>8</v>
      </c>
      <c r="AR1021">
        <f t="shared" si="279"/>
        <v>0</v>
      </c>
      <c r="AS1021">
        <f t="shared" si="280"/>
        <v>0</v>
      </c>
    </row>
    <row r="1022" ht="14.25" customHeight="1" spans="1:45">
      <c r="A1022" s="3" t="str">
        <f>IF(对接源_01水果!$C1022="","",对接源_01水果!$C1022)</f>
        <v/>
      </c>
      <c r="B1022" s="3">
        <f t="shared" si="264"/>
        <v>0</v>
      </c>
      <c r="C1022" s="3">
        <f t="shared" si="265"/>
        <v>18</v>
      </c>
      <c r="K1022" s="3">
        <f>IF(OR($K$1="",对接源_01水果!$C1022="",对接源_01水果!$C1022&lt;&gt;$K$1,对接源_01水果!$B1022=""),0,IF(OR(N(对接源_01水果!$B1022)&lt;$K$2,N(对接源_01水果!$B1022)&gt;$K$3),0,1))</f>
        <v>0</v>
      </c>
      <c r="L1022" s="3">
        <f>IF(OR($L$1="",对接源_01水果!$C1022="",对接源_01水果!$C1022&lt;&gt;$L$1,对接源_01水果!$B1022=""),0,IF(OR(N(对接源_01水果!$B1022)&lt;$L$2,N(对接源_01水果!$B1022)&gt;$L$3),0,1))</f>
        <v>0</v>
      </c>
      <c r="M1022" s="3">
        <f>IF(OR($M$1="",对接源_01水果!$C1022="",对接源_01水果!$C1022&lt;&gt;$M$1,对接源_01水果!$B1022=""),0,IF(OR(N(对接源_01水果!$B1022)&lt;$M$2,N(对接源_01水果!$B1022)&gt;$M$3),0,1))</f>
        <v>0</v>
      </c>
      <c r="N1022" s="3">
        <f>IF(OR($N$1="",对接源_01水果!$C1022="",对接源_01水果!$C1022&lt;&gt;$N$1,对接源_01水果!$B1022=""),0,IF(OR(N(对接源_01水果!$B1022)&lt;$N$2,N(对接源_01水果!$B1022)&gt;$N$3),0,1))</f>
        <v>0</v>
      </c>
      <c r="P1022" s="3">
        <f>IF(AND($K1022=1,AND(对接源_01水果!$X1022="公司筐",N(对接源_01水果!$T1022)&lt;&gt;0)),1,0)</f>
        <v>0</v>
      </c>
      <c r="Q1022" s="3">
        <f t="shared" si="266"/>
        <v>0</v>
      </c>
      <c r="R1022" s="3">
        <f>IF(AND($K1022=1,AND(对接源_01水果!$X1022="公司筐",N(对接源_01水果!$U1022)&lt;&gt;0)),1,0)</f>
        <v>0</v>
      </c>
      <c r="S1022" s="3">
        <f t="shared" si="267"/>
        <v>0</v>
      </c>
      <c r="T1022" s="3">
        <f>IF(AND($K1022=1,AND(对接源_01水果!$X1022="公司筐",N(对接源_01水果!$V1022)&lt;&gt;0)),1,0)</f>
        <v>0</v>
      </c>
      <c r="U1022" s="3">
        <f t="shared" si="268"/>
        <v>19</v>
      </c>
      <c r="V1022" s="3">
        <f>IF(AND($L1022=1,AND(对接源_01水果!$X1022="自备筐",N(对接源_01水果!$V1022)&lt;&gt;0)),1,0)</f>
        <v>0</v>
      </c>
      <c r="W1022" s="3">
        <f t="shared" si="269"/>
        <v>8</v>
      </c>
      <c r="X1022" s="3">
        <f>IF(AND($L1022=1,AND(对接源_01水果!$X1022="自备筐",N(对接源_01水果!$T1022)&lt;&gt;0)),1,0)</f>
        <v>0</v>
      </c>
      <c r="Y1022" s="3">
        <f t="shared" si="270"/>
        <v>0</v>
      </c>
      <c r="Z1022" s="3">
        <f>IF(AND($M1022=1,对接源_01水果!$D1022="原料入库"),1,0)</f>
        <v>0</v>
      </c>
      <c r="AA1022" s="3">
        <f t="shared" si="271"/>
        <v>24</v>
      </c>
      <c r="AB1022" s="3">
        <f>IF(AND($M1022=1,LEFT(对接源_01水果!$D1022,4)="原料出库"),1,0)</f>
        <v>0</v>
      </c>
      <c r="AC1022" s="3">
        <f t="shared" si="272"/>
        <v>0</v>
      </c>
      <c r="AD1022" s="3">
        <f>IF(AND($M1022=1,LEFT(对接源_01水果!$D1022,4)="成品出库"),1,0)</f>
        <v>0</v>
      </c>
      <c r="AE1022" s="3">
        <f t="shared" si="273"/>
        <v>0</v>
      </c>
      <c r="AF1022" s="3">
        <f>IF(AND($N1022=1,AND(LEFT(对接源_01水果!$D1022,4)="包装物料",N(对接源_01水果!$K1022)&lt;&gt;0)),1,0)</f>
        <v>0</v>
      </c>
      <c r="AG1022" s="3">
        <f t="shared" si="274"/>
        <v>0</v>
      </c>
      <c r="AH1022" s="3">
        <f>IF(AND($N1022=1,AND(对接源_01水果!$D1022="周转筐－销售出库",N(对接源_01水果!$K1022)&lt;&gt;0)),1,0)</f>
        <v>0</v>
      </c>
      <c r="AI1022" s="3">
        <f t="shared" si="275"/>
        <v>0</v>
      </c>
      <c r="AJ1022" s="7"/>
      <c r="AL1022" s="3">
        <f>IF(OR($AL$1="",对接源_01水果!$Y1022="",对接源_01水果!$Y1022&lt;&gt;$AL$1,对接源_01水果!$B1022="",N(对接源_01水果!$AJ1022)&lt;=0),0,IF(OR(N(对接源_01水果!$B1022)&lt;$AL$2,N(对接源_01水果!$B1022)&gt;$AL$3),0,1))</f>
        <v>0</v>
      </c>
      <c r="AM1022" s="3">
        <f t="shared" si="276"/>
        <v>1</v>
      </c>
      <c r="AN1022" s="3" t="str">
        <f>IF(对接源_01水果!$AC1022="","",对接源_01水果!$AC1022)</f>
        <v/>
      </c>
      <c r="AO1022" s="3">
        <f t="shared" si="277"/>
        <v>0</v>
      </c>
      <c r="AP1022" s="3">
        <f t="shared" si="278"/>
        <v>8</v>
      </c>
      <c r="AR1022">
        <f t="shared" si="279"/>
        <v>0</v>
      </c>
      <c r="AS1022">
        <f t="shared" si="280"/>
        <v>0</v>
      </c>
    </row>
    <row r="1023" ht="14.25" customHeight="1" spans="1:45">
      <c r="A1023" s="3" t="str">
        <f>IF(对接源_01水果!$C1023="","",对接源_01水果!$C1023)</f>
        <v/>
      </c>
      <c r="B1023" s="3">
        <f t="shared" si="264"/>
        <v>0</v>
      </c>
      <c r="C1023" s="3">
        <f t="shared" si="265"/>
        <v>18</v>
      </c>
      <c r="K1023" s="3">
        <f>IF(OR($K$1="",对接源_01水果!$C1023="",对接源_01水果!$C1023&lt;&gt;$K$1,对接源_01水果!$B1023=""),0,IF(OR(N(对接源_01水果!$B1023)&lt;$K$2,N(对接源_01水果!$B1023)&gt;$K$3),0,1))</f>
        <v>0</v>
      </c>
      <c r="L1023" s="3">
        <f>IF(OR($L$1="",对接源_01水果!$C1023="",对接源_01水果!$C1023&lt;&gt;$L$1,对接源_01水果!$B1023=""),0,IF(OR(N(对接源_01水果!$B1023)&lt;$L$2,N(对接源_01水果!$B1023)&gt;$L$3),0,1))</f>
        <v>0</v>
      </c>
      <c r="M1023" s="3">
        <f>IF(OR($M$1="",对接源_01水果!$C1023="",对接源_01水果!$C1023&lt;&gt;$M$1,对接源_01水果!$B1023=""),0,IF(OR(N(对接源_01水果!$B1023)&lt;$M$2,N(对接源_01水果!$B1023)&gt;$M$3),0,1))</f>
        <v>0</v>
      </c>
      <c r="N1023" s="3">
        <f>IF(OR($N$1="",对接源_01水果!$C1023="",对接源_01水果!$C1023&lt;&gt;$N$1,对接源_01水果!$B1023=""),0,IF(OR(N(对接源_01水果!$B1023)&lt;$N$2,N(对接源_01水果!$B1023)&gt;$N$3),0,1))</f>
        <v>0</v>
      </c>
      <c r="P1023" s="3">
        <f>IF(AND($K1023=1,AND(对接源_01水果!$X1023="公司筐",N(对接源_01水果!$T1023)&lt;&gt;0)),1,0)</f>
        <v>0</v>
      </c>
      <c r="Q1023" s="3">
        <f t="shared" si="266"/>
        <v>0</v>
      </c>
      <c r="R1023" s="3">
        <f>IF(AND($K1023=1,AND(对接源_01水果!$X1023="公司筐",N(对接源_01水果!$U1023)&lt;&gt;0)),1,0)</f>
        <v>0</v>
      </c>
      <c r="S1023" s="3">
        <f t="shared" si="267"/>
        <v>0</v>
      </c>
      <c r="T1023" s="3">
        <f>IF(AND($K1023=1,AND(对接源_01水果!$X1023="公司筐",N(对接源_01水果!$V1023)&lt;&gt;0)),1,0)</f>
        <v>0</v>
      </c>
      <c r="U1023" s="3">
        <f t="shared" si="268"/>
        <v>19</v>
      </c>
      <c r="V1023" s="3">
        <f>IF(AND($L1023=1,AND(对接源_01水果!$X1023="自备筐",N(对接源_01水果!$V1023)&lt;&gt;0)),1,0)</f>
        <v>0</v>
      </c>
      <c r="W1023" s="3">
        <f t="shared" si="269"/>
        <v>8</v>
      </c>
      <c r="X1023" s="3">
        <f>IF(AND($L1023=1,AND(对接源_01水果!$X1023="自备筐",N(对接源_01水果!$T1023)&lt;&gt;0)),1,0)</f>
        <v>0</v>
      </c>
      <c r="Y1023" s="3">
        <f t="shared" si="270"/>
        <v>0</v>
      </c>
      <c r="Z1023" s="3">
        <f>IF(AND($M1023=1,对接源_01水果!$D1023="原料入库"),1,0)</f>
        <v>0</v>
      </c>
      <c r="AA1023" s="3">
        <f t="shared" si="271"/>
        <v>24</v>
      </c>
      <c r="AB1023" s="3">
        <f>IF(AND($M1023=1,LEFT(对接源_01水果!$D1023,4)="原料出库"),1,0)</f>
        <v>0</v>
      </c>
      <c r="AC1023" s="3">
        <f t="shared" si="272"/>
        <v>0</v>
      </c>
      <c r="AD1023" s="3">
        <f>IF(AND($M1023=1,LEFT(对接源_01水果!$D1023,4)="成品出库"),1,0)</f>
        <v>0</v>
      </c>
      <c r="AE1023" s="3">
        <f t="shared" si="273"/>
        <v>0</v>
      </c>
      <c r="AF1023" s="3">
        <f>IF(AND($N1023=1,AND(LEFT(对接源_01水果!$D1023,4)="包装物料",N(对接源_01水果!$K1023)&lt;&gt;0)),1,0)</f>
        <v>0</v>
      </c>
      <c r="AG1023" s="3">
        <f t="shared" si="274"/>
        <v>0</v>
      </c>
      <c r="AH1023" s="3">
        <f>IF(AND($N1023=1,AND(对接源_01水果!$D1023="周转筐－销售出库",N(对接源_01水果!$K1023)&lt;&gt;0)),1,0)</f>
        <v>0</v>
      </c>
      <c r="AI1023" s="3">
        <f t="shared" si="275"/>
        <v>0</v>
      </c>
      <c r="AJ1023" s="7"/>
      <c r="AL1023" s="3">
        <f>IF(OR($AL$1="",对接源_01水果!$Y1023="",对接源_01水果!$Y1023&lt;&gt;$AL$1,对接源_01水果!$B1023="",N(对接源_01水果!$AJ1023)&lt;=0),0,IF(OR(N(对接源_01水果!$B1023)&lt;$AL$2,N(对接源_01水果!$B1023)&gt;$AL$3),0,1))</f>
        <v>0</v>
      </c>
      <c r="AM1023" s="3">
        <f t="shared" si="276"/>
        <v>1</v>
      </c>
      <c r="AN1023" s="3" t="str">
        <f>IF(对接源_01水果!$AC1023="","",对接源_01水果!$AC1023)</f>
        <v/>
      </c>
      <c r="AO1023" s="3">
        <f t="shared" si="277"/>
        <v>0</v>
      </c>
      <c r="AP1023" s="3">
        <f t="shared" si="278"/>
        <v>8</v>
      </c>
      <c r="AR1023">
        <f t="shared" si="279"/>
        <v>0</v>
      </c>
      <c r="AS1023">
        <f t="shared" si="280"/>
        <v>0</v>
      </c>
    </row>
    <row r="1024" ht="14.25" customHeight="1" spans="1:45">
      <c r="A1024" s="3" t="str">
        <f>IF(对接源_01水果!$C1024="","",对接源_01水果!$C1024)</f>
        <v/>
      </c>
      <c r="B1024" s="3">
        <f t="shared" si="264"/>
        <v>0</v>
      </c>
      <c r="C1024" s="3">
        <f t="shared" si="265"/>
        <v>18</v>
      </c>
      <c r="K1024" s="3">
        <f>IF(OR($K$1="",对接源_01水果!$C1024="",对接源_01水果!$C1024&lt;&gt;$K$1,对接源_01水果!$B1024=""),0,IF(OR(N(对接源_01水果!$B1024)&lt;$K$2,N(对接源_01水果!$B1024)&gt;$K$3),0,1))</f>
        <v>0</v>
      </c>
      <c r="L1024" s="3">
        <f>IF(OR($L$1="",对接源_01水果!$C1024="",对接源_01水果!$C1024&lt;&gt;$L$1,对接源_01水果!$B1024=""),0,IF(OR(N(对接源_01水果!$B1024)&lt;$L$2,N(对接源_01水果!$B1024)&gt;$L$3),0,1))</f>
        <v>0</v>
      </c>
      <c r="M1024" s="3">
        <f>IF(OR($M$1="",对接源_01水果!$C1024="",对接源_01水果!$C1024&lt;&gt;$M$1,对接源_01水果!$B1024=""),0,IF(OR(N(对接源_01水果!$B1024)&lt;$M$2,N(对接源_01水果!$B1024)&gt;$M$3),0,1))</f>
        <v>0</v>
      </c>
      <c r="N1024" s="3">
        <f>IF(OR($N$1="",对接源_01水果!$C1024="",对接源_01水果!$C1024&lt;&gt;$N$1,对接源_01水果!$B1024=""),0,IF(OR(N(对接源_01水果!$B1024)&lt;$N$2,N(对接源_01水果!$B1024)&gt;$N$3),0,1))</f>
        <v>0</v>
      </c>
      <c r="P1024" s="3">
        <f>IF(AND($K1024=1,AND(对接源_01水果!$X1024="公司筐",N(对接源_01水果!$T1024)&lt;&gt;0)),1,0)</f>
        <v>0</v>
      </c>
      <c r="Q1024" s="3">
        <f t="shared" si="266"/>
        <v>0</v>
      </c>
      <c r="R1024" s="3">
        <f>IF(AND($K1024=1,AND(对接源_01水果!$X1024="公司筐",N(对接源_01水果!$U1024)&lt;&gt;0)),1,0)</f>
        <v>0</v>
      </c>
      <c r="S1024" s="3">
        <f t="shared" si="267"/>
        <v>0</v>
      </c>
      <c r="T1024" s="3">
        <f>IF(AND($K1024=1,AND(对接源_01水果!$X1024="公司筐",N(对接源_01水果!$V1024)&lt;&gt;0)),1,0)</f>
        <v>0</v>
      </c>
      <c r="U1024" s="3">
        <f t="shared" si="268"/>
        <v>19</v>
      </c>
      <c r="V1024" s="3">
        <f>IF(AND($L1024=1,AND(对接源_01水果!$X1024="自备筐",N(对接源_01水果!$V1024)&lt;&gt;0)),1,0)</f>
        <v>0</v>
      </c>
      <c r="W1024" s="3">
        <f t="shared" si="269"/>
        <v>8</v>
      </c>
      <c r="X1024" s="3">
        <f>IF(AND($L1024=1,AND(对接源_01水果!$X1024="自备筐",N(对接源_01水果!$T1024)&lt;&gt;0)),1,0)</f>
        <v>0</v>
      </c>
      <c r="Y1024" s="3">
        <f t="shared" si="270"/>
        <v>0</v>
      </c>
      <c r="Z1024" s="3">
        <f>IF(AND($M1024=1,对接源_01水果!$D1024="原料入库"),1,0)</f>
        <v>0</v>
      </c>
      <c r="AA1024" s="3">
        <f t="shared" si="271"/>
        <v>24</v>
      </c>
      <c r="AB1024" s="3">
        <f>IF(AND($M1024=1,LEFT(对接源_01水果!$D1024,4)="原料出库"),1,0)</f>
        <v>0</v>
      </c>
      <c r="AC1024" s="3">
        <f t="shared" si="272"/>
        <v>0</v>
      </c>
      <c r="AD1024" s="3">
        <f>IF(AND($M1024=1,LEFT(对接源_01水果!$D1024,4)="成品出库"),1,0)</f>
        <v>0</v>
      </c>
      <c r="AE1024" s="3">
        <f t="shared" si="273"/>
        <v>0</v>
      </c>
      <c r="AF1024" s="3">
        <f>IF(AND($N1024=1,AND(LEFT(对接源_01水果!$D1024,4)="包装物料",N(对接源_01水果!$K1024)&lt;&gt;0)),1,0)</f>
        <v>0</v>
      </c>
      <c r="AG1024" s="3">
        <f t="shared" si="274"/>
        <v>0</v>
      </c>
      <c r="AH1024" s="3">
        <f>IF(AND($N1024=1,AND(对接源_01水果!$D1024="周转筐－销售出库",N(对接源_01水果!$K1024)&lt;&gt;0)),1,0)</f>
        <v>0</v>
      </c>
      <c r="AI1024" s="3">
        <f t="shared" si="275"/>
        <v>0</v>
      </c>
      <c r="AJ1024" s="7"/>
      <c r="AL1024" s="3">
        <f>IF(OR($AL$1="",对接源_01水果!$Y1024="",对接源_01水果!$Y1024&lt;&gt;$AL$1,对接源_01水果!$B1024="",N(对接源_01水果!$AJ1024)&lt;=0),0,IF(OR(N(对接源_01水果!$B1024)&lt;$AL$2,N(对接源_01水果!$B1024)&gt;$AL$3),0,1))</f>
        <v>0</v>
      </c>
      <c r="AM1024" s="3">
        <f t="shared" si="276"/>
        <v>1</v>
      </c>
      <c r="AN1024" s="3" t="str">
        <f>IF(对接源_01水果!$AC1024="","",对接源_01水果!$AC1024)</f>
        <v/>
      </c>
      <c r="AO1024" s="3">
        <f t="shared" si="277"/>
        <v>0</v>
      </c>
      <c r="AP1024" s="3">
        <f t="shared" si="278"/>
        <v>8</v>
      </c>
      <c r="AR1024">
        <f t="shared" si="279"/>
        <v>0</v>
      </c>
      <c r="AS1024">
        <f t="shared" si="280"/>
        <v>0</v>
      </c>
    </row>
    <row r="1025" ht="14.25" customHeight="1" spans="1:45">
      <c r="A1025" s="3" t="str">
        <f>IF(对接源_01水果!$C1025="","",对接源_01水果!$C1025)</f>
        <v/>
      </c>
      <c r="B1025" s="3">
        <f t="shared" si="264"/>
        <v>0</v>
      </c>
      <c r="C1025" s="3">
        <f t="shared" si="265"/>
        <v>18</v>
      </c>
      <c r="K1025" s="3">
        <f>IF(OR($K$1="",对接源_01水果!$C1025="",对接源_01水果!$C1025&lt;&gt;$K$1,对接源_01水果!$B1025=""),0,IF(OR(N(对接源_01水果!$B1025)&lt;$K$2,N(对接源_01水果!$B1025)&gt;$K$3),0,1))</f>
        <v>0</v>
      </c>
      <c r="L1025" s="3">
        <f>IF(OR($L$1="",对接源_01水果!$C1025="",对接源_01水果!$C1025&lt;&gt;$L$1,对接源_01水果!$B1025=""),0,IF(OR(N(对接源_01水果!$B1025)&lt;$L$2,N(对接源_01水果!$B1025)&gt;$L$3),0,1))</f>
        <v>0</v>
      </c>
      <c r="M1025" s="3">
        <f>IF(OR($M$1="",对接源_01水果!$C1025="",对接源_01水果!$C1025&lt;&gt;$M$1,对接源_01水果!$B1025=""),0,IF(OR(N(对接源_01水果!$B1025)&lt;$M$2,N(对接源_01水果!$B1025)&gt;$M$3),0,1))</f>
        <v>0</v>
      </c>
      <c r="N1025" s="3">
        <f>IF(OR($N$1="",对接源_01水果!$C1025="",对接源_01水果!$C1025&lt;&gt;$N$1,对接源_01水果!$B1025=""),0,IF(OR(N(对接源_01水果!$B1025)&lt;$N$2,N(对接源_01水果!$B1025)&gt;$N$3),0,1))</f>
        <v>0</v>
      </c>
      <c r="P1025" s="3">
        <f>IF(AND($K1025=1,AND(对接源_01水果!$X1025="公司筐",N(对接源_01水果!$T1025)&lt;&gt;0)),1,0)</f>
        <v>0</v>
      </c>
      <c r="Q1025" s="3">
        <f t="shared" si="266"/>
        <v>0</v>
      </c>
      <c r="R1025" s="3">
        <f>IF(AND($K1025=1,AND(对接源_01水果!$X1025="公司筐",N(对接源_01水果!$U1025)&lt;&gt;0)),1,0)</f>
        <v>0</v>
      </c>
      <c r="S1025" s="3">
        <f t="shared" si="267"/>
        <v>0</v>
      </c>
      <c r="T1025" s="3">
        <f>IF(AND($K1025=1,AND(对接源_01水果!$X1025="公司筐",N(对接源_01水果!$V1025)&lt;&gt;0)),1,0)</f>
        <v>0</v>
      </c>
      <c r="U1025" s="3">
        <f t="shared" si="268"/>
        <v>19</v>
      </c>
      <c r="V1025" s="3">
        <f>IF(AND($L1025=1,AND(对接源_01水果!$X1025="自备筐",N(对接源_01水果!$V1025)&lt;&gt;0)),1,0)</f>
        <v>0</v>
      </c>
      <c r="W1025" s="3">
        <f t="shared" si="269"/>
        <v>8</v>
      </c>
      <c r="X1025" s="3">
        <f>IF(AND($L1025=1,AND(对接源_01水果!$X1025="自备筐",N(对接源_01水果!$T1025)&lt;&gt;0)),1,0)</f>
        <v>0</v>
      </c>
      <c r="Y1025" s="3">
        <f t="shared" si="270"/>
        <v>0</v>
      </c>
      <c r="Z1025" s="3">
        <f>IF(AND($M1025=1,对接源_01水果!$D1025="原料入库"),1,0)</f>
        <v>0</v>
      </c>
      <c r="AA1025" s="3">
        <f t="shared" si="271"/>
        <v>24</v>
      </c>
      <c r="AB1025" s="3">
        <f>IF(AND($M1025=1,LEFT(对接源_01水果!$D1025,4)="原料出库"),1,0)</f>
        <v>0</v>
      </c>
      <c r="AC1025" s="3">
        <f t="shared" si="272"/>
        <v>0</v>
      </c>
      <c r="AD1025" s="3">
        <f>IF(AND($M1025=1,LEFT(对接源_01水果!$D1025,4)="成品出库"),1,0)</f>
        <v>0</v>
      </c>
      <c r="AE1025" s="3">
        <f t="shared" si="273"/>
        <v>0</v>
      </c>
      <c r="AF1025" s="3">
        <f>IF(AND($N1025=1,AND(LEFT(对接源_01水果!$D1025,4)="包装物料",N(对接源_01水果!$K1025)&lt;&gt;0)),1,0)</f>
        <v>0</v>
      </c>
      <c r="AG1025" s="3">
        <f t="shared" si="274"/>
        <v>0</v>
      </c>
      <c r="AH1025" s="3">
        <f>IF(AND($N1025=1,AND(对接源_01水果!$D1025="周转筐－销售出库",N(对接源_01水果!$K1025)&lt;&gt;0)),1,0)</f>
        <v>0</v>
      </c>
      <c r="AI1025" s="3">
        <f t="shared" si="275"/>
        <v>0</v>
      </c>
      <c r="AJ1025" s="7"/>
      <c r="AL1025" s="3">
        <f>IF(OR($AL$1="",对接源_01水果!$Y1025="",对接源_01水果!$Y1025&lt;&gt;$AL$1,对接源_01水果!$B1025="",N(对接源_01水果!$AJ1025)&lt;=0),0,IF(OR(N(对接源_01水果!$B1025)&lt;$AL$2,N(对接源_01水果!$B1025)&gt;$AL$3),0,1))</f>
        <v>0</v>
      </c>
      <c r="AM1025" s="3">
        <f t="shared" si="276"/>
        <v>1</v>
      </c>
      <c r="AN1025" s="3" t="str">
        <f>IF(对接源_01水果!$AC1025="","",对接源_01水果!$AC1025)</f>
        <v/>
      </c>
      <c r="AO1025" s="3">
        <f t="shared" si="277"/>
        <v>0</v>
      </c>
      <c r="AP1025" s="3">
        <f t="shared" si="278"/>
        <v>8</v>
      </c>
      <c r="AR1025">
        <f t="shared" si="279"/>
        <v>0</v>
      </c>
      <c r="AS1025">
        <f t="shared" si="280"/>
        <v>0</v>
      </c>
    </row>
    <row r="1026" ht="14.25" customHeight="1" spans="1:45">
      <c r="A1026" s="3" t="str">
        <f>IF(对接源_01水果!$C1026="","",对接源_01水果!$C1026)</f>
        <v/>
      </c>
      <c r="B1026" s="3">
        <f t="shared" si="264"/>
        <v>0</v>
      </c>
      <c r="C1026" s="3">
        <f t="shared" si="265"/>
        <v>18</v>
      </c>
      <c r="K1026" s="3">
        <f>IF(OR($K$1="",对接源_01水果!$C1026="",对接源_01水果!$C1026&lt;&gt;$K$1,对接源_01水果!$B1026=""),0,IF(OR(N(对接源_01水果!$B1026)&lt;$K$2,N(对接源_01水果!$B1026)&gt;$K$3),0,1))</f>
        <v>0</v>
      </c>
      <c r="L1026" s="3">
        <f>IF(OR($L$1="",对接源_01水果!$C1026="",对接源_01水果!$C1026&lt;&gt;$L$1,对接源_01水果!$B1026=""),0,IF(OR(N(对接源_01水果!$B1026)&lt;$L$2,N(对接源_01水果!$B1026)&gt;$L$3),0,1))</f>
        <v>0</v>
      </c>
      <c r="M1026" s="3">
        <f>IF(OR($M$1="",对接源_01水果!$C1026="",对接源_01水果!$C1026&lt;&gt;$M$1,对接源_01水果!$B1026=""),0,IF(OR(N(对接源_01水果!$B1026)&lt;$M$2,N(对接源_01水果!$B1026)&gt;$M$3),0,1))</f>
        <v>0</v>
      </c>
      <c r="N1026" s="3">
        <f>IF(OR($N$1="",对接源_01水果!$C1026="",对接源_01水果!$C1026&lt;&gt;$N$1,对接源_01水果!$B1026=""),0,IF(OR(N(对接源_01水果!$B1026)&lt;$N$2,N(对接源_01水果!$B1026)&gt;$N$3),0,1))</f>
        <v>0</v>
      </c>
      <c r="P1026" s="3">
        <f>IF(AND($K1026=1,AND(对接源_01水果!$X1026="公司筐",N(对接源_01水果!$T1026)&lt;&gt;0)),1,0)</f>
        <v>0</v>
      </c>
      <c r="Q1026" s="3">
        <f t="shared" si="266"/>
        <v>0</v>
      </c>
      <c r="R1026" s="3">
        <f>IF(AND($K1026=1,AND(对接源_01水果!$X1026="公司筐",N(对接源_01水果!$U1026)&lt;&gt;0)),1,0)</f>
        <v>0</v>
      </c>
      <c r="S1026" s="3">
        <f t="shared" si="267"/>
        <v>0</v>
      </c>
      <c r="T1026" s="3">
        <f>IF(AND($K1026=1,AND(对接源_01水果!$X1026="公司筐",N(对接源_01水果!$V1026)&lt;&gt;0)),1,0)</f>
        <v>0</v>
      </c>
      <c r="U1026" s="3">
        <f t="shared" si="268"/>
        <v>19</v>
      </c>
      <c r="V1026" s="3">
        <f>IF(AND($L1026=1,AND(对接源_01水果!$X1026="自备筐",N(对接源_01水果!$V1026)&lt;&gt;0)),1,0)</f>
        <v>0</v>
      </c>
      <c r="W1026" s="3">
        <f t="shared" si="269"/>
        <v>8</v>
      </c>
      <c r="X1026" s="3">
        <f>IF(AND($L1026=1,AND(对接源_01水果!$X1026="自备筐",N(对接源_01水果!$T1026)&lt;&gt;0)),1,0)</f>
        <v>0</v>
      </c>
      <c r="Y1026" s="3">
        <f t="shared" si="270"/>
        <v>0</v>
      </c>
      <c r="Z1026" s="3">
        <f>IF(AND($M1026=1,对接源_01水果!$D1026="原料入库"),1,0)</f>
        <v>0</v>
      </c>
      <c r="AA1026" s="3">
        <f t="shared" si="271"/>
        <v>24</v>
      </c>
      <c r="AB1026" s="3">
        <f>IF(AND($M1026=1,LEFT(对接源_01水果!$D1026,4)="原料出库"),1,0)</f>
        <v>0</v>
      </c>
      <c r="AC1026" s="3">
        <f t="shared" si="272"/>
        <v>0</v>
      </c>
      <c r="AD1026" s="3">
        <f>IF(AND($M1026=1,LEFT(对接源_01水果!$D1026,4)="成品出库"),1,0)</f>
        <v>0</v>
      </c>
      <c r="AE1026" s="3">
        <f t="shared" si="273"/>
        <v>0</v>
      </c>
      <c r="AF1026" s="3">
        <f>IF(AND($N1026=1,AND(LEFT(对接源_01水果!$D1026,4)="包装物料",N(对接源_01水果!$K1026)&lt;&gt;0)),1,0)</f>
        <v>0</v>
      </c>
      <c r="AG1026" s="3">
        <f t="shared" si="274"/>
        <v>0</v>
      </c>
      <c r="AH1026" s="3">
        <f>IF(AND($N1026=1,AND(对接源_01水果!$D1026="周转筐－销售出库",N(对接源_01水果!$K1026)&lt;&gt;0)),1,0)</f>
        <v>0</v>
      </c>
      <c r="AI1026" s="3">
        <f t="shared" si="275"/>
        <v>0</v>
      </c>
      <c r="AJ1026" s="7"/>
      <c r="AL1026" s="3">
        <f>IF(OR($AL$1="",对接源_01水果!$Y1026="",对接源_01水果!$Y1026&lt;&gt;$AL$1,对接源_01水果!$B1026="",N(对接源_01水果!$AJ1026)&lt;=0),0,IF(OR(N(对接源_01水果!$B1026)&lt;$AL$2,N(对接源_01水果!$B1026)&gt;$AL$3),0,1))</f>
        <v>0</v>
      </c>
      <c r="AM1026" s="3">
        <f t="shared" si="276"/>
        <v>1</v>
      </c>
      <c r="AN1026" s="3" t="str">
        <f>IF(对接源_01水果!$AC1026="","",对接源_01水果!$AC1026)</f>
        <v/>
      </c>
      <c r="AO1026" s="3">
        <f t="shared" si="277"/>
        <v>0</v>
      </c>
      <c r="AP1026" s="3">
        <f t="shared" si="278"/>
        <v>8</v>
      </c>
      <c r="AR1026">
        <f t="shared" si="279"/>
        <v>0</v>
      </c>
      <c r="AS1026">
        <f t="shared" si="280"/>
        <v>0</v>
      </c>
    </row>
    <row r="1027" ht="14.25" customHeight="1" spans="1:45">
      <c r="A1027" s="3" t="str">
        <f>IF(对接源_01水果!$C1027="","",对接源_01水果!$C1027)</f>
        <v/>
      </c>
      <c r="B1027" s="3">
        <f t="shared" si="264"/>
        <v>0</v>
      </c>
      <c r="C1027" s="3">
        <f t="shared" si="265"/>
        <v>18</v>
      </c>
      <c r="K1027" s="3">
        <f>IF(OR($K$1="",对接源_01水果!$C1027="",对接源_01水果!$C1027&lt;&gt;$K$1,对接源_01水果!$B1027=""),0,IF(OR(N(对接源_01水果!$B1027)&lt;$K$2,N(对接源_01水果!$B1027)&gt;$K$3),0,1))</f>
        <v>0</v>
      </c>
      <c r="L1027" s="3">
        <f>IF(OR($L$1="",对接源_01水果!$C1027="",对接源_01水果!$C1027&lt;&gt;$L$1,对接源_01水果!$B1027=""),0,IF(OR(N(对接源_01水果!$B1027)&lt;$L$2,N(对接源_01水果!$B1027)&gt;$L$3),0,1))</f>
        <v>0</v>
      </c>
      <c r="M1027" s="3">
        <f>IF(OR($M$1="",对接源_01水果!$C1027="",对接源_01水果!$C1027&lt;&gt;$M$1,对接源_01水果!$B1027=""),0,IF(OR(N(对接源_01水果!$B1027)&lt;$M$2,N(对接源_01水果!$B1027)&gt;$M$3),0,1))</f>
        <v>0</v>
      </c>
      <c r="N1027" s="3">
        <f>IF(OR($N$1="",对接源_01水果!$C1027="",对接源_01水果!$C1027&lt;&gt;$N$1,对接源_01水果!$B1027=""),0,IF(OR(N(对接源_01水果!$B1027)&lt;$N$2,N(对接源_01水果!$B1027)&gt;$N$3),0,1))</f>
        <v>0</v>
      </c>
      <c r="P1027" s="3">
        <f>IF(AND($K1027=1,AND(对接源_01水果!$X1027="公司筐",N(对接源_01水果!$T1027)&lt;&gt;0)),1,0)</f>
        <v>0</v>
      </c>
      <c r="Q1027" s="3">
        <f t="shared" si="266"/>
        <v>0</v>
      </c>
      <c r="R1027" s="3">
        <f>IF(AND($K1027=1,AND(对接源_01水果!$X1027="公司筐",N(对接源_01水果!$U1027)&lt;&gt;0)),1,0)</f>
        <v>0</v>
      </c>
      <c r="S1027" s="3">
        <f t="shared" si="267"/>
        <v>0</v>
      </c>
      <c r="T1027" s="3">
        <f>IF(AND($K1027=1,AND(对接源_01水果!$X1027="公司筐",N(对接源_01水果!$V1027)&lt;&gt;0)),1,0)</f>
        <v>0</v>
      </c>
      <c r="U1027" s="3">
        <f t="shared" si="268"/>
        <v>19</v>
      </c>
      <c r="V1027" s="3">
        <f>IF(AND($L1027=1,AND(对接源_01水果!$X1027="自备筐",N(对接源_01水果!$V1027)&lt;&gt;0)),1,0)</f>
        <v>0</v>
      </c>
      <c r="W1027" s="3">
        <f t="shared" si="269"/>
        <v>8</v>
      </c>
      <c r="X1027" s="3">
        <f>IF(AND($L1027=1,AND(对接源_01水果!$X1027="自备筐",N(对接源_01水果!$T1027)&lt;&gt;0)),1,0)</f>
        <v>0</v>
      </c>
      <c r="Y1027" s="3">
        <f t="shared" si="270"/>
        <v>0</v>
      </c>
      <c r="Z1027" s="3">
        <f>IF(AND($M1027=1,对接源_01水果!$D1027="原料入库"),1,0)</f>
        <v>0</v>
      </c>
      <c r="AA1027" s="3">
        <f t="shared" si="271"/>
        <v>24</v>
      </c>
      <c r="AB1027" s="3">
        <f>IF(AND($M1027=1,LEFT(对接源_01水果!$D1027,4)="原料出库"),1,0)</f>
        <v>0</v>
      </c>
      <c r="AC1027" s="3">
        <f t="shared" si="272"/>
        <v>0</v>
      </c>
      <c r="AD1027" s="3">
        <f>IF(AND($M1027=1,LEFT(对接源_01水果!$D1027,4)="成品出库"),1,0)</f>
        <v>0</v>
      </c>
      <c r="AE1027" s="3">
        <f t="shared" si="273"/>
        <v>0</v>
      </c>
      <c r="AF1027" s="3">
        <f>IF(AND($N1027=1,AND(LEFT(对接源_01水果!$D1027,4)="包装物料",N(对接源_01水果!$K1027)&lt;&gt;0)),1,0)</f>
        <v>0</v>
      </c>
      <c r="AG1027" s="3">
        <f t="shared" si="274"/>
        <v>0</v>
      </c>
      <c r="AH1027" s="3">
        <f>IF(AND($N1027=1,AND(对接源_01水果!$D1027="周转筐－销售出库",N(对接源_01水果!$K1027)&lt;&gt;0)),1,0)</f>
        <v>0</v>
      </c>
      <c r="AI1027" s="3">
        <f t="shared" si="275"/>
        <v>0</v>
      </c>
      <c r="AJ1027" s="7"/>
      <c r="AL1027" s="3">
        <f>IF(OR($AL$1="",对接源_01水果!$Y1027="",对接源_01水果!$Y1027&lt;&gt;$AL$1,对接源_01水果!$B1027="",N(对接源_01水果!$AJ1027)&lt;=0),0,IF(OR(N(对接源_01水果!$B1027)&lt;$AL$2,N(对接源_01水果!$B1027)&gt;$AL$3),0,1))</f>
        <v>0</v>
      </c>
      <c r="AM1027" s="3">
        <f t="shared" si="276"/>
        <v>1</v>
      </c>
      <c r="AN1027" s="3" t="str">
        <f>IF(对接源_01水果!$AC1027="","",对接源_01水果!$AC1027)</f>
        <v/>
      </c>
      <c r="AO1027" s="3">
        <f t="shared" si="277"/>
        <v>0</v>
      </c>
      <c r="AP1027" s="3">
        <f t="shared" si="278"/>
        <v>8</v>
      </c>
      <c r="AR1027">
        <f t="shared" si="279"/>
        <v>0</v>
      </c>
      <c r="AS1027">
        <f t="shared" si="280"/>
        <v>0</v>
      </c>
    </row>
    <row r="1028" ht="14.25" customHeight="1" spans="1:45">
      <c r="A1028" s="3" t="str">
        <f>IF(对接源_01水果!$C1028="","",对接源_01水果!$C1028)</f>
        <v/>
      </c>
      <c r="B1028" s="3">
        <f t="shared" ref="B1028:B1091" si="281">IF(A1028="",0,IF(MATCH(A1028,$A$4:$A$2403,0)=ROW()-3,1,0))</f>
        <v>0</v>
      </c>
      <c r="C1028" s="3">
        <f t="shared" ref="C1028:C1091" si="282">N(C1027)+B1028</f>
        <v>18</v>
      </c>
      <c r="K1028" s="3">
        <f>IF(OR($K$1="",对接源_01水果!$C1028="",对接源_01水果!$C1028&lt;&gt;$K$1,对接源_01水果!$B1028=""),0,IF(OR(N(对接源_01水果!$B1028)&lt;$K$2,N(对接源_01水果!$B1028)&gt;$K$3),0,1))</f>
        <v>0</v>
      </c>
      <c r="L1028" s="3">
        <f>IF(OR($L$1="",对接源_01水果!$C1028="",对接源_01水果!$C1028&lt;&gt;$L$1,对接源_01水果!$B1028=""),0,IF(OR(N(对接源_01水果!$B1028)&lt;$L$2,N(对接源_01水果!$B1028)&gt;$L$3),0,1))</f>
        <v>0</v>
      </c>
      <c r="M1028" s="3">
        <f>IF(OR($M$1="",对接源_01水果!$C1028="",对接源_01水果!$C1028&lt;&gt;$M$1,对接源_01水果!$B1028=""),0,IF(OR(N(对接源_01水果!$B1028)&lt;$M$2,N(对接源_01水果!$B1028)&gt;$M$3),0,1))</f>
        <v>0</v>
      </c>
      <c r="N1028" s="3">
        <f>IF(OR($N$1="",对接源_01水果!$C1028="",对接源_01水果!$C1028&lt;&gt;$N$1,对接源_01水果!$B1028=""),0,IF(OR(N(对接源_01水果!$B1028)&lt;$N$2,N(对接源_01水果!$B1028)&gt;$N$3),0,1))</f>
        <v>0</v>
      </c>
      <c r="P1028" s="3">
        <f>IF(AND($K1028=1,AND(对接源_01水果!$X1028="公司筐",N(对接源_01水果!$T1028)&lt;&gt;0)),1,0)</f>
        <v>0</v>
      </c>
      <c r="Q1028" s="3">
        <f t="shared" ref="Q1028:Q1091" si="283">N(Q1027)+$P1028</f>
        <v>0</v>
      </c>
      <c r="R1028" s="3">
        <f>IF(AND($K1028=1,AND(对接源_01水果!$X1028="公司筐",N(对接源_01水果!$U1028)&lt;&gt;0)),1,0)</f>
        <v>0</v>
      </c>
      <c r="S1028" s="3">
        <f t="shared" ref="S1028:S1091" si="284">N(S1027)+$R1028</f>
        <v>0</v>
      </c>
      <c r="T1028" s="3">
        <f>IF(AND($K1028=1,AND(对接源_01水果!$X1028="公司筐",N(对接源_01水果!$V1028)&lt;&gt;0)),1,0)</f>
        <v>0</v>
      </c>
      <c r="U1028" s="3">
        <f t="shared" ref="U1028:U1091" si="285">N(U1027)+$T1028</f>
        <v>19</v>
      </c>
      <c r="V1028" s="3">
        <f>IF(AND($L1028=1,AND(对接源_01水果!$X1028="自备筐",N(对接源_01水果!$V1028)&lt;&gt;0)),1,0)</f>
        <v>0</v>
      </c>
      <c r="W1028" s="3">
        <f t="shared" ref="W1028:W1091" si="286">N(W1027)+$V1028</f>
        <v>8</v>
      </c>
      <c r="X1028" s="3">
        <f>IF(AND($L1028=1,AND(对接源_01水果!$X1028="自备筐",N(对接源_01水果!$T1028)&lt;&gt;0)),1,0)</f>
        <v>0</v>
      </c>
      <c r="Y1028" s="3">
        <f t="shared" ref="Y1028:Y1091" si="287">N(Y1027)+$X1028</f>
        <v>0</v>
      </c>
      <c r="Z1028" s="3">
        <f>IF(AND($M1028=1,对接源_01水果!$D1028="原料入库"),1,0)</f>
        <v>0</v>
      </c>
      <c r="AA1028" s="3">
        <f t="shared" ref="AA1028:AA1091" si="288">N(AA1027)+$Z1028</f>
        <v>24</v>
      </c>
      <c r="AB1028" s="3">
        <f>IF(AND($M1028=1,LEFT(对接源_01水果!$D1028,4)="原料出库"),1,0)</f>
        <v>0</v>
      </c>
      <c r="AC1028" s="3">
        <f t="shared" ref="AC1028:AC1091" si="289">N(AC1027)+$AB1028</f>
        <v>0</v>
      </c>
      <c r="AD1028" s="3">
        <f>IF(AND($M1028=1,LEFT(对接源_01水果!$D1028,4)="成品出库"),1,0)</f>
        <v>0</v>
      </c>
      <c r="AE1028" s="3">
        <f t="shared" ref="AE1028:AE1091" si="290">N(AE1027)+$AD1028</f>
        <v>0</v>
      </c>
      <c r="AF1028" s="3">
        <f>IF(AND($N1028=1,AND(LEFT(对接源_01水果!$D1028,4)="包装物料",N(对接源_01水果!$K1028)&lt;&gt;0)),1,0)</f>
        <v>0</v>
      </c>
      <c r="AG1028" s="3">
        <f t="shared" ref="AG1028:AG1091" si="291">N(AG1027)+$AF1028</f>
        <v>0</v>
      </c>
      <c r="AH1028" s="3">
        <f>IF(AND($N1028=1,AND(对接源_01水果!$D1028="周转筐－销售出库",N(对接源_01水果!$K1028)&lt;&gt;0)),1,0)</f>
        <v>0</v>
      </c>
      <c r="AI1028" s="3">
        <f t="shared" ref="AI1028:AI1091" si="292">N(AI1027)+$AH1028</f>
        <v>0</v>
      </c>
      <c r="AJ1028" s="7"/>
      <c r="AL1028" s="3">
        <f>IF(OR($AL$1="",对接源_01水果!$Y1028="",对接源_01水果!$Y1028&lt;&gt;$AL$1,对接源_01水果!$B1028="",N(对接源_01水果!$AJ1028)&lt;=0),0,IF(OR(N(对接源_01水果!$B1028)&lt;$AL$2,N(对接源_01水果!$B1028)&gt;$AL$3),0,1))</f>
        <v>0</v>
      </c>
      <c r="AM1028" s="3">
        <f t="shared" ref="AM1028:AM1091" si="293">N(AM1027)+$AL1028</f>
        <v>1</v>
      </c>
      <c r="AN1028" s="3" t="str">
        <f>IF(对接源_01水果!$AC1028="","",对接源_01水果!$AC1028)</f>
        <v/>
      </c>
      <c r="AO1028" s="3">
        <f t="shared" ref="AO1028:AO1091" si="294">IF(AN1028="",0,IF(MATCH(AN1028,$AN$4:$AN$1203,0)=ROW()-3,1,0))</f>
        <v>0</v>
      </c>
      <c r="AP1028" s="3">
        <f t="shared" ref="AP1028:AP1091" si="295">N(AP1027)+$AO1028</f>
        <v>8</v>
      </c>
      <c r="AR1028">
        <f t="shared" ref="AR1028:AR1091" si="296">IF(OR($AF1028=1,$AH1028=1),1,0)</f>
        <v>0</v>
      </c>
      <c r="AS1028">
        <f t="shared" ref="AS1028:AS1091" si="297">N(AS1027)+$AR1028</f>
        <v>0</v>
      </c>
    </row>
    <row r="1029" ht="14.25" customHeight="1" spans="1:45">
      <c r="A1029" s="3" t="str">
        <f>IF(对接源_01水果!$C1029="","",对接源_01水果!$C1029)</f>
        <v/>
      </c>
      <c r="B1029" s="3">
        <f t="shared" si="281"/>
        <v>0</v>
      </c>
      <c r="C1029" s="3">
        <f t="shared" si="282"/>
        <v>18</v>
      </c>
      <c r="K1029" s="3">
        <f>IF(OR($K$1="",对接源_01水果!$C1029="",对接源_01水果!$C1029&lt;&gt;$K$1,对接源_01水果!$B1029=""),0,IF(OR(N(对接源_01水果!$B1029)&lt;$K$2,N(对接源_01水果!$B1029)&gt;$K$3),0,1))</f>
        <v>0</v>
      </c>
      <c r="L1029" s="3">
        <f>IF(OR($L$1="",对接源_01水果!$C1029="",对接源_01水果!$C1029&lt;&gt;$L$1,对接源_01水果!$B1029=""),0,IF(OR(N(对接源_01水果!$B1029)&lt;$L$2,N(对接源_01水果!$B1029)&gt;$L$3),0,1))</f>
        <v>0</v>
      </c>
      <c r="M1029" s="3">
        <f>IF(OR($M$1="",对接源_01水果!$C1029="",对接源_01水果!$C1029&lt;&gt;$M$1,对接源_01水果!$B1029=""),0,IF(OR(N(对接源_01水果!$B1029)&lt;$M$2,N(对接源_01水果!$B1029)&gt;$M$3),0,1))</f>
        <v>0</v>
      </c>
      <c r="N1029" s="3">
        <f>IF(OR($N$1="",对接源_01水果!$C1029="",对接源_01水果!$C1029&lt;&gt;$N$1,对接源_01水果!$B1029=""),0,IF(OR(N(对接源_01水果!$B1029)&lt;$N$2,N(对接源_01水果!$B1029)&gt;$N$3),0,1))</f>
        <v>0</v>
      </c>
      <c r="P1029" s="3">
        <f>IF(AND($K1029=1,AND(对接源_01水果!$X1029="公司筐",N(对接源_01水果!$T1029)&lt;&gt;0)),1,0)</f>
        <v>0</v>
      </c>
      <c r="Q1029" s="3">
        <f t="shared" si="283"/>
        <v>0</v>
      </c>
      <c r="R1029" s="3">
        <f>IF(AND($K1029=1,AND(对接源_01水果!$X1029="公司筐",N(对接源_01水果!$U1029)&lt;&gt;0)),1,0)</f>
        <v>0</v>
      </c>
      <c r="S1029" s="3">
        <f t="shared" si="284"/>
        <v>0</v>
      </c>
      <c r="T1029" s="3">
        <f>IF(AND($K1029=1,AND(对接源_01水果!$X1029="公司筐",N(对接源_01水果!$V1029)&lt;&gt;0)),1,0)</f>
        <v>0</v>
      </c>
      <c r="U1029" s="3">
        <f t="shared" si="285"/>
        <v>19</v>
      </c>
      <c r="V1029" s="3">
        <f>IF(AND($L1029=1,AND(对接源_01水果!$X1029="自备筐",N(对接源_01水果!$V1029)&lt;&gt;0)),1,0)</f>
        <v>0</v>
      </c>
      <c r="W1029" s="3">
        <f t="shared" si="286"/>
        <v>8</v>
      </c>
      <c r="X1029" s="3">
        <f>IF(AND($L1029=1,AND(对接源_01水果!$X1029="自备筐",N(对接源_01水果!$T1029)&lt;&gt;0)),1,0)</f>
        <v>0</v>
      </c>
      <c r="Y1029" s="3">
        <f t="shared" si="287"/>
        <v>0</v>
      </c>
      <c r="Z1029" s="3">
        <f>IF(AND($M1029=1,对接源_01水果!$D1029="原料入库"),1,0)</f>
        <v>0</v>
      </c>
      <c r="AA1029" s="3">
        <f t="shared" si="288"/>
        <v>24</v>
      </c>
      <c r="AB1029" s="3">
        <f>IF(AND($M1029=1,LEFT(对接源_01水果!$D1029,4)="原料出库"),1,0)</f>
        <v>0</v>
      </c>
      <c r="AC1029" s="3">
        <f t="shared" si="289"/>
        <v>0</v>
      </c>
      <c r="AD1029" s="3">
        <f>IF(AND($M1029=1,LEFT(对接源_01水果!$D1029,4)="成品出库"),1,0)</f>
        <v>0</v>
      </c>
      <c r="AE1029" s="3">
        <f t="shared" si="290"/>
        <v>0</v>
      </c>
      <c r="AF1029" s="3">
        <f>IF(AND($N1029=1,AND(LEFT(对接源_01水果!$D1029,4)="包装物料",N(对接源_01水果!$K1029)&lt;&gt;0)),1,0)</f>
        <v>0</v>
      </c>
      <c r="AG1029" s="3">
        <f t="shared" si="291"/>
        <v>0</v>
      </c>
      <c r="AH1029" s="3">
        <f>IF(AND($N1029=1,AND(对接源_01水果!$D1029="周转筐－销售出库",N(对接源_01水果!$K1029)&lt;&gt;0)),1,0)</f>
        <v>0</v>
      </c>
      <c r="AI1029" s="3">
        <f t="shared" si="292"/>
        <v>0</v>
      </c>
      <c r="AJ1029" s="7"/>
      <c r="AL1029" s="3">
        <f>IF(OR($AL$1="",对接源_01水果!$Y1029="",对接源_01水果!$Y1029&lt;&gt;$AL$1,对接源_01水果!$B1029="",N(对接源_01水果!$AJ1029)&lt;=0),0,IF(OR(N(对接源_01水果!$B1029)&lt;$AL$2,N(对接源_01水果!$B1029)&gt;$AL$3),0,1))</f>
        <v>0</v>
      </c>
      <c r="AM1029" s="3">
        <f t="shared" si="293"/>
        <v>1</v>
      </c>
      <c r="AN1029" s="3" t="str">
        <f>IF(对接源_01水果!$AC1029="","",对接源_01水果!$AC1029)</f>
        <v/>
      </c>
      <c r="AO1029" s="3">
        <f t="shared" si="294"/>
        <v>0</v>
      </c>
      <c r="AP1029" s="3">
        <f t="shared" si="295"/>
        <v>8</v>
      </c>
      <c r="AR1029">
        <f t="shared" si="296"/>
        <v>0</v>
      </c>
      <c r="AS1029">
        <f t="shared" si="297"/>
        <v>0</v>
      </c>
    </row>
    <row r="1030" ht="14.25" customHeight="1" spans="1:45">
      <c r="A1030" s="3" t="str">
        <f>IF(对接源_01水果!$C1030="","",对接源_01水果!$C1030)</f>
        <v/>
      </c>
      <c r="B1030" s="3">
        <f t="shared" si="281"/>
        <v>0</v>
      </c>
      <c r="C1030" s="3">
        <f t="shared" si="282"/>
        <v>18</v>
      </c>
      <c r="K1030" s="3">
        <f>IF(OR($K$1="",对接源_01水果!$C1030="",对接源_01水果!$C1030&lt;&gt;$K$1,对接源_01水果!$B1030=""),0,IF(OR(N(对接源_01水果!$B1030)&lt;$K$2,N(对接源_01水果!$B1030)&gt;$K$3),0,1))</f>
        <v>0</v>
      </c>
      <c r="L1030" s="3">
        <f>IF(OR($L$1="",对接源_01水果!$C1030="",对接源_01水果!$C1030&lt;&gt;$L$1,对接源_01水果!$B1030=""),0,IF(OR(N(对接源_01水果!$B1030)&lt;$L$2,N(对接源_01水果!$B1030)&gt;$L$3),0,1))</f>
        <v>0</v>
      </c>
      <c r="M1030" s="3">
        <f>IF(OR($M$1="",对接源_01水果!$C1030="",对接源_01水果!$C1030&lt;&gt;$M$1,对接源_01水果!$B1030=""),0,IF(OR(N(对接源_01水果!$B1030)&lt;$M$2,N(对接源_01水果!$B1030)&gt;$M$3),0,1))</f>
        <v>0</v>
      </c>
      <c r="N1030" s="3">
        <f>IF(OR($N$1="",对接源_01水果!$C1030="",对接源_01水果!$C1030&lt;&gt;$N$1,对接源_01水果!$B1030=""),0,IF(OR(N(对接源_01水果!$B1030)&lt;$N$2,N(对接源_01水果!$B1030)&gt;$N$3),0,1))</f>
        <v>0</v>
      </c>
      <c r="P1030" s="3">
        <f>IF(AND($K1030=1,AND(对接源_01水果!$X1030="公司筐",N(对接源_01水果!$T1030)&lt;&gt;0)),1,0)</f>
        <v>0</v>
      </c>
      <c r="Q1030" s="3">
        <f t="shared" si="283"/>
        <v>0</v>
      </c>
      <c r="R1030" s="3">
        <f>IF(AND($K1030=1,AND(对接源_01水果!$X1030="公司筐",N(对接源_01水果!$U1030)&lt;&gt;0)),1,0)</f>
        <v>0</v>
      </c>
      <c r="S1030" s="3">
        <f t="shared" si="284"/>
        <v>0</v>
      </c>
      <c r="T1030" s="3">
        <f>IF(AND($K1030=1,AND(对接源_01水果!$X1030="公司筐",N(对接源_01水果!$V1030)&lt;&gt;0)),1,0)</f>
        <v>0</v>
      </c>
      <c r="U1030" s="3">
        <f t="shared" si="285"/>
        <v>19</v>
      </c>
      <c r="V1030" s="3">
        <f>IF(AND($L1030=1,AND(对接源_01水果!$X1030="自备筐",N(对接源_01水果!$V1030)&lt;&gt;0)),1,0)</f>
        <v>0</v>
      </c>
      <c r="W1030" s="3">
        <f t="shared" si="286"/>
        <v>8</v>
      </c>
      <c r="X1030" s="3">
        <f>IF(AND($L1030=1,AND(对接源_01水果!$X1030="自备筐",N(对接源_01水果!$T1030)&lt;&gt;0)),1,0)</f>
        <v>0</v>
      </c>
      <c r="Y1030" s="3">
        <f t="shared" si="287"/>
        <v>0</v>
      </c>
      <c r="Z1030" s="3">
        <f>IF(AND($M1030=1,对接源_01水果!$D1030="原料入库"),1,0)</f>
        <v>0</v>
      </c>
      <c r="AA1030" s="3">
        <f t="shared" si="288"/>
        <v>24</v>
      </c>
      <c r="AB1030" s="3">
        <f>IF(AND($M1030=1,LEFT(对接源_01水果!$D1030,4)="原料出库"),1,0)</f>
        <v>0</v>
      </c>
      <c r="AC1030" s="3">
        <f t="shared" si="289"/>
        <v>0</v>
      </c>
      <c r="AD1030" s="3">
        <f>IF(AND($M1030=1,LEFT(对接源_01水果!$D1030,4)="成品出库"),1,0)</f>
        <v>0</v>
      </c>
      <c r="AE1030" s="3">
        <f t="shared" si="290"/>
        <v>0</v>
      </c>
      <c r="AF1030" s="3">
        <f>IF(AND($N1030=1,AND(LEFT(对接源_01水果!$D1030,4)="包装物料",N(对接源_01水果!$K1030)&lt;&gt;0)),1,0)</f>
        <v>0</v>
      </c>
      <c r="AG1030" s="3">
        <f t="shared" si="291"/>
        <v>0</v>
      </c>
      <c r="AH1030" s="3">
        <f>IF(AND($N1030=1,AND(对接源_01水果!$D1030="周转筐－销售出库",N(对接源_01水果!$K1030)&lt;&gt;0)),1,0)</f>
        <v>0</v>
      </c>
      <c r="AI1030" s="3">
        <f t="shared" si="292"/>
        <v>0</v>
      </c>
      <c r="AJ1030" s="7"/>
      <c r="AL1030" s="3">
        <f>IF(OR($AL$1="",对接源_01水果!$Y1030="",对接源_01水果!$Y1030&lt;&gt;$AL$1,对接源_01水果!$B1030="",N(对接源_01水果!$AJ1030)&lt;=0),0,IF(OR(N(对接源_01水果!$B1030)&lt;$AL$2,N(对接源_01水果!$B1030)&gt;$AL$3),0,1))</f>
        <v>0</v>
      </c>
      <c r="AM1030" s="3">
        <f t="shared" si="293"/>
        <v>1</v>
      </c>
      <c r="AN1030" s="3" t="str">
        <f>IF(对接源_01水果!$AC1030="","",对接源_01水果!$AC1030)</f>
        <v/>
      </c>
      <c r="AO1030" s="3">
        <f t="shared" si="294"/>
        <v>0</v>
      </c>
      <c r="AP1030" s="3">
        <f t="shared" si="295"/>
        <v>8</v>
      </c>
      <c r="AR1030">
        <f t="shared" si="296"/>
        <v>0</v>
      </c>
      <c r="AS1030">
        <f t="shared" si="297"/>
        <v>0</v>
      </c>
    </row>
    <row r="1031" ht="14.25" customHeight="1" spans="1:45">
      <c r="A1031" s="3" t="str">
        <f>IF(对接源_01水果!$C1031="","",对接源_01水果!$C1031)</f>
        <v/>
      </c>
      <c r="B1031" s="3">
        <f t="shared" si="281"/>
        <v>0</v>
      </c>
      <c r="C1031" s="3">
        <f t="shared" si="282"/>
        <v>18</v>
      </c>
      <c r="K1031" s="3">
        <f>IF(OR($K$1="",对接源_01水果!$C1031="",对接源_01水果!$C1031&lt;&gt;$K$1,对接源_01水果!$B1031=""),0,IF(OR(N(对接源_01水果!$B1031)&lt;$K$2,N(对接源_01水果!$B1031)&gt;$K$3),0,1))</f>
        <v>0</v>
      </c>
      <c r="L1031" s="3">
        <f>IF(OR($L$1="",对接源_01水果!$C1031="",对接源_01水果!$C1031&lt;&gt;$L$1,对接源_01水果!$B1031=""),0,IF(OR(N(对接源_01水果!$B1031)&lt;$L$2,N(对接源_01水果!$B1031)&gt;$L$3),0,1))</f>
        <v>0</v>
      </c>
      <c r="M1031" s="3">
        <f>IF(OR($M$1="",对接源_01水果!$C1031="",对接源_01水果!$C1031&lt;&gt;$M$1,对接源_01水果!$B1031=""),0,IF(OR(N(对接源_01水果!$B1031)&lt;$M$2,N(对接源_01水果!$B1031)&gt;$M$3),0,1))</f>
        <v>0</v>
      </c>
      <c r="N1031" s="3">
        <f>IF(OR($N$1="",对接源_01水果!$C1031="",对接源_01水果!$C1031&lt;&gt;$N$1,对接源_01水果!$B1031=""),0,IF(OR(N(对接源_01水果!$B1031)&lt;$N$2,N(对接源_01水果!$B1031)&gt;$N$3),0,1))</f>
        <v>0</v>
      </c>
      <c r="P1031" s="3">
        <f>IF(AND($K1031=1,AND(对接源_01水果!$X1031="公司筐",N(对接源_01水果!$T1031)&lt;&gt;0)),1,0)</f>
        <v>0</v>
      </c>
      <c r="Q1031" s="3">
        <f t="shared" si="283"/>
        <v>0</v>
      </c>
      <c r="R1031" s="3">
        <f>IF(AND($K1031=1,AND(对接源_01水果!$X1031="公司筐",N(对接源_01水果!$U1031)&lt;&gt;0)),1,0)</f>
        <v>0</v>
      </c>
      <c r="S1031" s="3">
        <f t="shared" si="284"/>
        <v>0</v>
      </c>
      <c r="T1031" s="3">
        <f>IF(AND($K1031=1,AND(对接源_01水果!$X1031="公司筐",N(对接源_01水果!$V1031)&lt;&gt;0)),1,0)</f>
        <v>0</v>
      </c>
      <c r="U1031" s="3">
        <f t="shared" si="285"/>
        <v>19</v>
      </c>
      <c r="V1031" s="3">
        <f>IF(AND($L1031=1,AND(对接源_01水果!$X1031="自备筐",N(对接源_01水果!$V1031)&lt;&gt;0)),1,0)</f>
        <v>0</v>
      </c>
      <c r="W1031" s="3">
        <f t="shared" si="286"/>
        <v>8</v>
      </c>
      <c r="X1031" s="3">
        <f>IF(AND($L1031=1,AND(对接源_01水果!$X1031="自备筐",N(对接源_01水果!$T1031)&lt;&gt;0)),1,0)</f>
        <v>0</v>
      </c>
      <c r="Y1031" s="3">
        <f t="shared" si="287"/>
        <v>0</v>
      </c>
      <c r="Z1031" s="3">
        <f>IF(AND($M1031=1,对接源_01水果!$D1031="原料入库"),1,0)</f>
        <v>0</v>
      </c>
      <c r="AA1031" s="3">
        <f t="shared" si="288"/>
        <v>24</v>
      </c>
      <c r="AB1031" s="3">
        <f>IF(AND($M1031=1,LEFT(对接源_01水果!$D1031,4)="原料出库"),1,0)</f>
        <v>0</v>
      </c>
      <c r="AC1031" s="3">
        <f t="shared" si="289"/>
        <v>0</v>
      </c>
      <c r="AD1031" s="3">
        <f>IF(AND($M1031=1,LEFT(对接源_01水果!$D1031,4)="成品出库"),1,0)</f>
        <v>0</v>
      </c>
      <c r="AE1031" s="3">
        <f t="shared" si="290"/>
        <v>0</v>
      </c>
      <c r="AF1031" s="3">
        <f>IF(AND($N1031=1,AND(LEFT(对接源_01水果!$D1031,4)="包装物料",N(对接源_01水果!$K1031)&lt;&gt;0)),1,0)</f>
        <v>0</v>
      </c>
      <c r="AG1031" s="3">
        <f t="shared" si="291"/>
        <v>0</v>
      </c>
      <c r="AH1031" s="3">
        <f>IF(AND($N1031=1,AND(对接源_01水果!$D1031="周转筐－销售出库",N(对接源_01水果!$K1031)&lt;&gt;0)),1,0)</f>
        <v>0</v>
      </c>
      <c r="AI1031" s="3">
        <f t="shared" si="292"/>
        <v>0</v>
      </c>
      <c r="AJ1031" s="7"/>
      <c r="AL1031" s="3">
        <f>IF(OR($AL$1="",对接源_01水果!$Y1031="",对接源_01水果!$Y1031&lt;&gt;$AL$1,对接源_01水果!$B1031="",N(对接源_01水果!$AJ1031)&lt;=0),0,IF(OR(N(对接源_01水果!$B1031)&lt;$AL$2,N(对接源_01水果!$B1031)&gt;$AL$3),0,1))</f>
        <v>0</v>
      </c>
      <c r="AM1031" s="3">
        <f t="shared" si="293"/>
        <v>1</v>
      </c>
      <c r="AN1031" s="3" t="str">
        <f>IF(对接源_01水果!$AC1031="","",对接源_01水果!$AC1031)</f>
        <v/>
      </c>
      <c r="AO1031" s="3">
        <f t="shared" si="294"/>
        <v>0</v>
      </c>
      <c r="AP1031" s="3">
        <f t="shared" si="295"/>
        <v>8</v>
      </c>
      <c r="AR1031">
        <f t="shared" si="296"/>
        <v>0</v>
      </c>
      <c r="AS1031">
        <f t="shared" si="297"/>
        <v>0</v>
      </c>
    </row>
    <row r="1032" ht="14.25" customHeight="1" spans="1:45">
      <c r="A1032" s="3" t="str">
        <f>IF(对接源_01水果!$C1032="","",对接源_01水果!$C1032)</f>
        <v/>
      </c>
      <c r="B1032" s="3">
        <f t="shared" si="281"/>
        <v>0</v>
      </c>
      <c r="C1032" s="3">
        <f t="shared" si="282"/>
        <v>18</v>
      </c>
      <c r="K1032" s="3">
        <f>IF(OR($K$1="",对接源_01水果!$C1032="",对接源_01水果!$C1032&lt;&gt;$K$1,对接源_01水果!$B1032=""),0,IF(OR(N(对接源_01水果!$B1032)&lt;$K$2,N(对接源_01水果!$B1032)&gt;$K$3),0,1))</f>
        <v>0</v>
      </c>
      <c r="L1032" s="3">
        <f>IF(OR($L$1="",对接源_01水果!$C1032="",对接源_01水果!$C1032&lt;&gt;$L$1,对接源_01水果!$B1032=""),0,IF(OR(N(对接源_01水果!$B1032)&lt;$L$2,N(对接源_01水果!$B1032)&gt;$L$3),0,1))</f>
        <v>0</v>
      </c>
      <c r="M1032" s="3">
        <f>IF(OR($M$1="",对接源_01水果!$C1032="",对接源_01水果!$C1032&lt;&gt;$M$1,对接源_01水果!$B1032=""),0,IF(OR(N(对接源_01水果!$B1032)&lt;$M$2,N(对接源_01水果!$B1032)&gt;$M$3),0,1))</f>
        <v>0</v>
      </c>
      <c r="N1032" s="3">
        <f>IF(OR($N$1="",对接源_01水果!$C1032="",对接源_01水果!$C1032&lt;&gt;$N$1,对接源_01水果!$B1032=""),0,IF(OR(N(对接源_01水果!$B1032)&lt;$N$2,N(对接源_01水果!$B1032)&gt;$N$3),0,1))</f>
        <v>0</v>
      </c>
      <c r="P1032" s="3">
        <f>IF(AND($K1032=1,AND(对接源_01水果!$X1032="公司筐",N(对接源_01水果!$T1032)&lt;&gt;0)),1,0)</f>
        <v>0</v>
      </c>
      <c r="Q1032" s="3">
        <f t="shared" si="283"/>
        <v>0</v>
      </c>
      <c r="R1032" s="3">
        <f>IF(AND($K1032=1,AND(对接源_01水果!$X1032="公司筐",N(对接源_01水果!$U1032)&lt;&gt;0)),1,0)</f>
        <v>0</v>
      </c>
      <c r="S1032" s="3">
        <f t="shared" si="284"/>
        <v>0</v>
      </c>
      <c r="T1032" s="3">
        <f>IF(AND($K1032=1,AND(对接源_01水果!$X1032="公司筐",N(对接源_01水果!$V1032)&lt;&gt;0)),1,0)</f>
        <v>0</v>
      </c>
      <c r="U1032" s="3">
        <f t="shared" si="285"/>
        <v>19</v>
      </c>
      <c r="V1032" s="3">
        <f>IF(AND($L1032=1,AND(对接源_01水果!$X1032="自备筐",N(对接源_01水果!$V1032)&lt;&gt;0)),1,0)</f>
        <v>0</v>
      </c>
      <c r="W1032" s="3">
        <f t="shared" si="286"/>
        <v>8</v>
      </c>
      <c r="X1032" s="3">
        <f>IF(AND($L1032=1,AND(对接源_01水果!$X1032="自备筐",N(对接源_01水果!$T1032)&lt;&gt;0)),1,0)</f>
        <v>0</v>
      </c>
      <c r="Y1032" s="3">
        <f t="shared" si="287"/>
        <v>0</v>
      </c>
      <c r="Z1032" s="3">
        <f>IF(AND($M1032=1,对接源_01水果!$D1032="原料入库"),1,0)</f>
        <v>0</v>
      </c>
      <c r="AA1032" s="3">
        <f t="shared" si="288"/>
        <v>24</v>
      </c>
      <c r="AB1032" s="3">
        <f>IF(AND($M1032=1,LEFT(对接源_01水果!$D1032,4)="原料出库"),1,0)</f>
        <v>0</v>
      </c>
      <c r="AC1032" s="3">
        <f t="shared" si="289"/>
        <v>0</v>
      </c>
      <c r="AD1032" s="3">
        <f>IF(AND($M1032=1,LEFT(对接源_01水果!$D1032,4)="成品出库"),1,0)</f>
        <v>0</v>
      </c>
      <c r="AE1032" s="3">
        <f t="shared" si="290"/>
        <v>0</v>
      </c>
      <c r="AF1032" s="3">
        <f>IF(AND($N1032=1,AND(LEFT(对接源_01水果!$D1032,4)="包装物料",N(对接源_01水果!$K1032)&lt;&gt;0)),1,0)</f>
        <v>0</v>
      </c>
      <c r="AG1032" s="3">
        <f t="shared" si="291"/>
        <v>0</v>
      </c>
      <c r="AH1032" s="3">
        <f>IF(AND($N1032=1,AND(对接源_01水果!$D1032="周转筐－销售出库",N(对接源_01水果!$K1032)&lt;&gt;0)),1,0)</f>
        <v>0</v>
      </c>
      <c r="AI1032" s="3">
        <f t="shared" si="292"/>
        <v>0</v>
      </c>
      <c r="AJ1032" s="7"/>
      <c r="AL1032" s="3">
        <f>IF(OR($AL$1="",对接源_01水果!$Y1032="",对接源_01水果!$Y1032&lt;&gt;$AL$1,对接源_01水果!$B1032="",N(对接源_01水果!$AJ1032)&lt;=0),0,IF(OR(N(对接源_01水果!$B1032)&lt;$AL$2,N(对接源_01水果!$B1032)&gt;$AL$3),0,1))</f>
        <v>0</v>
      </c>
      <c r="AM1032" s="3">
        <f t="shared" si="293"/>
        <v>1</v>
      </c>
      <c r="AN1032" s="3" t="str">
        <f>IF(对接源_01水果!$AC1032="","",对接源_01水果!$AC1032)</f>
        <v/>
      </c>
      <c r="AO1032" s="3">
        <f t="shared" si="294"/>
        <v>0</v>
      </c>
      <c r="AP1032" s="3">
        <f t="shared" si="295"/>
        <v>8</v>
      </c>
      <c r="AR1032">
        <f t="shared" si="296"/>
        <v>0</v>
      </c>
      <c r="AS1032">
        <f t="shared" si="297"/>
        <v>0</v>
      </c>
    </row>
    <row r="1033" ht="14.25" customHeight="1" spans="1:45">
      <c r="A1033" s="3" t="str">
        <f>IF(对接源_01水果!$C1033="","",对接源_01水果!$C1033)</f>
        <v/>
      </c>
      <c r="B1033" s="3">
        <f t="shared" si="281"/>
        <v>0</v>
      </c>
      <c r="C1033" s="3">
        <f t="shared" si="282"/>
        <v>18</v>
      </c>
      <c r="K1033" s="3">
        <f>IF(OR($K$1="",对接源_01水果!$C1033="",对接源_01水果!$C1033&lt;&gt;$K$1,对接源_01水果!$B1033=""),0,IF(OR(N(对接源_01水果!$B1033)&lt;$K$2,N(对接源_01水果!$B1033)&gt;$K$3),0,1))</f>
        <v>0</v>
      </c>
      <c r="L1033" s="3">
        <f>IF(OR($L$1="",对接源_01水果!$C1033="",对接源_01水果!$C1033&lt;&gt;$L$1,对接源_01水果!$B1033=""),0,IF(OR(N(对接源_01水果!$B1033)&lt;$L$2,N(对接源_01水果!$B1033)&gt;$L$3),0,1))</f>
        <v>0</v>
      </c>
      <c r="M1033" s="3">
        <f>IF(OR($M$1="",对接源_01水果!$C1033="",对接源_01水果!$C1033&lt;&gt;$M$1,对接源_01水果!$B1033=""),0,IF(OR(N(对接源_01水果!$B1033)&lt;$M$2,N(对接源_01水果!$B1033)&gt;$M$3),0,1))</f>
        <v>0</v>
      </c>
      <c r="N1033" s="3">
        <f>IF(OR($N$1="",对接源_01水果!$C1033="",对接源_01水果!$C1033&lt;&gt;$N$1,对接源_01水果!$B1033=""),0,IF(OR(N(对接源_01水果!$B1033)&lt;$N$2,N(对接源_01水果!$B1033)&gt;$N$3),0,1))</f>
        <v>0</v>
      </c>
      <c r="P1033" s="3">
        <f>IF(AND($K1033=1,AND(对接源_01水果!$X1033="公司筐",N(对接源_01水果!$T1033)&lt;&gt;0)),1,0)</f>
        <v>0</v>
      </c>
      <c r="Q1033" s="3">
        <f t="shared" si="283"/>
        <v>0</v>
      </c>
      <c r="R1033" s="3">
        <f>IF(AND($K1033=1,AND(对接源_01水果!$X1033="公司筐",N(对接源_01水果!$U1033)&lt;&gt;0)),1,0)</f>
        <v>0</v>
      </c>
      <c r="S1033" s="3">
        <f t="shared" si="284"/>
        <v>0</v>
      </c>
      <c r="T1033" s="3">
        <f>IF(AND($K1033=1,AND(对接源_01水果!$X1033="公司筐",N(对接源_01水果!$V1033)&lt;&gt;0)),1,0)</f>
        <v>0</v>
      </c>
      <c r="U1033" s="3">
        <f t="shared" si="285"/>
        <v>19</v>
      </c>
      <c r="V1033" s="3">
        <f>IF(AND($L1033=1,AND(对接源_01水果!$X1033="自备筐",N(对接源_01水果!$V1033)&lt;&gt;0)),1,0)</f>
        <v>0</v>
      </c>
      <c r="W1033" s="3">
        <f t="shared" si="286"/>
        <v>8</v>
      </c>
      <c r="X1033" s="3">
        <f>IF(AND($L1033=1,AND(对接源_01水果!$X1033="自备筐",N(对接源_01水果!$T1033)&lt;&gt;0)),1,0)</f>
        <v>0</v>
      </c>
      <c r="Y1033" s="3">
        <f t="shared" si="287"/>
        <v>0</v>
      </c>
      <c r="Z1033" s="3">
        <f>IF(AND($M1033=1,对接源_01水果!$D1033="原料入库"),1,0)</f>
        <v>0</v>
      </c>
      <c r="AA1033" s="3">
        <f t="shared" si="288"/>
        <v>24</v>
      </c>
      <c r="AB1033" s="3">
        <f>IF(AND($M1033=1,LEFT(对接源_01水果!$D1033,4)="原料出库"),1,0)</f>
        <v>0</v>
      </c>
      <c r="AC1033" s="3">
        <f t="shared" si="289"/>
        <v>0</v>
      </c>
      <c r="AD1033" s="3">
        <f>IF(AND($M1033=1,LEFT(对接源_01水果!$D1033,4)="成品出库"),1,0)</f>
        <v>0</v>
      </c>
      <c r="AE1033" s="3">
        <f t="shared" si="290"/>
        <v>0</v>
      </c>
      <c r="AF1033" s="3">
        <f>IF(AND($N1033=1,AND(LEFT(对接源_01水果!$D1033,4)="包装物料",N(对接源_01水果!$K1033)&lt;&gt;0)),1,0)</f>
        <v>0</v>
      </c>
      <c r="AG1033" s="3">
        <f t="shared" si="291"/>
        <v>0</v>
      </c>
      <c r="AH1033" s="3">
        <f>IF(AND($N1033=1,AND(对接源_01水果!$D1033="周转筐－销售出库",N(对接源_01水果!$K1033)&lt;&gt;0)),1,0)</f>
        <v>0</v>
      </c>
      <c r="AI1033" s="3">
        <f t="shared" si="292"/>
        <v>0</v>
      </c>
      <c r="AJ1033" s="7"/>
      <c r="AL1033" s="3">
        <f>IF(OR($AL$1="",对接源_01水果!$Y1033="",对接源_01水果!$Y1033&lt;&gt;$AL$1,对接源_01水果!$B1033="",N(对接源_01水果!$AJ1033)&lt;=0),0,IF(OR(N(对接源_01水果!$B1033)&lt;$AL$2,N(对接源_01水果!$B1033)&gt;$AL$3),0,1))</f>
        <v>0</v>
      </c>
      <c r="AM1033" s="3">
        <f t="shared" si="293"/>
        <v>1</v>
      </c>
      <c r="AN1033" s="3" t="str">
        <f>IF(对接源_01水果!$AC1033="","",对接源_01水果!$AC1033)</f>
        <v/>
      </c>
      <c r="AO1033" s="3">
        <f t="shared" si="294"/>
        <v>0</v>
      </c>
      <c r="AP1033" s="3">
        <f t="shared" si="295"/>
        <v>8</v>
      </c>
      <c r="AR1033">
        <f t="shared" si="296"/>
        <v>0</v>
      </c>
      <c r="AS1033">
        <f t="shared" si="297"/>
        <v>0</v>
      </c>
    </row>
    <row r="1034" ht="14.25" customHeight="1" spans="1:45">
      <c r="A1034" s="3" t="str">
        <f>IF(对接源_01水果!$C1034="","",对接源_01水果!$C1034)</f>
        <v/>
      </c>
      <c r="B1034" s="3">
        <f t="shared" si="281"/>
        <v>0</v>
      </c>
      <c r="C1034" s="3">
        <f t="shared" si="282"/>
        <v>18</v>
      </c>
      <c r="K1034" s="3">
        <f>IF(OR($K$1="",对接源_01水果!$C1034="",对接源_01水果!$C1034&lt;&gt;$K$1,对接源_01水果!$B1034=""),0,IF(OR(N(对接源_01水果!$B1034)&lt;$K$2,N(对接源_01水果!$B1034)&gt;$K$3),0,1))</f>
        <v>0</v>
      </c>
      <c r="L1034" s="3">
        <f>IF(OR($L$1="",对接源_01水果!$C1034="",对接源_01水果!$C1034&lt;&gt;$L$1,对接源_01水果!$B1034=""),0,IF(OR(N(对接源_01水果!$B1034)&lt;$L$2,N(对接源_01水果!$B1034)&gt;$L$3),0,1))</f>
        <v>0</v>
      </c>
      <c r="M1034" s="3">
        <f>IF(OR($M$1="",对接源_01水果!$C1034="",对接源_01水果!$C1034&lt;&gt;$M$1,对接源_01水果!$B1034=""),0,IF(OR(N(对接源_01水果!$B1034)&lt;$M$2,N(对接源_01水果!$B1034)&gt;$M$3),0,1))</f>
        <v>0</v>
      </c>
      <c r="N1034" s="3">
        <f>IF(OR($N$1="",对接源_01水果!$C1034="",对接源_01水果!$C1034&lt;&gt;$N$1,对接源_01水果!$B1034=""),0,IF(OR(N(对接源_01水果!$B1034)&lt;$N$2,N(对接源_01水果!$B1034)&gt;$N$3),0,1))</f>
        <v>0</v>
      </c>
      <c r="P1034" s="3">
        <f>IF(AND($K1034=1,AND(对接源_01水果!$X1034="公司筐",N(对接源_01水果!$T1034)&lt;&gt;0)),1,0)</f>
        <v>0</v>
      </c>
      <c r="Q1034" s="3">
        <f t="shared" si="283"/>
        <v>0</v>
      </c>
      <c r="R1034" s="3">
        <f>IF(AND($K1034=1,AND(对接源_01水果!$X1034="公司筐",N(对接源_01水果!$U1034)&lt;&gt;0)),1,0)</f>
        <v>0</v>
      </c>
      <c r="S1034" s="3">
        <f t="shared" si="284"/>
        <v>0</v>
      </c>
      <c r="T1034" s="3">
        <f>IF(AND($K1034=1,AND(对接源_01水果!$X1034="公司筐",N(对接源_01水果!$V1034)&lt;&gt;0)),1,0)</f>
        <v>0</v>
      </c>
      <c r="U1034" s="3">
        <f t="shared" si="285"/>
        <v>19</v>
      </c>
      <c r="V1034" s="3">
        <f>IF(AND($L1034=1,AND(对接源_01水果!$X1034="自备筐",N(对接源_01水果!$V1034)&lt;&gt;0)),1,0)</f>
        <v>0</v>
      </c>
      <c r="W1034" s="3">
        <f t="shared" si="286"/>
        <v>8</v>
      </c>
      <c r="X1034" s="3">
        <f>IF(AND($L1034=1,AND(对接源_01水果!$X1034="自备筐",N(对接源_01水果!$T1034)&lt;&gt;0)),1,0)</f>
        <v>0</v>
      </c>
      <c r="Y1034" s="3">
        <f t="shared" si="287"/>
        <v>0</v>
      </c>
      <c r="Z1034" s="3">
        <f>IF(AND($M1034=1,对接源_01水果!$D1034="原料入库"),1,0)</f>
        <v>0</v>
      </c>
      <c r="AA1034" s="3">
        <f t="shared" si="288"/>
        <v>24</v>
      </c>
      <c r="AB1034" s="3">
        <f>IF(AND($M1034=1,LEFT(对接源_01水果!$D1034,4)="原料出库"),1,0)</f>
        <v>0</v>
      </c>
      <c r="AC1034" s="3">
        <f t="shared" si="289"/>
        <v>0</v>
      </c>
      <c r="AD1034" s="3">
        <f>IF(AND($M1034=1,LEFT(对接源_01水果!$D1034,4)="成品出库"),1,0)</f>
        <v>0</v>
      </c>
      <c r="AE1034" s="3">
        <f t="shared" si="290"/>
        <v>0</v>
      </c>
      <c r="AF1034" s="3">
        <f>IF(AND($N1034=1,AND(LEFT(对接源_01水果!$D1034,4)="包装物料",N(对接源_01水果!$K1034)&lt;&gt;0)),1,0)</f>
        <v>0</v>
      </c>
      <c r="AG1034" s="3">
        <f t="shared" si="291"/>
        <v>0</v>
      </c>
      <c r="AH1034" s="3">
        <f>IF(AND($N1034=1,AND(对接源_01水果!$D1034="周转筐－销售出库",N(对接源_01水果!$K1034)&lt;&gt;0)),1,0)</f>
        <v>0</v>
      </c>
      <c r="AI1034" s="3">
        <f t="shared" si="292"/>
        <v>0</v>
      </c>
      <c r="AJ1034" s="7"/>
      <c r="AL1034" s="3">
        <f>IF(OR($AL$1="",对接源_01水果!$Y1034="",对接源_01水果!$Y1034&lt;&gt;$AL$1,对接源_01水果!$B1034="",N(对接源_01水果!$AJ1034)&lt;=0),0,IF(OR(N(对接源_01水果!$B1034)&lt;$AL$2,N(对接源_01水果!$B1034)&gt;$AL$3),0,1))</f>
        <v>0</v>
      </c>
      <c r="AM1034" s="3">
        <f t="shared" si="293"/>
        <v>1</v>
      </c>
      <c r="AN1034" s="3" t="str">
        <f>IF(对接源_01水果!$AC1034="","",对接源_01水果!$AC1034)</f>
        <v/>
      </c>
      <c r="AO1034" s="3">
        <f t="shared" si="294"/>
        <v>0</v>
      </c>
      <c r="AP1034" s="3">
        <f t="shared" si="295"/>
        <v>8</v>
      </c>
      <c r="AR1034">
        <f t="shared" si="296"/>
        <v>0</v>
      </c>
      <c r="AS1034">
        <f t="shared" si="297"/>
        <v>0</v>
      </c>
    </row>
    <row r="1035" ht="14.25" customHeight="1" spans="1:45">
      <c r="A1035" s="3" t="str">
        <f>IF(对接源_01水果!$C1035="","",对接源_01水果!$C1035)</f>
        <v/>
      </c>
      <c r="B1035" s="3">
        <f t="shared" si="281"/>
        <v>0</v>
      </c>
      <c r="C1035" s="3">
        <f t="shared" si="282"/>
        <v>18</v>
      </c>
      <c r="K1035" s="3">
        <f>IF(OR($K$1="",对接源_01水果!$C1035="",对接源_01水果!$C1035&lt;&gt;$K$1,对接源_01水果!$B1035=""),0,IF(OR(N(对接源_01水果!$B1035)&lt;$K$2,N(对接源_01水果!$B1035)&gt;$K$3),0,1))</f>
        <v>0</v>
      </c>
      <c r="L1035" s="3">
        <f>IF(OR($L$1="",对接源_01水果!$C1035="",对接源_01水果!$C1035&lt;&gt;$L$1,对接源_01水果!$B1035=""),0,IF(OR(N(对接源_01水果!$B1035)&lt;$L$2,N(对接源_01水果!$B1035)&gt;$L$3),0,1))</f>
        <v>0</v>
      </c>
      <c r="M1035" s="3">
        <f>IF(OR($M$1="",对接源_01水果!$C1035="",对接源_01水果!$C1035&lt;&gt;$M$1,对接源_01水果!$B1035=""),0,IF(OR(N(对接源_01水果!$B1035)&lt;$M$2,N(对接源_01水果!$B1035)&gt;$M$3),0,1))</f>
        <v>0</v>
      </c>
      <c r="N1035" s="3">
        <f>IF(OR($N$1="",对接源_01水果!$C1035="",对接源_01水果!$C1035&lt;&gt;$N$1,对接源_01水果!$B1035=""),0,IF(OR(N(对接源_01水果!$B1035)&lt;$N$2,N(对接源_01水果!$B1035)&gt;$N$3),0,1))</f>
        <v>0</v>
      </c>
      <c r="P1035" s="3">
        <f>IF(AND($K1035=1,AND(对接源_01水果!$X1035="公司筐",N(对接源_01水果!$T1035)&lt;&gt;0)),1,0)</f>
        <v>0</v>
      </c>
      <c r="Q1035" s="3">
        <f t="shared" si="283"/>
        <v>0</v>
      </c>
      <c r="R1035" s="3">
        <f>IF(AND($K1035=1,AND(对接源_01水果!$X1035="公司筐",N(对接源_01水果!$U1035)&lt;&gt;0)),1,0)</f>
        <v>0</v>
      </c>
      <c r="S1035" s="3">
        <f t="shared" si="284"/>
        <v>0</v>
      </c>
      <c r="T1035" s="3">
        <f>IF(AND($K1035=1,AND(对接源_01水果!$X1035="公司筐",N(对接源_01水果!$V1035)&lt;&gt;0)),1,0)</f>
        <v>0</v>
      </c>
      <c r="U1035" s="3">
        <f t="shared" si="285"/>
        <v>19</v>
      </c>
      <c r="V1035" s="3">
        <f>IF(AND($L1035=1,AND(对接源_01水果!$X1035="自备筐",N(对接源_01水果!$V1035)&lt;&gt;0)),1,0)</f>
        <v>0</v>
      </c>
      <c r="W1035" s="3">
        <f t="shared" si="286"/>
        <v>8</v>
      </c>
      <c r="X1035" s="3">
        <f>IF(AND($L1035=1,AND(对接源_01水果!$X1035="自备筐",N(对接源_01水果!$T1035)&lt;&gt;0)),1,0)</f>
        <v>0</v>
      </c>
      <c r="Y1035" s="3">
        <f t="shared" si="287"/>
        <v>0</v>
      </c>
      <c r="Z1035" s="3">
        <f>IF(AND($M1035=1,对接源_01水果!$D1035="原料入库"),1,0)</f>
        <v>0</v>
      </c>
      <c r="AA1035" s="3">
        <f t="shared" si="288"/>
        <v>24</v>
      </c>
      <c r="AB1035" s="3">
        <f>IF(AND($M1035=1,LEFT(对接源_01水果!$D1035,4)="原料出库"),1,0)</f>
        <v>0</v>
      </c>
      <c r="AC1035" s="3">
        <f t="shared" si="289"/>
        <v>0</v>
      </c>
      <c r="AD1035" s="3">
        <f>IF(AND($M1035=1,LEFT(对接源_01水果!$D1035,4)="成品出库"),1,0)</f>
        <v>0</v>
      </c>
      <c r="AE1035" s="3">
        <f t="shared" si="290"/>
        <v>0</v>
      </c>
      <c r="AF1035" s="3">
        <f>IF(AND($N1035=1,AND(LEFT(对接源_01水果!$D1035,4)="包装物料",N(对接源_01水果!$K1035)&lt;&gt;0)),1,0)</f>
        <v>0</v>
      </c>
      <c r="AG1035" s="3">
        <f t="shared" si="291"/>
        <v>0</v>
      </c>
      <c r="AH1035" s="3">
        <f>IF(AND($N1035=1,AND(对接源_01水果!$D1035="周转筐－销售出库",N(对接源_01水果!$K1035)&lt;&gt;0)),1,0)</f>
        <v>0</v>
      </c>
      <c r="AI1035" s="3">
        <f t="shared" si="292"/>
        <v>0</v>
      </c>
      <c r="AJ1035" s="7"/>
      <c r="AL1035" s="3">
        <f>IF(OR($AL$1="",对接源_01水果!$Y1035="",对接源_01水果!$Y1035&lt;&gt;$AL$1,对接源_01水果!$B1035="",N(对接源_01水果!$AJ1035)&lt;=0),0,IF(OR(N(对接源_01水果!$B1035)&lt;$AL$2,N(对接源_01水果!$B1035)&gt;$AL$3),0,1))</f>
        <v>0</v>
      </c>
      <c r="AM1035" s="3">
        <f t="shared" si="293"/>
        <v>1</v>
      </c>
      <c r="AN1035" s="3" t="str">
        <f>IF(对接源_01水果!$AC1035="","",对接源_01水果!$AC1035)</f>
        <v/>
      </c>
      <c r="AO1035" s="3">
        <f t="shared" si="294"/>
        <v>0</v>
      </c>
      <c r="AP1035" s="3">
        <f t="shared" si="295"/>
        <v>8</v>
      </c>
      <c r="AR1035">
        <f t="shared" si="296"/>
        <v>0</v>
      </c>
      <c r="AS1035">
        <f t="shared" si="297"/>
        <v>0</v>
      </c>
    </row>
    <row r="1036" ht="14.25" customHeight="1" spans="1:45">
      <c r="A1036" s="3" t="str">
        <f>IF(对接源_01水果!$C1036="","",对接源_01水果!$C1036)</f>
        <v/>
      </c>
      <c r="B1036" s="3">
        <f t="shared" si="281"/>
        <v>0</v>
      </c>
      <c r="C1036" s="3">
        <f t="shared" si="282"/>
        <v>18</v>
      </c>
      <c r="K1036" s="3">
        <f>IF(OR($K$1="",对接源_01水果!$C1036="",对接源_01水果!$C1036&lt;&gt;$K$1,对接源_01水果!$B1036=""),0,IF(OR(N(对接源_01水果!$B1036)&lt;$K$2,N(对接源_01水果!$B1036)&gt;$K$3),0,1))</f>
        <v>0</v>
      </c>
      <c r="L1036" s="3">
        <f>IF(OR($L$1="",对接源_01水果!$C1036="",对接源_01水果!$C1036&lt;&gt;$L$1,对接源_01水果!$B1036=""),0,IF(OR(N(对接源_01水果!$B1036)&lt;$L$2,N(对接源_01水果!$B1036)&gt;$L$3),0,1))</f>
        <v>0</v>
      </c>
      <c r="M1036" s="3">
        <f>IF(OR($M$1="",对接源_01水果!$C1036="",对接源_01水果!$C1036&lt;&gt;$M$1,对接源_01水果!$B1036=""),0,IF(OR(N(对接源_01水果!$B1036)&lt;$M$2,N(对接源_01水果!$B1036)&gt;$M$3),0,1))</f>
        <v>0</v>
      </c>
      <c r="N1036" s="3">
        <f>IF(OR($N$1="",对接源_01水果!$C1036="",对接源_01水果!$C1036&lt;&gt;$N$1,对接源_01水果!$B1036=""),0,IF(OR(N(对接源_01水果!$B1036)&lt;$N$2,N(对接源_01水果!$B1036)&gt;$N$3),0,1))</f>
        <v>0</v>
      </c>
      <c r="P1036" s="3">
        <f>IF(AND($K1036=1,AND(对接源_01水果!$X1036="公司筐",N(对接源_01水果!$T1036)&lt;&gt;0)),1,0)</f>
        <v>0</v>
      </c>
      <c r="Q1036" s="3">
        <f t="shared" si="283"/>
        <v>0</v>
      </c>
      <c r="R1036" s="3">
        <f>IF(AND($K1036=1,AND(对接源_01水果!$X1036="公司筐",N(对接源_01水果!$U1036)&lt;&gt;0)),1,0)</f>
        <v>0</v>
      </c>
      <c r="S1036" s="3">
        <f t="shared" si="284"/>
        <v>0</v>
      </c>
      <c r="T1036" s="3">
        <f>IF(AND($K1036=1,AND(对接源_01水果!$X1036="公司筐",N(对接源_01水果!$V1036)&lt;&gt;0)),1,0)</f>
        <v>0</v>
      </c>
      <c r="U1036" s="3">
        <f t="shared" si="285"/>
        <v>19</v>
      </c>
      <c r="V1036" s="3">
        <f>IF(AND($L1036=1,AND(对接源_01水果!$X1036="自备筐",N(对接源_01水果!$V1036)&lt;&gt;0)),1,0)</f>
        <v>0</v>
      </c>
      <c r="W1036" s="3">
        <f t="shared" si="286"/>
        <v>8</v>
      </c>
      <c r="X1036" s="3">
        <f>IF(AND($L1036=1,AND(对接源_01水果!$X1036="自备筐",N(对接源_01水果!$T1036)&lt;&gt;0)),1,0)</f>
        <v>0</v>
      </c>
      <c r="Y1036" s="3">
        <f t="shared" si="287"/>
        <v>0</v>
      </c>
      <c r="Z1036" s="3">
        <f>IF(AND($M1036=1,对接源_01水果!$D1036="原料入库"),1,0)</f>
        <v>0</v>
      </c>
      <c r="AA1036" s="3">
        <f t="shared" si="288"/>
        <v>24</v>
      </c>
      <c r="AB1036" s="3">
        <f>IF(AND($M1036=1,LEFT(对接源_01水果!$D1036,4)="原料出库"),1,0)</f>
        <v>0</v>
      </c>
      <c r="AC1036" s="3">
        <f t="shared" si="289"/>
        <v>0</v>
      </c>
      <c r="AD1036" s="3">
        <f>IF(AND($M1036=1,LEFT(对接源_01水果!$D1036,4)="成品出库"),1,0)</f>
        <v>0</v>
      </c>
      <c r="AE1036" s="3">
        <f t="shared" si="290"/>
        <v>0</v>
      </c>
      <c r="AF1036" s="3">
        <f>IF(AND($N1036=1,AND(LEFT(对接源_01水果!$D1036,4)="包装物料",N(对接源_01水果!$K1036)&lt;&gt;0)),1,0)</f>
        <v>0</v>
      </c>
      <c r="AG1036" s="3">
        <f t="shared" si="291"/>
        <v>0</v>
      </c>
      <c r="AH1036" s="3">
        <f>IF(AND($N1036=1,AND(对接源_01水果!$D1036="周转筐－销售出库",N(对接源_01水果!$K1036)&lt;&gt;0)),1,0)</f>
        <v>0</v>
      </c>
      <c r="AI1036" s="3">
        <f t="shared" si="292"/>
        <v>0</v>
      </c>
      <c r="AJ1036" s="7"/>
      <c r="AL1036" s="3">
        <f>IF(OR($AL$1="",对接源_01水果!$Y1036="",对接源_01水果!$Y1036&lt;&gt;$AL$1,对接源_01水果!$B1036="",N(对接源_01水果!$AJ1036)&lt;=0),0,IF(OR(N(对接源_01水果!$B1036)&lt;$AL$2,N(对接源_01水果!$B1036)&gt;$AL$3),0,1))</f>
        <v>0</v>
      </c>
      <c r="AM1036" s="3">
        <f t="shared" si="293"/>
        <v>1</v>
      </c>
      <c r="AN1036" s="3" t="str">
        <f>IF(对接源_01水果!$AC1036="","",对接源_01水果!$AC1036)</f>
        <v/>
      </c>
      <c r="AO1036" s="3">
        <f t="shared" si="294"/>
        <v>0</v>
      </c>
      <c r="AP1036" s="3">
        <f t="shared" si="295"/>
        <v>8</v>
      </c>
      <c r="AR1036">
        <f t="shared" si="296"/>
        <v>0</v>
      </c>
      <c r="AS1036">
        <f t="shared" si="297"/>
        <v>0</v>
      </c>
    </row>
    <row r="1037" ht="14.25" customHeight="1" spans="1:45">
      <c r="A1037" s="3" t="str">
        <f>IF(对接源_01水果!$C1037="","",对接源_01水果!$C1037)</f>
        <v/>
      </c>
      <c r="B1037" s="3">
        <f t="shared" si="281"/>
        <v>0</v>
      </c>
      <c r="C1037" s="3">
        <f t="shared" si="282"/>
        <v>18</v>
      </c>
      <c r="K1037" s="3">
        <f>IF(OR($K$1="",对接源_01水果!$C1037="",对接源_01水果!$C1037&lt;&gt;$K$1,对接源_01水果!$B1037=""),0,IF(OR(N(对接源_01水果!$B1037)&lt;$K$2,N(对接源_01水果!$B1037)&gt;$K$3),0,1))</f>
        <v>0</v>
      </c>
      <c r="L1037" s="3">
        <f>IF(OR($L$1="",对接源_01水果!$C1037="",对接源_01水果!$C1037&lt;&gt;$L$1,对接源_01水果!$B1037=""),0,IF(OR(N(对接源_01水果!$B1037)&lt;$L$2,N(对接源_01水果!$B1037)&gt;$L$3),0,1))</f>
        <v>0</v>
      </c>
      <c r="M1037" s="3">
        <f>IF(OR($M$1="",对接源_01水果!$C1037="",对接源_01水果!$C1037&lt;&gt;$M$1,对接源_01水果!$B1037=""),0,IF(OR(N(对接源_01水果!$B1037)&lt;$M$2,N(对接源_01水果!$B1037)&gt;$M$3),0,1))</f>
        <v>0</v>
      </c>
      <c r="N1037" s="3">
        <f>IF(OR($N$1="",对接源_01水果!$C1037="",对接源_01水果!$C1037&lt;&gt;$N$1,对接源_01水果!$B1037=""),0,IF(OR(N(对接源_01水果!$B1037)&lt;$N$2,N(对接源_01水果!$B1037)&gt;$N$3),0,1))</f>
        <v>0</v>
      </c>
      <c r="P1037" s="3">
        <f>IF(AND($K1037=1,AND(对接源_01水果!$X1037="公司筐",N(对接源_01水果!$T1037)&lt;&gt;0)),1,0)</f>
        <v>0</v>
      </c>
      <c r="Q1037" s="3">
        <f t="shared" si="283"/>
        <v>0</v>
      </c>
      <c r="R1037" s="3">
        <f>IF(AND($K1037=1,AND(对接源_01水果!$X1037="公司筐",N(对接源_01水果!$U1037)&lt;&gt;0)),1,0)</f>
        <v>0</v>
      </c>
      <c r="S1037" s="3">
        <f t="shared" si="284"/>
        <v>0</v>
      </c>
      <c r="T1037" s="3">
        <f>IF(AND($K1037=1,AND(对接源_01水果!$X1037="公司筐",N(对接源_01水果!$V1037)&lt;&gt;0)),1,0)</f>
        <v>0</v>
      </c>
      <c r="U1037" s="3">
        <f t="shared" si="285"/>
        <v>19</v>
      </c>
      <c r="V1037" s="3">
        <f>IF(AND($L1037=1,AND(对接源_01水果!$X1037="自备筐",N(对接源_01水果!$V1037)&lt;&gt;0)),1,0)</f>
        <v>0</v>
      </c>
      <c r="W1037" s="3">
        <f t="shared" si="286"/>
        <v>8</v>
      </c>
      <c r="X1037" s="3">
        <f>IF(AND($L1037=1,AND(对接源_01水果!$X1037="自备筐",N(对接源_01水果!$T1037)&lt;&gt;0)),1,0)</f>
        <v>0</v>
      </c>
      <c r="Y1037" s="3">
        <f t="shared" si="287"/>
        <v>0</v>
      </c>
      <c r="Z1037" s="3">
        <f>IF(AND($M1037=1,对接源_01水果!$D1037="原料入库"),1,0)</f>
        <v>0</v>
      </c>
      <c r="AA1037" s="3">
        <f t="shared" si="288"/>
        <v>24</v>
      </c>
      <c r="AB1037" s="3">
        <f>IF(AND($M1037=1,LEFT(对接源_01水果!$D1037,4)="原料出库"),1,0)</f>
        <v>0</v>
      </c>
      <c r="AC1037" s="3">
        <f t="shared" si="289"/>
        <v>0</v>
      </c>
      <c r="AD1037" s="3">
        <f>IF(AND($M1037=1,LEFT(对接源_01水果!$D1037,4)="成品出库"),1,0)</f>
        <v>0</v>
      </c>
      <c r="AE1037" s="3">
        <f t="shared" si="290"/>
        <v>0</v>
      </c>
      <c r="AF1037" s="3">
        <f>IF(AND($N1037=1,AND(LEFT(对接源_01水果!$D1037,4)="包装物料",N(对接源_01水果!$K1037)&lt;&gt;0)),1,0)</f>
        <v>0</v>
      </c>
      <c r="AG1037" s="3">
        <f t="shared" si="291"/>
        <v>0</v>
      </c>
      <c r="AH1037" s="3">
        <f>IF(AND($N1037=1,AND(对接源_01水果!$D1037="周转筐－销售出库",N(对接源_01水果!$K1037)&lt;&gt;0)),1,0)</f>
        <v>0</v>
      </c>
      <c r="AI1037" s="3">
        <f t="shared" si="292"/>
        <v>0</v>
      </c>
      <c r="AJ1037" s="7"/>
      <c r="AL1037" s="3">
        <f>IF(OR($AL$1="",对接源_01水果!$Y1037="",对接源_01水果!$Y1037&lt;&gt;$AL$1,对接源_01水果!$B1037="",N(对接源_01水果!$AJ1037)&lt;=0),0,IF(OR(N(对接源_01水果!$B1037)&lt;$AL$2,N(对接源_01水果!$B1037)&gt;$AL$3),0,1))</f>
        <v>0</v>
      </c>
      <c r="AM1037" s="3">
        <f t="shared" si="293"/>
        <v>1</v>
      </c>
      <c r="AN1037" s="3" t="str">
        <f>IF(对接源_01水果!$AC1037="","",对接源_01水果!$AC1037)</f>
        <v/>
      </c>
      <c r="AO1037" s="3">
        <f t="shared" si="294"/>
        <v>0</v>
      </c>
      <c r="AP1037" s="3">
        <f t="shared" si="295"/>
        <v>8</v>
      </c>
      <c r="AR1037">
        <f t="shared" si="296"/>
        <v>0</v>
      </c>
      <c r="AS1037">
        <f t="shared" si="297"/>
        <v>0</v>
      </c>
    </row>
    <row r="1038" ht="14.25" customHeight="1" spans="1:45">
      <c r="A1038" s="3" t="str">
        <f>IF(对接源_01水果!$C1038="","",对接源_01水果!$C1038)</f>
        <v/>
      </c>
      <c r="B1038" s="3">
        <f t="shared" si="281"/>
        <v>0</v>
      </c>
      <c r="C1038" s="3">
        <f t="shared" si="282"/>
        <v>18</v>
      </c>
      <c r="K1038" s="3">
        <f>IF(OR($K$1="",对接源_01水果!$C1038="",对接源_01水果!$C1038&lt;&gt;$K$1,对接源_01水果!$B1038=""),0,IF(OR(N(对接源_01水果!$B1038)&lt;$K$2,N(对接源_01水果!$B1038)&gt;$K$3),0,1))</f>
        <v>0</v>
      </c>
      <c r="L1038" s="3">
        <f>IF(OR($L$1="",对接源_01水果!$C1038="",对接源_01水果!$C1038&lt;&gt;$L$1,对接源_01水果!$B1038=""),0,IF(OR(N(对接源_01水果!$B1038)&lt;$L$2,N(对接源_01水果!$B1038)&gt;$L$3),0,1))</f>
        <v>0</v>
      </c>
      <c r="M1038" s="3">
        <f>IF(OR($M$1="",对接源_01水果!$C1038="",对接源_01水果!$C1038&lt;&gt;$M$1,对接源_01水果!$B1038=""),0,IF(OR(N(对接源_01水果!$B1038)&lt;$M$2,N(对接源_01水果!$B1038)&gt;$M$3),0,1))</f>
        <v>0</v>
      </c>
      <c r="N1038" s="3">
        <f>IF(OR($N$1="",对接源_01水果!$C1038="",对接源_01水果!$C1038&lt;&gt;$N$1,对接源_01水果!$B1038=""),0,IF(OR(N(对接源_01水果!$B1038)&lt;$N$2,N(对接源_01水果!$B1038)&gt;$N$3),0,1))</f>
        <v>0</v>
      </c>
      <c r="P1038" s="3">
        <f>IF(AND($K1038=1,AND(对接源_01水果!$X1038="公司筐",N(对接源_01水果!$T1038)&lt;&gt;0)),1,0)</f>
        <v>0</v>
      </c>
      <c r="Q1038" s="3">
        <f t="shared" si="283"/>
        <v>0</v>
      </c>
      <c r="R1038" s="3">
        <f>IF(AND($K1038=1,AND(对接源_01水果!$X1038="公司筐",N(对接源_01水果!$U1038)&lt;&gt;0)),1,0)</f>
        <v>0</v>
      </c>
      <c r="S1038" s="3">
        <f t="shared" si="284"/>
        <v>0</v>
      </c>
      <c r="T1038" s="3">
        <f>IF(AND($K1038=1,AND(对接源_01水果!$X1038="公司筐",N(对接源_01水果!$V1038)&lt;&gt;0)),1,0)</f>
        <v>0</v>
      </c>
      <c r="U1038" s="3">
        <f t="shared" si="285"/>
        <v>19</v>
      </c>
      <c r="V1038" s="3">
        <f>IF(AND($L1038=1,AND(对接源_01水果!$X1038="自备筐",N(对接源_01水果!$V1038)&lt;&gt;0)),1,0)</f>
        <v>0</v>
      </c>
      <c r="W1038" s="3">
        <f t="shared" si="286"/>
        <v>8</v>
      </c>
      <c r="X1038" s="3">
        <f>IF(AND($L1038=1,AND(对接源_01水果!$X1038="自备筐",N(对接源_01水果!$T1038)&lt;&gt;0)),1,0)</f>
        <v>0</v>
      </c>
      <c r="Y1038" s="3">
        <f t="shared" si="287"/>
        <v>0</v>
      </c>
      <c r="Z1038" s="3">
        <f>IF(AND($M1038=1,对接源_01水果!$D1038="原料入库"),1,0)</f>
        <v>0</v>
      </c>
      <c r="AA1038" s="3">
        <f t="shared" si="288"/>
        <v>24</v>
      </c>
      <c r="AB1038" s="3">
        <f>IF(AND($M1038=1,LEFT(对接源_01水果!$D1038,4)="原料出库"),1,0)</f>
        <v>0</v>
      </c>
      <c r="AC1038" s="3">
        <f t="shared" si="289"/>
        <v>0</v>
      </c>
      <c r="AD1038" s="3">
        <f>IF(AND($M1038=1,LEFT(对接源_01水果!$D1038,4)="成品出库"),1,0)</f>
        <v>0</v>
      </c>
      <c r="AE1038" s="3">
        <f t="shared" si="290"/>
        <v>0</v>
      </c>
      <c r="AF1038" s="3">
        <f>IF(AND($N1038=1,AND(LEFT(对接源_01水果!$D1038,4)="包装物料",N(对接源_01水果!$K1038)&lt;&gt;0)),1,0)</f>
        <v>0</v>
      </c>
      <c r="AG1038" s="3">
        <f t="shared" si="291"/>
        <v>0</v>
      </c>
      <c r="AH1038" s="3">
        <f>IF(AND($N1038=1,AND(对接源_01水果!$D1038="周转筐－销售出库",N(对接源_01水果!$K1038)&lt;&gt;0)),1,0)</f>
        <v>0</v>
      </c>
      <c r="AI1038" s="3">
        <f t="shared" si="292"/>
        <v>0</v>
      </c>
      <c r="AJ1038" s="7"/>
      <c r="AL1038" s="3">
        <f>IF(OR($AL$1="",对接源_01水果!$Y1038="",对接源_01水果!$Y1038&lt;&gt;$AL$1,对接源_01水果!$B1038="",N(对接源_01水果!$AJ1038)&lt;=0),0,IF(OR(N(对接源_01水果!$B1038)&lt;$AL$2,N(对接源_01水果!$B1038)&gt;$AL$3),0,1))</f>
        <v>0</v>
      </c>
      <c r="AM1038" s="3">
        <f t="shared" si="293"/>
        <v>1</v>
      </c>
      <c r="AN1038" s="3" t="str">
        <f>IF(对接源_01水果!$AC1038="","",对接源_01水果!$AC1038)</f>
        <v/>
      </c>
      <c r="AO1038" s="3">
        <f t="shared" si="294"/>
        <v>0</v>
      </c>
      <c r="AP1038" s="3">
        <f t="shared" si="295"/>
        <v>8</v>
      </c>
      <c r="AR1038">
        <f t="shared" si="296"/>
        <v>0</v>
      </c>
      <c r="AS1038">
        <f t="shared" si="297"/>
        <v>0</v>
      </c>
    </row>
    <row r="1039" ht="14.25" customHeight="1" spans="1:45">
      <c r="A1039" s="3" t="str">
        <f>IF(对接源_01水果!$C1039="","",对接源_01水果!$C1039)</f>
        <v/>
      </c>
      <c r="B1039" s="3">
        <f t="shared" si="281"/>
        <v>0</v>
      </c>
      <c r="C1039" s="3">
        <f t="shared" si="282"/>
        <v>18</v>
      </c>
      <c r="K1039" s="3">
        <f>IF(OR($K$1="",对接源_01水果!$C1039="",对接源_01水果!$C1039&lt;&gt;$K$1,对接源_01水果!$B1039=""),0,IF(OR(N(对接源_01水果!$B1039)&lt;$K$2,N(对接源_01水果!$B1039)&gt;$K$3),0,1))</f>
        <v>0</v>
      </c>
      <c r="L1039" s="3">
        <f>IF(OR($L$1="",对接源_01水果!$C1039="",对接源_01水果!$C1039&lt;&gt;$L$1,对接源_01水果!$B1039=""),0,IF(OR(N(对接源_01水果!$B1039)&lt;$L$2,N(对接源_01水果!$B1039)&gt;$L$3),0,1))</f>
        <v>0</v>
      </c>
      <c r="M1039" s="3">
        <f>IF(OR($M$1="",对接源_01水果!$C1039="",对接源_01水果!$C1039&lt;&gt;$M$1,对接源_01水果!$B1039=""),0,IF(OR(N(对接源_01水果!$B1039)&lt;$M$2,N(对接源_01水果!$B1039)&gt;$M$3),0,1))</f>
        <v>0</v>
      </c>
      <c r="N1039" s="3">
        <f>IF(OR($N$1="",对接源_01水果!$C1039="",对接源_01水果!$C1039&lt;&gt;$N$1,对接源_01水果!$B1039=""),0,IF(OR(N(对接源_01水果!$B1039)&lt;$N$2,N(对接源_01水果!$B1039)&gt;$N$3),0,1))</f>
        <v>0</v>
      </c>
      <c r="P1039" s="3">
        <f>IF(AND($K1039=1,AND(对接源_01水果!$X1039="公司筐",N(对接源_01水果!$T1039)&lt;&gt;0)),1,0)</f>
        <v>0</v>
      </c>
      <c r="Q1039" s="3">
        <f t="shared" si="283"/>
        <v>0</v>
      </c>
      <c r="R1039" s="3">
        <f>IF(AND($K1039=1,AND(对接源_01水果!$X1039="公司筐",N(对接源_01水果!$U1039)&lt;&gt;0)),1,0)</f>
        <v>0</v>
      </c>
      <c r="S1039" s="3">
        <f t="shared" si="284"/>
        <v>0</v>
      </c>
      <c r="T1039" s="3">
        <f>IF(AND($K1039=1,AND(对接源_01水果!$X1039="公司筐",N(对接源_01水果!$V1039)&lt;&gt;0)),1,0)</f>
        <v>0</v>
      </c>
      <c r="U1039" s="3">
        <f t="shared" si="285"/>
        <v>19</v>
      </c>
      <c r="V1039" s="3">
        <f>IF(AND($L1039=1,AND(对接源_01水果!$X1039="自备筐",N(对接源_01水果!$V1039)&lt;&gt;0)),1,0)</f>
        <v>0</v>
      </c>
      <c r="W1039" s="3">
        <f t="shared" si="286"/>
        <v>8</v>
      </c>
      <c r="X1039" s="3">
        <f>IF(AND($L1039=1,AND(对接源_01水果!$X1039="自备筐",N(对接源_01水果!$T1039)&lt;&gt;0)),1,0)</f>
        <v>0</v>
      </c>
      <c r="Y1039" s="3">
        <f t="shared" si="287"/>
        <v>0</v>
      </c>
      <c r="Z1039" s="3">
        <f>IF(AND($M1039=1,对接源_01水果!$D1039="原料入库"),1,0)</f>
        <v>0</v>
      </c>
      <c r="AA1039" s="3">
        <f t="shared" si="288"/>
        <v>24</v>
      </c>
      <c r="AB1039" s="3">
        <f>IF(AND($M1039=1,LEFT(对接源_01水果!$D1039,4)="原料出库"),1,0)</f>
        <v>0</v>
      </c>
      <c r="AC1039" s="3">
        <f t="shared" si="289"/>
        <v>0</v>
      </c>
      <c r="AD1039" s="3">
        <f>IF(AND($M1039=1,LEFT(对接源_01水果!$D1039,4)="成品出库"),1,0)</f>
        <v>0</v>
      </c>
      <c r="AE1039" s="3">
        <f t="shared" si="290"/>
        <v>0</v>
      </c>
      <c r="AF1039" s="3">
        <f>IF(AND($N1039=1,AND(LEFT(对接源_01水果!$D1039,4)="包装物料",N(对接源_01水果!$K1039)&lt;&gt;0)),1,0)</f>
        <v>0</v>
      </c>
      <c r="AG1039" s="3">
        <f t="shared" si="291"/>
        <v>0</v>
      </c>
      <c r="AH1039" s="3">
        <f>IF(AND($N1039=1,AND(对接源_01水果!$D1039="周转筐－销售出库",N(对接源_01水果!$K1039)&lt;&gt;0)),1,0)</f>
        <v>0</v>
      </c>
      <c r="AI1039" s="3">
        <f t="shared" si="292"/>
        <v>0</v>
      </c>
      <c r="AJ1039" s="7"/>
      <c r="AL1039" s="3">
        <f>IF(OR($AL$1="",对接源_01水果!$Y1039="",对接源_01水果!$Y1039&lt;&gt;$AL$1,对接源_01水果!$B1039="",N(对接源_01水果!$AJ1039)&lt;=0),0,IF(OR(N(对接源_01水果!$B1039)&lt;$AL$2,N(对接源_01水果!$B1039)&gt;$AL$3),0,1))</f>
        <v>0</v>
      </c>
      <c r="AM1039" s="3">
        <f t="shared" si="293"/>
        <v>1</v>
      </c>
      <c r="AN1039" s="3" t="str">
        <f>IF(对接源_01水果!$AC1039="","",对接源_01水果!$AC1039)</f>
        <v/>
      </c>
      <c r="AO1039" s="3">
        <f t="shared" si="294"/>
        <v>0</v>
      </c>
      <c r="AP1039" s="3">
        <f t="shared" si="295"/>
        <v>8</v>
      </c>
      <c r="AR1039">
        <f t="shared" si="296"/>
        <v>0</v>
      </c>
      <c r="AS1039">
        <f t="shared" si="297"/>
        <v>0</v>
      </c>
    </row>
    <row r="1040" ht="14.25" customHeight="1" spans="1:45">
      <c r="A1040" s="3" t="str">
        <f>IF(对接源_01水果!$C1040="","",对接源_01水果!$C1040)</f>
        <v/>
      </c>
      <c r="B1040" s="3">
        <f t="shared" si="281"/>
        <v>0</v>
      </c>
      <c r="C1040" s="3">
        <f t="shared" si="282"/>
        <v>18</v>
      </c>
      <c r="K1040" s="3">
        <f>IF(OR($K$1="",对接源_01水果!$C1040="",对接源_01水果!$C1040&lt;&gt;$K$1,对接源_01水果!$B1040=""),0,IF(OR(N(对接源_01水果!$B1040)&lt;$K$2,N(对接源_01水果!$B1040)&gt;$K$3),0,1))</f>
        <v>0</v>
      </c>
      <c r="L1040" s="3">
        <f>IF(OR($L$1="",对接源_01水果!$C1040="",对接源_01水果!$C1040&lt;&gt;$L$1,对接源_01水果!$B1040=""),0,IF(OR(N(对接源_01水果!$B1040)&lt;$L$2,N(对接源_01水果!$B1040)&gt;$L$3),0,1))</f>
        <v>0</v>
      </c>
      <c r="M1040" s="3">
        <f>IF(OR($M$1="",对接源_01水果!$C1040="",对接源_01水果!$C1040&lt;&gt;$M$1,对接源_01水果!$B1040=""),0,IF(OR(N(对接源_01水果!$B1040)&lt;$M$2,N(对接源_01水果!$B1040)&gt;$M$3),0,1))</f>
        <v>0</v>
      </c>
      <c r="N1040" s="3">
        <f>IF(OR($N$1="",对接源_01水果!$C1040="",对接源_01水果!$C1040&lt;&gt;$N$1,对接源_01水果!$B1040=""),0,IF(OR(N(对接源_01水果!$B1040)&lt;$N$2,N(对接源_01水果!$B1040)&gt;$N$3),0,1))</f>
        <v>0</v>
      </c>
      <c r="P1040" s="3">
        <f>IF(AND($K1040=1,AND(对接源_01水果!$X1040="公司筐",N(对接源_01水果!$T1040)&lt;&gt;0)),1,0)</f>
        <v>0</v>
      </c>
      <c r="Q1040" s="3">
        <f t="shared" si="283"/>
        <v>0</v>
      </c>
      <c r="R1040" s="3">
        <f>IF(AND($K1040=1,AND(对接源_01水果!$X1040="公司筐",N(对接源_01水果!$U1040)&lt;&gt;0)),1,0)</f>
        <v>0</v>
      </c>
      <c r="S1040" s="3">
        <f t="shared" si="284"/>
        <v>0</v>
      </c>
      <c r="T1040" s="3">
        <f>IF(AND($K1040=1,AND(对接源_01水果!$X1040="公司筐",N(对接源_01水果!$V1040)&lt;&gt;0)),1,0)</f>
        <v>0</v>
      </c>
      <c r="U1040" s="3">
        <f t="shared" si="285"/>
        <v>19</v>
      </c>
      <c r="V1040" s="3">
        <f>IF(AND($L1040=1,AND(对接源_01水果!$X1040="自备筐",N(对接源_01水果!$V1040)&lt;&gt;0)),1,0)</f>
        <v>0</v>
      </c>
      <c r="W1040" s="3">
        <f t="shared" si="286"/>
        <v>8</v>
      </c>
      <c r="X1040" s="3">
        <f>IF(AND($L1040=1,AND(对接源_01水果!$X1040="自备筐",N(对接源_01水果!$T1040)&lt;&gt;0)),1,0)</f>
        <v>0</v>
      </c>
      <c r="Y1040" s="3">
        <f t="shared" si="287"/>
        <v>0</v>
      </c>
      <c r="Z1040" s="3">
        <f>IF(AND($M1040=1,对接源_01水果!$D1040="原料入库"),1,0)</f>
        <v>0</v>
      </c>
      <c r="AA1040" s="3">
        <f t="shared" si="288"/>
        <v>24</v>
      </c>
      <c r="AB1040" s="3">
        <f>IF(AND($M1040=1,LEFT(对接源_01水果!$D1040,4)="原料出库"),1,0)</f>
        <v>0</v>
      </c>
      <c r="AC1040" s="3">
        <f t="shared" si="289"/>
        <v>0</v>
      </c>
      <c r="AD1040" s="3">
        <f>IF(AND($M1040=1,LEFT(对接源_01水果!$D1040,4)="成品出库"),1,0)</f>
        <v>0</v>
      </c>
      <c r="AE1040" s="3">
        <f t="shared" si="290"/>
        <v>0</v>
      </c>
      <c r="AF1040" s="3">
        <f>IF(AND($N1040=1,AND(LEFT(对接源_01水果!$D1040,4)="包装物料",N(对接源_01水果!$K1040)&lt;&gt;0)),1,0)</f>
        <v>0</v>
      </c>
      <c r="AG1040" s="3">
        <f t="shared" si="291"/>
        <v>0</v>
      </c>
      <c r="AH1040" s="3">
        <f>IF(AND($N1040=1,AND(对接源_01水果!$D1040="周转筐－销售出库",N(对接源_01水果!$K1040)&lt;&gt;0)),1,0)</f>
        <v>0</v>
      </c>
      <c r="AI1040" s="3">
        <f t="shared" si="292"/>
        <v>0</v>
      </c>
      <c r="AJ1040" s="7"/>
      <c r="AL1040" s="3">
        <f>IF(OR($AL$1="",对接源_01水果!$Y1040="",对接源_01水果!$Y1040&lt;&gt;$AL$1,对接源_01水果!$B1040="",N(对接源_01水果!$AJ1040)&lt;=0),0,IF(OR(N(对接源_01水果!$B1040)&lt;$AL$2,N(对接源_01水果!$B1040)&gt;$AL$3),0,1))</f>
        <v>0</v>
      </c>
      <c r="AM1040" s="3">
        <f t="shared" si="293"/>
        <v>1</v>
      </c>
      <c r="AN1040" s="3" t="str">
        <f>IF(对接源_01水果!$AC1040="","",对接源_01水果!$AC1040)</f>
        <v/>
      </c>
      <c r="AO1040" s="3">
        <f t="shared" si="294"/>
        <v>0</v>
      </c>
      <c r="AP1040" s="3">
        <f t="shared" si="295"/>
        <v>8</v>
      </c>
      <c r="AR1040">
        <f t="shared" si="296"/>
        <v>0</v>
      </c>
      <c r="AS1040">
        <f t="shared" si="297"/>
        <v>0</v>
      </c>
    </row>
    <row r="1041" ht="14.25" customHeight="1" spans="1:45">
      <c r="A1041" s="3" t="str">
        <f>IF(对接源_01水果!$C1041="","",对接源_01水果!$C1041)</f>
        <v/>
      </c>
      <c r="B1041" s="3">
        <f t="shared" si="281"/>
        <v>0</v>
      </c>
      <c r="C1041" s="3">
        <f t="shared" si="282"/>
        <v>18</v>
      </c>
      <c r="K1041" s="3">
        <f>IF(OR($K$1="",对接源_01水果!$C1041="",对接源_01水果!$C1041&lt;&gt;$K$1,对接源_01水果!$B1041=""),0,IF(OR(N(对接源_01水果!$B1041)&lt;$K$2,N(对接源_01水果!$B1041)&gt;$K$3),0,1))</f>
        <v>0</v>
      </c>
      <c r="L1041" s="3">
        <f>IF(OR($L$1="",对接源_01水果!$C1041="",对接源_01水果!$C1041&lt;&gt;$L$1,对接源_01水果!$B1041=""),0,IF(OR(N(对接源_01水果!$B1041)&lt;$L$2,N(对接源_01水果!$B1041)&gt;$L$3),0,1))</f>
        <v>0</v>
      </c>
      <c r="M1041" s="3">
        <f>IF(OR($M$1="",对接源_01水果!$C1041="",对接源_01水果!$C1041&lt;&gt;$M$1,对接源_01水果!$B1041=""),0,IF(OR(N(对接源_01水果!$B1041)&lt;$M$2,N(对接源_01水果!$B1041)&gt;$M$3),0,1))</f>
        <v>0</v>
      </c>
      <c r="N1041" s="3">
        <f>IF(OR($N$1="",对接源_01水果!$C1041="",对接源_01水果!$C1041&lt;&gt;$N$1,对接源_01水果!$B1041=""),0,IF(OR(N(对接源_01水果!$B1041)&lt;$N$2,N(对接源_01水果!$B1041)&gt;$N$3),0,1))</f>
        <v>0</v>
      </c>
      <c r="P1041" s="3">
        <f>IF(AND($K1041=1,AND(对接源_01水果!$X1041="公司筐",N(对接源_01水果!$T1041)&lt;&gt;0)),1,0)</f>
        <v>0</v>
      </c>
      <c r="Q1041" s="3">
        <f t="shared" si="283"/>
        <v>0</v>
      </c>
      <c r="R1041" s="3">
        <f>IF(AND($K1041=1,AND(对接源_01水果!$X1041="公司筐",N(对接源_01水果!$U1041)&lt;&gt;0)),1,0)</f>
        <v>0</v>
      </c>
      <c r="S1041" s="3">
        <f t="shared" si="284"/>
        <v>0</v>
      </c>
      <c r="T1041" s="3">
        <f>IF(AND($K1041=1,AND(对接源_01水果!$X1041="公司筐",N(对接源_01水果!$V1041)&lt;&gt;0)),1,0)</f>
        <v>0</v>
      </c>
      <c r="U1041" s="3">
        <f t="shared" si="285"/>
        <v>19</v>
      </c>
      <c r="V1041" s="3">
        <f>IF(AND($L1041=1,AND(对接源_01水果!$X1041="自备筐",N(对接源_01水果!$V1041)&lt;&gt;0)),1,0)</f>
        <v>0</v>
      </c>
      <c r="W1041" s="3">
        <f t="shared" si="286"/>
        <v>8</v>
      </c>
      <c r="X1041" s="3">
        <f>IF(AND($L1041=1,AND(对接源_01水果!$X1041="自备筐",N(对接源_01水果!$T1041)&lt;&gt;0)),1,0)</f>
        <v>0</v>
      </c>
      <c r="Y1041" s="3">
        <f t="shared" si="287"/>
        <v>0</v>
      </c>
      <c r="Z1041" s="3">
        <f>IF(AND($M1041=1,对接源_01水果!$D1041="原料入库"),1,0)</f>
        <v>0</v>
      </c>
      <c r="AA1041" s="3">
        <f t="shared" si="288"/>
        <v>24</v>
      </c>
      <c r="AB1041" s="3">
        <f>IF(AND($M1041=1,LEFT(对接源_01水果!$D1041,4)="原料出库"),1,0)</f>
        <v>0</v>
      </c>
      <c r="AC1041" s="3">
        <f t="shared" si="289"/>
        <v>0</v>
      </c>
      <c r="AD1041" s="3">
        <f>IF(AND($M1041=1,LEFT(对接源_01水果!$D1041,4)="成品出库"),1,0)</f>
        <v>0</v>
      </c>
      <c r="AE1041" s="3">
        <f t="shared" si="290"/>
        <v>0</v>
      </c>
      <c r="AF1041" s="3">
        <f>IF(AND($N1041=1,AND(LEFT(对接源_01水果!$D1041,4)="包装物料",N(对接源_01水果!$K1041)&lt;&gt;0)),1,0)</f>
        <v>0</v>
      </c>
      <c r="AG1041" s="3">
        <f t="shared" si="291"/>
        <v>0</v>
      </c>
      <c r="AH1041" s="3">
        <f>IF(AND($N1041=1,AND(对接源_01水果!$D1041="周转筐－销售出库",N(对接源_01水果!$K1041)&lt;&gt;0)),1,0)</f>
        <v>0</v>
      </c>
      <c r="AI1041" s="3">
        <f t="shared" si="292"/>
        <v>0</v>
      </c>
      <c r="AJ1041" s="7"/>
      <c r="AL1041" s="3">
        <f>IF(OR($AL$1="",对接源_01水果!$Y1041="",对接源_01水果!$Y1041&lt;&gt;$AL$1,对接源_01水果!$B1041="",N(对接源_01水果!$AJ1041)&lt;=0),0,IF(OR(N(对接源_01水果!$B1041)&lt;$AL$2,N(对接源_01水果!$B1041)&gt;$AL$3),0,1))</f>
        <v>0</v>
      </c>
      <c r="AM1041" s="3">
        <f t="shared" si="293"/>
        <v>1</v>
      </c>
      <c r="AN1041" s="3" t="str">
        <f>IF(对接源_01水果!$AC1041="","",对接源_01水果!$AC1041)</f>
        <v/>
      </c>
      <c r="AO1041" s="3">
        <f t="shared" si="294"/>
        <v>0</v>
      </c>
      <c r="AP1041" s="3">
        <f t="shared" si="295"/>
        <v>8</v>
      </c>
      <c r="AR1041">
        <f t="shared" si="296"/>
        <v>0</v>
      </c>
      <c r="AS1041">
        <f t="shared" si="297"/>
        <v>0</v>
      </c>
    </row>
    <row r="1042" ht="14.25" customHeight="1" spans="1:45">
      <c r="A1042" s="3" t="str">
        <f>IF(对接源_01水果!$C1042="","",对接源_01水果!$C1042)</f>
        <v/>
      </c>
      <c r="B1042" s="3">
        <f t="shared" si="281"/>
        <v>0</v>
      </c>
      <c r="C1042" s="3">
        <f t="shared" si="282"/>
        <v>18</v>
      </c>
      <c r="K1042" s="3">
        <f>IF(OR($K$1="",对接源_01水果!$C1042="",对接源_01水果!$C1042&lt;&gt;$K$1,对接源_01水果!$B1042=""),0,IF(OR(N(对接源_01水果!$B1042)&lt;$K$2,N(对接源_01水果!$B1042)&gt;$K$3),0,1))</f>
        <v>0</v>
      </c>
      <c r="L1042" s="3">
        <f>IF(OR($L$1="",对接源_01水果!$C1042="",对接源_01水果!$C1042&lt;&gt;$L$1,对接源_01水果!$B1042=""),0,IF(OR(N(对接源_01水果!$B1042)&lt;$L$2,N(对接源_01水果!$B1042)&gt;$L$3),0,1))</f>
        <v>0</v>
      </c>
      <c r="M1042" s="3">
        <f>IF(OR($M$1="",对接源_01水果!$C1042="",对接源_01水果!$C1042&lt;&gt;$M$1,对接源_01水果!$B1042=""),0,IF(OR(N(对接源_01水果!$B1042)&lt;$M$2,N(对接源_01水果!$B1042)&gt;$M$3),0,1))</f>
        <v>0</v>
      </c>
      <c r="N1042" s="3">
        <f>IF(OR($N$1="",对接源_01水果!$C1042="",对接源_01水果!$C1042&lt;&gt;$N$1,对接源_01水果!$B1042=""),0,IF(OR(N(对接源_01水果!$B1042)&lt;$N$2,N(对接源_01水果!$B1042)&gt;$N$3),0,1))</f>
        <v>0</v>
      </c>
      <c r="P1042" s="3">
        <f>IF(AND($K1042=1,AND(对接源_01水果!$X1042="公司筐",N(对接源_01水果!$T1042)&lt;&gt;0)),1,0)</f>
        <v>0</v>
      </c>
      <c r="Q1042" s="3">
        <f t="shared" si="283"/>
        <v>0</v>
      </c>
      <c r="R1042" s="3">
        <f>IF(AND($K1042=1,AND(对接源_01水果!$X1042="公司筐",N(对接源_01水果!$U1042)&lt;&gt;0)),1,0)</f>
        <v>0</v>
      </c>
      <c r="S1042" s="3">
        <f t="shared" si="284"/>
        <v>0</v>
      </c>
      <c r="T1042" s="3">
        <f>IF(AND($K1042=1,AND(对接源_01水果!$X1042="公司筐",N(对接源_01水果!$V1042)&lt;&gt;0)),1,0)</f>
        <v>0</v>
      </c>
      <c r="U1042" s="3">
        <f t="shared" si="285"/>
        <v>19</v>
      </c>
      <c r="V1042" s="3">
        <f>IF(AND($L1042=1,AND(对接源_01水果!$X1042="自备筐",N(对接源_01水果!$V1042)&lt;&gt;0)),1,0)</f>
        <v>0</v>
      </c>
      <c r="W1042" s="3">
        <f t="shared" si="286"/>
        <v>8</v>
      </c>
      <c r="X1042" s="3">
        <f>IF(AND($L1042=1,AND(对接源_01水果!$X1042="自备筐",N(对接源_01水果!$T1042)&lt;&gt;0)),1,0)</f>
        <v>0</v>
      </c>
      <c r="Y1042" s="3">
        <f t="shared" si="287"/>
        <v>0</v>
      </c>
      <c r="Z1042" s="3">
        <f>IF(AND($M1042=1,对接源_01水果!$D1042="原料入库"),1,0)</f>
        <v>0</v>
      </c>
      <c r="AA1042" s="3">
        <f t="shared" si="288"/>
        <v>24</v>
      </c>
      <c r="AB1042" s="3">
        <f>IF(AND($M1042=1,LEFT(对接源_01水果!$D1042,4)="原料出库"),1,0)</f>
        <v>0</v>
      </c>
      <c r="AC1042" s="3">
        <f t="shared" si="289"/>
        <v>0</v>
      </c>
      <c r="AD1042" s="3">
        <f>IF(AND($M1042=1,LEFT(对接源_01水果!$D1042,4)="成品出库"),1,0)</f>
        <v>0</v>
      </c>
      <c r="AE1042" s="3">
        <f t="shared" si="290"/>
        <v>0</v>
      </c>
      <c r="AF1042" s="3">
        <f>IF(AND($N1042=1,AND(LEFT(对接源_01水果!$D1042,4)="包装物料",N(对接源_01水果!$K1042)&lt;&gt;0)),1,0)</f>
        <v>0</v>
      </c>
      <c r="AG1042" s="3">
        <f t="shared" si="291"/>
        <v>0</v>
      </c>
      <c r="AH1042" s="3">
        <f>IF(AND($N1042=1,AND(对接源_01水果!$D1042="周转筐－销售出库",N(对接源_01水果!$K1042)&lt;&gt;0)),1,0)</f>
        <v>0</v>
      </c>
      <c r="AI1042" s="3">
        <f t="shared" si="292"/>
        <v>0</v>
      </c>
      <c r="AJ1042" s="7"/>
      <c r="AL1042" s="3">
        <f>IF(OR($AL$1="",对接源_01水果!$Y1042="",对接源_01水果!$Y1042&lt;&gt;$AL$1,对接源_01水果!$B1042="",N(对接源_01水果!$AJ1042)&lt;=0),0,IF(OR(N(对接源_01水果!$B1042)&lt;$AL$2,N(对接源_01水果!$B1042)&gt;$AL$3),0,1))</f>
        <v>0</v>
      </c>
      <c r="AM1042" s="3">
        <f t="shared" si="293"/>
        <v>1</v>
      </c>
      <c r="AN1042" s="3" t="str">
        <f>IF(对接源_01水果!$AC1042="","",对接源_01水果!$AC1042)</f>
        <v/>
      </c>
      <c r="AO1042" s="3">
        <f t="shared" si="294"/>
        <v>0</v>
      </c>
      <c r="AP1042" s="3">
        <f t="shared" si="295"/>
        <v>8</v>
      </c>
      <c r="AR1042">
        <f t="shared" si="296"/>
        <v>0</v>
      </c>
      <c r="AS1042">
        <f t="shared" si="297"/>
        <v>0</v>
      </c>
    </row>
    <row r="1043" ht="14.25" customHeight="1" spans="1:45">
      <c r="A1043" s="3" t="str">
        <f>IF(对接源_01水果!$C1043="","",对接源_01水果!$C1043)</f>
        <v/>
      </c>
      <c r="B1043" s="3">
        <f t="shared" si="281"/>
        <v>0</v>
      </c>
      <c r="C1043" s="3">
        <f t="shared" si="282"/>
        <v>18</v>
      </c>
      <c r="K1043" s="3">
        <f>IF(OR($K$1="",对接源_01水果!$C1043="",对接源_01水果!$C1043&lt;&gt;$K$1,对接源_01水果!$B1043=""),0,IF(OR(N(对接源_01水果!$B1043)&lt;$K$2,N(对接源_01水果!$B1043)&gt;$K$3),0,1))</f>
        <v>0</v>
      </c>
      <c r="L1043" s="3">
        <f>IF(OR($L$1="",对接源_01水果!$C1043="",对接源_01水果!$C1043&lt;&gt;$L$1,对接源_01水果!$B1043=""),0,IF(OR(N(对接源_01水果!$B1043)&lt;$L$2,N(对接源_01水果!$B1043)&gt;$L$3),0,1))</f>
        <v>0</v>
      </c>
      <c r="M1043" s="3">
        <f>IF(OR($M$1="",对接源_01水果!$C1043="",对接源_01水果!$C1043&lt;&gt;$M$1,对接源_01水果!$B1043=""),0,IF(OR(N(对接源_01水果!$B1043)&lt;$M$2,N(对接源_01水果!$B1043)&gt;$M$3),0,1))</f>
        <v>0</v>
      </c>
      <c r="N1043" s="3">
        <f>IF(OR($N$1="",对接源_01水果!$C1043="",对接源_01水果!$C1043&lt;&gt;$N$1,对接源_01水果!$B1043=""),0,IF(OR(N(对接源_01水果!$B1043)&lt;$N$2,N(对接源_01水果!$B1043)&gt;$N$3),0,1))</f>
        <v>0</v>
      </c>
      <c r="P1043" s="3">
        <f>IF(AND($K1043=1,AND(对接源_01水果!$X1043="公司筐",N(对接源_01水果!$T1043)&lt;&gt;0)),1,0)</f>
        <v>0</v>
      </c>
      <c r="Q1043" s="3">
        <f t="shared" si="283"/>
        <v>0</v>
      </c>
      <c r="R1043" s="3">
        <f>IF(AND($K1043=1,AND(对接源_01水果!$X1043="公司筐",N(对接源_01水果!$U1043)&lt;&gt;0)),1,0)</f>
        <v>0</v>
      </c>
      <c r="S1043" s="3">
        <f t="shared" si="284"/>
        <v>0</v>
      </c>
      <c r="T1043" s="3">
        <f>IF(AND($K1043=1,AND(对接源_01水果!$X1043="公司筐",N(对接源_01水果!$V1043)&lt;&gt;0)),1,0)</f>
        <v>0</v>
      </c>
      <c r="U1043" s="3">
        <f t="shared" si="285"/>
        <v>19</v>
      </c>
      <c r="V1043" s="3">
        <f>IF(AND($L1043=1,AND(对接源_01水果!$X1043="自备筐",N(对接源_01水果!$V1043)&lt;&gt;0)),1,0)</f>
        <v>0</v>
      </c>
      <c r="W1043" s="3">
        <f t="shared" si="286"/>
        <v>8</v>
      </c>
      <c r="X1043" s="3">
        <f>IF(AND($L1043=1,AND(对接源_01水果!$X1043="自备筐",N(对接源_01水果!$T1043)&lt;&gt;0)),1,0)</f>
        <v>0</v>
      </c>
      <c r="Y1043" s="3">
        <f t="shared" si="287"/>
        <v>0</v>
      </c>
      <c r="Z1043" s="3">
        <f>IF(AND($M1043=1,对接源_01水果!$D1043="原料入库"),1,0)</f>
        <v>0</v>
      </c>
      <c r="AA1043" s="3">
        <f t="shared" si="288"/>
        <v>24</v>
      </c>
      <c r="AB1043" s="3">
        <f>IF(AND($M1043=1,LEFT(对接源_01水果!$D1043,4)="原料出库"),1,0)</f>
        <v>0</v>
      </c>
      <c r="AC1043" s="3">
        <f t="shared" si="289"/>
        <v>0</v>
      </c>
      <c r="AD1043" s="3">
        <f>IF(AND($M1043=1,LEFT(对接源_01水果!$D1043,4)="成品出库"),1,0)</f>
        <v>0</v>
      </c>
      <c r="AE1043" s="3">
        <f t="shared" si="290"/>
        <v>0</v>
      </c>
      <c r="AF1043" s="3">
        <f>IF(AND($N1043=1,AND(LEFT(对接源_01水果!$D1043,4)="包装物料",N(对接源_01水果!$K1043)&lt;&gt;0)),1,0)</f>
        <v>0</v>
      </c>
      <c r="AG1043" s="3">
        <f t="shared" si="291"/>
        <v>0</v>
      </c>
      <c r="AH1043" s="3">
        <f>IF(AND($N1043=1,AND(对接源_01水果!$D1043="周转筐－销售出库",N(对接源_01水果!$K1043)&lt;&gt;0)),1,0)</f>
        <v>0</v>
      </c>
      <c r="AI1043" s="3">
        <f t="shared" si="292"/>
        <v>0</v>
      </c>
      <c r="AJ1043" s="7"/>
      <c r="AL1043" s="3">
        <f>IF(OR($AL$1="",对接源_01水果!$Y1043="",对接源_01水果!$Y1043&lt;&gt;$AL$1,对接源_01水果!$B1043="",N(对接源_01水果!$AJ1043)&lt;=0),0,IF(OR(N(对接源_01水果!$B1043)&lt;$AL$2,N(对接源_01水果!$B1043)&gt;$AL$3),0,1))</f>
        <v>0</v>
      </c>
      <c r="AM1043" s="3">
        <f t="shared" si="293"/>
        <v>1</v>
      </c>
      <c r="AN1043" s="3" t="str">
        <f>IF(对接源_01水果!$AC1043="","",对接源_01水果!$AC1043)</f>
        <v/>
      </c>
      <c r="AO1043" s="3">
        <f t="shared" si="294"/>
        <v>0</v>
      </c>
      <c r="AP1043" s="3">
        <f t="shared" si="295"/>
        <v>8</v>
      </c>
      <c r="AR1043">
        <f t="shared" si="296"/>
        <v>0</v>
      </c>
      <c r="AS1043">
        <f t="shared" si="297"/>
        <v>0</v>
      </c>
    </row>
    <row r="1044" ht="14.25" customHeight="1" spans="1:45">
      <c r="A1044" s="3" t="str">
        <f>IF(对接源_01水果!$C1044="","",对接源_01水果!$C1044)</f>
        <v/>
      </c>
      <c r="B1044" s="3">
        <f t="shared" si="281"/>
        <v>0</v>
      </c>
      <c r="C1044" s="3">
        <f t="shared" si="282"/>
        <v>18</v>
      </c>
      <c r="K1044" s="3">
        <f>IF(OR($K$1="",对接源_01水果!$C1044="",对接源_01水果!$C1044&lt;&gt;$K$1,对接源_01水果!$B1044=""),0,IF(OR(N(对接源_01水果!$B1044)&lt;$K$2,N(对接源_01水果!$B1044)&gt;$K$3),0,1))</f>
        <v>0</v>
      </c>
      <c r="L1044" s="3">
        <f>IF(OR($L$1="",对接源_01水果!$C1044="",对接源_01水果!$C1044&lt;&gt;$L$1,对接源_01水果!$B1044=""),0,IF(OR(N(对接源_01水果!$B1044)&lt;$L$2,N(对接源_01水果!$B1044)&gt;$L$3),0,1))</f>
        <v>0</v>
      </c>
      <c r="M1044" s="3">
        <f>IF(OR($M$1="",对接源_01水果!$C1044="",对接源_01水果!$C1044&lt;&gt;$M$1,对接源_01水果!$B1044=""),0,IF(OR(N(对接源_01水果!$B1044)&lt;$M$2,N(对接源_01水果!$B1044)&gt;$M$3),0,1))</f>
        <v>0</v>
      </c>
      <c r="N1044" s="3">
        <f>IF(OR($N$1="",对接源_01水果!$C1044="",对接源_01水果!$C1044&lt;&gt;$N$1,对接源_01水果!$B1044=""),0,IF(OR(N(对接源_01水果!$B1044)&lt;$N$2,N(对接源_01水果!$B1044)&gt;$N$3),0,1))</f>
        <v>0</v>
      </c>
      <c r="P1044" s="3">
        <f>IF(AND($K1044=1,AND(对接源_01水果!$X1044="公司筐",N(对接源_01水果!$T1044)&lt;&gt;0)),1,0)</f>
        <v>0</v>
      </c>
      <c r="Q1044" s="3">
        <f t="shared" si="283"/>
        <v>0</v>
      </c>
      <c r="R1044" s="3">
        <f>IF(AND($K1044=1,AND(对接源_01水果!$X1044="公司筐",N(对接源_01水果!$U1044)&lt;&gt;0)),1,0)</f>
        <v>0</v>
      </c>
      <c r="S1044" s="3">
        <f t="shared" si="284"/>
        <v>0</v>
      </c>
      <c r="T1044" s="3">
        <f>IF(AND($K1044=1,AND(对接源_01水果!$X1044="公司筐",N(对接源_01水果!$V1044)&lt;&gt;0)),1,0)</f>
        <v>0</v>
      </c>
      <c r="U1044" s="3">
        <f t="shared" si="285"/>
        <v>19</v>
      </c>
      <c r="V1044" s="3">
        <f>IF(AND($L1044=1,AND(对接源_01水果!$X1044="自备筐",N(对接源_01水果!$V1044)&lt;&gt;0)),1,0)</f>
        <v>0</v>
      </c>
      <c r="W1044" s="3">
        <f t="shared" si="286"/>
        <v>8</v>
      </c>
      <c r="X1044" s="3">
        <f>IF(AND($L1044=1,AND(对接源_01水果!$X1044="自备筐",N(对接源_01水果!$T1044)&lt;&gt;0)),1,0)</f>
        <v>0</v>
      </c>
      <c r="Y1044" s="3">
        <f t="shared" si="287"/>
        <v>0</v>
      </c>
      <c r="Z1044" s="3">
        <f>IF(AND($M1044=1,对接源_01水果!$D1044="原料入库"),1,0)</f>
        <v>0</v>
      </c>
      <c r="AA1044" s="3">
        <f t="shared" si="288"/>
        <v>24</v>
      </c>
      <c r="AB1044" s="3">
        <f>IF(AND($M1044=1,LEFT(对接源_01水果!$D1044,4)="原料出库"),1,0)</f>
        <v>0</v>
      </c>
      <c r="AC1044" s="3">
        <f t="shared" si="289"/>
        <v>0</v>
      </c>
      <c r="AD1044" s="3">
        <f>IF(AND($M1044=1,LEFT(对接源_01水果!$D1044,4)="成品出库"),1,0)</f>
        <v>0</v>
      </c>
      <c r="AE1044" s="3">
        <f t="shared" si="290"/>
        <v>0</v>
      </c>
      <c r="AF1044" s="3">
        <f>IF(AND($N1044=1,AND(LEFT(对接源_01水果!$D1044,4)="包装物料",N(对接源_01水果!$K1044)&lt;&gt;0)),1,0)</f>
        <v>0</v>
      </c>
      <c r="AG1044" s="3">
        <f t="shared" si="291"/>
        <v>0</v>
      </c>
      <c r="AH1044" s="3">
        <f>IF(AND($N1044=1,AND(对接源_01水果!$D1044="周转筐－销售出库",N(对接源_01水果!$K1044)&lt;&gt;0)),1,0)</f>
        <v>0</v>
      </c>
      <c r="AI1044" s="3">
        <f t="shared" si="292"/>
        <v>0</v>
      </c>
      <c r="AJ1044" s="7"/>
      <c r="AL1044" s="3">
        <f>IF(OR($AL$1="",对接源_01水果!$Y1044="",对接源_01水果!$Y1044&lt;&gt;$AL$1,对接源_01水果!$B1044="",N(对接源_01水果!$AJ1044)&lt;=0),0,IF(OR(N(对接源_01水果!$B1044)&lt;$AL$2,N(对接源_01水果!$B1044)&gt;$AL$3),0,1))</f>
        <v>0</v>
      </c>
      <c r="AM1044" s="3">
        <f t="shared" si="293"/>
        <v>1</v>
      </c>
      <c r="AN1044" s="3" t="str">
        <f>IF(对接源_01水果!$AC1044="","",对接源_01水果!$AC1044)</f>
        <v/>
      </c>
      <c r="AO1044" s="3">
        <f t="shared" si="294"/>
        <v>0</v>
      </c>
      <c r="AP1044" s="3">
        <f t="shared" si="295"/>
        <v>8</v>
      </c>
      <c r="AR1044">
        <f t="shared" si="296"/>
        <v>0</v>
      </c>
      <c r="AS1044">
        <f t="shared" si="297"/>
        <v>0</v>
      </c>
    </row>
    <row r="1045" ht="14.25" customHeight="1" spans="1:45">
      <c r="A1045" s="3" t="str">
        <f>IF(对接源_01水果!$C1045="","",对接源_01水果!$C1045)</f>
        <v/>
      </c>
      <c r="B1045" s="3">
        <f t="shared" si="281"/>
        <v>0</v>
      </c>
      <c r="C1045" s="3">
        <f t="shared" si="282"/>
        <v>18</v>
      </c>
      <c r="K1045" s="3">
        <f>IF(OR($K$1="",对接源_01水果!$C1045="",对接源_01水果!$C1045&lt;&gt;$K$1,对接源_01水果!$B1045=""),0,IF(OR(N(对接源_01水果!$B1045)&lt;$K$2,N(对接源_01水果!$B1045)&gt;$K$3),0,1))</f>
        <v>0</v>
      </c>
      <c r="L1045" s="3">
        <f>IF(OR($L$1="",对接源_01水果!$C1045="",对接源_01水果!$C1045&lt;&gt;$L$1,对接源_01水果!$B1045=""),0,IF(OR(N(对接源_01水果!$B1045)&lt;$L$2,N(对接源_01水果!$B1045)&gt;$L$3),0,1))</f>
        <v>0</v>
      </c>
      <c r="M1045" s="3">
        <f>IF(OR($M$1="",对接源_01水果!$C1045="",对接源_01水果!$C1045&lt;&gt;$M$1,对接源_01水果!$B1045=""),0,IF(OR(N(对接源_01水果!$B1045)&lt;$M$2,N(对接源_01水果!$B1045)&gt;$M$3),0,1))</f>
        <v>0</v>
      </c>
      <c r="N1045" s="3">
        <f>IF(OR($N$1="",对接源_01水果!$C1045="",对接源_01水果!$C1045&lt;&gt;$N$1,对接源_01水果!$B1045=""),0,IF(OR(N(对接源_01水果!$B1045)&lt;$N$2,N(对接源_01水果!$B1045)&gt;$N$3),0,1))</f>
        <v>0</v>
      </c>
      <c r="P1045" s="3">
        <f>IF(AND($K1045=1,AND(对接源_01水果!$X1045="公司筐",N(对接源_01水果!$T1045)&lt;&gt;0)),1,0)</f>
        <v>0</v>
      </c>
      <c r="Q1045" s="3">
        <f t="shared" si="283"/>
        <v>0</v>
      </c>
      <c r="R1045" s="3">
        <f>IF(AND($K1045=1,AND(对接源_01水果!$X1045="公司筐",N(对接源_01水果!$U1045)&lt;&gt;0)),1,0)</f>
        <v>0</v>
      </c>
      <c r="S1045" s="3">
        <f t="shared" si="284"/>
        <v>0</v>
      </c>
      <c r="T1045" s="3">
        <f>IF(AND($K1045=1,AND(对接源_01水果!$X1045="公司筐",N(对接源_01水果!$V1045)&lt;&gt;0)),1,0)</f>
        <v>0</v>
      </c>
      <c r="U1045" s="3">
        <f t="shared" si="285"/>
        <v>19</v>
      </c>
      <c r="V1045" s="3">
        <f>IF(AND($L1045=1,AND(对接源_01水果!$X1045="自备筐",N(对接源_01水果!$V1045)&lt;&gt;0)),1,0)</f>
        <v>0</v>
      </c>
      <c r="W1045" s="3">
        <f t="shared" si="286"/>
        <v>8</v>
      </c>
      <c r="X1045" s="3">
        <f>IF(AND($L1045=1,AND(对接源_01水果!$X1045="自备筐",N(对接源_01水果!$T1045)&lt;&gt;0)),1,0)</f>
        <v>0</v>
      </c>
      <c r="Y1045" s="3">
        <f t="shared" si="287"/>
        <v>0</v>
      </c>
      <c r="Z1045" s="3">
        <f>IF(AND($M1045=1,对接源_01水果!$D1045="原料入库"),1,0)</f>
        <v>0</v>
      </c>
      <c r="AA1045" s="3">
        <f t="shared" si="288"/>
        <v>24</v>
      </c>
      <c r="AB1045" s="3">
        <f>IF(AND($M1045=1,LEFT(对接源_01水果!$D1045,4)="原料出库"),1,0)</f>
        <v>0</v>
      </c>
      <c r="AC1045" s="3">
        <f t="shared" si="289"/>
        <v>0</v>
      </c>
      <c r="AD1045" s="3">
        <f>IF(AND($M1045=1,LEFT(对接源_01水果!$D1045,4)="成品出库"),1,0)</f>
        <v>0</v>
      </c>
      <c r="AE1045" s="3">
        <f t="shared" si="290"/>
        <v>0</v>
      </c>
      <c r="AF1045" s="3">
        <f>IF(AND($N1045=1,AND(LEFT(对接源_01水果!$D1045,4)="包装物料",N(对接源_01水果!$K1045)&lt;&gt;0)),1,0)</f>
        <v>0</v>
      </c>
      <c r="AG1045" s="3">
        <f t="shared" si="291"/>
        <v>0</v>
      </c>
      <c r="AH1045" s="3">
        <f>IF(AND($N1045=1,AND(对接源_01水果!$D1045="周转筐－销售出库",N(对接源_01水果!$K1045)&lt;&gt;0)),1,0)</f>
        <v>0</v>
      </c>
      <c r="AI1045" s="3">
        <f t="shared" si="292"/>
        <v>0</v>
      </c>
      <c r="AJ1045" s="7"/>
      <c r="AL1045" s="3">
        <f>IF(OR($AL$1="",对接源_01水果!$Y1045="",对接源_01水果!$Y1045&lt;&gt;$AL$1,对接源_01水果!$B1045="",N(对接源_01水果!$AJ1045)&lt;=0),0,IF(OR(N(对接源_01水果!$B1045)&lt;$AL$2,N(对接源_01水果!$B1045)&gt;$AL$3),0,1))</f>
        <v>0</v>
      </c>
      <c r="AM1045" s="3">
        <f t="shared" si="293"/>
        <v>1</v>
      </c>
      <c r="AN1045" s="3" t="str">
        <f>IF(对接源_01水果!$AC1045="","",对接源_01水果!$AC1045)</f>
        <v/>
      </c>
      <c r="AO1045" s="3">
        <f t="shared" si="294"/>
        <v>0</v>
      </c>
      <c r="AP1045" s="3">
        <f t="shared" si="295"/>
        <v>8</v>
      </c>
      <c r="AR1045">
        <f t="shared" si="296"/>
        <v>0</v>
      </c>
      <c r="AS1045">
        <f t="shared" si="297"/>
        <v>0</v>
      </c>
    </row>
    <row r="1046" ht="14.25" customHeight="1" spans="1:45">
      <c r="A1046" s="3" t="str">
        <f>IF(对接源_01水果!$C1046="","",对接源_01水果!$C1046)</f>
        <v/>
      </c>
      <c r="B1046" s="3">
        <f t="shared" si="281"/>
        <v>0</v>
      </c>
      <c r="C1046" s="3">
        <f t="shared" si="282"/>
        <v>18</v>
      </c>
      <c r="K1046" s="3">
        <f>IF(OR($K$1="",对接源_01水果!$C1046="",对接源_01水果!$C1046&lt;&gt;$K$1,对接源_01水果!$B1046=""),0,IF(OR(N(对接源_01水果!$B1046)&lt;$K$2,N(对接源_01水果!$B1046)&gt;$K$3),0,1))</f>
        <v>0</v>
      </c>
      <c r="L1046" s="3">
        <f>IF(OR($L$1="",对接源_01水果!$C1046="",对接源_01水果!$C1046&lt;&gt;$L$1,对接源_01水果!$B1046=""),0,IF(OR(N(对接源_01水果!$B1046)&lt;$L$2,N(对接源_01水果!$B1046)&gt;$L$3),0,1))</f>
        <v>0</v>
      </c>
      <c r="M1046" s="3">
        <f>IF(OR($M$1="",对接源_01水果!$C1046="",对接源_01水果!$C1046&lt;&gt;$M$1,对接源_01水果!$B1046=""),0,IF(OR(N(对接源_01水果!$B1046)&lt;$M$2,N(对接源_01水果!$B1046)&gt;$M$3),0,1))</f>
        <v>0</v>
      </c>
      <c r="N1046" s="3">
        <f>IF(OR($N$1="",对接源_01水果!$C1046="",对接源_01水果!$C1046&lt;&gt;$N$1,对接源_01水果!$B1046=""),0,IF(OR(N(对接源_01水果!$B1046)&lt;$N$2,N(对接源_01水果!$B1046)&gt;$N$3),0,1))</f>
        <v>0</v>
      </c>
      <c r="P1046" s="3">
        <f>IF(AND($K1046=1,AND(对接源_01水果!$X1046="公司筐",N(对接源_01水果!$T1046)&lt;&gt;0)),1,0)</f>
        <v>0</v>
      </c>
      <c r="Q1046" s="3">
        <f t="shared" si="283"/>
        <v>0</v>
      </c>
      <c r="R1046" s="3">
        <f>IF(AND($K1046=1,AND(对接源_01水果!$X1046="公司筐",N(对接源_01水果!$U1046)&lt;&gt;0)),1,0)</f>
        <v>0</v>
      </c>
      <c r="S1046" s="3">
        <f t="shared" si="284"/>
        <v>0</v>
      </c>
      <c r="T1046" s="3">
        <f>IF(AND($K1046=1,AND(对接源_01水果!$X1046="公司筐",N(对接源_01水果!$V1046)&lt;&gt;0)),1,0)</f>
        <v>0</v>
      </c>
      <c r="U1046" s="3">
        <f t="shared" si="285"/>
        <v>19</v>
      </c>
      <c r="V1046" s="3">
        <f>IF(AND($L1046=1,AND(对接源_01水果!$X1046="自备筐",N(对接源_01水果!$V1046)&lt;&gt;0)),1,0)</f>
        <v>0</v>
      </c>
      <c r="W1046" s="3">
        <f t="shared" si="286"/>
        <v>8</v>
      </c>
      <c r="X1046" s="3">
        <f>IF(AND($L1046=1,AND(对接源_01水果!$X1046="自备筐",N(对接源_01水果!$T1046)&lt;&gt;0)),1,0)</f>
        <v>0</v>
      </c>
      <c r="Y1046" s="3">
        <f t="shared" si="287"/>
        <v>0</v>
      </c>
      <c r="Z1046" s="3">
        <f>IF(AND($M1046=1,对接源_01水果!$D1046="原料入库"),1,0)</f>
        <v>0</v>
      </c>
      <c r="AA1046" s="3">
        <f t="shared" si="288"/>
        <v>24</v>
      </c>
      <c r="AB1046" s="3">
        <f>IF(AND($M1046=1,LEFT(对接源_01水果!$D1046,4)="原料出库"),1,0)</f>
        <v>0</v>
      </c>
      <c r="AC1046" s="3">
        <f t="shared" si="289"/>
        <v>0</v>
      </c>
      <c r="AD1046" s="3">
        <f>IF(AND($M1046=1,LEFT(对接源_01水果!$D1046,4)="成品出库"),1,0)</f>
        <v>0</v>
      </c>
      <c r="AE1046" s="3">
        <f t="shared" si="290"/>
        <v>0</v>
      </c>
      <c r="AF1046" s="3">
        <f>IF(AND($N1046=1,AND(LEFT(对接源_01水果!$D1046,4)="包装物料",N(对接源_01水果!$K1046)&lt;&gt;0)),1,0)</f>
        <v>0</v>
      </c>
      <c r="AG1046" s="3">
        <f t="shared" si="291"/>
        <v>0</v>
      </c>
      <c r="AH1046" s="3">
        <f>IF(AND($N1046=1,AND(对接源_01水果!$D1046="周转筐－销售出库",N(对接源_01水果!$K1046)&lt;&gt;0)),1,0)</f>
        <v>0</v>
      </c>
      <c r="AI1046" s="3">
        <f t="shared" si="292"/>
        <v>0</v>
      </c>
      <c r="AJ1046" s="7"/>
      <c r="AL1046" s="3">
        <f>IF(OR($AL$1="",对接源_01水果!$Y1046="",对接源_01水果!$Y1046&lt;&gt;$AL$1,对接源_01水果!$B1046="",N(对接源_01水果!$AJ1046)&lt;=0),0,IF(OR(N(对接源_01水果!$B1046)&lt;$AL$2,N(对接源_01水果!$B1046)&gt;$AL$3),0,1))</f>
        <v>0</v>
      </c>
      <c r="AM1046" s="3">
        <f t="shared" si="293"/>
        <v>1</v>
      </c>
      <c r="AN1046" s="3" t="str">
        <f>IF(对接源_01水果!$AC1046="","",对接源_01水果!$AC1046)</f>
        <v/>
      </c>
      <c r="AO1046" s="3">
        <f t="shared" si="294"/>
        <v>0</v>
      </c>
      <c r="AP1046" s="3">
        <f t="shared" si="295"/>
        <v>8</v>
      </c>
      <c r="AR1046">
        <f t="shared" si="296"/>
        <v>0</v>
      </c>
      <c r="AS1046">
        <f t="shared" si="297"/>
        <v>0</v>
      </c>
    </row>
    <row r="1047" ht="14.25" customHeight="1" spans="1:45">
      <c r="A1047" s="3" t="str">
        <f>IF(对接源_01水果!$C1047="","",对接源_01水果!$C1047)</f>
        <v/>
      </c>
      <c r="B1047" s="3">
        <f t="shared" si="281"/>
        <v>0</v>
      </c>
      <c r="C1047" s="3">
        <f t="shared" si="282"/>
        <v>18</v>
      </c>
      <c r="K1047" s="3">
        <f>IF(OR($K$1="",对接源_01水果!$C1047="",对接源_01水果!$C1047&lt;&gt;$K$1,对接源_01水果!$B1047=""),0,IF(OR(N(对接源_01水果!$B1047)&lt;$K$2,N(对接源_01水果!$B1047)&gt;$K$3),0,1))</f>
        <v>0</v>
      </c>
      <c r="L1047" s="3">
        <f>IF(OR($L$1="",对接源_01水果!$C1047="",对接源_01水果!$C1047&lt;&gt;$L$1,对接源_01水果!$B1047=""),0,IF(OR(N(对接源_01水果!$B1047)&lt;$L$2,N(对接源_01水果!$B1047)&gt;$L$3),0,1))</f>
        <v>0</v>
      </c>
      <c r="M1047" s="3">
        <f>IF(OR($M$1="",对接源_01水果!$C1047="",对接源_01水果!$C1047&lt;&gt;$M$1,对接源_01水果!$B1047=""),0,IF(OR(N(对接源_01水果!$B1047)&lt;$M$2,N(对接源_01水果!$B1047)&gt;$M$3),0,1))</f>
        <v>0</v>
      </c>
      <c r="N1047" s="3">
        <f>IF(OR($N$1="",对接源_01水果!$C1047="",对接源_01水果!$C1047&lt;&gt;$N$1,对接源_01水果!$B1047=""),0,IF(OR(N(对接源_01水果!$B1047)&lt;$N$2,N(对接源_01水果!$B1047)&gt;$N$3),0,1))</f>
        <v>0</v>
      </c>
      <c r="P1047" s="3">
        <f>IF(AND($K1047=1,AND(对接源_01水果!$X1047="公司筐",N(对接源_01水果!$T1047)&lt;&gt;0)),1,0)</f>
        <v>0</v>
      </c>
      <c r="Q1047" s="3">
        <f t="shared" si="283"/>
        <v>0</v>
      </c>
      <c r="R1047" s="3">
        <f>IF(AND($K1047=1,AND(对接源_01水果!$X1047="公司筐",N(对接源_01水果!$U1047)&lt;&gt;0)),1,0)</f>
        <v>0</v>
      </c>
      <c r="S1047" s="3">
        <f t="shared" si="284"/>
        <v>0</v>
      </c>
      <c r="T1047" s="3">
        <f>IF(AND($K1047=1,AND(对接源_01水果!$X1047="公司筐",N(对接源_01水果!$V1047)&lt;&gt;0)),1,0)</f>
        <v>0</v>
      </c>
      <c r="U1047" s="3">
        <f t="shared" si="285"/>
        <v>19</v>
      </c>
      <c r="V1047" s="3">
        <f>IF(AND($L1047=1,AND(对接源_01水果!$X1047="自备筐",N(对接源_01水果!$V1047)&lt;&gt;0)),1,0)</f>
        <v>0</v>
      </c>
      <c r="W1047" s="3">
        <f t="shared" si="286"/>
        <v>8</v>
      </c>
      <c r="X1047" s="3">
        <f>IF(AND($L1047=1,AND(对接源_01水果!$X1047="自备筐",N(对接源_01水果!$T1047)&lt;&gt;0)),1,0)</f>
        <v>0</v>
      </c>
      <c r="Y1047" s="3">
        <f t="shared" si="287"/>
        <v>0</v>
      </c>
      <c r="Z1047" s="3">
        <f>IF(AND($M1047=1,对接源_01水果!$D1047="原料入库"),1,0)</f>
        <v>0</v>
      </c>
      <c r="AA1047" s="3">
        <f t="shared" si="288"/>
        <v>24</v>
      </c>
      <c r="AB1047" s="3">
        <f>IF(AND($M1047=1,LEFT(对接源_01水果!$D1047,4)="原料出库"),1,0)</f>
        <v>0</v>
      </c>
      <c r="AC1047" s="3">
        <f t="shared" si="289"/>
        <v>0</v>
      </c>
      <c r="AD1047" s="3">
        <f>IF(AND($M1047=1,LEFT(对接源_01水果!$D1047,4)="成品出库"),1,0)</f>
        <v>0</v>
      </c>
      <c r="AE1047" s="3">
        <f t="shared" si="290"/>
        <v>0</v>
      </c>
      <c r="AF1047" s="3">
        <f>IF(AND($N1047=1,AND(LEFT(对接源_01水果!$D1047,4)="包装物料",N(对接源_01水果!$K1047)&lt;&gt;0)),1,0)</f>
        <v>0</v>
      </c>
      <c r="AG1047" s="3">
        <f t="shared" si="291"/>
        <v>0</v>
      </c>
      <c r="AH1047" s="3">
        <f>IF(AND($N1047=1,AND(对接源_01水果!$D1047="周转筐－销售出库",N(对接源_01水果!$K1047)&lt;&gt;0)),1,0)</f>
        <v>0</v>
      </c>
      <c r="AI1047" s="3">
        <f t="shared" si="292"/>
        <v>0</v>
      </c>
      <c r="AJ1047" s="7"/>
      <c r="AL1047" s="3">
        <f>IF(OR($AL$1="",对接源_01水果!$Y1047="",对接源_01水果!$Y1047&lt;&gt;$AL$1,对接源_01水果!$B1047="",N(对接源_01水果!$AJ1047)&lt;=0),0,IF(OR(N(对接源_01水果!$B1047)&lt;$AL$2,N(对接源_01水果!$B1047)&gt;$AL$3),0,1))</f>
        <v>0</v>
      </c>
      <c r="AM1047" s="3">
        <f t="shared" si="293"/>
        <v>1</v>
      </c>
      <c r="AN1047" s="3" t="str">
        <f>IF(对接源_01水果!$AC1047="","",对接源_01水果!$AC1047)</f>
        <v/>
      </c>
      <c r="AO1047" s="3">
        <f t="shared" si="294"/>
        <v>0</v>
      </c>
      <c r="AP1047" s="3">
        <f t="shared" si="295"/>
        <v>8</v>
      </c>
      <c r="AR1047">
        <f t="shared" si="296"/>
        <v>0</v>
      </c>
      <c r="AS1047">
        <f t="shared" si="297"/>
        <v>0</v>
      </c>
    </row>
    <row r="1048" ht="14.25" customHeight="1" spans="1:45">
      <c r="A1048" s="3" t="str">
        <f>IF(对接源_01水果!$C1048="","",对接源_01水果!$C1048)</f>
        <v/>
      </c>
      <c r="B1048" s="3">
        <f t="shared" si="281"/>
        <v>0</v>
      </c>
      <c r="C1048" s="3">
        <f t="shared" si="282"/>
        <v>18</v>
      </c>
      <c r="K1048" s="3">
        <f>IF(OR($K$1="",对接源_01水果!$C1048="",对接源_01水果!$C1048&lt;&gt;$K$1,对接源_01水果!$B1048=""),0,IF(OR(N(对接源_01水果!$B1048)&lt;$K$2,N(对接源_01水果!$B1048)&gt;$K$3),0,1))</f>
        <v>0</v>
      </c>
      <c r="L1048" s="3">
        <f>IF(OR($L$1="",对接源_01水果!$C1048="",对接源_01水果!$C1048&lt;&gt;$L$1,对接源_01水果!$B1048=""),0,IF(OR(N(对接源_01水果!$B1048)&lt;$L$2,N(对接源_01水果!$B1048)&gt;$L$3),0,1))</f>
        <v>0</v>
      </c>
      <c r="M1048" s="3">
        <f>IF(OR($M$1="",对接源_01水果!$C1048="",对接源_01水果!$C1048&lt;&gt;$M$1,对接源_01水果!$B1048=""),0,IF(OR(N(对接源_01水果!$B1048)&lt;$M$2,N(对接源_01水果!$B1048)&gt;$M$3),0,1))</f>
        <v>0</v>
      </c>
      <c r="N1048" s="3">
        <f>IF(OR($N$1="",对接源_01水果!$C1048="",对接源_01水果!$C1048&lt;&gt;$N$1,对接源_01水果!$B1048=""),0,IF(OR(N(对接源_01水果!$B1048)&lt;$N$2,N(对接源_01水果!$B1048)&gt;$N$3),0,1))</f>
        <v>0</v>
      </c>
      <c r="P1048" s="3">
        <f>IF(AND($K1048=1,AND(对接源_01水果!$X1048="公司筐",N(对接源_01水果!$T1048)&lt;&gt;0)),1,0)</f>
        <v>0</v>
      </c>
      <c r="Q1048" s="3">
        <f t="shared" si="283"/>
        <v>0</v>
      </c>
      <c r="R1048" s="3">
        <f>IF(AND($K1048=1,AND(对接源_01水果!$X1048="公司筐",N(对接源_01水果!$U1048)&lt;&gt;0)),1,0)</f>
        <v>0</v>
      </c>
      <c r="S1048" s="3">
        <f t="shared" si="284"/>
        <v>0</v>
      </c>
      <c r="T1048" s="3">
        <f>IF(AND($K1048=1,AND(对接源_01水果!$X1048="公司筐",N(对接源_01水果!$V1048)&lt;&gt;0)),1,0)</f>
        <v>0</v>
      </c>
      <c r="U1048" s="3">
        <f t="shared" si="285"/>
        <v>19</v>
      </c>
      <c r="V1048" s="3">
        <f>IF(AND($L1048=1,AND(对接源_01水果!$X1048="自备筐",N(对接源_01水果!$V1048)&lt;&gt;0)),1,0)</f>
        <v>0</v>
      </c>
      <c r="W1048" s="3">
        <f t="shared" si="286"/>
        <v>8</v>
      </c>
      <c r="X1048" s="3">
        <f>IF(AND($L1048=1,AND(对接源_01水果!$X1048="自备筐",N(对接源_01水果!$T1048)&lt;&gt;0)),1,0)</f>
        <v>0</v>
      </c>
      <c r="Y1048" s="3">
        <f t="shared" si="287"/>
        <v>0</v>
      </c>
      <c r="Z1048" s="3">
        <f>IF(AND($M1048=1,对接源_01水果!$D1048="原料入库"),1,0)</f>
        <v>0</v>
      </c>
      <c r="AA1048" s="3">
        <f t="shared" si="288"/>
        <v>24</v>
      </c>
      <c r="AB1048" s="3">
        <f>IF(AND($M1048=1,LEFT(对接源_01水果!$D1048,4)="原料出库"),1,0)</f>
        <v>0</v>
      </c>
      <c r="AC1048" s="3">
        <f t="shared" si="289"/>
        <v>0</v>
      </c>
      <c r="AD1048" s="3">
        <f>IF(AND($M1048=1,LEFT(对接源_01水果!$D1048,4)="成品出库"),1,0)</f>
        <v>0</v>
      </c>
      <c r="AE1048" s="3">
        <f t="shared" si="290"/>
        <v>0</v>
      </c>
      <c r="AF1048" s="3">
        <f>IF(AND($N1048=1,AND(LEFT(对接源_01水果!$D1048,4)="包装物料",N(对接源_01水果!$K1048)&lt;&gt;0)),1,0)</f>
        <v>0</v>
      </c>
      <c r="AG1048" s="3">
        <f t="shared" si="291"/>
        <v>0</v>
      </c>
      <c r="AH1048" s="3">
        <f>IF(AND($N1048=1,AND(对接源_01水果!$D1048="周转筐－销售出库",N(对接源_01水果!$K1048)&lt;&gt;0)),1,0)</f>
        <v>0</v>
      </c>
      <c r="AI1048" s="3">
        <f t="shared" si="292"/>
        <v>0</v>
      </c>
      <c r="AJ1048" s="7"/>
      <c r="AL1048" s="3">
        <f>IF(OR($AL$1="",对接源_01水果!$Y1048="",对接源_01水果!$Y1048&lt;&gt;$AL$1,对接源_01水果!$B1048="",N(对接源_01水果!$AJ1048)&lt;=0),0,IF(OR(N(对接源_01水果!$B1048)&lt;$AL$2,N(对接源_01水果!$B1048)&gt;$AL$3),0,1))</f>
        <v>0</v>
      </c>
      <c r="AM1048" s="3">
        <f t="shared" si="293"/>
        <v>1</v>
      </c>
      <c r="AN1048" s="3" t="str">
        <f>IF(对接源_01水果!$AC1048="","",对接源_01水果!$AC1048)</f>
        <v/>
      </c>
      <c r="AO1048" s="3">
        <f t="shared" si="294"/>
        <v>0</v>
      </c>
      <c r="AP1048" s="3">
        <f t="shared" si="295"/>
        <v>8</v>
      </c>
      <c r="AR1048">
        <f t="shared" si="296"/>
        <v>0</v>
      </c>
      <c r="AS1048">
        <f t="shared" si="297"/>
        <v>0</v>
      </c>
    </row>
    <row r="1049" ht="14.25" customHeight="1" spans="1:45">
      <c r="A1049" s="3" t="str">
        <f>IF(对接源_01水果!$C1049="","",对接源_01水果!$C1049)</f>
        <v/>
      </c>
      <c r="B1049" s="3">
        <f t="shared" si="281"/>
        <v>0</v>
      </c>
      <c r="C1049" s="3">
        <f t="shared" si="282"/>
        <v>18</v>
      </c>
      <c r="K1049" s="3">
        <f>IF(OR($K$1="",对接源_01水果!$C1049="",对接源_01水果!$C1049&lt;&gt;$K$1,对接源_01水果!$B1049=""),0,IF(OR(N(对接源_01水果!$B1049)&lt;$K$2,N(对接源_01水果!$B1049)&gt;$K$3),0,1))</f>
        <v>0</v>
      </c>
      <c r="L1049" s="3">
        <f>IF(OR($L$1="",对接源_01水果!$C1049="",对接源_01水果!$C1049&lt;&gt;$L$1,对接源_01水果!$B1049=""),0,IF(OR(N(对接源_01水果!$B1049)&lt;$L$2,N(对接源_01水果!$B1049)&gt;$L$3),0,1))</f>
        <v>0</v>
      </c>
      <c r="M1049" s="3">
        <f>IF(OR($M$1="",对接源_01水果!$C1049="",对接源_01水果!$C1049&lt;&gt;$M$1,对接源_01水果!$B1049=""),0,IF(OR(N(对接源_01水果!$B1049)&lt;$M$2,N(对接源_01水果!$B1049)&gt;$M$3),0,1))</f>
        <v>0</v>
      </c>
      <c r="N1049" s="3">
        <f>IF(OR($N$1="",对接源_01水果!$C1049="",对接源_01水果!$C1049&lt;&gt;$N$1,对接源_01水果!$B1049=""),0,IF(OR(N(对接源_01水果!$B1049)&lt;$N$2,N(对接源_01水果!$B1049)&gt;$N$3),0,1))</f>
        <v>0</v>
      </c>
      <c r="P1049" s="3">
        <f>IF(AND($K1049=1,AND(对接源_01水果!$X1049="公司筐",N(对接源_01水果!$T1049)&lt;&gt;0)),1,0)</f>
        <v>0</v>
      </c>
      <c r="Q1049" s="3">
        <f t="shared" si="283"/>
        <v>0</v>
      </c>
      <c r="R1049" s="3">
        <f>IF(AND($K1049=1,AND(对接源_01水果!$X1049="公司筐",N(对接源_01水果!$U1049)&lt;&gt;0)),1,0)</f>
        <v>0</v>
      </c>
      <c r="S1049" s="3">
        <f t="shared" si="284"/>
        <v>0</v>
      </c>
      <c r="T1049" s="3">
        <f>IF(AND($K1049=1,AND(对接源_01水果!$X1049="公司筐",N(对接源_01水果!$V1049)&lt;&gt;0)),1,0)</f>
        <v>0</v>
      </c>
      <c r="U1049" s="3">
        <f t="shared" si="285"/>
        <v>19</v>
      </c>
      <c r="V1049" s="3">
        <f>IF(AND($L1049=1,AND(对接源_01水果!$X1049="自备筐",N(对接源_01水果!$V1049)&lt;&gt;0)),1,0)</f>
        <v>0</v>
      </c>
      <c r="W1049" s="3">
        <f t="shared" si="286"/>
        <v>8</v>
      </c>
      <c r="X1049" s="3">
        <f>IF(AND($L1049=1,AND(对接源_01水果!$X1049="自备筐",N(对接源_01水果!$T1049)&lt;&gt;0)),1,0)</f>
        <v>0</v>
      </c>
      <c r="Y1049" s="3">
        <f t="shared" si="287"/>
        <v>0</v>
      </c>
      <c r="Z1049" s="3">
        <f>IF(AND($M1049=1,对接源_01水果!$D1049="原料入库"),1,0)</f>
        <v>0</v>
      </c>
      <c r="AA1049" s="3">
        <f t="shared" si="288"/>
        <v>24</v>
      </c>
      <c r="AB1049" s="3">
        <f>IF(AND($M1049=1,LEFT(对接源_01水果!$D1049,4)="原料出库"),1,0)</f>
        <v>0</v>
      </c>
      <c r="AC1049" s="3">
        <f t="shared" si="289"/>
        <v>0</v>
      </c>
      <c r="AD1049" s="3">
        <f>IF(AND($M1049=1,LEFT(对接源_01水果!$D1049,4)="成品出库"),1,0)</f>
        <v>0</v>
      </c>
      <c r="AE1049" s="3">
        <f t="shared" si="290"/>
        <v>0</v>
      </c>
      <c r="AF1049" s="3">
        <f>IF(AND($N1049=1,AND(LEFT(对接源_01水果!$D1049,4)="包装物料",N(对接源_01水果!$K1049)&lt;&gt;0)),1,0)</f>
        <v>0</v>
      </c>
      <c r="AG1049" s="3">
        <f t="shared" si="291"/>
        <v>0</v>
      </c>
      <c r="AH1049" s="3">
        <f>IF(AND($N1049=1,AND(对接源_01水果!$D1049="周转筐－销售出库",N(对接源_01水果!$K1049)&lt;&gt;0)),1,0)</f>
        <v>0</v>
      </c>
      <c r="AI1049" s="3">
        <f t="shared" si="292"/>
        <v>0</v>
      </c>
      <c r="AJ1049" s="7"/>
      <c r="AL1049" s="3">
        <f>IF(OR($AL$1="",对接源_01水果!$Y1049="",对接源_01水果!$Y1049&lt;&gt;$AL$1,对接源_01水果!$B1049="",N(对接源_01水果!$AJ1049)&lt;=0),0,IF(OR(N(对接源_01水果!$B1049)&lt;$AL$2,N(对接源_01水果!$B1049)&gt;$AL$3),0,1))</f>
        <v>0</v>
      </c>
      <c r="AM1049" s="3">
        <f t="shared" si="293"/>
        <v>1</v>
      </c>
      <c r="AN1049" s="3" t="str">
        <f>IF(对接源_01水果!$AC1049="","",对接源_01水果!$AC1049)</f>
        <v/>
      </c>
      <c r="AO1049" s="3">
        <f t="shared" si="294"/>
        <v>0</v>
      </c>
      <c r="AP1049" s="3">
        <f t="shared" si="295"/>
        <v>8</v>
      </c>
      <c r="AR1049">
        <f t="shared" si="296"/>
        <v>0</v>
      </c>
      <c r="AS1049">
        <f t="shared" si="297"/>
        <v>0</v>
      </c>
    </row>
    <row r="1050" ht="14.25" customHeight="1" spans="1:45">
      <c r="A1050" s="3" t="str">
        <f>IF(对接源_01水果!$C1050="","",对接源_01水果!$C1050)</f>
        <v/>
      </c>
      <c r="B1050" s="3">
        <f t="shared" si="281"/>
        <v>0</v>
      </c>
      <c r="C1050" s="3">
        <f t="shared" si="282"/>
        <v>18</v>
      </c>
      <c r="K1050" s="3">
        <f>IF(OR($K$1="",对接源_01水果!$C1050="",对接源_01水果!$C1050&lt;&gt;$K$1,对接源_01水果!$B1050=""),0,IF(OR(N(对接源_01水果!$B1050)&lt;$K$2,N(对接源_01水果!$B1050)&gt;$K$3),0,1))</f>
        <v>0</v>
      </c>
      <c r="L1050" s="3">
        <f>IF(OR($L$1="",对接源_01水果!$C1050="",对接源_01水果!$C1050&lt;&gt;$L$1,对接源_01水果!$B1050=""),0,IF(OR(N(对接源_01水果!$B1050)&lt;$L$2,N(对接源_01水果!$B1050)&gt;$L$3),0,1))</f>
        <v>0</v>
      </c>
      <c r="M1050" s="3">
        <f>IF(OR($M$1="",对接源_01水果!$C1050="",对接源_01水果!$C1050&lt;&gt;$M$1,对接源_01水果!$B1050=""),0,IF(OR(N(对接源_01水果!$B1050)&lt;$M$2,N(对接源_01水果!$B1050)&gt;$M$3),0,1))</f>
        <v>0</v>
      </c>
      <c r="N1050" s="3">
        <f>IF(OR($N$1="",对接源_01水果!$C1050="",对接源_01水果!$C1050&lt;&gt;$N$1,对接源_01水果!$B1050=""),0,IF(OR(N(对接源_01水果!$B1050)&lt;$N$2,N(对接源_01水果!$B1050)&gt;$N$3),0,1))</f>
        <v>0</v>
      </c>
      <c r="P1050" s="3">
        <f>IF(AND($K1050=1,AND(对接源_01水果!$X1050="公司筐",N(对接源_01水果!$T1050)&lt;&gt;0)),1,0)</f>
        <v>0</v>
      </c>
      <c r="Q1050" s="3">
        <f t="shared" si="283"/>
        <v>0</v>
      </c>
      <c r="R1050" s="3">
        <f>IF(AND($K1050=1,AND(对接源_01水果!$X1050="公司筐",N(对接源_01水果!$U1050)&lt;&gt;0)),1,0)</f>
        <v>0</v>
      </c>
      <c r="S1050" s="3">
        <f t="shared" si="284"/>
        <v>0</v>
      </c>
      <c r="T1050" s="3">
        <f>IF(AND($K1050=1,AND(对接源_01水果!$X1050="公司筐",N(对接源_01水果!$V1050)&lt;&gt;0)),1,0)</f>
        <v>0</v>
      </c>
      <c r="U1050" s="3">
        <f t="shared" si="285"/>
        <v>19</v>
      </c>
      <c r="V1050" s="3">
        <f>IF(AND($L1050=1,AND(对接源_01水果!$X1050="自备筐",N(对接源_01水果!$V1050)&lt;&gt;0)),1,0)</f>
        <v>0</v>
      </c>
      <c r="W1050" s="3">
        <f t="shared" si="286"/>
        <v>8</v>
      </c>
      <c r="X1050" s="3">
        <f>IF(AND($L1050=1,AND(对接源_01水果!$X1050="自备筐",N(对接源_01水果!$T1050)&lt;&gt;0)),1,0)</f>
        <v>0</v>
      </c>
      <c r="Y1050" s="3">
        <f t="shared" si="287"/>
        <v>0</v>
      </c>
      <c r="Z1050" s="3">
        <f>IF(AND($M1050=1,对接源_01水果!$D1050="原料入库"),1,0)</f>
        <v>0</v>
      </c>
      <c r="AA1050" s="3">
        <f t="shared" si="288"/>
        <v>24</v>
      </c>
      <c r="AB1050" s="3">
        <f>IF(AND($M1050=1,LEFT(对接源_01水果!$D1050,4)="原料出库"),1,0)</f>
        <v>0</v>
      </c>
      <c r="AC1050" s="3">
        <f t="shared" si="289"/>
        <v>0</v>
      </c>
      <c r="AD1050" s="3">
        <f>IF(AND($M1050=1,LEFT(对接源_01水果!$D1050,4)="成品出库"),1,0)</f>
        <v>0</v>
      </c>
      <c r="AE1050" s="3">
        <f t="shared" si="290"/>
        <v>0</v>
      </c>
      <c r="AF1050" s="3">
        <f>IF(AND($N1050=1,AND(LEFT(对接源_01水果!$D1050,4)="包装物料",N(对接源_01水果!$K1050)&lt;&gt;0)),1,0)</f>
        <v>0</v>
      </c>
      <c r="AG1050" s="3">
        <f t="shared" si="291"/>
        <v>0</v>
      </c>
      <c r="AH1050" s="3">
        <f>IF(AND($N1050=1,AND(对接源_01水果!$D1050="周转筐－销售出库",N(对接源_01水果!$K1050)&lt;&gt;0)),1,0)</f>
        <v>0</v>
      </c>
      <c r="AI1050" s="3">
        <f t="shared" si="292"/>
        <v>0</v>
      </c>
      <c r="AJ1050" s="7"/>
      <c r="AL1050" s="3">
        <f>IF(OR($AL$1="",对接源_01水果!$Y1050="",对接源_01水果!$Y1050&lt;&gt;$AL$1,对接源_01水果!$B1050="",N(对接源_01水果!$AJ1050)&lt;=0),0,IF(OR(N(对接源_01水果!$B1050)&lt;$AL$2,N(对接源_01水果!$B1050)&gt;$AL$3),0,1))</f>
        <v>0</v>
      </c>
      <c r="AM1050" s="3">
        <f t="shared" si="293"/>
        <v>1</v>
      </c>
      <c r="AN1050" s="3" t="str">
        <f>IF(对接源_01水果!$AC1050="","",对接源_01水果!$AC1050)</f>
        <v/>
      </c>
      <c r="AO1050" s="3">
        <f t="shared" si="294"/>
        <v>0</v>
      </c>
      <c r="AP1050" s="3">
        <f t="shared" si="295"/>
        <v>8</v>
      </c>
      <c r="AR1050">
        <f t="shared" si="296"/>
        <v>0</v>
      </c>
      <c r="AS1050">
        <f t="shared" si="297"/>
        <v>0</v>
      </c>
    </row>
    <row r="1051" ht="14.25" customHeight="1" spans="1:45">
      <c r="A1051" s="3" t="str">
        <f>IF(对接源_01水果!$C1051="","",对接源_01水果!$C1051)</f>
        <v/>
      </c>
      <c r="B1051" s="3">
        <f t="shared" si="281"/>
        <v>0</v>
      </c>
      <c r="C1051" s="3">
        <f t="shared" si="282"/>
        <v>18</v>
      </c>
      <c r="K1051" s="3">
        <f>IF(OR($K$1="",对接源_01水果!$C1051="",对接源_01水果!$C1051&lt;&gt;$K$1,对接源_01水果!$B1051=""),0,IF(OR(N(对接源_01水果!$B1051)&lt;$K$2,N(对接源_01水果!$B1051)&gt;$K$3),0,1))</f>
        <v>0</v>
      </c>
      <c r="L1051" s="3">
        <f>IF(OR($L$1="",对接源_01水果!$C1051="",对接源_01水果!$C1051&lt;&gt;$L$1,对接源_01水果!$B1051=""),0,IF(OR(N(对接源_01水果!$B1051)&lt;$L$2,N(对接源_01水果!$B1051)&gt;$L$3),0,1))</f>
        <v>0</v>
      </c>
      <c r="M1051" s="3">
        <f>IF(OR($M$1="",对接源_01水果!$C1051="",对接源_01水果!$C1051&lt;&gt;$M$1,对接源_01水果!$B1051=""),0,IF(OR(N(对接源_01水果!$B1051)&lt;$M$2,N(对接源_01水果!$B1051)&gt;$M$3),0,1))</f>
        <v>0</v>
      </c>
      <c r="N1051" s="3">
        <f>IF(OR($N$1="",对接源_01水果!$C1051="",对接源_01水果!$C1051&lt;&gt;$N$1,对接源_01水果!$B1051=""),0,IF(OR(N(对接源_01水果!$B1051)&lt;$N$2,N(对接源_01水果!$B1051)&gt;$N$3),0,1))</f>
        <v>0</v>
      </c>
      <c r="P1051" s="3">
        <f>IF(AND($K1051=1,AND(对接源_01水果!$X1051="公司筐",N(对接源_01水果!$T1051)&lt;&gt;0)),1,0)</f>
        <v>0</v>
      </c>
      <c r="Q1051" s="3">
        <f t="shared" si="283"/>
        <v>0</v>
      </c>
      <c r="R1051" s="3">
        <f>IF(AND($K1051=1,AND(对接源_01水果!$X1051="公司筐",N(对接源_01水果!$U1051)&lt;&gt;0)),1,0)</f>
        <v>0</v>
      </c>
      <c r="S1051" s="3">
        <f t="shared" si="284"/>
        <v>0</v>
      </c>
      <c r="T1051" s="3">
        <f>IF(AND($K1051=1,AND(对接源_01水果!$X1051="公司筐",N(对接源_01水果!$V1051)&lt;&gt;0)),1,0)</f>
        <v>0</v>
      </c>
      <c r="U1051" s="3">
        <f t="shared" si="285"/>
        <v>19</v>
      </c>
      <c r="V1051" s="3">
        <f>IF(AND($L1051=1,AND(对接源_01水果!$X1051="自备筐",N(对接源_01水果!$V1051)&lt;&gt;0)),1,0)</f>
        <v>0</v>
      </c>
      <c r="W1051" s="3">
        <f t="shared" si="286"/>
        <v>8</v>
      </c>
      <c r="X1051" s="3">
        <f>IF(AND($L1051=1,AND(对接源_01水果!$X1051="自备筐",N(对接源_01水果!$T1051)&lt;&gt;0)),1,0)</f>
        <v>0</v>
      </c>
      <c r="Y1051" s="3">
        <f t="shared" si="287"/>
        <v>0</v>
      </c>
      <c r="Z1051" s="3">
        <f>IF(AND($M1051=1,对接源_01水果!$D1051="原料入库"),1,0)</f>
        <v>0</v>
      </c>
      <c r="AA1051" s="3">
        <f t="shared" si="288"/>
        <v>24</v>
      </c>
      <c r="AB1051" s="3">
        <f>IF(AND($M1051=1,LEFT(对接源_01水果!$D1051,4)="原料出库"),1,0)</f>
        <v>0</v>
      </c>
      <c r="AC1051" s="3">
        <f t="shared" si="289"/>
        <v>0</v>
      </c>
      <c r="AD1051" s="3">
        <f>IF(AND($M1051=1,LEFT(对接源_01水果!$D1051,4)="成品出库"),1,0)</f>
        <v>0</v>
      </c>
      <c r="AE1051" s="3">
        <f t="shared" si="290"/>
        <v>0</v>
      </c>
      <c r="AF1051" s="3">
        <f>IF(AND($N1051=1,AND(LEFT(对接源_01水果!$D1051,4)="包装物料",N(对接源_01水果!$K1051)&lt;&gt;0)),1,0)</f>
        <v>0</v>
      </c>
      <c r="AG1051" s="3">
        <f t="shared" si="291"/>
        <v>0</v>
      </c>
      <c r="AH1051" s="3">
        <f>IF(AND($N1051=1,AND(对接源_01水果!$D1051="周转筐－销售出库",N(对接源_01水果!$K1051)&lt;&gt;0)),1,0)</f>
        <v>0</v>
      </c>
      <c r="AI1051" s="3">
        <f t="shared" si="292"/>
        <v>0</v>
      </c>
      <c r="AJ1051" s="7"/>
      <c r="AL1051" s="3">
        <f>IF(OR($AL$1="",对接源_01水果!$Y1051="",对接源_01水果!$Y1051&lt;&gt;$AL$1,对接源_01水果!$B1051="",N(对接源_01水果!$AJ1051)&lt;=0),0,IF(OR(N(对接源_01水果!$B1051)&lt;$AL$2,N(对接源_01水果!$B1051)&gt;$AL$3),0,1))</f>
        <v>0</v>
      </c>
      <c r="AM1051" s="3">
        <f t="shared" si="293"/>
        <v>1</v>
      </c>
      <c r="AN1051" s="3" t="str">
        <f>IF(对接源_01水果!$AC1051="","",对接源_01水果!$AC1051)</f>
        <v/>
      </c>
      <c r="AO1051" s="3">
        <f t="shared" si="294"/>
        <v>0</v>
      </c>
      <c r="AP1051" s="3">
        <f t="shared" si="295"/>
        <v>8</v>
      </c>
      <c r="AR1051">
        <f t="shared" si="296"/>
        <v>0</v>
      </c>
      <c r="AS1051">
        <f t="shared" si="297"/>
        <v>0</v>
      </c>
    </row>
    <row r="1052" ht="14.25" customHeight="1" spans="1:45">
      <c r="A1052" s="3" t="str">
        <f>IF(对接源_01水果!$C1052="","",对接源_01水果!$C1052)</f>
        <v/>
      </c>
      <c r="B1052" s="3">
        <f t="shared" si="281"/>
        <v>0</v>
      </c>
      <c r="C1052" s="3">
        <f t="shared" si="282"/>
        <v>18</v>
      </c>
      <c r="K1052" s="3">
        <f>IF(OR($K$1="",对接源_01水果!$C1052="",对接源_01水果!$C1052&lt;&gt;$K$1,对接源_01水果!$B1052=""),0,IF(OR(N(对接源_01水果!$B1052)&lt;$K$2,N(对接源_01水果!$B1052)&gt;$K$3),0,1))</f>
        <v>0</v>
      </c>
      <c r="L1052" s="3">
        <f>IF(OR($L$1="",对接源_01水果!$C1052="",对接源_01水果!$C1052&lt;&gt;$L$1,对接源_01水果!$B1052=""),0,IF(OR(N(对接源_01水果!$B1052)&lt;$L$2,N(对接源_01水果!$B1052)&gt;$L$3),0,1))</f>
        <v>0</v>
      </c>
      <c r="M1052" s="3">
        <f>IF(OR($M$1="",对接源_01水果!$C1052="",对接源_01水果!$C1052&lt;&gt;$M$1,对接源_01水果!$B1052=""),0,IF(OR(N(对接源_01水果!$B1052)&lt;$M$2,N(对接源_01水果!$B1052)&gt;$M$3),0,1))</f>
        <v>0</v>
      </c>
      <c r="N1052" s="3">
        <f>IF(OR($N$1="",对接源_01水果!$C1052="",对接源_01水果!$C1052&lt;&gt;$N$1,对接源_01水果!$B1052=""),0,IF(OR(N(对接源_01水果!$B1052)&lt;$N$2,N(对接源_01水果!$B1052)&gt;$N$3),0,1))</f>
        <v>0</v>
      </c>
      <c r="P1052" s="3">
        <f>IF(AND($K1052=1,AND(对接源_01水果!$X1052="公司筐",N(对接源_01水果!$T1052)&lt;&gt;0)),1,0)</f>
        <v>0</v>
      </c>
      <c r="Q1052" s="3">
        <f t="shared" si="283"/>
        <v>0</v>
      </c>
      <c r="R1052" s="3">
        <f>IF(AND($K1052=1,AND(对接源_01水果!$X1052="公司筐",N(对接源_01水果!$U1052)&lt;&gt;0)),1,0)</f>
        <v>0</v>
      </c>
      <c r="S1052" s="3">
        <f t="shared" si="284"/>
        <v>0</v>
      </c>
      <c r="T1052" s="3">
        <f>IF(AND($K1052=1,AND(对接源_01水果!$X1052="公司筐",N(对接源_01水果!$V1052)&lt;&gt;0)),1,0)</f>
        <v>0</v>
      </c>
      <c r="U1052" s="3">
        <f t="shared" si="285"/>
        <v>19</v>
      </c>
      <c r="V1052" s="3">
        <f>IF(AND($L1052=1,AND(对接源_01水果!$X1052="自备筐",N(对接源_01水果!$V1052)&lt;&gt;0)),1,0)</f>
        <v>0</v>
      </c>
      <c r="W1052" s="3">
        <f t="shared" si="286"/>
        <v>8</v>
      </c>
      <c r="X1052" s="3">
        <f>IF(AND($L1052=1,AND(对接源_01水果!$X1052="自备筐",N(对接源_01水果!$T1052)&lt;&gt;0)),1,0)</f>
        <v>0</v>
      </c>
      <c r="Y1052" s="3">
        <f t="shared" si="287"/>
        <v>0</v>
      </c>
      <c r="Z1052" s="3">
        <f>IF(AND($M1052=1,对接源_01水果!$D1052="原料入库"),1,0)</f>
        <v>0</v>
      </c>
      <c r="AA1052" s="3">
        <f t="shared" si="288"/>
        <v>24</v>
      </c>
      <c r="AB1052" s="3">
        <f>IF(AND($M1052=1,LEFT(对接源_01水果!$D1052,4)="原料出库"),1,0)</f>
        <v>0</v>
      </c>
      <c r="AC1052" s="3">
        <f t="shared" si="289"/>
        <v>0</v>
      </c>
      <c r="AD1052" s="3">
        <f>IF(AND($M1052=1,LEFT(对接源_01水果!$D1052,4)="成品出库"),1,0)</f>
        <v>0</v>
      </c>
      <c r="AE1052" s="3">
        <f t="shared" si="290"/>
        <v>0</v>
      </c>
      <c r="AF1052" s="3">
        <f>IF(AND($N1052=1,AND(LEFT(对接源_01水果!$D1052,4)="包装物料",N(对接源_01水果!$K1052)&lt;&gt;0)),1,0)</f>
        <v>0</v>
      </c>
      <c r="AG1052" s="3">
        <f t="shared" si="291"/>
        <v>0</v>
      </c>
      <c r="AH1052" s="3">
        <f>IF(AND($N1052=1,AND(对接源_01水果!$D1052="周转筐－销售出库",N(对接源_01水果!$K1052)&lt;&gt;0)),1,0)</f>
        <v>0</v>
      </c>
      <c r="AI1052" s="3">
        <f t="shared" si="292"/>
        <v>0</v>
      </c>
      <c r="AJ1052" s="7"/>
      <c r="AL1052" s="3">
        <f>IF(OR($AL$1="",对接源_01水果!$Y1052="",对接源_01水果!$Y1052&lt;&gt;$AL$1,对接源_01水果!$B1052="",N(对接源_01水果!$AJ1052)&lt;=0),0,IF(OR(N(对接源_01水果!$B1052)&lt;$AL$2,N(对接源_01水果!$B1052)&gt;$AL$3),0,1))</f>
        <v>0</v>
      </c>
      <c r="AM1052" s="3">
        <f t="shared" si="293"/>
        <v>1</v>
      </c>
      <c r="AN1052" s="3" t="str">
        <f>IF(对接源_01水果!$AC1052="","",对接源_01水果!$AC1052)</f>
        <v/>
      </c>
      <c r="AO1052" s="3">
        <f t="shared" si="294"/>
        <v>0</v>
      </c>
      <c r="AP1052" s="3">
        <f t="shared" si="295"/>
        <v>8</v>
      </c>
      <c r="AR1052">
        <f t="shared" si="296"/>
        <v>0</v>
      </c>
      <c r="AS1052">
        <f t="shared" si="297"/>
        <v>0</v>
      </c>
    </row>
    <row r="1053" ht="14.25" customHeight="1" spans="1:45">
      <c r="A1053" s="3" t="str">
        <f>IF(对接源_01水果!$C1053="","",对接源_01水果!$C1053)</f>
        <v/>
      </c>
      <c r="B1053" s="3">
        <f t="shared" si="281"/>
        <v>0</v>
      </c>
      <c r="C1053" s="3">
        <f t="shared" si="282"/>
        <v>18</v>
      </c>
      <c r="K1053" s="3">
        <f>IF(OR($K$1="",对接源_01水果!$C1053="",对接源_01水果!$C1053&lt;&gt;$K$1,对接源_01水果!$B1053=""),0,IF(OR(N(对接源_01水果!$B1053)&lt;$K$2,N(对接源_01水果!$B1053)&gt;$K$3),0,1))</f>
        <v>0</v>
      </c>
      <c r="L1053" s="3">
        <f>IF(OR($L$1="",对接源_01水果!$C1053="",对接源_01水果!$C1053&lt;&gt;$L$1,对接源_01水果!$B1053=""),0,IF(OR(N(对接源_01水果!$B1053)&lt;$L$2,N(对接源_01水果!$B1053)&gt;$L$3),0,1))</f>
        <v>0</v>
      </c>
      <c r="M1053" s="3">
        <f>IF(OR($M$1="",对接源_01水果!$C1053="",对接源_01水果!$C1053&lt;&gt;$M$1,对接源_01水果!$B1053=""),0,IF(OR(N(对接源_01水果!$B1053)&lt;$M$2,N(对接源_01水果!$B1053)&gt;$M$3),0,1))</f>
        <v>0</v>
      </c>
      <c r="N1053" s="3">
        <f>IF(OR($N$1="",对接源_01水果!$C1053="",对接源_01水果!$C1053&lt;&gt;$N$1,对接源_01水果!$B1053=""),0,IF(OR(N(对接源_01水果!$B1053)&lt;$N$2,N(对接源_01水果!$B1053)&gt;$N$3),0,1))</f>
        <v>0</v>
      </c>
      <c r="P1053" s="3">
        <f>IF(AND($K1053=1,AND(对接源_01水果!$X1053="公司筐",N(对接源_01水果!$T1053)&lt;&gt;0)),1,0)</f>
        <v>0</v>
      </c>
      <c r="Q1053" s="3">
        <f t="shared" si="283"/>
        <v>0</v>
      </c>
      <c r="R1053" s="3">
        <f>IF(AND($K1053=1,AND(对接源_01水果!$X1053="公司筐",N(对接源_01水果!$U1053)&lt;&gt;0)),1,0)</f>
        <v>0</v>
      </c>
      <c r="S1053" s="3">
        <f t="shared" si="284"/>
        <v>0</v>
      </c>
      <c r="T1053" s="3">
        <f>IF(AND($K1053=1,AND(对接源_01水果!$X1053="公司筐",N(对接源_01水果!$V1053)&lt;&gt;0)),1,0)</f>
        <v>0</v>
      </c>
      <c r="U1053" s="3">
        <f t="shared" si="285"/>
        <v>19</v>
      </c>
      <c r="V1053" s="3">
        <f>IF(AND($L1053=1,AND(对接源_01水果!$X1053="自备筐",N(对接源_01水果!$V1053)&lt;&gt;0)),1,0)</f>
        <v>0</v>
      </c>
      <c r="W1053" s="3">
        <f t="shared" si="286"/>
        <v>8</v>
      </c>
      <c r="X1053" s="3">
        <f>IF(AND($L1053=1,AND(对接源_01水果!$X1053="自备筐",N(对接源_01水果!$T1053)&lt;&gt;0)),1,0)</f>
        <v>0</v>
      </c>
      <c r="Y1053" s="3">
        <f t="shared" si="287"/>
        <v>0</v>
      </c>
      <c r="Z1053" s="3">
        <f>IF(AND($M1053=1,对接源_01水果!$D1053="原料入库"),1,0)</f>
        <v>0</v>
      </c>
      <c r="AA1053" s="3">
        <f t="shared" si="288"/>
        <v>24</v>
      </c>
      <c r="AB1053" s="3">
        <f>IF(AND($M1053=1,LEFT(对接源_01水果!$D1053,4)="原料出库"),1,0)</f>
        <v>0</v>
      </c>
      <c r="AC1053" s="3">
        <f t="shared" si="289"/>
        <v>0</v>
      </c>
      <c r="AD1053" s="3">
        <f>IF(AND($M1053=1,LEFT(对接源_01水果!$D1053,4)="成品出库"),1,0)</f>
        <v>0</v>
      </c>
      <c r="AE1053" s="3">
        <f t="shared" si="290"/>
        <v>0</v>
      </c>
      <c r="AF1053" s="3">
        <f>IF(AND($N1053=1,AND(LEFT(对接源_01水果!$D1053,4)="包装物料",N(对接源_01水果!$K1053)&lt;&gt;0)),1,0)</f>
        <v>0</v>
      </c>
      <c r="AG1053" s="3">
        <f t="shared" si="291"/>
        <v>0</v>
      </c>
      <c r="AH1053" s="3">
        <f>IF(AND($N1053=1,AND(对接源_01水果!$D1053="周转筐－销售出库",N(对接源_01水果!$K1053)&lt;&gt;0)),1,0)</f>
        <v>0</v>
      </c>
      <c r="AI1053" s="3">
        <f t="shared" si="292"/>
        <v>0</v>
      </c>
      <c r="AJ1053" s="7"/>
      <c r="AL1053" s="3">
        <f>IF(OR($AL$1="",对接源_01水果!$Y1053="",对接源_01水果!$Y1053&lt;&gt;$AL$1,对接源_01水果!$B1053="",N(对接源_01水果!$AJ1053)&lt;=0),0,IF(OR(N(对接源_01水果!$B1053)&lt;$AL$2,N(对接源_01水果!$B1053)&gt;$AL$3),0,1))</f>
        <v>0</v>
      </c>
      <c r="AM1053" s="3">
        <f t="shared" si="293"/>
        <v>1</v>
      </c>
      <c r="AN1053" s="3" t="str">
        <f>IF(对接源_01水果!$AC1053="","",对接源_01水果!$AC1053)</f>
        <v/>
      </c>
      <c r="AO1053" s="3">
        <f t="shared" si="294"/>
        <v>0</v>
      </c>
      <c r="AP1053" s="3">
        <f t="shared" si="295"/>
        <v>8</v>
      </c>
      <c r="AR1053">
        <f t="shared" si="296"/>
        <v>0</v>
      </c>
      <c r="AS1053">
        <f t="shared" si="297"/>
        <v>0</v>
      </c>
    </row>
    <row r="1054" ht="14.25" customHeight="1" spans="1:45">
      <c r="A1054" s="3" t="str">
        <f>IF(对接源_01水果!$C1054="","",对接源_01水果!$C1054)</f>
        <v/>
      </c>
      <c r="B1054" s="3">
        <f t="shared" si="281"/>
        <v>0</v>
      </c>
      <c r="C1054" s="3">
        <f t="shared" si="282"/>
        <v>18</v>
      </c>
      <c r="K1054" s="3">
        <f>IF(OR($K$1="",对接源_01水果!$C1054="",对接源_01水果!$C1054&lt;&gt;$K$1,对接源_01水果!$B1054=""),0,IF(OR(N(对接源_01水果!$B1054)&lt;$K$2,N(对接源_01水果!$B1054)&gt;$K$3),0,1))</f>
        <v>0</v>
      </c>
      <c r="L1054" s="3">
        <f>IF(OR($L$1="",对接源_01水果!$C1054="",对接源_01水果!$C1054&lt;&gt;$L$1,对接源_01水果!$B1054=""),0,IF(OR(N(对接源_01水果!$B1054)&lt;$L$2,N(对接源_01水果!$B1054)&gt;$L$3),0,1))</f>
        <v>0</v>
      </c>
      <c r="M1054" s="3">
        <f>IF(OR($M$1="",对接源_01水果!$C1054="",对接源_01水果!$C1054&lt;&gt;$M$1,对接源_01水果!$B1054=""),0,IF(OR(N(对接源_01水果!$B1054)&lt;$M$2,N(对接源_01水果!$B1054)&gt;$M$3),0,1))</f>
        <v>0</v>
      </c>
      <c r="N1054" s="3">
        <f>IF(OR($N$1="",对接源_01水果!$C1054="",对接源_01水果!$C1054&lt;&gt;$N$1,对接源_01水果!$B1054=""),0,IF(OR(N(对接源_01水果!$B1054)&lt;$N$2,N(对接源_01水果!$B1054)&gt;$N$3),0,1))</f>
        <v>0</v>
      </c>
      <c r="P1054" s="3">
        <f>IF(AND($K1054=1,AND(对接源_01水果!$X1054="公司筐",N(对接源_01水果!$T1054)&lt;&gt;0)),1,0)</f>
        <v>0</v>
      </c>
      <c r="Q1054" s="3">
        <f t="shared" si="283"/>
        <v>0</v>
      </c>
      <c r="R1054" s="3">
        <f>IF(AND($K1054=1,AND(对接源_01水果!$X1054="公司筐",N(对接源_01水果!$U1054)&lt;&gt;0)),1,0)</f>
        <v>0</v>
      </c>
      <c r="S1054" s="3">
        <f t="shared" si="284"/>
        <v>0</v>
      </c>
      <c r="T1054" s="3">
        <f>IF(AND($K1054=1,AND(对接源_01水果!$X1054="公司筐",N(对接源_01水果!$V1054)&lt;&gt;0)),1,0)</f>
        <v>0</v>
      </c>
      <c r="U1054" s="3">
        <f t="shared" si="285"/>
        <v>19</v>
      </c>
      <c r="V1054" s="3">
        <f>IF(AND($L1054=1,AND(对接源_01水果!$X1054="自备筐",N(对接源_01水果!$V1054)&lt;&gt;0)),1,0)</f>
        <v>0</v>
      </c>
      <c r="W1054" s="3">
        <f t="shared" si="286"/>
        <v>8</v>
      </c>
      <c r="X1054" s="3">
        <f>IF(AND($L1054=1,AND(对接源_01水果!$X1054="自备筐",N(对接源_01水果!$T1054)&lt;&gt;0)),1,0)</f>
        <v>0</v>
      </c>
      <c r="Y1054" s="3">
        <f t="shared" si="287"/>
        <v>0</v>
      </c>
      <c r="Z1054" s="3">
        <f>IF(AND($M1054=1,对接源_01水果!$D1054="原料入库"),1,0)</f>
        <v>0</v>
      </c>
      <c r="AA1054" s="3">
        <f t="shared" si="288"/>
        <v>24</v>
      </c>
      <c r="AB1054" s="3">
        <f>IF(AND($M1054=1,LEFT(对接源_01水果!$D1054,4)="原料出库"),1,0)</f>
        <v>0</v>
      </c>
      <c r="AC1054" s="3">
        <f t="shared" si="289"/>
        <v>0</v>
      </c>
      <c r="AD1054" s="3">
        <f>IF(AND($M1054=1,LEFT(对接源_01水果!$D1054,4)="成品出库"),1,0)</f>
        <v>0</v>
      </c>
      <c r="AE1054" s="3">
        <f t="shared" si="290"/>
        <v>0</v>
      </c>
      <c r="AF1054" s="3">
        <f>IF(AND($N1054=1,AND(LEFT(对接源_01水果!$D1054,4)="包装物料",N(对接源_01水果!$K1054)&lt;&gt;0)),1,0)</f>
        <v>0</v>
      </c>
      <c r="AG1054" s="3">
        <f t="shared" si="291"/>
        <v>0</v>
      </c>
      <c r="AH1054" s="3">
        <f>IF(AND($N1054=1,AND(对接源_01水果!$D1054="周转筐－销售出库",N(对接源_01水果!$K1054)&lt;&gt;0)),1,0)</f>
        <v>0</v>
      </c>
      <c r="AI1054" s="3">
        <f t="shared" si="292"/>
        <v>0</v>
      </c>
      <c r="AJ1054" s="7"/>
      <c r="AL1054" s="3">
        <f>IF(OR($AL$1="",对接源_01水果!$Y1054="",对接源_01水果!$Y1054&lt;&gt;$AL$1,对接源_01水果!$B1054="",N(对接源_01水果!$AJ1054)&lt;=0),0,IF(OR(N(对接源_01水果!$B1054)&lt;$AL$2,N(对接源_01水果!$B1054)&gt;$AL$3),0,1))</f>
        <v>0</v>
      </c>
      <c r="AM1054" s="3">
        <f t="shared" si="293"/>
        <v>1</v>
      </c>
      <c r="AN1054" s="3" t="str">
        <f>IF(对接源_01水果!$AC1054="","",对接源_01水果!$AC1054)</f>
        <v/>
      </c>
      <c r="AO1054" s="3">
        <f t="shared" si="294"/>
        <v>0</v>
      </c>
      <c r="AP1054" s="3">
        <f t="shared" si="295"/>
        <v>8</v>
      </c>
      <c r="AR1054">
        <f t="shared" si="296"/>
        <v>0</v>
      </c>
      <c r="AS1054">
        <f t="shared" si="297"/>
        <v>0</v>
      </c>
    </row>
    <row r="1055" ht="14.25" customHeight="1" spans="1:45">
      <c r="A1055" s="3" t="str">
        <f>IF(对接源_01水果!$C1055="","",对接源_01水果!$C1055)</f>
        <v/>
      </c>
      <c r="B1055" s="3">
        <f t="shared" si="281"/>
        <v>0</v>
      </c>
      <c r="C1055" s="3">
        <f t="shared" si="282"/>
        <v>18</v>
      </c>
      <c r="K1055" s="3">
        <f>IF(OR($K$1="",对接源_01水果!$C1055="",对接源_01水果!$C1055&lt;&gt;$K$1,对接源_01水果!$B1055=""),0,IF(OR(N(对接源_01水果!$B1055)&lt;$K$2,N(对接源_01水果!$B1055)&gt;$K$3),0,1))</f>
        <v>0</v>
      </c>
      <c r="L1055" s="3">
        <f>IF(OR($L$1="",对接源_01水果!$C1055="",对接源_01水果!$C1055&lt;&gt;$L$1,对接源_01水果!$B1055=""),0,IF(OR(N(对接源_01水果!$B1055)&lt;$L$2,N(对接源_01水果!$B1055)&gt;$L$3),0,1))</f>
        <v>0</v>
      </c>
      <c r="M1055" s="3">
        <f>IF(OR($M$1="",对接源_01水果!$C1055="",对接源_01水果!$C1055&lt;&gt;$M$1,对接源_01水果!$B1055=""),0,IF(OR(N(对接源_01水果!$B1055)&lt;$M$2,N(对接源_01水果!$B1055)&gt;$M$3),0,1))</f>
        <v>0</v>
      </c>
      <c r="N1055" s="3">
        <f>IF(OR($N$1="",对接源_01水果!$C1055="",对接源_01水果!$C1055&lt;&gt;$N$1,对接源_01水果!$B1055=""),0,IF(OR(N(对接源_01水果!$B1055)&lt;$N$2,N(对接源_01水果!$B1055)&gt;$N$3),0,1))</f>
        <v>0</v>
      </c>
      <c r="P1055" s="3">
        <f>IF(AND($K1055=1,AND(对接源_01水果!$X1055="公司筐",N(对接源_01水果!$T1055)&lt;&gt;0)),1,0)</f>
        <v>0</v>
      </c>
      <c r="Q1055" s="3">
        <f t="shared" si="283"/>
        <v>0</v>
      </c>
      <c r="R1055" s="3">
        <f>IF(AND($K1055=1,AND(对接源_01水果!$X1055="公司筐",N(对接源_01水果!$U1055)&lt;&gt;0)),1,0)</f>
        <v>0</v>
      </c>
      <c r="S1055" s="3">
        <f t="shared" si="284"/>
        <v>0</v>
      </c>
      <c r="T1055" s="3">
        <f>IF(AND($K1055=1,AND(对接源_01水果!$X1055="公司筐",N(对接源_01水果!$V1055)&lt;&gt;0)),1,0)</f>
        <v>0</v>
      </c>
      <c r="U1055" s="3">
        <f t="shared" si="285"/>
        <v>19</v>
      </c>
      <c r="V1055" s="3">
        <f>IF(AND($L1055=1,AND(对接源_01水果!$X1055="自备筐",N(对接源_01水果!$V1055)&lt;&gt;0)),1,0)</f>
        <v>0</v>
      </c>
      <c r="W1055" s="3">
        <f t="shared" si="286"/>
        <v>8</v>
      </c>
      <c r="X1055" s="3">
        <f>IF(AND($L1055=1,AND(对接源_01水果!$X1055="自备筐",N(对接源_01水果!$T1055)&lt;&gt;0)),1,0)</f>
        <v>0</v>
      </c>
      <c r="Y1055" s="3">
        <f t="shared" si="287"/>
        <v>0</v>
      </c>
      <c r="Z1055" s="3">
        <f>IF(AND($M1055=1,对接源_01水果!$D1055="原料入库"),1,0)</f>
        <v>0</v>
      </c>
      <c r="AA1055" s="3">
        <f t="shared" si="288"/>
        <v>24</v>
      </c>
      <c r="AB1055" s="3">
        <f>IF(AND($M1055=1,LEFT(对接源_01水果!$D1055,4)="原料出库"),1,0)</f>
        <v>0</v>
      </c>
      <c r="AC1055" s="3">
        <f t="shared" si="289"/>
        <v>0</v>
      </c>
      <c r="AD1055" s="3">
        <f>IF(AND($M1055=1,LEFT(对接源_01水果!$D1055,4)="成品出库"),1,0)</f>
        <v>0</v>
      </c>
      <c r="AE1055" s="3">
        <f t="shared" si="290"/>
        <v>0</v>
      </c>
      <c r="AF1055" s="3">
        <f>IF(AND($N1055=1,AND(LEFT(对接源_01水果!$D1055,4)="包装物料",N(对接源_01水果!$K1055)&lt;&gt;0)),1,0)</f>
        <v>0</v>
      </c>
      <c r="AG1055" s="3">
        <f t="shared" si="291"/>
        <v>0</v>
      </c>
      <c r="AH1055" s="3">
        <f>IF(AND($N1055=1,AND(对接源_01水果!$D1055="周转筐－销售出库",N(对接源_01水果!$K1055)&lt;&gt;0)),1,0)</f>
        <v>0</v>
      </c>
      <c r="AI1055" s="3">
        <f t="shared" si="292"/>
        <v>0</v>
      </c>
      <c r="AJ1055" s="7"/>
      <c r="AL1055" s="3">
        <f>IF(OR($AL$1="",对接源_01水果!$Y1055="",对接源_01水果!$Y1055&lt;&gt;$AL$1,对接源_01水果!$B1055="",N(对接源_01水果!$AJ1055)&lt;=0),0,IF(OR(N(对接源_01水果!$B1055)&lt;$AL$2,N(对接源_01水果!$B1055)&gt;$AL$3),0,1))</f>
        <v>0</v>
      </c>
      <c r="AM1055" s="3">
        <f t="shared" si="293"/>
        <v>1</v>
      </c>
      <c r="AN1055" s="3" t="str">
        <f>IF(对接源_01水果!$AC1055="","",对接源_01水果!$AC1055)</f>
        <v/>
      </c>
      <c r="AO1055" s="3">
        <f t="shared" si="294"/>
        <v>0</v>
      </c>
      <c r="AP1055" s="3">
        <f t="shared" si="295"/>
        <v>8</v>
      </c>
      <c r="AR1055">
        <f t="shared" si="296"/>
        <v>0</v>
      </c>
      <c r="AS1055">
        <f t="shared" si="297"/>
        <v>0</v>
      </c>
    </row>
    <row r="1056" ht="14.25" customHeight="1" spans="1:45">
      <c r="A1056" s="3" t="str">
        <f>IF(对接源_01水果!$C1056="","",对接源_01水果!$C1056)</f>
        <v/>
      </c>
      <c r="B1056" s="3">
        <f t="shared" si="281"/>
        <v>0</v>
      </c>
      <c r="C1056" s="3">
        <f t="shared" si="282"/>
        <v>18</v>
      </c>
      <c r="K1056" s="3">
        <f>IF(OR($K$1="",对接源_01水果!$C1056="",对接源_01水果!$C1056&lt;&gt;$K$1,对接源_01水果!$B1056=""),0,IF(OR(N(对接源_01水果!$B1056)&lt;$K$2,N(对接源_01水果!$B1056)&gt;$K$3),0,1))</f>
        <v>0</v>
      </c>
      <c r="L1056" s="3">
        <f>IF(OR($L$1="",对接源_01水果!$C1056="",对接源_01水果!$C1056&lt;&gt;$L$1,对接源_01水果!$B1056=""),0,IF(OR(N(对接源_01水果!$B1056)&lt;$L$2,N(对接源_01水果!$B1056)&gt;$L$3),0,1))</f>
        <v>0</v>
      </c>
      <c r="M1056" s="3">
        <f>IF(OR($M$1="",对接源_01水果!$C1056="",对接源_01水果!$C1056&lt;&gt;$M$1,对接源_01水果!$B1056=""),0,IF(OR(N(对接源_01水果!$B1056)&lt;$M$2,N(对接源_01水果!$B1056)&gt;$M$3),0,1))</f>
        <v>0</v>
      </c>
      <c r="N1056" s="3">
        <f>IF(OR($N$1="",对接源_01水果!$C1056="",对接源_01水果!$C1056&lt;&gt;$N$1,对接源_01水果!$B1056=""),0,IF(OR(N(对接源_01水果!$B1056)&lt;$N$2,N(对接源_01水果!$B1056)&gt;$N$3),0,1))</f>
        <v>0</v>
      </c>
      <c r="P1056" s="3">
        <f>IF(AND($K1056=1,AND(对接源_01水果!$X1056="公司筐",N(对接源_01水果!$T1056)&lt;&gt;0)),1,0)</f>
        <v>0</v>
      </c>
      <c r="Q1056" s="3">
        <f t="shared" si="283"/>
        <v>0</v>
      </c>
      <c r="R1056" s="3">
        <f>IF(AND($K1056=1,AND(对接源_01水果!$X1056="公司筐",N(对接源_01水果!$U1056)&lt;&gt;0)),1,0)</f>
        <v>0</v>
      </c>
      <c r="S1056" s="3">
        <f t="shared" si="284"/>
        <v>0</v>
      </c>
      <c r="T1056" s="3">
        <f>IF(AND($K1056=1,AND(对接源_01水果!$X1056="公司筐",N(对接源_01水果!$V1056)&lt;&gt;0)),1,0)</f>
        <v>0</v>
      </c>
      <c r="U1056" s="3">
        <f t="shared" si="285"/>
        <v>19</v>
      </c>
      <c r="V1056" s="3">
        <f>IF(AND($L1056=1,AND(对接源_01水果!$X1056="自备筐",N(对接源_01水果!$V1056)&lt;&gt;0)),1,0)</f>
        <v>0</v>
      </c>
      <c r="W1056" s="3">
        <f t="shared" si="286"/>
        <v>8</v>
      </c>
      <c r="X1056" s="3">
        <f>IF(AND($L1056=1,AND(对接源_01水果!$X1056="自备筐",N(对接源_01水果!$T1056)&lt;&gt;0)),1,0)</f>
        <v>0</v>
      </c>
      <c r="Y1056" s="3">
        <f t="shared" si="287"/>
        <v>0</v>
      </c>
      <c r="Z1056" s="3">
        <f>IF(AND($M1056=1,对接源_01水果!$D1056="原料入库"),1,0)</f>
        <v>0</v>
      </c>
      <c r="AA1056" s="3">
        <f t="shared" si="288"/>
        <v>24</v>
      </c>
      <c r="AB1056" s="3">
        <f>IF(AND($M1056=1,LEFT(对接源_01水果!$D1056,4)="原料出库"),1,0)</f>
        <v>0</v>
      </c>
      <c r="AC1056" s="3">
        <f t="shared" si="289"/>
        <v>0</v>
      </c>
      <c r="AD1056" s="3">
        <f>IF(AND($M1056=1,LEFT(对接源_01水果!$D1056,4)="成品出库"),1,0)</f>
        <v>0</v>
      </c>
      <c r="AE1056" s="3">
        <f t="shared" si="290"/>
        <v>0</v>
      </c>
      <c r="AF1056" s="3">
        <f>IF(AND($N1056=1,AND(LEFT(对接源_01水果!$D1056,4)="包装物料",N(对接源_01水果!$K1056)&lt;&gt;0)),1,0)</f>
        <v>0</v>
      </c>
      <c r="AG1056" s="3">
        <f t="shared" si="291"/>
        <v>0</v>
      </c>
      <c r="AH1056" s="3">
        <f>IF(AND($N1056=1,AND(对接源_01水果!$D1056="周转筐－销售出库",N(对接源_01水果!$K1056)&lt;&gt;0)),1,0)</f>
        <v>0</v>
      </c>
      <c r="AI1056" s="3">
        <f t="shared" si="292"/>
        <v>0</v>
      </c>
      <c r="AJ1056" s="7"/>
      <c r="AL1056" s="3">
        <f>IF(OR($AL$1="",对接源_01水果!$Y1056="",对接源_01水果!$Y1056&lt;&gt;$AL$1,对接源_01水果!$B1056="",N(对接源_01水果!$AJ1056)&lt;=0),0,IF(OR(N(对接源_01水果!$B1056)&lt;$AL$2,N(对接源_01水果!$B1056)&gt;$AL$3),0,1))</f>
        <v>0</v>
      </c>
      <c r="AM1056" s="3">
        <f t="shared" si="293"/>
        <v>1</v>
      </c>
      <c r="AN1056" s="3" t="str">
        <f>IF(对接源_01水果!$AC1056="","",对接源_01水果!$AC1056)</f>
        <v/>
      </c>
      <c r="AO1056" s="3">
        <f t="shared" si="294"/>
        <v>0</v>
      </c>
      <c r="AP1056" s="3">
        <f t="shared" si="295"/>
        <v>8</v>
      </c>
      <c r="AR1056">
        <f t="shared" si="296"/>
        <v>0</v>
      </c>
      <c r="AS1056">
        <f t="shared" si="297"/>
        <v>0</v>
      </c>
    </row>
    <row r="1057" ht="14.25" customHeight="1" spans="1:45">
      <c r="A1057" s="3" t="str">
        <f>IF(对接源_01水果!$C1057="","",对接源_01水果!$C1057)</f>
        <v/>
      </c>
      <c r="B1057" s="3">
        <f t="shared" si="281"/>
        <v>0</v>
      </c>
      <c r="C1057" s="3">
        <f t="shared" si="282"/>
        <v>18</v>
      </c>
      <c r="K1057" s="3">
        <f>IF(OR($K$1="",对接源_01水果!$C1057="",对接源_01水果!$C1057&lt;&gt;$K$1,对接源_01水果!$B1057=""),0,IF(OR(N(对接源_01水果!$B1057)&lt;$K$2,N(对接源_01水果!$B1057)&gt;$K$3),0,1))</f>
        <v>0</v>
      </c>
      <c r="L1057" s="3">
        <f>IF(OR($L$1="",对接源_01水果!$C1057="",对接源_01水果!$C1057&lt;&gt;$L$1,对接源_01水果!$B1057=""),0,IF(OR(N(对接源_01水果!$B1057)&lt;$L$2,N(对接源_01水果!$B1057)&gt;$L$3),0,1))</f>
        <v>0</v>
      </c>
      <c r="M1057" s="3">
        <f>IF(OR($M$1="",对接源_01水果!$C1057="",对接源_01水果!$C1057&lt;&gt;$M$1,对接源_01水果!$B1057=""),0,IF(OR(N(对接源_01水果!$B1057)&lt;$M$2,N(对接源_01水果!$B1057)&gt;$M$3),0,1))</f>
        <v>0</v>
      </c>
      <c r="N1057" s="3">
        <f>IF(OR($N$1="",对接源_01水果!$C1057="",对接源_01水果!$C1057&lt;&gt;$N$1,对接源_01水果!$B1057=""),0,IF(OR(N(对接源_01水果!$B1057)&lt;$N$2,N(对接源_01水果!$B1057)&gt;$N$3),0,1))</f>
        <v>0</v>
      </c>
      <c r="P1057" s="3">
        <f>IF(AND($K1057=1,AND(对接源_01水果!$X1057="公司筐",N(对接源_01水果!$T1057)&lt;&gt;0)),1,0)</f>
        <v>0</v>
      </c>
      <c r="Q1057" s="3">
        <f t="shared" si="283"/>
        <v>0</v>
      </c>
      <c r="R1057" s="3">
        <f>IF(AND($K1057=1,AND(对接源_01水果!$X1057="公司筐",N(对接源_01水果!$U1057)&lt;&gt;0)),1,0)</f>
        <v>0</v>
      </c>
      <c r="S1057" s="3">
        <f t="shared" si="284"/>
        <v>0</v>
      </c>
      <c r="T1057" s="3">
        <f>IF(AND($K1057=1,AND(对接源_01水果!$X1057="公司筐",N(对接源_01水果!$V1057)&lt;&gt;0)),1,0)</f>
        <v>0</v>
      </c>
      <c r="U1057" s="3">
        <f t="shared" si="285"/>
        <v>19</v>
      </c>
      <c r="V1057" s="3">
        <f>IF(AND($L1057=1,AND(对接源_01水果!$X1057="自备筐",N(对接源_01水果!$V1057)&lt;&gt;0)),1,0)</f>
        <v>0</v>
      </c>
      <c r="W1057" s="3">
        <f t="shared" si="286"/>
        <v>8</v>
      </c>
      <c r="X1057" s="3">
        <f>IF(AND($L1057=1,AND(对接源_01水果!$X1057="自备筐",N(对接源_01水果!$T1057)&lt;&gt;0)),1,0)</f>
        <v>0</v>
      </c>
      <c r="Y1057" s="3">
        <f t="shared" si="287"/>
        <v>0</v>
      </c>
      <c r="Z1057" s="3">
        <f>IF(AND($M1057=1,对接源_01水果!$D1057="原料入库"),1,0)</f>
        <v>0</v>
      </c>
      <c r="AA1057" s="3">
        <f t="shared" si="288"/>
        <v>24</v>
      </c>
      <c r="AB1057" s="3">
        <f>IF(AND($M1057=1,LEFT(对接源_01水果!$D1057,4)="原料出库"),1,0)</f>
        <v>0</v>
      </c>
      <c r="AC1057" s="3">
        <f t="shared" si="289"/>
        <v>0</v>
      </c>
      <c r="AD1057" s="3">
        <f>IF(AND($M1057=1,LEFT(对接源_01水果!$D1057,4)="成品出库"),1,0)</f>
        <v>0</v>
      </c>
      <c r="AE1057" s="3">
        <f t="shared" si="290"/>
        <v>0</v>
      </c>
      <c r="AF1057" s="3">
        <f>IF(AND($N1057=1,AND(LEFT(对接源_01水果!$D1057,4)="包装物料",N(对接源_01水果!$K1057)&lt;&gt;0)),1,0)</f>
        <v>0</v>
      </c>
      <c r="AG1057" s="3">
        <f t="shared" si="291"/>
        <v>0</v>
      </c>
      <c r="AH1057" s="3">
        <f>IF(AND($N1057=1,AND(对接源_01水果!$D1057="周转筐－销售出库",N(对接源_01水果!$K1057)&lt;&gt;0)),1,0)</f>
        <v>0</v>
      </c>
      <c r="AI1057" s="3">
        <f t="shared" si="292"/>
        <v>0</v>
      </c>
      <c r="AJ1057" s="7"/>
      <c r="AL1057" s="3">
        <f>IF(OR($AL$1="",对接源_01水果!$Y1057="",对接源_01水果!$Y1057&lt;&gt;$AL$1,对接源_01水果!$B1057="",N(对接源_01水果!$AJ1057)&lt;=0),0,IF(OR(N(对接源_01水果!$B1057)&lt;$AL$2,N(对接源_01水果!$B1057)&gt;$AL$3),0,1))</f>
        <v>0</v>
      </c>
      <c r="AM1057" s="3">
        <f t="shared" si="293"/>
        <v>1</v>
      </c>
      <c r="AN1057" s="3" t="str">
        <f>IF(对接源_01水果!$AC1057="","",对接源_01水果!$AC1057)</f>
        <v/>
      </c>
      <c r="AO1057" s="3">
        <f t="shared" si="294"/>
        <v>0</v>
      </c>
      <c r="AP1057" s="3">
        <f t="shared" si="295"/>
        <v>8</v>
      </c>
      <c r="AR1057">
        <f t="shared" si="296"/>
        <v>0</v>
      </c>
      <c r="AS1057">
        <f t="shared" si="297"/>
        <v>0</v>
      </c>
    </row>
    <row r="1058" ht="14.25" customHeight="1" spans="1:45">
      <c r="A1058" s="3" t="str">
        <f>IF(对接源_01水果!$C1058="","",对接源_01水果!$C1058)</f>
        <v/>
      </c>
      <c r="B1058" s="3">
        <f t="shared" si="281"/>
        <v>0</v>
      </c>
      <c r="C1058" s="3">
        <f t="shared" si="282"/>
        <v>18</v>
      </c>
      <c r="K1058" s="3">
        <f>IF(OR($K$1="",对接源_01水果!$C1058="",对接源_01水果!$C1058&lt;&gt;$K$1,对接源_01水果!$B1058=""),0,IF(OR(N(对接源_01水果!$B1058)&lt;$K$2,N(对接源_01水果!$B1058)&gt;$K$3),0,1))</f>
        <v>0</v>
      </c>
      <c r="L1058" s="3">
        <f>IF(OR($L$1="",对接源_01水果!$C1058="",对接源_01水果!$C1058&lt;&gt;$L$1,对接源_01水果!$B1058=""),0,IF(OR(N(对接源_01水果!$B1058)&lt;$L$2,N(对接源_01水果!$B1058)&gt;$L$3),0,1))</f>
        <v>0</v>
      </c>
      <c r="M1058" s="3">
        <f>IF(OR($M$1="",对接源_01水果!$C1058="",对接源_01水果!$C1058&lt;&gt;$M$1,对接源_01水果!$B1058=""),0,IF(OR(N(对接源_01水果!$B1058)&lt;$M$2,N(对接源_01水果!$B1058)&gt;$M$3),0,1))</f>
        <v>0</v>
      </c>
      <c r="N1058" s="3">
        <f>IF(OR($N$1="",对接源_01水果!$C1058="",对接源_01水果!$C1058&lt;&gt;$N$1,对接源_01水果!$B1058=""),0,IF(OR(N(对接源_01水果!$B1058)&lt;$N$2,N(对接源_01水果!$B1058)&gt;$N$3),0,1))</f>
        <v>0</v>
      </c>
      <c r="P1058" s="3">
        <f>IF(AND($K1058=1,AND(对接源_01水果!$X1058="公司筐",N(对接源_01水果!$T1058)&lt;&gt;0)),1,0)</f>
        <v>0</v>
      </c>
      <c r="Q1058" s="3">
        <f t="shared" si="283"/>
        <v>0</v>
      </c>
      <c r="R1058" s="3">
        <f>IF(AND($K1058=1,AND(对接源_01水果!$X1058="公司筐",N(对接源_01水果!$U1058)&lt;&gt;0)),1,0)</f>
        <v>0</v>
      </c>
      <c r="S1058" s="3">
        <f t="shared" si="284"/>
        <v>0</v>
      </c>
      <c r="T1058" s="3">
        <f>IF(AND($K1058=1,AND(对接源_01水果!$X1058="公司筐",N(对接源_01水果!$V1058)&lt;&gt;0)),1,0)</f>
        <v>0</v>
      </c>
      <c r="U1058" s="3">
        <f t="shared" si="285"/>
        <v>19</v>
      </c>
      <c r="V1058" s="3">
        <f>IF(AND($L1058=1,AND(对接源_01水果!$X1058="自备筐",N(对接源_01水果!$V1058)&lt;&gt;0)),1,0)</f>
        <v>0</v>
      </c>
      <c r="W1058" s="3">
        <f t="shared" si="286"/>
        <v>8</v>
      </c>
      <c r="X1058" s="3">
        <f>IF(AND($L1058=1,AND(对接源_01水果!$X1058="自备筐",N(对接源_01水果!$T1058)&lt;&gt;0)),1,0)</f>
        <v>0</v>
      </c>
      <c r="Y1058" s="3">
        <f t="shared" si="287"/>
        <v>0</v>
      </c>
      <c r="Z1058" s="3">
        <f>IF(AND($M1058=1,对接源_01水果!$D1058="原料入库"),1,0)</f>
        <v>0</v>
      </c>
      <c r="AA1058" s="3">
        <f t="shared" si="288"/>
        <v>24</v>
      </c>
      <c r="AB1058" s="3">
        <f>IF(AND($M1058=1,LEFT(对接源_01水果!$D1058,4)="原料出库"),1,0)</f>
        <v>0</v>
      </c>
      <c r="AC1058" s="3">
        <f t="shared" si="289"/>
        <v>0</v>
      </c>
      <c r="AD1058" s="3">
        <f>IF(AND($M1058=1,LEFT(对接源_01水果!$D1058,4)="成品出库"),1,0)</f>
        <v>0</v>
      </c>
      <c r="AE1058" s="3">
        <f t="shared" si="290"/>
        <v>0</v>
      </c>
      <c r="AF1058" s="3">
        <f>IF(AND($N1058=1,AND(LEFT(对接源_01水果!$D1058,4)="包装物料",N(对接源_01水果!$K1058)&lt;&gt;0)),1,0)</f>
        <v>0</v>
      </c>
      <c r="AG1058" s="3">
        <f t="shared" si="291"/>
        <v>0</v>
      </c>
      <c r="AH1058" s="3">
        <f>IF(AND($N1058=1,AND(对接源_01水果!$D1058="周转筐－销售出库",N(对接源_01水果!$K1058)&lt;&gt;0)),1,0)</f>
        <v>0</v>
      </c>
      <c r="AI1058" s="3">
        <f t="shared" si="292"/>
        <v>0</v>
      </c>
      <c r="AJ1058" s="7"/>
      <c r="AL1058" s="3">
        <f>IF(OR($AL$1="",对接源_01水果!$Y1058="",对接源_01水果!$Y1058&lt;&gt;$AL$1,对接源_01水果!$B1058="",N(对接源_01水果!$AJ1058)&lt;=0),0,IF(OR(N(对接源_01水果!$B1058)&lt;$AL$2,N(对接源_01水果!$B1058)&gt;$AL$3),0,1))</f>
        <v>0</v>
      </c>
      <c r="AM1058" s="3">
        <f t="shared" si="293"/>
        <v>1</v>
      </c>
      <c r="AN1058" s="3" t="str">
        <f>IF(对接源_01水果!$AC1058="","",对接源_01水果!$AC1058)</f>
        <v/>
      </c>
      <c r="AO1058" s="3">
        <f t="shared" si="294"/>
        <v>0</v>
      </c>
      <c r="AP1058" s="3">
        <f t="shared" si="295"/>
        <v>8</v>
      </c>
      <c r="AR1058">
        <f t="shared" si="296"/>
        <v>0</v>
      </c>
      <c r="AS1058">
        <f t="shared" si="297"/>
        <v>0</v>
      </c>
    </row>
    <row r="1059" ht="14.25" customHeight="1" spans="1:45">
      <c r="A1059" s="3" t="str">
        <f>IF(对接源_01水果!$C1059="","",对接源_01水果!$C1059)</f>
        <v/>
      </c>
      <c r="B1059" s="3">
        <f t="shared" si="281"/>
        <v>0</v>
      </c>
      <c r="C1059" s="3">
        <f t="shared" si="282"/>
        <v>18</v>
      </c>
      <c r="K1059" s="3">
        <f>IF(OR($K$1="",对接源_01水果!$C1059="",对接源_01水果!$C1059&lt;&gt;$K$1,对接源_01水果!$B1059=""),0,IF(OR(N(对接源_01水果!$B1059)&lt;$K$2,N(对接源_01水果!$B1059)&gt;$K$3),0,1))</f>
        <v>0</v>
      </c>
      <c r="L1059" s="3">
        <f>IF(OR($L$1="",对接源_01水果!$C1059="",对接源_01水果!$C1059&lt;&gt;$L$1,对接源_01水果!$B1059=""),0,IF(OR(N(对接源_01水果!$B1059)&lt;$L$2,N(对接源_01水果!$B1059)&gt;$L$3),0,1))</f>
        <v>0</v>
      </c>
      <c r="M1059" s="3">
        <f>IF(OR($M$1="",对接源_01水果!$C1059="",对接源_01水果!$C1059&lt;&gt;$M$1,对接源_01水果!$B1059=""),0,IF(OR(N(对接源_01水果!$B1059)&lt;$M$2,N(对接源_01水果!$B1059)&gt;$M$3),0,1))</f>
        <v>0</v>
      </c>
      <c r="N1059" s="3">
        <f>IF(OR($N$1="",对接源_01水果!$C1059="",对接源_01水果!$C1059&lt;&gt;$N$1,对接源_01水果!$B1059=""),0,IF(OR(N(对接源_01水果!$B1059)&lt;$N$2,N(对接源_01水果!$B1059)&gt;$N$3),0,1))</f>
        <v>0</v>
      </c>
      <c r="P1059" s="3">
        <f>IF(AND($K1059=1,AND(对接源_01水果!$X1059="公司筐",N(对接源_01水果!$T1059)&lt;&gt;0)),1,0)</f>
        <v>0</v>
      </c>
      <c r="Q1059" s="3">
        <f t="shared" si="283"/>
        <v>0</v>
      </c>
      <c r="R1059" s="3">
        <f>IF(AND($K1059=1,AND(对接源_01水果!$X1059="公司筐",N(对接源_01水果!$U1059)&lt;&gt;0)),1,0)</f>
        <v>0</v>
      </c>
      <c r="S1059" s="3">
        <f t="shared" si="284"/>
        <v>0</v>
      </c>
      <c r="T1059" s="3">
        <f>IF(AND($K1059=1,AND(对接源_01水果!$X1059="公司筐",N(对接源_01水果!$V1059)&lt;&gt;0)),1,0)</f>
        <v>0</v>
      </c>
      <c r="U1059" s="3">
        <f t="shared" si="285"/>
        <v>19</v>
      </c>
      <c r="V1059" s="3">
        <f>IF(AND($L1059=1,AND(对接源_01水果!$X1059="自备筐",N(对接源_01水果!$V1059)&lt;&gt;0)),1,0)</f>
        <v>0</v>
      </c>
      <c r="W1059" s="3">
        <f t="shared" si="286"/>
        <v>8</v>
      </c>
      <c r="X1059" s="3">
        <f>IF(AND($L1059=1,AND(对接源_01水果!$X1059="自备筐",N(对接源_01水果!$T1059)&lt;&gt;0)),1,0)</f>
        <v>0</v>
      </c>
      <c r="Y1059" s="3">
        <f t="shared" si="287"/>
        <v>0</v>
      </c>
      <c r="Z1059" s="3">
        <f>IF(AND($M1059=1,对接源_01水果!$D1059="原料入库"),1,0)</f>
        <v>0</v>
      </c>
      <c r="AA1059" s="3">
        <f t="shared" si="288"/>
        <v>24</v>
      </c>
      <c r="AB1059" s="3">
        <f>IF(AND($M1059=1,LEFT(对接源_01水果!$D1059,4)="原料出库"),1,0)</f>
        <v>0</v>
      </c>
      <c r="AC1059" s="3">
        <f t="shared" si="289"/>
        <v>0</v>
      </c>
      <c r="AD1059" s="3">
        <f>IF(AND($M1059=1,LEFT(对接源_01水果!$D1059,4)="成品出库"),1,0)</f>
        <v>0</v>
      </c>
      <c r="AE1059" s="3">
        <f t="shared" si="290"/>
        <v>0</v>
      </c>
      <c r="AF1059" s="3">
        <f>IF(AND($N1059=1,AND(LEFT(对接源_01水果!$D1059,4)="包装物料",N(对接源_01水果!$K1059)&lt;&gt;0)),1,0)</f>
        <v>0</v>
      </c>
      <c r="AG1059" s="3">
        <f t="shared" si="291"/>
        <v>0</v>
      </c>
      <c r="AH1059" s="3">
        <f>IF(AND($N1059=1,AND(对接源_01水果!$D1059="周转筐－销售出库",N(对接源_01水果!$K1059)&lt;&gt;0)),1,0)</f>
        <v>0</v>
      </c>
      <c r="AI1059" s="3">
        <f t="shared" si="292"/>
        <v>0</v>
      </c>
      <c r="AJ1059" s="7"/>
      <c r="AL1059" s="3">
        <f>IF(OR($AL$1="",对接源_01水果!$Y1059="",对接源_01水果!$Y1059&lt;&gt;$AL$1,对接源_01水果!$B1059="",N(对接源_01水果!$AJ1059)&lt;=0),0,IF(OR(N(对接源_01水果!$B1059)&lt;$AL$2,N(对接源_01水果!$B1059)&gt;$AL$3),0,1))</f>
        <v>0</v>
      </c>
      <c r="AM1059" s="3">
        <f t="shared" si="293"/>
        <v>1</v>
      </c>
      <c r="AN1059" s="3" t="str">
        <f>IF(对接源_01水果!$AC1059="","",对接源_01水果!$AC1059)</f>
        <v/>
      </c>
      <c r="AO1059" s="3">
        <f t="shared" si="294"/>
        <v>0</v>
      </c>
      <c r="AP1059" s="3">
        <f t="shared" si="295"/>
        <v>8</v>
      </c>
      <c r="AR1059">
        <f t="shared" si="296"/>
        <v>0</v>
      </c>
      <c r="AS1059">
        <f t="shared" si="297"/>
        <v>0</v>
      </c>
    </row>
    <row r="1060" ht="14.25" customHeight="1" spans="1:45">
      <c r="A1060" s="3" t="str">
        <f>IF(对接源_01水果!$C1060="","",对接源_01水果!$C1060)</f>
        <v/>
      </c>
      <c r="B1060" s="3">
        <f t="shared" si="281"/>
        <v>0</v>
      </c>
      <c r="C1060" s="3">
        <f t="shared" si="282"/>
        <v>18</v>
      </c>
      <c r="K1060" s="3">
        <f>IF(OR($K$1="",对接源_01水果!$C1060="",对接源_01水果!$C1060&lt;&gt;$K$1,对接源_01水果!$B1060=""),0,IF(OR(N(对接源_01水果!$B1060)&lt;$K$2,N(对接源_01水果!$B1060)&gt;$K$3),0,1))</f>
        <v>0</v>
      </c>
      <c r="L1060" s="3">
        <f>IF(OR($L$1="",对接源_01水果!$C1060="",对接源_01水果!$C1060&lt;&gt;$L$1,对接源_01水果!$B1060=""),0,IF(OR(N(对接源_01水果!$B1060)&lt;$L$2,N(对接源_01水果!$B1060)&gt;$L$3),0,1))</f>
        <v>0</v>
      </c>
      <c r="M1060" s="3">
        <f>IF(OR($M$1="",对接源_01水果!$C1060="",对接源_01水果!$C1060&lt;&gt;$M$1,对接源_01水果!$B1060=""),0,IF(OR(N(对接源_01水果!$B1060)&lt;$M$2,N(对接源_01水果!$B1060)&gt;$M$3),0,1))</f>
        <v>0</v>
      </c>
      <c r="N1060" s="3">
        <f>IF(OR($N$1="",对接源_01水果!$C1060="",对接源_01水果!$C1060&lt;&gt;$N$1,对接源_01水果!$B1060=""),0,IF(OR(N(对接源_01水果!$B1060)&lt;$N$2,N(对接源_01水果!$B1060)&gt;$N$3),0,1))</f>
        <v>0</v>
      </c>
      <c r="P1060" s="3">
        <f>IF(AND($K1060=1,AND(对接源_01水果!$X1060="公司筐",N(对接源_01水果!$T1060)&lt;&gt;0)),1,0)</f>
        <v>0</v>
      </c>
      <c r="Q1060" s="3">
        <f t="shared" si="283"/>
        <v>0</v>
      </c>
      <c r="R1060" s="3">
        <f>IF(AND($K1060=1,AND(对接源_01水果!$X1060="公司筐",N(对接源_01水果!$U1060)&lt;&gt;0)),1,0)</f>
        <v>0</v>
      </c>
      <c r="S1060" s="3">
        <f t="shared" si="284"/>
        <v>0</v>
      </c>
      <c r="T1060" s="3">
        <f>IF(AND($K1060=1,AND(对接源_01水果!$X1060="公司筐",N(对接源_01水果!$V1060)&lt;&gt;0)),1,0)</f>
        <v>0</v>
      </c>
      <c r="U1060" s="3">
        <f t="shared" si="285"/>
        <v>19</v>
      </c>
      <c r="V1060" s="3">
        <f>IF(AND($L1060=1,AND(对接源_01水果!$X1060="自备筐",N(对接源_01水果!$V1060)&lt;&gt;0)),1,0)</f>
        <v>0</v>
      </c>
      <c r="W1060" s="3">
        <f t="shared" si="286"/>
        <v>8</v>
      </c>
      <c r="X1060" s="3">
        <f>IF(AND($L1060=1,AND(对接源_01水果!$X1060="自备筐",N(对接源_01水果!$T1060)&lt;&gt;0)),1,0)</f>
        <v>0</v>
      </c>
      <c r="Y1060" s="3">
        <f t="shared" si="287"/>
        <v>0</v>
      </c>
      <c r="Z1060" s="3">
        <f>IF(AND($M1060=1,对接源_01水果!$D1060="原料入库"),1,0)</f>
        <v>0</v>
      </c>
      <c r="AA1060" s="3">
        <f t="shared" si="288"/>
        <v>24</v>
      </c>
      <c r="AB1060" s="3">
        <f>IF(AND($M1060=1,LEFT(对接源_01水果!$D1060,4)="原料出库"),1,0)</f>
        <v>0</v>
      </c>
      <c r="AC1060" s="3">
        <f t="shared" si="289"/>
        <v>0</v>
      </c>
      <c r="AD1060" s="3">
        <f>IF(AND($M1060=1,LEFT(对接源_01水果!$D1060,4)="成品出库"),1,0)</f>
        <v>0</v>
      </c>
      <c r="AE1060" s="3">
        <f t="shared" si="290"/>
        <v>0</v>
      </c>
      <c r="AF1060" s="3">
        <f>IF(AND($N1060=1,AND(LEFT(对接源_01水果!$D1060,4)="包装物料",N(对接源_01水果!$K1060)&lt;&gt;0)),1,0)</f>
        <v>0</v>
      </c>
      <c r="AG1060" s="3">
        <f t="shared" si="291"/>
        <v>0</v>
      </c>
      <c r="AH1060" s="3">
        <f>IF(AND($N1060=1,AND(对接源_01水果!$D1060="周转筐－销售出库",N(对接源_01水果!$K1060)&lt;&gt;0)),1,0)</f>
        <v>0</v>
      </c>
      <c r="AI1060" s="3">
        <f t="shared" si="292"/>
        <v>0</v>
      </c>
      <c r="AJ1060" s="7"/>
      <c r="AL1060" s="3">
        <f>IF(OR($AL$1="",对接源_01水果!$Y1060="",对接源_01水果!$Y1060&lt;&gt;$AL$1,对接源_01水果!$B1060="",N(对接源_01水果!$AJ1060)&lt;=0),0,IF(OR(N(对接源_01水果!$B1060)&lt;$AL$2,N(对接源_01水果!$B1060)&gt;$AL$3),0,1))</f>
        <v>0</v>
      </c>
      <c r="AM1060" s="3">
        <f t="shared" si="293"/>
        <v>1</v>
      </c>
      <c r="AN1060" s="3" t="str">
        <f>IF(对接源_01水果!$AC1060="","",对接源_01水果!$AC1060)</f>
        <v/>
      </c>
      <c r="AO1060" s="3">
        <f t="shared" si="294"/>
        <v>0</v>
      </c>
      <c r="AP1060" s="3">
        <f t="shared" si="295"/>
        <v>8</v>
      </c>
      <c r="AR1060">
        <f t="shared" si="296"/>
        <v>0</v>
      </c>
      <c r="AS1060">
        <f t="shared" si="297"/>
        <v>0</v>
      </c>
    </row>
    <row r="1061" ht="14.25" customHeight="1" spans="1:45">
      <c r="A1061" s="3" t="str">
        <f>IF(对接源_01水果!$C1061="","",对接源_01水果!$C1061)</f>
        <v/>
      </c>
      <c r="B1061" s="3">
        <f t="shared" si="281"/>
        <v>0</v>
      </c>
      <c r="C1061" s="3">
        <f t="shared" si="282"/>
        <v>18</v>
      </c>
      <c r="K1061" s="3">
        <f>IF(OR($K$1="",对接源_01水果!$C1061="",对接源_01水果!$C1061&lt;&gt;$K$1,对接源_01水果!$B1061=""),0,IF(OR(N(对接源_01水果!$B1061)&lt;$K$2,N(对接源_01水果!$B1061)&gt;$K$3),0,1))</f>
        <v>0</v>
      </c>
      <c r="L1061" s="3">
        <f>IF(OR($L$1="",对接源_01水果!$C1061="",对接源_01水果!$C1061&lt;&gt;$L$1,对接源_01水果!$B1061=""),0,IF(OR(N(对接源_01水果!$B1061)&lt;$L$2,N(对接源_01水果!$B1061)&gt;$L$3),0,1))</f>
        <v>0</v>
      </c>
      <c r="M1061" s="3">
        <f>IF(OR($M$1="",对接源_01水果!$C1061="",对接源_01水果!$C1061&lt;&gt;$M$1,对接源_01水果!$B1061=""),0,IF(OR(N(对接源_01水果!$B1061)&lt;$M$2,N(对接源_01水果!$B1061)&gt;$M$3),0,1))</f>
        <v>0</v>
      </c>
      <c r="N1061" s="3">
        <f>IF(OR($N$1="",对接源_01水果!$C1061="",对接源_01水果!$C1061&lt;&gt;$N$1,对接源_01水果!$B1061=""),0,IF(OR(N(对接源_01水果!$B1061)&lt;$N$2,N(对接源_01水果!$B1061)&gt;$N$3),0,1))</f>
        <v>0</v>
      </c>
      <c r="P1061" s="3">
        <f>IF(AND($K1061=1,AND(对接源_01水果!$X1061="公司筐",N(对接源_01水果!$T1061)&lt;&gt;0)),1,0)</f>
        <v>0</v>
      </c>
      <c r="Q1061" s="3">
        <f t="shared" si="283"/>
        <v>0</v>
      </c>
      <c r="R1061" s="3">
        <f>IF(AND($K1061=1,AND(对接源_01水果!$X1061="公司筐",N(对接源_01水果!$U1061)&lt;&gt;0)),1,0)</f>
        <v>0</v>
      </c>
      <c r="S1061" s="3">
        <f t="shared" si="284"/>
        <v>0</v>
      </c>
      <c r="T1061" s="3">
        <f>IF(AND($K1061=1,AND(对接源_01水果!$X1061="公司筐",N(对接源_01水果!$V1061)&lt;&gt;0)),1,0)</f>
        <v>0</v>
      </c>
      <c r="U1061" s="3">
        <f t="shared" si="285"/>
        <v>19</v>
      </c>
      <c r="V1061" s="3">
        <f>IF(AND($L1061=1,AND(对接源_01水果!$X1061="自备筐",N(对接源_01水果!$V1061)&lt;&gt;0)),1,0)</f>
        <v>0</v>
      </c>
      <c r="W1061" s="3">
        <f t="shared" si="286"/>
        <v>8</v>
      </c>
      <c r="X1061" s="3">
        <f>IF(AND($L1061=1,AND(对接源_01水果!$X1061="自备筐",N(对接源_01水果!$T1061)&lt;&gt;0)),1,0)</f>
        <v>0</v>
      </c>
      <c r="Y1061" s="3">
        <f t="shared" si="287"/>
        <v>0</v>
      </c>
      <c r="Z1061" s="3">
        <f>IF(AND($M1061=1,对接源_01水果!$D1061="原料入库"),1,0)</f>
        <v>0</v>
      </c>
      <c r="AA1061" s="3">
        <f t="shared" si="288"/>
        <v>24</v>
      </c>
      <c r="AB1061" s="3">
        <f>IF(AND($M1061=1,LEFT(对接源_01水果!$D1061,4)="原料出库"),1,0)</f>
        <v>0</v>
      </c>
      <c r="AC1061" s="3">
        <f t="shared" si="289"/>
        <v>0</v>
      </c>
      <c r="AD1061" s="3">
        <f>IF(AND($M1061=1,LEFT(对接源_01水果!$D1061,4)="成品出库"),1,0)</f>
        <v>0</v>
      </c>
      <c r="AE1061" s="3">
        <f t="shared" si="290"/>
        <v>0</v>
      </c>
      <c r="AF1061" s="3">
        <f>IF(AND($N1061=1,AND(LEFT(对接源_01水果!$D1061,4)="包装物料",N(对接源_01水果!$K1061)&lt;&gt;0)),1,0)</f>
        <v>0</v>
      </c>
      <c r="AG1061" s="3">
        <f t="shared" si="291"/>
        <v>0</v>
      </c>
      <c r="AH1061" s="3">
        <f>IF(AND($N1061=1,AND(对接源_01水果!$D1061="周转筐－销售出库",N(对接源_01水果!$K1061)&lt;&gt;0)),1,0)</f>
        <v>0</v>
      </c>
      <c r="AI1061" s="3">
        <f t="shared" si="292"/>
        <v>0</v>
      </c>
      <c r="AJ1061" s="7"/>
      <c r="AL1061" s="3">
        <f>IF(OR($AL$1="",对接源_01水果!$Y1061="",对接源_01水果!$Y1061&lt;&gt;$AL$1,对接源_01水果!$B1061="",N(对接源_01水果!$AJ1061)&lt;=0),0,IF(OR(N(对接源_01水果!$B1061)&lt;$AL$2,N(对接源_01水果!$B1061)&gt;$AL$3),0,1))</f>
        <v>0</v>
      </c>
      <c r="AM1061" s="3">
        <f t="shared" si="293"/>
        <v>1</v>
      </c>
      <c r="AN1061" s="3" t="str">
        <f>IF(对接源_01水果!$AC1061="","",对接源_01水果!$AC1061)</f>
        <v/>
      </c>
      <c r="AO1061" s="3">
        <f t="shared" si="294"/>
        <v>0</v>
      </c>
      <c r="AP1061" s="3">
        <f t="shared" si="295"/>
        <v>8</v>
      </c>
      <c r="AR1061">
        <f t="shared" si="296"/>
        <v>0</v>
      </c>
      <c r="AS1061">
        <f t="shared" si="297"/>
        <v>0</v>
      </c>
    </row>
    <row r="1062" ht="14.25" customHeight="1" spans="1:45">
      <c r="A1062" s="3" t="str">
        <f>IF(对接源_01水果!$C1062="","",对接源_01水果!$C1062)</f>
        <v/>
      </c>
      <c r="B1062" s="3">
        <f t="shared" si="281"/>
        <v>0</v>
      </c>
      <c r="C1062" s="3">
        <f t="shared" si="282"/>
        <v>18</v>
      </c>
      <c r="K1062" s="3">
        <f>IF(OR($K$1="",对接源_01水果!$C1062="",对接源_01水果!$C1062&lt;&gt;$K$1,对接源_01水果!$B1062=""),0,IF(OR(N(对接源_01水果!$B1062)&lt;$K$2,N(对接源_01水果!$B1062)&gt;$K$3),0,1))</f>
        <v>0</v>
      </c>
      <c r="L1062" s="3">
        <f>IF(OR($L$1="",对接源_01水果!$C1062="",对接源_01水果!$C1062&lt;&gt;$L$1,对接源_01水果!$B1062=""),0,IF(OR(N(对接源_01水果!$B1062)&lt;$L$2,N(对接源_01水果!$B1062)&gt;$L$3),0,1))</f>
        <v>0</v>
      </c>
      <c r="M1062" s="3">
        <f>IF(OR($M$1="",对接源_01水果!$C1062="",对接源_01水果!$C1062&lt;&gt;$M$1,对接源_01水果!$B1062=""),0,IF(OR(N(对接源_01水果!$B1062)&lt;$M$2,N(对接源_01水果!$B1062)&gt;$M$3),0,1))</f>
        <v>0</v>
      </c>
      <c r="N1062" s="3">
        <f>IF(OR($N$1="",对接源_01水果!$C1062="",对接源_01水果!$C1062&lt;&gt;$N$1,对接源_01水果!$B1062=""),0,IF(OR(N(对接源_01水果!$B1062)&lt;$N$2,N(对接源_01水果!$B1062)&gt;$N$3),0,1))</f>
        <v>0</v>
      </c>
      <c r="P1062" s="3">
        <f>IF(AND($K1062=1,AND(对接源_01水果!$X1062="公司筐",N(对接源_01水果!$T1062)&lt;&gt;0)),1,0)</f>
        <v>0</v>
      </c>
      <c r="Q1062" s="3">
        <f t="shared" si="283"/>
        <v>0</v>
      </c>
      <c r="R1062" s="3">
        <f>IF(AND($K1062=1,AND(对接源_01水果!$X1062="公司筐",N(对接源_01水果!$U1062)&lt;&gt;0)),1,0)</f>
        <v>0</v>
      </c>
      <c r="S1062" s="3">
        <f t="shared" si="284"/>
        <v>0</v>
      </c>
      <c r="T1062" s="3">
        <f>IF(AND($K1062=1,AND(对接源_01水果!$X1062="公司筐",N(对接源_01水果!$V1062)&lt;&gt;0)),1,0)</f>
        <v>0</v>
      </c>
      <c r="U1062" s="3">
        <f t="shared" si="285"/>
        <v>19</v>
      </c>
      <c r="V1062" s="3">
        <f>IF(AND($L1062=1,AND(对接源_01水果!$X1062="自备筐",N(对接源_01水果!$V1062)&lt;&gt;0)),1,0)</f>
        <v>0</v>
      </c>
      <c r="W1062" s="3">
        <f t="shared" si="286"/>
        <v>8</v>
      </c>
      <c r="X1062" s="3">
        <f>IF(AND($L1062=1,AND(对接源_01水果!$X1062="自备筐",N(对接源_01水果!$T1062)&lt;&gt;0)),1,0)</f>
        <v>0</v>
      </c>
      <c r="Y1062" s="3">
        <f t="shared" si="287"/>
        <v>0</v>
      </c>
      <c r="Z1062" s="3">
        <f>IF(AND($M1062=1,对接源_01水果!$D1062="原料入库"),1,0)</f>
        <v>0</v>
      </c>
      <c r="AA1062" s="3">
        <f t="shared" si="288"/>
        <v>24</v>
      </c>
      <c r="AB1062" s="3">
        <f>IF(AND($M1062=1,LEFT(对接源_01水果!$D1062,4)="原料出库"),1,0)</f>
        <v>0</v>
      </c>
      <c r="AC1062" s="3">
        <f t="shared" si="289"/>
        <v>0</v>
      </c>
      <c r="AD1062" s="3">
        <f>IF(AND($M1062=1,LEFT(对接源_01水果!$D1062,4)="成品出库"),1,0)</f>
        <v>0</v>
      </c>
      <c r="AE1062" s="3">
        <f t="shared" si="290"/>
        <v>0</v>
      </c>
      <c r="AF1062" s="3">
        <f>IF(AND($N1062=1,AND(LEFT(对接源_01水果!$D1062,4)="包装物料",N(对接源_01水果!$K1062)&lt;&gt;0)),1,0)</f>
        <v>0</v>
      </c>
      <c r="AG1062" s="3">
        <f t="shared" si="291"/>
        <v>0</v>
      </c>
      <c r="AH1062" s="3">
        <f>IF(AND($N1062=1,AND(对接源_01水果!$D1062="周转筐－销售出库",N(对接源_01水果!$K1062)&lt;&gt;0)),1,0)</f>
        <v>0</v>
      </c>
      <c r="AI1062" s="3">
        <f t="shared" si="292"/>
        <v>0</v>
      </c>
      <c r="AJ1062" s="7"/>
      <c r="AL1062" s="3">
        <f>IF(OR($AL$1="",对接源_01水果!$Y1062="",对接源_01水果!$Y1062&lt;&gt;$AL$1,对接源_01水果!$B1062="",N(对接源_01水果!$AJ1062)&lt;=0),0,IF(OR(N(对接源_01水果!$B1062)&lt;$AL$2,N(对接源_01水果!$B1062)&gt;$AL$3),0,1))</f>
        <v>0</v>
      </c>
      <c r="AM1062" s="3">
        <f t="shared" si="293"/>
        <v>1</v>
      </c>
      <c r="AN1062" s="3" t="str">
        <f>IF(对接源_01水果!$AC1062="","",对接源_01水果!$AC1062)</f>
        <v/>
      </c>
      <c r="AO1062" s="3">
        <f t="shared" si="294"/>
        <v>0</v>
      </c>
      <c r="AP1062" s="3">
        <f t="shared" si="295"/>
        <v>8</v>
      </c>
      <c r="AR1062">
        <f t="shared" si="296"/>
        <v>0</v>
      </c>
      <c r="AS1062">
        <f t="shared" si="297"/>
        <v>0</v>
      </c>
    </row>
    <row r="1063" ht="14.25" customHeight="1" spans="1:45">
      <c r="A1063" s="3" t="str">
        <f>IF(对接源_01水果!$C1063="","",对接源_01水果!$C1063)</f>
        <v/>
      </c>
      <c r="B1063" s="3">
        <f t="shared" si="281"/>
        <v>0</v>
      </c>
      <c r="C1063" s="3">
        <f t="shared" si="282"/>
        <v>18</v>
      </c>
      <c r="K1063" s="3">
        <f>IF(OR($K$1="",对接源_01水果!$C1063="",对接源_01水果!$C1063&lt;&gt;$K$1,对接源_01水果!$B1063=""),0,IF(OR(N(对接源_01水果!$B1063)&lt;$K$2,N(对接源_01水果!$B1063)&gt;$K$3),0,1))</f>
        <v>0</v>
      </c>
      <c r="L1063" s="3">
        <f>IF(OR($L$1="",对接源_01水果!$C1063="",对接源_01水果!$C1063&lt;&gt;$L$1,对接源_01水果!$B1063=""),0,IF(OR(N(对接源_01水果!$B1063)&lt;$L$2,N(对接源_01水果!$B1063)&gt;$L$3),0,1))</f>
        <v>0</v>
      </c>
      <c r="M1063" s="3">
        <f>IF(OR($M$1="",对接源_01水果!$C1063="",对接源_01水果!$C1063&lt;&gt;$M$1,对接源_01水果!$B1063=""),0,IF(OR(N(对接源_01水果!$B1063)&lt;$M$2,N(对接源_01水果!$B1063)&gt;$M$3),0,1))</f>
        <v>0</v>
      </c>
      <c r="N1063" s="3">
        <f>IF(OR($N$1="",对接源_01水果!$C1063="",对接源_01水果!$C1063&lt;&gt;$N$1,对接源_01水果!$B1063=""),0,IF(OR(N(对接源_01水果!$B1063)&lt;$N$2,N(对接源_01水果!$B1063)&gt;$N$3),0,1))</f>
        <v>0</v>
      </c>
      <c r="P1063" s="3">
        <f>IF(AND($K1063=1,AND(对接源_01水果!$X1063="公司筐",N(对接源_01水果!$T1063)&lt;&gt;0)),1,0)</f>
        <v>0</v>
      </c>
      <c r="Q1063" s="3">
        <f t="shared" si="283"/>
        <v>0</v>
      </c>
      <c r="R1063" s="3">
        <f>IF(AND($K1063=1,AND(对接源_01水果!$X1063="公司筐",N(对接源_01水果!$U1063)&lt;&gt;0)),1,0)</f>
        <v>0</v>
      </c>
      <c r="S1063" s="3">
        <f t="shared" si="284"/>
        <v>0</v>
      </c>
      <c r="T1063" s="3">
        <f>IF(AND($K1063=1,AND(对接源_01水果!$X1063="公司筐",N(对接源_01水果!$V1063)&lt;&gt;0)),1,0)</f>
        <v>0</v>
      </c>
      <c r="U1063" s="3">
        <f t="shared" si="285"/>
        <v>19</v>
      </c>
      <c r="V1063" s="3">
        <f>IF(AND($L1063=1,AND(对接源_01水果!$X1063="自备筐",N(对接源_01水果!$V1063)&lt;&gt;0)),1,0)</f>
        <v>0</v>
      </c>
      <c r="W1063" s="3">
        <f t="shared" si="286"/>
        <v>8</v>
      </c>
      <c r="X1063" s="3">
        <f>IF(AND($L1063=1,AND(对接源_01水果!$X1063="自备筐",N(对接源_01水果!$T1063)&lt;&gt;0)),1,0)</f>
        <v>0</v>
      </c>
      <c r="Y1063" s="3">
        <f t="shared" si="287"/>
        <v>0</v>
      </c>
      <c r="Z1063" s="3">
        <f>IF(AND($M1063=1,对接源_01水果!$D1063="原料入库"),1,0)</f>
        <v>0</v>
      </c>
      <c r="AA1063" s="3">
        <f t="shared" si="288"/>
        <v>24</v>
      </c>
      <c r="AB1063" s="3">
        <f>IF(AND($M1063=1,LEFT(对接源_01水果!$D1063,4)="原料出库"),1,0)</f>
        <v>0</v>
      </c>
      <c r="AC1063" s="3">
        <f t="shared" si="289"/>
        <v>0</v>
      </c>
      <c r="AD1063" s="3">
        <f>IF(AND($M1063=1,LEFT(对接源_01水果!$D1063,4)="成品出库"),1,0)</f>
        <v>0</v>
      </c>
      <c r="AE1063" s="3">
        <f t="shared" si="290"/>
        <v>0</v>
      </c>
      <c r="AF1063" s="3">
        <f>IF(AND($N1063=1,AND(LEFT(对接源_01水果!$D1063,4)="包装物料",N(对接源_01水果!$K1063)&lt;&gt;0)),1,0)</f>
        <v>0</v>
      </c>
      <c r="AG1063" s="3">
        <f t="shared" si="291"/>
        <v>0</v>
      </c>
      <c r="AH1063" s="3">
        <f>IF(AND($N1063=1,AND(对接源_01水果!$D1063="周转筐－销售出库",N(对接源_01水果!$K1063)&lt;&gt;0)),1,0)</f>
        <v>0</v>
      </c>
      <c r="AI1063" s="3">
        <f t="shared" si="292"/>
        <v>0</v>
      </c>
      <c r="AJ1063" s="7"/>
      <c r="AL1063" s="3">
        <f>IF(OR($AL$1="",对接源_01水果!$Y1063="",对接源_01水果!$Y1063&lt;&gt;$AL$1,对接源_01水果!$B1063="",N(对接源_01水果!$AJ1063)&lt;=0),0,IF(OR(N(对接源_01水果!$B1063)&lt;$AL$2,N(对接源_01水果!$B1063)&gt;$AL$3),0,1))</f>
        <v>0</v>
      </c>
      <c r="AM1063" s="3">
        <f t="shared" si="293"/>
        <v>1</v>
      </c>
      <c r="AN1063" s="3" t="str">
        <f>IF(对接源_01水果!$AC1063="","",对接源_01水果!$AC1063)</f>
        <v/>
      </c>
      <c r="AO1063" s="3">
        <f t="shared" si="294"/>
        <v>0</v>
      </c>
      <c r="AP1063" s="3">
        <f t="shared" si="295"/>
        <v>8</v>
      </c>
      <c r="AR1063">
        <f t="shared" si="296"/>
        <v>0</v>
      </c>
      <c r="AS1063">
        <f t="shared" si="297"/>
        <v>0</v>
      </c>
    </row>
    <row r="1064" ht="14.25" customHeight="1" spans="1:45">
      <c r="A1064" s="3" t="str">
        <f>IF(对接源_01水果!$C1064="","",对接源_01水果!$C1064)</f>
        <v/>
      </c>
      <c r="B1064" s="3">
        <f t="shared" si="281"/>
        <v>0</v>
      </c>
      <c r="C1064" s="3">
        <f t="shared" si="282"/>
        <v>18</v>
      </c>
      <c r="K1064" s="3">
        <f>IF(OR($K$1="",对接源_01水果!$C1064="",对接源_01水果!$C1064&lt;&gt;$K$1,对接源_01水果!$B1064=""),0,IF(OR(N(对接源_01水果!$B1064)&lt;$K$2,N(对接源_01水果!$B1064)&gt;$K$3),0,1))</f>
        <v>0</v>
      </c>
      <c r="L1064" s="3">
        <f>IF(OR($L$1="",对接源_01水果!$C1064="",对接源_01水果!$C1064&lt;&gt;$L$1,对接源_01水果!$B1064=""),0,IF(OR(N(对接源_01水果!$B1064)&lt;$L$2,N(对接源_01水果!$B1064)&gt;$L$3),0,1))</f>
        <v>0</v>
      </c>
      <c r="M1064" s="3">
        <f>IF(OR($M$1="",对接源_01水果!$C1064="",对接源_01水果!$C1064&lt;&gt;$M$1,对接源_01水果!$B1064=""),0,IF(OR(N(对接源_01水果!$B1064)&lt;$M$2,N(对接源_01水果!$B1064)&gt;$M$3),0,1))</f>
        <v>0</v>
      </c>
      <c r="N1064" s="3">
        <f>IF(OR($N$1="",对接源_01水果!$C1064="",对接源_01水果!$C1064&lt;&gt;$N$1,对接源_01水果!$B1064=""),0,IF(OR(N(对接源_01水果!$B1064)&lt;$N$2,N(对接源_01水果!$B1064)&gt;$N$3),0,1))</f>
        <v>0</v>
      </c>
      <c r="P1064" s="3">
        <f>IF(AND($K1064=1,AND(对接源_01水果!$X1064="公司筐",N(对接源_01水果!$T1064)&lt;&gt;0)),1,0)</f>
        <v>0</v>
      </c>
      <c r="Q1064" s="3">
        <f t="shared" si="283"/>
        <v>0</v>
      </c>
      <c r="R1064" s="3">
        <f>IF(AND($K1064=1,AND(对接源_01水果!$X1064="公司筐",N(对接源_01水果!$U1064)&lt;&gt;0)),1,0)</f>
        <v>0</v>
      </c>
      <c r="S1064" s="3">
        <f t="shared" si="284"/>
        <v>0</v>
      </c>
      <c r="T1064" s="3">
        <f>IF(AND($K1064=1,AND(对接源_01水果!$X1064="公司筐",N(对接源_01水果!$V1064)&lt;&gt;0)),1,0)</f>
        <v>0</v>
      </c>
      <c r="U1064" s="3">
        <f t="shared" si="285"/>
        <v>19</v>
      </c>
      <c r="V1064" s="3">
        <f>IF(AND($L1064=1,AND(对接源_01水果!$X1064="自备筐",N(对接源_01水果!$V1064)&lt;&gt;0)),1,0)</f>
        <v>0</v>
      </c>
      <c r="W1064" s="3">
        <f t="shared" si="286"/>
        <v>8</v>
      </c>
      <c r="X1064" s="3">
        <f>IF(AND($L1064=1,AND(对接源_01水果!$X1064="自备筐",N(对接源_01水果!$T1064)&lt;&gt;0)),1,0)</f>
        <v>0</v>
      </c>
      <c r="Y1064" s="3">
        <f t="shared" si="287"/>
        <v>0</v>
      </c>
      <c r="Z1064" s="3">
        <f>IF(AND($M1064=1,对接源_01水果!$D1064="原料入库"),1,0)</f>
        <v>0</v>
      </c>
      <c r="AA1064" s="3">
        <f t="shared" si="288"/>
        <v>24</v>
      </c>
      <c r="AB1064" s="3">
        <f>IF(AND($M1064=1,LEFT(对接源_01水果!$D1064,4)="原料出库"),1,0)</f>
        <v>0</v>
      </c>
      <c r="AC1064" s="3">
        <f t="shared" si="289"/>
        <v>0</v>
      </c>
      <c r="AD1064" s="3">
        <f>IF(AND($M1064=1,LEFT(对接源_01水果!$D1064,4)="成品出库"),1,0)</f>
        <v>0</v>
      </c>
      <c r="AE1064" s="3">
        <f t="shared" si="290"/>
        <v>0</v>
      </c>
      <c r="AF1064" s="3">
        <f>IF(AND($N1064=1,AND(LEFT(对接源_01水果!$D1064,4)="包装物料",N(对接源_01水果!$K1064)&lt;&gt;0)),1,0)</f>
        <v>0</v>
      </c>
      <c r="AG1064" s="3">
        <f t="shared" si="291"/>
        <v>0</v>
      </c>
      <c r="AH1064" s="3">
        <f>IF(AND($N1064=1,AND(对接源_01水果!$D1064="周转筐－销售出库",N(对接源_01水果!$K1064)&lt;&gt;0)),1,0)</f>
        <v>0</v>
      </c>
      <c r="AI1064" s="3">
        <f t="shared" si="292"/>
        <v>0</v>
      </c>
      <c r="AJ1064" s="7"/>
      <c r="AL1064" s="3">
        <f>IF(OR($AL$1="",对接源_01水果!$Y1064="",对接源_01水果!$Y1064&lt;&gt;$AL$1,对接源_01水果!$B1064="",N(对接源_01水果!$AJ1064)&lt;=0),0,IF(OR(N(对接源_01水果!$B1064)&lt;$AL$2,N(对接源_01水果!$B1064)&gt;$AL$3),0,1))</f>
        <v>0</v>
      </c>
      <c r="AM1064" s="3">
        <f t="shared" si="293"/>
        <v>1</v>
      </c>
      <c r="AN1064" s="3" t="str">
        <f>IF(对接源_01水果!$AC1064="","",对接源_01水果!$AC1064)</f>
        <v/>
      </c>
      <c r="AO1064" s="3">
        <f t="shared" si="294"/>
        <v>0</v>
      </c>
      <c r="AP1064" s="3">
        <f t="shared" si="295"/>
        <v>8</v>
      </c>
      <c r="AR1064">
        <f t="shared" si="296"/>
        <v>0</v>
      </c>
      <c r="AS1064">
        <f t="shared" si="297"/>
        <v>0</v>
      </c>
    </row>
    <row r="1065" ht="14.25" customHeight="1" spans="1:45">
      <c r="A1065" s="3" t="str">
        <f>IF(对接源_01水果!$C1065="","",对接源_01水果!$C1065)</f>
        <v/>
      </c>
      <c r="B1065" s="3">
        <f t="shared" si="281"/>
        <v>0</v>
      </c>
      <c r="C1065" s="3">
        <f t="shared" si="282"/>
        <v>18</v>
      </c>
      <c r="K1065" s="3">
        <f>IF(OR($K$1="",对接源_01水果!$C1065="",对接源_01水果!$C1065&lt;&gt;$K$1,对接源_01水果!$B1065=""),0,IF(OR(N(对接源_01水果!$B1065)&lt;$K$2,N(对接源_01水果!$B1065)&gt;$K$3),0,1))</f>
        <v>0</v>
      </c>
      <c r="L1065" s="3">
        <f>IF(OR($L$1="",对接源_01水果!$C1065="",对接源_01水果!$C1065&lt;&gt;$L$1,对接源_01水果!$B1065=""),0,IF(OR(N(对接源_01水果!$B1065)&lt;$L$2,N(对接源_01水果!$B1065)&gt;$L$3),0,1))</f>
        <v>0</v>
      </c>
      <c r="M1065" s="3">
        <f>IF(OR($M$1="",对接源_01水果!$C1065="",对接源_01水果!$C1065&lt;&gt;$M$1,对接源_01水果!$B1065=""),0,IF(OR(N(对接源_01水果!$B1065)&lt;$M$2,N(对接源_01水果!$B1065)&gt;$M$3),0,1))</f>
        <v>0</v>
      </c>
      <c r="N1065" s="3">
        <f>IF(OR($N$1="",对接源_01水果!$C1065="",对接源_01水果!$C1065&lt;&gt;$N$1,对接源_01水果!$B1065=""),0,IF(OR(N(对接源_01水果!$B1065)&lt;$N$2,N(对接源_01水果!$B1065)&gt;$N$3),0,1))</f>
        <v>0</v>
      </c>
      <c r="P1065" s="3">
        <f>IF(AND($K1065=1,AND(对接源_01水果!$X1065="公司筐",N(对接源_01水果!$T1065)&lt;&gt;0)),1,0)</f>
        <v>0</v>
      </c>
      <c r="Q1065" s="3">
        <f t="shared" si="283"/>
        <v>0</v>
      </c>
      <c r="R1065" s="3">
        <f>IF(AND($K1065=1,AND(对接源_01水果!$X1065="公司筐",N(对接源_01水果!$U1065)&lt;&gt;0)),1,0)</f>
        <v>0</v>
      </c>
      <c r="S1065" s="3">
        <f t="shared" si="284"/>
        <v>0</v>
      </c>
      <c r="T1065" s="3">
        <f>IF(AND($K1065=1,AND(对接源_01水果!$X1065="公司筐",N(对接源_01水果!$V1065)&lt;&gt;0)),1,0)</f>
        <v>0</v>
      </c>
      <c r="U1065" s="3">
        <f t="shared" si="285"/>
        <v>19</v>
      </c>
      <c r="V1065" s="3">
        <f>IF(AND($L1065=1,AND(对接源_01水果!$X1065="自备筐",N(对接源_01水果!$V1065)&lt;&gt;0)),1,0)</f>
        <v>0</v>
      </c>
      <c r="W1065" s="3">
        <f t="shared" si="286"/>
        <v>8</v>
      </c>
      <c r="X1065" s="3">
        <f>IF(AND($L1065=1,AND(对接源_01水果!$X1065="自备筐",N(对接源_01水果!$T1065)&lt;&gt;0)),1,0)</f>
        <v>0</v>
      </c>
      <c r="Y1065" s="3">
        <f t="shared" si="287"/>
        <v>0</v>
      </c>
      <c r="Z1065" s="3">
        <f>IF(AND($M1065=1,对接源_01水果!$D1065="原料入库"),1,0)</f>
        <v>0</v>
      </c>
      <c r="AA1065" s="3">
        <f t="shared" si="288"/>
        <v>24</v>
      </c>
      <c r="AB1065" s="3">
        <f>IF(AND($M1065=1,LEFT(对接源_01水果!$D1065,4)="原料出库"),1,0)</f>
        <v>0</v>
      </c>
      <c r="AC1065" s="3">
        <f t="shared" si="289"/>
        <v>0</v>
      </c>
      <c r="AD1065" s="3">
        <f>IF(AND($M1065=1,LEFT(对接源_01水果!$D1065,4)="成品出库"),1,0)</f>
        <v>0</v>
      </c>
      <c r="AE1065" s="3">
        <f t="shared" si="290"/>
        <v>0</v>
      </c>
      <c r="AF1065" s="3">
        <f>IF(AND($N1065=1,AND(LEFT(对接源_01水果!$D1065,4)="包装物料",N(对接源_01水果!$K1065)&lt;&gt;0)),1,0)</f>
        <v>0</v>
      </c>
      <c r="AG1065" s="3">
        <f t="shared" si="291"/>
        <v>0</v>
      </c>
      <c r="AH1065" s="3">
        <f>IF(AND($N1065=1,AND(对接源_01水果!$D1065="周转筐－销售出库",N(对接源_01水果!$K1065)&lt;&gt;0)),1,0)</f>
        <v>0</v>
      </c>
      <c r="AI1065" s="3">
        <f t="shared" si="292"/>
        <v>0</v>
      </c>
      <c r="AJ1065" s="7"/>
      <c r="AL1065" s="3">
        <f>IF(OR($AL$1="",对接源_01水果!$Y1065="",对接源_01水果!$Y1065&lt;&gt;$AL$1,对接源_01水果!$B1065="",N(对接源_01水果!$AJ1065)&lt;=0),0,IF(OR(N(对接源_01水果!$B1065)&lt;$AL$2,N(对接源_01水果!$B1065)&gt;$AL$3),0,1))</f>
        <v>0</v>
      </c>
      <c r="AM1065" s="3">
        <f t="shared" si="293"/>
        <v>1</v>
      </c>
      <c r="AN1065" s="3" t="str">
        <f>IF(对接源_01水果!$AC1065="","",对接源_01水果!$AC1065)</f>
        <v/>
      </c>
      <c r="AO1065" s="3">
        <f t="shared" si="294"/>
        <v>0</v>
      </c>
      <c r="AP1065" s="3">
        <f t="shared" si="295"/>
        <v>8</v>
      </c>
      <c r="AR1065">
        <f t="shared" si="296"/>
        <v>0</v>
      </c>
      <c r="AS1065">
        <f t="shared" si="297"/>
        <v>0</v>
      </c>
    </row>
    <row r="1066" ht="14.25" customHeight="1" spans="1:45">
      <c r="A1066" s="3" t="str">
        <f>IF(对接源_01水果!$C1066="","",对接源_01水果!$C1066)</f>
        <v/>
      </c>
      <c r="B1066" s="3">
        <f t="shared" si="281"/>
        <v>0</v>
      </c>
      <c r="C1066" s="3">
        <f t="shared" si="282"/>
        <v>18</v>
      </c>
      <c r="K1066" s="3">
        <f>IF(OR($K$1="",对接源_01水果!$C1066="",对接源_01水果!$C1066&lt;&gt;$K$1,对接源_01水果!$B1066=""),0,IF(OR(N(对接源_01水果!$B1066)&lt;$K$2,N(对接源_01水果!$B1066)&gt;$K$3),0,1))</f>
        <v>0</v>
      </c>
      <c r="L1066" s="3">
        <f>IF(OR($L$1="",对接源_01水果!$C1066="",对接源_01水果!$C1066&lt;&gt;$L$1,对接源_01水果!$B1066=""),0,IF(OR(N(对接源_01水果!$B1066)&lt;$L$2,N(对接源_01水果!$B1066)&gt;$L$3),0,1))</f>
        <v>0</v>
      </c>
      <c r="M1066" s="3">
        <f>IF(OR($M$1="",对接源_01水果!$C1066="",对接源_01水果!$C1066&lt;&gt;$M$1,对接源_01水果!$B1066=""),0,IF(OR(N(对接源_01水果!$B1066)&lt;$M$2,N(对接源_01水果!$B1066)&gt;$M$3),0,1))</f>
        <v>0</v>
      </c>
      <c r="N1066" s="3">
        <f>IF(OR($N$1="",对接源_01水果!$C1066="",对接源_01水果!$C1066&lt;&gt;$N$1,对接源_01水果!$B1066=""),0,IF(OR(N(对接源_01水果!$B1066)&lt;$N$2,N(对接源_01水果!$B1066)&gt;$N$3),0,1))</f>
        <v>0</v>
      </c>
      <c r="P1066" s="3">
        <f>IF(AND($K1066=1,AND(对接源_01水果!$X1066="公司筐",N(对接源_01水果!$T1066)&lt;&gt;0)),1,0)</f>
        <v>0</v>
      </c>
      <c r="Q1066" s="3">
        <f t="shared" si="283"/>
        <v>0</v>
      </c>
      <c r="R1066" s="3">
        <f>IF(AND($K1066=1,AND(对接源_01水果!$X1066="公司筐",N(对接源_01水果!$U1066)&lt;&gt;0)),1,0)</f>
        <v>0</v>
      </c>
      <c r="S1066" s="3">
        <f t="shared" si="284"/>
        <v>0</v>
      </c>
      <c r="T1066" s="3">
        <f>IF(AND($K1066=1,AND(对接源_01水果!$X1066="公司筐",N(对接源_01水果!$V1066)&lt;&gt;0)),1,0)</f>
        <v>0</v>
      </c>
      <c r="U1066" s="3">
        <f t="shared" si="285"/>
        <v>19</v>
      </c>
      <c r="V1066" s="3">
        <f>IF(AND($L1066=1,AND(对接源_01水果!$X1066="自备筐",N(对接源_01水果!$V1066)&lt;&gt;0)),1,0)</f>
        <v>0</v>
      </c>
      <c r="W1066" s="3">
        <f t="shared" si="286"/>
        <v>8</v>
      </c>
      <c r="X1066" s="3">
        <f>IF(AND($L1066=1,AND(对接源_01水果!$X1066="自备筐",N(对接源_01水果!$T1066)&lt;&gt;0)),1,0)</f>
        <v>0</v>
      </c>
      <c r="Y1066" s="3">
        <f t="shared" si="287"/>
        <v>0</v>
      </c>
      <c r="Z1066" s="3">
        <f>IF(AND($M1066=1,对接源_01水果!$D1066="原料入库"),1,0)</f>
        <v>0</v>
      </c>
      <c r="AA1066" s="3">
        <f t="shared" si="288"/>
        <v>24</v>
      </c>
      <c r="AB1066" s="3">
        <f>IF(AND($M1066=1,LEFT(对接源_01水果!$D1066,4)="原料出库"),1,0)</f>
        <v>0</v>
      </c>
      <c r="AC1066" s="3">
        <f t="shared" si="289"/>
        <v>0</v>
      </c>
      <c r="AD1066" s="3">
        <f>IF(AND($M1066=1,LEFT(对接源_01水果!$D1066,4)="成品出库"),1,0)</f>
        <v>0</v>
      </c>
      <c r="AE1066" s="3">
        <f t="shared" si="290"/>
        <v>0</v>
      </c>
      <c r="AF1066" s="3">
        <f>IF(AND($N1066=1,AND(LEFT(对接源_01水果!$D1066,4)="包装物料",N(对接源_01水果!$K1066)&lt;&gt;0)),1,0)</f>
        <v>0</v>
      </c>
      <c r="AG1066" s="3">
        <f t="shared" si="291"/>
        <v>0</v>
      </c>
      <c r="AH1066" s="3">
        <f>IF(AND($N1066=1,AND(对接源_01水果!$D1066="周转筐－销售出库",N(对接源_01水果!$K1066)&lt;&gt;0)),1,0)</f>
        <v>0</v>
      </c>
      <c r="AI1066" s="3">
        <f t="shared" si="292"/>
        <v>0</v>
      </c>
      <c r="AJ1066" s="7"/>
      <c r="AL1066" s="3">
        <f>IF(OR($AL$1="",对接源_01水果!$Y1066="",对接源_01水果!$Y1066&lt;&gt;$AL$1,对接源_01水果!$B1066="",N(对接源_01水果!$AJ1066)&lt;=0),0,IF(OR(N(对接源_01水果!$B1066)&lt;$AL$2,N(对接源_01水果!$B1066)&gt;$AL$3),0,1))</f>
        <v>0</v>
      </c>
      <c r="AM1066" s="3">
        <f t="shared" si="293"/>
        <v>1</v>
      </c>
      <c r="AN1066" s="3" t="str">
        <f>IF(对接源_01水果!$AC1066="","",对接源_01水果!$AC1066)</f>
        <v/>
      </c>
      <c r="AO1066" s="3">
        <f t="shared" si="294"/>
        <v>0</v>
      </c>
      <c r="AP1066" s="3">
        <f t="shared" si="295"/>
        <v>8</v>
      </c>
      <c r="AR1066">
        <f t="shared" si="296"/>
        <v>0</v>
      </c>
      <c r="AS1066">
        <f t="shared" si="297"/>
        <v>0</v>
      </c>
    </row>
    <row r="1067" ht="14.25" customHeight="1" spans="1:45">
      <c r="A1067" s="3" t="str">
        <f>IF(对接源_01水果!$C1067="","",对接源_01水果!$C1067)</f>
        <v/>
      </c>
      <c r="B1067" s="3">
        <f t="shared" si="281"/>
        <v>0</v>
      </c>
      <c r="C1067" s="3">
        <f t="shared" si="282"/>
        <v>18</v>
      </c>
      <c r="K1067" s="3">
        <f>IF(OR($K$1="",对接源_01水果!$C1067="",对接源_01水果!$C1067&lt;&gt;$K$1,对接源_01水果!$B1067=""),0,IF(OR(N(对接源_01水果!$B1067)&lt;$K$2,N(对接源_01水果!$B1067)&gt;$K$3),0,1))</f>
        <v>0</v>
      </c>
      <c r="L1067" s="3">
        <f>IF(OR($L$1="",对接源_01水果!$C1067="",对接源_01水果!$C1067&lt;&gt;$L$1,对接源_01水果!$B1067=""),0,IF(OR(N(对接源_01水果!$B1067)&lt;$L$2,N(对接源_01水果!$B1067)&gt;$L$3),0,1))</f>
        <v>0</v>
      </c>
      <c r="M1067" s="3">
        <f>IF(OR($M$1="",对接源_01水果!$C1067="",对接源_01水果!$C1067&lt;&gt;$M$1,对接源_01水果!$B1067=""),0,IF(OR(N(对接源_01水果!$B1067)&lt;$M$2,N(对接源_01水果!$B1067)&gt;$M$3),0,1))</f>
        <v>0</v>
      </c>
      <c r="N1067" s="3">
        <f>IF(OR($N$1="",对接源_01水果!$C1067="",对接源_01水果!$C1067&lt;&gt;$N$1,对接源_01水果!$B1067=""),0,IF(OR(N(对接源_01水果!$B1067)&lt;$N$2,N(对接源_01水果!$B1067)&gt;$N$3),0,1))</f>
        <v>0</v>
      </c>
      <c r="P1067" s="3">
        <f>IF(AND($K1067=1,AND(对接源_01水果!$X1067="公司筐",N(对接源_01水果!$T1067)&lt;&gt;0)),1,0)</f>
        <v>0</v>
      </c>
      <c r="Q1067" s="3">
        <f t="shared" si="283"/>
        <v>0</v>
      </c>
      <c r="R1067" s="3">
        <f>IF(AND($K1067=1,AND(对接源_01水果!$X1067="公司筐",N(对接源_01水果!$U1067)&lt;&gt;0)),1,0)</f>
        <v>0</v>
      </c>
      <c r="S1067" s="3">
        <f t="shared" si="284"/>
        <v>0</v>
      </c>
      <c r="T1067" s="3">
        <f>IF(AND($K1067=1,AND(对接源_01水果!$X1067="公司筐",N(对接源_01水果!$V1067)&lt;&gt;0)),1,0)</f>
        <v>0</v>
      </c>
      <c r="U1067" s="3">
        <f t="shared" si="285"/>
        <v>19</v>
      </c>
      <c r="V1067" s="3">
        <f>IF(AND($L1067=1,AND(对接源_01水果!$X1067="自备筐",N(对接源_01水果!$V1067)&lt;&gt;0)),1,0)</f>
        <v>0</v>
      </c>
      <c r="W1067" s="3">
        <f t="shared" si="286"/>
        <v>8</v>
      </c>
      <c r="X1067" s="3">
        <f>IF(AND($L1067=1,AND(对接源_01水果!$X1067="自备筐",N(对接源_01水果!$T1067)&lt;&gt;0)),1,0)</f>
        <v>0</v>
      </c>
      <c r="Y1067" s="3">
        <f t="shared" si="287"/>
        <v>0</v>
      </c>
      <c r="Z1067" s="3">
        <f>IF(AND($M1067=1,对接源_01水果!$D1067="原料入库"),1,0)</f>
        <v>0</v>
      </c>
      <c r="AA1067" s="3">
        <f t="shared" si="288"/>
        <v>24</v>
      </c>
      <c r="AB1067" s="3">
        <f>IF(AND($M1067=1,LEFT(对接源_01水果!$D1067,4)="原料出库"),1,0)</f>
        <v>0</v>
      </c>
      <c r="AC1067" s="3">
        <f t="shared" si="289"/>
        <v>0</v>
      </c>
      <c r="AD1067" s="3">
        <f>IF(AND($M1067=1,LEFT(对接源_01水果!$D1067,4)="成品出库"),1,0)</f>
        <v>0</v>
      </c>
      <c r="AE1067" s="3">
        <f t="shared" si="290"/>
        <v>0</v>
      </c>
      <c r="AF1067" s="3">
        <f>IF(AND($N1067=1,AND(LEFT(对接源_01水果!$D1067,4)="包装物料",N(对接源_01水果!$K1067)&lt;&gt;0)),1,0)</f>
        <v>0</v>
      </c>
      <c r="AG1067" s="3">
        <f t="shared" si="291"/>
        <v>0</v>
      </c>
      <c r="AH1067" s="3">
        <f>IF(AND($N1067=1,AND(对接源_01水果!$D1067="周转筐－销售出库",N(对接源_01水果!$K1067)&lt;&gt;0)),1,0)</f>
        <v>0</v>
      </c>
      <c r="AI1067" s="3">
        <f t="shared" si="292"/>
        <v>0</v>
      </c>
      <c r="AJ1067" s="7"/>
      <c r="AL1067" s="3">
        <f>IF(OR($AL$1="",对接源_01水果!$Y1067="",对接源_01水果!$Y1067&lt;&gt;$AL$1,对接源_01水果!$B1067="",N(对接源_01水果!$AJ1067)&lt;=0),0,IF(OR(N(对接源_01水果!$B1067)&lt;$AL$2,N(对接源_01水果!$B1067)&gt;$AL$3),0,1))</f>
        <v>0</v>
      </c>
      <c r="AM1067" s="3">
        <f t="shared" si="293"/>
        <v>1</v>
      </c>
      <c r="AN1067" s="3" t="str">
        <f>IF(对接源_01水果!$AC1067="","",对接源_01水果!$AC1067)</f>
        <v/>
      </c>
      <c r="AO1067" s="3">
        <f t="shared" si="294"/>
        <v>0</v>
      </c>
      <c r="AP1067" s="3">
        <f t="shared" si="295"/>
        <v>8</v>
      </c>
      <c r="AR1067">
        <f t="shared" si="296"/>
        <v>0</v>
      </c>
      <c r="AS1067">
        <f t="shared" si="297"/>
        <v>0</v>
      </c>
    </row>
    <row r="1068" ht="14.25" customHeight="1" spans="1:45">
      <c r="A1068" s="3" t="str">
        <f>IF(对接源_01水果!$C1068="","",对接源_01水果!$C1068)</f>
        <v/>
      </c>
      <c r="B1068" s="3">
        <f t="shared" si="281"/>
        <v>0</v>
      </c>
      <c r="C1068" s="3">
        <f t="shared" si="282"/>
        <v>18</v>
      </c>
      <c r="K1068" s="3">
        <f>IF(OR($K$1="",对接源_01水果!$C1068="",对接源_01水果!$C1068&lt;&gt;$K$1,对接源_01水果!$B1068=""),0,IF(OR(N(对接源_01水果!$B1068)&lt;$K$2,N(对接源_01水果!$B1068)&gt;$K$3),0,1))</f>
        <v>0</v>
      </c>
      <c r="L1068" s="3">
        <f>IF(OR($L$1="",对接源_01水果!$C1068="",对接源_01水果!$C1068&lt;&gt;$L$1,对接源_01水果!$B1068=""),0,IF(OR(N(对接源_01水果!$B1068)&lt;$L$2,N(对接源_01水果!$B1068)&gt;$L$3),0,1))</f>
        <v>0</v>
      </c>
      <c r="M1068" s="3">
        <f>IF(OR($M$1="",对接源_01水果!$C1068="",对接源_01水果!$C1068&lt;&gt;$M$1,对接源_01水果!$B1068=""),0,IF(OR(N(对接源_01水果!$B1068)&lt;$M$2,N(对接源_01水果!$B1068)&gt;$M$3),0,1))</f>
        <v>0</v>
      </c>
      <c r="N1068" s="3">
        <f>IF(OR($N$1="",对接源_01水果!$C1068="",对接源_01水果!$C1068&lt;&gt;$N$1,对接源_01水果!$B1068=""),0,IF(OR(N(对接源_01水果!$B1068)&lt;$N$2,N(对接源_01水果!$B1068)&gt;$N$3),0,1))</f>
        <v>0</v>
      </c>
      <c r="P1068" s="3">
        <f>IF(AND($K1068=1,AND(对接源_01水果!$X1068="公司筐",N(对接源_01水果!$T1068)&lt;&gt;0)),1,0)</f>
        <v>0</v>
      </c>
      <c r="Q1068" s="3">
        <f t="shared" si="283"/>
        <v>0</v>
      </c>
      <c r="R1068" s="3">
        <f>IF(AND($K1068=1,AND(对接源_01水果!$X1068="公司筐",N(对接源_01水果!$U1068)&lt;&gt;0)),1,0)</f>
        <v>0</v>
      </c>
      <c r="S1068" s="3">
        <f t="shared" si="284"/>
        <v>0</v>
      </c>
      <c r="T1068" s="3">
        <f>IF(AND($K1068=1,AND(对接源_01水果!$X1068="公司筐",N(对接源_01水果!$V1068)&lt;&gt;0)),1,0)</f>
        <v>0</v>
      </c>
      <c r="U1068" s="3">
        <f t="shared" si="285"/>
        <v>19</v>
      </c>
      <c r="V1068" s="3">
        <f>IF(AND($L1068=1,AND(对接源_01水果!$X1068="自备筐",N(对接源_01水果!$V1068)&lt;&gt;0)),1,0)</f>
        <v>0</v>
      </c>
      <c r="W1068" s="3">
        <f t="shared" si="286"/>
        <v>8</v>
      </c>
      <c r="X1068" s="3">
        <f>IF(AND($L1068=1,AND(对接源_01水果!$X1068="自备筐",N(对接源_01水果!$T1068)&lt;&gt;0)),1,0)</f>
        <v>0</v>
      </c>
      <c r="Y1068" s="3">
        <f t="shared" si="287"/>
        <v>0</v>
      </c>
      <c r="Z1068" s="3">
        <f>IF(AND($M1068=1,对接源_01水果!$D1068="原料入库"),1,0)</f>
        <v>0</v>
      </c>
      <c r="AA1068" s="3">
        <f t="shared" si="288"/>
        <v>24</v>
      </c>
      <c r="AB1068" s="3">
        <f>IF(AND($M1068=1,LEFT(对接源_01水果!$D1068,4)="原料出库"),1,0)</f>
        <v>0</v>
      </c>
      <c r="AC1068" s="3">
        <f t="shared" si="289"/>
        <v>0</v>
      </c>
      <c r="AD1068" s="3">
        <f>IF(AND($M1068=1,LEFT(对接源_01水果!$D1068,4)="成品出库"),1,0)</f>
        <v>0</v>
      </c>
      <c r="AE1068" s="3">
        <f t="shared" si="290"/>
        <v>0</v>
      </c>
      <c r="AF1068" s="3">
        <f>IF(AND($N1068=1,AND(LEFT(对接源_01水果!$D1068,4)="包装物料",N(对接源_01水果!$K1068)&lt;&gt;0)),1,0)</f>
        <v>0</v>
      </c>
      <c r="AG1068" s="3">
        <f t="shared" si="291"/>
        <v>0</v>
      </c>
      <c r="AH1068" s="3">
        <f>IF(AND($N1068=1,AND(对接源_01水果!$D1068="周转筐－销售出库",N(对接源_01水果!$K1068)&lt;&gt;0)),1,0)</f>
        <v>0</v>
      </c>
      <c r="AI1068" s="3">
        <f t="shared" si="292"/>
        <v>0</v>
      </c>
      <c r="AJ1068" s="7"/>
      <c r="AL1068" s="3">
        <f>IF(OR($AL$1="",对接源_01水果!$Y1068="",对接源_01水果!$Y1068&lt;&gt;$AL$1,对接源_01水果!$B1068="",N(对接源_01水果!$AJ1068)&lt;=0),0,IF(OR(N(对接源_01水果!$B1068)&lt;$AL$2,N(对接源_01水果!$B1068)&gt;$AL$3),0,1))</f>
        <v>0</v>
      </c>
      <c r="AM1068" s="3">
        <f t="shared" si="293"/>
        <v>1</v>
      </c>
      <c r="AN1068" s="3" t="str">
        <f>IF(对接源_01水果!$AC1068="","",对接源_01水果!$AC1068)</f>
        <v/>
      </c>
      <c r="AO1068" s="3">
        <f t="shared" si="294"/>
        <v>0</v>
      </c>
      <c r="AP1068" s="3">
        <f t="shared" si="295"/>
        <v>8</v>
      </c>
      <c r="AR1068">
        <f t="shared" si="296"/>
        <v>0</v>
      </c>
      <c r="AS1068">
        <f t="shared" si="297"/>
        <v>0</v>
      </c>
    </row>
    <row r="1069" ht="14.25" customHeight="1" spans="1:45">
      <c r="A1069" s="3" t="str">
        <f>IF(对接源_01水果!$C1069="","",对接源_01水果!$C1069)</f>
        <v/>
      </c>
      <c r="B1069" s="3">
        <f t="shared" si="281"/>
        <v>0</v>
      </c>
      <c r="C1069" s="3">
        <f t="shared" si="282"/>
        <v>18</v>
      </c>
      <c r="K1069" s="3">
        <f>IF(OR($K$1="",对接源_01水果!$C1069="",对接源_01水果!$C1069&lt;&gt;$K$1,对接源_01水果!$B1069=""),0,IF(OR(N(对接源_01水果!$B1069)&lt;$K$2,N(对接源_01水果!$B1069)&gt;$K$3),0,1))</f>
        <v>0</v>
      </c>
      <c r="L1069" s="3">
        <f>IF(OR($L$1="",对接源_01水果!$C1069="",对接源_01水果!$C1069&lt;&gt;$L$1,对接源_01水果!$B1069=""),0,IF(OR(N(对接源_01水果!$B1069)&lt;$L$2,N(对接源_01水果!$B1069)&gt;$L$3),0,1))</f>
        <v>0</v>
      </c>
      <c r="M1069" s="3">
        <f>IF(OR($M$1="",对接源_01水果!$C1069="",对接源_01水果!$C1069&lt;&gt;$M$1,对接源_01水果!$B1069=""),0,IF(OR(N(对接源_01水果!$B1069)&lt;$M$2,N(对接源_01水果!$B1069)&gt;$M$3),0,1))</f>
        <v>0</v>
      </c>
      <c r="N1069" s="3">
        <f>IF(OR($N$1="",对接源_01水果!$C1069="",对接源_01水果!$C1069&lt;&gt;$N$1,对接源_01水果!$B1069=""),0,IF(OR(N(对接源_01水果!$B1069)&lt;$N$2,N(对接源_01水果!$B1069)&gt;$N$3),0,1))</f>
        <v>0</v>
      </c>
      <c r="P1069" s="3">
        <f>IF(AND($K1069=1,AND(对接源_01水果!$X1069="公司筐",N(对接源_01水果!$T1069)&lt;&gt;0)),1,0)</f>
        <v>0</v>
      </c>
      <c r="Q1069" s="3">
        <f t="shared" si="283"/>
        <v>0</v>
      </c>
      <c r="R1069" s="3">
        <f>IF(AND($K1069=1,AND(对接源_01水果!$X1069="公司筐",N(对接源_01水果!$U1069)&lt;&gt;0)),1,0)</f>
        <v>0</v>
      </c>
      <c r="S1069" s="3">
        <f t="shared" si="284"/>
        <v>0</v>
      </c>
      <c r="T1069" s="3">
        <f>IF(AND($K1069=1,AND(对接源_01水果!$X1069="公司筐",N(对接源_01水果!$V1069)&lt;&gt;0)),1,0)</f>
        <v>0</v>
      </c>
      <c r="U1069" s="3">
        <f t="shared" si="285"/>
        <v>19</v>
      </c>
      <c r="V1069" s="3">
        <f>IF(AND($L1069=1,AND(对接源_01水果!$X1069="自备筐",N(对接源_01水果!$V1069)&lt;&gt;0)),1,0)</f>
        <v>0</v>
      </c>
      <c r="W1069" s="3">
        <f t="shared" si="286"/>
        <v>8</v>
      </c>
      <c r="X1069" s="3">
        <f>IF(AND($L1069=1,AND(对接源_01水果!$X1069="自备筐",N(对接源_01水果!$T1069)&lt;&gt;0)),1,0)</f>
        <v>0</v>
      </c>
      <c r="Y1069" s="3">
        <f t="shared" si="287"/>
        <v>0</v>
      </c>
      <c r="Z1069" s="3">
        <f>IF(AND($M1069=1,对接源_01水果!$D1069="原料入库"),1,0)</f>
        <v>0</v>
      </c>
      <c r="AA1069" s="3">
        <f t="shared" si="288"/>
        <v>24</v>
      </c>
      <c r="AB1069" s="3">
        <f>IF(AND($M1069=1,LEFT(对接源_01水果!$D1069,4)="原料出库"),1,0)</f>
        <v>0</v>
      </c>
      <c r="AC1069" s="3">
        <f t="shared" si="289"/>
        <v>0</v>
      </c>
      <c r="AD1069" s="3">
        <f>IF(AND($M1069=1,LEFT(对接源_01水果!$D1069,4)="成品出库"),1,0)</f>
        <v>0</v>
      </c>
      <c r="AE1069" s="3">
        <f t="shared" si="290"/>
        <v>0</v>
      </c>
      <c r="AF1069" s="3">
        <f>IF(AND($N1069=1,AND(LEFT(对接源_01水果!$D1069,4)="包装物料",N(对接源_01水果!$K1069)&lt;&gt;0)),1,0)</f>
        <v>0</v>
      </c>
      <c r="AG1069" s="3">
        <f t="shared" si="291"/>
        <v>0</v>
      </c>
      <c r="AH1069" s="3">
        <f>IF(AND($N1069=1,AND(对接源_01水果!$D1069="周转筐－销售出库",N(对接源_01水果!$K1069)&lt;&gt;0)),1,0)</f>
        <v>0</v>
      </c>
      <c r="AI1069" s="3">
        <f t="shared" si="292"/>
        <v>0</v>
      </c>
      <c r="AJ1069" s="7"/>
      <c r="AL1069" s="3">
        <f>IF(OR($AL$1="",对接源_01水果!$Y1069="",对接源_01水果!$Y1069&lt;&gt;$AL$1,对接源_01水果!$B1069="",N(对接源_01水果!$AJ1069)&lt;=0),0,IF(OR(N(对接源_01水果!$B1069)&lt;$AL$2,N(对接源_01水果!$B1069)&gt;$AL$3),0,1))</f>
        <v>0</v>
      </c>
      <c r="AM1069" s="3">
        <f t="shared" si="293"/>
        <v>1</v>
      </c>
      <c r="AN1069" s="3" t="str">
        <f>IF(对接源_01水果!$AC1069="","",对接源_01水果!$AC1069)</f>
        <v/>
      </c>
      <c r="AO1069" s="3">
        <f t="shared" si="294"/>
        <v>0</v>
      </c>
      <c r="AP1069" s="3">
        <f t="shared" si="295"/>
        <v>8</v>
      </c>
      <c r="AR1069">
        <f t="shared" si="296"/>
        <v>0</v>
      </c>
      <c r="AS1069">
        <f t="shared" si="297"/>
        <v>0</v>
      </c>
    </row>
    <row r="1070" ht="14.25" customHeight="1" spans="1:45">
      <c r="A1070" s="3" t="str">
        <f>IF(对接源_01水果!$C1070="","",对接源_01水果!$C1070)</f>
        <v/>
      </c>
      <c r="B1070" s="3">
        <f t="shared" si="281"/>
        <v>0</v>
      </c>
      <c r="C1070" s="3">
        <f t="shared" si="282"/>
        <v>18</v>
      </c>
      <c r="K1070" s="3">
        <f>IF(OR($K$1="",对接源_01水果!$C1070="",对接源_01水果!$C1070&lt;&gt;$K$1,对接源_01水果!$B1070=""),0,IF(OR(N(对接源_01水果!$B1070)&lt;$K$2,N(对接源_01水果!$B1070)&gt;$K$3),0,1))</f>
        <v>0</v>
      </c>
      <c r="L1070" s="3">
        <f>IF(OR($L$1="",对接源_01水果!$C1070="",对接源_01水果!$C1070&lt;&gt;$L$1,对接源_01水果!$B1070=""),0,IF(OR(N(对接源_01水果!$B1070)&lt;$L$2,N(对接源_01水果!$B1070)&gt;$L$3),0,1))</f>
        <v>0</v>
      </c>
      <c r="M1070" s="3">
        <f>IF(OR($M$1="",对接源_01水果!$C1070="",对接源_01水果!$C1070&lt;&gt;$M$1,对接源_01水果!$B1070=""),0,IF(OR(N(对接源_01水果!$B1070)&lt;$M$2,N(对接源_01水果!$B1070)&gt;$M$3),0,1))</f>
        <v>0</v>
      </c>
      <c r="N1070" s="3">
        <f>IF(OR($N$1="",对接源_01水果!$C1070="",对接源_01水果!$C1070&lt;&gt;$N$1,对接源_01水果!$B1070=""),0,IF(OR(N(对接源_01水果!$B1070)&lt;$N$2,N(对接源_01水果!$B1070)&gt;$N$3),0,1))</f>
        <v>0</v>
      </c>
      <c r="P1070" s="3">
        <f>IF(AND($K1070=1,AND(对接源_01水果!$X1070="公司筐",N(对接源_01水果!$T1070)&lt;&gt;0)),1,0)</f>
        <v>0</v>
      </c>
      <c r="Q1070" s="3">
        <f t="shared" si="283"/>
        <v>0</v>
      </c>
      <c r="R1070" s="3">
        <f>IF(AND($K1070=1,AND(对接源_01水果!$X1070="公司筐",N(对接源_01水果!$U1070)&lt;&gt;0)),1,0)</f>
        <v>0</v>
      </c>
      <c r="S1070" s="3">
        <f t="shared" si="284"/>
        <v>0</v>
      </c>
      <c r="T1070" s="3">
        <f>IF(AND($K1070=1,AND(对接源_01水果!$X1070="公司筐",N(对接源_01水果!$V1070)&lt;&gt;0)),1,0)</f>
        <v>0</v>
      </c>
      <c r="U1070" s="3">
        <f t="shared" si="285"/>
        <v>19</v>
      </c>
      <c r="V1070" s="3">
        <f>IF(AND($L1070=1,AND(对接源_01水果!$X1070="自备筐",N(对接源_01水果!$V1070)&lt;&gt;0)),1,0)</f>
        <v>0</v>
      </c>
      <c r="W1070" s="3">
        <f t="shared" si="286"/>
        <v>8</v>
      </c>
      <c r="X1070" s="3">
        <f>IF(AND($L1070=1,AND(对接源_01水果!$X1070="自备筐",N(对接源_01水果!$T1070)&lt;&gt;0)),1,0)</f>
        <v>0</v>
      </c>
      <c r="Y1070" s="3">
        <f t="shared" si="287"/>
        <v>0</v>
      </c>
      <c r="Z1070" s="3">
        <f>IF(AND($M1070=1,对接源_01水果!$D1070="原料入库"),1,0)</f>
        <v>0</v>
      </c>
      <c r="AA1070" s="3">
        <f t="shared" si="288"/>
        <v>24</v>
      </c>
      <c r="AB1070" s="3">
        <f>IF(AND($M1070=1,LEFT(对接源_01水果!$D1070,4)="原料出库"),1,0)</f>
        <v>0</v>
      </c>
      <c r="AC1070" s="3">
        <f t="shared" si="289"/>
        <v>0</v>
      </c>
      <c r="AD1070" s="3">
        <f>IF(AND($M1070=1,LEFT(对接源_01水果!$D1070,4)="成品出库"),1,0)</f>
        <v>0</v>
      </c>
      <c r="AE1070" s="3">
        <f t="shared" si="290"/>
        <v>0</v>
      </c>
      <c r="AF1070" s="3">
        <f>IF(AND($N1070=1,AND(LEFT(对接源_01水果!$D1070,4)="包装物料",N(对接源_01水果!$K1070)&lt;&gt;0)),1,0)</f>
        <v>0</v>
      </c>
      <c r="AG1070" s="3">
        <f t="shared" si="291"/>
        <v>0</v>
      </c>
      <c r="AH1070" s="3">
        <f>IF(AND($N1070=1,AND(对接源_01水果!$D1070="周转筐－销售出库",N(对接源_01水果!$K1070)&lt;&gt;0)),1,0)</f>
        <v>0</v>
      </c>
      <c r="AI1070" s="3">
        <f t="shared" si="292"/>
        <v>0</v>
      </c>
      <c r="AJ1070" s="7"/>
      <c r="AL1070" s="3">
        <f>IF(OR($AL$1="",对接源_01水果!$Y1070="",对接源_01水果!$Y1070&lt;&gt;$AL$1,对接源_01水果!$B1070="",N(对接源_01水果!$AJ1070)&lt;=0),0,IF(OR(N(对接源_01水果!$B1070)&lt;$AL$2,N(对接源_01水果!$B1070)&gt;$AL$3),0,1))</f>
        <v>0</v>
      </c>
      <c r="AM1070" s="3">
        <f t="shared" si="293"/>
        <v>1</v>
      </c>
      <c r="AN1070" s="3" t="str">
        <f>IF(对接源_01水果!$AC1070="","",对接源_01水果!$AC1070)</f>
        <v/>
      </c>
      <c r="AO1070" s="3">
        <f t="shared" si="294"/>
        <v>0</v>
      </c>
      <c r="AP1070" s="3">
        <f t="shared" si="295"/>
        <v>8</v>
      </c>
      <c r="AR1070">
        <f t="shared" si="296"/>
        <v>0</v>
      </c>
      <c r="AS1070">
        <f t="shared" si="297"/>
        <v>0</v>
      </c>
    </row>
    <row r="1071" ht="14.25" customHeight="1" spans="1:45">
      <c r="A1071" s="3" t="str">
        <f>IF(对接源_01水果!$C1071="","",对接源_01水果!$C1071)</f>
        <v/>
      </c>
      <c r="B1071" s="3">
        <f t="shared" si="281"/>
        <v>0</v>
      </c>
      <c r="C1071" s="3">
        <f t="shared" si="282"/>
        <v>18</v>
      </c>
      <c r="K1071" s="3">
        <f>IF(OR($K$1="",对接源_01水果!$C1071="",对接源_01水果!$C1071&lt;&gt;$K$1,对接源_01水果!$B1071=""),0,IF(OR(N(对接源_01水果!$B1071)&lt;$K$2,N(对接源_01水果!$B1071)&gt;$K$3),0,1))</f>
        <v>0</v>
      </c>
      <c r="L1071" s="3">
        <f>IF(OR($L$1="",对接源_01水果!$C1071="",对接源_01水果!$C1071&lt;&gt;$L$1,对接源_01水果!$B1071=""),0,IF(OR(N(对接源_01水果!$B1071)&lt;$L$2,N(对接源_01水果!$B1071)&gt;$L$3),0,1))</f>
        <v>0</v>
      </c>
      <c r="M1071" s="3">
        <f>IF(OR($M$1="",对接源_01水果!$C1071="",对接源_01水果!$C1071&lt;&gt;$M$1,对接源_01水果!$B1071=""),0,IF(OR(N(对接源_01水果!$B1071)&lt;$M$2,N(对接源_01水果!$B1071)&gt;$M$3),0,1))</f>
        <v>0</v>
      </c>
      <c r="N1071" s="3">
        <f>IF(OR($N$1="",对接源_01水果!$C1071="",对接源_01水果!$C1071&lt;&gt;$N$1,对接源_01水果!$B1071=""),0,IF(OR(N(对接源_01水果!$B1071)&lt;$N$2,N(对接源_01水果!$B1071)&gt;$N$3),0,1))</f>
        <v>0</v>
      </c>
      <c r="P1071" s="3">
        <f>IF(AND($K1071=1,AND(对接源_01水果!$X1071="公司筐",N(对接源_01水果!$T1071)&lt;&gt;0)),1,0)</f>
        <v>0</v>
      </c>
      <c r="Q1071" s="3">
        <f t="shared" si="283"/>
        <v>0</v>
      </c>
      <c r="R1071" s="3">
        <f>IF(AND($K1071=1,AND(对接源_01水果!$X1071="公司筐",N(对接源_01水果!$U1071)&lt;&gt;0)),1,0)</f>
        <v>0</v>
      </c>
      <c r="S1071" s="3">
        <f t="shared" si="284"/>
        <v>0</v>
      </c>
      <c r="T1071" s="3">
        <f>IF(AND($K1071=1,AND(对接源_01水果!$X1071="公司筐",N(对接源_01水果!$V1071)&lt;&gt;0)),1,0)</f>
        <v>0</v>
      </c>
      <c r="U1071" s="3">
        <f t="shared" si="285"/>
        <v>19</v>
      </c>
      <c r="V1071" s="3">
        <f>IF(AND($L1071=1,AND(对接源_01水果!$X1071="自备筐",N(对接源_01水果!$V1071)&lt;&gt;0)),1,0)</f>
        <v>0</v>
      </c>
      <c r="W1071" s="3">
        <f t="shared" si="286"/>
        <v>8</v>
      </c>
      <c r="X1071" s="3">
        <f>IF(AND($L1071=1,AND(对接源_01水果!$X1071="自备筐",N(对接源_01水果!$T1071)&lt;&gt;0)),1,0)</f>
        <v>0</v>
      </c>
      <c r="Y1071" s="3">
        <f t="shared" si="287"/>
        <v>0</v>
      </c>
      <c r="Z1071" s="3">
        <f>IF(AND($M1071=1,对接源_01水果!$D1071="原料入库"),1,0)</f>
        <v>0</v>
      </c>
      <c r="AA1071" s="3">
        <f t="shared" si="288"/>
        <v>24</v>
      </c>
      <c r="AB1071" s="3">
        <f>IF(AND($M1071=1,LEFT(对接源_01水果!$D1071,4)="原料出库"),1,0)</f>
        <v>0</v>
      </c>
      <c r="AC1071" s="3">
        <f t="shared" si="289"/>
        <v>0</v>
      </c>
      <c r="AD1071" s="3">
        <f>IF(AND($M1071=1,LEFT(对接源_01水果!$D1071,4)="成品出库"),1,0)</f>
        <v>0</v>
      </c>
      <c r="AE1071" s="3">
        <f t="shared" si="290"/>
        <v>0</v>
      </c>
      <c r="AF1071" s="3">
        <f>IF(AND($N1071=1,AND(LEFT(对接源_01水果!$D1071,4)="包装物料",N(对接源_01水果!$K1071)&lt;&gt;0)),1,0)</f>
        <v>0</v>
      </c>
      <c r="AG1071" s="3">
        <f t="shared" si="291"/>
        <v>0</v>
      </c>
      <c r="AH1071" s="3">
        <f>IF(AND($N1071=1,AND(对接源_01水果!$D1071="周转筐－销售出库",N(对接源_01水果!$K1071)&lt;&gt;0)),1,0)</f>
        <v>0</v>
      </c>
      <c r="AI1071" s="3">
        <f t="shared" si="292"/>
        <v>0</v>
      </c>
      <c r="AJ1071" s="7"/>
      <c r="AL1071" s="3">
        <f>IF(OR($AL$1="",对接源_01水果!$Y1071="",对接源_01水果!$Y1071&lt;&gt;$AL$1,对接源_01水果!$B1071="",N(对接源_01水果!$AJ1071)&lt;=0),0,IF(OR(N(对接源_01水果!$B1071)&lt;$AL$2,N(对接源_01水果!$B1071)&gt;$AL$3),0,1))</f>
        <v>0</v>
      </c>
      <c r="AM1071" s="3">
        <f t="shared" si="293"/>
        <v>1</v>
      </c>
      <c r="AN1071" s="3" t="str">
        <f>IF(对接源_01水果!$AC1071="","",对接源_01水果!$AC1071)</f>
        <v/>
      </c>
      <c r="AO1071" s="3">
        <f t="shared" si="294"/>
        <v>0</v>
      </c>
      <c r="AP1071" s="3">
        <f t="shared" si="295"/>
        <v>8</v>
      </c>
      <c r="AR1071">
        <f t="shared" si="296"/>
        <v>0</v>
      </c>
      <c r="AS1071">
        <f t="shared" si="297"/>
        <v>0</v>
      </c>
    </row>
    <row r="1072" ht="14.25" customHeight="1" spans="1:45">
      <c r="A1072" s="3" t="str">
        <f>IF(对接源_01水果!$C1072="","",对接源_01水果!$C1072)</f>
        <v/>
      </c>
      <c r="B1072" s="3">
        <f t="shared" si="281"/>
        <v>0</v>
      </c>
      <c r="C1072" s="3">
        <f t="shared" si="282"/>
        <v>18</v>
      </c>
      <c r="K1072" s="3">
        <f>IF(OR($K$1="",对接源_01水果!$C1072="",对接源_01水果!$C1072&lt;&gt;$K$1,对接源_01水果!$B1072=""),0,IF(OR(N(对接源_01水果!$B1072)&lt;$K$2,N(对接源_01水果!$B1072)&gt;$K$3),0,1))</f>
        <v>0</v>
      </c>
      <c r="L1072" s="3">
        <f>IF(OR($L$1="",对接源_01水果!$C1072="",对接源_01水果!$C1072&lt;&gt;$L$1,对接源_01水果!$B1072=""),0,IF(OR(N(对接源_01水果!$B1072)&lt;$L$2,N(对接源_01水果!$B1072)&gt;$L$3),0,1))</f>
        <v>0</v>
      </c>
      <c r="M1072" s="3">
        <f>IF(OR($M$1="",对接源_01水果!$C1072="",对接源_01水果!$C1072&lt;&gt;$M$1,对接源_01水果!$B1072=""),0,IF(OR(N(对接源_01水果!$B1072)&lt;$M$2,N(对接源_01水果!$B1072)&gt;$M$3),0,1))</f>
        <v>0</v>
      </c>
      <c r="N1072" s="3">
        <f>IF(OR($N$1="",对接源_01水果!$C1072="",对接源_01水果!$C1072&lt;&gt;$N$1,对接源_01水果!$B1072=""),0,IF(OR(N(对接源_01水果!$B1072)&lt;$N$2,N(对接源_01水果!$B1072)&gt;$N$3),0,1))</f>
        <v>0</v>
      </c>
      <c r="P1072" s="3">
        <f>IF(AND($K1072=1,AND(对接源_01水果!$X1072="公司筐",N(对接源_01水果!$T1072)&lt;&gt;0)),1,0)</f>
        <v>0</v>
      </c>
      <c r="Q1072" s="3">
        <f t="shared" si="283"/>
        <v>0</v>
      </c>
      <c r="R1072" s="3">
        <f>IF(AND($K1072=1,AND(对接源_01水果!$X1072="公司筐",N(对接源_01水果!$U1072)&lt;&gt;0)),1,0)</f>
        <v>0</v>
      </c>
      <c r="S1072" s="3">
        <f t="shared" si="284"/>
        <v>0</v>
      </c>
      <c r="T1072" s="3">
        <f>IF(AND($K1072=1,AND(对接源_01水果!$X1072="公司筐",N(对接源_01水果!$V1072)&lt;&gt;0)),1,0)</f>
        <v>0</v>
      </c>
      <c r="U1072" s="3">
        <f t="shared" si="285"/>
        <v>19</v>
      </c>
      <c r="V1072" s="3">
        <f>IF(AND($L1072=1,AND(对接源_01水果!$X1072="自备筐",N(对接源_01水果!$V1072)&lt;&gt;0)),1,0)</f>
        <v>0</v>
      </c>
      <c r="W1072" s="3">
        <f t="shared" si="286"/>
        <v>8</v>
      </c>
      <c r="X1072" s="3">
        <f>IF(AND($L1072=1,AND(对接源_01水果!$X1072="自备筐",N(对接源_01水果!$T1072)&lt;&gt;0)),1,0)</f>
        <v>0</v>
      </c>
      <c r="Y1072" s="3">
        <f t="shared" si="287"/>
        <v>0</v>
      </c>
      <c r="Z1072" s="3">
        <f>IF(AND($M1072=1,对接源_01水果!$D1072="原料入库"),1,0)</f>
        <v>0</v>
      </c>
      <c r="AA1072" s="3">
        <f t="shared" si="288"/>
        <v>24</v>
      </c>
      <c r="AB1072" s="3">
        <f>IF(AND($M1072=1,LEFT(对接源_01水果!$D1072,4)="原料出库"),1,0)</f>
        <v>0</v>
      </c>
      <c r="AC1072" s="3">
        <f t="shared" si="289"/>
        <v>0</v>
      </c>
      <c r="AD1072" s="3">
        <f>IF(AND($M1072=1,LEFT(对接源_01水果!$D1072,4)="成品出库"),1,0)</f>
        <v>0</v>
      </c>
      <c r="AE1072" s="3">
        <f t="shared" si="290"/>
        <v>0</v>
      </c>
      <c r="AF1072" s="3">
        <f>IF(AND($N1072=1,AND(LEFT(对接源_01水果!$D1072,4)="包装物料",N(对接源_01水果!$K1072)&lt;&gt;0)),1,0)</f>
        <v>0</v>
      </c>
      <c r="AG1072" s="3">
        <f t="shared" si="291"/>
        <v>0</v>
      </c>
      <c r="AH1072" s="3">
        <f>IF(AND($N1072=1,AND(对接源_01水果!$D1072="周转筐－销售出库",N(对接源_01水果!$K1072)&lt;&gt;0)),1,0)</f>
        <v>0</v>
      </c>
      <c r="AI1072" s="3">
        <f t="shared" si="292"/>
        <v>0</v>
      </c>
      <c r="AJ1072" s="7"/>
      <c r="AL1072" s="3">
        <f>IF(OR($AL$1="",对接源_01水果!$Y1072="",对接源_01水果!$Y1072&lt;&gt;$AL$1,对接源_01水果!$B1072="",N(对接源_01水果!$AJ1072)&lt;=0),0,IF(OR(N(对接源_01水果!$B1072)&lt;$AL$2,N(对接源_01水果!$B1072)&gt;$AL$3),0,1))</f>
        <v>0</v>
      </c>
      <c r="AM1072" s="3">
        <f t="shared" si="293"/>
        <v>1</v>
      </c>
      <c r="AN1072" s="3" t="str">
        <f>IF(对接源_01水果!$AC1072="","",对接源_01水果!$AC1072)</f>
        <v/>
      </c>
      <c r="AO1072" s="3">
        <f t="shared" si="294"/>
        <v>0</v>
      </c>
      <c r="AP1072" s="3">
        <f t="shared" si="295"/>
        <v>8</v>
      </c>
      <c r="AR1072">
        <f t="shared" si="296"/>
        <v>0</v>
      </c>
      <c r="AS1072">
        <f t="shared" si="297"/>
        <v>0</v>
      </c>
    </row>
    <row r="1073" ht="14.25" customHeight="1" spans="1:45">
      <c r="A1073" s="3" t="str">
        <f>IF(对接源_01水果!$C1073="","",对接源_01水果!$C1073)</f>
        <v/>
      </c>
      <c r="B1073" s="3">
        <f t="shared" si="281"/>
        <v>0</v>
      </c>
      <c r="C1073" s="3">
        <f t="shared" si="282"/>
        <v>18</v>
      </c>
      <c r="K1073" s="3">
        <f>IF(OR($K$1="",对接源_01水果!$C1073="",对接源_01水果!$C1073&lt;&gt;$K$1,对接源_01水果!$B1073=""),0,IF(OR(N(对接源_01水果!$B1073)&lt;$K$2,N(对接源_01水果!$B1073)&gt;$K$3),0,1))</f>
        <v>0</v>
      </c>
      <c r="L1073" s="3">
        <f>IF(OR($L$1="",对接源_01水果!$C1073="",对接源_01水果!$C1073&lt;&gt;$L$1,对接源_01水果!$B1073=""),0,IF(OR(N(对接源_01水果!$B1073)&lt;$L$2,N(对接源_01水果!$B1073)&gt;$L$3),0,1))</f>
        <v>0</v>
      </c>
      <c r="M1073" s="3">
        <f>IF(OR($M$1="",对接源_01水果!$C1073="",对接源_01水果!$C1073&lt;&gt;$M$1,对接源_01水果!$B1073=""),0,IF(OR(N(对接源_01水果!$B1073)&lt;$M$2,N(对接源_01水果!$B1073)&gt;$M$3),0,1))</f>
        <v>0</v>
      </c>
      <c r="N1073" s="3">
        <f>IF(OR($N$1="",对接源_01水果!$C1073="",对接源_01水果!$C1073&lt;&gt;$N$1,对接源_01水果!$B1073=""),0,IF(OR(N(对接源_01水果!$B1073)&lt;$N$2,N(对接源_01水果!$B1073)&gt;$N$3),0,1))</f>
        <v>0</v>
      </c>
      <c r="P1073" s="3">
        <f>IF(AND($K1073=1,AND(对接源_01水果!$X1073="公司筐",N(对接源_01水果!$T1073)&lt;&gt;0)),1,0)</f>
        <v>0</v>
      </c>
      <c r="Q1073" s="3">
        <f t="shared" si="283"/>
        <v>0</v>
      </c>
      <c r="R1073" s="3">
        <f>IF(AND($K1073=1,AND(对接源_01水果!$X1073="公司筐",N(对接源_01水果!$U1073)&lt;&gt;0)),1,0)</f>
        <v>0</v>
      </c>
      <c r="S1073" s="3">
        <f t="shared" si="284"/>
        <v>0</v>
      </c>
      <c r="T1073" s="3">
        <f>IF(AND($K1073=1,AND(对接源_01水果!$X1073="公司筐",N(对接源_01水果!$V1073)&lt;&gt;0)),1,0)</f>
        <v>0</v>
      </c>
      <c r="U1073" s="3">
        <f t="shared" si="285"/>
        <v>19</v>
      </c>
      <c r="V1073" s="3">
        <f>IF(AND($L1073=1,AND(对接源_01水果!$X1073="自备筐",N(对接源_01水果!$V1073)&lt;&gt;0)),1,0)</f>
        <v>0</v>
      </c>
      <c r="W1073" s="3">
        <f t="shared" si="286"/>
        <v>8</v>
      </c>
      <c r="X1073" s="3">
        <f>IF(AND($L1073=1,AND(对接源_01水果!$X1073="自备筐",N(对接源_01水果!$T1073)&lt;&gt;0)),1,0)</f>
        <v>0</v>
      </c>
      <c r="Y1073" s="3">
        <f t="shared" si="287"/>
        <v>0</v>
      </c>
      <c r="Z1073" s="3">
        <f>IF(AND($M1073=1,对接源_01水果!$D1073="原料入库"),1,0)</f>
        <v>0</v>
      </c>
      <c r="AA1073" s="3">
        <f t="shared" si="288"/>
        <v>24</v>
      </c>
      <c r="AB1073" s="3">
        <f>IF(AND($M1073=1,LEFT(对接源_01水果!$D1073,4)="原料出库"),1,0)</f>
        <v>0</v>
      </c>
      <c r="AC1073" s="3">
        <f t="shared" si="289"/>
        <v>0</v>
      </c>
      <c r="AD1073" s="3">
        <f>IF(AND($M1073=1,LEFT(对接源_01水果!$D1073,4)="成品出库"),1,0)</f>
        <v>0</v>
      </c>
      <c r="AE1073" s="3">
        <f t="shared" si="290"/>
        <v>0</v>
      </c>
      <c r="AF1073" s="3">
        <f>IF(AND($N1073=1,AND(LEFT(对接源_01水果!$D1073,4)="包装物料",N(对接源_01水果!$K1073)&lt;&gt;0)),1,0)</f>
        <v>0</v>
      </c>
      <c r="AG1073" s="3">
        <f t="shared" si="291"/>
        <v>0</v>
      </c>
      <c r="AH1073" s="3">
        <f>IF(AND($N1073=1,AND(对接源_01水果!$D1073="周转筐－销售出库",N(对接源_01水果!$K1073)&lt;&gt;0)),1,0)</f>
        <v>0</v>
      </c>
      <c r="AI1073" s="3">
        <f t="shared" si="292"/>
        <v>0</v>
      </c>
      <c r="AJ1073" s="7"/>
      <c r="AL1073" s="3">
        <f>IF(OR($AL$1="",对接源_01水果!$Y1073="",对接源_01水果!$Y1073&lt;&gt;$AL$1,对接源_01水果!$B1073="",N(对接源_01水果!$AJ1073)&lt;=0),0,IF(OR(N(对接源_01水果!$B1073)&lt;$AL$2,N(对接源_01水果!$B1073)&gt;$AL$3),0,1))</f>
        <v>0</v>
      </c>
      <c r="AM1073" s="3">
        <f t="shared" si="293"/>
        <v>1</v>
      </c>
      <c r="AN1073" s="3" t="str">
        <f>IF(对接源_01水果!$AC1073="","",对接源_01水果!$AC1073)</f>
        <v/>
      </c>
      <c r="AO1073" s="3">
        <f t="shared" si="294"/>
        <v>0</v>
      </c>
      <c r="AP1073" s="3">
        <f t="shared" si="295"/>
        <v>8</v>
      </c>
      <c r="AR1073">
        <f t="shared" si="296"/>
        <v>0</v>
      </c>
      <c r="AS1073">
        <f t="shared" si="297"/>
        <v>0</v>
      </c>
    </row>
    <row r="1074" ht="14.25" customHeight="1" spans="1:45">
      <c r="A1074" s="3" t="str">
        <f>IF(对接源_01水果!$C1074="","",对接源_01水果!$C1074)</f>
        <v/>
      </c>
      <c r="B1074" s="3">
        <f t="shared" si="281"/>
        <v>0</v>
      </c>
      <c r="C1074" s="3">
        <f t="shared" si="282"/>
        <v>18</v>
      </c>
      <c r="K1074" s="3">
        <f>IF(OR($K$1="",对接源_01水果!$C1074="",对接源_01水果!$C1074&lt;&gt;$K$1,对接源_01水果!$B1074=""),0,IF(OR(N(对接源_01水果!$B1074)&lt;$K$2,N(对接源_01水果!$B1074)&gt;$K$3),0,1))</f>
        <v>0</v>
      </c>
      <c r="L1074" s="3">
        <f>IF(OR($L$1="",对接源_01水果!$C1074="",对接源_01水果!$C1074&lt;&gt;$L$1,对接源_01水果!$B1074=""),0,IF(OR(N(对接源_01水果!$B1074)&lt;$L$2,N(对接源_01水果!$B1074)&gt;$L$3),0,1))</f>
        <v>0</v>
      </c>
      <c r="M1074" s="3">
        <f>IF(OR($M$1="",对接源_01水果!$C1074="",对接源_01水果!$C1074&lt;&gt;$M$1,对接源_01水果!$B1074=""),0,IF(OR(N(对接源_01水果!$B1074)&lt;$M$2,N(对接源_01水果!$B1074)&gt;$M$3),0,1))</f>
        <v>0</v>
      </c>
      <c r="N1074" s="3">
        <f>IF(OR($N$1="",对接源_01水果!$C1074="",对接源_01水果!$C1074&lt;&gt;$N$1,对接源_01水果!$B1074=""),0,IF(OR(N(对接源_01水果!$B1074)&lt;$N$2,N(对接源_01水果!$B1074)&gt;$N$3),0,1))</f>
        <v>0</v>
      </c>
      <c r="P1074" s="3">
        <f>IF(AND($K1074=1,AND(对接源_01水果!$X1074="公司筐",N(对接源_01水果!$T1074)&lt;&gt;0)),1,0)</f>
        <v>0</v>
      </c>
      <c r="Q1074" s="3">
        <f t="shared" si="283"/>
        <v>0</v>
      </c>
      <c r="R1074" s="3">
        <f>IF(AND($K1074=1,AND(对接源_01水果!$X1074="公司筐",N(对接源_01水果!$U1074)&lt;&gt;0)),1,0)</f>
        <v>0</v>
      </c>
      <c r="S1074" s="3">
        <f t="shared" si="284"/>
        <v>0</v>
      </c>
      <c r="T1074" s="3">
        <f>IF(AND($K1074=1,AND(对接源_01水果!$X1074="公司筐",N(对接源_01水果!$V1074)&lt;&gt;0)),1,0)</f>
        <v>0</v>
      </c>
      <c r="U1074" s="3">
        <f t="shared" si="285"/>
        <v>19</v>
      </c>
      <c r="V1074" s="3">
        <f>IF(AND($L1074=1,AND(对接源_01水果!$X1074="自备筐",N(对接源_01水果!$V1074)&lt;&gt;0)),1,0)</f>
        <v>0</v>
      </c>
      <c r="W1074" s="3">
        <f t="shared" si="286"/>
        <v>8</v>
      </c>
      <c r="X1074" s="3">
        <f>IF(AND($L1074=1,AND(对接源_01水果!$X1074="自备筐",N(对接源_01水果!$T1074)&lt;&gt;0)),1,0)</f>
        <v>0</v>
      </c>
      <c r="Y1074" s="3">
        <f t="shared" si="287"/>
        <v>0</v>
      </c>
      <c r="Z1074" s="3">
        <f>IF(AND($M1074=1,对接源_01水果!$D1074="原料入库"),1,0)</f>
        <v>0</v>
      </c>
      <c r="AA1074" s="3">
        <f t="shared" si="288"/>
        <v>24</v>
      </c>
      <c r="AB1074" s="3">
        <f>IF(AND($M1074=1,LEFT(对接源_01水果!$D1074,4)="原料出库"),1,0)</f>
        <v>0</v>
      </c>
      <c r="AC1074" s="3">
        <f t="shared" si="289"/>
        <v>0</v>
      </c>
      <c r="AD1074" s="3">
        <f>IF(AND($M1074=1,LEFT(对接源_01水果!$D1074,4)="成品出库"),1,0)</f>
        <v>0</v>
      </c>
      <c r="AE1074" s="3">
        <f t="shared" si="290"/>
        <v>0</v>
      </c>
      <c r="AF1074" s="3">
        <f>IF(AND($N1074=1,AND(LEFT(对接源_01水果!$D1074,4)="包装物料",N(对接源_01水果!$K1074)&lt;&gt;0)),1,0)</f>
        <v>0</v>
      </c>
      <c r="AG1074" s="3">
        <f t="shared" si="291"/>
        <v>0</v>
      </c>
      <c r="AH1074" s="3">
        <f>IF(AND($N1074=1,AND(对接源_01水果!$D1074="周转筐－销售出库",N(对接源_01水果!$K1074)&lt;&gt;0)),1,0)</f>
        <v>0</v>
      </c>
      <c r="AI1074" s="3">
        <f t="shared" si="292"/>
        <v>0</v>
      </c>
      <c r="AJ1074" s="7"/>
      <c r="AL1074" s="3">
        <f>IF(OR($AL$1="",对接源_01水果!$Y1074="",对接源_01水果!$Y1074&lt;&gt;$AL$1,对接源_01水果!$B1074="",N(对接源_01水果!$AJ1074)&lt;=0),0,IF(OR(N(对接源_01水果!$B1074)&lt;$AL$2,N(对接源_01水果!$B1074)&gt;$AL$3),0,1))</f>
        <v>0</v>
      </c>
      <c r="AM1074" s="3">
        <f t="shared" si="293"/>
        <v>1</v>
      </c>
      <c r="AN1074" s="3" t="str">
        <f>IF(对接源_01水果!$AC1074="","",对接源_01水果!$AC1074)</f>
        <v/>
      </c>
      <c r="AO1074" s="3">
        <f t="shared" si="294"/>
        <v>0</v>
      </c>
      <c r="AP1074" s="3">
        <f t="shared" si="295"/>
        <v>8</v>
      </c>
      <c r="AR1074">
        <f t="shared" si="296"/>
        <v>0</v>
      </c>
      <c r="AS1074">
        <f t="shared" si="297"/>
        <v>0</v>
      </c>
    </row>
    <row r="1075" ht="14.25" customHeight="1" spans="1:45">
      <c r="A1075" s="3" t="str">
        <f>IF(对接源_01水果!$C1075="","",对接源_01水果!$C1075)</f>
        <v/>
      </c>
      <c r="B1075" s="3">
        <f t="shared" si="281"/>
        <v>0</v>
      </c>
      <c r="C1075" s="3">
        <f t="shared" si="282"/>
        <v>18</v>
      </c>
      <c r="K1075" s="3">
        <f>IF(OR($K$1="",对接源_01水果!$C1075="",对接源_01水果!$C1075&lt;&gt;$K$1,对接源_01水果!$B1075=""),0,IF(OR(N(对接源_01水果!$B1075)&lt;$K$2,N(对接源_01水果!$B1075)&gt;$K$3),0,1))</f>
        <v>0</v>
      </c>
      <c r="L1075" s="3">
        <f>IF(OR($L$1="",对接源_01水果!$C1075="",对接源_01水果!$C1075&lt;&gt;$L$1,对接源_01水果!$B1075=""),0,IF(OR(N(对接源_01水果!$B1075)&lt;$L$2,N(对接源_01水果!$B1075)&gt;$L$3),0,1))</f>
        <v>0</v>
      </c>
      <c r="M1075" s="3">
        <f>IF(OR($M$1="",对接源_01水果!$C1075="",对接源_01水果!$C1075&lt;&gt;$M$1,对接源_01水果!$B1075=""),0,IF(OR(N(对接源_01水果!$B1075)&lt;$M$2,N(对接源_01水果!$B1075)&gt;$M$3),0,1))</f>
        <v>0</v>
      </c>
      <c r="N1075" s="3">
        <f>IF(OR($N$1="",对接源_01水果!$C1075="",对接源_01水果!$C1075&lt;&gt;$N$1,对接源_01水果!$B1075=""),0,IF(OR(N(对接源_01水果!$B1075)&lt;$N$2,N(对接源_01水果!$B1075)&gt;$N$3),0,1))</f>
        <v>0</v>
      </c>
      <c r="P1075" s="3">
        <f>IF(AND($K1075=1,AND(对接源_01水果!$X1075="公司筐",N(对接源_01水果!$T1075)&lt;&gt;0)),1,0)</f>
        <v>0</v>
      </c>
      <c r="Q1075" s="3">
        <f t="shared" si="283"/>
        <v>0</v>
      </c>
      <c r="R1075" s="3">
        <f>IF(AND($K1075=1,AND(对接源_01水果!$X1075="公司筐",N(对接源_01水果!$U1075)&lt;&gt;0)),1,0)</f>
        <v>0</v>
      </c>
      <c r="S1075" s="3">
        <f t="shared" si="284"/>
        <v>0</v>
      </c>
      <c r="T1075" s="3">
        <f>IF(AND($K1075=1,AND(对接源_01水果!$X1075="公司筐",N(对接源_01水果!$V1075)&lt;&gt;0)),1,0)</f>
        <v>0</v>
      </c>
      <c r="U1075" s="3">
        <f t="shared" si="285"/>
        <v>19</v>
      </c>
      <c r="V1075" s="3">
        <f>IF(AND($L1075=1,AND(对接源_01水果!$X1075="自备筐",N(对接源_01水果!$V1075)&lt;&gt;0)),1,0)</f>
        <v>0</v>
      </c>
      <c r="W1075" s="3">
        <f t="shared" si="286"/>
        <v>8</v>
      </c>
      <c r="X1075" s="3">
        <f>IF(AND($L1075=1,AND(对接源_01水果!$X1075="自备筐",N(对接源_01水果!$T1075)&lt;&gt;0)),1,0)</f>
        <v>0</v>
      </c>
      <c r="Y1075" s="3">
        <f t="shared" si="287"/>
        <v>0</v>
      </c>
      <c r="Z1075" s="3">
        <f>IF(AND($M1075=1,对接源_01水果!$D1075="原料入库"),1,0)</f>
        <v>0</v>
      </c>
      <c r="AA1075" s="3">
        <f t="shared" si="288"/>
        <v>24</v>
      </c>
      <c r="AB1075" s="3">
        <f>IF(AND($M1075=1,LEFT(对接源_01水果!$D1075,4)="原料出库"),1,0)</f>
        <v>0</v>
      </c>
      <c r="AC1075" s="3">
        <f t="shared" si="289"/>
        <v>0</v>
      </c>
      <c r="AD1075" s="3">
        <f>IF(AND($M1075=1,LEFT(对接源_01水果!$D1075,4)="成品出库"),1,0)</f>
        <v>0</v>
      </c>
      <c r="AE1075" s="3">
        <f t="shared" si="290"/>
        <v>0</v>
      </c>
      <c r="AF1075" s="3">
        <f>IF(AND($N1075=1,AND(LEFT(对接源_01水果!$D1075,4)="包装物料",N(对接源_01水果!$K1075)&lt;&gt;0)),1,0)</f>
        <v>0</v>
      </c>
      <c r="AG1075" s="3">
        <f t="shared" si="291"/>
        <v>0</v>
      </c>
      <c r="AH1075" s="3">
        <f>IF(AND($N1075=1,AND(对接源_01水果!$D1075="周转筐－销售出库",N(对接源_01水果!$K1075)&lt;&gt;0)),1,0)</f>
        <v>0</v>
      </c>
      <c r="AI1075" s="3">
        <f t="shared" si="292"/>
        <v>0</v>
      </c>
      <c r="AJ1075" s="7"/>
      <c r="AL1075" s="3">
        <f>IF(OR($AL$1="",对接源_01水果!$Y1075="",对接源_01水果!$Y1075&lt;&gt;$AL$1,对接源_01水果!$B1075="",N(对接源_01水果!$AJ1075)&lt;=0),0,IF(OR(N(对接源_01水果!$B1075)&lt;$AL$2,N(对接源_01水果!$B1075)&gt;$AL$3),0,1))</f>
        <v>0</v>
      </c>
      <c r="AM1075" s="3">
        <f t="shared" si="293"/>
        <v>1</v>
      </c>
      <c r="AN1075" s="3" t="str">
        <f>IF(对接源_01水果!$AC1075="","",对接源_01水果!$AC1075)</f>
        <v/>
      </c>
      <c r="AO1075" s="3">
        <f t="shared" si="294"/>
        <v>0</v>
      </c>
      <c r="AP1075" s="3">
        <f t="shared" si="295"/>
        <v>8</v>
      </c>
      <c r="AR1075">
        <f t="shared" si="296"/>
        <v>0</v>
      </c>
      <c r="AS1075">
        <f t="shared" si="297"/>
        <v>0</v>
      </c>
    </row>
    <row r="1076" ht="14.25" customHeight="1" spans="1:45">
      <c r="A1076" s="3" t="str">
        <f>IF(对接源_01水果!$C1076="","",对接源_01水果!$C1076)</f>
        <v/>
      </c>
      <c r="B1076" s="3">
        <f t="shared" si="281"/>
        <v>0</v>
      </c>
      <c r="C1076" s="3">
        <f t="shared" si="282"/>
        <v>18</v>
      </c>
      <c r="K1076" s="3">
        <f>IF(OR($K$1="",对接源_01水果!$C1076="",对接源_01水果!$C1076&lt;&gt;$K$1,对接源_01水果!$B1076=""),0,IF(OR(N(对接源_01水果!$B1076)&lt;$K$2,N(对接源_01水果!$B1076)&gt;$K$3),0,1))</f>
        <v>0</v>
      </c>
      <c r="L1076" s="3">
        <f>IF(OR($L$1="",对接源_01水果!$C1076="",对接源_01水果!$C1076&lt;&gt;$L$1,对接源_01水果!$B1076=""),0,IF(OR(N(对接源_01水果!$B1076)&lt;$L$2,N(对接源_01水果!$B1076)&gt;$L$3),0,1))</f>
        <v>0</v>
      </c>
      <c r="M1076" s="3">
        <f>IF(OR($M$1="",对接源_01水果!$C1076="",对接源_01水果!$C1076&lt;&gt;$M$1,对接源_01水果!$B1076=""),0,IF(OR(N(对接源_01水果!$B1076)&lt;$M$2,N(对接源_01水果!$B1076)&gt;$M$3),0,1))</f>
        <v>0</v>
      </c>
      <c r="N1076" s="3">
        <f>IF(OR($N$1="",对接源_01水果!$C1076="",对接源_01水果!$C1076&lt;&gt;$N$1,对接源_01水果!$B1076=""),0,IF(OR(N(对接源_01水果!$B1076)&lt;$N$2,N(对接源_01水果!$B1076)&gt;$N$3),0,1))</f>
        <v>0</v>
      </c>
      <c r="P1076" s="3">
        <f>IF(AND($K1076=1,AND(对接源_01水果!$X1076="公司筐",N(对接源_01水果!$T1076)&lt;&gt;0)),1,0)</f>
        <v>0</v>
      </c>
      <c r="Q1076" s="3">
        <f t="shared" si="283"/>
        <v>0</v>
      </c>
      <c r="R1076" s="3">
        <f>IF(AND($K1076=1,AND(对接源_01水果!$X1076="公司筐",N(对接源_01水果!$U1076)&lt;&gt;0)),1,0)</f>
        <v>0</v>
      </c>
      <c r="S1076" s="3">
        <f t="shared" si="284"/>
        <v>0</v>
      </c>
      <c r="T1076" s="3">
        <f>IF(AND($K1076=1,AND(对接源_01水果!$X1076="公司筐",N(对接源_01水果!$V1076)&lt;&gt;0)),1,0)</f>
        <v>0</v>
      </c>
      <c r="U1076" s="3">
        <f t="shared" si="285"/>
        <v>19</v>
      </c>
      <c r="V1076" s="3">
        <f>IF(AND($L1076=1,AND(对接源_01水果!$X1076="自备筐",N(对接源_01水果!$V1076)&lt;&gt;0)),1,0)</f>
        <v>0</v>
      </c>
      <c r="W1076" s="3">
        <f t="shared" si="286"/>
        <v>8</v>
      </c>
      <c r="X1076" s="3">
        <f>IF(AND($L1076=1,AND(对接源_01水果!$X1076="自备筐",N(对接源_01水果!$T1076)&lt;&gt;0)),1,0)</f>
        <v>0</v>
      </c>
      <c r="Y1076" s="3">
        <f t="shared" si="287"/>
        <v>0</v>
      </c>
      <c r="Z1076" s="3">
        <f>IF(AND($M1076=1,对接源_01水果!$D1076="原料入库"),1,0)</f>
        <v>0</v>
      </c>
      <c r="AA1076" s="3">
        <f t="shared" si="288"/>
        <v>24</v>
      </c>
      <c r="AB1076" s="3">
        <f>IF(AND($M1076=1,LEFT(对接源_01水果!$D1076,4)="原料出库"),1,0)</f>
        <v>0</v>
      </c>
      <c r="AC1076" s="3">
        <f t="shared" si="289"/>
        <v>0</v>
      </c>
      <c r="AD1076" s="3">
        <f>IF(AND($M1076=1,LEFT(对接源_01水果!$D1076,4)="成品出库"),1,0)</f>
        <v>0</v>
      </c>
      <c r="AE1076" s="3">
        <f t="shared" si="290"/>
        <v>0</v>
      </c>
      <c r="AF1076" s="3">
        <f>IF(AND($N1076=1,AND(LEFT(对接源_01水果!$D1076,4)="包装物料",N(对接源_01水果!$K1076)&lt;&gt;0)),1,0)</f>
        <v>0</v>
      </c>
      <c r="AG1076" s="3">
        <f t="shared" si="291"/>
        <v>0</v>
      </c>
      <c r="AH1076" s="3">
        <f>IF(AND($N1076=1,AND(对接源_01水果!$D1076="周转筐－销售出库",N(对接源_01水果!$K1076)&lt;&gt;0)),1,0)</f>
        <v>0</v>
      </c>
      <c r="AI1076" s="3">
        <f t="shared" si="292"/>
        <v>0</v>
      </c>
      <c r="AJ1076" s="7"/>
      <c r="AL1076" s="3">
        <f>IF(OR($AL$1="",对接源_01水果!$Y1076="",对接源_01水果!$Y1076&lt;&gt;$AL$1,对接源_01水果!$B1076="",N(对接源_01水果!$AJ1076)&lt;=0),0,IF(OR(N(对接源_01水果!$B1076)&lt;$AL$2,N(对接源_01水果!$B1076)&gt;$AL$3),0,1))</f>
        <v>0</v>
      </c>
      <c r="AM1076" s="3">
        <f t="shared" si="293"/>
        <v>1</v>
      </c>
      <c r="AN1076" s="3" t="str">
        <f>IF(对接源_01水果!$AC1076="","",对接源_01水果!$AC1076)</f>
        <v/>
      </c>
      <c r="AO1076" s="3">
        <f t="shared" si="294"/>
        <v>0</v>
      </c>
      <c r="AP1076" s="3">
        <f t="shared" si="295"/>
        <v>8</v>
      </c>
      <c r="AR1076">
        <f t="shared" si="296"/>
        <v>0</v>
      </c>
      <c r="AS1076">
        <f t="shared" si="297"/>
        <v>0</v>
      </c>
    </row>
    <row r="1077" ht="14.25" customHeight="1" spans="1:45">
      <c r="A1077" s="3" t="str">
        <f>IF(对接源_01水果!$C1077="","",对接源_01水果!$C1077)</f>
        <v/>
      </c>
      <c r="B1077" s="3">
        <f t="shared" si="281"/>
        <v>0</v>
      </c>
      <c r="C1077" s="3">
        <f t="shared" si="282"/>
        <v>18</v>
      </c>
      <c r="K1077" s="3">
        <f>IF(OR($K$1="",对接源_01水果!$C1077="",对接源_01水果!$C1077&lt;&gt;$K$1,对接源_01水果!$B1077=""),0,IF(OR(N(对接源_01水果!$B1077)&lt;$K$2,N(对接源_01水果!$B1077)&gt;$K$3),0,1))</f>
        <v>0</v>
      </c>
      <c r="L1077" s="3">
        <f>IF(OR($L$1="",对接源_01水果!$C1077="",对接源_01水果!$C1077&lt;&gt;$L$1,对接源_01水果!$B1077=""),0,IF(OR(N(对接源_01水果!$B1077)&lt;$L$2,N(对接源_01水果!$B1077)&gt;$L$3),0,1))</f>
        <v>0</v>
      </c>
      <c r="M1077" s="3">
        <f>IF(OR($M$1="",对接源_01水果!$C1077="",对接源_01水果!$C1077&lt;&gt;$M$1,对接源_01水果!$B1077=""),0,IF(OR(N(对接源_01水果!$B1077)&lt;$M$2,N(对接源_01水果!$B1077)&gt;$M$3),0,1))</f>
        <v>0</v>
      </c>
      <c r="N1077" s="3">
        <f>IF(OR($N$1="",对接源_01水果!$C1077="",对接源_01水果!$C1077&lt;&gt;$N$1,对接源_01水果!$B1077=""),0,IF(OR(N(对接源_01水果!$B1077)&lt;$N$2,N(对接源_01水果!$B1077)&gt;$N$3),0,1))</f>
        <v>0</v>
      </c>
      <c r="P1077" s="3">
        <f>IF(AND($K1077=1,AND(对接源_01水果!$X1077="公司筐",N(对接源_01水果!$T1077)&lt;&gt;0)),1,0)</f>
        <v>0</v>
      </c>
      <c r="Q1077" s="3">
        <f t="shared" si="283"/>
        <v>0</v>
      </c>
      <c r="R1077" s="3">
        <f>IF(AND($K1077=1,AND(对接源_01水果!$X1077="公司筐",N(对接源_01水果!$U1077)&lt;&gt;0)),1,0)</f>
        <v>0</v>
      </c>
      <c r="S1077" s="3">
        <f t="shared" si="284"/>
        <v>0</v>
      </c>
      <c r="T1077" s="3">
        <f>IF(AND($K1077=1,AND(对接源_01水果!$X1077="公司筐",N(对接源_01水果!$V1077)&lt;&gt;0)),1,0)</f>
        <v>0</v>
      </c>
      <c r="U1077" s="3">
        <f t="shared" si="285"/>
        <v>19</v>
      </c>
      <c r="V1077" s="3">
        <f>IF(AND($L1077=1,AND(对接源_01水果!$X1077="自备筐",N(对接源_01水果!$V1077)&lt;&gt;0)),1,0)</f>
        <v>0</v>
      </c>
      <c r="W1077" s="3">
        <f t="shared" si="286"/>
        <v>8</v>
      </c>
      <c r="X1077" s="3">
        <f>IF(AND($L1077=1,AND(对接源_01水果!$X1077="自备筐",N(对接源_01水果!$T1077)&lt;&gt;0)),1,0)</f>
        <v>0</v>
      </c>
      <c r="Y1077" s="3">
        <f t="shared" si="287"/>
        <v>0</v>
      </c>
      <c r="Z1077" s="3">
        <f>IF(AND($M1077=1,对接源_01水果!$D1077="原料入库"),1,0)</f>
        <v>0</v>
      </c>
      <c r="AA1077" s="3">
        <f t="shared" si="288"/>
        <v>24</v>
      </c>
      <c r="AB1077" s="3">
        <f>IF(AND($M1077=1,LEFT(对接源_01水果!$D1077,4)="原料出库"),1,0)</f>
        <v>0</v>
      </c>
      <c r="AC1077" s="3">
        <f t="shared" si="289"/>
        <v>0</v>
      </c>
      <c r="AD1077" s="3">
        <f>IF(AND($M1077=1,LEFT(对接源_01水果!$D1077,4)="成品出库"),1,0)</f>
        <v>0</v>
      </c>
      <c r="AE1077" s="3">
        <f t="shared" si="290"/>
        <v>0</v>
      </c>
      <c r="AF1077" s="3">
        <f>IF(AND($N1077=1,AND(LEFT(对接源_01水果!$D1077,4)="包装物料",N(对接源_01水果!$K1077)&lt;&gt;0)),1,0)</f>
        <v>0</v>
      </c>
      <c r="AG1077" s="3">
        <f t="shared" si="291"/>
        <v>0</v>
      </c>
      <c r="AH1077" s="3">
        <f>IF(AND($N1077=1,AND(对接源_01水果!$D1077="周转筐－销售出库",N(对接源_01水果!$K1077)&lt;&gt;0)),1,0)</f>
        <v>0</v>
      </c>
      <c r="AI1077" s="3">
        <f t="shared" si="292"/>
        <v>0</v>
      </c>
      <c r="AJ1077" s="7"/>
      <c r="AL1077" s="3">
        <f>IF(OR($AL$1="",对接源_01水果!$Y1077="",对接源_01水果!$Y1077&lt;&gt;$AL$1,对接源_01水果!$B1077="",N(对接源_01水果!$AJ1077)&lt;=0),0,IF(OR(N(对接源_01水果!$B1077)&lt;$AL$2,N(对接源_01水果!$B1077)&gt;$AL$3),0,1))</f>
        <v>0</v>
      </c>
      <c r="AM1077" s="3">
        <f t="shared" si="293"/>
        <v>1</v>
      </c>
      <c r="AN1077" s="3" t="str">
        <f>IF(对接源_01水果!$AC1077="","",对接源_01水果!$AC1077)</f>
        <v/>
      </c>
      <c r="AO1077" s="3">
        <f t="shared" si="294"/>
        <v>0</v>
      </c>
      <c r="AP1077" s="3">
        <f t="shared" si="295"/>
        <v>8</v>
      </c>
      <c r="AR1077">
        <f t="shared" si="296"/>
        <v>0</v>
      </c>
      <c r="AS1077">
        <f t="shared" si="297"/>
        <v>0</v>
      </c>
    </row>
    <row r="1078" ht="14.25" customHeight="1" spans="1:45">
      <c r="A1078" s="3" t="str">
        <f>IF(对接源_01水果!$C1078="","",对接源_01水果!$C1078)</f>
        <v/>
      </c>
      <c r="B1078" s="3">
        <f t="shared" si="281"/>
        <v>0</v>
      </c>
      <c r="C1078" s="3">
        <f t="shared" si="282"/>
        <v>18</v>
      </c>
      <c r="K1078" s="3">
        <f>IF(OR($K$1="",对接源_01水果!$C1078="",对接源_01水果!$C1078&lt;&gt;$K$1,对接源_01水果!$B1078=""),0,IF(OR(N(对接源_01水果!$B1078)&lt;$K$2,N(对接源_01水果!$B1078)&gt;$K$3),0,1))</f>
        <v>0</v>
      </c>
      <c r="L1078" s="3">
        <f>IF(OR($L$1="",对接源_01水果!$C1078="",对接源_01水果!$C1078&lt;&gt;$L$1,对接源_01水果!$B1078=""),0,IF(OR(N(对接源_01水果!$B1078)&lt;$L$2,N(对接源_01水果!$B1078)&gt;$L$3),0,1))</f>
        <v>0</v>
      </c>
      <c r="M1078" s="3">
        <f>IF(OR($M$1="",对接源_01水果!$C1078="",对接源_01水果!$C1078&lt;&gt;$M$1,对接源_01水果!$B1078=""),0,IF(OR(N(对接源_01水果!$B1078)&lt;$M$2,N(对接源_01水果!$B1078)&gt;$M$3),0,1))</f>
        <v>0</v>
      </c>
      <c r="N1078" s="3">
        <f>IF(OR($N$1="",对接源_01水果!$C1078="",对接源_01水果!$C1078&lt;&gt;$N$1,对接源_01水果!$B1078=""),0,IF(OR(N(对接源_01水果!$B1078)&lt;$N$2,N(对接源_01水果!$B1078)&gt;$N$3),0,1))</f>
        <v>0</v>
      </c>
      <c r="P1078" s="3">
        <f>IF(AND($K1078=1,AND(对接源_01水果!$X1078="公司筐",N(对接源_01水果!$T1078)&lt;&gt;0)),1,0)</f>
        <v>0</v>
      </c>
      <c r="Q1078" s="3">
        <f t="shared" si="283"/>
        <v>0</v>
      </c>
      <c r="R1078" s="3">
        <f>IF(AND($K1078=1,AND(对接源_01水果!$X1078="公司筐",N(对接源_01水果!$U1078)&lt;&gt;0)),1,0)</f>
        <v>0</v>
      </c>
      <c r="S1078" s="3">
        <f t="shared" si="284"/>
        <v>0</v>
      </c>
      <c r="T1078" s="3">
        <f>IF(AND($K1078=1,AND(对接源_01水果!$X1078="公司筐",N(对接源_01水果!$V1078)&lt;&gt;0)),1,0)</f>
        <v>0</v>
      </c>
      <c r="U1078" s="3">
        <f t="shared" si="285"/>
        <v>19</v>
      </c>
      <c r="V1078" s="3">
        <f>IF(AND($L1078=1,AND(对接源_01水果!$X1078="自备筐",N(对接源_01水果!$V1078)&lt;&gt;0)),1,0)</f>
        <v>0</v>
      </c>
      <c r="W1078" s="3">
        <f t="shared" si="286"/>
        <v>8</v>
      </c>
      <c r="X1078" s="3">
        <f>IF(AND($L1078=1,AND(对接源_01水果!$X1078="自备筐",N(对接源_01水果!$T1078)&lt;&gt;0)),1,0)</f>
        <v>0</v>
      </c>
      <c r="Y1078" s="3">
        <f t="shared" si="287"/>
        <v>0</v>
      </c>
      <c r="Z1078" s="3">
        <f>IF(AND($M1078=1,对接源_01水果!$D1078="原料入库"),1,0)</f>
        <v>0</v>
      </c>
      <c r="AA1078" s="3">
        <f t="shared" si="288"/>
        <v>24</v>
      </c>
      <c r="AB1078" s="3">
        <f>IF(AND($M1078=1,LEFT(对接源_01水果!$D1078,4)="原料出库"),1,0)</f>
        <v>0</v>
      </c>
      <c r="AC1078" s="3">
        <f t="shared" si="289"/>
        <v>0</v>
      </c>
      <c r="AD1078" s="3">
        <f>IF(AND($M1078=1,LEFT(对接源_01水果!$D1078,4)="成品出库"),1,0)</f>
        <v>0</v>
      </c>
      <c r="AE1078" s="3">
        <f t="shared" si="290"/>
        <v>0</v>
      </c>
      <c r="AF1078" s="3">
        <f>IF(AND($N1078=1,AND(LEFT(对接源_01水果!$D1078,4)="包装物料",N(对接源_01水果!$K1078)&lt;&gt;0)),1,0)</f>
        <v>0</v>
      </c>
      <c r="AG1078" s="3">
        <f t="shared" si="291"/>
        <v>0</v>
      </c>
      <c r="AH1078" s="3">
        <f>IF(AND($N1078=1,AND(对接源_01水果!$D1078="周转筐－销售出库",N(对接源_01水果!$K1078)&lt;&gt;0)),1,0)</f>
        <v>0</v>
      </c>
      <c r="AI1078" s="3">
        <f t="shared" si="292"/>
        <v>0</v>
      </c>
      <c r="AJ1078" s="7"/>
      <c r="AL1078" s="3">
        <f>IF(OR($AL$1="",对接源_01水果!$Y1078="",对接源_01水果!$Y1078&lt;&gt;$AL$1,对接源_01水果!$B1078="",N(对接源_01水果!$AJ1078)&lt;=0),0,IF(OR(N(对接源_01水果!$B1078)&lt;$AL$2,N(对接源_01水果!$B1078)&gt;$AL$3),0,1))</f>
        <v>0</v>
      </c>
      <c r="AM1078" s="3">
        <f t="shared" si="293"/>
        <v>1</v>
      </c>
      <c r="AN1078" s="3" t="str">
        <f>IF(对接源_01水果!$AC1078="","",对接源_01水果!$AC1078)</f>
        <v/>
      </c>
      <c r="AO1078" s="3">
        <f t="shared" si="294"/>
        <v>0</v>
      </c>
      <c r="AP1078" s="3">
        <f t="shared" si="295"/>
        <v>8</v>
      </c>
      <c r="AR1078">
        <f t="shared" si="296"/>
        <v>0</v>
      </c>
      <c r="AS1078">
        <f t="shared" si="297"/>
        <v>0</v>
      </c>
    </row>
    <row r="1079" ht="14.25" customHeight="1" spans="1:45">
      <c r="A1079" s="3" t="str">
        <f>IF(对接源_01水果!$C1079="","",对接源_01水果!$C1079)</f>
        <v/>
      </c>
      <c r="B1079" s="3">
        <f t="shared" si="281"/>
        <v>0</v>
      </c>
      <c r="C1079" s="3">
        <f t="shared" si="282"/>
        <v>18</v>
      </c>
      <c r="K1079" s="3">
        <f>IF(OR($K$1="",对接源_01水果!$C1079="",对接源_01水果!$C1079&lt;&gt;$K$1,对接源_01水果!$B1079=""),0,IF(OR(N(对接源_01水果!$B1079)&lt;$K$2,N(对接源_01水果!$B1079)&gt;$K$3),0,1))</f>
        <v>0</v>
      </c>
      <c r="L1079" s="3">
        <f>IF(OR($L$1="",对接源_01水果!$C1079="",对接源_01水果!$C1079&lt;&gt;$L$1,对接源_01水果!$B1079=""),0,IF(OR(N(对接源_01水果!$B1079)&lt;$L$2,N(对接源_01水果!$B1079)&gt;$L$3),0,1))</f>
        <v>0</v>
      </c>
      <c r="M1079" s="3">
        <f>IF(OR($M$1="",对接源_01水果!$C1079="",对接源_01水果!$C1079&lt;&gt;$M$1,对接源_01水果!$B1079=""),0,IF(OR(N(对接源_01水果!$B1079)&lt;$M$2,N(对接源_01水果!$B1079)&gt;$M$3),0,1))</f>
        <v>0</v>
      </c>
      <c r="N1079" s="3">
        <f>IF(OR($N$1="",对接源_01水果!$C1079="",对接源_01水果!$C1079&lt;&gt;$N$1,对接源_01水果!$B1079=""),0,IF(OR(N(对接源_01水果!$B1079)&lt;$N$2,N(对接源_01水果!$B1079)&gt;$N$3),0,1))</f>
        <v>0</v>
      </c>
      <c r="P1079" s="3">
        <f>IF(AND($K1079=1,AND(对接源_01水果!$X1079="公司筐",N(对接源_01水果!$T1079)&lt;&gt;0)),1,0)</f>
        <v>0</v>
      </c>
      <c r="Q1079" s="3">
        <f t="shared" si="283"/>
        <v>0</v>
      </c>
      <c r="R1079" s="3">
        <f>IF(AND($K1079=1,AND(对接源_01水果!$X1079="公司筐",N(对接源_01水果!$U1079)&lt;&gt;0)),1,0)</f>
        <v>0</v>
      </c>
      <c r="S1079" s="3">
        <f t="shared" si="284"/>
        <v>0</v>
      </c>
      <c r="T1079" s="3">
        <f>IF(AND($K1079=1,AND(对接源_01水果!$X1079="公司筐",N(对接源_01水果!$V1079)&lt;&gt;0)),1,0)</f>
        <v>0</v>
      </c>
      <c r="U1079" s="3">
        <f t="shared" si="285"/>
        <v>19</v>
      </c>
      <c r="V1079" s="3">
        <f>IF(AND($L1079=1,AND(对接源_01水果!$X1079="自备筐",N(对接源_01水果!$V1079)&lt;&gt;0)),1,0)</f>
        <v>0</v>
      </c>
      <c r="W1079" s="3">
        <f t="shared" si="286"/>
        <v>8</v>
      </c>
      <c r="X1079" s="3">
        <f>IF(AND($L1079=1,AND(对接源_01水果!$X1079="自备筐",N(对接源_01水果!$T1079)&lt;&gt;0)),1,0)</f>
        <v>0</v>
      </c>
      <c r="Y1079" s="3">
        <f t="shared" si="287"/>
        <v>0</v>
      </c>
      <c r="Z1079" s="3">
        <f>IF(AND($M1079=1,对接源_01水果!$D1079="原料入库"),1,0)</f>
        <v>0</v>
      </c>
      <c r="AA1079" s="3">
        <f t="shared" si="288"/>
        <v>24</v>
      </c>
      <c r="AB1079" s="3">
        <f>IF(AND($M1079=1,LEFT(对接源_01水果!$D1079,4)="原料出库"),1,0)</f>
        <v>0</v>
      </c>
      <c r="AC1079" s="3">
        <f t="shared" si="289"/>
        <v>0</v>
      </c>
      <c r="AD1079" s="3">
        <f>IF(AND($M1079=1,LEFT(对接源_01水果!$D1079,4)="成品出库"),1,0)</f>
        <v>0</v>
      </c>
      <c r="AE1079" s="3">
        <f t="shared" si="290"/>
        <v>0</v>
      </c>
      <c r="AF1079" s="3">
        <f>IF(AND($N1079=1,AND(LEFT(对接源_01水果!$D1079,4)="包装物料",N(对接源_01水果!$K1079)&lt;&gt;0)),1,0)</f>
        <v>0</v>
      </c>
      <c r="AG1079" s="3">
        <f t="shared" si="291"/>
        <v>0</v>
      </c>
      <c r="AH1079" s="3">
        <f>IF(AND($N1079=1,AND(对接源_01水果!$D1079="周转筐－销售出库",N(对接源_01水果!$K1079)&lt;&gt;0)),1,0)</f>
        <v>0</v>
      </c>
      <c r="AI1079" s="3">
        <f t="shared" si="292"/>
        <v>0</v>
      </c>
      <c r="AJ1079" s="7"/>
      <c r="AL1079" s="3">
        <f>IF(OR($AL$1="",对接源_01水果!$Y1079="",对接源_01水果!$Y1079&lt;&gt;$AL$1,对接源_01水果!$B1079="",N(对接源_01水果!$AJ1079)&lt;=0),0,IF(OR(N(对接源_01水果!$B1079)&lt;$AL$2,N(对接源_01水果!$B1079)&gt;$AL$3),0,1))</f>
        <v>0</v>
      </c>
      <c r="AM1079" s="3">
        <f t="shared" si="293"/>
        <v>1</v>
      </c>
      <c r="AN1079" s="3" t="str">
        <f>IF(对接源_01水果!$AC1079="","",对接源_01水果!$AC1079)</f>
        <v/>
      </c>
      <c r="AO1079" s="3">
        <f t="shared" si="294"/>
        <v>0</v>
      </c>
      <c r="AP1079" s="3">
        <f t="shared" si="295"/>
        <v>8</v>
      </c>
      <c r="AR1079">
        <f t="shared" si="296"/>
        <v>0</v>
      </c>
      <c r="AS1079">
        <f t="shared" si="297"/>
        <v>0</v>
      </c>
    </row>
    <row r="1080" ht="14.25" customHeight="1" spans="1:45">
      <c r="A1080" s="3" t="str">
        <f>IF(对接源_01水果!$C1080="","",对接源_01水果!$C1080)</f>
        <v/>
      </c>
      <c r="B1080" s="3">
        <f t="shared" si="281"/>
        <v>0</v>
      </c>
      <c r="C1080" s="3">
        <f t="shared" si="282"/>
        <v>18</v>
      </c>
      <c r="K1080" s="3">
        <f>IF(OR($K$1="",对接源_01水果!$C1080="",对接源_01水果!$C1080&lt;&gt;$K$1,对接源_01水果!$B1080=""),0,IF(OR(N(对接源_01水果!$B1080)&lt;$K$2,N(对接源_01水果!$B1080)&gt;$K$3),0,1))</f>
        <v>0</v>
      </c>
      <c r="L1080" s="3">
        <f>IF(OR($L$1="",对接源_01水果!$C1080="",对接源_01水果!$C1080&lt;&gt;$L$1,对接源_01水果!$B1080=""),0,IF(OR(N(对接源_01水果!$B1080)&lt;$L$2,N(对接源_01水果!$B1080)&gt;$L$3),0,1))</f>
        <v>0</v>
      </c>
      <c r="M1080" s="3">
        <f>IF(OR($M$1="",对接源_01水果!$C1080="",对接源_01水果!$C1080&lt;&gt;$M$1,对接源_01水果!$B1080=""),0,IF(OR(N(对接源_01水果!$B1080)&lt;$M$2,N(对接源_01水果!$B1080)&gt;$M$3),0,1))</f>
        <v>0</v>
      </c>
      <c r="N1080" s="3">
        <f>IF(OR($N$1="",对接源_01水果!$C1080="",对接源_01水果!$C1080&lt;&gt;$N$1,对接源_01水果!$B1080=""),0,IF(OR(N(对接源_01水果!$B1080)&lt;$N$2,N(对接源_01水果!$B1080)&gt;$N$3),0,1))</f>
        <v>0</v>
      </c>
      <c r="P1080" s="3">
        <f>IF(AND($K1080=1,AND(对接源_01水果!$X1080="公司筐",N(对接源_01水果!$T1080)&lt;&gt;0)),1,0)</f>
        <v>0</v>
      </c>
      <c r="Q1080" s="3">
        <f t="shared" si="283"/>
        <v>0</v>
      </c>
      <c r="R1080" s="3">
        <f>IF(AND($K1080=1,AND(对接源_01水果!$X1080="公司筐",N(对接源_01水果!$U1080)&lt;&gt;0)),1,0)</f>
        <v>0</v>
      </c>
      <c r="S1080" s="3">
        <f t="shared" si="284"/>
        <v>0</v>
      </c>
      <c r="T1080" s="3">
        <f>IF(AND($K1080=1,AND(对接源_01水果!$X1080="公司筐",N(对接源_01水果!$V1080)&lt;&gt;0)),1,0)</f>
        <v>0</v>
      </c>
      <c r="U1080" s="3">
        <f t="shared" si="285"/>
        <v>19</v>
      </c>
      <c r="V1080" s="3">
        <f>IF(AND($L1080=1,AND(对接源_01水果!$X1080="自备筐",N(对接源_01水果!$V1080)&lt;&gt;0)),1,0)</f>
        <v>0</v>
      </c>
      <c r="W1080" s="3">
        <f t="shared" si="286"/>
        <v>8</v>
      </c>
      <c r="X1080" s="3">
        <f>IF(AND($L1080=1,AND(对接源_01水果!$X1080="自备筐",N(对接源_01水果!$T1080)&lt;&gt;0)),1,0)</f>
        <v>0</v>
      </c>
      <c r="Y1080" s="3">
        <f t="shared" si="287"/>
        <v>0</v>
      </c>
      <c r="Z1080" s="3">
        <f>IF(AND($M1080=1,对接源_01水果!$D1080="原料入库"),1,0)</f>
        <v>0</v>
      </c>
      <c r="AA1080" s="3">
        <f t="shared" si="288"/>
        <v>24</v>
      </c>
      <c r="AB1080" s="3">
        <f>IF(AND($M1080=1,LEFT(对接源_01水果!$D1080,4)="原料出库"),1,0)</f>
        <v>0</v>
      </c>
      <c r="AC1080" s="3">
        <f t="shared" si="289"/>
        <v>0</v>
      </c>
      <c r="AD1080" s="3">
        <f>IF(AND($M1080=1,LEFT(对接源_01水果!$D1080,4)="成品出库"),1,0)</f>
        <v>0</v>
      </c>
      <c r="AE1080" s="3">
        <f t="shared" si="290"/>
        <v>0</v>
      </c>
      <c r="AF1080" s="3">
        <f>IF(AND($N1080=1,AND(LEFT(对接源_01水果!$D1080,4)="包装物料",N(对接源_01水果!$K1080)&lt;&gt;0)),1,0)</f>
        <v>0</v>
      </c>
      <c r="AG1080" s="3">
        <f t="shared" si="291"/>
        <v>0</v>
      </c>
      <c r="AH1080" s="3">
        <f>IF(AND($N1080=1,AND(对接源_01水果!$D1080="周转筐－销售出库",N(对接源_01水果!$K1080)&lt;&gt;0)),1,0)</f>
        <v>0</v>
      </c>
      <c r="AI1080" s="3">
        <f t="shared" si="292"/>
        <v>0</v>
      </c>
      <c r="AJ1080" s="7"/>
      <c r="AL1080" s="3">
        <f>IF(OR($AL$1="",对接源_01水果!$Y1080="",对接源_01水果!$Y1080&lt;&gt;$AL$1,对接源_01水果!$B1080="",N(对接源_01水果!$AJ1080)&lt;=0),0,IF(OR(N(对接源_01水果!$B1080)&lt;$AL$2,N(对接源_01水果!$B1080)&gt;$AL$3),0,1))</f>
        <v>0</v>
      </c>
      <c r="AM1080" s="3">
        <f t="shared" si="293"/>
        <v>1</v>
      </c>
      <c r="AN1080" s="3" t="str">
        <f>IF(对接源_01水果!$AC1080="","",对接源_01水果!$AC1080)</f>
        <v/>
      </c>
      <c r="AO1080" s="3">
        <f t="shared" si="294"/>
        <v>0</v>
      </c>
      <c r="AP1080" s="3">
        <f t="shared" si="295"/>
        <v>8</v>
      </c>
      <c r="AR1080">
        <f t="shared" si="296"/>
        <v>0</v>
      </c>
      <c r="AS1080">
        <f t="shared" si="297"/>
        <v>0</v>
      </c>
    </row>
    <row r="1081" ht="14.25" customHeight="1" spans="1:45">
      <c r="A1081" s="3" t="str">
        <f>IF(对接源_01水果!$C1081="","",对接源_01水果!$C1081)</f>
        <v/>
      </c>
      <c r="B1081" s="3">
        <f t="shared" si="281"/>
        <v>0</v>
      </c>
      <c r="C1081" s="3">
        <f t="shared" si="282"/>
        <v>18</v>
      </c>
      <c r="K1081" s="3">
        <f>IF(OR($K$1="",对接源_01水果!$C1081="",对接源_01水果!$C1081&lt;&gt;$K$1,对接源_01水果!$B1081=""),0,IF(OR(N(对接源_01水果!$B1081)&lt;$K$2,N(对接源_01水果!$B1081)&gt;$K$3),0,1))</f>
        <v>0</v>
      </c>
      <c r="L1081" s="3">
        <f>IF(OR($L$1="",对接源_01水果!$C1081="",对接源_01水果!$C1081&lt;&gt;$L$1,对接源_01水果!$B1081=""),0,IF(OR(N(对接源_01水果!$B1081)&lt;$L$2,N(对接源_01水果!$B1081)&gt;$L$3),0,1))</f>
        <v>0</v>
      </c>
      <c r="M1081" s="3">
        <f>IF(OR($M$1="",对接源_01水果!$C1081="",对接源_01水果!$C1081&lt;&gt;$M$1,对接源_01水果!$B1081=""),0,IF(OR(N(对接源_01水果!$B1081)&lt;$M$2,N(对接源_01水果!$B1081)&gt;$M$3),0,1))</f>
        <v>0</v>
      </c>
      <c r="N1081" s="3">
        <f>IF(OR($N$1="",对接源_01水果!$C1081="",对接源_01水果!$C1081&lt;&gt;$N$1,对接源_01水果!$B1081=""),0,IF(OR(N(对接源_01水果!$B1081)&lt;$N$2,N(对接源_01水果!$B1081)&gt;$N$3),0,1))</f>
        <v>0</v>
      </c>
      <c r="P1081" s="3">
        <f>IF(AND($K1081=1,AND(对接源_01水果!$X1081="公司筐",N(对接源_01水果!$T1081)&lt;&gt;0)),1,0)</f>
        <v>0</v>
      </c>
      <c r="Q1081" s="3">
        <f t="shared" si="283"/>
        <v>0</v>
      </c>
      <c r="R1081" s="3">
        <f>IF(AND($K1081=1,AND(对接源_01水果!$X1081="公司筐",N(对接源_01水果!$U1081)&lt;&gt;0)),1,0)</f>
        <v>0</v>
      </c>
      <c r="S1081" s="3">
        <f t="shared" si="284"/>
        <v>0</v>
      </c>
      <c r="T1081" s="3">
        <f>IF(AND($K1081=1,AND(对接源_01水果!$X1081="公司筐",N(对接源_01水果!$V1081)&lt;&gt;0)),1,0)</f>
        <v>0</v>
      </c>
      <c r="U1081" s="3">
        <f t="shared" si="285"/>
        <v>19</v>
      </c>
      <c r="V1081" s="3">
        <f>IF(AND($L1081=1,AND(对接源_01水果!$X1081="自备筐",N(对接源_01水果!$V1081)&lt;&gt;0)),1,0)</f>
        <v>0</v>
      </c>
      <c r="W1081" s="3">
        <f t="shared" si="286"/>
        <v>8</v>
      </c>
      <c r="X1081" s="3">
        <f>IF(AND($L1081=1,AND(对接源_01水果!$X1081="自备筐",N(对接源_01水果!$T1081)&lt;&gt;0)),1,0)</f>
        <v>0</v>
      </c>
      <c r="Y1081" s="3">
        <f t="shared" si="287"/>
        <v>0</v>
      </c>
      <c r="Z1081" s="3">
        <f>IF(AND($M1081=1,对接源_01水果!$D1081="原料入库"),1,0)</f>
        <v>0</v>
      </c>
      <c r="AA1081" s="3">
        <f t="shared" si="288"/>
        <v>24</v>
      </c>
      <c r="AB1081" s="3">
        <f>IF(AND($M1081=1,LEFT(对接源_01水果!$D1081,4)="原料出库"),1,0)</f>
        <v>0</v>
      </c>
      <c r="AC1081" s="3">
        <f t="shared" si="289"/>
        <v>0</v>
      </c>
      <c r="AD1081" s="3">
        <f>IF(AND($M1081=1,LEFT(对接源_01水果!$D1081,4)="成品出库"),1,0)</f>
        <v>0</v>
      </c>
      <c r="AE1081" s="3">
        <f t="shared" si="290"/>
        <v>0</v>
      </c>
      <c r="AF1081" s="3">
        <f>IF(AND($N1081=1,AND(LEFT(对接源_01水果!$D1081,4)="包装物料",N(对接源_01水果!$K1081)&lt;&gt;0)),1,0)</f>
        <v>0</v>
      </c>
      <c r="AG1081" s="3">
        <f t="shared" si="291"/>
        <v>0</v>
      </c>
      <c r="AH1081" s="3">
        <f>IF(AND($N1081=1,AND(对接源_01水果!$D1081="周转筐－销售出库",N(对接源_01水果!$K1081)&lt;&gt;0)),1,0)</f>
        <v>0</v>
      </c>
      <c r="AI1081" s="3">
        <f t="shared" si="292"/>
        <v>0</v>
      </c>
      <c r="AJ1081" s="7"/>
      <c r="AL1081" s="3">
        <f>IF(OR($AL$1="",对接源_01水果!$Y1081="",对接源_01水果!$Y1081&lt;&gt;$AL$1,对接源_01水果!$B1081="",N(对接源_01水果!$AJ1081)&lt;=0),0,IF(OR(N(对接源_01水果!$B1081)&lt;$AL$2,N(对接源_01水果!$B1081)&gt;$AL$3),0,1))</f>
        <v>0</v>
      </c>
      <c r="AM1081" s="3">
        <f t="shared" si="293"/>
        <v>1</v>
      </c>
      <c r="AN1081" s="3" t="str">
        <f>IF(对接源_01水果!$AC1081="","",对接源_01水果!$AC1081)</f>
        <v/>
      </c>
      <c r="AO1081" s="3">
        <f t="shared" si="294"/>
        <v>0</v>
      </c>
      <c r="AP1081" s="3">
        <f t="shared" si="295"/>
        <v>8</v>
      </c>
      <c r="AR1081">
        <f t="shared" si="296"/>
        <v>0</v>
      </c>
      <c r="AS1081">
        <f t="shared" si="297"/>
        <v>0</v>
      </c>
    </row>
    <row r="1082" ht="14.25" customHeight="1" spans="1:45">
      <c r="A1082" s="3" t="str">
        <f>IF(对接源_01水果!$C1082="","",对接源_01水果!$C1082)</f>
        <v/>
      </c>
      <c r="B1082" s="3">
        <f t="shared" si="281"/>
        <v>0</v>
      </c>
      <c r="C1082" s="3">
        <f t="shared" si="282"/>
        <v>18</v>
      </c>
      <c r="K1082" s="3">
        <f>IF(OR($K$1="",对接源_01水果!$C1082="",对接源_01水果!$C1082&lt;&gt;$K$1,对接源_01水果!$B1082=""),0,IF(OR(N(对接源_01水果!$B1082)&lt;$K$2,N(对接源_01水果!$B1082)&gt;$K$3),0,1))</f>
        <v>0</v>
      </c>
      <c r="L1082" s="3">
        <f>IF(OR($L$1="",对接源_01水果!$C1082="",对接源_01水果!$C1082&lt;&gt;$L$1,对接源_01水果!$B1082=""),0,IF(OR(N(对接源_01水果!$B1082)&lt;$L$2,N(对接源_01水果!$B1082)&gt;$L$3),0,1))</f>
        <v>0</v>
      </c>
      <c r="M1082" s="3">
        <f>IF(OR($M$1="",对接源_01水果!$C1082="",对接源_01水果!$C1082&lt;&gt;$M$1,对接源_01水果!$B1082=""),0,IF(OR(N(对接源_01水果!$B1082)&lt;$M$2,N(对接源_01水果!$B1082)&gt;$M$3),0,1))</f>
        <v>0</v>
      </c>
      <c r="N1082" s="3">
        <f>IF(OR($N$1="",对接源_01水果!$C1082="",对接源_01水果!$C1082&lt;&gt;$N$1,对接源_01水果!$B1082=""),0,IF(OR(N(对接源_01水果!$B1082)&lt;$N$2,N(对接源_01水果!$B1082)&gt;$N$3),0,1))</f>
        <v>0</v>
      </c>
      <c r="P1082" s="3">
        <f>IF(AND($K1082=1,AND(对接源_01水果!$X1082="公司筐",N(对接源_01水果!$T1082)&lt;&gt;0)),1,0)</f>
        <v>0</v>
      </c>
      <c r="Q1082" s="3">
        <f t="shared" si="283"/>
        <v>0</v>
      </c>
      <c r="R1082" s="3">
        <f>IF(AND($K1082=1,AND(对接源_01水果!$X1082="公司筐",N(对接源_01水果!$U1082)&lt;&gt;0)),1,0)</f>
        <v>0</v>
      </c>
      <c r="S1082" s="3">
        <f t="shared" si="284"/>
        <v>0</v>
      </c>
      <c r="T1082" s="3">
        <f>IF(AND($K1082=1,AND(对接源_01水果!$X1082="公司筐",N(对接源_01水果!$V1082)&lt;&gt;0)),1,0)</f>
        <v>0</v>
      </c>
      <c r="U1082" s="3">
        <f t="shared" si="285"/>
        <v>19</v>
      </c>
      <c r="V1082" s="3">
        <f>IF(AND($L1082=1,AND(对接源_01水果!$X1082="自备筐",N(对接源_01水果!$V1082)&lt;&gt;0)),1,0)</f>
        <v>0</v>
      </c>
      <c r="W1082" s="3">
        <f t="shared" si="286"/>
        <v>8</v>
      </c>
      <c r="X1082" s="3">
        <f>IF(AND($L1082=1,AND(对接源_01水果!$X1082="自备筐",N(对接源_01水果!$T1082)&lt;&gt;0)),1,0)</f>
        <v>0</v>
      </c>
      <c r="Y1082" s="3">
        <f t="shared" si="287"/>
        <v>0</v>
      </c>
      <c r="Z1082" s="3">
        <f>IF(AND($M1082=1,对接源_01水果!$D1082="原料入库"),1,0)</f>
        <v>0</v>
      </c>
      <c r="AA1082" s="3">
        <f t="shared" si="288"/>
        <v>24</v>
      </c>
      <c r="AB1082" s="3">
        <f>IF(AND($M1082=1,LEFT(对接源_01水果!$D1082,4)="原料出库"),1,0)</f>
        <v>0</v>
      </c>
      <c r="AC1082" s="3">
        <f t="shared" si="289"/>
        <v>0</v>
      </c>
      <c r="AD1082" s="3">
        <f>IF(AND($M1082=1,LEFT(对接源_01水果!$D1082,4)="成品出库"),1,0)</f>
        <v>0</v>
      </c>
      <c r="AE1082" s="3">
        <f t="shared" si="290"/>
        <v>0</v>
      </c>
      <c r="AF1082" s="3">
        <f>IF(AND($N1082=1,AND(LEFT(对接源_01水果!$D1082,4)="包装物料",N(对接源_01水果!$K1082)&lt;&gt;0)),1,0)</f>
        <v>0</v>
      </c>
      <c r="AG1082" s="3">
        <f t="shared" si="291"/>
        <v>0</v>
      </c>
      <c r="AH1082" s="3">
        <f>IF(AND($N1082=1,AND(对接源_01水果!$D1082="周转筐－销售出库",N(对接源_01水果!$K1082)&lt;&gt;0)),1,0)</f>
        <v>0</v>
      </c>
      <c r="AI1082" s="3">
        <f t="shared" si="292"/>
        <v>0</v>
      </c>
      <c r="AJ1082" s="7"/>
      <c r="AL1082" s="3">
        <f>IF(OR($AL$1="",对接源_01水果!$Y1082="",对接源_01水果!$Y1082&lt;&gt;$AL$1,对接源_01水果!$B1082="",N(对接源_01水果!$AJ1082)&lt;=0),0,IF(OR(N(对接源_01水果!$B1082)&lt;$AL$2,N(对接源_01水果!$B1082)&gt;$AL$3),0,1))</f>
        <v>0</v>
      </c>
      <c r="AM1082" s="3">
        <f t="shared" si="293"/>
        <v>1</v>
      </c>
      <c r="AN1082" s="3" t="str">
        <f>IF(对接源_01水果!$AC1082="","",对接源_01水果!$AC1082)</f>
        <v/>
      </c>
      <c r="AO1082" s="3">
        <f t="shared" si="294"/>
        <v>0</v>
      </c>
      <c r="AP1082" s="3">
        <f t="shared" si="295"/>
        <v>8</v>
      </c>
      <c r="AR1082">
        <f t="shared" si="296"/>
        <v>0</v>
      </c>
      <c r="AS1082">
        <f t="shared" si="297"/>
        <v>0</v>
      </c>
    </row>
    <row r="1083" ht="14.25" customHeight="1" spans="1:45">
      <c r="A1083" s="3" t="str">
        <f>IF(对接源_01水果!$C1083="","",对接源_01水果!$C1083)</f>
        <v/>
      </c>
      <c r="B1083" s="3">
        <f t="shared" si="281"/>
        <v>0</v>
      </c>
      <c r="C1083" s="3">
        <f t="shared" si="282"/>
        <v>18</v>
      </c>
      <c r="K1083" s="3">
        <f>IF(OR($K$1="",对接源_01水果!$C1083="",对接源_01水果!$C1083&lt;&gt;$K$1,对接源_01水果!$B1083=""),0,IF(OR(N(对接源_01水果!$B1083)&lt;$K$2,N(对接源_01水果!$B1083)&gt;$K$3),0,1))</f>
        <v>0</v>
      </c>
      <c r="L1083" s="3">
        <f>IF(OR($L$1="",对接源_01水果!$C1083="",对接源_01水果!$C1083&lt;&gt;$L$1,对接源_01水果!$B1083=""),0,IF(OR(N(对接源_01水果!$B1083)&lt;$L$2,N(对接源_01水果!$B1083)&gt;$L$3),0,1))</f>
        <v>0</v>
      </c>
      <c r="M1083" s="3">
        <f>IF(OR($M$1="",对接源_01水果!$C1083="",对接源_01水果!$C1083&lt;&gt;$M$1,对接源_01水果!$B1083=""),0,IF(OR(N(对接源_01水果!$B1083)&lt;$M$2,N(对接源_01水果!$B1083)&gt;$M$3),0,1))</f>
        <v>0</v>
      </c>
      <c r="N1083" s="3">
        <f>IF(OR($N$1="",对接源_01水果!$C1083="",对接源_01水果!$C1083&lt;&gt;$N$1,对接源_01水果!$B1083=""),0,IF(OR(N(对接源_01水果!$B1083)&lt;$N$2,N(对接源_01水果!$B1083)&gt;$N$3),0,1))</f>
        <v>0</v>
      </c>
      <c r="P1083" s="3">
        <f>IF(AND($K1083=1,AND(对接源_01水果!$X1083="公司筐",N(对接源_01水果!$T1083)&lt;&gt;0)),1,0)</f>
        <v>0</v>
      </c>
      <c r="Q1083" s="3">
        <f t="shared" si="283"/>
        <v>0</v>
      </c>
      <c r="R1083" s="3">
        <f>IF(AND($K1083=1,AND(对接源_01水果!$X1083="公司筐",N(对接源_01水果!$U1083)&lt;&gt;0)),1,0)</f>
        <v>0</v>
      </c>
      <c r="S1083" s="3">
        <f t="shared" si="284"/>
        <v>0</v>
      </c>
      <c r="T1083" s="3">
        <f>IF(AND($K1083=1,AND(对接源_01水果!$X1083="公司筐",N(对接源_01水果!$V1083)&lt;&gt;0)),1,0)</f>
        <v>0</v>
      </c>
      <c r="U1083" s="3">
        <f t="shared" si="285"/>
        <v>19</v>
      </c>
      <c r="V1083" s="3">
        <f>IF(AND($L1083=1,AND(对接源_01水果!$X1083="自备筐",N(对接源_01水果!$V1083)&lt;&gt;0)),1,0)</f>
        <v>0</v>
      </c>
      <c r="W1083" s="3">
        <f t="shared" si="286"/>
        <v>8</v>
      </c>
      <c r="X1083" s="3">
        <f>IF(AND($L1083=1,AND(对接源_01水果!$X1083="自备筐",N(对接源_01水果!$T1083)&lt;&gt;0)),1,0)</f>
        <v>0</v>
      </c>
      <c r="Y1083" s="3">
        <f t="shared" si="287"/>
        <v>0</v>
      </c>
      <c r="Z1083" s="3">
        <f>IF(AND($M1083=1,对接源_01水果!$D1083="原料入库"),1,0)</f>
        <v>0</v>
      </c>
      <c r="AA1083" s="3">
        <f t="shared" si="288"/>
        <v>24</v>
      </c>
      <c r="AB1083" s="3">
        <f>IF(AND($M1083=1,LEFT(对接源_01水果!$D1083,4)="原料出库"),1,0)</f>
        <v>0</v>
      </c>
      <c r="AC1083" s="3">
        <f t="shared" si="289"/>
        <v>0</v>
      </c>
      <c r="AD1083" s="3">
        <f>IF(AND($M1083=1,LEFT(对接源_01水果!$D1083,4)="成品出库"),1,0)</f>
        <v>0</v>
      </c>
      <c r="AE1083" s="3">
        <f t="shared" si="290"/>
        <v>0</v>
      </c>
      <c r="AF1083" s="3">
        <f>IF(AND($N1083=1,AND(LEFT(对接源_01水果!$D1083,4)="包装物料",N(对接源_01水果!$K1083)&lt;&gt;0)),1,0)</f>
        <v>0</v>
      </c>
      <c r="AG1083" s="3">
        <f t="shared" si="291"/>
        <v>0</v>
      </c>
      <c r="AH1083" s="3">
        <f>IF(AND($N1083=1,AND(对接源_01水果!$D1083="周转筐－销售出库",N(对接源_01水果!$K1083)&lt;&gt;0)),1,0)</f>
        <v>0</v>
      </c>
      <c r="AI1083" s="3">
        <f t="shared" si="292"/>
        <v>0</v>
      </c>
      <c r="AJ1083" s="7"/>
      <c r="AL1083" s="3">
        <f>IF(OR($AL$1="",对接源_01水果!$Y1083="",对接源_01水果!$Y1083&lt;&gt;$AL$1,对接源_01水果!$B1083="",N(对接源_01水果!$AJ1083)&lt;=0),0,IF(OR(N(对接源_01水果!$B1083)&lt;$AL$2,N(对接源_01水果!$B1083)&gt;$AL$3),0,1))</f>
        <v>0</v>
      </c>
      <c r="AM1083" s="3">
        <f t="shared" si="293"/>
        <v>1</v>
      </c>
      <c r="AN1083" s="3" t="str">
        <f>IF(对接源_01水果!$AC1083="","",对接源_01水果!$AC1083)</f>
        <v/>
      </c>
      <c r="AO1083" s="3">
        <f t="shared" si="294"/>
        <v>0</v>
      </c>
      <c r="AP1083" s="3">
        <f t="shared" si="295"/>
        <v>8</v>
      </c>
      <c r="AR1083">
        <f t="shared" si="296"/>
        <v>0</v>
      </c>
      <c r="AS1083">
        <f t="shared" si="297"/>
        <v>0</v>
      </c>
    </row>
    <row r="1084" ht="14.25" customHeight="1" spans="1:45">
      <c r="A1084" s="3" t="str">
        <f>IF(对接源_01水果!$C1084="","",对接源_01水果!$C1084)</f>
        <v/>
      </c>
      <c r="B1084" s="3">
        <f t="shared" si="281"/>
        <v>0</v>
      </c>
      <c r="C1084" s="3">
        <f t="shared" si="282"/>
        <v>18</v>
      </c>
      <c r="K1084" s="3">
        <f>IF(OR($K$1="",对接源_01水果!$C1084="",对接源_01水果!$C1084&lt;&gt;$K$1,对接源_01水果!$B1084=""),0,IF(OR(N(对接源_01水果!$B1084)&lt;$K$2,N(对接源_01水果!$B1084)&gt;$K$3),0,1))</f>
        <v>0</v>
      </c>
      <c r="L1084" s="3">
        <f>IF(OR($L$1="",对接源_01水果!$C1084="",对接源_01水果!$C1084&lt;&gt;$L$1,对接源_01水果!$B1084=""),0,IF(OR(N(对接源_01水果!$B1084)&lt;$L$2,N(对接源_01水果!$B1084)&gt;$L$3),0,1))</f>
        <v>0</v>
      </c>
      <c r="M1084" s="3">
        <f>IF(OR($M$1="",对接源_01水果!$C1084="",对接源_01水果!$C1084&lt;&gt;$M$1,对接源_01水果!$B1084=""),0,IF(OR(N(对接源_01水果!$B1084)&lt;$M$2,N(对接源_01水果!$B1084)&gt;$M$3),0,1))</f>
        <v>0</v>
      </c>
      <c r="N1084" s="3">
        <f>IF(OR($N$1="",对接源_01水果!$C1084="",对接源_01水果!$C1084&lt;&gt;$N$1,对接源_01水果!$B1084=""),0,IF(OR(N(对接源_01水果!$B1084)&lt;$N$2,N(对接源_01水果!$B1084)&gt;$N$3),0,1))</f>
        <v>0</v>
      </c>
      <c r="P1084" s="3">
        <f>IF(AND($K1084=1,AND(对接源_01水果!$X1084="公司筐",N(对接源_01水果!$T1084)&lt;&gt;0)),1,0)</f>
        <v>0</v>
      </c>
      <c r="Q1084" s="3">
        <f t="shared" si="283"/>
        <v>0</v>
      </c>
      <c r="R1084" s="3">
        <f>IF(AND($K1084=1,AND(对接源_01水果!$X1084="公司筐",N(对接源_01水果!$U1084)&lt;&gt;0)),1,0)</f>
        <v>0</v>
      </c>
      <c r="S1084" s="3">
        <f t="shared" si="284"/>
        <v>0</v>
      </c>
      <c r="T1084" s="3">
        <f>IF(AND($K1084=1,AND(对接源_01水果!$X1084="公司筐",N(对接源_01水果!$V1084)&lt;&gt;0)),1,0)</f>
        <v>0</v>
      </c>
      <c r="U1084" s="3">
        <f t="shared" si="285"/>
        <v>19</v>
      </c>
      <c r="V1084" s="3">
        <f>IF(AND($L1084=1,AND(对接源_01水果!$X1084="自备筐",N(对接源_01水果!$V1084)&lt;&gt;0)),1,0)</f>
        <v>0</v>
      </c>
      <c r="W1084" s="3">
        <f t="shared" si="286"/>
        <v>8</v>
      </c>
      <c r="X1084" s="3">
        <f>IF(AND($L1084=1,AND(对接源_01水果!$X1084="自备筐",N(对接源_01水果!$T1084)&lt;&gt;0)),1,0)</f>
        <v>0</v>
      </c>
      <c r="Y1084" s="3">
        <f t="shared" si="287"/>
        <v>0</v>
      </c>
      <c r="Z1084" s="3">
        <f>IF(AND($M1084=1,对接源_01水果!$D1084="原料入库"),1,0)</f>
        <v>0</v>
      </c>
      <c r="AA1084" s="3">
        <f t="shared" si="288"/>
        <v>24</v>
      </c>
      <c r="AB1084" s="3">
        <f>IF(AND($M1084=1,LEFT(对接源_01水果!$D1084,4)="原料出库"),1,0)</f>
        <v>0</v>
      </c>
      <c r="AC1084" s="3">
        <f t="shared" si="289"/>
        <v>0</v>
      </c>
      <c r="AD1084" s="3">
        <f>IF(AND($M1084=1,LEFT(对接源_01水果!$D1084,4)="成品出库"),1,0)</f>
        <v>0</v>
      </c>
      <c r="AE1084" s="3">
        <f t="shared" si="290"/>
        <v>0</v>
      </c>
      <c r="AF1084" s="3">
        <f>IF(AND($N1084=1,AND(LEFT(对接源_01水果!$D1084,4)="包装物料",N(对接源_01水果!$K1084)&lt;&gt;0)),1,0)</f>
        <v>0</v>
      </c>
      <c r="AG1084" s="3">
        <f t="shared" si="291"/>
        <v>0</v>
      </c>
      <c r="AH1084" s="3">
        <f>IF(AND($N1084=1,AND(对接源_01水果!$D1084="周转筐－销售出库",N(对接源_01水果!$K1084)&lt;&gt;0)),1,0)</f>
        <v>0</v>
      </c>
      <c r="AI1084" s="3">
        <f t="shared" si="292"/>
        <v>0</v>
      </c>
      <c r="AJ1084" s="7"/>
      <c r="AL1084" s="3">
        <f>IF(OR($AL$1="",对接源_01水果!$Y1084="",对接源_01水果!$Y1084&lt;&gt;$AL$1,对接源_01水果!$B1084="",N(对接源_01水果!$AJ1084)&lt;=0),0,IF(OR(N(对接源_01水果!$B1084)&lt;$AL$2,N(对接源_01水果!$B1084)&gt;$AL$3),0,1))</f>
        <v>0</v>
      </c>
      <c r="AM1084" s="3">
        <f t="shared" si="293"/>
        <v>1</v>
      </c>
      <c r="AN1084" s="3" t="str">
        <f>IF(对接源_01水果!$AC1084="","",对接源_01水果!$AC1084)</f>
        <v/>
      </c>
      <c r="AO1084" s="3">
        <f t="shared" si="294"/>
        <v>0</v>
      </c>
      <c r="AP1084" s="3">
        <f t="shared" si="295"/>
        <v>8</v>
      </c>
      <c r="AR1084">
        <f t="shared" si="296"/>
        <v>0</v>
      </c>
      <c r="AS1084">
        <f t="shared" si="297"/>
        <v>0</v>
      </c>
    </row>
    <row r="1085" ht="14.25" customHeight="1" spans="1:45">
      <c r="A1085" s="3" t="str">
        <f>IF(对接源_01水果!$C1085="","",对接源_01水果!$C1085)</f>
        <v/>
      </c>
      <c r="B1085" s="3">
        <f t="shared" si="281"/>
        <v>0</v>
      </c>
      <c r="C1085" s="3">
        <f t="shared" si="282"/>
        <v>18</v>
      </c>
      <c r="K1085" s="3">
        <f>IF(OR($K$1="",对接源_01水果!$C1085="",对接源_01水果!$C1085&lt;&gt;$K$1,对接源_01水果!$B1085=""),0,IF(OR(N(对接源_01水果!$B1085)&lt;$K$2,N(对接源_01水果!$B1085)&gt;$K$3),0,1))</f>
        <v>0</v>
      </c>
      <c r="L1085" s="3">
        <f>IF(OR($L$1="",对接源_01水果!$C1085="",对接源_01水果!$C1085&lt;&gt;$L$1,对接源_01水果!$B1085=""),0,IF(OR(N(对接源_01水果!$B1085)&lt;$L$2,N(对接源_01水果!$B1085)&gt;$L$3),0,1))</f>
        <v>0</v>
      </c>
      <c r="M1085" s="3">
        <f>IF(OR($M$1="",对接源_01水果!$C1085="",对接源_01水果!$C1085&lt;&gt;$M$1,对接源_01水果!$B1085=""),0,IF(OR(N(对接源_01水果!$B1085)&lt;$M$2,N(对接源_01水果!$B1085)&gt;$M$3),0,1))</f>
        <v>0</v>
      </c>
      <c r="N1085" s="3">
        <f>IF(OR($N$1="",对接源_01水果!$C1085="",对接源_01水果!$C1085&lt;&gt;$N$1,对接源_01水果!$B1085=""),0,IF(OR(N(对接源_01水果!$B1085)&lt;$N$2,N(对接源_01水果!$B1085)&gt;$N$3),0,1))</f>
        <v>0</v>
      </c>
      <c r="P1085" s="3">
        <f>IF(AND($K1085=1,AND(对接源_01水果!$X1085="公司筐",N(对接源_01水果!$T1085)&lt;&gt;0)),1,0)</f>
        <v>0</v>
      </c>
      <c r="Q1085" s="3">
        <f t="shared" si="283"/>
        <v>0</v>
      </c>
      <c r="R1085" s="3">
        <f>IF(AND($K1085=1,AND(对接源_01水果!$X1085="公司筐",N(对接源_01水果!$U1085)&lt;&gt;0)),1,0)</f>
        <v>0</v>
      </c>
      <c r="S1085" s="3">
        <f t="shared" si="284"/>
        <v>0</v>
      </c>
      <c r="T1085" s="3">
        <f>IF(AND($K1085=1,AND(对接源_01水果!$X1085="公司筐",N(对接源_01水果!$V1085)&lt;&gt;0)),1,0)</f>
        <v>0</v>
      </c>
      <c r="U1085" s="3">
        <f t="shared" si="285"/>
        <v>19</v>
      </c>
      <c r="V1085" s="3">
        <f>IF(AND($L1085=1,AND(对接源_01水果!$X1085="自备筐",N(对接源_01水果!$V1085)&lt;&gt;0)),1,0)</f>
        <v>0</v>
      </c>
      <c r="W1085" s="3">
        <f t="shared" si="286"/>
        <v>8</v>
      </c>
      <c r="X1085" s="3">
        <f>IF(AND($L1085=1,AND(对接源_01水果!$X1085="自备筐",N(对接源_01水果!$T1085)&lt;&gt;0)),1,0)</f>
        <v>0</v>
      </c>
      <c r="Y1085" s="3">
        <f t="shared" si="287"/>
        <v>0</v>
      </c>
      <c r="Z1085" s="3">
        <f>IF(AND($M1085=1,对接源_01水果!$D1085="原料入库"),1,0)</f>
        <v>0</v>
      </c>
      <c r="AA1085" s="3">
        <f t="shared" si="288"/>
        <v>24</v>
      </c>
      <c r="AB1085" s="3">
        <f>IF(AND($M1085=1,LEFT(对接源_01水果!$D1085,4)="原料出库"),1,0)</f>
        <v>0</v>
      </c>
      <c r="AC1085" s="3">
        <f t="shared" si="289"/>
        <v>0</v>
      </c>
      <c r="AD1085" s="3">
        <f>IF(AND($M1085=1,LEFT(对接源_01水果!$D1085,4)="成品出库"),1,0)</f>
        <v>0</v>
      </c>
      <c r="AE1085" s="3">
        <f t="shared" si="290"/>
        <v>0</v>
      </c>
      <c r="AF1085" s="3">
        <f>IF(AND($N1085=1,AND(LEFT(对接源_01水果!$D1085,4)="包装物料",N(对接源_01水果!$K1085)&lt;&gt;0)),1,0)</f>
        <v>0</v>
      </c>
      <c r="AG1085" s="3">
        <f t="shared" si="291"/>
        <v>0</v>
      </c>
      <c r="AH1085" s="3">
        <f>IF(AND($N1085=1,AND(对接源_01水果!$D1085="周转筐－销售出库",N(对接源_01水果!$K1085)&lt;&gt;0)),1,0)</f>
        <v>0</v>
      </c>
      <c r="AI1085" s="3">
        <f t="shared" si="292"/>
        <v>0</v>
      </c>
      <c r="AJ1085" s="7"/>
      <c r="AL1085" s="3">
        <f>IF(OR($AL$1="",对接源_01水果!$Y1085="",对接源_01水果!$Y1085&lt;&gt;$AL$1,对接源_01水果!$B1085="",N(对接源_01水果!$AJ1085)&lt;=0),0,IF(OR(N(对接源_01水果!$B1085)&lt;$AL$2,N(对接源_01水果!$B1085)&gt;$AL$3),0,1))</f>
        <v>0</v>
      </c>
      <c r="AM1085" s="3">
        <f t="shared" si="293"/>
        <v>1</v>
      </c>
      <c r="AN1085" s="3" t="str">
        <f>IF(对接源_01水果!$AC1085="","",对接源_01水果!$AC1085)</f>
        <v/>
      </c>
      <c r="AO1085" s="3">
        <f t="shared" si="294"/>
        <v>0</v>
      </c>
      <c r="AP1085" s="3">
        <f t="shared" si="295"/>
        <v>8</v>
      </c>
      <c r="AR1085">
        <f t="shared" si="296"/>
        <v>0</v>
      </c>
      <c r="AS1085">
        <f t="shared" si="297"/>
        <v>0</v>
      </c>
    </row>
    <row r="1086" ht="14.25" customHeight="1" spans="1:45">
      <c r="A1086" s="3" t="str">
        <f>IF(对接源_01水果!$C1086="","",对接源_01水果!$C1086)</f>
        <v/>
      </c>
      <c r="B1086" s="3">
        <f t="shared" si="281"/>
        <v>0</v>
      </c>
      <c r="C1086" s="3">
        <f t="shared" si="282"/>
        <v>18</v>
      </c>
      <c r="K1086" s="3">
        <f>IF(OR($K$1="",对接源_01水果!$C1086="",对接源_01水果!$C1086&lt;&gt;$K$1,对接源_01水果!$B1086=""),0,IF(OR(N(对接源_01水果!$B1086)&lt;$K$2,N(对接源_01水果!$B1086)&gt;$K$3),0,1))</f>
        <v>0</v>
      </c>
      <c r="L1086" s="3">
        <f>IF(OR($L$1="",对接源_01水果!$C1086="",对接源_01水果!$C1086&lt;&gt;$L$1,对接源_01水果!$B1086=""),0,IF(OR(N(对接源_01水果!$B1086)&lt;$L$2,N(对接源_01水果!$B1086)&gt;$L$3),0,1))</f>
        <v>0</v>
      </c>
      <c r="M1086" s="3">
        <f>IF(OR($M$1="",对接源_01水果!$C1086="",对接源_01水果!$C1086&lt;&gt;$M$1,对接源_01水果!$B1086=""),0,IF(OR(N(对接源_01水果!$B1086)&lt;$M$2,N(对接源_01水果!$B1086)&gt;$M$3),0,1))</f>
        <v>0</v>
      </c>
      <c r="N1086" s="3">
        <f>IF(OR($N$1="",对接源_01水果!$C1086="",对接源_01水果!$C1086&lt;&gt;$N$1,对接源_01水果!$B1086=""),0,IF(OR(N(对接源_01水果!$B1086)&lt;$N$2,N(对接源_01水果!$B1086)&gt;$N$3),0,1))</f>
        <v>0</v>
      </c>
      <c r="P1086" s="3">
        <f>IF(AND($K1086=1,AND(对接源_01水果!$X1086="公司筐",N(对接源_01水果!$T1086)&lt;&gt;0)),1,0)</f>
        <v>0</v>
      </c>
      <c r="Q1086" s="3">
        <f t="shared" si="283"/>
        <v>0</v>
      </c>
      <c r="R1086" s="3">
        <f>IF(AND($K1086=1,AND(对接源_01水果!$X1086="公司筐",N(对接源_01水果!$U1086)&lt;&gt;0)),1,0)</f>
        <v>0</v>
      </c>
      <c r="S1086" s="3">
        <f t="shared" si="284"/>
        <v>0</v>
      </c>
      <c r="T1086" s="3">
        <f>IF(AND($K1086=1,AND(对接源_01水果!$X1086="公司筐",N(对接源_01水果!$V1086)&lt;&gt;0)),1,0)</f>
        <v>0</v>
      </c>
      <c r="U1086" s="3">
        <f t="shared" si="285"/>
        <v>19</v>
      </c>
      <c r="V1086" s="3">
        <f>IF(AND($L1086=1,AND(对接源_01水果!$X1086="自备筐",N(对接源_01水果!$V1086)&lt;&gt;0)),1,0)</f>
        <v>0</v>
      </c>
      <c r="W1086" s="3">
        <f t="shared" si="286"/>
        <v>8</v>
      </c>
      <c r="X1086" s="3">
        <f>IF(AND($L1086=1,AND(对接源_01水果!$X1086="自备筐",N(对接源_01水果!$T1086)&lt;&gt;0)),1,0)</f>
        <v>0</v>
      </c>
      <c r="Y1086" s="3">
        <f t="shared" si="287"/>
        <v>0</v>
      </c>
      <c r="Z1086" s="3">
        <f>IF(AND($M1086=1,对接源_01水果!$D1086="原料入库"),1,0)</f>
        <v>0</v>
      </c>
      <c r="AA1086" s="3">
        <f t="shared" si="288"/>
        <v>24</v>
      </c>
      <c r="AB1086" s="3">
        <f>IF(AND($M1086=1,LEFT(对接源_01水果!$D1086,4)="原料出库"),1,0)</f>
        <v>0</v>
      </c>
      <c r="AC1086" s="3">
        <f t="shared" si="289"/>
        <v>0</v>
      </c>
      <c r="AD1086" s="3">
        <f>IF(AND($M1086=1,LEFT(对接源_01水果!$D1086,4)="成品出库"),1,0)</f>
        <v>0</v>
      </c>
      <c r="AE1086" s="3">
        <f t="shared" si="290"/>
        <v>0</v>
      </c>
      <c r="AF1086" s="3">
        <f>IF(AND($N1086=1,AND(LEFT(对接源_01水果!$D1086,4)="包装物料",N(对接源_01水果!$K1086)&lt;&gt;0)),1,0)</f>
        <v>0</v>
      </c>
      <c r="AG1086" s="3">
        <f t="shared" si="291"/>
        <v>0</v>
      </c>
      <c r="AH1086" s="3">
        <f>IF(AND($N1086=1,AND(对接源_01水果!$D1086="周转筐－销售出库",N(对接源_01水果!$K1086)&lt;&gt;0)),1,0)</f>
        <v>0</v>
      </c>
      <c r="AI1086" s="3">
        <f t="shared" si="292"/>
        <v>0</v>
      </c>
      <c r="AJ1086" s="7"/>
      <c r="AL1086" s="3">
        <f>IF(OR($AL$1="",对接源_01水果!$Y1086="",对接源_01水果!$Y1086&lt;&gt;$AL$1,对接源_01水果!$B1086="",N(对接源_01水果!$AJ1086)&lt;=0),0,IF(OR(N(对接源_01水果!$B1086)&lt;$AL$2,N(对接源_01水果!$B1086)&gt;$AL$3),0,1))</f>
        <v>0</v>
      </c>
      <c r="AM1086" s="3">
        <f t="shared" si="293"/>
        <v>1</v>
      </c>
      <c r="AN1086" s="3" t="str">
        <f>IF(对接源_01水果!$AC1086="","",对接源_01水果!$AC1086)</f>
        <v/>
      </c>
      <c r="AO1086" s="3">
        <f t="shared" si="294"/>
        <v>0</v>
      </c>
      <c r="AP1086" s="3">
        <f t="shared" si="295"/>
        <v>8</v>
      </c>
      <c r="AR1086">
        <f t="shared" si="296"/>
        <v>0</v>
      </c>
      <c r="AS1086">
        <f t="shared" si="297"/>
        <v>0</v>
      </c>
    </row>
    <row r="1087" ht="14.25" customHeight="1" spans="1:45">
      <c r="A1087" s="3" t="str">
        <f>IF(对接源_01水果!$C1087="","",对接源_01水果!$C1087)</f>
        <v/>
      </c>
      <c r="B1087" s="3">
        <f t="shared" si="281"/>
        <v>0</v>
      </c>
      <c r="C1087" s="3">
        <f t="shared" si="282"/>
        <v>18</v>
      </c>
      <c r="K1087" s="3">
        <f>IF(OR($K$1="",对接源_01水果!$C1087="",对接源_01水果!$C1087&lt;&gt;$K$1,对接源_01水果!$B1087=""),0,IF(OR(N(对接源_01水果!$B1087)&lt;$K$2,N(对接源_01水果!$B1087)&gt;$K$3),0,1))</f>
        <v>0</v>
      </c>
      <c r="L1087" s="3">
        <f>IF(OR($L$1="",对接源_01水果!$C1087="",对接源_01水果!$C1087&lt;&gt;$L$1,对接源_01水果!$B1087=""),0,IF(OR(N(对接源_01水果!$B1087)&lt;$L$2,N(对接源_01水果!$B1087)&gt;$L$3),0,1))</f>
        <v>0</v>
      </c>
      <c r="M1087" s="3">
        <f>IF(OR($M$1="",对接源_01水果!$C1087="",对接源_01水果!$C1087&lt;&gt;$M$1,对接源_01水果!$B1087=""),0,IF(OR(N(对接源_01水果!$B1087)&lt;$M$2,N(对接源_01水果!$B1087)&gt;$M$3),0,1))</f>
        <v>0</v>
      </c>
      <c r="N1087" s="3">
        <f>IF(OR($N$1="",对接源_01水果!$C1087="",对接源_01水果!$C1087&lt;&gt;$N$1,对接源_01水果!$B1087=""),0,IF(OR(N(对接源_01水果!$B1087)&lt;$N$2,N(对接源_01水果!$B1087)&gt;$N$3),0,1))</f>
        <v>0</v>
      </c>
      <c r="P1087" s="3">
        <f>IF(AND($K1087=1,AND(对接源_01水果!$X1087="公司筐",N(对接源_01水果!$T1087)&lt;&gt;0)),1,0)</f>
        <v>0</v>
      </c>
      <c r="Q1087" s="3">
        <f t="shared" si="283"/>
        <v>0</v>
      </c>
      <c r="R1087" s="3">
        <f>IF(AND($K1087=1,AND(对接源_01水果!$X1087="公司筐",N(对接源_01水果!$U1087)&lt;&gt;0)),1,0)</f>
        <v>0</v>
      </c>
      <c r="S1087" s="3">
        <f t="shared" si="284"/>
        <v>0</v>
      </c>
      <c r="T1087" s="3">
        <f>IF(AND($K1087=1,AND(对接源_01水果!$X1087="公司筐",N(对接源_01水果!$V1087)&lt;&gt;0)),1,0)</f>
        <v>0</v>
      </c>
      <c r="U1087" s="3">
        <f t="shared" si="285"/>
        <v>19</v>
      </c>
      <c r="V1087" s="3">
        <f>IF(AND($L1087=1,AND(对接源_01水果!$X1087="自备筐",N(对接源_01水果!$V1087)&lt;&gt;0)),1,0)</f>
        <v>0</v>
      </c>
      <c r="W1087" s="3">
        <f t="shared" si="286"/>
        <v>8</v>
      </c>
      <c r="X1087" s="3">
        <f>IF(AND($L1087=1,AND(对接源_01水果!$X1087="自备筐",N(对接源_01水果!$T1087)&lt;&gt;0)),1,0)</f>
        <v>0</v>
      </c>
      <c r="Y1087" s="3">
        <f t="shared" si="287"/>
        <v>0</v>
      </c>
      <c r="Z1087" s="3">
        <f>IF(AND($M1087=1,对接源_01水果!$D1087="原料入库"),1,0)</f>
        <v>0</v>
      </c>
      <c r="AA1087" s="3">
        <f t="shared" si="288"/>
        <v>24</v>
      </c>
      <c r="AB1087" s="3">
        <f>IF(AND($M1087=1,LEFT(对接源_01水果!$D1087,4)="原料出库"),1,0)</f>
        <v>0</v>
      </c>
      <c r="AC1087" s="3">
        <f t="shared" si="289"/>
        <v>0</v>
      </c>
      <c r="AD1087" s="3">
        <f>IF(AND($M1087=1,LEFT(对接源_01水果!$D1087,4)="成品出库"),1,0)</f>
        <v>0</v>
      </c>
      <c r="AE1087" s="3">
        <f t="shared" si="290"/>
        <v>0</v>
      </c>
      <c r="AF1087" s="3">
        <f>IF(AND($N1087=1,AND(LEFT(对接源_01水果!$D1087,4)="包装物料",N(对接源_01水果!$K1087)&lt;&gt;0)),1,0)</f>
        <v>0</v>
      </c>
      <c r="AG1087" s="3">
        <f t="shared" si="291"/>
        <v>0</v>
      </c>
      <c r="AH1087" s="3">
        <f>IF(AND($N1087=1,AND(对接源_01水果!$D1087="周转筐－销售出库",N(对接源_01水果!$K1087)&lt;&gt;0)),1,0)</f>
        <v>0</v>
      </c>
      <c r="AI1087" s="3">
        <f t="shared" si="292"/>
        <v>0</v>
      </c>
      <c r="AJ1087" s="7"/>
      <c r="AL1087" s="3">
        <f>IF(OR($AL$1="",对接源_01水果!$Y1087="",对接源_01水果!$Y1087&lt;&gt;$AL$1,对接源_01水果!$B1087="",N(对接源_01水果!$AJ1087)&lt;=0),0,IF(OR(N(对接源_01水果!$B1087)&lt;$AL$2,N(对接源_01水果!$B1087)&gt;$AL$3),0,1))</f>
        <v>0</v>
      </c>
      <c r="AM1087" s="3">
        <f t="shared" si="293"/>
        <v>1</v>
      </c>
      <c r="AN1087" s="3" t="str">
        <f>IF(对接源_01水果!$AC1087="","",对接源_01水果!$AC1087)</f>
        <v/>
      </c>
      <c r="AO1087" s="3">
        <f t="shared" si="294"/>
        <v>0</v>
      </c>
      <c r="AP1087" s="3">
        <f t="shared" si="295"/>
        <v>8</v>
      </c>
      <c r="AR1087">
        <f t="shared" si="296"/>
        <v>0</v>
      </c>
      <c r="AS1087">
        <f t="shared" si="297"/>
        <v>0</v>
      </c>
    </row>
    <row r="1088" ht="14.25" customHeight="1" spans="1:45">
      <c r="A1088" s="3" t="str">
        <f>IF(对接源_01水果!$C1088="","",对接源_01水果!$C1088)</f>
        <v/>
      </c>
      <c r="B1088" s="3">
        <f t="shared" si="281"/>
        <v>0</v>
      </c>
      <c r="C1088" s="3">
        <f t="shared" si="282"/>
        <v>18</v>
      </c>
      <c r="K1088" s="3">
        <f>IF(OR($K$1="",对接源_01水果!$C1088="",对接源_01水果!$C1088&lt;&gt;$K$1,对接源_01水果!$B1088=""),0,IF(OR(N(对接源_01水果!$B1088)&lt;$K$2,N(对接源_01水果!$B1088)&gt;$K$3),0,1))</f>
        <v>0</v>
      </c>
      <c r="L1088" s="3">
        <f>IF(OR($L$1="",对接源_01水果!$C1088="",对接源_01水果!$C1088&lt;&gt;$L$1,对接源_01水果!$B1088=""),0,IF(OR(N(对接源_01水果!$B1088)&lt;$L$2,N(对接源_01水果!$B1088)&gt;$L$3),0,1))</f>
        <v>0</v>
      </c>
      <c r="M1088" s="3">
        <f>IF(OR($M$1="",对接源_01水果!$C1088="",对接源_01水果!$C1088&lt;&gt;$M$1,对接源_01水果!$B1088=""),0,IF(OR(N(对接源_01水果!$B1088)&lt;$M$2,N(对接源_01水果!$B1088)&gt;$M$3),0,1))</f>
        <v>0</v>
      </c>
      <c r="N1088" s="3">
        <f>IF(OR($N$1="",对接源_01水果!$C1088="",对接源_01水果!$C1088&lt;&gt;$N$1,对接源_01水果!$B1088=""),0,IF(OR(N(对接源_01水果!$B1088)&lt;$N$2,N(对接源_01水果!$B1088)&gt;$N$3),0,1))</f>
        <v>0</v>
      </c>
      <c r="P1088" s="3">
        <f>IF(AND($K1088=1,AND(对接源_01水果!$X1088="公司筐",N(对接源_01水果!$T1088)&lt;&gt;0)),1,0)</f>
        <v>0</v>
      </c>
      <c r="Q1088" s="3">
        <f t="shared" si="283"/>
        <v>0</v>
      </c>
      <c r="R1088" s="3">
        <f>IF(AND($K1088=1,AND(对接源_01水果!$X1088="公司筐",N(对接源_01水果!$U1088)&lt;&gt;0)),1,0)</f>
        <v>0</v>
      </c>
      <c r="S1088" s="3">
        <f t="shared" si="284"/>
        <v>0</v>
      </c>
      <c r="T1088" s="3">
        <f>IF(AND($K1088=1,AND(对接源_01水果!$X1088="公司筐",N(对接源_01水果!$V1088)&lt;&gt;0)),1,0)</f>
        <v>0</v>
      </c>
      <c r="U1088" s="3">
        <f t="shared" si="285"/>
        <v>19</v>
      </c>
      <c r="V1088" s="3">
        <f>IF(AND($L1088=1,AND(对接源_01水果!$X1088="自备筐",N(对接源_01水果!$V1088)&lt;&gt;0)),1,0)</f>
        <v>0</v>
      </c>
      <c r="W1088" s="3">
        <f t="shared" si="286"/>
        <v>8</v>
      </c>
      <c r="X1088" s="3">
        <f>IF(AND($L1088=1,AND(对接源_01水果!$X1088="自备筐",N(对接源_01水果!$T1088)&lt;&gt;0)),1,0)</f>
        <v>0</v>
      </c>
      <c r="Y1088" s="3">
        <f t="shared" si="287"/>
        <v>0</v>
      </c>
      <c r="Z1088" s="3">
        <f>IF(AND($M1088=1,对接源_01水果!$D1088="原料入库"),1,0)</f>
        <v>0</v>
      </c>
      <c r="AA1088" s="3">
        <f t="shared" si="288"/>
        <v>24</v>
      </c>
      <c r="AB1088" s="3">
        <f>IF(AND($M1088=1,LEFT(对接源_01水果!$D1088,4)="原料出库"),1,0)</f>
        <v>0</v>
      </c>
      <c r="AC1088" s="3">
        <f t="shared" si="289"/>
        <v>0</v>
      </c>
      <c r="AD1088" s="3">
        <f>IF(AND($M1088=1,LEFT(对接源_01水果!$D1088,4)="成品出库"),1,0)</f>
        <v>0</v>
      </c>
      <c r="AE1088" s="3">
        <f t="shared" si="290"/>
        <v>0</v>
      </c>
      <c r="AF1088" s="3">
        <f>IF(AND($N1088=1,AND(LEFT(对接源_01水果!$D1088,4)="包装物料",N(对接源_01水果!$K1088)&lt;&gt;0)),1,0)</f>
        <v>0</v>
      </c>
      <c r="AG1088" s="3">
        <f t="shared" si="291"/>
        <v>0</v>
      </c>
      <c r="AH1088" s="3">
        <f>IF(AND($N1088=1,AND(对接源_01水果!$D1088="周转筐－销售出库",N(对接源_01水果!$K1088)&lt;&gt;0)),1,0)</f>
        <v>0</v>
      </c>
      <c r="AI1088" s="3">
        <f t="shared" si="292"/>
        <v>0</v>
      </c>
      <c r="AJ1088" s="7"/>
      <c r="AL1088" s="3">
        <f>IF(OR($AL$1="",对接源_01水果!$Y1088="",对接源_01水果!$Y1088&lt;&gt;$AL$1,对接源_01水果!$B1088="",N(对接源_01水果!$AJ1088)&lt;=0),0,IF(OR(N(对接源_01水果!$B1088)&lt;$AL$2,N(对接源_01水果!$B1088)&gt;$AL$3),0,1))</f>
        <v>0</v>
      </c>
      <c r="AM1088" s="3">
        <f t="shared" si="293"/>
        <v>1</v>
      </c>
      <c r="AN1088" s="3" t="str">
        <f>IF(对接源_01水果!$AC1088="","",对接源_01水果!$AC1088)</f>
        <v/>
      </c>
      <c r="AO1088" s="3">
        <f t="shared" si="294"/>
        <v>0</v>
      </c>
      <c r="AP1088" s="3">
        <f t="shared" si="295"/>
        <v>8</v>
      </c>
      <c r="AR1088">
        <f t="shared" si="296"/>
        <v>0</v>
      </c>
      <c r="AS1088">
        <f t="shared" si="297"/>
        <v>0</v>
      </c>
    </row>
    <row r="1089" ht="14.25" customHeight="1" spans="1:45">
      <c r="A1089" s="3" t="str">
        <f>IF(对接源_01水果!$C1089="","",对接源_01水果!$C1089)</f>
        <v/>
      </c>
      <c r="B1089" s="3">
        <f t="shared" si="281"/>
        <v>0</v>
      </c>
      <c r="C1089" s="3">
        <f t="shared" si="282"/>
        <v>18</v>
      </c>
      <c r="K1089" s="3">
        <f>IF(OR($K$1="",对接源_01水果!$C1089="",对接源_01水果!$C1089&lt;&gt;$K$1,对接源_01水果!$B1089=""),0,IF(OR(N(对接源_01水果!$B1089)&lt;$K$2,N(对接源_01水果!$B1089)&gt;$K$3),0,1))</f>
        <v>0</v>
      </c>
      <c r="L1089" s="3">
        <f>IF(OR($L$1="",对接源_01水果!$C1089="",对接源_01水果!$C1089&lt;&gt;$L$1,对接源_01水果!$B1089=""),0,IF(OR(N(对接源_01水果!$B1089)&lt;$L$2,N(对接源_01水果!$B1089)&gt;$L$3),0,1))</f>
        <v>0</v>
      </c>
      <c r="M1089" s="3">
        <f>IF(OR($M$1="",对接源_01水果!$C1089="",对接源_01水果!$C1089&lt;&gt;$M$1,对接源_01水果!$B1089=""),0,IF(OR(N(对接源_01水果!$B1089)&lt;$M$2,N(对接源_01水果!$B1089)&gt;$M$3),0,1))</f>
        <v>0</v>
      </c>
      <c r="N1089" s="3">
        <f>IF(OR($N$1="",对接源_01水果!$C1089="",对接源_01水果!$C1089&lt;&gt;$N$1,对接源_01水果!$B1089=""),0,IF(OR(N(对接源_01水果!$B1089)&lt;$N$2,N(对接源_01水果!$B1089)&gt;$N$3),0,1))</f>
        <v>0</v>
      </c>
      <c r="P1089" s="3">
        <f>IF(AND($K1089=1,AND(对接源_01水果!$X1089="公司筐",N(对接源_01水果!$T1089)&lt;&gt;0)),1,0)</f>
        <v>0</v>
      </c>
      <c r="Q1089" s="3">
        <f t="shared" si="283"/>
        <v>0</v>
      </c>
      <c r="R1089" s="3">
        <f>IF(AND($K1089=1,AND(对接源_01水果!$X1089="公司筐",N(对接源_01水果!$U1089)&lt;&gt;0)),1,0)</f>
        <v>0</v>
      </c>
      <c r="S1089" s="3">
        <f t="shared" si="284"/>
        <v>0</v>
      </c>
      <c r="T1089" s="3">
        <f>IF(AND($K1089=1,AND(对接源_01水果!$X1089="公司筐",N(对接源_01水果!$V1089)&lt;&gt;0)),1,0)</f>
        <v>0</v>
      </c>
      <c r="U1089" s="3">
        <f t="shared" si="285"/>
        <v>19</v>
      </c>
      <c r="V1089" s="3">
        <f>IF(AND($L1089=1,AND(对接源_01水果!$X1089="自备筐",N(对接源_01水果!$V1089)&lt;&gt;0)),1,0)</f>
        <v>0</v>
      </c>
      <c r="W1089" s="3">
        <f t="shared" si="286"/>
        <v>8</v>
      </c>
      <c r="X1089" s="3">
        <f>IF(AND($L1089=1,AND(对接源_01水果!$X1089="自备筐",N(对接源_01水果!$T1089)&lt;&gt;0)),1,0)</f>
        <v>0</v>
      </c>
      <c r="Y1089" s="3">
        <f t="shared" si="287"/>
        <v>0</v>
      </c>
      <c r="Z1089" s="3">
        <f>IF(AND($M1089=1,对接源_01水果!$D1089="原料入库"),1,0)</f>
        <v>0</v>
      </c>
      <c r="AA1089" s="3">
        <f t="shared" si="288"/>
        <v>24</v>
      </c>
      <c r="AB1089" s="3">
        <f>IF(AND($M1089=1,LEFT(对接源_01水果!$D1089,4)="原料出库"),1,0)</f>
        <v>0</v>
      </c>
      <c r="AC1089" s="3">
        <f t="shared" si="289"/>
        <v>0</v>
      </c>
      <c r="AD1089" s="3">
        <f>IF(AND($M1089=1,LEFT(对接源_01水果!$D1089,4)="成品出库"),1,0)</f>
        <v>0</v>
      </c>
      <c r="AE1089" s="3">
        <f t="shared" si="290"/>
        <v>0</v>
      </c>
      <c r="AF1089" s="3">
        <f>IF(AND($N1089=1,AND(LEFT(对接源_01水果!$D1089,4)="包装物料",N(对接源_01水果!$K1089)&lt;&gt;0)),1,0)</f>
        <v>0</v>
      </c>
      <c r="AG1089" s="3">
        <f t="shared" si="291"/>
        <v>0</v>
      </c>
      <c r="AH1089" s="3">
        <f>IF(AND($N1089=1,AND(对接源_01水果!$D1089="周转筐－销售出库",N(对接源_01水果!$K1089)&lt;&gt;0)),1,0)</f>
        <v>0</v>
      </c>
      <c r="AI1089" s="3">
        <f t="shared" si="292"/>
        <v>0</v>
      </c>
      <c r="AJ1089" s="7"/>
      <c r="AL1089" s="3">
        <f>IF(OR($AL$1="",对接源_01水果!$Y1089="",对接源_01水果!$Y1089&lt;&gt;$AL$1,对接源_01水果!$B1089="",N(对接源_01水果!$AJ1089)&lt;=0),0,IF(OR(N(对接源_01水果!$B1089)&lt;$AL$2,N(对接源_01水果!$B1089)&gt;$AL$3),0,1))</f>
        <v>0</v>
      </c>
      <c r="AM1089" s="3">
        <f t="shared" si="293"/>
        <v>1</v>
      </c>
      <c r="AN1089" s="3" t="str">
        <f>IF(对接源_01水果!$AC1089="","",对接源_01水果!$AC1089)</f>
        <v/>
      </c>
      <c r="AO1089" s="3">
        <f t="shared" si="294"/>
        <v>0</v>
      </c>
      <c r="AP1089" s="3">
        <f t="shared" si="295"/>
        <v>8</v>
      </c>
      <c r="AR1089">
        <f t="shared" si="296"/>
        <v>0</v>
      </c>
      <c r="AS1089">
        <f t="shared" si="297"/>
        <v>0</v>
      </c>
    </row>
    <row r="1090" ht="14.25" customHeight="1" spans="1:45">
      <c r="A1090" s="3" t="str">
        <f>IF(对接源_01水果!$C1090="","",对接源_01水果!$C1090)</f>
        <v/>
      </c>
      <c r="B1090" s="3">
        <f t="shared" si="281"/>
        <v>0</v>
      </c>
      <c r="C1090" s="3">
        <f t="shared" si="282"/>
        <v>18</v>
      </c>
      <c r="K1090" s="3">
        <f>IF(OR($K$1="",对接源_01水果!$C1090="",对接源_01水果!$C1090&lt;&gt;$K$1,对接源_01水果!$B1090=""),0,IF(OR(N(对接源_01水果!$B1090)&lt;$K$2,N(对接源_01水果!$B1090)&gt;$K$3),0,1))</f>
        <v>0</v>
      </c>
      <c r="L1090" s="3">
        <f>IF(OR($L$1="",对接源_01水果!$C1090="",对接源_01水果!$C1090&lt;&gt;$L$1,对接源_01水果!$B1090=""),0,IF(OR(N(对接源_01水果!$B1090)&lt;$L$2,N(对接源_01水果!$B1090)&gt;$L$3),0,1))</f>
        <v>0</v>
      </c>
      <c r="M1090" s="3">
        <f>IF(OR($M$1="",对接源_01水果!$C1090="",对接源_01水果!$C1090&lt;&gt;$M$1,对接源_01水果!$B1090=""),0,IF(OR(N(对接源_01水果!$B1090)&lt;$M$2,N(对接源_01水果!$B1090)&gt;$M$3),0,1))</f>
        <v>0</v>
      </c>
      <c r="N1090" s="3">
        <f>IF(OR($N$1="",对接源_01水果!$C1090="",对接源_01水果!$C1090&lt;&gt;$N$1,对接源_01水果!$B1090=""),0,IF(OR(N(对接源_01水果!$B1090)&lt;$N$2,N(对接源_01水果!$B1090)&gt;$N$3),0,1))</f>
        <v>0</v>
      </c>
      <c r="P1090" s="3">
        <f>IF(AND($K1090=1,AND(对接源_01水果!$X1090="公司筐",N(对接源_01水果!$T1090)&lt;&gt;0)),1,0)</f>
        <v>0</v>
      </c>
      <c r="Q1090" s="3">
        <f t="shared" si="283"/>
        <v>0</v>
      </c>
      <c r="R1090" s="3">
        <f>IF(AND($K1090=1,AND(对接源_01水果!$X1090="公司筐",N(对接源_01水果!$U1090)&lt;&gt;0)),1,0)</f>
        <v>0</v>
      </c>
      <c r="S1090" s="3">
        <f t="shared" si="284"/>
        <v>0</v>
      </c>
      <c r="T1090" s="3">
        <f>IF(AND($K1090=1,AND(对接源_01水果!$X1090="公司筐",N(对接源_01水果!$V1090)&lt;&gt;0)),1,0)</f>
        <v>0</v>
      </c>
      <c r="U1090" s="3">
        <f t="shared" si="285"/>
        <v>19</v>
      </c>
      <c r="V1090" s="3">
        <f>IF(AND($L1090=1,AND(对接源_01水果!$X1090="自备筐",N(对接源_01水果!$V1090)&lt;&gt;0)),1,0)</f>
        <v>0</v>
      </c>
      <c r="W1090" s="3">
        <f t="shared" si="286"/>
        <v>8</v>
      </c>
      <c r="X1090" s="3">
        <f>IF(AND($L1090=1,AND(对接源_01水果!$X1090="自备筐",N(对接源_01水果!$T1090)&lt;&gt;0)),1,0)</f>
        <v>0</v>
      </c>
      <c r="Y1090" s="3">
        <f t="shared" si="287"/>
        <v>0</v>
      </c>
      <c r="Z1090" s="3">
        <f>IF(AND($M1090=1,对接源_01水果!$D1090="原料入库"),1,0)</f>
        <v>0</v>
      </c>
      <c r="AA1090" s="3">
        <f t="shared" si="288"/>
        <v>24</v>
      </c>
      <c r="AB1090" s="3">
        <f>IF(AND($M1090=1,LEFT(对接源_01水果!$D1090,4)="原料出库"),1,0)</f>
        <v>0</v>
      </c>
      <c r="AC1090" s="3">
        <f t="shared" si="289"/>
        <v>0</v>
      </c>
      <c r="AD1090" s="3">
        <f>IF(AND($M1090=1,LEFT(对接源_01水果!$D1090,4)="成品出库"),1,0)</f>
        <v>0</v>
      </c>
      <c r="AE1090" s="3">
        <f t="shared" si="290"/>
        <v>0</v>
      </c>
      <c r="AF1090" s="3">
        <f>IF(AND($N1090=1,AND(LEFT(对接源_01水果!$D1090,4)="包装物料",N(对接源_01水果!$K1090)&lt;&gt;0)),1,0)</f>
        <v>0</v>
      </c>
      <c r="AG1090" s="3">
        <f t="shared" si="291"/>
        <v>0</v>
      </c>
      <c r="AH1090" s="3">
        <f>IF(AND($N1090=1,AND(对接源_01水果!$D1090="周转筐－销售出库",N(对接源_01水果!$K1090)&lt;&gt;0)),1,0)</f>
        <v>0</v>
      </c>
      <c r="AI1090" s="3">
        <f t="shared" si="292"/>
        <v>0</v>
      </c>
      <c r="AJ1090" s="7"/>
      <c r="AL1090" s="3">
        <f>IF(OR($AL$1="",对接源_01水果!$Y1090="",对接源_01水果!$Y1090&lt;&gt;$AL$1,对接源_01水果!$B1090="",N(对接源_01水果!$AJ1090)&lt;=0),0,IF(OR(N(对接源_01水果!$B1090)&lt;$AL$2,N(对接源_01水果!$B1090)&gt;$AL$3),0,1))</f>
        <v>0</v>
      </c>
      <c r="AM1090" s="3">
        <f t="shared" si="293"/>
        <v>1</v>
      </c>
      <c r="AN1090" s="3" t="str">
        <f>IF(对接源_01水果!$AC1090="","",对接源_01水果!$AC1090)</f>
        <v/>
      </c>
      <c r="AO1090" s="3">
        <f t="shared" si="294"/>
        <v>0</v>
      </c>
      <c r="AP1090" s="3">
        <f t="shared" si="295"/>
        <v>8</v>
      </c>
      <c r="AR1090">
        <f t="shared" si="296"/>
        <v>0</v>
      </c>
      <c r="AS1090">
        <f t="shared" si="297"/>
        <v>0</v>
      </c>
    </row>
    <row r="1091" ht="14.25" customHeight="1" spans="1:45">
      <c r="A1091" s="3" t="str">
        <f>IF(对接源_01水果!$C1091="","",对接源_01水果!$C1091)</f>
        <v/>
      </c>
      <c r="B1091" s="3">
        <f t="shared" si="281"/>
        <v>0</v>
      </c>
      <c r="C1091" s="3">
        <f t="shared" si="282"/>
        <v>18</v>
      </c>
      <c r="K1091" s="3">
        <f>IF(OR($K$1="",对接源_01水果!$C1091="",对接源_01水果!$C1091&lt;&gt;$K$1,对接源_01水果!$B1091=""),0,IF(OR(N(对接源_01水果!$B1091)&lt;$K$2,N(对接源_01水果!$B1091)&gt;$K$3),0,1))</f>
        <v>0</v>
      </c>
      <c r="L1091" s="3">
        <f>IF(OR($L$1="",对接源_01水果!$C1091="",对接源_01水果!$C1091&lt;&gt;$L$1,对接源_01水果!$B1091=""),0,IF(OR(N(对接源_01水果!$B1091)&lt;$L$2,N(对接源_01水果!$B1091)&gt;$L$3),0,1))</f>
        <v>0</v>
      </c>
      <c r="M1091" s="3">
        <f>IF(OR($M$1="",对接源_01水果!$C1091="",对接源_01水果!$C1091&lt;&gt;$M$1,对接源_01水果!$B1091=""),0,IF(OR(N(对接源_01水果!$B1091)&lt;$M$2,N(对接源_01水果!$B1091)&gt;$M$3),0,1))</f>
        <v>0</v>
      </c>
      <c r="N1091" s="3">
        <f>IF(OR($N$1="",对接源_01水果!$C1091="",对接源_01水果!$C1091&lt;&gt;$N$1,对接源_01水果!$B1091=""),0,IF(OR(N(对接源_01水果!$B1091)&lt;$N$2,N(对接源_01水果!$B1091)&gt;$N$3),0,1))</f>
        <v>0</v>
      </c>
      <c r="P1091" s="3">
        <f>IF(AND($K1091=1,AND(对接源_01水果!$X1091="公司筐",N(对接源_01水果!$T1091)&lt;&gt;0)),1,0)</f>
        <v>0</v>
      </c>
      <c r="Q1091" s="3">
        <f t="shared" si="283"/>
        <v>0</v>
      </c>
      <c r="R1091" s="3">
        <f>IF(AND($K1091=1,AND(对接源_01水果!$X1091="公司筐",N(对接源_01水果!$U1091)&lt;&gt;0)),1,0)</f>
        <v>0</v>
      </c>
      <c r="S1091" s="3">
        <f t="shared" si="284"/>
        <v>0</v>
      </c>
      <c r="T1091" s="3">
        <f>IF(AND($K1091=1,AND(对接源_01水果!$X1091="公司筐",N(对接源_01水果!$V1091)&lt;&gt;0)),1,0)</f>
        <v>0</v>
      </c>
      <c r="U1091" s="3">
        <f t="shared" si="285"/>
        <v>19</v>
      </c>
      <c r="V1091" s="3">
        <f>IF(AND($L1091=1,AND(对接源_01水果!$X1091="自备筐",N(对接源_01水果!$V1091)&lt;&gt;0)),1,0)</f>
        <v>0</v>
      </c>
      <c r="W1091" s="3">
        <f t="shared" si="286"/>
        <v>8</v>
      </c>
      <c r="X1091" s="3">
        <f>IF(AND($L1091=1,AND(对接源_01水果!$X1091="自备筐",N(对接源_01水果!$T1091)&lt;&gt;0)),1,0)</f>
        <v>0</v>
      </c>
      <c r="Y1091" s="3">
        <f t="shared" si="287"/>
        <v>0</v>
      </c>
      <c r="Z1091" s="3">
        <f>IF(AND($M1091=1,对接源_01水果!$D1091="原料入库"),1,0)</f>
        <v>0</v>
      </c>
      <c r="AA1091" s="3">
        <f t="shared" si="288"/>
        <v>24</v>
      </c>
      <c r="AB1091" s="3">
        <f>IF(AND($M1091=1,LEFT(对接源_01水果!$D1091,4)="原料出库"),1,0)</f>
        <v>0</v>
      </c>
      <c r="AC1091" s="3">
        <f t="shared" si="289"/>
        <v>0</v>
      </c>
      <c r="AD1091" s="3">
        <f>IF(AND($M1091=1,LEFT(对接源_01水果!$D1091,4)="成品出库"),1,0)</f>
        <v>0</v>
      </c>
      <c r="AE1091" s="3">
        <f t="shared" si="290"/>
        <v>0</v>
      </c>
      <c r="AF1091" s="3">
        <f>IF(AND($N1091=1,AND(LEFT(对接源_01水果!$D1091,4)="包装物料",N(对接源_01水果!$K1091)&lt;&gt;0)),1,0)</f>
        <v>0</v>
      </c>
      <c r="AG1091" s="3">
        <f t="shared" si="291"/>
        <v>0</v>
      </c>
      <c r="AH1091" s="3">
        <f>IF(AND($N1091=1,AND(对接源_01水果!$D1091="周转筐－销售出库",N(对接源_01水果!$K1091)&lt;&gt;0)),1,0)</f>
        <v>0</v>
      </c>
      <c r="AI1091" s="3">
        <f t="shared" si="292"/>
        <v>0</v>
      </c>
      <c r="AJ1091" s="7"/>
      <c r="AL1091" s="3">
        <f>IF(OR($AL$1="",对接源_01水果!$Y1091="",对接源_01水果!$Y1091&lt;&gt;$AL$1,对接源_01水果!$B1091="",N(对接源_01水果!$AJ1091)&lt;=0),0,IF(OR(N(对接源_01水果!$B1091)&lt;$AL$2,N(对接源_01水果!$B1091)&gt;$AL$3),0,1))</f>
        <v>0</v>
      </c>
      <c r="AM1091" s="3">
        <f t="shared" si="293"/>
        <v>1</v>
      </c>
      <c r="AN1091" s="3" t="str">
        <f>IF(对接源_01水果!$AC1091="","",对接源_01水果!$AC1091)</f>
        <v/>
      </c>
      <c r="AO1091" s="3">
        <f t="shared" si="294"/>
        <v>0</v>
      </c>
      <c r="AP1091" s="3">
        <f t="shared" si="295"/>
        <v>8</v>
      </c>
      <c r="AR1091">
        <f t="shared" si="296"/>
        <v>0</v>
      </c>
      <c r="AS1091">
        <f t="shared" si="297"/>
        <v>0</v>
      </c>
    </row>
    <row r="1092" ht="14.25" customHeight="1" spans="1:45">
      <c r="A1092" s="3" t="str">
        <f>IF(对接源_01水果!$C1092="","",对接源_01水果!$C1092)</f>
        <v/>
      </c>
      <c r="B1092" s="3">
        <f t="shared" ref="B1092:B1155" si="298">IF(A1092="",0,IF(MATCH(A1092,$A$4:$A$2403,0)=ROW()-3,1,0))</f>
        <v>0</v>
      </c>
      <c r="C1092" s="3">
        <f t="shared" ref="C1092:C1155" si="299">N(C1091)+B1092</f>
        <v>18</v>
      </c>
      <c r="K1092" s="3">
        <f>IF(OR($K$1="",对接源_01水果!$C1092="",对接源_01水果!$C1092&lt;&gt;$K$1,对接源_01水果!$B1092=""),0,IF(OR(N(对接源_01水果!$B1092)&lt;$K$2,N(对接源_01水果!$B1092)&gt;$K$3),0,1))</f>
        <v>0</v>
      </c>
      <c r="L1092" s="3">
        <f>IF(OR($L$1="",对接源_01水果!$C1092="",对接源_01水果!$C1092&lt;&gt;$L$1,对接源_01水果!$B1092=""),0,IF(OR(N(对接源_01水果!$B1092)&lt;$L$2,N(对接源_01水果!$B1092)&gt;$L$3),0,1))</f>
        <v>0</v>
      </c>
      <c r="M1092" s="3">
        <f>IF(OR($M$1="",对接源_01水果!$C1092="",对接源_01水果!$C1092&lt;&gt;$M$1,对接源_01水果!$B1092=""),0,IF(OR(N(对接源_01水果!$B1092)&lt;$M$2,N(对接源_01水果!$B1092)&gt;$M$3),0,1))</f>
        <v>0</v>
      </c>
      <c r="N1092" s="3">
        <f>IF(OR($N$1="",对接源_01水果!$C1092="",对接源_01水果!$C1092&lt;&gt;$N$1,对接源_01水果!$B1092=""),0,IF(OR(N(对接源_01水果!$B1092)&lt;$N$2,N(对接源_01水果!$B1092)&gt;$N$3),0,1))</f>
        <v>0</v>
      </c>
      <c r="P1092" s="3">
        <f>IF(AND($K1092=1,AND(对接源_01水果!$X1092="公司筐",N(对接源_01水果!$T1092)&lt;&gt;0)),1,0)</f>
        <v>0</v>
      </c>
      <c r="Q1092" s="3">
        <f t="shared" ref="Q1092:Q1155" si="300">N(Q1091)+$P1092</f>
        <v>0</v>
      </c>
      <c r="R1092" s="3">
        <f>IF(AND($K1092=1,AND(对接源_01水果!$X1092="公司筐",N(对接源_01水果!$U1092)&lt;&gt;0)),1,0)</f>
        <v>0</v>
      </c>
      <c r="S1092" s="3">
        <f t="shared" ref="S1092:S1155" si="301">N(S1091)+$R1092</f>
        <v>0</v>
      </c>
      <c r="T1092" s="3">
        <f>IF(AND($K1092=1,AND(对接源_01水果!$X1092="公司筐",N(对接源_01水果!$V1092)&lt;&gt;0)),1,0)</f>
        <v>0</v>
      </c>
      <c r="U1092" s="3">
        <f t="shared" ref="U1092:U1155" si="302">N(U1091)+$T1092</f>
        <v>19</v>
      </c>
      <c r="V1092" s="3">
        <f>IF(AND($L1092=1,AND(对接源_01水果!$X1092="自备筐",N(对接源_01水果!$V1092)&lt;&gt;0)),1,0)</f>
        <v>0</v>
      </c>
      <c r="W1092" s="3">
        <f t="shared" ref="W1092:W1155" si="303">N(W1091)+$V1092</f>
        <v>8</v>
      </c>
      <c r="X1092" s="3">
        <f>IF(AND($L1092=1,AND(对接源_01水果!$X1092="自备筐",N(对接源_01水果!$T1092)&lt;&gt;0)),1,0)</f>
        <v>0</v>
      </c>
      <c r="Y1092" s="3">
        <f t="shared" ref="Y1092:Y1155" si="304">N(Y1091)+$X1092</f>
        <v>0</v>
      </c>
      <c r="Z1092" s="3">
        <f>IF(AND($M1092=1,对接源_01水果!$D1092="原料入库"),1,0)</f>
        <v>0</v>
      </c>
      <c r="AA1092" s="3">
        <f t="shared" ref="AA1092:AA1155" si="305">N(AA1091)+$Z1092</f>
        <v>24</v>
      </c>
      <c r="AB1092" s="3">
        <f>IF(AND($M1092=1,LEFT(对接源_01水果!$D1092,4)="原料出库"),1,0)</f>
        <v>0</v>
      </c>
      <c r="AC1092" s="3">
        <f t="shared" ref="AC1092:AC1155" si="306">N(AC1091)+$AB1092</f>
        <v>0</v>
      </c>
      <c r="AD1092" s="3">
        <f>IF(AND($M1092=1,LEFT(对接源_01水果!$D1092,4)="成品出库"),1,0)</f>
        <v>0</v>
      </c>
      <c r="AE1092" s="3">
        <f t="shared" ref="AE1092:AE1155" si="307">N(AE1091)+$AD1092</f>
        <v>0</v>
      </c>
      <c r="AF1092" s="3">
        <f>IF(AND($N1092=1,AND(LEFT(对接源_01水果!$D1092,4)="包装物料",N(对接源_01水果!$K1092)&lt;&gt;0)),1,0)</f>
        <v>0</v>
      </c>
      <c r="AG1092" s="3">
        <f t="shared" ref="AG1092:AG1155" si="308">N(AG1091)+$AF1092</f>
        <v>0</v>
      </c>
      <c r="AH1092" s="3">
        <f>IF(AND($N1092=1,AND(对接源_01水果!$D1092="周转筐－销售出库",N(对接源_01水果!$K1092)&lt;&gt;0)),1,0)</f>
        <v>0</v>
      </c>
      <c r="AI1092" s="3">
        <f t="shared" ref="AI1092:AI1155" si="309">N(AI1091)+$AH1092</f>
        <v>0</v>
      </c>
      <c r="AJ1092" s="7"/>
      <c r="AL1092" s="3">
        <f>IF(OR($AL$1="",对接源_01水果!$Y1092="",对接源_01水果!$Y1092&lt;&gt;$AL$1,对接源_01水果!$B1092="",N(对接源_01水果!$AJ1092)&lt;=0),0,IF(OR(N(对接源_01水果!$B1092)&lt;$AL$2,N(对接源_01水果!$B1092)&gt;$AL$3),0,1))</f>
        <v>0</v>
      </c>
      <c r="AM1092" s="3">
        <f t="shared" ref="AM1092:AM1155" si="310">N(AM1091)+$AL1092</f>
        <v>1</v>
      </c>
      <c r="AN1092" s="3" t="str">
        <f>IF(对接源_01水果!$AC1092="","",对接源_01水果!$AC1092)</f>
        <v/>
      </c>
      <c r="AO1092" s="3">
        <f t="shared" ref="AO1092:AO1155" si="311">IF(AN1092="",0,IF(MATCH(AN1092,$AN$4:$AN$1203,0)=ROW()-3,1,0))</f>
        <v>0</v>
      </c>
      <c r="AP1092" s="3">
        <f t="shared" ref="AP1092:AP1155" si="312">N(AP1091)+$AO1092</f>
        <v>8</v>
      </c>
      <c r="AR1092">
        <f t="shared" ref="AR1092:AR1155" si="313">IF(OR($AF1092=1,$AH1092=1),1,0)</f>
        <v>0</v>
      </c>
      <c r="AS1092">
        <f t="shared" ref="AS1092:AS1155" si="314">N(AS1091)+$AR1092</f>
        <v>0</v>
      </c>
    </row>
    <row r="1093" ht="14.25" customHeight="1" spans="1:45">
      <c r="A1093" s="3" t="str">
        <f>IF(对接源_01水果!$C1093="","",对接源_01水果!$C1093)</f>
        <v/>
      </c>
      <c r="B1093" s="3">
        <f t="shared" si="298"/>
        <v>0</v>
      </c>
      <c r="C1093" s="3">
        <f t="shared" si="299"/>
        <v>18</v>
      </c>
      <c r="K1093" s="3">
        <f>IF(OR($K$1="",对接源_01水果!$C1093="",对接源_01水果!$C1093&lt;&gt;$K$1,对接源_01水果!$B1093=""),0,IF(OR(N(对接源_01水果!$B1093)&lt;$K$2,N(对接源_01水果!$B1093)&gt;$K$3),0,1))</f>
        <v>0</v>
      </c>
      <c r="L1093" s="3">
        <f>IF(OR($L$1="",对接源_01水果!$C1093="",对接源_01水果!$C1093&lt;&gt;$L$1,对接源_01水果!$B1093=""),0,IF(OR(N(对接源_01水果!$B1093)&lt;$L$2,N(对接源_01水果!$B1093)&gt;$L$3),0,1))</f>
        <v>0</v>
      </c>
      <c r="M1093" s="3">
        <f>IF(OR($M$1="",对接源_01水果!$C1093="",对接源_01水果!$C1093&lt;&gt;$M$1,对接源_01水果!$B1093=""),0,IF(OR(N(对接源_01水果!$B1093)&lt;$M$2,N(对接源_01水果!$B1093)&gt;$M$3),0,1))</f>
        <v>0</v>
      </c>
      <c r="N1093" s="3">
        <f>IF(OR($N$1="",对接源_01水果!$C1093="",对接源_01水果!$C1093&lt;&gt;$N$1,对接源_01水果!$B1093=""),0,IF(OR(N(对接源_01水果!$B1093)&lt;$N$2,N(对接源_01水果!$B1093)&gt;$N$3),0,1))</f>
        <v>0</v>
      </c>
      <c r="P1093" s="3">
        <f>IF(AND($K1093=1,AND(对接源_01水果!$X1093="公司筐",N(对接源_01水果!$T1093)&lt;&gt;0)),1,0)</f>
        <v>0</v>
      </c>
      <c r="Q1093" s="3">
        <f t="shared" si="300"/>
        <v>0</v>
      </c>
      <c r="R1093" s="3">
        <f>IF(AND($K1093=1,AND(对接源_01水果!$X1093="公司筐",N(对接源_01水果!$U1093)&lt;&gt;0)),1,0)</f>
        <v>0</v>
      </c>
      <c r="S1093" s="3">
        <f t="shared" si="301"/>
        <v>0</v>
      </c>
      <c r="T1093" s="3">
        <f>IF(AND($K1093=1,AND(对接源_01水果!$X1093="公司筐",N(对接源_01水果!$V1093)&lt;&gt;0)),1,0)</f>
        <v>0</v>
      </c>
      <c r="U1093" s="3">
        <f t="shared" si="302"/>
        <v>19</v>
      </c>
      <c r="V1093" s="3">
        <f>IF(AND($L1093=1,AND(对接源_01水果!$X1093="自备筐",N(对接源_01水果!$V1093)&lt;&gt;0)),1,0)</f>
        <v>0</v>
      </c>
      <c r="W1093" s="3">
        <f t="shared" si="303"/>
        <v>8</v>
      </c>
      <c r="X1093" s="3">
        <f>IF(AND($L1093=1,AND(对接源_01水果!$X1093="自备筐",N(对接源_01水果!$T1093)&lt;&gt;0)),1,0)</f>
        <v>0</v>
      </c>
      <c r="Y1093" s="3">
        <f t="shared" si="304"/>
        <v>0</v>
      </c>
      <c r="Z1093" s="3">
        <f>IF(AND($M1093=1,对接源_01水果!$D1093="原料入库"),1,0)</f>
        <v>0</v>
      </c>
      <c r="AA1093" s="3">
        <f t="shared" si="305"/>
        <v>24</v>
      </c>
      <c r="AB1093" s="3">
        <f>IF(AND($M1093=1,LEFT(对接源_01水果!$D1093,4)="原料出库"),1,0)</f>
        <v>0</v>
      </c>
      <c r="AC1093" s="3">
        <f t="shared" si="306"/>
        <v>0</v>
      </c>
      <c r="AD1093" s="3">
        <f>IF(AND($M1093=1,LEFT(对接源_01水果!$D1093,4)="成品出库"),1,0)</f>
        <v>0</v>
      </c>
      <c r="AE1093" s="3">
        <f t="shared" si="307"/>
        <v>0</v>
      </c>
      <c r="AF1093" s="3">
        <f>IF(AND($N1093=1,AND(LEFT(对接源_01水果!$D1093,4)="包装物料",N(对接源_01水果!$K1093)&lt;&gt;0)),1,0)</f>
        <v>0</v>
      </c>
      <c r="AG1093" s="3">
        <f t="shared" si="308"/>
        <v>0</v>
      </c>
      <c r="AH1093" s="3">
        <f>IF(AND($N1093=1,AND(对接源_01水果!$D1093="周转筐－销售出库",N(对接源_01水果!$K1093)&lt;&gt;0)),1,0)</f>
        <v>0</v>
      </c>
      <c r="AI1093" s="3">
        <f t="shared" si="309"/>
        <v>0</v>
      </c>
      <c r="AJ1093" s="7"/>
      <c r="AL1093" s="3">
        <f>IF(OR($AL$1="",对接源_01水果!$Y1093="",对接源_01水果!$Y1093&lt;&gt;$AL$1,对接源_01水果!$B1093="",N(对接源_01水果!$AJ1093)&lt;=0),0,IF(OR(N(对接源_01水果!$B1093)&lt;$AL$2,N(对接源_01水果!$B1093)&gt;$AL$3),0,1))</f>
        <v>0</v>
      </c>
      <c r="AM1093" s="3">
        <f t="shared" si="310"/>
        <v>1</v>
      </c>
      <c r="AN1093" s="3" t="str">
        <f>IF(对接源_01水果!$AC1093="","",对接源_01水果!$AC1093)</f>
        <v/>
      </c>
      <c r="AO1093" s="3">
        <f t="shared" si="311"/>
        <v>0</v>
      </c>
      <c r="AP1093" s="3">
        <f t="shared" si="312"/>
        <v>8</v>
      </c>
      <c r="AR1093">
        <f t="shared" si="313"/>
        <v>0</v>
      </c>
      <c r="AS1093">
        <f t="shared" si="314"/>
        <v>0</v>
      </c>
    </row>
    <row r="1094" ht="14.25" customHeight="1" spans="1:45">
      <c r="A1094" s="3" t="str">
        <f>IF(对接源_01水果!$C1094="","",对接源_01水果!$C1094)</f>
        <v/>
      </c>
      <c r="B1094" s="3">
        <f t="shared" si="298"/>
        <v>0</v>
      </c>
      <c r="C1094" s="3">
        <f t="shared" si="299"/>
        <v>18</v>
      </c>
      <c r="K1094" s="3">
        <f>IF(OR($K$1="",对接源_01水果!$C1094="",对接源_01水果!$C1094&lt;&gt;$K$1,对接源_01水果!$B1094=""),0,IF(OR(N(对接源_01水果!$B1094)&lt;$K$2,N(对接源_01水果!$B1094)&gt;$K$3),0,1))</f>
        <v>0</v>
      </c>
      <c r="L1094" s="3">
        <f>IF(OR($L$1="",对接源_01水果!$C1094="",对接源_01水果!$C1094&lt;&gt;$L$1,对接源_01水果!$B1094=""),0,IF(OR(N(对接源_01水果!$B1094)&lt;$L$2,N(对接源_01水果!$B1094)&gt;$L$3),0,1))</f>
        <v>0</v>
      </c>
      <c r="M1094" s="3">
        <f>IF(OR($M$1="",对接源_01水果!$C1094="",对接源_01水果!$C1094&lt;&gt;$M$1,对接源_01水果!$B1094=""),0,IF(OR(N(对接源_01水果!$B1094)&lt;$M$2,N(对接源_01水果!$B1094)&gt;$M$3),0,1))</f>
        <v>0</v>
      </c>
      <c r="N1094" s="3">
        <f>IF(OR($N$1="",对接源_01水果!$C1094="",对接源_01水果!$C1094&lt;&gt;$N$1,对接源_01水果!$B1094=""),0,IF(OR(N(对接源_01水果!$B1094)&lt;$N$2,N(对接源_01水果!$B1094)&gt;$N$3),0,1))</f>
        <v>0</v>
      </c>
      <c r="P1094" s="3">
        <f>IF(AND($K1094=1,AND(对接源_01水果!$X1094="公司筐",N(对接源_01水果!$T1094)&lt;&gt;0)),1,0)</f>
        <v>0</v>
      </c>
      <c r="Q1094" s="3">
        <f t="shared" si="300"/>
        <v>0</v>
      </c>
      <c r="R1094" s="3">
        <f>IF(AND($K1094=1,AND(对接源_01水果!$X1094="公司筐",N(对接源_01水果!$U1094)&lt;&gt;0)),1,0)</f>
        <v>0</v>
      </c>
      <c r="S1094" s="3">
        <f t="shared" si="301"/>
        <v>0</v>
      </c>
      <c r="T1094" s="3">
        <f>IF(AND($K1094=1,AND(对接源_01水果!$X1094="公司筐",N(对接源_01水果!$V1094)&lt;&gt;0)),1,0)</f>
        <v>0</v>
      </c>
      <c r="U1094" s="3">
        <f t="shared" si="302"/>
        <v>19</v>
      </c>
      <c r="V1094" s="3">
        <f>IF(AND($L1094=1,AND(对接源_01水果!$X1094="自备筐",N(对接源_01水果!$V1094)&lt;&gt;0)),1,0)</f>
        <v>0</v>
      </c>
      <c r="W1094" s="3">
        <f t="shared" si="303"/>
        <v>8</v>
      </c>
      <c r="X1094" s="3">
        <f>IF(AND($L1094=1,AND(对接源_01水果!$X1094="自备筐",N(对接源_01水果!$T1094)&lt;&gt;0)),1,0)</f>
        <v>0</v>
      </c>
      <c r="Y1094" s="3">
        <f t="shared" si="304"/>
        <v>0</v>
      </c>
      <c r="Z1094" s="3">
        <f>IF(AND($M1094=1,对接源_01水果!$D1094="原料入库"),1,0)</f>
        <v>0</v>
      </c>
      <c r="AA1094" s="3">
        <f t="shared" si="305"/>
        <v>24</v>
      </c>
      <c r="AB1094" s="3">
        <f>IF(AND($M1094=1,LEFT(对接源_01水果!$D1094,4)="原料出库"),1,0)</f>
        <v>0</v>
      </c>
      <c r="AC1094" s="3">
        <f t="shared" si="306"/>
        <v>0</v>
      </c>
      <c r="AD1094" s="3">
        <f>IF(AND($M1094=1,LEFT(对接源_01水果!$D1094,4)="成品出库"),1,0)</f>
        <v>0</v>
      </c>
      <c r="AE1094" s="3">
        <f t="shared" si="307"/>
        <v>0</v>
      </c>
      <c r="AF1094" s="3">
        <f>IF(AND($N1094=1,AND(LEFT(对接源_01水果!$D1094,4)="包装物料",N(对接源_01水果!$K1094)&lt;&gt;0)),1,0)</f>
        <v>0</v>
      </c>
      <c r="AG1094" s="3">
        <f t="shared" si="308"/>
        <v>0</v>
      </c>
      <c r="AH1094" s="3">
        <f>IF(AND($N1094=1,AND(对接源_01水果!$D1094="周转筐－销售出库",N(对接源_01水果!$K1094)&lt;&gt;0)),1,0)</f>
        <v>0</v>
      </c>
      <c r="AI1094" s="3">
        <f t="shared" si="309"/>
        <v>0</v>
      </c>
      <c r="AJ1094" s="7"/>
      <c r="AL1094" s="3">
        <f>IF(OR($AL$1="",对接源_01水果!$Y1094="",对接源_01水果!$Y1094&lt;&gt;$AL$1,对接源_01水果!$B1094="",N(对接源_01水果!$AJ1094)&lt;=0),0,IF(OR(N(对接源_01水果!$B1094)&lt;$AL$2,N(对接源_01水果!$B1094)&gt;$AL$3),0,1))</f>
        <v>0</v>
      </c>
      <c r="AM1094" s="3">
        <f t="shared" si="310"/>
        <v>1</v>
      </c>
      <c r="AN1094" s="3" t="str">
        <f>IF(对接源_01水果!$AC1094="","",对接源_01水果!$AC1094)</f>
        <v/>
      </c>
      <c r="AO1094" s="3">
        <f t="shared" si="311"/>
        <v>0</v>
      </c>
      <c r="AP1094" s="3">
        <f t="shared" si="312"/>
        <v>8</v>
      </c>
      <c r="AR1094">
        <f t="shared" si="313"/>
        <v>0</v>
      </c>
      <c r="AS1094">
        <f t="shared" si="314"/>
        <v>0</v>
      </c>
    </row>
    <row r="1095" ht="14.25" customHeight="1" spans="1:45">
      <c r="A1095" s="3" t="str">
        <f>IF(对接源_01水果!$C1095="","",对接源_01水果!$C1095)</f>
        <v/>
      </c>
      <c r="B1095" s="3">
        <f t="shared" si="298"/>
        <v>0</v>
      </c>
      <c r="C1095" s="3">
        <f t="shared" si="299"/>
        <v>18</v>
      </c>
      <c r="K1095" s="3">
        <f>IF(OR($K$1="",对接源_01水果!$C1095="",对接源_01水果!$C1095&lt;&gt;$K$1,对接源_01水果!$B1095=""),0,IF(OR(N(对接源_01水果!$B1095)&lt;$K$2,N(对接源_01水果!$B1095)&gt;$K$3),0,1))</f>
        <v>0</v>
      </c>
      <c r="L1095" s="3">
        <f>IF(OR($L$1="",对接源_01水果!$C1095="",对接源_01水果!$C1095&lt;&gt;$L$1,对接源_01水果!$B1095=""),0,IF(OR(N(对接源_01水果!$B1095)&lt;$L$2,N(对接源_01水果!$B1095)&gt;$L$3),0,1))</f>
        <v>0</v>
      </c>
      <c r="M1095" s="3">
        <f>IF(OR($M$1="",对接源_01水果!$C1095="",对接源_01水果!$C1095&lt;&gt;$M$1,对接源_01水果!$B1095=""),0,IF(OR(N(对接源_01水果!$B1095)&lt;$M$2,N(对接源_01水果!$B1095)&gt;$M$3),0,1))</f>
        <v>0</v>
      </c>
      <c r="N1095" s="3">
        <f>IF(OR($N$1="",对接源_01水果!$C1095="",对接源_01水果!$C1095&lt;&gt;$N$1,对接源_01水果!$B1095=""),0,IF(OR(N(对接源_01水果!$B1095)&lt;$N$2,N(对接源_01水果!$B1095)&gt;$N$3),0,1))</f>
        <v>0</v>
      </c>
      <c r="P1095" s="3">
        <f>IF(AND($K1095=1,AND(对接源_01水果!$X1095="公司筐",N(对接源_01水果!$T1095)&lt;&gt;0)),1,0)</f>
        <v>0</v>
      </c>
      <c r="Q1095" s="3">
        <f t="shared" si="300"/>
        <v>0</v>
      </c>
      <c r="R1095" s="3">
        <f>IF(AND($K1095=1,AND(对接源_01水果!$X1095="公司筐",N(对接源_01水果!$U1095)&lt;&gt;0)),1,0)</f>
        <v>0</v>
      </c>
      <c r="S1095" s="3">
        <f t="shared" si="301"/>
        <v>0</v>
      </c>
      <c r="T1095" s="3">
        <f>IF(AND($K1095=1,AND(对接源_01水果!$X1095="公司筐",N(对接源_01水果!$V1095)&lt;&gt;0)),1,0)</f>
        <v>0</v>
      </c>
      <c r="U1095" s="3">
        <f t="shared" si="302"/>
        <v>19</v>
      </c>
      <c r="V1095" s="3">
        <f>IF(AND($L1095=1,AND(对接源_01水果!$X1095="自备筐",N(对接源_01水果!$V1095)&lt;&gt;0)),1,0)</f>
        <v>0</v>
      </c>
      <c r="W1095" s="3">
        <f t="shared" si="303"/>
        <v>8</v>
      </c>
      <c r="X1095" s="3">
        <f>IF(AND($L1095=1,AND(对接源_01水果!$X1095="自备筐",N(对接源_01水果!$T1095)&lt;&gt;0)),1,0)</f>
        <v>0</v>
      </c>
      <c r="Y1095" s="3">
        <f t="shared" si="304"/>
        <v>0</v>
      </c>
      <c r="Z1095" s="3">
        <f>IF(AND($M1095=1,对接源_01水果!$D1095="原料入库"),1,0)</f>
        <v>0</v>
      </c>
      <c r="AA1095" s="3">
        <f t="shared" si="305"/>
        <v>24</v>
      </c>
      <c r="AB1095" s="3">
        <f>IF(AND($M1095=1,LEFT(对接源_01水果!$D1095,4)="原料出库"),1,0)</f>
        <v>0</v>
      </c>
      <c r="AC1095" s="3">
        <f t="shared" si="306"/>
        <v>0</v>
      </c>
      <c r="AD1095" s="3">
        <f>IF(AND($M1095=1,LEFT(对接源_01水果!$D1095,4)="成品出库"),1,0)</f>
        <v>0</v>
      </c>
      <c r="AE1095" s="3">
        <f t="shared" si="307"/>
        <v>0</v>
      </c>
      <c r="AF1095" s="3">
        <f>IF(AND($N1095=1,AND(LEFT(对接源_01水果!$D1095,4)="包装物料",N(对接源_01水果!$K1095)&lt;&gt;0)),1,0)</f>
        <v>0</v>
      </c>
      <c r="AG1095" s="3">
        <f t="shared" si="308"/>
        <v>0</v>
      </c>
      <c r="AH1095" s="3">
        <f>IF(AND($N1095=1,AND(对接源_01水果!$D1095="周转筐－销售出库",N(对接源_01水果!$K1095)&lt;&gt;0)),1,0)</f>
        <v>0</v>
      </c>
      <c r="AI1095" s="3">
        <f t="shared" si="309"/>
        <v>0</v>
      </c>
      <c r="AJ1095" s="7"/>
      <c r="AL1095" s="3">
        <f>IF(OR($AL$1="",对接源_01水果!$Y1095="",对接源_01水果!$Y1095&lt;&gt;$AL$1,对接源_01水果!$B1095="",N(对接源_01水果!$AJ1095)&lt;=0),0,IF(OR(N(对接源_01水果!$B1095)&lt;$AL$2,N(对接源_01水果!$B1095)&gt;$AL$3),0,1))</f>
        <v>0</v>
      </c>
      <c r="AM1095" s="3">
        <f t="shared" si="310"/>
        <v>1</v>
      </c>
      <c r="AN1095" s="3" t="str">
        <f>IF(对接源_01水果!$AC1095="","",对接源_01水果!$AC1095)</f>
        <v/>
      </c>
      <c r="AO1095" s="3">
        <f t="shared" si="311"/>
        <v>0</v>
      </c>
      <c r="AP1095" s="3">
        <f t="shared" si="312"/>
        <v>8</v>
      </c>
      <c r="AR1095">
        <f t="shared" si="313"/>
        <v>0</v>
      </c>
      <c r="AS1095">
        <f t="shared" si="314"/>
        <v>0</v>
      </c>
    </row>
    <row r="1096" ht="14.25" customHeight="1" spans="1:45">
      <c r="A1096" s="3" t="str">
        <f>IF(对接源_01水果!$C1096="","",对接源_01水果!$C1096)</f>
        <v/>
      </c>
      <c r="B1096" s="3">
        <f t="shared" si="298"/>
        <v>0</v>
      </c>
      <c r="C1096" s="3">
        <f t="shared" si="299"/>
        <v>18</v>
      </c>
      <c r="K1096" s="3">
        <f>IF(OR($K$1="",对接源_01水果!$C1096="",对接源_01水果!$C1096&lt;&gt;$K$1,对接源_01水果!$B1096=""),0,IF(OR(N(对接源_01水果!$B1096)&lt;$K$2,N(对接源_01水果!$B1096)&gt;$K$3),0,1))</f>
        <v>0</v>
      </c>
      <c r="L1096" s="3">
        <f>IF(OR($L$1="",对接源_01水果!$C1096="",对接源_01水果!$C1096&lt;&gt;$L$1,对接源_01水果!$B1096=""),0,IF(OR(N(对接源_01水果!$B1096)&lt;$L$2,N(对接源_01水果!$B1096)&gt;$L$3),0,1))</f>
        <v>0</v>
      </c>
      <c r="M1096" s="3">
        <f>IF(OR($M$1="",对接源_01水果!$C1096="",对接源_01水果!$C1096&lt;&gt;$M$1,对接源_01水果!$B1096=""),0,IF(OR(N(对接源_01水果!$B1096)&lt;$M$2,N(对接源_01水果!$B1096)&gt;$M$3),0,1))</f>
        <v>0</v>
      </c>
      <c r="N1096" s="3">
        <f>IF(OR($N$1="",对接源_01水果!$C1096="",对接源_01水果!$C1096&lt;&gt;$N$1,对接源_01水果!$B1096=""),0,IF(OR(N(对接源_01水果!$B1096)&lt;$N$2,N(对接源_01水果!$B1096)&gt;$N$3),0,1))</f>
        <v>0</v>
      </c>
      <c r="P1096" s="3">
        <f>IF(AND($K1096=1,AND(对接源_01水果!$X1096="公司筐",N(对接源_01水果!$T1096)&lt;&gt;0)),1,0)</f>
        <v>0</v>
      </c>
      <c r="Q1096" s="3">
        <f t="shared" si="300"/>
        <v>0</v>
      </c>
      <c r="R1096" s="3">
        <f>IF(AND($K1096=1,AND(对接源_01水果!$X1096="公司筐",N(对接源_01水果!$U1096)&lt;&gt;0)),1,0)</f>
        <v>0</v>
      </c>
      <c r="S1096" s="3">
        <f t="shared" si="301"/>
        <v>0</v>
      </c>
      <c r="T1096" s="3">
        <f>IF(AND($K1096=1,AND(对接源_01水果!$X1096="公司筐",N(对接源_01水果!$V1096)&lt;&gt;0)),1,0)</f>
        <v>0</v>
      </c>
      <c r="U1096" s="3">
        <f t="shared" si="302"/>
        <v>19</v>
      </c>
      <c r="V1096" s="3">
        <f>IF(AND($L1096=1,AND(对接源_01水果!$X1096="自备筐",N(对接源_01水果!$V1096)&lt;&gt;0)),1,0)</f>
        <v>0</v>
      </c>
      <c r="W1096" s="3">
        <f t="shared" si="303"/>
        <v>8</v>
      </c>
      <c r="X1096" s="3">
        <f>IF(AND($L1096=1,AND(对接源_01水果!$X1096="自备筐",N(对接源_01水果!$T1096)&lt;&gt;0)),1,0)</f>
        <v>0</v>
      </c>
      <c r="Y1096" s="3">
        <f t="shared" si="304"/>
        <v>0</v>
      </c>
      <c r="Z1096" s="3">
        <f>IF(AND($M1096=1,对接源_01水果!$D1096="原料入库"),1,0)</f>
        <v>0</v>
      </c>
      <c r="AA1096" s="3">
        <f t="shared" si="305"/>
        <v>24</v>
      </c>
      <c r="AB1096" s="3">
        <f>IF(AND($M1096=1,LEFT(对接源_01水果!$D1096,4)="原料出库"),1,0)</f>
        <v>0</v>
      </c>
      <c r="AC1096" s="3">
        <f t="shared" si="306"/>
        <v>0</v>
      </c>
      <c r="AD1096" s="3">
        <f>IF(AND($M1096=1,LEFT(对接源_01水果!$D1096,4)="成品出库"),1,0)</f>
        <v>0</v>
      </c>
      <c r="AE1096" s="3">
        <f t="shared" si="307"/>
        <v>0</v>
      </c>
      <c r="AF1096" s="3">
        <f>IF(AND($N1096=1,AND(LEFT(对接源_01水果!$D1096,4)="包装物料",N(对接源_01水果!$K1096)&lt;&gt;0)),1,0)</f>
        <v>0</v>
      </c>
      <c r="AG1096" s="3">
        <f t="shared" si="308"/>
        <v>0</v>
      </c>
      <c r="AH1096" s="3">
        <f>IF(AND($N1096=1,AND(对接源_01水果!$D1096="周转筐－销售出库",N(对接源_01水果!$K1096)&lt;&gt;0)),1,0)</f>
        <v>0</v>
      </c>
      <c r="AI1096" s="3">
        <f t="shared" si="309"/>
        <v>0</v>
      </c>
      <c r="AJ1096" s="7"/>
      <c r="AL1096" s="3">
        <f>IF(OR($AL$1="",对接源_01水果!$Y1096="",对接源_01水果!$Y1096&lt;&gt;$AL$1,对接源_01水果!$B1096="",N(对接源_01水果!$AJ1096)&lt;=0),0,IF(OR(N(对接源_01水果!$B1096)&lt;$AL$2,N(对接源_01水果!$B1096)&gt;$AL$3),0,1))</f>
        <v>0</v>
      </c>
      <c r="AM1096" s="3">
        <f t="shared" si="310"/>
        <v>1</v>
      </c>
      <c r="AN1096" s="3" t="str">
        <f>IF(对接源_01水果!$AC1096="","",对接源_01水果!$AC1096)</f>
        <v/>
      </c>
      <c r="AO1096" s="3">
        <f t="shared" si="311"/>
        <v>0</v>
      </c>
      <c r="AP1096" s="3">
        <f t="shared" si="312"/>
        <v>8</v>
      </c>
      <c r="AR1096">
        <f t="shared" si="313"/>
        <v>0</v>
      </c>
      <c r="AS1096">
        <f t="shared" si="314"/>
        <v>0</v>
      </c>
    </row>
    <row r="1097" ht="14.25" customHeight="1" spans="1:45">
      <c r="A1097" s="3" t="str">
        <f>IF(对接源_01水果!$C1097="","",对接源_01水果!$C1097)</f>
        <v/>
      </c>
      <c r="B1097" s="3">
        <f t="shared" si="298"/>
        <v>0</v>
      </c>
      <c r="C1097" s="3">
        <f t="shared" si="299"/>
        <v>18</v>
      </c>
      <c r="K1097" s="3">
        <f>IF(OR($K$1="",对接源_01水果!$C1097="",对接源_01水果!$C1097&lt;&gt;$K$1,对接源_01水果!$B1097=""),0,IF(OR(N(对接源_01水果!$B1097)&lt;$K$2,N(对接源_01水果!$B1097)&gt;$K$3),0,1))</f>
        <v>0</v>
      </c>
      <c r="L1097" s="3">
        <f>IF(OR($L$1="",对接源_01水果!$C1097="",对接源_01水果!$C1097&lt;&gt;$L$1,对接源_01水果!$B1097=""),0,IF(OR(N(对接源_01水果!$B1097)&lt;$L$2,N(对接源_01水果!$B1097)&gt;$L$3),0,1))</f>
        <v>0</v>
      </c>
      <c r="M1097" s="3">
        <f>IF(OR($M$1="",对接源_01水果!$C1097="",对接源_01水果!$C1097&lt;&gt;$M$1,对接源_01水果!$B1097=""),0,IF(OR(N(对接源_01水果!$B1097)&lt;$M$2,N(对接源_01水果!$B1097)&gt;$M$3),0,1))</f>
        <v>0</v>
      </c>
      <c r="N1097" s="3">
        <f>IF(OR($N$1="",对接源_01水果!$C1097="",对接源_01水果!$C1097&lt;&gt;$N$1,对接源_01水果!$B1097=""),0,IF(OR(N(对接源_01水果!$B1097)&lt;$N$2,N(对接源_01水果!$B1097)&gt;$N$3),0,1))</f>
        <v>0</v>
      </c>
      <c r="P1097" s="3">
        <f>IF(AND($K1097=1,AND(对接源_01水果!$X1097="公司筐",N(对接源_01水果!$T1097)&lt;&gt;0)),1,0)</f>
        <v>0</v>
      </c>
      <c r="Q1097" s="3">
        <f t="shared" si="300"/>
        <v>0</v>
      </c>
      <c r="R1097" s="3">
        <f>IF(AND($K1097=1,AND(对接源_01水果!$X1097="公司筐",N(对接源_01水果!$U1097)&lt;&gt;0)),1,0)</f>
        <v>0</v>
      </c>
      <c r="S1097" s="3">
        <f t="shared" si="301"/>
        <v>0</v>
      </c>
      <c r="T1097" s="3">
        <f>IF(AND($K1097=1,AND(对接源_01水果!$X1097="公司筐",N(对接源_01水果!$V1097)&lt;&gt;0)),1,0)</f>
        <v>0</v>
      </c>
      <c r="U1097" s="3">
        <f t="shared" si="302"/>
        <v>19</v>
      </c>
      <c r="V1097" s="3">
        <f>IF(AND($L1097=1,AND(对接源_01水果!$X1097="自备筐",N(对接源_01水果!$V1097)&lt;&gt;0)),1,0)</f>
        <v>0</v>
      </c>
      <c r="W1097" s="3">
        <f t="shared" si="303"/>
        <v>8</v>
      </c>
      <c r="X1097" s="3">
        <f>IF(AND($L1097=1,AND(对接源_01水果!$X1097="自备筐",N(对接源_01水果!$T1097)&lt;&gt;0)),1,0)</f>
        <v>0</v>
      </c>
      <c r="Y1097" s="3">
        <f t="shared" si="304"/>
        <v>0</v>
      </c>
      <c r="Z1097" s="3">
        <f>IF(AND($M1097=1,对接源_01水果!$D1097="原料入库"),1,0)</f>
        <v>0</v>
      </c>
      <c r="AA1097" s="3">
        <f t="shared" si="305"/>
        <v>24</v>
      </c>
      <c r="AB1097" s="3">
        <f>IF(AND($M1097=1,LEFT(对接源_01水果!$D1097,4)="原料出库"),1,0)</f>
        <v>0</v>
      </c>
      <c r="AC1097" s="3">
        <f t="shared" si="306"/>
        <v>0</v>
      </c>
      <c r="AD1097" s="3">
        <f>IF(AND($M1097=1,LEFT(对接源_01水果!$D1097,4)="成品出库"),1,0)</f>
        <v>0</v>
      </c>
      <c r="AE1097" s="3">
        <f t="shared" si="307"/>
        <v>0</v>
      </c>
      <c r="AF1097" s="3">
        <f>IF(AND($N1097=1,AND(LEFT(对接源_01水果!$D1097,4)="包装物料",N(对接源_01水果!$K1097)&lt;&gt;0)),1,0)</f>
        <v>0</v>
      </c>
      <c r="AG1097" s="3">
        <f t="shared" si="308"/>
        <v>0</v>
      </c>
      <c r="AH1097" s="3">
        <f>IF(AND($N1097=1,AND(对接源_01水果!$D1097="周转筐－销售出库",N(对接源_01水果!$K1097)&lt;&gt;0)),1,0)</f>
        <v>0</v>
      </c>
      <c r="AI1097" s="3">
        <f t="shared" si="309"/>
        <v>0</v>
      </c>
      <c r="AJ1097" s="7"/>
      <c r="AL1097" s="3">
        <f>IF(OR($AL$1="",对接源_01水果!$Y1097="",对接源_01水果!$Y1097&lt;&gt;$AL$1,对接源_01水果!$B1097="",N(对接源_01水果!$AJ1097)&lt;=0),0,IF(OR(N(对接源_01水果!$B1097)&lt;$AL$2,N(对接源_01水果!$B1097)&gt;$AL$3),0,1))</f>
        <v>0</v>
      </c>
      <c r="AM1097" s="3">
        <f t="shared" si="310"/>
        <v>1</v>
      </c>
      <c r="AN1097" s="3" t="str">
        <f>IF(对接源_01水果!$AC1097="","",对接源_01水果!$AC1097)</f>
        <v/>
      </c>
      <c r="AO1097" s="3">
        <f t="shared" si="311"/>
        <v>0</v>
      </c>
      <c r="AP1097" s="3">
        <f t="shared" si="312"/>
        <v>8</v>
      </c>
      <c r="AR1097">
        <f t="shared" si="313"/>
        <v>0</v>
      </c>
      <c r="AS1097">
        <f t="shared" si="314"/>
        <v>0</v>
      </c>
    </row>
    <row r="1098" ht="14.25" customHeight="1" spans="1:45">
      <c r="A1098" s="3" t="str">
        <f>IF(对接源_01水果!$C1098="","",对接源_01水果!$C1098)</f>
        <v/>
      </c>
      <c r="B1098" s="3">
        <f t="shared" si="298"/>
        <v>0</v>
      </c>
      <c r="C1098" s="3">
        <f t="shared" si="299"/>
        <v>18</v>
      </c>
      <c r="K1098" s="3">
        <f>IF(OR($K$1="",对接源_01水果!$C1098="",对接源_01水果!$C1098&lt;&gt;$K$1,对接源_01水果!$B1098=""),0,IF(OR(N(对接源_01水果!$B1098)&lt;$K$2,N(对接源_01水果!$B1098)&gt;$K$3),0,1))</f>
        <v>0</v>
      </c>
      <c r="L1098" s="3">
        <f>IF(OR($L$1="",对接源_01水果!$C1098="",对接源_01水果!$C1098&lt;&gt;$L$1,对接源_01水果!$B1098=""),0,IF(OR(N(对接源_01水果!$B1098)&lt;$L$2,N(对接源_01水果!$B1098)&gt;$L$3),0,1))</f>
        <v>0</v>
      </c>
      <c r="M1098" s="3">
        <f>IF(OR($M$1="",对接源_01水果!$C1098="",对接源_01水果!$C1098&lt;&gt;$M$1,对接源_01水果!$B1098=""),0,IF(OR(N(对接源_01水果!$B1098)&lt;$M$2,N(对接源_01水果!$B1098)&gt;$M$3),0,1))</f>
        <v>0</v>
      </c>
      <c r="N1098" s="3">
        <f>IF(OR($N$1="",对接源_01水果!$C1098="",对接源_01水果!$C1098&lt;&gt;$N$1,对接源_01水果!$B1098=""),0,IF(OR(N(对接源_01水果!$B1098)&lt;$N$2,N(对接源_01水果!$B1098)&gt;$N$3),0,1))</f>
        <v>0</v>
      </c>
      <c r="P1098" s="3">
        <f>IF(AND($K1098=1,AND(对接源_01水果!$X1098="公司筐",N(对接源_01水果!$T1098)&lt;&gt;0)),1,0)</f>
        <v>0</v>
      </c>
      <c r="Q1098" s="3">
        <f t="shared" si="300"/>
        <v>0</v>
      </c>
      <c r="R1098" s="3">
        <f>IF(AND($K1098=1,AND(对接源_01水果!$X1098="公司筐",N(对接源_01水果!$U1098)&lt;&gt;0)),1,0)</f>
        <v>0</v>
      </c>
      <c r="S1098" s="3">
        <f t="shared" si="301"/>
        <v>0</v>
      </c>
      <c r="T1098" s="3">
        <f>IF(AND($K1098=1,AND(对接源_01水果!$X1098="公司筐",N(对接源_01水果!$V1098)&lt;&gt;0)),1,0)</f>
        <v>0</v>
      </c>
      <c r="U1098" s="3">
        <f t="shared" si="302"/>
        <v>19</v>
      </c>
      <c r="V1098" s="3">
        <f>IF(AND($L1098=1,AND(对接源_01水果!$X1098="自备筐",N(对接源_01水果!$V1098)&lt;&gt;0)),1,0)</f>
        <v>0</v>
      </c>
      <c r="W1098" s="3">
        <f t="shared" si="303"/>
        <v>8</v>
      </c>
      <c r="X1098" s="3">
        <f>IF(AND($L1098=1,AND(对接源_01水果!$X1098="自备筐",N(对接源_01水果!$T1098)&lt;&gt;0)),1,0)</f>
        <v>0</v>
      </c>
      <c r="Y1098" s="3">
        <f t="shared" si="304"/>
        <v>0</v>
      </c>
      <c r="Z1098" s="3">
        <f>IF(AND($M1098=1,对接源_01水果!$D1098="原料入库"),1,0)</f>
        <v>0</v>
      </c>
      <c r="AA1098" s="3">
        <f t="shared" si="305"/>
        <v>24</v>
      </c>
      <c r="AB1098" s="3">
        <f>IF(AND($M1098=1,LEFT(对接源_01水果!$D1098,4)="原料出库"),1,0)</f>
        <v>0</v>
      </c>
      <c r="AC1098" s="3">
        <f t="shared" si="306"/>
        <v>0</v>
      </c>
      <c r="AD1098" s="3">
        <f>IF(AND($M1098=1,LEFT(对接源_01水果!$D1098,4)="成品出库"),1,0)</f>
        <v>0</v>
      </c>
      <c r="AE1098" s="3">
        <f t="shared" si="307"/>
        <v>0</v>
      </c>
      <c r="AF1098" s="3">
        <f>IF(AND($N1098=1,AND(LEFT(对接源_01水果!$D1098,4)="包装物料",N(对接源_01水果!$K1098)&lt;&gt;0)),1,0)</f>
        <v>0</v>
      </c>
      <c r="AG1098" s="3">
        <f t="shared" si="308"/>
        <v>0</v>
      </c>
      <c r="AH1098" s="3">
        <f>IF(AND($N1098=1,AND(对接源_01水果!$D1098="周转筐－销售出库",N(对接源_01水果!$K1098)&lt;&gt;0)),1,0)</f>
        <v>0</v>
      </c>
      <c r="AI1098" s="3">
        <f t="shared" si="309"/>
        <v>0</v>
      </c>
      <c r="AJ1098" s="7"/>
      <c r="AL1098" s="3">
        <f>IF(OR($AL$1="",对接源_01水果!$Y1098="",对接源_01水果!$Y1098&lt;&gt;$AL$1,对接源_01水果!$B1098="",N(对接源_01水果!$AJ1098)&lt;=0),0,IF(OR(N(对接源_01水果!$B1098)&lt;$AL$2,N(对接源_01水果!$B1098)&gt;$AL$3),0,1))</f>
        <v>0</v>
      </c>
      <c r="AM1098" s="3">
        <f t="shared" si="310"/>
        <v>1</v>
      </c>
      <c r="AN1098" s="3" t="str">
        <f>IF(对接源_01水果!$AC1098="","",对接源_01水果!$AC1098)</f>
        <v/>
      </c>
      <c r="AO1098" s="3">
        <f t="shared" si="311"/>
        <v>0</v>
      </c>
      <c r="AP1098" s="3">
        <f t="shared" si="312"/>
        <v>8</v>
      </c>
      <c r="AR1098">
        <f t="shared" si="313"/>
        <v>0</v>
      </c>
      <c r="AS1098">
        <f t="shared" si="314"/>
        <v>0</v>
      </c>
    </row>
    <row r="1099" ht="14.25" customHeight="1" spans="1:45">
      <c r="A1099" s="3" t="str">
        <f>IF(对接源_01水果!$C1099="","",对接源_01水果!$C1099)</f>
        <v/>
      </c>
      <c r="B1099" s="3">
        <f t="shared" si="298"/>
        <v>0</v>
      </c>
      <c r="C1099" s="3">
        <f t="shared" si="299"/>
        <v>18</v>
      </c>
      <c r="K1099" s="3">
        <f>IF(OR($K$1="",对接源_01水果!$C1099="",对接源_01水果!$C1099&lt;&gt;$K$1,对接源_01水果!$B1099=""),0,IF(OR(N(对接源_01水果!$B1099)&lt;$K$2,N(对接源_01水果!$B1099)&gt;$K$3),0,1))</f>
        <v>0</v>
      </c>
      <c r="L1099" s="3">
        <f>IF(OR($L$1="",对接源_01水果!$C1099="",对接源_01水果!$C1099&lt;&gt;$L$1,对接源_01水果!$B1099=""),0,IF(OR(N(对接源_01水果!$B1099)&lt;$L$2,N(对接源_01水果!$B1099)&gt;$L$3),0,1))</f>
        <v>0</v>
      </c>
      <c r="M1099" s="3">
        <f>IF(OR($M$1="",对接源_01水果!$C1099="",对接源_01水果!$C1099&lt;&gt;$M$1,对接源_01水果!$B1099=""),0,IF(OR(N(对接源_01水果!$B1099)&lt;$M$2,N(对接源_01水果!$B1099)&gt;$M$3),0,1))</f>
        <v>0</v>
      </c>
      <c r="N1099" s="3">
        <f>IF(OR($N$1="",对接源_01水果!$C1099="",对接源_01水果!$C1099&lt;&gt;$N$1,对接源_01水果!$B1099=""),0,IF(OR(N(对接源_01水果!$B1099)&lt;$N$2,N(对接源_01水果!$B1099)&gt;$N$3),0,1))</f>
        <v>0</v>
      </c>
      <c r="P1099" s="3">
        <f>IF(AND($K1099=1,AND(对接源_01水果!$X1099="公司筐",N(对接源_01水果!$T1099)&lt;&gt;0)),1,0)</f>
        <v>0</v>
      </c>
      <c r="Q1099" s="3">
        <f t="shared" si="300"/>
        <v>0</v>
      </c>
      <c r="R1099" s="3">
        <f>IF(AND($K1099=1,AND(对接源_01水果!$X1099="公司筐",N(对接源_01水果!$U1099)&lt;&gt;0)),1,0)</f>
        <v>0</v>
      </c>
      <c r="S1099" s="3">
        <f t="shared" si="301"/>
        <v>0</v>
      </c>
      <c r="T1099" s="3">
        <f>IF(AND($K1099=1,AND(对接源_01水果!$X1099="公司筐",N(对接源_01水果!$V1099)&lt;&gt;0)),1,0)</f>
        <v>0</v>
      </c>
      <c r="U1099" s="3">
        <f t="shared" si="302"/>
        <v>19</v>
      </c>
      <c r="V1099" s="3">
        <f>IF(AND($L1099=1,AND(对接源_01水果!$X1099="自备筐",N(对接源_01水果!$V1099)&lt;&gt;0)),1,0)</f>
        <v>0</v>
      </c>
      <c r="W1099" s="3">
        <f t="shared" si="303"/>
        <v>8</v>
      </c>
      <c r="X1099" s="3">
        <f>IF(AND($L1099=1,AND(对接源_01水果!$X1099="自备筐",N(对接源_01水果!$T1099)&lt;&gt;0)),1,0)</f>
        <v>0</v>
      </c>
      <c r="Y1099" s="3">
        <f t="shared" si="304"/>
        <v>0</v>
      </c>
      <c r="Z1099" s="3">
        <f>IF(AND($M1099=1,对接源_01水果!$D1099="原料入库"),1,0)</f>
        <v>0</v>
      </c>
      <c r="AA1099" s="3">
        <f t="shared" si="305"/>
        <v>24</v>
      </c>
      <c r="AB1099" s="3">
        <f>IF(AND($M1099=1,LEFT(对接源_01水果!$D1099,4)="原料出库"),1,0)</f>
        <v>0</v>
      </c>
      <c r="AC1099" s="3">
        <f t="shared" si="306"/>
        <v>0</v>
      </c>
      <c r="AD1099" s="3">
        <f>IF(AND($M1099=1,LEFT(对接源_01水果!$D1099,4)="成品出库"),1,0)</f>
        <v>0</v>
      </c>
      <c r="AE1099" s="3">
        <f t="shared" si="307"/>
        <v>0</v>
      </c>
      <c r="AF1099" s="3">
        <f>IF(AND($N1099=1,AND(LEFT(对接源_01水果!$D1099,4)="包装物料",N(对接源_01水果!$K1099)&lt;&gt;0)),1,0)</f>
        <v>0</v>
      </c>
      <c r="AG1099" s="3">
        <f t="shared" si="308"/>
        <v>0</v>
      </c>
      <c r="AH1099" s="3">
        <f>IF(AND($N1099=1,AND(对接源_01水果!$D1099="周转筐－销售出库",N(对接源_01水果!$K1099)&lt;&gt;0)),1,0)</f>
        <v>0</v>
      </c>
      <c r="AI1099" s="3">
        <f t="shared" si="309"/>
        <v>0</v>
      </c>
      <c r="AJ1099" s="7"/>
      <c r="AL1099" s="3">
        <f>IF(OR($AL$1="",对接源_01水果!$Y1099="",对接源_01水果!$Y1099&lt;&gt;$AL$1,对接源_01水果!$B1099="",N(对接源_01水果!$AJ1099)&lt;=0),0,IF(OR(N(对接源_01水果!$B1099)&lt;$AL$2,N(对接源_01水果!$B1099)&gt;$AL$3),0,1))</f>
        <v>0</v>
      </c>
      <c r="AM1099" s="3">
        <f t="shared" si="310"/>
        <v>1</v>
      </c>
      <c r="AN1099" s="3" t="str">
        <f>IF(对接源_01水果!$AC1099="","",对接源_01水果!$AC1099)</f>
        <v/>
      </c>
      <c r="AO1099" s="3">
        <f t="shared" si="311"/>
        <v>0</v>
      </c>
      <c r="AP1099" s="3">
        <f t="shared" si="312"/>
        <v>8</v>
      </c>
      <c r="AR1099">
        <f t="shared" si="313"/>
        <v>0</v>
      </c>
      <c r="AS1099">
        <f t="shared" si="314"/>
        <v>0</v>
      </c>
    </row>
    <row r="1100" ht="14.25" customHeight="1" spans="1:45">
      <c r="A1100" s="3" t="str">
        <f>IF(对接源_01水果!$C1100="","",对接源_01水果!$C1100)</f>
        <v/>
      </c>
      <c r="B1100" s="3">
        <f t="shared" si="298"/>
        <v>0</v>
      </c>
      <c r="C1100" s="3">
        <f t="shared" si="299"/>
        <v>18</v>
      </c>
      <c r="K1100" s="3">
        <f>IF(OR($K$1="",对接源_01水果!$C1100="",对接源_01水果!$C1100&lt;&gt;$K$1,对接源_01水果!$B1100=""),0,IF(OR(N(对接源_01水果!$B1100)&lt;$K$2,N(对接源_01水果!$B1100)&gt;$K$3),0,1))</f>
        <v>0</v>
      </c>
      <c r="L1100" s="3">
        <f>IF(OR($L$1="",对接源_01水果!$C1100="",对接源_01水果!$C1100&lt;&gt;$L$1,对接源_01水果!$B1100=""),0,IF(OR(N(对接源_01水果!$B1100)&lt;$L$2,N(对接源_01水果!$B1100)&gt;$L$3),0,1))</f>
        <v>0</v>
      </c>
      <c r="M1100" s="3">
        <f>IF(OR($M$1="",对接源_01水果!$C1100="",对接源_01水果!$C1100&lt;&gt;$M$1,对接源_01水果!$B1100=""),0,IF(OR(N(对接源_01水果!$B1100)&lt;$M$2,N(对接源_01水果!$B1100)&gt;$M$3),0,1))</f>
        <v>0</v>
      </c>
      <c r="N1100" s="3">
        <f>IF(OR($N$1="",对接源_01水果!$C1100="",对接源_01水果!$C1100&lt;&gt;$N$1,对接源_01水果!$B1100=""),0,IF(OR(N(对接源_01水果!$B1100)&lt;$N$2,N(对接源_01水果!$B1100)&gt;$N$3),0,1))</f>
        <v>0</v>
      </c>
      <c r="P1100" s="3">
        <f>IF(AND($K1100=1,AND(对接源_01水果!$X1100="公司筐",N(对接源_01水果!$T1100)&lt;&gt;0)),1,0)</f>
        <v>0</v>
      </c>
      <c r="Q1100" s="3">
        <f t="shared" si="300"/>
        <v>0</v>
      </c>
      <c r="R1100" s="3">
        <f>IF(AND($K1100=1,AND(对接源_01水果!$X1100="公司筐",N(对接源_01水果!$U1100)&lt;&gt;0)),1,0)</f>
        <v>0</v>
      </c>
      <c r="S1100" s="3">
        <f t="shared" si="301"/>
        <v>0</v>
      </c>
      <c r="T1100" s="3">
        <f>IF(AND($K1100=1,AND(对接源_01水果!$X1100="公司筐",N(对接源_01水果!$V1100)&lt;&gt;0)),1,0)</f>
        <v>0</v>
      </c>
      <c r="U1100" s="3">
        <f t="shared" si="302"/>
        <v>19</v>
      </c>
      <c r="V1100" s="3">
        <f>IF(AND($L1100=1,AND(对接源_01水果!$X1100="自备筐",N(对接源_01水果!$V1100)&lt;&gt;0)),1,0)</f>
        <v>0</v>
      </c>
      <c r="W1100" s="3">
        <f t="shared" si="303"/>
        <v>8</v>
      </c>
      <c r="X1100" s="3">
        <f>IF(AND($L1100=1,AND(对接源_01水果!$X1100="自备筐",N(对接源_01水果!$T1100)&lt;&gt;0)),1,0)</f>
        <v>0</v>
      </c>
      <c r="Y1100" s="3">
        <f t="shared" si="304"/>
        <v>0</v>
      </c>
      <c r="Z1100" s="3">
        <f>IF(AND($M1100=1,对接源_01水果!$D1100="原料入库"),1,0)</f>
        <v>0</v>
      </c>
      <c r="AA1100" s="3">
        <f t="shared" si="305"/>
        <v>24</v>
      </c>
      <c r="AB1100" s="3">
        <f>IF(AND($M1100=1,LEFT(对接源_01水果!$D1100,4)="原料出库"),1,0)</f>
        <v>0</v>
      </c>
      <c r="AC1100" s="3">
        <f t="shared" si="306"/>
        <v>0</v>
      </c>
      <c r="AD1100" s="3">
        <f>IF(AND($M1100=1,LEFT(对接源_01水果!$D1100,4)="成品出库"),1,0)</f>
        <v>0</v>
      </c>
      <c r="AE1100" s="3">
        <f t="shared" si="307"/>
        <v>0</v>
      </c>
      <c r="AF1100" s="3">
        <f>IF(AND($N1100=1,AND(LEFT(对接源_01水果!$D1100,4)="包装物料",N(对接源_01水果!$K1100)&lt;&gt;0)),1,0)</f>
        <v>0</v>
      </c>
      <c r="AG1100" s="3">
        <f t="shared" si="308"/>
        <v>0</v>
      </c>
      <c r="AH1100" s="3">
        <f>IF(AND($N1100=1,AND(对接源_01水果!$D1100="周转筐－销售出库",N(对接源_01水果!$K1100)&lt;&gt;0)),1,0)</f>
        <v>0</v>
      </c>
      <c r="AI1100" s="3">
        <f t="shared" si="309"/>
        <v>0</v>
      </c>
      <c r="AJ1100" s="7"/>
      <c r="AL1100" s="3">
        <f>IF(OR($AL$1="",对接源_01水果!$Y1100="",对接源_01水果!$Y1100&lt;&gt;$AL$1,对接源_01水果!$B1100="",N(对接源_01水果!$AJ1100)&lt;=0),0,IF(OR(N(对接源_01水果!$B1100)&lt;$AL$2,N(对接源_01水果!$B1100)&gt;$AL$3),0,1))</f>
        <v>0</v>
      </c>
      <c r="AM1100" s="3">
        <f t="shared" si="310"/>
        <v>1</v>
      </c>
      <c r="AN1100" s="3" t="str">
        <f>IF(对接源_01水果!$AC1100="","",对接源_01水果!$AC1100)</f>
        <v/>
      </c>
      <c r="AO1100" s="3">
        <f t="shared" si="311"/>
        <v>0</v>
      </c>
      <c r="AP1100" s="3">
        <f t="shared" si="312"/>
        <v>8</v>
      </c>
      <c r="AR1100">
        <f t="shared" si="313"/>
        <v>0</v>
      </c>
      <c r="AS1100">
        <f t="shared" si="314"/>
        <v>0</v>
      </c>
    </row>
    <row r="1101" ht="14.25" customHeight="1" spans="1:45">
      <c r="A1101" s="3" t="str">
        <f>IF(对接源_01水果!$C1101="","",对接源_01水果!$C1101)</f>
        <v/>
      </c>
      <c r="B1101" s="3">
        <f t="shared" si="298"/>
        <v>0</v>
      </c>
      <c r="C1101" s="3">
        <f t="shared" si="299"/>
        <v>18</v>
      </c>
      <c r="K1101" s="3">
        <f>IF(OR($K$1="",对接源_01水果!$C1101="",对接源_01水果!$C1101&lt;&gt;$K$1,对接源_01水果!$B1101=""),0,IF(OR(N(对接源_01水果!$B1101)&lt;$K$2,N(对接源_01水果!$B1101)&gt;$K$3),0,1))</f>
        <v>0</v>
      </c>
      <c r="L1101" s="3">
        <f>IF(OR($L$1="",对接源_01水果!$C1101="",对接源_01水果!$C1101&lt;&gt;$L$1,对接源_01水果!$B1101=""),0,IF(OR(N(对接源_01水果!$B1101)&lt;$L$2,N(对接源_01水果!$B1101)&gt;$L$3),0,1))</f>
        <v>0</v>
      </c>
      <c r="M1101" s="3">
        <f>IF(OR($M$1="",对接源_01水果!$C1101="",对接源_01水果!$C1101&lt;&gt;$M$1,对接源_01水果!$B1101=""),0,IF(OR(N(对接源_01水果!$B1101)&lt;$M$2,N(对接源_01水果!$B1101)&gt;$M$3),0,1))</f>
        <v>0</v>
      </c>
      <c r="N1101" s="3">
        <f>IF(OR($N$1="",对接源_01水果!$C1101="",对接源_01水果!$C1101&lt;&gt;$N$1,对接源_01水果!$B1101=""),0,IF(OR(N(对接源_01水果!$B1101)&lt;$N$2,N(对接源_01水果!$B1101)&gt;$N$3),0,1))</f>
        <v>0</v>
      </c>
      <c r="P1101" s="3">
        <f>IF(AND($K1101=1,AND(对接源_01水果!$X1101="公司筐",N(对接源_01水果!$T1101)&lt;&gt;0)),1,0)</f>
        <v>0</v>
      </c>
      <c r="Q1101" s="3">
        <f t="shared" si="300"/>
        <v>0</v>
      </c>
      <c r="R1101" s="3">
        <f>IF(AND($K1101=1,AND(对接源_01水果!$X1101="公司筐",N(对接源_01水果!$U1101)&lt;&gt;0)),1,0)</f>
        <v>0</v>
      </c>
      <c r="S1101" s="3">
        <f t="shared" si="301"/>
        <v>0</v>
      </c>
      <c r="T1101" s="3">
        <f>IF(AND($K1101=1,AND(对接源_01水果!$X1101="公司筐",N(对接源_01水果!$V1101)&lt;&gt;0)),1,0)</f>
        <v>0</v>
      </c>
      <c r="U1101" s="3">
        <f t="shared" si="302"/>
        <v>19</v>
      </c>
      <c r="V1101" s="3">
        <f>IF(AND($L1101=1,AND(对接源_01水果!$X1101="自备筐",N(对接源_01水果!$V1101)&lt;&gt;0)),1,0)</f>
        <v>0</v>
      </c>
      <c r="W1101" s="3">
        <f t="shared" si="303"/>
        <v>8</v>
      </c>
      <c r="X1101" s="3">
        <f>IF(AND($L1101=1,AND(对接源_01水果!$X1101="自备筐",N(对接源_01水果!$T1101)&lt;&gt;0)),1,0)</f>
        <v>0</v>
      </c>
      <c r="Y1101" s="3">
        <f t="shared" si="304"/>
        <v>0</v>
      </c>
      <c r="Z1101" s="3">
        <f>IF(AND($M1101=1,对接源_01水果!$D1101="原料入库"),1,0)</f>
        <v>0</v>
      </c>
      <c r="AA1101" s="3">
        <f t="shared" si="305"/>
        <v>24</v>
      </c>
      <c r="AB1101" s="3">
        <f>IF(AND($M1101=1,LEFT(对接源_01水果!$D1101,4)="原料出库"),1,0)</f>
        <v>0</v>
      </c>
      <c r="AC1101" s="3">
        <f t="shared" si="306"/>
        <v>0</v>
      </c>
      <c r="AD1101" s="3">
        <f>IF(AND($M1101=1,LEFT(对接源_01水果!$D1101,4)="成品出库"),1,0)</f>
        <v>0</v>
      </c>
      <c r="AE1101" s="3">
        <f t="shared" si="307"/>
        <v>0</v>
      </c>
      <c r="AF1101" s="3">
        <f>IF(AND($N1101=1,AND(LEFT(对接源_01水果!$D1101,4)="包装物料",N(对接源_01水果!$K1101)&lt;&gt;0)),1,0)</f>
        <v>0</v>
      </c>
      <c r="AG1101" s="3">
        <f t="shared" si="308"/>
        <v>0</v>
      </c>
      <c r="AH1101" s="3">
        <f>IF(AND($N1101=1,AND(对接源_01水果!$D1101="周转筐－销售出库",N(对接源_01水果!$K1101)&lt;&gt;0)),1,0)</f>
        <v>0</v>
      </c>
      <c r="AI1101" s="3">
        <f t="shared" si="309"/>
        <v>0</v>
      </c>
      <c r="AJ1101" s="7"/>
      <c r="AL1101" s="3">
        <f>IF(OR($AL$1="",对接源_01水果!$Y1101="",对接源_01水果!$Y1101&lt;&gt;$AL$1,对接源_01水果!$B1101="",N(对接源_01水果!$AJ1101)&lt;=0),0,IF(OR(N(对接源_01水果!$B1101)&lt;$AL$2,N(对接源_01水果!$B1101)&gt;$AL$3),0,1))</f>
        <v>0</v>
      </c>
      <c r="AM1101" s="3">
        <f t="shared" si="310"/>
        <v>1</v>
      </c>
      <c r="AN1101" s="3" t="str">
        <f>IF(对接源_01水果!$AC1101="","",对接源_01水果!$AC1101)</f>
        <v/>
      </c>
      <c r="AO1101" s="3">
        <f t="shared" si="311"/>
        <v>0</v>
      </c>
      <c r="AP1101" s="3">
        <f t="shared" si="312"/>
        <v>8</v>
      </c>
      <c r="AR1101">
        <f t="shared" si="313"/>
        <v>0</v>
      </c>
      <c r="AS1101">
        <f t="shared" si="314"/>
        <v>0</v>
      </c>
    </row>
    <row r="1102" ht="14.25" customHeight="1" spans="1:45">
      <c r="A1102" s="3" t="str">
        <f>IF(对接源_01水果!$C1102="","",对接源_01水果!$C1102)</f>
        <v/>
      </c>
      <c r="B1102" s="3">
        <f t="shared" si="298"/>
        <v>0</v>
      </c>
      <c r="C1102" s="3">
        <f t="shared" si="299"/>
        <v>18</v>
      </c>
      <c r="K1102" s="3">
        <f>IF(OR($K$1="",对接源_01水果!$C1102="",对接源_01水果!$C1102&lt;&gt;$K$1,对接源_01水果!$B1102=""),0,IF(OR(N(对接源_01水果!$B1102)&lt;$K$2,N(对接源_01水果!$B1102)&gt;$K$3),0,1))</f>
        <v>0</v>
      </c>
      <c r="L1102" s="3">
        <f>IF(OR($L$1="",对接源_01水果!$C1102="",对接源_01水果!$C1102&lt;&gt;$L$1,对接源_01水果!$B1102=""),0,IF(OR(N(对接源_01水果!$B1102)&lt;$L$2,N(对接源_01水果!$B1102)&gt;$L$3),0,1))</f>
        <v>0</v>
      </c>
      <c r="M1102" s="3">
        <f>IF(OR($M$1="",对接源_01水果!$C1102="",对接源_01水果!$C1102&lt;&gt;$M$1,对接源_01水果!$B1102=""),0,IF(OR(N(对接源_01水果!$B1102)&lt;$M$2,N(对接源_01水果!$B1102)&gt;$M$3),0,1))</f>
        <v>0</v>
      </c>
      <c r="N1102" s="3">
        <f>IF(OR($N$1="",对接源_01水果!$C1102="",对接源_01水果!$C1102&lt;&gt;$N$1,对接源_01水果!$B1102=""),0,IF(OR(N(对接源_01水果!$B1102)&lt;$N$2,N(对接源_01水果!$B1102)&gt;$N$3),0,1))</f>
        <v>0</v>
      </c>
      <c r="P1102" s="3">
        <f>IF(AND($K1102=1,AND(对接源_01水果!$X1102="公司筐",N(对接源_01水果!$T1102)&lt;&gt;0)),1,0)</f>
        <v>0</v>
      </c>
      <c r="Q1102" s="3">
        <f t="shared" si="300"/>
        <v>0</v>
      </c>
      <c r="R1102" s="3">
        <f>IF(AND($K1102=1,AND(对接源_01水果!$X1102="公司筐",N(对接源_01水果!$U1102)&lt;&gt;0)),1,0)</f>
        <v>0</v>
      </c>
      <c r="S1102" s="3">
        <f t="shared" si="301"/>
        <v>0</v>
      </c>
      <c r="T1102" s="3">
        <f>IF(AND($K1102=1,AND(对接源_01水果!$X1102="公司筐",N(对接源_01水果!$V1102)&lt;&gt;0)),1,0)</f>
        <v>0</v>
      </c>
      <c r="U1102" s="3">
        <f t="shared" si="302"/>
        <v>19</v>
      </c>
      <c r="V1102" s="3">
        <f>IF(AND($L1102=1,AND(对接源_01水果!$X1102="自备筐",N(对接源_01水果!$V1102)&lt;&gt;0)),1,0)</f>
        <v>0</v>
      </c>
      <c r="W1102" s="3">
        <f t="shared" si="303"/>
        <v>8</v>
      </c>
      <c r="X1102" s="3">
        <f>IF(AND($L1102=1,AND(对接源_01水果!$X1102="自备筐",N(对接源_01水果!$T1102)&lt;&gt;0)),1,0)</f>
        <v>0</v>
      </c>
      <c r="Y1102" s="3">
        <f t="shared" si="304"/>
        <v>0</v>
      </c>
      <c r="Z1102" s="3">
        <f>IF(AND($M1102=1,对接源_01水果!$D1102="原料入库"),1,0)</f>
        <v>0</v>
      </c>
      <c r="AA1102" s="3">
        <f t="shared" si="305"/>
        <v>24</v>
      </c>
      <c r="AB1102" s="3">
        <f>IF(AND($M1102=1,LEFT(对接源_01水果!$D1102,4)="原料出库"),1,0)</f>
        <v>0</v>
      </c>
      <c r="AC1102" s="3">
        <f t="shared" si="306"/>
        <v>0</v>
      </c>
      <c r="AD1102" s="3">
        <f>IF(AND($M1102=1,LEFT(对接源_01水果!$D1102,4)="成品出库"),1,0)</f>
        <v>0</v>
      </c>
      <c r="AE1102" s="3">
        <f t="shared" si="307"/>
        <v>0</v>
      </c>
      <c r="AF1102" s="3">
        <f>IF(AND($N1102=1,AND(LEFT(对接源_01水果!$D1102,4)="包装物料",N(对接源_01水果!$K1102)&lt;&gt;0)),1,0)</f>
        <v>0</v>
      </c>
      <c r="AG1102" s="3">
        <f t="shared" si="308"/>
        <v>0</v>
      </c>
      <c r="AH1102" s="3">
        <f>IF(AND($N1102=1,AND(对接源_01水果!$D1102="周转筐－销售出库",N(对接源_01水果!$K1102)&lt;&gt;0)),1,0)</f>
        <v>0</v>
      </c>
      <c r="AI1102" s="3">
        <f t="shared" si="309"/>
        <v>0</v>
      </c>
      <c r="AJ1102" s="7"/>
      <c r="AL1102" s="3">
        <f>IF(OR($AL$1="",对接源_01水果!$Y1102="",对接源_01水果!$Y1102&lt;&gt;$AL$1,对接源_01水果!$B1102="",N(对接源_01水果!$AJ1102)&lt;=0),0,IF(OR(N(对接源_01水果!$B1102)&lt;$AL$2,N(对接源_01水果!$B1102)&gt;$AL$3),0,1))</f>
        <v>0</v>
      </c>
      <c r="AM1102" s="3">
        <f t="shared" si="310"/>
        <v>1</v>
      </c>
      <c r="AN1102" s="3" t="str">
        <f>IF(对接源_01水果!$AC1102="","",对接源_01水果!$AC1102)</f>
        <v/>
      </c>
      <c r="AO1102" s="3">
        <f t="shared" si="311"/>
        <v>0</v>
      </c>
      <c r="AP1102" s="3">
        <f t="shared" si="312"/>
        <v>8</v>
      </c>
      <c r="AR1102">
        <f t="shared" si="313"/>
        <v>0</v>
      </c>
      <c r="AS1102">
        <f t="shared" si="314"/>
        <v>0</v>
      </c>
    </row>
    <row r="1103" ht="14.25" customHeight="1" spans="1:45">
      <c r="A1103" s="3" t="str">
        <f>IF(对接源_01水果!$C1103="","",对接源_01水果!$C1103)</f>
        <v/>
      </c>
      <c r="B1103" s="3">
        <f t="shared" si="298"/>
        <v>0</v>
      </c>
      <c r="C1103" s="3">
        <f t="shared" si="299"/>
        <v>18</v>
      </c>
      <c r="K1103" s="3">
        <f>IF(OR($K$1="",对接源_01水果!$C1103="",对接源_01水果!$C1103&lt;&gt;$K$1,对接源_01水果!$B1103=""),0,IF(OR(N(对接源_01水果!$B1103)&lt;$K$2,N(对接源_01水果!$B1103)&gt;$K$3),0,1))</f>
        <v>0</v>
      </c>
      <c r="L1103" s="3">
        <f>IF(OR($L$1="",对接源_01水果!$C1103="",对接源_01水果!$C1103&lt;&gt;$L$1,对接源_01水果!$B1103=""),0,IF(OR(N(对接源_01水果!$B1103)&lt;$L$2,N(对接源_01水果!$B1103)&gt;$L$3),0,1))</f>
        <v>0</v>
      </c>
      <c r="M1103" s="3">
        <f>IF(OR($M$1="",对接源_01水果!$C1103="",对接源_01水果!$C1103&lt;&gt;$M$1,对接源_01水果!$B1103=""),0,IF(OR(N(对接源_01水果!$B1103)&lt;$M$2,N(对接源_01水果!$B1103)&gt;$M$3),0,1))</f>
        <v>0</v>
      </c>
      <c r="N1103" s="3">
        <f>IF(OR($N$1="",对接源_01水果!$C1103="",对接源_01水果!$C1103&lt;&gt;$N$1,对接源_01水果!$B1103=""),0,IF(OR(N(对接源_01水果!$B1103)&lt;$N$2,N(对接源_01水果!$B1103)&gt;$N$3),0,1))</f>
        <v>0</v>
      </c>
      <c r="P1103" s="3">
        <f>IF(AND($K1103=1,AND(对接源_01水果!$X1103="公司筐",N(对接源_01水果!$T1103)&lt;&gt;0)),1,0)</f>
        <v>0</v>
      </c>
      <c r="Q1103" s="3">
        <f t="shared" si="300"/>
        <v>0</v>
      </c>
      <c r="R1103" s="3">
        <f>IF(AND($K1103=1,AND(对接源_01水果!$X1103="公司筐",N(对接源_01水果!$U1103)&lt;&gt;0)),1,0)</f>
        <v>0</v>
      </c>
      <c r="S1103" s="3">
        <f t="shared" si="301"/>
        <v>0</v>
      </c>
      <c r="T1103" s="3">
        <f>IF(AND($K1103=1,AND(对接源_01水果!$X1103="公司筐",N(对接源_01水果!$V1103)&lt;&gt;0)),1,0)</f>
        <v>0</v>
      </c>
      <c r="U1103" s="3">
        <f t="shared" si="302"/>
        <v>19</v>
      </c>
      <c r="V1103" s="3">
        <f>IF(AND($L1103=1,AND(对接源_01水果!$X1103="自备筐",N(对接源_01水果!$V1103)&lt;&gt;0)),1,0)</f>
        <v>0</v>
      </c>
      <c r="W1103" s="3">
        <f t="shared" si="303"/>
        <v>8</v>
      </c>
      <c r="X1103" s="3">
        <f>IF(AND($L1103=1,AND(对接源_01水果!$X1103="自备筐",N(对接源_01水果!$T1103)&lt;&gt;0)),1,0)</f>
        <v>0</v>
      </c>
      <c r="Y1103" s="3">
        <f t="shared" si="304"/>
        <v>0</v>
      </c>
      <c r="Z1103" s="3">
        <f>IF(AND($M1103=1,对接源_01水果!$D1103="原料入库"),1,0)</f>
        <v>0</v>
      </c>
      <c r="AA1103" s="3">
        <f t="shared" si="305"/>
        <v>24</v>
      </c>
      <c r="AB1103" s="3">
        <f>IF(AND($M1103=1,LEFT(对接源_01水果!$D1103,4)="原料出库"),1,0)</f>
        <v>0</v>
      </c>
      <c r="AC1103" s="3">
        <f t="shared" si="306"/>
        <v>0</v>
      </c>
      <c r="AD1103" s="3">
        <f>IF(AND($M1103=1,LEFT(对接源_01水果!$D1103,4)="成品出库"),1,0)</f>
        <v>0</v>
      </c>
      <c r="AE1103" s="3">
        <f t="shared" si="307"/>
        <v>0</v>
      </c>
      <c r="AF1103" s="3">
        <f>IF(AND($N1103=1,AND(LEFT(对接源_01水果!$D1103,4)="包装物料",N(对接源_01水果!$K1103)&lt;&gt;0)),1,0)</f>
        <v>0</v>
      </c>
      <c r="AG1103" s="3">
        <f t="shared" si="308"/>
        <v>0</v>
      </c>
      <c r="AH1103" s="3">
        <f>IF(AND($N1103=1,AND(对接源_01水果!$D1103="周转筐－销售出库",N(对接源_01水果!$K1103)&lt;&gt;0)),1,0)</f>
        <v>0</v>
      </c>
      <c r="AI1103" s="3">
        <f t="shared" si="309"/>
        <v>0</v>
      </c>
      <c r="AJ1103" s="7"/>
      <c r="AL1103" s="3">
        <f>IF(OR($AL$1="",对接源_01水果!$Y1103="",对接源_01水果!$Y1103&lt;&gt;$AL$1,对接源_01水果!$B1103="",N(对接源_01水果!$AJ1103)&lt;=0),0,IF(OR(N(对接源_01水果!$B1103)&lt;$AL$2,N(对接源_01水果!$B1103)&gt;$AL$3),0,1))</f>
        <v>0</v>
      </c>
      <c r="AM1103" s="3">
        <f t="shared" si="310"/>
        <v>1</v>
      </c>
      <c r="AN1103" s="3" t="str">
        <f>IF(对接源_01水果!$AC1103="","",对接源_01水果!$AC1103)</f>
        <v/>
      </c>
      <c r="AO1103" s="3">
        <f t="shared" si="311"/>
        <v>0</v>
      </c>
      <c r="AP1103" s="3">
        <f t="shared" si="312"/>
        <v>8</v>
      </c>
      <c r="AR1103">
        <f t="shared" si="313"/>
        <v>0</v>
      </c>
      <c r="AS1103">
        <f t="shared" si="314"/>
        <v>0</v>
      </c>
    </row>
    <row r="1104" ht="14.25" customHeight="1" spans="1:45">
      <c r="A1104" s="3" t="str">
        <f>IF(对接源_01水果!$C1104="","",对接源_01水果!$C1104)</f>
        <v/>
      </c>
      <c r="B1104" s="3">
        <f t="shared" si="298"/>
        <v>0</v>
      </c>
      <c r="C1104" s="3">
        <f t="shared" si="299"/>
        <v>18</v>
      </c>
      <c r="K1104" s="3">
        <f>IF(OR($K$1="",对接源_01水果!$C1104="",对接源_01水果!$C1104&lt;&gt;$K$1,对接源_01水果!$B1104=""),0,IF(OR(N(对接源_01水果!$B1104)&lt;$K$2,N(对接源_01水果!$B1104)&gt;$K$3),0,1))</f>
        <v>0</v>
      </c>
      <c r="L1104" s="3">
        <f>IF(OR($L$1="",对接源_01水果!$C1104="",对接源_01水果!$C1104&lt;&gt;$L$1,对接源_01水果!$B1104=""),0,IF(OR(N(对接源_01水果!$B1104)&lt;$L$2,N(对接源_01水果!$B1104)&gt;$L$3),0,1))</f>
        <v>0</v>
      </c>
      <c r="M1104" s="3">
        <f>IF(OR($M$1="",对接源_01水果!$C1104="",对接源_01水果!$C1104&lt;&gt;$M$1,对接源_01水果!$B1104=""),0,IF(OR(N(对接源_01水果!$B1104)&lt;$M$2,N(对接源_01水果!$B1104)&gt;$M$3),0,1))</f>
        <v>0</v>
      </c>
      <c r="N1104" s="3">
        <f>IF(OR($N$1="",对接源_01水果!$C1104="",对接源_01水果!$C1104&lt;&gt;$N$1,对接源_01水果!$B1104=""),0,IF(OR(N(对接源_01水果!$B1104)&lt;$N$2,N(对接源_01水果!$B1104)&gt;$N$3),0,1))</f>
        <v>0</v>
      </c>
      <c r="P1104" s="3">
        <f>IF(AND($K1104=1,AND(对接源_01水果!$X1104="公司筐",N(对接源_01水果!$T1104)&lt;&gt;0)),1,0)</f>
        <v>0</v>
      </c>
      <c r="Q1104" s="3">
        <f t="shared" si="300"/>
        <v>0</v>
      </c>
      <c r="R1104" s="3">
        <f>IF(AND($K1104=1,AND(对接源_01水果!$X1104="公司筐",N(对接源_01水果!$U1104)&lt;&gt;0)),1,0)</f>
        <v>0</v>
      </c>
      <c r="S1104" s="3">
        <f t="shared" si="301"/>
        <v>0</v>
      </c>
      <c r="T1104" s="3">
        <f>IF(AND($K1104=1,AND(对接源_01水果!$X1104="公司筐",N(对接源_01水果!$V1104)&lt;&gt;0)),1,0)</f>
        <v>0</v>
      </c>
      <c r="U1104" s="3">
        <f t="shared" si="302"/>
        <v>19</v>
      </c>
      <c r="V1104" s="3">
        <f>IF(AND($L1104=1,AND(对接源_01水果!$X1104="自备筐",N(对接源_01水果!$V1104)&lt;&gt;0)),1,0)</f>
        <v>0</v>
      </c>
      <c r="W1104" s="3">
        <f t="shared" si="303"/>
        <v>8</v>
      </c>
      <c r="X1104" s="3">
        <f>IF(AND($L1104=1,AND(对接源_01水果!$X1104="自备筐",N(对接源_01水果!$T1104)&lt;&gt;0)),1,0)</f>
        <v>0</v>
      </c>
      <c r="Y1104" s="3">
        <f t="shared" si="304"/>
        <v>0</v>
      </c>
      <c r="Z1104" s="3">
        <f>IF(AND($M1104=1,对接源_01水果!$D1104="原料入库"),1,0)</f>
        <v>0</v>
      </c>
      <c r="AA1104" s="3">
        <f t="shared" si="305"/>
        <v>24</v>
      </c>
      <c r="AB1104" s="3">
        <f>IF(AND($M1104=1,LEFT(对接源_01水果!$D1104,4)="原料出库"),1,0)</f>
        <v>0</v>
      </c>
      <c r="AC1104" s="3">
        <f t="shared" si="306"/>
        <v>0</v>
      </c>
      <c r="AD1104" s="3">
        <f>IF(AND($M1104=1,LEFT(对接源_01水果!$D1104,4)="成品出库"),1,0)</f>
        <v>0</v>
      </c>
      <c r="AE1104" s="3">
        <f t="shared" si="307"/>
        <v>0</v>
      </c>
      <c r="AF1104" s="3">
        <f>IF(AND($N1104=1,AND(LEFT(对接源_01水果!$D1104,4)="包装物料",N(对接源_01水果!$K1104)&lt;&gt;0)),1,0)</f>
        <v>0</v>
      </c>
      <c r="AG1104" s="3">
        <f t="shared" si="308"/>
        <v>0</v>
      </c>
      <c r="AH1104" s="3">
        <f>IF(AND($N1104=1,AND(对接源_01水果!$D1104="周转筐－销售出库",N(对接源_01水果!$K1104)&lt;&gt;0)),1,0)</f>
        <v>0</v>
      </c>
      <c r="AI1104" s="3">
        <f t="shared" si="309"/>
        <v>0</v>
      </c>
      <c r="AJ1104" s="7"/>
      <c r="AL1104" s="3">
        <f>IF(OR($AL$1="",对接源_01水果!$Y1104="",对接源_01水果!$Y1104&lt;&gt;$AL$1,对接源_01水果!$B1104="",N(对接源_01水果!$AJ1104)&lt;=0),0,IF(OR(N(对接源_01水果!$B1104)&lt;$AL$2,N(对接源_01水果!$B1104)&gt;$AL$3),0,1))</f>
        <v>0</v>
      </c>
      <c r="AM1104" s="3">
        <f t="shared" si="310"/>
        <v>1</v>
      </c>
      <c r="AN1104" s="3" t="str">
        <f>IF(对接源_01水果!$AC1104="","",对接源_01水果!$AC1104)</f>
        <v/>
      </c>
      <c r="AO1104" s="3">
        <f t="shared" si="311"/>
        <v>0</v>
      </c>
      <c r="AP1104" s="3">
        <f t="shared" si="312"/>
        <v>8</v>
      </c>
      <c r="AR1104">
        <f t="shared" si="313"/>
        <v>0</v>
      </c>
      <c r="AS1104">
        <f t="shared" si="314"/>
        <v>0</v>
      </c>
    </row>
    <row r="1105" ht="14.25" customHeight="1" spans="1:45">
      <c r="A1105" s="3" t="str">
        <f>IF(对接源_01水果!$C1105="","",对接源_01水果!$C1105)</f>
        <v/>
      </c>
      <c r="B1105" s="3">
        <f t="shared" si="298"/>
        <v>0</v>
      </c>
      <c r="C1105" s="3">
        <f t="shared" si="299"/>
        <v>18</v>
      </c>
      <c r="K1105" s="3">
        <f>IF(OR($K$1="",对接源_01水果!$C1105="",对接源_01水果!$C1105&lt;&gt;$K$1,对接源_01水果!$B1105=""),0,IF(OR(N(对接源_01水果!$B1105)&lt;$K$2,N(对接源_01水果!$B1105)&gt;$K$3),0,1))</f>
        <v>0</v>
      </c>
      <c r="L1105" s="3">
        <f>IF(OR($L$1="",对接源_01水果!$C1105="",对接源_01水果!$C1105&lt;&gt;$L$1,对接源_01水果!$B1105=""),0,IF(OR(N(对接源_01水果!$B1105)&lt;$L$2,N(对接源_01水果!$B1105)&gt;$L$3),0,1))</f>
        <v>0</v>
      </c>
      <c r="M1105" s="3">
        <f>IF(OR($M$1="",对接源_01水果!$C1105="",对接源_01水果!$C1105&lt;&gt;$M$1,对接源_01水果!$B1105=""),0,IF(OR(N(对接源_01水果!$B1105)&lt;$M$2,N(对接源_01水果!$B1105)&gt;$M$3),0,1))</f>
        <v>0</v>
      </c>
      <c r="N1105" s="3">
        <f>IF(OR($N$1="",对接源_01水果!$C1105="",对接源_01水果!$C1105&lt;&gt;$N$1,对接源_01水果!$B1105=""),0,IF(OR(N(对接源_01水果!$B1105)&lt;$N$2,N(对接源_01水果!$B1105)&gt;$N$3),0,1))</f>
        <v>0</v>
      </c>
      <c r="P1105" s="3">
        <f>IF(AND($K1105=1,AND(对接源_01水果!$X1105="公司筐",N(对接源_01水果!$T1105)&lt;&gt;0)),1,0)</f>
        <v>0</v>
      </c>
      <c r="Q1105" s="3">
        <f t="shared" si="300"/>
        <v>0</v>
      </c>
      <c r="R1105" s="3">
        <f>IF(AND($K1105=1,AND(对接源_01水果!$X1105="公司筐",N(对接源_01水果!$U1105)&lt;&gt;0)),1,0)</f>
        <v>0</v>
      </c>
      <c r="S1105" s="3">
        <f t="shared" si="301"/>
        <v>0</v>
      </c>
      <c r="T1105" s="3">
        <f>IF(AND($K1105=1,AND(对接源_01水果!$X1105="公司筐",N(对接源_01水果!$V1105)&lt;&gt;0)),1,0)</f>
        <v>0</v>
      </c>
      <c r="U1105" s="3">
        <f t="shared" si="302"/>
        <v>19</v>
      </c>
      <c r="V1105" s="3">
        <f>IF(AND($L1105=1,AND(对接源_01水果!$X1105="自备筐",N(对接源_01水果!$V1105)&lt;&gt;0)),1,0)</f>
        <v>0</v>
      </c>
      <c r="W1105" s="3">
        <f t="shared" si="303"/>
        <v>8</v>
      </c>
      <c r="X1105" s="3">
        <f>IF(AND($L1105=1,AND(对接源_01水果!$X1105="自备筐",N(对接源_01水果!$T1105)&lt;&gt;0)),1,0)</f>
        <v>0</v>
      </c>
      <c r="Y1105" s="3">
        <f t="shared" si="304"/>
        <v>0</v>
      </c>
      <c r="Z1105" s="3">
        <f>IF(AND($M1105=1,对接源_01水果!$D1105="原料入库"),1,0)</f>
        <v>0</v>
      </c>
      <c r="AA1105" s="3">
        <f t="shared" si="305"/>
        <v>24</v>
      </c>
      <c r="AB1105" s="3">
        <f>IF(AND($M1105=1,LEFT(对接源_01水果!$D1105,4)="原料出库"),1,0)</f>
        <v>0</v>
      </c>
      <c r="AC1105" s="3">
        <f t="shared" si="306"/>
        <v>0</v>
      </c>
      <c r="AD1105" s="3">
        <f>IF(AND($M1105=1,LEFT(对接源_01水果!$D1105,4)="成品出库"),1,0)</f>
        <v>0</v>
      </c>
      <c r="AE1105" s="3">
        <f t="shared" si="307"/>
        <v>0</v>
      </c>
      <c r="AF1105" s="3">
        <f>IF(AND($N1105=1,AND(LEFT(对接源_01水果!$D1105,4)="包装物料",N(对接源_01水果!$K1105)&lt;&gt;0)),1,0)</f>
        <v>0</v>
      </c>
      <c r="AG1105" s="3">
        <f t="shared" si="308"/>
        <v>0</v>
      </c>
      <c r="AH1105" s="3">
        <f>IF(AND($N1105=1,AND(对接源_01水果!$D1105="周转筐－销售出库",N(对接源_01水果!$K1105)&lt;&gt;0)),1,0)</f>
        <v>0</v>
      </c>
      <c r="AI1105" s="3">
        <f t="shared" si="309"/>
        <v>0</v>
      </c>
      <c r="AJ1105" s="7"/>
      <c r="AL1105" s="3">
        <f>IF(OR($AL$1="",对接源_01水果!$Y1105="",对接源_01水果!$Y1105&lt;&gt;$AL$1,对接源_01水果!$B1105="",N(对接源_01水果!$AJ1105)&lt;=0),0,IF(OR(N(对接源_01水果!$B1105)&lt;$AL$2,N(对接源_01水果!$B1105)&gt;$AL$3),0,1))</f>
        <v>0</v>
      </c>
      <c r="AM1105" s="3">
        <f t="shared" si="310"/>
        <v>1</v>
      </c>
      <c r="AN1105" s="3" t="str">
        <f>IF(对接源_01水果!$AC1105="","",对接源_01水果!$AC1105)</f>
        <v/>
      </c>
      <c r="AO1105" s="3">
        <f t="shared" si="311"/>
        <v>0</v>
      </c>
      <c r="AP1105" s="3">
        <f t="shared" si="312"/>
        <v>8</v>
      </c>
      <c r="AR1105">
        <f t="shared" si="313"/>
        <v>0</v>
      </c>
      <c r="AS1105">
        <f t="shared" si="314"/>
        <v>0</v>
      </c>
    </row>
    <row r="1106" ht="14.25" customHeight="1" spans="1:45">
      <c r="A1106" s="3" t="str">
        <f>IF(对接源_01水果!$C1106="","",对接源_01水果!$C1106)</f>
        <v/>
      </c>
      <c r="B1106" s="3">
        <f t="shared" si="298"/>
        <v>0</v>
      </c>
      <c r="C1106" s="3">
        <f t="shared" si="299"/>
        <v>18</v>
      </c>
      <c r="K1106" s="3">
        <f>IF(OR($K$1="",对接源_01水果!$C1106="",对接源_01水果!$C1106&lt;&gt;$K$1,对接源_01水果!$B1106=""),0,IF(OR(N(对接源_01水果!$B1106)&lt;$K$2,N(对接源_01水果!$B1106)&gt;$K$3),0,1))</f>
        <v>0</v>
      </c>
      <c r="L1106" s="3">
        <f>IF(OR($L$1="",对接源_01水果!$C1106="",对接源_01水果!$C1106&lt;&gt;$L$1,对接源_01水果!$B1106=""),0,IF(OR(N(对接源_01水果!$B1106)&lt;$L$2,N(对接源_01水果!$B1106)&gt;$L$3),0,1))</f>
        <v>0</v>
      </c>
      <c r="M1106" s="3">
        <f>IF(OR($M$1="",对接源_01水果!$C1106="",对接源_01水果!$C1106&lt;&gt;$M$1,对接源_01水果!$B1106=""),0,IF(OR(N(对接源_01水果!$B1106)&lt;$M$2,N(对接源_01水果!$B1106)&gt;$M$3),0,1))</f>
        <v>0</v>
      </c>
      <c r="N1106" s="3">
        <f>IF(OR($N$1="",对接源_01水果!$C1106="",对接源_01水果!$C1106&lt;&gt;$N$1,对接源_01水果!$B1106=""),0,IF(OR(N(对接源_01水果!$B1106)&lt;$N$2,N(对接源_01水果!$B1106)&gt;$N$3),0,1))</f>
        <v>0</v>
      </c>
      <c r="P1106" s="3">
        <f>IF(AND($K1106=1,AND(对接源_01水果!$X1106="公司筐",N(对接源_01水果!$T1106)&lt;&gt;0)),1,0)</f>
        <v>0</v>
      </c>
      <c r="Q1106" s="3">
        <f t="shared" si="300"/>
        <v>0</v>
      </c>
      <c r="R1106" s="3">
        <f>IF(AND($K1106=1,AND(对接源_01水果!$X1106="公司筐",N(对接源_01水果!$U1106)&lt;&gt;0)),1,0)</f>
        <v>0</v>
      </c>
      <c r="S1106" s="3">
        <f t="shared" si="301"/>
        <v>0</v>
      </c>
      <c r="T1106" s="3">
        <f>IF(AND($K1106=1,AND(对接源_01水果!$X1106="公司筐",N(对接源_01水果!$V1106)&lt;&gt;0)),1,0)</f>
        <v>0</v>
      </c>
      <c r="U1106" s="3">
        <f t="shared" si="302"/>
        <v>19</v>
      </c>
      <c r="V1106" s="3">
        <f>IF(AND($L1106=1,AND(对接源_01水果!$X1106="自备筐",N(对接源_01水果!$V1106)&lt;&gt;0)),1,0)</f>
        <v>0</v>
      </c>
      <c r="W1106" s="3">
        <f t="shared" si="303"/>
        <v>8</v>
      </c>
      <c r="X1106" s="3">
        <f>IF(AND($L1106=1,AND(对接源_01水果!$X1106="自备筐",N(对接源_01水果!$T1106)&lt;&gt;0)),1,0)</f>
        <v>0</v>
      </c>
      <c r="Y1106" s="3">
        <f t="shared" si="304"/>
        <v>0</v>
      </c>
      <c r="Z1106" s="3">
        <f>IF(AND($M1106=1,对接源_01水果!$D1106="原料入库"),1,0)</f>
        <v>0</v>
      </c>
      <c r="AA1106" s="3">
        <f t="shared" si="305"/>
        <v>24</v>
      </c>
      <c r="AB1106" s="3">
        <f>IF(AND($M1106=1,LEFT(对接源_01水果!$D1106,4)="原料出库"),1,0)</f>
        <v>0</v>
      </c>
      <c r="AC1106" s="3">
        <f t="shared" si="306"/>
        <v>0</v>
      </c>
      <c r="AD1106" s="3">
        <f>IF(AND($M1106=1,LEFT(对接源_01水果!$D1106,4)="成品出库"),1,0)</f>
        <v>0</v>
      </c>
      <c r="AE1106" s="3">
        <f t="shared" si="307"/>
        <v>0</v>
      </c>
      <c r="AF1106" s="3">
        <f>IF(AND($N1106=1,AND(LEFT(对接源_01水果!$D1106,4)="包装物料",N(对接源_01水果!$K1106)&lt;&gt;0)),1,0)</f>
        <v>0</v>
      </c>
      <c r="AG1106" s="3">
        <f t="shared" si="308"/>
        <v>0</v>
      </c>
      <c r="AH1106" s="3">
        <f>IF(AND($N1106=1,AND(对接源_01水果!$D1106="周转筐－销售出库",N(对接源_01水果!$K1106)&lt;&gt;0)),1,0)</f>
        <v>0</v>
      </c>
      <c r="AI1106" s="3">
        <f t="shared" si="309"/>
        <v>0</v>
      </c>
      <c r="AJ1106" s="7"/>
      <c r="AL1106" s="3">
        <f>IF(OR($AL$1="",对接源_01水果!$Y1106="",对接源_01水果!$Y1106&lt;&gt;$AL$1,对接源_01水果!$B1106="",N(对接源_01水果!$AJ1106)&lt;=0),0,IF(OR(N(对接源_01水果!$B1106)&lt;$AL$2,N(对接源_01水果!$B1106)&gt;$AL$3),0,1))</f>
        <v>0</v>
      </c>
      <c r="AM1106" s="3">
        <f t="shared" si="310"/>
        <v>1</v>
      </c>
      <c r="AN1106" s="3" t="str">
        <f>IF(对接源_01水果!$AC1106="","",对接源_01水果!$AC1106)</f>
        <v/>
      </c>
      <c r="AO1106" s="3">
        <f t="shared" si="311"/>
        <v>0</v>
      </c>
      <c r="AP1106" s="3">
        <f t="shared" si="312"/>
        <v>8</v>
      </c>
      <c r="AR1106">
        <f t="shared" si="313"/>
        <v>0</v>
      </c>
      <c r="AS1106">
        <f t="shared" si="314"/>
        <v>0</v>
      </c>
    </row>
    <row r="1107" ht="14.25" customHeight="1" spans="1:45">
      <c r="A1107" s="3" t="str">
        <f>IF(对接源_01水果!$C1107="","",对接源_01水果!$C1107)</f>
        <v/>
      </c>
      <c r="B1107" s="3">
        <f t="shared" si="298"/>
        <v>0</v>
      </c>
      <c r="C1107" s="3">
        <f t="shared" si="299"/>
        <v>18</v>
      </c>
      <c r="K1107" s="3">
        <f>IF(OR($K$1="",对接源_01水果!$C1107="",对接源_01水果!$C1107&lt;&gt;$K$1,对接源_01水果!$B1107=""),0,IF(OR(N(对接源_01水果!$B1107)&lt;$K$2,N(对接源_01水果!$B1107)&gt;$K$3),0,1))</f>
        <v>0</v>
      </c>
      <c r="L1107" s="3">
        <f>IF(OR($L$1="",对接源_01水果!$C1107="",对接源_01水果!$C1107&lt;&gt;$L$1,对接源_01水果!$B1107=""),0,IF(OR(N(对接源_01水果!$B1107)&lt;$L$2,N(对接源_01水果!$B1107)&gt;$L$3),0,1))</f>
        <v>0</v>
      </c>
      <c r="M1107" s="3">
        <f>IF(OR($M$1="",对接源_01水果!$C1107="",对接源_01水果!$C1107&lt;&gt;$M$1,对接源_01水果!$B1107=""),0,IF(OR(N(对接源_01水果!$B1107)&lt;$M$2,N(对接源_01水果!$B1107)&gt;$M$3),0,1))</f>
        <v>0</v>
      </c>
      <c r="N1107" s="3">
        <f>IF(OR($N$1="",对接源_01水果!$C1107="",对接源_01水果!$C1107&lt;&gt;$N$1,对接源_01水果!$B1107=""),0,IF(OR(N(对接源_01水果!$B1107)&lt;$N$2,N(对接源_01水果!$B1107)&gt;$N$3),0,1))</f>
        <v>0</v>
      </c>
      <c r="P1107" s="3">
        <f>IF(AND($K1107=1,AND(对接源_01水果!$X1107="公司筐",N(对接源_01水果!$T1107)&lt;&gt;0)),1,0)</f>
        <v>0</v>
      </c>
      <c r="Q1107" s="3">
        <f t="shared" si="300"/>
        <v>0</v>
      </c>
      <c r="R1107" s="3">
        <f>IF(AND($K1107=1,AND(对接源_01水果!$X1107="公司筐",N(对接源_01水果!$U1107)&lt;&gt;0)),1,0)</f>
        <v>0</v>
      </c>
      <c r="S1107" s="3">
        <f t="shared" si="301"/>
        <v>0</v>
      </c>
      <c r="T1107" s="3">
        <f>IF(AND($K1107=1,AND(对接源_01水果!$X1107="公司筐",N(对接源_01水果!$V1107)&lt;&gt;0)),1,0)</f>
        <v>0</v>
      </c>
      <c r="U1107" s="3">
        <f t="shared" si="302"/>
        <v>19</v>
      </c>
      <c r="V1107" s="3">
        <f>IF(AND($L1107=1,AND(对接源_01水果!$X1107="自备筐",N(对接源_01水果!$V1107)&lt;&gt;0)),1,0)</f>
        <v>0</v>
      </c>
      <c r="W1107" s="3">
        <f t="shared" si="303"/>
        <v>8</v>
      </c>
      <c r="X1107" s="3">
        <f>IF(AND($L1107=1,AND(对接源_01水果!$X1107="自备筐",N(对接源_01水果!$T1107)&lt;&gt;0)),1,0)</f>
        <v>0</v>
      </c>
      <c r="Y1107" s="3">
        <f t="shared" si="304"/>
        <v>0</v>
      </c>
      <c r="Z1107" s="3">
        <f>IF(AND($M1107=1,对接源_01水果!$D1107="原料入库"),1,0)</f>
        <v>0</v>
      </c>
      <c r="AA1107" s="3">
        <f t="shared" si="305"/>
        <v>24</v>
      </c>
      <c r="AB1107" s="3">
        <f>IF(AND($M1107=1,LEFT(对接源_01水果!$D1107,4)="原料出库"),1,0)</f>
        <v>0</v>
      </c>
      <c r="AC1107" s="3">
        <f t="shared" si="306"/>
        <v>0</v>
      </c>
      <c r="AD1107" s="3">
        <f>IF(AND($M1107=1,LEFT(对接源_01水果!$D1107,4)="成品出库"),1,0)</f>
        <v>0</v>
      </c>
      <c r="AE1107" s="3">
        <f t="shared" si="307"/>
        <v>0</v>
      </c>
      <c r="AF1107" s="3">
        <f>IF(AND($N1107=1,AND(LEFT(对接源_01水果!$D1107,4)="包装物料",N(对接源_01水果!$K1107)&lt;&gt;0)),1,0)</f>
        <v>0</v>
      </c>
      <c r="AG1107" s="3">
        <f t="shared" si="308"/>
        <v>0</v>
      </c>
      <c r="AH1107" s="3">
        <f>IF(AND($N1107=1,AND(对接源_01水果!$D1107="周转筐－销售出库",N(对接源_01水果!$K1107)&lt;&gt;0)),1,0)</f>
        <v>0</v>
      </c>
      <c r="AI1107" s="3">
        <f t="shared" si="309"/>
        <v>0</v>
      </c>
      <c r="AJ1107" s="7"/>
      <c r="AL1107" s="3">
        <f>IF(OR($AL$1="",对接源_01水果!$Y1107="",对接源_01水果!$Y1107&lt;&gt;$AL$1,对接源_01水果!$B1107="",N(对接源_01水果!$AJ1107)&lt;=0),0,IF(OR(N(对接源_01水果!$B1107)&lt;$AL$2,N(对接源_01水果!$B1107)&gt;$AL$3),0,1))</f>
        <v>0</v>
      </c>
      <c r="AM1107" s="3">
        <f t="shared" si="310"/>
        <v>1</v>
      </c>
      <c r="AN1107" s="3" t="str">
        <f>IF(对接源_01水果!$AC1107="","",对接源_01水果!$AC1107)</f>
        <v/>
      </c>
      <c r="AO1107" s="3">
        <f t="shared" si="311"/>
        <v>0</v>
      </c>
      <c r="AP1107" s="3">
        <f t="shared" si="312"/>
        <v>8</v>
      </c>
      <c r="AR1107">
        <f t="shared" si="313"/>
        <v>0</v>
      </c>
      <c r="AS1107">
        <f t="shared" si="314"/>
        <v>0</v>
      </c>
    </row>
    <row r="1108" ht="14.25" customHeight="1" spans="1:45">
      <c r="A1108" s="3" t="str">
        <f>IF(对接源_01水果!$C1108="","",对接源_01水果!$C1108)</f>
        <v/>
      </c>
      <c r="B1108" s="3">
        <f t="shared" si="298"/>
        <v>0</v>
      </c>
      <c r="C1108" s="3">
        <f t="shared" si="299"/>
        <v>18</v>
      </c>
      <c r="K1108" s="3">
        <f>IF(OR($K$1="",对接源_01水果!$C1108="",对接源_01水果!$C1108&lt;&gt;$K$1,对接源_01水果!$B1108=""),0,IF(OR(N(对接源_01水果!$B1108)&lt;$K$2,N(对接源_01水果!$B1108)&gt;$K$3),0,1))</f>
        <v>0</v>
      </c>
      <c r="L1108" s="3">
        <f>IF(OR($L$1="",对接源_01水果!$C1108="",对接源_01水果!$C1108&lt;&gt;$L$1,对接源_01水果!$B1108=""),0,IF(OR(N(对接源_01水果!$B1108)&lt;$L$2,N(对接源_01水果!$B1108)&gt;$L$3),0,1))</f>
        <v>0</v>
      </c>
      <c r="M1108" s="3">
        <f>IF(OR($M$1="",对接源_01水果!$C1108="",对接源_01水果!$C1108&lt;&gt;$M$1,对接源_01水果!$B1108=""),0,IF(OR(N(对接源_01水果!$B1108)&lt;$M$2,N(对接源_01水果!$B1108)&gt;$M$3),0,1))</f>
        <v>0</v>
      </c>
      <c r="N1108" s="3">
        <f>IF(OR($N$1="",对接源_01水果!$C1108="",对接源_01水果!$C1108&lt;&gt;$N$1,对接源_01水果!$B1108=""),0,IF(OR(N(对接源_01水果!$B1108)&lt;$N$2,N(对接源_01水果!$B1108)&gt;$N$3),0,1))</f>
        <v>0</v>
      </c>
      <c r="P1108" s="3">
        <f>IF(AND($K1108=1,AND(对接源_01水果!$X1108="公司筐",N(对接源_01水果!$T1108)&lt;&gt;0)),1,0)</f>
        <v>0</v>
      </c>
      <c r="Q1108" s="3">
        <f t="shared" si="300"/>
        <v>0</v>
      </c>
      <c r="R1108" s="3">
        <f>IF(AND($K1108=1,AND(对接源_01水果!$X1108="公司筐",N(对接源_01水果!$U1108)&lt;&gt;0)),1,0)</f>
        <v>0</v>
      </c>
      <c r="S1108" s="3">
        <f t="shared" si="301"/>
        <v>0</v>
      </c>
      <c r="T1108" s="3">
        <f>IF(AND($K1108=1,AND(对接源_01水果!$X1108="公司筐",N(对接源_01水果!$V1108)&lt;&gt;0)),1,0)</f>
        <v>0</v>
      </c>
      <c r="U1108" s="3">
        <f t="shared" si="302"/>
        <v>19</v>
      </c>
      <c r="V1108" s="3">
        <f>IF(AND($L1108=1,AND(对接源_01水果!$X1108="自备筐",N(对接源_01水果!$V1108)&lt;&gt;0)),1,0)</f>
        <v>0</v>
      </c>
      <c r="W1108" s="3">
        <f t="shared" si="303"/>
        <v>8</v>
      </c>
      <c r="X1108" s="3">
        <f>IF(AND($L1108=1,AND(对接源_01水果!$X1108="自备筐",N(对接源_01水果!$T1108)&lt;&gt;0)),1,0)</f>
        <v>0</v>
      </c>
      <c r="Y1108" s="3">
        <f t="shared" si="304"/>
        <v>0</v>
      </c>
      <c r="Z1108" s="3">
        <f>IF(AND($M1108=1,对接源_01水果!$D1108="原料入库"),1,0)</f>
        <v>0</v>
      </c>
      <c r="AA1108" s="3">
        <f t="shared" si="305"/>
        <v>24</v>
      </c>
      <c r="AB1108" s="3">
        <f>IF(AND($M1108=1,LEFT(对接源_01水果!$D1108,4)="原料出库"),1,0)</f>
        <v>0</v>
      </c>
      <c r="AC1108" s="3">
        <f t="shared" si="306"/>
        <v>0</v>
      </c>
      <c r="AD1108" s="3">
        <f>IF(AND($M1108=1,LEFT(对接源_01水果!$D1108,4)="成品出库"),1,0)</f>
        <v>0</v>
      </c>
      <c r="AE1108" s="3">
        <f t="shared" si="307"/>
        <v>0</v>
      </c>
      <c r="AF1108" s="3">
        <f>IF(AND($N1108=1,AND(LEFT(对接源_01水果!$D1108,4)="包装物料",N(对接源_01水果!$K1108)&lt;&gt;0)),1,0)</f>
        <v>0</v>
      </c>
      <c r="AG1108" s="3">
        <f t="shared" si="308"/>
        <v>0</v>
      </c>
      <c r="AH1108" s="3">
        <f>IF(AND($N1108=1,AND(对接源_01水果!$D1108="周转筐－销售出库",N(对接源_01水果!$K1108)&lt;&gt;0)),1,0)</f>
        <v>0</v>
      </c>
      <c r="AI1108" s="3">
        <f t="shared" si="309"/>
        <v>0</v>
      </c>
      <c r="AJ1108" s="7"/>
      <c r="AL1108" s="3">
        <f>IF(OR($AL$1="",对接源_01水果!$Y1108="",对接源_01水果!$Y1108&lt;&gt;$AL$1,对接源_01水果!$B1108="",N(对接源_01水果!$AJ1108)&lt;=0),0,IF(OR(N(对接源_01水果!$B1108)&lt;$AL$2,N(对接源_01水果!$B1108)&gt;$AL$3),0,1))</f>
        <v>0</v>
      </c>
      <c r="AM1108" s="3">
        <f t="shared" si="310"/>
        <v>1</v>
      </c>
      <c r="AN1108" s="3" t="str">
        <f>IF(对接源_01水果!$AC1108="","",对接源_01水果!$AC1108)</f>
        <v/>
      </c>
      <c r="AO1108" s="3">
        <f t="shared" si="311"/>
        <v>0</v>
      </c>
      <c r="AP1108" s="3">
        <f t="shared" si="312"/>
        <v>8</v>
      </c>
      <c r="AR1108">
        <f t="shared" si="313"/>
        <v>0</v>
      </c>
      <c r="AS1108">
        <f t="shared" si="314"/>
        <v>0</v>
      </c>
    </row>
    <row r="1109" ht="14.25" customHeight="1" spans="1:45">
      <c r="A1109" s="3" t="str">
        <f>IF(对接源_01水果!$C1109="","",对接源_01水果!$C1109)</f>
        <v/>
      </c>
      <c r="B1109" s="3">
        <f t="shared" si="298"/>
        <v>0</v>
      </c>
      <c r="C1109" s="3">
        <f t="shared" si="299"/>
        <v>18</v>
      </c>
      <c r="K1109" s="3">
        <f>IF(OR($K$1="",对接源_01水果!$C1109="",对接源_01水果!$C1109&lt;&gt;$K$1,对接源_01水果!$B1109=""),0,IF(OR(N(对接源_01水果!$B1109)&lt;$K$2,N(对接源_01水果!$B1109)&gt;$K$3),0,1))</f>
        <v>0</v>
      </c>
      <c r="L1109" s="3">
        <f>IF(OR($L$1="",对接源_01水果!$C1109="",对接源_01水果!$C1109&lt;&gt;$L$1,对接源_01水果!$B1109=""),0,IF(OR(N(对接源_01水果!$B1109)&lt;$L$2,N(对接源_01水果!$B1109)&gt;$L$3),0,1))</f>
        <v>0</v>
      </c>
      <c r="M1109" s="3">
        <f>IF(OR($M$1="",对接源_01水果!$C1109="",对接源_01水果!$C1109&lt;&gt;$M$1,对接源_01水果!$B1109=""),0,IF(OR(N(对接源_01水果!$B1109)&lt;$M$2,N(对接源_01水果!$B1109)&gt;$M$3),0,1))</f>
        <v>0</v>
      </c>
      <c r="N1109" s="3">
        <f>IF(OR($N$1="",对接源_01水果!$C1109="",对接源_01水果!$C1109&lt;&gt;$N$1,对接源_01水果!$B1109=""),0,IF(OR(N(对接源_01水果!$B1109)&lt;$N$2,N(对接源_01水果!$B1109)&gt;$N$3),0,1))</f>
        <v>0</v>
      </c>
      <c r="P1109" s="3">
        <f>IF(AND($K1109=1,AND(对接源_01水果!$X1109="公司筐",N(对接源_01水果!$T1109)&lt;&gt;0)),1,0)</f>
        <v>0</v>
      </c>
      <c r="Q1109" s="3">
        <f t="shared" si="300"/>
        <v>0</v>
      </c>
      <c r="R1109" s="3">
        <f>IF(AND($K1109=1,AND(对接源_01水果!$X1109="公司筐",N(对接源_01水果!$U1109)&lt;&gt;0)),1,0)</f>
        <v>0</v>
      </c>
      <c r="S1109" s="3">
        <f t="shared" si="301"/>
        <v>0</v>
      </c>
      <c r="T1109" s="3">
        <f>IF(AND($K1109=1,AND(对接源_01水果!$X1109="公司筐",N(对接源_01水果!$V1109)&lt;&gt;0)),1,0)</f>
        <v>0</v>
      </c>
      <c r="U1109" s="3">
        <f t="shared" si="302"/>
        <v>19</v>
      </c>
      <c r="V1109" s="3">
        <f>IF(AND($L1109=1,AND(对接源_01水果!$X1109="自备筐",N(对接源_01水果!$V1109)&lt;&gt;0)),1,0)</f>
        <v>0</v>
      </c>
      <c r="W1109" s="3">
        <f t="shared" si="303"/>
        <v>8</v>
      </c>
      <c r="X1109" s="3">
        <f>IF(AND($L1109=1,AND(对接源_01水果!$X1109="自备筐",N(对接源_01水果!$T1109)&lt;&gt;0)),1,0)</f>
        <v>0</v>
      </c>
      <c r="Y1109" s="3">
        <f t="shared" si="304"/>
        <v>0</v>
      </c>
      <c r="Z1109" s="3">
        <f>IF(AND($M1109=1,对接源_01水果!$D1109="原料入库"),1,0)</f>
        <v>0</v>
      </c>
      <c r="AA1109" s="3">
        <f t="shared" si="305"/>
        <v>24</v>
      </c>
      <c r="AB1109" s="3">
        <f>IF(AND($M1109=1,LEFT(对接源_01水果!$D1109,4)="原料出库"),1,0)</f>
        <v>0</v>
      </c>
      <c r="AC1109" s="3">
        <f t="shared" si="306"/>
        <v>0</v>
      </c>
      <c r="AD1109" s="3">
        <f>IF(AND($M1109=1,LEFT(对接源_01水果!$D1109,4)="成品出库"),1,0)</f>
        <v>0</v>
      </c>
      <c r="AE1109" s="3">
        <f t="shared" si="307"/>
        <v>0</v>
      </c>
      <c r="AF1109" s="3">
        <f>IF(AND($N1109=1,AND(LEFT(对接源_01水果!$D1109,4)="包装物料",N(对接源_01水果!$K1109)&lt;&gt;0)),1,0)</f>
        <v>0</v>
      </c>
      <c r="AG1109" s="3">
        <f t="shared" si="308"/>
        <v>0</v>
      </c>
      <c r="AH1109" s="3">
        <f>IF(AND($N1109=1,AND(对接源_01水果!$D1109="周转筐－销售出库",N(对接源_01水果!$K1109)&lt;&gt;0)),1,0)</f>
        <v>0</v>
      </c>
      <c r="AI1109" s="3">
        <f t="shared" si="309"/>
        <v>0</v>
      </c>
      <c r="AJ1109" s="7"/>
      <c r="AL1109" s="3">
        <f>IF(OR($AL$1="",对接源_01水果!$Y1109="",对接源_01水果!$Y1109&lt;&gt;$AL$1,对接源_01水果!$B1109="",N(对接源_01水果!$AJ1109)&lt;=0),0,IF(OR(N(对接源_01水果!$B1109)&lt;$AL$2,N(对接源_01水果!$B1109)&gt;$AL$3),0,1))</f>
        <v>0</v>
      </c>
      <c r="AM1109" s="3">
        <f t="shared" si="310"/>
        <v>1</v>
      </c>
      <c r="AN1109" s="3" t="str">
        <f>IF(对接源_01水果!$AC1109="","",对接源_01水果!$AC1109)</f>
        <v/>
      </c>
      <c r="AO1109" s="3">
        <f t="shared" si="311"/>
        <v>0</v>
      </c>
      <c r="AP1109" s="3">
        <f t="shared" si="312"/>
        <v>8</v>
      </c>
      <c r="AR1109">
        <f t="shared" si="313"/>
        <v>0</v>
      </c>
      <c r="AS1109">
        <f t="shared" si="314"/>
        <v>0</v>
      </c>
    </row>
    <row r="1110" ht="14.25" customHeight="1" spans="1:45">
      <c r="A1110" s="3" t="str">
        <f>IF(对接源_01水果!$C1110="","",对接源_01水果!$C1110)</f>
        <v/>
      </c>
      <c r="B1110" s="3">
        <f t="shared" si="298"/>
        <v>0</v>
      </c>
      <c r="C1110" s="3">
        <f t="shared" si="299"/>
        <v>18</v>
      </c>
      <c r="K1110" s="3">
        <f>IF(OR($K$1="",对接源_01水果!$C1110="",对接源_01水果!$C1110&lt;&gt;$K$1,对接源_01水果!$B1110=""),0,IF(OR(N(对接源_01水果!$B1110)&lt;$K$2,N(对接源_01水果!$B1110)&gt;$K$3),0,1))</f>
        <v>0</v>
      </c>
      <c r="L1110" s="3">
        <f>IF(OR($L$1="",对接源_01水果!$C1110="",对接源_01水果!$C1110&lt;&gt;$L$1,对接源_01水果!$B1110=""),0,IF(OR(N(对接源_01水果!$B1110)&lt;$L$2,N(对接源_01水果!$B1110)&gt;$L$3),0,1))</f>
        <v>0</v>
      </c>
      <c r="M1110" s="3">
        <f>IF(OR($M$1="",对接源_01水果!$C1110="",对接源_01水果!$C1110&lt;&gt;$M$1,对接源_01水果!$B1110=""),0,IF(OR(N(对接源_01水果!$B1110)&lt;$M$2,N(对接源_01水果!$B1110)&gt;$M$3),0,1))</f>
        <v>0</v>
      </c>
      <c r="N1110" s="3">
        <f>IF(OR($N$1="",对接源_01水果!$C1110="",对接源_01水果!$C1110&lt;&gt;$N$1,对接源_01水果!$B1110=""),0,IF(OR(N(对接源_01水果!$B1110)&lt;$N$2,N(对接源_01水果!$B1110)&gt;$N$3),0,1))</f>
        <v>0</v>
      </c>
      <c r="P1110" s="3">
        <f>IF(AND($K1110=1,AND(对接源_01水果!$X1110="公司筐",N(对接源_01水果!$T1110)&lt;&gt;0)),1,0)</f>
        <v>0</v>
      </c>
      <c r="Q1110" s="3">
        <f t="shared" si="300"/>
        <v>0</v>
      </c>
      <c r="R1110" s="3">
        <f>IF(AND($K1110=1,AND(对接源_01水果!$X1110="公司筐",N(对接源_01水果!$U1110)&lt;&gt;0)),1,0)</f>
        <v>0</v>
      </c>
      <c r="S1110" s="3">
        <f t="shared" si="301"/>
        <v>0</v>
      </c>
      <c r="T1110" s="3">
        <f>IF(AND($K1110=1,AND(对接源_01水果!$X1110="公司筐",N(对接源_01水果!$V1110)&lt;&gt;0)),1,0)</f>
        <v>0</v>
      </c>
      <c r="U1110" s="3">
        <f t="shared" si="302"/>
        <v>19</v>
      </c>
      <c r="V1110" s="3">
        <f>IF(AND($L1110=1,AND(对接源_01水果!$X1110="自备筐",N(对接源_01水果!$V1110)&lt;&gt;0)),1,0)</f>
        <v>0</v>
      </c>
      <c r="W1110" s="3">
        <f t="shared" si="303"/>
        <v>8</v>
      </c>
      <c r="X1110" s="3">
        <f>IF(AND($L1110=1,AND(对接源_01水果!$X1110="自备筐",N(对接源_01水果!$T1110)&lt;&gt;0)),1,0)</f>
        <v>0</v>
      </c>
      <c r="Y1110" s="3">
        <f t="shared" si="304"/>
        <v>0</v>
      </c>
      <c r="Z1110" s="3">
        <f>IF(AND($M1110=1,对接源_01水果!$D1110="原料入库"),1,0)</f>
        <v>0</v>
      </c>
      <c r="AA1110" s="3">
        <f t="shared" si="305"/>
        <v>24</v>
      </c>
      <c r="AB1110" s="3">
        <f>IF(AND($M1110=1,LEFT(对接源_01水果!$D1110,4)="原料出库"),1,0)</f>
        <v>0</v>
      </c>
      <c r="AC1110" s="3">
        <f t="shared" si="306"/>
        <v>0</v>
      </c>
      <c r="AD1110" s="3">
        <f>IF(AND($M1110=1,LEFT(对接源_01水果!$D1110,4)="成品出库"),1,0)</f>
        <v>0</v>
      </c>
      <c r="AE1110" s="3">
        <f t="shared" si="307"/>
        <v>0</v>
      </c>
      <c r="AF1110" s="3">
        <f>IF(AND($N1110=1,AND(LEFT(对接源_01水果!$D1110,4)="包装物料",N(对接源_01水果!$K1110)&lt;&gt;0)),1,0)</f>
        <v>0</v>
      </c>
      <c r="AG1110" s="3">
        <f t="shared" si="308"/>
        <v>0</v>
      </c>
      <c r="AH1110" s="3">
        <f>IF(AND($N1110=1,AND(对接源_01水果!$D1110="周转筐－销售出库",N(对接源_01水果!$K1110)&lt;&gt;0)),1,0)</f>
        <v>0</v>
      </c>
      <c r="AI1110" s="3">
        <f t="shared" si="309"/>
        <v>0</v>
      </c>
      <c r="AJ1110" s="7"/>
      <c r="AL1110" s="3">
        <f>IF(OR($AL$1="",对接源_01水果!$Y1110="",对接源_01水果!$Y1110&lt;&gt;$AL$1,对接源_01水果!$B1110="",N(对接源_01水果!$AJ1110)&lt;=0),0,IF(OR(N(对接源_01水果!$B1110)&lt;$AL$2,N(对接源_01水果!$B1110)&gt;$AL$3),0,1))</f>
        <v>0</v>
      </c>
      <c r="AM1110" s="3">
        <f t="shared" si="310"/>
        <v>1</v>
      </c>
      <c r="AN1110" s="3" t="str">
        <f>IF(对接源_01水果!$AC1110="","",对接源_01水果!$AC1110)</f>
        <v/>
      </c>
      <c r="AO1110" s="3">
        <f t="shared" si="311"/>
        <v>0</v>
      </c>
      <c r="AP1110" s="3">
        <f t="shared" si="312"/>
        <v>8</v>
      </c>
      <c r="AR1110">
        <f t="shared" si="313"/>
        <v>0</v>
      </c>
      <c r="AS1110">
        <f t="shared" si="314"/>
        <v>0</v>
      </c>
    </row>
    <row r="1111" ht="14.25" customHeight="1" spans="1:45">
      <c r="A1111" s="3" t="str">
        <f>IF(对接源_01水果!$C1111="","",对接源_01水果!$C1111)</f>
        <v/>
      </c>
      <c r="B1111" s="3">
        <f t="shared" si="298"/>
        <v>0</v>
      </c>
      <c r="C1111" s="3">
        <f t="shared" si="299"/>
        <v>18</v>
      </c>
      <c r="K1111" s="3">
        <f>IF(OR($K$1="",对接源_01水果!$C1111="",对接源_01水果!$C1111&lt;&gt;$K$1,对接源_01水果!$B1111=""),0,IF(OR(N(对接源_01水果!$B1111)&lt;$K$2,N(对接源_01水果!$B1111)&gt;$K$3),0,1))</f>
        <v>0</v>
      </c>
      <c r="L1111" s="3">
        <f>IF(OR($L$1="",对接源_01水果!$C1111="",对接源_01水果!$C1111&lt;&gt;$L$1,对接源_01水果!$B1111=""),0,IF(OR(N(对接源_01水果!$B1111)&lt;$L$2,N(对接源_01水果!$B1111)&gt;$L$3),0,1))</f>
        <v>0</v>
      </c>
      <c r="M1111" s="3">
        <f>IF(OR($M$1="",对接源_01水果!$C1111="",对接源_01水果!$C1111&lt;&gt;$M$1,对接源_01水果!$B1111=""),0,IF(OR(N(对接源_01水果!$B1111)&lt;$M$2,N(对接源_01水果!$B1111)&gt;$M$3),0,1))</f>
        <v>0</v>
      </c>
      <c r="N1111" s="3">
        <f>IF(OR($N$1="",对接源_01水果!$C1111="",对接源_01水果!$C1111&lt;&gt;$N$1,对接源_01水果!$B1111=""),0,IF(OR(N(对接源_01水果!$B1111)&lt;$N$2,N(对接源_01水果!$B1111)&gt;$N$3),0,1))</f>
        <v>0</v>
      </c>
      <c r="P1111" s="3">
        <f>IF(AND($K1111=1,AND(对接源_01水果!$X1111="公司筐",N(对接源_01水果!$T1111)&lt;&gt;0)),1,0)</f>
        <v>0</v>
      </c>
      <c r="Q1111" s="3">
        <f t="shared" si="300"/>
        <v>0</v>
      </c>
      <c r="R1111" s="3">
        <f>IF(AND($K1111=1,AND(对接源_01水果!$X1111="公司筐",N(对接源_01水果!$U1111)&lt;&gt;0)),1,0)</f>
        <v>0</v>
      </c>
      <c r="S1111" s="3">
        <f t="shared" si="301"/>
        <v>0</v>
      </c>
      <c r="T1111" s="3">
        <f>IF(AND($K1111=1,AND(对接源_01水果!$X1111="公司筐",N(对接源_01水果!$V1111)&lt;&gt;0)),1,0)</f>
        <v>0</v>
      </c>
      <c r="U1111" s="3">
        <f t="shared" si="302"/>
        <v>19</v>
      </c>
      <c r="V1111" s="3">
        <f>IF(AND($L1111=1,AND(对接源_01水果!$X1111="自备筐",N(对接源_01水果!$V1111)&lt;&gt;0)),1,0)</f>
        <v>0</v>
      </c>
      <c r="W1111" s="3">
        <f t="shared" si="303"/>
        <v>8</v>
      </c>
      <c r="X1111" s="3">
        <f>IF(AND($L1111=1,AND(对接源_01水果!$X1111="自备筐",N(对接源_01水果!$T1111)&lt;&gt;0)),1,0)</f>
        <v>0</v>
      </c>
      <c r="Y1111" s="3">
        <f t="shared" si="304"/>
        <v>0</v>
      </c>
      <c r="Z1111" s="3">
        <f>IF(AND($M1111=1,对接源_01水果!$D1111="原料入库"),1,0)</f>
        <v>0</v>
      </c>
      <c r="AA1111" s="3">
        <f t="shared" si="305"/>
        <v>24</v>
      </c>
      <c r="AB1111" s="3">
        <f>IF(AND($M1111=1,LEFT(对接源_01水果!$D1111,4)="原料出库"),1,0)</f>
        <v>0</v>
      </c>
      <c r="AC1111" s="3">
        <f t="shared" si="306"/>
        <v>0</v>
      </c>
      <c r="AD1111" s="3">
        <f>IF(AND($M1111=1,LEFT(对接源_01水果!$D1111,4)="成品出库"),1,0)</f>
        <v>0</v>
      </c>
      <c r="AE1111" s="3">
        <f t="shared" si="307"/>
        <v>0</v>
      </c>
      <c r="AF1111" s="3">
        <f>IF(AND($N1111=1,AND(LEFT(对接源_01水果!$D1111,4)="包装物料",N(对接源_01水果!$K1111)&lt;&gt;0)),1,0)</f>
        <v>0</v>
      </c>
      <c r="AG1111" s="3">
        <f t="shared" si="308"/>
        <v>0</v>
      </c>
      <c r="AH1111" s="3">
        <f>IF(AND($N1111=1,AND(对接源_01水果!$D1111="周转筐－销售出库",N(对接源_01水果!$K1111)&lt;&gt;0)),1,0)</f>
        <v>0</v>
      </c>
      <c r="AI1111" s="3">
        <f t="shared" si="309"/>
        <v>0</v>
      </c>
      <c r="AJ1111" s="7"/>
      <c r="AL1111" s="3">
        <f>IF(OR($AL$1="",对接源_01水果!$Y1111="",对接源_01水果!$Y1111&lt;&gt;$AL$1,对接源_01水果!$B1111="",N(对接源_01水果!$AJ1111)&lt;=0),0,IF(OR(N(对接源_01水果!$B1111)&lt;$AL$2,N(对接源_01水果!$B1111)&gt;$AL$3),0,1))</f>
        <v>0</v>
      </c>
      <c r="AM1111" s="3">
        <f t="shared" si="310"/>
        <v>1</v>
      </c>
      <c r="AN1111" s="3" t="str">
        <f>IF(对接源_01水果!$AC1111="","",对接源_01水果!$AC1111)</f>
        <v/>
      </c>
      <c r="AO1111" s="3">
        <f t="shared" si="311"/>
        <v>0</v>
      </c>
      <c r="AP1111" s="3">
        <f t="shared" si="312"/>
        <v>8</v>
      </c>
      <c r="AR1111">
        <f t="shared" si="313"/>
        <v>0</v>
      </c>
      <c r="AS1111">
        <f t="shared" si="314"/>
        <v>0</v>
      </c>
    </row>
    <row r="1112" ht="14.25" customHeight="1" spans="1:45">
      <c r="A1112" s="3" t="str">
        <f>IF(对接源_01水果!$C1112="","",对接源_01水果!$C1112)</f>
        <v/>
      </c>
      <c r="B1112" s="3">
        <f t="shared" si="298"/>
        <v>0</v>
      </c>
      <c r="C1112" s="3">
        <f t="shared" si="299"/>
        <v>18</v>
      </c>
      <c r="K1112" s="3">
        <f>IF(OR($K$1="",对接源_01水果!$C1112="",对接源_01水果!$C1112&lt;&gt;$K$1,对接源_01水果!$B1112=""),0,IF(OR(N(对接源_01水果!$B1112)&lt;$K$2,N(对接源_01水果!$B1112)&gt;$K$3),0,1))</f>
        <v>0</v>
      </c>
      <c r="L1112" s="3">
        <f>IF(OR($L$1="",对接源_01水果!$C1112="",对接源_01水果!$C1112&lt;&gt;$L$1,对接源_01水果!$B1112=""),0,IF(OR(N(对接源_01水果!$B1112)&lt;$L$2,N(对接源_01水果!$B1112)&gt;$L$3),0,1))</f>
        <v>0</v>
      </c>
      <c r="M1112" s="3">
        <f>IF(OR($M$1="",对接源_01水果!$C1112="",对接源_01水果!$C1112&lt;&gt;$M$1,对接源_01水果!$B1112=""),0,IF(OR(N(对接源_01水果!$B1112)&lt;$M$2,N(对接源_01水果!$B1112)&gt;$M$3),0,1))</f>
        <v>0</v>
      </c>
      <c r="N1112" s="3">
        <f>IF(OR($N$1="",对接源_01水果!$C1112="",对接源_01水果!$C1112&lt;&gt;$N$1,对接源_01水果!$B1112=""),0,IF(OR(N(对接源_01水果!$B1112)&lt;$N$2,N(对接源_01水果!$B1112)&gt;$N$3),0,1))</f>
        <v>0</v>
      </c>
      <c r="P1112" s="3">
        <f>IF(AND($K1112=1,AND(对接源_01水果!$X1112="公司筐",N(对接源_01水果!$T1112)&lt;&gt;0)),1,0)</f>
        <v>0</v>
      </c>
      <c r="Q1112" s="3">
        <f t="shared" si="300"/>
        <v>0</v>
      </c>
      <c r="R1112" s="3">
        <f>IF(AND($K1112=1,AND(对接源_01水果!$X1112="公司筐",N(对接源_01水果!$U1112)&lt;&gt;0)),1,0)</f>
        <v>0</v>
      </c>
      <c r="S1112" s="3">
        <f t="shared" si="301"/>
        <v>0</v>
      </c>
      <c r="T1112" s="3">
        <f>IF(AND($K1112=1,AND(对接源_01水果!$X1112="公司筐",N(对接源_01水果!$V1112)&lt;&gt;0)),1,0)</f>
        <v>0</v>
      </c>
      <c r="U1112" s="3">
        <f t="shared" si="302"/>
        <v>19</v>
      </c>
      <c r="V1112" s="3">
        <f>IF(AND($L1112=1,AND(对接源_01水果!$X1112="自备筐",N(对接源_01水果!$V1112)&lt;&gt;0)),1,0)</f>
        <v>0</v>
      </c>
      <c r="W1112" s="3">
        <f t="shared" si="303"/>
        <v>8</v>
      </c>
      <c r="X1112" s="3">
        <f>IF(AND($L1112=1,AND(对接源_01水果!$X1112="自备筐",N(对接源_01水果!$T1112)&lt;&gt;0)),1,0)</f>
        <v>0</v>
      </c>
      <c r="Y1112" s="3">
        <f t="shared" si="304"/>
        <v>0</v>
      </c>
      <c r="Z1112" s="3">
        <f>IF(AND($M1112=1,对接源_01水果!$D1112="原料入库"),1,0)</f>
        <v>0</v>
      </c>
      <c r="AA1112" s="3">
        <f t="shared" si="305"/>
        <v>24</v>
      </c>
      <c r="AB1112" s="3">
        <f>IF(AND($M1112=1,LEFT(对接源_01水果!$D1112,4)="原料出库"),1,0)</f>
        <v>0</v>
      </c>
      <c r="AC1112" s="3">
        <f t="shared" si="306"/>
        <v>0</v>
      </c>
      <c r="AD1112" s="3">
        <f>IF(AND($M1112=1,LEFT(对接源_01水果!$D1112,4)="成品出库"),1,0)</f>
        <v>0</v>
      </c>
      <c r="AE1112" s="3">
        <f t="shared" si="307"/>
        <v>0</v>
      </c>
      <c r="AF1112" s="3">
        <f>IF(AND($N1112=1,AND(LEFT(对接源_01水果!$D1112,4)="包装物料",N(对接源_01水果!$K1112)&lt;&gt;0)),1,0)</f>
        <v>0</v>
      </c>
      <c r="AG1112" s="3">
        <f t="shared" si="308"/>
        <v>0</v>
      </c>
      <c r="AH1112" s="3">
        <f>IF(AND($N1112=1,AND(对接源_01水果!$D1112="周转筐－销售出库",N(对接源_01水果!$K1112)&lt;&gt;0)),1,0)</f>
        <v>0</v>
      </c>
      <c r="AI1112" s="3">
        <f t="shared" si="309"/>
        <v>0</v>
      </c>
      <c r="AJ1112" s="7"/>
      <c r="AL1112" s="3">
        <f>IF(OR($AL$1="",对接源_01水果!$Y1112="",对接源_01水果!$Y1112&lt;&gt;$AL$1,对接源_01水果!$B1112="",N(对接源_01水果!$AJ1112)&lt;=0),0,IF(OR(N(对接源_01水果!$B1112)&lt;$AL$2,N(对接源_01水果!$B1112)&gt;$AL$3),0,1))</f>
        <v>0</v>
      </c>
      <c r="AM1112" s="3">
        <f t="shared" si="310"/>
        <v>1</v>
      </c>
      <c r="AN1112" s="3" t="str">
        <f>IF(对接源_01水果!$AC1112="","",对接源_01水果!$AC1112)</f>
        <v/>
      </c>
      <c r="AO1112" s="3">
        <f t="shared" si="311"/>
        <v>0</v>
      </c>
      <c r="AP1112" s="3">
        <f t="shared" si="312"/>
        <v>8</v>
      </c>
      <c r="AR1112">
        <f t="shared" si="313"/>
        <v>0</v>
      </c>
      <c r="AS1112">
        <f t="shared" si="314"/>
        <v>0</v>
      </c>
    </row>
    <row r="1113" ht="14.25" customHeight="1" spans="1:45">
      <c r="A1113" s="3" t="str">
        <f>IF(对接源_01水果!$C1113="","",对接源_01水果!$C1113)</f>
        <v/>
      </c>
      <c r="B1113" s="3">
        <f t="shared" si="298"/>
        <v>0</v>
      </c>
      <c r="C1113" s="3">
        <f t="shared" si="299"/>
        <v>18</v>
      </c>
      <c r="K1113" s="3">
        <f>IF(OR($K$1="",对接源_01水果!$C1113="",对接源_01水果!$C1113&lt;&gt;$K$1,对接源_01水果!$B1113=""),0,IF(OR(N(对接源_01水果!$B1113)&lt;$K$2,N(对接源_01水果!$B1113)&gt;$K$3),0,1))</f>
        <v>0</v>
      </c>
      <c r="L1113" s="3">
        <f>IF(OR($L$1="",对接源_01水果!$C1113="",对接源_01水果!$C1113&lt;&gt;$L$1,对接源_01水果!$B1113=""),0,IF(OR(N(对接源_01水果!$B1113)&lt;$L$2,N(对接源_01水果!$B1113)&gt;$L$3),0,1))</f>
        <v>0</v>
      </c>
      <c r="M1113" s="3">
        <f>IF(OR($M$1="",对接源_01水果!$C1113="",对接源_01水果!$C1113&lt;&gt;$M$1,对接源_01水果!$B1113=""),0,IF(OR(N(对接源_01水果!$B1113)&lt;$M$2,N(对接源_01水果!$B1113)&gt;$M$3),0,1))</f>
        <v>0</v>
      </c>
      <c r="N1113" s="3">
        <f>IF(OR($N$1="",对接源_01水果!$C1113="",对接源_01水果!$C1113&lt;&gt;$N$1,对接源_01水果!$B1113=""),0,IF(OR(N(对接源_01水果!$B1113)&lt;$N$2,N(对接源_01水果!$B1113)&gt;$N$3),0,1))</f>
        <v>0</v>
      </c>
      <c r="P1113" s="3">
        <f>IF(AND($K1113=1,AND(对接源_01水果!$X1113="公司筐",N(对接源_01水果!$T1113)&lt;&gt;0)),1,0)</f>
        <v>0</v>
      </c>
      <c r="Q1113" s="3">
        <f t="shared" si="300"/>
        <v>0</v>
      </c>
      <c r="R1113" s="3">
        <f>IF(AND($K1113=1,AND(对接源_01水果!$X1113="公司筐",N(对接源_01水果!$U1113)&lt;&gt;0)),1,0)</f>
        <v>0</v>
      </c>
      <c r="S1113" s="3">
        <f t="shared" si="301"/>
        <v>0</v>
      </c>
      <c r="T1113" s="3">
        <f>IF(AND($K1113=1,AND(对接源_01水果!$X1113="公司筐",N(对接源_01水果!$V1113)&lt;&gt;0)),1,0)</f>
        <v>0</v>
      </c>
      <c r="U1113" s="3">
        <f t="shared" si="302"/>
        <v>19</v>
      </c>
      <c r="V1113" s="3">
        <f>IF(AND($L1113=1,AND(对接源_01水果!$X1113="自备筐",N(对接源_01水果!$V1113)&lt;&gt;0)),1,0)</f>
        <v>0</v>
      </c>
      <c r="W1113" s="3">
        <f t="shared" si="303"/>
        <v>8</v>
      </c>
      <c r="X1113" s="3">
        <f>IF(AND($L1113=1,AND(对接源_01水果!$X1113="自备筐",N(对接源_01水果!$T1113)&lt;&gt;0)),1,0)</f>
        <v>0</v>
      </c>
      <c r="Y1113" s="3">
        <f t="shared" si="304"/>
        <v>0</v>
      </c>
      <c r="Z1113" s="3">
        <f>IF(AND($M1113=1,对接源_01水果!$D1113="原料入库"),1,0)</f>
        <v>0</v>
      </c>
      <c r="AA1113" s="3">
        <f t="shared" si="305"/>
        <v>24</v>
      </c>
      <c r="AB1113" s="3">
        <f>IF(AND($M1113=1,LEFT(对接源_01水果!$D1113,4)="原料出库"),1,0)</f>
        <v>0</v>
      </c>
      <c r="AC1113" s="3">
        <f t="shared" si="306"/>
        <v>0</v>
      </c>
      <c r="AD1113" s="3">
        <f>IF(AND($M1113=1,LEFT(对接源_01水果!$D1113,4)="成品出库"),1,0)</f>
        <v>0</v>
      </c>
      <c r="AE1113" s="3">
        <f t="shared" si="307"/>
        <v>0</v>
      </c>
      <c r="AF1113" s="3">
        <f>IF(AND($N1113=1,AND(LEFT(对接源_01水果!$D1113,4)="包装物料",N(对接源_01水果!$K1113)&lt;&gt;0)),1,0)</f>
        <v>0</v>
      </c>
      <c r="AG1113" s="3">
        <f t="shared" si="308"/>
        <v>0</v>
      </c>
      <c r="AH1113" s="3">
        <f>IF(AND($N1113=1,AND(对接源_01水果!$D1113="周转筐－销售出库",N(对接源_01水果!$K1113)&lt;&gt;0)),1,0)</f>
        <v>0</v>
      </c>
      <c r="AI1113" s="3">
        <f t="shared" si="309"/>
        <v>0</v>
      </c>
      <c r="AJ1113" s="7"/>
      <c r="AL1113" s="3">
        <f>IF(OR($AL$1="",对接源_01水果!$Y1113="",对接源_01水果!$Y1113&lt;&gt;$AL$1,对接源_01水果!$B1113="",N(对接源_01水果!$AJ1113)&lt;=0),0,IF(OR(N(对接源_01水果!$B1113)&lt;$AL$2,N(对接源_01水果!$B1113)&gt;$AL$3),0,1))</f>
        <v>0</v>
      </c>
      <c r="AM1113" s="3">
        <f t="shared" si="310"/>
        <v>1</v>
      </c>
      <c r="AN1113" s="3" t="str">
        <f>IF(对接源_01水果!$AC1113="","",对接源_01水果!$AC1113)</f>
        <v/>
      </c>
      <c r="AO1113" s="3">
        <f t="shared" si="311"/>
        <v>0</v>
      </c>
      <c r="AP1113" s="3">
        <f t="shared" si="312"/>
        <v>8</v>
      </c>
      <c r="AR1113">
        <f t="shared" si="313"/>
        <v>0</v>
      </c>
      <c r="AS1113">
        <f t="shared" si="314"/>
        <v>0</v>
      </c>
    </row>
    <row r="1114" ht="14.25" customHeight="1" spans="1:45">
      <c r="A1114" s="3" t="str">
        <f>IF(对接源_01水果!$C1114="","",对接源_01水果!$C1114)</f>
        <v/>
      </c>
      <c r="B1114" s="3">
        <f t="shared" si="298"/>
        <v>0</v>
      </c>
      <c r="C1114" s="3">
        <f t="shared" si="299"/>
        <v>18</v>
      </c>
      <c r="K1114" s="3">
        <f>IF(OR($K$1="",对接源_01水果!$C1114="",对接源_01水果!$C1114&lt;&gt;$K$1,对接源_01水果!$B1114=""),0,IF(OR(N(对接源_01水果!$B1114)&lt;$K$2,N(对接源_01水果!$B1114)&gt;$K$3),0,1))</f>
        <v>0</v>
      </c>
      <c r="L1114" s="3">
        <f>IF(OR($L$1="",对接源_01水果!$C1114="",对接源_01水果!$C1114&lt;&gt;$L$1,对接源_01水果!$B1114=""),0,IF(OR(N(对接源_01水果!$B1114)&lt;$L$2,N(对接源_01水果!$B1114)&gt;$L$3),0,1))</f>
        <v>0</v>
      </c>
      <c r="M1114" s="3">
        <f>IF(OR($M$1="",对接源_01水果!$C1114="",对接源_01水果!$C1114&lt;&gt;$M$1,对接源_01水果!$B1114=""),0,IF(OR(N(对接源_01水果!$B1114)&lt;$M$2,N(对接源_01水果!$B1114)&gt;$M$3),0,1))</f>
        <v>0</v>
      </c>
      <c r="N1114" s="3">
        <f>IF(OR($N$1="",对接源_01水果!$C1114="",对接源_01水果!$C1114&lt;&gt;$N$1,对接源_01水果!$B1114=""),0,IF(OR(N(对接源_01水果!$B1114)&lt;$N$2,N(对接源_01水果!$B1114)&gt;$N$3),0,1))</f>
        <v>0</v>
      </c>
      <c r="P1114" s="3">
        <f>IF(AND($K1114=1,AND(对接源_01水果!$X1114="公司筐",N(对接源_01水果!$T1114)&lt;&gt;0)),1,0)</f>
        <v>0</v>
      </c>
      <c r="Q1114" s="3">
        <f t="shared" si="300"/>
        <v>0</v>
      </c>
      <c r="R1114" s="3">
        <f>IF(AND($K1114=1,AND(对接源_01水果!$X1114="公司筐",N(对接源_01水果!$U1114)&lt;&gt;0)),1,0)</f>
        <v>0</v>
      </c>
      <c r="S1114" s="3">
        <f t="shared" si="301"/>
        <v>0</v>
      </c>
      <c r="T1114" s="3">
        <f>IF(AND($K1114=1,AND(对接源_01水果!$X1114="公司筐",N(对接源_01水果!$V1114)&lt;&gt;0)),1,0)</f>
        <v>0</v>
      </c>
      <c r="U1114" s="3">
        <f t="shared" si="302"/>
        <v>19</v>
      </c>
      <c r="V1114" s="3">
        <f>IF(AND($L1114=1,AND(对接源_01水果!$X1114="自备筐",N(对接源_01水果!$V1114)&lt;&gt;0)),1,0)</f>
        <v>0</v>
      </c>
      <c r="W1114" s="3">
        <f t="shared" si="303"/>
        <v>8</v>
      </c>
      <c r="X1114" s="3">
        <f>IF(AND($L1114=1,AND(对接源_01水果!$X1114="自备筐",N(对接源_01水果!$T1114)&lt;&gt;0)),1,0)</f>
        <v>0</v>
      </c>
      <c r="Y1114" s="3">
        <f t="shared" si="304"/>
        <v>0</v>
      </c>
      <c r="Z1114" s="3">
        <f>IF(AND($M1114=1,对接源_01水果!$D1114="原料入库"),1,0)</f>
        <v>0</v>
      </c>
      <c r="AA1114" s="3">
        <f t="shared" si="305"/>
        <v>24</v>
      </c>
      <c r="AB1114" s="3">
        <f>IF(AND($M1114=1,LEFT(对接源_01水果!$D1114,4)="原料出库"),1,0)</f>
        <v>0</v>
      </c>
      <c r="AC1114" s="3">
        <f t="shared" si="306"/>
        <v>0</v>
      </c>
      <c r="AD1114" s="3">
        <f>IF(AND($M1114=1,LEFT(对接源_01水果!$D1114,4)="成品出库"),1,0)</f>
        <v>0</v>
      </c>
      <c r="AE1114" s="3">
        <f t="shared" si="307"/>
        <v>0</v>
      </c>
      <c r="AF1114" s="3">
        <f>IF(AND($N1114=1,AND(LEFT(对接源_01水果!$D1114,4)="包装物料",N(对接源_01水果!$K1114)&lt;&gt;0)),1,0)</f>
        <v>0</v>
      </c>
      <c r="AG1114" s="3">
        <f t="shared" si="308"/>
        <v>0</v>
      </c>
      <c r="AH1114" s="3">
        <f>IF(AND($N1114=1,AND(对接源_01水果!$D1114="周转筐－销售出库",N(对接源_01水果!$K1114)&lt;&gt;0)),1,0)</f>
        <v>0</v>
      </c>
      <c r="AI1114" s="3">
        <f t="shared" si="309"/>
        <v>0</v>
      </c>
      <c r="AJ1114" s="7"/>
      <c r="AL1114" s="3">
        <f>IF(OR($AL$1="",对接源_01水果!$Y1114="",对接源_01水果!$Y1114&lt;&gt;$AL$1,对接源_01水果!$B1114="",N(对接源_01水果!$AJ1114)&lt;=0),0,IF(OR(N(对接源_01水果!$B1114)&lt;$AL$2,N(对接源_01水果!$B1114)&gt;$AL$3),0,1))</f>
        <v>0</v>
      </c>
      <c r="AM1114" s="3">
        <f t="shared" si="310"/>
        <v>1</v>
      </c>
      <c r="AN1114" s="3" t="str">
        <f>IF(对接源_01水果!$AC1114="","",对接源_01水果!$AC1114)</f>
        <v/>
      </c>
      <c r="AO1114" s="3">
        <f t="shared" si="311"/>
        <v>0</v>
      </c>
      <c r="AP1114" s="3">
        <f t="shared" si="312"/>
        <v>8</v>
      </c>
      <c r="AR1114">
        <f t="shared" si="313"/>
        <v>0</v>
      </c>
      <c r="AS1114">
        <f t="shared" si="314"/>
        <v>0</v>
      </c>
    </row>
    <row r="1115" ht="14.25" customHeight="1" spans="1:45">
      <c r="A1115" s="3" t="str">
        <f>IF(对接源_01水果!$C1115="","",对接源_01水果!$C1115)</f>
        <v/>
      </c>
      <c r="B1115" s="3">
        <f t="shared" si="298"/>
        <v>0</v>
      </c>
      <c r="C1115" s="3">
        <f t="shared" si="299"/>
        <v>18</v>
      </c>
      <c r="K1115" s="3">
        <f>IF(OR($K$1="",对接源_01水果!$C1115="",对接源_01水果!$C1115&lt;&gt;$K$1,对接源_01水果!$B1115=""),0,IF(OR(N(对接源_01水果!$B1115)&lt;$K$2,N(对接源_01水果!$B1115)&gt;$K$3),0,1))</f>
        <v>0</v>
      </c>
      <c r="L1115" s="3">
        <f>IF(OR($L$1="",对接源_01水果!$C1115="",对接源_01水果!$C1115&lt;&gt;$L$1,对接源_01水果!$B1115=""),0,IF(OR(N(对接源_01水果!$B1115)&lt;$L$2,N(对接源_01水果!$B1115)&gt;$L$3),0,1))</f>
        <v>0</v>
      </c>
      <c r="M1115" s="3">
        <f>IF(OR($M$1="",对接源_01水果!$C1115="",对接源_01水果!$C1115&lt;&gt;$M$1,对接源_01水果!$B1115=""),0,IF(OR(N(对接源_01水果!$B1115)&lt;$M$2,N(对接源_01水果!$B1115)&gt;$M$3),0,1))</f>
        <v>0</v>
      </c>
      <c r="N1115" s="3">
        <f>IF(OR($N$1="",对接源_01水果!$C1115="",对接源_01水果!$C1115&lt;&gt;$N$1,对接源_01水果!$B1115=""),0,IF(OR(N(对接源_01水果!$B1115)&lt;$N$2,N(对接源_01水果!$B1115)&gt;$N$3),0,1))</f>
        <v>0</v>
      </c>
      <c r="P1115" s="3">
        <f>IF(AND($K1115=1,AND(对接源_01水果!$X1115="公司筐",N(对接源_01水果!$T1115)&lt;&gt;0)),1,0)</f>
        <v>0</v>
      </c>
      <c r="Q1115" s="3">
        <f t="shared" si="300"/>
        <v>0</v>
      </c>
      <c r="R1115" s="3">
        <f>IF(AND($K1115=1,AND(对接源_01水果!$X1115="公司筐",N(对接源_01水果!$U1115)&lt;&gt;0)),1,0)</f>
        <v>0</v>
      </c>
      <c r="S1115" s="3">
        <f t="shared" si="301"/>
        <v>0</v>
      </c>
      <c r="T1115" s="3">
        <f>IF(AND($K1115=1,AND(对接源_01水果!$X1115="公司筐",N(对接源_01水果!$V1115)&lt;&gt;0)),1,0)</f>
        <v>0</v>
      </c>
      <c r="U1115" s="3">
        <f t="shared" si="302"/>
        <v>19</v>
      </c>
      <c r="V1115" s="3">
        <f>IF(AND($L1115=1,AND(对接源_01水果!$X1115="自备筐",N(对接源_01水果!$V1115)&lt;&gt;0)),1,0)</f>
        <v>0</v>
      </c>
      <c r="W1115" s="3">
        <f t="shared" si="303"/>
        <v>8</v>
      </c>
      <c r="X1115" s="3">
        <f>IF(AND($L1115=1,AND(对接源_01水果!$X1115="自备筐",N(对接源_01水果!$T1115)&lt;&gt;0)),1,0)</f>
        <v>0</v>
      </c>
      <c r="Y1115" s="3">
        <f t="shared" si="304"/>
        <v>0</v>
      </c>
      <c r="Z1115" s="3">
        <f>IF(AND($M1115=1,对接源_01水果!$D1115="原料入库"),1,0)</f>
        <v>0</v>
      </c>
      <c r="AA1115" s="3">
        <f t="shared" si="305"/>
        <v>24</v>
      </c>
      <c r="AB1115" s="3">
        <f>IF(AND($M1115=1,LEFT(对接源_01水果!$D1115,4)="原料出库"),1,0)</f>
        <v>0</v>
      </c>
      <c r="AC1115" s="3">
        <f t="shared" si="306"/>
        <v>0</v>
      </c>
      <c r="AD1115" s="3">
        <f>IF(AND($M1115=1,LEFT(对接源_01水果!$D1115,4)="成品出库"),1,0)</f>
        <v>0</v>
      </c>
      <c r="AE1115" s="3">
        <f t="shared" si="307"/>
        <v>0</v>
      </c>
      <c r="AF1115" s="3">
        <f>IF(AND($N1115=1,AND(LEFT(对接源_01水果!$D1115,4)="包装物料",N(对接源_01水果!$K1115)&lt;&gt;0)),1,0)</f>
        <v>0</v>
      </c>
      <c r="AG1115" s="3">
        <f t="shared" si="308"/>
        <v>0</v>
      </c>
      <c r="AH1115" s="3">
        <f>IF(AND($N1115=1,AND(对接源_01水果!$D1115="周转筐－销售出库",N(对接源_01水果!$K1115)&lt;&gt;0)),1,0)</f>
        <v>0</v>
      </c>
      <c r="AI1115" s="3">
        <f t="shared" si="309"/>
        <v>0</v>
      </c>
      <c r="AJ1115" s="7"/>
      <c r="AL1115" s="3">
        <f>IF(OR($AL$1="",对接源_01水果!$Y1115="",对接源_01水果!$Y1115&lt;&gt;$AL$1,对接源_01水果!$B1115="",N(对接源_01水果!$AJ1115)&lt;=0),0,IF(OR(N(对接源_01水果!$B1115)&lt;$AL$2,N(对接源_01水果!$B1115)&gt;$AL$3),0,1))</f>
        <v>0</v>
      </c>
      <c r="AM1115" s="3">
        <f t="shared" si="310"/>
        <v>1</v>
      </c>
      <c r="AN1115" s="3" t="str">
        <f>IF(对接源_01水果!$AC1115="","",对接源_01水果!$AC1115)</f>
        <v/>
      </c>
      <c r="AO1115" s="3">
        <f t="shared" si="311"/>
        <v>0</v>
      </c>
      <c r="AP1115" s="3">
        <f t="shared" si="312"/>
        <v>8</v>
      </c>
      <c r="AR1115">
        <f t="shared" si="313"/>
        <v>0</v>
      </c>
      <c r="AS1115">
        <f t="shared" si="314"/>
        <v>0</v>
      </c>
    </row>
    <row r="1116" ht="14.25" customHeight="1" spans="1:45">
      <c r="A1116" s="3" t="str">
        <f>IF(对接源_01水果!$C1116="","",对接源_01水果!$C1116)</f>
        <v/>
      </c>
      <c r="B1116" s="3">
        <f t="shared" si="298"/>
        <v>0</v>
      </c>
      <c r="C1116" s="3">
        <f t="shared" si="299"/>
        <v>18</v>
      </c>
      <c r="K1116" s="3">
        <f>IF(OR($K$1="",对接源_01水果!$C1116="",对接源_01水果!$C1116&lt;&gt;$K$1,对接源_01水果!$B1116=""),0,IF(OR(N(对接源_01水果!$B1116)&lt;$K$2,N(对接源_01水果!$B1116)&gt;$K$3),0,1))</f>
        <v>0</v>
      </c>
      <c r="L1116" s="3">
        <f>IF(OR($L$1="",对接源_01水果!$C1116="",对接源_01水果!$C1116&lt;&gt;$L$1,对接源_01水果!$B1116=""),0,IF(OR(N(对接源_01水果!$B1116)&lt;$L$2,N(对接源_01水果!$B1116)&gt;$L$3),0,1))</f>
        <v>0</v>
      </c>
      <c r="M1116" s="3">
        <f>IF(OR($M$1="",对接源_01水果!$C1116="",对接源_01水果!$C1116&lt;&gt;$M$1,对接源_01水果!$B1116=""),0,IF(OR(N(对接源_01水果!$B1116)&lt;$M$2,N(对接源_01水果!$B1116)&gt;$M$3),0,1))</f>
        <v>0</v>
      </c>
      <c r="N1116" s="3">
        <f>IF(OR($N$1="",对接源_01水果!$C1116="",对接源_01水果!$C1116&lt;&gt;$N$1,对接源_01水果!$B1116=""),0,IF(OR(N(对接源_01水果!$B1116)&lt;$N$2,N(对接源_01水果!$B1116)&gt;$N$3),0,1))</f>
        <v>0</v>
      </c>
      <c r="P1116" s="3">
        <f>IF(AND($K1116=1,AND(对接源_01水果!$X1116="公司筐",N(对接源_01水果!$T1116)&lt;&gt;0)),1,0)</f>
        <v>0</v>
      </c>
      <c r="Q1116" s="3">
        <f t="shared" si="300"/>
        <v>0</v>
      </c>
      <c r="R1116" s="3">
        <f>IF(AND($K1116=1,AND(对接源_01水果!$X1116="公司筐",N(对接源_01水果!$U1116)&lt;&gt;0)),1,0)</f>
        <v>0</v>
      </c>
      <c r="S1116" s="3">
        <f t="shared" si="301"/>
        <v>0</v>
      </c>
      <c r="T1116" s="3">
        <f>IF(AND($K1116=1,AND(对接源_01水果!$X1116="公司筐",N(对接源_01水果!$V1116)&lt;&gt;0)),1,0)</f>
        <v>0</v>
      </c>
      <c r="U1116" s="3">
        <f t="shared" si="302"/>
        <v>19</v>
      </c>
      <c r="V1116" s="3">
        <f>IF(AND($L1116=1,AND(对接源_01水果!$X1116="自备筐",N(对接源_01水果!$V1116)&lt;&gt;0)),1,0)</f>
        <v>0</v>
      </c>
      <c r="W1116" s="3">
        <f t="shared" si="303"/>
        <v>8</v>
      </c>
      <c r="X1116" s="3">
        <f>IF(AND($L1116=1,AND(对接源_01水果!$X1116="自备筐",N(对接源_01水果!$T1116)&lt;&gt;0)),1,0)</f>
        <v>0</v>
      </c>
      <c r="Y1116" s="3">
        <f t="shared" si="304"/>
        <v>0</v>
      </c>
      <c r="Z1116" s="3">
        <f>IF(AND($M1116=1,对接源_01水果!$D1116="原料入库"),1,0)</f>
        <v>0</v>
      </c>
      <c r="AA1116" s="3">
        <f t="shared" si="305"/>
        <v>24</v>
      </c>
      <c r="AB1116" s="3">
        <f>IF(AND($M1116=1,LEFT(对接源_01水果!$D1116,4)="原料出库"),1,0)</f>
        <v>0</v>
      </c>
      <c r="AC1116" s="3">
        <f t="shared" si="306"/>
        <v>0</v>
      </c>
      <c r="AD1116" s="3">
        <f>IF(AND($M1116=1,LEFT(对接源_01水果!$D1116,4)="成品出库"),1,0)</f>
        <v>0</v>
      </c>
      <c r="AE1116" s="3">
        <f t="shared" si="307"/>
        <v>0</v>
      </c>
      <c r="AF1116" s="3">
        <f>IF(AND($N1116=1,AND(LEFT(对接源_01水果!$D1116,4)="包装物料",N(对接源_01水果!$K1116)&lt;&gt;0)),1,0)</f>
        <v>0</v>
      </c>
      <c r="AG1116" s="3">
        <f t="shared" si="308"/>
        <v>0</v>
      </c>
      <c r="AH1116" s="3">
        <f>IF(AND($N1116=1,AND(对接源_01水果!$D1116="周转筐－销售出库",N(对接源_01水果!$K1116)&lt;&gt;0)),1,0)</f>
        <v>0</v>
      </c>
      <c r="AI1116" s="3">
        <f t="shared" si="309"/>
        <v>0</v>
      </c>
      <c r="AJ1116" s="7"/>
      <c r="AL1116" s="3">
        <f>IF(OR($AL$1="",对接源_01水果!$Y1116="",对接源_01水果!$Y1116&lt;&gt;$AL$1,对接源_01水果!$B1116="",N(对接源_01水果!$AJ1116)&lt;=0),0,IF(OR(N(对接源_01水果!$B1116)&lt;$AL$2,N(对接源_01水果!$B1116)&gt;$AL$3),0,1))</f>
        <v>0</v>
      </c>
      <c r="AM1116" s="3">
        <f t="shared" si="310"/>
        <v>1</v>
      </c>
      <c r="AN1116" s="3" t="str">
        <f>IF(对接源_01水果!$AC1116="","",对接源_01水果!$AC1116)</f>
        <v/>
      </c>
      <c r="AO1116" s="3">
        <f t="shared" si="311"/>
        <v>0</v>
      </c>
      <c r="AP1116" s="3">
        <f t="shared" si="312"/>
        <v>8</v>
      </c>
      <c r="AR1116">
        <f t="shared" si="313"/>
        <v>0</v>
      </c>
      <c r="AS1116">
        <f t="shared" si="314"/>
        <v>0</v>
      </c>
    </row>
    <row r="1117" ht="14.25" customHeight="1" spans="1:45">
      <c r="A1117" s="3" t="str">
        <f>IF(对接源_01水果!$C1117="","",对接源_01水果!$C1117)</f>
        <v/>
      </c>
      <c r="B1117" s="3">
        <f t="shared" si="298"/>
        <v>0</v>
      </c>
      <c r="C1117" s="3">
        <f t="shared" si="299"/>
        <v>18</v>
      </c>
      <c r="K1117" s="3">
        <f>IF(OR($K$1="",对接源_01水果!$C1117="",对接源_01水果!$C1117&lt;&gt;$K$1,对接源_01水果!$B1117=""),0,IF(OR(N(对接源_01水果!$B1117)&lt;$K$2,N(对接源_01水果!$B1117)&gt;$K$3),0,1))</f>
        <v>0</v>
      </c>
      <c r="L1117" s="3">
        <f>IF(OR($L$1="",对接源_01水果!$C1117="",对接源_01水果!$C1117&lt;&gt;$L$1,对接源_01水果!$B1117=""),0,IF(OR(N(对接源_01水果!$B1117)&lt;$L$2,N(对接源_01水果!$B1117)&gt;$L$3),0,1))</f>
        <v>0</v>
      </c>
      <c r="M1117" s="3">
        <f>IF(OR($M$1="",对接源_01水果!$C1117="",对接源_01水果!$C1117&lt;&gt;$M$1,对接源_01水果!$B1117=""),0,IF(OR(N(对接源_01水果!$B1117)&lt;$M$2,N(对接源_01水果!$B1117)&gt;$M$3),0,1))</f>
        <v>0</v>
      </c>
      <c r="N1117" s="3">
        <f>IF(OR($N$1="",对接源_01水果!$C1117="",对接源_01水果!$C1117&lt;&gt;$N$1,对接源_01水果!$B1117=""),0,IF(OR(N(对接源_01水果!$B1117)&lt;$N$2,N(对接源_01水果!$B1117)&gt;$N$3),0,1))</f>
        <v>0</v>
      </c>
      <c r="P1117" s="3">
        <f>IF(AND($K1117=1,AND(对接源_01水果!$X1117="公司筐",N(对接源_01水果!$T1117)&lt;&gt;0)),1,0)</f>
        <v>0</v>
      </c>
      <c r="Q1117" s="3">
        <f t="shared" si="300"/>
        <v>0</v>
      </c>
      <c r="R1117" s="3">
        <f>IF(AND($K1117=1,AND(对接源_01水果!$X1117="公司筐",N(对接源_01水果!$U1117)&lt;&gt;0)),1,0)</f>
        <v>0</v>
      </c>
      <c r="S1117" s="3">
        <f t="shared" si="301"/>
        <v>0</v>
      </c>
      <c r="T1117" s="3">
        <f>IF(AND($K1117=1,AND(对接源_01水果!$X1117="公司筐",N(对接源_01水果!$V1117)&lt;&gt;0)),1,0)</f>
        <v>0</v>
      </c>
      <c r="U1117" s="3">
        <f t="shared" si="302"/>
        <v>19</v>
      </c>
      <c r="V1117" s="3">
        <f>IF(AND($L1117=1,AND(对接源_01水果!$X1117="自备筐",N(对接源_01水果!$V1117)&lt;&gt;0)),1,0)</f>
        <v>0</v>
      </c>
      <c r="W1117" s="3">
        <f t="shared" si="303"/>
        <v>8</v>
      </c>
      <c r="X1117" s="3">
        <f>IF(AND($L1117=1,AND(对接源_01水果!$X1117="自备筐",N(对接源_01水果!$T1117)&lt;&gt;0)),1,0)</f>
        <v>0</v>
      </c>
      <c r="Y1117" s="3">
        <f t="shared" si="304"/>
        <v>0</v>
      </c>
      <c r="Z1117" s="3">
        <f>IF(AND($M1117=1,对接源_01水果!$D1117="原料入库"),1,0)</f>
        <v>0</v>
      </c>
      <c r="AA1117" s="3">
        <f t="shared" si="305"/>
        <v>24</v>
      </c>
      <c r="AB1117" s="3">
        <f>IF(AND($M1117=1,LEFT(对接源_01水果!$D1117,4)="原料出库"),1,0)</f>
        <v>0</v>
      </c>
      <c r="AC1117" s="3">
        <f t="shared" si="306"/>
        <v>0</v>
      </c>
      <c r="AD1117" s="3">
        <f>IF(AND($M1117=1,LEFT(对接源_01水果!$D1117,4)="成品出库"),1,0)</f>
        <v>0</v>
      </c>
      <c r="AE1117" s="3">
        <f t="shared" si="307"/>
        <v>0</v>
      </c>
      <c r="AF1117" s="3">
        <f>IF(AND($N1117=1,AND(LEFT(对接源_01水果!$D1117,4)="包装物料",N(对接源_01水果!$K1117)&lt;&gt;0)),1,0)</f>
        <v>0</v>
      </c>
      <c r="AG1117" s="3">
        <f t="shared" si="308"/>
        <v>0</v>
      </c>
      <c r="AH1117" s="3">
        <f>IF(AND($N1117=1,AND(对接源_01水果!$D1117="周转筐－销售出库",N(对接源_01水果!$K1117)&lt;&gt;0)),1,0)</f>
        <v>0</v>
      </c>
      <c r="AI1117" s="3">
        <f t="shared" si="309"/>
        <v>0</v>
      </c>
      <c r="AJ1117" s="7"/>
      <c r="AL1117" s="3">
        <f>IF(OR($AL$1="",对接源_01水果!$Y1117="",对接源_01水果!$Y1117&lt;&gt;$AL$1,对接源_01水果!$B1117="",N(对接源_01水果!$AJ1117)&lt;=0),0,IF(OR(N(对接源_01水果!$B1117)&lt;$AL$2,N(对接源_01水果!$B1117)&gt;$AL$3),0,1))</f>
        <v>0</v>
      </c>
      <c r="AM1117" s="3">
        <f t="shared" si="310"/>
        <v>1</v>
      </c>
      <c r="AN1117" s="3" t="str">
        <f>IF(对接源_01水果!$AC1117="","",对接源_01水果!$AC1117)</f>
        <v/>
      </c>
      <c r="AO1117" s="3">
        <f t="shared" si="311"/>
        <v>0</v>
      </c>
      <c r="AP1117" s="3">
        <f t="shared" si="312"/>
        <v>8</v>
      </c>
      <c r="AR1117">
        <f t="shared" si="313"/>
        <v>0</v>
      </c>
      <c r="AS1117">
        <f t="shared" si="314"/>
        <v>0</v>
      </c>
    </row>
    <row r="1118" ht="14.25" customHeight="1" spans="1:45">
      <c r="A1118" s="3" t="str">
        <f>IF(对接源_01水果!$C1118="","",对接源_01水果!$C1118)</f>
        <v/>
      </c>
      <c r="B1118" s="3">
        <f t="shared" si="298"/>
        <v>0</v>
      </c>
      <c r="C1118" s="3">
        <f t="shared" si="299"/>
        <v>18</v>
      </c>
      <c r="K1118" s="3">
        <f>IF(OR($K$1="",对接源_01水果!$C1118="",对接源_01水果!$C1118&lt;&gt;$K$1,对接源_01水果!$B1118=""),0,IF(OR(N(对接源_01水果!$B1118)&lt;$K$2,N(对接源_01水果!$B1118)&gt;$K$3),0,1))</f>
        <v>0</v>
      </c>
      <c r="L1118" s="3">
        <f>IF(OR($L$1="",对接源_01水果!$C1118="",对接源_01水果!$C1118&lt;&gt;$L$1,对接源_01水果!$B1118=""),0,IF(OR(N(对接源_01水果!$B1118)&lt;$L$2,N(对接源_01水果!$B1118)&gt;$L$3),0,1))</f>
        <v>0</v>
      </c>
      <c r="M1118" s="3">
        <f>IF(OR($M$1="",对接源_01水果!$C1118="",对接源_01水果!$C1118&lt;&gt;$M$1,对接源_01水果!$B1118=""),0,IF(OR(N(对接源_01水果!$B1118)&lt;$M$2,N(对接源_01水果!$B1118)&gt;$M$3),0,1))</f>
        <v>0</v>
      </c>
      <c r="N1118" s="3">
        <f>IF(OR($N$1="",对接源_01水果!$C1118="",对接源_01水果!$C1118&lt;&gt;$N$1,对接源_01水果!$B1118=""),0,IF(OR(N(对接源_01水果!$B1118)&lt;$N$2,N(对接源_01水果!$B1118)&gt;$N$3),0,1))</f>
        <v>0</v>
      </c>
      <c r="P1118" s="3">
        <f>IF(AND($K1118=1,AND(对接源_01水果!$X1118="公司筐",N(对接源_01水果!$T1118)&lt;&gt;0)),1,0)</f>
        <v>0</v>
      </c>
      <c r="Q1118" s="3">
        <f t="shared" si="300"/>
        <v>0</v>
      </c>
      <c r="R1118" s="3">
        <f>IF(AND($K1118=1,AND(对接源_01水果!$X1118="公司筐",N(对接源_01水果!$U1118)&lt;&gt;0)),1,0)</f>
        <v>0</v>
      </c>
      <c r="S1118" s="3">
        <f t="shared" si="301"/>
        <v>0</v>
      </c>
      <c r="T1118" s="3">
        <f>IF(AND($K1118=1,AND(对接源_01水果!$X1118="公司筐",N(对接源_01水果!$V1118)&lt;&gt;0)),1,0)</f>
        <v>0</v>
      </c>
      <c r="U1118" s="3">
        <f t="shared" si="302"/>
        <v>19</v>
      </c>
      <c r="V1118" s="3">
        <f>IF(AND($L1118=1,AND(对接源_01水果!$X1118="自备筐",N(对接源_01水果!$V1118)&lt;&gt;0)),1,0)</f>
        <v>0</v>
      </c>
      <c r="W1118" s="3">
        <f t="shared" si="303"/>
        <v>8</v>
      </c>
      <c r="X1118" s="3">
        <f>IF(AND($L1118=1,AND(对接源_01水果!$X1118="自备筐",N(对接源_01水果!$T1118)&lt;&gt;0)),1,0)</f>
        <v>0</v>
      </c>
      <c r="Y1118" s="3">
        <f t="shared" si="304"/>
        <v>0</v>
      </c>
      <c r="Z1118" s="3">
        <f>IF(AND($M1118=1,对接源_01水果!$D1118="原料入库"),1,0)</f>
        <v>0</v>
      </c>
      <c r="AA1118" s="3">
        <f t="shared" si="305"/>
        <v>24</v>
      </c>
      <c r="AB1118" s="3">
        <f>IF(AND($M1118=1,LEFT(对接源_01水果!$D1118,4)="原料出库"),1,0)</f>
        <v>0</v>
      </c>
      <c r="AC1118" s="3">
        <f t="shared" si="306"/>
        <v>0</v>
      </c>
      <c r="AD1118" s="3">
        <f>IF(AND($M1118=1,LEFT(对接源_01水果!$D1118,4)="成品出库"),1,0)</f>
        <v>0</v>
      </c>
      <c r="AE1118" s="3">
        <f t="shared" si="307"/>
        <v>0</v>
      </c>
      <c r="AF1118" s="3">
        <f>IF(AND($N1118=1,AND(LEFT(对接源_01水果!$D1118,4)="包装物料",N(对接源_01水果!$K1118)&lt;&gt;0)),1,0)</f>
        <v>0</v>
      </c>
      <c r="AG1118" s="3">
        <f t="shared" si="308"/>
        <v>0</v>
      </c>
      <c r="AH1118" s="3">
        <f>IF(AND($N1118=1,AND(对接源_01水果!$D1118="周转筐－销售出库",N(对接源_01水果!$K1118)&lt;&gt;0)),1,0)</f>
        <v>0</v>
      </c>
      <c r="AI1118" s="3">
        <f t="shared" si="309"/>
        <v>0</v>
      </c>
      <c r="AJ1118" s="7"/>
      <c r="AL1118" s="3">
        <f>IF(OR($AL$1="",对接源_01水果!$Y1118="",对接源_01水果!$Y1118&lt;&gt;$AL$1,对接源_01水果!$B1118="",N(对接源_01水果!$AJ1118)&lt;=0),0,IF(OR(N(对接源_01水果!$B1118)&lt;$AL$2,N(对接源_01水果!$B1118)&gt;$AL$3),0,1))</f>
        <v>0</v>
      </c>
      <c r="AM1118" s="3">
        <f t="shared" si="310"/>
        <v>1</v>
      </c>
      <c r="AN1118" s="3" t="str">
        <f>IF(对接源_01水果!$AC1118="","",对接源_01水果!$AC1118)</f>
        <v/>
      </c>
      <c r="AO1118" s="3">
        <f t="shared" si="311"/>
        <v>0</v>
      </c>
      <c r="AP1118" s="3">
        <f t="shared" si="312"/>
        <v>8</v>
      </c>
      <c r="AR1118">
        <f t="shared" si="313"/>
        <v>0</v>
      </c>
      <c r="AS1118">
        <f t="shared" si="314"/>
        <v>0</v>
      </c>
    </row>
    <row r="1119" ht="14.25" customHeight="1" spans="1:45">
      <c r="A1119" s="3" t="str">
        <f>IF(对接源_01水果!$C1119="","",对接源_01水果!$C1119)</f>
        <v/>
      </c>
      <c r="B1119" s="3">
        <f t="shared" si="298"/>
        <v>0</v>
      </c>
      <c r="C1119" s="3">
        <f t="shared" si="299"/>
        <v>18</v>
      </c>
      <c r="K1119" s="3">
        <f>IF(OR($K$1="",对接源_01水果!$C1119="",对接源_01水果!$C1119&lt;&gt;$K$1,对接源_01水果!$B1119=""),0,IF(OR(N(对接源_01水果!$B1119)&lt;$K$2,N(对接源_01水果!$B1119)&gt;$K$3),0,1))</f>
        <v>0</v>
      </c>
      <c r="L1119" s="3">
        <f>IF(OR($L$1="",对接源_01水果!$C1119="",对接源_01水果!$C1119&lt;&gt;$L$1,对接源_01水果!$B1119=""),0,IF(OR(N(对接源_01水果!$B1119)&lt;$L$2,N(对接源_01水果!$B1119)&gt;$L$3),0,1))</f>
        <v>0</v>
      </c>
      <c r="M1119" s="3">
        <f>IF(OR($M$1="",对接源_01水果!$C1119="",对接源_01水果!$C1119&lt;&gt;$M$1,对接源_01水果!$B1119=""),0,IF(OR(N(对接源_01水果!$B1119)&lt;$M$2,N(对接源_01水果!$B1119)&gt;$M$3),0,1))</f>
        <v>0</v>
      </c>
      <c r="N1119" s="3">
        <f>IF(OR($N$1="",对接源_01水果!$C1119="",对接源_01水果!$C1119&lt;&gt;$N$1,对接源_01水果!$B1119=""),0,IF(OR(N(对接源_01水果!$B1119)&lt;$N$2,N(对接源_01水果!$B1119)&gt;$N$3),0,1))</f>
        <v>0</v>
      </c>
      <c r="P1119" s="3">
        <f>IF(AND($K1119=1,AND(对接源_01水果!$X1119="公司筐",N(对接源_01水果!$T1119)&lt;&gt;0)),1,0)</f>
        <v>0</v>
      </c>
      <c r="Q1119" s="3">
        <f t="shared" si="300"/>
        <v>0</v>
      </c>
      <c r="R1119" s="3">
        <f>IF(AND($K1119=1,AND(对接源_01水果!$X1119="公司筐",N(对接源_01水果!$U1119)&lt;&gt;0)),1,0)</f>
        <v>0</v>
      </c>
      <c r="S1119" s="3">
        <f t="shared" si="301"/>
        <v>0</v>
      </c>
      <c r="T1119" s="3">
        <f>IF(AND($K1119=1,AND(对接源_01水果!$X1119="公司筐",N(对接源_01水果!$V1119)&lt;&gt;0)),1,0)</f>
        <v>0</v>
      </c>
      <c r="U1119" s="3">
        <f t="shared" si="302"/>
        <v>19</v>
      </c>
      <c r="V1119" s="3">
        <f>IF(AND($L1119=1,AND(对接源_01水果!$X1119="自备筐",N(对接源_01水果!$V1119)&lt;&gt;0)),1,0)</f>
        <v>0</v>
      </c>
      <c r="W1119" s="3">
        <f t="shared" si="303"/>
        <v>8</v>
      </c>
      <c r="X1119" s="3">
        <f>IF(AND($L1119=1,AND(对接源_01水果!$X1119="自备筐",N(对接源_01水果!$T1119)&lt;&gt;0)),1,0)</f>
        <v>0</v>
      </c>
      <c r="Y1119" s="3">
        <f t="shared" si="304"/>
        <v>0</v>
      </c>
      <c r="Z1119" s="3">
        <f>IF(AND($M1119=1,对接源_01水果!$D1119="原料入库"),1,0)</f>
        <v>0</v>
      </c>
      <c r="AA1119" s="3">
        <f t="shared" si="305"/>
        <v>24</v>
      </c>
      <c r="AB1119" s="3">
        <f>IF(AND($M1119=1,LEFT(对接源_01水果!$D1119,4)="原料出库"),1,0)</f>
        <v>0</v>
      </c>
      <c r="AC1119" s="3">
        <f t="shared" si="306"/>
        <v>0</v>
      </c>
      <c r="AD1119" s="3">
        <f>IF(AND($M1119=1,LEFT(对接源_01水果!$D1119,4)="成品出库"),1,0)</f>
        <v>0</v>
      </c>
      <c r="AE1119" s="3">
        <f t="shared" si="307"/>
        <v>0</v>
      </c>
      <c r="AF1119" s="3">
        <f>IF(AND($N1119=1,AND(LEFT(对接源_01水果!$D1119,4)="包装物料",N(对接源_01水果!$K1119)&lt;&gt;0)),1,0)</f>
        <v>0</v>
      </c>
      <c r="AG1119" s="3">
        <f t="shared" si="308"/>
        <v>0</v>
      </c>
      <c r="AH1119" s="3">
        <f>IF(AND($N1119=1,AND(对接源_01水果!$D1119="周转筐－销售出库",N(对接源_01水果!$K1119)&lt;&gt;0)),1,0)</f>
        <v>0</v>
      </c>
      <c r="AI1119" s="3">
        <f t="shared" si="309"/>
        <v>0</v>
      </c>
      <c r="AJ1119" s="7"/>
      <c r="AL1119" s="3">
        <f>IF(OR($AL$1="",对接源_01水果!$Y1119="",对接源_01水果!$Y1119&lt;&gt;$AL$1,对接源_01水果!$B1119="",N(对接源_01水果!$AJ1119)&lt;=0),0,IF(OR(N(对接源_01水果!$B1119)&lt;$AL$2,N(对接源_01水果!$B1119)&gt;$AL$3),0,1))</f>
        <v>0</v>
      </c>
      <c r="AM1119" s="3">
        <f t="shared" si="310"/>
        <v>1</v>
      </c>
      <c r="AN1119" s="3" t="str">
        <f>IF(对接源_01水果!$AC1119="","",对接源_01水果!$AC1119)</f>
        <v/>
      </c>
      <c r="AO1119" s="3">
        <f t="shared" si="311"/>
        <v>0</v>
      </c>
      <c r="AP1119" s="3">
        <f t="shared" si="312"/>
        <v>8</v>
      </c>
      <c r="AR1119">
        <f t="shared" si="313"/>
        <v>0</v>
      </c>
      <c r="AS1119">
        <f t="shared" si="314"/>
        <v>0</v>
      </c>
    </row>
    <row r="1120" ht="14.25" customHeight="1" spans="1:45">
      <c r="A1120" s="3" t="str">
        <f>IF(对接源_01水果!$C1120="","",对接源_01水果!$C1120)</f>
        <v/>
      </c>
      <c r="B1120" s="3">
        <f t="shared" si="298"/>
        <v>0</v>
      </c>
      <c r="C1120" s="3">
        <f t="shared" si="299"/>
        <v>18</v>
      </c>
      <c r="K1120" s="3">
        <f>IF(OR($K$1="",对接源_01水果!$C1120="",对接源_01水果!$C1120&lt;&gt;$K$1,对接源_01水果!$B1120=""),0,IF(OR(N(对接源_01水果!$B1120)&lt;$K$2,N(对接源_01水果!$B1120)&gt;$K$3),0,1))</f>
        <v>0</v>
      </c>
      <c r="L1120" s="3">
        <f>IF(OR($L$1="",对接源_01水果!$C1120="",对接源_01水果!$C1120&lt;&gt;$L$1,对接源_01水果!$B1120=""),0,IF(OR(N(对接源_01水果!$B1120)&lt;$L$2,N(对接源_01水果!$B1120)&gt;$L$3),0,1))</f>
        <v>0</v>
      </c>
      <c r="M1120" s="3">
        <f>IF(OR($M$1="",对接源_01水果!$C1120="",对接源_01水果!$C1120&lt;&gt;$M$1,对接源_01水果!$B1120=""),0,IF(OR(N(对接源_01水果!$B1120)&lt;$M$2,N(对接源_01水果!$B1120)&gt;$M$3),0,1))</f>
        <v>0</v>
      </c>
      <c r="N1120" s="3">
        <f>IF(OR($N$1="",对接源_01水果!$C1120="",对接源_01水果!$C1120&lt;&gt;$N$1,对接源_01水果!$B1120=""),0,IF(OR(N(对接源_01水果!$B1120)&lt;$N$2,N(对接源_01水果!$B1120)&gt;$N$3),0,1))</f>
        <v>0</v>
      </c>
      <c r="P1120" s="3">
        <f>IF(AND($K1120=1,AND(对接源_01水果!$X1120="公司筐",N(对接源_01水果!$T1120)&lt;&gt;0)),1,0)</f>
        <v>0</v>
      </c>
      <c r="Q1120" s="3">
        <f t="shared" si="300"/>
        <v>0</v>
      </c>
      <c r="R1120" s="3">
        <f>IF(AND($K1120=1,AND(对接源_01水果!$X1120="公司筐",N(对接源_01水果!$U1120)&lt;&gt;0)),1,0)</f>
        <v>0</v>
      </c>
      <c r="S1120" s="3">
        <f t="shared" si="301"/>
        <v>0</v>
      </c>
      <c r="T1120" s="3">
        <f>IF(AND($K1120=1,AND(对接源_01水果!$X1120="公司筐",N(对接源_01水果!$V1120)&lt;&gt;0)),1,0)</f>
        <v>0</v>
      </c>
      <c r="U1120" s="3">
        <f t="shared" si="302"/>
        <v>19</v>
      </c>
      <c r="V1120" s="3">
        <f>IF(AND($L1120=1,AND(对接源_01水果!$X1120="自备筐",N(对接源_01水果!$V1120)&lt;&gt;0)),1,0)</f>
        <v>0</v>
      </c>
      <c r="W1120" s="3">
        <f t="shared" si="303"/>
        <v>8</v>
      </c>
      <c r="X1120" s="3">
        <f>IF(AND($L1120=1,AND(对接源_01水果!$X1120="自备筐",N(对接源_01水果!$T1120)&lt;&gt;0)),1,0)</f>
        <v>0</v>
      </c>
      <c r="Y1120" s="3">
        <f t="shared" si="304"/>
        <v>0</v>
      </c>
      <c r="Z1120" s="3">
        <f>IF(AND($M1120=1,对接源_01水果!$D1120="原料入库"),1,0)</f>
        <v>0</v>
      </c>
      <c r="AA1120" s="3">
        <f t="shared" si="305"/>
        <v>24</v>
      </c>
      <c r="AB1120" s="3">
        <f>IF(AND($M1120=1,LEFT(对接源_01水果!$D1120,4)="原料出库"),1,0)</f>
        <v>0</v>
      </c>
      <c r="AC1120" s="3">
        <f t="shared" si="306"/>
        <v>0</v>
      </c>
      <c r="AD1120" s="3">
        <f>IF(AND($M1120=1,LEFT(对接源_01水果!$D1120,4)="成品出库"),1,0)</f>
        <v>0</v>
      </c>
      <c r="AE1120" s="3">
        <f t="shared" si="307"/>
        <v>0</v>
      </c>
      <c r="AF1120" s="3">
        <f>IF(AND($N1120=1,AND(LEFT(对接源_01水果!$D1120,4)="包装物料",N(对接源_01水果!$K1120)&lt;&gt;0)),1,0)</f>
        <v>0</v>
      </c>
      <c r="AG1120" s="3">
        <f t="shared" si="308"/>
        <v>0</v>
      </c>
      <c r="AH1120" s="3">
        <f>IF(AND($N1120=1,AND(对接源_01水果!$D1120="周转筐－销售出库",N(对接源_01水果!$K1120)&lt;&gt;0)),1,0)</f>
        <v>0</v>
      </c>
      <c r="AI1120" s="3">
        <f t="shared" si="309"/>
        <v>0</v>
      </c>
      <c r="AJ1120" s="7"/>
      <c r="AL1120" s="3">
        <f>IF(OR($AL$1="",对接源_01水果!$Y1120="",对接源_01水果!$Y1120&lt;&gt;$AL$1,对接源_01水果!$B1120="",N(对接源_01水果!$AJ1120)&lt;=0),0,IF(OR(N(对接源_01水果!$B1120)&lt;$AL$2,N(对接源_01水果!$B1120)&gt;$AL$3),0,1))</f>
        <v>0</v>
      </c>
      <c r="AM1120" s="3">
        <f t="shared" si="310"/>
        <v>1</v>
      </c>
      <c r="AN1120" s="3" t="str">
        <f>IF(对接源_01水果!$AC1120="","",对接源_01水果!$AC1120)</f>
        <v/>
      </c>
      <c r="AO1120" s="3">
        <f t="shared" si="311"/>
        <v>0</v>
      </c>
      <c r="AP1120" s="3">
        <f t="shared" si="312"/>
        <v>8</v>
      </c>
      <c r="AR1120">
        <f t="shared" si="313"/>
        <v>0</v>
      </c>
      <c r="AS1120">
        <f t="shared" si="314"/>
        <v>0</v>
      </c>
    </row>
    <row r="1121" ht="14.25" customHeight="1" spans="1:45">
      <c r="A1121" s="3" t="str">
        <f>IF(对接源_01水果!$C1121="","",对接源_01水果!$C1121)</f>
        <v/>
      </c>
      <c r="B1121" s="3">
        <f t="shared" si="298"/>
        <v>0</v>
      </c>
      <c r="C1121" s="3">
        <f t="shared" si="299"/>
        <v>18</v>
      </c>
      <c r="K1121" s="3">
        <f>IF(OR($K$1="",对接源_01水果!$C1121="",对接源_01水果!$C1121&lt;&gt;$K$1,对接源_01水果!$B1121=""),0,IF(OR(N(对接源_01水果!$B1121)&lt;$K$2,N(对接源_01水果!$B1121)&gt;$K$3),0,1))</f>
        <v>0</v>
      </c>
      <c r="L1121" s="3">
        <f>IF(OR($L$1="",对接源_01水果!$C1121="",对接源_01水果!$C1121&lt;&gt;$L$1,对接源_01水果!$B1121=""),0,IF(OR(N(对接源_01水果!$B1121)&lt;$L$2,N(对接源_01水果!$B1121)&gt;$L$3),0,1))</f>
        <v>0</v>
      </c>
      <c r="M1121" s="3">
        <f>IF(OR($M$1="",对接源_01水果!$C1121="",对接源_01水果!$C1121&lt;&gt;$M$1,对接源_01水果!$B1121=""),0,IF(OR(N(对接源_01水果!$B1121)&lt;$M$2,N(对接源_01水果!$B1121)&gt;$M$3),0,1))</f>
        <v>0</v>
      </c>
      <c r="N1121" s="3">
        <f>IF(OR($N$1="",对接源_01水果!$C1121="",对接源_01水果!$C1121&lt;&gt;$N$1,对接源_01水果!$B1121=""),0,IF(OR(N(对接源_01水果!$B1121)&lt;$N$2,N(对接源_01水果!$B1121)&gt;$N$3),0,1))</f>
        <v>0</v>
      </c>
      <c r="P1121" s="3">
        <f>IF(AND($K1121=1,AND(对接源_01水果!$X1121="公司筐",N(对接源_01水果!$T1121)&lt;&gt;0)),1,0)</f>
        <v>0</v>
      </c>
      <c r="Q1121" s="3">
        <f t="shared" si="300"/>
        <v>0</v>
      </c>
      <c r="R1121" s="3">
        <f>IF(AND($K1121=1,AND(对接源_01水果!$X1121="公司筐",N(对接源_01水果!$U1121)&lt;&gt;0)),1,0)</f>
        <v>0</v>
      </c>
      <c r="S1121" s="3">
        <f t="shared" si="301"/>
        <v>0</v>
      </c>
      <c r="T1121" s="3">
        <f>IF(AND($K1121=1,AND(对接源_01水果!$X1121="公司筐",N(对接源_01水果!$V1121)&lt;&gt;0)),1,0)</f>
        <v>0</v>
      </c>
      <c r="U1121" s="3">
        <f t="shared" si="302"/>
        <v>19</v>
      </c>
      <c r="V1121" s="3">
        <f>IF(AND($L1121=1,AND(对接源_01水果!$X1121="自备筐",N(对接源_01水果!$V1121)&lt;&gt;0)),1,0)</f>
        <v>0</v>
      </c>
      <c r="W1121" s="3">
        <f t="shared" si="303"/>
        <v>8</v>
      </c>
      <c r="X1121" s="3">
        <f>IF(AND($L1121=1,AND(对接源_01水果!$X1121="自备筐",N(对接源_01水果!$T1121)&lt;&gt;0)),1,0)</f>
        <v>0</v>
      </c>
      <c r="Y1121" s="3">
        <f t="shared" si="304"/>
        <v>0</v>
      </c>
      <c r="Z1121" s="3">
        <f>IF(AND($M1121=1,对接源_01水果!$D1121="原料入库"),1,0)</f>
        <v>0</v>
      </c>
      <c r="AA1121" s="3">
        <f t="shared" si="305"/>
        <v>24</v>
      </c>
      <c r="AB1121" s="3">
        <f>IF(AND($M1121=1,LEFT(对接源_01水果!$D1121,4)="原料出库"),1,0)</f>
        <v>0</v>
      </c>
      <c r="AC1121" s="3">
        <f t="shared" si="306"/>
        <v>0</v>
      </c>
      <c r="AD1121" s="3">
        <f>IF(AND($M1121=1,LEFT(对接源_01水果!$D1121,4)="成品出库"),1,0)</f>
        <v>0</v>
      </c>
      <c r="AE1121" s="3">
        <f t="shared" si="307"/>
        <v>0</v>
      </c>
      <c r="AF1121" s="3">
        <f>IF(AND($N1121=1,AND(LEFT(对接源_01水果!$D1121,4)="包装物料",N(对接源_01水果!$K1121)&lt;&gt;0)),1,0)</f>
        <v>0</v>
      </c>
      <c r="AG1121" s="3">
        <f t="shared" si="308"/>
        <v>0</v>
      </c>
      <c r="AH1121" s="3">
        <f>IF(AND($N1121=1,AND(对接源_01水果!$D1121="周转筐－销售出库",N(对接源_01水果!$K1121)&lt;&gt;0)),1,0)</f>
        <v>0</v>
      </c>
      <c r="AI1121" s="3">
        <f t="shared" si="309"/>
        <v>0</v>
      </c>
      <c r="AJ1121" s="7"/>
      <c r="AL1121" s="3">
        <f>IF(OR($AL$1="",对接源_01水果!$Y1121="",对接源_01水果!$Y1121&lt;&gt;$AL$1,对接源_01水果!$B1121="",N(对接源_01水果!$AJ1121)&lt;=0),0,IF(OR(N(对接源_01水果!$B1121)&lt;$AL$2,N(对接源_01水果!$B1121)&gt;$AL$3),0,1))</f>
        <v>0</v>
      </c>
      <c r="AM1121" s="3">
        <f t="shared" si="310"/>
        <v>1</v>
      </c>
      <c r="AN1121" s="3" t="str">
        <f>IF(对接源_01水果!$AC1121="","",对接源_01水果!$AC1121)</f>
        <v/>
      </c>
      <c r="AO1121" s="3">
        <f t="shared" si="311"/>
        <v>0</v>
      </c>
      <c r="AP1121" s="3">
        <f t="shared" si="312"/>
        <v>8</v>
      </c>
      <c r="AR1121">
        <f t="shared" si="313"/>
        <v>0</v>
      </c>
      <c r="AS1121">
        <f t="shared" si="314"/>
        <v>0</v>
      </c>
    </row>
    <row r="1122" ht="14.25" customHeight="1" spans="1:45">
      <c r="A1122" s="3" t="str">
        <f>IF(对接源_01水果!$C1122="","",对接源_01水果!$C1122)</f>
        <v/>
      </c>
      <c r="B1122" s="3">
        <f t="shared" si="298"/>
        <v>0</v>
      </c>
      <c r="C1122" s="3">
        <f t="shared" si="299"/>
        <v>18</v>
      </c>
      <c r="K1122" s="3">
        <f>IF(OR($K$1="",对接源_01水果!$C1122="",对接源_01水果!$C1122&lt;&gt;$K$1,对接源_01水果!$B1122=""),0,IF(OR(N(对接源_01水果!$B1122)&lt;$K$2,N(对接源_01水果!$B1122)&gt;$K$3),0,1))</f>
        <v>0</v>
      </c>
      <c r="L1122" s="3">
        <f>IF(OR($L$1="",对接源_01水果!$C1122="",对接源_01水果!$C1122&lt;&gt;$L$1,对接源_01水果!$B1122=""),0,IF(OR(N(对接源_01水果!$B1122)&lt;$L$2,N(对接源_01水果!$B1122)&gt;$L$3),0,1))</f>
        <v>0</v>
      </c>
      <c r="M1122" s="3">
        <f>IF(OR($M$1="",对接源_01水果!$C1122="",对接源_01水果!$C1122&lt;&gt;$M$1,对接源_01水果!$B1122=""),0,IF(OR(N(对接源_01水果!$B1122)&lt;$M$2,N(对接源_01水果!$B1122)&gt;$M$3),0,1))</f>
        <v>0</v>
      </c>
      <c r="N1122" s="3">
        <f>IF(OR($N$1="",对接源_01水果!$C1122="",对接源_01水果!$C1122&lt;&gt;$N$1,对接源_01水果!$B1122=""),0,IF(OR(N(对接源_01水果!$B1122)&lt;$N$2,N(对接源_01水果!$B1122)&gt;$N$3),0,1))</f>
        <v>0</v>
      </c>
      <c r="P1122" s="3">
        <f>IF(AND($K1122=1,AND(对接源_01水果!$X1122="公司筐",N(对接源_01水果!$T1122)&lt;&gt;0)),1,0)</f>
        <v>0</v>
      </c>
      <c r="Q1122" s="3">
        <f t="shared" si="300"/>
        <v>0</v>
      </c>
      <c r="R1122" s="3">
        <f>IF(AND($K1122=1,AND(对接源_01水果!$X1122="公司筐",N(对接源_01水果!$U1122)&lt;&gt;0)),1,0)</f>
        <v>0</v>
      </c>
      <c r="S1122" s="3">
        <f t="shared" si="301"/>
        <v>0</v>
      </c>
      <c r="T1122" s="3">
        <f>IF(AND($K1122=1,AND(对接源_01水果!$X1122="公司筐",N(对接源_01水果!$V1122)&lt;&gt;0)),1,0)</f>
        <v>0</v>
      </c>
      <c r="U1122" s="3">
        <f t="shared" si="302"/>
        <v>19</v>
      </c>
      <c r="V1122" s="3">
        <f>IF(AND($L1122=1,AND(对接源_01水果!$X1122="自备筐",N(对接源_01水果!$V1122)&lt;&gt;0)),1,0)</f>
        <v>0</v>
      </c>
      <c r="W1122" s="3">
        <f t="shared" si="303"/>
        <v>8</v>
      </c>
      <c r="X1122" s="3">
        <f>IF(AND($L1122=1,AND(对接源_01水果!$X1122="自备筐",N(对接源_01水果!$T1122)&lt;&gt;0)),1,0)</f>
        <v>0</v>
      </c>
      <c r="Y1122" s="3">
        <f t="shared" si="304"/>
        <v>0</v>
      </c>
      <c r="Z1122" s="3">
        <f>IF(AND($M1122=1,对接源_01水果!$D1122="原料入库"),1,0)</f>
        <v>0</v>
      </c>
      <c r="AA1122" s="3">
        <f t="shared" si="305"/>
        <v>24</v>
      </c>
      <c r="AB1122" s="3">
        <f>IF(AND($M1122=1,LEFT(对接源_01水果!$D1122,4)="原料出库"),1,0)</f>
        <v>0</v>
      </c>
      <c r="AC1122" s="3">
        <f t="shared" si="306"/>
        <v>0</v>
      </c>
      <c r="AD1122" s="3">
        <f>IF(AND($M1122=1,LEFT(对接源_01水果!$D1122,4)="成品出库"),1,0)</f>
        <v>0</v>
      </c>
      <c r="AE1122" s="3">
        <f t="shared" si="307"/>
        <v>0</v>
      </c>
      <c r="AF1122" s="3">
        <f>IF(AND($N1122=1,AND(LEFT(对接源_01水果!$D1122,4)="包装物料",N(对接源_01水果!$K1122)&lt;&gt;0)),1,0)</f>
        <v>0</v>
      </c>
      <c r="AG1122" s="3">
        <f t="shared" si="308"/>
        <v>0</v>
      </c>
      <c r="AH1122" s="3">
        <f>IF(AND($N1122=1,AND(对接源_01水果!$D1122="周转筐－销售出库",N(对接源_01水果!$K1122)&lt;&gt;0)),1,0)</f>
        <v>0</v>
      </c>
      <c r="AI1122" s="3">
        <f t="shared" si="309"/>
        <v>0</v>
      </c>
      <c r="AJ1122" s="7"/>
      <c r="AL1122" s="3">
        <f>IF(OR($AL$1="",对接源_01水果!$Y1122="",对接源_01水果!$Y1122&lt;&gt;$AL$1,对接源_01水果!$B1122="",N(对接源_01水果!$AJ1122)&lt;=0),0,IF(OR(N(对接源_01水果!$B1122)&lt;$AL$2,N(对接源_01水果!$B1122)&gt;$AL$3),0,1))</f>
        <v>0</v>
      </c>
      <c r="AM1122" s="3">
        <f t="shared" si="310"/>
        <v>1</v>
      </c>
      <c r="AN1122" s="3" t="str">
        <f>IF(对接源_01水果!$AC1122="","",对接源_01水果!$AC1122)</f>
        <v/>
      </c>
      <c r="AO1122" s="3">
        <f t="shared" si="311"/>
        <v>0</v>
      </c>
      <c r="AP1122" s="3">
        <f t="shared" si="312"/>
        <v>8</v>
      </c>
      <c r="AR1122">
        <f t="shared" si="313"/>
        <v>0</v>
      </c>
      <c r="AS1122">
        <f t="shared" si="314"/>
        <v>0</v>
      </c>
    </row>
    <row r="1123" ht="14.25" customHeight="1" spans="1:45">
      <c r="A1123" s="3" t="str">
        <f>IF(对接源_01水果!$C1123="","",对接源_01水果!$C1123)</f>
        <v/>
      </c>
      <c r="B1123" s="3">
        <f t="shared" si="298"/>
        <v>0</v>
      </c>
      <c r="C1123" s="3">
        <f t="shared" si="299"/>
        <v>18</v>
      </c>
      <c r="K1123" s="3">
        <f>IF(OR($K$1="",对接源_01水果!$C1123="",对接源_01水果!$C1123&lt;&gt;$K$1,对接源_01水果!$B1123=""),0,IF(OR(N(对接源_01水果!$B1123)&lt;$K$2,N(对接源_01水果!$B1123)&gt;$K$3),0,1))</f>
        <v>0</v>
      </c>
      <c r="L1123" s="3">
        <f>IF(OR($L$1="",对接源_01水果!$C1123="",对接源_01水果!$C1123&lt;&gt;$L$1,对接源_01水果!$B1123=""),0,IF(OR(N(对接源_01水果!$B1123)&lt;$L$2,N(对接源_01水果!$B1123)&gt;$L$3),0,1))</f>
        <v>0</v>
      </c>
      <c r="M1123" s="3">
        <f>IF(OR($M$1="",对接源_01水果!$C1123="",对接源_01水果!$C1123&lt;&gt;$M$1,对接源_01水果!$B1123=""),0,IF(OR(N(对接源_01水果!$B1123)&lt;$M$2,N(对接源_01水果!$B1123)&gt;$M$3),0,1))</f>
        <v>0</v>
      </c>
      <c r="N1123" s="3">
        <f>IF(OR($N$1="",对接源_01水果!$C1123="",对接源_01水果!$C1123&lt;&gt;$N$1,对接源_01水果!$B1123=""),0,IF(OR(N(对接源_01水果!$B1123)&lt;$N$2,N(对接源_01水果!$B1123)&gt;$N$3),0,1))</f>
        <v>0</v>
      </c>
      <c r="P1123" s="3">
        <f>IF(AND($K1123=1,AND(对接源_01水果!$X1123="公司筐",N(对接源_01水果!$T1123)&lt;&gt;0)),1,0)</f>
        <v>0</v>
      </c>
      <c r="Q1123" s="3">
        <f t="shared" si="300"/>
        <v>0</v>
      </c>
      <c r="R1123" s="3">
        <f>IF(AND($K1123=1,AND(对接源_01水果!$X1123="公司筐",N(对接源_01水果!$U1123)&lt;&gt;0)),1,0)</f>
        <v>0</v>
      </c>
      <c r="S1123" s="3">
        <f t="shared" si="301"/>
        <v>0</v>
      </c>
      <c r="T1123" s="3">
        <f>IF(AND($K1123=1,AND(对接源_01水果!$X1123="公司筐",N(对接源_01水果!$V1123)&lt;&gt;0)),1,0)</f>
        <v>0</v>
      </c>
      <c r="U1123" s="3">
        <f t="shared" si="302"/>
        <v>19</v>
      </c>
      <c r="V1123" s="3">
        <f>IF(AND($L1123=1,AND(对接源_01水果!$X1123="自备筐",N(对接源_01水果!$V1123)&lt;&gt;0)),1,0)</f>
        <v>0</v>
      </c>
      <c r="W1123" s="3">
        <f t="shared" si="303"/>
        <v>8</v>
      </c>
      <c r="X1123" s="3">
        <f>IF(AND($L1123=1,AND(对接源_01水果!$X1123="自备筐",N(对接源_01水果!$T1123)&lt;&gt;0)),1,0)</f>
        <v>0</v>
      </c>
      <c r="Y1123" s="3">
        <f t="shared" si="304"/>
        <v>0</v>
      </c>
      <c r="Z1123" s="3">
        <f>IF(AND($M1123=1,对接源_01水果!$D1123="原料入库"),1,0)</f>
        <v>0</v>
      </c>
      <c r="AA1123" s="3">
        <f t="shared" si="305"/>
        <v>24</v>
      </c>
      <c r="AB1123" s="3">
        <f>IF(AND($M1123=1,LEFT(对接源_01水果!$D1123,4)="原料出库"),1,0)</f>
        <v>0</v>
      </c>
      <c r="AC1123" s="3">
        <f t="shared" si="306"/>
        <v>0</v>
      </c>
      <c r="AD1123" s="3">
        <f>IF(AND($M1123=1,LEFT(对接源_01水果!$D1123,4)="成品出库"),1,0)</f>
        <v>0</v>
      </c>
      <c r="AE1123" s="3">
        <f t="shared" si="307"/>
        <v>0</v>
      </c>
      <c r="AF1123" s="3">
        <f>IF(AND($N1123=1,AND(LEFT(对接源_01水果!$D1123,4)="包装物料",N(对接源_01水果!$K1123)&lt;&gt;0)),1,0)</f>
        <v>0</v>
      </c>
      <c r="AG1123" s="3">
        <f t="shared" si="308"/>
        <v>0</v>
      </c>
      <c r="AH1123" s="3">
        <f>IF(AND($N1123=1,AND(对接源_01水果!$D1123="周转筐－销售出库",N(对接源_01水果!$K1123)&lt;&gt;0)),1,0)</f>
        <v>0</v>
      </c>
      <c r="AI1123" s="3">
        <f t="shared" si="309"/>
        <v>0</v>
      </c>
      <c r="AJ1123" s="7"/>
      <c r="AL1123" s="3">
        <f>IF(OR($AL$1="",对接源_01水果!$Y1123="",对接源_01水果!$Y1123&lt;&gt;$AL$1,对接源_01水果!$B1123="",N(对接源_01水果!$AJ1123)&lt;=0),0,IF(OR(N(对接源_01水果!$B1123)&lt;$AL$2,N(对接源_01水果!$B1123)&gt;$AL$3),0,1))</f>
        <v>0</v>
      </c>
      <c r="AM1123" s="3">
        <f t="shared" si="310"/>
        <v>1</v>
      </c>
      <c r="AN1123" s="3" t="str">
        <f>IF(对接源_01水果!$AC1123="","",对接源_01水果!$AC1123)</f>
        <v/>
      </c>
      <c r="AO1123" s="3">
        <f t="shared" si="311"/>
        <v>0</v>
      </c>
      <c r="AP1123" s="3">
        <f t="shared" si="312"/>
        <v>8</v>
      </c>
      <c r="AR1123">
        <f t="shared" si="313"/>
        <v>0</v>
      </c>
      <c r="AS1123">
        <f t="shared" si="314"/>
        <v>0</v>
      </c>
    </row>
    <row r="1124" ht="14.25" customHeight="1" spans="1:45">
      <c r="A1124" s="3" t="str">
        <f>IF(对接源_01水果!$C1124="","",对接源_01水果!$C1124)</f>
        <v/>
      </c>
      <c r="B1124" s="3">
        <f t="shared" si="298"/>
        <v>0</v>
      </c>
      <c r="C1124" s="3">
        <f t="shared" si="299"/>
        <v>18</v>
      </c>
      <c r="K1124" s="3">
        <f>IF(OR($K$1="",对接源_01水果!$C1124="",对接源_01水果!$C1124&lt;&gt;$K$1,对接源_01水果!$B1124=""),0,IF(OR(N(对接源_01水果!$B1124)&lt;$K$2,N(对接源_01水果!$B1124)&gt;$K$3),0,1))</f>
        <v>0</v>
      </c>
      <c r="L1124" s="3">
        <f>IF(OR($L$1="",对接源_01水果!$C1124="",对接源_01水果!$C1124&lt;&gt;$L$1,对接源_01水果!$B1124=""),0,IF(OR(N(对接源_01水果!$B1124)&lt;$L$2,N(对接源_01水果!$B1124)&gt;$L$3),0,1))</f>
        <v>0</v>
      </c>
      <c r="M1124" s="3">
        <f>IF(OR($M$1="",对接源_01水果!$C1124="",对接源_01水果!$C1124&lt;&gt;$M$1,对接源_01水果!$B1124=""),0,IF(OR(N(对接源_01水果!$B1124)&lt;$M$2,N(对接源_01水果!$B1124)&gt;$M$3),0,1))</f>
        <v>0</v>
      </c>
      <c r="N1124" s="3">
        <f>IF(OR($N$1="",对接源_01水果!$C1124="",对接源_01水果!$C1124&lt;&gt;$N$1,对接源_01水果!$B1124=""),0,IF(OR(N(对接源_01水果!$B1124)&lt;$N$2,N(对接源_01水果!$B1124)&gt;$N$3),0,1))</f>
        <v>0</v>
      </c>
      <c r="P1124" s="3">
        <f>IF(AND($K1124=1,AND(对接源_01水果!$X1124="公司筐",N(对接源_01水果!$T1124)&lt;&gt;0)),1,0)</f>
        <v>0</v>
      </c>
      <c r="Q1124" s="3">
        <f t="shared" si="300"/>
        <v>0</v>
      </c>
      <c r="R1124" s="3">
        <f>IF(AND($K1124=1,AND(对接源_01水果!$X1124="公司筐",N(对接源_01水果!$U1124)&lt;&gt;0)),1,0)</f>
        <v>0</v>
      </c>
      <c r="S1124" s="3">
        <f t="shared" si="301"/>
        <v>0</v>
      </c>
      <c r="T1124" s="3">
        <f>IF(AND($K1124=1,AND(对接源_01水果!$X1124="公司筐",N(对接源_01水果!$V1124)&lt;&gt;0)),1,0)</f>
        <v>0</v>
      </c>
      <c r="U1124" s="3">
        <f t="shared" si="302"/>
        <v>19</v>
      </c>
      <c r="V1124" s="3">
        <f>IF(AND($L1124=1,AND(对接源_01水果!$X1124="自备筐",N(对接源_01水果!$V1124)&lt;&gt;0)),1,0)</f>
        <v>0</v>
      </c>
      <c r="W1124" s="3">
        <f t="shared" si="303"/>
        <v>8</v>
      </c>
      <c r="X1124" s="3">
        <f>IF(AND($L1124=1,AND(对接源_01水果!$X1124="自备筐",N(对接源_01水果!$T1124)&lt;&gt;0)),1,0)</f>
        <v>0</v>
      </c>
      <c r="Y1124" s="3">
        <f t="shared" si="304"/>
        <v>0</v>
      </c>
      <c r="Z1124" s="3">
        <f>IF(AND($M1124=1,对接源_01水果!$D1124="原料入库"),1,0)</f>
        <v>0</v>
      </c>
      <c r="AA1124" s="3">
        <f t="shared" si="305"/>
        <v>24</v>
      </c>
      <c r="AB1124" s="3">
        <f>IF(AND($M1124=1,LEFT(对接源_01水果!$D1124,4)="原料出库"),1,0)</f>
        <v>0</v>
      </c>
      <c r="AC1124" s="3">
        <f t="shared" si="306"/>
        <v>0</v>
      </c>
      <c r="AD1124" s="3">
        <f>IF(AND($M1124=1,LEFT(对接源_01水果!$D1124,4)="成品出库"),1,0)</f>
        <v>0</v>
      </c>
      <c r="AE1124" s="3">
        <f t="shared" si="307"/>
        <v>0</v>
      </c>
      <c r="AF1124" s="3">
        <f>IF(AND($N1124=1,AND(LEFT(对接源_01水果!$D1124,4)="包装物料",N(对接源_01水果!$K1124)&lt;&gt;0)),1,0)</f>
        <v>0</v>
      </c>
      <c r="AG1124" s="3">
        <f t="shared" si="308"/>
        <v>0</v>
      </c>
      <c r="AH1124" s="3">
        <f>IF(AND($N1124=1,AND(对接源_01水果!$D1124="周转筐－销售出库",N(对接源_01水果!$K1124)&lt;&gt;0)),1,0)</f>
        <v>0</v>
      </c>
      <c r="AI1124" s="3">
        <f t="shared" si="309"/>
        <v>0</v>
      </c>
      <c r="AJ1124" s="7"/>
      <c r="AL1124" s="3">
        <f>IF(OR($AL$1="",对接源_01水果!$Y1124="",对接源_01水果!$Y1124&lt;&gt;$AL$1,对接源_01水果!$B1124="",N(对接源_01水果!$AJ1124)&lt;=0),0,IF(OR(N(对接源_01水果!$B1124)&lt;$AL$2,N(对接源_01水果!$B1124)&gt;$AL$3),0,1))</f>
        <v>0</v>
      </c>
      <c r="AM1124" s="3">
        <f t="shared" si="310"/>
        <v>1</v>
      </c>
      <c r="AN1124" s="3" t="str">
        <f>IF(对接源_01水果!$AC1124="","",对接源_01水果!$AC1124)</f>
        <v/>
      </c>
      <c r="AO1124" s="3">
        <f t="shared" si="311"/>
        <v>0</v>
      </c>
      <c r="AP1124" s="3">
        <f t="shared" si="312"/>
        <v>8</v>
      </c>
      <c r="AR1124">
        <f t="shared" si="313"/>
        <v>0</v>
      </c>
      <c r="AS1124">
        <f t="shared" si="314"/>
        <v>0</v>
      </c>
    </row>
    <row r="1125" ht="14.25" customHeight="1" spans="1:45">
      <c r="A1125" s="3" t="str">
        <f>IF(对接源_01水果!$C1125="","",对接源_01水果!$C1125)</f>
        <v/>
      </c>
      <c r="B1125" s="3">
        <f t="shared" si="298"/>
        <v>0</v>
      </c>
      <c r="C1125" s="3">
        <f t="shared" si="299"/>
        <v>18</v>
      </c>
      <c r="K1125" s="3">
        <f>IF(OR($K$1="",对接源_01水果!$C1125="",对接源_01水果!$C1125&lt;&gt;$K$1,对接源_01水果!$B1125=""),0,IF(OR(N(对接源_01水果!$B1125)&lt;$K$2,N(对接源_01水果!$B1125)&gt;$K$3),0,1))</f>
        <v>0</v>
      </c>
      <c r="L1125" s="3">
        <f>IF(OR($L$1="",对接源_01水果!$C1125="",对接源_01水果!$C1125&lt;&gt;$L$1,对接源_01水果!$B1125=""),0,IF(OR(N(对接源_01水果!$B1125)&lt;$L$2,N(对接源_01水果!$B1125)&gt;$L$3),0,1))</f>
        <v>0</v>
      </c>
      <c r="M1125" s="3">
        <f>IF(OR($M$1="",对接源_01水果!$C1125="",对接源_01水果!$C1125&lt;&gt;$M$1,对接源_01水果!$B1125=""),0,IF(OR(N(对接源_01水果!$B1125)&lt;$M$2,N(对接源_01水果!$B1125)&gt;$M$3),0,1))</f>
        <v>0</v>
      </c>
      <c r="N1125" s="3">
        <f>IF(OR($N$1="",对接源_01水果!$C1125="",对接源_01水果!$C1125&lt;&gt;$N$1,对接源_01水果!$B1125=""),0,IF(OR(N(对接源_01水果!$B1125)&lt;$N$2,N(对接源_01水果!$B1125)&gt;$N$3),0,1))</f>
        <v>0</v>
      </c>
      <c r="P1125" s="3">
        <f>IF(AND($K1125=1,AND(对接源_01水果!$X1125="公司筐",N(对接源_01水果!$T1125)&lt;&gt;0)),1,0)</f>
        <v>0</v>
      </c>
      <c r="Q1125" s="3">
        <f t="shared" si="300"/>
        <v>0</v>
      </c>
      <c r="R1125" s="3">
        <f>IF(AND($K1125=1,AND(对接源_01水果!$X1125="公司筐",N(对接源_01水果!$U1125)&lt;&gt;0)),1,0)</f>
        <v>0</v>
      </c>
      <c r="S1125" s="3">
        <f t="shared" si="301"/>
        <v>0</v>
      </c>
      <c r="T1125" s="3">
        <f>IF(AND($K1125=1,AND(对接源_01水果!$X1125="公司筐",N(对接源_01水果!$V1125)&lt;&gt;0)),1,0)</f>
        <v>0</v>
      </c>
      <c r="U1125" s="3">
        <f t="shared" si="302"/>
        <v>19</v>
      </c>
      <c r="V1125" s="3">
        <f>IF(AND($L1125=1,AND(对接源_01水果!$X1125="自备筐",N(对接源_01水果!$V1125)&lt;&gt;0)),1,0)</f>
        <v>0</v>
      </c>
      <c r="W1125" s="3">
        <f t="shared" si="303"/>
        <v>8</v>
      </c>
      <c r="X1125" s="3">
        <f>IF(AND($L1125=1,AND(对接源_01水果!$X1125="自备筐",N(对接源_01水果!$T1125)&lt;&gt;0)),1,0)</f>
        <v>0</v>
      </c>
      <c r="Y1125" s="3">
        <f t="shared" si="304"/>
        <v>0</v>
      </c>
      <c r="Z1125" s="3">
        <f>IF(AND($M1125=1,对接源_01水果!$D1125="原料入库"),1,0)</f>
        <v>0</v>
      </c>
      <c r="AA1125" s="3">
        <f t="shared" si="305"/>
        <v>24</v>
      </c>
      <c r="AB1125" s="3">
        <f>IF(AND($M1125=1,LEFT(对接源_01水果!$D1125,4)="原料出库"),1,0)</f>
        <v>0</v>
      </c>
      <c r="AC1125" s="3">
        <f t="shared" si="306"/>
        <v>0</v>
      </c>
      <c r="AD1125" s="3">
        <f>IF(AND($M1125=1,LEFT(对接源_01水果!$D1125,4)="成品出库"),1,0)</f>
        <v>0</v>
      </c>
      <c r="AE1125" s="3">
        <f t="shared" si="307"/>
        <v>0</v>
      </c>
      <c r="AF1125" s="3">
        <f>IF(AND($N1125=1,AND(LEFT(对接源_01水果!$D1125,4)="包装物料",N(对接源_01水果!$K1125)&lt;&gt;0)),1,0)</f>
        <v>0</v>
      </c>
      <c r="AG1125" s="3">
        <f t="shared" si="308"/>
        <v>0</v>
      </c>
      <c r="AH1125" s="3">
        <f>IF(AND($N1125=1,AND(对接源_01水果!$D1125="周转筐－销售出库",N(对接源_01水果!$K1125)&lt;&gt;0)),1,0)</f>
        <v>0</v>
      </c>
      <c r="AI1125" s="3">
        <f t="shared" si="309"/>
        <v>0</v>
      </c>
      <c r="AJ1125" s="7"/>
      <c r="AL1125" s="3">
        <f>IF(OR($AL$1="",对接源_01水果!$Y1125="",对接源_01水果!$Y1125&lt;&gt;$AL$1,对接源_01水果!$B1125="",N(对接源_01水果!$AJ1125)&lt;=0),0,IF(OR(N(对接源_01水果!$B1125)&lt;$AL$2,N(对接源_01水果!$B1125)&gt;$AL$3),0,1))</f>
        <v>0</v>
      </c>
      <c r="AM1125" s="3">
        <f t="shared" si="310"/>
        <v>1</v>
      </c>
      <c r="AN1125" s="3" t="str">
        <f>IF(对接源_01水果!$AC1125="","",对接源_01水果!$AC1125)</f>
        <v/>
      </c>
      <c r="AO1125" s="3">
        <f t="shared" si="311"/>
        <v>0</v>
      </c>
      <c r="AP1125" s="3">
        <f t="shared" si="312"/>
        <v>8</v>
      </c>
      <c r="AR1125">
        <f t="shared" si="313"/>
        <v>0</v>
      </c>
      <c r="AS1125">
        <f t="shared" si="314"/>
        <v>0</v>
      </c>
    </row>
    <row r="1126" ht="14.25" customHeight="1" spans="1:45">
      <c r="A1126" s="3" t="str">
        <f>IF(对接源_01水果!$C1126="","",对接源_01水果!$C1126)</f>
        <v/>
      </c>
      <c r="B1126" s="3">
        <f t="shared" si="298"/>
        <v>0</v>
      </c>
      <c r="C1126" s="3">
        <f t="shared" si="299"/>
        <v>18</v>
      </c>
      <c r="K1126" s="3">
        <f>IF(OR($K$1="",对接源_01水果!$C1126="",对接源_01水果!$C1126&lt;&gt;$K$1,对接源_01水果!$B1126=""),0,IF(OR(N(对接源_01水果!$B1126)&lt;$K$2,N(对接源_01水果!$B1126)&gt;$K$3),0,1))</f>
        <v>0</v>
      </c>
      <c r="L1126" s="3">
        <f>IF(OR($L$1="",对接源_01水果!$C1126="",对接源_01水果!$C1126&lt;&gt;$L$1,对接源_01水果!$B1126=""),0,IF(OR(N(对接源_01水果!$B1126)&lt;$L$2,N(对接源_01水果!$B1126)&gt;$L$3),0,1))</f>
        <v>0</v>
      </c>
      <c r="M1126" s="3">
        <f>IF(OR($M$1="",对接源_01水果!$C1126="",对接源_01水果!$C1126&lt;&gt;$M$1,对接源_01水果!$B1126=""),0,IF(OR(N(对接源_01水果!$B1126)&lt;$M$2,N(对接源_01水果!$B1126)&gt;$M$3),0,1))</f>
        <v>0</v>
      </c>
      <c r="N1126" s="3">
        <f>IF(OR($N$1="",对接源_01水果!$C1126="",对接源_01水果!$C1126&lt;&gt;$N$1,对接源_01水果!$B1126=""),0,IF(OR(N(对接源_01水果!$B1126)&lt;$N$2,N(对接源_01水果!$B1126)&gt;$N$3),0,1))</f>
        <v>0</v>
      </c>
      <c r="P1126" s="3">
        <f>IF(AND($K1126=1,AND(对接源_01水果!$X1126="公司筐",N(对接源_01水果!$T1126)&lt;&gt;0)),1,0)</f>
        <v>0</v>
      </c>
      <c r="Q1126" s="3">
        <f t="shared" si="300"/>
        <v>0</v>
      </c>
      <c r="R1126" s="3">
        <f>IF(AND($K1126=1,AND(对接源_01水果!$X1126="公司筐",N(对接源_01水果!$U1126)&lt;&gt;0)),1,0)</f>
        <v>0</v>
      </c>
      <c r="S1126" s="3">
        <f t="shared" si="301"/>
        <v>0</v>
      </c>
      <c r="T1126" s="3">
        <f>IF(AND($K1126=1,AND(对接源_01水果!$X1126="公司筐",N(对接源_01水果!$V1126)&lt;&gt;0)),1,0)</f>
        <v>0</v>
      </c>
      <c r="U1126" s="3">
        <f t="shared" si="302"/>
        <v>19</v>
      </c>
      <c r="V1126" s="3">
        <f>IF(AND($L1126=1,AND(对接源_01水果!$X1126="自备筐",N(对接源_01水果!$V1126)&lt;&gt;0)),1,0)</f>
        <v>0</v>
      </c>
      <c r="W1126" s="3">
        <f t="shared" si="303"/>
        <v>8</v>
      </c>
      <c r="X1126" s="3">
        <f>IF(AND($L1126=1,AND(对接源_01水果!$X1126="自备筐",N(对接源_01水果!$T1126)&lt;&gt;0)),1,0)</f>
        <v>0</v>
      </c>
      <c r="Y1126" s="3">
        <f t="shared" si="304"/>
        <v>0</v>
      </c>
      <c r="Z1126" s="3">
        <f>IF(AND($M1126=1,对接源_01水果!$D1126="原料入库"),1,0)</f>
        <v>0</v>
      </c>
      <c r="AA1126" s="3">
        <f t="shared" si="305"/>
        <v>24</v>
      </c>
      <c r="AB1126" s="3">
        <f>IF(AND($M1126=1,LEFT(对接源_01水果!$D1126,4)="原料出库"),1,0)</f>
        <v>0</v>
      </c>
      <c r="AC1126" s="3">
        <f t="shared" si="306"/>
        <v>0</v>
      </c>
      <c r="AD1126" s="3">
        <f>IF(AND($M1126=1,LEFT(对接源_01水果!$D1126,4)="成品出库"),1,0)</f>
        <v>0</v>
      </c>
      <c r="AE1126" s="3">
        <f t="shared" si="307"/>
        <v>0</v>
      </c>
      <c r="AF1126" s="3">
        <f>IF(AND($N1126=1,AND(LEFT(对接源_01水果!$D1126,4)="包装物料",N(对接源_01水果!$K1126)&lt;&gt;0)),1,0)</f>
        <v>0</v>
      </c>
      <c r="AG1126" s="3">
        <f t="shared" si="308"/>
        <v>0</v>
      </c>
      <c r="AH1126" s="3">
        <f>IF(AND($N1126=1,AND(对接源_01水果!$D1126="周转筐－销售出库",N(对接源_01水果!$K1126)&lt;&gt;0)),1,0)</f>
        <v>0</v>
      </c>
      <c r="AI1126" s="3">
        <f t="shared" si="309"/>
        <v>0</v>
      </c>
      <c r="AJ1126" s="7"/>
      <c r="AL1126" s="3">
        <f>IF(OR($AL$1="",对接源_01水果!$Y1126="",对接源_01水果!$Y1126&lt;&gt;$AL$1,对接源_01水果!$B1126="",N(对接源_01水果!$AJ1126)&lt;=0),0,IF(OR(N(对接源_01水果!$B1126)&lt;$AL$2,N(对接源_01水果!$B1126)&gt;$AL$3),0,1))</f>
        <v>0</v>
      </c>
      <c r="AM1126" s="3">
        <f t="shared" si="310"/>
        <v>1</v>
      </c>
      <c r="AN1126" s="3" t="str">
        <f>IF(对接源_01水果!$AC1126="","",对接源_01水果!$AC1126)</f>
        <v/>
      </c>
      <c r="AO1126" s="3">
        <f t="shared" si="311"/>
        <v>0</v>
      </c>
      <c r="AP1126" s="3">
        <f t="shared" si="312"/>
        <v>8</v>
      </c>
      <c r="AR1126">
        <f t="shared" si="313"/>
        <v>0</v>
      </c>
      <c r="AS1126">
        <f t="shared" si="314"/>
        <v>0</v>
      </c>
    </row>
    <row r="1127" ht="14.25" customHeight="1" spans="1:45">
      <c r="A1127" s="3" t="str">
        <f>IF(对接源_01水果!$C1127="","",对接源_01水果!$C1127)</f>
        <v/>
      </c>
      <c r="B1127" s="3">
        <f t="shared" si="298"/>
        <v>0</v>
      </c>
      <c r="C1127" s="3">
        <f t="shared" si="299"/>
        <v>18</v>
      </c>
      <c r="K1127" s="3">
        <f>IF(OR($K$1="",对接源_01水果!$C1127="",对接源_01水果!$C1127&lt;&gt;$K$1,对接源_01水果!$B1127=""),0,IF(OR(N(对接源_01水果!$B1127)&lt;$K$2,N(对接源_01水果!$B1127)&gt;$K$3),0,1))</f>
        <v>0</v>
      </c>
      <c r="L1127" s="3">
        <f>IF(OR($L$1="",对接源_01水果!$C1127="",对接源_01水果!$C1127&lt;&gt;$L$1,对接源_01水果!$B1127=""),0,IF(OR(N(对接源_01水果!$B1127)&lt;$L$2,N(对接源_01水果!$B1127)&gt;$L$3),0,1))</f>
        <v>0</v>
      </c>
      <c r="M1127" s="3">
        <f>IF(OR($M$1="",对接源_01水果!$C1127="",对接源_01水果!$C1127&lt;&gt;$M$1,对接源_01水果!$B1127=""),0,IF(OR(N(对接源_01水果!$B1127)&lt;$M$2,N(对接源_01水果!$B1127)&gt;$M$3),0,1))</f>
        <v>0</v>
      </c>
      <c r="N1127" s="3">
        <f>IF(OR($N$1="",对接源_01水果!$C1127="",对接源_01水果!$C1127&lt;&gt;$N$1,对接源_01水果!$B1127=""),0,IF(OR(N(对接源_01水果!$B1127)&lt;$N$2,N(对接源_01水果!$B1127)&gt;$N$3),0,1))</f>
        <v>0</v>
      </c>
      <c r="P1127" s="3">
        <f>IF(AND($K1127=1,AND(对接源_01水果!$X1127="公司筐",N(对接源_01水果!$T1127)&lt;&gt;0)),1,0)</f>
        <v>0</v>
      </c>
      <c r="Q1127" s="3">
        <f t="shared" si="300"/>
        <v>0</v>
      </c>
      <c r="R1127" s="3">
        <f>IF(AND($K1127=1,AND(对接源_01水果!$X1127="公司筐",N(对接源_01水果!$U1127)&lt;&gt;0)),1,0)</f>
        <v>0</v>
      </c>
      <c r="S1127" s="3">
        <f t="shared" si="301"/>
        <v>0</v>
      </c>
      <c r="T1127" s="3">
        <f>IF(AND($K1127=1,AND(对接源_01水果!$X1127="公司筐",N(对接源_01水果!$V1127)&lt;&gt;0)),1,0)</f>
        <v>0</v>
      </c>
      <c r="U1127" s="3">
        <f t="shared" si="302"/>
        <v>19</v>
      </c>
      <c r="V1127" s="3">
        <f>IF(AND($L1127=1,AND(对接源_01水果!$X1127="自备筐",N(对接源_01水果!$V1127)&lt;&gt;0)),1,0)</f>
        <v>0</v>
      </c>
      <c r="W1127" s="3">
        <f t="shared" si="303"/>
        <v>8</v>
      </c>
      <c r="X1127" s="3">
        <f>IF(AND($L1127=1,AND(对接源_01水果!$X1127="自备筐",N(对接源_01水果!$T1127)&lt;&gt;0)),1,0)</f>
        <v>0</v>
      </c>
      <c r="Y1127" s="3">
        <f t="shared" si="304"/>
        <v>0</v>
      </c>
      <c r="Z1127" s="3">
        <f>IF(AND($M1127=1,对接源_01水果!$D1127="原料入库"),1,0)</f>
        <v>0</v>
      </c>
      <c r="AA1127" s="3">
        <f t="shared" si="305"/>
        <v>24</v>
      </c>
      <c r="AB1127" s="3">
        <f>IF(AND($M1127=1,LEFT(对接源_01水果!$D1127,4)="原料出库"),1,0)</f>
        <v>0</v>
      </c>
      <c r="AC1127" s="3">
        <f t="shared" si="306"/>
        <v>0</v>
      </c>
      <c r="AD1127" s="3">
        <f>IF(AND($M1127=1,LEFT(对接源_01水果!$D1127,4)="成品出库"),1,0)</f>
        <v>0</v>
      </c>
      <c r="AE1127" s="3">
        <f t="shared" si="307"/>
        <v>0</v>
      </c>
      <c r="AF1127" s="3">
        <f>IF(AND($N1127=1,AND(LEFT(对接源_01水果!$D1127,4)="包装物料",N(对接源_01水果!$K1127)&lt;&gt;0)),1,0)</f>
        <v>0</v>
      </c>
      <c r="AG1127" s="3">
        <f t="shared" si="308"/>
        <v>0</v>
      </c>
      <c r="AH1127" s="3">
        <f>IF(AND($N1127=1,AND(对接源_01水果!$D1127="周转筐－销售出库",N(对接源_01水果!$K1127)&lt;&gt;0)),1,0)</f>
        <v>0</v>
      </c>
      <c r="AI1127" s="3">
        <f t="shared" si="309"/>
        <v>0</v>
      </c>
      <c r="AJ1127" s="7"/>
      <c r="AL1127" s="3">
        <f>IF(OR($AL$1="",对接源_01水果!$Y1127="",对接源_01水果!$Y1127&lt;&gt;$AL$1,对接源_01水果!$B1127="",N(对接源_01水果!$AJ1127)&lt;=0),0,IF(OR(N(对接源_01水果!$B1127)&lt;$AL$2,N(对接源_01水果!$B1127)&gt;$AL$3),0,1))</f>
        <v>0</v>
      </c>
      <c r="AM1127" s="3">
        <f t="shared" si="310"/>
        <v>1</v>
      </c>
      <c r="AN1127" s="3" t="str">
        <f>IF(对接源_01水果!$AC1127="","",对接源_01水果!$AC1127)</f>
        <v/>
      </c>
      <c r="AO1127" s="3">
        <f t="shared" si="311"/>
        <v>0</v>
      </c>
      <c r="AP1127" s="3">
        <f t="shared" si="312"/>
        <v>8</v>
      </c>
      <c r="AR1127">
        <f t="shared" si="313"/>
        <v>0</v>
      </c>
      <c r="AS1127">
        <f t="shared" si="314"/>
        <v>0</v>
      </c>
    </row>
    <row r="1128" ht="14.25" customHeight="1" spans="1:45">
      <c r="A1128" s="3" t="str">
        <f>IF(对接源_01水果!$C1128="","",对接源_01水果!$C1128)</f>
        <v/>
      </c>
      <c r="B1128" s="3">
        <f t="shared" si="298"/>
        <v>0</v>
      </c>
      <c r="C1128" s="3">
        <f t="shared" si="299"/>
        <v>18</v>
      </c>
      <c r="K1128" s="3">
        <f>IF(OR($K$1="",对接源_01水果!$C1128="",对接源_01水果!$C1128&lt;&gt;$K$1,对接源_01水果!$B1128=""),0,IF(OR(N(对接源_01水果!$B1128)&lt;$K$2,N(对接源_01水果!$B1128)&gt;$K$3),0,1))</f>
        <v>0</v>
      </c>
      <c r="L1128" s="3">
        <f>IF(OR($L$1="",对接源_01水果!$C1128="",对接源_01水果!$C1128&lt;&gt;$L$1,对接源_01水果!$B1128=""),0,IF(OR(N(对接源_01水果!$B1128)&lt;$L$2,N(对接源_01水果!$B1128)&gt;$L$3),0,1))</f>
        <v>0</v>
      </c>
      <c r="M1128" s="3">
        <f>IF(OR($M$1="",对接源_01水果!$C1128="",对接源_01水果!$C1128&lt;&gt;$M$1,对接源_01水果!$B1128=""),0,IF(OR(N(对接源_01水果!$B1128)&lt;$M$2,N(对接源_01水果!$B1128)&gt;$M$3),0,1))</f>
        <v>0</v>
      </c>
      <c r="N1128" s="3">
        <f>IF(OR($N$1="",对接源_01水果!$C1128="",对接源_01水果!$C1128&lt;&gt;$N$1,对接源_01水果!$B1128=""),0,IF(OR(N(对接源_01水果!$B1128)&lt;$N$2,N(对接源_01水果!$B1128)&gt;$N$3),0,1))</f>
        <v>0</v>
      </c>
      <c r="P1128" s="3">
        <f>IF(AND($K1128=1,AND(对接源_01水果!$X1128="公司筐",N(对接源_01水果!$T1128)&lt;&gt;0)),1,0)</f>
        <v>0</v>
      </c>
      <c r="Q1128" s="3">
        <f t="shared" si="300"/>
        <v>0</v>
      </c>
      <c r="R1128" s="3">
        <f>IF(AND($K1128=1,AND(对接源_01水果!$X1128="公司筐",N(对接源_01水果!$U1128)&lt;&gt;0)),1,0)</f>
        <v>0</v>
      </c>
      <c r="S1128" s="3">
        <f t="shared" si="301"/>
        <v>0</v>
      </c>
      <c r="T1128" s="3">
        <f>IF(AND($K1128=1,AND(对接源_01水果!$X1128="公司筐",N(对接源_01水果!$V1128)&lt;&gt;0)),1,0)</f>
        <v>0</v>
      </c>
      <c r="U1128" s="3">
        <f t="shared" si="302"/>
        <v>19</v>
      </c>
      <c r="V1128" s="3">
        <f>IF(AND($L1128=1,AND(对接源_01水果!$X1128="自备筐",N(对接源_01水果!$V1128)&lt;&gt;0)),1,0)</f>
        <v>0</v>
      </c>
      <c r="W1128" s="3">
        <f t="shared" si="303"/>
        <v>8</v>
      </c>
      <c r="X1128" s="3">
        <f>IF(AND($L1128=1,AND(对接源_01水果!$X1128="自备筐",N(对接源_01水果!$T1128)&lt;&gt;0)),1,0)</f>
        <v>0</v>
      </c>
      <c r="Y1128" s="3">
        <f t="shared" si="304"/>
        <v>0</v>
      </c>
      <c r="Z1128" s="3">
        <f>IF(AND($M1128=1,对接源_01水果!$D1128="原料入库"),1,0)</f>
        <v>0</v>
      </c>
      <c r="AA1128" s="3">
        <f t="shared" si="305"/>
        <v>24</v>
      </c>
      <c r="AB1128" s="3">
        <f>IF(AND($M1128=1,LEFT(对接源_01水果!$D1128,4)="原料出库"),1,0)</f>
        <v>0</v>
      </c>
      <c r="AC1128" s="3">
        <f t="shared" si="306"/>
        <v>0</v>
      </c>
      <c r="AD1128" s="3">
        <f>IF(AND($M1128=1,LEFT(对接源_01水果!$D1128,4)="成品出库"),1,0)</f>
        <v>0</v>
      </c>
      <c r="AE1128" s="3">
        <f t="shared" si="307"/>
        <v>0</v>
      </c>
      <c r="AF1128" s="3">
        <f>IF(AND($N1128=1,AND(LEFT(对接源_01水果!$D1128,4)="包装物料",N(对接源_01水果!$K1128)&lt;&gt;0)),1,0)</f>
        <v>0</v>
      </c>
      <c r="AG1128" s="3">
        <f t="shared" si="308"/>
        <v>0</v>
      </c>
      <c r="AH1128" s="3">
        <f>IF(AND($N1128=1,AND(对接源_01水果!$D1128="周转筐－销售出库",N(对接源_01水果!$K1128)&lt;&gt;0)),1,0)</f>
        <v>0</v>
      </c>
      <c r="AI1128" s="3">
        <f t="shared" si="309"/>
        <v>0</v>
      </c>
      <c r="AJ1128" s="7"/>
      <c r="AL1128" s="3">
        <f>IF(OR($AL$1="",对接源_01水果!$Y1128="",对接源_01水果!$Y1128&lt;&gt;$AL$1,对接源_01水果!$B1128="",N(对接源_01水果!$AJ1128)&lt;=0),0,IF(OR(N(对接源_01水果!$B1128)&lt;$AL$2,N(对接源_01水果!$B1128)&gt;$AL$3),0,1))</f>
        <v>0</v>
      </c>
      <c r="AM1128" s="3">
        <f t="shared" si="310"/>
        <v>1</v>
      </c>
      <c r="AN1128" s="3" t="str">
        <f>IF(对接源_01水果!$AC1128="","",对接源_01水果!$AC1128)</f>
        <v/>
      </c>
      <c r="AO1128" s="3">
        <f t="shared" si="311"/>
        <v>0</v>
      </c>
      <c r="AP1128" s="3">
        <f t="shared" si="312"/>
        <v>8</v>
      </c>
      <c r="AR1128">
        <f t="shared" si="313"/>
        <v>0</v>
      </c>
      <c r="AS1128">
        <f t="shared" si="314"/>
        <v>0</v>
      </c>
    </row>
    <row r="1129" ht="14.25" customHeight="1" spans="1:45">
      <c r="A1129" s="3" t="str">
        <f>IF(对接源_01水果!$C1129="","",对接源_01水果!$C1129)</f>
        <v/>
      </c>
      <c r="B1129" s="3">
        <f t="shared" si="298"/>
        <v>0</v>
      </c>
      <c r="C1129" s="3">
        <f t="shared" si="299"/>
        <v>18</v>
      </c>
      <c r="K1129" s="3">
        <f>IF(OR($K$1="",对接源_01水果!$C1129="",对接源_01水果!$C1129&lt;&gt;$K$1,对接源_01水果!$B1129=""),0,IF(OR(N(对接源_01水果!$B1129)&lt;$K$2,N(对接源_01水果!$B1129)&gt;$K$3),0,1))</f>
        <v>0</v>
      </c>
      <c r="L1129" s="3">
        <f>IF(OR($L$1="",对接源_01水果!$C1129="",对接源_01水果!$C1129&lt;&gt;$L$1,对接源_01水果!$B1129=""),0,IF(OR(N(对接源_01水果!$B1129)&lt;$L$2,N(对接源_01水果!$B1129)&gt;$L$3),0,1))</f>
        <v>0</v>
      </c>
      <c r="M1129" s="3">
        <f>IF(OR($M$1="",对接源_01水果!$C1129="",对接源_01水果!$C1129&lt;&gt;$M$1,对接源_01水果!$B1129=""),0,IF(OR(N(对接源_01水果!$B1129)&lt;$M$2,N(对接源_01水果!$B1129)&gt;$M$3),0,1))</f>
        <v>0</v>
      </c>
      <c r="N1129" s="3">
        <f>IF(OR($N$1="",对接源_01水果!$C1129="",对接源_01水果!$C1129&lt;&gt;$N$1,对接源_01水果!$B1129=""),0,IF(OR(N(对接源_01水果!$B1129)&lt;$N$2,N(对接源_01水果!$B1129)&gt;$N$3),0,1))</f>
        <v>0</v>
      </c>
      <c r="P1129" s="3">
        <f>IF(AND($K1129=1,AND(对接源_01水果!$X1129="公司筐",N(对接源_01水果!$T1129)&lt;&gt;0)),1,0)</f>
        <v>0</v>
      </c>
      <c r="Q1129" s="3">
        <f t="shared" si="300"/>
        <v>0</v>
      </c>
      <c r="R1129" s="3">
        <f>IF(AND($K1129=1,AND(对接源_01水果!$X1129="公司筐",N(对接源_01水果!$U1129)&lt;&gt;0)),1,0)</f>
        <v>0</v>
      </c>
      <c r="S1129" s="3">
        <f t="shared" si="301"/>
        <v>0</v>
      </c>
      <c r="T1129" s="3">
        <f>IF(AND($K1129=1,AND(对接源_01水果!$X1129="公司筐",N(对接源_01水果!$V1129)&lt;&gt;0)),1,0)</f>
        <v>0</v>
      </c>
      <c r="U1129" s="3">
        <f t="shared" si="302"/>
        <v>19</v>
      </c>
      <c r="V1129" s="3">
        <f>IF(AND($L1129=1,AND(对接源_01水果!$X1129="自备筐",N(对接源_01水果!$V1129)&lt;&gt;0)),1,0)</f>
        <v>0</v>
      </c>
      <c r="W1129" s="3">
        <f t="shared" si="303"/>
        <v>8</v>
      </c>
      <c r="X1129" s="3">
        <f>IF(AND($L1129=1,AND(对接源_01水果!$X1129="自备筐",N(对接源_01水果!$T1129)&lt;&gt;0)),1,0)</f>
        <v>0</v>
      </c>
      <c r="Y1129" s="3">
        <f t="shared" si="304"/>
        <v>0</v>
      </c>
      <c r="Z1129" s="3">
        <f>IF(AND($M1129=1,对接源_01水果!$D1129="原料入库"),1,0)</f>
        <v>0</v>
      </c>
      <c r="AA1129" s="3">
        <f t="shared" si="305"/>
        <v>24</v>
      </c>
      <c r="AB1129" s="3">
        <f>IF(AND($M1129=1,LEFT(对接源_01水果!$D1129,4)="原料出库"),1,0)</f>
        <v>0</v>
      </c>
      <c r="AC1129" s="3">
        <f t="shared" si="306"/>
        <v>0</v>
      </c>
      <c r="AD1129" s="3">
        <f>IF(AND($M1129=1,LEFT(对接源_01水果!$D1129,4)="成品出库"),1,0)</f>
        <v>0</v>
      </c>
      <c r="AE1129" s="3">
        <f t="shared" si="307"/>
        <v>0</v>
      </c>
      <c r="AF1129" s="3">
        <f>IF(AND($N1129=1,AND(LEFT(对接源_01水果!$D1129,4)="包装物料",N(对接源_01水果!$K1129)&lt;&gt;0)),1,0)</f>
        <v>0</v>
      </c>
      <c r="AG1129" s="3">
        <f t="shared" si="308"/>
        <v>0</v>
      </c>
      <c r="AH1129" s="3">
        <f>IF(AND($N1129=1,AND(对接源_01水果!$D1129="周转筐－销售出库",N(对接源_01水果!$K1129)&lt;&gt;0)),1,0)</f>
        <v>0</v>
      </c>
      <c r="AI1129" s="3">
        <f t="shared" si="309"/>
        <v>0</v>
      </c>
      <c r="AJ1129" s="7"/>
      <c r="AL1129" s="3">
        <f>IF(OR($AL$1="",对接源_01水果!$Y1129="",对接源_01水果!$Y1129&lt;&gt;$AL$1,对接源_01水果!$B1129="",N(对接源_01水果!$AJ1129)&lt;=0),0,IF(OR(N(对接源_01水果!$B1129)&lt;$AL$2,N(对接源_01水果!$B1129)&gt;$AL$3),0,1))</f>
        <v>0</v>
      </c>
      <c r="AM1129" s="3">
        <f t="shared" si="310"/>
        <v>1</v>
      </c>
      <c r="AN1129" s="3" t="str">
        <f>IF(对接源_01水果!$AC1129="","",对接源_01水果!$AC1129)</f>
        <v/>
      </c>
      <c r="AO1129" s="3">
        <f t="shared" si="311"/>
        <v>0</v>
      </c>
      <c r="AP1129" s="3">
        <f t="shared" si="312"/>
        <v>8</v>
      </c>
      <c r="AR1129">
        <f t="shared" si="313"/>
        <v>0</v>
      </c>
      <c r="AS1129">
        <f t="shared" si="314"/>
        <v>0</v>
      </c>
    </row>
    <row r="1130" ht="14.25" customHeight="1" spans="1:45">
      <c r="A1130" s="3" t="str">
        <f>IF(对接源_01水果!$C1130="","",对接源_01水果!$C1130)</f>
        <v/>
      </c>
      <c r="B1130" s="3">
        <f t="shared" si="298"/>
        <v>0</v>
      </c>
      <c r="C1130" s="3">
        <f t="shared" si="299"/>
        <v>18</v>
      </c>
      <c r="K1130" s="3">
        <f>IF(OR($K$1="",对接源_01水果!$C1130="",对接源_01水果!$C1130&lt;&gt;$K$1,对接源_01水果!$B1130=""),0,IF(OR(N(对接源_01水果!$B1130)&lt;$K$2,N(对接源_01水果!$B1130)&gt;$K$3),0,1))</f>
        <v>0</v>
      </c>
      <c r="L1130" s="3">
        <f>IF(OR($L$1="",对接源_01水果!$C1130="",对接源_01水果!$C1130&lt;&gt;$L$1,对接源_01水果!$B1130=""),0,IF(OR(N(对接源_01水果!$B1130)&lt;$L$2,N(对接源_01水果!$B1130)&gt;$L$3),0,1))</f>
        <v>0</v>
      </c>
      <c r="M1130" s="3">
        <f>IF(OR($M$1="",对接源_01水果!$C1130="",对接源_01水果!$C1130&lt;&gt;$M$1,对接源_01水果!$B1130=""),0,IF(OR(N(对接源_01水果!$B1130)&lt;$M$2,N(对接源_01水果!$B1130)&gt;$M$3),0,1))</f>
        <v>0</v>
      </c>
      <c r="N1130" s="3">
        <f>IF(OR($N$1="",对接源_01水果!$C1130="",对接源_01水果!$C1130&lt;&gt;$N$1,对接源_01水果!$B1130=""),0,IF(OR(N(对接源_01水果!$B1130)&lt;$N$2,N(对接源_01水果!$B1130)&gt;$N$3),0,1))</f>
        <v>0</v>
      </c>
      <c r="P1130" s="3">
        <f>IF(AND($K1130=1,AND(对接源_01水果!$X1130="公司筐",N(对接源_01水果!$T1130)&lt;&gt;0)),1,0)</f>
        <v>0</v>
      </c>
      <c r="Q1130" s="3">
        <f t="shared" si="300"/>
        <v>0</v>
      </c>
      <c r="R1130" s="3">
        <f>IF(AND($K1130=1,AND(对接源_01水果!$X1130="公司筐",N(对接源_01水果!$U1130)&lt;&gt;0)),1,0)</f>
        <v>0</v>
      </c>
      <c r="S1130" s="3">
        <f t="shared" si="301"/>
        <v>0</v>
      </c>
      <c r="T1130" s="3">
        <f>IF(AND($K1130=1,AND(对接源_01水果!$X1130="公司筐",N(对接源_01水果!$V1130)&lt;&gt;0)),1,0)</f>
        <v>0</v>
      </c>
      <c r="U1130" s="3">
        <f t="shared" si="302"/>
        <v>19</v>
      </c>
      <c r="V1130" s="3">
        <f>IF(AND($L1130=1,AND(对接源_01水果!$X1130="自备筐",N(对接源_01水果!$V1130)&lt;&gt;0)),1,0)</f>
        <v>0</v>
      </c>
      <c r="W1130" s="3">
        <f t="shared" si="303"/>
        <v>8</v>
      </c>
      <c r="X1130" s="3">
        <f>IF(AND($L1130=1,AND(对接源_01水果!$X1130="自备筐",N(对接源_01水果!$T1130)&lt;&gt;0)),1,0)</f>
        <v>0</v>
      </c>
      <c r="Y1130" s="3">
        <f t="shared" si="304"/>
        <v>0</v>
      </c>
      <c r="Z1130" s="3">
        <f>IF(AND($M1130=1,对接源_01水果!$D1130="原料入库"),1,0)</f>
        <v>0</v>
      </c>
      <c r="AA1130" s="3">
        <f t="shared" si="305"/>
        <v>24</v>
      </c>
      <c r="AB1130" s="3">
        <f>IF(AND($M1130=1,LEFT(对接源_01水果!$D1130,4)="原料出库"),1,0)</f>
        <v>0</v>
      </c>
      <c r="AC1130" s="3">
        <f t="shared" si="306"/>
        <v>0</v>
      </c>
      <c r="AD1130" s="3">
        <f>IF(AND($M1130=1,LEFT(对接源_01水果!$D1130,4)="成品出库"),1,0)</f>
        <v>0</v>
      </c>
      <c r="AE1130" s="3">
        <f t="shared" si="307"/>
        <v>0</v>
      </c>
      <c r="AF1130" s="3">
        <f>IF(AND($N1130=1,AND(LEFT(对接源_01水果!$D1130,4)="包装物料",N(对接源_01水果!$K1130)&lt;&gt;0)),1,0)</f>
        <v>0</v>
      </c>
      <c r="AG1130" s="3">
        <f t="shared" si="308"/>
        <v>0</v>
      </c>
      <c r="AH1130" s="3">
        <f>IF(AND($N1130=1,AND(对接源_01水果!$D1130="周转筐－销售出库",N(对接源_01水果!$K1130)&lt;&gt;0)),1,0)</f>
        <v>0</v>
      </c>
      <c r="AI1130" s="3">
        <f t="shared" si="309"/>
        <v>0</v>
      </c>
      <c r="AJ1130" s="7"/>
      <c r="AL1130" s="3">
        <f>IF(OR($AL$1="",对接源_01水果!$Y1130="",对接源_01水果!$Y1130&lt;&gt;$AL$1,对接源_01水果!$B1130="",N(对接源_01水果!$AJ1130)&lt;=0),0,IF(OR(N(对接源_01水果!$B1130)&lt;$AL$2,N(对接源_01水果!$B1130)&gt;$AL$3),0,1))</f>
        <v>0</v>
      </c>
      <c r="AM1130" s="3">
        <f t="shared" si="310"/>
        <v>1</v>
      </c>
      <c r="AN1130" s="3" t="str">
        <f>IF(对接源_01水果!$AC1130="","",对接源_01水果!$AC1130)</f>
        <v/>
      </c>
      <c r="AO1130" s="3">
        <f t="shared" si="311"/>
        <v>0</v>
      </c>
      <c r="AP1130" s="3">
        <f t="shared" si="312"/>
        <v>8</v>
      </c>
      <c r="AR1130">
        <f t="shared" si="313"/>
        <v>0</v>
      </c>
      <c r="AS1130">
        <f t="shared" si="314"/>
        <v>0</v>
      </c>
    </row>
    <row r="1131" ht="14.25" customHeight="1" spans="1:45">
      <c r="A1131" s="3" t="str">
        <f>IF(对接源_01水果!$C1131="","",对接源_01水果!$C1131)</f>
        <v/>
      </c>
      <c r="B1131" s="3">
        <f t="shared" si="298"/>
        <v>0</v>
      </c>
      <c r="C1131" s="3">
        <f t="shared" si="299"/>
        <v>18</v>
      </c>
      <c r="K1131" s="3">
        <f>IF(OR($K$1="",对接源_01水果!$C1131="",对接源_01水果!$C1131&lt;&gt;$K$1,对接源_01水果!$B1131=""),0,IF(OR(N(对接源_01水果!$B1131)&lt;$K$2,N(对接源_01水果!$B1131)&gt;$K$3),0,1))</f>
        <v>0</v>
      </c>
      <c r="L1131" s="3">
        <f>IF(OR($L$1="",对接源_01水果!$C1131="",对接源_01水果!$C1131&lt;&gt;$L$1,对接源_01水果!$B1131=""),0,IF(OR(N(对接源_01水果!$B1131)&lt;$L$2,N(对接源_01水果!$B1131)&gt;$L$3),0,1))</f>
        <v>0</v>
      </c>
      <c r="M1131" s="3">
        <f>IF(OR($M$1="",对接源_01水果!$C1131="",对接源_01水果!$C1131&lt;&gt;$M$1,对接源_01水果!$B1131=""),0,IF(OR(N(对接源_01水果!$B1131)&lt;$M$2,N(对接源_01水果!$B1131)&gt;$M$3),0,1))</f>
        <v>0</v>
      </c>
      <c r="N1131" s="3">
        <f>IF(OR($N$1="",对接源_01水果!$C1131="",对接源_01水果!$C1131&lt;&gt;$N$1,对接源_01水果!$B1131=""),0,IF(OR(N(对接源_01水果!$B1131)&lt;$N$2,N(对接源_01水果!$B1131)&gt;$N$3),0,1))</f>
        <v>0</v>
      </c>
      <c r="P1131" s="3">
        <f>IF(AND($K1131=1,AND(对接源_01水果!$X1131="公司筐",N(对接源_01水果!$T1131)&lt;&gt;0)),1,0)</f>
        <v>0</v>
      </c>
      <c r="Q1131" s="3">
        <f t="shared" si="300"/>
        <v>0</v>
      </c>
      <c r="R1131" s="3">
        <f>IF(AND($K1131=1,AND(对接源_01水果!$X1131="公司筐",N(对接源_01水果!$U1131)&lt;&gt;0)),1,0)</f>
        <v>0</v>
      </c>
      <c r="S1131" s="3">
        <f t="shared" si="301"/>
        <v>0</v>
      </c>
      <c r="T1131" s="3">
        <f>IF(AND($K1131=1,AND(对接源_01水果!$X1131="公司筐",N(对接源_01水果!$V1131)&lt;&gt;0)),1,0)</f>
        <v>0</v>
      </c>
      <c r="U1131" s="3">
        <f t="shared" si="302"/>
        <v>19</v>
      </c>
      <c r="V1131" s="3">
        <f>IF(AND($L1131=1,AND(对接源_01水果!$X1131="自备筐",N(对接源_01水果!$V1131)&lt;&gt;0)),1,0)</f>
        <v>0</v>
      </c>
      <c r="W1131" s="3">
        <f t="shared" si="303"/>
        <v>8</v>
      </c>
      <c r="X1131" s="3">
        <f>IF(AND($L1131=1,AND(对接源_01水果!$X1131="自备筐",N(对接源_01水果!$T1131)&lt;&gt;0)),1,0)</f>
        <v>0</v>
      </c>
      <c r="Y1131" s="3">
        <f t="shared" si="304"/>
        <v>0</v>
      </c>
      <c r="Z1131" s="3">
        <f>IF(AND($M1131=1,对接源_01水果!$D1131="原料入库"),1,0)</f>
        <v>0</v>
      </c>
      <c r="AA1131" s="3">
        <f t="shared" si="305"/>
        <v>24</v>
      </c>
      <c r="AB1131" s="3">
        <f>IF(AND($M1131=1,LEFT(对接源_01水果!$D1131,4)="原料出库"),1,0)</f>
        <v>0</v>
      </c>
      <c r="AC1131" s="3">
        <f t="shared" si="306"/>
        <v>0</v>
      </c>
      <c r="AD1131" s="3">
        <f>IF(AND($M1131=1,LEFT(对接源_01水果!$D1131,4)="成品出库"),1,0)</f>
        <v>0</v>
      </c>
      <c r="AE1131" s="3">
        <f t="shared" si="307"/>
        <v>0</v>
      </c>
      <c r="AF1131" s="3">
        <f>IF(AND($N1131=1,AND(LEFT(对接源_01水果!$D1131,4)="包装物料",N(对接源_01水果!$K1131)&lt;&gt;0)),1,0)</f>
        <v>0</v>
      </c>
      <c r="AG1131" s="3">
        <f t="shared" si="308"/>
        <v>0</v>
      </c>
      <c r="AH1131" s="3">
        <f>IF(AND($N1131=1,AND(对接源_01水果!$D1131="周转筐－销售出库",N(对接源_01水果!$K1131)&lt;&gt;0)),1,0)</f>
        <v>0</v>
      </c>
      <c r="AI1131" s="3">
        <f t="shared" si="309"/>
        <v>0</v>
      </c>
      <c r="AJ1131" s="7"/>
      <c r="AL1131" s="3">
        <f>IF(OR($AL$1="",对接源_01水果!$Y1131="",对接源_01水果!$Y1131&lt;&gt;$AL$1,对接源_01水果!$B1131="",N(对接源_01水果!$AJ1131)&lt;=0),0,IF(OR(N(对接源_01水果!$B1131)&lt;$AL$2,N(对接源_01水果!$B1131)&gt;$AL$3),0,1))</f>
        <v>0</v>
      </c>
      <c r="AM1131" s="3">
        <f t="shared" si="310"/>
        <v>1</v>
      </c>
      <c r="AN1131" s="3" t="str">
        <f>IF(对接源_01水果!$AC1131="","",对接源_01水果!$AC1131)</f>
        <v/>
      </c>
      <c r="AO1131" s="3">
        <f t="shared" si="311"/>
        <v>0</v>
      </c>
      <c r="AP1131" s="3">
        <f t="shared" si="312"/>
        <v>8</v>
      </c>
      <c r="AR1131">
        <f t="shared" si="313"/>
        <v>0</v>
      </c>
      <c r="AS1131">
        <f t="shared" si="314"/>
        <v>0</v>
      </c>
    </row>
    <row r="1132" ht="14.25" customHeight="1" spans="1:45">
      <c r="A1132" s="3" t="str">
        <f>IF(对接源_01水果!$C1132="","",对接源_01水果!$C1132)</f>
        <v/>
      </c>
      <c r="B1132" s="3">
        <f t="shared" si="298"/>
        <v>0</v>
      </c>
      <c r="C1132" s="3">
        <f t="shared" si="299"/>
        <v>18</v>
      </c>
      <c r="K1132" s="3">
        <f>IF(OR($K$1="",对接源_01水果!$C1132="",对接源_01水果!$C1132&lt;&gt;$K$1,对接源_01水果!$B1132=""),0,IF(OR(N(对接源_01水果!$B1132)&lt;$K$2,N(对接源_01水果!$B1132)&gt;$K$3),0,1))</f>
        <v>0</v>
      </c>
      <c r="L1132" s="3">
        <f>IF(OR($L$1="",对接源_01水果!$C1132="",对接源_01水果!$C1132&lt;&gt;$L$1,对接源_01水果!$B1132=""),0,IF(OR(N(对接源_01水果!$B1132)&lt;$L$2,N(对接源_01水果!$B1132)&gt;$L$3),0,1))</f>
        <v>0</v>
      </c>
      <c r="M1132" s="3">
        <f>IF(OR($M$1="",对接源_01水果!$C1132="",对接源_01水果!$C1132&lt;&gt;$M$1,对接源_01水果!$B1132=""),0,IF(OR(N(对接源_01水果!$B1132)&lt;$M$2,N(对接源_01水果!$B1132)&gt;$M$3),0,1))</f>
        <v>0</v>
      </c>
      <c r="N1132" s="3">
        <f>IF(OR($N$1="",对接源_01水果!$C1132="",对接源_01水果!$C1132&lt;&gt;$N$1,对接源_01水果!$B1132=""),0,IF(OR(N(对接源_01水果!$B1132)&lt;$N$2,N(对接源_01水果!$B1132)&gt;$N$3),0,1))</f>
        <v>0</v>
      </c>
      <c r="P1132" s="3">
        <f>IF(AND($K1132=1,AND(对接源_01水果!$X1132="公司筐",N(对接源_01水果!$T1132)&lt;&gt;0)),1,0)</f>
        <v>0</v>
      </c>
      <c r="Q1132" s="3">
        <f t="shared" si="300"/>
        <v>0</v>
      </c>
      <c r="R1132" s="3">
        <f>IF(AND($K1132=1,AND(对接源_01水果!$X1132="公司筐",N(对接源_01水果!$U1132)&lt;&gt;0)),1,0)</f>
        <v>0</v>
      </c>
      <c r="S1132" s="3">
        <f t="shared" si="301"/>
        <v>0</v>
      </c>
      <c r="T1132" s="3">
        <f>IF(AND($K1132=1,AND(对接源_01水果!$X1132="公司筐",N(对接源_01水果!$V1132)&lt;&gt;0)),1,0)</f>
        <v>0</v>
      </c>
      <c r="U1132" s="3">
        <f t="shared" si="302"/>
        <v>19</v>
      </c>
      <c r="V1132" s="3">
        <f>IF(AND($L1132=1,AND(对接源_01水果!$X1132="自备筐",N(对接源_01水果!$V1132)&lt;&gt;0)),1,0)</f>
        <v>0</v>
      </c>
      <c r="W1132" s="3">
        <f t="shared" si="303"/>
        <v>8</v>
      </c>
      <c r="X1132" s="3">
        <f>IF(AND($L1132=1,AND(对接源_01水果!$X1132="自备筐",N(对接源_01水果!$T1132)&lt;&gt;0)),1,0)</f>
        <v>0</v>
      </c>
      <c r="Y1132" s="3">
        <f t="shared" si="304"/>
        <v>0</v>
      </c>
      <c r="Z1132" s="3">
        <f>IF(AND($M1132=1,对接源_01水果!$D1132="原料入库"),1,0)</f>
        <v>0</v>
      </c>
      <c r="AA1132" s="3">
        <f t="shared" si="305"/>
        <v>24</v>
      </c>
      <c r="AB1132" s="3">
        <f>IF(AND($M1132=1,LEFT(对接源_01水果!$D1132,4)="原料出库"),1,0)</f>
        <v>0</v>
      </c>
      <c r="AC1132" s="3">
        <f t="shared" si="306"/>
        <v>0</v>
      </c>
      <c r="AD1132" s="3">
        <f>IF(AND($M1132=1,LEFT(对接源_01水果!$D1132,4)="成品出库"),1,0)</f>
        <v>0</v>
      </c>
      <c r="AE1132" s="3">
        <f t="shared" si="307"/>
        <v>0</v>
      </c>
      <c r="AF1132" s="3">
        <f>IF(AND($N1132=1,AND(LEFT(对接源_01水果!$D1132,4)="包装物料",N(对接源_01水果!$K1132)&lt;&gt;0)),1,0)</f>
        <v>0</v>
      </c>
      <c r="AG1132" s="3">
        <f t="shared" si="308"/>
        <v>0</v>
      </c>
      <c r="AH1132" s="3">
        <f>IF(AND($N1132=1,AND(对接源_01水果!$D1132="周转筐－销售出库",N(对接源_01水果!$K1132)&lt;&gt;0)),1,0)</f>
        <v>0</v>
      </c>
      <c r="AI1132" s="3">
        <f t="shared" si="309"/>
        <v>0</v>
      </c>
      <c r="AJ1132" s="7"/>
      <c r="AL1132" s="3">
        <f>IF(OR($AL$1="",对接源_01水果!$Y1132="",对接源_01水果!$Y1132&lt;&gt;$AL$1,对接源_01水果!$B1132="",N(对接源_01水果!$AJ1132)&lt;=0),0,IF(OR(N(对接源_01水果!$B1132)&lt;$AL$2,N(对接源_01水果!$B1132)&gt;$AL$3),0,1))</f>
        <v>0</v>
      </c>
      <c r="AM1132" s="3">
        <f t="shared" si="310"/>
        <v>1</v>
      </c>
      <c r="AN1132" s="3" t="str">
        <f>IF(对接源_01水果!$AC1132="","",对接源_01水果!$AC1132)</f>
        <v/>
      </c>
      <c r="AO1132" s="3">
        <f t="shared" si="311"/>
        <v>0</v>
      </c>
      <c r="AP1132" s="3">
        <f t="shared" si="312"/>
        <v>8</v>
      </c>
      <c r="AR1132">
        <f t="shared" si="313"/>
        <v>0</v>
      </c>
      <c r="AS1132">
        <f t="shared" si="314"/>
        <v>0</v>
      </c>
    </row>
    <row r="1133" ht="14.25" customHeight="1" spans="1:45">
      <c r="A1133" s="3" t="str">
        <f>IF(对接源_01水果!$C1133="","",对接源_01水果!$C1133)</f>
        <v/>
      </c>
      <c r="B1133" s="3">
        <f t="shared" si="298"/>
        <v>0</v>
      </c>
      <c r="C1133" s="3">
        <f t="shared" si="299"/>
        <v>18</v>
      </c>
      <c r="K1133" s="3">
        <f>IF(OR($K$1="",对接源_01水果!$C1133="",对接源_01水果!$C1133&lt;&gt;$K$1,对接源_01水果!$B1133=""),0,IF(OR(N(对接源_01水果!$B1133)&lt;$K$2,N(对接源_01水果!$B1133)&gt;$K$3),0,1))</f>
        <v>0</v>
      </c>
      <c r="L1133" s="3">
        <f>IF(OR($L$1="",对接源_01水果!$C1133="",对接源_01水果!$C1133&lt;&gt;$L$1,对接源_01水果!$B1133=""),0,IF(OR(N(对接源_01水果!$B1133)&lt;$L$2,N(对接源_01水果!$B1133)&gt;$L$3),0,1))</f>
        <v>0</v>
      </c>
      <c r="M1133" s="3">
        <f>IF(OR($M$1="",对接源_01水果!$C1133="",对接源_01水果!$C1133&lt;&gt;$M$1,对接源_01水果!$B1133=""),0,IF(OR(N(对接源_01水果!$B1133)&lt;$M$2,N(对接源_01水果!$B1133)&gt;$M$3),0,1))</f>
        <v>0</v>
      </c>
      <c r="N1133" s="3">
        <f>IF(OR($N$1="",对接源_01水果!$C1133="",对接源_01水果!$C1133&lt;&gt;$N$1,对接源_01水果!$B1133=""),0,IF(OR(N(对接源_01水果!$B1133)&lt;$N$2,N(对接源_01水果!$B1133)&gt;$N$3),0,1))</f>
        <v>0</v>
      </c>
      <c r="P1133" s="3">
        <f>IF(AND($K1133=1,AND(对接源_01水果!$X1133="公司筐",N(对接源_01水果!$T1133)&lt;&gt;0)),1,0)</f>
        <v>0</v>
      </c>
      <c r="Q1133" s="3">
        <f t="shared" si="300"/>
        <v>0</v>
      </c>
      <c r="R1133" s="3">
        <f>IF(AND($K1133=1,AND(对接源_01水果!$X1133="公司筐",N(对接源_01水果!$U1133)&lt;&gt;0)),1,0)</f>
        <v>0</v>
      </c>
      <c r="S1133" s="3">
        <f t="shared" si="301"/>
        <v>0</v>
      </c>
      <c r="T1133" s="3">
        <f>IF(AND($K1133=1,AND(对接源_01水果!$X1133="公司筐",N(对接源_01水果!$V1133)&lt;&gt;0)),1,0)</f>
        <v>0</v>
      </c>
      <c r="U1133" s="3">
        <f t="shared" si="302"/>
        <v>19</v>
      </c>
      <c r="V1133" s="3">
        <f>IF(AND($L1133=1,AND(对接源_01水果!$X1133="自备筐",N(对接源_01水果!$V1133)&lt;&gt;0)),1,0)</f>
        <v>0</v>
      </c>
      <c r="W1133" s="3">
        <f t="shared" si="303"/>
        <v>8</v>
      </c>
      <c r="X1133" s="3">
        <f>IF(AND($L1133=1,AND(对接源_01水果!$X1133="自备筐",N(对接源_01水果!$T1133)&lt;&gt;0)),1,0)</f>
        <v>0</v>
      </c>
      <c r="Y1133" s="3">
        <f t="shared" si="304"/>
        <v>0</v>
      </c>
      <c r="Z1133" s="3">
        <f>IF(AND($M1133=1,对接源_01水果!$D1133="原料入库"),1,0)</f>
        <v>0</v>
      </c>
      <c r="AA1133" s="3">
        <f t="shared" si="305"/>
        <v>24</v>
      </c>
      <c r="AB1133" s="3">
        <f>IF(AND($M1133=1,LEFT(对接源_01水果!$D1133,4)="原料出库"),1,0)</f>
        <v>0</v>
      </c>
      <c r="AC1133" s="3">
        <f t="shared" si="306"/>
        <v>0</v>
      </c>
      <c r="AD1133" s="3">
        <f>IF(AND($M1133=1,LEFT(对接源_01水果!$D1133,4)="成品出库"),1,0)</f>
        <v>0</v>
      </c>
      <c r="AE1133" s="3">
        <f t="shared" si="307"/>
        <v>0</v>
      </c>
      <c r="AF1133" s="3">
        <f>IF(AND($N1133=1,AND(LEFT(对接源_01水果!$D1133,4)="包装物料",N(对接源_01水果!$K1133)&lt;&gt;0)),1,0)</f>
        <v>0</v>
      </c>
      <c r="AG1133" s="3">
        <f t="shared" si="308"/>
        <v>0</v>
      </c>
      <c r="AH1133" s="3">
        <f>IF(AND($N1133=1,AND(对接源_01水果!$D1133="周转筐－销售出库",N(对接源_01水果!$K1133)&lt;&gt;0)),1,0)</f>
        <v>0</v>
      </c>
      <c r="AI1133" s="3">
        <f t="shared" si="309"/>
        <v>0</v>
      </c>
      <c r="AJ1133" s="7"/>
      <c r="AL1133" s="3">
        <f>IF(OR($AL$1="",对接源_01水果!$Y1133="",对接源_01水果!$Y1133&lt;&gt;$AL$1,对接源_01水果!$B1133="",N(对接源_01水果!$AJ1133)&lt;=0),0,IF(OR(N(对接源_01水果!$B1133)&lt;$AL$2,N(对接源_01水果!$B1133)&gt;$AL$3),0,1))</f>
        <v>0</v>
      </c>
      <c r="AM1133" s="3">
        <f t="shared" si="310"/>
        <v>1</v>
      </c>
      <c r="AN1133" s="3" t="str">
        <f>IF(对接源_01水果!$AC1133="","",对接源_01水果!$AC1133)</f>
        <v/>
      </c>
      <c r="AO1133" s="3">
        <f t="shared" si="311"/>
        <v>0</v>
      </c>
      <c r="AP1133" s="3">
        <f t="shared" si="312"/>
        <v>8</v>
      </c>
      <c r="AR1133">
        <f t="shared" si="313"/>
        <v>0</v>
      </c>
      <c r="AS1133">
        <f t="shared" si="314"/>
        <v>0</v>
      </c>
    </row>
    <row r="1134" ht="14.25" customHeight="1" spans="1:45">
      <c r="A1134" s="3" t="str">
        <f>IF(对接源_01水果!$C1134="","",对接源_01水果!$C1134)</f>
        <v/>
      </c>
      <c r="B1134" s="3">
        <f t="shared" si="298"/>
        <v>0</v>
      </c>
      <c r="C1134" s="3">
        <f t="shared" si="299"/>
        <v>18</v>
      </c>
      <c r="K1134" s="3">
        <f>IF(OR($K$1="",对接源_01水果!$C1134="",对接源_01水果!$C1134&lt;&gt;$K$1,对接源_01水果!$B1134=""),0,IF(OR(N(对接源_01水果!$B1134)&lt;$K$2,N(对接源_01水果!$B1134)&gt;$K$3),0,1))</f>
        <v>0</v>
      </c>
      <c r="L1134" s="3">
        <f>IF(OR($L$1="",对接源_01水果!$C1134="",对接源_01水果!$C1134&lt;&gt;$L$1,对接源_01水果!$B1134=""),0,IF(OR(N(对接源_01水果!$B1134)&lt;$L$2,N(对接源_01水果!$B1134)&gt;$L$3),0,1))</f>
        <v>0</v>
      </c>
      <c r="M1134" s="3">
        <f>IF(OR($M$1="",对接源_01水果!$C1134="",对接源_01水果!$C1134&lt;&gt;$M$1,对接源_01水果!$B1134=""),0,IF(OR(N(对接源_01水果!$B1134)&lt;$M$2,N(对接源_01水果!$B1134)&gt;$M$3),0,1))</f>
        <v>0</v>
      </c>
      <c r="N1134" s="3">
        <f>IF(OR($N$1="",对接源_01水果!$C1134="",对接源_01水果!$C1134&lt;&gt;$N$1,对接源_01水果!$B1134=""),0,IF(OR(N(对接源_01水果!$B1134)&lt;$N$2,N(对接源_01水果!$B1134)&gt;$N$3),0,1))</f>
        <v>0</v>
      </c>
      <c r="P1134" s="3">
        <f>IF(AND($K1134=1,AND(对接源_01水果!$X1134="公司筐",N(对接源_01水果!$T1134)&lt;&gt;0)),1,0)</f>
        <v>0</v>
      </c>
      <c r="Q1134" s="3">
        <f t="shared" si="300"/>
        <v>0</v>
      </c>
      <c r="R1134" s="3">
        <f>IF(AND($K1134=1,AND(对接源_01水果!$X1134="公司筐",N(对接源_01水果!$U1134)&lt;&gt;0)),1,0)</f>
        <v>0</v>
      </c>
      <c r="S1134" s="3">
        <f t="shared" si="301"/>
        <v>0</v>
      </c>
      <c r="T1134" s="3">
        <f>IF(AND($K1134=1,AND(对接源_01水果!$X1134="公司筐",N(对接源_01水果!$V1134)&lt;&gt;0)),1,0)</f>
        <v>0</v>
      </c>
      <c r="U1134" s="3">
        <f t="shared" si="302"/>
        <v>19</v>
      </c>
      <c r="V1134" s="3">
        <f>IF(AND($L1134=1,AND(对接源_01水果!$X1134="自备筐",N(对接源_01水果!$V1134)&lt;&gt;0)),1,0)</f>
        <v>0</v>
      </c>
      <c r="W1134" s="3">
        <f t="shared" si="303"/>
        <v>8</v>
      </c>
      <c r="X1134" s="3">
        <f>IF(AND($L1134=1,AND(对接源_01水果!$X1134="自备筐",N(对接源_01水果!$T1134)&lt;&gt;0)),1,0)</f>
        <v>0</v>
      </c>
      <c r="Y1134" s="3">
        <f t="shared" si="304"/>
        <v>0</v>
      </c>
      <c r="Z1134" s="3">
        <f>IF(AND($M1134=1,对接源_01水果!$D1134="原料入库"),1,0)</f>
        <v>0</v>
      </c>
      <c r="AA1134" s="3">
        <f t="shared" si="305"/>
        <v>24</v>
      </c>
      <c r="AB1134" s="3">
        <f>IF(AND($M1134=1,LEFT(对接源_01水果!$D1134,4)="原料出库"),1,0)</f>
        <v>0</v>
      </c>
      <c r="AC1134" s="3">
        <f t="shared" si="306"/>
        <v>0</v>
      </c>
      <c r="AD1134" s="3">
        <f>IF(AND($M1134=1,LEFT(对接源_01水果!$D1134,4)="成品出库"),1,0)</f>
        <v>0</v>
      </c>
      <c r="AE1134" s="3">
        <f t="shared" si="307"/>
        <v>0</v>
      </c>
      <c r="AF1134" s="3">
        <f>IF(AND($N1134=1,AND(LEFT(对接源_01水果!$D1134,4)="包装物料",N(对接源_01水果!$K1134)&lt;&gt;0)),1,0)</f>
        <v>0</v>
      </c>
      <c r="AG1134" s="3">
        <f t="shared" si="308"/>
        <v>0</v>
      </c>
      <c r="AH1134" s="3">
        <f>IF(AND($N1134=1,AND(对接源_01水果!$D1134="周转筐－销售出库",N(对接源_01水果!$K1134)&lt;&gt;0)),1,0)</f>
        <v>0</v>
      </c>
      <c r="AI1134" s="3">
        <f t="shared" si="309"/>
        <v>0</v>
      </c>
      <c r="AJ1134" s="7"/>
      <c r="AL1134" s="3">
        <f>IF(OR($AL$1="",对接源_01水果!$Y1134="",对接源_01水果!$Y1134&lt;&gt;$AL$1,对接源_01水果!$B1134="",N(对接源_01水果!$AJ1134)&lt;=0),0,IF(OR(N(对接源_01水果!$B1134)&lt;$AL$2,N(对接源_01水果!$B1134)&gt;$AL$3),0,1))</f>
        <v>0</v>
      </c>
      <c r="AM1134" s="3">
        <f t="shared" si="310"/>
        <v>1</v>
      </c>
      <c r="AN1134" s="3" t="str">
        <f>IF(对接源_01水果!$AC1134="","",对接源_01水果!$AC1134)</f>
        <v/>
      </c>
      <c r="AO1134" s="3">
        <f t="shared" si="311"/>
        <v>0</v>
      </c>
      <c r="AP1134" s="3">
        <f t="shared" si="312"/>
        <v>8</v>
      </c>
      <c r="AR1134">
        <f t="shared" si="313"/>
        <v>0</v>
      </c>
      <c r="AS1134">
        <f t="shared" si="314"/>
        <v>0</v>
      </c>
    </row>
    <row r="1135" ht="14.25" customHeight="1" spans="1:45">
      <c r="A1135" s="3" t="str">
        <f>IF(对接源_01水果!$C1135="","",对接源_01水果!$C1135)</f>
        <v/>
      </c>
      <c r="B1135" s="3">
        <f t="shared" si="298"/>
        <v>0</v>
      </c>
      <c r="C1135" s="3">
        <f t="shared" si="299"/>
        <v>18</v>
      </c>
      <c r="K1135" s="3">
        <f>IF(OR($K$1="",对接源_01水果!$C1135="",对接源_01水果!$C1135&lt;&gt;$K$1,对接源_01水果!$B1135=""),0,IF(OR(N(对接源_01水果!$B1135)&lt;$K$2,N(对接源_01水果!$B1135)&gt;$K$3),0,1))</f>
        <v>0</v>
      </c>
      <c r="L1135" s="3">
        <f>IF(OR($L$1="",对接源_01水果!$C1135="",对接源_01水果!$C1135&lt;&gt;$L$1,对接源_01水果!$B1135=""),0,IF(OR(N(对接源_01水果!$B1135)&lt;$L$2,N(对接源_01水果!$B1135)&gt;$L$3),0,1))</f>
        <v>0</v>
      </c>
      <c r="M1135" s="3">
        <f>IF(OR($M$1="",对接源_01水果!$C1135="",对接源_01水果!$C1135&lt;&gt;$M$1,对接源_01水果!$B1135=""),0,IF(OR(N(对接源_01水果!$B1135)&lt;$M$2,N(对接源_01水果!$B1135)&gt;$M$3),0,1))</f>
        <v>0</v>
      </c>
      <c r="N1135" s="3">
        <f>IF(OR($N$1="",对接源_01水果!$C1135="",对接源_01水果!$C1135&lt;&gt;$N$1,对接源_01水果!$B1135=""),0,IF(OR(N(对接源_01水果!$B1135)&lt;$N$2,N(对接源_01水果!$B1135)&gt;$N$3),0,1))</f>
        <v>0</v>
      </c>
      <c r="P1135" s="3">
        <f>IF(AND($K1135=1,AND(对接源_01水果!$X1135="公司筐",N(对接源_01水果!$T1135)&lt;&gt;0)),1,0)</f>
        <v>0</v>
      </c>
      <c r="Q1135" s="3">
        <f t="shared" si="300"/>
        <v>0</v>
      </c>
      <c r="R1135" s="3">
        <f>IF(AND($K1135=1,AND(对接源_01水果!$X1135="公司筐",N(对接源_01水果!$U1135)&lt;&gt;0)),1,0)</f>
        <v>0</v>
      </c>
      <c r="S1135" s="3">
        <f t="shared" si="301"/>
        <v>0</v>
      </c>
      <c r="T1135" s="3">
        <f>IF(AND($K1135=1,AND(对接源_01水果!$X1135="公司筐",N(对接源_01水果!$V1135)&lt;&gt;0)),1,0)</f>
        <v>0</v>
      </c>
      <c r="U1135" s="3">
        <f t="shared" si="302"/>
        <v>19</v>
      </c>
      <c r="V1135" s="3">
        <f>IF(AND($L1135=1,AND(对接源_01水果!$X1135="自备筐",N(对接源_01水果!$V1135)&lt;&gt;0)),1,0)</f>
        <v>0</v>
      </c>
      <c r="W1135" s="3">
        <f t="shared" si="303"/>
        <v>8</v>
      </c>
      <c r="X1135" s="3">
        <f>IF(AND($L1135=1,AND(对接源_01水果!$X1135="自备筐",N(对接源_01水果!$T1135)&lt;&gt;0)),1,0)</f>
        <v>0</v>
      </c>
      <c r="Y1135" s="3">
        <f t="shared" si="304"/>
        <v>0</v>
      </c>
      <c r="Z1135" s="3">
        <f>IF(AND($M1135=1,对接源_01水果!$D1135="原料入库"),1,0)</f>
        <v>0</v>
      </c>
      <c r="AA1135" s="3">
        <f t="shared" si="305"/>
        <v>24</v>
      </c>
      <c r="AB1135" s="3">
        <f>IF(AND($M1135=1,LEFT(对接源_01水果!$D1135,4)="原料出库"),1,0)</f>
        <v>0</v>
      </c>
      <c r="AC1135" s="3">
        <f t="shared" si="306"/>
        <v>0</v>
      </c>
      <c r="AD1135" s="3">
        <f>IF(AND($M1135=1,LEFT(对接源_01水果!$D1135,4)="成品出库"),1,0)</f>
        <v>0</v>
      </c>
      <c r="AE1135" s="3">
        <f t="shared" si="307"/>
        <v>0</v>
      </c>
      <c r="AF1135" s="3">
        <f>IF(AND($N1135=1,AND(LEFT(对接源_01水果!$D1135,4)="包装物料",N(对接源_01水果!$K1135)&lt;&gt;0)),1,0)</f>
        <v>0</v>
      </c>
      <c r="AG1135" s="3">
        <f t="shared" si="308"/>
        <v>0</v>
      </c>
      <c r="AH1135" s="3">
        <f>IF(AND($N1135=1,AND(对接源_01水果!$D1135="周转筐－销售出库",N(对接源_01水果!$K1135)&lt;&gt;0)),1,0)</f>
        <v>0</v>
      </c>
      <c r="AI1135" s="3">
        <f t="shared" si="309"/>
        <v>0</v>
      </c>
      <c r="AJ1135" s="7"/>
      <c r="AL1135" s="3">
        <f>IF(OR($AL$1="",对接源_01水果!$Y1135="",对接源_01水果!$Y1135&lt;&gt;$AL$1,对接源_01水果!$B1135="",N(对接源_01水果!$AJ1135)&lt;=0),0,IF(OR(N(对接源_01水果!$B1135)&lt;$AL$2,N(对接源_01水果!$B1135)&gt;$AL$3),0,1))</f>
        <v>0</v>
      </c>
      <c r="AM1135" s="3">
        <f t="shared" si="310"/>
        <v>1</v>
      </c>
      <c r="AN1135" s="3" t="str">
        <f>IF(对接源_01水果!$AC1135="","",对接源_01水果!$AC1135)</f>
        <v/>
      </c>
      <c r="AO1135" s="3">
        <f t="shared" si="311"/>
        <v>0</v>
      </c>
      <c r="AP1135" s="3">
        <f t="shared" si="312"/>
        <v>8</v>
      </c>
      <c r="AR1135">
        <f t="shared" si="313"/>
        <v>0</v>
      </c>
      <c r="AS1135">
        <f t="shared" si="314"/>
        <v>0</v>
      </c>
    </row>
    <row r="1136" ht="14.25" customHeight="1" spans="1:45">
      <c r="A1136" s="3" t="str">
        <f>IF(对接源_01水果!$C1136="","",对接源_01水果!$C1136)</f>
        <v/>
      </c>
      <c r="B1136" s="3">
        <f t="shared" si="298"/>
        <v>0</v>
      </c>
      <c r="C1136" s="3">
        <f t="shared" si="299"/>
        <v>18</v>
      </c>
      <c r="K1136" s="3">
        <f>IF(OR($K$1="",对接源_01水果!$C1136="",对接源_01水果!$C1136&lt;&gt;$K$1,对接源_01水果!$B1136=""),0,IF(OR(N(对接源_01水果!$B1136)&lt;$K$2,N(对接源_01水果!$B1136)&gt;$K$3),0,1))</f>
        <v>0</v>
      </c>
      <c r="L1136" s="3">
        <f>IF(OR($L$1="",对接源_01水果!$C1136="",对接源_01水果!$C1136&lt;&gt;$L$1,对接源_01水果!$B1136=""),0,IF(OR(N(对接源_01水果!$B1136)&lt;$L$2,N(对接源_01水果!$B1136)&gt;$L$3),0,1))</f>
        <v>0</v>
      </c>
      <c r="M1136" s="3">
        <f>IF(OR($M$1="",对接源_01水果!$C1136="",对接源_01水果!$C1136&lt;&gt;$M$1,对接源_01水果!$B1136=""),0,IF(OR(N(对接源_01水果!$B1136)&lt;$M$2,N(对接源_01水果!$B1136)&gt;$M$3),0,1))</f>
        <v>0</v>
      </c>
      <c r="N1136" s="3">
        <f>IF(OR($N$1="",对接源_01水果!$C1136="",对接源_01水果!$C1136&lt;&gt;$N$1,对接源_01水果!$B1136=""),0,IF(OR(N(对接源_01水果!$B1136)&lt;$N$2,N(对接源_01水果!$B1136)&gt;$N$3),0,1))</f>
        <v>0</v>
      </c>
      <c r="P1136" s="3">
        <f>IF(AND($K1136=1,AND(对接源_01水果!$X1136="公司筐",N(对接源_01水果!$T1136)&lt;&gt;0)),1,0)</f>
        <v>0</v>
      </c>
      <c r="Q1136" s="3">
        <f t="shared" si="300"/>
        <v>0</v>
      </c>
      <c r="R1136" s="3">
        <f>IF(AND($K1136=1,AND(对接源_01水果!$X1136="公司筐",N(对接源_01水果!$U1136)&lt;&gt;0)),1,0)</f>
        <v>0</v>
      </c>
      <c r="S1136" s="3">
        <f t="shared" si="301"/>
        <v>0</v>
      </c>
      <c r="T1136" s="3">
        <f>IF(AND($K1136=1,AND(对接源_01水果!$X1136="公司筐",N(对接源_01水果!$V1136)&lt;&gt;0)),1,0)</f>
        <v>0</v>
      </c>
      <c r="U1136" s="3">
        <f t="shared" si="302"/>
        <v>19</v>
      </c>
      <c r="V1136" s="3">
        <f>IF(AND($L1136=1,AND(对接源_01水果!$X1136="自备筐",N(对接源_01水果!$V1136)&lt;&gt;0)),1,0)</f>
        <v>0</v>
      </c>
      <c r="W1136" s="3">
        <f t="shared" si="303"/>
        <v>8</v>
      </c>
      <c r="X1136" s="3">
        <f>IF(AND($L1136=1,AND(对接源_01水果!$X1136="自备筐",N(对接源_01水果!$T1136)&lt;&gt;0)),1,0)</f>
        <v>0</v>
      </c>
      <c r="Y1136" s="3">
        <f t="shared" si="304"/>
        <v>0</v>
      </c>
      <c r="Z1136" s="3">
        <f>IF(AND($M1136=1,对接源_01水果!$D1136="原料入库"),1,0)</f>
        <v>0</v>
      </c>
      <c r="AA1136" s="3">
        <f t="shared" si="305"/>
        <v>24</v>
      </c>
      <c r="AB1136" s="3">
        <f>IF(AND($M1136=1,LEFT(对接源_01水果!$D1136,4)="原料出库"),1,0)</f>
        <v>0</v>
      </c>
      <c r="AC1136" s="3">
        <f t="shared" si="306"/>
        <v>0</v>
      </c>
      <c r="AD1136" s="3">
        <f>IF(AND($M1136=1,LEFT(对接源_01水果!$D1136,4)="成品出库"),1,0)</f>
        <v>0</v>
      </c>
      <c r="AE1136" s="3">
        <f t="shared" si="307"/>
        <v>0</v>
      </c>
      <c r="AF1136" s="3">
        <f>IF(AND($N1136=1,AND(LEFT(对接源_01水果!$D1136,4)="包装物料",N(对接源_01水果!$K1136)&lt;&gt;0)),1,0)</f>
        <v>0</v>
      </c>
      <c r="AG1136" s="3">
        <f t="shared" si="308"/>
        <v>0</v>
      </c>
      <c r="AH1136" s="3">
        <f>IF(AND($N1136=1,AND(对接源_01水果!$D1136="周转筐－销售出库",N(对接源_01水果!$K1136)&lt;&gt;0)),1,0)</f>
        <v>0</v>
      </c>
      <c r="AI1136" s="3">
        <f t="shared" si="309"/>
        <v>0</v>
      </c>
      <c r="AJ1136" s="7"/>
      <c r="AL1136" s="3">
        <f>IF(OR($AL$1="",对接源_01水果!$Y1136="",对接源_01水果!$Y1136&lt;&gt;$AL$1,对接源_01水果!$B1136="",N(对接源_01水果!$AJ1136)&lt;=0),0,IF(OR(N(对接源_01水果!$B1136)&lt;$AL$2,N(对接源_01水果!$B1136)&gt;$AL$3),0,1))</f>
        <v>0</v>
      </c>
      <c r="AM1136" s="3">
        <f t="shared" si="310"/>
        <v>1</v>
      </c>
      <c r="AN1136" s="3" t="str">
        <f>IF(对接源_01水果!$AC1136="","",对接源_01水果!$AC1136)</f>
        <v/>
      </c>
      <c r="AO1136" s="3">
        <f t="shared" si="311"/>
        <v>0</v>
      </c>
      <c r="AP1136" s="3">
        <f t="shared" si="312"/>
        <v>8</v>
      </c>
      <c r="AR1136">
        <f t="shared" si="313"/>
        <v>0</v>
      </c>
      <c r="AS1136">
        <f t="shared" si="314"/>
        <v>0</v>
      </c>
    </row>
    <row r="1137" ht="14.25" customHeight="1" spans="1:45">
      <c r="A1137" s="3" t="str">
        <f>IF(对接源_01水果!$C1137="","",对接源_01水果!$C1137)</f>
        <v/>
      </c>
      <c r="B1137" s="3">
        <f t="shared" si="298"/>
        <v>0</v>
      </c>
      <c r="C1137" s="3">
        <f t="shared" si="299"/>
        <v>18</v>
      </c>
      <c r="K1137" s="3">
        <f>IF(OR($K$1="",对接源_01水果!$C1137="",对接源_01水果!$C1137&lt;&gt;$K$1,对接源_01水果!$B1137=""),0,IF(OR(N(对接源_01水果!$B1137)&lt;$K$2,N(对接源_01水果!$B1137)&gt;$K$3),0,1))</f>
        <v>0</v>
      </c>
      <c r="L1137" s="3">
        <f>IF(OR($L$1="",对接源_01水果!$C1137="",对接源_01水果!$C1137&lt;&gt;$L$1,对接源_01水果!$B1137=""),0,IF(OR(N(对接源_01水果!$B1137)&lt;$L$2,N(对接源_01水果!$B1137)&gt;$L$3),0,1))</f>
        <v>0</v>
      </c>
      <c r="M1137" s="3">
        <f>IF(OR($M$1="",对接源_01水果!$C1137="",对接源_01水果!$C1137&lt;&gt;$M$1,对接源_01水果!$B1137=""),0,IF(OR(N(对接源_01水果!$B1137)&lt;$M$2,N(对接源_01水果!$B1137)&gt;$M$3),0,1))</f>
        <v>0</v>
      </c>
      <c r="N1137" s="3">
        <f>IF(OR($N$1="",对接源_01水果!$C1137="",对接源_01水果!$C1137&lt;&gt;$N$1,对接源_01水果!$B1137=""),0,IF(OR(N(对接源_01水果!$B1137)&lt;$N$2,N(对接源_01水果!$B1137)&gt;$N$3),0,1))</f>
        <v>0</v>
      </c>
      <c r="P1137" s="3">
        <f>IF(AND($K1137=1,AND(对接源_01水果!$X1137="公司筐",N(对接源_01水果!$T1137)&lt;&gt;0)),1,0)</f>
        <v>0</v>
      </c>
      <c r="Q1137" s="3">
        <f t="shared" si="300"/>
        <v>0</v>
      </c>
      <c r="R1137" s="3">
        <f>IF(AND($K1137=1,AND(对接源_01水果!$X1137="公司筐",N(对接源_01水果!$U1137)&lt;&gt;0)),1,0)</f>
        <v>0</v>
      </c>
      <c r="S1137" s="3">
        <f t="shared" si="301"/>
        <v>0</v>
      </c>
      <c r="T1137" s="3">
        <f>IF(AND($K1137=1,AND(对接源_01水果!$X1137="公司筐",N(对接源_01水果!$V1137)&lt;&gt;0)),1,0)</f>
        <v>0</v>
      </c>
      <c r="U1137" s="3">
        <f t="shared" si="302"/>
        <v>19</v>
      </c>
      <c r="V1137" s="3">
        <f>IF(AND($L1137=1,AND(对接源_01水果!$X1137="自备筐",N(对接源_01水果!$V1137)&lt;&gt;0)),1,0)</f>
        <v>0</v>
      </c>
      <c r="W1137" s="3">
        <f t="shared" si="303"/>
        <v>8</v>
      </c>
      <c r="X1137" s="3">
        <f>IF(AND($L1137=1,AND(对接源_01水果!$X1137="自备筐",N(对接源_01水果!$T1137)&lt;&gt;0)),1,0)</f>
        <v>0</v>
      </c>
      <c r="Y1137" s="3">
        <f t="shared" si="304"/>
        <v>0</v>
      </c>
      <c r="Z1137" s="3">
        <f>IF(AND($M1137=1,对接源_01水果!$D1137="原料入库"),1,0)</f>
        <v>0</v>
      </c>
      <c r="AA1137" s="3">
        <f t="shared" si="305"/>
        <v>24</v>
      </c>
      <c r="AB1137" s="3">
        <f>IF(AND($M1137=1,LEFT(对接源_01水果!$D1137,4)="原料出库"),1,0)</f>
        <v>0</v>
      </c>
      <c r="AC1137" s="3">
        <f t="shared" si="306"/>
        <v>0</v>
      </c>
      <c r="AD1137" s="3">
        <f>IF(AND($M1137=1,LEFT(对接源_01水果!$D1137,4)="成品出库"),1,0)</f>
        <v>0</v>
      </c>
      <c r="AE1137" s="3">
        <f t="shared" si="307"/>
        <v>0</v>
      </c>
      <c r="AF1137" s="3">
        <f>IF(AND($N1137=1,AND(LEFT(对接源_01水果!$D1137,4)="包装物料",N(对接源_01水果!$K1137)&lt;&gt;0)),1,0)</f>
        <v>0</v>
      </c>
      <c r="AG1137" s="3">
        <f t="shared" si="308"/>
        <v>0</v>
      </c>
      <c r="AH1137" s="3">
        <f>IF(AND($N1137=1,AND(对接源_01水果!$D1137="周转筐－销售出库",N(对接源_01水果!$K1137)&lt;&gt;0)),1,0)</f>
        <v>0</v>
      </c>
      <c r="AI1137" s="3">
        <f t="shared" si="309"/>
        <v>0</v>
      </c>
      <c r="AJ1137" s="7"/>
      <c r="AL1137" s="3">
        <f>IF(OR($AL$1="",对接源_01水果!$Y1137="",对接源_01水果!$Y1137&lt;&gt;$AL$1,对接源_01水果!$B1137="",N(对接源_01水果!$AJ1137)&lt;=0),0,IF(OR(N(对接源_01水果!$B1137)&lt;$AL$2,N(对接源_01水果!$B1137)&gt;$AL$3),0,1))</f>
        <v>0</v>
      </c>
      <c r="AM1137" s="3">
        <f t="shared" si="310"/>
        <v>1</v>
      </c>
      <c r="AN1137" s="3" t="str">
        <f>IF(对接源_01水果!$AC1137="","",对接源_01水果!$AC1137)</f>
        <v/>
      </c>
      <c r="AO1137" s="3">
        <f t="shared" si="311"/>
        <v>0</v>
      </c>
      <c r="AP1137" s="3">
        <f t="shared" si="312"/>
        <v>8</v>
      </c>
      <c r="AR1137">
        <f t="shared" si="313"/>
        <v>0</v>
      </c>
      <c r="AS1137">
        <f t="shared" si="314"/>
        <v>0</v>
      </c>
    </row>
    <row r="1138" ht="14.25" customHeight="1" spans="1:45">
      <c r="A1138" s="3" t="str">
        <f>IF(对接源_01水果!$C1138="","",对接源_01水果!$C1138)</f>
        <v/>
      </c>
      <c r="B1138" s="3">
        <f t="shared" si="298"/>
        <v>0</v>
      </c>
      <c r="C1138" s="3">
        <f t="shared" si="299"/>
        <v>18</v>
      </c>
      <c r="K1138" s="3">
        <f>IF(OR($K$1="",对接源_01水果!$C1138="",对接源_01水果!$C1138&lt;&gt;$K$1,对接源_01水果!$B1138=""),0,IF(OR(N(对接源_01水果!$B1138)&lt;$K$2,N(对接源_01水果!$B1138)&gt;$K$3),0,1))</f>
        <v>0</v>
      </c>
      <c r="L1138" s="3">
        <f>IF(OR($L$1="",对接源_01水果!$C1138="",对接源_01水果!$C1138&lt;&gt;$L$1,对接源_01水果!$B1138=""),0,IF(OR(N(对接源_01水果!$B1138)&lt;$L$2,N(对接源_01水果!$B1138)&gt;$L$3),0,1))</f>
        <v>0</v>
      </c>
      <c r="M1138" s="3">
        <f>IF(OR($M$1="",对接源_01水果!$C1138="",对接源_01水果!$C1138&lt;&gt;$M$1,对接源_01水果!$B1138=""),0,IF(OR(N(对接源_01水果!$B1138)&lt;$M$2,N(对接源_01水果!$B1138)&gt;$M$3),0,1))</f>
        <v>0</v>
      </c>
      <c r="N1138" s="3">
        <f>IF(OR($N$1="",对接源_01水果!$C1138="",对接源_01水果!$C1138&lt;&gt;$N$1,对接源_01水果!$B1138=""),0,IF(OR(N(对接源_01水果!$B1138)&lt;$N$2,N(对接源_01水果!$B1138)&gt;$N$3),0,1))</f>
        <v>0</v>
      </c>
      <c r="P1138" s="3">
        <f>IF(AND($K1138=1,AND(对接源_01水果!$X1138="公司筐",N(对接源_01水果!$T1138)&lt;&gt;0)),1,0)</f>
        <v>0</v>
      </c>
      <c r="Q1138" s="3">
        <f t="shared" si="300"/>
        <v>0</v>
      </c>
      <c r="R1138" s="3">
        <f>IF(AND($K1138=1,AND(对接源_01水果!$X1138="公司筐",N(对接源_01水果!$U1138)&lt;&gt;0)),1,0)</f>
        <v>0</v>
      </c>
      <c r="S1138" s="3">
        <f t="shared" si="301"/>
        <v>0</v>
      </c>
      <c r="T1138" s="3">
        <f>IF(AND($K1138=1,AND(对接源_01水果!$X1138="公司筐",N(对接源_01水果!$V1138)&lt;&gt;0)),1,0)</f>
        <v>0</v>
      </c>
      <c r="U1138" s="3">
        <f t="shared" si="302"/>
        <v>19</v>
      </c>
      <c r="V1138" s="3">
        <f>IF(AND($L1138=1,AND(对接源_01水果!$X1138="自备筐",N(对接源_01水果!$V1138)&lt;&gt;0)),1,0)</f>
        <v>0</v>
      </c>
      <c r="W1138" s="3">
        <f t="shared" si="303"/>
        <v>8</v>
      </c>
      <c r="X1138" s="3">
        <f>IF(AND($L1138=1,AND(对接源_01水果!$X1138="自备筐",N(对接源_01水果!$T1138)&lt;&gt;0)),1,0)</f>
        <v>0</v>
      </c>
      <c r="Y1138" s="3">
        <f t="shared" si="304"/>
        <v>0</v>
      </c>
      <c r="Z1138" s="3">
        <f>IF(AND($M1138=1,对接源_01水果!$D1138="原料入库"),1,0)</f>
        <v>0</v>
      </c>
      <c r="AA1138" s="3">
        <f t="shared" si="305"/>
        <v>24</v>
      </c>
      <c r="AB1138" s="3">
        <f>IF(AND($M1138=1,LEFT(对接源_01水果!$D1138,4)="原料出库"),1,0)</f>
        <v>0</v>
      </c>
      <c r="AC1138" s="3">
        <f t="shared" si="306"/>
        <v>0</v>
      </c>
      <c r="AD1138" s="3">
        <f>IF(AND($M1138=1,LEFT(对接源_01水果!$D1138,4)="成品出库"),1,0)</f>
        <v>0</v>
      </c>
      <c r="AE1138" s="3">
        <f t="shared" si="307"/>
        <v>0</v>
      </c>
      <c r="AF1138" s="3">
        <f>IF(AND($N1138=1,AND(LEFT(对接源_01水果!$D1138,4)="包装物料",N(对接源_01水果!$K1138)&lt;&gt;0)),1,0)</f>
        <v>0</v>
      </c>
      <c r="AG1138" s="3">
        <f t="shared" si="308"/>
        <v>0</v>
      </c>
      <c r="AH1138" s="3">
        <f>IF(AND($N1138=1,AND(对接源_01水果!$D1138="周转筐－销售出库",N(对接源_01水果!$K1138)&lt;&gt;0)),1,0)</f>
        <v>0</v>
      </c>
      <c r="AI1138" s="3">
        <f t="shared" si="309"/>
        <v>0</v>
      </c>
      <c r="AJ1138" s="7"/>
      <c r="AL1138" s="3">
        <f>IF(OR($AL$1="",对接源_01水果!$Y1138="",对接源_01水果!$Y1138&lt;&gt;$AL$1,对接源_01水果!$B1138="",N(对接源_01水果!$AJ1138)&lt;=0),0,IF(OR(N(对接源_01水果!$B1138)&lt;$AL$2,N(对接源_01水果!$B1138)&gt;$AL$3),0,1))</f>
        <v>0</v>
      </c>
      <c r="AM1138" s="3">
        <f t="shared" si="310"/>
        <v>1</v>
      </c>
      <c r="AN1138" s="3" t="str">
        <f>IF(对接源_01水果!$AC1138="","",对接源_01水果!$AC1138)</f>
        <v/>
      </c>
      <c r="AO1138" s="3">
        <f t="shared" si="311"/>
        <v>0</v>
      </c>
      <c r="AP1138" s="3">
        <f t="shared" si="312"/>
        <v>8</v>
      </c>
      <c r="AR1138">
        <f t="shared" si="313"/>
        <v>0</v>
      </c>
      <c r="AS1138">
        <f t="shared" si="314"/>
        <v>0</v>
      </c>
    </row>
    <row r="1139" ht="14.25" customHeight="1" spans="1:45">
      <c r="A1139" s="3" t="str">
        <f>IF(对接源_01水果!$C1139="","",对接源_01水果!$C1139)</f>
        <v/>
      </c>
      <c r="B1139" s="3">
        <f t="shared" si="298"/>
        <v>0</v>
      </c>
      <c r="C1139" s="3">
        <f t="shared" si="299"/>
        <v>18</v>
      </c>
      <c r="K1139" s="3">
        <f>IF(OR($K$1="",对接源_01水果!$C1139="",对接源_01水果!$C1139&lt;&gt;$K$1,对接源_01水果!$B1139=""),0,IF(OR(N(对接源_01水果!$B1139)&lt;$K$2,N(对接源_01水果!$B1139)&gt;$K$3),0,1))</f>
        <v>0</v>
      </c>
      <c r="L1139" s="3">
        <f>IF(OR($L$1="",对接源_01水果!$C1139="",对接源_01水果!$C1139&lt;&gt;$L$1,对接源_01水果!$B1139=""),0,IF(OR(N(对接源_01水果!$B1139)&lt;$L$2,N(对接源_01水果!$B1139)&gt;$L$3),0,1))</f>
        <v>0</v>
      </c>
      <c r="M1139" s="3">
        <f>IF(OR($M$1="",对接源_01水果!$C1139="",对接源_01水果!$C1139&lt;&gt;$M$1,对接源_01水果!$B1139=""),0,IF(OR(N(对接源_01水果!$B1139)&lt;$M$2,N(对接源_01水果!$B1139)&gt;$M$3),0,1))</f>
        <v>0</v>
      </c>
      <c r="N1139" s="3">
        <f>IF(OR($N$1="",对接源_01水果!$C1139="",对接源_01水果!$C1139&lt;&gt;$N$1,对接源_01水果!$B1139=""),0,IF(OR(N(对接源_01水果!$B1139)&lt;$N$2,N(对接源_01水果!$B1139)&gt;$N$3),0,1))</f>
        <v>0</v>
      </c>
      <c r="P1139" s="3">
        <f>IF(AND($K1139=1,AND(对接源_01水果!$X1139="公司筐",N(对接源_01水果!$T1139)&lt;&gt;0)),1,0)</f>
        <v>0</v>
      </c>
      <c r="Q1139" s="3">
        <f t="shared" si="300"/>
        <v>0</v>
      </c>
      <c r="R1139" s="3">
        <f>IF(AND($K1139=1,AND(对接源_01水果!$X1139="公司筐",N(对接源_01水果!$U1139)&lt;&gt;0)),1,0)</f>
        <v>0</v>
      </c>
      <c r="S1139" s="3">
        <f t="shared" si="301"/>
        <v>0</v>
      </c>
      <c r="T1139" s="3">
        <f>IF(AND($K1139=1,AND(对接源_01水果!$X1139="公司筐",N(对接源_01水果!$V1139)&lt;&gt;0)),1,0)</f>
        <v>0</v>
      </c>
      <c r="U1139" s="3">
        <f t="shared" si="302"/>
        <v>19</v>
      </c>
      <c r="V1139" s="3">
        <f>IF(AND($L1139=1,AND(对接源_01水果!$X1139="自备筐",N(对接源_01水果!$V1139)&lt;&gt;0)),1,0)</f>
        <v>0</v>
      </c>
      <c r="W1139" s="3">
        <f t="shared" si="303"/>
        <v>8</v>
      </c>
      <c r="X1139" s="3">
        <f>IF(AND($L1139=1,AND(对接源_01水果!$X1139="自备筐",N(对接源_01水果!$T1139)&lt;&gt;0)),1,0)</f>
        <v>0</v>
      </c>
      <c r="Y1139" s="3">
        <f t="shared" si="304"/>
        <v>0</v>
      </c>
      <c r="Z1139" s="3">
        <f>IF(AND($M1139=1,对接源_01水果!$D1139="原料入库"),1,0)</f>
        <v>0</v>
      </c>
      <c r="AA1139" s="3">
        <f t="shared" si="305"/>
        <v>24</v>
      </c>
      <c r="AB1139" s="3">
        <f>IF(AND($M1139=1,LEFT(对接源_01水果!$D1139,4)="原料出库"),1,0)</f>
        <v>0</v>
      </c>
      <c r="AC1139" s="3">
        <f t="shared" si="306"/>
        <v>0</v>
      </c>
      <c r="AD1139" s="3">
        <f>IF(AND($M1139=1,LEFT(对接源_01水果!$D1139,4)="成品出库"),1,0)</f>
        <v>0</v>
      </c>
      <c r="AE1139" s="3">
        <f t="shared" si="307"/>
        <v>0</v>
      </c>
      <c r="AF1139" s="3">
        <f>IF(AND($N1139=1,AND(LEFT(对接源_01水果!$D1139,4)="包装物料",N(对接源_01水果!$K1139)&lt;&gt;0)),1,0)</f>
        <v>0</v>
      </c>
      <c r="AG1139" s="3">
        <f t="shared" si="308"/>
        <v>0</v>
      </c>
      <c r="AH1139" s="3">
        <f>IF(AND($N1139=1,AND(对接源_01水果!$D1139="周转筐－销售出库",N(对接源_01水果!$K1139)&lt;&gt;0)),1,0)</f>
        <v>0</v>
      </c>
      <c r="AI1139" s="3">
        <f t="shared" si="309"/>
        <v>0</v>
      </c>
      <c r="AJ1139" s="7"/>
      <c r="AL1139" s="3">
        <f>IF(OR($AL$1="",对接源_01水果!$Y1139="",对接源_01水果!$Y1139&lt;&gt;$AL$1,对接源_01水果!$B1139="",N(对接源_01水果!$AJ1139)&lt;=0),0,IF(OR(N(对接源_01水果!$B1139)&lt;$AL$2,N(对接源_01水果!$B1139)&gt;$AL$3),0,1))</f>
        <v>0</v>
      </c>
      <c r="AM1139" s="3">
        <f t="shared" si="310"/>
        <v>1</v>
      </c>
      <c r="AN1139" s="3" t="str">
        <f>IF(对接源_01水果!$AC1139="","",对接源_01水果!$AC1139)</f>
        <v/>
      </c>
      <c r="AO1139" s="3">
        <f t="shared" si="311"/>
        <v>0</v>
      </c>
      <c r="AP1139" s="3">
        <f t="shared" si="312"/>
        <v>8</v>
      </c>
      <c r="AR1139">
        <f t="shared" si="313"/>
        <v>0</v>
      </c>
      <c r="AS1139">
        <f t="shared" si="314"/>
        <v>0</v>
      </c>
    </row>
    <row r="1140" ht="14.25" customHeight="1" spans="1:45">
      <c r="A1140" s="3" t="str">
        <f>IF(对接源_01水果!$C1140="","",对接源_01水果!$C1140)</f>
        <v/>
      </c>
      <c r="B1140" s="3">
        <f t="shared" si="298"/>
        <v>0</v>
      </c>
      <c r="C1140" s="3">
        <f t="shared" si="299"/>
        <v>18</v>
      </c>
      <c r="K1140" s="3">
        <f>IF(OR($K$1="",对接源_01水果!$C1140="",对接源_01水果!$C1140&lt;&gt;$K$1,对接源_01水果!$B1140=""),0,IF(OR(N(对接源_01水果!$B1140)&lt;$K$2,N(对接源_01水果!$B1140)&gt;$K$3),0,1))</f>
        <v>0</v>
      </c>
      <c r="L1140" s="3">
        <f>IF(OR($L$1="",对接源_01水果!$C1140="",对接源_01水果!$C1140&lt;&gt;$L$1,对接源_01水果!$B1140=""),0,IF(OR(N(对接源_01水果!$B1140)&lt;$L$2,N(对接源_01水果!$B1140)&gt;$L$3),0,1))</f>
        <v>0</v>
      </c>
      <c r="M1140" s="3">
        <f>IF(OR($M$1="",对接源_01水果!$C1140="",对接源_01水果!$C1140&lt;&gt;$M$1,对接源_01水果!$B1140=""),0,IF(OR(N(对接源_01水果!$B1140)&lt;$M$2,N(对接源_01水果!$B1140)&gt;$M$3),0,1))</f>
        <v>0</v>
      </c>
      <c r="N1140" s="3">
        <f>IF(OR($N$1="",对接源_01水果!$C1140="",对接源_01水果!$C1140&lt;&gt;$N$1,对接源_01水果!$B1140=""),0,IF(OR(N(对接源_01水果!$B1140)&lt;$N$2,N(对接源_01水果!$B1140)&gt;$N$3),0,1))</f>
        <v>0</v>
      </c>
      <c r="P1140" s="3">
        <f>IF(AND($K1140=1,AND(对接源_01水果!$X1140="公司筐",N(对接源_01水果!$T1140)&lt;&gt;0)),1,0)</f>
        <v>0</v>
      </c>
      <c r="Q1140" s="3">
        <f t="shared" si="300"/>
        <v>0</v>
      </c>
      <c r="R1140" s="3">
        <f>IF(AND($K1140=1,AND(对接源_01水果!$X1140="公司筐",N(对接源_01水果!$U1140)&lt;&gt;0)),1,0)</f>
        <v>0</v>
      </c>
      <c r="S1140" s="3">
        <f t="shared" si="301"/>
        <v>0</v>
      </c>
      <c r="T1140" s="3">
        <f>IF(AND($K1140=1,AND(对接源_01水果!$X1140="公司筐",N(对接源_01水果!$V1140)&lt;&gt;0)),1,0)</f>
        <v>0</v>
      </c>
      <c r="U1140" s="3">
        <f t="shared" si="302"/>
        <v>19</v>
      </c>
      <c r="V1140" s="3">
        <f>IF(AND($L1140=1,AND(对接源_01水果!$X1140="自备筐",N(对接源_01水果!$V1140)&lt;&gt;0)),1,0)</f>
        <v>0</v>
      </c>
      <c r="W1140" s="3">
        <f t="shared" si="303"/>
        <v>8</v>
      </c>
      <c r="X1140" s="3">
        <f>IF(AND($L1140=1,AND(对接源_01水果!$X1140="自备筐",N(对接源_01水果!$T1140)&lt;&gt;0)),1,0)</f>
        <v>0</v>
      </c>
      <c r="Y1140" s="3">
        <f t="shared" si="304"/>
        <v>0</v>
      </c>
      <c r="Z1140" s="3">
        <f>IF(AND($M1140=1,对接源_01水果!$D1140="原料入库"),1,0)</f>
        <v>0</v>
      </c>
      <c r="AA1140" s="3">
        <f t="shared" si="305"/>
        <v>24</v>
      </c>
      <c r="AB1140" s="3">
        <f>IF(AND($M1140=1,LEFT(对接源_01水果!$D1140,4)="原料出库"),1,0)</f>
        <v>0</v>
      </c>
      <c r="AC1140" s="3">
        <f t="shared" si="306"/>
        <v>0</v>
      </c>
      <c r="AD1140" s="3">
        <f>IF(AND($M1140=1,LEFT(对接源_01水果!$D1140,4)="成品出库"),1,0)</f>
        <v>0</v>
      </c>
      <c r="AE1140" s="3">
        <f t="shared" si="307"/>
        <v>0</v>
      </c>
      <c r="AF1140" s="3">
        <f>IF(AND($N1140=1,AND(LEFT(对接源_01水果!$D1140,4)="包装物料",N(对接源_01水果!$K1140)&lt;&gt;0)),1,0)</f>
        <v>0</v>
      </c>
      <c r="AG1140" s="3">
        <f t="shared" si="308"/>
        <v>0</v>
      </c>
      <c r="AH1140" s="3">
        <f>IF(AND($N1140=1,AND(对接源_01水果!$D1140="周转筐－销售出库",N(对接源_01水果!$K1140)&lt;&gt;0)),1,0)</f>
        <v>0</v>
      </c>
      <c r="AI1140" s="3">
        <f t="shared" si="309"/>
        <v>0</v>
      </c>
      <c r="AJ1140" s="7"/>
      <c r="AL1140" s="3">
        <f>IF(OR($AL$1="",对接源_01水果!$Y1140="",对接源_01水果!$Y1140&lt;&gt;$AL$1,对接源_01水果!$B1140="",N(对接源_01水果!$AJ1140)&lt;=0),0,IF(OR(N(对接源_01水果!$B1140)&lt;$AL$2,N(对接源_01水果!$B1140)&gt;$AL$3),0,1))</f>
        <v>0</v>
      </c>
      <c r="AM1140" s="3">
        <f t="shared" si="310"/>
        <v>1</v>
      </c>
      <c r="AN1140" s="3" t="str">
        <f>IF(对接源_01水果!$AC1140="","",对接源_01水果!$AC1140)</f>
        <v/>
      </c>
      <c r="AO1140" s="3">
        <f t="shared" si="311"/>
        <v>0</v>
      </c>
      <c r="AP1140" s="3">
        <f t="shared" si="312"/>
        <v>8</v>
      </c>
      <c r="AR1140">
        <f t="shared" si="313"/>
        <v>0</v>
      </c>
      <c r="AS1140">
        <f t="shared" si="314"/>
        <v>0</v>
      </c>
    </row>
    <row r="1141" ht="14.25" customHeight="1" spans="1:45">
      <c r="A1141" s="3" t="str">
        <f>IF(对接源_01水果!$C1141="","",对接源_01水果!$C1141)</f>
        <v/>
      </c>
      <c r="B1141" s="3">
        <f t="shared" si="298"/>
        <v>0</v>
      </c>
      <c r="C1141" s="3">
        <f t="shared" si="299"/>
        <v>18</v>
      </c>
      <c r="K1141" s="3">
        <f>IF(OR($K$1="",对接源_01水果!$C1141="",对接源_01水果!$C1141&lt;&gt;$K$1,对接源_01水果!$B1141=""),0,IF(OR(N(对接源_01水果!$B1141)&lt;$K$2,N(对接源_01水果!$B1141)&gt;$K$3),0,1))</f>
        <v>0</v>
      </c>
      <c r="L1141" s="3">
        <f>IF(OR($L$1="",对接源_01水果!$C1141="",对接源_01水果!$C1141&lt;&gt;$L$1,对接源_01水果!$B1141=""),0,IF(OR(N(对接源_01水果!$B1141)&lt;$L$2,N(对接源_01水果!$B1141)&gt;$L$3),0,1))</f>
        <v>0</v>
      </c>
      <c r="M1141" s="3">
        <f>IF(OR($M$1="",对接源_01水果!$C1141="",对接源_01水果!$C1141&lt;&gt;$M$1,对接源_01水果!$B1141=""),0,IF(OR(N(对接源_01水果!$B1141)&lt;$M$2,N(对接源_01水果!$B1141)&gt;$M$3),0,1))</f>
        <v>0</v>
      </c>
      <c r="N1141" s="3">
        <f>IF(OR($N$1="",对接源_01水果!$C1141="",对接源_01水果!$C1141&lt;&gt;$N$1,对接源_01水果!$B1141=""),0,IF(OR(N(对接源_01水果!$B1141)&lt;$N$2,N(对接源_01水果!$B1141)&gt;$N$3),0,1))</f>
        <v>0</v>
      </c>
      <c r="P1141" s="3">
        <f>IF(AND($K1141=1,AND(对接源_01水果!$X1141="公司筐",N(对接源_01水果!$T1141)&lt;&gt;0)),1,0)</f>
        <v>0</v>
      </c>
      <c r="Q1141" s="3">
        <f t="shared" si="300"/>
        <v>0</v>
      </c>
      <c r="R1141" s="3">
        <f>IF(AND($K1141=1,AND(对接源_01水果!$X1141="公司筐",N(对接源_01水果!$U1141)&lt;&gt;0)),1,0)</f>
        <v>0</v>
      </c>
      <c r="S1141" s="3">
        <f t="shared" si="301"/>
        <v>0</v>
      </c>
      <c r="T1141" s="3">
        <f>IF(AND($K1141=1,AND(对接源_01水果!$X1141="公司筐",N(对接源_01水果!$V1141)&lt;&gt;0)),1,0)</f>
        <v>0</v>
      </c>
      <c r="U1141" s="3">
        <f t="shared" si="302"/>
        <v>19</v>
      </c>
      <c r="V1141" s="3">
        <f>IF(AND($L1141=1,AND(对接源_01水果!$X1141="自备筐",N(对接源_01水果!$V1141)&lt;&gt;0)),1,0)</f>
        <v>0</v>
      </c>
      <c r="W1141" s="3">
        <f t="shared" si="303"/>
        <v>8</v>
      </c>
      <c r="X1141" s="3">
        <f>IF(AND($L1141=1,AND(对接源_01水果!$X1141="自备筐",N(对接源_01水果!$T1141)&lt;&gt;0)),1,0)</f>
        <v>0</v>
      </c>
      <c r="Y1141" s="3">
        <f t="shared" si="304"/>
        <v>0</v>
      </c>
      <c r="Z1141" s="3">
        <f>IF(AND($M1141=1,对接源_01水果!$D1141="原料入库"),1,0)</f>
        <v>0</v>
      </c>
      <c r="AA1141" s="3">
        <f t="shared" si="305"/>
        <v>24</v>
      </c>
      <c r="AB1141" s="3">
        <f>IF(AND($M1141=1,LEFT(对接源_01水果!$D1141,4)="原料出库"),1,0)</f>
        <v>0</v>
      </c>
      <c r="AC1141" s="3">
        <f t="shared" si="306"/>
        <v>0</v>
      </c>
      <c r="AD1141" s="3">
        <f>IF(AND($M1141=1,LEFT(对接源_01水果!$D1141,4)="成品出库"),1,0)</f>
        <v>0</v>
      </c>
      <c r="AE1141" s="3">
        <f t="shared" si="307"/>
        <v>0</v>
      </c>
      <c r="AF1141" s="3">
        <f>IF(AND($N1141=1,AND(LEFT(对接源_01水果!$D1141,4)="包装物料",N(对接源_01水果!$K1141)&lt;&gt;0)),1,0)</f>
        <v>0</v>
      </c>
      <c r="AG1141" s="3">
        <f t="shared" si="308"/>
        <v>0</v>
      </c>
      <c r="AH1141" s="3">
        <f>IF(AND($N1141=1,AND(对接源_01水果!$D1141="周转筐－销售出库",N(对接源_01水果!$K1141)&lt;&gt;0)),1,0)</f>
        <v>0</v>
      </c>
      <c r="AI1141" s="3">
        <f t="shared" si="309"/>
        <v>0</v>
      </c>
      <c r="AJ1141" s="7"/>
      <c r="AL1141" s="3">
        <f>IF(OR($AL$1="",对接源_01水果!$Y1141="",对接源_01水果!$Y1141&lt;&gt;$AL$1,对接源_01水果!$B1141="",N(对接源_01水果!$AJ1141)&lt;=0),0,IF(OR(N(对接源_01水果!$B1141)&lt;$AL$2,N(对接源_01水果!$B1141)&gt;$AL$3),0,1))</f>
        <v>0</v>
      </c>
      <c r="AM1141" s="3">
        <f t="shared" si="310"/>
        <v>1</v>
      </c>
      <c r="AN1141" s="3" t="str">
        <f>IF(对接源_01水果!$AC1141="","",对接源_01水果!$AC1141)</f>
        <v/>
      </c>
      <c r="AO1141" s="3">
        <f t="shared" si="311"/>
        <v>0</v>
      </c>
      <c r="AP1141" s="3">
        <f t="shared" si="312"/>
        <v>8</v>
      </c>
      <c r="AR1141">
        <f t="shared" si="313"/>
        <v>0</v>
      </c>
      <c r="AS1141">
        <f t="shared" si="314"/>
        <v>0</v>
      </c>
    </row>
    <row r="1142" ht="14.25" customHeight="1" spans="1:45">
      <c r="A1142" s="3" t="str">
        <f>IF(对接源_01水果!$C1142="","",对接源_01水果!$C1142)</f>
        <v/>
      </c>
      <c r="B1142" s="3">
        <f t="shared" si="298"/>
        <v>0</v>
      </c>
      <c r="C1142" s="3">
        <f t="shared" si="299"/>
        <v>18</v>
      </c>
      <c r="K1142" s="3">
        <f>IF(OR($K$1="",对接源_01水果!$C1142="",对接源_01水果!$C1142&lt;&gt;$K$1,对接源_01水果!$B1142=""),0,IF(OR(N(对接源_01水果!$B1142)&lt;$K$2,N(对接源_01水果!$B1142)&gt;$K$3),0,1))</f>
        <v>0</v>
      </c>
      <c r="L1142" s="3">
        <f>IF(OR($L$1="",对接源_01水果!$C1142="",对接源_01水果!$C1142&lt;&gt;$L$1,对接源_01水果!$B1142=""),0,IF(OR(N(对接源_01水果!$B1142)&lt;$L$2,N(对接源_01水果!$B1142)&gt;$L$3),0,1))</f>
        <v>0</v>
      </c>
      <c r="M1142" s="3">
        <f>IF(OR($M$1="",对接源_01水果!$C1142="",对接源_01水果!$C1142&lt;&gt;$M$1,对接源_01水果!$B1142=""),0,IF(OR(N(对接源_01水果!$B1142)&lt;$M$2,N(对接源_01水果!$B1142)&gt;$M$3),0,1))</f>
        <v>0</v>
      </c>
      <c r="N1142" s="3">
        <f>IF(OR($N$1="",对接源_01水果!$C1142="",对接源_01水果!$C1142&lt;&gt;$N$1,对接源_01水果!$B1142=""),0,IF(OR(N(对接源_01水果!$B1142)&lt;$N$2,N(对接源_01水果!$B1142)&gt;$N$3),0,1))</f>
        <v>0</v>
      </c>
      <c r="P1142" s="3">
        <f>IF(AND($K1142=1,AND(对接源_01水果!$X1142="公司筐",N(对接源_01水果!$T1142)&lt;&gt;0)),1,0)</f>
        <v>0</v>
      </c>
      <c r="Q1142" s="3">
        <f t="shared" si="300"/>
        <v>0</v>
      </c>
      <c r="R1142" s="3">
        <f>IF(AND($K1142=1,AND(对接源_01水果!$X1142="公司筐",N(对接源_01水果!$U1142)&lt;&gt;0)),1,0)</f>
        <v>0</v>
      </c>
      <c r="S1142" s="3">
        <f t="shared" si="301"/>
        <v>0</v>
      </c>
      <c r="T1142" s="3">
        <f>IF(AND($K1142=1,AND(对接源_01水果!$X1142="公司筐",N(对接源_01水果!$V1142)&lt;&gt;0)),1,0)</f>
        <v>0</v>
      </c>
      <c r="U1142" s="3">
        <f t="shared" si="302"/>
        <v>19</v>
      </c>
      <c r="V1142" s="3">
        <f>IF(AND($L1142=1,AND(对接源_01水果!$X1142="自备筐",N(对接源_01水果!$V1142)&lt;&gt;0)),1,0)</f>
        <v>0</v>
      </c>
      <c r="W1142" s="3">
        <f t="shared" si="303"/>
        <v>8</v>
      </c>
      <c r="X1142" s="3">
        <f>IF(AND($L1142=1,AND(对接源_01水果!$X1142="自备筐",N(对接源_01水果!$T1142)&lt;&gt;0)),1,0)</f>
        <v>0</v>
      </c>
      <c r="Y1142" s="3">
        <f t="shared" si="304"/>
        <v>0</v>
      </c>
      <c r="Z1142" s="3">
        <f>IF(AND($M1142=1,对接源_01水果!$D1142="原料入库"),1,0)</f>
        <v>0</v>
      </c>
      <c r="AA1142" s="3">
        <f t="shared" si="305"/>
        <v>24</v>
      </c>
      <c r="AB1142" s="3">
        <f>IF(AND($M1142=1,LEFT(对接源_01水果!$D1142,4)="原料出库"),1,0)</f>
        <v>0</v>
      </c>
      <c r="AC1142" s="3">
        <f t="shared" si="306"/>
        <v>0</v>
      </c>
      <c r="AD1142" s="3">
        <f>IF(AND($M1142=1,LEFT(对接源_01水果!$D1142,4)="成品出库"),1,0)</f>
        <v>0</v>
      </c>
      <c r="AE1142" s="3">
        <f t="shared" si="307"/>
        <v>0</v>
      </c>
      <c r="AF1142" s="3">
        <f>IF(AND($N1142=1,AND(LEFT(对接源_01水果!$D1142,4)="包装物料",N(对接源_01水果!$K1142)&lt;&gt;0)),1,0)</f>
        <v>0</v>
      </c>
      <c r="AG1142" s="3">
        <f t="shared" si="308"/>
        <v>0</v>
      </c>
      <c r="AH1142" s="3">
        <f>IF(AND($N1142=1,AND(对接源_01水果!$D1142="周转筐－销售出库",N(对接源_01水果!$K1142)&lt;&gt;0)),1,0)</f>
        <v>0</v>
      </c>
      <c r="AI1142" s="3">
        <f t="shared" si="309"/>
        <v>0</v>
      </c>
      <c r="AJ1142" s="7"/>
      <c r="AL1142" s="3">
        <f>IF(OR($AL$1="",对接源_01水果!$Y1142="",对接源_01水果!$Y1142&lt;&gt;$AL$1,对接源_01水果!$B1142="",N(对接源_01水果!$AJ1142)&lt;=0),0,IF(OR(N(对接源_01水果!$B1142)&lt;$AL$2,N(对接源_01水果!$B1142)&gt;$AL$3),0,1))</f>
        <v>0</v>
      </c>
      <c r="AM1142" s="3">
        <f t="shared" si="310"/>
        <v>1</v>
      </c>
      <c r="AN1142" s="3" t="str">
        <f>IF(对接源_01水果!$AC1142="","",对接源_01水果!$AC1142)</f>
        <v/>
      </c>
      <c r="AO1142" s="3">
        <f t="shared" si="311"/>
        <v>0</v>
      </c>
      <c r="AP1142" s="3">
        <f t="shared" si="312"/>
        <v>8</v>
      </c>
      <c r="AR1142">
        <f t="shared" si="313"/>
        <v>0</v>
      </c>
      <c r="AS1142">
        <f t="shared" si="314"/>
        <v>0</v>
      </c>
    </row>
    <row r="1143" ht="14.25" customHeight="1" spans="1:45">
      <c r="A1143" s="3" t="str">
        <f>IF(对接源_01水果!$C1143="","",对接源_01水果!$C1143)</f>
        <v/>
      </c>
      <c r="B1143" s="3">
        <f t="shared" si="298"/>
        <v>0</v>
      </c>
      <c r="C1143" s="3">
        <f t="shared" si="299"/>
        <v>18</v>
      </c>
      <c r="K1143" s="3">
        <f>IF(OR($K$1="",对接源_01水果!$C1143="",对接源_01水果!$C1143&lt;&gt;$K$1,对接源_01水果!$B1143=""),0,IF(OR(N(对接源_01水果!$B1143)&lt;$K$2,N(对接源_01水果!$B1143)&gt;$K$3),0,1))</f>
        <v>0</v>
      </c>
      <c r="L1143" s="3">
        <f>IF(OR($L$1="",对接源_01水果!$C1143="",对接源_01水果!$C1143&lt;&gt;$L$1,对接源_01水果!$B1143=""),0,IF(OR(N(对接源_01水果!$B1143)&lt;$L$2,N(对接源_01水果!$B1143)&gt;$L$3),0,1))</f>
        <v>0</v>
      </c>
      <c r="M1143" s="3">
        <f>IF(OR($M$1="",对接源_01水果!$C1143="",对接源_01水果!$C1143&lt;&gt;$M$1,对接源_01水果!$B1143=""),0,IF(OR(N(对接源_01水果!$B1143)&lt;$M$2,N(对接源_01水果!$B1143)&gt;$M$3),0,1))</f>
        <v>0</v>
      </c>
      <c r="N1143" s="3">
        <f>IF(OR($N$1="",对接源_01水果!$C1143="",对接源_01水果!$C1143&lt;&gt;$N$1,对接源_01水果!$B1143=""),0,IF(OR(N(对接源_01水果!$B1143)&lt;$N$2,N(对接源_01水果!$B1143)&gt;$N$3),0,1))</f>
        <v>0</v>
      </c>
      <c r="P1143" s="3">
        <f>IF(AND($K1143=1,AND(对接源_01水果!$X1143="公司筐",N(对接源_01水果!$T1143)&lt;&gt;0)),1,0)</f>
        <v>0</v>
      </c>
      <c r="Q1143" s="3">
        <f t="shared" si="300"/>
        <v>0</v>
      </c>
      <c r="R1143" s="3">
        <f>IF(AND($K1143=1,AND(对接源_01水果!$X1143="公司筐",N(对接源_01水果!$U1143)&lt;&gt;0)),1,0)</f>
        <v>0</v>
      </c>
      <c r="S1143" s="3">
        <f t="shared" si="301"/>
        <v>0</v>
      </c>
      <c r="T1143" s="3">
        <f>IF(AND($K1143=1,AND(对接源_01水果!$X1143="公司筐",N(对接源_01水果!$V1143)&lt;&gt;0)),1,0)</f>
        <v>0</v>
      </c>
      <c r="U1143" s="3">
        <f t="shared" si="302"/>
        <v>19</v>
      </c>
      <c r="V1143" s="3">
        <f>IF(AND($L1143=1,AND(对接源_01水果!$X1143="自备筐",N(对接源_01水果!$V1143)&lt;&gt;0)),1,0)</f>
        <v>0</v>
      </c>
      <c r="W1143" s="3">
        <f t="shared" si="303"/>
        <v>8</v>
      </c>
      <c r="X1143" s="3">
        <f>IF(AND($L1143=1,AND(对接源_01水果!$X1143="自备筐",N(对接源_01水果!$T1143)&lt;&gt;0)),1,0)</f>
        <v>0</v>
      </c>
      <c r="Y1143" s="3">
        <f t="shared" si="304"/>
        <v>0</v>
      </c>
      <c r="Z1143" s="3">
        <f>IF(AND($M1143=1,对接源_01水果!$D1143="原料入库"),1,0)</f>
        <v>0</v>
      </c>
      <c r="AA1143" s="3">
        <f t="shared" si="305"/>
        <v>24</v>
      </c>
      <c r="AB1143" s="3">
        <f>IF(AND($M1143=1,LEFT(对接源_01水果!$D1143,4)="原料出库"),1,0)</f>
        <v>0</v>
      </c>
      <c r="AC1143" s="3">
        <f t="shared" si="306"/>
        <v>0</v>
      </c>
      <c r="AD1143" s="3">
        <f>IF(AND($M1143=1,LEFT(对接源_01水果!$D1143,4)="成品出库"),1,0)</f>
        <v>0</v>
      </c>
      <c r="AE1143" s="3">
        <f t="shared" si="307"/>
        <v>0</v>
      </c>
      <c r="AF1143" s="3">
        <f>IF(AND($N1143=1,AND(LEFT(对接源_01水果!$D1143,4)="包装物料",N(对接源_01水果!$K1143)&lt;&gt;0)),1,0)</f>
        <v>0</v>
      </c>
      <c r="AG1143" s="3">
        <f t="shared" si="308"/>
        <v>0</v>
      </c>
      <c r="AH1143" s="3">
        <f>IF(AND($N1143=1,AND(对接源_01水果!$D1143="周转筐－销售出库",N(对接源_01水果!$K1143)&lt;&gt;0)),1,0)</f>
        <v>0</v>
      </c>
      <c r="AI1143" s="3">
        <f t="shared" si="309"/>
        <v>0</v>
      </c>
      <c r="AJ1143" s="7"/>
      <c r="AL1143" s="3">
        <f>IF(OR($AL$1="",对接源_01水果!$Y1143="",对接源_01水果!$Y1143&lt;&gt;$AL$1,对接源_01水果!$B1143="",N(对接源_01水果!$AJ1143)&lt;=0),0,IF(OR(N(对接源_01水果!$B1143)&lt;$AL$2,N(对接源_01水果!$B1143)&gt;$AL$3),0,1))</f>
        <v>0</v>
      </c>
      <c r="AM1143" s="3">
        <f t="shared" si="310"/>
        <v>1</v>
      </c>
      <c r="AN1143" s="3" t="str">
        <f>IF(对接源_01水果!$AC1143="","",对接源_01水果!$AC1143)</f>
        <v/>
      </c>
      <c r="AO1143" s="3">
        <f t="shared" si="311"/>
        <v>0</v>
      </c>
      <c r="AP1143" s="3">
        <f t="shared" si="312"/>
        <v>8</v>
      </c>
      <c r="AR1143">
        <f t="shared" si="313"/>
        <v>0</v>
      </c>
      <c r="AS1143">
        <f t="shared" si="314"/>
        <v>0</v>
      </c>
    </row>
    <row r="1144" ht="14.25" customHeight="1" spans="1:45">
      <c r="A1144" s="3" t="str">
        <f>IF(对接源_01水果!$C1144="","",对接源_01水果!$C1144)</f>
        <v/>
      </c>
      <c r="B1144" s="3">
        <f t="shared" si="298"/>
        <v>0</v>
      </c>
      <c r="C1144" s="3">
        <f t="shared" si="299"/>
        <v>18</v>
      </c>
      <c r="K1144" s="3">
        <f>IF(OR($K$1="",对接源_01水果!$C1144="",对接源_01水果!$C1144&lt;&gt;$K$1,对接源_01水果!$B1144=""),0,IF(OR(N(对接源_01水果!$B1144)&lt;$K$2,N(对接源_01水果!$B1144)&gt;$K$3),0,1))</f>
        <v>0</v>
      </c>
      <c r="L1144" s="3">
        <f>IF(OR($L$1="",对接源_01水果!$C1144="",对接源_01水果!$C1144&lt;&gt;$L$1,对接源_01水果!$B1144=""),0,IF(OR(N(对接源_01水果!$B1144)&lt;$L$2,N(对接源_01水果!$B1144)&gt;$L$3),0,1))</f>
        <v>0</v>
      </c>
      <c r="M1144" s="3">
        <f>IF(OR($M$1="",对接源_01水果!$C1144="",对接源_01水果!$C1144&lt;&gt;$M$1,对接源_01水果!$B1144=""),0,IF(OR(N(对接源_01水果!$B1144)&lt;$M$2,N(对接源_01水果!$B1144)&gt;$M$3),0,1))</f>
        <v>0</v>
      </c>
      <c r="N1144" s="3">
        <f>IF(OR($N$1="",对接源_01水果!$C1144="",对接源_01水果!$C1144&lt;&gt;$N$1,对接源_01水果!$B1144=""),0,IF(OR(N(对接源_01水果!$B1144)&lt;$N$2,N(对接源_01水果!$B1144)&gt;$N$3),0,1))</f>
        <v>0</v>
      </c>
      <c r="P1144" s="3">
        <f>IF(AND($K1144=1,AND(对接源_01水果!$X1144="公司筐",N(对接源_01水果!$T1144)&lt;&gt;0)),1,0)</f>
        <v>0</v>
      </c>
      <c r="Q1144" s="3">
        <f t="shared" si="300"/>
        <v>0</v>
      </c>
      <c r="R1144" s="3">
        <f>IF(AND($K1144=1,AND(对接源_01水果!$X1144="公司筐",N(对接源_01水果!$U1144)&lt;&gt;0)),1,0)</f>
        <v>0</v>
      </c>
      <c r="S1144" s="3">
        <f t="shared" si="301"/>
        <v>0</v>
      </c>
      <c r="T1144" s="3">
        <f>IF(AND($K1144=1,AND(对接源_01水果!$X1144="公司筐",N(对接源_01水果!$V1144)&lt;&gt;0)),1,0)</f>
        <v>0</v>
      </c>
      <c r="U1144" s="3">
        <f t="shared" si="302"/>
        <v>19</v>
      </c>
      <c r="V1144" s="3">
        <f>IF(AND($L1144=1,AND(对接源_01水果!$X1144="自备筐",N(对接源_01水果!$V1144)&lt;&gt;0)),1,0)</f>
        <v>0</v>
      </c>
      <c r="W1144" s="3">
        <f t="shared" si="303"/>
        <v>8</v>
      </c>
      <c r="X1144" s="3">
        <f>IF(AND($L1144=1,AND(对接源_01水果!$X1144="自备筐",N(对接源_01水果!$T1144)&lt;&gt;0)),1,0)</f>
        <v>0</v>
      </c>
      <c r="Y1144" s="3">
        <f t="shared" si="304"/>
        <v>0</v>
      </c>
      <c r="Z1144" s="3">
        <f>IF(AND($M1144=1,对接源_01水果!$D1144="原料入库"),1,0)</f>
        <v>0</v>
      </c>
      <c r="AA1144" s="3">
        <f t="shared" si="305"/>
        <v>24</v>
      </c>
      <c r="AB1144" s="3">
        <f>IF(AND($M1144=1,LEFT(对接源_01水果!$D1144,4)="原料出库"),1,0)</f>
        <v>0</v>
      </c>
      <c r="AC1144" s="3">
        <f t="shared" si="306"/>
        <v>0</v>
      </c>
      <c r="AD1144" s="3">
        <f>IF(AND($M1144=1,LEFT(对接源_01水果!$D1144,4)="成品出库"),1,0)</f>
        <v>0</v>
      </c>
      <c r="AE1144" s="3">
        <f t="shared" si="307"/>
        <v>0</v>
      </c>
      <c r="AF1144" s="3">
        <f>IF(AND($N1144=1,AND(LEFT(对接源_01水果!$D1144,4)="包装物料",N(对接源_01水果!$K1144)&lt;&gt;0)),1,0)</f>
        <v>0</v>
      </c>
      <c r="AG1144" s="3">
        <f t="shared" si="308"/>
        <v>0</v>
      </c>
      <c r="AH1144" s="3">
        <f>IF(AND($N1144=1,AND(对接源_01水果!$D1144="周转筐－销售出库",N(对接源_01水果!$K1144)&lt;&gt;0)),1,0)</f>
        <v>0</v>
      </c>
      <c r="AI1144" s="3">
        <f t="shared" si="309"/>
        <v>0</v>
      </c>
      <c r="AJ1144" s="7"/>
      <c r="AL1144" s="3">
        <f>IF(OR($AL$1="",对接源_01水果!$Y1144="",对接源_01水果!$Y1144&lt;&gt;$AL$1,对接源_01水果!$B1144="",N(对接源_01水果!$AJ1144)&lt;=0),0,IF(OR(N(对接源_01水果!$B1144)&lt;$AL$2,N(对接源_01水果!$B1144)&gt;$AL$3),0,1))</f>
        <v>0</v>
      </c>
      <c r="AM1144" s="3">
        <f t="shared" si="310"/>
        <v>1</v>
      </c>
      <c r="AN1144" s="3" t="str">
        <f>IF(对接源_01水果!$AC1144="","",对接源_01水果!$AC1144)</f>
        <v/>
      </c>
      <c r="AO1144" s="3">
        <f t="shared" si="311"/>
        <v>0</v>
      </c>
      <c r="AP1144" s="3">
        <f t="shared" si="312"/>
        <v>8</v>
      </c>
      <c r="AR1144">
        <f t="shared" si="313"/>
        <v>0</v>
      </c>
      <c r="AS1144">
        <f t="shared" si="314"/>
        <v>0</v>
      </c>
    </row>
    <row r="1145" ht="14.25" customHeight="1" spans="1:45">
      <c r="A1145" s="3" t="str">
        <f>IF(对接源_01水果!$C1145="","",对接源_01水果!$C1145)</f>
        <v/>
      </c>
      <c r="B1145" s="3">
        <f t="shared" si="298"/>
        <v>0</v>
      </c>
      <c r="C1145" s="3">
        <f t="shared" si="299"/>
        <v>18</v>
      </c>
      <c r="K1145" s="3">
        <f>IF(OR($K$1="",对接源_01水果!$C1145="",对接源_01水果!$C1145&lt;&gt;$K$1,对接源_01水果!$B1145=""),0,IF(OR(N(对接源_01水果!$B1145)&lt;$K$2,N(对接源_01水果!$B1145)&gt;$K$3),0,1))</f>
        <v>0</v>
      </c>
      <c r="L1145" s="3">
        <f>IF(OR($L$1="",对接源_01水果!$C1145="",对接源_01水果!$C1145&lt;&gt;$L$1,对接源_01水果!$B1145=""),0,IF(OR(N(对接源_01水果!$B1145)&lt;$L$2,N(对接源_01水果!$B1145)&gt;$L$3),0,1))</f>
        <v>0</v>
      </c>
      <c r="M1145" s="3">
        <f>IF(OR($M$1="",对接源_01水果!$C1145="",对接源_01水果!$C1145&lt;&gt;$M$1,对接源_01水果!$B1145=""),0,IF(OR(N(对接源_01水果!$B1145)&lt;$M$2,N(对接源_01水果!$B1145)&gt;$M$3),0,1))</f>
        <v>0</v>
      </c>
      <c r="N1145" s="3">
        <f>IF(OR($N$1="",对接源_01水果!$C1145="",对接源_01水果!$C1145&lt;&gt;$N$1,对接源_01水果!$B1145=""),0,IF(OR(N(对接源_01水果!$B1145)&lt;$N$2,N(对接源_01水果!$B1145)&gt;$N$3),0,1))</f>
        <v>0</v>
      </c>
      <c r="P1145" s="3">
        <f>IF(AND($K1145=1,AND(对接源_01水果!$X1145="公司筐",N(对接源_01水果!$T1145)&lt;&gt;0)),1,0)</f>
        <v>0</v>
      </c>
      <c r="Q1145" s="3">
        <f t="shared" si="300"/>
        <v>0</v>
      </c>
      <c r="R1145" s="3">
        <f>IF(AND($K1145=1,AND(对接源_01水果!$X1145="公司筐",N(对接源_01水果!$U1145)&lt;&gt;0)),1,0)</f>
        <v>0</v>
      </c>
      <c r="S1145" s="3">
        <f t="shared" si="301"/>
        <v>0</v>
      </c>
      <c r="T1145" s="3">
        <f>IF(AND($K1145=1,AND(对接源_01水果!$X1145="公司筐",N(对接源_01水果!$V1145)&lt;&gt;0)),1,0)</f>
        <v>0</v>
      </c>
      <c r="U1145" s="3">
        <f t="shared" si="302"/>
        <v>19</v>
      </c>
      <c r="V1145" s="3">
        <f>IF(AND($L1145=1,AND(对接源_01水果!$X1145="自备筐",N(对接源_01水果!$V1145)&lt;&gt;0)),1,0)</f>
        <v>0</v>
      </c>
      <c r="W1145" s="3">
        <f t="shared" si="303"/>
        <v>8</v>
      </c>
      <c r="X1145" s="3">
        <f>IF(AND($L1145=1,AND(对接源_01水果!$X1145="自备筐",N(对接源_01水果!$T1145)&lt;&gt;0)),1,0)</f>
        <v>0</v>
      </c>
      <c r="Y1145" s="3">
        <f t="shared" si="304"/>
        <v>0</v>
      </c>
      <c r="Z1145" s="3">
        <f>IF(AND($M1145=1,对接源_01水果!$D1145="原料入库"),1,0)</f>
        <v>0</v>
      </c>
      <c r="AA1145" s="3">
        <f t="shared" si="305"/>
        <v>24</v>
      </c>
      <c r="AB1145" s="3">
        <f>IF(AND($M1145=1,LEFT(对接源_01水果!$D1145,4)="原料出库"),1,0)</f>
        <v>0</v>
      </c>
      <c r="AC1145" s="3">
        <f t="shared" si="306"/>
        <v>0</v>
      </c>
      <c r="AD1145" s="3">
        <f>IF(AND($M1145=1,LEFT(对接源_01水果!$D1145,4)="成品出库"),1,0)</f>
        <v>0</v>
      </c>
      <c r="AE1145" s="3">
        <f t="shared" si="307"/>
        <v>0</v>
      </c>
      <c r="AF1145" s="3">
        <f>IF(AND($N1145=1,AND(LEFT(对接源_01水果!$D1145,4)="包装物料",N(对接源_01水果!$K1145)&lt;&gt;0)),1,0)</f>
        <v>0</v>
      </c>
      <c r="AG1145" s="3">
        <f t="shared" si="308"/>
        <v>0</v>
      </c>
      <c r="AH1145" s="3">
        <f>IF(AND($N1145=1,AND(对接源_01水果!$D1145="周转筐－销售出库",N(对接源_01水果!$K1145)&lt;&gt;0)),1,0)</f>
        <v>0</v>
      </c>
      <c r="AI1145" s="3">
        <f t="shared" si="309"/>
        <v>0</v>
      </c>
      <c r="AJ1145" s="7"/>
      <c r="AL1145" s="3">
        <f>IF(OR($AL$1="",对接源_01水果!$Y1145="",对接源_01水果!$Y1145&lt;&gt;$AL$1,对接源_01水果!$B1145="",N(对接源_01水果!$AJ1145)&lt;=0),0,IF(OR(N(对接源_01水果!$B1145)&lt;$AL$2,N(对接源_01水果!$B1145)&gt;$AL$3),0,1))</f>
        <v>0</v>
      </c>
      <c r="AM1145" s="3">
        <f t="shared" si="310"/>
        <v>1</v>
      </c>
      <c r="AN1145" s="3" t="str">
        <f>IF(对接源_01水果!$AC1145="","",对接源_01水果!$AC1145)</f>
        <v/>
      </c>
      <c r="AO1145" s="3">
        <f t="shared" si="311"/>
        <v>0</v>
      </c>
      <c r="AP1145" s="3">
        <f t="shared" si="312"/>
        <v>8</v>
      </c>
      <c r="AR1145">
        <f t="shared" si="313"/>
        <v>0</v>
      </c>
      <c r="AS1145">
        <f t="shared" si="314"/>
        <v>0</v>
      </c>
    </row>
    <row r="1146" ht="14.25" customHeight="1" spans="1:45">
      <c r="A1146" s="3" t="str">
        <f>IF(对接源_01水果!$C1146="","",对接源_01水果!$C1146)</f>
        <v/>
      </c>
      <c r="B1146" s="3">
        <f t="shared" si="298"/>
        <v>0</v>
      </c>
      <c r="C1146" s="3">
        <f t="shared" si="299"/>
        <v>18</v>
      </c>
      <c r="K1146" s="3">
        <f>IF(OR($K$1="",对接源_01水果!$C1146="",对接源_01水果!$C1146&lt;&gt;$K$1,对接源_01水果!$B1146=""),0,IF(OR(N(对接源_01水果!$B1146)&lt;$K$2,N(对接源_01水果!$B1146)&gt;$K$3),0,1))</f>
        <v>0</v>
      </c>
      <c r="L1146" s="3">
        <f>IF(OR($L$1="",对接源_01水果!$C1146="",对接源_01水果!$C1146&lt;&gt;$L$1,对接源_01水果!$B1146=""),0,IF(OR(N(对接源_01水果!$B1146)&lt;$L$2,N(对接源_01水果!$B1146)&gt;$L$3),0,1))</f>
        <v>0</v>
      </c>
      <c r="M1146" s="3">
        <f>IF(OR($M$1="",对接源_01水果!$C1146="",对接源_01水果!$C1146&lt;&gt;$M$1,对接源_01水果!$B1146=""),0,IF(OR(N(对接源_01水果!$B1146)&lt;$M$2,N(对接源_01水果!$B1146)&gt;$M$3),0,1))</f>
        <v>0</v>
      </c>
      <c r="N1146" s="3">
        <f>IF(OR($N$1="",对接源_01水果!$C1146="",对接源_01水果!$C1146&lt;&gt;$N$1,对接源_01水果!$B1146=""),0,IF(OR(N(对接源_01水果!$B1146)&lt;$N$2,N(对接源_01水果!$B1146)&gt;$N$3),0,1))</f>
        <v>0</v>
      </c>
      <c r="P1146" s="3">
        <f>IF(AND($K1146=1,AND(对接源_01水果!$X1146="公司筐",N(对接源_01水果!$T1146)&lt;&gt;0)),1,0)</f>
        <v>0</v>
      </c>
      <c r="Q1146" s="3">
        <f t="shared" si="300"/>
        <v>0</v>
      </c>
      <c r="R1146" s="3">
        <f>IF(AND($K1146=1,AND(对接源_01水果!$X1146="公司筐",N(对接源_01水果!$U1146)&lt;&gt;0)),1,0)</f>
        <v>0</v>
      </c>
      <c r="S1146" s="3">
        <f t="shared" si="301"/>
        <v>0</v>
      </c>
      <c r="T1146" s="3">
        <f>IF(AND($K1146=1,AND(对接源_01水果!$X1146="公司筐",N(对接源_01水果!$V1146)&lt;&gt;0)),1,0)</f>
        <v>0</v>
      </c>
      <c r="U1146" s="3">
        <f t="shared" si="302"/>
        <v>19</v>
      </c>
      <c r="V1146" s="3">
        <f>IF(AND($L1146=1,AND(对接源_01水果!$X1146="自备筐",N(对接源_01水果!$V1146)&lt;&gt;0)),1,0)</f>
        <v>0</v>
      </c>
      <c r="W1146" s="3">
        <f t="shared" si="303"/>
        <v>8</v>
      </c>
      <c r="X1146" s="3">
        <f>IF(AND($L1146=1,AND(对接源_01水果!$X1146="自备筐",N(对接源_01水果!$T1146)&lt;&gt;0)),1,0)</f>
        <v>0</v>
      </c>
      <c r="Y1146" s="3">
        <f t="shared" si="304"/>
        <v>0</v>
      </c>
      <c r="Z1146" s="3">
        <f>IF(AND($M1146=1,对接源_01水果!$D1146="原料入库"),1,0)</f>
        <v>0</v>
      </c>
      <c r="AA1146" s="3">
        <f t="shared" si="305"/>
        <v>24</v>
      </c>
      <c r="AB1146" s="3">
        <f>IF(AND($M1146=1,LEFT(对接源_01水果!$D1146,4)="原料出库"),1,0)</f>
        <v>0</v>
      </c>
      <c r="AC1146" s="3">
        <f t="shared" si="306"/>
        <v>0</v>
      </c>
      <c r="AD1146" s="3">
        <f>IF(AND($M1146=1,LEFT(对接源_01水果!$D1146,4)="成品出库"),1,0)</f>
        <v>0</v>
      </c>
      <c r="AE1146" s="3">
        <f t="shared" si="307"/>
        <v>0</v>
      </c>
      <c r="AF1146" s="3">
        <f>IF(AND($N1146=1,AND(LEFT(对接源_01水果!$D1146,4)="包装物料",N(对接源_01水果!$K1146)&lt;&gt;0)),1,0)</f>
        <v>0</v>
      </c>
      <c r="AG1146" s="3">
        <f t="shared" si="308"/>
        <v>0</v>
      </c>
      <c r="AH1146" s="3">
        <f>IF(AND($N1146=1,AND(对接源_01水果!$D1146="周转筐－销售出库",N(对接源_01水果!$K1146)&lt;&gt;0)),1,0)</f>
        <v>0</v>
      </c>
      <c r="AI1146" s="3">
        <f t="shared" si="309"/>
        <v>0</v>
      </c>
      <c r="AJ1146" s="7"/>
      <c r="AL1146" s="3">
        <f>IF(OR($AL$1="",对接源_01水果!$Y1146="",对接源_01水果!$Y1146&lt;&gt;$AL$1,对接源_01水果!$B1146="",N(对接源_01水果!$AJ1146)&lt;=0),0,IF(OR(N(对接源_01水果!$B1146)&lt;$AL$2,N(对接源_01水果!$B1146)&gt;$AL$3),0,1))</f>
        <v>0</v>
      </c>
      <c r="AM1146" s="3">
        <f t="shared" si="310"/>
        <v>1</v>
      </c>
      <c r="AN1146" s="3" t="str">
        <f>IF(对接源_01水果!$AC1146="","",对接源_01水果!$AC1146)</f>
        <v/>
      </c>
      <c r="AO1146" s="3">
        <f t="shared" si="311"/>
        <v>0</v>
      </c>
      <c r="AP1146" s="3">
        <f t="shared" si="312"/>
        <v>8</v>
      </c>
      <c r="AR1146">
        <f t="shared" si="313"/>
        <v>0</v>
      </c>
      <c r="AS1146">
        <f t="shared" si="314"/>
        <v>0</v>
      </c>
    </row>
    <row r="1147" ht="14.25" customHeight="1" spans="1:45">
      <c r="A1147" s="3" t="str">
        <f>IF(对接源_01水果!$C1147="","",对接源_01水果!$C1147)</f>
        <v/>
      </c>
      <c r="B1147" s="3">
        <f t="shared" si="298"/>
        <v>0</v>
      </c>
      <c r="C1147" s="3">
        <f t="shared" si="299"/>
        <v>18</v>
      </c>
      <c r="K1147" s="3">
        <f>IF(OR($K$1="",对接源_01水果!$C1147="",对接源_01水果!$C1147&lt;&gt;$K$1,对接源_01水果!$B1147=""),0,IF(OR(N(对接源_01水果!$B1147)&lt;$K$2,N(对接源_01水果!$B1147)&gt;$K$3),0,1))</f>
        <v>0</v>
      </c>
      <c r="L1147" s="3">
        <f>IF(OR($L$1="",对接源_01水果!$C1147="",对接源_01水果!$C1147&lt;&gt;$L$1,对接源_01水果!$B1147=""),0,IF(OR(N(对接源_01水果!$B1147)&lt;$L$2,N(对接源_01水果!$B1147)&gt;$L$3),0,1))</f>
        <v>0</v>
      </c>
      <c r="M1147" s="3">
        <f>IF(OR($M$1="",对接源_01水果!$C1147="",对接源_01水果!$C1147&lt;&gt;$M$1,对接源_01水果!$B1147=""),0,IF(OR(N(对接源_01水果!$B1147)&lt;$M$2,N(对接源_01水果!$B1147)&gt;$M$3),0,1))</f>
        <v>0</v>
      </c>
      <c r="N1147" s="3">
        <f>IF(OR($N$1="",对接源_01水果!$C1147="",对接源_01水果!$C1147&lt;&gt;$N$1,对接源_01水果!$B1147=""),0,IF(OR(N(对接源_01水果!$B1147)&lt;$N$2,N(对接源_01水果!$B1147)&gt;$N$3),0,1))</f>
        <v>0</v>
      </c>
      <c r="P1147" s="3">
        <f>IF(AND($K1147=1,AND(对接源_01水果!$X1147="公司筐",N(对接源_01水果!$T1147)&lt;&gt;0)),1,0)</f>
        <v>0</v>
      </c>
      <c r="Q1147" s="3">
        <f t="shared" si="300"/>
        <v>0</v>
      </c>
      <c r="R1147" s="3">
        <f>IF(AND($K1147=1,AND(对接源_01水果!$X1147="公司筐",N(对接源_01水果!$U1147)&lt;&gt;0)),1,0)</f>
        <v>0</v>
      </c>
      <c r="S1147" s="3">
        <f t="shared" si="301"/>
        <v>0</v>
      </c>
      <c r="T1147" s="3">
        <f>IF(AND($K1147=1,AND(对接源_01水果!$X1147="公司筐",N(对接源_01水果!$V1147)&lt;&gt;0)),1,0)</f>
        <v>0</v>
      </c>
      <c r="U1147" s="3">
        <f t="shared" si="302"/>
        <v>19</v>
      </c>
      <c r="V1147" s="3">
        <f>IF(AND($L1147=1,AND(对接源_01水果!$X1147="自备筐",N(对接源_01水果!$V1147)&lt;&gt;0)),1,0)</f>
        <v>0</v>
      </c>
      <c r="W1147" s="3">
        <f t="shared" si="303"/>
        <v>8</v>
      </c>
      <c r="X1147" s="3">
        <f>IF(AND($L1147=1,AND(对接源_01水果!$X1147="自备筐",N(对接源_01水果!$T1147)&lt;&gt;0)),1,0)</f>
        <v>0</v>
      </c>
      <c r="Y1147" s="3">
        <f t="shared" si="304"/>
        <v>0</v>
      </c>
      <c r="Z1147" s="3">
        <f>IF(AND($M1147=1,对接源_01水果!$D1147="原料入库"),1,0)</f>
        <v>0</v>
      </c>
      <c r="AA1147" s="3">
        <f t="shared" si="305"/>
        <v>24</v>
      </c>
      <c r="AB1147" s="3">
        <f>IF(AND($M1147=1,LEFT(对接源_01水果!$D1147,4)="原料出库"),1,0)</f>
        <v>0</v>
      </c>
      <c r="AC1147" s="3">
        <f t="shared" si="306"/>
        <v>0</v>
      </c>
      <c r="AD1147" s="3">
        <f>IF(AND($M1147=1,LEFT(对接源_01水果!$D1147,4)="成品出库"),1,0)</f>
        <v>0</v>
      </c>
      <c r="AE1147" s="3">
        <f t="shared" si="307"/>
        <v>0</v>
      </c>
      <c r="AF1147" s="3">
        <f>IF(AND($N1147=1,AND(LEFT(对接源_01水果!$D1147,4)="包装物料",N(对接源_01水果!$K1147)&lt;&gt;0)),1,0)</f>
        <v>0</v>
      </c>
      <c r="AG1147" s="3">
        <f t="shared" si="308"/>
        <v>0</v>
      </c>
      <c r="AH1147" s="3">
        <f>IF(AND($N1147=1,AND(对接源_01水果!$D1147="周转筐－销售出库",N(对接源_01水果!$K1147)&lt;&gt;0)),1,0)</f>
        <v>0</v>
      </c>
      <c r="AI1147" s="3">
        <f t="shared" si="309"/>
        <v>0</v>
      </c>
      <c r="AJ1147" s="7"/>
      <c r="AL1147" s="3">
        <f>IF(OR($AL$1="",对接源_01水果!$Y1147="",对接源_01水果!$Y1147&lt;&gt;$AL$1,对接源_01水果!$B1147="",N(对接源_01水果!$AJ1147)&lt;=0),0,IF(OR(N(对接源_01水果!$B1147)&lt;$AL$2,N(对接源_01水果!$B1147)&gt;$AL$3),0,1))</f>
        <v>0</v>
      </c>
      <c r="AM1147" s="3">
        <f t="shared" si="310"/>
        <v>1</v>
      </c>
      <c r="AN1147" s="3" t="str">
        <f>IF(对接源_01水果!$AC1147="","",对接源_01水果!$AC1147)</f>
        <v/>
      </c>
      <c r="AO1147" s="3">
        <f t="shared" si="311"/>
        <v>0</v>
      </c>
      <c r="AP1147" s="3">
        <f t="shared" si="312"/>
        <v>8</v>
      </c>
      <c r="AR1147">
        <f t="shared" si="313"/>
        <v>0</v>
      </c>
      <c r="AS1147">
        <f t="shared" si="314"/>
        <v>0</v>
      </c>
    </row>
    <row r="1148" ht="14.25" customHeight="1" spans="1:45">
      <c r="A1148" s="3" t="str">
        <f>IF(对接源_01水果!$C1148="","",对接源_01水果!$C1148)</f>
        <v/>
      </c>
      <c r="B1148" s="3">
        <f t="shared" si="298"/>
        <v>0</v>
      </c>
      <c r="C1148" s="3">
        <f t="shared" si="299"/>
        <v>18</v>
      </c>
      <c r="K1148" s="3">
        <f>IF(OR($K$1="",对接源_01水果!$C1148="",对接源_01水果!$C1148&lt;&gt;$K$1,对接源_01水果!$B1148=""),0,IF(OR(N(对接源_01水果!$B1148)&lt;$K$2,N(对接源_01水果!$B1148)&gt;$K$3),0,1))</f>
        <v>0</v>
      </c>
      <c r="L1148" s="3">
        <f>IF(OR($L$1="",对接源_01水果!$C1148="",对接源_01水果!$C1148&lt;&gt;$L$1,对接源_01水果!$B1148=""),0,IF(OR(N(对接源_01水果!$B1148)&lt;$L$2,N(对接源_01水果!$B1148)&gt;$L$3),0,1))</f>
        <v>0</v>
      </c>
      <c r="M1148" s="3">
        <f>IF(OR($M$1="",对接源_01水果!$C1148="",对接源_01水果!$C1148&lt;&gt;$M$1,对接源_01水果!$B1148=""),0,IF(OR(N(对接源_01水果!$B1148)&lt;$M$2,N(对接源_01水果!$B1148)&gt;$M$3),0,1))</f>
        <v>0</v>
      </c>
      <c r="N1148" s="3">
        <f>IF(OR($N$1="",对接源_01水果!$C1148="",对接源_01水果!$C1148&lt;&gt;$N$1,对接源_01水果!$B1148=""),0,IF(OR(N(对接源_01水果!$B1148)&lt;$N$2,N(对接源_01水果!$B1148)&gt;$N$3),0,1))</f>
        <v>0</v>
      </c>
      <c r="P1148" s="3">
        <f>IF(AND($K1148=1,AND(对接源_01水果!$X1148="公司筐",N(对接源_01水果!$T1148)&lt;&gt;0)),1,0)</f>
        <v>0</v>
      </c>
      <c r="Q1148" s="3">
        <f t="shared" si="300"/>
        <v>0</v>
      </c>
      <c r="R1148" s="3">
        <f>IF(AND($K1148=1,AND(对接源_01水果!$X1148="公司筐",N(对接源_01水果!$U1148)&lt;&gt;0)),1,0)</f>
        <v>0</v>
      </c>
      <c r="S1148" s="3">
        <f t="shared" si="301"/>
        <v>0</v>
      </c>
      <c r="T1148" s="3">
        <f>IF(AND($K1148=1,AND(对接源_01水果!$X1148="公司筐",N(对接源_01水果!$V1148)&lt;&gt;0)),1,0)</f>
        <v>0</v>
      </c>
      <c r="U1148" s="3">
        <f t="shared" si="302"/>
        <v>19</v>
      </c>
      <c r="V1148" s="3">
        <f>IF(AND($L1148=1,AND(对接源_01水果!$X1148="自备筐",N(对接源_01水果!$V1148)&lt;&gt;0)),1,0)</f>
        <v>0</v>
      </c>
      <c r="W1148" s="3">
        <f t="shared" si="303"/>
        <v>8</v>
      </c>
      <c r="X1148" s="3">
        <f>IF(AND($L1148=1,AND(对接源_01水果!$X1148="自备筐",N(对接源_01水果!$T1148)&lt;&gt;0)),1,0)</f>
        <v>0</v>
      </c>
      <c r="Y1148" s="3">
        <f t="shared" si="304"/>
        <v>0</v>
      </c>
      <c r="Z1148" s="3">
        <f>IF(AND($M1148=1,对接源_01水果!$D1148="原料入库"),1,0)</f>
        <v>0</v>
      </c>
      <c r="AA1148" s="3">
        <f t="shared" si="305"/>
        <v>24</v>
      </c>
      <c r="AB1148" s="3">
        <f>IF(AND($M1148=1,LEFT(对接源_01水果!$D1148,4)="原料出库"),1,0)</f>
        <v>0</v>
      </c>
      <c r="AC1148" s="3">
        <f t="shared" si="306"/>
        <v>0</v>
      </c>
      <c r="AD1148" s="3">
        <f>IF(AND($M1148=1,LEFT(对接源_01水果!$D1148,4)="成品出库"),1,0)</f>
        <v>0</v>
      </c>
      <c r="AE1148" s="3">
        <f t="shared" si="307"/>
        <v>0</v>
      </c>
      <c r="AF1148" s="3">
        <f>IF(AND($N1148=1,AND(LEFT(对接源_01水果!$D1148,4)="包装物料",N(对接源_01水果!$K1148)&lt;&gt;0)),1,0)</f>
        <v>0</v>
      </c>
      <c r="AG1148" s="3">
        <f t="shared" si="308"/>
        <v>0</v>
      </c>
      <c r="AH1148" s="3">
        <f>IF(AND($N1148=1,AND(对接源_01水果!$D1148="周转筐－销售出库",N(对接源_01水果!$K1148)&lt;&gt;0)),1,0)</f>
        <v>0</v>
      </c>
      <c r="AI1148" s="3">
        <f t="shared" si="309"/>
        <v>0</v>
      </c>
      <c r="AJ1148" s="7"/>
      <c r="AL1148" s="3">
        <f>IF(OR($AL$1="",对接源_01水果!$Y1148="",对接源_01水果!$Y1148&lt;&gt;$AL$1,对接源_01水果!$B1148="",N(对接源_01水果!$AJ1148)&lt;=0),0,IF(OR(N(对接源_01水果!$B1148)&lt;$AL$2,N(对接源_01水果!$B1148)&gt;$AL$3),0,1))</f>
        <v>0</v>
      </c>
      <c r="AM1148" s="3">
        <f t="shared" si="310"/>
        <v>1</v>
      </c>
      <c r="AN1148" s="3" t="str">
        <f>IF(对接源_01水果!$AC1148="","",对接源_01水果!$AC1148)</f>
        <v/>
      </c>
      <c r="AO1148" s="3">
        <f t="shared" si="311"/>
        <v>0</v>
      </c>
      <c r="AP1148" s="3">
        <f t="shared" si="312"/>
        <v>8</v>
      </c>
      <c r="AR1148">
        <f t="shared" si="313"/>
        <v>0</v>
      </c>
      <c r="AS1148">
        <f t="shared" si="314"/>
        <v>0</v>
      </c>
    </row>
    <row r="1149" ht="14.25" customHeight="1" spans="1:45">
      <c r="A1149" s="3" t="str">
        <f>IF(对接源_01水果!$C1149="","",对接源_01水果!$C1149)</f>
        <v/>
      </c>
      <c r="B1149" s="3">
        <f t="shared" si="298"/>
        <v>0</v>
      </c>
      <c r="C1149" s="3">
        <f t="shared" si="299"/>
        <v>18</v>
      </c>
      <c r="K1149" s="3">
        <f>IF(OR($K$1="",对接源_01水果!$C1149="",对接源_01水果!$C1149&lt;&gt;$K$1,对接源_01水果!$B1149=""),0,IF(OR(N(对接源_01水果!$B1149)&lt;$K$2,N(对接源_01水果!$B1149)&gt;$K$3),0,1))</f>
        <v>0</v>
      </c>
      <c r="L1149" s="3">
        <f>IF(OR($L$1="",对接源_01水果!$C1149="",对接源_01水果!$C1149&lt;&gt;$L$1,对接源_01水果!$B1149=""),0,IF(OR(N(对接源_01水果!$B1149)&lt;$L$2,N(对接源_01水果!$B1149)&gt;$L$3),0,1))</f>
        <v>0</v>
      </c>
      <c r="M1149" s="3">
        <f>IF(OR($M$1="",对接源_01水果!$C1149="",对接源_01水果!$C1149&lt;&gt;$M$1,对接源_01水果!$B1149=""),0,IF(OR(N(对接源_01水果!$B1149)&lt;$M$2,N(对接源_01水果!$B1149)&gt;$M$3),0,1))</f>
        <v>0</v>
      </c>
      <c r="N1149" s="3">
        <f>IF(OR($N$1="",对接源_01水果!$C1149="",对接源_01水果!$C1149&lt;&gt;$N$1,对接源_01水果!$B1149=""),0,IF(OR(N(对接源_01水果!$B1149)&lt;$N$2,N(对接源_01水果!$B1149)&gt;$N$3),0,1))</f>
        <v>0</v>
      </c>
      <c r="P1149" s="3">
        <f>IF(AND($K1149=1,AND(对接源_01水果!$X1149="公司筐",N(对接源_01水果!$T1149)&lt;&gt;0)),1,0)</f>
        <v>0</v>
      </c>
      <c r="Q1149" s="3">
        <f t="shared" si="300"/>
        <v>0</v>
      </c>
      <c r="R1149" s="3">
        <f>IF(AND($K1149=1,AND(对接源_01水果!$X1149="公司筐",N(对接源_01水果!$U1149)&lt;&gt;0)),1,0)</f>
        <v>0</v>
      </c>
      <c r="S1149" s="3">
        <f t="shared" si="301"/>
        <v>0</v>
      </c>
      <c r="T1149" s="3">
        <f>IF(AND($K1149=1,AND(对接源_01水果!$X1149="公司筐",N(对接源_01水果!$V1149)&lt;&gt;0)),1,0)</f>
        <v>0</v>
      </c>
      <c r="U1149" s="3">
        <f t="shared" si="302"/>
        <v>19</v>
      </c>
      <c r="V1149" s="3">
        <f>IF(AND($L1149=1,AND(对接源_01水果!$X1149="自备筐",N(对接源_01水果!$V1149)&lt;&gt;0)),1,0)</f>
        <v>0</v>
      </c>
      <c r="W1149" s="3">
        <f t="shared" si="303"/>
        <v>8</v>
      </c>
      <c r="X1149" s="3">
        <f>IF(AND($L1149=1,AND(对接源_01水果!$X1149="自备筐",N(对接源_01水果!$T1149)&lt;&gt;0)),1,0)</f>
        <v>0</v>
      </c>
      <c r="Y1149" s="3">
        <f t="shared" si="304"/>
        <v>0</v>
      </c>
      <c r="Z1149" s="3">
        <f>IF(AND($M1149=1,对接源_01水果!$D1149="原料入库"),1,0)</f>
        <v>0</v>
      </c>
      <c r="AA1149" s="3">
        <f t="shared" si="305"/>
        <v>24</v>
      </c>
      <c r="AB1149" s="3">
        <f>IF(AND($M1149=1,LEFT(对接源_01水果!$D1149,4)="原料出库"),1,0)</f>
        <v>0</v>
      </c>
      <c r="AC1149" s="3">
        <f t="shared" si="306"/>
        <v>0</v>
      </c>
      <c r="AD1149" s="3">
        <f>IF(AND($M1149=1,LEFT(对接源_01水果!$D1149,4)="成品出库"),1,0)</f>
        <v>0</v>
      </c>
      <c r="AE1149" s="3">
        <f t="shared" si="307"/>
        <v>0</v>
      </c>
      <c r="AF1149" s="3">
        <f>IF(AND($N1149=1,AND(LEFT(对接源_01水果!$D1149,4)="包装物料",N(对接源_01水果!$K1149)&lt;&gt;0)),1,0)</f>
        <v>0</v>
      </c>
      <c r="AG1149" s="3">
        <f t="shared" si="308"/>
        <v>0</v>
      </c>
      <c r="AH1149" s="3">
        <f>IF(AND($N1149=1,AND(对接源_01水果!$D1149="周转筐－销售出库",N(对接源_01水果!$K1149)&lt;&gt;0)),1,0)</f>
        <v>0</v>
      </c>
      <c r="AI1149" s="3">
        <f t="shared" si="309"/>
        <v>0</v>
      </c>
      <c r="AJ1149" s="7"/>
      <c r="AL1149" s="3">
        <f>IF(OR($AL$1="",对接源_01水果!$Y1149="",对接源_01水果!$Y1149&lt;&gt;$AL$1,对接源_01水果!$B1149="",N(对接源_01水果!$AJ1149)&lt;=0),0,IF(OR(N(对接源_01水果!$B1149)&lt;$AL$2,N(对接源_01水果!$B1149)&gt;$AL$3),0,1))</f>
        <v>0</v>
      </c>
      <c r="AM1149" s="3">
        <f t="shared" si="310"/>
        <v>1</v>
      </c>
      <c r="AN1149" s="3" t="str">
        <f>IF(对接源_01水果!$AC1149="","",对接源_01水果!$AC1149)</f>
        <v/>
      </c>
      <c r="AO1149" s="3">
        <f t="shared" si="311"/>
        <v>0</v>
      </c>
      <c r="AP1149" s="3">
        <f t="shared" si="312"/>
        <v>8</v>
      </c>
      <c r="AR1149">
        <f t="shared" si="313"/>
        <v>0</v>
      </c>
      <c r="AS1149">
        <f t="shared" si="314"/>
        <v>0</v>
      </c>
    </row>
    <row r="1150" ht="14.25" customHeight="1" spans="1:45">
      <c r="A1150" s="3" t="str">
        <f>IF(对接源_01水果!$C1150="","",对接源_01水果!$C1150)</f>
        <v/>
      </c>
      <c r="B1150" s="3">
        <f t="shared" si="298"/>
        <v>0</v>
      </c>
      <c r="C1150" s="3">
        <f t="shared" si="299"/>
        <v>18</v>
      </c>
      <c r="K1150" s="3">
        <f>IF(OR($K$1="",对接源_01水果!$C1150="",对接源_01水果!$C1150&lt;&gt;$K$1,对接源_01水果!$B1150=""),0,IF(OR(N(对接源_01水果!$B1150)&lt;$K$2,N(对接源_01水果!$B1150)&gt;$K$3),0,1))</f>
        <v>0</v>
      </c>
      <c r="L1150" s="3">
        <f>IF(OR($L$1="",对接源_01水果!$C1150="",对接源_01水果!$C1150&lt;&gt;$L$1,对接源_01水果!$B1150=""),0,IF(OR(N(对接源_01水果!$B1150)&lt;$L$2,N(对接源_01水果!$B1150)&gt;$L$3),0,1))</f>
        <v>0</v>
      </c>
      <c r="M1150" s="3">
        <f>IF(OR($M$1="",对接源_01水果!$C1150="",对接源_01水果!$C1150&lt;&gt;$M$1,对接源_01水果!$B1150=""),0,IF(OR(N(对接源_01水果!$B1150)&lt;$M$2,N(对接源_01水果!$B1150)&gt;$M$3),0,1))</f>
        <v>0</v>
      </c>
      <c r="N1150" s="3">
        <f>IF(OR($N$1="",对接源_01水果!$C1150="",对接源_01水果!$C1150&lt;&gt;$N$1,对接源_01水果!$B1150=""),0,IF(OR(N(对接源_01水果!$B1150)&lt;$N$2,N(对接源_01水果!$B1150)&gt;$N$3),0,1))</f>
        <v>0</v>
      </c>
      <c r="P1150" s="3">
        <f>IF(AND($K1150=1,AND(对接源_01水果!$X1150="公司筐",N(对接源_01水果!$T1150)&lt;&gt;0)),1,0)</f>
        <v>0</v>
      </c>
      <c r="Q1150" s="3">
        <f t="shared" si="300"/>
        <v>0</v>
      </c>
      <c r="R1150" s="3">
        <f>IF(AND($K1150=1,AND(对接源_01水果!$X1150="公司筐",N(对接源_01水果!$U1150)&lt;&gt;0)),1,0)</f>
        <v>0</v>
      </c>
      <c r="S1150" s="3">
        <f t="shared" si="301"/>
        <v>0</v>
      </c>
      <c r="T1150" s="3">
        <f>IF(AND($K1150=1,AND(对接源_01水果!$X1150="公司筐",N(对接源_01水果!$V1150)&lt;&gt;0)),1,0)</f>
        <v>0</v>
      </c>
      <c r="U1150" s="3">
        <f t="shared" si="302"/>
        <v>19</v>
      </c>
      <c r="V1150" s="3">
        <f>IF(AND($L1150=1,AND(对接源_01水果!$X1150="自备筐",N(对接源_01水果!$V1150)&lt;&gt;0)),1,0)</f>
        <v>0</v>
      </c>
      <c r="W1150" s="3">
        <f t="shared" si="303"/>
        <v>8</v>
      </c>
      <c r="X1150" s="3">
        <f>IF(AND($L1150=1,AND(对接源_01水果!$X1150="自备筐",N(对接源_01水果!$T1150)&lt;&gt;0)),1,0)</f>
        <v>0</v>
      </c>
      <c r="Y1150" s="3">
        <f t="shared" si="304"/>
        <v>0</v>
      </c>
      <c r="Z1150" s="3">
        <f>IF(AND($M1150=1,对接源_01水果!$D1150="原料入库"),1,0)</f>
        <v>0</v>
      </c>
      <c r="AA1150" s="3">
        <f t="shared" si="305"/>
        <v>24</v>
      </c>
      <c r="AB1150" s="3">
        <f>IF(AND($M1150=1,LEFT(对接源_01水果!$D1150,4)="原料出库"),1,0)</f>
        <v>0</v>
      </c>
      <c r="AC1150" s="3">
        <f t="shared" si="306"/>
        <v>0</v>
      </c>
      <c r="AD1150" s="3">
        <f>IF(AND($M1150=1,LEFT(对接源_01水果!$D1150,4)="成品出库"),1,0)</f>
        <v>0</v>
      </c>
      <c r="AE1150" s="3">
        <f t="shared" si="307"/>
        <v>0</v>
      </c>
      <c r="AF1150" s="3">
        <f>IF(AND($N1150=1,AND(LEFT(对接源_01水果!$D1150,4)="包装物料",N(对接源_01水果!$K1150)&lt;&gt;0)),1,0)</f>
        <v>0</v>
      </c>
      <c r="AG1150" s="3">
        <f t="shared" si="308"/>
        <v>0</v>
      </c>
      <c r="AH1150" s="3">
        <f>IF(AND($N1150=1,AND(对接源_01水果!$D1150="周转筐－销售出库",N(对接源_01水果!$K1150)&lt;&gt;0)),1,0)</f>
        <v>0</v>
      </c>
      <c r="AI1150" s="3">
        <f t="shared" si="309"/>
        <v>0</v>
      </c>
      <c r="AJ1150" s="7"/>
      <c r="AL1150" s="3">
        <f>IF(OR($AL$1="",对接源_01水果!$Y1150="",对接源_01水果!$Y1150&lt;&gt;$AL$1,对接源_01水果!$B1150="",N(对接源_01水果!$AJ1150)&lt;=0),0,IF(OR(N(对接源_01水果!$B1150)&lt;$AL$2,N(对接源_01水果!$B1150)&gt;$AL$3),0,1))</f>
        <v>0</v>
      </c>
      <c r="AM1150" s="3">
        <f t="shared" si="310"/>
        <v>1</v>
      </c>
      <c r="AN1150" s="3" t="str">
        <f>IF(对接源_01水果!$AC1150="","",对接源_01水果!$AC1150)</f>
        <v/>
      </c>
      <c r="AO1150" s="3">
        <f t="shared" si="311"/>
        <v>0</v>
      </c>
      <c r="AP1150" s="3">
        <f t="shared" si="312"/>
        <v>8</v>
      </c>
      <c r="AR1150">
        <f t="shared" si="313"/>
        <v>0</v>
      </c>
      <c r="AS1150">
        <f t="shared" si="314"/>
        <v>0</v>
      </c>
    </row>
    <row r="1151" ht="14.25" customHeight="1" spans="1:45">
      <c r="A1151" s="3" t="str">
        <f>IF(对接源_01水果!$C1151="","",对接源_01水果!$C1151)</f>
        <v/>
      </c>
      <c r="B1151" s="3">
        <f t="shared" si="298"/>
        <v>0</v>
      </c>
      <c r="C1151" s="3">
        <f t="shared" si="299"/>
        <v>18</v>
      </c>
      <c r="K1151" s="3">
        <f>IF(OR($K$1="",对接源_01水果!$C1151="",对接源_01水果!$C1151&lt;&gt;$K$1,对接源_01水果!$B1151=""),0,IF(OR(N(对接源_01水果!$B1151)&lt;$K$2,N(对接源_01水果!$B1151)&gt;$K$3),0,1))</f>
        <v>0</v>
      </c>
      <c r="L1151" s="3">
        <f>IF(OR($L$1="",对接源_01水果!$C1151="",对接源_01水果!$C1151&lt;&gt;$L$1,对接源_01水果!$B1151=""),0,IF(OR(N(对接源_01水果!$B1151)&lt;$L$2,N(对接源_01水果!$B1151)&gt;$L$3),0,1))</f>
        <v>0</v>
      </c>
      <c r="M1151" s="3">
        <f>IF(OR($M$1="",对接源_01水果!$C1151="",对接源_01水果!$C1151&lt;&gt;$M$1,对接源_01水果!$B1151=""),0,IF(OR(N(对接源_01水果!$B1151)&lt;$M$2,N(对接源_01水果!$B1151)&gt;$M$3),0,1))</f>
        <v>0</v>
      </c>
      <c r="N1151" s="3">
        <f>IF(OR($N$1="",对接源_01水果!$C1151="",对接源_01水果!$C1151&lt;&gt;$N$1,对接源_01水果!$B1151=""),0,IF(OR(N(对接源_01水果!$B1151)&lt;$N$2,N(对接源_01水果!$B1151)&gt;$N$3),0,1))</f>
        <v>0</v>
      </c>
      <c r="P1151" s="3">
        <f>IF(AND($K1151=1,AND(对接源_01水果!$X1151="公司筐",N(对接源_01水果!$T1151)&lt;&gt;0)),1,0)</f>
        <v>0</v>
      </c>
      <c r="Q1151" s="3">
        <f t="shared" si="300"/>
        <v>0</v>
      </c>
      <c r="R1151" s="3">
        <f>IF(AND($K1151=1,AND(对接源_01水果!$X1151="公司筐",N(对接源_01水果!$U1151)&lt;&gt;0)),1,0)</f>
        <v>0</v>
      </c>
      <c r="S1151" s="3">
        <f t="shared" si="301"/>
        <v>0</v>
      </c>
      <c r="T1151" s="3">
        <f>IF(AND($K1151=1,AND(对接源_01水果!$X1151="公司筐",N(对接源_01水果!$V1151)&lt;&gt;0)),1,0)</f>
        <v>0</v>
      </c>
      <c r="U1151" s="3">
        <f t="shared" si="302"/>
        <v>19</v>
      </c>
      <c r="V1151" s="3">
        <f>IF(AND($L1151=1,AND(对接源_01水果!$X1151="自备筐",N(对接源_01水果!$V1151)&lt;&gt;0)),1,0)</f>
        <v>0</v>
      </c>
      <c r="W1151" s="3">
        <f t="shared" si="303"/>
        <v>8</v>
      </c>
      <c r="X1151" s="3">
        <f>IF(AND($L1151=1,AND(对接源_01水果!$X1151="自备筐",N(对接源_01水果!$T1151)&lt;&gt;0)),1,0)</f>
        <v>0</v>
      </c>
      <c r="Y1151" s="3">
        <f t="shared" si="304"/>
        <v>0</v>
      </c>
      <c r="Z1151" s="3">
        <f>IF(AND($M1151=1,对接源_01水果!$D1151="原料入库"),1,0)</f>
        <v>0</v>
      </c>
      <c r="AA1151" s="3">
        <f t="shared" si="305"/>
        <v>24</v>
      </c>
      <c r="AB1151" s="3">
        <f>IF(AND($M1151=1,LEFT(对接源_01水果!$D1151,4)="原料出库"),1,0)</f>
        <v>0</v>
      </c>
      <c r="AC1151" s="3">
        <f t="shared" si="306"/>
        <v>0</v>
      </c>
      <c r="AD1151" s="3">
        <f>IF(AND($M1151=1,LEFT(对接源_01水果!$D1151,4)="成品出库"),1,0)</f>
        <v>0</v>
      </c>
      <c r="AE1151" s="3">
        <f t="shared" si="307"/>
        <v>0</v>
      </c>
      <c r="AF1151" s="3">
        <f>IF(AND($N1151=1,AND(LEFT(对接源_01水果!$D1151,4)="包装物料",N(对接源_01水果!$K1151)&lt;&gt;0)),1,0)</f>
        <v>0</v>
      </c>
      <c r="AG1151" s="3">
        <f t="shared" si="308"/>
        <v>0</v>
      </c>
      <c r="AH1151" s="3">
        <f>IF(AND($N1151=1,AND(对接源_01水果!$D1151="周转筐－销售出库",N(对接源_01水果!$K1151)&lt;&gt;0)),1,0)</f>
        <v>0</v>
      </c>
      <c r="AI1151" s="3">
        <f t="shared" si="309"/>
        <v>0</v>
      </c>
      <c r="AJ1151" s="7"/>
      <c r="AL1151" s="3">
        <f>IF(OR($AL$1="",对接源_01水果!$Y1151="",对接源_01水果!$Y1151&lt;&gt;$AL$1,对接源_01水果!$B1151="",N(对接源_01水果!$AJ1151)&lt;=0),0,IF(OR(N(对接源_01水果!$B1151)&lt;$AL$2,N(对接源_01水果!$B1151)&gt;$AL$3),0,1))</f>
        <v>0</v>
      </c>
      <c r="AM1151" s="3">
        <f t="shared" si="310"/>
        <v>1</v>
      </c>
      <c r="AN1151" s="3" t="str">
        <f>IF(对接源_01水果!$AC1151="","",对接源_01水果!$AC1151)</f>
        <v/>
      </c>
      <c r="AO1151" s="3">
        <f t="shared" si="311"/>
        <v>0</v>
      </c>
      <c r="AP1151" s="3">
        <f t="shared" si="312"/>
        <v>8</v>
      </c>
      <c r="AR1151">
        <f t="shared" si="313"/>
        <v>0</v>
      </c>
      <c r="AS1151">
        <f t="shared" si="314"/>
        <v>0</v>
      </c>
    </row>
    <row r="1152" ht="14.25" customHeight="1" spans="1:45">
      <c r="A1152" s="3" t="str">
        <f>IF(对接源_01水果!$C1152="","",对接源_01水果!$C1152)</f>
        <v/>
      </c>
      <c r="B1152" s="3">
        <f t="shared" si="298"/>
        <v>0</v>
      </c>
      <c r="C1152" s="3">
        <f t="shared" si="299"/>
        <v>18</v>
      </c>
      <c r="K1152" s="3">
        <f>IF(OR($K$1="",对接源_01水果!$C1152="",对接源_01水果!$C1152&lt;&gt;$K$1,对接源_01水果!$B1152=""),0,IF(OR(N(对接源_01水果!$B1152)&lt;$K$2,N(对接源_01水果!$B1152)&gt;$K$3),0,1))</f>
        <v>0</v>
      </c>
      <c r="L1152" s="3">
        <f>IF(OR($L$1="",对接源_01水果!$C1152="",对接源_01水果!$C1152&lt;&gt;$L$1,对接源_01水果!$B1152=""),0,IF(OR(N(对接源_01水果!$B1152)&lt;$L$2,N(对接源_01水果!$B1152)&gt;$L$3),0,1))</f>
        <v>0</v>
      </c>
      <c r="M1152" s="3">
        <f>IF(OR($M$1="",对接源_01水果!$C1152="",对接源_01水果!$C1152&lt;&gt;$M$1,对接源_01水果!$B1152=""),0,IF(OR(N(对接源_01水果!$B1152)&lt;$M$2,N(对接源_01水果!$B1152)&gt;$M$3),0,1))</f>
        <v>0</v>
      </c>
      <c r="N1152" s="3">
        <f>IF(OR($N$1="",对接源_01水果!$C1152="",对接源_01水果!$C1152&lt;&gt;$N$1,对接源_01水果!$B1152=""),0,IF(OR(N(对接源_01水果!$B1152)&lt;$N$2,N(对接源_01水果!$B1152)&gt;$N$3),0,1))</f>
        <v>0</v>
      </c>
      <c r="P1152" s="3">
        <f>IF(AND($K1152=1,AND(对接源_01水果!$X1152="公司筐",N(对接源_01水果!$T1152)&lt;&gt;0)),1,0)</f>
        <v>0</v>
      </c>
      <c r="Q1152" s="3">
        <f t="shared" si="300"/>
        <v>0</v>
      </c>
      <c r="R1152" s="3">
        <f>IF(AND($K1152=1,AND(对接源_01水果!$X1152="公司筐",N(对接源_01水果!$U1152)&lt;&gt;0)),1,0)</f>
        <v>0</v>
      </c>
      <c r="S1152" s="3">
        <f t="shared" si="301"/>
        <v>0</v>
      </c>
      <c r="T1152" s="3">
        <f>IF(AND($K1152=1,AND(对接源_01水果!$X1152="公司筐",N(对接源_01水果!$V1152)&lt;&gt;0)),1,0)</f>
        <v>0</v>
      </c>
      <c r="U1152" s="3">
        <f t="shared" si="302"/>
        <v>19</v>
      </c>
      <c r="V1152" s="3">
        <f>IF(AND($L1152=1,AND(对接源_01水果!$X1152="自备筐",N(对接源_01水果!$V1152)&lt;&gt;0)),1,0)</f>
        <v>0</v>
      </c>
      <c r="W1152" s="3">
        <f t="shared" si="303"/>
        <v>8</v>
      </c>
      <c r="X1152" s="3">
        <f>IF(AND($L1152=1,AND(对接源_01水果!$X1152="自备筐",N(对接源_01水果!$T1152)&lt;&gt;0)),1,0)</f>
        <v>0</v>
      </c>
      <c r="Y1152" s="3">
        <f t="shared" si="304"/>
        <v>0</v>
      </c>
      <c r="Z1152" s="3">
        <f>IF(AND($M1152=1,对接源_01水果!$D1152="原料入库"),1,0)</f>
        <v>0</v>
      </c>
      <c r="AA1152" s="3">
        <f t="shared" si="305"/>
        <v>24</v>
      </c>
      <c r="AB1152" s="3">
        <f>IF(AND($M1152=1,LEFT(对接源_01水果!$D1152,4)="原料出库"),1,0)</f>
        <v>0</v>
      </c>
      <c r="AC1152" s="3">
        <f t="shared" si="306"/>
        <v>0</v>
      </c>
      <c r="AD1152" s="3">
        <f>IF(AND($M1152=1,LEFT(对接源_01水果!$D1152,4)="成品出库"),1,0)</f>
        <v>0</v>
      </c>
      <c r="AE1152" s="3">
        <f t="shared" si="307"/>
        <v>0</v>
      </c>
      <c r="AF1152" s="3">
        <f>IF(AND($N1152=1,AND(LEFT(对接源_01水果!$D1152,4)="包装物料",N(对接源_01水果!$K1152)&lt;&gt;0)),1,0)</f>
        <v>0</v>
      </c>
      <c r="AG1152" s="3">
        <f t="shared" si="308"/>
        <v>0</v>
      </c>
      <c r="AH1152" s="3">
        <f>IF(AND($N1152=1,AND(对接源_01水果!$D1152="周转筐－销售出库",N(对接源_01水果!$K1152)&lt;&gt;0)),1,0)</f>
        <v>0</v>
      </c>
      <c r="AI1152" s="3">
        <f t="shared" si="309"/>
        <v>0</v>
      </c>
      <c r="AJ1152" s="7"/>
      <c r="AL1152" s="3">
        <f>IF(OR($AL$1="",对接源_01水果!$Y1152="",对接源_01水果!$Y1152&lt;&gt;$AL$1,对接源_01水果!$B1152="",N(对接源_01水果!$AJ1152)&lt;=0),0,IF(OR(N(对接源_01水果!$B1152)&lt;$AL$2,N(对接源_01水果!$B1152)&gt;$AL$3),0,1))</f>
        <v>0</v>
      </c>
      <c r="AM1152" s="3">
        <f t="shared" si="310"/>
        <v>1</v>
      </c>
      <c r="AN1152" s="3" t="str">
        <f>IF(对接源_01水果!$AC1152="","",对接源_01水果!$AC1152)</f>
        <v/>
      </c>
      <c r="AO1152" s="3">
        <f t="shared" si="311"/>
        <v>0</v>
      </c>
      <c r="AP1152" s="3">
        <f t="shared" si="312"/>
        <v>8</v>
      </c>
      <c r="AR1152">
        <f t="shared" si="313"/>
        <v>0</v>
      </c>
      <c r="AS1152">
        <f t="shared" si="314"/>
        <v>0</v>
      </c>
    </row>
    <row r="1153" ht="14.25" customHeight="1" spans="1:45">
      <c r="A1153" s="3" t="str">
        <f>IF(对接源_01水果!$C1153="","",对接源_01水果!$C1153)</f>
        <v/>
      </c>
      <c r="B1153" s="3">
        <f t="shared" si="298"/>
        <v>0</v>
      </c>
      <c r="C1153" s="3">
        <f t="shared" si="299"/>
        <v>18</v>
      </c>
      <c r="K1153" s="3">
        <f>IF(OR($K$1="",对接源_01水果!$C1153="",对接源_01水果!$C1153&lt;&gt;$K$1,对接源_01水果!$B1153=""),0,IF(OR(N(对接源_01水果!$B1153)&lt;$K$2,N(对接源_01水果!$B1153)&gt;$K$3),0,1))</f>
        <v>0</v>
      </c>
      <c r="L1153" s="3">
        <f>IF(OR($L$1="",对接源_01水果!$C1153="",对接源_01水果!$C1153&lt;&gt;$L$1,对接源_01水果!$B1153=""),0,IF(OR(N(对接源_01水果!$B1153)&lt;$L$2,N(对接源_01水果!$B1153)&gt;$L$3),0,1))</f>
        <v>0</v>
      </c>
      <c r="M1153" s="3">
        <f>IF(OR($M$1="",对接源_01水果!$C1153="",对接源_01水果!$C1153&lt;&gt;$M$1,对接源_01水果!$B1153=""),0,IF(OR(N(对接源_01水果!$B1153)&lt;$M$2,N(对接源_01水果!$B1153)&gt;$M$3),0,1))</f>
        <v>0</v>
      </c>
      <c r="N1153" s="3">
        <f>IF(OR($N$1="",对接源_01水果!$C1153="",对接源_01水果!$C1153&lt;&gt;$N$1,对接源_01水果!$B1153=""),0,IF(OR(N(对接源_01水果!$B1153)&lt;$N$2,N(对接源_01水果!$B1153)&gt;$N$3),0,1))</f>
        <v>0</v>
      </c>
      <c r="P1153" s="3">
        <f>IF(AND($K1153=1,AND(对接源_01水果!$X1153="公司筐",N(对接源_01水果!$T1153)&lt;&gt;0)),1,0)</f>
        <v>0</v>
      </c>
      <c r="Q1153" s="3">
        <f t="shared" si="300"/>
        <v>0</v>
      </c>
      <c r="R1153" s="3">
        <f>IF(AND($K1153=1,AND(对接源_01水果!$X1153="公司筐",N(对接源_01水果!$U1153)&lt;&gt;0)),1,0)</f>
        <v>0</v>
      </c>
      <c r="S1153" s="3">
        <f t="shared" si="301"/>
        <v>0</v>
      </c>
      <c r="T1153" s="3">
        <f>IF(AND($K1153=1,AND(对接源_01水果!$X1153="公司筐",N(对接源_01水果!$V1153)&lt;&gt;0)),1,0)</f>
        <v>0</v>
      </c>
      <c r="U1153" s="3">
        <f t="shared" si="302"/>
        <v>19</v>
      </c>
      <c r="V1153" s="3">
        <f>IF(AND($L1153=1,AND(对接源_01水果!$X1153="自备筐",N(对接源_01水果!$V1153)&lt;&gt;0)),1,0)</f>
        <v>0</v>
      </c>
      <c r="W1153" s="3">
        <f t="shared" si="303"/>
        <v>8</v>
      </c>
      <c r="X1153" s="3">
        <f>IF(AND($L1153=1,AND(对接源_01水果!$X1153="自备筐",N(对接源_01水果!$T1153)&lt;&gt;0)),1,0)</f>
        <v>0</v>
      </c>
      <c r="Y1153" s="3">
        <f t="shared" si="304"/>
        <v>0</v>
      </c>
      <c r="Z1153" s="3">
        <f>IF(AND($M1153=1,对接源_01水果!$D1153="原料入库"),1,0)</f>
        <v>0</v>
      </c>
      <c r="AA1153" s="3">
        <f t="shared" si="305"/>
        <v>24</v>
      </c>
      <c r="AB1153" s="3">
        <f>IF(AND($M1153=1,LEFT(对接源_01水果!$D1153,4)="原料出库"),1,0)</f>
        <v>0</v>
      </c>
      <c r="AC1153" s="3">
        <f t="shared" si="306"/>
        <v>0</v>
      </c>
      <c r="AD1153" s="3">
        <f>IF(AND($M1153=1,LEFT(对接源_01水果!$D1153,4)="成品出库"),1,0)</f>
        <v>0</v>
      </c>
      <c r="AE1153" s="3">
        <f t="shared" si="307"/>
        <v>0</v>
      </c>
      <c r="AF1153" s="3">
        <f>IF(AND($N1153=1,AND(LEFT(对接源_01水果!$D1153,4)="包装物料",N(对接源_01水果!$K1153)&lt;&gt;0)),1,0)</f>
        <v>0</v>
      </c>
      <c r="AG1153" s="3">
        <f t="shared" si="308"/>
        <v>0</v>
      </c>
      <c r="AH1153" s="3">
        <f>IF(AND($N1153=1,AND(对接源_01水果!$D1153="周转筐－销售出库",N(对接源_01水果!$K1153)&lt;&gt;0)),1,0)</f>
        <v>0</v>
      </c>
      <c r="AI1153" s="3">
        <f t="shared" si="309"/>
        <v>0</v>
      </c>
      <c r="AJ1153" s="7"/>
      <c r="AL1153" s="3">
        <f>IF(OR($AL$1="",对接源_01水果!$Y1153="",对接源_01水果!$Y1153&lt;&gt;$AL$1,对接源_01水果!$B1153="",N(对接源_01水果!$AJ1153)&lt;=0),0,IF(OR(N(对接源_01水果!$B1153)&lt;$AL$2,N(对接源_01水果!$B1153)&gt;$AL$3),0,1))</f>
        <v>0</v>
      </c>
      <c r="AM1153" s="3">
        <f t="shared" si="310"/>
        <v>1</v>
      </c>
      <c r="AN1153" s="3" t="str">
        <f>IF(对接源_01水果!$AC1153="","",对接源_01水果!$AC1153)</f>
        <v/>
      </c>
      <c r="AO1153" s="3">
        <f t="shared" si="311"/>
        <v>0</v>
      </c>
      <c r="AP1153" s="3">
        <f t="shared" si="312"/>
        <v>8</v>
      </c>
      <c r="AR1153">
        <f t="shared" si="313"/>
        <v>0</v>
      </c>
      <c r="AS1153">
        <f t="shared" si="314"/>
        <v>0</v>
      </c>
    </row>
    <row r="1154" ht="14.25" customHeight="1" spans="1:45">
      <c r="A1154" s="3" t="str">
        <f>IF(对接源_01水果!$C1154="","",对接源_01水果!$C1154)</f>
        <v/>
      </c>
      <c r="B1154" s="3">
        <f t="shared" si="298"/>
        <v>0</v>
      </c>
      <c r="C1154" s="3">
        <f t="shared" si="299"/>
        <v>18</v>
      </c>
      <c r="K1154" s="3">
        <f>IF(OR($K$1="",对接源_01水果!$C1154="",对接源_01水果!$C1154&lt;&gt;$K$1,对接源_01水果!$B1154=""),0,IF(OR(N(对接源_01水果!$B1154)&lt;$K$2,N(对接源_01水果!$B1154)&gt;$K$3),0,1))</f>
        <v>0</v>
      </c>
      <c r="L1154" s="3">
        <f>IF(OR($L$1="",对接源_01水果!$C1154="",对接源_01水果!$C1154&lt;&gt;$L$1,对接源_01水果!$B1154=""),0,IF(OR(N(对接源_01水果!$B1154)&lt;$L$2,N(对接源_01水果!$B1154)&gt;$L$3),0,1))</f>
        <v>0</v>
      </c>
      <c r="M1154" s="3">
        <f>IF(OR($M$1="",对接源_01水果!$C1154="",对接源_01水果!$C1154&lt;&gt;$M$1,对接源_01水果!$B1154=""),0,IF(OR(N(对接源_01水果!$B1154)&lt;$M$2,N(对接源_01水果!$B1154)&gt;$M$3),0,1))</f>
        <v>0</v>
      </c>
      <c r="N1154" s="3">
        <f>IF(OR($N$1="",对接源_01水果!$C1154="",对接源_01水果!$C1154&lt;&gt;$N$1,对接源_01水果!$B1154=""),0,IF(OR(N(对接源_01水果!$B1154)&lt;$N$2,N(对接源_01水果!$B1154)&gt;$N$3),0,1))</f>
        <v>0</v>
      </c>
      <c r="P1154" s="3">
        <f>IF(AND($K1154=1,AND(对接源_01水果!$X1154="公司筐",N(对接源_01水果!$T1154)&lt;&gt;0)),1,0)</f>
        <v>0</v>
      </c>
      <c r="Q1154" s="3">
        <f t="shared" si="300"/>
        <v>0</v>
      </c>
      <c r="R1154" s="3">
        <f>IF(AND($K1154=1,AND(对接源_01水果!$X1154="公司筐",N(对接源_01水果!$U1154)&lt;&gt;0)),1,0)</f>
        <v>0</v>
      </c>
      <c r="S1154" s="3">
        <f t="shared" si="301"/>
        <v>0</v>
      </c>
      <c r="T1154" s="3">
        <f>IF(AND($K1154=1,AND(对接源_01水果!$X1154="公司筐",N(对接源_01水果!$V1154)&lt;&gt;0)),1,0)</f>
        <v>0</v>
      </c>
      <c r="U1154" s="3">
        <f t="shared" si="302"/>
        <v>19</v>
      </c>
      <c r="V1154" s="3">
        <f>IF(AND($L1154=1,AND(对接源_01水果!$X1154="自备筐",N(对接源_01水果!$V1154)&lt;&gt;0)),1,0)</f>
        <v>0</v>
      </c>
      <c r="W1154" s="3">
        <f t="shared" si="303"/>
        <v>8</v>
      </c>
      <c r="X1154" s="3">
        <f>IF(AND($L1154=1,AND(对接源_01水果!$X1154="自备筐",N(对接源_01水果!$T1154)&lt;&gt;0)),1,0)</f>
        <v>0</v>
      </c>
      <c r="Y1154" s="3">
        <f t="shared" si="304"/>
        <v>0</v>
      </c>
      <c r="Z1154" s="3">
        <f>IF(AND($M1154=1,对接源_01水果!$D1154="原料入库"),1,0)</f>
        <v>0</v>
      </c>
      <c r="AA1154" s="3">
        <f t="shared" si="305"/>
        <v>24</v>
      </c>
      <c r="AB1154" s="3">
        <f>IF(AND($M1154=1,LEFT(对接源_01水果!$D1154,4)="原料出库"),1,0)</f>
        <v>0</v>
      </c>
      <c r="AC1154" s="3">
        <f t="shared" si="306"/>
        <v>0</v>
      </c>
      <c r="AD1154" s="3">
        <f>IF(AND($M1154=1,LEFT(对接源_01水果!$D1154,4)="成品出库"),1,0)</f>
        <v>0</v>
      </c>
      <c r="AE1154" s="3">
        <f t="shared" si="307"/>
        <v>0</v>
      </c>
      <c r="AF1154" s="3">
        <f>IF(AND($N1154=1,AND(LEFT(对接源_01水果!$D1154,4)="包装物料",N(对接源_01水果!$K1154)&lt;&gt;0)),1,0)</f>
        <v>0</v>
      </c>
      <c r="AG1154" s="3">
        <f t="shared" si="308"/>
        <v>0</v>
      </c>
      <c r="AH1154" s="3">
        <f>IF(AND($N1154=1,AND(对接源_01水果!$D1154="周转筐－销售出库",N(对接源_01水果!$K1154)&lt;&gt;0)),1,0)</f>
        <v>0</v>
      </c>
      <c r="AI1154" s="3">
        <f t="shared" si="309"/>
        <v>0</v>
      </c>
      <c r="AJ1154" s="7"/>
      <c r="AL1154" s="3">
        <f>IF(OR($AL$1="",对接源_01水果!$Y1154="",对接源_01水果!$Y1154&lt;&gt;$AL$1,对接源_01水果!$B1154="",N(对接源_01水果!$AJ1154)&lt;=0),0,IF(OR(N(对接源_01水果!$B1154)&lt;$AL$2,N(对接源_01水果!$B1154)&gt;$AL$3),0,1))</f>
        <v>0</v>
      </c>
      <c r="AM1154" s="3">
        <f t="shared" si="310"/>
        <v>1</v>
      </c>
      <c r="AN1154" s="3" t="str">
        <f>IF(对接源_01水果!$AC1154="","",对接源_01水果!$AC1154)</f>
        <v/>
      </c>
      <c r="AO1154" s="3">
        <f t="shared" si="311"/>
        <v>0</v>
      </c>
      <c r="AP1154" s="3">
        <f t="shared" si="312"/>
        <v>8</v>
      </c>
      <c r="AR1154">
        <f t="shared" si="313"/>
        <v>0</v>
      </c>
      <c r="AS1154">
        <f t="shared" si="314"/>
        <v>0</v>
      </c>
    </row>
    <row r="1155" ht="14.25" customHeight="1" spans="1:45">
      <c r="A1155" s="3" t="str">
        <f>IF(对接源_01水果!$C1155="","",对接源_01水果!$C1155)</f>
        <v/>
      </c>
      <c r="B1155" s="3">
        <f t="shared" si="298"/>
        <v>0</v>
      </c>
      <c r="C1155" s="3">
        <f t="shared" si="299"/>
        <v>18</v>
      </c>
      <c r="K1155" s="3">
        <f>IF(OR($K$1="",对接源_01水果!$C1155="",对接源_01水果!$C1155&lt;&gt;$K$1,对接源_01水果!$B1155=""),0,IF(OR(N(对接源_01水果!$B1155)&lt;$K$2,N(对接源_01水果!$B1155)&gt;$K$3),0,1))</f>
        <v>0</v>
      </c>
      <c r="L1155" s="3">
        <f>IF(OR($L$1="",对接源_01水果!$C1155="",对接源_01水果!$C1155&lt;&gt;$L$1,对接源_01水果!$B1155=""),0,IF(OR(N(对接源_01水果!$B1155)&lt;$L$2,N(对接源_01水果!$B1155)&gt;$L$3),0,1))</f>
        <v>0</v>
      </c>
      <c r="M1155" s="3">
        <f>IF(OR($M$1="",对接源_01水果!$C1155="",对接源_01水果!$C1155&lt;&gt;$M$1,对接源_01水果!$B1155=""),0,IF(OR(N(对接源_01水果!$B1155)&lt;$M$2,N(对接源_01水果!$B1155)&gt;$M$3),0,1))</f>
        <v>0</v>
      </c>
      <c r="N1155" s="3">
        <f>IF(OR($N$1="",对接源_01水果!$C1155="",对接源_01水果!$C1155&lt;&gt;$N$1,对接源_01水果!$B1155=""),0,IF(OR(N(对接源_01水果!$B1155)&lt;$N$2,N(对接源_01水果!$B1155)&gt;$N$3),0,1))</f>
        <v>0</v>
      </c>
      <c r="P1155" s="3">
        <f>IF(AND($K1155=1,AND(对接源_01水果!$X1155="公司筐",N(对接源_01水果!$T1155)&lt;&gt;0)),1,0)</f>
        <v>0</v>
      </c>
      <c r="Q1155" s="3">
        <f t="shared" si="300"/>
        <v>0</v>
      </c>
      <c r="R1155" s="3">
        <f>IF(AND($K1155=1,AND(对接源_01水果!$X1155="公司筐",N(对接源_01水果!$U1155)&lt;&gt;0)),1,0)</f>
        <v>0</v>
      </c>
      <c r="S1155" s="3">
        <f t="shared" si="301"/>
        <v>0</v>
      </c>
      <c r="T1155" s="3">
        <f>IF(AND($K1155=1,AND(对接源_01水果!$X1155="公司筐",N(对接源_01水果!$V1155)&lt;&gt;0)),1,0)</f>
        <v>0</v>
      </c>
      <c r="U1155" s="3">
        <f t="shared" si="302"/>
        <v>19</v>
      </c>
      <c r="V1155" s="3">
        <f>IF(AND($L1155=1,AND(对接源_01水果!$X1155="自备筐",N(对接源_01水果!$V1155)&lt;&gt;0)),1,0)</f>
        <v>0</v>
      </c>
      <c r="W1155" s="3">
        <f t="shared" si="303"/>
        <v>8</v>
      </c>
      <c r="X1155" s="3">
        <f>IF(AND($L1155=1,AND(对接源_01水果!$X1155="自备筐",N(对接源_01水果!$T1155)&lt;&gt;0)),1,0)</f>
        <v>0</v>
      </c>
      <c r="Y1155" s="3">
        <f t="shared" si="304"/>
        <v>0</v>
      </c>
      <c r="Z1155" s="3">
        <f>IF(AND($M1155=1,对接源_01水果!$D1155="原料入库"),1,0)</f>
        <v>0</v>
      </c>
      <c r="AA1155" s="3">
        <f t="shared" si="305"/>
        <v>24</v>
      </c>
      <c r="AB1155" s="3">
        <f>IF(AND($M1155=1,LEFT(对接源_01水果!$D1155,4)="原料出库"),1,0)</f>
        <v>0</v>
      </c>
      <c r="AC1155" s="3">
        <f t="shared" si="306"/>
        <v>0</v>
      </c>
      <c r="AD1155" s="3">
        <f>IF(AND($M1155=1,LEFT(对接源_01水果!$D1155,4)="成品出库"),1,0)</f>
        <v>0</v>
      </c>
      <c r="AE1155" s="3">
        <f t="shared" si="307"/>
        <v>0</v>
      </c>
      <c r="AF1155" s="3">
        <f>IF(AND($N1155=1,AND(LEFT(对接源_01水果!$D1155,4)="包装物料",N(对接源_01水果!$K1155)&lt;&gt;0)),1,0)</f>
        <v>0</v>
      </c>
      <c r="AG1155" s="3">
        <f t="shared" si="308"/>
        <v>0</v>
      </c>
      <c r="AH1155" s="3">
        <f>IF(AND($N1155=1,AND(对接源_01水果!$D1155="周转筐－销售出库",N(对接源_01水果!$K1155)&lt;&gt;0)),1,0)</f>
        <v>0</v>
      </c>
      <c r="AI1155" s="3">
        <f t="shared" si="309"/>
        <v>0</v>
      </c>
      <c r="AJ1155" s="7"/>
      <c r="AL1155" s="3">
        <f>IF(OR($AL$1="",对接源_01水果!$Y1155="",对接源_01水果!$Y1155&lt;&gt;$AL$1,对接源_01水果!$B1155="",N(对接源_01水果!$AJ1155)&lt;=0),0,IF(OR(N(对接源_01水果!$B1155)&lt;$AL$2,N(对接源_01水果!$B1155)&gt;$AL$3),0,1))</f>
        <v>0</v>
      </c>
      <c r="AM1155" s="3">
        <f t="shared" si="310"/>
        <v>1</v>
      </c>
      <c r="AN1155" s="3" t="str">
        <f>IF(对接源_01水果!$AC1155="","",对接源_01水果!$AC1155)</f>
        <v/>
      </c>
      <c r="AO1155" s="3">
        <f t="shared" si="311"/>
        <v>0</v>
      </c>
      <c r="AP1155" s="3">
        <f t="shared" si="312"/>
        <v>8</v>
      </c>
      <c r="AR1155">
        <f t="shared" si="313"/>
        <v>0</v>
      </c>
      <c r="AS1155">
        <f t="shared" si="314"/>
        <v>0</v>
      </c>
    </row>
    <row r="1156" ht="14.25" customHeight="1" spans="1:45">
      <c r="A1156" s="3" t="str">
        <f>IF(对接源_01水果!$C1156="","",对接源_01水果!$C1156)</f>
        <v/>
      </c>
      <c r="B1156" s="3">
        <f t="shared" ref="B1156:B1219" si="315">IF(A1156="",0,IF(MATCH(A1156,$A$4:$A$2403,0)=ROW()-3,1,0))</f>
        <v>0</v>
      </c>
      <c r="C1156" s="3">
        <f t="shared" ref="C1156:C1219" si="316">N(C1155)+B1156</f>
        <v>18</v>
      </c>
      <c r="K1156" s="3">
        <f>IF(OR($K$1="",对接源_01水果!$C1156="",对接源_01水果!$C1156&lt;&gt;$K$1,对接源_01水果!$B1156=""),0,IF(OR(N(对接源_01水果!$B1156)&lt;$K$2,N(对接源_01水果!$B1156)&gt;$K$3),0,1))</f>
        <v>0</v>
      </c>
      <c r="L1156" s="3">
        <f>IF(OR($L$1="",对接源_01水果!$C1156="",对接源_01水果!$C1156&lt;&gt;$L$1,对接源_01水果!$B1156=""),0,IF(OR(N(对接源_01水果!$B1156)&lt;$L$2,N(对接源_01水果!$B1156)&gt;$L$3),0,1))</f>
        <v>0</v>
      </c>
      <c r="M1156" s="3">
        <f>IF(OR($M$1="",对接源_01水果!$C1156="",对接源_01水果!$C1156&lt;&gt;$M$1,对接源_01水果!$B1156=""),0,IF(OR(N(对接源_01水果!$B1156)&lt;$M$2,N(对接源_01水果!$B1156)&gt;$M$3),0,1))</f>
        <v>0</v>
      </c>
      <c r="N1156" s="3">
        <f>IF(OR($N$1="",对接源_01水果!$C1156="",对接源_01水果!$C1156&lt;&gt;$N$1,对接源_01水果!$B1156=""),0,IF(OR(N(对接源_01水果!$B1156)&lt;$N$2,N(对接源_01水果!$B1156)&gt;$N$3),0,1))</f>
        <v>0</v>
      </c>
      <c r="P1156" s="3">
        <f>IF(AND($K1156=1,AND(对接源_01水果!$X1156="公司筐",N(对接源_01水果!$T1156)&lt;&gt;0)),1,0)</f>
        <v>0</v>
      </c>
      <c r="Q1156" s="3">
        <f t="shared" ref="Q1156:Q1219" si="317">N(Q1155)+$P1156</f>
        <v>0</v>
      </c>
      <c r="R1156" s="3">
        <f>IF(AND($K1156=1,AND(对接源_01水果!$X1156="公司筐",N(对接源_01水果!$U1156)&lt;&gt;0)),1,0)</f>
        <v>0</v>
      </c>
      <c r="S1156" s="3">
        <f t="shared" ref="S1156:S1219" si="318">N(S1155)+$R1156</f>
        <v>0</v>
      </c>
      <c r="T1156" s="3">
        <f>IF(AND($K1156=1,AND(对接源_01水果!$X1156="公司筐",N(对接源_01水果!$V1156)&lt;&gt;0)),1,0)</f>
        <v>0</v>
      </c>
      <c r="U1156" s="3">
        <f t="shared" ref="U1156:U1219" si="319">N(U1155)+$T1156</f>
        <v>19</v>
      </c>
      <c r="V1156" s="3">
        <f>IF(AND($L1156=1,AND(对接源_01水果!$X1156="自备筐",N(对接源_01水果!$V1156)&lt;&gt;0)),1,0)</f>
        <v>0</v>
      </c>
      <c r="W1156" s="3">
        <f t="shared" ref="W1156:W1219" si="320">N(W1155)+$V1156</f>
        <v>8</v>
      </c>
      <c r="X1156" s="3">
        <f>IF(AND($L1156=1,AND(对接源_01水果!$X1156="自备筐",N(对接源_01水果!$T1156)&lt;&gt;0)),1,0)</f>
        <v>0</v>
      </c>
      <c r="Y1156" s="3">
        <f t="shared" ref="Y1156:Y1219" si="321">N(Y1155)+$X1156</f>
        <v>0</v>
      </c>
      <c r="Z1156" s="3">
        <f>IF(AND($M1156=1,对接源_01水果!$D1156="原料入库"),1,0)</f>
        <v>0</v>
      </c>
      <c r="AA1156" s="3">
        <f t="shared" ref="AA1156:AA1219" si="322">N(AA1155)+$Z1156</f>
        <v>24</v>
      </c>
      <c r="AB1156" s="3">
        <f>IF(AND($M1156=1,LEFT(对接源_01水果!$D1156,4)="原料出库"),1,0)</f>
        <v>0</v>
      </c>
      <c r="AC1156" s="3">
        <f t="shared" ref="AC1156:AC1219" si="323">N(AC1155)+$AB1156</f>
        <v>0</v>
      </c>
      <c r="AD1156" s="3">
        <f>IF(AND($M1156=1,LEFT(对接源_01水果!$D1156,4)="成品出库"),1,0)</f>
        <v>0</v>
      </c>
      <c r="AE1156" s="3">
        <f t="shared" ref="AE1156:AE1219" si="324">N(AE1155)+$AD1156</f>
        <v>0</v>
      </c>
      <c r="AF1156" s="3">
        <f>IF(AND($N1156=1,AND(LEFT(对接源_01水果!$D1156,4)="包装物料",N(对接源_01水果!$K1156)&lt;&gt;0)),1,0)</f>
        <v>0</v>
      </c>
      <c r="AG1156" s="3">
        <f t="shared" ref="AG1156:AG1219" si="325">N(AG1155)+$AF1156</f>
        <v>0</v>
      </c>
      <c r="AH1156" s="3">
        <f>IF(AND($N1156=1,AND(对接源_01水果!$D1156="周转筐－销售出库",N(对接源_01水果!$K1156)&lt;&gt;0)),1,0)</f>
        <v>0</v>
      </c>
      <c r="AI1156" s="3">
        <f t="shared" ref="AI1156:AI1219" si="326">N(AI1155)+$AH1156</f>
        <v>0</v>
      </c>
      <c r="AJ1156" s="7"/>
      <c r="AL1156" s="3">
        <f>IF(OR($AL$1="",对接源_01水果!$Y1156="",对接源_01水果!$Y1156&lt;&gt;$AL$1,对接源_01水果!$B1156="",N(对接源_01水果!$AJ1156)&lt;=0),0,IF(OR(N(对接源_01水果!$B1156)&lt;$AL$2,N(对接源_01水果!$B1156)&gt;$AL$3),0,1))</f>
        <v>0</v>
      </c>
      <c r="AM1156" s="3">
        <f t="shared" ref="AM1156:AM1219" si="327">N(AM1155)+$AL1156</f>
        <v>1</v>
      </c>
      <c r="AN1156" s="3" t="str">
        <f>IF(对接源_01水果!$AC1156="","",对接源_01水果!$AC1156)</f>
        <v/>
      </c>
      <c r="AO1156" s="3">
        <f t="shared" ref="AO1156:AO1203" si="328">IF(AN1156="",0,IF(MATCH(AN1156,$AN$4:$AN$1203,0)=ROW()-3,1,0))</f>
        <v>0</v>
      </c>
      <c r="AP1156" s="3">
        <f t="shared" ref="AP1156:AP1219" si="329">N(AP1155)+$AO1156</f>
        <v>8</v>
      </c>
      <c r="AR1156">
        <f t="shared" ref="AR1156:AR1219" si="330">IF(OR($AF1156=1,$AH1156=1),1,0)</f>
        <v>0</v>
      </c>
      <c r="AS1156">
        <f t="shared" ref="AS1156:AS1219" si="331">N(AS1155)+$AR1156</f>
        <v>0</v>
      </c>
    </row>
    <row r="1157" ht="14.25" customHeight="1" spans="1:45">
      <c r="A1157" s="3" t="str">
        <f>IF(对接源_01水果!$C1157="","",对接源_01水果!$C1157)</f>
        <v/>
      </c>
      <c r="B1157" s="3">
        <f t="shared" si="315"/>
        <v>0</v>
      </c>
      <c r="C1157" s="3">
        <f t="shared" si="316"/>
        <v>18</v>
      </c>
      <c r="K1157" s="3">
        <f>IF(OR($K$1="",对接源_01水果!$C1157="",对接源_01水果!$C1157&lt;&gt;$K$1,对接源_01水果!$B1157=""),0,IF(OR(N(对接源_01水果!$B1157)&lt;$K$2,N(对接源_01水果!$B1157)&gt;$K$3),0,1))</f>
        <v>0</v>
      </c>
      <c r="L1157" s="3">
        <f>IF(OR($L$1="",对接源_01水果!$C1157="",对接源_01水果!$C1157&lt;&gt;$L$1,对接源_01水果!$B1157=""),0,IF(OR(N(对接源_01水果!$B1157)&lt;$L$2,N(对接源_01水果!$B1157)&gt;$L$3),0,1))</f>
        <v>0</v>
      </c>
      <c r="M1157" s="3">
        <f>IF(OR($M$1="",对接源_01水果!$C1157="",对接源_01水果!$C1157&lt;&gt;$M$1,对接源_01水果!$B1157=""),0,IF(OR(N(对接源_01水果!$B1157)&lt;$M$2,N(对接源_01水果!$B1157)&gt;$M$3),0,1))</f>
        <v>0</v>
      </c>
      <c r="N1157" s="3">
        <f>IF(OR($N$1="",对接源_01水果!$C1157="",对接源_01水果!$C1157&lt;&gt;$N$1,对接源_01水果!$B1157=""),0,IF(OR(N(对接源_01水果!$B1157)&lt;$N$2,N(对接源_01水果!$B1157)&gt;$N$3),0,1))</f>
        <v>0</v>
      </c>
      <c r="P1157" s="3">
        <f>IF(AND($K1157=1,AND(对接源_01水果!$X1157="公司筐",N(对接源_01水果!$T1157)&lt;&gt;0)),1,0)</f>
        <v>0</v>
      </c>
      <c r="Q1157" s="3">
        <f t="shared" si="317"/>
        <v>0</v>
      </c>
      <c r="R1157" s="3">
        <f>IF(AND($K1157=1,AND(对接源_01水果!$X1157="公司筐",N(对接源_01水果!$U1157)&lt;&gt;0)),1,0)</f>
        <v>0</v>
      </c>
      <c r="S1157" s="3">
        <f t="shared" si="318"/>
        <v>0</v>
      </c>
      <c r="T1157" s="3">
        <f>IF(AND($K1157=1,AND(对接源_01水果!$X1157="公司筐",N(对接源_01水果!$V1157)&lt;&gt;0)),1,0)</f>
        <v>0</v>
      </c>
      <c r="U1157" s="3">
        <f t="shared" si="319"/>
        <v>19</v>
      </c>
      <c r="V1157" s="3">
        <f>IF(AND($L1157=1,AND(对接源_01水果!$X1157="自备筐",N(对接源_01水果!$V1157)&lt;&gt;0)),1,0)</f>
        <v>0</v>
      </c>
      <c r="W1157" s="3">
        <f t="shared" si="320"/>
        <v>8</v>
      </c>
      <c r="X1157" s="3">
        <f>IF(AND($L1157=1,AND(对接源_01水果!$X1157="自备筐",N(对接源_01水果!$T1157)&lt;&gt;0)),1,0)</f>
        <v>0</v>
      </c>
      <c r="Y1157" s="3">
        <f t="shared" si="321"/>
        <v>0</v>
      </c>
      <c r="Z1157" s="3">
        <f>IF(AND($M1157=1,对接源_01水果!$D1157="原料入库"),1,0)</f>
        <v>0</v>
      </c>
      <c r="AA1157" s="3">
        <f t="shared" si="322"/>
        <v>24</v>
      </c>
      <c r="AB1157" s="3">
        <f>IF(AND($M1157=1,LEFT(对接源_01水果!$D1157,4)="原料出库"),1,0)</f>
        <v>0</v>
      </c>
      <c r="AC1157" s="3">
        <f t="shared" si="323"/>
        <v>0</v>
      </c>
      <c r="AD1157" s="3">
        <f>IF(AND($M1157=1,LEFT(对接源_01水果!$D1157,4)="成品出库"),1,0)</f>
        <v>0</v>
      </c>
      <c r="AE1157" s="3">
        <f t="shared" si="324"/>
        <v>0</v>
      </c>
      <c r="AF1157" s="3">
        <f>IF(AND($N1157=1,AND(LEFT(对接源_01水果!$D1157,4)="包装物料",N(对接源_01水果!$K1157)&lt;&gt;0)),1,0)</f>
        <v>0</v>
      </c>
      <c r="AG1157" s="3">
        <f t="shared" si="325"/>
        <v>0</v>
      </c>
      <c r="AH1157" s="3">
        <f>IF(AND($N1157=1,AND(对接源_01水果!$D1157="周转筐－销售出库",N(对接源_01水果!$K1157)&lt;&gt;0)),1,0)</f>
        <v>0</v>
      </c>
      <c r="AI1157" s="3">
        <f t="shared" si="326"/>
        <v>0</v>
      </c>
      <c r="AJ1157" s="7"/>
      <c r="AL1157" s="3">
        <f>IF(OR($AL$1="",对接源_01水果!$Y1157="",对接源_01水果!$Y1157&lt;&gt;$AL$1,对接源_01水果!$B1157="",N(对接源_01水果!$AJ1157)&lt;=0),0,IF(OR(N(对接源_01水果!$B1157)&lt;$AL$2,N(对接源_01水果!$B1157)&gt;$AL$3),0,1))</f>
        <v>0</v>
      </c>
      <c r="AM1157" s="3">
        <f t="shared" si="327"/>
        <v>1</v>
      </c>
      <c r="AN1157" s="3" t="str">
        <f>IF(对接源_01水果!$AC1157="","",对接源_01水果!$AC1157)</f>
        <v/>
      </c>
      <c r="AO1157" s="3">
        <f t="shared" si="328"/>
        <v>0</v>
      </c>
      <c r="AP1157" s="3">
        <f t="shared" si="329"/>
        <v>8</v>
      </c>
      <c r="AR1157">
        <f t="shared" si="330"/>
        <v>0</v>
      </c>
      <c r="AS1157">
        <f t="shared" si="331"/>
        <v>0</v>
      </c>
    </row>
    <row r="1158" ht="14.25" customHeight="1" spans="1:45">
      <c r="A1158" s="3" t="str">
        <f>IF(对接源_01水果!$C1158="","",对接源_01水果!$C1158)</f>
        <v/>
      </c>
      <c r="B1158" s="3">
        <f t="shared" si="315"/>
        <v>0</v>
      </c>
      <c r="C1158" s="3">
        <f t="shared" si="316"/>
        <v>18</v>
      </c>
      <c r="K1158" s="3">
        <f>IF(OR($K$1="",对接源_01水果!$C1158="",对接源_01水果!$C1158&lt;&gt;$K$1,对接源_01水果!$B1158=""),0,IF(OR(N(对接源_01水果!$B1158)&lt;$K$2,N(对接源_01水果!$B1158)&gt;$K$3),0,1))</f>
        <v>0</v>
      </c>
      <c r="L1158" s="3">
        <f>IF(OR($L$1="",对接源_01水果!$C1158="",对接源_01水果!$C1158&lt;&gt;$L$1,对接源_01水果!$B1158=""),0,IF(OR(N(对接源_01水果!$B1158)&lt;$L$2,N(对接源_01水果!$B1158)&gt;$L$3),0,1))</f>
        <v>0</v>
      </c>
      <c r="M1158" s="3">
        <f>IF(OR($M$1="",对接源_01水果!$C1158="",对接源_01水果!$C1158&lt;&gt;$M$1,对接源_01水果!$B1158=""),0,IF(OR(N(对接源_01水果!$B1158)&lt;$M$2,N(对接源_01水果!$B1158)&gt;$M$3),0,1))</f>
        <v>0</v>
      </c>
      <c r="N1158" s="3">
        <f>IF(OR($N$1="",对接源_01水果!$C1158="",对接源_01水果!$C1158&lt;&gt;$N$1,对接源_01水果!$B1158=""),0,IF(OR(N(对接源_01水果!$B1158)&lt;$N$2,N(对接源_01水果!$B1158)&gt;$N$3),0,1))</f>
        <v>0</v>
      </c>
      <c r="P1158" s="3">
        <f>IF(AND($K1158=1,AND(对接源_01水果!$X1158="公司筐",N(对接源_01水果!$T1158)&lt;&gt;0)),1,0)</f>
        <v>0</v>
      </c>
      <c r="Q1158" s="3">
        <f t="shared" si="317"/>
        <v>0</v>
      </c>
      <c r="R1158" s="3">
        <f>IF(AND($K1158=1,AND(对接源_01水果!$X1158="公司筐",N(对接源_01水果!$U1158)&lt;&gt;0)),1,0)</f>
        <v>0</v>
      </c>
      <c r="S1158" s="3">
        <f t="shared" si="318"/>
        <v>0</v>
      </c>
      <c r="T1158" s="3">
        <f>IF(AND($K1158=1,AND(对接源_01水果!$X1158="公司筐",N(对接源_01水果!$V1158)&lt;&gt;0)),1,0)</f>
        <v>0</v>
      </c>
      <c r="U1158" s="3">
        <f t="shared" si="319"/>
        <v>19</v>
      </c>
      <c r="V1158" s="3">
        <f>IF(AND($L1158=1,AND(对接源_01水果!$X1158="自备筐",N(对接源_01水果!$V1158)&lt;&gt;0)),1,0)</f>
        <v>0</v>
      </c>
      <c r="W1158" s="3">
        <f t="shared" si="320"/>
        <v>8</v>
      </c>
      <c r="X1158" s="3">
        <f>IF(AND($L1158=1,AND(对接源_01水果!$X1158="自备筐",N(对接源_01水果!$T1158)&lt;&gt;0)),1,0)</f>
        <v>0</v>
      </c>
      <c r="Y1158" s="3">
        <f t="shared" si="321"/>
        <v>0</v>
      </c>
      <c r="Z1158" s="3">
        <f>IF(AND($M1158=1,对接源_01水果!$D1158="原料入库"),1,0)</f>
        <v>0</v>
      </c>
      <c r="AA1158" s="3">
        <f t="shared" si="322"/>
        <v>24</v>
      </c>
      <c r="AB1158" s="3">
        <f>IF(AND($M1158=1,LEFT(对接源_01水果!$D1158,4)="原料出库"),1,0)</f>
        <v>0</v>
      </c>
      <c r="AC1158" s="3">
        <f t="shared" si="323"/>
        <v>0</v>
      </c>
      <c r="AD1158" s="3">
        <f>IF(AND($M1158=1,LEFT(对接源_01水果!$D1158,4)="成品出库"),1,0)</f>
        <v>0</v>
      </c>
      <c r="AE1158" s="3">
        <f t="shared" si="324"/>
        <v>0</v>
      </c>
      <c r="AF1158" s="3">
        <f>IF(AND($N1158=1,AND(LEFT(对接源_01水果!$D1158,4)="包装物料",N(对接源_01水果!$K1158)&lt;&gt;0)),1,0)</f>
        <v>0</v>
      </c>
      <c r="AG1158" s="3">
        <f t="shared" si="325"/>
        <v>0</v>
      </c>
      <c r="AH1158" s="3">
        <f>IF(AND($N1158=1,AND(对接源_01水果!$D1158="周转筐－销售出库",N(对接源_01水果!$K1158)&lt;&gt;0)),1,0)</f>
        <v>0</v>
      </c>
      <c r="AI1158" s="3">
        <f t="shared" si="326"/>
        <v>0</v>
      </c>
      <c r="AJ1158" s="7"/>
      <c r="AL1158" s="3">
        <f>IF(OR($AL$1="",对接源_01水果!$Y1158="",对接源_01水果!$Y1158&lt;&gt;$AL$1,对接源_01水果!$B1158="",N(对接源_01水果!$AJ1158)&lt;=0),0,IF(OR(N(对接源_01水果!$B1158)&lt;$AL$2,N(对接源_01水果!$B1158)&gt;$AL$3),0,1))</f>
        <v>0</v>
      </c>
      <c r="AM1158" s="3">
        <f t="shared" si="327"/>
        <v>1</v>
      </c>
      <c r="AN1158" s="3" t="str">
        <f>IF(对接源_01水果!$AC1158="","",对接源_01水果!$AC1158)</f>
        <v/>
      </c>
      <c r="AO1158" s="3">
        <f t="shared" si="328"/>
        <v>0</v>
      </c>
      <c r="AP1158" s="3">
        <f t="shared" si="329"/>
        <v>8</v>
      </c>
      <c r="AR1158">
        <f t="shared" si="330"/>
        <v>0</v>
      </c>
      <c r="AS1158">
        <f t="shared" si="331"/>
        <v>0</v>
      </c>
    </row>
    <row r="1159" ht="14.25" customHeight="1" spans="1:45">
      <c r="A1159" s="3" t="str">
        <f>IF(对接源_01水果!$C1159="","",对接源_01水果!$C1159)</f>
        <v/>
      </c>
      <c r="B1159" s="3">
        <f t="shared" si="315"/>
        <v>0</v>
      </c>
      <c r="C1159" s="3">
        <f t="shared" si="316"/>
        <v>18</v>
      </c>
      <c r="K1159" s="3">
        <f>IF(OR($K$1="",对接源_01水果!$C1159="",对接源_01水果!$C1159&lt;&gt;$K$1,对接源_01水果!$B1159=""),0,IF(OR(N(对接源_01水果!$B1159)&lt;$K$2,N(对接源_01水果!$B1159)&gt;$K$3),0,1))</f>
        <v>0</v>
      </c>
      <c r="L1159" s="3">
        <f>IF(OR($L$1="",对接源_01水果!$C1159="",对接源_01水果!$C1159&lt;&gt;$L$1,对接源_01水果!$B1159=""),0,IF(OR(N(对接源_01水果!$B1159)&lt;$L$2,N(对接源_01水果!$B1159)&gt;$L$3),0,1))</f>
        <v>0</v>
      </c>
      <c r="M1159" s="3">
        <f>IF(OR($M$1="",对接源_01水果!$C1159="",对接源_01水果!$C1159&lt;&gt;$M$1,对接源_01水果!$B1159=""),0,IF(OR(N(对接源_01水果!$B1159)&lt;$M$2,N(对接源_01水果!$B1159)&gt;$M$3),0,1))</f>
        <v>0</v>
      </c>
      <c r="N1159" s="3">
        <f>IF(OR($N$1="",对接源_01水果!$C1159="",对接源_01水果!$C1159&lt;&gt;$N$1,对接源_01水果!$B1159=""),0,IF(OR(N(对接源_01水果!$B1159)&lt;$N$2,N(对接源_01水果!$B1159)&gt;$N$3),0,1))</f>
        <v>0</v>
      </c>
      <c r="P1159" s="3">
        <f>IF(AND($K1159=1,AND(对接源_01水果!$X1159="公司筐",N(对接源_01水果!$T1159)&lt;&gt;0)),1,0)</f>
        <v>0</v>
      </c>
      <c r="Q1159" s="3">
        <f t="shared" si="317"/>
        <v>0</v>
      </c>
      <c r="R1159" s="3">
        <f>IF(AND($K1159=1,AND(对接源_01水果!$X1159="公司筐",N(对接源_01水果!$U1159)&lt;&gt;0)),1,0)</f>
        <v>0</v>
      </c>
      <c r="S1159" s="3">
        <f t="shared" si="318"/>
        <v>0</v>
      </c>
      <c r="T1159" s="3">
        <f>IF(AND($K1159=1,AND(对接源_01水果!$X1159="公司筐",N(对接源_01水果!$V1159)&lt;&gt;0)),1,0)</f>
        <v>0</v>
      </c>
      <c r="U1159" s="3">
        <f t="shared" si="319"/>
        <v>19</v>
      </c>
      <c r="V1159" s="3">
        <f>IF(AND($L1159=1,AND(对接源_01水果!$X1159="自备筐",N(对接源_01水果!$V1159)&lt;&gt;0)),1,0)</f>
        <v>0</v>
      </c>
      <c r="W1159" s="3">
        <f t="shared" si="320"/>
        <v>8</v>
      </c>
      <c r="X1159" s="3">
        <f>IF(AND($L1159=1,AND(对接源_01水果!$X1159="自备筐",N(对接源_01水果!$T1159)&lt;&gt;0)),1,0)</f>
        <v>0</v>
      </c>
      <c r="Y1159" s="3">
        <f t="shared" si="321"/>
        <v>0</v>
      </c>
      <c r="Z1159" s="3">
        <f>IF(AND($M1159=1,对接源_01水果!$D1159="原料入库"),1,0)</f>
        <v>0</v>
      </c>
      <c r="AA1159" s="3">
        <f t="shared" si="322"/>
        <v>24</v>
      </c>
      <c r="AB1159" s="3">
        <f>IF(AND($M1159=1,LEFT(对接源_01水果!$D1159,4)="原料出库"),1,0)</f>
        <v>0</v>
      </c>
      <c r="AC1159" s="3">
        <f t="shared" si="323"/>
        <v>0</v>
      </c>
      <c r="AD1159" s="3">
        <f>IF(AND($M1159=1,LEFT(对接源_01水果!$D1159,4)="成品出库"),1,0)</f>
        <v>0</v>
      </c>
      <c r="AE1159" s="3">
        <f t="shared" si="324"/>
        <v>0</v>
      </c>
      <c r="AF1159" s="3">
        <f>IF(AND($N1159=1,AND(LEFT(对接源_01水果!$D1159,4)="包装物料",N(对接源_01水果!$K1159)&lt;&gt;0)),1,0)</f>
        <v>0</v>
      </c>
      <c r="AG1159" s="3">
        <f t="shared" si="325"/>
        <v>0</v>
      </c>
      <c r="AH1159" s="3">
        <f>IF(AND($N1159=1,AND(对接源_01水果!$D1159="周转筐－销售出库",N(对接源_01水果!$K1159)&lt;&gt;0)),1,0)</f>
        <v>0</v>
      </c>
      <c r="AI1159" s="3">
        <f t="shared" si="326"/>
        <v>0</v>
      </c>
      <c r="AJ1159" s="7"/>
      <c r="AL1159" s="3">
        <f>IF(OR($AL$1="",对接源_01水果!$Y1159="",对接源_01水果!$Y1159&lt;&gt;$AL$1,对接源_01水果!$B1159="",N(对接源_01水果!$AJ1159)&lt;=0),0,IF(OR(N(对接源_01水果!$B1159)&lt;$AL$2,N(对接源_01水果!$B1159)&gt;$AL$3),0,1))</f>
        <v>0</v>
      </c>
      <c r="AM1159" s="3">
        <f t="shared" si="327"/>
        <v>1</v>
      </c>
      <c r="AN1159" s="3" t="str">
        <f>IF(对接源_01水果!$AC1159="","",对接源_01水果!$AC1159)</f>
        <v/>
      </c>
      <c r="AO1159" s="3">
        <f t="shared" si="328"/>
        <v>0</v>
      </c>
      <c r="AP1159" s="3">
        <f t="shared" si="329"/>
        <v>8</v>
      </c>
      <c r="AR1159">
        <f t="shared" si="330"/>
        <v>0</v>
      </c>
      <c r="AS1159">
        <f t="shared" si="331"/>
        <v>0</v>
      </c>
    </row>
    <row r="1160" ht="14.25" customHeight="1" spans="1:45">
      <c r="A1160" s="3" t="str">
        <f>IF(对接源_01水果!$C1160="","",对接源_01水果!$C1160)</f>
        <v/>
      </c>
      <c r="B1160" s="3">
        <f t="shared" si="315"/>
        <v>0</v>
      </c>
      <c r="C1160" s="3">
        <f t="shared" si="316"/>
        <v>18</v>
      </c>
      <c r="K1160" s="3">
        <f>IF(OR($K$1="",对接源_01水果!$C1160="",对接源_01水果!$C1160&lt;&gt;$K$1,对接源_01水果!$B1160=""),0,IF(OR(N(对接源_01水果!$B1160)&lt;$K$2,N(对接源_01水果!$B1160)&gt;$K$3),0,1))</f>
        <v>0</v>
      </c>
      <c r="L1160" s="3">
        <f>IF(OR($L$1="",对接源_01水果!$C1160="",对接源_01水果!$C1160&lt;&gt;$L$1,对接源_01水果!$B1160=""),0,IF(OR(N(对接源_01水果!$B1160)&lt;$L$2,N(对接源_01水果!$B1160)&gt;$L$3),0,1))</f>
        <v>0</v>
      </c>
      <c r="M1160" s="3">
        <f>IF(OR($M$1="",对接源_01水果!$C1160="",对接源_01水果!$C1160&lt;&gt;$M$1,对接源_01水果!$B1160=""),0,IF(OR(N(对接源_01水果!$B1160)&lt;$M$2,N(对接源_01水果!$B1160)&gt;$M$3),0,1))</f>
        <v>0</v>
      </c>
      <c r="N1160" s="3">
        <f>IF(OR($N$1="",对接源_01水果!$C1160="",对接源_01水果!$C1160&lt;&gt;$N$1,对接源_01水果!$B1160=""),0,IF(OR(N(对接源_01水果!$B1160)&lt;$N$2,N(对接源_01水果!$B1160)&gt;$N$3),0,1))</f>
        <v>0</v>
      </c>
      <c r="P1160" s="3">
        <f>IF(AND($K1160=1,AND(对接源_01水果!$X1160="公司筐",N(对接源_01水果!$T1160)&lt;&gt;0)),1,0)</f>
        <v>0</v>
      </c>
      <c r="Q1160" s="3">
        <f t="shared" si="317"/>
        <v>0</v>
      </c>
      <c r="R1160" s="3">
        <f>IF(AND($K1160=1,AND(对接源_01水果!$X1160="公司筐",N(对接源_01水果!$U1160)&lt;&gt;0)),1,0)</f>
        <v>0</v>
      </c>
      <c r="S1160" s="3">
        <f t="shared" si="318"/>
        <v>0</v>
      </c>
      <c r="T1160" s="3">
        <f>IF(AND($K1160=1,AND(对接源_01水果!$X1160="公司筐",N(对接源_01水果!$V1160)&lt;&gt;0)),1,0)</f>
        <v>0</v>
      </c>
      <c r="U1160" s="3">
        <f t="shared" si="319"/>
        <v>19</v>
      </c>
      <c r="V1160" s="3">
        <f>IF(AND($L1160=1,AND(对接源_01水果!$X1160="自备筐",N(对接源_01水果!$V1160)&lt;&gt;0)),1,0)</f>
        <v>0</v>
      </c>
      <c r="W1160" s="3">
        <f t="shared" si="320"/>
        <v>8</v>
      </c>
      <c r="X1160" s="3">
        <f>IF(AND($L1160=1,AND(对接源_01水果!$X1160="自备筐",N(对接源_01水果!$T1160)&lt;&gt;0)),1,0)</f>
        <v>0</v>
      </c>
      <c r="Y1160" s="3">
        <f t="shared" si="321"/>
        <v>0</v>
      </c>
      <c r="Z1160" s="3">
        <f>IF(AND($M1160=1,对接源_01水果!$D1160="原料入库"),1,0)</f>
        <v>0</v>
      </c>
      <c r="AA1160" s="3">
        <f t="shared" si="322"/>
        <v>24</v>
      </c>
      <c r="AB1160" s="3">
        <f>IF(AND($M1160=1,LEFT(对接源_01水果!$D1160,4)="原料出库"),1,0)</f>
        <v>0</v>
      </c>
      <c r="AC1160" s="3">
        <f t="shared" si="323"/>
        <v>0</v>
      </c>
      <c r="AD1160" s="3">
        <f>IF(AND($M1160=1,LEFT(对接源_01水果!$D1160,4)="成品出库"),1,0)</f>
        <v>0</v>
      </c>
      <c r="AE1160" s="3">
        <f t="shared" si="324"/>
        <v>0</v>
      </c>
      <c r="AF1160" s="3">
        <f>IF(AND($N1160=1,AND(LEFT(对接源_01水果!$D1160,4)="包装物料",N(对接源_01水果!$K1160)&lt;&gt;0)),1,0)</f>
        <v>0</v>
      </c>
      <c r="AG1160" s="3">
        <f t="shared" si="325"/>
        <v>0</v>
      </c>
      <c r="AH1160" s="3">
        <f>IF(AND($N1160=1,AND(对接源_01水果!$D1160="周转筐－销售出库",N(对接源_01水果!$K1160)&lt;&gt;0)),1,0)</f>
        <v>0</v>
      </c>
      <c r="AI1160" s="3">
        <f t="shared" si="326"/>
        <v>0</v>
      </c>
      <c r="AJ1160" s="7"/>
      <c r="AL1160" s="3">
        <f>IF(OR($AL$1="",对接源_01水果!$Y1160="",对接源_01水果!$Y1160&lt;&gt;$AL$1,对接源_01水果!$B1160="",N(对接源_01水果!$AJ1160)&lt;=0),0,IF(OR(N(对接源_01水果!$B1160)&lt;$AL$2,N(对接源_01水果!$B1160)&gt;$AL$3),0,1))</f>
        <v>0</v>
      </c>
      <c r="AM1160" s="3">
        <f t="shared" si="327"/>
        <v>1</v>
      </c>
      <c r="AN1160" s="3" t="str">
        <f>IF(对接源_01水果!$AC1160="","",对接源_01水果!$AC1160)</f>
        <v/>
      </c>
      <c r="AO1160" s="3">
        <f t="shared" si="328"/>
        <v>0</v>
      </c>
      <c r="AP1160" s="3">
        <f t="shared" si="329"/>
        <v>8</v>
      </c>
      <c r="AR1160">
        <f t="shared" si="330"/>
        <v>0</v>
      </c>
      <c r="AS1160">
        <f t="shared" si="331"/>
        <v>0</v>
      </c>
    </row>
    <row r="1161" ht="14.25" customHeight="1" spans="1:45">
      <c r="A1161" s="3" t="str">
        <f>IF(对接源_01水果!$C1161="","",对接源_01水果!$C1161)</f>
        <v/>
      </c>
      <c r="B1161" s="3">
        <f t="shared" si="315"/>
        <v>0</v>
      </c>
      <c r="C1161" s="3">
        <f t="shared" si="316"/>
        <v>18</v>
      </c>
      <c r="K1161" s="3">
        <f>IF(OR($K$1="",对接源_01水果!$C1161="",对接源_01水果!$C1161&lt;&gt;$K$1,对接源_01水果!$B1161=""),0,IF(OR(N(对接源_01水果!$B1161)&lt;$K$2,N(对接源_01水果!$B1161)&gt;$K$3),0,1))</f>
        <v>0</v>
      </c>
      <c r="L1161" s="3">
        <f>IF(OR($L$1="",对接源_01水果!$C1161="",对接源_01水果!$C1161&lt;&gt;$L$1,对接源_01水果!$B1161=""),0,IF(OR(N(对接源_01水果!$B1161)&lt;$L$2,N(对接源_01水果!$B1161)&gt;$L$3),0,1))</f>
        <v>0</v>
      </c>
      <c r="M1161" s="3">
        <f>IF(OR($M$1="",对接源_01水果!$C1161="",对接源_01水果!$C1161&lt;&gt;$M$1,对接源_01水果!$B1161=""),0,IF(OR(N(对接源_01水果!$B1161)&lt;$M$2,N(对接源_01水果!$B1161)&gt;$M$3),0,1))</f>
        <v>0</v>
      </c>
      <c r="N1161" s="3">
        <f>IF(OR($N$1="",对接源_01水果!$C1161="",对接源_01水果!$C1161&lt;&gt;$N$1,对接源_01水果!$B1161=""),0,IF(OR(N(对接源_01水果!$B1161)&lt;$N$2,N(对接源_01水果!$B1161)&gt;$N$3),0,1))</f>
        <v>0</v>
      </c>
      <c r="P1161" s="3">
        <f>IF(AND($K1161=1,AND(对接源_01水果!$X1161="公司筐",N(对接源_01水果!$T1161)&lt;&gt;0)),1,0)</f>
        <v>0</v>
      </c>
      <c r="Q1161" s="3">
        <f t="shared" si="317"/>
        <v>0</v>
      </c>
      <c r="R1161" s="3">
        <f>IF(AND($K1161=1,AND(对接源_01水果!$X1161="公司筐",N(对接源_01水果!$U1161)&lt;&gt;0)),1,0)</f>
        <v>0</v>
      </c>
      <c r="S1161" s="3">
        <f t="shared" si="318"/>
        <v>0</v>
      </c>
      <c r="T1161" s="3">
        <f>IF(AND($K1161=1,AND(对接源_01水果!$X1161="公司筐",N(对接源_01水果!$V1161)&lt;&gt;0)),1,0)</f>
        <v>0</v>
      </c>
      <c r="U1161" s="3">
        <f t="shared" si="319"/>
        <v>19</v>
      </c>
      <c r="V1161" s="3">
        <f>IF(AND($L1161=1,AND(对接源_01水果!$X1161="自备筐",N(对接源_01水果!$V1161)&lt;&gt;0)),1,0)</f>
        <v>0</v>
      </c>
      <c r="W1161" s="3">
        <f t="shared" si="320"/>
        <v>8</v>
      </c>
      <c r="X1161" s="3">
        <f>IF(AND($L1161=1,AND(对接源_01水果!$X1161="自备筐",N(对接源_01水果!$T1161)&lt;&gt;0)),1,0)</f>
        <v>0</v>
      </c>
      <c r="Y1161" s="3">
        <f t="shared" si="321"/>
        <v>0</v>
      </c>
      <c r="Z1161" s="3">
        <f>IF(AND($M1161=1,对接源_01水果!$D1161="原料入库"),1,0)</f>
        <v>0</v>
      </c>
      <c r="AA1161" s="3">
        <f t="shared" si="322"/>
        <v>24</v>
      </c>
      <c r="AB1161" s="3">
        <f>IF(AND($M1161=1,LEFT(对接源_01水果!$D1161,4)="原料出库"),1,0)</f>
        <v>0</v>
      </c>
      <c r="AC1161" s="3">
        <f t="shared" si="323"/>
        <v>0</v>
      </c>
      <c r="AD1161" s="3">
        <f>IF(AND($M1161=1,LEFT(对接源_01水果!$D1161,4)="成品出库"),1,0)</f>
        <v>0</v>
      </c>
      <c r="AE1161" s="3">
        <f t="shared" si="324"/>
        <v>0</v>
      </c>
      <c r="AF1161" s="3">
        <f>IF(AND($N1161=1,AND(LEFT(对接源_01水果!$D1161,4)="包装物料",N(对接源_01水果!$K1161)&lt;&gt;0)),1,0)</f>
        <v>0</v>
      </c>
      <c r="AG1161" s="3">
        <f t="shared" si="325"/>
        <v>0</v>
      </c>
      <c r="AH1161" s="3">
        <f>IF(AND($N1161=1,AND(对接源_01水果!$D1161="周转筐－销售出库",N(对接源_01水果!$K1161)&lt;&gt;0)),1,0)</f>
        <v>0</v>
      </c>
      <c r="AI1161" s="3">
        <f t="shared" si="326"/>
        <v>0</v>
      </c>
      <c r="AJ1161" s="7"/>
      <c r="AL1161" s="3">
        <f>IF(OR($AL$1="",对接源_01水果!$Y1161="",对接源_01水果!$Y1161&lt;&gt;$AL$1,对接源_01水果!$B1161="",N(对接源_01水果!$AJ1161)&lt;=0),0,IF(OR(N(对接源_01水果!$B1161)&lt;$AL$2,N(对接源_01水果!$B1161)&gt;$AL$3),0,1))</f>
        <v>0</v>
      </c>
      <c r="AM1161" s="3">
        <f t="shared" si="327"/>
        <v>1</v>
      </c>
      <c r="AN1161" s="3" t="str">
        <f>IF(对接源_01水果!$AC1161="","",对接源_01水果!$AC1161)</f>
        <v/>
      </c>
      <c r="AO1161" s="3">
        <f t="shared" si="328"/>
        <v>0</v>
      </c>
      <c r="AP1161" s="3">
        <f t="shared" si="329"/>
        <v>8</v>
      </c>
      <c r="AR1161">
        <f t="shared" si="330"/>
        <v>0</v>
      </c>
      <c r="AS1161">
        <f t="shared" si="331"/>
        <v>0</v>
      </c>
    </row>
    <row r="1162" ht="14.25" customHeight="1" spans="1:45">
      <c r="A1162" s="3" t="str">
        <f>IF(对接源_01水果!$C1162="","",对接源_01水果!$C1162)</f>
        <v/>
      </c>
      <c r="B1162" s="3">
        <f t="shared" si="315"/>
        <v>0</v>
      </c>
      <c r="C1162" s="3">
        <f t="shared" si="316"/>
        <v>18</v>
      </c>
      <c r="K1162" s="3">
        <f>IF(OR($K$1="",对接源_01水果!$C1162="",对接源_01水果!$C1162&lt;&gt;$K$1,对接源_01水果!$B1162=""),0,IF(OR(N(对接源_01水果!$B1162)&lt;$K$2,N(对接源_01水果!$B1162)&gt;$K$3),0,1))</f>
        <v>0</v>
      </c>
      <c r="L1162" s="3">
        <f>IF(OR($L$1="",对接源_01水果!$C1162="",对接源_01水果!$C1162&lt;&gt;$L$1,对接源_01水果!$B1162=""),0,IF(OR(N(对接源_01水果!$B1162)&lt;$L$2,N(对接源_01水果!$B1162)&gt;$L$3),0,1))</f>
        <v>0</v>
      </c>
      <c r="M1162" s="3">
        <f>IF(OR($M$1="",对接源_01水果!$C1162="",对接源_01水果!$C1162&lt;&gt;$M$1,对接源_01水果!$B1162=""),0,IF(OR(N(对接源_01水果!$B1162)&lt;$M$2,N(对接源_01水果!$B1162)&gt;$M$3),0,1))</f>
        <v>0</v>
      </c>
      <c r="N1162" s="3">
        <f>IF(OR($N$1="",对接源_01水果!$C1162="",对接源_01水果!$C1162&lt;&gt;$N$1,对接源_01水果!$B1162=""),0,IF(OR(N(对接源_01水果!$B1162)&lt;$N$2,N(对接源_01水果!$B1162)&gt;$N$3),0,1))</f>
        <v>0</v>
      </c>
      <c r="P1162" s="3">
        <f>IF(AND($K1162=1,AND(对接源_01水果!$X1162="公司筐",N(对接源_01水果!$T1162)&lt;&gt;0)),1,0)</f>
        <v>0</v>
      </c>
      <c r="Q1162" s="3">
        <f t="shared" si="317"/>
        <v>0</v>
      </c>
      <c r="R1162" s="3">
        <f>IF(AND($K1162=1,AND(对接源_01水果!$X1162="公司筐",N(对接源_01水果!$U1162)&lt;&gt;0)),1,0)</f>
        <v>0</v>
      </c>
      <c r="S1162" s="3">
        <f t="shared" si="318"/>
        <v>0</v>
      </c>
      <c r="T1162" s="3">
        <f>IF(AND($K1162=1,AND(对接源_01水果!$X1162="公司筐",N(对接源_01水果!$V1162)&lt;&gt;0)),1,0)</f>
        <v>0</v>
      </c>
      <c r="U1162" s="3">
        <f t="shared" si="319"/>
        <v>19</v>
      </c>
      <c r="V1162" s="3">
        <f>IF(AND($L1162=1,AND(对接源_01水果!$X1162="自备筐",N(对接源_01水果!$V1162)&lt;&gt;0)),1,0)</f>
        <v>0</v>
      </c>
      <c r="W1162" s="3">
        <f t="shared" si="320"/>
        <v>8</v>
      </c>
      <c r="X1162" s="3">
        <f>IF(AND($L1162=1,AND(对接源_01水果!$X1162="自备筐",N(对接源_01水果!$T1162)&lt;&gt;0)),1,0)</f>
        <v>0</v>
      </c>
      <c r="Y1162" s="3">
        <f t="shared" si="321"/>
        <v>0</v>
      </c>
      <c r="Z1162" s="3">
        <f>IF(AND($M1162=1,对接源_01水果!$D1162="原料入库"),1,0)</f>
        <v>0</v>
      </c>
      <c r="AA1162" s="3">
        <f t="shared" si="322"/>
        <v>24</v>
      </c>
      <c r="AB1162" s="3">
        <f>IF(AND($M1162=1,LEFT(对接源_01水果!$D1162,4)="原料出库"),1,0)</f>
        <v>0</v>
      </c>
      <c r="AC1162" s="3">
        <f t="shared" si="323"/>
        <v>0</v>
      </c>
      <c r="AD1162" s="3">
        <f>IF(AND($M1162=1,LEFT(对接源_01水果!$D1162,4)="成品出库"),1,0)</f>
        <v>0</v>
      </c>
      <c r="AE1162" s="3">
        <f t="shared" si="324"/>
        <v>0</v>
      </c>
      <c r="AF1162" s="3">
        <f>IF(AND($N1162=1,AND(LEFT(对接源_01水果!$D1162,4)="包装物料",N(对接源_01水果!$K1162)&lt;&gt;0)),1,0)</f>
        <v>0</v>
      </c>
      <c r="AG1162" s="3">
        <f t="shared" si="325"/>
        <v>0</v>
      </c>
      <c r="AH1162" s="3">
        <f>IF(AND($N1162=1,AND(对接源_01水果!$D1162="周转筐－销售出库",N(对接源_01水果!$K1162)&lt;&gt;0)),1,0)</f>
        <v>0</v>
      </c>
      <c r="AI1162" s="3">
        <f t="shared" si="326"/>
        <v>0</v>
      </c>
      <c r="AJ1162" s="7"/>
      <c r="AL1162" s="3">
        <f>IF(OR($AL$1="",对接源_01水果!$Y1162="",对接源_01水果!$Y1162&lt;&gt;$AL$1,对接源_01水果!$B1162="",N(对接源_01水果!$AJ1162)&lt;=0),0,IF(OR(N(对接源_01水果!$B1162)&lt;$AL$2,N(对接源_01水果!$B1162)&gt;$AL$3),0,1))</f>
        <v>0</v>
      </c>
      <c r="AM1162" s="3">
        <f t="shared" si="327"/>
        <v>1</v>
      </c>
      <c r="AN1162" s="3" t="str">
        <f>IF(对接源_01水果!$AC1162="","",对接源_01水果!$AC1162)</f>
        <v/>
      </c>
      <c r="AO1162" s="3">
        <f t="shared" si="328"/>
        <v>0</v>
      </c>
      <c r="AP1162" s="3">
        <f t="shared" si="329"/>
        <v>8</v>
      </c>
      <c r="AR1162">
        <f t="shared" si="330"/>
        <v>0</v>
      </c>
      <c r="AS1162">
        <f t="shared" si="331"/>
        <v>0</v>
      </c>
    </row>
    <row r="1163" ht="14.25" customHeight="1" spans="1:45">
      <c r="A1163" s="3" t="str">
        <f>IF(对接源_01水果!$C1163="","",对接源_01水果!$C1163)</f>
        <v/>
      </c>
      <c r="B1163" s="3">
        <f t="shared" si="315"/>
        <v>0</v>
      </c>
      <c r="C1163" s="3">
        <f t="shared" si="316"/>
        <v>18</v>
      </c>
      <c r="K1163" s="3">
        <f>IF(OR($K$1="",对接源_01水果!$C1163="",对接源_01水果!$C1163&lt;&gt;$K$1,对接源_01水果!$B1163=""),0,IF(OR(N(对接源_01水果!$B1163)&lt;$K$2,N(对接源_01水果!$B1163)&gt;$K$3),0,1))</f>
        <v>0</v>
      </c>
      <c r="L1163" s="3">
        <f>IF(OR($L$1="",对接源_01水果!$C1163="",对接源_01水果!$C1163&lt;&gt;$L$1,对接源_01水果!$B1163=""),0,IF(OR(N(对接源_01水果!$B1163)&lt;$L$2,N(对接源_01水果!$B1163)&gt;$L$3),0,1))</f>
        <v>0</v>
      </c>
      <c r="M1163" s="3">
        <f>IF(OR($M$1="",对接源_01水果!$C1163="",对接源_01水果!$C1163&lt;&gt;$M$1,对接源_01水果!$B1163=""),0,IF(OR(N(对接源_01水果!$B1163)&lt;$M$2,N(对接源_01水果!$B1163)&gt;$M$3),0,1))</f>
        <v>0</v>
      </c>
      <c r="N1163" s="3">
        <f>IF(OR($N$1="",对接源_01水果!$C1163="",对接源_01水果!$C1163&lt;&gt;$N$1,对接源_01水果!$B1163=""),0,IF(OR(N(对接源_01水果!$B1163)&lt;$N$2,N(对接源_01水果!$B1163)&gt;$N$3),0,1))</f>
        <v>0</v>
      </c>
      <c r="P1163" s="3">
        <f>IF(AND($K1163=1,AND(对接源_01水果!$X1163="公司筐",N(对接源_01水果!$T1163)&lt;&gt;0)),1,0)</f>
        <v>0</v>
      </c>
      <c r="Q1163" s="3">
        <f t="shared" si="317"/>
        <v>0</v>
      </c>
      <c r="R1163" s="3">
        <f>IF(AND($K1163=1,AND(对接源_01水果!$X1163="公司筐",N(对接源_01水果!$U1163)&lt;&gt;0)),1,0)</f>
        <v>0</v>
      </c>
      <c r="S1163" s="3">
        <f t="shared" si="318"/>
        <v>0</v>
      </c>
      <c r="T1163" s="3">
        <f>IF(AND($K1163=1,AND(对接源_01水果!$X1163="公司筐",N(对接源_01水果!$V1163)&lt;&gt;0)),1,0)</f>
        <v>0</v>
      </c>
      <c r="U1163" s="3">
        <f t="shared" si="319"/>
        <v>19</v>
      </c>
      <c r="V1163" s="3">
        <f>IF(AND($L1163=1,AND(对接源_01水果!$X1163="自备筐",N(对接源_01水果!$V1163)&lt;&gt;0)),1,0)</f>
        <v>0</v>
      </c>
      <c r="W1163" s="3">
        <f t="shared" si="320"/>
        <v>8</v>
      </c>
      <c r="X1163" s="3">
        <f>IF(AND($L1163=1,AND(对接源_01水果!$X1163="自备筐",N(对接源_01水果!$T1163)&lt;&gt;0)),1,0)</f>
        <v>0</v>
      </c>
      <c r="Y1163" s="3">
        <f t="shared" si="321"/>
        <v>0</v>
      </c>
      <c r="Z1163" s="3">
        <f>IF(AND($M1163=1,对接源_01水果!$D1163="原料入库"),1,0)</f>
        <v>0</v>
      </c>
      <c r="AA1163" s="3">
        <f t="shared" si="322"/>
        <v>24</v>
      </c>
      <c r="AB1163" s="3">
        <f>IF(AND($M1163=1,LEFT(对接源_01水果!$D1163,4)="原料出库"),1,0)</f>
        <v>0</v>
      </c>
      <c r="AC1163" s="3">
        <f t="shared" si="323"/>
        <v>0</v>
      </c>
      <c r="AD1163" s="3">
        <f>IF(AND($M1163=1,LEFT(对接源_01水果!$D1163,4)="成品出库"),1,0)</f>
        <v>0</v>
      </c>
      <c r="AE1163" s="3">
        <f t="shared" si="324"/>
        <v>0</v>
      </c>
      <c r="AF1163" s="3">
        <f>IF(AND($N1163=1,AND(LEFT(对接源_01水果!$D1163,4)="包装物料",N(对接源_01水果!$K1163)&lt;&gt;0)),1,0)</f>
        <v>0</v>
      </c>
      <c r="AG1163" s="3">
        <f t="shared" si="325"/>
        <v>0</v>
      </c>
      <c r="AH1163" s="3">
        <f>IF(AND($N1163=1,AND(对接源_01水果!$D1163="周转筐－销售出库",N(对接源_01水果!$K1163)&lt;&gt;0)),1,0)</f>
        <v>0</v>
      </c>
      <c r="AI1163" s="3">
        <f t="shared" si="326"/>
        <v>0</v>
      </c>
      <c r="AJ1163" s="7"/>
      <c r="AL1163" s="3">
        <f>IF(OR($AL$1="",对接源_01水果!$Y1163="",对接源_01水果!$Y1163&lt;&gt;$AL$1,对接源_01水果!$B1163="",N(对接源_01水果!$AJ1163)&lt;=0),0,IF(OR(N(对接源_01水果!$B1163)&lt;$AL$2,N(对接源_01水果!$B1163)&gt;$AL$3),0,1))</f>
        <v>0</v>
      </c>
      <c r="AM1163" s="3">
        <f t="shared" si="327"/>
        <v>1</v>
      </c>
      <c r="AN1163" s="3" t="str">
        <f>IF(对接源_01水果!$AC1163="","",对接源_01水果!$AC1163)</f>
        <v/>
      </c>
      <c r="AO1163" s="3">
        <f t="shared" si="328"/>
        <v>0</v>
      </c>
      <c r="AP1163" s="3">
        <f t="shared" si="329"/>
        <v>8</v>
      </c>
      <c r="AR1163">
        <f t="shared" si="330"/>
        <v>0</v>
      </c>
      <c r="AS1163">
        <f t="shared" si="331"/>
        <v>0</v>
      </c>
    </row>
    <row r="1164" ht="14.25" customHeight="1" spans="1:45">
      <c r="A1164" s="3" t="str">
        <f>IF(对接源_01水果!$C1164="","",对接源_01水果!$C1164)</f>
        <v/>
      </c>
      <c r="B1164" s="3">
        <f t="shared" si="315"/>
        <v>0</v>
      </c>
      <c r="C1164" s="3">
        <f t="shared" si="316"/>
        <v>18</v>
      </c>
      <c r="K1164" s="3">
        <f>IF(OR($K$1="",对接源_01水果!$C1164="",对接源_01水果!$C1164&lt;&gt;$K$1,对接源_01水果!$B1164=""),0,IF(OR(N(对接源_01水果!$B1164)&lt;$K$2,N(对接源_01水果!$B1164)&gt;$K$3),0,1))</f>
        <v>0</v>
      </c>
      <c r="L1164" s="3">
        <f>IF(OR($L$1="",对接源_01水果!$C1164="",对接源_01水果!$C1164&lt;&gt;$L$1,对接源_01水果!$B1164=""),0,IF(OR(N(对接源_01水果!$B1164)&lt;$L$2,N(对接源_01水果!$B1164)&gt;$L$3),0,1))</f>
        <v>0</v>
      </c>
      <c r="M1164" s="3">
        <f>IF(OR($M$1="",对接源_01水果!$C1164="",对接源_01水果!$C1164&lt;&gt;$M$1,对接源_01水果!$B1164=""),0,IF(OR(N(对接源_01水果!$B1164)&lt;$M$2,N(对接源_01水果!$B1164)&gt;$M$3),0,1))</f>
        <v>0</v>
      </c>
      <c r="N1164" s="3">
        <f>IF(OR($N$1="",对接源_01水果!$C1164="",对接源_01水果!$C1164&lt;&gt;$N$1,对接源_01水果!$B1164=""),0,IF(OR(N(对接源_01水果!$B1164)&lt;$N$2,N(对接源_01水果!$B1164)&gt;$N$3),0,1))</f>
        <v>0</v>
      </c>
      <c r="P1164" s="3">
        <f>IF(AND($K1164=1,AND(对接源_01水果!$X1164="公司筐",N(对接源_01水果!$T1164)&lt;&gt;0)),1,0)</f>
        <v>0</v>
      </c>
      <c r="Q1164" s="3">
        <f t="shared" si="317"/>
        <v>0</v>
      </c>
      <c r="R1164" s="3">
        <f>IF(AND($K1164=1,AND(对接源_01水果!$X1164="公司筐",N(对接源_01水果!$U1164)&lt;&gt;0)),1,0)</f>
        <v>0</v>
      </c>
      <c r="S1164" s="3">
        <f t="shared" si="318"/>
        <v>0</v>
      </c>
      <c r="T1164" s="3">
        <f>IF(AND($K1164=1,AND(对接源_01水果!$X1164="公司筐",N(对接源_01水果!$V1164)&lt;&gt;0)),1,0)</f>
        <v>0</v>
      </c>
      <c r="U1164" s="3">
        <f t="shared" si="319"/>
        <v>19</v>
      </c>
      <c r="V1164" s="3">
        <f>IF(AND($L1164=1,AND(对接源_01水果!$X1164="自备筐",N(对接源_01水果!$V1164)&lt;&gt;0)),1,0)</f>
        <v>0</v>
      </c>
      <c r="W1164" s="3">
        <f t="shared" si="320"/>
        <v>8</v>
      </c>
      <c r="X1164" s="3">
        <f>IF(AND($L1164=1,AND(对接源_01水果!$X1164="自备筐",N(对接源_01水果!$T1164)&lt;&gt;0)),1,0)</f>
        <v>0</v>
      </c>
      <c r="Y1164" s="3">
        <f t="shared" si="321"/>
        <v>0</v>
      </c>
      <c r="Z1164" s="3">
        <f>IF(AND($M1164=1,对接源_01水果!$D1164="原料入库"),1,0)</f>
        <v>0</v>
      </c>
      <c r="AA1164" s="3">
        <f t="shared" si="322"/>
        <v>24</v>
      </c>
      <c r="AB1164" s="3">
        <f>IF(AND($M1164=1,LEFT(对接源_01水果!$D1164,4)="原料出库"),1,0)</f>
        <v>0</v>
      </c>
      <c r="AC1164" s="3">
        <f t="shared" si="323"/>
        <v>0</v>
      </c>
      <c r="AD1164" s="3">
        <f>IF(AND($M1164=1,LEFT(对接源_01水果!$D1164,4)="成品出库"),1,0)</f>
        <v>0</v>
      </c>
      <c r="AE1164" s="3">
        <f t="shared" si="324"/>
        <v>0</v>
      </c>
      <c r="AF1164" s="3">
        <f>IF(AND($N1164=1,AND(LEFT(对接源_01水果!$D1164,4)="包装物料",N(对接源_01水果!$K1164)&lt;&gt;0)),1,0)</f>
        <v>0</v>
      </c>
      <c r="AG1164" s="3">
        <f t="shared" si="325"/>
        <v>0</v>
      </c>
      <c r="AH1164" s="3">
        <f>IF(AND($N1164=1,AND(对接源_01水果!$D1164="周转筐－销售出库",N(对接源_01水果!$K1164)&lt;&gt;0)),1,0)</f>
        <v>0</v>
      </c>
      <c r="AI1164" s="3">
        <f t="shared" si="326"/>
        <v>0</v>
      </c>
      <c r="AJ1164" s="7"/>
      <c r="AL1164" s="3">
        <f>IF(OR($AL$1="",对接源_01水果!$Y1164="",对接源_01水果!$Y1164&lt;&gt;$AL$1,对接源_01水果!$B1164="",N(对接源_01水果!$AJ1164)&lt;=0),0,IF(OR(N(对接源_01水果!$B1164)&lt;$AL$2,N(对接源_01水果!$B1164)&gt;$AL$3),0,1))</f>
        <v>0</v>
      </c>
      <c r="AM1164" s="3">
        <f t="shared" si="327"/>
        <v>1</v>
      </c>
      <c r="AN1164" s="3" t="str">
        <f>IF(对接源_01水果!$AC1164="","",对接源_01水果!$AC1164)</f>
        <v/>
      </c>
      <c r="AO1164" s="3">
        <f t="shared" si="328"/>
        <v>0</v>
      </c>
      <c r="AP1164" s="3">
        <f t="shared" si="329"/>
        <v>8</v>
      </c>
      <c r="AR1164">
        <f t="shared" si="330"/>
        <v>0</v>
      </c>
      <c r="AS1164">
        <f t="shared" si="331"/>
        <v>0</v>
      </c>
    </row>
    <row r="1165" ht="14.25" customHeight="1" spans="1:45">
      <c r="A1165" s="3" t="str">
        <f>IF(对接源_01水果!$C1165="","",对接源_01水果!$C1165)</f>
        <v/>
      </c>
      <c r="B1165" s="3">
        <f t="shared" si="315"/>
        <v>0</v>
      </c>
      <c r="C1165" s="3">
        <f t="shared" si="316"/>
        <v>18</v>
      </c>
      <c r="K1165" s="3">
        <f>IF(OR($K$1="",对接源_01水果!$C1165="",对接源_01水果!$C1165&lt;&gt;$K$1,对接源_01水果!$B1165=""),0,IF(OR(N(对接源_01水果!$B1165)&lt;$K$2,N(对接源_01水果!$B1165)&gt;$K$3),0,1))</f>
        <v>0</v>
      </c>
      <c r="L1165" s="3">
        <f>IF(OR($L$1="",对接源_01水果!$C1165="",对接源_01水果!$C1165&lt;&gt;$L$1,对接源_01水果!$B1165=""),0,IF(OR(N(对接源_01水果!$B1165)&lt;$L$2,N(对接源_01水果!$B1165)&gt;$L$3),0,1))</f>
        <v>0</v>
      </c>
      <c r="M1165" s="3">
        <f>IF(OR($M$1="",对接源_01水果!$C1165="",对接源_01水果!$C1165&lt;&gt;$M$1,对接源_01水果!$B1165=""),0,IF(OR(N(对接源_01水果!$B1165)&lt;$M$2,N(对接源_01水果!$B1165)&gt;$M$3),0,1))</f>
        <v>0</v>
      </c>
      <c r="N1165" s="3">
        <f>IF(OR($N$1="",对接源_01水果!$C1165="",对接源_01水果!$C1165&lt;&gt;$N$1,对接源_01水果!$B1165=""),0,IF(OR(N(对接源_01水果!$B1165)&lt;$N$2,N(对接源_01水果!$B1165)&gt;$N$3),0,1))</f>
        <v>0</v>
      </c>
      <c r="P1165" s="3">
        <f>IF(AND($K1165=1,AND(对接源_01水果!$X1165="公司筐",N(对接源_01水果!$T1165)&lt;&gt;0)),1,0)</f>
        <v>0</v>
      </c>
      <c r="Q1165" s="3">
        <f t="shared" si="317"/>
        <v>0</v>
      </c>
      <c r="R1165" s="3">
        <f>IF(AND($K1165=1,AND(对接源_01水果!$X1165="公司筐",N(对接源_01水果!$U1165)&lt;&gt;0)),1,0)</f>
        <v>0</v>
      </c>
      <c r="S1165" s="3">
        <f t="shared" si="318"/>
        <v>0</v>
      </c>
      <c r="T1165" s="3">
        <f>IF(AND($K1165=1,AND(对接源_01水果!$X1165="公司筐",N(对接源_01水果!$V1165)&lt;&gt;0)),1,0)</f>
        <v>0</v>
      </c>
      <c r="U1165" s="3">
        <f t="shared" si="319"/>
        <v>19</v>
      </c>
      <c r="V1165" s="3">
        <f>IF(AND($L1165=1,AND(对接源_01水果!$X1165="自备筐",N(对接源_01水果!$V1165)&lt;&gt;0)),1,0)</f>
        <v>0</v>
      </c>
      <c r="W1165" s="3">
        <f t="shared" si="320"/>
        <v>8</v>
      </c>
      <c r="X1165" s="3">
        <f>IF(AND($L1165=1,AND(对接源_01水果!$X1165="自备筐",N(对接源_01水果!$T1165)&lt;&gt;0)),1,0)</f>
        <v>0</v>
      </c>
      <c r="Y1165" s="3">
        <f t="shared" si="321"/>
        <v>0</v>
      </c>
      <c r="Z1165" s="3">
        <f>IF(AND($M1165=1,对接源_01水果!$D1165="原料入库"),1,0)</f>
        <v>0</v>
      </c>
      <c r="AA1165" s="3">
        <f t="shared" si="322"/>
        <v>24</v>
      </c>
      <c r="AB1165" s="3">
        <f>IF(AND($M1165=1,LEFT(对接源_01水果!$D1165,4)="原料出库"),1,0)</f>
        <v>0</v>
      </c>
      <c r="AC1165" s="3">
        <f t="shared" si="323"/>
        <v>0</v>
      </c>
      <c r="AD1165" s="3">
        <f>IF(AND($M1165=1,LEFT(对接源_01水果!$D1165,4)="成品出库"),1,0)</f>
        <v>0</v>
      </c>
      <c r="AE1165" s="3">
        <f t="shared" si="324"/>
        <v>0</v>
      </c>
      <c r="AF1165" s="3">
        <f>IF(AND($N1165=1,AND(LEFT(对接源_01水果!$D1165,4)="包装物料",N(对接源_01水果!$K1165)&lt;&gt;0)),1,0)</f>
        <v>0</v>
      </c>
      <c r="AG1165" s="3">
        <f t="shared" si="325"/>
        <v>0</v>
      </c>
      <c r="AH1165" s="3">
        <f>IF(AND($N1165=1,AND(对接源_01水果!$D1165="周转筐－销售出库",N(对接源_01水果!$K1165)&lt;&gt;0)),1,0)</f>
        <v>0</v>
      </c>
      <c r="AI1165" s="3">
        <f t="shared" si="326"/>
        <v>0</v>
      </c>
      <c r="AJ1165" s="7"/>
      <c r="AL1165" s="3">
        <f>IF(OR($AL$1="",对接源_01水果!$Y1165="",对接源_01水果!$Y1165&lt;&gt;$AL$1,对接源_01水果!$B1165="",N(对接源_01水果!$AJ1165)&lt;=0),0,IF(OR(N(对接源_01水果!$B1165)&lt;$AL$2,N(对接源_01水果!$B1165)&gt;$AL$3),0,1))</f>
        <v>0</v>
      </c>
      <c r="AM1165" s="3">
        <f t="shared" si="327"/>
        <v>1</v>
      </c>
      <c r="AN1165" s="3" t="str">
        <f>IF(对接源_01水果!$AC1165="","",对接源_01水果!$AC1165)</f>
        <v/>
      </c>
      <c r="AO1165" s="3">
        <f t="shared" si="328"/>
        <v>0</v>
      </c>
      <c r="AP1165" s="3">
        <f t="shared" si="329"/>
        <v>8</v>
      </c>
      <c r="AR1165">
        <f t="shared" si="330"/>
        <v>0</v>
      </c>
      <c r="AS1165">
        <f t="shared" si="331"/>
        <v>0</v>
      </c>
    </row>
    <row r="1166" ht="14.25" customHeight="1" spans="1:45">
      <c r="A1166" s="3" t="str">
        <f>IF(对接源_01水果!$C1166="","",对接源_01水果!$C1166)</f>
        <v/>
      </c>
      <c r="B1166" s="3">
        <f t="shared" si="315"/>
        <v>0</v>
      </c>
      <c r="C1166" s="3">
        <f t="shared" si="316"/>
        <v>18</v>
      </c>
      <c r="K1166" s="3">
        <f>IF(OR($K$1="",对接源_01水果!$C1166="",对接源_01水果!$C1166&lt;&gt;$K$1,对接源_01水果!$B1166=""),0,IF(OR(N(对接源_01水果!$B1166)&lt;$K$2,N(对接源_01水果!$B1166)&gt;$K$3),0,1))</f>
        <v>0</v>
      </c>
      <c r="L1166" s="3">
        <f>IF(OR($L$1="",对接源_01水果!$C1166="",对接源_01水果!$C1166&lt;&gt;$L$1,对接源_01水果!$B1166=""),0,IF(OR(N(对接源_01水果!$B1166)&lt;$L$2,N(对接源_01水果!$B1166)&gt;$L$3),0,1))</f>
        <v>0</v>
      </c>
      <c r="M1166" s="3">
        <f>IF(OR($M$1="",对接源_01水果!$C1166="",对接源_01水果!$C1166&lt;&gt;$M$1,对接源_01水果!$B1166=""),0,IF(OR(N(对接源_01水果!$B1166)&lt;$M$2,N(对接源_01水果!$B1166)&gt;$M$3),0,1))</f>
        <v>0</v>
      </c>
      <c r="N1166" s="3">
        <f>IF(OR($N$1="",对接源_01水果!$C1166="",对接源_01水果!$C1166&lt;&gt;$N$1,对接源_01水果!$B1166=""),0,IF(OR(N(对接源_01水果!$B1166)&lt;$N$2,N(对接源_01水果!$B1166)&gt;$N$3),0,1))</f>
        <v>0</v>
      </c>
      <c r="P1166" s="3">
        <f>IF(AND($K1166=1,AND(对接源_01水果!$X1166="公司筐",N(对接源_01水果!$T1166)&lt;&gt;0)),1,0)</f>
        <v>0</v>
      </c>
      <c r="Q1166" s="3">
        <f t="shared" si="317"/>
        <v>0</v>
      </c>
      <c r="R1166" s="3">
        <f>IF(AND($K1166=1,AND(对接源_01水果!$X1166="公司筐",N(对接源_01水果!$U1166)&lt;&gt;0)),1,0)</f>
        <v>0</v>
      </c>
      <c r="S1166" s="3">
        <f t="shared" si="318"/>
        <v>0</v>
      </c>
      <c r="T1166" s="3">
        <f>IF(AND($K1166=1,AND(对接源_01水果!$X1166="公司筐",N(对接源_01水果!$V1166)&lt;&gt;0)),1,0)</f>
        <v>0</v>
      </c>
      <c r="U1166" s="3">
        <f t="shared" si="319"/>
        <v>19</v>
      </c>
      <c r="V1166" s="3">
        <f>IF(AND($L1166=1,AND(对接源_01水果!$X1166="自备筐",N(对接源_01水果!$V1166)&lt;&gt;0)),1,0)</f>
        <v>0</v>
      </c>
      <c r="W1166" s="3">
        <f t="shared" si="320"/>
        <v>8</v>
      </c>
      <c r="X1166" s="3">
        <f>IF(AND($L1166=1,AND(对接源_01水果!$X1166="自备筐",N(对接源_01水果!$T1166)&lt;&gt;0)),1,0)</f>
        <v>0</v>
      </c>
      <c r="Y1166" s="3">
        <f t="shared" si="321"/>
        <v>0</v>
      </c>
      <c r="Z1166" s="3">
        <f>IF(AND($M1166=1,对接源_01水果!$D1166="原料入库"),1,0)</f>
        <v>0</v>
      </c>
      <c r="AA1166" s="3">
        <f t="shared" si="322"/>
        <v>24</v>
      </c>
      <c r="AB1166" s="3">
        <f>IF(AND($M1166=1,LEFT(对接源_01水果!$D1166,4)="原料出库"),1,0)</f>
        <v>0</v>
      </c>
      <c r="AC1166" s="3">
        <f t="shared" si="323"/>
        <v>0</v>
      </c>
      <c r="AD1166" s="3">
        <f>IF(AND($M1166=1,LEFT(对接源_01水果!$D1166,4)="成品出库"),1,0)</f>
        <v>0</v>
      </c>
      <c r="AE1166" s="3">
        <f t="shared" si="324"/>
        <v>0</v>
      </c>
      <c r="AF1166" s="3">
        <f>IF(AND($N1166=1,AND(LEFT(对接源_01水果!$D1166,4)="包装物料",N(对接源_01水果!$K1166)&lt;&gt;0)),1,0)</f>
        <v>0</v>
      </c>
      <c r="AG1166" s="3">
        <f t="shared" si="325"/>
        <v>0</v>
      </c>
      <c r="AH1166" s="3">
        <f>IF(AND($N1166=1,AND(对接源_01水果!$D1166="周转筐－销售出库",N(对接源_01水果!$K1166)&lt;&gt;0)),1,0)</f>
        <v>0</v>
      </c>
      <c r="AI1166" s="3">
        <f t="shared" si="326"/>
        <v>0</v>
      </c>
      <c r="AJ1166" s="7"/>
      <c r="AL1166" s="3">
        <f>IF(OR($AL$1="",对接源_01水果!$Y1166="",对接源_01水果!$Y1166&lt;&gt;$AL$1,对接源_01水果!$B1166="",N(对接源_01水果!$AJ1166)&lt;=0),0,IF(OR(N(对接源_01水果!$B1166)&lt;$AL$2,N(对接源_01水果!$B1166)&gt;$AL$3),0,1))</f>
        <v>0</v>
      </c>
      <c r="AM1166" s="3">
        <f t="shared" si="327"/>
        <v>1</v>
      </c>
      <c r="AN1166" s="3" t="str">
        <f>IF(对接源_01水果!$AC1166="","",对接源_01水果!$AC1166)</f>
        <v/>
      </c>
      <c r="AO1166" s="3">
        <f t="shared" si="328"/>
        <v>0</v>
      </c>
      <c r="AP1166" s="3">
        <f t="shared" si="329"/>
        <v>8</v>
      </c>
      <c r="AR1166">
        <f t="shared" si="330"/>
        <v>0</v>
      </c>
      <c r="AS1166">
        <f t="shared" si="331"/>
        <v>0</v>
      </c>
    </row>
    <row r="1167" ht="14.25" customHeight="1" spans="1:45">
      <c r="A1167" s="3" t="str">
        <f>IF(对接源_01水果!$C1167="","",对接源_01水果!$C1167)</f>
        <v/>
      </c>
      <c r="B1167" s="3">
        <f t="shared" si="315"/>
        <v>0</v>
      </c>
      <c r="C1167" s="3">
        <f t="shared" si="316"/>
        <v>18</v>
      </c>
      <c r="K1167" s="3">
        <f>IF(OR($K$1="",对接源_01水果!$C1167="",对接源_01水果!$C1167&lt;&gt;$K$1,对接源_01水果!$B1167=""),0,IF(OR(N(对接源_01水果!$B1167)&lt;$K$2,N(对接源_01水果!$B1167)&gt;$K$3),0,1))</f>
        <v>0</v>
      </c>
      <c r="L1167" s="3">
        <f>IF(OR($L$1="",对接源_01水果!$C1167="",对接源_01水果!$C1167&lt;&gt;$L$1,对接源_01水果!$B1167=""),0,IF(OR(N(对接源_01水果!$B1167)&lt;$L$2,N(对接源_01水果!$B1167)&gt;$L$3),0,1))</f>
        <v>0</v>
      </c>
      <c r="M1167" s="3">
        <f>IF(OR($M$1="",对接源_01水果!$C1167="",对接源_01水果!$C1167&lt;&gt;$M$1,对接源_01水果!$B1167=""),0,IF(OR(N(对接源_01水果!$B1167)&lt;$M$2,N(对接源_01水果!$B1167)&gt;$M$3),0,1))</f>
        <v>0</v>
      </c>
      <c r="N1167" s="3">
        <f>IF(OR($N$1="",对接源_01水果!$C1167="",对接源_01水果!$C1167&lt;&gt;$N$1,对接源_01水果!$B1167=""),0,IF(OR(N(对接源_01水果!$B1167)&lt;$N$2,N(对接源_01水果!$B1167)&gt;$N$3),0,1))</f>
        <v>0</v>
      </c>
      <c r="P1167" s="3">
        <f>IF(AND($K1167=1,AND(对接源_01水果!$X1167="公司筐",N(对接源_01水果!$T1167)&lt;&gt;0)),1,0)</f>
        <v>0</v>
      </c>
      <c r="Q1167" s="3">
        <f t="shared" si="317"/>
        <v>0</v>
      </c>
      <c r="R1167" s="3">
        <f>IF(AND($K1167=1,AND(对接源_01水果!$X1167="公司筐",N(对接源_01水果!$U1167)&lt;&gt;0)),1,0)</f>
        <v>0</v>
      </c>
      <c r="S1167" s="3">
        <f t="shared" si="318"/>
        <v>0</v>
      </c>
      <c r="T1167" s="3">
        <f>IF(AND($K1167=1,AND(对接源_01水果!$X1167="公司筐",N(对接源_01水果!$V1167)&lt;&gt;0)),1,0)</f>
        <v>0</v>
      </c>
      <c r="U1167" s="3">
        <f t="shared" si="319"/>
        <v>19</v>
      </c>
      <c r="V1167" s="3">
        <f>IF(AND($L1167=1,AND(对接源_01水果!$X1167="自备筐",N(对接源_01水果!$V1167)&lt;&gt;0)),1,0)</f>
        <v>0</v>
      </c>
      <c r="W1167" s="3">
        <f t="shared" si="320"/>
        <v>8</v>
      </c>
      <c r="X1167" s="3">
        <f>IF(AND($L1167=1,AND(对接源_01水果!$X1167="自备筐",N(对接源_01水果!$T1167)&lt;&gt;0)),1,0)</f>
        <v>0</v>
      </c>
      <c r="Y1167" s="3">
        <f t="shared" si="321"/>
        <v>0</v>
      </c>
      <c r="Z1167" s="3">
        <f>IF(AND($M1167=1,对接源_01水果!$D1167="原料入库"),1,0)</f>
        <v>0</v>
      </c>
      <c r="AA1167" s="3">
        <f t="shared" si="322"/>
        <v>24</v>
      </c>
      <c r="AB1167" s="3">
        <f>IF(AND($M1167=1,LEFT(对接源_01水果!$D1167,4)="原料出库"),1,0)</f>
        <v>0</v>
      </c>
      <c r="AC1167" s="3">
        <f t="shared" si="323"/>
        <v>0</v>
      </c>
      <c r="AD1167" s="3">
        <f>IF(AND($M1167=1,LEFT(对接源_01水果!$D1167,4)="成品出库"),1,0)</f>
        <v>0</v>
      </c>
      <c r="AE1167" s="3">
        <f t="shared" si="324"/>
        <v>0</v>
      </c>
      <c r="AF1167" s="3">
        <f>IF(AND($N1167=1,AND(LEFT(对接源_01水果!$D1167,4)="包装物料",N(对接源_01水果!$K1167)&lt;&gt;0)),1,0)</f>
        <v>0</v>
      </c>
      <c r="AG1167" s="3">
        <f t="shared" si="325"/>
        <v>0</v>
      </c>
      <c r="AH1167" s="3">
        <f>IF(AND($N1167=1,AND(对接源_01水果!$D1167="周转筐－销售出库",N(对接源_01水果!$K1167)&lt;&gt;0)),1,0)</f>
        <v>0</v>
      </c>
      <c r="AI1167" s="3">
        <f t="shared" si="326"/>
        <v>0</v>
      </c>
      <c r="AJ1167" s="7"/>
      <c r="AL1167" s="3">
        <f>IF(OR($AL$1="",对接源_01水果!$Y1167="",对接源_01水果!$Y1167&lt;&gt;$AL$1,对接源_01水果!$B1167="",N(对接源_01水果!$AJ1167)&lt;=0),0,IF(OR(N(对接源_01水果!$B1167)&lt;$AL$2,N(对接源_01水果!$B1167)&gt;$AL$3),0,1))</f>
        <v>0</v>
      </c>
      <c r="AM1167" s="3">
        <f t="shared" si="327"/>
        <v>1</v>
      </c>
      <c r="AN1167" s="3" t="str">
        <f>IF(对接源_01水果!$AC1167="","",对接源_01水果!$AC1167)</f>
        <v/>
      </c>
      <c r="AO1167" s="3">
        <f t="shared" si="328"/>
        <v>0</v>
      </c>
      <c r="AP1167" s="3">
        <f t="shared" si="329"/>
        <v>8</v>
      </c>
      <c r="AR1167">
        <f t="shared" si="330"/>
        <v>0</v>
      </c>
      <c r="AS1167">
        <f t="shared" si="331"/>
        <v>0</v>
      </c>
    </row>
    <row r="1168" ht="14.25" customHeight="1" spans="1:45">
      <c r="A1168" s="3" t="str">
        <f>IF(对接源_01水果!$C1168="","",对接源_01水果!$C1168)</f>
        <v/>
      </c>
      <c r="B1168" s="3">
        <f t="shared" si="315"/>
        <v>0</v>
      </c>
      <c r="C1168" s="3">
        <f t="shared" si="316"/>
        <v>18</v>
      </c>
      <c r="K1168" s="3">
        <f>IF(OR($K$1="",对接源_01水果!$C1168="",对接源_01水果!$C1168&lt;&gt;$K$1,对接源_01水果!$B1168=""),0,IF(OR(N(对接源_01水果!$B1168)&lt;$K$2,N(对接源_01水果!$B1168)&gt;$K$3),0,1))</f>
        <v>0</v>
      </c>
      <c r="L1168" s="3">
        <f>IF(OR($L$1="",对接源_01水果!$C1168="",对接源_01水果!$C1168&lt;&gt;$L$1,对接源_01水果!$B1168=""),0,IF(OR(N(对接源_01水果!$B1168)&lt;$L$2,N(对接源_01水果!$B1168)&gt;$L$3),0,1))</f>
        <v>0</v>
      </c>
      <c r="M1168" s="3">
        <f>IF(OR($M$1="",对接源_01水果!$C1168="",对接源_01水果!$C1168&lt;&gt;$M$1,对接源_01水果!$B1168=""),0,IF(OR(N(对接源_01水果!$B1168)&lt;$M$2,N(对接源_01水果!$B1168)&gt;$M$3),0,1))</f>
        <v>0</v>
      </c>
      <c r="N1168" s="3">
        <f>IF(OR($N$1="",对接源_01水果!$C1168="",对接源_01水果!$C1168&lt;&gt;$N$1,对接源_01水果!$B1168=""),0,IF(OR(N(对接源_01水果!$B1168)&lt;$N$2,N(对接源_01水果!$B1168)&gt;$N$3),0,1))</f>
        <v>0</v>
      </c>
      <c r="P1168" s="3">
        <f>IF(AND($K1168=1,AND(对接源_01水果!$X1168="公司筐",N(对接源_01水果!$T1168)&lt;&gt;0)),1,0)</f>
        <v>0</v>
      </c>
      <c r="Q1168" s="3">
        <f t="shared" si="317"/>
        <v>0</v>
      </c>
      <c r="R1168" s="3">
        <f>IF(AND($K1168=1,AND(对接源_01水果!$X1168="公司筐",N(对接源_01水果!$U1168)&lt;&gt;0)),1,0)</f>
        <v>0</v>
      </c>
      <c r="S1168" s="3">
        <f t="shared" si="318"/>
        <v>0</v>
      </c>
      <c r="T1168" s="3">
        <f>IF(AND($K1168=1,AND(对接源_01水果!$X1168="公司筐",N(对接源_01水果!$V1168)&lt;&gt;0)),1,0)</f>
        <v>0</v>
      </c>
      <c r="U1168" s="3">
        <f t="shared" si="319"/>
        <v>19</v>
      </c>
      <c r="V1168" s="3">
        <f>IF(AND($L1168=1,AND(对接源_01水果!$X1168="自备筐",N(对接源_01水果!$V1168)&lt;&gt;0)),1,0)</f>
        <v>0</v>
      </c>
      <c r="W1168" s="3">
        <f t="shared" si="320"/>
        <v>8</v>
      </c>
      <c r="X1168" s="3">
        <f>IF(AND($L1168=1,AND(对接源_01水果!$X1168="自备筐",N(对接源_01水果!$T1168)&lt;&gt;0)),1,0)</f>
        <v>0</v>
      </c>
      <c r="Y1168" s="3">
        <f t="shared" si="321"/>
        <v>0</v>
      </c>
      <c r="Z1168" s="3">
        <f>IF(AND($M1168=1,对接源_01水果!$D1168="原料入库"),1,0)</f>
        <v>0</v>
      </c>
      <c r="AA1168" s="3">
        <f t="shared" si="322"/>
        <v>24</v>
      </c>
      <c r="AB1168" s="3">
        <f>IF(AND($M1168=1,LEFT(对接源_01水果!$D1168,4)="原料出库"),1,0)</f>
        <v>0</v>
      </c>
      <c r="AC1168" s="3">
        <f t="shared" si="323"/>
        <v>0</v>
      </c>
      <c r="AD1168" s="3">
        <f>IF(AND($M1168=1,LEFT(对接源_01水果!$D1168,4)="成品出库"),1,0)</f>
        <v>0</v>
      </c>
      <c r="AE1168" s="3">
        <f t="shared" si="324"/>
        <v>0</v>
      </c>
      <c r="AF1168" s="3">
        <f>IF(AND($N1168=1,AND(LEFT(对接源_01水果!$D1168,4)="包装物料",N(对接源_01水果!$K1168)&lt;&gt;0)),1,0)</f>
        <v>0</v>
      </c>
      <c r="AG1168" s="3">
        <f t="shared" si="325"/>
        <v>0</v>
      </c>
      <c r="AH1168" s="3">
        <f>IF(AND($N1168=1,AND(对接源_01水果!$D1168="周转筐－销售出库",N(对接源_01水果!$K1168)&lt;&gt;0)),1,0)</f>
        <v>0</v>
      </c>
      <c r="AI1168" s="3">
        <f t="shared" si="326"/>
        <v>0</v>
      </c>
      <c r="AJ1168" s="7"/>
      <c r="AL1168" s="3">
        <f>IF(OR($AL$1="",对接源_01水果!$Y1168="",对接源_01水果!$Y1168&lt;&gt;$AL$1,对接源_01水果!$B1168="",N(对接源_01水果!$AJ1168)&lt;=0),0,IF(OR(N(对接源_01水果!$B1168)&lt;$AL$2,N(对接源_01水果!$B1168)&gt;$AL$3),0,1))</f>
        <v>0</v>
      </c>
      <c r="AM1168" s="3">
        <f t="shared" si="327"/>
        <v>1</v>
      </c>
      <c r="AN1168" s="3" t="str">
        <f>IF(对接源_01水果!$AC1168="","",对接源_01水果!$AC1168)</f>
        <v/>
      </c>
      <c r="AO1168" s="3">
        <f t="shared" si="328"/>
        <v>0</v>
      </c>
      <c r="AP1168" s="3">
        <f t="shared" si="329"/>
        <v>8</v>
      </c>
      <c r="AR1168">
        <f t="shared" si="330"/>
        <v>0</v>
      </c>
      <c r="AS1168">
        <f t="shared" si="331"/>
        <v>0</v>
      </c>
    </row>
    <row r="1169" ht="14.25" customHeight="1" spans="1:45">
      <c r="A1169" s="3" t="str">
        <f>IF(对接源_01水果!$C1169="","",对接源_01水果!$C1169)</f>
        <v/>
      </c>
      <c r="B1169" s="3">
        <f t="shared" si="315"/>
        <v>0</v>
      </c>
      <c r="C1169" s="3">
        <f t="shared" si="316"/>
        <v>18</v>
      </c>
      <c r="K1169" s="3">
        <f>IF(OR($K$1="",对接源_01水果!$C1169="",对接源_01水果!$C1169&lt;&gt;$K$1,对接源_01水果!$B1169=""),0,IF(OR(N(对接源_01水果!$B1169)&lt;$K$2,N(对接源_01水果!$B1169)&gt;$K$3),0,1))</f>
        <v>0</v>
      </c>
      <c r="L1169" s="3">
        <f>IF(OR($L$1="",对接源_01水果!$C1169="",对接源_01水果!$C1169&lt;&gt;$L$1,对接源_01水果!$B1169=""),0,IF(OR(N(对接源_01水果!$B1169)&lt;$L$2,N(对接源_01水果!$B1169)&gt;$L$3),0,1))</f>
        <v>0</v>
      </c>
      <c r="M1169" s="3">
        <f>IF(OR($M$1="",对接源_01水果!$C1169="",对接源_01水果!$C1169&lt;&gt;$M$1,对接源_01水果!$B1169=""),0,IF(OR(N(对接源_01水果!$B1169)&lt;$M$2,N(对接源_01水果!$B1169)&gt;$M$3),0,1))</f>
        <v>0</v>
      </c>
      <c r="N1169" s="3">
        <f>IF(OR($N$1="",对接源_01水果!$C1169="",对接源_01水果!$C1169&lt;&gt;$N$1,对接源_01水果!$B1169=""),0,IF(OR(N(对接源_01水果!$B1169)&lt;$N$2,N(对接源_01水果!$B1169)&gt;$N$3),0,1))</f>
        <v>0</v>
      </c>
      <c r="P1169" s="3">
        <f>IF(AND($K1169=1,AND(对接源_01水果!$X1169="公司筐",N(对接源_01水果!$T1169)&lt;&gt;0)),1,0)</f>
        <v>0</v>
      </c>
      <c r="Q1169" s="3">
        <f t="shared" si="317"/>
        <v>0</v>
      </c>
      <c r="R1169" s="3">
        <f>IF(AND($K1169=1,AND(对接源_01水果!$X1169="公司筐",N(对接源_01水果!$U1169)&lt;&gt;0)),1,0)</f>
        <v>0</v>
      </c>
      <c r="S1169" s="3">
        <f t="shared" si="318"/>
        <v>0</v>
      </c>
      <c r="T1169" s="3">
        <f>IF(AND($K1169=1,AND(对接源_01水果!$X1169="公司筐",N(对接源_01水果!$V1169)&lt;&gt;0)),1,0)</f>
        <v>0</v>
      </c>
      <c r="U1169" s="3">
        <f t="shared" si="319"/>
        <v>19</v>
      </c>
      <c r="V1169" s="3">
        <f>IF(AND($L1169=1,AND(对接源_01水果!$X1169="自备筐",N(对接源_01水果!$V1169)&lt;&gt;0)),1,0)</f>
        <v>0</v>
      </c>
      <c r="W1169" s="3">
        <f t="shared" si="320"/>
        <v>8</v>
      </c>
      <c r="X1169" s="3">
        <f>IF(AND($L1169=1,AND(对接源_01水果!$X1169="自备筐",N(对接源_01水果!$T1169)&lt;&gt;0)),1,0)</f>
        <v>0</v>
      </c>
      <c r="Y1169" s="3">
        <f t="shared" si="321"/>
        <v>0</v>
      </c>
      <c r="Z1169" s="3">
        <f>IF(AND($M1169=1,对接源_01水果!$D1169="原料入库"),1,0)</f>
        <v>0</v>
      </c>
      <c r="AA1169" s="3">
        <f t="shared" si="322"/>
        <v>24</v>
      </c>
      <c r="AB1169" s="3">
        <f>IF(AND($M1169=1,LEFT(对接源_01水果!$D1169,4)="原料出库"),1,0)</f>
        <v>0</v>
      </c>
      <c r="AC1169" s="3">
        <f t="shared" si="323"/>
        <v>0</v>
      </c>
      <c r="AD1169" s="3">
        <f>IF(AND($M1169=1,LEFT(对接源_01水果!$D1169,4)="成品出库"),1,0)</f>
        <v>0</v>
      </c>
      <c r="AE1169" s="3">
        <f t="shared" si="324"/>
        <v>0</v>
      </c>
      <c r="AF1169" s="3">
        <f>IF(AND($N1169=1,AND(LEFT(对接源_01水果!$D1169,4)="包装物料",N(对接源_01水果!$K1169)&lt;&gt;0)),1,0)</f>
        <v>0</v>
      </c>
      <c r="AG1169" s="3">
        <f t="shared" si="325"/>
        <v>0</v>
      </c>
      <c r="AH1169" s="3">
        <f>IF(AND($N1169=1,AND(对接源_01水果!$D1169="周转筐－销售出库",N(对接源_01水果!$K1169)&lt;&gt;0)),1,0)</f>
        <v>0</v>
      </c>
      <c r="AI1169" s="3">
        <f t="shared" si="326"/>
        <v>0</v>
      </c>
      <c r="AJ1169" s="7"/>
      <c r="AL1169" s="3">
        <f>IF(OR($AL$1="",对接源_01水果!$Y1169="",对接源_01水果!$Y1169&lt;&gt;$AL$1,对接源_01水果!$B1169="",N(对接源_01水果!$AJ1169)&lt;=0),0,IF(OR(N(对接源_01水果!$B1169)&lt;$AL$2,N(对接源_01水果!$B1169)&gt;$AL$3),0,1))</f>
        <v>0</v>
      </c>
      <c r="AM1169" s="3">
        <f t="shared" si="327"/>
        <v>1</v>
      </c>
      <c r="AN1169" s="3" t="str">
        <f>IF(对接源_01水果!$AC1169="","",对接源_01水果!$AC1169)</f>
        <v/>
      </c>
      <c r="AO1169" s="3">
        <f t="shared" si="328"/>
        <v>0</v>
      </c>
      <c r="AP1169" s="3">
        <f t="shared" si="329"/>
        <v>8</v>
      </c>
      <c r="AR1169">
        <f t="shared" si="330"/>
        <v>0</v>
      </c>
      <c r="AS1169">
        <f t="shared" si="331"/>
        <v>0</v>
      </c>
    </row>
    <row r="1170" ht="14.25" customHeight="1" spans="1:45">
      <c r="A1170" s="3" t="str">
        <f>IF(对接源_01水果!$C1170="","",对接源_01水果!$C1170)</f>
        <v/>
      </c>
      <c r="B1170" s="3">
        <f t="shared" si="315"/>
        <v>0</v>
      </c>
      <c r="C1170" s="3">
        <f t="shared" si="316"/>
        <v>18</v>
      </c>
      <c r="K1170" s="3">
        <f>IF(OR($K$1="",对接源_01水果!$C1170="",对接源_01水果!$C1170&lt;&gt;$K$1,对接源_01水果!$B1170=""),0,IF(OR(N(对接源_01水果!$B1170)&lt;$K$2,N(对接源_01水果!$B1170)&gt;$K$3),0,1))</f>
        <v>0</v>
      </c>
      <c r="L1170" s="3">
        <f>IF(OR($L$1="",对接源_01水果!$C1170="",对接源_01水果!$C1170&lt;&gt;$L$1,对接源_01水果!$B1170=""),0,IF(OR(N(对接源_01水果!$B1170)&lt;$L$2,N(对接源_01水果!$B1170)&gt;$L$3),0,1))</f>
        <v>0</v>
      </c>
      <c r="M1170" s="3">
        <f>IF(OR($M$1="",对接源_01水果!$C1170="",对接源_01水果!$C1170&lt;&gt;$M$1,对接源_01水果!$B1170=""),0,IF(OR(N(对接源_01水果!$B1170)&lt;$M$2,N(对接源_01水果!$B1170)&gt;$M$3),0,1))</f>
        <v>0</v>
      </c>
      <c r="N1170" s="3">
        <f>IF(OR($N$1="",对接源_01水果!$C1170="",对接源_01水果!$C1170&lt;&gt;$N$1,对接源_01水果!$B1170=""),0,IF(OR(N(对接源_01水果!$B1170)&lt;$N$2,N(对接源_01水果!$B1170)&gt;$N$3),0,1))</f>
        <v>0</v>
      </c>
      <c r="P1170" s="3">
        <f>IF(AND($K1170=1,AND(对接源_01水果!$X1170="公司筐",N(对接源_01水果!$T1170)&lt;&gt;0)),1,0)</f>
        <v>0</v>
      </c>
      <c r="Q1170" s="3">
        <f t="shared" si="317"/>
        <v>0</v>
      </c>
      <c r="R1170" s="3">
        <f>IF(AND($K1170=1,AND(对接源_01水果!$X1170="公司筐",N(对接源_01水果!$U1170)&lt;&gt;0)),1,0)</f>
        <v>0</v>
      </c>
      <c r="S1170" s="3">
        <f t="shared" si="318"/>
        <v>0</v>
      </c>
      <c r="T1170" s="3">
        <f>IF(AND($K1170=1,AND(对接源_01水果!$X1170="公司筐",N(对接源_01水果!$V1170)&lt;&gt;0)),1,0)</f>
        <v>0</v>
      </c>
      <c r="U1170" s="3">
        <f t="shared" si="319"/>
        <v>19</v>
      </c>
      <c r="V1170" s="3">
        <f>IF(AND($L1170=1,AND(对接源_01水果!$X1170="自备筐",N(对接源_01水果!$V1170)&lt;&gt;0)),1,0)</f>
        <v>0</v>
      </c>
      <c r="W1170" s="3">
        <f t="shared" si="320"/>
        <v>8</v>
      </c>
      <c r="X1170" s="3">
        <f>IF(AND($L1170=1,AND(对接源_01水果!$X1170="自备筐",N(对接源_01水果!$T1170)&lt;&gt;0)),1,0)</f>
        <v>0</v>
      </c>
      <c r="Y1170" s="3">
        <f t="shared" si="321"/>
        <v>0</v>
      </c>
      <c r="Z1170" s="3">
        <f>IF(AND($M1170=1,对接源_01水果!$D1170="原料入库"),1,0)</f>
        <v>0</v>
      </c>
      <c r="AA1170" s="3">
        <f t="shared" si="322"/>
        <v>24</v>
      </c>
      <c r="AB1170" s="3">
        <f>IF(AND($M1170=1,LEFT(对接源_01水果!$D1170,4)="原料出库"),1,0)</f>
        <v>0</v>
      </c>
      <c r="AC1170" s="3">
        <f t="shared" si="323"/>
        <v>0</v>
      </c>
      <c r="AD1170" s="3">
        <f>IF(AND($M1170=1,LEFT(对接源_01水果!$D1170,4)="成品出库"),1,0)</f>
        <v>0</v>
      </c>
      <c r="AE1170" s="3">
        <f t="shared" si="324"/>
        <v>0</v>
      </c>
      <c r="AF1170" s="3">
        <f>IF(AND($N1170=1,AND(LEFT(对接源_01水果!$D1170,4)="包装物料",N(对接源_01水果!$K1170)&lt;&gt;0)),1,0)</f>
        <v>0</v>
      </c>
      <c r="AG1170" s="3">
        <f t="shared" si="325"/>
        <v>0</v>
      </c>
      <c r="AH1170" s="3">
        <f>IF(AND($N1170=1,AND(对接源_01水果!$D1170="周转筐－销售出库",N(对接源_01水果!$K1170)&lt;&gt;0)),1,0)</f>
        <v>0</v>
      </c>
      <c r="AI1170" s="3">
        <f t="shared" si="326"/>
        <v>0</v>
      </c>
      <c r="AJ1170" s="7"/>
      <c r="AL1170" s="3">
        <f>IF(OR($AL$1="",对接源_01水果!$Y1170="",对接源_01水果!$Y1170&lt;&gt;$AL$1,对接源_01水果!$B1170="",N(对接源_01水果!$AJ1170)&lt;=0),0,IF(OR(N(对接源_01水果!$B1170)&lt;$AL$2,N(对接源_01水果!$B1170)&gt;$AL$3),0,1))</f>
        <v>0</v>
      </c>
      <c r="AM1170" s="3">
        <f t="shared" si="327"/>
        <v>1</v>
      </c>
      <c r="AN1170" s="3" t="str">
        <f>IF(对接源_01水果!$AC1170="","",对接源_01水果!$AC1170)</f>
        <v/>
      </c>
      <c r="AO1170" s="3">
        <f t="shared" si="328"/>
        <v>0</v>
      </c>
      <c r="AP1170" s="3">
        <f t="shared" si="329"/>
        <v>8</v>
      </c>
      <c r="AR1170">
        <f t="shared" si="330"/>
        <v>0</v>
      </c>
      <c r="AS1170">
        <f t="shared" si="331"/>
        <v>0</v>
      </c>
    </row>
    <row r="1171" ht="14.25" customHeight="1" spans="1:45">
      <c r="A1171" s="3" t="str">
        <f>IF(对接源_01水果!$C1171="","",对接源_01水果!$C1171)</f>
        <v/>
      </c>
      <c r="B1171" s="3">
        <f t="shared" si="315"/>
        <v>0</v>
      </c>
      <c r="C1171" s="3">
        <f t="shared" si="316"/>
        <v>18</v>
      </c>
      <c r="K1171" s="3">
        <f>IF(OR($K$1="",对接源_01水果!$C1171="",对接源_01水果!$C1171&lt;&gt;$K$1,对接源_01水果!$B1171=""),0,IF(OR(N(对接源_01水果!$B1171)&lt;$K$2,N(对接源_01水果!$B1171)&gt;$K$3),0,1))</f>
        <v>0</v>
      </c>
      <c r="L1171" s="3">
        <f>IF(OR($L$1="",对接源_01水果!$C1171="",对接源_01水果!$C1171&lt;&gt;$L$1,对接源_01水果!$B1171=""),0,IF(OR(N(对接源_01水果!$B1171)&lt;$L$2,N(对接源_01水果!$B1171)&gt;$L$3),0,1))</f>
        <v>0</v>
      </c>
      <c r="M1171" s="3">
        <f>IF(OR($M$1="",对接源_01水果!$C1171="",对接源_01水果!$C1171&lt;&gt;$M$1,对接源_01水果!$B1171=""),0,IF(OR(N(对接源_01水果!$B1171)&lt;$M$2,N(对接源_01水果!$B1171)&gt;$M$3),0,1))</f>
        <v>0</v>
      </c>
      <c r="N1171" s="3">
        <f>IF(OR($N$1="",对接源_01水果!$C1171="",对接源_01水果!$C1171&lt;&gt;$N$1,对接源_01水果!$B1171=""),0,IF(OR(N(对接源_01水果!$B1171)&lt;$N$2,N(对接源_01水果!$B1171)&gt;$N$3),0,1))</f>
        <v>0</v>
      </c>
      <c r="P1171" s="3">
        <f>IF(AND($K1171=1,AND(对接源_01水果!$X1171="公司筐",N(对接源_01水果!$T1171)&lt;&gt;0)),1,0)</f>
        <v>0</v>
      </c>
      <c r="Q1171" s="3">
        <f t="shared" si="317"/>
        <v>0</v>
      </c>
      <c r="R1171" s="3">
        <f>IF(AND($K1171=1,AND(对接源_01水果!$X1171="公司筐",N(对接源_01水果!$U1171)&lt;&gt;0)),1,0)</f>
        <v>0</v>
      </c>
      <c r="S1171" s="3">
        <f t="shared" si="318"/>
        <v>0</v>
      </c>
      <c r="T1171" s="3">
        <f>IF(AND($K1171=1,AND(对接源_01水果!$X1171="公司筐",N(对接源_01水果!$V1171)&lt;&gt;0)),1,0)</f>
        <v>0</v>
      </c>
      <c r="U1171" s="3">
        <f t="shared" si="319"/>
        <v>19</v>
      </c>
      <c r="V1171" s="3">
        <f>IF(AND($L1171=1,AND(对接源_01水果!$X1171="自备筐",N(对接源_01水果!$V1171)&lt;&gt;0)),1,0)</f>
        <v>0</v>
      </c>
      <c r="W1171" s="3">
        <f t="shared" si="320"/>
        <v>8</v>
      </c>
      <c r="X1171" s="3">
        <f>IF(AND($L1171=1,AND(对接源_01水果!$X1171="自备筐",N(对接源_01水果!$T1171)&lt;&gt;0)),1,0)</f>
        <v>0</v>
      </c>
      <c r="Y1171" s="3">
        <f t="shared" si="321"/>
        <v>0</v>
      </c>
      <c r="Z1171" s="3">
        <f>IF(AND($M1171=1,对接源_01水果!$D1171="原料入库"),1,0)</f>
        <v>0</v>
      </c>
      <c r="AA1171" s="3">
        <f t="shared" si="322"/>
        <v>24</v>
      </c>
      <c r="AB1171" s="3">
        <f>IF(AND($M1171=1,LEFT(对接源_01水果!$D1171,4)="原料出库"),1,0)</f>
        <v>0</v>
      </c>
      <c r="AC1171" s="3">
        <f t="shared" si="323"/>
        <v>0</v>
      </c>
      <c r="AD1171" s="3">
        <f>IF(AND($M1171=1,LEFT(对接源_01水果!$D1171,4)="成品出库"),1,0)</f>
        <v>0</v>
      </c>
      <c r="AE1171" s="3">
        <f t="shared" si="324"/>
        <v>0</v>
      </c>
      <c r="AF1171" s="3">
        <f>IF(AND($N1171=1,AND(LEFT(对接源_01水果!$D1171,4)="包装物料",N(对接源_01水果!$K1171)&lt;&gt;0)),1,0)</f>
        <v>0</v>
      </c>
      <c r="AG1171" s="3">
        <f t="shared" si="325"/>
        <v>0</v>
      </c>
      <c r="AH1171" s="3">
        <f>IF(AND($N1171=1,AND(对接源_01水果!$D1171="周转筐－销售出库",N(对接源_01水果!$K1171)&lt;&gt;0)),1,0)</f>
        <v>0</v>
      </c>
      <c r="AI1171" s="3">
        <f t="shared" si="326"/>
        <v>0</v>
      </c>
      <c r="AJ1171" s="7"/>
      <c r="AL1171" s="3">
        <f>IF(OR($AL$1="",对接源_01水果!$Y1171="",对接源_01水果!$Y1171&lt;&gt;$AL$1,对接源_01水果!$B1171="",N(对接源_01水果!$AJ1171)&lt;=0),0,IF(OR(N(对接源_01水果!$B1171)&lt;$AL$2,N(对接源_01水果!$B1171)&gt;$AL$3),0,1))</f>
        <v>0</v>
      </c>
      <c r="AM1171" s="3">
        <f t="shared" si="327"/>
        <v>1</v>
      </c>
      <c r="AN1171" s="3" t="str">
        <f>IF(对接源_01水果!$AC1171="","",对接源_01水果!$AC1171)</f>
        <v/>
      </c>
      <c r="AO1171" s="3">
        <f t="shared" si="328"/>
        <v>0</v>
      </c>
      <c r="AP1171" s="3">
        <f t="shared" si="329"/>
        <v>8</v>
      </c>
      <c r="AR1171">
        <f t="shared" si="330"/>
        <v>0</v>
      </c>
      <c r="AS1171">
        <f t="shared" si="331"/>
        <v>0</v>
      </c>
    </row>
    <row r="1172" ht="14.25" customHeight="1" spans="1:45">
      <c r="A1172" s="3" t="str">
        <f>IF(对接源_01水果!$C1172="","",对接源_01水果!$C1172)</f>
        <v/>
      </c>
      <c r="B1172" s="3">
        <f t="shared" si="315"/>
        <v>0</v>
      </c>
      <c r="C1172" s="3">
        <f t="shared" si="316"/>
        <v>18</v>
      </c>
      <c r="K1172" s="3">
        <f>IF(OR($K$1="",对接源_01水果!$C1172="",对接源_01水果!$C1172&lt;&gt;$K$1,对接源_01水果!$B1172=""),0,IF(OR(N(对接源_01水果!$B1172)&lt;$K$2,N(对接源_01水果!$B1172)&gt;$K$3),0,1))</f>
        <v>0</v>
      </c>
      <c r="L1172" s="3">
        <f>IF(OR($L$1="",对接源_01水果!$C1172="",对接源_01水果!$C1172&lt;&gt;$L$1,对接源_01水果!$B1172=""),0,IF(OR(N(对接源_01水果!$B1172)&lt;$L$2,N(对接源_01水果!$B1172)&gt;$L$3),0,1))</f>
        <v>0</v>
      </c>
      <c r="M1172" s="3">
        <f>IF(OR($M$1="",对接源_01水果!$C1172="",对接源_01水果!$C1172&lt;&gt;$M$1,对接源_01水果!$B1172=""),0,IF(OR(N(对接源_01水果!$B1172)&lt;$M$2,N(对接源_01水果!$B1172)&gt;$M$3),0,1))</f>
        <v>0</v>
      </c>
      <c r="N1172" s="3">
        <f>IF(OR($N$1="",对接源_01水果!$C1172="",对接源_01水果!$C1172&lt;&gt;$N$1,对接源_01水果!$B1172=""),0,IF(OR(N(对接源_01水果!$B1172)&lt;$N$2,N(对接源_01水果!$B1172)&gt;$N$3),0,1))</f>
        <v>0</v>
      </c>
      <c r="P1172" s="3">
        <f>IF(AND($K1172=1,AND(对接源_01水果!$X1172="公司筐",N(对接源_01水果!$T1172)&lt;&gt;0)),1,0)</f>
        <v>0</v>
      </c>
      <c r="Q1172" s="3">
        <f t="shared" si="317"/>
        <v>0</v>
      </c>
      <c r="R1172" s="3">
        <f>IF(AND($K1172=1,AND(对接源_01水果!$X1172="公司筐",N(对接源_01水果!$U1172)&lt;&gt;0)),1,0)</f>
        <v>0</v>
      </c>
      <c r="S1172" s="3">
        <f t="shared" si="318"/>
        <v>0</v>
      </c>
      <c r="T1172" s="3">
        <f>IF(AND($K1172=1,AND(对接源_01水果!$X1172="公司筐",N(对接源_01水果!$V1172)&lt;&gt;0)),1,0)</f>
        <v>0</v>
      </c>
      <c r="U1172" s="3">
        <f t="shared" si="319"/>
        <v>19</v>
      </c>
      <c r="V1172" s="3">
        <f>IF(AND($L1172=1,AND(对接源_01水果!$X1172="自备筐",N(对接源_01水果!$V1172)&lt;&gt;0)),1,0)</f>
        <v>0</v>
      </c>
      <c r="W1172" s="3">
        <f t="shared" si="320"/>
        <v>8</v>
      </c>
      <c r="X1172" s="3">
        <f>IF(AND($L1172=1,AND(对接源_01水果!$X1172="自备筐",N(对接源_01水果!$T1172)&lt;&gt;0)),1,0)</f>
        <v>0</v>
      </c>
      <c r="Y1172" s="3">
        <f t="shared" si="321"/>
        <v>0</v>
      </c>
      <c r="Z1172" s="3">
        <f>IF(AND($M1172=1,对接源_01水果!$D1172="原料入库"),1,0)</f>
        <v>0</v>
      </c>
      <c r="AA1172" s="3">
        <f t="shared" si="322"/>
        <v>24</v>
      </c>
      <c r="AB1172" s="3">
        <f>IF(AND($M1172=1,LEFT(对接源_01水果!$D1172,4)="原料出库"),1,0)</f>
        <v>0</v>
      </c>
      <c r="AC1172" s="3">
        <f t="shared" si="323"/>
        <v>0</v>
      </c>
      <c r="AD1172" s="3">
        <f>IF(AND($M1172=1,LEFT(对接源_01水果!$D1172,4)="成品出库"),1,0)</f>
        <v>0</v>
      </c>
      <c r="AE1172" s="3">
        <f t="shared" si="324"/>
        <v>0</v>
      </c>
      <c r="AF1172" s="3">
        <f>IF(AND($N1172=1,AND(LEFT(对接源_01水果!$D1172,4)="包装物料",N(对接源_01水果!$K1172)&lt;&gt;0)),1,0)</f>
        <v>0</v>
      </c>
      <c r="AG1172" s="3">
        <f t="shared" si="325"/>
        <v>0</v>
      </c>
      <c r="AH1172" s="3">
        <f>IF(AND($N1172=1,AND(对接源_01水果!$D1172="周转筐－销售出库",N(对接源_01水果!$K1172)&lt;&gt;0)),1,0)</f>
        <v>0</v>
      </c>
      <c r="AI1172" s="3">
        <f t="shared" si="326"/>
        <v>0</v>
      </c>
      <c r="AJ1172" s="7"/>
      <c r="AL1172" s="3">
        <f>IF(OR($AL$1="",对接源_01水果!$Y1172="",对接源_01水果!$Y1172&lt;&gt;$AL$1,对接源_01水果!$B1172="",N(对接源_01水果!$AJ1172)&lt;=0),0,IF(OR(N(对接源_01水果!$B1172)&lt;$AL$2,N(对接源_01水果!$B1172)&gt;$AL$3),0,1))</f>
        <v>0</v>
      </c>
      <c r="AM1172" s="3">
        <f t="shared" si="327"/>
        <v>1</v>
      </c>
      <c r="AN1172" s="3" t="str">
        <f>IF(对接源_01水果!$AC1172="","",对接源_01水果!$AC1172)</f>
        <v/>
      </c>
      <c r="AO1172" s="3">
        <f t="shared" si="328"/>
        <v>0</v>
      </c>
      <c r="AP1172" s="3">
        <f t="shared" si="329"/>
        <v>8</v>
      </c>
      <c r="AR1172">
        <f t="shared" si="330"/>
        <v>0</v>
      </c>
      <c r="AS1172">
        <f t="shared" si="331"/>
        <v>0</v>
      </c>
    </row>
    <row r="1173" ht="14.25" customHeight="1" spans="1:45">
      <c r="A1173" s="3" t="str">
        <f>IF(对接源_01水果!$C1173="","",对接源_01水果!$C1173)</f>
        <v/>
      </c>
      <c r="B1173" s="3">
        <f t="shared" si="315"/>
        <v>0</v>
      </c>
      <c r="C1173" s="3">
        <f t="shared" si="316"/>
        <v>18</v>
      </c>
      <c r="K1173" s="3">
        <f>IF(OR($K$1="",对接源_01水果!$C1173="",对接源_01水果!$C1173&lt;&gt;$K$1,对接源_01水果!$B1173=""),0,IF(OR(N(对接源_01水果!$B1173)&lt;$K$2,N(对接源_01水果!$B1173)&gt;$K$3),0,1))</f>
        <v>0</v>
      </c>
      <c r="L1173" s="3">
        <f>IF(OR($L$1="",对接源_01水果!$C1173="",对接源_01水果!$C1173&lt;&gt;$L$1,对接源_01水果!$B1173=""),0,IF(OR(N(对接源_01水果!$B1173)&lt;$L$2,N(对接源_01水果!$B1173)&gt;$L$3),0,1))</f>
        <v>0</v>
      </c>
      <c r="M1173" s="3">
        <f>IF(OR($M$1="",对接源_01水果!$C1173="",对接源_01水果!$C1173&lt;&gt;$M$1,对接源_01水果!$B1173=""),0,IF(OR(N(对接源_01水果!$B1173)&lt;$M$2,N(对接源_01水果!$B1173)&gt;$M$3),0,1))</f>
        <v>0</v>
      </c>
      <c r="N1173" s="3">
        <f>IF(OR($N$1="",对接源_01水果!$C1173="",对接源_01水果!$C1173&lt;&gt;$N$1,对接源_01水果!$B1173=""),0,IF(OR(N(对接源_01水果!$B1173)&lt;$N$2,N(对接源_01水果!$B1173)&gt;$N$3),0,1))</f>
        <v>0</v>
      </c>
      <c r="P1173" s="3">
        <f>IF(AND($K1173=1,AND(对接源_01水果!$X1173="公司筐",N(对接源_01水果!$T1173)&lt;&gt;0)),1,0)</f>
        <v>0</v>
      </c>
      <c r="Q1173" s="3">
        <f t="shared" si="317"/>
        <v>0</v>
      </c>
      <c r="R1173" s="3">
        <f>IF(AND($K1173=1,AND(对接源_01水果!$X1173="公司筐",N(对接源_01水果!$U1173)&lt;&gt;0)),1,0)</f>
        <v>0</v>
      </c>
      <c r="S1173" s="3">
        <f t="shared" si="318"/>
        <v>0</v>
      </c>
      <c r="T1173" s="3">
        <f>IF(AND($K1173=1,AND(对接源_01水果!$X1173="公司筐",N(对接源_01水果!$V1173)&lt;&gt;0)),1,0)</f>
        <v>0</v>
      </c>
      <c r="U1173" s="3">
        <f t="shared" si="319"/>
        <v>19</v>
      </c>
      <c r="V1173" s="3">
        <f>IF(AND($L1173=1,AND(对接源_01水果!$X1173="自备筐",N(对接源_01水果!$V1173)&lt;&gt;0)),1,0)</f>
        <v>0</v>
      </c>
      <c r="W1173" s="3">
        <f t="shared" si="320"/>
        <v>8</v>
      </c>
      <c r="X1173" s="3">
        <f>IF(AND($L1173=1,AND(对接源_01水果!$X1173="自备筐",N(对接源_01水果!$T1173)&lt;&gt;0)),1,0)</f>
        <v>0</v>
      </c>
      <c r="Y1173" s="3">
        <f t="shared" si="321"/>
        <v>0</v>
      </c>
      <c r="Z1173" s="3">
        <f>IF(AND($M1173=1,对接源_01水果!$D1173="原料入库"),1,0)</f>
        <v>0</v>
      </c>
      <c r="AA1173" s="3">
        <f t="shared" si="322"/>
        <v>24</v>
      </c>
      <c r="AB1173" s="3">
        <f>IF(AND($M1173=1,LEFT(对接源_01水果!$D1173,4)="原料出库"),1,0)</f>
        <v>0</v>
      </c>
      <c r="AC1173" s="3">
        <f t="shared" si="323"/>
        <v>0</v>
      </c>
      <c r="AD1173" s="3">
        <f>IF(AND($M1173=1,LEFT(对接源_01水果!$D1173,4)="成品出库"),1,0)</f>
        <v>0</v>
      </c>
      <c r="AE1173" s="3">
        <f t="shared" si="324"/>
        <v>0</v>
      </c>
      <c r="AF1173" s="3">
        <f>IF(AND($N1173=1,AND(LEFT(对接源_01水果!$D1173,4)="包装物料",N(对接源_01水果!$K1173)&lt;&gt;0)),1,0)</f>
        <v>0</v>
      </c>
      <c r="AG1173" s="3">
        <f t="shared" si="325"/>
        <v>0</v>
      </c>
      <c r="AH1173" s="3">
        <f>IF(AND($N1173=1,AND(对接源_01水果!$D1173="周转筐－销售出库",N(对接源_01水果!$K1173)&lt;&gt;0)),1,0)</f>
        <v>0</v>
      </c>
      <c r="AI1173" s="3">
        <f t="shared" si="326"/>
        <v>0</v>
      </c>
      <c r="AJ1173" s="7"/>
      <c r="AL1173" s="3">
        <f>IF(OR($AL$1="",对接源_01水果!$Y1173="",对接源_01水果!$Y1173&lt;&gt;$AL$1,对接源_01水果!$B1173="",N(对接源_01水果!$AJ1173)&lt;=0),0,IF(OR(N(对接源_01水果!$B1173)&lt;$AL$2,N(对接源_01水果!$B1173)&gt;$AL$3),0,1))</f>
        <v>0</v>
      </c>
      <c r="AM1173" s="3">
        <f t="shared" si="327"/>
        <v>1</v>
      </c>
      <c r="AN1173" s="3" t="str">
        <f>IF(对接源_01水果!$AC1173="","",对接源_01水果!$AC1173)</f>
        <v/>
      </c>
      <c r="AO1173" s="3">
        <f t="shared" si="328"/>
        <v>0</v>
      </c>
      <c r="AP1173" s="3">
        <f t="shared" si="329"/>
        <v>8</v>
      </c>
      <c r="AR1173">
        <f t="shared" si="330"/>
        <v>0</v>
      </c>
      <c r="AS1173">
        <f t="shared" si="331"/>
        <v>0</v>
      </c>
    </row>
    <row r="1174" ht="14.25" customHeight="1" spans="1:45">
      <c r="A1174" s="3" t="str">
        <f>IF(对接源_01水果!$C1174="","",对接源_01水果!$C1174)</f>
        <v/>
      </c>
      <c r="B1174" s="3">
        <f t="shared" si="315"/>
        <v>0</v>
      </c>
      <c r="C1174" s="3">
        <f t="shared" si="316"/>
        <v>18</v>
      </c>
      <c r="K1174" s="3">
        <f>IF(OR($K$1="",对接源_01水果!$C1174="",对接源_01水果!$C1174&lt;&gt;$K$1,对接源_01水果!$B1174=""),0,IF(OR(N(对接源_01水果!$B1174)&lt;$K$2,N(对接源_01水果!$B1174)&gt;$K$3),0,1))</f>
        <v>0</v>
      </c>
      <c r="L1174" s="3">
        <f>IF(OR($L$1="",对接源_01水果!$C1174="",对接源_01水果!$C1174&lt;&gt;$L$1,对接源_01水果!$B1174=""),0,IF(OR(N(对接源_01水果!$B1174)&lt;$L$2,N(对接源_01水果!$B1174)&gt;$L$3),0,1))</f>
        <v>0</v>
      </c>
      <c r="M1174" s="3">
        <f>IF(OR($M$1="",对接源_01水果!$C1174="",对接源_01水果!$C1174&lt;&gt;$M$1,对接源_01水果!$B1174=""),0,IF(OR(N(对接源_01水果!$B1174)&lt;$M$2,N(对接源_01水果!$B1174)&gt;$M$3),0,1))</f>
        <v>0</v>
      </c>
      <c r="N1174" s="3">
        <f>IF(OR($N$1="",对接源_01水果!$C1174="",对接源_01水果!$C1174&lt;&gt;$N$1,对接源_01水果!$B1174=""),0,IF(OR(N(对接源_01水果!$B1174)&lt;$N$2,N(对接源_01水果!$B1174)&gt;$N$3),0,1))</f>
        <v>0</v>
      </c>
      <c r="P1174" s="3">
        <f>IF(AND($K1174=1,AND(对接源_01水果!$X1174="公司筐",N(对接源_01水果!$T1174)&lt;&gt;0)),1,0)</f>
        <v>0</v>
      </c>
      <c r="Q1174" s="3">
        <f t="shared" si="317"/>
        <v>0</v>
      </c>
      <c r="R1174" s="3">
        <f>IF(AND($K1174=1,AND(对接源_01水果!$X1174="公司筐",N(对接源_01水果!$U1174)&lt;&gt;0)),1,0)</f>
        <v>0</v>
      </c>
      <c r="S1174" s="3">
        <f t="shared" si="318"/>
        <v>0</v>
      </c>
      <c r="T1174" s="3">
        <f>IF(AND($K1174=1,AND(对接源_01水果!$X1174="公司筐",N(对接源_01水果!$V1174)&lt;&gt;0)),1,0)</f>
        <v>0</v>
      </c>
      <c r="U1174" s="3">
        <f t="shared" si="319"/>
        <v>19</v>
      </c>
      <c r="V1174" s="3">
        <f>IF(AND($L1174=1,AND(对接源_01水果!$X1174="自备筐",N(对接源_01水果!$V1174)&lt;&gt;0)),1,0)</f>
        <v>0</v>
      </c>
      <c r="W1174" s="3">
        <f t="shared" si="320"/>
        <v>8</v>
      </c>
      <c r="X1174" s="3">
        <f>IF(AND($L1174=1,AND(对接源_01水果!$X1174="自备筐",N(对接源_01水果!$T1174)&lt;&gt;0)),1,0)</f>
        <v>0</v>
      </c>
      <c r="Y1174" s="3">
        <f t="shared" si="321"/>
        <v>0</v>
      </c>
      <c r="Z1174" s="3">
        <f>IF(AND($M1174=1,对接源_01水果!$D1174="原料入库"),1,0)</f>
        <v>0</v>
      </c>
      <c r="AA1174" s="3">
        <f t="shared" si="322"/>
        <v>24</v>
      </c>
      <c r="AB1174" s="3">
        <f>IF(AND($M1174=1,LEFT(对接源_01水果!$D1174,4)="原料出库"),1,0)</f>
        <v>0</v>
      </c>
      <c r="AC1174" s="3">
        <f t="shared" si="323"/>
        <v>0</v>
      </c>
      <c r="AD1174" s="3">
        <f>IF(AND($M1174=1,LEFT(对接源_01水果!$D1174,4)="成品出库"),1,0)</f>
        <v>0</v>
      </c>
      <c r="AE1174" s="3">
        <f t="shared" si="324"/>
        <v>0</v>
      </c>
      <c r="AF1174" s="3">
        <f>IF(AND($N1174=1,AND(LEFT(对接源_01水果!$D1174,4)="包装物料",N(对接源_01水果!$K1174)&lt;&gt;0)),1,0)</f>
        <v>0</v>
      </c>
      <c r="AG1174" s="3">
        <f t="shared" si="325"/>
        <v>0</v>
      </c>
      <c r="AH1174" s="3">
        <f>IF(AND($N1174=1,AND(对接源_01水果!$D1174="周转筐－销售出库",N(对接源_01水果!$K1174)&lt;&gt;0)),1,0)</f>
        <v>0</v>
      </c>
      <c r="AI1174" s="3">
        <f t="shared" si="326"/>
        <v>0</v>
      </c>
      <c r="AJ1174" s="7"/>
      <c r="AL1174" s="3">
        <f>IF(OR($AL$1="",对接源_01水果!$Y1174="",对接源_01水果!$Y1174&lt;&gt;$AL$1,对接源_01水果!$B1174="",N(对接源_01水果!$AJ1174)&lt;=0),0,IF(OR(N(对接源_01水果!$B1174)&lt;$AL$2,N(对接源_01水果!$B1174)&gt;$AL$3),0,1))</f>
        <v>0</v>
      </c>
      <c r="AM1174" s="3">
        <f t="shared" si="327"/>
        <v>1</v>
      </c>
      <c r="AN1174" s="3" t="str">
        <f>IF(对接源_01水果!$AC1174="","",对接源_01水果!$AC1174)</f>
        <v/>
      </c>
      <c r="AO1174" s="3">
        <f t="shared" si="328"/>
        <v>0</v>
      </c>
      <c r="AP1174" s="3">
        <f t="shared" si="329"/>
        <v>8</v>
      </c>
      <c r="AR1174">
        <f t="shared" si="330"/>
        <v>0</v>
      </c>
      <c r="AS1174">
        <f t="shared" si="331"/>
        <v>0</v>
      </c>
    </row>
    <row r="1175" ht="14.25" customHeight="1" spans="1:45">
      <c r="A1175" s="3" t="str">
        <f>IF(对接源_01水果!$C1175="","",对接源_01水果!$C1175)</f>
        <v/>
      </c>
      <c r="B1175" s="3">
        <f t="shared" si="315"/>
        <v>0</v>
      </c>
      <c r="C1175" s="3">
        <f t="shared" si="316"/>
        <v>18</v>
      </c>
      <c r="K1175" s="3">
        <f>IF(OR($K$1="",对接源_01水果!$C1175="",对接源_01水果!$C1175&lt;&gt;$K$1,对接源_01水果!$B1175=""),0,IF(OR(N(对接源_01水果!$B1175)&lt;$K$2,N(对接源_01水果!$B1175)&gt;$K$3),0,1))</f>
        <v>0</v>
      </c>
      <c r="L1175" s="3">
        <f>IF(OR($L$1="",对接源_01水果!$C1175="",对接源_01水果!$C1175&lt;&gt;$L$1,对接源_01水果!$B1175=""),0,IF(OR(N(对接源_01水果!$B1175)&lt;$L$2,N(对接源_01水果!$B1175)&gt;$L$3),0,1))</f>
        <v>0</v>
      </c>
      <c r="M1175" s="3">
        <f>IF(OR($M$1="",对接源_01水果!$C1175="",对接源_01水果!$C1175&lt;&gt;$M$1,对接源_01水果!$B1175=""),0,IF(OR(N(对接源_01水果!$B1175)&lt;$M$2,N(对接源_01水果!$B1175)&gt;$M$3),0,1))</f>
        <v>0</v>
      </c>
      <c r="N1175" s="3">
        <f>IF(OR($N$1="",对接源_01水果!$C1175="",对接源_01水果!$C1175&lt;&gt;$N$1,对接源_01水果!$B1175=""),0,IF(OR(N(对接源_01水果!$B1175)&lt;$N$2,N(对接源_01水果!$B1175)&gt;$N$3),0,1))</f>
        <v>0</v>
      </c>
      <c r="P1175" s="3">
        <f>IF(AND($K1175=1,AND(对接源_01水果!$X1175="公司筐",N(对接源_01水果!$T1175)&lt;&gt;0)),1,0)</f>
        <v>0</v>
      </c>
      <c r="Q1175" s="3">
        <f t="shared" si="317"/>
        <v>0</v>
      </c>
      <c r="R1175" s="3">
        <f>IF(AND($K1175=1,AND(对接源_01水果!$X1175="公司筐",N(对接源_01水果!$U1175)&lt;&gt;0)),1,0)</f>
        <v>0</v>
      </c>
      <c r="S1175" s="3">
        <f t="shared" si="318"/>
        <v>0</v>
      </c>
      <c r="T1175" s="3">
        <f>IF(AND($K1175=1,AND(对接源_01水果!$X1175="公司筐",N(对接源_01水果!$V1175)&lt;&gt;0)),1,0)</f>
        <v>0</v>
      </c>
      <c r="U1175" s="3">
        <f t="shared" si="319"/>
        <v>19</v>
      </c>
      <c r="V1175" s="3">
        <f>IF(AND($L1175=1,AND(对接源_01水果!$X1175="自备筐",N(对接源_01水果!$V1175)&lt;&gt;0)),1,0)</f>
        <v>0</v>
      </c>
      <c r="W1175" s="3">
        <f t="shared" si="320"/>
        <v>8</v>
      </c>
      <c r="X1175" s="3">
        <f>IF(AND($L1175=1,AND(对接源_01水果!$X1175="自备筐",N(对接源_01水果!$T1175)&lt;&gt;0)),1,0)</f>
        <v>0</v>
      </c>
      <c r="Y1175" s="3">
        <f t="shared" si="321"/>
        <v>0</v>
      </c>
      <c r="Z1175" s="3">
        <f>IF(AND($M1175=1,对接源_01水果!$D1175="原料入库"),1,0)</f>
        <v>0</v>
      </c>
      <c r="AA1175" s="3">
        <f t="shared" si="322"/>
        <v>24</v>
      </c>
      <c r="AB1175" s="3">
        <f>IF(AND($M1175=1,LEFT(对接源_01水果!$D1175,4)="原料出库"),1,0)</f>
        <v>0</v>
      </c>
      <c r="AC1175" s="3">
        <f t="shared" si="323"/>
        <v>0</v>
      </c>
      <c r="AD1175" s="3">
        <f>IF(AND($M1175=1,LEFT(对接源_01水果!$D1175,4)="成品出库"),1,0)</f>
        <v>0</v>
      </c>
      <c r="AE1175" s="3">
        <f t="shared" si="324"/>
        <v>0</v>
      </c>
      <c r="AF1175" s="3">
        <f>IF(AND($N1175=1,AND(LEFT(对接源_01水果!$D1175,4)="包装物料",N(对接源_01水果!$K1175)&lt;&gt;0)),1,0)</f>
        <v>0</v>
      </c>
      <c r="AG1175" s="3">
        <f t="shared" si="325"/>
        <v>0</v>
      </c>
      <c r="AH1175" s="3">
        <f>IF(AND($N1175=1,AND(对接源_01水果!$D1175="周转筐－销售出库",N(对接源_01水果!$K1175)&lt;&gt;0)),1,0)</f>
        <v>0</v>
      </c>
      <c r="AI1175" s="3">
        <f t="shared" si="326"/>
        <v>0</v>
      </c>
      <c r="AJ1175" s="7"/>
      <c r="AL1175" s="3">
        <f>IF(OR($AL$1="",对接源_01水果!$Y1175="",对接源_01水果!$Y1175&lt;&gt;$AL$1,对接源_01水果!$B1175="",N(对接源_01水果!$AJ1175)&lt;=0),0,IF(OR(N(对接源_01水果!$B1175)&lt;$AL$2,N(对接源_01水果!$B1175)&gt;$AL$3),0,1))</f>
        <v>0</v>
      </c>
      <c r="AM1175" s="3">
        <f t="shared" si="327"/>
        <v>1</v>
      </c>
      <c r="AN1175" s="3" t="str">
        <f>IF(对接源_01水果!$AC1175="","",对接源_01水果!$AC1175)</f>
        <v/>
      </c>
      <c r="AO1175" s="3">
        <f t="shared" si="328"/>
        <v>0</v>
      </c>
      <c r="AP1175" s="3">
        <f t="shared" si="329"/>
        <v>8</v>
      </c>
      <c r="AR1175">
        <f t="shared" si="330"/>
        <v>0</v>
      </c>
      <c r="AS1175">
        <f t="shared" si="331"/>
        <v>0</v>
      </c>
    </row>
    <row r="1176" ht="14.25" customHeight="1" spans="1:45">
      <c r="A1176" s="3" t="str">
        <f>IF(对接源_01水果!$C1176="","",对接源_01水果!$C1176)</f>
        <v/>
      </c>
      <c r="B1176" s="3">
        <f t="shared" si="315"/>
        <v>0</v>
      </c>
      <c r="C1176" s="3">
        <f t="shared" si="316"/>
        <v>18</v>
      </c>
      <c r="K1176" s="3">
        <f>IF(OR($K$1="",对接源_01水果!$C1176="",对接源_01水果!$C1176&lt;&gt;$K$1,对接源_01水果!$B1176=""),0,IF(OR(N(对接源_01水果!$B1176)&lt;$K$2,N(对接源_01水果!$B1176)&gt;$K$3),0,1))</f>
        <v>0</v>
      </c>
      <c r="L1176" s="3">
        <f>IF(OR($L$1="",对接源_01水果!$C1176="",对接源_01水果!$C1176&lt;&gt;$L$1,对接源_01水果!$B1176=""),0,IF(OR(N(对接源_01水果!$B1176)&lt;$L$2,N(对接源_01水果!$B1176)&gt;$L$3),0,1))</f>
        <v>0</v>
      </c>
      <c r="M1176" s="3">
        <f>IF(OR($M$1="",对接源_01水果!$C1176="",对接源_01水果!$C1176&lt;&gt;$M$1,对接源_01水果!$B1176=""),0,IF(OR(N(对接源_01水果!$B1176)&lt;$M$2,N(对接源_01水果!$B1176)&gt;$M$3),0,1))</f>
        <v>0</v>
      </c>
      <c r="N1176" s="3">
        <f>IF(OR($N$1="",对接源_01水果!$C1176="",对接源_01水果!$C1176&lt;&gt;$N$1,对接源_01水果!$B1176=""),0,IF(OR(N(对接源_01水果!$B1176)&lt;$N$2,N(对接源_01水果!$B1176)&gt;$N$3),0,1))</f>
        <v>0</v>
      </c>
      <c r="P1176" s="3">
        <f>IF(AND($K1176=1,AND(对接源_01水果!$X1176="公司筐",N(对接源_01水果!$T1176)&lt;&gt;0)),1,0)</f>
        <v>0</v>
      </c>
      <c r="Q1176" s="3">
        <f t="shared" si="317"/>
        <v>0</v>
      </c>
      <c r="R1176" s="3">
        <f>IF(AND($K1176=1,AND(对接源_01水果!$X1176="公司筐",N(对接源_01水果!$U1176)&lt;&gt;0)),1,0)</f>
        <v>0</v>
      </c>
      <c r="S1176" s="3">
        <f t="shared" si="318"/>
        <v>0</v>
      </c>
      <c r="T1176" s="3">
        <f>IF(AND($K1176=1,AND(对接源_01水果!$X1176="公司筐",N(对接源_01水果!$V1176)&lt;&gt;0)),1,0)</f>
        <v>0</v>
      </c>
      <c r="U1176" s="3">
        <f t="shared" si="319"/>
        <v>19</v>
      </c>
      <c r="V1176" s="3">
        <f>IF(AND($L1176=1,AND(对接源_01水果!$X1176="自备筐",N(对接源_01水果!$V1176)&lt;&gt;0)),1,0)</f>
        <v>0</v>
      </c>
      <c r="W1176" s="3">
        <f t="shared" si="320"/>
        <v>8</v>
      </c>
      <c r="X1176" s="3">
        <f>IF(AND($L1176=1,AND(对接源_01水果!$X1176="自备筐",N(对接源_01水果!$T1176)&lt;&gt;0)),1,0)</f>
        <v>0</v>
      </c>
      <c r="Y1176" s="3">
        <f t="shared" si="321"/>
        <v>0</v>
      </c>
      <c r="Z1176" s="3">
        <f>IF(AND($M1176=1,对接源_01水果!$D1176="原料入库"),1,0)</f>
        <v>0</v>
      </c>
      <c r="AA1176" s="3">
        <f t="shared" si="322"/>
        <v>24</v>
      </c>
      <c r="AB1176" s="3">
        <f>IF(AND($M1176=1,LEFT(对接源_01水果!$D1176,4)="原料出库"),1,0)</f>
        <v>0</v>
      </c>
      <c r="AC1176" s="3">
        <f t="shared" si="323"/>
        <v>0</v>
      </c>
      <c r="AD1176" s="3">
        <f>IF(AND($M1176=1,LEFT(对接源_01水果!$D1176,4)="成品出库"),1,0)</f>
        <v>0</v>
      </c>
      <c r="AE1176" s="3">
        <f t="shared" si="324"/>
        <v>0</v>
      </c>
      <c r="AF1176" s="3">
        <f>IF(AND($N1176=1,AND(LEFT(对接源_01水果!$D1176,4)="包装物料",N(对接源_01水果!$K1176)&lt;&gt;0)),1,0)</f>
        <v>0</v>
      </c>
      <c r="AG1176" s="3">
        <f t="shared" si="325"/>
        <v>0</v>
      </c>
      <c r="AH1176" s="3">
        <f>IF(AND($N1176=1,AND(对接源_01水果!$D1176="周转筐－销售出库",N(对接源_01水果!$K1176)&lt;&gt;0)),1,0)</f>
        <v>0</v>
      </c>
      <c r="AI1176" s="3">
        <f t="shared" si="326"/>
        <v>0</v>
      </c>
      <c r="AJ1176" s="7"/>
      <c r="AL1176" s="3">
        <f>IF(OR($AL$1="",对接源_01水果!$Y1176="",对接源_01水果!$Y1176&lt;&gt;$AL$1,对接源_01水果!$B1176="",N(对接源_01水果!$AJ1176)&lt;=0),0,IF(OR(N(对接源_01水果!$B1176)&lt;$AL$2,N(对接源_01水果!$B1176)&gt;$AL$3),0,1))</f>
        <v>0</v>
      </c>
      <c r="AM1176" s="3">
        <f t="shared" si="327"/>
        <v>1</v>
      </c>
      <c r="AN1176" s="3" t="str">
        <f>IF(对接源_01水果!$AC1176="","",对接源_01水果!$AC1176)</f>
        <v/>
      </c>
      <c r="AO1176" s="3">
        <f t="shared" si="328"/>
        <v>0</v>
      </c>
      <c r="AP1176" s="3">
        <f t="shared" si="329"/>
        <v>8</v>
      </c>
      <c r="AR1176">
        <f t="shared" si="330"/>
        <v>0</v>
      </c>
      <c r="AS1176">
        <f t="shared" si="331"/>
        <v>0</v>
      </c>
    </row>
    <row r="1177" ht="14.25" customHeight="1" spans="1:45">
      <c r="A1177" s="3" t="str">
        <f>IF(对接源_01水果!$C1177="","",对接源_01水果!$C1177)</f>
        <v/>
      </c>
      <c r="B1177" s="3">
        <f t="shared" si="315"/>
        <v>0</v>
      </c>
      <c r="C1177" s="3">
        <f t="shared" si="316"/>
        <v>18</v>
      </c>
      <c r="K1177" s="3">
        <f>IF(OR($K$1="",对接源_01水果!$C1177="",对接源_01水果!$C1177&lt;&gt;$K$1,对接源_01水果!$B1177=""),0,IF(OR(N(对接源_01水果!$B1177)&lt;$K$2,N(对接源_01水果!$B1177)&gt;$K$3),0,1))</f>
        <v>0</v>
      </c>
      <c r="L1177" s="3">
        <f>IF(OR($L$1="",对接源_01水果!$C1177="",对接源_01水果!$C1177&lt;&gt;$L$1,对接源_01水果!$B1177=""),0,IF(OR(N(对接源_01水果!$B1177)&lt;$L$2,N(对接源_01水果!$B1177)&gt;$L$3),0,1))</f>
        <v>0</v>
      </c>
      <c r="M1177" s="3">
        <f>IF(OR($M$1="",对接源_01水果!$C1177="",对接源_01水果!$C1177&lt;&gt;$M$1,对接源_01水果!$B1177=""),0,IF(OR(N(对接源_01水果!$B1177)&lt;$M$2,N(对接源_01水果!$B1177)&gt;$M$3),0,1))</f>
        <v>0</v>
      </c>
      <c r="N1177" s="3">
        <f>IF(OR($N$1="",对接源_01水果!$C1177="",对接源_01水果!$C1177&lt;&gt;$N$1,对接源_01水果!$B1177=""),0,IF(OR(N(对接源_01水果!$B1177)&lt;$N$2,N(对接源_01水果!$B1177)&gt;$N$3),0,1))</f>
        <v>0</v>
      </c>
      <c r="P1177" s="3">
        <f>IF(AND($K1177=1,AND(对接源_01水果!$X1177="公司筐",N(对接源_01水果!$T1177)&lt;&gt;0)),1,0)</f>
        <v>0</v>
      </c>
      <c r="Q1177" s="3">
        <f t="shared" si="317"/>
        <v>0</v>
      </c>
      <c r="R1177" s="3">
        <f>IF(AND($K1177=1,AND(对接源_01水果!$X1177="公司筐",N(对接源_01水果!$U1177)&lt;&gt;0)),1,0)</f>
        <v>0</v>
      </c>
      <c r="S1177" s="3">
        <f t="shared" si="318"/>
        <v>0</v>
      </c>
      <c r="T1177" s="3">
        <f>IF(AND($K1177=1,AND(对接源_01水果!$X1177="公司筐",N(对接源_01水果!$V1177)&lt;&gt;0)),1,0)</f>
        <v>0</v>
      </c>
      <c r="U1177" s="3">
        <f t="shared" si="319"/>
        <v>19</v>
      </c>
      <c r="V1177" s="3">
        <f>IF(AND($L1177=1,AND(对接源_01水果!$X1177="自备筐",N(对接源_01水果!$V1177)&lt;&gt;0)),1,0)</f>
        <v>0</v>
      </c>
      <c r="W1177" s="3">
        <f t="shared" si="320"/>
        <v>8</v>
      </c>
      <c r="X1177" s="3">
        <f>IF(AND($L1177=1,AND(对接源_01水果!$X1177="自备筐",N(对接源_01水果!$T1177)&lt;&gt;0)),1,0)</f>
        <v>0</v>
      </c>
      <c r="Y1177" s="3">
        <f t="shared" si="321"/>
        <v>0</v>
      </c>
      <c r="Z1177" s="3">
        <f>IF(AND($M1177=1,对接源_01水果!$D1177="原料入库"),1,0)</f>
        <v>0</v>
      </c>
      <c r="AA1177" s="3">
        <f t="shared" si="322"/>
        <v>24</v>
      </c>
      <c r="AB1177" s="3">
        <f>IF(AND($M1177=1,LEFT(对接源_01水果!$D1177,4)="原料出库"),1,0)</f>
        <v>0</v>
      </c>
      <c r="AC1177" s="3">
        <f t="shared" si="323"/>
        <v>0</v>
      </c>
      <c r="AD1177" s="3">
        <f>IF(AND($M1177=1,LEFT(对接源_01水果!$D1177,4)="成品出库"),1,0)</f>
        <v>0</v>
      </c>
      <c r="AE1177" s="3">
        <f t="shared" si="324"/>
        <v>0</v>
      </c>
      <c r="AF1177" s="3">
        <f>IF(AND($N1177=1,AND(LEFT(对接源_01水果!$D1177,4)="包装物料",N(对接源_01水果!$K1177)&lt;&gt;0)),1,0)</f>
        <v>0</v>
      </c>
      <c r="AG1177" s="3">
        <f t="shared" si="325"/>
        <v>0</v>
      </c>
      <c r="AH1177" s="3">
        <f>IF(AND($N1177=1,AND(对接源_01水果!$D1177="周转筐－销售出库",N(对接源_01水果!$K1177)&lt;&gt;0)),1,0)</f>
        <v>0</v>
      </c>
      <c r="AI1177" s="3">
        <f t="shared" si="326"/>
        <v>0</v>
      </c>
      <c r="AJ1177" s="7"/>
      <c r="AL1177" s="3">
        <f>IF(OR($AL$1="",对接源_01水果!$Y1177="",对接源_01水果!$Y1177&lt;&gt;$AL$1,对接源_01水果!$B1177="",N(对接源_01水果!$AJ1177)&lt;=0),0,IF(OR(N(对接源_01水果!$B1177)&lt;$AL$2,N(对接源_01水果!$B1177)&gt;$AL$3),0,1))</f>
        <v>0</v>
      </c>
      <c r="AM1177" s="3">
        <f t="shared" si="327"/>
        <v>1</v>
      </c>
      <c r="AN1177" s="3" t="str">
        <f>IF(对接源_01水果!$AC1177="","",对接源_01水果!$AC1177)</f>
        <v/>
      </c>
      <c r="AO1177" s="3">
        <f t="shared" si="328"/>
        <v>0</v>
      </c>
      <c r="AP1177" s="3">
        <f t="shared" si="329"/>
        <v>8</v>
      </c>
      <c r="AR1177">
        <f t="shared" si="330"/>
        <v>0</v>
      </c>
      <c r="AS1177">
        <f t="shared" si="331"/>
        <v>0</v>
      </c>
    </row>
    <row r="1178" ht="14.25" customHeight="1" spans="1:45">
      <c r="A1178" s="3" t="str">
        <f>IF(对接源_01水果!$C1178="","",对接源_01水果!$C1178)</f>
        <v/>
      </c>
      <c r="B1178" s="3">
        <f t="shared" si="315"/>
        <v>0</v>
      </c>
      <c r="C1178" s="3">
        <f t="shared" si="316"/>
        <v>18</v>
      </c>
      <c r="K1178" s="3">
        <f>IF(OR($K$1="",对接源_01水果!$C1178="",对接源_01水果!$C1178&lt;&gt;$K$1,对接源_01水果!$B1178=""),0,IF(OR(N(对接源_01水果!$B1178)&lt;$K$2,N(对接源_01水果!$B1178)&gt;$K$3),0,1))</f>
        <v>0</v>
      </c>
      <c r="L1178" s="3">
        <f>IF(OR($L$1="",对接源_01水果!$C1178="",对接源_01水果!$C1178&lt;&gt;$L$1,对接源_01水果!$B1178=""),0,IF(OR(N(对接源_01水果!$B1178)&lt;$L$2,N(对接源_01水果!$B1178)&gt;$L$3),0,1))</f>
        <v>0</v>
      </c>
      <c r="M1178" s="3">
        <f>IF(OR($M$1="",对接源_01水果!$C1178="",对接源_01水果!$C1178&lt;&gt;$M$1,对接源_01水果!$B1178=""),0,IF(OR(N(对接源_01水果!$B1178)&lt;$M$2,N(对接源_01水果!$B1178)&gt;$M$3),0,1))</f>
        <v>0</v>
      </c>
      <c r="N1178" s="3">
        <f>IF(OR($N$1="",对接源_01水果!$C1178="",对接源_01水果!$C1178&lt;&gt;$N$1,对接源_01水果!$B1178=""),0,IF(OR(N(对接源_01水果!$B1178)&lt;$N$2,N(对接源_01水果!$B1178)&gt;$N$3),0,1))</f>
        <v>0</v>
      </c>
      <c r="P1178" s="3">
        <f>IF(AND($K1178=1,AND(对接源_01水果!$X1178="公司筐",N(对接源_01水果!$T1178)&lt;&gt;0)),1,0)</f>
        <v>0</v>
      </c>
      <c r="Q1178" s="3">
        <f t="shared" si="317"/>
        <v>0</v>
      </c>
      <c r="R1178" s="3">
        <f>IF(AND($K1178=1,AND(对接源_01水果!$X1178="公司筐",N(对接源_01水果!$U1178)&lt;&gt;0)),1,0)</f>
        <v>0</v>
      </c>
      <c r="S1178" s="3">
        <f t="shared" si="318"/>
        <v>0</v>
      </c>
      <c r="T1178" s="3">
        <f>IF(AND($K1178=1,AND(对接源_01水果!$X1178="公司筐",N(对接源_01水果!$V1178)&lt;&gt;0)),1,0)</f>
        <v>0</v>
      </c>
      <c r="U1178" s="3">
        <f t="shared" si="319"/>
        <v>19</v>
      </c>
      <c r="V1178" s="3">
        <f>IF(AND($L1178=1,AND(对接源_01水果!$X1178="自备筐",N(对接源_01水果!$V1178)&lt;&gt;0)),1,0)</f>
        <v>0</v>
      </c>
      <c r="W1178" s="3">
        <f t="shared" si="320"/>
        <v>8</v>
      </c>
      <c r="X1178" s="3">
        <f>IF(AND($L1178=1,AND(对接源_01水果!$X1178="自备筐",N(对接源_01水果!$T1178)&lt;&gt;0)),1,0)</f>
        <v>0</v>
      </c>
      <c r="Y1178" s="3">
        <f t="shared" si="321"/>
        <v>0</v>
      </c>
      <c r="Z1178" s="3">
        <f>IF(AND($M1178=1,对接源_01水果!$D1178="原料入库"),1,0)</f>
        <v>0</v>
      </c>
      <c r="AA1178" s="3">
        <f t="shared" si="322"/>
        <v>24</v>
      </c>
      <c r="AB1178" s="3">
        <f>IF(AND($M1178=1,LEFT(对接源_01水果!$D1178,4)="原料出库"),1,0)</f>
        <v>0</v>
      </c>
      <c r="AC1178" s="3">
        <f t="shared" si="323"/>
        <v>0</v>
      </c>
      <c r="AD1178" s="3">
        <f>IF(AND($M1178=1,LEFT(对接源_01水果!$D1178,4)="成品出库"),1,0)</f>
        <v>0</v>
      </c>
      <c r="AE1178" s="3">
        <f t="shared" si="324"/>
        <v>0</v>
      </c>
      <c r="AF1178" s="3">
        <f>IF(AND($N1178=1,AND(LEFT(对接源_01水果!$D1178,4)="包装物料",N(对接源_01水果!$K1178)&lt;&gt;0)),1,0)</f>
        <v>0</v>
      </c>
      <c r="AG1178" s="3">
        <f t="shared" si="325"/>
        <v>0</v>
      </c>
      <c r="AH1178" s="3">
        <f>IF(AND($N1178=1,AND(对接源_01水果!$D1178="周转筐－销售出库",N(对接源_01水果!$K1178)&lt;&gt;0)),1,0)</f>
        <v>0</v>
      </c>
      <c r="AI1178" s="3">
        <f t="shared" si="326"/>
        <v>0</v>
      </c>
      <c r="AJ1178" s="7"/>
      <c r="AL1178" s="3">
        <f>IF(OR($AL$1="",对接源_01水果!$Y1178="",对接源_01水果!$Y1178&lt;&gt;$AL$1,对接源_01水果!$B1178="",N(对接源_01水果!$AJ1178)&lt;=0),0,IF(OR(N(对接源_01水果!$B1178)&lt;$AL$2,N(对接源_01水果!$B1178)&gt;$AL$3),0,1))</f>
        <v>0</v>
      </c>
      <c r="AM1178" s="3">
        <f t="shared" si="327"/>
        <v>1</v>
      </c>
      <c r="AN1178" s="3" t="str">
        <f>IF(对接源_01水果!$AC1178="","",对接源_01水果!$AC1178)</f>
        <v/>
      </c>
      <c r="AO1178" s="3">
        <f t="shared" si="328"/>
        <v>0</v>
      </c>
      <c r="AP1178" s="3">
        <f t="shared" si="329"/>
        <v>8</v>
      </c>
      <c r="AR1178">
        <f t="shared" si="330"/>
        <v>0</v>
      </c>
      <c r="AS1178">
        <f t="shared" si="331"/>
        <v>0</v>
      </c>
    </row>
    <row r="1179" ht="14.25" customHeight="1" spans="1:45">
      <c r="A1179" s="3" t="str">
        <f>IF(对接源_01水果!$C1179="","",对接源_01水果!$C1179)</f>
        <v/>
      </c>
      <c r="B1179" s="3">
        <f t="shared" si="315"/>
        <v>0</v>
      </c>
      <c r="C1179" s="3">
        <f t="shared" si="316"/>
        <v>18</v>
      </c>
      <c r="K1179" s="3">
        <f>IF(OR($K$1="",对接源_01水果!$C1179="",对接源_01水果!$C1179&lt;&gt;$K$1,对接源_01水果!$B1179=""),0,IF(OR(N(对接源_01水果!$B1179)&lt;$K$2,N(对接源_01水果!$B1179)&gt;$K$3),0,1))</f>
        <v>0</v>
      </c>
      <c r="L1179" s="3">
        <f>IF(OR($L$1="",对接源_01水果!$C1179="",对接源_01水果!$C1179&lt;&gt;$L$1,对接源_01水果!$B1179=""),0,IF(OR(N(对接源_01水果!$B1179)&lt;$L$2,N(对接源_01水果!$B1179)&gt;$L$3),0,1))</f>
        <v>0</v>
      </c>
      <c r="M1179" s="3">
        <f>IF(OR($M$1="",对接源_01水果!$C1179="",对接源_01水果!$C1179&lt;&gt;$M$1,对接源_01水果!$B1179=""),0,IF(OR(N(对接源_01水果!$B1179)&lt;$M$2,N(对接源_01水果!$B1179)&gt;$M$3),0,1))</f>
        <v>0</v>
      </c>
      <c r="N1179" s="3">
        <f>IF(OR($N$1="",对接源_01水果!$C1179="",对接源_01水果!$C1179&lt;&gt;$N$1,对接源_01水果!$B1179=""),0,IF(OR(N(对接源_01水果!$B1179)&lt;$N$2,N(对接源_01水果!$B1179)&gt;$N$3),0,1))</f>
        <v>0</v>
      </c>
      <c r="P1179" s="3">
        <f>IF(AND($K1179=1,AND(对接源_01水果!$X1179="公司筐",N(对接源_01水果!$T1179)&lt;&gt;0)),1,0)</f>
        <v>0</v>
      </c>
      <c r="Q1179" s="3">
        <f t="shared" si="317"/>
        <v>0</v>
      </c>
      <c r="R1179" s="3">
        <f>IF(AND($K1179=1,AND(对接源_01水果!$X1179="公司筐",N(对接源_01水果!$U1179)&lt;&gt;0)),1,0)</f>
        <v>0</v>
      </c>
      <c r="S1179" s="3">
        <f t="shared" si="318"/>
        <v>0</v>
      </c>
      <c r="T1179" s="3">
        <f>IF(AND($K1179=1,AND(对接源_01水果!$X1179="公司筐",N(对接源_01水果!$V1179)&lt;&gt;0)),1,0)</f>
        <v>0</v>
      </c>
      <c r="U1179" s="3">
        <f t="shared" si="319"/>
        <v>19</v>
      </c>
      <c r="V1179" s="3">
        <f>IF(AND($L1179=1,AND(对接源_01水果!$X1179="自备筐",N(对接源_01水果!$V1179)&lt;&gt;0)),1,0)</f>
        <v>0</v>
      </c>
      <c r="W1179" s="3">
        <f t="shared" si="320"/>
        <v>8</v>
      </c>
      <c r="X1179" s="3">
        <f>IF(AND($L1179=1,AND(对接源_01水果!$X1179="自备筐",N(对接源_01水果!$T1179)&lt;&gt;0)),1,0)</f>
        <v>0</v>
      </c>
      <c r="Y1179" s="3">
        <f t="shared" si="321"/>
        <v>0</v>
      </c>
      <c r="Z1179" s="3">
        <f>IF(AND($M1179=1,对接源_01水果!$D1179="原料入库"),1,0)</f>
        <v>0</v>
      </c>
      <c r="AA1179" s="3">
        <f t="shared" si="322"/>
        <v>24</v>
      </c>
      <c r="AB1179" s="3">
        <f>IF(AND($M1179=1,LEFT(对接源_01水果!$D1179,4)="原料出库"),1,0)</f>
        <v>0</v>
      </c>
      <c r="AC1179" s="3">
        <f t="shared" si="323"/>
        <v>0</v>
      </c>
      <c r="AD1179" s="3">
        <f>IF(AND($M1179=1,LEFT(对接源_01水果!$D1179,4)="成品出库"),1,0)</f>
        <v>0</v>
      </c>
      <c r="AE1179" s="3">
        <f t="shared" si="324"/>
        <v>0</v>
      </c>
      <c r="AF1179" s="3">
        <f>IF(AND($N1179=1,AND(LEFT(对接源_01水果!$D1179,4)="包装物料",N(对接源_01水果!$K1179)&lt;&gt;0)),1,0)</f>
        <v>0</v>
      </c>
      <c r="AG1179" s="3">
        <f t="shared" si="325"/>
        <v>0</v>
      </c>
      <c r="AH1179" s="3">
        <f>IF(AND($N1179=1,AND(对接源_01水果!$D1179="周转筐－销售出库",N(对接源_01水果!$K1179)&lt;&gt;0)),1,0)</f>
        <v>0</v>
      </c>
      <c r="AI1179" s="3">
        <f t="shared" si="326"/>
        <v>0</v>
      </c>
      <c r="AJ1179" s="7"/>
      <c r="AL1179" s="3">
        <f>IF(OR($AL$1="",对接源_01水果!$Y1179="",对接源_01水果!$Y1179&lt;&gt;$AL$1,对接源_01水果!$B1179="",N(对接源_01水果!$AJ1179)&lt;=0),0,IF(OR(N(对接源_01水果!$B1179)&lt;$AL$2,N(对接源_01水果!$B1179)&gt;$AL$3),0,1))</f>
        <v>0</v>
      </c>
      <c r="AM1179" s="3">
        <f t="shared" si="327"/>
        <v>1</v>
      </c>
      <c r="AN1179" s="3" t="str">
        <f>IF(对接源_01水果!$AC1179="","",对接源_01水果!$AC1179)</f>
        <v/>
      </c>
      <c r="AO1179" s="3">
        <f t="shared" si="328"/>
        <v>0</v>
      </c>
      <c r="AP1179" s="3">
        <f t="shared" si="329"/>
        <v>8</v>
      </c>
      <c r="AR1179">
        <f t="shared" si="330"/>
        <v>0</v>
      </c>
      <c r="AS1179">
        <f t="shared" si="331"/>
        <v>0</v>
      </c>
    </row>
    <row r="1180" ht="14.25" customHeight="1" spans="1:45">
      <c r="A1180" s="3" t="str">
        <f>IF(对接源_01水果!$C1180="","",对接源_01水果!$C1180)</f>
        <v/>
      </c>
      <c r="B1180" s="3">
        <f t="shared" si="315"/>
        <v>0</v>
      </c>
      <c r="C1180" s="3">
        <f t="shared" si="316"/>
        <v>18</v>
      </c>
      <c r="K1180" s="3">
        <f>IF(OR($K$1="",对接源_01水果!$C1180="",对接源_01水果!$C1180&lt;&gt;$K$1,对接源_01水果!$B1180=""),0,IF(OR(N(对接源_01水果!$B1180)&lt;$K$2,N(对接源_01水果!$B1180)&gt;$K$3),0,1))</f>
        <v>0</v>
      </c>
      <c r="L1180" s="3">
        <f>IF(OR($L$1="",对接源_01水果!$C1180="",对接源_01水果!$C1180&lt;&gt;$L$1,对接源_01水果!$B1180=""),0,IF(OR(N(对接源_01水果!$B1180)&lt;$L$2,N(对接源_01水果!$B1180)&gt;$L$3),0,1))</f>
        <v>0</v>
      </c>
      <c r="M1180" s="3">
        <f>IF(OR($M$1="",对接源_01水果!$C1180="",对接源_01水果!$C1180&lt;&gt;$M$1,对接源_01水果!$B1180=""),0,IF(OR(N(对接源_01水果!$B1180)&lt;$M$2,N(对接源_01水果!$B1180)&gt;$M$3),0,1))</f>
        <v>0</v>
      </c>
      <c r="N1180" s="3">
        <f>IF(OR($N$1="",对接源_01水果!$C1180="",对接源_01水果!$C1180&lt;&gt;$N$1,对接源_01水果!$B1180=""),0,IF(OR(N(对接源_01水果!$B1180)&lt;$N$2,N(对接源_01水果!$B1180)&gt;$N$3),0,1))</f>
        <v>0</v>
      </c>
      <c r="P1180" s="3">
        <f>IF(AND($K1180=1,AND(对接源_01水果!$X1180="公司筐",N(对接源_01水果!$T1180)&lt;&gt;0)),1,0)</f>
        <v>0</v>
      </c>
      <c r="Q1180" s="3">
        <f t="shared" si="317"/>
        <v>0</v>
      </c>
      <c r="R1180" s="3">
        <f>IF(AND($K1180=1,AND(对接源_01水果!$X1180="公司筐",N(对接源_01水果!$U1180)&lt;&gt;0)),1,0)</f>
        <v>0</v>
      </c>
      <c r="S1180" s="3">
        <f t="shared" si="318"/>
        <v>0</v>
      </c>
      <c r="T1180" s="3">
        <f>IF(AND($K1180=1,AND(对接源_01水果!$X1180="公司筐",N(对接源_01水果!$V1180)&lt;&gt;0)),1,0)</f>
        <v>0</v>
      </c>
      <c r="U1180" s="3">
        <f t="shared" si="319"/>
        <v>19</v>
      </c>
      <c r="V1180" s="3">
        <f>IF(AND($L1180=1,AND(对接源_01水果!$X1180="自备筐",N(对接源_01水果!$V1180)&lt;&gt;0)),1,0)</f>
        <v>0</v>
      </c>
      <c r="W1180" s="3">
        <f t="shared" si="320"/>
        <v>8</v>
      </c>
      <c r="X1180" s="3">
        <f>IF(AND($L1180=1,AND(对接源_01水果!$X1180="自备筐",N(对接源_01水果!$T1180)&lt;&gt;0)),1,0)</f>
        <v>0</v>
      </c>
      <c r="Y1180" s="3">
        <f t="shared" si="321"/>
        <v>0</v>
      </c>
      <c r="Z1180" s="3">
        <f>IF(AND($M1180=1,对接源_01水果!$D1180="原料入库"),1,0)</f>
        <v>0</v>
      </c>
      <c r="AA1180" s="3">
        <f t="shared" si="322"/>
        <v>24</v>
      </c>
      <c r="AB1180" s="3">
        <f>IF(AND($M1180=1,LEFT(对接源_01水果!$D1180,4)="原料出库"),1,0)</f>
        <v>0</v>
      </c>
      <c r="AC1180" s="3">
        <f t="shared" si="323"/>
        <v>0</v>
      </c>
      <c r="AD1180" s="3">
        <f>IF(AND($M1180=1,LEFT(对接源_01水果!$D1180,4)="成品出库"),1,0)</f>
        <v>0</v>
      </c>
      <c r="AE1180" s="3">
        <f t="shared" si="324"/>
        <v>0</v>
      </c>
      <c r="AF1180" s="3">
        <f>IF(AND($N1180=1,AND(LEFT(对接源_01水果!$D1180,4)="包装物料",N(对接源_01水果!$K1180)&lt;&gt;0)),1,0)</f>
        <v>0</v>
      </c>
      <c r="AG1180" s="3">
        <f t="shared" si="325"/>
        <v>0</v>
      </c>
      <c r="AH1180" s="3">
        <f>IF(AND($N1180=1,AND(对接源_01水果!$D1180="周转筐－销售出库",N(对接源_01水果!$K1180)&lt;&gt;0)),1,0)</f>
        <v>0</v>
      </c>
      <c r="AI1180" s="3">
        <f t="shared" si="326"/>
        <v>0</v>
      </c>
      <c r="AJ1180" s="7"/>
      <c r="AL1180" s="3">
        <f>IF(OR($AL$1="",对接源_01水果!$Y1180="",对接源_01水果!$Y1180&lt;&gt;$AL$1,对接源_01水果!$B1180="",N(对接源_01水果!$AJ1180)&lt;=0),0,IF(OR(N(对接源_01水果!$B1180)&lt;$AL$2,N(对接源_01水果!$B1180)&gt;$AL$3),0,1))</f>
        <v>0</v>
      </c>
      <c r="AM1180" s="3">
        <f t="shared" si="327"/>
        <v>1</v>
      </c>
      <c r="AN1180" s="3" t="str">
        <f>IF(对接源_01水果!$AC1180="","",对接源_01水果!$AC1180)</f>
        <v/>
      </c>
      <c r="AO1180" s="3">
        <f t="shared" si="328"/>
        <v>0</v>
      </c>
      <c r="AP1180" s="3">
        <f t="shared" si="329"/>
        <v>8</v>
      </c>
      <c r="AR1180">
        <f t="shared" si="330"/>
        <v>0</v>
      </c>
      <c r="AS1180">
        <f t="shared" si="331"/>
        <v>0</v>
      </c>
    </row>
    <row r="1181" ht="14.25" customHeight="1" spans="1:45">
      <c r="A1181" s="3" t="str">
        <f>IF(对接源_01水果!$C1181="","",对接源_01水果!$C1181)</f>
        <v/>
      </c>
      <c r="B1181" s="3">
        <f t="shared" si="315"/>
        <v>0</v>
      </c>
      <c r="C1181" s="3">
        <f t="shared" si="316"/>
        <v>18</v>
      </c>
      <c r="K1181" s="3">
        <f>IF(OR($K$1="",对接源_01水果!$C1181="",对接源_01水果!$C1181&lt;&gt;$K$1,对接源_01水果!$B1181=""),0,IF(OR(N(对接源_01水果!$B1181)&lt;$K$2,N(对接源_01水果!$B1181)&gt;$K$3),0,1))</f>
        <v>0</v>
      </c>
      <c r="L1181" s="3">
        <f>IF(OR($L$1="",对接源_01水果!$C1181="",对接源_01水果!$C1181&lt;&gt;$L$1,对接源_01水果!$B1181=""),0,IF(OR(N(对接源_01水果!$B1181)&lt;$L$2,N(对接源_01水果!$B1181)&gt;$L$3),0,1))</f>
        <v>0</v>
      </c>
      <c r="M1181" s="3">
        <f>IF(OR($M$1="",对接源_01水果!$C1181="",对接源_01水果!$C1181&lt;&gt;$M$1,对接源_01水果!$B1181=""),0,IF(OR(N(对接源_01水果!$B1181)&lt;$M$2,N(对接源_01水果!$B1181)&gt;$M$3),0,1))</f>
        <v>0</v>
      </c>
      <c r="N1181" s="3">
        <f>IF(OR($N$1="",对接源_01水果!$C1181="",对接源_01水果!$C1181&lt;&gt;$N$1,对接源_01水果!$B1181=""),0,IF(OR(N(对接源_01水果!$B1181)&lt;$N$2,N(对接源_01水果!$B1181)&gt;$N$3),0,1))</f>
        <v>0</v>
      </c>
      <c r="P1181" s="3">
        <f>IF(AND($K1181=1,AND(对接源_01水果!$X1181="公司筐",N(对接源_01水果!$T1181)&lt;&gt;0)),1,0)</f>
        <v>0</v>
      </c>
      <c r="Q1181" s="3">
        <f t="shared" si="317"/>
        <v>0</v>
      </c>
      <c r="R1181" s="3">
        <f>IF(AND($K1181=1,AND(对接源_01水果!$X1181="公司筐",N(对接源_01水果!$U1181)&lt;&gt;0)),1,0)</f>
        <v>0</v>
      </c>
      <c r="S1181" s="3">
        <f t="shared" si="318"/>
        <v>0</v>
      </c>
      <c r="T1181" s="3">
        <f>IF(AND($K1181=1,AND(对接源_01水果!$X1181="公司筐",N(对接源_01水果!$V1181)&lt;&gt;0)),1,0)</f>
        <v>0</v>
      </c>
      <c r="U1181" s="3">
        <f t="shared" si="319"/>
        <v>19</v>
      </c>
      <c r="V1181" s="3">
        <f>IF(AND($L1181=1,AND(对接源_01水果!$X1181="自备筐",N(对接源_01水果!$V1181)&lt;&gt;0)),1,0)</f>
        <v>0</v>
      </c>
      <c r="W1181" s="3">
        <f t="shared" si="320"/>
        <v>8</v>
      </c>
      <c r="X1181" s="3">
        <f>IF(AND($L1181=1,AND(对接源_01水果!$X1181="自备筐",N(对接源_01水果!$T1181)&lt;&gt;0)),1,0)</f>
        <v>0</v>
      </c>
      <c r="Y1181" s="3">
        <f t="shared" si="321"/>
        <v>0</v>
      </c>
      <c r="Z1181" s="3">
        <f>IF(AND($M1181=1,对接源_01水果!$D1181="原料入库"),1,0)</f>
        <v>0</v>
      </c>
      <c r="AA1181" s="3">
        <f t="shared" si="322"/>
        <v>24</v>
      </c>
      <c r="AB1181" s="3">
        <f>IF(AND($M1181=1,LEFT(对接源_01水果!$D1181,4)="原料出库"),1,0)</f>
        <v>0</v>
      </c>
      <c r="AC1181" s="3">
        <f t="shared" si="323"/>
        <v>0</v>
      </c>
      <c r="AD1181" s="3">
        <f>IF(AND($M1181=1,LEFT(对接源_01水果!$D1181,4)="成品出库"),1,0)</f>
        <v>0</v>
      </c>
      <c r="AE1181" s="3">
        <f t="shared" si="324"/>
        <v>0</v>
      </c>
      <c r="AF1181" s="3">
        <f>IF(AND($N1181=1,AND(LEFT(对接源_01水果!$D1181,4)="包装物料",N(对接源_01水果!$K1181)&lt;&gt;0)),1,0)</f>
        <v>0</v>
      </c>
      <c r="AG1181" s="3">
        <f t="shared" si="325"/>
        <v>0</v>
      </c>
      <c r="AH1181" s="3">
        <f>IF(AND($N1181=1,AND(对接源_01水果!$D1181="周转筐－销售出库",N(对接源_01水果!$K1181)&lt;&gt;0)),1,0)</f>
        <v>0</v>
      </c>
      <c r="AI1181" s="3">
        <f t="shared" si="326"/>
        <v>0</v>
      </c>
      <c r="AJ1181" s="7"/>
      <c r="AL1181" s="3">
        <f>IF(OR($AL$1="",对接源_01水果!$Y1181="",对接源_01水果!$Y1181&lt;&gt;$AL$1,对接源_01水果!$B1181="",N(对接源_01水果!$AJ1181)&lt;=0),0,IF(OR(N(对接源_01水果!$B1181)&lt;$AL$2,N(对接源_01水果!$B1181)&gt;$AL$3),0,1))</f>
        <v>0</v>
      </c>
      <c r="AM1181" s="3">
        <f t="shared" si="327"/>
        <v>1</v>
      </c>
      <c r="AN1181" s="3" t="str">
        <f>IF(对接源_01水果!$AC1181="","",对接源_01水果!$AC1181)</f>
        <v/>
      </c>
      <c r="AO1181" s="3">
        <f t="shared" si="328"/>
        <v>0</v>
      </c>
      <c r="AP1181" s="3">
        <f t="shared" si="329"/>
        <v>8</v>
      </c>
      <c r="AR1181">
        <f t="shared" si="330"/>
        <v>0</v>
      </c>
      <c r="AS1181">
        <f t="shared" si="331"/>
        <v>0</v>
      </c>
    </row>
    <row r="1182" ht="14.25" customHeight="1" spans="1:45">
      <c r="A1182" s="3" t="str">
        <f>IF(对接源_01水果!$C1182="","",对接源_01水果!$C1182)</f>
        <v/>
      </c>
      <c r="B1182" s="3">
        <f t="shared" si="315"/>
        <v>0</v>
      </c>
      <c r="C1182" s="3">
        <f t="shared" si="316"/>
        <v>18</v>
      </c>
      <c r="K1182" s="3">
        <f>IF(OR($K$1="",对接源_01水果!$C1182="",对接源_01水果!$C1182&lt;&gt;$K$1,对接源_01水果!$B1182=""),0,IF(OR(N(对接源_01水果!$B1182)&lt;$K$2,N(对接源_01水果!$B1182)&gt;$K$3),0,1))</f>
        <v>0</v>
      </c>
      <c r="L1182" s="3">
        <f>IF(OR($L$1="",对接源_01水果!$C1182="",对接源_01水果!$C1182&lt;&gt;$L$1,对接源_01水果!$B1182=""),0,IF(OR(N(对接源_01水果!$B1182)&lt;$L$2,N(对接源_01水果!$B1182)&gt;$L$3),0,1))</f>
        <v>0</v>
      </c>
      <c r="M1182" s="3">
        <f>IF(OR($M$1="",对接源_01水果!$C1182="",对接源_01水果!$C1182&lt;&gt;$M$1,对接源_01水果!$B1182=""),0,IF(OR(N(对接源_01水果!$B1182)&lt;$M$2,N(对接源_01水果!$B1182)&gt;$M$3),0,1))</f>
        <v>0</v>
      </c>
      <c r="N1182" s="3">
        <f>IF(OR($N$1="",对接源_01水果!$C1182="",对接源_01水果!$C1182&lt;&gt;$N$1,对接源_01水果!$B1182=""),0,IF(OR(N(对接源_01水果!$B1182)&lt;$N$2,N(对接源_01水果!$B1182)&gt;$N$3),0,1))</f>
        <v>0</v>
      </c>
      <c r="P1182" s="3">
        <f>IF(AND($K1182=1,AND(对接源_01水果!$X1182="公司筐",N(对接源_01水果!$T1182)&lt;&gt;0)),1,0)</f>
        <v>0</v>
      </c>
      <c r="Q1182" s="3">
        <f t="shared" si="317"/>
        <v>0</v>
      </c>
      <c r="R1182" s="3">
        <f>IF(AND($K1182=1,AND(对接源_01水果!$X1182="公司筐",N(对接源_01水果!$U1182)&lt;&gt;0)),1,0)</f>
        <v>0</v>
      </c>
      <c r="S1182" s="3">
        <f t="shared" si="318"/>
        <v>0</v>
      </c>
      <c r="T1182" s="3">
        <f>IF(AND($K1182=1,AND(对接源_01水果!$X1182="公司筐",N(对接源_01水果!$V1182)&lt;&gt;0)),1,0)</f>
        <v>0</v>
      </c>
      <c r="U1182" s="3">
        <f t="shared" si="319"/>
        <v>19</v>
      </c>
      <c r="V1182" s="3">
        <f>IF(AND($L1182=1,AND(对接源_01水果!$X1182="自备筐",N(对接源_01水果!$V1182)&lt;&gt;0)),1,0)</f>
        <v>0</v>
      </c>
      <c r="W1182" s="3">
        <f t="shared" si="320"/>
        <v>8</v>
      </c>
      <c r="X1182" s="3">
        <f>IF(AND($L1182=1,AND(对接源_01水果!$X1182="自备筐",N(对接源_01水果!$T1182)&lt;&gt;0)),1,0)</f>
        <v>0</v>
      </c>
      <c r="Y1182" s="3">
        <f t="shared" si="321"/>
        <v>0</v>
      </c>
      <c r="Z1182" s="3">
        <f>IF(AND($M1182=1,对接源_01水果!$D1182="原料入库"),1,0)</f>
        <v>0</v>
      </c>
      <c r="AA1182" s="3">
        <f t="shared" si="322"/>
        <v>24</v>
      </c>
      <c r="AB1182" s="3">
        <f>IF(AND($M1182=1,LEFT(对接源_01水果!$D1182,4)="原料出库"),1,0)</f>
        <v>0</v>
      </c>
      <c r="AC1182" s="3">
        <f t="shared" si="323"/>
        <v>0</v>
      </c>
      <c r="AD1182" s="3">
        <f>IF(AND($M1182=1,LEFT(对接源_01水果!$D1182,4)="成品出库"),1,0)</f>
        <v>0</v>
      </c>
      <c r="AE1182" s="3">
        <f t="shared" si="324"/>
        <v>0</v>
      </c>
      <c r="AF1182" s="3">
        <f>IF(AND($N1182=1,AND(LEFT(对接源_01水果!$D1182,4)="包装物料",N(对接源_01水果!$K1182)&lt;&gt;0)),1,0)</f>
        <v>0</v>
      </c>
      <c r="AG1182" s="3">
        <f t="shared" si="325"/>
        <v>0</v>
      </c>
      <c r="AH1182" s="3">
        <f>IF(AND($N1182=1,AND(对接源_01水果!$D1182="周转筐－销售出库",N(对接源_01水果!$K1182)&lt;&gt;0)),1,0)</f>
        <v>0</v>
      </c>
      <c r="AI1182" s="3">
        <f t="shared" si="326"/>
        <v>0</v>
      </c>
      <c r="AJ1182" s="7"/>
      <c r="AL1182" s="3">
        <f>IF(OR($AL$1="",对接源_01水果!$Y1182="",对接源_01水果!$Y1182&lt;&gt;$AL$1,对接源_01水果!$B1182="",N(对接源_01水果!$AJ1182)&lt;=0),0,IF(OR(N(对接源_01水果!$B1182)&lt;$AL$2,N(对接源_01水果!$B1182)&gt;$AL$3),0,1))</f>
        <v>0</v>
      </c>
      <c r="AM1182" s="3">
        <f t="shared" si="327"/>
        <v>1</v>
      </c>
      <c r="AN1182" s="3" t="str">
        <f>IF(对接源_01水果!$AC1182="","",对接源_01水果!$AC1182)</f>
        <v/>
      </c>
      <c r="AO1182" s="3">
        <f t="shared" si="328"/>
        <v>0</v>
      </c>
      <c r="AP1182" s="3">
        <f t="shared" si="329"/>
        <v>8</v>
      </c>
      <c r="AR1182">
        <f t="shared" si="330"/>
        <v>0</v>
      </c>
      <c r="AS1182">
        <f t="shared" si="331"/>
        <v>0</v>
      </c>
    </row>
    <row r="1183" ht="14.25" customHeight="1" spans="1:45">
      <c r="A1183" s="3" t="str">
        <f>IF(对接源_01水果!$C1183="","",对接源_01水果!$C1183)</f>
        <v/>
      </c>
      <c r="B1183" s="3">
        <f t="shared" si="315"/>
        <v>0</v>
      </c>
      <c r="C1183" s="3">
        <f t="shared" si="316"/>
        <v>18</v>
      </c>
      <c r="K1183" s="3">
        <f>IF(OR($K$1="",对接源_01水果!$C1183="",对接源_01水果!$C1183&lt;&gt;$K$1,对接源_01水果!$B1183=""),0,IF(OR(N(对接源_01水果!$B1183)&lt;$K$2,N(对接源_01水果!$B1183)&gt;$K$3),0,1))</f>
        <v>0</v>
      </c>
      <c r="L1183" s="3">
        <f>IF(OR($L$1="",对接源_01水果!$C1183="",对接源_01水果!$C1183&lt;&gt;$L$1,对接源_01水果!$B1183=""),0,IF(OR(N(对接源_01水果!$B1183)&lt;$L$2,N(对接源_01水果!$B1183)&gt;$L$3),0,1))</f>
        <v>0</v>
      </c>
      <c r="M1183" s="3">
        <f>IF(OR($M$1="",对接源_01水果!$C1183="",对接源_01水果!$C1183&lt;&gt;$M$1,对接源_01水果!$B1183=""),0,IF(OR(N(对接源_01水果!$B1183)&lt;$M$2,N(对接源_01水果!$B1183)&gt;$M$3),0,1))</f>
        <v>0</v>
      </c>
      <c r="N1183" s="3">
        <f>IF(OR($N$1="",对接源_01水果!$C1183="",对接源_01水果!$C1183&lt;&gt;$N$1,对接源_01水果!$B1183=""),0,IF(OR(N(对接源_01水果!$B1183)&lt;$N$2,N(对接源_01水果!$B1183)&gt;$N$3),0,1))</f>
        <v>0</v>
      </c>
      <c r="P1183" s="3">
        <f>IF(AND($K1183=1,AND(对接源_01水果!$X1183="公司筐",N(对接源_01水果!$T1183)&lt;&gt;0)),1,0)</f>
        <v>0</v>
      </c>
      <c r="Q1183" s="3">
        <f t="shared" si="317"/>
        <v>0</v>
      </c>
      <c r="R1183" s="3">
        <f>IF(AND($K1183=1,AND(对接源_01水果!$X1183="公司筐",N(对接源_01水果!$U1183)&lt;&gt;0)),1,0)</f>
        <v>0</v>
      </c>
      <c r="S1183" s="3">
        <f t="shared" si="318"/>
        <v>0</v>
      </c>
      <c r="T1183" s="3">
        <f>IF(AND($K1183=1,AND(对接源_01水果!$X1183="公司筐",N(对接源_01水果!$V1183)&lt;&gt;0)),1,0)</f>
        <v>0</v>
      </c>
      <c r="U1183" s="3">
        <f t="shared" si="319"/>
        <v>19</v>
      </c>
      <c r="V1183" s="3">
        <f>IF(AND($L1183=1,AND(对接源_01水果!$X1183="自备筐",N(对接源_01水果!$V1183)&lt;&gt;0)),1,0)</f>
        <v>0</v>
      </c>
      <c r="W1183" s="3">
        <f t="shared" si="320"/>
        <v>8</v>
      </c>
      <c r="X1183" s="3">
        <f>IF(AND($L1183=1,AND(对接源_01水果!$X1183="自备筐",N(对接源_01水果!$T1183)&lt;&gt;0)),1,0)</f>
        <v>0</v>
      </c>
      <c r="Y1183" s="3">
        <f t="shared" si="321"/>
        <v>0</v>
      </c>
      <c r="Z1183" s="3">
        <f>IF(AND($M1183=1,对接源_01水果!$D1183="原料入库"),1,0)</f>
        <v>0</v>
      </c>
      <c r="AA1183" s="3">
        <f t="shared" si="322"/>
        <v>24</v>
      </c>
      <c r="AB1183" s="3">
        <f>IF(AND($M1183=1,LEFT(对接源_01水果!$D1183,4)="原料出库"),1,0)</f>
        <v>0</v>
      </c>
      <c r="AC1183" s="3">
        <f t="shared" si="323"/>
        <v>0</v>
      </c>
      <c r="AD1183" s="3">
        <f>IF(AND($M1183=1,LEFT(对接源_01水果!$D1183,4)="成品出库"),1,0)</f>
        <v>0</v>
      </c>
      <c r="AE1183" s="3">
        <f t="shared" si="324"/>
        <v>0</v>
      </c>
      <c r="AF1183" s="3">
        <f>IF(AND($N1183=1,AND(LEFT(对接源_01水果!$D1183,4)="包装物料",N(对接源_01水果!$K1183)&lt;&gt;0)),1,0)</f>
        <v>0</v>
      </c>
      <c r="AG1183" s="3">
        <f t="shared" si="325"/>
        <v>0</v>
      </c>
      <c r="AH1183" s="3">
        <f>IF(AND($N1183=1,AND(对接源_01水果!$D1183="周转筐－销售出库",N(对接源_01水果!$K1183)&lt;&gt;0)),1,0)</f>
        <v>0</v>
      </c>
      <c r="AI1183" s="3">
        <f t="shared" si="326"/>
        <v>0</v>
      </c>
      <c r="AJ1183" s="7"/>
      <c r="AL1183" s="3">
        <f>IF(OR($AL$1="",对接源_01水果!$Y1183="",对接源_01水果!$Y1183&lt;&gt;$AL$1,对接源_01水果!$B1183="",N(对接源_01水果!$AJ1183)&lt;=0),0,IF(OR(N(对接源_01水果!$B1183)&lt;$AL$2,N(对接源_01水果!$B1183)&gt;$AL$3),0,1))</f>
        <v>0</v>
      </c>
      <c r="AM1183" s="3">
        <f t="shared" si="327"/>
        <v>1</v>
      </c>
      <c r="AN1183" s="3" t="str">
        <f>IF(对接源_01水果!$AC1183="","",对接源_01水果!$AC1183)</f>
        <v/>
      </c>
      <c r="AO1183" s="3">
        <f t="shared" si="328"/>
        <v>0</v>
      </c>
      <c r="AP1183" s="3">
        <f t="shared" si="329"/>
        <v>8</v>
      </c>
      <c r="AR1183">
        <f t="shared" si="330"/>
        <v>0</v>
      </c>
      <c r="AS1183">
        <f t="shared" si="331"/>
        <v>0</v>
      </c>
    </row>
    <row r="1184" ht="14.25" customHeight="1" spans="1:45">
      <c r="A1184" s="3" t="str">
        <f>IF(对接源_01水果!$C1184="","",对接源_01水果!$C1184)</f>
        <v/>
      </c>
      <c r="B1184" s="3">
        <f t="shared" si="315"/>
        <v>0</v>
      </c>
      <c r="C1184" s="3">
        <f t="shared" si="316"/>
        <v>18</v>
      </c>
      <c r="K1184" s="3">
        <f>IF(OR($K$1="",对接源_01水果!$C1184="",对接源_01水果!$C1184&lt;&gt;$K$1,对接源_01水果!$B1184=""),0,IF(OR(N(对接源_01水果!$B1184)&lt;$K$2,N(对接源_01水果!$B1184)&gt;$K$3),0,1))</f>
        <v>0</v>
      </c>
      <c r="L1184" s="3">
        <f>IF(OR($L$1="",对接源_01水果!$C1184="",对接源_01水果!$C1184&lt;&gt;$L$1,对接源_01水果!$B1184=""),0,IF(OR(N(对接源_01水果!$B1184)&lt;$L$2,N(对接源_01水果!$B1184)&gt;$L$3),0,1))</f>
        <v>0</v>
      </c>
      <c r="M1184" s="3">
        <f>IF(OR($M$1="",对接源_01水果!$C1184="",对接源_01水果!$C1184&lt;&gt;$M$1,对接源_01水果!$B1184=""),0,IF(OR(N(对接源_01水果!$B1184)&lt;$M$2,N(对接源_01水果!$B1184)&gt;$M$3),0,1))</f>
        <v>0</v>
      </c>
      <c r="N1184" s="3">
        <f>IF(OR($N$1="",对接源_01水果!$C1184="",对接源_01水果!$C1184&lt;&gt;$N$1,对接源_01水果!$B1184=""),0,IF(OR(N(对接源_01水果!$B1184)&lt;$N$2,N(对接源_01水果!$B1184)&gt;$N$3),0,1))</f>
        <v>0</v>
      </c>
      <c r="P1184" s="3">
        <f>IF(AND($K1184=1,AND(对接源_01水果!$X1184="公司筐",N(对接源_01水果!$T1184)&lt;&gt;0)),1,0)</f>
        <v>0</v>
      </c>
      <c r="Q1184" s="3">
        <f t="shared" si="317"/>
        <v>0</v>
      </c>
      <c r="R1184" s="3">
        <f>IF(AND($K1184=1,AND(对接源_01水果!$X1184="公司筐",N(对接源_01水果!$U1184)&lt;&gt;0)),1,0)</f>
        <v>0</v>
      </c>
      <c r="S1184" s="3">
        <f t="shared" si="318"/>
        <v>0</v>
      </c>
      <c r="T1184" s="3">
        <f>IF(AND($K1184=1,AND(对接源_01水果!$X1184="公司筐",N(对接源_01水果!$V1184)&lt;&gt;0)),1,0)</f>
        <v>0</v>
      </c>
      <c r="U1184" s="3">
        <f t="shared" si="319"/>
        <v>19</v>
      </c>
      <c r="V1184" s="3">
        <f>IF(AND($L1184=1,AND(对接源_01水果!$X1184="自备筐",N(对接源_01水果!$V1184)&lt;&gt;0)),1,0)</f>
        <v>0</v>
      </c>
      <c r="W1184" s="3">
        <f t="shared" si="320"/>
        <v>8</v>
      </c>
      <c r="X1184" s="3">
        <f>IF(AND($L1184=1,AND(对接源_01水果!$X1184="自备筐",N(对接源_01水果!$T1184)&lt;&gt;0)),1,0)</f>
        <v>0</v>
      </c>
      <c r="Y1184" s="3">
        <f t="shared" si="321"/>
        <v>0</v>
      </c>
      <c r="Z1184" s="3">
        <f>IF(AND($M1184=1,对接源_01水果!$D1184="原料入库"),1,0)</f>
        <v>0</v>
      </c>
      <c r="AA1184" s="3">
        <f t="shared" si="322"/>
        <v>24</v>
      </c>
      <c r="AB1184" s="3">
        <f>IF(AND($M1184=1,LEFT(对接源_01水果!$D1184,4)="原料出库"),1,0)</f>
        <v>0</v>
      </c>
      <c r="AC1184" s="3">
        <f t="shared" si="323"/>
        <v>0</v>
      </c>
      <c r="AD1184" s="3">
        <f>IF(AND($M1184=1,LEFT(对接源_01水果!$D1184,4)="成品出库"),1,0)</f>
        <v>0</v>
      </c>
      <c r="AE1184" s="3">
        <f t="shared" si="324"/>
        <v>0</v>
      </c>
      <c r="AF1184" s="3">
        <f>IF(AND($N1184=1,AND(LEFT(对接源_01水果!$D1184,4)="包装物料",N(对接源_01水果!$K1184)&lt;&gt;0)),1,0)</f>
        <v>0</v>
      </c>
      <c r="AG1184" s="3">
        <f t="shared" si="325"/>
        <v>0</v>
      </c>
      <c r="AH1184" s="3">
        <f>IF(AND($N1184=1,AND(对接源_01水果!$D1184="周转筐－销售出库",N(对接源_01水果!$K1184)&lt;&gt;0)),1,0)</f>
        <v>0</v>
      </c>
      <c r="AI1184" s="3">
        <f t="shared" si="326"/>
        <v>0</v>
      </c>
      <c r="AJ1184" s="7"/>
      <c r="AL1184" s="3">
        <f>IF(OR($AL$1="",对接源_01水果!$Y1184="",对接源_01水果!$Y1184&lt;&gt;$AL$1,对接源_01水果!$B1184="",N(对接源_01水果!$AJ1184)&lt;=0),0,IF(OR(N(对接源_01水果!$B1184)&lt;$AL$2,N(对接源_01水果!$B1184)&gt;$AL$3),0,1))</f>
        <v>0</v>
      </c>
      <c r="AM1184" s="3">
        <f t="shared" si="327"/>
        <v>1</v>
      </c>
      <c r="AN1184" s="3" t="str">
        <f>IF(对接源_01水果!$AC1184="","",对接源_01水果!$AC1184)</f>
        <v/>
      </c>
      <c r="AO1184" s="3">
        <f t="shared" si="328"/>
        <v>0</v>
      </c>
      <c r="AP1184" s="3">
        <f t="shared" si="329"/>
        <v>8</v>
      </c>
      <c r="AR1184">
        <f t="shared" si="330"/>
        <v>0</v>
      </c>
      <c r="AS1184">
        <f t="shared" si="331"/>
        <v>0</v>
      </c>
    </row>
    <row r="1185" ht="14.25" customHeight="1" spans="1:45">
      <c r="A1185" s="3" t="str">
        <f>IF(对接源_01水果!$C1185="","",对接源_01水果!$C1185)</f>
        <v/>
      </c>
      <c r="B1185" s="3">
        <f t="shared" si="315"/>
        <v>0</v>
      </c>
      <c r="C1185" s="3">
        <f t="shared" si="316"/>
        <v>18</v>
      </c>
      <c r="K1185" s="3">
        <f>IF(OR($K$1="",对接源_01水果!$C1185="",对接源_01水果!$C1185&lt;&gt;$K$1,对接源_01水果!$B1185=""),0,IF(OR(N(对接源_01水果!$B1185)&lt;$K$2,N(对接源_01水果!$B1185)&gt;$K$3),0,1))</f>
        <v>0</v>
      </c>
      <c r="L1185" s="3">
        <f>IF(OR($L$1="",对接源_01水果!$C1185="",对接源_01水果!$C1185&lt;&gt;$L$1,对接源_01水果!$B1185=""),0,IF(OR(N(对接源_01水果!$B1185)&lt;$L$2,N(对接源_01水果!$B1185)&gt;$L$3),0,1))</f>
        <v>0</v>
      </c>
      <c r="M1185" s="3">
        <f>IF(OR($M$1="",对接源_01水果!$C1185="",对接源_01水果!$C1185&lt;&gt;$M$1,对接源_01水果!$B1185=""),0,IF(OR(N(对接源_01水果!$B1185)&lt;$M$2,N(对接源_01水果!$B1185)&gt;$M$3),0,1))</f>
        <v>0</v>
      </c>
      <c r="N1185" s="3">
        <f>IF(OR($N$1="",对接源_01水果!$C1185="",对接源_01水果!$C1185&lt;&gt;$N$1,对接源_01水果!$B1185=""),0,IF(OR(N(对接源_01水果!$B1185)&lt;$N$2,N(对接源_01水果!$B1185)&gt;$N$3),0,1))</f>
        <v>0</v>
      </c>
      <c r="P1185" s="3">
        <f>IF(AND($K1185=1,AND(对接源_01水果!$X1185="公司筐",N(对接源_01水果!$T1185)&lt;&gt;0)),1,0)</f>
        <v>0</v>
      </c>
      <c r="Q1185" s="3">
        <f t="shared" si="317"/>
        <v>0</v>
      </c>
      <c r="R1185" s="3">
        <f>IF(AND($K1185=1,AND(对接源_01水果!$X1185="公司筐",N(对接源_01水果!$U1185)&lt;&gt;0)),1,0)</f>
        <v>0</v>
      </c>
      <c r="S1185" s="3">
        <f t="shared" si="318"/>
        <v>0</v>
      </c>
      <c r="T1185" s="3">
        <f>IF(AND($K1185=1,AND(对接源_01水果!$X1185="公司筐",N(对接源_01水果!$V1185)&lt;&gt;0)),1,0)</f>
        <v>0</v>
      </c>
      <c r="U1185" s="3">
        <f t="shared" si="319"/>
        <v>19</v>
      </c>
      <c r="V1185" s="3">
        <f>IF(AND($L1185=1,AND(对接源_01水果!$X1185="自备筐",N(对接源_01水果!$V1185)&lt;&gt;0)),1,0)</f>
        <v>0</v>
      </c>
      <c r="W1185" s="3">
        <f t="shared" si="320"/>
        <v>8</v>
      </c>
      <c r="X1185" s="3">
        <f>IF(AND($L1185=1,AND(对接源_01水果!$X1185="自备筐",N(对接源_01水果!$T1185)&lt;&gt;0)),1,0)</f>
        <v>0</v>
      </c>
      <c r="Y1185" s="3">
        <f t="shared" si="321"/>
        <v>0</v>
      </c>
      <c r="Z1185" s="3">
        <f>IF(AND($M1185=1,对接源_01水果!$D1185="原料入库"),1,0)</f>
        <v>0</v>
      </c>
      <c r="AA1185" s="3">
        <f t="shared" si="322"/>
        <v>24</v>
      </c>
      <c r="AB1185" s="3">
        <f>IF(AND($M1185=1,LEFT(对接源_01水果!$D1185,4)="原料出库"),1,0)</f>
        <v>0</v>
      </c>
      <c r="AC1185" s="3">
        <f t="shared" si="323"/>
        <v>0</v>
      </c>
      <c r="AD1185" s="3">
        <f>IF(AND($M1185=1,LEFT(对接源_01水果!$D1185,4)="成品出库"),1,0)</f>
        <v>0</v>
      </c>
      <c r="AE1185" s="3">
        <f t="shared" si="324"/>
        <v>0</v>
      </c>
      <c r="AF1185" s="3">
        <f>IF(AND($N1185=1,AND(LEFT(对接源_01水果!$D1185,4)="包装物料",N(对接源_01水果!$K1185)&lt;&gt;0)),1,0)</f>
        <v>0</v>
      </c>
      <c r="AG1185" s="3">
        <f t="shared" si="325"/>
        <v>0</v>
      </c>
      <c r="AH1185" s="3">
        <f>IF(AND($N1185=1,AND(对接源_01水果!$D1185="周转筐－销售出库",N(对接源_01水果!$K1185)&lt;&gt;0)),1,0)</f>
        <v>0</v>
      </c>
      <c r="AI1185" s="3">
        <f t="shared" si="326"/>
        <v>0</v>
      </c>
      <c r="AJ1185" s="7"/>
      <c r="AL1185" s="3">
        <f>IF(OR($AL$1="",对接源_01水果!$Y1185="",对接源_01水果!$Y1185&lt;&gt;$AL$1,对接源_01水果!$B1185="",N(对接源_01水果!$AJ1185)&lt;=0),0,IF(OR(N(对接源_01水果!$B1185)&lt;$AL$2,N(对接源_01水果!$B1185)&gt;$AL$3),0,1))</f>
        <v>0</v>
      </c>
      <c r="AM1185" s="3">
        <f t="shared" si="327"/>
        <v>1</v>
      </c>
      <c r="AN1185" s="3" t="str">
        <f>IF(对接源_01水果!$AC1185="","",对接源_01水果!$AC1185)</f>
        <v/>
      </c>
      <c r="AO1185" s="3">
        <f t="shared" si="328"/>
        <v>0</v>
      </c>
      <c r="AP1185" s="3">
        <f t="shared" si="329"/>
        <v>8</v>
      </c>
      <c r="AR1185">
        <f t="shared" si="330"/>
        <v>0</v>
      </c>
      <c r="AS1185">
        <f t="shared" si="331"/>
        <v>0</v>
      </c>
    </row>
    <row r="1186" ht="14.25" customHeight="1" spans="1:45">
      <c r="A1186" s="3" t="str">
        <f>IF(对接源_01水果!$C1186="","",对接源_01水果!$C1186)</f>
        <v/>
      </c>
      <c r="B1186" s="3">
        <f t="shared" si="315"/>
        <v>0</v>
      </c>
      <c r="C1186" s="3">
        <f t="shared" si="316"/>
        <v>18</v>
      </c>
      <c r="K1186" s="3">
        <f>IF(OR($K$1="",对接源_01水果!$C1186="",对接源_01水果!$C1186&lt;&gt;$K$1,对接源_01水果!$B1186=""),0,IF(OR(N(对接源_01水果!$B1186)&lt;$K$2,N(对接源_01水果!$B1186)&gt;$K$3),0,1))</f>
        <v>0</v>
      </c>
      <c r="L1186" s="3">
        <f>IF(OR($L$1="",对接源_01水果!$C1186="",对接源_01水果!$C1186&lt;&gt;$L$1,对接源_01水果!$B1186=""),0,IF(OR(N(对接源_01水果!$B1186)&lt;$L$2,N(对接源_01水果!$B1186)&gt;$L$3),0,1))</f>
        <v>0</v>
      </c>
      <c r="M1186" s="3">
        <f>IF(OR($M$1="",对接源_01水果!$C1186="",对接源_01水果!$C1186&lt;&gt;$M$1,对接源_01水果!$B1186=""),0,IF(OR(N(对接源_01水果!$B1186)&lt;$M$2,N(对接源_01水果!$B1186)&gt;$M$3),0,1))</f>
        <v>0</v>
      </c>
      <c r="N1186" s="3">
        <f>IF(OR($N$1="",对接源_01水果!$C1186="",对接源_01水果!$C1186&lt;&gt;$N$1,对接源_01水果!$B1186=""),0,IF(OR(N(对接源_01水果!$B1186)&lt;$N$2,N(对接源_01水果!$B1186)&gt;$N$3),0,1))</f>
        <v>0</v>
      </c>
      <c r="P1186" s="3">
        <f>IF(AND($K1186=1,AND(对接源_01水果!$X1186="公司筐",N(对接源_01水果!$T1186)&lt;&gt;0)),1,0)</f>
        <v>0</v>
      </c>
      <c r="Q1186" s="3">
        <f t="shared" si="317"/>
        <v>0</v>
      </c>
      <c r="R1186" s="3">
        <f>IF(AND($K1186=1,AND(对接源_01水果!$X1186="公司筐",N(对接源_01水果!$U1186)&lt;&gt;0)),1,0)</f>
        <v>0</v>
      </c>
      <c r="S1186" s="3">
        <f t="shared" si="318"/>
        <v>0</v>
      </c>
      <c r="T1186" s="3">
        <f>IF(AND($K1186=1,AND(对接源_01水果!$X1186="公司筐",N(对接源_01水果!$V1186)&lt;&gt;0)),1,0)</f>
        <v>0</v>
      </c>
      <c r="U1186" s="3">
        <f t="shared" si="319"/>
        <v>19</v>
      </c>
      <c r="V1186" s="3">
        <f>IF(AND($L1186=1,AND(对接源_01水果!$X1186="自备筐",N(对接源_01水果!$V1186)&lt;&gt;0)),1,0)</f>
        <v>0</v>
      </c>
      <c r="W1186" s="3">
        <f t="shared" si="320"/>
        <v>8</v>
      </c>
      <c r="X1186" s="3">
        <f>IF(AND($L1186=1,AND(对接源_01水果!$X1186="自备筐",N(对接源_01水果!$T1186)&lt;&gt;0)),1,0)</f>
        <v>0</v>
      </c>
      <c r="Y1186" s="3">
        <f t="shared" si="321"/>
        <v>0</v>
      </c>
      <c r="Z1186" s="3">
        <f>IF(AND($M1186=1,对接源_01水果!$D1186="原料入库"),1,0)</f>
        <v>0</v>
      </c>
      <c r="AA1186" s="3">
        <f t="shared" si="322"/>
        <v>24</v>
      </c>
      <c r="AB1186" s="3">
        <f>IF(AND($M1186=1,LEFT(对接源_01水果!$D1186,4)="原料出库"),1,0)</f>
        <v>0</v>
      </c>
      <c r="AC1186" s="3">
        <f t="shared" si="323"/>
        <v>0</v>
      </c>
      <c r="AD1186" s="3">
        <f>IF(AND($M1186=1,LEFT(对接源_01水果!$D1186,4)="成品出库"),1,0)</f>
        <v>0</v>
      </c>
      <c r="AE1186" s="3">
        <f t="shared" si="324"/>
        <v>0</v>
      </c>
      <c r="AF1186" s="3">
        <f>IF(AND($N1186=1,AND(LEFT(对接源_01水果!$D1186,4)="包装物料",N(对接源_01水果!$K1186)&lt;&gt;0)),1,0)</f>
        <v>0</v>
      </c>
      <c r="AG1186" s="3">
        <f t="shared" si="325"/>
        <v>0</v>
      </c>
      <c r="AH1186" s="3">
        <f>IF(AND($N1186=1,AND(对接源_01水果!$D1186="周转筐－销售出库",N(对接源_01水果!$K1186)&lt;&gt;0)),1,0)</f>
        <v>0</v>
      </c>
      <c r="AI1186" s="3">
        <f t="shared" si="326"/>
        <v>0</v>
      </c>
      <c r="AJ1186" s="7"/>
      <c r="AL1186" s="3">
        <f>IF(OR($AL$1="",对接源_01水果!$Y1186="",对接源_01水果!$Y1186&lt;&gt;$AL$1,对接源_01水果!$B1186="",N(对接源_01水果!$AJ1186)&lt;=0),0,IF(OR(N(对接源_01水果!$B1186)&lt;$AL$2,N(对接源_01水果!$B1186)&gt;$AL$3),0,1))</f>
        <v>0</v>
      </c>
      <c r="AM1186" s="3">
        <f t="shared" si="327"/>
        <v>1</v>
      </c>
      <c r="AN1186" s="3" t="str">
        <f>IF(对接源_01水果!$AC1186="","",对接源_01水果!$AC1186)</f>
        <v/>
      </c>
      <c r="AO1186" s="3">
        <f t="shared" si="328"/>
        <v>0</v>
      </c>
      <c r="AP1186" s="3">
        <f t="shared" si="329"/>
        <v>8</v>
      </c>
      <c r="AR1186">
        <f t="shared" si="330"/>
        <v>0</v>
      </c>
      <c r="AS1186">
        <f t="shared" si="331"/>
        <v>0</v>
      </c>
    </row>
    <row r="1187" ht="14.25" customHeight="1" spans="1:45">
      <c r="A1187" s="3" t="str">
        <f>IF(对接源_01水果!$C1187="","",对接源_01水果!$C1187)</f>
        <v/>
      </c>
      <c r="B1187" s="3">
        <f t="shared" si="315"/>
        <v>0</v>
      </c>
      <c r="C1187" s="3">
        <f t="shared" si="316"/>
        <v>18</v>
      </c>
      <c r="K1187" s="3">
        <f>IF(OR($K$1="",对接源_01水果!$C1187="",对接源_01水果!$C1187&lt;&gt;$K$1,对接源_01水果!$B1187=""),0,IF(OR(N(对接源_01水果!$B1187)&lt;$K$2,N(对接源_01水果!$B1187)&gt;$K$3),0,1))</f>
        <v>0</v>
      </c>
      <c r="L1187" s="3">
        <f>IF(OR($L$1="",对接源_01水果!$C1187="",对接源_01水果!$C1187&lt;&gt;$L$1,对接源_01水果!$B1187=""),0,IF(OR(N(对接源_01水果!$B1187)&lt;$L$2,N(对接源_01水果!$B1187)&gt;$L$3),0,1))</f>
        <v>0</v>
      </c>
      <c r="M1187" s="3">
        <f>IF(OR($M$1="",对接源_01水果!$C1187="",对接源_01水果!$C1187&lt;&gt;$M$1,对接源_01水果!$B1187=""),0,IF(OR(N(对接源_01水果!$B1187)&lt;$M$2,N(对接源_01水果!$B1187)&gt;$M$3),0,1))</f>
        <v>0</v>
      </c>
      <c r="N1187" s="3">
        <f>IF(OR($N$1="",对接源_01水果!$C1187="",对接源_01水果!$C1187&lt;&gt;$N$1,对接源_01水果!$B1187=""),0,IF(OR(N(对接源_01水果!$B1187)&lt;$N$2,N(对接源_01水果!$B1187)&gt;$N$3),0,1))</f>
        <v>0</v>
      </c>
      <c r="P1187" s="3">
        <f>IF(AND($K1187=1,AND(对接源_01水果!$X1187="公司筐",N(对接源_01水果!$T1187)&lt;&gt;0)),1,0)</f>
        <v>0</v>
      </c>
      <c r="Q1187" s="3">
        <f t="shared" si="317"/>
        <v>0</v>
      </c>
      <c r="R1187" s="3">
        <f>IF(AND($K1187=1,AND(对接源_01水果!$X1187="公司筐",N(对接源_01水果!$U1187)&lt;&gt;0)),1,0)</f>
        <v>0</v>
      </c>
      <c r="S1187" s="3">
        <f t="shared" si="318"/>
        <v>0</v>
      </c>
      <c r="T1187" s="3">
        <f>IF(AND($K1187=1,AND(对接源_01水果!$X1187="公司筐",N(对接源_01水果!$V1187)&lt;&gt;0)),1,0)</f>
        <v>0</v>
      </c>
      <c r="U1187" s="3">
        <f t="shared" si="319"/>
        <v>19</v>
      </c>
      <c r="V1187" s="3">
        <f>IF(AND($L1187=1,AND(对接源_01水果!$X1187="自备筐",N(对接源_01水果!$V1187)&lt;&gt;0)),1,0)</f>
        <v>0</v>
      </c>
      <c r="W1187" s="3">
        <f t="shared" si="320"/>
        <v>8</v>
      </c>
      <c r="X1187" s="3">
        <f>IF(AND($L1187=1,AND(对接源_01水果!$X1187="自备筐",N(对接源_01水果!$T1187)&lt;&gt;0)),1,0)</f>
        <v>0</v>
      </c>
      <c r="Y1187" s="3">
        <f t="shared" si="321"/>
        <v>0</v>
      </c>
      <c r="Z1187" s="3">
        <f>IF(AND($M1187=1,对接源_01水果!$D1187="原料入库"),1,0)</f>
        <v>0</v>
      </c>
      <c r="AA1187" s="3">
        <f t="shared" si="322"/>
        <v>24</v>
      </c>
      <c r="AB1187" s="3">
        <f>IF(AND($M1187=1,LEFT(对接源_01水果!$D1187,4)="原料出库"),1,0)</f>
        <v>0</v>
      </c>
      <c r="AC1187" s="3">
        <f t="shared" si="323"/>
        <v>0</v>
      </c>
      <c r="AD1187" s="3">
        <f>IF(AND($M1187=1,LEFT(对接源_01水果!$D1187,4)="成品出库"),1,0)</f>
        <v>0</v>
      </c>
      <c r="AE1187" s="3">
        <f t="shared" si="324"/>
        <v>0</v>
      </c>
      <c r="AF1187" s="3">
        <f>IF(AND($N1187=1,AND(LEFT(对接源_01水果!$D1187,4)="包装物料",N(对接源_01水果!$K1187)&lt;&gt;0)),1,0)</f>
        <v>0</v>
      </c>
      <c r="AG1187" s="3">
        <f t="shared" si="325"/>
        <v>0</v>
      </c>
      <c r="AH1187" s="3">
        <f>IF(AND($N1187=1,AND(对接源_01水果!$D1187="周转筐－销售出库",N(对接源_01水果!$K1187)&lt;&gt;0)),1,0)</f>
        <v>0</v>
      </c>
      <c r="AI1187" s="3">
        <f t="shared" si="326"/>
        <v>0</v>
      </c>
      <c r="AJ1187" s="7"/>
      <c r="AL1187" s="3">
        <f>IF(OR($AL$1="",对接源_01水果!$Y1187="",对接源_01水果!$Y1187&lt;&gt;$AL$1,对接源_01水果!$B1187="",N(对接源_01水果!$AJ1187)&lt;=0),0,IF(OR(N(对接源_01水果!$B1187)&lt;$AL$2,N(对接源_01水果!$B1187)&gt;$AL$3),0,1))</f>
        <v>0</v>
      </c>
      <c r="AM1187" s="3">
        <f t="shared" si="327"/>
        <v>1</v>
      </c>
      <c r="AN1187" s="3" t="str">
        <f>IF(对接源_01水果!$AC1187="","",对接源_01水果!$AC1187)</f>
        <v/>
      </c>
      <c r="AO1187" s="3">
        <f t="shared" si="328"/>
        <v>0</v>
      </c>
      <c r="AP1187" s="3">
        <f t="shared" si="329"/>
        <v>8</v>
      </c>
      <c r="AR1187">
        <f t="shared" si="330"/>
        <v>0</v>
      </c>
      <c r="AS1187">
        <f t="shared" si="331"/>
        <v>0</v>
      </c>
    </row>
    <row r="1188" ht="14.25" customHeight="1" spans="1:45">
      <c r="A1188" s="3" t="str">
        <f>IF(对接源_01水果!$C1188="","",对接源_01水果!$C1188)</f>
        <v/>
      </c>
      <c r="B1188" s="3">
        <f t="shared" si="315"/>
        <v>0</v>
      </c>
      <c r="C1188" s="3">
        <f t="shared" si="316"/>
        <v>18</v>
      </c>
      <c r="K1188" s="3">
        <f>IF(OR($K$1="",对接源_01水果!$C1188="",对接源_01水果!$C1188&lt;&gt;$K$1,对接源_01水果!$B1188=""),0,IF(OR(N(对接源_01水果!$B1188)&lt;$K$2,N(对接源_01水果!$B1188)&gt;$K$3),0,1))</f>
        <v>0</v>
      </c>
      <c r="L1188" s="3">
        <f>IF(OR($L$1="",对接源_01水果!$C1188="",对接源_01水果!$C1188&lt;&gt;$L$1,对接源_01水果!$B1188=""),0,IF(OR(N(对接源_01水果!$B1188)&lt;$L$2,N(对接源_01水果!$B1188)&gt;$L$3),0,1))</f>
        <v>0</v>
      </c>
      <c r="M1188" s="3">
        <f>IF(OR($M$1="",对接源_01水果!$C1188="",对接源_01水果!$C1188&lt;&gt;$M$1,对接源_01水果!$B1188=""),0,IF(OR(N(对接源_01水果!$B1188)&lt;$M$2,N(对接源_01水果!$B1188)&gt;$M$3),0,1))</f>
        <v>0</v>
      </c>
      <c r="N1188" s="3">
        <f>IF(OR($N$1="",对接源_01水果!$C1188="",对接源_01水果!$C1188&lt;&gt;$N$1,对接源_01水果!$B1188=""),0,IF(OR(N(对接源_01水果!$B1188)&lt;$N$2,N(对接源_01水果!$B1188)&gt;$N$3),0,1))</f>
        <v>0</v>
      </c>
      <c r="P1188" s="3">
        <f>IF(AND($K1188=1,AND(对接源_01水果!$X1188="公司筐",N(对接源_01水果!$T1188)&lt;&gt;0)),1,0)</f>
        <v>0</v>
      </c>
      <c r="Q1188" s="3">
        <f t="shared" si="317"/>
        <v>0</v>
      </c>
      <c r="R1188" s="3">
        <f>IF(AND($K1188=1,AND(对接源_01水果!$X1188="公司筐",N(对接源_01水果!$U1188)&lt;&gt;0)),1,0)</f>
        <v>0</v>
      </c>
      <c r="S1188" s="3">
        <f t="shared" si="318"/>
        <v>0</v>
      </c>
      <c r="T1188" s="3">
        <f>IF(AND($K1188=1,AND(对接源_01水果!$X1188="公司筐",N(对接源_01水果!$V1188)&lt;&gt;0)),1,0)</f>
        <v>0</v>
      </c>
      <c r="U1188" s="3">
        <f t="shared" si="319"/>
        <v>19</v>
      </c>
      <c r="V1188" s="3">
        <f>IF(AND($L1188=1,AND(对接源_01水果!$X1188="自备筐",N(对接源_01水果!$V1188)&lt;&gt;0)),1,0)</f>
        <v>0</v>
      </c>
      <c r="W1188" s="3">
        <f t="shared" si="320"/>
        <v>8</v>
      </c>
      <c r="X1188" s="3">
        <f>IF(AND($L1188=1,AND(对接源_01水果!$X1188="自备筐",N(对接源_01水果!$T1188)&lt;&gt;0)),1,0)</f>
        <v>0</v>
      </c>
      <c r="Y1188" s="3">
        <f t="shared" si="321"/>
        <v>0</v>
      </c>
      <c r="Z1188" s="3">
        <f>IF(AND($M1188=1,对接源_01水果!$D1188="原料入库"),1,0)</f>
        <v>0</v>
      </c>
      <c r="AA1188" s="3">
        <f t="shared" si="322"/>
        <v>24</v>
      </c>
      <c r="AB1188" s="3">
        <f>IF(AND($M1188=1,LEFT(对接源_01水果!$D1188,4)="原料出库"),1,0)</f>
        <v>0</v>
      </c>
      <c r="AC1188" s="3">
        <f t="shared" si="323"/>
        <v>0</v>
      </c>
      <c r="AD1188" s="3">
        <f>IF(AND($M1188=1,LEFT(对接源_01水果!$D1188,4)="成品出库"),1,0)</f>
        <v>0</v>
      </c>
      <c r="AE1188" s="3">
        <f t="shared" si="324"/>
        <v>0</v>
      </c>
      <c r="AF1188" s="3">
        <f>IF(AND($N1188=1,AND(LEFT(对接源_01水果!$D1188,4)="包装物料",N(对接源_01水果!$K1188)&lt;&gt;0)),1,0)</f>
        <v>0</v>
      </c>
      <c r="AG1188" s="3">
        <f t="shared" si="325"/>
        <v>0</v>
      </c>
      <c r="AH1188" s="3">
        <f>IF(AND($N1188=1,AND(对接源_01水果!$D1188="周转筐－销售出库",N(对接源_01水果!$K1188)&lt;&gt;0)),1,0)</f>
        <v>0</v>
      </c>
      <c r="AI1188" s="3">
        <f t="shared" si="326"/>
        <v>0</v>
      </c>
      <c r="AJ1188" s="7"/>
      <c r="AL1188" s="3">
        <f>IF(OR($AL$1="",对接源_01水果!$Y1188="",对接源_01水果!$Y1188&lt;&gt;$AL$1,对接源_01水果!$B1188="",N(对接源_01水果!$AJ1188)&lt;=0),0,IF(OR(N(对接源_01水果!$B1188)&lt;$AL$2,N(对接源_01水果!$B1188)&gt;$AL$3),0,1))</f>
        <v>0</v>
      </c>
      <c r="AM1188" s="3">
        <f t="shared" si="327"/>
        <v>1</v>
      </c>
      <c r="AN1188" s="3" t="str">
        <f>IF(对接源_01水果!$AC1188="","",对接源_01水果!$AC1188)</f>
        <v/>
      </c>
      <c r="AO1188" s="3">
        <f t="shared" si="328"/>
        <v>0</v>
      </c>
      <c r="AP1188" s="3">
        <f t="shared" si="329"/>
        <v>8</v>
      </c>
      <c r="AR1188">
        <f t="shared" si="330"/>
        <v>0</v>
      </c>
      <c r="AS1188">
        <f t="shared" si="331"/>
        <v>0</v>
      </c>
    </row>
    <row r="1189" ht="14.25" customHeight="1" spans="1:45">
      <c r="A1189" s="3" t="str">
        <f>IF(对接源_01水果!$C1189="","",对接源_01水果!$C1189)</f>
        <v/>
      </c>
      <c r="B1189" s="3">
        <f t="shared" si="315"/>
        <v>0</v>
      </c>
      <c r="C1189" s="3">
        <f t="shared" si="316"/>
        <v>18</v>
      </c>
      <c r="K1189" s="3">
        <f>IF(OR($K$1="",对接源_01水果!$C1189="",对接源_01水果!$C1189&lt;&gt;$K$1,对接源_01水果!$B1189=""),0,IF(OR(N(对接源_01水果!$B1189)&lt;$K$2,N(对接源_01水果!$B1189)&gt;$K$3),0,1))</f>
        <v>0</v>
      </c>
      <c r="L1189" s="3">
        <f>IF(OR($L$1="",对接源_01水果!$C1189="",对接源_01水果!$C1189&lt;&gt;$L$1,对接源_01水果!$B1189=""),0,IF(OR(N(对接源_01水果!$B1189)&lt;$L$2,N(对接源_01水果!$B1189)&gt;$L$3),0,1))</f>
        <v>0</v>
      </c>
      <c r="M1189" s="3">
        <f>IF(OR($M$1="",对接源_01水果!$C1189="",对接源_01水果!$C1189&lt;&gt;$M$1,对接源_01水果!$B1189=""),0,IF(OR(N(对接源_01水果!$B1189)&lt;$M$2,N(对接源_01水果!$B1189)&gt;$M$3),0,1))</f>
        <v>0</v>
      </c>
      <c r="N1189" s="3">
        <f>IF(OR($N$1="",对接源_01水果!$C1189="",对接源_01水果!$C1189&lt;&gt;$N$1,对接源_01水果!$B1189=""),0,IF(OR(N(对接源_01水果!$B1189)&lt;$N$2,N(对接源_01水果!$B1189)&gt;$N$3),0,1))</f>
        <v>0</v>
      </c>
      <c r="P1189" s="3">
        <f>IF(AND($K1189=1,AND(对接源_01水果!$X1189="公司筐",N(对接源_01水果!$T1189)&lt;&gt;0)),1,0)</f>
        <v>0</v>
      </c>
      <c r="Q1189" s="3">
        <f t="shared" si="317"/>
        <v>0</v>
      </c>
      <c r="R1189" s="3">
        <f>IF(AND($K1189=1,AND(对接源_01水果!$X1189="公司筐",N(对接源_01水果!$U1189)&lt;&gt;0)),1,0)</f>
        <v>0</v>
      </c>
      <c r="S1189" s="3">
        <f t="shared" si="318"/>
        <v>0</v>
      </c>
      <c r="T1189" s="3">
        <f>IF(AND($K1189=1,AND(对接源_01水果!$X1189="公司筐",N(对接源_01水果!$V1189)&lt;&gt;0)),1,0)</f>
        <v>0</v>
      </c>
      <c r="U1189" s="3">
        <f t="shared" si="319"/>
        <v>19</v>
      </c>
      <c r="V1189" s="3">
        <f>IF(AND($L1189=1,AND(对接源_01水果!$X1189="自备筐",N(对接源_01水果!$V1189)&lt;&gt;0)),1,0)</f>
        <v>0</v>
      </c>
      <c r="W1189" s="3">
        <f t="shared" si="320"/>
        <v>8</v>
      </c>
      <c r="X1189" s="3">
        <f>IF(AND($L1189=1,AND(对接源_01水果!$X1189="自备筐",N(对接源_01水果!$T1189)&lt;&gt;0)),1,0)</f>
        <v>0</v>
      </c>
      <c r="Y1189" s="3">
        <f t="shared" si="321"/>
        <v>0</v>
      </c>
      <c r="Z1189" s="3">
        <f>IF(AND($M1189=1,对接源_01水果!$D1189="原料入库"),1,0)</f>
        <v>0</v>
      </c>
      <c r="AA1189" s="3">
        <f t="shared" si="322"/>
        <v>24</v>
      </c>
      <c r="AB1189" s="3">
        <f>IF(AND($M1189=1,LEFT(对接源_01水果!$D1189,4)="原料出库"),1,0)</f>
        <v>0</v>
      </c>
      <c r="AC1189" s="3">
        <f t="shared" si="323"/>
        <v>0</v>
      </c>
      <c r="AD1189" s="3">
        <f>IF(AND($M1189=1,LEFT(对接源_01水果!$D1189,4)="成品出库"),1,0)</f>
        <v>0</v>
      </c>
      <c r="AE1189" s="3">
        <f t="shared" si="324"/>
        <v>0</v>
      </c>
      <c r="AF1189" s="3">
        <f>IF(AND($N1189=1,AND(LEFT(对接源_01水果!$D1189,4)="包装物料",N(对接源_01水果!$K1189)&lt;&gt;0)),1,0)</f>
        <v>0</v>
      </c>
      <c r="AG1189" s="3">
        <f t="shared" si="325"/>
        <v>0</v>
      </c>
      <c r="AH1189" s="3">
        <f>IF(AND($N1189=1,AND(对接源_01水果!$D1189="周转筐－销售出库",N(对接源_01水果!$K1189)&lt;&gt;0)),1,0)</f>
        <v>0</v>
      </c>
      <c r="AI1189" s="3">
        <f t="shared" si="326"/>
        <v>0</v>
      </c>
      <c r="AJ1189" s="7"/>
      <c r="AL1189" s="3">
        <f>IF(OR($AL$1="",对接源_01水果!$Y1189="",对接源_01水果!$Y1189&lt;&gt;$AL$1,对接源_01水果!$B1189="",N(对接源_01水果!$AJ1189)&lt;=0),0,IF(OR(N(对接源_01水果!$B1189)&lt;$AL$2,N(对接源_01水果!$B1189)&gt;$AL$3),0,1))</f>
        <v>0</v>
      </c>
      <c r="AM1189" s="3">
        <f t="shared" si="327"/>
        <v>1</v>
      </c>
      <c r="AN1189" s="3" t="str">
        <f>IF(对接源_01水果!$AC1189="","",对接源_01水果!$AC1189)</f>
        <v/>
      </c>
      <c r="AO1189" s="3">
        <f t="shared" si="328"/>
        <v>0</v>
      </c>
      <c r="AP1189" s="3">
        <f t="shared" si="329"/>
        <v>8</v>
      </c>
      <c r="AR1189">
        <f t="shared" si="330"/>
        <v>0</v>
      </c>
      <c r="AS1189">
        <f t="shared" si="331"/>
        <v>0</v>
      </c>
    </row>
    <row r="1190" ht="14.25" customHeight="1" spans="1:45">
      <c r="A1190" s="3" t="str">
        <f>IF(对接源_01水果!$C1190="","",对接源_01水果!$C1190)</f>
        <v/>
      </c>
      <c r="B1190" s="3">
        <f t="shared" si="315"/>
        <v>0</v>
      </c>
      <c r="C1190" s="3">
        <f t="shared" si="316"/>
        <v>18</v>
      </c>
      <c r="K1190" s="3">
        <f>IF(OR($K$1="",对接源_01水果!$C1190="",对接源_01水果!$C1190&lt;&gt;$K$1,对接源_01水果!$B1190=""),0,IF(OR(N(对接源_01水果!$B1190)&lt;$K$2,N(对接源_01水果!$B1190)&gt;$K$3),0,1))</f>
        <v>0</v>
      </c>
      <c r="L1190" s="3">
        <f>IF(OR($L$1="",对接源_01水果!$C1190="",对接源_01水果!$C1190&lt;&gt;$L$1,对接源_01水果!$B1190=""),0,IF(OR(N(对接源_01水果!$B1190)&lt;$L$2,N(对接源_01水果!$B1190)&gt;$L$3),0,1))</f>
        <v>0</v>
      </c>
      <c r="M1190" s="3">
        <f>IF(OR($M$1="",对接源_01水果!$C1190="",对接源_01水果!$C1190&lt;&gt;$M$1,对接源_01水果!$B1190=""),0,IF(OR(N(对接源_01水果!$B1190)&lt;$M$2,N(对接源_01水果!$B1190)&gt;$M$3),0,1))</f>
        <v>0</v>
      </c>
      <c r="N1190" s="3">
        <f>IF(OR($N$1="",对接源_01水果!$C1190="",对接源_01水果!$C1190&lt;&gt;$N$1,对接源_01水果!$B1190=""),0,IF(OR(N(对接源_01水果!$B1190)&lt;$N$2,N(对接源_01水果!$B1190)&gt;$N$3),0,1))</f>
        <v>0</v>
      </c>
      <c r="P1190" s="3">
        <f>IF(AND($K1190=1,AND(对接源_01水果!$X1190="公司筐",N(对接源_01水果!$T1190)&lt;&gt;0)),1,0)</f>
        <v>0</v>
      </c>
      <c r="Q1190" s="3">
        <f t="shared" si="317"/>
        <v>0</v>
      </c>
      <c r="R1190" s="3">
        <f>IF(AND($K1190=1,AND(对接源_01水果!$X1190="公司筐",N(对接源_01水果!$U1190)&lt;&gt;0)),1,0)</f>
        <v>0</v>
      </c>
      <c r="S1190" s="3">
        <f t="shared" si="318"/>
        <v>0</v>
      </c>
      <c r="T1190" s="3">
        <f>IF(AND($K1190=1,AND(对接源_01水果!$X1190="公司筐",N(对接源_01水果!$V1190)&lt;&gt;0)),1,0)</f>
        <v>0</v>
      </c>
      <c r="U1190" s="3">
        <f t="shared" si="319"/>
        <v>19</v>
      </c>
      <c r="V1190" s="3">
        <f>IF(AND($L1190=1,AND(对接源_01水果!$X1190="自备筐",N(对接源_01水果!$V1190)&lt;&gt;0)),1,0)</f>
        <v>0</v>
      </c>
      <c r="W1190" s="3">
        <f t="shared" si="320"/>
        <v>8</v>
      </c>
      <c r="X1190" s="3">
        <f>IF(AND($L1190=1,AND(对接源_01水果!$X1190="自备筐",N(对接源_01水果!$T1190)&lt;&gt;0)),1,0)</f>
        <v>0</v>
      </c>
      <c r="Y1190" s="3">
        <f t="shared" si="321"/>
        <v>0</v>
      </c>
      <c r="Z1190" s="3">
        <f>IF(AND($M1190=1,对接源_01水果!$D1190="原料入库"),1,0)</f>
        <v>0</v>
      </c>
      <c r="AA1190" s="3">
        <f t="shared" si="322"/>
        <v>24</v>
      </c>
      <c r="AB1190" s="3">
        <f>IF(AND($M1190=1,LEFT(对接源_01水果!$D1190,4)="原料出库"),1,0)</f>
        <v>0</v>
      </c>
      <c r="AC1190" s="3">
        <f t="shared" si="323"/>
        <v>0</v>
      </c>
      <c r="AD1190" s="3">
        <f>IF(AND($M1190=1,LEFT(对接源_01水果!$D1190,4)="成品出库"),1,0)</f>
        <v>0</v>
      </c>
      <c r="AE1190" s="3">
        <f t="shared" si="324"/>
        <v>0</v>
      </c>
      <c r="AF1190" s="3">
        <f>IF(AND($N1190=1,AND(LEFT(对接源_01水果!$D1190,4)="包装物料",N(对接源_01水果!$K1190)&lt;&gt;0)),1,0)</f>
        <v>0</v>
      </c>
      <c r="AG1190" s="3">
        <f t="shared" si="325"/>
        <v>0</v>
      </c>
      <c r="AH1190" s="3">
        <f>IF(AND($N1190=1,AND(对接源_01水果!$D1190="周转筐－销售出库",N(对接源_01水果!$K1190)&lt;&gt;0)),1,0)</f>
        <v>0</v>
      </c>
      <c r="AI1190" s="3">
        <f t="shared" si="326"/>
        <v>0</v>
      </c>
      <c r="AJ1190" s="7"/>
      <c r="AL1190" s="3">
        <f>IF(OR($AL$1="",对接源_01水果!$Y1190="",对接源_01水果!$Y1190&lt;&gt;$AL$1,对接源_01水果!$B1190="",N(对接源_01水果!$AJ1190)&lt;=0),0,IF(OR(N(对接源_01水果!$B1190)&lt;$AL$2,N(对接源_01水果!$B1190)&gt;$AL$3),0,1))</f>
        <v>0</v>
      </c>
      <c r="AM1190" s="3">
        <f t="shared" si="327"/>
        <v>1</v>
      </c>
      <c r="AN1190" s="3" t="str">
        <f>IF(对接源_01水果!$AC1190="","",对接源_01水果!$AC1190)</f>
        <v/>
      </c>
      <c r="AO1190" s="3">
        <f t="shared" si="328"/>
        <v>0</v>
      </c>
      <c r="AP1190" s="3">
        <f t="shared" si="329"/>
        <v>8</v>
      </c>
      <c r="AR1190">
        <f t="shared" si="330"/>
        <v>0</v>
      </c>
      <c r="AS1190">
        <f t="shared" si="331"/>
        <v>0</v>
      </c>
    </row>
    <row r="1191" ht="14.25" customHeight="1" spans="1:45">
      <c r="A1191" s="3" t="str">
        <f>IF(对接源_01水果!$C1191="","",对接源_01水果!$C1191)</f>
        <v/>
      </c>
      <c r="B1191" s="3">
        <f t="shared" si="315"/>
        <v>0</v>
      </c>
      <c r="C1191" s="3">
        <f t="shared" si="316"/>
        <v>18</v>
      </c>
      <c r="K1191" s="3">
        <f>IF(OR($K$1="",对接源_01水果!$C1191="",对接源_01水果!$C1191&lt;&gt;$K$1,对接源_01水果!$B1191=""),0,IF(OR(N(对接源_01水果!$B1191)&lt;$K$2,N(对接源_01水果!$B1191)&gt;$K$3),0,1))</f>
        <v>0</v>
      </c>
      <c r="L1191" s="3">
        <f>IF(OR($L$1="",对接源_01水果!$C1191="",对接源_01水果!$C1191&lt;&gt;$L$1,对接源_01水果!$B1191=""),0,IF(OR(N(对接源_01水果!$B1191)&lt;$L$2,N(对接源_01水果!$B1191)&gt;$L$3),0,1))</f>
        <v>0</v>
      </c>
      <c r="M1191" s="3">
        <f>IF(OR($M$1="",对接源_01水果!$C1191="",对接源_01水果!$C1191&lt;&gt;$M$1,对接源_01水果!$B1191=""),0,IF(OR(N(对接源_01水果!$B1191)&lt;$M$2,N(对接源_01水果!$B1191)&gt;$M$3),0,1))</f>
        <v>0</v>
      </c>
      <c r="N1191" s="3">
        <f>IF(OR($N$1="",对接源_01水果!$C1191="",对接源_01水果!$C1191&lt;&gt;$N$1,对接源_01水果!$B1191=""),0,IF(OR(N(对接源_01水果!$B1191)&lt;$N$2,N(对接源_01水果!$B1191)&gt;$N$3),0,1))</f>
        <v>0</v>
      </c>
      <c r="P1191" s="3">
        <f>IF(AND($K1191=1,AND(对接源_01水果!$X1191="公司筐",N(对接源_01水果!$T1191)&lt;&gt;0)),1,0)</f>
        <v>0</v>
      </c>
      <c r="Q1191" s="3">
        <f t="shared" si="317"/>
        <v>0</v>
      </c>
      <c r="R1191" s="3">
        <f>IF(AND($K1191=1,AND(对接源_01水果!$X1191="公司筐",N(对接源_01水果!$U1191)&lt;&gt;0)),1,0)</f>
        <v>0</v>
      </c>
      <c r="S1191" s="3">
        <f t="shared" si="318"/>
        <v>0</v>
      </c>
      <c r="T1191" s="3">
        <f>IF(AND($K1191=1,AND(对接源_01水果!$X1191="公司筐",N(对接源_01水果!$V1191)&lt;&gt;0)),1,0)</f>
        <v>0</v>
      </c>
      <c r="U1191" s="3">
        <f t="shared" si="319"/>
        <v>19</v>
      </c>
      <c r="V1191" s="3">
        <f>IF(AND($L1191=1,AND(对接源_01水果!$X1191="自备筐",N(对接源_01水果!$V1191)&lt;&gt;0)),1,0)</f>
        <v>0</v>
      </c>
      <c r="W1191" s="3">
        <f t="shared" si="320"/>
        <v>8</v>
      </c>
      <c r="X1191" s="3">
        <f>IF(AND($L1191=1,AND(对接源_01水果!$X1191="自备筐",N(对接源_01水果!$T1191)&lt;&gt;0)),1,0)</f>
        <v>0</v>
      </c>
      <c r="Y1191" s="3">
        <f t="shared" si="321"/>
        <v>0</v>
      </c>
      <c r="Z1191" s="3">
        <f>IF(AND($M1191=1,对接源_01水果!$D1191="原料入库"),1,0)</f>
        <v>0</v>
      </c>
      <c r="AA1191" s="3">
        <f t="shared" si="322"/>
        <v>24</v>
      </c>
      <c r="AB1191" s="3">
        <f>IF(AND($M1191=1,LEFT(对接源_01水果!$D1191,4)="原料出库"),1,0)</f>
        <v>0</v>
      </c>
      <c r="AC1191" s="3">
        <f t="shared" si="323"/>
        <v>0</v>
      </c>
      <c r="AD1191" s="3">
        <f>IF(AND($M1191=1,LEFT(对接源_01水果!$D1191,4)="成品出库"),1,0)</f>
        <v>0</v>
      </c>
      <c r="AE1191" s="3">
        <f t="shared" si="324"/>
        <v>0</v>
      </c>
      <c r="AF1191" s="3">
        <f>IF(AND($N1191=1,AND(LEFT(对接源_01水果!$D1191,4)="包装物料",N(对接源_01水果!$K1191)&lt;&gt;0)),1,0)</f>
        <v>0</v>
      </c>
      <c r="AG1191" s="3">
        <f t="shared" si="325"/>
        <v>0</v>
      </c>
      <c r="AH1191" s="3">
        <f>IF(AND($N1191=1,AND(对接源_01水果!$D1191="周转筐－销售出库",N(对接源_01水果!$K1191)&lt;&gt;0)),1,0)</f>
        <v>0</v>
      </c>
      <c r="AI1191" s="3">
        <f t="shared" si="326"/>
        <v>0</v>
      </c>
      <c r="AJ1191" s="7"/>
      <c r="AL1191" s="3">
        <f>IF(OR($AL$1="",对接源_01水果!$Y1191="",对接源_01水果!$Y1191&lt;&gt;$AL$1,对接源_01水果!$B1191="",N(对接源_01水果!$AJ1191)&lt;=0),0,IF(OR(N(对接源_01水果!$B1191)&lt;$AL$2,N(对接源_01水果!$B1191)&gt;$AL$3),0,1))</f>
        <v>0</v>
      </c>
      <c r="AM1191" s="3">
        <f t="shared" si="327"/>
        <v>1</v>
      </c>
      <c r="AN1191" s="3" t="str">
        <f>IF(对接源_01水果!$AC1191="","",对接源_01水果!$AC1191)</f>
        <v/>
      </c>
      <c r="AO1191" s="3">
        <f t="shared" si="328"/>
        <v>0</v>
      </c>
      <c r="AP1191" s="3">
        <f t="shared" si="329"/>
        <v>8</v>
      </c>
      <c r="AR1191">
        <f t="shared" si="330"/>
        <v>0</v>
      </c>
      <c r="AS1191">
        <f t="shared" si="331"/>
        <v>0</v>
      </c>
    </row>
    <row r="1192" ht="14.25" customHeight="1" spans="1:45">
      <c r="A1192" s="3" t="str">
        <f>IF(对接源_01水果!$C1192="","",对接源_01水果!$C1192)</f>
        <v/>
      </c>
      <c r="B1192" s="3">
        <f t="shared" si="315"/>
        <v>0</v>
      </c>
      <c r="C1192" s="3">
        <f t="shared" si="316"/>
        <v>18</v>
      </c>
      <c r="K1192" s="3">
        <f>IF(OR($K$1="",对接源_01水果!$C1192="",对接源_01水果!$C1192&lt;&gt;$K$1,对接源_01水果!$B1192=""),0,IF(OR(N(对接源_01水果!$B1192)&lt;$K$2,N(对接源_01水果!$B1192)&gt;$K$3),0,1))</f>
        <v>0</v>
      </c>
      <c r="L1192" s="3">
        <f>IF(OR($L$1="",对接源_01水果!$C1192="",对接源_01水果!$C1192&lt;&gt;$L$1,对接源_01水果!$B1192=""),0,IF(OR(N(对接源_01水果!$B1192)&lt;$L$2,N(对接源_01水果!$B1192)&gt;$L$3),0,1))</f>
        <v>0</v>
      </c>
      <c r="M1192" s="3">
        <f>IF(OR($M$1="",对接源_01水果!$C1192="",对接源_01水果!$C1192&lt;&gt;$M$1,对接源_01水果!$B1192=""),0,IF(OR(N(对接源_01水果!$B1192)&lt;$M$2,N(对接源_01水果!$B1192)&gt;$M$3),0,1))</f>
        <v>0</v>
      </c>
      <c r="N1192" s="3">
        <f>IF(OR($N$1="",对接源_01水果!$C1192="",对接源_01水果!$C1192&lt;&gt;$N$1,对接源_01水果!$B1192=""),0,IF(OR(N(对接源_01水果!$B1192)&lt;$N$2,N(对接源_01水果!$B1192)&gt;$N$3),0,1))</f>
        <v>0</v>
      </c>
      <c r="P1192" s="3">
        <f>IF(AND($K1192=1,AND(对接源_01水果!$X1192="公司筐",N(对接源_01水果!$T1192)&lt;&gt;0)),1,0)</f>
        <v>0</v>
      </c>
      <c r="Q1192" s="3">
        <f t="shared" si="317"/>
        <v>0</v>
      </c>
      <c r="R1192" s="3">
        <f>IF(AND($K1192=1,AND(对接源_01水果!$X1192="公司筐",N(对接源_01水果!$U1192)&lt;&gt;0)),1,0)</f>
        <v>0</v>
      </c>
      <c r="S1192" s="3">
        <f t="shared" si="318"/>
        <v>0</v>
      </c>
      <c r="T1192" s="3">
        <f>IF(AND($K1192=1,AND(对接源_01水果!$X1192="公司筐",N(对接源_01水果!$V1192)&lt;&gt;0)),1,0)</f>
        <v>0</v>
      </c>
      <c r="U1192" s="3">
        <f t="shared" si="319"/>
        <v>19</v>
      </c>
      <c r="V1192" s="3">
        <f>IF(AND($L1192=1,AND(对接源_01水果!$X1192="自备筐",N(对接源_01水果!$V1192)&lt;&gt;0)),1,0)</f>
        <v>0</v>
      </c>
      <c r="W1192" s="3">
        <f t="shared" si="320"/>
        <v>8</v>
      </c>
      <c r="X1192" s="3">
        <f>IF(AND($L1192=1,AND(对接源_01水果!$X1192="自备筐",N(对接源_01水果!$T1192)&lt;&gt;0)),1,0)</f>
        <v>0</v>
      </c>
      <c r="Y1192" s="3">
        <f t="shared" si="321"/>
        <v>0</v>
      </c>
      <c r="Z1192" s="3">
        <f>IF(AND($M1192=1,对接源_01水果!$D1192="原料入库"),1,0)</f>
        <v>0</v>
      </c>
      <c r="AA1192" s="3">
        <f t="shared" si="322"/>
        <v>24</v>
      </c>
      <c r="AB1192" s="3">
        <f>IF(AND($M1192=1,LEFT(对接源_01水果!$D1192,4)="原料出库"),1,0)</f>
        <v>0</v>
      </c>
      <c r="AC1192" s="3">
        <f t="shared" si="323"/>
        <v>0</v>
      </c>
      <c r="AD1192" s="3">
        <f>IF(AND($M1192=1,LEFT(对接源_01水果!$D1192,4)="成品出库"),1,0)</f>
        <v>0</v>
      </c>
      <c r="AE1192" s="3">
        <f t="shared" si="324"/>
        <v>0</v>
      </c>
      <c r="AF1192" s="3">
        <f>IF(AND($N1192=1,AND(LEFT(对接源_01水果!$D1192,4)="包装物料",N(对接源_01水果!$K1192)&lt;&gt;0)),1,0)</f>
        <v>0</v>
      </c>
      <c r="AG1192" s="3">
        <f t="shared" si="325"/>
        <v>0</v>
      </c>
      <c r="AH1192" s="3">
        <f>IF(AND($N1192=1,AND(对接源_01水果!$D1192="周转筐－销售出库",N(对接源_01水果!$K1192)&lt;&gt;0)),1,0)</f>
        <v>0</v>
      </c>
      <c r="AI1192" s="3">
        <f t="shared" si="326"/>
        <v>0</v>
      </c>
      <c r="AJ1192" s="7"/>
      <c r="AL1192" s="3">
        <f>IF(OR($AL$1="",对接源_01水果!$Y1192="",对接源_01水果!$Y1192&lt;&gt;$AL$1,对接源_01水果!$B1192="",N(对接源_01水果!$AJ1192)&lt;=0),0,IF(OR(N(对接源_01水果!$B1192)&lt;$AL$2,N(对接源_01水果!$B1192)&gt;$AL$3),0,1))</f>
        <v>0</v>
      </c>
      <c r="AM1192" s="3">
        <f t="shared" si="327"/>
        <v>1</v>
      </c>
      <c r="AN1192" s="3" t="str">
        <f>IF(对接源_01水果!$AC1192="","",对接源_01水果!$AC1192)</f>
        <v/>
      </c>
      <c r="AO1192" s="3">
        <f t="shared" si="328"/>
        <v>0</v>
      </c>
      <c r="AP1192" s="3">
        <f t="shared" si="329"/>
        <v>8</v>
      </c>
      <c r="AR1192">
        <f t="shared" si="330"/>
        <v>0</v>
      </c>
      <c r="AS1192">
        <f t="shared" si="331"/>
        <v>0</v>
      </c>
    </row>
    <row r="1193" ht="14.25" customHeight="1" spans="1:45">
      <c r="A1193" s="3" t="str">
        <f>IF(对接源_01水果!$C1193="","",对接源_01水果!$C1193)</f>
        <v/>
      </c>
      <c r="B1193" s="3">
        <f t="shared" si="315"/>
        <v>0</v>
      </c>
      <c r="C1193" s="3">
        <f t="shared" si="316"/>
        <v>18</v>
      </c>
      <c r="K1193" s="3">
        <f>IF(OR($K$1="",对接源_01水果!$C1193="",对接源_01水果!$C1193&lt;&gt;$K$1,对接源_01水果!$B1193=""),0,IF(OR(N(对接源_01水果!$B1193)&lt;$K$2,N(对接源_01水果!$B1193)&gt;$K$3),0,1))</f>
        <v>0</v>
      </c>
      <c r="L1193" s="3">
        <f>IF(OR($L$1="",对接源_01水果!$C1193="",对接源_01水果!$C1193&lt;&gt;$L$1,对接源_01水果!$B1193=""),0,IF(OR(N(对接源_01水果!$B1193)&lt;$L$2,N(对接源_01水果!$B1193)&gt;$L$3),0,1))</f>
        <v>0</v>
      </c>
      <c r="M1193" s="3">
        <f>IF(OR($M$1="",对接源_01水果!$C1193="",对接源_01水果!$C1193&lt;&gt;$M$1,对接源_01水果!$B1193=""),0,IF(OR(N(对接源_01水果!$B1193)&lt;$M$2,N(对接源_01水果!$B1193)&gt;$M$3),0,1))</f>
        <v>0</v>
      </c>
      <c r="N1193" s="3">
        <f>IF(OR($N$1="",对接源_01水果!$C1193="",对接源_01水果!$C1193&lt;&gt;$N$1,对接源_01水果!$B1193=""),0,IF(OR(N(对接源_01水果!$B1193)&lt;$N$2,N(对接源_01水果!$B1193)&gt;$N$3),0,1))</f>
        <v>0</v>
      </c>
      <c r="P1193" s="3">
        <f>IF(AND($K1193=1,AND(对接源_01水果!$X1193="公司筐",N(对接源_01水果!$T1193)&lt;&gt;0)),1,0)</f>
        <v>0</v>
      </c>
      <c r="Q1193" s="3">
        <f t="shared" si="317"/>
        <v>0</v>
      </c>
      <c r="R1193" s="3">
        <f>IF(AND($K1193=1,AND(对接源_01水果!$X1193="公司筐",N(对接源_01水果!$U1193)&lt;&gt;0)),1,0)</f>
        <v>0</v>
      </c>
      <c r="S1193" s="3">
        <f t="shared" si="318"/>
        <v>0</v>
      </c>
      <c r="T1193" s="3">
        <f>IF(AND($K1193=1,AND(对接源_01水果!$X1193="公司筐",N(对接源_01水果!$V1193)&lt;&gt;0)),1,0)</f>
        <v>0</v>
      </c>
      <c r="U1193" s="3">
        <f t="shared" si="319"/>
        <v>19</v>
      </c>
      <c r="V1193" s="3">
        <f>IF(AND($L1193=1,AND(对接源_01水果!$X1193="自备筐",N(对接源_01水果!$V1193)&lt;&gt;0)),1,0)</f>
        <v>0</v>
      </c>
      <c r="W1193" s="3">
        <f t="shared" si="320"/>
        <v>8</v>
      </c>
      <c r="X1193" s="3">
        <f>IF(AND($L1193=1,AND(对接源_01水果!$X1193="自备筐",N(对接源_01水果!$T1193)&lt;&gt;0)),1,0)</f>
        <v>0</v>
      </c>
      <c r="Y1193" s="3">
        <f t="shared" si="321"/>
        <v>0</v>
      </c>
      <c r="Z1193" s="3">
        <f>IF(AND($M1193=1,对接源_01水果!$D1193="原料入库"),1,0)</f>
        <v>0</v>
      </c>
      <c r="AA1193" s="3">
        <f t="shared" si="322"/>
        <v>24</v>
      </c>
      <c r="AB1193" s="3">
        <f>IF(AND($M1193=1,LEFT(对接源_01水果!$D1193,4)="原料出库"),1,0)</f>
        <v>0</v>
      </c>
      <c r="AC1193" s="3">
        <f t="shared" si="323"/>
        <v>0</v>
      </c>
      <c r="AD1193" s="3">
        <f>IF(AND($M1193=1,LEFT(对接源_01水果!$D1193,4)="成品出库"),1,0)</f>
        <v>0</v>
      </c>
      <c r="AE1193" s="3">
        <f t="shared" si="324"/>
        <v>0</v>
      </c>
      <c r="AF1193" s="3">
        <f>IF(AND($N1193=1,AND(LEFT(对接源_01水果!$D1193,4)="包装物料",N(对接源_01水果!$K1193)&lt;&gt;0)),1,0)</f>
        <v>0</v>
      </c>
      <c r="AG1193" s="3">
        <f t="shared" si="325"/>
        <v>0</v>
      </c>
      <c r="AH1193" s="3">
        <f>IF(AND($N1193=1,AND(对接源_01水果!$D1193="周转筐－销售出库",N(对接源_01水果!$K1193)&lt;&gt;0)),1,0)</f>
        <v>0</v>
      </c>
      <c r="AI1193" s="3">
        <f t="shared" si="326"/>
        <v>0</v>
      </c>
      <c r="AJ1193" s="7"/>
      <c r="AL1193" s="3">
        <f>IF(OR($AL$1="",对接源_01水果!$Y1193="",对接源_01水果!$Y1193&lt;&gt;$AL$1,对接源_01水果!$B1193="",N(对接源_01水果!$AJ1193)&lt;=0),0,IF(OR(N(对接源_01水果!$B1193)&lt;$AL$2,N(对接源_01水果!$B1193)&gt;$AL$3),0,1))</f>
        <v>0</v>
      </c>
      <c r="AM1193" s="3">
        <f t="shared" si="327"/>
        <v>1</v>
      </c>
      <c r="AN1193" s="3" t="str">
        <f>IF(对接源_01水果!$AC1193="","",对接源_01水果!$AC1193)</f>
        <v/>
      </c>
      <c r="AO1193" s="3">
        <f t="shared" si="328"/>
        <v>0</v>
      </c>
      <c r="AP1193" s="3">
        <f t="shared" si="329"/>
        <v>8</v>
      </c>
      <c r="AR1193">
        <f t="shared" si="330"/>
        <v>0</v>
      </c>
      <c r="AS1193">
        <f t="shared" si="331"/>
        <v>0</v>
      </c>
    </row>
    <row r="1194" ht="14.25" customHeight="1" spans="1:45">
      <c r="A1194" s="3" t="str">
        <f>IF(对接源_01水果!$C1194="","",对接源_01水果!$C1194)</f>
        <v/>
      </c>
      <c r="B1194" s="3">
        <f t="shared" si="315"/>
        <v>0</v>
      </c>
      <c r="C1194" s="3">
        <f t="shared" si="316"/>
        <v>18</v>
      </c>
      <c r="K1194" s="3">
        <f>IF(OR($K$1="",对接源_01水果!$C1194="",对接源_01水果!$C1194&lt;&gt;$K$1,对接源_01水果!$B1194=""),0,IF(OR(N(对接源_01水果!$B1194)&lt;$K$2,N(对接源_01水果!$B1194)&gt;$K$3),0,1))</f>
        <v>0</v>
      </c>
      <c r="L1194" s="3">
        <f>IF(OR($L$1="",对接源_01水果!$C1194="",对接源_01水果!$C1194&lt;&gt;$L$1,对接源_01水果!$B1194=""),0,IF(OR(N(对接源_01水果!$B1194)&lt;$L$2,N(对接源_01水果!$B1194)&gt;$L$3),0,1))</f>
        <v>0</v>
      </c>
      <c r="M1194" s="3">
        <f>IF(OR($M$1="",对接源_01水果!$C1194="",对接源_01水果!$C1194&lt;&gt;$M$1,对接源_01水果!$B1194=""),0,IF(OR(N(对接源_01水果!$B1194)&lt;$M$2,N(对接源_01水果!$B1194)&gt;$M$3),0,1))</f>
        <v>0</v>
      </c>
      <c r="N1194" s="3">
        <f>IF(OR($N$1="",对接源_01水果!$C1194="",对接源_01水果!$C1194&lt;&gt;$N$1,对接源_01水果!$B1194=""),0,IF(OR(N(对接源_01水果!$B1194)&lt;$N$2,N(对接源_01水果!$B1194)&gt;$N$3),0,1))</f>
        <v>0</v>
      </c>
      <c r="P1194" s="3">
        <f>IF(AND($K1194=1,AND(对接源_01水果!$X1194="公司筐",N(对接源_01水果!$T1194)&lt;&gt;0)),1,0)</f>
        <v>0</v>
      </c>
      <c r="Q1194" s="3">
        <f t="shared" si="317"/>
        <v>0</v>
      </c>
      <c r="R1194" s="3">
        <f>IF(AND($K1194=1,AND(对接源_01水果!$X1194="公司筐",N(对接源_01水果!$U1194)&lt;&gt;0)),1,0)</f>
        <v>0</v>
      </c>
      <c r="S1194" s="3">
        <f t="shared" si="318"/>
        <v>0</v>
      </c>
      <c r="T1194" s="3">
        <f>IF(AND($K1194=1,AND(对接源_01水果!$X1194="公司筐",N(对接源_01水果!$V1194)&lt;&gt;0)),1,0)</f>
        <v>0</v>
      </c>
      <c r="U1194" s="3">
        <f t="shared" si="319"/>
        <v>19</v>
      </c>
      <c r="V1194" s="3">
        <f>IF(AND($L1194=1,AND(对接源_01水果!$X1194="自备筐",N(对接源_01水果!$V1194)&lt;&gt;0)),1,0)</f>
        <v>0</v>
      </c>
      <c r="W1194" s="3">
        <f t="shared" si="320"/>
        <v>8</v>
      </c>
      <c r="X1194" s="3">
        <f>IF(AND($L1194=1,AND(对接源_01水果!$X1194="自备筐",N(对接源_01水果!$T1194)&lt;&gt;0)),1,0)</f>
        <v>0</v>
      </c>
      <c r="Y1194" s="3">
        <f t="shared" si="321"/>
        <v>0</v>
      </c>
      <c r="Z1194" s="3">
        <f>IF(AND($M1194=1,对接源_01水果!$D1194="原料入库"),1,0)</f>
        <v>0</v>
      </c>
      <c r="AA1194" s="3">
        <f t="shared" si="322"/>
        <v>24</v>
      </c>
      <c r="AB1194" s="3">
        <f>IF(AND($M1194=1,LEFT(对接源_01水果!$D1194,4)="原料出库"),1,0)</f>
        <v>0</v>
      </c>
      <c r="AC1194" s="3">
        <f t="shared" si="323"/>
        <v>0</v>
      </c>
      <c r="AD1194" s="3">
        <f>IF(AND($M1194=1,LEFT(对接源_01水果!$D1194,4)="成品出库"),1,0)</f>
        <v>0</v>
      </c>
      <c r="AE1194" s="3">
        <f t="shared" si="324"/>
        <v>0</v>
      </c>
      <c r="AF1194" s="3">
        <f>IF(AND($N1194=1,AND(LEFT(对接源_01水果!$D1194,4)="包装物料",N(对接源_01水果!$K1194)&lt;&gt;0)),1,0)</f>
        <v>0</v>
      </c>
      <c r="AG1194" s="3">
        <f t="shared" si="325"/>
        <v>0</v>
      </c>
      <c r="AH1194" s="3">
        <f>IF(AND($N1194=1,AND(对接源_01水果!$D1194="周转筐－销售出库",N(对接源_01水果!$K1194)&lt;&gt;0)),1,0)</f>
        <v>0</v>
      </c>
      <c r="AI1194" s="3">
        <f t="shared" si="326"/>
        <v>0</v>
      </c>
      <c r="AJ1194" s="7"/>
      <c r="AL1194" s="3">
        <f>IF(OR($AL$1="",对接源_01水果!$Y1194="",对接源_01水果!$Y1194&lt;&gt;$AL$1,对接源_01水果!$B1194="",N(对接源_01水果!$AJ1194)&lt;=0),0,IF(OR(N(对接源_01水果!$B1194)&lt;$AL$2,N(对接源_01水果!$B1194)&gt;$AL$3),0,1))</f>
        <v>0</v>
      </c>
      <c r="AM1194" s="3">
        <f t="shared" si="327"/>
        <v>1</v>
      </c>
      <c r="AN1194" s="3" t="str">
        <f>IF(对接源_01水果!$AC1194="","",对接源_01水果!$AC1194)</f>
        <v/>
      </c>
      <c r="AO1194" s="3">
        <f t="shared" si="328"/>
        <v>0</v>
      </c>
      <c r="AP1194" s="3">
        <f t="shared" si="329"/>
        <v>8</v>
      </c>
      <c r="AR1194">
        <f t="shared" si="330"/>
        <v>0</v>
      </c>
      <c r="AS1194">
        <f t="shared" si="331"/>
        <v>0</v>
      </c>
    </row>
    <row r="1195" ht="14.25" customHeight="1" spans="1:45">
      <c r="A1195" s="3" t="str">
        <f>IF(对接源_01水果!$C1195="","",对接源_01水果!$C1195)</f>
        <v/>
      </c>
      <c r="B1195" s="3">
        <f t="shared" si="315"/>
        <v>0</v>
      </c>
      <c r="C1195" s="3">
        <f t="shared" si="316"/>
        <v>18</v>
      </c>
      <c r="K1195" s="3">
        <f>IF(OR($K$1="",对接源_01水果!$C1195="",对接源_01水果!$C1195&lt;&gt;$K$1,对接源_01水果!$B1195=""),0,IF(OR(N(对接源_01水果!$B1195)&lt;$K$2,N(对接源_01水果!$B1195)&gt;$K$3),0,1))</f>
        <v>0</v>
      </c>
      <c r="L1195" s="3">
        <f>IF(OR($L$1="",对接源_01水果!$C1195="",对接源_01水果!$C1195&lt;&gt;$L$1,对接源_01水果!$B1195=""),0,IF(OR(N(对接源_01水果!$B1195)&lt;$L$2,N(对接源_01水果!$B1195)&gt;$L$3),0,1))</f>
        <v>0</v>
      </c>
      <c r="M1195" s="3">
        <f>IF(OR($M$1="",对接源_01水果!$C1195="",对接源_01水果!$C1195&lt;&gt;$M$1,对接源_01水果!$B1195=""),0,IF(OR(N(对接源_01水果!$B1195)&lt;$M$2,N(对接源_01水果!$B1195)&gt;$M$3),0,1))</f>
        <v>0</v>
      </c>
      <c r="N1195" s="3">
        <f>IF(OR($N$1="",对接源_01水果!$C1195="",对接源_01水果!$C1195&lt;&gt;$N$1,对接源_01水果!$B1195=""),0,IF(OR(N(对接源_01水果!$B1195)&lt;$N$2,N(对接源_01水果!$B1195)&gt;$N$3),0,1))</f>
        <v>0</v>
      </c>
      <c r="P1195" s="3">
        <f>IF(AND($K1195=1,AND(对接源_01水果!$X1195="公司筐",N(对接源_01水果!$T1195)&lt;&gt;0)),1,0)</f>
        <v>0</v>
      </c>
      <c r="Q1195" s="3">
        <f t="shared" si="317"/>
        <v>0</v>
      </c>
      <c r="R1195" s="3">
        <f>IF(AND($K1195=1,AND(对接源_01水果!$X1195="公司筐",N(对接源_01水果!$U1195)&lt;&gt;0)),1,0)</f>
        <v>0</v>
      </c>
      <c r="S1195" s="3">
        <f t="shared" si="318"/>
        <v>0</v>
      </c>
      <c r="T1195" s="3">
        <f>IF(AND($K1195=1,AND(对接源_01水果!$X1195="公司筐",N(对接源_01水果!$V1195)&lt;&gt;0)),1,0)</f>
        <v>0</v>
      </c>
      <c r="U1195" s="3">
        <f t="shared" si="319"/>
        <v>19</v>
      </c>
      <c r="V1195" s="3">
        <f>IF(AND($L1195=1,AND(对接源_01水果!$X1195="自备筐",N(对接源_01水果!$V1195)&lt;&gt;0)),1,0)</f>
        <v>0</v>
      </c>
      <c r="W1195" s="3">
        <f t="shared" si="320"/>
        <v>8</v>
      </c>
      <c r="X1195" s="3">
        <f>IF(AND($L1195=1,AND(对接源_01水果!$X1195="自备筐",N(对接源_01水果!$T1195)&lt;&gt;0)),1,0)</f>
        <v>0</v>
      </c>
      <c r="Y1195" s="3">
        <f t="shared" si="321"/>
        <v>0</v>
      </c>
      <c r="Z1195" s="3">
        <f>IF(AND($M1195=1,对接源_01水果!$D1195="原料入库"),1,0)</f>
        <v>0</v>
      </c>
      <c r="AA1195" s="3">
        <f t="shared" si="322"/>
        <v>24</v>
      </c>
      <c r="AB1195" s="3">
        <f>IF(AND($M1195=1,LEFT(对接源_01水果!$D1195,4)="原料出库"),1,0)</f>
        <v>0</v>
      </c>
      <c r="AC1195" s="3">
        <f t="shared" si="323"/>
        <v>0</v>
      </c>
      <c r="AD1195" s="3">
        <f>IF(AND($M1195=1,LEFT(对接源_01水果!$D1195,4)="成品出库"),1,0)</f>
        <v>0</v>
      </c>
      <c r="AE1195" s="3">
        <f t="shared" si="324"/>
        <v>0</v>
      </c>
      <c r="AF1195" s="3">
        <f>IF(AND($N1195=1,AND(LEFT(对接源_01水果!$D1195,4)="包装物料",N(对接源_01水果!$K1195)&lt;&gt;0)),1,0)</f>
        <v>0</v>
      </c>
      <c r="AG1195" s="3">
        <f t="shared" si="325"/>
        <v>0</v>
      </c>
      <c r="AH1195" s="3">
        <f>IF(AND($N1195=1,AND(对接源_01水果!$D1195="周转筐－销售出库",N(对接源_01水果!$K1195)&lt;&gt;0)),1,0)</f>
        <v>0</v>
      </c>
      <c r="AI1195" s="3">
        <f t="shared" si="326"/>
        <v>0</v>
      </c>
      <c r="AJ1195" s="7"/>
      <c r="AL1195" s="3">
        <f>IF(OR($AL$1="",对接源_01水果!$Y1195="",对接源_01水果!$Y1195&lt;&gt;$AL$1,对接源_01水果!$B1195="",N(对接源_01水果!$AJ1195)&lt;=0),0,IF(OR(N(对接源_01水果!$B1195)&lt;$AL$2,N(对接源_01水果!$B1195)&gt;$AL$3),0,1))</f>
        <v>0</v>
      </c>
      <c r="AM1195" s="3">
        <f t="shared" si="327"/>
        <v>1</v>
      </c>
      <c r="AN1195" s="3" t="str">
        <f>IF(对接源_01水果!$AC1195="","",对接源_01水果!$AC1195)</f>
        <v/>
      </c>
      <c r="AO1195" s="3">
        <f t="shared" si="328"/>
        <v>0</v>
      </c>
      <c r="AP1195" s="3">
        <f t="shared" si="329"/>
        <v>8</v>
      </c>
      <c r="AR1195">
        <f t="shared" si="330"/>
        <v>0</v>
      </c>
      <c r="AS1195">
        <f t="shared" si="331"/>
        <v>0</v>
      </c>
    </row>
    <row r="1196" ht="14.25" customHeight="1" spans="1:45">
      <c r="A1196" s="3" t="str">
        <f>IF(对接源_01水果!$C1196="","",对接源_01水果!$C1196)</f>
        <v/>
      </c>
      <c r="B1196" s="3">
        <f t="shared" si="315"/>
        <v>0</v>
      </c>
      <c r="C1196" s="3">
        <f t="shared" si="316"/>
        <v>18</v>
      </c>
      <c r="K1196" s="3">
        <f>IF(OR($K$1="",对接源_01水果!$C1196="",对接源_01水果!$C1196&lt;&gt;$K$1,对接源_01水果!$B1196=""),0,IF(OR(N(对接源_01水果!$B1196)&lt;$K$2,N(对接源_01水果!$B1196)&gt;$K$3),0,1))</f>
        <v>0</v>
      </c>
      <c r="L1196" s="3">
        <f>IF(OR($L$1="",对接源_01水果!$C1196="",对接源_01水果!$C1196&lt;&gt;$L$1,对接源_01水果!$B1196=""),0,IF(OR(N(对接源_01水果!$B1196)&lt;$L$2,N(对接源_01水果!$B1196)&gt;$L$3),0,1))</f>
        <v>0</v>
      </c>
      <c r="M1196" s="3">
        <f>IF(OR($M$1="",对接源_01水果!$C1196="",对接源_01水果!$C1196&lt;&gt;$M$1,对接源_01水果!$B1196=""),0,IF(OR(N(对接源_01水果!$B1196)&lt;$M$2,N(对接源_01水果!$B1196)&gt;$M$3),0,1))</f>
        <v>0</v>
      </c>
      <c r="N1196" s="3">
        <f>IF(OR($N$1="",对接源_01水果!$C1196="",对接源_01水果!$C1196&lt;&gt;$N$1,对接源_01水果!$B1196=""),0,IF(OR(N(对接源_01水果!$B1196)&lt;$N$2,N(对接源_01水果!$B1196)&gt;$N$3),0,1))</f>
        <v>0</v>
      </c>
      <c r="P1196" s="3">
        <f>IF(AND($K1196=1,AND(对接源_01水果!$X1196="公司筐",N(对接源_01水果!$T1196)&lt;&gt;0)),1,0)</f>
        <v>0</v>
      </c>
      <c r="Q1196" s="3">
        <f t="shared" si="317"/>
        <v>0</v>
      </c>
      <c r="R1196" s="3">
        <f>IF(AND($K1196=1,AND(对接源_01水果!$X1196="公司筐",N(对接源_01水果!$U1196)&lt;&gt;0)),1,0)</f>
        <v>0</v>
      </c>
      <c r="S1196" s="3">
        <f t="shared" si="318"/>
        <v>0</v>
      </c>
      <c r="T1196" s="3">
        <f>IF(AND($K1196=1,AND(对接源_01水果!$X1196="公司筐",N(对接源_01水果!$V1196)&lt;&gt;0)),1,0)</f>
        <v>0</v>
      </c>
      <c r="U1196" s="3">
        <f t="shared" si="319"/>
        <v>19</v>
      </c>
      <c r="V1196" s="3">
        <f>IF(AND($L1196=1,AND(对接源_01水果!$X1196="自备筐",N(对接源_01水果!$V1196)&lt;&gt;0)),1,0)</f>
        <v>0</v>
      </c>
      <c r="W1196" s="3">
        <f t="shared" si="320"/>
        <v>8</v>
      </c>
      <c r="X1196" s="3">
        <f>IF(AND($L1196=1,AND(对接源_01水果!$X1196="自备筐",N(对接源_01水果!$T1196)&lt;&gt;0)),1,0)</f>
        <v>0</v>
      </c>
      <c r="Y1196" s="3">
        <f t="shared" si="321"/>
        <v>0</v>
      </c>
      <c r="Z1196" s="3">
        <f>IF(AND($M1196=1,对接源_01水果!$D1196="原料入库"),1,0)</f>
        <v>0</v>
      </c>
      <c r="AA1196" s="3">
        <f t="shared" si="322"/>
        <v>24</v>
      </c>
      <c r="AB1196" s="3">
        <f>IF(AND($M1196=1,LEFT(对接源_01水果!$D1196,4)="原料出库"),1,0)</f>
        <v>0</v>
      </c>
      <c r="AC1196" s="3">
        <f t="shared" si="323"/>
        <v>0</v>
      </c>
      <c r="AD1196" s="3">
        <f>IF(AND($M1196=1,LEFT(对接源_01水果!$D1196,4)="成品出库"),1,0)</f>
        <v>0</v>
      </c>
      <c r="AE1196" s="3">
        <f t="shared" si="324"/>
        <v>0</v>
      </c>
      <c r="AF1196" s="3">
        <f>IF(AND($N1196=1,AND(LEFT(对接源_01水果!$D1196,4)="包装物料",N(对接源_01水果!$K1196)&lt;&gt;0)),1,0)</f>
        <v>0</v>
      </c>
      <c r="AG1196" s="3">
        <f t="shared" si="325"/>
        <v>0</v>
      </c>
      <c r="AH1196" s="3">
        <f>IF(AND($N1196=1,AND(对接源_01水果!$D1196="周转筐－销售出库",N(对接源_01水果!$K1196)&lt;&gt;0)),1,0)</f>
        <v>0</v>
      </c>
      <c r="AI1196" s="3">
        <f t="shared" si="326"/>
        <v>0</v>
      </c>
      <c r="AJ1196" s="7"/>
      <c r="AL1196" s="3">
        <f>IF(OR($AL$1="",对接源_01水果!$Y1196="",对接源_01水果!$Y1196&lt;&gt;$AL$1,对接源_01水果!$B1196="",N(对接源_01水果!$AJ1196)&lt;=0),0,IF(OR(N(对接源_01水果!$B1196)&lt;$AL$2,N(对接源_01水果!$B1196)&gt;$AL$3),0,1))</f>
        <v>0</v>
      </c>
      <c r="AM1196" s="3">
        <f t="shared" si="327"/>
        <v>1</v>
      </c>
      <c r="AN1196" s="3" t="str">
        <f>IF(对接源_01水果!$AC1196="","",对接源_01水果!$AC1196)</f>
        <v/>
      </c>
      <c r="AO1196" s="3">
        <f t="shared" si="328"/>
        <v>0</v>
      </c>
      <c r="AP1196" s="3">
        <f t="shared" si="329"/>
        <v>8</v>
      </c>
      <c r="AR1196">
        <f t="shared" si="330"/>
        <v>0</v>
      </c>
      <c r="AS1196">
        <f t="shared" si="331"/>
        <v>0</v>
      </c>
    </row>
    <row r="1197" ht="14.25" customHeight="1" spans="1:45">
      <c r="A1197" s="3" t="str">
        <f>IF(对接源_01水果!$C1197="","",对接源_01水果!$C1197)</f>
        <v/>
      </c>
      <c r="B1197" s="3">
        <f t="shared" si="315"/>
        <v>0</v>
      </c>
      <c r="C1197" s="3">
        <f t="shared" si="316"/>
        <v>18</v>
      </c>
      <c r="K1197" s="3">
        <f>IF(OR($K$1="",对接源_01水果!$C1197="",对接源_01水果!$C1197&lt;&gt;$K$1,对接源_01水果!$B1197=""),0,IF(OR(N(对接源_01水果!$B1197)&lt;$K$2,N(对接源_01水果!$B1197)&gt;$K$3),0,1))</f>
        <v>0</v>
      </c>
      <c r="L1197" s="3">
        <f>IF(OR($L$1="",对接源_01水果!$C1197="",对接源_01水果!$C1197&lt;&gt;$L$1,对接源_01水果!$B1197=""),0,IF(OR(N(对接源_01水果!$B1197)&lt;$L$2,N(对接源_01水果!$B1197)&gt;$L$3),0,1))</f>
        <v>0</v>
      </c>
      <c r="M1197" s="3">
        <f>IF(OR($M$1="",对接源_01水果!$C1197="",对接源_01水果!$C1197&lt;&gt;$M$1,对接源_01水果!$B1197=""),0,IF(OR(N(对接源_01水果!$B1197)&lt;$M$2,N(对接源_01水果!$B1197)&gt;$M$3),0,1))</f>
        <v>0</v>
      </c>
      <c r="N1197" s="3">
        <f>IF(OR($N$1="",对接源_01水果!$C1197="",对接源_01水果!$C1197&lt;&gt;$N$1,对接源_01水果!$B1197=""),0,IF(OR(N(对接源_01水果!$B1197)&lt;$N$2,N(对接源_01水果!$B1197)&gt;$N$3),0,1))</f>
        <v>0</v>
      </c>
      <c r="P1197" s="3">
        <f>IF(AND($K1197=1,AND(对接源_01水果!$X1197="公司筐",N(对接源_01水果!$T1197)&lt;&gt;0)),1,0)</f>
        <v>0</v>
      </c>
      <c r="Q1197" s="3">
        <f t="shared" si="317"/>
        <v>0</v>
      </c>
      <c r="R1197" s="3">
        <f>IF(AND($K1197=1,AND(对接源_01水果!$X1197="公司筐",N(对接源_01水果!$U1197)&lt;&gt;0)),1,0)</f>
        <v>0</v>
      </c>
      <c r="S1197" s="3">
        <f t="shared" si="318"/>
        <v>0</v>
      </c>
      <c r="T1197" s="3">
        <f>IF(AND($K1197=1,AND(对接源_01水果!$X1197="公司筐",N(对接源_01水果!$V1197)&lt;&gt;0)),1,0)</f>
        <v>0</v>
      </c>
      <c r="U1197" s="3">
        <f t="shared" si="319"/>
        <v>19</v>
      </c>
      <c r="V1197" s="3">
        <f>IF(AND($L1197=1,AND(对接源_01水果!$X1197="自备筐",N(对接源_01水果!$V1197)&lt;&gt;0)),1,0)</f>
        <v>0</v>
      </c>
      <c r="W1197" s="3">
        <f t="shared" si="320"/>
        <v>8</v>
      </c>
      <c r="X1197" s="3">
        <f>IF(AND($L1197=1,AND(对接源_01水果!$X1197="自备筐",N(对接源_01水果!$T1197)&lt;&gt;0)),1,0)</f>
        <v>0</v>
      </c>
      <c r="Y1197" s="3">
        <f t="shared" si="321"/>
        <v>0</v>
      </c>
      <c r="Z1197" s="3">
        <f>IF(AND($M1197=1,对接源_01水果!$D1197="原料入库"),1,0)</f>
        <v>0</v>
      </c>
      <c r="AA1197" s="3">
        <f t="shared" si="322"/>
        <v>24</v>
      </c>
      <c r="AB1197" s="3">
        <f>IF(AND($M1197=1,LEFT(对接源_01水果!$D1197,4)="原料出库"),1,0)</f>
        <v>0</v>
      </c>
      <c r="AC1197" s="3">
        <f t="shared" si="323"/>
        <v>0</v>
      </c>
      <c r="AD1197" s="3">
        <f>IF(AND($M1197=1,LEFT(对接源_01水果!$D1197,4)="成品出库"),1,0)</f>
        <v>0</v>
      </c>
      <c r="AE1197" s="3">
        <f t="shared" si="324"/>
        <v>0</v>
      </c>
      <c r="AF1197" s="3">
        <f>IF(AND($N1197=1,AND(LEFT(对接源_01水果!$D1197,4)="包装物料",N(对接源_01水果!$K1197)&lt;&gt;0)),1,0)</f>
        <v>0</v>
      </c>
      <c r="AG1197" s="3">
        <f t="shared" si="325"/>
        <v>0</v>
      </c>
      <c r="AH1197" s="3">
        <f>IF(AND($N1197=1,AND(对接源_01水果!$D1197="周转筐－销售出库",N(对接源_01水果!$K1197)&lt;&gt;0)),1,0)</f>
        <v>0</v>
      </c>
      <c r="AI1197" s="3">
        <f t="shared" si="326"/>
        <v>0</v>
      </c>
      <c r="AJ1197" s="7"/>
      <c r="AL1197" s="3">
        <f>IF(OR($AL$1="",对接源_01水果!$Y1197="",对接源_01水果!$Y1197&lt;&gt;$AL$1,对接源_01水果!$B1197="",N(对接源_01水果!$AJ1197)&lt;=0),0,IF(OR(N(对接源_01水果!$B1197)&lt;$AL$2,N(对接源_01水果!$B1197)&gt;$AL$3),0,1))</f>
        <v>0</v>
      </c>
      <c r="AM1197" s="3">
        <f t="shared" si="327"/>
        <v>1</v>
      </c>
      <c r="AN1197" s="3" t="str">
        <f>IF(对接源_01水果!$AC1197="","",对接源_01水果!$AC1197)</f>
        <v/>
      </c>
      <c r="AO1197" s="3">
        <f t="shared" si="328"/>
        <v>0</v>
      </c>
      <c r="AP1197" s="3">
        <f t="shared" si="329"/>
        <v>8</v>
      </c>
      <c r="AR1197">
        <f t="shared" si="330"/>
        <v>0</v>
      </c>
      <c r="AS1197">
        <f t="shared" si="331"/>
        <v>0</v>
      </c>
    </row>
    <row r="1198" ht="14.25" customHeight="1" spans="1:45">
      <c r="A1198" s="3" t="str">
        <f>IF(对接源_01水果!$C1198="","",对接源_01水果!$C1198)</f>
        <v/>
      </c>
      <c r="B1198" s="3">
        <f t="shared" si="315"/>
        <v>0</v>
      </c>
      <c r="C1198" s="3">
        <f t="shared" si="316"/>
        <v>18</v>
      </c>
      <c r="K1198" s="3">
        <f>IF(OR($K$1="",对接源_01水果!$C1198="",对接源_01水果!$C1198&lt;&gt;$K$1,对接源_01水果!$B1198=""),0,IF(OR(N(对接源_01水果!$B1198)&lt;$K$2,N(对接源_01水果!$B1198)&gt;$K$3),0,1))</f>
        <v>0</v>
      </c>
      <c r="L1198" s="3">
        <f>IF(OR($L$1="",对接源_01水果!$C1198="",对接源_01水果!$C1198&lt;&gt;$L$1,对接源_01水果!$B1198=""),0,IF(OR(N(对接源_01水果!$B1198)&lt;$L$2,N(对接源_01水果!$B1198)&gt;$L$3),0,1))</f>
        <v>0</v>
      </c>
      <c r="M1198" s="3">
        <f>IF(OR($M$1="",对接源_01水果!$C1198="",对接源_01水果!$C1198&lt;&gt;$M$1,对接源_01水果!$B1198=""),0,IF(OR(N(对接源_01水果!$B1198)&lt;$M$2,N(对接源_01水果!$B1198)&gt;$M$3),0,1))</f>
        <v>0</v>
      </c>
      <c r="N1198" s="3">
        <f>IF(OR($N$1="",对接源_01水果!$C1198="",对接源_01水果!$C1198&lt;&gt;$N$1,对接源_01水果!$B1198=""),0,IF(OR(N(对接源_01水果!$B1198)&lt;$N$2,N(对接源_01水果!$B1198)&gt;$N$3),0,1))</f>
        <v>0</v>
      </c>
      <c r="P1198" s="3">
        <f>IF(AND($K1198=1,AND(对接源_01水果!$X1198="公司筐",N(对接源_01水果!$T1198)&lt;&gt;0)),1,0)</f>
        <v>0</v>
      </c>
      <c r="Q1198" s="3">
        <f t="shared" si="317"/>
        <v>0</v>
      </c>
      <c r="R1198" s="3">
        <f>IF(AND($K1198=1,AND(对接源_01水果!$X1198="公司筐",N(对接源_01水果!$U1198)&lt;&gt;0)),1,0)</f>
        <v>0</v>
      </c>
      <c r="S1198" s="3">
        <f t="shared" si="318"/>
        <v>0</v>
      </c>
      <c r="T1198" s="3">
        <f>IF(AND($K1198=1,AND(对接源_01水果!$X1198="公司筐",N(对接源_01水果!$V1198)&lt;&gt;0)),1,0)</f>
        <v>0</v>
      </c>
      <c r="U1198" s="3">
        <f t="shared" si="319"/>
        <v>19</v>
      </c>
      <c r="V1198" s="3">
        <f>IF(AND($L1198=1,AND(对接源_01水果!$X1198="自备筐",N(对接源_01水果!$V1198)&lt;&gt;0)),1,0)</f>
        <v>0</v>
      </c>
      <c r="W1198" s="3">
        <f t="shared" si="320"/>
        <v>8</v>
      </c>
      <c r="X1198" s="3">
        <f>IF(AND($L1198=1,AND(对接源_01水果!$X1198="自备筐",N(对接源_01水果!$T1198)&lt;&gt;0)),1,0)</f>
        <v>0</v>
      </c>
      <c r="Y1198" s="3">
        <f t="shared" si="321"/>
        <v>0</v>
      </c>
      <c r="Z1198" s="3">
        <f>IF(AND($M1198=1,对接源_01水果!$D1198="原料入库"),1,0)</f>
        <v>0</v>
      </c>
      <c r="AA1198" s="3">
        <f t="shared" si="322"/>
        <v>24</v>
      </c>
      <c r="AB1198" s="3">
        <f>IF(AND($M1198=1,LEFT(对接源_01水果!$D1198,4)="原料出库"),1,0)</f>
        <v>0</v>
      </c>
      <c r="AC1198" s="3">
        <f t="shared" si="323"/>
        <v>0</v>
      </c>
      <c r="AD1198" s="3">
        <f>IF(AND($M1198=1,LEFT(对接源_01水果!$D1198,4)="成品出库"),1,0)</f>
        <v>0</v>
      </c>
      <c r="AE1198" s="3">
        <f t="shared" si="324"/>
        <v>0</v>
      </c>
      <c r="AF1198" s="3">
        <f>IF(AND($N1198=1,AND(LEFT(对接源_01水果!$D1198,4)="包装物料",N(对接源_01水果!$K1198)&lt;&gt;0)),1,0)</f>
        <v>0</v>
      </c>
      <c r="AG1198" s="3">
        <f t="shared" si="325"/>
        <v>0</v>
      </c>
      <c r="AH1198" s="3">
        <f>IF(AND($N1198=1,AND(对接源_01水果!$D1198="周转筐－销售出库",N(对接源_01水果!$K1198)&lt;&gt;0)),1,0)</f>
        <v>0</v>
      </c>
      <c r="AI1198" s="3">
        <f t="shared" si="326"/>
        <v>0</v>
      </c>
      <c r="AJ1198" s="7"/>
      <c r="AL1198" s="3">
        <f>IF(OR($AL$1="",对接源_01水果!$Y1198="",对接源_01水果!$Y1198&lt;&gt;$AL$1,对接源_01水果!$B1198="",N(对接源_01水果!$AJ1198)&lt;=0),0,IF(OR(N(对接源_01水果!$B1198)&lt;$AL$2,N(对接源_01水果!$B1198)&gt;$AL$3),0,1))</f>
        <v>0</v>
      </c>
      <c r="AM1198" s="3">
        <f t="shared" si="327"/>
        <v>1</v>
      </c>
      <c r="AN1198" s="3" t="str">
        <f>IF(对接源_01水果!$AC1198="","",对接源_01水果!$AC1198)</f>
        <v/>
      </c>
      <c r="AO1198" s="3">
        <f t="shared" si="328"/>
        <v>0</v>
      </c>
      <c r="AP1198" s="3">
        <f t="shared" si="329"/>
        <v>8</v>
      </c>
      <c r="AR1198">
        <f t="shared" si="330"/>
        <v>0</v>
      </c>
      <c r="AS1198">
        <f t="shared" si="331"/>
        <v>0</v>
      </c>
    </row>
    <row r="1199" ht="14.25" customHeight="1" spans="1:45">
      <c r="A1199" s="3" t="str">
        <f>IF(对接源_01水果!$C1199="","",对接源_01水果!$C1199)</f>
        <v/>
      </c>
      <c r="B1199" s="3">
        <f t="shared" si="315"/>
        <v>0</v>
      </c>
      <c r="C1199" s="3">
        <f t="shared" si="316"/>
        <v>18</v>
      </c>
      <c r="K1199" s="3">
        <f>IF(OR($K$1="",对接源_01水果!$C1199="",对接源_01水果!$C1199&lt;&gt;$K$1,对接源_01水果!$B1199=""),0,IF(OR(N(对接源_01水果!$B1199)&lt;$K$2,N(对接源_01水果!$B1199)&gt;$K$3),0,1))</f>
        <v>0</v>
      </c>
      <c r="L1199" s="3">
        <f>IF(OR($L$1="",对接源_01水果!$C1199="",对接源_01水果!$C1199&lt;&gt;$L$1,对接源_01水果!$B1199=""),0,IF(OR(N(对接源_01水果!$B1199)&lt;$L$2,N(对接源_01水果!$B1199)&gt;$L$3),0,1))</f>
        <v>0</v>
      </c>
      <c r="M1199" s="3">
        <f>IF(OR($M$1="",对接源_01水果!$C1199="",对接源_01水果!$C1199&lt;&gt;$M$1,对接源_01水果!$B1199=""),0,IF(OR(N(对接源_01水果!$B1199)&lt;$M$2,N(对接源_01水果!$B1199)&gt;$M$3),0,1))</f>
        <v>0</v>
      </c>
      <c r="N1199" s="3">
        <f>IF(OR($N$1="",对接源_01水果!$C1199="",对接源_01水果!$C1199&lt;&gt;$N$1,对接源_01水果!$B1199=""),0,IF(OR(N(对接源_01水果!$B1199)&lt;$N$2,N(对接源_01水果!$B1199)&gt;$N$3),0,1))</f>
        <v>0</v>
      </c>
      <c r="P1199" s="3">
        <f>IF(AND($K1199=1,AND(对接源_01水果!$X1199="公司筐",N(对接源_01水果!$T1199)&lt;&gt;0)),1,0)</f>
        <v>0</v>
      </c>
      <c r="Q1199" s="3">
        <f t="shared" si="317"/>
        <v>0</v>
      </c>
      <c r="R1199" s="3">
        <f>IF(AND($K1199=1,AND(对接源_01水果!$X1199="公司筐",N(对接源_01水果!$U1199)&lt;&gt;0)),1,0)</f>
        <v>0</v>
      </c>
      <c r="S1199" s="3">
        <f t="shared" si="318"/>
        <v>0</v>
      </c>
      <c r="T1199" s="3">
        <f>IF(AND($K1199=1,AND(对接源_01水果!$X1199="公司筐",N(对接源_01水果!$V1199)&lt;&gt;0)),1,0)</f>
        <v>0</v>
      </c>
      <c r="U1199" s="3">
        <f t="shared" si="319"/>
        <v>19</v>
      </c>
      <c r="V1199" s="3">
        <f>IF(AND($L1199=1,AND(对接源_01水果!$X1199="自备筐",N(对接源_01水果!$V1199)&lt;&gt;0)),1,0)</f>
        <v>0</v>
      </c>
      <c r="W1199" s="3">
        <f t="shared" si="320"/>
        <v>8</v>
      </c>
      <c r="X1199" s="3">
        <f>IF(AND($L1199=1,AND(对接源_01水果!$X1199="自备筐",N(对接源_01水果!$T1199)&lt;&gt;0)),1,0)</f>
        <v>0</v>
      </c>
      <c r="Y1199" s="3">
        <f t="shared" si="321"/>
        <v>0</v>
      </c>
      <c r="Z1199" s="3">
        <f>IF(AND($M1199=1,对接源_01水果!$D1199="原料入库"),1,0)</f>
        <v>0</v>
      </c>
      <c r="AA1199" s="3">
        <f t="shared" si="322"/>
        <v>24</v>
      </c>
      <c r="AB1199" s="3">
        <f>IF(AND($M1199=1,LEFT(对接源_01水果!$D1199,4)="原料出库"),1,0)</f>
        <v>0</v>
      </c>
      <c r="AC1199" s="3">
        <f t="shared" si="323"/>
        <v>0</v>
      </c>
      <c r="AD1199" s="3">
        <f>IF(AND($M1199=1,LEFT(对接源_01水果!$D1199,4)="成品出库"),1,0)</f>
        <v>0</v>
      </c>
      <c r="AE1199" s="3">
        <f t="shared" si="324"/>
        <v>0</v>
      </c>
      <c r="AF1199" s="3">
        <f>IF(AND($N1199=1,AND(LEFT(对接源_01水果!$D1199,4)="包装物料",N(对接源_01水果!$K1199)&lt;&gt;0)),1,0)</f>
        <v>0</v>
      </c>
      <c r="AG1199" s="3">
        <f t="shared" si="325"/>
        <v>0</v>
      </c>
      <c r="AH1199" s="3">
        <f>IF(AND($N1199=1,AND(对接源_01水果!$D1199="周转筐－销售出库",N(对接源_01水果!$K1199)&lt;&gt;0)),1,0)</f>
        <v>0</v>
      </c>
      <c r="AI1199" s="3">
        <f t="shared" si="326"/>
        <v>0</v>
      </c>
      <c r="AJ1199" s="7"/>
      <c r="AL1199" s="3">
        <f>IF(OR($AL$1="",对接源_01水果!$Y1199="",对接源_01水果!$Y1199&lt;&gt;$AL$1,对接源_01水果!$B1199="",N(对接源_01水果!$AJ1199)&lt;=0),0,IF(OR(N(对接源_01水果!$B1199)&lt;$AL$2,N(对接源_01水果!$B1199)&gt;$AL$3),0,1))</f>
        <v>0</v>
      </c>
      <c r="AM1199" s="3">
        <f t="shared" si="327"/>
        <v>1</v>
      </c>
      <c r="AN1199" s="3" t="str">
        <f>IF(对接源_01水果!$AC1199="","",对接源_01水果!$AC1199)</f>
        <v/>
      </c>
      <c r="AO1199" s="3">
        <f t="shared" si="328"/>
        <v>0</v>
      </c>
      <c r="AP1199" s="3">
        <f t="shared" si="329"/>
        <v>8</v>
      </c>
      <c r="AR1199">
        <f t="shared" si="330"/>
        <v>0</v>
      </c>
      <c r="AS1199">
        <f t="shared" si="331"/>
        <v>0</v>
      </c>
    </row>
    <row r="1200" ht="14.25" customHeight="1" spans="1:45">
      <c r="A1200" s="3" t="str">
        <f>IF(对接源_01水果!$C1200="","",对接源_01水果!$C1200)</f>
        <v/>
      </c>
      <c r="B1200" s="3">
        <f t="shared" si="315"/>
        <v>0</v>
      </c>
      <c r="C1200" s="3">
        <f t="shared" si="316"/>
        <v>18</v>
      </c>
      <c r="K1200" s="3">
        <f>IF(OR($K$1="",对接源_01水果!$C1200="",对接源_01水果!$C1200&lt;&gt;$K$1,对接源_01水果!$B1200=""),0,IF(OR(N(对接源_01水果!$B1200)&lt;$K$2,N(对接源_01水果!$B1200)&gt;$K$3),0,1))</f>
        <v>0</v>
      </c>
      <c r="L1200" s="3">
        <f>IF(OR($L$1="",对接源_01水果!$C1200="",对接源_01水果!$C1200&lt;&gt;$L$1,对接源_01水果!$B1200=""),0,IF(OR(N(对接源_01水果!$B1200)&lt;$L$2,N(对接源_01水果!$B1200)&gt;$L$3),0,1))</f>
        <v>0</v>
      </c>
      <c r="M1200" s="3">
        <f>IF(OR($M$1="",对接源_01水果!$C1200="",对接源_01水果!$C1200&lt;&gt;$M$1,对接源_01水果!$B1200=""),0,IF(OR(N(对接源_01水果!$B1200)&lt;$M$2,N(对接源_01水果!$B1200)&gt;$M$3),0,1))</f>
        <v>0</v>
      </c>
      <c r="N1200" s="3">
        <f>IF(OR($N$1="",对接源_01水果!$C1200="",对接源_01水果!$C1200&lt;&gt;$N$1,对接源_01水果!$B1200=""),0,IF(OR(N(对接源_01水果!$B1200)&lt;$N$2,N(对接源_01水果!$B1200)&gt;$N$3),0,1))</f>
        <v>0</v>
      </c>
      <c r="P1200" s="3">
        <f>IF(AND($K1200=1,AND(对接源_01水果!$X1200="公司筐",N(对接源_01水果!$T1200)&lt;&gt;0)),1,0)</f>
        <v>0</v>
      </c>
      <c r="Q1200" s="3">
        <f t="shared" si="317"/>
        <v>0</v>
      </c>
      <c r="R1200" s="3">
        <f>IF(AND($K1200=1,AND(对接源_01水果!$X1200="公司筐",N(对接源_01水果!$U1200)&lt;&gt;0)),1,0)</f>
        <v>0</v>
      </c>
      <c r="S1200" s="3">
        <f t="shared" si="318"/>
        <v>0</v>
      </c>
      <c r="T1200" s="3">
        <f>IF(AND($K1200=1,AND(对接源_01水果!$X1200="公司筐",N(对接源_01水果!$V1200)&lt;&gt;0)),1,0)</f>
        <v>0</v>
      </c>
      <c r="U1200" s="3">
        <f t="shared" si="319"/>
        <v>19</v>
      </c>
      <c r="V1200" s="3">
        <f>IF(AND($L1200=1,AND(对接源_01水果!$X1200="自备筐",N(对接源_01水果!$V1200)&lt;&gt;0)),1,0)</f>
        <v>0</v>
      </c>
      <c r="W1200" s="3">
        <f t="shared" si="320"/>
        <v>8</v>
      </c>
      <c r="X1200" s="3">
        <f>IF(AND($L1200=1,AND(对接源_01水果!$X1200="自备筐",N(对接源_01水果!$T1200)&lt;&gt;0)),1,0)</f>
        <v>0</v>
      </c>
      <c r="Y1200" s="3">
        <f t="shared" si="321"/>
        <v>0</v>
      </c>
      <c r="Z1200" s="3">
        <f>IF(AND($M1200=1,对接源_01水果!$D1200="原料入库"),1,0)</f>
        <v>0</v>
      </c>
      <c r="AA1200" s="3">
        <f t="shared" si="322"/>
        <v>24</v>
      </c>
      <c r="AB1200" s="3">
        <f>IF(AND($M1200=1,LEFT(对接源_01水果!$D1200,4)="原料出库"),1,0)</f>
        <v>0</v>
      </c>
      <c r="AC1200" s="3">
        <f t="shared" si="323"/>
        <v>0</v>
      </c>
      <c r="AD1200" s="3">
        <f>IF(AND($M1200=1,LEFT(对接源_01水果!$D1200,4)="成品出库"),1,0)</f>
        <v>0</v>
      </c>
      <c r="AE1200" s="3">
        <f t="shared" si="324"/>
        <v>0</v>
      </c>
      <c r="AF1200" s="3">
        <f>IF(AND($N1200=1,AND(LEFT(对接源_01水果!$D1200,4)="包装物料",N(对接源_01水果!$K1200)&lt;&gt;0)),1,0)</f>
        <v>0</v>
      </c>
      <c r="AG1200" s="3">
        <f t="shared" si="325"/>
        <v>0</v>
      </c>
      <c r="AH1200" s="3">
        <f>IF(AND($N1200=1,AND(对接源_01水果!$D1200="周转筐－销售出库",N(对接源_01水果!$K1200)&lt;&gt;0)),1,0)</f>
        <v>0</v>
      </c>
      <c r="AI1200" s="3">
        <f t="shared" si="326"/>
        <v>0</v>
      </c>
      <c r="AJ1200" s="7"/>
      <c r="AL1200" s="3">
        <f>IF(OR($AL$1="",对接源_01水果!$Y1200="",对接源_01水果!$Y1200&lt;&gt;$AL$1,对接源_01水果!$B1200="",N(对接源_01水果!$AJ1200)&lt;=0),0,IF(OR(N(对接源_01水果!$B1200)&lt;$AL$2,N(对接源_01水果!$B1200)&gt;$AL$3),0,1))</f>
        <v>0</v>
      </c>
      <c r="AM1200" s="3">
        <f t="shared" si="327"/>
        <v>1</v>
      </c>
      <c r="AN1200" s="3" t="str">
        <f>IF(对接源_01水果!$AC1200="","",对接源_01水果!$AC1200)</f>
        <v/>
      </c>
      <c r="AO1200" s="3">
        <f t="shared" si="328"/>
        <v>0</v>
      </c>
      <c r="AP1200" s="3">
        <f t="shared" si="329"/>
        <v>8</v>
      </c>
      <c r="AR1200">
        <f t="shared" si="330"/>
        <v>0</v>
      </c>
      <c r="AS1200">
        <f t="shared" si="331"/>
        <v>0</v>
      </c>
    </row>
    <row r="1201" ht="14.25" customHeight="1" spans="1:45">
      <c r="A1201" s="3" t="str">
        <f>IF(对接源_01水果!$C1201="","",对接源_01水果!$C1201)</f>
        <v/>
      </c>
      <c r="B1201" s="3">
        <f t="shared" si="315"/>
        <v>0</v>
      </c>
      <c r="C1201" s="3">
        <f t="shared" si="316"/>
        <v>18</v>
      </c>
      <c r="K1201" s="3">
        <f>IF(OR($K$1="",对接源_01水果!$C1201="",对接源_01水果!$C1201&lt;&gt;$K$1,对接源_01水果!$B1201=""),0,IF(OR(N(对接源_01水果!$B1201)&lt;$K$2,N(对接源_01水果!$B1201)&gt;$K$3),0,1))</f>
        <v>0</v>
      </c>
      <c r="L1201" s="3">
        <f>IF(OR($L$1="",对接源_01水果!$C1201="",对接源_01水果!$C1201&lt;&gt;$L$1,对接源_01水果!$B1201=""),0,IF(OR(N(对接源_01水果!$B1201)&lt;$L$2,N(对接源_01水果!$B1201)&gt;$L$3),0,1))</f>
        <v>0</v>
      </c>
      <c r="M1201" s="3">
        <f>IF(OR($M$1="",对接源_01水果!$C1201="",对接源_01水果!$C1201&lt;&gt;$M$1,对接源_01水果!$B1201=""),0,IF(OR(N(对接源_01水果!$B1201)&lt;$M$2,N(对接源_01水果!$B1201)&gt;$M$3),0,1))</f>
        <v>0</v>
      </c>
      <c r="N1201" s="3">
        <f>IF(OR($N$1="",对接源_01水果!$C1201="",对接源_01水果!$C1201&lt;&gt;$N$1,对接源_01水果!$B1201=""),0,IF(OR(N(对接源_01水果!$B1201)&lt;$N$2,N(对接源_01水果!$B1201)&gt;$N$3),0,1))</f>
        <v>0</v>
      </c>
      <c r="P1201" s="3">
        <f>IF(AND($K1201=1,AND(对接源_01水果!$X1201="公司筐",N(对接源_01水果!$T1201)&lt;&gt;0)),1,0)</f>
        <v>0</v>
      </c>
      <c r="Q1201" s="3">
        <f t="shared" si="317"/>
        <v>0</v>
      </c>
      <c r="R1201" s="3">
        <f>IF(AND($K1201=1,AND(对接源_01水果!$X1201="公司筐",N(对接源_01水果!$U1201)&lt;&gt;0)),1,0)</f>
        <v>0</v>
      </c>
      <c r="S1201" s="3">
        <f t="shared" si="318"/>
        <v>0</v>
      </c>
      <c r="T1201" s="3">
        <f>IF(AND($K1201=1,AND(对接源_01水果!$X1201="公司筐",N(对接源_01水果!$V1201)&lt;&gt;0)),1,0)</f>
        <v>0</v>
      </c>
      <c r="U1201" s="3">
        <f t="shared" si="319"/>
        <v>19</v>
      </c>
      <c r="V1201" s="3">
        <f>IF(AND($L1201=1,AND(对接源_01水果!$X1201="自备筐",N(对接源_01水果!$V1201)&lt;&gt;0)),1,0)</f>
        <v>0</v>
      </c>
      <c r="W1201" s="3">
        <f t="shared" si="320"/>
        <v>8</v>
      </c>
      <c r="X1201" s="3">
        <f>IF(AND($L1201=1,AND(对接源_01水果!$X1201="自备筐",N(对接源_01水果!$T1201)&lt;&gt;0)),1,0)</f>
        <v>0</v>
      </c>
      <c r="Y1201" s="3">
        <f t="shared" si="321"/>
        <v>0</v>
      </c>
      <c r="Z1201" s="3">
        <f>IF(AND($M1201=1,对接源_01水果!$D1201="原料入库"),1,0)</f>
        <v>0</v>
      </c>
      <c r="AA1201" s="3">
        <f t="shared" si="322"/>
        <v>24</v>
      </c>
      <c r="AB1201" s="3">
        <f>IF(AND($M1201=1,LEFT(对接源_01水果!$D1201,4)="原料出库"),1,0)</f>
        <v>0</v>
      </c>
      <c r="AC1201" s="3">
        <f t="shared" si="323"/>
        <v>0</v>
      </c>
      <c r="AD1201" s="3">
        <f>IF(AND($M1201=1,LEFT(对接源_01水果!$D1201,4)="成品出库"),1,0)</f>
        <v>0</v>
      </c>
      <c r="AE1201" s="3">
        <f t="shared" si="324"/>
        <v>0</v>
      </c>
      <c r="AF1201" s="3">
        <f>IF(AND($N1201=1,AND(LEFT(对接源_01水果!$D1201,4)="包装物料",N(对接源_01水果!$K1201)&lt;&gt;0)),1,0)</f>
        <v>0</v>
      </c>
      <c r="AG1201" s="3">
        <f t="shared" si="325"/>
        <v>0</v>
      </c>
      <c r="AH1201" s="3">
        <f>IF(AND($N1201=1,AND(对接源_01水果!$D1201="周转筐－销售出库",N(对接源_01水果!$K1201)&lt;&gt;0)),1,0)</f>
        <v>0</v>
      </c>
      <c r="AI1201" s="3">
        <f t="shared" si="326"/>
        <v>0</v>
      </c>
      <c r="AJ1201" s="7"/>
      <c r="AL1201" s="3">
        <f>IF(OR($AL$1="",对接源_01水果!$Y1201="",对接源_01水果!$Y1201&lt;&gt;$AL$1,对接源_01水果!$B1201="",N(对接源_01水果!$AJ1201)&lt;=0),0,IF(OR(N(对接源_01水果!$B1201)&lt;$AL$2,N(对接源_01水果!$B1201)&gt;$AL$3),0,1))</f>
        <v>0</v>
      </c>
      <c r="AM1201" s="3">
        <f t="shared" si="327"/>
        <v>1</v>
      </c>
      <c r="AN1201" s="3" t="str">
        <f>IF(对接源_01水果!$AC1201="","",对接源_01水果!$AC1201)</f>
        <v/>
      </c>
      <c r="AO1201" s="3">
        <f t="shared" si="328"/>
        <v>0</v>
      </c>
      <c r="AP1201" s="3">
        <f t="shared" si="329"/>
        <v>8</v>
      </c>
      <c r="AR1201">
        <f t="shared" si="330"/>
        <v>0</v>
      </c>
      <c r="AS1201">
        <f t="shared" si="331"/>
        <v>0</v>
      </c>
    </row>
    <row r="1202" ht="14.25" customHeight="1" spans="1:45">
      <c r="A1202" s="3" t="str">
        <f>IF(对接源_01水果!$C1202="","",对接源_01水果!$C1202)</f>
        <v/>
      </c>
      <c r="B1202" s="3">
        <f t="shared" si="315"/>
        <v>0</v>
      </c>
      <c r="C1202" s="3">
        <f t="shared" si="316"/>
        <v>18</v>
      </c>
      <c r="K1202" s="3">
        <f>IF(OR($K$1="",对接源_01水果!$C1202="",对接源_01水果!$C1202&lt;&gt;$K$1,对接源_01水果!$B1202=""),0,IF(OR(N(对接源_01水果!$B1202)&lt;$K$2,N(对接源_01水果!$B1202)&gt;$K$3),0,1))</f>
        <v>0</v>
      </c>
      <c r="L1202" s="3">
        <f>IF(OR($L$1="",对接源_01水果!$C1202="",对接源_01水果!$C1202&lt;&gt;$L$1,对接源_01水果!$B1202=""),0,IF(OR(N(对接源_01水果!$B1202)&lt;$L$2,N(对接源_01水果!$B1202)&gt;$L$3),0,1))</f>
        <v>0</v>
      </c>
      <c r="M1202" s="3">
        <f>IF(OR($M$1="",对接源_01水果!$C1202="",对接源_01水果!$C1202&lt;&gt;$M$1,对接源_01水果!$B1202=""),0,IF(OR(N(对接源_01水果!$B1202)&lt;$M$2,N(对接源_01水果!$B1202)&gt;$M$3),0,1))</f>
        <v>0</v>
      </c>
      <c r="N1202" s="3">
        <f>IF(OR($N$1="",对接源_01水果!$C1202="",对接源_01水果!$C1202&lt;&gt;$N$1,对接源_01水果!$B1202=""),0,IF(OR(N(对接源_01水果!$B1202)&lt;$N$2,N(对接源_01水果!$B1202)&gt;$N$3),0,1))</f>
        <v>0</v>
      </c>
      <c r="P1202" s="3">
        <f>IF(AND($K1202=1,AND(对接源_01水果!$X1202="公司筐",N(对接源_01水果!$T1202)&lt;&gt;0)),1,0)</f>
        <v>0</v>
      </c>
      <c r="Q1202" s="3">
        <f t="shared" si="317"/>
        <v>0</v>
      </c>
      <c r="R1202" s="3">
        <f>IF(AND($K1202=1,AND(对接源_01水果!$X1202="公司筐",N(对接源_01水果!$U1202)&lt;&gt;0)),1,0)</f>
        <v>0</v>
      </c>
      <c r="S1202" s="3">
        <f t="shared" si="318"/>
        <v>0</v>
      </c>
      <c r="T1202" s="3">
        <f>IF(AND($K1202=1,AND(对接源_01水果!$X1202="公司筐",N(对接源_01水果!$V1202)&lt;&gt;0)),1,0)</f>
        <v>0</v>
      </c>
      <c r="U1202" s="3">
        <f t="shared" si="319"/>
        <v>19</v>
      </c>
      <c r="V1202" s="3">
        <f>IF(AND($L1202=1,AND(对接源_01水果!$X1202="自备筐",N(对接源_01水果!$V1202)&lt;&gt;0)),1,0)</f>
        <v>0</v>
      </c>
      <c r="W1202" s="3">
        <f t="shared" si="320"/>
        <v>8</v>
      </c>
      <c r="X1202" s="3">
        <f>IF(AND($L1202=1,AND(对接源_01水果!$X1202="自备筐",N(对接源_01水果!$T1202)&lt;&gt;0)),1,0)</f>
        <v>0</v>
      </c>
      <c r="Y1202" s="3">
        <f t="shared" si="321"/>
        <v>0</v>
      </c>
      <c r="Z1202" s="3">
        <f>IF(AND($M1202=1,对接源_01水果!$D1202="原料入库"),1,0)</f>
        <v>0</v>
      </c>
      <c r="AA1202" s="3">
        <f t="shared" si="322"/>
        <v>24</v>
      </c>
      <c r="AB1202" s="3">
        <f>IF(AND($M1202=1,LEFT(对接源_01水果!$D1202,4)="原料出库"),1,0)</f>
        <v>0</v>
      </c>
      <c r="AC1202" s="3">
        <f t="shared" si="323"/>
        <v>0</v>
      </c>
      <c r="AD1202" s="3">
        <f>IF(AND($M1202=1,LEFT(对接源_01水果!$D1202,4)="成品出库"),1,0)</f>
        <v>0</v>
      </c>
      <c r="AE1202" s="3">
        <f t="shared" si="324"/>
        <v>0</v>
      </c>
      <c r="AF1202" s="3">
        <f>IF(AND($N1202=1,AND(LEFT(对接源_01水果!$D1202,4)="包装物料",N(对接源_01水果!$K1202)&lt;&gt;0)),1,0)</f>
        <v>0</v>
      </c>
      <c r="AG1202" s="3">
        <f t="shared" si="325"/>
        <v>0</v>
      </c>
      <c r="AH1202" s="3">
        <f>IF(AND($N1202=1,AND(对接源_01水果!$D1202="周转筐－销售出库",N(对接源_01水果!$K1202)&lt;&gt;0)),1,0)</f>
        <v>0</v>
      </c>
      <c r="AI1202" s="3">
        <f t="shared" si="326"/>
        <v>0</v>
      </c>
      <c r="AJ1202" s="7"/>
      <c r="AL1202" s="3">
        <f>IF(OR($AL$1="",对接源_01水果!$Y1202="",对接源_01水果!$Y1202&lt;&gt;$AL$1,对接源_01水果!$B1202="",N(对接源_01水果!$AJ1202)&lt;=0),0,IF(OR(N(对接源_01水果!$B1202)&lt;$AL$2,N(对接源_01水果!$B1202)&gt;$AL$3),0,1))</f>
        <v>0</v>
      </c>
      <c r="AM1202" s="3">
        <f t="shared" si="327"/>
        <v>1</v>
      </c>
      <c r="AN1202" s="3" t="str">
        <f>IF(对接源_01水果!$AC1202="","",对接源_01水果!$AC1202)</f>
        <v/>
      </c>
      <c r="AO1202" s="3">
        <f t="shared" si="328"/>
        <v>0</v>
      </c>
      <c r="AP1202" s="3">
        <f t="shared" si="329"/>
        <v>8</v>
      </c>
      <c r="AR1202">
        <f t="shared" si="330"/>
        <v>0</v>
      </c>
      <c r="AS1202">
        <f t="shared" si="331"/>
        <v>0</v>
      </c>
    </row>
    <row r="1203" ht="14.25" customHeight="1" spans="1:45">
      <c r="A1203" s="3" t="str">
        <f>IF(对接源_01水果!$C1203="","",对接源_01水果!$C1203)</f>
        <v/>
      </c>
      <c r="B1203" s="3">
        <f t="shared" si="315"/>
        <v>0</v>
      </c>
      <c r="C1203" s="3">
        <f t="shared" si="316"/>
        <v>18</v>
      </c>
      <c r="K1203" s="3">
        <f>IF(OR($K$1="",对接源_01水果!$C1203="",对接源_01水果!$C1203&lt;&gt;$K$1,对接源_01水果!$B1203=""),0,IF(OR(N(对接源_01水果!$B1203)&lt;$K$2,N(对接源_01水果!$B1203)&gt;$K$3),0,1))</f>
        <v>0</v>
      </c>
      <c r="L1203" s="3">
        <f>IF(OR($L$1="",对接源_01水果!$C1203="",对接源_01水果!$C1203&lt;&gt;$L$1,对接源_01水果!$B1203=""),0,IF(OR(N(对接源_01水果!$B1203)&lt;$L$2,N(对接源_01水果!$B1203)&gt;$L$3),0,1))</f>
        <v>0</v>
      </c>
      <c r="M1203" s="3">
        <f>IF(OR($M$1="",对接源_01水果!$C1203="",对接源_01水果!$C1203&lt;&gt;$M$1,对接源_01水果!$B1203=""),0,IF(OR(N(对接源_01水果!$B1203)&lt;$M$2,N(对接源_01水果!$B1203)&gt;$M$3),0,1))</f>
        <v>0</v>
      </c>
      <c r="N1203" s="3">
        <f>IF(OR($N$1="",对接源_01水果!$C1203="",对接源_01水果!$C1203&lt;&gt;$N$1,对接源_01水果!$B1203=""),0,IF(OR(N(对接源_01水果!$B1203)&lt;$N$2,N(对接源_01水果!$B1203)&gt;$N$3),0,1))</f>
        <v>0</v>
      </c>
      <c r="P1203" s="3">
        <f>IF(AND($K1203=1,AND(对接源_01水果!$X1203="公司筐",N(对接源_01水果!$T1203)&lt;&gt;0)),1,0)</f>
        <v>0</v>
      </c>
      <c r="Q1203" s="3">
        <f t="shared" si="317"/>
        <v>0</v>
      </c>
      <c r="R1203" s="3">
        <f>IF(AND($K1203=1,AND(对接源_01水果!$X1203="公司筐",N(对接源_01水果!$U1203)&lt;&gt;0)),1,0)</f>
        <v>0</v>
      </c>
      <c r="S1203" s="3">
        <f t="shared" si="318"/>
        <v>0</v>
      </c>
      <c r="T1203" s="3">
        <f>IF(AND($K1203=1,AND(对接源_01水果!$X1203="公司筐",N(对接源_01水果!$V1203)&lt;&gt;0)),1,0)</f>
        <v>0</v>
      </c>
      <c r="U1203" s="3">
        <f t="shared" si="319"/>
        <v>19</v>
      </c>
      <c r="V1203" s="3">
        <f>IF(AND($L1203=1,AND(对接源_01水果!$X1203="自备筐",N(对接源_01水果!$V1203)&lt;&gt;0)),1,0)</f>
        <v>0</v>
      </c>
      <c r="W1203" s="3">
        <f t="shared" si="320"/>
        <v>8</v>
      </c>
      <c r="X1203" s="3">
        <f>IF(AND($L1203=1,AND(对接源_01水果!$X1203="自备筐",N(对接源_01水果!$T1203)&lt;&gt;0)),1,0)</f>
        <v>0</v>
      </c>
      <c r="Y1203" s="3">
        <f t="shared" si="321"/>
        <v>0</v>
      </c>
      <c r="Z1203" s="3">
        <f>IF(AND($M1203=1,对接源_01水果!$D1203="原料入库"),1,0)</f>
        <v>0</v>
      </c>
      <c r="AA1203" s="3">
        <f t="shared" si="322"/>
        <v>24</v>
      </c>
      <c r="AB1203" s="3">
        <f>IF(AND($M1203=1,LEFT(对接源_01水果!$D1203,4)="原料出库"),1,0)</f>
        <v>0</v>
      </c>
      <c r="AC1203" s="3">
        <f t="shared" si="323"/>
        <v>0</v>
      </c>
      <c r="AD1203" s="3">
        <f>IF(AND($M1203=1,LEFT(对接源_01水果!$D1203,4)="成品出库"),1,0)</f>
        <v>0</v>
      </c>
      <c r="AE1203" s="3">
        <f t="shared" si="324"/>
        <v>0</v>
      </c>
      <c r="AF1203" s="3">
        <f>IF(AND($N1203=1,AND(LEFT(对接源_01水果!$D1203,4)="包装物料",N(对接源_01水果!$K1203)&lt;&gt;0)),1,0)</f>
        <v>0</v>
      </c>
      <c r="AG1203" s="3">
        <f t="shared" si="325"/>
        <v>0</v>
      </c>
      <c r="AH1203" s="3">
        <f>IF(AND($N1203=1,AND(对接源_01水果!$D1203="周转筐－销售出库",N(对接源_01水果!$K1203)&lt;&gt;0)),1,0)</f>
        <v>0</v>
      </c>
      <c r="AI1203" s="3">
        <f t="shared" si="326"/>
        <v>0</v>
      </c>
      <c r="AJ1203" s="7"/>
      <c r="AL1203" s="3">
        <f>IF(OR($AL$1="",对接源_01水果!$Y1203="",对接源_01水果!$Y1203&lt;&gt;$AL$1,对接源_01水果!$B1203="",N(对接源_01水果!$AJ1203)&lt;=0),0,IF(OR(N(对接源_01水果!$B1203)&lt;$AL$2,N(对接源_01水果!$B1203)&gt;$AL$3),0,1))</f>
        <v>0</v>
      </c>
      <c r="AM1203" s="3">
        <f t="shared" si="327"/>
        <v>1</v>
      </c>
      <c r="AN1203" s="3" t="str">
        <f>IF(对接源_01水果!$AC1203="","",对接源_01水果!$AC1203)</f>
        <v/>
      </c>
      <c r="AO1203" s="3">
        <f t="shared" si="328"/>
        <v>0</v>
      </c>
      <c r="AP1203" s="3">
        <f t="shared" si="329"/>
        <v>8</v>
      </c>
      <c r="AR1203">
        <f t="shared" si="330"/>
        <v>0</v>
      </c>
      <c r="AS1203">
        <f t="shared" si="331"/>
        <v>0</v>
      </c>
    </row>
    <row r="1204" customHeight="1" spans="1:45">
      <c r="A1204" s="3" t="str">
        <f>IF(对接源_02物料!$C4="","",对接源_02物料!$C4)</f>
        <v>果然鲜</v>
      </c>
      <c r="B1204" s="3">
        <f t="shared" si="315"/>
        <v>1</v>
      </c>
      <c r="C1204" s="3">
        <f t="shared" si="316"/>
        <v>19</v>
      </c>
      <c r="K1204" s="3">
        <f>IF(OR($K$1="",对接源_02物料!$C4="",对接源_02物料!$C4&lt;&gt;$K$1,对接源_02物料!$B4=""),0,IF(OR(N(对接源_02物料!$B4)&lt;$K$2,N(对接源_02物料!$B4)&gt;$K$3),0,1))</f>
        <v>0</v>
      </c>
      <c r="L1204" s="3">
        <f>IF(OR($L$1="",对接源_02物料!$C4="",对接源_02物料!$C4&lt;&gt;$L$1,对接源_02物料!$B4=""),0,IF(OR(N(对接源_02物料!$B4)&lt;$L$2,N(对接源_02物料!$B4)&gt;$L$3),0,1))</f>
        <v>0</v>
      </c>
      <c r="M1204" s="3">
        <f>IF(OR($M$1="",对接源_02物料!$C4="",对接源_02物料!$C4&lt;&gt;$M$1,对接源_02物料!$B4=""),0,IF(OR(N(对接源_02物料!$B4)&lt;$M$2,N(对接源_02物料!$B4)&gt;$M$3),0,1))</f>
        <v>0</v>
      </c>
      <c r="N1204" s="3">
        <f>IF(OR($N$1="",对接源_02物料!$C4="",对接源_02物料!$C4&lt;&gt;$N$1,对接源_02物料!$B4=""),0,IF(OR(N(对接源_02物料!$B4)&lt;$N$2,N(对接源_02物料!$B4)&gt;$N$3),0,1))</f>
        <v>0</v>
      </c>
      <c r="P1204" s="3">
        <f>IF(AND($K1204=1,AND(对接源_02物料!$X4="公司筐",N(对接源_02物料!$T4)&lt;&gt;0)),1,0)</f>
        <v>0</v>
      </c>
      <c r="Q1204" s="3">
        <f t="shared" si="317"/>
        <v>0</v>
      </c>
      <c r="R1204" s="3">
        <f>IF(AND($K1204=1,AND(对接源_02物料!$X4="公司筐",N(对接源_02物料!$U4)&lt;&gt;0)),1,0)</f>
        <v>0</v>
      </c>
      <c r="S1204" s="3">
        <f t="shared" si="318"/>
        <v>0</v>
      </c>
      <c r="T1204" s="3">
        <f>IF(AND($K1204=1,AND(对接源_02物料!$X4="公司筐",N(对接源_02物料!$V4)&lt;&gt;0)),1,0)</f>
        <v>0</v>
      </c>
      <c r="U1204" s="3">
        <f t="shared" si="319"/>
        <v>19</v>
      </c>
      <c r="V1204" s="3">
        <f>IF(AND($L1204=1,AND(对接源_02物料!$X4="自备筐",N(对接源_02物料!$V4)&lt;&gt;0)),1,0)</f>
        <v>0</v>
      </c>
      <c r="W1204" s="3">
        <f t="shared" si="320"/>
        <v>8</v>
      </c>
      <c r="X1204" s="3">
        <f>IF(AND($L1204=1,AND(对接源_02物料!$X4="自备筐",N(对接源_02物料!$T4)&lt;&gt;0)),1,0)</f>
        <v>0</v>
      </c>
      <c r="Y1204" s="3">
        <f t="shared" si="321"/>
        <v>0</v>
      </c>
      <c r="Z1204" s="3">
        <f>IF(AND($M1204=1,对接源_02物料!$D4="原料入库"),1,0)</f>
        <v>0</v>
      </c>
      <c r="AA1204" s="3">
        <f t="shared" si="322"/>
        <v>24</v>
      </c>
      <c r="AB1204" s="3">
        <f>IF(AND($M1204=1,LEFT(对接源_02物料!$D4,4)="原料出库"),1,0)</f>
        <v>0</v>
      </c>
      <c r="AC1204" s="3">
        <f t="shared" si="323"/>
        <v>0</v>
      </c>
      <c r="AD1204" s="3">
        <f>IF(AND($M1204=1,LEFT(对接源_02物料!$D4,4)="成品出库"),1,0)</f>
        <v>0</v>
      </c>
      <c r="AE1204" s="3">
        <f t="shared" si="324"/>
        <v>0</v>
      </c>
      <c r="AF1204" s="3">
        <f>IF(AND($N1204=1,AND(LEFT(对接源_02物料!$D4,4)="包装物料",N(对接源_02物料!$K4)&lt;&gt;0)),1,0)</f>
        <v>0</v>
      </c>
      <c r="AG1204" s="3">
        <f t="shared" si="325"/>
        <v>0</v>
      </c>
      <c r="AH1204" s="3">
        <f>IF(AND($N1204=1,AND(对接源_02物料!$D4="周转筐－销售出库",N(对接源_02物料!$K4)&lt;&gt;0)),1,0)</f>
        <v>0</v>
      </c>
      <c r="AI1204" s="3">
        <f t="shared" si="326"/>
        <v>0</v>
      </c>
      <c r="AL1204" s="3">
        <v>0</v>
      </c>
      <c r="AM1204" s="3">
        <f t="shared" si="327"/>
        <v>1</v>
      </c>
      <c r="AN1204" s="3" t="str">
        <f t="shared" ref="AN1204:AN1267" si="332">""</f>
        <v/>
      </c>
      <c r="AO1204" s="3">
        <v>0</v>
      </c>
      <c r="AP1204" s="3">
        <f t="shared" si="329"/>
        <v>8</v>
      </c>
      <c r="AR1204">
        <f t="shared" si="330"/>
        <v>0</v>
      </c>
      <c r="AS1204">
        <f t="shared" si="331"/>
        <v>0</v>
      </c>
    </row>
    <row r="1205" customHeight="1" spans="1:45">
      <c r="A1205" s="3" t="str">
        <f>IF(对接源_02物料!$C5="","",对接源_02物料!$C5)</f>
        <v>果然鲜</v>
      </c>
      <c r="B1205" s="3">
        <f t="shared" si="315"/>
        <v>0</v>
      </c>
      <c r="C1205" s="3">
        <f t="shared" si="316"/>
        <v>19</v>
      </c>
      <c r="K1205" s="3">
        <f>IF(OR($K$1="",对接源_02物料!$C5="",对接源_02物料!$C5&lt;&gt;$K$1,对接源_02物料!$B5=""),0,IF(OR(N(对接源_02物料!$B5)&lt;$K$2,N(对接源_02物料!$B5)&gt;$K$3),0,1))</f>
        <v>0</v>
      </c>
      <c r="L1205" s="3">
        <f>IF(OR($L$1="",对接源_02物料!$C5="",对接源_02物料!$C5&lt;&gt;$L$1,对接源_02物料!$B5=""),0,IF(OR(N(对接源_02物料!$B5)&lt;$L$2,N(对接源_02物料!$B5)&gt;$L$3),0,1))</f>
        <v>0</v>
      </c>
      <c r="M1205" s="3">
        <f>IF(OR($M$1="",对接源_02物料!$C5="",对接源_02物料!$C5&lt;&gt;$M$1,对接源_02物料!$B5=""),0,IF(OR(N(对接源_02物料!$B5)&lt;$M$2,N(对接源_02物料!$B5)&gt;$M$3),0,1))</f>
        <v>0</v>
      </c>
      <c r="N1205" s="3">
        <f>IF(OR($N$1="",对接源_02物料!$C5="",对接源_02物料!$C5&lt;&gt;$N$1,对接源_02物料!$B5=""),0,IF(OR(N(对接源_02物料!$B5)&lt;$N$2,N(对接源_02物料!$B5)&gt;$N$3),0,1))</f>
        <v>0</v>
      </c>
      <c r="P1205" s="3">
        <f>IF(AND($K1205=1,AND(对接源_02物料!$X5="公司筐",N(对接源_02物料!$T5)&lt;&gt;0)),1,0)</f>
        <v>0</v>
      </c>
      <c r="Q1205" s="3">
        <f t="shared" si="317"/>
        <v>0</v>
      </c>
      <c r="R1205" s="3">
        <f>IF(AND($K1205=1,AND(对接源_02物料!$X5="公司筐",N(对接源_02物料!$U5)&lt;&gt;0)),1,0)</f>
        <v>0</v>
      </c>
      <c r="S1205" s="3">
        <f t="shared" si="318"/>
        <v>0</v>
      </c>
      <c r="T1205" s="3">
        <f>IF(AND($K1205=1,AND(对接源_02物料!$X5="公司筐",N(对接源_02物料!$V5)&lt;&gt;0)),1,0)</f>
        <v>0</v>
      </c>
      <c r="U1205" s="3">
        <f t="shared" si="319"/>
        <v>19</v>
      </c>
      <c r="V1205" s="3">
        <f>IF(AND($L1205=1,AND(对接源_02物料!$X5="自备筐",N(对接源_02物料!$V5)&lt;&gt;0)),1,0)</f>
        <v>0</v>
      </c>
      <c r="W1205" s="3">
        <f t="shared" si="320"/>
        <v>8</v>
      </c>
      <c r="X1205" s="3">
        <f>IF(AND($L1205=1,AND(对接源_02物料!$X5="自备筐",N(对接源_02物料!$T5)&lt;&gt;0)),1,0)</f>
        <v>0</v>
      </c>
      <c r="Y1205" s="3">
        <f t="shared" si="321"/>
        <v>0</v>
      </c>
      <c r="Z1205" s="3">
        <f>IF(AND($M1205=1,对接源_02物料!$D5="原料入库"),1,0)</f>
        <v>0</v>
      </c>
      <c r="AA1205" s="3">
        <f t="shared" si="322"/>
        <v>24</v>
      </c>
      <c r="AB1205" s="3">
        <f>IF(AND($M1205=1,LEFT(对接源_02物料!$D5,4)="原料出库"),1,0)</f>
        <v>0</v>
      </c>
      <c r="AC1205" s="3">
        <f t="shared" si="323"/>
        <v>0</v>
      </c>
      <c r="AD1205" s="3">
        <f>IF(AND($M1205=1,LEFT(对接源_02物料!$D5,4)="成品出库"),1,0)</f>
        <v>0</v>
      </c>
      <c r="AE1205" s="3">
        <f t="shared" si="324"/>
        <v>0</v>
      </c>
      <c r="AF1205" s="3">
        <f>IF(AND($N1205=1,AND(LEFT(对接源_02物料!$D5,4)="包装物料",N(对接源_02物料!$K5)&lt;&gt;0)),1,0)</f>
        <v>0</v>
      </c>
      <c r="AG1205" s="3">
        <f t="shared" si="325"/>
        <v>0</v>
      </c>
      <c r="AH1205" s="3">
        <f>IF(AND($N1205=1,AND(对接源_02物料!$D5="周转筐－销售出库",N(对接源_02物料!$K5)&lt;&gt;0)),1,0)</f>
        <v>0</v>
      </c>
      <c r="AI1205" s="3">
        <f t="shared" si="326"/>
        <v>0</v>
      </c>
      <c r="AL1205" s="3">
        <v>0</v>
      </c>
      <c r="AM1205" s="3">
        <f t="shared" si="327"/>
        <v>1</v>
      </c>
      <c r="AN1205" s="3" t="str">
        <f t="shared" si="332"/>
        <v/>
      </c>
      <c r="AO1205" s="3">
        <v>0</v>
      </c>
      <c r="AP1205" s="3">
        <f t="shared" si="329"/>
        <v>8</v>
      </c>
      <c r="AR1205">
        <f t="shared" si="330"/>
        <v>0</v>
      </c>
      <c r="AS1205">
        <f t="shared" si="331"/>
        <v>0</v>
      </c>
    </row>
    <row r="1206" customHeight="1" spans="1:45">
      <c r="A1206" s="3" t="str">
        <f>IF(对接源_02物料!$C6="","",对接源_02物料!$C6)</f>
        <v>果然鲜</v>
      </c>
      <c r="B1206" s="3">
        <f t="shared" si="315"/>
        <v>0</v>
      </c>
      <c r="C1206" s="3">
        <f t="shared" si="316"/>
        <v>19</v>
      </c>
      <c r="K1206" s="3">
        <f>IF(OR($K$1="",对接源_02物料!$C6="",对接源_02物料!$C6&lt;&gt;$K$1,对接源_02物料!$B6=""),0,IF(OR(N(对接源_02物料!$B6)&lt;$K$2,N(对接源_02物料!$B6)&gt;$K$3),0,1))</f>
        <v>0</v>
      </c>
      <c r="L1206" s="3">
        <f>IF(OR($L$1="",对接源_02物料!$C6="",对接源_02物料!$C6&lt;&gt;$L$1,对接源_02物料!$B6=""),0,IF(OR(N(对接源_02物料!$B6)&lt;$L$2,N(对接源_02物料!$B6)&gt;$L$3),0,1))</f>
        <v>0</v>
      </c>
      <c r="M1206" s="3">
        <f>IF(OR($M$1="",对接源_02物料!$C6="",对接源_02物料!$C6&lt;&gt;$M$1,对接源_02物料!$B6=""),0,IF(OR(N(对接源_02物料!$B6)&lt;$M$2,N(对接源_02物料!$B6)&gt;$M$3),0,1))</f>
        <v>0</v>
      </c>
      <c r="N1206" s="3">
        <f>IF(OR($N$1="",对接源_02物料!$C6="",对接源_02物料!$C6&lt;&gt;$N$1,对接源_02物料!$B6=""),0,IF(OR(N(对接源_02物料!$B6)&lt;$N$2,N(对接源_02物料!$B6)&gt;$N$3),0,1))</f>
        <v>0</v>
      </c>
      <c r="P1206" s="3">
        <f>IF(AND($K1206=1,AND(对接源_02物料!$X6="公司筐",N(对接源_02物料!$T6)&lt;&gt;0)),1,0)</f>
        <v>0</v>
      </c>
      <c r="Q1206" s="3">
        <f t="shared" si="317"/>
        <v>0</v>
      </c>
      <c r="R1206" s="3">
        <f>IF(AND($K1206=1,AND(对接源_02物料!$X6="公司筐",N(对接源_02物料!$U6)&lt;&gt;0)),1,0)</f>
        <v>0</v>
      </c>
      <c r="S1206" s="3">
        <f t="shared" si="318"/>
        <v>0</v>
      </c>
      <c r="T1206" s="3">
        <f>IF(AND($K1206=1,AND(对接源_02物料!$X6="公司筐",N(对接源_02物料!$V6)&lt;&gt;0)),1,0)</f>
        <v>0</v>
      </c>
      <c r="U1206" s="3">
        <f t="shared" si="319"/>
        <v>19</v>
      </c>
      <c r="V1206" s="3">
        <f>IF(AND($L1206=1,AND(对接源_02物料!$X6="自备筐",N(对接源_02物料!$V6)&lt;&gt;0)),1,0)</f>
        <v>0</v>
      </c>
      <c r="W1206" s="3">
        <f t="shared" si="320"/>
        <v>8</v>
      </c>
      <c r="X1206" s="3">
        <f>IF(AND($L1206=1,AND(对接源_02物料!$X6="自备筐",N(对接源_02物料!$T6)&lt;&gt;0)),1,0)</f>
        <v>0</v>
      </c>
      <c r="Y1206" s="3">
        <f t="shared" si="321"/>
        <v>0</v>
      </c>
      <c r="Z1206" s="3">
        <f>IF(AND($M1206=1,对接源_02物料!$D6="原料入库"),1,0)</f>
        <v>0</v>
      </c>
      <c r="AA1206" s="3">
        <f t="shared" si="322"/>
        <v>24</v>
      </c>
      <c r="AB1206" s="3">
        <f>IF(AND($M1206=1,LEFT(对接源_02物料!$D6,4)="原料出库"),1,0)</f>
        <v>0</v>
      </c>
      <c r="AC1206" s="3">
        <f t="shared" si="323"/>
        <v>0</v>
      </c>
      <c r="AD1206" s="3">
        <f>IF(AND($M1206=1,LEFT(对接源_02物料!$D6,4)="成品出库"),1,0)</f>
        <v>0</v>
      </c>
      <c r="AE1206" s="3">
        <f t="shared" si="324"/>
        <v>0</v>
      </c>
      <c r="AF1206" s="3">
        <f>IF(AND($N1206=1,AND(LEFT(对接源_02物料!$D6,4)="包装物料",N(对接源_02物料!$K6)&lt;&gt;0)),1,0)</f>
        <v>0</v>
      </c>
      <c r="AG1206" s="3">
        <f t="shared" si="325"/>
        <v>0</v>
      </c>
      <c r="AH1206" s="3">
        <f>IF(AND($N1206=1,AND(对接源_02物料!$D6="周转筐－销售出库",N(对接源_02物料!$K6)&lt;&gt;0)),1,0)</f>
        <v>0</v>
      </c>
      <c r="AI1206" s="3">
        <f t="shared" si="326"/>
        <v>0</v>
      </c>
      <c r="AL1206" s="3">
        <v>0</v>
      </c>
      <c r="AM1206" s="3">
        <f t="shared" si="327"/>
        <v>1</v>
      </c>
      <c r="AN1206" s="3" t="str">
        <f t="shared" si="332"/>
        <v/>
      </c>
      <c r="AO1206" s="3">
        <v>0</v>
      </c>
      <c r="AP1206" s="3">
        <f t="shared" si="329"/>
        <v>8</v>
      </c>
      <c r="AR1206">
        <f t="shared" si="330"/>
        <v>0</v>
      </c>
      <c r="AS1206">
        <f t="shared" si="331"/>
        <v>0</v>
      </c>
    </row>
    <row r="1207" customHeight="1" spans="1:45">
      <c r="A1207" s="3" t="str">
        <f>IF(对接源_02物料!$C7="","",对接源_02物料!$C7)</f>
        <v>果然鲜</v>
      </c>
      <c r="B1207" s="3">
        <f t="shared" si="315"/>
        <v>0</v>
      </c>
      <c r="C1207" s="3">
        <f t="shared" si="316"/>
        <v>19</v>
      </c>
      <c r="K1207" s="3">
        <f>IF(OR($K$1="",对接源_02物料!$C7="",对接源_02物料!$C7&lt;&gt;$K$1,对接源_02物料!$B7=""),0,IF(OR(N(对接源_02物料!$B7)&lt;$K$2,N(对接源_02物料!$B7)&gt;$K$3),0,1))</f>
        <v>0</v>
      </c>
      <c r="L1207" s="3">
        <f>IF(OR($L$1="",对接源_02物料!$C7="",对接源_02物料!$C7&lt;&gt;$L$1,对接源_02物料!$B7=""),0,IF(OR(N(对接源_02物料!$B7)&lt;$L$2,N(对接源_02物料!$B7)&gt;$L$3),0,1))</f>
        <v>0</v>
      </c>
      <c r="M1207" s="3">
        <f>IF(OR($M$1="",对接源_02物料!$C7="",对接源_02物料!$C7&lt;&gt;$M$1,对接源_02物料!$B7=""),0,IF(OR(N(对接源_02物料!$B7)&lt;$M$2,N(对接源_02物料!$B7)&gt;$M$3),0,1))</f>
        <v>0</v>
      </c>
      <c r="N1207" s="3">
        <f>IF(OR($N$1="",对接源_02物料!$C7="",对接源_02物料!$C7&lt;&gt;$N$1,对接源_02物料!$B7=""),0,IF(OR(N(对接源_02物料!$B7)&lt;$N$2,N(对接源_02物料!$B7)&gt;$N$3),0,1))</f>
        <v>0</v>
      </c>
      <c r="P1207" s="3">
        <f>IF(AND($K1207=1,AND(对接源_02物料!$X7="公司筐",N(对接源_02物料!$T7)&lt;&gt;0)),1,0)</f>
        <v>0</v>
      </c>
      <c r="Q1207" s="3">
        <f t="shared" si="317"/>
        <v>0</v>
      </c>
      <c r="R1207" s="3">
        <f>IF(AND($K1207=1,AND(对接源_02物料!$X7="公司筐",N(对接源_02物料!$U7)&lt;&gt;0)),1,0)</f>
        <v>0</v>
      </c>
      <c r="S1207" s="3">
        <f t="shared" si="318"/>
        <v>0</v>
      </c>
      <c r="T1207" s="3">
        <f>IF(AND($K1207=1,AND(对接源_02物料!$X7="公司筐",N(对接源_02物料!$V7)&lt;&gt;0)),1,0)</f>
        <v>0</v>
      </c>
      <c r="U1207" s="3">
        <f t="shared" si="319"/>
        <v>19</v>
      </c>
      <c r="V1207" s="3">
        <f>IF(AND($L1207=1,AND(对接源_02物料!$X7="自备筐",N(对接源_02物料!$V7)&lt;&gt;0)),1,0)</f>
        <v>0</v>
      </c>
      <c r="W1207" s="3">
        <f t="shared" si="320"/>
        <v>8</v>
      </c>
      <c r="X1207" s="3">
        <f>IF(AND($L1207=1,AND(对接源_02物料!$X7="自备筐",N(对接源_02物料!$T7)&lt;&gt;0)),1,0)</f>
        <v>0</v>
      </c>
      <c r="Y1207" s="3">
        <f t="shared" si="321"/>
        <v>0</v>
      </c>
      <c r="Z1207" s="3">
        <f>IF(AND($M1207=1,对接源_02物料!$D7="原料入库"),1,0)</f>
        <v>0</v>
      </c>
      <c r="AA1207" s="3">
        <f t="shared" si="322"/>
        <v>24</v>
      </c>
      <c r="AB1207" s="3">
        <f>IF(AND($M1207=1,LEFT(对接源_02物料!$D7,4)="原料出库"),1,0)</f>
        <v>0</v>
      </c>
      <c r="AC1207" s="3">
        <f t="shared" si="323"/>
        <v>0</v>
      </c>
      <c r="AD1207" s="3">
        <f>IF(AND($M1207=1,LEFT(对接源_02物料!$D7,4)="成品出库"),1,0)</f>
        <v>0</v>
      </c>
      <c r="AE1207" s="3">
        <f t="shared" si="324"/>
        <v>0</v>
      </c>
      <c r="AF1207" s="3">
        <f>IF(AND($N1207=1,AND(LEFT(对接源_02物料!$D7,4)="包装物料",N(对接源_02物料!$K7)&lt;&gt;0)),1,0)</f>
        <v>0</v>
      </c>
      <c r="AG1207" s="3">
        <f t="shared" si="325"/>
        <v>0</v>
      </c>
      <c r="AH1207" s="3">
        <f>IF(AND($N1207=1,AND(对接源_02物料!$D7="周转筐－销售出库",N(对接源_02物料!$K7)&lt;&gt;0)),1,0)</f>
        <v>0</v>
      </c>
      <c r="AI1207" s="3">
        <f t="shared" si="326"/>
        <v>0</v>
      </c>
      <c r="AL1207" s="3">
        <v>0</v>
      </c>
      <c r="AM1207" s="3">
        <f t="shared" si="327"/>
        <v>1</v>
      </c>
      <c r="AN1207" s="3" t="str">
        <f t="shared" si="332"/>
        <v/>
      </c>
      <c r="AO1207" s="3">
        <v>0</v>
      </c>
      <c r="AP1207" s="3">
        <f t="shared" si="329"/>
        <v>8</v>
      </c>
      <c r="AR1207">
        <f t="shared" si="330"/>
        <v>0</v>
      </c>
      <c r="AS1207">
        <f t="shared" si="331"/>
        <v>0</v>
      </c>
    </row>
    <row r="1208" customHeight="1" spans="1:45">
      <c r="A1208" s="3" t="str">
        <f>IF(对接源_02物料!$C8="","",对接源_02物料!$C8)</f>
        <v>果然鲜</v>
      </c>
      <c r="B1208" s="3">
        <f t="shared" si="315"/>
        <v>0</v>
      </c>
      <c r="C1208" s="3">
        <f t="shared" si="316"/>
        <v>19</v>
      </c>
      <c r="K1208" s="3">
        <f>IF(OR($K$1="",对接源_02物料!$C8="",对接源_02物料!$C8&lt;&gt;$K$1,对接源_02物料!$B8=""),0,IF(OR(N(对接源_02物料!$B8)&lt;$K$2,N(对接源_02物料!$B8)&gt;$K$3),0,1))</f>
        <v>0</v>
      </c>
      <c r="L1208" s="3">
        <f>IF(OR($L$1="",对接源_02物料!$C8="",对接源_02物料!$C8&lt;&gt;$L$1,对接源_02物料!$B8=""),0,IF(OR(N(对接源_02物料!$B8)&lt;$L$2,N(对接源_02物料!$B8)&gt;$L$3),0,1))</f>
        <v>0</v>
      </c>
      <c r="M1208" s="3">
        <f>IF(OR($M$1="",对接源_02物料!$C8="",对接源_02物料!$C8&lt;&gt;$M$1,对接源_02物料!$B8=""),0,IF(OR(N(对接源_02物料!$B8)&lt;$M$2,N(对接源_02物料!$B8)&gt;$M$3),0,1))</f>
        <v>0</v>
      </c>
      <c r="N1208" s="3">
        <f>IF(OR($N$1="",对接源_02物料!$C8="",对接源_02物料!$C8&lt;&gt;$N$1,对接源_02物料!$B8=""),0,IF(OR(N(对接源_02物料!$B8)&lt;$N$2,N(对接源_02物料!$B8)&gt;$N$3),0,1))</f>
        <v>0</v>
      </c>
      <c r="P1208" s="3">
        <f>IF(AND($K1208=1,AND(对接源_02物料!$X8="公司筐",N(对接源_02物料!$T8)&lt;&gt;0)),1,0)</f>
        <v>0</v>
      </c>
      <c r="Q1208" s="3">
        <f t="shared" si="317"/>
        <v>0</v>
      </c>
      <c r="R1208" s="3">
        <f>IF(AND($K1208=1,AND(对接源_02物料!$X8="公司筐",N(对接源_02物料!$U8)&lt;&gt;0)),1,0)</f>
        <v>0</v>
      </c>
      <c r="S1208" s="3">
        <f t="shared" si="318"/>
        <v>0</v>
      </c>
      <c r="T1208" s="3">
        <f>IF(AND($K1208=1,AND(对接源_02物料!$X8="公司筐",N(对接源_02物料!$V8)&lt;&gt;0)),1,0)</f>
        <v>0</v>
      </c>
      <c r="U1208" s="3">
        <f t="shared" si="319"/>
        <v>19</v>
      </c>
      <c r="V1208" s="3">
        <f>IF(AND($L1208=1,AND(对接源_02物料!$X8="自备筐",N(对接源_02物料!$V8)&lt;&gt;0)),1,0)</f>
        <v>0</v>
      </c>
      <c r="W1208" s="3">
        <f t="shared" si="320"/>
        <v>8</v>
      </c>
      <c r="X1208" s="3">
        <f>IF(AND($L1208=1,AND(对接源_02物料!$X8="自备筐",N(对接源_02物料!$T8)&lt;&gt;0)),1,0)</f>
        <v>0</v>
      </c>
      <c r="Y1208" s="3">
        <f t="shared" si="321"/>
        <v>0</v>
      </c>
      <c r="Z1208" s="3">
        <f>IF(AND($M1208=1,对接源_02物料!$D8="原料入库"),1,0)</f>
        <v>0</v>
      </c>
      <c r="AA1208" s="3">
        <f t="shared" si="322"/>
        <v>24</v>
      </c>
      <c r="AB1208" s="3">
        <f>IF(AND($M1208=1,LEFT(对接源_02物料!$D8,4)="原料出库"),1,0)</f>
        <v>0</v>
      </c>
      <c r="AC1208" s="3">
        <f t="shared" si="323"/>
        <v>0</v>
      </c>
      <c r="AD1208" s="3">
        <f>IF(AND($M1208=1,LEFT(对接源_02物料!$D8,4)="成品出库"),1,0)</f>
        <v>0</v>
      </c>
      <c r="AE1208" s="3">
        <f t="shared" si="324"/>
        <v>0</v>
      </c>
      <c r="AF1208" s="3">
        <f>IF(AND($N1208=1,AND(LEFT(对接源_02物料!$D8,4)="包装物料",N(对接源_02物料!$K8)&lt;&gt;0)),1,0)</f>
        <v>0</v>
      </c>
      <c r="AG1208" s="3">
        <f t="shared" si="325"/>
        <v>0</v>
      </c>
      <c r="AH1208" s="3">
        <f>IF(AND($N1208=1,AND(对接源_02物料!$D8="周转筐－销售出库",N(对接源_02物料!$K8)&lt;&gt;0)),1,0)</f>
        <v>0</v>
      </c>
      <c r="AI1208" s="3">
        <f t="shared" si="326"/>
        <v>0</v>
      </c>
      <c r="AL1208" s="3">
        <v>0</v>
      </c>
      <c r="AM1208" s="3">
        <f t="shared" si="327"/>
        <v>1</v>
      </c>
      <c r="AN1208" s="3" t="str">
        <f t="shared" si="332"/>
        <v/>
      </c>
      <c r="AO1208" s="3">
        <v>0</v>
      </c>
      <c r="AP1208" s="3">
        <f t="shared" si="329"/>
        <v>8</v>
      </c>
      <c r="AR1208">
        <f t="shared" si="330"/>
        <v>0</v>
      </c>
      <c r="AS1208">
        <f t="shared" si="331"/>
        <v>0</v>
      </c>
    </row>
    <row r="1209" customHeight="1" spans="1:45">
      <c r="A1209" s="3" t="str">
        <f>IF(对接源_02物料!$C9="","",对接源_02物料!$C9)</f>
        <v>果然鲜</v>
      </c>
      <c r="B1209" s="3">
        <f t="shared" si="315"/>
        <v>0</v>
      </c>
      <c r="C1209" s="3">
        <f t="shared" si="316"/>
        <v>19</v>
      </c>
      <c r="K1209" s="3">
        <f>IF(OR($K$1="",对接源_02物料!$C9="",对接源_02物料!$C9&lt;&gt;$K$1,对接源_02物料!$B9=""),0,IF(OR(N(对接源_02物料!$B9)&lt;$K$2,N(对接源_02物料!$B9)&gt;$K$3),0,1))</f>
        <v>0</v>
      </c>
      <c r="L1209" s="3">
        <f>IF(OR($L$1="",对接源_02物料!$C9="",对接源_02物料!$C9&lt;&gt;$L$1,对接源_02物料!$B9=""),0,IF(OR(N(对接源_02物料!$B9)&lt;$L$2,N(对接源_02物料!$B9)&gt;$L$3),0,1))</f>
        <v>0</v>
      </c>
      <c r="M1209" s="3">
        <f>IF(OR($M$1="",对接源_02物料!$C9="",对接源_02物料!$C9&lt;&gt;$M$1,对接源_02物料!$B9=""),0,IF(OR(N(对接源_02物料!$B9)&lt;$M$2,N(对接源_02物料!$B9)&gt;$M$3),0,1))</f>
        <v>0</v>
      </c>
      <c r="N1209" s="3">
        <f>IF(OR($N$1="",对接源_02物料!$C9="",对接源_02物料!$C9&lt;&gt;$N$1,对接源_02物料!$B9=""),0,IF(OR(N(对接源_02物料!$B9)&lt;$N$2,N(对接源_02物料!$B9)&gt;$N$3),0,1))</f>
        <v>0</v>
      </c>
      <c r="P1209" s="3">
        <f>IF(AND($K1209=1,AND(对接源_02物料!$X9="公司筐",N(对接源_02物料!$T9)&lt;&gt;0)),1,0)</f>
        <v>0</v>
      </c>
      <c r="Q1209" s="3">
        <f t="shared" si="317"/>
        <v>0</v>
      </c>
      <c r="R1209" s="3">
        <f>IF(AND($K1209=1,AND(对接源_02物料!$X9="公司筐",N(对接源_02物料!$U9)&lt;&gt;0)),1,0)</f>
        <v>0</v>
      </c>
      <c r="S1209" s="3">
        <f t="shared" si="318"/>
        <v>0</v>
      </c>
      <c r="T1209" s="3">
        <f>IF(AND($K1209=1,AND(对接源_02物料!$X9="公司筐",N(对接源_02物料!$V9)&lt;&gt;0)),1,0)</f>
        <v>0</v>
      </c>
      <c r="U1209" s="3">
        <f t="shared" si="319"/>
        <v>19</v>
      </c>
      <c r="V1209" s="3">
        <f>IF(AND($L1209=1,AND(对接源_02物料!$X9="自备筐",N(对接源_02物料!$V9)&lt;&gt;0)),1,0)</f>
        <v>0</v>
      </c>
      <c r="W1209" s="3">
        <f t="shared" si="320"/>
        <v>8</v>
      </c>
      <c r="X1209" s="3">
        <f>IF(AND($L1209=1,AND(对接源_02物料!$X9="自备筐",N(对接源_02物料!$T9)&lt;&gt;0)),1,0)</f>
        <v>0</v>
      </c>
      <c r="Y1209" s="3">
        <f t="shared" si="321"/>
        <v>0</v>
      </c>
      <c r="Z1209" s="3">
        <f>IF(AND($M1209=1,对接源_02物料!$D9="原料入库"),1,0)</f>
        <v>0</v>
      </c>
      <c r="AA1209" s="3">
        <f t="shared" si="322"/>
        <v>24</v>
      </c>
      <c r="AB1209" s="3">
        <f>IF(AND($M1209=1,LEFT(对接源_02物料!$D9,4)="原料出库"),1,0)</f>
        <v>0</v>
      </c>
      <c r="AC1209" s="3">
        <f t="shared" si="323"/>
        <v>0</v>
      </c>
      <c r="AD1209" s="3">
        <f>IF(AND($M1209=1,LEFT(对接源_02物料!$D9,4)="成品出库"),1,0)</f>
        <v>0</v>
      </c>
      <c r="AE1209" s="3">
        <f t="shared" si="324"/>
        <v>0</v>
      </c>
      <c r="AF1209" s="3">
        <f>IF(AND($N1209=1,AND(LEFT(对接源_02物料!$D9,4)="包装物料",N(对接源_02物料!$K9)&lt;&gt;0)),1,0)</f>
        <v>0</v>
      </c>
      <c r="AG1209" s="3">
        <f t="shared" si="325"/>
        <v>0</v>
      </c>
      <c r="AH1209" s="3">
        <f>IF(AND($N1209=1,AND(对接源_02物料!$D9="周转筐－销售出库",N(对接源_02物料!$K9)&lt;&gt;0)),1,0)</f>
        <v>0</v>
      </c>
      <c r="AI1209" s="3">
        <f t="shared" si="326"/>
        <v>0</v>
      </c>
      <c r="AL1209" s="3">
        <v>0</v>
      </c>
      <c r="AM1209" s="3">
        <f t="shared" si="327"/>
        <v>1</v>
      </c>
      <c r="AN1209" s="3" t="str">
        <f t="shared" si="332"/>
        <v/>
      </c>
      <c r="AO1209" s="3">
        <v>0</v>
      </c>
      <c r="AP1209" s="3">
        <f t="shared" si="329"/>
        <v>8</v>
      </c>
      <c r="AR1209">
        <f t="shared" si="330"/>
        <v>0</v>
      </c>
      <c r="AS1209">
        <f t="shared" si="331"/>
        <v>0</v>
      </c>
    </row>
    <row r="1210" customHeight="1" spans="1:45">
      <c r="A1210" s="3" t="str">
        <f>IF(对接源_02物料!$C10="","",对接源_02物料!$C10)</f>
        <v>新顺发泡网</v>
      </c>
      <c r="B1210" s="3">
        <f t="shared" si="315"/>
        <v>1</v>
      </c>
      <c r="C1210" s="3">
        <f t="shared" si="316"/>
        <v>20</v>
      </c>
      <c r="K1210" s="3">
        <f>IF(OR($K$1="",对接源_02物料!$C10="",对接源_02物料!$C10&lt;&gt;$K$1,对接源_02物料!$B10=""),0,IF(OR(N(对接源_02物料!$B10)&lt;$K$2,N(对接源_02物料!$B10)&gt;$K$3),0,1))</f>
        <v>0</v>
      </c>
      <c r="L1210" s="3">
        <f>IF(OR($L$1="",对接源_02物料!$C10="",对接源_02物料!$C10&lt;&gt;$L$1,对接源_02物料!$B10=""),0,IF(OR(N(对接源_02物料!$B10)&lt;$L$2,N(对接源_02物料!$B10)&gt;$L$3),0,1))</f>
        <v>0</v>
      </c>
      <c r="M1210" s="3">
        <f>IF(OR($M$1="",对接源_02物料!$C10="",对接源_02物料!$C10&lt;&gt;$M$1,对接源_02物料!$B10=""),0,IF(OR(N(对接源_02物料!$B10)&lt;$M$2,N(对接源_02物料!$B10)&gt;$M$3),0,1))</f>
        <v>0</v>
      </c>
      <c r="N1210" s="3">
        <f>IF(OR($N$1="",对接源_02物料!$C10="",对接源_02物料!$C10&lt;&gt;$N$1,对接源_02物料!$B10=""),0,IF(OR(N(对接源_02物料!$B10)&lt;$N$2,N(对接源_02物料!$B10)&gt;$N$3),0,1))</f>
        <v>0</v>
      </c>
      <c r="P1210" s="3">
        <f>IF(AND($K1210=1,AND(对接源_02物料!$X10="公司筐",N(对接源_02物料!$T10)&lt;&gt;0)),1,0)</f>
        <v>0</v>
      </c>
      <c r="Q1210" s="3">
        <f t="shared" si="317"/>
        <v>0</v>
      </c>
      <c r="R1210" s="3">
        <f>IF(AND($K1210=1,AND(对接源_02物料!$X10="公司筐",N(对接源_02物料!$U10)&lt;&gt;0)),1,0)</f>
        <v>0</v>
      </c>
      <c r="S1210" s="3">
        <f t="shared" si="318"/>
        <v>0</v>
      </c>
      <c r="T1210" s="3">
        <f>IF(AND($K1210=1,AND(对接源_02物料!$X10="公司筐",N(对接源_02物料!$V10)&lt;&gt;0)),1,0)</f>
        <v>0</v>
      </c>
      <c r="U1210" s="3">
        <f t="shared" si="319"/>
        <v>19</v>
      </c>
      <c r="V1210" s="3">
        <f>IF(AND($L1210=1,AND(对接源_02物料!$X10="自备筐",N(对接源_02物料!$V10)&lt;&gt;0)),1,0)</f>
        <v>0</v>
      </c>
      <c r="W1210" s="3">
        <f t="shared" si="320"/>
        <v>8</v>
      </c>
      <c r="X1210" s="3">
        <f>IF(AND($L1210=1,AND(对接源_02物料!$X10="自备筐",N(对接源_02物料!$T10)&lt;&gt;0)),1,0)</f>
        <v>0</v>
      </c>
      <c r="Y1210" s="3">
        <f t="shared" si="321"/>
        <v>0</v>
      </c>
      <c r="Z1210" s="3">
        <f>IF(AND($M1210=1,对接源_02物料!$D10="原料入库"),1,0)</f>
        <v>0</v>
      </c>
      <c r="AA1210" s="3">
        <f t="shared" si="322"/>
        <v>24</v>
      </c>
      <c r="AB1210" s="3">
        <f>IF(AND($M1210=1,LEFT(对接源_02物料!$D10,4)="原料出库"),1,0)</f>
        <v>0</v>
      </c>
      <c r="AC1210" s="3">
        <f t="shared" si="323"/>
        <v>0</v>
      </c>
      <c r="AD1210" s="3">
        <f>IF(AND($M1210=1,LEFT(对接源_02物料!$D10,4)="成品出库"),1,0)</f>
        <v>0</v>
      </c>
      <c r="AE1210" s="3">
        <f t="shared" si="324"/>
        <v>0</v>
      </c>
      <c r="AF1210" s="3">
        <f>IF(AND($N1210=1,AND(LEFT(对接源_02物料!$D10,4)="包装物料",N(对接源_02物料!$K10)&lt;&gt;0)),1,0)</f>
        <v>0</v>
      </c>
      <c r="AG1210" s="3">
        <f t="shared" si="325"/>
        <v>0</v>
      </c>
      <c r="AH1210" s="3">
        <f>IF(AND($N1210=1,AND(对接源_02物料!$D10="周转筐－销售出库",N(对接源_02物料!$K10)&lt;&gt;0)),1,0)</f>
        <v>0</v>
      </c>
      <c r="AI1210" s="3">
        <f t="shared" si="326"/>
        <v>0</v>
      </c>
      <c r="AL1210" s="3">
        <v>0</v>
      </c>
      <c r="AM1210" s="3">
        <f t="shared" si="327"/>
        <v>1</v>
      </c>
      <c r="AN1210" s="3" t="str">
        <f t="shared" si="332"/>
        <v/>
      </c>
      <c r="AO1210" s="3">
        <v>0</v>
      </c>
      <c r="AP1210" s="3">
        <f t="shared" si="329"/>
        <v>8</v>
      </c>
      <c r="AR1210">
        <f t="shared" si="330"/>
        <v>0</v>
      </c>
      <c r="AS1210">
        <f t="shared" si="331"/>
        <v>0</v>
      </c>
    </row>
    <row r="1211" customHeight="1" spans="1:45">
      <c r="A1211" s="3" t="str">
        <f>IF(对接源_02物料!$C11="","",对接源_02物料!$C11)</f>
        <v>吐尔洪</v>
      </c>
      <c r="B1211" s="3">
        <f t="shared" si="315"/>
        <v>0</v>
      </c>
      <c r="C1211" s="3">
        <f t="shared" si="316"/>
        <v>20</v>
      </c>
      <c r="K1211" s="3">
        <f>IF(OR($K$1="",对接源_02物料!$C11="",对接源_02物料!$C11&lt;&gt;$K$1,对接源_02物料!$B11=""),0,IF(OR(N(对接源_02物料!$B11)&lt;$K$2,N(对接源_02物料!$B11)&gt;$K$3),0,1))</f>
        <v>0</v>
      </c>
      <c r="L1211" s="3">
        <f>IF(OR($L$1="",对接源_02物料!$C11="",对接源_02物料!$C11&lt;&gt;$L$1,对接源_02物料!$B11=""),0,IF(OR(N(对接源_02物料!$B11)&lt;$L$2,N(对接源_02物料!$B11)&gt;$L$3),0,1))</f>
        <v>0</v>
      </c>
      <c r="M1211" s="3">
        <f>IF(OR($M$1="",对接源_02物料!$C11="",对接源_02物料!$C11&lt;&gt;$M$1,对接源_02物料!$B11=""),0,IF(OR(N(对接源_02物料!$B11)&lt;$M$2,N(对接源_02物料!$B11)&gt;$M$3),0,1))</f>
        <v>1</v>
      </c>
      <c r="N1211" s="3">
        <f>IF(OR($N$1="",对接源_02物料!$C11="",对接源_02物料!$C11&lt;&gt;$N$1,对接源_02物料!$B11=""),0,IF(OR(N(对接源_02物料!$B11)&lt;$N$2,N(对接源_02物料!$B11)&gt;$N$3),0,1))</f>
        <v>1</v>
      </c>
      <c r="P1211" s="3">
        <f>IF(AND($K1211=1,AND(对接源_02物料!$X11="公司筐",N(对接源_02物料!$T11)&lt;&gt;0)),1,0)</f>
        <v>0</v>
      </c>
      <c r="Q1211" s="3">
        <f t="shared" si="317"/>
        <v>0</v>
      </c>
      <c r="R1211" s="3">
        <f>IF(AND($K1211=1,AND(对接源_02物料!$X11="公司筐",N(对接源_02物料!$U11)&lt;&gt;0)),1,0)</f>
        <v>0</v>
      </c>
      <c r="S1211" s="3">
        <f t="shared" si="318"/>
        <v>0</v>
      </c>
      <c r="T1211" s="3">
        <f>IF(AND($K1211=1,AND(对接源_02物料!$X11="公司筐",N(对接源_02物料!$V11)&lt;&gt;0)),1,0)</f>
        <v>0</v>
      </c>
      <c r="U1211" s="3">
        <f t="shared" si="319"/>
        <v>19</v>
      </c>
      <c r="V1211" s="3">
        <f>IF(AND($L1211=1,AND(对接源_02物料!$X11="自备筐",N(对接源_02物料!$V11)&lt;&gt;0)),1,0)</f>
        <v>0</v>
      </c>
      <c r="W1211" s="3">
        <f t="shared" si="320"/>
        <v>8</v>
      </c>
      <c r="X1211" s="3">
        <f>IF(AND($L1211=1,AND(对接源_02物料!$X11="自备筐",N(对接源_02物料!$T11)&lt;&gt;0)),1,0)</f>
        <v>0</v>
      </c>
      <c r="Y1211" s="3">
        <f t="shared" si="321"/>
        <v>0</v>
      </c>
      <c r="Z1211" s="3">
        <f>IF(AND($M1211=1,对接源_02物料!$D11="原料入库"),1,0)</f>
        <v>0</v>
      </c>
      <c r="AA1211" s="3">
        <f t="shared" si="322"/>
        <v>24</v>
      </c>
      <c r="AB1211" s="3">
        <f>IF(AND($M1211=1,LEFT(对接源_02物料!$D11,4)="原料出库"),1,0)</f>
        <v>0</v>
      </c>
      <c r="AC1211" s="3">
        <f t="shared" si="323"/>
        <v>0</v>
      </c>
      <c r="AD1211" s="3">
        <f>IF(AND($M1211=1,LEFT(对接源_02物料!$D11,4)="成品出库"),1,0)</f>
        <v>0</v>
      </c>
      <c r="AE1211" s="3">
        <f t="shared" si="324"/>
        <v>0</v>
      </c>
      <c r="AF1211" s="3">
        <f>IF(AND($N1211=1,AND(LEFT(对接源_02物料!$D11,4)="包装物料",N(对接源_02物料!$K11)&lt;&gt;0)),1,0)</f>
        <v>1</v>
      </c>
      <c r="AG1211" s="3">
        <f t="shared" si="325"/>
        <v>1</v>
      </c>
      <c r="AH1211" s="3">
        <f>IF(AND($N1211=1,AND(对接源_02物料!$D11="周转筐－销售出库",N(对接源_02物料!$K11)&lt;&gt;0)),1,0)</f>
        <v>0</v>
      </c>
      <c r="AI1211" s="3">
        <f t="shared" si="326"/>
        <v>0</v>
      </c>
      <c r="AL1211" s="3">
        <v>0</v>
      </c>
      <c r="AM1211" s="3">
        <f t="shared" si="327"/>
        <v>1</v>
      </c>
      <c r="AN1211" s="3" t="str">
        <f t="shared" si="332"/>
        <v/>
      </c>
      <c r="AO1211" s="3">
        <v>0</v>
      </c>
      <c r="AP1211" s="3">
        <f t="shared" si="329"/>
        <v>8</v>
      </c>
      <c r="AR1211">
        <f t="shared" si="330"/>
        <v>1</v>
      </c>
      <c r="AS1211">
        <f t="shared" si="331"/>
        <v>1</v>
      </c>
    </row>
    <row r="1212" customHeight="1" spans="1:45">
      <c r="A1212" s="3" t="str">
        <f>IF(对接源_02物料!$C12="","",对接源_02物料!$C12)</f>
        <v>热合曼</v>
      </c>
      <c r="B1212" s="3">
        <f t="shared" si="315"/>
        <v>0</v>
      </c>
      <c r="C1212" s="3">
        <f t="shared" si="316"/>
        <v>20</v>
      </c>
      <c r="K1212" s="3">
        <f>IF(OR($K$1="",对接源_02物料!$C12="",对接源_02物料!$C12&lt;&gt;$K$1,对接源_02物料!$B12=""),0,IF(OR(N(对接源_02物料!$B12)&lt;$K$2,N(对接源_02物料!$B12)&gt;$K$3),0,1))</f>
        <v>0</v>
      </c>
      <c r="L1212" s="3">
        <f>IF(OR($L$1="",对接源_02物料!$C12="",对接源_02物料!$C12&lt;&gt;$L$1,对接源_02物料!$B12=""),0,IF(OR(N(对接源_02物料!$B12)&lt;$L$2,N(对接源_02物料!$B12)&gt;$L$3),0,1))</f>
        <v>0</v>
      </c>
      <c r="M1212" s="3">
        <f>IF(OR($M$1="",对接源_02物料!$C12="",对接源_02物料!$C12&lt;&gt;$M$1,对接源_02物料!$B12=""),0,IF(OR(N(对接源_02物料!$B12)&lt;$M$2,N(对接源_02物料!$B12)&gt;$M$3),0,1))</f>
        <v>0</v>
      </c>
      <c r="N1212" s="3">
        <f>IF(OR($N$1="",对接源_02物料!$C12="",对接源_02物料!$C12&lt;&gt;$N$1,对接源_02物料!$B12=""),0,IF(OR(N(对接源_02物料!$B12)&lt;$N$2,N(对接源_02物料!$B12)&gt;$N$3),0,1))</f>
        <v>0</v>
      </c>
      <c r="P1212" s="3">
        <f>IF(AND($K1212=1,AND(对接源_02物料!$X12="公司筐",N(对接源_02物料!$T12)&lt;&gt;0)),1,0)</f>
        <v>0</v>
      </c>
      <c r="Q1212" s="3">
        <f t="shared" si="317"/>
        <v>0</v>
      </c>
      <c r="R1212" s="3">
        <f>IF(AND($K1212=1,AND(对接源_02物料!$X12="公司筐",N(对接源_02物料!$U12)&lt;&gt;0)),1,0)</f>
        <v>0</v>
      </c>
      <c r="S1212" s="3">
        <f t="shared" si="318"/>
        <v>0</v>
      </c>
      <c r="T1212" s="3">
        <f>IF(AND($K1212=1,AND(对接源_02物料!$X12="公司筐",N(对接源_02物料!$V12)&lt;&gt;0)),1,0)</f>
        <v>0</v>
      </c>
      <c r="U1212" s="3">
        <f t="shared" si="319"/>
        <v>19</v>
      </c>
      <c r="V1212" s="3">
        <f>IF(AND($L1212=1,AND(对接源_02物料!$X12="自备筐",N(对接源_02物料!$V12)&lt;&gt;0)),1,0)</f>
        <v>0</v>
      </c>
      <c r="W1212" s="3">
        <f t="shared" si="320"/>
        <v>8</v>
      </c>
      <c r="X1212" s="3">
        <f>IF(AND($L1212=1,AND(对接源_02物料!$X12="自备筐",N(对接源_02物料!$T12)&lt;&gt;0)),1,0)</f>
        <v>0</v>
      </c>
      <c r="Y1212" s="3">
        <f t="shared" si="321"/>
        <v>0</v>
      </c>
      <c r="Z1212" s="3">
        <f>IF(AND($M1212=1,对接源_02物料!$D12="原料入库"),1,0)</f>
        <v>0</v>
      </c>
      <c r="AA1212" s="3">
        <f t="shared" si="322"/>
        <v>24</v>
      </c>
      <c r="AB1212" s="3">
        <f>IF(AND($M1212=1,LEFT(对接源_02物料!$D12,4)="原料出库"),1,0)</f>
        <v>0</v>
      </c>
      <c r="AC1212" s="3">
        <f t="shared" si="323"/>
        <v>0</v>
      </c>
      <c r="AD1212" s="3">
        <f>IF(AND($M1212=1,LEFT(对接源_02物料!$D12,4)="成品出库"),1,0)</f>
        <v>0</v>
      </c>
      <c r="AE1212" s="3">
        <f t="shared" si="324"/>
        <v>0</v>
      </c>
      <c r="AF1212" s="3">
        <f>IF(AND($N1212=1,AND(LEFT(对接源_02物料!$D12,4)="包装物料",N(对接源_02物料!$K12)&lt;&gt;0)),1,0)</f>
        <v>0</v>
      </c>
      <c r="AG1212" s="3">
        <f t="shared" si="325"/>
        <v>1</v>
      </c>
      <c r="AH1212" s="3">
        <f>IF(AND($N1212=1,AND(对接源_02物料!$D12="周转筐－销售出库",N(对接源_02物料!$K12)&lt;&gt;0)),1,0)</f>
        <v>0</v>
      </c>
      <c r="AI1212" s="3">
        <f t="shared" si="326"/>
        <v>0</v>
      </c>
      <c r="AL1212" s="3">
        <v>0</v>
      </c>
      <c r="AM1212" s="3">
        <f t="shared" si="327"/>
        <v>1</v>
      </c>
      <c r="AN1212" s="3" t="str">
        <f t="shared" si="332"/>
        <v/>
      </c>
      <c r="AO1212" s="3">
        <v>0</v>
      </c>
      <c r="AP1212" s="3">
        <f t="shared" si="329"/>
        <v>8</v>
      </c>
      <c r="AR1212">
        <f t="shared" si="330"/>
        <v>0</v>
      </c>
      <c r="AS1212">
        <f t="shared" si="331"/>
        <v>1</v>
      </c>
    </row>
    <row r="1213" customHeight="1" spans="1:45">
      <c r="A1213" s="3" t="str">
        <f>IF(对接源_02物料!$C13="","",对接源_02物料!$C13)</f>
        <v>麦麦提</v>
      </c>
      <c r="B1213" s="3">
        <f t="shared" si="315"/>
        <v>0</v>
      </c>
      <c r="C1213" s="3">
        <f t="shared" si="316"/>
        <v>20</v>
      </c>
      <c r="K1213" s="3">
        <f>IF(OR($K$1="",对接源_02物料!$C13="",对接源_02物料!$C13&lt;&gt;$K$1,对接源_02物料!$B13=""),0,IF(OR(N(对接源_02物料!$B13)&lt;$K$2,N(对接源_02物料!$B13)&gt;$K$3),0,1))</f>
        <v>0</v>
      </c>
      <c r="L1213" s="3">
        <f>IF(OR($L$1="",对接源_02物料!$C13="",对接源_02物料!$C13&lt;&gt;$L$1,对接源_02物料!$B13=""),0,IF(OR(N(对接源_02物料!$B13)&lt;$L$2,N(对接源_02物料!$B13)&gt;$L$3),0,1))</f>
        <v>0</v>
      </c>
      <c r="M1213" s="3">
        <f>IF(OR($M$1="",对接源_02物料!$C13="",对接源_02物料!$C13&lt;&gt;$M$1,对接源_02物料!$B13=""),0,IF(OR(N(对接源_02物料!$B13)&lt;$M$2,N(对接源_02物料!$B13)&gt;$M$3),0,1))</f>
        <v>0</v>
      </c>
      <c r="N1213" s="3">
        <f>IF(OR($N$1="",对接源_02物料!$C13="",对接源_02物料!$C13&lt;&gt;$N$1,对接源_02物料!$B13=""),0,IF(OR(N(对接源_02物料!$B13)&lt;$N$2,N(对接源_02物料!$B13)&gt;$N$3),0,1))</f>
        <v>0</v>
      </c>
      <c r="P1213" s="3">
        <f>IF(AND($K1213=1,AND(对接源_02物料!$X13="公司筐",N(对接源_02物料!$T13)&lt;&gt;0)),1,0)</f>
        <v>0</v>
      </c>
      <c r="Q1213" s="3">
        <f t="shared" si="317"/>
        <v>0</v>
      </c>
      <c r="R1213" s="3">
        <f>IF(AND($K1213=1,AND(对接源_02物料!$X13="公司筐",N(对接源_02物料!$U13)&lt;&gt;0)),1,0)</f>
        <v>0</v>
      </c>
      <c r="S1213" s="3">
        <f t="shared" si="318"/>
        <v>0</v>
      </c>
      <c r="T1213" s="3">
        <f>IF(AND($K1213=1,AND(对接源_02物料!$X13="公司筐",N(对接源_02物料!$V13)&lt;&gt;0)),1,0)</f>
        <v>0</v>
      </c>
      <c r="U1213" s="3">
        <f t="shared" si="319"/>
        <v>19</v>
      </c>
      <c r="V1213" s="3">
        <f>IF(AND($L1213=1,AND(对接源_02物料!$X13="自备筐",N(对接源_02物料!$V13)&lt;&gt;0)),1,0)</f>
        <v>0</v>
      </c>
      <c r="W1213" s="3">
        <f t="shared" si="320"/>
        <v>8</v>
      </c>
      <c r="X1213" s="3">
        <f>IF(AND($L1213=1,AND(对接源_02物料!$X13="自备筐",N(对接源_02物料!$T13)&lt;&gt;0)),1,0)</f>
        <v>0</v>
      </c>
      <c r="Y1213" s="3">
        <f t="shared" si="321"/>
        <v>0</v>
      </c>
      <c r="Z1213" s="3">
        <f>IF(AND($M1213=1,对接源_02物料!$D13="原料入库"),1,0)</f>
        <v>0</v>
      </c>
      <c r="AA1213" s="3">
        <f t="shared" si="322"/>
        <v>24</v>
      </c>
      <c r="AB1213" s="3">
        <f>IF(AND($M1213=1,LEFT(对接源_02物料!$D13,4)="原料出库"),1,0)</f>
        <v>0</v>
      </c>
      <c r="AC1213" s="3">
        <f t="shared" si="323"/>
        <v>0</v>
      </c>
      <c r="AD1213" s="3">
        <f>IF(AND($M1213=1,LEFT(对接源_02物料!$D13,4)="成品出库"),1,0)</f>
        <v>0</v>
      </c>
      <c r="AE1213" s="3">
        <f t="shared" si="324"/>
        <v>0</v>
      </c>
      <c r="AF1213" s="3">
        <f>IF(AND($N1213=1,AND(LEFT(对接源_02物料!$D13,4)="包装物料",N(对接源_02物料!$K13)&lt;&gt;0)),1,0)</f>
        <v>0</v>
      </c>
      <c r="AG1213" s="3">
        <f t="shared" si="325"/>
        <v>1</v>
      </c>
      <c r="AH1213" s="3">
        <f>IF(AND($N1213=1,AND(对接源_02物料!$D13="周转筐－销售出库",N(对接源_02物料!$K13)&lt;&gt;0)),1,0)</f>
        <v>0</v>
      </c>
      <c r="AI1213" s="3">
        <f t="shared" si="326"/>
        <v>0</v>
      </c>
      <c r="AL1213" s="3">
        <v>0</v>
      </c>
      <c r="AM1213" s="3">
        <f t="shared" si="327"/>
        <v>1</v>
      </c>
      <c r="AN1213" s="3" t="str">
        <f t="shared" si="332"/>
        <v/>
      </c>
      <c r="AO1213" s="3">
        <v>0</v>
      </c>
      <c r="AP1213" s="3">
        <f t="shared" si="329"/>
        <v>8</v>
      </c>
      <c r="AR1213">
        <f t="shared" si="330"/>
        <v>0</v>
      </c>
      <c r="AS1213">
        <f t="shared" si="331"/>
        <v>1</v>
      </c>
    </row>
    <row r="1214" customHeight="1" spans="1:45">
      <c r="A1214" s="3" t="str">
        <f>IF(对接源_02物料!$C14="","",对接源_02物料!$C14)</f>
        <v>热合曼</v>
      </c>
      <c r="B1214" s="3">
        <f t="shared" si="315"/>
        <v>0</v>
      </c>
      <c r="C1214" s="3">
        <f t="shared" si="316"/>
        <v>20</v>
      </c>
      <c r="K1214" s="3">
        <f>IF(OR($K$1="",对接源_02物料!$C14="",对接源_02物料!$C14&lt;&gt;$K$1,对接源_02物料!$B14=""),0,IF(OR(N(对接源_02物料!$B14)&lt;$K$2,N(对接源_02物料!$B14)&gt;$K$3),0,1))</f>
        <v>0</v>
      </c>
      <c r="L1214" s="3">
        <f>IF(OR($L$1="",对接源_02物料!$C14="",对接源_02物料!$C14&lt;&gt;$L$1,对接源_02物料!$B14=""),0,IF(OR(N(对接源_02物料!$B14)&lt;$L$2,N(对接源_02物料!$B14)&gt;$L$3),0,1))</f>
        <v>0</v>
      </c>
      <c r="M1214" s="3">
        <f>IF(OR($M$1="",对接源_02物料!$C14="",对接源_02物料!$C14&lt;&gt;$M$1,对接源_02物料!$B14=""),0,IF(OR(N(对接源_02物料!$B14)&lt;$M$2,N(对接源_02物料!$B14)&gt;$M$3),0,1))</f>
        <v>0</v>
      </c>
      <c r="N1214" s="3">
        <f>IF(OR($N$1="",对接源_02物料!$C14="",对接源_02物料!$C14&lt;&gt;$N$1,对接源_02物料!$B14=""),0,IF(OR(N(对接源_02物料!$B14)&lt;$N$2,N(对接源_02物料!$B14)&gt;$N$3),0,1))</f>
        <v>0</v>
      </c>
      <c r="P1214" s="3">
        <f>IF(AND($K1214=1,AND(对接源_02物料!$X14="公司筐",N(对接源_02物料!$T14)&lt;&gt;0)),1,0)</f>
        <v>0</v>
      </c>
      <c r="Q1214" s="3">
        <f t="shared" si="317"/>
        <v>0</v>
      </c>
      <c r="R1214" s="3">
        <f>IF(AND($K1214=1,AND(对接源_02物料!$X14="公司筐",N(对接源_02物料!$U14)&lt;&gt;0)),1,0)</f>
        <v>0</v>
      </c>
      <c r="S1214" s="3">
        <f t="shared" si="318"/>
        <v>0</v>
      </c>
      <c r="T1214" s="3">
        <f>IF(AND($K1214=1,AND(对接源_02物料!$X14="公司筐",N(对接源_02物料!$V14)&lt;&gt;0)),1,0)</f>
        <v>0</v>
      </c>
      <c r="U1214" s="3">
        <f t="shared" si="319"/>
        <v>19</v>
      </c>
      <c r="V1214" s="3">
        <f>IF(AND($L1214=1,AND(对接源_02物料!$X14="自备筐",N(对接源_02物料!$V14)&lt;&gt;0)),1,0)</f>
        <v>0</v>
      </c>
      <c r="W1214" s="3">
        <f t="shared" si="320"/>
        <v>8</v>
      </c>
      <c r="X1214" s="3">
        <f>IF(AND($L1214=1,AND(对接源_02物料!$X14="自备筐",N(对接源_02物料!$T14)&lt;&gt;0)),1,0)</f>
        <v>0</v>
      </c>
      <c r="Y1214" s="3">
        <f t="shared" si="321"/>
        <v>0</v>
      </c>
      <c r="Z1214" s="3">
        <f>IF(AND($M1214=1,对接源_02物料!$D14="原料入库"),1,0)</f>
        <v>0</v>
      </c>
      <c r="AA1214" s="3">
        <f t="shared" si="322"/>
        <v>24</v>
      </c>
      <c r="AB1214" s="3">
        <f>IF(AND($M1214=1,LEFT(对接源_02物料!$D14,4)="原料出库"),1,0)</f>
        <v>0</v>
      </c>
      <c r="AC1214" s="3">
        <f t="shared" si="323"/>
        <v>0</v>
      </c>
      <c r="AD1214" s="3">
        <f>IF(AND($M1214=1,LEFT(对接源_02物料!$D14,4)="成品出库"),1,0)</f>
        <v>0</v>
      </c>
      <c r="AE1214" s="3">
        <f t="shared" si="324"/>
        <v>0</v>
      </c>
      <c r="AF1214" s="3">
        <f>IF(AND($N1214=1,AND(LEFT(对接源_02物料!$D14,4)="包装物料",N(对接源_02物料!$K14)&lt;&gt;0)),1,0)</f>
        <v>0</v>
      </c>
      <c r="AG1214" s="3">
        <f t="shared" si="325"/>
        <v>1</v>
      </c>
      <c r="AH1214" s="3">
        <f>IF(AND($N1214=1,AND(对接源_02物料!$D14="周转筐－销售出库",N(对接源_02物料!$K14)&lt;&gt;0)),1,0)</f>
        <v>0</v>
      </c>
      <c r="AI1214" s="3">
        <f t="shared" si="326"/>
        <v>0</v>
      </c>
      <c r="AL1214" s="3">
        <v>0</v>
      </c>
      <c r="AM1214" s="3">
        <f t="shared" si="327"/>
        <v>1</v>
      </c>
      <c r="AN1214" s="3" t="str">
        <f t="shared" si="332"/>
        <v/>
      </c>
      <c r="AO1214" s="3">
        <v>0</v>
      </c>
      <c r="AP1214" s="3">
        <f t="shared" si="329"/>
        <v>8</v>
      </c>
      <c r="AR1214">
        <f t="shared" si="330"/>
        <v>0</v>
      </c>
      <c r="AS1214">
        <f t="shared" si="331"/>
        <v>1</v>
      </c>
    </row>
    <row r="1215" customHeight="1" spans="1:45">
      <c r="A1215" s="3" t="str">
        <f>IF(对接源_02物料!$C15="","",对接源_02物料!$C15)</f>
        <v>麦麦提</v>
      </c>
      <c r="B1215" s="3">
        <f t="shared" si="315"/>
        <v>0</v>
      </c>
      <c r="C1215" s="3">
        <f t="shared" si="316"/>
        <v>20</v>
      </c>
      <c r="K1215" s="3">
        <f>IF(OR($K$1="",对接源_02物料!$C15="",对接源_02物料!$C15&lt;&gt;$K$1,对接源_02物料!$B15=""),0,IF(OR(N(对接源_02物料!$B15)&lt;$K$2,N(对接源_02物料!$B15)&gt;$K$3),0,1))</f>
        <v>0</v>
      </c>
      <c r="L1215" s="3">
        <f>IF(OR($L$1="",对接源_02物料!$C15="",对接源_02物料!$C15&lt;&gt;$L$1,对接源_02物料!$B15=""),0,IF(OR(N(对接源_02物料!$B15)&lt;$L$2,N(对接源_02物料!$B15)&gt;$L$3),0,1))</f>
        <v>0</v>
      </c>
      <c r="M1215" s="3">
        <f>IF(OR($M$1="",对接源_02物料!$C15="",对接源_02物料!$C15&lt;&gt;$M$1,对接源_02物料!$B15=""),0,IF(OR(N(对接源_02物料!$B15)&lt;$M$2,N(对接源_02物料!$B15)&gt;$M$3),0,1))</f>
        <v>0</v>
      </c>
      <c r="N1215" s="3">
        <f>IF(OR($N$1="",对接源_02物料!$C15="",对接源_02物料!$C15&lt;&gt;$N$1,对接源_02物料!$B15=""),0,IF(OR(N(对接源_02物料!$B15)&lt;$N$2,N(对接源_02物料!$B15)&gt;$N$3),0,1))</f>
        <v>0</v>
      </c>
      <c r="P1215" s="3">
        <f>IF(AND($K1215=1,AND(对接源_02物料!$X15="公司筐",N(对接源_02物料!$T15)&lt;&gt;0)),1,0)</f>
        <v>0</v>
      </c>
      <c r="Q1215" s="3">
        <f t="shared" si="317"/>
        <v>0</v>
      </c>
      <c r="R1215" s="3">
        <f>IF(AND($K1215=1,AND(对接源_02物料!$X15="公司筐",N(对接源_02物料!$U15)&lt;&gt;0)),1,0)</f>
        <v>0</v>
      </c>
      <c r="S1215" s="3">
        <f t="shared" si="318"/>
        <v>0</v>
      </c>
      <c r="T1215" s="3">
        <f>IF(AND($K1215=1,AND(对接源_02物料!$X15="公司筐",N(对接源_02物料!$V15)&lt;&gt;0)),1,0)</f>
        <v>0</v>
      </c>
      <c r="U1215" s="3">
        <f t="shared" si="319"/>
        <v>19</v>
      </c>
      <c r="V1215" s="3">
        <f>IF(AND($L1215=1,AND(对接源_02物料!$X15="自备筐",N(对接源_02物料!$V15)&lt;&gt;0)),1,0)</f>
        <v>0</v>
      </c>
      <c r="W1215" s="3">
        <f t="shared" si="320"/>
        <v>8</v>
      </c>
      <c r="X1215" s="3">
        <f>IF(AND($L1215=1,AND(对接源_02物料!$X15="自备筐",N(对接源_02物料!$T15)&lt;&gt;0)),1,0)</f>
        <v>0</v>
      </c>
      <c r="Y1215" s="3">
        <f t="shared" si="321"/>
        <v>0</v>
      </c>
      <c r="Z1215" s="3">
        <f>IF(AND($M1215=1,对接源_02物料!$D15="原料入库"),1,0)</f>
        <v>0</v>
      </c>
      <c r="AA1215" s="3">
        <f t="shared" si="322"/>
        <v>24</v>
      </c>
      <c r="AB1215" s="3">
        <f>IF(AND($M1215=1,LEFT(对接源_02物料!$D15,4)="原料出库"),1,0)</f>
        <v>0</v>
      </c>
      <c r="AC1215" s="3">
        <f t="shared" si="323"/>
        <v>0</v>
      </c>
      <c r="AD1215" s="3">
        <f>IF(AND($M1215=1,LEFT(对接源_02物料!$D15,4)="成品出库"),1,0)</f>
        <v>0</v>
      </c>
      <c r="AE1215" s="3">
        <f t="shared" si="324"/>
        <v>0</v>
      </c>
      <c r="AF1215" s="3">
        <f>IF(AND($N1215=1,AND(LEFT(对接源_02物料!$D15,4)="包装物料",N(对接源_02物料!$K15)&lt;&gt;0)),1,0)</f>
        <v>0</v>
      </c>
      <c r="AG1215" s="3">
        <f t="shared" si="325"/>
        <v>1</v>
      </c>
      <c r="AH1215" s="3">
        <f>IF(AND($N1215=1,AND(对接源_02物料!$D15="周转筐－销售出库",N(对接源_02物料!$K15)&lt;&gt;0)),1,0)</f>
        <v>0</v>
      </c>
      <c r="AI1215" s="3">
        <f t="shared" si="326"/>
        <v>0</v>
      </c>
      <c r="AL1215" s="3">
        <v>0</v>
      </c>
      <c r="AM1215" s="3">
        <f t="shared" si="327"/>
        <v>1</v>
      </c>
      <c r="AN1215" s="3" t="str">
        <f t="shared" si="332"/>
        <v/>
      </c>
      <c r="AO1215" s="3">
        <v>0</v>
      </c>
      <c r="AP1215" s="3">
        <f t="shared" si="329"/>
        <v>8</v>
      </c>
      <c r="AR1215">
        <f t="shared" si="330"/>
        <v>0</v>
      </c>
      <c r="AS1215">
        <f t="shared" si="331"/>
        <v>1</v>
      </c>
    </row>
    <row r="1216" customHeight="1" spans="1:45">
      <c r="A1216" s="3" t="str">
        <f>IF(对接源_02物料!$C16="","",对接源_02物料!$C16)</f>
        <v>荆建君</v>
      </c>
      <c r="B1216" s="3">
        <f t="shared" si="315"/>
        <v>0</v>
      </c>
      <c r="C1216" s="3">
        <f t="shared" si="316"/>
        <v>20</v>
      </c>
      <c r="K1216" s="3">
        <f>IF(OR($K$1="",对接源_02物料!$C16="",对接源_02物料!$C16&lt;&gt;$K$1,对接源_02物料!$B16=""),0,IF(OR(N(对接源_02物料!$B16)&lt;$K$2,N(对接源_02物料!$B16)&gt;$K$3),0,1))</f>
        <v>0</v>
      </c>
      <c r="L1216" s="3">
        <f>IF(OR($L$1="",对接源_02物料!$C16="",对接源_02物料!$C16&lt;&gt;$L$1,对接源_02物料!$B16=""),0,IF(OR(N(对接源_02物料!$B16)&lt;$L$2,N(对接源_02物料!$B16)&gt;$L$3),0,1))</f>
        <v>0</v>
      </c>
      <c r="M1216" s="3">
        <f>IF(OR($M$1="",对接源_02物料!$C16="",对接源_02物料!$C16&lt;&gt;$M$1,对接源_02物料!$B16=""),0,IF(OR(N(对接源_02物料!$B16)&lt;$M$2,N(对接源_02物料!$B16)&gt;$M$3),0,1))</f>
        <v>0</v>
      </c>
      <c r="N1216" s="3">
        <f>IF(OR($N$1="",对接源_02物料!$C16="",对接源_02物料!$C16&lt;&gt;$N$1,对接源_02物料!$B16=""),0,IF(OR(N(对接源_02物料!$B16)&lt;$N$2,N(对接源_02物料!$B16)&gt;$N$3),0,1))</f>
        <v>0</v>
      </c>
      <c r="P1216" s="3">
        <f>IF(AND($K1216=1,AND(对接源_02物料!$X16="公司筐",N(对接源_02物料!$T16)&lt;&gt;0)),1,0)</f>
        <v>0</v>
      </c>
      <c r="Q1216" s="3">
        <f t="shared" si="317"/>
        <v>0</v>
      </c>
      <c r="R1216" s="3">
        <f>IF(AND($K1216=1,AND(对接源_02物料!$X16="公司筐",N(对接源_02物料!$U16)&lt;&gt;0)),1,0)</f>
        <v>0</v>
      </c>
      <c r="S1216" s="3">
        <f t="shared" si="318"/>
        <v>0</v>
      </c>
      <c r="T1216" s="3">
        <f>IF(AND($K1216=1,AND(对接源_02物料!$X16="公司筐",N(对接源_02物料!$V16)&lt;&gt;0)),1,0)</f>
        <v>0</v>
      </c>
      <c r="U1216" s="3">
        <f t="shared" si="319"/>
        <v>19</v>
      </c>
      <c r="V1216" s="3">
        <f>IF(AND($L1216=1,AND(对接源_02物料!$X16="自备筐",N(对接源_02物料!$V16)&lt;&gt;0)),1,0)</f>
        <v>0</v>
      </c>
      <c r="W1216" s="3">
        <f t="shared" si="320"/>
        <v>8</v>
      </c>
      <c r="X1216" s="3">
        <f>IF(AND($L1216=1,AND(对接源_02物料!$X16="自备筐",N(对接源_02物料!$T16)&lt;&gt;0)),1,0)</f>
        <v>0</v>
      </c>
      <c r="Y1216" s="3">
        <f t="shared" si="321"/>
        <v>0</v>
      </c>
      <c r="Z1216" s="3">
        <f>IF(AND($M1216=1,对接源_02物料!$D16="原料入库"),1,0)</f>
        <v>0</v>
      </c>
      <c r="AA1216" s="3">
        <f t="shared" si="322"/>
        <v>24</v>
      </c>
      <c r="AB1216" s="3">
        <f>IF(AND($M1216=1,LEFT(对接源_02物料!$D16,4)="原料出库"),1,0)</f>
        <v>0</v>
      </c>
      <c r="AC1216" s="3">
        <f t="shared" si="323"/>
        <v>0</v>
      </c>
      <c r="AD1216" s="3">
        <f>IF(AND($M1216=1,LEFT(对接源_02物料!$D16,4)="成品出库"),1,0)</f>
        <v>0</v>
      </c>
      <c r="AE1216" s="3">
        <f t="shared" si="324"/>
        <v>0</v>
      </c>
      <c r="AF1216" s="3">
        <f>IF(AND($N1216=1,AND(LEFT(对接源_02物料!$D16,4)="包装物料",N(对接源_02物料!$K16)&lt;&gt;0)),1,0)</f>
        <v>0</v>
      </c>
      <c r="AG1216" s="3">
        <f t="shared" si="325"/>
        <v>1</v>
      </c>
      <c r="AH1216" s="3">
        <f>IF(AND($N1216=1,AND(对接源_02物料!$D16="周转筐－销售出库",N(对接源_02物料!$K16)&lt;&gt;0)),1,0)</f>
        <v>0</v>
      </c>
      <c r="AI1216" s="3">
        <f t="shared" si="326"/>
        <v>0</v>
      </c>
      <c r="AL1216" s="3">
        <v>0</v>
      </c>
      <c r="AM1216" s="3">
        <f t="shared" si="327"/>
        <v>1</v>
      </c>
      <c r="AN1216" s="3" t="str">
        <f t="shared" si="332"/>
        <v/>
      </c>
      <c r="AO1216" s="3">
        <v>0</v>
      </c>
      <c r="AP1216" s="3">
        <f t="shared" si="329"/>
        <v>8</v>
      </c>
      <c r="AR1216">
        <f t="shared" si="330"/>
        <v>0</v>
      </c>
      <c r="AS1216">
        <f t="shared" si="331"/>
        <v>1</v>
      </c>
    </row>
    <row r="1217" customHeight="1" spans="1:45">
      <c r="A1217" s="3" t="str">
        <f>IF(对接源_02物料!$C17="","",对接源_02物料!$C17)</f>
        <v>努尔敦</v>
      </c>
      <c r="B1217" s="3">
        <f t="shared" si="315"/>
        <v>0</v>
      </c>
      <c r="C1217" s="3">
        <f t="shared" si="316"/>
        <v>20</v>
      </c>
      <c r="K1217" s="3">
        <f>IF(OR($K$1="",对接源_02物料!$C17="",对接源_02物料!$C17&lt;&gt;$K$1,对接源_02物料!$B17=""),0,IF(OR(N(对接源_02物料!$B17)&lt;$K$2,N(对接源_02物料!$B17)&gt;$K$3),0,1))</f>
        <v>0</v>
      </c>
      <c r="L1217" s="3">
        <f>IF(OR($L$1="",对接源_02物料!$C17="",对接源_02物料!$C17&lt;&gt;$L$1,对接源_02物料!$B17=""),0,IF(OR(N(对接源_02物料!$B17)&lt;$L$2,N(对接源_02物料!$B17)&gt;$L$3),0,1))</f>
        <v>0</v>
      </c>
      <c r="M1217" s="3">
        <f>IF(OR($M$1="",对接源_02物料!$C17="",对接源_02物料!$C17&lt;&gt;$M$1,对接源_02物料!$B17=""),0,IF(OR(N(对接源_02物料!$B17)&lt;$M$2,N(对接源_02物料!$B17)&gt;$M$3),0,1))</f>
        <v>0</v>
      </c>
      <c r="N1217" s="3">
        <f>IF(OR($N$1="",对接源_02物料!$C17="",对接源_02物料!$C17&lt;&gt;$N$1,对接源_02物料!$B17=""),0,IF(OR(N(对接源_02物料!$B17)&lt;$N$2,N(对接源_02物料!$B17)&gt;$N$3),0,1))</f>
        <v>0</v>
      </c>
      <c r="P1217" s="3">
        <f>IF(AND($K1217=1,AND(对接源_02物料!$X17="公司筐",N(对接源_02物料!$T17)&lt;&gt;0)),1,0)</f>
        <v>0</v>
      </c>
      <c r="Q1217" s="3">
        <f t="shared" si="317"/>
        <v>0</v>
      </c>
      <c r="R1217" s="3">
        <f>IF(AND($K1217=1,AND(对接源_02物料!$X17="公司筐",N(对接源_02物料!$U17)&lt;&gt;0)),1,0)</f>
        <v>0</v>
      </c>
      <c r="S1217" s="3">
        <f t="shared" si="318"/>
        <v>0</v>
      </c>
      <c r="T1217" s="3">
        <f>IF(AND($K1217=1,AND(对接源_02物料!$X17="公司筐",N(对接源_02物料!$V17)&lt;&gt;0)),1,0)</f>
        <v>0</v>
      </c>
      <c r="U1217" s="3">
        <f t="shared" si="319"/>
        <v>19</v>
      </c>
      <c r="V1217" s="3">
        <f>IF(AND($L1217=1,AND(对接源_02物料!$X17="自备筐",N(对接源_02物料!$V17)&lt;&gt;0)),1,0)</f>
        <v>0</v>
      </c>
      <c r="W1217" s="3">
        <f t="shared" si="320"/>
        <v>8</v>
      </c>
      <c r="X1217" s="3">
        <f>IF(AND($L1217=1,AND(对接源_02物料!$X17="自备筐",N(对接源_02物料!$T17)&lt;&gt;0)),1,0)</f>
        <v>0</v>
      </c>
      <c r="Y1217" s="3">
        <f t="shared" si="321"/>
        <v>0</v>
      </c>
      <c r="Z1217" s="3">
        <f>IF(AND($M1217=1,对接源_02物料!$D17="原料入库"),1,0)</f>
        <v>0</v>
      </c>
      <c r="AA1217" s="3">
        <f t="shared" si="322"/>
        <v>24</v>
      </c>
      <c r="AB1217" s="3">
        <f>IF(AND($M1217=1,LEFT(对接源_02物料!$D17,4)="原料出库"),1,0)</f>
        <v>0</v>
      </c>
      <c r="AC1217" s="3">
        <f t="shared" si="323"/>
        <v>0</v>
      </c>
      <c r="AD1217" s="3">
        <f>IF(AND($M1217=1,LEFT(对接源_02物料!$D17,4)="成品出库"),1,0)</f>
        <v>0</v>
      </c>
      <c r="AE1217" s="3">
        <f t="shared" si="324"/>
        <v>0</v>
      </c>
      <c r="AF1217" s="3">
        <f>IF(AND($N1217=1,AND(LEFT(对接源_02物料!$D17,4)="包装物料",N(对接源_02物料!$K17)&lt;&gt;0)),1,0)</f>
        <v>0</v>
      </c>
      <c r="AG1217" s="3">
        <f t="shared" si="325"/>
        <v>1</v>
      </c>
      <c r="AH1217" s="3">
        <f>IF(AND($N1217=1,AND(对接源_02物料!$D17="周转筐－销售出库",N(对接源_02物料!$K17)&lt;&gt;0)),1,0)</f>
        <v>0</v>
      </c>
      <c r="AI1217" s="3">
        <f t="shared" si="326"/>
        <v>0</v>
      </c>
      <c r="AL1217" s="3">
        <v>0</v>
      </c>
      <c r="AM1217" s="3">
        <f t="shared" si="327"/>
        <v>1</v>
      </c>
      <c r="AN1217" s="3" t="str">
        <f t="shared" si="332"/>
        <v/>
      </c>
      <c r="AO1217" s="3">
        <v>0</v>
      </c>
      <c r="AP1217" s="3">
        <f t="shared" si="329"/>
        <v>8</v>
      </c>
      <c r="AR1217">
        <f t="shared" si="330"/>
        <v>0</v>
      </c>
      <c r="AS1217">
        <f t="shared" si="331"/>
        <v>1</v>
      </c>
    </row>
    <row r="1218" customHeight="1" spans="1:45">
      <c r="A1218" s="3" t="str">
        <f>IF(对接源_02物料!$C18="","",对接源_02物料!$C18)</f>
        <v>热合曼</v>
      </c>
      <c r="B1218" s="3">
        <f t="shared" si="315"/>
        <v>0</v>
      </c>
      <c r="C1218" s="3">
        <f t="shared" si="316"/>
        <v>20</v>
      </c>
      <c r="K1218" s="3">
        <f>IF(OR($K$1="",对接源_02物料!$C18="",对接源_02物料!$C18&lt;&gt;$K$1,对接源_02物料!$B18=""),0,IF(OR(N(对接源_02物料!$B18)&lt;$K$2,N(对接源_02物料!$B18)&gt;$K$3),0,1))</f>
        <v>0</v>
      </c>
      <c r="L1218" s="3">
        <f>IF(OR($L$1="",对接源_02物料!$C18="",对接源_02物料!$C18&lt;&gt;$L$1,对接源_02物料!$B18=""),0,IF(OR(N(对接源_02物料!$B18)&lt;$L$2,N(对接源_02物料!$B18)&gt;$L$3),0,1))</f>
        <v>0</v>
      </c>
      <c r="M1218" s="3">
        <f>IF(OR($M$1="",对接源_02物料!$C18="",对接源_02物料!$C18&lt;&gt;$M$1,对接源_02物料!$B18=""),0,IF(OR(N(对接源_02物料!$B18)&lt;$M$2,N(对接源_02物料!$B18)&gt;$M$3),0,1))</f>
        <v>0</v>
      </c>
      <c r="N1218" s="3">
        <f>IF(OR($N$1="",对接源_02物料!$C18="",对接源_02物料!$C18&lt;&gt;$N$1,对接源_02物料!$B18=""),0,IF(OR(N(对接源_02物料!$B18)&lt;$N$2,N(对接源_02物料!$B18)&gt;$N$3),0,1))</f>
        <v>0</v>
      </c>
      <c r="P1218" s="3">
        <f>IF(AND($K1218=1,AND(对接源_02物料!$X18="公司筐",N(对接源_02物料!$T18)&lt;&gt;0)),1,0)</f>
        <v>0</v>
      </c>
      <c r="Q1218" s="3">
        <f t="shared" si="317"/>
        <v>0</v>
      </c>
      <c r="R1218" s="3">
        <f>IF(AND($K1218=1,AND(对接源_02物料!$X18="公司筐",N(对接源_02物料!$U18)&lt;&gt;0)),1,0)</f>
        <v>0</v>
      </c>
      <c r="S1218" s="3">
        <f t="shared" si="318"/>
        <v>0</v>
      </c>
      <c r="T1218" s="3">
        <f>IF(AND($K1218=1,AND(对接源_02物料!$X18="公司筐",N(对接源_02物料!$V18)&lt;&gt;0)),1,0)</f>
        <v>0</v>
      </c>
      <c r="U1218" s="3">
        <f t="shared" si="319"/>
        <v>19</v>
      </c>
      <c r="V1218" s="3">
        <f>IF(AND($L1218=1,AND(对接源_02物料!$X18="自备筐",N(对接源_02物料!$V18)&lt;&gt;0)),1,0)</f>
        <v>0</v>
      </c>
      <c r="W1218" s="3">
        <f t="shared" si="320"/>
        <v>8</v>
      </c>
      <c r="X1218" s="3">
        <f>IF(AND($L1218=1,AND(对接源_02物料!$X18="自备筐",N(对接源_02物料!$T18)&lt;&gt;0)),1,0)</f>
        <v>0</v>
      </c>
      <c r="Y1218" s="3">
        <f t="shared" si="321"/>
        <v>0</v>
      </c>
      <c r="Z1218" s="3">
        <f>IF(AND($M1218=1,对接源_02物料!$D18="原料入库"),1,0)</f>
        <v>0</v>
      </c>
      <c r="AA1218" s="3">
        <f t="shared" si="322"/>
        <v>24</v>
      </c>
      <c r="AB1218" s="3">
        <f>IF(AND($M1218=1,LEFT(对接源_02物料!$D18,4)="原料出库"),1,0)</f>
        <v>0</v>
      </c>
      <c r="AC1218" s="3">
        <f t="shared" si="323"/>
        <v>0</v>
      </c>
      <c r="AD1218" s="3">
        <f>IF(AND($M1218=1,LEFT(对接源_02物料!$D18,4)="成品出库"),1,0)</f>
        <v>0</v>
      </c>
      <c r="AE1218" s="3">
        <f t="shared" si="324"/>
        <v>0</v>
      </c>
      <c r="AF1218" s="3">
        <f>IF(AND($N1218=1,AND(LEFT(对接源_02物料!$D18,4)="包装物料",N(对接源_02物料!$K18)&lt;&gt;0)),1,0)</f>
        <v>0</v>
      </c>
      <c r="AG1218" s="3">
        <f t="shared" si="325"/>
        <v>1</v>
      </c>
      <c r="AH1218" s="3">
        <f>IF(AND($N1218=1,AND(对接源_02物料!$D18="周转筐－销售出库",N(对接源_02物料!$K18)&lt;&gt;0)),1,0)</f>
        <v>0</v>
      </c>
      <c r="AI1218" s="3">
        <f t="shared" si="326"/>
        <v>0</v>
      </c>
      <c r="AL1218" s="3">
        <v>0</v>
      </c>
      <c r="AM1218" s="3">
        <f t="shared" si="327"/>
        <v>1</v>
      </c>
      <c r="AN1218" s="3" t="str">
        <f t="shared" si="332"/>
        <v/>
      </c>
      <c r="AO1218" s="3">
        <v>0</v>
      </c>
      <c r="AP1218" s="3">
        <f t="shared" si="329"/>
        <v>8</v>
      </c>
      <c r="AR1218">
        <f t="shared" si="330"/>
        <v>0</v>
      </c>
      <c r="AS1218">
        <f t="shared" si="331"/>
        <v>1</v>
      </c>
    </row>
    <row r="1219" customHeight="1" spans="1:45">
      <c r="A1219" s="3" t="str">
        <f>IF(对接源_02物料!$C19="","",对接源_02物料!$C19)</f>
        <v>麦麦提</v>
      </c>
      <c r="B1219" s="3">
        <f t="shared" si="315"/>
        <v>0</v>
      </c>
      <c r="C1219" s="3">
        <f t="shared" si="316"/>
        <v>20</v>
      </c>
      <c r="K1219" s="3">
        <f>IF(OR($K$1="",对接源_02物料!$C19="",对接源_02物料!$C19&lt;&gt;$K$1,对接源_02物料!$B19=""),0,IF(OR(N(对接源_02物料!$B19)&lt;$K$2,N(对接源_02物料!$B19)&gt;$K$3),0,1))</f>
        <v>0</v>
      </c>
      <c r="L1219" s="3">
        <f>IF(OR($L$1="",对接源_02物料!$C19="",对接源_02物料!$C19&lt;&gt;$L$1,对接源_02物料!$B19=""),0,IF(OR(N(对接源_02物料!$B19)&lt;$L$2,N(对接源_02物料!$B19)&gt;$L$3),0,1))</f>
        <v>0</v>
      </c>
      <c r="M1219" s="3">
        <f>IF(OR($M$1="",对接源_02物料!$C19="",对接源_02物料!$C19&lt;&gt;$M$1,对接源_02物料!$B19=""),0,IF(OR(N(对接源_02物料!$B19)&lt;$M$2,N(对接源_02物料!$B19)&gt;$M$3),0,1))</f>
        <v>0</v>
      </c>
      <c r="N1219" s="3">
        <f>IF(OR($N$1="",对接源_02物料!$C19="",对接源_02物料!$C19&lt;&gt;$N$1,对接源_02物料!$B19=""),0,IF(OR(N(对接源_02物料!$B19)&lt;$N$2,N(对接源_02物料!$B19)&gt;$N$3),0,1))</f>
        <v>0</v>
      </c>
      <c r="P1219" s="3">
        <f>IF(AND($K1219=1,AND(对接源_02物料!$X19="公司筐",N(对接源_02物料!$T19)&lt;&gt;0)),1,0)</f>
        <v>0</v>
      </c>
      <c r="Q1219" s="3">
        <f t="shared" si="317"/>
        <v>0</v>
      </c>
      <c r="R1219" s="3">
        <f>IF(AND($K1219=1,AND(对接源_02物料!$X19="公司筐",N(对接源_02物料!$U19)&lt;&gt;0)),1,0)</f>
        <v>0</v>
      </c>
      <c r="S1219" s="3">
        <f t="shared" si="318"/>
        <v>0</v>
      </c>
      <c r="T1219" s="3">
        <f>IF(AND($K1219=1,AND(对接源_02物料!$X19="公司筐",N(对接源_02物料!$V19)&lt;&gt;0)),1,0)</f>
        <v>0</v>
      </c>
      <c r="U1219" s="3">
        <f t="shared" si="319"/>
        <v>19</v>
      </c>
      <c r="V1219" s="3">
        <f>IF(AND($L1219=1,AND(对接源_02物料!$X19="自备筐",N(对接源_02物料!$V19)&lt;&gt;0)),1,0)</f>
        <v>0</v>
      </c>
      <c r="W1219" s="3">
        <f t="shared" si="320"/>
        <v>8</v>
      </c>
      <c r="X1219" s="3">
        <f>IF(AND($L1219=1,AND(对接源_02物料!$X19="自备筐",N(对接源_02物料!$T19)&lt;&gt;0)),1,0)</f>
        <v>0</v>
      </c>
      <c r="Y1219" s="3">
        <f t="shared" si="321"/>
        <v>0</v>
      </c>
      <c r="Z1219" s="3">
        <f>IF(AND($M1219=1,对接源_02物料!$D19="原料入库"),1,0)</f>
        <v>0</v>
      </c>
      <c r="AA1219" s="3">
        <f t="shared" si="322"/>
        <v>24</v>
      </c>
      <c r="AB1219" s="3">
        <f>IF(AND($M1219=1,LEFT(对接源_02物料!$D19,4)="原料出库"),1,0)</f>
        <v>0</v>
      </c>
      <c r="AC1219" s="3">
        <f t="shared" si="323"/>
        <v>0</v>
      </c>
      <c r="AD1219" s="3">
        <f>IF(AND($M1219=1,LEFT(对接源_02物料!$D19,4)="成品出库"),1,0)</f>
        <v>0</v>
      </c>
      <c r="AE1219" s="3">
        <f t="shared" si="324"/>
        <v>0</v>
      </c>
      <c r="AF1219" s="3">
        <f>IF(AND($N1219=1,AND(LEFT(对接源_02物料!$D19,4)="包装物料",N(对接源_02物料!$K19)&lt;&gt;0)),1,0)</f>
        <v>0</v>
      </c>
      <c r="AG1219" s="3">
        <f t="shared" si="325"/>
        <v>1</v>
      </c>
      <c r="AH1219" s="3">
        <f>IF(AND($N1219=1,AND(对接源_02物料!$D19="周转筐－销售出库",N(对接源_02物料!$K19)&lt;&gt;0)),1,0)</f>
        <v>0</v>
      </c>
      <c r="AI1219" s="3">
        <f t="shared" si="326"/>
        <v>0</v>
      </c>
      <c r="AL1219" s="3">
        <v>0</v>
      </c>
      <c r="AM1219" s="3">
        <f t="shared" si="327"/>
        <v>1</v>
      </c>
      <c r="AN1219" s="3" t="str">
        <f t="shared" si="332"/>
        <v/>
      </c>
      <c r="AO1219" s="3">
        <v>0</v>
      </c>
      <c r="AP1219" s="3">
        <f t="shared" si="329"/>
        <v>8</v>
      </c>
      <c r="AR1219">
        <f t="shared" si="330"/>
        <v>0</v>
      </c>
      <c r="AS1219">
        <f t="shared" si="331"/>
        <v>1</v>
      </c>
    </row>
    <row r="1220" customHeight="1" spans="1:45">
      <c r="A1220" s="3" t="str">
        <f>IF(对接源_02物料!$C20="","",对接源_02物料!$C20)</f>
        <v>贾建国</v>
      </c>
      <c r="B1220" s="3">
        <f t="shared" ref="B1220:B1283" si="333">IF(A1220="",0,IF(MATCH(A1220,$A$4:$A$2403,0)=ROW()-3,1,0))</f>
        <v>0</v>
      </c>
      <c r="C1220" s="3">
        <f t="shared" ref="C1220:C1283" si="334">N(C1219)+B1220</f>
        <v>20</v>
      </c>
      <c r="K1220" s="3">
        <f>IF(OR($K$1="",对接源_02物料!$C20="",对接源_02物料!$C20&lt;&gt;$K$1,对接源_02物料!$B20=""),0,IF(OR(N(对接源_02物料!$B20)&lt;$K$2,N(对接源_02物料!$B20)&gt;$K$3),0,1))</f>
        <v>0</v>
      </c>
      <c r="L1220" s="3">
        <f>IF(OR($L$1="",对接源_02物料!$C20="",对接源_02物料!$C20&lt;&gt;$L$1,对接源_02物料!$B20=""),0,IF(OR(N(对接源_02物料!$B20)&lt;$L$2,N(对接源_02物料!$B20)&gt;$L$3),0,1))</f>
        <v>1</v>
      </c>
      <c r="M1220" s="3">
        <f>IF(OR($M$1="",对接源_02物料!$C20="",对接源_02物料!$C20&lt;&gt;$M$1,对接源_02物料!$B20=""),0,IF(OR(N(对接源_02物料!$B20)&lt;$M$2,N(对接源_02物料!$B20)&gt;$M$3),0,1))</f>
        <v>0</v>
      </c>
      <c r="N1220" s="3">
        <f>IF(OR($N$1="",对接源_02物料!$C20="",对接源_02物料!$C20&lt;&gt;$N$1,对接源_02物料!$B20=""),0,IF(OR(N(对接源_02物料!$B20)&lt;$N$2,N(对接源_02物料!$B20)&gt;$N$3),0,1))</f>
        <v>0</v>
      </c>
      <c r="P1220" s="3">
        <f>IF(AND($K1220=1,AND(对接源_02物料!$X20="公司筐",N(对接源_02物料!$T20)&lt;&gt;0)),1,0)</f>
        <v>0</v>
      </c>
      <c r="Q1220" s="3">
        <f t="shared" ref="Q1220:Q1283" si="335">N(Q1219)+$P1220</f>
        <v>0</v>
      </c>
      <c r="R1220" s="3">
        <f>IF(AND($K1220=1,AND(对接源_02物料!$X20="公司筐",N(对接源_02物料!$U20)&lt;&gt;0)),1,0)</f>
        <v>0</v>
      </c>
      <c r="S1220" s="3">
        <f t="shared" ref="S1220:S1283" si="336">N(S1219)+$R1220</f>
        <v>0</v>
      </c>
      <c r="T1220" s="3">
        <f>IF(AND($K1220=1,AND(对接源_02物料!$X20="公司筐",N(对接源_02物料!$V20)&lt;&gt;0)),1,0)</f>
        <v>0</v>
      </c>
      <c r="U1220" s="3">
        <f t="shared" ref="U1220:U1283" si="337">N(U1219)+$T1220</f>
        <v>19</v>
      </c>
      <c r="V1220" s="3">
        <f>IF(AND($L1220=1,AND(对接源_02物料!$X20="自备筐",N(对接源_02物料!$V20)&lt;&gt;0)),1,0)</f>
        <v>0</v>
      </c>
      <c r="W1220" s="3">
        <f t="shared" ref="W1220:W1283" si="338">N(W1219)+$V1220</f>
        <v>8</v>
      </c>
      <c r="X1220" s="3">
        <f>IF(AND($L1220=1,AND(对接源_02物料!$X20="自备筐",N(对接源_02物料!$T20)&lt;&gt;0)),1,0)</f>
        <v>0</v>
      </c>
      <c r="Y1220" s="3">
        <f t="shared" ref="Y1220:Y1283" si="339">N(Y1219)+$X1220</f>
        <v>0</v>
      </c>
      <c r="Z1220" s="3">
        <f>IF(AND($M1220=1,对接源_02物料!$D20="原料入库"),1,0)</f>
        <v>0</v>
      </c>
      <c r="AA1220" s="3">
        <f t="shared" ref="AA1220:AA1283" si="340">N(AA1219)+$Z1220</f>
        <v>24</v>
      </c>
      <c r="AB1220" s="3">
        <f>IF(AND($M1220=1,LEFT(对接源_02物料!$D20,4)="原料出库"),1,0)</f>
        <v>0</v>
      </c>
      <c r="AC1220" s="3">
        <f t="shared" ref="AC1220:AC1283" si="341">N(AC1219)+$AB1220</f>
        <v>0</v>
      </c>
      <c r="AD1220" s="3">
        <f>IF(AND($M1220=1,LEFT(对接源_02物料!$D20,4)="成品出库"),1,0)</f>
        <v>0</v>
      </c>
      <c r="AE1220" s="3">
        <f t="shared" ref="AE1220:AE1283" si="342">N(AE1219)+$AD1220</f>
        <v>0</v>
      </c>
      <c r="AF1220" s="3">
        <f>IF(AND($N1220=1,AND(LEFT(对接源_02物料!$D20,4)="包装物料",N(对接源_02物料!$K20)&lt;&gt;0)),1,0)</f>
        <v>0</v>
      </c>
      <c r="AG1220" s="3">
        <f t="shared" ref="AG1220:AG1283" si="343">N(AG1219)+$AF1220</f>
        <v>1</v>
      </c>
      <c r="AH1220" s="3">
        <f>IF(AND($N1220=1,AND(对接源_02物料!$D20="周转筐－销售出库",N(对接源_02物料!$K20)&lt;&gt;0)),1,0)</f>
        <v>0</v>
      </c>
      <c r="AI1220" s="3">
        <f t="shared" ref="AI1220:AI1283" si="344">N(AI1219)+$AH1220</f>
        <v>0</v>
      </c>
      <c r="AL1220" s="3">
        <v>0</v>
      </c>
      <c r="AM1220" s="3">
        <f t="shared" ref="AM1220:AM1283" si="345">N(AM1219)+$AL1220</f>
        <v>1</v>
      </c>
      <c r="AN1220" s="3" t="str">
        <f t="shared" si="332"/>
        <v/>
      </c>
      <c r="AO1220" s="3">
        <v>0</v>
      </c>
      <c r="AP1220" s="3">
        <f t="shared" ref="AP1220:AP1283" si="346">N(AP1219)+$AO1220</f>
        <v>8</v>
      </c>
      <c r="AR1220">
        <f t="shared" ref="AR1220:AR1283" si="347">IF(OR($AF1220=1,$AH1220=1),1,0)</f>
        <v>0</v>
      </c>
      <c r="AS1220">
        <f t="shared" ref="AS1220:AS1283" si="348">N(AS1219)+$AR1220</f>
        <v>1</v>
      </c>
    </row>
    <row r="1221" customHeight="1" spans="1:45">
      <c r="A1221" s="3" t="str">
        <f>IF(对接源_02物料!$C21="","",对接源_02物料!$C21)</f>
        <v>贾建国</v>
      </c>
      <c r="B1221" s="3">
        <f t="shared" si="333"/>
        <v>0</v>
      </c>
      <c r="C1221" s="3">
        <f t="shared" si="334"/>
        <v>20</v>
      </c>
      <c r="K1221" s="3">
        <f>IF(OR($K$1="",对接源_02物料!$C21="",对接源_02物料!$C21&lt;&gt;$K$1,对接源_02物料!$B21=""),0,IF(OR(N(对接源_02物料!$B21)&lt;$K$2,N(对接源_02物料!$B21)&gt;$K$3),0,1))</f>
        <v>0</v>
      </c>
      <c r="L1221" s="3">
        <f>IF(OR($L$1="",对接源_02物料!$C21="",对接源_02物料!$C21&lt;&gt;$L$1,对接源_02物料!$B21=""),0,IF(OR(N(对接源_02物料!$B21)&lt;$L$2,N(对接源_02物料!$B21)&gt;$L$3),0,1))</f>
        <v>1</v>
      </c>
      <c r="M1221" s="3">
        <f>IF(OR($M$1="",对接源_02物料!$C21="",对接源_02物料!$C21&lt;&gt;$M$1,对接源_02物料!$B21=""),0,IF(OR(N(对接源_02物料!$B21)&lt;$M$2,N(对接源_02物料!$B21)&gt;$M$3),0,1))</f>
        <v>0</v>
      </c>
      <c r="N1221" s="3">
        <f>IF(OR($N$1="",对接源_02物料!$C21="",对接源_02物料!$C21&lt;&gt;$N$1,对接源_02物料!$B21=""),0,IF(OR(N(对接源_02物料!$B21)&lt;$N$2,N(对接源_02物料!$B21)&gt;$N$3),0,1))</f>
        <v>0</v>
      </c>
      <c r="P1221" s="3">
        <f>IF(AND($K1221=1,AND(对接源_02物料!$X21="公司筐",N(对接源_02物料!$T21)&lt;&gt;0)),1,0)</f>
        <v>0</v>
      </c>
      <c r="Q1221" s="3">
        <f t="shared" si="335"/>
        <v>0</v>
      </c>
      <c r="R1221" s="3">
        <f>IF(AND($K1221=1,AND(对接源_02物料!$X21="公司筐",N(对接源_02物料!$U21)&lt;&gt;0)),1,0)</f>
        <v>0</v>
      </c>
      <c r="S1221" s="3">
        <f t="shared" si="336"/>
        <v>0</v>
      </c>
      <c r="T1221" s="3">
        <f>IF(AND($K1221=1,AND(对接源_02物料!$X21="公司筐",N(对接源_02物料!$V21)&lt;&gt;0)),1,0)</f>
        <v>0</v>
      </c>
      <c r="U1221" s="3">
        <f t="shared" si="337"/>
        <v>19</v>
      </c>
      <c r="V1221" s="3">
        <f>IF(AND($L1221=1,AND(对接源_02物料!$X21="自备筐",N(对接源_02物料!$V21)&lt;&gt;0)),1,0)</f>
        <v>0</v>
      </c>
      <c r="W1221" s="3">
        <f t="shared" si="338"/>
        <v>8</v>
      </c>
      <c r="X1221" s="3">
        <f>IF(AND($L1221=1,AND(对接源_02物料!$X21="自备筐",N(对接源_02物料!$T21)&lt;&gt;0)),1,0)</f>
        <v>0</v>
      </c>
      <c r="Y1221" s="3">
        <f t="shared" si="339"/>
        <v>0</v>
      </c>
      <c r="Z1221" s="3">
        <f>IF(AND($M1221=1,对接源_02物料!$D21="原料入库"),1,0)</f>
        <v>0</v>
      </c>
      <c r="AA1221" s="3">
        <f t="shared" si="340"/>
        <v>24</v>
      </c>
      <c r="AB1221" s="3">
        <f>IF(AND($M1221=1,LEFT(对接源_02物料!$D21,4)="原料出库"),1,0)</f>
        <v>0</v>
      </c>
      <c r="AC1221" s="3">
        <f t="shared" si="341"/>
        <v>0</v>
      </c>
      <c r="AD1221" s="3">
        <f>IF(AND($M1221=1,LEFT(对接源_02物料!$D21,4)="成品出库"),1,0)</f>
        <v>0</v>
      </c>
      <c r="AE1221" s="3">
        <f t="shared" si="342"/>
        <v>0</v>
      </c>
      <c r="AF1221" s="3">
        <f>IF(AND($N1221=1,AND(LEFT(对接源_02物料!$D21,4)="包装物料",N(对接源_02物料!$K21)&lt;&gt;0)),1,0)</f>
        <v>0</v>
      </c>
      <c r="AG1221" s="3">
        <f t="shared" si="343"/>
        <v>1</v>
      </c>
      <c r="AH1221" s="3">
        <f>IF(AND($N1221=1,AND(对接源_02物料!$D21="周转筐－销售出库",N(对接源_02物料!$K21)&lt;&gt;0)),1,0)</f>
        <v>0</v>
      </c>
      <c r="AI1221" s="3">
        <f t="shared" si="344"/>
        <v>0</v>
      </c>
      <c r="AL1221" s="3">
        <v>0</v>
      </c>
      <c r="AM1221" s="3">
        <f t="shared" si="345"/>
        <v>1</v>
      </c>
      <c r="AN1221" s="3" t="str">
        <f t="shared" si="332"/>
        <v/>
      </c>
      <c r="AO1221" s="3">
        <v>0</v>
      </c>
      <c r="AP1221" s="3">
        <f t="shared" si="346"/>
        <v>8</v>
      </c>
      <c r="AR1221">
        <f t="shared" si="347"/>
        <v>0</v>
      </c>
      <c r="AS1221">
        <f t="shared" si="348"/>
        <v>1</v>
      </c>
    </row>
    <row r="1222" customHeight="1" spans="1:45">
      <c r="A1222" s="3" t="str">
        <f>IF(对接源_02物料!$C22="","",对接源_02物料!$C22)</f>
        <v>热合曼</v>
      </c>
      <c r="B1222" s="3">
        <f t="shared" si="333"/>
        <v>0</v>
      </c>
      <c r="C1222" s="3">
        <f t="shared" si="334"/>
        <v>20</v>
      </c>
      <c r="K1222" s="3">
        <f>IF(OR($K$1="",对接源_02物料!$C22="",对接源_02物料!$C22&lt;&gt;$K$1,对接源_02物料!$B22=""),0,IF(OR(N(对接源_02物料!$B22)&lt;$K$2,N(对接源_02物料!$B22)&gt;$K$3),0,1))</f>
        <v>0</v>
      </c>
      <c r="L1222" s="3">
        <f>IF(OR($L$1="",对接源_02物料!$C22="",对接源_02物料!$C22&lt;&gt;$L$1,对接源_02物料!$B22=""),0,IF(OR(N(对接源_02物料!$B22)&lt;$L$2,N(对接源_02物料!$B22)&gt;$L$3),0,1))</f>
        <v>0</v>
      </c>
      <c r="M1222" s="3">
        <f>IF(OR($M$1="",对接源_02物料!$C22="",对接源_02物料!$C22&lt;&gt;$M$1,对接源_02物料!$B22=""),0,IF(OR(N(对接源_02物料!$B22)&lt;$M$2,N(对接源_02物料!$B22)&gt;$M$3),0,1))</f>
        <v>0</v>
      </c>
      <c r="N1222" s="3">
        <f>IF(OR($N$1="",对接源_02物料!$C22="",对接源_02物料!$C22&lt;&gt;$N$1,对接源_02物料!$B22=""),0,IF(OR(N(对接源_02物料!$B22)&lt;$N$2,N(对接源_02物料!$B22)&gt;$N$3),0,1))</f>
        <v>0</v>
      </c>
      <c r="P1222" s="3">
        <f>IF(AND($K1222=1,AND(对接源_02物料!$X22="公司筐",N(对接源_02物料!$T22)&lt;&gt;0)),1,0)</f>
        <v>0</v>
      </c>
      <c r="Q1222" s="3">
        <f t="shared" si="335"/>
        <v>0</v>
      </c>
      <c r="R1222" s="3">
        <f>IF(AND($K1222=1,AND(对接源_02物料!$X22="公司筐",N(对接源_02物料!$U22)&lt;&gt;0)),1,0)</f>
        <v>0</v>
      </c>
      <c r="S1222" s="3">
        <f t="shared" si="336"/>
        <v>0</v>
      </c>
      <c r="T1222" s="3">
        <f>IF(AND($K1222=1,AND(对接源_02物料!$X22="公司筐",N(对接源_02物料!$V22)&lt;&gt;0)),1,0)</f>
        <v>0</v>
      </c>
      <c r="U1222" s="3">
        <f t="shared" si="337"/>
        <v>19</v>
      </c>
      <c r="V1222" s="3">
        <f>IF(AND($L1222=1,AND(对接源_02物料!$X22="自备筐",N(对接源_02物料!$V22)&lt;&gt;0)),1,0)</f>
        <v>0</v>
      </c>
      <c r="W1222" s="3">
        <f t="shared" si="338"/>
        <v>8</v>
      </c>
      <c r="X1222" s="3">
        <f>IF(AND($L1222=1,AND(对接源_02物料!$X22="自备筐",N(对接源_02物料!$T22)&lt;&gt;0)),1,0)</f>
        <v>0</v>
      </c>
      <c r="Y1222" s="3">
        <f t="shared" si="339"/>
        <v>0</v>
      </c>
      <c r="Z1222" s="3">
        <f>IF(AND($M1222=1,对接源_02物料!$D22="原料入库"),1,0)</f>
        <v>0</v>
      </c>
      <c r="AA1222" s="3">
        <f t="shared" si="340"/>
        <v>24</v>
      </c>
      <c r="AB1222" s="3">
        <f>IF(AND($M1222=1,LEFT(对接源_02物料!$D22,4)="原料出库"),1,0)</f>
        <v>0</v>
      </c>
      <c r="AC1222" s="3">
        <f t="shared" si="341"/>
        <v>0</v>
      </c>
      <c r="AD1222" s="3">
        <f>IF(AND($M1222=1,LEFT(对接源_02物料!$D22,4)="成品出库"),1,0)</f>
        <v>0</v>
      </c>
      <c r="AE1222" s="3">
        <f t="shared" si="342"/>
        <v>0</v>
      </c>
      <c r="AF1222" s="3">
        <f>IF(AND($N1222=1,AND(LEFT(对接源_02物料!$D22,4)="包装物料",N(对接源_02物料!$K22)&lt;&gt;0)),1,0)</f>
        <v>0</v>
      </c>
      <c r="AG1222" s="3">
        <f t="shared" si="343"/>
        <v>1</v>
      </c>
      <c r="AH1222" s="3">
        <f>IF(AND($N1222=1,AND(对接源_02物料!$D22="周转筐－销售出库",N(对接源_02物料!$K22)&lt;&gt;0)),1,0)</f>
        <v>0</v>
      </c>
      <c r="AI1222" s="3">
        <f t="shared" si="344"/>
        <v>0</v>
      </c>
      <c r="AL1222" s="3">
        <v>0</v>
      </c>
      <c r="AM1222" s="3">
        <f t="shared" si="345"/>
        <v>1</v>
      </c>
      <c r="AN1222" s="3" t="str">
        <f t="shared" si="332"/>
        <v/>
      </c>
      <c r="AO1222" s="3">
        <v>0</v>
      </c>
      <c r="AP1222" s="3">
        <f t="shared" si="346"/>
        <v>8</v>
      </c>
      <c r="AR1222">
        <f t="shared" si="347"/>
        <v>0</v>
      </c>
      <c r="AS1222">
        <f t="shared" si="348"/>
        <v>1</v>
      </c>
    </row>
    <row r="1223" customHeight="1" spans="1:45">
      <c r="A1223" s="3" t="str">
        <f>IF(对接源_02物料!$C23="","",对接源_02物料!$C23)</f>
        <v>贾建国</v>
      </c>
      <c r="B1223" s="3">
        <f t="shared" si="333"/>
        <v>0</v>
      </c>
      <c r="C1223" s="3">
        <f t="shared" si="334"/>
        <v>20</v>
      </c>
      <c r="K1223" s="3">
        <f>IF(OR($K$1="",对接源_02物料!$C23="",对接源_02物料!$C23&lt;&gt;$K$1,对接源_02物料!$B23=""),0,IF(OR(N(对接源_02物料!$B23)&lt;$K$2,N(对接源_02物料!$B23)&gt;$K$3),0,1))</f>
        <v>0</v>
      </c>
      <c r="L1223" s="3">
        <f>IF(OR($L$1="",对接源_02物料!$C23="",对接源_02物料!$C23&lt;&gt;$L$1,对接源_02物料!$B23=""),0,IF(OR(N(对接源_02物料!$B23)&lt;$L$2,N(对接源_02物料!$B23)&gt;$L$3),0,1))</f>
        <v>1</v>
      </c>
      <c r="M1223" s="3">
        <f>IF(OR($M$1="",对接源_02物料!$C23="",对接源_02物料!$C23&lt;&gt;$M$1,对接源_02物料!$B23=""),0,IF(OR(N(对接源_02物料!$B23)&lt;$M$2,N(对接源_02物料!$B23)&gt;$M$3),0,1))</f>
        <v>0</v>
      </c>
      <c r="N1223" s="3">
        <f>IF(OR($N$1="",对接源_02物料!$C23="",对接源_02物料!$C23&lt;&gt;$N$1,对接源_02物料!$B23=""),0,IF(OR(N(对接源_02物料!$B23)&lt;$N$2,N(对接源_02物料!$B23)&gt;$N$3),0,1))</f>
        <v>0</v>
      </c>
      <c r="P1223" s="3">
        <f>IF(AND($K1223=1,AND(对接源_02物料!$X23="公司筐",N(对接源_02物料!$T23)&lt;&gt;0)),1,0)</f>
        <v>0</v>
      </c>
      <c r="Q1223" s="3">
        <f t="shared" si="335"/>
        <v>0</v>
      </c>
      <c r="R1223" s="3">
        <f>IF(AND($K1223=1,AND(对接源_02物料!$X23="公司筐",N(对接源_02物料!$U23)&lt;&gt;0)),1,0)</f>
        <v>0</v>
      </c>
      <c r="S1223" s="3">
        <f t="shared" si="336"/>
        <v>0</v>
      </c>
      <c r="T1223" s="3">
        <f>IF(AND($K1223=1,AND(对接源_02物料!$X23="公司筐",N(对接源_02物料!$V23)&lt;&gt;0)),1,0)</f>
        <v>0</v>
      </c>
      <c r="U1223" s="3">
        <f t="shared" si="337"/>
        <v>19</v>
      </c>
      <c r="V1223" s="3">
        <f>IF(AND($L1223=1,AND(对接源_02物料!$X23="自备筐",N(对接源_02物料!$V23)&lt;&gt;0)),1,0)</f>
        <v>0</v>
      </c>
      <c r="W1223" s="3">
        <f t="shared" si="338"/>
        <v>8</v>
      </c>
      <c r="X1223" s="3">
        <f>IF(AND($L1223=1,AND(对接源_02物料!$X23="自备筐",N(对接源_02物料!$T23)&lt;&gt;0)),1,0)</f>
        <v>0</v>
      </c>
      <c r="Y1223" s="3">
        <f t="shared" si="339"/>
        <v>0</v>
      </c>
      <c r="Z1223" s="3">
        <f>IF(AND($M1223=1,对接源_02物料!$D23="原料入库"),1,0)</f>
        <v>0</v>
      </c>
      <c r="AA1223" s="3">
        <f t="shared" si="340"/>
        <v>24</v>
      </c>
      <c r="AB1223" s="3">
        <f>IF(AND($M1223=1,LEFT(对接源_02物料!$D23,4)="原料出库"),1,0)</f>
        <v>0</v>
      </c>
      <c r="AC1223" s="3">
        <f t="shared" si="341"/>
        <v>0</v>
      </c>
      <c r="AD1223" s="3">
        <f>IF(AND($M1223=1,LEFT(对接源_02物料!$D23,4)="成品出库"),1,0)</f>
        <v>0</v>
      </c>
      <c r="AE1223" s="3">
        <f t="shared" si="342"/>
        <v>0</v>
      </c>
      <c r="AF1223" s="3">
        <f>IF(AND($N1223=1,AND(LEFT(对接源_02物料!$D23,4)="包装物料",N(对接源_02物料!$K23)&lt;&gt;0)),1,0)</f>
        <v>0</v>
      </c>
      <c r="AG1223" s="3">
        <f t="shared" si="343"/>
        <v>1</v>
      </c>
      <c r="AH1223" s="3">
        <f>IF(AND($N1223=1,AND(对接源_02物料!$D23="周转筐－销售出库",N(对接源_02物料!$K23)&lt;&gt;0)),1,0)</f>
        <v>0</v>
      </c>
      <c r="AI1223" s="3">
        <f t="shared" si="344"/>
        <v>0</v>
      </c>
      <c r="AL1223" s="3">
        <v>0</v>
      </c>
      <c r="AM1223" s="3">
        <f t="shared" si="345"/>
        <v>1</v>
      </c>
      <c r="AN1223" s="3" t="str">
        <f t="shared" si="332"/>
        <v/>
      </c>
      <c r="AO1223" s="3">
        <v>0</v>
      </c>
      <c r="AP1223" s="3">
        <f t="shared" si="346"/>
        <v>8</v>
      </c>
      <c r="AR1223">
        <f t="shared" si="347"/>
        <v>0</v>
      </c>
      <c r="AS1223">
        <f t="shared" si="348"/>
        <v>1</v>
      </c>
    </row>
    <row r="1224" customHeight="1" spans="1:45">
      <c r="A1224" s="3" t="str">
        <f>IF(对接源_02物料!$C24="","",对接源_02物料!$C24)</f>
        <v>吐尔逊</v>
      </c>
      <c r="B1224" s="3">
        <f t="shared" si="333"/>
        <v>0</v>
      </c>
      <c r="C1224" s="3">
        <f t="shared" si="334"/>
        <v>20</v>
      </c>
      <c r="K1224" s="3">
        <f>IF(OR($K$1="",对接源_02物料!$C24="",对接源_02物料!$C24&lt;&gt;$K$1,对接源_02物料!$B24=""),0,IF(OR(N(对接源_02物料!$B24)&lt;$K$2,N(对接源_02物料!$B24)&gt;$K$3),0,1))</f>
        <v>0</v>
      </c>
      <c r="L1224" s="3">
        <f>IF(OR($L$1="",对接源_02物料!$C24="",对接源_02物料!$C24&lt;&gt;$L$1,对接源_02物料!$B24=""),0,IF(OR(N(对接源_02物料!$B24)&lt;$L$2,N(对接源_02物料!$B24)&gt;$L$3),0,1))</f>
        <v>0</v>
      </c>
      <c r="M1224" s="3">
        <f>IF(OR($M$1="",对接源_02物料!$C24="",对接源_02物料!$C24&lt;&gt;$M$1,对接源_02物料!$B24=""),0,IF(OR(N(对接源_02物料!$B24)&lt;$M$2,N(对接源_02物料!$B24)&gt;$M$3),0,1))</f>
        <v>0</v>
      </c>
      <c r="N1224" s="3">
        <f>IF(OR($N$1="",对接源_02物料!$C24="",对接源_02物料!$C24&lt;&gt;$N$1,对接源_02物料!$B24=""),0,IF(OR(N(对接源_02物料!$B24)&lt;$N$2,N(对接源_02物料!$B24)&gt;$N$3),0,1))</f>
        <v>0</v>
      </c>
      <c r="P1224" s="3">
        <f>IF(AND($K1224=1,AND(对接源_02物料!$X24="公司筐",N(对接源_02物料!$T24)&lt;&gt;0)),1,0)</f>
        <v>0</v>
      </c>
      <c r="Q1224" s="3">
        <f t="shared" si="335"/>
        <v>0</v>
      </c>
      <c r="R1224" s="3">
        <f>IF(AND($K1224=1,AND(对接源_02物料!$X24="公司筐",N(对接源_02物料!$U24)&lt;&gt;0)),1,0)</f>
        <v>0</v>
      </c>
      <c r="S1224" s="3">
        <f t="shared" si="336"/>
        <v>0</v>
      </c>
      <c r="T1224" s="3">
        <f>IF(AND($K1224=1,AND(对接源_02物料!$X24="公司筐",N(对接源_02物料!$V24)&lt;&gt;0)),1,0)</f>
        <v>0</v>
      </c>
      <c r="U1224" s="3">
        <f t="shared" si="337"/>
        <v>19</v>
      </c>
      <c r="V1224" s="3">
        <f>IF(AND($L1224=1,AND(对接源_02物料!$X24="自备筐",N(对接源_02物料!$V24)&lt;&gt;0)),1,0)</f>
        <v>0</v>
      </c>
      <c r="W1224" s="3">
        <f t="shared" si="338"/>
        <v>8</v>
      </c>
      <c r="X1224" s="3">
        <f>IF(AND($L1224=1,AND(对接源_02物料!$X24="自备筐",N(对接源_02物料!$T24)&lt;&gt;0)),1,0)</f>
        <v>0</v>
      </c>
      <c r="Y1224" s="3">
        <f t="shared" si="339"/>
        <v>0</v>
      </c>
      <c r="Z1224" s="3">
        <f>IF(AND($M1224=1,对接源_02物料!$D24="原料入库"),1,0)</f>
        <v>0</v>
      </c>
      <c r="AA1224" s="3">
        <f t="shared" si="340"/>
        <v>24</v>
      </c>
      <c r="AB1224" s="3">
        <f>IF(AND($M1224=1,LEFT(对接源_02物料!$D24,4)="原料出库"),1,0)</f>
        <v>0</v>
      </c>
      <c r="AC1224" s="3">
        <f t="shared" si="341"/>
        <v>0</v>
      </c>
      <c r="AD1224" s="3">
        <f>IF(AND($M1224=1,LEFT(对接源_02物料!$D24,4)="成品出库"),1,0)</f>
        <v>0</v>
      </c>
      <c r="AE1224" s="3">
        <f t="shared" si="342"/>
        <v>0</v>
      </c>
      <c r="AF1224" s="3">
        <f>IF(AND($N1224=1,AND(LEFT(对接源_02物料!$D24,4)="包装物料",N(对接源_02物料!$K24)&lt;&gt;0)),1,0)</f>
        <v>0</v>
      </c>
      <c r="AG1224" s="3">
        <f t="shared" si="343"/>
        <v>1</v>
      </c>
      <c r="AH1224" s="3">
        <f>IF(AND($N1224=1,AND(对接源_02物料!$D24="周转筐－销售出库",N(对接源_02物料!$K24)&lt;&gt;0)),1,0)</f>
        <v>0</v>
      </c>
      <c r="AI1224" s="3">
        <f t="shared" si="344"/>
        <v>0</v>
      </c>
      <c r="AL1224" s="3">
        <v>0</v>
      </c>
      <c r="AM1224" s="3">
        <f t="shared" si="345"/>
        <v>1</v>
      </c>
      <c r="AN1224" s="3" t="str">
        <f t="shared" si="332"/>
        <v/>
      </c>
      <c r="AO1224" s="3">
        <v>0</v>
      </c>
      <c r="AP1224" s="3">
        <f t="shared" si="346"/>
        <v>8</v>
      </c>
      <c r="AR1224">
        <f t="shared" si="347"/>
        <v>0</v>
      </c>
      <c r="AS1224">
        <f t="shared" si="348"/>
        <v>1</v>
      </c>
    </row>
    <row r="1225" customHeight="1" spans="1:45">
      <c r="A1225" s="3" t="str">
        <f>IF(对接源_02物料!$C25="","",对接源_02物料!$C25)</f>
        <v>吐尔逊</v>
      </c>
      <c r="B1225" s="3">
        <f t="shared" si="333"/>
        <v>0</v>
      </c>
      <c r="C1225" s="3">
        <f t="shared" si="334"/>
        <v>20</v>
      </c>
      <c r="K1225" s="3">
        <f>IF(OR($K$1="",对接源_02物料!$C25="",对接源_02物料!$C25&lt;&gt;$K$1,对接源_02物料!$B25=""),0,IF(OR(N(对接源_02物料!$B25)&lt;$K$2,N(对接源_02物料!$B25)&gt;$K$3),0,1))</f>
        <v>0</v>
      </c>
      <c r="L1225" s="3">
        <f>IF(OR($L$1="",对接源_02物料!$C25="",对接源_02物料!$C25&lt;&gt;$L$1,对接源_02物料!$B25=""),0,IF(OR(N(对接源_02物料!$B25)&lt;$L$2,N(对接源_02物料!$B25)&gt;$L$3),0,1))</f>
        <v>0</v>
      </c>
      <c r="M1225" s="3">
        <f>IF(OR($M$1="",对接源_02物料!$C25="",对接源_02物料!$C25&lt;&gt;$M$1,对接源_02物料!$B25=""),0,IF(OR(N(对接源_02物料!$B25)&lt;$M$2,N(对接源_02物料!$B25)&gt;$M$3),0,1))</f>
        <v>0</v>
      </c>
      <c r="N1225" s="3">
        <f>IF(OR($N$1="",对接源_02物料!$C25="",对接源_02物料!$C25&lt;&gt;$N$1,对接源_02物料!$B25=""),0,IF(OR(N(对接源_02物料!$B25)&lt;$N$2,N(对接源_02物料!$B25)&gt;$N$3),0,1))</f>
        <v>0</v>
      </c>
      <c r="P1225" s="3">
        <f>IF(AND($K1225=1,AND(对接源_02物料!$X25="公司筐",N(对接源_02物料!$T25)&lt;&gt;0)),1,0)</f>
        <v>0</v>
      </c>
      <c r="Q1225" s="3">
        <f t="shared" si="335"/>
        <v>0</v>
      </c>
      <c r="R1225" s="3">
        <f>IF(AND($K1225=1,AND(对接源_02物料!$X25="公司筐",N(对接源_02物料!$U25)&lt;&gt;0)),1,0)</f>
        <v>0</v>
      </c>
      <c r="S1225" s="3">
        <f t="shared" si="336"/>
        <v>0</v>
      </c>
      <c r="T1225" s="3">
        <f>IF(AND($K1225=1,AND(对接源_02物料!$X25="公司筐",N(对接源_02物料!$V25)&lt;&gt;0)),1,0)</f>
        <v>0</v>
      </c>
      <c r="U1225" s="3">
        <f t="shared" si="337"/>
        <v>19</v>
      </c>
      <c r="V1225" s="3">
        <f>IF(AND($L1225=1,AND(对接源_02物料!$X25="自备筐",N(对接源_02物料!$V25)&lt;&gt;0)),1,0)</f>
        <v>0</v>
      </c>
      <c r="W1225" s="3">
        <f t="shared" si="338"/>
        <v>8</v>
      </c>
      <c r="X1225" s="3">
        <f>IF(AND($L1225=1,AND(对接源_02物料!$X25="自备筐",N(对接源_02物料!$T25)&lt;&gt;0)),1,0)</f>
        <v>0</v>
      </c>
      <c r="Y1225" s="3">
        <f t="shared" si="339"/>
        <v>0</v>
      </c>
      <c r="Z1225" s="3">
        <f>IF(AND($M1225=1,对接源_02物料!$D25="原料入库"),1,0)</f>
        <v>0</v>
      </c>
      <c r="AA1225" s="3">
        <f t="shared" si="340"/>
        <v>24</v>
      </c>
      <c r="AB1225" s="3">
        <f>IF(AND($M1225=1,LEFT(对接源_02物料!$D25,4)="原料出库"),1,0)</f>
        <v>0</v>
      </c>
      <c r="AC1225" s="3">
        <f t="shared" si="341"/>
        <v>0</v>
      </c>
      <c r="AD1225" s="3">
        <f>IF(AND($M1225=1,LEFT(对接源_02物料!$D25,4)="成品出库"),1,0)</f>
        <v>0</v>
      </c>
      <c r="AE1225" s="3">
        <f t="shared" si="342"/>
        <v>0</v>
      </c>
      <c r="AF1225" s="3">
        <f>IF(AND($N1225=1,AND(LEFT(对接源_02物料!$D25,4)="包装物料",N(对接源_02物料!$K25)&lt;&gt;0)),1,0)</f>
        <v>0</v>
      </c>
      <c r="AG1225" s="3">
        <f t="shared" si="343"/>
        <v>1</v>
      </c>
      <c r="AH1225" s="3">
        <f>IF(AND($N1225=1,AND(对接源_02物料!$D25="周转筐－销售出库",N(对接源_02物料!$K25)&lt;&gt;0)),1,0)</f>
        <v>0</v>
      </c>
      <c r="AI1225" s="3">
        <f t="shared" si="344"/>
        <v>0</v>
      </c>
      <c r="AL1225" s="3">
        <v>0</v>
      </c>
      <c r="AM1225" s="3">
        <f t="shared" si="345"/>
        <v>1</v>
      </c>
      <c r="AN1225" s="3" t="str">
        <f t="shared" si="332"/>
        <v/>
      </c>
      <c r="AO1225" s="3">
        <v>0</v>
      </c>
      <c r="AP1225" s="3">
        <f t="shared" si="346"/>
        <v>8</v>
      </c>
      <c r="AR1225">
        <f t="shared" si="347"/>
        <v>0</v>
      </c>
      <c r="AS1225">
        <f t="shared" si="348"/>
        <v>1</v>
      </c>
    </row>
    <row r="1226" customHeight="1" spans="1:45">
      <c r="A1226" s="3" t="str">
        <f>IF(对接源_02物料!$C26="","",对接源_02物料!$C26)</f>
        <v>吐尔洪</v>
      </c>
      <c r="B1226" s="3">
        <f t="shared" si="333"/>
        <v>0</v>
      </c>
      <c r="C1226" s="3">
        <f t="shared" si="334"/>
        <v>20</v>
      </c>
      <c r="K1226" s="3">
        <f>IF(OR($K$1="",对接源_02物料!$C26="",对接源_02物料!$C26&lt;&gt;$K$1,对接源_02物料!$B26=""),0,IF(OR(N(对接源_02物料!$B26)&lt;$K$2,N(对接源_02物料!$B26)&gt;$K$3),0,1))</f>
        <v>0</v>
      </c>
      <c r="L1226" s="3">
        <f>IF(OR($L$1="",对接源_02物料!$C26="",对接源_02物料!$C26&lt;&gt;$L$1,对接源_02物料!$B26=""),0,IF(OR(N(对接源_02物料!$B26)&lt;$L$2,N(对接源_02物料!$B26)&gt;$L$3),0,1))</f>
        <v>0</v>
      </c>
      <c r="M1226" s="3">
        <f>IF(OR($M$1="",对接源_02物料!$C26="",对接源_02物料!$C26&lt;&gt;$M$1,对接源_02物料!$B26=""),0,IF(OR(N(对接源_02物料!$B26)&lt;$M$2,N(对接源_02物料!$B26)&gt;$M$3),0,1))</f>
        <v>1</v>
      </c>
      <c r="N1226" s="3">
        <f>IF(OR($N$1="",对接源_02物料!$C26="",对接源_02物料!$C26&lt;&gt;$N$1,对接源_02物料!$B26=""),0,IF(OR(N(对接源_02物料!$B26)&lt;$N$2,N(对接源_02物料!$B26)&gt;$N$3),0,1))</f>
        <v>1</v>
      </c>
      <c r="P1226" s="3">
        <f>IF(AND($K1226=1,AND(对接源_02物料!$X26="公司筐",N(对接源_02物料!$T26)&lt;&gt;0)),1,0)</f>
        <v>0</v>
      </c>
      <c r="Q1226" s="3">
        <f t="shared" si="335"/>
        <v>0</v>
      </c>
      <c r="R1226" s="3">
        <f>IF(AND($K1226=1,AND(对接源_02物料!$X26="公司筐",N(对接源_02物料!$U26)&lt;&gt;0)),1,0)</f>
        <v>0</v>
      </c>
      <c r="S1226" s="3">
        <f t="shared" si="336"/>
        <v>0</v>
      </c>
      <c r="T1226" s="3">
        <f>IF(AND($K1226=1,AND(对接源_02物料!$X26="公司筐",N(对接源_02物料!$V26)&lt;&gt;0)),1,0)</f>
        <v>0</v>
      </c>
      <c r="U1226" s="3">
        <f t="shared" si="337"/>
        <v>19</v>
      </c>
      <c r="V1226" s="3">
        <f>IF(AND($L1226=1,AND(对接源_02物料!$X26="自备筐",N(对接源_02物料!$V26)&lt;&gt;0)),1,0)</f>
        <v>0</v>
      </c>
      <c r="W1226" s="3">
        <f t="shared" si="338"/>
        <v>8</v>
      </c>
      <c r="X1226" s="3">
        <f>IF(AND($L1226=1,AND(对接源_02物料!$X26="自备筐",N(对接源_02物料!$T26)&lt;&gt;0)),1,0)</f>
        <v>0</v>
      </c>
      <c r="Y1226" s="3">
        <f t="shared" si="339"/>
        <v>0</v>
      </c>
      <c r="Z1226" s="3">
        <f>IF(AND($M1226=1,对接源_02物料!$D26="原料入库"),1,0)</f>
        <v>0</v>
      </c>
      <c r="AA1226" s="3">
        <f t="shared" si="340"/>
        <v>24</v>
      </c>
      <c r="AB1226" s="3">
        <f>IF(AND($M1226=1,LEFT(对接源_02物料!$D26,4)="原料出库"),1,0)</f>
        <v>0</v>
      </c>
      <c r="AC1226" s="3">
        <f t="shared" si="341"/>
        <v>0</v>
      </c>
      <c r="AD1226" s="3">
        <f>IF(AND($M1226=1,LEFT(对接源_02物料!$D26,4)="成品出库"),1,0)</f>
        <v>0</v>
      </c>
      <c r="AE1226" s="3">
        <f t="shared" si="342"/>
        <v>0</v>
      </c>
      <c r="AF1226" s="3">
        <f>IF(AND($N1226=1,AND(LEFT(对接源_02物料!$D26,4)="包装物料",N(对接源_02物料!$K26)&lt;&gt;0)),1,0)</f>
        <v>1</v>
      </c>
      <c r="AG1226" s="3">
        <f t="shared" si="343"/>
        <v>2</v>
      </c>
      <c r="AH1226" s="3">
        <f>IF(AND($N1226=1,AND(对接源_02物料!$D26="周转筐－销售出库",N(对接源_02物料!$K26)&lt;&gt;0)),1,0)</f>
        <v>0</v>
      </c>
      <c r="AI1226" s="3">
        <f t="shared" si="344"/>
        <v>0</v>
      </c>
      <c r="AL1226" s="3">
        <v>0</v>
      </c>
      <c r="AM1226" s="3">
        <f t="shared" si="345"/>
        <v>1</v>
      </c>
      <c r="AN1226" s="3" t="str">
        <f t="shared" si="332"/>
        <v/>
      </c>
      <c r="AO1226" s="3">
        <v>0</v>
      </c>
      <c r="AP1226" s="3">
        <f t="shared" si="346"/>
        <v>8</v>
      </c>
      <c r="AR1226">
        <f t="shared" si="347"/>
        <v>1</v>
      </c>
      <c r="AS1226">
        <f t="shared" si="348"/>
        <v>2</v>
      </c>
    </row>
    <row r="1227" customHeight="1" spans="1:45">
      <c r="A1227" s="3" t="str">
        <f>IF(对接源_02物料!$C27="","",对接源_02物料!$C27)</f>
        <v>荆建君</v>
      </c>
      <c r="B1227" s="3">
        <f t="shared" si="333"/>
        <v>0</v>
      </c>
      <c r="C1227" s="3">
        <f t="shared" si="334"/>
        <v>20</v>
      </c>
      <c r="K1227" s="3">
        <f>IF(OR($K$1="",对接源_02物料!$C27="",对接源_02物料!$C27&lt;&gt;$K$1,对接源_02物料!$B27=""),0,IF(OR(N(对接源_02物料!$B27)&lt;$K$2,N(对接源_02物料!$B27)&gt;$K$3),0,1))</f>
        <v>0</v>
      </c>
      <c r="L1227" s="3">
        <f>IF(OR($L$1="",对接源_02物料!$C27="",对接源_02物料!$C27&lt;&gt;$L$1,对接源_02物料!$B27=""),0,IF(OR(N(对接源_02物料!$B27)&lt;$L$2,N(对接源_02物料!$B27)&gt;$L$3),0,1))</f>
        <v>0</v>
      </c>
      <c r="M1227" s="3">
        <f>IF(OR($M$1="",对接源_02物料!$C27="",对接源_02物料!$C27&lt;&gt;$M$1,对接源_02物料!$B27=""),0,IF(OR(N(对接源_02物料!$B27)&lt;$M$2,N(对接源_02物料!$B27)&gt;$M$3),0,1))</f>
        <v>0</v>
      </c>
      <c r="N1227" s="3">
        <f>IF(OR($N$1="",对接源_02物料!$C27="",对接源_02物料!$C27&lt;&gt;$N$1,对接源_02物料!$B27=""),0,IF(OR(N(对接源_02物料!$B27)&lt;$N$2,N(对接源_02物料!$B27)&gt;$N$3),0,1))</f>
        <v>0</v>
      </c>
      <c r="P1227" s="3">
        <f>IF(AND($K1227=1,AND(对接源_02物料!$X27="公司筐",N(对接源_02物料!$T27)&lt;&gt;0)),1,0)</f>
        <v>0</v>
      </c>
      <c r="Q1227" s="3">
        <f t="shared" si="335"/>
        <v>0</v>
      </c>
      <c r="R1227" s="3">
        <f>IF(AND($K1227=1,AND(对接源_02物料!$X27="公司筐",N(对接源_02物料!$U27)&lt;&gt;0)),1,0)</f>
        <v>0</v>
      </c>
      <c r="S1227" s="3">
        <f t="shared" si="336"/>
        <v>0</v>
      </c>
      <c r="T1227" s="3">
        <f>IF(AND($K1227=1,AND(对接源_02物料!$X27="公司筐",N(对接源_02物料!$V27)&lt;&gt;0)),1,0)</f>
        <v>0</v>
      </c>
      <c r="U1227" s="3">
        <f t="shared" si="337"/>
        <v>19</v>
      </c>
      <c r="V1227" s="3">
        <f>IF(AND($L1227=1,AND(对接源_02物料!$X27="自备筐",N(对接源_02物料!$V27)&lt;&gt;0)),1,0)</f>
        <v>0</v>
      </c>
      <c r="W1227" s="3">
        <f t="shared" si="338"/>
        <v>8</v>
      </c>
      <c r="X1227" s="3">
        <f>IF(AND($L1227=1,AND(对接源_02物料!$X27="自备筐",N(对接源_02物料!$T27)&lt;&gt;0)),1,0)</f>
        <v>0</v>
      </c>
      <c r="Y1227" s="3">
        <f t="shared" si="339"/>
        <v>0</v>
      </c>
      <c r="Z1227" s="3">
        <f>IF(AND($M1227=1,对接源_02物料!$D27="原料入库"),1,0)</f>
        <v>0</v>
      </c>
      <c r="AA1227" s="3">
        <f t="shared" si="340"/>
        <v>24</v>
      </c>
      <c r="AB1227" s="3">
        <f>IF(AND($M1227=1,LEFT(对接源_02物料!$D27,4)="原料出库"),1,0)</f>
        <v>0</v>
      </c>
      <c r="AC1227" s="3">
        <f t="shared" si="341"/>
        <v>0</v>
      </c>
      <c r="AD1227" s="3">
        <f>IF(AND($M1227=1,LEFT(对接源_02物料!$D27,4)="成品出库"),1,0)</f>
        <v>0</v>
      </c>
      <c r="AE1227" s="3">
        <f t="shared" si="342"/>
        <v>0</v>
      </c>
      <c r="AF1227" s="3">
        <f>IF(AND($N1227=1,AND(LEFT(对接源_02物料!$D27,4)="包装物料",N(对接源_02物料!$K27)&lt;&gt;0)),1,0)</f>
        <v>0</v>
      </c>
      <c r="AG1227" s="3">
        <f t="shared" si="343"/>
        <v>2</v>
      </c>
      <c r="AH1227" s="3">
        <f>IF(AND($N1227=1,AND(对接源_02物料!$D27="周转筐－销售出库",N(对接源_02物料!$K27)&lt;&gt;0)),1,0)</f>
        <v>0</v>
      </c>
      <c r="AI1227" s="3">
        <f t="shared" si="344"/>
        <v>0</v>
      </c>
      <c r="AL1227" s="3">
        <v>0</v>
      </c>
      <c r="AM1227" s="3">
        <f t="shared" si="345"/>
        <v>1</v>
      </c>
      <c r="AN1227" s="3" t="str">
        <f t="shared" si="332"/>
        <v/>
      </c>
      <c r="AO1227" s="3">
        <v>0</v>
      </c>
      <c r="AP1227" s="3">
        <f t="shared" si="346"/>
        <v>8</v>
      </c>
      <c r="AR1227">
        <f t="shared" si="347"/>
        <v>0</v>
      </c>
      <c r="AS1227">
        <f t="shared" si="348"/>
        <v>2</v>
      </c>
    </row>
    <row r="1228" customHeight="1" spans="1:45">
      <c r="A1228" s="3" t="str">
        <f>IF(对接源_02物料!$C28="","",对接源_02物料!$C28)</f>
        <v>麦麦提</v>
      </c>
      <c r="B1228" s="3">
        <f t="shared" si="333"/>
        <v>0</v>
      </c>
      <c r="C1228" s="3">
        <f t="shared" si="334"/>
        <v>20</v>
      </c>
      <c r="K1228" s="3">
        <f>IF(OR($K$1="",对接源_02物料!$C28="",对接源_02物料!$C28&lt;&gt;$K$1,对接源_02物料!$B28=""),0,IF(OR(N(对接源_02物料!$B28)&lt;$K$2,N(对接源_02物料!$B28)&gt;$K$3),0,1))</f>
        <v>0</v>
      </c>
      <c r="L1228" s="3">
        <f>IF(OR($L$1="",对接源_02物料!$C28="",对接源_02物料!$C28&lt;&gt;$L$1,对接源_02物料!$B28=""),0,IF(OR(N(对接源_02物料!$B28)&lt;$L$2,N(对接源_02物料!$B28)&gt;$L$3),0,1))</f>
        <v>0</v>
      </c>
      <c r="M1228" s="3">
        <f>IF(OR($M$1="",对接源_02物料!$C28="",对接源_02物料!$C28&lt;&gt;$M$1,对接源_02物料!$B28=""),0,IF(OR(N(对接源_02物料!$B28)&lt;$M$2,N(对接源_02物料!$B28)&gt;$M$3),0,1))</f>
        <v>0</v>
      </c>
      <c r="N1228" s="3">
        <f>IF(OR($N$1="",对接源_02物料!$C28="",对接源_02物料!$C28&lt;&gt;$N$1,对接源_02物料!$B28=""),0,IF(OR(N(对接源_02物料!$B28)&lt;$N$2,N(对接源_02物料!$B28)&gt;$N$3),0,1))</f>
        <v>0</v>
      </c>
      <c r="P1228" s="3">
        <f>IF(AND($K1228=1,AND(对接源_02物料!$X28="公司筐",N(对接源_02物料!$T28)&lt;&gt;0)),1,0)</f>
        <v>0</v>
      </c>
      <c r="Q1228" s="3">
        <f t="shared" si="335"/>
        <v>0</v>
      </c>
      <c r="R1228" s="3">
        <f>IF(AND($K1228=1,AND(对接源_02物料!$X28="公司筐",N(对接源_02物料!$U28)&lt;&gt;0)),1,0)</f>
        <v>0</v>
      </c>
      <c r="S1228" s="3">
        <f t="shared" si="336"/>
        <v>0</v>
      </c>
      <c r="T1228" s="3">
        <f>IF(AND($K1228=1,AND(对接源_02物料!$X28="公司筐",N(对接源_02物料!$V28)&lt;&gt;0)),1,0)</f>
        <v>0</v>
      </c>
      <c r="U1228" s="3">
        <f t="shared" si="337"/>
        <v>19</v>
      </c>
      <c r="V1228" s="3">
        <f>IF(AND($L1228=1,AND(对接源_02物料!$X28="自备筐",N(对接源_02物料!$V28)&lt;&gt;0)),1,0)</f>
        <v>0</v>
      </c>
      <c r="W1228" s="3">
        <f t="shared" si="338"/>
        <v>8</v>
      </c>
      <c r="X1228" s="3">
        <f>IF(AND($L1228=1,AND(对接源_02物料!$X28="自备筐",N(对接源_02物料!$T28)&lt;&gt;0)),1,0)</f>
        <v>0</v>
      </c>
      <c r="Y1228" s="3">
        <f t="shared" si="339"/>
        <v>0</v>
      </c>
      <c r="Z1228" s="3">
        <f>IF(AND($M1228=1,对接源_02物料!$D28="原料入库"),1,0)</f>
        <v>0</v>
      </c>
      <c r="AA1228" s="3">
        <f t="shared" si="340"/>
        <v>24</v>
      </c>
      <c r="AB1228" s="3">
        <f>IF(AND($M1228=1,LEFT(对接源_02物料!$D28,4)="原料出库"),1,0)</f>
        <v>0</v>
      </c>
      <c r="AC1228" s="3">
        <f t="shared" si="341"/>
        <v>0</v>
      </c>
      <c r="AD1228" s="3">
        <f>IF(AND($M1228=1,LEFT(对接源_02物料!$D28,4)="成品出库"),1,0)</f>
        <v>0</v>
      </c>
      <c r="AE1228" s="3">
        <f t="shared" si="342"/>
        <v>0</v>
      </c>
      <c r="AF1228" s="3">
        <f>IF(AND($N1228=1,AND(LEFT(对接源_02物料!$D28,4)="包装物料",N(对接源_02物料!$K28)&lt;&gt;0)),1,0)</f>
        <v>0</v>
      </c>
      <c r="AG1228" s="3">
        <f t="shared" si="343"/>
        <v>2</v>
      </c>
      <c r="AH1228" s="3">
        <f>IF(AND($N1228=1,AND(对接源_02物料!$D28="周转筐－销售出库",N(对接源_02物料!$K28)&lt;&gt;0)),1,0)</f>
        <v>0</v>
      </c>
      <c r="AI1228" s="3">
        <f t="shared" si="344"/>
        <v>0</v>
      </c>
      <c r="AL1228" s="3">
        <v>0</v>
      </c>
      <c r="AM1228" s="3">
        <f t="shared" si="345"/>
        <v>1</v>
      </c>
      <c r="AN1228" s="3" t="str">
        <f t="shared" si="332"/>
        <v/>
      </c>
      <c r="AO1228" s="3">
        <v>0</v>
      </c>
      <c r="AP1228" s="3">
        <f t="shared" si="346"/>
        <v>8</v>
      </c>
      <c r="AR1228">
        <f t="shared" si="347"/>
        <v>0</v>
      </c>
      <c r="AS1228">
        <f t="shared" si="348"/>
        <v>2</v>
      </c>
    </row>
    <row r="1229" customHeight="1" spans="1:45">
      <c r="A1229" s="3" t="str">
        <f>IF(对接源_02物料!$C29="","",对接源_02物料!$C29)</f>
        <v>新顺发泡网</v>
      </c>
      <c r="B1229" s="3">
        <f t="shared" si="333"/>
        <v>0</v>
      </c>
      <c r="C1229" s="3">
        <f t="shared" si="334"/>
        <v>20</v>
      </c>
      <c r="K1229" s="3">
        <f>IF(OR($K$1="",对接源_02物料!$C29="",对接源_02物料!$C29&lt;&gt;$K$1,对接源_02物料!$B29=""),0,IF(OR(N(对接源_02物料!$B29)&lt;$K$2,N(对接源_02物料!$B29)&gt;$K$3),0,1))</f>
        <v>0</v>
      </c>
      <c r="L1229" s="3">
        <f>IF(OR($L$1="",对接源_02物料!$C29="",对接源_02物料!$C29&lt;&gt;$L$1,对接源_02物料!$B29=""),0,IF(OR(N(对接源_02物料!$B29)&lt;$L$2,N(对接源_02物料!$B29)&gt;$L$3),0,1))</f>
        <v>0</v>
      </c>
      <c r="M1229" s="3">
        <f>IF(OR($M$1="",对接源_02物料!$C29="",对接源_02物料!$C29&lt;&gt;$M$1,对接源_02物料!$B29=""),0,IF(OR(N(对接源_02物料!$B29)&lt;$M$2,N(对接源_02物料!$B29)&gt;$M$3),0,1))</f>
        <v>0</v>
      </c>
      <c r="N1229" s="3">
        <f>IF(OR($N$1="",对接源_02物料!$C29="",对接源_02物料!$C29&lt;&gt;$N$1,对接源_02物料!$B29=""),0,IF(OR(N(对接源_02物料!$B29)&lt;$N$2,N(对接源_02物料!$B29)&gt;$N$3),0,1))</f>
        <v>0</v>
      </c>
      <c r="P1229" s="3">
        <f>IF(AND($K1229=1,AND(对接源_02物料!$X29="公司筐",N(对接源_02物料!$T29)&lt;&gt;0)),1,0)</f>
        <v>0</v>
      </c>
      <c r="Q1229" s="3">
        <f t="shared" si="335"/>
        <v>0</v>
      </c>
      <c r="R1229" s="3">
        <f>IF(AND($K1229=1,AND(对接源_02物料!$X29="公司筐",N(对接源_02物料!$U29)&lt;&gt;0)),1,0)</f>
        <v>0</v>
      </c>
      <c r="S1229" s="3">
        <f t="shared" si="336"/>
        <v>0</v>
      </c>
      <c r="T1229" s="3">
        <f>IF(AND($K1229=1,AND(对接源_02物料!$X29="公司筐",N(对接源_02物料!$V29)&lt;&gt;0)),1,0)</f>
        <v>0</v>
      </c>
      <c r="U1229" s="3">
        <f t="shared" si="337"/>
        <v>19</v>
      </c>
      <c r="V1229" s="3">
        <f>IF(AND($L1229=1,AND(对接源_02物料!$X29="自备筐",N(对接源_02物料!$V29)&lt;&gt;0)),1,0)</f>
        <v>0</v>
      </c>
      <c r="W1229" s="3">
        <f t="shared" si="338"/>
        <v>8</v>
      </c>
      <c r="X1229" s="3">
        <f>IF(AND($L1229=1,AND(对接源_02物料!$X29="自备筐",N(对接源_02物料!$T29)&lt;&gt;0)),1,0)</f>
        <v>0</v>
      </c>
      <c r="Y1229" s="3">
        <f t="shared" si="339"/>
        <v>0</v>
      </c>
      <c r="Z1229" s="3">
        <f>IF(AND($M1229=1,对接源_02物料!$D29="原料入库"),1,0)</f>
        <v>0</v>
      </c>
      <c r="AA1229" s="3">
        <f t="shared" si="340"/>
        <v>24</v>
      </c>
      <c r="AB1229" s="3">
        <f>IF(AND($M1229=1,LEFT(对接源_02物料!$D29,4)="原料出库"),1,0)</f>
        <v>0</v>
      </c>
      <c r="AC1229" s="3">
        <f t="shared" si="341"/>
        <v>0</v>
      </c>
      <c r="AD1229" s="3">
        <f>IF(AND($M1229=1,LEFT(对接源_02物料!$D29,4)="成品出库"),1,0)</f>
        <v>0</v>
      </c>
      <c r="AE1229" s="3">
        <f t="shared" si="342"/>
        <v>0</v>
      </c>
      <c r="AF1229" s="3">
        <f>IF(AND($N1229=1,AND(LEFT(对接源_02物料!$D29,4)="包装物料",N(对接源_02物料!$K29)&lt;&gt;0)),1,0)</f>
        <v>0</v>
      </c>
      <c r="AG1229" s="3">
        <f t="shared" si="343"/>
        <v>2</v>
      </c>
      <c r="AH1229" s="3">
        <f>IF(AND($N1229=1,AND(对接源_02物料!$D29="周转筐－销售出库",N(对接源_02物料!$K29)&lt;&gt;0)),1,0)</f>
        <v>0</v>
      </c>
      <c r="AI1229" s="3">
        <f t="shared" si="344"/>
        <v>0</v>
      </c>
      <c r="AL1229" s="3">
        <v>0</v>
      </c>
      <c r="AM1229" s="3">
        <f t="shared" si="345"/>
        <v>1</v>
      </c>
      <c r="AN1229" s="3" t="str">
        <f t="shared" si="332"/>
        <v/>
      </c>
      <c r="AO1229" s="3">
        <v>0</v>
      </c>
      <c r="AP1229" s="3">
        <f t="shared" si="346"/>
        <v>8</v>
      </c>
      <c r="AR1229">
        <f t="shared" si="347"/>
        <v>0</v>
      </c>
      <c r="AS1229">
        <f t="shared" si="348"/>
        <v>2</v>
      </c>
    </row>
    <row r="1230" customHeight="1" spans="1:45">
      <c r="A1230" s="3" t="str">
        <f>IF(对接源_02物料!$C30="","",对接源_02物料!$C30)</f>
        <v>麦麦提</v>
      </c>
      <c r="B1230" s="3">
        <f t="shared" si="333"/>
        <v>0</v>
      </c>
      <c r="C1230" s="3">
        <f t="shared" si="334"/>
        <v>20</v>
      </c>
      <c r="K1230" s="3">
        <f>IF(OR($K$1="",对接源_02物料!$C30="",对接源_02物料!$C30&lt;&gt;$K$1,对接源_02物料!$B30=""),0,IF(OR(N(对接源_02物料!$B30)&lt;$K$2,N(对接源_02物料!$B30)&gt;$K$3),0,1))</f>
        <v>0</v>
      </c>
      <c r="L1230" s="3">
        <f>IF(OR($L$1="",对接源_02物料!$C30="",对接源_02物料!$C30&lt;&gt;$L$1,对接源_02物料!$B30=""),0,IF(OR(N(对接源_02物料!$B30)&lt;$L$2,N(对接源_02物料!$B30)&gt;$L$3),0,1))</f>
        <v>0</v>
      </c>
      <c r="M1230" s="3">
        <f>IF(OR($M$1="",对接源_02物料!$C30="",对接源_02物料!$C30&lt;&gt;$M$1,对接源_02物料!$B30=""),0,IF(OR(N(对接源_02物料!$B30)&lt;$M$2,N(对接源_02物料!$B30)&gt;$M$3),0,1))</f>
        <v>0</v>
      </c>
      <c r="N1230" s="3">
        <f>IF(OR($N$1="",对接源_02物料!$C30="",对接源_02物料!$C30&lt;&gt;$N$1,对接源_02物料!$B30=""),0,IF(OR(N(对接源_02物料!$B30)&lt;$N$2,N(对接源_02物料!$B30)&gt;$N$3),0,1))</f>
        <v>0</v>
      </c>
      <c r="P1230" s="3">
        <f>IF(AND($K1230=1,AND(对接源_02物料!$X30="公司筐",N(对接源_02物料!$T30)&lt;&gt;0)),1,0)</f>
        <v>0</v>
      </c>
      <c r="Q1230" s="3">
        <f t="shared" si="335"/>
        <v>0</v>
      </c>
      <c r="R1230" s="3">
        <f>IF(AND($K1230=1,AND(对接源_02物料!$X30="公司筐",N(对接源_02物料!$U30)&lt;&gt;0)),1,0)</f>
        <v>0</v>
      </c>
      <c r="S1230" s="3">
        <f t="shared" si="336"/>
        <v>0</v>
      </c>
      <c r="T1230" s="3">
        <f>IF(AND($K1230=1,AND(对接源_02物料!$X30="公司筐",N(对接源_02物料!$V30)&lt;&gt;0)),1,0)</f>
        <v>0</v>
      </c>
      <c r="U1230" s="3">
        <f t="shared" si="337"/>
        <v>19</v>
      </c>
      <c r="V1230" s="3">
        <f>IF(AND($L1230=1,AND(对接源_02物料!$X30="自备筐",N(对接源_02物料!$V30)&lt;&gt;0)),1,0)</f>
        <v>0</v>
      </c>
      <c r="W1230" s="3">
        <f t="shared" si="338"/>
        <v>8</v>
      </c>
      <c r="X1230" s="3">
        <f>IF(AND($L1230=1,AND(对接源_02物料!$X30="自备筐",N(对接源_02物料!$T30)&lt;&gt;0)),1,0)</f>
        <v>0</v>
      </c>
      <c r="Y1230" s="3">
        <f t="shared" si="339"/>
        <v>0</v>
      </c>
      <c r="Z1230" s="3">
        <f>IF(AND($M1230=1,对接源_02物料!$D30="原料入库"),1,0)</f>
        <v>0</v>
      </c>
      <c r="AA1230" s="3">
        <f t="shared" si="340"/>
        <v>24</v>
      </c>
      <c r="AB1230" s="3">
        <f>IF(AND($M1230=1,LEFT(对接源_02物料!$D30,4)="原料出库"),1,0)</f>
        <v>0</v>
      </c>
      <c r="AC1230" s="3">
        <f t="shared" si="341"/>
        <v>0</v>
      </c>
      <c r="AD1230" s="3">
        <f>IF(AND($M1230=1,LEFT(对接源_02物料!$D30,4)="成品出库"),1,0)</f>
        <v>0</v>
      </c>
      <c r="AE1230" s="3">
        <f t="shared" si="342"/>
        <v>0</v>
      </c>
      <c r="AF1230" s="3">
        <f>IF(AND($N1230=1,AND(LEFT(对接源_02物料!$D30,4)="包装物料",N(对接源_02物料!$K30)&lt;&gt;0)),1,0)</f>
        <v>0</v>
      </c>
      <c r="AG1230" s="3">
        <f t="shared" si="343"/>
        <v>2</v>
      </c>
      <c r="AH1230" s="3">
        <f>IF(AND($N1230=1,AND(对接源_02物料!$D30="周转筐－销售出库",N(对接源_02物料!$K30)&lt;&gt;0)),1,0)</f>
        <v>0</v>
      </c>
      <c r="AI1230" s="3">
        <f t="shared" si="344"/>
        <v>0</v>
      </c>
      <c r="AL1230" s="3">
        <v>0</v>
      </c>
      <c r="AM1230" s="3">
        <f t="shared" si="345"/>
        <v>1</v>
      </c>
      <c r="AN1230" s="3" t="str">
        <f t="shared" si="332"/>
        <v/>
      </c>
      <c r="AO1230" s="3">
        <v>0</v>
      </c>
      <c r="AP1230" s="3">
        <f t="shared" si="346"/>
        <v>8</v>
      </c>
      <c r="AR1230">
        <f t="shared" si="347"/>
        <v>0</v>
      </c>
      <c r="AS1230">
        <f t="shared" si="348"/>
        <v>2</v>
      </c>
    </row>
    <row r="1231" customHeight="1" spans="1:45">
      <c r="A1231" s="3" t="str">
        <f>IF(对接源_02物料!$C31="","",对接源_02物料!$C31)</f>
        <v>新顺发泡网</v>
      </c>
      <c r="B1231" s="3">
        <f t="shared" si="333"/>
        <v>0</v>
      </c>
      <c r="C1231" s="3">
        <f t="shared" si="334"/>
        <v>20</v>
      </c>
      <c r="K1231" s="3">
        <f>IF(OR($K$1="",对接源_02物料!$C31="",对接源_02物料!$C31&lt;&gt;$K$1,对接源_02物料!$B31=""),0,IF(OR(N(对接源_02物料!$B31)&lt;$K$2,N(对接源_02物料!$B31)&gt;$K$3),0,1))</f>
        <v>0</v>
      </c>
      <c r="L1231" s="3">
        <f>IF(OR($L$1="",对接源_02物料!$C31="",对接源_02物料!$C31&lt;&gt;$L$1,对接源_02物料!$B31=""),0,IF(OR(N(对接源_02物料!$B31)&lt;$L$2,N(对接源_02物料!$B31)&gt;$L$3),0,1))</f>
        <v>0</v>
      </c>
      <c r="M1231" s="3">
        <f>IF(OR($M$1="",对接源_02物料!$C31="",对接源_02物料!$C31&lt;&gt;$M$1,对接源_02物料!$B31=""),0,IF(OR(N(对接源_02物料!$B31)&lt;$M$2,N(对接源_02物料!$B31)&gt;$M$3),0,1))</f>
        <v>0</v>
      </c>
      <c r="N1231" s="3">
        <f>IF(OR($N$1="",对接源_02物料!$C31="",对接源_02物料!$C31&lt;&gt;$N$1,对接源_02物料!$B31=""),0,IF(OR(N(对接源_02物料!$B31)&lt;$N$2,N(对接源_02物料!$B31)&gt;$N$3),0,1))</f>
        <v>0</v>
      </c>
      <c r="P1231" s="3">
        <f>IF(AND($K1231=1,AND(对接源_02物料!$X31="公司筐",N(对接源_02物料!$T31)&lt;&gt;0)),1,0)</f>
        <v>0</v>
      </c>
      <c r="Q1231" s="3">
        <f t="shared" si="335"/>
        <v>0</v>
      </c>
      <c r="R1231" s="3">
        <f>IF(AND($K1231=1,AND(对接源_02物料!$X31="公司筐",N(对接源_02物料!$U31)&lt;&gt;0)),1,0)</f>
        <v>0</v>
      </c>
      <c r="S1231" s="3">
        <f t="shared" si="336"/>
        <v>0</v>
      </c>
      <c r="T1231" s="3">
        <f>IF(AND($K1231=1,AND(对接源_02物料!$X31="公司筐",N(对接源_02物料!$V31)&lt;&gt;0)),1,0)</f>
        <v>0</v>
      </c>
      <c r="U1231" s="3">
        <f t="shared" si="337"/>
        <v>19</v>
      </c>
      <c r="V1231" s="3">
        <f>IF(AND($L1231=1,AND(对接源_02物料!$X31="自备筐",N(对接源_02物料!$V31)&lt;&gt;0)),1,0)</f>
        <v>0</v>
      </c>
      <c r="W1231" s="3">
        <f t="shared" si="338"/>
        <v>8</v>
      </c>
      <c r="X1231" s="3">
        <f>IF(AND($L1231=1,AND(对接源_02物料!$X31="自备筐",N(对接源_02物料!$T31)&lt;&gt;0)),1,0)</f>
        <v>0</v>
      </c>
      <c r="Y1231" s="3">
        <f t="shared" si="339"/>
        <v>0</v>
      </c>
      <c r="Z1231" s="3">
        <f>IF(AND($M1231=1,对接源_02物料!$D31="原料入库"),1,0)</f>
        <v>0</v>
      </c>
      <c r="AA1231" s="3">
        <f t="shared" si="340"/>
        <v>24</v>
      </c>
      <c r="AB1231" s="3">
        <f>IF(AND($M1231=1,LEFT(对接源_02物料!$D31,4)="原料出库"),1,0)</f>
        <v>0</v>
      </c>
      <c r="AC1231" s="3">
        <f t="shared" si="341"/>
        <v>0</v>
      </c>
      <c r="AD1231" s="3">
        <f>IF(AND($M1231=1,LEFT(对接源_02物料!$D31,4)="成品出库"),1,0)</f>
        <v>0</v>
      </c>
      <c r="AE1231" s="3">
        <f t="shared" si="342"/>
        <v>0</v>
      </c>
      <c r="AF1231" s="3">
        <f>IF(AND($N1231=1,AND(LEFT(对接源_02物料!$D31,4)="包装物料",N(对接源_02物料!$K31)&lt;&gt;0)),1,0)</f>
        <v>0</v>
      </c>
      <c r="AG1231" s="3">
        <f t="shared" si="343"/>
        <v>2</v>
      </c>
      <c r="AH1231" s="3">
        <f>IF(AND($N1231=1,AND(对接源_02物料!$D31="周转筐－销售出库",N(对接源_02物料!$K31)&lt;&gt;0)),1,0)</f>
        <v>0</v>
      </c>
      <c r="AI1231" s="3">
        <f t="shared" si="344"/>
        <v>0</v>
      </c>
      <c r="AL1231" s="3">
        <v>0</v>
      </c>
      <c r="AM1231" s="3">
        <f t="shared" si="345"/>
        <v>1</v>
      </c>
      <c r="AN1231" s="3" t="str">
        <f t="shared" si="332"/>
        <v/>
      </c>
      <c r="AO1231" s="3">
        <v>0</v>
      </c>
      <c r="AP1231" s="3">
        <f t="shared" si="346"/>
        <v>8</v>
      </c>
      <c r="AR1231">
        <f t="shared" si="347"/>
        <v>0</v>
      </c>
      <c r="AS1231">
        <f t="shared" si="348"/>
        <v>2</v>
      </c>
    </row>
    <row r="1232" customHeight="1" spans="1:45">
      <c r="A1232" s="3" t="str">
        <f>IF(对接源_02物料!$C32="","",对接源_02物料!$C32)</f>
        <v>吐尔洪</v>
      </c>
      <c r="B1232" s="3">
        <f t="shared" si="333"/>
        <v>0</v>
      </c>
      <c r="C1232" s="3">
        <f t="shared" si="334"/>
        <v>20</v>
      </c>
      <c r="K1232" s="3">
        <f>IF(OR($K$1="",对接源_02物料!$C32="",对接源_02物料!$C32&lt;&gt;$K$1,对接源_02物料!$B32=""),0,IF(OR(N(对接源_02物料!$B32)&lt;$K$2,N(对接源_02物料!$B32)&gt;$K$3),0,1))</f>
        <v>0</v>
      </c>
      <c r="L1232" s="3">
        <f>IF(OR($L$1="",对接源_02物料!$C32="",对接源_02物料!$C32&lt;&gt;$L$1,对接源_02物料!$B32=""),0,IF(OR(N(对接源_02物料!$B32)&lt;$L$2,N(对接源_02物料!$B32)&gt;$L$3),0,1))</f>
        <v>0</v>
      </c>
      <c r="M1232" s="3">
        <f>IF(OR($M$1="",对接源_02物料!$C32="",对接源_02物料!$C32&lt;&gt;$M$1,对接源_02物料!$B32=""),0,IF(OR(N(对接源_02物料!$B32)&lt;$M$2,N(对接源_02物料!$B32)&gt;$M$3),0,1))</f>
        <v>1</v>
      </c>
      <c r="N1232" s="3">
        <f>IF(OR($N$1="",对接源_02物料!$C32="",对接源_02物料!$C32&lt;&gt;$N$1,对接源_02物料!$B32=""),0,IF(OR(N(对接源_02物料!$B32)&lt;$N$2,N(对接源_02物料!$B32)&gt;$N$3),0,1))</f>
        <v>1</v>
      </c>
      <c r="P1232" s="3">
        <f>IF(AND($K1232=1,AND(对接源_02物料!$X32="公司筐",N(对接源_02物料!$T32)&lt;&gt;0)),1,0)</f>
        <v>0</v>
      </c>
      <c r="Q1232" s="3">
        <f t="shared" si="335"/>
        <v>0</v>
      </c>
      <c r="R1232" s="3">
        <f>IF(AND($K1232=1,AND(对接源_02物料!$X32="公司筐",N(对接源_02物料!$U32)&lt;&gt;0)),1,0)</f>
        <v>0</v>
      </c>
      <c r="S1232" s="3">
        <f t="shared" si="336"/>
        <v>0</v>
      </c>
      <c r="T1232" s="3">
        <f>IF(AND($K1232=1,AND(对接源_02物料!$X32="公司筐",N(对接源_02物料!$V32)&lt;&gt;0)),1,0)</f>
        <v>0</v>
      </c>
      <c r="U1232" s="3">
        <f t="shared" si="337"/>
        <v>19</v>
      </c>
      <c r="V1232" s="3">
        <f>IF(AND($L1232=1,AND(对接源_02物料!$X32="自备筐",N(对接源_02物料!$V32)&lt;&gt;0)),1,0)</f>
        <v>0</v>
      </c>
      <c r="W1232" s="3">
        <f t="shared" si="338"/>
        <v>8</v>
      </c>
      <c r="X1232" s="3">
        <f>IF(AND($L1232=1,AND(对接源_02物料!$X32="自备筐",N(对接源_02物料!$T32)&lt;&gt;0)),1,0)</f>
        <v>0</v>
      </c>
      <c r="Y1232" s="3">
        <f t="shared" si="339"/>
        <v>0</v>
      </c>
      <c r="Z1232" s="3">
        <f>IF(AND($M1232=1,对接源_02物料!$D32="原料入库"),1,0)</f>
        <v>0</v>
      </c>
      <c r="AA1232" s="3">
        <f t="shared" si="340"/>
        <v>24</v>
      </c>
      <c r="AB1232" s="3">
        <f>IF(AND($M1232=1,LEFT(对接源_02物料!$D32,4)="原料出库"),1,0)</f>
        <v>0</v>
      </c>
      <c r="AC1232" s="3">
        <f t="shared" si="341"/>
        <v>0</v>
      </c>
      <c r="AD1232" s="3">
        <f>IF(AND($M1232=1,LEFT(对接源_02物料!$D32,4)="成品出库"),1,0)</f>
        <v>0</v>
      </c>
      <c r="AE1232" s="3">
        <f t="shared" si="342"/>
        <v>0</v>
      </c>
      <c r="AF1232" s="3">
        <f>IF(AND($N1232=1,AND(LEFT(对接源_02物料!$D32,4)="包装物料",N(对接源_02物料!$K32)&lt;&gt;0)),1,0)</f>
        <v>1</v>
      </c>
      <c r="AG1232" s="3">
        <f t="shared" si="343"/>
        <v>3</v>
      </c>
      <c r="AH1232" s="3">
        <f>IF(AND($N1232=1,AND(对接源_02物料!$D32="周转筐－销售出库",N(对接源_02物料!$K32)&lt;&gt;0)),1,0)</f>
        <v>0</v>
      </c>
      <c r="AI1232" s="3">
        <f t="shared" si="344"/>
        <v>0</v>
      </c>
      <c r="AL1232" s="3">
        <v>0</v>
      </c>
      <c r="AM1232" s="3">
        <f t="shared" si="345"/>
        <v>1</v>
      </c>
      <c r="AN1232" s="3" t="str">
        <f t="shared" si="332"/>
        <v/>
      </c>
      <c r="AO1232" s="3">
        <v>0</v>
      </c>
      <c r="AP1232" s="3">
        <f t="shared" si="346"/>
        <v>8</v>
      </c>
      <c r="AR1232">
        <f t="shared" si="347"/>
        <v>1</v>
      </c>
      <c r="AS1232">
        <f t="shared" si="348"/>
        <v>3</v>
      </c>
    </row>
    <row r="1233" customHeight="1" spans="1:45">
      <c r="A1233" s="3" t="str">
        <f>IF(对接源_02物料!$C33="","",对接源_02物料!$C33)</f>
        <v>热合曼</v>
      </c>
      <c r="B1233" s="3">
        <f t="shared" si="333"/>
        <v>0</v>
      </c>
      <c r="C1233" s="3">
        <f t="shared" si="334"/>
        <v>20</v>
      </c>
      <c r="K1233" s="3">
        <f>IF(OR($K$1="",对接源_02物料!$C33="",对接源_02物料!$C33&lt;&gt;$K$1,对接源_02物料!$B33=""),0,IF(OR(N(对接源_02物料!$B33)&lt;$K$2,N(对接源_02物料!$B33)&gt;$K$3),0,1))</f>
        <v>0</v>
      </c>
      <c r="L1233" s="3">
        <f>IF(OR($L$1="",对接源_02物料!$C33="",对接源_02物料!$C33&lt;&gt;$L$1,对接源_02物料!$B33=""),0,IF(OR(N(对接源_02物料!$B33)&lt;$L$2,N(对接源_02物料!$B33)&gt;$L$3),0,1))</f>
        <v>0</v>
      </c>
      <c r="M1233" s="3">
        <f>IF(OR($M$1="",对接源_02物料!$C33="",对接源_02物料!$C33&lt;&gt;$M$1,对接源_02物料!$B33=""),0,IF(OR(N(对接源_02物料!$B33)&lt;$M$2,N(对接源_02物料!$B33)&gt;$M$3),0,1))</f>
        <v>0</v>
      </c>
      <c r="N1233" s="3">
        <f>IF(OR($N$1="",对接源_02物料!$C33="",对接源_02物料!$C33&lt;&gt;$N$1,对接源_02物料!$B33=""),0,IF(OR(N(对接源_02物料!$B33)&lt;$N$2,N(对接源_02物料!$B33)&gt;$N$3),0,1))</f>
        <v>0</v>
      </c>
      <c r="P1233" s="3">
        <f>IF(AND($K1233=1,AND(对接源_02物料!$X33="公司筐",N(对接源_02物料!$T33)&lt;&gt;0)),1,0)</f>
        <v>0</v>
      </c>
      <c r="Q1233" s="3">
        <f t="shared" si="335"/>
        <v>0</v>
      </c>
      <c r="R1233" s="3">
        <f>IF(AND($K1233=1,AND(对接源_02物料!$X33="公司筐",N(对接源_02物料!$U33)&lt;&gt;0)),1,0)</f>
        <v>0</v>
      </c>
      <c r="S1233" s="3">
        <f t="shared" si="336"/>
        <v>0</v>
      </c>
      <c r="T1233" s="3">
        <f>IF(AND($K1233=1,AND(对接源_02物料!$X33="公司筐",N(对接源_02物料!$V33)&lt;&gt;0)),1,0)</f>
        <v>0</v>
      </c>
      <c r="U1233" s="3">
        <f t="shared" si="337"/>
        <v>19</v>
      </c>
      <c r="V1233" s="3">
        <f>IF(AND($L1233=1,AND(对接源_02物料!$X33="自备筐",N(对接源_02物料!$V33)&lt;&gt;0)),1,0)</f>
        <v>0</v>
      </c>
      <c r="W1233" s="3">
        <f t="shared" si="338"/>
        <v>8</v>
      </c>
      <c r="X1233" s="3">
        <f>IF(AND($L1233=1,AND(对接源_02物料!$X33="自备筐",N(对接源_02物料!$T33)&lt;&gt;0)),1,0)</f>
        <v>0</v>
      </c>
      <c r="Y1233" s="3">
        <f t="shared" si="339"/>
        <v>0</v>
      </c>
      <c r="Z1233" s="3">
        <f>IF(AND($M1233=1,对接源_02物料!$D33="原料入库"),1,0)</f>
        <v>0</v>
      </c>
      <c r="AA1233" s="3">
        <f t="shared" si="340"/>
        <v>24</v>
      </c>
      <c r="AB1233" s="3">
        <f>IF(AND($M1233=1,LEFT(对接源_02物料!$D33,4)="原料出库"),1,0)</f>
        <v>0</v>
      </c>
      <c r="AC1233" s="3">
        <f t="shared" si="341"/>
        <v>0</v>
      </c>
      <c r="AD1233" s="3">
        <f>IF(AND($M1233=1,LEFT(对接源_02物料!$D33,4)="成品出库"),1,0)</f>
        <v>0</v>
      </c>
      <c r="AE1233" s="3">
        <f t="shared" si="342"/>
        <v>0</v>
      </c>
      <c r="AF1233" s="3">
        <f>IF(AND($N1233=1,AND(LEFT(对接源_02物料!$D33,4)="包装物料",N(对接源_02物料!$K33)&lt;&gt;0)),1,0)</f>
        <v>0</v>
      </c>
      <c r="AG1233" s="3">
        <f t="shared" si="343"/>
        <v>3</v>
      </c>
      <c r="AH1233" s="3">
        <f>IF(AND($N1233=1,AND(对接源_02物料!$D33="周转筐－销售出库",N(对接源_02物料!$K33)&lt;&gt;0)),1,0)</f>
        <v>0</v>
      </c>
      <c r="AI1233" s="3">
        <f t="shared" si="344"/>
        <v>0</v>
      </c>
      <c r="AL1233" s="3">
        <v>0</v>
      </c>
      <c r="AM1233" s="3">
        <f t="shared" si="345"/>
        <v>1</v>
      </c>
      <c r="AN1233" s="3" t="str">
        <f t="shared" si="332"/>
        <v/>
      </c>
      <c r="AO1233" s="3">
        <v>0</v>
      </c>
      <c r="AP1233" s="3">
        <f t="shared" si="346"/>
        <v>8</v>
      </c>
      <c r="AR1233">
        <f t="shared" si="347"/>
        <v>0</v>
      </c>
      <c r="AS1233">
        <f t="shared" si="348"/>
        <v>3</v>
      </c>
    </row>
    <row r="1234" customHeight="1" spans="1:45">
      <c r="A1234" s="3" t="str">
        <f>IF(对接源_02物料!$C34="","",对接源_02物料!$C34)</f>
        <v>吐尔洪</v>
      </c>
      <c r="B1234" s="3">
        <f t="shared" si="333"/>
        <v>0</v>
      </c>
      <c r="C1234" s="3">
        <f t="shared" si="334"/>
        <v>20</v>
      </c>
      <c r="K1234" s="3">
        <f>IF(OR($K$1="",对接源_02物料!$C34="",对接源_02物料!$C34&lt;&gt;$K$1,对接源_02物料!$B34=""),0,IF(OR(N(对接源_02物料!$B34)&lt;$K$2,N(对接源_02物料!$B34)&gt;$K$3),0,1))</f>
        <v>0</v>
      </c>
      <c r="L1234" s="3">
        <f>IF(OR($L$1="",对接源_02物料!$C34="",对接源_02物料!$C34&lt;&gt;$L$1,对接源_02物料!$B34=""),0,IF(OR(N(对接源_02物料!$B34)&lt;$L$2,N(对接源_02物料!$B34)&gt;$L$3),0,1))</f>
        <v>0</v>
      </c>
      <c r="M1234" s="3">
        <f>IF(OR($M$1="",对接源_02物料!$C34="",对接源_02物料!$C34&lt;&gt;$M$1,对接源_02物料!$B34=""),0,IF(OR(N(对接源_02物料!$B34)&lt;$M$2,N(对接源_02物料!$B34)&gt;$M$3),0,1))</f>
        <v>1</v>
      </c>
      <c r="N1234" s="3">
        <f>IF(OR($N$1="",对接源_02物料!$C34="",对接源_02物料!$C34&lt;&gt;$N$1,对接源_02物料!$B34=""),0,IF(OR(N(对接源_02物料!$B34)&lt;$N$2,N(对接源_02物料!$B34)&gt;$N$3),0,1))</f>
        <v>1</v>
      </c>
      <c r="P1234" s="3">
        <f>IF(AND($K1234=1,AND(对接源_02物料!$X34="公司筐",N(对接源_02物料!$T34)&lt;&gt;0)),1,0)</f>
        <v>0</v>
      </c>
      <c r="Q1234" s="3">
        <f t="shared" si="335"/>
        <v>0</v>
      </c>
      <c r="R1234" s="3">
        <f>IF(AND($K1234=1,AND(对接源_02物料!$X34="公司筐",N(对接源_02物料!$U34)&lt;&gt;0)),1,0)</f>
        <v>0</v>
      </c>
      <c r="S1234" s="3">
        <f t="shared" si="336"/>
        <v>0</v>
      </c>
      <c r="T1234" s="3">
        <f>IF(AND($K1234=1,AND(对接源_02物料!$X34="公司筐",N(对接源_02物料!$V34)&lt;&gt;0)),1,0)</f>
        <v>0</v>
      </c>
      <c r="U1234" s="3">
        <f t="shared" si="337"/>
        <v>19</v>
      </c>
      <c r="V1234" s="3">
        <f>IF(AND($L1234=1,AND(对接源_02物料!$X34="自备筐",N(对接源_02物料!$V34)&lt;&gt;0)),1,0)</f>
        <v>0</v>
      </c>
      <c r="W1234" s="3">
        <f t="shared" si="338"/>
        <v>8</v>
      </c>
      <c r="X1234" s="3">
        <f>IF(AND($L1234=1,AND(对接源_02物料!$X34="自备筐",N(对接源_02物料!$T34)&lt;&gt;0)),1,0)</f>
        <v>0</v>
      </c>
      <c r="Y1234" s="3">
        <f t="shared" si="339"/>
        <v>0</v>
      </c>
      <c r="Z1234" s="3">
        <f>IF(AND($M1234=1,对接源_02物料!$D34="原料入库"),1,0)</f>
        <v>0</v>
      </c>
      <c r="AA1234" s="3">
        <f t="shared" si="340"/>
        <v>24</v>
      </c>
      <c r="AB1234" s="3">
        <f>IF(AND($M1234=1,LEFT(对接源_02物料!$D34,4)="原料出库"),1,0)</f>
        <v>0</v>
      </c>
      <c r="AC1234" s="3">
        <f t="shared" si="341"/>
        <v>0</v>
      </c>
      <c r="AD1234" s="3">
        <f>IF(AND($M1234=1,LEFT(对接源_02物料!$D34,4)="成品出库"),1,0)</f>
        <v>0</v>
      </c>
      <c r="AE1234" s="3">
        <f t="shared" si="342"/>
        <v>0</v>
      </c>
      <c r="AF1234" s="3">
        <f>IF(AND($N1234=1,AND(LEFT(对接源_02物料!$D34,4)="包装物料",N(对接源_02物料!$K34)&lt;&gt;0)),1,0)</f>
        <v>1</v>
      </c>
      <c r="AG1234" s="3">
        <f t="shared" si="343"/>
        <v>4</v>
      </c>
      <c r="AH1234" s="3">
        <f>IF(AND($N1234=1,AND(对接源_02物料!$D34="周转筐－销售出库",N(对接源_02物料!$K34)&lt;&gt;0)),1,0)</f>
        <v>0</v>
      </c>
      <c r="AI1234" s="3">
        <f t="shared" si="344"/>
        <v>0</v>
      </c>
      <c r="AL1234" s="3">
        <v>0</v>
      </c>
      <c r="AM1234" s="3">
        <f t="shared" si="345"/>
        <v>1</v>
      </c>
      <c r="AN1234" s="3" t="str">
        <f t="shared" si="332"/>
        <v/>
      </c>
      <c r="AO1234" s="3">
        <v>0</v>
      </c>
      <c r="AP1234" s="3">
        <f t="shared" si="346"/>
        <v>8</v>
      </c>
      <c r="AR1234">
        <f t="shared" si="347"/>
        <v>1</v>
      </c>
      <c r="AS1234">
        <f t="shared" si="348"/>
        <v>4</v>
      </c>
    </row>
    <row r="1235" customHeight="1" spans="1:45">
      <c r="A1235" s="3" t="str">
        <f>IF(对接源_02物料!$C35="","",对接源_02物料!$C35)</f>
        <v>新顺发泡网</v>
      </c>
      <c r="B1235" s="3">
        <f t="shared" si="333"/>
        <v>0</v>
      </c>
      <c r="C1235" s="3">
        <f t="shared" si="334"/>
        <v>20</v>
      </c>
      <c r="K1235" s="3">
        <f>IF(OR($K$1="",对接源_02物料!$C35="",对接源_02物料!$C35&lt;&gt;$K$1,对接源_02物料!$B35=""),0,IF(OR(N(对接源_02物料!$B35)&lt;$K$2,N(对接源_02物料!$B35)&gt;$K$3),0,1))</f>
        <v>0</v>
      </c>
      <c r="L1235" s="3">
        <f>IF(OR($L$1="",对接源_02物料!$C35="",对接源_02物料!$C35&lt;&gt;$L$1,对接源_02物料!$B35=""),0,IF(OR(N(对接源_02物料!$B35)&lt;$L$2,N(对接源_02物料!$B35)&gt;$L$3),0,1))</f>
        <v>0</v>
      </c>
      <c r="M1235" s="3">
        <f>IF(OR($M$1="",对接源_02物料!$C35="",对接源_02物料!$C35&lt;&gt;$M$1,对接源_02物料!$B35=""),0,IF(OR(N(对接源_02物料!$B35)&lt;$M$2,N(对接源_02物料!$B35)&gt;$M$3),0,1))</f>
        <v>0</v>
      </c>
      <c r="N1235" s="3">
        <f>IF(OR($N$1="",对接源_02物料!$C35="",对接源_02物料!$C35&lt;&gt;$N$1,对接源_02物料!$B35=""),0,IF(OR(N(对接源_02物料!$B35)&lt;$N$2,N(对接源_02物料!$B35)&gt;$N$3),0,1))</f>
        <v>0</v>
      </c>
      <c r="P1235" s="3">
        <f>IF(AND($K1235=1,AND(对接源_02物料!$X35="公司筐",N(对接源_02物料!$T35)&lt;&gt;0)),1,0)</f>
        <v>0</v>
      </c>
      <c r="Q1235" s="3">
        <f t="shared" si="335"/>
        <v>0</v>
      </c>
      <c r="R1235" s="3">
        <f>IF(AND($K1235=1,AND(对接源_02物料!$X35="公司筐",N(对接源_02物料!$U35)&lt;&gt;0)),1,0)</f>
        <v>0</v>
      </c>
      <c r="S1235" s="3">
        <f t="shared" si="336"/>
        <v>0</v>
      </c>
      <c r="T1235" s="3">
        <f>IF(AND($K1235=1,AND(对接源_02物料!$X35="公司筐",N(对接源_02物料!$V35)&lt;&gt;0)),1,0)</f>
        <v>0</v>
      </c>
      <c r="U1235" s="3">
        <f t="shared" si="337"/>
        <v>19</v>
      </c>
      <c r="V1235" s="3">
        <f>IF(AND($L1235=1,AND(对接源_02物料!$X35="自备筐",N(对接源_02物料!$V35)&lt;&gt;0)),1,0)</f>
        <v>0</v>
      </c>
      <c r="W1235" s="3">
        <f t="shared" si="338"/>
        <v>8</v>
      </c>
      <c r="X1235" s="3">
        <f>IF(AND($L1235=1,AND(对接源_02物料!$X35="自备筐",N(对接源_02物料!$T35)&lt;&gt;0)),1,0)</f>
        <v>0</v>
      </c>
      <c r="Y1235" s="3">
        <f t="shared" si="339"/>
        <v>0</v>
      </c>
      <c r="Z1235" s="3">
        <f>IF(AND($M1235=1,对接源_02物料!$D35="原料入库"),1,0)</f>
        <v>0</v>
      </c>
      <c r="AA1235" s="3">
        <f t="shared" si="340"/>
        <v>24</v>
      </c>
      <c r="AB1235" s="3">
        <f>IF(AND($M1235=1,LEFT(对接源_02物料!$D35,4)="原料出库"),1,0)</f>
        <v>0</v>
      </c>
      <c r="AC1235" s="3">
        <f t="shared" si="341"/>
        <v>0</v>
      </c>
      <c r="AD1235" s="3">
        <f>IF(AND($M1235=1,LEFT(对接源_02物料!$D35,4)="成品出库"),1,0)</f>
        <v>0</v>
      </c>
      <c r="AE1235" s="3">
        <f t="shared" si="342"/>
        <v>0</v>
      </c>
      <c r="AF1235" s="3">
        <f>IF(AND($N1235=1,AND(LEFT(对接源_02物料!$D35,4)="包装物料",N(对接源_02物料!$K35)&lt;&gt;0)),1,0)</f>
        <v>0</v>
      </c>
      <c r="AG1235" s="3">
        <f t="shared" si="343"/>
        <v>4</v>
      </c>
      <c r="AH1235" s="3">
        <f>IF(AND($N1235=1,AND(对接源_02物料!$D35="周转筐－销售出库",N(对接源_02物料!$K35)&lt;&gt;0)),1,0)</f>
        <v>0</v>
      </c>
      <c r="AI1235" s="3">
        <f t="shared" si="344"/>
        <v>0</v>
      </c>
      <c r="AL1235" s="3">
        <v>0</v>
      </c>
      <c r="AM1235" s="3">
        <f t="shared" si="345"/>
        <v>1</v>
      </c>
      <c r="AN1235" s="3" t="str">
        <f t="shared" si="332"/>
        <v/>
      </c>
      <c r="AO1235" s="3">
        <v>0</v>
      </c>
      <c r="AP1235" s="3">
        <f t="shared" si="346"/>
        <v>8</v>
      </c>
      <c r="AR1235">
        <f t="shared" si="347"/>
        <v>0</v>
      </c>
      <c r="AS1235">
        <f t="shared" si="348"/>
        <v>4</v>
      </c>
    </row>
    <row r="1236" customHeight="1" spans="1:45">
      <c r="A1236" s="3" t="str">
        <f>IF(对接源_02物料!$C36="","",对接源_02物料!$C36)</f>
        <v>麦麦提</v>
      </c>
      <c r="B1236" s="3">
        <f t="shared" si="333"/>
        <v>0</v>
      </c>
      <c r="C1236" s="3">
        <f t="shared" si="334"/>
        <v>20</v>
      </c>
      <c r="K1236" s="3">
        <f>IF(OR($K$1="",对接源_02物料!$C36="",对接源_02物料!$C36&lt;&gt;$K$1,对接源_02物料!$B36=""),0,IF(OR(N(对接源_02物料!$B36)&lt;$K$2,N(对接源_02物料!$B36)&gt;$K$3),0,1))</f>
        <v>0</v>
      </c>
      <c r="L1236" s="3">
        <f>IF(OR($L$1="",对接源_02物料!$C36="",对接源_02物料!$C36&lt;&gt;$L$1,对接源_02物料!$B36=""),0,IF(OR(N(对接源_02物料!$B36)&lt;$L$2,N(对接源_02物料!$B36)&gt;$L$3),0,1))</f>
        <v>0</v>
      </c>
      <c r="M1236" s="3">
        <f>IF(OR($M$1="",对接源_02物料!$C36="",对接源_02物料!$C36&lt;&gt;$M$1,对接源_02物料!$B36=""),0,IF(OR(N(对接源_02物料!$B36)&lt;$M$2,N(对接源_02物料!$B36)&gt;$M$3),0,1))</f>
        <v>0</v>
      </c>
      <c r="N1236" s="3">
        <f>IF(OR($N$1="",对接源_02物料!$C36="",对接源_02物料!$C36&lt;&gt;$N$1,对接源_02物料!$B36=""),0,IF(OR(N(对接源_02物料!$B36)&lt;$N$2,N(对接源_02物料!$B36)&gt;$N$3),0,1))</f>
        <v>0</v>
      </c>
      <c r="P1236" s="3">
        <f>IF(AND($K1236=1,AND(对接源_02物料!$X36="公司筐",N(对接源_02物料!$T36)&lt;&gt;0)),1,0)</f>
        <v>0</v>
      </c>
      <c r="Q1236" s="3">
        <f t="shared" si="335"/>
        <v>0</v>
      </c>
      <c r="R1236" s="3">
        <f>IF(AND($K1236=1,AND(对接源_02物料!$X36="公司筐",N(对接源_02物料!$U36)&lt;&gt;0)),1,0)</f>
        <v>0</v>
      </c>
      <c r="S1236" s="3">
        <f t="shared" si="336"/>
        <v>0</v>
      </c>
      <c r="T1236" s="3">
        <f>IF(AND($K1236=1,AND(对接源_02物料!$X36="公司筐",N(对接源_02物料!$V36)&lt;&gt;0)),1,0)</f>
        <v>0</v>
      </c>
      <c r="U1236" s="3">
        <f t="shared" si="337"/>
        <v>19</v>
      </c>
      <c r="V1236" s="3">
        <f>IF(AND($L1236=1,AND(对接源_02物料!$X36="自备筐",N(对接源_02物料!$V36)&lt;&gt;0)),1,0)</f>
        <v>0</v>
      </c>
      <c r="W1236" s="3">
        <f t="shared" si="338"/>
        <v>8</v>
      </c>
      <c r="X1236" s="3">
        <f>IF(AND($L1236=1,AND(对接源_02物料!$X36="自备筐",N(对接源_02物料!$T36)&lt;&gt;0)),1,0)</f>
        <v>0</v>
      </c>
      <c r="Y1236" s="3">
        <f t="shared" si="339"/>
        <v>0</v>
      </c>
      <c r="Z1236" s="3">
        <f>IF(AND($M1236=1,对接源_02物料!$D36="原料入库"),1,0)</f>
        <v>0</v>
      </c>
      <c r="AA1236" s="3">
        <f t="shared" si="340"/>
        <v>24</v>
      </c>
      <c r="AB1236" s="3">
        <f>IF(AND($M1236=1,LEFT(对接源_02物料!$D36,4)="原料出库"),1,0)</f>
        <v>0</v>
      </c>
      <c r="AC1236" s="3">
        <f t="shared" si="341"/>
        <v>0</v>
      </c>
      <c r="AD1236" s="3">
        <f>IF(AND($M1236=1,LEFT(对接源_02物料!$D36,4)="成品出库"),1,0)</f>
        <v>0</v>
      </c>
      <c r="AE1236" s="3">
        <f t="shared" si="342"/>
        <v>0</v>
      </c>
      <c r="AF1236" s="3">
        <f>IF(AND($N1236=1,AND(LEFT(对接源_02物料!$D36,4)="包装物料",N(对接源_02物料!$K36)&lt;&gt;0)),1,0)</f>
        <v>0</v>
      </c>
      <c r="AG1236" s="3">
        <f t="shared" si="343"/>
        <v>4</v>
      </c>
      <c r="AH1236" s="3">
        <f>IF(AND($N1236=1,AND(对接源_02物料!$D36="周转筐－销售出库",N(对接源_02物料!$K36)&lt;&gt;0)),1,0)</f>
        <v>0</v>
      </c>
      <c r="AI1236" s="3">
        <f t="shared" si="344"/>
        <v>0</v>
      </c>
      <c r="AL1236" s="3">
        <v>0</v>
      </c>
      <c r="AM1236" s="3">
        <f t="shared" si="345"/>
        <v>1</v>
      </c>
      <c r="AN1236" s="3" t="str">
        <f t="shared" si="332"/>
        <v/>
      </c>
      <c r="AO1236" s="3">
        <v>0</v>
      </c>
      <c r="AP1236" s="3">
        <f t="shared" si="346"/>
        <v>8</v>
      </c>
      <c r="AR1236">
        <f t="shared" si="347"/>
        <v>0</v>
      </c>
      <c r="AS1236">
        <f t="shared" si="348"/>
        <v>4</v>
      </c>
    </row>
    <row r="1237" customHeight="1" spans="1:45">
      <c r="A1237" s="3" t="str">
        <f>IF(对接源_02物料!$C37="","",对接源_02物料!$C37)</f>
        <v>荆建君</v>
      </c>
      <c r="B1237" s="3">
        <f t="shared" si="333"/>
        <v>0</v>
      </c>
      <c r="C1237" s="3">
        <f t="shared" si="334"/>
        <v>20</v>
      </c>
      <c r="K1237" s="3">
        <f>IF(OR($K$1="",对接源_02物料!$C37="",对接源_02物料!$C37&lt;&gt;$K$1,对接源_02物料!$B37=""),0,IF(OR(N(对接源_02物料!$B37)&lt;$K$2,N(对接源_02物料!$B37)&gt;$K$3),0,1))</f>
        <v>0</v>
      </c>
      <c r="L1237" s="3">
        <f>IF(OR($L$1="",对接源_02物料!$C37="",对接源_02物料!$C37&lt;&gt;$L$1,对接源_02物料!$B37=""),0,IF(OR(N(对接源_02物料!$B37)&lt;$L$2,N(对接源_02物料!$B37)&gt;$L$3),0,1))</f>
        <v>0</v>
      </c>
      <c r="M1237" s="3">
        <f>IF(OR($M$1="",对接源_02物料!$C37="",对接源_02物料!$C37&lt;&gt;$M$1,对接源_02物料!$B37=""),0,IF(OR(N(对接源_02物料!$B37)&lt;$M$2,N(对接源_02物料!$B37)&gt;$M$3),0,1))</f>
        <v>0</v>
      </c>
      <c r="N1237" s="3">
        <f>IF(OR($N$1="",对接源_02物料!$C37="",对接源_02物料!$C37&lt;&gt;$N$1,对接源_02物料!$B37=""),0,IF(OR(N(对接源_02物料!$B37)&lt;$N$2,N(对接源_02物料!$B37)&gt;$N$3),0,1))</f>
        <v>0</v>
      </c>
      <c r="P1237" s="3">
        <f>IF(AND($K1237=1,AND(对接源_02物料!$X37="公司筐",N(对接源_02物料!$T37)&lt;&gt;0)),1,0)</f>
        <v>0</v>
      </c>
      <c r="Q1237" s="3">
        <f t="shared" si="335"/>
        <v>0</v>
      </c>
      <c r="R1237" s="3">
        <f>IF(AND($K1237=1,AND(对接源_02物料!$X37="公司筐",N(对接源_02物料!$U37)&lt;&gt;0)),1,0)</f>
        <v>0</v>
      </c>
      <c r="S1237" s="3">
        <f t="shared" si="336"/>
        <v>0</v>
      </c>
      <c r="T1237" s="3">
        <f>IF(AND($K1237=1,AND(对接源_02物料!$X37="公司筐",N(对接源_02物料!$V37)&lt;&gt;0)),1,0)</f>
        <v>0</v>
      </c>
      <c r="U1237" s="3">
        <f t="shared" si="337"/>
        <v>19</v>
      </c>
      <c r="V1237" s="3">
        <f>IF(AND($L1237=1,AND(对接源_02物料!$X37="自备筐",N(对接源_02物料!$V37)&lt;&gt;0)),1,0)</f>
        <v>0</v>
      </c>
      <c r="W1237" s="3">
        <f t="shared" si="338"/>
        <v>8</v>
      </c>
      <c r="X1237" s="3">
        <f>IF(AND($L1237=1,AND(对接源_02物料!$X37="自备筐",N(对接源_02物料!$T37)&lt;&gt;0)),1,0)</f>
        <v>0</v>
      </c>
      <c r="Y1237" s="3">
        <f t="shared" si="339"/>
        <v>0</v>
      </c>
      <c r="Z1237" s="3">
        <f>IF(AND($M1237=1,对接源_02物料!$D37="原料入库"),1,0)</f>
        <v>0</v>
      </c>
      <c r="AA1237" s="3">
        <f t="shared" si="340"/>
        <v>24</v>
      </c>
      <c r="AB1237" s="3">
        <f>IF(AND($M1237=1,LEFT(对接源_02物料!$D37,4)="原料出库"),1,0)</f>
        <v>0</v>
      </c>
      <c r="AC1237" s="3">
        <f t="shared" si="341"/>
        <v>0</v>
      </c>
      <c r="AD1237" s="3">
        <f>IF(AND($M1237=1,LEFT(对接源_02物料!$D37,4)="成品出库"),1,0)</f>
        <v>0</v>
      </c>
      <c r="AE1237" s="3">
        <f t="shared" si="342"/>
        <v>0</v>
      </c>
      <c r="AF1237" s="3">
        <f>IF(AND($N1237=1,AND(LEFT(对接源_02物料!$D37,4)="包装物料",N(对接源_02物料!$K37)&lt;&gt;0)),1,0)</f>
        <v>0</v>
      </c>
      <c r="AG1237" s="3">
        <f t="shared" si="343"/>
        <v>4</v>
      </c>
      <c r="AH1237" s="3">
        <f>IF(AND($N1237=1,AND(对接源_02物料!$D37="周转筐－销售出库",N(对接源_02物料!$K37)&lt;&gt;0)),1,0)</f>
        <v>0</v>
      </c>
      <c r="AI1237" s="3">
        <f t="shared" si="344"/>
        <v>0</v>
      </c>
      <c r="AL1237" s="3">
        <v>0</v>
      </c>
      <c r="AM1237" s="3">
        <f t="shared" si="345"/>
        <v>1</v>
      </c>
      <c r="AN1237" s="3" t="str">
        <f t="shared" si="332"/>
        <v/>
      </c>
      <c r="AO1237" s="3">
        <v>0</v>
      </c>
      <c r="AP1237" s="3">
        <f t="shared" si="346"/>
        <v>8</v>
      </c>
      <c r="AR1237">
        <f t="shared" si="347"/>
        <v>0</v>
      </c>
      <c r="AS1237">
        <f t="shared" si="348"/>
        <v>4</v>
      </c>
    </row>
    <row r="1238" customHeight="1" spans="1:45">
      <c r="A1238" s="3" t="str">
        <f>IF(对接源_02物料!$C38="","",对接源_02物料!$C38)</f>
        <v>吐尔洪</v>
      </c>
      <c r="B1238" s="3">
        <f t="shared" si="333"/>
        <v>0</v>
      </c>
      <c r="C1238" s="3">
        <f t="shared" si="334"/>
        <v>20</v>
      </c>
      <c r="K1238" s="3">
        <f>IF(OR($K$1="",对接源_02物料!$C38="",对接源_02物料!$C38&lt;&gt;$K$1,对接源_02物料!$B38=""),0,IF(OR(N(对接源_02物料!$B38)&lt;$K$2,N(对接源_02物料!$B38)&gt;$K$3),0,1))</f>
        <v>0</v>
      </c>
      <c r="L1238" s="3">
        <f>IF(OR($L$1="",对接源_02物料!$C38="",对接源_02物料!$C38&lt;&gt;$L$1,对接源_02物料!$B38=""),0,IF(OR(N(对接源_02物料!$B38)&lt;$L$2,N(对接源_02物料!$B38)&gt;$L$3),0,1))</f>
        <v>0</v>
      </c>
      <c r="M1238" s="3">
        <f>IF(OR($M$1="",对接源_02物料!$C38="",对接源_02物料!$C38&lt;&gt;$M$1,对接源_02物料!$B38=""),0,IF(OR(N(对接源_02物料!$B38)&lt;$M$2,N(对接源_02物料!$B38)&gt;$M$3),0,1))</f>
        <v>1</v>
      </c>
      <c r="N1238" s="3">
        <f>IF(OR($N$1="",对接源_02物料!$C38="",对接源_02物料!$C38&lt;&gt;$N$1,对接源_02物料!$B38=""),0,IF(OR(N(对接源_02物料!$B38)&lt;$N$2,N(对接源_02物料!$B38)&gt;$N$3),0,1))</f>
        <v>1</v>
      </c>
      <c r="P1238" s="3">
        <f>IF(AND($K1238=1,AND(对接源_02物料!$X38="公司筐",N(对接源_02物料!$T38)&lt;&gt;0)),1,0)</f>
        <v>0</v>
      </c>
      <c r="Q1238" s="3">
        <f t="shared" si="335"/>
        <v>0</v>
      </c>
      <c r="R1238" s="3">
        <f>IF(AND($K1238=1,AND(对接源_02物料!$X38="公司筐",N(对接源_02物料!$U38)&lt;&gt;0)),1,0)</f>
        <v>0</v>
      </c>
      <c r="S1238" s="3">
        <f t="shared" si="336"/>
        <v>0</v>
      </c>
      <c r="T1238" s="3">
        <f>IF(AND($K1238=1,AND(对接源_02物料!$X38="公司筐",N(对接源_02物料!$V38)&lt;&gt;0)),1,0)</f>
        <v>0</v>
      </c>
      <c r="U1238" s="3">
        <f t="shared" si="337"/>
        <v>19</v>
      </c>
      <c r="V1238" s="3">
        <f>IF(AND($L1238=1,AND(对接源_02物料!$X38="自备筐",N(对接源_02物料!$V38)&lt;&gt;0)),1,0)</f>
        <v>0</v>
      </c>
      <c r="W1238" s="3">
        <f t="shared" si="338"/>
        <v>8</v>
      </c>
      <c r="X1238" s="3">
        <f>IF(AND($L1238=1,AND(对接源_02物料!$X38="自备筐",N(对接源_02物料!$T38)&lt;&gt;0)),1,0)</f>
        <v>0</v>
      </c>
      <c r="Y1238" s="3">
        <f t="shared" si="339"/>
        <v>0</v>
      </c>
      <c r="Z1238" s="3">
        <f>IF(AND($M1238=1,对接源_02物料!$D38="原料入库"),1,0)</f>
        <v>0</v>
      </c>
      <c r="AA1238" s="3">
        <f t="shared" si="340"/>
        <v>24</v>
      </c>
      <c r="AB1238" s="3">
        <f>IF(AND($M1238=1,LEFT(对接源_02物料!$D38,4)="原料出库"),1,0)</f>
        <v>0</v>
      </c>
      <c r="AC1238" s="3">
        <f t="shared" si="341"/>
        <v>0</v>
      </c>
      <c r="AD1238" s="3">
        <f>IF(AND($M1238=1,LEFT(对接源_02物料!$D38,4)="成品出库"),1,0)</f>
        <v>0</v>
      </c>
      <c r="AE1238" s="3">
        <f t="shared" si="342"/>
        <v>0</v>
      </c>
      <c r="AF1238" s="3">
        <f>IF(AND($N1238=1,AND(LEFT(对接源_02物料!$D38,4)="包装物料",N(对接源_02物料!$K38)&lt;&gt;0)),1,0)</f>
        <v>1</v>
      </c>
      <c r="AG1238" s="3">
        <f t="shared" si="343"/>
        <v>5</v>
      </c>
      <c r="AH1238" s="3">
        <f>IF(AND($N1238=1,AND(对接源_02物料!$D38="周转筐－销售出库",N(对接源_02物料!$K38)&lt;&gt;0)),1,0)</f>
        <v>0</v>
      </c>
      <c r="AI1238" s="3">
        <f t="shared" si="344"/>
        <v>0</v>
      </c>
      <c r="AL1238" s="3">
        <v>0</v>
      </c>
      <c r="AM1238" s="3">
        <f t="shared" si="345"/>
        <v>1</v>
      </c>
      <c r="AN1238" s="3" t="str">
        <f t="shared" si="332"/>
        <v/>
      </c>
      <c r="AO1238" s="3">
        <v>0</v>
      </c>
      <c r="AP1238" s="3">
        <f t="shared" si="346"/>
        <v>8</v>
      </c>
      <c r="AR1238">
        <f t="shared" si="347"/>
        <v>1</v>
      </c>
      <c r="AS1238">
        <f t="shared" si="348"/>
        <v>5</v>
      </c>
    </row>
    <row r="1239" customHeight="1" spans="1:45">
      <c r="A1239" s="3" t="str">
        <f>IF(对接源_02物料!$C39="","",对接源_02物料!$C39)</f>
        <v>努尔敦</v>
      </c>
      <c r="B1239" s="3">
        <f t="shared" si="333"/>
        <v>0</v>
      </c>
      <c r="C1239" s="3">
        <f t="shared" si="334"/>
        <v>20</v>
      </c>
      <c r="K1239" s="3">
        <f>IF(OR($K$1="",对接源_02物料!$C39="",对接源_02物料!$C39&lt;&gt;$K$1,对接源_02物料!$B39=""),0,IF(OR(N(对接源_02物料!$B39)&lt;$K$2,N(对接源_02物料!$B39)&gt;$K$3),0,1))</f>
        <v>0</v>
      </c>
      <c r="L1239" s="3">
        <f>IF(OR($L$1="",对接源_02物料!$C39="",对接源_02物料!$C39&lt;&gt;$L$1,对接源_02物料!$B39=""),0,IF(OR(N(对接源_02物料!$B39)&lt;$L$2,N(对接源_02物料!$B39)&gt;$L$3),0,1))</f>
        <v>0</v>
      </c>
      <c r="M1239" s="3">
        <f>IF(OR($M$1="",对接源_02物料!$C39="",对接源_02物料!$C39&lt;&gt;$M$1,对接源_02物料!$B39=""),0,IF(OR(N(对接源_02物料!$B39)&lt;$M$2,N(对接源_02物料!$B39)&gt;$M$3),0,1))</f>
        <v>0</v>
      </c>
      <c r="N1239" s="3">
        <f>IF(OR($N$1="",对接源_02物料!$C39="",对接源_02物料!$C39&lt;&gt;$N$1,对接源_02物料!$B39=""),0,IF(OR(N(对接源_02物料!$B39)&lt;$N$2,N(对接源_02物料!$B39)&gt;$N$3),0,1))</f>
        <v>0</v>
      </c>
      <c r="P1239" s="3">
        <f>IF(AND($K1239=1,AND(对接源_02物料!$X39="公司筐",N(对接源_02物料!$T39)&lt;&gt;0)),1,0)</f>
        <v>0</v>
      </c>
      <c r="Q1239" s="3">
        <f t="shared" si="335"/>
        <v>0</v>
      </c>
      <c r="R1239" s="3">
        <f>IF(AND($K1239=1,AND(对接源_02物料!$X39="公司筐",N(对接源_02物料!$U39)&lt;&gt;0)),1,0)</f>
        <v>0</v>
      </c>
      <c r="S1239" s="3">
        <f t="shared" si="336"/>
        <v>0</v>
      </c>
      <c r="T1239" s="3">
        <f>IF(AND($K1239=1,AND(对接源_02物料!$X39="公司筐",N(对接源_02物料!$V39)&lt;&gt;0)),1,0)</f>
        <v>0</v>
      </c>
      <c r="U1239" s="3">
        <f t="shared" si="337"/>
        <v>19</v>
      </c>
      <c r="V1239" s="3">
        <f>IF(AND($L1239=1,AND(对接源_02物料!$X39="自备筐",N(对接源_02物料!$V39)&lt;&gt;0)),1,0)</f>
        <v>0</v>
      </c>
      <c r="W1239" s="3">
        <f t="shared" si="338"/>
        <v>8</v>
      </c>
      <c r="X1239" s="3">
        <f>IF(AND($L1239=1,AND(对接源_02物料!$X39="自备筐",N(对接源_02物料!$T39)&lt;&gt;0)),1,0)</f>
        <v>0</v>
      </c>
      <c r="Y1239" s="3">
        <f t="shared" si="339"/>
        <v>0</v>
      </c>
      <c r="Z1239" s="3">
        <f>IF(AND($M1239=1,对接源_02物料!$D39="原料入库"),1,0)</f>
        <v>0</v>
      </c>
      <c r="AA1239" s="3">
        <f t="shared" si="340"/>
        <v>24</v>
      </c>
      <c r="AB1239" s="3">
        <f>IF(AND($M1239=1,LEFT(对接源_02物料!$D39,4)="原料出库"),1,0)</f>
        <v>0</v>
      </c>
      <c r="AC1239" s="3">
        <f t="shared" si="341"/>
        <v>0</v>
      </c>
      <c r="AD1239" s="3">
        <f>IF(AND($M1239=1,LEFT(对接源_02物料!$D39,4)="成品出库"),1,0)</f>
        <v>0</v>
      </c>
      <c r="AE1239" s="3">
        <f t="shared" si="342"/>
        <v>0</v>
      </c>
      <c r="AF1239" s="3">
        <f>IF(AND($N1239=1,AND(LEFT(对接源_02物料!$D39,4)="包装物料",N(对接源_02物料!$K39)&lt;&gt;0)),1,0)</f>
        <v>0</v>
      </c>
      <c r="AG1239" s="3">
        <f t="shared" si="343"/>
        <v>5</v>
      </c>
      <c r="AH1239" s="3">
        <f>IF(AND($N1239=1,AND(对接源_02物料!$D39="周转筐－销售出库",N(对接源_02物料!$K39)&lt;&gt;0)),1,0)</f>
        <v>0</v>
      </c>
      <c r="AI1239" s="3">
        <f t="shared" si="344"/>
        <v>0</v>
      </c>
      <c r="AL1239" s="3">
        <v>0</v>
      </c>
      <c r="AM1239" s="3">
        <f t="shared" si="345"/>
        <v>1</v>
      </c>
      <c r="AN1239" s="3" t="str">
        <f t="shared" si="332"/>
        <v/>
      </c>
      <c r="AO1239" s="3">
        <v>0</v>
      </c>
      <c r="AP1239" s="3">
        <f t="shared" si="346"/>
        <v>8</v>
      </c>
      <c r="AR1239">
        <f t="shared" si="347"/>
        <v>0</v>
      </c>
      <c r="AS1239">
        <f t="shared" si="348"/>
        <v>5</v>
      </c>
    </row>
    <row r="1240" customHeight="1" spans="1:45">
      <c r="A1240" s="3" t="str">
        <f>IF(对接源_02物料!$C40="","",对接源_02物料!$C40)</f>
        <v>新顺发泡网</v>
      </c>
      <c r="B1240" s="3">
        <f t="shared" si="333"/>
        <v>0</v>
      </c>
      <c r="C1240" s="3">
        <f t="shared" si="334"/>
        <v>20</v>
      </c>
      <c r="K1240" s="3">
        <f>IF(OR($K$1="",对接源_02物料!$C40="",对接源_02物料!$C40&lt;&gt;$K$1,对接源_02物料!$B40=""),0,IF(OR(N(对接源_02物料!$B40)&lt;$K$2,N(对接源_02物料!$B40)&gt;$K$3),0,1))</f>
        <v>0</v>
      </c>
      <c r="L1240" s="3">
        <f>IF(OR($L$1="",对接源_02物料!$C40="",对接源_02物料!$C40&lt;&gt;$L$1,对接源_02物料!$B40=""),0,IF(OR(N(对接源_02物料!$B40)&lt;$L$2,N(对接源_02物料!$B40)&gt;$L$3),0,1))</f>
        <v>0</v>
      </c>
      <c r="M1240" s="3">
        <f>IF(OR($M$1="",对接源_02物料!$C40="",对接源_02物料!$C40&lt;&gt;$M$1,对接源_02物料!$B40=""),0,IF(OR(N(对接源_02物料!$B40)&lt;$M$2,N(对接源_02物料!$B40)&gt;$M$3),0,1))</f>
        <v>0</v>
      </c>
      <c r="N1240" s="3">
        <f>IF(OR($N$1="",对接源_02物料!$C40="",对接源_02物料!$C40&lt;&gt;$N$1,对接源_02物料!$B40=""),0,IF(OR(N(对接源_02物料!$B40)&lt;$N$2,N(对接源_02物料!$B40)&gt;$N$3),0,1))</f>
        <v>0</v>
      </c>
      <c r="P1240" s="3">
        <f>IF(AND($K1240=1,AND(对接源_02物料!$X40="公司筐",N(对接源_02物料!$T40)&lt;&gt;0)),1,0)</f>
        <v>0</v>
      </c>
      <c r="Q1240" s="3">
        <f t="shared" si="335"/>
        <v>0</v>
      </c>
      <c r="R1240" s="3">
        <f>IF(AND($K1240=1,AND(对接源_02物料!$X40="公司筐",N(对接源_02物料!$U40)&lt;&gt;0)),1,0)</f>
        <v>0</v>
      </c>
      <c r="S1240" s="3">
        <f t="shared" si="336"/>
        <v>0</v>
      </c>
      <c r="T1240" s="3">
        <f>IF(AND($K1240=1,AND(对接源_02物料!$X40="公司筐",N(对接源_02物料!$V40)&lt;&gt;0)),1,0)</f>
        <v>0</v>
      </c>
      <c r="U1240" s="3">
        <f t="shared" si="337"/>
        <v>19</v>
      </c>
      <c r="V1240" s="3">
        <f>IF(AND($L1240=1,AND(对接源_02物料!$X40="自备筐",N(对接源_02物料!$V40)&lt;&gt;0)),1,0)</f>
        <v>0</v>
      </c>
      <c r="W1240" s="3">
        <f t="shared" si="338"/>
        <v>8</v>
      </c>
      <c r="X1240" s="3">
        <f>IF(AND($L1240=1,AND(对接源_02物料!$X40="自备筐",N(对接源_02物料!$T40)&lt;&gt;0)),1,0)</f>
        <v>0</v>
      </c>
      <c r="Y1240" s="3">
        <f t="shared" si="339"/>
        <v>0</v>
      </c>
      <c r="Z1240" s="3">
        <f>IF(AND($M1240=1,对接源_02物料!$D40="原料入库"),1,0)</f>
        <v>0</v>
      </c>
      <c r="AA1240" s="3">
        <f t="shared" si="340"/>
        <v>24</v>
      </c>
      <c r="AB1240" s="3">
        <f>IF(AND($M1240=1,LEFT(对接源_02物料!$D40,4)="原料出库"),1,0)</f>
        <v>0</v>
      </c>
      <c r="AC1240" s="3">
        <f t="shared" si="341"/>
        <v>0</v>
      </c>
      <c r="AD1240" s="3">
        <f>IF(AND($M1240=1,LEFT(对接源_02物料!$D40,4)="成品出库"),1,0)</f>
        <v>0</v>
      </c>
      <c r="AE1240" s="3">
        <f t="shared" si="342"/>
        <v>0</v>
      </c>
      <c r="AF1240" s="3">
        <f>IF(AND($N1240=1,AND(LEFT(对接源_02物料!$D40,4)="包装物料",N(对接源_02物料!$K40)&lt;&gt;0)),1,0)</f>
        <v>0</v>
      </c>
      <c r="AG1240" s="3">
        <f t="shared" si="343"/>
        <v>5</v>
      </c>
      <c r="AH1240" s="3">
        <f>IF(AND($N1240=1,AND(对接源_02物料!$D40="周转筐－销售出库",N(对接源_02物料!$K40)&lt;&gt;0)),1,0)</f>
        <v>0</v>
      </c>
      <c r="AI1240" s="3">
        <f t="shared" si="344"/>
        <v>0</v>
      </c>
      <c r="AL1240" s="3">
        <v>0</v>
      </c>
      <c r="AM1240" s="3">
        <f t="shared" si="345"/>
        <v>1</v>
      </c>
      <c r="AN1240" s="3" t="str">
        <f t="shared" si="332"/>
        <v/>
      </c>
      <c r="AO1240" s="3">
        <v>0</v>
      </c>
      <c r="AP1240" s="3">
        <f t="shared" si="346"/>
        <v>8</v>
      </c>
      <c r="AR1240">
        <f t="shared" si="347"/>
        <v>0</v>
      </c>
      <c r="AS1240">
        <f t="shared" si="348"/>
        <v>5</v>
      </c>
    </row>
    <row r="1241" customHeight="1" spans="1:45">
      <c r="A1241" s="3" t="str">
        <f>IF(对接源_02物料!$C41="","",对接源_02物料!$C41)</f>
        <v>新顺发泡网</v>
      </c>
      <c r="B1241" s="3">
        <f t="shared" si="333"/>
        <v>0</v>
      </c>
      <c r="C1241" s="3">
        <f t="shared" si="334"/>
        <v>20</v>
      </c>
      <c r="K1241" s="3">
        <f>IF(OR($K$1="",对接源_02物料!$C41="",对接源_02物料!$C41&lt;&gt;$K$1,对接源_02物料!$B41=""),0,IF(OR(N(对接源_02物料!$B41)&lt;$K$2,N(对接源_02物料!$B41)&gt;$K$3),0,1))</f>
        <v>0</v>
      </c>
      <c r="L1241" s="3">
        <f>IF(OR($L$1="",对接源_02物料!$C41="",对接源_02物料!$C41&lt;&gt;$L$1,对接源_02物料!$B41=""),0,IF(OR(N(对接源_02物料!$B41)&lt;$L$2,N(对接源_02物料!$B41)&gt;$L$3),0,1))</f>
        <v>0</v>
      </c>
      <c r="M1241" s="3">
        <f>IF(OR($M$1="",对接源_02物料!$C41="",对接源_02物料!$C41&lt;&gt;$M$1,对接源_02物料!$B41=""),0,IF(OR(N(对接源_02物料!$B41)&lt;$M$2,N(对接源_02物料!$B41)&gt;$M$3),0,1))</f>
        <v>0</v>
      </c>
      <c r="N1241" s="3">
        <f>IF(OR($N$1="",对接源_02物料!$C41="",对接源_02物料!$C41&lt;&gt;$N$1,对接源_02物料!$B41=""),0,IF(OR(N(对接源_02物料!$B41)&lt;$N$2,N(对接源_02物料!$B41)&gt;$N$3),0,1))</f>
        <v>0</v>
      </c>
      <c r="P1241" s="3">
        <f>IF(AND($K1241=1,AND(对接源_02物料!$X41="公司筐",N(对接源_02物料!$T41)&lt;&gt;0)),1,0)</f>
        <v>0</v>
      </c>
      <c r="Q1241" s="3">
        <f t="shared" si="335"/>
        <v>0</v>
      </c>
      <c r="R1241" s="3">
        <f>IF(AND($K1241=1,AND(对接源_02物料!$X41="公司筐",N(对接源_02物料!$U41)&lt;&gt;0)),1,0)</f>
        <v>0</v>
      </c>
      <c r="S1241" s="3">
        <f t="shared" si="336"/>
        <v>0</v>
      </c>
      <c r="T1241" s="3">
        <f>IF(AND($K1241=1,AND(对接源_02物料!$X41="公司筐",N(对接源_02物料!$V41)&lt;&gt;0)),1,0)</f>
        <v>0</v>
      </c>
      <c r="U1241" s="3">
        <f t="shared" si="337"/>
        <v>19</v>
      </c>
      <c r="V1241" s="3">
        <f>IF(AND($L1241=1,AND(对接源_02物料!$X41="自备筐",N(对接源_02物料!$V41)&lt;&gt;0)),1,0)</f>
        <v>0</v>
      </c>
      <c r="W1241" s="3">
        <f t="shared" si="338"/>
        <v>8</v>
      </c>
      <c r="X1241" s="3">
        <f>IF(AND($L1241=1,AND(对接源_02物料!$X41="自备筐",N(对接源_02物料!$T41)&lt;&gt;0)),1,0)</f>
        <v>0</v>
      </c>
      <c r="Y1241" s="3">
        <f t="shared" si="339"/>
        <v>0</v>
      </c>
      <c r="Z1241" s="3">
        <f>IF(AND($M1241=1,对接源_02物料!$D41="原料入库"),1,0)</f>
        <v>0</v>
      </c>
      <c r="AA1241" s="3">
        <f t="shared" si="340"/>
        <v>24</v>
      </c>
      <c r="AB1241" s="3">
        <f>IF(AND($M1241=1,LEFT(对接源_02物料!$D41,4)="原料出库"),1,0)</f>
        <v>0</v>
      </c>
      <c r="AC1241" s="3">
        <f t="shared" si="341"/>
        <v>0</v>
      </c>
      <c r="AD1241" s="3">
        <f>IF(AND($M1241=1,LEFT(对接源_02物料!$D41,4)="成品出库"),1,0)</f>
        <v>0</v>
      </c>
      <c r="AE1241" s="3">
        <f t="shared" si="342"/>
        <v>0</v>
      </c>
      <c r="AF1241" s="3">
        <f>IF(AND($N1241=1,AND(LEFT(对接源_02物料!$D41,4)="包装物料",N(对接源_02物料!$K41)&lt;&gt;0)),1,0)</f>
        <v>0</v>
      </c>
      <c r="AG1241" s="3">
        <f t="shared" si="343"/>
        <v>5</v>
      </c>
      <c r="AH1241" s="3">
        <f>IF(AND($N1241=1,AND(对接源_02物料!$D41="周转筐－销售出库",N(对接源_02物料!$K41)&lt;&gt;0)),1,0)</f>
        <v>0</v>
      </c>
      <c r="AI1241" s="3">
        <f t="shared" si="344"/>
        <v>0</v>
      </c>
      <c r="AL1241" s="3">
        <v>0</v>
      </c>
      <c r="AM1241" s="3">
        <f t="shared" si="345"/>
        <v>1</v>
      </c>
      <c r="AN1241" s="3" t="str">
        <f t="shared" si="332"/>
        <v/>
      </c>
      <c r="AO1241" s="3">
        <v>0</v>
      </c>
      <c r="AP1241" s="3">
        <f t="shared" si="346"/>
        <v>8</v>
      </c>
      <c r="AR1241">
        <f t="shared" si="347"/>
        <v>0</v>
      </c>
      <c r="AS1241">
        <f t="shared" si="348"/>
        <v>5</v>
      </c>
    </row>
    <row r="1242" customHeight="1" spans="1:45">
      <c r="A1242" s="3" t="str">
        <f>IF(对接源_02物料!$C42="","",对接源_02物料!$C42)</f>
        <v>新顺发泡网</v>
      </c>
      <c r="B1242" s="3">
        <f t="shared" si="333"/>
        <v>0</v>
      </c>
      <c r="C1242" s="3">
        <f t="shared" si="334"/>
        <v>20</v>
      </c>
      <c r="K1242" s="3">
        <f>IF(OR($K$1="",对接源_02物料!$C42="",对接源_02物料!$C42&lt;&gt;$K$1,对接源_02物料!$B42=""),0,IF(OR(N(对接源_02物料!$B42)&lt;$K$2,N(对接源_02物料!$B42)&gt;$K$3),0,1))</f>
        <v>0</v>
      </c>
      <c r="L1242" s="3">
        <f>IF(OR($L$1="",对接源_02物料!$C42="",对接源_02物料!$C42&lt;&gt;$L$1,对接源_02物料!$B42=""),0,IF(OR(N(对接源_02物料!$B42)&lt;$L$2,N(对接源_02物料!$B42)&gt;$L$3),0,1))</f>
        <v>0</v>
      </c>
      <c r="M1242" s="3">
        <f>IF(OR($M$1="",对接源_02物料!$C42="",对接源_02物料!$C42&lt;&gt;$M$1,对接源_02物料!$B42=""),0,IF(OR(N(对接源_02物料!$B42)&lt;$M$2,N(对接源_02物料!$B42)&gt;$M$3),0,1))</f>
        <v>0</v>
      </c>
      <c r="N1242" s="3">
        <f>IF(OR($N$1="",对接源_02物料!$C42="",对接源_02物料!$C42&lt;&gt;$N$1,对接源_02物料!$B42=""),0,IF(OR(N(对接源_02物料!$B42)&lt;$N$2,N(对接源_02物料!$B42)&gt;$N$3),0,1))</f>
        <v>0</v>
      </c>
      <c r="P1242" s="3">
        <f>IF(AND($K1242=1,AND(对接源_02物料!$X42="公司筐",N(对接源_02物料!$T42)&lt;&gt;0)),1,0)</f>
        <v>0</v>
      </c>
      <c r="Q1242" s="3">
        <f t="shared" si="335"/>
        <v>0</v>
      </c>
      <c r="R1242" s="3">
        <f>IF(AND($K1242=1,AND(对接源_02物料!$X42="公司筐",N(对接源_02物料!$U42)&lt;&gt;0)),1,0)</f>
        <v>0</v>
      </c>
      <c r="S1242" s="3">
        <f t="shared" si="336"/>
        <v>0</v>
      </c>
      <c r="T1242" s="3">
        <f>IF(AND($K1242=1,AND(对接源_02物料!$X42="公司筐",N(对接源_02物料!$V42)&lt;&gt;0)),1,0)</f>
        <v>0</v>
      </c>
      <c r="U1242" s="3">
        <f t="shared" si="337"/>
        <v>19</v>
      </c>
      <c r="V1242" s="3">
        <f>IF(AND($L1242=1,AND(对接源_02物料!$X42="自备筐",N(对接源_02物料!$V42)&lt;&gt;0)),1,0)</f>
        <v>0</v>
      </c>
      <c r="W1242" s="3">
        <f t="shared" si="338"/>
        <v>8</v>
      </c>
      <c r="X1242" s="3">
        <f>IF(AND($L1242=1,AND(对接源_02物料!$X42="自备筐",N(对接源_02物料!$T42)&lt;&gt;0)),1,0)</f>
        <v>0</v>
      </c>
      <c r="Y1242" s="3">
        <f t="shared" si="339"/>
        <v>0</v>
      </c>
      <c r="Z1242" s="3">
        <f>IF(AND($M1242=1,对接源_02物料!$D42="原料入库"),1,0)</f>
        <v>0</v>
      </c>
      <c r="AA1242" s="3">
        <f t="shared" si="340"/>
        <v>24</v>
      </c>
      <c r="AB1242" s="3">
        <f>IF(AND($M1242=1,LEFT(对接源_02物料!$D42,4)="原料出库"),1,0)</f>
        <v>0</v>
      </c>
      <c r="AC1242" s="3">
        <f t="shared" si="341"/>
        <v>0</v>
      </c>
      <c r="AD1242" s="3">
        <f>IF(AND($M1242=1,LEFT(对接源_02物料!$D42,4)="成品出库"),1,0)</f>
        <v>0</v>
      </c>
      <c r="AE1242" s="3">
        <f t="shared" si="342"/>
        <v>0</v>
      </c>
      <c r="AF1242" s="3">
        <f>IF(AND($N1242=1,AND(LEFT(对接源_02物料!$D42,4)="包装物料",N(对接源_02物料!$K42)&lt;&gt;0)),1,0)</f>
        <v>0</v>
      </c>
      <c r="AG1242" s="3">
        <f t="shared" si="343"/>
        <v>5</v>
      </c>
      <c r="AH1242" s="3">
        <f>IF(AND($N1242=1,AND(对接源_02物料!$D42="周转筐－销售出库",N(对接源_02物料!$K42)&lt;&gt;0)),1,0)</f>
        <v>0</v>
      </c>
      <c r="AI1242" s="3">
        <f t="shared" si="344"/>
        <v>0</v>
      </c>
      <c r="AL1242" s="3">
        <v>0</v>
      </c>
      <c r="AM1242" s="3">
        <f t="shared" si="345"/>
        <v>1</v>
      </c>
      <c r="AN1242" s="3" t="str">
        <f t="shared" si="332"/>
        <v/>
      </c>
      <c r="AO1242" s="3">
        <v>0</v>
      </c>
      <c r="AP1242" s="3">
        <f t="shared" si="346"/>
        <v>8</v>
      </c>
      <c r="AR1242">
        <f t="shared" si="347"/>
        <v>0</v>
      </c>
      <c r="AS1242">
        <f t="shared" si="348"/>
        <v>5</v>
      </c>
    </row>
    <row r="1243" customHeight="1" spans="1:45">
      <c r="A1243" s="3" t="str">
        <f>IF(对接源_02物料!$C43="","",对接源_02物料!$C43)</f>
        <v>热合曼</v>
      </c>
      <c r="B1243" s="3">
        <f t="shared" si="333"/>
        <v>0</v>
      </c>
      <c r="C1243" s="3">
        <f t="shared" si="334"/>
        <v>20</v>
      </c>
      <c r="K1243" s="3">
        <f>IF(OR($K$1="",对接源_02物料!$C43="",对接源_02物料!$C43&lt;&gt;$K$1,对接源_02物料!$B43=""),0,IF(OR(N(对接源_02物料!$B43)&lt;$K$2,N(对接源_02物料!$B43)&gt;$K$3),0,1))</f>
        <v>0</v>
      </c>
      <c r="L1243" s="3">
        <f>IF(OR($L$1="",对接源_02物料!$C43="",对接源_02物料!$C43&lt;&gt;$L$1,对接源_02物料!$B43=""),0,IF(OR(N(对接源_02物料!$B43)&lt;$L$2,N(对接源_02物料!$B43)&gt;$L$3),0,1))</f>
        <v>0</v>
      </c>
      <c r="M1243" s="3">
        <f>IF(OR($M$1="",对接源_02物料!$C43="",对接源_02物料!$C43&lt;&gt;$M$1,对接源_02物料!$B43=""),0,IF(OR(N(对接源_02物料!$B43)&lt;$M$2,N(对接源_02物料!$B43)&gt;$M$3),0,1))</f>
        <v>0</v>
      </c>
      <c r="N1243" s="3">
        <f>IF(OR($N$1="",对接源_02物料!$C43="",对接源_02物料!$C43&lt;&gt;$N$1,对接源_02物料!$B43=""),0,IF(OR(N(对接源_02物料!$B43)&lt;$N$2,N(对接源_02物料!$B43)&gt;$N$3),0,1))</f>
        <v>0</v>
      </c>
      <c r="P1243" s="3">
        <f>IF(AND($K1243=1,AND(对接源_02物料!$X43="公司筐",N(对接源_02物料!$T43)&lt;&gt;0)),1,0)</f>
        <v>0</v>
      </c>
      <c r="Q1243" s="3">
        <f t="shared" si="335"/>
        <v>0</v>
      </c>
      <c r="R1243" s="3">
        <f>IF(AND($K1243=1,AND(对接源_02物料!$X43="公司筐",N(对接源_02物料!$U43)&lt;&gt;0)),1,0)</f>
        <v>0</v>
      </c>
      <c r="S1243" s="3">
        <f t="shared" si="336"/>
        <v>0</v>
      </c>
      <c r="T1243" s="3">
        <f>IF(AND($K1243=1,AND(对接源_02物料!$X43="公司筐",N(对接源_02物料!$V43)&lt;&gt;0)),1,0)</f>
        <v>0</v>
      </c>
      <c r="U1243" s="3">
        <f t="shared" si="337"/>
        <v>19</v>
      </c>
      <c r="V1243" s="3">
        <f>IF(AND($L1243=1,AND(对接源_02物料!$X43="自备筐",N(对接源_02物料!$V43)&lt;&gt;0)),1,0)</f>
        <v>0</v>
      </c>
      <c r="W1243" s="3">
        <f t="shared" si="338"/>
        <v>8</v>
      </c>
      <c r="X1243" s="3">
        <f>IF(AND($L1243=1,AND(对接源_02物料!$X43="自备筐",N(对接源_02物料!$T43)&lt;&gt;0)),1,0)</f>
        <v>0</v>
      </c>
      <c r="Y1243" s="3">
        <f t="shared" si="339"/>
        <v>0</v>
      </c>
      <c r="Z1243" s="3">
        <f>IF(AND($M1243=1,对接源_02物料!$D43="原料入库"),1,0)</f>
        <v>0</v>
      </c>
      <c r="AA1243" s="3">
        <f t="shared" si="340"/>
        <v>24</v>
      </c>
      <c r="AB1243" s="3">
        <f>IF(AND($M1243=1,LEFT(对接源_02物料!$D43,4)="原料出库"),1,0)</f>
        <v>0</v>
      </c>
      <c r="AC1243" s="3">
        <f t="shared" si="341"/>
        <v>0</v>
      </c>
      <c r="AD1243" s="3">
        <f>IF(AND($M1243=1,LEFT(对接源_02物料!$D43,4)="成品出库"),1,0)</f>
        <v>0</v>
      </c>
      <c r="AE1243" s="3">
        <f t="shared" si="342"/>
        <v>0</v>
      </c>
      <c r="AF1243" s="3">
        <f>IF(AND($N1243=1,AND(LEFT(对接源_02物料!$D43,4)="包装物料",N(对接源_02物料!$K43)&lt;&gt;0)),1,0)</f>
        <v>0</v>
      </c>
      <c r="AG1243" s="3">
        <f t="shared" si="343"/>
        <v>5</v>
      </c>
      <c r="AH1243" s="3">
        <f>IF(AND($N1243=1,AND(对接源_02物料!$D43="周转筐－销售出库",N(对接源_02物料!$K43)&lt;&gt;0)),1,0)</f>
        <v>0</v>
      </c>
      <c r="AI1243" s="3">
        <f t="shared" si="344"/>
        <v>0</v>
      </c>
      <c r="AL1243" s="3">
        <v>0</v>
      </c>
      <c r="AM1243" s="3">
        <f t="shared" si="345"/>
        <v>1</v>
      </c>
      <c r="AN1243" s="3" t="str">
        <f t="shared" si="332"/>
        <v/>
      </c>
      <c r="AO1243" s="3">
        <v>0</v>
      </c>
      <c r="AP1243" s="3">
        <f t="shared" si="346"/>
        <v>8</v>
      </c>
      <c r="AR1243">
        <f t="shared" si="347"/>
        <v>0</v>
      </c>
      <c r="AS1243">
        <f t="shared" si="348"/>
        <v>5</v>
      </c>
    </row>
    <row r="1244" customHeight="1" spans="1:45">
      <c r="A1244" s="3" t="str">
        <f>IF(对接源_02物料!$C44="","",对接源_02物料!$C44)</f>
        <v>努尔敦</v>
      </c>
      <c r="B1244" s="3">
        <f t="shared" si="333"/>
        <v>0</v>
      </c>
      <c r="C1244" s="3">
        <f t="shared" si="334"/>
        <v>20</v>
      </c>
      <c r="K1244" s="3">
        <f>IF(OR($K$1="",对接源_02物料!$C44="",对接源_02物料!$C44&lt;&gt;$K$1,对接源_02物料!$B44=""),0,IF(OR(N(对接源_02物料!$B44)&lt;$K$2,N(对接源_02物料!$B44)&gt;$K$3),0,1))</f>
        <v>0</v>
      </c>
      <c r="L1244" s="3">
        <f>IF(OR($L$1="",对接源_02物料!$C44="",对接源_02物料!$C44&lt;&gt;$L$1,对接源_02物料!$B44=""),0,IF(OR(N(对接源_02物料!$B44)&lt;$L$2,N(对接源_02物料!$B44)&gt;$L$3),0,1))</f>
        <v>0</v>
      </c>
      <c r="M1244" s="3">
        <f>IF(OR($M$1="",对接源_02物料!$C44="",对接源_02物料!$C44&lt;&gt;$M$1,对接源_02物料!$B44=""),0,IF(OR(N(对接源_02物料!$B44)&lt;$M$2,N(对接源_02物料!$B44)&gt;$M$3),0,1))</f>
        <v>0</v>
      </c>
      <c r="N1244" s="3">
        <f>IF(OR($N$1="",对接源_02物料!$C44="",对接源_02物料!$C44&lt;&gt;$N$1,对接源_02物料!$B44=""),0,IF(OR(N(对接源_02物料!$B44)&lt;$N$2,N(对接源_02物料!$B44)&gt;$N$3),0,1))</f>
        <v>0</v>
      </c>
      <c r="P1244" s="3">
        <f>IF(AND($K1244=1,AND(对接源_02物料!$X44="公司筐",N(对接源_02物料!$T44)&lt;&gt;0)),1,0)</f>
        <v>0</v>
      </c>
      <c r="Q1244" s="3">
        <f t="shared" si="335"/>
        <v>0</v>
      </c>
      <c r="R1244" s="3">
        <f>IF(AND($K1244=1,AND(对接源_02物料!$X44="公司筐",N(对接源_02物料!$U44)&lt;&gt;0)),1,0)</f>
        <v>0</v>
      </c>
      <c r="S1244" s="3">
        <f t="shared" si="336"/>
        <v>0</v>
      </c>
      <c r="T1244" s="3">
        <f>IF(AND($K1244=1,AND(对接源_02物料!$X44="公司筐",N(对接源_02物料!$V44)&lt;&gt;0)),1,0)</f>
        <v>0</v>
      </c>
      <c r="U1244" s="3">
        <f t="shared" si="337"/>
        <v>19</v>
      </c>
      <c r="V1244" s="3">
        <f>IF(AND($L1244=1,AND(对接源_02物料!$X44="自备筐",N(对接源_02物料!$V44)&lt;&gt;0)),1,0)</f>
        <v>0</v>
      </c>
      <c r="W1244" s="3">
        <f t="shared" si="338"/>
        <v>8</v>
      </c>
      <c r="X1244" s="3">
        <f>IF(AND($L1244=1,AND(对接源_02物料!$X44="自备筐",N(对接源_02物料!$T44)&lt;&gt;0)),1,0)</f>
        <v>0</v>
      </c>
      <c r="Y1244" s="3">
        <f t="shared" si="339"/>
        <v>0</v>
      </c>
      <c r="Z1244" s="3">
        <f>IF(AND($M1244=1,对接源_02物料!$D44="原料入库"),1,0)</f>
        <v>0</v>
      </c>
      <c r="AA1244" s="3">
        <f t="shared" si="340"/>
        <v>24</v>
      </c>
      <c r="AB1244" s="3">
        <f>IF(AND($M1244=1,LEFT(对接源_02物料!$D44,4)="原料出库"),1,0)</f>
        <v>0</v>
      </c>
      <c r="AC1244" s="3">
        <f t="shared" si="341"/>
        <v>0</v>
      </c>
      <c r="AD1244" s="3">
        <f>IF(AND($M1244=1,LEFT(对接源_02物料!$D44,4)="成品出库"),1,0)</f>
        <v>0</v>
      </c>
      <c r="AE1244" s="3">
        <f t="shared" si="342"/>
        <v>0</v>
      </c>
      <c r="AF1244" s="3">
        <f>IF(AND($N1244=1,AND(LEFT(对接源_02物料!$D44,4)="包装物料",N(对接源_02物料!$K44)&lt;&gt;0)),1,0)</f>
        <v>0</v>
      </c>
      <c r="AG1244" s="3">
        <f t="shared" si="343"/>
        <v>5</v>
      </c>
      <c r="AH1244" s="3">
        <f>IF(AND($N1244=1,AND(对接源_02物料!$D44="周转筐－销售出库",N(对接源_02物料!$K44)&lt;&gt;0)),1,0)</f>
        <v>0</v>
      </c>
      <c r="AI1244" s="3">
        <f t="shared" si="344"/>
        <v>0</v>
      </c>
      <c r="AL1244" s="3">
        <v>0</v>
      </c>
      <c r="AM1244" s="3">
        <f t="shared" si="345"/>
        <v>1</v>
      </c>
      <c r="AN1244" s="3" t="str">
        <f t="shared" si="332"/>
        <v/>
      </c>
      <c r="AO1244" s="3">
        <v>0</v>
      </c>
      <c r="AP1244" s="3">
        <f t="shared" si="346"/>
        <v>8</v>
      </c>
      <c r="AR1244">
        <f t="shared" si="347"/>
        <v>0</v>
      </c>
      <c r="AS1244">
        <f t="shared" si="348"/>
        <v>5</v>
      </c>
    </row>
    <row r="1245" customHeight="1" spans="1:45">
      <c r="A1245" s="3" t="str">
        <f>IF(对接源_02物料!$C45="","",对接源_02物料!$C45)</f>
        <v>热合曼</v>
      </c>
      <c r="B1245" s="3">
        <f t="shared" si="333"/>
        <v>0</v>
      </c>
      <c r="C1245" s="3">
        <f t="shared" si="334"/>
        <v>20</v>
      </c>
      <c r="K1245" s="3">
        <f>IF(OR($K$1="",对接源_02物料!$C45="",对接源_02物料!$C45&lt;&gt;$K$1,对接源_02物料!$B45=""),0,IF(OR(N(对接源_02物料!$B45)&lt;$K$2,N(对接源_02物料!$B45)&gt;$K$3),0,1))</f>
        <v>0</v>
      </c>
      <c r="L1245" s="3">
        <f>IF(OR($L$1="",对接源_02物料!$C45="",对接源_02物料!$C45&lt;&gt;$L$1,对接源_02物料!$B45=""),0,IF(OR(N(对接源_02物料!$B45)&lt;$L$2,N(对接源_02物料!$B45)&gt;$L$3),0,1))</f>
        <v>0</v>
      </c>
      <c r="M1245" s="3">
        <f>IF(OR($M$1="",对接源_02物料!$C45="",对接源_02物料!$C45&lt;&gt;$M$1,对接源_02物料!$B45=""),0,IF(OR(N(对接源_02物料!$B45)&lt;$M$2,N(对接源_02物料!$B45)&gt;$M$3),0,1))</f>
        <v>0</v>
      </c>
      <c r="N1245" s="3">
        <f>IF(OR($N$1="",对接源_02物料!$C45="",对接源_02物料!$C45&lt;&gt;$N$1,对接源_02物料!$B45=""),0,IF(OR(N(对接源_02物料!$B45)&lt;$N$2,N(对接源_02物料!$B45)&gt;$N$3),0,1))</f>
        <v>0</v>
      </c>
      <c r="P1245" s="3">
        <f>IF(AND($K1245=1,AND(对接源_02物料!$X45="公司筐",N(对接源_02物料!$T45)&lt;&gt;0)),1,0)</f>
        <v>0</v>
      </c>
      <c r="Q1245" s="3">
        <f t="shared" si="335"/>
        <v>0</v>
      </c>
      <c r="R1245" s="3">
        <f>IF(AND($K1245=1,AND(对接源_02物料!$X45="公司筐",N(对接源_02物料!$U45)&lt;&gt;0)),1,0)</f>
        <v>0</v>
      </c>
      <c r="S1245" s="3">
        <f t="shared" si="336"/>
        <v>0</v>
      </c>
      <c r="T1245" s="3">
        <f>IF(AND($K1245=1,AND(对接源_02物料!$X45="公司筐",N(对接源_02物料!$V45)&lt;&gt;0)),1,0)</f>
        <v>0</v>
      </c>
      <c r="U1245" s="3">
        <f t="shared" si="337"/>
        <v>19</v>
      </c>
      <c r="V1245" s="3">
        <f>IF(AND($L1245=1,AND(对接源_02物料!$X45="自备筐",N(对接源_02物料!$V45)&lt;&gt;0)),1,0)</f>
        <v>0</v>
      </c>
      <c r="W1245" s="3">
        <f t="shared" si="338"/>
        <v>8</v>
      </c>
      <c r="X1245" s="3">
        <f>IF(AND($L1245=1,AND(对接源_02物料!$X45="自备筐",N(对接源_02物料!$T45)&lt;&gt;0)),1,0)</f>
        <v>0</v>
      </c>
      <c r="Y1245" s="3">
        <f t="shared" si="339"/>
        <v>0</v>
      </c>
      <c r="Z1245" s="3">
        <f>IF(AND($M1245=1,对接源_02物料!$D45="原料入库"),1,0)</f>
        <v>0</v>
      </c>
      <c r="AA1245" s="3">
        <f t="shared" si="340"/>
        <v>24</v>
      </c>
      <c r="AB1245" s="3">
        <f>IF(AND($M1245=1,LEFT(对接源_02物料!$D45,4)="原料出库"),1,0)</f>
        <v>0</v>
      </c>
      <c r="AC1245" s="3">
        <f t="shared" si="341"/>
        <v>0</v>
      </c>
      <c r="AD1245" s="3">
        <f>IF(AND($M1245=1,LEFT(对接源_02物料!$D45,4)="成品出库"),1,0)</f>
        <v>0</v>
      </c>
      <c r="AE1245" s="3">
        <f t="shared" si="342"/>
        <v>0</v>
      </c>
      <c r="AF1245" s="3">
        <f>IF(AND($N1245=1,AND(LEFT(对接源_02物料!$D45,4)="包装物料",N(对接源_02物料!$K45)&lt;&gt;0)),1,0)</f>
        <v>0</v>
      </c>
      <c r="AG1245" s="3">
        <f t="shared" si="343"/>
        <v>5</v>
      </c>
      <c r="AH1245" s="3">
        <f>IF(AND($N1245=1,AND(对接源_02物料!$D45="周转筐－销售出库",N(对接源_02物料!$K45)&lt;&gt;0)),1,0)</f>
        <v>0</v>
      </c>
      <c r="AI1245" s="3">
        <f t="shared" si="344"/>
        <v>0</v>
      </c>
      <c r="AL1245" s="3">
        <v>0</v>
      </c>
      <c r="AM1245" s="3">
        <f t="shared" si="345"/>
        <v>1</v>
      </c>
      <c r="AN1245" s="3" t="str">
        <f t="shared" si="332"/>
        <v/>
      </c>
      <c r="AO1245" s="3">
        <v>0</v>
      </c>
      <c r="AP1245" s="3">
        <f t="shared" si="346"/>
        <v>8</v>
      </c>
      <c r="AR1245">
        <f t="shared" si="347"/>
        <v>0</v>
      </c>
      <c r="AS1245">
        <f t="shared" si="348"/>
        <v>5</v>
      </c>
    </row>
    <row r="1246" customHeight="1" spans="1:45">
      <c r="A1246" s="3" t="str">
        <f>IF(对接源_02物料!$C46="","",对接源_02物料!$C46)</f>
        <v>努尔敦</v>
      </c>
      <c r="B1246" s="3">
        <f t="shared" si="333"/>
        <v>0</v>
      </c>
      <c r="C1246" s="3">
        <f t="shared" si="334"/>
        <v>20</v>
      </c>
      <c r="K1246" s="3">
        <f>IF(OR($K$1="",对接源_02物料!$C46="",对接源_02物料!$C46&lt;&gt;$K$1,对接源_02物料!$B46=""),0,IF(OR(N(对接源_02物料!$B46)&lt;$K$2,N(对接源_02物料!$B46)&gt;$K$3),0,1))</f>
        <v>0</v>
      </c>
      <c r="L1246" s="3">
        <f>IF(OR($L$1="",对接源_02物料!$C46="",对接源_02物料!$C46&lt;&gt;$L$1,对接源_02物料!$B46=""),0,IF(OR(N(对接源_02物料!$B46)&lt;$L$2,N(对接源_02物料!$B46)&gt;$L$3),0,1))</f>
        <v>0</v>
      </c>
      <c r="M1246" s="3">
        <f>IF(OR($M$1="",对接源_02物料!$C46="",对接源_02物料!$C46&lt;&gt;$M$1,对接源_02物料!$B46=""),0,IF(OR(N(对接源_02物料!$B46)&lt;$M$2,N(对接源_02物料!$B46)&gt;$M$3),0,1))</f>
        <v>0</v>
      </c>
      <c r="N1246" s="3">
        <f>IF(OR($N$1="",对接源_02物料!$C46="",对接源_02物料!$C46&lt;&gt;$N$1,对接源_02物料!$B46=""),0,IF(OR(N(对接源_02物料!$B46)&lt;$N$2,N(对接源_02物料!$B46)&gt;$N$3),0,1))</f>
        <v>0</v>
      </c>
      <c r="P1246" s="3">
        <f>IF(AND($K1246=1,AND(对接源_02物料!$X46="公司筐",N(对接源_02物料!$T46)&lt;&gt;0)),1,0)</f>
        <v>0</v>
      </c>
      <c r="Q1246" s="3">
        <f t="shared" si="335"/>
        <v>0</v>
      </c>
      <c r="R1246" s="3">
        <f>IF(AND($K1246=1,AND(对接源_02物料!$X46="公司筐",N(对接源_02物料!$U46)&lt;&gt;0)),1,0)</f>
        <v>0</v>
      </c>
      <c r="S1246" s="3">
        <f t="shared" si="336"/>
        <v>0</v>
      </c>
      <c r="T1246" s="3">
        <f>IF(AND($K1246=1,AND(对接源_02物料!$X46="公司筐",N(对接源_02物料!$V46)&lt;&gt;0)),1,0)</f>
        <v>0</v>
      </c>
      <c r="U1246" s="3">
        <f t="shared" si="337"/>
        <v>19</v>
      </c>
      <c r="V1246" s="3">
        <f>IF(AND($L1246=1,AND(对接源_02物料!$X46="自备筐",N(对接源_02物料!$V46)&lt;&gt;0)),1,0)</f>
        <v>0</v>
      </c>
      <c r="W1246" s="3">
        <f t="shared" si="338"/>
        <v>8</v>
      </c>
      <c r="X1246" s="3">
        <f>IF(AND($L1246=1,AND(对接源_02物料!$X46="自备筐",N(对接源_02物料!$T46)&lt;&gt;0)),1,0)</f>
        <v>0</v>
      </c>
      <c r="Y1246" s="3">
        <f t="shared" si="339"/>
        <v>0</v>
      </c>
      <c r="Z1246" s="3">
        <f>IF(AND($M1246=1,对接源_02物料!$D46="原料入库"),1,0)</f>
        <v>0</v>
      </c>
      <c r="AA1246" s="3">
        <f t="shared" si="340"/>
        <v>24</v>
      </c>
      <c r="AB1246" s="3">
        <f>IF(AND($M1246=1,LEFT(对接源_02物料!$D46,4)="原料出库"),1,0)</f>
        <v>0</v>
      </c>
      <c r="AC1246" s="3">
        <f t="shared" si="341"/>
        <v>0</v>
      </c>
      <c r="AD1246" s="3">
        <f>IF(AND($M1246=1,LEFT(对接源_02物料!$D46,4)="成品出库"),1,0)</f>
        <v>0</v>
      </c>
      <c r="AE1246" s="3">
        <f t="shared" si="342"/>
        <v>0</v>
      </c>
      <c r="AF1246" s="3">
        <f>IF(AND($N1246=1,AND(LEFT(对接源_02物料!$D46,4)="包装物料",N(对接源_02物料!$K46)&lt;&gt;0)),1,0)</f>
        <v>0</v>
      </c>
      <c r="AG1246" s="3">
        <f t="shared" si="343"/>
        <v>5</v>
      </c>
      <c r="AH1246" s="3">
        <f>IF(AND($N1246=1,AND(对接源_02物料!$D46="周转筐－销售出库",N(对接源_02物料!$K46)&lt;&gt;0)),1,0)</f>
        <v>0</v>
      </c>
      <c r="AI1246" s="3">
        <f t="shared" si="344"/>
        <v>0</v>
      </c>
      <c r="AL1246" s="3">
        <v>0</v>
      </c>
      <c r="AM1246" s="3">
        <f t="shared" si="345"/>
        <v>1</v>
      </c>
      <c r="AN1246" s="3" t="str">
        <f t="shared" si="332"/>
        <v/>
      </c>
      <c r="AO1246" s="3">
        <v>0</v>
      </c>
      <c r="AP1246" s="3">
        <f t="shared" si="346"/>
        <v>8</v>
      </c>
      <c r="AR1246">
        <f t="shared" si="347"/>
        <v>0</v>
      </c>
      <c r="AS1246">
        <f t="shared" si="348"/>
        <v>5</v>
      </c>
    </row>
    <row r="1247" customHeight="1" spans="1:45">
      <c r="A1247" s="3" t="str">
        <f>IF(对接源_02物料!$C47="","",对接源_02物料!$C47)</f>
        <v>王照雪</v>
      </c>
      <c r="B1247" s="3">
        <f t="shared" si="333"/>
        <v>0</v>
      </c>
      <c r="C1247" s="3">
        <f t="shared" si="334"/>
        <v>20</v>
      </c>
      <c r="K1247" s="3">
        <f>IF(OR($K$1="",对接源_02物料!$C47="",对接源_02物料!$C47&lt;&gt;$K$1,对接源_02物料!$B47=""),0,IF(OR(N(对接源_02物料!$B47)&lt;$K$2,N(对接源_02物料!$B47)&gt;$K$3),0,1))</f>
        <v>0</v>
      </c>
      <c r="L1247" s="3">
        <f>IF(OR($L$1="",对接源_02物料!$C47="",对接源_02物料!$C47&lt;&gt;$L$1,对接源_02物料!$B47=""),0,IF(OR(N(对接源_02物料!$B47)&lt;$L$2,N(对接源_02物料!$B47)&gt;$L$3),0,1))</f>
        <v>0</v>
      </c>
      <c r="M1247" s="3">
        <f>IF(OR($M$1="",对接源_02物料!$C47="",对接源_02物料!$C47&lt;&gt;$M$1,对接源_02物料!$B47=""),0,IF(OR(N(对接源_02物料!$B47)&lt;$M$2,N(对接源_02物料!$B47)&gt;$M$3),0,1))</f>
        <v>0</v>
      </c>
      <c r="N1247" s="3">
        <f>IF(OR($N$1="",对接源_02物料!$C47="",对接源_02物料!$C47&lt;&gt;$N$1,对接源_02物料!$B47=""),0,IF(OR(N(对接源_02物料!$B47)&lt;$N$2,N(对接源_02物料!$B47)&gt;$N$3),0,1))</f>
        <v>0</v>
      </c>
      <c r="P1247" s="3">
        <f>IF(AND($K1247=1,AND(对接源_02物料!$X47="公司筐",N(对接源_02物料!$T47)&lt;&gt;0)),1,0)</f>
        <v>0</v>
      </c>
      <c r="Q1247" s="3">
        <f t="shared" si="335"/>
        <v>0</v>
      </c>
      <c r="R1247" s="3">
        <f>IF(AND($K1247=1,AND(对接源_02物料!$X47="公司筐",N(对接源_02物料!$U47)&lt;&gt;0)),1,0)</f>
        <v>0</v>
      </c>
      <c r="S1247" s="3">
        <f t="shared" si="336"/>
        <v>0</v>
      </c>
      <c r="T1247" s="3">
        <f>IF(AND($K1247=1,AND(对接源_02物料!$X47="公司筐",N(对接源_02物料!$V47)&lt;&gt;0)),1,0)</f>
        <v>0</v>
      </c>
      <c r="U1247" s="3">
        <f t="shared" si="337"/>
        <v>19</v>
      </c>
      <c r="V1247" s="3">
        <f>IF(AND($L1247=1,AND(对接源_02物料!$X47="自备筐",N(对接源_02物料!$V47)&lt;&gt;0)),1,0)</f>
        <v>0</v>
      </c>
      <c r="W1247" s="3">
        <f t="shared" si="338"/>
        <v>8</v>
      </c>
      <c r="X1247" s="3">
        <f>IF(AND($L1247=1,AND(对接源_02物料!$X47="自备筐",N(对接源_02物料!$T47)&lt;&gt;0)),1,0)</f>
        <v>0</v>
      </c>
      <c r="Y1247" s="3">
        <f t="shared" si="339"/>
        <v>0</v>
      </c>
      <c r="Z1247" s="3">
        <f>IF(AND($M1247=1,对接源_02物料!$D47="原料入库"),1,0)</f>
        <v>0</v>
      </c>
      <c r="AA1247" s="3">
        <f t="shared" si="340"/>
        <v>24</v>
      </c>
      <c r="AB1247" s="3">
        <f>IF(AND($M1247=1,LEFT(对接源_02物料!$D47,4)="原料出库"),1,0)</f>
        <v>0</v>
      </c>
      <c r="AC1247" s="3">
        <f t="shared" si="341"/>
        <v>0</v>
      </c>
      <c r="AD1247" s="3">
        <f>IF(AND($M1247=1,LEFT(对接源_02物料!$D47,4)="成品出库"),1,0)</f>
        <v>0</v>
      </c>
      <c r="AE1247" s="3">
        <f t="shared" si="342"/>
        <v>0</v>
      </c>
      <c r="AF1247" s="3">
        <f>IF(AND($N1247=1,AND(LEFT(对接源_02物料!$D47,4)="包装物料",N(对接源_02物料!$K47)&lt;&gt;0)),1,0)</f>
        <v>0</v>
      </c>
      <c r="AG1247" s="3">
        <f t="shared" si="343"/>
        <v>5</v>
      </c>
      <c r="AH1247" s="3">
        <f>IF(AND($N1247=1,AND(对接源_02物料!$D47="周转筐－销售出库",N(对接源_02物料!$K47)&lt;&gt;0)),1,0)</f>
        <v>0</v>
      </c>
      <c r="AI1247" s="3">
        <f t="shared" si="344"/>
        <v>0</v>
      </c>
      <c r="AL1247" s="3">
        <v>0</v>
      </c>
      <c r="AM1247" s="3">
        <f t="shared" si="345"/>
        <v>1</v>
      </c>
      <c r="AN1247" s="3" t="str">
        <f t="shared" si="332"/>
        <v/>
      </c>
      <c r="AO1247" s="3">
        <v>0</v>
      </c>
      <c r="AP1247" s="3">
        <f t="shared" si="346"/>
        <v>8</v>
      </c>
      <c r="AR1247">
        <f t="shared" si="347"/>
        <v>0</v>
      </c>
      <c r="AS1247">
        <f t="shared" si="348"/>
        <v>5</v>
      </c>
    </row>
    <row r="1248" customHeight="1" spans="1:45">
      <c r="A1248" s="3" t="str">
        <f>IF(对接源_02物料!$C48="","",对接源_02物料!$C48)</f>
        <v>王照雪</v>
      </c>
      <c r="B1248" s="3">
        <f t="shared" si="333"/>
        <v>0</v>
      </c>
      <c r="C1248" s="3">
        <f t="shared" si="334"/>
        <v>20</v>
      </c>
      <c r="K1248" s="3">
        <f>IF(OR($K$1="",对接源_02物料!$C48="",对接源_02物料!$C48&lt;&gt;$K$1,对接源_02物料!$B48=""),0,IF(OR(N(对接源_02物料!$B48)&lt;$K$2,N(对接源_02物料!$B48)&gt;$K$3),0,1))</f>
        <v>0</v>
      </c>
      <c r="L1248" s="3">
        <f>IF(OR($L$1="",对接源_02物料!$C48="",对接源_02物料!$C48&lt;&gt;$L$1,对接源_02物料!$B48=""),0,IF(OR(N(对接源_02物料!$B48)&lt;$L$2,N(对接源_02物料!$B48)&gt;$L$3),0,1))</f>
        <v>0</v>
      </c>
      <c r="M1248" s="3">
        <f>IF(OR($M$1="",对接源_02物料!$C48="",对接源_02物料!$C48&lt;&gt;$M$1,对接源_02物料!$B48=""),0,IF(OR(N(对接源_02物料!$B48)&lt;$M$2,N(对接源_02物料!$B48)&gt;$M$3),0,1))</f>
        <v>0</v>
      </c>
      <c r="N1248" s="3">
        <f>IF(OR($N$1="",对接源_02物料!$C48="",对接源_02物料!$C48&lt;&gt;$N$1,对接源_02物料!$B48=""),0,IF(OR(N(对接源_02物料!$B48)&lt;$N$2,N(对接源_02物料!$B48)&gt;$N$3),0,1))</f>
        <v>0</v>
      </c>
      <c r="P1248" s="3">
        <f>IF(AND($K1248=1,AND(对接源_02物料!$X48="公司筐",N(对接源_02物料!$T48)&lt;&gt;0)),1,0)</f>
        <v>0</v>
      </c>
      <c r="Q1248" s="3">
        <f t="shared" si="335"/>
        <v>0</v>
      </c>
      <c r="R1248" s="3">
        <f>IF(AND($K1248=1,AND(对接源_02物料!$X48="公司筐",N(对接源_02物料!$U48)&lt;&gt;0)),1,0)</f>
        <v>0</v>
      </c>
      <c r="S1248" s="3">
        <f t="shared" si="336"/>
        <v>0</v>
      </c>
      <c r="T1248" s="3">
        <f>IF(AND($K1248=1,AND(对接源_02物料!$X48="公司筐",N(对接源_02物料!$V48)&lt;&gt;0)),1,0)</f>
        <v>0</v>
      </c>
      <c r="U1248" s="3">
        <f t="shared" si="337"/>
        <v>19</v>
      </c>
      <c r="V1248" s="3">
        <f>IF(AND($L1248=1,AND(对接源_02物料!$X48="自备筐",N(对接源_02物料!$V48)&lt;&gt;0)),1,0)</f>
        <v>0</v>
      </c>
      <c r="W1248" s="3">
        <f t="shared" si="338"/>
        <v>8</v>
      </c>
      <c r="X1248" s="3">
        <f>IF(AND($L1248=1,AND(对接源_02物料!$X48="自备筐",N(对接源_02物料!$T48)&lt;&gt;0)),1,0)</f>
        <v>0</v>
      </c>
      <c r="Y1248" s="3">
        <f t="shared" si="339"/>
        <v>0</v>
      </c>
      <c r="Z1248" s="3">
        <f>IF(AND($M1248=1,对接源_02物料!$D48="原料入库"),1,0)</f>
        <v>0</v>
      </c>
      <c r="AA1248" s="3">
        <f t="shared" si="340"/>
        <v>24</v>
      </c>
      <c r="AB1248" s="3">
        <f>IF(AND($M1248=1,LEFT(对接源_02物料!$D48,4)="原料出库"),1,0)</f>
        <v>0</v>
      </c>
      <c r="AC1248" s="3">
        <f t="shared" si="341"/>
        <v>0</v>
      </c>
      <c r="AD1248" s="3">
        <f>IF(AND($M1248=1,LEFT(对接源_02物料!$D48,4)="成品出库"),1,0)</f>
        <v>0</v>
      </c>
      <c r="AE1248" s="3">
        <f t="shared" si="342"/>
        <v>0</v>
      </c>
      <c r="AF1248" s="3">
        <f>IF(AND($N1248=1,AND(LEFT(对接源_02物料!$D48,4)="包装物料",N(对接源_02物料!$K48)&lt;&gt;0)),1,0)</f>
        <v>0</v>
      </c>
      <c r="AG1248" s="3">
        <f t="shared" si="343"/>
        <v>5</v>
      </c>
      <c r="AH1248" s="3">
        <f>IF(AND($N1248=1,AND(对接源_02物料!$D48="周转筐－销售出库",N(对接源_02物料!$K48)&lt;&gt;0)),1,0)</f>
        <v>0</v>
      </c>
      <c r="AI1248" s="3">
        <f t="shared" si="344"/>
        <v>0</v>
      </c>
      <c r="AL1248" s="3">
        <v>0</v>
      </c>
      <c r="AM1248" s="3">
        <f t="shared" si="345"/>
        <v>1</v>
      </c>
      <c r="AN1248" s="3" t="str">
        <f t="shared" si="332"/>
        <v/>
      </c>
      <c r="AO1248" s="3">
        <v>0</v>
      </c>
      <c r="AP1248" s="3">
        <f t="shared" si="346"/>
        <v>8</v>
      </c>
      <c r="AR1248">
        <f t="shared" si="347"/>
        <v>0</v>
      </c>
      <c r="AS1248">
        <f t="shared" si="348"/>
        <v>5</v>
      </c>
    </row>
    <row r="1249" customHeight="1" spans="1:45">
      <c r="A1249" s="3" t="str">
        <f>IF(对接源_02物料!$C49="","",对接源_02物料!$C49)</f>
        <v>王照雪</v>
      </c>
      <c r="B1249" s="3">
        <f t="shared" si="333"/>
        <v>0</v>
      </c>
      <c r="C1249" s="3">
        <f t="shared" si="334"/>
        <v>20</v>
      </c>
      <c r="K1249" s="3">
        <f>IF(OR($K$1="",对接源_02物料!$C49="",对接源_02物料!$C49&lt;&gt;$K$1,对接源_02物料!$B49=""),0,IF(OR(N(对接源_02物料!$B49)&lt;$K$2,N(对接源_02物料!$B49)&gt;$K$3),0,1))</f>
        <v>0</v>
      </c>
      <c r="L1249" s="3">
        <f>IF(OR($L$1="",对接源_02物料!$C49="",对接源_02物料!$C49&lt;&gt;$L$1,对接源_02物料!$B49=""),0,IF(OR(N(对接源_02物料!$B49)&lt;$L$2,N(对接源_02物料!$B49)&gt;$L$3),0,1))</f>
        <v>0</v>
      </c>
      <c r="M1249" s="3">
        <f>IF(OR($M$1="",对接源_02物料!$C49="",对接源_02物料!$C49&lt;&gt;$M$1,对接源_02物料!$B49=""),0,IF(OR(N(对接源_02物料!$B49)&lt;$M$2,N(对接源_02物料!$B49)&gt;$M$3),0,1))</f>
        <v>0</v>
      </c>
      <c r="N1249" s="3">
        <f>IF(OR($N$1="",对接源_02物料!$C49="",对接源_02物料!$C49&lt;&gt;$N$1,对接源_02物料!$B49=""),0,IF(OR(N(对接源_02物料!$B49)&lt;$N$2,N(对接源_02物料!$B49)&gt;$N$3),0,1))</f>
        <v>0</v>
      </c>
      <c r="P1249" s="3">
        <f>IF(AND($K1249=1,AND(对接源_02物料!$X49="公司筐",N(对接源_02物料!$T49)&lt;&gt;0)),1,0)</f>
        <v>0</v>
      </c>
      <c r="Q1249" s="3">
        <f t="shared" si="335"/>
        <v>0</v>
      </c>
      <c r="R1249" s="3">
        <f>IF(AND($K1249=1,AND(对接源_02物料!$X49="公司筐",N(对接源_02物料!$U49)&lt;&gt;0)),1,0)</f>
        <v>0</v>
      </c>
      <c r="S1249" s="3">
        <f t="shared" si="336"/>
        <v>0</v>
      </c>
      <c r="T1249" s="3">
        <f>IF(AND($K1249=1,AND(对接源_02物料!$X49="公司筐",N(对接源_02物料!$V49)&lt;&gt;0)),1,0)</f>
        <v>0</v>
      </c>
      <c r="U1249" s="3">
        <f t="shared" si="337"/>
        <v>19</v>
      </c>
      <c r="V1249" s="3">
        <f>IF(AND($L1249=1,AND(对接源_02物料!$X49="自备筐",N(对接源_02物料!$V49)&lt;&gt;0)),1,0)</f>
        <v>0</v>
      </c>
      <c r="W1249" s="3">
        <f t="shared" si="338"/>
        <v>8</v>
      </c>
      <c r="X1249" s="3">
        <f>IF(AND($L1249=1,AND(对接源_02物料!$X49="自备筐",N(对接源_02物料!$T49)&lt;&gt;0)),1,0)</f>
        <v>0</v>
      </c>
      <c r="Y1249" s="3">
        <f t="shared" si="339"/>
        <v>0</v>
      </c>
      <c r="Z1249" s="3">
        <f>IF(AND($M1249=1,对接源_02物料!$D49="原料入库"),1,0)</f>
        <v>0</v>
      </c>
      <c r="AA1249" s="3">
        <f t="shared" si="340"/>
        <v>24</v>
      </c>
      <c r="AB1249" s="3">
        <f>IF(AND($M1249=1,LEFT(对接源_02物料!$D49,4)="原料出库"),1,0)</f>
        <v>0</v>
      </c>
      <c r="AC1249" s="3">
        <f t="shared" si="341"/>
        <v>0</v>
      </c>
      <c r="AD1249" s="3">
        <f>IF(AND($M1249=1,LEFT(对接源_02物料!$D49,4)="成品出库"),1,0)</f>
        <v>0</v>
      </c>
      <c r="AE1249" s="3">
        <f t="shared" si="342"/>
        <v>0</v>
      </c>
      <c r="AF1249" s="3">
        <f>IF(AND($N1249=1,AND(LEFT(对接源_02物料!$D49,4)="包装物料",N(对接源_02物料!$K49)&lt;&gt;0)),1,0)</f>
        <v>0</v>
      </c>
      <c r="AG1249" s="3">
        <f t="shared" si="343"/>
        <v>5</v>
      </c>
      <c r="AH1249" s="3">
        <f>IF(AND($N1249=1,AND(对接源_02物料!$D49="周转筐－销售出库",N(对接源_02物料!$K49)&lt;&gt;0)),1,0)</f>
        <v>0</v>
      </c>
      <c r="AI1249" s="3">
        <f t="shared" si="344"/>
        <v>0</v>
      </c>
      <c r="AL1249" s="3">
        <v>0</v>
      </c>
      <c r="AM1249" s="3">
        <f t="shared" si="345"/>
        <v>1</v>
      </c>
      <c r="AN1249" s="3" t="str">
        <f t="shared" si="332"/>
        <v/>
      </c>
      <c r="AO1249" s="3">
        <v>0</v>
      </c>
      <c r="AP1249" s="3">
        <f t="shared" si="346"/>
        <v>8</v>
      </c>
      <c r="AR1249">
        <f t="shared" si="347"/>
        <v>0</v>
      </c>
      <c r="AS1249">
        <f t="shared" si="348"/>
        <v>5</v>
      </c>
    </row>
    <row r="1250" customHeight="1" spans="1:45">
      <c r="A1250" s="3" t="str">
        <f>IF(对接源_02物料!$C50="","",对接源_02物料!$C50)</f>
        <v>王照雪</v>
      </c>
      <c r="B1250" s="3">
        <f t="shared" si="333"/>
        <v>0</v>
      </c>
      <c r="C1250" s="3">
        <f t="shared" si="334"/>
        <v>20</v>
      </c>
      <c r="K1250" s="3">
        <f>IF(OR($K$1="",对接源_02物料!$C50="",对接源_02物料!$C50&lt;&gt;$K$1,对接源_02物料!$B50=""),0,IF(OR(N(对接源_02物料!$B50)&lt;$K$2,N(对接源_02物料!$B50)&gt;$K$3),0,1))</f>
        <v>0</v>
      </c>
      <c r="L1250" s="3">
        <f>IF(OR($L$1="",对接源_02物料!$C50="",对接源_02物料!$C50&lt;&gt;$L$1,对接源_02物料!$B50=""),0,IF(OR(N(对接源_02物料!$B50)&lt;$L$2,N(对接源_02物料!$B50)&gt;$L$3),0,1))</f>
        <v>0</v>
      </c>
      <c r="M1250" s="3">
        <f>IF(OR($M$1="",对接源_02物料!$C50="",对接源_02物料!$C50&lt;&gt;$M$1,对接源_02物料!$B50=""),0,IF(OR(N(对接源_02物料!$B50)&lt;$M$2,N(对接源_02物料!$B50)&gt;$M$3),0,1))</f>
        <v>0</v>
      </c>
      <c r="N1250" s="3">
        <f>IF(OR($N$1="",对接源_02物料!$C50="",对接源_02物料!$C50&lt;&gt;$N$1,对接源_02物料!$B50=""),0,IF(OR(N(对接源_02物料!$B50)&lt;$N$2,N(对接源_02物料!$B50)&gt;$N$3),0,1))</f>
        <v>0</v>
      </c>
      <c r="P1250" s="3">
        <f>IF(AND($K1250=1,AND(对接源_02物料!$X50="公司筐",N(对接源_02物料!$T50)&lt;&gt;0)),1,0)</f>
        <v>0</v>
      </c>
      <c r="Q1250" s="3">
        <f t="shared" si="335"/>
        <v>0</v>
      </c>
      <c r="R1250" s="3">
        <f>IF(AND($K1250=1,AND(对接源_02物料!$X50="公司筐",N(对接源_02物料!$U50)&lt;&gt;0)),1,0)</f>
        <v>0</v>
      </c>
      <c r="S1250" s="3">
        <f t="shared" si="336"/>
        <v>0</v>
      </c>
      <c r="T1250" s="3">
        <f>IF(AND($K1250=1,AND(对接源_02物料!$X50="公司筐",N(对接源_02物料!$V50)&lt;&gt;0)),1,0)</f>
        <v>0</v>
      </c>
      <c r="U1250" s="3">
        <f t="shared" si="337"/>
        <v>19</v>
      </c>
      <c r="V1250" s="3">
        <f>IF(AND($L1250=1,AND(对接源_02物料!$X50="自备筐",N(对接源_02物料!$V50)&lt;&gt;0)),1,0)</f>
        <v>0</v>
      </c>
      <c r="W1250" s="3">
        <f t="shared" si="338"/>
        <v>8</v>
      </c>
      <c r="X1250" s="3">
        <f>IF(AND($L1250=1,AND(对接源_02物料!$X50="自备筐",N(对接源_02物料!$T50)&lt;&gt;0)),1,0)</f>
        <v>0</v>
      </c>
      <c r="Y1250" s="3">
        <f t="shared" si="339"/>
        <v>0</v>
      </c>
      <c r="Z1250" s="3">
        <f>IF(AND($M1250=1,对接源_02物料!$D50="原料入库"),1,0)</f>
        <v>0</v>
      </c>
      <c r="AA1250" s="3">
        <f t="shared" si="340"/>
        <v>24</v>
      </c>
      <c r="AB1250" s="3">
        <f>IF(AND($M1250=1,LEFT(对接源_02物料!$D50,4)="原料出库"),1,0)</f>
        <v>0</v>
      </c>
      <c r="AC1250" s="3">
        <f t="shared" si="341"/>
        <v>0</v>
      </c>
      <c r="AD1250" s="3">
        <f>IF(AND($M1250=1,LEFT(对接源_02物料!$D50,4)="成品出库"),1,0)</f>
        <v>0</v>
      </c>
      <c r="AE1250" s="3">
        <f t="shared" si="342"/>
        <v>0</v>
      </c>
      <c r="AF1250" s="3">
        <f>IF(AND($N1250=1,AND(LEFT(对接源_02物料!$D50,4)="包装物料",N(对接源_02物料!$K50)&lt;&gt;0)),1,0)</f>
        <v>0</v>
      </c>
      <c r="AG1250" s="3">
        <f t="shared" si="343"/>
        <v>5</v>
      </c>
      <c r="AH1250" s="3">
        <f>IF(AND($N1250=1,AND(对接源_02物料!$D50="周转筐－销售出库",N(对接源_02物料!$K50)&lt;&gt;0)),1,0)</f>
        <v>0</v>
      </c>
      <c r="AI1250" s="3">
        <f t="shared" si="344"/>
        <v>0</v>
      </c>
      <c r="AL1250" s="3">
        <v>0</v>
      </c>
      <c r="AM1250" s="3">
        <f t="shared" si="345"/>
        <v>1</v>
      </c>
      <c r="AN1250" s="3" t="str">
        <f t="shared" si="332"/>
        <v/>
      </c>
      <c r="AO1250" s="3">
        <v>0</v>
      </c>
      <c r="AP1250" s="3">
        <f t="shared" si="346"/>
        <v>8</v>
      </c>
      <c r="AR1250">
        <f t="shared" si="347"/>
        <v>0</v>
      </c>
      <c r="AS1250">
        <f t="shared" si="348"/>
        <v>5</v>
      </c>
    </row>
    <row r="1251" customHeight="1" spans="1:45">
      <c r="A1251" s="3" t="str">
        <f>IF(对接源_02物料!$C51="","",对接源_02物料!$C51)</f>
        <v>王照雪</v>
      </c>
      <c r="B1251" s="3">
        <f t="shared" si="333"/>
        <v>0</v>
      </c>
      <c r="C1251" s="3">
        <f t="shared" si="334"/>
        <v>20</v>
      </c>
      <c r="K1251" s="3">
        <f>IF(OR($K$1="",对接源_02物料!$C51="",对接源_02物料!$C51&lt;&gt;$K$1,对接源_02物料!$B51=""),0,IF(OR(N(对接源_02物料!$B51)&lt;$K$2,N(对接源_02物料!$B51)&gt;$K$3),0,1))</f>
        <v>0</v>
      </c>
      <c r="L1251" s="3">
        <f>IF(OR($L$1="",对接源_02物料!$C51="",对接源_02物料!$C51&lt;&gt;$L$1,对接源_02物料!$B51=""),0,IF(OR(N(对接源_02物料!$B51)&lt;$L$2,N(对接源_02物料!$B51)&gt;$L$3),0,1))</f>
        <v>0</v>
      </c>
      <c r="M1251" s="3">
        <f>IF(OR($M$1="",对接源_02物料!$C51="",对接源_02物料!$C51&lt;&gt;$M$1,对接源_02物料!$B51=""),0,IF(OR(N(对接源_02物料!$B51)&lt;$M$2,N(对接源_02物料!$B51)&gt;$M$3),0,1))</f>
        <v>0</v>
      </c>
      <c r="N1251" s="3">
        <f>IF(OR($N$1="",对接源_02物料!$C51="",对接源_02物料!$C51&lt;&gt;$N$1,对接源_02物料!$B51=""),0,IF(OR(N(对接源_02物料!$B51)&lt;$N$2,N(对接源_02物料!$B51)&gt;$N$3),0,1))</f>
        <v>0</v>
      </c>
      <c r="P1251" s="3">
        <f>IF(AND($K1251=1,AND(对接源_02物料!$X51="公司筐",N(对接源_02物料!$T51)&lt;&gt;0)),1,0)</f>
        <v>0</v>
      </c>
      <c r="Q1251" s="3">
        <f t="shared" si="335"/>
        <v>0</v>
      </c>
      <c r="R1251" s="3">
        <f>IF(AND($K1251=1,AND(对接源_02物料!$X51="公司筐",N(对接源_02物料!$U51)&lt;&gt;0)),1,0)</f>
        <v>0</v>
      </c>
      <c r="S1251" s="3">
        <f t="shared" si="336"/>
        <v>0</v>
      </c>
      <c r="T1251" s="3">
        <f>IF(AND($K1251=1,AND(对接源_02物料!$X51="公司筐",N(对接源_02物料!$V51)&lt;&gt;0)),1,0)</f>
        <v>0</v>
      </c>
      <c r="U1251" s="3">
        <f t="shared" si="337"/>
        <v>19</v>
      </c>
      <c r="V1251" s="3">
        <f>IF(AND($L1251=1,AND(对接源_02物料!$X51="自备筐",N(对接源_02物料!$V51)&lt;&gt;0)),1,0)</f>
        <v>0</v>
      </c>
      <c r="W1251" s="3">
        <f t="shared" si="338"/>
        <v>8</v>
      </c>
      <c r="X1251" s="3">
        <f>IF(AND($L1251=1,AND(对接源_02物料!$X51="自备筐",N(对接源_02物料!$T51)&lt;&gt;0)),1,0)</f>
        <v>0</v>
      </c>
      <c r="Y1251" s="3">
        <f t="shared" si="339"/>
        <v>0</v>
      </c>
      <c r="Z1251" s="3">
        <f>IF(AND($M1251=1,对接源_02物料!$D51="原料入库"),1,0)</f>
        <v>0</v>
      </c>
      <c r="AA1251" s="3">
        <f t="shared" si="340"/>
        <v>24</v>
      </c>
      <c r="AB1251" s="3">
        <f>IF(AND($M1251=1,LEFT(对接源_02物料!$D51,4)="原料出库"),1,0)</f>
        <v>0</v>
      </c>
      <c r="AC1251" s="3">
        <f t="shared" si="341"/>
        <v>0</v>
      </c>
      <c r="AD1251" s="3">
        <f>IF(AND($M1251=1,LEFT(对接源_02物料!$D51,4)="成品出库"),1,0)</f>
        <v>0</v>
      </c>
      <c r="AE1251" s="3">
        <f t="shared" si="342"/>
        <v>0</v>
      </c>
      <c r="AF1251" s="3">
        <f>IF(AND($N1251=1,AND(LEFT(对接源_02物料!$D51,4)="包装物料",N(对接源_02物料!$K51)&lt;&gt;0)),1,0)</f>
        <v>0</v>
      </c>
      <c r="AG1251" s="3">
        <f t="shared" si="343"/>
        <v>5</v>
      </c>
      <c r="AH1251" s="3">
        <f>IF(AND($N1251=1,AND(对接源_02物料!$D51="周转筐－销售出库",N(对接源_02物料!$K51)&lt;&gt;0)),1,0)</f>
        <v>0</v>
      </c>
      <c r="AI1251" s="3">
        <f t="shared" si="344"/>
        <v>0</v>
      </c>
      <c r="AL1251" s="3">
        <v>0</v>
      </c>
      <c r="AM1251" s="3">
        <f t="shared" si="345"/>
        <v>1</v>
      </c>
      <c r="AN1251" s="3" t="str">
        <f t="shared" si="332"/>
        <v/>
      </c>
      <c r="AO1251" s="3">
        <v>0</v>
      </c>
      <c r="AP1251" s="3">
        <f t="shared" si="346"/>
        <v>8</v>
      </c>
      <c r="AR1251">
        <f t="shared" si="347"/>
        <v>0</v>
      </c>
      <c r="AS1251">
        <f t="shared" si="348"/>
        <v>5</v>
      </c>
    </row>
    <row r="1252" customHeight="1" spans="1:45">
      <c r="A1252" s="3" t="str">
        <f>IF(对接源_02物料!$C52="","",对接源_02物料!$C52)</f>
        <v>王浩</v>
      </c>
      <c r="B1252" s="3">
        <f t="shared" si="333"/>
        <v>0</v>
      </c>
      <c r="C1252" s="3">
        <f t="shared" si="334"/>
        <v>20</v>
      </c>
      <c r="K1252" s="3">
        <f>IF(OR($K$1="",对接源_02物料!$C52="",对接源_02物料!$C52&lt;&gt;$K$1,对接源_02物料!$B52=""),0,IF(OR(N(对接源_02物料!$B52)&lt;$K$2,N(对接源_02物料!$B52)&gt;$K$3),0,1))</f>
        <v>0</v>
      </c>
      <c r="L1252" s="3">
        <f>IF(OR($L$1="",对接源_02物料!$C52="",对接源_02物料!$C52&lt;&gt;$L$1,对接源_02物料!$B52=""),0,IF(OR(N(对接源_02物料!$B52)&lt;$L$2,N(对接源_02物料!$B52)&gt;$L$3),0,1))</f>
        <v>0</v>
      </c>
      <c r="M1252" s="3">
        <f>IF(OR($M$1="",对接源_02物料!$C52="",对接源_02物料!$C52&lt;&gt;$M$1,对接源_02物料!$B52=""),0,IF(OR(N(对接源_02物料!$B52)&lt;$M$2,N(对接源_02物料!$B52)&gt;$M$3),0,1))</f>
        <v>0</v>
      </c>
      <c r="N1252" s="3">
        <f>IF(OR($N$1="",对接源_02物料!$C52="",对接源_02物料!$C52&lt;&gt;$N$1,对接源_02物料!$B52=""),0,IF(OR(N(对接源_02物料!$B52)&lt;$N$2,N(对接源_02物料!$B52)&gt;$N$3),0,1))</f>
        <v>0</v>
      </c>
      <c r="P1252" s="3">
        <f>IF(AND($K1252=1,AND(对接源_02物料!$X52="公司筐",N(对接源_02物料!$T52)&lt;&gt;0)),1,0)</f>
        <v>0</v>
      </c>
      <c r="Q1252" s="3">
        <f t="shared" si="335"/>
        <v>0</v>
      </c>
      <c r="R1252" s="3">
        <f>IF(AND($K1252=1,AND(对接源_02物料!$X52="公司筐",N(对接源_02物料!$U52)&lt;&gt;0)),1,0)</f>
        <v>0</v>
      </c>
      <c r="S1252" s="3">
        <f t="shared" si="336"/>
        <v>0</v>
      </c>
      <c r="T1252" s="3">
        <f>IF(AND($K1252=1,AND(对接源_02物料!$X52="公司筐",N(对接源_02物料!$V52)&lt;&gt;0)),1,0)</f>
        <v>0</v>
      </c>
      <c r="U1252" s="3">
        <f t="shared" si="337"/>
        <v>19</v>
      </c>
      <c r="V1252" s="3">
        <f>IF(AND($L1252=1,AND(对接源_02物料!$X52="自备筐",N(对接源_02物料!$V52)&lt;&gt;0)),1,0)</f>
        <v>0</v>
      </c>
      <c r="W1252" s="3">
        <f t="shared" si="338"/>
        <v>8</v>
      </c>
      <c r="X1252" s="3">
        <f>IF(AND($L1252=1,AND(对接源_02物料!$X52="自备筐",N(对接源_02物料!$T52)&lt;&gt;0)),1,0)</f>
        <v>0</v>
      </c>
      <c r="Y1252" s="3">
        <f t="shared" si="339"/>
        <v>0</v>
      </c>
      <c r="Z1252" s="3">
        <f>IF(AND($M1252=1,对接源_02物料!$D52="原料入库"),1,0)</f>
        <v>0</v>
      </c>
      <c r="AA1252" s="3">
        <f t="shared" si="340"/>
        <v>24</v>
      </c>
      <c r="AB1252" s="3">
        <f>IF(AND($M1252=1,LEFT(对接源_02物料!$D52,4)="原料出库"),1,0)</f>
        <v>0</v>
      </c>
      <c r="AC1252" s="3">
        <f t="shared" si="341"/>
        <v>0</v>
      </c>
      <c r="AD1252" s="3">
        <f>IF(AND($M1252=1,LEFT(对接源_02物料!$D52,4)="成品出库"),1,0)</f>
        <v>0</v>
      </c>
      <c r="AE1252" s="3">
        <f t="shared" si="342"/>
        <v>0</v>
      </c>
      <c r="AF1252" s="3">
        <f>IF(AND($N1252=1,AND(LEFT(对接源_02物料!$D52,4)="包装物料",N(对接源_02物料!$K52)&lt;&gt;0)),1,0)</f>
        <v>0</v>
      </c>
      <c r="AG1252" s="3">
        <f t="shared" si="343"/>
        <v>5</v>
      </c>
      <c r="AH1252" s="3">
        <f>IF(AND($N1252=1,AND(对接源_02物料!$D52="周转筐－销售出库",N(对接源_02物料!$K52)&lt;&gt;0)),1,0)</f>
        <v>0</v>
      </c>
      <c r="AI1252" s="3">
        <f t="shared" si="344"/>
        <v>0</v>
      </c>
      <c r="AL1252" s="3">
        <v>0</v>
      </c>
      <c r="AM1252" s="3">
        <f t="shared" si="345"/>
        <v>1</v>
      </c>
      <c r="AN1252" s="3" t="str">
        <f t="shared" si="332"/>
        <v/>
      </c>
      <c r="AO1252" s="3">
        <v>0</v>
      </c>
      <c r="AP1252" s="3">
        <f t="shared" si="346"/>
        <v>8</v>
      </c>
      <c r="AR1252">
        <f t="shared" si="347"/>
        <v>0</v>
      </c>
      <c r="AS1252">
        <f t="shared" si="348"/>
        <v>5</v>
      </c>
    </row>
    <row r="1253" customHeight="1" spans="1:45">
      <c r="A1253" s="3" t="str">
        <f>IF(对接源_02物料!$C53="","",对接源_02物料!$C53)</f>
        <v>马锦祥</v>
      </c>
      <c r="B1253" s="3">
        <f t="shared" si="333"/>
        <v>0</v>
      </c>
      <c r="C1253" s="3">
        <f t="shared" si="334"/>
        <v>20</v>
      </c>
      <c r="K1253" s="3">
        <f>IF(OR($K$1="",对接源_02物料!$C53="",对接源_02物料!$C53&lt;&gt;$K$1,对接源_02物料!$B53=""),0,IF(OR(N(对接源_02物料!$B53)&lt;$K$2,N(对接源_02物料!$B53)&gt;$K$3),0,1))</f>
        <v>0</v>
      </c>
      <c r="L1253" s="3">
        <f>IF(OR($L$1="",对接源_02物料!$C53="",对接源_02物料!$C53&lt;&gt;$L$1,对接源_02物料!$B53=""),0,IF(OR(N(对接源_02物料!$B53)&lt;$L$2,N(对接源_02物料!$B53)&gt;$L$3),0,1))</f>
        <v>0</v>
      </c>
      <c r="M1253" s="3">
        <f>IF(OR($M$1="",对接源_02物料!$C53="",对接源_02物料!$C53&lt;&gt;$M$1,对接源_02物料!$B53=""),0,IF(OR(N(对接源_02物料!$B53)&lt;$M$2,N(对接源_02物料!$B53)&gt;$M$3),0,1))</f>
        <v>0</v>
      </c>
      <c r="N1253" s="3">
        <f>IF(OR($N$1="",对接源_02物料!$C53="",对接源_02物料!$C53&lt;&gt;$N$1,对接源_02物料!$B53=""),0,IF(OR(N(对接源_02物料!$B53)&lt;$N$2,N(对接源_02物料!$B53)&gt;$N$3),0,1))</f>
        <v>0</v>
      </c>
      <c r="P1253" s="3">
        <f>IF(AND($K1253=1,AND(对接源_02物料!$X53="公司筐",N(对接源_02物料!$T53)&lt;&gt;0)),1,0)</f>
        <v>0</v>
      </c>
      <c r="Q1253" s="3">
        <f t="shared" si="335"/>
        <v>0</v>
      </c>
      <c r="R1253" s="3">
        <f>IF(AND($K1253=1,AND(对接源_02物料!$X53="公司筐",N(对接源_02物料!$U53)&lt;&gt;0)),1,0)</f>
        <v>0</v>
      </c>
      <c r="S1253" s="3">
        <f t="shared" si="336"/>
        <v>0</v>
      </c>
      <c r="T1253" s="3">
        <f>IF(AND($K1253=1,AND(对接源_02物料!$X53="公司筐",N(对接源_02物料!$V53)&lt;&gt;0)),1,0)</f>
        <v>0</v>
      </c>
      <c r="U1253" s="3">
        <f t="shared" si="337"/>
        <v>19</v>
      </c>
      <c r="V1253" s="3">
        <f>IF(AND($L1253=1,AND(对接源_02物料!$X53="自备筐",N(对接源_02物料!$V53)&lt;&gt;0)),1,0)</f>
        <v>0</v>
      </c>
      <c r="W1253" s="3">
        <f t="shared" si="338"/>
        <v>8</v>
      </c>
      <c r="X1253" s="3">
        <f>IF(AND($L1253=1,AND(对接源_02物料!$X53="自备筐",N(对接源_02物料!$T53)&lt;&gt;0)),1,0)</f>
        <v>0</v>
      </c>
      <c r="Y1253" s="3">
        <f t="shared" si="339"/>
        <v>0</v>
      </c>
      <c r="Z1253" s="3">
        <f>IF(AND($M1253=1,对接源_02物料!$D53="原料入库"),1,0)</f>
        <v>0</v>
      </c>
      <c r="AA1253" s="3">
        <f t="shared" si="340"/>
        <v>24</v>
      </c>
      <c r="AB1253" s="3">
        <f>IF(AND($M1253=1,LEFT(对接源_02物料!$D53,4)="原料出库"),1,0)</f>
        <v>0</v>
      </c>
      <c r="AC1253" s="3">
        <f t="shared" si="341"/>
        <v>0</v>
      </c>
      <c r="AD1253" s="3">
        <f>IF(AND($M1253=1,LEFT(对接源_02物料!$D53,4)="成品出库"),1,0)</f>
        <v>0</v>
      </c>
      <c r="AE1253" s="3">
        <f t="shared" si="342"/>
        <v>0</v>
      </c>
      <c r="AF1253" s="3">
        <f>IF(AND($N1253=1,AND(LEFT(对接源_02物料!$D53,4)="包装物料",N(对接源_02物料!$K53)&lt;&gt;0)),1,0)</f>
        <v>0</v>
      </c>
      <c r="AG1253" s="3">
        <f t="shared" si="343"/>
        <v>5</v>
      </c>
      <c r="AH1253" s="3">
        <f>IF(AND($N1253=1,AND(对接源_02物料!$D53="周转筐－销售出库",N(对接源_02物料!$K53)&lt;&gt;0)),1,0)</f>
        <v>0</v>
      </c>
      <c r="AI1253" s="3">
        <f t="shared" si="344"/>
        <v>0</v>
      </c>
      <c r="AL1253" s="3">
        <v>0</v>
      </c>
      <c r="AM1253" s="3">
        <f t="shared" si="345"/>
        <v>1</v>
      </c>
      <c r="AN1253" s="3" t="str">
        <f t="shared" si="332"/>
        <v/>
      </c>
      <c r="AO1253" s="3">
        <v>0</v>
      </c>
      <c r="AP1253" s="3">
        <f t="shared" si="346"/>
        <v>8</v>
      </c>
      <c r="AR1253">
        <f t="shared" si="347"/>
        <v>0</v>
      </c>
      <c r="AS1253">
        <f t="shared" si="348"/>
        <v>5</v>
      </c>
    </row>
    <row r="1254" customHeight="1" spans="1:45">
      <c r="A1254" s="3" t="str">
        <f>IF(对接源_02物料!$C54="","",对接源_02物料!$C54)</f>
        <v>王照雪</v>
      </c>
      <c r="B1254" s="3">
        <f t="shared" si="333"/>
        <v>0</v>
      </c>
      <c r="C1254" s="3">
        <f t="shared" si="334"/>
        <v>20</v>
      </c>
      <c r="K1254" s="3">
        <f>IF(OR($K$1="",对接源_02物料!$C54="",对接源_02物料!$C54&lt;&gt;$K$1,对接源_02物料!$B54=""),0,IF(OR(N(对接源_02物料!$B54)&lt;$K$2,N(对接源_02物料!$B54)&gt;$K$3),0,1))</f>
        <v>0</v>
      </c>
      <c r="L1254" s="3">
        <f>IF(OR($L$1="",对接源_02物料!$C54="",对接源_02物料!$C54&lt;&gt;$L$1,对接源_02物料!$B54=""),0,IF(OR(N(对接源_02物料!$B54)&lt;$L$2,N(对接源_02物料!$B54)&gt;$L$3),0,1))</f>
        <v>0</v>
      </c>
      <c r="M1254" s="3">
        <f>IF(OR($M$1="",对接源_02物料!$C54="",对接源_02物料!$C54&lt;&gt;$M$1,对接源_02物料!$B54=""),0,IF(OR(N(对接源_02物料!$B54)&lt;$M$2,N(对接源_02物料!$B54)&gt;$M$3),0,1))</f>
        <v>0</v>
      </c>
      <c r="N1254" s="3">
        <f>IF(OR($N$1="",对接源_02物料!$C54="",对接源_02物料!$C54&lt;&gt;$N$1,对接源_02物料!$B54=""),0,IF(OR(N(对接源_02物料!$B54)&lt;$N$2,N(对接源_02物料!$B54)&gt;$N$3),0,1))</f>
        <v>0</v>
      </c>
      <c r="P1254" s="3">
        <f>IF(AND($K1254=1,AND(对接源_02物料!$X54="公司筐",N(对接源_02物料!$T54)&lt;&gt;0)),1,0)</f>
        <v>0</v>
      </c>
      <c r="Q1254" s="3">
        <f t="shared" si="335"/>
        <v>0</v>
      </c>
      <c r="R1254" s="3">
        <f>IF(AND($K1254=1,AND(对接源_02物料!$X54="公司筐",N(对接源_02物料!$U54)&lt;&gt;0)),1,0)</f>
        <v>0</v>
      </c>
      <c r="S1254" s="3">
        <f t="shared" si="336"/>
        <v>0</v>
      </c>
      <c r="T1254" s="3">
        <f>IF(AND($K1254=1,AND(对接源_02物料!$X54="公司筐",N(对接源_02物料!$V54)&lt;&gt;0)),1,0)</f>
        <v>0</v>
      </c>
      <c r="U1254" s="3">
        <f t="shared" si="337"/>
        <v>19</v>
      </c>
      <c r="V1254" s="3">
        <f>IF(AND($L1254=1,AND(对接源_02物料!$X54="自备筐",N(对接源_02物料!$V54)&lt;&gt;0)),1,0)</f>
        <v>0</v>
      </c>
      <c r="W1254" s="3">
        <f t="shared" si="338"/>
        <v>8</v>
      </c>
      <c r="X1254" s="3">
        <f>IF(AND($L1254=1,AND(对接源_02物料!$X54="自备筐",N(对接源_02物料!$T54)&lt;&gt;0)),1,0)</f>
        <v>0</v>
      </c>
      <c r="Y1254" s="3">
        <f t="shared" si="339"/>
        <v>0</v>
      </c>
      <c r="Z1254" s="3">
        <f>IF(AND($M1254=1,对接源_02物料!$D54="原料入库"),1,0)</f>
        <v>0</v>
      </c>
      <c r="AA1254" s="3">
        <f t="shared" si="340"/>
        <v>24</v>
      </c>
      <c r="AB1254" s="3">
        <f>IF(AND($M1254=1,LEFT(对接源_02物料!$D54,4)="原料出库"),1,0)</f>
        <v>0</v>
      </c>
      <c r="AC1254" s="3">
        <f t="shared" si="341"/>
        <v>0</v>
      </c>
      <c r="AD1254" s="3">
        <f>IF(AND($M1254=1,LEFT(对接源_02物料!$D54,4)="成品出库"),1,0)</f>
        <v>0</v>
      </c>
      <c r="AE1254" s="3">
        <f t="shared" si="342"/>
        <v>0</v>
      </c>
      <c r="AF1254" s="3">
        <f>IF(AND($N1254=1,AND(LEFT(对接源_02物料!$D54,4)="包装物料",N(对接源_02物料!$K54)&lt;&gt;0)),1,0)</f>
        <v>0</v>
      </c>
      <c r="AG1254" s="3">
        <f t="shared" si="343"/>
        <v>5</v>
      </c>
      <c r="AH1254" s="3">
        <f>IF(AND($N1254=1,AND(对接源_02物料!$D54="周转筐－销售出库",N(对接源_02物料!$K54)&lt;&gt;0)),1,0)</f>
        <v>0</v>
      </c>
      <c r="AI1254" s="3">
        <f t="shared" si="344"/>
        <v>0</v>
      </c>
      <c r="AL1254" s="3">
        <v>0</v>
      </c>
      <c r="AM1254" s="3">
        <f t="shared" si="345"/>
        <v>1</v>
      </c>
      <c r="AN1254" s="3" t="str">
        <f t="shared" si="332"/>
        <v/>
      </c>
      <c r="AO1254" s="3">
        <v>0</v>
      </c>
      <c r="AP1254" s="3">
        <f t="shared" si="346"/>
        <v>8</v>
      </c>
      <c r="AR1254">
        <f t="shared" si="347"/>
        <v>0</v>
      </c>
      <c r="AS1254">
        <f t="shared" si="348"/>
        <v>5</v>
      </c>
    </row>
    <row r="1255" customHeight="1" spans="1:45">
      <c r="A1255" s="3" t="str">
        <f>IF(对接源_02物料!$C55="","",对接源_02物料!$C55)</f>
        <v>全修塑业</v>
      </c>
      <c r="B1255" s="3">
        <f t="shared" si="333"/>
        <v>1</v>
      </c>
      <c r="C1255" s="3">
        <f t="shared" si="334"/>
        <v>21</v>
      </c>
      <c r="K1255" s="3">
        <f>IF(OR($K$1="",对接源_02物料!$C55="",对接源_02物料!$C55&lt;&gt;$K$1,对接源_02物料!$B55=""),0,IF(OR(N(对接源_02物料!$B55)&lt;$K$2,N(对接源_02物料!$B55)&gt;$K$3),0,1))</f>
        <v>0</v>
      </c>
      <c r="L1255" s="3">
        <f>IF(OR($L$1="",对接源_02物料!$C55="",对接源_02物料!$C55&lt;&gt;$L$1,对接源_02物料!$B55=""),0,IF(OR(N(对接源_02物料!$B55)&lt;$L$2,N(对接源_02物料!$B55)&gt;$L$3),0,1))</f>
        <v>0</v>
      </c>
      <c r="M1255" s="3">
        <f>IF(OR($M$1="",对接源_02物料!$C55="",对接源_02物料!$C55&lt;&gt;$M$1,对接源_02物料!$B55=""),0,IF(OR(N(对接源_02物料!$B55)&lt;$M$2,N(对接源_02物料!$B55)&gt;$M$3),0,1))</f>
        <v>0</v>
      </c>
      <c r="N1255" s="3">
        <f>IF(OR($N$1="",对接源_02物料!$C55="",对接源_02物料!$C55&lt;&gt;$N$1,对接源_02物料!$B55=""),0,IF(OR(N(对接源_02物料!$B55)&lt;$N$2,N(对接源_02物料!$B55)&gt;$N$3),0,1))</f>
        <v>0</v>
      </c>
      <c r="P1255" s="3">
        <f>IF(AND($K1255=1,AND(对接源_02物料!$X55="公司筐",N(对接源_02物料!$T55)&lt;&gt;0)),1,0)</f>
        <v>0</v>
      </c>
      <c r="Q1255" s="3">
        <f t="shared" si="335"/>
        <v>0</v>
      </c>
      <c r="R1255" s="3">
        <f>IF(AND($K1255=1,AND(对接源_02物料!$X55="公司筐",N(对接源_02物料!$U55)&lt;&gt;0)),1,0)</f>
        <v>0</v>
      </c>
      <c r="S1255" s="3">
        <f t="shared" si="336"/>
        <v>0</v>
      </c>
      <c r="T1255" s="3">
        <f>IF(AND($K1255=1,AND(对接源_02物料!$X55="公司筐",N(对接源_02物料!$V55)&lt;&gt;0)),1,0)</f>
        <v>0</v>
      </c>
      <c r="U1255" s="3">
        <f t="shared" si="337"/>
        <v>19</v>
      </c>
      <c r="V1255" s="3">
        <f>IF(AND($L1255=1,AND(对接源_02物料!$X55="自备筐",N(对接源_02物料!$V55)&lt;&gt;0)),1,0)</f>
        <v>0</v>
      </c>
      <c r="W1255" s="3">
        <f t="shared" si="338"/>
        <v>8</v>
      </c>
      <c r="X1255" s="3">
        <f>IF(AND($L1255=1,AND(对接源_02物料!$X55="自备筐",N(对接源_02物料!$T55)&lt;&gt;0)),1,0)</f>
        <v>0</v>
      </c>
      <c r="Y1255" s="3">
        <f t="shared" si="339"/>
        <v>0</v>
      </c>
      <c r="Z1255" s="3">
        <f>IF(AND($M1255=1,对接源_02物料!$D55="原料入库"),1,0)</f>
        <v>0</v>
      </c>
      <c r="AA1255" s="3">
        <f t="shared" si="340"/>
        <v>24</v>
      </c>
      <c r="AB1255" s="3">
        <f>IF(AND($M1255=1,LEFT(对接源_02物料!$D55,4)="原料出库"),1,0)</f>
        <v>0</v>
      </c>
      <c r="AC1255" s="3">
        <f t="shared" si="341"/>
        <v>0</v>
      </c>
      <c r="AD1255" s="3">
        <f>IF(AND($M1255=1,LEFT(对接源_02物料!$D55,4)="成品出库"),1,0)</f>
        <v>0</v>
      </c>
      <c r="AE1255" s="3">
        <f t="shared" si="342"/>
        <v>0</v>
      </c>
      <c r="AF1255" s="3">
        <f>IF(AND($N1255=1,AND(LEFT(对接源_02物料!$D55,4)="包装物料",N(对接源_02物料!$K55)&lt;&gt;0)),1,0)</f>
        <v>0</v>
      </c>
      <c r="AG1255" s="3">
        <f t="shared" si="343"/>
        <v>5</v>
      </c>
      <c r="AH1255" s="3">
        <f>IF(AND($N1255=1,AND(对接源_02物料!$D55="周转筐－销售出库",N(对接源_02物料!$K55)&lt;&gt;0)),1,0)</f>
        <v>0</v>
      </c>
      <c r="AI1255" s="3">
        <f t="shared" si="344"/>
        <v>0</v>
      </c>
      <c r="AL1255" s="3">
        <v>0</v>
      </c>
      <c r="AM1255" s="3">
        <f t="shared" si="345"/>
        <v>1</v>
      </c>
      <c r="AN1255" s="3" t="str">
        <f t="shared" si="332"/>
        <v/>
      </c>
      <c r="AO1255" s="3">
        <v>0</v>
      </c>
      <c r="AP1255" s="3">
        <f t="shared" si="346"/>
        <v>8</v>
      </c>
      <c r="AR1255">
        <f t="shared" si="347"/>
        <v>0</v>
      </c>
      <c r="AS1255">
        <f t="shared" si="348"/>
        <v>5</v>
      </c>
    </row>
    <row r="1256" customHeight="1" spans="1:45">
      <c r="A1256" s="3" t="str">
        <f>IF(对接源_02物料!$C56="","",对接源_02物料!$C56)</f>
        <v>吐尔洪</v>
      </c>
      <c r="B1256" s="3">
        <f t="shared" si="333"/>
        <v>0</v>
      </c>
      <c r="C1256" s="3">
        <f t="shared" si="334"/>
        <v>21</v>
      </c>
      <c r="K1256" s="3">
        <f>IF(OR($K$1="",对接源_02物料!$C56="",对接源_02物料!$C56&lt;&gt;$K$1,对接源_02物料!$B56=""),0,IF(OR(N(对接源_02物料!$B56)&lt;$K$2,N(对接源_02物料!$B56)&gt;$K$3),0,1))</f>
        <v>0</v>
      </c>
      <c r="L1256" s="3">
        <f>IF(OR($L$1="",对接源_02物料!$C56="",对接源_02物料!$C56&lt;&gt;$L$1,对接源_02物料!$B56=""),0,IF(OR(N(对接源_02物料!$B56)&lt;$L$2,N(对接源_02物料!$B56)&gt;$L$3),0,1))</f>
        <v>0</v>
      </c>
      <c r="M1256" s="3">
        <f>IF(OR($M$1="",对接源_02物料!$C56="",对接源_02物料!$C56&lt;&gt;$M$1,对接源_02物料!$B56=""),0,IF(OR(N(对接源_02物料!$B56)&lt;$M$2,N(对接源_02物料!$B56)&gt;$M$3),0,1))</f>
        <v>1</v>
      </c>
      <c r="N1256" s="3">
        <f>IF(OR($N$1="",对接源_02物料!$C56="",对接源_02物料!$C56&lt;&gt;$N$1,对接源_02物料!$B56=""),0,IF(OR(N(对接源_02物料!$B56)&lt;$N$2,N(对接源_02物料!$B56)&gt;$N$3),0,1))</f>
        <v>1</v>
      </c>
      <c r="P1256" s="3">
        <f>IF(AND($K1256=1,AND(对接源_02物料!$X56="公司筐",N(对接源_02物料!$T56)&lt;&gt;0)),1,0)</f>
        <v>0</v>
      </c>
      <c r="Q1256" s="3">
        <f t="shared" si="335"/>
        <v>0</v>
      </c>
      <c r="R1256" s="3">
        <f>IF(AND($K1256=1,AND(对接源_02物料!$X56="公司筐",N(对接源_02物料!$U56)&lt;&gt;0)),1,0)</f>
        <v>0</v>
      </c>
      <c r="S1256" s="3">
        <f t="shared" si="336"/>
        <v>0</v>
      </c>
      <c r="T1256" s="3">
        <f>IF(AND($K1256=1,AND(对接源_02物料!$X56="公司筐",N(对接源_02物料!$V56)&lt;&gt;0)),1,0)</f>
        <v>0</v>
      </c>
      <c r="U1256" s="3">
        <f t="shared" si="337"/>
        <v>19</v>
      </c>
      <c r="V1256" s="3">
        <f>IF(AND($L1256=1,AND(对接源_02物料!$X56="自备筐",N(对接源_02物料!$V56)&lt;&gt;0)),1,0)</f>
        <v>0</v>
      </c>
      <c r="W1256" s="3">
        <f t="shared" si="338"/>
        <v>8</v>
      </c>
      <c r="X1256" s="3">
        <f>IF(AND($L1256=1,AND(对接源_02物料!$X56="自备筐",N(对接源_02物料!$T56)&lt;&gt;0)),1,0)</f>
        <v>0</v>
      </c>
      <c r="Y1256" s="3">
        <f t="shared" si="339"/>
        <v>0</v>
      </c>
      <c r="Z1256" s="3">
        <f>IF(AND($M1256=1,对接源_02物料!$D56="原料入库"),1,0)</f>
        <v>0</v>
      </c>
      <c r="AA1256" s="3">
        <f t="shared" si="340"/>
        <v>24</v>
      </c>
      <c r="AB1256" s="3">
        <f>IF(AND($M1256=1,LEFT(对接源_02物料!$D56,4)="原料出库"),1,0)</f>
        <v>0</v>
      </c>
      <c r="AC1256" s="3">
        <f t="shared" si="341"/>
        <v>0</v>
      </c>
      <c r="AD1256" s="3">
        <f>IF(AND($M1256=1,LEFT(对接源_02物料!$D56,4)="成品出库"),1,0)</f>
        <v>0</v>
      </c>
      <c r="AE1256" s="3">
        <f t="shared" si="342"/>
        <v>0</v>
      </c>
      <c r="AF1256" s="3">
        <f>IF(AND($N1256=1,AND(LEFT(对接源_02物料!$D56,4)="包装物料",N(对接源_02物料!$K56)&lt;&gt;0)),1,0)</f>
        <v>0</v>
      </c>
      <c r="AG1256" s="3">
        <f t="shared" si="343"/>
        <v>5</v>
      </c>
      <c r="AH1256" s="3">
        <f>IF(AND($N1256=1,AND(对接源_02物料!$D56="周转筐－销售出库",N(对接源_02物料!$K56)&lt;&gt;0)),1,0)</f>
        <v>0</v>
      </c>
      <c r="AI1256" s="3">
        <f t="shared" si="344"/>
        <v>0</v>
      </c>
      <c r="AL1256" s="3">
        <v>0</v>
      </c>
      <c r="AM1256" s="3">
        <f t="shared" si="345"/>
        <v>1</v>
      </c>
      <c r="AN1256" s="3" t="str">
        <f t="shared" si="332"/>
        <v/>
      </c>
      <c r="AO1256" s="3">
        <v>0</v>
      </c>
      <c r="AP1256" s="3">
        <f t="shared" si="346"/>
        <v>8</v>
      </c>
      <c r="AR1256">
        <f t="shared" si="347"/>
        <v>0</v>
      </c>
      <c r="AS1256">
        <f t="shared" si="348"/>
        <v>5</v>
      </c>
    </row>
    <row r="1257" customHeight="1" spans="1:45">
      <c r="A1257" s="3" t="str">
        <f>IF(对接源_02物料!$C57="","",对接源_02物料!$C57)</f>
        <v>全修塑业</v>
      </c>
      <c r="B1257" s="3">
        <f t="shared" si="333"/>
        <v>0</v>
      </c>
      <c r="C1257" s="3">
        <f t="shared" si="334"/>
        <v>21</v>
      </c>
      <c r="K1257" s="3">
        <f>IF(OR($K$1="",对接源_02物料!$C57="",对接源_02物料!$C57&lt;&gt;$K$1,对接源_02物料!$B57=""),0,IF(OR(N(对接源_02物料!$B57)&lt;$K$2,N(对接源_02物料!$B57)&gt;$K$3),0,1))</f>
        <v>0</v>
      </c>
      <c r="L1257" s="3">
        <f>IF(OR($L$1="",对接源_02物料!$C57="",对接源_02物料!$C57&lt;&gt;$L$1,对接源_02物料!$B57=""),0,IF(OR(N(对接源_02物料!$B57)&lt;$L$2,N(对接源_02物料!$B57)&gt;$L$3),0,1))</f>
        <v>0</v>
      </c>
      <c r="M1257" s="3">
        <f>IF(OR($M$1="",对接源_02物料!$C57="",对接源_02物料!$C57&lt;&gt;$M$1,对接源_02物料!$B57=""),0,IF(OR(N(对接源_02物料!$B57)&lt;$M$2,N(对接源_02物料!$B57)&gt;$M$3),0,1))</f>
        <v>0</v>
      </c>
      <c r="N1257" s="3">
        <f>IF(OR($N$1="",对接源_02物料!$C57="",对接源_02物料!$C57&lt;&gt;$N$1,对接源_02物料!$B57=""),0,IF(OR(N(对接源_02物料!$B57)&lt;$N$2,N(对接源_02物料!$B57)&gt;$N$3),0,1))</f>
        <v>0</v>
      </c>
      <c r="P1257" s="3">
        <f>IF(AND($K1257=1,AND(对接源_02物料!$X57="公司筐",N(对接源_02物料!$T57)&lt;&gt;0)),1,0)</f>
        <v>0</v>
      </c>
      <c r="Q1257" s="3">
        <f t="shared" si="335"/>
        <v>0</v>
      </c>
      <c r="R1257" s="3">
        <f>IF(AND($K1257=1,AND(对接源_02物料!$X57="公司筐",N(对接源_02物料!$U57)&lt;&gt;0)),1,0)</f>
        <v>0</v>
      </c>
      <c r="S1257" s="3">
        <f t="shared" si="336"/>
        <v>0</v>
      </c>
      <c r="T1257" s="3">
        <f>IF(AND($K1257=1,AND(对接源_02物料!$X57="公司筐",N(对接源_02物料!$V57)&lt;&gt;0)),1,0)</f>
        <v>0</v>
      </c>
      <c r="U1257" s="3">
        <f t="shared" si="337"/>
        <v>19</v>
      </c>
      <c r="V1257" s="3">
        <f>IF(AND($L1257=1,AND(对接源_02物料!$X57="自备筐",N(对接源_02物料!$V57)&lt;&gt;0)),1,0)</f>
        <v>0</v>
      </c>
      <c r="W1257" s="3">
        <f t="shared" si="338"/>
        <v>8</v>
      </c>
      <c r="X1257" s="3">
        <f>IF(AND($L1257=1,AND(对接源_02物料!$X57="自备筐",N(对接源_02物料!$T57)&lt;&gt;0)),1,0)</f>
        <v>0</v>
      </c>
      <c r="Y1257" s="3">
        <f t="shared" si="339"/>
        <v>0</v>
      </c>
      <c r="Z1257" s="3">
        <f>IF(AND($M1257=1,对接源_02物料!$D57="原料入库"),1,0)</f>
        <v>0</v>
      </c>
      <c r="AA1257" s="3">
        <f t="shared" si="340"/>
        <v>24</v>
      </c>
      <c r="AB1257" s="3">
        <f>IF(AND($M1257=1,LEFT(对接源_02物料!$D57,4)="原料出库"),1,0)</f>
        <v>0</v>
      </c>
      <c r="AC1257" s="3">
        <f t="shared" si="341"/>
        <v>0</v>
      </c>
      <c r="AD1257" s="3">
        <f>IF(AND($M1257=1,LEFT(对接源_02物料!$D57,4)="成品出库"),1,0)</f>
        <v>0</v>
      </c>
      <c r="AE1257" s="3">
        <f t="shared" si="342"/>
        <v>0</v>
      </c>
      <c r="AF1257" s="3">
        <f>IF(AND($N1257=1,AND(LEFT(对接源_02物料!$D57,4)="包装物料",N(对接源_02物料!$K57)&lt;&gt;0)),1,0)</f>
        <v>0</v>
      </c>
      <c r="AG1257" s="3">
        <f t="shared" si="343"/>
        <v>5</v>
      </c>
      <c r="AH1257" s="3">
        <f>IF(AND($N1257=1,AND(对接源_02物料!$D57="周转筐－销售出库",N(对接源_02物料!$K57)&lt;&gt;0)),1,0)</f>
        <v>0</v>
      </c>
      <c r="AI1257" s="3">
        <f t="shared" si="344"/>
        <v>0</v>
      </c>
      <c r="AL1257" s="3">
        <v>0</v>
      </c>
      <c r="AM1257" s="3">
        <f t="shared" si="345"/>
        <v>1</v>
      </c>
      <c r="AN1257" s="3" t="str">
        <f t="shared" si="332"/>
        <v/>
      </c>
      <c r="AO1257" s="3">
        <v>0</v>
      </c>
      <c r="AP1257" s="3">
        <f t="shared" si="346"/>
        <v>8</v>
      </c>
      <c r="AR1257">
        <f t="shared" si="347"/>
        <v>0</v>
      </c>
      <c r="AS1257">
        <f t="shared" si="348"/>
        <v>5</v>
      </c>
    </row>
    <row r="1258" customHeight="1" spans="1:45">
      <c r="A1258" s="3" t="str">
        <f>IF(对接源_02物料!$C58="","",对接源_02物料!$C58)</f>
        <v>吐尔洪</v>
      </c>
      <c r="B1258" s="3">
        <f t="shared" si="333"/>
        <v>0</v>
      </c>
      <c r="C1258" s="3">
        <f t="shared" si="334"/>
        <v>21</v>
      </c>
      <c r="K1258" s="3">
        <f>IF(OR($K$1="",对接源_02物料!$C58="",对接源_02物料!$C58&lt;&gt;$K$1,对接源_02物料!$B58=""),0,IF(OR(N(对接源_02物料!$B58)&lt;$K$2,N(对接源_02物料!$B58)&gt;$K$3),0,1))</f>
        <v>0</v>
      </c>
      <c r="L1258" s="3">
        <f>IF(OR($L$1="",对接源_02物料!$C58="",对接源_02物料!$C58&lt;&gt;$L$1,对接源_02物料!$B58=""),0,IF(OR(N(对接源_02物料!$B58)&lt;$L$2,N(对接源_02物料!$B58)&gt;$L$3),0,1))</f>
        <v>0</v>
      </c>
      <c r="M1258" s="3">
        <f>IF(OR($M$1="",对接源_02物料!$C58="",对接源_02物料!$C58&lt;&gt;$M$1,对接源_02物料!$B58=""),0,IF(OR(N(对接源_02物料!$B58)&lt;$M$2,N(对接源_02物料!$B58)&gt;$M$3),0,1))</f>
        <v>1</v>
      </c>
      <c r="N1258" s="3">
        <f>IF(OR($N$1="",对接源_02物料!$C58="",对接源_02物料!$C58&lt;&gt;$N$1,对接源_02物料!$B58=""),0,IF(OR(N(对接源_02物料!$B58)&lt;$N$2,N(对接源_02物料!$B58)&gt;$N$3),0,1))</f>
        <v>1</v>
      </c>
      <c r="P1258" s="3">
        <f>IF(AND($K1258=1,AND(对接源_02物料!$X58="公司筐",N(对接源_02物料!$T58)&lt;&gt;0)),1,0)</f>
        <v>0</v>
      </c>
      <c r="Q1258" s="3">
        <f t="shared" si="335"/>
        <v>0</v>
      </c>
      <c r="R1258" s="3">
        <f>IF(AND($K1258=1,AND(对接源_02物料!$X58="公司筐",N(对接源_02物料!$U58)&lt;&gt;0)),1,0)</f>
        <v>0</v>
      </c>
      <c r="S1258" s="3">
        <f t="shared" si="336"/>
        <v>0</v>
      </c>
      <c r="T1258" s="3">
        <f>IF(AND($K1258=1,AND(对接源_02物料!$X58="公司筐",N(对接源_02物料!$V58)&lt;&gt;0)),1,0)</f>
        <v>0</v>
      </c>
      <c r="U1258" s="3">
        <f t="shared" si="337"/>
        <v>19</v>
      </c>
      <c r="V1258" s="3">
        <f>IF(AND($L1258=1,AND(对接源_02物料!$X58="自备筐",N(对接源_02物料!$V58)&lt;&gt;0)),1,0)</f>
        <v>0</v>
      </c>
      <c r="W1258" s="3">
        <f t="shared" si="338"/>
        <v>8</v>
      </c>
      <c r="X1258" s="3">
        <f>IF(AND($L1258=1,AND(对接源_02物料!$X58="自备筐",N(对接源_02物料!$T58)&lt;&gt;0)),1,0)</f>
        <v>0</v>
      </c>
      <c r="Y1258" s="3">
        <f t="shared" si="339"/>
        <v>0</v>
      </c>
      <c r="Z1258" s="3">
        <f>IF(AND($M1258=1,对接源_02物料!$D58="原料入库"),1,0)</f>
        <v>0</v>
      </c>
      <c r="AA1258" s="3">
        <f t="shared" si="340"/>
        <v>24</v>
      </c>
      <c r="AB1258" s="3">
        <f>IF(AND($M1258=1,LEFT(对接源_02物料!$D58,4)="原料出库"),1,0)</f>
        <v>0</v>
      </c>
      <c r="AC1258" s="3">
        <f t="shared" si="341"/>
        <v>0</v>
      </c>
      <c r="AD1258" s="3">
        <f>IF(AND($M1258=1,LEFT(对接源_02物料!$D58,4)="成品出库"),1,0)</f>
        <v>0</v>
      </c>
      <c r="AE1258" s="3">
        <f t="shared" si="342"/>
        <v>0</v>
      </c>
      <c r="AF1258" s="3">
        <f>IF(AND($N1258=1,AND(LEFT(对接源_02物料!$D58,4)="包装物料",N(对接源_02物料!$K58)&lt;&gt;0)),1,0)</f>
        <v>0</v>
      </c>
      <c r="AG1258" s="3">
        <f t="shared" si="343"/>
        <v>5</v>
      </c>
      <c r="AH1258" s="3">
        <f>IF(AND($N1258=1,AND(对接源_02物料!$D58="周转筐－销售出库",N(对接源_02物料!$K58)&lt;&gt;0)),1,0)</f>
        <v>0</v>
      </c>
      <c r="AI1258" s="3">
        <f t="shared" si="344"/>
        <v>0</v>
      </c>
      <c r="AL1258" s="3">
        <v>0</v>
      </c>
      <c r="AM1258" s="3">
        <f t="shared" si="345"/>
        <v>1</v>
      </c>
      <c r="AN1258" s="3" t="str">
        <f t="shared" si="332"/>
        <v/>
      </c>
      <c r="AO1258" s="3">
        <v>0</v>
      </c>
      <c r="AP1258" s="3">
        <f t="shared" si="346"/>
        <v>8</v>
      </c>
      <c r="AR1258">
        <f t="shared" si="347"/>
        <v>0</v>
      </c>
      <c r="AS1258">
        <f t="shared" si="348"/>
        <v>5</v>
      </c>
    </row>
    <row r="1259" customHeight="1" spans="1:45">
      <c r="A1259" s="3" t="str">
        <f>IF(对接源_02物料!$C59="","",对接源_02物料!$C59)</f>
        <v>全修塑业</v>
      </c>
      <c r="B1259" s="3">
        <f t="shared" si="333"/>
        <v>0</v>
      </c>
      <c r="C1259" s="3">
        <f t="shared" si="334"/>
        <v>21</v>
      </c>
      <c r="K1259" s="3">
        <f>IF(OR($K$1="",对接源_02物料!$C59="",对接源_02物料!$C59&lt;&gt;$K$1,对接源_02物料!$B59=""),0,IF(OR(N(对接源_02物料!$B59)&lt;$K$2,N(对接源_02物料!$B59)&gt;$K$3),0,1))</f>
        <v>0</v>
      </c>
      <c r="L1259" s="3">
        <f>IF(OR($L$1="",对接源_02物料!$C59="",对接源_02物料!$C59&lt;&gt;$L$1,对接源_02物料!$B59=""),0,IF(OR(N(对接源_02物料!$B59)&lt;$L$2,N(对接源_02物料!$B59)&gt;$L$3),0,1))</f>
        <v>0</v>
      </c>
      <c r="M1259" s="3">
        <f>IF(OR($M$1="",对接源_02物料!$C59="",对接源_02物料!$C59&lt;&gt;$M$1,对接源_02物料!$B59=""),0,IF(OR(N(对接源_02物料!$B59)&lt;$M$2,N(对接源_02物料!$B59)&gt;$M$3),0,1))</f>
        <v>0</v>
      </c>
      <c r="N1259" s="3">
        <f>IF(OR($N$1="",对接源_02物料!$C59="",对接源_02物料!$C59&lt;&gt;$N$1,对接源_02物料!$B59=""),0,IF(OR(N(对接源_02物料!$B59)&lt;$N$2,N(对接源_02物料!$B59)&gt;$N$3),0,1))</f>
        <v>0</v>
      </c>
      <c r="P1259" s="3">
        <f>IF(AND($K1259=1,AND(对接源_02物料!$X59="公司筐",N(对接源_02物料!$T59)&lt;&gt;0)),1,0)</f>
        <v>0</v>
      </c>
      <c r="Q1259" s="3">
        <f t="shared" si="335"/>
        <v>0</v>
      </c>
      <c r="R1259" s="3">
        <f>IF(AND($K1259=1,AND(对接源_02物料!$X59="公司筐",N(对接源_02物料!$U59)&lt;&gt;0)),1,0)</f>
        <v>0</v>
      </c>
      <c r="S1259" s="3">
        <f t="shared" si="336"/>
        <v>0</v>
      </c>
      <c r="T1259" s="3">
        <f>IF(AND($K1259=1,AND(对接源_02物料!$X59="公司筐",N(对接源_02物料!$V59)&lt;&gt;0)),1,0)</f>
        <v>0</v>
      </c>
      <c r="U1259" s="3">
        <f t="shared" si="337"/>
        <v>19</v>
      </c>
      <c r="V1259" s="3">
        <f>IF(AND($L1259=1,AND(对接源_02物料!$X59="自备筐",N(对接源_02物料!$V59)&lt;&gt;0)),1,0)</f>
        <v>0</v>
      </c>
      <c r="W1259" s="3">
        <f t="shared" si="338"/>
        <v>8</v>
      </c>
      <c r="X1259" s="3">
        <f>IF(AND($L1259=1,AND(对接源_02物料!$X59="自备筐",N(对接源_02物料!$T59)&lt;&gt;0)),1,0)</f>
        <v>0</v>
      </c>
      <c r="Y1259" s="3">
        <f t="shared" si="339"/>
        <v>0</v>
      </c>
      <c r="Z1259" s="3">
        <f>IF(AND($M1259=1,对接源_02物料!$D59="原料入库"),1,0)</f>
        <v>0</v>
      </c>
      <c r="AA1259" s="3">
        <f t="shared" si="340"/>
        <v>24</v>
      </c>
      <c r="AB1259" s="3">
        <f>IF(AND($M1259=1,LEFT(对接源_02物料!$D59,4)="原料出库"),1,0)</f>
        <v>0</v>
      </c>
      <c r="AC1259" s="3">
        <f t="shared" si="341"/>
        <v>0</v>
      </c>
      <c r="AD1259" s="3">
        <f>IF(AND($M1259=1,LEFT(对接源_02物料!$D59,4)="成品出库"),1,0)</f>
        <v>0</v>
      </c>
      <c r="AE1259" s="3">
        <f t="shared" si="342"/>
        <v>0</v>
      </c>
      <c r="AF1259" s="3">
        <f>IF(AND($N1259=1,AND(LEFT(对接源_02物料!$D59,4)="包装物料",N(对接源_02物料!$K59)&lt;&gt;0)),1,0)</f>
        <v>0</v>
      </c>
      <c r="AG1259" s="3">
        <f t="shared" si="343"/>
        <v>5</v>
      </c>
      <c r="AH1259" s="3">
        <f>IF(AND($N1259=1,AND(对接源_02物料!$D59="周转筐－销售出库",N(对接源_02物料!$K59)&lt;&gt;0)),1,0)</f>
        <v>0</v>
      </c>
      <c r="AI1259" s="3">
        <f t="shared" si="344"/>
        <v>0</v>
      </c>
      <c r="AL1259" s="3">
        <v>0</v>
      </c>
      <c r="AM1259" s="3">
        <f t="shared" si="345"/>
        <v>1</v>
      </c>
      <c r="AN1259" s="3" t="str">
        <f t="shared" si="332"/>
        <v/>
      </c>
      <c r="AO1259" s="3">
        <v>0</v>
      </c>
      <c r="AP1259" s="3">
        <f t="shared" si="346"/>
        <v>8</v>
      </c>
      <c r="AR1259">
        <f t="shared" si="347"/>
        <v>0</v>
      </c>
      <c r="AS1259">
        <f t="shared" si="348"/>
        <v>5</v>
      </c>
    </row>
    <row r="1260" customHeight="1" spans="1:45">
      <c r="A1260" s="3" t="str">
        <f>IF(对接源_02物料!$C60="","",对接源_02物料!$C60)</f>
        <v>热合曼</v>
      </c>
      <c r="B1260" s="3">
        <f t="shared" si="333"/>
        <v>0</v>
      </c>
      <c r="C1260" s="3">
        <f t="shared" si="334"/>
        <v>21</v>
      </c>
      <c r="K1260" s="3">
        <f>IF(OR($K$1="",对接源_02物料!$C60="",对接源_02物料!$C60&lt;&gt;$K$1,对接源_02物料!$B60=""),0,IF(OR(N(对接源_02物料!$B60)&lt;$K$2,N(对接源_02物料!$B60)&gt;$K$3),0,1))</f>
        <v>0</v>
      </c>
      <c r="L1260" s="3">
        <f>IF(OR($L$1="",对接源_02物料!$C60="",对接源_02物料!$C60&lt;&gt;$L$1,对接源_02物料!$B60=""),0,IF(OR(N(对接源_02物料!$B60)&lt;$L$2,N(对接源_02物料!$B60)&gt;$L$3),0,1))</f>
        <v>0</v>
      </c>
      <c r="M1260" s="3">
        <f>IF(OR($M$1="",对接源_02物料!$C60="",对接源_02物料!$C60&lt;&gt;$M$1,对接源_02物料!$B60=""),0,IF(OR(N(对接源_02物料!$B60)&lt;$M$2,N(对接源_02物料!$B60)&gt;$M$3),0,1))</f>
        <v>0</v>
      </c>
      <c r="N1260" s="3">
        <f>IF(OR($N$1="",对接源_02物料!$C60="",对接源_02物料!$C60&lt;&gt;$N$1,对接源_02物料!$B60=""),0,IF(OR(N(对接源_02物料!$B60)&lt;$N$2,N(对接源_02物料!$B60)&gt;$N$3),0,1))</f>
        <v>0</v>
      </c>
      <c r="P1260" s="3">
        <f>IF(AND($K1260=1,AND(对接源_02物料!$X60="公司筐",N(对接源_02物料!$T60)&lt;&gt;0)),1,0)</f>
        <v>0</v>
      </c>
      <c r="Q1260" s="3">
        <f t="shared" si="335"/>
        <v>0</v>
      </c>
      <c r="R1260" s="3">
        <f>IF(AND($K1260=1,AND(对接源_02物料!$X60="公司筐",N(对接源_02物料!$U60)&lt;&gt;0)),1,0)</f>
        <v>0</v>
      </c>
      <c r="S1260" s="3">
        <f t="shared" si="336"/>
        <v>0</v>
      </c>
      <c r="T1260" s="3">
        <f>IF(AND($K1260=1,AND(对接源_02物料!$X60="公司筐",N(对接源_02物料!$V60)&lt;&gt;0)),1,0)</f>
        <v>0</v>
      </c>
      <c r="U1260" s="3">
        <f t="shared" si="337"/>
        <v>19</v>
      </c>
      <c r="V1260" s="3">
        <f>IF(AND($L1260=1,AND(对接源_02物料!$X60="自备筐",N(对接源_02物料!$V60)&lt;&gt;0)),1,0)</f>
        <v>0</v>
      </c>
      <c r="W1260" s="3">
        <f t="shared" si="338"/>
        <v>8</v>
      </c>
      <c r="X1260" s="3">
        <f>IF(AND($L1260=1,AND(对接源_02物料!$X60="自备筐",N(对接源_02物料!$T60)&lt;&gt;0)),1,0)</f>
        <v>0</v>
      </c>
      <c r="Y1260" s="3">
        <f t="shared" si="339"/>
        <v>0</v>
      </c>
      <c r="Z1260" s="3">
        <f>IF(AND($M1260=1,对接源_02物料!$D60="原料入库"),1,0)</f>
        <v>0</v>
      </c>
      <c r="AA1260" s="3">
        <f t="shared" si="340"/>
        <v>24</v>
      </c>
      <c r="AB1260" s="3">
        <f>IF(AND($M1260=1,LEFT(对接源_02物料!$D60,4)="原料出库"),1,0)</f>
        <v>0</v>
      </c>
      <c r="AC1260" s="3">
        <f t="shared" si="341"/>
        <v>0</v>
      </c>
      <c r="AD1260" s="3">
        <f>IF(AND($M1260=1,LEFT(对接源_02物料!$D60,4)="成品出库"),1,0)</f>
        <v>0</v>
      </c>
      <c r="AE1260" s="3">
        <f t="shared" si="342"/>
        <v>0</v>
      </c>
      <c r="AF1260" s="3">
        <f>IF(AND($N1260=1,AND(LEFT(对接源_02物料!$D60,4)="包装物料",N(对接源_02物料!$K60)&lt;&gt;0)),1,0)</f>
        <v>0</v>
      </c>
      <c r="AG1260" s="3">
        <f t="shared" si="343"/>
        <v>5</v>
      </c>
      <c r="AH1260" s="3">
        <f>IF(AND($N1260=1,AND(对接源_02物料!$D60="周转筐－销售出库",N(对接源_02物料!$K60)&lt;&gt;0)),1,0)</f>
        <v>0</v>
      </c>
      <c r="AI1260" s="3">
        <f t="shared" si="344"/>
        <v>0</v>
      </c>
      <c r="AL1260" s="3">
        <v>0</v>
      </c>
      <c r="AM1260" s="3">
        <f t="shared" si="345"/>
        <v>1</v>
      </c>
      <c r="AN1260" s="3" t="str">
        <f t="shared" si="332"/>
        <v/>
      </c>
      <c r="AO1260" s="3">
        <v>0</v>
      </c>
      <c r="AP1260" s="3">
        <f t="shared" si="346"/>
        <v>8</v>
      </c>
      <c r="AR1260">
        <f t="shared" si="347"/>
        <v>0</v>
      </c>
      <c r="AS1260">
        <f t="shared" si="348"/>
        <v>5</v>
      </c>
    </row>
    <row r="1261" customHeight="1" spans="1:45">
      <c r="A1261" s="3" t="str">
        <f>IF(对接源_02物料!$C61="","",对接源_02物料!$C61)</f>
        <v>全修塑业</v>
      </c>
      <c r="B1261" s="3">
        <f t="shared" si="333"/>
        <v>0</v>
      </c>
      <c r="C1261" s="3">
        <f t="shared" si="334"/>
        <v>21</v>
      </c>
      <c r="K1261" s="3">
        <f>IF(OR($K$1="",对接源_02物料!$C61="",对接源_02物料!$C61&lt;&gt;$K$1,对接源_02物料!$B61=""),0,IF(OR(N(对接源_02物料!$B61)&lt;$K$2,N(对接源_02物料!$B61)&gt;$K$3),0,1))</f>
        <v>0</v>
      </c>
      <c r="L1261" s="3">
        <f>IF(OR($L$1="",对接源_02物料!$C61="",对接源_02物料!$C61&lt;&gt;$L$1,对接源_02物料!$B61=""),0,IF(OR(N(对接源_02物料!$B61)&lt;$L$2,N(对接源_02物料!$B61)&gt;$L$3),0,1))</f>
        <v>0</v>
      </c>
      <c r="M1261" s="3">
        <f>IF(OR($M$1="",对接源_02物料!$C61="",对接源_02物料!$C61&lt;&gt;$M$1,对接源_02物料!$B61=""),0,IF(OR(N(对接源_02物料!$B61)&lt;$M$2,N(对接源_02物料!$B61)&gt;$M$3),0,1))</f>
        <v>0</v>
      </c>
      <c r="N1261" s="3">
        <f>IF(OR($N$1="",对接源_02物料!$C61="",对接源_02物料!$C61&lt;&gt;$N$1,对接源_02物料!$B61=""),0,IF(OR(N(对接源_02物料!$B61)&lt;$N$2,N(对接源_02物料!$B61)&gt;$N$3),0,1))</f>
        <v>0</v>
      </c>
      <c r="P1261" s="3">
        <f>IF(AND($K1261=1,AND(对接源_02物料!$X61="公司筐",N(对接源_02物料!$T61)&lt;&gt;0)),1,0)</f>
        <v>0</v>
      </c>
      <c r="Q1261" s="3">
        <f t="shared" si="335"/>
        <v>0</v>
      </c>
      <c r="R1261" s="3">
        <f>IF(AND($K1261=1,AND(对接源_02物料!$X61="公司筐",N(对接源_02物料!$U61)&lt;&gt;0)),1,0)</f>
        <v>0</v>
      </c>
      <c r="S1261" s="3">
        <f t="shared" si="336"/>
        <v>0</v>
      </c>
      <c r="T1261" s="3">
        <f>IF(AND($K1261=1,AND(对接源_02物料!$X61="公司筐",N(对接源_02物料!$V61)&lt;&gt;0)),1,0)</f>
        <v>0</v>
      </c>
      <c r="U1261" s="3">
        <f t="shared" si="337"/>
        <v>19</v>
      </c>
      <c r="V1261" s="3">
        <f>IF(AND($L1261=1,AND(对接源_02物料!$X61="自备筐",N(对接源_02物料!$V61)&lt;&gt;0)),1,0)</f>
        <v>0</v>
      </c>
      <c r="W1261" s="3">
        <f t="shared" si="338"/>
        <v>8</v>
      </c>
      <c r="X1261" s="3">
        <f>IF(AND($L1261=1,AND(对接源_02物料!$X61="自备筐",N(对接源_02物料!$T61)&lt;&gt;0)),1,0)</f>
        <v>0</v>
      </c>
      <c r="Y1261" s="3">
        <f t="shared" si="339"/>
        <v>0</v>
      </c>
      <c r="Z1261" s="3">
        <f>IF(AND($M1261=1,对接源_02物料!$D61="原料入库"),1,0)</f>
        <v>0</v>
      </c>
      <c r="AA1261" s="3">
        <f t="shared" si="340"/>
        <v>24</v>
      </c>
      <c r="AB1261" s="3">
        <f>IF(AND($M1261=1,LEFT(对接源_02物料!$D61,4)="原料出库"),1,0)</f>
        <v>0</v>
      </c>
      <c r="AC1261" s="3">
        <f t="shared" si="341"/>
        <v>0</v>
      </c>
      <c r="AD1261" s="3">
        <f>IF(AND($M1261=1,LEFT(对接源_02物料!$D61,4)="成品出库"),1,0)</f>
        <v>0</v>
      </c>
      <c r="AE1261" s="3">
        <f t="shared" si="342"/>
        <v>0</v>
      </c>
      <c r="AF1261" s="3">
        <f>IF(AND($N1261=1,AND(LEFT(对接源_02物料!$D61,4)="包装物料",N(对接源_02物料!$K61)&lt;&gt;0)),1,0)</f>
        <v>0</v>
      </c>
      <c r="AG1261" s="3">
        <f t="shared" si="343"/>
        <v>5</v>
      </c>
      <c r="AH1261" s="3">
        <f>IF(AND($N1261=1,AND(对接源_02物料!$D61="周转筐－销售出库",N(对接源_02物料!$K61)&lt;&gt;0)),1,0)</f>
        <v>0</v>
      </c>
      <c r="AI1261" s="3">
        <f t="shared" si="344"/>
        <v>0</v>
      </c>
      <c r="AL1261" s="3">
        <v>0</v>
      </c>
      <c r="AM1261" s="3">
        <f t="shared" si="345"/>
        <v>1</v>
      </c>
      <c r="AN1261" s="3" t="str">
        <f t="shared" si="332"/>
        <v/>
      </c>
      <c r="AO1261" s="3">
        <v>0</v>
      </c>
      <c r="AP1261" s="3">
        <f t="shared" si="346"/>
        <v>8</v>
      </c>
      <c r="AR1261">
        <f t="shared" si="347"/>
        <v>0</v>
      </c>
      <c r="AS1261">
        <f t="shared" si="348"/>
        <v>5</v>
      </c>
    </row>
    <row r="1262" customHeight="1" spans="1:45">
      <c r="A1262" s="3" t="str">
        <f>IF(对接源_02物料!$C62="","",对接源_02物料!$C62)</f>
        <v>王灵云</v>
      </c>
      <c r="B1262" s="3">
        <f t="shared" si="333"/>
        <v>0</v>
      </c>
      <c r="C1262" s="3">
        <f t="shared" si="334"/>
        <v>21</v>
      </c>
      <c r="K1262" s="3">
        <f>IF(OR($K$1="",对接源_02物料!$C62="",对接源_02物料!$C62&lt;&gt;$K$1,对接源_02物料!$B62=""),0,IF(OR(N(对接源_02物料!$B62)&lt;$K$2,N(对接源_02物料!$B62)&gt;$K$3),0,1))</f>
        <v>1</v>
      </c>
      <c r="L1262" s="3">
        <f>IF(OR($L$1="",对接源_02物料!$C62="",对接源_02物料!$C62&lt;&gt;$L$1,对接源_02物料!$B62=""),0,IF(OR(N(对接源_02物料!$B62)&lt;$L$2,N(对接源_02物料!$B62)&gt;$L$3),0,1))</f>
        <v>0</v>
      </c>
      <c r="M1262" s="3">
        <f>IF(OR($M$1="",对接源_02物料!$C62="",对接源_02物料!$C62&lt;&gt;$M$1,对接源_02物料!$B62=""),0,IF(OR(N(对接源_02物料!$B62)&lt;$M$2,N(对接源_02物料!$B62)&gt;$M$3),0,1))</f>
        <v>0</v>
      </c>
      <c r="N1262" s="3">
        <f>IF(OR($N$1="",对接源_02物料!$C62="",对接源_02物料!$C62&lt;&gt;$N$1,对接源_02物料!$B62=""),0,IF(OR(N(对接源_02物料!$B62)&lt;$N$2,N(对接源_02物料!$B62)&gt;$N$3),0,1))</f>
        <v>0</v>
      </c>
      <c r="P1262" s="3">
        <f>IF(AND($K1262=1,AND(对接源_02物料!$X62="公司筐",N(对接源_02物料!$T62)&lt;&gt;0)),1,0)</f>
        <v>1</v>
      </c>
      <c r="Q1262" s="3">
        <f t="shared" si="335"/>
        <v>1</v>
      </c>
      <c r="R1262" s="3">
        <f>IF(AND($K1262=1,AND(对接源_02物料!$X62="公司筐",N(对接源_02物料!$U62)&lt;&gt;0)),1,0)</f>
        <v>0</v>
      </c>
      <c r="S1262" s="3">
        <f t="shared" si="336"/>
        <v>0</v>
      </c>
      <c r="T1262" s="3">
        <f>IF(AND($K1262=1,AND(对接源_02物料!$X62="公司筐",N(对接源_02物料!$V62)&lt;&gt;0)),1,0)</f>
        <v>0</v>
      </c>
      <c r="U1262" s="3">
        <f t="shared" si="337"/>
        <v>19</v>
      </c>
      <c r="V1262" s="3">
        <f>IF(AND($L1262=1,AND(对接源_02物料!$X62="自备筐",N(对接源_02物料!$V62)&lt;&gt;0)),1,0)</f>
        <v>0</v>
      </c>
      <c r="W1262" s="3">
        <f t="shared" si="338"/>
        <v>8</v>
      </c>
      <c r="X1262" s="3">
        <f>IF(AND($L1262=1,AND(对接源_02物料!$X62="自备筐",N(对接源_02物料!$T62)&lt;&gt;0)),1,0)</f>
        <v>0</v>
      </c>
      <c r="Y1262" s="3">
        <f t="shared" si="339"/>
        <v>0</v>
      </c>
      <c r="Z1262" s="3">
        <f>IF(AND($M1262=1,对接源_02物料!$D62="原料入库"),1,0)</f>
        <v>0</v>
      </c>
      <c r="AA1262" s="3">
        <f t="shared" si="340"/>
        <v>24</v>
      </c>
      <c r="AB1262" s="3">
        <f>IF(AND($M1262=1,LEFT(对接源_02物料!$D62,4)="原料出库"),1,0)</f>
        <v>0</v>
      </c>
      <c r="AC1262" s="3">
        <f t="shared" si="341"/>
        <v>0</v>
      </c>
      <c r="AD1262" s="3">
        <f>IF(AND($M1262=1,LEFT(对接源_02物料!$D62,4)="成品出库"),1,0)</f>
        <v>0</v>
      </c>
      <c r="AE1262" s="3">
        <f t="shared" si="342"/>
        <v>0</v>
      </c>
      <c r="AF1262" s="3">
        <f>IF(AND($N1262=1,AND(LEFT(对接源_02物料!$D62,4)="包装物料",N(对接源_02物料!$K62)&lt;&gt;0)),1,0)</f>
        <v>0</v>
      </c>
      <c r="AG1262" s="3">
        <f t="shared" si="343"/>
        <v>5</v>
      </c>
      <c r="AH1262" s="3">
        <f>IF(AND($N1262=1,AND(对接源_02物料!$D62="周转筐－销售出库",N(对接源_02物料!$K62)&lt;&gt;0)),1,0)</f>
        <v>0</v>
      </c>
      <c r="AI1262" s="3">
        <f t="shared" si="344"/>
        <v>0</v>
      </c>
      <c r="AL1262" s="3">
        <v>0</v>
      </c>
      <c r="AM1262" s="3">
        <f t="shared" si="345"/>
        <v>1</v>
      </c>
      <c r="AN1262" s="3" t="str">
        <f t="shared" si="332"/>
        <v/>
      </c>
      <c r="AO1262" s="3">
        <v>0</v>
      </c>
      <c r="AP1262" s="3">
        <f t="shared" si="346"/>
        <v>8</v>
      </c>
      <c r="AR1262">
        <f t="shared" si="347"/>
        <v>0</v>
      </c>
      <c r="AS1262">
        <f t="shared" si="348"/>
        <v>5</v>
      </c>
    </row>
    <row r="1263" customHeight="1" spans="1:45">
      <c r="A1263" s="3" t="str">
        <f>IF(对接源_02物料!$C63="","",对接源_02物料!$C63)</f>
        <v>全修塑业</v>
      </c>
      <c r="B1263" s="3">
        <f t="shared" si="333"/>
        <v>0</v>
      </c>
      <c r="C1263" s="3">
        <f t="shared" si="334"/>
        <v>21</v>
      </c>
      <c r="K1263" s="3">
        <f>IF(OR($K$1="",对接源_02物料!$C63="",对接源_02物料!$C63&lt;&gt;$K$1,对接源_02物料!$B63=""),0,IF(OR(N(对接源_02物料!$B63)&lt;$K$2,N(对接源_02物料!$B63)&gt;$K$3),0,1))</f>
        <v>0</v>
      </c>
      <c r="L1263" s="3">
        <f>IF(OR($L$1="",对接源_02物料!$C63="",对接源_02物料!$C63&lt;&gt;$L$1,对接源_02物料!$B63=""),0,IF(OR(N(对接源_02物料!$B63)&lt;$L$2,N(对接源_02物料!$B63)&gt;$L$3),0,1))</f>
        <v>0</v>
      </c>
      <c r="M1263" s="3">
        <f>IF(OR($M$1="",对接源_02物料!$C63="",对接源_02物料!$C63&lt;&gt;$M$1,对接源_02物料!$B63=""),0,IF(OR(N(对接源_02物料!$B63)&lt;$M$2,N(对接源_02物料!$B63)&gt;$M$3),0,1))</f>
        <v>0</v>
      </c>
      <c r="N1263" s="3">
        <f>IF(OR($N$1="",对接源_02物料!$C63="",对接源_02物料!$C63&lt;&gt;$N$1,对接源_02物料!$B63=""),0,IF(OR(N(对接源_02物料!$B63)&lt;$N$2,N(对接源_02物料!$B63)&gt;$N$3),0,1))</f>
        <v>0</v>
      </c>
      <c r="P1263" s="3">
        <f>IF(AND($K1263=1,AND(对接源_02物料!$X63="公司筐",N(对接源_02物料!$T63)&lt;&gt;0)),1,0)</f>
        <v>0</v>
      </c>
      <c r="Q1263" s="3">
        <f t="shared" si="335"/>
        <v>1</v>
      </c>
      <c r="R1263" s="3">
        <f>IF(AND($K1263=1,AND(对接源_02物料!$X63="公司筐",N(对接源_02物料!$U63)&lt;&gt;0)),1,0)</f>
        <v>0</v>
      </c>
      <c r="S1263" s="3">
        <f t="shared" si="336"/>
        <v>0</v>
      </c>
      <c r="T1263" s="3">
        <f>IF(AND($K1263=1,AND(对接源_02物料!$X63="公司筐",N(对接源_02物料!$V63)&lt;&gt;0)),1,0)</f>
        <v>0</v>
      </c>
      <c r="U1263" s="3">
        <f t="shared" si="337"/>
        <v>19</v>
      </c>
      <c r="V1263" s="3">
        <f>IF(AND($L1263=1,AND(对接源_02物料!$X63="自备筐",N(对接源_02物料!$V63)&lt;&gt;0)),1,0)</f>
        <v>0</v>
      </c>
      <c r="W1263" s="3">
        <f t="shared" si="338"/>
        <v>8</v>
      </c>
      <c r="X1263" s="3">
        <f>IF(AND($L1263=1,AND(对接源_02物料!$X63="自备筐",N(对接源_02物料!$T63)&lt;&gt;0)),1,0)</f>
        <v>0</v>
      </c>
      <c r="Y1263" s="3">
        <f t="shared" si="339"/>
        <v>0</v>
      </c>
      <c r="Z1263" s="3">
        <f>IF(AND($M1263=1,对接源_02物料!$D63="原料入库"),1,0)</f>
        <v>0</v>
      </c>
      <c r="AA1263" s="3">
        <f t="shared" si="340"/>
        <v>24</v>
      </c>
      <c r="AB1263" s="3">
        <f>IF(AND($M1263=1,LEFT(对接源_02物料!$D63,4)="原料出库"),1,0)</f>
        <v>0</v>
      </c>
      <c r="AC1263" s="3">
        <f t="shared" si="341"/>
        <v>0</v>
      </c>
      <c r="AD1263" s="3">
        <f>IF(AND($M1263=1,LEFT(对接源_02物料!$D63,4)="成品出库"),1,0)</f>
        <v>0</v>
      </c>
      <c r="AE1263" s="3">
        <f t="shared" si="342"/>
        <v>0</v>
      </c>
      <c r="AF1263" s="3">
        <f>IF(AND($N1263=1,AND(LEFT(对接源_02物料!$D63,4)="包装物料",N(对接源_02物料!$K63)&lt;&gt;0)),1,0)</f>
        <v>0</v>
      </c>
      <c r="AG1263" s="3">
        <f t="shared" si="343"/>
        <v>5</v>
      </c>
      <c r="AH1263" s="3">
        <f>IF(AND($N1263=1,AND(对接源_02物料!$D63="周转筐－销售出库",N(对接源_02物料!$K63)&lt;&gt;0)),1,0)</f>
        <v>0</v>
      </c>
      <c r="AI1263" s="3">
        <f t="shared" si="344"/>
        <v>0</v>
      </c>
      <c r="AL1263" s="3">
        <v>0</v>
      </c>
      <c r="AM1263" s="3">
        <f t="shared" si="345"/>
        <v>1</v>
      </c>
      <c r="AN1263" s="3" t="str">
        <f t="shared" si="332"/>
        <v/>
      </c>
      <c r="AO1263" s="3">
        <v>0</v>
      </c>
      <c r="AP1263" s="3">
        <f t="shared" si="346"/>
        <v>8</v>
      </c>
      <c r="AR1263">
        <f t="shared" si="347"/>
        <v>0</v>
      </c>
      <c r="AS1263">
        <f t="shared" si="348"/>
        <v>5</v>
      </c>
    </row>
    <row r="1264" customHeight="1" spans="1:45">
      <c r="A1264" s="3" t="str">
        <f>IF(对接源_02物料!$C64="","",对接源_02物料!$C64)</f>
        <v>麦麦提</v>
      </c>
      <c r="B1264" s="3">
        <f t="shared" si="333"/>
        <v>0</v>
      </c>
      <c r="C1264" s="3">
        <f t="shared" si="334"/>
        <v>21</v>
      </c>
      <c r="K1264" s="3">
        <f>IF(OR($K$1="",对接源_02物料!$C64="",对接源_02物料!$C64&lt;&gt;$K$1,对接源_02物料!$B64=""),0,IF(OR(N(对接源_02物料!$B64)&lt;$K$2,N(对接源_02物料!$B64)&gt;$K$3),0,1))</f>
        <v>0</v>
      </c>
      <c r="L1264" s="3">
        <f>IF(OR($L$1="",对接源_02物料!$C64="",对接源_02物料!$C64&lt;&gt;$L$1,对接源_02物料!$B64=""),0,IF(OR(N(对接源_02物料!$B64)&lt;$L$2,N(对接源_02物料!$B64)&gt;$L$3),0,1))</f>
        <v>0</v>
      </c>
      <c r="M1264" s="3">
        <f>IF(OR($M$1="",对接源_02物料!$C64="",对接源_02物料!$C64&lt;&gt;$M$1,对接源_02物料!$B64=""),0,IF(OR(N(对接源_02物料!$B64)&lt;$M$2,N(对接源_02物料!$B64)&gt;$M$3),0,1))</f>
        <v>0</v>
      </c>
      <c r="N1264" s="3">
        <f>IF(OR($N$1="",对接源_02物料!$C64="",对接源_02物料!$C64&lt;&gt;$N$1,对接源_02物料!$B64=""),0,IF(OR(N(对接源_02物料!$B64)&lt;$N$2,N(对接源_02物料!$B64)&gt;$N$3),0,1))</f>
        <v>0</v>
      </c>
      <c r="P1264" s="3">
        <f>IF(AND($K1264=1,AND(对接源_02物料!$X64="公司筐",N(对接源_02物料!$T64)&lt;&gt;0)),1,0)</f>
        <v>0</v>
      </c>
      <c r="Q1264" s="3">
        <f t="shared" si="335"/>
        <v>1</v>
      </c>
      <c r="R1264" s="3">
        <f>IF(AND($K1264=1,AND(对接源_02物料!$X64="公司筐",N(对接源_02物料!$U64)&lt;&gt;0)),1,0)</f>
        <v>0</v>
      </c>
      <c r="S1264" s="3">
        <f t="shared" si="336"/>
        <v>0</v>
      </c>
      <c r="T1264" s="3">
        <f>IF(AND($K1264=1,AND(对接源_02物料!$X64="公司筐",N(对接源_02物料!$V64)&lt;&gt;0)),1,0)</f>
        <v>0</v>
      </c>
      <c r="U1264" s="3">
        <f t="shared" si="337"/>
        <v>19</v>
      </c>
      <c r="V1264" s="3">
        <f>IF(AND($L1264=1,AND(对接源_02物料!$X64="自备筐",N(对接源_02物料!$V64)&lt;&gt;0)),1,0)</f>
        <v>0</v>
      </c>
      <c r="W1264" s="3">
        <f t="shared" si="338"/>
        <v>8</v>
      </c>
      <c r="X1264" s="3">
        <f>IF(AND($L1264=1,AND(对接源_02物料!$X64="自备筐",N(对接源_02物料!$T64)&lt;&gt;0)),1,0)</f>
        <v>0</v>
      </c>
      <c r="Y1264" s="3">
        <f t="shared" si="339"/>
        <v>0</v>
      </c>
      <c r="Z1264" s="3">
        <f>IF(AND($M1264=1,对接源_02物料!$D64="原料入库"),1,0)</f>
        <v>0</v>
      </c>
      <c r="AA1264" s="3">
        <f t="shared" si="340"/>
        <v>24</v>
      </c>
      <c r="AB1264" s="3">
        <f>IF(AND($M1264=1,LEFT(对接源_02物料!$D64,4)="原料出库"),1,0)</f>
        <v>0</v>
      </c>
      <c r="AC1264" s="3">
        <f t="shared" si="341"/>
        <v>0</v>
      </c>
      <c r="AD1264" s="3">
        <f>IF(AND($M1264=1,LEFT(对接源_02物料!$D64,4)="成品出库"),1,0)</f>
        <v>0</v>
      </c>
      <c r="AE1264" s="3">
        <f t="shared" si="342"/>
        <v>0</v>
      </c>
      <c r="AF1264" s="3">
        <f>IF(AND($N1264=1,AND(LEFT(对接源_02物料!$D64,4)="包装物料",N(对接源_02物料!$K64)&lt;&gt;0)),1,0)</f>
        <v>0</v>
      </c>
      <c r="AG1264" s="3">
        <f t="shared" si="343"/>
        <v>5</v>
      </c>
      <c r="AH1264" s="3">
        <f>IF(AND($N1264=1,AND(对接源_02物料!$D64="周转筐－销售出库",N(对接源_02物料!$K64)&lt;&gt;0)),1,0)</f>
        <v>0</v>
      </c>
      <c r="AI1264" s="3">
        <f t="shared" si="344"/>
        <v>0</v>
      </c>
      <c r="AL1264" s="3">
        <v>0</v>
      </c>
      <c r="AM1264" s="3">
        <f t="shared" si="345"/>
        <v>1</v>
      </c>
      <c r="AN1264" s="3" t="str">
        <f t="shared" si="332"/>
        <v/>
      </c>
      <c r="AO1264" s="3">
        <v>0</v>
      </c>
      <c r="AP1264" s="3">
        <f t="shared" si="346"/>
        <v>8</v>
      </c>
      <c r="AR1264">
        <f t="shared" si="347"/>
        <v>0</v>
      </c>
      <c r="AS1264">
        <f t="shared" si="348"/>
        <v>5</v>
      </c>
    </row>
    <row r="1265" customHeight="1" spans="1:45">
      <c r="A1265" s="3" t="str">
        <f>IF(对接源_02物料!$C65="","",对接源_02物料!$C65)</f>
        <v>全修塑业</v>
      </c>
      <c r="B1265" s="3">
        <f t="shared" si="333"/>
        <v>0</v>
      </c>
      <c r="C1265" s="3">
        <f t="shared" si="334"/>
        <v>21</v>
      </c>
      <c r="K1265" s="3">
        <f>IF(OR($K$1="",对接源_02物料!$C65="",对接源_02物料!$C65&lt;&gt;$K$1,对接源_02物料!$B65=""),0,IF(OR(N(对接源_02物料!$B65)&lt;$K$2,N(对接源_02物料!$B65)&gt;$K$3),0,1))</f>
        <v>0</v>
      </c>
      <c r="L1265" s="3">
        <f>IF(OR($L$1="",对接源_02物料!$C65="",对接源_02物料!$C65&lt;&gt;$L$1,对接源_02物料!$B65=""),0,IF(OR(N(对接源_02物料!$B65)&lt;$L$2,N(对接源_02物料!$B65)&gt;$L$3),0,1))</f>
        <v>0</v>
      </c>
      <c r="M1265" s="3">
        <f>IF(OR($M$1="",对接源_02物料!$C65="",对接源_02物料!$C65&lt;&gt;$M$1,对接源_02物料!$B65=""),0,IF(OR(N(对接源_02物料!$B65)&lt;$M$2,N(对接源_02物料!$B65)&gt;$M$3),0,1))</f>
        <v>0</v>
      </c>
      <c r="N1265" s="3">
        <f>IF(OR($N$1="",对接源_02物料!$C65="",对接源_02物料!$C65&lt;&gt;$N$1,对接源_02物料!$B65=""),0,IF(OR(N(对接源_02物料!$B65)&lt;$N$2,N(对接源_02物料!$B65)&gt;$N$3),0,1))</f>
        <v>0</v>
      </c>
      <c r="P1265" s="3">
        <f>IF(AND($K1265=1,AND(对接源_02物料!$X65="公司筐",N(对接源_02物料!$T65)&lt;&gt;0)),1,0)</f>
        <v>0</v>
      </c>
      <c r="Q1265" s="3">
        <f t="shared" si="335"/>
        <v>1</v>
      </c>
      <c r="R1265" s="3">
        <f>IF(AND($K1265=1,AND(对接源_02物料!$X65="公司筐",N(对接源_02物料!$U65)&lt;&gt;0)),1,0)</f>
        <v>0</v>
      </c>
      <c r="S1265" s="3">
        <f t="shared" si="336"/>
        <v>0</v>
      </c>
      <c r="T1265" s="3">
        <f>IF(AND($K1265=1,AND(对接源_02物料!$X65="公司筐",N(对接源_02物料!$V65)&lt;&gt;0)),1,0)</f>
        <v>0</v>
      </c>
      <c r="U1265" s="3">
        <f t="shared" si="337"/>
        <v>19</v>
      </c>
      <c r="V1265" s="3">
        <f>IF(AND($L1265=1,AND(对接源_02物料!$X65="自备筐",N(对接源_02物料!$V65)&lt;&gt;0)),1,0)</f>
        <v>0</v>
      </c>
      <c r="W1265" s="3">
        <f t="shared" si="338"/>
        <v>8</v>
      </c>
      <c r="X1265" s="3">
        <f>IF(AND($L1265=1,AND(对接源_02物料!$X65="自备筐",N(对接源_02物料!$T65)&lt;&gt;0)),1,0)</f>
        <v>0</v>
      </c>
      <c r="Y1265" s="3">
        <f t="shared" si="339"/>
        <v>0</v>
      </c>
      <c r="Z1265" s="3">
        <f>IF(AND($M1265=1,对接源_02物料!$D65="原料入库"),1,0)</f>
        <v>0</v>
      </c>
      <c r="AA1265" s="3">
        <f t="shared" si="340"/>
        <v>24</v>
      </c>
      <c r="AB1265" s="3">
        <f>IF(AND($M1265=1,LEFT(对接源_02物料!$D65,4)="原料出库"),1,0)</f>
        <v>0</v>
      </c>
      <c r="AC1265" s="3">
        <f t="shared" si="341"/>
        <v>0</v>
      </c>
      <c r="AD1265" s="3">
        <f>IF(AND($M1265=1,LEFT(对接源_02物料!$D65,4)="成品出库"),1,0)</f>
        <v>0</v>
      </c>
      <c r="AE1265" s="3">
        <f t="shared" si="342"/>
        <v>0</v>
      </c>
      <c r="AF1265" s="3">
        <f>IF(AND($N1265=1,AND(LEFT(对接源_02物料!$D65,4)="包装物料",N(对接源_02物料!$K65)&lt;&gt;0)),1,0)</f>
        <v>0</v>
      </c>
      <c r="AG1265" s="3">
        <f t="shared" si="343"/>
        <v>5</v>
      </c>
      <c r="AH1265" s="3">
        <f>IF(AND($N1265=1,AND(对接源_02物料!$D65="周转筐－销售出库",N(对接源_02物料!$K65)&lt;&gt;0)),1,0)</f>
        <v>0</v>
      </c>
      <c r="AI1265" s="3">
        <f t="shared" si="344"/>
        <v>0</v>
      </c>
      <c r="AL1265" s="3">
        <v>0</v>
      </c>
      <c r="AM1265" s="3">
        <f t="shared" si="345"/>
        <v>1</v>
      </c>
      <c r="AN1265" s="3" t="str">
        <f t="shared" si="332"/>
        <v/>
      </c>
      <c r="AO1265" s="3">
        <v>0</v>
      </c>
      <c r="AP1265" s="3">
        <f t="shared" si="346"/>
        <v>8</v>
      </c>
      <c r="AR1265">
        <f t="shared" si="347"/>
        <v>0</v>
      </c>
      <c r="AS1265">
        <f t="shared" si="348"/>
        <v>5</v>
      </c>
    </row>
    <row r="1266" customHeight="1" spans="1:45">
      <c r="A1266" s="3" t="str">
        <f>IF(对接源_02物料!$C66="","",对接源_02物料!$C66)</f>
        <v>努尔敦</v>
      </c>
      <c r="B1266" s="3">
        <f t="shared" si="333"/>
        <v>0</v>
      </c>
      <c r="C1266" s="3">
        <f t="shared" si="334"/>
        <v>21</v>
      </c>
      <c r="K1266" s="3">
        <f>IF(OR($K$1="",对接源_02物料!$C66="",对接源_02物料!$C66&lt;&gt;$K$1,对接源_02物料!$B66=""),0,IF(OR(N(对接源_02物料!$B66)&lt;$K$2,N(对接源_02物料!$B66)&gt;$K$3),0,1))</f>
        <v>0</v>
      </c>
      <c r="L1266" s="3">
        <f>IF(OR($L$1="",对接源_02物料!$C66="",对接源_02物料!$C66&lt;&gt;$L$1,对接源_02物料!$B66=""),0,IF(OR(N(对接源_02物料!$B66)&lt;$L$2,N(对接源_02物料!$B66)&gt;$L$3),0,1))</f>
        <v>0</v>
      </c>
      <c r="M1266" s="3">
        <f>IF(OR($M$1="",对接源_02物料!$C66="",对接源_02物料!$C66&lt;&gt;$M$1,对接源_02物料!$B66=""),0,IF(OR(N(对接源_02物料!$B66)&lt;$M$2,N(对接源_02物料!$B66)&gt;$M$3),0,1))</f>
        <v>0</v>
      </c>
      <c r="N1266" s="3">
        <f>IF(OR($N$1="",对接源_02物料!$C66="",对接源_02物料!$C66&lt;&gt;$N$1,对接源_02物料!$B66=""),0,IF(OR(N(对接源_02物料!$B66)&lt;$N$2,N(对接源_02物料!$B66)&gt;$N$3),0,1))</f>
        <v>0</v>
      </c>
      <c r="P1266" s="3">
        <f>IF(AND($K1266=1,AND(对接源_02物料!$X66="公司筐",N(对接源_02物料!$T66)&lt;&gt;0)),1,0)</f>
        <v>0</v>
      </c>
      <c r="Q1266" s="3">
        <f t="shared" si="335"/>
        <v>1</v>
      </c>
      <c r="R1266" s="3">
        <f>IF(AND($K1266=1,AND(对接源_02物料!$X66="公司筐",N(对接源_02物料!$U66)&lt;&gt;0)),1,0)</f>
        <v>0</v>
      </c>
      <c r="S1266" s="3">
        <f t="shared" si="336"/>
        <v>0</v>
      </c>
      <c r="T1266" s="3">
        <f>IF(AND($K1266=1,AND(对接源_02物料!$X66="公司筐",N(对接源_02物料!$V66)&lt;&gt;0)),1,0)</f>
        <v>0</v>
      </c>
      <c r="U1266" s="3">
        <f t="shared" si="337"/>
        <v>19</v>
      </c>
      <c r="V1266" s="3">
        <f>IF(AND($L1266=1,AND(对接源_02物料!$X66="自备筐",N(对接源_02物料!$V66)&lt;&gt;0)),1,0)</f>
        <v>0</v>
      </c>
      <c r="W1266" s="3">
        <f t="shared" si="338"/>
        <v>8</v>
      </c>
      <c r="X1266" s="3">
        <f>IF(AND($L1266=1,AND(对接源_02物料!$X66="自备筐",N(对接源_02物料!$T66)&lt;&gt;0)),1,0)</f>
        <v>0</v>
      </c>
      <c r="Y1266" s="3">
        <f t="shared" si="339"/>
        <v>0</v>
      </c>
      <c r="Z1266" s="3">
        <f>IF(AND($M1266=1,对接源_02物料!$D66="原料入库"),1,0)</f>
        <v>0</v>
      </c>
      <c r="AA1266" s="3">
        <f t="shared" si="340"/>
        <v>24</v>
      </c>
      <c r="AB1266" s="3">
        <f>IF(AND($M1266=1,LEFT(对接源_02物料!$D66,4)="原料出库"),1,0)</f>
        <v>0</v>
      </c>
      <c r="AC1266" s="3">
        <f t="shared" si="341"/>
        <v>0</v>
      </c>
      <c r="AD1266" s="3">
        <f>IF(AND($M1266=1,LEFT(对接源_02物料!$D66,4)="成品出库"),1,0)</f>
        <v>0</v>
      </c>
      <c r="AE1266" s="3">
        <f t="shared" si="342"/>
        <v>0</v>
      </c>
      <c r="AF1266" s="3">
        <f>IF(AND($N1266=1,AND(LEFT(对接源_02物料!$D66,4)="包装物料",N(对接源_02物料!$K66)&lt;&gt;0)),1,0)</f>
        <v>0</v>
      </c>
      <c r="AG1266" s="3">
        <f t="shared" si="343"/>
        <v>5</v>
      </c>
      <c r="AH1266" s="3">
        <f>IF(AND($N1266=1,AND(对接源_02物料!$D66="周转筐－销售出库",N(对接源_02物料!$K66)&lt;&gt;0)),1,0)</f>
        <v>0</v>
      </c>
      <c r="AI1266" s="3">
        <f t="shared" si="344"/>
        <v>0</v>
      </c>
      <c r="AL1266" s="3">
        <v>0</v>
      </c>
      <c r="AM1266" s="3">
        <f t="shared" si="345"/>
        <v>1</v>
      </c>
      <c r="AN1266" s="3" t="str">
        <f t="shared" si="332"/>
        <v/>
      </c>
      <c r="AO1266" s="3">
        <v>0</v>
      </c>
      <c r="AP1266" s="3">
        <f t="shared" si="346"/>
        <v>8</v>
      </c>
      <c r="AR1266">
        <f t="shared" si="347"/>
        <v>0</v>
      </c>
      <c r="AS1266">
        <f t="shared" si="348"/>
        <v>5</v>
      </c>
    </row>
    <row r="1267" customHeight="1" spans="1:45">
      <c r="A1267" s="3" t="str">
        <f>IF(对接源_02物料!$C67="","",对接源_02物料!$C67)</f>
        <v>全修塑业</v>
      </c>
      <c r="B1267" s="3">
        <f t="shared" si="333"/>
        <v>0</v>
      </c>
      <c r="C1267" s="3">
        <f t="shared" si="334"/>
        <v>21</v>
      </c>
      <c r="K1267" s="3">
        <f>IF(OR($K$1="",对接源_02物料!$C67="",对接源_02物料!$C67&lt;&gt;$K$1,对接源_02物料!$B67=""),0,IF(OR(N(对接源_02物料!$B67)&lt;$K$2,N(对接源_02物料!$B67)&gt;$K$3),0,1))</f>
        <v>0</v>
      </c>
      <c r="L1267" s="3">
        <f>IF(OR($L$1="",对接源_02物料!$C67="",对接源_02物料!$C67&lt;&gt;$L$1,对接源_02物料!$B67=""),0,IF(OR(N(对接源_02物料!$B67)&lt;$L$2,N(对接源_02物料!$B67)&gt;$L$3),0,1))</f>
        <v>0</v>
      </c>
      <c r="M1267" s="3">
        <f>IF(OR($M$1="",对接源_02物料!$C67="",对接源_02物料!$C67&lt;&gt;$M$1,对接源_02物料!$B67=""),0,IF(OR(N(对接源_02物料!$B67)&lt;$M$2,N(对接源_02物料!$B67)&gt;$M$3),0,1))</f>
        <v>0</v>
      </c>
      <c r="N1267" s="3">
        <f>IF(OR($N$1="",对接源_02物料!$C67="",对接源_02物料!$C67&lt;&gt;$N$1,对接源_02物料!$B67=""),0,IF(OR(N(对接源_02物料!$B67)&lt;$N$2,N(对接源_02物料!$B67)&gt;$N$3),0,1))</f>
        <v>0</v>
      </c>
      <c r="P1267" s="3">
        <f>IF(AND($K1267=1,AND(对接源_02物料!$X67="公司筐",N(对接源_02物料!$T67)&lt;&gt;0)),1,0)</f>
        <v>0</v>
      </c>
      <c r="Q1267" s="3">
        <f t="shared" si="335"/>
        <v>1</v>
      </c>
      <c r="R1267" s="3">
        <f>IF(AND($K1267=1,AND(对接源_02物料!$X67="公司筐",N(对接源_02物料!$U67)&lt;&gt;0)),1,0)</f>
        <v>0</v>
      </c>
      <c r="S1267" s="3">
        <f t="shared" si="336"/>
        <v>0</v>
      </c>
      <c r="T1267" s="3">
        <f>IF(AND($K1267=1,AND(对接源_02物料!$X67="公司筐",N(对接源_02物料!$V67)&lt;&gt;0)),1,0)</f>
        <v>0</v>
      </c>
      <c r="U1267" s="3">
        <f t="shared" si="337"/>
        <v>19</v>
      </c>
      <c r="V1267" s="3">
        <f>IF(AND($L1267=1,AND(对接源_02物料!$X67="自备筐",N(对接源_02物料!$V67)&lt;&gt;0)),1,0)</f>
        <v>0</v>
      </c>
      <c r="W1267" s="3">
        <f t="shared" si="338"/>
        <v>8</v>
      </c>
      <c r="X1267" s="3">
        <f>IF(AND($L1267=1,AND(对接源_02物料!$X67="自备筐",N(对接源_02物料!$T67)&lt;&gt;0)),1,0)</f>
        <v>0</v>
      </c>
      <c r="Y1267" s="3">
        <f t="shared" si="339"/>
        <v>0</v>
      </c>
      <c r="Z1267" s="3">
        <f>IF(AND($M1267=1,对接源_02物料!$D67="原料入库"),1,0)</f>
        <v>0</v>
      </c>
      <c r="AA1267" s="3">
        <f t="shared" si="340"/>
        <v>24</v>
      </c>
      <c r="AB1267" s="3">
        <f>IF(AND($M1267=1,LEFT(对接源_02物料!$D67,4)="原料出库"),1,0)</f>
        <v>0</v>
      </c>
      <c r="AC1267" s="3">
        <f t="shared" si="341"/>
        <v>0</v>
      </c>
      <c r="AD1267" s="3">
        <f>IF(AND($M1267=1,LEFT(对接源_02物料!$D67,4)="成品出库"),1,0)</f>
        <v>0</v>
      </c>
      <c r="AE1267" s="3">
        <f t="shared" si="342"/>
        <v>0</v>
      </c>
      <c r="AF1267" s="3">
        <f>IF(AND($N1267=1,AND(LEFT(对接源_02物料!$D67,4)="包装物料",N(对接源_02物料!$K67)&lt;&gt;0)),1,0)</f>
        <v>0</v>
      </c>
      <c r="AG1267" s="3">
        <f t="shared" si="343"/>
        <v>5</v>
      </c>
      <c r="AH1267" s="3">
        <f>IF(AND($N1267=1,AND(对接源_02物料!$D67="周转筐－销售出库",N(对接源_02物料!$K67)&lt;&gt;0)),1,0)</f>
        <v>0</v>
      </c>
      <c r="AI1267" s="3">
        <f t="shared" si="344"/>
        <v>0</v>
      </c>
      <c r="AL1267" s="3">
        <v>0</v>
      </c>
      <c r="AM1267" s="3">
        <f t="shared" si="345"/>
        <v>1</v>
      </c>
      <c r="AN1267" s="3" t="str">
        <f t="shared" si="332"/>
        <v/>
      </c>
      <c r="AO1267" s="3">
        <v>0</v>
      </c>
      <c r="AP1267" s="3">
        <f t="shared" si="346"/>
        <v>8</v>
      </c>
      <c r="AR1267">
        <f t="shared" si="347"/>
        <v>0</v>
      </c>
      <c r="AS1267">
        <f t="shared" si="348"/>
        <v>5</v>
      </c>
    </row>
    <row r="1268" customHeight="1" spans="1:45">
      <c r="A1268" s="3" t="str">
        <f>IF(对接源_02物料!$C68="","",对接源_02物料!$C68)</f>
        <v>荆建君</v>
      </c>
      <c r="B1268" s="3">
        <f t="shared" si="333"/>
        <v>0</v>
      </c>
      <c r="C1268" s="3">
        <f t="shared" si="334"/>
        <v>21</v>
      </c>
      <c r="K1268" s="3">
        <f>IF(OR($K$1="",对接源_02物料!$C68="",对接源_02物料!$C68&lt;&gt;$K$1,对接源_02物料!$B68=""),0,IF(OR(N(对接源_02物料!$B68)&lt;$K$2,N(对接源_02物料!$B68)&gt;$K$3),0,1))</f>
        <v>0</v>
      </c>
      <c r="L1268" s="3">
        <f>IF(OR($L$1="",对接源_02物料!$C68="",对接源_02物料!$C68&lt;&gt;$L$1,对接源_02物料!$B68=""),0,IF(OR(N(对接源_02物料!$B68)&lt;$L$2,N(对接源_02物料!$B68)&gt;$L$3),0,1))</f>
        <v>0</v>
      </c>
      <c r="M1268" s="3">
        <f>IF(OR($M$1="",对接源_02物料!$C68="",对接源_02物料!$C68&lt;&gt;$M$1,对接源_02物料!$B68=""),0,IF(OR(N(对接源_02物料!$B68)&lt;$M$2,N(对接源_02物料!$B68)&gt;$M$3),0,1))</f>
        <v>0</v>
      </c>
      <c r="N1268" s="3">
        <f>IF(OR($N$1="",对接源_02物料!$C68="",对接源_02物料!$C68&lt;&gt;$N$1,对接源_02物料!$B68=""),0,IF(OR(N(对接源_02物料!$B68)&lt;$N$2,N(对接源_02物料!$B68)&gt;$N$3),0,1))</f>
        <v>0</v>
      </c>
      <c r="P1268" s="3">
        <f>IF(AND($K1268=1,AND(对接源_02物料!$X68="公司筐",N(对接源_02物料!$T68)&lt;&gt;0)),1,0)</f>
        <v>0</v>
      </c>
      <c r="Q1268" s="3">
        <f t="shared" si="335"/>
        <v>1</v>
      </c>
      <c r="R1268" s="3">
        <f>IF(AND($K1268=1,AND(对接源_02物料!$X68="公司筐",N(对接源_02物料!$U68)&lt;&gt;0)),1,0)</f>
        <v>0</v>
      </c>
      <c r="S1268" s="3">
        <f t="shared" si="336"/>
        <v>0</v>
      </c>
      <c r="T1268" s="3">
        <f>IF(AND($K1268=1,AND(对接源_02物料!$X68="公司筐",N(对接源_02物料!$V68)&lt;&gt;0)),1,0)</f>
        <v>0</v>
      </c>
      <c r="U1268" s="3">
        <f t="shared" si="337"/>
        <v>19</v>
      </c>
      <c r="V1268" s="3">
        <f>IF(AND($L1268=1,AND(对接源_02物料!$X68="自备筐",N(对接源_02物料!$V68)&lt;&gt;0)),1,0)</f>
        <v>0</v>
      </c>
      <c r="W1268" s="3">
        <f t="shared" si="338"/>
        <v>8</v>
      </c>
      <c r="X1268" s="3">
        <f>IF(AND($L1268=1,AND(对接源_02物料!$X68="自备筐",N(对接源_02物料!$T68)&lt;&gt;0)),1,0)</f>
        <v>0</v>
      </c>
      <c r="Y1268" s="3">
        <f t="shared" si="339"/>
        <v>0</v>
      </c>
      <c r="Z1268" s="3">
        <f>IF(AND($M1268=1,对接源_02物料!$D68="原料入库"),1,0)</f>
        <v>0</v>
      </c>
      <c r="AA1268" s="3">
        <f t="shared" si="340"/>
        <v>24</v>
      </c>
      <c r="AB1268" s="3">
        <f>IF(AND($M1268=1,LEFT(对接源_02物料!$D68,4)="原料出库"),1,0)</f>
        <v>0</v>
      </c>
      <c r="AC1268" s="3">
        <f t="shared" si="341"/>
        <v>0</v>
      </c>
      <c r="AD1268" s="3">
        <f>IF(AND($M1268=1,LEFT(对接源_02物料!$D68,4)="成品出库"),1,0)</f>
        <v>0</v>
      </c>
      <c r="AE1268" s="3">
        <f t="shared" si="342"/>
        <v>0</v>
      </c>
      <c r="AF1268" s="3">
        <f>IF(AND($N1268=1,AND(LEFT(对接源_02物料!$D68,4)="包装物料",N(对接源_02物料!$K68)&lt;&gt;0)),1,0)</f>
        <v>0</v>
      </c>
      <c r="AG1268" s="3">
        <f t="shared" si="343"/>
        <v>5</v>
      </c>
      <c r="AH1268" s="3">
        <f>IF(AND($N1268=1,AND(对接源_02物料!$D68="周转筐－销售出库",N(对接源_02物料!$K68)&lt;&gt;0)),1,0)</f>
        <v>0</v>
      </c>
      <c r="AI1268" s="3">
        <f t="shared" si="344"/>
        <v>0</v>
      </c>
      <c r="AL1268" s="3">
        <v>0</v>
      </c>
      <c r="AM1268" s="3">
        <f t="shared" si="345"/>
        <v>1</v>
      </c>
      <c r="AN1268" s="3" t="str">
        <f t="shared" ref="AN1268:AN1331" si="349">""</f>
        <v/>
      </c>
      <c r="AO1268" s="3">
        <v>0</v>
      </c>
      <c r="AP1268" s="3">
        <f t="shared" si="346"/>
        <v>8</v>
      </c>
      <c r="AR1268">
        <f t="shared" si="347"/>
        <v>0</v>
      </c>
      <c r="AS1268">
        <f t="shared" si="348"/>
        <v>5</v>
      </c>
    </row>
    <row r="1269" customHeight="1" spans="1:45">
      <c r="A1269" s="3" t="str">
        <f>IF(对接源_02物料!$C69="","",对接源_02物料!$C69)</f>
        <v>马锦祥</v>
      </c>
      <c r="B1269" s="3">
        <f t="shared" si="333"/>
        <v>0</v>
      </c>
      <c r="C1269" s="3">
        <f t="shared" si="334"/>
        <v>21</v>
      </c>
      <c r="K1269" s="3">
        <f>IF(OR($K$1="",对接源_02物料!$C69="",对接源_02物料!$C69&lt;&gt;$K$1,对接源_02物料!$B69=""),0,IF(OR(N(对接源_02物料!$B69)&lt;$K$2,N(对接源_02物料!$B69)&gt;$K$3),0,1))</f>
        <v>0</v>
      </c>
      <c r="L1269" s="3">
        <f>IF(OR($L$1="",对接源_02物料!$C69="",对接源_02物料!$C69&lt;&gt;$L$1,对接源_02物料!$B69=""),0,IF(OR(N(对接源_02物料!$B69)&lt;$L$2,N(对接源_02物料!$B69)&gt;$L$3),0,1))</f>
        <v>0</v>
      </c>
      <c r="M1269" s="3">
        <f>IF(OR($M$1="",对接源_02物料!$C69="",对接源_02物料!$C69&lt;&gt;$M$1,对接源_02物料!$B69=""),0,IF(OR(N(对接源_02物料!$B69)&lt;$M$2,N(对接源_02物料!$B69)&gt;$M$3),0,1))</f>
        <v>0</v>
      </c>
      <c r="N1269" s="3">
        <f>IF(OR($N$1="",对接源_02物料!$C69="",对接源_02物料!$C69&lt;&gt;$N$1,对接源_02物料!$B69=""),0,IF(OR(N(对接源_02物料!$B69)&lt;$N$2,N(对接源_02物料!$B69)&gt;$N$3),0,1))</f>
        <v>0</v>
      </c>
      <c r="P1269" s="3">
        <f>IF(AND($K1269=1,AND(对接源_02物料!$X69="公司筐",N(对接源_02物料!$T69)&lt;&gt;0)),1,0)</f>
        <v>0</v>
      </c>
      <c r="Q1269" s="3">
        <f t="shared" si="335"/>
        <v>1</v>
      </c>
      <c r="R1269" s="3">
        <f>IF(AND($K1269=1,AND(对接源_02物料!$X69="公司筐",N(对接源_02物料!$U69)&lt;&gt;0)),1,0)</f>
        <v>0</v>
      </c>
      <c r="S1269" s="3">
        <f t="shared" si="336"/>
        <v>0</v>
      </c>
      <c r="T1269" s="3">
        <f>IF(AND($K1269=1,AND(对接源_02物料!$X69="公司筐",N(对接源_02物料!$V69)&lt;&gt;0)),1,0)</f>
        <v>0</v>
      </c>
      <c r="U1269" s="3">
        <f t="shared" si="337"/>
        <v>19</v>
      </c>
      <c r="V1269" s="3">
        <f>IF(AND($L1269=1,AND(对接源_02物料!$X69="自备筐",N(对接源_02物料!$V69)&lt;&gt;0)),1,0)</f>
        <v>0</v>
      </c>
      <c r="W1269" s="3">
        <f t="shared" si="338"/>
        <v>8</v>
      </c>
      <c r="X1269" s="3">
        <f>IF(AND($L1269=1,AND(对接源_02物料!$X69="自备筐",N(对接源_02物料!$T69)&lt;&gt;0)),1,0)</f>
        <v>0</v>
      </c>
      <c r="Y1269" s="3">
        <f t="shared" si="339"/>
        <v>0</v>
      </c>
      <c r="Z1269" s="3">
        <f>IF(AND($M1269=1,对接源_02物料!$D69="原料入库"),1,0)</f>
        <v>0</v>
      </c>
      <c r="AA1269" s="3">
        <f t="shared" si="340"/>
        <v>24</v>
      </c>
      <c r="AB1269" s="3">
        <f>IF(AND($M1269=1,LEFT(对接源_02物料!$D69,4)="原料出库"),1,0)</f>
        <v>0</v>
      </c>
      <c r="AC1269" s="3">
        <f t="shared" si="341"/>
        <v>0</v>
      </c>
      <c r="AD1269" s="3">
        <f>IF(AND($M1269=1,LEFT(对接源_02物料!$D69,4)="成品出库"),1,0)</f>
        <v>0</v>
      </c>
      <c r="AE1269" s="3">
        <f t="shared" si="342"/>
        <v>0</v>
      </c>
      <c r="AF1269" s="3">
        <f>IF(AND($N1269=1,AND(LEFT(对接源_02物料!$D69,4)="包装物料",N(对接源_02物料!$K69)&lt;&gt;0)),1,0)</f>
        <v>0</v>
      </c>
      <c r="AG1269" s="3">
        <f t="shared" si="343"/>
        <v>5</v>
      </c>
      <c r="AH1269" s="3">
        <f>IF(AND($N1269=1,AND(对接源_02物料!$D69="周转筐－销售出库",N(对接源_02物料!$K69)&lt;&gt;0)),1,0)</f>
        <v>0</v>
      </c>
      <c r="AI1269" s="3">
        <f t="shared" si="344"/>
        <v>0</v>
      </c>
      <c r="AL1269" s="3">
        <v>0</v>
      </c>
      <c r="AM1269" s="3">
        <f t="shared" si="345"/>
        <v>1</v>
      </c>
      <c r="AN1269" s="3" t="str">
        <f t="shared" si="349"/>
        <v/>
      </c>
      <c r="AO1269" s="3">
        <v>0</v>
      </c>
      <c r="AP1269" s="3">
        <f t="shared" si="346"/>
        <v>8</v>
      </c>
      <c r="AR1269">
        <f t="shared" si="347"/>
        <v>0</v>
      </c>
      <c r="AS1269">
        <f t="shared" si="348"/>
        <v>5</v>
      </c>
    </row>
    <row r="1270" customHeight="1" spans="1:45">
      <c r="A1270" s="3" t="str">
        <f>IF(对接源_02物料!$C70="","",对接源_02物料!$C70)</f>
        <v>全修塑业</v>
      </c>
      <c r="B1270" s="3">
        <f t="shared" si="333"/>
        <v>0</v>
      </c>
      <c r="C1270" s="3">
        <f t="shared" si="334"/>
        <v>21</v>
      </c>
      <c r="K1270" s="3">
        <f>IF(OR($K$1="",对接源_02物料!$C70="",对接源_02物料!$C70&lt;&gt;$K$1,对接源_02物料!$B70=""),0,IF(OR(N(对接源_02物料!$B70)&lt;$K$2,N(对接源_02物料!$B70)&gt;$K$3),0,1))</f>
        <v>0</v>
      </c>
      <c r="L1270" s="3">
        <f>IF(OR($L$1="",对接源_02物料!$C70="",对接源_02物料!$C70&lt;&gt;$L$1,对接源_02物料!$B70=""),0,IF(OR(N(对接源_02物料!$B70)&lt;$L$2,N(对接源_02物料!$B70)&gt;$L$3),0,1))</f>
        <v>0</v>
      </c>
      <c r="M1270" s="3">
        <f>IF(OR($M$1="",对接源_02物料!$C70="",对接源_02物料!$C70&lt;&gt;$M$1,对接源_02物料!$B70=""),0,IF(OR(N(对接源_02物料!$B70)&lt;$M$2,N(对接源_02物料!$B70)&gt;$M$3),0,1))</f>
        <v>0</v>
      </c>
      <c r="N1270" s="3">
        <f>IF(OR($N$1="",对接源_02物料!$C70="",对接源_02物料!$C70&lt;&gt;$N$1,对接源_02物料!$B70=""),0,IF(OR(N(对接源_02物料!$B70)&lt;$N$2,N(对接源_02物料!$B70)&gt;$N$3),0,1))</f>
        <v>0</v>
      </c>
      <c r="P1270" s="3">
        <f>IF(AND($K1270=1,AND(对接源_02物料!$X70="公司筐",N(对接源_02物料!$T70)&lt;&gt;0)),1,0)</f>
        <v>0</v>
      </c>
      <c r="Q1270" s="3">
        <f t="shared" si="335"/>
        <v>1</v>
      </c>
      <c r="R1270" s="3">
        <f>IF(AND($K1270=1,AND(对接源_02物料!$X70="公司筐",N(对接源_02物料!$U70)&lt;&gt;0)),1,0)</f>
        <v>0</v>
      </c>
      <c r="S1270" s="3">
        <f t="shared" si="336"/>
        <v>0</v>
      </c>
      <c r="T1270" s="3">
        <f>IF(AND($K1270=1,AND(对接源_02物料!$X70="公司筐",N(对接源_02物料!$V70)&lt;&gt;0)),1,0)</f>
        <v>0</v>
      </c>
      <c r="U1270" s="3">
        <f t="shared" si="337"/>
        <v>19</v>
      </c>
      <c r="V1270" s="3">
        <f>IF(AND($L1270=1,AND(对接源_02物料!$X70="自备筐",N(对接源_02物料!$V70)&lt;&gt;0)),1,0)</f>
        <v>0</v>
      </c>
      <c r="W1270" s="3">
        <f t="shared" si="338"/>
        <v>8</v>
      </c>
      <c r="X1270" s="3">
        <f>IF(AND($L1270=1,AND(对接源_02物料!$X70="自备筐",N(对接源_02物料!$T70)&lt;&gt;0)),1,0)</f>
        <v>0</v>
      </c>
      <c r="Y1270" s="3">
        <f t="shared" si="339"/>
        <v>0</v>
      </c>
      <c r="Z1270" s="3">
        <f>IF(AND($M1270=1,对接源_02物料!$D70="原料入库"),1,0)</f>
        <v>0</v>
      </c>
      <c r="AA1270" s="3">
        <f t="shared" si="340"/>
        <v>24</v>
      </c>
      <c r="AB1270" s="3">
        <f>IF(AND($M1270=1,LEFT(对接源_02物料!$D70,4)="原料出库"),1,0)</f>
        <v>0</v>
      </c>
      <c r="AC1270" s="3">
        <f t="shared" si="341"/>
        <v>0</v>
      </c>
      <c r="AD1270" s="3">
        <f>IF(AND($M1270=1,LEFT(对接源_02物料!$D70,4)="成品出库"),1,0)</f>
        <v>0</v>
      </c>
      <c r="AE1270" s="3">
        <f t="shared" si="342"/>
        <v>0</v>
      </c>
      <c r="AF1270" s="3">
        <f>IF(AND($N1270=1,AND(LEFT(对接源_02物料!$D70,4)="包装物料",N(对接源_02物料!$K70)&lt;&gt;0)),1,0)</f>
        <v>0</v>
      </c>
      <c r="AG1270" s="3">
        <f t="shared" si="343"/>
        <v>5</v>
      </c>
      <c r="AH1270" s="3">
        <f>IF(AND($N1270=1,AND(对接源_02物料!$D70="周转筐－销售出库",N(对接源_02物料!$K70)&lt;&gt;0)),1,0)</f>
        <v>0</v>
      </c>
      <c r="AI1270" s="3">
        <f t="shared" si="344"/>
        <v>0</v>
      </c>
      <c r="AL1270" s="3">
        <v>0</v>
      </c>
      <c r="AM1270" s="3">
        <f t="shared" si="345"/>
        <v>1</v>
      </c>
      <c r="AN1270" s="3" t="str">
        <f t="shared" si="349"/>
        <v/>
      </c>
      <c r="AO1270" s="3">
        <v>0</v>
      </c>
      <c r="AP1270" s="3">
        <f t="shared" si="346"/>
        <v>8</v>
      </c>
      <c r="AR1270">
        <f t="shared" si="347"/>
        <v>0</v>
      </c>
      <c r="AS1270">
        <f t="shared" si="348"/>
        <v>5</v>
      </c>
    </row>
    <row r="1271" customHeight="1" spans="1:45">
      <c r="A1271" s="3" t="str">
        <f>IF(对接源_02物料!$C71="","",对接源_02物料!$C71)</f>
        <v>努尔敦</v>
      </c>
      <c r="B1271" s="3">
        <f t="shared" si="333"/>
        <v>0</v>
      </c>
      <c r="C1271" s="3">
        <f t="shared" si="334"/>
        <v>21</v>
      </c>
      <c r="K1271" s="3">
        <f>IF(OR($K$1="",对接源_02物料!$C71="",对接源_02物料!$C71&lt;&gt;$K$1,对接源_02物料!$B71=""),0,IF(OR(N(对接源_02物料!$B71)&lt;$K$2,N(对接源_02物料!$B71)&gt;$K$3),0,1))</f>
        <v>0</v>
      </c>
      <c r="L1271" s="3">
        <f>IF(OR($L$1="",对接源_02物料!$C71="",对接源_02物料!$C71&lt;&gt;$L$1,对接源_02物料!$B71=""),0,IF(OR(N(对接源_02物料!$B71)&lt;$L$2,N(对接源_02物料!$B71)&gt;$L$3),0,1))</f>
        <v>0</v>
      </c>
      <c r="M1271" s="3">
        <f>IF(OR($M$1="",对接源_02物料!$C71="",对接源_02物料!$C71&lt;&gt;$M$1,对接源_02物料!$B71=""),0,IF(OR(N(对接源_02物料!$B71)&lt;$M$2,N(对接源_02物料!$B71)&gt;$M$3),0,1))</f>
        <v>0</v>
      </c>
      <c r="N1271" s="3">
        <f>IF(OR($N$1="",对接源_02物料!$C71="",对接源_02物料!$C71&lt;&gt;$N$1,对接源_02物料!$B71=""),0,IF(OR(N(对接源_02物料!$B71)&lt;$N$2,N(对接源_02物料!$B71)&gt;$N$3),0,1))</f>
        <v>0</v>
      </c>
      <c r="P1271" s="3">
        <f>IF(AND($K1271=1,AND(对接源_02物料!$X71="公司筐",N(对接源_02物料!$T71)&lt;&gt;0)),1,0)</f>
        <v>0</v>
      </c>
      <c r="Q1271" s="3">
        <f t="shared" si="335"/>
        <v>1</v>
      </c>
      <c r="R1271" s="3">
        <f>IF(AND($K1271=1,AND(对接源_02物料!$X71="公司筐",N(对接源_02物料!$U71)&lt;&gt;0)),1,0)</f>
        <v>0</v>
      </c>
      <c r="S1271" s="3">
        <f t="shared" si="336"/>
        <v>0</v>
      </c>
      <c r="T1271" s="3">
        <f>IF(AND($K1271=1,AND(对接源_02物料!$X71="公司筐",N(对接源_02物料!$V71)&lt;&gt;0)),1,0)</f>
        <v>0</v>
      </c>
      <c r="U1271" s="3">
        <f t="shared" si="337"/>
        <v>19</v>
      </c>
      <c r="V1271" s="3">
        <f>IF(AND($L1271=1,AND(对接源_02物料!$X71="自备筐",N(对接源_02物料!$V71)&lt;&gt;0)),1,0)</f>
        <v>0</v>
      </c>
      <c r="W1271" s="3">
        <f t="shared" si="338"/>
        <v>8</v>
      </c>
      <c r="X1271" s="3">
        <f>IF(AND($L1271=1,AND(对接源_02物料!$X71="自备筐",N(对接源_02物料!$T71)&lt;&gt;0)),1,0)</f>
        <v>0</v>
      </c>
      <c r="Y1271" s="3">
        <f t="shared" si="339"/>
        <v>0</v>
      </c>
      <c r="Z1271" s="3">
        <f>IF(AND($M1271=1,对接源_02物料!$D71="原料入库"),1,0)</f>
        <v>0</v>
      </c>
      <c r="AA1271" s="3">
        <f t="shared" si="340"/>
        <v>24</v>
      </c>
      <c r="AB1271" s="3">
        <f>IF(AND($M1271=1,LEFT(对接源_02物料!$D71,4)="原料出库"),1,0)</f>
        <v>0</v>
      </c>
      <c r="AC1271" s="3">
        <f t="shared" si="341"/>
        <v>0</v>
      </c>
      <c r="AD1271" s="3">
        <f>IF(AND($M1271=1,LEFT(对接源_02物料!$D71,4)="成品出库"),1,0)</f>
        <v>0</v>
      </c>
      <c r="AE1271" s="3">
        <f t="shared" si="342"/>
        <v>0</v>
      </c>
      <c r="AF1271" s="3">
        <f>IF(AND($N1271=1,AND(LEFT(对接源_02物料!$D71,4)="包装物料",N(对接源_02物料!$K71)&lt;&gt;0)),1,0)</f>
        <v>0</v>
      </c>
      <c r="AG1271" s="3">
        <f t="shared" si="343"/>
        <v>5</v>
      </c>
      <c r="AH1271" s="3">
        <f>IF(AND($N1271=1,AND(对接源_02物料!$D71="周转筐－销售出库",N(对接源_02物料!$K71)&lt;&gt;0)),1,0)</f>
        <v>0</v>
      </c>
      <c r="AI1271" s="3">
        <f t="shared" si="344"/>
        <v>0</v>
      </c>
      <c r="AL1271" s="3">
        <v>0</v>
      </c>
      <c r="AM1271" s="3">
        <f t="shared" si="345"/>
        <v>1</v>
      </c>
      <c r="AN1271" s="3" t="str">
        <f t="shared" si="349"/>
        <v/>
      </c>
      <c r="AO1271" s="3">
        <v>0</v>
      </c>
      <c r="AP1271" s="3">
        <f t="shared" si="346"/>
        <v>8</v>
      </c>
      <c r="AR1271">
        <f t="shared" si="347"/>
        <v>0</v>
      </c>
      <c r="AS1271">
        <f t="shared" si="348"/>
        <v>5</v>
      </c>
    </row>
    <row r="1272" customHeight="1" spans="1:45">
      <c r="A1272" s="3" t="str">
        <f>IF(对接源_02物料!$C72="","",对接源_02物料!$C72)</f>
        <v>全修塑业</v>
      </c>
      <c r="B1272" s="3">
        <f t="shared" si="333"/>
        <v>0</v>
      </c>
      <c r="C1272" s="3">
        <f t="shared" si="334"/>
        <v>21</v>
      </c>
      <c r="K1272" s="3">
        <f>IF(OR($K$1="",对接源_02物料!$C72="",对接源_02物料!$C72&lt;&gt;$K$1,对接源_02物料!$B72=""),0,IF(OR(N(对接源_02物料!$B72)&lt;$K$2,N(对接源_02物料!$B72)&gt;$K$3),0,1))</f>
        <v>0</v>
      </c>
      <c r="L1272" s="3">
        <f>IF(OR($L$1="",对接源_02物料!$C72="",对接源_02物料!$C72&lt;&gt;$L$1,对接源_02物料!$B72=""),0,IF(OR(N(对接源_02物料!$B72)&lt;$L$2,N(对接源_02物料!$B72)&gt;$L$3),0,1))</f>
        <v>0</v>
      </c>
      <c r="M1272" s="3">
        <f>IF(OR($M$1="",对接源_02物料!$C72="",对接源_02物料!$C72&lt;&gt;$M$1,对接源_02物料!$B72=""),0,IF(OR(N(对接源_02物料!$B72)&lt;$M$2,N(对接源_02物料!$B72)&gt;$M$3),0,1))</f>
        <v>0</v>
      </c>
      <c r="N1272" s="3">
        <f>IF(OR($N$1="",对接源_02物料!$C72="",对接源_02物料!$C72&lt;&gt;$N$1,对接源_02物料!$B72=""),0,IF(OR(N(对接源_02物料!$B72)&lt;$N$2,N(对接源_02物料!$B72)&gt;$N$3),0,1))</f>
        <v>0</v>
      </c>
      <c r="P1272" s="3">
        <f>IF(AND($K1272=1,AND(对接源_02物料!$X72="公司筐",N(对接源_02物料!$T72)&lt;&gt;0)),1,0)</f>
        <v>0</v>
      </c>
      <c r="Q1272" s="3">
        <f t="shared" si="335"/>
        <v>1</v>
      </c>
      <c r="R1272" s="3">
        <f>IF(AND($K1272=1,AND(对接源_02物料!$X72="公司筐",N(对接源_02物料!$U72)&lt;&gt;0)),1,0)</f>
        <v>0</v>
      </c>
      <c r="S1272" s="3">
        <f t="shared" si="336"/>
        <v>0</v>
      </c>
      <c r="T1272" s="3">
        <f>IF(AND($K1272=1,AND(对接源_02物料!$X72="公司筐",N(对接源_02物料!$V72)&lt;&gt;0)),1,0)</f>
        <v>0</v>
      </c>
      <c r="U1272" s="3">
        <f t="shared" si="337"/>
        <v>19</v>
      </c>
      <c r="V1272" s="3">
        <f>IF(AND($L1272=1,AND(对接源_02物料!$X72="自备筐",N(对接源_02物料!$V72)&lt;&gt;0)),1,0)</f>
        <v>0</v>
      </c>
      <c r="W1272" s="3">
        <f t="shared" si="338"/>
        <v>8</v>
      </c>
      <c r="X1272" s="3">
        <f>IF(AND($L1272=1,AND(对接源_02物料!$X72="自备筐",N(对接源_02物料!$T72)&lt;&gt;0)),1,0)</f>
        <v>0</v>
      </c>
      <c r="Y1272" s="3">
        <f t="shared" si="339"/>
        <v>0</v>
      </c>
      <c r="Z1272" s="3">
        <f>IF(AND($M1272=1,对接源_02物料!$D72="原料入库"),1,0)</f>
        <v>0</v>
      </c>
      <c r="AA1272" s="3">
        <f t="shared" si="340"/>
        <v>24</v>
      </c>
      <c r="AB1272" s="3">
        <f>IF(AND($M1272=1,LEFT(对接源_02物料!$D72,4)="原料出库"),1,0)</f>
        <v>0</v>
      </c>
      <c r="AC1272" s="3">
        <f t="shared" si="341"/>
        <v>0</v>
      </c>
      <c r="AD1272" s="3">
        <f>IF(AND($M1272=1,LEFT(对接源_02物料!$D72,4)="成品出库"),1,0)</f>
        <v>0</v>
      </c>
      <c r="AE1272" s="3">
        <f t="shared" si="342"/>
        <v>0</v>
      </c>
      <c r="AF1272" s="3">
        <f>IF(AND($N1272=1,AND(LEFT(对接源_02物料!$D72,4)="包装物料",N(对接源_02物料!$K72)&lt;&gt;0)),1,0)</f>
        <v>0</v>
      </c>
      <c r="AG1272" s="3">
        <f t="shared" si="343"/>
        <v>5</v>
      </c>
      <c r="AH1272" s="3">
        <f>IF(AND($N1272=1,AND(对接源_02物料!$D72="周转筐－销售出库",N(对接源_02物料!$K72)&lt;&gt;0)),1,0)</f>
        <v>0</v>
      </c>
      <c r="AI1272" s="3">
        <f t="shared" si="344"/>
        <v>0</v>
      </c>
      <c r="AL1272" s="3">
        <v>0</v>
      </c>
      <c r="AM1272" s="3">
        <f t="shared" si="345"/>
        <v>1</v>
      </c>
      <c r="AN1272" s="3" t="str">
        <f t="shared" si="349"/>
        <v/>
      </c>
      <c r="AO1272" s="3">
        <v>0</v>
      </c>
      <c r="AP1272" s="3">
        <f t="shared" si="346"/>
        <v>8</v>
      </c>
      <c r="AR1272">
        <f t="shared" si="347"/>
        <v>0</v>
      </c>
      <c r="AS1272">
        <f t="shared" si="348"/>
        <v>5</v>
      </c>
    </row>
    <row r="1273" customHeight="1" spans="1:45">
      <c r="A1273" s="3" t="str">
        <f>IF(对接源_02物料!$C73="","",对接源_02物料!$C73)</f>
        <v>荆建君</v>
      </c>
      <c r="B1273" s="3">
        <f t="shared" si="333"/>
        <v>0</v>
      </c>
      <c r="C1273" s="3">
        <f t="shared" si="334"/>
        <v>21</v>
      </c>
      <c r="K1273" s="3">
        <f>IF(OR($K$1="",对接源_02物料!$C73="",对接源_02物料!$C73&lt;&gt;$K$1,对接源_02物料!$B73=""),0,IF(OR(N(对接源_02物料!$B73)&lt;$K$2,N(对接源_02物料!$B73)&gt;$K$3),0,1))</f>
        <v>0</v>
      </c>
      <c r="L1273" s="3">
        <f>IF(OR($L$1="",对接源_02物料!$C73="",对接源_02物料!$C73&lt;&gt;$L$1,对接源_02物料!$B73=""),0,IF(OR(N(对接源_02物料!$B73)&lt;$L$2,N(对接源_02物料!$B73)&gt;$L$3),0,1))</f>
        <v>0</v>
      </c>
      <c r="M1273" s="3">
        <f>IF(OR($M$1="",对接源_02物料!$C73="",对接源_02物料!$C73&lt;&gt;$M$1,对接源_02物料!$B73=""),0,IF(OR(N(对接源_02物料!$B73)&lt;$M$2,N(对接源_02物料!$B73)&gt;$M$3),0,1))</f>
        <v>0</v>
      </c>
      <c r="N1273" s="3">
        <f>IF(OR($N$1="",对接源_02物料!$C73="",对接源_02物料!$C73&lt;&gt;$N$1,对接源_02物料!$B73=""),0,IF(OR(N(对接源_02物料!$B73)&lt;$N$2,N(对接源_02物料!$B73)&gt;$N$3),0,1))</f>
        <v>0</v>
      </c>
      <c r="P1273" s="3">
        <f>IF(AND($K1273=1,AND(对接源_02物料!$X73="公司筐",N(对接源_02物料!$T73)&lt;&gt;0)),1,0)</f>
        <v>0</v>
      </c>
      <c r="Q1273" s="3">
        <f t="shared" si="335"/>
        <v>1</v>
      </c>
      <c r="R1273" s="3">
        <f>IF(AND($K1273=1,AND(对接源_02物料!$X73="公司筐",N(对接源_02物料!$U73)&lt;&gt;0)),1,0)</f>
        <v>0</v>
      </c>
      <c r="S1273" s="3">
        <f t="shared" si="336"/>
        <v>0</v>
      </c>
      <c r="T1273" s="3">
        <f>IF(AND($K1273=1,AND(对接源_02物料!$X73="公司筐",N(对接源_02物料!$V73)&lt;&gt;0)),1,0)</f>
        <v>0</v>
      </c>
      <c r="U1273" s="3">
        <f t="shared" si="337"/>
        <v>19</v>
      </c>
      <c r="V1273" s="3">
        <f>IF(AND($L1273=1,AND(对接源_02物料!$X73="自备筐",N(对接源_02物料!$V73)&lt;&gt;0)),1,0)</f>
        <v>0</v>
      </c>
      <c r="W1273" s="3">
        <f t="shared" si="338"/>
        <v>8</v>
      </c>
      <c r="X1273" s="3">
        <f>IF(AND($L1273=1,AND(对接源_02物料!$X73="自备筐",N(对接源_02物料!$T73)&lt;&gt;0)),1,0)</f>
        <v>0</v>
      </c>
      <c r="Y1273" s="3">
        <f t="shared" si="339"/>
        <v>0</v>
      </c>
      <c r="Z1273" s="3">
        <f>IF(AND($M1273=1,对接源_02物料!$D73="原料入库"),1,0)</f>
        <v>0</v>
      </c>
      <c r="AA1273" s="3">
        <f t="shared" si="340"/>
        <v>24</v>
      </c>
      <c r="AB1273" s="3">
        <f>IF(AND($M1273=1,LEFT(对接源_02物料!$D73,4)="原料出库"),1,0)</f>
        <v>0</v>
      </c>
      <c r="AC1273" s="3">
        <f t="shared" si="341"/>
        <v>0</v>
      </c>
      <c r="AD1273" s="3">
        <f>IF(AND($M1273=1,LEFT(对接源_02物料!$D73,4)="成品出库"),1,0)</f>
        <v>0</v>
      </c>
      <c r="AE1273" s="3">
        <f t="shared" si="342"/>
        <v>0</v>
      </c>
      <c r="AF1273" s="3">
        <f>IF(AND($N1273=1,AND(LEFT(对接源_02物料!$D73,4)="包装物料",N(对接源_02物料!$K73)&lt;&gt;0)),1,0)</f>
        <v>0</v>
      </c>
      <c r="AG1273" s="3">
        <f t="shared" si="343"/>
        <v>5</v>
      </c>
      <c r="AH1273" s="3">
        <f>IF(AND($N1273=1,AND(对接源_02物料!$D73="周转筐－销售出库",N(对接源_02物料!$K73)&lt;&gt;0)),1,0)</f>
        <v>0</v>
      </c>
      <c r="AI1273" s="3">
        <f t="shared" si="344"/>
        <v>0</v>
      </c>
      <c r="AL1273" s="3">
        <v>0</v>
      </c>
      <c r="AM1273" s="3">
        <f t="shared" si="345"/>
        <v>1</v>
      </c>
      <c r="AN1273" s="3" t="str">
        <f t="shared" si="349"/>
        <v/>
      </c>
      <c r="AO1273" s="3">
        <v>0</v>
      </c>
      <c r="AP1273" s="3">
        <f t="shared" si="346"/>
        <v>8</v>
      </c>
      <c r="AR1273">
        <f t="shared" si="347"/>
        <v>0</v>
      </c>
      <c r="AS1273">
        <f t="shared" si="348"/>
        <v>5</v>
      </c>
    </row>
    <row r="1274" customHeight="1" spans="1:45">
      <c r="A1274" s="3" t="str">
        <f>IF(对接源_02物料!$C74="","",对接源_02物料!$C74)</f>
        <v>王浩</v>
      </c>
      <c r="B1274" s="3">
        <f t="shared" si="333"/>
        <v>0</v>
      </c>
      <c r="C1274" s="3">
        <f t="shared" si="334"/>
        <v>21</v>
      </c>
      <c r="K1274" s="3">
        <f>IF(OR($K$1="",对接源_02物料!$C74="",对接源_02物料!$C74&lt;&gt;$K$1,对接源_02物料!$B74=""),0,IF(OR(N(对接源_02物料!$B74)&lt;$K$2,N(对接源_02物料!$B74)&gt;$K$3),0,1))</f>
        <v>0</v>
      </c>
      <c r="L1274" s="3">
        <f>IF(OR($L$1="",对接源_02物料!$C74="",对接源_02物料!$C74&lt;&gt;$L$1,对接源_02物料!$B74=""),0,IF(OR(N(对接源_02物料!$B74)&lt;$L$2,N(对接源_02物料!$B74)&gt;$L$3),0,1))</f>
        <v>0</v>
      </c>
      <c r="M1274" s="3">
        <f>IF(OR($M$1="",对接源_02物料!$C74="",对接源_02物料!$C74&lt;&gt;$M$1,对接源_02物料!$B74=""),0,IF(OR(N(对接源_02物料!$B74)&lt;$M$2,N(对接源_02物料!$B74)&gt;$M$3),0,1))</f>
        <v>0</v>
      </c>
      <c r="N1274" s="3">
        <f>IF(OR($N$1="",对接源_02物料!$C74="",对接源_02物料!$C74&lt;&gt;$N$1,对接源_02物料!$B74=""),0,IF(OR(N(对接源_02物料!$B74)&lt;$N$2,N(对接源_02物料!$B74)&gt;$N$3),0,1))</f>
        <v>0</v>
      </c>
      <c r="P1274" s="3">
        <f>IF(AND($K1274=1,AND(对接源_02物料!$X74="公司筐",N(对接源_02物料!$T74)&lt;&gt;0)),1,0)</f>
        <v>0</v>
      </c>
      <c r="Q1274" s="3">
        <f t="shared" si="335"/>
        <v>1</v>
      </c>
      <c r="R1274" s="3">
        <f>IF(AND($K1274=1,AND(对接源_02物料!$X74="公司筐",N(对接源_02物料!$U74)&lt;&gt;0)),1,0)</f>
        <v>0</v>
      </c>
      <c r="S1274" s="3">
        <f t="shared" si="336"/>
        <v>0</v>
      </c>
      <c r="T1274" s="3">
        <f>IF(AND($K1274=1,AND(对接源_02物料!$X74="公司筐",N(对接源_02物料!$V74)&lt;&gt;0)),1,0)</f>
        <v>0</v>
      </c>
      <c r="U1274" s="3">
        <f t="shared" si="337"/>
        <v>19</v>
      </c>
      <c r="V1274" s="3">
        <f>IF(AND($L1274=1,AND(对接源_02物料!$X74="自备筐",N(对接源_02物料!$V74)&lt;&gt;0)),1,0)</f>
        <v>0</v>
      </c>
      <c r="W1274" s="3">
        <f t="shared" si="338"/>
        <v>8</v>
      </c>
      <c r="X1274" s="3">
        <f>IF(AND($L1274=1,AND(对接源_02物料!$X74="自备筐",N(对接源_02物料!$T74)&lt;&gt;0)),1,0)</f>
        <v>0</v>
      </c>
      <c r="Y1274" s="3">
        <f t="shared" si="339"/>
        <v>0</v>
      </c>
      <c r="Z1274" s="3">
        <f>IF(AND($M1274=1,对接源_02物料!$D74="原料入库"),1,0)</f>
        <v>0</v>
      </c>
      <c r="AA1274" s="3">
        <f t="shared" si="340"/>
        <v>24</v>
      </c>
      <c r="AB1274" s="3">
        <f>IF(AND($M1274=1,LEFT(对接源_02物料!$D74,4)="原料出库"),1,0)</f>
        <v>0</v>
      </c>
      <c r="AC1274" s="3">
        <f t="shared" si="341"/>
        <v>0</v>
      </c>
      <c r="AD1274" s="3">
        <f>IF(AND($M1274=1,LEFT(对接源_02物料!$D74,4)="成品出库"),1,0)</f>
        <v>0</v>
      </c>
      <c r="AE1274" s="3">
        <f t="shared" si="342"/>
        <v>0</v>
      </c>
      <c r="AF1274" s="3">
        <f>IF(AND($N1274=1,AND(LEFT(对接源_02物料!$D74,4)="包装物料",N(对接源_02物料!$K74)&lt;&gt;0)),1,0)</f>
        <v>0</v>
      </c>
      <c r="AG1274" s="3">
        <f t="shared" si="343"/>
        <v>5</v>
      </c>
      <c r="AH1274" s="3">
        <f>IF(AND($N1274=1,AND(对接源_02物料!$D74="周转筐－销售出库",N(对接源_02物料!$K74)&lt;&gt;0)),1,0)</f>
        <v>0</v>
      </c>
      <c r="AI1274" s="3">
        <f t="shared" si="344"/>
        <v>0</v>
      </c>
      <c r="AL1274" s="3">
        <v>0</v>
      </c>
      <c r="AM1274" s="3">
        <f t="shared" si="345"/>
        <v>1</v>
      </c>
      <c r="AN1274" s="3" t="str">
        <f t="shared" si="349"/>
        <v/>
      </c>
      <c r="AO1274" s="3">
        <v>0</v>
      </c>
      <c r="AP1274" s="3">
        <f t="shared" si="346"/>
        <v>8</v>
      </c>
      <c r="AR1274">
        <f t="shared" si="347"/>
        <v>0</v>
      </c>
      <c r="AS1274">
        <f t="shared" si="348"/>
        <v>5</v>
      </c>
    </row>
    <row r="1275" customHeight="1" spans="1:45">
      <c r="A1275" s="3" t="str">
        <f>IF(对接源_02物料!$C75="","",对接源_02物料!$C75)</f>
        <v>贾建国</v>
      </c>
      <c r="B1275" s="3">
        <f t="shared" si="333"/>
        <v>0</v>
      </c>
      <c r="C1275" s="3">
        <f t="shared" si="334"/>
        <v>21</v>
      </c>
      <c r="K1275" s="3">
        <f>IF(OR($K$1="",对接源_02物料!$C75="",对接源_02物料!$C75&lt;&gt;$K$1,对接源_02物料!$B75=""),0,IF(OR(N(对接源_02物料!$B75)&lt;$K$2,N(对接源_02物料!$B75)&gt;$K$3),0,1))</f>
        <v>0</v>
      </c>
      <c r="L1275" s="3">
        <f>IF(OR($L$1="",对接源_02物料!$C75="",对接源_02物料!$C75&lt;&gt;$L$1,对接源_02物料!$B75=""),0,IF(OR(N(对接源_02物料!$B75)&lt;$L$2,N(对接源_02物料!$B75)&gt;$L$3),0,1))</f>
        <v>1</v>
      </c>
      <c r="M1275" s="3">
        <f>IF(OR($M$1="",对接源_02物料!$C75="",对接源_02物料!$C75&lt;&gt;$M$1,对接源_02物料!$B75=""),0,IF(OR(N(对接源_02物料!$B75)&lt;$M$2,N(对接源_02物料!$B75)&gt;$M$3),0,1))</f>
        <v>0</v>
      </c>
      <c r="N1275" s="3">
        <f>IF(OR($N$1="",对接源_02物料!$C75="",对接源_02物料!$C75&lt;&gt;$N$1,对接源_02物料!$B75=""),0,IF(OR(N(对接源_02物料!$B75)&lt;$N$2,N(对接源_02物料!$B75)&gt;$N$3),0,1))</f>
        <v>0</v>
      </c>
      <c r="P1275" s="3">
        <f>IF(AND($K1275=1,AND(对接源_02物料!$X75="公司筐",N(对接源_02物料!$T75)&lt;&gt;0)),1,0)</f>
        <v>0</v>
      </c>
      <c r="Q1275" s="3">
        <f t="shared" si="335"/>
        <v>1</v>
      </c>
      <c r="R1275" s="3">
        <f>IF(AND($K1275=1,AND(对接源_02物料!$X75="公司筐",N(对接源_02物料!$U75)&lt;&gt;0)),1,0)</f>
        <v>0</v>
      </c>
      <c r="S1275" s="3">
        <f t="shared" si="336"/>
        <v>0</v>
      </c>
      <c r="T1275" s="3">
        <f>IF(AND($K1275=1,AND(对接源_02物料!$X75="公司筐",N(对接源_02物料!$V75)&lt;&gt;0)),1,0)</f>
        <v>0</v>
      </c>
      <c r="U1275" s="3">
        <f t="shared" si="337"/>
        <v>19</v>
      </c>
      <c r="V1275" s="3">
        <f>IF(AND($L1275=1,AND(对接源_02物料!$X75="自备筐",N(对接源_02物料!$V75)&lt;&gt;0)),1,0)</f>
        <v>0</v>
      </c>
      <c r="W1275" s="3">
        <f t="shared" si="338"/>
        <v>8</v>
      </c>
      <c r="X1275" s="3">
        <f>IF(AND($L1275=1,AND(对接源_02物料!$X75="自备筐",N(对接源_02物料!$T75)&lt;&gt;0)),1,0)</f>
        <v>0</v>
      </c>
      <c r="Y1275" s="3">
        <f t="shared" si="339"/>
        <v>0</v>
      </c>
      <c r="Z1275" s="3">
        <f>IF(AND($M1275=1,对接源_02物料!$D75="原料入库"),1,0)</f>
        <v>0</v>
      </c>
      <c r="AA1275" s="3">
        <f t="shared" si="340"/>
        <v>24</v>
      </c>
      <c r="AB1275" s="3">
        <f>IF(AND($M1275=1,LEFT(对接源_02物料!$D75,4)="原料出库"),1,0)</f>
        <v>0</v>
      </c>
      <c r="AC1275" s="3">
        <f t="shared" si="341"/>
        <v>0</v>
      </c>
      <c r="AD1275" s="3">
        <f>IF(AND($M1275=1,LEFT(对接源_02物料!$D75,4)="成品出库"),1,0)</f>
        <v>0</v>
      </c>
      <c r="AE1275" s="3">
        <f t="shared" si="342"/>
        <v>0</v>
      </c>
      <c r="AF1275" s="3">
        <f>IF(AND($N1275=1,AND(LEFT(对接源_02物料!$D75,4)="包装物料",N(对接源_02物料!$K75)&lt;&gt;0)),1,0)</f>
        <v>0</v>
      </c>
      <c r="AG1275" s="3">
        <f t="shared" si="343"/>
        <v>5</v>
      </c>
      <c r="AH1275" s="3">
        <f>IF(AND($N1275=1,AND(对接源_02物料!$D75="周转筐－销售出库",N(对接源_02物料!$K75)&lt;&gt;0)),1,0)</f>
        <v>0</v>
      </c>
      <c r="AI1275" s="3">
        <f t="shared" si="344"/>
        <v>0</v>
      </c>
      <c r="AL1275" s="3">
        <v>0</v>
      </c>
      <c r="AM1275" s="3">
        <f t="shared" si="345"/>
        <v>1</v>
      </c>
      <c r="AN1275" s="3" t="str">
        <f t="shared" si="349"/>
        <v/>
      </c>
      <c r="AO1275" s="3">
        <v>0</v>
      </c>
      <c r="AP1275" s="3">
        <f t="shared" si="346"/>
        <v>8</v>
      </c>
      <c r="AR1275">
        <f t="shared" si="347"/>
        <v>0</v>
      </c>
      <c r="AS1275">
        <f t="shared" si="348"/>
        <v>5</v>
      </c>
    </row>
    <row r="1276" customHeight="1" spans="1:45">
      <c r="A1276" s="3" t="str">
        <f>IF(对接源_02物料!$C76="","",对接源_02物料!$C76)</f>
        <v>全修塑业</v>
      </c>
      <c r="B1276" s="3">
        <f t="shared" si="333"/>
        <v>0</v>
      </c>
      <c r="C1276" s="3">
        <f t="shared" si="334"/>
        <v>21</v>
      </c>
      <c r="K1276" s="3">
        <f>IF(OR($K$1="",对接源_02物料!$C76="",对接源_02物料!$C76&lt;&gt;$K$1,对接源_02物料!$B76=""),0,IF(OR(N(对接源_02物料!$B76)&lt;$K$2,N(对接源_02物料!$B76)&gt;$K$3),0,1))</f>
        <v>0</v>
      </c>
      <c r="L1276" s="3">
        <f>IF(OR($L$1="",对接源_02物料!$C76="",对接源_02物料!$C76&lt;&gt;$L$1,对接源_02物料!$B76=""),0,IF(OR(N(对接源_02物料!$B76)&lt;$L$2,N(对接源_02物料!$B76)&gt;$L$3),0,1))</f>
        <v>0</v>
      </c>
      <c r="M1276" s="3">
        <f>IF(OR($M$1="",对接源_02物料!$C76="",对接源_02物料!$C76&lt;&gt;$M$1,对接源_02物料!$B76=""),0,IF(OR(N(对接源_02物料!$B76)&lt;$M$2,N(对接源_02物料!$B76)&gt;$M$3),0,1))</f>
        <v>0</v>
      </c>
      <c r="N1276" s="3">
        <f>IF(OR($N$1="",对接源_02物料!$C76="",对接源_02物料!$C76&lt;&gt;$N$1,对接源_02物料!$B76=""),0,IF(OR(N(对接源_02物料!$B76)&lt;$N$2,N(对接源_02物料!$B76)&gt;$N$3),0,1))</f>
        <v>0</v>
      </c>
      <c r="P1276" s="3">
        <f>IF(AND($K1276=1,AND(对接源_02物料!$X76="公司筐",N(对接源_02物料!$T76)&lt;&gt;0)),1,0)</f>
        <v>0</v>
      </c>
      <c r="Q1276" s="3">
        <f t="shared" si="335"/>
        <v>1</v>
      </c>
      <c r="R1276" s="3">
        <f>IF(AND($K1276=1,AND(对接源_02物料!$X76="公司筐",N(对接源_02物料!$U76)&lt;&gt;0)),1,0)</f>
        <v>0</v>
      </c>
      <c r="S1276" s="3">
        <f t="shared" si="336"/>
        <v>0</v>
      </c>
      <c r="T1276" s="3">
        <f>IF(AND($K1276=1,AND(对接源_02物料!$X76="公司筐",N(对接源_02物料!$V76)&lt;&gt;0)),1,0)</f>
        <v>0</v>
      </c>
      <c r="U1276" s="3">
        <f t="shared" si="337"/>
        <v>19</v>
      </c>
      <c r="V1276" s="3">
        <f>IF(AND($L1276=1,AND(对接源_02物料!$X76="自备筐",N(对接源_02物料!$V76)&lt;&gt;0)),1,0)</f>
        <v>0</v>
      </c>
      <c r="W1276" s="3">
        <f t="shared" si="338"/>
        <v>8</v>
      </c>
      <c r="X1276" s="3">
        <f>IF(AND($L1276=1,AND(对接源_02物料!$X76="自备筐",N(对接源_02物料!$T76)&lt;&gt;0)),1,0)</f>
        <v>0</v>
      </c>
      <c r="Y1276" s="3">
        <f t="shared" si="339"/>
        <v>0</v>
      </c>
      <c r="Z1276" s="3">
        <f>IF(AND($M1276=1,对接源_02物料!$D76="原料入库"),1,0)</f>
        <v>0</v>
      </c>
      <c r="AA1276" s="3">
        <f t="shared" si="340"/>
        <v>24</v>
      </c>
      <c r="AB1276" s="3">
        <f>IF(AND($M1276=1,LEFT(对接源_02物料!$D76,4)="原料出库"),1,0)</f>
        <v>0</v>
      </c>
      <c r="AC1276" s="3">
        <f t="shared" si="341"/>
        <v>0</v>
      </c>
      <c r="AD1276" s="3">
        <f>IF(AND($M1276=1,LEFT(对接源_02物料!$D76,4)="成品出库"),1,0)</f>
        <v>0</v>
      </c>
      <c r="AE1276" s="3">
        <f t="shared" si="342"/>
        <v>0</v>
      </c>
      <c r="AF1276" s="3">
        <f>IF(AND($N1276=1,AND(LEFT(对接源_02物料!$D76,4)="包装物料",N(对接源_02物料!$K76)&lt;&gt;0)),1,0)</f>
        <v>0</v>
      </c>
      <c r="AG1276" s="3">
        <f t="shared" si="343"/>
        <v>5</v>
      </c>
      <c r="AH1276" s="3">
        <f>IF(AND($N1276=1,AND(对接源_02物料!$D76="周转筐－销售出库",N(对接源_02物料!$K76)&lt;&gt;0)),1,0)</f>
        <v>0</v>
      </c>
      <c r="AI1276" s="3">
        <f t="shared" si="344"/>
        <v>0</v>
      </c>
      <c r="AL1276" s="3">
        <v>0</v>
      </c>
      <c r="AM1276" s="3">
        <f t="shared" si="345"/>
        <v>1</v>
      </c>
      <c r="AN1276" s="3" t="str">
        <f t="shared" si="349"/>
        <v/>
      </c>
      <c r="AO1276" s="3">
        <v>0</v>
      </c>
      <c r="AP1276" s="3">
        <f t="shared" si="346"/>
        <v>8</v>
      </c>
      <c r="AR1276">
        <f t="shared" si="347"/>
        <v>0</v>
      </c>
      <c r="AS1276">
        <f t="shared" si="348"/>
        <v>5</v>
      </c>
    </row>
    <row r="1277" customHeight="1" spans="1:45">
      <c r="A1277" s="3" t="str">
        <f>IF(对接源_02物料!$C77="","",对接源_02物料!$C77)</f>
        <v>麦麦提</v>
      </c>
      <c r="B1277" s="3">
        <f t="shared" si="333"/>
        <v>0</v>
      </c>
      <c r="C1277" s="3">
        <f t="shared" si="334"/>
        <v>21</v>
      </c>
      <c r="K1277" s="3">
        <f>IF(OR($K$1="",对接源_02物料!$C77="",对接源_02物料!$C77&lt;&gt;$K$1,对接源_02物料!$B77=""),0,IF(OR(N(对接源_02物料!$B77)&lt;$K$2,N(对接源_02物料!$B77)&gt;$K$3),0,1))</f>
        <v>0</v>
      </c>
      <c r="L1277" s="3">
        <f>IF(OR($L$1="",对接源_02物料!$C77="",对接源_02物料!$C77&lt;&gt;$L$1,对接源_02物料!$B77=""),0,IF(OR(N(对接源_02物料!$B77)&lt;$L$2,N(对接源_02物料!$B77)&gt;$L$3),0,1))</f>
        <v>0</v>
      </c>
      <c r="M1277" s="3">
        <f>IF(OR($M$1="",对接源_02物料!$C77="",对接源_02物料!$C77&lt;&gt;$M$1,对接源_02物料!$B77=""),0,IF(OR(N(对接源_02物料!$B77)&lt;$M$2,N(对接源_02物料!$B77)&gt;$M$3),0,1))</f>
        <v>0</v>
      </c>
      <c r="N1277" s="3">
        <f>IF(OR($N$1="",对接源_02物料!$C77="",对接源_02物料!$C77&lt;&gt;$N$1,对接源_02物料!$B77=""),0,IF(OR(N(对接源_02物料!$B77)&lt;$N$2,N(对接源_02物料!$B77)&gt;$N$3),0,1))</f>
        <v>0</v>
      </c>
      <c r="P1277" s="3">
        <f>IF(AND($K1277=1,AND(对接源_02物料!$X77="公司筐",N(对接源_02物料!$T77)&lt;&gt;0)),1,0)</f>
        <v>0</v>
      </c>
      <c r="Q1277" s="3">
        <f t="shared" si="335"/>
        <v>1</v>
      </c>
      <c r="R1277" s="3">
        <f>IF(AND($K1277=1,AND(对接源_02物料!$X77="公司筐",N(对接源_02物料!$U77)&lt;&gt;0)),1,0)</f>
        <v>0</v>
      </c>
      <c r="S1277" s="3">
        <f t="shared" si="336"/>
        <v>0</v>
      </c>
      <c r="T1277" s="3">
        <f>IF(AND($K1277=1,AND(对接源_02物料!$X77="公司筐",N(对接源_02物料!$V77)&lt;&gt;0)),1,0)</f>
        <v>0</v>
      </c>
      <c r="U1277" s="3">
        <f t="shared" si="337"/>
        <v>19</v>
      </c>
      <c r="V1277" s="3">
        <f>IF(AND($L1277=1,AND(对接源_02物料!$X77="自备筐",N(对接源_02物料!$V77)&lt;&gt;0)),1,0)</f>
        <v>0</v>
      </c>
      <c r="W1277" s="3">
        <f t="shared" si="338"/>
        <v>8</v>
      </c>
      <c r="X1277" s="3">
        <f>IF(AND($L1277=1,AND(对接源_02物料!$X77="自备筐",N(对接源_02物料!$T77)&lt;&gt;0)),1,0)</f>
        <v>0</v>
      </c>
      <c r="Y1277" s="3">
        <f t="shared" si="339"/>
        <v>0</v>
      </c>
      <c r="Z1277" s="3">
        <f>IF(AND($M1277=1,对接源_02物料!$D77="原料入库"),1,0)</f>
        <v>0</v>
      </c>
      <c r="AA1277" s="3">
        <f t="shared" si="340"/>
        <v>24</v>
      </c>
      <c r="AB1277" s="3">
        <f>IF(AND($M1277=1,LEFT(对接源_02物料!$D77,4)="原料出库"),1,0)</f>
        <v>0</v>
      </c>
      <c r="AC1277" s="3">
        <f t="shared" si="341"/>
        <v>0</v>
      </c>
      <c r="AD1277" s="3">
        <f>IF(AND($M1277=1,LEFT(对接源_02物料!$D77,4)="成品出库"),1,0)</f>
        <v>0</v>
      </c>
      <c r="AE1277" s="3">
        <f t="shared" si="342"/>
        <v>0</v>
      </c>
      <c r="AF1277" s="3">
        <f>IF(AND($N1277=1,AND(LEFT(对接源_02物料!$D77,4)="包装物料",N(对接源_02物料!$K77)&lt;&gt;0)),1,0)</f>
        <v>0</v>
      </c>
      <c r="AG1277" s="3">
        <f t="shared" si="343"/>
        <v>5</v>
      </c>
      <c r="AH1277" s="3">
        <f>IF(AND($N1277=1,AND(对接源_02物料!$D77="周转筐－销售出库",N(对接源_02物料!$K77)&lt;&gt;0)),1,0)</f>
        <v>0</v>
      </c>
      <c r="AI1277" s="3">
        <f t="shared" si="344"/>
        <v>0</v>
      </c>
      <c r="AL1277" s="3">
        <v>0</v>
      </c>
      <c r="AM1277" s="3">
        <f t="shared" si="345"/>
        <v>1</v>
      </c>
      <c r="AN1277" s="3" t="str">
        <f t="shared" si="349"/>
        <v/>
      </c>
      <c r="AO1277" s="3">
        <v>0</v>
      </c>
      <c r="AP1277" s="3">
        <f t="shared" si="346"/>
        <v>8</v>
      </c>
      <c r="AR1277">
        <f t="shared" si="347"/>
        <v>0</v>
      </c>
      <c r="AS1277">
        <f t="shared" si="348"/>
        <v>5</v>
      </c>
    </row>
    <row r="1278" customHeight="1" spans="1:45">
      <c r="A1278" s="3" t="str">
        <f>IF(对接源_02物料!$C78="","",对接源_02物料!$C78)</f>
        <v>全修塑业</v>
      </c>
      <c r="B1278" s="3">
        <f t="shared" si="333"/>
        <v>0</v>
      </c>
      <c r="C1278" s="3">
        <f t="shared" si="334"/>
        <v>21</v>
      </c>
      <c r="K1278" s="3">
        <f>IF(OR($K$1="",对接源_02物料!$C78="",对接源_02物料!$C78&lt;&gt;$K$1,对接源_02物料!$B78=""),0,IF(OR(N(对接源_02物料!$B78)&lt;$K$2,N(对接源_02物料!$B78)&gt;$K$3),0,1))</f>
        <v>0</v>
      </c>
      <c r="L1278" s="3">
        <f>IF(OR($L$1="",对接源_02物料!$C78="",对接源_02物料!$C78&lt;&gt;$L$1,对接源_02物料!$B78=""),0,IF(OR(N(对接源_02物料!$B78)&lt;$L$2,N(对接源_02物料!$B78)&gt;$L$3),0,1))</f>
        <v>0</v>
      </c>
      <c r="M1278" s="3">
        <f>IF(OR($M$1="",对接源_02物料!$C78="",对接源_02物料!$C78&lt;&gt;$M$1,对接源_02物料!$B78=""),0,IF(OR(N(对接源_02物料!$B78)&lt;$M$2,N(对接源_02物料!$B78)&gt;$M$3),0,1))</f>
        <v>0</v>
      </c>
      <c r="N1278" s="3">
        <f>IF(OR($N$1="",对接源_02物料!$C78="",对接源_02物料!$C78&lt;&gt;$N$1,对接源_02物料!$B78=""),0,IF(OR(N(对接源_02物料!$B78)&lt;$N$2,N(对接源_02物料!$B78)&gt;$N$3),0,1))</f>
        <v>0</v>
      </c>
      <c r="P1278" s="3">
        <f>IF(AND($K1278=1,AND(对接源_02物料!$X78="公司筐",N(对接源_02物料!$T78)&lt;&gt;0)),1,0)</f>
        <v>0</v>
      </c>
      <c r="Q1278" s="3">
        <f t="shared" si="335"/>
        <v>1</v>
      </c>
      <c r="R1278" s="3">
        <f>IF(AND($K1278=1,AND(对接源_02物料!$X78="公司筐",N(对接源_02物料!$U78)&lt;&gt;0)),1,0)</f>
        <v>0</v>
      </c>
      <c r="S1278" s="3">
        <f t="shared" si="336"/>
        <v>0</v>
      </c>
      <c r="T1278" s="3">
        <f>IF(AND($K1278=1,AND(对接源_02物料!$X78="公司筐",N(对接源_02物料!$V78)&lt;&gt;0)),1,0)</f>
        <v>0</v>
      </c>
      <c r="U1278" s="3">
        <f t="shared" si="337"/>
        <v>19</v>
      </c>
      <c r="V1278" s="3">
        <f>IF(AND($L1278=1,AND(对接源_02物料!$X78="自备筐",N(对接源_02物料!$V78)&lt;&gt;0)),1,0)</f>
        <v>0</v>
      </c>
      <c r="W1278" s="3">
        <f t="shared" si="338"/>
        <v>8</v>
      </c>
      <c r="X1278" s="3">
        <f>IF(AND($L1278=1,AND(对接源_02物料!$X78="自备筐",N(对接源_02物料!$T78)&lt;&gt;0)),1,0)</f>
        <v>0</v>
      </c>
      <c r="Y1278" s="3">
        <f t="shared" si="339"/>
        <v>0</v>
      </c>
      <c r="Z1278" s="3">
        <f>IF(AND($M1278=1,对接源_02物料!$D78="原料入库"),1,0)</f>
        <v>0</v>
      </c>
      <c r="AA1278" s="3">
        <f t="shared" si="340"/>
        <v>24</v>
      </c>
      <c r="AB1278" s="3">
        <f>IF(AND($M1278=1,LEFT(对接源_02物料!$D78,4)="原料出库"),1,0)</f>
        <v>0</v>
      </c>
      <c r="AC1278" s="3">
        <f t="shared" si="341"/>
        <v>0</v>
      </c>
      <c r="AD1278" s="3">
        <f>IF(AND($M1278=1,LEFT(对接源_02物料!$D78,4)="成品出库"),1,0)</f>
        <v>0</v>
      </c>
      <c r="AE1278" s="3">
        <f t="shared" si="342"/>
        <v>0</v>
      </c>
      <c r="AF1278" s="3">
        <f>IF(AND($N1278=1,AND(LEFT(对接源_02物料!$D78,4)="包装物料",N(对接源_02物料!$K78)&lt;&gt;0)),1,0)</f>
        <v>0</v>
      </c>
      <c r="AG1278" s="3">
        <f t="shared" si="343"/>
        <v>5</v>
      </c>
      <c r="AH1278" s="3">
        <f>IF(AND($N1278=1,AND(对接源_02物料!$D78="周转筐－销售出库",N(对接源_02物料!$K78)&lt;&gt;0)),1,0)</f>
        <v>0</v>
      </c>
      <c r="AI1278" s="3">
        <f t="shared" si="344"/>
        <v>0</v>
      </c>
      <c r="AL1278" s="3">
        <v>0</v>
      </c>
      <c r="AM1278" s="3">
        <f t="shared" si="345"/>
        <v>1</v>
      </c>
      <c r="AN1278" s="3" t="str">
        <f t="shared" si="349"/>
        <v/>
      </c>
      <c r="AO1278" s="3">
        <v>0</v>
      </c>
      <c r="AP1278" s="3">
        <f t="shared" si="346"/>
        <v>8</v>
      </c>
      <c r="AR1278">
        <f t="shared" si="347"/>
        <v>0</v>
      </c>
      <c r="AS1278">
        <f t="shared" si="348"/>
        <v>5</v>
      </c>
    </row>
    <row r="1279" customHeight="1" spans="1:45">
      <c r="A1279" s="3" t="str">
        <f>IF(对接源_02物料!$C79="","",对接源_02物料!$C79)</f>
        <v>马锦祥</v>
      </c>
      <c r="B1279" s="3">
        <f t="shared" si="333"/>
        <v>0</v>
      </c>
      <c r="C1279" s="3">
        <f t="shared" si="334"/>
        <v>21</v>
      </c>
      <c r="K1279" s="3">
        <f>IF(OR($K$1="",对接源_02物料!$C79="",对接源_02物料!$C79&lt;&gt;$K$1,对接源_02物料!$B79=""),0,IF(OR(N(对接源_02物料!$B79)&lt;$K$2,N(对接源_02物料!$B79)&gt;$K$3),0,1))</f>
        <v>0</v>
      </c>
      <c r="L1279" s="3">
        <f>IF(OR($L$1="",对接源_02物料!$C79="",对接源_02物料!$C79&lt;&gt;$L$1,对接源_02物料!$B79=""),0,IF(OR(N(对接源_02物料!$B79)&lt;$L$2,N(对接源_02物料!$B79)&gt;$L$3),0,1))</f>
        <v>0</v>
      </c>
      <c r="M1279" s="3">
        <f>IF(OR($M$1="",对接源_02物料!$C79="",对接源_02物料!$C79&lt;&gt;$M$1,对接源_02物料!$B79=""),0,IF(OR(N(对接源_02物料!$B79)&lt;$M$2,N(对接源_02物料!$B79)&gt;$M$3),0,1))</f>
        <v>0</v>
      </c>
      <c r="N1279" s="3">
        <f>IF(OR($N$1="",对接源_02物料!$C79="",对接源_02物料!$C79&lt;&gt;$N$1,对接源_02物料!$B79=""),0,IF(OR(N(对接源_02物料!$B79)&lt;$N$2,N(对接源_02物料!$B79)&gt;$N$3),0,1))</f>
        <v>0</v>
      </c>
      <c r="P1279" s="3">
        <f>IF(AND($K1279=1,AND(对接源_02物料!$X79="公司筐",N(对接源_02物料!$T79)&lt;&gt;0)),1,0)</f>
        <v>0</v>
      </c>
      <c r="Q1279" s="3">
        <f t="shared" si="335"/>
        <v>1</v>
      </c>
      <c r="R1279" s="3">
        <f>IF(AND($K1279=1,AND(对接源_02物料!$X79="公司筐",N(对接源_02物料!$U79)&lt;&gt;0)),1,0)</f>
        <v>0</v>
      </c>
      <c r="S1279" s="3">
        <f t="shared" si="336"/>
        <v>0</v>
      </c>
      <c r="T1279" s="3">
        <f>IF(AND($K1279=1,AND(对接源_02物料!$X79="公司筐",N(对接源_02物料!$V79)&lt;&gt;0)),1,0)</f>
        <v>0</v>
      </c>
      <c r="U1279" s="3">
        <f t="shared" si="337"/>
        <v>19</v>
      </c>
      <c r="V1279" s="3">
        <f>IF(AND($L1279=1,AND(对接源_02物料!$X79="自备筐",N(对接源_02物料!$V79)&lt;&gt;0)),1,0)</f>
        <v>0</v>
      </c>
      <c r="W1279" s="3">
        <f t="shared" si="338"/>
        <v>8</v>
      </c>
      <c r="X1279" s="3">
        <f>IF(AND($L1279=1,AND(对接源_02物料!$X79="自备筐",N(对接源_02物料!$T79)&lt;&gt;0)),1,0)</f>
        <v>0</v>
      </c>
      <c r="Y1279" s="3">
        <f t="shared" si="339"/>
        <v>0</v>
      </c>
      <c r="Z1279" s="3">
        <f>IF(AND($M1279=1,对接源_02物料!$D79="原料入库"),1,0)</f>
        <v>0</v>
      </c>
      <c r="AA1279" s="3">
        <f t="shared" si="340"/>
        <v>24</v>
      </c>
      <c r="AB1279" s="3">
        <f>IF(AND($M1279=1,LEFT(对接源_02物料!$D79,4)="原料出库"),1,0)</f>
        <v>0</v>
      </c>
      <c r="AC1279" s="3">
        <f t="shared" si="341"/>
        <v>0</v>
      </c>
      <c r="AD1279" s="3">
        <f>IF(AND($M1279=1,LEFT(对接源_02物料!$D79,4)="成品出库"),1,0)</f>
        <v>0</v>
      </c>
      <c r="AE1279" s="3">
        <f t="shared" si="342"/>
        <v>0</v>
      </c>
      <c r="AF1279" s="3">
        <f>IF(AND($N1279=1,AND(LEFT(对接源_02物料!$D79,4)="包装物料",N(对接源_02物料!$K79)&lt;&gt;0)),1,0)</f>
        <v>0</v>
      </c>
      <c r="AG1279" s="3">
        <f t="shared" si="343"/>
        <v>5</v>
      </c>
      <c r="AH1279" s="3">
        <f>IF(AND($N1279=1,AND(对接源_02物料!$D79="周转筐－销售出库",N(对接源_02物料!$K79)&lt;&gt;0)),1,0)</f>
        <v>0</v>
      </c>
      <c r="AI1279" s="3">
        <f t="shared" si="344"/>
        <v>0</v>
      </c>
      <c r="AL1279" s="3">
        <v>0</v>
      </c>
      <c r="AM1279" s="3">
        <f t="shared" si="345"/>
        <v>1</v>
      </c>
      <c r="AN1279" s="3" t="str">
        <f t="shared" si="349"/>
        <v/>
      </c>
      <c r="AO1279" s="3">
        <v>0</v>
      </c>
      <c r="AP1279" s="3">
        <f t="shared" si="346"/>
        <v>8</v>
      </c>
      <c r="AR1279">
        <f t="shared" si="347"/>
        <v>0</v>
      </c>
      <c r="AS1279">
        <f t="shared" si="348"/>
        <v>5</v>
      </c>
    </row>
    <row r="1280" customHeight="1" spans="1:45">
      <c r="A1280" s="3" t="str">
        <f>IF(对接源_02物料!$C80="","",对接源_02物料!$C80)</f>
        <v>贾建国</v>
      </c>
      <c r="B1280" s="3">
        <f t="shared" si="333"/>
        <v>0</v>
      </c>
      <c r="C1280" s="3">
        <f t="shared" si="334"/>
        <v>21</v>
      </c>
      <c r="K1280" s="3">
        <f>IF(OR($K$1="",对接源_02物料!$C80="",对接源_02物料!$C80&lt;&gt;$K$1,对接源_02物料!$B80=""),0,IF(OR(N(对接源_02物料!$B80)&lt;$K$2,N(对接源_02物料!$B80)&gt;$K$3),0,1))</f>
        <v>0</v>
      </c>
      <c r="L1280" s="3">
        <f>IF(OR($L$1="",对接源_02物料!$C80="",对接源_02物料!$C80&lt;&gt;$L$1,对接源_02物料!$B80=""),0,IF(OR(N(对接源_02物料!$B80)&lt;$L$2,N(对接源_02物料!$B80)&gt;$L$3),0,1))</f>
        <v>1</v>
      </c>
      <c r="M1280" s="3">
        <f>IF(OR($M$1="",对接源_02物料!$C80="",对接源_02物料!$C80&lt;&gt;$M$1,对接源_02物料!$B80=""),0,IF(OR(N(对接源_02物料!$B80)&lt;$M$2,N(对接源_02物料!$B80)&gt;$M$3),0,1))</f>
        <v>0</v>
      </c>
      <c r="N1280" s="3">
        <f>IF(OR($N$1="",对接源_02物料!$C80="",对接源_02物料!$C80&lt;&gt;$N$1,对接源_02物料!$B80=""),0,IF(OR(N(对接源_02物料!$B80)&lt;$N$2,N(对接源_02物料!$B80)&gt;$N$3),0,1))</f>
        <v>0</v>
      </c>
      <c r="P1280" s="3">
        <f>IF(AND($K1280=1,AND(对接源_02物料!$X80="公司筐",N(对接源_02物料!$T80)&lt;&gt;0)),1,0)</f>
        <v>0</v>
      </c>
      <c r="Q1280" s="3">
        <f t="shared" si="335"/>
        <v>1</v>
      </c>
      <c r="R1280" s="3">
        <f>IF(AND($K1280=1,AND(对接源_02物料!$X80="公司筐",N(对接源_02物料!$U80)&lt;&gt;0)),1,0)</f>
        <v>0</v>
      </c>
      <c r="S1280" s="3">
        <f t="shared" si="336"/>
        <v>0</v>
      </c>
      <c r="T1280" s="3">
        <f>IF(AND($K1280=1,AND(对接源_02物料!$X80="公司筐",N(对接源_02物料!$V80)&lt;&gt;0)),1,0)</f>
        <v>0</v>
      </c>
      <c r="U1280" s="3">
        <f t="shared" si="337"/>
        <v>19</v>
      </c>
      <c r="V1280" s="3">
        <f>IF(AND($L1280=1,AND(对接源_02物料!$X80="自备筐",N(对接源_02物料!$V80)&lt;&gt;0)),1,0)</f>
        <v>0</v>
      </c>
      <c r="W1280" s="3">
        <f t="shared" si="338"/>
        <v>8</v>
      </c>
      <c r="X1280" s="3">
        <f>IF(AND($L1280=1,AND(对接源_02物料!$X80="自备筐",N(对接源_02物料!$T80)&lt;&gt;0)),1,0)</f>
        <v>0</v>
      </c>
      <c r="Y1280" s="3">
        <f t="shared" si="339"/>
        <v>0</v>
      </c>
      <c r="Z1280" s="3">
        <f>IF(AND($M1280=1,对接源_02物料!$D80="原料入库"),1,0)</f>
        <v>0</v>
      </c>
      <c r="AA1280" s="3">
        <f t="shared" si="340"/>
        <v>24</v>
      </c>
      <c r="AB1280" s="3">
        <f>IF(AND($M1280=1,LEFT(对接源_02物料!$D80,4)="原料出库"),1,0)</f>
        <v>0</v>
      </c>
      <c r="AC1280" s="3">
        <f t="shared" si="341"/>
        <v>0</v>
      </c>
      <c r="AD1280" s="3">
        <f>IF(AND($M1280=1,LEFT(对接源_02物料!$D80,4)="成品出库"),1,0)</f>
        <v>0</v>
      </c>
      <c r="AE1280" s="3">
        <f t="shared" si="342"/>
        <v>0</v>
      </c>
      <c r="AF1280" s="3">
        <f>IF(AND($N1280=1,AND(LEFT(对接源_02物料!$D80,4)="包装物料",N(对接源_02物料!$K80)&lt;&gt;0)),1,0)</f>
        <v>0</v>
      </c>
      <c r="AG1280" s="3">
        <f t="shared" si="343"/>
        <v>5</v>
      </c>
      <c r="AH1280" s="3">
        <f>IF(AND($N1280=1,AND(对接源_02物料!$D80="周转筐－销售出库",N(对接源_02物料!$K80)&lt;&gt;0)),1,0)</f>
        <v>0</v>
      </c>
      <c r="AI1280" s="3">
        <f t="shared" si="344"/>
        <v>0</v>
      </c>
      <c r="AL1280" s="3">
        <v>0</v>
      </c>
      <c r="AM1280" s="3">
        <f t="shared" si="345"/>
        <v>1</v>
      </c>
      <c r="AN1280" s="3" t="str">
        <f t="shared" si="349"/>
        <v/>
      </c>
      <c r="AO1280" s="3">
        <v>0</v>
      </c>
      <c r="AP1280" s="3">
        <f t="shared" si="346"/>
        <v>8</v>
      </c>
      <c r="AR1280">
        <f t="shared" si="347"/>
        <v>0</v>
      </c>
      <c r="AS1280">
        <f t="shared" si="348"/>
        <v>5</v>
      </c>
    </row>
    <row r="1281" customHeight="1" spans="1:45">
      <c r="A1281" s="3" t="str">
        <f>IF(对接源_02物料!$C81="","",对接源_02物料!$C81)</f>
        <v>热合曼</v>
      </c>
      <c r="B1281" s="3">
        <f t="shared" si="333"/>
        <v>0</v>
      </c>
      <c r="C1281" s="3">
        <f t="shared" si="334"/>
        <v>21</v>
      </c>
      <c r="K1281" s="3">
        <f>IF(OR($K$1="",对接源_02物料!$C81="",对接源_02物料!$C81&lt;&gt;$K$1,对接源_02物料!$B81=""),0,IF(OR(N(对接源_02物料!$B81)&lt;$K$2,N(对接源_02物料!$B81)&gt;$K$3),0,1))</f>
        <v>0</v>
      </c>
      <c r="L1281" s="3">
        <f>IF(OR($L$1="",对接源_02物料!$C81="",对接源_02物料!$C81&lt;&gt;$L$1,对接源_02物料!$B81=""),0,IF(OR(N(对接源_02物料!$B81)&lt;$L$2,N(对接源_02物料!$B81)&gt;$L$3),0,1))</f>
        <v>0</v>
      </c>
      <c r="M1281" s="3">
        <f>IF(OR($M$1="",对接源_02物料!$C81="",对接源_02物料!$C81&lt;&gt;$M$1,对接源_02物料!$B81=""),0,IF(OR(N(对接源_02物料!$B81)&lt;$M$2,N(对接源_02物料!$B81)&gt;$M$3),0,1))</f>
        <v>0</v>
      </c>
      <c r="N1281" s="3">
        <f>IF(OR($N$1="",对接源_02物料!$C81="",对接源_02物料!$C81&lt;&gt;$N$1,对接源_02物料!$B81=""),0,IF(OR(N(对接源_02物料!$B81)&lt;$N$2,N(对接源_02物料!$B81)&gt;$N$3),0,1))</f>
        <v>0</v>
      </c>
      <c r="P1281" s="3">
        <f>IF(AND($K1281=1,AND(对接源_02物料!$X81="公司筐",N(对接源_02物料!$T81)&lt;&gt;0)),1,0)</f>
        <v>0</v>
      </c>
      <c r="Q1281" s="3">
        <f t="shared" si="335"/>
        <v>1</v>
      </c>
      <c r="R1281" s="3">
        <f>IF(AND($K1281=1,AND(对接源_02物料!$X81="公司筐",N(对接源_02物料!$U81)&lt;&gt;0)),1,0)</f>
        <v>0</v>
      </c>
      <c r="S1281" s="3">
        <f t="shared" si="336"/>
        <v>0</v>
      </c>
      <c r="T1281" s="3">
        <f>IF(AND($K1281=1,AND(对接源_02物料!$X81="公司筐",N(对接源_02物料!$V81)&lt;&gt;0)),1,0)</f>
        <v>0</v>
      </c>
      <c r="U1281" s="3">
        <f t="shared" si="337"/>
        <v>19</v>
      </c>
      <c r="V1281" s="3">
        <f>IF(AND($L1281=1,AND(对接源_02物料!$X81="自备筐",N(对接源_02物料!$V81)&lt;&gt;0)),1,0)</f>
        <v>0</v>
      </c>
      <c r="W1281" s="3">
        <f t="shared" si="338"/>
        <v>8</v>
      </c>
      <c r="X1281" s="3">
        <f>IF(AND($L1281=1,AND(对接源_02物料!$X81="自备筐",N(对接源_02物料!$T81)&lt;&gt;0)),1,0)</f>
        <v>0</v>
      </c>
      <c r="Y1281" s="3">
        <f t="shared" si="339"/>
        <v>0</v>
      </c>
      <c r="Z1281" s="3">
        <f>IF(AND($M1281=1,对接源_02物料!$D81="原料入库"),1,0)</f>
        <v>0</v>
      </c>
      <c r="AA1281" s="3">
        <f t="shared" si="340"/>
        <v>24</v>
      </c>
      <c r="AB1281" s="3">
        <f>IF(AND($M1281=1,LEFT(对接源_02物料!$D81,4)="原料出库"),1,0)</f>
        <v>0</v>
      </c>
      <c r="AC1281" s="3">
        <f t="shared" si="341"/>
        <v>0</v>
      </c>
      <c r="AD1281" s="3">
        <f>IF(AND($M1281=1,LEFT(对接源_02物料!$D81,4)="成品出库"),1,0)</f>
        <v>0</v>
      </c>
      <c r="AE1281" s="3">
        <f t="shared" si="342"/>
        <v>0</v>
      </c>
      <c r="AF1281" s="3">
        <f>IF(AND($N1281=1,AND(LEFT(对接源_02物料!$D81,4)="包装物料",N(对接源_02物料!$K81)&lt;&gt;0)),1,0)</f>
        <v>0</v>
      </c>
      <c r="AG1281" s="3">
        <f t="shared" si="343"/>
        <v>5</v>
      </c>
      <c r="AH1281" s="3">
        <f>IF(AND($N1281=1,AND(对接源_02物料!$D81="周转筐－销售出库",N(对接源_02物料!$K81)&lt;&gt;0)),1,0)</f>
        <v>0</v>
      </c>
      <c r="AI1281" s="3">
        <f t="shared" si="344"/>
        <v>0</v>
      </c>
      <c r="AL1281" s="3">
        <v>0</v>
      </c>
      <c r="AM1281" s="3">
        <f t="shared" si="345"/>
        <v>1</v>
      </c>
      <c r="AN1281" s="3" t="str">
        <f t="shared" si="349"/>
        <v/>
      </c>
      <c r="AO1281" s="3">
        <v>0</v>
      </c>
      <c r="AP1281" s="3">
        <f t="shared" si="346"/>
        <v>8</v>
      </c>
      <c r="AR1281">
        <f t="shared" si="347"/>
        <v>0</v>
      </c>
      <c r="AS1281">
        <f t="shared" si="348"/>
        <v>5</v>
      </c>
    </row>
    <row r="1282" customHeight="1" spans="1:45">
      <c r="A1282" s="3" t="str">
        <f>IF(对接源_02物料!$C82="","",对接源_02物料!$C82)</f>
        <v>王照雪</v>
      </c>
      <c r="B1282" s="3">
        <f t="shared" si="333"/>
        <v>0</v>
      </c>
      <c r="C1282" s="3">
        <f t="shared" si="334"/>
        <v>21</v>
      </c>
      <c r="K1282" s="3">
        <f>IF(OR($K$1="",对接源_02物料!$C82="",对接源_02物料!$C82&lt;&gt;$K$1,对接源_02物料!$B82=""),0,IF(OR(N(对接源_02物料!$B82)&lt;$K$2,N(对接源_02物料!$B82)&gt;$K$3),0,1))</f>
        <v>0</v>
      </c>
      <c r="L1282" s="3">
        <f>IF(OR($L$1="",对接源_02物料!$C82="",对接源_02物料!$C82&lt;&gt;$L$1,对接源_02物料!$B82=""),0,IF(OR(N(对接源_02物料!$B82)&lt;$L$2,N(对接源_02物料!$B82)&gt;$L$3),0,1))</f>
        <v>0</v>
      </c>
      <c r="M1282" s="3">
        <f>IF(OR($M$1="",对接源_02物料!$C82="",对接源_02物料!$C82&lt;&gt;$M$1,对接源_02物料!$B82=""),0,IF(OR(N(对接源_02物料!$B82)&lt;$M$2,N(对接源_02物料!$B82)&gt;$M$3),0,1))</f>
        <v>0</v>
      </c>
      <c r="N1282" s="3">
        <f>IF(OR($N$1="",对接源_02物料!$C82="",对接源_02物料!$C82&lt;&gt;$N$1,对接源_02物料!$B82=""),0,IF(OR(N(对接源_02物料!$B82)&lt;$N$2,N(对接源_02物料!$B82)&gt;$N$3),0,1))</f>
        <v>0</v>
      </c>
      <c r="P1282" s="3">
        <f>IF(AND($K1282=1,AND(对接源_02物料!$X82="公司筐",N(对接源_02物料!$T82)&lt;&gt;0)),1,0)</f>
        <v>0</v>
      </c>
      <c r="Q1282" s="3">
        <f t="shared" si="335"/>
        <v>1</v>
      </c>
      <c r="R1282" s="3">
        <f>IF(AND($K1282=1,AND(对接源_02物料!$X82="公司筐",N(对接源_02物料!$U82)&lt;&gt;0)),1,0)</f>
        <v>0</v>
      </c>
      <c r="S1282" s="3">
        <f t="shared" si="336"/>
        <v>0</v>
      </c>
      <c r="T1282" s="3">
        <f>IF(AND($K1282=1,AND(对接源_02物料!$X82="公司筐",N(对接源_02物料!$V82)&lt;&gt;0)),1,0)</f>
        <v>0</v>
      </c>
      <c r="U1282" s="3">
        <f t="shared" si="337"/>
        <v>19</v>
      </c>
      <c r="V1282" s="3">
        <f>IF(AND($L1282=1,AND(对接源_02物料!$X82="自备筐",N(对接源_02物料!$V82)&lt;&gt;0)),1,0)</f>
        <v>0</v>
      </c>
      <c r="W1282" s="3">
        <f t="shared" si="338"/>
        <v>8</v>
      </c>
      <c r="X1282" s="3">
        <f>IF(AND($L1282=1,AND(对接源_02物料!$X82="自备筐",N(对接源_02物料!$T82)&lt;&gt;0)),1,0)</f>
        <v>0</v>
      </c>
      <c r="Y1282" s="3">
        <f t="shared" si="339"/>
        <v>0</v>
      </c>
      <c r="Z1282" s="3">
        <f>IF(AND($M1282=1,对接源_02物料!$D82="原料入库"),1,0)</f>
        <v>0</v>
      </c>
      <c r="AA1282" s="3">
        <f t="shared" si="340"/>
        <v>24</v>
      </c>
      <c r="AB1282" s="3">
        <f>IF(AND($M1282=1,LEFT(对接源_02物料!$D82,4)="原料出库"),1,0)</f>
        <v>0</v>
      </c>
      <c r="AC1282" s="3">
        <f t="shared" si="341"/>
        <v>0</v>
      </c>
      <c r="AD1282" s="3">
        <f>IF(AND($M1282=1,LEFT(对接源_02物料!$D82,4)="成品出库"),1,0)</f>
        <v>0</v>
      </c>
      <c r="AE1282" s="3">
        <f t="shared" si="342"/>
        <v>0</v>
      </c>
      <c r="AF1282" s="3">
        <f>IF(AND($N1282=1,AND(LEFT(对接源_02物料!$D82,4)="包装物料",N(对接源_02物料!$K82)&lt;&gt;0)),1,0)</f>
        <v>0</v>
      </c>
      <c r="AG1282" s="3">
        <f t="shared" si="343"/>
        <v>5</v>
      </c>
      <c r="AH1282" s="3">
        <f>IF(AND($N1282=1,AND(对接源_02物料!$D82="周转筐－销售出库",N(对接源_02物料!$K82)&lt;&gt;0)),1,0)</f>
        <v>0</v>
      </c>
      <c r="AI1282" s="3">
        <f t="shared" si="344"/>
        <v>0</v>
      </c>
      <c r="AL1282" s="3">
        <v>0</v>
      </c>
      <c r="AM1282" s="3">
        <f t="shared" si="345"/>
        <v>1</v>
      </c>
      <c r="AN1282" s="3" t="str">
        <f t="shared" si="349"/>
        <v/>
      </c>
      <c r="AO1282" s="3">
        <v>0</v>
      </c>
      <c r="AP1282" s="3">
        <f t="shared" si="346"/>
        <v>8</v>
      </c>
      <c r="AR1282">
        <f t="shared" si="347"/>
        <v>0</v>
      </c>
      <c r="AS1282">
        <f t="shared" si="348"/>
        <v>5</v>
      </c>
    </row>
    <row r="1283" customHeight="1" spans="1:45">
      <c r="A1283" s="3" t="str">
        <f>IF(对接源_02物料!$C83="","",对接源_02物料!$C83)</f>
        <v>王照雪</v>
      </c>
      <c r="B1283" s="3">
        <f t="shared" si="333"/>
        <v>0</v>
      </c>
      <c r="C1283" s="3">
        <f t="shared" si="334"/>
        <v>21</v>
      </c>
      <c r="K1283" s="3">
        <f>IF(OR($K$1="",对接源_02物料!$C83="",对接源_02物料!$C83&lt;&gt;$K$1,对接源_02物料!$B83=""),0,IF(OR(N(对接源_02物料!$B83)&lt;$K$2,N(对接源_02物料!$B83)&gt;$K$3),0,1))</f>
        <v>0</v>
      </c>
      <c r="L1283" s="3">
        <f>IF(OR($L$1="",对接源_02物料!$C83="",对接源_02物料!$C83&lt;&gt;$L$1,对接源_02物料!$B83=""),0,IF(OR(N(对接源_02物料!$B83)&lt;$L$2,N(对接源_02物料!$B83)&gt;$L$3),0,1))</f>
        <v>0</v>
      </c>
      <c r="M1283" s="3">
        <f>IF(OR($M$1="",对接源_02物料!$C83="",对接源_02物料!$C83&lt;&gt;$M$1,对接源_02物料!$B83=""),0,IF(OR(N(对接源_02物料!$B83)&lt;$M$2,N(对接源_02物料!$B83)&gt;$M$3),0,1))</f>
        <v>0</v>
      </c>
      <c r="N1283" s="3">
        <f>IF(OR($N$1="",对接源_02物料!$C83="",对接源_02物料!$C83&lt;&gt;$N$1,对接源_02物料!$B83=""),0,IF(OR(N(对接源_02物料!$B83)&lt;$N$2,N(对接源_02物料!$B83)&gt;$N$3),0,1))</f>
        <v>0</v>
      </c>
      <c r="P1283" s="3">
        <f>IF(AND($K1283=1,AND(对接源_02物料!$X83="公司筐",N(对接源_02物料!$T83)&lt;&gt;0)),1,0)</f>
        <v>0</v>
      </c>
      <c r="Q1283" s="3">
        <f t="shared" si="335"/>
        <v>1</v>
      </c>
      <c r="R1283" s="3">
        <f>IF(AND($K1283=1,AND(对接源_02物料!$X83="公司筐",N(对接源_02物料!$U83)&lt;&gt;0)),1,0)</f>
        <v>0</v>
      </c>
      <c r="S1283" s="3">
        <f t="shared" si="336"/>
        <v>0</v>
      </c>
      <c r="T1283" s="3">
        <f>IF(AND($K1283=1,AND(对接源_02物料!$X83="公司筐",N(对接源_02物料!$V83)&lt;&gt;0)),1,0)</f>
        <v>0</v>
      </c>
      <c r="U1283" s="3">
        <f t="shared" si="337"/>
        <v>19</v>
      </c>
      <c r="V1283" s="3">
        <f>IF(AND($L1283=1,AND(对接源_02物料!$X83="自备筐",N(对接源_02物料!$V83)&lt;&gt;0)),1,0)</f>
        <v>0</v>
      </c>
      <c r="W1283" s="3">
        <f t="shared" si="338"/>
        <v>8</v>
      </c>
      <c r="X1283" s="3">
        <f>IF(AND($L1283=1,AND(对接源_02物料!$X83="自备筐",N(对接源_02物料!$T83)&lt;&gt;0)),1,0)</f>
        <v>0</v>
      </c>
      <c r="Y1283" s="3">
        <f t="shared" si="339"/>
        <v>0</v>
      </c>
      <c r="Z1283" s="3">
        <f>IF(AND($M1283=1,对接源_02物料!$D83="原料入库"),1,0)</f>
        <v>0</v>
      </c>
      <c r="AA1283" s="3">
        <f t="shared" si="340"/>
        <v>24</v>
      </c>
      <c r="AB1283" s="3">
        <f>IF(AND($M1283=1,LEFT(对接源_02物料!$D83,4)="原料出库"),1,0)</f>
        <v>0</v>
      </c>
      <c r="AC1283" s="3">
        <f t="shared" si="341"/>
        <v>0</v>
      </c>
      <c r="AD1283" s="3">
        <f>IF(AND($M1283=1,LEFT(对接源_02物料!$D83,4)="成品出库"),1,0)</f>
        <v>0</v>
      </c>
      <c r="AE1283" s="3">
        <f t="shared" si="342"/>
        <v>0</v>
      </c>
      <c r="AF1283" s="3">
        <f>IF(AND($N1283=1,AND(LEFT(对接源_02物料!$D83,4)="包装物料",N(对接源_02物料!$K83)&lt;&gt;0)),1,0)</f>
        <v>0</v>
      </c>
      <c r="AG1283" s="3">
        <f t="shared" si="343"/>
        <v>5</v>
      </c>
      <c r="AH1283" s="3">
        <f>IF(AND($N1283=1,AND(对接源_02物料!$D83="周转筐－销售出库",N(对接源_02物料!$K83)&lt;&gt;0)),1,0)</f>
        <v>0</v>
      </c>
      <c r="AI1283" s="3">
        <f t="shared" si="344"/>
        <v>0</v>
      </c>
      <c r="AL1283" s="3">
        <v>0</v>
      </c>
      <c r="AM1283" s="3">
        <f t="shared" si="345"/>
        <v>1</v>
      </c>
      <c r="AN1283" s="3" t="str">
        <f t="shared" si="349"/>
        <v/>
      </c>
      <c r="AO1283" s="3">
        <v>0</v>
      </c>
      <c r="AP1283" s="3">
        <f t="shared" si="346"/>
        <v>8</v>
      </c>
      <c r="AR1283">
        <f t="shared" si="347"/>
        <v>0</v>
      </c>
      <c r="AS1283">
        <f t="shared" si="348"/>
        <v>5</v>
      </c>
    </row>
    <row r="1284" customHeight="1" spans="1:45">
      <c r="A1284" s="3" t="str">
        <f>IF(对接源_02物料!$C84="","",对接源_02物料!$C84)</f>
        <v>吐尔逊</v>
      </c>
      <c r="B1284" s="3">
        <f t="shared" ref="B1284:B1347" si="350">IF(A1284="",0,IF(MATCH(A1284,$A$4:$A$2403,0)=ROW()-3,1,0))</f>
        <v>0</v>
      </c>
      <c r="C1284" s="3">
        <f t="shared" ref="C1284:C1347" si="351">N(C1283)+B1284</f>
        <v>21</v>
      </c>
      <c r="K1284" s="3">
        <f>IF(OR($K$1="",对接源_02物料!$C84="",对接源_02物料!$C84&lt;&gt;$K$1,对接源_02物料!$B84=""),0,IF(OR(N(对接源_02物料!$B84)&lt;$K$2,N(对接源_02物料!$B84)&gt;$K$3),0,1))</f>
        <v>0</v>
      </c>
      <c r="L1284" s="3">
        <f>IF(OR($L$1="",对接源_02物料!$C84="",对接源_02物料!$C84&lt;&gt;$L$1,对接源_02物料!$B84=""),0,IF(OR(N(对接源_02物料!$B84)&lt;$L$2,N(对接源_02物料!$B84)&gt;$L$3),0,1))</f>
        <v>0</v>
      </c>
      <c r="M1284" s="3">
        <f>IF(OR($M$1="",对接源_02物料!$C84="",对接源_02物料!$C84&lt;&gt;$M$1,对接源_02物料!$B84=""),0,IF(OR(N(对接源_02物料!$B84)&lt;$M$2,N(对接源_02物料!$B84)&gt;$M$3),0,1))</f>
        <v>0</v>
      </c>
      <c r="N1284" s="3">
        <f>IF(OR($N$1="",对接源_02物料!$C84="",对接源_02物料!$C84&lt;&gt;$N$1,对接源_02物料!$B84=""),0,IF(OR(N(对接源_02物料!$B84)&lt;$N$2,N(对接源_02物料!$B84)&gt;$N$3),0,1))</f>
        <v>0</v>
      </c>
      <c r="P1284" s="3">
        <f>IF(AND($K1284=1,AND(对接源_02物料!$X84="公司筐",N(对接源_02物料!$T84)&lt;&gt;0)),1,0)</f>
        <v>0</v>
      </c>
      <c r="Q1284" s="3">
        <f t="shared" ref="Q1284:Q1347" si="352">N(Q1283)+$P1284</f>
        <v>1</v>
      </c>
      <c r="R1284" s="3">
        <f>IF(AND($K1284=1,AND(对接源_02物料!$X84="公司筐",N(对接源_02物料!$U84)&lt;&gt;0)),1,0)</f>
        <v>0</v>
      </c>
      <c r="S1284" s="3">
        <f t="shared" ref="S1284:S1347" si="353">N(S1283)+$R1284</f>
        <v>0</v>
      </c>
      <c r="T1284" s="3">
        <f>IF(AND($K1284=1,AND(对接源_02物料!$X84="公司筐",N(对接源_02物料!$V84)&lt;&gt;0)),1,0)</f>
        <v>0</v>
      </c>
      <c r="U1284" s="3">
        <f t="shared" ref="U1284:U1347" si="354">N(U1283)+$T1284</f>
        <v>19</v>
      </c>
      <c r="V1284" s="3">
        <f>IF(AND($L1284=1,AND(对接源_02物料!$X84="自备筐",N(对接源_02物料!$V84)&lt;&gt;0)),1,0)</f>
        <v>0</v>
      </c>
      <c r="W1284" s="3">
        <f t="shared" ref="W1284:W1347" si="355">N(W1283)+$V1284</f>
        <v>8</v>
      </c>
      <c r="X1284" s="3">
        <f>IF(AND($L1284=1,AND(对接源_02物料!$X84="自备筐",N(对接源_02物料!$T84)&lt;&gt;0)),1,0)</f>
        <v>0</v>
      </c>
      <c r="Y1284" s="3">
        <f t="shared" ref="Y1284:Y1347" si="356">N(Y1283)+$X1284</f>
        <v>0</v>
      </c>
      <c r="Z1284" s="3">
        <f>IF(AND($M1284=1,对接源_02物料!$D84="原料入库"),1,0)</f>
        <v>0</v>
      </c>
      <c r="AA1284" s="3">
        <f t="shared" ref="AA1284:AA1347" si="357">N(AA1283)+$Z1284</f>
        <v>24</v>
      </c>
      <c r="AB1284" s="3">
        <f>IF(AND($M1284=1,LEFT(对接源_02物料!$D84,4)="原料出库"),1,0)</f>
        <v>0</v>
      </c>
      <c r="AC1284" s="3">
        <f t="shared" ref="AC1284:AC1347" si="358">N(AC1283)+$AB1284</f>
        <v>0</v>
      </c>
      <c r="AD1284" s="3">
        <f>IF(AND($M1284=1,LEFT(对接源_02物料!$D84,4)="成品出库"),1,0)</f>
        <v>0</v>
      </c>
      <c r="AE1284" s="3">
        <f t="shared" ref="AE1284:AE1347" si="359">N(AE1283)+$AD1284</f>
        <v>0</v>
      </c>
      <c r="AF1284" s="3">
        <f>IF(AND($N1284=1,AND(LEFT(对接源_02物料!$D84,4)="包装物料",N(对接源_02物料!$K84)&lt;&gt;0)),1,0)</f>
        <v>0</v>
      </c>
      <c r="AG1284" s="3">
        <f t="shared" ref="AG1284:AG1347" si="360">N(AG1283)+$AF1284</f>
        <v>5</v>
      </c>
      <c r="AH1284" s="3">
        <f>IF(AND($N1284=1,AND(对接源_02物料!$D84="周转筐－销售出库",N(对接源_02物料!$K84)&lt;&gt;0)),1,0)</f>
        <v>0</v>
      </c>
      <c r="AI1284" s="3">
        <f t="shared" ref="AI1284:AI1347" si="361">N(AI1283)+$AH1284</f>
        <v>0</v>
      </c>
      <c r="AL1284" s="3">
        <v>0</v>
      </c>
      <c r="AM1284" s="3">
        <f t="shared" ref="AM1284:AM1347" si="362">N(AM1283)+$AL1284</f>
        <v>1</v>
      </c>
      <c r="AN1284" s="3" t="str">
        <f t="shared" si="349"/>
        <v/>
      </c>
      <c r="AO1284" s="3">
        <v>0</v>
      </c>
      <c r="AP1284" s="3">
        <f t="shared" ref="AP1284:AP1347" si="363">N(AP1283)+$AO1284</f>
        <v>8</v>
      </c>
      <c r="AR1284">
        <f t="shared" ref="AR1284:AR1347" si="364">IF(OR($AF1284=1,$AH1284=1),1,0)</f>
        <v>0</v>
      </c>
      <c r="AS1284">
        <f t="shared" ref="AS1284:AS1347" si="365">N(AS1283)+$AR1284</f>
        <v>5</v>
      </c>
    </row>
    <row r="1285" customHeight="1" spans="1:45">
      <c r="A1285" s="3" t="str">
        <f>IF(对接源_02物料!$C85="","",对接源_02物料!$C85)</f>
        <v>全修塑业</v>
      </c>
      <c r="B1285" s="3">
        <f t="shared" si="350"/>
        <v>0</v>
      </c>
      <c r="C1285" s="3">
        <f t="shared" si="351"/>
        <v>21</v>
      </c>
      <c r="K1285" s="3">
        <f>IF(OR($K$1="",对接源_02物料!$C85="",对接源_02物料!$C85&lt;&gt;$K$1,对接源_02物料!$B85=""),0,IF(OR(N(对接源_02物料!$B85)&lt;$K$2,N(对接源_02物料!$B85)&gt;$K$3),0,1))</f>
        <v>0</v>
      </c>
      <c r="L1285" s="3">
        <f>IF(OR($L$1="",对接源_02物料!$C85="",对接源_02物料!$C85&lt;&gt;$L$1,对接源_02物料!$B85=""),0,IF(OR(N(对接源_02物料!$B85)&lt;$L$2,N(对接源_02物料!$B85)&gt;$L$3),0,1))</f>
        <v>0</v>
      </c>
      <c r="M1285" s="3">
        <f>IF(OR($M$1="",对接源_02物料!$C85="",对接源_02物料!$C85&lt;&gt;$M$1,对接源_02物料!$B85=""),0,IF(OR(N(对接源_02物料!$B85)&lt;$M$2,N(对接源_02物料!$B85)&gt;$M$3),0,1))</f>
        <v>0</v>
      </c>
      <c r="N1285" s="3">
        <f>IF(OR($N$1="",对接源_02物料!$C85="",对接源_02物料!$C85&lt;&gt;$N$1,对接源_02物料!$B85=""),0,IF(OR(N(对接源_02物料!$B85)&lt;$N$2,N(对接源_02物料!$B85)&gt;$N$3),0,1))</f>
        <v>0</v>
      </c>
      <c r="P1285" s="3">
        <f>IF(AND($K1285=1,AND(对接源_02物料!$X85="公司筐",N(对接源_02物料!$T85)&lt;&gt;0)),1,0)</f>
        <v>0</v>
      </c>
      <c r="Q1285" s="3">
        <f t="shared" si="352"/>
        <v>1</v>
      </c>
      <c r="R1285" s="3">
        <f>IF(AND($K1285=1,AND(对接源_02物料!$X85="公司筐",N(对接源_02物料!$U85)&lt;&gt;0)),1,0)</f>
        <v>0</v>
      </c>
      <c r="S1285" s="3">
        <f t="shared" si="353"/>
        <v>0</v>
      </c>
      <c r="T1285" s="3">
        <f>IF(AND($K1285=1,AND(对接源_02物料!$X85="公司筐",N(对接源_02物料!$V85)&lt;&gt;0)),1,0)</f>
        <v>0</v>
      </c>
      <c r="U1285" s="3">
        <f t="shared" si="354"/>
        <v>19</v>
      </c>
      <c r="V1285" s="3">
        <f>IF(AND($L1285=1,AND(对接源_02物料!$X85="自备筐",N(对接源_02物料!$V85)&lt;&gt;0)),1,0)</f>
        <v>0</v>
      </c>
      <c r="W1285" s="3">
        <f t="shared" si="355"/>
        <v>8</v>
      </c>
      <c r="X1285" s="3">
        <f>IF(AND($L1285=1,AND(对接源_02物料!$X85="自备筐",N(对接源_02物料!$T85)&lt;&gt;0)),1,0)</f>
        <v>0</v>
      </c>
      <c r="Y1285" s="3">
        <f t="shared" si="356"/>
        <v>0</v>
      </c>
      <c r="Z1285" s="3">
        <f>IF(AND($M1285=1,对接源_02物料!$D85="原料入库"),1,0)</f>
        <v>0</v>
      </c>
      <c r="AA1285" s="3">
        <f t="shared" si="357"/>
        <v>24</v>
      </c>
      <c r="AB1285" s="3">
        <f>IF(AND($M1285=1,LEFT(对接源_02物料!$D85,4)="原料出库"),1,0)</f>
        <v>0</v>
      </c>
      <c r="AC1285" s="3">
        <f t="shared" si="358"/>
        <v>0</v>
      </c>
      <c r="AD1285" s="3">
        <f>IF(AND($M1285=1,LEFT(对接源_02物料!$D85,4)="成品出库"),1,0)</f>
        <v>0</v>
      </c>
      <c r="AE1285" s="3">
        <f t="shared" si="359"/>
        <v>0</v>
      </c>
      <c r="AF1285" s="3">
        <f>IF(AND($N1285=1,AND(LEFT(对接源_02物料!$D85,4)="包装物料",N(对接源_02物料!$K85)&lt;&gt;0)),1,0)</f>
        <v>0</v>
      </c>
      <c r="AG1285" s="3">
        <f t="shared" si="360"/>
        <v>5</v>
      </c>
      <c r="AH1285" s="3">
        <f>IF(AND($N1285=1,AND(对接源_02物料!$D85="周转筐－销售出库",N(对接源_02物料!$K85)&lt;&gt;0)),1,0)</f>
        <v>0</v>
      </c>
      <c r="AI1285" s="3">
        <f t="shared" si="361"/>
        <v>0</v>
      </c>
      <c r="AL1285" s="3">
        <v>0</v>
      </c>
      <c r="AM1285" s="3">
        <f t="shared" si="362"/>
        <v>1</v>
      </c>
      <c r="AN1285" s="3" t="str">
        <f t="shared" si="349"/>
        <v/>
      </c>
      <c r="AO1285" s="3">
        <v>0</v>
      </c>
      <c r="AP1285" s="3">
        <f t="shared" si="363"/>
        <v>8</v>
      </c>
      <c r="AR1285">
        <f t="shared" si="364"/>
        <v>0</v>
      </c>
      <c r="AS1285">
        <f t="shared" si="365"/>
        <v>5</v>
      </c>
    </row>
    <row r="1286" customHeight="1" spans="1:45">
      <c r="A1286" s="3" t="str">
        <f>IF(对接源_02物料!$C86="","",对接源_02物料!$C86)</f>
        <v>全修塑业</v>
      </c>
      <c r="B1286" s="3">
        <f t="shared" si="350"/>
        <v>0</v>
      </c>
      <c r="C1286" s="3">
        <f t="shared" si="351"/>
        <v>21</v>
      </c>
      <c r="K1286" s="3">
        <f>IF(OR($K$1="",对接源_02物料!$C86="",对接源_02物料!$C86&lt;&gt;$K$1,对接源_02物料!$B86=""),0,IF(OR(N(对接源_02物料!$B86)&lt;$K$2,N(对接源_02物料!$B86)&gt;$K$3),0,1))</f>
        <v>0</v>
      </c>
      <c r="L1286" s="3">
        <f>IF(OR($L$1="",对接源_02物料!$C86="",对接源_02物料!$C86&lt;&gt;$L$1,对接源_02物料!$B86=""),0,IF(OR(N(对接源_02物料!$B86)&lt;$L$2,N(对接源_02物料!$B86)&gt;$L$3),0,1))</f>
        <v>0</v>
      </c>
      <c r="M1286" s="3">
        <f>IF(OR($M$1="",对接源_02物料!$C86="",对接源_02物料!$C86&lt;&gt;$M$1,对接源_02物料!$B86=""),0,IF(OR(N(对接源_02物料!$B86)&lt;$M$2,N(对接源_02物料!$B86)&gt;$M$3),0,1))</f>
        <v>0</v>
      </c>
      <c r="N1286" s="3">
        <f>IF(OR($N$1="",对接源_02物料!$C86="",对接源_02物料!$C86&lt;&gt;$N$1,对接源_02物料!$B86=""),0,IF(OR(N(对接源_02物料!$B86)&lt;$N$2,N(对接源_02物料!$B86)&gt;$N$3),0,1))</f>
        <v>0</v>
      </c>
      <c r="P1286" s="3">
        <f>IF(AND($K1286=1,AND(对接源_02物料!$X86="公司筐",N(对接源_02物料!$T86)&lt;&gt;0)),1,0)</f>
        <v>0</v>
      </c>
      <c r="Q1286" s="3">
        <f t="shared" si="352"/>
        <v>1</v>
      </c>
      <c r="R1286" s="3">
        <f>IF(AND($K1286=1,AND(对接源_02物料!$X86="公司筐",N(对接源_02物料!$U86)&lt;&gt;0)),1,0)</f>
        <v>0</v>
      </c>
      <c r="S1286" s="3">
        <f t="shared" si="353"/>
        <v>0</v>
      </c>
      <c r="T1286" s="3">
        <f>IF(AND($K1286=1,AND(对接源_02物料!$X86="公司筐",N(对接源_02物料!$V86)&lt;&gt;0)),1,0)</f>
        <v>0</v>
      </c>
      <c r="U1286" s="3">
        <f t="shared" si="354"/>
        <v>19</v>
      </c>
      <c r="V1286" s="3">
        <f>IF(AND($L1286=1,AND(对接源_02物料!$X86="自备筐",N(对接源_02物料!$V86)&lt;&gt;0)),1,0)</f>
        <v>0</v>
      </c>
      <c r="W1286" s="3">
        <f t="shared" si="355"/>
        <v>8</v>
      </c>
      <c r="X1286" s="3">
        <f>IF(AND($L1286=1,AND(对接源_02物料!$X86="自备筐",N(对接源_02物料!$T86)&lt;&gt;0)),1,0)</f>
        <v>0</v>
      </c>
      <c r="Y1286" s="3">
        <f t="shared" si="356"/>
        <v>0</v>
      </c>
      <c r="Z1286" s="3">
        <f>IF(AND($M1286=1,对接源_02物料!$D86="原料入库"),1,0)</f>
        <v>0</v>
      </c>
      <c r="AA1286" s="3">
        <f t="shared" si="357"/>
        <v>24</v>
      </c>
      <c r="AB1286" s="3">
        <f>IF(AND($M1286=1,LEFT(对接源_02物料!$D86,4)="原料出库"),1,0)</f>
        <v>0</v>
      </c>
      <c r="AC1286" s="3">
        <f t="shared" si="358"/>
        <v>0</v>
      </c>
      <c r="AD1286" s="3">
        <f>IF(AND($M1286=1,LEFT(对接源_02物料!$D86,4)="成品出库"),1,0)</f>
        <v>0</v>
      </c>
      <c r="AE1286" s="3">
        <f t="shared" si="359"/>
        <v>0</v>
      </c>
      <c r="AF1286" s="3">
        <f>IF(AND($N1286=1,AND(LEFT(对接源_02物料!$D86,4)="包装物料",N(对接源_02物料!$K86)&lt;&gt;0)),1,0)</f>
        <v>0</v>
      </c>
      <c r="AG1286" s="3">
        <f t="shared" si="360"/>
        <v>5</v>
      </c>
      <c r="AH1286" s="3">
        <f>IF(AND($N1286=1,AND(对接源_02物料!$D86="周转筐－销售出库",N(对接源_02物料!$K86)&lt;&gt;0)),1,0)</f>
        <v>0</v>
      </c>
      <c r="AI1286" s="3">
        <f t="shared" si="361"/>
        <v>0</v>
      </c>
      <c r="AL1286" s="3">
        <v>0</v>
      </c>
      <c r="AM1286" s="3">
        <f t="shared" si="362"/>
        <v>1</v>
      </c>
      <c r="AN1286" s="3" t="str">
        <f t="shared" si="349"/>
        <v/>
      </c>
      <c r="AO1286" s="3">
        <v>0</v>
      </c>
      <c r="AP1286" s="3">
        <f t="shared" si="363"/>
        <v>8</v>
      </c>
      <c r="AR1286">
        <f t="shared" si="364"/>
        <v>0</v>
      </c>
      <c r="AS1286">
        <f t="shared" si="365"/>
        <v>5</v>
      </c>
    </row>
    <row r="1287" customHeight="1" spans="1:45">
      <c r="A1287" s="3" t="str">
        <f>IF(对接源_02物料!$C87="","",对接源_02物料!$C87)</f>
        <v>全修塑业</v>
      </c>
      <c r="B1287" s="3">
        <f t="shared" si="350"/>
        <v>0</v>
      </c>
      <c r="C1287" s="3">
        <f t="shared" si="351"/>
        <v>21</v>
      </c>
      <c r="K1287" s="3">
        <f>IF(OR($K$1="",对接源_02物料!$C87="",对接源_02物料!$C87&lt;&gt;$K$1,对接源_02物料!$B87=""),0,IF(OR(N(对接源_02物料!$B87)&lt;$K$2,N(对接源_02物料!$B87)&gt;$K$3),0,1))</f>
        <v>0</v>
      </c>
      <c r="L1287" s="3">
        <f>IF(OR($L$1="",对接源_02物料!$C87="",对接源_02物料!$C87&lt;&gt;$L$1,对接源_02物料!$B87=""),0,IF(OR(N(对接源_02物料!$B87)&lt;$L$2,N(对接源_02物料!$B87)&gt;$L$3),0,1))</f>
        <v>0</v>
      </c>
      <c r="M1287" s="3">
        <f>IF(OR($M$1="",对接源_02物料!$C87="",对接源_02物料!$C87&lt;&gt;$M$1,对接源_02物料!$B87=""),0,IF(OR(N(对接源_02物料!$B87)&lt;$M$2,N(对接源_02物料!$B87)&gt;$M$3),0,1))</f>
        <v>0</v>
      </c>
      <c r="N1287" s="3">
        <f>IF(OR($N$1="",对接源_02物料!$C87="",对接源_02物料!$C87&lt;&gt;$N$1,对接源_02物料!$B87=""),0,IF(OR(N(对接源_02物料!$B87)&lt;$N$2,N(对接源_02物料!$B87)&gt;$N$3),0,1))</f>
        <v>0</v>
      </c>
      <c r="P1287" s="3">
        <f>IF(AND($K1287=1,AND(对接源_02物料!$X87="公司筐",N(对接源_02物料!$T87)&lt;&gt;0)),1,0)</f>
        <v>0</v>
      </c>
      <c r="Q1287" s="3">
        <f t="shared" si="352"/>
        <v>1</v>
      </c>
      <c r="R1287" s="3">
        <f>IF(AND($K1287=1,AND(对接源_02物料!$X87="公司筐",N(对接源_02物料!$U87)&lt;&gt;0)),1,0)</f>
        <v>0</v>
      </c>
      <c r="S1287" s="3">
        <f t="shared" si="353"/>
        <v>0</v>
      </c>
      <c r="T1287" s="3">
        <f>IF(AND($K1287=1,AND(对接源_02物料!$X87="公司筐",N(对接源_02物料!$V87)&lt;&gt;0)),1,0)</f>
        <v>0</v>
      </c>
      <c r="U1287" s="3">
        <f t="shared" si="354"/>
        <v>19</v>
      </c>
      <c r="V1287" s="3">
        <f>IF(AND($L1287=1,AND(对接源_02物料!$X87="自备筐",N(对接源_02物料!$V87)&lt;&gt;0)),1,0)</f>
        <v>0</v>
      </c>
      <c r="W1287" s="3">
        <f t="shared" si="355"/>
        <v>8</v>
      </c>
      <c r="X1287" s="3">
        <f>IF(AND($L1287=1,AND(对接源_02物料!$X87="自备筐",N(对接源_02物料!$T87)&lt;&gt;0)),1,0)</f>
        <v>0</v>
      </c>
      <c r="Y1287" s="3">
        <f t="shared" si="356"/>
        <v>0</v>
      </c>
      <c r="Z1287" s="3">
        <f>IF(AND($M1287=1,对接源_02物料!$D87="原料入库"),1,0)</f>
        <v>0</v>
      </c>
      <c r="AA1287" s="3">
        <f t="shared" si="357"/>
        <v>24</v>
      </c>
      <c r="AB1287" s="3">
        <f>IF(AND($M1287=1,LEFT(对接源_02物料!$D87,4)="原料出库"),1,0)</f>
        <v>0</v>
      </c>
      <c r="AC1287" s="3">
        <f t="shared" si="358"/>
        <v>0</v>
      </c>
      <c r="AD1287" s="3">
        <f>IF(AND($M1287=1,LEFT(对接源_02物料!$D87,4)="成品出库"),1,0)</f>
        <v>0</v>
      </c>
      <c r="AE1287" s="3">
        <f t="shared" si="359"/>
        <v>0</v>
      </c>
      <c r="AF1287" s="3">
        <f>IF(AND($N1287=1,AND(LEFT(对接源_02物料!$D87,4)="包装物料",N(对接源_02物料!$K87)&lt;&gt;0)),1,0)</f>
        <v>0</v>
      </c>
      <c r="AG1287" s="3">
        <f t="shared" si="360"/>
        <v>5</v>
      </c>
      <c r="AH1287" s="3">
        <f>IF(AND($N1287=1,AND(对接源_02物料!$D87="周转筐－销售出库",N(对接源_02物料!$K87)&lt;&gt;0)),1,0)</f>
        <v>0</v>
      </c>
      <c r="AI1287" s="3">
        <f t="shared" si="361"/>
        <v>0</v>
      </c>
      <c r="AL1287" s="3">
        <v>0</v>
      </c>
      <c r="AM1287" s="3">
        <f t="shared" si="362"/>
        <v>1</v>
      </c>
      <c r="AN1287" s="3" t="str">
        <f t="shared" si="349"/>
        <v/>
      </c>
      <c r="AO1287" s="3">
        <v>0</v>
      </c>
      <c r="AP1287" s="3">
        <f t="shared" si="363"/>
        <v>8</v>
      </c>
      <c r="AR1287">
        <f t="shared" si="364"/>
        <v>0</v>
      </c>
      <c r="AS1287">
        <f t="shared" si="365"/>
        <v>5</v>
      </c>
    </row>
    <row r="1288" customHeight="1" spans="1:45">
      <c r="A1288" s="3" t="str">
        <f>IF(对接源_02物料!$C88="","",对接源_02物料!$C88)</f>
        <v>吐尔洪</v>
      </c>
      <c r="B1288" s="3">
        <f t="shared" si="350"/>
        <v>0</v>
      </c>
      <c r="C1288" s="3">
        <f t="shared" si="351"/>
        <v>21</v>
      </c>
      <c r="K1288" s="3">
        <f>IF(OR($K$1="",对接源_02物料!$C88="",对接源_02物料!$C88&lt;&gt;$K$1,对接源_02物料!$B88=""),0,IF(OR(N(对接源_02物料!$B88)&lt;$K$2,N(对接源_02物料!$B88)&gt;$K$3),0,1))</f>
        <v>0</v>
      </c>
      <c r="L1288" s="3">
        <f>IF(OR($L$1="",对接源_02物料!$C88="",对接源_02物料!$C88&lt;&gt;$L$1,对接源_02物料!$B88=""),0,IF(OR(N(对接源_02物料!$B88)&lt;$L$2,N(对接源_02物料!$B88)&gt;$L$3),0,1))</f>
        <v>0</v>
      </c>
      <c r="M1288" s="3">
        <f>IF(OR($M$1="",对接源_02物料!$C88="",对接源_02物料!$C88&lt;&gt;$M$1,对接源_02物料!$B88=""),0,IF(OR(N(对接源_02物料!$B88)&lt;$M$2,N(对接源_02物料!$B88)&gt;$M$3),0,1))</f>
        <v>1</v>
      </c>
      <c r="N1288" s="3">
        <f>IF(OR($N$1="",对接源_02物料!$C88="",对接源_02物料!$C88&lt;&gt;$N$1,对接源_02物料!$B88=""),0,IF(OR(N(对接源_02物料!$B88)&lt;$N$2,N(对接源_02物料!$B88)&gt;$N$3),0,1))</f>
        <v>1</v>
      </c>
      <c r="P1288" s="3">
        <f>IF(AND($K1288=1,AND(对接源_02物料!$X88="公司筐",N(对接源_02物料!$T88)&lt;&gt;0)),1,0)</f>
        <v>0</v>
      </c>
      <c r="Q1288" s="3">
        <f t="shared" si="352"/>
        <v>1</v>
      </c>
      <c r="R1288" s="3">
        <f>IF(AND($K1288=1,AND(对接源_02物料!$X88="公司筐",N(对接源_02物料!$U88)&lt;&gt;0)),1,0)</f>
        <v>0</v>
      </c>
      <c r="S1288" s="3">
        <f t="shared" si="353"/>
        <v>0</v>
      </c>
      <c r="T1288" s="3">
        <f>IF(AND($K1288=1,AND(对接源_02物料!$X88="公司筐",N(对接源_02物料!$V88)&lt;&gt;0)),1,0)</f>
        <v>0</v>
      </c>
      <c r="U1288" s="3">
        <f t="shared" si="354"/>
        <v>19</v>
      </c>
      <c r="V1288" s="3">
        <f>IF(AND($L1288=1,AND(对接源_02物料!$X88="自备筐",N(对接源_02物料!$V88)&lt;&gt;0)),1,0)</f>
        <v>0</v>
      </c>
      <c r="W1288" s="3">
        <f t="shared" si="355"/>
        <v>8</v>
      </c>
      <c r="X1288" s="3">
        <f>IF(AND($L1288=1,AND(对接源_02物料!$X88="自备筐",N(对接源_02物料!$T88)&lt;&gt;0)),1,0)</f>
        <v>0</v>
      </c>
      <c r="Y1288" s="3">
        <f t="shared" si="356"/>
        <v>0</v>
      </c>
      <c r="Z1288" s="3">
        <f>IF(AND($M1288=1,对接源_02物料!$D88="原料入库"),1,0)</f>
        <v>0</v>
      </c>
      <c r="AA1288" s="3">
        <f t="shared" si="357"/>
        <v>24</v>
      </c>
      <c r="AB1288" s="3">
        <f>IF(AND($M1288=1,LEFT(对接源_02物料!$D88,4)="原料出库"),1,0)</f>
        <v>0</v>
      </c>
      <c r="AC1288" s="3">
        <f t="shared" si="358"/>
        <v>0</v>
      </c>
      <c r="AD1288" s="3">
        <f>IF(AND($M1288=1,LEFT(对接源_02物料!$D88,4)="成品出库"),1,0)</f>
        <v>0</v>
      </c>
      <c r="AE1288" s="3">
        <f t="shared" si="359"/>
        <v>0</v>
      </c>
      <c r="AF1288" s="3">
        <f>IF(AND($N1288=1,AND(LEFT(对接源_02物料!$D88,4)="包装物料",N(对接源_02物料!$K88)&lt;&gt;0)),1,0)</f>
        <v>0</v>
      </c>
      <c r="AG1288" s="3">
        <f t="shared" si="360"/>
        <v>5</v>
      </c>
      <c r="AH1288" s="3">
        <f>IF(AND($N1288=1,AND(对接源_02物料!$D88="周转筐－销售出库",N(对接源_02物料!$K88)&lt;&gt;0)),1,0)</f>
        <v>0</v>
      </c>
      <c r="AI1288" s="3">
        <f t="shared" si="361"/>
        <v>0</v>
      </c>
      <c r="AL1288" s="3">
        <v>0</v>
      </c>
      <c r="AM1288" s="3">
        <f t="shared" si="362"/>
        <v>1</v>
      </c>
      <c r="AN1288" s="3" t="str">
        <f t="shared" si="349"/>
        <v/>
      </c>
      <c r="AO1288" s="3">
        <v>0</v>
      </c>
      <c r="AP1288" s="3">
        <f t="shared" si="363"/>
        <v>8</v>
      </c>
      <c r="AR1288">
        <f t="shared" si="364"/>
        <v>0</v>
      </c>
      <c r="AS1288">
        <f t="shared" si="365"/>
        <v>5</v>
      </c>
    </row>
    <row r="1289" customHeight="1" spans="1:45">
      <c r="A1289" s="3" t="str">
        <f>IF(对接源_02物料!$C89="","",对接源_02物料!$C89)</f>
        <v>荆建君</v>
      </c>
      <c r="B1289" s="3">
        <f t="shared" si="350"/>
        <v>0</v>
      </c>
      <c r="C1289" s="3">
        <f t="shared" si="351"/>
        <v>21</v>
      </c>
      <c r="K1289" s="3">
        <f>IF(OR($K$1="",对接源_02物料!$C89="",对接源_02物料!$C89&lt;&gt;$K$1,对接源_02物料!$B89=""),0,IF(OR(N(对接源_02物料!$B89)&lt;$K$2,N(对接源_02物料!$B89)&gt;$K$3),0,1))</f>
        <v>0</v>
      </c>
      <c r="L1289" s="3">
        <f>IF(OR($L$1="",对接源_02物料!$C89="",对接源_02物料!$C89&lt;&gt;$L$1,对接源_02物料!$B89=""),0,IF(OR(N(对接源_02物料!$B89)&lt;$L$2,N(对接源_02物料!$B89)&gt;$L$3),0,1))</f>
        <v>0</v>
      </c>
      <c r="M1289" s="3">
        <f>IF(OR($M$1="",对接源_02物料!$C89="",对接源_02物料!$C89&lt;&gt;$M$1,对接源_02物料!$B89=""),0,IF(OR(N(对接源_02物料!$B89)&lt;$M$2,N(对接源_02物料!$B89)&gt;$M$3),0,1))</f>
        <v>0</v>
      </c>
      <c r="N1289" s="3">
        <f>IF(OR($N$1="",对接源_02物料!$C89="",对接源_02物料!$C89&lt;&gt;$N$1,对接源_02物料!$B89=""),0,IF(OR(N(对接源_02物料!$B89)&lt;$N$2,N(对接源_02物料!$B89)&gt;$N$3),0,1))</f>
        <v>0</v>
      </c>
      <c r="P1289" s="3">
        <f>IF(AND($K1289=1,AND(对接源_02物料!$X89="公司筐",N(对接源_02物料!$T89)&lt;&gt;0)),1,0)</f>
        <v>0</v>
      </c>
      <c r="Q1289" s="3">
        <f t="shared" si="352"/>
        <v>1</v>
      </c>
      <c r="R1289" s="3">
        <f>IF(AND($K1289=1,AND(对接源_02物料!$X89="公司筐",N(对接源_02物料!$U89)&lt;&gt;0)),1,0)</f>
        <v>0</v>
      </c>
      <c r="S1289" s="3">
        <f t="shared" si="353"/>
        <v>0</v>
      </c>
      <c r="T1289" s="3">
        <f>IF(AND($K1289=1,AND(对接源_02物料!$X89="公司筐",N(对接源_02物料!$V89)&lt;&gt;0)),1,0)</f>
        <v>0</v>
      </c>
      <c r="U1289" s="3">
        <f t="shared" si="354"/>
        <v>19</v>
      </c>
      <c r="V1289" s="3">
        <f>IF(AND($L1289=1,AND(对接源_02物料!$X89="自备筐",N(对接源_02物料!$V89)&lt;&gt;0)),1,0)</f>
        <v>0</v>
      </c>
      <c r="W1289" s="3">
        <f t="shared" si="355"/>
        <v>8</v>
      </c>
      <c r="X1289" s="3">
        <f>IF(AND($L1289=1,AND(对接源_02物料!$X89="自备筐",N(对接源_02物料!$T89)&lt;&gt;0)),1,0)</f>
        <v>0</v>
      </c>
      <c r="Y1289" s="3">
        <f t="shared" si="356"/>
        <v>0</v>
      </c>
      <c r="Z1289" s="3">
        <f>IF(AND($M1289=1,对接源_02物料!$D89="原料入库"),1,0)</f>
        <v>0</v>
      </c>
      <c r="AA1289" s="3">
        <f t="shared" si="357"/>
        <v>24</v>
      </c>
      <c r="AB1289" s="3">
        <f>IF(AND($M1289=1,LEFT(对接源_02物料!$D89,4)="原料出库"),1,0)</f>
        <v>0</v>
      </c>
      <c r="AC1289" s="3">
        <f t="shared" si="358"/>
        <v>0</v>
      </c>
      <c r="AD1289" s="3">
        <f>IF(AND($M1289=1,LEFT(对接源_02物料!$D89,4)="成品出库"),1,0)</f>
        <v>0</v>
      </c>
      <c r="AE1289" s="3">
        <f t="shared" si="359"/>
        <v>0</v>
      </c>
      <c r="AF1289" s="3">
        <f>IF(AND($N1289=1,AND(LEFT(对接源_02物料!$D89,4)="包装物料",N(对接源_02物料!$K89)&lt;&gt;0)),1,0)</f>
        <v>0</v>
      </c>
      <c r="AG1289" s="3">
        <f t="shared" si="360"/>
        <v>5</v>
      </c>
      <c r="AH1289" s="3">
        <f>IF(AND($N1289=1,AND(对接源_02物料!$D89="周转筐－销售出库",N(对接源_02物料!$K89)&lt;&gt;0)),1,0)</f>
        <v>0</v>
      </c>
      <c r="AI1289" s="3">
        <f t="shared" si="361"/>
        <v>0</v>
      </c>
      <c r="AL1289" s="3">
        <v>0</v>
      </c>
      <c r="AM1289" s="3">
        <f t="shared" si="362"/>
        <v>1</v>
      </c>
      <c r="AN1289" s="3" t="str">
        <f t="shared" si="349"/>
        <v/>
      </c>
      <c r="AO1289" s="3">
        <v>0</v>
      </c>
      <c r="AP1289" s="3">
        <f t="shared" si="363"/>
        <v>8</v>
      </c>
      <c r="AR1289">
        <f t="shared" si="364"/>
        <v>0</v>
      </c>
      <c r="AS1289">
        <f t="shared" si="365"/>
        <v>5</v>
      </c>
    </row>
    <row r="1290" customHeight="1" spans="1:45">
      <c r="A1290" s="3" t="str">
        <f>IF(对接源_02物料!$C90="","",对接源_02物料!$C90)</f>
        <v>麦麦提</v>
      </c>
      <c r="B1290" s="3">
        <f t="shared" si="350"/>
        <v>0</v>
      </c>
      <c r="C1290" s="3">
        <f t="shared" si="351"/>
        <v>21</v>
      </c>
      <c r="K1290" s="3">
        <f>IF(OR($K$1="",对接源_02物料!$C90="",对接源_02物料!$C90&lt;&gt;$K$1,对接源_02物料!$B90=""),0,IF(OR(N(对接源_02物料!$B90)&lt;$K$2,N(对接源_02物料!$B90)&gt;$K$3),0,1))</f>
        <v>0</v>
      </c>
      <c r="L1290" s="3">
        <f>IF(OR($L$1="",对接源_02物料!$C90="",对接源_02物料!$C90&lt;&gt;$L$1,对接源_02物料!$B90=""),0,IF(OR(N(对接源_02物料!$B90)&lt;$L$2,N(对接源_02物料!$B90)&gt;$L$3),0,1))</f>
        <v>0</v>
      </c>
      <c r="M1290" s="3">
        <f>IF(OR($M$1="",对接源_02物料!$C90="",对接源_02物料!$C90&lt;&gt;$M$1,对接源_02物料!$B90=""),0,IF(OR(N(对接源_02物料!$B90)&lt;$M$2,N(对接源_02物料!$B90)&gt;$M$3),0,1))</f>
        <v>0</v>
      </c>
      <c r="N1290" s="3">
        <f>IF(OR($N$1="",对接源_02物料!$C90="",对接源_02物料!$C90&lt;&gt;$N$1,对接源_02物料!$B90=""),0,IF(OR(N(对接源_02物料!$B90)&lt;$N$2,N(对接源_02物料!$B90)&gt;$N$3),0,1))</f>
        <v>0</v>
      </c>
      <c r="P1290" s="3">
        <f>IF(AND($K1290=1,AND(对接源_02物料!$X90="公司筐",N(对接源_02物料!$T90)&lt;&gt;0)),1,0)</f>
        <v>0</v>
      </c>
      <c r="Q1290" s="3">
        <f t="shared" si="352"/>
        <v>1</v>
      </c>
      <c r="R1290" s="3">
        <f>IF(AND($K1290=1,AND(对接源_02物料!$X90="公司筐",N(对接源_02物料!$U90)&lt;&gt;0)),1,0)</f>
        <v>0</v>
      </c>
      <c r="S1290" s="3">
        <f t="shared" si="353"/>
        <v>0</v>
      </c>
      <c r="T1290" s="3">
        <f>IF(AND($K1290=1,AND(对接源_02物料!$X90="公司筐",N(对接源_02物料!$V90)&lt;&gt;0)),1,0)</f>
        <v>0</v>
      </c>
      <c r="U1290" s="3">
        <f t="shared" si="354"/>
        <v>19</v>
      </c>
      <c r="V1290" s="3">
        <f>IF(AND($L1290=1,AND(对接源_02物料!$X90="自备筐",N(对接源_02物料!$V90)&lt;&gt;0)),1,0)</f>
        <v>0</v>
      </c>
      <c r="W1290" s="3">
        <f t="shared" si="355"/>
        <v>8</v>
      </c>
      <c r="X1290" s="3">
        <f>IF(AND($L1290=1,AND(对接源_02物料!$X90="自备筐",N(对接源_02物料!$T90)&lt;&gt;0)),1,0)</f>
        <v>0</v>
      </c>
      <c r="Y1290" s="3">
        <f t="shared" si="356"/>
        <v>0</v>
      </c>
      <c r="Z1290" s="3">
        <f>IF(AND($M1290=1,对接源_02物料!$D90="原料入库"),1,0)</f>
        <v>0</v>
      </c>
      <c r="AA1290" s="3">
        <f t="shared" si="357"/>
        <v>24</v>
      </c>
      <c r="AB1290" s="3">
        <f>IF(AND($M1290=1,LEFT(对接源_02物料!$D90,4)="原料出库"),1,0)</f>
        <v>0</v>
      </c>
      <c r="AC1290" s="3">
        <f t="shared" si="358"/>
        <v>0</v>
      </c>
      <c r="AD1290" s="3">
        <f>IF(AND($M1290=1,LEFT(对接源_02物料!$D90,4)="成品出库"),1,0)</f>
        <v>0</v>
      </c>
      <c r="AE1290" s="3">
        <f t="shared" si="359"/>
        <v>0</v>
      </c>
      <c r="AF1290" s="3">
        <f>IF(AND($N1290=1,AND(LEFT(对接源_02物料!$D90,4)="包装物料",N(对接源_02物料!$K90)&lt;&gt;0)),1,0)</f>
        <v>0</v>
      </c>
      <c r="AG1290" s="3">
        <f t="shared" si="360"/>
        <v>5</v>
      </c>
      <c r="AH1290" s="3">
        <f>IF(AND($N1290=1,AND(对接源_02物料!$D90="周转筐－销售出库",N(对接源_02物料!$K90)&lt;&gt;0)),1,0)</f>
        <v>0</v>
      </c>
      <c r="AI1290" s="3">
        <f t="shared" si="361"/>
        <v>0</v>
      </c>
      <c r="AL1290" s="3">
        <v>0</v>
      </c>
      <c r="AM1290" s="3">
        <f t="shared" si="362"/>
        <v>1</v>
      </c>
      <c r="AN1290" s="3" t="str">
        <f t="shared" si="349"/>
        <v/>
      </c>
      <c r="AO1290" s="3">
        <v>0</v>
      </c>
      <c r="AP1290" s="3">
        <f t="shared" si="363"/>
        <v>8</v>
      </c>
      <c r="AR1290">
        <f t="shared" si="364"/>
        <v>0</v>
      </c>
      <c r="AS1290">
        <f t="shared" si="365"/>
        <v>5</v>
      </c>
    </row>
    <row r="1291" customHeight="1" spans="1:45">
      <c r="A1291" s="3" t="str">
        <f>IF(对接源_02物料!$C91="","",对接源_02物料!$C91)</f>
        <v>王照雪</v>
      </c>
      <c r="B1291" s="3">
        <f t="shared" si="350"/>
        <v>0</v>
      </c>
      <c r="C1291" s="3">
        <f t="shared" si="351"/>
        <v>21</v>
      </c>
      <c r="K1291" s="3">
        <f>IF(OR($K$1="",对接源_02物料!$C91="",对接源_02物料!$C91&lt;&gt;$K$1,对接源_02物料!$B91=""),0,IF(OR(N(对接源_02物料!$B91)&lt;$K$2,N(对接源_02物料!$B91)&gt;$K$3),0,1))</f>
        <v>0</v>
      </c>
      <c r="L1291" s="3">
        <f>IF(OR($L$1="",对接源_02物料!$C91="",对接源_02物料!$C91&lt;&gt;$L$1,对接源_02物料!$B91=""),0,IF(OR(N(对接源_02物料!$B91)&lt;$L$2,N(对接源_02物料!$B91)&gt;$L$3),0,1))</f>
        <v>0</v>
      </c>
      <c r="M1291" s="3">
        <f>IF(OR($M$1="",对接源_02物料!$C91="",对接源_02物料!$C91&lt;&gt;$M$1,对接源_02物料!$B91=""),0,IF(OR(N(对接源_02物料!$B91)&lt;$M$2,N(对接源_02物料!$B91)&gt;$M$3),0,1))</f>
        <v>0</v>
      </c>
      <c r="N1291" s="3">
        <f>IF(OR($N$1="",对接源_02物料!$C91="",对接源_02物料!$C91&lt;&gt;$N$1,对接源_02物料!$B91=""),0,IF(OR(N(对接源_02物料!$B91)&lt;$N$2,N(对接源_02物料!$B91)&gt;$N$3),0,1))</f>
        <v>0</v>
      </c>
      <c r="P1291" s="3">
        <f>IF(AND($K1291=1,AND(对接源_02物料!$X91="公司筐",N(对接源_02物料!$T91)&lt;&gt;0)),1,0)</f>
        <v>0</v>
      </c>
      <c r="Q1291" s="3">
        <f t="shared" si="352"/>
        <v>1</v>
      </c>
      <c r="R1291" s="3">
        <f>IF(AND($K1291=1,AND(对接源_02物料!$X91="公司筐",N(对接源_02物料!$U91)&lt;&gt;0)),1,0)</f>
        <v>0</v>
      </c>
      <c r="S1291" s="3">
        <f t="shared" si="353"/>
        <v>0</v>
      </c>
      <c r="T1291" s="3">
        <f>IF(AND($K1291=1,AND(对接源_02物料!$X91="公司筐",N(对接源_02物料!$V91)&lt;&gt;0)),1,0)</f>
        <v>0</v>
      </c>
      <c r="U1291" s="3">
        <f t="shared" si="354"/>
        <v>19</v>
      </c>
      <c r="V1291" s="3">
        <f>IF(AND($L1291=1,AND(对接源_02物料!$X91="自备筐",N(对接源_02物料!$V91)&lt;&gt;0)),1,0)</f>
        <v>0</v>
      </c>
      <c r="W1291" s="3">
        <f t="shared" si="355"/>
        <v>8</v>
      </c>
      <c r="X1291" s="3">
        <f>IF(AND($L1291=1,AND(对接源_02物料!$X91="自备筐",N(对接源_02物料!$T91)&lt;&gt;0)),1,0)</f>
        <v>0</v>
      </c>
      <c r="Y1291" s="3">
        <f t="shared" si="356"/>
        <v>0</v>
      </c>
      <c r="Z1291" s="3">
        <f>IF(AND($M1291=1,对接源_02物料!$D91="原料入库"),1,0)</f>
        <v>0</v>
      </c>
      <c r="AA1291" s="3">
        <f t="shared" si="357"/>
        <v>24</v>
      </c>
      <c r="AB1291" s="3">
        <f>IF(AND($M1291=1,LEFT(对接源_02物料!$D91,4)="原料出库"),1,0)</f>
        <v>0</v>
      </c>
      <c r="AC1291" s="3">
        <f t="shared" si="358"/>
        <v>0</v>
      </c>
      <c r="AD1291" s="3">
        <f>IF(AND($M1291=1,LEFT(对接源_02物料!$D91,4)="成品出库"),1,0)</f>
        <v>0</v>
      </c>
      <c r="AE1291" s="3">
        <f t="shared" si="359"/>
        <v>0</v>
      </c>
      <c r="AF1291" s="3">
        <f>IF(AND($N1291=1,AND(LEFT(对接源_02物料!$D91,4)="包装物料",N(对接源_02物料!$K91)&lt;&gt;0)),1,0)</f>
        <v>0</v>
      </c>
      <c r="AG1291" s="3">
        <f t="shared" si="360"/>
        <v>5</v>
      </c>
      <c r="AH1291" s="3">
        <f>IF(AND($N1291=1,AND(对接源_02物料!$D91="周转筐－销售出库",N(对接源_02物料!$K91)&lt;&gt;0)),1,0)</f>
        <v>0</v>
      </c>
      <c r="AI1291" s="3">
        <f t="shared" si="361"/>
        <v>0</v>
      </c>
      <c r="AL1291" s="3">
        <v>0</v>
      </c>
      <c r="AM1291" s="3">
        <f t="shared" si="362"/>
        <v>1</v>
      </c>
      <c r="AN1291" s="3" t="str">
        <f t="shared" si="349"/>
        <v/>
      </c>
      <c r="AO1291" s="3">
        <v>0</v>
      </c>
      <c r="AP1291" s="3">
        <f t="shared" si="363"/>
        <v>8</v>
      </c>
      <c r="AR1291">
        <f t="shared" si="364"/>
        <v>0</v>
      </c>
      <c r="AS1291">
        <f t="shared" si="365"/>
        <v>5</v>
      </c>
    </row>
    <row r="1292" customHeight="1" spans="1:45">
      <c r="A1292" s="3" t="str">
        <f>IF(对接源_02物料!$C92="","",对接源_02物料!$C92)</f>
        <v>全修塑业</v>
      </c>
      <c r="B1292" s="3">
        <f t="shared" si="350"/>
        <v>0</v>
      </c>
      <c r="C1292" s="3">
        <f t="shared" si="351"/>
        <v>21</v>
      </c>
      <c r="K1292" s="3">
        <f>IF(OR($K$1="",对接源_02物料!$C92="",对接源_02物料!$C92&lt;&gt;$K$1,对接源_02物料!$B92=""),0,IF(OR(N(对接源_02物料!$B92)&lt;$K$2,N(对接源_02物料!$B92)&gt;$K$3),0,1))</f>
        <v>0</v>
      </c>
      <c r="L1292" s="3">
        <f>IF(OR($L$1="",对接源_02物料!$C92="",对接源_02物料!$C92&lt;&gt;$L$1,对接源_02物料!$B92=""),0,IF(OR(N(对接源_02物料!$B92)&lt;$L$2,N(对接源_02物料!$B92)&gt;$L$3),0,1))</f>
        <v>0</v>
      </c>
      <c r="M1292" s="3">
        <f>IF(OR($M$1="",对接源_02物料!$C92="",对接源_02物料!$C92&lt;&gt;$M$1,对接源_02物料!$B92=""),0,IF(OR(N(对接源_02物料!$B92)&lt;$M$2,N(对接源_02物料!$B92)&gt;$M$3),0,1))</f>
        <v>0</v>
      </c>
      <c r="N1292" s="3">
        <f>IF(OR($N$1="",对接源_02物料!$C92="",对接源_02物料!$C92&lt;&gt;$N$1,对接源_02物料!$B92=""),0,IF(OR(N(对接源_02物料!$B92)&lt;$N$2,N(对接源_02物料!$B92)&gt;$N$3),0,1))</f>
        <v>0</v>
      </c>
      <c r="P1292" s="3">
        <f>IF(AND($K1292=1,AND(对接源_02物料!$X92="公司筐",N(对接源_02物料!$T92)&lt;&gt;0)),1,0)</f>
        <v>0</v>
      </c>
      <c r="Q1292" s="3">
        <f t="shared" si="352"/>
        <v>1</v>
      </c>
      <c r="R1292" s="3">
        <f>IF(AND($K1292=1,AND(对接源_02物料!$X92="公司筐",N(对接源_02物料!$U92)&lt;&gt;0)),1,0)</f>
        <v>0</v>
      </c>
      <c r="S1292" s="3">
        <f t="shared" si="353"/>
        <v>0</v>
      </c>
      <c r="T1292" s="3">
        <f>IF(AND($K1292=1,AND(对接源_02物料!$X92="公司筐",N(对接源_02物料!$V92)&lt;&gt;0)),1,0)</f>
        <v>0</v>
      </c>
      <c r="U1292" s="3">
        <f t="shared" si="354"/>
        <v>19</v>
      </c>
      <c r="V1292" s="3">
        <f>IF(AND($L1292=1,AND(对接源_02物料!$X92="自备筐",N(对接源_02物料!$V92)&lt;&gt;0)),1,0)</f>
        <v>0</v>
      </c>
      <c r="W1292" s="3">
        <f t="shared" si="355"/>
        <v>8</v>
      </c>
      <c r="X1292" s="3">
        <f>IF(AND($L1292=1,AND(对接源_02物料!$X92="自备筐",N(对接源_02物料!$T92)&lt;&gt;0)),1,0)</f>
        <v>0</v>
      </c>
      <c r="Y1292" s="3">
        <f t="shared" si="356"/>
        <v>0</v>
      </c>
      <c r="Z1292" s="3">
        <f>IF(AND($M1292=1,对接源_02物料!$D92="原料入库"),1,0)</f>
        <v>0</v>
      </c>
      <c r="AA1292" s="3">
        <f t="shared" si="357"/>
        <v>24</v>
      </c>
      <c r="AB1292" s="3">
        <f>IF(AND($M1292=1,LEFT(对接源_02物料!$D92,4)="原料出库"),1,0)</f>
        <v>0</v>
      </c>
      <c r="AC1292" s="3">
        <f t="shared" si="358"/>
        <v>0</v>
      </c>
      <c r="AD1292" s="3">
        <f>IF(AND($M1292=1,LEFT(对接源_02物料!$D92,4)="成品出库"),1,0)</f>
        <v>0</v>
      </c>
      <c r="AE1292" s="3">
        <f t="shared" si="359"/>
        <v>0</v>
      </c>
      <c r="AF1292" s="3">
        <f>IF(AND($N1292=1,AND(LEFT(对接源_02物料!$D92,4)="包装物料",N(对接源_02物料!$K92)&lt;&gt;0)),1,0)</f>
        <v>0</v>
      </c>
      <c r="AG1292" s="3">
        <f t="shared" si="360"/>
        <v>5</v>
      </c>
      <c r="AH1292" s="3">
        <f>IF(AND($N1292=1,AND(对接源_02物料!$D92="周转筐－销售出库",N(对接源_02物料!$K92)&lt;&gt;0)),1,0)</f>
        <v>0</v>
      </c>
      <c r="AI1292" s="3">
        <f t="shared" si="361"/>
        <v>0</v>
      </c>
      <c r="AL1292" s="3">
        <v>0</v>
      </c>
      <c r="AM1292" s="3">
        <f t="shared" si="362"/>
        <v>1</v>
      </c>
      <c r="AN1292" s="3" t="str">
        <f t="shared" si="349"/>
        <v/>
      </c>
      <c r="AO1292" s="3">
        <v>0</v>
      </c>
      <c r="AP1292" s="3">
        <f t="shared" si="363"/>
        <v>8</v>
      </c>
      <c r="AR1292">
        <f t="shared" si="364"/>
        <v>0</v>
      </c>
      <c r="AS1292">
        <f t="shared" si="365"/>
        <v>5</v>
      </c>
    </row>
    <row r="1293" customHeight="1" spans="1:45">
      <c r="A1293" s="3" t="str">
        <f>IF(对接源_02物料!$C93="","",对接源_02物料!$C93)</f>
        <v>王灵云</v>
      </c>
      <c r="B1293" s="3">
        <f t="shared" si="350"/>
        <v>0</v>
      </c>
      <c r="C1293" s="3">
        <f t="shared" si="351"/>
        <v>21</v>
      </c>
      <c r="K1293" s="3">
        <f>IF(OR($K$1="",对接源_02物料!$C93="",对接源_02物料!$C93&lt;&gt;$K$1,对接源_02物料!$B93=""),0,IF(OR(N(对接源_02物料!$B93)&lt;$K$2,N(对接源_02物料!$B93)&gt;$K$3),0,1))</f>
        <v>1</v>
      </c>
      <c r="L1293" s="3">
        <f>IF(OR($L$1="",对接源_02物料!$C93="",对接源_02物料!$C93&lt;&gt;$L$1,对接源_02物料!$B93=""),0,IF(OR(N(对接源_02物料!$B93)&lt;$L$2,N(对接源_02物料!$B93)&gt;$L$3),0,1))</f>
        <v>0</v>
      </c>
      <c r="M1293" s="3">
        <f>IF(OR($M$1="",对接源_02物料!$C93="",对接源_02物料!$C93&lt;&gt;$M$1,对接源_02物料!$B93=""),0,IF(OR(N(对接源_02物料!$B93)&lt;$M$2,N(对接源_02物料!$B93)&gt;$M$3),0,1))</f>
        <v>0</v>
      </c>
      <c r="N1293" s="3">
        <f>IF(OR($N$1="",对接源_02物料!$C93="",对接源_02物料!$C93&lt;&gt;$N$1,对接源_02物料!$B93=""),0,IF(OR(N(对接源_02物料!$B93)&lt;$N$2,N(对接源_02物料!$B93)&gt;$N$3),0,1))</f>
        <v>0</v>
      </c>
      <c r="P1293" s="3">
        <f>IF(AND($K1293=1,AND(对接源_02物料!$X93="公司筐",N(对接源_02物料!$T93)&lt;&gt;0)),1,0)</f>
        <v>1</v>
      </c>
      <c r="Q1293" s="3">
        <f t="shared" si="352"/>
        <v>2</v>
      </c>
      <c r="R1293" s="3">
        <f>IF(AND($K1293=1,AND(对接源_02物料!$X93="公司筐",N(对接源_02物料!$U93)&lt;&gt;0)),1,0)</f>
        <v>0</v>
      </c>
      <c r="S1293" s="3">
        <f t="shared" si="353"/>
        <v>0</v>
      </c>
      <c r="T1293" s="3">
        <f>IF(AND($K1293=1,AND(对接源_02物料!$X93="公司筐",N(对接源_02物料!$V93)&lt;&gt;0)),1,0)</f>
        <v>0</v>
      </c>
      <c r="U1293" s="3">
        <f t="shared" si="354"/>
        <v>19</v>
      </c>
      <c r="V1293" s="3">
        <f>IF(AND($L1293=1,AND(对接源_02物料!$X93="自备筐",N(对接源_02物料!$V93)&lt;&gt;0)),1,0)</f>
        <v>0</v>
      </c>
      <c r="W1293" s="3">
        <f t="shared" si="355"/>
        <v>8</v>
      </c>
      <c r="X1293" s="3">
        <f>IF(AND($L1293=1,AND(对接源_02物料!$X93="自备筐",N(对接源_02物料!$T93)&lt;&gt;0)),1,0)</f>
        <v>0</v>
      </c>
      <c r="Y1293" s="3">
        <f t="shared" si="356"/>
        <v>0</v>
      </c>
      <c r="Z1293" s="3">
        <f>IF(AND($M1293=1,对接源_02物料!$D93="原料入库"),1,0)</f>
        <v>0</v>
      </c>
      <c r="AA1293" s="3">
        <f t="shared" si="357"/>
        <v>24</v>
      </c>
      <c r="AB1293" s="3">
        <f>IF(AND($M1293=1,LEFT(对接源_02物料!$D93,4)="原料出库"),1,0)</f>
        <v>0</v>
      </c>
      <c r="AC1293" s="3">
        <f t="shared" si="358"/>
        <v>0</v>
      </c>
      <c r="AD1293" s="3">
        <f>IF(AND($M1293=1,LEFT(对接源_02物料!$D93,4)="成品出库"),1,0)</f>
        <v>0</v>
      </c>
      <c r="AE1293" s="3">
        <f t="shared" si="359"/>
        <v>0</v>
      </c>
      <c r="AF1293" s="3">
        <f>IF(AND($N1293=1,AND(LEFT(对接源_02物料!$D93,4)="包装物料",N(对接源_02物料!$K93)&lt;&gt;0)),1,0)</f>
        <v>0</v>
      </c>
      <c r="AG1293" s="3">
        <f t="shared" si="360"/>
        <v>5</v>
      </c>
      <c r="AH1293" s="3">
        <f>IF(AND($N1293=1,AND(对接源_02物料!$D93="周转筐－销售出库",N(对接源_02物料!$K93)&lt;&gt;0)),1,0)</f>
        <v>0</v>
      </c>
      <c r="AI1293" s="3">
        <f t="shared" si="361"/>
        <v>0</v>
      </c>
      <c r="AL1293" s="3">
        <v>0</v>
      </c>
      <c r="AM1293" s="3">
        <f t="shared" si="362"/>
        <v>1</v>
      </c>
      <c r="AN1293" s="3" t="str">
        <f t="shared" si="349"/>
        <v/>
      </c>
      <c r="AO1293" s="3">
        <v>0</v>
      </c>
      <c r="AP1293" s="3">
        <f t="shared" si="363"/>
        <v>8</v>
      </c>
      <c r="AR1293">
        <f t="shared" si="364"/>
        <v>0</v>
      </c>
      <c r="AS1293">
        <f t="shared" si="365"/>
        <v>5</v>
      </c>
    </row>
    <row r="1294" customHeight="1" spans="1:45">
      <c r="A1294" s="3" t="str">
        <f>IF(对接源_02物料!$C94="","",对接源_02物料!$C94)</f>
        <v>全修塑业</v>
      </c>
      <c r="B1294" s="3">
        <f t="shared" si="350"/>
        <v>0</v>
      </c>
      <c r="C1294" s="3">
        <f t="shared" si="351"/>
        <v>21</v>
      </c>
      <c r="K1294" s="3">
        <f>IF(OR($K$1="",对接源_02物料!$C94="",对接源_02物料!$C94&lt;&gt;$K$1,对接源_02物料!$B94=""),0,IF(OR(N(对接源_02物料!$B94)&lt;$K$2,N(对接源_02物料!$B94)&gt;$K$3),0,1))</f>
        <v>0</v>
      </c>
      <c r="L1294" s="3">
        <f>IF(OR($L$1="",对接源_02物料!$C94="",对接源_02物料!$C94&lt;&gt;$L$1,对接源_02物料!$B94=""),0,IF(OR(N(对接源_02物料!$B94)&lt;$L$2,N(对接源_02物料!$B94)&gt;$L$3),0,1))</f>
        <v>0</v>
      </c>
      <c r="M1294" s="3">
        <f>IF(OR($M$1="",对接源_02物料!$C94="",对接源_02物料!$C94&lt;&gt;$M$1,对接源_02物料!$B94=""),0,IF(OR(N(对接源_02物料!$B94)&lt;$M$2,N(对接源_02物料!$B94)&gt;$M$3),0,1))</f>
        <v>0</v>
      </c>
      <c r="N1294" s="3">
        <f>IF(OR($N$1="",对接源_02物料!$C94="",对接源_02物料!$C94&lt;&gt;$N$1,对接源_02物料!$B94=""),0,IF(OR(N(对接源_02物料!$B94)&lt;$N$2,N(对接源_02物料!$B94)&gt;$N$3),0,1))</f>
        <v>0</v>
      </c>
      <c r="P1294" s="3">
        <f>IF(AND($K1294=1,AND(对接源_02物料!$X94="公司筐",N(对接源_02物料!$T94)&lt;&gt;0)),1,0)</f>
        <v>0</v>
      </c>
      <c r="Q1294" s="3">
        <f t="shared" si="352"/>
        <v>2</v>
      </c>
      <c r="R1294" s="3">
        <f>IF(AND($K1294=1,AND(对接源_02物料!$X94="公司筐",N(对接源_02物料!$U94)&lt;&gt;0)),1,0)</f>
        <v>0</v>
      </c>
      <c r="S1294" s="3">
        <f t="shared" si="353"/>
        <v>0</v>
      </c>
      <c r="T1294" s="3">
        <f>IF(AND($K1294=1,AND(对接源_02物料!$X94="公司筐",N(对接源_02物料!$V94)&lt;&gt;0)),1,0)</f>
        <v>0</v>
      </c>
      <c r="U1294" s="3">
        <f t="shared" si="354"/>
        <v>19</v>
      </c>
      <c r="V1294" s="3">
        <f>IF(AND($L1294=1,AND(对接源_02物料!$X94="自备筐",N(对接源_02物料!$V94)&lt;&gt;0)),1,0)</f>
        <v>0</v>
      </c>
      <c r="W1294" s="3">
        <f t="shared" si="355"/>
        <v>8</v>
      </c>
      <c r="X1294" s="3">
        <f>IF(AND($L1294=1,AND(对接源_02物料!$X94="自备筐",N(对接源_02物料!$T94)&lt;&gt;0)),1,0)</f>
        <v>0</v>
      </c>
      <c r="Y1294" s="3">
        <f t="shared" si="356"/>
        <v>0</v>
      </c>
      <c r="Z1294" s="3">
        <f>IF(AND($M1294=1,对接源_02物料!$D94="原料入库"),1,0)</f>
        <v>0</v>
      </c>
      <c r="AA1294" s="3">
        <f t="shared" si="357"/>
        <v>24</v>
      </c>
      <c r="AB1294" s="3">
        <f>IF(AND($M1294=1,LEFT(对接源_02物料!$D94,4)="原料出库"),1,0)</f>
        <v>0</v>
      </c>
      <c r="AC1294" s="3">
        <f t="shared" si="358"/>
        <v>0</v>
      </c>
      <c r="AD1294" s="3">
        <f>IF(AND($M1294=1,LEFT(对接源_02物料!$D94,4)="成品出库"),1,0)</f>
        <v>0</v>
      </c>
      <c r="AE1294" s="3">
        <f t="shared" si="359"/>
        <v>0</v>
      </c>
      <c r="AF1294" s="3">
        <f>IF(AND($N1294=1,AND(LEFT(对接源_02物料!$D94,4)="包装物料",N(对接源_02物料!$K94)&lt;&gt;0)),1,0)</f>
        <v>0</v>
      </c>
      <c r="AG1294" s="3">
        <f t="shared" si="360"/>
        <v>5</v>
      </c>
      <c r="AH1294" s="3">
        <f>IF(AND($N1294=1,AND(对接源_02物料!$D94="周转筐－销售出库",N(对接源_02物料!$K94)&lt;&gt;0)),1,0)</f>
        <v>0</v>
      </c>
      <c r="AI1294" s="3">
        <f t="shared" si="361"/>
        <v>0</v>
      </c>
      <c r="AL1294" s="3">
        <v>0</v>
      </c>
      <c r="AM1294" s="3">
        <f t="shared" si="362"/>
        <v>1</v>
      </c>
      <c r="AN1294" s="3" t="str">
        <f t="shared" si="349"/>
        <v/>
      </c>
      <c r="AO1294" s="3">
        <v>0</v>
      </c>
      <c r="AP1294" s="3">
        <f t="shared" si="363"/>
        <v>8</v>
      </c>
      <c r="AR1294">
        <f t="shared" si="364"/>
        <v>0</v>
      </c>
      <c r="AS1294">
        <f t="shared" si="365"/>
        <v>5</v>
      </c>
    </row>
    <row r="1295" customHeight="1" spans="1:45">
      <c r="A1295" s="3" t="str">
        <f>IF(对接源_02物料!$C95="","",对接源_02物料!$C95)</f>
        <v>吐尔洪</v>
      </c>
      <c r="B1295" s="3">
        <f t="shared" si="350"/>
        <v>0</v>
      </c>
      <c r="C1295" s="3">
        <f t="shared" si="351"/>
        <v>21</v>
      </c>
      <c r="K1295" s="3">
        <f>IF(OR($K$1="",对接源_02物料!$C95="",对接源_02物料!$C95&lt;&gt;$K$1,对接源_02物料!$B95=""),0,IF(OR(N(对接源_02物料!$B95)&lt;$K$2,N(对接源_02物料!$B95)&gt;$K$3),0,1))</f>
        <v>0</v>
      </c>
      <c r="L1295" s="3">
        <f>IF(OR($L$1="",对接源_02物料!$C95="",对接源_02物料!$C95&lt;&gt;$L$1,对接源_02物料!$B95=""),0,IF(OR(N(对接源_02物料!$B95)&lt;$L$2,N(对接源_02物料!$B95)&gt;$L$3),0,1))</f>
        <v>0</v>
      </c>
      <c r="M1295" s="3">
        <f>IF(OR($M$1="",对接源_02物料!$C95="",对接源_02物料!$C95&lt;&gt;$M$1,对接源_02物料!$B95=""),0,IF(OR(N(对接源_02物料!$B95)&lt;$M$2,N(对接源_02物料!$B95)&gt;$M$3),0,1))</f>
        <v>1</v>
      </c>
      <c r="N1295" s="3">
        <f>IF(OR($N$1="",对接源_02物料!$C95="",对接源_02物料!$C95&lt;&gt;$N$1,对接源_02物料!$B95=""),0,IF(OR(N(对接源_02物料!$B95)&lt;$N$2,N(对接源_02物料!$B95)&gt;$N$3),0,1))</f>
        <v>1</v>
      </c>
      <c r="P1295" s="3">
        <f>IF(AND($K1295=1,AND(对接源_02物料!$X95="公司筐",N(对接源_02物料!$T95)&lt;&gt;0)),1,0)</f>
        <v>0</v>
      </c>
      <c r="Q1295" s="3">
        <f t="shared" si="352"/>
        <v>2</v>
      </c>
      <c r="R1295" s="3">
        <f>IF(AND($K1295=1,AND(对接源_02物料!$X95="公司筐",N(对接源_02物料!$U95)&lt;&gt;0)),1,0)</f>
        <v>0</v>
      </c>
      <c r="S1295" s="3">
        <f t="shared" si="353"/>
        <v>0</v>
      </c>
      <c r="T1295" s="3">
        <f>IF(AND($K1295=1,AND(对接源_02物料!$X95="公司筐",N(对接源_02物料!$V95)&lt;&gt;0)),1,0)</f>
        <v>0</v>
      </c>
      <c r="U1295" s="3">
        <f t="shared" si="354"/>
        <v>19</v>
      </c>
      <c r="V1295" s="3">
        <f>IF(AND($L1295=1,AND(对接源_02物料!$X95="自备筐",N(对接源_02物料!$V95)&lt;&gt;0)),1,0)</f>
        <v>0</v>
      </c>
      <c r="W1295" s="3">
        <f t="shared" si="355"/>
        <v>8</v>
      </c>
      <c r="X1295" s="3">
        <f>IF(AND($L1295=1,AND(对接源_02物料!$X95="自备筐",N(对接源_02物料!$T95)&lt;&gt;0)),1,0)</f>
        <v>0</v>
      </c>
      <c r="Y1295" s="3">
        <f t="shared" si="356"/>
        <v>0</v>
      </c>
      <c r="Z1295" s="3">
        <f>IF(AND($M1295=1,对接源_02物料!$D95="原料入库"),1,0)</f>
        <v>0</v>
      </c>
      <c r="AA1295" s="3">
        <f t="shared" si="357"/>
        <v>24</v>
      </c>
      <c r="AB1295" s="3">
        <f>IF(AND($M1295=1,LEFT(对接源_02物料!$D95,4)="原料出库"),1,0)</f>
        <v>0</v>
      </c>
      <c r="AC1295" s="3">
        <f t="shared" si="358"/>
        <v>0</v>
      </c>
      <c r="AD1295" s="3">
        <f>IF(AND($M1295=1,LEFT(对接源_02物料!$D95,4)="成品出库"),1,0)</f>
        <v>0</v>
      </c>
      <c r="AE1295" s="3">
        <f t="shared" si="359"/>
        <v>0</v>
      </c>
      <c r="AF1295" s="3">
        <f>IF(AND($N1295=1,AND(LEFT(对接源_02物料!$D95,4)="包装物料",N(对接源_02物料!$K95)&lt;&gt;0)),1,0)</f>
        <v>0</v>
      </c>
      <c r="AG1295" s="3">
        <f t="shared" si="360"/>
        <v>5</v>
      </c>
      <c r="AH1295" s="3">
        <f>IF(AND($N1295=1,AND(对接源_02物料!$D95="周转筐－销售出库",N(对接源_02物料!$K95)&lt;&gt;0)),1,0)</f>
        <v>0</v>
      </c>
      <c r="AI1295" s="3">
        <f t="shared" si="361"/>
        <v>0</v>
      </c>
      <c r="AL1295" s="3">
        <v>0</v>
      </c>
      <c r="AM1295" s="3">
        <f t="shared" si="362"/>
        <v>1</v>
      </c>
      <c r="AN1295" s="3" t="str">
        <f t="shared" si="349"/>
        <v/>
      </c>
      <c r="AO1295" s="3">
        <v>0</v>
      </c>
      <c r="AP1295" s="3">
        <f t="shared" si="363"/>
        <v>8</v>
      </c>
      <c r="AR1295">
        <f t="shared" si="364"/>
        <v>0</v>
      </c>
      <c r="AS1295">
        <f t="shared" si="365"/>
        <v>5</v>
      </c>
    </row>
    <row r="1296" customHeight="1" spans="1:45">
      <c r="A1296" s="3" t="str">
        <f>IF(对接源_02物料!$C96="","",对接源_02物料!$C96)</f>
        <v>全修塑业</v>
      </c>
      <c r="B1296" s="3">
        <f t="shared" si="350"/>
        <v>0</v>
      </c>
      <c r="C1296" s="3">
        <f t="shared" si="351"/>
        <v>21</v>
      </c>
      <c r="K1296" s="3">
        <f>IF(OR($K$1="",对接源_02物料!$C96="",对接源_02物料!$C96&lt;&gt;$K$1,对接源_02物料!$B96=""),0,IF(OR(N(对接源_02物料!$B96)&lt;$K$2,N(对接源_02物料!$B96)&gt;$K$3),0,1))</f>
        <v>0</v>
      </c>
      <c r="L1296" s="3">
        <f>IF(OR($L$1="",对接源_02物料!$C96="",对接源_02物料!$C96&lt;&gt;$L$1,对接源_02物料!$B96=""),0,IF(OR(N(对接源_02物料!$B96)&lt;$L$2,N(对接源_02物料!$B96)&gt;$L$3),0,1))</f>
        <v>0</v>
      </c>
      <c r="M1296" s="3">
        <f>IF(OR($M$1="",对接源_02物料!$C96="",对接源_02物料!$C96&lt;&gt;$M$1,对接源_02物料!$B96=""),0,IF(OR(N(对接源_02物料!$B96)&lt;$M$2,N(对接源_02物料!$B96)&gt;$M$3),0,1))</f>
        <v>0</v>
      </c>
      <c r="N1296" s="3">
        <f>IF(OR($N$1="",对接源_02物料!$C96="",对接源_02物料!$C96&lt;&gt;$N$1,对接源_02物料!$B96=""),0,IF(OR(N(对接源_02物料!$B96)&lt;$N$2,N(对接源_02物料!$B96)&gt;$N$3),0,1))</f>
        <v>0</v>
      </c>
      <c r="P1296" s="3">
        <f>IF(AND($K1296=1,AND(对接源_02物料!$X96="公司筐",N(对接源_02物料!$T96)&lt;&gt;0)),1,0)</f>
        <v>0</v>
      </c>
      <c r="Q1296" s="3">
        <f t="shared" si="352"/>
        <v>2</v>
      </c>
      <c r="R1296" s="3">
        <f>IF(AND($K1296=1,AND(对接源_02物料!$X96="公司筐",N(对接源_02物料!$U96)&lt;&gt;0)),1,0)</f>
        <v>0</v>
      </c>
      <c r="S1296" s="3">
        <f t="shared" si="353"/>
        <v>0</v>
      </c>
      <c r="T1296" s="3">
        <f>IF(AND($K1296=1,AND(对接源_02物料!$X96="公司筐",N(对接源_02物料!$V96)&lt;&gt;0)),1,0)</f>
        <v>0</v>
      </c>
      <c r="U1296" s="3">
        <f t="shared" si="354"/>
        <v>19</v>
      </c>
      <c r="V1296" s="3">
        <f>IF(AND($L1296=1,AND(对接源_02物料!$X96="自备筐",N(对接源_02物料!$V96)&lt;&gt;0)),1,0)</f>
        <v>0</v>
      </c>
      <c r="W1296" s="3">
        <f t="shared" si="355"/>
        <v>8</v>
      </c>
      <c r="X1296" s="3">
        <f>IF(AND($L1296=1,AND(对接源_02物料!$X96="自备筐",N(对接源_02物料!$T96)&lt;&gt;0)),1,0)</f>
        <v>0</v>
      </c>
      <c r="Y1296" s="3">
        <f t="shared" si="356"/>
        <v>0</v>
      </c>
      <c r="Z1296" s="3">
        <f>IF(AND($M1296=1,对接源_02物料!$D96="原料入库"),1,0)</f>
        <v>0</v>
      </c>
      <c r="AA1296" s="3">
        <f t="shared" si="357"/>
        <v>24</v>
      </c>
      <c r="AB1296" s="3">
        <f>IF(AND($M1296=1,LEFT(对接源_02物料!$D96,4)="原料出库"),1,0)</f>
        <v>0</v>
      </c>
      <c r="AC1296" s="3">
        <f t="shared" si="358"/>
        <v>0</v>
      </c>
      <c r="AD1296" s="3">
        <f>IF(AND($M1296=1,LEFT(对接源_02物料!$D96,4)="成品出库"),1,0)</f>
        <v>0</v>
      </c>
      <c r="AE1296" s="3">
        <f t="shared" si="359"/>
        <v>0</v>
      </c>
      <c r="AF1296" s="3">
        <f>IF(AND($N1296=1,AND(LEFT(对接源_02物料!$D96,4)="包装物料",N(对接源_02物料!$K96)&lt;&gt;0)),1,0)</f>
        <v>0</v>
      </c>
      <c r="AG1296" s="3">
        <f t="shared" si="360"/>
        <v>5</v>
      </c>
      <c r="AH1296" s="3">
        <f>IF(AND($N1296=1,AND(对接源_02物料!$D96="周转筐－销售出库",N(对接源_02物料!$K96)&lt;&gt;0)),1,0)</f>
        <v>0</v>
      </c>
      <c r="AI1296" s="3">
        <f t="shared" si="361"/>
        <v>0</v>
      </c>
      <c r="AL1296" s="3">
        <v>0</v>
      </c>
      <c r="AM1296" s="3">
        <f t="shared" si="362"/>
        <v>1</v>
      </c>
      <c r="AN1296" s="3" t="str">
        <f t="shared" si="349"/>
        <v/>
      </c>
      <c r="AO1296" s="3">
        <v>0</v>
      </c>
      <c r="AP1296" s="3">
        <f t="shared" si="363"/>
        <v>8</v>
      </c>
      <c r="AR1296">
        <f t="shared" si="364"/>
        <v>0</v>
      </c>
      <c r="AS1296">
        <f t="shared" si="365"/>
        <v>5</v>
      </c>
    </row>
    <row r="1297" customHeight="1" spans="1:45">
      <c r="A1297" s="3" t="str">
        <f>IF(对接源_02物料!$C97="","",对接源_02物料!$C97)</f>
        <v>麦麦提</v>
      </c>
      <c r="B1297" s="3">
        <f t="shared" si="350"/>
        <v>0</v>
      </c>
      <c r="C1297" s="3">
        <f t="shared" si="351"/>
        <v>21</v>
      </c>
      <c r="K1297" s="3">
        <f>IF(OR($K$1="",对接源_02物料!$C97="",对接源_02物料!$C97&lt;&gt;$K$1,对接源_02物料!$B97=""),0,IF(OR(N(对接源_02物料!$B97)&lt;$K$2,N(对接源_02物料!$B97)&gt;$K$3),0,1))</f>
        <v>0</v>
      </c>
      <c r="L1297" s="3">
        <f>IF(OR($L$1="",对接源_02物料!$C97="",对接源_02物料!$C97&lt;&gt;$L$1,对接源_02物料!$B97=""),0,IF(OR(N(对接源_02物料!$B97)&lt;$L$2,N(对接源_02物料!$B97)&gt;$L$3),0,1))</f>
        <v>0</v>
      </c>
      <c r="M1297" s="3">
        <f>IF(OR($M$1="",对接源_02物料!$C97="",对接源_02物料!$C97&lt;&gt;$M$1,对接源_02物料!$B97=""),0,IF(OR(N(对接源_02物料!$B97)&lt;$M$2,N(对接源_02物料!$B97)&gt;$M$3),0,1))</f>
        <v>0</v>
      </c>
      <c r="N1297" s="3">
        <f>IF(OR($N$1="",对接源_02物料!$C97="",对接源_02物料!$C97&lt;&gt;$N$1,对接源_02物料!$B97=""),0,IF(OR(N(对接源_02物料!$B97)&lt;$N$2,N(对接源_02物料!$B97)&gt;$N$3),0,1))</f>
        <v>0</v>
      </c>
      <c r="P1297" s="3">
        <f>IF(AND($K1297=1,AND(对接源_02物料!$X97="公司筐",N(对接源_02物料!$T97)&lt;&gt;0)),1,0)</f>
        <v>0</v>
      </c>
      <c r="Q1297" s="3">
        <f t="shared" si="352"/>
        <v>2</v>
      </c>
      <c r="R1297" s="3">
        <f>IF(AND($K1297=1,AND(对接源_02物料!$X97="公司筐",N(对接源_02物料!$U97)&lt;&gt;0)),1,0)</f>
        <v>0</v>
      </c>
      <c r="S1297" s="3">
        <f t="shared" si="353"/>
        <v>0</v>
      </c>
      <c r="T1297" s="3">
        <f>IF(AND($K1297=1,AND(对接源_02物料!$X97="公司筐",N(对接源_02物料!$V97)&lt;&gt;0)),1,0)</f>
        <v>0</v>
      </c>
      <c r="U1297" s="3">
        <f t="shared" si="354"/>
        <v>19</v>
      </c>
      <c r="V1297" s="3">
        <f>IF(AND($L1297=1,AND(对接源_02物料!$X97="自备筐",N(对接源_02物料!$V97)&lt;&gt;0)),1,0)</f>
        <v>0</v>
      </c>
      <c r="W1297" s="3">
        <f t="shared" si="355"/>
        <v>8</v>
      </c>
      <c r="X1297" s="3">
        <f>IF(AND($L1297=1,AND(对接源_02物料!$X97="自备筐",N(对接源_02物料!$T97)&lt;&gt;0)),1,0)</f>
        <v>0</v>
      </c>
      <c r="Y1297" s="3">
        <f t="shared" si="356"/>
        <v>0</v>
      </c>
      <c r="Z1297" s="3">
        <f>IF(AND($M1297=1,对接源_02物料!$D97="原料入库"),1,0)</f>
        <v>0</v>
      </c>
      <c r="AA1297" s="3">
        <f t="shared" si="357"/>
        <v>24</v>
      </c>
      <c r="AB1297" s="3">
        <f>IF(AND($M1297=1,LEFT(对接源_02物料!$D97,4)="原料出库"),1,0)</f>
        <v>0</v>
      </c>
      <c r="AC1297" s="3">
        <f t="shared" si="358"/>
        <v>0</v>
      </c>
      <c r="AD1297" s="3">
        <f>IF(AND($M1297=1,LEFT(对接源_02物料!$D97,4)="成品出库"),1,0)</f>
        <v>0</v>
      </c>
      <c r="AE1297" s="3">
        <f t="shared" si="359"/>
        <v>0</v>
      </c>
      <c r="AF1297" s="3">
        <f>IF(AND($N1297=1,AND(LEFT(对接源_02物料!$D97,4)="包装物料",N(对接源_02物料!$K97)&lt;&gt;0)),1,0)</f>
        <v>0</v>
      </c>
      <c r="AG1297" s="3">
        <f t="shared" si="360"/>
        <v>5</v>
      </c>
      <c r="AH1297" s="3">
        <f>IF(AND($N1297=1,AND(对接源_02物料!$D97="周转筐－销售出库",N(对接源_02物料!$K97)&lt;&gt;0)),1,0)</f>
        <v>0</v>
      </c>
      <c r="AI1297" s="3">
        <f t="shared" si="361"/>
        <v>0</v>
      </c>
      <c r="AL1297" s="3">
        <v>0</v>
      </c>
      <c r="AM1297" s="3">
        <f t="shared" si="362"/>
        <v>1</v>
      </c>
      <c r="AN1297" s="3" t="str">
        <f t="shared" si="349"/>
        <v/>
      </c>
      <c r="AO1297" s="3">
        <v>0</v>
      </c>
      <c r="AP1297" s="3">
        <f t="shared" si="363"/>
        <v>8</v>
      </c>
      <c r="AR1297">
        <f t="shared" si="364"/>
        <v>0</v>
      </c>
      <c r="AS1297">
        <f t="shared" si="365"/>
        <v>5</v>
      </c>
    </row>
    <row r="1298" customHeight="1" spans="1:45">
      <c r="A1298" s="3" t="str">
        <f>IF(对接源_02物料!$C98="","",对接源_02物料!$C98)</f>
        <v>全修塑业</v>
      </c>
      <c r="B1298" s="3">
        <f t="shared" si="350"/>
        <v>0</v>
      </c>
      <c r="C1298" s="3">
        <f t="shared" si="351"/>
        <v>21</v>
      </c>
      <c r="K1298" s="3">
        <f>IF(OR($K$1="",对接源_02物料!$C98="",对接源_02物料!$C98&lt;&gt;$K$1,对接源_02物料!$B98=""),0,IF(OR(N(对接源_02物料!$B98)&lt;$K$2,N(对接源_02物料!$B98)&gt;$K$3),0,1))</f>
        <v>0</v>
      </c>
      <c r="L1298" s="3">
        <f>IF(OR($L$1="",对接源_02物料!$C98="",对接源_02物料!$C98&lt;&gt;$L$1,对接源_02物料!$B98=""),0,IF(OR(N(对接源_02物料!$B98)&lt;$L$2,N(对接源_02物料!$B98)&gt;$L$3),0,1))</f>
        <v>0</v>
      </c>
      <c r="M1298" s="3">
        <f>IF(OR($M$1="",对接源_02物料!$C98="",对接源_02物料!$C98&lt;&gt;$M$1,对接源_02物料!$B98=""),0,IF(OR(N(对接源_02物料!$B98)&lt;$M$2,N(对接源_02物料!$B98)&gt;$M$3),0,1))</f>
        <v>0</v>
      </c>
      <c r="N1298" s="3">
        <f>IF(OR($N$1="",对接源_02物料!$C98="",对接源_02物料!$C98&lt;&gt;$N$1,对接源_02物料!$B98=""),0,IF(OR(N(对接源_02物料!$B98)&lt;$N$2,N(对接源_02物料!$B98)&gt;$N$3),0,1))</f>
        <v>0</v>
      </c>
      <c r="P1298" s="3">
        <f>IF(AND($K1298=1,AND(对接源_02物料!$X98="公司筐",N(对接源_02物料!$T98)&lt;&gt;0)),1,0)</f>
        <v>0</v>
      </c>
      <c r="Q1298" s="3">
        <f t="shared" si="352"/>
        <v>2</v>
      </c>
      <c r="R1298" s="3">
        <f>IF(AND($K1298=1,AND(对接源_02物料!$X98="公司筐",N(对接源_02物料!$U98)&lt;&gt;0)),1,0)</f>
        <v>0</v>
      </c>
      <c r="S1298" s="3">
        <f t="shared" si="353"/>
        <v>0</v>
      </c>
      <c r="T1298" s="3">
        <f>IF(AND($K1298=1,AND(对接源_02物料!$X98="公司筐",N(对接源_02物料!$V98)&lt;&gt;0)),1,0)</f>
        <v>0</v>
      </c>
      <c r="U1298" s="3">
        <f t="shared" si="354"/>
        <v>19</v>
      </c>
      <c r="V1298" s="3">
        <f>IF(AND($L1298=1,AND(对接源_02物料!$X98="自备筐",N(对接源_02物料!$V98)&lt;&gt;0)),1,0)</f>
        <v>0</v>
      </c>
      <c r="W1298" s="3">
        <f t="shared" si="355"/>
        <v>8</v>
      </c>
      <c r="X1298" s="3">
        <f>IF(AND($L1298=1,AND(对接源_02物料!$X98="自备筐",N(对接源_02物料!$T98)&lt;&gt;0)),1,0)</f>
        <v>0</v>
      </c>
      <c r="Y1298" s="3">
        <f t="shared" si="356"/>
        <v>0</v>
      </c>
      <c r="Z1298" s="3">
        <f>IF(AND($M1298=1,对接源_02物料!$D98="原料入库"),1,0)</f>
        <v>0</v>
      </c>
      <c r="AA1298" s="3">
        <f t="shared" si="357"/>
        <v>24</v>
      </c>
      <c r="AB1298" s="3">
        <f>IF(AND($M1298=1,LEFT(对接源_02物料!$D98,4)="原料出库"),1,0)</f>
        <v>0</v>
      </c>
      <c r="AC1298" s="3">
        <f t="shared" si="358"/>
        <v>0</v>
      </c>
      <c r="AD1298" s="3">
        <f>IF(AND($M1298=1,LEFT(对接源_02物料!$D98,4)="成品出库"),1,0)</f>
        <v>0</v>
      </c>
      <c r="AE1298" s="3">
        <f t="shared" si="359"/>
        <v>0</v>
      </c>
      <c r="AF1298" s="3">
        <f>IF(AND($N1298=1,AND(LEFT(对接源_02物料!$D98,4)="包装物料",N(对接源_02物料!$K98)&lt;&gt;0)),1,0)</f>
        <v>0</v>
      </c>
      <c r="AG1298" s="3">
        <f t="shared" si="360"/>
        <v>5</v>
      </c>
      <c r="AH1298" s="3">
        <f>IF(AND($N1298=1,AND(对接源_02物料!$D98="周转筐－销售出库",N(对接源_02物料!$K98)&lt;&gt;0)),1,0)</f>
        <v>0</v>
      </c>
      <c r="AI1298" s="3">
        <f t="shared" si="361"/>
        <v>0</v>
      </c>
      <c r="AL1298" s="3">
        <v>0</v>
      </c>
      <c r="AM1298" s="3">
        <f t="shared" si="362"/>
        <v>1</v>
      </c>
      <c r="AN1298" s="3" t="str">
        <f t="shared" si="349"/>
        <v/>
      </c>
      <c r="AO1298" s="3">
        <v>0</v>
      </c>
      <c r="AP1298" s="3">
        <f t="shared" si="363"/>
        <v>8</v>
      </c>
      <c r="AR1298">
        <f t="shared" si="364"/>
        <v>0</v>
      </c>
      <c r="AS1298">
        <f t="shared" si="365"/>
        <v>5</v>
      </c>
    </row>
    <row r="1299" customHeight="1" spans="1:45">
      <c r="A1299" s="3" t="str">
        <f>IF(对接源_02物料!$C99="","",对接源_02物料!$C99)</f>
        <v>马锦祥</v>
      </c>
      <c r="B1299" s="3">
        <f t="shared" si="350"/>
        <v>0</v>
      </c>
      <c r="C1299" s="3">
        <f t="shared" si="351"/>
        <v>21</v>
      </c>
      <c r="K1299" s="3">
        <f>IF(OR($K$1="",对接源_02物料!$C99="",对接源_02物料!$C99&lt;&gt;$K$1,对接源_02物料!$B99=""),0,IF(OR(N(对接源_02物料!$B99)&lt;$K$2,N(对接源_02物料!$B99)&gt;$K$3),0,1))</f>
        <v>0</v>
      </c>
      <c r="L1299" s="3">
        <f>IF(OR($L$1="",对接源_02物料!$C99="",对接源_02物料!$C99&lt;&gt;$L$1,对接源_02物料!$B99=""),0,IF(OR(N(对接源_02物料!$B99)&lt;$L$2,N(对接源_02物料!$B99)&gt;$L$3),0,1))</f>
        <v>0</v>
      </c>
      <c r="M1299" s="3">
        <f>IF(OR($M$1="",对接源_02物料!$C99="",对接源_02物料!$C99&lt;&gt;$M$1,对接源_02物料!$B99=""),0,IF(OR(N(对接源_02物料!$B99)&lt;$M$2,N(对接源_02物料!$B99)&gt;$M$3),0,1))</f>
        <v>0</v>
      </c>
      <c r="N1299" s="3">
        <f>IF(OR($N$1="",对接源_02物料!$C99="",对接源_02物料!$C99&lt;&gt;$N$1,对接源_02物料!$B99=""),0,IF(OR(N(对接源_02物料!$B99)&lt;$N$2,N(对接源_02物料!$B99)&gt;$N$3),0,1))</f>
        <v>0</v>
      </c>
      <c r="P1299" s="3">
        <f>IF(AND($K1299=1,AND(对接源_02物料!$X99="公司筐",N(对接源_02物料!$T99)&lt;&gt;0)),1,0)</f>
        <v>0</v>
      </c>
      <c r="Q1299" s="3">
        <f t="shared" si="352"/>
        <v>2</v>
      </c>
      <c r="R1299" s="3">
        <f>IF(AND($K1299=1,AND(对接源_02物料!$X99="公司筐",N(对接源_02物料!$U99)&lt;&gt;0)),1,0)</f>
        <v>0</v>
      </c>
      <c r="S1299" s="3">
        <f t="shared" si="353"/>
        <v>0</v>
      </c>
      <c r="T1299" s="3">
        <f>IF(AND($K1299=1,AND(对接源_02物料!$X99="公司筐",N(对接源_02物料!$V99)&lt;&gt;0)),1,0)</f>
        <v>0</v>
      </c>
      <c r="U1299" s="3">
        <f t="shared" si="354"/>
        <v>19</v>
      </c>
      <c r="V1299" s="3">
        <f>IF(AND($L1299=1,AND(对接源_02物料!$X99="自备筐",N(对接源_02物料!$V99)&lt;&gt;0)),1,0)</f>
        <v>0</v>
      </c>
      <c r="W1299" s="3">
        <f t="shared" si="355"/>
        <v>8</v>
      </c>
      <c r="X1299" s="3">
        <f>IF(AND($L1299=1,AND(对接源_02物料!$X99="自备筐",N(对接源_02物料!$T99)&lt;&gt;0)),1,0)</f>
        <v>0</v>
      </c>
      <c r="Y1299" s="3">
        <f t="shared" si="356"/>
        <v>0</v>
      </c>
      <c r="Z1299" s="3">
        <f>IF(AND($M1299=1,对接源_02物料!$D99="原料入库"),1,0)</f>
        <v>0</v>
      </c>
      <c r="AA1299" s="3">
        <f t="shared" si="357"/>
        <v>24</v>
      </c>
      <c r="AB1299" s="3">
        <f>IF(AND($M1299=1,LEFT(对接源_02物料!$D99,4)="原料出库"),1,0)</f>
        <v>0</v>
      </c>
      <c r="AC1299" s="3">
        <f t="shared" si="358"/>
        <v>0</v>
      </c>
      <c r="AD1299" s="3">
        <f>IF(AND($M1299=1,LEFT(对接源_02物料!$D99,4)="成品出库"),1,0)</f>
        <v>0</v>
      </c>
      <c r="AE1299" s="3">
        <f t="shared" si="359"/>
        <v>0</v>
      </c>
      <c r="AF1299" s="3">
        <f>IF(AND($N1299=1,AND(LEFT(对接源_02物料!$D99,4)="包装物料",N(对接源_02物料!$K99)&lt;&gt;0)),1,0)</f>
        <v>0</v>
      </c>
      <c r="AG1299" s="3">
        <f t="shared" si="360"/>
        <v>5</v>
      </c>
      <c r="AH1299" s="3">
        <f>IF(AND($N1299=1,AND(对接源_02物料!$D99="周转筐－销售出库",N(对接源_02物料!$K99)&lt;&gt;0)),1,0)</f>
        <v>0</v>
      </c>
      <c r="AI1299" s="3">
        <f t="shared" si="361"/>
        <v>0</v>
      </c>
      <c r="AL1299" s="3">
        <v>0</v>
      </c>
      <c r="AM1299" s="3">
        <f t="shared" si="362"/>
        <v>1</v>
      </c>
      <c r="AN1299" s="3" t="str">
        <f t="shared" si="349"/>
        <v/>
      </c>
      <c r="AO1299" s="3">
        <v>0</v>
      </c>
      <c r="AP1299" s="3">
        <f t="shared" si="363"/>
        <v>8</v>
      </c>
      <c r="AR1299">
        <f t="shared" si="364"/>
        <v>0</v>
      </c>
      <c r="AS1299">
        <f t="shared" si="365"/>
        <v>5</v>
      </c>
    </row>
    <row r="1300" customHeight="1" spans="1:45">
      <c r="A1300" s="3" t="str">
        <f>IF(对接源_02物料!$C100="","",对接源_02物料!$C100)</f>
        <v>王照雪</v>
      </c>
      <c r="B1300" s="3">
        <f t="shared" si="350"/>
        <v>0</v>
      </c>
      <c r="C1300" s="3">
        <f t="shared" si="351"/>
        <v>21</v>
      </c>
      <c r="K1300" s="3">
        <f>IF(OR($K$1="",对接源_02物料!$C100="",对接源_02物料!$C100&lt;&gt;$K$1,对接源_02物料!$B100=""),0,IF(OR(N(对接源_02物料!$B100)&lt;$K$2,N(对接源_02物料!$B100)&gt;$K$3),0,1))</f>
        <v>0</v>
      </c>
      <c r="L1300" s="3">
        <f>IF(OR($L$1="",对接源_02物料!$C100="",对接源_02物料!$C100&lt;&gt;$L$1,对接源_02物料!$B100=""),0,IF(OR(N(对接源_02物料!$B100)&lt;$L$2,N(对接源_02物料!$B100)&gt;$L$3),0,1))</f>
        <v>0</v>
      </c>
      <c r="M1300" s="3">
        <f>IF(OR($M$1="",对接源_02物料!$C100="",对接源_02物料!$C100&lt;&gt;$M$1,对接源_02物料!$B100=""),0,IF(OR(N(对接源_02物料!$B100)&lt;$M$2,N(对接源_02物料!$B100)&gt;$M$3),0,1))</f>
        <v>0</v>
      </c>
      <c r="N1300" s="3">
        <f>IF(OR($N$1="",对接源_02物料!$C100="",对接源_02物料!$C100&lt;&gt;$N$1,对接源_02物料!$B100=""),0,IF(OR(N(对接源_02物料!$B100)&lt;$N$2,N(对接源_02物料!$B100)&gt;$N$3),0,1))</f>
        <v>0</v>
      </c>
      <c r="P1300" s="3">
        <f>IF(AND($K1300=1,AND(对接源_02物料!$X100="公司筐",N(对接源_02物料!$T100)&lt;&gt;0)),1,0)</f>
        <v>0</v>
      </c>
      <c r="Q1300" s="3">
        <f t="shared" si="352"/>
        <v>2</v>
      </c>
      <c r="R1300" s="3">
        <f>IF(AND($K1300=1,AND(对接源_02物料!$X100="公司筐",N(对接源_02物料!$U100)&lt;&gt;0)),1,0)</f>
        <v>0</v>
      </c>
      <c r="S1300" s="3">
        <f t="shared" si="353"/>
        <v>0</v>
      </c>
      <c r="T1300" s="3">
        <f>IF(AND($K1300=1,AND(对接源_02物料!$X100="公司筐",N(对接源_02物料!$V100)&lt;&gt;0)),1,0)</f>
        <v>0</v>
      </c>
      <c r="U1300" s="3">
        <f t="shared" si="354"/>
        <v>19</v>
      </c>
      <c r="V1300" s="3">
        <f>IF(AND($L1300=1,AND(对接源_02物料!$X100="自备筐",N(对接源_02物料!$V100)&lt;&gt;0)),1,0)</f>
        <v>0</v>
      </c>
      <c r="W1300" s="3">
        <f t="shared" si="355"/>
        <v>8</v>
      </c>
      <c r="X1300" s="3">
        <f>IF(AND($L1300=1,AND(对接源_02物料!$X100="自备筐",N(对接源_02物料!$T100)&lt;&gt;0)),1,0)</f>
        <v>0</v>
      </c>
      <c r="Y1300" s="3">
        <f t="shared" si="356"/>
        <v>0</v>
      </c>
      <c r="Z1300" s="3">
        <f>IF(AND($M1300=1,对接源_02物料!$D100="原料入库"),1,0)</f>
        <v>0</v>
      </c>
      <c r="AA1300" s="3">
        <f t="shared" si="357"/>
        <v>24</v>
      </c>
      <c r="AB1300" s="3">
        <f>IF(AND($M1300=1,LEFT(对接源_02物料!$D100,4)="原料出库"),1,0)</f>
        <v>0</v>
      </c>
      <c r="AC1300" s="3">
        <f t="shared" si="358"/>
        <v>0</v>
      </c>
      <c r="AD1300" s="3">
        <f>IF(AND($M1300=1,LEFT(对接源_02物料!$D100,4)="成品出库"),1,0)</f>
        <v>0</v>
      </c>
      <c r="AE1300" s="3">
        <f t="shared" si="359"/>
        <v>0</v>
      </c>
      <c r="AF1300" s="3">
        <f>IF(AND($N1300=1,AND(LEFT(对接源_02物料!$D100,4)="包装物料",N(对接源_02物料!$K100)&lt;&gt;0)),1,0)</f>
        <v>0</v>
      </c>
      <c r="AG1300" s="3">
        <f t="shared" si="360"/>
        <v>5</v>
      </c>
      <c r="AH1300" s="3">
        <f>IF(AND($N1300=1,AND(对接源_02物料!$D100="周转筐－销售出库",N(对接源_02物料!$K100)&lt;&gt;0)),1,0)</f>
        <v>0</v>
      </c>
      <c r="AI1300" s="3">
        <f t="shared" si="361"/>
        <v>0</v>
      </c>
      <c r="AL1300" s="3">
        <v>0</v>
      </c>
      <c r="AM1300" s="3">
        <f t="shared" si="362"/>
        <v>1</v>
      </c>
      <c r="AN1300" s="3" t="str">
        <f t="shared" si="349"/>
        <v/>
      </c>
      <c r="AO1300" s="3">
        <v>0</v>
      </c>
      <c r="AP1300" s="3">
        <f t="shared" si="363"/>
        <v>8</v>
      </c>
      <c r="AR1300">
        <f t="shared" si="364"/>
        <v>0</v>
      </c>
      <c r="AS1300">
        <f t="shared" si="365"/>
        <v>5</v>
      </c>
    </row>
    <row r="1301" customHeight="1" spans="1:45">
      <c r="A1301" s="3" t="str">
        <f>IF(对接源_02物料!$C101="","",对接源_02物料!$C101)</f>
        <v>王照雪</v>
      </c>
      <c r="B1301" s="3">
        <f t="shared" si="350"/>
        <v>0</v>
      </c>
      <c r="C1301" s="3">
        <f t="shared" si="351"/>
        <v>21</v>
      </c>
      <c r="K1301" s="3">
        <f>IF(OR($K$1="",对接源_02物料!$C101="",对接源_02物料!$C101&lt;&gt;$K$1,对接源_02物料!$B101=""),0,IF(OR(N(对接源_02物料!$B101)&lt;$K$2,N(对接源_02物料!$B101)&gt;$K$3),0,1))</f>
        <v>0</v>
      </c>
      <c r="L1301" s="3">
        <f>IF(OR($L$1="",对接源_02物料!$C101="",对接源_02物料!$C101&lt;&gt;$L$1,对接源_02物料!$B101=""),0,IF(OR(N(对接源_02物料!$B101)&lt;$L$2,N(对接源_02物料!$B101)&gt;$L$3),0,1))</f>
        <v>0</v>
      </c>
      <c r="M1301" s="3">
        <f>IF(OR($M$1="",对接源_02物料!$C101="",对接源_02物料!$C101&lt;&gt;$M$1,对接源_02物料!$B101=""),0,IF(OR(N(对接源_02物料!$B101)&lt;$M$2,N(对接源_02物料!$B101)&gt;$M$3),0,1))</f>
        <v>0</v>
      </c>
      <c r="N1301" s="3">
        <f>IF(OR($N$1="",对接源_02物料!$C101="",对接源_02物料!$C101&lt;&gt;$N$1,对接源_02物料!$B101=""),0,IF(OR(N(对接源_02物料!$B101)&lt;$N$2,N(对接源_02物料!$B101)&gt;$N$3),0,1))</f>
        <v>0</v>
      </c>
      <c r="P1301" s="3">
        <f>IF(AND($K1301=1,AND(对接源_02物料!$X101="公司筐",N(对接源_02物料!$T101)&lt;&gt;0)),1,0)</f>
        <v>0</v>
      </c>
      <c r="Q1301" s="3">
        <f t="shared" si="352"/>
        <v>2</v>
      </c>
      <c r="R1301" s="3">
        <f>IF(AND($K1301=1,AND(对接源_02物料!$X101="公司筐",N(对接源_02物料!$U101)&lt;&gt;0)),1,0)</f>
        <v>0</v>
      </c>
      <c r="S1301" s="3">
        <f t="shared" si="353"/>
        <v>0</v>
      </c>
      <c r="T1301" s="3">
        <f>IF(AND($K1301=1,AND(对接源_02物料!$X101="公司筐",N(对接源_02物料!$V101)&lt;&gt;0)),1,0)</f>
        <v>0</v>
      </c>
      <c r="U1301" s="3">
        <f t="shared" si="354"/>
        <v>19</v>
      </c>
      <c r="V1301" s="3">
        <f>IF(AND($L1301=1,AND(对接源_02物料!$X101="自备筐",N(对接源_02物料!$V101)&lt;&gt;0)),1,0)</f>
        <v>0</v>
      </c>
      <c r="W1301" s="3">
        <f t="shared" si="355"/>
        <v>8</v>
      </c>
      <c r="X1301" s="3">
        <f>IF(AND($L1301=1,AND(对接源_02物料!$X101="自备筐",N(对接源_02物料!$T101)&lt;&gt;0)),1,0)</f>
        <v>0</v>
      </c>
      <c r="Y1301" s="3">
        <f t="shared" si="356"/>
        <v>0</v>
      </c>
      <c r="Z1301" s="3">
        <f>IF(AND($M1301=1,对接源_02物料!$D101="原料入库"),1,0)</f>
        <v>0</v>
      </c>
      <c r="AA1301" s="3">
        <f t="shared" si="357"/>
        <v>24</v>
      </c>
      <c r="AB1301" s="3">
        <f>IF(AND($M1301=1,LEFT(对接源_02物料!$D101,4)="原料出库"),1,0)</f>
        <v>0</v>
      </c>
      <c r="AC1301" s="3">
        <f t="shared" si="358"/>
        <v>0</v>
      </c>
      <c r="AD1301" s="3">
        <f>IF(AND($M1301=1,LEFT(对接源_02物料!$D101,4)="成品出库"),1,0)</f>
        <v>0</v>
      </c>
      <c r="AE1301" s="3">
        <f t="shared" si="359"/>
        <v>0</v>
      </c>
      <c r="AF1301" s="3">
        <f>IF(AND($N1301=1,AND(LEFT(对接源_02物料!$D101,4)="包装物料",N(对接源_02物料!$K101)&lt;&gt;0)),1,0)</f>
        <v>0</v>
      </c>
      <c r="AG1301" s="3">
        <f t="shared" si="360"/>
        <v>5</v>
      </c>
      <c r="AH1301" s="3">
        <f>IF(AND($N1301=1,AND(对接源_02物料!$D101="周转筐－销售出库",N(对接源_02物料!$K101)&lt;&gt;0)),1,0)</f>
        <v>0</v>
      </c>
      <c r="AI1301" s="3">
        <f t="shared" si="361"/>
        <v>0</v>
      </c>
      <c r="AL1301" s="3">
        <v>0</v>
      </c>
      <c r="AM1301" s="3">
        <f t="shared" si="362"/>
        <v>1</v>
      </c>
      <c r="AN1301" s="3" t="str">
        <f t="shared" si="349"/>
        <v/>
      </c>
      <c r="AO1301" s="3">
        <v>0</v>
      </c>
      <c r="AP1301" s="3">
        <f t="shared" si="363"/>
        <v>8</v>
      </c>
      <c r="AR1301">
        <f t="shared" si="364"/>
        <v>0</v>
      </c>
      <c r="AS1301">
        <f t="shared" si="365"/>
        <v>5</v>
      </c>
    </row>
    <row r="1302" customHeight="1" spans="1:45">
      <c r="A1302" s="3" t="str">
        <f>IF(对接源_02物料!$C102="","",对接源_02物料!$C102)</f>
        <v>努尔敦</v>
      </c>
      <c r="B1302" s="3">
        <f t="shared" si="350"/>
        <v>0</v>
      </c>
      <c r="C1302" s="3">
        <f t="shared" si="351"/>
        <v>21</v>
      </c>
      <c r="K1302" s="3">
        <f>IF(OR($K$1="",对接源_02物料!$C102="",对接源_02物料!$C102&lt;&gt;$K$1,对接源_02物料!$B102=""),0,IF(OR(N(对接源_02物料!$B102)&lt;$K$2,N(对接源_02物料!$B102)&gt;$K$3),0,1))</f>
        <v>0</v>
      </c>
      <c r="L1302" s="3">
        <f>IF(OR($L$1="",对接源_02物料!$C102="",对接源_02物料!$C102&lt;&gt;$L$1,对接源_02物料!$B102=""),0,IF(OR(N(对接源_02物料!$B102)&lt;$L$2,N(对接源_02物料!$B102)&gt;$L$3),0,1))</f>
        <v>0</v>
      </c>
      <c r="M1302" s="3">
        <f>IF(OR($M$1="",对接源_02物料!$C102="",对接源_02物料!$C102&lt;&gt;$M$1,对接源_02物料!$B102=""),0,IF(OR(N(对接源_02物料!$B102)&lt;$M$2,N(对接源_02物料!$B102)&gt;$M$3),0,1))</f>
        <v>0</v>
      </c>
      <c r="N1302" s="3">
        <f>IF(OR($N$1="",对接源_02物料!$C102="",对接源_02物料!$C102&lt;&gt;$N$1,对接源_02物料!$B102=""),0,IF(OR(N(对接源_02物料!$B102)&lt;$N$2,N(对接源_02物料!$B102)&gt;$N$3),0,1))</f>
        <v>0</v>
      </c>
      <c r="P1302" s="3">
        <f>IF(AND($K1302=1,AND(对接源_02物料!$X102="公司筐",N(对接源_02物料!$T102)&lt;&gt;0)),1,0)</f>
        <v>0</v>
      </c>
      <c r="Q1302" s="3">
        <f t="shared" si="352"/>
        <v>2</v>
      </c>
      <c r="R1302" s="3">
        <f>IF(AND($K1302=1,AND(对接源_02物料!$X102="公司筐",N(对接源_02物料!$U102)&lt;&gt;0)),1,0)</f>
        <v>0</v>
      </c>
      <c r="S1302" s="3">
        <f t="shared" si="353"/>
        <v>0</v>
      </c>
      <c r="T1302" s="3">
        <f>IF(AND($K1302=1,AND(对接源_02物料!$X102="公司筐",N(对接源_02物料!$V102)&lt;&gt;0)),1,0)</f>
        <v>0</v>
      </c>
      <c r="U1302" s="3">
        <f t="shared" si="354"/>
        <v>19</v>
      </c>
      <c r="V1302" s="3">
        <f>IF(AND($L1302=1,AND(对接源_02物料!$X102="自备筐",N(对接源_02物料!$V102)&lt;&gt;0)),1,0)</f>
        <v>0</v>
      </c>
      <c r="W1302" s="3">
        <f t="shared" si="355"/>
        <v>8</v>
      </c>
      <c r="X1302" s="3">
        <f>IF(AND($L1302=1,AND(对接源_02物料!$X102="自备筐",N(对接源_02物料!$T102)&lt;&gt;0)),1,0)</f>
        <v>0</v>
      </c>
      <c r="Y1302" s="3">
        <f t="shared" si="356"/>
        <v>0</v>
      </c>
      <c r="Z1302" s="3">
        <f>IF(AND($M1302=1,对接源_02物料!$D102="原料入库"),1,0)</f>
        <v>0</v>
      </c>
      <c r="AA1302" s="3">
        <f t="shared" si="357"/>
        <v>24</v>
      </c>
      <c r="AB1302" s="3">
        <f>IF(AND($M1302=1,LEFT(对接源_02物料!$D102,4)="原料出库"),1,0)</f>
        <v>0</v>
      </c>
      <c r="AC1302" s="3">
        <f t="shared" si="358"/>
        <v>0</v>
      </c>
      <c r="AD1302" s="3">
        <f>IF(AND($M1302=1,LEFT(对接源_02物料!$D102,4)="成品出库"),1,0)</f>
        <v>0</v>
      </c>
      <c r="AE1302" s="3">
        <f t="shared" si="359"/>
        <v>0</v>
      </c>
      <c r="AF1302" s="3">
        <f>IF(AND($N1302=1,AND(LEFT(对接源_02物料!$D102,4)="包装物料",N(对接源_02物料!$K102)&lt;&gt;0)),1,0)</f>
        <v>0</v>
      </c>
      <c r="AG1302" s="3">
        <f t="shared" si="360"/>
        <v>5</v>
      </c>
      <c r="AH1302" s="3">
        <f>IF(AND($N1302=1,AND(对接源_02物料!$D102="周转筐－销售出库",N(对接源_02物料!$K102)&lt;&gt;0)),1,0)</f>
        <v>0</v>
      </c>
      <c r="AI1302" s="3">
        <f t="shared" si="361"/>
        <v>0</v>
      </c>
      <c r="AL1302" s="3">
        <v>0</v>
      </c>
      <c r="AM1302" s="3">
        <f t="shared" si="362"/>
        <v>1</v>
      </c>
      <c r="AN1302" s="3" t="str">
        <f t="shared" si="349"/>
        <v/>
      </c>
      <c r="AO1302" s="3">
        <v>0</v>
      </c>
      <c r="AP1302" s="3">
        <f t="shared" si="363"/>
        <v>8</v>
      </c>
      <c r="AR1302">
        <f t="shared" si="364"/>
        <v>0</v>
      </c>
      <c r="AS1302">
        <f t="shared" si="365"/>
        <v>5</v>
      </c>
    </row>
    <row r="1303" customHeight="1" spans="1:45">
      <c r="A1303" s="3" t="str">
        <f>IF(对接源_02物料!$C103="","",对接源_02物料!$C103)</f>
        <v>全修塑业</v>
      </c>
      <c r="B1303" s="3">
        <f t="shared" si="350"/>
        <v>0</v>
      </c>
      <c r="C1303" s="3">
        <f t="shared" si="351"/>
        <v>21</v>
      </c>
      <c r="K1303" s="3">
        <f>IF(OR($K$1="",对接源_02物料!$C103="",对接源_02物料!$C103&lt;&gt;$K$1,对接源_02物料!$B103=""),0,IF(OR(N(对接源_02物料!$B103)&lt;$K$2,N(对接源_02物料!$B103)&gt;$K$3),0,1))</f>
        <v>0</v>
      </c>
      <c r="L1303" s="3">
        <f>IF(OR($L$1="",对接源_02物料!$C103="",对接源_02物料!$C103&lt;&gt;$L$1,对接源_02物料!$B103=""),0,IF(OR(N(对接源_02物料!$B103)&lt;$L$2,N(对接源_02物料!$B103)&gt;$L$3),0,1))</f>
        <v>0</v>
      </c>
      <c r="M1303" s="3">
        <f>IF(OR($M$1="",对接源_02物料!$C103="",对接源_02物料!$C103&lt;&gt;$M$1,对接源_02物料!$B103=""),0,IF(OR(N(对接源_02物料!$B103)&lt;$M$2,N(对接源_02物料!$B103)&gt;$M$3),0,1))</f>
        <v>0</v>
      </c>
      <c r="N1303" s="3">
        <f>IF(OR($N$1="",对接源_02物料!$C103="",对接源_02物料!$C103&lt;&gt;$N$1,对接源_02物料!$B103=""),0,IF(OR(N(对接源_02物料!$B103)&lt;$N$2,N(对接源_02物料!$B103)&gt;$N$3),0,1))</f>
        <v>0</v>
      </c>
      <c r="P1303" s="3">
        <f>IF(AND($K1303=1,AND(对接源_02物料!$X103="公司筐",N(对接源_02物料!$T103)&lt;&gt;0)),1,0)</f>
        <v>0</v>
      </c>
      <c r="Q1303" s="3">
        <f t="shared" si="352"/>
        <v>2</v>
      </c>
      <c r="R1303" s="3">
        <f>IF(AND($K1303=1,AND(对接源_02物料!$X103="公司筐",N(对接源_02物料!$U103)&lt;&gt;0)),1,0)</f>
        <v>0</v>
      </c>
      <c r="S1303" s="3">
        <f t="shared" si="353"/>
        <v>0</v>
      </c>
      <c r="T1303" s="3">
        <f>IF(AND($K1303=1,AND(对接源_02物料!$X103="公司筐",N(对接源_02物料!$V103)&lt;&gt;0)),1,0)</f>
        <v>0</v>
      </c>
      <c r="U1303" s="3">
        <f t="shared" si="354"/>
        <v>19</v>
      </c>
      <c r="V1303" s="3">
        <f>IF(AND($L1303=1,AND(对接源_02物料!$X103="自备筐",N(对接源_02物料!$V103)&lt;&gt;0)),1,0)</f>
        <v>0</v>
      </c>
      <c r="W1303" s="3">
        <f t="shared" si="355"/>
        <v>8</v>
      </c>
      <c r="X1303" s="3">
        <f>IF(AND($L1303=1,AND(对接源_02物料!$X103="自备筐",N(对接源_02物料!$T103)&lt;&gt;0)),1,0)</f>
        <v>0</v>
      </c>
      <c r="Y1303" s="3">
        <f t="shared" si="356"/>
        <v>0</v>
      </c>
      <c r="Z1303" s="3">
        <f>IF(AND($M1303=1,对接源_02物料!$D103="原料入库"),1,0)</f>
        <v>0</v>
      </c>
      <c r="AA1303" s="3">
        <f t="shared" si="357"/>
        <v>24</v>
      </c>
      <c r="AB1303" s="3">
        <f>IF(AND($M1303=1,LEFT(对接源_02物料!$D103,4)="原料出库"),1,0)</f>
        <v>0</v>
      </c>
      <c r="AC1303" s="3">
        <f t="shared" si="358"/>
        <v>0</v>
      </c>
      <c r="AD1303" s="3">
        <f>IF(AND($M1303=1,LEFT(对接源_02物料!$D103,4)="成品出库"),1,0)</f>
        <v>0</v>
      </c>
      <c r="AE1303" s="3">
        <f t="shared" si="359"/>
        <v>0</v>
      </c>
      <c r="AF1303" s="3">
        <f>IF(AND($N1303=1,AND(LEFT(对接源_02物料!$D103,4)="包装物料",N(对接源_02物料!$K103)&lt;&gt;0)),1,0)</f>
        <v>0</v>
      </c>
      <c r="AG1303" s="3">
        <f t="shared" si="360"/>
        <v>5</v>
      </c>
      <c r="AH1303" s="3">
        <f>IF(AND($N1303=1,AND(对接源_02物料!$D103="周转筐－销售出库",N(对接源_02物料!$K103)&lt;&gt;0)),1,0)</f>
        <v>0</v>
      </c>
      <c r="AI1303" s="3">
        <f t="shared" si="361"/>
        <v>0</v>
      </c>
      <c r="AL1303" s="3">
        <v>0</v>
      </c>
      <c r="AM1303" s="3">
        <f t="shared" si="362"/>
        <v>1</v>
      </c>
      <c r="AN1303" s="3" t="str">
        <f t="shared" si="349"/>
        <v/>
      </c>
      <c r="AO1303" s="3">
        <v>0</v>
      </c>
      <c r="AP1303" s="3">
        <f t="shared" si="363"/>
        <v>8</v>
      </c>
      <c r="AR1303">
        <f t="shared" si="364"/>
        <v>0</v>
      </c>
      <c r="AS1303">
        <f t="shared" si="365"/>
        <v>5</v>
      </c>
    </row>
    <row r="1304" customHeight="1" spans="1:45">
      <c r="A1304" s="3" t="str">
        <f>IF(对接源_02物料!$C104="","",对接源_02物料!$C104)</f>
        <v>热合曼</v>
      </c>
      <c r="B1304" s="3">
        <f t="shared" si="350"/>
        <v>0</v>
      </c>
      <c r="C1304" s="3">
        <f t="shared" si="351"/>
        <v>21</v>
      </c>
      <c r="K1304" s="3">
        <f>IF(OR($K$1="",对接源_02物料!$C104="",对接源_02物料!$C104&lt;&gt;$K$1,对接源_02物料!$B104=""),0,IF(OR(N(对接源_02物料!$B104)&lt;$K$2,N(对接源_02物料!$B104)&gt;$K$3),0,1))</f>
        <v>0</v>
      </c>
      <c r="L1304" s="3">
        <f>IF(OR($L$1="",对接源_02物料!$C104="",对接源_02物料!$C104&lt;&gt;$L$1,对接源_02物料!$B104=""),0,IF(OR(N(对接源_02物料!$B104)&lt;$L$2,N(对接源_02物料!$B104)&gt;$L$3),0,1))</f>
        <v>0</v>
      </c>
      <c r="M1304" s="3">
        <f>IF(OR($M$1="",对接源_02物料!$C104="",对接源_02物料!$C104&lt;&gt;$M$1,对接源_02物料!$B104=""),0,IF(OR(N(对接源_02物料!$B104)&lt;$M$2,N(对接源_02物料!$B104)&gt;$M$3),0,1))</f>
        <v>0</v>
      </c>
      <c r="N1304" s="3">
        <f>IF(OR($N$1="",对接源_02物料!$C104="",对接源_02物料!$C104&lt;&gt;$N$1,对接源_02物料!$B104=""),0,IF(OR(N(对接源_02物料!$B104)&lt;$N$2,N(对接源_02物料!$B104)&gt;$N$3),0,1))</f>
        <v>0</v>
      </c>
      <c r="P1304" s="3">
        <f>IF(AND($K1304=1,AND(对接源_02物料!$X104="公司筐",N(对接源_02物料!$T104)&lt;&gt;0)),1,0)</f>
        <v>0</v>
      </c>
      <c r="Q1304" s="3">
        <f t="shared" si="352"/>
        <v>2</v>
      </c>
      <c r="R1304" s="3">
        <f>IF(AND($K1304=1,AND(对接源_02物料!$X104="公司筐",N(对接源_02物料!$U104)&lt;&gt;0)),1,0)</f>
        <v>0</v>
      </c>
      <c r="S1304" s="3">
        <f t="shared" si="353"/>
        <v>0</v>
      </c>
      <c r="T1304" s="3">
        <f>IF(AND($K1304=1,AND(对接源_02物料!$X104="公司筐",N(对接源_02物料!$V104)&lt;&gt;0)),1,0)</f>
        <v>0</v>
      </c>
      <c r="U1304" s="3">
        <f t="shared" si="354"/>
        <v>19</v>
      </c>
      <c r="V1304" s="3">
        <f>IF(AND($L1304=1,AND(对接源_02物料!$X104="自备筐",N(对接源_02物料!$V104)&lt;&gt;0)),1,0)</f>
        <v>0</v>
      </c>
      <c r="W1304" s="3">
        <f t="shared" si="355"/>
        <v>8</v>
      </c>
      <c r="X1304" s="3">
        <f>IF(AND($L1304=1,AND(对接源_02物料!$X104="自备筐",N(对接源_02物料!$T104)&lt;&gt;0)),1,0)</f>
        <v>0</v>
      </c>
      <c r="Y1304" s="3">
        <f t="shared" si="356"/>
        <v>0</v>
      </c>
      <c r="Z1304" s="3">
        <f>IF(AND($M1304=1,对接源_02物料!$D104="原料入库"),1,0)</f>
        <v>0</v>
      </c>
      <c r="AA1304" s="3">
        <f t="shared" si="357"/>
        <v>24</v>
      </c>
      <c r="AB1304" s="3">
        <f>IF(AND($M1304=1,LEFT(对接源_02物料!$D104,4)="原料出库"),1,0)</f>
        <v>0</v>
      </c>
      <c r="AC1304" s="3">
        <f t="shared" si="358"/>
        <v>0</v>
      </c>
      <c r="AD1304" s="3">
        <f>IF(AND($M1304=1,LEFT(对接源_02物料!$D104,4)="成品出库"),1,0)</f>
        <v>0</v>
      </c>
      <c r="AE1304" s="3">
        <f t="shared" si="359"/>
        <v>0</v>
      </c>
      <c r="AF1304" s="3">
        <f>IF(AND($N1304=1,AND(LEFT(对接源_02物料!$D104,4)="包装物料",N(对接源_02物料!$K104)&lt;&gt;0)),1,0)</f>
        <v>0</v>
      </c>
      <c r="AG1304" s="3">
        <f t="shared" si="360"/>
        <v>5</v>
      </c>
      <c r="AH1304" s="3">
        <f>IF(AND($N1304=1,AND(对接源_02物料!$D104="周转筐－销售出库",N(对接源_02物料!$K104)&lt;&gt;0)),1,0)</f>
        <v>0</v>
      </c>
      <c r="AI1304" s="3">
        <f t="shared" si="361"/>
        <v>0</v>
      </c>
      <c r="AL1304" s="3">
        <v>0</v>
      </c>
      <c r="AM1304" s="3">
        <f t="shared" si="362"/>
        <v>1</v>
      </c>
      <c r="AN1304" s="3" t="str">
        <f t="shared" si="349"/>
        <v/>
      </c>
      <c r="AO1304" s="3">
        <v>0</v>
      </c>
      <c r="AP1304" s="3">
        <f t="shared" si="363"/>
        <v>8</v>
      </c>
      <c r="AR1304">
        <f t="shared" si="364"/>
        <v>0</v>
      </c>
      <c r="AS1304">
        <f t="shared" si="365"/>
        <v>5</v>
      </c>
    </row>
    <row r="1305" customHeight="1" spans="1:45">
      <c r="A1305" s="3" t="str">
        <f>IF(对接源_02物料!$C105="","",对接源_02物料!$C105)</f>
        <v>全修塑业</v>
      </c>
      <c r="B1305" s="3">
        <f t="shared" si="350"/>
        <v>0</v>
      </c>
      <c r="C1305" s="3">
        <f t="shared" si="351"/>
        <v>21</v>
      </c>
      <c r="K1305" s="3">
        <f>IF(OR($K$1="",对接源_02物料!$C105="",对接源_02物料!$C105&lt;&gt;$K$1,对接源_02物料!$B105=""),0,IF(OR(N(对接源_02物料!$B105)&lt;$K$2,N(对接源_02物料!$B105)&gt;$K$3),0,1))</f>
        <v>0</v>
      </c>
      <c r="L1305" s="3">
        <f>IF(OR($L$1="",对接源_02物料!$C105="",对接源_02物料!$C105&lt;&gt;$L$1,对接源_02物料!$B105=""),0,IF(OR(N(对接源_02物料!$B105)&lt;$L$2,N(对接源_02物料!$B105)&gt;$L$3),0,1))</f>
        <v>0</v>
      </c>
      <c r="M1305" s="3">
        <f>IF(OR($M$1="",对接源_02物料!$C105="",对接源_02物料!$C105&lt;&gt;$M$1,对接源_02物料!$B105=""),0,IF(OR(N(对接源_02物料!$B105)&lt;$M$2,N(对接源_02物料!$B105)&gt;$M$3),0,1))</f>
        <v>0</v>
      </c>
      <c r="N1305" s="3">
        <f>IF(OR($N$1="",对接源_02物料!$C105="",对接源_02物料!$C105&lt;&gt;$N$1,对接源_02物料!$B105=""),0,IF(OR(N(对接源_02物料!$B105)&lt;$N$2,N(对接源_02物料!$B105)&gt;$N$3),0,1))</f>
        <v>0</v>
      </c>
      <c r="P1305" s="3">
        <f>IF(AND($K1305=1,AND(对接源_02物料!$X105="公司筐",N(对接源_02物料!$T105)&lt;&gt;0)),1,0)</f>
        <v>0</v>
      </c>
      <c r="Q1305" s="3">
        <f t="shared" si="352"/>
        <v>2</v>
      </c>
      <c r="R1305" s="3">
        <f>IF(AND($K1305=1,AND(对接源_02物料!$X105="公司筐",N(对接源_02物料!$U105)&lt;&gt;0)),1,0)</f>
        <v>0</v>
      </c>
      <c r="S1305" s="3">
        <f t="shared" si="353"/>
        <v>0</v>
      </c>
      <c r="T1305" s="3">
        <f>IF(AND($K1305=1,AND(对接源_02物料!$X105="公司筐",N(对接源_02物料!$V105)&lt;&gt;0)),1,0)</f>
        <v>0</v>
      </c>
      <c r="U1305" s="3">
        <f t="shared" si="354"/>
        <v>19</v>
      </c>
      <c r="V1305" s="3">
        <f>IF(AND($L1305=1,AND(对接源_02物料!$X105="自备筐",N(对接源_02物料!$V105)&lt;&gt;0)),1,0)</f>
        <v>0</v>
      </c>
      <c r="W1305" s="3">
        <f t="shared" si="355"/>
        <v>8</v>
      </c>
      <c r="X1305" s="3">
        <f>IF(AND($L1305=1,AND(对接源_02物料!$X105="自备筐",N(对接源_02物料!$T105)&lt;&gt;0)),1,0)</f>
        <v>0</v>
      </c>
      <c r="Y1305" s="3">
        <f t="shared" si="356"/>
        <v>0</v>
      </c>
      <c r="Z1305" s="3">
        <f>IF(AND($M1305=1,对接源_02物料!$D105="原料入库"),1,0)</f>
        <v>0</v>
      </c>
      <c r="AA1305" s="3">
        <f t="shared" si="357"/>
        <v>24</v>
      </c>
      <c r="AB1305" s="3">
        <f>IF(AND($M1305=1,LEFT(对接源_02物料!$D105,4)="原料出库"),1,0)</f>
        <v>0</v>
      </c>
      <c r="AC1305" s="3">
        <f t="shared" si="358"/>
        <v>0</v>
      </c>
      <c r="AD1305" s="3">
        <f>IF(AND($M1305=1,LEFT(对接源_02物料!$D105,4)="成品出库"),1,0)</f>
        <v>0</v>
      </c>
      <c r="AE1305" s="3">
        <f t="shared" si="359"/>
        <v>0</v>
      </c>
      <c r="AF1305" s="3">
        <f>IF(AND($N1305=1,AND(LEFT(对接源_02物料!$D105,4)="包装物料",N(对接源_02物料!$K105)&lt;&gt;0)),1,0)</f>
        <v>0</v>
      </c>
      <c r="AG1305" s="3">
        <f t="shared" si="360"/>
        <v>5</v>
      </c>
      <c r="AH1305" s="3">
        <f>IF(AND($N1305=1,AND(对接源_02物料!$D105="周转筐－销售出库",N(对接源_02物料!$K105)&lt;&gt;0)),1,0)</f>
        <v>0</v>
      </c>
      <c r="AI1305" s="3">
        <f t="shared" si="361"/>
        <v>0</v>
      </c>
      <c r="AL1305" s="3">
        <v>0</v>
      </c>
      <c r="AM1305" s="3">
        <f t="shared" si="362"/>
        <v>1</v>
      </c>
      <c r="AN1305" s="3" t="str">
        <f t="shared" si="349"/>
        <v/>
      </c>
      <c r="AO1305" s="3">
        <v>0</v>
      </c>
      <c r="AP1305" s="3">
        <f t="shared" si="363"/>
        <v>8</v>
      </c>
      <c r="AR1305">
        <f t="shared" si="364"/>
        <v>0</v>
      </c>
      <c r="AS1305">
        <f t="shared" si="365"/>
        <v>5</v>
      </c>
    </row>
    <row r="1306" customHeight="1" spans="1:45">
      <c r="A1306" s="3" t="str">
        <f>IF(对接源_02物料!$C106="","",对接源_02物料!$C106)</f>
        <v>吐尔洪</v>
      </c>
      <c r="B1306" s="3">
        <f t="shared" si="350"/>
        <v>0</v>
      </c>
      <c r="C1306" s="3">
        <f t="shared" si="351"/>
        <v>21</v>
      </c>
      <c r="K1306" s="3">
        <f>IF(OR($K$1="",对接源_02物料!$C106="",对接源_02物料!$C106&lt;&gt;$K$1,对接源_02物料!$B106=""),0,IF(OR(N(对接源_02物料!$B106)&lt;$K$2,N(对接源_02物料!$B106)&gt;$K$3),0,1))</f>
        <v>0</v>
      </c>
      <c r="L1306" s="3">
        <f>IF(OR($L$1="",对接源_02物料!$C106="",对接源_02物料!$C106&lt;&gt;$L$1,对接源_02物料!$B106=""),0,IF(OR(N(对接源_02物料!$B106)&lt;$L$2,N(对接源_02物料!$B106)&gt;$L$3),0,1))</f>
        <v>0</v>
      </c>
      <c r="M1306" s="3">
        <f>IF(OR($M$1="",对接源_02物料!$C106="",对接源_02物料!$C106&lt;&gt;$M$1,对接源_02物料!$B106=""),0,IF(OR(N(对接源_02物料!$B106)&lt;$M$2,N(对接源_02物料!$B106)&gt;$M$3),0,1))</f>
        <v>1</v>
      </c>
      <c r="N1306" s="3">
        <f>IF(OR($N$1="",对接源_02物料!$C106="",对接源_02物料!$C106&lt;&gt;$N$1,对接源_02物料!$B106=""),0,IF(OR(N(对接源_02物料!$B106)&lt;$N$2,N(对接源_02物料!$B106)&gt;$N$3),0,1))</f>
        <v>1</v>
      </c>
      <c r="P1306" s="3">
        <f>IF(AND($K1306=1,AND(对接源_02物料!$X106="公司筐",N(对接源_02物料!$T106)&lt;&gt;0)),1,0)</f>
        <v>0</v>
      </c>
      <c r="Q1306" s="3">
        <f t="shared" si="352"/>
        <v>2</v>
      </c>
      <c r="R1306" s="3">
        <f>IF(AND($K1306=1,AND(对接源_02物料!$X106="公司筐",N(对接源_02物料!$U106)&lt;&gt;0)),1,0)</f>
        <v>0</v>
      </c>
      <c r="S1306" s="3">
        <f t="shared" si="353"/>
        <v>0</v>
      </c>
      <c r="T1306" s="3">
        <f>IF(AND($K1306=1,AND(对接源_02物料!$X106="公司筐",N(对接源_02物料!$V106)&lt;&gt;0)),1,0)</f>
        <v>0</v>
      </c>
      <c r="U1306" s="3">
        <f t="shared" si="354"/>
        <v>19</v>
      </c>
      <c r="V1306" s="3">
        <f>IF(AND($L1306=1,AND(对接源_02物料!$X106="自备筐",N(对接源_02物料!$V106)&lt;&gt;0)),1,0)</f>
        <v>0</v>
      </c>
      <c r="W1306" s="3">
        <f t="shared" si="355"/>
        <v>8</v>
      </c>
      <c r="X1306" s="3">
        <f>IF(AND($L1306=1,AND(对接源_02物料!$X106="自备筐",N(对接源_02物料!$T106)&lt;&gt;0)),1,0)</f>
        <v>0</v>
      </c>
      <c r="Y1306" s="3">
        <f t="shared" si="356"/>
        <v>0</v>
      </c>
      <c r="Z1306" s="3">
        <f>IF(AND($M1306=1,对接源_02物料!$D106="原料入库"),1,0)</f>
        <v>0</v>
      </c>
      <c r="AA1306" s="3">
        <f t="shared" si="357"/>
        <v>24</v>
      </c>
      <c r="AB1306" s="3">
        <f>IF(AND($M1306=1,LEFT(对接源_02物料!$D106,4)="原料出库"),1,0)</f>
        <v>0</v>
      </c>
      <c r="AC1306" s="3">
        <f t="shared" si="358"/>
        <v>0</v>
      </c>
      <c r="AD1306" s="3">
        <f>IF(AND($M1306=1,LEFT(对接源_02物料!$D106,4)="成品出库"),1,0)</f>
        <v>0</v>
      </c>
      <c r="AE1306" s="3">
        <f t="shared" si="359"/>
        <v>0</v>
      </c>
      <c r="AF1306" s="3">
        <f>IF(AND($N1306=1,AND(LEFT(对接源_02物料!$D106,4)="包装物料",N(对接源_02物料!$K106)&lt;&gt;0)),1,0)</f>
        <v>0</v>
      </c>
      <c r="AG1306" s="3">
        <f t="shared" si="360"/>
        <v>5</v>
      </c>
      <c r="AH1306" s="3">
        <f>IF(AND($N1306=1,AND(对接源_02物料!$D106="周转筐－销售出库",N(对接源_02物料!$K106)&lt;&gt;0)),1,0)</f>
        <v>0</v>
      </c>
      <c r="AI1306" s="3">
        <f t="shared" si="361"/>
        <v>0</v>
      </c>
      <c r="AL1306" s="3">
        <v>0</v>
      </c>
      <c r="AM1306" s="3">
        <f t="shared" si="362"/>
        <v>1</v>
      </c>
      <c r="AN1306" s="3" t="str">
        <f t="shared" si="349"/>
        <v/>
      </c>
      <c r="AO1306" s="3">
        <v>0</v>
      </c>
      <c r="AP1306" s="3">
        <f t="shared" si="363"/>
        <v>8</v>
      </c>
      <c r="AR1306">
        <f t="shared" si="364"/>
        <v>0</v>
      </c>
      <c r="AS1306">
        <f t="shared" si="365"/>
        <v>5</v>
      </c>
    </row>
    <row r="1307" customHeight="1" spans="1:45">
      <c r="A1307" s="3" t="str">
        <f>IF(对接源_02物料!$C107="","",对接源_02物料!$C107)</f>
        <v>王照雪</v>
      </c>
      <c r="B1307" s="3">
        <f t="shared" si="350"/>
        <v>0</v>
      </c>
      <c r="C1307" s="3">
        <f t="shared" si="351"/>
        <v>21</v>
      </c>
      <c r="K1307" s="3">
        <f>IF(OR($K$1="",对接源_02物料!$C107="",对接源_02物料!$C107&lt;&gt;$K$1,对接源_02物料!$B107=""),0,IF(OR(N(对接源_02物料!$B107)&lt;$K$2,N(对接源_02物料!$B107)&gt;$K$3),0,1))</f>
        <v>0</v>
      </c>
      <c r="L1307" s="3">
        <f>IF(OR($L$1="",对接源_02物料!$C107="",对接源_02物料!$C107&lt;&gt;$L$1,对接源_02物料!$B107=""),0,IF(OR(N(对接源_02物料!$B107)&lt;$L$2,N(对接源_02物料!$B107)&gt;$L$3),0,1))</f>
        <v>0</v>
      </c>
      <c r="M1307" s="3">
        <f>IF(OR($M$1="",对接源_02物料!$C107="",对接源_02物料!$C107&lt;&gt;$M$1,对接源_02物料!$B107=""),0,IF(OR(N(对接源_02物料!$B107)&lt;$M$2,N(对接源_02物料!$B107)&gt;$M$3),0,1))</f>
        <v>0</v>
      </c>
      <c r="N1307" s="3">
        <f>IF(OR($N$1="",对接源_02物料!$C107="",对接源_02物料!$C107&lt;&gt;$N$1,对接源_02物料!$B107=""),0,IF(OR(N(对接源_02物料!$B107)&lt;$N$2,N(对接源_02物料!$B107)&gt;$N$3),0,1))</f>
        <v>0</v>
      </c>
      <c r="P1307" s="3">
        <f>IF(AND($K1307=1,AND(对接源_02物料!$X107="公司筐",N(对接源_02物料!$T107)&lt;&gt;0)),1,0)</f>
        <v>0</v>
      </c>
      <c r="Q1307" s="3">
        <f t="shared" si="352"/>
        <v>2</v>
      </c>
      <c r="R1307" s="3">
        <f>IF(AND($K1307=1,AND(对接源_02物料!$X107="公司筐",N(对接源_02物料!$U107)&lt;&gt;0)),1,0)</f>
        <v>0</v>
      </c>
      <c r="S1307" s="3">
        <f t="shared" si="353"/>
        <v>0</v>
      </c>
      <c r="T1307" s="3">
        <f>IF(AND($K1307=1,AND(对接源_02物料!$X107="公司筐",N(对接源_02物料!$V107)&lt;&gt;0)),1,0)</f>
        <v>0</v>
      </c>
      <c r="U1307" s="3">
        <f t="shared" si="354"/>
        <v>19</v>
      </c>
      <c r="V1307" s="3">
        <f>IF(AND($L1307=1,AND(对接源_02物料!$X107="自备筐",N(对接源_02物料!$V107)&lt;&gt;0)),1,0)</f>
        <v>0</v>
      </c>
      <c r="W1307" s="3">
        <f t="shared" si="355"/>
        <v>8</v>
      </c>
      <c r="X1307" s="3">
        <f>IF(AND($L1307=1,AND(对接源_02物料!$X107="自备筐",N(对接源_02物料!$T107)&lt;&gt;0)),1,0)</f>
        <v>0</v>
      </c>
      <c r="Y1307" s="3">
        <f t="shared" si="356"/>
        <v>0</v>
      </c>
      <c r="Z1307" s="3">
        <f>IF(AND($M1307=1,对接源_02物料!$D107="原料入库"),1,0)</f>
        <v>0</v>
      </c>
      <c r="AA1307" s="3">
        <f t="shared" si="357"/>
        <v>24</v>
      </c>
      <c r="AB1307" s="3">
        <f>IF(AND($M1307=1,LEFT(对接源_02物料!$D107,4)="原料出库"),1,0)</f>
        <v>0</v>
      </c>
      <c r="AC1307" s="3">
        <f t="shared" si="358"/>
        <v>0</v>
      </c>
      <c r="AD1307" s="3">
        <f>IF(AND($M1307=1,LEFT(对接源_02物料!$D107,4)="成品出库"),1,0)</f>
        <v>0</v>
      </c>
      <c r="AE1307" s="3">
        <f t="shared" si="359"/>
        <v>0</v>
      </c>
      <c r="AF1307" s="3">
        <f>IF(AND($N1307=1,AND(LEFT(对接源_02物料!$D107,4)="包装物料",N(对接源_02物料!$K107)&lt;&gt;0)),1,0)</f>
        <v>0</v>
      </c>
      <c r="AG1307" s="3">
        <f t="shared" si="360"/>
        <v>5</v>
      </c>
      <c r="AH1307" s="3">
        <f>IF(AND($N1307=1,AND(对接源_02物料!$D107="周转筐－销售出库",N(对接源_02物料!$K107)&lt;&gt;0)),1,0)</f>
        <v>0</v>
      </c>
      <c r="AI1307" s="3">
        <f t="shared" si="361"/>
        <v>0</v>
      </c>
      <c r="AL1307" s="3">
        <v>0</v>
      </c>
      <c r="AM1307" s="3">
        <f t="shared" si="362"/>
        <v>1</v>
      </c>
      <c r="AN1307" s="3" t="str">
        <f t="shared" si="349"/>
        <v/>
      </c>
      <c r="AO1307" s="3">
        <v>0</v>
      </c>
      <c r="AP1307" s="3">
        <f t="shared" si="363"/>
        <v>8</v>
      </c>
      <c r="AR1307">
        <f t="shared" si="364"/>
        <v>0</v>
      </c>
      <c r="AS1307">
        <f t="shared" si="365"/>
        <v>5</v>
      </c>
    </row>
    <row r="1308" customHeight="1" spans="1:45">
      <c r="A1308" s="3" t="str">
        <f>IF(对接源_02物料!$C108="","",对接源_02物料!$C108)</f>
        <v>王照雪</v>
      </c>
      <c r="B1308" s="3">
        <f t="shared" si="350"/>
        <v>0</v>
      </c>
      <c r="C1308" s="3">
        <f t="shared" si="351"/>
        <v>21</v>
      </c>
      <c r="K1308" s="3">
        <f>IF(OR($K$1="",对接源_02物料!$C108="",对接源_02物料!$C108&lt;&gt;$K$1,对接源_02物料!$B108=""),0,IF(OR(N(对接源_02物料!$B108)&lt;$K$2,N(对接源_02物料!$B108)&gt;$K$3),0,1))</f>
        <v>0</v>
      </c>
      <c r="L1308" s="3">
        <f>IF(OR($L$1="",对接源_02物料!$C108="",对接源_02物料!$C108&lt;&gt;$L$1,对接源_02物料!$B108=""),0,IF(OR(N(对接源_02物料!$B108)&lt;$L$2,N(对接源_02物料!$B108)&gt;$L$3),0,1))</f>
        <v>0</v>
      </c>
      <c r="M1308" s="3">
        <f>IF(OR($M$1="",对接源_02物料!$C108="",对接源_02物料!$C108&lt;&gt;$M$1,对接源_02物料!$B108=""),0,IF(OR(N(对接源_02物料!$B108)&lt;$M$2,N(对接源_02物料!$B108)&gt;$M$3),0,1))</f>
        <v>0</v>
      </c>
      <c r="N1308" s="3">
        <f>IF(OR($N$1="",对接源_02物料!$C108="",对接源_02物料!$C108&lt;&gt;$N$1,对接源_02物料!$B108=""),0,IF(OR(N(对接源_02物料!$B108)&lt;$N$2,N(对接源_02物料!$B108)&gt;$N$3),0,1))</f>
        <v>0</v>
      </c>
      <c r="P1308" s="3">
        <f>IF(AND($K1308=1,AND(对接源_02物料!$X108="公司筐",N(对接源_02物料!$T108)&lt;&gt;0)),1,0)</f>
        <v>0</v>
      </c>
      <c r="Q1308" s="3">
        <f t="shared" si="352"/>
        <v>2</v>
      </c>
      <c r="R1308" s="3">
        <f>IF(AND($K1308=1,AND(对接源_02物料!$X108="公司筐",N(对接源_02物料!$U108)&lt;&gt;0)),1,0)</f>
        <v>0</v>
      </c>
      <c r="S1308" s="3">
        <f t="shared" si="353"/>
        <v>0</v>
      </c>
      <c r="T1308" s="3">
        <f>IF(AND($K1308=1,AND(对接源_02物料!$X108="公司筐",N(对接源_02物料!$V108)&lt;&gt;0)),1,0)</f>
        <v>0</v>
      </c>
      <c r="U1308" s="3">
        <f t="shared" si="354"/>
        <v>19</v>
      </c>
      <c r="V1308" s="3">
        <f>IF(AND($L1308=1,AND(对接源_02物料!$X108="自备筐",N(对接源_02物料!$V108)&lt;&gt;0)),1,0)</f>
        <v>0</v>
      </c>
      <c r="W1308" s="3">
        <f t="shared" si="355"/>
        <v>8</v>
      </c>
      <c r="X1308" s="3">
        <f>IF(AND($L1308=1,AND(对接源_02物料!$X108="自备筐",N(对接源_02物料!$T108)&lt;&gt;0)),1,0)</f>
        <v>0</v>
      </c>
      <c r="Y1308" s="3">
        <f t="shared" si="356"/>
        <v>0</v>
      </c>
      <c r="Z1308" s="3">
        <f>IF(AND($M1308=1,对接源_02物料!$D108="原料入库"),1,0)</f>
        <v>0</v>
      </c>
      <c r="AA1308" s="3">
        <f t="shared" si="357"/>
        <v>24</v>
      </c>
      <c r="AB1308" s="3">
        <f>IF(AND($M1308=1,LEFT(对接源_02物料!$D108,4)="原料出库"),1,0)</f>
        <v>0</v>
      </c>
      <c r="AC1308" s="3">
        <f t="shared" si="358"/>
        <v>0</v>
      </c>
      <c r="AD1308" s="3">
        <f>IF(AND($M1308=1,LEFT(对接源_02物料!$D108,4)="成品出库"),1,0)</f>
        <v>0</v>
      </c>
      <c r="AE1308" s="3">
        <f t="shared" si="359"/>
        <v>0</v>
      </c>
      <c r="AF1308" s="3">
        <f>IF(AND($N1308=1,AND(LEFT(对接源_02物料!$D108,4)="包装物料",N(对接源_02物料!$K108)&lt;&gt;0)),1,0)</f>
        <v>0</v>
      </c>
      <c r="AG1308" s="3">
        <f t="shared" si="360"/>
        <v>5</v>
      </c>
      <c r="AH1308" s="3">
        <f>IF(AND($N1308=1,AND(对接源_02物料!$D108="周转筐－销售出库",N(对接源_02物料!$K108)&lt;&gt;0)),1,0)</f>
        <v>0</v>
      </c>
      <c r="AI1308" s="3">
        <f t="shared" si="361"/>
        <v>0</v>
      </c>
      <c r="AL1308" s="3">
        <v>0</v>
      </c>
      <c r="AM1308" s="3">
        <f t="shared" si="362"/>
        <v>1</v>
      </c>
      <c r="AN1308" s="3" t="str">
        <f t="shared" si="349"/>
        <v/>
      </c>
      <c r="AO1308" s="3">
        <v>0</v>
      </c>
      <c r="AP1308" s="3">
        <f t="shared" si="363"/>
        <v>8</v>
      </c>
      <c r="AR1308">
        <f t="shared" si="364"/>
        <v>0</v>
      </c>
      <c r="AS1308">
        <f t="shared" si="365"/>
        <v>5</v>
      </c>
    </row>
    <row r="1309" customHeight="1" spans="1:45">
      <c r="A1309" s="3" t="str">
        <f>IF(对接源_02物料!$C109="","",对接源_02物料!$C109)</f>
        <v>全修塑业</v>
      </c>
      <c r="B1309" s="3">
        <f t="shared" si="350"/>
        <v>0</v>
      </c>
      <c r="C1309" s="3">
        <f t="shared" si="351"/>
        <v>21</v>
      </c>
      <c r="K1309" s="3">
        <f>IF(OR($K$1="",对接源_02物料!$C109="",对接源_02物料!$C109&lt;&gt;$K$1,对接源_02物料!$B109=""),0,IF(OR(N(对接源_02物料!$B109)&lt;$K$2,N(对接源_02物料!$B109)&gt;$K$3),0,1))</f>
        <v>0</v>
      </c>
      <c r="L1309" s="3">
        <f>IF(OR($L$1="",对接源_02物料!$C109="",对接源_02物料!$C109&lt;&gt;$L$1,对接源_02物料!$B109=""),0,IF(OR(N(对接源_02物料!$B109)&lt;$L$2,N(对接源_02物料!$B109)&gt;$L$3),0,1))</f>
        <v>0</v>
      </c>
      <c r="M1309" s="3">
        <f>IF(OR($M$1="",对接源_02物料!$C109="",对接源_02物料!$C109&lt;&gt;$M$1,对接源_02物料!$B109=""),0,IF(OR(N(对接源_02物料!$B109)&lt;$M$2,N(对接源_02物料!$B109)&gt;$M$3),0,1))</f>
        <v>0</v>
      </c>
      <c r="N1309" s="3">
        <f>IF(OR($N$1="",对接源_02物料!$C109="",对接源_02物料!$C109&lt;&gt;$N$1,对接源_02物料!$B109=""),0,IF(OR(N(对接源_02物料!$B109)&lt;$N$2,N(对接源_02物料!$B109)&gt;$N$3),0,1))</f>
        <v>0</v>
      </c>
      <c r="P1309" s="3">
        <f>IF(AND($K1309=1,AND(对接源_02物料!$X109="公司筐",N(对接源_02物料!$T109)&lt;&gt;0)),1,0)</f>
        <v>0</v>
      </c>
      <c r="Q1309" s="3">
        <f t="shared" si="352"/>
        <v>2</v>
      </c>
      <c r="R1309" s="3">
        <f>IF(AND($K1309=1,AND(对接源_02物料!$X109="公司筐",N(对接源_02物料!$U109)&lt;&gt;0)),1,0)</f>
        <v>0</v>
      </c>
      <c r="S1309" s="3">
        <f t="shared" si="353"/>
        <v>0</v>
      </c>
      <c r="T1309" s="3">
        <f>IF(AND($K1309=1,AND(对接源_02物料!$X109="公司筐",N(对接源_02物料!$V109)&lt;&gt;0)),1,0)</f>
        <v>0</v>
      </c>
      <c r="U1309" s="3">
        <f t="shared" si="354"/>
        <v>19</v>
      </c>
      <c r="V1309" s="3">
        <f>IF(AND($L1309=1,AND(对接源_02物料!$X109="自备筐",N(对接源_02物料!$V109)&lt;&gt;0)),1,0)</f>
        <v>0</v>
      </c>
      <c r="W1309" s="3">
        <f t="shared" si="355"/>
        <v>8</v>
      </c>
      <c r="X1309" s="3">
        <f>IF(AND($L1309=1,AND(对接源_02物料!$X109="自备筐",N(对接源_02物料!$T109)&lt;&gt;0)),1,0)</f>
        <v>0</v>
      </c>
      <c r="Y1309" s="3">
        <f t="shared" si="356"/>
        <v>0</v>
      </c>
      <c r="Z1309" s="3">
        <f>IF(AND($M1309=1,对接源_02物料!$D109="原料入库"),1,0)</f>
        <v>0</v>
      </c>
      <c r="AA1309" s="3">
        <f t="shared" si="357"/>
        <v>24</v>
      </c>
      <c r="AB1309" s="3">
        <f>IF(AND($M1309=1,LEFT(对接源_02物料!$D109,4)="原料出库"),1,0)</f>
        <v>0</v>
      </c>
      <c r="AC1309" s="3">
        <f t="shared" si="358"/>
        <v>0</v>
      </c>
      <c r="AD1309" s="3">
        <f>IF(AND($M1309=1,LEFT(对接源_02物料!$D109,4)="成品出库"),1,0)</f>
        <v>0</v>
      </c>
      <c r="AE1309" s="3">
        <f t="shared" si="359"/>
        <v>0</v>
      </c>
      <c r="AF1309" s="3">
        <f>IF(AND($N1309=1,AND(LEFT(对接源_02物料!$D109,4)="包装物料",N(对接源_02物料!$K109)&lt;&gt;0)),1,0)</f>
        <v>0</v>
      </c>
      <c r="AG1309" s="3">
        <f t="shared" si="360"/>
        <v>5</v>
      </c>
      <c r="AH1309" s="3">
        <f>IF(AND($N1309=1,AND(对接源_02物料!$D109="周转筐－销售出库",N(对接源_02物料!$K109)&lt;&gt;0)),1,0)</f>
        <v>0</v>
      </c>
      <c r="AI1309" s="3">
        <f t="shared" si="361"/>
        <v>0</v>
      </c>
      <c r="AL1309" s="3">
        <v>0</v>
      </c>
      <c r="AM1309" s="3">
        <f t="shared" si="362"/>
        <v>1</v>
      </c>
      <c r="AN1309" s="3" t="str">
        <f t="shared" si="349"/>
        <v/>
      </c>
      <c r="AO1309" s="3">
        <v>0</v>
      </c>
      <c r="AP1309" s="3">
        <f t="shared" si="363"/>
        <v>8</v>
      </c>
      <c r="AR1309">
        <f t="shared" si="364"/>
        <v>0</v>
      </c>
      <c r="AS1309">
        <f t="shared" si="365"/>
        <v>5</v>
      </c>
    </row>
    <row r="1310" customHeight="1" spans="1:45">
      <c r="A1310" s="3" t="str">
        <f>IF(对接源_02物料!$C110="","",对接源_02物料!$C110)</f>
        <v>麦麦提</v>
      </c>
      <c r="B1310" s="3">
        <f t="shared" si="350"/>
        <v>0</v>
      </c>
      <c r="C1310" s="3">
        <f t="shared" si="351"/>
        <v>21</v>
      </c>
      <c r="K1310" s="3">
        <f>IF(OR($K$1="",对接源_02物料!$C110="",对接源_02物料!$C110&lt;&gt;$K$1,对接源_02物料!$B110=""),0,IF(OR(N(对接源_02物料!$B110)&lt;$K$2,N(对接源_02物料!$B110)&gt;$K$3),0,1))</f>
        <v>0</v>
      </c>
      <c r="L1310" s="3">
        <f>IF(OR($L$1="",对接源_02物料!$C110="",对接源_02物料!$C110&lt;&gt;$L$1,对接源_02物料!$B110=""),0,IF(OR(N(对接源_02物料!$B110)&lt;$L$2,N(对接源_02物料!$B110)&gt;$L$3),0,1))</f>
        <v>0</v>
      </c>
      <c r="M1310" s="3">
        <f>IF(OR($M$1="",对接源_02物料!$C110="",对接源_02物料!$C110&lt;&gt;$M$1,对接源_02物料!$B110=""),0,IF(OR(N(对接源_02物料!$B110)&lt;$M$2,N(对接源_02物料!$B110)&gt;$M$3),0,1))</f>
        <v>0</v>
      </c>
      <c r="N1310" s="3">
        <f>IF(OR($N$1="",对接源_02物料!$C110="",对接源_02物料!$C110&lt;&gt;$N$1,对接源_02物料!$B110=""),0,IF(OR(N(对接源_02物料!$B110)&lt;$N$2,N(对接源_02物料!$B110)&gt;$N$3),0,1))</f>
        <v>0</v>
      </c>
      <c r="P1310" s="3">
        <f>IF(AND($K1310=1,AND(对接源_02物料!$X110="公司筐",N(对接源_02物料!$T110)&lt;&gt;0)),1,0)</f>
        <v>0</v>
      </c>
      <c r="Q1310" s="3">
        <f t="shared" si="352"/>
        <v>2</v>
      </c>
      <c r="R1310" s="3">
        <f>IF(AND($K1310=1,AND(对接源_02物料!$X110="公司筐",N(对接源_02物料!$U110)&lt;&gt;0)),1,0)</f>
        <v>0</v>
      </c>
      <c r="S1310" s="3">
        <f t="shared" si="353"/>
        <v>0</v>
      </c>
      <c r="T1310" s="3">
        <f>IF(AND($K1310=1,AND(对接源_02物料!$X110="公司筐",N(对接源_02物料!$V110)&lt;&gt;0)),1,0)</f>
        <v>0</v>
      </c>
      <c r="U1310" s="3">
        <f t="shared" si="354"/>
        <v>19</v>
      </c>
      <c r="V1310" s="3">
        <f>IF(AND($L1310=1,AND(对接源_02物料!$X110="自备筐",N(对接源_02物料!$V110)&lt;&gt;0)),1,0)</f>
        <v>0</v>
      </c>
      <c r="W1310" s="3">
        <f t="shared" si="355"/>
        <v>8</v>
      </c>
      <c r="X1310" s="3">
        <f>IF(AND($L1310=1,AND(对接源_02物料!$X110="自备筐",N(对接源_02物料!$T110)&lt;&gt;0)),1,0)</f>
        <v>0</v>
      </c>
      <c r="Y1310" s="3">
        <f t="shared" si="356"/>
        <v>0</v>
      </c>
      <c r="Z1310" s="3">
        <f>IF(AND($M1310=1,对接源_02物料!$D110="原料入库"),1,0)</f>
        <v>0</v>
      </c>
      <c r="AA1310" s="3">
        <f t="shared" si="357"/>
        <v>24</v>
      </c>
      <c r="AB1310" s="3">
        <f>IF(AND($M1310=1,LEFT(对接源_02物料!$D110,4)="原料出库"),1,0)</f>
        <v>0</v>
      </c>
      <c r="AC1310" s="3">
        <f t="shared" si="358"/>
        <v>0</v>
      </c>
      <c r="AD1310" s="3">
        <f>IF(AND($M1310=1,LEFT(对接源_02物料!$D110,4)="成品出库"),1,0)</f>
        <v>0</v>
      </c>
      <c r="AE1310" s="3">
        <f t="shared" si="359"/>
        <v>0</v>
      </c>
      <c r="AF1310" s="3">
        <f>IF(AND($N1310=1,AND(LEFT(对接源_02物料!$D110,4)="包装物料",N(对接源_02物料!$K110)&lt;&gt;0)),1,0)</f>
        <v>0</v>
      </c>
      <c r="AG1310" s="3">
        <f t="shared" si="360"/>
        <v>5</v>
      </c>
      <c r="AH1310" s="3">
        <f>IF(AND($N1310=1,AND(对接源_02物料!$D110="周转筐－销售出库",N(对接源_02物料!$K110)&lt;&gt;0)),1,0)</f>
        <v>0</v>
      </c>
      <c r="AI1310" s="3">
        <f t="shared" si="361"/>
        <v>0</v>
      </c>
      <c r="AL1310" s="3">
        <v>0</v>
      </c>
      <c r="AM1310" s="3">
        <f t="shared" si="362"/>
        <v>1</v>
      </c>
      <c r="AN1310" s="3" t="str">
        <f t="shared" si="349"/>
        <v/>
      </c>
      <c r="AO1310" s="3">
        <v>0</v>
      </c>
      <c r="AP1310" s="3">
        <f t="shared" si="363"/>
        <v>8</v>
      </c>
      <c r="AR1310">
        <f t="shared" si="364"/>
        <v>0</v>
      </c>
      <c r="AS1310">
        <f t="shared" si="365"/>
        <v>5</v>
      </c>
    </row>
    <row r="1311" customHeight="1" spans="1:45">
      <c r="A1311" s="3" t="str">
        <f>IF(对接源_02物料!$C111="","",对接源_02物料!$C111)</f>
        <v>全修塑业</v>
      </c>
      <c r="B1311" s="3">
        <f t="shared" si="350"/>
        <v>0</v>
      </c>
      <c r="C1311" s="3">
        <f t="shared" si="351"/>
        <v>21</v>
      </c>
      <c r="K1311" s="3">
        <f>IF(OR($K$1="",对接源_02物料!$C111="",对接源_02物料!$C111&lt;&gt;$K$1,对接源_02物料!$B111=""),0,IF(OR(N(对接源_02物料!$B111)&lt;$K$2,N(对接源_02物料!$B111)&gt;$K$3),0,1))</f>
        <v>0</v>
      </c>
      <c r="L1311" s="3">
        <f>IF(OR($L$1="",对接源_02物料!$C111="",对接源_02物料!$C111&lt;&gt;$L$1,对接源_02物料!$B111=""),0,IF(OR(N(对接源_02物料!$B111)&lt;$L$2,N(对接源_02物料!$B111)&gt;$L$3),0,1))</f>
        <v>0</v>
      </c>
      <c r="M1311" s="3">
        <f>IF(OR($M$1="",对接源_02物料!$C111="",对接源_02物料!$C111&lt;&gt;$M$1,对接源_02物料!$B111=""),0,IF(OR(N(对接源_02物料!$B111)&lt;$M$2,N(对接源_02物料!$B111)&gt;$M$3),0,1))</f>
        <v>0</v>
      </c>
      <c r="N1311" s="3">
        <f>IF(OR($N$1="",对接源_02物料!$C111="",对接源_02物料!$C111&lt;&gt;$N$1,对接源_02物料!$B111=""),0,IF(OR(N(对接源_02物料!$B111)&lt;$N$2,N(对接源_02物料!$B111)&gt;$N$3),0,1))</f>
        <v>0</v>
      </c>
      <c r="P1311" s="3">
        <f>IF(AND($K1311=1,AND(对接源_02物料!$X111="公司筐",N(对接源_02物料!$T111)&lt;&gt;0)),1,0)</f>
        <v>0</v>
      </c>
      <c r="Q1311" s="3">
        <f t="shared" si="352"/>
        <v>2</v>
      </c>
      <c r="R1311" s="3">
        <f>IF(AND($K1311=1,AND(对接源_02物料!$X111="公司筐",N(对接源_02物料!$U111)&lt;&gt;0)),1,0)</f>
        <v>0</v>
      </c>
      <c r="S1311" s="3">
        <f t="shared" si="353"/>
        <v>0</v>
      </c>
      <c r="T1311" s="3">
        <f>IF(AND($K1311=1,AND(对接源_02物料!$X111="公司筐",N(对接源_02物料!$V111)&lt;&gt;0)),1,0)</f>
        <v>0</v>
      </c>
      <c r="U1311" s="3">
        <f t="shared" si="354"/>
        <v>19</v>
      </c>
      <c r="V1311" s="3">
        <f>IF(AND($L1311=1,AND(对接源_02物料!$X111="自备筐",N(对接源_02物料!$V111)&lt;&gt;0)),1,0)</f>
        <v>0</v>
      </c>
      <c r="W1311" s="3">
        <f t="shared" si="355"/>
        <v>8</v>
      </c>
      <c r="X1311" s="3">
        <f>IF(AND($L1311=1,AND(对接源_02物料!$X111="自备筐",N(对接源_02物料!$T111)&lt;&gt;0)),1,0)</f>
        <v>0</v>
      </c>
      <c r="Y1311" s="3">
        <f t="shared" si="356"/>
        <v>0</v>
      </c>
      <c r="Z1311" s="3">
        <f>IF(AND($M1311=1,对接源_02物料!$D111="原料入库"),1,0)</f>
        <v>0</v>
      </c>
      <c r="AA1311" s="3">
        <f t="shared" si="357"/>
        <v>24</v>
      </c>
      <c r="AB1311" s="3">
        <f>IF(AND($M1311=1,LEFT(对接源_02物料!$D111,4)="原料出库"),1,0)</f>
        <v>0</v>
      </c>
      <c r="AC1311" s="3">
        <f t="shared" si="358"/>
        <v>0</v>
      </c>
      <c r="AD1311" s="3">
        <f>IF(AND($M1311=1,LEFT(对接源_02物料!$D111,4)="成品出库"),1,0)</f>
        <v>0</v>
      </c>
      <c r="AE1311" s="3">
        <f t="shared" si="359"/>
        <v>0</v>
      </c>
      <c r="AF1311" s="3">
        <f>IF(AND($N1311=1,AND(LEFT(对接源_02物料!$D111,4)="包装物料",N(对接源_02物料!$K111)&lt;&gt;0)),1,0)</f>
        <v>0</v>
      </c>
      <c r="AG1311" s="3">
        <f t="shared" si="360"/>
        <v>5</v>
      </c>
      <c r="AH1311" s="3">
        <f>IF(AND($N1311=1,AND(对接源_02物料!$D111="周转筐－销售出库",N(对接源_02物料!$K111)&lt;&gt;0)),1,0)</f>
        <v>0</v>
      </c>
      <c r="AI1311" s="3">
        <f t="shared" si="361"/>
        <v>0</v>
      </c>
      <c r="AL1311" s="3">
        <v>0</v>
      </c>
      <c r="AM1311" s="3">
        <f t="shared" si="362"/>
        <v>1</v>
      </c>
      <c r="AN1311" s="3" t="str">
        <f t="shared" si="349"/>
        <v/>
      </c>
      <c r="AO1311" s="3">
        <v>0</v>
      </c>
      <c r="AP1311" s="3">
        <f t="shared" si="363"/>
        <v>8</v>
      </c>
      <c r="AR1311">
        <f t="shared" si="364"/>
        <v>0</v>
      </c>
      <c r="AS1311">
        <f t="shared" si="365"/>
        <v>5</v>
      </c>
    </row>
    <row r="1312" customHeight="1" spans="1:45">
      <c r="A1312" s="3" t="str">
        <f>IF(对接源_02物料!$C112="","",对接源_02物料!$C112)</f>
        <v>王照雪</v>
      </c>
      <c r="B1312" s="3">
        <f t="shared" si="350"/>
        <v>0</v>
      </c>
      <c r="C1312" s="3">
        <f t="shared" si="351"/>
        <v>21</v>
      </c>
      <c r="K1312" s="3">
        <f>IF(OR($K$1="",对接源_02物料!$C112="",对接源_02物料!$C112&lt;&gt;$K$1,对接源_02物料!$B112=""),0,IF(OR(N(对接源_02物料!$B112)&lt;$K$2,N(对接源_02物料!$B112)&gt;$K$3),0,1))</f>
        <v>0</v>
      </c>
      <c r="L1312" s="3">
        <f>IF(OR($L$1="",对接源_02物料!$C112="",对接源_02物料!$C112&lt;&gt;$L$1,对接源_02物料!$B112=""),0,IF(OR(N(对接源_02物料!$B112)&lt;$L$2,N(对接源_02物料!$B112)&gt;$L$3),0,1))</f>
        <v>0</v>
      </c>
      <c r="M1312" s="3">
        <f>IF(OR($M$1="",对接源_02物料!$C112="",对接源_02物料!$C112&lt;&gt;$M$1,对接源_02物料!$B112=""),0,IF(OR(N(对接源_02物料!$B112)&lt;$M$2,N(对接源_02物料!$B112)&gt;$M$3),0,1))</f>
        <v>0</v>
      </c>
      <c r="N1312" s="3">
        <f>IF(OR($N$1="",对接源_02物料!$C112="",对接源_02物料!$C112&lt;&gt;$N$1,对接源_02物料!$B112=""),0,IF(OR(N(对接源_02物料!$B112)&lt;$N$2,N(对接源_02物料!$B112)&gt;$N$3),0,1))</f>
        <v>0</v>
      </c>
      <c r="P1312" s="3">
        <f>IF(AND($K1312=1,AND(对接源_02物料!$X112="公司筐",N(对接源_02物料!$T112)&lt;&gt;0)),1,0)</f>
        <v>0</v>
      </c>
      <c r="Q1312" s="3">
        <f t="shared" si="352"/>
        <v>2</v>
      </c>
      <c r="R1312" s="3">
        <f>IF(AND($K1312=1,AND(对接源_02物料!$X112="公司筐",N(对接源_02物料!$U112)&lt;&gt;0)),1,0)</f>
        <v>0</v>
      </c>
      <c r="S1312" s="3">
        <f t="shared" si="353"/>
        <v>0</v>
      </c>
      <c r="T1312" s="3">
        <f>IF(AND($K1312=1,AND(对接源_02物料!$X112="公司筐",N(对接源_02物料!$V112)&lt;&gt;0)),1,0)</f>
        <v>0</v>
      </c>
      <c r="U1312" s="3">
        <f t="shared" si="354"/>
        <v>19</v>
      </c>
      <c r="V1312" s="3">
        <f>IF(AND($L1312=1,AND(对接源_02物料!$X112="自备筐",N(对接源_02物料!$V112)&lt;&gt;0)),1,0)</f>
        <v>0</v>
      </c>
      <c r="W1312" s="3">
        <f t="shared" si="355"/>
        <v>8</v>
      </c>
      <c r="X1312" s="3">
        <f>IF(AND($L1312=1,AND(对接源_02物料!$X112="自备筐",N(对接源_02物料!$T112)&lt;&gt;0)),1,0)</f>
        <v>0</v>
      </c>
      <c r="Y1312" s="3">
        <f t="shared" si="356"/>
        <v>0</v>
      </c>
      <c r="Z1312" s="3">
        <f>IF(AND($M1312=1,对接源_02物料!$D112="原料入库"),1,0)</f>
        <v>0</v>
      </c>
      <c r="AA1312" s="3">
        <f t="shared" si="357"/>
        <v>24</v>
      </c>
      <c r="AB1312" s="3">
        <f>IF(AND($M1312=1,LEFT(对接源_02物料!$D112,4)="原料出库"),1,0)</f>
        <v>0</v>
      </c>
      <c r="AC1312" s="3">
        <f t="shared" si="358"/>
        <v>0</v>
      </c>
      <c r="AD1312" s="3">
        <f>IF(AND($M1312=1,LEFT(对接源_02物料!$D112,4)="成品出库"),1,0)</f>
        <v>0</v>
      </c>
      <c r="AE1312" s="3">
        <f t="shared" si="359"/>
        <v>0</v>
      </c>
      <c r="AF1312" s="3">
        <f>IF(AND($N1312=1,AND(LEFT(对接源_02物料!$D112,4)="包装物料",N(对接源_02物料!$K112)&lt;&gt;0)),1,0)</f>
        <v>0</v>
      </c>
      <c r="AG1312" s="3">
        <f t="shared" si="360"/>
        <v>5</v>
      </c>
      <c r="AH1312" s="3">
        <f>IF(AND($N1312=1,AND(对接源_02物料!$D112="周转筐－销售出库",N(对接源_02物料!$K112)&lt;&gt;0)),1,0)</f>
        <v>0</v>
      </c>
      <c r="AI1312" s="3">
        <f t="shared" si="361"/>
        <v>0</v>
      </c>
      <c r="AL1312" s="3">
        <v>0</v>
      </c>
      <c r="AM1312" s="3">
        <f t="shared" si="362"/>
        <v>1</v>
      </c>
      <c r="AN1312" s="3" t="str">
        <f t="shared" si="349"/>
        <v/>
      </c>
      <c r="AO1312" s="3">
        <v>0</v>
      </c>
      <c r="AP1312" s="3">
        <f t="shared" si="363"/>
        <v>8</v>
      </c>
      <c r="AR1312">
        <f t="shared" si="364"/>
        <v>0</v>
      </c>
      <c r="AS1312">
        <f t="shared" si="365"/>
        <v>5</v>
      </c>
    </row>
    <row r="1313" customHeight="1" spans="1:45">
      <c r="A1313" s="3" t="str">
        <f>IF(对接源_02物料!$C113="","",对接源_02物料!$C113)</f>
        <v>王灵云</v>
      </c>
      <c r="B1313" s="3">
        <f t="shared" si="350"/>
        <v>0</v>
      </c>
      <c r="C1313" s="3">
        <f t="shared" si="351"/>
        <v>21</v>
      </c>
      <c r="K1313" s="3">
        <f>IF(OR($K$1="",对接源_02物料!$C113="",对接源_02物料!$C113&lt;&gt;$K$1,对接源_02物料!$B113=""),0,IF(OR(N(对接源_02物料!$B113)&lt;$K$2,N(对接源_02物料!$B113)&gt;$K$3),0,1))</f>
        <v>1</v>
      </c>
      <c r="L1313" s="3">
        <f>IF(OR($L$1="",对接源_02物料!$C113="",对接源_02物料!$C113&lt;&gt;$L$1,对接源_02物料!$B113=""),0,IF(OR(N(对接源_02物料!$B113)&lt;$L$2,N(对接源_02物料!$B113)&gt;$L$3),0,1))</f>
        <v>0</v>
      </c>
      <c r="M1313" s="3">
        <f>IF(OR($M$1="",对接源_02物料!$C113="",对接源_02物料!$C113&lt;&gt;$M$1,对接源_02物料!$B113=""),0,IF(OR(N(对接源_02物料!$B113)&lt;$M$2,N(对接源_02物料!$B113)&gt;$M$3),0,1))</f>
        <v>0</v>
      </c>
      <c r="N1313" s="3">
        <f>IF(OR($N$1="",对接源_02物料!$C113="",对接源_02物料!$C113&lt;&gt;$N$1,对接源_02物料!$B113=""),0,IF(OR(N(对接源_02物料!$B113)&lt;$N$2,N(对接源_02物料!$B113)&gt;$N$3),0,1))</f>
        <v>0</v>
      </c>
      <c r="P1313" s="3">
        <f>IF(AND($K1313=1,AND(对接源_02物料!$X113="公司筐",N(对接源_02物料!$T113)&lt;&gt;0)),1,0)</f>
        <v>1</v>
      </c>
      <c r="Q1313" s="3">
        <f t="shared" si="352"/>
        <v>3</v>
      </c>
      <c r="R1313" s="3">
        <f>IF(AND($K1313=1,AND(对接源_02物料!$X113="公司筐",N(对接源_02物料!$U113)&lt;&gt;0)),1,0)</f>
        <v>0</v>
      </c>
      <c r="S1313" s="3">
        <f t="shared" si="353"/>
        <v>0</v>
      </c>
      <c r="T1313" s="3">
        <f>IF(AND($K1313=1,AND(对接源_02物料!$X113="公司筐",N(对接源_02物料!$V113)&lt;&gt;0)),1,0)</f>
        <v>0</v>
      </c>
      <c r="U1313" s="3">
        <f t="shared" si="354"/>
        <v>19</v>
      </c>
      <c r="V1313" s="3">
        <f>IF(AND($L1313=1,AND(对接源_02物料!$X113="自备筐",N(对接源_02物料!$V113)&lt;&gt;0)),1,0)</f>
        <v>0</v>
      </c>
      <c r="W1313" s="3">
        <f t="shared" si="355"/>
        <v>8</v>
      </c>
      <c r="X1313" s="3">
        <f>IF(AND($L1313=1,AND(对接源_02物料!$X113="自备筐",N(对接源_02物料!$T113)&lt;&gt;0)),1,0)</f>
        <v>0</v>
      </c>
      <c r="Y1313" s="3">
        <f t="shared" si="356"/>
        <v>0</v>
      </c>
      <c r="Z1313" s="3">
        <f>IF(AND($M1313=1,对接源_02物料!$D113="原料入库"),1,0)</f>
        <v>0</v>
      </c>
      <c r="AA1313" s="3">
        <f t="shared" si="357"/>
        <v>24</v>
      </c>
      <c r="AB1313" s="3">
        <f>IF(AND($M1313=1,LEFT(对接源_02物料!$D113,4)="原料出库"),1,0)</f>
        <v>0</v>
      </c>
      <c r="AC1313" s="3">
        <f t="shared" si="358"/>
        <v>0</v>
      </c>
      <c r="AD1313" s="3">
        <f>IF(AND($M1313=1,LEFT(对接源_02物料!$D113,4)="成品出库"),1,0)</f>
        <v>0</v>
      </c>
      <c r="AE1313" s="3">
        <f t="shared" si="359"/>
        <v>0</v>
      </c>
      <c r="AF1313" s="3">
        <f>IF(AND($N1313=1,AND(LEFT(对接源_02物料!$D113,4)="包装物料",N(对接源_02物料!$K113)&lt;&gt;0)),1,0)</f>
        <v>0</v>
      </c>
      <c r="AG1313" s="3">
        <f t="shared" si="360"/>
        <v>5</v>
      </c>
      <c r="AH1313" s="3">
        <f>IF(AND($N1313=1,AND(对接源_02物料!$D113="周转筐－销售出库",N(对接源_02物料!$K113)&lt;&gt;0)),1,0)</f>
        <v>0</v>
      </c>
      <c r="AI1313" s="3">
        <f t="shared" si="361"/>
        <v>0</v>
      </c>
      <c r="AL1313" s="3">
        <v>0</v>
      </c>
      <c r="AM1313" s="3">
        <f t="shared" si="362"/>
        <v>1</v>
      </c>
      <c r="AN1313" s="3" t="str">
        <f t="shared" si="349"/>
        <v/>
      </c>
      <c r="AO1313" s="3">
        <v>0</v>
      </c>
      <c r="AP1313" s="3">
        <f t="shared" si="363"/>
        <v>8</v>
      </c>
      <c r="AR1313">
        <f t="shared" si="364"/>
        <v>0</v>
      </c>
      <c r="AS1313">
        <f t="shared" si="365"/>
        <v>5</v>
      </c>
    </row>
    <row r="1314" customHeight="1" spans="1:45">
      <c r="A1314" s="3" t="str">
        <f>IF(对接源_02物料!$C114="","",对接源_02物料!$C114)</f>
        <v>马锦祥</v>
      </c>
      <c r="B1314" s="3">
        <f t="shared" si="350"/>
        <v>0</v>
      </c>
      <c r="C1314" s="3">
        <f t="shared" si="351"/>
        <v>21</v>
      </c>
      <c r="K1314" s="3">
        <f>IF(OR($K$1="",对接源_02物料!$C114="",对接源_02物料!$C114&lt;&gt;$K$1,对接源_02物料!$B114=""),0,IF(OR(N(对接源_02物料!$B114)&lt;$K$2,N(对接源_02物料!$B114)&gt;$K$3),0,1))</f>
        <v>0</v>
      </c>
      <c r="L1314" s="3">
        <f>IF(OR($L$1="",对接源_02物料!$C114="",对接源_02物料!$C114&lt;&gt;$L$1,对接源_02物料!$B114=""),0,IF(OR(N(对接源_02物料!$B114)&lt;$L$2,N(对接源_02物料!$B114)&gt;$L$3),0,1))</f>
        <v>0</v>
      </c>
      <c r="M1314" s="3">
        <f>IF(OR($M$1="",对接源_02物料!$C114="",对接源_02物料!$C114&lt;&gt;$M$1,对接源_02物料!$B114=""),0,IF(OR(N(对接源_02物料!$B114)&lt;$M$2,N(对接源_02物料!$B114)&gt;$M$3),0,1))</f>
        <v>0</v>
      </c>
      <c r="N1314" s="3">
        <f>IF(OR($N$1="",对接源_02物料!$C114="",对接源_02物料!$C114&lt;&gt;$N$1,对接源_02物料!$B114=""),0,IF(OR(N(对接源_02物料!$B114)&lt;$N$2,N(对接源_02物料!$B114)&gt;$N$3),0,1))</f>
        <v>0</v>
      </c>
      <c r="P1314" s="3">
        <f>IF(AND($K1314=1,AND(对接源_02物料!$X114="公司筐",N(对接源_02物料!$T114)&lt;&gt;0)),1,0)</f>
        <v>0</v>
      </c>
      <c r="Q1314" s="3">
        <f t="shared" si="352"/>
        <v>3</v>
      </c>
      <c r="R1314" s="3">
        <f>IF(AND($K1314=1,AND(对接源_02物料!$X114="公司筐",N(对接源_02物料!$U114)&lt;&gt;0)),1,0)</f>
        <v>0</v>
      </c>
      <c r="S1314" s="3">
        <f t="shared" si="353"/>
        <v>0</v>
      </c>
      <c r="T1314" s="3">
        <f>IF(AND($K1314=1,AND(对接源_02物料!$X114="公司筐",N(对接源_02物料!$V114)&lt;&gt;0)),1,0)</f>
        <v>0</v>
      </c>
      <c r="U1314" s="3">
        <f t="shared" si="354"/>
        <v>19</v>
      </c>
      <c r="V1314" s="3">
        <f>IF(AND($L1314=1,AND(对接源_02物料!$X114="自备筐",N(对接源_02物料!$V114)&lt;&gt;0)),1,0)</f>
        <v>0</v>
      </c>
      <c r="W1314" s="3">
        <f t="shared" si="355"/>
        <v>8</v>
      </c>
      <c r="X1314" s="3">
        <f>IF(AND($L1314=1,AND(对接源_02物料!$X114="自备筐",N(对接源_02物料!$T114)&lt;&gt;0)),1,0)</f>
        <v>0</v>
      </c>
      <c r="Y1314" s="3">
        <f t="shared" si="356"/>
        <v>0</v>
      </c>
      <c r="Z1314" s="3">
        <f>IF(AND($M1314=1,对接源_02物料!$D114="原料入库"),1,0)</f>
        <v>0</v>
      </c>
      <c r="AA1314" s="3">
        <f t="shared" si="357"/>
        <v>24</v>
      </c>
      <c r="AB1314" s="3">
        <f>IF(AND($M1314=1,LEFT(对接源_02物料!$D114,4)="原料出库"),1,0)</f>
        <v>0</v>
      </c>
      <c r="AC1314" s="3">
        <f t="shared" si="358"/>
        <v>0</v>
      </c>
      <c r="AD1314" s="3">
        <f>IF(AND($M1314=1,LEFT(对接源_02物料!$D114,4)="成品出库"),1,0)</f>
        <v>0</v>
      </c>
      <c r="AE1314" s="3">
        <f t="shared" si="359"/>
        <v>0</v>
      </c>
      <c r="AF1314" s="3">
        <f>IF(AND($N1314=1,AND(LEFT(对接源_02物料!$D114,4)="包装物料",N(对接源_02物料!$K114)&lt;&gt;0)),1,0)</f>
        <v>0</v>
      </c>
      <c r="AG1314" s="3">
        <f t="shared" si="360"/>
        <v>5</v>
      </c>
      <c r="AH1314" s="3">
        <f>IF(AND($N1314=1,AND(对接源_02物料!$D114="周转筐－销售出库",N(对接源_02物料!$K114)&lt;&gt;0)),1,0)</f>
        <v>0</v>
      </c>
      <c r="AI1314" s="3">
        <f t="shared" si="361"/>
        <v>0</v>
      </c>
      <c r="AL1314" s="3">
        <v>0</v>
      </c>
      <c r="AM1314" s="3">
        <f t="shared" si="362"/>
        <v>1</v>
      </c>
      <c r="AN1314" s="3" t="str">
        <f t="shared" si="349"/>
        <v/>
      </c>
      <c r="AO1314" s="3">
        <v>0</v>
      </c>
      <c r="AP1314" s="3">
        <f t="shared" si="363"/>
        <v>8</v>
      </c>
      <c r="AR1314">
        <f t="shared" si="364"/>
        <v>0</v>
      </c>
      <c r="AS1314">
        <f t="shared" si="365"/>
        <v>5</v>
      </c>
    </row>
    <row r="1315" customHeight="1" spans="1:45">
      <c r="A1315" s="3" t="str">
        <f>IF(对接源_02物料!$C115="","",对接源_02物料!$C115)</f>
        <v>全修塑业</v>
      </c>
      <c r="B1315" s="3">
        <f t="shared" si="350"/>
        <v>0</v>
      </c>
      <c r="C1315" s="3">
        <f t="shared" si="351"/>
        <v>21</v>
      </c>
      <c r="K1315" s="3">
        <f>IF(OR($K$1="",对接源_02物料!$C115="",对接源_02物料!$C115&lt;&gt;$K$1,对接源_02物料!$B115=""),0,IF(OR(N(对接源_02物料!$B115)&lt;$K$2,N(对接源_02物料!$B115)&gt;$K$3),0,1))</f>
        <v>0</v>
      </c>
      <c r="L1315" s="3">
        <f>IF(OR($L$1="",对接源_02物料!$C115="",对接源_02物料!$C115&lt;&gt;$L$1,对接源_02物料!$B115=""),0,IF(OR(N(对接源_02物料!$B115)&lt;$L$2,N(对接源_02物料!$B115)&gt;$L$3),0,1))</f>
        <v>0</v>
      </c>
      <c r="M1315" s="3">
        <f>IF(OR($M$1="",对接源_02物料!$C115="",对接源_02物料!$C115&lt;&gt;$M$1,对接源_02物料!$B115=""),0,IF(OR(N(对接源_02物料!$B115)&lt;$M$2,N(对接源_02物料!$B115)&gt;$M$3),0,1))</f>
        <v>0</v>
      </c>
      <c r="N1315" s="3">
        <f>IF(OR($N$1="",对接源_02物料!$C115="",对接源_02物料!$C115&lt;&gt;$N$1,对接源_02物料!$B115=""),0,IF(OR(N(对接源_02物料!$B115)&lt;$N$2,N(对接源_02物料!$B115)&gt;$N$3),0,1))</f>
        <v>0</v>
      </c>
      <c r="P1315" s="3">
        <f>IF(AND($K1315=1,AND(对接源_02物料!$X115="公司筐",N(对接源_02物料!$T115)&lt;&gt;0)),1,0)</f>
        <v>0</v>
      </c>
      <c r="Q1315" s="3">
        <f t="shared" si="352"/>
        <v>3</v>
      </c>
      <c r="R1315" s="3">
        <f>IF(AND($K1315=1,AND(对接源_02物料!$X115="公司筐",N(对接源_02物料!$U115)&lt;&gt;0)),1,0)</f>
        <v>0</v>
      </c>
      <c r="S1315" s="3">
        <f t="shared" si="353"/>
        <v>0</v>
      </c>
      <c r="T1315" s="3">
        <f>IF(AND($K1315=1,AND(对接源_02物料!$X115="公司筐",N(对接源_02物料!$V115)&lt;&gt;0)),1,0)</f>
        <v>0</v>
      </c>
      <c r="U1315" s="3">
        <f t="shared" si="354"/>
        <v>19</v>
      </c>
      <c r="V1315" s="3">
        <f>IF(AND($L1315=1,AND(对接源_02物料!$X115="自备筐",N(对接源_02物料!$V115)&lt;&gt;0)),1,0)</f>
        <v>0</v>
      </c>
      <c r="W1315" s="3">
        <f t="shared" si="355"/>
        <v>8</v>
      </c>
      <c r="X1315" s="3">
        <f>IF(AND($L1315=1,AND(对接源_02物料!$X115="自备筐",N(对接源_02物料!$T115)&lt;&gt;0)),1,0)</f>
        <v>0</v>
      </c>
      <c r="Y1315" s="3">
        <f t="shared" si="356"/>
        <v>0</v>
      </c>
      <c r="Z1315" s="3">
        <f>IF(AND($M1315=1,对接源_02物料!$D115="原料入库"),1,0)</f>
        <v>0</v>
      </c>
      <c r="AA1315" s="3">
        <f t="shared" si="357"/>
        <v>24</v>
      </c>
      <c r="AB1315" s="3">
        <f>IF(AND($M1315=1,LEFT(对接源_02物料!$D115,4)="原料出库"),1,0)</f>
        <v>0</v>
      </c>
      <c r="AC1315" s="3">
        <f t="shared" si="358"/>
        <v>0</v>
      </c>
      <c r="AD1315" s="3">
        <f>IF(AND($M1315=1,LEFT(对接源_02物料!$D115,4)="成品出库"),1,0)</f>
        <v>0</v>
      </c>
      <c r="AE1315" s="3">
        <f t="shared" si="359"/>
        <v>0</v>
      </c>
      <c r="AF1315" s="3">
        <f>IF(AND($N1315=1,AND(LEFT(对接源_02物料!$D115,4)="包装物料",N(对接源_02物料!$K115)&lt;&gt;0)),1,0)</f>
        <v>0</v>
      </c>
      <c r="AG1315" s="3">
        <f t="shared" si="360"/>
        <v>5</v>
      </c>
      <c r="AH1315" s="3">
        <f>IF(AND($N1315=1,AND(对接源_02物料!$D115="周转筐－销售出库",N(对接源_02物料!$K115)&lt;&gt;0)),1,0)</f>
        <v>0</v>
      </c>
      <c r="AI1315" s="3">
        <f t="shared" si="361"/>
        <v>0</v>
      </c>
      <c r="AL1315" s="3">
        <v>0</v>
      </c>
      <c r="AM1315" s="3">
        <f t="shared" si="362"/>
        <v>1</v>
      </c>
      <c r="AN1315" s="3" t="str">
        <f t="shared" si="349"/>
        <v/>
      </c>
      <c r="AO1315" s="3">
        <v>0</v>
      </c>
      <c r="AP1315" s="3">
        <f t="shared" si="363"/>
        <v>8</v>
      </c>
      <c r="AR1315">
        <f t="shared" si="364"/>
        <v>0</v>
      </c>
      <c r="AS1315">
        <f t="shared" si="365"/>
        <v>5</v>
      </c>
    </row>
    <row r="1316" customHeight="1" spans="1:45">
      <c r="A1316" s="3" t="str">
        <f>IF(对接源_02物料!$C116="","",对接源_02物料!$C116)</f>
        <v>王灵云</v>
      </c>
      <c r="B1316" s="3">
        <f t="shared" si="350"/>
        <v>0</v>
      </c>
      <c r="C1316" s="3">
        <f t="shared" si="351"/>
        <v>21</v>
      </c>
      <c r="K1316" s="3">
        <f>IF(OR($K$1="",对接源_02物料!$C116="",对接源_02物料!$C116&lt;&gt;$K$1,对接源_02物料!$B116=""),0,IF(OR(N(对接源_02物料!$B116)&lt;$K$2,N(对接源_02物料!$B116)&gt;$K$3),0,1))</f>
        <v>1</v>
      </c>
      <c r="L1316" s="3">
        <f>IF(OR($L$1="",对接源_02物料!$C116="",对接源_02物料!$C116&lt;&gt;$L$1,对接源_02物料!$B116=""),0,IF(OR(N(对接源_02物料!$B116)&lt;$L$2,N(对接源_02物料!$B116)&gt;$L$3),0,1))</f>
        <v>0</v>
      </c>
      <c r="M1316" s="3">
        <f>IF(OR($M$1="",对接源_02物料!$C116="",对接源_02物料!$C116&lt;&gt;$M$1,对接源_02物料!$B116=""),0,IF(OR(N(对接源_02物料!$B116)&lt;$M$2,N(对接源_02物料!$B116)&gt;$M$3),0,1))</f>
        <v>0</v>
      </c>
      <c r="N1316" s="3">
        <f>IF(OR($N$1="",对接源_02物料!$C116="",对接源_02物料!$C116&lt;&gt;$N$1,对接源_02物料!$B116=""),0,IF(OR(N(对接源_02物料!$B116)&lt;$N$2,N(对接源_02物料!$B116)&gt;$N$3),0,1))</f>
        <v>0</v>
      </c>
      <c r="P1316" s="3">
        <f>IF(AND($K1316=1,AND(对接源_02物料!$X116="公司筐",N(对接源_02物料!$T116)&lt;&gt;0)),1,0)</f>
        <v>1</v>
      </c>
      <c r="Q1316" s="3">
        <f t="shared" si="352"/>
        <v>4</v>
      </c>
      <c r="R1316" s="3">
        <f>IF(AND($K1316=1,AND(对接源_02物料!$X116="公司筐",N(对接源_02物料!$U116)&lt;&gt;0)),1,0)</f>
        <v>0</v>
      </c>
      <c r="S1316" s="3">
        <f t="shared" si="353"/>
        <v>0</v>
      </c>
      <c r="T1316" s="3">
        <f>IF(AND($K1316=1,AND(对接源_02物料!$X116="公司筐",N(对接源_02物料!$V116)&lt;&gt;0)),1,0)</f>
        <v>0</v>
      </c>
      <c r="U1316" s="3">
        <f t="shared" si="354"/>
        <v>19</v>
      </c>
      <c r="V1316" s="3">
        <f>IF(AND($L1316=1,AND(对接源_02物料!$X116="自备筐",N(对接源_02物料!$V116)&lt;&gt;0)),1,0)</f>
        <v>0</v>
      </c>
      <c r="W1316" s="3">
        <f t="shared" si="355"/>
        <v>8</v>
      </c>
      <c r="X1316" s="3">
        <f>IF(AND($L1316=1,AND(对接源_02物料!$X116="自备筐",N(对接源_02物料!$T116)&lt;&gt;0)),1,0)</f>
        <v>0</v>
      </c>
      <c r="Y1316" s="3">
        <f t="shared" si="356"/>
        <v>0</v>
      </c>
      <c r="Z1316" s="3">
        <f>IF(AND($M1316=1,对接源_02物料!$D116="原料入库"),1,0)</f>
        <v>0</v>
      </c>
      <c r="AA1316" s="3">
        <f t="shared" si="357"/>
        <v>24</v>
      </c>
      <c r="AB1316" s="3">
        <f>IF(AND($M1316=1,LEFT(对接源_02物料!$D116,4)="原料出库"),1,0)</f>
        <v>0</v>
      </c>
      <c r="AC1316" s="3">
        <f t="shared" si="358"/>
        <v>0</v>
      </c>
      <c r="AD1316" s="3">
        <f>IF(AND($M1316=1,LEFT(对接源_02物料!$D116,4)="成品出库"),1,0)</f>
        <v>0</v>
      </c>
      <c r="AE1316" s="3">
        <f t="shared" si="359"/>
        <v>0</v>
      </c>
      <c r="AF1316" s="3">
        <f>IF(AND($N1316=1,AND(LEFT(对接源_02物料!$D116,4)="包装物料",N(对接源_02物料!$K116)&lt;&gt;0)),1,0)</f>
        <v>0</v>
      </c>
      <c r="AG1316" s="3">
        <f t="shared" si="360"/>
        <v>5</v>
      </c>
      <c r="AH1316" s="3">
        <f>IF(AND($N1316=1,AND(对接源_02物料!$D116="周转筐－销售出库",N(对接源_02物料!$K116)&lt;&gt;0)),1,0)</f>
        <v>0</v>
      </c>
      <c r="AI1316" s="3">
        <f t="shared" si="361"/>
        <v>0</v>
      </c>
      <c r="AL1316" s="3">
        <v>0</v>
      </c>
      <c r="AM1316" s="3">
        <f t="shared" si="362"/>
        <v>1</v>
      </c>
      <c r="AN1316" s="3" t="str">
        <f t="shared" si="349"/>
        <v/>
      </c>
      <c r="AO1316" s="3">
        <v>0</v>
      </c>
      <c r="AP1316" s="3">
        <f t="shared" si="363"/>
        <v>8</v>
      </c>
      <c r="AR1316">
        <f t="shared" si="364"/>
        <v>0</v>
      </c>
      <c r="AS1316">
        <f t="shared" si="365"/>
        <v>5</v>
      </c>
    </row>
    <row r="1317" customHeight="1" spans="1:45">
      <c r="A1317" s="3" t="str">
        <f>IF(对接源_02物料!$C117="","",对接源_02物料!$C117)</f>
        <v>李现东</v>
      </c>
      <c r="B1317" s="3">
        <f t="shared" si="350"/>
        <v>0</v>
      </c>
      <c r="C1317" s="3">
        <f t="shared" si="351"/>
        <v>21</v>
      </c>
      <c r="K1317" s="3">
        <f>IF(OR($K$1="",对接源_02物料!$C117="",对接源_02物料!$C117&lt;&gt;$K$1,对接源_02物料!$B117=""),0,IF(OR(N(对接源_02物料!$B117)&lt;$K$2,N(对接源_02物料!$B117)&gt;$K$3),0,1))</f>
        <v>0</v>
      </c>
      <c r="L1317" s="3">
        <f>IF(OR($L$1="",对接源_02物料!$C117="",对接源_02物料!$C117&lt;&gt;$L$1,对接源_02物料!$B117=""),0,IF(OR(N(对接源_02物料!$B117)&lt;$L$2,N(对接源_02物料!$B117)&gt;$L$3),0,1))</f>
        <v>0</v>
      </c>
      <c r="M1317" s="3">
        <f>IF(OR($M$1="",对接源_02物料!$C117="",对接源_02物料!$C117&lt;&gt;$M$1,对接源_02物料!$B117=""),0,IF(OR(N(对接源_02物料!$B117)&lt;$M$2,N(对接源_02物料!$B117)&gt;$M$3),0,1))</f>
        <v>0</v>
      </c>
      <c r="N1317" s="3">
        <f>IF(OR($N$1="",对接源_02物料!$C117="",对接源_02物料!$C117&lt;&gt;$N$1,对接源_02物料!$B117=""),0,IF(OR(N(对接源_02物料!$B117)&lt;$N$2,N(对接源_02物料!$B117)&gt;$N$3),0,1))</f>
        <v>0</v>
      </c>
      <c r="P1317" s="3">
        <f>IF(AND($K1317=1,AND(对接源_02物料!$X117="公司筐",N(对接源_02物料!$T117)&lt;&gt;0)),1,0)</f>
        <v>0</v>
      </c>
      <c r="Q1317" s="3">
        <f t="shared" si="352"/>
        <v>4</v>
      </c>
      <c r="R1317" s="3">
        <f>IF(AND($K1317=1,AND(对接源_02物料!$X117="公司筐",N(对接源_02物料!$U117)&lt;&gt;0)),1,0)</f>
        <v>0</v>
      </c>
      <c r="S1317" s="3">
        <f t="shared" si="353"/>
        <v>0</v>
      </c>
      <c r="T1317" s="3">
        <f>IF(AND($K1317=1,AND(对接源_02物料!$X117="公司筐",N(对接源_02物料!$V117)&lt;&gt;0)),1,0)</f>
        <v>0</v>
      </c>
      <c r="U1317" s="3">
        <f t="shared" si="354"/>
        <v>19</v>
      </c>
      <c r="V1317" s="3">
        <f>IF(AND($L1317=1,AND(对接源_02物料!$X117="自备筐",N(对接源_02物料!$V117)&lt;&gt;0)),1,0)</f>
        <v>0</v>
      </c>
      <c r="W1317" s="3">
        <f t="shared" si="355"/>
        <v>8</v>
      </c>
      <c r="X1317" s="3">
        <f>IF(AND($L1317=1,AND(对接源_02物料!$X117="自备筐",N(对接源_02物料!$T117)&lt;&gt;0)),1,0)</f>
        <v>0</v>
      </c>
      <c r="Y1317" s="3">
        <f t="shared" si="356"/>
        <v>0</v>
      </c>
      <c r="Z1317" s="3">
        <f>IF(AND($M1317=1,对接源_02物料!$D117="原料入库"),1,0)</f>
        <v>0</v>
      </c>
      <c r="AA1317" s="3">
        <f t="shared" si="357"/>
        <v>24</v>
      </c>
      <c r="AB1317" s="3">
        <f>IF(AND($M1317=1,LEFT(对接源_02物料!$D117,4)="原料出库"),1,0)</f>
        <v>0</v>
      </c>
      <c r="AC1317" s="3">
        <f t="shared" si="358"/>
        <v>0</v>
      </c>
      <c r="AD1317" s="3">
        <f>IF(AND($M1317=1,LEFT(对接源_02物料!$D117,4)="成品出库"),1,0)</f>
        <v>0</v>
      </c>
      <c r="AE1317" s="3">
        <f t="shared" si="359"/>
        <v>0</v>
      </c>
      <c r="AF1317" s="3">
        <f>IF(AND($N1317=1,AND(LEFT(对接源_02物料!$D117,4)="包装物料",N(对接源_02物料!$K117)&lt;&gt;0)),1,0)</f>
        <v>0</v>
      </c>
      <c r="AG1317" s="3">
        <f t="shared" si="360"/>
        <v>5</v>
      </c>
      <c r="AH1317" s="3">
        <f>IF(AND($N1317=1,AND(对接源_02物料!$D117="周转筐－销售出库",N(对接源_02物料!$K117)&lt;&gt;0)),1,0)</f>
        <v>0</v>
      </c>
      <c r="AI1317" s="3">
        <f t="shared" si="361"/>
        <v>0</v>
      </c>
      <c r="AL1317" s="3">
        <v>0</v>
      </c>
      <c r="AM1317" s="3">
        <f t="shared" si="362"/>
        <v>1</v>
      </c>
      <c r="AN1317" s="3" t="str">
        <f t="shared" si="349"/>
        <v/>
      </c>
      <c r="AO1317" s="3">
        <v>0</v>
      </c>
      <c r="AP1317" s="3">
        <f t="shared" si="363"/>
        <v>8</v>
      </c>
      <c r="AR1317">
        <f t="shared" si="364"/>
        <v>0</v>
      </c>
      <c r="AS1317">
        <f t="shared" si="365"/>
        <v>5</v>
      </c>
    </row>
    <row r="1318" customHeight="1" spans="1:45">
      <c r="A1318" s="3" t="str">
        <f>IF(对接源_02物料!$C118="","",对接源_02物料!$C118)</f>
        <v>李现东</v>
      </c>
      <c r="B1318" s="3">
        <f t="shared" si="350"/>
        <v>0</v>
      </c>
      <c r="C1318" s="3">
        <f t="shared" si="351"/>
        <v>21</v>
      </c>
      <c r="K1318" s="3">
        <f>IF(OR($K$1="",对接源_02物料!$C118="",对接源_02物料!$C118&lt;&gt;$K$1,对接源_02物料!$B118=""),0,IF(OR(N(对接源_02物料!$B118)&lt;$K$2,N(对接源_02物料!$B118)&gt;$K$3),0,1))</f>
        <v>0</v>
      </c>
      <c r="L1318" s="3">
        <f>IF(OR($L$1="",对接源_02物料!$C118="",对接源_02物料!$C118&lt;&gt;$L$1,对接源_02物料!$B118=""),0,IF(OR(N(对接源_02物料!$B118)&lt;$L$2,N(对接源_02物料!$B118)&gt;$L$3),0,1))</f>
        <v>0</v>
      </c>
      <c r="M1318" s="3">
        <f>IF(OR($M$1="",对接源_02物料!$C118="",对接源_02物料!$C118&lt;&gt;$M$1,对接源_02物料!$B118=""),0,IF(OR(N(对接源_02物料!$B118)&lt;$M$2,N(对接源_02物料!$B118)&gt;$M$3),0,1))</f>
        <v>0</v>
      </c>
      <c r="N1318" s="3">
        <f>IF(OR($N$1="",对接源_02物料!$C118="",对接源_02物料!$C118&lt;&gt;$N$1,对接源_02物料!$B118=""),0,IF(OR(N(对接源_02物料!$B118)&lt;$N$2,N(对接源_02物料!$B118)&gt;$N$3),0,1))</f>
        <v>0</v>
      </c>
      <c r="P1318" s="3">
        <f>IF(AND($K1318=1,AND(对接源_02物料!$X118="公司筐",N(对接源_02物料!$T118)&lt;&gt;0)),1,0)</f>
        <v>0</v>
      </c>
      <c r="Q1318" s="3">
        <f t="shared" si="352"/>
        <v>4</v>
      </c>
      <c r="R1318" s="3">
        <f>IF(AND($K1318=1,AND(对接源_02物料!$X118="公司筐",N(对接源_02物料!$U118)&lt;&gt;0)),1,0)</f>
        <v>0</v>
      </c>
      <c r="S1318" s="3">
        <f t="shared" si="353"/>
        <v>0</v>
      </c>
      <c r="T1318" s="3">
        <f>IF(AND($K1318=1,AND(对接源_02物料!$X118="公司筐",N(对接源_02物料!$V118)&lt;&gt;0)),1,0)</f>
        <v>0</v>
      </c>
      <c r="U1318" s="3">
        <f t="shared" si="354"/>
        <v>19</v>
      </c>
      <c r="V1318" s="3">
        <f>IF(AND($L1318=1,AND(对接源_02物料!$X118="自备筐",N(对接源_02物料!$V118)&lt;&gt;0)),1,0)</f>
        <v>0</v>
      </c>
      <c r="W1318" s="3">
        <f t="shared" si="355"/>
        <v>8</v>
      </c>
      <c r="X1318" s="3">
        <f>IF(AND($L1318=1,AND(对接源_02物料!$X118="自备筐",N(对接源_02物料!$T118)&lt;&gt;0)),1,0)</f>
        <v>0</v>
      </c>
      <c r="Y1318" s="3">
        <f t="shared" si="356"/>
        <v>0</v>
      </c>
      <c r="Z1318" s="3">
        <f>IF(AND($M1318=1,对接源_02物料!$D118="原料入库"),1,0)</f>
        <v>0</v>
      </c>
      <c r="AA1318" s="3">
        <f t="shared" si="357"/>
        <v>24</v>
      </c>
      <c r="AB1318" s="3">
        <f>IF(AND($M1318=1,LEFT(对接源_02物料!$D118,4)="原料出库"),1,0)</f>
        <v>0</v>
      </c>
      <c r="AC1318" s="3">
        <f t="shared" si="358"/>
        <v>0</v>
      </c>
      <c r="AD1318" s="3">
        <f>IF(AND($M1318=1,LEFT(对接源_02物料!$D118,4)="成品出库"),1,0)</f>
        <v>0</v>
      </c>
      <c r="AE1318" s="3">
        <f t="shared" si="359"/>
        <v>0</v>
      </c>
      <c r="AF1318" s="3">
        <f>IF(AND($N1318=1,AND(LEFT(对接源_02物料!$D118,4)="包装物料",N(对接源_02物料!$K118)&lt;&gt;0)),1,0)</f>
        <v>0</v>
      </c>
      <c r="AG1318" s="3">
        <f t="shared" si="360"/>
        <v>5</v>
      </c>
      <c r="AH1318" s="3">
        <f>IF(AND($N1318=1,AND(对接源_02物料!$D118="周转筐－销售出库",N(对接源_02物料!$K118)&lt;&gt;0)),1,0)</f>
        <v>0</v>
      </c>
      <c r="AI1318" s="3">
        <f t="shared" si="361"/>
        <v>0</v>
      </c>
      <c r="AL1318" s="3">
        <v>0</v>
      </c>
      <c r="AM1318" s="3">
        <f t="shared" si="362"/>
        <v>1</v>
      </c>
      <c r="AN1318" s="3" t="str">
        <f t="shared" si="349"/>
        <v/>
      </c>
      <c r="AO1318" s="3">
        <v>0</v>
      </c>
      <c r="AP1318" s="3">
        <f t="shared" si="363"/>
        <v>8</v>
      </c>
      <c r="AR1318">
        <f t="shared" si="364"/>
        <v>0</v>
      </c>
      <c r="AS1318">
        <f t="shared" si="365"/>
        <v>5</v>
      </c>
    </row>
    <row r="1319" customHeight="1" spans="1:45">
      <c r="A1319" s="3" t="str">
        <f>IF(对接源_02物料!$C119="","",对接源_02物料!$C119)</f>
        <v>全修塑业</v>
      </c>
      <c r="B1319" s="3">
        <f t="shared" si="350"/>
        <v>0</v>
      </c>
      <c r="C1319" s="3">
        <f t="shared" si="351"/>
        <v>21</v>
      </c>
      <c r="K1319" s="3">
        <f>IF(OR($K$1="",对接源_02物料!$C119="",对接源_02物料!$C119&lt;&gt;$K$1,对接源_02物料!$B119=""),0,IF(OR(N(对接源_02物料!$B119)&lt;$K$2,N(对接源_02物料!$B119)&gt;$K$3),0,1))</f>
        <v>0</v>
      </c>
      <c r="L1319" s="3">
        <f>IF(OR($L$1="",对接源_02物料!$C119="",对接源_02物料!$C119&lt;&gt;$L$1,对接源_02物料!$B119=""),0,IF(OR(N(对接源_02物料!$B119)&lt;$L$2,N(对接源_02物料!$B119)&gt;$L$3),0,1))</f>
        <v>0</v>
      </c>
      <c r="M1319" s="3">
        <f>IF(OR($M$1="",对接源_02物料!$C119="",对接源_02物料!$C119&lt;&gt;$M$1,对接源_02物料!$B119=""),0,IF(OR(N(对接源_02物料!$B119)&lt;$M$2,N(对接源_02物料!$B119)&gt;$M$3),0,1))</f>
        <v>0</v>
      </c>
      <c r="N1319" s="3">
        <f>IF(OR($N$1="",对接源_02物料!$C119="",对接源_02物料!$C119&lt;&gt;$N$1,对接源_02物料!$B119=""),0,IF(OR(N(对接源_02物料!$B119)&lt;$N$2,N(对接源_02物料!$B119)&gt;$N$3),0,1))</f>
        <v>0</v>
      </c>
      <c r="P1319" s="3">
        <f>IF(AND($K1319=1,AND(对接源_02物料!$X119="公司筐",N(对接源_02物料!$T119)&lt;&gt;0)),1,0)</f>
        <v>0</v>
      </c>
      <c r="Q1319" s="3">
        <f t="shared" si="352"/>
        <v>4</v>
      </c>
      <c r="R1319" s="3">
        <f>IF(AND($K1319=1,AND(对接源_02物料!$X119="公司筐",N(对接源_02物料!$U119)&lt;&gt;0)),1,0)</f>
        <v>0</v>
      </c>
      <c r="S1319" s="3">
        <f t="shared" si="353"/>
        <v>0</v>
      </c>
      <c r="T1319" s="3">
        <f>IF(AND($K1319=1,AND(对接源_02物料!$X119="公司筐",N(对接源_02物料!$V119)&lt;&gt;0)),1,0)</f>
        <v>0</v>
      </c>
      <c r="U1319" s="3">
        <f t="shared" si="354"/>
        <v>19</v>
      </c>
      <c r="V1319" s="3">
        <f>IF(AND($L1319=1,AND(对接源_02物料!$X119="自备筐",N(对接源_02物料!$V119)&lt;&gt;0)),1,0)</f>
        <v>0</v>
      </c>
      <c r="W1319" s="3">
        <f t="shared" si="355"/>
        <v>8</v>
      </c>
      <c r="X1319" s="3">
        <f>IF(AND($L1319=1,AND(对接源_02物料!$X119="自备筐",N(对接源_02物料!$T119)&lt;&gt;0)),1,0)</f>
        <v>0</v>
      </c>
      <c r="Y1319" s="3">
        <f t="shared" si="356"/>
        <v>0</v>
      </c>
      <c r="Z1319" s="3">
        <f>IF(AND($M1319=1,对接源_02物料!$D119="原料入库"),1,0)</f>
        <v>0</v>
      </c>
      <c r="AA1319" s="3">
        <f t="shared" si="357"/>
        <v>24</v>
      </c>
      <c r="AB1319" s="3">
        <f>IF(AND($M1319=1,LEFT(对接源_02物料!$D119,4)="原料出库"),1,0)</f>
        <v>0</v>
      </c>
      <c r="AC1319" s="3">
        <f t="shared" si="358"/>
        <v>0</v>
      </c>
      <c r="AD1319" s="3">
        <f>IF(AND($M1319=1,LEFT(对接源_02物料!$D119,4)="成品出库"),1,0)</f>
        <v>0</v>
      </c>
      <c r="AE1319" s="3">
        <f t="shared" si="359"/>
        <v>0</v>
      </c>
      <c r="AF1319" s="3">
        <f>IF(AND($N1319=1,AND(LEFT(对接源_02物料!$D119,4)="包装物料",N(对接源_02物料!$K119)&lt;&gt;0)),1,0)</f>
        <v>0</v>
      </c>
      <c r="AG1319" s="3">
        <f t="shared" si="360"/>
        <v>5</v>
      </c>
      <c r="AH1319" s="3">
        <f>IF(AND($N1319=1,AND(对接源_02物料!$D119="周转筐－销售出库",N(对接源_02物料!$K119)&lt;&gt;0)),1,0)</f>
        <v>0</v>
      </c>
      <c r="AI1319" s="3">
        <f t="shared" si="361"/>
        <v>0</v>
      </c>
      <c r="AL1319" s="3">
        <v>0</v>
      </c>
      <c r="AM1319" s="3">
        <f t="shared" si="362"/>
        <v>1</v>
      </c>
      <c r="AN1319" s="3" t="str">
        <f t="shared" si="349"/>
        <v/>
      </c>
      <c r="AO1319" s="3">
        <v>0</v>
      </c>
      <c r="AP1319" s="3">
        <f t="shared" si="363"/>
        <v>8</v>
      </c>
      <c r="AR1319">
        <f t="shared" si="364"/>
        <v>0</v>
      </c>
      <c r="AS1319">
        <f t="shared" si="365"/>
        <v>5</v>
      </c>
    </row>
    <row r="1320" customHeight="1" spans="1:45">
      <c r="A1320" s="3" t="str">
        <f>IF(对接源_02物料!$C120="","",对接源_02物料!$C120)</f>
        <v>努尔敦</v>
      </c>
      <c r="B1320" s="3">
        <f t="shared" si="350"/>
        <v>0</v>
      </c>
      <c r="C1320" s="3">
        <f t="shared" si="351"/>
        <v>21</v>
      </c>
      <c r="K1320" s="3">
        <f>IF(OR($K$1="",对接源_02物料!$C120="",对接源_02物料!$C120&lt;&gt;$K$1,对接源_02物料!$B120=""),0,IF(OR(N(对接源_02物料!$B120)&lt;$K$2,N(对接源_02物料!$B120)&gt;$K$3),0,1))</f>
        <v>0</v>
      </c>
      <c r="L1320" s="3">
        <f>IF(OR($L$1="",对接源_02物料!$C120="",对接源_02物料!$C120&lt;&gt;$L$1,对接源_02物料!$B120=""),0,IF(OR(N(对接源_02物料!$B120)&lt;$L$2,N(对接源_02物料!$B120)&gt;$L$3),0,1))</f>
        <v>0</v>
      </c>
      <c r="M1320" s="3">
        <f>IF(OR($M$1="",对接源_02物料!$C120="",对接源_02物料!$C120&lt;&gt;$M$1,对接源_02物料!$B120=""),0,IF(OR(N(对接源_02物料!$B120)&lt;$M$2,N(对接源_02物料!$B120)&gt;$M$3),0,1))</f>
        <v>0</v>
      </c>
      <c r="N1320" s="3">
        <f>IF(OR($N$1="",对接源_02物料!$C120="",对接源_02物料!$C120&lt;&gt;$N$1,对接源_02物料!$B120=""),0,IF(OR(N(对接源_02物料!$B120)&lt;$N$2,N(对接源_02物料!$B120)&gt;$N$3),0,1))</f>
        <v>0</v>
      </c>
      <c r="P1320" s="3">
        <f>IF(AND($K1320=1,AND(对接源_02物料!$X120="公司筐",N(对接源_02物料!$T120)&lt;&gt;0)),1,0)</f>
        <v>0</v>
      </c>
      <c r="Q1320" s="3">
        <f t="shared" si="352"/>
        <v>4</v>
      </c>
      <c r="R1320" s="3">
        <f>IF(AND($K1320=1,AND(对接源_02物料!$X120="公司筐",N(对接源_02物料!$U120)&lt;&gt;0)),1,0)</f>
        <v>0</v>
      </c>
      <c r="S1320" s="3">
        <f t="shared" si="353"/>
        <v>0</v>
      </c>
      <c r="T1320" s="3">
        <f>IF(AND($K1320=1,AND(对接源_02物料!$X120="公司筐",N(对接源_02物料!$V120)&lt;&gt;0)),1,0)</f>
        <v>0</v>
      </c>
      <c r="U1320" s="3">
        <f t="shared" si="354"/>
        <v>19</v>
      </c>
      <c r="V1320" s="3">
        <f>IF(AND($L1320=1,AND(对接源_02物料!$X120="自备筐",N(对接源_02物料!$V120)&lt;&gt;0)),1,0)</f>
        <v>0</v>
      </c>
      <c r="W1320" s="3">
        <f t="shared" si="355"/>
        <v>8</v>
      </c>
      <c r="X1320" s="3">
        <f>IF(AND($L1320=1,AND(对接源_02物料!$X120="自备筐",N(对接源_02物料!$T120)&lt;&gt;0)),1,0)</f>
        <v>0</v>
      </c>
      <c r="Y1320" s="3">
        <f t="shared" si="356"/>
        <v>0</v>
      </c>
      <c r="Z1320" s="3">
        <f>IF(AND($M1320=1,对接源_02物料!$D120="原料入库"),1,0)</f>
        <v>0</v>
      </c>
      <c r="AA1320" s="3">
        <f t="shared" si="357"/>
        <v>24</v>
      </c>
      <c r="AB1320" s="3">
        <f>IF(AND($M1320=1,LEFT(对接源_02物料!$D120,4)="原料出库"),1,0)</f>
        <v>0</v>
      </c>
      <c r="AC1320" s="3">
        <f t="shared" si="358"/>
        <v>0</v>
      </c>
      <c r="AD1320" s="3">
        <f>IF(AND($M1320=1,LEFT(对接源_02物料!$D120,4)="成品出库"),1,0)</f>
        <v>0</v>
      </c>
      <c r="AE1320" s="3">
        <f t="shared" si="359"/>
        <v>0</v>
      </c>
      <c r="AF1320" s="3">
        <f>IF(AND($N1320=1,AND(LEFT(对接源_02物料!$D120,4)="包装物料",N(对接源_02物料!$K120)&lt;&gt;0)),1,0)</f>
        <v>0</v>
      </c>
      <c r="AG1320" s="3">
        <f t="shared" si="360"/>
        <v>5</v>
      </c>
      <c r="AH1320" s="3">
        <f>IF(AND($N1320=1,AND(对接源_02物料!$D120="周转筐－销售出库",N(对接源_02物料!$K120)&lt;&gt;0)),1,0)</f>
        <v>0</v>
      </c>
      <c r="AI1320" s="3">
        <f t="shared" si="361"/>
        <v>0</v>
      </c>
      <c r="AL1320" s="3">
        <v>0</v>
      </c>
      <c r="AM1320" s="3">
        <f t="shared" si="362"/>
        <v>1</v>
      </c>
      <c r="AN1320" s="3" t="str">
        <f t="shared" si="349"/>
        <v/>
      </c>
      <c r="AO1320" s="3">
        <v>0</v>
      </c>
      <c r="AP1320" s="3">
        <f t="shared" si="363"/>
        <v>8</v>
      </c>
      <c r="AR1320">
        <f t="shared" si="364"/>
        <v>0</v>
      </c>
      <c r="AS1320">
        <f t="shared" si="365"/>
        <v>5</v>
      </c>
    </row>
    <row r="1321" customHeight="1" spans="1:45">
      <c r="A1321" s="3" t="str">
        <f>IF(对接源_02物料!$C121="","",对接源_02物料!$C121)</f>
        <v>全修塑业</v>
      </c>
      <c r="B1321" s="3">
        <f t="shared" si="350"/>
        <v>0</v>
      </c>
      <c r="C1321" s="3">
        <f t="shared" si="351"/>
        <v>21</v>
      </c>
      <c r="K1321" s="3">
        <f>IF(OR($K$1="",对接源_02物料!$C121="",对接源_02物料!$C121&lt;&gt;$K$1,对接源_02物料!$B121=""),0,IF(OR(N(对接源_02物料!$B121)&lt;$K$2,N(对接源_02物料!$B121)&gt;$K$3),0,1))</f>
        <v>0</v>
      </c>
      <c r="L1321" s="3">
        <f>IF(OR($L$1="",对接源_02物料!$C121="",对接源_02物料!$C121&lt;&gt;$L$1,对接源_02物料!$B121=""),0,IF(OR(N(对接源_02物料!$B121)&lt;$L$2,N(对接源_02物料!$B121)&gt;$L$3),0,1))</f>
        <v>0</v>
      </c>
      <c r="M1321" s="3">
        <f>IF(OR($M$1="",对接源_02物料!$C121="",对接源_02物料!$C121&lt;&gt;$M$1,对接源_02物料!$B121=""),0,IF(OR(N(对接源_02物料!$B121)&lt;$M$2,N(对接源_02物料!$B121)&gt;$M$3),0,1))</f>
        <v>0</v>
      </c>
      <c r="N1321" s="3">
        <f>IF(OR($N$1="",对接源_02物料!$C121="",对接源_02物料!$C121&lt;&gt;$N$1,对接源_02物料!$B121=""),0,IF(OR(N(对接源_02物料!$B121)&lt;$N$2,N(对接源_02物料!$B121)&gt;$N$3),0,1))</f>
        <v>0</v>
      </c>
      <c r="P1321" s="3">
        <f>IF(AND($K1321=1,AND(对接源_02物料!$X121="公司筐",N(对接源_02物料!$T121)&lt;&gt;0)),1,0)</f>
        <v>0</v>
      </c>
      <c r="Q1321" s="3">
        <f t="shared" si="352"/>
        <v>4</v>
      </c>
      <c r="R1321" s="3">
        <f>IF(AND($K1321=1,AND(对接源_02物料!$X121="公司筐",N(对接源_02物料!$U121)&lt;&gt;0)),1,0)</f>
        <v>0</v>
      </c>
      <c r="S1321" s="3">
        <f t="shared" si="353"/>
        <v>0</v>
      </c>
      <c r="T1321" s="3">
        <f>IF(AND($K1321=1,AND(对接源_02物料!$X121="公司筐",N(对接源_02物料!$V121)&lt;&gt;0)),1,0)</f>
        <v>0</v>
      </c>
      <c r="U1321" s="3">
        <f t="shared" si="354"/>
        <v>19</v>
      </c>
      <c r="V1321" s="3">
        <f>IF(AND($L1321=1,AND(对接源_02物料!$X121="自备筐",N(对接源_02物料!$V121)&lt;&gt;0)),1,0)</f>
        <v>0</v>
      </c>
      <c r="W1321" s="3">
        <f t="shared" si="355"/>
        <v>8</v>
      </c>
      <c r="X1321" s="3">
        <f>IF(AND($L1321=1,AND(对接源_02物料!$X121="自备筐",N(对接源_02物料!$T121)&lt;&gt;0)),1,0)</f>
        <v>0</v>
      </c>
      <c r="Y1321" s="3">
        <f t="shared" si="356"/>
        <v>0</v>
      </c>
      <c r="Z1321" s="3">
        <f>IF(AND($M1321=1,对接源_02物料!$D121="原料入库"),1,0)</f>
        <v>0</v>
      </c>
      <c r="AA1321" s="3">
        <f t="shared" si="357"/>
        <v>24</v>
      </c>
      <c r="AB1321" s="3">
        <f>IF(AND($M1321=1,LEFT(对接源_02物料!$D121,4)="原料出库"),1,0)</f>
        <v>0</v>
      </c>
      <c r="AC1321" s="3">
        <f t="shared" si="358"/>
        <v>0</v>
      </c>
      <c r="AD1321" s="3">
        <f>IF(AND($M1321=1,LEFT(对接源_02物料!$D121,4)="成品出库"),1,0)</f>
        <v>0</v>
      </c>
      <c r="AE1321" s="3">
        <f t="shared" si="359"/>
        <v>0</v>
      </c>
      <c r="AF1321" s="3">
        <f>IF(AND($N1321=1,AND(LEFT(对接源_02物料!$D121,4)="包装物料",N(对接源_02物料!$K121)&lt;&gt;0)),1,0)</f>
        <v>0</v>
      </c>
      <c r="AG1321" s="3">
        <f t="shared" si="360"/>
        <v>5</v>
      </c>
      <c r="AH1321" s="3">
        <f>IF(AND($N1321=1,AND(对接源_02物料!$D121="周转筐－销售出库",N(对接源_02物料!$K121)&lt;&gt;0)),1,0)</f>
        <v>0</v>
      </c>
      <c r="AI1321" s="3">
        <f t="shared" si="361"/>
        <v>0</v>
      </c>
      <c r="AL1321" s="3">
        <v>0</v>
      </c>
      <c r="AM1321" s="3">
        <f t="shared" si="362"/>
        <v>1</v>
      </c>
      <c r="AN1321" s="3" t="str">
        <f t="shared" si="349"/>
        <v/>
      </c>
      <c r="AO1321" s="3">
        <v>0</v>
      </c>
      <c r="AP1321" s="3">
        <f t="shared" si="363"/>
        <v>8</v>
      </c>
      <c r="AR1321">
        <f t="shared" si="364"/>
        <v>0</v>
      </c>
      <c r="AS1321">
        <f t="shared" si="365"/>
        <v>5</v>
      </c>
    </row>
    <row r="1322" customHeight="1" spans="1:45">
      <c r="A1322" s="3" t="str">
        <f>IF(对接源_02物料!$C122="","",对接源_02物料!$C122)</f>
        <v>王照雪</v>
      </c>
      <c r="B1322" s="3">
        <f t="shared" si="350"/>
        <v>0</v>
      </c>
      <c r="C1322" s="3">
        <f t="shared" si="351"/>
        <v>21</v>
      </c>
      <c r="K1322" s="3">
        <f>IF(OR($K$1="",对接源_02物料!$C122="",对接源_02物料!$C122&lt;&gt;$K$1,对接源_02物料!$B122=""),0,IF(OR(N(对接源_02物料!$B122)&lt;$K$2,N(对接源_02物料!$B122)&gt;$K$3),0,1))</f>
        <v>0</v>
      </c>
      <c r="L1322" s="3">
        <f>IF(OR($L$1="",对接源_02物料!$C122="",对接源_02物料!$C122&lt;&gt;$L$1,对接源_02物料!$B122=""),0,IF(OR(N(对接源_02物料!$B122)&lt;$L$2,N(对接源_02物料!$B122)&gt;$L$3),0,1))</f>
        <v>0</v>
      </c>
      <c r="M1322" s="3">
        <f>IF(OR($M$1="",对接源_02物料!$C122="",对接源_02物料!$C122&lt;&gt;$M$1,对接源_02物料!$B122=""),0,IF(OR(N(对接源_02物料!$B122)&lt;$M$2,N(对接源_02物料!$B122)&gt;$M$3),0,1))</f>
        <v>0</v>
      </c>
      <c r="N1322" s="3">
        <f>IF(OR($N$1="",对接源_02物料!$C122="",对接源_02物料!$C122&lt;&gt;$N$1,对接源_02物料!$B122=""),0,IF(OR(N(对接源_02物料!$B122)&lt;$N$2,N(对接源_02物料!$B122)&gt;$N$3),0,1))</f>
        <v>0</v>
      </c>
      <c r="P1322" s="3">
        <f>IF(AND($K1322=1,AND(对接源_02物料!$X122="公司筐",N(对接源_02物料!$T122)&lt;&gt;0)),1,0)</f>
        <v>0</v>
      </c>
      <c r="Q1322" s="3">
        <f t="shared" si="352"/>
        <v>4</v>
      </c>
      <c r="R1322" s="3">
        <f>IF(AND($K1322=1,AND(对接源_02物料!$X122="公司筐",N(对接源_02物料!$U122)&lt;&gt;0)),1,0)</f>
        <v>0</v>
      </c>
      <c r="S1322" s="3">
        <f t="shared" si="353"/>
        <v>0</v>
      </c>
      <c r="T1322" s="3">
        <f>IF(AND($K1322=1,AND(对接源_02物料!$X122="公司筐",N(对接源_02物料!$V122)&lt;&gt;0)),1,0)</f>
        <v>0</v>
      </c>
      <c r="U1322" s="3">
        <f t="shared" si="354"/>
        <v>19</v>
      </c>
      <c r="V1322" s="3">
        <f>IF(AND($L1322=1,AND(对接源_02物料!$X122="自备筐",N(对接源_02物料!$V122)&lt;&gt;0)),1,0)</f>
        <v>0</v>
      </c>
      <c r="W1322" s="3">
        <f t="shared" si="355"/>
        <v>8</v>
      </c>
      <c r="X1322" s="3">
        <f>IF(AND($L1322=1,AND(对接源_02物料!$X122="自备筐",N(对接源_02物料!$T122)&lt;&gt;0)),1,0)</f>
        <v>0</v>
      </c>
      <c r="Y1322" s="3">
        <f t="shared" si="356"/>
        <v>0</v>
      </c>
      <c r="Z1322" s="3">
        <f>IF(AND($M1322=1,对接源_02物料!$D122="原料入库"),1,0)</f>
        <v>0</v>
      </c>
      <c r="AA1322" s="3">
        <f t="shared" si="357"/>
        <v>24</v>
      </c>
      <c r="AB1322" s="3">
        <f>IF(AND($M1322=1,LEFT(对接源_02物料!$D122,4)="原料出库"),1,0)</f>
        <v>0</v>
      </c>
      <c r="AC1322" s="3">
        <f t="shared" si="358"/>
        <v>0</v>
      </c>
      <c r="AD1322" s="3">
        <f>IF(AND($M1322=1,LEFT(对接源_02物料!$D122,4)="成品出库"),1,0)</f>
        <v>0</v>
      </c>
      <c r="AE1322" s="3">
        <f t="shared" si="359"/>
        <v>0</v>
      </c>
      <c r="AF1322" s="3">
        <f>IF(AND($N1322=1,AND(LEFT(对接源_02物料!$D122,4)="包装物料",N(对接源_02物料!$K122)&lt;&gt;0)),1,0)</f>
        <v>0</v>
      </c>
      <c r="AG1322" s="3">
        <f t="shared" si="360"/>
        <v>5</v>
      </c>
      <c r="AH1322" s="3">
        <f>IF(AND($N1322=1,AND(对接源_02物料!$D122="周转筐－销售出库",N(对接源_02物料!$K122)&lt;&gt;0)),1,0)</f>
        <v>0</v>
      </c>
      <c r="AI1322" s="3">
        <f t="shared" si="361"/>
        <v>0</v>
      </c>
      <c r="AL1322" s="3">
        <v>0</v>
      </c>
      <c r="AM1322" s="3">
        <f t="shared" si="362"/>
        <v>1</v>
      </c>
      <c r="AN1322" s="3" t="str">
        <f t="shared" si="349"/>
        <v/>
      </c>
      <c r="AO1322" s="3">
        <v>0</v>
      </c>
      <c r="AP1322" s="3">
        <f t="shared" si="363"/>
        <v>8</v>
      </c>
      <c r="AR1322">
        <f t="shared" si="364"/>
        <v>0</v>
      </c>
      <c r="AS1322">
        <f t="shared" si="365"/>
        <v>5</v>
      </c>
    </row>
    <row r="1323" customHeight="1" spans="1:45">
      <c r="A1323" s="3" t="str">
        <f>IF(对接源_02物料!$C123="","",对接源_02物料!$C123)</f>
        <v>荆建君</v>
      </c>
      <c r="B1323" s="3">
        <f t="shared" si="350"/>
        <v>0</v>
      </c>
      <c r="C1323" s="3">
        <f t="shared" si="351"/>
        <v>21</v>
      </c>
      <c r="K1323" s="3">
        <f>IF(OR($K$1="",对接源_02物料!$C123="",对接源_02物料!$C123&lt;&gt;$K$1,对接源_02物料!$B123=""),0,IF(OR(N(对接源_02物料!$B123)&lt;$K$2,N(对接源_02物料!$B123)&gt;$K$3),0,1))</f>
        <v>0</v>
      </c>
      <c r="L1323" s="3">
        <f>IF(OR($L$1="",对接源_02物料!$C123="",对接源_02物料!$C123&lt;&gt;$L$1,对接源_02物料!$B123=""),0,IF(OR(N(对接源_02物料!$B123)&lt;$L$2,N(对接源_02物料!$B123)&gt;$L$3),0,1))</f>
        <v>0</v>
      </c>
      <c r="M1323" s="3">
        <f>IF(OR($M$1="",对接源_02物料!$C123="",对接源_02物料!$C123&lt;&gt;$M$1,对接源_02物料!$B123=""),0,IF(OR(N(对接源_02物料!$B123)&lt;$M$2,N(对接源_02物料!$B123)&gt;$M$3),0,1))</f>
        <v>0</v>
      </c>
      <c r="N1323" s="3">
        <f>IF(OR($N$1="",对接源_02物料!$C123="",对接源_02物料!$C123&lt;&gt;$N$1,对接源_02物料!$B123=""),0,IF(OR(N(对接源_02物料!$B123)&lt;$N$2,N(对接源_02物料!$B123)&gt;$N$3),0,1))</f>
        <v>0</v>
      </c>
      <c r="P1323" s="3">
        <f>IF(AND($K1323=1,AND(对接源_02物料!$X123="公司筐",N(对接源_02物料!$T123)&lt;&gt;0)),1,0)</f>
        <v>0</v>
      </c>
      <c r="Q1323" s="3">
        <f t="shared" si="352"/>
        <v>4</v>
      </c>
      <c r="R1323" s="3">
        <f>IF(AND($K1323=1,AND(对接源_02物料!$X123="公司筐",N(对接源_02物料!$U123)&lt;&gt;0)),1,0)</f>
        <v>0</v>
      </c>
      <c r="S1323" s="3">
        <f t="shared" si="353"/>
        <v>0</v>
      </c>
      <c r="T1323" s="3">
        <f>IF(AND($K1323=1,AND(对接源_02物料!$X123="公司筐",N(对接源_02物料!$V123)&lt;&gt;0)),1,0)</f>
        <v>0</v>
      </c>
      <c r="U1323" s="3">
        <f t="shared" si="354"/>
        <v>19</v>
      </c>
      <c r="V1323" s="3">
        <f>IF(AND($L1323=1,AND(对接源_02物料!$X123="自备筐",N(对接源_02物料!$V123)&lt;&gt;0)),1,0)</f>
        <v>0</v>
      </c>
      <c r="W1323" s="3">
        <f t="shared" si="355"/>
        <v>8</v>
      </c>
      <c r="X1323" s="3">
        <f>IF(AND($L1323=1,AND(对接源_02物料!$X123="自备筐",N(对接源_02物料!$T123)&lt;&gt;0)),1,0)</f>
        <v>0</v>
      </c>
      <c r="Y1323" s="3">
        <f t="shared" si="356"/>
        <v>0</v>
      </c>
      <c r="Z1323" s="3">
        <f>IF(AND($M1323=1,对接源_02物料!$D123="原料入库"),1,0)</f>
        <v>0</v>
      </c>
      <c r="AA1323" s="3">
        <f t="shared" si="357"/>
        <v>24</v>
      </c>
      <c r="AB1323" s="3">
        <f>IF(AND($M1323=1,LEFT(对接源_02物料!$D123,4)="原料出库"),1,0)</f>
        <v>0</v>
      </c>
      <c r="AC1323" s="3">
        <f t="shared" si="358"/>
        <v>0</v>
      </c>
      <c r="AD1323" s="3">
        <f>IF(AND($M1323=1,LEFT(对接源_02物料!$D123,4)="成品出库"),1,0)</f>
        <v>0</v>
      </c>
      <c r="AE1323" s="3">
        <f t="shared" si="359"/>
        <v>0</v>
      </c>
      <c r="AF1323" s="3">
        <f>IF(AND($N1323=1,AND(LEFT(对接源_02物料!$D123,4)="包装物料",N(对接源_02物料!$K123)&lt;&gt;0)),1,0)</f>
        <v>0</v>
      </c>
      <c r="AG1323" s="3">
        <f t="shared" si="360"/>
        <v>5</v>
      </c>
      <c r="AH1323" s="3">
        <f>IF(AND($N1323=1,AND(对接源_02物料!$D123="周转筐－销售出库",N(对接源_02物料!$K123)&lt;&gt;0)),1,0)</f>
        <v>0</v>
      </c>
      <c r="AI1323" s="3">
        <f t="shared" si="361"/>
        <v>0</v>
      </c>
      <c r="AL1323" s="3">
        <v>0</v>
      </c>
      <c r="AM1323" s="3">
        <f t="shared" si="362"/>
        <v>1</v>
      </c>
      <c r="AN1323" s="3" t="str">
        <f t="shared" si="349"/>
        <v/>
      </c>
      <c r="AO1323" s="3">
        <v>0</v>
      </c>
      <c r="AP1323" s="3">
        <f t="shared" si="363"/>
        <v>8</v>
      </c>
      <c r="AR1323">
        <f t="shared" si="364"/>
        <v>0</v>
      </c>
      <c r="AS1323">
        <f t="shared" si="365"/>
        <v>5</v>
      </c>
    </row>
    <row r="1324" customHeight="1" spans="1:45">
      <c r="A1324" s="3" t="str">
        <f>IF(对接源_02物料!$C124="","",对接源_02物料!$C124)</f>
        <v>全修塑业</v>
      </c>
      <c r="B1324" s="3">
        <f t="shared" si="350"/>
        <v>0</v>
      </c>
      <c r="C1324" s="3">
        <f t="shared" si="351"/>
        <v>21</v>
      </c>
      <c r="K1324" s="3">
        <f>IF(OR($K$1="",对接源_02物料!$C124="",对接源_02物料!$C124&lt;&gt;$K$1,对接源_02物料!$B124=""),0,IF(OR(N(对接源_02物料!$B124)&lt;$K$2,N(对接源_02物料!$B124)&gt;$K$3),0,1))</f>
        <v>0</v>
      </c>
      <c r="L1324" s="3">
        <f>IF(OR($L$1="",对接源_02物料!$C124="",对接源_02物料!$C124&lt;&gt;$L$1,对接源_02物料!$B124=""),0,IF(OR(N(对接源_02物料!$B124)&lt;$L$2,N(对接源_02物料!$B124)&gt;$L$3),0,1))</f>
        <v>0</v>
      </c>
      <c r="M1324" s="3">
        <f>IF(OR($M$1="",对接源_02物料!$C124="",对接源_02物料!$C124&lt;&gt;$M$1,对接源_02物料!$B124=""),0,IF(OR(N(对接源_02物料!$B124)&lt;$M$2,N(对接源_02物料!$B124)&gt;$M$3),0,1))</f>
        <v>0</v>
      </c>
      <c r="N1324" s="3">
        <f>IF(OR($N$1="",对接源_02物料!$C124="",对接源_02物料!$C124&lt;&gt;$N$1,对接源_02物料!$B124=""),0,IF(OR(N(对接源_02物料!$B124)&lt;$N$2,N(对接源_02物料!$B124)&gt;$N$3),0,1))</f>
        <v>0</v>
      </c>
      <c r="P1324" s="3">
        <f>IF(AND($K1324=1,AND(对接源_02物料!$X124="公司筐",N(对接源_02物料!$T124)&lt;&gt;0)),1,0)</f>
        <v>0</v>
      </c>
      <c r="Q1324" s="3">
        <f t="shared" si="352"/>
        <v>4</v>
      </c>
      <c r="R1324" s="3">
        <f>IF(AND($K1324=1,AND(对接源_02物料!$X124="公司筐",N(对接源_02物料!$U124)&lt;&gt;0)),1,0)</f>
        <v>0</v>
      </c>
      <c r="S1324" s="3">
        <f t="shared" si="353"/>
        <v>0</v>
      </c>
      <c r="T1324" s="3">
        <f>IF(AND($K1324=1,AND(对接源_02物料!$X124="公司筐",N(对接源_02物料!$V124)&lt;&gt;0)),1,0)</f>
        <v>0</v>
      </c>
      <c r="U1324" s="3">
        <f t="shared" si="354"/>
        <v>19</v>
      </c>
      <c r="V1324" s="3">
        <f>IF(AND($L1324=1,AND(对接源_02物料!$X124="自备筐",N(对接源_02物料!$V124)&lt;&gt;0)),1,0)</f>
        <v>0</v>
      </c>
      <c r="W1324" s="3">
        <f t="shared" si="355"/>
        <v>8</v>
      </c>
      <c r="X1324" s="3">
        <f>IF(AND($L1324=1,AND(对接源_02物料!$X124="自备筐",N(对接源_02物料!$T124)&lt;&gt;0)),1,0)</f>
        <v>0</v>
      </c>
      <c r="Y1324" s="3">
        <f t="shared" si="356"/>
        <v>0</v>
      </c>
      <c r="Z1324" s="3">
        <f>IF(AND($M1324=1,对接源_02物料!$D124="原料入库"),1,0)</f>
        <v>0</v>
      </c>
      <c r="AA1324" s="3">
        <f t="shared" si="357"/>
        <v>24</v>
      </c>
      <c r="AB1324" s="3">
        <f>IF(AND($M1324=1,LEFT(对接源_02物料!$D124,4)="原料出库"),1,0)</f>
        <v>0</v>
      </c>
      <c r="AC1324" s="3">
        <f t="shared" si="358"/>
        <v>0</v>
      </c>
      <c r="AD1324" s="3">
        <f>IF(AND($M1324=1,LEFT(对接源_02物料!$D124,4)="成品出库"),1,0)</f>
        <v>0</v>
      </c>
      <c r="AE1324" s="3">
        <f t="shared" si="359"/>
        <v>0</v>
      </c>
      <c r="AF1324" s="3">
        <f>IF(AND($N1324=1,AND(LEFT(对接源_02物料!$D124,4)="包装物料",N(对接源_02物料!$K124)&lt;&gt;0)),1,0)</f>
        <v>0</v>
      </c>
      <c r="AG1324" s="3">
        <f t="shared" si="360"/>
        <v>5</v>
      </c>
      <c r="AH1324" s="3">
        <f>IF(AND($N1324=1,AND(对接源_02物料!$D124="周转筐－销售出库",N(对接源_02物料!$K124)&lt;&gt;0)),1,0)</f>
        <v>0</v>
      </c>
      <c r="AI1324" s="3">
        <f t="shared" si="361"/>
        <v>0</v>
      </c>
      <c r="AL1324" s="3">
        <v>0</v>
      </c>
      <c r="AM1324" s="3">
        <f t="shared" si="362"/>
        <v>1</v>
      </c>
      <c r="AN1324" s="3" t="str">
        <f t="shared" si="349"/>
        <v/>
      </c>
      <c r="AO1324" s="3">
        <v>0</v>
      </c>
      <c r="AP1324" s="3">
        <f t="shared" si="363"/>
        <v>8</v>
      </c>
      <c r="AR1324">
        <f t="shared" si="364"/>
        <v>0</v>
      </c>
      <c r="AS1324">
        <f t="shared" si="365"/>
        <v>5</v>
      </c>
    </row>
    <row r="1325" customHeight="1" spans="1:45">
      <c r="A1325" s="3" t="str">
        <f>IF(对接源_02物料!$C125="","",对接源_02物料!$C125)</f>
        <v>王灵云</v>
      </c>
      <c r="B1325" s="3">
        <f t="shared" si="350"/>
        <v>0</v>
      </c>
      <c r="C1325" s="3">
        <f t="shared" si="351"/>
        <v>21</v>
      </c>
      <c r="K1325" s="3">
        <f>IF(OR($K$1="",对接源_02物料!$C125="",对接源_02物料!$C125&lt;&gt;$K$1,对接源_02物料!$B125=""),0,IF(OR(N(对接源_02物料!$B125)&lt;$K$2,N(对接源_02物料!$B125)&gt;$K$3),0,1))</f>
        <v>1</v>
      </c>
      <c r="L1325" s="3">
        <f>IF(OR($L$1="",对接源_02物料!$C125="",对接源_02物料!$C125&lt;&gt;$L$1,对接源_02物料!$B125=""),0,IF(OR(N(对接源_02物料!$B125)&lt;$L$2,N(对接源_02物料!$B125)&gt;$L$3),0,1))</f>
        <v>0</v>
      </c>
      <c r="M1325" s="3">
        <f>IF(OR($M$1="",对接源_02物料!$C125="",对接源_02物料!$C125&lt;&gt;$M$1,对接源_02物料!$B125=""),0,IF(OR(N(对接源_02物料!$B125)&lt;$M$2,N(对接源_02物料!$B125)&gt;$M$3),0,1))</f>
        <v>0</v>
      </c>
      <c r="N1325" s="3">
        <f>IF(OR($N$1="",对接源_02物料!$C125="",对接源_02物料!$C125&lt;&gt;$N$1,对接源_02物料!$B125=""),0,IF(OR(N(对接源_02物料!$B125)&lt;$N$2,N(对接源_02物料!$B125)&gt;$N$3),0,1))</f>
        <v>0</v>
      </c>
      <c r="P1325" s="3">
        <f>IF(AND($K1325=1,AND(对接源_02物料!$X125="公司筐",N(对接源_02物料!$T125)&lt;&gt;0)),1,0)</f>
        <v>1</v>
      </c>
      <c r="Q1325" s="3">
        <f t="shared" si="352"/>
        <v>5</v>
      </c>
      <c r="R1325" s="3">
        <f>IF(AND($K1325=1,AND(对接源_02物料!$X125="公司筐",N(对接源_02物料!$U125)&lt;&gt;0)),1,0)</f>
        <v>0</v>
      </c>
      <c r="S1325" s="3">
        <f t="shared" si="353"/>
        <v>0</v>
      </c>
      <c r="T1325" s="3">
        <f>IF(AND($K1325=1,AND(对接源_02物料!$X125="公司筐",N(对接源_02物料!$V125)&lt;&gt;0)),1,0)</f>
        <v>0</v>
      </c>
      <c r="U1325" s="3">
        <f t="shared" si="354"/>
        <v>19</v>
      </c>
      <c r="V1325" s="3">
        <f>IF(AND($L1325=1,AND(对接源_02物料!$X125="自备筐",N(对接源_02物料!$V125)&lt;&gt;0)),1,0)</f>
        <v>0</v>
      </c>
      <c r="W1325" s="3">
        <f t="shared" si="355"/>
        <v>8</v>
      </c>
      <c r="X1325" s="3">
        <f>IF(AND($L1325=1,AND(对接源_02物料!$X125="自备筐",N(对接源_02物料!$T125)&lt;&gt;0)),1,0)</f>
        <v>0</v>
      </c>
      <c r="Y1325" s="3">
        <f t="shared" si="356"/>
        <v>0</v>
      </c>
      <c r="Z1325" s="3">
        <f>IF(AND($M1325=1,对接源_02物料!$D125="原料入库"),1,0)</f>
        <v>0</v>
      </c>
      <c r="AA1325" s="3">
        <f t="shared" si="357"/>
        <v>24</v>
      </c>
      <c r="AB1325" s="3">
        <f>IF(AND($M1325=1,LEFT(对接源_02物料!$D125,4)="原料出库"),1,0)</f>
        <v>0</v>
      </c>
      <c r="AC1325" s="3">
        <f t="shared" si="358"/>
        <v>0</v>
      </c>
      <c r="AD1325" s="3">
        <f>IF(AND($M1325=1,LEFT(对接源_02物料!$D125,4)="成品出库"),1,0)</f>
        <v>0</v>
      </c>
      <c r="AE1325" s="3">
        <f t="shared" si="359"/>
        <v>0</v>
      </c>
      <c r="AF1325" s="3">
        <f>IF(AND($N1325=1,AND(LEFT(对接源_02物料!$D125,4)="包装物料",N(对接源_02物料!$K125)&lt;&gt;0)),1,0)</f>
        <v>0</v>
      </c>
      <c r="AG1325" s="3">
        <f t="shared" si="360"/>
        <v>5</v>
      </c>
      <c r="AH1325" s="3">
        <f>IF(AND($N1325=1,AND(对接源_02物料!$D125="周转筐－销售出库",N(对接源_02物料!$K125)&lt;&gt;0)),1,0)</f>
        <v>0</v>
      </c>
      <c r="AI1325" s="3">
        <f t="shared" si="361"/>
        <v>0</v>
      </c>
      <c r="AL1325" s="3">
        <v>0</v>
      </c>
      <c r="AM1325" s="3">
        <f t="shared" si="362"/>
        <v>1</v>
      </c>
      <c r="AN1325" s="3" t="str">
        <f t="shared" si="349"/>
        <v/>
      </c>
      <c r="AO1325" s="3">
        <v>0</v>
      </c>
      <c r="AP1325" s="3">
        <f t="shared" si="363"/>
        <v>8</v>
      </c>
      <c r="AR1325">
        <f t="shared" si="364"/>
        <v>0</v>
      </c>
      <c r="AS1325">
        <f t="shared" si="365"/>
        <v>5</v>
      </c>
    </row>
    <row r="1326" customHeight="1" spans="1:45">
      <c r="A1326" s="3" t="str">
        <f>IF(对接源_02物料!$C126="","",对接源_02物料!$C126)</f>
        <v>全修塑业</v>
      </c>
      <c r="B1326" s="3">
        <f t="shared" si="350"/>
        <v>0</v>
      </c>
      <c r="C1326" s="3">
        <f t="shared" si="351"/>
        <v>21</v>
      </c>
      <c r="K1326" s="3">
        <f>IF(OR($K$1="",对接源_02物料!$C126="",对接源_02物料!$C126&lt;&gt;$K$1,对接源_02物料!$B126=""),0,IF(OR(N(对接源_02物料!$B126)&lt;$K$2,N(对接源_02物料!$B126)&gt;$K$3),0,1))</f>
        <v>0</v>
      </c>
      <c r="L1326" s="3">
        <f>IF(OR($L$1="",对接源_02物料!$C126="",对接源_02物料!$C126&lt;&gt;$L$1,对接源_02物料!$B126=""),0,IF(OR(N(对接源_02物料!$B126)&lt;$L$2,N(对接源_02物料!$B126)&gt;$L$3),0,1))</f>
        <v>0</v>
      </c>
      <c r="M1326" s="3">
        <f>IF(OR($M$1="",对接源_02物料!$C126="",对接源_02物料!$C126&lt;&gt;$M$1,对接源_02物料!$B126=""),0,IF(OR(N(对接源_02物料!$B126)&lt;$M$2,N(对接源_02物料!$B126)&gt;$M$3),0,1))</f>
        <v>0</v>
      </c>
      <c r="N1326" s="3">
        <f>IF(OR($N$1="",对接源_02物料!$C126="",对接源_02物料!$C126&lt;&gt;$N$1,对接源_02物料!$B126=""),0,IF(OR(N(对接源_02物料!$B126)&lt;$N$2,N(对接源_02物料!$B126)&gt;$N$3),0,1))</f>
        <v>0</v>
      </c>
      <c r="P1326" s="3">
        <f>IF(AND($K1326=1,AND(对接源_02物料!$X126="公司筐",N(对接源_02物料!$T126)&lt;&gt;0)),1,0)</f>
        <v>0</v>
      </c>
      <c r="Q1326" s="3">
        <f t="shared" si="352"/>
        <v>5</v>
      </c>
      <c r="R1326" s="3">
        <f>IF(AND($K1326=1,AND(对接源_02物料!$X126="公司筐",N(对接源_02物料!$U126)&lt;&gt;0)),1,0)</f>
        <v>0</v>
      </c>
      <c r="S1326" s="3">
        <f t="shared" si="353"/>
        <v>0</v>
      </c>
      <c r="T1326" s="3">
        <f>IF(AND($K1326=1,AND(对接源_02物料!$X126="公司筐",N(对接源_02物料!$V126)&lt;&gt;0)),1,0)</f>
        <v>0</v>
      </c>
      <c r="U1326" s="3">
        <f t="shared" si="354"/>
        <v>19</v>
      </c>
      <c r="V1326" s="3">
        <f>IF(AND($L1326=1,AND(对接源_02物料!$X126="自备筐",N(对接源_02物料!$V126)&lt;&gt;0)),1,0)</f>
        <v>0</v>
      </c>
      <c r="W1326" s="3">
        <f t="shared" si="355"/>
        <v>8</v>
      </c>
      <c r="X1326" s="3">
        <f>IF(AND($L1326=1,AND(对接源_02物料!$X126="自备筐",N(对接源_02物料!$T126)&lt;&gt;0)),1,0)</f>
        <v>0</v>
      </c>
      <c r="Y1326" s="3">
        <f t="shared" si="356"/>
        <v>0</v>
      </c>
      <c r="Z1326" s="3">
        <f>IF(AND($M1326=1,对接源_02物料!$D126="原料入库"),1,0)</f>
        <v>0</v>
      </c>
      <c r="AA1326" s="3">
        <f t="shared" si="357"/>
        <v>24</v>
      </c>
      <c r="AB1326" s="3">
        <f>IF(AND($M1326=1,LEFT(对接源_02物料!$D126,4)="原料出库"),1,0)</f>
        <v>0</v>
      </c>
      <c r="AC1326" s="3">
        <f t="shared" si="358"/>
        <v>0</v>
      </c>
      <c r="AD1326" s="3">
        <f>IF(AND($M1326=1,LEFT(对接源_02物料!$D126,4)="成品出库"),1,0)</f>
        <v>0</v>
      </c>
      <c r="AE1326" s="3">
        <f t="shared" si="359"/>
        <v>0</v>
      </c>
      <c r="AF1326" s="3">
        <f>IF(AND($N1326=1,AND(LEFT(对接源_02物料!$D126,4)="包装物料",N(对接源_02物料!$K126)&lt;&gt;0)),1,0)</f>
        <v>0</v>
      </c>
      <c r="AG1326" s="3">
        <f t="shared" si="360"/>
        <v>5</v>
      </c>
      <c r="AH1326" s="3">
        <f>IF(AND($N1326=1,AND(对接源_02物料!$D126="周转筐－销售出库",N(对接源_02物料!$K126)&lt;&gt;0)),1,0)</f>
        <v>0</v>
      </c>
      <c r="AI1326" s="3">
        <f t="shared" si="361"/>
        <v>0</v>
      </c>
      <c r="AL1326" s="3">
        <v>0</v>
      </c>
      <c r="AM1326" s="3">
        <f t="shared" si="362"/>
        <v>1</v>
      </c>
      <c r="AN1326" s="3" t="str">
        <f t="shared" si="349"/>
        <v/>
      </c>
      <c r="AO1326" s="3">
        <v>0</v>
      </c>
      <c r="AP1326" s="3">
        <f t="shared" si="363"/>
        <v>8</v>
      </c>
      <c r="AR1326">
        <f t="shared" si="364"/>
        <v>0</v>
      </c>
      <c r="AS1326">
        <f t="shared" si="365"/>
        <v>5</v>
      </c>
    </row>
    <row r="1327" customHeight="1" spans="1:45">
      <c r="A1327" s="3" t="str">
        <f>IF(对接源_02物料!$C127="","",对接源_02物料!$C127)</f>
        <v>热合曼</v>
      </c>
      <c r="B1327" s="3">
        <f t="shared" si="350"/>
        <v>0</v>
      </c>
      <c r="C1327" s="3">
        <f t="shared" si="351"/>
        <v>21</v>
      </c>
      <c r="K1327" s="3">
        <f>IF(OR($K$1="",对接源_02物料!$C127="",对接源_02物料!$C127&lt;&gt;$K$1,对接源_02物料!$B127=""),0,IF(OR(N(对接源_02物料!$B127)&lt;$K$2,N(对接源_02物料!$B127)&gt;$K$3),0,1))</f>
        <v>0</v>
      </c>
      <c r="L1327" s="3">
        <f>IF(OR($L$1="",对接源_02物料!$C127="",对接源_02物料!$C127&lt;&gt;$L$1,对接源_02物料!$B127=""),0,IF(OR(N(对接源_02物料!$B127)&lt;$L$2,N(对接源_02物料!$B127)&gt;$L$3),0,1))</f>
        <v>0</v>
      </c>
      <c r="M1327" s="3">
        <f>IF(OR($M$1="",对接源_02物料!$C127="",对接源_02物料!$C127&lt;&gt;$M$1,对接源_02物料!$B127=""),0,IF(OR(N(对接源_02物料!$B127)&lt;$M$2,N(对接源_02物料!$B127)&gt;$M$3),0,1))</f>
        <v>0</v>
      </c>
      <c r="N1327" s="3">
        <f>IF(OR($N$1="",对接源_02物料!$C127="",对接源_02物料!$C127&lt;&gt;$N$1,对接源_02物料!$B127=""),0,IF(OR(N(对接源_02物料!$B127)&lt;$N$2,N(对接源_02物料!$B127)&gt;$N$3),0,1))</f>
        <v>0</v>
      </c>
      <c r="P1327" s="3">
        <f>IF(AND($K1327=1,AND(对接源_02物料!$X127="公司筐",N(对接源_02物料!$T127)&lt;&gt;0)),1,0)</f>
        <v>0</v>
      </c>
      <c r="Q1327" s="3">
        <f t="shared" si="352"/>
        <v>5</v>
      </c>
      <c r="R1327" s="3">
        <f>IF(AND($K1327=1,AND(对接源_02物料!$X127="公司筐",N(对接源_02物料!$U127)&lt;&gt;0)),1,0)</f>
        <v>0</v>
      </c>
      <c r="S1327" s="3">
        <f t="shared" si="353"/>
        <v>0</v>
      </c>
      <c r="T1327" s="3">
        <f>IF(AND($K1327=1,AND(对接源_02物料!$X127="公司筐",N(对接源_02物料!$V127)&lt;&gt;0)),1,0)</f>
        <v>0</v>
      </c>
      <c r="U1327" s="3">
        <f t="shared" si="354"/>
        <v>19</v>
      </c>
      <c r="V1327" s="3">
        <f>IF(AND($L1327=1,AND(对接源_02物料!$X127="自备筐",N(对接源_02物料!$V127)&lt;&gt;0)),1,0)</f>
        <v>0</v>
      </c>
      <c r="W1327" s="3">
        <f t="shared" si="355"/>
        <v>8</v>
      </c>
      <c r="X1327" s="3">
        <f>IF(AND($L1327=1,AND(对接源_02物料!$X127="自备筐",N(对接源_02物料!$T127)&lt;&gt;0)),1,0)</f>
        <v>0</v>
      </c>
      <c r="Y1327" s="3">
        <f t="shared" si="356"/>
        <v>0</v>
      </c>
      <c r="Z1327" s="3">
        <f>IF(AND($M1327=1,对接源_02物料!$D127="原料入库"),1,0)</f>
        <v>0</v>
      </c>
      <c r="AA1327" s="3">
        <f t="shared" si="357"/>
        <v>24</v>
      </c>
      <c r="AB1327" s="3">
        <f>IF(AND($M1327=1,LEFT(对接源_02物料!$D127,4)="原料出库"),1,0)</f>
        <v>0</v>
      </c>
      <c r="AC1327" s="3">
        <f t="shared" si="358"/>
        <v>0</v>
      </c>
      <c r="AD1327" s="3">
        <f>IF(AND($M1327=1,LEFT(对接源_02物料!$D127,4)="成品出库"),1,0)</f>
        <v>0</v>
      </c>
      <c r="AE1327" s="3">
        <f t="shared" si="359"/>
        <v>0</v>
      </c>
      <c r="AF1327" s="3">
        <f>IF(AND($N1327=1,AND(LEFT(对接源_02物料!$D127,4)="包装物料",N(对接源_02物料!$K127)&lt;&gt;0)),1,0)</f>
        <v>0</v>
      </c>
      <c r="AG1327" s="3">
        <f t="shared" si="360"/>
        <v>5</v>
      </c>
      <c r="AH1327" s="3">
        <f>IF(AND($N1327=1,AND(对接源_02物料!$D127="周转筐－销售出库",N(对接源_02物料!$K127)&lt;&gt;0)),1,0)</f>
        <v>0</v>
      </c>
      <c r="AI1327" s="3">
        <f t="shared" si="361"/>
        <v>0</v>
      </c>
      <c r="AL1327" s="3">
        <v>0</v>
      </c>
      <c r="AM1327" s="3">
        <f t="shared" si="362"/>
        <v>1</v>
      </c>
      <c r="AN1327" s="3" t="str">
        <f t="shared" si="349"/>
        <v/>
      </c>
      <c r="AO1327" s="3">
        <v>0</v>
      </c>
      <c r="AP1327" s="3">
        <f t="shared" si="363"/>
        <v>8</v>
      </c>
      <c r="AR1327">
        <f t="shared" si="364"/>
        <v>0</v>
      </c>
      <c r="AS1327">
        <f t="shared" si="365"/>
        <v>5</v>
      </c>
    </row>
    <row r="1328" customHeight="1" spans="1:45">
      <c r="A1328" s="3" t="str">
        <f>IF(对接源_02物料!$C128="","",对接源_02物料!$C128)</f>
        <v>全修塑业</v>
      </c>
      <c r="B1328" s="3">
        <f t="shared" si="350"/>
        <v>0</v>
      </c>
      <c r="C1328" s="3">
        <f t="shared" si="351"/>
        <v>21</v>
      </c>
      <c r="K1328" s="3">
        <f>IF(OR($K$1="",对接源_02物料!$C128="",对接源_02物料!$C128&lt;&gt;$K$1,对接源_02物料!$B128=""),0,IF(OR(N(对接源_02物料!$B128)&lt;$K$2,N(对接源_02物料!$B128)&gt;$K$3),0,1))</f>
        <v>0</v>
      </c>
      <c r="L1328" s="3">
        <f>IF(OR($L$1="",对接源_02物料!$C128="",对接源_02物料!$C128&lt;&gt;$L$1,对接源_02物料!$B128=""),0,IF(OR(N(对接源_02物料!$B128)&lt;$L$2,N(对接源_02物料!$B128)&gt;$L$3),0,1))</f>
        <v>0</v>
      </c>
      <c r="M1328" s="3">
        <f>IF(OR($M$1="",对接源_02物料!$C128="",对接源_02物料!$C128&lt;&gt;$M$1,对接源_02物料!$B128=""),0,IF(OR(N(对接源_02物料!$B128)&lt;$M$2,N(对接源_02物料!$B128)&gt;$M$3),0,1))</f>
        <v>0</v>
      </c>
      <c r="N1328" s="3">
        <f>IF(OR($N$1="",对接源_02物料!$C128="",对接源_02物料!$C128&lt;&gt;$N$1,对接源_02物料!$B128=""),0,IF(OR(N(对接源_02物料!$B128)&lt;$N$2,N(对接源_02物料!$B128)&gt;$N$3),0,1))</f>
        <v>0</v>
      </c>
      <c r="P1328" s="3">
        <f>IF(AND($K1328=1,AND(对接源_02物料!$X128="公司筐",N(对接源_02物料!$T128)&lt;&gt;0)),1,0)</f>
        <v>0</v>
      </c>
      <c r="Q1328" s="3">
        <f t="shared" si="352"/>
        <v>5</v>
      </c>
      <c r="R1328" s="3">
        <f>IF(AND($K1328=1,AND(对接源_02物料!$X128="公司筐",N(对接源_02物料!$U128)&lt;&gt;0)),1,0)</f>
        <v>0</v>
      </c>
      <c r="S1328" s="3">
        <f t="shared" si="353"/>
        <v>0</v>
      </c>
      <c r="T1328" s="3">
        <f>IF(AND($K1328=1,AND(对接源_02物料!$X128="公司筐",N(对接源_02物料!$V128)&lt;&gt;0)),1,0)</f>
        <v>0</v>
      </c>
      <c r="U1328" s="3">
        <f t="shared" si="354"/>
        <v>19</v>
      </c>
      <c r="V1328" s="3">
        <f>IF(AND($L1328=1,AND(对接源_02物料!$X128="自备筐",N(对接源_02物料!$V128)&lt;&gt;0)),1,0)</f>
        <v>0</v>
      </c>
      <c r="W1328" s="3">
        <f t="shared" si="355"/>
        <v>8</v>
      </c>
      <c r="X1328" s="3">
        <f>IF(AND($L1328=1,AND(对接源_02物料!$X128="自备筐",N(对接源_02物料!$T128)&lt;&gt;0)),1,0)</f>
        <v>0</v>
      </c>
      <c r="Y1328" s="3">
        <f t="shared" si="356"/>
        <v>0</v>
      </c>
      <c r="Z1328" s="3">
        <f>IF(AND($M1328=1,对接源_02物料!$D128="原料入库"),1,0)</f>
        <v>0</v>
      </c>
      <c r="AA1328" s="3">
        <f t="shared" si="357"/>
        <v>24</v>
      </c>
      <c r="AB1328" s="3">
        <f>IF(AND($M1328=1,LEFT(对接源_02物料!$D128,4)="原料出库"),1,0)</f>
        <v>0</v>
      </c>
      <c r="AC1328" s="3">
        <f t="shared" si="358"/>
        <v>0</v>
      </c>
      <c r="AD1328" s="3">
        <f>IF(AND($M1328=1,LEFT(对接源_02物料!$D128,4)="成品出库"),1,0)</f>
        <v>0</v>
      </c>
      <c r="AE1328" s="3">
        <f t="shared" si="359"/>
        <v>0</v>
      </c>
      <c r="AF1328" s="3">
        <f>IF(AND($N1328=1,AND(LEFT(对接源_02物料!$D128,4)="包装物料",N(对接源_02物料!$K128)&lt;&gt;0)),1,0)</f>
        <v>0</v>
      </c>
      <c r="AG1328" s="3">
        <f t="shared" si="360"/>
        <v>5</v>
      </c>
      <c r="AH1328" s="3">
        <f>IF(AND($N1328=1,AND(对接源_02物料!$D128="周转筐－销售出库",N(对接源_02物料!$K128)&lt;&gt;0)),1,0)</f>
        <v>0</v>
      </c>
      <c r="AI1328" s="3">
        <f t="shared" si="361"/>
        <v>0</v>
      </c>
      <c r="AL1328" s="3">
        <v>0</v>
      </c>
      <c r="AM1328" s="3">
        <f t="shared" si="362"/>
        <v>1</v>
      </c>
      <c r="AN1328" s="3" t="str">
        <f t="shared" si="349"/>
        <v/>
      </c>
      <c r="AO1328" s="3">
        <v>0</v>
      </c>
      <c r="AP1328" s="3">
        <f t="shared" si="363"/>
        <v>8</v>
      </c>
      <c r="AR1328">
        <f t="shared" si="364"/>
        <v>0</v>
      </c>
      <c r="AS1328">
        <f t="shared" si="365"/>
        <v>5</v>
      </c>
    </row>
    <row r="1329" customHeight="1" spans="1:45">
      <c r="A1329" s="3" t="str">
        <f>IF(对接源_02物料!$C129="","",对接源_02物料!$C129)</f>
        <v>努尔敦</v>
      </c>
      <c r="B1329" s="3">
        <f t="shared" si="350"/>
        <v>0</v>
      </c>
      <c r="C1329" s="3">
        <f t="shared" si="351"/>
        <v>21</v>
      </c>
      <c r="K1329" s="3">
        <f>IF(OR($K$1="",对接源_02物料!$C129="",对接源_02物料!$C129&lt;&gt;$K$1,对接源_02物料!$B129=""),0,IF(OR(N(对接源_02物料!$B129)&lt;$K$2,N(对接源_02物料!$B129)&gt;$K$3),0,1))</f>
        <v>0</v>
      </c>
      <c r="L1329" s="3">
        <f>IF(OR($L$1="",对接源_02物料!$C129="",对接源_02物料!$C129&lt;&gt;$L$1,对接源_02物料!$B129=""),0,IF(OR(N(对接源_02物料!$B129)&lt;$L$2,N(对接源_02物料!$B129)&gt;$L$3),0,1))</f>
        <v>0</v>
      </c>
      <c r="M1329" s="3">
        <f>IF(OR($M$1="",对接源_02物料!$C129="",对接源_02物料!$C129&lt;&gt;$M$1,对接源_02物料!$B129=""),0,IF(OR(N(对接源_02物料!$B129)&lt;$M$2,N(对接源_02物料!$B129)&gt;$M$3),0,1))</f>
        <v>0</v>
      </c>
      <c r="N1329" s="3">
        <f>IF(OR($N$1="",对接源_02物料!$C129="",对接源_02物料!$C129&lt;&gt;$N$1,对接源_02物料!$B129=""),0,IF(OR(N(对接源_02物料!$B129)&lt;$N$2,N(对接源_02物料!$B129)&gt;$N$3),0,1))</f>
        <v>0</v>
      </c>
      <c r="P1329" s="3">
        <f>IF(AND($K1329=1,AND(对接源_02物料!$X129="公司筐",N(对接源_02物料!$T129)&lt;&gt;0)),1,0)</f>
        <v>0</v>
      </c>
      <c r="Q1329" s="3">
        <f t="shared" si="352"/>
        <v>5</v>
      </c>
      <c r="R1329" s="3">
        <f>IF(AND($K1329=1,AND(对接源_02物料!$X129="公司筐",N(对接源_02物料!$U129)&lt;&gt;0)),1,0)</f>
        <v>0</v>
      </c>
      <c r="S1329" s="3">
        <f t="shared" si="353"/>
        <v>0</v>
      </c>
      <c r="T1329" s="3">
        <f>IF(AND($K1329=1,AND(对接源_02物料!$X129="公司筐",N(对接源_02物料!$V129)&lt;&gt;0)),1,0)</f>
        <v>0</v>
      </c>
      <c r="U1329" s="3">
        <f t="shared" si="354"/>
        <v>19</v>
      </c>
      <c r="V1329" s="3">
        <f>IF(AND($L1329=1,AND(对接源_02物料!$X129="自备筐",N(对接源_02物料!$V129)&lt;&gt;0)),1,0)</f>
        <v>0</v>
      </c>
      <c r="W1329" s="3">
        <f t="shared" si="355"/>
        <v>8</v>
      </c>
      <c r="X1329" s="3">
        <f>IF(AND($L1329=1,AND(对接源_02物料!$X129="自备筐",N(对接源_02物料!$T129)&lt;&gt;0)),1,0)</f>
        <v>0</v>
      </c>
      <c r="Y1329" s="3">
        <f t="shared" si="356"/>
        <v>0</v>
      </c>
      <c r="Z1329" s="3">
        <f>IF(AND($M1329=1,对接源_02物料!$D129="原料入库"),1,0)</f>
        <v>0</v>
      </c>
      <c r="AA1329" s="3">
        <f t="shared" si="357"/>
        <v>24</v>
      </c>
      <c r="AB1329" s="3">
        <f>IF(AND($M1329=1,LEFT(对接源_02物料!$D129,4)="原料出库"),1,0)</f>
        <v>0</v>
      </c>
      <c r="AC1329" s="3">
        <f t="shared" si="358"/>
        <v>0</v>
      </c>
      <c r="AD1329" s="3">
        <f>IF(AND($M1329=1,LEFT(对接源_02物料!$D129,4)="成品出库"),1,0)</f>
        <v>0</v>
      </c>
      <c r="AE1329" s="3">
        <f t="shared" si="359"/>
        <v>0</v>
      </c>
      <c r="AF1329" s="3">
        <f>IF(AND($N1329=1,AND(LEFT(对接源_02物料!$D129,4)="包装物料",N(对接源_02物料!$K129)&lt;&gt;0)),1,0)</f>
        <v>0</v>
      </c>
      <c r="AG1329" s="3">
        <f t="shared" si="360"/>
        <v>5</v>
      </c>
      <c r="AH1329" s="3">
        <f>IF(AND($N1329=1,AND(对接源_02物料!$D129="周转筐－销售出库",N(对接源_02物料!$K129)&lt;&gt;0)),1,0)</f>
        <v>0</v>
      </c>
      <c r="AI1329" s="3">
        <f t="shared" si="361"/>
        <v>0</v>
      </c>
      <c r="AL1329" s="3">
        <v>0</v>
      </c>
      <c r="AM1329" s="3">
        <f t="shared" si="362"/>
        <v>1</v>
      </c>
      <c r="AN1329" s="3" t="str">
        <f t="shared" si="349"/>
        <v/>
      </c>
      <c r="AO1329" s="3">
        <v>0</v>
      </c>
      <c r="AP1329" s="3">
        <f t="shared" si="363"/>
        <v>8</v>
      </c>
      <c r="AR1329">
        <f t="shared" si="364"/>
        <v>0</v>
      </c>
      <c r="AS1329">
        <f t="shared" si="365"/>
        <v>5</v>
      </c>
    </row>
    <row r="1330" customHeight="1" spans="1:45">
      <c r="A1330" s="3" t="str">
        <f>IF(对接源_02物料!$C130="","",对接源_02物料!$C130)</f>
        <v>李现东</v>
      </c>
      <c r="B1330" s="3">
        <f t="shared" si="350"/>
        <v>0</v>
      </c>
      <c r="C1330" s="3">
        <f t="shared" si="351"/>
        <v>21</v>
      </c>
      <c r="K1330" s="3">
        <f>IF(OR($K$1="",对接源_02物料!$C130="",对接源_02物料!$C130&lt;&gt;$K$1,对接源_02物料!$B130=""),0,IF(OR(N(对接源_02物料!$B130)&lt;$K$2,N(对接源_02物料!$B130)&gt;$K$3),0,1))</f>
        <v>0</v>
      </c>
      <c r="L1330" s="3">
        <f>IF(OR($L$1="",对接源_02物料!$C130="",对接源_02物料!$C130&lt;&gt;$L$1,对接源_02物料!$B130=""),0,IF(OR(N(对接源_02物料!$B130)&lt;$L$2,N(对接源_02物料!$B130)&gt;$L$3),0,1))</f>
        <v>0</v>
      </c>
      <c r="M1330" s="3">
        <f>IF(OR($M$1="",对接源_02物料!$C130="",对接源_02物料!$C130&lt;&gt;$M$1,对接源_02物料!$B130=""),0,IF(OR(N(对接源_02物料!$B130)&lt;$M$2,N(对接源_02物料!$B130)&gt;$M$3),0,1))</f>
        <v>0</v>
      </c>
      <c r="N1330" s="3">
        <f>IF(OR($N$1="",对接源_02物料!$C130="",对接源_02物料!$C130&lt;&gt;$N$1,对接源_02物料!$B130=""),0,IF(OR(N(对接源_02物料!$B130)&lt;$N$2,N(对接源_02物料!$B130)&gt;$N$3),0,1))</f>
        <v>0</v>
      </c>
      <c r="P1330" s="3">
        <f>IF(AND($K1330=1,AND(对接源_02物料!$X130="公司筐",N(对接源_02物料!$T130)&lt;&gt;0)),1,0)</f>
        <v>0</v>
      </c>
      <c r="Q1330" s="3">
        <f t="shared" si="352"/>
        <v>5</v>
      </c>
      <c r="R1330" s="3">
        <f>IF(AND($K1330=1,AND(对接源_02物料!$X130="公司筐",N(对接源_02物料!$U130)&lt;&gt;0)),1,0)</f>
        <v>0</v>
      </c>
      <c r="S1330" s="3">
        <f t="shared" si="353"/>
        <v>0</v>
      </c>
      <c r="T1330" s="3">
        <f>IF(AND($K1330=1,AND(对接源_02物料!$X130="公司筐",N(对接源_02物料!$V130)&lt;&gt;0)),1,0)</f>
        <v>0</v>
      </c>
      <c r="U1330" s="3">
        <f t="shared" si="354"/>
        <v>19</v>
      </c>
      <c r="V1330" s="3">
        <f>IF(AND($L1330=1,AND(对接源_02物料!$X130="自备筐",N(对接源_02物料!$V130)&lt;&gt;0)),1,0)</f>
        <v>0</v>
      </c>
      <c r="W1330" s="3">
        <f t="shared" si="355"/>
        <v>8</v>
      </c>
      <c r="X1330" s="3">
        <f>IF(AND($L1330=1,AND(对接源_02物料!$X130="自备筐",N(对接源_02物料!$T130)&lt;&gt;0)),1,0)</f>
        <v>0</v>
      </c>
      <c r="Y1330" s="3">
        <f t="shared" si="356"/>
        <v>0</v>
      </c>
      <c r="Z1330" s="3">
        <f>IF(AND($M1330=1,对接源_02物料!$D130="原料入库"),1,0)</f>
        <v>0</v>
      </c>
      <c r="AA1330" s="3">
        <f t="shared" si="357"/>
        <v>24</v>
      </c>
      <c r="AB1330" s="3">
        <f>IF(AND($M1330=1,LEFT(对接源_02物料!$D130,4)="原料出库"),1,0)</f>
        <v>0</v>
      </c>
      <c r="AC1330" s="3">
        <f t="shared" si="358"/>
        <v>0</v>
      </c>
      <c r="AD1330" s="3">
        <f>IF(AND($M1330=1,LEFT(对接源_02物料!$D130,4)="成品出库"),1,0)</f>
        <v>0</v>
      </c>
      <c r="AE1330" s="3">
        <f t="shared" si="359"/>
        <v>0</v>
      </c>
      <c r="AF1330" s="3">
        <f>IF(AND($N1330=1,AND(LEFT(对接源_02物料!$D130,4)="包装物料",N(对接源_02物料!$K130)&lt;&gt;0)),1,0)</f>
        <v>0</v>
      </c>
      <c r="AG1330" s="3">
        <f t="shared" si="360"/>
        <v>5</v>
      </c>
      <c r="AH1330" s="3">
        <f>IF(AND($N1330=1,AND(对接源_02物料!$D130="周转筐－销售出库",N(对接源_02物料!$K130)&lt;&gt;0)),1,0)</f>
        <v>0</v>
      </c>
      <c r="AI1330" s="3">
        <f t="shared" si="361"/>
        <v>0</v>
      </c>
      <c r="AL1330" s="3">
        <v>0</v>
      </c>
      <c r="AM1330" s="3">
        <f t="shared" si="362"/>
        <v>1</v>
      </c>
      <c r="AN1330" s="3" t="str">
        <f t="shared" si="349"/>
        <v/>
      </c>
      <c r="AO1330" s="3">
        <v>0</v>
      </c>
      <c r="AP1330" s="3">
        <f t="shared" si="363"/>
        <v>8</v>
      </c>
      <c r="AR1330">
        <f t="shared" si="364"/>
        <v>0</v>
      </c>
      <c r="AS1330">
        <f t="shared" si="365"/>
        <v>5</v>
      </c>
    </row>
    <row r="1331" customHeight="1" spans="1:45">
      <c r="A1331" s="3" t="str">
        <f>IF(对接源_02物料!$C131="","",对接源_02物料!$C131)</f>
        <v>全修塑业</v>
      </c>
      <c r="B1331" s="3">
        <f t="shared" si="350"/>
        <v>0</v>
      </c>
      <c r="C1331" s="3">
        <f t="shared" si="351"/>
        <v>21</v>
      </c>
      <c r="K1331" s="3">
        <f>IF(OR($K$1="",对接源_02物料!$C131="",对接源_02物料!$C131&lt;&gt;$K$1,对接源_02物料!$B131=""),0,IF(OR(N(对接源_02物料!$B131)&lt;$K$2,N(对接源_02物料!$B131)&gt;$K$3),0,1))</f>
        <v>0</v>
      </c>
      <c r="L1331" s="3">
        <f>IF(OR($L$1="",对接源_02物料!$C131="",对接源_02物料!$C131&lt;&gt;$L$1,对接源_02物料!$B131=""),0,IF(OR(N(对接源_02物料!$B131)&lt;$L$2,N(对接源_02物料!$B131)&gt;$L$3),0,1))</f>
        <v>0</v>
      </c>
      <c r="M1331" s="3">
        <f>IF(OR($M$1="",对接源_02物料!$C131="",对接源_02物料!$C131&lt;&gt;$M$1,对接源_02物料!$B131=""),0,IF(OR(N(对接源_02物料!$B131)&lt;$M$2,N(对接源_02物料!$B131)&gt;$M$3),0,1))</f>
        <v>0</v>
      </c>
      <c r="N1331" s="3">
        <f>IF(OR($N$1="",对接源_02物料!$C131="",对接源_02物料!$C131&lt;&gt;$N$1,对接源_02物料!$B131=""),0,IF(OR(N(对接源_02物料!$B131)&lt;$N$2,N(对接源_02物料!$B131)&gt;$N$3),0,1))</f>
        <v>0</v>
      </c>
      <c r="P1331" s="3">
        <f>IF(AND($K1331=1,AND(对接源_02物料!$X131="公司筐",N(对接源_02物料!$T131)&lt;&gt;0)),1,0)</f>
        <v>0</v>
      </c>
      <c r="Q1331" s="3">
        <f t="shared" si="352"/>
        <v>5</v>
      </c>
      <c r="R1331" s="3">
        <f>IF(AND($K1331=1,AND(对接源_02物料!$X131="公司筐",N(对接源_02物料!$U131)&lt;&gt;0)),1,0)</f>
        <v>0</v>
      </c>
      <c r="S1331" s="3">
        <f t="shared" si="353"/>
        <v>0</v>
      </c>
      <c r="T1331" s="3">
        <f>IF(AND($K1331=1,AND(对接源_02物料!$X131="公司筐",N(对接源_02物料!$V131)&lt;&gt;0)),1,0)</f>
        <v>0</v>
      </c>
      <c r="U1331" s="3">
        <f t="shared" si="354"/>
        <v>19</v>
      </c>
      <c r="V1331" s="3">
        <f>IF(AND($L1331=1,AND(对接源_02物料!$X131="自备筐",N(对接源_02物料!$V131)&lt;&gt;0)),1,0)</f>
        <v>0</v>
      </c>
      <c r="W1331" s="3">
        <f t="shared" si="355"/>
        <v>8</v>
      </c>
      <c r="X1331" s="3">
        <f>IF(AND($L1331=1,AND(对接源_02物料!$X131="自备筐",N(对接源_02物料!$T131)&lt;&gt;0)),1,0)</f>
        <v>0</v>
      </c>
      <c r="Y1331" s="3">
        <f t="shared" si="356"/>
        <v>0</v>
      </c>
      <c r="Z1331" s="3">
        <f>IF(AND($M1331=1,对接源_02物料!$D131="原料入库"),1,0)</f>
        <v>0</v>
      </c>
      <c r="AA1331" s="3">
        <f t="shared" si="357"/>
        <v>24</v>
      </c>
      <c r="AB1331" s="3">
        <f>IF(AND($M1331=1,LEFT(对接源_02物料!$D131,4)="原料出库"),1,0)</f>
        <v>0</v>
      </c>
      <c r="AC1331" s="3">
        <f t="shared" si="358"/>
        <v>0</v>
      </c>
      <c r="AD1331" s="3">
        <f>IF(AND($M1331=1,LEFT(对接源_02物料!$D131,4)="成品出库"),1,0)</f>
        <v>0</v>
      </c>
      <c r="AE1331" s="3">
        <f t="shared" si="359"/>
        <v>0</v>
      </c>
      <c r="AF1331" s="3">
        <f>IF(AND($N1331=1,AND(LEFT(对接源_02物料!$D131,4)="包装物料",N(对接源_02物料!$K131)&lt;&gt;0)),1,0)</f>
        <v>0</v>
      </c>
      <c r="AG1331" s="3">
        <f t="shared" si="360"/>
        <v>5</v>
      </c>
      <c r="AH1331" s="3">
        <f>IF(AND($N1331=1,AND(对接源_02物料!$D131="周转筐－销售出库",N(对接源_02物料!$K131)&lt;&gt;0)),1,0)</f>
        <v>0</v>
      </c>
      <c r="AI1331" s="3">
        <f t="shared" si="361"/>
        <v>0</v>
      </c>
      <c r="AL1331" s="3">
        <v>0</v>
      </c>
      <c r="AM1331" s="3">
        <f t="shared" si="362"/>
        <v>1</v>
      </c>
      <c r="AN1331" s="3" t="str">
        <f t="shared" si="349"/>
        <v/>
      </c>
      <c r="AO1331" s="3">
        <v>0</v>
      </c>
      <c r="AP1331" s="3">
        <f t="shared" si="363"/>
        <v>8</v>
      </c>
      <c r="AR1331">
        <f t="shared" si="364"/>
        <v>0</v>
      </c>
      <c r="AS1331">
        <f t="shared" si="365"/>
        <v>5</v>
      </c>
    </row>
    <row r="1332" customHeight="1" spans="1:45">
      <c r="A1332" s="3" t="str">
        <f>IF(对接源_02物料!$C132="","",对接源_02物料!$C132)</f>
        <v>吐尔洪</v>
      </c>
      <c r="B1332" s="3">
        <f t="shared" si="350"/>
        <v>0</v>
      </c>
      <c r="C1332" s="3">
        <f t="shared" si="351"/>
        <v>21</v>
      </c>
      <c r="K1332" s="3">
        <f>IF(OR($K$1="",对接源_02物料!$C132="",对接源_02物料!$C132&lt;&gt;$K$1,对接源_02物料!$B132=""),0,IF(OR(N(对接源_02物料!$B132)&lt;$K$2,N(对接源_02物料!$B132)&gt;$K$3),0,1))</f>
        <v>0</v>
      </c>
      <c r="L1332" s="3">
        <f>IF(OR($L$1="",对接源_02物料!$C132="",对接源_02物料!$C132&lt;&gt;$L$1,对接源_02物料!$B132=""),0,IF(OR(N(对接源_02物料!$B132)&lt;$L$2,N(对接源_02物料!$B132)&gt;$L$3),0,1))</f>
        <v>0</v>
      </c>
      <c r="M1332" s="3">
        <f>IF(OR($M$1="",对接源_02物料!$C132="",对接源_02物料!$C132&lt;&gt;$M$1,对接源_02物料!$B132=""),0,IF(OR(N(对接源_02物料!$B132)&lt;$M$2,N(对接源_02物料!$B132)&gt;$M$3),0,1))</f>
        <v>1</v>
      </c>
      <c r="N1332" s="3">
        <f>IF(OR($N$1="",对接源_02物料!$C132="",对接源_02物料!$C132&lt;&gt;$N$1,对接源_02物料!$B132=""),0,IF(OR(N(对接源_02物料!$B132)&lt;$N$2,N(对接源_02物料!$B132)&gt;$N$3),0,1))</f>
        <v>1</v>
      </c>
      <c r="P1332" s="3">
        <f>IF(AND($K1332=1,AND(对接源_02物料!$X132="公司筐",N(对接源_02物料!$T132)&lt;&gt;0)),1,0)</f>
        <v>0</v>
      </c>
      <c r="Q1332" s="3">
        <f t="shared" si="352"/>
        <v>5</v>
      </c>
      <c r="R1332" s="3">
        <f>IF(AND($K1332=1,AND(对接源_02物料!$X132="公司筐",N(对接源_02物料!$U132)&lt;&gt;0)),1,0)</f>
        <v>0</v>
      </c>
      <c r="S1332" s="3">
        <f t="shared" si="353"/>
        <v>0</v>
      </c>
      <c r="T1332" s="3">
        <f>IF(AND($K1332=1,AND(对接源_02物料!$X132="公司筐",N(对接源_02物料!$V132)&lt;&gt;0)),1,0)</f>
        <v>0</v>
      </c>
      <c r="U1332" s="3">
        <f t="shared" si="354"/>
        <v>19</v>
      </c>
      <c r="V1332" s="3">
        <f>IF(AND($L1332=1,AND(对接源_02物料!$X132="自备筐",N(对接源_02物料!$V132)&lt;&gt;0)),1,0)</f>
        <v>0</v>
      </c>
      <c r="W1332" s="3">
        <f t="shared" si="355"/>
        <v>8</v>
      </c>
      <c r="X1332" s="3">
        <f>IF(AND($L1332=1,AND(对接源_02物料!$X132="自备筐",N(对接源_02物料!$T132)&lt;&gt;0)),1,0)</f>
        <v>0</v>
      </c>
      <c r="Y1332" s="3">
        <f t="shared" si="356"/>
        <v>0</v>
      </c>
      <c r="Z1332" s="3">
        <f>IF(AND($M1332=1,对接源_02物料!$D132="原料入库"),1,0)</f>
        <v>0</v>
      </c>
      <c r="AA1332" s="3">
        <f t="shared" si="357"/>
        <v>24</v>
      </c>
      <c r="AB1332" s="3">
        <f>IF(AND($M1332=1,LEFT(对接源_02物料!$D132,4)="原料出库"),1,0)</f>
        <v>0</v>
      </c>
      <c r="AC1332" s="3">
        <f t="shared" si="358"/>
        <v>0</v>
      </c>
      <c r="AD1332" s="3">
        <f>IF(AND($M1332=1,LEFT(对接源_02物料!$D132,4)="成品出库"),1,0)</f>
        <v>0</v>
      </c>
      <c r="AE1332" s="3">
        <f t="shared" si="359"/>
        <v>0</v>
      </c>
      <c r="AF1332" s="3">
        <f>IF(AND($N1332=1,AND(LEFT(对接源_02物料!$D132,4)="包装物料",N(对接源_02物料!$K132)&lt;&gt;0)),1,0)</f>
        <v>0</v>
      </c>
      <c r="AG1332" s="3">
        <f t="shared" si="360"/>
        <v>5</v>
      </c>
      <c r="AH1332" s="3">
        <f>IF(AND($N1332=1,AND(对接源_02物料!$D132="周转筐－销售出库",N(对接源_02物料!$K132)&lt;&gt;0)),1,0)</f>
        <v>0</v>
      </c>
      <c r="AI1332" s="3">
        <f t="shared" si="361"/>
        <v>0</v>
      </c>
      <c r="AL1332" s="3">
        <v>0</v>
      </c>
      <c r="AM1332" s="3">
        <f t="shared" si="362"/>
        <v>1</v>
      </c>
      <c r="AN1332" s="3" t="str">
        <f t="shared" ref="AN1332:AN1395" si="366">""</f>
        <v/>
      </c>
      <c r="AO1332" s="3">
        <v>0</v>
      </c>
      <c r="AP1332" s="3">
        <f t="shared" si="363"/>
        <v>8</v>
      </c>
      <c r="AR1332">
        <f t="shared" si="364"/>
        <v>0</v>
      </c>
      <c r="AS1332">
        <f t="shared" si="365"/>
        <v>5</v>
      </c>
    </row>
    <row r="1333" customHeight="1" spans="1:45">
      <c r="A1333" s="3" t="str">
        <f>IF(对接源_02物料!$C133="","",对接源_02物料!$C133)</f>
        <v>全修塑业</v>
      </c>
      <c r="B1333" s="3">
        <f t="shared" si="350"/>
        <v>0</v>
      </c>
      <c r="C1333" s="3">
        <f t="shared" si="351"/>
        <v>21</v>
      </c>
      <c r="K1333" s="3">
        <f>IF(OR($K$1="",对接源_02物料!$C133="",对接源_02物料!$C133&lt;&gt;$K$1,对接源_02物料!$B133=""),0,IF(OR(N(对接源_02物料!$B133)&lt;$K$2,N(对接源_02物料!$B133)&gt;$K$3),0,1))</f>
        <v>0</v>
      </c>
      <c r="L1333" s="3">
        <f>IF(OR($L$1="",对接源_02物料!$C133="",对接源_02物料!$C133&lt;&gt;$L$1,对接源_02物料!$B133=""),0,IF(OR(N(对接源_02物料!$B133)&lt;$L$2,N(对接源_02物料!$B133)&gt;$L$3),0,1))</f>
        <v>0</v>
      </c>
      <c r="M1333" s="3">
        <f>IF(OR($M$1="",对接源_02物料!$C133="",对接源_02物料!$C133&lt;&gt;$M$1,对接源_02物料!$B133=""),0,IF(OR(N(对接源_02物料!$B133)&lt;$M$2,N(对接源_02物料!$B133)&gt;$M$3),0,1))</f>
        <v>0</v>
      </c>
      <c r="N1333" s="3">
        <f>IF(OR($N$1="",对接源_02物料!$C133="",对接源_02物料!$C133&lt;&gt;$N$1,对接源_02物料!$B133=""),0,IF(OR(N(对接源_02物料!$B133)&lt;$N$2,N(对接源_02物料!$B133)&gt;$N$3),0,1))</f>
        <v>0</v>
      </c>
      <c r="P1333" s="3">
        <f>IF(AND($K1333=1,AND(对接源_02物料!$X133="公司筐",N(对接源_02物料!$T133)&lt;&gt;0)),1,0)</f>
        <v>0</v>
      </c>
      <c r="Q1333" s="3">
        <f t="shared" si="352"/>
        <v>5</v>
      </c>
      <c r="R1333" s="3">
        <f>IF(AND($K1333=1,AND(对接源_02物料!$X133="公司筐",N(对接源_02物料!$U133)&lt;&gt;0)),1,0)</f>
        <v>0</v>
      </c>
      <c r="S1333" s="3">
        <f t="shared" si="353"/>
        <v>0</v>
      </c>
      <c r="T1333" s="3">
        <f>IF(AND($K1333=1,AND(对接源_02物料!$X133="公司筐",N(对接源_02物料!$V133)&lt;&gt;0)),1,0)</f>
        <v>0</v>
      </c>
      <c r="U1333" s="3">
        <f t="shared" si="354"/>
        <v>19</v>
      </c>
      <c r="V1333" s="3">
        <f>IF(AND($L1333=1,AND(对接源_02物料!$X133="自备筐",N(对接源_02物料!$V133)&lt;&gt;0)),1,0)</f>
        <v>0</v>
      </c>
      <c r="W1333" s="3">
        <f t="shared" si="355"/>
        <v>8</v>
      </c>
      <c r="X1333" s="3">
        <f>IF(AND($L1333=1,AND(对接源_02物料!$X133="自备筐",N(对接源_02物料!$T133)&lt;&gt;0)),1,0)</f>
        <v>0</v>
      </c>
      <c r="Y1333" s="3">
        <f t="shared" si="356"/>
        <v>0</v>
      </c>
      <c r="Z1333" s="3">
        <f>IF(AND($M1333=1,对接源_02物料!$D133="原料入库"),1,0)</f>
        <v>0</v>
      </c>
      <c r="AA1333" s="3">
        <f t="shared" si="357"/>
        <v>24</v>
      </c>
      <c r="AB1333" s="3">
        <f>IF(AND($M1333=1,LEFT(对接源_02物料!$D133,4)="原料出库"),1,0)</f>
        <v>0</v>
      </c>
      <c r="AC1333" s="3">
        <f t="shared" si="358"/>
        <v>0</v>
      </c>
      <c r="AD1333" s="3">
        <f>IF(AND($M1333=1,LEFT(对接源_02物料!$D133,4)="成品出库"),1,0)</f>
        <v>0</v>
      </c>
      <c r="AE1333" s="3">
        <f t="shared" si="359"/>
        <v>0</v>
      </c>
      <c r="AF1333" s="3">
        <f>IF(AND($N1333=1,AND(LEFT(对接源_02物料!$D133,4)="包装物料",N(对接源_02物料!$K133)&lt;&gt;0)),1,0)</f>
        <v>0</v>
      </c>
      <c r="AG1333" s="3">
        <f t="shared" si="360"/>
        <v>5</v>
      </c>
      <c r="AH1333" s="3">
        <f>IF(AND($N1333=1,AND(对接源_02物料!$D133="周转筐－销售出库",N(对接源_02物料!$K133)&lt;&gt;0)),1,0)</f>
        <v>0</v>
      </c>
      <c r="AI1333" s="3">
        <f t="shared" si="361"/>
        <v>0</v>
      </c>
      <c r="AL1333" s="3">
        <v>0</v>
      </c>
      <c r="AM1333" s="3">
        <f t="shared" si="362"/>
        <v>1</v>
      </c>
      <c r="AN1333" s="3" t="str">
        <f t="shared" si="366"/>
        <v/>
      </c>
      <c r="AO1333" s="3">
        <v>0</v>
      </c>
      <c r="AP1333" s="3">
        <f t="shared" si="363"/>
        <v>8</v>
      </c>
      <c r="AR1333">
        <f t="shared" si="364"/>
        <v>0</v>
      </c>
      <c r="AS1333">
        <f t="shared" si="365"/>
        <v>5</v>
      </c>
    </row>
    <row r="1334" customHeight="1" spans="1:45">
      <c r="A1334" s="3" t="str">
        <f>IF(对接源_02物料!$C134="","",对接源_02物料!$C134)</f>
        <v>全修塑业</v>
      </c>
      <c r="B1334" s="3">
        <f t="shared" si="350"/>
        <v>0</v>
      </c>
      <c r="C1334" s="3">
        <f t="shared" si="351"/>
        <v>21</v>
      </c>
      <c r="K1334" s="3">
        <f>IF(OR($K$1="",对接源_02物料!$C134="",对接源_02物料!$C134&lt;&gt;$K$1,对接源_02物料!$B134=""),0,IF(OR(N(对接源_02物料!$B134)&lt;$K$2,N(对接源_02物料!$B134)&gt;$K$3),0,1))</f>
        <v>0</v>
      </c>
      <c r="L1334" s="3">
        <f>IF(OR($L$1="",对接源_02物料!$C134="",对接源_02物料!$C134&lt;&gt;$L$1,对接源_02物料!$B134=""),0,IF(OR(N(对接源_02物料!$B134)&lt;$L$2,N(对接源_02物料!$B134)&gt;$L$3),0,1))</f>
        <v>0</v>
      </c>
      <c r="M1334" s="3">
        <f>IF(OR($M$1="",对接源_02物料!$C134="",对接源_02物料!$C134&lt;&gt;$M$1,对接源_02物料!$B134=""),0,IF(OR(N(对接源_02物料!$B134)&lt;$M$2,N(对接源_02物料!$B134)&gt;$M$3),0,1))</f>
        <v>0</v>
      </c>
      <c r="N1334" s="3">
        <f>IF(OR($N$1="",对接源_02物料!$C134="",对接源_02物料!$C134&lt;&gt;$N$1,对接源_02物料!$B134=""),0,IF(OR(N(对接源_02物料!$B134)&lt;$N$2,N(对接源_02物料!$B134)&gt;$N$3),0,1))</f>
        <v>0</v>
      </c>
      <c r="P1334" s="3">
        <f>IF(AND($K1334=1,AND(对接源_02物料!$X134="公司筐",N(对接源_02物料!$T134)&lt;&gt;0)),1,0)</f>
        <v>0</v>
      </c>
      <c r="Q1334" s="3">
        <f t="shared" si="352"/>
        <v>5</v>
      </c>
      <c r="R1334" s="3">
        <f>IF(AND($K1334=1,AND(对接源_02物料!$X134="公司筐",N(对接源_02物料!$U134)&lt;&gt;0)),1,0)</f>
        <v>0</v>
      </c>
      <c r="S1334" s="3">
        <f t="shared" si="353"/>
        <v>0</v>
      </c>
      <c r="T1334" s="3">
        <f>IF(AND($K1334=1,AND(对接源_02物料!$X134="公司筐",N(对接源_02物料!$V134)&lt;&gt;0)),1,0)</f>
        <v>0</v>
      </c>
      <c r="U1334" s="3">
        <f t="shared" si="354"/>
        <v>19</v>
      </c>
      <c r="V1334" s="3">
        <f>IF(AND($L1334=1,AND(对接源_02物料!$X134="自备筐",N(对接源_02物料!$V134)&lt;&gt;0)),1,0)</f>
        <v>0</v>
      </c>
      <c r="W1334" s="3">
        <f t="shared" si="355"/>
        <v>8</v>
      </c>
      <c r="X1334" s="3">
        <f>IF(AND($L1334=1,AND(对接源_02物料!$X134="自备筐",N(对接源_02物料!$T134)&lt;&gt;0)),1,0)</f>
        <v>0</v>
      </c>
      <c r="Y1334" s="3">
        <f t="shared" si="356"/>
        <v>0</v>
      </c>
      <c r="Z1334" s="3">
        <f>IF(AND($M1334=1,对接源_02物料!$D134="原料入库"),1,0)</f>
        <v>0</v>
      </c>
      <c r="AA1334" s="3">
        <f t="shared" si="357"/>
        <v>24</v>
      </c>
      <c r="AB1334" s="3">
        <f>IF(AND($M1334=1,LEFT(对接源_02物料!$D134,4)="原料出库"),1,0)</f>
        <v>0</v>
      </c>
      <c r="AC1334" s="3">
        <f t="shared" si="358"/>
        <v>0</v>
      </c>
      <c r="AD1334" s="3">
        <f>IF(AND($M1334=1,LEFT(对接源_02物料!$D134,4)="成品出库"),1,0)</f>
        <v>0</v>
      </c>
      <c r="AE1334" s="3">
        <f t="shared" si="359"/>
        <v>0</v>
      </c>
      <c r="AF1334" s="3">
        <f>IF(AND($N1334=1,AND(LEFT(对接源_02物料!$D134,4)="包装物料",N(对接源_02物料!$K134)&lt;&gt;0)),1,0)</f>
        <v>0</v>
      </c>
      <c r="AG1334" s="3">
        <f t="shared" si="360"/>
        <v>5</v>
      </c>
      <c r="AH1334" s="3">
        <f>IF(AND($N1334=1,AND(对接源_02物料!$D134="周转筐－销售出库",N(对接源_02物料!$K134)&lt;&gt;0)),1,0)</f>
        <v>0</v>
      </c>
      <c r="AI1334" s="3">
        <f t="shared" si="361"/>
        <v>0</v>
      </c>
      <c r="AL1334" s="3">
        <v>0</v>
      </c>
      <c r="AM1334" s="3">
        <f t="shared" si="362"/>
        <v>1</v>
      </c>
      <c r="AN1334" s="3" t="str">
        <f t="shared" si="366"/>
        <v/>
      </c>
      <c r="AO1334" s="3">
        <v>0</v>
      </c>
      <c r="AP1334" s="3">
        <f t="shared" si="363"/>
        <v>8</v>
      </c>
      <c r="AR1334">
        <f t="shared" si="364"/>
        <v>0</v>
      </c>
      <c r="AS1334">
        <f t="shared" si="365"/>
        <v>5</v>
      </c>
    </row>
    <row r="1335" customHeight="1" spans="1:45">
      <c r="A1335" s="3" t="str">
        <f>IF(对接源_02物料!$C135="","",对接源_02物料!$C135)</f>
        <v>努尔敦</v>
      </c>
      <c r="B1335" s="3">
        <f t="shared" si="350"/>
        <v>0</v>
      </c>
      <c r="C1335" s="3">
        <f t="shared" si="351"/>
        <v>21</v>
      </c>
      <c r="K1335" s="3">
        <f>IF(OR($K$1="",对接源_02物料!$C135="",对接源_02物料!$C135&lt;&gt;$K$1,对接源_02物料!$B135=""),0,IF(OR(N(对接源_02物料!$B135)&lt;$K$2,N(对接源_02物料!$B135)&gt;$K$3),0,1))</f>
        <v>0</v>
      </c>
      <c r="L1335" s="3">
        <f>IF(OR($L$1="",对接源_02物料!$C135="",对接源_02物料!$C135&lt;&gt;$L$1,对接源_02物料!$B135=""),0,IF(OR(N(对接源_02物料!$B135)&lt;$L$2,N(对接源_02物料!$B135)&gt;$L$3),0,1))</f>
        <v>0</v>
      </c>
      <c r="M1335" s="3">
        <f>IF(OR($M$1="",对接源_02物料!$C135="",对接源_02物料!$C135&lt;&gt;$M$1,对接源_02物料!$B135=""),0,IF(OR(N(对接源_02物料!$B135)&lt;$M$2,N(对接源_02物料!$B135)&gt;$M$3),0,1))</f>
        <v>0</v>
      </c>
      <c r="N1335" s="3">
        <f>IF(OR($N$1="",对接源_02物料!$C135="",对接源_02物料!$C135&lt;&gt;$N$1,对接源_02物料!$B135=""),0,IF(OR(N(对接源_02物料!$B135)&lt;$N$2,N(对接源_02物料!$B135)&gt;$N$3),0,1))</f>
        <v>0</v>
      </c>
      <c r="P1335" s="3">
        <f>IF(AND($K1335=1,AND(对接源_02物料!$X135="公司筐",N(对接源_02物料!$T135)&lt;&gt;0)),1,0)</f>
        <v>0</v>
      </c>
      <c r="Q1335" s="3">
        <f t="shared" si="352"/>
        <v>5</v>
      </c>
      <c r="R1335" s="3">
        <f>IF(AND($K1335=1,AND(对接源_02物料!$X135="公司筐",N(对接源_02物料!$U135)&lt;&gt;0)),1,0)</f>
        <v>0</v>
      </c>
      <c r="S1335" s="3">
        <f t="shared" si="353"/>
        <v>0</v>
      </c>
      <c r="T1335" s="3">
        <f>IF(AND($K1335=1,AND(对接源_02物料!$X135="公司筐",N(对接源_02物料!$V135)&lt;&gt;0)),1,0)</f>
        <v>0</v>
      </c>
      <c r="U1335" s="3">
        <f t="shared" si="354"/>
        <v>19</v>
      </c>
      <c r="V1335" s="3">
        <f>IF(AND($L1335=1,AND(对接源_02物料!$X135="自备筐",N(对接源_02物料!$V135)&lt;&gt;0)),1,0)</f>
        <v>0</v>
      </c>
      <c r="W1335" s="3">
        <f t="shared" si="355"/>
        <v>8</v>
      </c>
      <c r="X1335" s="3">
        <f>IF(AND($L1335=1,AND(对接源_02物料!$X135="自备筐",N(对接源_02物料!$T135)&lt;&gt;0)),1,0)</f>
        <v>0</v>
      </c>
      <c r="Y1335" s="3">
        <f t="shared" si="356"/>
        <v>0</v>
      </c>
      <c r="Z1335" s="3">
        <f>IF(AND($M1335=1,对接源_02物料!$D135="原料入库"),1,0)</f>
        <v>0</v>
      </c>
      <c r="AA1335" s="3">
        <f t="shared" si="357"/>
        <v>24</v>
      </c>
      <c r="AB1335" s="3">
        <f>IF(AND($M1335=1,LEFT(对接源_02物料!$D135,4)="原料出库"),1,0)</f>
        <v>0</v>
      </c>
      <c r="AC1335" s="3">
        <f t="shared" si="358"/>
        <v>0</v>
      </c>
      <c r="AD1335" s="3">
        <f>IF(AND($M1335=1,LEFT(对接源_02物料!$D135,4)="成品出库"),1,0)</f>
        <v>0</v>
      </c>
      <c r="AE1335" s="3">
        <f t="shared" si="359"/>
        <v>0</v>
      </c>
      <c r="AF1335" s="3">
        <f>IF(AND($N1335=1,AND(LEFT(对接源_02物料!$D135,4)="包装物料",N(对接源_02物料!$K135)&lt;&gt;0)),1,0)</f>
        <v>0</v>
      </c>
      <c r="AG1335" s="3">
        <f t="shared" si="360"/>
        <v>5</v>
      </c>
      <c r="AH1335" s="3">
        <f>IF(AND($N1335=1,AND(对接源_02物料!$D135="周转筐－销售出库",N(对接源_02物料!$K135)&lt;&gt;0)),1,0)</f>
        <v>0</v>
      </c>
      <c r="AI1335" s="3">
        <f t="shared" si="361"/>
        <v>0</v>
      </c>
      <c r="AL1335" s="3">
        <v>0</v>
      </c>
      <c r="AM1335" s="3">
        <f t="shared" si="362"/>
        <v>1</v>
      </c>
      <c r="AN1335" s="3" t="str">
        <f t="shared" si="366"/>
        <v/>
      </c>
      <c r="AO1335" s="3">
        <v>0</v>
      </c>
      <c r="AP1335" s="3">
        <f t="shared" si="363"/>
        <v>8</v>
      </c>
      <c r="AR1335">
        <f t="shared" si="364"/>
        <v>0</v>
      </c>
      <c r="AS1335">
        <f t="shared" si="365"/>
        <v>5</v>
      </c>
    </row>
    <row r="1336" customHeight="1" spans="1:45">
      <c r="A1336" s="3" t="str">
        <f>IF(对接源_02物料!$C136="","",对接源_02物料!$C136)</f>
        <v>麦麦提</v>
      </c>
      <c r="B1336" s="3">
        <f t="shared" si="350"/>
        <v>0</v>
      </c>
      <c r="C1336" s="3">
        <f t="shared" si="351"/>
        <v>21</v>
      </c>
      <c r="K1336" s="3">
        <f>IF(OR($K$1="",对接源_02物料!$C136="",对接源_02物料!$C136&lt;&gt;$K$1,对接源_02物料!$B136=""),0,IF(OR(N(对接源_02物料!$B136)&lt;$K$2,N(对接源_02物料!$B136)&gt;$K$3),0,1))</f>
        <v>0</v>
      </c>
      <c r="L1336" s="3">
        <f>IF(OR($L$1="",对接源_02物料!$C136="",对接源_02物料!$C136&lt;&gt;$L$1,对接源_02物料!$B136=""),0,IF(OR(N(对接源_02物料!$B136)&lt;$L$2,N(对接源_02物料!$B136)&gt;$L$3),0,1))</f>
        <v>0</v>
      </c>
      <c r="M1336" s="3">
        <f>IF(OR($M$1="",对接源_02物料!$C136="",对接源_02物料!$C136&lt;&gt;$M$1,对接源_02物料!$B136=""),0,IF(OR(N(对接源_02物料!$B136)&lt;$M$2,N(对接源_02物料!$B136)&gt;$M$3),0,1))</f>
        <v>0</v>
      </c>
      <c r="N1336" s="3">
        <f>IF(OR($N$1="",对接源_02物料!$C136="",对接源_02物料!$C136&lt;&gt;$N$1,对接源_02物料!$B136=""),0,IF(OR(N(对接源_02物料!$B136)&lt;$N$2,N(对接源_02物料!$B136)&gt;$N$3),0,1))</f>
        <v>0</v>
      </c>
      <c r="P1336" s="3">
        <f>IF(AND($K1336=1,AND(对接源_02物料!$X136="公司筐",N(对接源_02物料!$T136)&lt;&gt;0)),1,0)</f>
        <v>0</v>
      </c>
      <c r="Q1336" s="3">
        <f t="shared" si="352"/>
        <v>5</v>
      </c>
      <c r="R1336" s="3">
        <f>IF(AND($K1336=1,AND(对接源_02物料!$X136="公司筐",N(对接源_02物料!$U136)&lt;&gt;0)),1,0)</f>
        <v>0</v>
      </c>
      <c r="S1336" s="3">
        <f t="shared" si="353"/>
        <v>0</v>
      </c>
      <c r="T1336" s="3">
        <f>IF(AND($K1336=1,AND(对接源_02物料!$X136="公司筐",N(对接源_02物料!$V136)&lt;&gt;0)),1,0)</f>
        <v>0</v>
      </c>
      <c r="U1336" s="3">
        <f t="shared" si="354"/>
        <v>19</v>
      </c>
      <c r="V1336" s="3">
        <f>IF(AND($L1336=1,AND(对接源_02物料!$X136="自备筐",N(对接源_02物料!$V136)&lt;&gt;0)),1,0)</f>
        <v>0</v>
      </c>
      <c r="W1336" s="3">
        <f t="shared" si="355"/>
        <v>8</v>
      </c>
      <c r="X1336" s="3">
        <f>IF(AND($L1336=1,AND(对接源_02物料!$X136="自备筐",N(对接源_02物料!$T136)&lt;&gt;0)),1,0)</f>
        <v>0</v>
      </c>
      <c r="Y1336" s="3">
        <f t="shared" si="356"/>
        <v>0</v>
      </c>
      <c r="Z1336" s="3">
        <f>IF(AND($M1336=1,对接源_02物料!$D136="原料入库"),1,0)</f>
        <v>0</v>
      </c>
      <c r="AA1336" s="3">
        <f t="shared" si="357"/>
        <v>24</v>
      </c>
      <c r="AB1336" s="3">
        <f>IF(AND($M1336=1,LEFT(对接源_02物料!$D136,4)="原料出库"),1,0)</f>
        <v>0</v>
      </c>
      <c r="AC1336" s="3">
        <f t="shared" si="358"/>
        <v>0</v>
      </c>
      <c r="AD1336" s="3">
        <f>IF(AND($M1336=1,LEFT(对接源_02物料!$D136,4)="成品出库"),1,0)</f>
        <v>0</v>
      </c>
      <c r="AE1336" s="3">
        <f t="shared" si="359"/>
        <v>0</v>
      </c>
      <c r="AF1336" s="3">
        <f>IF(AND($N1336=1,AND(LEFT(对接源_02物料!$D136,4)="包装物料",N(对接源_02物料!$K136)&lt;&gt;0)),1,0)</f>
        <v>0</v>
      </c>
      <c r="AG1336" s="3">
        <f t="shared" si="360"/>
        <v>5</v>
      </c>
      <c r="AH1336" s="3">
        <f>IF(AND($N1336=1,AND(对接源_02物料!$D136="周转筐－销售出库",N(对接源_02物料!$K136)&lt;&gt;0)),1,0)</f>
        <v>0</v>
      </c>
      <c r="AI1336" s="3">
        <f t="shared" si="361"/>
        <v>0</v>
      </c>
      <c r="AL1336" s="3">
        <v>0</v>
      </c>
      <c r="AM1336" s="3">
        <f t="shared" si="362"/>
        <v>1</v>
      </c>
      <c r="AN1336" s="3" t="str">
        <f t="shared" si="366"/>
        <v/>
      </c>
      <c r="AO1336" s="3">
        <v>0</v>
      </c>
      <c r="AP1336" s="3">
        <f t="shared" si="363"/>
        <v>8</v>
      </c>
      <c r="AR1336">
        <f t="shared" si="364"/>
        <v>0</v>
      </c>
      <c r="AS1336">
        <f t="shared" si="365"/>
        <v>5</v>
      </c>
    </row>
    <row r="1337" customHeight="1" spans="1:45">
      <c r="A1337" s="3" t="str">
        <f>IF(对接源_02物料!$C137="","",对接源_02物料!$C137)</f>
        <v>王照雪</v>
      </c>
      <c r="B1337" s="3">
        <f t="shared" si="350"/>
        <v>0</v>
      </c>
      <c r="C1337" s="3">
        <f t="shared" si="351"/>
        <v>21</v>
      </c>
      <c r="K1337" s="3">
        <f>IF(OR($K$1="",对接源_02物料!$C137="",对接源_02物料!$C137&lt;&gt;$K$1,对接源_02物料!$B137=""),0,IF(OR(N(对接源_02物料!$B137)&lt;$K$2,N(对接源_02物料!$B137)&gt;$K$3),0,1))</f>
        <v>0</v>
      </c>
      <c r="L1337" s="3">
        <f>IF(OR($L$1="",对接源_02物料!$C137="",对接源_02物料!$C137&lt;&gt;$L$1,对接源_02物料!$B137=""),0,IF(OR(N(对接源_02物料!$B137)&lt;$L$2,N(对接源_02物料!$B137)&gt;$L$3),0,1))</f>
        <v>0</v>
      </c>
      <c r="M1337" s="3">
        <f>IF(OR($M$1="",对接源_02物料!$C137="",对接源_02物料!$C137&lt;&gt;$M$1,对接源_02物料!$B137=""),0,IF(OR(N(对接源_02物料!$B137)&lt;$M$2,N(对接源_02物料!$B137)&gt;$M$3),0,1))</f>
        <v>0</v>
      </c>
      <c r="N1337" s="3">
        <f>IF(OR($N$1="",对接源_02物料!$C137="",对接源_02物料!$C137&lt;&gt;$N$1,对接源_02物料!$B137=""),0,IF(OR(N(对接源_02物料!$B137)&lt;$N$2,N(对接源_02物料!$B137)&gt;$N$3),0,1))</f>
        <v>0</v>
      </c>
      <c r="P1337" s="3">
        <f>IF(AND($K1337=1,AND(对接源_02物料!$X137="公司筐",N(对接源_02物料!$T137)&lt;&gt;0)),1,0)</f>
        <v>0</v>
      </c>
      <c r="Q1337" s="3">
        <f t="shared" si="352"/>
        <v>5</v>
      </c>
      <c r="R1337" s="3">
        <f>IF(AND($K1337=1,AND(对接源_02物料!$X137="公司筐",N(对接源_02物料!$U137)&lt;&gt;0)),1,0)</f>
        <v>0</v>
      </c>
      <c r="S1337" s="3">
        <f t="shared" si="353"/>
        <v>0</v>
      </c>
      <c r="T1337" s="3">
        <f>IF(AND($K1337=1,AND(对接源_02物料!$X137="公司筐",N(对接源_02物料!$V137)&lt;&gt;0)),1,0)</f>
        <v>0</v>
      </c>
      <c r="U1337" s="3">
        <f t="shared" si="354"/>
        <v>19</v>
      </c>
      <c r="V1337" s="3">
        <f>IF(AND($L1337=1,AND(对接源_02物料!$X137="自备筐",N(对接源_02物料!$V137)&lt;&gt;0)),1,0)</f>
        <v>0</v>
      </c>
      <c r="W1337" s="3">
        <f t="shared" si="355"/>
        <v>8</v>
      </c>
      <c r="X1337" s="3">
        <f>IF(AND($L1337=1,AND(对接源_02物料!$X137="自备筐",N(对接源_02物料!$T137)&lt;&gt;0)),1,0)</f>
        <v>0</v>
      </c>
      <c r="Y1337" s="3">
        <f t="shared" si="356"/>
        <v>0</v>
      </c>
      <c r="Z1337" s="3">
        <f>IF(AND($M1337=1,对接源_02物料!$D137="原料入库"),1,0)</f>
        <v>0</v>
      </c>
      <c r="AA1337" s="3">
        <f t="shared" si="357"/>
        <v>24</v>
      </c>
      <c r="AB1337" s="3">
        <f>IF(AND($M1337=1,LEFT(对接源_02物料!$D137,4)="原料出库"),1,0)</f>
        <v>0</v>
      </c>
      <c r="AC1337" s="3">
        <f t="shared" si="358"/>
        <v>0</v>
      </c>
      <c r="AD1337" s="3">
        <f>IF(AND($M1337=1,LEFT(对接源_02物料!$D137,4)="成品出库"),1,0)</f>
        <v>0</v>
      </c>
      <c r="AE1337" s="3">
        <f t="shared" si="359"/>
        <v>0</v>
      </c>
      <c r="AF1337" s="3">
        <f>IF(AND($N1337=1,AND(LEFT(对接源_02物料!$D137,4)="包装物料",N(对接源_02物料!$K137)&lt;&gt;0)),1,0)</f>
        <v>0</v>
      </c>
      <c r="AG1337" s="3">
        <f t="shared" si="360"/>
        <v>5</v>
      </c>
      <c r="AH1337" s="3">
        <f>IF(AND($N1337=1,AND(对接源_02物料!$D137="周转筐－销售出库",N(对接源_02物料!$K137)&lt;&gt;0)),1,0)</f>
        <v>0</v>
      </c>
      <c r="AI1337" s="3">
        <f t="shared" si="361"/>
        <v>0</v>
      </c>
      <c r="AL1337" s="3">
        <v>0</v>
      </c>
      <c r="AM1337" s="3">
        <f t="shared" si="362"/>
        <v>1</v>
      </c>
      <c r="AN1337" s="3" t="str">
        <f t="shared" si="366"/>
        <v/>
      </c>
      <c r="AO1337" s="3">
        <v>0</v>
      </c>
      <c r="AP1337" s="3">
        <f t="shared" si="363"/>
        <v>8</v>
      </c>
      <c r="AR1337">
        <f t="shared" si="364"/>
        <v>0</v>
      </c>
      <c r="AS1337">
        <f t="shared" si="365"/>
        <v>5</v>
      </c>
    </row>
    <row r="1338" customHeight="1" spans="1:45">
      <c r="A1338" s="3" t="str">
        <f>IF(对接源_02物料!$C138="","",对接源_02物料!$C138)</f>
        <v>全修塑业</v>
      </c>
      <c r="B1338" s="3">
        <f t="shared" si="350"/>
        <v>0</v>
      </c>
      <c r="C1338" s="3">
        <f t="shared" si="351"/>
        <v>21</v>
      </c>
      <c r="K1338" s="3">
        <f>IF(OR($K$1="",对接源_02物料!$C138="",对接源_02物料!$C138&lt;&gt;$K$1,对接源_02物料!$B138=""),0,IF(OR(N(对接源_02物料!$B138)&lt;$K$2,N(对接源_02物料!$B138)&gt;$K$3),0,1))</f>
        <v>0</v>
      </c>
      <c r="L1338" s="3">
        <f>IF(OR($L$1="",对接源_02物料!$C138="",对接源_02物料!$C138&lt;&gt;$L$1,对接源_02物料!$B138=""),0,IF(OR(N(对接源_02物料!$B138)&lt;$L$2,N(对接源_02物料!$B138)&gt;$L$3),0,1))</f>
        <v>0</v>
      </c>
      <c r="M1338" s="3">
        <f>IF(OR($M$1="",对接源_02物料!$C138="",对接源_02物料!$C138&lt;&gt;$M$1,对接源_02物料!$B138=""),0,IF(OR(N(对接源_02物料!$B138)&lt;$M$2,N(对接源_02物料!$B138)&gt;$M$3),0,1))</f>
        <v>0</v>
      </c>
      <c r="N1338" s="3">
        <f>IF(OR($N$1="",对接源_02物料!$C138="",对接源_02物料!$C138&lt;&gt;$N$1,对接源_02物料!$B138=""),0,IF(OR(N(对接源_02物料!$B138)&lt;$N$2,N(对接源_02物料!$B138)&gt;$N$3),0,1))</f>
        <v>0</v>
      </c>
      <c r="P1338" s="3">
        <f>IF(AND($K1338=1,AND(对接源_02物料!$X138="公司筐",N(对接源_02物料!$T138)&lt;&gt;0)),1,0)</f>
        <v>0</v>
      </c>
      <c r="Q1338" s="3">
        <f t="shared" si="352"/>
        <v>5</v>
      </c>
      <c r="R1338" s="3">
        <f>IF(AND($K1338=1,AND(对接源_02物料!$X138="公司筐",N(对接源_02物料!$U138)&lt;&gt;0)),1,0)</f>
        <v>0</v>
      </c>
      <c r="S1338" s="3">
        <f t="shared" si="353"/>
        <v>0</v>
      </c>
      <c r="T1338" s="3">
        <f>IF(AND($K1338=1,AND(对接源_02物料!$X138="公司筐",N(对接源_02物料!$V138)&lt;&gt;0)),1,0)</f>
        <v>0</v>
      </c>
      <c r="U1338" s="3">
        <f t="shared" si="354"/>
        <v>19</v>
      </c>
      <c r="V1338" s="3">
        <f>IF(AND($L1338=1,AND(对接源_02物料!$X138="自备筐",N(对接源_02物料!$V138)&lt;&gt;0)),1,0)</f>
        <v>0</v>
      </c>
      <c r="W1338" s="3">
        <f t="shared" si="355"/>
        <v>8</v>
      </c>
      <c r="X1338" s="3">
        <f>IF(AND($L1338=1,AND(对接源_02物料!$X138="自备筐",N(对接源_02物料!$T138)&lt;&gt;0)),1,0)</f>
        <v>0</v>
      </c>
      <c r="Y1338" s="3">
        <f t="shared" si="356"/>
        <v>0</v>
      </c>
      <c r="Z1338" s="3">
        <f>IF(AND($M1338=1,对接源_02物料!$D138="原料入库"),1,0)</f>
        <v>0</v>
      </c>
      <c r="AA1338" s="3">
        <f t="shared" si="357"/>
        <v>24</v>
      </c>
      <c r="AB1338" s="3">
        <f>IF(AND($M1338=1,LEFT(对接源_02物料!$D138,4)="原料出库"),1,0)</f>
        <v>0</v>
      </c>
      <c r="AC1338" s="3">
        <f t="shared" si="358"/>
        <v>0</v>
      </c>
      <c r="AD1338" s="3">
        <f>IF(AND($M1338=1,LEFT(对接源_02物料!$D138,4)="成品出库"),1,0)</f>
        <v>0</v>
      </c>
      <c r="AE1338" s="3">
        <f t="shared" si="359"/>
        <v>0</v>
      </c>
      <c r="AF1338" s="3">
        <f>IF(AND($N1338=1,AND(LEFT(对接源_02物料!$D138,4)="包装物料",N(对接源_02物料!$K138)&lt;&gt;0)),1,0)</f>
        <v>0</v>
      </c>
      <c r="AG1338" s="3">
        <f t="shared" si="360"/>
        <v>5</v>
      </c>
      <c r="AH1338" s="3">
        <f>IF(AND($N1338=1,AND(对接源_02物料!$D138="周转筐－销售出库",N(对接源_02物料!$K138)&lt;&gt;0)),1,0)</f>
        <v>0</v>
      </c>
      <c r="AI1338" s="3">
        <f t="shared" si="361"/>
        <v>0</v>
      </c>
      <c r="AL1338" s="3">
        <v>0</v>
      </c>
      <c r="AM1338" s="3">
        <f t="shared" si="362"/>
        <v>1</v>
      </c>
      <c r="AN1338" s="3" t="str">
        <f t="shared" si="366"/>
        <v/>
      </c>
      <c r="AO1338" s="3">
        <v>0</v>
      </c>
      <c r="AP1338" s="3">
        <f t="shared" si="363"/>
        <v>8</v>
      </c>
      <c r="AR1338">
        <f t="shared" si="364"/>
        <v>0</v>
      </c>
      <c r="AS1338">
        <f t="shared" si="365"/>
        <v>5</v>
      </c>
    </row>
    <row r="1339" customHeight="1" spans="1:45">
      <c r="A1339" s="3" t="str">
        <f>IF(对接源_02物料!$C139="","",对接源_02物料!$C139)</f>
        <v>全修塑业</v>
      </c>
      <c r="B1339" s="3">
        <f t="shared" si="350"/>
        <v>0</v>
      </c>
      <c r="C1339" s="3">
        <f t="shared" si="351"/>
        <v>21</v>
      </c>
      <c r="K1339" s="3">
        <f>IF(OR($K$1="",对接源_02物料!$C139="",对接源_02物料!$C139&lt;&gt;$K$1,对接源_02物料!$B139=""),0,IF(OR(N(对接源_02物料!$B139)&lt;$K$2,N(对接源_02物料!$B139)&gt;$K$3),0,1))</f>
        <v>0</v>
      </c>
      <c r="L1339" s="3">
        <f>IF(OR($L$1="",对接源_02物料!$C139="",对接源_02物料!$C139&lt;&gt;$L$1,对接源_02物料!$B139=""),0,IF(OR(N(对接源_02物料!$B139)&lt;$L$2,N(对接源_02物料!$B139)&gt;$L$3),0,1))</f>
        <v>0</v>
      </c>
      <c r="M1339" s="3">
        <f>IF(OR($M$1="",对接源_02物料!$C139="",对接源_02物料!$C139&lt;&gt;$M$1,对接源_02物料!$B139=""),0,IF(OR(N(对接源_02物料!$B139)&lt;$M$2,N(对接源_02物料!$B139)&gt;$M$3),0,1))</f>
        <v>0</v>
      </c>
      <c r="N1339" s="3">
        <f>IF(OR($N$1="",对接源_02物料!$C139="",对接源_02物料!$C139&lt;&gt;$N$1,对接源_02物料!$B139=""),0,IF(OR(N(对接源_02物料!$B139)&lt;$N$2,N(对接源_02物料!$B139)&gt;$N$3),0,1))</f>
        <v>0</v>
      </c>
      <c r="P1339" s="3">
        <f>IF(AND($K1339=1,AND(对接源_02物料!$X139="公司筐",N(对接源_02物料!$T139)&lt;&gt;0)),1,0)</f>
        <v>0</v>
      </c>
      <c r="Q1339" s="3">
        <f t="shared" si="352"/>
        <v>5</v>
      </c>
      <c r="R1339" s="3">
        <f>IF(AND($K1339=1,AND(对接源_02物料!$X139="公司筐",N(对接源_02物料!$U139)&lt;&gt;0)),1,0)</f>
        <v>0</v>
      </c>
      <c r="S1339" s="3">
        <f t="shared" si="353"/>
        <v>0</v>
      </c>
      <c r="T1339" s="3">
        <f>IF(AND($K1339=1,AND(对接源_02物料!$X139="公司筐",N(对接源_02物料!$V139)&lt;&gt;0)),1,0)</f>
        <v>0</v>
      </c>
      <c r="U1339" s="3">
        <f t="shared" si="354"/>
        <v>19</v>
      </c>
      <c r="V1339" s="3">
        <f>IF(AND($L1339=1,AND(对接源_02物料!$X139="自备筐",N(对接源_02物料!$V139)&lt;&gt;0)),1,0)</f>
        <v>0</v>
      </c>
      <c r="W1339" s="3">
        <f t="shared" si="355"/>
        <v>8</v>
      </c>
      <c r="X1339" s="3">
        <f>IF(AND($L1339=1,AND(对接源_02物料!$X139="自备筐",N(对接源_02物料!$T139)&lt;&gt;0)),1,0)</f>
        <v>0</v>
      </c>
      <c r="Y1339" s="3">
        <f t="shared" si="356"/>
        <v>0</v>
      </c>
      <c r="Z1339" s="3">
        <f>IF(AND($M1339=1,对接源_02物料!$D139="原料入库"),1,0)</f>
        <v>0</v>
      </c>
      <c r="AA1339" s="3">
        <f t="shared" si="357"/>
        <v>24</v>
      </c>
      <c r="AB1339" s="3">
        <f>IF(AND($M1339=1,LEFT(对接源_02物料!$D139,4)="原料出库"),1,0)</f>
        <v>0</v>
      </c>
      <c r="AC1339" s="3">
        <f t="shared" si="358"/>
        <v>0</v>
      </c>
      <c r="AD1339" s="3">
        <f>IF(AND($M1339=1,LEFT(对接源_02物料!$D139,4)="成品出库"),1,0)</f>
        <v>0</v>
      </c>
      <c r="AE1339" s="3">
        <f t="shared" si="359"/>
        <v>0</v>
      </c>
      <c r="AF1339" s="3">
        <f>IF(AND($N1339=1,AND(LEFT(对接源_02物料!$D139,4)="包装物料",N(对接源_02物料!$K139)&lt;&gt;0)),1,0)</f>
        <v>0</v>
      </c>
      <c r="AG1339" s="3">
        <f t="shared" si="360"/>
        <v>5</v>
      </c>
      <c r="AH1339" s="3">
        <f>IF(AND($N1339=1,AND(对接源_02物料!$D139="周转筐－销售出库",N(对接源_02物料!$K139)&lt;&gt;0)),1,0)</f>
        <v>0</v>
      </c>
      <c r="AI1339" s="3">
        <f t="shared" si="361"/>
        <v>0</v>
      </c>
      <c r="AL1339" s="3">
        <v>0</v>
      </c>
      <c r="AM1339" s="3">
        <f t="shared" si="362"/>
        <v>1</v>
      </c>
      <c r="AN1339" s="3" t="str">
        <f t="shared" si="366"/>
        <v/>
      </c>
      <c r="AO1339" s="3">
        <v>0</v>
      </c>
      <c r="AP1339" s="3">
        <f t="shared" si="363"/>
        <v>8</v>
      </c>
      <c r="AR1339">
        <f t="shared" si="364"/>
        <v>0</v>
      </c>
      <c r="AS1339">
        <f t="shared" si="365"/>
        <v>5</v>
      </c>
    </row>
    <row r="1340" customHeight="1" spans="1:45">
      <c r="A1340" s="3" t="str">
        <f>IF(对接源_02物料!$C140="","",对接源_02物料!$C140)</f>
        <v>全修塑业</v>
      </c>
      <c r="B1340" s="3">
        <f t="shared" si="350"/>
        <v>0</v>
      </c>
      <c r="C1340" s="3">
        <f t="shared" si="351"/>
        <v>21</v>
      </c>
      <c r="K1340" s="3">
        <f>IF(OR($K$1="",对接源_02物料!$C140="",对接源_02物料!$C140&lt;&gt;$K$1,对接源_02物料!$B140=""),0,IF(OR(N(对接源_02物料!$B140)&lt;$K$2,N(对接源_02物料!$B140)&gt;$K$3),0,1))</f>
        <v>0</v>
      </c>
      <c r="L1340" s="3">
        <f>IF(OR($L$1="",对接源_02物料!$C140="",对接源_02物料!$C140&lt;&gt;$L$1,对接源_02物料!$B140=""),0,IF(OR(N(对接源_02物料!$B140)&lt;$L$2,N(对接源_02物料!$B140)&gt;$L$3),0,1))</f>
        <v>0</v>
      </c>
      <c r="M1340" s="3">
        <f>IF(OR($M$1="",对接源_02物料!$C140="",对接源_02物料!$C140&lt;&gt;$M$1,对接源_02物料!$B140=""),0,IF(OR(N(对接源_02物料!$B140)&lt;$M$2,N(对接源_02物料!$B140)&gt;$M$3),0,1))</f>
        <v>0</v>
      </c>
      <c r="N1340" s="3">
        <f>IF(OR($N$1="",对接源_02物料!$C140="",对接源_02物料!$C140&lt;&gt;$N$1,对接源_02物料!$B140=""),0,IF(OR(N(对接源_02物料!$B140)&lt;$N$2,N(对接源_02物料!$B140)&gt;$N$3),0,1))</f>
        <v>0</v>
      </c>
      <c r="P1340" s="3">
        <f>IF(AND($K1340=1,AND(对接源_02物料!$X140="公司筐",N(对接源_02物料!$T140)&lt;&gt;0)),1,0)</f>
        <v>0</v>
      </c>
      <c r="Q1340" s="3">
        <f t="shared" si="352"/>
        <v>5</v>
      </c>
      <c r="R1340" s="3">
        <f>IF(AND($K1340=1,AND(对接源_02物料!$X140="公司筐",N(对接源_02物料!$U140)&lt;&gt;0)),1,0)</f>
        <v>0</v>
      </c>
      <c r="S1340" s="3">
        <f t="shared" si="353"/>
        <v>0</v>
      </c>
      <c r="T1340" s="3">
        <f>IF(AND($K1340=1,AND(对接源_02物料!$X140="公司筐",N(对接源_02物料!$V140)&lt;&gt;0)),1,0)</f>
        <v>0</v>
      </c>
      <c r="U1340" s="3">
        <f t="shared" si="354"/>
        <v>19</v>
      </c>
      <c r="V1340" s="3">
        <f>IF(AND($L1340=1,AND(对接源_02物料!$X140="自备筐",N(对接源_02物料!$V140)&lt;&gt;0)),1,0)</f>
        <v>0</v>
      </c>
      <c r="W1340" s="3">
        <f t="shared" si="355"/>
        <v>8</v>
      </c>
      <c r="X1340" s="3">
        <f>IF(AND($L1340=1,AND(对接源_02物料!$X140="自备筐",N(对接源_02物料!$T140)&lt;&gt;0)),1,0)</f>
        <v>0</v>
      </c>
      <c r="Y1340" s="3">
        <f t="shared" si="356"/>
        <v>0</v>
      </c>
      <c r="Z1340" s="3">
        <f>IF(AND($M1340=1,对接源_02物料!$D140="原料入库"),1,0)</f>
        <v>0</v>
      </c>
      <c r="AA1340" s="3">
        <f t="shared" si="357"/>
        <v>24</v>
      </c>
      <c r="AB1340" s="3">
        <f>IF(AND($M1340=1,LEFT(对接源_02物料!$D140,4)="原料出库"),1,0)</f>
        <v>0</v>
      </c>
      <c r="AC1340" s="3">
        <f t="shared" si="358"/>
        <v>0</v>
      </c>
      <c r="AD1340" s="3">
        <f>IF(AND($M1340=1,LEFT(对接源_02物料!$D140,4)="成品出库"),1,0)</f>
        <v>0</v>
      </c>
      <c r="AE1340" s="3">
        <f t="shared" si="359"/>
        <v>0</v>
      </c>
      <c r="AF1340" s="3">
        <f>IF(AND($N1340=1,AND(LEFT(对接源_02物料!$D140,4)="包装物料",N(对接源_02物料!$K140)&lt;&gt;0)),1,0)</f>
        <v>0</v>
      </c>
      <c r="AG1340" s="3">
        <f t="shared" si="360"/>
        <v>5</v>
      </c>
      <c r="AH1340" s="3">
        <f>IF(AND($N1340=1,AND(对接源_02物料!$D140="周转筐－销售出库",N(对接源_02物料!$K140)&lt;&gt;0)),1,0)</f>
        <v>0</v>
      </c>
      <c r="AI1340" s="3">
        <f t="shared" si="361"/>
        <v>0</v>
      </c>
      <c r="AL1340" s="3">
        <v>0</v>
      </c>
      <c r="AM1340" s="3">
        <f t="shared" si="362"/>
        <v>1</v>
      </c>
      <c r="AN1340" s="3" t="str">
        <f t="shared" si="366"/>
        <v/>
      </c>
      <c r="AO1340" s="3">
        <v>0</v>
      </c>
      <c r="AP1340" s="3">
        <f t="shared" si="363"/>
        <v>8</v>
      </c>
      <c r="AR1340">
        <f t="shared" si="364"/>
        <v>0</v>
      </c>
      <c r="AS1340">
        <f t="shared" si="365"/>
        <v>5</v>
      </c>
    </row>
    <row r="1341" customHeight="1" spans="1:45">
      <c r="A1341" s="3" t="str">
        <f>IF(对接源_02物料!$C141="","",对接源_02物料!$C141)</f>
        <v>王灵云</v>
      </c>
      <c r="B1341" s="3">
        <f t="shared" si="350"/>
        <v>0</v>
      </c>
      <c r="C1341" s="3">
        <f t="shared" si="351"/>
        <v>21</v>
      </c>
      <c r="K1341" s="3">
        <f>IF(OR($K$1="",对接源_02物料!$C141="",对接源_02物料!$C141&lt;&gt;$K$1,对接源_02物料!$B141=""),0,IF(OR(N(对接源_02物料!$B141)&lt;$K$2,N(对接源_02物料!$B141)&gt;$K$3),0,1))</f>
        <v>1</v>
      </c>
      <c r="L1341" s="3">
        <f>IF(OR($L$1="",对接源_02物料!$C141="",对接源_02物料!$C141&lt;&gt;$L$1,对接源_02物料!$B141=""),0,IF(OR(N(对接源_02物料!$B141)&lt;$L$2,N(对接源_02物料!$B141)&gt;$L$3),0,1))</f>
        <v>0</v>
      </c>
      <c r="M1341" s="3">
        <f>IF(OR($M$1="",对接源_02物料!$C141="",对接源_02物料!$C141&lt;&gt;$M$1,对接源_02物料!$B141=""),0,IF(OR(N(对接源_02物料!$B141)&lt;$M$2,N(对接源_02物料!$B141)&gt;$M$3),0,1))</f>
        <v>0</v>
      </c>
      <c r="N1341" s="3">
        <f>IF(OR($N$1="",对接源_02物料!$C141="",对接源_02物料!$C141&lt;&gt;$N$1,对接源_02物料!$B141=""),0,IF(OR(N(对接源_02物料!$B141)&lt;$N$2,N(对接源_02物料!$B141)&gt;$N$3),0,1))</f>
        <v>0</v>
      </c>
      <c r="P1341" s="3">
        <f>IF(AND($K1341=1,AND(对接源_02物料!$X141="公司筐",N(对接源_02物料!$T141)&lt;&gt;0)),1,0)</f>
        <v>1</v>
      </c>
      <c r="Q1341" s="3">
        <f t="shared" si="352"/>
        <v>6</v>
      </c>
      <c r="R1341" s="3">
        <f>IF(AND($K1341=1,AND(对接源_02物料!$X141="公司筐",N(对接源_02物料!$U141)&lt;&gt;0)),1,0)</f>
        <v>0</v>
      </c>
      <c r="S1341" s="3">
        <f t="shared" si="353"/>
        <v>0</v>
      </c>
      <c r="T1341" s="3">
        <f>IF(AND($K1341=1,AND(对接源_02物料!$X141="公司筐",N(对接源_02物料!$V141)&lt;&gt;0)),1,0)</f>
        <v>0</v>
      </c>
      <c r="U1341" s="3">
        <f t="shared" si="354"/>
        <v>19</v>
      </c>
      <c r="V1341" s="3">
        <f>IF(AND($L1341=1,AND(对接源_02物料!$X141="自备筐",N(对接源_02物料!$V141)&lt;&gt;0)),1,0)</f>
        <v>0</v>
      </c>
      <c r="W1341" s="3">
        <f t="shared" si="355"/>
        <v>8</v>
      </c>
      <c r="X1341" s="3">
        <f>IF(AND($L1341=1,AND(对接源_02物料!$X141="自备筐",N(对接源_02物料!$T141)&lt;&gt;0)),1,0)</f>
        <v>0</v>
      </c>
      <c r="Y1341" s="3">
        <f t="shared" si="356"/>
        <v>0</v>
      </c>
      <c r="Z1341" s="3">
        <f>IF(AND($M1341=1,对接源_02物料!$D141="原料入库"),1,0)</f>
        <v>0</v>
      </c>
      <c r="AA1341" s="3">
        <f t="shared" si="357"/>
        <v>24</v>
      </c>
      <c r="AB1341" s="3">
        <f>IF(AND($M1341=1,LEFT(对接源_02物料!$D141,4)="原料出库"),1,0)</f>
        <v>0</v>
      </c>
      <c r="AC1341" s="3">
        <f t="shared" si="358"/>
        <v>0</v>
      </c>
      <c r="AD1341" s="3">
        <f>IF(AND($M1341=1,LEFT(对接源_02物料!$D141,4)="成品出库"),1,0)</f>
        <v>0</v>
      </c>
      <c r="AE1341" s="3">
        <f t="shared" si="359"/>
        <v>0</v>
      </c>
      <c r="AF1341" s="3">
        <f>IF(AND($N1341=1,AND(LEFT(对接源_02物料!$D141,4)="包装物料",N(对接源_02物料!$K141)&lt;&gt;0)),1,0)</f>
        <v>0</v>
      </c>
      <c r="AG1341" s="3">
        <f t="shared" si="360"/>
        <v>5</v>
      </c>
      <c r="AH1341" s="3">
        <f>IF(AND($N1341=1,AND(对接源_02物料!$D141="周转筐－销售出库",N(对接源_02物料!$K141)&lt;&gt;0)),1,0)</f>
        <v>0</v>
      </c>
      <c r="AI1341" s="3">
        <f t="shared" si="361"/>
        <v>0</v>
      </c>
      <c r="AL1341" s="3">
        <v>0</v>
      </c>
      <c r="AM1341" s="3">
        <f t="shared" si="362"/>
        <v>1</v>
      </c>
      <c r="AN1341" s="3" t="str">
        <f t="shared" si="366"/>
        <v/>
      </c>
      <c r="AO1341" s="3">
        <v>0</v>
      </c>
      <c r="AP1341" s="3">
        <f t="shared" si="363"/>
        <v>8</v>
      </c>
      <c r="AR1341">
        <f t="shared" si="364"/>
        <v>0</v>
      </c>
      <c r="AS1341">
        <f t="shared" si="365"/>
        <v>5</v>
      </c>
    </row>
    <row r="1342" customHeight="1" spans="1:45">
      <c r="A1342" s="3" t="str">
        <f>IF(对接源_02物料!$C142="","",对接源_02物料!$C142)</f>
        <v>王照雪</v>
      </c>
      <c r="B1342" s="3">
        <f t="shared" si="350"/>
        <v>0</v>
      </c>
      <c r="C1342" s="3">
        <f t="shared" si="351"/>
        <v>21</v>
      </c>
      <c r="K1342" s="3">
        <f>IF(OR($K$1="",对接源_02物料!$C142="",对接源_02物料!$C142&lt;&gt;$K$1,对接源_02物料!$B142=""),0,IF(OR(N(对接源_02物料!$B142)&lt;$K$2,N(对接源_02物料!$B142)&gt;$K$3),0,1))</f>
        <v>0</v>
      </c>
      <c r="L1342" s="3">
        <f>IF(OR($L$1="",对接源_02物料!$C142="",对接源_02物料!$C142&lt;&gt;$L$1,对接源_02物料!$B142=""),0,IF(OR(N(对接源_02物料!$B142)&lt;$L$2,N(对接源_02物料!$B142)&gt;$L$3),0,1))</f>
        <v>0</v>
      </c>
      <c r="M1342" s="3">
        <f>IF(OR($M$1="",对接源_02物料!$C142="",对接源_02物料!$C142&lt;&gt;$M$1,对接源_02物料!$B142=""),0,IF(OR(N(对接源_02物料!$B142)&lt;$M$2,N(对接源_02物料!$B142)&gt;$M$3),0,1))</f>
        <v>0</v>
      </c>
      <c r="N1342" s="3">
        <f>IF(OR($N$1="",对接源_02物料!$C142="",对接源_02物料!$C142&lt;&gt;$N$1,对接源_02物料!$B142=""),0,IF(OR(N(对接源_02物料!$B142)&lt;$N$2,N(对接源_02物料!$B142)&gt;$N$3),0,1))</f>
        <v>0</v>
      </c>
      <c r="P1342" s="3">
        <f>IF(AND($K1342=1,AND(对接源_02物料!$X142="公司筐",N(对接源_02物料!$T142)&lt;&gt;0)),1,0)</f>
        <v>0</v>
      </c>
      <c r="Q1342" s="3">
        <f t="shared" si="352"/>
        <v>6</v>
      </c>
      <c r="R1342" s="3">
        <f>IF(AND($K1342=1,AND(对接源_02物料!$X142="公司筐",N(对接源_02物料!$U142)&lt;&gt;0)),1,0)</f>
        <v>0</v>
      </c>
      <c r="S1342" s="3">
        <f t="shared" si="353"/>
        <v>0</v>
      </c>
      <c r="T1342" s="3">
        <f>IF(AND($K1342=1,AND(对接源_02物料!$X142="公司筐",N(对接源_02物料!$V142)&lt;&gt;0)),1,0)</f>
        <v>0</v>
      </c>
      <c r="U1342" s="3">
        <f t="shared" si="354"/>
        <v>19</v>
      </c>
      <c r="V1342" s="3">
        <f>IF(AND($L1342=1,AND(对接源_02物料!$X142="自备筐",N(对接源_02物料!$V142)&lt;&gt;0)),1,0)</f>
        <v>0</v>
      </c>
      <c r="W1342" s="3">
        <f t="shared" si="355"/>
        <v>8</v>
      </c>
      <c r="X1342" s="3">
        <f>IF(AND($L1342=1,AND(对接源_02物料!$X142="自备筐",N(对接源_02物料!$T142)&lt;&gt;0)),1,0)</f>
        <v>0</v>
      </c>
      <c r="Y1342" s="3">
        <f t="shared" si="356"/>
        <v>0</v>
      </c>
      <c r="Z1342" s="3">
        <f>IF(AND($M1342=1,对接源_02物料!$D142="原料入库"),1,0)</f>
        <v>0</v>
      </c>
      <c r="AA1342" s="3">
        <f t="shared" si="357"/>
        <v>24</v>
      </c>
      <c r="AB1342" s="3">
        <f>IF(AND($M1342=1,LEFT(对接源_02物料!$D142,4)="原料出库"),1,0)</f>
        <v>0</v>
      </c>
      <c r="AC1342" s="3">
        <f t="shared" si="358"/>
        <v>0</v>
      </c>
      <c r="AD1342" s="3">
        <f>IF(AND($M1342=1,LEFT(对接源_02物料!$D142,4)="成品出库"),1,0)</f>
        <v>0</v>
      </c>
      <c r="AE1342" s="3">
        <f t="shared" si="359"/>
        <v>0</v>
      </c>
      <c r="AF1342" s="3">
        <f>IF(AND($N1342=1,AND(LEFT(对接源_02物料!$D142,4)="包装物料",N(对接源_02物料!$K142)&lt;&gt;0)),1,0)</f>
        <v>0</v>
      </c>
      <c r="AG1342" s="3">
        <f t="shared" si="360"/>
        <v>5</v>
      </c>
      <c r="AH1342" s="3">
        <f>IF(AND($N1342=1,AND(对接源_02物料!$D142="周转筐－销售出库",N(对接源_02物料!$K142)&lt;&gt;0)),1,0)</f>
        <v>0</v>
      </c>
      <c r="AI1342" s="3">
        <f t="shared" si="361"/>
        <v>0</v>
      </c>
      <c r="AL1342" s="3">
        <v>0</v>
      </c>
      <c r="AM1342" s="3">
        <f t="shared" si="362"/>
        <v>1</v>
      </c>
      <c r="AN1342" s="3" t="str">
        <f t="shared" si="366"/>
        <v/>
      </c>
      <c r="AO1342" s="3">
        <v>0</v>
      </c>
      <c r="AP1342" s="3">
        <f t="shared" si="363"/>
        <v>8</v>
      </c>
      <c r="AR1342">
        <f t="shared" si="364"/>
        <v>0</v>
      </c>
      <c r="AS1342">
        <f t="shared" si="365"/>
        <v>5</v>
      </c>
    </row>
    <row r="1343" customHeight="1" spans="1:45">
      <c r="A1343" s="3" t="str">
        <f>IF(对接源_02物料!$C143="","",对接源_02物料!$C143)</f>
        <v>王灵云</v>
      </c>
      <c r="B1343" s="3">
        <f t="shared" si="350"/>
        <v>0</v>
      </c>
      <c r="C1343" s="3">
        <f t="shared" si="351"/>
        <v>21</v>
      </c>
      <c r="K1343" s="3">
        <f>IF(OR($K$1="",对接源_02物料!$C143="",对接源_02物料!$C143&lt;&gt;$K$1,对接源_02物料!$B143=""),0,IF(OR(N(对接源_02物料!$B143)&lt;$K$2,N(对接源_02物料!$B143)&gt;$K$3),0,1))</f>
        <v>1</v>
      </c>
      <c r="L1343" s="3">
        <f>IF(OR($L$1="",对接源_02物料!$C143="",对接源_02物料!$C143&lt;&gt;$L$1,对接源_02物料!$B143=""),0,IF(OR(N(对接源_02物料!$B143)&lt;$L$2,N(对接源_02物料!$B143)&gt;$L$3),0,1))</f>
        <v>0</v>
      </c>
      <c r="M1343" s="3">
        <f>IF(OR($M$1="",对接源_02物料!$C143="",对接源_02物料!$C143&lt;&gt;$M$1,对接源_02物料!$B143=""),0,IF(OR(N(对接源_02物料!$B143)&lt;$M$2,N(对接源_02物料!$B143)&gt;$M$3),0,1))</f>
        <v>0</v>
      </c>
      <c r="N1343" s="3">
        <f>IF(OR($N$1="",对接源_02物料!$C143="",对接源_02物料!$C143&lt;&gt;$N$1,对接源_02物料!$B143=""),0,IF(OR(N(对接源_02物料!$B143)&lt;$N$2,N(对接源_02物料!$B143)&gt;$N$3),0,1))</f>
        <v>0</v>
      </c>
      <c r="P1343" s="3">
        <f>IF(AND($K1343=1,AND(对接源_02物料!$X143="公司筐",N(对接源_02物料!$T143)&lt;&gt;0)),1,0)</f>
        <v>1</v>
      </c>
      <c r="Q1343" s="3">
        <f t="shared" si="352"/>
        <v>7</v>
      </c>
      <c r="R1343" s="3">
        <f>IF(AND($K1343=1,AND(对接源_02物料!$X143="公司筐",N(对接源_02物料!$U143)&lt;&gt;0)),1,0)</f>
        <v>0</v>
      </c>
      <c r="S1343" s="3">
        <f t="shared" si="353"/>
        <v>0</v>
      </c>
      <c r="T1343" s="3">
        <f>IF(AND($K1343=1,AND(对接源_02物料!$X143="公司筐",N(对接源_02物料!$V143)&lt;&gt;0)),1,0)</f>
        <v>0</v>
      </c>
      <c r="U1343" s="3">
        <f t="shared" si="354"/>
        <v>19</v>
      </c>
      <c r="V1343" s="3">
        <f>IF(AND($L1343=1,AND(对接源_02物料!$X143="自备筐",N(对接源_02物料!$V143)&lt;&gt;0)),1,0)</f>
        <v>0</v>
      </c>
      <c r="W1343" s="3">
        <f t="shared" si="355"/>
        <v>8</v>
      </c>
      <c r="X1343" s="3">
        <f>IF(AND($L1343=1,AND(对接源_02物料!$X143="自备筐",N(对接源_02物料!$T143)&lt;&gt;0)),1,0)</f>
        <v>0</v>
      </c>
      <c r="Y1343" s="3">
        <f t="shared" si="356"/>
        <v>0</v>
      </c>
      <c r="Z1343" s="3">
        <f>IF(AND($M1343=1,对接源_02物料!$D143="原料入库"),1,0)</f>
        <v>0</v>
      </c>
      <c r="AA1343" s="3">
        <f t="shared" si="357"/>
        <v>24</v>
      </c>
      <c r="AB1343" s="3">
        <f>IF(AND($M1343=1,LEFT(对接源_02物料!$D143,4)="原料出库"),1,0)</f>
        <v>0</v>
      </c>
      <c r="AC1343" s="3">
        <f t="shared" si="358"/>
        <v>0</v>
      </c>
      <c r="AD1343" s="3">
        <f>IF(AND($M1343=1,LEFT(对接源_02物料!$D143,4)="成品出库"),1,0)</f>
        <v>0</v>
      </c>
      <c r="AE1343" s="3">
        <f t="shared" si="359"/>
        <v>0</v>
      </c>
      <c r="AF1343" s="3">
        <f>IF(AND($N1343=1,AND(LEFT(对接源_02物料!$D143,4)="包装物料",N(对接源_02物料!$K143)&lt;&gt;0)),1,0)</f>
        <v>0</v>
      </c>
      <c r="AG1343" s="3">
        <f t="shared" si="360"/>
        <v>5</v>
      </c>
      <c r="AH1343" s="3">
        <f>IF(AND($N1343=1,AND(对接源_02物料!$D143="周转筐－销售出库",N(对接源_02物料!$K143)&lt;&gt;0)),1,0)</f>
        <v>0</v>
      </c>
      <c r="AI1343" s="3">
        <f t="shared" si="361"/>
        <v>0</v>
      </c>
      <c r="AL1343" s="3">
        <v>0</v>
      </c>
      <c r="AM1343" s="3">
        <f t="shared" si="362"/>
        <v>1</v>
      </c>
      <c r="AN1343" s="3" t="str">
        <f t="shared" si="366"/>
        <v/>
      </c>
      <c r="AO1343" s="3">
        <v>0</v>
      </c>
      <c r="AP1343" s="3">
        <f t="shared" si="363"/>
        <v>8</v>
      </c>
      <c r="AR1343">
        <f t="shared" si="364"/>
        <v>0</v>
      </c>
      <c r="AS1343">
        <f t="shared" si="365"/>
        <v>5</v>
      </c>
    </row>
    <row r="1344" customHeight="1" spans="1:45">
      <c r="A1344" s="3" t="str">
        <f>IF(对接源_02物料!$C144="","",对接源_02物料!$C144)</f>
        <v>热合曼</v>
      </c>
      <c r="B1344" s="3">
        <f t="shared" si="350"/>
        <v>0</v>
      </c>
      <c r="C1344" s="3">
        <f t="shared" si="351"/>
        <v>21</v>
      </c>
      <c r="K1344" s="3">
        <f>IF(OR($K$1="",对接源_02物料!$C144="",对接源_02物料!$C144&lt;&gt;$K$1,对接源_02物料!$B144=""),0,IF(OR(N(对接源_02物料!$B144)&lt;$K$2,N(对接源_02物料!$B144)&gt;$K$3),0,1))</f>
        <v>0</v>
      </c>
      <c r="L1344" s="3">
        <f>IF(OR($L$1="",对接源_02物料!$C144="",对接源_02物料!$C144&lt;&gt;$L$1,对接源_02物料!$B144=""),0,IF(OR(N(对接源_02物料!$B144)&lt;$L$2,N(对接源_02物料!$B144)&gt;$L$3),0,1))</f>
        <v>0</v>
      </c>
      <c r="M1344" s="3">
        <f>IF(OR($M$1="",对接源_02物料!$C144="",对接源_02物料!$C144&lt;&gt;$M$1,对接源_02物料!$B144=""),0,IF(OR(N(对接源_02物料!$B144)&lt;$M$2,N(对接源_02物料!$B144)&gt;$M$3),0,1))</f>
        <v>0</v>
      </c>
      <c r="N1344" s="3">
        <f>IF(OR($N$1="",对接源_02物料!$C144="",对接源_02物料!$C144&lt;&gt;$N$1,对接源_02物料!$B144=""),0,IF(OR(N(对接源_02物料!$B144)&lt;$N$2,N(对接源_02物料!$B144)&gt;$N$3),0,1))</f>
        <v>0</v>
      </c>
      <c r="P1344" s="3">
        <f>IF(AND($K1344=1,AND(对接源_02物料!$X144="公司筐",N(对接源_02物料!$T144)&lt;&gt;0)),1,0)</f>
        <v>0</v>
      </c>
      <c r="Q1344" s="3">
        <f t="shared" si="352"/>
        <v>7</v>
      </c>
      <c r="R1344" s="3">
        <f>IF(AND($K1344=1,AND(对接源_02物料!$X144="公司筐",N(对接源_02物料!$U144)&lt;&gt;0)),1,0)</f>
        <v>0</v>
      </c>
      <c r="S1344" s="3">
        <f t="shared" si="353"/>
        <v>0</v>
      </c>
      <c r="T1344" s="3">
        <f>IF(AND($K1344=1,AND(对接源_02物料!$X144="公司筐",N(对接源_02物料!$V144)&lt;&gt;0)),1,0)</f>
        <v>0</v>
      </c>
      <c r="U1344" s="3">
        <f t="shared" si="354"/>
        <v>19</v>
      </c>
      <c r="V1344" s="3">
        <f>IF(AND($L1344=1,AND(对接源_02物料!$X144="自备筐",N(对接源_02物料!$V144)&lt;&gt;0)),1,0)</f>
        <v>0</v>
      </c>
      <c r="W1344" s="3">
        <f t="shared" si="355"/>
        <v>8</v>
      </c>
      <c r="X1344" s="3">
        <f>IF(AND($L1344=1,AND(对接源_02物料!$X144="自备筐",N(对接源_02物料!$T144)&lt;&gt;0)),1,0)</f>
        <v>0</v>
      </c>
      <c r="Y1344" s="3">
        <f t="shared" si="356"/>
        <v>0</v>
      </c>
      <c r="Z1344" s="3">
        <f>IF(AND($M1344=1,对接源_02物料!$D144="原料入库"),1,0)</f>
        <v>0</v>
      </c>
      <c r="AA1344" s="3">
        <f t="shared" si="357"/>
        <v>24</v>
      </c>
      <c r="AB1344" s="3">
        <f>IF(AND($M1344=1,LEFT(对接源_02物料!$D144,4)="原料出库"),1,0)</f>
        <v>0</v>
      </c>
      <c r="AC1344" s="3">
        <f t="shared" si="358"/>
        <v>0</v>
      </c>
      <c r="AD1344" s="3">
        <f>IF(AND($M1344=1,LEFT(对接源_02物料!$D144,4)="成品出库"),1,0)</f>
        <v>0</v>
      </c>
      <c r="AE1344" s="3">
        <f t="shared" si="359"/>
        <v>0</v>
      </c>
      <c r="AF1344" s="3">
        <f>IF(AND($N1344=1,AND(LEFT(对接源_02物料!$D144,4)="包装物料",N(对接源_02物料!$K144)&lt;&gt;0)),1,0)</f>
        <v>0</v>
      </c>
      <c r="AG1344" s="3">
        <f t="shared" si="360"/>
        <v>5</v>
      </c>
      <c r="AH1344" s="3">
        <f>IF(AND($N1344=1,AND(对接源_02物料!$D144="周转筐－销售出库",N(对接源_02物料!$K144)&lt;&gt;0)),1,0)</f>
        <v>0</v>
      </c>
      <c r="AI1344" s="3">
        <f t="shared" si="361"/>
        <v>0</v>
      </c>
      <c r="AL1344" s="3">
        <v>0</v>
      </c>
      <c r="AM1344" s="3">
        <f t="shared" si="362"/>
        <v>1</v>
      </c>
      <c r="AN1344" s="3" t="str">
        <f t="shared" si="366"/>
        <v/>
      </c>
      <c r="AO1344" s="3">
        <v>0</v>
      </c>
      <c r="AP1344" s="3">
        <f t="shared" si="363"/>
        <v>8</v>
      </c>
      <c r="AR1344">
        <f t="shared" si="364"/>
        <v>0</v>
      </c>
      <c r="AS1344">
        <f t="shared" si="365"/>
        <v>5</v>
      </c>
    </row>
    <row r="1345" customHeight="1" spans="1:45">
      <c r="A1345" s="3" t="str">
        <f>IF(对接源_02物料!$C145="","",对接源_02物料!$C145)</f>
        <v>全修塑业</v>
      </c>
      <c r="B1345" s="3">
        <f t="shared" si="350"/>
        <v>0</v>
      </c>
      <c r="C1345" s="3">
        <f t="shared" si="351"/>
        <v>21</v>
      </c>
      <c r="K1345" s="3">
        <f>IF(OR($K$1="",对接源_02物料!$C145="",对接源_02物料!$C145&lt;&gt;$K$1,对接源_02物料!$B145=""),0,IF(OR(N(对接源_02物料!$B145)&lt;$K$2,N(对接源_02物料!$B145)&gt;$K$3),0,1))</f>
        <v>0</v>
      </c>
      <c r="L1345" s="3">
        <f>IF(OR($L$1="",对接源_02物料!$C145="",对接源_02物料!$C145&lt;&gt;$L$1,对接源_02物料!$B145=""),0,IF(OR(N(对接源_02物料!$B145)&lt;$L$2,N(对接源_02物料!$B145)&gt;$L$3),0,1))</f>
        <v>0</v>
      </c>
      <c r="M1345" s="3">
        <f>IF(OR($M$1="",对接源_02物料!$C145="",对接源_02物料!$C145&lt;&gt;$M$1,对接源_02物料!$B145=""),0,IF(OR(N(对接源_02物料!$B145)&lt;$M$2,N(对接源_02物料!$B145)&gt;$M$3),0,1))</f>
        <v>0</v>
      </c>
      <c r="N1345" s="3">
        <f>IF(OR($N$1="",对接源_02物料!$C145="",对接源_02物料!$C145&lt;&gt;$N$1,对接源_02物料!$B145=""),0,IF(OR(N(对接源_02物料!$B145)&lt;$N$2,N(对接源_02物料!$B145)&gt;$N$3),0,1))</f>
        <v>0</v>
      </c>
      <c r="P1345" s="3">
        <f>IF(AND($K1345=1,AND(对接源_02物料!$X145="公司筐",N(对接源_02物料!$T145)&lt;&gt;0)),1,0)</f>
        <v>0</v>
      </c>
      <c r="Q1345" s="3">
        <f t="shared" si="352"/>
        <v>7</v>
      </c>
      <c r="R1345" s="3">
        <f>IF(AND($K1345=1,AND(对接源_02物料!$X145="公司筐",N(对接源_02物料!$U145)&lt;&gt;0)),1,0)</f>
        <v>0</v>
      </c>
      <c r="S1345" s="3">
        <f t="shared" si="353"/>
        <v>0</v>
      </c>
      <c r="T1345" s="3">
        <f>IF(AND($K1345=1,AND(对接源_02物料!$X145="公司筐",N(对接源_02物料!$V145)&lt;&gt;0)),1,0)</f>
        <v>0</v>
      </c>
      <c r="U1345" s="3">
        <f t="shared" si="354"/>
        <v>19</v>
      </c>
      <c r="V1345" s="3">
        <f>IF(AND($L1345=1,AND(对接源_02物料!$X145="自备筐",N(对接源_02物料!$V145)&lt;&gt;0)),1,0)</f>
        <v>0</v>
      </c>
      <c r="W1345" s="3">
        <f t="shared" si="355"/>
        <v>8</v>
      </c>
      <c r="X1345" s="3">
        <f>IF(AND($L1345=1,AND(对接源_02物料!$X145="自备筐",N(对接源_02物料!$T145)&lt;&gt;0)),1,0)</f>
        <v>0</v>
      </c>
      <c r="Y1345" s="3">
        <f t="shared" si="356"/>
        <v>0</v>
      </c>
      <c r="Z1345" s="3">
        <f>IF(AND($M1345=1,对接源_02物料!$D145="原料入库"),1,0)</f>
        <v>0</v>
      </c>
      <c r="AA1345" s="3">
        <f t="shared" si="357"/>
        <v>24</v>
      </c>
      <c r="AB1345" s="3">
        <f>IF(AND($M1345=1,LEFT(对接源_02物料!$D145,4)="原料出库"),1,0)</f>
        <v>0</v>
      </c>
      <c r="AC1345" s="3">
        <f t="shared" si="358"/>
        <v>0</v>
      </c>
      <c r="AD1345" s="3">
        <f>IF(AND($M1345=1,LEFT(对接源_02物料!$D145,4)="成品出库"),1,0)</f>
        <v>0</v>
      </c>
      <c r="AE1345" s="3">
        <f t="shared" si="359"/>
        <v>0</v>
      </c>
      <c r="AF1345" s="3">
        <f>IF(AND($N1345=1,AND(LEFT(对接源_02物料!$D145,4)="包装物料",N(对接源_02物料!$K145)&lt;&gt;0)),1,0)</f>
        <v>0</v>
      </c>
      <c r="AG1345" s="3">
        <f t="shared" si="360"/>
        <v>5</v>
      </c>
      <c r="AH1345" s="3">
        <f>IF(AND($N1345=1,AND(对接源_02物料!$D145="周转筐－销售出库",N(对接源_02物料!$K145)&lt;&gt;0)),1,0)</f>
        <v>0</v>
      </c>
      <c r="AI1345" s="3">
        <f t="shared" si="361"/>
        <v>0</v>
      </c>
      <c r="AL1345" s="3">
        <v>0</v>
      </c>
      <c r="AM1345" s="3">
        <f t="shared" si="362"/>
        <v>1</v>
      </c>
      <c r="AN1345" s="3" t="str">
        <f t="shared" si="366"/>
        <v/>
      </c>
      <c r="AO1345" s="3">
        <v>0</v>
      </c>
      <c r="AP1345" s="3">
        <f t="shared" si="363"/>
        <v>8</v>
      </c>
      <c r="AR1345">
        <f t="shared" si="364"/>
        <v>0</v>
      </c>
      <c r="AS1345">
        <f t="shared" si="365"/>
        <v>5</v>
      </c>
    </row>
    <row r="1346" customHeight="1" spans="1:45">
      <c r="A1346" s="3" t="str">
        <f>IF(对接源_02物料!$C146="","",对接源_02物料!$C146)</f>
        <v>努尔敦</v>
      </c>
      <c r="B1346" s="3">
        <f t="shared" si="350"/>
        <v>0</v>
      </c>
      <c r="C1346" s="3">
        <f t="shared" si="351"/>
        <v>21</v>
      </c>
      <c r="K1346" s="3">
        <f>IF(OR($K$1="",对接源_02物料!$C146="",对接源_02物料!$C146&lt;&gt;$K$1,对接源_02物料!$B146=""),0,IF(OR(N(对接源_02物料!$B146)&lt;$K$2,N(对接源_02物料!$B146)&gt;$K$3),0,1))</f>
        <v>0</v>
      </c>
      <c r="L1346" s="3">
        <f>IF(OR($L$1="",对接源_02物料!$C146="",对接源_02物料!$C146&lt;&gt;$L$1,对接源_02物料!$B146=""),0,IF(OR(N(对接源_02物料!$B146)&lt;$L$2,N(对接源_02物料!$B146)&gt;$L$3),0,1))</f>
        <v>0</v>
      </c>
      <c r="M1346" s="3">
        <f>IF(OR($M$1="",对接源_02物料!$C146="",对接源_02物料!$C146&lt;&gt;$M$1,对接源_02物料!$B146=""),0,IF(OR(N(对接源_02物料!$B146)&lt;$M$2,N(对接源_02物料!$B146)&gt;$M$3),0,1))</f>
        <v>0</v>
      </c>
      <c r="N1346" s="3">
        <f>IF(OR($N$1="",对接源_02物料!$C146="",对接源_02物料!$C146&lt;&gt;$N$1,对接源_02物料!$B146=""),0,IF(OR(N(对接源_02物料!$B146)&lt;$N$2,N(对接源_02物料!$B146)&gt;$N$3),0,1))</f>
        <v>0</v>
      </c>
      <c r="P1346" s="3">
        <f>IF(AND($K1346=1,AND(对接源_02物料!$X146="公司筐",N(对接源_02物料!$T146)&lt;&gt;0)),1,0)</f>
        <v>0</v>
      </c>
      <c r="Q1346" s="3">
        <f t="shared" si="352"/>
        <v>7</v>
      </c>
      <c r="R1346" s="3">
        <f>IF(AND($K1346=1,AND(对接源_02物料!$X146="公司筐",N(对接源_02物料!$U146)&lt;&gt;0)),1,0)</f>
        <v>0</v>
      </c>
      <c r="S1346" s="3">
        <f t="shared" si="353"/>
        <v>0</v>
      </c>
      <c r="T1346" s="3">
        <f>IF(AND($K1346=1,AND(对接源_02物料!$X146="公司筐",N(对接源_02物料!$V146)&lt;&gt;0)),1,0)</f>
        <v>0</v>
      </c>
      <c r="U1346" s="3">
        <f t="shared" si="354"/>
        <v>19</v>
      </c>
      <c r="V1346" s="3">
        <f>IF(AND($L1346=1,AND(对接源_02物料!$X146="自备筐",N(对接源_02物料!$V146)&lt;&gt;0)),1,0)</f>
        <v>0</v>
      </c>
      <c r="W1346" s="3">
        <f t="shared" si="355"/>
        <v>8</v>
      </c>
      <c r="X1346" s="3">
        <f>IF(AND($L1346=1,AND(对接源_02物料!$X146="自备筐",N(对接源_02物料!$T146)&lt;&gt;0)),1,0)</f>
        <v>0</v>
      </c>
      <c r="Y1346" s="3">
        <f t="shared" si="356"/>
        <v>0</v>
      </c>
      <c r="Z1346" s="3">
        <f>IF(AND($M1346=1,对接源_02物料!$D146="原料入库"),1,0)</f>
        <v>0</v>
      </c>
      <c r="AA1346" s="3">
        <f t="shared" si="357"/>
        <v>24</v>
      </c>
      <c r="AB1346" s="3">
        <f>IF(AND($M1346=1,LEFT(对接源_02物料!$D146,4)="原料出库"),1,0)</f>
        <v>0</v>
      </c>
      <c r="AC1346" s="3">
        <f t="shared" si="358"/>
        <v>0</v>
      </c>
      <c r="AD1346" s="3">
        <f>IF(AND($M1346=1,LEFT(对接源_02物料!$D146,4)="成品出库"),1,0)</f>
        <v>0</v>
      </c>
      <c r="AE1346" s="3">
        <f t="shared" si="359"/>
        <v>0</v>
      </c>
      <c r="AF1346" s="3">
        <f>IF(AND($N1346=1,AND(LEFT(对接源_02物料!$D146,4)="包装物料",N(对接源_02物料!$K146)&lt;&gt;0)),1,0)</f>
        <v>0</v>
      </c>
      <c r="AG1346" s="3">
        <f t="shared" si="360"/>
        <v>5</v>
      </c>
      <c r="AH1346" s="3">
        <f>IF(AND($N1346=1,AND(对接源_02物料!$D146="周转筐－销售出库",N(对接源_02物料!$K146)&lt;&gt;0)),1,0)</f>
        <v>0</v>
      </c>
      <c r="AI1346" s="3">
        <f t="shared" si="361"/>
        <v>0</v>
      </c>
      <c r="AL1346" s="3">
        <v>0</v>
      </c>
      <c r="AM1346" s="3">
        <f t="shared" si="362"/>
        <v>1</v>
      </c>
      <c r="AN1346" s="3" t="str">
        <f t="shared" si="366"/>
        <v/>
      </c>
      <c r="AO1346" s="3">
        <v>0</v>
      </c>
      <c r="AP1346" s="3">
        <f t="shared" si="363"/>
        <v>8</v>
      </c>
      <c r="AR1346">
        <f t="shared" si="364"/>
        <v>0</v>
      </c>
      <c r="AS1346">
        <f t="shared" si="365"/>
        <v>5</v>
      </c>
    </row>
    <row r="1347" customHeight="1" spans="1:45">
      <c r="A1347" s="3" t="str">
        <f>IF(对接源_02物料!$C147="","",对接源_02物料!$C147)</f>
        <v>努尔敦</v>
      </c>
      <c r="B1347" s="3">
        <f t="shared" si="350"/>
        <v>0</v>
      </c>
      <c r="C1347" s="3">
        <f t="shared" si="351"/>
        <v>21</v>
      </c>
      <c r="K1347" s="3">
        <f>IF(OR($K$1="",对接源_02物料!$C147="",对接源_02物料!$C147&lt;&gt;$K$1,对接源_02物料!$B147=""),0,IF(OR(N(对接源_02物料!$B147)&lt;$K$2,N(对接源_02物料!$B147)&gt;$K$3),0,1))</f>
        <v>0</v>
      </c>
      <c r="L1347" s="3">
        <f>IF(OR($L$1="",对接源_02物料!$C147="",对接源_02物料!$C147&lt;&gt;$L$1,对接源_02物料!$B147=""),0,IF(OR(N(对接源_02物料!$B147)&lt;$L$2,N(对接源_02物料!$B147)&gt;$L$3),0,1))</f>
        <v>0</v>
      </c>
      <c r="M1347" s="3">
        <f>IF(OR($M$1="",对接源_02物料!$C147="",对接源_02物料!$C147&lt;&gt;$M$1,对接源_02物料!$B147=""),0,IF(OR(N(对接源_02物料!$B147)&lt;$M$2,N(对接源_02物料!$B147)&gt;$M$3),0,1))</f>
        <v>0</v>
      </c>
      <c r="N1347" s="3">
        <f>IF(OR($N$1="",对接源_02物料!$C147="",对接源_02物料!$C147&lt;&gt;$N$1,对接源_02物料!$B147=""),0,IF(OR(N(对接源_02物料!$B147)&lt;$N$2,N(对接源_02物料!$B147)&gt;$N$3),0,1))</f>
        <v>0</v>
      </c>
      <c r="P1347" s="3">
        <f>IF(AND($K1347=1,AND(对接源_02物料!$X147="公司筐",N(对接源_02物料!$T147)&lt;&gt;0)),1,0)</f>
        <v>0</v>
      </c>
      <c r="Q1347" s="3">
        <f t="shared" si="352"/>
        <v>7</v>
      </c>
      <c r="R1347" s="3">
        <f>IF(AND($K1347=1,AND(对接源_02物料!$X147="公司筐",N(对接源_02物料!$U147)&lt;&gt;0)),1,0)</f>
        <v>0</v>
      </c>
      <c r="S1347" s="3">
        <f t="shared" si="353"/>
        <v>0</v>
      </c>
      <c r="T1347" s="3">
        <f>IF(AND($K1347=1,AND(对接源_02物料!$X147="公司筐",N(对接源_02物料!$V147)&lt;&gt;0)),1,0)</f>
        <v>0</v>
      </c>
      <c r="U1347" s="3">
        <f t="shared" si="354"/>
        <v>19</v>
      </c>
      <c r="V1347" s="3">
        <f>IF(AND($L1347=1,AND(对接源_02物料!$X147="自备筐",N(对接源_02物料!$V147)&lt;&gt;0)),1,0)</f>
        <v>0</v>
      </c>
      <c r="W1347" s="3">
        <f t="shared" si="355"/>
        <v>8</v>
      </c>
      <c r="X1347" s="3">
        <f>IF(AND($L1347=1,AND(对接源_02物料!$X147="自备筐",N(对接源_02物料!$T147)&lt;&gt;0)),1,0)</f>
        <v>0</v>
      </c>
      <c r="Y1347" s="3">
        <f t="shared" si="356"/>
        <v>0</v>
      </c>
      <c r="Z1347" s="3">
        <f>IF(AND($M1347=1,对接源_02物料!$D147="原料入库"),1,0)</f>
        <v>0</v>
      </c>
      <c r="AA1347" s="3">
        <f t="shared" si="357"/>
        <v>24</v>
      </c>
      <c r="AB1347" s="3">
        <f>IF(AND($M1347=1,LEFT(对接源_02物料!$D147,4)="原料出库"),1,0)</f>
        <v>0</v>
      </c>
      <c r="AC1347" s="3">
        <f t="shared" si="358"/>
        <v>0</v>
      </c>
      <c r="AD1347" s="3">
        <f>IF(AND($M1347=1,LEFT(对接源_02物料!$D147,4)="成品出库"),1,0)</f>
        <v>0</v>
      </c>
      <c r="AE1347" s="3">
        <f t="shared" si="359"/>
        <v>0</v>
      </c>
      <c r="AF1347" s="3">
        <f>IF(AND($N1347=1,AND(LEFT(对接源_02物料!$D147,4)="包装物料",N(对接源_02物料!$K147)&lt;&gt;0)),1,0)</f>
        <v>0</v>
      </c>
      <c r="AG1347" s="3">
        <f t="shared" si="360"/>
        <v>5</v>
      </c>
      <c r="AH1347" s="3">
        <f>IF(AND($N1347=1,AND(对接源_02物料!$D147="周转筐－销售出库",N(对接源_02物料!$K147)&lt;&gt;0)),1,0)</f>
        <v>0</v>
      </c>
      <c r="AI1347" s="3">
        <f t="shared" si="361"/>
        <v>0</v>
      </c>
      <c r="AL1347" s="3">
        <v>0</v>
      </c>
      <c r="AM1347" s="3">
        <f t="shared" si="362"/>
        <v>1</v>
      </c>
      <c r="AN1347" s="3" t="str">
        <f t="shared" si="366"/>
        <v/>
      </c>
      <c r="AO1347" s="3">
        <v>0</v>
      </c>
      <c r="AP1347" s="3">
        <f t="shared" si="363"/>
        <v>8</v>
      </c>
      <c r="AR1347">
        <f t="shared" si="364"/>
        <v>0</v>
      </c>
      <c r="AS1347">
        <f t="shared" si="365"/>
        <v>5</v>
      </c>
    </row>
    <row r="1348" customHeight="1" spans="1:45">
      <c r="A1348" s="3" t="str">
        <f>IF(对接源_02物料!$C148="","",对接源_02物料!$C148)</f>
        <v>王照雪</v>
      </c>
      <c r="B1348" s="3">
        <f t="shared" ref="B1348:B1411" si="367">IF(A1348="",0,IF(MATCH(A1348,$A$4:$A$2403,0)=ROW()-3,1,0))</f>
        <v>0</v>
      </c>
      <c r="C1348" s="3">
        <f t="shared" ref="C1348:C1411" si="368">N(C1347)+B1348</f>
        <v>21</v>
      </c>
      <c r="K1348" s="3">
        <f>IF(OR($K$1="",对接源_02物料!$C148="",对接源_02物料!$C148&lt;&gt;$K$1,对接源_02物料!$B148=""),0,IF(OR(N(对接源_02物料!$B148)&lt;$K$2,N(对接源_02物料!$B148)&gt;$K$3),0,1))</f>
        <v>0</v>
      </c>
      <c r="L1348" s="3">
        <f>IF(OR($L$1="",对接源_02物料!$C148="",对接源_02物料!$C148&lt;&gt;$L$1,对接源_02物料!$B148=""),0,IF(OR(N(对接源_02物料!$B148)&lt;$L$2,N(对接源_02物料!$B148)&gt;$L$3),0,1))</f>
        <v>0</v>
      </c>
      <c r="M1348" s="3">
        <f>IF(OR($M$1="",对接源_02物料!$C148="",对接源_02物料!$C148&lt;&gt;$M$1,对接源_02物料!$B148=""),0,IF(OR(N(对接源_02物料!$B148)&lt;$M$2,N(对接源_02物料!$B148)&gt;$M$3),0,1))</f>
        <v>0</v>
      </c>
      <c r="N1348" s="3">
        <f>IF(OR($N$1="",对接源_02物料!$C148="",对接源_02物料!$C148&lt;&gt;$N$1,对接源_02物料!$B148=""),0,IF(OR(N(对接源_02物料!$B148)&lt;$N$2,N(对接源_02物料!$B148)&gt;$N$3),0,1))</f>
        <v>0</v>
      </c>
      <c r="P1348" s="3">
        <f>IF(AND($K1348=1,AND(对接源_02物料!$X148="公司筐",N(对接源_02物料!$T148)&lt;&gt;0)),1,0)</f>
        <v>0</v>
      </c>
      <c r="Q1348" s="3">
        <f t="shared" ref="Q1348:Q1411" si="369">N(Q1347)+$P1348</f>
        <v>7</v>
      </c>
      <c r="R1348" s="3">
        <f>IF(AND($K1348=1,AND(对接源_02物料!$X148="公司筐",N(对接源_02物料!$U148)&lt;&gt;0)),1,0)</f>
        <v>0</v>
      </c>
      <c r="S1348" s="3">
        <f t="shared" ref="S1348:S1411" si="370">N(S1347)+$R1348</f>
        <v>0</v>
      </c>
      <c r="T1348" s="3">
        <f>IF(AND($K1348=1,AND(对接源_02物料!$X148="公司筐",N(对接源_02物料!$V148)&lt;&gt;0)),1,0)</f>
        <v>0</v>
      </c>
      <c r="U1348" s="3">
        <f t="shared" ref="U1348:U1411" si="371">N(U1347)+$T1348</f>
        <v>19</v>
      </c>
      <c r="V1348" s="3">
        <f>IF(AND($L1348=1,AND(对接源_02物料!$X148="自备筐",N(对接源_02物料!$V148)&lt;&gt;0)),1,0)</f>
        <v>0</v>
      </c>
      <c r="W1348" s="3">
        <f t="shared" ref="W1348:W1411" si="372">N(W1347)+$V1348</f>
        <v>8</v>
      </c>
      <c r="X1348" s="3">
        <f>IF(AND($L1348=1,AND(对接源_02物料!$X148="自备筐",N(对接源_02物料!$T148)&lt;&gt;0)),1,0)</f>
        <v>0</v>
      </c>
      <c r="Y1348" s="3">
        <f t="shared" ref="Y1348:Y1411" si="373">N(Y1347)+$X1348</f>
        <v>0</v>
      </c>
      <c r="Z1348" s="3">
        <f>IF(AND($M1348=1,对接源_02物料!$D148="原料入库"),1,0)</f>
        <v>0</v>
      </c>
      <c r="AA1348" s="3">
        <f t="shared" ref="AA1348:AA1411" si="374">N(AA1347)+$Z1348</f>
        <v>24</v>
      </c>
      <c r="AB1348" s="3">
        <f>IF(AND($M1348=1,LEFT(对接源_02物料!$D148,4)="原料出库"),1,0)</f>
        <v>0</v>
      </c>
      <c r="AC1348" s="3">
        <f t="shared" ref="AC1348:AC1411" si="375">N(AC1347)+$AB1348</f>
        <v>0</v>
      </c>
      <c r="AD1348" s="3">
        <f>IF(AND($M1348=1,LEFT(对接源_02物料!$D148,4)="成品出库"),1,0)</f>
        <v>0</v>
      </c>
      <c r="AE1348" s="3">
        <f t="shared" ref="AE1348:AE1411" si="376">N(AE1347)+$AD1348</f>
        <v>0</v>
      </c>
      <c r="AF1348" s="3">
        <f>IF(AND($N1348=1,AND(LEFT(对接源_02物料!$D148,4)="包装物料",N(对接源_02物料!$K148)&lt;&gt;0)),1,0)</f>
        <v>0</v>
      </c>
      <c r="AG1348" s="3">
        <f t="shared" ref="AG1348:AG1411" si="377">N(AG1347)+$AF1348</f>
        <v>5</v>
      </c>
      <c r="AH1348" s="3">
        <f>IF(AND($N1348=1,AND(对接源_02物料!$D148="周转筐－销售出库",N(对接源_02物料!$K148)&lt;&gt;0)),1,0)</f>
        <v>0</v>
      </c>
      <c r="AI1348" s="3">
        <f t="shared" ref="AI1348:AI1411" si="378">N(AI1347)+$AH1348</f>
        <v>0</v>
      </c>
      <c r="AL1348" s="3">
        <v>0</v>
      </c>
      <c r="AM1348" s="3">
        <f t="shared" ref="AM1348:AM1411" si="379">N(AM1347)+$AL1348</f>
        <v>1</v>
      </c>
      <c r="AN1348" s="3" t="str">
        <f t="shared" si="366"/>
        <v/>
      </c>
      <c r="AO1348" s="3">
        <v>0</v>
      </c>
      <c r="AP1348" s="3">
        <f t="shared" ref="AP1348:AP1411" si="380">N(AP1347)+$AO1348</f>
        <v>8</v>
      </c>
      <c r="AR1348">
        <f t="shared" ref="AR1348:AR1411" si="381">IF(OR($AF1348=1,$AH1348=1),1,0)</f>
        <v>0</v>
      </c>
      <c r="AS1348">
        <f t="shared" ref="AS1348:AS1411" si="382">N(AS1347)+$AR1348</f>
        <v>5</v>
      </c>
    </row>
    <row r="1349" customHeight="1" spans="1:45">
      <c r="A1349" s="3" t="str">
        <f>IF(对接源_02物料!$C149="","",对接源_02物料!$C149)</f>
        <v>王照雪</v>
      </c>
      <c r="B1349" s="3">
        <f t="shared" si="367"/>
        <v>0</v>
      </c>
      <c r="C1349" s="3">
        <f t="shared" si="368"/>
        <v>21</v>
      </c>
      <c r="K1349" s="3">
        <f>IF(OR($K$1="",对接源_02物料!$C149="",对接源_02物料!$C149&lt;&gt;$K$1,对接源_02物料!$B149=""),0,IF(OR(N(对接源_02物料!$B149)&lt;$K$2,N(对接源_02物料!$B149)&gt;$K$3),0,1))</f>
        <v>0</v>
      </c>
      <c r="L1349" s="3">
        <f>IF(OR($L$1="",对接源_02物料!$C149="",对接源_02物料!$C149&lt;&gt;$L$1,对接源_02物料!$B149=""),0,IF(OR(N(对接源_02物料!$B149)&lt;$L$2,N(对接源_02物料!$B149)&gt;$L$3),0,1))</f>
        <v>0</v>
      </c>
      <c r="M1349" s="3">
        <f>IF(OR($M$1="",对接源_02物料!$C149="",对接源_02物料!$C149&lt;&gt;$M$1,对接源_02物料!$B149=""),0,IF(OR(N(对接源_02物料!$B149)&lt;$M$2,N(对接源_02物料!$B149)&gt;$M$3),0,1))</f>
        <v>0</v>
      </c>
      <c r="N1349" s="3">
        <f>IF(OR($N$1="",对接源_02物料!$C149="",对接源_02物料!$C149&lt;&gt;$N$1,对接源_02物料!$B149=""),0,IF(OR(N(对接源_02物料!$B149)&lt;$N$2,N(对接源_02物料!$B149)&gt;$N$3),0,1))</f>
        <v>0</v>
      </c>
      <c r="P1349" s="3">
        <f>IF(AND($K1349=1,AND(对接源_02物料!$X149="公司筐",N(对接源_02物料!$T149)&lt;&gt;0)),1,0)</f>
        <v>0</v>
      </c>
      <c r="Q1349" s="3">
        <f t="shared" si="369"/>
        <v>7</v>
      </c>
      <c r="R1349" s="3">
        <f>IF(AND($K1349=1,AND(对接源_02物料!$X149="公司筐",N(对接源_02物料!$U149)&lt;&gt;0)),1,0)</f>
        <v>0</v>
      </c>
      <c r="S1349" s="3">
        <f t="shared" si="370"/>
        <v>0</v>
      </c>
      <c r="T1349" s="3">
        <f>IF(AND($K1349=1,AND(对接源_02物料!$X149="公司筐",N(对接源_02物料!$V149)&lt;&gt;0)),1,0)</f>
        <v>0</v>
      </c>
      <c r="U1349" s="3">
        <f t="shared" si="371"/>
        <v>19</v>
      </c>
      <c r="V1349" s="3">
        <f>IF(AND($L1349=1,AND(对接源_02物料!$X149="自备筐",N(对接源_02物料!$V149)&lt;&gt;0)),1,0)</f>
        <v>0</v>
      </c>
      <c r="W1349" s="3">
        <f t="shared" si="372"/>
        <v>8</v>
      </c>
      <c r="X1349" s="3">
        <f>IF(AND($L1349=1,AND(对接源_02物料!$X149="自备筐",N(对接源_02物料!$T149)&lt;&gt;0)),1,0)</f>
        <v>0</v>
      </c>
      <c r="Y1349" s="3">
        <f t="shared" si="373"/>
        <v>0</v>
      </c>
      <c r="Z1349" s="3">
        <f>IF(AND($M1349=1,对接源_02物料!$D149="原料入库"),1,0)</f>
        <v>0</v>
      </c>
      <c r="AA1349" s="3">
        <f t="shared" si="374"/>
        <v>24</v>
      </c>
      <c r="AB1349" s="3">
        <f>IF(AND($M1349=1,LEFT(对接源_02物料!$D149,4)="原料出库"),1,0)</f>
        <v>0</v>
      </c>
      <c r="AC1349" s="3">
        <f t="shared" si="375"/>
        <v>0</v>
      </c>
      <c r="AD1349" s="3">
        <f>IF(AND($M1349=1,LEFT(对接源_02物料!$D149,4)="成品出库"),1,0)</f>
        <v>0</v>
      </c>
      <c r="AE1349" s="3">
        <f t="shared" si="376"/>
        <v>0</v>
      </c>
      <c r="AF1349" s="3">
        <f>IF(AND($N1349=1,AND(LEFT(对接源_02物料!$D149,4)="包装物料",N(对接源_02物料!$K149)&lt;&gt;0)),1,0)</f>
        <v>0</v>
      </c>
      <c r="AG1349" s="3">
        <f t="shared" si="377"/>
        <v>5</v>
      </c>
      <c r="AH1349" s="3">
        <f>IF(AND($N1349=1,AND(对接源_02物料!$D149="周转筐－销售出库",N(对接源_02物料!$K149)&lt;&gt;0)),1,0)</f>
        <v>0</v>
      </c>
      <c r="AI1349" s="3">
        <f t="shared" si="378"/>
        <v>0</v>
      </c>
      <c r="AL1349" s="3">
        <v>0</v>
      </c>
      <c r="AM1349" s="3">
        <f t="shared" si="379"/>
        <v>1</v>
      </c>
      <c r="AN1349" s="3" t="str">
        <f t="shared" si="366"/>
        <v/>
      </c>
      <c r="AO1349" s="3">
        <v>0</v>
      </c>
      <c r="AP1349" s="3">
        <f t="shared" si="380"/>
        <v>8</v>
      </c>
      <c r="AR1349">
        <f t="shared" si="381"/>
        <v>0</v>
      </c>
      <c r="AS1349">
        <f t="shared" si="382"/>
        <v>5</v>
      </c>
    </row>
    <row r="1350" customHeight="1" spans="1:45">
      <c r="A1350" s="3" t="str">
        <f>IF(对接源_02物料!$C150="","",对接源_02物料!$C150)</f>
        <v>全修塑业</v>
      </c>
      <c r="B1350" s="3">
        <f t="shared" si="367"/>
        <v>0</v>
      </c>
      <c r="C1350" s="3">
        <f t="shared" si="368"/>
        <v>21</v>
      </c>
      <c r="K1350" s="3">
        <f>IF(OR($K$1="",对接源_02物料!$C150="",对接源_02物料!$C150&lt;&gt;$K$1,对接源_02物料!$B150=""),0,IF(OR(N(对接源_02物料!$B150)&lt;$K$2,N(对接源_02物料!$B150)&gt;$K$3),0,1))</f>
        <v>0</v>
      </c>
      <c r="L1350" s="3">
        <f>IF(OR($L$1="",对接源_02物料!$C150="",对接源_02物料!$C150&lt;&gt;$L$1,对接源_02物料!$B150=""),0,IF(OR(N(对接源_02物料!$B150)&lt;$L$2,N(对接源_02物料!$B150)&gt;$L$3),0,1))</f>
        <v>0</v>
      </c>
      <c r="M1350" s="3">
        <f>IF(OR($M$1="",对接源_02物料!$C150="",对接源_02物料!$C150&lt;&gt;$M$1,对接源_02物料!$B150=""),0,IF(OR(N(对接源_02物料!$B150)&lt;$M$2,N(对接源_02物料!$B150)&gt;$M$3),0,1))</f>
        <v>0</v>
      </c>
      <c r="N1350" s="3">
        <f>IF(OR($N$1="",对接源_02物料!$C150="",对接源_02物料!$C150&lt;&gt;$N$1,对接源_02物料!$B150=""),0,IF(OR(N(对接源_02物料!$B150)&lt;$N$2,N(对接源_02物料!$B150)&gt;$N$3),0,1))</f>
        <v>0</v>
      </c>
      <c r="P1350" s="3">
        <f>IF(AND($K1350=1,AND(对接源_02物料!$X150="公司筐",N(对接源_02物料!$T150)&lt;&gt;0)),1,0)</f>
        <v>0</v>
      </c>
      <c r="Q1350" s="3">
        <f t="shared" si="369"/>
        <v>7</v>
      </c>
      <c r="R1350" s="3">
        <f>IF(AND($K1350=1,AND(对接源_02物料!$X150="公司筐",N(对接源_02物料!$U150)&lt;&gt;0)),1,0)</f>
        <v>0</v>
      </c>
      <c r="S1350" s="3">
        <f t="shared" si="370"/>
        <v>0</v>
      </c>
      <c r="T1350" s="3">
        <f>IF(AND($K1350=1,AND(对接源_02物料!$X150="公司筐",N(对接源_02物料!$V150)&lt;&gt;0)),1,0)</f>
        <v>0</v>
      </c>
      <c r="U1350" s="3">
        <f t="shared" si="371"/>
        <v>19</v>
      </c>
      <c r="V1350" s="3">
        <f>IF(AND($L1350=1,AND(对接源_02物料!$X150="自备筐",N(对接源_02物料!$V150)&lt;&gt;0)),1,0)</f>
        <v>0</v>
      </c>
      <c r="W1350" s="3">
        <f t="shared" si="372"/>
        <v>8</v>
      </c>
      <c r="X1350" s="3">
        <f>IF(AND($L1350=1,AND(对接源_02物料!$X150="自备筐",N(对接源_02物料!$T150)&lt;&gt;0)),1,0)</f>
        <v>0</v>
      </c>
      <c r="Y1350" s="3">
        <f t="shared" si="373"/>
        <v>0</v>
      </c>
      <c r="Z1350" s="3">
        <f>IF(AND($M1350=1,对接源_02物料!$D150="原料入库"),1,0)</f>
        <v>0</v>
      </c>
      <c r="AA1350" s="3">
        <f t="shared" si="374"/>
        <v>24</v>
      </c>
      <c r="AB1350" s="3">
        <f>IF(AND($M1350=1,LEFT(对接源_02物料!$D150,4)="原料出库"),1,0)</f>
        <v>0</v>
      </c>
      <c r="AC1350" s="3">
        <f t="shared" si="375"/>
        <v>0</v>
      </c>
      <c r="AD1350" s="3">
        <f>IF(AND($M1350=1,LEFT(对接源_02物料!$D150,4)="成品出库"),1,0)</f>
        <v>0</v>
      </c>
      <c r="AE1350" s="3">
        <f t="shared" si="376"/>
        <v>0</v>
      </c>
      <c r="AF1350" s="3">
        <f>IF(AND($N1350=1,AND(LEFT(对接源_02物料!$D150,4)="包装物料",N(对接源_02物料!$K150)&lt;&gt;0)),1,0)</f>
        <v>0</v>
      </c>
      <c r="AG1350" s="3">
        <f t="shared" si="377"/>
        <v>5</v>
      </c>
      <c r="AH1350" s="3">
        <f>IF(AND($N1350=1,AND(对接源_02物料!$D150="周转筐－销售出库",N(对接源_02物料!$K150)&lt;&gt;0)),1,0)</f>
        <v>0</v>
      </c>
      <c r="AI1350" s="3">
        <f t="shared" si="378"/>
        <v>0</v>
      </c>
      <c r="AL1350" s="3">
        <v>0</v>
      </c>
      <c r="AM1350" s="3">
        <f t="shared" si="379"/>
        <v>1</v>
      </c>
      <c r="AN1350" s="3" t="str">
        <f t="shared" si="366"/>
        <v/>
      </c>
      <c r="AO1350" s="3">
        <v>0</v>
      </c>
      <c r="AP1350" s="3">
        <f t="shared" si="380"/>
        <v>8</v>
      </c>
      <c r="AR1350">
        <f t="shared" si="381"/>
        <v>0</v>
      </c>
      <c r="AS1350">
        <f t="shared" si="382"/>
        <v>5</v>
      </c>
    </row>
    <row r="1351" customHeight="1" spans="1:45">
      <c r="A1351" s="3" t="str">
        <f>IF(对接源_02物料!$C151="","",对接源_02物料!$C151)</f>
        <v>王灵云</v>
      </c>
      <c r="B1351" s="3">
        <f t="shared" si="367"/>
        <v>0</v>
      </c>
      <c r="C1351" s="3">
        <f t="shared" si="368"/>
        <v>21</v>
      </c>
      <c r="K1351" s="3">
        <f>IF(OR($K$1="",对接源_02物料!$C151="",对接源_02物料!$C151&lt;&gt;$K$1,对接源_02物料!$B151=""),0,IF(OR(N(对接源_02物料!$B151)&lt;$K$2,N(对接源_02物料!$B151)&gt;$K$3),0,1))</f>
        <v>1</v>
      </c>
      <c r="L1351" s="3">
        <f>IF(OR($L$1="",对接源_02物料!$C151="",对接源_02物料!$C151&lt;&gt;$L$1,对接源_02物料!$B151=""),0,IF(OR(N(对接源_02物料!$B151)&lt;$L$2,N(对接源_02物料!$B151)&gt;$L$3),0,1))</f>
        <v>0</v>
      </c>
      <c r="M1351" s="3">
        <f>IF(OR($M$1="",对接源_02物料!$C151="",对接源_02物料!$C151&lt;&gt;$M$1,对接源_02物料!$B151=""),0,IF(OR(N(对接源_02物料!$B151)&lt;$M$2,N(对接源_02物料!$B151)&gt;$M$3),0,1))</f>
        <v>0</v>
      </c>
      <c r="N1351" s="3">
        <f>IF(OR($N$1="",对接源_02物料!$C151="",对接源_02物料!$C151&lt;&gt;$N$1,对接源_02物料!$B151=""),0,IF(OR(N(对接源_02物料!$B151)&lt;$N$2,N(对接源_02物料!$B151)&gt;$N$3),0,1))</f>
        <v>0</v>
      </c>
      <c r="P1351" s="3">
        <f>IF(AND($K1351=1,AND(对接源_02物料!$X151="公司筐",N(对接源_02物料!$T151)&lt;&gt;0)),1,0)</f>
        <v>1</v>
      </c>
      <c r="Q1351" s="3">
        <f t="shared" si="369"/>
        <v>8</v>
      </c>
      <c r="R1351" s="3">
        <f>IF(AND($K1351=1,AND(对接源_02物料!$X151="公司筐",N(对接源_02物料!$U151)&lt;&gt;0)),1,0)</f>
        <v>0</v>
      </c>
      <c r="S1351" s="3">
        <f t="shared" si="370"/>
        <v>0</v>
      </c>
      <c r="T1351" s="3">
        <f>IF(AND($K1351=1,AND(对接源_02物料!$X151="公司筐",N(对接源_02物料!$V151)&lt;&gt;0)),1,0)</f>
        <v>0</v>
      </c>
      <c r="U1351" s="3">
        <f t="shared" si="371"/>
        <v>19</v>
      </c>
      <c r="V1351" s="3">
        <f>IF(AND($L1351=1,AND(对接源_02物料!$X151="自备筐",N(对接源_02物料!$V151)&lt;&gt;0)),1,0)</f>
        <v>0</v>
      </c>
      <c r="W1351" s="3">
        <f t="shared" si="372"/>
        <v>8</v>
      </c>
      <c r="X1351" s="3">
        <f>IF(AND($L1351=1,AND(对接源_02物料!$X151="自备筐",N(对接源_02物料!$T151)&lt;&gt;0)),1,0)</f>
        <v>0</v>
      </c>
      <c r="Y1351" s="3">
        <f t="shared" si="373"/>
        <v>0</v>
      </c>
      <c r="Z1351" s="3">
        <f>IF(AND($M1351=1,对接源_02物料!$D151="原料入库"),1,0)</f>
        <v>0</v>
      </c>
      <c r="AA1351" s="3">
        <f t="shared" si="374"/>
        <v>24</v>
      </c>
      <c r="AB1351" s="3">
        <f>IF(AND($M1351=1,LEFT(对接源_02物料!$D151,4)="原料出库"),1,0)</f>
        <v>0</v>
      </c>
      <c r="AC1351" s="3">
        <f t="shared" si="375"/>
        <v>0</v>
      </c>
      <c r="AD1351" s="3">
        <f>IF(AND($M1351=1,LEFT(对接源_02物料!$D151,4)="成品出库"),1,0)</f>
        <v>0</v>
      </c>
      <c r="AE1351" s="3">
        <f t="shared" si="376"/>
        <v>0</v>
      </c>
      <c r="AF1351" s="3">
        <f>IF(AND($N1351=1,AND(LEFT(对接源_02物料!$D151,4)="包装物料",N(对接源_02物料!$K151)&lt;&gt;0)),1,0)</f>
        <v>0</v>
      </c>
      <c r="AG1351" s="3">
        <f t="shared" si="377"/>
        <v>5</v>
      </c>
      <c r="AH1351" s="3">
        <f>IF(AND($N1351=1,AND(对接源_02物料!$D151="周转筐－销售出库",N(对接源_02物料!$K151)&lt;&gt;0)),1,0)</f>
        <v>0</v>
      </c>
      <c r="AI1351" s="3">
        <f t="shared" si="378"/>
        <v>0</v>
      </c>
      <c r="AL1351" s="3">
        <v>0</v>
      </c>
      <c r="AM1351" s="3">
        <f t="shared" si="379"/>
        <v>1</v>
      </c>
      <c r="AN1351" s="3" t="str">
        <f t="shared" si="366"/>
        <v/>
      </c>
      <c r="AO1351" s="3">
        <v>0</v>
      </c>
      <c r="AP1351" s="3">
        <f t="shared" si="380"/>
        <v>8</v>
      </c>
      <c r="AR1351">
        <f t="shared" si="381"/>
        <v>0</v>
      </c>
      <c r="AS1351">
        <f t="shared" si="382"/>
        <v>5</v>
      </c>
    </row>
    <row r="1352" customHeight="1" spans="1:45">
      <c r="A1352" s="3" t="str">
        <f>IF(对接源_02物料!$C152="","",对接源_02物料!$C152)</f>
        <v>王照雪</v>
      </c>
      <c r="B1352" s="3">
        <f t="shared" si="367"/>
        <v>0</v>
      </c>
      <c r="C1352" s="3">
        <f t="shared" si="368"/>
        <v>21</v>
      </c>
      <c r="K1352" s="3">
        <f>IF(OR($K$1="",对接源_02物料!$C152="",对接源_02物料!$C152&lt;&gt;$K$1,对接源_02物料!$B152=""),0,IF(OR(N(对接源_02物料!$B152)&lt;$K$2,N(对接源_02物料!$B152)&gt;$K$3),0,1))</f>
        <v>0</v>
      </c>
      <c r="L1352" s="3">
        <f>IF(OR($L$1="",对接源_02物料!$C152="",对接源_02物料!$C152&lt;&gt;$L$1,对接源_02物料!$B152=""),0,IF(OR(N(对接源_02物料!$B152)&lt;$L$2,N(对接源_02物料!$B152)&gt;$L$3),0,1))</f>
        <v>0</v>
      </c>
      <c r="M1352" s="3">
        <f>IF(OR($M$1="",对接源_02物料!$C152="",对接源_02物料!$C152&lt;&gt;$M$1,对接源_02物料!$B152=""),0,IF(OR(N(对接源_02物料!$B152)&lt;$M$2,N(对接源_02物料!$B152)&gt;$M$3),0,1))</f>
        <v>0</v>
      </c>
      <c r="N1352" s="3">
        <f>IF(OR($N$1="",对接源_02物料!$C152="",对接源_02物料!$C152&lt;&gt;$N$1,对接源_02物料!$B152=""),0,IF(OR(N(对接源_02物料!$B152)&lt;$N$2,N(对接源_02物料!$B152)&gt;$N$3),0,1))</f>
        <v>0</v>
      </c>
      <c r="P1352" s="3">
        <f>IF(AND($K1352=1,AND(对接源_02物料!$X152="公司筐",N(对接源_02物料!$T152)&lt;&gt;0)),1,0)</f>
        <v>0</v>
      </c>
      <c r="Q1352" s="3">
        <f t="shared" si="369"/>
        <v>8</v>
      </c>
      <c r="R1352" s="3">
        <f>IF(AND($K1352=1,AND(对接源_02物料!$X152="公司筐",N(对接源_02物料!$U152)&lt;&gt;0)),1,0)</f>
        <v>0</v>
      </c>
      <c r="S1352" s="3">
        <f t="shared" si="370"/>
        <v>0</v>
      </c>
      <c r="T1352" s="3">
        <f>IF(AND($K1352=1,AND(对接源_02物料!$X152="公司筐",N(对接源_02物料!$V152)&lt;&gt;0)),1,0)</f>
        <v>0</v>
      </c>
      <c r="U1352" s="3">
        <f t="shared" si="371"/>
        <v>19</v>
      </c>
      <c r="V1352" s="3">
        <f>IF(AND($L1352=1,AND(对接源_02物料!$X152="自备筐",N(对接源_02物料!$V152)&lt;&gt;0)),1,0)</f>
        <v>0</v>
      </c>
      <c r="W1352" s="3">
        <f t="shared" si="372"/>
        <v>8</v>
      </c>
      <c r="X1352" s="3">
        <f>IF(AND($L1352=1,AND(对接源_02物料!$X152="自备筐",N(对接源_02物料!$T152)&lt;&gt;0)),1,0)</f>
        <v>0</v>
      </c>
      <c r="Y1352" s="3">
        <f t="shared" si="373"/>
        <v>0</v>
      </c>
      <c r="Z1352" s="3">
        <f>IF(AND($M1352=1,对接源_02物料!$D152="原料入库"),1,0)</f>
        <v>0</v>
      </c>
      <c r="AA1352" s="3">
        <f t="shared" si="374"/>
        <v>24</v>
      </c>
      <c r="AB1352" s="3">
        <f>IF(AND($M1352=1,LEFT(对接源_02物料!$D152,4)="原料出库"),1,0)</f>
        <v>0</v>
      </c>
      <c r="AC1352" s="3">
        <f t="shared" si="375"/>
        <v>0</v>
      </c>
      <c r="AD1352" s="3">
        <f>IF(AND($M1352=1,LEFT(对接源_02物料!$D152,4)="成品出库"),1,0)</f>
        <v>0</v>
      </c>
      <c r="AE1352" s="3">
        <f t="shared" si="376"/>
        <v>0</v>
      </c>
      <c r="AF1352" s="3">
        <f>IF(AND($N1352=1,AND(LEFT(对接源_02物料!$D152,4)="包装物料",N(对接源_02物料!$K152)&lt;&gt;0)),1,0)</f>
        <v>0</v>
      </c>
      <c r="AG1352" s="3">
        <f t="shared" si="377"/>
        <v>5</v>
      </c>
      <c r="AH1352" s="3">
        <f>IF(AND($N1352=1,AND(对接源_02物料!$D152="周转筐－销售出库",N(对接源_02物料!$K152)&lt;&gt;0)),1,0)</f>
        <v>0</v>
      </c>
      <c r="AI1352" s="3">
        <f t="shared" si="378"/>
        <v>0</v>
      </c>
      <c r="AL1352" s="3">
        <v>0</v>
      </c>
      <c r="AM1352" s="3">
        <f t="shared" si="379"/>
        <v>1</v>
      </c>
      <c r="AN1352" s="3" t="str">
        <f t="shared" si="366"/>
        <v/>
      </c>
      <c r="AO1352" s="3">
        <v>0</v>
      </c>
      <c r="AP1352" s="3">
        <f t="shared" si="380"/>
        <v>8</v>
      </c>
      <c r="AR1352">
        <f t="shared" si="381"/>
        <v>0</v>
      </c>
      <c r="AS1352">
        <f t="shared" si="382"/>
        <v>5</v>
      </c>
    </row>
    <row r="1353" customHeight="1" spans="1:45">
      <c r="A1353" s="3" t="str">
        <f>IF(对接源_02物料!$C153="","",对接源_02物料!$C153)</f>
        <v>王照雪</v>
      </c>
      <c r="B1353" s="3">
        <f t="shared" si="367"/>
        <v>0</v>
      </c>
      <c r="C1353" s="3">
        <f t="shared" si="368"/>
        <v>21</v>
      </c>
      <c r="K1353" s="3">
        <f>IF(OR($K$1="",对接源_02物料!$C153="",对接源_02物料!$C153&lt;&gt;$K$1,对接源_02物料!$B153=""),0,IF(OR(N(对接源_02物料!$B153)&lt;$K$2,N(对接源_02物料!$B153)&gt;$K$3),0,1))</f>
        <v>0</v>
      </c>
      <c r="L1353" s="3">
        <f>IF(OR($L$1="",对接源_02物料!$C153="",对接源_02物料!$C153&lt;&gt;$L$1,对接源_02物料!$B153=""),0,IF(OR(N(对接源_02物料!$B153)&lt;$L$2,N(对接源_02物料!$B153)&gt;$L$3),0,1))</f>
        <v>0</v>
      </c>
      <c r="M1353" s="3">
        <f>IF(OR($M$1="",对接源_02物料!$C153="",对接源_02物料!$C153&lt;&gt;$M$1,对接源_02物料!$B153=""),0,IF(OR(N(对接源_02物料!$B153)&lt;$M$2,N(对接源_02物料!$B153)&gt;$M$3),0,1))</f>
        <v>0</v>
      </c>
      <c r="N1353" s="3">
        <f>IF(OR($N$1="",对接源_02物料!$C153="",对接源_02物料!$C153&lt;&gt;$N$1,对接源_02物料!$B153=""),0,IF(OR(N(对接源_02物料!$B153)&lt;$N$2,N(对接源_02物料!$B153)&gt;$N$3),0,1))</f>
        <v>0</v>
      </c>
      <c r="P1353" s="3">
        <f>IF(AND($K1353=1,AND(对接源_02物料!$X153="公司筐",N(对接源_02物料!$T153)&lt;&gt;0)),1,0)</f>
        <v>0</v>
      </c>
      <c r="Q1353" s="3">
        <f t="shared" si="369"/>
        <v>8</v>
      </c>
      <c r="R1353" s="3">
        <f>IF(AND($K1353=1,AND(对接源_02物料!$X153="公司筐",N(对接源_02物料!$U153)&lt;&gt;0)),1,0)</f>
        <v>0</v>
      </c>
      <c r="S1353" s="3">
        <f t="shared" si="370"/>
        <v>0</v>
      </c>
      <c r="T1353" s="3">
        <f>IF(AND($K1353=1,AND(对接源_02物料!$X153="公司筐",N(对接源_02物料!$V153)&lt;&gt;0)),1,0)</f>
        <v>0</v>
      </c>
      <c r="U1353" s="3">
        <f t="shared" si="371"/>
        <v>19</v>
      </c>
      <c r="V1353" s="3">
        <f>IF(AND($L1353=1,AND(对接源_02物料!$X153="自备筐",N(对接源_02物料!$V153)&lt;&gt;0)),1,0)</f>
        <v>0</v>
      </c>
      <c r="W1353" s="3">
        <f t="shared" si="372"/>
        <v>8</v>
      </c>
      <c r="X1353" s="3">
        <f>IF(AND($L1353=1,AND(对接源_02物料!$X153="自备筐",N(对接源_02物料!$T153)&lt;&gt;0)),1,0)</f>
        <v>0</v>
      </c>
      <c r="Y1353" s="3">
        <f t="shared" si="373"/>
        <v>0</v>
      </c>
      <c r="Z1353" s="3">
        <f>IF(AND($M1353=1,对接源_02物料!$D153="原料入库"),1,0)</f>
        <v>0</v>
      </c>
      <c r="AA1353" s="3">
        <f t="shared" si="374"/>
        <v>24</v>
      </c>
      <c r="AB1353" s="3">
        <f>IF(AND($M1353=1,LEFT(对接源_02物料!$D153,4)="原料出库"),1,0)</f>
        <v>0</v>
      </c>
      <c r="AC1353" s="3">
        <f t="shared" si="375"/>
        <v>0</v>
      </c>
      <c r="AD1353" s="3">
        <f>IF(AND($M1353=1,LEFT(对接源_02物料!$D153,4)="成品出库"),1,0)</f>
        <v>0</v>
      </c>
      <c r="AE1353" s="3">
        <f t="shared" si="376"/>
        <v>0</v>
      </c>
      <c r="AF1353" s="3">
        <f>IF(AND($N1353=1,AND(LEFT(对接源_02物料!$D153,4)="包装物料",N(对接源_02物料!$K153)&lt;&gt;0)),1,0)</f>
        <v>0</v>
      </c>
      <c r="AG1353" s="3">
        <f t="shared" si="377"/>
        <v>5</v>
      </c>
      <c r="AH1353" s="3">
        <f>IF(AND($N1353=1,AND(对接源_02物料!$D153="周转筐－销售出库",N(对接源_02物料!$K153)&lt;&gt;0)),1,0)</f>
        <v>0</v>
      </c>
      <c r="AI1353" s="3">
        <f t="shared" si="378"/>
        <v>0</v>
      </c>
      <c r="AL1353" s="3">
        <v>0</v>
      </c>
      <c r="AM1353" s="3">
        <f t="shared" si="379"/>
        <v>1</v>
      </c>
      <c r="AN1353" s="3" t="str">
        <f t="shared" si="366"/>
        <v/>
      </c>
      <c r="AO1353" s="3">
        <v>0</v>
      </c>
      <c r="AP1353" s="3">
        <f t="shared" si="380"/>
        <v>8</v>
      </c>
      <c r="AR1353">
        <f t="shared" si="381"/>
        <v>0</v>
      </c>
      <c r="AS1353">
        <f t="shared" si="382"/>
        <v>5</v>
      </c>
    </row>
    <row r="1354" customHeight="1" spans="1:45">
      <c r="A1354" s="3" t="str">
        <f>IF(对接源_02物料!$C154="","",对接源_02物料!$C154)</f>
        <v>王照雪</v>
      </c>
      <c r="B1354" s="3">
        <f t="shared" si="367"/>
        <v>0</v>
      </c>
      <c r="C1354" s="3">
        <f t="shared" si="368"/>
        <v>21</v>
      </c>
      <c r="K1354" s="3">
        <f>IF(OR($K$1="",对接源_02物料!$C154="",对接源_02物料!$C154&lt;&gt;$K$1,对接源_02物料!$B154=""),0,IF(OR(N(对接源_02物料!$B154)&lt;$K$2,N(对接源_02物料!$B154)&gt;$K$3),0,1))</f>
        <v>0</v>
      </c>
      <c r="L1354" s="3">
        <f>IF(OR($L$1="",对接源_02物料!$C154="",对接源_02物料!$C154&lt;&gt;$L$1,对接源_02物料!$B154=""),0,IF(OR(N(对接源_02物料!$B154)&lt;$L$2,N(对接源_02物料!$B154)&gt;$L$3),0,1))</f>
        <v>0</v>
      </c>
      <c r="M1354" s="3">
        <f>IF(OR($M$1="",对接源_02物料!$C154="",对接源_02物料!$C154&lt;&gt;$M$1,对接源_02物料!$B154=""),0,IF(OR(N(对接源_02物料!$B154)&lt;$M$2,N(对接源_02物料!$B154)&gt;$M$3),0,1))</f>
        <v>0</v>
      </c>
      <c r="N1354" s="3">
        <f>IF(OR($N$1="",对接源_02物料!$C154="",对接源_02物料!$C154&lt;&gt;$N$1,对接源_02物料!$B154=""),0,IF(OR(N(对接源_02物料!$B154)&lt;$N$2,N(对接源_02物料!$B154)&gt;$N$3),0,1))</f>
        <v>0</v>
      </c>
      <c r="P1354" s="3">
        <f>IF(AND($K1354=1,AND(对接源_02物料!$X154="公司筐",N(对接源_02物料!$T154)&lt;&gt;0)),1,0)</f>
        <v>0</v>
      </c>
      <c r="Q1354" s="3">
        <f t="shared" si="369"/>
        <v>8</v>
      </c>
      <c r="R1354" s="3">
        <f>IF(AND($K1354=1,AND(对接源_02物料!$X154="公司筐",N(对接源_02物料!$U154)&lt;&gt;0)),1,0)</f>
        <v>0</v>
      </c>
      <c r="S1354" s="3">
        <f t="shared" si="370"/>
        <v>0</v>
      </c>
      <c r="T1354" s="3">
        <f>IF(AND($K1354=1,AND(对接源_02物料!$X154="公司筐",N(对接源_02物料!$V154)&lt;&gt;0)),1,0)</f>
        <v>0</v>
      </c>
      <c r="U1354" s="3">
        <f t="shared" si="371"/>
        <v>19</v>
      </c>
      <c r="V1354" s="3">
        <f>IF(AND($L1354=1,AND(对接源_02物料!$X154="自备筐",N(对接源_02物料!$V154)&lt;&gt;0)),1,0)</f>
        <v>0</v>
      </c>
      <c r="W1354" s="3">
        <f t="shared" si="372"/>
        <v>8</v>
      </c>
      <c r="X1354" s="3">
        <f>IF(AND($L1354=1,AND(对接源_02物料!$X154="自备筐",N(对接源_02物料!$T154)&lt;&gt;0)),1,0)</f>
        <v>0</v>
      </c>
      <c r="Y1354" s="3">
        <f t="shared" si="373"/>
        <v>0</v>
      </c>
      <c r="Z1354" s="3">
        <f>IF(AND($M1354=1,对接源_02物料!$D154="原料入库"),1,0)</f>
        <v>0</v>
      </c>
      <c r="AA1354" s="3">
        <f t="shared" si="374"/>
        <v>24</v>
      </c>
      <c r="AB1354" s="3">
        <f>IF(AND($M1354=1,LEFT(对接源_02物料!$D154,4)="原料出库"),1,0)</f>
        <v>0</v>
      </c>
      <c r="AC1354" s="3">
        <f t="shared" si="375"/>
        <v>0</v>
      </c>
      <c r="AD1354" s="3">
        <f>IF(AND($M1354=1,LEFT(对接源_02物料!$D154,4)="成品出库"),1,0)</f>
        <v>0</v>
      </c>
      <c r="AE1354" s="3">
        <f t="shared" si="376"/>
        <v>0</v>
      </c>
      <c r="AF1354" s="3">
        <f>IF(AND($N1354=1,AND(LEFT(对接源_02物料!$D154,4)="包装物料",N(对接源_02物料!$K154)&lt;&gt;0)),1,0)</f>
        <v>0</v>
      </c>
      <c r="AG1354" s="3">
        <f t="shared" si="377"/>
        <v>5</v>
      </c>
      <c r="AH1354" s="3">
        <f>IF(AND($N1354=1,AND(对接源_02物料!$D154="周转筐－销售出库",N(对接源_02物料!$K154)&lt;&gt;0)),1,0)</f>
        <v>0</v>
      </c>
      <c r="AI1354" s="3">
        <f t="shared" si="378"/>
        <v>0</v>
      </c>
      <c r="AL1354" s="3">
        <v>0</v>
      </c>
      <c r="AM1354" s="3">
        <f t="shared" si="379"/>
        <v>1</v>
      </c>
      <c r="AN1354" s="3" t="str">
        <f t="shared" si="366"/>
        <v/>
      </c>
      <c r="AO1354" s="3">
        <v>0</v>
      </c>
      <c r="AP1354" s="3">
        <f t="shared" si="380"/>
        <v>8</v>
      </c>
      <c r="AR1354">
        <f t="shared" si="381"/>
        <v>0</v>
      </c>
      <c r="AS1354">
        <f t="shared" si="382"/>
        <v>5</v>
      </c>
    </row>
    <row r="1355" customHeight="1" spans="1:45">
      <c r="A1355" s="3" t="str">
        <f>IF(对接源_02物料!$C155="","",对接源_02物料!$C155)</f>
        <v>麦麦提</v>
      </c>
      <c r="B1355" s="3">
        <f t="shared" si="367"/>
        <v>0</v>
      </c>
      <c r="C1355" s="3">
        <f t="shared" si="368"/>
        <v>21</v>
      </c>
      <c r="K1355" s="3">
        <f>IF(OR($K$1="",对接源_02物料!$C155="",对接源_02物料!$C155&lt;&gt;$K$1,对接源_02物料!$B155=""),0,IF(OR(N(对接源_02物料!$B155)&lt;$K$2,N(对接源_02物料!$B155)&gt;$K$3),0,1))</f>
        <v>0</v>
      </c>
      <c r="L1355" s="3">
        <f>IF(OR($L$1="",对接源_02物料!$C155="",对接源_02物料!$C155&lt;&gt;$L$1,对接源_02物料!$B155=""),0,IF(OR(N(对接源_02物料!$B155)&lt;$L$2,N(对接源_02物料!$B155)&gt;$L$3),0,1))</f>
        <v>0</v>
      </c>
      <c r="M1355" s="3">
        <f>IF(OR($M$1="",对接源_02物料!$C155="",对接源_02物料!$C155&lt;&gt;$M$1,对接源_02物料!$B155=""),0,IF(OR(N(对接源_02物料!$B155)&lt;$M$2,N(对接源_02物料!$B155)&gt;$M$3),0,1))</f>
        <v>0</v>
      </c>
      <c r="N1355" s="3">
        <f>IF(OR($N$1="",对接源_02物料!$C155="",对接源_02物料!$C155&lt;&gt;$N$1,对接源_02物料!$B155=""),0,IF(OR(N(对接源_02物料!$B155)&lt;$N$2,N(对接源_02物料!$B155)&gt;$N$3),0,1))</f>
        <v>0</v>
      </c>
      <c r="P1355" s="3">
        <f>IF(AND($K1355=1,AND(对接源_02物料!$X155="公司筐",N(对接源_02物料!$T155)&lt;&gt;0)),1,0)</f>
        <v>0</v>
      </c>
      <c r="Q1355" s="3">
        <f t="shared" si="369"/>
        <v>8</v>
      </c>
      <c r="R1355" s="3">
        <f>IF(AND($K1355=1,AND(对接源_02物料!$X155="公司筐",N(对接源_02物料!$U155)&lt;&gt;0)),1,0)</f>
        <v>0</v>
      </c>
      <c r="S1355" s="3">
        <f t="shared" si="370"/>
        <v>0</v>
      </c>
      <c r="T1355" s="3">
        <f>IF(AND($K1355=1,AND(对接源_02物料!$X155="公司筐",N(对接源_02物料!$V155)&lt;&gt;0)),1,0)</f>
        <v>0</v>
      </c>
      <c r="U1355" s="3">
        <f t="shared" si="371"/>
        <v>19</v>
      </c>
      <c r="V1355" s="3">
        <f>IF(AND($L1355=1,AND(对接源_02物料!$X155="自备筐",N(对接源_02物料!$V155)&lt;&gt;0)),1,0)</f>
        <v>0</v>
      </c>
      <c r="W1355" s="3">
        <f t="shared" si="372"/>
        <v>8</v>
      </c>
      <c r="X1355" s="3">
        <f>IF(AND($L1355=1,AND(对接源_02物料!$X155="自备筐",N(对接源_02物料!$T155)&lt;&gt;0)),1,0)</f>
        <v>0</v>
      </c>
      <c r="Y1355" s="3">
        <f t="shared" si="373"/>
        <v>0</v>
      </c>
      <c r="Z1355" s="3">
        <f>IF(AND($M1355=1,对接源_02物料!$D155="原料入库"),1,0)</f>
        <v>0</v>
      </c>
      <c r="AA1355" s="3">
        <f t="shared" si="374"/>
        <v>24</v>
      </c>
      <c r="AB1355" s="3">
        <f>IF(AND($M1355=1,LEFT(对接源_02物料!$D155,4)="原料出库"),1,0)</f>
        <v>0</v>
      </c>
      <c r="AC1355" s="3">
        <f t="shared" si="375"/>
        <v>0</v>
      </c>
      <c r="AD1355" s="3">
        <f>IF(AND($M1355=1,LEFT(对接源_02物料!$D155,4)="成品出库"),1,0)</f>
        <v>0</v>
      </c>
      <c r="AE1355" s="3">
        <f t="shared" si="376"/>
        <v>0</v>
      </c>
      <c r="AF1355" s="3">
        <f>IF(AND($N1355=1,AND(LEFT(对接源_02物料!$D155,4)="包装物料",N(对接源_02物料!$K155)&lt;&gt;0)),1,0)</f>
        <v>0</v>
      </c>
      <c r="AG1355" s="3">
        <f t="shared" si="377"/>
        <v>5</v>
      </c>
      <c r="AH1355" s="3">
        <f>IF(AND($N1355=1,AND(对接源_02物料!$D155="周转筐－销售出库",N(对接源_02物料!$K155)&lt;&gt;0)),1,0)</f>
        <v>0</v>
      </c>
      <c r="AI1355" s="3">
        <f t="shared" si="378"/>
        <v>0</v>
      </c>
      <c r="AL1355" s="3">
        <v>0</v>
      </c>
      <c r="AM1355" s="3">
        <f t="shared" si="379"/>
        <v>1</v>
      </c>
      <c r="AN1355" s="3" t="str">
        <f t="shared" si="366"/>
        <v/>
      </c>
      <c r="AO1355" s="3">
        <v>0</v>
      </c>
      <c r="AP1355" s="3">
        <f t="shared" si="380"/>
        <v>8</v>
      </c>
      <c r="AR1355">
        <f t="shared" si="381"/>
        <v>0</v>
      </c>
      <c r="AS1355">
        <f t="shared" si="382"/>
        <v>5</v>
      </c>
    </row>
    <row r="1356" customHeight="1" spans="1:45">
      <c r="A1356" s="3" t="str">
        <f>IF(对接源_02物料!$C156="","",对接源_02物料!$C156)</f>
        <v>王灵云</v>
      </c>
      <c r="B1356" s="3">
        <f t="shared" si="367"/>
        <v>0</v>
      </c>
      <c r="C1356" s="3">
        <f t="shared" si="368"/>
        <v>21</v>
      </c>
      <c r="K1356" s="3">
        <f>IF(OR($K$1="",对接源_02物料!$C156="",对接源_02物料!$C156&lt;&gt;$K$1,对接源_02物料!$B156=""),0,IF(OR(N(对接源_02物料!$B156)&lt;$K$2,N(对接源_02物料!$B156)&gt;$K$3),0,1))</f>
        <v>1</v>
      </c>
      <c r="L1356" s="3">
        <f>IF(OR($L$1="",对接源_02物料!$C156="",对接源_02物料!$C156&lt;&gt;$L$1,对接源_02物料!$B156=""),0,IF(OR(N(对接源_02物料!$B156)&lt;$L$2,N(对接源_02物料!$B156)&gt;$L$3),0,1))</f>
        <v>0</v>
      </c>
      <c r="M1356" s="3">
        <f>IF(OR($M$1="",对接源_02物料!$C156="",对接源_02物料!$C156&lt;&gt;$M$1,对接源_02物料!$B156=""),0,IF(OR(N(对接源_02物料!$B156)&lt;$M$2,N(对接源_02物料!$B156)&gt;$M$3),0,1))</f>
        <v>0</v>
      </c>
      <c r="N1356" s="3">
        <f>IF(OR($N$1="",对接源_02物料!$C156="",对接源_02物料!$C156&lt;&gt;$N$1,对接源_02物料!$B156=""),0,IF(OR(N(对接源_02物料!$B156)&lt;$N$2,N(对接源_02物料!$B156)&gt;$N$3),0,1))</f>
        <v>0</v>
      </c>
      <c r="P1356" s="3">
        <f>IF(AND($K1356=1,AND(对接源_02物料!$X156="公司筐",N(对接源_02物料!$T156)&lt;&gt;0)),1,0)</f>
        <v>0</v>
      </c>
      <c r="Q1356" s="3">
        <f t="shared" si="369"/>
        <v>8</v>
      </c>
      <c r="R1356" s="3">
        <f>IF(AND($K1356=1,AND(对接源_02物料!$X156="公司筐",N(对接源_02物料!$U156)&lt;&gt;0)),1,0)</f>
        <v>0</v>
      </c>
      <c r="S1356" s="3">
        <f t="shared" si="370"/>
        <v>0</v>
      </c>
      <c r="T1356" s="3">
        <f>IF(AND($K1356=1,AND(对接源_02物料!$X156="公司筐",N(对接源_02物料!$V156)&lt;&gt;0)),1,0)</f>
        <v>0</v>
      </c>
      <c r="U1356" s="3">
        <f t="shared" si="371"/>
        <v>19</v>
      </c>
      <c r="V1356" s="3">
        <f>IF(AND($L1356=1,AND(对接源_02物料!$X156="自备筐",N(对接源_02物料!$V156)&lt;&gt;0)),1,0)</f>
        <v>0</v>
      </c>
      <c r="W1356" s="3">
        <f t="shared" si="372"/>
        <v>8</v>
      </c>
      <c r="X1356" s="3">
        <f>IF(AND($L1356=1,AND(对接源_02物料!$X156="自备筐",N(对接源_02物料!$T156)&lt;&gt;0)),1,0)</f>
        <v>0</v>
      </c>
      <c r="Y1356" s="3">
        <f t="shared" si="373"/>
        <v>0</v>
      </c>
      <c r="Z1356" s="3">
        <f>IF(AND($M1356=1,对接源_02物料!$D156="原料入库"),1,0)</f>
        <v>0</v>
      </c>
      <c r="AA1356" s="3">
        <f t="shared" si="374"/>
        <v>24</v>
      </c>
      <c r="AB1356" s="3">
        <f>IF(AND($M1356=1,LEFT(对接源_02物料!$D156,4)="原料出库"),1,0)</f>
        <v>0</v>
      </c>
      <c r="AC1356" s="3">
        <f t="shared" si="375"/>
        <v>0</v>
      </c>
      <c r="AD1356" s="3">
        <f>IF(AND($M1356=1,LEFT(对接源_02物料!$D156,4)="成品出库"),1,0)</f>
        <v>0</v>
      </c>
      <c r="AE1356" s="3">
        <f t="shared" si="376"/>
        <v>0</v>
      </c>
      <c r="AF1356" s="3">
        <f>IF(AND($N1356=1,AND(LEFT(对接源_02物料!$D156,4)="包装物料",N(对接源_02物料!$K156)&lt;&gt;0)),1,0)</f>
        <v>0</v>
      </c>
      <c r="AG1356" s="3">
        <f t="shared" si="377"/>
        <v>5</v>
      </c>
      <c r="AH1356" s="3">
        <f>IF(AND($N1356=1,AND(对接源_02物料!$D156="周转筐－销售出库",N(对接源_02物料!$K156)&lt;&gt;0)),1,0)</f>
        <v>0</v>
      </c>
      <c r="AI1356" s="3">
        <f t="shared" si="378"/>
        <v>0</v>
      </c>
      <c r="AL1356" s="3">
        <v>0</v>
      </c>
      <c r="AM1356" s="3">
        <f t="shared" si="379"/>
        <v>1</v>
      </c>
      <c r="AN1356" s="3" t="str">
        <f t="shared" si="366"/>
        <v/>
      </c>
      <c r="AO1356" s="3">
        <v>0</v>
      </c>
      <c r="AP1356" s="3">
        <f t="shared" si="380"/>
        <v>8</v>
      </c>
      <c r="AR1356">
        <f t="shared" si="381"/>
        <v>0</v>
      </c>
      <c r="AS1356">
        <f t="shared" si="382"/>
        <v>5</v>
      </c>
    </row>
    <row r="1357" customHeight="1" spans="1:45">
      <c r="A1357" s="3" t="str">
        <f>IF(对接源_02物料!$C157="","",对接源_02物料!$C157)</f>
        <v>麦麦提</v>
      </c>
      <c r="B1357" s="3">
        <f t="shared" si="367"/>
        <v>0</v>
      </c>
      <c r="C1357" s="3">
        <f t="shared" si="368"/>
        <v>21</v>
      </c>
      <c r="K1357" s="3">
        <f>IF(OR($K$1="",对接源_02物料!$C157="",对接源_02物料!$C157&lt;&gt;$K$1,对接源_02物料!$B157=""),0,IF(OR(N(对接源_02物料!$B157)&lt;$K$2,N(对接源_02物料!$B157)&gt;$K$3),0,1))</f>
        <v>0</v>
      </c>
      <c r="L1357" s="3">
        <f>IF(OR($L$1="",对接源_02物料!$C157="",对接源_02物料!$C157&lt;&gt;$L$1,对接源_02物料!$B157=""),0,IF(OR(N(对接源_02物料!$B157)&lt;$L$2,N(对接源_02物料!$B157)&gt;$L$3),0,1))</f>
        <v>0</v>
      </c>
      <c r="M1357" s="3">
        <f>IF(OR($M$1="",对接源_02物料!$C157="",对接源_02物料!$C157&lt;&gt;$M$1,对接源_02物料!$B157=""),0,IF(OR(N(对接源_02物料!$B157)&lt;$M$2,N(对接源_02物料!$B157)&gt;$M$3),0,1))</f>
        <v>0</v>
      </c>
      <c r="N1357" s="3">
        <f>IF(OR($N$1="",对接源_02物料!$C157="",对接源_02物料!$C157&lt;&gt;$N$1,对接源_02物料!$B157=""),0,IF(OR(N(对接源_02物料!$B157)&lt;$N$2,N(对接源_02物料!$B157)&gt;$N$3),0,1))</f>
        <v>0</v>
      </c>
      <c r="P1357" s="3">
        <f>IF(AND($K1357=1,AND(对接源_02物料!$X157="公司筐",N(对接源_02物料!$T157)&lt;&gt;0)),1,0)</f>
        <v>0</v>
      </c>
      <c r="Q1357" s="3">
        <f t="shared" si="369"/>
        <v>8</v>
      </c>
      <c r="R1357" s="3">
        <f>IF(AND($K1357=1,AND(对接源_02物料!$X157="公司筐",N(对接源_02物料!$U157)&lt;&gt;0)),1,0)</f>
        <v>0</v>
      </c>
      <c r="S1357" s="3">
        <f t="shared" si="370"/>
        <v>0</v>
      </c>
      <c r="T1357" s="3">
        <f>IF(AND($K1357=1,AND(对接源_02物料!$X157="公司筐",N(对接源_02物料!$V157)&lt;&gt;0)),1,0)</f>
        <v>0</v>
      </c>
      <c r="U1357" s="3">
        <f t="shared" si="371"/>
        <v>19</v>
      </c>
      <c r="V1357" s="3">
        <f>IF(AND($L1357=1,AND(对接源_02物料!$X157="自备筐",N(对接源_02物料!$V157)&lt;&gt;0)),1,0)</f>
        <v>0</v>
      </c>
      <c r="W1357" s="3">
        <f t="shared" si="372"/>
        <v>8</v>
      </c>
      <c r="X1357" s="3">
        <f>IF(AND($L1357=1,AND(对接源_02物料!$X157="自备筐",N(对接源_02物料!$T157)&lt;&gt;0)),1,0)</f>
        <v>0</v>
      </c>
      <c r="Y1357" s="3">
        <f t="shared" si="373"/>
        <v>0</v>
      </c>
      <c r="Z1357" s="3">
        <f>IF(AND($M1357=1,对接源_02物料!$D157="原料入库"),1,0)</f>
        <v>0</v>
      </c>
      <c r="AA1357" s="3">
        <f t="shared" si="374"/>
        <v>24</v>
      </c>
      <c r="AB1357" s="3">
        <f>IF(AND($M1357=1,LEFT(对接源_02物料!$D157,4)="原料出库"),1,0)</f>
        <v>0</v>
      </c>
      <c r="AC1357" s="3">
        <f t="shared" si="375"/>
        <v>0</v>
      </c>
      <c r="AD1357" s="3">
        <f>IF(AND($M1357=1,LEFT(对接源_02物料!$D157,4)="成品出库"),1,0)</f>
        <v>0</v>
      </c>
      <c r="AE1357" s="3">
        <f t="shared" si="376"/>
        <v>0</v>
      </c>
      <c r="AF1357" s="3">
        <f>IF(AND($N1357=1,AND(LEFT(对接源_02物料!$D157,4)="包装物料",N(对接源_02物料!$K157)&lt;&gt;0)),1,0)</f>
        <v>0</v>
      </c>
      <c r="AG1357" s="3">
        <f t="shared" si="377"/>
        <v>5</v>
      </c>
      <c r="AH1357" s="3">
        <f>IF(AND($N1357=1,AND(对接源_02物料!$D157="周转筐－销售出库",N(对接源_02物料!$K157)&lt;&gt;0)),1,0)</f>
        <v>0</v>
      </c>
      <c r="AI1357" s="3">
        <f t="shared" si="378"/>
        <v>0</v>
      </c>
      <c r="AL1357" s="3">
        <v>0</v>
      </c>
      <c r="AM1357" s="3">
        <f t="shared" si="379"/>
        <v>1</v>
      </c>
      <c r="AN1357" s="3" t="str">
        <f t="shared" si="366"/>
        <v/>
      </c>
      <c r="AO1357" s="3">
        <v>0</v>
      </c>
      <c r="AP1357" s="3">
        <f t="shared" si="380"/>
        <v>8</v>
      </c>
      <c r="AR1357">
        <f t="shared" si="381"/>
        <v>0</v>
      </c>
      <c r="AS1357">
        <f t="shared" si="382"/>
        <v>5</v>
      </c>
    </row>
    <row r="1358" customHeight="1" spans="1:45">
      <c r="A1358" s="3" t="str">
        <f>IF(对接源_02物料!$C158="","",对接源_02物料!$C158)</f>
        <v>王照雪</v>
      </c>
      <c r="B1358" s="3">
        <f t="shared" si="367"/>
        <v>0</v>
      </c>
      <c r="C1358" s="3">
        <f t="shared" si="368"/>
        <v>21</v>
      </c>
      <c r="K1358" s="3">
        <f>IF(OR($K$1="",对接源_02物料!$C158="",对接源_02物料!$C158&lt;&gt;$K$1,对接源_02物料!$B158=""),0,IF(OR(N(对接源_02物料!$B158)&lt;$K$2,N(对接源_02物料!$B158)&gt;$K$3),0,1))</f>
        <v>0</v>
      </c>
      <c r="L1358" s="3">
        <f>IF(OR($L$1="",对接源_02物料!$C158="",对接源_02物料!$C158&lt;&gt;$L$1,对接源_02物料!$B158=""),0,IF(OR(N(对接源_02物料!$B158)&lt;$L$2,N(对接源_02物料!$B158)&gt;$L$3),0,1))</f>
        <v>0</v>
      </c>
      <c r="M1358" s="3">
        <f>IF(OR($M$1="",对接源_02物料!$C158="",对接源_02物料!$C158&lt;&gt;$M$1,对接源_02物料!$B158=""),0,IF(OR(N(对接源_02物料!$B158)&lt;$M$2,N(对接源_02物料!$B158)&gt;$M$3),0,1))</f>
        <v>0</v>
      </c>
      <c r="N1358" s="3">
        <f>IF(OR($N$1="",对接源_02物料!$C158="",对接源_02物料!$C158&lt;&gt;$N$1,对接源_02物料!$B158=""),0,IF(OR(N(对接源_02物料!$B158)&lt;$N$2,N(对接源_02物料!$B158)&gt;$N$3),0,1))</f>
        <v>0</v>
      </c>
      <c r="P1358" s="3">
        <f>IF(AND($K1358=1,AND(对接源_02物料!$X158="公司筐",N(对接源_02物料!$T158)&lt;&gt;0)),1,0)</f>
        <v>0</v>
      </c>
      <c r="Q1358" s="3">
        <f t="shared" si="369"/>
        <v>8</v>
      </c>
      <c r="R1358" s="3">
        <f>IF(AND($K1358=1,AND(对接源_02物料!$X158="公司筐",N(对接源_02物料!$U158)&lt;&gt;0)),1,0)</f>
        <v>0</v>
      </c>
      <c r="S1358" s="3">
        <f t="shared" si="370"/>
        <v>0</v>
      </c>
      <c r="T1358" s="3">
        <f>IF(AND($K1358=1,AND(对接源_02物料!$X158="公司筐",N(对接源_02物料!$V158)&lt;&gt;0)),1,0)</f>
        <v>0</v>
      </c>
      <c r="U1358" s="3">
        <f t="shared" si="371"/>
        <v>19</v>
      </c>
      <c r="V1358" s="3">
        <f>IF(AND($L1358=1,AND(对接源_02物料!$X158="自备筐",N(对接源_02物料!$V158)&lt;&gt;0)),1,0)</f>
        <v>0</v>
      </c>
      <c r="W1358" s="3">
        <f t="shared" si="372"/>
        <v>8</v>
      </c>
      <c r="X1358" s="3">
        <f>IF(AND($L1358=1,AND(对接源_02物料!$X158="自备筐",N(对接源_02物料!$T158)&lt;&gt;0)),1,0)</f>
        <v>0</v>
      </c>
      <c r="Y1358" s="3">
        <f t="shared" si="373"/>
        <v>0</v>
      </c>
      <c r="Z1358" s="3">
        <f>IF(AND($M1358=1,对接源_02物料!$D158="原料入库"),1,0)</f>
        <v>0</v>
      </c>
      <c r="AA1358" s="3">
        <f t="shared" si="374"/>
        <v>24</v>
      </c>
      <c r="AB1358" s="3">
        <f>IF(AND($M1358=1,LEFT(对接源_02物料!$D158,4)="原料出库"),1,0)</f>
        <v>0</v>
      </c>
      <c r="AC1358" s="3">
        <f t="shared" si="375"/>
        <v>0</v>
      </c>
      <c r="AD1358" s="3">
        <f>IF(AND($M1358=1,LEFT(对接源_02物料!$D158,4)="成品出库"),1,0)</f>
        <v>0</v>
      </c>
      <c r="AE1358" s="3">
        <f t="shared" si="376"/>
        <v>0</v>
      </c>
      <c r="AF1358" s="3">
        <f>IF(AND($N1358=1,AND(LEFT(对接源_02物料!$D158,4)="包装物料",N(对接源_02物料!$K158)&lt;&gt;0)),1,0)</f>
        <v>0</v>
      </c>
      <c r="AG1358" s="3">
        <f t="shared" si="377"/>
        <v>5</v>
      </c>
      <c r="AH1358" s="3">
        <f>IF(AND($N1358=1,AND(对接源_02物料!$D158="周转筐－销售出库",N(对接源_02物料!$K158)&lt;&gt;0)),1,0)</f>
        <v>0</v>
      </c>
      <c r="AI1358" s="3">
        <f t="shared" si="378"/>
        <v>0</v>
      </c>
      <c r="AL1358" s="3">
        <v>0</v>
      </c>
      <c r="AM1358" s="3">
        <f t="shared" si="379"/>
        <v>1</v>
      </c>
      <c r="AN1358" s="3" t="str">
        <f t="shared" si="366"/>
        <v/>
      </c>
      <c r="AO1358" s="3">
        <v>0</v>
      </c>
      <c r="AP1358" s="3">
        <f t="shared" si="380"/>
        <v>8</v>
      </c>
      <c r="AR1358">
        <f t="shared" si="381"/>
        <v>0</v>
      </c>
      <c r="AS1358">
        <f t="shared" si="382"/>
        <v>5</v>
      </c>
    </row>
    <row r="1359" customHeight="1" spans="1:45">
      <c r="A1359" s="3" t="str">
        <f>IF(对接源_02物料!$C159="","",对接源_02物料!$C159)</f>
        <v>王照雪</v>
      </c>
      <c r="B1359" s="3">
        <f t="shared" si="367"/>
        <v>0</v>
      </c>
      <c r="C1359" s="3">
        <f t="shared" si="368"/>
        <v>21</v>
      </c>
      <c r="K1359" s="3">
        <f>IF(OR($K$1="",对接源_02物料!$C159="",对接源_02物料!$C159&lt;&gt;$K$1,对接源_02物料!$B159=""),0,IF(OR(N(对接源_02物料!$B159)&lt;$K$2,N(对接源_02物料!$B159)&gt;$K$3),0,1))</f>
        <v>0</v>
      </c>
      <c r="L1359" s="3">
        <f>IF(OR($L$1="",对接源_02物料!$C159="",对接源_02物料!$C159&lt;&gt;$L$1,对接源_02物料!$B159=""),0,IF(OR(N(对接源_02物料!$B159)&lt;$L$2,N(对接源_02物料!$B159)&gt;$L$3),0,1))</f>
        <v>0</v>
      </c>
      <c r="M1359" s="3">
        <f>IF(OR($M$1="",对接源_02物料!$C159="",对接源_02物料!$C159&lt;&gt;$M$1,对接源_02物料!$B159=""),0,IF(OR(N(对接源_02物料!$B159)&lt;$M$2,N(对接源_02物料!$B159)&gt;$M$3),0,1))</f>
        <v>0</v>
      </c>
      <c r="N1359" s="3">
        <f>IF(OR($N$1="",对接源_02物料!$C159="",对接源_02物料!$C159&lt;&gt;$N$1,对接源_02物料!$B159=""),0,IF(OR(N(对接源_02物料!$B159)&lt;$N$2,N(对接源_02物料!$B159)&gt;$N$3),0,1))</f>
        <v>0</v>
      </c>
      <c r="P1359" s="3">
        <f>IF(AND($K1359=1,AND(对接源_02物料!$X159="公司筐",N(对接源_02物料!$T159)&lt;&gt;0)),1,0)</f>
        <v>0</v>
      </c>
      <c r="Q1359" s="3">
        <f t="shared" si="369"/>
        <v>8</v>
      </c>
      <c r="R1359" s="3">
        <f>IF(AND($K1359=1,AND(对接源_02物料!$X159="公司筐",N(对接源_02物料!$U159)&lt;&gt;0)),1,0)</f>
        <v>0</v>
      </c>
      <c r="S1359" s="3">
        <f t="shared" si="370"/>
        <v>0</v>
      </c>
      <c r="T1359" s="3">
        <f>IF(AND($K1359=1,AND(对接源_02物料!$X159="公司筐",N(对接源_02物料!$V159)&lt;&gt;0)),1,0)</f>
        <v>0</v>
      </c>
      <c r="U1359" s="3">
        <f t="shared" si="371"/>
        <v>19</v>
      </c>
      <c r="V1359" s="3">
        <f>IF(AND($L1359=1,AND(对接源_02物料!$X159="自备筐",N(对接源_02物料!$V159)&lt;&gt;0)),1,0)</f>
        <v>0</v>
      </c>
      <c r="W1359" s="3">
        <f t="shared" si="372"/>
        <v>8</v>
      </c>
      <c r="X1359" s="3">
        <f>IF(AND($L1359=1,AND(对接源_02物料!$X159="自备筐",N(对接源_02物料!$T159)&lt;&gt;0)),1,0)</f>
        <v>0</v>
      </c>
      <c r="Y1359" s="3">
        <f t="shared" si="373"/>
        <v>0</v>
      </c>
      <c r="Z1359" s="3">
        <f>IF(AND($M1359=1,对接源_02物料!$D159="原料入库"),1,0)</f>
        <v>0</v>
      </c>
      <c r="AA1359" s="3">
        <f t="shared" si="374"/>
        <v>24</v>
      </c>
      <c r="AB1359" s="3">
        <f>IF(AND($M1359=1,LEFT(对接源_02物料!$D159,4)="原料出库"),1,0)</f>
        <v>0</v>
      </c>
      <c r="AC1359" s="3">
        <f t="shared" si="375"/>
        <v>0</v>
      </c>
      <c r="AD1359" s="3">
        <f>IF(AND($M1359=1,LEFT(对接源_02物料!$D159,4)="成品出库"),1,0)</f>
        <v>0</v>
      </c>
      <c r="AE1359" s="3">
        <f t="shared" si="376"/>
        <v>0</v>
      </c>
      <c r="AF1359" s="3">
        <f>IF(AND($N1359=1,AND(LEFT(对接源_02物料!$D159,4)="包装物料",N(对接源_02物料!$K159)&lt;&gt;0)),1,0)</f>
        <v>0</v>
      </c>
      <c r="AG1359" s="3">
        <f t="shared" si="377"/>
        <v>5</v>
      </c>
      <c r="AH1359" s="3">
        <f>IF(AND($N1359=1,AND(对接源_02物料!$D159="周转筐－销售出库",N(对接源_02物料!$K159)&lt;&gt;0)),1,0)</f>
        <v>0</v>
      </c>
      <c r="AI1359" s="3">
        <f t="shared" si="378"/>
        <v>0</v>
      </c>
      <c r="AL1359" s="3">
        <v>0</v>
      </c>
      <c r="AM1359" s="3">
        <f t="shared" si="379"/>
        <v>1</v>
      </c>
      <c r="AN1359" s="3" t="str">
        <f t="shared" si="366"/>
        <v/>
      </c>
      <c r="AO1359" s="3">
        <v>0</v>
      </c>
      <c r="AP1359" s="3">
        <f t="shared" si="380"/>
        <v>8</v>
      </c>
      <c r="AR1359">
        <f t="shared" si="381"/>
        <v>0</v>
      </c>
      <c r="AS1359">
        <f t="shared" si="382"/>
        <v>5</v>
      </c>
    </row>
    <row r="1360" customHeight="1" spans="1:45">
      <c r="A1360" s="3" t="str">
        <f>IF(对接源_02物料!$C160="","",对接源_02物料!$C160)</f>
        <v>王照雪</v>
      </c>
      <c r="B1360" s="3">
        <f t="shared" si="367"/>
        <v>0</v>
      </c>
      <c r="C1360" s="3">
        <f t="shared" si="368"/>
        <v>21</v>
      </c>
      <c r="K1360" s="3">
        <f>IF(OR($K$1="",对接源_02物料!$C160="",对接源_02物料!$C160&lt;&gt;$K$1,对接源_02物料!$B160=""),0,IF(OR(N(对接源_02物料!$B160)&lt;$K$2,N(对接源_02物料!$B160)&gt;$K$3),0,1))</f>
        <v>0</v>
      </c>
      <c r="L1360" s="3">
        <f>IF(OR($L$1="",对接源_02物料!$C160="",对接源_02物料!$C160&lt;&gt;$L$1,对接源_02物料!$B160=""),0,IF(OR(N(对接源_02物料!$B160)&lt;$L$2,N(对接源_02物料!$B160)&gt;$L$3),0,1))</f>
        <v>0</v>
      </c>
      <c r="M1360" s="3">
        <f>IF(OR($M$1="",对接源_02物料!$C160="",对接源_02物料!$C160&lt;&gt;$M$1,对接源_02物料!$B160=""),0,IF(OR(N(对接源_02物料!$B160)&lt;$M$2,N(对接源_02物料!$B160)&gt;$M$3),0,1))</f>
        <v>0</v>
      </c>
      <c r="N1360" s="3">
        <f>IF(OR($N$1="",对接源_02物料!$C160="",对接源_02物料!$C160&lt;&gt;$N$1,对接源_02物料!$B160=""),0,IF(OR(N(对接源_02物料!$B160)&lt;$N$2,N(对接源_02物料!$B160)&gt;$N$3),0,1))</f>
        <v>0</v>
      </c>
      <c r="P1360" s="3">
        <f>IF(AND($K1360=1,AND(对接源_02物料!$X160="公司筐",N(对接源_02物料!$T160)&lt;&gt;0)),1,0)</f>
        <v>0</v>
      </c>
      <c r="Q1360" s="3">
        <f t="shared" si="369"/>
        <v>8</v>
      </c>
      <c r="R1360" s="3">
        <f>IF(AND($K1360=1,AND(对接源_02物料!$X160="公司筐",N(对接源_02物料!$U160)&lt;&gt;0)),1,0)</f>
        <v>0</v>
      </c>
      <c r="S1360" s="3">
        <f t="shared" si="370"/>
        <v>0</v>
      </c>
      <c r="T1360" s="3">
        <f>IF(AND($K1360=1,AND(对接源_02物料!$X160="公司筐",N(对接源_02物料!$V160)&lt;&gt;0)),1,0)</f>
        <v>0</v>
      </c>
      <c r="U1360" s="3">
        <f t="shared" si="371"/>
        <v>19</v>
      </c>
      <c r="V1360" s="3">
        <f>IF(AND($L1360=1,AND(对接源_02物料!$X160="自备筐",N(对接源_02物料!$V160)&lt;&gt;0)),1,0)</f>
        <v>0</v>
      </c>
      <c r="W1360" s="3">
        <f t="shared" si="372"/>
        <v>8</v>
      </c>
      <c r="X1360" s="3">
        <f>IF(AND($L1360=1,AND(对接源_02物料!$X160="自备筐",N(对接源_02物料!$T160)&lt;&gt;0)),1,0)</f>
        <v>0</v>
      </c>
      <c r="Y1360" s="3">
        <f t="shared" si="373"/>
        <v>0</v>
      </c>
      <c r="Z1360" s="3">
        <f>IF(AND($M1360=1,对接源_02物料!$D160="原料入库"),1,0)</f>
        <v>0</v>
      </c>
      <c r="AA1360" s="3">
        <f t="shared" si="374"/>
        <v>24</v>
      </c>
      <c r="AB1360" s="3">
        <f>IF(AND($M1360=1,LEFT(对接源_02物料!$D160,4)="原料出库"),1,0)</f>
        <v>0</v>
      </c>
      <c r="AC1360" s="3">
        <f t="shared" si="375"/>
        <v>0</v>
      </c>
      <c r="AD1360" s="3">
        <f>IF(AND($M1360=1,LEFT(对接源_02物料!$D160,4)="成品出库"),1,0)</f>
        <v>0</v>
      </c>
      <c r="AE1360" s="3">
        <f t="shared" si="376"/>
        <v>0</v>
      </c>
      <c r="AF1360" s="3">
        <f>IF(AND($N1360=1,AND(LEFT(对接源_02物料!$D160,4)="包装物料",N(对接源_02物料!$K160)&lt;&gt;0)),1,0)</f>
        <v>0</v>
      </c>
      <c r="AG1360" s="3">
        <f t="shared" si="377"/>
        <v>5</v>
      </c>
      <c r="AH1360" s="3">
        <f>IF(AND($N1360=1,AND(对接源_02物料!$D160="周转筐－销售出库",N(对接源_02物料!$K160)&lt;&gt;0)),1,0)</f>
        <v>0</v>
      </c>
      <c r="AI1360" s="3">
        <f t="shared" si="378"/>
        <v>0</v>
      </c>
      <c r="AL1360" s="3">
        <v>0</v>
      </c>
      <c r="AM1360" s="3">
        <f t="shared" si="379"/>
        <v>1</v>
      </c>
      <c r="AN1360" s="3" t="str">
        <f t="shared" si="366"/>
        <v/>
      </c>
      <c r="AO1360" s="3">
        <v>0</v>
      </c>
      <c r="AP1360" s="3">
        <f t="shared" si="380"/>
        <v>8</v>
      </c>
      <c r="AR1360">
        <f t="shared" si="381"/>
        <v>0</v>
      </c>
      <c r="AS1360">
        <f t="shared" si="382"/>
        <v>5</v>
      </c>
    </row>
    <row r="1361" customHeight="1" spans="1:45">
      <c r="A1361" s="3" t="str">
        <f>IF(对接源_02物料!$C161="","",对接源_02物料!$C161)</f>
        <v>王照雪</v>
      </c>
      <c r="B1361" s="3">
        <f t="shared" si="367"/>
        <v>0</v>
      </c>
      <c r="C1361" s="3">
        <f t="shared" si="368"/>
        <v>21</v>
      </c>
      <c r="K1361" s="3">
        <f>IF(OR($K$1="",对接源_02物料!$C161="",对接源_02物料!$C161&lt;&gt;$K$1,对接源_02物料!$B161=""),0,IF(OR(N(对接源_02物料!$B161)&lt;$K$2,N(对接源_02物料!$B161)&gt;$K$3),0,1))</f>
        <v>0</v>
      </c>
      <c r="L1361" s="3">
        <f>IF(OR($L$1="",对接源_02物料!$C161="",对接源_02物料!$C161&lt;&gt;$L$1,对接源_02物料!$B161=""),0,IF(OR(N(对接源_02物料!$B161)&lt;$L$2,N(对接源_02物料!$B161)&gt;$L$3),0,1))</f>
        <v>0</v>
      </c>
      <c r="M1361" s="3">
        <f>IF(OR($M$1="",对接源_02物料!$C161="",对接源_02物料!$C161&lt;&gt;$M$1,对接源_02物料!$B161=""),0,IF(OR(N(对接源_02物料!$B161)&lt;$M$2,N(对接源_02物料!$B161)&gt;$M$3),0,1))</f>
        <v>0</v>
      </c>
      <c r="N1361" s="3">
        <f>IF(OR($N$1="",对接源_02物料!$C161="",对接源_02物料!$C161&lt;&gt;$N$1,对接源_02物料!$B161=""),0,IF(OR(N(对接源_02物料!$B161)&lt;$N$2,N(对接源_02物料!$B161)&gt;$N$3),0,1))</f>
        <v>0</v>
      </c>
      <c r="P1361" s="3">
        <f>IF(AND($K1361=1,AND(对接源_02物料!$X161="公司筐",N(对接源_02物料!$T161)&lt;&gt;0)),1,0)</f>
        <v>0</v>
      </c>
      <c r="Q1361" s="3">
        <f t="shared" si="369"/>
        <v>8</v>
      </c>
      <c r="R1361" s="3">
        <f>IF(AND($K1361=1,AND(对接源_02物料!$X161="公司筐",N(对接源_02物料!$U161)&lt;&gt;0)),1,0)</f>
        <v>0</v>
      </c>
      <c r="S1361" s="3">
        <f t="shared" si="370"/>
        <v>0</v>
      </c>
      <c r="T1361" s="3">
        <f>IF(AND($K1361=1,AND(对接源_02物料!$X161="公司筐",N(对接源_02物料!$V161)&lt;&gt;0)),1,0)</f>
        <v>0</v>
      </c>
      <c r="U1361" s="3">
        <f t="shared" si="371"/>
        <v>19</v>
      </c>
      <c r="V1361" s="3">
        <f>IF(AND($L1361=1,AND(对接源_02物料!$X161="自备筐",N(对接源_02物料!$V161)&lt;&gt;0)),1,0)</f>
        <v>0</v>
      </c>
      <c r="W1361" s="3">
        <f t="shared" si="372"/>
        <v>8</v>
      </c>
      <c r="X1361" s="3">
        <f>IF(AND($L1361=1,AND(对接源_02物料!$X161="自备筐",N(对接源_02物料!$T161)&lt;&gt;0)),1,0)</f>
        <v>0</v>
      </c>
      <c r="Y1361" s="3">
        <f t="shared" si="373"/>
        <v>0</v>
      </c>
      <c r="Z1361" s="3">
        <f>IF(AND($M1361=1,对接源_02物料!$D161="原料入库"),1,0)</f>
        <v>0</v>
      </c>
      <c r="AA1361" s="3">
        <f t="shared" si="374"/>
        <v>24</v>
      </c>
      <c r="AB1361" s="3">
        <f>IF(AND($M1361=1,LEFT(对接源_02物料!$D161,4)="原料出库"),1,0)</f>
        <v>0</v>
      </c>
      <c r="AC1361" s="3">
        <f t="shared" si="375"/>
        <v>0</v>
      </c>
      <c r="AD1361" s="3">
        <f>IF(AND($M1361=1,LEFT(对接源_02物料!$D161,4)="成品出库"),1,0)</f>
        <v>0</v>
      </c>
      <c r="AE1361" s="3">
        <f t="shared" si="376"/>
        <v>0</v>
      </c>
      <c r="AF1361" s="3">
        <f>IF(AND($N1361=1,AND(LEFT(对接源_02物料!$D161,4)="包装物料",N(对接源_02物料!$K161)&lt;&gt;0)),1,0)</f>
        <v>0</v>
      </c>
      <c r="AG1361" s="3">
        <f t="shared" si="377"/>
        <v>5</v>
      </c>
      <c r="AH1361" s="3">
        <f>IF(AND($N1361=1,AND(对接源_02物料!$D161="周转筐－销售出库",N(对接源_02物料!$K161)&lt;&gt;0)),1,0)</f>
        <v>0</v>
      </c>
      <c r="AI1361" s="3">
        <f t="shared" si="378"/>
        <v>0</v>
      </c>
      <c r="AL1361" s="3">
        <v>0</v>
      </c>
      <c r="AM1361" s="3">
        <f t="shared" si="379"/>
        <v>1</v>
      </c>
      <c r="AN1361" s="3" t="str">
        <f t="shared" si="366"/>
        <v/>
      </c>
      <c r="AO1361" s="3">
        <v>0</v>
      </c>
      <c r="AP1361" s="3">
        <f t="shared" si="380"/>
        <v>8</v>
      </c>
      <c r="AR1361">
        <f t="shared" si="381"/>
        <v>0</v>
      </c>
      <c r="AS1361">
        <f t="shared" si="382"/>
        <v>5</v>
      </c>
    </row>
    <row r="1362" customHeight="1" spans="1:45">
      <c r="A1362" s="3" t="str">
        <f>IF(对接源_02物料!$C162="","",对接源_02物料!$C162)</f>
        <v>王照雪</v>
      </c>
      <c r="B1362" s="3">
        <f t="shared" si="367"/>
        <v>0</v>
      </c>
      <c r="C1362" s="3">
        <f t="shared" si="368"/>
        <v>21</v>
      </c>
      <c r="K1362" s="3">
        <f>IF(OR($K$1="",对接源_02物料!$C162="",对接源_02物料!$C162&lt;&gt;$K$1,对接源_02物料!$B162=""),0,IF(OR(N(对接源_02物料!$B162)&lt;$K$2,N(对接源_02物料!$B162)&gt;$K$3),0,1))</f>
        <v>0</v>
      </c>
      <c r="L1362" s="3">
        <f>IF(OR($L$1="",对接源_02物料!$C162="",对接源_02物料!$C162&lt;&gt;$L$1,对接源_02物料!$B162=""),0,IF(OR(N(对接源_02物料!$B162)&lt;$L$2,N(对接源_02物料!$B162)&gt;$L$3),0,1))</f>
        <v>0</v>
      </c>
      <c r="M1362" s="3">
        <f>IF(OR($M$1="",对接源_02物料!$C162="",对接源_02物料!$C162&lt;&gt;$M$1,对接源_02物料!$B162=""),0,IF(OR(N(对接源_02物料!$B162)&lt;$M$2,N(对接源_02物料!$B162)&gt;$M$3),0,1))</f>
        <v>0</v>
      </c>
      <c r="N1362" s="3">
        <f>IF(OR($N$1="",对接源_02物料!$C162="",对接源_02物料!$C162&lt;&gt;$N$1,对接源_02物料!$B162=""),0,IF(OR(N(对接源_02物料!$B162)&lt;$N$2,N(对接源_02物料!$B162)&gt;$N$3),0,1))</f>
        <v>0</v>
      </c>
      <c r="P1362" s="3">
        <f>IF(AND($K1362=1,AND(对接源_02物料!$X162="公司筐",N(对接源_02物料!$T162)&lt;&gt;0)),1,0)</f>
        <v>0</v>
      </c>
      <c r="Q1362" s="3">
        <f t="shared" si="369"/>
        <v>8</v>
      </c>
      <c r="R1362" s="3">
        <f>IF(AND($K1362=1,AND(对接源_02物料!$X162="公司筐",N(对接源_02物料!$U162)&lt;&gt;0)),1,0)</f>
        <v>0</v>
      </c>
      <c r="S1362" s="3">
        <f t="shared" si="370"/>
        <v>0</v>
      </c>
      <c r="T1362" s="3">
        <f>IF(AND($K1362=1,AND(对接源_02物料!$X162="公司筐",N(对接源_02物料!$V162)&lt;&gt;0)),1,0)</f>
        <v>0</v>
      </c>
      <c r="U1362" s="3">
        <f t="shared" si="371"/>
        <v>19</v>
      </c>
      <c r="V1362" s="3">
        <f>IF(AND($L1362=1,AND(对接源_02物料!$X162="自备筐",N(对接源_02物料!$V162)&lt;&gt;0)),1,0)</f>
        <v>0</v>
      </c>
      <c r="W1362" s="3">
        <f t="shared" si="372"/>
        <v>8</v>
      </c>
      <c r="X1362" s="3">
        <f>IF(AND($L1362=1,AND(对接源_02物料!$X162="自备筐",N(对接源_02物料!$T162)&lt;&gt;0)),1,0)</f>
        <v>0</v>
      </c>
      <c r="Y1362" s="3">
        <f t="shared" si="373"/>
        <v>0</v>
      </c>
      <c r="Z1362" s="3">
        <f>IF(AND($M1362=1,对接源_02物料!$D162="原料入库"),1,0)</f>
        <v>0</v>
      </c>
      <c r="AA1362" s="3">
        <f t="shared" si="374"/>
        <v>24</v>
      </c>
      <c r="AB1362" s="3">
        <f>IF(AND($M1362=1,LEFT(对接源_02物料!$D162,4)="原料出库"),1,0)</f>
        <v>0</v>
      </c>
      <c r="AC1362" s="3">
        <f t="shared" si="375"/>
        <v>0</v>
      </c>
      <c r="AD1362" s="3">
        <f>IF(AND($M1362=1,LEFT(对接源_02物料!$D162,4)="成品出库"),1,0)</f>
        <v>0</v>
      </c>
      <c r="AE1362" s="3">
        <f t="shared" si="376"/>
        <v>0</v>
      </c>
      <c r="AF1362" s="3">
        <f>IF(AND($N1362=1,AND(LEFT(对接源_02物料!$D162,4)="包装物料",N(对接源_02物料!$K162)&lt;&gt;0)),1,0)</f>
        <v>0</v>
      </c>
      <c r="AG1362" s="3">
        <f t="shared" si="377"/>
        <v>5</v>
      </c>
      <c r="AH1362" s="3">
        <f>IF(AND($N1362=1,AND(对接源_02物料!$D162="周转筐－销售出库",N(对接源_02物料!$K162)&lt;&gt;0)),1,0)</f>
        <v>0</v>
      </c>
      <c r="AI1362" s="3">
        <f t="shared" si="378"/>
        <v>0</v>
      </c>
      <c r="AL1362" s="3">
        <v>0</v>
      </c>
      <c r="AM1362" s="3">
        <f t="shared" si="379"/>
        <v>1</v>
      </c>
      <c r="AN1362" s="3" t="str">
        <f t="shared" si="366"/>
        <v/>
      </c>
      <c r="AO1362" s="3">
        <v>0</v>
      </c>
      <c r="AP1362" s="3">
        <f t="shared" si="380"/>
        <v>8</v>
      </c>
      <c r="AR1362">
        <f t="shared" si="381"/>
        <v>0</v>
      </c>
      <c r="AS1362">
        <f t="shared" si="382"/>
        <v>5</v>
      </c>
    </row>
    <row r="1363" customHeight="1" spans="1:45">
      <c r="A1363" s="3" t="str">
        <f>IF(对接源_02物料!$C163="","",对接源_02物料!$C163)</f>
        <v>王照雪</v>
      </c>
      <c r="B1363" s="3">
        <f t="shared" si="367"/>
        <v>0</v>
      </c>
      <c r="C1363" s="3">
        <f t="shared" si="368"/>
        <v>21</v>
      </c>
      <c r="K1363" s="3">
        <f>IF(OR($K$1="",对接源_02物料!$C163="",对接源_02物料!$C163&lt;&gt;$K$1,对接源_02物料!$B163=""),0,IF(OR(N(对接源_02物料!$B163)&lt;$K$2,N(对接源_02物料!$B163)&gt;$K$3),0,1))</f>
        <v>0</v>
      </c>
      <c r="L1363" s="3">
        <f>IF(OR($L$1="",对接源_02物料!$C163="",对接源_02物料!$C163&lt;&gt;$L$1,对接源_02物料!$B163=""),0,IF(OR(N(对接源_02物料!$B163)&lt;$L$2,N(对接源_02物料!$B163)&gt;$L$3),0,1))</f>
        <v>0</v>
      </c>
      <c r="M1363" s="3">
        <f>IF(OR($M$1="",对接源_02物料!$C163="",对接源_02物料!$C163&lt;&gt;$M$1,对接源_02物料!$B163=""),0,IF(OR(N(对接源_02物料!$B163)&lt;$M$2,N(对接源_02物料!$B163)&gt;$M$3),0,1))</f>
        <v>0</v>
      </c>
      <c r="N1363" s="3">
        <f>IF(OR($N$1="",对接源_02物料!$C163="",对接源_02物料!$C163&lt;&gt;$N$1,对接源_02物料!$B163=""),0,IF(OR(N(对接源_02物料!$B163)&lt;$N$2,N(对接源_02物料!$B163)&gt;$N$3),0,1))</f>
        <v>0</v>
      </c>
      <c r="P1363" s="3">
        <f>IF(AND($K1363=1,AND(对接源_02物料!$X163="公司筐",N(对接源_02物料!$T163)&lt;&gt;0)),1,0)</f>
        <v>0</v>
      </c>
      <c r="Q1363" s="3">
        <f t="shared" si="369"/>
        <v>8</v>
      </c>
      <c r="R1363" s="3">
        <f>IF(AND($K1363=1,AND(对接源_02物料!$X163="公司筐",N(对接源_02物料!$U163)&lt;&gt;0)),1,0)</f>
        <v>0</v>
      </c>
      <c r="S1363" s="3">
        <f t="shared" si="370"/>
        <v>0</v>
      </c>
      <c r="T1363" s="3">
        <f>IF(AND($K1363=1,AND(对接源_02物料!$X163="公司筐",N(对接源_02物料!$V163)&lt;&gt;0)),1,0)</f>
        <v>0</v>
      </c>
      <c r="U1363" s="3">
        <f t="shared" si="371"/>
        <v>19</v>
      </c>
      <c r="V1363" s="3">
        <f>IF(AND($L1363=1,AND(对接源_02物料!$X163="自备筐",N(对接源_02物料!$V163)&lt;&gt;0)),1,0)</f>
        <v>0</v>
      </c>
      <c r="W1363" s="3">
        <f t="shared" si="372"/>
        <v>8</v>
      </c>
      <c r="X1363" s="3">
        <f>IF(AND($L1363=1,AND(对接源_02物料!$X163="自备筐",N(对接源_02物料!$T163)&lt;&gt;0)),1,0)</f>
        <v>0</v>
      </c>
      <c r="Y1363" s="3">
        <f t="shared" si="373"/>
        <v>0</v>
      </c>
      <c r="Z1363" s="3">
        <f>IF(AND($M1363=1,对接源_02物料!$D163="原料入库"),1,0)</f>
        <v>0</v>
      </c>
      <c r="AA1363" s="3">
        <f t="shared" si="374"/>
        <v>24</v>
      </c>
      <c r="AB1363" s="3">
        <f>IF(AND($M1363=1,LEFT(对接源_02物料!$D163,4)="原料出库"),1,0)</f>
        <v>0</v>
      </c>
      <c r="AC1363" s="3">
        <f t="shared" si="375"/>
        <v>0</v>
      </c>
      <c r="AD1363" s="3">
        <f>IF(AND($M1363=1,LEFT(对接源_02物料!$D163,4)="成品出库"),1,0)</f>
        <v>0</v>
      </c>
      <c r="AE1363" s="3">
        <f t="shared" si="376"/>
        <v>0</v>
      </c>
      <c r="AF1363" s="3">
        <f>IF(AND($N1363=1,AND(LEFT(对接源_02物料!$D163,4)="包装物料",N(对接源_02物料!$K163)&lt;&gt;0)),1,0)</f>
        <v>0</v>
      </c>
      <c r="AG1363" s="3">
        <f t="shared" si="377"/>
        <v>5</v>
      </c>
      <c r="AH1363" s="3">
        <f>IF(AND($N1363=1,AND(对接源_02物料!$D163="周转筐－销售出库",N(对接源_02物料!$K163)&lt;&gt;0)),1,0)</f>
        <v>0</v>
      </c>
      <c r="AI1363" s="3">
        <f t="shared" si="378"/>
        <v>0</v>
      </c>
      <c r="AL1363" s="3">
        <v>0</v>
      </c>
      <c r="AM1363" s="3">
        <f t="shared" si="379"/>
        <v>1</v>
      </c>
      <c r="AN1363" s="3" t="str">
        <f t="shared" si="366"/>
        <v/>
      </c>
      <c r="AO1363" s="3">
        <v>0</v>
      </c>
      <c r="AP1363" s="3">
        <f t="shared" si="380"/>
        <v>8</v>
      </c>
      <c r="AR1363">
        <f t="shared" si="381"/>
        <v>0</v>
      </c>
      <c r="AS1363">
        <f t="shared" si="382"/>
        <v>5</v>
      </c>
    </row>
    <row r="1364" customHeight="1" spans="1:45">
      <c r="A1364" s="3" t="str">
        <f>IF(对接源_02物料!$C164="","",对接源_02物料!$C164)</f>
        <v>王照雪</v>
      </c>
      <c r="B1364" s="3">
        <f t="shared" si="367"/>
        <v>0</v>
      </c>
      <c r="C1364" s="3">
        <f t="shared" si="368"/>
        <v>21</v>
      </c>
      <c r="K1364" s="3">
        <f>IF(OR($K$1="",对接源_02物料!$C164="",对接源_02物料!$C164&lt;&gt;$K$1,对接源_02物料!$B164=""),0,IF(OR(N(对接源_02物料!$B164)&lt;$K$2,N(对接源_02物料!$B164)&gt;$K$3),0,1))</f>
        <v>0</v>
      </c>
      <c r="L1364" s="3">
        <f>IF(OR($L$1="",对接源_02物料!$C164="",对接源_02物料!$C164&lt;&gt;$L$1,对接源_02物料!$B164=""),0,IF(OR(N(对接源_02物料!$B164)&lt;$L$2,N(对接源_02物料!$B164)&gt;$L$3),0,1))</f>
        <v>0</v>
      </c>
      <c r="M1364" s="3">
        <f>IF(OR($M$1="",对接源_02物料!$C164="",对接源_02物料!$C164&lt;&gt;$M$1,对接源_02物料!$B164=""),0,IF(OR(N(对接源_02物料!$B164)&lt;$M$2,N(对接源_02物料!$B164)&gt;$M$3),0,1))</f>
        <v>0</v>
      </c>
      <c r="N1364" s="3">
        <f>IF(OR($N$1="",对接源_02物料!$C164="",对接源_02物料!$C164&lt;&gt;$N$1,对接源_02物料!$B164=""),0,IF(OR(N(对接源_02物料!$B164)&lt;$N$2,N(对接源_02物料!$B164)&gt;$N$3),0,1))</f>
        <v>0</v>
      </c>
      <c r="P1364" s="3">
        <f>IF(AND($K1364=1,AND(对接源_02物料!$X164="公司筐",N(对接源_02物料!$T164)&lt;&gt;0)),1,0)</f>
        <v>0</v>
      </c>
      <c r="Q1364" s="3">
        <f t="shared" si="369"/>
        <v>8</v>
      </c>
      <c r="R1364" s="3">
        <f>IF(AND($K1364=1,AND(对接源_02物料!$X164="公司筐",N(对接源_02物料!$U164)&lt;&gt;0)),1,0)</f>
        <v>0</v>
      </c>
      <c r="S1364" s="3">
        <f t="shared" si="370"/>
        <v>0</v>
      </c>
      <c r="T1364" s="3">
        <f>IF(AND($K1364=1,AND(对接源_02物料!$X164="公司筐",N(对接源_02物料!$V164)&lt;&gt;0)),1,0)</f>
        <v>0</v>
      </c>
      <c r="U1364" s="3">
        <f t="shared" si="371"/>
        <v>19</v>
      </c>
      <c r="V1364" s="3">
        <f>IF(AND($L1364=1,AND(对接源_02物料!$X164="自备筐",N(对接源_02物料!$V164)&lt;&gt;0)),1,0)</f>
        <v>0</v>
      </c>
      <c r="W1364" s="3">
        <f t="shared" si="372"/>
        <v>8</v>
      </c>
      <c r="X1364" s="3">
        <f>IF(AND($L1364=1,AND(对接源_02物料!$X164="自备筐",N(对接源_02物料!$T164)&lt;&gt;0)),1,0)</f>
        <v>0</v>
      </c>
      <c r="Y1364" s="3">
        <f t="shared" si="373"/>
        <v>0</v>
      </c>
      <c r="Z1364" s="3">
        <f>IF(AND($M1364=1,对接源_02物料!$D164="原料入库"),1,0)</f>
        <v>0</v>
      </c>
      <c r="AA1364" s="3">
        <f t="shared" si="374"/>
        <v>24</v>
      </c>
      <c r="AB1364" s="3">
        <f>IF(AND($M1364=1,LEFT(对接源_02物料!$D164,4)="原料出库"),1,0)</f>
        <v>0</v>
      </c>
      <c r="AC1364" s="3">
        <f t="shared" si="375"/>
        <v>0</v>
      </c>
      <c r="AD1364" s="3">
        <f>IF(AND($M1364=1,LEFT(对接源_02物料!$D164,4)="成品出库"),1,0)</f>
        <v>0</v>
      </c>
      <c r="AE1364" s="3">
        <f t="shared" si="376"/>
        <v>0</v>
      </c>
      <c r="AF1364" s="3">
        <f>IF(AND($N1364=1,AND(LEFT(对接源_02物料!$D164,4)="包装物料",N(对接源_02物料!$K164)&lt;&gt;0)),1,0)</f>
        <v>0</v>
      </c>
      <c r="AG1364" s="3">
        <f t="shared" si="377"/>
        <v>5</v>
      </c>
      <c r="AH1364" s="3">
        <f>IF(AND($N1364=1,AND(对接源_02物料!$D164="周转筐－销售出库",N(对接源_02物料!$K164)&lt;&gt;0)),1,0)</f>
        <v>0</v>
      </c>
      <c r="AI1364" s="3">
        <f t="shared" si="378"/>
        <v>0</v>
      </c>
      <c r="AL1364" s="3">
        <v>0</v>
      </c>
      <c r="AM1364" s="3">
        <f t="shared" si="379"/>
        <v>1</v>
      </c>
      <c r="AN1364" s="3" t="str">
        <f t="shared" si="366"/>
        <v/>
      </c>
      <c r="AO1364" s="3">
        <v>0</v>
      </c>
      <c r="AP1364" s="3">
        <f t="shared" si="380"/>
        <v>8</v>
      </c>
      <c r="AR1364">
        <f t="shared" si="381"/>
        <v>0</v>
      </c>
      <c r="AS1364">
        <f t="shared" si="382"/>
        <v>5</v>
      </c>
    </row>
    <row r="1365" customHeight="1" spans="1:45">
      <c r="A1365" s="3" t="str">
        <f>IF(对接源_02物料!$C165="","",对接源_02物料!$C165)</f>
        <v>王照雪</v>
      </c>
      <c r="B1365" s="3">
        <f t="shared" si="367"/>
        <v>0</v>
      </c>
      <c r="C1365" s="3">
        <f t="shared" si="368"/>
        <v>21</v>
      </c>
      <c r="K1365" s="3">
        <f>IF(OR($K$1="",对接源_02物料!$C165="",对接源_02物料!$C165&lt;&gt;$K$1,对接源_02物料!$B165=""),0,IF(OR(N(对接源_02物料!$B165)&lt;$K$2,N(对接源_02物料!$B165)&gt;$K$3),0,1))</f>
        <v>0</v>
      </c>
      <c r="L1365" s="3">
        <f>IF(OR($L$1="",对接源_02物料!$C165="",对接源_02物料!$C165&lt;&gt;$L$1,对接源_02物料!$B165=""),0,IF(OR(N(对接源_02物料!$B165)&lt;$L$2,N(对接源_02物料!$B165)&gt;$L$3),0,1))</f>
        <v>0</v>
      </c>
      <c r="M1365" s="3">
        <f>IF(OR($M$1="",对接源_02物料!$C165="",对接源_02物料!$C165&lt;&gt;$M$1,对接源_02物料!$B165=""),0,IF(OR(N(对接源_02物料!$B165)&lt;$M$2,N(对接源_02物料!$B165)&gt;$M$3),0,1))</f>
        <v>0</v>
      </c>
      <c r="N1365" s="3">
        <f>IF(OR($N$1="",对接源_02物料!$C165="",对接源_02物料!$C165&lt;&gt;$N$1,对接源_02物料!$B165=""),0,IF(OR(N(对接源_02物料!$B165)&lt;$N$2,N(对接源_02物料!$B165)&gt;$N$3),0,1))</f>
        <v>0</v>
      </c>
      <c r="P1365" s="3">
        <f>IF(AND($K1365=1,AND(对接源_02物料!$X165="公司筐",N(对接源_02物料!$T165)&lt;&gt;0)),1,0)</f>
        <v>0</v>
      </c>
      <c r="Q1365" s="3">
        <f t="shared" si="369"/>
        <v>8</v>
      </c>
      <c r="R1365" s="3">
        <f>IF(AND($K1365=1,AND(对接源_02物料!$X165="公司筐",N(对接源_02物料!$U165)&lt;&gt;0)),1,0)</f>
        <v>0</v>
      </c>
      <c r="S1365" s="3">
        <f t="shared" si="370"/>
        <v>0</v>
      </c>
      <c r="T1365" s="3">
        <f>IF(AND($K1365=1,AND(对接源_02物料!$X165="公司筐",N(对接源_02物料!$V165)&lt;&gt;0)),1,0)</f>
        <v>0</v>
      </c>
      <c r="U1365" s="3">
        <f t="shared" si="371"/>
        <v>19</v>
      </c>
      <c r="V1365" s="3">
        <f>IF(AND($L1365=1,AND(对接源_02物料!$X165="自备筐",N(对接源_02物料!$V165)&lt;&gt;0)),1,0)</f>
        <v>0</v>
      </c>
      <c r="W1365" s="3">
        <f t="shared" si="372"/>
        <v>8</v>
      </c>
      <c r="X1365" s="3">
        <f>IF(AND($L1365=1,AND(对接源_02物料!$X165="自备筐",N(对接源_02物料!$T165)&lt;&gt;0)),1,0)</f>
        <v>0</v>
      </c>
      <c r="Y1365" s="3">
        <f t="shared" si="373"/>
        <v>0</v>
      </c>
      <c r="Z1365" s="3">
        <f>IF(AND($M1365=1,对接源_02物料!$D165="原料入库"),1,0)</f>
        <v>0</v>
      </c>
      <c r="AA1365" s="3">
        <f t="shared" si="374"/>
        <v>24</v>
      </c>
      <c r="AB1365" s="3">
        <f>IF(AND($M1365=1,LEFT(对接源_02物料!$D165,4)="原料出库"),1,0)</f>
        <v>0</v>
      </c>
      <c r="AC1365" s="3">
        <f t="shared" si="375"/>
        <v>0</v>
      </c>
      <c r="AD1365" s="3">
        <f>IF(AND($M1365=1,LEFT(对接源_02物料!$D165,4)="成品出库"),1,0)</f>
        <v>0</v>
      </c>
      <c r="AE1365" s="3">
        <f t="shared" si="376"/>
        <v>0</v>
      </c>
      <c r="AF1365" s="3">
        <f>IF(AND($N1365=1,AND(LEFT(对接源_02物料!$D165,4)="包装物料",N(对接源_02物料!$K165)&lt;&gt;0)),1,0)</f>
        <v>0</v>
      </c>
      <c r="AG1365" s="3">
        <f t="shared" si="377"/>
        <v>5</v>
      </c>
      <c r="AH1365" s="3">
        <f>IF(AND($N1365=1,AND(对接源_02物料!$D165="周转筐－销售出库",N(对接源_02物料!$K165)&lt;&gt;0)),1,0)</f>
        <v>0</v>
      </c>
      <c r="AI1365" s="3">
        <f t="shared" si="378"/>
        <v>0</v>
      </c>
      <c r="AL1365" s="3">
        <v>0</v>
      </c>
      <c r="AM1365" s="3">
        <f t="shared" si="379"/>
        <v>1</v>
      </c>
      <c r="AN1365" s="3" t="str">
        <f t="shared" si="366"/>
        <v/>
      </c>
      <c r="AO1365" s="3">
        <v>0</v>
      </c>
      <c r="AP1365" s="3">
        <f t="shared" si="380"/>
        <v>8</v>
      </c>
      <c r="AR1365">
        <f t="shared" si="381"/>
        <v>0</v>
      </c>
      <c r="AS1365">
        <f t="shared" si="382"/>
        <v>5</v>
      </c>
    </row>
    <row r="1366" customHeight="1" spans="1:45">
      <c r="A1366" s="3" t="str">
        <f>IF(对接源_02物料!$C166="","",对接源_02物料!$C166)</f>
        <v>王照雪</v>
      </c>
      <c r="B1366" s="3">
        <f t="shared" si="367"/>
        <v>0</v>
      </c>
      <c r="C1366" s="3">
        <f t="shared" si="368"/>
        <v>21</v>
      </c>
      <c r="K1366" s="3">
        <f>IF(OR($K$1="",对接源_02物料!$C166="",对接源_02物料!$C166&lt;&gt;$K$1,对接源_02物料!$B166=""),0,IF(OR(N(对接源_02物料!$B166)&lt;$K$2,N(对接源_02物料!$B166)&gt;$K$3),0,1))</f>
        <v>0</v>
      </c>
      <c r="L1366" s="3">
        <f>IF(OR($L$1="",对接源_02物料!$C166="",对接源_02物料!$C166&lt;&gt;$L$1,对接源_02物料!$B166=""),0,IF(OR(N(对接源_02物料!$B166)&lt;$L$2,N(对接源_02物料!$B166)&gt;$L$3),0,1))</f>
        <v>0</v>
      </c>
      <c r="M1366" s="3">
        <f>IF(OR($M$1="",对接源_02物料!$C166="",对接源_02物料!$C166&lt;&gt;$M$1,对接源_02物料!$B166=""),0,IF(OR(N(对接源_02物料!$B166)&lt;$M$2,N(对接源_02物料!$B166)&gt;$M$3),0,1))</f>
        <v>0</v>
      </c>
      <c r="N1366" s="3">
        <f>IF(OR($N$1="",对接源_02物料!$C166="",对接源_02物料!$C166&lt;&gt;$N$1,对接源_02物料!$B166=""),0,IF(OR(N(对接源_02物料!$B166)&lt;$N$2,N(对接源_02物料!$B166)&gt;$N$3),0,1))</f>
        <v>0</v>
      </c>
      <c r="P1366" s="3">
        <f>IF(AND($K1366=1,AND(对接源_02物料!$X166="公司筐",N(对接源_02物料!$T166)&lt;&gt;0)),1,0)</f>
        <v>0</v>
      </c>
      <c r="Q1366" s="3">
        <f t="shared" si="369"/>
        <v>8</v>
      </c>
      <c r="R1366" s="3">
        <f>IF(AND($K1366=1,AND(对接源_02物料!$X166="公司筐",N(对接源_02物料!$U166)&lt;&gt;0)),1,0)</f>
        <v>0</v>
      </c>
      <c r="S1366" s="3">
        <f t="shared" si="370"/>
        <v>0</v>
      </c>
      <c r="T1366" s="3">
        <f>IF(AND($K1366=1,AND(对接源_02物料!$X166="公司筐",N(对接源_02物料!$V166)&lt;&gt;0)),1,0)</f>
        <v>0</v>
      </c>
      <c r="U1366" s="3">
        <f t="shared" si="371"/>
        <v>19</v>
      </c>
      <c r="V1366" s="3">
        <f>IF(AND($L1366=1,AND(对接源_02物料!$X166="自备筐",N(对接源_02物料!$V166)&lt;&gt;0)),1,0)</f>
        <v>0</v>
      </c>
      <c r="W1366" s="3">
        <f t="shared" si="372"/>
        <v>8</v>
      </c>
      <c r="X1366" s="3">
        <f>IF(AND($L1366=1,AND(对接源_02物料!$X166="自备筐",N(对接源_02物料!$T166)&lt;&gt;0)),1,0)</f>
        <v>0</v>
      </c>
      <c r="Y1366" s="3">
        <f t="shared" si="373"/>
        <v>0</v>
      </c>
      <c r="Z1366" s="3">
        <f>IF(AND($M1366=1,对接源_02物料!$D166="原料入库"),1,0)</f>
        <v>0</v>
      </c>
      <c r="AA1366" s="3">
        <f t="shared" si="374"/>
        <v>24</v>
      </c>
      <c r="AB1366" s="3">
        <f>IF(AND($M1366=1,LEFT(对接源_02物料!$D166,4)="原料出库"),1,0)</f>
        <v>0</v>
      </c>
      <c r="AC1366" s="3">
        <f t="shared" si="375"/>
        <v>0</v>
      </c>
      <c r="AD1366" s="3">
        <f>IF(AND($M1366=1,LEFT(对接源_02物料!$D166,4)="成品出库"),1,0)</f>
        <v>0</v>
      </c>
      <c r="AE1366" s="3">
        <f t="shared" si="376"/>
        <v>0</v>
      </c>
      <c r="AF1366" s="3">
        <f>IF(AND($N1366=1,AND(LEFT(对接源_02物料!$D166,4)="包装物料",N(对接源_02物料!$K166)&lt;&gt;0)),1,0)</f>
        <v>0</v>
      </c>
      <c r="AG1366" s="3">
        <f t="shared" si="377"/>
        <v>5</v>
      </c>
      <c r="AH1366" s="3">
        <f>IF(AND($N1366=1,AND(对接源_02物料!$D166="周转筐－销售出库",N(对接源_02物料!$K166)&lt;&gt;0)),1,0)</f>
        <v>0</v>
      </c>
      <c r="AI1366" s="3">
        <f t="shared" si="378"/>
        <v>0</v>
      </c>
      <c r="AL1366" s="3">
        <v>0</v>
      </c>
      <c r="AM1366" s="3">
        <f t="shared" si="379"/>
        <v>1</v>
      </c>
      <c r="AN1366" s="3" t="str">
        <f t="shared" si="366"/>
        <v/>
      </c>
      <c r="AO1366" s="3">
        <v>0</v>
      </c>
      <c r="AP1366" s="3">
        <f t="shared" si="380"/>
        <v>8</v>
      </c>
      <c r="AR1366">
        <f t="shared" si="381"/>
        <v>0</v>
      </c>
      <c r="AS1366">
        <f t="shared" si="382"/>
        <v>5</v>
      </c>
    </row>
    <row r="1367" customHeight="1" spans="1:45">
      <c r="A1367" s="3" t="str">
        <f>IF(对接源_02物料!$C167="","",对接源_02物料!$C167)</f>
        <v>王照雪</v>
      </c>
      <c r="B1367" s="3">
        <f t="shared" si="367"/>
        <v>0</v>
      </c>
      <c r="C1367" s="3">
        <f t="shared" si="368"/>
        <v>21</v>
      </c>
      <c r="K1367" s="3">
        <f>IF(OR($K$1="",对接源_02物料!$C167="",对接源_02物料!$C167&lt;&gt;$K$1,对接源_02物料!$B167=""),0,IF(OR(N(对接源_02物料!$B167)&lt;$K$2,N(对接源_02物料!$B167)&gt;$K$3),0,1))</f>
        <v>0</v>
      </c>
      <c r="L1367" s="3">
        <f>IF(OR($L$1="",对接源_02物料!$C167="",对接源_02物料!$C167&lt;&gt;$L$1,对接源_02物料!$B167=""),0,IF(OR(N(对接源_02物料!$B167)&lt;$L$2,N(对接源_02物料!$B167)&gt;$L$3),0,1))</f>
        <v>0</v>
      </c>
      <c r="M1367" s="3">
        <f>IF(OR($M$1="",对接源_02物料!$C167="",对接源_02物料!$C167&lt;&gt;$M$1,对接源_02物料!$B167=""),0,IF(OR(N(对接源_02物料!$B167)&lt;$M$2,N(对接源_02物料!$B167)&gt;$M$3),0,1))</f>
        <v>0</v>
      </c>
      <c r="N1367" s="3">
        <f>IF(OR($N$1="",对接源_02物料!$C167="",对接源_02物料!$C167&lt;&gt;$N$1,对接源_02物料!$B167=""),0,IF(OR(N(对接源_02物料!$B167)&lt;$N$2,N(对接源_02物料!$B167)&gt;$N$3),0,1))</f>
        <v>0</v>
      </c>
      <c r="P1367" s="3">
        <f>IF(AND($K1367=1,AND(对接源_02物料!$X167="公司筐",N(对接源_02物料!$T167)&lt;&gt;0)),1,0)</f>
        <v>0</v>
      </c>
      <c r="Q1367" s="3">
        <f t="shared" si="369"/>
        <v>8</v>
      </c>
      <c r="R1367" s="3">
        <f>IF(AND($K1367=1,AND(对接源_02物料!$X167="公司筐",N(对接源_02物料!$U167)&lt;&gt;0)),1,0)</f>
        <v>0</v>
      </c>
      <c r="S1367" s="3">
        <f t="shared" si="370"/>
        <v>0</v>
      </c>
      <c r="T1367" s="3">
        <f>IF(AND($K1367=1,AND(对接源_02物料!$X167="公司筐",N(对接源_02物料!$V167)&lt;&gt;0)),1,0)</f>
        <v>0</v>
      </c>
      <c r="U1367" s="3">
        <f t="shared" si="371"/>
        <v>19</v>
      </c>
      <c r="V1367" s="3">
        <f>IF(AND($L1367=1,AND(对接源_02物料!$X167="自备筐",N(对接源_02物料!$V167)&lt;&gt;0)),1,0)</f>
        <v>0</v>
      </c>
      <c r="W1367" s="3">
        <f t="shared" si="372"/>
        <v>8</v>
      </c>
      <c r="X1367" s="3">
        <f>IF(AND($L1367=1,AND(对接源_02物料!$X167="自备筐",N(对接源_02物料!$T167)&lt;&gt;0)),1,0)</f>
        <v>0</v>
      </c>
      <c r="Y1367" s="3">
        <f t="shared" si="373"/>
        <v>0</v>
      </c>
      <c r="Z1367" s="3">
        <f>IF(AND($M1367=1,对接源_02物料!$D167="原料入库"),1,0)</f>
        <v>0</v>
      </c>
      <c r="AA1367" s="3">
        <f t="shared" si="374"/>
        <v>24</v>
      </c>
      <c r="AB1367" s="3">
        <f>IF(AND($M1367=1,LEFT(对接源_02物料!$D167,4)="原料出库"),1,0)</f>
        <v>0</v>
      </c>
      <c r="AC1367" s="3">
        <f t="shared" si="375"/>
        <v>0</v>
      </c>
      <c r="AD1367" s="3">
        <f>IF(AND($M1367=1,LEFT(对接源_02物料!$D167,4)="成品出库"),1,0)</f>
        <v>0</v>
      </c>
      <c r="AE1367" s="3">
        <f t="shared" si="376"/>
        <v>0</v>
      </c>
      <c r="AF1367" s="3">
        <f>IF(AND($N1367=1,AND(LEFT(对接源_02物料!$D167,4)="包装物料",N(对接源_02物料!$K167)&lt;&gt;0)),1,0)</f>
        <v>0</v>
      </c>
      <c r="AG1367" s="3">
        <f t="shared" si="377"/>
        <v>5</v>
      </c>
      <c r="AH1367" s="3">
        <f>IF(AND($N1367=1,AND(对接源_02物料!$D167="周转筐－销售出库",N(对接源_02物料!$K167)&lt;&gt;0)),1,0)</f>
        <v>0</v>
      </c>
      <c r="AI1367" s="3">
        <f t="shared" si="378"/>
        <v>0</v>
      </c>
      <c r="AL1367" s="3">
        <v>0</v>
      </c>
      <c r="AM1367" s="3">
        <f t="shared" si="379"/>
        <v>1</v>
      </c>
      <c r="AN1367" s="3" t="str">
        <f t="shared" si="366"/>
        <v/>
      </c>
      <c r="AO1367" s="3">
        <v>0</v>
      </c>
      <c r="AP1367" s="3">
        <f t="shared" si="380"/>
        <v>8</v>
      </c>
      <c r="AR1367">
        <f t="shared" si="381"/>
        <v>0</v>
      </c>
      <c r="AS1367">
        <f t="shared" si="382"/>
        <v>5</v>
      </c>
    </row>
    <row r="1368" customHeight="1" spans="1:45">
      <c r="A1368" s="3" t="str">
        <f>IF(对接源_02物料!$C168="","",对接源_02物料!$C168)</f>
        <v>王照雪</v>
      </c>
      <c r="B1368" s="3">
        <f t="shared" si="367"/>
        <v>0</v>
      </c>
      <c r="C1368" s="3">
        <f t="shared" si="368"/>
        <v>21</v>
      </c>
      <c r="K1368" s="3">
        <f>IF(OR($K$1="",对接源_02物料!$C168="",对接源_02物料!$C168&lt;&gt;$K$1,对接源_02物料!$B168=""),0,IF(OR(N(对接源_02物料!$B168)&lt;$K$2,N(对接源_02物料!$B168)&gt;$K$3),0,1))</f>
        <v>0</v>
      </c>
      <c r="L1368" s="3">
        <f>IF(OR($L$1="",对接源_02物料!$C168="",对接源_02物料!$C168&lt;&gt;$L$1,对接源_02物料!$B168=""),0,IF(OR(N(对接源_02物料!$B168)&lt;$L$2,N(对接源_02物料!$B168)&gt;$L$3),0,1))</f>
        <v>0</v>
      </c>
      <c r="M1368" s="3">
        <f>IF(OR($M$1="",对接源_02物料!$C168="",对接源_02物料!$C168&lt;&gt;$M$1,对接源_02物料!$B168=""),0,IF(OR(N(对接源_02物料!$B168)&lt;$M$2,N(对接源_02物料!$B168)&gt;$M$3),0,1))</f>
        <v>0</v>
      </c>
      <c r="N1368" s="3">
        <f>IF(OR($N$1="",对接源_02物料!$C168="",对接源_02物料!$C168&lt;&gt;$N$1,对接源_02物料!$B168=""),0,IF(OR(N(对接源_02物料!$B168)&lt;$N$2,N(对接源_02物料!$B168)&gt;$N$3),0,1))</f>
        <v>0</v>
      </c>
      <c r="P1368" s="3">
        <f>IF(AND($K1368=1,AND(对接源_02物料!$X168="公司筐",N(对接源_02物料!$T168)&lt;&gt;0)),1,0)</f>
        <v>0</v>
      </c>
      <c r="Q1368" s="3">
        <f t="shared" si="369"/>
        <v>8</v>
      </c>
      <c r="R1368" s="3">
        <f>IF(AND($K1368=1,AND(对接源_02物料!$X168="公司筐",N(对接源_02物料!$U168)&lt;&gt;0)),1,0)</f>
        <v>0</v>
      </c>
      <c r="S1368" s="3">
        <f t="shared" si="370"/>
        <v>0</v>
      </c>
      <c r="T1368" s="3">
        <f>IF(AND($K1368=1,AND(对接源_02物料!$X168="公司筐",N(对接源_02物料!$V168)&lt;&gt;0)),1,0)</f>
        <v>0</v>
      </c>
      <c r="U1368" s="3">
        <f t="shared" si="371"/>
        <v>19</v>
      </c>
      <c r="V1368" s="3">
        <f>IF(AND($L1368=1,AND(对接源_02物料!$X168="自备筐",N(对接源_02物料!$V168)&lt;&gt;0)),1,0)</f>
        <v>0</v>
      </c>
      <c r="W1368" s="3">
        <f t="shared" si="372"/>
        <v>8</v>
      </c>
      <c r="X1368" s="3">
        <f>IF(AND($L1368=1,AND(对接源_02物料!$X168="自备筐",N(对接源_02物料!$T168)&lt;&gt;0)),1,0)</f>
        <v>0</v>
      </c>
      <c r="Y1368" s="3">
        <f t="shared" si="373"/>
        <v>0</v>
      </c>
      <c r="Z1368" s="3">
        <f>IF(AND($M1368=1,对接源_02物料!$D168="原料入库"),1,0)</f>
        <v>0</v>
      </c>
      <c r="AA1368" s="3">
        <f t="shared" si="374"/>
        <v>24</v>
      </c>
      <c r="AB1368" s="3">
        <f>IF(AND($M1368=1,LEFT(对接源_02物料!$D168,4)="原料出库"),1,0)</f>
        <v>0</v>
      </c>
      <c r="AC1368" s="3">
        <f t="shared" si="375"/>
        <v>0</v>
      </c>
      <c r="AD1368" s="3">
        <f>IF(AND($M1368=1,LEFT(对接源_02物料!$D168,4)="成品出库"),1,0)</f>
        <v>0</v>
      </c>
      <c r="AE1368" s="3">
        <f t="shared" si="376"/>
        <v>0</v>
      </c>
      <c r="AF1368" s="3">
        <f>IF(AND($N1368=1,AND(LEFT(对接源_02物料!$D168,4)="包装物料",N(对接源_02物料!$K168)&lt;&gt;0)),1,0)</f>
        <v>0</v>
      </c>
      <c r="AG1368" s="3">
        <f t="shared" si="377"/>
        <v>5</v>
      </c>
      <c r="AH1368" s="3">
        <f>IF(AND($N1368=1,AND(对接源_02物料!$D168="周转筐－销售出库",N(对接源_02物料!$K168)&lt;&gt;0)),1,0)</f>
        <v>0</v>
      </c>
      <c r="AI1368" s="3">
        <f t="shared" si="378"/>
        <v>0</v>
      </c>
      <c r="AL1368" s="3">
        <v>0</v>
      </c>
      <c r="AM1368" s="3">
        <f t="shared" si="379"/>
        <v>1</v>
      </c>
      <c r="AN1368" s="3" t="str">
        <f t="shared" si="366"/>
        <v/>
      </c>
      <c r="AO1368" s="3">
        <v>0</v>
      </c>
      <c r="AP1368" s="3">
        <f t="shared" si="380"/>
        <v>8</v>
      </c>
      <c r="AR1368">
        <f t="shared" si="381"/>
        <v>0</v>
      </c>
      <c r="AS1368">
        <f t="shared" si="382"/>
        <v>5</v>
      </c>
    </row>
    <row r="1369" customHeight="1" spans="1:45">
      <c r="A1369" s="3" t="str">
        <f>IF(对接源_02物料!$C169="","",对接源_02物料!$C169)</f>
        <v/>
      </c>
      <c r="B1369" s="3">
        <f t="shared" si="367"/>
        <v>0</v>
      </c>
      <c r="C1369" s="3">
        <f t="shared" si="368"/>
        <v>21</v>
      </c>
      <c r="K1369" s="3">
        <f>IF(OR($K$1="",对接源_02物料!$C169="",对接源_02物料!$C169&lt;&gt;$K$1,对接源_02物料!$B169=""),0,IF(OR(N(对接源_02物料!$B169)&lt;$K$2,N(对接源_02物料!$B169)&gt;$K$3),0,1))</f>
        <v>0</v>
      </c>
      <c r="L1369" s="3">
        <f>IF(OR($L$1="",对接源_02物料!$C169="",对接源_02物料!$C169&lt;&gt;$L$1,对接源_02物料!$B169=""),0,IF(OR(N(对接源_02物料!$B169)&lt;$L$2,N(对接源_02物料!$B169)&gt;$L$3),0,1))</f>
        <v>0</v>
      </c>
      <c r="M1369" s="3">
        <f>IF(OR($M$1="",对接源_02物料!$C169="",对接源_02物料!$C169&lt;&gt;$M$1,对接源_02物料!$B169=""),0,IF(OR(N(对接源_02物料!$B169)&lt;$M$2,N(对接源_02物料!$B169)&gt;$M$3),0,1))</f>
        <v>0</v>
      </c>
      <c r="N1369" s="3">
        <f>IF(OR($N$1="",对接源_02物料!$C169="",对接源_02物料!$C169&lt;&gt;$N$1,对接源_02物料!$B169=""),0,IF(OR(N(对接源_02物料!$B169)&lt;$N$2,N(对接源_02物料!$B169)&gt;$N$3),0,1))</f>
        <v>0</v>
      </c>
      <c r="P1369" s="3">
        <f>IF(AND($K1369=1,AND(对接源_02物料!$X169="公司筐",N(对接源_02物料!$T169)&lt;&gt;0)),1,0)</f>
        <v>0</v>
      </c>
      <c r="Q1369" s="3">
        <f t="shared" si="369"/>
        <v>8</v>
      </c>
      <c r="R1369" s="3">
        <f>IF(AND($K1369=1,AND(对接源_02物料!$X169="公司筐",N(对接源_02物料!$U169)&lt;&gt;0)),1,0)</f>
        <v>0</v>
      </c>
      <c r="S1369" s="3">
        <f t="shared" si="370"/>
        <v>0</v>
      </c>
      <c r="T1369" s="3">
        <f>IF(AND($K1369=1,AND(对接源_02物料!$X169="公司筐",N(对接源_02物料!$V169)&lt;&gt;0)),1,0)</f>
        <v>0</v>
      </c>
      <c r="U1369" s="3">
        <f t="shared" si="371"/>
        <v>19</v>
      </c>
      <c r="V1369" s="3">
        <f>IF(AND($L1369=1,AND(对接源_02物料!$X169="自备筐",N(对接源_02物料!$V169)&lt;&gt;0)),1,0)</f>
        <v>0</v>
      </c>
      <c r="W1369" s="3">
        <f t="shared" si="372"/>
        <v>8</v>
      </c>
      <c r="X1369" s="3">
        <f>IF(AND($L1369=1,AND(对接源_02物料!$X169="自备筐",N(对接源_02物料!$T169)&lt;&gt;0)),1,0)</f>
        <v>0</v>
      </c>
      <c r="Y1369" s="3">
        <f t="shared" si="373"/>
        <v>0</v>
      </c>
      <c r="Z1369" s="3">
        <f>IF(AND($M1369=1,对接源_02物料!$D169="原料入库"),1,0)</f>
        <v>0</v>
      </c>
      <c r="AA1369" s="3">
        <f t="shared" si="374"/>
        <v>24</v>
      </c>
      <c r="AB1369" s="3">
        <f>IF(AND($M1369=1,LEFT(对接源_02物料!$D169,4)="原料出库"),1,0)</f>
        <v>0</v>
      </c>
      <c r="AC1369" s="3">
        <f t="shared" si="375"/>
        <v>0</v>
      </c>
      <c r="AD1369" s="3">
        <f>IF(AND($M1369=1,LEFT(对接源_02物料!$D169,4)="成品出库"),1,0)</f>
        <v>0</v>
      </c>
      <c r="AE1369" s="3">
        <f t="shared" si="376"/>
        <v>0</v>
      </c>
      <c r="AF1369" s="3">
        <f>IF(AND($N1369=1,AND(LEFT(对接源_02物料!$D169,4)="包装物料",N(对接源_02物料!$K169)&lt;&gt;0)),1,0)</f>
        <v>0</v>
      </c>
      <c r="AG1369" s="3">
        <f t="shared" si="377"/>
        <v>5</v>
      </c>
      <c r="AH1369" s="3">
        <f>IF(AND($N1369=1,AND(对接源_02物料!$D169="周转筐－销售出库",N(对接源_02物料!$K169)&lt;&gt;0)),1,0)</f>
        <v>0</v>
      </c>
      <c r="AI1369" s="3">
        <f t="shared" si="378"/>
        <v>0</v>
      </c>
      <c r="AL1369" s="3">
        <v>0</v>
      </c>
      <c r="AM1369" s="3">
        <f t="shared" si="379"/>
        <v>1</v>
      </c>
      <c r="AN1369" s="3" t="str">
        <f t="shared" si="366"/>
        <v/>
      </c>
      <c r="AO1369" s="3">
        <v>0</v>
      </c>
      <c r="AP1369" s="3">
        <f t="shared" si="380"/>
        <v>8</v>
      </c>
      <c r="AR1369">
        <f t="shared" si="381"/>
        <v>0</v>
      </c>
      <c r="AS1369">
        <f t="shared" si="382"/>
        <v>5</v>
      </c>
    </row>
    <row r="1370" customHeight="1" spans="1:45">
      <c r="A1370" s="3" t="str">
        <f>IF(对接源_02物料!$C170="","",对接源_02物料!$C170)</f>
        <v/>
      </c>
      <c r="B1370" s="3">
        <f t="shared" si="367"/>
        <v>0</v>
      </c>
      <c r="C1370" s="3">
        <f t="shared" si="368"/>
        <v>21</v>
      </c>
      <c r="K1370" s="3">
        <f>IF(OR($K$1="",对接源_02物料!$C170="",对接源_02物料!$C170&lt;&gt;$K$1,对接源_02物料!$B170=""),0,IF(OR(N(对接源_02物料!$B170)&lt;$K$2,N(对接源_02物料!$B170)&gt;$K$3),0,1))</f>
        <v>0</v>
      </c>
      <c r="L1370" s="3">
        <f>IF(OR($L$1="",对接源_02物料!$C170="",对接源_02物料!$C170&lt;&gt;$L$1,对接源_02物料!$B170=""),0,IF(OR(N(对接源_02物料!$B170)&lt;$L$2,N(对接源_02物料!$B170)&gt;$L$3),0,1))</f>
        <v>0</v>
      </c>
      <c r="M1370" s="3">
        <f>IF(OR($M$1="",对接源_02物料!$C170="",对接源_02物料!$C170&lt;&gt;$M$1,对接源_02物料!$B170=""),0,IF(OR(N(对接源_02物料!$B170)&lt;$M$2,N(对接源_02物料!$B170)&gt;$M$3),0,1))</f>
        <v>0</v>
      </c>
      <c r="N1370" s="3">
        <f>IF(OR($N$1="",对接源_02物料!$C170="",对接源_02物料!$C170&lt;&gt;$N$1,对接源_02物料!$B170=""),0,IF(OR(N(对接源_02物料!$B170)&lt;$N$2,N(对接源_02物料!$B170)&gt;$N$3),0,1))</f>
        <v>0</v>
      </c>
      <c r="P1370" s="3">
        <f>IF(AND($K1370=1,AND(对接源_02物料!$X170="公司筐",N(对接源_02物料!$T170)&lt;&gt;0)),1,0)</f>
        <v>0</v>
      </c>
      <c r="Q1370" s="3">
        <f t="shared" si="369"/>
        <v>8</v>
      </c>
      <c r="R1370" s="3">
        <f>IF(AND($K1370=1,AND(对接源_02物料!$X170="公司筐",N(对接源_02物料!$U170)&lt;&gt;0)),1,0)</f>
        <v>0</v>
      </c>
      <c r="S1370" s="3">
        <f t="shared" si="370"/>
        <v>0</v>
      </c>
      <c r="T1370" s="3">
        <f>IF(AND($K1370=1,AND(对接源_02物料!$X170="公司筐",N(对接源_02物料!$V170)&lt;&gt;0)),1,0)</f>
        <v>0</v>
      </c>
      <c r="U1370" s="3">
        <f t="shared" si="371"/>
        <v>19</v>
      </c>
      <c r="V1370" s="3">
        <f>IF(AND($L1370=1,AND(对接源_02物料!$X170="自备筐",N(对接源_02物料!$V170)&lt;&gt;0)),1,0)</f>
        <v>0</v>
      </c>
      <c r="W1370" s="3">
        <f t="shared" si="372"/>
        <v>8</v>
      </c>
      <c r="X1370" s="3">
        <f>IF(AND($L1370=1,AND(对接源_02物料!$X170="自备筐",N(对接源_02物料!$T170)&lt;&gt;0)),1,0)</f>
        <v>0</v>
      </c>
      <c r="Y1370" s="3">
        <f t="shared" si="373"/>
        <v>0</v>
      </c>
      <c r="Z1370" s="3">
        <f>IF(AND($M1370=1,对接源_02物料!$D170="原料入库"),1,0)</f>
        <v>0</v>
      </c>
      <c r="AA1370" s="3">
        <f t="shared" si="374"/>
        <v>24</v>
      </c>
      <c r="AB1370" s="3">
        <f>IF(AND($M1370=1,LEFT(对接源_02物料!$D170,4)="原料出库"),1,0)</f>
        <v>0</v>
      </c>
      <c r="AC1370" s="3">
        <f t="shared" si="375"/>
        <v>0</v>
      </c>
      <c r="AD1370" s="3">
        <f>IF(AND($M1370=1,LEFT(对接源_02物料!$D170,4)="成品出库"),1,0)</f>
        <v>0</v>
      </c>
      <c r="AE1370" s="3">
        <f t="shared" si="376"/>
        <v>0</v>
      </c>
      <c r="AF1370" s="3">
        <f>IF(AND($N1370=1,AND(LEFT(对接源_02物料!$D170,4)="包装物料",N(对接源_02物料!$K170)&lt;&gt;0)),1,0)</f>
        <v>0</v>
      </c>
      <c r="AG1370" s="3">
        <f t="shared" si="377"/>
        <v>5</v>
      </c>
      <c r="AH1370" s="3">
        <f>IF(AND($N1370=1,AND(对接源_02物料!$D170="周转筐－销售出库",N(对接源_02物料!$K170)&lt;&gt;0)),1,0)</f>
        <v>0</v>
      </c>
      <c r="AI1370" s="3">
        <f t="shared" si="378"/>
        <v>0</v>
      </c>
      <c r="AL1370" s="3">
        <v>0</v>
      </c>
      <c r="AM1370" s="3">
        <f t="shared" si="379"/>
        <v>1</v>
      </c>
      <c r="AN1370" s="3" t="str">
        <f t="shared" si="366"/>
        <v/>
      </c>
      <c r="AO1370" s="3">
        <v>0</v>
      </c>
      <c r="AP1370" s="3">
        <f t="shared" si="380"/>
        <v>8</v>
      </c>
      <c r="AR1370">
        <f t="shared" si="381"/>
        <v>0</v>
      </c>
      <c r="AS1370">
        <f t="shared" si="382"/>
        <v>5</v>
      </c>
    </row>
    <row r="1371" customHeight="1" spans="1:45">
      <c r="A1371" s="3" t="str">
        <f>IF(对接源_02物料!$C171="","",对接源_02物料!$C171)</f>
        <v/>
      </c>
      <c r="B1371" s="3">
        <f t="shared" si="367"/>
        <v>0</v>
      </c>
      <c r="C1371" s="3">
        <f t="shared" si="368"/>
        <v>21</v>
      </c>
      <c r="K1371" s="3">
        <f>IF(OR($K$1="",对接源_02物料!$C171="",对接源_02物料!$C171&lt;&gt;$K$1,对接源_02物料!$B171=""),0,IF(OR(N(对接源_02物料!$B171)&lt;$K$2,N(对接源_02物料!$B171)&gt;$K$3),0,1))</f>
        <v>0</v>
      </c>
      <c r="L1371" s="3">
        <f>IF(OR($L$1="",对接源_02物料!$C171="",对接源_02物料!$C171&lt;&gt;$L$1,对接源_02物料!$B171=""),0,IF(OR(N(对接源_02物料!$B171)&lt;$L$2,N(对接源_02物料!$B171)&gt;$L$3),0,1))</f>
        <v>0</v>
      </c>
      <c r="M1371" s="3">
        <f>IF(OR($M$1="",对接源_02物料!$C171="",对接源_02物料!$C171&lt;&gt;$M$1,对接源_02物料!$B171=""),0,IF(OR(N(对接源_02物料!$B171)&lt;$M$2,N(对接源_02物料!$B171)&gt;$M$3),0,1))</f>
        <v>0</v>
      </c>
      <c r="N1371" s="3">
        <f>IF(OR($N$1="",对接源_02物料!$C171="",对接源_02物料!$C171&lt;&gt;$N$1,对接源_02物料!$B171=""),0,IF(OR(N(对接源_02物料!$B171)&lt;$N$2,N(对接源_02物料!$B171)&gt;$N$3),0,1))</f>
        <v>0</v>
      </c>
      <c r="P1371" s="3">
        <f>IF(AND($K1371=1,AND(对接源_02物料!$X171="公司筐",N(对接源_02物料!$T171)&lt;&gt;0)),1,0)</f>
        <v>0</v>
      </c>
      <c r="Q1371" s="3">
        <f t="shared" si="369"/>
        <v>8</v>
      </c>
      <c r="R1371" s="3">
        <f>IF(AND($K1371=1,AND(对接源_02物料!$X171="公司筐",N(对接源_02物料!$U171)&lt;&gt;0)),1,0)</f>
        <v>0</v>
      </c>
      <c r="S1371" s="3">
        <f t="shared" si="370"/>
        <v>0</v>
      </c>
      <c r="T1371" s="3">
        <f>IF(AND($K1371=1,AND(对接源_02物料!$X171="公司筐",N(对接源_02物料!$V171)&lt;&gt;0)),1,0)</f>
        <v>0</v>
      </c>
      <c r="U1371" s="3">
        <f t="shared" si="371"/>
        <v>19</v>
      </c>
      <c r="V1371" s="3">
        <f>IF(AND($L1371=1,AND(对接源_02物料!$X171="自备筐",N(对接源_02物料!$V171)&lt;&gt;0)),1,0)</f>
        <v>0</v>
      </c>
      <c r="W1371" s="3">
        <f t="shared" si="372"/>
        <v>8</v>
      </c>
      <c r="X1371" s="3">
        <f>IF(AND($L1371=1,AND(对接源_02物料!$X171="自备筐",N(对接源_02物料!$T171)&lt;&gt;0)),1,0)</f>
        <v>0</v>
      </c>
      <c r="Y1371" s="3">
        <f t="shared" si="373"/>
        <v>0</v>
      </c>
      <c r="Z1371" s="3">
        <f>IF(AND($M1371=1,对接源_02物料!$D171="原料入库"),1,0)</f>
        <v>0</v>
      </c>
      <c r="AA1371" s="3">
        <f t="shared" si="374"/>
        <v>24</v>
      </c>
      <c r="AB1371" s="3">
        <f>IF(AND($M1371=1,LEFT(对接源_02物料!$D171,4)="原料出库"),1,0)</f>
        <v>0</v>
      </c>
      <c r="AC1371" s="3">
        <f t="shared" si="375"/>
        <v>0</v>
      </c>
      <c r="AD1371" s="3">
        <f>IF(AND($M1371=1,LEFT(对接源_02物料!$D171,4)="成品出库"),1,0)</f>
        <v>0</v>
      </c>
      <c r="AE1371" s="3">
        <f t="shared" si="376"/>
        <v>0</v>
      </c>
      <c r="AF1371" s="3">
        <f>IF(AND($N1371=1,AND(LEFT(对接源_02物料!$D171,4)="包装物料",N(对接源_02物料!$K171)&lt;&gt;0)),1,0)</f>
        <v>0</v>
      </c>
      <c r="AG1371" s="3">
        <f t="shared" si="377"/>
        <v>5</v>
      </c>
      <c r="AH1371" s="3">
        <f>IF(AND($N1371=1,AND(对接源_02物料!$D171="周转筐－销售出库",N(对接源_02物料!$K171)&lt;&gt;0)),1,0)</f>
        <v>0</v>
      </c>
      <c r="AI1371" s="3">
        <f t="shared" si="378"/>
        <v>0</v>
      </c>
      <c r="AL1371" s="3">
        <v>0</v>
      </c>
      <c r="AM1371" s="3">
        <f t="shared" si="379"/>
        <v>1</v>
      </c>
      <c r="AN1371" s="3" t="str">
        <f t="shared" si="366"/>
        <v/>
      </c>
      <c r="AO1371" s="3">
        <v>0</v>
      </c>
      <c r="AP1371" s="3">
        <f t="shared" si="380"/>
        <v>8</v>
      </c>
      <c r="AR1371">
        <f t="shared" si="381"/>
        <v>0</v>
      </c>
      <c r="AS1371">
        <f t="shared" si="382"/>
        <v>5</v>
      </c>
    </row>
    <row r="1372" customHeight="1" spans="1:45">
      <c r="A1372" s="3" t="str">
        <f>IF(对接源_02物料!$C172="","",对接源_02物料!$C172)</f>
        <v/>
      </c>
      <c r="B1372" s="3">
        <f t="shared" si="367"/>
        <v>0</v>
      </c>
      <c r="C1372" s="3">
        <f t="shared" si="368"/>
        <v>21</v>
      </c>
      <c r="K1372" s="3">
        <f>IF(OR($K$1="",对接源_02物料!$C172="",对接源_02物料!$C172&lt;&gt;$K$1,对接源_02物料!$B172=""),0,IF(OR(N(对接源_02物料!$B172)&lt;$K$2,N(对接源_02物料!$B172)&gt;$K$3),0,1))</f>
        <v>0</v>
      </c>
      <c r="L1372" s="3">
        <f>IF(OR($L$1="",对接源_02物料!$C172="",对接源_02物料!$C172&lt;&gt;$L$1,对接源_02物料!$B172=""),0,IF(OR(N(对接源_02物料!$B172)&lt;$L$2,N(对接源_02物料!$B172)&gt;$L$3),0,1))</f>
        <v>0</v>
      </c>
      <c r="M1372" s="3">
        <f>IF(OR($M$1="",对接源_02物料!$C172="",对接源_02物料!$C172&lt;&gt;$M$1,对接源_02物料!$B172=""),0,IF(OR(N(对接源_02物料!$B172)&lt;$M$2,N(对接源_02物料!$B172)&gt;$M$3),0,1))</f>
        <v>0</v>
      </c>
      <c r="N1372" s="3">
        <f>IF(OR($N$1="",对接源_02物料!$C172="",对接源_02物料!$C172&lt;&gt;$N$1,对接源_02物料!$B172=""),0,IF(OR(N(对接源_02物料!$B172)&lt;$N$2,N(对接源_02物料!$B172)&gt;$N$3),0,1))</f>
        <v>0</v>
      </c>
      <c r="P1372" s="3">
        <f>IF(AND($K1372=1,AND(对接源_02物料!$X172="公司筐",N(对接源_02物料!$T172)&lt;&gt;0)),1,0)</f>
        <v>0</v>
      </c>
      <c r="Q1372" s="3">
        <f t="shared" si="369"/>
        <v>8</v>
      </c>
      <c r="R1372" s="3">
        <f>IF(AND($K1372=1,AND(对接源_02物料!$X172="公司筐",N(对接源_02物料!$U172)&lt;&gt;0)),1,0)</f>
        <v>0</v>
      </c>
      <c r="S1372" s="3">
        <f t="shared" si="370"/>
        <v>0</v>
      </c>
      <c r="T1372" s="3">
        <f>IF(AND($K1372=1,AND(对接源_02物料!$X172="公司筐",N(对接源_02物料!$V172)&lt;&gt;0)),1,0)</f>
        <v>0</v>
      </c>
      <c r="U1372" s="3">
        <f t="shared" si="371"/>
        <v>19</v>
      </c>
      <c r="V1372" s="3">
        <f>IF(AND($L1372=1,AND(对接源_02物料!$X172="自备筐",N(对接源_02物料!$V172)&lt;&gt;0)),1,0)</f>
        <v>0</v>
      </c>
      <c r="W1372" s="3">
        <f t="shared" si="372"/>
        <v>8</v>
      </c>
      <c r="X1372" s="3">
        <f>IF(AND($L1372=1,AND(对接源_02物料!$X172="自备筐",N(对接源_02物料!$T172)&lt;&gt;0)),1,0)</f>
        <v>0</v>
      </c>
      <c r="Y1372" s="3">
        <f t="shared" si="373"/>
        <v>0</v>
      </c>
      <c r="Z1372" s="3">
        <f>IF(AND($M1372=1,对接源_02物料!$D172="原料入库"),1,0)</f>
        <v>0</v>
      </c>
      <c r="AA1372" s="3">
        <f t="shared" si="374"/>
        <v>24</v>
      </c>
      <c r="AB1372" s="3">
        <f>IF(AND($M1372=1,LEFT(对接源_02物料!$D172,4)="原料出库"),1,0)</f>
        <v>0</v>
      </c>
      <c r="AC1372" s="3">
        <f t="shared" si="375"/>
        <v>0</v>
      </c>
      <c r="AD1372" s="3">
        <f>IF(AND($M1372=1,LEFT(对接源_02物料!$D172,4)="成品出库"),1,0)</f>
        <v>0</v>
      </c>
      <c r="AE1372" s="3">
        <f t="shared" si="376"/>
        <v>0</v>
      </c>
      <c r="AF1372" s="3">
        <f>IF(AND($N1372=1,AND(LEFT(对接源_02物料!$D172,4)="包装物料",N(对接源_02物料!$K172)&lt;&gt;0)),1,0)</f>
        <v>0</v>
      </c>
      <c r="AG1372" s="3">
        <f t="shared" si="377"/>
        <v>5</v>
      </c>
      <c r="AH1372" s="3">
        <f>IF(AND($N1372=1,AND(对接源_02物料!$D172="周转筐－销售出库",N(对接源_02物料!$K172)&lt;&gt;0)),1,0)</f>
        <v>0</v>
      </c>
      <c r="AI1372" s="3">
        <f t="shared" si="378"/>
        <v>0</v>
      </c>
      <c r="AL1372" s="3">
        <v>0</v>
      </c>
      <c r="AM1372" s="3">
        <f t="shared" si="379"/>
        <v>1</v>
      </c>
      <c r="AN1372" s="3" t="str">
        <f t="shared" si="366"/>
        <v/>
      </c>
      <c r="AO1372" s="3">
        <v>0</v>
      </c>
      <c r="AP1372" s="3">
        <f t="shared" si="380"/>
        <v>8</v>
      </c>
      <c r="AR1372">
        <f t="shared" si="381"/>
        <v>0</v>
      </c>
      <c r="AS1372">
        <f t="shared" si="382"/>
        <v>5</v>
      </c>
    </row>
    <row r="1373" customHeight="1" spans="1:45">
      <c r="A1373" s="3" t="str">
        <f>IF(对接源_02物料!$C173="","",对接源_02物料!$C173)</f>
        <v/>
      </c>
      <c r="B1373" s="3">
        <f t="shared" si="367"/>
        <v>0</v>
      </c>
      <c r="C1373" s="3">
        <f t="shared" si="368"/>
        <v>21</v>
      </c>
      <c r="K1373" s="3">
        <f>IF(OR($K$1="",对接源_02物料!$C173="",对接源_02物料!$C173&lt;&gt;$K$1,对接源_02物料!$B173=""),0,IF(OR(N(对接源_02物料!$B173)&lt;$K$2,N(对接源_02物料!$B173)&gt;$K$3),0,1))</f>
        <v>0</v>
      </c>
      <c r="L1373" s="3">
        <f>IF(OR($L$1="",对接源_02物料!$C173="",对接源_02物料!$C173&lt;&gt;$L$1,对接源_02物料!$B173=""),0,IF(OR(N(对接源_02物料!$B173)&lt;$L$2,N(对接源_02物料!$B173)&gt;$L$3),0,1))</f>
        <v>0</v>
      </c>
      <c r="M1373" s="3">
        <f>IF(OR($M$1="",对接源_02物料!$C173="",对接源_02物料!$C173&lt;&gt;$M$1,对接源_02物料!$B173=""),0,IF(OR(N(对接源_02物料!$B173)&lt;$M$2,N(对接源_02物料!$B173)&gt;$M$3),0,1))</f>
        <v>0</v>
      </c>
      <c r="N1373" s="3">
        <f>IF(OR($N$1="",对接源_02物料!$C173="",对接源_02物料!$C173&lt;&gt;$N$1,对接源_02物料!$B173=""),0,IF(OR(N(对接源_02物料!$B173)&lt;$N$2,N(对接源_02物料!$B173)&gt;$N$3),0,1))</f>
        <v>0</v>
      </c>
      <c r="P1373" s="3">
        <f>IF(AND($K1373=1,AND(对接源_02物料!$X173="公司筐",N(对接源_02物料!$T173)&lt;&gt;0)),1,0)</f>
        <v>0</v>
      </c>
      <c r="Q1373" s="3">
        <f t="shared" si="369"/>
        <v>8</v>
      </c>
      <c r="R1373" s="3">
        <f>IF(AND($K1373=1,AND(对接源_02物料!$X173="公司筐",N(对接源_02物料!$U173)&lt;&gt;0)),1,0)</f>
        <v>0</v>
      </c>
      <c r="S1373" s="3">
        <f t="shared" si="370"/>
        <v>0</v>
      </c>
      <c r="T1373" s="3">
        <f>IF(AND($K1373=1,AND(对接源_02物料!$X173="公司筐",N(对接源_02物料!$V173)&lt;&gt;0)),1,0)</f>
        <v>0</v>
      </c>
      <c r="U1373" s="3">
        <f t="shared" si="371"/>
        <v>19</v>
      </c>
      <c r="V1373" s="3">
        <f>IF(AND($L1373=1,AND(对接源_02物料!$X173="自备筐",N(对接源_02物料!$V173)&lt;&gt;0)),1,0)</f>
        <v>0</v>
      </c>
      <c r="W1373" s="3">
        <f t="shared" si="372"/>
        <v>8</v>
      </c>
      <c r="X1373" s="3">
        <f>IF(AND($L1373=1,AND(对接源_02物料!$X173="自备筐",N(对接源_02物料!$T173)&lt;&gt;0)),1,0)</f>
        <v>0</v>
      </c>
      <c r="Y1373" s="3">
        <f t="shared" si="373"/>
        <v>0</v>
      </c>
      <c r="Z1373" s="3">
        <f>IF(AND($M1373=1,对接源_02物料!$D173="原料入库"),1,0)</f>
        <v>0</v>
      </c>
      <c r="AA1373" s="3">
        <f t="shared" si="374"/>
        <v>24</v>
      </c>
      <c r="AB1373" s="3">
        <f>IF(AND($M1373=1,LEFT(对接源_02物料!$D173,4)="原料出库"),1,0)</f>
        <v>0</v>
      </c>
      <c r="AC1373" s="3">
        <f t="shared" si="375"/>
        <v>0</v>
      </c>
      <c r="AD1373" s="3">
        <f>IF(AND($M1373=1,LEFT(对接源_02物料!$D173,4)="成品出库"),1,0)</f>
        <v>0</v>
      </c>
      <c r="AE1373" s="3">
        <f t="shared" si="376"/>
        <v>0</v>
      </c>
      <c r="AF1373" s="3">
        <f>IF(AND($N1373=1,AND(LEFT(对接源_02物料!$D173,4)="包装物料",N(对接源_02物料!$K173)&lt;&gt;0)),1,0)</f>
        <v>0</v>
      </c>
      <c r="AG1373" s="3">
        <f t="shared" si="377"/>
        <v>5</v>
      </c>
      <c r="AH1373" s="3">
        <f>IF(AND($N1373=1,AND(对接源_02物料!$D173="周转筐－销售出库",N(对接源_02物料!$K173)&lt;&gt;0)),1,0)</f>
        <v>0</v>
      </c>
      <c r="AI1373" s="3">
        <f t="shared" si="378"/>
        <v>0</v>
      </c>
      <c r="AL1373" s="3">
        <v>0</v>
      </c>
      <c r="AM1373" s="3">
        <f t="shared" si="379"/>
        <v>1</v>
      </c>
      <c r="AN1373" s="3" t="str">
        <f t="shared" si="366"/>
        <v/>
      </c>
      <c r="AO1373" s="3">
        <v>0</v>
      </c>
      <c r="AP1373" s="3">
        <f t="shared" si="380"/>
        <v>8</v>
      </c>
      <c r="AR1373">
        <f t="shared" si="381"/>
        <v>0</v>
      </c>
      <c r="AS1373">
        <f t="shared" si="382"/>
        <v>5</v>
      </c>
    </row>
    <row r="1374" customHeight="1" spans="1:45">
      <c r="A1374" s="3" t="str">
        <f>IF(对接源_02物料!$C174="","",对接源_02物料!$C174)</f>
        <v/>
      </c>
      <c r="B1374" s="3">
        <f t="shared" si="367"/>
        <v>0</v>
      </c>
      <c r="C1374" s="3">
        <f t="shared" si="368"/>
        <v>21</v>
      </c>
      <c r="K1374" s="3">
        <f>IF(OR($K$1="",对接源_02物料!$C174="",对接源_02物料!$C174&lt;&gt;$K$1,对接源_02物料!$B174=""),0,IF(OR(N(对接源_02物料!$B174)&lt;$K$2,N(对接源_02物料!$B174)&gt;$K$3),0,1))</f>
        <v>0</v>
      </c>
      <c r="L1374" s="3">
        <f>IF(OR($L$1="",对接源_02物料!$C174="",对接源_02物料!$C174&lt;&gt;$L$1,对接源_02物料!$B174=""),0,IF(OR(N(对接源_02物料!$B174)&lt;$L$2,N(对接源_02物料!$B174)&gt;$L$3),0,1))</f>
        <v>0</v>
      </c>
      <c r="M1374" s="3">
        <f>IF(OR($M$1="",对接源_02物料!$C174="",对接源_02物料!$C174&lt;&gt;$M$1,对接源_02物料!$B174=""),0,IF(OR(N(对接源_02物料!$B174)&lt;$M$2,N(对接源_02物料!$B174)&gt;$M$3),0,1))</f>
        <v>0</v>
      </c>
      <c r="N1374" s="3">
        <f>IF(OR($N$1="",对接源_02物料!$C174="",对接源_02物料!$C174&lt;&gt;$N$1,对接源_02物料!$B174=""),0,IF(OR(N(对接源_02物料!$B174)&lt;$N$2,N(对接源_02物料!$B174)&gt;$N$3),0,1))</f>
        <v>0</v>
      </c>
      <c r="P1374" s="3">
        <f>IF(AND($K1374=1,AND(对接源_02物料!$X174="公司筐",N(对接源_02物料!$T174)&lt;&gt;0)),1,0)</f>
        <v>0</v>
      </c>
      <c r="Q1374" s="3">
        <f t="shared" si="369"/>
        <v>8</v>
      </c>
      <c r="R1374" s="3">
        <f>IF(AND($K1374=1,AND(对接源_02物料!$X174="公司筐",N(对接源_02物料!$U174)&lt;&gt;0)),1,0)</f>
        <v>0</v>
      </c>
      <c r="S1374" s="3">
        <f t="shared" si="370"/>
        <v>0</v>
      </c>
      <c r="T1374" s="3">
        <f>IF(AND($K1374=1,AND(对接源_02物料!$X174="公司筐",N(对接源_02物料!$V174)&lt;&gt;0)),1,0)</f>
        <v>0</v>
      </c>
      <c r="U1374" s="3">
        <f t="shared" si="371"/>
        <v>19</v>
      </c>
      <c r="V1374" s="3">
        <f>IF(AND($L1374=1,AND(对接源_02物料!$X174="自备筐",N(对接源_02物料!$V174)&lt;&gt;0)),1,0)</f>
        <v>0</v>
      </c>
      <c r="W1374" s="3">
        <f t="shared" si="372"/>
        <v>8</v>
      </c>
      <c r="X1374" s="3">
        <f>IF(AND($L1374=1,AND(对接源_02物料!$X174="自备筐",N(对接源_02物料!$T174)&lt;&gt;0)),1,0)</f>
        <v>0</v>
      </c>
      <c r="Y1374" s="3">
        <f t="shared" si="373"/>
        <v>0</v>
      </c>
      <c r="Z1374" s="3">
        <f>IF(AND($M1374=1,对接源_02物料!$D174="原料入库"),1,0)</f>
        <v>0</v>
      </c>
      <c r="AA1374" s="3">
        <f t="shared" si="374"/>
        <v>24</v>
      </c>
      <c r="AB1374" s="3">
        <f>IF(AND($M1374=1,LEFT(对接源_02物料!$D174,4)="原料出库"),1,0)</f>
        <v>0</v>
      </c>
      <c r="AC1374" s="3">
        <f t="shared" si="375"/>
        <v>0</v>
      </c>
      <c r="AD1374" s="3">
        <f>IF(AND($M1374=1,LEFT(对接源_02物料!$D174,4)="成品出库"),1,0)</f>
        <v>0</v>
      </c>
      <c r="AE1374" s="3">
        <f t="shared" si="376"/>
        <v>0</v>
      </c>
      <c r="AF1374" s="3">
        <f>IF(AND($N1374=1,AND(LEFT(对接源_02物料!$D174,4)="包装物料",N(对接源_02物料!$K174)&lt;&gt;0)),1,0)</f>
        <v>0</v>
      </c>
      <c r="AG1374" s="3">
        <f t="shared" si="377"/>
        <v>5</v>
      </c>
      <c r="AH1374" s="3">
        <f>IF(AND($N1374=1,AND(对接源_02物料!$D174="周转筐－销售出库",N(对接源_02物料!$K174)&lt;&gt;0)),1,0)</f>
        <v>0</v>
      </c>
      <c r="AI1374" s="3">
        <f t="shared" si="378"/>
        <v>0</v>
      </c>
      <c r="AL1374" s="3">
        <v>0</v>
      </c>
      <c r="AM1374" s="3">
        <f t="shared" si="379"/>
        <v>1</v>
      </c>
      <c r="AN1374" s="3" t="str">
        <f t="shared" si="366"/>
        <v/>
      </c>
      <c r="AO1374" s="3">
        <v>0</v>
      </c>
      <c r="AP1374" s="3">
        <f t="shared" si="380"/>
        <v>8</v>
      </c>
      <c r="AR1374">
        <f t="shared" si="381"/>
        <v>0</v>
      </c>
      <c r="AS1374">
        <f t="shared" si="382"/>
        <v>5</v>
      </c>
    </row>
    <row r="1375" customHeight="1" spans="1:45">
      <c r="A1375" s="3" t="str">
        <f>IF(对接源_02物料!$C175="","",对接源_02物料!$C175)</f>
        <v/>
      </c>
      <c r="B1375" s="3">
        <f t="shared" si="367"/>
        <v>0</v>
      </c>
      <c r="C1375" s="3">
        <f t="shared" si="368"/>
        <v>21</v>
      </c>
      <c r="K1375" s="3">
        <f>IF(OR($K$1="",对接源_02物料!$C175="",对接源_02物料!$C175&lt;&gt;$K$1,对接源_02物料!$B175=""),0,IF(OR(N(对接源_02物料!$B175)&lt;$K$2,N(对接源_02物料!$B175)&gt;$K$3),0,1))</f>
        <v>0</v>
      </c>
      <c r="L1375" s="3">
        <f>IF(OR($L$1="",对接源_02物料!$C175="",对接源_02物料!$C175&lt;&gt;$L$1,对接源_02物料!$B175=""),0,IF(OR(N(对接源_02物料!$B175)&lt;$L$2,N(对接源_02物料!$B175)&gt;$L$3),0,1))</f>
        <v>0</v>
      </c>
      <c r="M1375" s="3">
        <f>IF(OR($M$1="",对接源_02物料!$C175="",对接源_02物料!$C175&lt;&gt;$M$1,对接源_02物料!$B175=""),0,IF(OR(N(对接源_02物料!$B175)&lt;$M$2,N(对接源_02物料!$B175)&gt;$M$3),0,1))</f>
        <v>0</v>
      </c>
      <c r="N1375" s="3">
        <f>IF(OR($N$1="",对接源_02物料!$C175="",对接源_02物料!$C175&lt;&gt;$N$1,对接源_02物料!$B175=""),0,IF(OR(N(对接源_02物料!$B175)&lt;$N$2,N(对接源_02物料!$B175)&gt;$N$3),0,1))</f>
        <v>0</v>
      </c>
      <c r="P1375" s="3">
        <f>IF(AND($K1375=1,AND(对接源_02物料!$X175="公司筐",N(对接源_02物料!$T175)&lt;&gt;0)),1,0)</f>
        <v>0</v>
      </c>
      <c r="Q1375" s="3">
        <f t="shared" si="369"/>
        <v>8</v>
      </c>
      <c r="R1375" s="3">
        <f>IF(AND($K1375=1,AND(对接源_02物料!$X175="公司筐",N(对接源_02物料!$U175)&lt;&gt;0)),1,0)</f>
        <v>0</v>
      </c>
      <c r="S1375" s="3">
        <f t="shared" si="370"/>
        <v>0</v>
      </c>
      <c r="T1375" s="3">
        <f>IF(AND($K1375=1,AND(对接源_02物料!$X175="公司筐",N(对接源_02物料!$V175)&lt;&gt;0)),1,0)</f>
        <v>0</v>
      </c>
      <c r="U1375" s="3">
        <f t="shared" si="371"/>
        <v>19</v>
      </c>
      <c r="V1375" s="3">
        <f>IF(AND($L1375=1,AND(对接源_02物料!$X175="自备筐",N(对接源_02物料!$V175)&lt;&gt;0)),1,0)</f>
        <v>0</v>
      </c>
      <c r="W1375" s="3">
        <f t="shared" si="372"/>
        <v>8</v>
      </c>
      <c r="X1375" s="3">
        <f>IF(AND($L1375=1,AND(对接源_02物料!$X175="自备筐",N(对接源_02物料!$T175)&lt;&gt;0)),1,0)</f>
        <v>0</v>
      </c>
      <c r="Y1375" s="3">
        <f t="shared" si="373"/>
        <v>0</v>
      </c>
      <c r="Z1375" s="3">
        <f>IF(AND($M1375=1,对接源_02物料!$D175="原料入库"),1,0)</f>
        <v>0</v>
      </c>
      <c r="AA1375" s="3">
        <f t="shared" si="374"/>
        <v>24</v>
      </c>
      <c r="AB1375" s="3">
        <f>IF(AND($M1375=1,LEFT(对接源_02物料!$D175,4)="原料出库"),1,0)</f>
        <v>0</v>
      </c>
      <c r="AC1375" s="3">
        <f t="shared" si="375"/>
        <v>0</v>
      </c>
      <c r="AD1375" s="3">
        <f>IF(AND($M1375=1,LEFT(对接源_02物料!$D175,4)="成品出库"),1,0)</f>
        <v>0</v>
      </c>
      <c r="AE1375" s="3">
        <f t="shared" si="376"/>
        <v>0</v>
      </c>
      <c r="AF1375" s="3">
        <f>IF(AND($N1375=1,AND(LEFT(对接源_02物料!$D175,4)="包装物料",N(对接源_02物料!$K175)&lt;&gt;0)),1,0)</f>
        <v>0</v>
      </c>
      <c r="AG1375" s="3">
        <f t="shared" si="377"/>
        <v>5</v>
      </c>
      <c r="AH1375" s="3">
        <f>IF(AND($N1375=1,AND(对接源_02物料!$D175="周转筐－销售出库",N(对接源_02物料!$K175)&lt;&gt;0)),1,0)</f>
        <v>0</v>
      </c>
      <c r="AI1375" s="3">
        <f t="shared" si="378"/>
        <v>0</v>
      </c>
      <c r="AL1375" s="3">
        <v>0</v>
      </c>
      <c r="AM1375" s="3">
        <f t="shared" si="379"/>
        <v>1</v>
      </c>
      <c r="AN1375" s="3" t="str">
        <f t="shared" si="366"/>
        <v/>
      </c>
      <c r="AO1375" s="3">
        <v>0</v>
      </c>
      <c r="AP1375" s="3">
        <f t="shared" si="380"/>
        <v>8</v>
      </c>
      <c r="AR1375">
        <f t="shared" si="381"/>
        <v>0</v>
      </c>
      <c r="AS1375">
        <f t="shared" si="382"/>
        <v>5</v>
      </c>
    </row>
    <row r="1376" customHeight="1" spans="1:45">
      <c r="A1376" s="3" t="str">
        <f>IF(对接源_02物料!$C176="","",对接源_02物料!$C176)</f>
        <v/>
      </c>
      <c r="B1376" s="3">
        <f t="shared" si="367"/>
        <v>0</v>
      </c>
      <c r="C1376" s="3">
        <f t="shared" si="368"/>
        <v>21</v>
      </c>
      <c r="K1376" s="3">
        <f>IF(OR($K$1="",对接源_02物料!$C176="",对接源_02物料!$C176&lt;&gt;$K$1,对接源_02物料!$B176=""),0,IF(OR(N(对接源_02物料!$B176)&lt;$K$2,N(对接源_02物料!$B176)&gt;$K$3),0,1))</f>
        <v>0</v>
      </c>
      <c r="L1376" s="3">
        <f>IF(OR($L$1="",对接源_02物料!$C176="",对接源_02物料!$C176&lt;&gt;$L$1,对接源_02物料!$B176=""),0,IF(OR(N(对接源_02物料!$B176)&lt;$L$2,N(对接源_02物料!$B176)&gt;$L$3),0,1))</f>
        <v>0</v>
      </c>
      <c r="M1376" s="3">
        <f>IF(OR($M$1="",对接源_02物料!$C176="",对接源_02物料!$C176&lt;&gt;$M$1,对接源_02物料!$B176=""),0,IF(OR(N(对接源_02物料!$B176)&lt;$M$2,N(对接源_02物料!$B176)&gt;$M$3),0,1))</f>
        <v>0</v>
      </c>
      <c r="N1376" s="3">
        <f>IF(OR($N$1="",对接源_02物料!$C176="",对接源_02物料!$C176&lt;&gt;$N$1,对接源_02物料!$B176=""),0,IF(OR(N(对接源_02物料!$B176)&lt;$N$2,N(对接源_02物料!$B176)&gt;$N$3),0,1))</f>
        <v>0</v>
      </c>
      <c r="P1376" s="3">
        <f>IF(AND($K1376=1,AND(对接源_02物料!$X176="公司筐",N(对接源_02物料!$T176)&lt;&gt;0)),1,0)</f>
        <v>0</v>
      </c>
      <c r="Q1376" s="3">
        <f t="shared" si="369"/>
        <v>8</v>
      </c>
      <c r="R1376" s="3">
        <f>IF(AND($K1376=1,AND(对接源_02物料!$X176="公司筐",N(对接源_02物料!$U176)&lt;&gt;0)),1,0)</f>
        <v>0</v>
      </c>
      <c r="S1376" s="3">
        <f t="shared" si="370"/>
        <v>0</v>
      </c>
      <c r="T1376" s="3">
        <f>IF(AND($K1376=1,AND(对接源_02物料!$X176="公司筐",N(对接源_02物料!$V176)&lt;&gt;0)),1,0)</f>
        <v>0</v>
      </c>
      <c r="U1376" s="3">
        <f t="shared" si="371"/>
        <v>19</v>
      </c>
      <c r="V1376" s="3">
        <f>IF(AND($L1376=1,AND(对接源_02物料!$X176="自备筐",N(对接源_02物料!$V176)&lt;&gt;0)),1,0)</f>
        <v>0</v>
      </c>
      <c r="W1376" s="3">
        <f t="shared" si="372"/>
        <v>8</v>
      </c>
      <c r="X1376" s="3">
        <f>IF(AND($L1376=1,AND(对接源_02物料!$X176="自备筐",N(对接源_02物料!$T176)&lt;&gt;0)),1,0)</f>
        <v>0</v>
      </c>
      <c r="Y1376" s="3">
        <f t="shared" si="373"/>
        <v>0</v>
      </c>
      <c r="Z1376" s="3">
        <f>IF(AND($M1376=1,对接源_02物料!$D176="原料入库"),1,0)</f>
        <v>0</v>
      </c>
      <c r="AA1376" s="3">
        <f t="shared" si="374"/>
        <v>24</v>
      </c>
      <c r="AB1376" s="3">
        <f>IF(AND($M1376=1,LEFT(对接源_02物料!$D176,4)="原料出库"),1,0)</f>
        <v>0</v>
      </c>
      <c r="AC1376" s="3">
        <f t="shared" si="375"/>
        <v>0</v>
      </c>
      <c r="AD1376" s="3">
        <f>IF(AND($M1376=1,LEFT(对接源_02物料!$D176,4)="成品出库"),1,0)</f>
        <v>0</v>
      </c>
      <c r="AE1376" s="3">
        <f t="shared" si="376"/>
        <v>0</v>
      </c>
      <c r="AF1376" s="3">
        <f>IF(AND($N1376=1,AND(LEFT(对接源_02物料!$D176,4)="包装物料",N(对接源_02物料!$K176)&lt;&gt;0)),1,0)</f>
        <v>0</v>
      </c>
      <c r="AG1376" s="3">
        <f t="shared" si="377"/>
        <v>5</v>
      </c>
      <c r="AH1376" s="3">
        <f>IF(AND($N1376=1,AND(对接源_02物料!$D176="周转筐－销售出库",N(对接源_02物料!$K176)&lt;&gt;0)),1,0)</f>
        <v>0</v>
      </c>
      <c r="AI1376" s="3">
        <f t="shared" si="378"/>
        <v>0</v>
      </c>
      <c r="AL1376" s="3">
        <v>0</v>
      </c>
      <c r="AM1376" s="3">
        <f t="shared" si="379"/>
        <v>1</v>
      </c>
      <c r="AN1376" s="3" t="str">
        <f t="shared" si="366"/>
        <v/>
      </c>
      <c r="AO1376" s="3">
        <v>0</v>
      </c>
      <c r="AP1376" s="3">
        <f t="shared" si="380"/>
        <v>8</v>
      </c>
      <c r="AR1376">
        <f t="shared" si="381"/>
        <v>0</v>
      </c>
      <c r="AS1376">
        <f t="shared" si="382"/>
        <v>5</v>
      </c>
    </row>
    <row r="1377" customHeight="1" spans="1:45">
      <c r="A1377" s="3" t="str">
        <f>IF(对接源_02物料!$C177="","",对接源_02物料!$C177)</f>
        <v/>
      </c>
      <c r="B1377" s="3">
        <f t="shared" si="367"/>
        <v>0</v>
      </c>
      <c r="C1377" s="3">
        <f t="shared" si="368"/>
        <v>21</v>
      </c>
      <c r="K1377" s="3">
        <f>IF(OR($K$1="",对接源_02物料!$C177="",对接源_02物料!$C177&lt;&gt;$K$1,对接源_02物料!$B177=""),0,IF(OR(N(对接源_02物料!$B177)&lt;$K$2,N(对接源_02物料!$B177)&gt;$K$3),0,1))</f>
        <v>0</v>
      </c>
      <c r="L1377" s="3">
        <f>IF(OR($L$1="",对接源_02物料!$C177="",对接源_02物料!$C177&lt;&gt;$L$1,对接源_02物料!$B177=""),0,IF(OR(N(对接源_02物料!$B177)&lt;$L$2,N(对接源_02物料!$B177)&gt;$L$3),0,1))</f>
        <v>0</v>
      </c>
      <c r="M1377" s="3">
        <f>IF(OR($M$1="",对接源_02物料!$C177="",对接源_02物料!$C177&lt;&gt;$M$1,对接源_02物料!$B177=""),0,IF(OR(N(对接源_02物料!$B177)&lt;$M$2,N(对接源_02物料!$B177)&gt;$M$3),0,1))</f>
        <v>0</v>
      </c>
      <c r="N1377" s="3">
        <f>IF(OR($N$1="",对接源_02物料!$C177="",对接源_02物料!$C177&lt;&gt;$N$1,对接源_02物料!$B177=""),0,IF(OR(N(对接源_02物料!$B177)&lt;$N$2,N(对接源_02物料!$B177)&gt;$N$3),0,1))</f>
        <v>0</v>
      </c>
      <c r="P1377" s="3">
        <f>IF(AND($K1377=1,AND(对接源_02物料!$X177="公司筐",N(对接源_02物料!$T177)&lt;&gt;0)),1,0)</f>
        <v>0</v>
      </c>
      <c r="Q1377" s="3">
        <f t="shared" si="369"/>
        <v>8</v>
      </c>
      <c r="R1377" s="3">
        <f>IF(AND($K1377=1,AND(对接源_02物料!$X177="公司筐",N(对接源_02物料!$U177)&lt;&gt;0)),1,0)</f>
        <v>0</v>
      </c>
      <c r="S1377" s="3">
        <f t="shared" si="370"/>
        <v>0</v>
      </c>
      <c r="T1377" s="3">
        <f>IF(AND($K1377=1,AND(对接源_02物料!$X177="公司筐",N(对接源_02物料!$V177)&lt;&gt;0)),1,0)</f>
        <v>0</v>
      </c>
      <c r="U1377" s="3">
        <f t="shared" si="371"/>
        <v>19</v>
      </c>
      <c r="V1377" s="3">
        <f>IF(AND($L1377=1,AND(对接源_02物料!$X177="自备筐",N(对接源_02物料!$V177)&lt;&gt;0)),1,0)</f>
        <v>0</v>
      </c>
      <c r="W1377" s="3">
        <f t="shared" si="372"/>
        <v>8</v>
      </c>
      <c r="X1377" s="3">
        <f>IF(AND($L1377=1,AND(对接源_02物料!$X177="自备筐",N(对接源_02物料!$T177)&lt;&gt;0)),1,0)</f>
        <v>0</v>
      </c>
      <c r="Y1377" s="3">
        <f t="shared" si="373"/>
        <v>0</v>
      </c>
      <c r="Z1377" s="3">
        <f>IF(AND($M1377=1,对接源_02物料!$D177="原料入库"),1,0)</f>
        <v>0</v>
      </c>
      <c r="AA1377" s="3">
        <f t="shared" si="374"/>
        <v>24</v>
      </c>
      <c r="AB1377" s="3">
        <f>IF(AND($M1377=1,LEFT(对接源_02物料!$D177,4)="原料出库"),1,0)</f>
        <v>0</v>
      </c>
      <c r="AC1377" s="3">
        <f t="shared" si="375"/>
        <v>0</v>
      </c>
      <c r="AD1377" s="3">
        <f>IF(AND($M1377=1,LEFT(对接源_02物料!$D177,4)="成品出库"),1,0)</f>
        <v>0</v>
      </c>
      <c r="AE1377" s="3">
        <f t="shared" si="376"/>
        <v>0</v>
      </c>
      <c r="AF1377" s="3">
        <f>IF(AND($N1377=1,AND(LEFT(对接源_02物料!$D177,4)="包装物料",N(对接源_02物料!$K177)&lt;&gt;0)),1,0)</f>
        <v>0</v>
      </c>
      <c r="AG1377" s="3">
        <f t="shared" si="377"/>
        <v>5</v>
      </c>
      <c r="AH1377" s="3">
        <f>IF(AND($N1377=1,AND(对接源_02物料!$D177="周转筐－销售出库",N(对接源_02物料!$K177)&lt;&gt;0)),1,0)</f>
        <v>0</v>
      </c>
      <c r="AI1377" s="3">
        <f t="shared" si="378"/>
        <v>0</v>
      </c>
      <c r="AL1377" s="3">
        <v>0</v>
      </c>
      <c r="AM1377" s="3">
        <f t="shared" si="379"/>
        <v>1</v>
      </c>
      <c r="AN1377" s="3" t="str">
        <f t="shared" si="366"/>
        <v/>
      </c>
      <c r="AO1377" s="3">
        <v>0</v>
      </c>
      <c r="AP1377" s="3">
        <f t="shared" si="380"/>
        <v>8</v>
      </c>
      <c r="AR1377">
        <f t="shared" si="381"/>
        <v>0</v>
      </c>
      <c r="AS1377">
        <f t="shared" si="382"/>
        <v>5</v>
      </c>
    </row>
    <row r="1378" customHeight="1" spans="1:45">
      <c r="A1378" s="3" t="str">
        <f>IF(对接源_02物料!$C178="","",对接源_02物料!$C178)</f>
        <v/>
      </c>
      <c r="B1378" s="3">
        <f t="shared" si="367"/>
        <v>0</v>
      </c>
      <c r="C1378" s="3">
        <f t="shared" si="368"/>
        <v>21</v>
      </c>
      <c r="K1378" s="3">
        <f>IF(OR($K$1="",对接源_02物料!$C178="",对接源_02物料!$C178&lt;&gt;$K$1,对接源_02物料!$B178=""),0,IF(OR(N(对接源_02物料!$B178)&lt;$K$2,N(对接源_02物料!$B178)&gt;$K$3),0,1))</f>
        <v>0</v>
      </c>
      <c r="L1378" s="3">
        <f>IF(OR($L$1="",对接源_02物料!$C178="",对接源_02物料!$C178&lt;&gt;$L$1,对接源_02物料!$B178=""),0,IF(OR(N(对接源_02物料!$B178)&lt;$L$2,N(对接源_02物料!$B178)&gt;$L$3),0,1))</f>
        <v>0</v>
      </c>
      <c r="M1378" s="3">
        <f>IF(OR($M$1="",对接源_02物料!$C178="",对接源_02物料!$C178&lt;&gt;$M$1,对接源_02物料!$B178=""),0,IF(OR(N(对接源_02物料!$B178)&lt;$M$2,N(对接源_02物料!$B178)&gt;$M$3),0,1))</f>
        <v>0</v>
      </c>
      <c r="N1378" s="3">
        <f>IF(OR($N$1="",对接源_02物料!$C178="",对接源_02物料!$C178&lt;&gt;$N$1,对接源_02物料!$B178=""),0,IF(OR(N(对接源_02物料!$B178)&lt;$N$2,N(对接源_02物料!$B178)&gt;$N$3),0,1))</f>
        <v>0</v>
      </c>
      <c r="P1378" s="3">
        <f>IF(AND($K1378=1,AND(对接源_02物料!$X178="公司筐",N(对接源_02物料!$T178)&lt;&gt;0)),1,0)</f>
        <v>0</v>
      </c>
      <c r="Q1378" s="3">
        <f t="shared" si="369"/>
        <v>8</v>
      </c>
      <c r="R1378" s="3">
        <f>IF(AND($K1378=1,AND(对接源_02物料!$X178="公司筐",N(对接源_02物料!$U178)&lt;&gt;0)),1,0)</f>
        <v>0</v>
      </c>
      <c r="S1378" s="3">
        <f t="shared" si="370"/>
        <v>0</v>
      </c>
      <c r="T1378" s="3">
        <f>IF(AND($K1378=1,AND(对接源_02物料!$X178="公司筐",N(对接源_02物料!$V178)&lt;&gt;0)),1,0)</f>
        <v>0</v>
      </c>
      <c r="U1378" s="3">
        <f t="shared" si="371"/>
        <v>19</v>
      </c>
      <c r="V1378" s="3">
        <f>IF(AND($L1378=1,AND(对接源_02物料!$X178="自备筐",N(对接源_02物料!$V178)&lt;&gt;0)),1,0)</f>
        <v>0</v>
      </c>
      <c r="W1378" s="3">
        <f t="shared" si="372"/>
        <v>8</v>
      </c>
      <c r="X1378" s="3">
        <f>IF(AND($L1378=1,AND(对接源_02物料!$X178="自备筐",N(对接源_02物料!$T178)&lt;&gt;0)),1,0)</f>
        <v>0</v>
      </c>
      <c r="Y1378" s="3">
        <f t="shared" si="373"/>
        <v>0</v>
      </c>
      <c r="Z1378" s="3">
        <f>IF(AND($M1378=1,对接源_02物料!$D178="原料入库"),1,0)</f>
        <v>0</v>
      </c>
      <c r="AA1378" s="3">
        <f t="shared" si="374"/>
        <v>24</v>
      </c>
      <c r="AB1378" s="3">
        <f>IF(AND($M1378=1,LEFT(对接源_02物料!$D178,4)="原料出库"),1,0)</f>
        <v>0</v>
      </c>
      <c r="AC1378" s="3">
        <f t="shared" si="375"/>
        <v>0</v>
      </c>
      <c r="AD1378" s="3">
        <f>IF(AND($M1378=1,LEFT(对接源_02物料!$D178,4)="成品出库"),1,0)</f>
        <v>0</v>
      </c>
      <c r="AE1378" s="3">
        <f t="shared" si="376"/>
        <v>0</v>
      </c>
      <c r="AF1378" s="3">
        <f>IF(AND($N1378=1,AND(LEFT(对接源_02物料!$D178,4)="包装物料",N(对接源_02物料!$K178)&lt;&gt;0)),1,0)</f>
        <v>0</v>
      </c>
      <c r="AG1378" s="3">
        <f t="shared" si="377"/>
        <v>5</v>
      </c>
      <c r="AH1378" s="3">
        <f>IF(AND($N1378=1,AND(对接源_02物料!$D178="周转筐－销售出库",N(对接源_02物料!$K178)&lt;&gt;0)),1,0)</f>
        <v>0</v>
      </c>
      <c r="AI1378" s="3">
        <f t="shared" si="378"/>
        <v>0</v>
      </c>
      <c r="AL1378" s="3">
        <v>0</v>
      </c>
      <c r="AM1378" s="3">
        <f t="shared" si="379"/>
        <v>1</v>
      </c>
      <c r="AN1378" s="3" t="str">
        <f t="shared" si="366"/>
        <v/>
      </c>
      <c r="AO1378" s="3">
        <v>0</v>
      </c>
      <c r="AP1378" s="3">
        <f t="shared" si="380"/>
        <v>8</v>
      </c>
      <c r="AR1378">
        <f t="shared" si="381"/>
        <v>0</v>
      </c>
      <c r="AS1378">
        <f t="shared" si="382"/>
        <v>5</v>
      </c>
    </row>
    <row r="1379" customHeight="1" spans="1:45">
      <c r="A1379" s="3" t="str">
        <f>IF(对接源_02物料!$C179="","",对接源_02物料!$C179)</f>
        <v/>
      </c>
      <c r="B1379" s="3">
        <f t="shared" si="367"/>
        <v>0</v>
      </c>
      <c r="C1379" s="3">
        <f t="shared" si="368"/>
        <v>21</v>
      </c>
      <c r="K1379" s="3">
        <f>IF(OR($K$1="",对接源_02物料!$C179="",对接源_02物料!$C179&lt;&gt;$K$1,对接源_02物料!$B179=""),0,IF(OR(N(对接源_02物料!$B179)&lt;$K$2,N(对接源_02物料!$B179)&gt;$K$3),0,1))</f>
        <v>0</v>
      </c>
      <c r="L1379" s="3">
        <f>IF(OR($L$1="",对接源_02物料!$C179="",对接源_02物料!$C179&lt;&gt;$L$1,对接源_02物料!$B179=""),0,IF(OR(N(对接源_02物料!$B179)&lt;$L$2,N(对接源_02物料!$B179)&gt;$L$3),0,1))</f>
        <v>0</v>
      </c>
      <c r="M1379" s="3">
        <f>IF(OR($M$1="",对接源_02物料!$C179="",对接源_02物料!$C179&lt;&gt;$M$1,对接源_02物料!$B179=""),0,IF(OR(N(对接源_02物料!$B179)&lt;$M$2,N(对接源_02物料!$B179)&gt;$M$3),0,1))</f>
        <v>0</v>
      </c>
      <c r="N1379" s="3">
        <f>IF(OR($N$1="",对接源_02物料!$C179="",对接源_02物料!$C179&lt;&gt;$N$1,对接源_02物料!$B179=""),0,IF(OR(N(对接源_02物料!$B179)&lt;$N$2,N(对接源_02物料!$B179)&gt;$N$3),0,1))</f>
        <v>0</v>
      </c>
      <c r="P1379" s="3">
        <f>IF(AND($K1379=1,AND(对接源_02物料!$X179="公司筐",N(对接源_02物料!$T179)&lt;&gt;0)),1,0)</f>
        <v>0</v>
      </c>
      <c r="Q1379" s="3">
        <f t="shared" si="369"/>
        <v>8</v>
      </c>
      <c r="R1379" s="3">
        <f>IF(AND($K1379=1,AND(对接源_02物料!$X179="公司筐",N(对接源_02物料!$U179)&lt;&gt;0)),1,0)</f>
        <v>0</v>
      </c>
      <c r="S1379" s="3">
        <f t="shared" si="370"/>
        <v>0</v>
      </c>
      <c r="T1379" s="3">
        <f>IF(AND($K1379=1,AND(对接源_02物料!$X179="公司筐",N(对接源_02物料!$V179)&lt;&gt;0)),1,0)</f>
        <v>0</v>
      </c>
      <c r="U1379" s="3">
        <f t="shared" si="371"/>
        <v>19</v>
      </c>
      <c r="V1379" s="3">
        <f>IF(AND($L1379=1,AND(对接源_02物料!$X179="自备筐",N(对接源_02物料!$V179)&lt;&gt;0)),1,0)</f>
        <v>0</v>
      </c>
      <c r="W1379" s="3">
        <f t="shared" si="372"/>
        <v>8</v>
      </c>
      <c r="X1379" s="3">
        <f>IF(AND($L1379=1,AND(对接源_02物料!$X179="自备筐",N(对接源_02物料!$T179)&lt;&gt;0)),1,0)</f>
        <v>0</v>
      </c>
      <c r="Y1379" s="3">
        <f t="shared" si="373"/>
        <v>0</v>
      </c>
      <c r="Z1379" s="3">
        <f>IF(AND($M1379=1,对接源_02物料!$D179="原料入库"),1,0)</f>
        <v>0</v>
      </c>
      <c r="AA1379" s="3">
        <f t="shared" si="374"/>
        <v>24</v>
      </c>
      <c r="AB1379" s="3">
        <f>IF(AND($M1379=1,LEFT(对接源_02物料!$D179,4)="原料出库"),1,0)</f>
        <v>0</v>
      </c>
      <c r="AC1379" s="3">
        <f t="shared" si="375"/>
        <v>0</v>
      </c>
      <c r="AD1379" s="3">
        <f>IF(AND($M1379=1,LEFT(对接源_02物料!$D179,4)="成品出库"),1,0)</f>
        <v>0</v>
      </c>
      <c r="AE1379" s="3">
        <f t="shared" si="376"/>
        <v>0</v>
      </c>
      <c r="AF1379" s="3">
        <f>IF(AND($N1379=1,AND(LEFT(对接源_02物料!$D179,4)="包装物料",N(对接源_02物料!$K179)&lt;&gt;0)),1,0)</f>
        <v>0</v>
      </c>
      <c r="AG1379" s="3">
        <f t="shared" si="377"/>
        <v>5</v>
      </c>
      <c r="AH1379" s="3">
        <f>IF(AND($N1379=1,AND(对接源_02物料!$D179="周转筐－销售出库",N(对接源_02物料!$K179)&lt;&gt;0)),1,0)</f>
        <v>0</v>
      </c>
      <c r="AI1379" s="3">
        <f t="shared" si="378"/>
        <v>0</v>
      </c>
      <c r="AL1379" s="3">
        <v>0</v>
      </c>
      <c r="AM1379" s="3">
        <f t="shared" si="379"/>
        <v>1</v>
      </c>
      <c r="AN1379" s="3" t="str">
        <f t="shared" si="366"/>
        <v/>
      </c>
      <c r="AO1379" s="3">
        <v>0</v>
      </c>
      <c r="AP1379" s="3">
        <f t="shared" si="380"/>
        <v>8</v>
      </c>
      <c r="AR1379">
        <f t="shared" si="381"/>
        <v>0</v>
      </c>
      <c r="AS1379">
        <f t="shared" si="382"/>
        <v>5</v>
      </c>
    </row>
    <row r="1380" customHeight="1" spans="1:45">
      <c r="A1380" s="3" t="str">
        <f>IF(对接源_02物料!$C180="","",对接源_02物料!$C180)</f>
        <v/>
      </c>
      <c r="B1380" s="3">
        <f t="shared" si="367"/>
        <v>0</v>
      </c>
      <c r="C1380" s="3">
        <f t="shared" si="368"/>
        <v>21</v>
      </c>
      <c r="K1380" s="3">
        <f>IF(OR($K$1="",对接源_02物料!$C180="",对接源_02物料!$C180&lt;&gt;$K$1,对接源_02物料!$B180=""),0,IF(OR(N(对接源_02物料!$B180)&lt;$K$2,N(对接源_02物料!$B180)&gt;$K$3),0,1))</f>
        <v>0</v>
      </c>
      <c r="L1380" s="3">
        <f>IF(OR($L$1="",对接源_02物料!$C180="",对接源_02物料!$C180&lt;&gt;$L$1,对接源_02物料!$B180=""),0,IF(OR(N(对接源_02物料!$B180)&lt;$L$2,N(对接源_02物料!$B180)&gt;$L$3),0,1))</f>
        <v>0</v>
      </c>
      <c r="M1380" s="3">
        <f>IF(OR($M$1="",对接源_02物料!$C180="",对接源_02物料!$C180&lt;&gt;$M$1,对接源_02物料!$B180=""),0,IF(OR(N(对接源_02物料!$B180)&lt;$M$2,N(对接源_02物料!$B180)&gt;$M$3),0,1))</f>
        <v>0</v>
      </c>
      <c r="N1380" s="3">
        <f>IF(OR($N$1="",对接源_02物料!$C180="",对接源_02物料!$C180&lt;&gt;$N$1,对接源_02物料!$B180=""),0,IF(OR(N(对接源_02物料!$B180)&lt;$N$2,N(对接源_02物料!$B180)&gt;$N$3),0,1))</f>
        <v>0</v>
      </c>
      <c r="P1380" s="3">
        <f>IF(AND($K1380=1,AND(对接源_02物料!$X180="公司筐",N(对接源_02物料!$T180)&lt;&gt;0)),1,0)</f>
        <v>0</v>
      </c>
      <c r="Q1380" s="3">
        <f t="shared" si="369"/>
        <v>8</v>
      </c>
      <c r="R1380" s="3">
        <f>IF(AND($K1380=1,AND(对接源_02物料!$X180="公司筐",N(对接源_02物料!$U180)&lt;&gt;0)),1,0)</f>
        <v>0</v>
      </c>
      <c r="S1380" s="3">
        <f t="shared" si="370"/>
        <v>0</v>
      </c>
      <c r="T1380" s="3">
        <f>IF(AND($K1380=1,AND(对接源_02物料!$X180="公司筐",N(对接源_02物料!$V180)&lt;&gt;0)),1,0)</f>
        <v>0</v>
      </c>
      <c r="U1380" s="3">
        <f t="shared" si="371"/>
        <v>19</v>
      </c>
      <c r="V1380" s="3">
        <f>IF(AND($L1380=1,AND(对接源_02物料!$X180="自备筐",N(对接源_02物料!$V180)&lt;&gt;0)),1,0)</f>
        <v>0</v>
      </c>
      <c r="W1380" s="3">
        <f t="shared" si="372"/>
        <v>8</v>
      </c>
      <c r="X1380" s="3">
        <f>IF(AND($L1380=1,AND(对接源_02物料!$X180="自备筐",N(对接源_02物料!$T180)&lt;&gt;0)),1,0)</f>
        <v>0</v>
      </c>
      <c r="Y1380" s="3">
        <f t="shared" si="373"/>
        <v>0</v>
      </c>
      <c r="Z1380" s="3">
        <f>IF(AND($M1380=1,对接源_02物料!$D180="原料入库"),1,0)</f>
        <v>0</v>
      </c>
      <c r="AA1380" s="3">
        <f t="shared" si="374"/>
        <v>24</v>
      </c>
      <c r="AB1380" s="3">
        <f>IF(AND($M1380=1,LEFT(对接源_02物料!$D180,4)="原料出库"),1,0)</f>
        <v>0</v>
      </c>
      <c r="AC1380" s="3">
        <f t="shared" si="375"/>
        <v>0</v>
      </c>
      <c r="AD1380" s="3">
        <f>IF(AND($M1380=1,LEFT(对接源_02物料!$D180,4)="成品出库"),1,0)</f>
        <v>0</v>
      </c>
      <c r="AE1380" s="3">
        <f t="shared" si="376"/>
        <v>0</v>
      </c>
      <c r="AF1380" s="3">
        <f>IF(AND($N1380=1,AND(LEFT(对接源_02物料!$D180,4)="包装物料",N(对接源_02物料!$K180)&lt;&gt;0)),1,0)</f>
        <v>0</v>
      </c>
      <c r="AG1380" s="3">
        <f t="shared" si="377"/>
        <v>5</v>
      </c>
      <c r="AH1380" s="3">
        <f>IF(AND($N1380=1,AND(对接源_02物料!$D180="周转筐－销售出库",N(对接源_02物料!$K180)&lt;&gt;0)),1,0)</f>
        <v>0</v>
      </c>
      <c r="AI1380" s="3">
        <f t="shared" si="378"/>
        <v>0</v>
      </c>
      <c r="AL1380" s="3">
        <v>0</v>
      </c>
      <c r="AM1380" s="3">
        <f t="shared" si="379"/>
        <v>1</v>
      </c>
      <c r="AN1380" s="3" t="str">
        <f t="shared" si="366"/>
        <v/>
      </c>
      <c r="AO1380" s="3">
        <v>0</v>
      </c>
      <c r="AP1380" s="3">
        <f t="shared" si="380"/>
        <v>8</v>
      </c>
      <c r="AR1380">
        <f t="shared" si="381"/>
        <v>0</v>
      </c>
      <c r="AS1380">
        <f t="shared" si="382"/>
        <v>5</v>
      </c>
    </row>
    <row r="1381" customHeight="1" spans="1:45">
      <c r="A1381" s="3" t="str">
        <f>IF(对接源_02物料!$C181="","",对接源_02物料!$C181)</f>
        <v/>
      </c>
      <c r="B1381" s="3">
        <f t="shared" si="367"/>
        <v>0</v>
      </c>
      <c r="C1381" s="3">
        <f t="shared" si="368"/>
        <v>21</v>
      </c>
      <c r="K1381" s="3">
        <f>IF(OR($K$1="",对接源_02物料!$C181="",对接源_02物料!$C181&lt;&gt;$K$1,对接源_02物料!$B181=""),0,IF(OR(N(对接源_02物料!$B181)&lt;$K$2,N(对接源_02物料!$B181)&gt;$K$3),0,1))</f>
        <v>0</v>
      </c>
      <c r="L1381" s="3">
        <f>IF(OR($L$1="",对接源_02物料!$C181="",对接源_02物料!$C181&lt;&gt;$L$1,对接源_02物料!$B181=""),0,IF(OR(N(对接源_02物料!$B181)&lt;$L$2,N(对接源_02物料!$B181)&gt;$L$3),0,1))</f>
        <v>0</v>
      </c>
      <c r="M1381" s="3">
        <f>IF(OR($M$1="",对接源_02物料!$C181="",对接源_02物料!$C181&lt;&gt;$M$1,对接源_02物料!$B181=""),0,IF(OR(N(对接源_02物料!$B181)&lt;$M$2,N(对接源_02物料!$B181)&gt;$M$3),0,1))</f>
        <v>0</v>
      </c>
      <c r="N1381" s="3">
        <f>IF(OR($N$1="",对接源_02物料!$C181="",对接源_02物料!$C181&lt;&gt;$N$1,对接源_02物料!$B181=""),0,IF(OR(N(对接源_02物料!$B181)&lt;$N$2,N(对接源_02物料!$B181)&gt;$N$3),0,1))</f>
        <v>0</v>
      </c>
      <c r="P1381" s="3">
        <f>IF(AND($K1381=1,AND(对接源_02物料!$X181="公司筐",N(对接源_02物料!$T181)&lt;&gt;0)),1,0)</f>
        <v>0</v>
      </c>
      <c r="Q1381" s="3">
        <f t="shared" si="369"/>
        <v>8</v>
      </c>
      <c r="R1381" s="3">
        <f>IF(AND($K1381=1,AND(对接源_02物料!$X181="公司筐",N(对接源_02物料!$U181)&lt;&gt;0)),1,0)</f>
        <v>0</v>
      </c>
      <c r="S1381" s="3">
        <f t="shared" si="370"/>
        <v>0</v>
      </c>
      <c r="T1381" s="3">
        <f>IF(AND($K1381=1,AND(对接源_02物料!$X181="公司筐",N(对接源_02物料!$V181)&lt;&gt;0)),1,0)</f>
        <v>0</v>
      </c>
      <c r="U1381" s="3">
        <f t="shared" si="371"/>
        <v>19</v>
      </c>
      <c r="V1381" s="3">
        <f>IF(AND($L1381=1,AND(对接源_02物料!$X181="自备筐",N(对接源_02物料!$V181)&lt;&gt;0)),1,0)</f>
        <v>0</v>
      </c>
      <c r="W1381" s="3">
        <f t="shared" si="372"/>
        <v>8</v>
      </c>
      <c r="X1381" s="3">
        <f>IF(AND($L1381=1,AND(对接源_02物料!$X181="自备筐",N(对接源_02物料!$T181)&lt;&gt;0)),1,0)</f>
        <v>0</v>
      </c>
      <c r="Y1381" s="3">
        <f t="shared" si="373"/>
        <v>0</v>
      </c>
      <c r="Z1381" s="3">
        <f>IF(AND($M1381=1,对接源_02物料!$D181="原料入库"),1,0)</f>
        <v>0</v>
      </c>
      <c r="AA1381" s="3">
        <f t="shared" si="374"/>
        <v>24</v>
      </c>
      <c r="AB1381" s="3">
        <f>IF(AND($M1381=1,LEFT(对接源_02物料!$D181,4)="原料出库"),1,0)</f>
        <v>0</v>
      </c>
      <c r="AC1381" s="3">
        <f t="shared" si="375"/>
        <v>0</v>
      </c>
      <c r="AD1381" s="3">
        <f>IF(AND($M1381=1,LEFT(对接源_02物料!$D181,4)="成品出库"),1,0)</f>
        <v>0</v>
      </c>
      <c r="AE1381" s="3">
        <f t="shared" si="376"/>
        <v>0</v>
      </c>
      <c r="AF1381" s="3">
        <f>IF(AND($N1381=1,AND(LEFT(对接源_02物料!$D181,4)="包装物料",N(对接源_02物料!$K181)&lt;&gt;0)),1,0)</f>
        <v>0</v>
      </c>
      <c r="AG1381" s="3">
        <f t="shared" si="377"/>
        <v>5</v>
      </c>
      <c r="AH1381" s="3">
        <f>IF(AND($N1381=1,AND(对接源_02物料!$D181="周转筐－销售出库",N(对接源_02物料!$K181)&lt;&gt;0)),1,0)</f>
        <v>0</v>
      </c>
      <c r="AI1381" s="3">
        <f t="shared" si="378"/>
        <v>0</v>
      </c>
      <c r="AL1381" s="3">
        <v>0</v>
      </c>
      <c r="AM1381" s="3">
        <f t="shared" si="379"/>
        <v>1</v>
      </c>
      <c r="AN1381" s="3" t="str">
        <f t="shared" si="366"/>
        <v/>
      </c>
      <c r="AO1381" s="3">
        <v>0</v>
      </c>
      <c r="AP1381" s="3">
        <f t="shared" si="380"/>
        <v>8</v>
      </c>
      <c r="AR1381">
        <f t="shared" si="381"/>
        <v>0</v>
      </c>
      <c r="AS1381">
        <f t="shared" si="382"/>
        <v>5</v>
      </c>
    </row>
    <row r="1382" customHeight="1" spans="1:45">
      <c r="A1382" s="3" t="str">
        <f>IF(对接源_02物料!$C182="","",对接源_02物料!$C182)</f>
        <v/>
      </c>
      <c r="B1382" s="3">
        <f t="shared" si="367"/>
        <v>0</v>
      </c>
      <c r="C1382" s="3">
        <f t="shared" si="368"/>
        <v>21</v>
      </c>
      <c r="K1382" s="3">
        <f>IF(OR($K$1="",对接源_02物料!$C182="",对接源_02物料!$C182&lt;&gt;$K$1,对接源_02物料!$B182=""),0,IF(OR(N(对接源_02物料!$B182)&lt;$K$2,N(对接源_02物料!$B182)&gt;$K$3),0,1))</f>
        <v>0</v>
      </c>
      <c r="L1382" s="3">
        <f>IF(OR($L$1="",对接源_02物料!$C182="",对接源_02物料!$C182&lt;&gt;$L$1,对接源_02物料!$B182=""),0,IF(OR(N(对接源_02物料!$B182)&lt;$L$2,N(对接源_02物料!$B182)&gt;$L$3),0,1))</f>
        <v>0</v>
      </c>
      <c r="M1382" s="3">
        <f>IF(OR($M$1="",对接源_02物料!$C182="",对接源_02物料!$C182&lt;&gt;$M$1,对接源_02物料!$B182=""),0,IF(OR(N(对接源_02物料!$B182)&lt;$M$2,N(对接源_02物料!$B182)&gt;$M$3),0,1))</f>
        <v>0</v>
      </c>
      <c r="N1382" s="3">
        <f>IF(OR($N$1="",对接源_02物料!$C182="",对接源_02物料!$C182&lt;&gt;$N$1,对接源_02物料!$B182=""),0,IF(OR(N(对接源_02物料!$B182)&lt;$N$2,N(对接源_02物料!$B182)&gt;$N$3),0,1))</f>
        <v>0</v>
      </c>
      <c r="P1382" s="3">
        <f>IF(AND($K1382=1,AND(对接源_02物料!$X182="公司筐",N(对接源_02物料!$T182)&lt;&gt;0)),1,0)</f>
        <v>0</v>
      </c>
      <c r="Q1382" s="3">
        <f t="shared" si="369"/>
        <v>8</v>
      </c>
      <c r="R1382" s="3">
        <f>IF(AND($K1382=1,AND(对接源_02物料!$X182="公司筐",N(对接源_02物料!$U182)&lt;&gt;0)),1,0)</f>
        <v>0</v>
      </c>
      <c r="S1382" s="3">
        <f t="shared" si="370"/>
        <v>0</v>
      </c>
      <c r="T1382" s="3">
        <f>IF(AND($K1382=1,AND(对接源_02物料!$X182="公司筐",N(对接源_02物料!$V182)&lt;&gt;0)),1,0)</f>
        <v>0</v>
      </c>
      <c r="U1382" s="3">
        <f t="shared" si="371"/>
        <v>19</v>
      </c>
      <c r="V1382" s="3">
        <f>IF(AND($L1382=1,AND(对接源_02物料!$X182="自备筐",N(对接源_02物料!$V182)&lt;&gt;0)),1,0)</f>
        <v>0</v>
      </c>
      <c r="W1382" s="3">
        <f t="shared" si="372"/>
        <v>8</v>
      </c>
      <c r="X1382" s="3">
        <f>IF(AND($L1382=1,AND(对接源_02物料!$X182="自备筐",N(对接源_02物料!$T182)&lt;&gt;0)),1,0)</f>
        <v>0</v>
      </c>
      <c r="Y1382" s="3">
        <f t="shared" si="373"/>
        <v>0</v>
      </c>
      <c r="Z1382" s="3">
        <f>IF(AND($M1382=1,对接源_02物料!$D182="原料入库"),1,0)</f>
        <v>0</v>
      </c>
      <c r="AA1382" s="3">
        <f t="shared" si="374"/>
        <v>24</v>
      </c>
      <c r="AB1382" s="3">
        <f>IF(AND($M1382=1,LEFT(对接源_02物料!$D182,4)="原料出库"),1,0)</f>
        <v>0</v>
      </c>
      <c r="AC1382" s="3">
        <f t="shared" si="375"/>
        <v>0</v>
      </c>
      <c r="AD1382" s="3">
        <f>IF(AND($M1382=1,LEFT(对接源_02物料!$D182,4)="成品出库"),1,0)</f>
        <v>0</v>
      </c>
      <c r="AE1382" s="3">
        <f t="shared" si="376"/>
        <v>0</v>
      </c>
      <c r="AF1382" s="3">
        <f>IF(AND($N1382=1,AND(LEFT(对接源_02物料!$D182,4)="包装物料",N(对接源_02物料!$K182)&lt;&gt;0)),1,0)</f>
        <v>0</v>
      </c>
      <c r="AG1382" s="3">
        <f t="shared" si="377"/>
        <v>5</v>
      </c>
      <c r="AH1382" s="3">
        <f>IF(AND($N1382=1,AND(对接源_02物料!$D182="周转筐－销售出库",N(对接源_02物料!$K182)&lt;&gt;0)),1,0)</f>
        <v>0</v>
      </c>
      <c r="AI1382" s="3">
        <f t="shared" si="378"/>
        <v>0</v>
      </c>
      <c r="AL1382" s="3">
        <v>0</v>
      </c>
      <c r="AM1382" s="3">
        <f t="shared" si="379"/>
        <v>1</v>
      </c>
      <c r="AN1382" s="3" t="str">
        <f t="shared" si="366"/>
        <v/>
      </c>
      <c r="AO1382" s="3">
        <v>0</v>
      </c>
      <c r="AP1382" s="3">
        <f t="shared" si="380"/>
        <v>8</v>
      </c>
      <c r="AR1382">
        <f t="shared" si="381"/>
        <v>0</v>
      </c>
      <c r="AS1382">
        <f t="shared" si="382"/>
        <v>5</v>
      </c>
    </row>
    <row r="1383" customHeight="1" spans="1:45">
      <c r="A1383" s="3" t="str">
        <f>IF(对接源_02物料!$C183="","",对接源_02物料!$C183)</f>
        <v/>
      </c>
      <c r="B1383" s="3">
        <f t="shared" si="367"/>
        <v>0</v>
      </c>
      <c r="C1383" s="3">
        <f t="shared" si="368"/>
        <v>21</v>
      </c>
      <c r="K1383" s="3">
        <f>IF(OR($K$1="",对接源_02物料!$C183="",对接源_02物料!$C183&lt;&gt;$K$1,对接源_02物料!$B183=""),0,IF(OR(N(对接源_02物料!$B183)&lt;$K$2,N(对接源_02物料!$B183)&gt;$K$3),0,1))</f>
        <v>0</v>
      </c>
      <c r="L1383" s="3">
        <f>IF(OR($L$1="",对接源_02物料!$C183="",对接源_02物料!$C183&lt;&gt;$L$1,对接源_02物料!$B183=""),0,IF(OR(N(对接源_02物料!$B183)&lt;$L$2,N(对接源_02物料!$B183)&gt;$L$3),0,1))</f>
        <v>0</v>
      </c>
      <c r="M1383" s="3">
        <f>IF(OR($M$1="",对接源_02物料!$C183="",对接源_02物料!$C183&lt;&gt;$M$1,对接源_02物料!$B183=""),0,IF(OR(N(对接源_02物料!$B183)&lt;$M$2,N(对接源_02物料!$B183)&gt;$M$3),0,1))</f>
        <v>0</v>
      </c>
      <c r="N1383" s="3">
        <f>IF(OR($N$1="",对接源_02物料!$C183="",对接源_02物料!$C183&lt;&gt;$N$1,对接源_02物料!$B183=""),0,IF(OR(N(对接源_02物料!$B183)&lt;$N$2,N(对接源_02物料!$B183)&gt;$N$3),0,1))</f>
        <v>0</v>
      </c>
      <c r="P1383" s="3">
        <f>IF(AND($K1383=1,AND(对接源_02物料!$X183="公司筐",N(对接源_02物料!$T183)&lt;&gt;0)),1,0)</f>
        <v>0</v>
      </c>
      <c r="Q1383" s="3">
        <f t="shared" si="369"/>
        <v>8</v>
      </c>
      <c r="R1383" s="3">
        <f>IF(AND($K1383=1,AND(对接源_02物料!$X183="公司筐",N(对接源_02物料!$U183)&lt;&gt;0)),1,0)</f>
        <v>0</v>
      </c>
      <c r="S1383" s="3">
        <f t="shared" si="370"/>
        <v>0</v>
      </c>
      <c r="T1383" s="3">
        <f>IF(AND($K1383=1,AND(对接源_02物料!$X183="公司筐",N(对接源_02物料!$V183)&lt;&gt;0)),1,0)</f>
        <v>0</v>
      </c>
      <c r="U1383" s="3">
        <f t="shared" si="371"/>
        <v>19</v>
      </c>
      <c r="V1383" s="3">
        <f>IF(AND($L1383=1,AND(对接源_02物料!$X183="自备筐",N(对接源_02物料!$V183)&lt;&gt;0)),1,0)</f>
        <v>0</v>
      </c>
      <c r="W1383" s="3">
        <f t="shared" si="372"/>
        <v>8</v>
      </c>
      <c r="X1383" s="3">
        <f>IF(AND($L1383=1,AND(对接源_02物料!$X183="自备筐",N(对接源_02物料!$T183)&lt;&gt;0)),1,0)</f>
        <v>0</v>
      </c>
      <c r="Y1383" s="3">
        <f t="shared" si="373"/>
        <v>0</v>
      </c>
      <c r="Z1383" s="3">
        <f>IF(AND($M1383=1,对接源_02物料!$D183="原料入库"),1,0)</f>
        <v>0</v>
      </c>
      <c r="AA1383" s="3">
        <f t="shared" si="374"/>
        <v>24</v>
      </c>
      <c r="AB1383" s="3">
        <f>IF(AND($M1383=1,LEFT(对接源_02物料!$D183,4)="原料出库"),1,0)</f>
        <v>0</v>
      </c>
      <c r="AC1383" s="3">
        <f t="shared" si="375"/>
        <v>0</v>
      </c>
      <c r="AD1383" s="3">
        <f>IF(AND($M1383=1,LEFT(对接源_02物料!$D183,4)="成品出库"),1,0)</f>
        <v>0</v>
      </c>
      <c r="AE1383" s="3">
        <f t="shared" si="376"/>
        <v>0</v>
      </c>
      <c r="AF1383" s="3">
        <f>IF(AND($N1383=1,AND(LEFT(对接源_02物料!$D183,4)="包装物料",N(对接源_02物料!$K183)&lt;&gt;0)),1,0)</f>
        <v>0</v>
      </c>
      <c r="AG1383" s="3">
        <f t="shared" si="377"/>
        <v>5</v>
      </c>
      <c r="AH1383" s="3">
        <f>IF(AND($N1383=1,AND(对接源_02物料!$D183="周转筐－销售出库",N(对接源_02物料!$K183)&lt;&gt;0)),1,0)</f>
        <v>0</v>
      </c>
      <c r="AI1383" s="3">
        <f t="shared" si="378"/>
        <v>0</v>
      </c>
      <c r="AL1383" s="3">
        <v>0</v>
      </c>
      <c r="AM1383" s="3">
        <f t="shared" si="379"/>
        <v>1</v>
      </c>
      <c r="AN1383" s="3" t="str">
        <f t="shared" si="366"/>
        <v/>
      </c>
      <c r="AO1383" s="3">
        <v>0</v>
      </c>
      <c r="AP1383" s="3">
        <f t="shared" si="380"/>
        <v>8</v>
      </c>
      <c r="AR1383">
        <f t="shared" si="381"/>
        <v>0</v>
      </c>
      <c r="AS1383">
        <f t="shared" si="382"/>
        <v>5</v>
      </c>
    </row>
    <row r="1384" customHeight="1" spans="1:45">
      <c r="A1384" s="3" t="str">
        <f>IF(对接源_02物料!$C184="","",对接源_02物料!$C184)</f>
        <v/>
      </c>
      <c r="B1384" s="3">
        <f t="shared" si="367"/>
        <v>0</v>
      </c>
      <c r="C1384" s="3">
        <f t="shared" si="368"/>
        <v>21</v>
      </c>
      <c r="K1384" s="3">
        <f>IF(OR($K$1="",对接源_02物料!$C184="",对接源_02物料!$C184&lt;&gt;$K$1,对接源_02物料!$B184=""),0,IF(OR(N(对接源_02物料!$B184)&lt;$K$2,N(对接源_02物料!$B184)&gt;$K$3),0,1))</f>
        <v>0</v>
      </c>
      <c r="L1384" s="3">
        <f>IF(OR($L$1="",对接源_02物料!$C184="",对接源_02物料!$C184&lt;&gt;$L$1,对接源_02物料!$B184=""),0,IF(OR(N(对接源_02物料!$B184)&lt;$L$2,N(对接源_02物料!$B184)&gt;$L$3),0,1))</f>
        <v>0</v>
      </c>
      <c r="M1384" s="3">
        <f>IF(OR($M$1="",对接源_02物料!$C184="",对接源_02物料!$C184&lt;&gt;$M$1,对接源_02物料!$B184=""),0,IF(OR(N(对接源_02物料!$B184)&lt;$M$2,N(对接源_02物料!$B184)&gt;$M$3),0,1))</f>
        <v>0</v>
      </c>
      <c r="N1384" s="3">
        <f>IF(OR($N$1="",对接源_02物料!$C184="",对接源_02物料!$C184&lt;&gt;$N$1,对接源_02物料!$B184=""),0,IF(OR(N(对接源_02物料!$B184)&lt;$N$2,N(对接源_02物料!$B184)&gt;$N$3),0,1))</f>
        <v>0</v>
      </c>
      <c r="P1384" s="3">
        <f>IF(AND($K1384=1,AND(对接源_02物料!$X184="公司筐",N(对接源_02物料!$T184)&lt;&gt;0)),1,0)</f>
        <v>0</v>
      </c>
      <c r="Q1384" s="3">
        <f t="shared" si="369"/>
        <v>8</v>
      </c>
      <c r="R1384" s="3">
        <f>IF(AND($K1384=1,AND(对接源_02物料!$X184="公司筐",N(对接源_02物料!$U184)&lt;&gt;0)),1,0)</f>
        <v>0</v>
      </c>
      <c r="S1384" s="3">
        <f t="shared" si="370"/>
        <v>0</v>
      </c>
      <c r="T1384" s="3">
        <f>IF(AND($K1384=1,AND(对接源_02物料!$X184="公司筐",N(对接源_02物料!$V184)&lt;&gt;0)),1,0)</f>
        <v>0</v>
      </c>
      <c r="U1384" s="3">
        <f t="shared" si="371"/>
        <v>19</v>
      </c>
      <c r="V1384" s="3">
        <f>IF(AND($L1384=1,AND(对接源_02物料!$X184="自备筐",N(对接源_02物料!$V184)&lt;&gt;0)),1,0)</f>
        <v>0</v>
      </c>
      <c r="W1384" s="3">
        <f t="shared" si="372"/>
        <v>8</v>
      </c>
      <c r="X1384" s="3">
        <f>IF(AND($L1384=1,AND(对接源_02物料!$X184="自备筐",N(对接源_02物料!$T184)&lt;&gt;0)),1,0)</f>
        <v>0</v>
      </c>
      <c r="Y1384" s="3">
        <f t="shared" si="373"/>
        <v>0</v>
      </c>
      <c r="Z1384" s="3">
        <f>IF(AND($M1384=1,对接源_02物料!$D184="原料入库"),1,0)</f>
        <v>0</v>
      </c>
      <c r="AA1384" s="3">
        <f t="shared" si="374"/>
        <v>24</v>
      </c>
      <c r="AB1384" s="3">
        <f>IF(AND($M1384=1,LEFT(对接源_02物料!$D184,4)="原料出库"),1,0)</f>
        <v>0</v>
      </c>
      <c r="AC1384" s="3">
        <f t="shared" si="375"/>
        <v>0</v>
      </c>
      <c r="AD1384" s="3">
        <f>IF(AND($M1384=1,LEFT(对接源_02物料!$D184,4)="成品出库"),1,0)</f>
        <v>0</v>
      </c>
      <c r="AE1384" s="3">
        <f t="shared" si="376"/>
        <v>0</v>
      </c>
      <c r="AF1384" s="3">
        <f>IF(AND($N1384=1,AND(LEFT(对接源_02物料!$D184,4)="包装物料",N(对接源_02物料!$K184)&lt;&gt;0)),1,0)</f>
        <v>0</v>
      </c>
      <c r="AG1384" s="3">
        <f t="shared" si="377"/>
        <v>5</v>
      </c>
      <c r="AH1384" s="3">
        <f>IF(AND($N1384=1,AND(对接源_02物料!$D184="周转筐－销售出库",N(对接源_02物料!$K184)&lt;&gt;0)),1,0)</f>
        <v>0</v>
      </c>
      <c r="AI1384" s="3">
        <f t="shared" si="378"/>
        <v>0</v>
      </c>
      <c r="AL1384" s="3">
        <v>0</v>
      </c>
      <c r="AM1384" s="3">
        <f t="shared" si="379"/>
        <v>1</v>
      </c>
      <c r="AN1384" s="3" t="str">
        <f t="shared" si="366"/>
        <v/>
      </c>
      <c r="AO1384" s="3">
        <v>0</v>
      </c>
      <c r="AP1384" s="3">
        <f t="shared" si="380"/>
        <v>8</v>
      </c>
      <c r="AR1384">
        <f t="shared" si="381"/>
        <v>0</v>
      </c>
      <c r="AS1384">
        <f t="shared" si="382"/>
        <v>5</v>
      </c>
    </row>
    <row r="1385" customHeight="1" spans="1:45">
      <c r="A1385" s="3" t="str">
        <f>IF(对接源_02物料!$C185="","",对接源_02物料!$C185)</f>
        <v/>
      </c>
      <c r="B1385" s="3">
        <f t="shared" si="367"/>
        <v>0</v>
      </c>
      <c r="C1385" s="3">
        <f t="shared" si="368"/>
        <v>21</v>
      </c>
      <c r="K1385" s="3">
        <f>IF(OR($K$1="",对接源_02物料!$C185="",对接源_02物料!$C185&lt;&gt;$K$1,对接源_02物料!$B185=""),0,IF(OR(N(对接源_02物料!$B185)&lt;$K$2,N(对接源_02物料!$B185)&gt;$K$3),0,1))</f>
        <v>0</v>
      </c>
      <c r="L1385" s="3">
        <f>IF(OR($L$1="",对接源_02物料!$C185="",对接源_02物料!$C185&lt;&gt;$L$1,对接源_02物料!$B185=""),0,IF(OR(N(对接源_02物料!$B185)&lt;$L$2,N(对接源_02物料!$B185)&gt;$L$3),0,1))</f>
        <v>0</v>
      </c>
      <c r="M1385" s="3">
        <f>IF(OR($M$1="",对接源_02物料!$C185="",对接源_02物料!$C185&lt;&gt;$M$1,对接源_02物料!$B185=""),0,IF(OR(N(对接源_02物料!$B185)&lt;$M$2,N(对接源_02物料!$B185)&gt;$M$3),0,1))</f>
        <v>0</v>
      </c>
      <c r="N1385" s="3">
        <f>IF(OR($N$1="",对接源_02物料!$C185="",对接源_02物料!$C185&lt;&gt;$N$1,对接源_02物料!$B185=""),0,IF(OR(N(对接源_02物料!$B185)&lt;$N$2,N(对接源_02物料!$B185)&gt;$N$3),0,1))</f>
        <v>0</v>
      </c>
      <c r="P1385" s="3">
        <f>IF(AND($K1385=1,AND(对接源_02物料!$X185="公司筐",N(对接源_02物料!$T185)&lt;&gt;0)),1,0)</f>
        <v>0</v>
      </c>
      <c r="Q1385" s="3">
        <f t="shared" si="369"/>
        <v>8</v>
      </c>
      <c r="R1385" s="3">
        <f>IF(AND($K1385=1,AND(对接源_02物料!$X185="公司筐",N(对接源_02物料!$U185)&lt;&gt;0)),1,0)</f>
        <v>0</v>
      </c>
      <c r="S1385" s="3">
        <f t="shared" si="370"/>
        <v>0</v>
      </c>
      <c r="T1385" s="3">
        <f>IF(AND($K1385=1,AND(对接源_02物料!$X185="公司筐",N(对接源_02物料!$V185)&lt;&gt;0)),1,0)</f>
        <v>0</v>
      </c>
      <c r="U1385" s="3">
        <f t="shared" si="371"/>
        <v>19</v>
      </c>
      <c r="V1385" s="3">
        <f>IF(AND($L1385=1,AND(对接源_02物料!$X185="自备筐",N(对接源_02物料!$V185)&lt;&gt;0)),1,0)</f>
        <v>0</v>
      </c>
      <c r="W1385" s="3">
        <f t="shared" si="372"/>
        <v>8</v>
      </c>
      <c r="X1385" s="3">
        <f>IF(AND($L1385=1,AND(对接源_02物料!$X185="自备筐",N(对接源_02物料!$T185)&lt;&gt;0)),1,0)</f>
        <v>0</v>
      </c>
      <c r="Y1385" s="3">
        <f t="shared" si="373"/>
        <v>0</v>
      </c>
      <c r="Z1385" s="3">
        <f>IF(AND($M1385=1,对接源_02物料!$D185="原料入库"),1,0)</f>
        <v>0</v>
      </c>
      <c r="AA1385" s="3">
        <f t="shared" si="374"/>
        <v>24</v>
      </c>
      <c r="AB1385" s="3">
        <f>IF(AND($M1385=1,LEFT(对接源_02物料!$D185,4)="原料出库"),1,0)</f>
        <v>0</v>
      </c>
      <c r="AC1385" s="3">
        <f t="shared" si="375"/>
        <v>0</v>
      </c>
      <c r="AD1385" s="3">
        <f>IF(AND($M1385=1,LEFT(对接源_02物料!$D185,4)="成品出库"),1,0)</f>
        <v>0</v>
      </c>
      <c r="AE1385" s="3">
        <f t="shared" si="376"/>
        <v>0</v>
      </c>
      <c r="AF1385" s="3">
        <f>IF(AND($N1385=1,AND(LEFT(对接源_02物料!$D185,4)="包装物料",N(对接源_02物料!$K185)&lt;&gt;0)),1,0)</f>
        <v>0</v>
      </c>
      <c r="AG1385" s="3">
        <f t="shared" si="377"/>
        <v>5</v>
      </c>
      <c r="AH1385" s="3">
        <f>IF(AND($N1385=1,AND(对接源_02物料!$D185="周转筐－销售出库",N(对接源_02物料!$K185)&lt;&gt;0)),1,0)</f>
        <v>0</v>
      </c>
      <c r="AI1385" s="3">
        <f t="shared" si="378"/>
        <v>0</v>
      </c>
      <c r="AL1385" s="3">
        <v>0</v>
      </c>
      <c r="AM1385" s="3">
        <f t="shared" si="379"/>
        <v>1</v>
      </c>
      <c r="AN1385" s="3" t="str">
        <f t="shared" si="366"/>
        <v/>
      </c>
      <c r="AO1385" s="3">
        <v>0</v>
      </c>
      <c r="AP1385" s="3">
        <f t="shared" si="380"/>
        <v>8</v>
      </c>
      <c r="AR1385">
        <f t="shared" si="381"/>
        <v>0</v>
      </c>
      <c r="AS1385">
        <f t="shared" si="382"/>
        <v>5</v>
      </c>
    </row>
    <row r="1386" customHeight="1" spans="1:45">
      <c r="A1386" s="3" t="str">
        <f>IF(对接源_02物料!$C186="","",对接源_02物料!$C186)</f>
        <v/>
      </c>
      <c r="B1386" s="3">
        <f t="shared" si="367"/>
        <v>0</v>
      </c>
      <c r="C1386" s="3">
        <f t="shared" si="368"/>
        <v>21</v>
      </c>
      <c r="K1386" s="3">
        <f>IF(OR($K$1="",对接源_02物料!$C186="",对接源_02物料!$C186&lt;&gt;$K$1,对接源_02物料!$B186=""),0,IF(OR(N(对接源_02物料!$B186)&lt;$K$2,N(对接源_02物料!$B186)&gt;$K$3),0,1))</f>
        <v>0</v>
      </c>
      <c r="L1386" s="3">
        <f>IF(OR($L$1="",对接源_02物料!$C186="",对接源_02物料!$C186&lt;&gt;$L$1,对接源_02物料!$B186=""),0,IF(OR(N(对接源_02物料!$B186)&lt;$L$2,N(对接源_02物料!$B186)&gt;$L$3),0,1))</f>
        <v>0</v>
      </c>
      <c r="M1386" s="3">
        <f>IF(OR($M$1="",对接源_02物料!$C186="",对接源_02物料!$C186&lt;&gt;$M$1,对接源_02物料!$B186=""),0,IF(OR(N(对接源_02物料!$B186)&lt;$M$2,N(对接源_02物料!$B186)&gt;$M$3),0,1))</f>
        <v>0</v>
      </c>
      <c r="N1386" s="3">
        <f>IF(OR($N$1="",对接源_02物料!$C186="",对接源_02物料!$C186&lt;&gt;$N$1,对接源_02物料!$B186=""),0,IF(OR(N(对接源_02物料!$B186)&lt;$N$2,N(对接源_02物料!$B186)&gt;$N$3),0,1))</f>
        <v>0</v>
      </c>
      <c r="P1386" s="3">
        <f>IF(AND($K1386=1,AND(对接源_02物料!$X186="公司筐",N(对接源_02物料!$T186)&lt;&gt;0)),1,0)</f>
        <v>0</v>
      </c>
      <c r="Q1386" s="3">
        <f t="shared" si="369"/>
        <v>8</v>
      </c>
      <c r="R1386" s="3">
        <f>IF(AND($K1386=1,AND(对接源_02物料!$X186="公司筐",N(对接源_02物料!$U186)&lt;&gt;0)),1,0)</f>
        <v>0</v>
      </c>
      <c r="S1386" s="3">
        <f t="shared" si="370"/>
        <v>0</v>
      </c>
      <c r="T1386" s="3">
        <f>IF(AND($K1386=1,AND(对接源_02物料!$X186="公司筐",N(对接源_02物料!$V186)&lt;&gt;0)),1,0)</f>
        <v>0</v>
      </c>
      <c r="U1386" s="3">
        <f t="shared" si="371"/>
        <v>19</v>
      </c>
      <c r="V1386" s="3">
        <f>IF(AND($L1386=1,AND(对接源_02物料!$X186="自备筐",N(对接源_02物料!$V186)&lt;&gt;0)),1,0)</f>
        <v>0</v>
      </c>
      <c r="W1386" s="3">
        <f t="shared" si="372"/>
        <v>8</v>
      </c>
      <c r="X1386" s="3">
        <f>IF(AND($L1386=1,AND(对接源_02物料!$X186="自备筐",N(对接源_02物料!$T186)&lt;&gt;0)),1,0)</f>
        <v>0</v>
      </c>
      <c r="Y1386" s="3">
        <f t="shared" si="373"/>
        <v>0</v>
      </c>
      <c r="Z1386" s="3">
        <f>IF(AND($M1386=1,对接源_02物料!$D186="原料入库"),1,0)</f>
        <v>0</v>
      </c>
      <c r="AA1386" s="3">
        <f t="shared" si="374"/>
        <v>24</v>
      </c>
      <c r="AB1386" s="3">
        <f>IF(AND($M1386=1,LEFT(对接源_02物料!$D186,4)="原料出库"),1,0)</f>
        <v>0</v>
      </c>
      <c r="AC1386" s="3">
        <f t="shared" si="375"/>
        <v>0</v>
      </c>
      <c r="AD1386" s="3">
        <f>IF(AND($M1386=1,LEFT(对接源_02物料!$D186,4)="成品出库"),1,0)</f>
        <v>0</v>
      </c>
      <c r="AE1386" s="3">
        <f t="shared" si="376"/>
        <v>0</v>
      </c>
      <c r="AF1386" s="3">
        <f>IF(AND($N1386=1,AND(LEFT(对接源_02物料!$D186,4)="包装物料",N(对接源_02物料!$K186)&lt;&gt;0)),1,0)</f>
        <v>0</v>
      </c>
      <c r="AG1386" s="3">
        <f t="shared" si="377"/>
        <v>5</v>
      </c>
      <c r="AH1386" s="3">
        <f>IF(AND($N1386=1,AND(对接源_02物料!$D186="周转筐－销售出库",N(对接源_02物料!$K186)&lt;&gt;0)),1,0)</f>
        <v>0</v>
      </c>
      <c r="AI1386" s="3">
        <f t="shared" si="378"/>
        <v>0</v>
      </c>
      <c r="AL1386" s="3">
        <v>0</v>
      </c>
      <c r="AM1386" s="3">
        <f t="shared" si="379"/>
        <v>1</v>
      </c>
      <c r="AN1386" s="3" t="str">
        <f t="shared" si="366"/>
        <v/>
      </c>
      <c r="AO1386" s="3">
        <v>0</v>
      </c>
      <c r="AP1386" s="3">
        <f t="shared" si="380"/>
        <v>8</v>
      </c>
      <c r="AR1386">
        <f t="shared" si="381"/>
        <v>0</v>
      </c>
      <c r="AS1386">
        <f t="shared" si="382"/>
        <v>5</v>
      </c>
    </row>
    <row r="1387" customHeight="1" spans="1:45">
      <c r="A1387" s="3" t="str">
        <f>IF(对接源_02物料!$C187="","",对接源_02物料!$C187)</f>
        <v/>
      </c>
      <c r="B1387" s="3">
        <f t="shared" si="367"/>
        <v>0</v>
      </c>
      <c r="C1387" s="3">
        <f t="shared" si="368"/>
        <v>21</v>
      </c>
      <c r="K1387" s="3">
        <f>IF(OR($K$1="",对接源_02物料!$C187="",对接源_02物料!$C187&lt;&gt;$K$1,对接源_02物料!$B187=""),0,IF(OR(N(对接源_02物料!$B187)&lt;$K$2,N(对接源_02物料!$B187)&gt;$K$3),0,1))</f>
        <v>0</v>
      </c>
      <c r="L1387" s="3">
        <f>IF(OR($L$1="",对接源_02物料!$C187="",对接源_02物料!$C187&lt;&gt;$L$1,对接源_02物料!$B187=""),0,IF(OR(N(对接源_02物料!$B187)&lt;$L$2,N(对接源_02物料!$B187)&gt;$L$3),0,1))</f>
        <v>0</v>
      </c>
      <c r="M1387" s="3">
        <f>IF(OR($M$1="",对接源_02物料!$C187="",对接源_02物料!$C187&lt;&gt;$M$1,对接源_02物料!$B187=""),0,IF(OR(N(对接源_02物料!$B187)&lt;$M$2,N(对接源_02物料!$B187)&gt;$M$3),0,1))</f>
        <v>0</v>
      </c>
      <c r="N1387" s="3">
        <f>IF(OR($N$1="",对接源_02物料!$C187="",对接源_02物料!$C187&lt;&gt;$N$1,对接源_02物料!$B187=""),0,IF(OR(N(对接源_02物料!$B187)&lt;$N$2,N(对接源_02物料!$B187)&gt;$N$3),0,1))</f>
        <v>0</v>
      </c>
      <c r="P1387" s="3">
        <f>IF(AND($K1387=1,AND(对接源_02物料!$X187="公司筐",N(对接源_02物料!$T187)&lt;&gt;0)),1,0)</f>
        <v>0</v>
      </c>
      <c r="Q1387" s="3">
        <f t="shared" si="369"/>
        <v>8</v>
      </c>
      <c r="R1387" s="3">
        <f>IF(AND($K1387=1,AND(对接源_02物料!$X187="公司筐",N(对接源_02物料!$U187)&lt;&gt;0)),1,0)</f>
        <v>0</v>
      </c>
      <c r="S1387" s="3">
        <f t="shared" si="370"/>
        <v>0</v>
      </c>
      <c r="T1387" s="3">
        <f>IF(AND($K1387=1,AND(对接源_02物料!$X187="公司筐",N(对接源_02物料!$V187)&lt;&gt;0)),1,0)</f>
        <v>0</v>
      </c>
      <c r="U1387" s="3">
        <f t="shared" si="371"/>
        <v>19</v>
      </c>
      <c r="V1387" s="3">
        <f>IF(AND($L1387=1,AND(对接源_02物料!$X187="自备筐",N(对接源_02物料!$V187)&lt;&gt;0)),1,0)</f>
        <v>0</v>
      </c>
      <c r="W1387" s="3">
        <f t="shared" si="372"/>
        <v>8</v>
      </c>
      <c r="X1387" s="3">
        <f>IF(AND($L1387=1,AND(对接源_02物料!$X187="自备筐",N(对接源_02物料!$T187)&lt;&gt;0)),1,0)</f>
        <v>0</v>
      </c>
      <c r="Y1387" s="3">
        <f t="shared" si="373"/>
        <v>0</v>
      </c>
      <c r="Z1387" s="3">
        <f>IF(AND($M1387=1,对接源_02物料!$D187="原料入库"),1,0)</f>
        <v>0</v>
      </c>
      <c r="AA1387" s="3">
        <f t="shared" si="374"/>
        <v>24</v>
      </c>
      <c r="AB1387" s="3">
        <f>IF(AND($M1387=1,LEFT(对接源_02物料!$D187,4)="原料出库"),1,0)</f>
        <v>0</v>
      </c>
      <c r="AC1387" s="3">
        <f t="shared" si="375"/>
        <v>0</v>
      </c>
      <c r="AD1387" s="3">
        <f>IF(AND($M1387=1,LEFT(对接源_02物料!$D187,4)="成品出库"),1,0)</f>
        <v>0</v>
      </c>
      <c r="AE1387" s="3">
        <f t="shared" si="376"/>
        <v>0</v>
      </c>
      <c r="AF1387" s="3">
        <f>IF(AND($N1387=1,AND(LEFT(对接源_02物料!$D187,4)="包装物料",N(对接源_02物料!$K187)&lt;&gt;0)),1,0)</f>
        <v>0</v>
      </c>
      <c r="AG1387" s="3">
        <f t="shared" si="377"/>
        <v>5</v>
      </c>
      <c r="AH1387" s="3">
        <f>IF(AND($N1387=1,AND(对接源_02物料!$D187="周转筐－销售出库",N(对接源_02物料!$K187)&lt;&gt;0)),1,0)</f>
        <v>0</v>
      </c>
      <c r="AI1387" s="3">
        <f t="shared" si="378"/>
        <v>0</v>
      </c>
      <c r="AL1387" s="3">
        <v>0</v>
      </c>
      <c r="AM1387" s="3">
        <f t="shared" si="379"/>
        <v>1</v>
      </c>
      <c r="AN1387" s="3" t="str">
        <f t="shared" si="366"/>
        <v/>
      </c>
      <c r="AO1387" s="3">
        <v>0</v>
      </c>
      <c r="AP1387" s="3">
        <f t="shared" si="380"/>
        <v>8</v>
      </c>
      <c r="AR1387">
        <f t="shared" si="381"/>
        <v>0</v>
      </c>
      <c r="AS1387">
        <f t="shared" si="382"/>
        <v>5</v>
      </c>
    </row>
    <row r="1388" customHeight="1" spans="1:45">
      <c r="A1388" s="3" t="str">
        <f>IF(对接源_02物料!$C188="","",对接源_02物料!$C188)</f>
        <v/>
      </c>
      <c r="B1388" s="3">
        <f t="shared" si="367"/>
        <v>0</v>
      </c>
      <c r="C1388" s="3">
        <f t="shared" si="368"/>
        <v>21</v>
      </c>
      <c r="K1388" s="3">
        <f>IF(OR($K$1="",对接源_02物料!$C188="",对接源_02物料!$C188&lt;&gt;$K$1,对接源_02物料!$B188=""),0,IF(OR(N(对接源_02物料!$B188)&lt;$K$2,N(对接源_02物料!$B188)&gt;$K$3),0,1))</f>
        <v>0</v>
      </c>
      <c r="L1388" s="3">
        <f>IF(OR($L$1="",对接源_02物料!$C188="",对接源_02物料!$C188&lt;&gt;$L$1,对接源_02物料!$B188=""),0,IF(OR(N(对接源_02物料!$B188)&lt;$L$2,N(对接源_02物料!$B188)&gt;$L$3),0,1))</f>
        <v>0</v>
      </c>
      <c r="M1388" s="3">
        <f>IF(OR($M$1="",对接源_02物料!$C188="",对接源_02物料!$C188&lt;&gt;$M$1,对接源_02物料!$B188=""),0,IF(OR(N(对接源_02物料!$B188)&lt;$M$2,N(对接源_02物料!$B188)&gt;$M$3),0,1))</f>
        <v>0</v>
      </c>
      <c r="N1388" s="3">
        <f>IF(OR($N$1="",对接源_02物料!$C188="",对接源_02物料!$C188&lt;&gt;$N$1,对接源_02物料!$B188=""),0,IF(OR(N(对接源_02物料!$B188)&lt;$N$2,N(对接源_02物料!$B188)&gt;$N$3),0,1))</f>
        <v>0</v>
      </c>
      <c r="P1388" s="3">
        <f>IF(AND($K1388=1,AND(对接源_02物料!$X188="公司筐",N(对接源_02物料!$T188)&lt;&gt;0)),1,0)</f>
        <v>0</v>
      </c>
      <c r="Q1388" s="3">
        <f t="shared" si="369"/>
        <v>8</v>
      </c>
      <c r="R1388" s="3">
        <f>IF(AND($K1388=1,AND(对接源_02物料!$X188="公司筐",N(对接源_02物料!$U188)&lt;&gt;0)),1,0)</f>
        <v>0</v>
      </c>
      <c r="S1388" s="3">
        <f t="shared" si="370"/>
        <v>0</v>
      </c>
      <c r="T1388" s="3">
        <f>IF(AND($K1388=1,AND(对接源_02物料!$X188="公司筐",N(对接源_02物料!$V188)&lt;&gt;0)),1,0)</f>
        <v>0</v>
      </c>
      <c r="U1388" s="3">
        <f t="shared" si="371"/>
        <v>19</v>
      </c>
      <c r="V1388" s="3">
        <f>IF(AND($L1388=1,AND(对接源_02物料!$X188="自备筐",N(对接源_02物料!$V188)&lt;&gt;0)),1,0)</f>
        <v>0</v>
      </c>
      <c r="W1388" s="3">
        <f t="shared" si="372"/>
        <v>8</v>
      </c>
      <c r="X1388" s="3">
        <f>IF(AND($L1388=1,AND(对接源_02物料!$X188="自备筐",N(对接源_02物料!$T188)&lt;&gt;0)),1,0)</f>
        <v>0</v>
      </c>
      <c r="Y1388" s="3">
        <f t="shared" si="373"/>
        <v>0</v>
      </c>
      <c r="Z1388" s="3">
        <f>IF(AND($M1388=1,对接源_02物料!$D188="原料入库"),1,0)</f>
        <v>0</v>
      </c>
      <c r="AA1388" s="3">
        <f t="shared" si="374"/>
        <v>24</v>
      </c>
      <c r="AB1388" s="3">
        <f>IF(AND($M1388=1,LEFT(对接源_02物料!$D188,4)="原料出库"),1,0)</f>
        <v>0</v>
      </c>
      <c r="AC1388" s="3">
        <f t="shared" si="375"/>
        <v>0</v>
      </c>
      <c r="AD1388" s="3">
        <f>IF(AND($M1388=1,LEFT(对接源_02物料!$D188,4)="成品出库"),1,0)</f>
        <v>0</v>
      </c>
      <c r="AE1388" s="3">
        <f t="shared" si="376"/>
        <v>0</v>
      </c>
      <c r="AF1388" s="3">
        <f>IF(AND($N1388=1,AND(LEFT(对接源_02物料!$D188,4)="包装物料",N(对接源_02物料!$K188)&lt;&gt;0)),1,0)</f>
        <v>0</v>
      </c>
      <c r="AG1388" s="3">
        <f t="shared" si="377"/>
        <v>5</v>
      </c>
      <c r="AH1388" s="3">
        <f>IF(AND($N1388=1,AND(对接源_02物料!$D188="周转筐－销售出库",N(对接源_02物料!$K188)&lt;&gt;0)),1,0)</f>
        <v>0</v>
      </c>
      <c r="AI1388" s="3">
        <f t="shared" si="378"/>
        <v>0</v>
      </c>
      <c r="AL1388" s="3">
        <v>0</v>
      </c>
      <c r="AM1388" s="3">
        <f t="shared" si="379"/>
        <v>1</v>
      </c>
      <c r="AN1388" s="3" t="str">
        <f t="shared" si="366"/>
        <v/>
      </c>
      <c r="AO1388" s="3">
        <v>0</v>
      </c>
      <c r="AP1388" s="3">
        <f t="shared" si="380"/>
        <v>8</v>
      </c>
      <c r="AR1388">
        <f t="shared" si="381"/>
        <v>0</v>
      </c>
      <c r="AS1388">
        <f t="shared" si="382"/>
        <v>5</v>
      </c>
    </row>
    <row r="1389" customHeight="1" spans="1:45">
      <c r="A1389" s="3" t="str">
        <f>IF(对接源_02物料!$C189="","",对接源_02物料!$C189)</f>
        <v/>
      </c>
      <c r="B1389" s="3">
        <f t="shared" si="367"/>
        <v>0</v>
      </c>
      <c r="C1389" s="3">
        <f t="shared" si="368"/>
        <v>21</v>
      </c>
      <c r="K1389" s="3">
        <f>IF(OR($K$1="",对接源_02物料!$C189="",对接源_02物料!$C189&lt;&gt;$K$1,对接源_02物料!$B189=""),0,IF(OR(N(对接源_02物料!$B189)&lt;$K$2,N(对接源_02物料!$B189)&gt;$K$3),0,1))</f>
        <v>0</v>
      </c>
      <c r="L1389" s="3">
        <f>IF(OR($L$1="",对接源_02物料!$C189="",对接源_02物料!$C189&lt;&gt;$L$1,对接源_02物料!$B189=""),0,IF(OR(N(对接源_02物料!$B189)&lt;$L$2,N(对接源_02物料!$B189)&gt;$L$3),0,1))</f>
        <v>0</v>
      </c>
      <c r="M1389" s="3">
        <f>IF(OR($M$1="",对接源_02物料!$C189="",对接源_02物料!$C189&lt;&gt;$M$1,对接源_02物料!$B189=""),0,IF(OR(N(对接源_02物料!$B189)&lt;$M$2,N(对接源_02物料!$B189)&gt;$M$3),0,1))</f>
        <v>0</v>
      </c>
      <c r="N1389" s="3">
        <f>IF(OR($N$1="",对接源_02物料!$C189="",对接源_02物料!$C189&lt;&gt;$N$1,对接源_02物料!$B189=""),0,IF(OR(N(对接源_02物料!$B189)&lt;$N$2,N(对接源_02物料!$B189)&gt;$N$3),0,1))</f>
        <v>0</v>
      </c>
      <c r="P1389" s="3">
        <f>IF(AND($K1389=1,AND(对接源_02物料!$X189="公司筐",N(对接源_02物料!$T189)&lt;&gt;0)),1,0)</f>
        <v>0</v>
      </c>
      <c r="Q1389" s="3">
        <f t="shared" si="369"/>
        <v>8</v>
      </c>
      <c r="R1389" s="3">
        <f>IF(AND($K1389=1,AND(对接源_02物料!$X189="公司筐",N(对接源_02物料!$U189)&lt;&gt;0)),1,0)</f>
        <v>0</v>
      </c>
      <c r="S1389" s="3">
        <f t="shared" si="370"/>
        <v>0</v>
      </c>
      <c r="T1389" s="3">
        <f>IF(AND($K1389=1,AND(对接源_02物料!$X189="公司筐",N(对接源_02物料!$V189)&lt;&gt;0)),1,0)</f>
        <v>0</v>
      </c>
      <c r="U1389" s="3">
        <f t="shared" si="371"/>
        <v>19</v>
      </c>
      <c r="V1389" s="3">
        <f>IF(AND($L1389=1,AND(对接源_02物料!$X189="自备筐",N(对接源_02物料!$V189)&lt;&gt;0)),1,0)</f>
        <v>0</v>
      </c>
      <c r="W1389" s="3">
        <f t="shared" si="372"/>
        <v>8</v>
      </c>
      <c r="X1389" s="3">
        <f>IF(AND($L1389=1,AND(对接源_02物料!$X189="自备筐",N(对接源_02物料!$T189)&lt;&gt;0)),1,0)</f>
        <v>0</v>
      </c>
      <c r="Y1389" s="3">
        <f t="shared" si="373"/>
        <v>0</v>
      </c>
      <c r="Z1389" s="3">
        <f>IF(AND($M1389=1,对接源_02物料!$D189="原料入库"),1,0)</f>
        <v>0</v>
      </c>
      <c r="AA1389" s="3">
        <f t="shared" si="374"/>
        <v>24</v>
      </c>
      <c r="AB1389" s="3">
        <f>IF(AND($M1389=1,LEFT(对接源_02物料!$D189,4)="原料出库"),1,0)</f>
        <v>0</v>
      </c>
      <c r="AC1389" s="3">
        <f t="shared" si="375"/>
        <v>0</v>
      </c>
      <c r="AD1389" s="3">
        <f>IF(AND($M1389=1,LEFT(对接源_02物料!$D189,4)="成品出库"),1,0)</f>
        <v>0</v>
      </c>
      <c r="AE1389" s="3">
        <f t="shared" si="376"/>
        <v>0</v>
      </c>
      <c r="AF1389" s="3">
        <f>IF(AND($N1389=1,AND(LEFT(对接源_02物料!$D189,4)="包装物料",N(对接源_02物料!$K189)&lt;&gt;0)),1,0)</f>
        <v>0</v>
      </c>
      <c r="AG1389" s="3">
        <f t="shared" si="377"/>
        <v>5</v>
      </c>
      <c r="AH1389" s="3">
        <f>IF(AND($N1389=1,AND(对接源_02物料!$D189="周转筐－销售出库",N(对接源_02物料!$K189)&lt;&gt;0)),1,0)</f>
        <v>0</v>
      </c>
      <c r="AI1389" s="3">
        <f t="shared" si="378"/>
        <v>0</v>
      </c>
      <c r="AL1389" s="3">
        <v>0</v>
      </c>
      <c r="AM1389" s="3">
        <f t="shared" si="379"/>
        <v>1</v>
      </c>
      <c r="AN1389" s="3" t="str">
        <f t="shared" si="366"/>
        <v/>
      </c>
      <c r="AO1389" s="3">
        <v>0</v>
      </c>
      <c r="AP1389" s="3">
        <f t="shared" si="380"/>
        <v>8</v>
      </c>
      <c r="AR1389">
        <f t="shared" si="381"/>
        <v>0</v>
      </c>
      <c r="AS1389">
        <f t="shared" si="382"/>
        <v>5</v>
      </c>
    </row>
    <row r="1390" customHeight="1" spans="1:45">
      <c r="A1390" s="3" t="str">
        <f>IF(对接源_02物料!$C190="","",对接源_02物料!$C190)</f>
        <v/>
      </c>
      <c r="B1390" s="3">
        <f t="shared" si="367"/>
        <v>0</v>
      </c>
      <c r="C1390" s="3">
        <f t="shared" si="368"/>
        <v>21</v>
      </c>
      <c r="K1390" s="3">
        <f>IF(OR($K$1="",对接源_02物料!$C190="",对接源_02物料!$C190&lt;&gt;$K$1,对接源_02物料!$B190=""),0,IF(OR(N(对接源_02物料!$B190)&lt;$K$2,N(对接源_02物料!$B190)&gt;$K$3),0,1))</f>
        <v>0</v>
      </c>
      <c r="L1390" s="3">
        <f>IF(OR($L$1="",对接源_02物料!$C190="",对接源_02物料!$C190&lt;&gt;$L$1,对接源_02物料!$B190=""),0,IF(OR(N(对接源_02物料!$B190)&lt;$L$2,N(对接源_02物料!$B190)&gt;$L$3),0,1))</f>
        <v>0</v>
      </c>
      <c r="M1390" s="3">
        <f>IF(OR($M$1="",对接源_02物料!$C190="",对接源_02物料!$C190&lt;&gt;$M$1,对接源_02物料!$B190=""),0,IF(OR(N(对接源_02物料!$B190)&lt;$M$2,N(对接源_02物料!$B190)&gt;$M$3),0,1))</f>
        <v>0</v>
      </c>
      <c r="N1390" s="3">
        <f>IF(OR($N$1="",对接源_02物料!$C190="",对接源_02物料!$C190&lt;&gt;$N$1,对接源_02物料!$B190=""),0,IF(OR(N(对接源_02物料!$B190)&lt;$N$2,N(对接源_02物料!$B190)&gt;$N$3),0,1))</f>
        <v>0</v>
      </c>
      <c r="P1390" s="3">
        <f>IF(AND($K1390=1,AND(对接源_02物料!$X190="公司筐",N(对接源_02物料!$T190)&lt;&gt;0)),1,0)</f>
        <v>0</v>
      </c>
      <c r="Q1390" s="3">
        <f t="shared" si="369"/>
        <v>8</v>
      </c>
      <c r="R1390" s="3">
        <f>IF(AND($K1390=1,AND(对接源_02物料!$X190="公司筐",N(对接源_02物料!$U190)&lt;&gt;0)),1,0)</f>
        <v>0</v>
      </c>
      <c r="S1390" s="3">
        <f t="shared" si="370"/>
        <v>0</v>
      </c>
      <c r="T1390" s="3">
        <f>IF(AND($K1390=1,AND(对接源_02物料!$X190="公司筐",N(对接源_02物料!$V190)&lt;&gt;0)),1,0)</f>
        <v>0</v>
      </c>
      <c r="U1390" s="3">
        <f t="shared" si="371"/>
        <v>19</v>
      </c>
      <c r="V1390" s="3">
        <f>IF(AND($L1390=1,AND(对接源_02物料!$X190="自备筐",N(对接源_02物料!$V190)&lt;&gt;0)),1,0)</f>
        <v>0</v>
      </c>
      <c r="W1390" s="3">
        <f t="shared" si="372"/>
        <v>8</v>
      </c>
      <c r="X1390" s="3">
        <f>IF(AND($L1390=1,AND(对接源_02物料!$X190="自备筐",N(对接源_02物料!$T190)&lt;&gt;0)),1,0)</f>
        <v>0</v>
      </c>
      <c r="Y1390" s="3">
        <f t="shared" si="373"/>
        <v>0</v>
      </c>
      <c r="Z1390" s="3">
        <f>IF(AND($M1390=1,对接源_02物料!$D190="原料入库"),1,0)</f>
        <v>0</v>
      </c>
      <c r="AA1390" s="3">
        <f t="shared" si="374"/>
        <v>24</v>
      </c>
      <c r="AB1390" s="3">
        <f>IF(AND($M1390=1,LEFT(对接源_02物料!$D190,4)="原料出库"),1,0)</f>
        <v>0</v>
      </c>
      <c r="AC1390" s="3">
        <f t="shared" si="375"/>
        <v>0</v>
      </c>
      <c r="AD1390" s="3">
        <f>IF(AND($M1390=1,LEFT(对接源_02物料!$D190,4)="成品出库"),1,0)</f>
        <v>0</v>
      </c>
      <c r="AE1390" s="3">
        <f t="shared" si="376"/>
        <v>0</v>
      </c>
      <c r="AF1390" s="3">
        <f>IF(AND($N1390=1,AND(LEFT(对接源_02物料!$D190,4)="包装物料",N(对接源_02物料!$K190)&lt;&gt;0)),1,0)</f>
        <v>0</v>
      </c>
      <c r="AG1390" s="3">
        <f t="shared" si="377"/>
        <v>5</v>
      </c>
      <c r="AH1390" s="3">
        <f>IF(AND($N1390=1,AND(对接源_02物料!$D190="周转筐－销售出库",N(对接源_02物料!$K190)&lt;&gt;0)),1,0)</f>
        <v>0</v>
      </c>
      <c r="AI1390" s="3">
        <f t="shared" si="378"/>
        <v>0</v>
      </c>
      <c r="AL1390" s="3">
        <v>0</v>
      </c>
      <c r="AM1390" s="3">
        <f t="shared" si="379"/>
        <v>1</v>
      </c>
      <c r="AN1390" s="3" t="str">
        <f t="shared" si="366"/>
        <v/>
      </c>
      <c r="AO1390" s="3">
        <v>0</v>
      </c>
      <c r="AP1390" s="3">
        <f t="shared" si="380"/>
        <v>8</v>
      </c>
      <c r="AR1390">
        <f t="shared" si="381"/>
        <v>0</v>
      </c>
      <c r="AS1390">
        <f t="shared" si="382"/>
        <v>5</v>
      </c>
    </row>
    <row r="1391" customHeight="1" spans="1:45">
      <c r="A1391" s="3" t="str">
        <f>IF(对接源_02物料!$C191="","",对接源_02物料!$C191)</f>
        <v/>
      </c>
      <c r="B1391" s="3">
        <f t="shared" si="367"/>
        <v>0</v>
      </c>
      <c r="C1391" s="3">
        <f t="shared" si="368"/>
        <v>21</v>
      </c>
      <c r="K1391" s="3">
        <f>IF(OR($K$1="",对接源_02物料!$C191="",对接源_02物料!$C191&lt;&gt;$K$1,对接源_02物料!$B191=""),0,IF(OR(N(对接源_02物料!$B191)&lt;$K$2,N(对接源_02物料!$B191)&gt;$K$3),0,1))</f>
        <v>0</v>
      </c>
      <c r="L1391" s="3">
        <f>IF(OR($L$1="",对接源_02物料!$C191="",对接源_02物料!$C191&lt;&gt;$L$1,对接源_02物料!$B191=""),0,IF(OR(N(对接源_02物料!$B191)&lt;$L$2,N(对接源_02物料!$B191)&gt;$L$3),0,1))</f>
        <v>0</v>
      </c>
      <c r="M1391" s="3">
        <f>IF(OR($M$1="",对接源_02物料!$C191="",对接源_02物料!$C191&lt;&gt;$M$1,对接源_02物料!$B191=""),0,IF(OR(N(对接源_02物料!$B191)&lt;$M$2,N(对接源_02物料!$B191)&gt;$M$3),0,1))</f>
        <v>0</v>
      </c>
      <c r="N1391" s="3">
        <f>IF(OR($N$1="",对接源_02物料!$C191="",对接源_02物料!$C191&lt;&gt;$N$1,对接源_02物料!$B191=""),0,IF(OR(N(对接源_02物料!$B191)&lt;$N$2,N(对接源_02物料!$B191)&gt;$N$3),0,1))</f>
        <v>0</v>
      </c>
      <c r="P1391" s="3">
        <f>IF(AND($K1391=1,AND(对接源_02物料!$X191="公司筐",N(对接源_02物料!$T191)&lt;&gt;0)),1,0)</f>
        <v>0</v>
      </c>
      <c r="Q1391" s="3">
        <f t="shared" si="369"/>
        <v>8</v>
      </c>
      <c r="R1391" s="3">
        <f>IF(AND($K1391=1,AND(对接源_02物料!$X191="公司筐",N(对接源_02物料!$U191)&lt;&gt;0)),1,0)</f>
        <v>0</v>
      </c>
      <c r="S1391" s="3">
        <f t="shared" si="370"/>
        <v>0</v>
      </c>
      <c r="T1391" s="3">
        <f>IF(AND($K1391=1,AND(对接源_02物料!$X191="公司筐",N(对接源_02物料!$V191)&lt;&gt;0)),1,0)</f>
        <v>0</v>
      </c>
      <c r="U1391" s="3">
        <f t="shared" si="371"/>
        <v>19</v>
      </c>
      <c r="V1391" s="3">
        <f>IF(AND($L1391=1,AND(对接源_02物料!$X191="自备筐",N(对接源_02物料!$V191)&lt;&gt;0)),1,0)</f>
        <v>0</v>
      </c>
      <c r="W1391" s="3">
        <f t="shared" si="372"/>
        <v>8</v>
      </c>
      <c r="X1391" s="3">
        <f>IF(AND($L1391=1,AND(对接源_02物料!$X191="自备筐",N(对接源_02物料!$T191)&lt;&gt;0)),1,0)</f>
        <v>0</v>
      </c>
      <c r="Y1391" s="3">
        <f t="shared" si="373"/>
        <v>0</v>
      </c>
      <c r="Z1391" s="3">
        <f>IF(AND($M1391=1,对接源_02物料!$D191="原料入库"),1,0)</f>
        <v>0</v>
      </c>
      <c r="AA1391" s="3">
        <f t="shared" si="374"/>
        <v>24</v>
      </c>
      <c r="AB1391" s="3">
        <f>IF(AND($M1391=1,LEFT(对接源_02物料!$D191,4)="原料出库"),1,0)</f>
        <v>0</v>
      </c>
      <c r="AC1391" s="3">
        <f t="shared" si="375"/>
        <v>0</v>
      </c>
      <c r="AD1391" s="3">
        <f>IF(AND($M1391=1,LEFT(对接源_02物料!$D191,4)="成品出库"),1,0)</f>
        <v>0</v>
      </c>
      <c r="AE1391" s="3">
        <f t="shared" si="376"/>
        <v>0</v>
      </c>
      <c r="AF1391" s="3">
        <f>IF(AND($N1391=1,AND(LEFT(对接源_02物料!$D191,4)="包装物料",N(对接源_02物料!$K191)&lt;&gt;0)),1,0)</f>
        <v>0</v>
      </c>
      <c r="AG1391" s="3">
        <f t="shared" si="377"/>
        <v>5</v>
      </c>
      <c r="AH1391" s="3">
        <f>IF(AND($N1391=1,AND(对接源_02物料!$D191="周转筐－销售出库",N(对接源_02物料!$K191)&lt;&gt;0)),1,0)</f>
        <v>0</v>
      </c>
      <c r="AI1391" s="3">
        <f t="shared" si="378"/>
        <v>0</v>
      </c>
      <c r="AL1391" s="3">
        <v>0</v>
      </c>
      <c r="AM1391" s="3">
        <f t="shared" si="379"/>
        <v>1</v>
      </c>
      <c r="AN1391" s="3" t="str">
        <f t="shared" si="366"/>
        <v/>
      </c>
      <c r="AO1391" s="3">
        <v>0</v>
      </c>
      <c r="AP1391" s="3">
        <f t="shared" si="380"/>
        <v>8</v>
      </c>
      <c r="AR1391">
        <f t="shared" si="381"/>
        <v>0</v>
      </c>
      <c r="AS1391">
        <f t="shared" si="382"/>
        <v>5</v>
      </c>
    </row>
    <row r="1392" customHeight="1" spans="1:45">
      <c r="A1392" s="3" t="str">
        <f>IF(对接源_02物料!$C192="","",对接源_02物料!$C192)</f>
        <v/>
      </c>
      <c r="B1392" s="3">
        <f t="shared" si="367"/>
        <v>0</v>
      </c>
      <c r="C1392" s="3">
        <f t="shared" si="368"/>
        <v>21</v>
      </c>
      <c r="K1392" s="3">
        <f>IF(OR($K$1="",对接源_02物料!$C192="",对接源_02物料!$C192&lt;&gt;$K$1,对接源_02物料!$B192=""),0,IF(OR(N(对接源_02物料!$B192)&lt;$K$2,N(对接源_02物料!$B192)&gt;$K$3),0,1))</f>
        <v>0</v>
      </c>
      <c r="L1392" s="3">
        <f>IF(OR($L$1="",对接源_02物料!$C192="",对接源_02物料!$C192&lt;&gt;$L$1,对接源_02物料!$B192=""),0,IF(OR(N(对接源_02物料!$B192)&lt;$L$2,N(对接源_02物料!$B192)&gt;$L$3),0,1))</f>
        <v>0</v>
      </c>
      <c r="M1392" s="3">
        <f>IF(OR($M$1="",对接源_02物料!$C192="",对接源_02物料!$C192&lt;&gt;$M$1,对接源_02物料!$B192=""),0,IF(OR(N(对接源_02物料!$B192)&lt;$M$2,N(对接源_02物料!$B192)&gt;$M$3),0,1))</f>
        <v>0</v>
      </c>
      <c r="N1392" s="3">
        <f>IF(OR($N$1="",对接源_02物料!$C192="",对接源_02物料!$C192&lt;&gt;$N$1,对接源_02物料!$B192=""),0,IF(OR(N(对接源_02物料!$B192)&lt;$N$2,N(对接源_02物料!$B192)&gt;$N$3),0,1))</f>
        <v>0</v>
      </c>
      <c r="P1392" s="3">
        <f>IF(AND($K1392=1,AND(对接源_02物料!$X192="公司筐",N(对接源_02物料!$T192)&lt;&gt;0)),1,0)</f>
        <v>0</v>
      </c>
      <c r="Q1392" s="3">
        <f t="shared" si="369"/>
        <v>8</v>
      </c>
      <c r="R1392" s="3">
        <f>IF(AND($K1392=1,AND(对接源_02物料!$X192="公司筐",N(对接源_02物料!$U192)&lt;&gt;0)),1,0)</f>
        <v>0</v>
      </c>
      <c r="S1392" s="3">
        <f t="shared" si="370"/>
        <v>0</v>
      </c>
      <c r="T1392" s="3">
        <f>IF(AND($K1392=1,AND(对接源_02物料!$X192="公司筐",N(对接源_02物料!$V192)&lt;&gt;0)),1,0)</f>
        <v>0</v>
      </c>
      <c r="U1392" s="3">
        <f t="shared" si="371"/>
        <v>19</v>
      </c>
      <c r="V1392" s="3">
        <f>IF(AND($L1392=1,AND(对接源_02物料!$X192="自备筐",N(对接源_02物料!$V192)&lt;&gt;0)),1,0)</f>
        <v>0</v>
      </c>
      <c r="W1392" s="3">
        <f t="shared" si="372"/>
        <v>8</v>
      </c>
      <c r="X1392" s="3">
        <f>IF(AND($L1392=1,AND(对接源_02物料!$X192="自备筐",N(对接源_02物料!$T192)&lt;&gt;0)),1,0)</f>
        <v>0</v>
      </c>
      <c r="Y1392" s="3">
        <f t="shared" si="373"/>
        <v>0</v>
      </c>
      <c r="Z1392" s="3">
        <f>IF(AND($M1392=1,对接源_02物料!$D192="原料入库"),1,0)</f>
        <v>0</v>
      </c>
      <c r="AA1392" s="3">
        <f t="shared" si="374"/>
        <v>24</v>
      </c>
      <c r="AB1392" s="3">
        <f>IF(AND($M1392=1,LEFT(对接源_02物料!$D192,4)="原料出库"),1,0)</f>
        <v>0</v>
      </c>
      <c r="AC1392" s="3">
        <f t="shared" si="375"/>
        <v>0</v>
      </c>
      <c r="AD1392" s="3">
        <f>IF(AND($M1392=1,LEFT(对接源_02物料!$D192,4)="成品出库"),1,0)</f>
        <v>0</v>
      </c>
      <c r="AE1392" s="3">
        <f t="shared" si="376"/>
        <v>0</v>
      </c>
      <c r="AF1392" s="3">
        <f>IF(AND($N1392=1,AND(LEFT(对接源_02物料!$D192,4)="包装物料",N(对接源_02物料!$K192)&lt;&gt;0)),1,0)</f>
        <v>0</v>
      </c>
      <c r="AG1392" s="3">
        <f t="shared" si="377"/>
        <v>5</v>
      </c>
      <c r="AH1392" s="3">
        <f>IF(AND($N1392=1,AND(对接源_02物料!$D192="周转筐－销售出库",N(对接源_02物料!$K192)&lt;&gt;0)),1,0)</f>
        <v>0</v>
      </c>
      <c r="AI1392" s="3">
        <f t="shared" si="378"/>
        <v>0</v>
      </c>
      <c r="AL1392" s="3">
        <v>0</v>
      </c>
      <c r="AM1392" s="3">
        <f t="shared" si="379"/>
        <v>1</v>
      </c>
      <c r="AN1392" s="3" t="str">
        <f t="shared" si="366"/>
        <v/>
      </c>
      <c r="AO1392" s="3">
        <v>0</v>
      </c>
      <c r="AP1392" s="3">
        <f t="shared" si="380"/>
        <v>8</v>
      </c>
      <c r="AR1392">
        <f t="shared" si="381"/>
        <v>0</v>
      </c>
      <c r="AS1392">
        <f t="shared" si="382"/>
        <v>5</v>
      </c>
    </row>
    <row r="1393" customHeight="1" spans="1:45">
      <c r="A1393" s="3" t="str">
        <f>IF(对接源_02物料!$C193="","",对接源_02物料!$C193)</f>
        <v/>
      </c>
      <c r="B1393" s="3">
        <f t="shared" si="367"/>
        <v>0</v>
      </c>
      <c r="C1393" s="3">
        <f t="shared" si="368"/>
        <v>21</v>
      </c>
      <c r="K1393" s="3">
        <f>IF(OR($K$1="",对接源_02物料!$C193="",对接源_02物料!$C193&lt;&gt;$K$1,对接源_02物料!$B193=""),0,IF(OR(N(对接源_02物料!$B193)&lt;$K$2,N(对接源_02物料!$B193)&gt;$K$3),0,1))</f>
        <v>0</v>
      </c>
      <c r="L1393" s="3">
        <f>IF(OR($L$1="",对接源_02物料!$C193="",对接源_02物料!$C193&lt;&gt;$L$1,对接源_02物料!$B193=""),0,IF(OR(N(对接源_02物料!$B193)&lt;$L$2,N(对接源_02物料!$B193)&gt;$L$3),0,1))</f>
        <v>0</v>
      </c>
      <c r="M1393" s="3">
        <f>IF(OR($M$1="",对接源_02物料!$C193="",对接源_02物料!$C193&lt;&gt;$M$1,对接源_02物料!$B193=""),0,IF(OR(N(对接源_02物料!$B193)&lt;$M$2,N(对接源_02物料!$B193)&gt;$M$3),0,1))</f>
        <v>0</v>
      </c>
      <c r="N1393" s="3">
        <f>IF(OR($N$1="",对接源_02物料!$C193="",对接源_02物料!$C193&lt;&gt;$N$1,对接源_02物料!$B193=""),0,IF(OR(N(对接源_02物料!$B193)&lt;$N$2,N(对接源_02物料!$B193)&gt;$N$3),0,1))</f>
        <v>0</v>
      </c>
      <c r="P1393" s="3">
        <f>IF(AND($K1393=1,AND(对接源_02物料!$X193="公司筐",N(对接源_02物料!$T193)&lt;&gt;0)),1,0)</f>
        <v>0</v>
      </c>
      <c r="Q1393" s="3">
        <f t="shared" si="369"/>
        <v>8</v>
      </c>
      <c r="R1393" s="3">
        <f>IF(AND($K1393=1,AND(对接源_02物料!$X193="公司筐",N(对接源_02物料!$U193)&lt;&gt;0)),1,0)</f>
        <v>0</v>
      </c>
      <c r="S1393" s="3">
        <f t="shared" si="370"/>
        <v>0</v>
      </c>
      <c r="T1393" s="3">
        <f>IF(AND($K1393=1,AND(对接源_02物料!$X193="公司筐",N(对接源_02物料!$V193)&lt;&gt;0)),1,0)</f>
        <v>0</v>
      </c>
      <c r="U1393" s="3">
        <f t="shared" si="371"/>
        <v>19</v>
      </c>
      <c r="V1393" s="3">
        <f>IF(AND($L1393=1,AND(对接源_02物料!$X193="自备筐",N(对接源_02物料!$V193)&lt;&gt;0)),1,0)</f>
        <v>0</v>
      </c>
      <c r="W1393" s="3">
        <f t="shared" si="372"/>
        <v>8</v>
      </c>
      <c r="X1393" s="3">
        <f>IF(AND($L1393=1,AND(对接源_02物料!$X193="自备筐",N(对接源_02物料!$T193)&lt;&gt;0)),1,0)</f>
        <v>0</v>
      </c>
      <c r="Y1393" s="3">
        <f t="shared" si="373"/>
        <v>0</v>
      </c>
      <c r="Z1393" s="3">
        <f>IF(AND($M1393=1,对接源_02物料!$D193="原料入库"),1,0)</f>
        <v>0</v>
      </c>
      <c r="AA1393" s="3">
        <f t="shared" si="374"/>
        <v>24</v>
      </c>
      <c r="AB1393" s="3">
        <f>IF(AND($M1393=1,LEFT(对接源_02物料!$D193,4)="原料出库"),1,0)</f>
        <v>0</v>
      </c>
      <c r="AC1393" s="3">
        <f t="shared" si="375"/>
        <v>0</v>
      </c>
      <c r="AD1393" s="3">
        <f>IF(AND($M1393=1,LEFT(对接源_02物料!$D193,4)="成品出库"),1,0)</f>
        <v>0</v>
      </c>
      <c r="AE1393" s="3">
        <f t="shared" si="376"/>
        <v>0</v>
      </c>
      <c r="AF1393" s="3">
        <f>IF(AND($N1393=1,AND(LEFT(对接源_02物料!$D193,4)="包装物料",N(对接源_02物料!$K193)&lt;&gt;0)),1,0)</f>
        <v>0</v>
      </c>
      <c r="AG1393" s="3">
        <f t="shared" si="377"/>
        <v>5</v>
      </c>
      <c r="AH1393" s="3">
        <f>IF(AND($N1393=1,AND(对接源_02物料!$D193="周转筐－销售出库",N(对接源_02物料!$K193)&lt;&gt;0)),1,0)</f>
        <v>0</v>
      </c>
      <c r="AI1393" s="3">
        <f t="shared" si="378"/>
        <v>0</v>
      </c>
      <c r="AL1393" s="3">
        <v>0</v>
      </c>
      <c r="AM1393" s="3">
        <f t="shared" si="379"/>
        <v>1</v>
      </c>
      <c r="AN1393" s="3" t="str">
        <f t="shared" si="366"/>
        <v/>
      </c>
      <c r="AO1393" s="3">
        <v>0</v>
      </c>
      <c r="AP1393" s="3">
        <f t="shared" si="380"/>
        <v>8</v>
      </c>
      <c r="AR1393">
        <f t="shared" si="381"/>
        <v>0</v>
      </c>
      <c r="AS1393">
        <f t="shared" si="382"/>
        <v>5</v>
      </c>
    </row>
    <row r="1394" customHeight="1" spans="1:45">
      <c r="A1394" s="3" t="str">
        <f>IF(对接源_02物料!$C194="","",对接源_02物料!$C194)</f>
        <v/>
      </c>
      <c r="B1394" s="3">
        <f t="shared" si="367"/>
        <v>0</v>
      </c>
      <c r="C1394" s="3">
        <f t="shared" si="368"/>
        <v>21</v>
      </c>
      <c r="K1394" s="3">
        <f>IF(OR($K$1="",对接源_02物料!$C194="",对接源_02物料!$C194&lt;&gt;$K$1,对接源_02物料!$B194=""),0,IF(OR(N(对接源_02物料!$B194)&lt;$K$2,N(对接源_02物料!$B194)&gt;$K$3),0,1))</f>
        <v>0</v>
      </c>
      <c r="L1394" s="3">
        <f>IF(OR($L$1="",对接源_02物料!$C194="",对接源_02物料!$C194&lt;&gt;$L$1,对接源_02物料!$B194=""),0,IF(OR(N(对接源_02物料!$B194)&lt;$L$2,N(对接源_02物料!$B194)&gt;$L$3),0,1))</f>
        <v>0</v>
      </c>
      <c r="M1394" s="3">
        <f>IF(OR($M$1="",对接源_02物料!$C194="",对接源_02物料!$C194&lt;&gt;$M$1,对接源_02物料!$B194=""),0,IF(OR(N(对接源_02物料!$B194)&lt;$M$2,N(对接源_02物料!$B194)&gt;$M$3),0,1))</f>
        <v>0</v>
      </c>
      <c r="N1394" s="3">
        <f>IF(OR($N$1="",对接源_02物料!$C194="",对接源_02物料!$C194&lt;&gt;$N$1,对接源_02物料!$B194=""),0,IF(OR(N(对接源_02物料!$B194)&lt;$N$2,N(对接源_02物料!$B194)&gt;$N$3),0,1))</f>
        <v>0</v>
      </c>
      <c r="P1394" s="3">
        <f>IF(AND($K1394=1,AND(对接源_02物料!$X194="公司筐",N(对接源_02物料!$T194)&lt;&gt;0)),1,0)</f>
        <v>0</v>
      </c>
      <c r="Q1394" s="3">
        <f t="shared" si="369"/>
        <v>8</v>
      </c>
      <c r="R1394" s="3">
        <f>IF(AND($K1394=1,AND(对接源_02物料!$X194="公司筐",N(对接源_02物料!$U194)&lt;&gt;0)),1,0)</f>
        <v>0</v>
      </c>
      <c r="S1394" s="3">
        <f t="shared" si="370"/>
        <v>0</v>
      </c>
      <c r="T1394" s="3">
        <f>IF(AND($K1394=1,AND(对接源_02物料!$X194="公司筐",N(对接源_02物料!$V194)&lt;&gt;0)),1,0)</f>
        <v>0</v>
      </c>
      <c r="U1394" s="3">
        <f t="shared" si="371"/>
        <v>19</v>
      </c>
      <c r="V1394" s="3">
        <f>IF(AND($L1394=1,AND(对接源_02物料!$X194="自备筐",N(对接源_02物料!$V194)&lt;&gt;0)),1,0)</f>
        <v>0</v>
      </c>
      <c r="W1394" s="3">
        <f t="shared" si="372"/>
        <v>8</v>
      </c>
      <c r="X1394" s="3">
        <f>IF(AND($L1394=1,AND(对接源_02物料!$X194="自备筐",N(对接源_02物料!$T194)&lt;&gt;0)),1,0)</f>
        <v>0</v>
      </c>
      <c r="Y1394" s="3">
        <f t="shared" si="373"/>
        <v>0</v>
      </c>
      <c r="Z1394" s="3">
        <f>IF(AND($M1394=1,对接源_02物料!$D194="原料入库"),1,0)</f>
        <v>0</v>
      </c>
      <c r="AA1394" s="3">
        <f t="shared" si="374"/>
        <v>24</v>
      </c>
      <c r="AB1394" s="3">
        <f>IF(AND($M1394=1,LEFT(对接源_02物料!$D194,4)="原料出库"),1,0)</f>
        <v>0</v>
      </c>
      <c r="AC1394" s="3">
        <f t="shared" si="375"/>
        <v>0</v>
      </c>
      <c r="AD1394" s="3">
        <f>IF(AND($M1394=1,LEFT(对接源_02物料!$D194,4)="成品出库"),1,0)</f>
        <v>0</v>
      </c>
      <c r="AE1394" s="3">
        <f t="shared" si="376"/>
        <v>0</v>
      </c>
      <c r="AF1394" s="3">
        <f>IF(AND($N1394=1,AND(LEFT(对接源_02物料!$D194,4)="包装物料",N(对接源_02物料!$K194)&lt;&gt;0)),1,0)</f>
        <v>0</v>
      </c>
      <c r="AG1394" s="3">
        <f t="shared" si="377"/>
        <v>5</v>
      </c>
      <c r="AH1394" s="3">
        <f>IF(AND($N1394=1,AND(对接源_02物料!$D194="周转筐－销售出库",N(对接源_02物料!$K194)&lt;&gt;0)),1,0)</f>
        <v>0</v>
      </c>
      <c r="AI1394" s="3">
        <f t="shared" si="378"/>
        <v>0</v>
      </c>
      <c r="AL1394" s="3">
        <v>0</v>
      </c>
      <c r="AM1394" s="3">
        <f t="shared" si="379"/>
        <v>1</v>
      </c>
      <c r="AN1394" s="3" t="str">
        <f t="shared" si="366"/>
        <v/>
      </c>
      <c r="AO1394" s="3">
        <v>0</v>
      </c>
      <c r="AP1394" s="3">
        <f t="shared" si="380"/>
        <v>8</v>
      </c>
      <c r="AR1394">
        <f t="shared" si="381"/>
        <v>0</v>
      </c>
      <c r="AS1394">
        <f t="shared" si="382"/>
        <v>5</v>
      </c>
    </row>
    <row r="1395" customHeight="1" spans="1:45">
      <c r="A1395" s="3" t="str">
        <f>IF(对接源_02物料!$C195="","",对接源_02物料!$C195)</f>
        <v/>
      </c>
      <c r="B1395" s="3">
        <f t="shared" si="367"/>
        <v>0</v>
      </c>
      <c r="C1395" s="3">
        <f t="shared" si="368"/>
        <v>21</v>
      </c>
      <c r="K1395" s="3">
        <f>IF(OR($K$1="",对接源_02物料!$C195="",对接源_02物料!$C195&lt;&gt;$K$1,对接源_02物料!$B195=""),0,IF(OR(N(对接源_02物料!$B195)&lt;$K$2,N(对接源_02物料!$B195)&gt;$K$3),0,1))</f>
        <v>0</v>
      </c>
      <c r="L1395" s="3">
        <f>IF(OR($L$1="",对接源_02物料!$C195="",对接源_02物料!$C195&lt;&gt;$L$1,对接源_02物料!$B195=""),0,IF(OR(N(对接源_02物料!$B195)&lt;$L$2,N(对接源_02物料!$B195)&gt;$L$3),0,1))</f>
        <v>0</v>
      </c>
      <c r="M1395" s="3">
        <f>IF(OR($M$1="",对接源_02物料!$C195="",对接源_02物料!$C195&lt;&gt;$M$1,对接源_02物料!$B195=""),0,IF(OR(N(对接源_02物料!$B195)&lt;$M$2,N(对接源_02物料!$B195)&gt;$M$3),0,1))</f>
        <v>0</v>
      </c>
      <c r="N1395" s="3">
        <f>IF(OR($N$1="",对接源_02物料!$C195="",对接源_02物料!$C195&lt;&gt;$N$1,对接源_02物料!$B195=""),0,IF(OR(N(对接源_02物料!$B195)&lt;$N$2,N(对接源_02物料!$B195)&gt;$N$3),0,1))</f>
        <v>0</v>
      </c>
      <c r="P1395" s="3">
        <f>IF(AND($K1395=1,AND(对接源_02物料!$X195="公司筐",N(对接源_02物料!$T195)&lt;&gt;0)),1,0)</f>
        <v>0</v>
      </c>
      <c r="Q1395" s="3">
        <f t="shared" si="369"/>
        <v>8</v>
      </c>
      <c r="R1395" s="3">
        <f>IF(AND($K1395=1,AND(对接源_02物料!$X195="公司筐",N(对接源_02物料!$U195)&lt;&gt;0)),1,0)</f>
        <v>0</v>
      </c>
      <c r="S1395" s="3">
        <f t="shared" si="370"/>
        <v>0</v>
      </c>
      <c r="T1395" s="3">
        <f>IF(AND($K1395=1,AND(对接源_02物料!$X195="公司筐",N(对接源_02物料!$V195)&lt;&gt;0)),1,0)</f>
        <v>0</v>
      </c>
      <c r="U1395" s="3">
        <f t="shared" si="371"/>
        <v>19</v>
      </c>
      <c r="V1395" s="3">
        <f>IF(AND($L1395=1,AND(对接源_02物料!$X195="自备筐",N(对接源_02物料!$V195)&lt;&gt;0)),1,0)</f>
        <v>0</v>
      </c>
      <c r="W1395" s="3">
        <f t="shared" si="372"/>
        <v>8</v>
      </c>
      <c r="X1395" s="3">
        <f>IF(AND($L1395=1,AND(对接源_02物料!$X195="自备筐",N(对接源_02物料!$T195)&lt;&gt;0)),1,0)</f>
        <v>0</v>
      </c>
      <c r="Y1395" s="3">
        <f t="shared" si="373"/>
        <v>0</v>
      </c>
      <c r="Z1395" s="3">
        <f>IF(AND($M1395=1,对接源_02物料!$D195="原料入库"),1,0)</f>
        <v>0</v>
      </c>
      <c r="AA1395" s="3">
        <f t="shared" si="374"/>
        <v>24</v>
      </c>
      <c r="AB1395" s="3">
        <f>IF(AND($M1395=1,LEFT(对接源_02物料!$D195,4)="原料出库"),1,0)</f>
        <v>0</v>
      </c>
      <c r="AC1395" s="3">
        <f t="shared" si="375"/>
        <v>0</v>
      </c>
      <c r="AD1395" s="3">
        <f>IF(AND($M1395=1,LEFT(对接源_02物料!$D195,4)="成品出库"),1,0)</f>
        <v>0</v>
      </c>
      <c r="AE1395" s="3">
        <f t="shared" si="376"/>
        <v>0</v>
      </c>
      <c r="AF1395" s="3">
        <f>IF(AND($N1395=1,AND(LEFT(对接源_02物料!$D195,4)="包装物料",N(对接源_02物料!$K195)&lt;&gt;0)),1,0)</f>
        <v>0</v>
      </c>
      <c r="AG1395" s="3">
        <f t="shared" si="377"/>
        <v>5</v>
      </c>
      <c r="AH1395" s="3">
        <f>IF(AND($N1395=1,AND(对接源_02物料!$D195="周转筐－销售出库",N(对接源_02物料!$K195)&lt;&gt;0)),1,0)</f>
        <v>0</v>
      </c>
      <c r="AI1395" s="3">
        <f t="shared" si="378"/>
        <v>0</v>
      </c>
      <c r="AL1395" s="3">
        <v>0</v>
      </c>
      <c r="AM1395" s="3">
        <f t="shared" si="379"/>
        <v>1</v>
      </c>
      <c r="AN1395" s="3" t="str">
        <f t="shared" si="366"/>
        <v/>
      </c>
      <c r="AO1395" s="3">
        <v>0</v>
      </c>
      <c r="AP1395" s="3">
        <f t="shared" si="380"/>
        <v>8</v>
      </c>
      <c r="AR1395">
        <f t="shared" si="381"/>
        <v>0</v>
      </c>
      <c r="AS1395">
        <f t="shared" si="382"/>
        <v>5</v>
      </c>
    </row>
    <row r="1396" customHeight="1" spans="1:45">
      <c r="A1396" s="3" t="str">
        <f>IF(对接源_02物料!$C196="","",对接源_02物料!$C196)</f>
        <v/>
      </c>
      <c r="B1396" s="3">
        <f t="shared" si="367"/>
        <v>0</v>
      </c>
      <c r="C1396" s="3">
        <f t="shared" si="368"/>
        <v>21</v>
      </c>
      <c r="K1396" s="3">
        <f>IF(OR($K$1="",对接源_02物料!$C196="",对接源_02物料!$C196&lt;&gt;$K$1,对接源_02物料!$B196=""),0,IF(OR(N(对接源_02物料!$B196)&lt;$K$2,N(对接源_02物料!$B196)&gt;$K$3),0,1))</f>
        <v>0</v>
      </c>
      <c r="L1396" s="3">
        <f>IF(OR($L$1="",对接源_02物料!$C196="",对接源_02物料!$C196&lt;&gt;$L$1,对接源_02物料!$B196=""),0,IF(OR(N(对接源_02物料!$B196)&lt;$L$2,N(对接源_02物料!$B196)&gt;$L$3),0,1))</f>
        <v>0</v>
      </c>
      <c r="M1396" s="3">
        <f>IF(OR($M$1="",对接源_02物料!$C196="",对接源_02物料!$C196&lt;&gt;$M$1,对接源_02物料!$B196=""),0,IF(OR(N(对接源_02物料!$B196)&lt;$M$2,N(对接源_02物料!$B196)&gt;$M$3),0,1))</f>
        <v>0</v>
      </c>
      <c r="N1396" s="3">
        <f>IF(OR($N$1="",对接源_02物料!$C196="",对接源_02物料!$C196&lt;&gt;$N$1,对接源_02物料!$B196=""),0,IF(OR(N(对接源_02物料!$B196)&lt;$N$2,N(对接源_02物料!$B196)&gt;$N$3),0,1))</f>
        <v>0</v>
      </c>
      <c r="P1396" s="3">
        <f>IF(AND($K1396=1,AND(对接源_02物料!$X196="公司筐",N(对接源_02物料!$T196)&lt;&gt;0)),1,0)</f>
        <v>0</v>
      </c>
      <c r="Q1396" s="3">
        <f t="shared" si="369"/>
        <v>8</v>
      </c>
      <c r="R1396" s="3">
        <f>IF(AND($K1396=1,AND(对接源_02物料!$X196="公司筐",N(对接源_02物料!$U196)&lt;&gt;0)),1,0)</f>
        <v>0</v>
      </c>
      <c r="S1396" s="3">
        <f t="shared" si="370"/>
        <v>0</v>
      </c>
      <c r="T1396" s="3">
        <f>IF(AND($K1396=1,AND(对接源_02物料!$X196="公司筐",N(对接源_02物料!$V196)&lt;&gt;0)),1,0)</f>
        <v>0</v>
      </c>
      <c r="U1396" s="3">
        <f t="shared" si="371"/>
        <v>19</v>
      </c>
      <c r="V1396" s="3">
        <f>IF(AND($L1396=1,AND(对接源_02物料!$X196="自备筐",N(对接源_02物料!$V196)&lt;&gt;0)),1,0)</f>
        <v>0</v>
      </c>
      <c r="W1396" s="3">
        <f t="shared" si="372"/>
        <v>8</v>
      </c>
      <c r="X1396" s="3">
        <f>IF(AND($L1396=1,AND(对接源_02物料!$X196="自备筐",N(对接源_02物料!$T196)&lt;&gt;0)),1,0)</f>
        <v>0</v>
      </c>
      <c r="Y1396" s="3">
        <f t="shared" si="373"/>
        <v>0</v>
      </c>
      <c r="Z1396" s="3">
        <f>IF(AND($M1396=1,对接源_02物料!$D196="原料入库"),1,0)</f>
        <v>0</v>
      </c>
      <c r="AA1396" s="3">
        <f t="shared" si="374"/>
        <v>24</v>
      </c>
      <c r="AB1396" s="3">
        <f>IF(AND($M1396=1,LEFT(对接源_02物料!$D196,4)="原料出库"),1,0)</f>
        <v>0</v>
      </c>
      <c r="AC1396" s="3">
        <f t="shared" si="375"/>
        <v>0</v>
      </c>
      <c r="AD1396" s="3">
        <f>IF(AND($M1396=1,LEFT(对接源_02物料!$D196,4)="成品出库"),1,0)</f>
        <v>0</v>
      </c>
      <c r="AE1396" s="3">
        <f t="shared" si="376"/>
        <v>0</v>
      </c>
      <c r="AF1396" s="3">
        <f>IF(AND($N1396=1,AND(LEFT(对接源_02物料!$D196,4)="包装物料",N(对接源_02物料!$K196)&lt;&gt;0)),1,0)</f>
        <v>0</v>
      </c>
      <c r="AG1396" s="3">
        <f t="shared" si="377"/>
        <v>5</v>
      </c>
      <c r="AH1396" s="3">
        <f>IF(AND($N1396=1,AND(对接源_02物料!$D196="周转筐－销售出库",N(对接源_02物料!$K196)&lt;&gt;0)),1,0)</f>
        <v>0</v>
      </c>
      <c r="AI1396" s="3">
        <f t="shared" si="378"/>
        <v>0</v>
      </c>
      <c r="AL1396" s="3">
        <v>0</v>
      </c>
      <c r="AM1396" s="3">
        <f t="shared" si="379"/>
        <v>1</v>
      </c>
      <c r="AN1396" s="3" t="str">
        <f t="shared" ref="AN1396:AN1459" si="383">""</f>
        <v/>
      </c>
      <c r="AO1396" s="3">
        <v>0</v>
      </c>
      <c r="AP1396" s="3">
        <f t="shared" si="380"/>
        <v>8</v>
      </c>
      <c r="AR1396">
        <f t="shared" si="381"/>
        <v>0</v>
      </c>
      <c r="AS1396">
        <f t="shared" si="382"/>
        <v>5</v>
      </c>
    </row>
    <row r="1397" customHeight="1" spans="1:45">
      <c r="A1397" s="3" t="str">
        <f>IF(对接源_02物料!$C197="","",对接源_02物料!$C197)</f>
        <v/>
      </c>
      <c r="B1397" s="3">
        <f t="shared" si="367"/>
        <v>0</v>
      </c>
      <c r="C1397" s="3">
        <f t="shared" si="368"/>
        <v>21</v>
      </c>
      <c r="K1397" s="3">
        <f>IF(OR($K$1="",对接源_02物料!$C197="",对接源_02物料!$C197&lt;&gt;$K$1,对接源_02物料!$B197=""),0,IF(OR(N(对接源_02物料!$B197)&lt;$K$2,N(对接源_02物料!$B197)&gt;$K$3),0,1))</f>
        <v>0</v>
      </c>
      <c r="L1397" s="3">
        <f>IF(OR($L$1="",对接源_02物料!$C197="",对接源_02物料!$C197&lt;&gt;$L$1,对接源_02物料!$B197=""),0,IF(OR(N(对接源_02物料!$B197)&lt;$L$2,N(对接源_02物料!$B197)&gt;$L$3),0,1))</f>
        <v>0</v>
      </c>
      <c r="M1397" s="3">
        <f>IF(OR($M$1="",对接源_02物料!$C197="",对接源_02物料!$C197&lt;&gt;$M$1,对接源_02物料!$B197=""),0,IF(OR(N(对接源_02物料!$B197)&lt;$M$2,N(对接源_02物料!$B197)&gt;$M$3),0,1))</f>
        <v>0</v>
      </c>
      <c r="N1397" s="3">
        <f>IF(OR($N$1="",对接源_02物料!$C197="",对接源_02物料!$C197&lt;&gt;$N$1,对接源_02物料!$B197=""),0,IF(OR(N(对接源_02物料!$B197)&lt;$N$2,N(对接源_02物料!$B197)&gt;$N$3),0,1))</f>
        <v>0</v>
      </c>
      <c r="P1397" s="3">
        <f>IF(AND($K1397=1,AND(对接源_02物料!$X197="公司筐",N(对接源_02物料!$T197)&lt;&gt;0)),1,0)</f>
        <v>0</v>
      </c>
      <c r="Q1397" s="3">
        <f t="shared" si="369"/>
        <v>8</v>
      </c>
      <c r="R1397" s="3">
        <f>IF(AND($K1397=1,AND(对接源_02物料!$X197="公司筐",N(对接源_02物料!$U197)&lt;&gt;0)),1,0)</f>
        <v>0</v>
      </c>
      <c r="S1397" s="3">
        <f t="shared" si="370"/>
        <v>0</v>
      </c>
      <c r="T1397" s="3">
        <f>IF(AND($K1397=1,AND(对接源_02物料!$X197="公司筐",N(对接源_02物料!$V197)&lt;&gt;0)),1,0)</f>
        <v>0</v>
      </c>
      <c r="U1397" s="3">
        <f t="shared" si="371"/>
        <v>19</v>
      </c>
      <c r="V1397" s="3">
        <f>IF(AND($L1397=1,AND(对接源_02物料!$X197="自备筐",N(对接源_02物料!$V197)&lt;&gt;0)),1,0)</f>
        <v>0</v>
      </c>
      <c r="W1397" s="3">
        <f t="shared" si="372"/>
        <v>8</v>
      </c>
      <c r="X1397" s="3">
        <f>IF(AND($L1397=1,AND(对接源_02物料!$X197="自备筐",N(对接源_02物料!$T197)&lt;&gt;0)),1,0)</f>
        <v>0</v>
      </c>
      <c r="Y1397" s="3">
        <f t="shared" si="373"/>
        <v>0</v>
      </c>
      <c r="Z1397" s="3">
        <f>IF(AND($M1397=1,对接源_02物料!$D197="原料入库"),1,0)</f>
        <v>0</v>
      </c>
      <c r="AA1397" s="3">
        <f t="shared" si="374"/>
        <v>24</v>
      </c>
      <c r="AB1397" s="3">
        <f>IF(AND($M1397=1,LEFT(对接源_02物料!$D197,4)="原料出库"),1,0)</f>
        <v>0</v>
      </c>
      <c r="AC1397" s="3">
        <f t="shared" si="375"/>
        <v>0</v>
      </c>
      <c r="AD1397" s="3">
        <f>IF(AND($M1397=1,LEFT(对接源_02物料!$D197,4)="成品出库"),1,0)</f>
        <v>0</v>
      </c>
      <c r="AE1397" s="3">
        <f t="shared" si="376"/>
        <v>0</v>
      </c>
      <c r="AF1397" s="3">
        <f>IF(AND($N1397=1,AND(LEFT(对接源_02物料!$D197,4)="包装物料",N(对接源_02物料!$K197)&lt;&gt;0)),1,0)</f>
        <v>0</v>
      </c>
      <c r="AG1397" s="3">
        <f t="shared" si="377"/>
        <v>5</v>
      </c>
      <c r="AH1397" s="3">
        <f>IF(AND($N1397=1,AND(对接源_02物料!$D197="周转筐－销售出库",N(对接源_02物料!$K197)&lt;&gt;0)),1,0)</f>
        <v>0</v>
      </c>
      <c r="AI1397" s="3">
        <f t="shared" si="378"/>
        <v>0</v>
      </c>
      <c r="AL1397" s="3">
        <v>0</v>
      </c>
      <c r="AM1397" s="3">
        <f t="shared" si="379"/>
        <v>1</v>
      </c>
      <c r="AN1397" s="3" t="str">
        <f t="shared" si="383"/>
        <v/>
      </c>
      <c r="AO1397" s="3">
        <v>0</v>
      </c>
      <c r="AP1397" s="3">
        <f t="shared" si="380"/>
        <v>8</v>
      </c>
      <c r="AR1397">
        <f t="shared" si="381"/>
        <v>0</v>
      </c>
      <c r="AS1397">
        <f t="shared" si="382"/>
        <v>5</v>
      </c>
    </row>
    <row r="1398" customHeight="1" spans="1:45">
      <c r="A1398" s="3" t="str">
        <f>IF(对接源_02物料!$C198="","",对接源_02物料!$C198)</f>
        <v/>
      </c>
      <c r="B1398" s="3">
        <f t="shared" si="367"/>
        <v>0</v>
      </c>
      <c r="C1398" s="3">
        <f t="shared" si="368"/>
        <v>21</v>
      </c>
      <c r="K1398" s="3">
        <f>IF(OR($K$1="",对接源_02物料!$C198="",对接源_02物料!$C198&lt;&gt;$K$1,对接源_02物料!$B198=""),0,IF(OR(N(对接源_02物料!$B198)&lt;$K$2,N(对接源_02物料!$B198)&gt;$K$3),0,1))</f>
        <v>0</v>
      </c>
      <c r="L1398" s="3">
        <f>IF(OR($L$1="",对接源_02物料!$C198="",对接源_02物料!$C198&lt;&gt;$L$1,对接源_02物料!$B198=""),0,IF(OR(N(对接源_02物料!$B198)&lt;$L$2,N(对接源_02物料!$B198)&gt;$L$3),0,1))</f>
        <v>0</v>
      </c>
      <c r="M1398" s="3">
        <f>IF(OR($M$1="",对接源_02物料!$C198="",对接源_02物料!$C198&lt;&gt;$M$1,对接源_02物料!$B198=""),0,IF(OR(N(对接源_02物料!$B198)&lt;$M$2,N(对接源_02物料!$B198)&gt;$M$3),0,1))</f>
        <v>0</v>
      </c>
      <c r="N1398" s="3">
        <f>IF(OR($N$1="",对接源_02物料!$C198="",对接源_02物料!$C198&lt;&gt;$N$1,对接源_02物料!$B198=""),0,IF(OR(N(对接源_02物料!$B198)&lt;$N$2,N(对接源_02物料!$B198)&gt;$N$3),0,1))</f>
        <v>0</v>
      </c>
      <c r="P1398" s="3">
        <f>IF(AND($K1398=1,AND(对接源_02物料!$X198="公司筐",N(对接源_02物料!$T198)&lt;&gt;0)),1,0)</f>
        <v>0</v>
      </c>
      <c r="Q1398" s="3">
        <f t="shared" si="369"/>
        <v>8</v>
      </c>
      <c r="R1398" s="3">
        <f>IF(AND($K1398=1,AND(对接源_02物料!$X198="公司筐",N(对接源_02物料!$U198)&lt;&gt;0)),1,0)</f>
        <v>0</v>
      </c>
      <c r="S1398" s="3">
        <f t="shared" si="370"/>
        <v>0</v>
      </c>
      <c r="T1398" s="3">
        <f>IF(AND($K1398=1,AND(对接源_02物料!$X198="公司筐",N(对接源_02物料!$V198)&lt;&gt;0)),1,0)</f>
        <v>0</v>
      </c>
      <c r="U1398" s="3">
        <f t="shared" si="371"/>
        <v>19</v>
      </c>
      <c r="V1398" s="3">
        <f>IF(AND($L1398=1,AND(对接源_02物料!$X198="自备筐",N(对接源_02物料!$V198)&lt;&gt;0)),1,0)</f>
        <v>0</v>
      </c>
      <c r="W1398" s="3">
        <f t="shared" si="372"/>
        <v>8</v>
      </c>
      <c r="X1398" s="3">
        <f>IF(AND($L1398=1,AND(对接源_02物料!$X198="自备筐",N(对接源_02物料!$T198)&lt;&gt;0)),1,0)</f>
        <v>0</v>
      </c>
      <c r="Y1398" s="3">
        <f t="shared" si="373"/>
        <v>0</v>
      </c>
      <c r="Z1398" s="3">
        <f>IF(AND($M1398=1,对接源_02物料!$D198="原料入库"),1,0)</f>
        <v>0</v>
      </c>
      <c r="AA1398" s="3">
        <f t="shared" si="374"/>
        <v>24</v>
      </c>
      <c r="AB1398" s="3">
        <f>IF(AND($M1398=1,LEFT(对接源_02物料!$D198,4)="原料出库"),1,0)</f>
        <v>0</v>
      </c>
      <c r="AC1398" s="3">
        <f t="shared" si="375"/>
        <v>0</v>
      </c>
      <c r="AD1398" s="3">
        <f>IF(AND($M1398=1,LEFT(对接源_02物料!$D198,4)="成品出库"),1,0)</f>
        <v>0</v>
      </c>
      <c r="AE1398" s="3">
        <f t="shared" si="376"/>
        <v>0</v>
      </c>
      <c r="AF1398" s="3">
        <f>IF(AND($N1398=1,AND(LEFT(对接源_02物料!$D198,4)="包装物料",N(对接源_02物料!$K198)&lt;&gt;0)),1,0)</f>
        <v>0</v>
      </c>
      <c r="AG1398" s="3">
        <f t="shared" si="377"/>
        <v>5</v>
      </c>
      <c r="AH1398" s="3">
        <f>IF(AND($N1398=1,AND(对接源_02物料!$D198="周转筐－销售出库",N(对接源_02物料!$K198)&lt;&gt;0)),1,0)</f>
        <v>0</v>
      </c>
      <c r="AI1398" s="3">
        <f t="shared" si="378"/>
        <v>0</v>
      </c>
      <c r="AL1398" s="3">
        <v>0</v>
      </c>
      <c r="AM1398" s="3">
        <f t="shared" si="379"/>
        <v>1</v>
      </c>
      <c r="AN1398" s="3" t="str">
        <f t="shared" si="383"/>
        <v/>
      </c>
      <c r="AO1398" s="3">
        <v>0</v>
      </c>
      <c r="AP1398" s="3">
        <f t="shared" si="380"/>
        <v>8</v>
      </c>
      <c r="AR1398">
        <f t="shared" si="381"/>
        <v>0</v>
      </c>
      <c r="AS1398">
        <f t="shared" si="382"/>
        <v>5</v>
      </c>
    </row>
    <row r="1399" customHeight="1" spans="1:45">
      <c r="A1399" s="3" t="str">
        <f>IF(对接源_02物料!$C199="","",对接源_02物料!$C199)</f>
        <v/>
      </c>
      <c r="B1399" s="3">
        <f t="shared" si="367"/>
        <v>0</v>
      </c>
      <c r="C1399" s="3">
        <f t="shared" si="368"/>
        <v>21</v>
      </c>
      <c r="K1399" s="3">
        <f>IF(OR($K$1="",对接源_02物料!$C199="",对接源_02物料!$C199&lt;&gt;$K$1,对接源_02物料!$B199=""),0,IF(OR(N(对接源_02物料!$B199)&lt;$K$2,N(对接源_02物料!$B199)&gt;$K$3),0,1))</f>
        <v>0</v>
      </c>
      <c r="L1399" s="3">
        <f>IF(OR($L$1="",对接源_02物料!$C199="",对接源_02物料!$C199&lt;&gt;$L$1,对接源_02物料!$B199=""),0,IF(OR(N(对接源_02物料!$B199)&lt;$L$2,N(对接源_02物料!$B199)&gt;$L$3),0,1))</f>
        <v>0</v>
      </c>
      <c r="M1399" s="3">
        <f>IF(OR($M$1="",对接源_02物料!$C199="",对接源_02物料!$C199&lt;&gt;$M$1,对接源_02物料!$B199=""),0,IF(OR(N(对接源_02物料!$B199)&lt;$M$2,N(对接源_02物料!$B199)&gt;$M$3),0,1))</f>
        <v>0</v>
      </c>
      <c r="N1399" s="3">
        <f>IF(OR($N$1="",对接源_02物料!$C199="",对接源_02物料!$C199&lt;&gt;$N$1,对接源_02物料!$B199=""),0,IF(OR(N(对接源_02物料!$B199)&lt;$N$2,N(对接源_02物料!$B199)&gt;$N$3),0,1))</f>
        <v>0</v>
      </c>
      <c r="P1399" s="3">
        <f>IF(AND($K1399=1,AND(对接源_02物料!$X199="公司筐",N(对接源_02物料!$T199)&lt;&gt;0)),1,0)</f>
        <v>0</v>
      </c>
      <c r="Q1399" s="3">
        <f t="shared" si="369"/>
        <v>8</v>
      </c>
      <c r="R1399" s="3">
        <f>IF(AND($K1399=1,AND(对接源_02物料!$X199="公司筐",N(对接源_02物料!$U199)&lt;&gt;0)),1,0)</f>
        <v>0</v>
      </c>
      <c r="S1399" s="3">
        <f t="shared" si="370"/>
        <v>0</v>
      </c>
      <c r="T1399" s="3">
        <f>IF(AND($K1399=1,AND(对接源_02物料!$X199="公司筐",N(对接源_02物料!$V199)&lt;&gt;0)),1,0)</f>
        <v>0</v>
      </c>
      <c r="U1399" s="3">
        <f t="shared" si="371"/>
        <v>19</v>
      </c>
      <c r="V1399" s="3">
        <f>IF(AND($L1399=1,AND(对接源_02物料!$X199="自备筐",N(对接源_02物料!$V199)&lt;&gt;0)),1,0)</f>
        <v>0</v>
      </c>
      <c r="W1399" s="3">
        <f t="shared" si="372"/>
        <v>8</v>
      </c>
      <c r="X1399" s="3">
        <f>IF(AND($L1399=1,AND(对接源_02物料!$X199="自备筐",N(对接源_02物料!$T199)&lt;&gt;0)),1,0)</f>
        <v>0</v>
      </c>
      <c r="Y1399" s="3">
        <f t="shared" si="373"/>
        <v>0</v>
      </c>
      <c r="Z1399" s="3">
        <f>IF(AND($M1399=1,对接源_02物料!$D199="原料入库"),1,0)</f>
        <v>0</v>
      </c>
      <c r="AA1399" s="3">
        <f t="shared" si="374"/>
        <v>24</v>
      </c>
      <c r="AB1399" s="3">
        <f>IF(AND($M1399=1,LEFT(对接源_02物料!$D199,4)="原料出库"),1,0)</f>
        <v>0</v>
      </c>
      <c r="AC1399" s="3">
        <f t="shared" si="375"/>
        <v>0</v>
      </c>
      <c r="AD1399" s="3">
        <f>IF(AND($M1399=1,LEFT(对接源_02物料!$D199,4)="成品出库"),1,0)</f>
        <v>0</v>
      </c>
      <c r="AE1399" s="3">
        <f t="shared" si="376"/>
        <v>0</v>
      </c>
      <c r="AF1399" s="3">
        <f>IF(AND($N1399=1,AND(LEFT(对接源_02物料!$D199,4)="包装物料",N(对接源_02物料!$K199)&lt;&gt;0)),1,0)</f>
        <v>0</v>
      </c>
      <c r="AG1399" s="3">
        <f t="shared" si="377"/>
        <v>5</v>
      </c>
      <c r="AH1399" s="3">
        <f>IF(AND($N1399=1,AND(对接源_02物料!$D199="周转筐－销售出库",N(对接源_02物料!$K199)&lt;&gt;0)),1,0)</f>
        <v>0</v>
      </c>
      <c r="AI1399" s="3">
        <f t="shared" si="378"/>
        <v>0</v>
      </c>
      <c r="AL1399" s="3">
        <v>0</v>
      </c>
      <c r="AM1399" s="3">
        <f t="shared" si="379"/>
        <v>1</v>
      </c>
      <c r="AN1399" s="3" t="str">
        <f t="shared" si="383"/>
        <v/>
      </c>
      <c r="AO1399" s="3">
        <v>0</v>
      </c>
      <c r="AP1399" s="3">
        <f t="shared" si="380"/>
        <v>8</v>
      </c>
      <c r="AR1399">
        <f t="shared" si="381"/>
        <v>0</v>
      </c>
      <c r="AS1399">
        <f t="shared" si="382"/>
        <v>5</v>
      </c>
    </row>
    <row r="1400" customHeight="1" spans="1:45">
      <c r="A1400" s="3" t="str">
        <f>IF(对接源_02物料!$C200="","",对接源_02物料!$C200)</f>
        <v/>
      </c>
      <c r="B1400" s="3">
        <f t="shared" si="367"/>
        <v>0</v>
      </c>
      <c r="C1400" s="3">
        <f t="shared" si="368"/>
        <v>21</v>
      </c>
      <c r="K1400" s="3">
        <f>IF(OR($K$1="",对接源_02物料!$C200="",对接源_02物料!$C200&lt;&gt;$K$1,对接源_02物料!$B200=""),0,IF(OR(N(对接源_02物料!$B200)&lt;$K$2,N(对接源_02物料!$B200)&gt;$K$3),0,1))</f>
        <v>0</v>
      </c>
      <c r="L1400" s="3">
        <f>IF(OR($L$1="",对接源_02物料!$C200="",对接源_02物料!$C200&lt;&gt;$L$1,对接源_02物料!$B200=""),0,IF(OR(N(对接源_02物料!$B200)&lt;$L$2,N(对接源_02物料!$B200)&gt;$L$3),0,1))</f>
        <v>0</v>
      </c>
      <c r="M1400" s="3">
        <f>IF(OR($M$1="",对接源_02物料!$C200="",对接源_02物料!$C200&lt;&gt;$M$1,对接源_02物料!$B200=""),0,IF(OR(N(对接源_02物料!$B200)&lt;$M$2,N(对接源_02物料!$B200)&gt;$M$3),0,1))</f>
        <v>0</v>
      </c>
      <c r="N1400" s="3">
        <f>IF(OR($N$1="",对接源_02物料!$C200="",对接源_02物料!$C200&lt;&gt;$N$1,对接源_02物料!$B200=""),0,IF(OR(N(对接源_02物料!$B200)&lt;$N$2,N(对接源_02物料!$B200)&gt;$N$3),0,1))</f>
        <v>0</v>
      </c>
      <c r="P1400" s="3">
        <f>IF(AND($K1400=1,AND(对接源_02物料!$X200="公司筐",N(对接源_02物料!$T200)&lt;&gt;0)),1,0)</f>
        <v>0</v>
      </c>
      <c r="Q1400" s="3">
        <f t="shared" si="369"/>
        <v>8</v>
      </c>
      <c r="R1400" s="3">
        <f>IF(AND($K1400=1,AND(对接源_02物料!$X200="公司筐",N(对接源_02物料!$U200)&lt;&gt;0)),1,0)</f>
        <v>0</v>
      </c>
      <c r="S1400" s="3">
        <f t="shared" si="370"/>
        <v>0</v>
      </c>
      <c r="T1400" s="3">
        <f>IF(AND($K1400=1,AND(对接源_02物料!$X200="公司筐",N(对接源_02物料!$V200)&lt;&gt;0)),1,0)</f>
        <v>0</v>
      </c>
      <c r="U1400" s="3">
        <f t="shared" si="371"/>
        <v>19</v>
      </c>
      <c r="V1400" s="3">
        <f>IF(AND($L1400=1,AND(对接源_02物料!$X200="自备筐",N(对接源_02物料!$V200)&lt;&gt;0)),1,0)</f>
        <v>0</v>
      </c>
      <c r="W1400" s="3">
        <f t="shared" si="372"/>
        <v>8</v>
      </c>
      <c r="X1400" s="3">
        <f>IF(AND($L1400=1,AND(对接源_02物料!$X200="自备筐",N(对接源_02物料!$T200)&lt;&gt;0)),1,0)</f>
        <v>0</v>
      </c>
      <c r="Y1400" s="3">
        <f t="shared" si="373"/>
        <v>0</v>
      </c>
      <c r="Z1400" s="3">
        <f>IF(AND($M1400=1,对接源_02物料!$D200="原料入库"),1,0)</f>
        <v>0</v>
      </c>
      <c r="AA1400" s="3">
        <f t="shared" si="374"/>
        <v>24</v>
      </c>
      <c r="AB1400" s="3">
        <f>IF(AND($M1400=1,LEFT(对接源_02物料!$D200,4)="原料出库"),1,0)</f>
        <v>0</v>
      </c>
      <c r="AC1400" s="3">
        <f t="shared" si="375"/>
        <v>0</v>
      </c>
      <c r="AD1400" s="3">
        <f>IF(AND($M1400=1,LEFT(对接源_02物料!$D200,4)="成品出库"),1,0)</f>
        <v>0</v>
      </c>
      <c r="AE1400" s="3">
        <f t="shared" si="376"/>
        <v>0</v>
      </c>
      <c r="AF1400" s="3">
        <f>IF(AND($N1400=1,AND(LEFT(对接源_02物料!$D200,4)="包装物料",N(对接源_02物料!$K200)&lt;&gt;0)),1,0)</f>
        <v>0</v>
      </c>
      <c r="AG1400" s="3">
        <f t="shared" si="377"/>
        <v>5</v>
      </c>
      <c r="AH1400" s="3">
        <f>IF(AND($N1400=1,AND(对接源_02物料!$D200="周转筐－销售出库",N(对接源_02物料!$K200)&lt;&gt;0)),1,0)</f>
        <v>0</v>
      </c>
      <c r="AI1400" s="3">
        <f t="shared" si="378"/>
        <v>0</v>
      </c>
      <c r="AL1400" s="3">
        <v>0</v>
      </c>
      <c r="AM1400" s="3">
        <f t="shared" si="379"/>
        <v>1</v>
      </c>
      <c r="AN1400" s="3" t="str">
        <f t="shared" si="383"/>
        <v/>
      </c>
      <c r="AO1400" s="3">
        <v>0</v>
      </c>
      <c r="AP1400" s="3">
        <f t="shared" si="380"/>
        <v>8</v>
      </c>
      <c r="AR1400">
        <f t="shared" si="381"/>
        <v>0</v>
      </c>
      <c r="AS1400">
        <f t="shared" si="382"/>
        <v>5</v>
      </c>
    </row>
    <row r="1401" customHeight="1" spans="1:45">
      <c r="A1401" s="3" t="str">
        <f>IF(对接源_02物料!$C201="","",对接源_02物料!$C201)</f>
        <v/>
      </c>
      <c r="B1401" s="3">
        <f t="shared" si="367"/>
        <v>0</v>
      </c>
      <c r="C1401" s="3">
        <f t="shared" si="368"/>
        <v>21</v>
      </c>
      <c r="K1401" s="3">
        <f>IF(OR($K$1="",对接源_02物料!$C201="",对接源_02物料!$C201&lt;&gt;$K$1,对接源_02物料!$B201=""),0,IF(OR(N(对接源_02物料!$B201)&lt;$K$2,N(对接源_02物料!$B201)&gt;$K$3),0,1))</f>
        <v>0</v>
      </c>
      <c r="L1401" s="3">
        <f>IF(OR($L$1="",对接源_02物料!$C201="",对接源_02物料!$C201&lt;&gt;$L$1,对接源_02物料!$B201=""),0,IF(OR(N(对接源_02物料!$B201)&lt;$L$2,N(对接源_02物料!$B201)&gt;$L$3),0,1))</f>
        <v>0</v>
      </c>
      <c r="M1401" s="3">
        <f>IF(OR($M$1="",对接源_02物料!$C201="",对接源_02物料!$C201&lt;&gt;$M$1,对接源_02物料!$B201=""),0,IF(OR(N(对接源_02物料!$B201)&lt;$M$2,N(对接源_02物料!$B201)&gt;$M$3),0,1))</f>
        <v>0</v>
      </c>
      <c r="N1401" s="3">
        <f>IF(OR($N$1="",对接源_02物料!$C201="",对接源_02物料!$C201&lt;&gt;$N$1,对接源_02物料!$B201=""),0,IF(OR(N(对接源_02物料!$B201)&lt;$N$2,N(对接源_02物料!$B201)&gt;$N$3),0,1))</f>
        <v>0</v>
      </c>
      <c r="P1401" s="3">
        <f>IF(AND($K1401=1,AND(对接源_02物料!$X201="公司筐",N(对接源_02物料!$T201)&lt;&gt;0)),1,0)</f>
        <v>0</v>
      </c>
      <c r="Q1401" s="3">
        <f t="shared" si="369"/>
        <v>8</v>
      </c>
      <c r="R1401" s="3">
        <f>IF(AND($K1401=1,AND(对接源_02物料!$X201="公司筐",N(对接源_02物料!$U201)&lt;&gt;0)),1,0)</f>
        <v>0</v>
      </c>
      <c r="S1401" s="3">
        <f t="shared" si="370"/>
        <v>0</v>
      </c>
      <c r="T1401" s="3">
        <f>IF(AND($K1401=1,AND(对接源_02物料!$X201="公司筐",N(对接源_02物料!$V201)&lt;&gt;0)),1,0)</f>
        <v>0</v>
      </c>
      <c r="U1401" s="3">
        <f t="shared" si="371"/>
        <v>19</v>
      </c>
      <c r="V1401" s="3">
        <f>IF(AND($L1401=1,AND(对接源_02物料!$X201="自备筐",N(对接源_02物料!$V201)&lt;&gt;0)),1,0)</f>
        <v>0</v>
      </c>
      <c r="W1401" s="3">
        <f t="shared" si="372"/>
        <v>8</v>
      </c>
      <c r="X1401" s="3">
        <f>IF(AND($L1401=1,AND(对接源_02物料!$X201="自备筐",N(对接源_02物料!$T201)&lt;&gt;0)),1,0)</f>
        <v>0</v>
      </c>
      <c r="Y1401" s="3">
        <f t="shared" si="373"/>
        <v>0</v>
      </c>
      <c r="Z1401" s="3">
        <f>IF(AND($M1401=1,对接源_02物料!$D201="原料入库"),1,0)</f>
        <v>0</v>
      </c>
      <c r="AA1401" s="3">
        <f t="shared" si="374"/>
        <v>24</v>
      </c>
      <c r="AB1401" s="3">
        <f>IF(AND($M1401=1,LEFT(对接源_02物料!$D201,4)="原料出库"),1,0)</f>
        <v>0</v>
      </c>
      <c r="AC1401" s="3">
        <f t="shared" si="375"/>
        <v>0</v>
      </c>
      <c r="AD1401" s="3">
        <f>IF(AND($M1401=1,LEFT(对接源_02物料!$D201,4)="成品出库"),1,0)</f>
        <v>0</v>
      </c>
      <c r="AE1401" s="3">
        <f t="shared" si="376"/>
        <v>0</v>
      </c>
      <c r="AF1401" s="3">
        <f>IF(AND($N1401=1,AND(LEFT(对接源_02物料!$D201,4)="包装物料",N(对接源_02物料!$K201)&lt;&gt;0)),1,0)</f>
        <v>0</v>
      </c>
      <c r="AG1401" s="3">
        <f t="shared" si="377"/>
        <v>5</v>
      </c>
      <c r="AH1401" s="3">
        <f>IF(AND($N1401=1,AND(对接源_02物料!$D201="周转筐－销售出库",N(对接源_02物料!$K201)&lt;&gt;0)),1,0)</f>
        <v>0</v>
      </c>
      <c r="AI1401" s="3">
        <f t="shared" si="378"/>
        <v>0</v>
      </c>
      <c r="AL1401" s="3">
        <v>0</v>
      </c>
      <c r="AM1401" s="3">
        <f t="shared" si="379"/>
        <v>1</v>
      </c>
      <c r="AN1401" s="3" t="str">
        <f t="shared" si="383"/>
        <v/>
      </c>
      <c r="AO1401" s="3">
        <v>0</v>
      </c>
      <c r="AP1401" s="3">
        <f t="shared" si="380"/>
        <v>8</v>
      </c>
      <c r="AR1401">
        <f t="shared" si="381"/>
        <v>0</v>
      </c>
      <c r="AS1401">
        <f t="shared" si="382"/>
        <v>5</v>
      </c>
    </row>
    <row r="1402" customHeight="1" spans="1:45">
      <c r="A1402" s="3" t="str">
        <f>IF(对接源_02物料!$C202="","",对接源_02物料!$C202)</f>
        <v/>
      </c>
      <c r="B1402" s="3">
        <f t="shared" si="367"/>
        <v>0</v>
      </c>
      <c r="C1402" s="3">
        <f t="shared" si="368"/>
        <v>21</v>
      </c>
      <c r="K1402" s="3">
        <f>IF(OR($K$1="",对接源_02物料!$C202="",对接源_02物料!$C202&lt;&gt;$K$1,对接源_02物料!$B202=""),0,IF(OR(N(对接源_02物料!$B202)&lt;$K$2,N(对接源_02物料!$B202)&gt;$K$3),0,1))</f>
        <v>0</v>
      </c>
      <c r="L1402" s="3">
        <f>IF(OR($L$1="",对接源_02物料!$C202="",对接源_02物料!$C202&lt;&gt;$L$1,对接源_02物料!$B202=""),0,IF(OR(N(对接源_02物料!$B202)&lt;$L$2,N(对接源_02物料!$B202)&gt;$L$3),0,1))</f>
        <v>0</v>
      </c>
      <c r="M1402" s="3">
        <f>IF(OR($M$1="",对接源_02物料!$C202="",对接源_02物料!$C202&lt;&gt;$M$1,对接源_02物料!$B202=""),0,IF(OR(N(对接源_02物料!$B202)&lt;$M$2,N(对接源_02物料!$B202)&gt;$M$3),0,1))</f>
        <v>0</v>
      </c>
      <c r="N1402" s="3">
        <f>IF(OR($N$1="",对接源_02物料!$C202="",对接源_02物料!$C202&lt;&gt;$N$1,对接源_02物料!$B202=""),0,IF(OR(N(对接源_02物料!$B202)&lt;$N$2,N(对接源_02物料!$B202)&gt;$N$3),0,1))</f>
        <v>0</v>
      </c>
      <c r="P1402" s="3">
        <f>IF(AND($K1402=1,AND(对接源_02物料!$X202="公司筐",N(对接源_02物料!$T202)&lt;&gt;0)),1,0)</f>
        <v>0</v>
      </c>
      <c r="Q1402" s="3">
        <f t="shared" si="369"/>
        <v>8</v>
      </c>
      <c r="R1402" s="3">
        <f>IF(AND($K1402=1,AND(对接源_02物料!$X202="公司筐",N(对接源_02物料!$U202)&lt;&gt;0)),1,0)</f>
        <v>0</v>
      </c>
      <c r="S1402" s="3">
        <f t="shared" si="370"/>
        <v>0</v>
      </c>
      <c r="T1402" s="3">
        <f>IF(AND($K1402=1,AND(对接源_02物料!$X202="公司筐",N(对接源_02物料!$V202)&lt;&gt;0)),1,0)</f>
        <v>0</v>
      </c>
      <c r="U1402" s="3">
        <f t="shared" si="371"/>
        <v>19</v>
      </c>
      <c r="V1402" s="3">
        <f>IF(AND($L1402=1,AND(对接源_02物料!$X202="自备筐",N(对接源_02物料!$V202)&lt;&gt;0)),1,0)</f>
        <v>0</v>
      </c>
      <c r="W1402" s="3">
        <f t="shared" si="372"/>
        <v>8</v>
      </c>
      <c r="X1402" s="3">
        <f>IF(AND($L1402=1,AND(对接源_02物料!$X202="自备筐",N(对接源_02物料!$T202)&lt;&gt;0)),1,0)</f>
        <v>0</v>
      </c>
      <c r="Y1402" s="3">
        <f t="shared" si="373"/>
        <v>0</v>
      </c>
      <c r="Z1402" s="3">
        <f>IF(AND($M1402=1,对接源_02物料!$D202="原料入库"),1,0)</f>
        <v>0</v>
      </c>
      <c r="AA1402" s="3">
        <f t="shared" si="374"/>
        <v>24</v>
      </c>
      <c r="AB1402" s="3">
        <f>IF(AND($M1402=1,LEFT(对接源_02物料!$D202,4)="原料出库"),1,0)</f>
        <v>0</v>
      </c>
      <c r="AC1402" s="3">
        <f t="shared" si="375"/>
        <v>0</v>
      </c>
      <c r="AD1402" s="3">
        <f>IF(AND($M1402=1,LEFT(对接源_02物料!$D202,4)="成品出库"),1,0)</f>
        <v>0</v>
      </c>
      <c r="AE1402" s="3">
        <f t="shared" si="376"/>
        <v>0</v>
      </c>
      <c r="AF1402" s="3">
        <f>IF(AND($N1402=1,AND(LEFT(对接源_02物料!$D202,4)="包装物料",N(对接源_02物料!$K202)&lt;&gt;0)),1,0)</f>
        <v>0</v>
      </c>
      <c r="AG1402" s="3">
        <f t="shared" si="377"/>
        <v>5</v>
      </c>
      <c r="AH1402" s="3">
        <f>IF(AND($N1402=1,AND(对接源_02物料!$D202="周转筐－销售出库",N(对接源_02物料!$K202)&lt;&gt;0)),1,0)</f>
        <v>0</v>
      </c>
      <c r="AI1402" s="3">
        <f t="shared" si="378"/>
        <v>0</v>
      </c>
      <c r="AL1402" s="3">
        <v>0</v>
      </c>
      <c r="AM1402" s="3">
        <f t="shared" si="379"/>
        <v>1</v>
      </c>
      <c r="AN1402" s="3" t="str">
        <f t="shared" si="383"/>
        <v/>
      </c>
      <c r="AO1402" s="3">
        <v>0</v>
      </c>
      <c r="AP1402" s="3">
        <f t="shared" si="380"/>
        <v>8</v>
      </c>
      <c r="AR1402">
        <f t="shared" si="381"/>
        <v>0</v>
      </c>
      <c r="AS1402">
        <f t="shared" si="382"/>
        <v>5</v>
      </c>
    </row>
    <row r="1403" customHeight="1" spans="1:45">
      <c r="A1403" s="3" t="str">
        <f>IF(对接源_02物料!$C203="","",对接源_02物料!$C203)</f>
        <v/>
      </c>
      <c r="B1403" s="3">
        <f t="shared" si="367"/>
        <v>0</v>
      </c>
      <c r="C1403" s="3">
        <f t="shared" si="368"/>
        <v>21</v>
      </c>
      <c r="K1403" s="3">
        <f>IF(OR($K$1="",对接源_02物料!$C203="",对接源_02物料!$C203&lt;&gt;$K$1,对接源_02物料!$B203=""),0,IF(OR(N(对接源_02物料!$B203)&lt;$K$2,N(对接源_02物料!$B203)&gt;$K$3),0,1))</f>
        <v>0</v>
      </c>
      <c r="L1403" s="3">
        <f>IF(OR($L$1="",对接源_02物料!$C203="",对接源_02物料!$C203&lt;&gt;$L$1,对接源_02物料!$B203=""),0,IF(OR(N(对接源_02物料!$B203)&lt;$L$2,N(对接源_02物料!$B203)&gt;$L$3),0,1))</f>
        <v>0</v>
      </c>
      <c r="M1403" s="3">
        <f>IF(OR($M$1="",对接源_02物料!$C203="",对接源_02物料!$C203&lt;&gt;$M$1,对接源_02物料!$B203=""),0,IF(OR(N(对接源_02物料!$B203)&lt;$M$2,N(对接源_02物料!$B203)&gt;$M$3),0,1))</f>
        <v>0</v>
      </c>
      <c r="N1403" s="3">
        <f>IF(OR($N$1="",对接源_02物料!$C203="",对接源_02物料!$C203&lt;&gt;$N$1,对接源_02物料!$B203=""),0,IF(OR(N(对接源_02物料!$B203)&lt;$N$2,N(对接源_02物料!$B203)&gt;$N$3),0,1))</f>
        <v>0</v>
      </c>
      <c r="P1403" s="3">
        <f>IF(AND($K1403=1,AND(对接源_02物料!$X203="公司筐",N(对接源_02物料!$T203)&lt;&gt;0)),1,0)</f>
        <v>0</v>
      </c>
      <c r="Q1403" s="3">
        <f t="shared" si="369"/>
        <v>8</v>
      </c>
      <c r="R1403" s="3">
        <f>IF(AND($K1403=1,AND(对接源_02物料!$X203="公司筐",N(对接源_02物料!$U203)&lt;&gt;0)),1,0)</f>
        <v>0</v>
      </c>
      <c r="S1403" s="3">
        <f t="shared" si="370"/>
        <v>0</v>
      </c>
      <c r="T1403" s="3">
        <f>IF(AND($K1403=1,AND(对接源_02物料!$X203="公司筐",N(对接源_02物料!$V203)&lt;&gt;0)),1,0)</f>
        <v>0</v>
      </c>
      <c r="U1403" s="3">
        <f t="shared" si="371"/>
        <v>19</v>
      </c>
      <c r="V1403" s="3">
        <f>IF(AND($L1403=1,AND(对接源_02物料!$X203="自备筐",N(对接源_02物料!$V203)&lt;&gt;0)),1,0)</f>
        <v>0</v>
      </c>
      <c r="W1403" s="3">
        <f t="shared" si="372"/>
        <v>8</v>
      </c>
      <c r="X1403" s="3">
        <f>IF(AND($L1403=1,AND(对接源_02物料!$X203="自备筐",N(对接源_02物料!$T203)&lt;&gt;0)),1,0)</f>
        <v>0</v>
      </c>
      <c r="Y1403" s="3">
        <f t="shared" si="373"/>
        <v>0</v>
      </c>
      <c r="Z1403" s="3">
        <f>IF(AND($M1403=1,对接源_02物料!$D203="原料入库"),1,0)</f>
        <v>0</v>
      </c>
      <c r="AA1403" s="3">
        <f t="shared" si="374"/>
        <v>24</v>
      </c>
      <c r="AB1403" s="3">
        <f>IF(AND($M1403=1,LEFT(对接源_02物料!$D203,4)="原料出库"),1,0)</f>
        <v>0</v>
      </c>
      <c r="AC1403" s="3">
        <f t="shared" si="375"/>
        <v>0</v>
      </c>
      <c r="AD1403" s="3">
        <f>IF(AND($M1403=1,LEFT(对接源_02物料!$D203,4)="成品出库"),1,0)</f>
        <v>0</v>
      </c>
      <c r="AE1403" s="3">
        <f t="shared" si="376"/>
        <v>0</v>
      </c>
      <c r="AF1403" s="3">
        <f>IF(AND($N1403=1,AND(LEFT(对接源_02物料!$D203,4)="包装物料",N(对接源_02物料!$K203)&lt;&gt;0)),1,0)</f>
        <v>0</v>
      </c>
      <c r="AG1403" s="3">
        <f t="shared" si="377"/>
        <v>5</v>
      </c>
      <c r="AH1403" s="3">
        <f>IF(AND($N1403=1,AND(对接源_02物料!$D203="周转筐－销售出库",N(对接源_02物料!$K203)&lt;&gt;0)),1,0)</f>
        <v>0</v>
      </c>
      <c r="AI1403" s="3">
        <f t="shared" si="378"/>
        <v>0</v>
      </c>
      <c r="AL1403" s="3">
        <v>0</v>
      </c>
      <c r="AM1403" s="3">
        <f t="shared" si="379"/>
        <v>1</v>
      </c>
      <c r="AN1403" s="3" t="str">
        <f t="shared" si="383"/>
        <v/>
      </c>
      <c r="AO1403" s="3">
        <v>0</v>
      </c>
      <c r="AP1403" s="3">
        <f t="shared" si="380"/>
        <v>8</v>
      </c>
      <c r="AR1403">
        <f t="shared" si="381"/>
        <v>0</v>
      </c>
      <c r="AS1403">
        <f t="shared" si="382"/>
        <v>5</v>
      </c>
    </row>
    <row r="1404" customHeight="1" spans="1:45">
      <c r="A1404" s="3" t="str">
        <f>IF(对接源_02物料!$C204="","",对接源_02物料!$C204)</f>
        <v/>
      </c>
      <c r="B1404" s="3">
        <f t="shared" si="367"/>
        <v>0</v>
      </c>
      <c r="C1404" s="3">
        <f t="shared" si="368"/>
        <v>21</v>
      </c>
      <c r="K1404" s="3">
        <f>IF(OR($K$1="",对接源_02物料!$C204="",对接源_02物料!$C204&lt;&gt;$K$1,对接源_02物料!$B204=""),0,IF(OR(N(对接源_02物料!$B204)&lt;$K$2,N(对接源_02物料!$B204)&gt;$K$3),0,1))</f>
        <v>0</v>
      </c>
      <c r="L1404" s="3">
        <f>IF(OR($L$1="",对接源_02物料!$C204="",对接源_02物料!$C204&lt;&gt;$L$1,对接源_02物料!$B204=""),0,IF(OR(N(对接源_02物料!$B204)&lt;$L$2,N(对接源_02物料!$B204)&gt;$L$3),0,1))</f>
        <v>0</v>
      </c>
      <c r="M1404" s="3">
        <f>IF(OR($M$1="",对接源_02物料!$C204="",对接源_02物料!$C204&lt;&gt;$M$1,对接源_02物料!$B204=""),0,IF(OR(N(对接源_02物料!$B204)&lt;$M$2,N(对接源_02物料!$B204)&gt;$M$3),0,1))</f>
        <v>0</v>
      </c>
      <c r="N1404" s="3">
        <f>IF(OR($N$1="",对接源_02物料!$C204="",对接源_02物料!$C204&lt;&gt;$N$1,对接源_02物料!$B204=""),0,IF(OR(N(对接源_02物料!$B204)&lt;$N$2,N(对接源_02物料!$B204)&gt;$N$3),0,1))</f>
        <v>0</v>
      </c>
      <c r="P1404" s="3">
        <f>IF(AND($K1404=1,AND(对接源_02物料!$X204="公司筐",N(对接源_02物料!$T204)&lt;&gt;0)),1,0)</f>
        <v>0</v>
      </c>
      <c r="Q1404" s="3">
        <f t="shared" si="369"/>
        <v>8</v>
      </c>
      <c r="R1404" s="3">
        <f>IF(AND($K1404=1,AND(对接源_02物料!$X204="公司筐",N(对接源_02物料!$U204)&lt;&gt;0)),1,0)</f>
        <v>0</v>
      </c>
      <c r="S1404" s="3">
        <f t="shared" si="370"/>
        <v>0</v>
      </c>
      <c r="T1404" s="3">
        <f>IF(AND($K1404=1,AND(对接源_02物料!$X204="公司筐",N(对接源_02物料!$V204)&lt;&gt;0)),1,0)</f>
        <v>0</v>
      </c>
      <c r="U1404" s="3">
        <f t="shared" si="371"/>
        <v>19</v>
      </c>
      <c r="V1404" s="3">
        <f>IF(AND($L1404=1,AND(对接源_02物料!$X204="自备筐",N(对接源_02物料!$V204)&lt;&gt;0)),1,0)</f>
        <v>0</v>
      </c>
      <c r="W1404" s="3">
        <f t="shared" si="372"/>
        <v>8</v>
      </c>
      <c r="X1404" s="3">
        <f>IF(AND($L1404=1,AND(对接源_02物料!$X204="自备筐",N(对接源_02物料!$T204)&lt;&gt;0)),1,0)</f>
        <v>0</v>
      </c>
      <c r="Y1404" s="3">
        <f t="shared" si="373"/>
        <v>0</v>
      </c>
      <c r="Z1404" s="3">
        <f>IF(AND($M1404=1,对接源_02物料!$D204="原料入库"),1,0)</f>
        <v>0</v>
      </c>
      <c r="AA1404" s="3">
        <f t="shared" si="374"/>
        <v>24</v>
      </c>
      <c r="AB1404" s="3">
        <f>IF(AND($M1404=1,LEFT(对接源_02物料!$D204,4)="原料出库"),1,0)</f>
        <v>0</v>
      </c>
      <c r="AC1404" s="3">
        <f t="shared" si="375"/>
        <v>0</v>
      </c>
      <c r="AD1404" s="3">
        <f>IF(AND($M1404=1,LEFT(对接源_02物料!$D204,4)="成品出库"),1,0)</f>
        <v>0</v>
      </c>
      <c r="AE1404" s="3">
        <f t="shared" si="376"/>
        <v>0</v>
      </c>
      <c r="AF1404" s="3">
        <f>IF(AND($N1404=1,AND(LEFT(对接源_02物料!$D204,4)="包装物料",N(对接源_02物料!$K204)&lt;&gt;0)),1,0)</f>
        <v>0</v>
      </c>
      <c r="AG1404" s="3">
        <f t="shared" si="377"/>
        <v>5</v>
      </c>
      <c r="AH1404" s="3">
        <f>IF(AND($N1404=1,AND(对接源_02物料!$D204="周转筐－销售出库",N(对接源_02物料!$K204)&lt;&gt;0)),1,0)</f>
        <v>0</v>
      </c>
      <c r="AI1404" s="3">
        <f t="shared" si="378"/>
        <v>0</v>
      </c>
      <c r="AL1404" s="3">
        <v>0</v>
      </c>
      <c r="AM1404" s="3">
        <f t="shared" si="379"/>
        <v>1</v>
      </c>
      <c r="AN1404" s="3" t="str">
        <f t="shared" si="383"/>
        <v/>
      </c>
      <c r="AO1404" s="3">
        <v>0</v>
      </c>
      <c r="AP1404" s="3">
        <f t="shared" si="380"/>
        <v>8</v>
      </c>
      <c r="AR1404">
        <f t="shared" si="381"/>
        <v>0</v>
      </c>
      <c r="AS1404">
        <f t="shared" si="382"/>
        <v>5</v>
      </c>
    </row>
    <row r="1405" customHeight="1" spans="1:45">
      <c r="A1405" s="3" t="str">
        <f>IF(对接源_02物料!$C205="","",对接源_02物料!$C205)</f>
        <v/>
      </c>
      <c r="B1405" s="3">
        <f t="shared" si="367"/>
        <v>0</v>
      </c>
      <c r="C1405" s="3">
        <f t="shared" si="368"/>
        <v>21</v>
      </c>
      <c r="K1405" s="3">
        <f>IF(OR($K$1="",对接源_02物料!$C205="",对接源_02物料!$C205&lt;&gt;$K$1,对接源_02物料!$B205=""),0,IF(OR(N(对接源_02物料!$B205)&lt;$K$2,N(对接源_02物料!$B205)&gt;$K$3),0,1))</f>
        <v>0</v>
      </c>
      <c r="L1405" s="3">
        <f>IF(OR($L$1="",对接源_02物料!$C205="",对接源_02物料!$C205&lt;&gt;$L$1,对接源_02物料!$B205=""),0,IF(OR(N(对接源_02物料!$B205)&lt;$L$2,N(对接源_02物料!$B205)&gt;$L$3),0,1))</f>
        <v>0</v>
      </c>
      <c r="M1405" s="3">
        <f>IF(OR($M$1="",对接源_02物料!$C205="",对接源_02物料!$C205&lt;&gt;$M$1,对接源_02物料!$B205=""),0,IF(OR(N(对接源_02物料!$B205)&lt;$M$2,N(对接源_02物料!$B205)&gt;$M$3),0,1))</f>
        <v>0</v>
      </c>
      <c r="N1405" s="3">
        <f>IF(OR($N$1="",对接源_02物料!$C205="",对接源_02物料!$C205&lt;&gt;$N$1,对接源_02物料!$B205=""),0,IF(OR(N(对接源_02物料!$B205)&lt;$N$2,N(对接源_02物料!$B205)&gt;$N$3),0,1))</f>
        <v>0</v>
      </c>
      <c r="P1405" s="3">
        <f>IF(AND($K1405=1,AND(对接源_02物料!$X205="公司筐",N(对接源_02物料!$T205)&lt;&gt;0)),1,0)</f>
        <v>0</v>
      </c>
      <c r="Q1405" s="3">
        <f t="shared" si="369"/>
        <v>8</v>
      </c>
      <c r="R1405" s="3">
        <f>IF(AND($K1405=1,AND(对接源_02物料!$X205="公司筐",N(对接源_02物料!$U205)&lt;&gt;0)),1,0)</f>
        <v>0</v>
      </c>
      <c r="S1405" s="3">
        <f t="shared" si="370"/>
        <v>0</v>
      </c>
      <c r="T1405" s="3">
        <f>IF(AND($K1405=1,AND(对接源_02物料!$X205="公司筐",N(对接源_02物料!$V205)&lt;&gt;0)),1,0)</f>
        <v>0</v>
      </c>
      <c r="U1405" s="3">
        <f t="shared" si="371"/>
        <v>19</v>
      </c>
      <c r="V1405" s="3">
        <f>IF(AND($L1405=1,AND(对接源_02物料!$X205="自备筐",N(对接源_02物料!$V205)&lt;&gt;0)),1,0)</f>
        <v>0</v>
      </c>
      <c r="W1405" s="3">
        <f t="shared" si="372"/>
        <v>8</v>
      </c>
      <c r="X1405" s="3">
        <f>IF(AND($L1405=1,AND(对接源_02物料!$X205="自备筐",N(对接源_02物料!$T205)&lt;&gt;0)),1,0)</f>
        <v>0</v>
      </c>
      <c r="Y1405" s="3">
        <f t="shared" si="373"/>
        <v>0</v>
      </c>
      <c r="Z1405" s="3">
        <f>IF(AND($M1405=1,对接源_02物料!$D205="原料入库"),1,0)</f>
        <v>0</v>
      </c>
      <c r="AA1405" s="3">
        <f t="shared" si="374"/>
        <v>24</v>
      </c>
      <c r="AB1405" s="3">
        <f>IF(AND($M1405=1,LEFT(对接源_02物料!$D205,4)="原料出库"),1,0)</f>
        <v>0</v>
      </c>
      <c r="AC1405" s="3">
        <f t="shared" si="375"/>
        <v>0</v>
      </c>
      <c r="AD1405" s="3">
        <f>IF(AND($M1405=1,LEFT(对接源_02物料!$D205,4)="成品出库"),1,0)</f>
        <v>0</v>
      </c>
      <c r="AE1405" s="3">
        <f t="shared" si="376"/>
        <v>0</v>
      </c>
      <c r="AF1405" s="3">
        <f>IF(AND($N1405=1,AND(LEFT(对接源_02物料!$D205,4)="包装物料",N(对接源_02物料!$K205)&lt;&gt;0)),1,0)</f>
        <v>0</v>
      </c>
      <c r="AG1405" s="3">
        <f t="shared" si="377"/>
        <v>5</v>
      </c>
      <c r="AH1405" s="3">
        <f>IF(AND($N1405=1,AND(对接源_02物料!$D205="周转筐－销售出库",N(对接源_02物料!$K205)&lt;&gt;0)),1,0)</f>
        <v>0</v>
      </c>
      <c r="AI1405" s="3">
        <f t="shared" si="378"/>
        <v>0</v>
      </c>
      <c r="AL1405" s="3">
        <v>0</v>
      </c>
      <c r="AM1405" s="3">
        <f t="shared" si="379"/>
        <v>1</v>
      </c>
      <c r="AN1405" s="3" t="str">
        <f t="shared" si="383"/>
        <v/>
      </c>
      <c r="AO1405" s="3">
        <v>0</v>
      </c>
      <c r="AP1405" s="3">
        <f t="shared" si="380"/>
        <v>8</v>
      </c>
      <c r="AR1405">
        <f t="shared" si="381"/>
        <v>0</v>
      </c>
      <c r="AS1405">
        <f t="shared" si="382"/>
        <v>5</v>
      </c>
    </row>
    <row r="1406" customHeight="1" spans="1:45">
      <c r="A1406" s="3" t="str">
        <f>IF(对接源_02物料!$C206="","",对接源_02物料!$C206)</f>
        <v/>
      </c>
      <c r="B1406" s="3">
        <f t="shared" si="367"/>
        <v>0</v>
      </c>
      <c r="C1406" s="3">
        <f t="shared" si="368"/>
        <v>21</v>
      </c>
      <c r="K1406" s="3">
        <f>IF(OR($K$1="",对接源_02物料!$C206="",对接源_02物料!$C206&lt;&gt;$K$1,对接源_02物料!$B206=""),0,IF(OR(N(对接源_02物料!$B206)&lt;$K$2,N(对接源_02物料!$B206)&gt;$K$3),0,1))</f>
        <v>0</v>
      </c>
      <c r="L1406" s="3">
        <f>IF(OR($L$1="",对接源_02物料!$C206="",对接源_02物料!$C206&lt;&gt;$L$1,对接源_02物料!$B206=""),0,IF(OR(N(对接源_02物料!$B206)&lt;$L$2,N(对接源_02物料!$B206)&gt;$L$3),0,1))</f>
        <v>0</v>
      </c>
      <c r="M1406" s="3">
        <f>IF(OR($M$1="",对接源_02物料!$C206="",对接源_02物料!$C206&lt;&gt;$M$1,对接源_02物料!$B206=""),0,IF(OR(N(对接源_02物料!$B206)&lt;$M$2,N(对接源_02物料!$B206)&gt;$M$3),0,1))</f>
        <v>0</v>
      </c>
      <c r="N1406" s="3">
        <f>IF(OR($N$1="",对接源_02物料!$C206="",对接源_02物料!$C206&lt;&gt;$N$1,对接源_02物料!$B206=""),0,IF(OR(N(对接源_02物料!$B206)&lt;$N$2,N(对接源_02物料!$B206)&gt;$N$3),0,1))</f>
        <v>0</v>
      </c>
      <c r="P1406" s="3">
        <f>IF(AND($K1406=1,AND(对接源_02物料!$X206="公司筐",N(对接源_02物料!$T206)&lt;&gt;0)),1,0)</f>
        <v>0</v>
      </c>
      <c r="Q1406" s="3">
        <f t="shared" si="369"/>
        <v>8</v>
      </c>
      <c r="R1406" s="3">
        <f>IF(AND($K1406=1,AND(对接源_02物料!$X206="公司筐",N(对接源_02物料!$U206)&lt;&gt;0)),1,0)</f>
        <v>0</v>
      </c>
      <c r="S1406" s="3">
        <f t="shared" si="370"/>
        <v>0</v>
      </c>
      <c r="T1406" s="3">
        <f>IF(AND($K1406=1,AND(对接源_02物料!$X206="公司筐",N(对接源_02物料!$V206)&lt;&gt;0)),1,0)</f>
        <v>0</v>
      </c>
      <c r="U1406" s="3">
        <f t="shared" si="371"/>
        <v>19</v>
      </c>
      <c r="V1406" s="3">
        <f>IF(AND($L1406=1,AND(对接源_02物料!$X206="自备筐",N(对接源_02物料!$V206)&lt;&gt;0)),1,0)</f>
        <v>0</v>
      </c>
      <c r="W1406" s="3">
        <f t="shared" si="372"/>
        <v>8</v>
      </c>
      <c r="X1406" s="3">
        <f>IF(AND($L1406=1,AND(对接源_02物料!$X206="自备筐",N(对接源_02物料!$T206)&lt;&gt;0)),1,0)</f>
        <v>0</v>
      </c>
      <c r="Y1406" s="3">
        <f t="shared" si="373"/>
        <v>0</v>
      </c>
      <c r="Z1406" s="3">
        <f>IF(AND($M1406=1,对接源_02物料!$D206="原料入库"),1,0)</f>
        <v>0</v>
      </c>
      <c r="AA1406" s="3">
        <f t="shared" si="374"/>
        <v>24</v>
      </c>
      <c r="AB1406" s="3">
        <f>IF(AND($M1406=1,LEFT(对接源_02物料!$D206,4)="原料出库"),1,0)</f>
        <v>0</v>
      </c>
      <c r="AC1406" s="3">
        <f t="shared" si="375"/>
        <v>0</v>
      </c>
      <c r="AD1406" s="3">
        <f>IF(AND($M1406=1,LEFT(对接源_02物料!$D206,4)="成品出库"),1,0)</f>
        <v>0</v>
      </c>
      <c r="AE1406" s="3">
        <f t="shared" si="376"/>
        <v>0</v>
      </c>
      <c r="AF1406" s="3">
        <f>IF(AND($N1406=1,AND(LEFT(对接源_02物料!$D206,4)="包装物料",N(对接源_02物料!$K206)&lt;&gt;0)),1,0)</f>
        <v>0</v>
      </c>
      <c r="AG1406" s="3">
        <f t="shared" si="377"/>
        <v>5</v>
      </c>
      <c r="AH1406" s="3">
        <f>IF(AND($N1406=1,AND(对接源_02物料!$D206="周转筐－销售出库",N(对接源_02物料!$K206)&lt;&gt;0)),1,0)</f>
        <v>0</v>
      </c>
      <c r="AI1406" s="3">
        <f t="shared" si="378"/>
        <v>0</v>
      </c>
      <c r="AL1406" s="3">
        <v>0</v>
      </c>
      <c r="AM1406" s="3">
        <f t="shared" si="379"/>
        <v>1</v>
      </c>
      <c r="AN1406" s="3" t="str">
        <f t="shared" si="383"/>
        <v/>
      </c>
      <c r="AO1406" s="3">
        <v>0</v>
      </c>
      <c r="AP1406" s="3">
        <f t="shared" si="380"/>
        <v>8</v>
      </c>
      <c r="AR1406">
        <f t="shared" si="381"/>
        <v>0</v>
      </c>
      <c r="AS1406">
        <f t="shared" si="382"/>
        <v>5</v>
      </c>
    </row>
    <row r="1407" customHeight="1" spans="1:45">
      <c r="A1407" s="3" t="str">
        <f>IF(对接源_02物料!$C207="","",对接源_02物料!$C207)</f>
        <v/>
      </c>
      <c r="B1407" s="3">
        <f t="shared" si="367"/>
        <v>0</v>
      </c>
      <c r="C1407" s="3">
        <f t="shared" si="368"/>
        <v>21</v>
      </c>
      <c r="K1407" s="3">
        <f>IF(OR($K$1="",对接源_02物料!$C207="",对接源_02物料!$C207&lt;&gt;$K$1,对接源_02物料!$B207=""),0,IF(OR(N(对接源_02物料!$B207)&lt;$K$2,N(对接源_02物料!$B207)&gt;$K$3),0,1))</f>
        <v>0</v>
      </c>
      <c r="L1407" s="3">
        <f>IF(OR($L$1="",对接源_02物料!$C207="",对接源_02物料!$C207&lt;&gt;$L$1,对接源_02物料!$B207=""),0,IF(OR(N(对接源_02物料!$B207)&lt;$L$2,N(对接源_02物料!$B207)&gt;$L$3),0,1))</f>
        <v>0</v>
      </c>
      <c r="M1407" s="3">
        <f>IF(OR($M$1="",对接源_02物料!$C207="",对接源_02物料!$C207&lt;&gt;$M$1,对接源_02物料!$B207=""),0,IF(OR(N(对接源_02物料!$B207)&lt;$M$2,N(对接源_02物料!$B207)&gt;$M$3),0,1))</f>
        <v>0</v>
      </c>
      <c r="N1407" s="3">
        <f>IF(OR($N$1="",对接源_02物料!$C207="",对接源_02物料!$C207&lt;&gt;$N$1,对接源_02物料!$B207=""),0,IF(OR(N(对接源_02物料!$B207)&lt;$N$2,N(对接源_02物料!$B207)&gt;$N$3),0,1))</f>
        <v>0</v>
      </c>
      <c r="P1407" s="3">
        <f>IF(AND($K1407=1,AND(对接源_02物料!$X207="公司筐",N(对接源_02物料!$T207)&lt;&gt;0)),1,0)</f>
        <v>0</v>
      </c>
      <c r="Q1407" s="3">
        <f t="shared" si="369"/>
        <v>8</v>
      </c>
      <c r="R1407" s="3">
        <f>IF(AND($K1407=1,AND(对接源_02物料!$X207="公司筐",N(对接源_02物料!$U207)&lt;&gt;0)),1,0)</f>
        <v>0</v>
      </c>
      <c r="S1407" s="3">
        <f t="shared" si="370"/>
        <v>0</v>
      </c>
      <c r="T1407" s="3">
        <f>IF(AND($K1407=1,AND(对接源_02物料!$X207="公司筐",N(对接源_02物料!$V207)&lt;&gt;0)),1,0)</f>
        <v>0</v>
      </c>
      <c r="U1407" s="3">
        <f t="shared" si="371"/>
        <v>19</v>
      </c>
      <c r="V1407" s="3">
        <f>IF(AND($L1407=1,AND(对接源_02物料!$X207="自备筐",N(对接源_02物料!$V207)&lt;&gt;0)),1,0)</f>
        <v>0</v>
      </c>
      <c r="W1407" s="3">
        <f t="shared" si="372"/>
        <v>8</v>
      </c>
      <c r="X1407" s="3">
        <f>IF(AND($L1407=1,AND(对接源_02物料!$X207="自备筐",N(对接源_02物料!$T207)&lt;&gt;0)),1,0)</f>
        <v>0</v>
      </c>
      <c r="Y1407" s="3">
        <f t="shared" si="373"/>
        <v>0</v>
      </c>
      <c r="Z1407" s="3">
        <f>IF(AND($M1407=1,对接源_02物料!$D207="原料入库"),1,0)</f>
        <v>0</v>
      </c>
      <c r="AA1407" s="3">
        <f t="shared" si="374"/>
        <v>24</v>
      </c>
      <c r="AB1407" s="3">
        <f>IF(AND($M1407=1,LEFT(对接源_02物料!$D207,4)="原料出库"),1,0)</f>
        <v>0</v>
      </c>
      <c r="AC1407" s="3">
        <f t="shared" si="375"/>
        <v>0</v>
      </c>
      <c r="AD1407" s="3">
        <f>IF(AND($M1407=1,LEFT(对接源_02物料!$D207,4)="成品出库"),1,0)</f>
        <v>0</v>
      </c>
      <c r="AE1407" s="3">
        <f t="shared" si="376"/>
        <v>0</v>
      </c>
      <c r="AF1407" s="3">
        <f>IF(AND($N1407=1,AND(LEFT(对接源_02物料!$D207,4)="包装物料",N(对接源_02物料!$K207)&lt;&gt;0)),1,0)</f>
        <v>0</v>
      </c>
      <c r="AG1407" s="3">
        <f t="shared" si="377"/>
        <v>5</v>
      </c>
      <c r="AH1407" s="3">
        <f>IF(AND($N1407=1,AND(对接源_02物料!$D207="周转筐－销售出库",N(对接源_02物料!$K207)&lt;&gt;0)),1,0)</f>
        <v>0</v>
      </c>
      <c r="AI1407" s="3">
        <f t="shared" si="378"/>
        <v>0</v>
      </c>
      <c r="AL1407" s="3">
        <v>0</v>
      </c>
      <c r="AM1407" s="3">
        <f t="shared" si="379"/>
        <v>1</v>
      </c>
      <c r="AN1407" s="3" t="str">
        <f t="shared" si="383"/>
        <v/>
      </c>
      <c r="AO1407" s="3">
        <v>0</v>
      </c>
      <c r="AP1407" s="3">
        <f t="shared" si="380"/>
        <v>8</v>
      </c>
      <c r="AR1407">
        <f t="shared" si="381"/>
        <v>0</v>
      </c>
      <c r="AS1407">
        <f t="shared" si="382"/>
        <v>5</v>
      </c>
    </row>
    <row r="1408" customHeight="1" spans="1:45">
      <c r="A1408" s="3" t="str">
        <f>IF(对接源_02物料!$C208="","",对接源_02物料!$C208)</f>
        <v/>
      </c>
      <c r="B1408" s="3">
        <f t="shared" si="367"/>
        <v>0</v>
      </c>
      <c r="C1408" s="3">
        <f t="shared" si="368"/>
        <v>21</v>
      </c>
      <c r="K1408" s="3">
        <f>IF(OR($K$1="",对接源_02物料!$C208="",对接源_02物料!$C208&lt;&gt;$K$1,对接源_02物料!$B208=""),0,IF(OR(N(对接源_02物料!$B208)&lt;$K$2,N(对接源_02物料!$B208)&gt;$K$3),0,1))</f>
        <v>0</v>
      </c>
      <c r="L1408" s="3">
        <f>IF(OR($L$1="",对接源_02物料!$C208="",对接源_02物料!$C208&lt;&gt;$L$1,对接源_02物料!$B208=""),0,IF(OR(N(对接源_02物料!$B208)&lt;$L$2,N(对接源_02物料!$B208)&gt;$L$3),0,1))</f>
        <v>0</v>
      </c>
      <c r="M1408" s="3">
        <f>IF(OR($M$1="",对接源_02物料!$C208="",对接源_02物料!$C208&lt;&gt;$M$1,对接源_02物料!$B208=""),0,IF(OR(N(对接源_02物料!$B208)&lt;$M$2,N(对接源_02物料!$B208)&gt;$M$3),0,1))</f>
        <v>0</v>
      </c>
      <c r="N1408" s="3">
        <f>IF(OR($N$1="",对接源_02物料!$C208="",对接源_02物料!$C208&lt;&gt;$N$1,对接源_02物料!$B208=""),0,IF(OR(N(对接源_02物料!$B208)&lt;$N$2,N(对接源_02物料!$B208)&gt;$N$3),0,1))</f>
        <v>0</v>
      </c>
      <c r="P1408" s="3">
        <f>IF(AND($K1408=1,AND(对接源_02物料!$X208="公司筐",N(对接源_02物料!$T208)&lt;&gt;0)),1,0)</f>
        <v>0</v>
      </c>
      <c r="Q1408" s="3">
        <f t="shared" si="369"/>
        <v>8</v>
      </c>
      <c r="R1408" s="3">
        <f>IF(AND($K1408=1,AND(对接源_02物料!$X208="公司筐",N(对接源_02物料!$U208)&lt;&gt;0)),1,0)</f>
        <v>0</v>
      </c>
      <c r="S1408" s="3">
        <f t="shared" si="370"/>
        <v>0</v>
      </c>
      <c r="T1408" s="3">
        <f>IF(AND($K1408=1,AND(对接源_02物料!$X208="公司筐",N(对接源_02物料!$V208)&lt;&gt;0)),1,0)</f>
        <v>0</v>
      </c>
      <c r="U1408" s="3">
        <f t="shared" si="371"/>
        <v>19</v>
      </c>
      <c r="V1408" s="3">
        <f>IF(AND($L1408=1,AND(对接源_02物料!$X208="自备筐",N(对接源_02物料!$V208)&lt;&gt;0)),1,0)</f>
        <v>0</v>
      </c>
      <c r="W1408" s="3">
        <f t="shared" si="372"/>
        <v>8</v>
      </c>
      <c r="X1408" s="3">
        <f>IF(AND($L1408=1,AND(对接源_02物料!$X208="自备筐",N(对接源_02物料!$T208)&lt;&gt;0)),1,0)</f>
        <v>0</v>
      </c>
      <c r="Y1408" s="3">
        <f t="shared" si="373"/>
        <v>0</v>
      </c>
      <c r="Z1408" s="3">
        <f>IF(AND($M1408=1,对接源_02物料!$D208="原料入库"),1,0)</f>
        <v>0</v>
      </c>
      <c r="AA1408" s="3">
        <f t="shared" si="374"/>
        <v>24</v>
      </c>
      <c r="AB1408" s="3">
        <f>IF(AND($M1408=1,LEFT(对接源_02物料!$D208,4)="原料出库"),1,0)</f>
        <v>0</v>
      </c>
      <c r="AC1408" s="3">
        <f t="shared" si="375"/>
        <v>0</v>
      </c>
      <c r="AD1408" s="3">
        <f>IF(AND($M1408=1,LEFT(对接源_02物料!$D208,4)="成品出库"),1,0)</f>
        <v>0</v>
      </c>
      <c r="AE1408" s="3">
        <f t="shared" si="376"/>
        <v>0</v>
      </c>
      <c r="AF1408" s="3">
        <f>IF(AND($N1408=1,AND(LEFT(对接源_02物料!$D208,4)="包装物料",N(对接源_02物料!$K208)&lt;&gt;0)),1,0)</f>
        <v>0</v>
      </c>
      <c r="AG1408" s="3">
        <f t="shared" si="377"/>
        <v>5</v>
      </c>
      <c r="AH1408" s="3">
        <f>IF(AND($N1408=1,AND(对接源_02物料!$D208="周转筐－销售出库",N(对接源_02物料!$K208)&lt;&gt;0)),1,0)</f>
        <v>0</v>
      </c>
      <c r="AI1408" s="3">
        <f t="shared" si="378"/>
        <v>0</v>
      </c>
      <c r="AL1408" s="3">
        <v>0</v>
      </c>
      <c r="AM1408" s="3">
        <f t="shared" si="379"/>
        <v>1</v>
      </c>
      <c r="AN1408" s="3" t="str">
        <f t="shared" si="383"/>
        <v/>
      </c>
      <c r="AO1408" s="3">
        <v>0</v>
      </c>
      <c r="AP1408" s="3">
        <f t="shared" si="380"/>
        <v>8</v>
      </c>
      <c r="AR1408">
        <f t="shared" si="381"/>
        <v>0</v>
      </c>
      <c r="AS1408">
        <f t="shared" si="382"/>
        <v>5</v>
      </c>
    </row>
    <row r="1409" customHeight="1" spans="1:45">
      <c r="A1409" s="3" t="str">
        <f>IF(对接源_02物料!$C209="","",对接源_02物料!$C209)</f>
        <v/>
      </c>
      <c r="B1409" s="3">
        <f t="shared" si="367"/>
        <v>0</v>
      </c>
      <c r="C1409" s="3">
        <f t="shared" si="368"/>
        <v>21</v>
      </c>
      <c r="K1409" s="3">
        <f>IF(OR($K$1="",对接源_02物料!$C209="",对接源_02物料!$C209&lt;&gt;$K$1,对接源_02物料!$B209=""),0,IF(OR(N(对接源_02物料!$B209)&lt;$K$2,N(对接源_02物料!$B209)&gt;$K$3),0,1))</f>
        <v>0</v>
      </c>
      <c r="L1409" s="3">
        <f>IF(OR($L$1="",对接源_02物料!$C209="",对接源_02物料!$C209&lt;&gt;$L$1,对接源_02物料!$B209=""),0,IF(OR(N(对接源_02物料!$B209)&lt;$L$2,N(对接源_02物料!$B209)&gt;$L$3),0,1))</f>
        <v>0</v>
      </c>
      <c r="M1409" s="3">
        <f>IF(OR($M$1="",对接源_02物料!$C209="",对接源_02物料!$C209&lt;&gt;$M$1,对接源_02物料!$B209=""),0,IF(OR(N(对接源_02物料!$B209)&lt;$M$2,N(对接源_02物料!$B209)&gt;$M$3),0,1))</f>
        <v>0</v>
      </c>
      <c r="N1409" s="3">
        <f>IF(OR($N$1="",对接源_02物料!$C209="",对接源_02物料!$C209&lt;&gt;$N$1,对接源_02物料!$B209=""),0,IF(OR(N(对接源_02物料!$B209)&lt;$N$2,N(对接源_02物料!$B209)&gt;$N$3),0,1))</f>
        <v>0</v>
      </c>
      <c r="P1409" s="3">
        <f>IF(AND($K1409=1,AND(对接源_02物料!$X209="公司筐",N(对接源_02物料!$T209)&lt;&gt;0)),1,0)</f>
        <v>0</v>
      </c>
      <c r="Q1409" s="3">
        <f t="shared" si="369"/>
        <v>8</v>
      </c>
      <c r="R1409" s="3">
        <f>IF(AND($K1409=1,AND(对接源_02物料!$X209="公司筐",N(对接源_02物料!$U209)&lt;&gt;0)),1,0)</f>
        <v>0</v>
      </c>
      <c r="S1409" s="3">
        <f t="shared" si="370"/>
        <v>0</v>
      </c>
      <c r="T1409" s="3">
        <f>IF(AND($K1409=1,AND(对接源_02物料!$X209="公司筐",N(对接源_02物料!$V209)&lt;&gt;0)),1,0)</f>
        <v>0</v>
      </c>
      <c r="U1409" s="3">
        <f t="shared" si="371"/>
        <v>19</v>
      </c>
      <c r="V1409" s="3">
        <f>IF(AND($L1409=1,AND(对接源_02物料!$X209="自备筐",N(对接源_02物料!$V209)&lt;&gt;0)),1,0)</f>
        <v>0</v>
      </c>
      <c r="W1409" s="3">
        <f t="shared" si="372"/>
        <v>8</v>
      </c>
      <c r="X1409" s="3">
        <f>IF(AND($L1409=1,AND(对接源_02物料!$X209="自备筐",N(对接源_02物料!$T209)&lt;&gt;0)),1,0)</f>
        <v>0</v>
      </c>
      <c r="Y1409" s="3">
        <f t="shared" si="373"/>
        <v>0</v>
      </c>
      <c r="Z1409" s="3">
        <f>IF(AND($M1409=1,对接源_02物料!$D209="原料入库"),1,0)</f>
        <v>0</v>
      </c>
      <c r="AA1409" s="3">
        <f t="shared" si="374"/>
        <v>24</v>
      </c>
      <c r="AB1409" s="3">
        <f>IF(AND($M1409=1,LEFT(对接源_02物料!$D209,4)="原料出库"),1,0)</f>
        <v>0</v>
      </c>
      <c r="AC1409" s="3">
        <f t="shared" si="375"/>
        <v>0</v>
      </c>
      <c r="AD1409" s="3">
        <f>IF(AND($M1409=1,LEFT(对接源_02物料!$D209,4)="成品出库"),1,0)</f>
        <v>0</v>
      </c>
      <c r="AE1409" s="3">
        <f t="shared" si="376"/>
        <v>0</v>
      </c>
      <c r="AF1409" s="3">
        <f>IF(AND($N1409=1,AND(LEFT(对接源_02物料!$D209,4)="包装物料",N(对接源_02物料!$K209)&lt;&gt;0)),1,0)</f>
        <v>0</v>
      </c>
      <c r="AG1409" s="3">
        <f t="shared" si="377"/>
        <v>5</v>
      </c>
      <c r="AH1409" s="3">
        <f>IF(AND($N1409=1,AND(对接源_02物料!$D209="周转筐－销售出库",N(对接源_02物料!$K209)&lt;&gt;0)),1,0)</f>
        <v>0</v>
      </c>
      <c r="AI1409" s="3">
        <f t="shared" si="378"/>
        <v>0</v>
      </c>
      <c r="AL1409" s="3">
        <v>0</v>
      </c>
      <c r="AM1409" s="3">
        <f t="shared" si="379"/>
        <v>1</v>
      </c>
      <c r="AN1409" s="3" t="str">
        <f t="shared" si="383"/>
        <v/>
      </c>
      <c r="AO1409" s="3">
        <v>0</v>
      </c>
      <c r="AP1409" s="3">
        <f t="shared" si="380"/>
        <v>8</v>
      </c>
      <c r="AR1409">
        <f t="shared" si="381"/>
        <v>0</v>
      </c>
      <c r="AS1409">
        <f t="shared" si="382"/>
        <v>5</v>
      </c>
    </row>
    <row r="1410" customHeight="1" spans="1:45">
      <c r="A1410" s="3" t="str">
        <f>IF(对接源_02物料!$C210="","",对接源_02物料!$C210)</f>
        <v/>
      </c>
      <c r="B1410" s="3">
        <f t="shared" si="367"/>
        <v>0</v>
      </c>
      <c r="C1410" s="3">
        <f t="shared" si="368"/>
        <v>21</v>
      </c>
      <c r="K1410" s="3">
        <f>IF(OR($K$1="",对接源_02物料!$C210="",对接源_02物料!$C210&lt;&gt;$K$1,对接源_02物料!$B210=""),0,IF(OR(N(对接源_02物料!$B210)&lt;$K$2,N(对接源_02物料!$B210)&gt;$K$3),0,1))</f>
        <v>0</v>
      </c>
      <c r="L1410" s="3">
        <f>IF(OR($L$1="",对接源_02物料!$C210="",对接源_02物料!$C210&lt;&gt;$L$1,对接源_02物料!$B210=""),0,IF(OR(N(对接源_02物料!$B210)&lt;$L$2,N(对接源_02物料!$B210)&gt;$L$3),0,1))</f>
        <v>0</v>
      </c>
      <c r="M1410" s="3">
        <f>IF(OR($M$1="",对接源_02物料!$C210="",对接源_02物料!$C210&lt;&gt;$M$1,对接源_02物料!$B210=""),0,IF(OR(N(对接源_02物料!$B210)&lt;$M$2,N(对接源_02物料!$B210)&gt;$M$3),0,1))</f>
        <v>0</v>
      </c>
      <c r="N1410" s="3">
        <f>IF(OR($N$1="",对接源_02物料!$C210="",对接源_02物料!$C210&lt;&gt;$N$1,对接源_02物料!$B210=""),0,IF(OR(N(对接源_02物料!$B210)&lt;$N$2,N(对接源_02物料!$B210)&gt;$N$3),0,1))</f>
        <v>0</v>
      </c>
      <c r="P1410" s="3">
        <f>IF(AND($K1410=1,AND(对接源_02物料!$X210="公司筐",N(对接源_02物料!$T210)&lt;&gt;0)),1,0)</f>
        <v>0</v>
      </c>
      <c r="Q1410" s="3">
        <f t="shared" si="369"/>
        <v>8</v>
      </c>
      <c r="R1410" s="3">
        <f>IF(AND($K1410=1,AND(对接源_02物料!$X210="公司筐",N(对接源_02物料!$U210)&lt;&gt;0)),1,0)</f>
        <v>0</v>
      </c>
      <c r="S1410" s="3">
        <f t="shared" si="370"/>
        <v>0</v>
      </c>
      <c r="T1410" s="3">
        <f>IF(AND($K1410=1,AND(对接源_02物料!$X210="公司筐",N(对接源_02物料!$V210)&lt;&gt;0)),1,0)</f>
        <v>0</v>
      </c>
      <c r="U1410" s="3">
        <f t="shared" si="371"/>
        <v>19</v>
      </c>
      <c r="V1410" s="3">
        <f>IF(AND($L1410=1,AND(对接源_02物料!$X210="自备筐",N(对接源_02物料!$V210)&lt;&gt;0)),1,0)</f>
        <v>0</v>
      </c>
      <c r="W1410" s="3">
        <f t="shared" si="372"/>
        <v>8</v>
      </c>
      <c r="X1410" s="3">
        <f>IF(AND($L1410=1,AND(对接源_02物料!$X210="自备筐",N(对接源_02物料!$T210)&lt;&gt;0)),1,0)</f>
        <v>0</v>
      </c>
      <c r="Y1410" s="3">
        <f t="shared" si="373"/>
        <v>0</v>
      </c>
      <c r="Z1410" s="3">
        <f>IF(AND($M1410=1,对接源_02物料!$D210="原料入库"),1,0)</f>
        <v>0</v>
      </c>
      <c r="AA1410" s="3">
        <f t="shared" si="374"/>
        <v>24</v>
      </c>
      <c r="AB1410" s="3">
        <f>IF(AND($M1410=1,LEFT(对接源_02物料!$D210,4)="原料出库"),1,0)</f>
        <v>0</v>
      </c>
      <c r="AC1410" s="3">
        <f t="shared" si="375"/>
        <v>0</v>
      </c>
      <c r="AD1410" s="3">
        <f>IF(AND($M1410=1,LEFT(对接源_02物料!$D210,4)="成品出库"),1,0)</f>
        <v>0</v>
      </c>
      <c r="AE1410" s="3">
        <f t="shared" si="376"/>
        <v>0</v>
      </c>
      <c r="AF1410" s="3">
        <f>IF(AND($N1410=1,AND(LEFT(对接源_02物料!$D210,4)="包装物料",N(对接源_02物料!$K210)&lt;&gt;0)),1,0)</f>
        <v>0</v>
      </c>
      <c r="AG1410" s="3">
        <f t="shared" si="377"/>
        <v>5</v>
      </c>
      <c r="AH1410" s="3">
        <f>IF(AND($N1410=1,AND(对接源_02物料!$D210="周转筐－销售出库",N(对接源_02物料!$K210)&lt;&gt;0)),1,0)</f>
        <v>0</v>
      </c>
      <c r="AI1410" s="3">
        <f t="shared" si="378"/>
        <v>0</v>
      </c>
      <c r="AL1410" s="3">
        <v>0</v>
      </c>
      <c r="AM1410" s="3">
        <f t="shared" si="379"/>
        <v>1</v>
      </c>
      <c r="AN1410" s="3" t="str">
        <f t="shared" si="383"/>
        <v/>
      </c>
      <c r="AO1410" s="3">
        <v>0</v>
      </c>
      <c r="AP1410" s="3">
        <f t="shared" si="380"/>
        <v>8</v>
      </c>
      <c r="AR1410">
        <f t="shared" si="381"/>
        <v>0</v>
      </c>
      <c r="AS1410">
        <f t="shared" si="382"/>
        <v>5</v>
      </c>
    </row>
    <row r="1411" customHeight="1" spans="1:45">
      <c r="A1411" s="3" t="str">
        <f>IF(对接源_02物料!$C211="","",对接源_02物料!$C211)</f>
        <v/>
      </c>
      <c r="B1411" s="3">
        <f t="shared" si="367"/>
        <v>0</v>
      </c>
      <c r="C1411" s="3">
        <f t="shared" si="368"/>
        <v>21</v>
      </c>
      <c r="K1411" s="3">
        <f>IF(OR($K$1="",对接源_02物料!$C211="",对接源_02物料!$C211&lt;&gt;$K$1,对接源_02物料!$B211=""),0,IF(OR(N(对接源_02物料!$B211)&lt;$K$2,N(对接源_02物料!$B211)&gt;$K$3),0,1))</f>
        <v>0</v>
      </c>
      <c r="L1411" s="3">
        <f>IF(OR($L$1="",对接源_02物料!$C211="",对接源_02物料!$C211&lt;&gt;$L$1,对接源_02物料!$B211=""),0,IF(OR(N(对接源_02物料!$B211)&lt;$L$2,N(对接源_02物料!$B211)&gt;$L$3),0,1))</f>
        <v>0</v>
      </c>
      <c r="M1411" s="3">
        <f>IF(OR($M$1="",对接源_02物料!$C211="",对接源_02物料!$C211&lt;&gt;$M$1,对接源_02物料!$B211=""),0,IF(OR(N(对接源_02物料!$B211)&lt;$M$2,N(对接源_02物料!$B211)&gt;$M$3),0,1))</f>
        <v>0</v>
      </c>
      <c r="N1411" s="3">
        <f>IF(OR($N$1="",对接源_02物料!$C211="",对接源_02物料!$C211&lt;&gt;$N$1,对接源_02物料!$B211=""),0,IF(OR(N(对接源_02物料!$B211)&lt;$N$2,N(对接源_02物料!$B211)&gt;$N$3),0,1))</f>
        <v>0</v>
      </c>
      <c r="P1411" s="3">
        <f>IF(AND($K1411=1,AND(对接源_02物料!$X211="公司筐",N(对接源_02物料!$T211)&lt;&gt;0)),1,0)</f>
        <v>0</v>
      </c>
      <c r="Q1411" s="3">
        <f t="shared" si="369"/>
        <v>8</v>
      </c>
      <c r="R1411" s="3">
        <f>IF(AND($K1411=1,AND(对接源_02物料!$X211="公司筐",N(对接源_02物料!$U211)&lt;&gt;0)),1,0)</f>
        <v>0</v>
      </c>
      <c r="S1411" s="3">
        <f t="shared" si="370"/>
        <v>0</v>
      </c>
      <c r="T1411" s="3">
        <f>IF(AND($K1411=1,AND(对接源_02物料!$X211="公司筐",N(对接源_02物料!$V211)&lt;&gt;0)),1,0)</f>
        <v>0</v>
      </c>
      <c r="U1411" s="3">
        <f t="shared" si="371"/>
        <v>19</v>
      </c>
      <c r="V1411" s="3">
        <f>IF(AND($L1411=1,AND(对接源_02物料!$X211="自备筐",N(对接源_02物料!$V211)&lt;&gt;0)),1,0)</f>
        <v>0</v>
      </c>
      <c r="W1411" s="3">
        <f t="shared" si="372"/>
        <v>8</v>
      </c>
      <c r="X1411" s="3">
        <f>IF(AND($L1411=1,AND(对接源_02物料!$X211="自备筐",N(对接源_02物料!$T211)&lt;&gt;0)),1,0)</f>
        <v>0</v>
      </c>
      <c r="Y1411" s="3">
        <f t="shared" si="373"/>
        <v>0</v>
      </c>
      <c r="Z1411" s="3">
        <f>IF(AND($M1411=1,对接源_02物料!$D211="原料入库"),1,0)</f>
        <v>0</v>
      </c>
      <c r="AA1411" s="3">
        <f t="shared" si="374"/>
        <v>24</v>
      </c>
      <c r="AB1411" s="3">
        <f>IF(AND($M1411=1,LEFT(对接源_02物料!$D211,4)="原料出库"),1,0)</f>
        <v>0</v>
      </c>
      <c r="AC1411" s="3">
        <f t="shared" si="375"/>
        <v>0</v>
      </c>
      <c r="AD1411" s="3">
        <f>IF(AND($M1411=1,LEFT(对接源_02物料!$D211,4)="成品出库"),1,0)</f>
        <v>0</v>
      </c>
      <c r="AE1411" s="3">
        <f t="shared" si="376"/>
        <v>0</v>
      </c>
      <c r="AF1411" s="3">
        <f>IF(AND($N1411=1,AND(LEFT(对接源_02物料!$D211,4)="包装物料",N(对接源_02物料!$K211)&lt;&gt;0)),1,0)</f>
        <v>0</v>
      </c>
      <c r="AG1411" s="3">
        <f t="shared" si="377"/>
        <v>5</v>
      </c>
      <c r="AH1411" s="3">
        <f>IF(AND($N1411=1,AND(对接源_02物料!$D211="周转筐－销售出库",N(对接源_02物料!$K211)&lt;&gt;0)),1,0)</f>
        <v>0</v>
      </c>
      <c r="AI1411" s="3">
        <f t="shared" si="378"/>
        <v>0</v>
      </c>
      <c r="AL1411" s="3">
        <v>0</v>
      </c>
      <c r="AM1411" s="3">
        <f t="shared" si="379"/>
        <v>1</v>
      </c>
      <c r="AN1411" s="3" t="str">
        <f t="shared" si="383"/>
        <v/>
      </c>
      <c r="AO1411" s="3">
        <v>0</v>
      </c>
      <c r="AP1411" s="3">
        <f t="shared" si="380"/>
        <v>8</v>
      </c>
      <c r="AR1411">
        <f t="shared" si="381"/>
        <v>0</v>
      </c>
      <c r="AS1411">
        <f t="shared" si="382"/>
        <v>5</v>
      </c>
    </row>
    <row r="1412" customHeight="1" spans="1:45">
      <c r="A1412" s="3" t="str">
        <f>IF(对接源_02物料!$C212="","",对接源_02物料!$C212)</f>
        <v/>
      </c>
      <c r="B1412" s="3">
        <f t="shared" ref="B1412:B1475" si="384">IF(A1412="",0,IF(MATCH(A1412,$A$4:$A$2403,0)=ROW()-3,1,0))</f>
        <v>0</v>
      </c>
      <c r="C1412" s="3">
        <f t="shared" ref="C1412:C1475" si="385">N(C1411)+B1412</f>
        <v>21</v>
      </c>
      <c r="K1412" s="3">
        <f>IF(OR($K$1="",对接源_02物料!$C212="",对接源_02物料!$C212&lt;&gt;$K$1,对接源_02物料!$B212=""),0,IF(OR(N(对接源_02物料!$B212)&lt;$K$2,N(对接源_02物料!$B212)&gt;$K$3),0,1))</f>
        <v>0</v>
      </c>
      <c r="L1412" s="3">
        <f>IF(OR($L$1="",对接源_02物料!$C212="",对接源_02物料!$C212&lt;&gt;$L$1,对接源_02物料!$B212=""),0,IF(OR(N(对接源_02物料!$B212)&lt;$L$2,N(对接源_02物料!$B212)&gt;$L$3),0,1))</f>
        <v>0</v>
      </c>
      <c r="M1412" s="3">
        <f>IF(OR($M$1="",对接源_02物料!$C212="",对接源_02物料!$C212&lt;&gt;$M$1,对接源_02物料!$B212=""),0,IF(OR(N(对接源_02物料!$B212)&lt;$M$2,N(对接源_02物料!$B212)&gt;$M$3),0,1))</f>
        <v>0</v>
      </c>
      <c r="N1412" s="3">
        <f>IF(OR($N$1="",对接源_02物料!$C212="",对接源_02物料!$C212&lt;&gt;$N$1,对接源_02物料!$B212=""),0,IF(OR(N(对接源_02物料!$B212)&lt;$N$2,N(对接源_02物料!$B212)&gt;$N$3),0,1))</f>
        <v>0</v>
      </c>
      <c r="P1412" s="3">
        <f>IF(AND($K1412=1,AND(对接源_02物料!$X212="公司筐",N(对接源_02物料!$T212)&lt;&gt;0)),1,0)</f>
        <v>0</v>
      </c>
      <c r="Q1412" s="3">
        <f t="shared" ref="Q1412:Q1475" si="386">N(Q1411)+$P1412</f>
        <v>8</v>
      </c>
      <c r="R1412" s="3">
        <f>IF(AND($K1412=1,AND(对接源_02物料!$X212="公司筐",N(对接源_02物料!$U212)&lt;&gt;0)),1,0)</f>
        <v>0</v>
      </c>
      <c r="S1412" s="3">
        <f t="shared" ref="S1412:S1475" si="387">N(S1411)+$R1412</f>
        <v>0</v>
      </c>
      <c r="T1412" s="3">
        <f>IF(AND($K1412=1,AND(对接源_02物料!$X212="公司筐",N(对接源_02物料!$V212)&lt;&gt;0)),1,0)</f>
        <v>0</v>
      </c>
      <c r="U1412" s="3">
        <f t="shared" ref="U1412:U1475" si="388">N(U1411)+$T1412</f>
        <v>19</v>
      </c>
      <c r="V1412" s="3">
        <f>IF(AND($L1412=1,AND(对接源_02物料!$X212="自备筐",N(对接源_02物料!$V212)&lt;&gt;0)),1,0)</f>
        <v>0</v>
      </c>
      <c r="W1412" s="3">
        <f t="shared" ref="W1412:W1475" si="389">N(W1411)+$V1412</f>
        <v>8</v>
      </c>
      <c r="X1412" s="3">
        <f>IF(AND($L1412=1,AND(对接源_02物料!$X212="自备筐",N(对接源_02物料!$T212)&lt;&gt;0)),1,0)</f>
        <v>0</v>
      </c>
      <c r="Y1412" s="3">
        <f t="shared" ref="Y1412:Y1475" si="390">N(Y1411)+$X1412</f>
        <v>0</v>
      </c>
      <c r="Z1412" s="3">
        <f>IF(AND($M1412=1,对接源_02物料!$D212="原料入库"),1,0)</f>
        <v>0</v>
      </c>
      <c r="AA1412" s="3">
        <f t="shared" ref="AA1412:AA1475" si="391">N(AA1411)+$Z1412</f>
        <v>24</v>
      </c>
      <c r="AB1412" s="3">
        <f>IF(AND($M1412=1,LEFT(对接源_02物料!$D212,4)="原料出库"),1,0)</f>
        <v>0</v>
      </c>
      <c r="AC1412" s="3">
        <f t="shared" ref="AC1412:AC1475" si="392">N(AC1411)+$AB1412</f>
        <v>0</v>
      </c>
      <c r="AD1412" s="3">
        <f>IF(AND($M1412=1,LEFT(对接源_02物料!$D212,4)="成品出库"),1,0)</f>
        <v>0</v>
      </c>
      <c r="AE1412" s="3">
        <f t="shared" ref="AE1412:AE1475" si="393">N(AE1411)+$AD1412</f>
        <v>0</v>
      </c>
      <c r="AF1412" s="3">
        <f>IF(AND($N1412=1,AND(LEFT(对接源_02物料!$D212,4)="包装物料",N(对接源_02物料!$K212)&lt;&gt;0)),1,0)</f>
        <v>0</v>
      </c>
      <c r="AG1412" s="3">
        <f t="shared" ref="AG1412:AG1475" si="394">N(AG1411)+$AF1412</f>
        <v>5</v>
      </c>
      <c r="AH1412" s="3">
        <f>IF(AND($N1412=1,AND(对接源_02物料!$D212="周转筐－销售出库",N(对接源_02物料!$K212)&lt;&gt;0)),1,0)</f>
        <v>0</v>
      </c>
      <c r="AI1412" s="3">
        <f t="shared" ref="AI1412:AI1475" si="395">N(AI1411)+$AH1412</f>
        <v>0</v>
      </c>
      <c r="AL1412" s="3">
        <v>0</v>
      </c>
      <c r="AM1412" s="3">
        <f t="shared" ref="AM1412:AM1475" si="396">N(AM1411)+$AL1412</f>
        <v>1</v>
      </c>
      <c r="AN1412" s="3" t="str">
        <f t="shared" si="383"/>
        <v/>
      </c>
      <c r="AO1412" s="3">
        <v>0</v>
      </c>
      <c r="AP1412" s="3">
        <f t="shared" ref="AP1412:AP1475" si="397">N(AP1411)+$AO1412</f>
        <v>8</v>
      </c>
      <c r="AR1412">
        <f t="shared" ref="AR1412:AR1475" si="398">IF(OR($AF1412=1,$AH1412=1),1,0)</f>
        <v>0</v>
      </c>
      <c r="AS1412">
        <f t="shared" ref="AS1412:AS1475" si="399">N(AS1411)+$AR1412</f>
        <v>5</v>
      </c>
    </row>
    <row r="1413" customHeight="1" spans="1:45">
      <c r="A1413" s="3" t="str">
        <f>IF(对接源_02物料!$C213="","",对接源_02物料!$C213)</f>
        <v/>
      </c>
      <c r="B1413" s="3">
        <f t="shared" si="384"/>
        <v>0</v>
      </c>
      <c r="C1413" s="3">
        <f t="shared" si="385"/>
        <v>21</v>
      </c>
      <c r="K1413" s="3">
        <f>IF(OR($K$1="",对接源_02物料!$C213="",对接源_02物料!$C213&lt;&gt;$K$1,对接源_02物料!$B213=""),0,IF(OR(N(对接源_02物料!$B213)&lt;$K$2,N(对接源_02物料!$B213)&gt;$K$3),0,1))</f>
        <v>0</v>
      </c>
      <c r="L1413" s="3">
        <f>IF(OR($L$1="",对接源_02物料!$C213="",对接源_02物料!$C213&lt;&gt;$L$1,对接源_02物料!$B213=""),0,IF(OR(N(对接源_02物料!$B213)&lt;$L$2,N(对接源_02物料!$B213)&gt;$L$3),0,1))</f>
        <v>0</v>
      </c>
      <c r="M1413" s="3">
        <f>IF(OR($M$1="",对接源_02物料!$C213="",对接源_02物料!$C213&lt;&gt;$M$1,对接源_02物料!$B213=""),0,IF(OR(N(对接源_02物料!$B213)&lt;$M$2,N(对接源_02物料!$B213)&gt;$M$3),0,1))</f>
        <v>0</v>
      </c>
      <c r="N1413" s="3">
        <f>IF(OR($N$1="",对接源_02物料!$C213="",对接源_02物料!$C213&lt;&gt;$N$1,对接源_02物料!$B213=""),0,IF(OR(N(对接源_02物料!$B213)&lt;$N$2,N(对接源_02物料!$B213)&gt;$N$3),0,1))</f>
        <v>0</v>
      </c>
      <c r="P1413" s="3">
        <f>IF(AND($K1413=1,AND(对接源_02物料!$X213="公司筐",N(对接源_02物料!$T213)&lt;&gt;0)),1,0)</f>
        <v>0</v>
      </c>
      <c r="Q1413" s="3">
        <f t="shared" si="386"/>
        <v>8</v>
      </c>
      <c r="R1413" s="3">
        <f>IF(AND($K1413=1,AND(对接源_02物料!$X213="公司筐",N(对接源_02物料!$U213)&lt;&gt;0)),1,0)</f>
        <v>0</v>
      </c>
      <c r="S1413" s="3">
        <f t="shared" si="387"/>
        <v>0</v>
      </c>
      <c r="T1413" s="3">
        <f>IF(AND($K1413=1,AND(对接源_02物料!$X213="公司筐",N(对接源_02物料!$V213)&lt;&gt;0)),1,0)</f>
        <v>0</v>
      </c>
      <c r="U1413" s="3">
        <f t="shared" si="388"/>
        <v>19</v>
      </c>
      <c r="V1413" s="3">
        <f>IF(AND($L1413=1,AND(对接源_02物料!$X213="自备筐",N(对接源_02物料!$V213)&lt;&gt;0)),1,0)</f>
        <v>0</v>
      </c>
      <c r="W1413" s="3">
        <f t="shared" si="389"/>
        <v>8</v>
      </c>
      <c r="X1413" s="3">
        <f>IF(AND($L1413=1,AND(对接源_02物料!$X213="自备筐",N(对接源_02物料!$T213)&lt;&gt;0)),1,0)</f>
        <v>0</v>
      </c>
      <c r="Y1413" s="3">
        <f t="shared" si="390"/>
        <v>0</v>
      </c>
      <c r="Z1413" s="3">
        <f>IF(AND($M1413=1,对接源_02物料!$D213="原料入库"),1,0)</f>
        <v>0</v>
      </c>
      <c r="AA1413" s="3">
        <f t="shared" si="391"/>
        <v>24</v>
      </c>
      <c r="AB1413" s="3">
        <f>IF(AND($M1413=1,LEFT(对接源_02物料!$D213,4)="原料出库"),1,0)</f>
        <v>0</v>
      </c>
      <c r="AC1413" s="3">
        <f t="shared" si="392"/>
        <v>0</v>
      </c>
      <c r="AD1413" s="3">
        <f>IF(AND($M1413=1,LEFT(对接源_02物料!$D213,4)="成品出库"),1,0)</f>
        <v>0</v>
      </c>
      <c r="AE1413" s="3">
        <f t="shared" si="393"/>
        <v>0</v>
      </c>
      <c r="AF1413" s="3">
        <f>IF(AND($N1413=1,AND(LEFT(对接源_02物料!$D213,4)="包装物料",N(对接源_02物料!$K213)&lt;&gt;0)),1,0)</f>
        <v>0</v>
      </c>
      <c r="AG1413" s="3">
        <f t="shared" si="394"/>
        <v>5</v>
      </c>
      <c r="AH1413" s="3">
        <f>IF(AND($N1413=1,AND(对接源_02物料!$D213="周转筐－销售出库",N(对接源_02物料!$K213)&lt;&gt;0)),1,0)</f>
        <v>0</v>
      </c>
      <c r="AI1413" s="3">
        <f t="shared" si="395"/>
        <v>0</v>
      </c>
      <c r="AL1413" s="3">
        <v>0</v>
      </c>
      <c r="AM1413" s="3">
        <f t="shared" si="396"/>
        <v>1</v>
      </c>
      <c r="AN1413" s="3" t="str">
        <f t="shared" si="383"/>
        <v/>
      </c>
      <c r="AO1413" s="3">
        <v>0</v>
      </c>
      <c r="AP1413" s="3">
        <f t="shared" si="397"/>
        <v>8</v>
      </c>
      <c r="AR1413">
        <f t="shared" si="398"/>
        <v>0</v>
      </c>
      <c r="AS1413">
        <f t="shared" si="399"/>
        <v>5</v>
      </c>
    </row>
    <row r="1414" customHeight="1" spans="1:45">
      <c r="A1414" s="3" t="str">
        <f>IF(对接源_02物料!$C214="","",对接源_02物料!$C214)</f>
        <v/>
      </c>
      <c r="B1414" s="3">
        <f t="shared" si="384"/>
        <v>0</v>
      </c>
      <c r="C1414" s="3">
        <f t="shared" si="385"/>
        <v>21</v>
      </c>
      <c r="K1414" s="3">
        <f>IF(OR($K$1="",对接源_02物料!$C214="",对接源_02物料!$C214&lt;&gt;$K$1,对接源_02物料!$B214=""),0,IF(OR(N(对接源_02物料!$B214)&lt;$K$2,N(对接源_02物料!$B214)&gt;$K$3),0,1))</f>
        <v>0</v>
      </c>
      <c r="L1414" s="3">
        <f>IF(OR($L$1="",对接源_02物料!$C214="",对接源_02物料!$C214&lt;&gt;$L$1,对接源_02物料!$B214=""),0,IF(OR(N(对接源_02物料!$B214)&lt;$L$2,N(对接源_02物料!$B214)&gt;$L$3),0,1))</f>
        <v>0</v>
      </c>
      <c r="M1414" s="3">
        <f>IF(OR($M$1="",对接源_02物料!$C214="",对接源_02物料!$C214&lt;&gt;$M$1,对接源_02物料!$B214=""),0,IF(OR(N(对接源_02物料!$B214)&lt;$M$2,N(对接源_02物料!$B214)&gt;$M$3),0,1))</f>
        <v>0</v>
      </c>
      <c r="N1414" s="3">
        <f>IF(OR($N$1="",对接源_02物料!$C214="",对接源_02物料!$C214&lt;&gt;$N$1,对接源_02物料!$B214=""),0,IF(OR(N(对接源_02物料!$B214)&lt;$N$2,N(对接源_02物料!$B214)&gt;$N$3),0,1))</f>
        <v>0</v>
      </c>
      <c r="P1414" s="3">
        <f>IF(AND($K1414=1,AND(对接源_02物料!$X214="公司筐",N(对接源_02物料!$T214)&lt;&gt;0)),1,0)</f>
        <v>0</v>
      </c>
      <c r="Q1414" s="3">
        <f t="shared" si="386"/>
        <v>8</v>
      </c>
      <c r="R1414" s="3">
        <f>IF(AND($K1414=1,AND(对接源_02物料!$X214="公司筐",N(对接源_02物料!$U214)&lt;&gt;0)),1,0)</f>
        <v>0</v>
      </c>
      <c r="S1414" s="3">
        <f t="shared" si="387"/>
        <v>0</v>
      </c>
      <c r="T1414" s="3">
        <f>IF(AND($K1414=1,AND(对接源_02物料!$X214="公司筐",N(对接源_02物料!$V214)&lt;&gt;0)),1,0)</f>
        <v>0</v>
      </c>
      <c r="U1414" s="3">
        <f t="shared" si="388"/>
        <v>19</v>
      </c>
      <c r="V1414" s="3">
        <f>IF(AND($L1414=1,AND(对接源_02物料!$X214="自备筐",N(对接源_02物料!$V214)&lt;&gt;0)),1,0)</f>
        <v>0</v>
      </c>
      <c r="W1414" s="3">
        <f t="shared" si="389"/>
        <v>8</v>
      </c>
      <c r="X1414" s="3">
        <f>IF(AND($L1414=1,AND(对接源_02物料!$X214="自备筐",N(对接源_02物料!$T214)&lt;&gt;0)),1,0)</f>
        <v>0</v>
      </c>
      <c r="Y1414" s="3">
        <f t="shared" si="390"/>
        <v>0</v>
      </c>
      <c r="Z1414" s="3">
        <f>IF(AND($M1414=1,对接源_02物料!$D214="原料入库"),1,0)</f>
        <v>0</v>
      </c>
      <c r="AA1414" s="3">
        <f t="shared" si="391"/>
        <v>24</v>
      </c>
      <c r="AB1414" s="3">
        <f>IF(AND($M1414=1,LEFT(对接源_02物料!$D214,4)="原料出库"),1,0)</f>
        <v>0</v>
      </c>
      <c r="AC1414" s="3">
        <f t="shared" si="392"/>
        <v>0</v>
      </c>
      <c r="AD1414" s="3">
        <f>IF(AND($M1414=1,LEFT(对接源_02物料!$D214,4)="成品出库"),1,0)</f>
        <v>0</v>
      </c>
      <c r="AE1414" s="3">
        <f t="shared" si="393"/>
        <v>0</v>
      </c>
      <c r="AF1414" s="3">
        <f>IF(AND($N1414=1,AND(LEFT(对接源_02物料!$D214,4)="包装物料",N(对接源_02物料!$K214)&lt;&gt;0)),1,0)</f>
        <v>0</v>
      </c>
      <c r="AG1414" s="3">
        <f t="shared" si="394"/>
        <v>5</v>
      </c>
      <c r="AH1414" s="3">
        <f>IF(AND($N1414=1,AND(对接源_02物料!$D214="周转筐－销售出库",N(对接源_02物料!$K214)&lt;&gt;0)),1,0)</f>
        <v>0</v>
      </c>
      <c r="AI1414" s="3">
        <f t="shared" si="395"/>
        <v>0</v>
      </c>
      <c r="AL1414" s="3">
        <v>0</v>
      </c>
      <c r="AM1414" s="3">
        <f t="shared" si="396"/>
        <v>1</v>
      </c>
      <c r="AN1414" s="3" t="str">
        <f t="shared" si="383"/>
        <v/>
      </c>
      <c r="AO1414" s="3">
        <v>0</v>
      </c>
      <c r="AP1414" s="3">
        <f t="shared" si="397"/>
        <v>8</v>
      </c>
      <c r="AR1414">
        <f t="shared" si="398"/>
        <v>0</v>
      </c>
      <c r="AS1414">
        <f t="shared" si="399"/>
        <v>5</v>
      </c>
    </row>
    <row r="1415" customHeight="1" spans="1:45">
      <c r="A1415" s="3" t="str">
        <f>IF(对接源_02物料!$C215="","",对接源_02物料!$C215)</f>
        <v/>
      </c>
      <c r="B1415" s="3">
        <f t="shared" si="384"/>
        <v>0</v>
      </c>
      <c r="C1415" s="3">
        <f t="shared" si="385"/>
        <v>21</v>
      </c>
      <c r="K1415" s="3">
        <f>IF(OR($K$1="",对接源_02物料!$C215="",对接源_02物料!$C215&lt;&gt;$K$1,对接源_02物料!$B215=""),0,IF(OR(N(对接源_02物料!$B215)&lt;$K$2,N(对接源_02物料!$B215)&gt;$K$3),0,1))</f>
        <v>0</v>
      </c>
      <c r="L1415" s="3">
        <f>IF(OR($L$1="",对接源_02物料!$C215="",对接源_02物料!$C215&lt;&gt;$L$1,对接源_02物料!$B215=""),0,IF(OR(N(对接源_02物料!$B215)&lt;$L$2,N(对接源_02物料!$B215)&gt;$L$3),0,1))</f>
        <v>0</v>
      </c>
      <c r="M1415" s="3">
        <f>IF(OR($M$1="",对接源_02物料!$C215="",对接源_02物料!$C215&lt;&gt;$M$1,对接源_02物料!$B215=""),0,IF(OR(N(对接源_02物料!$B215)&lt;$M$2,N(对接源_02物料!$B215)&gt;$M$3),0,1))</f>
        <v>0</v>
      </c>
      <c r="N1415" s="3">
        <f>IF(OR($N$1="",对接源_02物料!$C215="",对接源_02物料!$C215&lt;&gt;$N$1,对接源_02物料!$B215=""),0,IF(OR(N(对接源_02物料!$B215)&lt;$N$2,N(对接源_02物料!$B215)&gt;$N$3),0,1))</f>
        <v>0</v>
      </c>
      <c r="P1415" s="3">
        <f>IF(AND($K1415=1,AND(对接源_02物料!$X215="公司筐",N(对接源_02物料!$T215)&lt;&gt;0)),1,0)</f>
        <v>0</v>
      </c>
      <c r="Q1415" s="3">
        <f t="shared" si="386"/>
        <v>8</v>
      </c>
      <c r="R1415" s="3">
        <f>IF(AND($K1415=1,AND(对接源_02物料!$X215="公司筐",N(对接源_02物料!$U215)&lt;&gt;0)),1,0)</f>
        <v>0</v>
      </c>
      <c r="S1415" s="3">
        <f t="shared" si="387"/>
        <v>0</v>
      </c>
      <c r="T1415" s="3">
        <f>IF(AND($K1415=1,AND(对接源_02物料!$X215="公司筐",N(对接源_02物料!$V215)&lt;&gt;0)),1,0)</f>
        <v>0</v>
      </c>
      <c r="U1415" s="3">
        <f t="shared" si="388"/>
        <v>19</v>
      </c>
      <c r="V1415" s="3">
        <f>IF(AND($L1415=1,AND(对接源_02物料!$X215="自备筐",N(对接源_02物料!$V215)&lt;&gt;0)),1,0)</f>
        <v>0</v>
      </c>
      <c r="W1415" s="3">
        <f t="shared" si="389"/>
        <v>8</v>
      </c>
      <c r="X1415" s="3">
        <f>IF(AND($L1415=1,AND(对接源_02物料!$X215="自备筐",N(对接源_02物料!$T215)&lt;&gt;0)),1,0)</f>
        <v>0</v>
      </c>
      <c r="Y1415" s="3">
        <f t="shared" si="390"/>
        <v>0</v>
      </c>
      <c r="Z1415" s="3">
        <f>IF(AND($M1415=1,对接源_02物料!$D215="原料入库"),1,0)</f>
        <v>0</v>
      </c>
      <c r="AA1415" s="3">
        <f t="shared" si="391"/>
        <v>24</v>
      </c>
      <c r="AB1415" s="3">
        <f>IF(AND($M1415=1,LEFT(对接源_02物料!$D215,4)="原料出库"),1,0)</f>
        <v>0</v>
      </c>
      <c r="AC1415" s="3">
        <f t="shared" si="392"/>
        <v>0</v>
      </c>
      <c r="AD1415" s="3">
        <f>IF(AND($M1415=1,LEFT(对接源_02物料!$D215,4)="成品出库"),1,0)</f>
        <v>0</v>
      </c>
      <c r="AE1415" s="3">
        <f t="shared" si="393"/>
        <v>0</v>
      </c>
      <c r="AF1415" s="3">
        <f>IF(AND($N1415=1,AND(LEFT(对接源_02物料!$D215,4)="包装物料",N(对接源_02物料!$K215)&lt;&gt;0)),1,0)</f>
        <v>0</v>
      </c>
      <c r="AG1415" s="3">
        <f t="shared" si="394"/>
        <v>5</v>
      </c>
      <c r="AH1415" s="3">
        <f>IF(AND($N1415=1,AND(对接源_02物料!$D215="周转筐－销售出库",N(对接源_02物料!$K215)&lt;&gt;0)),1,0)</f>
        <v>0</v>
      </c>
      <c r="AI1415" s="3">
        <f t="shared" si="395"/>
        <v>0</v>
      </c>
      <c r="AL1415" s="3">
        <v>0</v>
      </c>
      <c r="AM1415" s="3">
        <f t="shared" si="396"/>
        <v>1</v>
      </c>
      <c r="AN1415" s="3" t="str">
        <f t="shared" si="383"/>
        <v/>
      </c>
      <c r="AO1415" s="3">
        <v>0</v>
      </c>
      <c r="AP1415" s="3">
        <f t="shared" si="397"/>
        <v>8</v>
      </c>
      <c r="AR1415">
        <f t="shared" si="398"/>
        <v>0</v>
      </c>
      <c r="AS1415">
        <f t="shared" si="399"/>
        <v>5</v>
      </c>
    </row>
    <row r="1416" customHeight="1" spans="1:45">
      <c r="A1416" s="3" t="str">
        <f>IF(对接源_02物料!$C216="","",对接源_02物料!$C216)</f>
        <v/>
      </c>
      <c r="B1416" s="3">
        <f t="shared" si="384"/>
        <v>0</v>
      </c>
      <c r="C1416" s="3">
        <f t="shared" si="385"/>
        <v>21</v>
      </c>
      <c r="K1416" s="3">
        <f>IF(OR($K$1="",对接源_02物料!$C216="",对接源_02物料!$C216&lt;&gt;$K$1,对接源_02物料!$B216=""),0,IF(OR(N(对接源_02物料!$B216)&lt;$K$2,N(对接源_02物料!$B216)&gt;$K$3),0,1))</f>
        <v>0</v>
      </c>
      <c r="L1416" s="3">
        <f>IF(OR($L$1="",对接源_02物料!$C216="",对接源_02物料!$C216&lt;&gt;$L$1,对接源_02物料!$B216=""),0,IF(OR(N(对接源_02物料!$B216)&lt;$L$2,N(对接源_02物料!$B216)&gt;$L$3),0,1))</f>
        <v>0</v>
      </c>
      <c r="M1416" s="3">
        <f>IF(OR($M$1="",对接源_02物料!$C216="",对接源_02物料!$C216&lt;&gt;$M$1,对接源_02物料!$B216=""),0,IF(OR(N(对接源_02物料!$B216)&lt;$M$2,N(对接源_02物料!$B216)&gt;$M$3),0,1))</f>
        <v>0</v>
      </c>
      <c r="N1416" s="3">
        <f>IF(OR($N$1="",对接源_02物料!$C216="",对接源_02物料!$C216&lt;&gt;$N$1,对接源_02物料!$B216=""),0,IF(OR(N(对接源_02物料!$B216)&lt;$N$2,N(对接源_02物料!$B216)&gt;$N$3),0,1))</f>
        <v>0</v>
      </c>
      <c r="P1416" s="3">
        <f>IF(AND($K1416=1,AND(对接源_02物料!$X216="公司筐",N(对接源_02物料!$T216)&lt;&gt;0)),1,0)</f>
        <v>0</v>
      </c>
      <c r="Q1416" s="3">
        <f t="shared" si="386"/>
        <v>8</v>
      </c>
      <c r="R1416" s="3">
        <f>IF(AND($K1416=1,AND(对接源_02物料!$X216="公司筐",N(对接源_02物料!$U216)&lt;&gt;0)),1,0)</f>
        <v>0</v>
      </c>
      <c r="S1416" s="3">
        <f t="shared" si="387"/>
        <v>0</v>
      </c>
      <c r="T1416" s="3">
        <f>IF(AND($K1416=1,AND(对接源_02物料!$X216="公司筐",N(对接源_02物料!$V216)&lt;&gt;0)),1,0)</f>
        <v>0</v>
      </c>
      <c r="U1416" s="3">
        <f t="shared" si="388"/>
        <v>19</v>
      </c>
      <c r="V1416" s="3">
        <f>IF(AND($L1416=1,AND(对接源_02物料!$X216="自备筐",N(对接源_02物料!$V216)&lt;&gt;0)),1,0)</f>
        <v>0</v>
      </c>
      <c r="W1416" s="3">
        <f t="shared" si="389"/>
        <v>8</v>
      </c>
      <c r="X1416" s="3">
        <f>IF(AND($L1416=1,AND(对接源_02物料!$X216="自备筐",N(对接源_02物料!$T216)&lt;&gt;0)),1,0)</f>
        <v>0</v>
      </c>
      <c r="Y1416" s="3">
        <f t="shared" si="390"/>
        <v>0</v>
      </c>
      <c r="Z1416" s="3">
        <f>IF(AND($M1416=1,对接源_02物料!$D216="原料入库"),1,0)</f>
        <v>0</v>
      </c>
      <c r="AA1416" s="3">
        <f t="shared" si="391"/>
        <v>24</v>
      </c>
      <c r="AB1416" s="3">
        <f>IF(AND($M1416=1,LEFT(对接源_02物料!$D216,4)="原料出库"),1,0)</f>
        <v>0</v>
      </c>
      <c r="AC1416" s="3">
        <f t="shared" si="392"/>
        <v>0</v>
      </c>
      <c r="AD1416" s="3">
        <f>IF(AND($M1416=1,LEFT(对接源_02物料!$D216,4)="成品出库"),1,0)</f>
        <v>0</v>
      </c>
      <c r="AE1416" s="3">
        <f t="shared" si="393"/>
        <v>0</v>
      </c>
      <c r="AF1416" s="3">
        <f>IF(AND($N1416=1,AND(LEFT(对接源_02物料!$D216,4)="包装物料",N(对接源_02物料!$K216)&lt;&gt;0)),1,0)</f>
        <v>0</v>
      </c>
      <c r="AG1416" s="3">
        <f t="shared" si="394"/>
        <v>5</v>
      </c>
      <c r="AH1416" s="3">
        <f>IF(AND($N1416=1,AND(对接源_02物料!$D216="周转筐－销售出库",N(对接源_02物料!$K216)&lt;&gt;0)),1,0)</f>
        <v>0</v>
      </c>
      <c r="AI1416" s="3">
        <f t="shared" si="395"/>
        <v>0</v>
      </c>
      <c r="AL1416" s="3">
        <v>0</v>
      </c>
      <c r="AM1416" s="3">
        <f t="shared" si="396"/>
        <v>1</v>
      </c>
      <c r="AN1416" s="3" t="str">
        <f t="shared" si="383"/>
        <v/>
      </c>
      <c r="AO1416" s="3">
        <v>0</v>
      </c>
      <c r="AP1416" s="3">
        <f t="shared" si="397"/>
        <v>8</v>
      </c>
      <c r="AR1416">
        <f t="shared" si="398"/>
        <v>0</v>
      </c>
      <c r="AS1416">
        <f t="shared" si="399"/>
        <v>5</v>
      </c>
    </row>
    <row r="1417" customHeight="1" spans="1:45">
      <c r="A1417" s="3" t="str">
        <f>IF(对接源_02物料!$C217="","",对接源_02物料!$C217)</f>
        <v/>
      </c>
      <c r="B1417" s="3">
        <f t="shared" si="384"/>
        <v>0</v>
      </c>
      <c r="C1417" s="3">
        <f t="shared" si="385"/>
        <v>21</v>
      </c>
      <c r="K1417" s="3">
        <f>IF(OR($K$1="",对接源_02物料!$C217="",对接源_02物料!$C217&lt;&gt;$K$1,对接源_02物料!$B217=""),0,IF(OR(N(对接源_02物料!$B217)&lt;$K$2,N(对接源_02物料!$B217)&gt;$K$3),0,1))</f>
        <v>0</v>
      </c>
      <c r="L1417" s="3">
        <f>IF(OR($L$1="",对接源_02物料!$C217="",对接源_02物料!$C217&lt;&gt;$L$1,对接源_02物料!$B217=""),0,IF(OR(N(对接源_02物料!$B217)&lt;$L$2,N(对接源_02物料!$B217)&gt;$L$3),0,1))</f>
        <v>0</v>
      </c>
      <c r="M1417" s="3">
        <f>IF(OR($M$1="",对接源_02物料!$C217="",对接源_02物料!$C217&lt;&gt;$M$1,对接源_02物料!$B217=""),0,IF(OR(N(对接源_02物料!$B217)&lt;$M$2,N(对接源_02物料!$B217)&gt;$M$3),0,1))</f>
        <v>0</v>
      </c>
      <c r="N1417" s="3">
        <f>IF(OR($N$1="",对接源_02物料!$C217="",对接源_02物料!$C217&lt;&gt;$N$1,对接源_02物料!$B217=""),0,IF(OR(N(对接源_02物料!$B217)&lt;$N$2,N(对接源_02物料!$B217)&gt;$N$3),0,1))</f>
        <v>0</v>
      </c>
      <c r="P1417" s="3">
        <f>IF(AND($K1417=1,AND(对接源_02物料!$X217="公司筐",N(对接源_02物料!$T217)&lt;&gt;0)),1,0)</f>
        <v>0</v>
      </c>
      <c r="Q1417" s="3">
        <f t="shared" si="386"/>
        <v>8</v>
      </c>
      <c r="R1417" s="3">
        <f>IF(AND($K1417=1,AND(对接源_02物料!$X217="公司筐",N(对接源_02物料!$U217)&lt;&gt;0)),1,0)</f>
        <v>0</v>
      </c>
      <c r="S1417" s="3">
        <f t="shared" si="387"/>
        <v>0</v>
      </c>
      <c r="T1417" s="3">
        <f>IF(AND($K1417=1,AND(对接源_02物料!$X217="公司筐",N(对接源_02物料!$V217)&lt;&gt;0)),1,0)</f>
        <v>0</v>
      </c>
      <c r="U1417" s="3">
        <f t="shared" si="388"/>
        <v>19</v>
      </c>
      <c r="V1417" s="3">
        <f>IF(AND($L1417=1,AND(对接源_02物料!$X217="自备筐",N(对接源_02物料!$V217)&lt;&gt;0)),1,0)</f>
        <v>0</v>
      </c>
      <c r="W1417" s="3">
        <f t="shared" si="389"/>
        <v>8</v>
      </c>
      <c r="X1417" s="3">
        <f>IF(AND($L1417=1,AND(对接源_02物料!$X217="自备筐",N(对接源_02物料!$T217)&lt;&gt;0)),1,0)</f>
        <v>0</v>
      </c>
      <c r="Y1417" s="3">
        <f t="shared" si="390"/>
        <v>0</v>
      </c>
      <c r="Z1417" s="3">
        <f>IF(AND($M1417=1,对接源_02物料!$D217="原料入库"),1,0)</f>
        <v>0</v>
      </c>
      <c r="AA1417" s="3">
        <f t="shared" si="391"/>
        <v>24</v>
      </c>
      <c r="AB1417" s="3">
        <f>IF(AND($M1417=1,LEFT(对接源_02物料!$D217,4)="原料出库"),1,0)</f>
        <v>0</v>
      </c>
      <c r="AC1417" s="3">
        <f t="shared" si="392"/>
        <v>0</v>
      </c>
      <c r="AD1417" s="3">
        <f>IF(AND($M1417=1,LEFT(对接源_02物料!$D217,4)="成品出库"),1,0)</f>
        <v>0</v>
      </c>
      <c r="AE1417" s="3">
        <f t="shared" si="393"/>
        <v>0</v>
      </c>
      <c r="AF1417" s="3">
        <f>IF(AND($N1417=1,AND(LEFT(对接源_02物料!$D217,4)="包装物料",N(对接源_02物料!$K217)&lt;&gt;0)),1,0)</f>
        <v>0</v>
      </c>
      <c r="AG1417" s="3">
        <f t="shared" si="394"/>
        <v>5</v>
      </c>
      <c r="AH1417" s="3">
        <f>IF(AND($N1417=1,AND(对接源_02物料!$D217="周转筐－销售出库",N(对接源_02物料!$K217)&lt;&gt;0)),1,0)</f>
        <v>0</v>
      </c>
      <c r="AI1417" s="3">
        <f t="shared" si="395"/>
        <v>0</v>
      </c>
      <c r="AL1417" s="3">
        <v>0</v>
      </c>
      <c r="AM1417" s="3">
        <f t="shared" si="396"/>
        <v>1</v>
      </c>
      <c r="AN1417" s="3" t="str">
        <f t="shared" si="383"/>
        <v/>
      </c>
      <c r="AO1417" s="3">
        <v>0</v>
      </c>
      <c r="AP1417" s="3">
        <f t="shared" si="397"/>
        <v>8</v>
      </c>
      <c r="AR1417">
        <f t="shared" si="398"/>
        <v>0</v>
      </c>
      <c r="AS1417">
        <f t="shared" si="399"/>
        <v>5</v>
      </c>
    </row>
    <row r="1418" customHeight="1" spans="1:45">
      <c r="A1418" s="3" t="str">
        <f>IF(对接源_02物料!$C218="","",对接源_02物料!$C218)</f>
        <v/>
      </c>
      <c r="B1418" s="3">
        <f t="shared" si="384"/>
        <v>0</v>
      </c>
      <c r="C1418" s="3">
        <f t="shared" si="385"/>
        <v>21</v>
      </c>
      <c r="K1418" s="3">
        <f>IF(OR($K$1="",对接源_02物料!$C218="",对接源_02物料!$C218&lt;&gt;$K$1,对接源_02物料!$B218=""),0,IF(OR(N(对接源_02物料!$B218)&lt;$K$2,N(对接源_02物料!$B218)&gt;$K$3),0,1))</f>
        <v>0</v>
      </c>
      <c r="L1418" s="3">
        <f>IF(OR($L$1="",对接源_02物料!$C218="",对接源_02物料!$C218&lt;&gt;$L$1,对接源_02物料!$B218=""),0,IF(OR(N(对接源_02物料!$B218)&lt;$L$2,N(对接源_02物料!$B218)&gt;$L$3),0,1))</f>
        <v>0</v>
      </c>
      <c r="M1418" s="3">
        <f>IF(OR($M$1="",对接源_02物料!$C218="",对接源_02物料!$C218&lt;&gt;$M$1,对接源_02物料!$B218=""),0,IF(OR(N(对接源_02物料!$B218)&lt;$M$2,N(对接源_02物料!$B218)&gt;$M$3),0,1))</f>
        <v>0</v>
      </c>
      <c r="N1418" s="3">
        <f>IF(OR($N$1="",对接源_02物料!$C218="",对接源_02物料!$C218&lt;&gt;$N$1,对接源_02物料!$B218=""),0,IF(OR(N(对接源_02物料!$B218)&lt;$N$2,N(对接源_02物料!$B218)&gt;$N$3),0,1))</f>
        <v>0</v>
      </c>
      <c r="P1418" s="3">
        <f>IF(AND($K1418=1,AND(对接源_02物料!$X218="公司筐",N(对接源_02物料!$T218)&lt;&gt;0)),1,0)</f>
        <v>0</v>
      </c>
      <c r="Q1418" s="3">
        <f t="shared" si="386"/>
        <v>8</v>
      </c>
      <c r="R1418" s="3">
        <f>IF(AND($K1418=1,AND(对接源_02物料!$X218="公司筐",N(对接源_02物料!$U218)&lt;&gt;0)),1,0)</f>
        <v>0</v>
      </c>
      <c r="S1418" s="3">
        <f t="shared" si="387"/>
        <v>0</v>
      </c>
      <c r="T1418" s="3">
        <f>IF(AND($K1418=1,AND(对接源_02物料!$X218="公司筐",N(对接源_02物料!$V218)&lt;&gt;0)),1,0)</f>
        <v>0</v>
      </c>
      <c r="U1418" s="3">
        <f t="shared" si="388"/>
        <v>19</v>
      </c>
      <c r="V1418" s="3">
        <f>IF(AND($L1418=1,AND(对接源_02物料!$X218="自备筐",N(对接源_02物料!$V218)&lt;&gt;0)),1,0)</f>
        <v>0</v>
      </c>
      <c r="W1418" s="3">
        <f t="shared" si="389"/>
        <v>8</v>
      </c>
      <c r="X1418" s="3">
        <f>IF(AND($L1418=1,AND(对接源_02物料!$X218="自备筐",N(对接源_02物料!$T218)&lt;&gt;0)),1,0)</f>
        <v>0</v>
      </c>
      <c r="Y1418" s="3">
        <f t="shared" si="390"/>
        <v>0</v>
      </c>
      <c r="Z1418" s="3">
        <f>IF(AND($M1418=1,对接源_02物料!$D218="原料入库"),1,0)</f>
        <v>0</v>
      </c>
      <c r="AA1418" s="3">
        <f t="shared" si="391"/>
        <v>24</v>
      </c>
      <c r="AB1418" s="3">
        <f>IF(AND($M1418=1,LEFT(对接源_02物料!$D218,4)="原料出库"),1,0)</f>
        <v>0</v>
      </c>
      <c r="AC1418" s="3">
        <f t="shared" si="392"/>
        <v>0</v>
      </c>
      <c r="AD1418" s="3">
        <f>IF(AND($M1418=1,LEFT(对接源_02物料!$D218,4)="成品出库"),1,0)</f>
        <v>0</v>
      </c>
      <c r="AE1418" s="3">
        <f t="shared" si="393"/>
        <v>0</v>
      </c>
      <c r="AF1418" s="3">
        <f>IF(AND($N1418=1,AND(LEFT(对接源_02物料!$D218,4)="包装物料",N(对接源_02物料!$K218)&lt;&gt;0)),1,0)</f>
        <v>0</v>
      </c>
      <c r="AG1418" s="3">
        <f t="shared" si="394"/>
        <v>5</v>
      </c>
      <c r="AH1418" s="3">
        <f>IF(AND($N1418=1,AND(对接源_02物料!$D218="周转筐－销售出库",N(对接源_02物料!$K218)&lt;&gt;0)),1,0)</f>
        <v>0</v>
      </c>
      <c r="AI1418" s="3">
        <f t="shared" si="395"/>
        <v>0</v>
      </c>
      <c r="AL1418" s="3">
        <v>0</v>
      </c>
      <c r="AM1418" s="3">
        <f t="shared" si="396"/>
        <v>1</v>
      </c>
      <c r="AN1418" s="3" t="str">
        <f t="shared" si="383"/>
        <v/>
      </c>
      <c r="AO1418" s="3">
        <v>0</v>
      </c>
      <c r="AP1418" s="3">
        <f t="shared" si="397"/>
        <v>8</v>
      </c>
      <c r="AR1418">
        <f t="shared" si="398"/>
        <v>0</v>
      </c>
      <c r="AS1418">
        <f t="shared" si="399"/>
        <v>5</v>
      </c>
    </row>
    <row r="1419" customHeight="1" spans="1:45">
      <c r="A1419" s="3" t="str">
        <f>IF(对接源_02物料!$C219="","",对接源_02物料!$C219)</f>
        <v/>
      </c>
      <c r="B1419" s="3">
        <f t="shared" si="384"/>
        <v>0</v>
      </c>
      <c r="C1419" s="3">
        <f t="shared" si="385"/>
        <v>21</v>
      </c>
      <c r="K1419" s="3">
        <f>IF(OR($K$1="",对接源_02物料!$C219="",对接源_02物料!$C219&lt;&gt;$K$1,对接源_02物料!$B219=""),0,IF(OR(N(对接源_02物料!$B219)&lt;$K$2,N(对接源_02物料!$B219)&gt;$K$3),0,1))</f>
        <v>0</v>
      </c>
      <c r="L1419" s="3">
        <f>IF(OR($L$1="",对接源_02物料!$C219="",对接源_02物料!$C219&lt;&gt;$L$1,对接源_02物料!$B219=""),0,IF(OR(N(对接源_02物料!$B219)&lt;$L$2,N(对接源_02物料!$B219)&gt;$L$3),0,1))</f>
        <v>0</v>
      </c>
      <c r="M1419" s="3">
        <f>IF(OR($M$1="",对接源_02物料!$C219="",对接源_02物料!$C219&lt;&gt;$M$1,对接源_02物料!$B219=""),0,IF(OR(N(对接源_02物料!$B219)&lt;$M$2,N(对接源_02物料!$B219)&gt;$M$3),0,1))</f>
        <v>0</v>
      </c>
      <c r="N1419" s="3">
        <f>IF(OR($N$1="",对接源_02物料!$C219="",对接源_02物料!$C219&lt;&gt;$N$1,对接源_02物料!$B219=""),0,IF(OR(N(对接源_02物料!$B219)&lt;$N$2,N(对接源_02物料!$B219)&gt;$N$3),0,1))</f>
        <v>0</v>
      </c>
      <c r="P1419" s="3">
        <f>IF(AND($K1419=1,AND(对接源_02物料!$X219="公司筐",N(对接源_02物料!$T219)&lt;&gt;0)),1,0)</f>
        <v>0</v>
      </c>
      <c r="Q1419" s="3">
        <f t="shared" si="386"/>
        <v>8</v>
      </c>
      <c r="R1419" s="3">
        <f>IF(AND($K1419=1,AND(对接源_02物料!$X219="公司筐",N(对接源_02物料!$U219)&lt;&gt;0)),1,0)</f>
        <v>0</v>
      </c>
      <c r="S1419" s="3">
        <f t="shared" si="387"/>
        <v>0</v>
      </c>
      <c r="T1419" s="3">
        <f>IF(AND($K1419=1,AND(对接源_02物料!$X219="公司筐",N(对接源_02物料!$V219)&lt;&gt;0)),1,0)</f>
        <v>0</v>
      </c>
      <c r="U1419" s="3">
        <f t="shared" si="388"/>
        <v>19</v>
      </c>
      <c r="V1419" s="3">
        <f>IF(AND($L1419=1,AND(对接源_02物料!$X219="自备筐",N(对接源_02物料!$V219)&lt;&gt;0)),1,0)</f>
        <v>0</v>
      </c>
      <c r="W1419" s="3">
        <f t="shared" si="389"/>
        <v>8</v>
      </c>
      <c r="X1419" s="3">
        <f>IF(AND($L1419=1,AND(对接源_02物料!$X219="自备筐",N(对接源_02物料!$T219)&lt;&gt;0)),1,0)</f>
        <v>0</v>
      </c>
      <c r="Y1419" s="3">
        <f t="shared" si="390"/>
        <v>0</v>
      </c>
      <c r="Z1419" s="3">
        <f>IF(AND($M1419=1,对接源_02物料!$D219="原料入库"),1,0)</f>
        <v>0</v>
      </c>
      <c r="AA1419" s="3">
        <f t="shared" si="391"/>
        <v>24</v>
      </c>
      <c r="AB1419" s="3">
        <f>IF(AND($M1419=1,LEFT(对接源_02物料!$D219,4)="原料出库"),1,0)</f>
        <v>0</v>
      </c>
      <c r="AC1419" s="3">
        <f t="shared" si="392"/>
        <v>0</v>
      </c>
      <c r="AD1419" s="3">
        <f>IF(AND($M1419=1,LEFT(对接源_02物料!$D219,4)="成品出库"),1,0)</f>
        <v>0</v>
      </c>
      <c r="AE1419" s="3">
        <f t="shared" si="393"/>
        <v>0</v>
      </c>
      <c r="AF1419" s="3">
        <f>IF(AND($N1419=1,AND(LEFT(对接源_02物料!$D219,4)="包装物料",N(对接源_02物料!$K219)&lt;&gt;0)),1,0)</f>
        <v>0</v>
      </c>
      <c r="AG1419" s="3">
        <f t="shared" si="394"/>
        <v>5</v>
      </c>
      <c r="AH1419" s="3">
        <f>IF(AND($N1419=1,AND(对接源_02物料!$D219="周转筐－销售出库",N(对接源_02物料!$K219)&lt;&gt;0)),1,0)</f>
        <v>0</v>
      </c>
      <c r="AI1419" s="3">
        <f t="shared" si="395"/>
        <v>0</v>
      </c>
      <c r="AL1419" s="3">
        <v>0</v>
      </c>
      <c r="AM1419" s="3">
        <f t="shared" si="396"/>
        <v>1</v>
      </c>
      <c r="AN1419" s="3" t="str">
        <f t="shared" si="383"/>
        <v/>
      </c>
      <c r="AO1419" s="3">
        <v>0</v>
      </c>
      <c r="AP1419" s="3">
        <f t="shared" si="397"/>
        <v>8</v>
      </c>
      <c r="AR1419">
        <f t="shared" si="398"/>
        <v>0</v>
      </c>
      <c r="AS1419">
        <f t="shared" si="399"/>
        <v>5</v>
      </c>
    </row>
    <row r="1420" customHeight="1" spans="1:45">
      <c r="A1420" s="3" t="str">
        <f>IF(对接源_02物料!$C220="","",对接源_02物料!$C220)</f>
        <v/>
      </c>
      <c r="B1420" s="3">
        <f t="shared" si="384"/>
        <v>0</v>
      </c>
      <c r="C1420" s="3">
        <f t="shared" si="385"/>
        <v>21</v>
      </c>
      <c r="K1420" s="3">
        <f>IF(OR($K$1="",对接源_02物料!$C220="",对接源_02物料!$C220&lt;&gt;$K$1,对接源_02物料!$B220=""),0,IF(OR(N(对接源_02物料!$B220)&lt;$K$2,N(对接源_02物料!$B220)&gt;$K$3),0,1))</f>
        <v>0</v>
      </c>
      <c r="L1420" s="3">
        <f>IF(OR($L$1="",对接源_02物料!$C220="",对接源_02物料!$C220&lt;&gt;$L$1,对接源_02物料!$B220=""),0,IF(OR(N(对接源_02物料!$B220)&lt;$L$2,N(对接源_02物料!$B220)&gt;$L$3),0,1))</f>
        <v>0</v>
      </c>
      <c r="M1420" s="3">
        <f>IF(OR($M$1="",对接源_02物料!$C220="",对接源_02物料!$C220&lt;&gt;$M$1,对接源_02物料!$B220=""),0,IF(OR(N(对接源_02物料!$B220)&lt;$M$2,N(对接源_02物料!$B220)&gt;$M$3),0,1))</f>
        <v>0</v>
      </c>
      <c r="N1420" s="3">
        <f>IF(OR($N$1="",对接源_02物料!$C220="",对接源_02物料!$C220&lt;&gt;$N$1,对接源_02物料!$B220=""),0,IF(OR(N(对接源_02物料!$B220)&lt;$N$2,N(对接源_02物料!$B220)&gt;$N$3),0,1))</f>
        <v>0</v>
      </c>
      <c r="P1420" s="3">
        <f>IF(AND($K1420=1,AND(对接源_02物料!$X220="公司筐",N(对接源_02物料!$T220)&lt;&gt;0)),1,0)</f>
        <v>0</v>
      </c>
      <c r="Q1420" s="3">
        <f t="shared" si="386"/>
        <v>8</v>
      </c>
      <c r="R1420" s="3">
        <f>IF(AND($K1420=1,AND(对接源_02物料!$X220="公司筐",N(对接源_02物料!$U220)&lt;&gt;0)),1,0)</f>
        <v>0</v>
      </c>
      <c r="S1420" s="3">
        <f t="shared" si="387"/>
        <v>0</v>
      </c>
      <c r="T1420" s="3">
        <f>IF(AND($K1420=1,AND(对接源_02物料!$X220="公司筐",N(对接源_02物料!$V220)&lt;&gt;0)),1,0)</f>
        <v>0</v>
      </c>
      <c r="U1420" s="3">
        <f t="shared" si="388"/>
        <v>19</v>
      </c>
      <c r="V1420" s="3">
        <f>IF(AND($L1420=1,AND(对接源_02物料!$X220="自备筐",N(对接源_02物料!$V220)&lt;&gt;0)),1,0)</f>
        <v>0</v>
      </c>
      <c r="W1420" s="3">
        <f t="shared" si="389"/>
        <v>8</v>
      </c>
      <c r="X1420" s="3">
        <f>IF(AND($L1420=1,AND(对接源_02物料!$X220="自备筐",N(对接源_02物料!$T220)&lt;&gt;0)),1,0)</f>
        <v>0</v>
      </c>
      <c r="Y1420" s="3">
        <f t="shared" si="390"/>
        <v>0</v>
      </c>
      <c r="Z1420" s="3">
        <f>IF(AND($M1420=1,对接源_02物料!$D220="原料入库"),1,0)</f>
        <v>0</v>
      </c>
      <c r="AA1420" s="3">
        <f t="shared" si="391"/>
        <v>24</v>
      </c>
      <c r="AB1420" s="3">
        <f>IF(AND($M1420=1,LEFT(对接源_02物料!$D220,4)="原料出库"),1,0)</f>
        <v>0</v>
      </c>
      <c r="AC1420" s="3">
        <f t="shared" si="392"/>
        <v>0</v>
      </c>
      <c r="AD1420" s="3">
        <f>IF(AND($M1420=1,LEFT(对接源_02物料!$D220,4)="成品出库"),1,0)</f>
        <v>0</v>
      </c>
      <c r="AE1420" s="3">
        <f t="shared" si="393"/>
        <v>0</v>
      </c>
      <c r="AF1420" s="3">
        <f>IF(AND($N1420=1,AND(LEFT(对接源_02物料!$D220,4)="包装物料",N(对接源_02物料!$K220)&lt;&gt;0)),1,0)</f>
        <v>0</v>
      </c>
      <c r="AG1420" s="3">
        <f t="shared" si="394"/>
        <v>5</v>
      </c>
      <c r="AH1420" s="3">
        <f>IF(AND($N1420=1,AND(对接源_02物料!$D220="周转筐－销售出库",N(对接源_02物料!$K220)&lt;&gt;0)),1,0)</f>
        <v>0</v>
      </c>
      <c r="AI1420" s="3">
        <f t="shared" si="395"/>
        <v>0</v>
      </c>
      <c r="AL1420" s="3">
        <v>0</v>
      </c>
      <c r="AM1420" s="3">
        <f t="shared" si="396"/>
        <v>1</v>
      </c>
      <c r="AN1420" s="3" t="str">
        <f t="shared" si="383"/>
        <v/>
      </c>
      <c r="AO1420" s="3">
        <v>0</v>
      </c>
      <c r="AP1420" s="3">
        <f t="shared" si="397"/>
        <v>8</v>
      </c>
      <c r="AR1420">
        <f t="shared" si="398"/>
        <v>0</v>
      </c>
      <c r="AS1420">
        <f t="shared" si="399"/>
        <v>5</v>
      </c>
    </row>
    <row r="1421" customHeight="1" spans="1:45">
      <c r="A1421" s="3" t="str">
        <f>IF(对接源_02物料!$C221="","",对接源_02物料!$C221)</f>
        <v/>
      </c>
      <c r="B1421" s="3">
        <f t="shared" si="384"/>
        <v>0</v>
      </c>
      <c r="C1421" s="3">
        <f t="shared" si="385"/>
        <v>21</v>
      </c>
      <c r="K1421" s="3">
        <f>IF(OR($K$1="",对接源_02物料!$C221="",对接源_02物料!$C221&lt;&gt;$K$1,对接源_02物料!$B221=""),0,IF(OR(N(对接源_02物料!$B221)&lt;$K$2,N(对接源_02物料!$B221)&gt;$K$3),0,1))</f>
        <v>0</v>
      </c>
      <c r="L1421" s="3">
        <f>IF(OR($L$1="",对接源_02物料!$C221="",对接源_02物料!$C221&lt;&gt;$L$1,对接源_02物料!$B221=""),0,IF(OR(N(对接源_02物料!$B221)&lt;$L$2,N(对接源_02物料!$B221)&gt;$L$3),0,1))</f>
        <v>0</v>
      </c>
      <c r="M1421" s="3">
        <f>IF(OR($M$1="",对接源_02物料!$C221="",对接源_02物料!$C221&lt;&gt;$M$1,对接源_02物料!$B221=""),0,IF(OR(N(对接源_02物料!$B221)&lt;$M$2,N(对接源_02物料!$B221)&gt;$M$3),0,1))</f>
        <v>0</v>
      </c>
      <c r="N1421" s="3">
        <f>IF(OR($N$1="",对接源_02物料!$C221="",对接源_02物料!$C221&lt;&gt;$N$1,对接源_02物料!$B221=""),0,IF(OR(N(对接源_02物料!$B221)&lt;$N$2,N(对接源_02物料!$B221)&gt;$N$3),0,1))</f>
        <v>0</v>
      </c>
      <c r="P1421" s="3">
        <f>IF(AND($K1421=1,AND(对接源_02物料!$X221="公司筐",N(对接源_02物料!$T221)&lt;&gt;0)),1,0)</f>
        <v>0</v>
      </c>
      <c r="Q1421" s="3">
        <f t="shared" si="386"/>
        <v>8</v>
      </c>
      <c r="R1421" s="3">
        <f>IF(AND($K1421=1,AND(对接源_02物料!$X221="公司筐",N(对接源_02物料!$U221)&lt;&gt;0)),1,0)</f>
        <v>0</v>
      </c>
      <c r="S1421" s="3">
        <f t="shared" si="387"/>
        <v>0</v>
      </c>
      <c r="T1421" s="3">
        <f>IF(AND($K1421=1,AND(对接源_02物料!$X221="公司筐",N(对接源_02物料!$V221)&lt;&gt;0)),1,0)</f>
        <v>0</v>
      </c>
      <c r="U1421" s="3">
        <f t="shared" si="388"/>
        <v>19</v>
      </c>
      <c r="V1421" s="3">
        <f>IF(AND($L1421=1,AND(对接源_02物料!$X221="自备筐",N(对接源_02物料!$V221)&lt;&gt;0)),1,0)</f>
        <v>0</v>
      </c>
      <c r="W1421" s="3">
        <f t="shared" si="389"/>
        <v>8</v>
      </c>
      <c r="X1421" s="3">
        <f>IF(AND($L1421=1,AND(对接源_02物料!$X221="自备筐",N(对接源_02物料!$T221)&lt;&gt;0)),1,0)</f>
        <v>0</v>
      </c>
      <c r="Y1421" s="3">
        <f t="shared" si="390"/>
        <v>0</v>
      </c>
      <c r="Z1421" s="3">
        <f>IF(AND($M1421=1,对接源_02物料!$D221="原料入库"),1,0)</f>
        <v>0</v>
      </c>
      <c r="AA1421" s="3">
        <f t="shared" si="391"/>
        <v>24</v>
      </c>
      <c r="AB1421" s="3">
        <f>IF(AND($M1421=1,LEFT(对接源_02物料!$D221,4)="原料出库"),1,0)</f>
        <v>0</v>
      </c>
      <c r="AC1421" s="3">
        <f t="shared" si="392"/>
        <v>0</v>
      </c>
      <c r="AD1421" s="3">
        <f>IF(AND($M1421=1,LEFT(对接源_02物料!$D221,4)="成品出库"),1,0)</f>
        <v>0</v>
      </c>
      <c r="AE1421" s="3">
        <f t="shared" si="393"/>
        <v>0</v>
      </c>
      <c r="AF1421" s="3">
        <f>IF(AND($N1421=1,AND(LEFT(对接源_02物料!$D221,4)="包装物料",N(对接源_02物料!$K221)&lt;&gt;0)),1,0)</f>
        <v>0</v>
      </c>
      <c r="AG1421" s="3">
        <f t="shared" si="394"/>
        <v>5</v>
      </c>
      <c r="AH1421" s="3">
        <f>IF(AND($N1421=1,AND(对接源_02物料!$D221="周转筐－销售出库",N(对接源_02物料!$K221)&lt;&gt;0)),1,0)</f>
        <v>0</v>
      </c>
      <c r="AI1421" s="3">
        <f t="shared" si="395"/>
        <v>0</v>
      </c>
      <c r="AL1421" s="3">
        <v>0</v>
      </c>
      <c r="AM1421" s="3">
        <f t="shared" si="396"/>
        <v>1</v>
      </c>
      <c r="AN1421" s="3" t="str">
        <f t="shared" si="383"/>
        <v/>
      </c>
      <c r="AO1421" s="3">
        <v>0</v>
      </c>
      <c r="AP1421" s="3">
        <f t="shared" si="397"/>
        <v>8</v>
      </c>
      <c r="AR1421">
        <f t="shared" si="398"/>
        <v>0</v>
      </c>
      <c r="AS1421">
        <f t="shared" si="399"/>
        <v>5</v>
      </c>
    </row>
    <row r="1422" customHeight="1" spans="1:45">
      <c r="A1422" s="3" t="str">
        <f>IF(对接源_02物料!$C222="","",对接源_02物料!$C222)</f>
        <v/>
      </c>
      <c r="B1422" s="3">
        <f t="shared" si="384"/>
        <v>0</v>
      </c>
      <c r="C1422" s="3">
        <f t="shared" si="385"/>
        <v>21</v>
      </c>
      <c r="K1422" s="3">
        <f>IF(OR($K$1="",对接源_02物料!$C222="",对接源_02物料!$C222&lt;&gt;$K$1,对接源_02物料!$B222=""),0,IF(OR(N(对接源_02物料!$B222)&lt;$K$2,N(对接源_02物料!$B222)&gt;$K$3),0,1))</f>
        <v>0</v>
      </c>
      <c r="L1422" s="3">
        <f>IF(OR($L$1="",对接源_02物料!$C222="",对接源_02物料!$C222&lt;&gt;$L$1,对接源_02物料!$B222=""),0,IF(OR(N(对接源_02物料!$B222)&lt;$L$2,N(对接源_02物料!$B222)&gt;$L$3),0,1))</f>
        <v>0</v>
      </c>
      <c r="M1422" s="3">
        <f>IF(OR($M$1="",对接源_02物料!$C222="",对接源_02物料!$C222&lt;&gt;$M$1,对接源_02物料!$B222=""),0,IF(OR(N(对接源_02物料!$B222)&lt;$M$2,N(对接源_02物料!$B222)&gt;$M$3),0,1))</f>
        <v>0</v>
      </c>
      <c r="N1422" s="3">
        <f>IF(OR($N$1="",对接源_02物料!$C222="",对接源_02物料!$C222&lt;&gt;$N$1,对接源_02物料!$B222=""),0,IF(OR(N(对接源_02物料!$B222)&lt;$N$2,N(对接源_02物料!$B222)&gt;$N$3),0,1))</f>
        <v>0</v>
      </c>
      <c r="P1422" s="3">
        <f>IF(AND($K1422=1,AND(对接源_02物料!$X222="公司筐",N(对接源_02物料!$T222)&lt;&gt;0)),1,0)</f>
        <v>0</v>
      </c>
      <c r="Q1422" s="3">
        <f t="shared" si="386"/>
        <v>8</v>
      </c>
      <c r="R1422" s="3">
        <f>IF(AND($K1422=1,AND(对接源_02物料!$X222="公司筐",N(对接源_02物料!$U222)&lt;&gt;0)),1,0)</f>
        <v>0</v>
      </c>
      <c r="S1422" s="3">
        <f t="shared" si="387"/>
        <v>0</v>
      </c>
      <c r="T1422" s="3">
        <f>IF(AND($K1422=1,AND(对接源_02物料!$X222="公司筐",N(对接源_02物料!$V222)&lt;&gt;0)),1,0)</f>
        <v>0</v>
      </c>
      <c r="U1422" s="3">
        <f t="shared" si="388"/>
        <v>19</v>
      </c>
      <c r="V1422" s="3">
        <f>IF(AND($L1422=1,AND(对接源_02物料!$X222="自备筐",N(对接源_02物料!$V222)&lt;&gt;0)),1,0)</f>
        <v>0</v>
      </c>
      <c r="W1422" s="3">
        <f t="shared" si="389"/>
        <v>8</v>
      </c>
      <c r="X1422" s="3">
        <f>IF(AND($L1422=1,AND(对接源_02物料!$X222="自备筐",N(对接源_02物料!$T222)&lt;&gt;0)),1,0)</f>
        <v>0</v>
      </c>
      <c r="Y1422" s="3">
        <f t="shared" si="390"/>
        <v>0</v>
      </c>
      <c r="Z1422" s="3">
        <f>IF(AND($M1422=1,对接源_02物料!$D222="原料入库"),1,0)</f>
        <v>0</v>
      </c>
      <c r="AA1422" s="3">
        <f t="shared" si="391"/>
        <v>24</v>
      </c>
      <c r="AB1422" s="3">
        <f>IF(AND($M1422=1,LEFT(对接源_02物料!$D222,4)="原料出库"),1,0)</f>
        <v>0</v>
      </c>
      <c r="AC1422" s="3">
        <f t="shared" si="392"/>
        <v>0</v>
      </c>
      <c r="AD1422" s="3">
        <f>IF(AND($M1422=1,LEFT(对接源_02物料!$D222,4)="成品出库"),1,0)</f>
        <v>0</v>
      </c>
      <c r="AE1422" s="3">
        <f t="shared" si="393"/>
        <v>0</v>
      </c>
      <c r="AF1422" s="3">
        <f>IF(AND($N1422=1,AND(LEFT(对接源_02物料!$D222,4)="包装物料",N(对接源_02物料!$K222)&lt;&gt;0)),1,0)</f>
        <v>0</v>
      </c>
      <c r="AG1422" s="3">
        <f t="shared" si="394"/>
        <v>5</v>
      </c>
      <c r="AH1422" s="3">
        <f>IF(AND($N1422=1,AND(对接源_02物料!$D222="周转筐－销售出库",N(对接源_02物料!$K222)&lt;&gt;0)),1,0)</f>
        <v>0</v>
      </c>
      <c r="AI1422" s="3">
        <f t="shared" si="395"/>
        <v>0</v>
      </c>
      <c r="AL1422" s="3">
        <v>0</v>
      </c>
      <c r="AM1422" s="3">
        <f t="shared" si="396"/>
        <v>1</v>
      </c>
      <c r="AN1422" s="3" t="str">
        <f t="shared" si="383"/>
        <v/>
      </c>
      <c r="AO1422" s="3">
        <v>0</v>
      </c>
      <c r="AP1422" s="3">
        <f t="shared" si="397"/>
        <v>8</v>
      </c>
      <c r="AR1422">
        <f t="shared" si="398"/>
        <v>0</v>
      </c>
      <c r="AS1422">
        <f t="shared" si="399"/>
        <v>5</v>
      </c>
    </row>
    <row r="1423" customHeight="1" spans="1:45">
      <c r="A1423" s="3" t="str">
        <f>IF(对接源_02物料!$C223="","",对接源_02物料!$C223)</f>
        <v/>
      </c>
      <c r="B1423" s="3">
        <f t="shared" si="384"/>
        <v>0</v>
      </c>
      <c r="C1423" s="3">
        <f t="shared" si="385"/>
        <v>21</v>
      </c>
      <c r="K1423" s="3">
        <f>IF(OR($K$1="",对接源_02物料!$C223="",对接源_02物料!$C223&lt;&gt;$K$1,对接源_02物料!$B223=""),0,IF(OR(N(对接源_02物料!$B223)&lt;$K$2,N(对接源_02物料!$B223)&gt;$K$3),0,1))</f>
        <v>0</v>
      </c>
      <c r="L1423" s="3">
        <f>IF(OR($L$1="",对接源_02物料!$C223="",对接源_02物料!$C223&lt;&gt;$L$1,对接源_02物料!$B223=""),0,IF(OR(N(对接源_02物料!$B223)&lt;$L$2,N(对接源_02物料!$B223)&gt;$L$3),0,1))</f>
        <v>0</v>
      </c>
      <c r="M1423" s="3">
        <f>IF(OR($M$1="",对接源_02物料!$C223="",对接源_02物料!$C223&lt;&gt;$M$1,对接源_02物料!$B223=""),0,IF(OR(N(对接源_02物料!$B223)&lt;$M$2,N(对接源_02物料!$B223)&gt;$M$3),0,1))</f>
        <v>0</v>
      </c>
      <c r="N1423" s="3">
        <f>IF(OR($N$1="",对接源_02物料!$C223="",对接源_02物料!$C223&lt;&gt;$N$1,对接源_02物料!$B223=""),0,IF(OR(N(对接源_02物料!$B223)&lt;$N$2,N(对接源_02物料!$B223)&gt;$N$3),0,1))</f>
        <v>0</v>
      </c>
      <c r="P1423" s="3">
        <f>IF(AND($K1423=1,AND(对接源_02物料!$X223="公司筐",N(对接源_02物料!$T223)&lt;&gt;0)),1,0)</f>
        <v>0</v>
      </c>
      <c r="Q1423" s="3">
        <f t="shared" si="386"/>
        <v>8</v>
      </c>
      <c r="R1423" s="3">
        <f>IF(AND($K1423=1,AND(对接源_02物料!$X223="公司筐",N(对接源_02物料!$U223)&lt;&gt;0)),1,0)</f>
        <v>0</v>
      </c>
      <c r="S1423" s="3">
        <f t="shared" si="387"/>
        <v>0</v>
      </c>
      <c r="T1423" s="3">
        <f>IF(AND($K1423=1,AND(对接源_02物料!$X223="公司筐",N(对接源_02物料!$V223)&lt;&gt;0)),1,0)</f>
        <v>0</v>
      </c>
      <c r="U1423" s="3">
        <f t="shared" si="388"/>
        <v>19</v>
      </c>
      <c r="V1423" s="3">
        <f>IF(AND($L1423=1,AND(对接源_02物料!$X223="自备筐",N(对接源_02物料!$V223)&lt;&gt;0)),1,0)</f>
        <v>0</v>
      </c>
      <c r="W1423" s="3">
        <f t="shared" si="389"/>
        <v>8</v>
      </c>
      <c r="X1423" s="3">
        <f>IF(AND($L1423=1,AND(对接源_02物料!$X223="自备筐",N(对接源_02物料!$T223)&lt;&gt;0)),1,0)</f>
        <v>0</v>
      </c>
      <c r="Y1423" s="3">
        <f t="shared" si="390"/>
        <v>0</v>
      </c>
      <c r="Z1423" s="3">
        <f>IF(AND($M1423=1,对接源_02物料!$D223="原料入库"),1,0)</f>
        <v>0</v>
      </c>
      <c r="AA1423" s="3">
        <f t="shared" si="391"/>
        <v>24</v>
      </c>
      <c r="AB1423" s="3">
        <f>IF(AND($M1423=1,LEFT(对接源_02物料!$D223,4)="原料出库"),1,0)</f>
        <v>0</v>
      </c>
      <c r="AC1423" s="3">
        <f t="shared" si="392"/>
        <v>0</v>
      </c>
      <c r="AD1423" s="3">
        <f>IF(AND($M1423=1,LEFT(对接源_02物料!$D223,4)="成品出库"),1,0)</f>
        <v>0</v>
      </c>
      <c r="AE1423" s="3">
        <f t="shared" si="393"/>
        <v>0</v>
      </c>
      <c r="AF1423" s="3">
        <f>IF(AND($N1423=1,AND(LEFT(对接源_02物料!$D223,4)="包装物料",N(对接源_02物料!$K223)&lt;&gt;0)),1,0)</f>
        <v>0</v>
      </c>
      <c r="AG1423" s="3">
        <f t="shared" si="394"/>
        <v>5</v>
      </c>
      <c r="AH1423" s="3">
        <f>IF(AND($N1423=1,AND(对接源_02物料!$D223="周转筐－销售出库",N(对接源_02物料!$K223)&lt;&gt;0)),1,0)</f>
        <v>0</v>
      </c>
      <c r="AI1423" s="3">
        <f t="shared" si="395"/>
        <v>0</v>
      </c>
      <c r="AL1423" s="3">
        <v>0</v>
      </c>
      <c r="AM1423" s="3">
        <f t="shared" si="396"/>
        <v>1</v>
      </c>
      <c r="AN1423" s="3" t="str">
        <f t="shared" si="383"/>
        <v/>
      </c>
      <c r="AO1423" s="3">
        <v>0</v>
      </c>
      <c r="AP1423" s="3">
        <f t="shared" si="397"/>
        <v>8</v>
      </c>
      <c r="AR1423">
        <f t="shared" si="398"/>
        <v>0</v>
      </c>
      <c r="AS1423">
        <f t="shared" si="399"/>
        <v>5</v>
      </c>
    </row>
    <row r="1424" customHeight="1" spans="1:45">
      <c r="A1424" s="3" t="str">
        <f>IF(对接源_02物料!$C224="","",对接源_02物料!$C224)</f>
        <v/>
      </c>
      <c r="B1424" s="3">
        <f t="shared" si="384"/>
        <v>0</v>
      </c>
      <c r="C1424" s="3">
        <f t="shared" si="385"/>
        <v>21</v>
      </c>
      <c r="K1424" s="3">
        <f>IF(OR($K$1="",对接源_02物料!$C224="",对接源_02物料!$C224&lt;&gt;$K$1,对接源_02物料!$B224=""),0,IF(OR(N(对接源_02物料!$B224)&lt;$K$2,N(对接源_02物料!$B224)&gt;$K$3),0,1))</f>
        <v>0</v>
      </c>
      <c r="L1424" s="3">
        <f>IF(OR($L$1="",对接源_02物料!$C224="",对接源_02物料!$C224&lt;&gt;$L$1,对接源_02物料!$B224=""),0,IF(OR(N(对接源_02物料!$B224)&lt;$L$2,N(对接源_02物料!$B224)&gt;$L$3),0,1))</f>
        <v>0</v>
      </c>
      <c r="M1424" s="3">
        <f>IF(OR($M$1="",对接源_02物料!$C224="",对接源_02物料!$C224&lt;&gt;$M$1,对接源_02物料!$B224=""),0,IF(OR(N(对接源_02物料!$B224)&lt;$M$2,N(对接源_02物料!$B224)&gt;$M$3),0,1))</f>
        <v>0</v>
      </c>
      <c r="N1424" s="3">
        <f>IF(OR($N$1="",对接源_02物料!$C224="",对接源_02物料!$C224&lt;&gt;$N$1,对接源_02物料!$B224=""),0,IF(OR(N(对接源_02物料!$B224)&lt;$N$2,N(对接源_02物料!$B224)&gt;$N$3),0,1))</f>
        <v>0</v>
      </c>
      <c r="P1424" s="3">
        <f>IF(AND($K1424=1,AND(对接源_02物料!$X224="公司筐",N(对接源_02物料!$T224)&lt;&gt;0)),1,0)</f>
        <v>0</v>
      </c>
      <c r="Q1424" s="3">
        <f t="shared" si="386"/>
        <v>8</v>
      </c>
      <c r="R1424" s="3">
        <f>IF(AND($K1424=1,AND(对接源_02物料!$X224="公司筐",N(对接源_02物料!$U224)&lt;&gt;0)),1,0)</f>
        <v>0</v>
      </c>
      <c r="S1424" s="3">
        <f t="shared" si="387"/>
        <v>0</v>
      </c>
      <c r="T1424" s="3">
        <f>IF(AND($K1424=1,AND(对接源_02物料!$X224="公司筐",N(对接源_02物料!$V224)&lt;&gt;0)),1,0)</f>
        <v>0</v>
      </c>
      <c r="U1424" s="3">
        <f t="shared" si="388"/>
        <v>19</v>
      </c>
      <c r="V1424" s="3">
        <f>IF(AND($L1424=1,AND(对接源_02物料!$X224="自备筐",N(对接源_02物料!$V224)&lt;&gt;0)),1,0)</f>
        <v>0</v>
      </c>
      <c r="W1424" s="3">
        <f t="shared" si="389"/>
        <v>8</v>
      </c>
      <c r="X1424" s="3">
        <f>IF(AND($L1424=1,AND(对接源_02物料!$X224="自备筐",N(对接源_02物料!$T224)&lt;&gt;0)),1,0)</f>
        <v>0</v>
      </c>
      <c r="Y1424" s="3">
        <f t="shared" si="390"/>
        <v>0</v>
      </c>
      <c r="Z1424" s="3">
        <f>IF(AND($M1424=1,对接源_02物料!$D224="原料入库"),1,0)</f>
        <v>0</v>
      </c>
      <c r="AA1424" s="3">
        <f t="shared" si="391"/>
        <v>24</v>
      </c>
      <c r="AB1424" s="3">
        <f>IF(AND($M1424=1,LEFT(对接源_02物料!$D224,4)="原料出库"),1,0)</f>
        <v>0</v>
      </c>
      <c r="AC1424" s="3">
        <f t="shared" si="392"/>
        <v>0</v>
      </c>
      <c r="AD1424" s="3">
        <f>IF(AND($M1424=1,LEFT(对接源_02物料!$D224,4)="成品出库"),1,0)</f>
        <v>0</v>
      </c>
      <c r="AE1424" s="3">
        <f t="shared" si="393"/>
        <v>0</v>
      </c>
      <c r="AF1424" s="3">
        <f>IF(AND($N1424=1,AND(LEFT(对接源_02物料!$D224,4)="包装物料",N(对接源_02物料!$K224)&lt;&gt;0)),1,0)</f>
        <v>0</v>
      </c>
      <c r="AG1424" s="3">
        <f t="shared" si="394"/>
        <v>5</v>
      </c>
      <c r="AH1424" s="3">
        <f>IF(AND($N1424=1,AND(对接源_02物料!$D224="周转筐－销售出库",N(对接源_02物料!$K224)&lt;&gt;0)),1,0)</f>
        <v>0</v>
      </c>
      <c r="AI1424" s="3">
        <f t="shared" si="395"/>
        <v>0</v>
      </c>
      <c r="AL1424" s="3">
        <v>0</v>
      </c>
      <c r="AM1424" s="3">
        <f t="shared" si="396"/>
        <v>1</v>
      </c>
      <c r="AN1424" s="3" t="str">
        <f t="shared" si="383"/>
        <v/>
      </c>
      <c r="AO1424" s="3">
        <v>0</v>
      </c>
      <c r="AP1424" s="3">
        <f t="shared" si="397"/>
        <v>8</v>
      </c>
      <c r="AR1424">
        <f t="shared" si="398"/>
        <v>0</v>
      </c>
      <c r="AS1424">
        <f t="shared" si="399"/>
        <v>5</v>
      </c>
    </row>
    <row r="1425" customHeight="1" spans="1:45">
      <c r="A1425" s="3" t="str">
        <f>IF(对接源_02物料!$C225="","",对接源_02物料!$C225)</f>
        <v/>
      </c>
      <c r="B1425" s="3">
        <f t="shared" si="384"/>
        <v>0</v>
      </c>
      <c r="C1425" s="3">
        <f t="shared" si="385"/>
        <v>21</v>
      </c>
      <c r="K1425" s="3">
        <f>IF(OR($K$1="",对接源_02物料!$C225="",对接源_02物料!$C225&lt;&gt;$K$1,对接源_02物料!$B225=""),0,IF(OR(N(对接源_02物料!$B225)&lt;$K$2,N(对接源_02物料!$B225)&gt;$K$3),0,1))</f>
        <v>0</v>
      </c>
      <c r="L1425" s="3">
        <f>IF(OR($L$1="",对接源_02物料!$C225="",对接源_02物料!$C225&lt;&gt;$L$1,对接源_02物料!$B225=""),0,IF(OR(N(对接源_02物料!$B225)&lt;$L$2,N(对接源_02物料!$B225)&gt;$L$3),0,1))</f>
        <v>0</v>
      </c>
      <c r="M1425" s="3">
        <f>IF(OR($M$1="",对接源_02物料!$C225="",对接源_02物料!$C225&lt;&gt;$M$1,对接源_02物料!$B225=""),0,IF(OR(N(对接源_02物料!$B225)&lt;$M$2,N(对接源_02物料!$B225)&gt;$M$3),0,1))</f>
        <v>0</v>
      </c>
      <c r="N1425" s="3">
        <f>IF(OR($N$1="",对接源_02物料!$C225="",对接源_02物料!$C225&lt;&gt;$N$1,对接源_02物料!$B225=""),0,IF(OR(N(对接源_02物料!$B225)&lt;$N$2,N(对接源_02物料!$B225)&gt;$N$3),0,1))</f>
        <v>0</v>
      </c>
      <c r="P1425" s="3">
        <f>IF(AND($K1425=1,AND(对接源_02物料!$X225="公司筐",N(对接源_02物料!$T225)&lt;&gt;0)),1,0)</f>
        <v>0</v>
      </c>
      <c r="Q1425" s="3">
        <f t="shared" si="386"/>
        <v>8</v>
      </c>
      <c r="R1425" s="3">
        <f>IF(AND($K1425=1,AND(对接源_02物料!$X225="公司筐",N(对接源_02物料!$U225)&lt;&gt;0)),1,0)</f>
        <v>0</v>
      </c>
      <c r="S1425" s="3">
        <f t="shared" si="387"/>
        <v>0</v>
      </c>
      <c r="T1425" s="3">
        <f>IF(AND($K1425=1,AND(对接源_02物料!$X225="公司筐",N(对接源_02物料!$V225)&lt;&gt;0)),1,0)</f>
        <v>0</v>
      </c>
      <c r="U1425" s="3">
        <f t="shared" si="388"/>
        <v>19</v>
      </c>
      <c r="V1425" s="3">
        <f>IF(AND($L1425=1,AND(对接源_02物料!$X225="自备筐",N(对接源_02物料!$V225)&lt;&gt;0)),1,0)</f>
        <v>0</v>
      </c>
      <c r="W1425" s="3">
        <f t="shared" si="389"/>
        <v>8</v>
      </c>
      <c r="X1425" s="3">
        <f>IF(AND($L1425=1,AND(对接源_02物料!$X225="自备筐",N(对接源_02物料!$T225)&lt;&gt;0)),1,0)</f>
        <v>0</v>
      </c>
      <c r="Y1425" s="3">
        <f t="shared" si="390"/>
        <v>0</v>
      </c>
      <c r="Z1425" s="3">
        <f>IF(AND($M1425=1,对接源_02物料!$D225="原料入库"),1,0)</f>
        <v>0</v>
      </c>
      <c r="AA1425" s="3">
        <f t="shared" si="391"/>
        <v>24</v>
      </c>
      <c r="AB1425" s="3">
        <f>IF(AND($M1425=1,LEFT(对接源_02物料!$D225,4)="原料出库"),1,0)</f>
        <v>0</v>
      </c>
      <c r="AC1425" s="3">
        <f t="shared" si="392"/>
        <v>0</v>
      </c>
      <c r="AD1425" s="3">
        <f>IF(AND($M1425=1,LEFT(对接源_02物料!$D225,4)="成品出库"),1,0)</f>
        <v>0</v>
      </c>
      <c r="AE1425" s="3">
        <f t="shared" si="393"/>
        <v>0</v>
      </c>
      <c r="AF1425" s="3">
        <f>IF(AND($N1425=1,AND(LEFT(对接源_02物料!$D225,4)="包装物料",N(对接源_02物料!$K225)&lt;&gt;0)),1,0)</f>
        <v>0</v>
      </c>
      <c r="AG1425" s="3">
        <f t="shared" si="394"/>
        <v>5</v>
      </c>
      <c r="AH1425" s="3">
        <f>IF(AND($N1425=1,AND(对接源_02物料!$D225="周转筐－销售出库",N(对接源_02物料!$K225)&lt;&gt;0)),1,0)</f>
        <v>0</v>
      </c>
      <c r="AI1425" s="3">
        <f t="shared" si="395"/>
        <v>0</v>
      </c>
      <c r="AL1425" s="3">
        <v>0</v>
      </c>
      <c r="AM1425" s="3">
        <f t="shared" si="396"/>
        <v>1</v>
      </c>
      <c r="AN1425" s="3" t="str">
        <f t="shared" si="383"/>
        <v/>
      </c>
      <c r="AO1425" s="3">
        <v>0</v>
      </c>
      <c r="AP1425" s="3">
        <f t="shared" si="397"/>
        <v>8</v>
      </c>
      <c r="AR1425">
        <f t="shared" si="398"/>
        <v>0</v>
      </c>
      <c r="AS1425">
        <f t="shared" si="399"/>
        <v>5</v>
      </c>
    </row>
    <row r="1426" customHeight="1" spans="1:45">
      <c r="A1426" s="3" t="str">
        <f>IF(对接源_02物料!$C226="","",对接源_02物料!$C226)</f>
        <v/>
      </c>
      <c r="B1426" s="3">
        <f t="shared" si="384"/>
        <v>0</v>
      </c>
      <c r="C1426" s="3">
        <f t="shared" si="385"/>
        <v>21</v>
      </c>
      <c r="K1426" s="3">
        <f>IF(OR($K$1="",对接源_02物料!$C226="",对接源_02物料!$C226&lt;&gt;$K$1,对接源_02物料!$B226=""),0,IF(OR(N(对接源_02物料!$B226)&lt;$K$2,N(对接源_02物料!$B226)&gt;$K$3),0,1))</f>
        <v>0</v>
      </c>
      <c r="L1426" s="3">
        <f>IF(OR($L$1="",对接源_02物料!$C226="",对接源_02物料!$C226&lt;&gt;$L$1,对接源_02物料!$B226=""),0,IF(OR(N(对接源_02物料!$B226)&lt;$L$2,N(对接源_02物料!$B226)&gt;$L$3),0,1))</f>
        <v>0</v>
      </c>
      <c r="M1426" s="3">
        <f>IF(OR($M$1="",对接源_02物料!$C226="",对接源_02物料!$C226&lt;&gt;$M$1,对接源_02物料!$B226=""),0,IF(OR(N(对接源_02物料!$B226)&lt;$M$2,N(对接源_02物料!$B226)&gt;$M$3),0,1))</f>
        <v>0</v>
      </c>
      <c r="N1426" s="3">
        <f>IF(OR($N$1="",对接源_02物料!$C226="",对接源_02物料!$C226&lt;&gt;$N$1,对接源_02物料!$B226=""),0,IF(OR(N(对接源_02物料!$B226)&lt;$N$2,N(对接源_02物料!$B226)&gt;$N$3),0,1))</f>
        <v>0</v>
      </c>
      <c r="P1426" s="3">
        <f>IF(AND($K1426=1,AND(对接源_02物料!$X226="公司筐",N(对接源_02物料!$T226)&lt;&gt;0)),1,0)</f>
        <v>0</v>
      </c>
      <c r="Q1426" s="3">
        <f t="shared" si="386"/>
        <v>8</v>
      </c>
      <c r="R1426" s="3">
        <f>IF(AND($K1426=1,AND(对接源_02物料!$X226="公司筐",N(对接源_02物料!$U226)&lt;&gt;0)),1,0)</f>
        <v>0</v>
      </c>
      <c r="S1426" s="3">
        <f t="shared" si="387"/>
        <v>0</v>
      </c>
      <c r="T1426" s="3">
        <f>IF(AND($K1426=1,AND(对接源_02物料!$X226="公司筐",N(对接源_02物料!$V226)&lt;&gt;0)),1,0)</f>
        <v>0</v>
      </c>
      <c r="U1426" s="3">
        <f t="shared" si="388"/>
        <v>19</v>
      </c>
      <c r="V1426" s="3">
        <f>IF(AND($L1426=1,AND(对接源_02物料!$X226="自备筐",N(对接源_02物料!$V226)&lt;&gt;0)),1,0)</f>
        <v>0</v>
      </c>
      <c r="W1426" s="3">
        <f t="shared" si="389"/>
        <v>8</v>
      </c>
      <c r="X1426" s="3">
        <f>IF(AND($L1426=1,AND(对接源_02物料!$X226="自备筐",N(对接源_02物料!$T226)&lt;&gt;0)),1,0)</f>
        <v>0</v>
      </c>
      <c r="Y1426" s="3">
        <f t="shared" si="390"/>
        <v>0</v>
      </c>
      <c r="Z1426" s="3">
        <f>IF(AND($M1426=1,对接源_02物料!$D226="原料入库"),1,0)</f>
        <v>0</v>
      </c>
      <c r="AA1426" s="3">
        <f t="shared" si="391"/>
        <v>24</v>
      </c>
      <c r="AB1426" s="3">
        <f>IF(AND($M1426=1,LEFT(对接源_02物料!$D226,4)="原料出库"),1,0)</f>
        <v>0</v>
      </c>
      <c r="AC1426" s="3">
        <f t="shared" si="392"/>
        <v>0</v>
      </c>
      <c r="AD1426" s="3">
        <f>IF(AND($M1426=1,LEFT(对接源_02物料!$D226,4)="成品出库"),1,0)</f>
        <v>0</v>
      </c>
      <c r="AE1426" s="3">
        <f t="shared" si="393"/>
        <v>0</v>
      </c>
      <c r="AF1426" s="3">
        <f>IF(AND($N1426=1,AND(LEFT(对接源_02物料!$D226,4)="包装物料",N(对接源_02物料!$K226)&lt;&gt;0)),1,0)</f>
        <v>0</v>
      </c>
      <c r="AG1426" s="3">
        <f t="shared" si="394"/>
        <v>5</v>
      </c>
      <c r="AH1426" s="3">
        <f>IF(AND($N1426=1,AND(对接源_02物料!$D226="周转筐－销售出库",N(对接源_02物料!$K226)&lt;&gt;0)),1,0)</f>
        <v>0</v>
      </c>
      <c r="AI1426" s="3">
        <f t="shared" si="395"/>
        <v>0</v>
      </c>
      <c r="AL1426" s="3">
        <v>0</v>
      </c>
      <c r="AM1426" s="3">
        <f t="shared" si="396"/>
        <v>1</v>
      </c>
      <c r="AN1426" s="3" t="str">
        <f t="shared" si="383"/>
        <v/>
      </c>
      <c r="AO1426" s="3">
        <v>0</v>
      </c>
      <c r="AP1426" s="3">
        <f t="shared" si="397"/>
        <v>8</v>
      </c>
      <c r="AR1426">
        <f t="shared" si="398"/>
        <v>0</v>
      </c>
      <c r="AS1426">
        <f t="shared" si="399"/>
        <v>5</v>
      </c>
    </row>
    <row r="1427" customHeight="1" spans="1:45">
      <c r="A1427" s="3" t="str">
        <f>IF(对接源_02物料!$C227="","",对接源_02物料!$C227)</f>
        <v/>
      </c>
      <c r="B1427" s="3">
        <f t="shared" si="384"/>
        <v>0</v>
      </c>
      <c r="C1427" s="3">
        <f t="shared" si="385"/>
        <v>21</v>
      </c>
      <c r="K1427" s="3">
        <f>IF(OR($K$1="",对接源_02物料!$C227="",对接源_02物料!$C227&lt;&gt;$K$1,对接源_02物料!$B227=""),0,IF(OR(N(对接源_02物料!$B227)&lt;$K$2,N(对接源_02物料!$B227)&gt;$K$3),0,1))</f>
        <v>0</v>
      </c>
      <c r="L1427" s="3">
        <f>IF(OR($L$1="",对接源_02物料!$C227="",对接源_02物料!$C227&lt;&gt;$L$1,对接源_02物料!$B227=""),0,IF(OR(N(对接源_02物料!$B227)&lt;$L$2,N(对接源_02物料!$B227)&gt;$L$3),0,1))</f>
        <v>0</v>
      </c>
      <c r="M1427" s="3">
        <f>IF(OR($M$1="",对接源_02物料!$C227="",对接源_02物料!$C227&lt;&gt;$M$1,对接源_02物料!$B227=""),0,IF(OR(N(对接源_02物料!$B227)&lt;$M$2,N(对接源_02物料!$B227)&gt;$M$3),0,1))</f>
        <v>0</v>
      </c>
      <c r="N1427" s="3">
        <f>IF(OR($N$1="",对接源_02物料!$C227="",对接源_02物料!$C227&lt;&gt;$N$1,对接源_02物料!$B227=""),0,IF(OR(N(对接源_02物料!$B227)&lt;$N$2,N(对接源_02物料!$B227)&gt;$N$3),0,1))</f>
        <v>0</v>
      </c>
      <c r="P1427" s="3">
        <f>IF(AND($K1427=1,AND(对接源_02物料!$X227="公司筐",N(对接源_02物料!$T227)&lt;&gt;0)),1,0)</f>
        <v>0</v>
      </c>
      <c r="Q1427" s="3">
        <f t="shared" si="386"/>
        <v>8</v>
      </c>
      <c r="R1427" s="3">
        <f>IF(AND($K1427=1,AND(对接源_02物料!$X227="公司筐",N(对接源_02物料!$U227)&lt;&gt;0)),1,0)</f>
        <v>0</v>
      </c>
      <c r="S1427" s="3">
        <f t="shared" si="387"/>
        <v>0</v>
      </c>
      <c r="T1427" s="3">
        <f>IF(AND($K1427=1,AND(对接源_02物料!$X227="公司筐",N(对接源_02物料!$V227)&lt;&gt;0)),1,0)</f>
        <v>0</v>
      </c>
      <c r="U1427" s="3">
        <f t="shared" si="388"/>
        <v>19</v>
      </c>
      <c r="V1427" s="3">
        <f>IF(AND($L1427=1,AND(对接源_02物料!$X227="自备筐",N(对接源_02物料!$V227)&lt;&gt;0)),1,0)</f>
        <v>0</v>
      </c>
      <c r="W1427" s="3">
        <f t="shared" si="389"/>
        <v>8</v>
      </c>
      <c r="X1427" s="3">
        <f>IF(AND($L1427=1,AND(对接源_02物料!$X227="自备筐",N(对接源_02物料!$T227)&lt;&gt;0)),1,0)</f>
        <v>0</v>
      </c>
      <c r="Y1427" s="3">
        <f t="shared" si="390"/>
        <v>0</v>
      </c>
      <c r="Z1427" s="3">
        <f>IF(AND($M1427=1,对接源_02物料!$D227="原料入库"),1,0)</f>
        <v>0</v>
      </c>
      <c r="AA1427" s="3">
        <f t="shared" si="391"/>
        <v>24</v>
      </c>
      <c r="AB1427" s="3">
        <f>IF(AND($M1427=1,LEFT(对接源_02物料!$D227,4)="原料出库"),1,0)</f>
        <v>0</v>
      </c>
      <c r="AC1427" s="3">
        <f t="shared" si="392"/>
        <v>0</v>
      </c>
      <c r="AD1427" s="3">
        <f>IF(AND($M1427=1,LEFT(对接源_02物料!$D227,4)="成品出库"),1,0)</f>
        <v>0</v>
      </c>
      <c r="AE1427" s="3">
        <f t="shared" si="393"/>
        <v>0</v>
      </c>
      <c r="AF1427" s="3">
        <f>IF(AND($N1427=1,AND(LEFT(对接源_02物料!$D227,4)="包装物料",N(对接源_02物料!$K227)&lt;&gt;0)),1,0)</f>
        <v>0</v>
      </c>
      <c r="AG1427" s="3">
        <f t="shared" si="394"/>
        <v>5</v>
      </c>
      <c r="AH1427" s="3">
        <f>IF(AND($N1427=1,AND(对接源_02物料!$D227="周转筐－销售出库",N(对接源_02物料!$K227)&lt;&gt;0)),1,0)</f>
        <v>0</v>
      </c>
      <c r="AI1427" s="3">
        <f t="shared" si="395"/>
        <v>0</v>
      </c>
      <c r="AL1427" s="3">
        <v>0</v>
      </c>
      <c r="AM1427" s="3">
        <f t="shared" si="396"/>
        <v>1</v>
      </c>
      <c r="AN1427" s="3" t="str">
        <f t="shared" si="383"/>
        <v/>
      </c>
      <c r="AO1427" s="3">
        <v>0</v>
      </c>
      <c r="AP1427" s="3">
        <f t="shared" si="397"/>
        <v>8</v>
      </c>
      <c r="AR1427">
        <f t="shared" si="398"/>
        <v>0</v>
      </c>
      <c r="AS1427">
        <f t="shared" si="399"/>
        <v>5</v>
      </c>
    </row>
    <row r="1428" customHeight="1" spans="1:45">
      <c r="A1428" s="3" t="str">
        <f>IF(对接源_02物料!$C228="","",对接源_02物料!$C228)</f>
        <v/>
      </c>
      <c r="B1428" s="3">
        <f t="shared" si="384"/>
        <v>0</v>
      </c>
      <c r="C1428" s="3">
        <f t="shared" si="385"/>
        <v>21</v>
      </c>
      <c r="K1428" s="3">
        <f>IF(OR($K$1="",对接源_02物料!$C228="",对接源_02物料!$C228&lt;&gt;$K$1,对接源_02物料!$B228=""),0,IF(OR(N(对接源_02物料!$B228)&lt;$K$2,N(对接源_02物料!$B228)&gt;$K$3),0,1))</f>
        <v>0</v>
      </c>
      <c r="L1428" s="3">
        <f>IF(OR($L$1="",对接源_02物料!$C228="",对接源_02物料!$C228&lt;&gt;$L$1,对接源_02物料!$B228=""),0,IF(OR(N(对接源_02物料!$B228)&lt;$L$2,N(对接源_02物料!$B228)&gt;$L$3),0,1))</f>
        <v>0</v>
      </c>
      <c r="M1428" s="3">
        <f>IF(OR($M$1="",对接源_02物料!$C228="",对接源_02物料!$C228&lt;&gt;$M$1,对接源_02物料!$B228=""),0,IF(OR(N(对接源_02物料!$B228)&lt;$M$2,N(对接源_02物料!$B228)&gt;$M$3),0,1))</f>
        <v>0</v>
      </c>
      <c r="N1428" s="3">
        <f>IF(OR($N$1="",对接源_02物料!$C228="",对接源_02物料!$C228&lt;&gt;$N$1,对接源_02物料!$B228=""),0,IF(OR(N(对接源_02物料!$B228)&lt;$N$2,N(对接源_02物料!$B228)&gt;$N$3),0,1))</f>
        <v>0</v>
      </c>
      <c r="P1428" s="3">
        <f>IF(AND($K1428=1,AND(对接源_02物料!$X228="公司筐",N(对接源_02物料!$T228)&lt;&gt;0)),1,0)</f>
        <v>0</v>
      </c>
      <c r="Q1428" s="3">
        <f t="shared" si="386"/>
        <v>8</v>
      </c>
      <c r="R1428" s="3">
        <f>IF(AND($K1428=1,AND(对接源_02物料!$X228="公司筐",N(对接源_02物料!$U228)&lt;&gt;0)),1,0)</f>
        <v>0</v>
      </c>
      <c r="S1428" s="3">
        <f t="shared" si="387"/>
        <v>0</v>
      </c>
      <c r="T1428" s="3">
        <f>IF(AND($K1428=1,AND(对接源_02物料!$X228="公司筐",N(对接源_02物料!$V228)&lt;&gt;0)),1,0)</f>
        <v>0</v>
      </c>
      <c r="U1428" s="3">
        <f t="shared" si="388"/>
        <v>19</v>
      </c>
      <c r="V1428" s="3">
        <f>IF(AND($L1428=1,AND(对接源_02物料!$X228="自备筐",N(对接源_02物料!$V228)&lt;&gt;0)),1,0)</f>
        <v>0</v>
      </c>
      <c r="W1428" s="3">
        <f t="shared" si="389"/>
        <v>8</v>
      </c>
      <c r="X1428" s="3">
        <f>IF(AND($L1428=1,AND(对接源_02物料!$X228="自备筐",N(对接源_02物料!$T228)&lt;&gt;0)),1,0)</f>
        <v>0</v>
      </c>
      <c r="Y1428" s="3">
        <f t="shared" si="390"/>
        <v>0</v>
      </c>
      <c r="Z1428" s="3">
        <f>IF(AND($M1428=1,对接源_02物料!$D228="原料入库"),1,0)</f>
        <v>0</v>
      </c>
      <c r="AA1428" s="3">
        <f t="shared" si="391"/>
        <v>24</v>
      </c>
      <c r="AB1428" s="3">
        <f>IF(AND($M1428=1,LEFT(对接源_02物料!$D228,4)="原料出库"),1,0)</f>
        <v>0</v>
      </c>
      <c r="AC1428" s="3">
        <f t="shared" si="392"/>
        <v>0</v>
      </c>
      <c r="AD1428" s="3">
        <f>IF(AND($M1428=1,LEFT(对接源_02物料!$D228,4)="成品出库"),1,0)</f>
        <v>0</v>
      </c>
      <c r="AE1428" s="3">
        <f t="shared" si="393"/>
        <v>0</v>
      </c>
      <c r="AF1428" s="3">
        <f>IF(AND($N1428=1,AND(LEFT(对接源_02物料!$D228,4)="包装物料",N(对接源_02物料!$K228)&lt;&gt;0)),1,0)</f>
        <v>0</v>
      </c>
      <c r="AG1428" s="3">
        <f t="shared" si="394"/>
        <v>5</v>
      </c>
      <c r="AH1428" s="3">
        <f>IF(AND($N1428=1,AND(对接源_02物料!$D228="周转筐－销售出库",N(对接源_02物料!$K228)&lt;&gt;0)),1,0)</f>
        <v>0</v>
      </c>
      <c r="AI1428" s="3">
        <f t="shared" si="395"/>
        <v>0</v>
      </c>
      <c r="AL1428" s="3">
        <v>0</v>
      </c>
      <c r="AM1428" s="3">
        <f t="shared" si="396"/>
        <v>1</v>
      </c>
      <c r="AN1428" s="3" t="str">
        <f t="shared" si="383"/>
        <v/>
      </c>
      <c r="AO1428" s="3">
        <v>0</v>
      </c>
      <c r="AP1428" s="3">
        <f t="shared" si="397"/>
        <v>8</v>
      </c>
      <c r="AR1428">
        <f t="shared" si="398"/>
        <v>0</v>
      </c>
      <c r="AS1428">
        <f t="shared" si="399"/>
        <v>5</v>
      </c>
    </row>
    <row r="1429" customHeight="1" spans="1:45">
      <c r="A1429" s="3" t="str">
        <f>IF(对接源_02物料!$C229="","",对接源_02物料!$C229)</f>
        <v/>
      </c>
      <c r="B1429" s="3">
        <f t="shared" si="384"/>
        <v>0</v>
      </c>
      <c r="C1429" s="3">
        <f t="shared" si="385"/>
        <v>21</v>
      </c>
      <c r="K1429" s="3">
        <f>IF(OR($K$1="",对接源_02物料!$C229="",对接源_02物料!$C229&lt;&gt;$K$1,对接源_02物料!$B229=""),0,IF(OR(N(对接源_02物料!$B229)&lt;$K$2,N(对接源_02物料!$B229)&gt;$K$3),0,1))</f>
        <v>0</v>
      </c>
      <c r="L1429" s="3">
        <f>IF(OR($L$1="",对接源_02物料!$C229="",对接源_02物料!$C229&lt;&gt;$L$1,对接源_02物料!$B229=""),0,IF(OR(N(对接源_02物料!$B229)&lt;$L$2,N(对接源_02物料!$B229)&gt;$L$3),0,1))</f>
        <v>0</v>
      </c>
      <c r="M1429" s="3">
        <f>IF(OR($M$1="",对接源_02物料!$C229="",对接源_02物料!$C229&lt;&gt;$M$1,对接源_02物料!$B229=""),0,IF(OR(N(对接源_02物料!$B229)&lt;$M$2,N(对接源_02物料!$B229)&gt;$M$3),0,1))</f>
        <v>0</v>
      </c>
      <c r="N1429" s="3">
        <f>IF(OR($N$1="",对接源_02物料!$C229="",对接源_02物料!$C229&lt;&gt;$N$1,对接源_02物料!$B229=""),0,IF(OR(N(对接源_02物料!$B229)&lt;$N$2,N(对接源_02物料!$B229)&gt;$N$3),0,1))</f>
        <v>0</v>
      </c>
      <c r="P1429" s="3">
        <f>IF(AND($K1429=1,AND(对接源_02物料!$X229="公司筐",N(对接源_02物料!$T229)&lt;&gt;0)),1,0)</f>
        <v>0</v>
      </c>
      <c r="Q1429" s="3">
        <f t="shared" si="386"/>
        <v>8</v>
      </c>
      <c r="R1429" s="3">
        <f>IF(AND($K1429=1,AND(对接源_02物料!$X229="公司筐",N(对接源_02物料!$U229)&lt;&gt;0)),1,0)</f>
        <v>0</v>
      </c>
      <c r="S1429" s="3">
        <f t="shared" si="387"/>
        <v>0</v>
      </c>
      <c r="T1429" s="3">
        <f>IF(AND($K1429=1,AND(对接源_02物料!$X229="公司筐",N(对接源_02物料!$V229)&lt;&gt;0)),1,0)</f>
        <v>0</v>
      </c>
      <c r="U1429" s="3">
        <f t="shared" si="388"/>
        <v>19</v>
      </c>
      <c r="V1429" s="3">
        <f>IF(AND($L1429=1,AND(对接源_02物料!$X229="自备筐",N(对接源_02物料!$V229)&lt;&gt;0)),1,0)</f>
        <v>0</v>
      </c>
      <c r="W1429" s="3">
        <f t="shared" si="389"/>
        <v>8</v>
      </c>
      <c r="X1429" s="3">
        <f>IF(AND($L1429=1,AND(对接源_02物料!$X229="自备筐",N(对接源_02物料!$T229)&lt;&gt;0)),1,0)</f>
        <v>0</v>
      </c>
      <c r="Y1429" s="3">
        <f t="shared" si="390"/>
        <v>0</v>
      </c>
      <c r="Z1429" s="3">
        <f>IF(AND($M1429=1,对接源_02物料!$D229="原料入库"),1,0)</f>
        <v>0</v>
      </c>
      <c r="AA1429" s="3">
        <f t="shared" si="391"/>
        <v>24</v>
      </c>
      <c r="AB1429" s="3">
        <f>IF(AND($M1429=1,LEFT(对接源_02物料!$D229,4)="原料出库"),1,0)</f>
        <v>0</v>
      </c>
      <c r="AC1429" s="3">
        <f t="shared" si="392"/>
        <v>0</v>
      </c>
      <c r="AD1429" s="3">
        <f>IF(AND($M1429=1,LEFT(对接源_02物料!$D229,4)="成品出库"),1,0)</f>
        <v>0</v>
      </c>
      <c r="AE1429" s="3">
        <f t="shared" si="393"/>
        <v>0</v>
      </c>
      <c r="AF1429" s="3">
        <f>IF(AND($N1429=1,AND(LEFT(对接源_02物料!$D229,4)="包装物料",N(对接源_02物料!$K229)&lt;&gt;0)),1,0)</f>
        <v>0</v>
      </c>
      <c r="AG1429" s="3">
        <f t="shared" si="394"/>
        <v>5</v>
      </c>
      <c r="AH1429" s="3">
        <f>IF(AND($N1429=1,AND(对接源_02物料!$D229="周转筐－销售出库",N(对接源_02物料!$K229)&lt;&gt;0)),1,0)</f>
        <v>0</v>
      </c>
      <c r="AI1429" s="3">
        <f t="shared" si="395"/>
        <v>0</v>
      </c>
      <c r="AL1429" s="3">
        <v>0</v>
      </c>
      <c r="AM1429" s="3">
        <f t="shared" si="396"/>
        <v>1</v>
      </c>
      <c r="AN1429" s="3" t="str">
        <f t="shared" si="383"/>
        <v/>
      </c>
      <c r="AO1429" s="3">
        <v>0</v>
      </c>
      <c r="AP1429" s="3">
        <f t="shared" si="397"/>
        <v>8</v>
      </c>
      <c r="AR1429">
        <f t="shared" si="398"/>
        <v>0</v>
      </c>
      <c r="AS1429">
        <f t="shared" si="399"/>
        <v>5</v>
      </c>
    </row>
    <row r="1430" customHeight="1" spans="1:45">
      <c r="A1430" s="3" t="str">
        <f>IF(对接源_02物料!$C230="","",对接源_02物料!$C230)</f>
        <v/>
      </c>
      <c r="B1430" s="3">
        <f t="shared" si="384"/>
        <v>0</v>
      </c>
      <c r="C1430" s="3">
        <f t="shared" si="385"/>
        <v>21</v>
      </c>
      <c r="K1430" s="3">
        <f>IF(OR($K$1="",对接源_02物料!$C230="",对接源_02物料!$C230&lt;&gt;$K$1,对接源_02物料!$B230=""),0,IF(OR(N(对接源_02物料!$B230)&lt;$K$2,N(对接源_02物料!$B230)&gt;$K$3),0,1))</f>
        <v>0</v>
      </c>
      <c r="L1430" s="3">
        <f>IF(OR($L$1="",对接源_02物料!$C230="",对接源_02物料!$C230&lt;&gt;$L$1,对接源_02物料!$B230=""),0,IF(OR(N(对接源_02物料!$B230)&lt;$L$2,N(对接源_02物料!$B230)&gt;$L$3),0,1))</f>
        <v>0</v>
      </c>
      <c r="M1430" s="3">
        <f>IF(OR($M$1="",对接源_02物料!$C230="",对接源_02物料!$C230&lt;&gt;$M$1,对接源_02物料!$B230=""),0,IF(OR(N(对接源_02物料!$B230)&lt;$M$2,N(对接源_02物料!$B230)&gt;$M$3),0,1))</f>
        <v>0</v>
      </c>
      <c r="N1430" s="3">
        <f>IF(OR($N$1="",对接源_02物料!$C230="",对接源_02物料!$C230&lt;&gt;$N$1,对接源_02物料!$B230=""),0,IF(OR(N(对接源_02物料!$B230)&lt;$N$2,N(对接源_02物料!$B230)&gt;$N$3),0,1))</f>
        <v>0</v>
      </c>
      <c r="P1430" s="3">
        <f>IF(AND($K1430=1,AND(对接源_02物料!$X230="公司筐",N(对接源_02物料!$T230)&lt;&gt;0)),1,0)</f>
        <v>0</v>
      </c>
      <c r="Q1430" s="3">
        <f t="shared" si="386"/>
        <v>8</v>
      </c>
      <c r="R1430" s="3">
        <f>IF(AND($K1430=1,AND(对接源_02物料!$X230="公司筐",N(对接源_02物料!$U230)&lt;&gt;0)),1,0)</f>
        <v>0</v>
      </c>
      <c r="S1430" s="3">
        <f t="shared" si="387"/>
        <v>0</v>
      </c>
      <c r="T1430" s="3">
        <f>IF(AND($K1430=1,AND(对接源_02物料!$X230="公司筐",N(对接源_02物料!$V230)&lt;&gt;0)),1,0)</f>
        <v>0</v>
      </c>
      <c r="U1430" s="3">
        <f t="shared" si="388"/>
        <v>19</v>
      </c>
      <c r="V1430" s="3">
        <f>IF(AND($L1430=1,AND(对接源_02物料!$X230="自备筐",N(对接源_02物料!$V230)&lt;&gt;0)),1,0)</f>
        <v>0</v>
      </c>
      <c r="W1430" s="3">
        <f t="shared" si="389"/>
        <v>8</v>
      </c>
      <c r="X1430" s="3">
        <f>IF(AND($L1430=1,AND(对接源_02物料!$X230="自备筐",N(对接源_02物料!$T230)&lt;&gt;0)),1,0)</f>
        <v>0</v>
      </c>
      <c r="Y1430" s="3">
        <f t="shared" si="390"/>
        <v>0</v>
      </c>
      <c r="Z1430" s="3">
        <f>IF(AND($M1430=1,对接源_02物料!$D230="原料入库"),1,0)</f>
        <v>0</v>
      </c>
      <c r="AA1430" s="3">
        <f t="shared" si="391"/>
        <v>24</v>
      </c>
      <c r="AB1430" s="3">
        <f>IF(AND($M1430=1,LEFT(对接源_02物料!$D230,4)="原料出库"),1,0)</f>
        <v>0</v>
      </c>
      <c r="AC1430" s="3">
        <f t="shared" si="392"/>
        <v>0</v>
      </c>
      <c r="AD1430" s="3">
        <f>IF(AND($M1430=1,LEFT(对接源_02物料!$D230,4)="成品出库"),1,0)</f>
        <v>0</v>
      </c>
      <c r="AE1430" s="3">
        <f t="shared" si="393"/>
        <v>0</v>
      </c>
      <c r="AF1430" s="3">
        <f>IF(AND($N1430=1,AND(LEFT(对接源_02物料!$D230,4)="包装物料",N(对接源_02物料!$K230)&lt;&gt;0)),1,0)</f>
        <v>0</v>
      </c>
      <c r="AG1430" s="3">
        <f t="shared" si="394"/>
        <v>5</v>
      </c>
      <c r="AH1430" s="3">
        <f>IF(AND($N1430=1,AND(对接源_02物料!$D230="周转筐－销售出库",N(对接源_02物料!$K230)&lt;&gt;0)),1,0)</f>
        <v>0</v>
      </c>
      <c r="AI1430" s="3">
        <f t="shared" si="395"/>
        <v>0</v>
      </c>
      <c r="AL1430" s="3">
        <v>0</v>
      </c>
      <c r="AM1430" s="3">
        <f t="shared" si="396"/>
        <v>1</v>
      </c>
      <c r="AN1430" s="3" t="str">
        <f t="shared" si="383"/>
        <v/>
      </c>
      <c r="AO1430" s="3">
        <v>0</v>
      </c>
      <c r="AP1430" s="3">
        <f t="shared" si="397"/>
        <v>8</v>
      </c>
      <c r="AR1430">
        <f t="shared" si="398"/>
        <v>0</v>
      </c>
      <c r="AS1430">
        <f t="shared" si="399"/>
        <v>5</v>
      </c>
    </row>
    <row r="1431" customHeight="1" spans="1:45">
      <c r="A1431" s="3" t="str">
        <f>IF(对接源_02物料!$C231="","",对接源_02物料!$C231)</f>
        <v/>
      </c>
      <c r="B1431" s="3">
        <f t="shared" si="384"/>
        <v>0</v>
      </c>
      <c r="C1431" s="3">
        <f t="shared" si="385"/>
        <v>21</v>
      </c>
      <c r="K1431" s="3">
        <f>IF(OR($K$1="",对接源_02物料!$C231="",对接源_02物料!$C231&lt;&gt;$K$1,对接源_02物料!$B231=""),0,IF(OR(N(对接源_02物料!$B231)&lt;$K$2,N(对接源_02物料!$B231)&gt;$K$3),0,1))</f>
        <v>0</v>
      </c>
      <c r="L1431" s="3">
        <f>IF(OR($L$1="",对接源_02物料!$C231="",对接源_02物料!$C231&lt;&gt;$L$1,对接源_02物料!$B231=""),0,IF(OR(N(对接源_02物料!$B231)&lt;$L$2,N(对接源_02物料!$B231)&gt;$L$3),0,1))</f>
        <v>0</v>
      </c>
      <c r="M1431" s="3">
        <f>IF(OR($M$1="",对接源_02物料!$C231="",对接源_02物料!$C231&lt;&gt;$M$1,对接源_02物料!$B231=""),0,IF(OR(N(对接源_02物料!$B231)&lt;$M$2,N(对接源_02物料!$B231)&gt;$M$3),0,1))</f>
        <v>0</v>
      </c>
      <c r="N1431" s="3">
        <f>IF(OR($N$1="",对接源_02物料!$C231="",对接源_02物料!$C231&lt;&gt;$N$1,对接源_02物料!$B231=""),0,IF(OR(N(对接源_02物料!$B231)&lt;$N$2,N(对接源_02物料!$B231)&gt;$N$3),0,1))</f>
        <v>0</v>
      </c>
      <c r="P1431" s="3">
        <f>IF(AND($K1431=1,AND(对接源_02物料!$X231="公司筐",N(对接源_02物料!$T231)&lt;&gt;0)),1,0)</f>
        <v>0</v>
      </c>
      <c r="Q1431" s="3">
        <f t="shared" si="386"/>
        <v>8</v>
      </c>
      <c r="R1431" s="3">
        <f>IF(AND($K1431=1,AND(对接源_02物料!$X231="公司筐",N(对接源_02物料!$U231)&lt;&gt;0)),1,0)</f>
        <v>0</v>
      </c>
      <c r="S1431" s="3">
        <f t="shared" si="387"/>
        <v>0</v>
      </c>
      <c r="T1431" s="3">
        <f>IF(AND($K1431=1,AND(对接源_02物料!$X231="公司筐",N(对接源_02物料!$V231)&lt;&gt;0)),1,0)</f>
        <v>0</v>
      </c>
      <c r="U1431" s="3">
        <f t="shared" si="388"/>
        <v>19</v>
      </c>
      <c r="V1431" s="3">
        <f>IF(AND($L1431=1,AND(对接源_02物料!$X231="自备筐",N(对接源_02物料!$V231)&lt;&gt;0)),1,0)</f>
        <v>0</v>
      </c>
      <c r="W1431" s="3">
        <f t="shared" si="389"/>
        <v>8</v>
      </c>
      <c r="X1431" s="3">
        <f>IF(AND($L1431=1,AND(对接源_02物料!$X231="自备筐",N(对接源_02物料!$T231)&lt;&gt;0)),1,0)</f>
        <v>0</v>
      </c>
      <c r="Y1431" s="3">
        <f t="shared" si="390"/>
        <v>0</v>
      </c>
      <c r="Z1431" s="3">
        <f>IF(AND($M1431=1,对接源_02物料!$D231="原料入库"),1,0)</f>
        <v>0</v>
      </c>
      <c r="AA1431" s="3">
        <f t="shared" si="391"/>
        <v>24</v>
      </c>
      <c r="AB1431" s="3">
        <f>IF(AND($M1431=1,LEFT(对接源_02物料!$D231,4)="原料出库"),1,0)</f>
        <v>0</v>
      </c>
      <c r="AC1431" s="3">
        <f t="shared" si="392"/>
        <v>0</v>
      </c>
      <c r="AD1431" s="3">
        <f>IF(AND($M1431=1,LEFT(对接源_02物料!$D231,4)="成品出库"),1,0)</f>
        <v>0</v>
      </c>
      <c r="AE1431" s="3">
        <f t="shared" si="393"/>
        <v>0</v>
      </c>
      <c r="AF1431" s="3">
        <f>IF(AND($N1431=1,AND(LEFT(对接源_02物料!$D231,4)="包装物料",N(对接源_02物料!$K231)&lt;&gt;0)),1,0)</f>
        <v>0</v>
      </c>
      <c r="AG1431" s="3">
        <f t="shared" si="394"/>
        <v>5</v>
      </c>
      <c r="AH1431" s="3">
        <f>IF(AND($N1431=1,AND(对接源_02物料!$D231="周转筐－销售出库",N(对接源_02物料!$K231)&lt;&gt;0)),1,0)</f>
        <v>0</v>
      </c>
      <c r="AI1431" s="3">
        <f t="shared" si="395"/>
        <v>0</v>
      </c>
      <c r="AL1431" s="3">
        <v>0</v>
      </c>
      <c r="AM1431" s="3">
        <f t="shared" si="396"/>
        <v>1</v>
      </c>
      <c r="AN1431" s="3" t="str">
        <f t="shared" si="383"/>
        <v/>
      </c>
      <c r="AO1431" s="3">
        <v>0</v>
      </c>
      <c r="AP1431" s="3">
        <f t="shared" si="397"/>
        <v>8</v>
      </c>
      <c r="AR1431">
        <f t="shared" si="398"/>
        <v>0</v>
      </c>
      <c r="AS1431">
        <f t="shared" si="399"/>
        <v>5</v>
      </c>
    </row>
    <row r="1432" customHeight="1" spans="1:45">
      <c r="A1432" s="3" t="str">
        <f>IF(对接源_02物料!$C232="","",对接源_02物料!$C232)</f>
        <v/>
      </c>
      <c r="B1432" s="3">
        <f t="shared" si="384"/>
        <v>0</v>
      </c>
      <c r="C1432" s="3">
        <f t="shared" si="385"/>
        <v>21</v>
      </c>
      <c r="K1432" s="3">
        <f>IF(OR($K$1="",对接源_02物料!$C232="",对接源_02物料!$C232&lt;&gt;$K$1,对接源_02物料!$B232=""),0,IF(OR(N(对接源_02物料!$B232)&lt;$K$2,N(对接源_02物料!$B232)&gt;$K$3),0,1))</f>
        <v>0</v>
      </c>
      <c r="L1432" s="3">
        <f>IF(OR($L$1="",对接源_02物料!$C232="",对接源_02物料!$C232&lt;&gt;$L$1,对接源_02物料!$B232=""),0,IF(OR(N(对接源_02物料!$B232)&lt;$L$2,N(对接源_02物料!$B232)&gt;$L$3),0,1))</f>
        <v>0</v>
      </c>
      <c r="M1432" s="3">
        <f>IF(OR($M$1="",对接源_02物料!$C232="",对接源_02物料!$C232&lt;&gt;$M$1,对接源_02物料!$B232=""),0,IF(OR(N(对接源_02物料!$B232)&lt;$M$2,N(对接源_02物料!$B232)&gt;$M$3),0,1))</f>
        <v>0</v>
      </c>
      <c r="N1432" s="3">
        <f>IF(OR($N$1="",对接源_02物料!$C232="",对接源_02物料!$C232&lt;&gt;$N$1,对接源_02物料!$B232=""),0,IF(OR(N(对接源_02物料!$B232)&lt;$N$2,N(对接源_02物料!$B232)&gt;$N$3),0,1))</f>
        <v>0</v>
      </c>
      <c r="P1432" s="3">
        <f>IF(AND($K1432=1,AND(对接源_02物料!$X232="公司筐",N(对接源_02物料!$T232)&lt;&gt;0)),1,0)</f>
        <v>0</v>
      </c>
      <c r="Q1432" s="3">
        <f t="shared" si="386"/>
        <v>8</v>
      </c>
      <c r="R1432" s="3">
        <f>IF(AND($K1432=1,AND(对接源_02物料!$X232="公司筐",N(对接源_02物料!$U232)&lt;&gt;0)),1,0)</f>
        <v>0</v>
      </c>
      <c r="S1432" s="3">
        <f t="shared" si="387"/>
        <v>0</v>
      </c>
      <c r="T1432" s="3">
        <f>IF(AND($K1432=1,AND(对接源_02物料!$X232="公司筐",N(对接源_02物料!$V232)&lt;&gt;0)),1,0)</f>
        <v>0</v>
      </c>
      <c r="U1432" s="3">
        <f t="shared" si="388"/>
        <v>19</v>
      </c>
      <c r="V1432" s="3">
        <f>IF(AND($L1432=1,AND(对接源_02物料!$X232="自备筐",N(对接源_02物料!$V232)&lt;&gt;0)),1,0)</f>
        <v>0</v>
      </c>
      <c r="W1432" s="3">
        <f t="shared" si="389"/>
        <v>8</v>
      </c>
      <c r="X1432" s="3">
        <f>IF(AND($L1432=1,AND(对接源_02物料!$X232="自备筐",N(对接源_02物料!$T232)&lt;&gt;0)),1,0)</f>
        <v>0</v>
      </c>
      <c r="Y1432" s="3">
        <f t="shared" si="390"/>
        <v>0</v>
      </c>
      <c r="Z1432" s="3">
        <f>IF(AND($M1432=1,对接源_02物料!$D232="原料入库"),1,0)</f>
        <v>0</v>
      </c>
      <c r="AA1432" s="3">
        <f t="shared" si="391"/>
        <v>24</v>
      </c>
      <c r="AB1432" s="3">
        <f>IF(AND($M1432=1,LEFT(对接源_02物料!$D232,4)="原料出库"),1,0)</f>
        <v>0</v>
      </c>
      <c r="AC1432" s="3">
        <f t="shared" si="392"/>
        <v>0</v>
      </c>
      <c r="AD1432" s="3">
        <f>IF(AND($M1432=1,LEFT(对接源_02物料!$D232,4)="成品出库"),1,0)</f>
        <v>0</v>
      </c>
      <c r="AE1432" s="3">
        <f t="shared" si="393"/>
        <v>0</v>
      </c>
      <c r="AF1432" s="3">
        <f>IF(AND($N1432=1,AND(LEFT(对接源_02物料!$D232,4)="包装物料",N(对接源_02物料!$K232)&lt;&gt;0)),1,0)</f>
        <v>0</v>
      </c>
      <c r="AG1432" s="3">
        <f t="shared" si="394"/>
        <v>5</v>
      </c>
      <c r="AH1432" s="3">
        <f>IF(AND($N1432=1,AND(对接源_02物料!$D232="周转筐－销售出库",N(对接源_02物料!$K232)&lt;&gt;0)),1,0)</f>
        <v>0</v>
      </c>
      <c r="AI1432" s="3">
        <f t="shared" si="395"/>
        <v>0</v>
      </c>
      <c r="AL1432" s="3">
        <v>0</v>
      </c>
      <c r="AM1432" s="3">
        <f t="shared" si="396"/>
        <v>1</v>
      </c>
      <c r="AN1432" s="3" t="str">
        <f t="shared" si="383"/>
        <v/>
      </c>
      <c r="AO1432" s="3">
        <v>0</v>
      </c>
      <c r="AP1432" s="3">
        <f t="shared" si="397"/>
        <v>8</v>
      </c>
      <c r="AR1432">
        <f t="shared" si="398"/>
        <v>0</v>
      </c>
      <c r="AS1432">
        <f t="shared" si="399"/>
        <v>5</v>
      </c>
    </row>
    <row r="1433" customHeight="1" spans="1:45">
      <c r="A1433" s="3" t="str">
        <f>IF(对接源_02物料!$C233="","",对接源_02物料!$C233)</f>
        <v/>
      </c>
      <c r="B1433" s="3">
        <f t="shared" si="384"/>
        <v>0</v>
      </c>
      <c r="C1433" s="3">
        <f t="shared" si="385"/>
        <v>21</v>
      </c>
      <c r="K1433" s="3">
        <f>IF(OR($K$1="",对接源_02物料!$C233="",对接源_02物料!$C233&lt;&gt;$K$1,对接源_02物料!$B233=""),0,IF(OR(N(对接源_02物料!$B233)&lt;$K$2,N(对接源_02物料!$B233)&gt;$K$3),0,1))</f>
        <v>0</v>
      </c>
      <c r="L1433" s="3">
        <f>IF(OR($L$1="",对接源_02物料!$C233="",对接源_02物料!$C233&lt;&gt;$L$1,对接源_02物料!$B233=""),0,IF(OR(N(对接源_02物料!$B233)&lt;$L$2,N(对接源_02物料!$B233)&gt;$L$3),0,1))</f>
        <v>0</v>
      </c>
      <c r="M1433" s="3">
        <f>IF(OR($M$1="",对接源_02物料!$C233="",对接源_02物料!$C233&lt;&gt;$M$1,对接源_02物料!$B233=""),0,IF(OR(N(对接源_02物料!$B233)&lt;$M$2,N(对接源_02物料!$B233)&gt;$M$3),0,1))</f>
        <v>0</v>
      </c>
      <c r="N1433" s="3">
        <f>IF(OR($N$1="",对接源_02物料!$C233="",对接源_02物料!$C233&lt;&gt;$N$1,对接源_02物料!$B233=""),0,IF(OR(N(对接源_02物料!$B233)&lt;$N$2,N(对接源_02物料!$B233)&gt;$N$3),0,1))</f>
        <v>0</v>
      </c>
      <c r="P1433" s="3">
        <f>IF(AND($K1433=1,AND(对接源_02物料!$X233="公司筐",N(对接源_02物料!$T233)&lt;&gt;0)),1,0)</f>
        <v>0</v>
      </c>
      <c r="Q1433" s="3">
        <f t="shared" si="386"/>
        <v>8</v>
      </c>
      <c r="R1433" s="3">
        <f>IF(AND($K1433=1,AND(对接源_02物料!$X233="公司筐",N(对接源_02物料!$U233)&lt;&gt;0)),1,0)</f>
        <v>0</v>
      </c>
      <c r="S1433" s="3">
        <f t="shared" si="387"/>
        <v>0</v>
      </c>
      <c r="T1433" s="3">
        <f>IF(AND($K1433=1,AND(对接源_02物料!$X233="公司筐",N(对接源_02物料!$V233)&lt;&gt;0)),1,0)</f>
        <v>0</v>
      </c>
      <c r="U1433" s="3">
        <f t="shared" si="388"/>
        <v>19</v>
      </c>
      <c r="V1433" s="3">
        <f>IF(AND($L1433=1,AND(对接源_02物料!$X233="自备筐",N(对接源_02物料!$V233)&lt;&gt;0)),1,0)</f>
        <v>0</v>
      </c>
      <c r="W1433" s="3">
        <f t="shared" si="389"/>
        <v>8</v>
      </c>
      <c r="X1433" s="3">
        <f>IF(AND($L1433=1,AND(对接源_02物料!$X233="自备筐",N(对接源_02物料!$T233)&lt;&gt;0)),1,0)</f>
        <v>0</v>
      </c>
      <c r="Y1433" s="3">
        <f t="shared" si="390"/>
        <v>0</v>
      </c>
      <c r="Z1433" s="3">
        <f>IF(AND($M1433=1,对接源_02物料!$D233="原料入库"),1,0)</f>
        <v>0</v>
      </c>
      <c r="AA1433" s="3">
        <f t="shared" si="391"/>
        <v>24</v>
      </c>
      <c r="AB1433" s="3">
        <f>IF(AND($M1433=1,LEFT(对接源_02物料!$D233,4)="原料出库"),1,0)</f>
        <v>0</v>
      </c>
      <c r="AC1433" s="3">
        <f t="shared" si="392"/>
        <v>0</v>
      </c>
      <c r="AD1433" s="3">
        <f>IF(AND($M1433=1,LEFT(对接源_02物料!$D233,4)="成品出库"),1,0)</f>
        <v>0</v>
      </c>
      <c r="AE1433" s="3">
        <f t="shared" si="393"/>
        <v>0</v>
      </c>
      <c r="AF1433" s="3">
        <f>IF(AND($N1433=1,AND(LEFT(对接源_02物料!$D233,4)="包装物料",N(对接源_02物料!$K233)&lt;&gt;0)),1,0)</f>
        <v>0</v>
      </c>
      <c r="AG1433" s="3">
        <f t="shared" si="394"/>
        <v>5</v>
      </c>
      <c r="AH1433" s="3">
        <f>IF(AND($N1433=1,AND(对接源_02物料!$D233="周转筐－销售出库",N(对接源_02物料!$K233)&lt;&gt;0)),1,0)</f>
        <v>0</v>
      </c>
      <c r="AI1433" s="3">
        <f t="shared" si="395"/>
        <v>0</v>
      </c>
      <c r="AL1433" s="3">
        <v>0</v>
      </c>
      <c r="AM1433" s="3">
        <f t="shared" si="396"/>
        <v>1</v>
      </c>
      <c r="AN1433" s="3" t="str">
        <f t="shared" si="383"/>
        <v/>
      </c>
      <c r="AO1433" s="3">
        <v>0</v>
      </c>
      <c r="AP1433" s="3">
        <f t="shared" si="397"/>
        <v>8</v>
      </c>
      <c r="AR1433">
        <f t="shared" si="398"/>
        <v>0</v>
      </c>
      <c r="AS1433">
        <f t="shared" si="399"/>
        <v>5</v>
      </c>
    </row>
    <row r="1434" customHeight="1" spans="1:45">
      <c r="A1434" s="3" t="str">
        <f>IF(对接源_02物料!$C234="","",对接源_02物料!$C234)</f>
        <v/>
      </c>
      <c r="B1434" s="3">
        <f t="shared" si="384"/>
        <v>0</v>
      </c>
      <c r="C1434" s="3">
        <f t="shared" si="385"/>
        <v>21</v>
      </c>
      <c r="K1434" s="3">
        <f>IF(OR($K$1="",对接源_02物料!$C234="",对接源_02物料!$C234&lt;&gt;$K$1,对接源_02物料!$B234=""),0,IF(OR(N(对接源_02物料!$B234)&lt;$K$2,N(对接源_02物料!$B234)&gt;$K$3),0,1))</f>
        <v>0</v>
      </c>
      <c r="L1434" s="3">
        <f>IF(OR($L$1="",对接源_02物料!$C234="",对接源_02物料!$C234&lt;&gt;$L$1,对接源_02物料!$B234=""),0,IF(OR(N(对接源_02物料!$B234)&lt;$L$2,N(对接源_02物料!$B234)&gt;$L$3),0,1))</f>
        <v>0</v>
      </c>
      <c r="M1434" s="3">
        <f>IF(OR($M$1="",对接源_02物料!$C234="",对接源_02物料!$C234&lt;&gt;$M$1,对接源_02物料!$B234=""),0,IF(OR(N(对接源_02物料!$B234)&lt;$M$2,N(对接源_02物料!$B234)&gt;$M$3),0,1))</f>
        <v>0</v>
      </c>
      <c r="N1434" s="3">
        <f>IF(OR($N$1="",对接源_02物料!$C234="",对接源_02物料!$C234&lt;&gt;$N$1,对接源_02物料!$B234=""),0,IF(OR(N(对接源_02物料!$B234)&lt;$N$2,N(对接源_02物料!$B234)&gt;$N$3),0,1))</f>
        <v>0</v>
      </c>
      <c r="P1434" s="3">
        <f>IF(AND($K1434=1,AND(对接源_02物料!$X234="公司筐",N(对接源_02物料!$T234)&lt;&gt;0)),1,0)</f>
        <v>0</v>
      </c>
      <c r="Q1434" s="3">
        <f t="shared" si="386"/>
        <v>8</v>
      </c>
      <c r="R1434" s="3">
        <f>IF(AND($K1434=1,AND(对接源_02物料!$X234="公司筐",N(对接源_02物料!$U234)&lt;&gt;0)),1,0)</f>
        <v>0</v>
      </c>
      <c r="S1434" s="3">
        <f t="shared" si="387"/>
        <v>0</v>
      </c>
      <c r="T1434" s="3">
        <f>IF(AND($K1434=1,AND(对接源_02物料!$X234="公司筐",N(对接源_02物料!$V234)&lt;&gt;0)),1,0)</f>
        <v>0</v>
      </c>
      <c r="U1434" s="3">
        <f t="shared" si="388"/>
        <v>19</v>
      </c>
      <c r="V1434" s="3">
        <f>IF(AND($L1434=1,AND(对接源_02物料!$X234="自备筐",N(对接源_02物料!$V234)&lt;&gt;0)),1,0)</f>
        <v>0</v>
      </c>
      <c r="W1434" s="3">
        <f t="shared" si="389"/>
        <v>8</v>
      </c>
      <c r="X1434" s="3">
        <f>IF(AND($L1434=1,AND(对接源_02物料!$X234="自备筐",N(对接源_02物料!$T234)&lt;&gt;0)),1,0)</f>
        <v>0</v>
      </c>
      <c r="Y1434" s="3">
        <f t="shared" si="390"/>
        <v>0</v>
      </c>
      <c r="Z1434" s="3">
        <f>IF(AND($M1434=1,对接源_02物料!$D234="原料入库"),1,0)</f>
        <v>0</v>
      </c>
      <c r="AA1434" s="3">
        <f t="shared" si="391"/>
        <v>24</v>
      </c>
      <c r="AB1434" s="3">
        <f>IF(AND($M1434=1,LEFT(对接源_02物料!$D234,4)="原料出库"),1,0)</f>
        <v>0</v>
      </c>
      <c r="AC1434" s="3">
        <f t="shared" si="392"/>
        <v>0</v>
      </c>
      <c r="AD1434" s="3">
        <f>IF(AND($M1434=1,LEFT(对接源_02物料!$D234,4)="成品出库"),1,0)</f>
        <v>0</v>
      </c>
      <c r="AE1434" s="3">
        <f t="shared" si="393"/>
        <v>0</v>
      </c>
      <c r="AF1434" s="3">
        <f>IF(AND($N1434=1,AND(LEFT(对接源_02物料!$D234,4)="包装物料",N(对接源_02物料!$K234)&lt;&gt;0)),1,0)</f>
        <v>0</v>
      </c>
      <c r="AG1434" s="3">
        <f t="shared" si="394"/>
        <v>5</v>
      </c>
      <c r="AH1434" s="3">
        <f>IF(AND($N1434=1,AND(对接源_02物料!$D234="周转筐－销售出库",N(对接源_02物料!$K234)&lt;&gt;0)),1,0)</f>
        <v>0</v>
      </c>
      <c r="AI1434" s="3">
        <f t="shared" si="395"/>
        <v>0</v>
      </c>
      <c r="AL1434" s="3">
        <v>0</v>
      </c>
      <c r="AM1434" s="3">
        <f t="shared" si="396"/>
        <v>1</v>
      </c>
      <c r="AN1434" s="3" t="str">
        <f t="shared" si="383"/>
        <v/>
      </c>
      <c r="AO1434" s="3">
        <v>0</v>
      </c>
      <c r="AP1434" s="3">
        <f t="shared" si="397"/>
        <v>8</v>
      </c>
      <c r="AR1434">
        <f t="shared" si="398"/>
        <v>0</v>
      </c>
      <c r="AS1434">
        <f t="shared" si="399"/>
        <v>5</v>
      </c>
    </row>
    <row r="1435" customHeight="1" spans="1:45">
      <c r="A1435" s="3" t="str">
        <f>IF(对接源_02物料!$C235="","",对接源_02物料!$C235)</f>
        <v/>
      </c>
      <c r="B1435" s="3">
        <f t="shared" si="384"/>
        <v>0</v>
      </c>
      <c r="C1435" s="3">
        <f t="shared" si="385"/>
        <v>21</v>
      </c>
      <c r="K1435" s="3">
        <f>IF(OR($K$1="",对接源_02物料!$C235="",对接源_02物料!$C235&lt;&gt;$K$1,对接源_02物料!$B235=""),0,IF(OR(N(对接源_02物料!$B235)&lt;$K$2,N(对接源_02物料!$B235)&gt;$K$3),0,1))</f>
        <v>0</v>
      </c>
      <c r="L1435" s="3">
        <f>IF(OR($L$1="",对接源_02物料!$C235="",对接源_02物料!$C235&lt;&gt;$L$1,对接源_02物料!$B235=""),0,IF(OR(N(对接源_02物料!$B235)&lt;$L$2,N(对接源_02物料!$B235)&gt;$L$3),0,1))</f>
        <v>0</v>
      </c>
      <c r="M1435" s="3">
        <f>IF(OR($M$1="",对接源_02物料!$C235="",对接源_02物料!$C235&lt;&gt;$M$1,对接源_02物料!$B235=""),0,IF(OR(N(对接源_02物料!$B235)&lt;$M$2,N(对接源_02物料!$B235)&gt;$M$3),0,1))</f>
        <v>0</v>
      </c>
      <c r="N1435" s="3">
        <f>IF(OR($N$1="",对接源_02物料!$C235="",对接源_02物料!$C235&lt;&gt;$N$1,对接源_02物料!$B235=""),0,IF(OR(N(对接源_02物料!$B235)&lt;$N$2,N(对接源_02物料!$B235)&gt;$N$3),0,1))</f>
        <v>0</v>
      </c>
      <c r="P1435" s="3">
        <f>IF(AND($K1435=1,AND(对接源_02物料!$X235="公司筐",N(对接源_02物料!$T235)&lt;&gt;0)),1,0)</f>
        <v>0</v>
      </c>
      <c r="Q1435" s="3">
        <f t="shared" si="386"/>
        <v>8</v>
      </c>
      <c r="R1435" s="3">
        <f>IF(AND($K1435=1,AND(对接源_02物料!$X235="公司筐",N(对接源_02物料!$U235)&lt;&gt;0)),1,0)</f>
        <v>0</v>
      </c>
      <c r="S1435" s="3">
        <f t="shared" si="387"/>
        <v>0</v>
      </c>
      <c r="T1435" s="3">
        <f>IF(AND($K1435=1,AND(对接源_02物料!$X235="公司筐",N(对接源_02物料!$V235)&lt;&gt;0)),1,0)</f>
        <v>0</v>
      </c>
      <c r="U1435" s="3">
        <f t="shared" si="388"/>
        <v>19</v>
      </c>
      <c r="V1435" s="3">
        <f>IF(AND($L1435=1,AND(对接源_02物料!$X235="自备筐",N(对接源_02物料!$V235)&lt;&gt;0)),1,0)</f>
        <v>0</v>
      </c>
      <c r="W1435" s="3">
        <f t="shared" si="389"/>
        <v>8</v>
      </c>
      <c r="X1435" s="3">
        <f>IF(AND($L1435=1,AND(对接源_02物料!$X235="自备筐",N(对接源_02物料!$T235)&lt;&gt;0)),1,0)</f>
        <v>0</v>
      </c>
      <c r="Y1435" s="3">
        <f t="shared" si="390"/>
        <v>0</v>
      </c>
      <c r="Z1435" s="3">
        <f>IF(AND($M1435=1,对接源_02物料!$D235="原料入库"),1,0)</f>
        <v>0</v>
      </c>
      <c r="AA1435" s="3">
        <f t="shared" si="391"/>
        <v>24</v>
      </c>
      <c r="AB1435" s="3">
        <f>IF(AND($M1435=1,LEFT(对接源_02物料!$D235,4)="原料出库"),1,0)</f>
        <v>0</v>
      </c>
      <c r="AC1435" s="3">
        <f t="shared" si="392"/>
        <v>0</v>
      </c>
      <c r="AD1435" s="3">
        <f>IF(AND($M1435=1,LEFT(对接源_02物料!$D235,4)="成品出库"),1,0)</f>
        <v>0</v>
      </c>
      <c r="AE1435" s="3">
        <f t="shared" si="393"/>
        <v>0</v>
      </c>
      <c r="AF1435" s="3">
        <f>IF(AND($N1435=1,AND(LEFT(对接源_02物料!$D235,4)="包装物料",N(对接源_02物料!$K235)&lt;&gt;0)),1,0)</f>
        <v>0</v>
      </c>
      <c r="AG1435" s="3">
        <f t="shared" si="394"/>
        <v>5</v>
      </c>
      <c r="AH1435" s="3">
        <f>IF(AND($N1435=1,AND(对接源_02物料!$D235="周转筐－销售出库",N(对接源_02物料!$K235)&lt;&gt;0)),1,0)</f>
        <v>0</v>
      </c>
      <c r="AI1435" s="3">
        <f t="shared" si="395"/>
        <v>0</v>
      </c>
      <c r="AL1435" s="3">
        <v>0</v>
      </c>
      <c r="AM1435" s="3">
        <f t="shared" si="396"/>
        <v>1</v>
      </c>
      <c r="AN1435" s="3" t="str">
        <f t="shared" si="383"/>
        <v/>
      </c>
      <c r="AO1435" s="3">
        <v>0</v>
      </c>
      <c r="AP1435" s="3">
        <f t="shared" si="397"/>
        <v>8</v>
      </c>
      <c r="AR1435">
        <f t="shared" si="398"/>
        <v>0</v>
      </c>
      <c r="AS1435">
        <f t="shared" si="399"/>
        <v>5</v>
      </c>
    </row>
    <row r="1436" customHeight="1" spans="1:45">
      <c r="A1436" s="3" t="str">
        <f>IF(对接源_02物料!$C236="","",对接源_02物料!$C236)</f>
        <v/>
      </c>
      <c r="B1436" s="3">
        <f t="shared" si="384"/>
        <v>0</v>
      </c>
      <c r="C1436" s="3">
        <f t="shared" si="385"/>
        <v>21</v>
      </c>
      <c r="K1436" s="3">
        <f>IF(OR($K$1="",对接源_02物料!$C236="",对接源_02物料!$C236&lt;&gt;$K$1,对接源_02物料!$B236=""),0,IF(OR(N(对接源_02物料!$B236)&lt;$K$2,N(对接源_02物料!$B236)&gt;$K$3),0,1))</f>
        <v>0</v>
      </c>
      <c r="L1436" s="3">
        <f>IF(OR($L$1="",对接源_02物料!$C236="",对接源_02物料!$C236&lt;&gt;$L$1,对接源_02物料!$B236=""),0,IF(OR(N(对接源_02物料!$B236)&lt;$L$2,N(对接源_02物料!$B236)&gt;$L$3),0,1))</f>
        <v>0</v>
      </c>
      <c r="M1436" s="3">
        <f>IF(OR($M$1="",对接源_02物料!$C236="",对接源_02物料!$C236&lt;&gt;$M$1,对接源_02物料!$B236=""),0,IF(OR(N(对接源_02物料!$B236)&lt;$M$2,N(对接源_02物料!$B236)&gt;$M$3),0,1))</f>
        <v>0</v>
      </c>
      <c r="N1436" s="3">
        <f>IF(OR($N$1="",对接源_02物料!$C236="",对接源_02物料!$C236&lt;&gt;$N$1,对接源_02物料!$B236=""),0,IF(OR(N(对接源_02物料!$B236)&lt;$N$2,N(对接源_02物料!$B236)&gt;$N$3),0,1))</f>
        <v>0</v>
      </c>
      <c r="P1436" s="3">
        <f>IF(AND($K1436=1,AND(对接源_02物料!$X236="公司筐",N(对接源_02物料!$T236)&lt;&gt;0)),1,0)</f>
        <v>0</v>
      </c>
      <c r="Q1436" s="3">
        <f t="shared" si="386"/>
        <v>8</v>
      </c>
      <c r="R1436" s="3">
        <f>IF(AND($K1436=1,AND(对接源_02物料!$X236="公司筐",N(对接源_02物料!$U236)&lt;&gt;0)),1,0)</f>
        <v>0</v>
      </c>
      <c r="S1436" s="3">
        <f t="shared" si="387"/>
        <v>0</v>
      </c>
      <c r="T1436" s="3">
        <f>IF(AND($K1436=1,AND(对接源_02物料!$X236="公司筐",N(对接源_02物料!$V236)&lt;&gt;0)),1,0)</f>
        <v>0</v>
      </c>
      <c r="U1436" s="3">
        <f t="shared" si="388"/>
        <v>19</v>
      </c>
      <c r="V1436" s="3">
        <f>IF(AND($L1436=1,AND(对接源_02物料!$X236="自备筐",N(对接源_02物料!$V236)&lt;&gt;0)),1,0)</f>
        <v>0</v>
      </c>
      <c r="W1436" s="3">
        <f t="shared" si="389"/>
        <v>8</v>
      </c>
      <c r="X1436" s="3">
        <f>IF(AND($L1436=1,AND(对接源_02物料!$X236="自备筐",N(对接源_02物料!$T236)&lt;&gt;0)),1,0)</f>
        <v>0</v>
      </c>
      <c r="Y1436" s="3">
        <f t="shared" si="390"/>
        <v>0</v>
      </c>
      <c r="Z1436" s="3">
        <f>IF(AND($M1436=1,对接源_02物料!$D236="原料入库"),1,0)</f>
        <v>0</v>
      </c>
      <c r="AA1436" s="3">
        <f t="shared" si="391"/>
        <v>24</v>
      </c>
      <c r="AB1436" s="3">
        <f>IF(AND($M1436=1,LEFT(对接源_02物料!$D236,4)="原料出库"),1,0)</f>
        <v>0</v>
      </c>
      <c r="AC1436" s="3">
        <f t="shared" si="392"/>
        <v>0</v>
      </c>
      <c r="AD1436" s="3">
        <f>IF(AND($M1436=1,LEFT(对接源_02物料!$D236,4)="成品出库"),1,0)</f>
        <v>0</v>
      </c>
      <c r="AE1436" s="3">
        <f t="shared" si="393"/>
        <v>0</v>
      </c>
      <c r="AF1436" s="3">
        <f>IF(AND($N1436=1,AND(LEFT(对接源_02物料!$D236,4)="包装物料",N(对接源_02物料!$K236)&lt;&gt;0)),1,0)</f>
        <v>0</v>
      </c>
      <c r="AG1436" s="3">
        <f t="shared" si="394"/>
        <v>5</v>
      </c>
      <c r="AH1436" s="3">
        <f>IF(AND($N1436=1,AND(对接源_02物料!$D236="周转筐－销售出库",N(对接源_02物料!$K236)&lt;&gt;0)),1,0)</f>
        <v>0</v>
      </c>
      <c r="AI1436" s="3">
        <f t="shared" si="395"/>
        <v>0</v>
      </c>
      <c r="AL1436" s="3">
        <v>0</v>
      </c>
      <c r="AM1436" s="3">
        <f t="shared" si="396"/>
        <v>1</v>
      </c>
      <c r="AN1436" s="3" t="str">
        <f t="shared" si="383"/>
        <v/>
      </c>
      <c r="AO1436" s="3">
        <v>0</v>
      </c>
      <c r="AP1436" s="3">
        <f t="shared" si="397"/>
        <v>8</v>
      </c>
      <c r="AR1436">
        <f t="shared" si="398"/>
        <v>0</v>
      </c>
      <c r="AS1436">
        <f t="shared" si="399"/>
        <v>5</v>
      </c>
    </row>
    <row r="1437" customHeight="1" spans="1:45">
      <c r="A1437" s="3" t="str">
        <f>IF(对接源_02物料!$C237="","",对接源_02物料!$C237)</f>
        <v/>
      </c>
      <c r="B1437" s="3">
        <f t="shared" si="384"/>
        <v>0</v>
      </c>
      <c r="C1437" s="3">
        <f t="shared" si="385"/>
        <v>21</v>
      </c>
      <c r="K1437" s="3">
        <f>IF(OR($K$1="",对接源_02物料!$C237="",对接源_02物料!$C237&lt;&gt;$K$1,对接源_02物料!$B237=""),0,IF(OR(N(对接源_02物料!$B237)&lt;$K$2,N(对接源_02物料!$B237)&gt;$K$3),0,1))</f>
        <v>0</v>
      </c>
      <c r="L1437" s="3">
        <f>IF(OR($L$1="",对接源_02物料!$C237="",对接源_02物料!$C237&lt;&gt;$L$1,对接源_02物料!$B237=""),0,IF(OR(N(对接源_02物料!$B237)&lt;$L$2,N(对接源_02物料!$B237)&gt;$L$3),0,1))</f>
        <v>0</v>
      </c>
      <c r="M1437" s="3">
        <f>IF(OR($M$1="",对接源_02物料!$C237="",对接源_02物料!$C237&lt;&gt;$M$1,对接源_02物料!$B237=""),0,IF(OR(N(对接源_02物料!$B237)&lt;$M$2,N(对接源_02物料!$B237)&gt;$M$3),0,1))</f>
        <v>0</v>
      </c>
      <c r="N1437" s="3">
        <f>IF(OR($N$1="",对接源_02物料!$C237="",对接源_02物料!$C237&lt;&gt;$N$1,对接源_02物料!$B237=""),0,IF(OR(N(对接源_02物料!$B237)&lt;$N$2,N(对接源_02物料!$B237)&gt;$N$3),0,1))</f>
        <v>0</v>
      </c>
      <c r="P1437" s="3">
        <f>IF(AND($K1437=1,AND(对接源_02物料!$X237="公司筐",N(对接源_02物料!$T237)&lt;&gt;0)),1,0)</f>
        <v>0</v>
      </c>
      <c r="Q1437" s="3">
        <f t="shared" si="386"/>
        <v>8</v>
      </c>
      <c r="R1437" s="3">
        <f>IF(AND($K1437=1,AND(对接源_02物料!$X237="公司筐",N(对接源_02物料!$U237)&lt;&gt;0)),1,0)</f>
        <v>0</v>
      </c>
      <c r="S1437" s="3">
        <f t="shared" si="387"/>
        <v>0</v>
      </c>
      <c r="T1437" s="3">
        <f>IF(AND($K1437=1,AND(对接源_02物料!$X237="公司筐",N(对接源_02物料!$V237)&lt;&gt;0)),1,0)</f>
        <v>0</v>
      </c>
      <c r="U1437" s="3">
        <f t="shared" si="388"/>
        <v>19</v>
      </c>
      <c r="V1437" s="3">
        <f>IF(AND($L1437=1,AND(对接源_02物料!$X237="自备筐",N(对接源_02物料!$V237)&lt;&gt;0)),1,0)</f>
        <v>0</v>
      </c>
      <c r="W1437" s="3">
        <f t="shared" si="389"/>
        <v>8</v>
      </c>
      <c r="X1437" s="3">
        <f>IF(AND($L1437=1,AND(对接源_02物料!$X237="自备筐",N(对接源_02物料!$T237)&lt;&gt;0)),1,0)</f>
        <v>0</v>
      </c>
      <c r="Y1437" s="3">
        <f t="shared" si="390"/>
        <v>0</v>
      </c>
      <c r="Z1437" s="3">
        <f>IF(AND($M1437=1,对接源_02物料!$D237="原料入库"),1,0)</f>
        <v>0</v>
      </c>
      <c r="AA1437" s="3">
        <f t="shared" si="391"/>
        <v>24</v>
      </c>
      <c r="AB1437" s="3">
        <f>IF(AND($M1437=1,LEFT(对接源_02物料!$D237,4)="原料出库"),1,0)</f>
        <v>0</v>
      </c>
      <c r="AC1437" s="3">
        <f t="shared" si="392"/>
        <v>0</v>
      </c>
      <c r="AD1437" s="3">
        <f>IF(AND($M1437=1,LEFT(对接源_02物料!$D237,4)="成品出库"),1,0)</f>
        <v>0</v>
      </c>
      <c r="AE1437" s="3">
        <f t="shared" si="393"/>
        <v>0</v>
      </c>
      <c r="AF1437" s="3">
        <f>IF(AND($N1437=1,AND(LEFT(对接源_02物料!$D237,4)="包装物料",N(对接源_02物料!$K237)&lt;&gt;0)),1,0)</f>
        <v>0</v>
      </c>
      <c r="AG1437" s="3">
        <f t="shared" si="394"/>
        <v>5</v>
      </c>
      <c r="AH1437" s="3">
        <f>IF(AND($N1437=1,AND(对接源_02物料!$D237="周转筐－销售出库",N(对接源_02物料!$K237)&lt;&gt;0)),1,0)</f>
        <v>0</v>
      </c>
      <c r="AI1437" s="3">
        <f t="shared" si="395"/>
        <v>0</v>
      </c>
      <c r="AL1437" s="3">
        <v>0</v>
      </c>
      <c r="AM1437" s="3">
        <f t="shared" si="396"/>
        <v>1</v>
      </c>
      <c r="AN1437" s="3" t="str">
        <f t="shared" si="383"/>
        <v/>
      </c>
      <c r="AO1437" s="3">
        <v>0</v>
      </c>
      <c r="AP1437" s="3">
        <f t="shared" si="397"/>
        <v>8</v>
      </c>
      <c r="AR1437">
        <f t="shared" si="398"/>
        <v>0</v>
      </c>
      <c r="AS1437">
        <f t="shared" si="399"/>
        <v>5</v>
      </c>
    </row>
    <row r="1438" customHeight="1" spans="1:45">
      <c r="A1438" s="3" t="str">
        <f>IF(对接源_02物料!$C238="","",对接源_02物料!$C238)</f>
        <v/>
      </c>
      <c r="B1438" s="3">
        <f t="shared" si="384"/>
        <v>0</v>
      </c>
      <c r="C1438" s="3">
        <f t="shared" si="385"/>
        <v>21</v>
      </c>
      <c r="K1438" s="3">
        <f>IF(OR($K$1="",对接源_02物料!$C238="",对接源_02物料!$C238&lt;&gt;$K$1,对接源_02物料!$B238=""),0,IF(OR(N(对接源_02物料!$B238)&lt;$K$2,N(对接源_02物料!$B238)&gt;$K$3),0,1))</f>
        <v>0</v>
      </c>
      <c r="L1438" s="3">
        <f>IF(OR($L$1="",对接源_02物料!$C238="",对接源_02物料!$C238&lt;&gt;$L$1,对接源_02物料!$B238=""),0,IF(OR(N(对接源_02物料!$B238)&lt;$L$2,N(对接源_02物料!$B238)&gt;$L$3),0,1))</f>
        <v>0</v>
      </c>
      <c r="M1438" s="3">
        <f>IF(OR($M$1="",对接源_02物料!$C238="",对接源_02物料!$C238&lt;&gt;$M$1,对接源_02物料!$B238=""),0,IF(OR(N(对接源_02物料!$B238)&lt;$M$2,N(对接源_02物料!$B238)&gt;$M$3),0,1))</f>
        <v>0</v>
      </c>
      <c r="N1438" s="3">
        <f>IF(OR($N$1="",对接源_02物料!$C238="",对接源_02物料!$C238&lt;&gt;$N$1,对接源_02物料!$B238=""),0,IF(OR(N(对接源_02物料!$B238)&lt;$N$2,N(对接源_02物料!$B238)&gt;$N$3),0,1))</f>
        <v>0</v>
      </c>
      <c r="P1438" s="3">
        <f>IF(AND($K1438=1,AND(对接源_02物料!$X238="公司筐",N(对接源_02物料!$T238)&lt;&gt;0)),1,0)</f>
        <v>0</v>
      </c>
      <c r="Q1438" s="3">
        <f t="shared" si="386"/>
        <v>8</v>
      </c>
      <c r="R1438" s="3">
        <f>IF(AND($K1438=1,AND(对接源_02物料!$X238="公司筐",N(对接源_02物料!$U238)&lt;&gt;0)),1,0)</f>
        <v>0</v>
      </c>
      <c r="S1438" s="3">
        <f t="shared" si="387"/>
        <v>0</v>
      </c>
      <c r="T1438" s="3">
        <f>IF(AND($K1438=1,AND(对接源_02物料!$X238="公司筐",N(对接源_02物料!$V238)&lt;&gt;0)),1,0)</f>
        <v>0</v>
      </c>
      <c r="U1438" s="3">
        <f t="shared" si="388"/>
        <v>19</v>
      </c>
      <c r="V1438" s="3">
        <f>IF(AND($L1438=1,AND(对接源_02物料!$X238="自备筐",N(对接源_02物料!$V238)&lt;&gt;0)),1,0)</f>
        <v>0</v>
      </c>
      <c r="W1438" s="3">
        <f t="shared" si="389"/>
        <v>8</v>
      </c>
      <c r="X1438" s="3">
        <f>IF(AND($L1438=1,AND(对接源_02物料!$X238="自备筐",N(对接源_02物料!$T238)&lt;&gt;0)),1,0)</f>
        <v>0</v>
      </c>
      <c r="Y1438" s="3">
        <f t="shared" si="390"/>
        <v>0</v>
      </c>
      <c r="Z1438" s="3">
        <f>IF(AND($M1438=1,对接源_02物料!$D238="原料入库"),1,0)</f>
        <v>0</v>
      </c>
      <c r="AA1438" s="3">
        <f t="shared" si="391"/>
        <v>24</v>
      </c>
      <c r="AB1438" s="3">
        <f>IF(AND($M1438=1,LEFT(对接源_02物料!$D238,4)="原料出库"),1,0)</f>
        <v>0</v>
      </c>
      <c r="AC1438" s="3">
        <f t="shared" si="392"/>
        <v>0</v>
      </c>
      <c r="AD1438" s="3">
        <f>IF(AND($M1438=1,LEFT(对接源_02物料!$D238,4)="成品出库"),1,0)</f>
        <v>0</v>
      </c>
      <c r="AE1438" s="3">
        <f t="shared" si="393"/>
        <v>0</v>
      </c>
      <c r="AF1438" s="3">
        <f>IF(AND($N1438=1,AND(LEFT(对接源_02物料!$D238,4)="包装物料",N(对接源_02物料!$K238)&lt;&gt;0)),1,0)</f>
        <v>0</v>
      </c>
      <c r="AG1438" s="3">
        <f t="shared" si="394"/>
        <v>5</v>
      </c>
      <c r="AH1438" s="3">
        <f>IF(AND($N1438=1,AND(对接源_02物料!$D238="周转筐－销售出库",N(对接源_02物料!$K238)&lt;&gt;0)),1,0)</f>
        <v>0</v>
      </c>
      <c r="AI1438" s="3">
        <f t="shared" si="395"/>
        <v>0</v>
      </c>
      <c r="AL1438" s="3">
        <v>0</v>
      </c>
      <c r="AM1438" s="3">
        <f t="shared" si="396"/>
        <v>1</v>
      </c>
      <c r="AN1438" s="3" t="str">
        <f t="shared" si="383"/>
        <v/>
      </c>
      <c r="AO1438" s="3">
        <v>0</v>
      </c>
      <c r="AP1438" s="3">
        <f t="shared" si="397"/>
        <v>8</v>
      </c>
      <c r="AR1438">
        <f t="shared" si="398"/>
        <v>0</v>
      </c>
      <c r="AS1438">
        <f t="shared" si="399"/>
        <v>5</v>
      </c>
    </row>
    <row r="1439" customHeight="1" spans="1:45">
      <c r="A1439" s="3" t="str">
        <f>IF(对接源_02物料!$C239="","",对接源_02物料!$C239)</f>
        <v/>
      </c>
      <c r="B1439" s="3">
        <f t="shared" si="384"/>
        <v>0</v>
      </c>
      <c r="C1439" s="3">
        <f t="shared" si="385"/>
        <v>21</v>
      </c>
      <c r="K1439" s="3">
        <f>IF(OR($K$1="",对接源_02物料!$C239="",对接源_02物料!$C239&lt;&gt;$K$1,对接源_02物料!$B239=""),0,IF(OR(N(对接源_02物料!$B239)&lt;$K$2,N(对接源_02物料!$B239)&gt;$K$3),0,1))</f>
        <v>0</v>
      </c>
      <c r="L1439" s="3">
        <f>IF(OR($L$1="",对接源_02物料!$C239="",对接源_02物料!$C239&lt;&gt;$L$1,对接源_02物料!$B239=""),0,IF(OR(N(对接源_02物料!$B239)&lt;$L$2,N(对接源_02物料!$B239)&gt;$L$3),0,1))</f>
        <v>0</v>
      </c>
      <c r="M1439" s="3">
        <f>IF(OR($M$1="",对接源_02物料!$C239="",对接源_02物料!$C239&lt;&gt;$M$1,对接源_02物料!$B239=""),0,IF(OR(N(对接源_02物料!$B239)&lt;$M$2,N(对接源_02物料!$B239)&gt;$M$3),0,1))</f>
        <v>0</v>
      </c>
      <c r="N1439" s="3">
        <f>IF(OR($N$1="",对接源_02物料!$C239="",对接源_02物料!$C239&lt;&gt;$N$1,对接源_02物料!$B239=""),0,IF(OR(N(对接源_02物料!$B239)&lt;$N$2,N(对接源_02物料!$B239)&gt;$N$3),0,1))</f>
        <v>0</v>
      </c>
      <c r="P1439" s="3">
        <f>IF(AND($K1439=1,AND(对接源_02物料!$X239="公司筐",N(对接源_02物料!$T239)&lt;&gt;0)),1,0)</f>
        <v>0</v>
      </c>
      <c r="Q1439" s="3">
        <f t="shared" si="386"/>
        <v>8</v>
      </c>
      <c r="R1439" s="3">
        <f>IF(AND($K1439=1,AND(对接源_02物料!$X239="公司筐",N(对接源_02物料!$U239)&lt;&gt;0)),1,0)</f>
        <v>0</v>
      </c>
      <c r="S1439" s="3">
        <f t="shared" si="387"/>
        <v>0</v>
      </c>
      <c r="T1439" s="3">
        <f>IF(AND($K1439=1,AND(对接源_02物料!$X239="公司筐",N(对接源_02物料!$V239)&lt;&gt;0)),1,0)</f>
        <v>0</v>
      </c>
      <c r="U1439" s="3">
        <f t="shared" si="388"/>
        <v>19</v>
      </c>
      <c r="V1439" s="3">
        <f>IF(AND($L1439=1,AND(对接源_02物料!$X239="自备筐",N(对接源_02物料!$V239)&lt;&gt;0)),1,0)</f>
        <v>0</v>
      </c>
      <c r="W1439" s="3">
        <f t="shared" si="389"/>
        <v>8</v>
      </c>
      <c r="X1439" s="3">
        <f>IF(AND($L1439=1,AND(对接源_02物料!$X239="自备筐",N(对接源_02物料!$T239)&lt;&gt;0)),1,0)</f>
        <v>0</v>
      </c>
      <c r="Y1439" s="3">
        <f t="shared" si="390"/>
        <v>0</v>
      </c>
      <c r="Z1439" s="3">
        <f>IF(AND($M1439=1,对接源_02物料!$D239="原料入库"),1,0)</f>
        <v>0</v>
      </c>
      <c r="AA1439" s="3">
        <f t="shared" si="391"/>
        <v>24</v>
      </c>
      <c r="AB1439" s="3">
        <f>IF(AND($M1439=1,LEFT(对接源_02物料!$D239,4)="原料出库"),1,0)</f>
        <v>0</v>
      </c>
      <c r="AC1439" s="3">
        <f t="shared" si="392"/>
        <v>0</v>
      </c>
      <c r="AD1439" s="3">
        <f>IF(AND($M1439=1,LEFT(对接源_02物料!$D239,4)="成品出库"),1,0)</f>
        <v>0</v>
      </c>
      <c r="AE1439" s="3">
        <f t="shared" si="393"/>
        <v>0</v>
      </c>
      <c r="AF1439" s="3">
        <f>IF(AND($N1439=1,AND(LEFT(对接源_02物料!$D239,4)="包装物料",N(对接源_02物料!$K239)&lt;&gt;0)),1,0)</f>
        <v>0</v>
      </c>
      <c r="AG1439" s="3">
        <f t="shared" si="394"/>
        <v>5</v>
      </c>
      <c r="AH1439" s="3">
        <f>IF(AND($N1439=1,AND(对接源_02物料!$D239="周转筐－销售出库",N(对接源_02物料!$K239)&lt;&gt;0)),1,0)</f>
        <v>0</v>
      </c>
      <c r="AI1439" s="3">
        <f t="shared" si="395"/>
        <v>0</v>
      </c>
      <c r="AL1439" s="3">
        <v>0</v>
      </c>
      <c r="AM1439" s="3">
        <f t="shared" si="396"/>
        <v>1</v>
      </c>
      <c r="AN1439" s="3" t="str">
        <f t="shared" si="383"/>
        <v/>
      </c>
      <c r="AO1439" s="3">
        <v>0</v>
      </c>
      <c r="AP1439" s="3">
        <f t="shared" si="397"/>
        <v>8</v>
      </c>
      <c r="AR1439">
        <f t="shared" si="398"/>
        <v>0</v>
      </c>
      <c r="AS1439">
        <f t="shared" si="399"/>
        <v>5</v>
      </c>
    </row>
    <row r="1440" customHeight="1" spans="1:45">
      <c r="A1440" s="3" t="str">
        <f>IF(对接源_02物料!$C240="","",对接源_02物料!$C240)</f>
        <v/>
      </c>
      <c r="B1440" s="3">
        <f t="shared" si="384"/>
        <v>0</v>
      </c>
      <c r="C1440" s="3">
        <f t="shared" si="385"/>
        <v>21</v>
      </c>
      <c r="K1440" s="3">
        <f>IF(OR($K$1="",对接源_02物料!$C240="",对接源_02物料!$C240&lt;&gt;$K$1,对接源_02物料!$B240=""),0,IF(OR(N(对接源_02物料!$B240)&lt;$K$2,N(对接源_02物料!$B240)&gt;$K$3),0,1))</f>
        <v>0</v>
      </c>
      <c r="L1440" s="3">
        <f>IF(OR($L$1="",对接源_02物料!$C240="",对接源_02物料!$C240&lt;&gt;$L$1,对接源_02物料!$B240=""),0,IF(OR(N(对接源_02物料!$B240)&lt;$L$2,N(对接源_02物料!$B240)&gt;$L$3),0,1))</f>
        <v>0</v>
      </c>
      <c r="M1440" s="3">
        <f>IF(OR($M$1="",对接源_02物料!$C240="",对接源_02物料!$C240&lt;&gt;$M$1,对接源_02物料!$B240=""),0,IF(OR(N(对接源_02物料!$B240)&lt;$M$2,N(对接源_02物料!$B240)&gt;$M$3),0,1))</f>
        <v>0</v>
      </c>
      <c r="N1440" s="3">
        <f>IF(OR($N$1="",对接源_02物料!$C240="",对接源_02物料!$C240&lt;&gt;$N$1,对接源_02物料!$B240=""),0,IF(OR(N(对接源_02物料!$B240)&lt;$N$2,N(对接源_02物料!$B240)&gt;$N$3),0,1))</f>
        <v>0</v>
      </c>
      <c r="P1440" s="3">
        <f>IF(AND($K1440=1,AND(对接源_02物料!$X240="公司筐",N(对接源_02物料!$T240)&lt;&gt;0)),1,0)</f>
        <v>0</v>
      </c>
      <c r="Q1440" s="3">
        <f t="shared" si="386"/>
        <v>8</v>
      </c>
      <c r="R1440" s="3">
        <f>IF(AND($K1440=1,AND(对接源_02物料!$X240="公司筐",N(对接源_02物料!$U240)&lt;&gt;0)),1,0)</f>
        <v>0</v>
      </c>
      <c r="S1440" s="3">
        <f t="shared" si="387"/>
        <v>0</v>
      </c>
      <c r="T1440" s="3">
        <f>IF(AND($K1440=1,AND(对接源_02物料!$X240="公司筐",N(对接源_02物料!$V240)&lt;&gt;0)),1,0)</f>
        <v>0</v>
      </c>
      <c r="U1440" s="3">
        <f t="shared" si="388"/>
        <v>19</v>
      </c>
      <c r="V1440" s="3">
        <f>IF(AND($L1440=1,AND(对接源_02物料!$X240="自备筐",N(对接源_02物料!$V240)&lt;&gt;0)),1,0)</f>
        <v>0</v>
      </c>
      <c r="W1440" s="3">
        <f t="shared" si="389"/>
        <v>8</v>
      </c>
      <c r="X1440" s="3">
        <f>IF(AND($L1440=1,AND(对接源_02物料!$X240="自备筐",N(对接源_02物料!$T240)&lt;&gt;0)),1,0)</f>
        <v>0</v>
      </c>
      <c r="Y1440" s="3">
        <f t="shared" si="390"/>
        <v>0</v>
      </c>
      <c r="Z1440" s="3">
        <f>IF(AND($M1440=1,对接源_02物料!$D240="原料入库"),1,0)</f>
        <v>0</v>
      </c>
      <c r="AA1440" s="3">
        <f t="shared" si="391"/>
        <v>24</v>
      </c>
      <c r="AB1440" s="3">
        <f>IF(AND($M1440=1,LEFT(对接源_02物料!$D240,4)="原料出库"),1,0)</f>
        <v>0</v>
      </c>
      <c r="AC1440" s="3">
        <f t="shared" si="392"/>
        <v>0</v>
      </c>
      <c r="AD1440" s="3">
        <f>IF(AND($M1440=1,LEFT(对接源_02物料!$D240,4)="成品出库"),1,0)</f>
        <v>0</v>
      </c>
      <c r="AE1440" s="3">
        <f t="shared" si="393"/>
        <v>0</v>
      </c>
      <c r="AF1440" s="3">
        <f>IF(AND($N1440=1,AND(LEFT(对接源_02物料!$D240,4)="包装物料",N(对接源_02物料!$K240)&lt;&gt;0)),1,0)</f>
        <v>0</v>
      </c>
      <c r="AG1440" s="3">
        <f t="shared" si="394"/>
        <v>5</v>
      </c>
      <c r="AH1440" s="3">
        <f>IF(AND($N1440=1,AND(对接源_02物料!$D240="周转筐－销售出库",N(对接源_02物料!$K240)&lt;&gt;0)),1,0)</f>
        <v>0</v>
      </c>
      <c r="AI1440" s="3">
        <f t="shared" si="395"/>
        <v>0</v>
      </c>
      <c r="AL1440" s="3">
        <v>0</v>
      </c>
      <c r="AM1440" s="3">
        <f t="shared" si="396"/>
        <v>1</v>
      </c>
      <c r="AN1440" s="3" t="str">
        <f t="shared" si="383"/>
        <v/>
      </c>
      <c r="AO1440" s="3">
        <v>0</v>
      </c>
      <c r="AP1440" s="3">
        <f t="shared" si="397"/>
        <v>8</v>
      </c>
      <c r="AR1440">
        <f t="shared" si="398"/>
        <v>0</v>
      </c>
      <c r="AS1440">
        <f t="shared" si="399"/>
        <v>5</v>
      </c>
    </row>
    <row r="1441" customHeight="1" spans="1:45">
      <c r="A1441" s="3" t="str">
        <f>IF(对接源_02物料!$C241="","",对接源_02物料!$C241)</f>
        <v/>
      </c>
      <c r="B1441" s="3">
        <f t="shared" si="384"/>
        <v>0</v>
      </c>
      <c r="C1441" s="3">
        <f t="shared" si="385"/>
        <v>21</v>
      </c>
      <c r="K1441" s="3">
        <f>IF(OR($K$1="",对接源_02物料!$C241="",对接源_02物料!$C241&lt;&gt;$K$1,对接源_02物料!$B241=""),0,IF(OR(N(对接源_02物料!$B241)&lt;$K$2,N(对接源_02物料!$B241)&gt;$K$3),0,1))</f>
        <v>0</v>
      </c>
      <c r="L1441" s="3">
        <f>IF(OR($L$1="",对接源_02物料!$C241="",对接源_02物料!$C241&lt;&gt;$L$1,对接源_02物料!$B241=""),0,IF(OR(N(对接源_02物料!$B241)&lt;$L$2,N(对接源_02物料!$B241)&gt;$L$3),0,1))</f>
        <v>0</v>
      </c>
      <c r="M1441" s="3">
        <f>IF(OR($M$1="",对接源_02物料!$C241="",对接源_02物料!$C241&lt;&gt;$M$1,对接源_02物料!$B241=""),0,IF(OR(N(对接源_02物料!$B241)&lt;$M$2,N(对接源_02物料!$B241)&gt;$M$3),0,1))</f>
        <v>0</v>
      </c>
      <c r="N1441" s="3">
        <f>IF(OR($N$1="",对接源_02物料!$C241="",对接源_02物料!$C241&lt;&gt;$N$1,对接源_02物料!$B241=""),0,IF(OR(N(对接源_02物料!$B241)&lt;$N$2,N(对接源_02物料!$B241)&gt;$N$3),0,1))</f>
        <v>0</v>
      </c>
      <c r="P1441" s="3">
        <f>IF(AND($K1441=1,AND(对接源_02物料!$X241="公司筐",N(对接源_02物料!$T241)&lt;&gt;0)),1,0)</f>
        <v>0</v>
      </c>
      <c r="Q1441" s="3">
        <f t="shared" si="386"/>
        <v>8</v>
      </c>
      <c r="R1441" s="3">
        <f>IF(AND($K1441=1,AND(对接源_02物料!$X241="公司筐",N(对接源_02物料!$U241)&lt;&gt;0)),1,0)</f>
        <v>0</v>
      </c>
      <c r="S1441" s="3">
        <f t="shared" si="387"/>
        <v>0</v>
      </c>
      <c r="T1441" s="3">
        <f>IF(AND($K1441=1,AND(对接源_02物料!$X241="公司筐",N(对接源_02物料!$V241)&lt;&gt;0)),1,0)</f>
        <v>0</v>
      </c>
      <c r="U1441" s="3">
        <f t="shared" si="388"/>
        <v>19</v>
      </c>
      <c r="V1441" s="3">
        <f>IF(AND($L1441=1,AND(对接源_02物料!$X241="自备筐",N(对接源_02物料!$V241)&lt;&gt;0)),1,0)</f>
        <v>0</v>
      </c>
      <c r="W1441" s="3">
        <f t="shared" si="389"/>
        <v>8</v>
      </c>
      <c r="X1441" s="3">
        <f>IF(AND($L1441=1,AND(对接源_02物料!$X241="自备筐",N(对接源_02物料!$T241)&lt;&gt;0)),1,0)</f>
        <v>0</v>
      </c>
      <c r="Y1441" s="3">
        <f t="shared" si="390"/>
        <v>0</v>
      </c>
      <c r="Z1441" s="3">
        <f>IF(AND($M1441=1,对接源_02物料!$D241="原料入库"),1,0)</f>
        <v>0</v>
      </c>
      <c r="AA1441" s="3">
        <f t="shared" si="391"/>
        <v>24</v>
      </c>
      <c r="AB1441" s="3">
        <f>IF(AND($M1441=1,LEFT(对接源_02物料!$D241,4)="原料出库"),1,0)</f>
        <v>0</v>
      </c>
      <c r="AC1441" s="3">
        <f t="shared" si="392"/>
        <v>0</v>
      </c>
      <c r="AD1441" s="3">
        <f>IF(AND($M1441=1,LEFT(对接源_02物料!$D241,4)="成品出库"),1,0)</f>
        <v>0</v>
      </c>
      <c r="AE1441" s="3">
        <f t="shared" si="393"/>
        <v>0</v>
      </c>
      <c r="AF1441" s="3">
        <f>IF(AND($N1441=1,AND(LEFT(对接源_02物料!$D241,4)="包装物料",N(对接源_02物料!$K241)&lt;&gt;0)),1,0)</f>
        <v>0</v>
      </c>
      <c r="AG1441" s="3">
        <f t="shared" si="394"/>
        <v>5</v>
      </c>
      <c r="AH1441" s="3">
        <f>IF(AND($N1441=1,AND(对接源_02物料!$D241="周转筐－销售出库",N(对接源_02物料!$K241)&lt;&gt;0)),1,0)</f>
        <v>0</v>
      </c>
      <c r="AI1441" s="3">
        <f t="shared" si="395"/>
        <v>0</v>
      </c>
      <c r="AL1441" s="3">
        <v>0</v>
      </c>
      <c r="AM1441" s="3">
        <f t="shared" si="396"/>
        <v>1</v>
      </c>
      <c r="AN1441" s="3" t="str">
        <f t="shared" si="383"/>
        <v/>
      </c>
      <c r="AO1441" s="3">
        <v>0</v>
      </c>
      <c r="AP1441" s="3">
        <f t="shared" si="397"/>
        <v>8</v>
      </c>
      <c r="AR1441">
        <f t="shared" si="398"/>
        <v>0</v>
      </c>
      <c r="AS1441">
        <f t="shared" si="399"/>
        <v>5</v>
      </c>
    </row>
    <row r="1442" customHeight="1" spans="1:45">
      <c r="A1442" s="3" t="str">
        <f>IF(对接源_02物料!$C242="","",对接源_02物料!$C242)</f>
        <v/>
      </c>
      <c r="B1442" s="3">
        <f t="shared" si="384"/>
        <v>0</v>
      </c>
      <c r="C1442" s="3">
        <f t="shared" si="385"/>
        <v>21</v>
      </c>
      <c r="K1442" s="3">
        <f>IF(OR($K$1="",对接源_02物料!$C242="",对接源_02物料!$C242&lt;&gt;$K$1,对接源_02物料!$B242=""),0,IF(OR(N(对接源_02物料!$B242)&lt;$K$2,N(对接源_02物料!$B242)&gt;$K$3),0,1))</f>
        <v>0</v>
      </c>
      <c r="L1442" s="3">
        <f>IF(OR($L$1="",对接源_02物料!$C242="",对接源_02物料!$C242&lt;&gt;$L$1,对接源_02物料!$B242=""),0,IF(OR(N(对接源_02物料!$B242)&lt;$L$2,N(对接源_02物料!$B242)&gt;$L$3),0,1))</f>
        <v>0</v>
      </c>
      <c r="M1442" s="3">
        <f>IF(OR($M$1="",对接源_02物料!$C242="",对接源_02物料!$C242&lt;&gt;$M$1,对接源_02物料!$B242=""),0,IF(OR(N(对接源_02物料!$B242)&lt;$M$2,N(对接源_02物料!$B242)&gt;$M$3),0,1))</f>
        <v>0</v>
      </c>
      <c r="N1442" s="3">
        <f>IF(OR($N$1="",对接源_02物料!$C242="",对接源_02物料!$C242&lt;&gt;$N$1,对接源_02物料!$B242=""),0,IF(OR(N(对接源_02物料!$B242)&lt;$N$2,N(对接源_02物料!$B242)&gt;$N$3),0,1))</f>
        <v>0</v>
      </c>
      <c r="P1442" s="3">
        <f>IF(AND($K1442=1,AND(对接源_02物料!$X242="公司筐",N(对接源_02物料!$T242)&lt;&gt;0)),1,0)</f>
        <v>0</v>
      </c>
      <c r="Q1442" s="3">
        <f t="shared" si="386"/>
        <v>8</v>
      </c>
      <c r="R1442" s="3">
        <f>IF(AND($K1442=1,AND(对接源_02物料!$X242="公司筐",N(对接源_02物料!$U242)&lt;&gt;0)),1,0)</f>
        <v>0</v>
      </c>
      <c r="S1442" s="3">
        <f t="shared" si="387"/>
        <v>0</v>
      </c>
      <c r="T1442" s="3">
        <f>IF(AND($K1442=1,AND(对接源_02物料!$X242="公司筐",N(对接源_02物料!$V242)&lt;&gt;0)),1,0)</f>
        <v>0</v>
      </c>
      <c r="U1442" s="3">
        <f t="shared" si="388"/>
        <v>19</v>
      </c>
      <c r="V1442" s="3">
        <f>IF(AND($L1442=1,AND(对接源_02物料!$X242="自备筐",N(对接源_02物料!$V242)&lt;&gt;0)),1,0)</f>
        <v>0</v>
      </c>
      <c r="W1442" s="3">
        <f t="shared" si="389"/>
        <v>8</v>
      </c>
      <c r="X1442" s="3">
        <f>IF(AND($L1442=1,AND(对接源_02物料!$X242="自备筐",N(对接源_02物料!$T242)&lt;&gt;0)),1,0)</f>
        <v>0</v>
      </c>
      <c r="Y1442" s="3">
        <f t="shared" si="390"/>
        <v>0</v>
      </c>
      <c r="Z1442" s="3">
        <f>IF(AND($M1442=1,对接源_02物料!$D242="原料入库"),1,0)</f>
        <v>0</v>
      </c>
      <c r="AA1442" s="3">
        <f t="shared" si="391"/>
        <v>24</v>
      </c>
      <c r="AB1442" s="3">
        <f>IF(AND($M1442=1,LEFT(对接源_02物料!$D242,4)="原料出库"),1,0)</f>
        <v>0</v>
      </c>
      <c r="AC1442" s="3">
        <f t="shared" si="392"/>
        <v>0</v>
      </c>
      <c r="AD1442" s="3">
        <f>IF(AND($M1442=1,LEFT(对接源_02物料!$D242,4)="成品出库"),1,0)</f>
        <v>0</v>
      </c>
      <c r="AE1442" s="3">
        <f t="shared" si="393"/>
        <v>0</v>
      </c>
      <c r="AF1442" s="3">
        <f>IF(AND($N1442=1,AND(LEFT(对接源_02物料!$D242,4)="包装物料",N(对接源_02物料!$K242)&lt;&gt;0)),1,0)</f>
        <v>0</v>
      </c>
      <c r="AG1442" s="3">
        <f t="shared" si="394"/>
        <v>5</v>
      </c>
      <c r="AH1442" s="3">
        <f>IF(AND($N1442=1,AND(对接源_02物料!$D242="周转筐－销售出库",N(对接源_02物料!$K242)&lt;&gt;0)),1,0)</f>
        <v>0</v>
      </c>
      <c r="AI1442" s="3">
        <f t="shared" si="395"/>
        <v>0</v>
      </c>
      <c r="AL1442" s="3">
        <v>0</v>
      </c>
      <c r="AM1442" s="3">
        <f t="shared" si="396"/>
        <v>1</v>
      </c>
      <c r="AN1442" s="3" t="str">
        <f t="shared" si="383"/>
        <v/>
      </c>
      <c r="AO1442" s="3">
        <v>0</v>
      </c>
      <c r="AP1442" s="3">
        <f t="shared" si="397"/>
        <v>8</v>
      </c>
      <c r="AR1442">
        <f t="shared" si="398"/>
        <v>0</v>
      </c>
      <c r="AS1442">
        <f t="shared" si="399"/>
        <v>5</v>
      </c>
    </row>
    <row r="1443" customHeight="1" spans="1:45">
      <c r="A1443" s="3" t="str">
        <f>IF(对接源_02物料!$C243="","",对接源_02物料!$C243)</f>
        <v/>
      </c>
      <c r="B1443" s="3">
        <f t="shared" si="384"/>
        <v>0</v>
      </c>
      <c r="C1443" s="3">
        <f t="shared" si="385"/>
        <v>21</v>
      </c>
      <c r="K1443" s="3">
        <f>IF(OR($K$1="",对接源_02物料!$C243="",对接源_02物料!$C243&lt;&gt;$K$1,对接源_02物料!$B243=""),0,IF(OR(N(对接源_02物料!$B243)&lt;$K$2,N(对接源_02物料!$B243)&gt;$K$3),0,1))</f>
        <v>0</v>
      </c>
      <c r="L1443" s="3">
        <f>IF(OR($L$1="",对接源_02物料!$C243="",对接源_02物料!$C243&lt;&gt;$L$1,对接源_02物料!$B243=""),0,IF(OR(N(对接源_02物料!$B243)&lt;$L$2,N(对接源_02物料!$B243)&gt;$L$3),0,1))</f>
        <v>0</v>
      </c>
      <c r="M1443" s="3">
        <f>IF(OR($M$1="",对接源_02物料!$C243="",对接源_02物料!$C243&lt;&gt;$M$1,对接源_02物料!$B243=""),0,IF(OR(N(对接源_02物料!$B243)&lt;$M$2,N(对接源_02物料!$B243)&gt;$M$3),0,1))</f>
        <v>0</v>
      </c>
      <c r="N1443" s="3">
        <f>IF(OR($N$1="",对接源_02物料!$C243="",对接源_02物料!$C243&lt;&gt;$N$1,对接源_02物料!$B243=""),0,IF(OR(N(对接源_02物料!$B243)&lt;$N$2,N(对接源_02物料!$B243)&gt;$N$3),0,1))</f>
        <v>0</v>
      </c>
      <c r="P1443" s="3">
        <f>IF(AND($K1443=1,AND(对接源_02物料!$X243="公司筐",N(对接源_02物料!$T243)&lt;&gt;0)),1,0)</f>
        <v>0</v>
      </c>
      <c r="Q1443" s="3">
        <f t="shared" si="386"/>
        <v>8</v>
      </c>
      <c r="R1443" s="3">
        <f>IF(AND($K1443=1,AND(对接源_02物料!$X243="公司筐",N(对接源_02物料!$U243)&lt;&gt;0)),1,0)</f>
        <v>0</v>
      </c>
      <c r="S1443" s="3">
        <f t="shared" si="387"/>
        <v>0</v>
      </c>
      <c r="T1443" s="3">
        <f>IF(AND($K1443=1,AND(对接源_02物料!$X243="公司筐",N(对接源_02物料!$V243)&lt;&gt;0)),1,0)</f>
        <v>0</v>
      </c>
      <c r="U1443" s="3">
        <f t="shared" si="388"/>
        <v>19</v>
      </c>
      <c r="V1443" s="3">
        <f>IF(AND($L1443=1,AND(对接源_02物料!$X243="自备筐",N(对接源_02物料!$V243)&lt;&gt;0)),1,0)</f>
        <v>0</v>
      </c>
      <c r="W1443" s="3">
        <f t="shared" si="389"/>
        <v>8</v>
      </c>
      <c r="X1443" s="3">
        <f>IF(AND($L1443=1,AND(对接源_02物料!$X243="自备筐",N(对接源_02物料!$T243)&lt;&gt;0)),1,0)</f>
        <v>0</v>
      </c>
      <c r="Y1443" s="3">
        <f t="shared" si="390"/>
        <v>0</v>
      </c>
      <c r="Z1443" s="3">
        <f>IF(AND($M1443=1,对接源_02物料!$D243="原料入库"),1,0)</f>
        <v>0</v>
      </c>
      <c r="AA1443" s="3">
        <f t="shared" si="391"/>
        <v>24</v>
      </c>
      <c r="AB1443" s="3">
        <f>IF(AND($M1443=1,LEFT(对接源_02物料!$D243,4)="原料出库"),1,0)</f>
        <v>0</v>
      </c>
      <c r="AC1443" s="3">
        <f t="shared" si="392"/>
        <v>0</v>
      </c>
      <c r="AD1443" s="3">
        <f>IF(AND($M1443=1,LEFT(对接源_02物料!$D243,4)="成品出库"),1,0)</f>
        <v>0</v>
      </c>
      <c r="AE1443" s="3">
        <f t="shared" si="393"/>
        <v>0</v>
      </c>
      <c r="AF1443" s="3">
        <f>IF(AND($N1443=1,AND(LEFT(对接源_02物料!$D243,4)="包装物料",N(对接源_02物料!$K243)&lt;&gt;0)),1,0)</f>
        <v>0</v>
      </c>
      <c r="AG1443" s="3">
        <f t="shared" si="394"/>
        <v>5</v>
      </c>
      <c r="AH1443" s="3">
        <f>IF(AND($N1443=1,AND(对接源_02物料!$D243="周转筐－销售出库",N(对接源_02物料!$K243)&lt;&gt;0)),1,0)</f>
        <v>0</v>
      </c>
      <c r="AI1443" s="3">
        <f t="shared" si="395"/>
        <v>0</v>
      </c>
      <c r="AL1443" s="3">
        <v>0</v>
      </c>
      <c r="AM1443" s="3">
        <f t="shared" si="396"/>
        <v>1</v>
      </c>
      <c r="AN1443" s="3" t="str">
        <f t="shared" si="383"/>
        <v/>
      </c>
      <c r="AO1443" s="3">
        <v>0</v>
      </c>
      <c r="AP1443" s="3">
        <f t="shared" si="397"/>
        <v>8</v>
      </c>
      <c r="AR1443">
        <f t="shared" si="398"/>
        <v>0</v>
      </c>
      <c r="AS1443">
        <f t="shared" si="399"/>
        <v>5</v>
      </c>
    </row>
    <row r="1444" customHeight="1" spans="1:45">
      <c r="A1444" s="3" t="str">
        <f>IF(对接源_02物料!$C244="","",对接源_02物料!$C244)</f>
        <v/>
      </c>
      <c r="B1444" s="3">
        <f t="shared" si="384"/>
        <v>0</v>
      </c>
      <c r="C1444" s="3">
        <f t="shared" si="385"/>
        <v>21</v>
      </c>
      <c r="K1444" s="3">
        <f>IF(OR($K$1="",对接源_02物料!$C244="",对接源_02物料!$C244&lt;&gt;$K$1,对接源_02物料!$B244=""),0,IF(OR(N(对接源_02物料!$B244)&lt;$K$2,N(对接源_02物料!$B244)&gt;$K$3),0,1))</f>
        <v>0</v>
      </c>
      <c r="L1444" s="3">
        <f>IF(OR($L$1="",对接源_02物料!$C244="",对接源_02物料!$C244&lt;&gt;$L$1,对接源_02物料!$B244=""),0,IF(OR(N(对接源_02物料!$B244)&lt;$L$2,N(对接源_02物料!$B244)&gt;$L$3),0,1))</f>
        <v>0</v>
      </c>
      <c r="M1444" s="3">
        <f>IF(OR($M$1="",对接源_02物料!$C244="",对接源_02物料!$C244&lt;&gt;$M$1,对接源_02物料!$B244=""),0,IF(OR(N(对接源_02物料!$B244)&lt;$M$2,N(对接源_02物料!$B244)&gt;$M$3),0,1))</f>
        <v>0</v>
      </c>
      <c r="N1444" s="3">
        <f>IF(OR($N$1="",对接源_02物料!$C244="",对接源_02物料!$C244&lt;&gt;$N$1,对接源_02物料!$B244=""),0,IF(OR(N(对接源_02物料!$B244)&lt;$N$2,N(对接源_02物料!$B244)&gt;$N$3),0,1))</f>
        <v>0</v>
      </c>
      <c r="P1444" s="3">
        <f>IF(AND($K1444=1,AND(对接源_02物料!$X244="公司筐",N(对接源_02物料!$T244)&lt;&gt;0)),1,0)</f>
        <v>0</v>
      </c>
      <c r="Q1444" s="3">
        <f t="shared" si="386"/>
        <v>8</v>
      </c>
      <c r="R1444" s="3">
        <f>IF(AND($K1444=1,AND(对接源_02物料!$X244="公司筐",N(对接源_02物料!$U244)&lt;&gt;0)),1,0)</f>
        <v>0</v>
      </c>
      <c r="S1444" s="3">
        <f t="shared" si="387"/>
        <v>0</v>
      </c>
      <c r="T1444" s="3">
        <f>IF(AND($K1444=1,AND(对接源_02物料!$X244="公司筐",N(对接源_02物料!$V244)&lt;&gt;0)),1,0)</f>
        <v>0</v>
      </c>
      <c r="U1444" s="3">
        <f t="shared" si="388"/>
        <v>19</v>
      </c>
      <c r="V1444" s="3">
        <f>IF(AND($L1444=1,AND(对接源_02物料!$X244="自备筐",N(对接源_02物料!$V244)&lt;&gt;0)),1,0)</f>
        <v>0</v>
      </c>
      <c r="W1444" s="3">
        <f t="shared" si="389"/>
        <v>8</v>
      </c>
      <c r="X1444" s="3">
        <f>IF(AND($L1444=1,AND(对接源_02物料!$X244="自备筐",N(对接源_02物料!$T244)&lt;&gt;0)),1,0)</f>
        <v>0</v>
      </c>
      <c r="Y1444" s="3">
        <f t="shared" si="390"/>
        <v>0</v>
      </c>
      <c r="Z1444" s="3">
        <f>IF(AND($M1444=1,对接源_02物料!$D244="原料入库"),1,0)</f>
        <v>0</v>
      </c>
      <c r="AA1444" s="3">
        <f t="shared" si="391"/>
        <v>24</v>
      </c>
      <c r="AB1444" s="3">
        <f>IF(AND($M1444=1,LEFT(对接源_02物料!$D244,4)="原料出库"),1,0)</f>
        <v>0</v>
      </c>
      <c r="AC1444" s="3">
        <f t="shared" si="392"/>
        <v>0</v>
      </c>
      <c r="AD1444" s="3">
        <f>IF(AND($M1444=1,LEFT(对接源_02物料!$D244,4)="成品出库"),1,0)</f>
        <v>0</v>
      </c>
      <c r="AE1444" s="3">
        <f t="shared" si="393"/>
        <v>0</v>
      </c>
      <c r="AF1444" s="3">
        <f>IF(AND($N1444=1,AND(LEFT(对接源_02物料!$D244,4)="包装物料",N(对接源_02物料!$K244)&lt;&gt;0)),1,0)</f>
        <v>0</v>
      </c>
      <c r="AG1444" s="3">
        <f t="shared" si="394"/>
        <v>5</v>
      </c>
      <c r="AH1444" s="3">
        <f>IF(AND($N1444=1,AND(对接源_02物料!$D244="周转筐－销售出库",N(对接源_02物料!$K244)&lt;&gt;0)),1,0)</f>
        <v>0</v>
      </c>
      <c r="AI1444" s="3">
        <f t="shared" si="395"/>
        <v>0</v>
      </c>
      <c r="AL1444" s="3">
        <v>0</v>
      </c>
      <c r="AM1444" s="3">
        <f t="shared" si="396"/>
        <v>1</v>
      </c>
      <c r="AN1444" s="3" t="str">
        <f t="shared" si="383"/>
        <v/>
      </c>
      <c r="AO1444" s="3">
        <v>0</v>
      </c>
      <c r="AP1444" s="3">
        <f t="shared" si="397"/>
        <v>8</v>
      </c>
      <c r="AR1444">
        <f t="shared" si="398"/>
        <v>0</v>
      </c>
      <c r="AS1444">
        <f t="shared" si="399"/>
        <v>5</v>
      </c>
    </row>
    <row r="1445" customHeight="1" spans="1:45">
      <c r="A1445" s="3" t="str">
        <f>IF(对接源_02物料!$C245="","",对接源_02物料!$C245)</f>
        <v/>
      </c>
      <c r="B1445" s="3">
        <f t="shared" si="384"/>
        <v>0</v>
      </c>
      <c r="C1445" s="3">
        <f t="shared" si="385"/>
        <v>21</v>
      </c>
      <c r="K1445" s="3">
        <f>IF(OR($K$1="",对接源_02物料!$C245="",对接源_02物料!$C245&lt;&gt;$K$1,对接源_02物料!$B245=""),0,IF(OR(N(对接源_02物料!$B245)&lt;$K$2,N(对接源_02物料!$B245)&gt;$K$3),0,1))</f>
        <v>0</v>
      </c>
      <c r="L1445" s="3">
        <f>IF(OR($L$1="",对接源_02物料!$C245="",对接源_02物料!$C245&lt;&gt;$L$1,对接源_02物料!$B245=""),0,IF(OR(N(对接源_02物料!$B245)&lt;$L$2,N(对接源_02物料!$B245)&gt;$L$3),0,1))</f>
        <v>0</v>
      </c>
      <c r="M1445" s="3">
        <f>IF(OR($M$1="",对接源_02物料!$C245="",对接源_02物料!$C245&lt;&gt;$M$1,对接源_02物料!$B245=""),0,IF(OR(N(对接源_02物料!$B245)&lt;$M$2,N(对接源_02物料!$B245)&gt;$M$3),0,1))</f>
        <v>0</v>
      </c>
      <c r="N1445" s="3">
        <f>IF(OR($N$1="",对接源_02物料!$C245="",对接源_02物料!$C245&lt;&gt;$N$1,对接源_02物料!$B245=""),0,IF(OR(N(对接源_02物料!$B245)&lt;$N$2,N(对接源_02物料!$B245)&gt;$N$3),0,1))</f>
        <v>0</v>
      </c>
      <c r="P1445" s="3">
        <f>IF(AND($K1445=1,AND(对接源_02物料!$X245="公司筐",N(对接源_02物料!$T245)&lt;&gt;0)),1,0)</f>
        <v>0</v>
      </c>
      <c r="Q1445" s="3">
        <f t="shared" si="386"/>
        <v>8</v>
      </c>
      <c r="R1445" s="3">
        <f>IF(AND($K1445=1,AND(对接源_02物料!$X245="公司筐",N(对接源_02物料!$U245)&lt;&gt;0)),1,0)</f>
        <v>0</v>
      </c>
      <c r="S1445" s="3">
        <f t="shared" si="387"/>
        <v>0</v>
      </c>
      <c r="T1445" s="3">
        <f>IF(AND($K1445=1,AND(对接源_02物料!$X245="公司筐",N(对接源_02物料!$V245)&lt;&gt;0)),1,0)</f>
        <v>0</v>
      </c>
      <c r="U1445" s="3">
        <f t="shared" si="388"/>
        <v>19</v>
      </c>
      <c r="V1445" s="3">
        <f>IF(AND($L1445=1,AND(对接源_02物料!$X245="自备筐",N(对接源_02物料!$V245)&lt;&gt;0)),1,0)</f>
        <v>0</v>
      </c>
      <c r="W1445" s="3">
        <f t="shared" si="389"/>
        <v>8</v>
      </c>
      <c r="X1445" s="3">
        <f>IF(AND($L1445=1,AND(对接源_02物料!$X245="自备筐",N(对接源_02物料!$T245)&lt;&gt;0)),1,0)</f>
        <v>0</v>
      </c>
      <c r="Y1445" s="3">
        <f t="shared" si="390"/>
        <v>0</v>
      </c>
      <c r="Z1445" s="3">
        <f>IF(AND($M1445=1,对接源_02物料!$D245="原料入库"),1,0)</f>
        <v>0</v>
      </c>
      <c r="AA1445" s="3">
        <f t="shared" si="391"/>
        <v>24</v>
      </c>
      <c r="AB1445" s="3">
        <f>IF(AND($M1445=1,LEFT(对接源_02物料!$D245,4)="原料出库"),1,0)</f>
        <v>0</v>
      </c>
      <c r="AC1445" s="3">
        <f t="shared" si="392"/>
        <v>0</v>
      </c>
      <c r="AD1445" s="3">
        <f>IF(AND($M1445=1,LEFT(对接源_02物料!$D245,4)="成品出库"),1,0)</f>
        <v>0</v>
      </c>
      <c r="AE1445" s="3">
        <f t="shared" si="393"/>
        <v>0</v>
      </c>
      <c r="AF1445" s="3">
        <f>IF(AND($N1445=1,AND(LEFT(对接源_02物料!$D245,4)="包装物料",N(对接源_02物料!$K245)&lt;&gt;0)),1,0)</f>
        <v>0</v>
      </c>
      <c r="AG1445" s="3">
        <f t="shared" si="394"/>
        <v>5</v>
      </c>
      <c r="AH1445" s="3">
        <f>IF(AND($N1445=1,AND(对接源_02物料!$D245="周转筐－销售出库",N(对接源_02物料!$K245)&lt;&gt;0)),1,0)</f>
        <v>0</v>
      </c>
      <c r="AI1445" s="3">
        <f t="shared" si="395"/>
        <v>0</v>
      </c>
      <c r="AL1445" s="3">
        <v>0</v>
      </c>
      <c r="AM1445" s="3">
        <f t="shared" si="396"/>
        <v>1</v>
      </c>
      <c r="AN1445" s="3" t="str">
        <f t="shared" si="383"/>
        <v/>
      </c>
      <c r="AO1445" s="3">
        <v>0</v>
      </c>
      <c r="AP1445" s="3">
        <f t="shared" si="397"/>
        <v>8</v>
      </c>
      <c r="AR1445">
        <f t="shared" si="398"/>
        <v>0</v>
      </c>
      <c r="AS1445">
        <f t="shared" si="399"/>
        <v>5</v>
      </c>
    </row>
    <row r="1446" customHeight="1" spans="1:45">
      <c r="A1446" s="3" t="str">
        <f>IF(对接源_02物料!$C246="","",对接源_02物料!$C246)</f>
        <v/>
      </c>
      <c r="B1446" s="3">
        <f t="shared" si="384"/>
        <v>0</v>
      </c>
      <c r="C1446" s="3">
        <f t="shared" si="385"/>
        <v>21</v>
      </c>
      <c r="K1446" s="3">
        <f>IF(OR($K$1="",对接源_02物料!$C246="",对接源_02物料!$C246&lt;&gt;$K$1,对接源_02物料!$B246=""),0,IF(OR(N(对接源_02物料!$B246)&lt;$K$2,N(对接源_02物料!$B246)&gt;$K$3),0,1))</f>
        <v>0</v>
      </c>
      <c r="L1446" s="3">
        <f>IF(OR($L$1="",对接源_02物料!$C246="",对接源_02物料!$C246&lt;&gt;$L$1,对接源_02物料!$B246=""),0,IF(OR(N(对接源_02物料!$B246)&lt;$L$2,N(对接源_02物料!$B246)&gt;$L$3),0,1))</f>
        <v>0</v>
      </c>
      <c r="M1446" s="3">
        <f>IF(OR($M$1="",对接源_02物料!$C246="",对接源_02物料!$C246&lt;&gt;$M$1,对接源_02物料!$B246=""),0,IF(OR(N(对接源_02物料!$B246)&lt;$M$2,N(对接源_02物料!$B246)&gt;$M$3),0,1))</f>
        <v>0</v>
      </c>
      <c r="N1446" s="3">
        <f>IF(OR($N$1="",对接源_02物料!$C246="",对接源_02物料!$C246&lt;&gt;$N$1,对接源_02物料!$B246=""),0,IF(OR(N(对接源_02物料!$B246)&lt;$N$2,N(对接源_02物料!$B246)&gt;$N$3),0,1))</f>
        <v>0</v>
      </c>
      <c r="P1446" s="3">
        <f>IF(AND($K1446=1,AND(对接源_02物料!$X246="公司筐",N(对接源_02物料!$T246)&lt;&gt;0)),1,0)</f>
        <v>0</v>
      </c>
      <c r="Q1446" s="3">
        <f t="shared" si="386"/>
        <v>8</v>
      </c>
      <c r="R1446" s="3">
        <f>IF(AND($K1446=1,AND(对接源_02物料!$X246="公司筐",N(对接源_02物料!$U246)&lt;&gt;0)),1,0)</f>
        <v>0</v>
      </c>
      <c r="S1446" s="3">
        <f t="shared" si="387"/>
        <v>0</v>
      </c>
      <c r="T1446" s="3">
        <f>IF(AND($K1446=1,AND(对接源_02物料!$X246="公司筐",N(对接源_02物料!$V246)&lt;&gt;0)),1,0)</f>
        <v>0</v>
      </c>
      <c r="U1446" s="3">
        <f t="shared" si="388"/>
        <v>19</v>
      </c>
      <c r="V1446" s="3">
        <f>IF(AND($L1446=1,AND(对接源_02物料!$X246="自备筐",N(对接源_02物料!$V246)&lt;&gt;0)),1,0)</f>
        <v>0</v>
      </c>
      <c r="W1446" s="3">
        <f t="shared" si="389"/>
        <v>8</v>
      </c>
      <c r="X1446" s="3">
        <f>IF(AND($L1446=1,AND(对接源_02物料!$X246="自备筐",N(对接源_02物料!$T246)&lt;&gt;0)),1,0)</f>
        <v>0</v>
      </c>
      <c r="Y1446" s="3">
        <f t="shared" si="390"/>
        <v>0</v>
      </c>
      <c r="Z1446" s="3">
        <f>IF(AND($M1446=1,对接源_02物料!$D246="原料入库"),1,0)</f>
        <v>0</v>
      </c>
      <c r="AA1446" s="3">
        <f t="shared" si="391"/>
        <v>24</v>
      </c>
      <c r="AB1446" s="3">
        <f>IF(AND($M1446=1,LEFT(对接源_02物料!$D246,4)="原料出库"),1,0)</f>
        <v>0</v>
      </c>
      <c r="AC1446" s="3">
        <f t="shared" si="392"/>
        <v>0</v>
      </c>
      <c r="AD1446" s="3">
        <f>IF(AND($M1446=1,LEFT(对接源_02物料!$D246,4)="成品出库"),1,0)</f>
        <v>0</v>
      </c>
      <c r="AE1446" s="3">
        <f t="shared" si="393"/>
        <v>0</v>
      </c>
      <c r="AF1446" s="3">
        <f>IF(AND($N1446=1,AND(LEFT(对接源_02物料!$D246,4)="包装物料",N(对接源_02物料!$K246)&lt;&gt;0)),1,0)</f>
        <v>0</v>
      </c>
      <c r="AG1446" s="3">
        <f t="shared" si="394"/>
        <v>5</v>
      </c>
      <c r="AH1446" s="3">
        <f>IF(AND($N1446=1,AND(对接源_02物料!$D246="周转筐－销售出库",N(对接源_02物料!$K246)&lt;&gt;0)),1,0)</f>
        <v>0</v>
      </c>
      <c r="AI1446" s="3">
        <f t="shared" si="395"/>
        <v>0</v>
      </c>
      <c r="AL1446" s="3">
        <v>0</v>
      </c>
      <c r="AM1446" s="3">
        <f t="shared" si="396"/>
        <v>1</v>
      </c>
      <c r="AN1446" s="3" t="str">
        <f t="shared" si="383"/>
        <v/>
      </c>
      <c r="AO1446" s="3">
        <v>0</v>
      </c>
      <c r="AP1446" s="3">
        <f t="shared" si="397"/>
        <v>8</v>
      </c>
      <c r="AR1446">
        <f t="shared" si="398"/>
        <v>0</v>
      </c>
      <c r="AS1446">
        <f t="shared" si="399"/>
        <v>5</v>
      </c>
    </row>
    <row r="1447" customHeight="1" spans="1:45">
      <c r="A1447" s="3" t="str">
        <f>IF(对接源_02物料!$C247="","",对接源_02物料!$C247)</f>
        <v/>
      </c>
      <c r="B1447" s="3">
        <f t="shared" si="384"/>
        <v>0</v>
      </c>
      <c r="C1447" s="3">
        <f t="shared" si="385"/>
        <v>21</v>
      </c>
      <c r="K1447" s="3">
        <f>IF(OR($K$1="",对接源_02物料!$C247="",对接源_02物料!$C247&lt;&gt;$K$1,对接源_02物料!$B247=""),0,IF(OR(N(对接源_02物料!$B247)&lt;$K$2,N(对接源_02物料!$B247)&gt;$K$3),0,1))</f>
        <v>0</v>
      </c>
      <c r="L1447" s="3">
        <f>IF(OR($L$1="",对接源_02物料!$C247="",对接源_02物料!$C247&lt;&gt;$L$1,对接源_02物料!$B247=""),0,IF(OR(N(对接源_02物料!$B247)&lt;$L$2,N(对接源_02物料!$B247)&gt;$L$3),0,1))</f>
        <v>0</v>
      </c>
      <c r="M1447" s="3">
        <f>IF(OR($M$1="",对接源_02物料!$C247="",对接源_02物料!$C247&lt;&gt;$M$1,对接源_02物料!$B247=""),0,IF(OR(N(对接源_02物料!$B247)&lt;$M$2,N(对接源_02物料!$B247)&gt;$M$3),0,1))</f>
        <v>0</v>
      </c>
      <c r="N1447" s="3">
        <f>IF(OR($N$1="",对接源_02物料!$C247="",对接源_02物料!$C247&lt;&gt;$N$1,对接源_02物料!$B247=""),0,IF(OR(N(对接源_02物料!$B247)&lt;$N$2,N(对接源_02物料!$B247)&gt;$N$3),0,1))</f>
        <v>0</v>
      </c>
      <c r="P1447" s="3">
        <f>IF(AND($K1447=1,AND(对接源_02物料!$X247="公司筐",N(对接源_02物料!$T247)&lt;&gt;0)),1,0)</f>
        <v>0</v>
      </c>
      <c r="Q1447" s="3">
        <f t="shared" si="386"/>
        <v>8</v>
      </c>
      <c r="R1447" s="3">
        <f>IF(AND($K1447=1,AND(对接源_02物料!$X247="公司筐",N(对接源_02物料!$U247)&lt;&gt;0)),1,0)</f>
        <v>0</v>
      </c>
      <c r="S1447" s="3">
        <f t="shared" si="387"/>
        <v>0</v>
      </c>
      <c r="T1447" s="3">
        <f>IF(AND($K1447=1,AND(对接源_02物料!$X247="公司筐",N(对接源_02物料!$V247)&lt;&gt;0)),1,0)</f>
        <v>0</v>
      </c>
      <c r="U1447" s="3">
        <f t="shared" si="388"/>
        <v>19</v>
      </c>
      <c r="V1447" s="3">
        <f>IF(AND($L1447=1,AND(对接源_02物料!$X247="自备筐",N(对接源_02物料!$V247)&lt;&gt;0)),1,0)</f>
        <v>0</v>
      </c>
      <c r="W1447" s="3">
        <f t="shared" si="389"/>
        <v>8</v>
      </c>
      <c r="X1447" s="3">
        <f>IF(AND($L1447=1,AND(对接源_02物料!$X247="自备筐",N(对接源_02物料!$T247)&lt;&gt;0)),1,0)</f>
        <v>0</v>
      </c>
      <c r="Y1447" s="3">
        <f t="shared" si="390"/>
        <v>0</v>
      </c>
      <c r="Z1447" s="3">
        <f>IF(AND($M1447=1,对接源_02物料!$D247="原料入库"),1,0)</f>
        <v>0</v>
      </c>
      <c r="AA1447" s="3">
        <f t="shared" si="391"/>
        <v>24</v>
      </c>
      <c r="AB1447" s="3">
        <f>IF(AND($M1447=1,LEFT(对接源_02物料!$D247,4)="原料出库"),1,0)</f>
        <v>0</v>
      </c>
      <c r="AC1447" s="3">
        <f t="shared" si="392"/>
        <v>0</v>
      </c>
      <c r="AD1447" s="3">
        <f>IF(AND($M1447=1,LEFT(对接源_02物料!$D247,4)="成品出库"),1,0)</f>
        <v>0</v>
      </c>
      <c r="AE1447" s="3">
        <f t="shared" si="393"/>
        <v>0</v>
      </c>
      <c r="AF1447" s="3">
        <f>IF(AND($N1447=1,AND(LEFT(对接源_02物料!$D247,4)="包装物料",N(对接源_02物料!$K247)&lt;&gt;0)),1,0)</f>
        <v>0</v>
      </c>
      <c r="AG1447" s="3">
        <f t="shared" si="394"/>
        <v>5</v>
      </c>
      <c r="AH1447" s="3">
        <f>IF(AND($N1447=1,AND(对接源_02物料!$D247="周转筐－销售出库",N(对接源_02物料!$K247)&lt;&gt;0)),1,0)</f>
        <v>0</v>
      </c>
      <c r="AI1447" s="3">
        <f t="shared" si="395"/>
        <v>0</v>
      </c>
      <c r="AL1447" s="3">
        <v>0</v>
      </c>
      <c r="AM1447" s="3">
        <f t="shared" si="396"/>
        <v>1</v>
      </c>
      <c r="AN1447" s="3" t="str">
        <f t="shared" si="383"/>
        <v/>
      </c>
      <c r="AO1447" s="3">
        <v>0</v>
      </c>
      <c r="AP1447" s="3">
        <f t="shared" si="397"/>
        <v>8</v>
      </c>
      <c r="AR1447">
        <f t="shared" si="398"/>
        <v>0</v>
      </c>
      <c r="AS1447">
        <f t="shared" si="399"/>
        <v>5</v>
      </c>
    </row>
    <row r="1448" customHeight="1" spans="1:45">
      <c r="A1448" s="3" t="str">
        <f>IF(对接源_02物料!$C248="","",对接源_02物料!$C248)</f>
        <v/>
      </c>
      <c r="B1448" s="3">
        <f t="shared" si="384"/>
        <v>0</v>
      </c>
      <c r="C1448" s="3">
        <f t="shared" si="385"/>
        <v>21</v>
      </c>
      <c r="K1448" s="3">
        <f>IF(OR($K$1="",对接源_02物料!$C248="",对接源_02物料!$C248&lt;&gt;$K$1,对接源_02物料!$B248=""),0,IF(OR(N(对接源_02物料!$B248)&lt;$K$2,N(对接源_02物料!$B248)&gt;$K$3),0,1))</f>
        <v>0</v>
      </c>
      <c r="L1448" s="3">
        <f>IF(OR($L$1="",对接源_02物料!$C248="",对接源_02物料!$C248&lt;&gt;$L$1,对接源_02物料!$B248=""),0,IF(OR(N(对接源_02物料!$B248)&lt;$L$2,N(对接源_02物料!$B248)&gt;$L$3),0,1))</f>
        <v>0</v>
      </c>
      <c r="M1448" s="3">
        <f>IF(OR($M$1="",对接源_02物料!$C248="",对接源_02物料!$C248&lt;&gt;$M$1,对接源_02物料!$B248=""),0,IF(OR(N(对接源_02物料!$B248)&lt;$M$2,N(对接源_02物料!$B248)&gt;$M$3),0,1))</f>
        <v>0</v>
      </c>
      <c r="N1448" s="3">
        <f>IF(OR($N$1="",对接源_02物料!$C248="",对接源_02物料!$C248&lt;&gt;$N$1,对接源_02物料!$B248=""),0,IF(OR(N(对接源_02物料!$B248)&lt;$N$2,N(对接源_02物料!$B248)&gt;$N$3),0,1))</f>
        <v>0</v>
      </c>
      <c r="P1448" s="3">
        <f>IF(AND($K1448=1,AND(对接源_02物料!$X248="公司筐",N(对接源_02物料!$T248)&lt;&gt;0)),1,0)</f>
        <v>0</v>
      </c>
      <c r="Q1448" s="3">
        <f t="shared" si="386"/>
        <v>8</v>
      </c>
      <c r="R1448" s="3">
        <f>IF(AND($K1448=1,AND(对接源_02物料!$X248="公司筐",N(对接源_02物料!$U248)&lt;&gt;0)),1,0)</f>
        <v>0</v>
      </c>
      <c r="S1448" s="3">
        <f t="shared" si="387"/>
        <v>0</v>
      </c>
      <c r="T1448" s="3">
        <f>IF(AND($K1448=1,AND(对接源_02物料!$X248="公司筐",N(对接源_02物料!$V248)&lt;&gt;0)),1,0)</f>
        <v>0</v>
      </c>
      <c r="U1448" s="3">
        <f t="shared" si="388"/>
        <v>19</v>
      </c>
      <c r="V1448" s="3">
        <f>IF(AND($L1448=1,AND(对接源_02物料!$X248="自备筐",N(对接源_02物料!$V248)&lt;&gt;0)),1,0)</f>
        <v>0</v>
      </c>
      <c r="W1448" s="3">
        <f t="shared" si="389"/>
        <v>8</v>
      </c>
      <c r="X1448" s="3">
        <f>IF(AND($L1448=1,AND(对接源_02物料!$X248="自备筐",N(对接源_02物料!$T248)&lt;&gt;0)),1,0)</f>
        <v>0</v>
      </c>
      <c r="Y1448" s="3">
        <f t="shared" si="390"/>
        <v>0</v>
      </c>
      <c r="Z1448" s="3">
        <f>IF(AND($M1448=1,对接源_02物料!$D248="原料入库"),1,0)</f>
        <v>0</v>
      </c>
      <c r="AA1448" s="3">
        <f t="shared" si="391"/>
        <v>24</v>
      </c>
      <c r="AB1448" s="3">
        <f>IF(AND($M1448=1,LEFT(对接源_02物料!$D248,4)="原料出库"),1,0)</f>
        <v>0</v>
      </c>
      <c r="AC1448" s="3">
        <f t="shared" si="392"/>
        <v>0</v>
      </c>
      <c r="AD1448" s="3">
        <f>IF(AND($M1448=1,LEFT(对接源_02物料!$D248,4)="成品出库"),1,0)</f>
        <v>0</v>
      </c>
      <c r="AE1448" s="3">
        <f t="shared" si="393"/>
        <v>0</v>
      </c>
      <c r="AF1448" s="3">
        <f>IF(AND($N1448=1,AND(LEFT(对接源_02物料!$D248,4)="包装物料",N(对接源_02物料!$K248)&lt;&gt;0)),1,0)</f>
        <v>0</v>
      </c>
      <c r="AG1448" s="3">
        <f t="shared" si="394"/>
        <v>5</v>
      </c>
      <c r="AH1448" s="3">
        <f>IF(AND($N1448=1,AND(对接源_02物料!$D248="周转筐－销售出库",N(对接源_02物料!$K248)&lt;&gt;0)),1,0)</f>
        <v>0</v>
      </c>
      <c r="AI1448" s="3">
        <f t="shared" si="395"/>
        <v>0</v>
      </c>
      <c r="AL1448" s="3">
        <v>0</v>
      </c>
      <c r="AM1448" s="3">
        <f t="shared" si="396"/>
        <v>1</v>
      </c>
      <c r="AN1448" s="3" t="str">
        <f t="shared" si="383"/>
        <v/>
      </c>
      <c r="AO1448" s="3">
        <v>0</v>
      </c>
      <c r="AP1448" s="3">
        <f t="shared" si="397"/>
        <v>8</v>
      </c>
      <c r="AR1448">
        <f t="shared" si="398"/>
        <v>0</v>
      </c>
      <c r="AS1448">
        <f t="shared" si="399"/>
        <v>5</v>
      </c>
    </row>
    <row r="1449" customHeight="1" spans="1:45">
      <c r="A1449" s="3" t="str">
        <f>IF(对接源_02物料!$C249="","",对接源_02物料!$C249)</f>
        <v/>
      </c>
      <c r="B1449" s="3">
        <f t="shared" si="384"/>
        <v>0</v>
      </c>
      <c r="C1449" s="3">
        <f t="shared" si="385"/>
        <v>21</v>
      </c>
      <c r="K1449" s="3">
        <f>IF(OR($K$1="",对接源_02物料!$C249="",对接源_02物料!$C249&lt;&gt;$K$1,对接源_02物料!$B249=""),0,IF(OR(N(对接源_02物料!$B249)&lt;$K$2,N(对接源_02物料!$B249)&gt;$K$3),0,1))</f>
        <v>0</v>
      </c>
      <c r="L1449" s="3">
        <f>IF(OR($L$1="",对接源_02物料!$C249="",对接源_02物料!$C249&lt;&gt;$L$1,对接源_02物料!$B249=""),0,IF(OR(N(对接源_02物料!$B249)&lt;$L$2,N(对接源_02物料!$B249)&gt;$L$3),0,1))</f>
        <v>0</v>
      </c>
      <c r="M1449" s="3">
        <f>IF(OR($M$1="",对接源_02物料!$C249="",对接源_02物料!$C249&lt;&gt;$M$1,对接源_02物料!$B249=""),0,IF(OR(N(对接源_02物料!$B249)&lt;$M$2,N(对接源_02物料!$B249)&gt;$M$3),0,1))</f>
        <v>0</v>
      </c>
      <c r="N1449" s="3">
        <f>IF(OR($N$1="",对接源_02物料!$C249="",对接源_02物料!$C249&lt;&gt;$N$1,对接源_02物料!$B249=""),0,IF(OR(N(对接源_02物料!$B249)&lt;$N$2,N(对接源_02物料!$B249)&gt;$N$3),0,1))</f>
        <v>0</v>
      </c>
      <c r="P1449" s="3">
        <f>IF(AND($K1449=1,AND(对接源_02物料!$X249="公司筐",N(对接源_02物料!$T249)&lt;&gt;0)),1,0)</f>
        <v>0</v>
      </c>
      <c r="Q1449" s="3">
        <f t="shared" si="386"/>
        <v>8</v>
      </c>
      <c r="R1449" s="3">
        <f>IF(AND($K1449=1,AND(对接源_02物料!$X249="公司筐",N(对接源_02物料!$U249)&lt;&gt;0)),1,0)</f>
        <v>0</v>
      </c>
      <c r="S1449" s="3">
        <f t="shared" si="387"/>
        <v>0</v>
      </c>
      <c r="T1449" s="3">
        <f>IF(AND($K1449=1,AND(对接源_02物料!$X249="公司筐",N(对接源_02物料!$V249)&lt;&gt;0)),1,0)</f>
        <v>0</v>
      </c>
      <c r="U1449" s="3">
        <f t="shared" si="388"/>
        <v>19</v>
      </c>
      <c r="V1449" s="3">
        <f>IF(AND($L1449=1,AND(对接源_02物料!$X249="自备筐",N(对接源_02物料!$V249)&lt;&gt;0)),1,0)</f>
        <v>0</v>
      </c>
      <c r="W1449" s="3">
        <f t="shared" si="389"/>
        <v>8</v>
      </c>
      <c r="X1449" s="3">
        <f>IF(AND($L1449=1,AND(对接源_02物料!$X249="自备筐",N(对接源_02物料!$T249)&lt;&gt;0)),1,0)</f>
        <v>0</v>
      </c>
      <c r="Y1449" s="3">
        <f t="shared" si="390"/>
        <v>0</v>
      </c>
      <c r="Z1449" s="3">
        <f>IF(AND($M1449=1,对接源_02物料!$D249="原料入库"),1,0)</f>
        <v>0</v>
      </c>
      <c r="AA1449" s="3">
        <f t="shared" si="391"/>
        <v>24</v>
      </c>
      <c r="AB1449" s="3">
        <f>IF(AND($M1449=1,LEFT(对接源_02物料!$D249,4)="原料出库"),1,0)</f>
        <v>0</v>
      </c>
      <c r="AC1449" s="3">
        <f t="shared" si="392"/>
        <v>0</v>
      </c>
      <c r="AD1449" s="3">
        <f>IF(AND($M1449=1,LEFT(对接源_02物料!$D249,4)="成品出库"),1,0)</f>
        <v>0</v>
      </c>
      <c r="AE1449" s="3">
        <f t="shared" si="393"/>
        <v>0</v>
      </c>
      <c r="AF1449" s="3">
        <f>IF(AND($N1449=1,AND(LEFT(对接源_02物料!$D249,4)="包装物料",N(对接源_02物料!$K249)&lt;&gt;0)),1,0)</f>
        <v>0</v>
      </c>
      <c r="AG1449" s="3">
        <f t="shared" si="394"/>
        <v>5</v>
      </c>
      <c r="AH1449" s="3">
        <f>IF(AND($N1449=1,AND(对接源_02物料!$D249="周转筐－销售出库",N(对接源_02物料!$K249)&lt;&gt;0)),1,0)</f>
        <v>0</v>
      </c>
      <c r="AI1449" s="3">
        <f t="shared" si="395"/>
        <v>0</v>
      </c>
      <c r="AL1449" s="3">
        <v>0</v>
      </c>
      <c r="AM1449" s="3">
        <f t="shared" si="396"/>
        <v>1</v>
      </c>
      <c r="AN1449" s="3" t="str">
        <f t="shared" si="383"/>
        <v/>
      </c>
      <c r="AO1449" s="3">
        <v>0</v>
      </c>
      <c r="AP1449" s="3">
        <f t="shared" si="397"/>
        <v>8</v>
      </c>
      <c r="AR1449">
        <f t="shared" si="398"/>
        <v>0</v>
      </c>
      <c r="AS1449">
        <f t="shared" si="399"/>
        <v>5</v>
      </c>
    </row>
    <row r="1450" customHeight="1" spans="1:45">
      <c r="A1450" s="3" t="str">
        <f>IF(对接源_02物料!$C250="","",对接源_02物料!$C250)</f>
        <v/>
      </c>
      <c r="B1450" s="3">
        <f t="shared" si="384"/>
        <v>0</v>
      </c>
      <c r="C1450" s="3">
        <f t="shared" si="385"/>
        <v>21</v>
      </c>
      <c r="K1450" s="3">
        <f>IF(OR($K$1="",对接源_02物料!$C250="",对接源_02物料!$C250&lt;&gt;$K$1,对接源_02物料!$B250=""),0,IF(OR(N(对接源_02物料!$B250)&lt;$K$2,N(对接源_02物料!$B250)&gt;$K$3),0,1))</f>
        <v>0</v>
      </c>
      <c r="L1450" s="3">
        <f>IF(OR($L$1="",对接源_02物料!$C250="",对接源_02物料!$C250&lt;&gt;$L$1,对接源_02物料!$B250=""),0,IF(OR(N(对接源_02物料!$B250)&lt;$L$2,N(对接源_02物料!$B250)&gt;$L$3),0,1))</f>
        <v>0</v>
      </c>
      <c r="M1450" s="3">
        <f>IF(OR($M$1="",对接源_02物料!$C250="",对接源_02物料!$C250&lt;&gt;$M$1,对接源_02物料!$B250=""),0,IF(OR(N(对接源_02物料!$B250)&lt;$M$2,N(对接源_02物料!$B250)&gt;$M$3),0,1))</f>
        <v>0</v>
      </c>
      <c r="N1450" s="3">
        <f>IF(OR($N$1="",对接源_02物料!$C250="",对接源_02物料!$C250&lt;&gt;$N$1,对接源_02物料!$B250=""),0,IF(OR(N(对接源_02物料!$B250)&lt;$N$2,N(对接源_02物料!$B250)&gt;$N$3),0,1))</f>
        <v>0</v>
      </c>
      <c r="P1450" s="3">
        <f>IF(AND($K1450=1,AND(对接源_02物料!$X250="公司筐",N(对接源_02物料!$T250)&lt;&gt;0)),1,0)</f>
        <v>0</v>
      </c>
      <c r="Q1450" s="3">
        <f t="shared" si="386"/>
        <v>8</v>
      </c>
      <c r="R1450" s="3">
        <f>IF(AND($K1450=1,AND(对接源_02物料!$X250="公司筐",N(对接源_02物料!$U250)&lt;&gt;0)),1,0)</f>
        <v>0</v>
      </c>
      <c r="S1450" s="3">
        <f t="shared" si="387"/>
        <v>0</v>
      </c>
      <c r="T1450" s="3">
        <f>IF(AND($K1450=1,AND(对接源_02物料!$X250="公司筐",N(对接源_02物料!$V250)&lt;&gt;0)),1,0)</f>
        <v>0</v>
      </c>
      <c r="U1450" s="3">
        <f t="shared" si="388"/>
        <v>19</v>
      </c>
      <c r="V1450" s="3">
        <f>IF(AND($L1450=1,AND(对接源_02物料!$X250="自备筐",N(对接源_02物料!$V250)&lt;&gt;0)),1,0)</f>
        <v>0</v>
      </c>
      <c r="W1450" s="3">
        <f t="shared" si="389"/>
        <v>8</v>
      </c>
      <c r="X1450" s="3">
        <f>IF(AND($L1450=1,AND(对接源_02物料!$X250="自备筐",N(对接源_02物料!$T250)&lt;&gt;0)),1,0)</f>
        <v>0</v>
      </c>
      <c r="Y1450" s="3">
        <f t="shared" si="390"/>
        <v>0</v>
      </c>
      <c r="Z1450" s="3">
        <f>IF(AND($M1450=1,对接源_02物料!$D250="原料入库"),1,0)</f>
        <v>0</v>
      </c>
      <c r="AA1450" s="3">
        <f t="shared" si="391"/>
        <v>24</v>
      </c>
      <c r="AB1450" s="3">
        <f>IF(AND($M1450=1,LEFT(对接源_02物料!$D250,4)="原料出库"),1,0)</f>
        <v>0</v>
      </c>
      <c r="AC1450" s="3">
        <f t="shared" si="392"/>
        <v>0</v>
      </c>
      <c r="AD1450" s="3">
        <f>IF(AND($M1450=1,LEFT(对接源_02物料!$D250,4)="成品出库"),1,0)</f>
        <v>0</v>
      </c>
      <c r="AE1450" s="3">
        <f t="shared" si="393"/>
        <v>0</v>
      </c>
      <c r="AF1450" s="3">
        <f>IF(AND($N1450=1,AND(LEFT(对接源_02物料!$D250,4)="包装物料",N(对接源_02物料!$K250)&lt;&gt;0)),1,0)</f>
        <v>0</v>
      </c>
      <c r="AG1450" s="3">
        <f t="shared" si="394"/>
        <v>5</v>
      </c>
      <c r="AH1450" s="3">
        <f>IF(AND($N1450=1,AND(对接源_02物料!$D250="周转筐－销售出库",N(对接源_02物料!$K250)&lt;&gt;0)),1,0)</f>
        <v>0</v>
      </c>
      <c r="AI1450" s="3">
        <f t="shared" si="395"/>
        <v>0</v>
      </c>
      <c r="AL1450" s="3">
        <v>0</v>
      </c>
      <c r="AM1450" s="3">
        <f t="shared" si="396"/>
        <v>1</v>
      </c>
      <c r="AN1450" s="3" t="str">
        <f t="shared" si="383"/>
        <v/>
      </c>
      <c r="AO1450" s="3">
        <v>0</v>
      </c>
      <c r="AP1450" s="3">
        <f t="shared" si="397"/>
        <v>8</v>
      </c>
      <c r="AR1450">
        <f t="shared" si="398"/>
        <v>0</v>
      </c>
      <c r="AS1450">
        <f t="shared" si="399"/>
        <v>5</v>
      </c>
    </row>
    <row r="1451" customHeight="1" spans="1:45">
      <c r="A1451" s="3" t="str">
        <f>IF(对接源_02物料!$C251="","",对接源_02物料!$C251)</f>
        <v/>
      </c>
      <c r="B1451" s="3">
        <f t="shared" si="384"/>
        <v>0</v>
      </c>
      <c r="C1451" s="3">
        <f t="shared" si="385"/>
        <v>21</v>
      </c>
      <c r="K1451" s="3">
        <f>IF(OR($K$1="",对接源_02物料!$C251="",对接源_02物料!$C251&lt;&gt;$K$1,对接源_02物料!$B251=""),0,IF(OR(N(对接源_02物料!$B251)&lt;$K$2,N(对接源_02物料!$B251)&gt;$K$3),0,1))</f>
        <v>0</v>
      </c>
      <c r="L1451" s="3">
        <f>IF(OR($L$1="",对接源_02物料!$C251="",对接源_02物料!$C251&lt;&gt;$L$1,对接源_02物料!$B251=""),0,IF(OR(N(对接源_02物料!$B251)&lt;$L$2,N(对接源_02物料!$B251)&gt;$L$3),0,1))</f>
        <v>0</v>
      </c>
      <c r="M1451" s="3">
        <f>IF(OR($M$1="",对接源_02物料!$C251="",对接源_02物料!$C251&lt;&gt;$M$1,对接源_02物料!$B251=""),0,IF(OR(N(对接源_02物料!$B251)&lt;$M$2,N(对接源_02物料!$B251)&gt;$M$3),0,1))</f>
        <v>0</v>
      </c>
      <c r="N1451" s="3">
        <f>IF(OR($N$1="",对接源_02物料!$C251="",对接源_02物料!$C251&lt;&gt;$N$1,对接源_02物料!$B251=""),0,IF(OR(N(对接源_02物料!$B251)&lt;$N$2,N(对接源_02物料!$B251)&gt;$N$3),0,1))</f>
        <v>0</v>
      </c>
      <c r="P1451" s="3">
        <f>IF(AND($K1451=1,AND(对接源_02物料!$X251="公司筐",N(对接源_02物料!$T251)&lt;&gt;0)),1,0)</f>
        <v>0</v>
      </c>
      <c r="Q1451" s="3">
        <f t="shared" si="386"/>
        <v>8</v>
      </c>
      <c r="R1451" s="3">
        <f>IF(AND($K1451=1,AND(对接源_02物料!$X251="公司筐",N(对接源_02物料!$U251)&lt;&gt;0)),1,0)</f>
        <v>0</v>
      </c>
      <c r="S1451" s="3">
        <f t="shared" si="387"/>
        <v>0</v>
      </c>
      <c r="T1451" s="3">
        <f>IF(AND($K1451=1,AND(对接源_02物料!$X251="公司筐",N(对接源_02物料!$V251)&lt;&gt;0)),1,0)</f>
        <v>0</v>
      </c>
      <c r="U1451" s="3">
        <f t="shared" si="388"/>
        <v>19</v>
      </c>
      <c r="V1451" s="3">
        <f>IF(AND($L1451=1,AND(对接源_02物料!$X251="自备筐",N(对接源_02物料!$V251)&lt;&gt;0)),1,0)</f>
        <v>0</v>
      </c>
      <c r="W1451" s="3">
        <f t="shared" si="389"/>
        <v>8</v>
      </c>
      <c r="X1451" s="3">
        <f>IF(AND($L1451=1,AND(对接源_02物料!$X251="自备筐",N(对接源_02物料!$T251)&lt;&gt;0)),1,0)</f>
        <v>0</v>
      </c>
      <c r="Y1451" s="3">
        <f t="shared" si="390"/>
        <v>0</v>
      </c>
      <c r="Z1451" s="3">
        <f>IF(AND($M1451=1,对接源_02物料!$D251="原料入库"),1,0)</f>
        <v>0</v>
      </c>
      <c r="AA1451" s="3">
        <f t="shared" si="391"/>
        <v>24</v>
      </c>
      <c r="AB1451" s="3">
        <f>IF(AND($M1451=1,LEFT(对接源_02物料!$D251,4)="原料出库"),1,0)</f>
        <v>0</v>
      </c>
      <c r="AC1451" s="3">
        <f t="shared" si="392"/>
        <v>0</v>
      </c>
      <c r="AD1451" s="3">
        <f>IF(AND($M1451=1,LEFT(对接源_02物料!$D251,4)="成品出库"),1,0)</f>
        <v>0</v>
      </c>
      <c r="AE1451" s="3">
        <f t="shared" si="393"/>
        <v>0</v>
      </c>
      <c r="AF1451" s="3">
        <f>IF(AND($N1451=1,AND(LEFT(对接源_02物料!$D251,4)="包装物料",N(对接源_02物料!$K251)&lt;&gt;0)),1,0)</f>
        <v>0</v>
      </c>
      <c r="AG1451" s="3">
        <f t="shared" si="394"/>
        <v>5</v>
      </c>
      <c r="AH1451" s="3">
        <f>IF(AND($N1451=1,AND(对接源_02物料!$D251="周转筐－销售出库",N(对接源_02物料!$K251)&lt;&gt;0)),1,0)</f>
        <v>0</v>
      </c>
      <c r="AI1451" s="3">
        <f t="shared" si="395"/>
        <v>0</v>
      </c>
      <c r="AL1451" s="3">
        <v>0</v>
      </c>
      <c r="AM1451" s="3">
        <f t="shared" si="396"/>
        <v>1</v>
      </c>
      <c r="AN1451" s="3" t="str">
        <f t="shared" si="383"/>
        <v/>
      </c>
      <c r="AO1451" s="3">
        <v>0</v>
      </c>
      <c r="AP1451" s="3">
        <f t="shared" si="397"/>
        <v>8</v>
      </c>
      <c r="AR1451">
        <f t="shared" si="398"/>
        <v>0</v>
      </c>
      <c r="AS1451">
        <f t="shared" si="399"/>
        <v>5</v>
      </c>
    </row>
    <row r="1452" customHeight="1" spans="1:45">
      <c r="A1452" s="3" t="str">
        <f>IF(对接源_02物料!$C252="","",对接源_02物料!$C252)</f>
        <v/>
      </c>
      <c r="B1452" s="3">
        <f t="shared" si="384"/>
        <v>0</v>
      </c>
      <c r="C1452" s="3">
        <f t="shared" si="385"/>
        <v>21</v>
      </c>
      <c r="K1452" s="3">
        <f>IF(OR($K$1="",对接源_02物料!$C252="",对接源_02物料!$C252&lt;&gt;$K$1,对接源_02物料!$B252=""),0,IF(OR(N(对接源_02物料!$B252)&lt;$K$2,N(对接源_02物料!$B252)&gt;$K$3),0,1))</f>
        <v>0</v>
      </c>
      <c r="L1452" s="3">
        <f>IF(OR($L$1="",对接源_02物料!$C252="",对接源_02物料!$C252&lt;&gt;$L$1,对接源_02物料!$B252=""),0,IF(OR(N(对接源_02物料!$B252)&lt;$L$2,N(对接源_02物料!$B252)&gt;$L$3),0,1))</f>
        <v>0</v>
      </c>
      <c r="M1452" s="3">
        <f>IF(OR($M$1="",对接源_02物料!$C252="",对接源_02物料!$C252&lt;&gt;$M$1,对接源_02物料!$B252=""),0,IF(OR(N(对接源_02物料!$B252)&lt;$M$2,N(对接源_02物料!$B252)&gt;$M$3),0,1))</f>
        <v>0</v>
      </c>
      <c r="N1452" s="3">
        <f>IF(OR($N$1="",对接源_02物料!$C252="",对接源_02物料!$C252&lt;&gt;$N$1,对接源_02物料!$B252=""),0,IF(OR(N(对接源_02物料!$B252)&lt;$N$2,N(对接源_02物料!$B252)&gt;$N$3),0,1))</f>
        <v>0</v>
      </c>
      <c r="P1452" s="3">
        <f>IF(AND($K1452=1,AND(对接源_02物料!$X252="公司筐",N(对接源_02物料!$T252)&lt;&gt;0)),1,0)</f>
        <v>0</v>
      </c>
      <c r="Q1452" s="3">
        <f t="shared" si="386"/>
        <v>8</v>
      </c>
      <c r="R1452" s="3">
        <f>IF(AND($K1452=1,AND(对接源_02物料!$X252="公司筐",N(对接源_02物料!$U252)&lt;&gt;0)),1,0)</f>
        <v>0</v>
      </c>
      <c r="S1452" s="3">
        <f t="shared" si="387"/>
        <v>0</v>
      </c>
      <c r="T1452" s="3">
        <f>IF(AND($K1452=1,AND(对接源_02物料!$X252="公司筐",N(对接源_02物料!$V252)&lt;&gt;0)),1,0)</f>
        <v>0</v>
      </c>
      <c r="U1452" s="3">
        <f t="shared" si="388"/>
        <v>19</v>
      </c>
      <c r="V1452" s="3">
        <f>IF(AND($L1452=1,AND(对接源_02物料!$X252="自备筐",N(对接源_02物料!$V252)&lt;&gt;0)),1,0)</f>
        <v>0</v>
      </c>
      <c r="W1452" s="3">
        <f t="shared" si="389"/>
        <v>8</v>
      </c>
      <c r="X1452" s="3">
        <f>IF(AND($L1452=1,AND(对接源_02物料!$X252="自备筐",N(对接源_02物料!$T252)&lt;&gt;0)),1,0)</f>
        <v>0</v>
      </c>
      <c r="Y1452" s="3">
        <f t="shared" si="390"/>
        <v>0</v>
      </c>
      <c r="Z1452" s="3">
        <f>IF(AND($M1452=1,对接源_02物料!$D252="原料入库"),1,0)</f>
        <v>0</v>
      </c>
      <c r="AA1452" s="3">
        <f t="shared" si="391"/>
        <v>24</v>
      </c>
      <c r="AB1452" s="3">
        <f>IF(AND($M1452=1,LEFT(对接源_02物料!$D252,4)="原料出库"),1,0)</f>
        <v>0</v>
      </c>
      <c r="AC1452" s="3">
        <f t="shared" si="392"/>
        <v>0</v>
      </c>
      <c r="AD1452" s="3">
        <f>IF(AND($M1452=1,LEFT(对接源_02物料!$D252,4)="成品出库"),1,0)</f>
        <v>0</v>
      </c>
      <c r="AE1452" s="3">
        <f t="shared" si="393"/>
        <v>0</v>
      </c>
      <c r="AF1452" s="3">
        <f>IF(AND($N1452=1,AND(LEFT(对接源_02物料!$D252,4)="包装物料",N(对接源_02物料!$K252)&lt;&gt;0)),1,0)</f>
        <v>0</v>
      </c>
      <c r="AG1452" s="3">
        <f t="shared" si="394"/>
        <v>5</v>
      </c>
      <c r="AH1452" s="3">
        <f>IF(AND($N1452=1,AND(对接源_02物料!$D252="周转筐－销售出库",N(对接源_02物料!$K252)&lt;&gt;0)),1,0)</f>
        <v>0</v>
      </c>
      <c r="AI1452" s="3">
        <f t="shared" si="395"/>
        <v>0</v>
      </c>
      <c r="AL1452" s="3">
        <v>0</v>
      </c>
      <c r="AM1452" s="3">
        <f t="shared" si="396"/>
        <v>1</v>
      </c>
      <c r="AN1452" s="3" t="str">
        <f t="shared" si="383"/>
        <v/>
      </c>
      <c r="AO1452" s="3">
        <v>0</v>
      </c>
      <c r="AP1452" s="3">
        <f t="shared" si="397"/>
        <v>8</v>
      </c>
      <c r="AR1452">
        <f t="shared" si="398"/>
        <v>0</v>
      </c>
      <c r="AS1452">
        <f t="shared" si="399"/>
        <v>5</v>
      </c>
    </row>
    <row r="1453" customHeight="1" spans="1:45">
      <c r="A1453" s="3" t="str">
        <f>IF(对接源_02物料!$C253="","",对接源_02物料!$C253)</f>
        <v/>
      </c>
      <c r="B1453" s="3">
        <f t="shared" si="384"/>
        <v>0</v>
      </c>
      <c r="C1453" s="3">
        <f t="shared" si="385"/>
        <v>21</v>
      </c>
      <c r="K1453" s="3">
        <f>IF(OR($K$1="",对接源_02物料!$C253="",对接源_02物料!$C253&lt;&gt;$K$1,对接源_02物料!$B253=""),0,IF(OR(N(对接源_02物料!$B253)&lt;$K$2,N(对接源_02物料!$B253)&gt;$K$3),0,1))</f>
        <v>0</v>
      </c>
      <c r="L1453" s="3">
        <f>IF(OR($L$1="",对接源_02物料!$C253="",对接源_02物料!$C253&lt;&gt;$L$1,对接源_02物料!$B253=""),0,IF(OR(N(对接源_02物料!$B253)&lt;$L$2,N(对接源_02物料!$B253)&gt;$L$3),0,1))</f>
        <v>0</v>
      </c>
      <c r="M1453" s="3">
        <f>IF(OR($M$1="",对接源_02物料!$C253="",对接源_02物料!$C253&lt;&gt;$M$1,对接源_02物料!$B253=""),0,IF(OR(N(对接源_02物料!$B253)&lt;$M$2,N(对接源_02物料!$B253)&gt;$M$3),0,1))</f>
        <v>0</v>
      </c>
      <c r="N1453" s="3">
        <f>IF(OR($N$1="",对接源_02物料!$C253="",对接源_02物料!$C253&lt;&gt;$N$1,对接源_02物料!$B253=""),0,IF(OR(N(对接源_02物料!$B253)&lt;$N$2,N(对接源_02物料!$B253)&gt;$N$3),0,1))</f>
        <v>0</v>
      </c>
      <c r="P1453" s="3">
        <f>IF(AND($K1453=1,AND(对接源_02物料!$X253="公司筐",N(对接源_02物料!$T253)&lt;&gt;0)),1,0)</f>
        <v>0</v>
      </c>
      <c r="Q1453" s="3">
        <f t="shared" si="386"/>
        <v>8</v>
      </c>
      <c r="R1453" s="3">
        <f>IF(AND($K1453=1,AND(对接源_02物料!$X253="公司筐",N(对接源_02物料!$U253)&lt;&gt;0)),1,0)</f>
        <v>0</v>
      </c>
      <c r="S1453" s="3">
        <f t="shared" si="387"/>
        <v>0</v>
      </c>
      <c r="T1453" s="3">
        <f>IF(AND($K1453=1,AND(对接源_02物料!$X253="公司筐",N(对接源_02物料!$V253)&lt;&gt;0)),1,0)</f>
        <v>0</v>
      </c>
      <c r="U1453" s="3">
        <f t="shared" si="388"/>
        <v>19</v>
      </c>
      <c r="V1453" s="3">
        <f>IF(AND($L1453=1,AND(对接源_02物料!$X253="自备筐",N(对接源_02物料!$V253)&lt;&gt;0)),1,0)</f>
        <v>0</v>
      </c>
      <c r="W1453" s="3">
        <f t="shared" si="389"/>
        <v>8</v>
      </c>
      <c r="X1453" s="3">
        <f>IF(AND($L1453=1,AND(对接源_02物料!$X253="自备筐",N(对接源_02物料!$T253)&lt;&gt;0)),1,0)</f>
        <v>0</v>
      </c>
      <c r="Y1453" s="3">
        <f t="shared" si="390"/>
        <v>0</v>
      </c>
      <c r="Z1453" s="3">
        <f>IF(AND($M1453=1,对接源_02物料!$D253="原料入库"),1,0)</f>
        <v>0</v>
      </c>
      <c r="AA1453" s="3">
        <f t="shared" si="391"/>
        <v>24</v>
      </c>
      <c r="AB1453" s="3">
        <f>IF(AND($M1453=1,LEFT(对接源_02物料!$D253,4)="原料出库"),1,0)</f>
        <v>0</v>
      </c>
      <c r="AC1453" s="3">
        <f t="shared" si="392"/>
        <v>0</v>
      </c>
      <c r="AD1453" s="3">
        <f>IF(AND($M1453=1,LEFT(对接源_02物料!$D253,4)="成品出库"),1,0)</f>
        <v>0</v>
      </c>
      <c r="AE1453" s="3">
        <f t="shared" si="393"/>
        <v>0</v>
      </c>
      <c r="AF1453" s="3">
        <f>IF(AND($N1453=1,AND(LEFT(对接源_02物料!$D253,4)="包装物料",N(对接源_02物料!$K253)&lt;&gt;0)),1,0)</f>
        <v>0</v>
      </c>
      <c r="AG1453" s="3">
        <f t="shared" si="394"/>
        <v>5</v>
      </c>
      <c r="AH1453" s="3">
        <f>IF(AND($N1453=1,AND(对接源_02物料!$D253="周转筐－销售出库",N(对接源_02物料!$K253)&lt;&gt;0)),1,0)</f>
        <v>0</v>
      </c>
      <c r="AI1453" s="3">
        <f t="shared" si="395"/>
        <v>0</v>
      </c>
      <c r="AL1453" s="3">
        <v>0</v>
      </c>
      <c r="AM1453" s="3">
        <f t="shared" si="396"/>
        <v>1</v>
      </c>
      <c r="AN1453" s="3" t="str">
        <f t="shared" si="383"/>
        <v/>
      </c>
      <c r="AO1453" s="3">
        <v>0</v>
      </c>
      <c r="AP1453" s="3">
        <f t="shared" si="397"/>
        <v>8</v>
      </c>
      <c r="AR1453">
        <f t="shared" si="398"/>
        <v>0</v>
      </c>
      <c r="AS1453">
        <f t="shared" si="399"/>
        <v>5</v>
      </c>
    </row>
    <row r="1454" customHeight="1" spans="1:45">
      <c r="A1454" s="3" t="str">
        <f>IF(对接源_02物料!$C254="","",对接源_02物料!$C254)</f>
        <v/>
      </c>
      <c r="B1454" s="3">
        <f t="shared" si="384"/>
        <v>0</v>
      </c>
      <c r="C1454" s="3">
        <f t="shared" si="385"/>
        <v>21</v>
      </c>
      <c r="K1454" s="3">
        <f>IF(OR($K$1="",对接源_02物料!$C254="",对接源_02物料!$C254&lt;&gt;$K$1,对接源_02物料!$B254=""),0,IF(OR(N(对接源_02物料!$B254)&lt;$K$2,N(对接源_02物料!$B254)&gt;$K$3),0,1))</f>
        <v>0</v>
      </c>
      <c r="L1454" s="3">
        <f>IF(OR($L$1="",对接源_02物料!$C254="",对接源_02物料!$C254&lt;&gt;$L$1,对接源_02物料!$B254=""),0,IF(OR(N(对接源_02物料!$B254)&lt;$L$2,N(对接源_02物料!$B254)&gt;$L$3),0,1))</f>
        <v>0</v>
      </c>
      <c r="M1454" s="3">
        <f>IF(OR($M$1="",对接源_02物料!$C254="",对接源_02物料!$C254&lt;&gt;$M$1,对接源_02物料!$B254=""),0,IF(OR(N(对接源_02物料!$B254)&lt;$M$2,N(对接源_02物料!$B254)&gt;$M$3),0,1))</f>
        <v>0</v>
      </c>
      <c r="N1454" s="3">
        <f>IF(OR($N$1="",对接源_02物料!$C254="",对接源_02物料!$C254&lt;&gt;$N$1,对接源_02物料!$B254=""),0,IF(OR(N(对接源_02物料!$B254)&lt;$N$2,N(对接源_02物料!$B254)&gt;$N$3),0,1))</f>
        <v>0</v>
      </c>
      <c r="P1454" s="3">
        <f>IF(AND($K1454=1,AND(对接源_02物料!$X254="公司筐",N(对接源_02物料!$T254)&lt;&gt;0)),1,0)</f>
        <v>0</v>
      </c>
      <c r="Q1454" s="3">
        <f t="shared" si="386"/>
        <v>8</v>
      </c>
      <c r="R1454" s="3">
        <f>IF(AND($K1454=1,AND(对接源_02物料!$X254="公司筐",N(对接源_02物料!$U254)&lt;&gt;0)),1,0)</f>
        <v>0</v>
      </c>
      <c r="S1454" s="3">
        <f t="shared" si="387"/>
        <v>0</v>
      </c>
      <c r="T1454" s="3">
        <f>IF(AND($K1454=1,AND(对接源_02物料!$X254="公司筐",N(对接源_02物料!$V254)&lt;&gt;0)),1,0)</f>
        <v>0</v>
      </c>
      <c r="U1454" s="3">
        <f t="shared" si="388"/>
        <v>19</v>
      </c>
      <c r="V1454" s="3">
        <f>IF(AND($L1454=1,AND(对接源_02物料!$X254="自备筐",N(对接源_02物料!$V254)&lt;&gt;0)),1,0)</f>
        <v>0</v>
      </c>
      <c r="W1454" s="3">
        <f t="shared" si="389"/>
        <v>8</v>
      </c>
      <c r="X1454" s="3">
        <f>IF(AND($L1454=1,AND(对接源_02物料!$X254="自备筐",N(对接源_02物料!$T254)&lt;&gt;0)),1,0)</f>
        <v>0</v>
      </c>
      <c r="Y1454" s="3">
        <f t="shared" si="390"/>
        <v>0</v>
      </c>
      <c r="Z1454" s="3">
        <f>IF(AND($M1454=1,对接源_02物料!$D254="原料入库"),1,0)</f>
        <v>0</v>
      </c>
      <c r="AA1454" s="3">
        <f t="shared" si="391"/>
        <v>24</v>
      </c>
      <c r="AB1454" s="3">
        <f>IF(AND($M1454=1,LEFT(对接源_02物料!$D254,4)="原料出库"),1,0)</f>
        <v>0</v>
      </c>
      <c r="AC1454" s="3">
        <f t="shared" si="392"/>
        <v>0</v>
      </c>
      <c r="AD1454" s="3">
        <f>IF(AND($M1454=1,LEFT(对接源_02物料!$D254,4)="成品出库"),1,0)</f>
        <v>0</v>
      </c>
      <c r="AE1454" s="3">
        <f t="shared" si="393"/>
        <v>0</v>
      </c>
      <c r="AF1454" s="3">
        <f>IF(AND($N1454=1,AND(LEFT(对接源_02物料!$D254,4)="包装物料",N(对接源_02物料!$K254)&lt;&gt;0)),1,0)</f>
        <v>0</v>
      </c>
      <c r="AG1454" s="3">
        <f t="shared" si="394"/>
        <v>5</v>
      </c>
      <c r="AH1454" s="3">
        <f>IF(AND($N1454=1,AND(对接源_02物料!$D254="周转筐－销售出库",N(对接源_02物料!$K254)&lt;&gt;0)),1,0)</f>
        <v>0</v>
      </c>
      <c r="AI1454" s="3">
        <f t="shared" si="395"/>
        <v>0</v>
      </c>
      <c r="AL1454" s="3">
        <v>0</v>
      </c>
      <c r="AM1454" s="3">
        <f t="shared" si="396"/>
        <v>1</v>
      </c>
      <c r="AN1454" s="3" t="str">
        <f t="shared" si="383"/>
        <v/>
      </c>
      <c r="AO1454" s="3">
        <v>0</v>
      </c>
      <c r="AP1454" s="3">
        <f t="shared" si="397"/>
        <v>8</v>
      </c>
      <c r="AR1454">
        <f t="shared" si="398"/>
        <v>0</v>
      </c>
      <c r="AS1454">
        <f t="shared" si="399"/>
        <v>5</v>
      </c>
    </row>
    <row r="1455" customHeight="1" spans="1:45">
      <c r="A1455" s="3" t="str">
        <f>IF(对接源_02物料!$C255="","",对接源_02物料!$C255)</f>
        <v/>
      </c>
      <c r="B1455" s="3">
        <f t="shared" si="384"/>
        <v>0</v>
      </c>
      <c r="C1455" s="3">
        <f t="shared" si="385"/>
        <v>21</v>
      </c>
      <c r="K1455" s="3">
        <f>IF(OR($K$1="",对接源_02物料!$C255="",对接源_02物料!$C255&lt;&gt;$K$1,对接源_02物料!$B255=""),0,IF(OR(N(对接源_02物料!$B255)&lt;$K$2,N(对接源_02物料!$B255)&gt;$K$3),0,1))</f>
        <v>0</v>
      </c>
      <c r="L1455" s="3">
        <f>IF(OR($L$1="",对接源_02物料!$C255="",对接源_02物料!$C255&lt;&gt;$L$1,对接源_02物料!$B255=""),0,IF(OR(N(对接源_02物料!$B255)&lt;$L$2,N(对接源_02物料!$B255)&gt;$L$3),0,1))</f>
        <v>0</v>
      </c>
      <c r="M1455" s="3">
        <f>IF(OR($M$1="",对接源_02物料!$C255="",对接源_02物料!$C255&lt;&gt;$M$1,对接源_02物料!$B255=""),0,IF(OR(N(对接源_02物料!$B255)&lt;$M$2,N(对接源_02物料!$B255)&gt;$M$3),0,1))</f>
        <v>0</v>
      </c>
      <c r="N1455" s="3">
        <f>IF(OR($N$1="",对接源_02物料!$C255="",对接源_02物料!$C255&lt;&gt;$N$1,对接源_02物料!$B255=""),0,IF(OR(N(对接源_02物料!$B255)&lt;$N$2,N(对接源_02物料!$B255)&gt;$N$3),0,1))</f>
        <v>0</v>
      </c>
      <c r="P1455" s="3">
        <f>IF(AND($K1455=1,AND(对接源_02物料!$X255="公司筐",N(对接源_02物料!$T255)&lt;&gt;0)),1,0)</f>
        <v>0</v>
      </c>
      <c r="Q1455" s="3">
        <f t="shared" si="386"/>
        <v>8</v>
      </c>
      <c r="R1455" s="3">
        <f>IF(AND($K1455=1,AND(对接源_02物料!$X255="公司筐",N(对接源_02物料!$U255)&lt;&gt;0)),1,0)</f>
        <v>0</v>
      </c>
      <c r="S1455" s="3">
        <f t="shared" si="387"/>
        <v>0</v>
      </c>
      <c r="T1455" s="3">
        <f>IF(AND($K1455=1,AND(对接源_02物料!$X255="公司筐",N(对接源_02物料!$V255)&lt;&gt;0)),1,0)</f>
        <v>0</v>
      </c>
      <c r="U1455" s="3">
        <f t="shared" si="388"/>
        <v>19</v>
      </c>
      <c r="V1455" s="3">
        <f>IF(AND($L1455=1,AND(对接源_02物料!$X255="自备筐",N(对接源_02物料!$V255)&lt;&gt;0)),1,0)</f>
        <v>0</v>
      </c>
      <c r="W1455" s="3">
        <f t="shared" si="389"/>
        <v>8</v>
      </c>
      <c r="X1455" s="3">
        <f>IF(AND($L1455=1,AND(对接源_02物料!$X255="自备筐",N(对接源_02物料!$T255)&lt;&gt;0)),1,0)</f>
        <v>0</v>
      </c>
      <c r="Y1455" s="3">
        <f t="shared" si="390"/>
        <v>0</v>
      </c>
      <c r="Z1455" s="3">
        <f>IF(AND($M1455=1,对接源_02物料!$D255="原料入库"),1,0)</f>
        <v>0</v>
      </c>
      <c r="AA1455" s="3">
        <f t="shared" si="391"/>
        <v>24</v>
      </c>
      <c r="AB1455" s="3">
        <f>IF(AND($M1455=1,LEFT(对接源_02物料!$D255,4)="原料出库"),1,0)</f>
        <v>0</v>
      </c>
      <c r="AC1455" s="3">
        <f t="shared" si="392"/>
        <v>0</v>
      </c>
      <c r="AD1455" s="3">
        <f>IF(AND($M1455=1,LEFT(对接源_02物料!$D255,4)="成品出库"),1,0)</f>
        <v>0</v>
      </c>
      <c r="AE1455" s="3">
        <f t="shared" si="393"/>
        <v>0</v>
      </c>
      <c r="AF1455" s="3">
        <f>IF(AND($N1455=1,AND(LEFT(对接源_02物料!$D255,4)="包装物料",N(对接源_02物料!$K255)&lt;&gt;0)),1,0)</f>
        <v>0</v>
      </c>
      <c r="AG1455" s="3">
        <f t="shared" si="394"/>
        <v>5</v>
      </c>
      <c r="AH1455" s="3">
        <f>IF(AND($N1455=1,AND(对接源_02物料!$D255="周转筐－销售出库",N(对接源_02物料!$K255)&lt;&gt;0)),1,0)</f>
        <v>0</v>
      </c>
      <c r="AI1455" s="3">
        <f t="shared" si="395"/>
        <v>0</v>
      </c>
      <c r="AL1455" s="3">
        <v>0</v>
      </c>
      <c r="AM1455" s="3">
        <f t="shared" si="396"/>
        <v>1</v>
      </c>
      <c r="AN1455" s="3" t="str">
        <f t="shared" si="383"/>
        <v/>
      </c>
      <c r="AO1455" s="3">
        <v>0</v>
      </c>
      <c r="AP1455" s="3">
        <f t="shared" si="397"/>
        <v>8</v>
      </c>
      <c r="AR1455">
        <f t="shared" si="398"/>
        <v>0</v>
      </c>
      <c r="AS1455">
        <f t="shared" si="399"/>
        <v>5</v>
      </c>
    </row>
    <row r="1456" customHeight="1" spans="1:45">
      <c r="A1456" s="3" t="str">
        <f>IF(对接源_02物料!$C256="","",对接源_02物料!$C256)</f>
        <v/>
      </c>
      <c r="B1456" s="3">
        <f t="shared" si="384"/>
        <v>0</v>
      </c>
      <c r="C1456" s="3">
        <f t="shared" si="385"/>
        <v>21</v>
      </c>
      <c r="K1456" s="3">
        <f>IF(OR($K$1="",对接源_02物料!$C256="",对接源_02物料!$C256&lt;&gt;$K$1,对接源_02物料!$B256=""),0,IF(OR(N(对接源_02物料!$B256)&lt;$K$2,N(对接源_02物料!$B256)&gt;$K$3),0,1))</f>
        <v>0</v>
      </c>
      <c r="L1456" s="3">
        <f>IF(OR($L$1="",对接源_02物料!$C256="",对接源_02物料!$C256&lt;&gt;$L$1,对接源_02物料!$B256=""),0,IF(OR(N(对接源_02物料!$B256)&lt;$L$2,N(对接源_02物料!$B256)&gt;$L$3),0,1))</f>
        <v>0</v>
      </c>
      <c r="M1456" s="3">
        <f>IF(OR($M$1="",对接源_02物料!$C256="",对接源_02物料!$C256&lt;&gt;$M$1,对接源_02物料!$B256=""),0,IF(OR(N(对接源_02物料!$B256)&lt;$M$2,N(对接源_02物料!$B256)&gt;$M$3),0,1))</f>
        <v>0</v>
      </c>
      <c r="N1456" s="3">
        <f>IF(OR($N$1="",对接源_02物料!$C256="",对接源_02物料!$C256&lt;&gt;$N$1,对接源_02物料!$B256=""),0,IF(OR(N(对接源_02物料!$B256)&lt;$N$2,N(对接源_02物料!$B256)&gt;$N$3),0,1))</f>
        <v>0</v>
      </c>
      <c r="P1456" s="3">
        <f>IF(AND($K1456=1,AND(对接源_02物料!$X256="公司筐",N(对接源_02物料!$T256)&lt;&gt;0)),1,0)</f>
        <v>0</v>
      </c>
      <c r="Q1456" s="3">
        <f t="shared" si="386"/>
        <v>8</v>
      </c>
      <c r="R1456" s="3">
        <f>IF(AND($K1456=1,AND(对接源_02物料!$X256="公司筐",N(对接源_02物料!$U256)&lt;&gt;0)),1,0)</f>
        <v>0</v>
      </c>
      <c r="S1456" s="3">
        <f t="shared" si="387"/>
        <v>0</v>
      </c>
      <c r="T1456" s="3">
        <f>IF(AND($K1456=1,AND(对接源_02物料!$X256="公司筐",N(对接源_02物料!$V256)&lt;&gt;0)),1,0)</f>
        <v>0</v>
      </c>
      <c r="U1456" s="3">
        <f t="shared" si="388"/>
        <v>19</v>
      </c>
      <c r="V1456" s="3">
        <f>IF(AND($L1456=1,AND(对接源_02物料!$X256="自备筐",N(对接源_02物料!$V256)&lt;&gt;0)),1,0)</f>
        <v>0</v>
      </c>
      <c r="W1456" s="3">
        <f t="shared" si="389"/>
        <v>8</v>
      </c>
      <c r="X1456" s="3">
        <f>IF(AND($L1456=1,AND(对接源_02物料!$X256="自备筐",N(对接源_02物料!$T256)&lt;&gt;0)),1,0)</f>
        <v>0</v>
      </c>
      <c r="Y1456" s="3">
        <f t="shared" si="390"/>
        <v>0</v>
      </c>
      <c r="Z1456" s="3">
        <f>IF(AND($M1456=1,对接源_02物料!$D256="原料入库"),1,0)</f>
        <v>0</v>
      </c>
      <c r="AA1456" s="3">
        <f t="shared" si="391"/>
        <v>24</v>
      </c>
      <c r="AB1456" s="3">
        <f>IF(AND($M1456=1,LEFT(对接源_02物料!$D256,4)="原料出库"),1,0)</f>
        <v>0</v>
      </c>
      <c r="AC1456" s="3">
        <f t="shared" si="392"/>
        <v>0</v>
      </c>
      <c r="AD1456" s="3">
        <f>IF(AND($M1456=1,LEFT(对接源_02物料!$D256,4)="成品出库"),1,0)</f>
        <v>0</v>
      </c>
      <c r="AE1456" s="3">
        <f t="shared" si="393"/>
        <v>0</v>
      </c>
      <c r="AF1456" s="3">
        <f>IF(AND($N1456=1,AND(LEFT(对接源_02物料!$D256,4)="包装物料",N(对接源_02物料!$K256)&lt;&gt;0)),1,0)</f>
        <v>0</v>
      </c>
      <c r="AG1456" s="3">
        <f t="shared" si="394"/>
        <v>5</v>
      </c>
      <c r="AH1456" s="3">
        <f>IF(AND($N1456=1,AND(对接源_02物料!$D256="周转筐－销售出库",N(对接源_02物料!$K256)&lt;&gt;0)),1,0)</f>
        <v>0</v>
      </c>
      <c r="AI1456" s="3">
        <f t="shared" si="395"/>
        <v>0</v>
      </c>
      <c r="AL1456" s="3">
        <v>0</v>
      </c>
      <c r="AM1456" s="3">
        <f t="shared" si="396"/>
        <v>1</v>
      </c>
      <c r="AN1456" s="3" t="str">
        <f t="shared" si="383"/>
        <v/>
      </c>
      <c r="AO1456" s="3">
        <v>0</v>
      </c>
      <c r="AP1456" s="3">
        <f t="shared" si="397"/>
        <v>8</v>
      </c>
      <c r="AR1456">
        <f t="shared" si="398"/>
        <v>0</v>
      </c>
      <c r="AS1456">
        <f t="shared" si="399"/>
        <v>5</v>
      </c>
    </row>
    <row r="1457" customHeight="1" spans="1:45">
      <c r="A1457" s="3" t="str">
        <f>IF(对接源_02物料!$C257="","",对接源_02物料!$C257)</f>
        <v/>
      </c>
      <c r="B1457" s="3">
        <f t="shared" si="384"/>
        <v>0</v>
      </c>
      <c r="C1457" s="3">
        <f t="shared" si="385"/>
        <v>21</v>
      </c>
      <c r="K1457" s="3">
        <f>IF(OR($K$1="",对接源_02物料!$C257="",对接源_02物料!$C257&lt;&gt;$K$1,对接源_02物料!$B257=""),0,IF(OR(N(对接源_02物料!$B257)&lt;$K$2,N(对接源_02物料!$B257)&gt;$K$3),0,1))</f>
        <v>0</v>
      </c>
      <c r="L1457" s="3">
        <f>IF(OR($L$1="",对接源_02物料!$C257="",对接源_02物料!$C257&lt;&gt;$L$1,对接源_02物料!$B257=""),0,IF(OR(N(对接源_02物料!$B257)&lt;$L$2,N(对接源_02物料!$B257)&gt;$L$3),0,1))</f>
        <v>0</v>
      </c>
      <c r="M1457" s="3">
        <f>IF(OR($M$1="",对接源_02物料!$C257="",对接源_02物料!$C257&lt;&gt;$M$1,对接源_02物料!$B257=""),0,IF(OR(N(对接源_02物料!$B257)&lt;$M$2,N(对接源_02物料!$B257)&gt;$M$3),0,1))</f>
        <v>0</v>
      </c>
      <c r="N1457" s="3">
        <f>IF(OR($N$1="",对接源_02物料!$C257="",对接源_02物料!$C257&lt;&gt;$N$1,对接源_02物料!$B257=""),0,IF(OR(N(对接源_02物料!$B257)&lt;$N$2,N(对接源_02物料!$B257)&gt;$N$3),0,1))</f>
        <v>0</v>
      </c>
      <c r="P1457" s="3">
        <f>IF(AND($K1457=1,AND(对接源_02物料!$X257="公司筐",N(对接源_02物料!$T257)&lt;&gt;0)),1,0)</f>
        <v>0</v>
      </c>
      <c r="Q1457" s="3">
        <f t="shared" si="386"/>
        <v>8</v>
      </c>
      <c r="R1457" s="3">
        <f>IF(AND($K1457=1,AND(对接源_02物料!$X257="公司筐",N(对接源_02物料!$U257)&lt;&gt;0)),1,0)</f>
        <v>0</v>
      </c>
      <c r="S1457" s="3">
        <f t="shared" si="387"/>
        <v>0</v>
      </c>
      <c r="T1457" s="3">
        <f>IF(AND($K1457=1,AND(对接源_02物料!$X257="公司筐",N(对接源_02物料!$V257)&lt;&gt;0)),1,0)</f>
        <v>0</v>
      </c>
      <c r="U1457" s="3">
        <f t="shared" si="388"/>
        <v>19</v>
      </c>
      <c r="V1457" s="3">
        <f>IF(AND($L1457=1,AND(对接源_02物料!$X257="自备筐",N(对接源_02物料!$V257)&lt;&gt;0)),1,0)</f>
        <v>0</v>
      </c>
      <c r="W1457" s="3">
        <f t="shared" si="389"/>
        <v>8</v>
      </c>
      <c r="X1457" s="3">
        <f>IF(AND($L1457=1,AND(对接源_02物料!$X257="自备筐",N(对接源_02物料!$T257)&lt;&gt;0)),1,0)</f>
        <v>0</v>
      </c>
      <c r="Y1457" s="3">
        <f t="shared" si="390"/>
        <v>0</v>
      </c>
      <c r="Z1457" s="3">
        <f>IF(AND($M1457=1,对接源_02物料!$D257="原料入库"),1,0)</f>
        <v>0</v>
      </c>
      <c r="AA1457" s="3">
        <f t="shared" si="391"/>
        <v>24</v>
      </c>
      <c r="AB1457" s="3">
        <f>IF(AND($M1457=1,LEFT(对接源_02物料!$D257,4)="原料出库"),1,0)</f>
        <v>0</v>
      </c>
      <c r="AC1457" s="3">
        <f t="shared" si="392"/>
        <v>0</v>
      </c>
      <c r="AD1457" s="3">
        <f>IF(AND($M1457=1,LEFT(对接源_02物料!$D257,4)="成品出库"),1,0)</f>
        <v>0</v>
      </c>
      <c r="AE1457" s="3">
        <f t="shared" si="393"/>
        <v>0</v>
      </c>
      <c r="AF1457" s="3">
        <f>IF(AND($N1457=1,AND(LEFT(对接源_02物料!$D257,4)="包装物料",N(对接源_02物料!$K257)&lt;&gt;0)),1,0)</f>
        <v>0</v>
      </c>
      <c r="AG1457" s="3">
        <f t="shared" si="394"/>
        <v>5</v>
      </c>
      <c r="AH1457" s="3">
        <f>IF(AND($N1457=1,AND(对接源_02物料!$D257="周转筐－销售出库",N(对接源_02物料!$K257)&lt;&gt;0)),1,0)</f>
        <v>0</v>
      </c>
      <c r="AI1457" s="3">
        <f t="shared" si="395"/>
        <v>0</v>
      </c>
      <c r="AL1457" s="3">
        <v>0</v>
      </c>
      <c r="AM1457" s="3">
        <f t="shared" si="396"/>
        <v>1</v>
      </c>
      <c r="AN1457" s="3" t="str">
        <f t="shared" si="383"/>
        <v/>
      </c>
      <c r="AO1457" s="3">
        <v>0</v>
      </c>
      <c r="AP1457" s="3">
        <f t="shared" si="397"/>
        <v>8</v>
      </c>
      <c r="AR1457">
        <f t="shared" si="398"/>
        <v>0</v>
      </c>
      <c r="AS1457">
        <f t="shared" si="399"/>
        <v>5</v>
      </c>
    </row>
    <row r="1458" customHeight="1" spans="1:45">
      <c r="A1458" s="3" t="str">
        <f>IF(对接源_02物料!$C258="","",对接源_02物料!$C258)</f>
        <v/>
      </c>
      <c r="B1458" s="3">
        <f t="shared" si="384"/>
        <v>0</v>
      </c>
      <c r="C1458" s="3">
        <f t="shared" si="385"/>
        <v>21</v>
      </c>
      <c r="K1458" s="3">
        <f>IF(OR($K$1="",对接源_02物料!$C258="",对接源_02物料!$C258&lt;&gt;$K$1,对接源_02物料!$B258=""),0,IF(OR(N(对接源_02物料!$B258)&lt;$K$2,N(对接源_02物料!$B258)&gt;$K$3),0,1))</f>
        <v>0</v>
      </c>
      <c r="L1458" s="3">
        <f>IF(OR($L$1="",对接源_02物料!$C258="",对接源_02物料!$C258&lt;&gt;$L$1,对接源_02物料!$B258=""),0,IF(OR(N(对接源_02物料!$B258)&lt;$L$2,N(对接源_02物料!$B258)&gt;$L$3),0,1))</f>
        <v>0</v>
      </c>
      <c r="M1458" s="3">
        <f>IF(OR($M$1="",对接源_02物料!$C258="",对接源_02物料!$C258&lt;&gt;$M$1,对接源_02物料!$B258=""),0,IF(OR(N(对接源_02物料!$B258)&lt;$M$2,N(对接源_02物料!$B258)&gt;$M$3),0,1))</f>
        <v>0</v>
      </c>
      <c r="N1458" s="3">
        <f>IF(OR($N$1="",对接源_02物料!$C258="",对接源_02物料!$C258&lt;&gt;$N$1,对接源_02物料!$B258=""),0,IF(OR(N(对接源_02物料!$B258)&lt;$N$2,N(对接源_02物料!$B258)&gt;$N$3),0,1))</f>
        <v>0</v>
      </c>
      <c r="P1458" s="3">
        <f>IF(AND($K1458=1,AND(对接源_02物料!$X258="公司筐",N(对接源_02物料!$T258)&lt;&gt;0)),1,0)</f>
        <v>0</v>
      </c>
      <c r="Q1458" s="3">
        <f t="shared" si="386"/>
        <v>8</v>
      </c>
      <c r="R1458" s="3">
        <f>IF(AND($K1458=1,AND(对接源_02物料!$X258="公司筐",N(对接源_02物料!$U258)&lt;&gt;0)),1,0)</f>
        <v>0</v>
      </c>
      <c r="S1458" s="3">
        <f t="shared" si="387"/>
        <v>0</v>
      </c>
      <c r="T1458" s="3">
        <f>IF(AND($K1458=1,AND(对接源_02物料!$X258="公司筐",N(对接源_02物料!$V258)&lt;&gt;0)),1,0)</f>
        <v>0</v>
      </c>
      <c r="U1458" s="3">
        <f t="shared" si="388"/>
        <v>19</v>
      </c>
      <c r="V1458" s="3">
        <f>IF(AND($L1458=1,AND(对接源_02物料!$X258="自备筐",N(对接源_02物料!$V258)&lt;&gt;0)),1,0)</f>
        <v>0</v>
      </c>
      <c r="W1458" s="3">
        <f t="shared" si="389"/>
        <v>8</v>
      </c>
      <c r="X1458" s="3">
        <f>IF(AND($L1458=1,AND(对接源_02物料!$X258="自备筐",N(对接源_02物料!$T258)&lt;&gt;0)),1,0)</f>
        <v>0</v>
      </c>
      <c r="Y1458" s="3">
        <f t="shared" si="390"/>
        <v>0</v>
      </c>
      <c r="Z1458" s="3">
        <f>IF(AND($M1458=1,对接源_02物料!$D258="原料入库"),1,0)</f>
        <v>0</v>
      </c>
      <c r="AA1458" s="3">
        <f t="shared" si="391"/>
        <v>24</v>
      </c>
      <c r="AB1458" s="3">
        <f>IF(AND($M1458=1,LEFT(对接源_02物料!$D258,4)="原料出库"),1,0)</f>
        <v>0</v>
      </c>
      <c r="AC1458" s="3">
        <f t="shared" si="392"/>
        <v>0</v>
      </c>
      <c r="AD1458" s="3">
        <f>IF(AND($M1458=1,LEFT(对接源_02物料!$D258,4)="成品出库"),1,0)</f>
        <v>0</v>
      </c>
      <c r="AE1458" s="3">
        <f t="shared" si="393"/>
        <v>0</v>
      </c>
      <c r="AF1458" s="3">
        <f>IF(AND($N1458=1,AND(LEFT(对接源_02物料!$D258,4)="包装物料",N(对接源_02物料!$K258)&lt;&gt;0)),1,0)</f>
        <v>0</v>
      </c>
      <c r="AG1458" s="3">
        <f t="shared" si="394"/>
        <v>5</v>
      </c>
      <c r="AH1458" s="3">
        <f>IF(AND($N1458=1,AND(对接源_02物料!$D258="周转筐－销售出库",N(对接源_02物料!$K258)&lt;&gt;0)),1,0)</f>
        <v>0</v>
      </c>
      <c r="AI1458" s="3">
        <f t="shared" si="395"/>
        <v>0</v>
      </c>
      <c r="AL1458" s="3">
        <v>0</v>
      </c>
      <c r="AM1458" s="3">
        <f t="shared" si="396"/>
        <v>1</v>
      </c>
      <c r="AN1458" s="3" t="str">
        <f t="shared" si="383"/>
        <v/>
      </c>
      <c r="AO1458" s="3">
        <v>0</v>
      </c>
      <c r="AP1458" s="3">
        <f t="shared" si="397"/>
        <v>8</v>
      </c>
      <c r="AR1458">
        <f t="shared" si="398"/>
        <v>0</v>
      </c>
      <c r="AS1458">
        <f t="shared" si="399"/>
        <v>5</v>
      </c>
    </row>
    <row r="1459" customHeight="1" spans="1:45">
      <c r="A1459" s="3" t="str">
        <f>IF(对接源_02物料!$C259="","",对接源_02物料!$C259)</f>
        <v/>
      </c>
      <c r="B1459" s="3">
        <f t="shared" si="384"/>
        <v>0</v>
      </c>
      <c r="C1459" s="3">
        <f t="shared" si="385"/>
        <v>21</v>
      </c>
      <c r="K1459" s="3">
        <f>IF(OR($K$1="",对接源_02物料!$C259="",对接源_02物料!$C259&lt;&gt;$K$1,对接源_02物料!$B259=""),0,IF(OR(N(对接源_02物料!$B259)&lt;$K$2,N(对接源_02物料!$B259)&gt;$K$3),0,1))</f>
        <v>0</v>
      </c>
      <c r="L1459" s="3">
        <f>IF(OR($L$1="",对接源_02物料!$C259="",对接源_02物料!$C259&lt;&gt;$L$1,对接源_02物料!$B259=""),0,IF(OR(N(对接源_02物料!$B259)&lt;$L$2,N(对接源_02物料!$B259)&gt;$L$3),0,1))</f>
        <v>0</v>
      </c>
      <c r="M1459" s="3">
        <f>IF(OR($M$1="",对接源_02物料!$C259="",对接源_02物料!$C259&lt;&gt;$M$1,对接源_02物料!$B259=""),0,IF(OR(N(对接源_02物料!$B259)&lt;$M$2,N(对接源_02物料!$B259)&gt;$M$3),0,1))</f>
        <v>0</v>
      </c>
      <c r="N1459" s="3">
        <f>IF(OR($N$1="",对接源_02物料!$C259="",对接源_02物料!$C259&lt;&gt;$N$1,对接源_02物料!$B259=""),0,IF(OR(N(对接源_02物料!$B259)&lt;$N$2,N(对接源_02物料!$B259)&gt;$N$3),0,1))</f>
        <v>0</v>
      </c>
      <c r="P1459" s="3">
        <f>IF(AND($K1459=1,AND(对接源_02物料!$X259="公司筐",N(对接源_02物料!$T259)&lt;&gt;0)),1,0)</f>
        <v>0</v>
      </c>
      <c r="Q1459" s="3">
        <f t="shared" si="386"/>
        <v>8</v>
      </c>
      <c r="R1459" s="3">
        <f>IF(AND($K1459=1,AND(对接源_02物料!$X259="公司筐",N(对接源_02物料!$U259)&lt;&gt;0)),1,0)</f>
        <v>0</v>
      </c>
      <c r="S1459" s="3">
        <f t="shared" si="387"/>
        <v>0</v>
      </c>
      <c r="T1459" s="3">
        <f>IF(AND($K1459=1,AND(对接源_02物料!$X259="公司筐",N(对接源_02物料!$V259)&lt;&gt;0)),1,0)</f>
        <v>0</v>
      </c>
      <c r="U1459" s="3">
        <f t="shared" si="388"/>
        <v>19</v>
      </c>
      <c r="V1459" s="3">
        <f>IF(AND($L1459=1,AND(对接源_02物料!$X259="自备筐",N(对接源_02物料!$V259)&lt;&gt;0)),1,0)</f>
        <v>0</v>
      </c>
      <c r="W1459" s="3">
        <f t="shared" si="389"/>
        <v>8</v>
      </c>
      <c r="X1459" s="3">
        <f>IF(AND($L1459=1,AND(对接源_02物料!$X259="自备筐",N(对接源_02物料!$T259)&lt;&gt;0)),1,0)</f>
        <v>0</v>
      </c>
      <c r="Y1459" s="3">
        <f t="shared" si="390"/>
        <v>0</v>
      </c>
      <c r="Z1459" s="3">
        <f>IF(AND($M1459=1,对接源_02物料!$D259="原料入库"),1,0)</f>
        <v>0</v>
      </c>
      <c r="AA1459" s="3">
        <f t="shared" si="391"/>
        <v>24</v>
      </c>
      <c r="AB1459" s="3">
        <f>IF(AND($M1459=1,LEFT(对接源_02物料!$D259,4)="原料出库"),1,0)</f>
        <v>0</v>
      </c>
      <c r="AC1459" s="3">
        <f t="shared" si="392"/>
        <v>0</v>
      </c>
      <c r="AD1459" s="3">
        <f>IF(AND($M1459=1,LEFT(对接源_02物料!$D259,4)="成品出库"),1,0)</f>
        <v>0</v>
      </c>
      <c r="AE1459" s="3">
        <f t="shared" si="393"/>
        <v>0</v>
      </c>
      <c r="AF1459" s="3">
        <f>IF(AND($N1459=1,AND(LEFT(对接源_02物料!$D259,4)="包装物料",N(对接源_02物料!$K259)&lt;&gt;0)),1,0)</f>
        <v>0</v>
      </c>
      <c r="AG1459" s="3">
        <f t="shared" si="394"/>
        <v>5</v>
      </c>
      <c r="AH1459" s="3">
        <f>IF(AND($N1459=1,AND(对接源_02物料!$D259="周转筐－销售出库",N(对接源_02物料!$K259)&lt;&gt;0)),1,0)</f>
        <v>0</v>
      </c>
      <c r="AI1459" s="3">
        <f t="shared" si="395"/>
        <v>0</v>
      </c>
      <c r="AL1459" s="3">
        <v>0</v>
      </c>
      <c r="AM1459" s="3">
        <f t="shared" si="396"/>
        <v>1</v>
      </c>
      <c r="AN1459" s="3" t="str">
        <f t="shared" si="383"/>
        <v/>
      </c>
      <c r="AO1459" s="3">
        <v>0</v>
      </c>
      <c r="AP1459" s="3">
        <f t="shared" si="397"/>
        <v>8</v>
      </c>
      <c r="AR1459">
        <f t="shared" si="398"/>
        <v>0</v>
      </c>
      <c r="AS1459">
        <f t="shared" si="399"/>
        <v>5</v>
      </c>
    </row>
    <row r="1460" customHeight="1" spans="1:45">
      <c r="A1460" s="3" t="str">
        <f>IF(对接源_02物料!$C260="","",对接源_02物料!$C260)</f>
        <v/>
      </c>
      <c r="B1460" s="3">
        <f t="shared" si="384"/>
        <v>0</v>
      </c>
      <c r="C1460" s="3">
        <f t="shared" si="385"/>
        <v>21</v>
      </c>
      <c r="K1460" s="3">
        <f>IF(OR($K$1="",对接源_02物料!$C260="",对接源_02物料!$C260&lt;&gt;$K$1,对接源_02物料!$B260=""),0,IF(OR(N(对接源_02物料!$B260)&lt;$K$2,N(对接源_02物料!$B260)&gt;$K$3),0,1))</f>
        <v>0</v>
      </c>
      <c r="L1460" s="3">
        <f>IF(OR($L$1="",对接源_02物料!$C260="",对接源_02物料!$C260&lt;&gt;$L$1,对接源_02物料!$B260=""),0,IF(OR(N(对接源_02物料!$B260)&lt;$L$2,N(对接源_02物料!$B260)&gt;$L$3),0,1))</f>
        <v>0</v>
      </c>
      <c r="M1460" s="3">
        <f>IF(OR($M$1="",对接源_02物料!$C260="",对接源_02物料!$C260&lt;&gt;$M$1,对接源_02物料!$B260=""),0,IF(OR(N(对接源_02物料!$B260)&lt;$M$2,N(对接源_02物料!$B260)&gt;$M$3),0,1))</f>
        <v>0</v>
      </c>
      <c r="N1460" s="3">
        <f>IF(OR($N$1="",对接源_02物料!$C260="",对接源_02物料!$C260&lt;&gt;$N$1,对接源_02物料!$B260=""),0,IF(OR(N(对接源_02物料!$B260)&lt;$N$2,N(对接源_02物料!$B260)&gt;$N$3),0,1))</f>
        <v>0</v>
      </c>
      <c r="P1460" s="3">
        <f>IF(AND($K1460=1,AND(对接源_02物料!$X260="公司筐",N(对接源_02物料!$T260)&lt;&gt;0)),1,0)</f>
        <v>0</v>
      </c>
      <c r="Q1460" s="3">
        <f t="shared" si="386"/>
        <v>8</v>
      </c>
      <c r="R1460" s="3">
        <f>IF(AND($K1460=1,AND(对接源_02物料!$X260="公司筐",N(对接源_02物料!$U260)&lt;&gt;0)),1,0)</f>
        <v>0</v>
      </c>
      <c r="S1460" s="3">
        <f t="shared" si="387"/>
        <v>0</v>
      </c>
      <c r="T1460" s="3">
        <f>IF(AND($K1460=1,AND(对接源_02物料!$X260="公司筐",N(对接源_02物料!$V260)&lt;&gt;0)),1,0)</f>
        <v>0</v>
      </c>
      <c r="U1460" s="3">
        <f t="shared" si="388"/>
        <v>19</v>
      </c>
      <c r="V1460" s="3">
        <f>IF(AND($L1460=1,AND(对接源_02物料!$X260="自备筐",N(对接源_02物料!$V260)&lt;&gt;0)),1,0)</f>
        <v>0</v>
      </c>
      <c r="W1460" s="3">
        <f t="shared" si="389"/>
        <v>8</v>
      </c>
      <c r="X1460" s="3">
        <f>IF(AND($L1460=1,AND(对接源_02物料!$X260="自备筐",N(对接源_02物料!$T260)&lt;&gt;0)),1,0)</f>
        <v>0</v>
      </c>
      <c r="Y1460" s="3">
        <f t="shared" si="390"/>
        <v>0</v>
      </c>
      <c r="Z1460" s="3">
        <f>IF(AND($M1460=1,对接源_02物料!$D260="原料入库"),1,0)</f>
        <v>0</v>
      </c>
      <c r="AA1460" s="3">
        <f t="shared" si="391"/>
        <v>24</v>
      </c>
      <c r="AB1460" s="3">
        <f>IF(AND($M1460=1,LEFT(对接源_02物料!$D260,4)="原料出库"),1,0)</f>
        <v>0</v>
      </c>
      <c r="AC1460" s="3">
        <f t="shared" si="392"/>
        <v>0</v>
      </c>
      <c r="AD1460" s="3">
        <f>IF(AND($M1460=1,LEFT(对接源_02物料!$D260,4)="成品出库"),1,0)</f>
        <v>0</v>
      </c>
      <c r="AE1460" s="3">
        <f t="shared" si="393"/>
        <v>0</v>
      </c>
      <c r="AF1460" s="3">
        <f>IF(AND($N1460=1,AND(LEFT(对接源_02物料!$D260,4)="包装物料",N(对接源_02物料!$K260)&lt;&gt;0)),1,0)</f>
        <v>0</v>
      </c>
      <c r="AG1460" s="3">
        <f t="shared" si="394"/>
        <v>5</v>
      </c>
      <c r="AH1460" s="3">
        <f>IF(AND($N1460=1,AND(对接源_02物料!$D260="周转筐－销售出库",N(对接源_02物料!$K260)&lt;&gt;0)),1,0)</f>
        <v>0</v>
      </c>
      <c r="AI1460" s="3">
        <f t="shared" si="395"/>
        <v>0</v>
      </c>
      <c r="AL1460" s="3">
        <v>0</v>
      </c>
      <c r="AM1460" s="3">
        <f t="shared" si="396"/>
        <v>1</v>
      </c>
      <c r="AN1460" s="3" t="str">
        <f t="shared" ref="AN1460:AN1523" si="400">""</f>
        <v/>
      </c>
      <c r="AO1460" s="3">
        <v>0</v>
      </c>
      <c r="AP1460" s="3">
        <f t="shared" si="397"/>
        <v>8</v>
      </c>
      <c r="AR1460">
        <f t="shared" si="398"/>
        <v>0</v>
      </c>
      <c r="AS1460">
        <f t="shared" si="399"/>
        <v>5</v>
      </c>
    </row>
    <row r="1461" customHeight="1" spans="1:45">
      <c r="A1461" s="3" t="str">
        <f>IF(对接源_02物料!$C261="","",对接源_02物料!$C261)</f>
        <v/>
      </c>
      <c r="B1461" s="3">
        <f t="shared" si="384"/>
        <v>0</v>
      </c>
      <c r="C1461" s="3">
        <f t="shared" si="385"/>
        <v>21</v>
      </c>
      <c r="K1461" s="3">
        <f>IF(OR($K$1="",对接源_02物料!$C261="",对接源_02物料!$C261&lt;&gt;$K$1,对接源_02物料!$B261=""),0,IF(OR(N(对接源_02物料!$B261)&lt;$K$2,N(对接源_02物料!$B261)&gt;$K$3),0,1))</f>
        <v>0</v>
      </c>
      <c r="L1461" s="3">
        <f>IF(OR($L$1="",对接源_02物料!$C261="",对接源_02物料!$C261&lt;&gt;$L$1,对接源_02物料!$B261=""),0,IF(OR(N(对接源_02物料!$B261)&lt;$L$2,N(对接源_02物料!$B261)&gt;$L$3),0,1))</f>
        <v>0</v>
      </c>
      <c r="M1461" s="3">
        <f>IF(OR($M$1="",对接源_02物料!$C261="",对接源_02物料!$C261&lt;&gt;$M$1,对接源_02物料!$B261=""),0,IF(OR(N(对接源_02物料!$B261)&lt;$M$2,N(对接源_02物料!$B261)&gt;$M$3),0,1))</f>
        <v>0</v>
      </c>
      <c r="N1461" s="3">
        <f>IF(OR($N$1="",对接源_02物料!$C261="",对接源_02物料!$C261&lt;&gt;$N$1,对接源_02物料!$B261=""),0,IF(OR(N(对接源_02物料!$B261)&lt;$N$2,N(对接源_02物料!$B261)&gt;$N$3),0,1))</f>
        <v>0</v>
      </c>
      <c r="P1461" s="3">
        <f>IF(AND($K1461=1,AND(对接源_02物料!$X261="公司筐",N(对接源_02物料!$T261)&lt;&gt;0)),1,0)</f>
        <v>0</v>
      </c>
      <c r="Q1461" s="3">
        <f t="shared" si="386"/>
        <v>8</v>
      </c>
      <c r="R1461" s="3">
        <f>IF(AND($K1461=1,AND(对接源_02物料!$X261="公司筐",N(对接源_02物料!$U261)&lt;&gt;0)),1,0)</f>
        <v>0</v>
      </c>
      <c r="S1461" s="3">
        <f t="shared" si="387"/>
        <v>0</v>
      </c>
      <c r="T1461" s="3">
        <f>IF(AND($K1461=1,AND(对接源_02物料!$X261="公司筐",N(对接源_02物料!$V261)&lt;&gt;0)),1,0)</f>
        <v>0</v>
      </c>
      <c r="U1461" s="3">
        <f t="shared" si="388"/>
        <v>19</v>
      </c>
      <c r="V1461" s="3">
        <f>IF(AND($L1461=1,AND(对接源_02物料!$X261="自备筐",N(对接源_02物料!$V261)&lt;&gt;0)),1,0)</f>
        <v>0</v>
      </c>
      <c r="W1461" s="3">
        <f t="shared" si="389"/>
        <v>8</v>
      </c>
      <c r="X1461" s="3">
        <f>IF(AND($L1461=1,AND(对接源_02物料!$X261="自备筐",N(对接源_02物料!$T261)&lt;&gt;0)),1,0)</f>
        <v>0</v>
      </c>
      <c r="Y1461" s="3">
        <f t="shared" si="390"/>
        <v>0</v>
      </c>
      <c r="Z1461" s="3">
        <f>IF(AND($M1461=1,对接源_02物料!$D261="原料入库"),1,0)</f>
        <v>0</v>
      </c>
      <c r="AA1461" s="3">
        <f t="shared" si="391"/>
        <v>24</v>
      </c>
      <c r="AB1461" s="3">
        <f>IF(AND($M1461=1,LEFT(对接源_02物料!$D261,4)="原料出库"),1,0)</f>
        <v>0</v>
      </c>
      <c r="AC1461" s="3">
        <f t="shared" si="392"/>
        <v>0</v>
      </c>
      <c r="AD1461" s="3">
        <f>IF(AND($M1461=1,LEFT(对接源_02物料!$D261,4)="成品出库"),1,0)</f>
        <v>0</v>
      </c>
      <c r="AE1461" s="3">
        <f t="shared" si="393"/>
        <v>0</v>
      </c>
      <c r="AF1461" s="3">
        <f>IF(AND($N1461=1,AND(LEFT(对接源_02物料!$D261,4)="包装物料",N(对接源_02物料!$K261)&lt;&gt;0)),1,0)</f>
        <v>0</v>
      </c>
      <c r="AG1461" s="3">
        <f t="shared" si="394"/>
        <v>5</v>
      </c>
      <c r="AH1461" s="3">
        <f>IF(AND($N1461=1,AND(对接源_02物料!$D261="周转筐－销售出库",N(对接源_02物料!$K261)&lt;&gt;0)),1,0)</f>
        <v>0</v>
      </c>
      <c r="AI1461" s="3">
        <f t="shared" si="395"/>
        <v>0</v>
      </c>
      <c r="AL1461" s="3">
        <v>0</v>
      </c>
      <c r="AM1461" s="3">
        <f t="shared" si="396"/>
        <v>1</v>
      </c>
      <c r="AN1461" s="3" t="str">
        <f t="shared" si="400"/>
        <v/>
      </c>
      <c r="AO1461" s="3">
        <v>0</v>
      </c>
      <c r="AP1461" s="3">
        <f t="shared" si="397"/>
        <v>8</v>
      </c>
      <c r="AR1461">
        <f t="shared" si="398"/>
        <v>0</v>
      </c>
      <c r="AS1461">
        <f t="shared" si="399"/>
        <v>5</v>
      </c>
    </row>
    <row r="1462" customHeight="1" spans="1:45">
      <c r="A1462" s="3" t="str">
        <f>IF(对接源_02物料!$C262="","",对接源_02物料!$C262)</f>
        <v/>
      </c>
      <c r="B1462" s="3">
        <f t="shared" si="384"/>
        <v>0</v>
      </c>
      <c r="C1462" s="3">
        <f t="shared" si="385"/>
        <v>21</v>
      </c>
      <c r="K1462" s="3">
        <f>IF(OR($K$1="",对接源_02物料!$C262="",对接源_02物料!$C262&lt;&gt;$K$1,对接源_02物料!$B262=""),0,IF(OR(N(对接源_02物料!$B262)&lt;$K$2,N(对接源_02物料!$B262)&gt;$K$3),0,1))</f>
        <v>0</v>
      </c>
      <c r="L1462" s="3">
        <f>IF(OR($L$1="",对接源_02物料!$C262="",对接源_02物料!$C262&lt;&gt;$L$1,对接源_02物料!$B262=""),0,IF(OR(N(对接源_02物料!$B262)&lt;$L$2,N(对接源_02物料!$B262)&gt;$L$3),0,1))</f>
        <v>0</v>
      </c>
      <c r="M1462" s="3">
        <f>IF(OR($M$1="",对接源_02物料!$C262="",对接源_02物料!$C262&lt;&gt;$M$1,对接源_02物料!$B262=""),0,IF(OR(N(对接源_02物料!$B262)&lt;$M$2,N(对接源_02物料!$B262)&gt;$M$3),0,1))</f>
        <v>0</v>
      </c>
      <c r="N1462" s="3">
        <f>IF(OR($N$1="",对接源_02物料!$C262="",对接源_02物料!$C262&lt;&gt;$N$1,对接源_02物料!$B262=""),0,IF(OR(N(对接源_02物料!$B262)&lt;$N$2,N(对接源_02物料!$B262)&gt;$N$3),0,1))</f>
        <v>0</v>
      </c>
      <c r="P1462" s="3">
        <f>IF(AND($K1462=1,AND(对接源_02物料!$X262="公司筐",N(对接源_02物料!$T262)&lt;&gt;0)),1,0)</f>
        <v>0</v>
      </c>
      <c r="Q1462" s="3">
        <f t="shared" si="386"/>
        <v>8</v>
      </c>
      <c r="R1462" s="3">
        <f>IF(AND($K1462=1,AND(对接源_02物料!$X262="公司筐",N(对接源_02物料!$U262)&lt;&gt;0)),1,0)</f>
        <v>0</v>
      </c>
      <c r="S1462" s="3">
        <f t="shared" si="387"/>
        <v>0</v>
      </c>
      <c r="T1462" s="3">
        <f>IF(AND($K1462=1,AND(对接源_02物料!$X262="公司筐",N(对接源_02物料!$V262)&lt;&gt;0)),1,0)</f>
        <v>0</v>
      </c>
      <c r="U1462" s="3">
        <f t="shared" si="388"/>
        <v>19</v>
      </c>
      <c r="V1462" s="3">
        <f>IF(AND($L1462=1,AND(对接源_02物料!$X262="自备筐",N(对接源_02物料!$V262)&lt;&gt;0)),1,0)</f>
        <v>0</v>
      </c>
      <c r="W1462" s="3">
        <f t="shared" si="389"/>
        <v>8</v>
      </c>
      <c r="X1462" s="3">
        <f>IF(AND($L1462=1,AND(对接源_02物料!$X262="自备筐",N(对接源_02物料!$T262)&lt;&gt;0)),1,0)</f>
        <v>0</v>
      </c>
      <c r="Y1462" s="3">
        <f t="shared" si="390"/>
        <v>0</v>
      </c>
      <c r="Z1462" s="3">
        <f>IF(AND($M1462=1,对接源_02物料!$D262="原料入库"),1,0)</f>
        <v>0</v>
      </c>
      <c r="AA1462" s="3">
        <f t="shared" si="391"/>
        <v>24</v>
      </c>
      <c r="AB1462" s="3">
        <f>IF(AND($M1462=1,LEFT(对接源_02物料!$D262,4)="原料出库"),1,0)</f>
        <v>0</v>
      </c>
      <c r="AC1462" s="3">
        <f t="shared" si="392"/>
        <v>0</v>
      </c>
      <c r="AD1462" s="3">
        <f>IF(AND($M1462=1,LEFT(对接源_02物料!$D262,4)="成品出库"),1,0)</f>
        <v>0</v>
      </c>
      <c r="AE1462" s="3">
        <f t="shared" si="393"/>
        <v>0</v>
      </c>
      <c r="AF1462" s="3">
        <f>IF(AND($N1462=1,AND(LEFT(对接源_02物料!$D262,4)="包装物料",N(对接源_02物料!$K262)&lt;&gt;0)),1,0)</f>
        <v>0</v>
      </c>
      <c r="AG1462" s="3">
        <f t="shared" si="394"/>
        <v>5</v>
      </c>
      <c r="AH1462" s="3">
        <f>IF(AND($N1462=1,AND(对接源_02物料!$D262="周转筐－销售出库",N(对接源_02物料!$K262)&lt;&gt;0)),1,0)</f>
        <v>0</v>
      </c>
      <c r="AI1462" s="3">
        <f t="shared" si="395"/>
        <v>0</v>
      </c>
      <c r="AL1462" s="3">
        <v>0</v>
      </c>
      <c r="AM1462" s="3">
        <f t="shared" si="396"/>
        <v>1</v>
      </c>
      <c r="AN1462" s="3" t="str">
        <f t="shared" si="400"/>
        <v/>
      </c>
      <c r="AO1462" s="3">
        <v>0</v>
      </c>
      <c r="AP1462" s="3">
        <f t="shared" si="397"/>
        <v>8</v>
      </c>
      <c r="AR1462">
        <f t="shared" si="398"/>
        <v>0</v>
      </c>
      <c r="AS1462">
        <f t="shared" si="399"/>
        <v>5</v>
      </c>
    </row>
    <row r="1463" customHeight="1" spans="1:45">
      <c r="A1463" s="3" t="str">
        <f>IF(对接源_02物料!$C263="","",对接源_02物料!$C263)</f>
        <v/>
      </c>
      <c r="B1463" s="3">
        <f t="shared" si="384"/>
        <v>0</v>
      </c>
      <c r="C1463" s="3">
        <f t="shared" si="385"/>
        <v>21</v>
      </c>
      <c r="K1463" s="3">
        <f>IF(OR($K$1="",对接源_02物料!$C263="",对接源_02物料!$C263&lt;&gt;$K$1,对接源_02物料!$B263=""),0,IF(OR(N(对接源_02物料!$B263)&lt;$K$2,N(对接源_02物料!$B263)&gt;$K$3),0,1))</f>
        <v>0</v>
      </c>
      <c r="L1463" s="3">
        <f>IF(OR($L$1="",对接源_02物料!$C263="",对接源_02物料!$C263&lt;&gt;$L$1,对接源_02物料!$B263=""),0,IF(OR(N(对接源_02物料!$B263)&lt;$L$2,N(对接源_02物料!$B263)&gt;$L$3),0,1))</f>
        <v>0</v>
      </c>
      <c r="M1463" s="3">
        <f>IF(OR($M$1="",对接源_02物料!$C263="",对接源_02物料!$C263&lt;&gt;$M$1,对接源_02物料!$B263=""),0,IF(OR(N(对接源_02物料!$B263)&lt;$M$2,N(对接源_02物料!$B263)&gt;$M$3),0,1))</f>
        <v>0</v>
      </c>
      <c r="N1463" s="3">
        <f>IF(OR($N$1="",对接源_02物料!$C263="",对接源_02物料!$C263&lt;&gt;$N$1,对接源_02物料!$B263=""),0,IF(OR(N(对接源_02物料!$B263)&lt;$N$2,N(对接源_02物料!$B263)&gt;$N$3),0,1))</f>
        <v>0</v>
      </c>
      <c r="P1463" s="3">
        <f>IF(AND($K1463=1,AND(对接源_02物料!$X263="公司筐",N(对接源_02物料!$T263)&lt;&gt;0)),1,0)</f>
        <v>0</v>
      </c>
      <c r="Q1463" s="3">
        <f t="shared" si="386"/>
        <v>8</v>
      </c>
      <c r="R1463" s="3">
        <f>IF(AND($K1463=1,AND(对接源_02物料!$X263="公司筐",N(对接源_02物料!$U263)&lt;&gt;0)),1,0)</f>
        <v>0</v>
      </c>
      <c r="S1463" s="3">
        <f t="shared" si="387"/>
        <v>0</v>
      </c>
      <c r="T1463" s="3">
        <f>IF(AND($K1463=1,AND(对接源_02物料!$X263="公司筐",N(对接源_02物料!$V263)&lt;&gt;0)),1,0)</f>
        <v>0</v>
      </c>
      <c r="U1463" s="3">
        <f t="shared" si="388"/>
        <v>19</v>
      </c>
      <c r="V1463" s="3">
        <f>IF(AND($L1463=1,AND(对接源_02物料!$X263="自备筐",N(对接源_02物料!$V263)&lt;&gt;0)),1,0)</f>
        <v>0</v>
      </c>
      <c r="W1463" s="3">
        <f t="shared" si="389"/>
        <v>8</v>
      </c>
      <c r="X1463" s="3">
        <f>IF(AND($L1463=1,AND(对接源_02物料!$X263="自备筐",N(对接源_02物料!$T263)&lt;&gt;0)),1,0)</f>
        <v>0</v>
      </c>
      <c r="Y1463" s="3">
        <f t="shared" si="390"/>
        <v>0</v>
      </c>
      <c r="Z1463" s="3">
        <f>IF(AND($M1463=1,对接源_02物料!$D263="原料入库"),1,0)</f>
        <v>0</v>
      </c>
      <c r="AA1463" s="3">
        <f t="shared" si="391"/>
        <v>24</v>
      </c>
      <c r="AB1463" s="3">
        <f>IF(AND($M1463=1,LEFT(对接源_02物料!$D263,4)="原料出库"),1,0)</f>
        <v>0</v>
      </c>
      <c r="AC1463" s="3">
        <f t="shared" si="392"/>
        <v>0</v>
      </c>
      <c r="AD1463" s="3">
        <f>IF(AND($M1463=1,LEFT(对接源_02物料!$D263,4)="成品出库"),1,0)</f>
        <v>0</v>
      </c>
      <c r="AE1463" s="3">
        <f t="shared" si="393"/>
        <v>0</v>
      </c>
      <c r="AF1463" s="3">
        <f>IF(AND($N1463=1,AND(LEFT(对接源_02物料!$D263,4)="包装物料",N(对接源_02物料!$K263)&lt;&gt;0)),1,0)</f>
        <v>0</v>
      </c>
      <c r="AG1463" s="3">
        <f t="shared" si="394"/>
        <v>5</v>
      </c>
      <c r="AH1463" s="3">
        <f>IF(AND($N1463=1,AND(对接源_02物料!$D263="周转筐－销售出库",N(对接源_02物料!$K263)&lt;&gt;0)),1,0)</f>
        <v>0</v>
      </c>
      <c r="AI1463" s="3">
        <f t="shared" si="395"/>
        <v>0</v>
      </c>
      <c r="AL1463" s="3">
        <v>0</v>
      </c>
      <c r="AM1463" s="3">
        <f t="shared" si="396"/>
        <v>1</v>
      </c>
      <c r="AN1463" s="3" t="str">
        <f t="shared" si="400"/>
        <v/>
      </c>
      <c r="AO1463" s="3">
        <v>0</v>
      </c>
      <c r="AP1463" s="3">
        <f t="shared" si="397"/>
        <v>8</v>
      </c>
      <c r="AR1463">
        <f t="shared" si="398"/>
        <v>0</v>
      </c>
      <c r="AS1463">
        <f t="shared" si="399"/>
        <v>5</v>
      </c>
    </row>
    <row r="1464" customHeight="1" spans="1:45">
      <c r="A1464" s="3" t="str">
        <f>IF(对接源_02物料!$C264="","",对接源_02物料!$C264)</f>
        <v/>
      </c>
      <c r="B1464" s="3">
        <f t="shared" si="384"/>
        <v>0</v>
      </c>
      <c r="C1464" s="3">
        <f t="shared" si="385"/>
        <v>21</v>
      </c>
      <c r="K1464" s="3">
        <f>IF(OR($K$1="",对接源_02物料!$C264="",对接源_02物料!$C264&lt;&gt;$K$1,对接源_02物料!$B264=""),0,IF(OR(N(对接源_02物料!$B264)&lt;$K$2,N(对接源_02物料!$B264)&gt;$K$3),0,1))</f>
        <v>0</v>
      </c>
      <c r="L1464" s="3">
        <f>IF(OR($L$1="",对接源_02物料!$C264="",对接源_02物料!$C264&lt;&gt;$L$1,对接源_02物料!$B264=""),0,IF(OR(N(对接源_02物料!$B264)&lt;$L$2,N(对接源_02物料!$B264)&gt;$L$3),0,1))</f>
        <v>0</v>
      </c>
      <c r="M1464" s="3">
        <f>IF(OR($M$1="",对接源_02物料!$C264="",对接源_02物料!$C264&lt;&gt;$M$1,对接源_02物料!$B264=""),0,IF(OR(N(对接源_02物料!$B264)&lt;$M$2,N(对接源_02物料!$B264)&gt;$M$3),0,1))</f>
        <v>0</v>
      </c>
      <c r="N1464" s="3">
        <f>IF(OR($N$1="",对接源_02物料!$C264="",对接源_02物料!$C264&lt;&gt;$N$1,对接源_02物料!$B264=""),0,IF(OR(N(对接源_02物料!$B264)&lt;$N$2,N(对接源_02物料!$B264)&gt;$N$3),0,1))</f>
        <v>0</v>
      </c>
      <c r="P1464" s="3">
        <f>IF(AND($K1464=1,AND(对接源_02物料!$X264="公司筐",N(对接源_02物料!$T264)&lt;&gt;0)),1,0)</f>
        <v>0</v>
      </c>
      <c r="Q1464" s="3">
        <f t="shared" si="386"/>
        <v>8</v>
      </c>
      <c r="R1464" s="3">
        <f>IF(AND($K1464=1,AND(对接源_02物料!$X264="公司筐",N(对接源_02物料!$U264)&lt;&gt;0)),1,0)</f>
        <v>0</v>
      </c>
      <c r="S1464" s="3">
        <f t="shared" si="387"/>
        <v>0</v>
      </c>
      <c r="T1464" s="3">
        <f>IF(AND($K1464=1,AND(对接源_02物料!$X264="公司筐",N(对接源_02物料!$V264)&lt;&gt;0)),1,0)</f>
        <v>0</v>
      </c>
      <c r="U1464" s="3">
        <f t="shared" si="388"/>
        <v>19</v>
      </c>
      <c r="V1464" s="3">
        <f>IF(AND($L1464=1,AND(对接源_02物料!$X264="自备筐",N(对接源_02物料!$V264)&lt;&gt;0)),1,0)</f>
        <v>0</v>
      </c>
      <c r="W1464" s="3">
        <f t="shared" si="389"/>
        <v>8</v>
      </c>
      <c r="X1464" s="3">
        <f>IF(AND($L1464=1,AND(对接源_02物料!$X264="自备筐",N(对接源_02物料!$T264)&lt;&gt;0)),1,0)</f>
        <v>0</v>
      </c>
      <c r="Y1464" s="3">
        <f t="shared" si="390"/>
        <v>0</v>
      </c>
      <c r="Z1464" s="3">
        <f>IF(AND($M1464=1,对接源_02物料!$D264="原料入库"),1,0)</f>
        <v>0</v>
      </c>
      <c r="AA1464" s="3">
        <f t="shared" si="391"/>
        <v>24</v>
      </c>
      <c r="AB1464" s="3">
        <f>IF(AND($M1464=1,LEFT(对接源_02物料!$D264,4)="原料出库"),1,0)</f>
        <v>0</v>
      </c>
      <c r="AC1464" s="3">
        <f t="shared" si="392"/>
        <v>0</v>
      </c>
      <c r="AD1464" s="3">
        <f>IF(AND($M1464=1,LEFT(对接源_02物料!$D264,4)="成品出库"),1,0)</f>
        <v>0</v>
      </c>
      <c r="AE1464" s="3">
        <f t="shared" si="393"/>
        <v>0</v>
      </c>
      <c r="AF1464" s="3">
        <f>IF(AND($N1464=1,AND(LEFT(对接源_02物料!$D264,4)="包装物料",N(对接源_02物料!$K264)&lt;&gt;0)),1,0)</f>
        <v>0</v>
      </c>
      <c r="AG1464" s="3">
        <f t="shared" si="394"/>
        <v>5</v>
      </c>
      <c r="AH1464" s="3">
        <f>IF(AND($N1464=1,AND(对接源_02物料!$D264="周转筐－销售出库",N(对接源_02物料!$K264)&lt;&gt;0)),1,0)</f>
        <v>0</v>
      </c>
      <c r="AI1464" s="3">
        <f t="shared" si="395"/>
        <v>0</v>
      </c>
      <c r="AL1464" s="3">
        <v>0</v>
      </c>
      <c r="AM1464" s="3">
        <f t="shared" si="396"/>
        <v>1</v>
      </c>
      <c r="AN1464" s="3" t="str">
        <f t="shared" si="400"/>
        <v/>
      </c>
      <c r="AO1464" s="3">
        <v>0</v>
      </c>
      <c r="AP1464" s="3">
        <f t="shared" si="397"/>
        <v>8</v>
      </c>
      <c r="AR1464">
        <f t="shared" si="398"/>
        <v>0</v>
      </c>
      <c r="AS1464">
        <f t="shared" si="399"/>
        <v>5</v>
      </c>
    </row>
    <row r="1465" customHeight="1" spans="1:45">
      <c r="A1465" s="3" t="str">
        <f>IF(对接源_02物料!$C265="","",对接源_02物料!$C265)</f>
        <v/>
      </c>
      <c r="B1465" s="3">
        <f t="shared" si="384"/>
        <v>0</v>
      </c>
      <c r="C1465" s="3">
        <f t="shared" si="385"/>
        <v>21</v>
      </c>
      <c r="K1465" s="3">
        <f>IF(OR($K$1="",对接源_02物料!$C265="",对接源_02物料!$C265&lt;&gt;$K$1,对接源_02物料!$B265=""),0,IF(OR(N(对接源_02物料!$B265)&lt;$K$2,N(对接源_02物料!$B265)&gt;$K$3),0,1))</f>
        <v>0</v>
      </c>
      <c r="L1465" s="3">
        <f>IF(OR($L$1="",对接源_02物料!$C265="",对接源_02物料!$C265&lt;&gt;$L$1,对接源_02物料!$B265=""),0,IF(OR(N(对接源_02物料!$B265)&lt;$L$2,N(对接源_02物料!$B265)&gt;$L$3),0,1))</f>
        <v>0</v>
      </c>
      <c r="M1465" s="3">
        <f>IF(OR($M$1="",对接源_02物料!$C265="",对接源_02物料!$C265&lt;&gt;$M$1,对接源_02物料!$B265=""),0,IF(OR(N(对接源_02物料!$B265)&lt;$M$2,N(对接源_02物料!$B265)&gt;$M$3),0,1))</f>
        <v>0</v>
      </c>
      <c r="N1465" s="3">
        <f>IF(OR($N$1="",对接源_02物料!$C265="",对接源_02物料!$C265&lt;&gt;$N$1,对接源_02物料!$B265=""),0,IF(OR(N(对接源_02物料!$B265)&lt;$N$2,N(对接源_02物料!$B265)&gt;$N$3),0,1))</f>
        <v>0</v>
      </c>
      <c r="P1465" s="3">
        <f>IF(AND($K1465=1,AND(对接源_02物料!$X265="公司筐",N(对接源_02物料!$T265)&lt;&gt;0)),1,0)</f>
        <v>0</v>
      </c>
      <c r="Q1465" s="3">
        <f t="shared" si="386"/>
        <v>8</v>
      </c>
      <c r="R1465" s="3">
        <f>IF(AND($K1465=1,AND(对接源_02物料!$X265="公司筐",N(对接源_02物料!$U265)&lt;&gt;0)),1,0)</f>
        <v>0</v>
      </c>
      <c r="S1465" s="3">
        <f t="shared" si="387"/>
        <v>0</v>
      </c>
      <c r="T1465" s="3">
        <f>IF(AND($K1465=1,AND(对接源_02物料!$X265="公司筐",N(对接源_02物料!$V265)&lt;&gt;0)),1,0)</f>
        <v>0</v>
      </c>
      <c r="U1465" s="3">
        <f t="shared" si="388"/>
        <v>19</v>
      </c>
      <c r="V1465" s="3">
        <f>IF(AND($L1465=1,AND(对接源_02物料!$X265="自备筐",N(对接源_02物料!$V265)&lt;&gt;0)),1,0)</f>
        <v>0</v>
      </c>
      <c r="W1465" s="3">
        <f t="shared" si="389"/>
        <v>8</v>
      </c>
      <c r="X1465" s="3">
        <f>IF(AND($L1465=1,AND(对接源_02物料!$X265="自备筐",N(对接源_02物料!$T265)&lt;&gt;0)),1,0)</f>
        <v>0</v>
      </c>
      <c r="Y1465" s="3">
        <f t="shared" si="390"/>
        <v>0</v>
      </c>
      <c r="Z1465" s="3">
        <f>IF(AND($M1465=1,对接源_02物料!$D265="原料入库"),1,0)</f>
        <v>0</v>
      </c>
      <c r="AA1465" s="3">
        <f t="shared" si="391"/>
        <v>24</v>
      </c>
      <c r="AB1465" s="3">
        <f>IF(AND($M1465=1,LEFT(对接源_02物料!$D265,4)="原料出库"),1,0)</f>
        <v>0</v>
      </c>
      <c r="AC1465" s="3">
        <f t="shared" si="392"/>
        <v>0</v>
      </c>
      <c r="AD1465" s="3">
        <f>IF(AND($M1465=1,LEFT(对接源_02物料!$D265,4)="成品出库"),1,0)</f>
        <v>0</v>
      </c>
      <c r="AE1465" s="3">
        <f t="shared" si="393"/>
        <v>0</v>
      </c>
      <c r="AF1465" s="3">
        <f>IF(AND($N1465=1,AND(LEFT(对接源_02物料!$D265,4)="包装物料",N(对接源_02物料!$K265)&lt;&gt;0)),1,0)</f>
        <v>0</v>
      </c>
      <c r="AG1465" s="3">
        <f t="shared" si="394"/>
        <v>5</v>
      </c>
      <c r="AH1465" s="3">
        <f>IF(AND($N1465=1,AND(对接源_02物料!$D265="周转筐－销售出库",N(对接源_02物料!$K265)&lt;&gt;0)),1,0)</f>
        <v>0</v>
      </c>
      <c r="AI1465" s="3">
        <f t="shared" si="395"/>
        <v>0</v>
      </c>
      <c r="AL1465" s="3">
        <v>0</v>
      </c>
      <c r="AM1465" s="3">
        <f t="shared" si="396"/>
        <v>1</v>
      </c>
      <c r="AN1465" s="3" t="str">
        <f t="shared" si="400"/>
        <v/>
      </c>
      <c r="AO1465" s="3">
        <v>0</v>
      </c>
      <c r="AP1465" s="3">
        <f t="shared" si="397"/>
        <v>8</v>
      </c>
      <c r="AR1465">
        <f t="shared" si="398"/>
        <v>0</v>
      </c>
      <c r="AS1465">
        <f t="shared" si="399"/>
        <v>5</v>
      </c>
    </row>
    <row r="1466" customHeight="1" spans="1:45">
      <c r="A1466" s="3" t="str">
        <f>IF(对接源_02物料!$C266="","",对接源_02物料!$C266)</f>
        <v/>
      </c>
      <c r="B1466" s="3">
        <f t="shared" si="384"/>
        <v>0</v>
      </c>
      <c r="C1466" s="3">
        <f t="shared" si="385"/>
        <v>21</v>
      </c>
      <c r="K1466" s="3">
        <f>IF(OR($K$1="",对接源_02物料!$C266="",对接源_02物料!$C266&lt;&gt;$K$1,对接源_02物料!$B266=""),0,IF(OR(N(对接源_02物料!$B266)&lt;$K$2,N(对接源_02物料!$B266)&gt;$K$3),0,1))</f>
        <v>0</v>
      </c>
      <c r="L1466" s="3">
        <f>IF(OR($L$1="",对接源_02物料!$C266="",对接源_02物料!$C266&lt;&gt;$L$1,对接源_02物料!$B266=""),0,IF(OR(N(对接源_02物料!$B266)&lt;$L$2,N(对接源_02物料!$B266)&gt;$L$3),0,1))</f>
        <v>0</v>
      </c>
      <c r="M1466" s="3">
        <f>IF(OR($M$1="",对接源_02物料!$C266="",对接源_02物料!$C266&lt;&gt;$M$1,对接源_02物料!$B266=""),0,IF(OR(N(对接源_02物料!$B266)&lt;$M$2,N(对接源_02物料!$B266)&gt;$M$3),0,1))</f>
        <v>0</v>
      </c>
      <c r="N1466" s="3">
        <f>IF(OR($N$1="",对接源_02物料!$C266="",对接源_02物料!$C266&lt;&gt;$N$1,对接源_02物料!$B266=""),0,IF(OR(N(对接源_02物料!$B266)&lt;$N$2,N(对接源_02物料!$B266)&gt;$N$3),0,1))</f>
        <v>0</v>
      </c>
      <c r="P1466" s="3">
        <f>IF(AND($K1466=1,AND(对接源_02物料!$X266="公司筐",N(对接源_02物料!$T266)&lt;&gt;0)),1,0)</f>
        <v>0</v>
      </c>
      <c r="Q1466" s="3">
        <f t="shared" si="386"/>
        <v>8</v>
      </c>
      <c r="R1466" s="3">
        <f>IF(AND($K1466=1,AND(对接源_02物料!$X266="公司筐",N(对接源_02物料!$U266)&lt;&gt;0)),1,0)</f>
        <v>0</v>
      </c>
      <c r="S1466" s="3">
        <f t="shared" si="387"/>
        <v>0</v>
      </c>
      <c r="T1466" s="3">
        <f>IF(AND($K1466=1,AND(对接源_02物料!$X266="公司筐",N(对接源_02物料!$V266)&lt;&gt;0)),1,0)</f>
        <v>0</v>
      </c>
      <c r="U1466" s="3">
        <f t="shared" si="388"/>
        <v>19</v>
      </c>
      <c r="V1466" s="3">
        <f>IF(AND($L1466=1,AND(对接源_02物料!$X266="自备筐",N(对接源_02物料!$V266)&lt;&gt;0)),1,0)</f>
        <v>0</v>
      </c>
      <c r="W1466" s="3">
        <f t="shared" si="389"/>
        <v>8</v>
      </c>
      <c r="X1466" s="3">
        <f>IF(AND($L1466=1,AND(对接源_02物料!$X266="自备筐",N(对接源_02物料!$T266)&lt;&gt;0)),1,0)</f>
        <v>0</v>
      </c>
      <c r="Y1466" s="3">
        <f t="shared" si="390"/>
        <v>0</v>
      </c>
      <c r="Z1466" s="3">
        <f>IF(AND($M1466=1,对接源_02物料!$D266="原料入库"),1,0)</f>
        <v>0</v>
      </c>
      <c r="AA1466" s="3">
        <f t="shared" si="391"/>
        <v>24</v>
      </c>
      <c r="AB1466" s="3">
        <f>IF(AND($M1466=1,LEFT(对接源_02物料!$D266,4)="原料出库"),1,0)</f>
        <v>0</v>
      </c>
      <c r="AC1466" s="3">
        <f t="shared" si="392"/>
        <v>0</v>
      </c>
      <c r="AD1466" s="3">
        <f>IF(AND($M1466=1,LEFT(对接源_02物料!$D266,4)="成品出库"),1,0)</f>
        <v>0</v>
      </c>
      <c r="AE1466" s="3">
        <f t="shared" si="393"/>
        <v>0</v>
      </c>
      <c r="AF1466" s="3">
        <f>IF(AND($N1466=1,AND(LEFT(对接源_02物料!$D266,4)="包装物料",N(对接源_02物料!$K266)&lt;&gt;0)),1,0)</f>
        <v>0</v>
      </c>
      <c r="AG1466" s="3">
        <f t="shared" si="394"/>
        <v>5</v>
      </c>
      <c r="AH1466" s="3">
        <f>IF(AND($N1466=1,AND(对接源_02物料!$D266="周转筐－销售出库",N(对接源_02物料!$K266)&lt;&gt;0)),1,0)</f>
        <v>0</v>
      </c>
      <c r="AI1466" s="3">
        <f t="shared" si="395"/>
        <v>0</v>
      </c>
      <c r="AL1466" s="3">
        <v>0</v>
      </c>
      <c r="AM1466" s="3">
        <f t="shared" si="396"/>
        <v>1</v>
      </c>
      <c r="AN1466" s="3" t="str">
        <f t="shared" si="400"/>
        <v/>
      </c>
      <c r="AO1466" s="3">
        <v>0</v>
      </c>
      <c r="AP1466" s="3">
        <f t="shared" si="397"/>
        <v>8</v>
      </c>
      <c r="AR1466">
        <f t="shared" si="398"/>
        <v>0</v>
      </c>
      <c r="AS1466">
        <f t="shared" si="399"/>
        <v>5</v>
      </c>
    </row>
    <row r="1467" customHeight="1" spans="1:45">
      <c r="A1467" s="3" t="str">
        <f>IF(对接源_02物料!$C267="","",对接源_02物料!$C267)</f>
        <v/>
      </c>
      <c r="B1467" s="3">
        <f t="shared" si="384"/>
        <v>0</v>
      </c>
      <c r="C1467" s="3">
        <f t="shared" si="385"/>
        <v>21</v>
      </c>
      <c r="K1467" s="3">
        <f>IF(OR($K$1="",对接源_02物料!$C267="",对接源_02物料!$C267&lt;&gt;$K$1,对接源_02物料!$B267=""),0,IF(OR(N(对接源_02物料!$B267)&lt;$K$2,N(对接源_02物料!$B267)&gt;$K$3),0,1))</f>
        <v>0</v>
      </c>
      <c r="L1467" s="3">
        <f>IF(OR($L$1="",对接源_02物料!$C267="",对接源_02物料!$C267&lt;&gt;$L$1,对接源_02物料!$B267=""),0,IF(OR(N(对接源_02物料!$B267)&lt;$L$2,N(对接源_02物料!$B267)&gt;$L$3),0,1))</f>
        <v>0</v>
      </c>
      <c r="M1467" s="3">
        <f>IF(OR($M$1="",对接源_02物料!$C267="",对接源_02物料!$C267&lt;&gt;$M$1,对接源_02物料!$B267=""),0,IF(OR(N(对接源_02物料!$B267)&lt;$M$2,N(对接源_02物料!$B267)&gt;$M$3),0,1))</f>
        <v>0</v>
      </c>
      <c r="N1467" s="3">
        <f>IF(OR($N$1="",对接源_02物料!$C267="",对接源_02物料!$C267&lt;&gt;$N$1,对接源_02物料!$B267=""),0,IF(OR(N(对接源_02物料!$B267)&lt;$N$2,N(对接源_02物料!$B267)&gt;$N$3),0,1))</f>
        <v>0</v>
      </c>
      <c r="P1467" s="3">
        <f>IF(AND($K1467=1,AND(对接源_02物料!$X267="公司筐",N(对接源_02物料!$T267)&lt;&gt;0)),1,0)</f>
        <v>0</v>
      </c>
      <c r="Q1467" s="3">
        <f t="shared" si="386"/>
        <v>8</v>
      </c>
      <c r="R1467" s="3">
        <f>IF(AND($K1467=1,AND(对接源_02物料!$X267="公司筐",N(对接源_02物料!$U267)&lt;&gt;0)),1,0)</f>
        <v>0</v>
      </c>
      <c r="S1467" s="3">
        <f t="shared" si="387"/>
        <v>0</v>
      </c>
      <c r="T1467" s="3">
        <f>IF(AND($K1467=1,AND(对接源_02物料!$X267="公司筐",N(对接源_02物料!$V267)&lt;&gt;0)),1,0)</f>
        <v>0</v>
      </c>
      <c r="U1467" s="3">
        <f t="shared" si="388"/>
        <v>19</v>
      </c>
      <c r="V1467" s="3">
        <f>IF(AND($L1467=1,AND(对接源_02物料!$X267="自备筐",N(对接源_02物料!$V267)&lt;&gt;0)),1,0)</f>
        <v>0</v>
      </c>
      <c r="W1467" s="3">
        <f t="shared" si="389"/>
        <v>8</v>
      </c>
      <c r="X1467" s="3">
        <f>IF(AND($L1467=1,AND(对接源_02物料!$X267="自备筐",N(对接源_02物料!$T267)&lt;&gt;0)),1,0)</f>
        <v>0</v>
      </c>
      <c r="Y1467" s="3">
        <f t="shared" si="390"/>
        <v>0</v>
      </c>
      <c r="Z1467" s="3">
        <f>IF(AND($M1467=1,对接源_02物料!$D267="原料入库"),1,0)</f>
        <v>0</v>
      </c>
      <c r="AA1467" s="3">
        <f t="shared" si="391"/>
        <v>24</v>
      </c>
      <c r="AB1467" s="3">
        <f>IF(AND($M1467=1,LEFT(对接源_02物料!$D267,4)="原料出库"),1,0)</f>
        <v>0</v>
      </c>
      <c r="AC1467" s="3">
        <f t="shared" si="392"/>
        <v>0</v>
      </c>
      <c r="AD1467" s="3">
        <f>IF(AND($M1467=1,LEFT(对接源_02物料!$D267,4)="成品出库"),1,0)</f>
        <v>0</v>
      </c>
      <c r="AE1467" s="3">
        <f t="shared" si="393"/>
        <v>0</v>
      </c>
      <c r="AF1467" s="3">
        <f>IF(AND($N1467=1,AND(LEFT(对接源_02物料!$D267,4)="包装物料",N(对接源_02物料!$K267)&lt;&gt;0)),1,0)</f>
        <v>0</v>
      </c>
      <c r="AG1467" s="3">
        <f t="shared" si="394"/>
        <v>5</v>
      </c>
      <c r="AH1467" s="3">
        <f>IF(AND($N1467=1,AND(对接源_02物料!$D267="周转筐－销售出库",N(对接源_02物料!$K267)&lt;&gt;0)),1,0)</f>
        <v>0</v>
      </c>
      <c r="AI1467" s="3">
        <f t="shared" si="395"/>
        <v>0</v>
      </c>
      <c r="AL1467" s="3">
        <v>0</v>
      </c>
      <c r="AM1467" s="3">
        <f t="shared" si="396"/>
        <v>1</v>
      </c>
      <c r="AN1467" s="3" t="str">
        <f t="shared" si="400"/>
        <v/>
      </c>
      <c r="AO1467" s="3">
        <v>0</v>
      </c>
      <c r="AP1467" s="3">
        <f t="shared" si="397"/>
        <v>8</v>
      </c>
      <c r="AR1467">
        <f t="shared" si="398"/>
        <v>0</v>
      </c>
      <c r="AS1467">
        <f t="shared" si="399"/>
        <v>5</v>
      </c>
    </row>
    <row r="1468" customHeight="1" spans="1:45">
      <c r="A1468" s="3" t="str">
        <f>IF(对接源_02物料!$C268="","",对接源_02物料!$C268)</f>
        <v/>
      </c>
      <c r="B1468" s="3">
        <f t="shared" si="384"/>
        <v>0</v>
      </c>
      <c r="C1468" s="3">
        <f t="shared" si="385"/>
        <v>21</v>
      </c>
      <c r="K1468" s="3">
        <f>IF(OR($K$1="",对接源_02物料!$C268="",对接源_02物料!$C268&lt;&gt;$K$1,对接源_02物料!$B268=""),0,IF(OR(N(对接源_02物料!$B268)&lt;$K$2,N(对接源_02物料!$B268)&gt;$K$3),0,1))</f>
        <v>0</v>
      </c>
      <c r="L1468" s="3">
        <f>IF(OR($L$1="",对接源_02物料!$C268="",对接源_02物料!$C268&lt;&gt;$L$1,对接源_02物料!$B268=""),0,IF(OR(N(对接源_02物料!$B268)&lt;$L$2,N(对接源_02物料!$B268)&gt;$L$3),0,1))</f>
        <v>0</v>
      </c>
      <c r="M1468" s="3">
        <f>IF(OR($M$1="",对接源_02物料!$C268="",对接源_02物料!$C268&lt;&gt;$M$1,对接源_02物料!$B268=""),0,IF(OR(N(对接源_02物料!$B268)&lt;$M$2,N(对接源_02物料!$B268)&gt;$M$3),0,1))</f>
        <v>0</v>
      </c>
      <c r="N1468" s="3">
        <f>IF(OR($N$1="",对接源_02物料!$C268="",对接源_02物料!$C268&lt;&gt;$N$1,对接源_02物料!$B268=""),0,IF(OR(N(对接源_02物料!$B268)&lt;$N$2,N(对接源_02物料!$B268)&gt;$N$3),0,1))</f>
        <v>0</v>
      </c>
      <c r="P1468" s="3">
        <f>IF(AND($K1468=1,AND(对接源_02物料!$X268="公司筐",N(对接源_02物料!$T268)&lt;&gt;0)),1,0)</f>
        <v>0</v>
      </c>
      <c r="Q1468" s="3">
        <f t="shared" si="386"/>
        <v>8</v>
      </c>
      <c r="R1468" s="3">
        <f>IF(AND($K1468=1,AND(对接源_02物料!$X268="公司筐",N(对接源_02物料!$U268)&lt;&gt;0)),1,0)</f>
        <v>0</v>
      </c>
      <c r="S1468" s="3">
        <f t="shared" si="387"/>
        <v>0</v>
      </c>
      <c r="T1468" s="3">
        <f>IF(AND($K1468=1,AND(对接源_02物料!$X268="公司筐",N(对接源_02物料!$V268)&lt;&gt;0)),1,0)</f>
        <v>0</v>
      </c>
      <c r="U1468" s="3">
        <f t="shared" si="388"/>
        <v>19</v>
      </c>
      <c r="V1468" s="3">
        <f>IF(AND($L1468=1,AND(对接源_02物料!$X268="自备筐",N(对接源_02物料!$V268)&lt;&gt;0)),1,0)</f>
        <v>0</v>
      </c>
      <c r="W1468" s="3">
        <f t="shared" si="389"/>
        <v>8</v>
      </c>
      <c r="X1468" s="3">
        <f>IF(AND($L1468=1,AND(对接源_02物料!$X268="自备筐",N(对接源_02物料!$T268)&lt;&gt;0)),1,0)</f>
        <v>0</v>
      </c>
      <c r="Y1468" s="3">
        <f t="shared" si="390"/>
        <v>0</v>
      </c>
      <c r="Z1468" s="3">
        <f>IF(AND($M1468=1,对接源_02物料!$D268="原料入库"),1,0)</f>
        <v>0</v>
      </c>
      <c r="AA1468" s="3">
        <f t="shared" si="391"/>
        <v>24</v>
      </c>
      <c r="AB1468" s="3">
        <f>IF(AND($M1468=1,LEFT(对接源_02物料!$D268,4)="原料出库"),1,0)</f>
        <v>0</v>
      </c>
      <c r="AC1468" s="3">
        <f t="shared" si="392"/>
        <v>0</v>
      </c>
      <c r="AD1468" s="3">
        <f>IF(AND($M1468=1,LEFT(对接源_02物料!$D268,4)="成品出库"),1,0)</f>
        <v>0</v>
      </c>
      <c r="AE1468" s="3">
        <f t="shared" si="393"/>
        <v>0</v>
      </c>
      <c r="AF1468" s="3">
        <f>IF(AND($N1468=1,AND(LEFT(对接源_02物料!$D268,4)="包装物料",N(对接源_02物料!$K268)&lt;&gt;0)),1,0)</f>
        <v>0</v>
      </c>
      <c r="AG1468" s="3">
        <f t="shared" si="394"/>
        <v>5</v>
      </c>
      <c r="AH1468" s="3">
        <f>IF(AND($N1468=1,AND(对接源_02物料!$D268="周转筐－销售出库",N(对接源_02物料!$K268)&lt;&gt;0)),1,0)</f>
        <v>0</v>
      </c>
      <c r="AI1468" s="3">
        <f t="shared" si="395"/>
        <v>0</v>
      </c>
      <c r="AL1468" s="3">
        <v>0</v>
      </c>
      <c r="AM1468" s="3">
        <f t="shared" si="396"/>
        <v>1</v>
      </c>
      <c r="AN1468" s="3" t="str">
        <f t="shared" si="400"/>
        <v/>
      </c>
      <c r="AO1468" s="3">
        <v>0</v>
      </c>
      <c r="AP1468" s="3">
        <f t="shared" si="397"/>
        <v>8</v>
      </c>
      <c r="AR1468">
        <f t="shared" si="398"/>
        <v>0</v>
      </c>
      <c r="AS1468">
        <f t="shared" si="399"/>
        <v>5</v>
      </c>
    </row>
    <row r="1469" customHeight="1" spans="1:45">
      <c r="A1469" s="3" t="str">
        <f>IF(对接源_02物料!$C269="","",对接源_02物料!$C269)</f>
        <v/>
      </c>
      <c r="B1469" s="3">
        <f t="shared" si="384"/>
        <v>0</v>
      </c>
      <c r="C1469" s="3">
        <f t="shared" si="385"/>
        <v>21</v>
      </c>
      <c r="K1469" s="3">
        <f>IF(OR($K$1="",对接源_02物料!$C269="",对接源_02物料!$C269&lt;&gt;$K$1,对接源_02物料!$B269=""),0,IF(OR(N(对接源_02物料!$B269)&lt;$K$2,N(对接源_02物料!$B269)&gt;$K$3),0,1))</f>
        <v>0</v>
      </c>
      <c r="L1469" s="3">
        <f>IF(OR($L$1="",对接源_02物料!$C269="",对接源_02物料!$C269&lt;&gt;$L$1,对接源_02物料!$B269=""),0,IF(OR(N(对接源_02物料!$B269)&lt;$L$2,N(对接源_02物料!$B269)&gt;$L$3),0,1))</f>
        <v>0</v>
      </c>
      <c r="M1469" s="3">
        <f>IF(OR($M$1="",对接源_02物料!$C269="",对接源_02物料!$C269&lt;&gt;$M$1,对接源_02物料!$B269=""),0,IF(OR(N(对接源_02物料!$B269)&lt;$M$2,N(对接源_02物料!$B269)&gt;$M$3),0,1))</f>
        <v>0</v>
      </c>
      <c r="N1469" s="3">
        <f>IF(OR($N$1="",对接源_02物料!$C269="",对接源_02物料!$C269&lt;&gt;$N$1,对接源_02物料!$B269=""),0,IF(OR(N(对接源_02物料!$B269)&lt;$N$2,N(对接源_02物料!$B269)&gt;$N$3),0,1))</f>
        <v>0</v>
      </c>
      <c r="P1469" s="3">
        <f>IF(AND($K1469=1,AND(对接源_02物料!$X269="公司筐",N(对接源_02物料!$T269)&lt;&gt;0)),1,0)</f>
        <v>0</v>
      </c>
      <c r="Q1469" s="3">
        <f t="shared" si="386"/>
        <v>8</v>
      </c>
      <c r="R1469" s="3">
        <f>IF(AND($K1469=1,AND(对接源_02物料!$X269="公司筐",N(对接源_02物料!$U269)&lt;&gt;0)),1,0)</f>
        <v>0</v>
      </c>
      <c r="S1469" s="3">
        <f t="shared" si="387"/>
        <v>0</v>
      </c>
      <c r="T1469" s="3">
        <f>IF(AND($K1469=1,AND(对接源_02物料!$X269="公司筐",N(对接源_02物料!$V269)&lt;&gt;0)),1,0)</f>
        <v>0</v>
      </c>
      <c r="U1469" s="3">
        <f t="shared" si="388"/>
        <v>19</v>
      </c>
      <c r="V1469" s="3">
        <f>IF(AND($L1469=1,AND(对接源_02物料!$X269="自备筐",N(对接源_02物料!$V269)&lt;&gt;0)),1,0)</f>
        <v>0</v>
      </c>
      <c r="W1469" s="3">
        <f t="shared" si="389"/>
        <v>8</v>
      </c>
      <c r="X1469" s="3">
        <f>IF(AND($L1469=1,AND(对接源_02物料!$X269="自备筐",N(对接源_02物料!$T269)&lt;&gt;0)),1,0)</f>
        <v>0</v>
      </c>
      <c r="Y1469" s="3">
        <f t="shared" si="390"/>
        <v>0</v>
      </c>
      <c r="Z1469" s="3">
        <f>IF(AND($M1469=1,对接源_02物料!$D269="原料入库"),1,0)</f>
        <v>0</v>
      </c>
      <c r="AA1469" s="3">
        <f t="shared" si="391"/>
        <v>24</v>
      </c>
      <c r="AB1469" s="3">
        <f>IF(AND($M1469=1,LEFT(对接源_02物料!$D269,4)="原料出库"),1,0)</f>
        <v>0</v>
      </c>
      <c r="AC1469" s="3">
        <f t="shared" si="392"/>
        <v>0</v>
      </c>
      <c r="AD1469" s="3">
        <f>IF(AND($M1469=1,LEFT(对接源_02物料!$D269,4)="成品出库"),1,0)</f>
        <v>0</v>
      </c>
      <c r="AE1469" s="3">
        <f t="shared" si="393"/>
        <v>0</v>
      </c>
      <c r="AF1469" s="3">
        <f>IF(AND($N1469=1,AND(LEFT(对接源_02物料!$D269,4)="包装物料",N(对接源_02物料!$K269)&lt;&gt;0)),1,0)</f>
        <v>0</v>
      </c>
      <c r="AG1469" s="3">
        <f t="shared" si="394"/>
        <v>5</v>
      </c>
      <c r="AH1469" s="3">
        <f>IF(AND($N1469=1,AND(对接源_02物料!$D269="周转筐－销售出库",N(对接源_02物料!$K269)&lt;&gt;0)),1,0)</f>
        <v>0</v>
      </c>
      <c r="AI1469" s="3">
        <f t="shared" si="395"/>
        <v>0</v>
      </c>
      <c r="AL1469" s="3">
        <v>0</v>
      </c>
      <c r="AM1469" s="3">
        <f t="shared" si="396"/>
        <v>1</v>
      </c>
      <c r="AN1469" s="3" t="str">
        <f t="shared" si="400"/>
        <v/>
      </c>
      <c r="AO1469" s="3">
        <v>0</v>
      </c>
      <c r="AP1469" s="3">
        <f t="shared" si="397"/>
        <v>8</v>
      </c>
      <c r="AR1469">
        <f t="shared" si="398"/>
        <v>0</v>
      </c>
      <c r="AS1469">
        <f t="shared" si="399"/>
        <v>5</v>
      </c>
    </row>
    <row r="1470" customHeight="1" spans="1:45">
      <c r="A1470" s="3" t="str">
        <f>IF(对接源_02物料!$C270="","",对接源_02物料!$C270)</f>
        <v/>
      </c>
      <c r="B1470" s="3">
        <f t="shared" si="384"/>
        <v>0</v>
      </c>
      <c r="C1470" s="3">
        <f t="shared" si="385"/>
        <v>21</v>
      </c>
      <c r="K1470" s="3">
        <f>IF(OR($K$1="",对接源_02物料!$C270="",对接源_02物料!$C270&lt;&gt;$K$1,对接源_02物料!$B270=""),0,IF(OR(N(对接源_02物料!$B270)&lt;$K$2,N(对接源_02物料!$B270)&gt;$K$3),0,1))</f>
        <v>0</v>
      </c>
      <c r="L1470" s="3">
        <f>IF(OR($L$1="",对接源_02物料!$C270="",对接源_02物料!$C270&lt;&gt;$L$1,对接源_02物料!$B270=""),0,IF(OR(N(对接源_02物料!$B270)&lt;$L$2,N(对接源_02物料!$B270)&gt;$L$3),0,1))</f>
        <v>0</v>
      </c>
      <c r="M1470" s="3">
        <f>IF(OR($M$1="",对接源_02物料!$C270="",对接源_02物料!$C270&lt;&gt;$M$1,对接源_02物料!$B270=""),0,IF(OR(N(对接源_02物料!$B270)&lt;$M$2,N(对接源_02物料!$B270)&gt;$M$3),0,1))</f>
        <v>0</v>
      </c>
      <c r="N1470" s="3">
        <f>IF(OR($N$1="",对接源_02物料!$C270="",对接源_02物料!$C270&lt;&gt;$N$1,对接源_02物料!$B270=""),0,IF(OR(N(对接源_02物料!$B270)&lt;$N$2,N(对接源_02物料!$B270)&gt;$N$3),0,1))</f>
        <v>0</v>
      </c>
      <c r="P1470" s="3">
        <f>IF(AND($K1470=1,AND(对接源_02物料!$X270="公司筐",N(对接源_02物料!$T270)&lt;&gt;0)),1,0)</f>
        <v>0</v>
      </c>
      <c r="Q1470" s="3">
        <f t="shared" si="386"/>
        <v>8</v>
      </c>
      <c r="R1470" s="3">
        <f>IF(AND($K1470=1,AND(对接源_02物料!$X270="公司筐",N(对接源_02物料!$U270)&lt;&gt;0)),1,0)</f>
        <v>0</v>
      </c>
      <c r="S1470" s="3">
        <f t="shared" si="387"/>
        <v>0</v>
      </c>
      <c r="T1470" s="3">
        <f>IF(AND($K1470=1,AND(对接源_02物料!$X270="公司筐",N(对接源_02物料!$V270)&lt;&gt;0)),1,0)</f>
        <v>0</v>
      </c>
      <c r="U1470" s="3">
        <f t="shared" si="388"/>
        <v>19</v>
      </c>
      <c r="V1470" s="3">
        <f>IF(AND($L1470=1,AND(对接源_02物料!$X270="自备筐",N(对接源_02物料!$V270)&lt;&gt;0)),1,0)</f>
        <v>0</v>
      </c>
      <c r="W1470" s="3">
        <f t="shared" si="389"/>
        <v>8</v>
      </c>
      <c r="X1470" s="3">
        <f>IF(AND($L1470=1,AND(对接源_02物料!$X270="自备筐",N(对接源_02物料!$T270)&lt;&gt;0)),1,0)</f>
        <v>0</v>
      </c>
      <c r="Y1470" s="3">
        <f t="shared" si="390"/>
        <v>0</v>
      </c>
      <c r="Z1470" s="3">
        <f>IF(AND($M1470=1,对接源_02物料!$D270="原料入库"),1,0)</f>
        <v>0</v>
      </c>
      <c r="AA1470" s="3">
        <f t="shared" si="391"/>
        <v>24</v>
      </c>
      <c r="AB1470" s="3">
        <f>IF(AND($M1470=1,LEFT(对接源_02物料!$D270,4)="原料出库"),1,0)</f>
        <v>0</v>
      </c>
      <c r="AC1470" s="3">
        <f t="shared" si="392"/>
        <v>0</v>
      </c>
      <c r="AD1470" s="3">
        <f>IF(AND($M1470=1,LEFT(对接源_02物料!$D270,4)="成品出库"),1,0)</f>
        <v>0</v>
      </c>
      <c r="AE1470" s="3">
        <f t="shared" si="393"/>
        <v>0</v>
      </c>
      <c r="AF1470" s="3">
        <f>IF(AND($N1470=1,AND(LEFT(对接源_02物料!$D270,4)="包装物料",N(对接源_02物料!$K270)&lt;&gt;0)),1,0)</f>
        <v>0</v>
      </c>
      <c r="AG1470" s="3">
        <f t="shared" si="394"/>
        <v>5</v>
      </c>
      <c r="AH1470" s="3">
        <f>IF(AND($N1470=1,AND(对接源_02物料!$D270="周转筐－销售出库",N(对接源_02物料!$K270)&lt;&gt;0)),1,0)</f>
        <v>0</v>
      </c>
      <c r="AI1470" s="3">
        <f t="shared" si="395"/>
        <v>0</v>
      </c>
      <c r="AL1470" s="3">
        <v>0</v>
      </c>
      <c r="AM1470" s="3">
        <f t="shared" si="396"/>
        <v>1</v>
      </c>
      <c r="AN1470" s="3" t="str">
        <f t="shared" si="400"/>
        <v/>
      </c>
      <c r="AO1470" s="3">
        <v>0</v>
      </c>
      <c r="AP1470" s="3">
        <f t="shared" si="397"/>
        <v>8</v>
      </c>
      <c r="AR1470">
        <f t="shared" si="398"/>
        <v>0</v>
      </c>
      <c r="AS1470">
        <f t="shared" si="399"/>
        <v>5</v>
      </c>
    </row>
    <row r="1471" customHeight="1" spans="1:45">
      <c r="A1471" s="3" t="str">
        <f>IF(对接源_02物料!$C271="","",对接源_02物料!$C271)</f>
        <v/>
      </c>
      <c r="B1471" s="3">
        <f t="shared" si="384"/>
        <v>0</v>
      </c>
      <c r="C1471" s="3">
        <f t="shared" si="385"/>
        <v>21</v>
      </c>
      <c r="K1471" s="3">
        <f>IF(OR($K$1="",对接源_02物料!$C271="",对接源_02物料!$C271&lt;&gt;$K$1,对接源_02物料!$B271=""),0,IF(OR(N(对接源_02物料!$B271)&lt;$K$2,N(对接源_02物料!$B271)&gt;$K$3),0,1))</f>
        <v>0</v>
      </c>
      <c r="L1471" s="3">
        <f>IF(OR($L$1="",对接源_02物料!$C271="",对接源_02物料!$C271&lt;&gt;$L$1,对接源_02物料!$B271=""),0,IF(OR(N(对接源_02物料!$B271)&lt;$L$2,N(对接源_02物料!$B271)&gt;$L$3),0,1))</f>
        <v>0</v>
      </c>
      <c r="M1471" s="3">
        <f>IF(OR($M$1="",对接源_02物料!$C271="",对接源_02物料!$C271&lt;&gt;$M$1,对接源_02物料!$B271=""),0,IF(OR(N(对接源_02物料!$B271)&lt;$M$2,N(对接源_02物料!$B271)&gt;$M$3),0,1))</f>
        <v>0</v>
      </c>
      <c r="N1471" s="3">
        <f>IF(OR($N$1="",对接源_02物料!$C271="",对接源_02物料!$C271&lt;&gt;$N$1,对接源_02物料!$B271=""),0,IF(OR(N(对接源_02物料!$B271)&lt;$N$2,N(对接源_02物料!$B271)&gt;$N$3),0,1))</f>
        <v>0</v>
      </c>
      <c r="P1471" s="3">
        <f>IF(AND($K1471=1,AND(对接源_02物料!$X271="公司筐",N(对接源_02物料!$T271)&lt;&gt;0)),1,0)</f>
        <v>0</v>
      </c>
      <c r="Q1471" s="3">
        <f t="shared" si="386"/>
        <v>8</v>
      </c>
      <c r="R1471" s="3">
        <f>IF(AND($K1471=1,AND(对接源_02物料!$X271="公司筐",N(对接源_02物料!$U271)&lt;&gt;0)),1,0)</f>
        <v>0</v>
      </c>
      <c r="S1471" s="3">
        <f t="shared" si="387"/>
        <v>0</v>
      </c>
      <c r="T1471" s="3">
        <f>IF(AND($K1471=1,AND(对接源_02物料!$X271="公司筐",N(对接源_02物料!$V271)&lt;&gt;0)),1,0)</f>
        <v>0</v>
      </c>
      <c r="U1471" s="3">
        <f t="shared" si="388"/>
        <v>19</v>
      </c>
      <c r="V1471" s="3">
        <f>IF(AND($L1471=1,AND(对接源_02物料!$X271="自备筐",N(对接源_02物料!$V271)&lt;&gt;0)),1,0)</f>
        <v>0</v>
      </c>
      <c r="W1471" s="3">
        <f t="shared" si="389"/>
        <v>8</v>
      </c>
      <c r="X1471" s="3">
        <f>IF(AND($L1471=1,AND(对接源_02物料!$X271="自备筐",N(对接源_02物料!$T271)&lt;&gt;0)),1,0)</f>
        <v>0</v>
      </c>
      <c r="Y1471" s="3">
        <f t="shared" si="390"/>
        <v>0</v>
      </c>
      <c r="Z1471" s="3">
        <f>IF(AND($M1471=1,对接源_02物料!$D271="原料入库"),1,0)</f>
        <v>0</v>
      </c>
      <c r="AA1471" s="3">
        <f t="shared" si="391"/>
        <v>24</v>
      </c>
      <c r="AB1471" s="3">
        <f>IF(AND($M1471=1,LEFT(对接源_02物料!$D271,4)="原料出库"),1,0)</f>
        <v>0</v>
      </c>
      <c r="AC1471" s="3">
        <f t="shared" si="392"/>
        <v>0</v>
      </c>
      <c r="AD1471" s="3">
        <f>IF(AND($M1471=1,LEFT(对接源_02物料!$D271,4)="成品出库"),1,0)</f>
        <v>0</v>
      </c>
      <c r="AE1471" s="3">
        <f t="shared" si="393"/>
        <v>0</v>
      </c>
      <c r="AF1471" s="3">
        <f>IF(AND($N1471=1,AND(LEFT(对接源_02物料!$D271,4)="包装物料",N(对接源_02物料!$K271)&lt;&gt;0)),1,0)</f>
        <v>0</v>
      </c>
      <c r="AG1471" s="3">
        <f t="shared" si="394"/>
        <v>5</v>
      </c>
      <c r="AH1471" s="3">
        <f>IF(AND($N1471=1,AND(对接源_02物料!$D271="周转筐－销售出库",N(对接源_02物料!$K271)&lt;&gt;0)),1,0)</f>
        <v>0</v>
      </c>
      <c r="AI1471" s="3">
        <f t="shared" si="395"/>
        <v>0</v>
      </c>
      <c r="AL1471" s="3">
        <v>0</v>
      </c>
      <c r="AM1471" s="3">
        <f t="shared" si="396"/>
        <v>1</v>
      </c>
      <c r="AN1471" s="3" t="str">
        <f t="shared" si="400"/>
        <v/>
      </c>
      <c r="AO1471" s="3">
        <v>0</v>
      </c>
      <c r="AP1471" s="3">
        <f t="shared" si="397"/>
        <v>8</v>
      </c>
      <c r="AR1471">
        <f t="shared" si="398"/>
        <v>0</v>
      </c>
      <c r="AS1471">
        <f t="shared" si="399"/>
        <v>5</v>
      </c>
    </row>
    <row r="1472" customHeight="1" spans="1:45">
      <c r="A1472" s="3" t="str">
        <f>IF(对接源_02物料!$C272="","",对接源_02物料!$C272)</f>
        <v/>
      </c>
      <c r="B1472" s="3">
        <f t="shared" si="384"/>
        <v>0</v>
      </c>
      <c r="C1472" s="3">
        <f t="shared" si="385"/>
        <v>21</v>
      </c>
      <c r="K1472" s="3">
        <f>IF(OR($K$1="",对接源_02物料!$C272="",对接源_02物料!$C272&lt;&gt;$K$1,对接源_02物料!$B272=""),0,IF(OR(N(对接源_02物料!$B272)&lt;$K$2,N(对接源_02物料!$B272)&gt;$K$3),0,1))</f>
        <v>0</v>
      </c>
      <c r="L1472" s="3">
        <f>IF(OR($L$1="",对接源_02物料!$C272="",对接源_02物料!$C272&lt;&gt;$L$1,对接源_02物料!$B272=""),0,IF(OR(N(对接源_02物料!$B272)&lt;$L$2,N(对接源_02物料!$B272)&gt;$L$3),0,1))</f>
        <v>0</v>
      </c>
      <c r="M1472" s="3">
        <f>IF(OR($M$1="",对接源_02物料!$C272="",对接源_02物料!$C272&lt;&gt;$M$1,对接源_02物料!$B272=""),0,IF(OR(N(对接源_02物料!$B272)&lt;$M$2,N(对接源_02物料!$B272)&gt;$M$3),0,1))</f>
        <v>0</v>
      </c>
      <c r="N1472" s="3">
        <f>IF(OR($N$1="",对接源_02物料!$C272="",对接源_02物料!$C272&lt;&gt;$N$1,对接源_02物料!$B272=""),0,IF(OR(N(对接源_02物料!$B272)&lt;$N$2,N(对接源_02物料!$B272)&gt;$N$3),0,1))</f>
        <v>0</v>
      </c>
      <c r="P1472" s="3">
        <f>IF(AND($K1472=1,AND(对接源_02物料!$X272="公司筐",N(对接源_02物料!$T272)&lt;&gt;0)),1,0)</f>
        <v>0</v>
      </c>
      <c r="Q1472" s="3">
        <f t="shared" si="386"/>
        <v>8</v>
      </c>
      <c r="R1472" s="3">
        <f>IF(AND($K1472=1,AND(对接源_02物料!$X272="公司筐",N(对接源_02物料!$U272)&lt;&gt;0)),1,0)</f>
        <v>0</v>
      </c>
      <c r="S1472" s="3">
        <f t="shared" si="387"/>
        <v>0</v>
      </c>
      <c r="T1472" s="3">
        <f>IF(AND($K1472=1,AND(对接源_02物料!$X272="公司筐",N(对接源_02物料!$V272)&lt;&gt;0)),1,0)</f>
        <v>0</v>
      </c>
      <c r="U1472" s="3">
        <f t="shared" si="388"/>
        <v>19</v>
      </c>
      <c r="V1472" s="3">
        <f>IF(AND($L1472=1,AND(对接源_02物料!$X272="自备筐",N(对接源_02物料!$V272)&lt;&gt;0)),1,0)</f>
        <v>0</v>
      </c>
      <c r="W1472" s="3">
        <f t="shared" si="389"/>
        <v>8</v>
      </c>
      <c r="X1472" s="3">
        <f>IF(AND($L1472=1,AND(对接源_02物料!$X272="自备筐",N(对接源_02物料!$T272)&lt;&gt;0)),1,0)</f>
        <v>0</v>
      </c>
      <c r="Y1472" s="3">
        <f t="shared" si="390"/>
        <v>0</v>
      </c>
      <c r="Z1472" s="3">
        <f>IF(AND($M1472=1,对接源_02物料!$D272="原料入库"),1,0)</f>
        <v>0</v>
      </c>
      <c r="AA1472" s="3">
        <f t="shared" si="391"/>
        <v>24</v>
      </c>
      <c r="AB1472" s="3">
        <f>IF(AND($M1472=1,LEFT(对接源_02物料!$D272,4)="原料出库"),1,0)</f>
        <v>0</v>
      </c>
      <c r="AC1472" s="3">
        <f t="shared" si="392"/>
        <v>0</v>
      </c>
      <c r="AD1472" s="3">
        <f>IF(AND($M1472=1,LEFT(对接源_02物料!$D272,4)="成品出库"),1,0)</f>
        <v>0</v>
      </c>
      <c r="AE1472" s="3">
        <f t="shared" si="393"/>
        <v>0</v>
      </c>
      <c r="AF1472" s="3">
        <f>IF(AND($N1472=1,AND(LEFT(对接源_02物料!$D272,4)="包装物料",N(对接源_02物料!$K272)&lt;&gt;0)),1,0)</f>
        <v>0</v>
      </c>
      <c r="AG1472" s="3">
        <f t="shared" si="394"/>
        <v>5</v>
      </c>
      <c r="AH1472" s="3">
        <f>IF(AND($N1472=1,AND(对接源_02物料!$D272="周转筐－销售出库",N(对接源_02物料!$K272)&lt;&gt;0)),1,0)</f>
        <v>0</v>
      </c>
      <c r="AI1472" s="3">
        <f t="shared" si="395"/>
        <v>0</v>
      </c>
      <c r="AL1472" s="3">
        <v>0</v>
      </c>
      <c r="AM1472" s="3">
        <f t="shared" si="396"/>
        <v>1</v>
      </c>
      <c r="AN1472" s="3" t="str">
        <f t="shared" si="400"/>
        <v/>
      </c>
      <c r="AO1472" s="3">
        <v>0</v>
      </c>
      <c r="AP1472" s="3">
        <f t="shared" si="397"/>
        <v>8</v>
      </c>
      <c r="AR1472">
        <f t="shared" si="398"/>
        <v>0</v>
      </c>
      <c r="AS1472">
        <f t="shared" si="399"/>
        <v>5</v>
      </c>
    </row>
    <row r="1473" customHeight="1" spans="1:45">
      <c r="A1473" s="3" t="str">
        <f>IF(对接源_02物料!$C273="","",对接源_02物料!$C273)</f>
        <v/>
      </c>
      <c r="B1473" s="3">
        <f t="shared" si="384"/>
        <v>0</v>
      </c>
      <c r="C1473" s="3">
        <f t="shared" si="385"/>
        <v>21</v>
      </c>
      <c r="K1473" s="3">
        <f>IF(OR($K$1="",对接源_02物料!$C273="",对接源_02物料!$C273&lt;&gt;$K$1,对接源_02物料!$B273=""),0,IF(OR(N(对接源_02物料!$B273)&lt;$K$2,N(对接源_02物料!$B273)&gt;$K$3),0,1))</f>
        <v>0</v>
      </c>
      <c r="L1473" s="3">
        <f>IF(OR($L$1="",对接源_02物料!$C273="",对接源_02物料!$C273&lt;&gt;$L$1,对接源_02物料!$B273=""),0,IF(OR(N(对接源_02物料!$B273)&lt;$L$2,N(对接源_02物料!$B273)&gt;$L$3),0,1))</f>
        <v>0</v>
      </c>
      <c r="M1473" s="3">
        <f>IF(OR($M$1="",对接源_02物料!$C273="",对接源_02物料!$C273&lt;&gt;$M$1,对接源_02物料!$B273=""),0,IF(OR(N(对接源_02物料!$B273)&lt;$M$2,N(对接源_02物料!$B273)&gt;$M$3),0,1))</f>
        <v>0</v>
      </c>
      <c r="N1473" s="3">
        <f>IF(OR($N$1="",对接源_02物料!$C273="",对接源_02物料!$C273&lt;&gt;$N$1,对接源_02物料!$B273=""),0,IF(OR(N(对接源_02物料!$B273)&lt;$N$2,N(对接源_02物料!$B273)&gt;$N$3),0,1))</f>
        <v>0</v>
      </c>
      <c r="P1473" s="3">
        <f>IF(AND($K1473=1,AND(对接源_02物料!$X273="公司筐",N(对接源_02物料!$T273)&lt;&gt;0)),1,0)</f>
        <v>0</v>
      </c>
      <c r="Q1473" s="3">
        <f t="shared" si="386"/>
        <v>8</v>
      </c>
      <c r="R1473" s="3">
        <f>IF(AND($K1473=1,AND(对接源_02物料!$X273="公司筐",N(对接源_02物料!$U273)&lt;&gt;0)),1,0)</f>
        <v>0</v>
      </c>
      <c r="S1473" s="3">
        <f t="shared" si="387"/>
        <v>0</v>
      </c>
      <c r="T1473" s="3">
        <f>IF(AND($K1473=1,AND(对接源_02物料!$X273="公司筐",N(对接源_02物料!$V273)&lt;&gt;0)),1,0)</f>
        <v>0</v>
      </c>
      <c r="U1473" s="3">
        <f t="shared" si="388"/>
        <v>19</v>
      </c>
      <c r="V1473" s="3">
        <f>IF(AND($L1473=1,AND(对接源_02物料!$X273="自备筐",N(对接源_02物料!$V273)&lt;&gt;0)),1,0)</f>
        <v>0</v>
      </c>
      <c r="W1473" s="3">
        <f t="shared" si="389"/>
        <v>8</v>
      </c>
      <c r="X1473" s="3">
        <f>IF(AND($L1473=1,AND(对接源_02物料!$X273="自备筐",N(对接源_02物料!$T273)&lt;&gt;0)),1,0)</f>
        <v>0</v>
      </c>
      <c r="Y1473" s="3">
        <f t="shared" si="390"/>
        <v>0</v>
      </c>
      <c r="Z1473" s="3">
        <f>IF(AND($M1473=1,对接源_02物料!$D273="原料入库"),1,0)</f>
        <v>0</v>
      </c>
      <c r="AA1473" s="3">
        <f t="shared" si="391"/>
        <v>24</v>
      </c>
      <c r="AB1473" s="3">
        <f>IF(AND($M1473=1,LEFT(对接源_02物料!$D273,4)="原料出库"),1,0)</f>
        <v>0</v>
      </c>
      <c r="AC1473" s="3">
        <f t="shared" si="392"/>
        <v>0</v>
      </c>
      <c r="AD1473" s="3">
        <f>IF(AND($M1473=1,LEFT(对接源_02物料!$D273,4)="成品出库"),1,0)</f>
        <v>0</v>
      </c>
      <c r="AE1473" s="3">
        <f t="shared" si="393"/>
        <v>0</v>
      </c>
      <c r="AF1473" s="3">
        <f>IF(AND($N1473=1,AND(LEFT(对接源_02物料!$D273,4)="包装物料",N(对接源_02物料!$K273)&lt;&gt;0)),1,0)</f>
        <v>0</v>
      </c>
      <c r="AG1473" s="3">
        <f t="shared" si="394"/>
        <v>5</v>
      </c>
      <c r="AH1473" s="3">
        <f>IF(AND($N1473=1,AND(对接源_02物料!$D273="周转筐－销售出库",N(对接源_02物料!$K273)&lt;&gt;0)),1,0)</f>
        <v>0</v>
      </c>
      <c r="AI1473" s="3">
        <f t="shared" si="395"/>
        <v>0</v>
      </c>
      <c r="AL1473" s="3">
        <v>0</v>
      </c>
      <c r="AM1473" s="3">
        <f t="shared" si="396"/>
        <v>1</v>
      </c>
      <c r="AN1473" s="3" t="str">
        <f t="shared" si="400"/>
        <v/>
      </c>
      <c r="AO1473" s="3">
        <v>0</v>
      </c>
      <c r="AP1473" s="3">
        <f t="shared" si="397"/>
        <v>8</v>
      </c>
      <c r="AR1473">
        <f t="shared" si="398"/>
        <v>0</v>
      </c>
      <c r="AS1473">
        <f t="shared" si="399"/>
        <v>5</v>
      </c>
    </row>
    <row r="1474" customHeight="1" spans="1:45">
      <c r="A1474" s="3" t="str">
        <f>IF(对接源_02物料!$C274="","",对接源_02物料!$C274)</f>
        <v/>
      </c>
      <c r="B1474" s="3">
        <f t="shared" si="384"/>
        <v>0</v>
      </c>
      <c r="C1474" s="3">
        <f t="shared" si="385"/>
        <v>21</v>
      </c>
      <c r="K1474" s="3">
        <f>IF(OR($K$1="",对接源_02物料!$C274="",对接源_02物料!$C274&lt;&gt;$K$1,对接源_02物料!$B274=""),0,IF(OR(N(对接源_02物料!$B274)&lt;$K$2,N(对接源_02物料!$B274)&gt;$K$3),0,1))</f>
        <v>0</v>
      </c>
      <c r="L1474" s="3">
        <f>IF(OR($L$1="",对接源_02物料!$C274="",对接源_02物料!$C274&lt;&gt;$L$1,对接源_02物料!$B274=""),0,IF(OR(N(对接源_02物料!$B274)&lt;$L$2,N(对接源_02物料!$B274)&gt;$L$3),0,1))</f>
        <v>0</v>
      </c>
      <c r="M1474" s="3">
        <f>IF(OR($M$1="",对接源_02物料!$C274="",对接源_02物料!$C274&lt;&gt;$M$1,对接源_02物料!$B274=""),0,IF(OR(N(对接源_02物料!$B274)&lt;$M$2,N(对接源_02物料!$B274)&gt;$M$3),0,1))</f>
        <v>0</v>
      </c>
      <c r="N1474" s="3">
        <f>IF(OR($N$1="",对接源_02物料!$C274="",对接源_02物料!$C274&lt;&gt;$N$1,对接源_02物料!$B274=""),0,IF(OR(N(对接源_02物料!$B274)&lt;$N$2,N(对接源_02物料!$B274)&gt;$N$3),0,1))</f>
        <v>0</v>
      </c>
      <c r="P1474" s="3">
        <f>IF(AND($K1474=1,AND(对接源_02物料!$X274="公司筐",N(对接源_02物料!$T274)&lt;&gt;0)),1,0)</f>
        <v>0</v>
      </c>
      <c r="Q1474" s="3">
        <f t="shared" si="386"/>
        <v>8</v>
      </c>
      <c r="R1474" s="3">
        <f>IF(AND($K1474=1,AND(对接源_02物料!$X274="公司筐",N(对接源_02物料!$U274)&lt;&gt;0)),1,0)</f>
        <v>0</v>
      </c>
      <c r="S1474" s="3">
        <f t="shared" si="387"/>
        <v>0</v>
      </c>
      <c r="T1474" s="3">
        <f>IF(AND($K1474=1,AND(对接源_02物料!$X274="公司筐",N(对接源_02物料!$V274)&lt;&gt;0)),1,0)</f>
        <v>0</v>
      </c>
      <c r="U1474" s="3">
        <f t="shared" si="388"/>
        <v>19</v>
      </c>
      <c r="V1474" s="3">
        <f>IF(AND($L1474=1,AND(对接源_02物料!$X274="自备筐",N(对接源_02物料!$V274)&lt;&gt;0)),1,0)</f>
        <v>0</v>
      </c>
      <c r="W1474" s="3">
        <f t="shared" si="389"/>
        <v>8</v>
      </c>
      <c r="X1474" s="3">
        <f>IF(AND($L1474=1,AND(对接源_02物料!$X274="自备筐",N(对接源_02物料!$T274)&lt;&gt;0)),1,0)</f>
        <v>0</v>
      </c>
      <c r="Y1474" s="3">
        <f t="shared" si="390"/>
        <v>0</v>
      </c>
      <c r="Z1474" s="3">
        <f>IF(AND($M1474=1,对接源_02物料!$D274="原料入库"),1,0)</f>
        <v>0</v>
      </c>
      <c r="AA1474" s="3">
        <f t="shared" si="391"/>
        <v>24</v>
      </c>
      <c r="AB1474" s="3">
        <f>IF(AND($M1474=1,LEFT(对接源_02物料!$D274,4)="原料出库"),1,0)</f>
        <v>0</v>
      </c>
      <c r="AC1474" s="3">
        <f t="shared" si="392"/>
        <v>0</v>
      </c>
      <c r="AD1474" s="3">
        <f>IF(AND($M1474=1,LEFT(对接源_02物料!$D274,4)="成品出库"),1,0)</f>
        <v>0</v>
      </c>
      <c r="AE1474" s="3">
        <f t="shared" si="393"/>
        <v>0</v>
      </c>
      <c r="AF1474" s="3">
        <f>IF(AND($N1474=1,AND(LEFT(对接源_02物料!$D274,4)="包装物料",N(对接源_02物料!$K274)&lt;&gt;0)),1,0)</f>
        <v>0</v>
      </c>
      <c r="AG1474" s="3">
        <f t="shared" si="394"/>
        <v>5</v>
      </c>
      <c r="AH1474" s="3">
        <f>IF(AND($N1474=1,AND(对接源_02物料!$D274="周转筐－销售出库",N(对接源_02物料!$K274)&lt;&gt;0)),1,0)</f>
        <v>0</v>
      </c>
      <c r="AI1474" s="3">
        <f t="shared" si="395"/>
        <v>0</v>
      </c>
      <c r="AL1474" s="3">
        <v>0</v>
      </c>
      <c r="AM1474" s="3">
        <f t="shared" si="396"/>
        <v>1</v>
      </c>
      <c r="AN1474" s="3" t="str">
        <f t="shared" si="400"/>
        <v/>
      </c>
      <c r="AO1474" s="3">
        <v>0</v>
      </c>
      <c r="AP1474" s="3">
        <f t="shared" si="397"/>
        <v>8</v>
      </c>
      <c r="AR1474">
        <f t="shared" si="398"/>
        <v>0</v>
      </c>
      <c r="AS1474">
        <f t="shared" si="399"/>
        <v>5</v>
      </c>
    </row>
    <row r="1475" customHeight="1" spans="1:45">
      <c r="A1475" s="3" t="str">
        <f>IF(对接源_02物料!$C275="","",对接源_02物料!$C275)</f>
        <v/>
      </c>
      <c r="B1475" s="3">
        <f t="shared" si="384"/>
        <v>0</v>
      </c>
      <c r="C1475" s="3">
        <f t="shared" si="385"/>
        <v>21</v>
      </c>
      <c r="K1475" s="3">
        <f>IF(OR($K$1="",对接源_02物料!$C275="",对接源_02物料!$C275&lt;&gt;$K$1,对接源_02物料!$B275=""),0,IF(OR(N(对接源_02物料!$B275)&lt;$K$2,N(对接源_02物料!$B275)&gt;$K$3),0,1))</f>
        <v>0</v>
      </c>
      <c r="L1475" s="3">
        <f>IF(OR($L$1="",对接源_02物料!$C275="",对接源_02物料!$C275&lt;&gt;$L$1,对接源_02物料!$B275=""),0,IF(OR(N(对接源_02物料!$B275)&lt;$L$2,N(对接源_02物料!$B275)&gt;$L$3),0,1))</f>
        <v>0</v>
      </c>
      <c r="M1475" s="3">
        <f>IF(OR($M$1="",对接源_02物料!$C275="",对接源_02物料!$C275&lt;&gt;$M$1,对接源_02物料!$B275=""),0,IF(OR(N(对接源_02物料!$B275)&lt;$M$2,N(对接源_02物料!$B275)&gt;$M$3),0,1))</f>
        <v>0</v>
      </c>
      <c r="N1475" s="3">
        <f>IF(OR($N$1="",对接源_02物料!$C275="",对接源_02物料!$C275&lt;&gt;$N$1,对接源_02物料!$B275=""),0,IF(OR(N(对接源_02物料!$B275)&lt;$N$2,N(对接源_02物料!$B275)&gt;$N$3),0,1))</f>
        <v>0</v>
      </c>
      <c r="P1475" s="3">
        <f>IF(AND($K1475=1,AND(对接源_02物料!$X275="公司筐",N(对接源_02物料!$T275)&lt;&gt;0)),1,0)</f>
        <v>0</v>
      </c>
      <c r="Q1475" s="3">
        <f t="shared" si="386"/>
        <v>8</v>
      </c>
      <c r="R1475" s="3">
        <f>IF(AND($K1475=1,AND(对接源_02物料!$X275="公司筐",N(对接源_02物料!$U275)&lt;&gt;0)),1,0)</f>
        <v>0</v>
      </c>
      <c r="S1475" s="3">
        <f t="shared" si="387"/>
        <v>0</v>
      </c>
      <c r="T1475" s="3">
        <f>IF(AND($K1475=1,AND(对接源_02物料!$X275="公司筐",N(对接源_02物料!$V275)&lt;&gt;0)),1,0)</f>
        <v>0</v>
      </c>
      <c r="U1475" s="3">
        <f t="shared" si="388"/>
        <v>19</v>
      </c>
      <c r="V1475" s="3">
        <f>IF(AND($L1475=1,AND(对接源_02物料!$X275="自备筐",N(对接源_02物料!$V275)&lt;&gt;0)),1,0)</f>
        <v>0</v>
      </c>
      <c r="W1475" s="3">
        <f t="shared" si="389"/>
        <v>8</v>
      </c>
      <c r="X1475" s="3">
        <f>IF(AND($L1475=1,AND(对接源_02物料!$X275="自备筐",N(对接源_02物料!$T275)&lt;&gt;0)),1,0)</f>
        <v>0</v>
      </c>
      <c r="Y1475" s="3">
        <f t="shared" si="390"/>
        <v>0</v>
      </c>
      <c r="Z1475" s="3">
        <f>IF(AND($M1475=1,对接源_02物料!$D275="原料入库"),1,0)</f>
        <v>0</v>
      </c>
      <c r="AA1475" s="3">
        <f t="shared" si="391"/>
        <v>24</v>
      </c>
      <c r="AB1475" s="3">
        <f>IF(AND($M1475=1,LEFT(对接源_02物料!$D275,4)="原料出库"),1,0)</f>
        <v>0</v>
      </c>
      <c r="AC1475" s="3">
        <f t="shared" si="392"/>
        <v>0</v>
      </c>
      <c r="AD1475" s="3">
        <f>IF(AND($M1475=1,LEFT(对接源_02物料!$D275,4)="成品出库"),1,0)</f>
        <v>0</v>
      </c>
      <c r="AE1475" s="3">
        <f t="shared" si="393"/>
        <v>0</v>
      </c>
      <c r="AF1475" s="3">
        <f>IF(AND($N1475=1,AND(LEFT(对接源_02物料!$D275,4)="包装物料",N(对接源_02物料!$K275)&lt;&gt;0)),1,0)</f>
        <v>0</v>
      </c>
      <c r="AG1475" s="3">
        <f t="shared" si="394"/>
        <v>5</v>
      </c>
      <c r="AH1475" s="3">
        <f>IF(AND($N1475=1,AND(对接源_02物料!$D275="周转筐－销售出库",N(对接源_02物料!$K275)&lt;&gt;0)),1,0)</f>
        <v>0</v>
      </c>
      <c r="AI1475" s="3">
        <f t="shared" si="395"/>
        <v>0</v>
      </c>
      <c r="AL1475" s="3">
        <v>0</v>
      </c>
      <c r="AM1475" s="3">
        <f t="shared" si="396"/>
        <v>1</v>
      </c>
      <c r="AN1475" s="3" t="str">
        <f t="shared" si="400"/>
        <v/>
      </c>
      <c r="AO1475" s="3">
        <v>0</v>
      </c>
      <c r="AP1475" s="3">
        <f t="shared" si="397"/>
        <v>8</v>
      </c>
      <c r="AR1475">
        <f t="shared" si="398"/>
        <v>0</v>
      </c>
      <c r="AS1475">
        <f t="shared" si="399"/>
        <v>5</v>
      </c>
    </row>
    <row r="1476" customHeight="1" spans="1:45">
      <c r="A1476" s="3" t="str">
        <f>IF(对接源_02物料!$C276="","",对接源_02物料!$C276)</f>
        <v/>
      </c>
      <c r="B1476" s="3">
        <f t="shared" ref="B1476:B1539" si="401">IF(A1476="",0,IF(MATCH(A1476,$A$4:$A$2403,0)=ROW()-3,1,0))</f>
        <v>0</v>
      </c>
      <c r="C1476" s="3">
        <f t="shared" ref="C1476:C1539" si="402">N(C1475)+B1476</f>
        <v>21</v>
      </c>
      <c r="K1476" s="3">
        <f>IF(OR($K$1="",对接源_02物料!$C276="",对接源_02物料!$C276&lt;&gt;$K$1,对接源_02物料!$B276=""),0,IF(OR(N(对接源_02物料!$B276)&lt;$K$2,N(对接源_02物料!$B276)&gt;$K$3),0,1))</f>
        <v>0</v>
      </c>
      <c r="L1476" s="3">
        <f>IF(OR($L$1="",对接源_02物料!$C276="",对接源_02物料!$C276&lt;&gt;$L$1,对接源_02物料!$B276=""),0,IF(OR(N(对接源_02物料!$B276)&lt;$L$2,N(对接源_02物料!$B276)&gt;$L$3),0,1))</f>
        <v>0</v>
      </c>
      <c r="M1476" s="3">
        <f>IF(OR($M$1="",对接源_02物料!$C276="",对接源_02物料!$C276&lt;&gt;$M$1,对接源_02物料!$B276=""),0,IF(OR(N(对接源_02物料!$B276)&lt;$M$2,N(对接源_02物料!$B276)&gt;$M$3),0,1))</f>
        <v>0</v>
      </c>
      <c r="N1476" s="3">
        <f>IF(OR($N$1="",对接源_02物料!$C276="",对接源_02物料!$C276&lt;&gt;$N$1,对接源_02物料!$B276=""),0,IF(OR(N(对接源_02物料!$B276)&lt;$N$2,N(对接源_02物料!$B276)&gt;$N$3),0,1))</f>
        <v>0</v>
      </c>
      <c r="P1476" s="3">
        <f>IF(AND($K1476=1,AND(对接源_02物料!$X276="公司筐",N(对接源_02物料!$T276)&lt;&gt;0)),1,0)</f>
        <v>0</v>
      </c>
      <c r="Q1476" s="3">
        <f t="shared" ref="Q1476:Q1539" si="403">N(Q1475)+$P1476</f>
        <v>8</v>
      </c>
      <c r="R1476" s="3">
        <f>IF(AND($K1476=1,AND(对接源_02物料!$X276="公司筐",N(对接源_02物料!$U276)&lt;&gt;0)),1,0)</f>
        <v>0</v>
      </c>
      <c r="S1476" s="3">
        <f t="shared" ref="S1476:S1539" si="404">N(S1475)+$R1476</f>
        <v>0</v>
      </c>
      <c r="T1476" s="3">
        <f>IF(AND($K1476=1,AND(对接源_02物料!$X276="公司筐",N(对接源_02物料!$V276)&lt;&gt;0)),1,0)</f>
        <v>0</v>
      </c>
      <c r="U1476" s="3">
        <f t="shared" ref="U1476:U1539" si="405">N(U1475)+$T1476</f>
        <v>19</v>
      </c>
      <c r="V1476" s="3">
        <f>IF(AND($L1476=1,AND(对接源_02物料!$X276="自备筐",N(对接源_02物料!$V276)&lt;&gt;0)),1,0)</f>
        <v>0</v>
      </c>
      <c r="W1476" s="3">
        <f t="shared" ref="W1476:W1539" si="406">N(W1475)+$V1476</f>
        <v>8</v>
      </c>
      <c r="X1476" s="3">
        <f>IF(AND($L1476=1,AND(对接源_02物料!$X276="自备筐",N(对接源_02物料!$T276)&lt;&gt;0)),1,0)</f>
        <v>0</v>
      </c>
      <c r="Y1476" s="3">
        <f t="shared" ref="Y1476:Y1539" si="407">N(Y1475)+$X1476</f>
        <v>0</v>
      </c>
      <c r="Z1476" s="3">
        <f>IF(AND($M1476=1,对接源_02物料!$D276="原料入库"),1,0)</f>
        <v>0</v>
      </c>
      <c r="AA1476" s="3">
        <f t="shared" ref="AA1476:AA1539" si="408">N(AA1475)+$Z1476</f>
        <v>24</v>
      </c>
      <c r="AB1476" s="3">
        <f>IF(AND($M1476=1,LEFT(对接源_02物料!$D276,4)="原料出库"),1,0)</f>
        <v>0</v>
      </c>
      <c r="AC1476" s="3">
        <f t="shared" ref="AC1476:AC1539" si="409">N(AC1475)+$AB1476</f>
        <v>0</v>
      </c>
      <c r="AD1476" s="3">
        <f>IF(AND($M1476=1,LEFT(对接源_02物料!$D276,4)="成品出库"),1,0)</f>
        <v>0</v>
      </c>
      <c r="AE1476" s="3">
        <f t="shared" ref="AE1476:AE1539" si="410">N(AE1475)+$AD1476</f>
        <v>0</v>
      </c>
      <c r="AF1476" s="3">
        <f>IF(AND($N1476=1,AND(LEFT(对接源_02物料!$D276,4)="包装物料",N(对接源_02物料!$K276)&lt;&gt;0)),1,0)</f>
        <v>0</v>
      </c>
      <c r="AG1476" s="3">
        <f t="shared" ref="AG1476:AG1539" si="411">N(AG1475)+$AF1476</f>
        <v>5</v>
      </c>
      <c r="AH1476" s="3">
        <f>IF(AND($N1476=1,AND(对接源_02物料!$D276="周转筐－销售出库",N(对接源_02物料!$K276)&lt;&gt;0)),1,0)</f>
        <v>0</v>
      </c>
      <c r="AI1476" s="3">
        <f t="shared" ref="AI1476:AI1539" si="412">N(AI1475)+$AH1476</f>
        <v>0</v>
      </c>
      <c r="AL1476" s="3">
        <v>0</v>
      </c>
      <c r="AM1476" s="3">
        <f t="shared" ref="AM1476:AM1539" si="413">N(AM1475)+$AL1476</f>
        <v>1</v>
      </c>
      <c r="AN1476" s="3" t="str">
        <f t="shared" si="400"/>
        <v/>
      </c>
      <c r="AO1476" s="3">
        <v>0</v>
      </c>
      <c r="AP1476" s="3">
        <f t="shared" ref="AP1476:AP1539" si="414">N(AP1475)+$AO1476</f>
        <v>8</v>
      </c>
      <c r="AR1476">
        <f t="shared" ref="AR1476:AR1539" si="415">IF(OR($AF1476=1,$AH1476=1),1,0)</f>
        <v>0</v>
      </c>
      <c r="AS1476">
        <f t="shared" ref="AS1476:AS1539" si="416">N(AS1475)+$AR1476</f>
        <v>5</v>
      </c>
    </row>
    <row r="1477" customHeight="1" spans="1:45">
      <c r="A1477" s="3" t="str">
        <f>IF(对接源_02物料!$C277="","",对接源_02物料!$C277)</f>
        <v/>
      </c>
      <c r="B1477" s="3">
        <f t="shared" si="401"/>
        <v>0</v>
      </c>
      <c r="C1477" s="3">
        <f t="shared" si="402"/>
        <v>21</v>
      </c>
      <c r="K1477" s="3">
        <f>IF(OR($K$1="",对接源_02物料!$C277="",对接源_02物料!$C277&lt;&gt;$K$1,对接源_02物料!$B277=""),0,IF(OR(N(对接源_02物料!$B277)&lt;$K$2,N(对接源_02物料!$B277)&gt;$K$3),0,1))</f>
        <v>0</v>
      </c>
      <c r="L1477" s="3">
        <f>IF(OR($L$1="",对接源_02物料!$C277="",对接源_02物料!$C277&lt;&gt;$L$1,对接源_02物料!$B277=""),0,IF(OR(N(对接源_02物料!$B277)&lt;$L$2,N(对接源_02物料!$B277)&gt;$L$3),0,1))</f>
        <v>0</v>
      </c>
      <c r="M1477" s="3">
        <f>IF(OR($M$1="",对接源_02物料!$C277="",对接源_02物料!$C277&lt;&gt;$M$1,对接源_02物料!$B277=""),0,IF(OR(N(对接源_02物料!$B277)&lt;$M$2,N(对接源_02物料!$B277)&gt;$M$3),0,1))</f>
        <v>0</v>
      </c>
      <c r="N1477" s="3">
        <f>IF(OR($N$1="",对接源_02物料!$C277="",对接源_02物料!$C277&lt;&gt;$N$1,对接源_02物料!$B277=""),0,IF(OR(N(对接源_02物料!$B277)&lt;$N$2,N(对接源_02物料!$B277)&gt;$N$3),0,1))</f>
        <v>0</v>
      </c>
      <c r="P1477" s="3">
        <f>IF(AND($K1477=1,AND(对接源_02物料!$X277="公司筐",N(对接源_02物料!$T277)&lt;&gt;0)),1,0)</f>
        <v>0</v>
      </c>
      <c r="Q1477" s="3">
        <f t="shared" si="403"/>
        <v>8</v>
      </c>
      <c r="R1477" s="3">
        <f>IF(AND($K1477=1,AND(对接源_02物料!$X277="公司筐",N(对接源_02物料!$U277)&lt;&gt;0)),1,0)</f>
        <v>0</v>
      </c>
      <c r="S1477" s="3">
        <f t="shared" si="404"/>
        <v>0</v>
      </c>
      <c r="T1477" s="3">
        <f>IF(AND($K1477=1,AND(对接源_02物料!$X277="公司筐",N(对接源_02物料!$V277)&lt;&gt;0)),1,0)</f>
        <v>0</v>
      </c>
      <c r="U1477" s="3">
        <f t="shared" si="405"/>
        <v>19</v>
      </c>
      <c r="V1477" s="3">
        <f>IF(AND($L1477=1,AND(对接源_02物料!$X277="自备筐",N(对接源_02物料!$V277)&lt;&gt;0)),1,0)</f>
        <v>0</v>
      </c>
      <c r="W1477" s="3">
        <f t="shared" si="406"/>
        <v>8</v>
      </c>
      <c r="X1477" s="3">
        <f>IF(AND($L1477=1,AND(对接源_02物料!$X277="自备筐",N(对接源_02物料!$T277)&lt;&gt;0)),1,0)</f>
        <v>0</v>
      </c>
      <c r="Y1477" s="3">
        <f t="shared" si="407"/>
        <v>0</v>
      </c>
      <c r="Z1477" s="3">
        <f>IF(AND($M1477=1,对接源_02物料!$D277="原料入库"),1,0)</f>
        <v>0</v>
      </c>
      <c r="AA1477" s="3">
        <f t="shared" si="408"/>
        <v>24</v>
      </c>
      <c r="AB1477" s="3">
        <f>IF(AND($M1477=1,LEFT(对接源_02物料!$D277,4)="原料出库"),1,0)</f>
        <v>0</v>
      </c>
      <c r="AC1477" s="3">
        <f t="shared" si="409"/>
        <v>0</v>
      </c>
      <c r="AD1477" s="3">
        <f>IF(AND($M1477=1,LEFT(对接源_02物料!$D277,4)="成品出库"),1,0)</f>
        <v>0</v>
      </c>
      <c r="AE1477" s="3">
        <f t="shared" si="410"/>
        <v>0</v>
      </c>
      <c r="AF1477" s="3">
        <f>IF(AND($N1477=1,AND(LEFT(对接源_02物料!$D277,4)="包装物料",N(对接源_02物料!$K277)&lt;&gt;0)),1,0)</f>
        <v>0</v>
      </c>
      <c r="AG1477" s="3">
        <f t="shared" si="411"/>
        <v>5</v>
      </c>
      <c r="AH1477" s="3">
        <f>IF(AND($N1477=1,AND(对接源_02物料!$D277="周转筐－销售出库",N(对接源_02物料!$K277)&lt;&gt;0)),1,0)</f>
        <v>0</v>
      </c>
      <c r="AI1477" s="3">
        <f t="shared" si="412"/>
        <v>0</v>
      </c>
      <c r="AL1477" s="3">
        <v>0</v>
      </c>
      <c r="AM1477" s="3">
        <f t="shared" si="413"/>
        <v>1</v>
      </c>
      <c r="AN1477" s="3" t="str">
        <f t="shared" si="400"/>
        <v/>
      </c>
      <c r="AO1477" s="3">
        <v>0</v>
      </c>
      <c r="AP1477" s="3">
        <f t="shared" si="414"/>
        <v>8</v>
      </c>
      <c r="AR1477">
        <f t="shared" si="415"/>
        <v>0</v>
      </c>
      <c r="AS1477">
        <f t="shared" si="416"/>
        <v>5</v>
      </c>
    </row>
    <row r="1478" customHeight="1" spans="1:45">
      <c r="A1478" s="3" t="str">
        <f>IF(对接源_02物料!$C278="","",对接源_02物料!$C278)</f>
        <v/>
      </c>
      <c r="B1478" s="3">
        <f t="shared" si="401"/>
        <v>0</v>
      </c>
      <c r="C1478" s="3">
        <f t="shared" si="402"/>
        <v>21</v>
      </c>
      <c r="K1478" s="3">
        <f>IF(OR($K$1="",对接源_02物料!$C278="",对接源_02物料!$C278&lt;&gt;$K$1,对接源_02物料!$B278=""),0,IF(OR(N(对接源_02物料!$B278)&lt;$K$2,N(对接源_02物料!$B278)&gt;$K$3),0,1))</f>
        <v>0</v>
      </c>
      <c r="L1478" s="3">
        <f>IF(OR($L$1="",对接源_02物料!$C278="",对接源_02物料!$C278&lt;&gt;$L$1,对接源_02物料!$B278=""),0,IF(OR(N(对接源_02物料!$B278)&lt;$L$2,N(对接源_02物料!$B278)&gt;$L$3),0,1))</f>
        <v>0</v>
      </c>
      <c r="M1478" s="3">
        <f>IF(OR($M$1="",对接源_02物料!$C278="",对接源_02物料!$C278&lt;&gt;$M$1,对接源_02物料!$B278=""),0,IF(OR(N(对接源_02物料!$B278)&lt;$M$2,N(对接源_02物料!$B278)&gt;$M$3),0,1))</f>
        <v>0</v>
      </c>
      <c r="N1478" s="3">
        <f>IF(OR($N$1="",对接源_02物料!$C278="",对接源_02物料!$C278&lt;&gt;$N$1,对接源_02物料!$B278=""),0,IF(OR(N(对接源_02物料!$B278)&lt;$N$2,N(对接源_02物料!$B278)&gt;$N$3),0,1))</f>
        <v>0</v>
      </c>
      <c r="P1478" s="3">
        <f>IF(AND($K1478=1,AND(对接源_02物料!$X278="公司筐",N(对接源_02物料!$T278)&lt;&gt;0)),1,0)</f>
        <v>0</v>
      </c>
      <c r="Q1478" s="3">
        <f t="shared" si="403"/>
        <v>8</v>
      </c>
      <c r="R1478" s="3">
        <f>IF(AND($K1478=1,AND(对接源_02物料!$X278="公司筐",N(对接源_02物料!$U278)&lt;&gt;0)),1,0)</f>
        <v>0</v>
      </c>
      <c r="S1478" s="3">
        <f t="shared" si="404"/>
        <v>0</v>
      </c>
      <c r="T1478" s="3">
        <f>IF(AND($K1478=1,AND(对接源_02物料!$X278="公司筐",N(对接源_02物料!$V278)&lt;&gt;0)),1,0)</f>
        <v>0</v>
      </c>
      <c r="U1478" s="3">
        <f t="shared" si="405"/>
        <v>19</v>
      </c>
      <c r="V1478" s="3">
        <f>IF(AND($L1478=1,AND(对接源_02物料!$X278="自备筐",N(对接源_02物料!$V278)&lt;&gt;0)),1,0)</f>
        <v>0</v>
      </c>
      <c r="W1478" s="3">
        <f t="shared" si="406"/>
        <v>8</v>
      </c>
      <c r="X1478" s="3">
        <f>IF(AND($L1478=1,AND(对接源_02物料!$X278="自备筐",N(对接源_02物料!$T278)&lt;&gt;0)),1,0)</f>
        <v>0</v>
      </c>
      <c r="Y1478" s="3">
        <f t="shared" si="407"/>
        <v>0</v>
      </c>
      <c r="Z1478" s="3">
        <f>IF(AND($M1478=1,对接源_02物料!$D278="原料入库"),1,0)</f>
        <v>0</v>
      </c>
      <c r="AA1478" s="3">
        <f t="shared" si="408"/>
        <v>24</v>
      </c>
      <c r="AB1478" s="3">
        <f>IF(AND($M1478=1,LEFT(对接源_02物料!$D278,4)="原料出库"),1,0)</f>
        <v>0</v>
      </c>
      <c r="AC1478" s="3">
        <f t="shared" si="409"/>
        <v>0</v>
      </c>
      <c r="AD1478" s="3">
        <f>IF(AND($M1478=1,LEFT(对接源_02物料!$D278,4)="成品出库"),1,0)</f>
        <v>0</v>
      </c>
      <c r="AE1478" s="3">
        <f t="shared" si="410"/>
        <v>0</v>
      </c>
      <c r="AF1478" s="3">
        <f>IF(AND($N1478=1,AND(LEFT(对接源_02物料!$D278,4)="包装物料",N(对接源_02物料!$K278)&lt;&gt;0)),1,0)</f>
        <v>0</v>
      </c>
      <c r="AG1478" s="3">
        <f t="shared" si="411"/>
        <v>5</v>
      </c>
      <c r="AH1478" s="3">
        <f>IF(AND($N1478=1,AND(对接源_02物料!$D278="周转筐－销售出库",N(对接源_02物料!$K278)&lt;&gt;0)),1,0)</f>
        <v>0</v>
      </c>
      <c r="AI1478" s="3">
        <f t="shared" si="412"/>
        <v>0</v>
      </c>
      <c r="AL1478" s="3">
        <v>0</v>
      </c>
      <c r="AM1478" s="3">
        <f t="shared" si="413"/>
        <v>1</v>
      </c>
      <c r="AN1478" s="3" t="str">
        <f t="shared" si="400"/>
        <v/>
      </c>
      <c r="AO1478" s="3">
        <v>0</v>
      </c>
      <c r="AP1478" s="3">
        <f t="shared" si="414"/>
        <v>8</v>
      </c>
      <c r="AR1478">
        <f t="shared" si="415"/>
        <v>0</v>
      </c>
      <c r="AS1478">
        <f t="shared" si="416"/>
        <v>5</v>
      </c>
    </row>
    <row r="1479" customHeight="1" spans="1:45">
      <c r="A1479" s="3" t="str">
        <f>IF(对接源_02物料!$C279="","",对接源_02物料!$C279)</f>
        <v/>
      </c>
      <c r="B1479" s="3">
        <f t="shared" si="401"/>
        <v>0</v>
      </c>
      <c r="C1479" s="3">
        <f t="shared" si="402"/>
        <v>21</v>
      </c>
      <c r="K1479" s="3">
        <f>IF(OR($K$1="",对接源_02物料!$C279="",对接源_02物料!$C279&lt;&gt;$K$1,对接源_02物料!$B279=""),0,IF(OR(N(对接源_02物料!$B279)&lt;$K$2,N(对接源_02物料!$B279)&gt;$K$3),0,1))</f>
        <v>0</v>
      </c>
      <c r="L1479" s="3">
        <f>IF(OR($L$1="",对接源_02物料!$C279="",对接源_02物料!$C279&lt;&gt;$L$1,对接源_02物料!$B279=""),0,IF(OR(N(对接源_02物料!$B279)&lt;$L$2,N(对接源_02物料!$B279)&gt;$L$3),0,1))</f>
        <v>0</v>
      </c>
      <c r="M1479" s="3">
        <f>IF(OR($M$1="",对接源_02物料!$C279="",对接源_02物料!$C279&lt;&gt;$M$1,对接源_02物料!$B279=""),0,IF(OR(N(对接源_02物料!$B279)&lt;$M$2,N(对接源_02物料!$B279)&gt;$M$3),0,1))</f>
        <v>0</v>
      </c>
      <c r="N1479" s="3">
        <f>IF(OR($N$1="",对接源_02物料!$C279="",对接源_02物料!$C279&lt;&gt;$N$1,对接源_02物料!$B279=""),0,IF(OR(N(对接源_02物料!$B279)&lt;$N$2,N(对接源_02物料!$B279)&gt;$N$3),0,1))</f>
        <v>0</v>
      </c>
      <c r="P1479" s="3">
        <f>IF(AND($K1479=1,AND(对接源_02物料!$X279="公司筐",N(对接源_02物料!$T279)&lt;&gt;0)),1,0)</f>
        <v>0</v>
      </c>
      <c r="Q1479" s="3">
        <f t="shared" si="403"/>
        <v>8</v>
      </c>
      <c r="R1479" s="3">
        <f>IF(AND($K1479=1,AND(对接源_02物料!$X279="公司筐",N(对接源_02物料!$U279)&lt;&gt;0)),1,0)</f>
        <v>0</v>
      </c>
      <c r="S1479" s="3">
        <f t="shared" si="404"/>
        <v>0</v>
      </c>
      <c r="T1479" s="3">
        <f>IF(AND($K1479=1,AND(对接源_02物料!$X279="公司筐",N(对接源_02物料!$V279)&lt;&gt;0)),1,0)</f>
        <v>0</v>
      </c>
      <c r="U1479" s="3">
        <f t="shared" si="405"/>
        <v>19</v>
      </c>
      <c r="V1479" s="3">
        <f>IF(AND($L1479=1,AND(对接源_02物料!$X279="自备筐",N(对接源_02物料!$V279)&lt;&gt;0)),1,0)</f>
        <v>0</v>
      </c>
      <c r="W1479" s="3">
        <f t="shared" si="406"/>
        <v>8</v>
      </c>
      <c r="X1479" s="3">
        <f>IF(AND($L1479=1,AND(对接源_02物料!$X279="自备筐",N(对接源_02物料!$T279)&lt;&gt;0)),1,0)</f>
        <v>0</v>
      </c>
      <c r="Y1479" s="3">
        <f t="shared" si="407"/>
        <v>0</v>
      </c>
      <c r="Z1479" s="3">
        <f>IF(AND($M1479=1,对接源_02物料!$D279="原料入库"),1,0)</f>
        <v>0</v>
      </c>
      <c r="AA1479" s="3">
        <f t="shared" si="408"/>
        <v>24</v>
      </c>
      <c r="AB1479" s="3">
        <f>IF(AND($M1479=1,LEFT(对接源_02物料!$D279,4)="原料出库"),1,0)</f>
        <v>0</v>
      </c>
      <c r="AC1479" s="3">
        <f t="shared" si="409"/>
        <v>0</v>
      </c>
      <c r="AD1479" s="3">
        <f>IF(AND($M1479=1,LEFT(对接源_02物料!$D279,4)="成品出库"),1,0)</f>
        <v>0</v>
      </c>
      <c r="AE1479" s="3">
        <f t="shared" si="410"/>
        <v>0</v>
      </c>
      <c r="AF1479" s="3">
        <f>IF(AND($N1479=1,AND(LEFT(对接源_02物料!$D279,4)="包装物料",N(对接源_02物料!$K279)&lt;&gt;0)),1,0)</f>
        <v>0</v>
      </c>
      <c r="AG1479" s="3">
        <f t="shared" si="411"/>
        <v>5</v>
      </c>
      <c r="AH1479" s="3">
        <f>IF(AND($N1479=1,AND(对接源_02物料!$D279="周转筐－销售出库",N(对接源_02物料!$K279)&lt;&gt;0)),1,0)</f>
        <v>0</v>
      </c>
      <c r="AI1479" s="3">
        <f t="shared" si="412"/>
        <v>0</v>
      </c>
      <c r="AL1479" s="3">
        <v>0</v>
      </c>
      <c r="AM1479" s="3">
        <f t="shared" si="413"/>
        <v>1</v>
      </c>
      <c r="AN1479" s="3" t="str">
        <f t="shared" si="400"/>
        <v/>
      </c>
      <c r="AO1479" s="3">
        <v>0</v>
      </c>
      <c r="AP1479" s="3">
        <f t="shared" si="414"/>
        <v>8</v>
      </c>
      <c r="AR1479">
        <f t="shared" si="415"/>
        <v>0</v>
      </c>
      <c r="AS1479">
        <f t="shared" si="416"/>
        <v>5</v>
      </c>
    </row>
    <row r="1480" customHeight="1" spans="1:45">
      <c r="A1480" s="3" t="str">
        <f>IF(对接源_02物料!$C280="","",对接源_02物料!$C280)</f>
        <v/>
      </c>
      <c r="B1480" s="3">
        <f t="shared" si="401"/>
        <v>0</v>
      </c>
      <c r="C1480" s="3">
        <f t="shared" si="402"/>
        <v>21</v>
      </c>
      <c r="K1480" s="3">
        <f>IF(OR($K$1="",对接源_02物料!$C280="",对接源_02物料!$C280&lt;&gt;$K$1,对接源_02物料!$B280=""),0,IF(OR(N(对接源_02物料!$B280)&lt;$K$2,N(对接源_02物料!$B280)&gt;$K$3),0,1))</f>
        <v>0</v>
      </c>
      <c r="L1480" s="3">
        <f>IF(OR($L$1="",对接源_02物料!$C280="",对接源_02物料!$C280&lt;&gt;$L$1,对接源_02物料!$B280=""),0,IF(OR(N(对接源_02物料!$B280)&lt;$L$2,N(对接源_02物料!$B280)&gt;$L$3),0,1))</f>
        <v>0</v>
      </c>
      <c r="M1480" s="3">
        <f>IF(OR($M$1="",对接源_02物料!$C280="",对接源_02物料!$C280&lt;&gt;$M$1,对接源_02物料!$B280=""),0,IF(OR(N(对接源_02物料!$B280)&lt;$M$2,N(对接源_02物料!$B280)&gt;$M$3),0,1))</f>
        <v>0</v>
      </c>
      <c r="N1480" s="3">
        <f>IF(OR($N$1="",对接源_02物料!$C280="",对接源_02物料!$C280&lt;&gt;$N$1,对接源_02物料!$B280=""),0,IF(OR(N(对接源_02物料!$B280)&lt;$N$2,N(对接源_02物料!$B280)&gt;$N$3),0,1))</f>
        <v>0</v>
      </c>
      <c r="P1480" s="3">
        <f>IF(AND($K1480=1,AND(对接源_02物料!$X280="公司筐",N(对接源_02物料!$T280)&lt;&gt;0)),1,0)</f>
        <v>0</v>
      </c>
      <c r="Q1480" s="3">
        <f t="shared" si="403"/>
        <v>8</v>
      </c>
      <c r="R1480" s="3">
        <f>IF(AND($K1480=1,AND(对接源_02物料!$X280="公司筐",N(对接源_02物料!$U280)&lt;&gt;0)),1,0)</f>
        <v>0</v>
      </c>
      <c r="S1480" s="3">
        <f t="shared" si="404"/>
        <v>0</v>
      </c>
      <c r="T1480" s="3">
        <f>IF(AND($K1480=1,AND(对接源_02物料!$X280="公司筐",N(对接源_02物料!$V280)&lt;&gt;0)),1,0)</f>
        <v>0</v>
      </c>
      <c r="U1480" s="3">
        <f t="shared" si="405"/>
        <v>19</v>
      </c>
      <c r="V1480" s="3">
        <f>IF(AND($L1480=1,AND(对接源_02物料!$X280="自备筐",N(对接源_02物料!$V280)&lt;&gt;0)),1,0)</f>
        <v>0</v>
      </c>
      <c r="W1480" s="3">
        <f t="shared" si="406"/>
        <v>8</v>
      </c>
      <c r="X1480" s="3">
        <f>IF(AND($L1480=1,AND(对接源_02物料!$X280="自备筐",N(对接源_02物料!$T280)&lt;&gt;0)),1,0)</f>
        <v>0</v>
      </c>
      <c r="Y1480" s="3">
        <f t="shared" si="407"/>
        <v>0</v>
      </c>
      <c r="Z1480" s="3">
        <f>IF(AND($M1480=1,对接源_02物料!$D280="原料入库"),1,0)</f>
        <v>0</v>
      </c>
      <c r="AA1480" s="3">
        <f t="shared" si="408"/>
        <v>24</v>
      </c>
      <c r="AB1480" s="3">
        <f>IF(AND($M1480=1,LEFT(对接源_02物料!$D280,4)="原料出库"),1,0)</f>
        <v>0</v>
      </c>
      <c r="AC1480" s="3">
        <f t="shared" si="409"/>
        <v>0</v>
      </c>
      <c r="AD1480" s="3">
        <f>IF(AND($M1480=1,LEFT(对接源_02物料!$D280,4)="成品出库"),1,0)</f>
        <v>0</v>
      </c>
      <c r="AE1480" s="3">
        <f t="shared" si="410"/>
        <v>0</v>
      </c>
      <c r="AF1480" s="3">
        <f>IF(AND($N1480=1,AND(LEFT(对接源_02物料!$D280,4)="包装物料",N(对接源_02物料!$K280)&lt;&gt;0)),1,0)</f>
        <v>0</v>
      </c>
      <c r="AG1480" s="3">
        <f t="shared" si="411"/>
        <v>5</v>
      </c>
      <c r="AH1480" s="3">
        <f>IF(AND($N1480=1,AND(对接源_02物料!$D280="周转筐－销售出库",N(对接源_02物料!$K280)&lt;&gt;0)),1,0)</f>
        <v>0</v>
      </c>
      <c r="AI1480" s="3">
        <f t="shared" si="412"/>
        <v>0</v>
      </c>
      <c r="AL1480" s="3">
        <v>0</v>
      </c>
      <c r="AM1480" s="3">
        <f t="shared" si="413"/>
        <v>1</v>
      </c>
      <c r="AN1480" s="3" t="str">
        <f t="shared" si="400"/>
        <v/>
      </c>
      <c r="AO1480" s="3">
        <v>0</v>
      </c>
      <c r="AP1480" s="3">
        <f t="shared" si="414"/>
        <v>8</v>
      </c>
      <c r="AR1480">
        <f t="shared" si="415"/>
        <v>0</v>
      </c>
      <c r="AS1480">
        <f t="shared" si="416"/>
        <v>5</v>
      </c>
    </row>
    <row r="1481" customHeight="1" spans="1:45">
      <c r="A1481" s="3" t="str">
        <f>IF(对接源_02物料!$C281="","",对接源_02物料!$C281)</f>
        <v/>
      </c>
      <c r="B1481" s="3">
        <f t="shared" si="401"/>
        <v>0</v>
      </c>
      <c r="C1481" s="3">
        <f t="shared" si="402"/>
        <v>21</v>
      </c>
      <c r="K1481" s="3">
        <f>IF(OR($K$1="",对接源_02物料!$C281="",对接源_02物料!$C281&lt;&gt;$K$1,对接源_02物料!$B281=""),0,IF(OR(N(对接源_02物料!$B281)&lt;$K$2,N(对接源_02物料!$B281)&gt;$K$3),0,1))</f>
        <v>0</v>
      </c>
      <c r="L1481" s="3">
        <f>IF(OR($L$1="",对接源_02物料!$C281="",对接源_02物料!$C281&lt;&gt;$L$1,对接源_02物料!$B281=""),0,IF(OR(N(对接源_02物料!$B281)&lt;$L$2,N(对接源_02物料!$B281)&gt;$L$3),0,1))</f>
        <v>0</v>
      </c>
      <c r="M1481" s="3">
        <f>IF(OR($M$1="",对接源_02物料!$C281="",对接源_02物料!$C281&lt;&gt;$M$1,对接源_02物料!$B281=""),0,IF(OR(N(对接源_02物料!$B281)&lt;$M$2,N(对接源_02物料!$B281)&gt;$M$3),0,1))</f>
        <v>0</v>
      </c>
      <c r="N1481" s="3">
        <f>IF(OR($N$1="",对接源_02物料!$C281="",对接源_02物料!$C281&lt;&gt;$N$1,对接源_02物料!$B281=""),0,IF(OR(N(对接源_02物料!$B281)&lt;$N$2,N(对接源_02物料!$B281)&gt;$N$3),0,1))</f>
        <v>0</v>
      </c>
      <c r="P1481" s="3">
        <f>IF(AND($K1481=1,AND(对接源_02物料!$X281="公司筐",N(对接源_02物料!$T281)&lt;&gt;0)),1,0)</f>
        <v>0</v>
      </c>
      <c r="Q1481" s="3">
        <f t="shared" si="403"/>
        <v>8</v>
      </c>
      <c r="R1481" s="3">
        <f>IF(AND($K1481=1,AND(对接源_02物料!$X281="公司筐",N(对接源_02物料!$U281)&lt;&gt;0)),1,0)</f>
        <v>0</v>
      </c>
      <c r="S1481" s="3">
        <f t="shared" si="404"/>
        <v>0</v>
      </c>
      <c r="T1481" s="3">
        <f>IF(AND($K1481=1,AND(对接源_02物料!$X281="公司筐",N(对接源_02物料!$V281)&lt;&gt;0)),1,0)</f>
        <v>0</v>
      </c>
      <c r="U1481" s="3">
        <f t="shared" si="405"/>
        <v>19</v>
      </c>
      <c r="V1481" s="3">
        <f>IF(AND($L1481=1,AND(对接源_02物料!$X281="自备筐",N(对接源_02物料!$V281)&lt;&gt;0)),1,0)</f>
        <v>0</v>
      </c>
      <c r="W1481" s="3">
        <f t="shared" si="406"/>
        <v>8</v>
      </c>
      <c r="X1481" s="3">
        <f>IF(AND($L1481=1,AND(对接源_02物料!$X281="自备筐",N(对接源_02物料!$T281)&lt;&gt;0)),1,0)</f>
        <v>0</v>
      </c>
      <c r="Y1481" s="3">
        <f t="shared" si="407"/>
        <v>0</v>
      </c>
      <c r="Z1481" s="3">
        <f>IF(AND($M1481=1,对接源_02物料!$D281="原料入库"),1,0)</f>
        <v>0</v>
      </c>
      <c r="AA1481" s="3">
        <f t="shared" si="408"/>
        <v>24</v>
      </c>
      <c r="AB1481" s="3">
        <f>IF(AND($M1481=1,LEFT(对接源_02物料!$D281,4)="原料出库"),1,0)</f>
        <v>0</v>
      </c>
      <c r="AC1481" s="3">
        <f t="shared" si="409"/>
        <v>0</v>
      </c>
      <c r="AD1481" s="3">
        <f>IF(AND($M1481=1,LEFT(对接源_02物料!$D281,4)="成品出库"),1,0)</f>
        <v>0</v>
      </c>
      <c r="AE1481" s="3">
        <f t="shared" si="410"/>
        <v>0</v>
      </c>
      <c r="AF1481" s="3">
        <f>IF(AND($N1481=1,AND(LEFT(对接源_02物料!$D281,4)="包装物料",N(对接源_02物料!$K281)&lt;&gt;0)),1,0)</f>
        <v>0</v>
      </c>
      <c r="AG1481" s="3">
        <f t="shared" si="411"/>
        <v>5</v>
      </c>
      <c r="AH1481" s="3">
        <f>IF(AND($N1481=1,AND(对接源_02物料!$D281="周转筐－销售出库",N(对接源_02物料!$K281)&lt;&gt;0)),1,0)</f>
        <v>0</v>
      </c>
      <c r="AI1481" s="3">
        <f t="shared" si="412"/>
        <v>0</v>
      </c>
      <c r="AL1481" s="3">
        <v>0</v>
      </c>
      <c r="AM1481" s="3">
        <f t="shared" si="413"/>
        <v>1</v>
      </c>
      <c r="AN1481" s="3" t="str">
        <f t="shared" si="400"/>
        <v/>
      </c>
      <c r="AO1481" s="3">
        <v>0</v>
      </c>
      <c r="AP1481" s="3">
        <f t="shared" si="414"/>
        <v>8</v>
      </c>
      <c r="AR1481">
        <f t="shared" si="415"/>
        <v>0</v>
      </c>
      <c r="AS1481">
        <f t="shared" si="416"/>
        <v>5</v>
      </c>
    </row>
    <row r="1482" customHeight="1" spans="1:45">
      <c r="A1482" s="3" t="str">
        <f>IF(对接源_02物料!$C282="","",对接源_02物料!$C282)</f>
        <v/>
      </c>
      <c r="B1482" s="3">
        <f t="shared" si="401"/>
        <v>0</v>
      </c>
      <c r="C1482" s="3">
        <f t="shared" si="402"/>
        <v>21</v>
      </c>
      <c r="K1482" s="3">
        <f>IF(OR($K$1="",对接源_02物料!$C282="",对接源_02物料!$C282&lt;&gt;$K$1,对接源_02物料!$B282=""),0,IF(OR(N(对接源_02物料!$B282)&lt;$K$2,N(对接源_02物料!$B282)&gt;$K$3),0,1))</f>
        <v>0</v>
      </c>
      <c r="L1482" s="3">
        <f>IF(OR($L$1="",对接源_02物料!$C282="",对接源_02物料!$C282&lt;&gt;$L$1,对接源_02物料!$B282=""),0,IF(OR(N(对接源_02物料!$B282)&lt;$L$2,N(对接源_02物料!$B282)&gt;$L$3),0,1))</f>
        <v>0</v>
      </c>
      <c r="M1482" s="3">
        <f>IF(OR($M$1="",对接源_02物料!$C282="",对接源_02物料!$C282&lt;&gt;$M$1,对接源_02物料!$B282=""),0,IF(OR(N(对接源_02物料!$B282)&lt;$M$2,N(对接源_02物料!$B282)&gt;$M$3),0,1))</f>
        <v>0</v>
      </c>
      <c r="N1482" s="3">
        <f>IF(OR($N$1="",对接源_02物料!$C282="",对接源_02物料!$C282&lt;&gt;$N$1,对接源_02物料!$B282=""),0,IF(OR(N(对接源_02物料!$B282)&lt;$N$2,N(对接源_02物料!$B282)&gt;$N$3),0,1))</f>
        <v>0</v>
      </c>
      <c r="P1482" s="3">
        <f>IF(AND($K1482=1,AND(对接源_02物料!$X282="公司筐",N(对接源_02物料!$T282)&lt;&gt;0)),1,0)</f>
        <v>0</v>
      </c>
      <c r="Q1482" s="3">
        <f t="shared" si="403"/>
        <v>8</v>
      </c>
      <c r="R1482" s="3">
        <f>IF(AND($K1482=1,AND(对接源_02物料!$X282="公司筐",N(对接源_02物料!$U282)&lt;&gt;0)),1,0)</f>
        <v>0</v>
      </c>
      <c r="S1482" s="3">
        <f t="shared" si="404"/>
        <v>0</v>
      </c>
      <c r="T1482" s="3">
        <f>IF(AND($K1482=1,AND(对接源_02物料!$X282="公司筐",N(对接源_02物料!$V282)&lt;&gt;0)),1,0)</f>
        <v>0</v>
      </c>
      <c r="U1482" s="3">
        <f t="shared" si="405"/>
        <v>19</v>
      </c>
      <c r="V1482" s="3">
        <f>IF(AND($L1482=1,AND(对接源_02物料!$X282="自备筐",N(对接源_02物料!$V282)&lt;&gt;0)),1,0)</f>
        <v>0</v>
      </c>
      <c r="W1482" s="3">
        <f t="shared" si="406"/>
        <v>8</v>
      </c>
      <c r="X1482" s="3">
        <f>IF(AND($L1482=1,AND(对接源_02物料!$X282="自备筐",N(对接源_02物料!$T282)&lt;&gt;0)),1,0)</f>
        <v>0</v>
      </c>
      <c r="Y1482" s="3">
        <f t="shared" si="407"/>
        <v>0</v>
      </c>
      <c r="Z1482" s="3">
        <f>IF(AND($M1482=1,对接源_02物料!$D282="原料入库"),1,0)</f>
        <v>0</v>
      </c>
      <c r="AA1482" s="3">
        <f t="shared" si="408"/>
        <v>24</v>
      </c>
      <c r="AB1482" s="3">
        <f>IF(AND($M1482=1,LEFT(对接源_02物料!$D282,4)="原料出库"),1,0)</f>
        <v>0</v>
      </c>
      <c r="AC1482" s="3">
        <f t="shared" si="409"/>
        <v>0</v>
      </c>
      <c r="AD1482" s="3">
        <f>IF(AND($M1482=1,LEFT(对接源_02物料!$D282,4)="成品出库"),1,0)</f>
        <v>0</v>
      </c>
      <c r="AE1482" s="3">
        <f t="shared" si="410"/>
        <v>0</v>
      </c>
      <c r="AF1482" s="3">
        <f>IF(AND($N1482=1,AND(LEFT(对接源_02物料!$D282,4)="包装物料",N(对接源_02物料!$K282)&lt;&gt;0)),1,0)</f>
        <v>0</v>
      </c>
      <c r="AG1482" s="3">
        <f t="shared" si="411"/>
        <v>5</v>
      </c>
      <c r="AH1482" s="3">
        <f>IF(AND($N1482=1,AND(对接源_02物料!$D282="周转筐－销售出库",N(对接源_02物料!$K282)&lt;&gt;0)),1,0)</f>
        <v>0</v>
      </c>
      <c r="AI1482" s="3">
        <f t="shared" si="412"/>
        <v>0</v>
      </c>
      <c r="AL1482" s="3">
        <v>0</v>
      </c>
      <c r="AM1482" s="3">
        <f t="shared" si="413"/>
        <v>1</v>
      </c>
      <c r="AN1482" s="3" t="str">
        <f t="shared" si="400"/>
        <v/>
      </c>
      <c r="AO1482" s="3">
        <v>0</v>
      </c>
      <c r="AP1482" s="3">
        <f t="shared" si="414"/>
        <v>8</v>
      </c>
      <c r="AR1482">
        <f t="shared" si="415"/>
        <v>0</v>
      </c>
      <c r="AS1482">
        <f t="shared" si="416"/>
        <v>5</v>
      </c>
    </row>
    <row r="1483" customHeight="1" spans="1:45">
      <c r="A1483" s="3" t="str">
        <f>IF(对接源_02物料!$C283="","",对接源_02物料!$C283)</f>
        <v/>
      </c>
      <c r="B1483" s="3">
        <f t="shared" si="401"/>
        <v>0</v>
      </c>
      <c r="C1483" s="3">
        <f t="shared" si="402"/>
        <v>21</v>
      </c>
      <c r="K1483" s="3">
        <f>IF(OR($K$1="",对接源_02物料!$C283="",对接源_02物料!$C283&lt;&gt;$K$1,对接源_02物料!$B283=""),0,IF(OR(N(对接源_02物料!$B283)&lt;$K$2,N(对接源_02物料!$B283)&gt;$K$3),0,1))</f>
        <v>0</v>
      </c>
      <c r="L1483" s="3">
        <f>IF(OR($L$1="",对接源_02物料!$C283="",对接源_02物料!$C283&lt;&gt;$L$1,对接源_02物料!$B283=""),0,IF(OR(N(对接源_02物料!$B283)&lt;$L$2,N(对接源_02物料!$B283)&gt;$L$3),0,1))</f>
        <v>0</v>
      </c>
      <c r="M1483" s="3">
        <f>IF(OR($M$1="",对接源_02物料!$C283="",对接源_02物料!$C283&lt;&gt;$M$1,对接源_02物料!$B283=""),0,IF(OR(N(对接源_02物料!$B283)&lt;$M$2,N(对接源_02物料!$B283)&gt;$M$3),0,1))</f>
        <v>0</v>
      </c>
      <c r="N1483" s="3">
        <f>IF(OR($N$1="",对接源_02物料!$C283="",对接源_02物料!$C283&lt;&gt;$N$1,对接源_02物料!$B283=""),0,IF(OR(N(对接源_02物料!$B283)&lt;$N$2,N(对接源_02物料!$B283)&gt;$N$3),0,1))</f>
        <v>0</v>
      </c>
      <c r="P1483" s="3">
        <f>IF(AND($K1483=1,AND(对接源_02物料!$X283="公司筐",N(对接源_02物料!$T283)&lt;&gt;0)),1,0)</f>
        <v>0</v>
      </c>
      <c r="Q1483" s="3">
        <f t="shared" si="403"/>
        <v>8</v>
      </c>
      <c r="R1483" s="3">
        <f>IF(AND($K1483=1,AND(对接源_02物料!$X283="公司筐",N(对接源_02物料!$U283)&lt;&gt;0)),1,0)</f>
        <v>0</v>
      </c>
      <c r="S1483" s="3">
        <f t="shared" si="404"/>
        <v>0</v>
      </c>
      <c r="T1483" s="3">
        <f>IF(AND($K1483=1,AND(对接源_02物料!$X283="公司筐",N(对接源_02物料!$V283)&lt;&gt;0)),1,0)</f>
        <v>0</v>
      </c>
      <c r="U1483" s="3">
        <f t="shared" si="405"/>
        <v>19</v>
      </c>
      <c r="V1483" s="3">
        <f>IF(AND($L1483=1,AND(对接源_02物料!$X283="自备筐",N(对接源_02物料!$V283)&lt;&gt;0)),1,0)</f>
        <v>0</v>
      </c>
      <c r="W1483" s="3">
        <f t="shared" si="406"/>
        <v>8</v>
      </c>
      <c r="X1483" s="3">
        <f>IF(AND($L1483=1,AND(对接源_02物料!$X283="自备筐",N(对接源_02物料!$T283)&lt;&gt;0)),1,0)</f>
        <v>0</v>
      </c>
      <c r="Y1483" s="3">
        <f t="shared" si="407"/>
        <v>0</v>
      </c>
      <c r="Z1483" s="3">
        <f>IF(AND($M1483=1,对接源_02物料!$D283="原料入库"),1,0)</f>
        <v>0</v>
      </c>
      <c r="AA1483" s="3">
        <f t="shared" si="408"/>
        <v>24</v>
      </c>
      <c r="AB1483" s="3">
        <f>IF(AND($M1483=1,LEFT(对接源_02物料!$D283,4)="原料出库"),1,0)</f>
        <v>0</v>
      </c>
      <c r="AC1483" s="3">
        <f t="shared" si="409"/>
        <v>0</v>
      </c>
      <c r="AD1483" s="3">
        <f>IF(AND($M1483=1,LEFT(对接源_02物料!$D283,4)="成品出库"),1,0)</f>
        <v>0</v>
      </c>
      <c r="AE1483" s="3">
        <f t="shared" si="410"/>
        <v>0</v>
      </c>
      <c r="AF1483" s="3">
        <f>IF(AND($N1483=1,AND(LEFT(对接源_02物料!$D283,4)="包装物料",N(对接源_02物料!$K283)&lt;&gt;0)),1,0)</f>
        <v>0</v>
      </c>
      <c r="AG1483" s="3">
        <f t="shared" si="411"/>
        <v>5</v>
      </c>
      <c r="AH1483" s="3">
        <f>IF(AND($N1483=1,AND(对接源_02物料!$D283="周转筐－销售出库",N(对接源_02物料!$K283)&lt;&gt;0)),1,0)</f>
        <v>0</v>
      </c>
      <c r="AI1483" s="3">
        <f t="shared" si="412"/>
        <v>0</v>
      </c>
      <c r="AL1483" s="3">
        <v>0</v>
      </c>
      <c r="AM1483" s="3">
        <f t="shared" si="413"/>
        <v>1</v>
      </c>
      <c r="AN1483" s="3" t="str">
        <f t="shared" si="400"/>
        <v/>
      </c>
      <c r="AO1483" s="3">
        <v>0</v>
      </c>
      <c r="AP1483" s="3">
        <f t="shared" si="414"/>
        <v>8</v>
      </c>
      <c r="AR1483">
        <f t="shared" si="415"/>
        <v>0</v>
      </c>
      <c r="AS1483">
        <f t="shared" si="416"/>
        <v>5</v>
      </c>
    </row>
    <row r="1484" customHeight="1" spans="1:45">
      <c r="A1484" s="3" t="str">
        <f>IF(对接源_02物料!$C284="","",对接源_02物料!$C284)</f>
        <v/>
      </c>
      <c r="B1484" s="3">
        <f t="shared" si="401"/>
        <v>0</v>
      </c>
      <c r="C1484" s="3">
        <f t="shared" si="402"/>
        <v>21</v>
      </c>
      <c r="K1484" s="3">
        <f>IF(OR($K$1="",对接源_02物料!$C284="",对接源_02物料!$C284&lt;&gt;$K$1,对接源_02物料!$B284=""),0,IF(OR(N(对接源_02物料!$B284)&lt;$K$2,N(对接源_02物料!$B284)&gt;$K$3),0,1))</f>
        <v>0</v>
      </c>
      <c r="L1484" s="3">
        <f>IF(OR($L$1="",对接源_02物料!$C284="",对接源_02物料!$C284&lt;&gt;$L$1,对接源_02物料!$B284=""),0,IF(OR(N(对接源_02物料!$B284)&lt;$L$2,N(对接源_02物料!$B284)&gt;$L$3),0,1))</f>
        <v>0</v>
      </c>
      <c r="M1484" s="3">
        <f>IF(OR($M$1="",对接源_02物料!$C284="",对接源_02物料!$C284&lt;&gt;$M$1,对接源_02物料!$B284=""),0,IF(OR(N(对接源_02物料!$B284)&lt;$M$2,N(对接源_02物料!$B284)&gt;$M$3),0,1))</f>
        <v>0</v>
      </c>
      <c r="N1484" s="3">
        <f>IF(OR($N$1="",对接源_02物料!$C284="",对接源_02物料!$C284&lt;&gt;$N$1,对接源_02物料!$B284=""),0,IF(OR(N(对接源_02物料!$B284)&lt;$N$2,N(对接源_02物料!$B284)&gt;$N$3),0,1))</f>
        <v>0</v>
      </c>
      <c r="P1484" s="3">
        <f>IF(AND($K1484=1,AND(对接源_02物料!$X284="公司筐",N(对接源_02物料!$T284)&lt;&gt;0)),1,0)</f>
        <v>0</v>
      </c>
      <c r="Q1484" s="3">
        <f t="shared" si="403"/>
        <v>8</v>
      </c>
      <c r="R1484" s="3">
        <f>IF(AND($K1484=1,AND(对接源_02物料!$X284="公司筐",N(对接源_02物料!$U284)&lt;&gt;0)),1,0)</f>
        <v>0</v>
      </c>
      <c r="S1484" s="3">
        <f t="shared" si="404"/>
        <v>0</v>
      </c>
      <c r="T1484" s="3">
        <f>IF(AND($K1484=1,AND(对接源_02物料!$X284="公司筐",N(对接源_02物料!$V284)&lt;&gt;0)),1,0)</f>
        <v>0</v>
      </c>
      <c r="U1484" s="3">
        <f t="shared" si="405"/>
        <v>19</v>
      </c>
      <c r="V1484" s="3">
        <f>IF(AND($L1484=1,AND(对接源_02物料!$X284="自备筐",N(对接源_02物料!$V284)&lt;&gt;0)),1,0)</f>
        <v>0</v>
      </c>
      <c r="W1484" s="3">
        <f t="shared" si="406"/>
        <v>8</v>
      </c>
      <c r="X1484" s="3">
        <f>IF(AND($L1484=1,AND(对接源_02物料!$X284="自备筐",N(对接源_02物料!$T284)&lt;&gt;0)),1,0)</f>
        <v>0</v>
      </c>
      <c r="Y1484" s="3">
        <f t="shared" si="407"/>
        <v>0</v>
      </c>
      <c r="Z1484" s="3">
        <f>IF(AND($M1484=1,对接源_02物料!$D284="原料入库"),1,0)</f>
        <v>0</v>
      </c>
      <c r="AA1484" s="3">
        <f t="shared" si="408"/>
        <v>24</v>
      </c>
      <c r="AB1484" s="3">
        <f>IF(AND($M1484=1,LEFT(对接源_02物料!$D284,4)="原料出库"),1,0)</f>
        <v>0</v>
      </c>
      <c r="AC1484" s="3">
        <f t="shared" si="409"/>
        <v>0</v>
      </c>
      <c r="AD1484" s="3">
        <f>IF(AND($M1484=1,LEFT(对接源_02物料!$D284,4)="成品出库"),1,0)</f>
        <v>0</v>
      </c>
      <c r="AE1484" s="3">
        <f t="shared" si="410"/>
        <v>0</v>
      </c>
      <c r="AF1484" s="3">
        <f>IF(AND($N1484=1,AND(LEFT(对接源_02物料!$D284,4)="包装物料",N(对接源_02物料!$K284)&lt;&gt;0)),1,0)</f>
        <v>0</v>
      </c>
      <c r="AG1484" s="3">
        <f t="shared" si="411"/>
        <v>5</v>
      </c>
      <c r="AH1484" s="3">
        <f>IF(AND($N1484=1,AND(对接源_02物料!$D284="周转筐－销售出库",N(对接源_02物料!$K284)&lt;&gt;0)),1,0)</f>
        <v>0</v>
      </c>
      <c r="AI1484" s="3">
        <f t="shared" si="412"/>
        <v>0</v>
      </c>
      <c r="AL1484" s="3">
        <v>0</v>
      </c>
      <c r="AM1484" s="3">
        <f t="shared" si="413"/>
        <v>1</v>
      </c>
      <c r="AN1484" s="3" t="str">
        <f t="shared" si="400"/>
        <v/>
      </c>
      <c r="AO1484" s="3">
        <v>0</v>
      </c>
      <c r="AP1484" s="3">
        <f t="shared" si="414"/>
        <v>8</v>
      </c>
      <c r="AR1484">
        <f t="shared" si="415"/>
        <v>0</v>
      </c>
      <c r="AS1484">
        <f t="shared" si="416"/>
        <v>5</v>
      </c>
    </row>
    <row r="1485" customHeight="1" spans="1:45">
      <c r="A1485" s="3" t="str">
        <f>IF(对接源_02物料!$C285="","",对接源_02物料!$C285)</f>
        <v/>
      </c>
      <c r="B1485" s="3">
        <f t="shared" si="401"/>
        <v>0</v>
      </c>
      <c r="C1485" s="3">
        <f t="shared" si="402"/>
        <v>21</v>
      </c>
      <c r="K1485" s="3">
        <f>IF(OR($K$1="",对接源_02物料!$C285="",对接源_02物料!$C285&lt;&gt;$K$1,对接源_02物料!$B285=""),0,IF(OR(N(对接源_02物料!$B285)&lt;$K$2,N(对接源_02物料!$B285)&gt;$K$3),0,1))</f>
        <v>0</v>
      </c>
      <c r="L1485" s="3">
        <f>IF(OR($L$1="",对接源_02物料!$C285="",对接源_02物料!$C285&lt;&gt;$L$1,对接源_02物料!$B285=""),0,IF(OR(N(对接源_02物料!$B285)&lt;$L$2,N(对接源_02物料!$B285)&gt;$L$3),0,1))</f>
        <v>0</v>
      </c>
      <c r="M1485" s="3">
        <f>IF(OR($M$1="",对接源_02物料!$C285="",对接源_02物料!$C285&lt;&gt;$M$1,对接源_02物料!$B285=""),0,IF(OR(N(对接源_02物料!$B285)&lt;$M$2,N(对接源_02物料!$B285)&gt;$M$3),0,1))</f>
        <v>0</v>
      </c>
      <c r="N1485" s="3">
        <f>IF(OR($N$1="",对接源_02物料!$C285="",对接源_02物料!$C285&lt;&gt;$N$1,对接源_02物料!$B285=""),0,IF(OR(N(对接源_02物料!$B285)&lt;$N$2,N(对接源_02物料!$B285)&gt;$N$3),0,1))</f>
        <v>0</v>
      </c>
      <c r="P1485" s="3">
        <f>IF(AND($K1485=1,AND(对接源_02物料!$X285="公司筐",N(对接源_02物料!$T285)&lt;&gt;0)),1,0)</f>
        <v>0</v>
      </c>
      <c r="Q1485" s="3">
        <f t="shared" si="403"/>
        <v>8</v>
      </c>
      <c r="R1485" s="3">
        <f>IF(AND($K1485=1,AND(对接源_02物料!$X285="公司筐",N(对接源_02物料!$U285)&lt;&gt;0)),1,0)</f>
        <v>0</v>
      </c>
      <c r="S1485" s="3">
        <f t="shared" si="404"/>
        <v>0</v>
      </c>
      <c r="T1485" s="3">
        <f>IF(AND($K1485=1,AND(对接源_02物料!$X285="公司筐",N(对接源_02物料!$V285)&lt;&gt;0)),1,0)</f>
        <v>0</v>
      </c>
      <c r="U1485" s="3">
        <f t="shared" si="405"/>
        <v>19</v>
      </c>
      <c r="V1485" s="3">
        <f>IF(AND($L1485=1,AND(对接源_02物料!$X285="自备筐",N(对接源_02物料!$V285)&lt;&gt;0)),1,0)</f>
        <v>0</v>
      </c>
      <c r="W1485" s="3">
        <f t="shared" si="406"/>
        <v>8</v>
      </c>
      <c r="X1485" s="3">
        <f>IF(AND($L1485=1,AND(对接源_02物料!$X285="自备筐",N(对接源_02物料!$T285)&lt;&gt;0)),1,0)</f>
        <v>0</v>
      </c>
      <c r="Y1485" s="3">
        <f t="shared" si="407"/>
        <v>0</v>
      </c>
      <c r="Z1485" s="3">
        <f>IF(AND($M1485=1,对接源_02物料!$D285="原料入库"),1,0)</f>
        <v>0</v>
      </c>
      <c r="AA1485" s="3">
        <f t="shared" si="408"/>
        <v>24</v>
      </c>
      <c r="AB1485" s="3">
        <f>IF(AND($M1485=1,LEFT(对接源_02物料!$D285,4)="原料出库"),1,0)</f>
        <v>0</v>
      </c>
      <c r="AC1485" s="3">
        <f t="shared" si="409"/>
        <v>0</v>
      </c>
      <c r="AD1485" s="3">
        <f>IF(AND($M1485=1,LEFT(对接源_02物料!$D285,4)="成品出库"),1,0)</f>
        <v>0</v>
      </c>
      <c r="AE1485" s="3">
        <f t="shared" si="410"/>
        <v>0</v>
      </c>
      <c r="AF1485" s="3">
        <f>IF(AND($N1485=1,AND(LEFT(对接源_02物料!$D285,4)="包装物料",N(对接源_02物料!$K285)&lt;&gt;0)),1,0)</f>
        <v>0</v>
      </c>
      <c r="AG1485" s="3">
        <f t="shared" si="411"/>
        <v>5</v>
      </c>
      <c r="AH1485" s="3">
        <f>IF(AND($N1485=1,AND(对接源_02物料!$D285="周转筐－销售出库",N(对接源_02物料!$K285)&lt;&gt;0)),1,0)</f>
        <v>0</v>
      </c>
      <c r="AI1485" s="3">
        <f t="shared" si="412"/>
        <v>0</v>
      </c>
      <c r="AL1485" s="3">
        <v>0</v>
      </c>
      <c r="AM1485" s="3">
        <f t="shared" si="413"/>
        <v>1</v>
      </c>
      <c r="AN1485" s="3" t="str">
        <f t="shared" si="400"/>
        <v/>
      </c>
      <c r="AO1485" s="3">
        <v>0</v>
      </c>
      <c r="AP1485" s="3">
        <f t="shared" si="414"/>
        <v>8</v>
      </c>
      <c r="AR1485">
        <f t="shared" si="415"/>
        <v>0</v>
      </c>
      <c r="AS1485">
        <f t="shared" si="416"/>
        <v>5</v>
      </c>
    </row>
    <row r="1486" customHeight="1" spans="1:45">
      <c r="A1486" s="3" t="str">
        <f>IF(对接源_02物料!$C286="","",对接源_02物料!$C286)</f>
        <v/>
      </c>
      <c r="B1486" s="3">
        <f t="shared" si="401"/>
        <v>0</v>
      </c>
      <c r="C1486" s="3">
        <f t="shared" si="402"/>
        <v>21</v>
      </c>
      <c r="K1486" s="3">
        <f>IF(OR($K$1="",对接源_02物料!$C286="",对接源_02物料!$C286&lt;&gt;$K$1,对接源_02物料!$B286=""),0,IF(OR(N(对接源_02物料!$B286)&lt;$K$2,N(对接源_02物料!$B286)&gt;$K$3),0,1))</f>
        <v>0</v>
      </c>
      <c r="L1486" s="3">
        <f>IF(OR($L$1="",对接源_02物料!$C286="",对接源_02物料!$C286&lt;&gt;$L$1,对接源_02物料!$B286=""),0,IF(OR(N(对接源_02物料!$B286)&lt;$L$2,N(对接源_02物料!$B286)&gt;$L$3),0,1))</f>
        <v>0</v>
      </c>
      <c r="M1486" s="3">
        <f>IF(OR($M$1="",对接源_02物料!$C286="",对接源_02物料!$C286&lt;&gt;$M$1,对接源_02物料!$B286=""),0,IF(OR(N(对接源_02物料!$B286)&lt;$M$2,N(对接源_02物料!$B286)&gt;$M$3),0,1))</f>
        <v>0</v>
      </c>
      <c r="N1486" s="3">
        <f>IF(OR($N$1="",对接源_02物料!$C286="",对接源_02物料!$C286&lt;&gt;$N$1,对接源_02物料!$B286=""),0,IF(OR(N(对接源_02物料!$B286)&lt;$N$2,N(对接源_02物料!$B286)&gt;$N$3),0,1))</f>
        <v>0</v>
      </c>
      <c r="P1486" s="3">
        <f>IF(AND($K1486=1,AND(对接源_02物料!$X286="公司筐",N(对接源_02物料!$T286)&lt;&gt;0)),1,0)</f>
        <v>0</v>
      </c>
      <c r="Q1486" s="3">
        <f t="shared" si="403"/>
        <v>8</v>
      </c>
      <c r="R1486" s="3">
        <f>IF(AND($K1486=1,AND(对接源_02物料!$X286="公司筐",N(对接源_02物料!$U286)&lt;&gt;0)),1,0)</f>
        <v>0</v>
      </c>
      <c r="S1486" s="3">
        <f t="shared" si="404"/>
        <v>0</v>
      </c>
      <c r="T1486" s="3">
        <f>IF(AND($K1486=1,AND(对接源_02物料!$X286="公司筐",N(对接源_02物料!$V286)&lt;&gt;0)),1,0)</f>
        <v>0</v>
      </c>
      <c r="U1486" s="3">
        <f t="shared" si="405"/>
        <v>19</v>
      </c>
      <c r="V1486" s="3">
        <f>IF(AND($L1486=1,AND(对接源_02物料!$X286="自备筐",N(对接源_02物料!$V286)&lt;&gt;0)),1,0)</f>
        <v>0</v>
      </c>
      <c r="W1486" s="3">
        <f t="shared" si="406"/>
        <v>8</v>
      </c>
      <c r="X1486" s="3">
        <f>IF(AND($L1486=1,AND(对接源_02物料!$X286="自备筐",N(对接源_02物料!$T286)&lt;&gt;0)),1,0)</f>
        <v>0</v>
      </c>
      <c r="Y1486" s="3">
        <f t="shared" si="407"/>
        <v>0</v>
      </c>
      <c r="Z1486" s="3">
        <f>IF(AND($M1486=1,对接源_02物料!$D286="原料入库"),1,0)</f>
        <v>0</v>
      </c>
      <c r="AA1486" s="3">
        <f t="shared" si="408"/>
        <v>24</v>
      </c>
      <c r="AB1486" s="3">
        <f>IF(AND($M1486=1,LEFT(对接源_02物料!$D286,4)="原料出库"),1,0)</f>
        <v>0</v>
      </c>
      <c r="AC1486" s="3">
        <f t="shared" si="409"/>
        <v>0</v>
      </c>
      <c r="AD1486" s="3">
        <f>IF(AND($M1486=1,LEFT(对接源_02物料!$D286,4)="成品出库"),1,0)</f>
        <v>0</v>
      </c>
      <c r="AE1486" s="3">
        <f t="shared" si="410"/>
        <v>0</v>
      </c>
      <c r="AF1486" s="3">
        <f>IF(AND($N1486=1,AND(LEFT(对接源_02物料!$D286,4)="包装物料",N(对接源_02物料!$K286)&lt;&gt;0)),1,0)</f>
        <v>0</v>
      </c>
      <c r="AG1486" s="3">
        <f t="shared" si="411"/>
        <v>5</v>
      </c>
      <c r="AH1486" s="3">
        <f>IF(AND($N1486=1,AND(对接源_02物料!$D286="周转筐－销售出库",N(对接源_02物料!$K286)&lt;&gt;0)),1,0)</f>
        <v>0</v>
      </c>
      <c r="AI1486" s="3">
        <f t="shared" si="412"/>
        <v>0</v>
      </c>
      <c r="AL1486" s="3">
        <v>0</v>
      </c>
      <c r="AM1486" s="3">
        <f t="shared" si="413"/>
        <v>1</v>
      </c>
      <c r="AN1486" s="3" t="str">
        <f t="shared" si="400"/>
        <v/>
      </c>
      <c r="AO1486" s="3">
        <v>0</v>
      </c>
      <c r="AP1486" s="3">
        <f t="shared" si="414"/>
        <v>8</v>
      </c>
      <c r="AR1486">
        <f t="shared" si="415"/>
        <v>0</v>
      </c>
      <c r="AS1486">
        <f t="shared" si="416"/>
        <v>5</v>
      </c>
    </row>
    <row r="1487" customHeight="1" spans="1:45">
      <c r="A1487" s="3" t="str">
        <f>IF(对接源_02物料!$C287="","",对接源_02物料!$C287)</f>
        <v/>
      </c>
      <c r="B1487" s="3">
        <f t="shared" si="401"/>
        <v>0</v>
      </c>
      <c r="C1487" s="3">
        <f t="shared" si="402"/>
        <v>21</v>
      </c>
      <c r="K1487" s="3">
        <f>IF(OR($K$1="",对接源_02物料!$C287="",对接源_02物料!$C287&lt;&gt;$K$1,对接源_02物料!$B287=""),0,IF(OR(N(对接源_02物料!$B287)&lt;$K$2,N(对接源_02物料!$B287)&gt;$K$3),0,1))</f>
        <v>0</v>
      </c>
      <c r="L1487" s="3">
        <f>IF(OR($L$1="",对接源_02物料!$C287="",对接源_02物料!$C287&lt;&gt;$L$1,对接源_02物料!$B287=""),0,IF(OR(N(对接源_02物料!$B287)&lt;$L$2,N(对接源_02物料!$B287)&gt;$L$3),0,1))</f>
        <v>0</v>
      </c>
      <c r="M1487" s="3">
        <f>IF(OR($M$1="",对接源_02物料!$C287="",对接源_02物料!$C287&lt;&gt;$M$1,对接源_02物料!$B287=""),0,IF(OR(N(对接源_02物料!$B287)&lt;$M$2,N(对接源_02物料!$B287)&gt;$M$3),0,1))</f>
        <v>0</v>
      </c>
      <c r="N1487" s="3">
        <f>IF(OR($N$1="",对接源_02物料!$C287="",对接源_02物料!$C287&lt;&gt;$N$1,对接源_02物料!$B287=""),0,IF(OR(N(对接源_02物料!$B287)&lt;$N$2,N(对接源_02物料!$B287)&gt;$N$3),0,1))</f>
        <v>0</v>
      </c>
      <c r="P1487" s="3">
        <f>IF(AND($K1487=1,AND(对接源_02物料!$X287="公司筐",N(对接源_02物料!$T287)&lt;&gt;0)),1,0)</f>
        <v>0</v>
      </c>
      <c r="Q1487" s="3">
        <f t="shared" si="403"/>
        <v>8</v>
      </c>
      <c r="R1487" s="3">
        <f>IF(AND($K1487=1,AND(对接源_02物料!$X287="公司筐",N(对接源_02物料!$U287)&lt;&gt;0)),1,0)</f>
        <v>0</v>
      </c>
      <c r="S1487" s="3">
        <f t="shared" si="404"/>
        <v>0</v>
      </c>
      <c r="T1487" s="3">
        <f>IF(AND($K1487=1,AND(对接源_02物料!$X287="公司筐",N(对接源_02物料!$V287)&lt;&gt;0)),1,0)</f>
        <v>0</v>
      </c>
      <c r="U1487" s="3">
        <f t="shared" si="405"/>
        <v>19</v>
      </c>
      <c r="V1487" s="3">
        <f>IF(AND($L1487=1,AND(对接源_02物料!$X287="自备筐",N(对接源_02物料!$V287)&lt;&gt;0)),1,0)</f>
        <v>0</v>
      </c>
      <c r="W1487" s="3">
        <f t="shared" si="406"/>
        <v>8</v>
      </c>
      <c r="X1487" s="3">
        <f>IF(AND($L1487=1,AND(对接源_02物料!$X287="自备筐",N(对接源_02物料!$T287)&lt;&gt;0)),1,0)</f>
        <v>0</v>
      </c>
      <c r="Y1487" s="3">
        <f t="shared" si="407"/>
        <v>0</v>
      </c>
      <c r="Z1487" s="3">
        <f>IF(AND($M1487=1,对接源_02物料!$D287="原料入库"),1,0)</f>
        <v>0</v>
      </c>
      <c r="AA1487" s="3">
        <f t="shared" si="408"/>
        <v>24</v>
      </c>
      <c r="AB1487" s="3">
        <f>IF(AND($M1487=1,LEFT(对接源_02物料!$D287,4)="原料出库"),1,0)</f>
        <v>0</v>
      </c>
      <c r="AC1487" s="3">
        <f t="shared" si="409"/>
        <v>0</v>
      </c>
      <c r="AD1487" s="3">
        <f>IF(AND($M1487=1,LEFT(对接源_02物料!$D287,4)="成品出库"),1,0)</f>
        <v>0</v>
      </c>
      <c r="AE1487" s="3">
        <f t="shared" si="410"/>
        <v>0</v>
      </c>
      <c r="AF1487" s="3">
        <f>IF(AND($N1487=1,AND(LEFT(对接源_02物料!$D287,4)="包装物料",N(对接源_02物料!$K287)&lt;&gt;0)),1,0)</f>
        <v>0</v>
      </c>
      <c r="AG1487" s="3">
        <f t="shared" si="411"/>
        <v>5</v>
      </c>
      <c r="AH1487" s="3">
        <f>IF(AND($N1487=1,AND(对接源_02物料!$D287="周转筐－销售出库",N(对接源_02物料!$K287)&lt;&gt;0)),1,0)</f>
        <v>0</v>
      </c>
      <c r="AI1487" s="3">
        <f t="shared" si="412"/>
        <v>0</v>
      </c>
      <c r="AL1487" s="3">
        <v>0</v>
      </c>
      <c r="AM1487" s="3">
        <f t="shared" si="413"/>
        <v>1</v>
      </c>
      <c r="AN1487" s="3" t="str">
        <f t="shared" si="400"/>
        <v/>
      </c>
      <c r="AO1487" s="3">
        <v>0</v>
      </c>
      <c r="AP1487" s="3">
        <f t="shared" si="414"/>
        <v>8</v>
      </c>
      <c r="AR1487">
        <f t="shared" si="415"/>
        <v>0</v>
      </c>
      <c r="AS1487">
        <f t="shared" si="416"/>
        <v>5</v>
      </c>
    </row>
    <row r="1488" customHeight="1" spans="1:45">
      <c r="A1488" s="3" t="str">
        <f>IF(对接源_02物料!$C288="","",对接源_02物料!$C288)</f>
        <v/>
      </c>
      <c r="B1488" s="3">
        <f t="shared" si="401"/>
        <v>0</v>
      </c>
      <c r="C1488" s="3">
        <f t="shared" si="402"/>
        <v>21</v>
      </c>
      <c r="K1488" s="3">
        <f>IF(OR($K$1="",对接源_02物料!$C288="",对接源_02物料!$C288&lt;&gt;$K$1,对接源_02物料!$B288=""),0,IF(OR(N(对接源_02物料!$B288)&lt;$K$2,N(对接源_02物料!$B288)&gt;$K$3),0,1))</f>
        <v>0</v>
      </c>
      <c r="L1488" s="3">
        <f>IF(OR($L$1="",对接源_02物料!$C288="",对接源_02物料!$C288&lt;&gt;$L$1,对接源_02物料!$B288=""),0,IF(OR(N(对接源_02物料!$B288)&lt;$L$2,N(对接源_02物料!$B288)&gt;$L$3),0,1))</f>
        <v>0</v>
      </c>
      <c r="M1488" s="3">
        <f>IF(OR($M$1="",对接源_02物料!$C288="",对接源_02物料!$C288&lt;&gt;$M$1,对接源_02物料!$B288=""),0,IF(OR(N(对接源_02物料!$B288)&lt;$M$2,N(对接源_02物料!$B288)&gt;$M$3),0,1))</f>
        <v>0</v>
      </c>
      <c r="N1488" s="3">
        <f>IF(OR($N$1="",对接源_02物料!$C288="",对接源_02物料!$C288&lt;&gt;$N$1,对接源_02物料!$B288=""),0,IF(OR(N(对接源_02物料!$B288)&lt;$N$2,N(对接源_02物料!$B288)&gt;$N$3),0,1))</f>
        <v>0</v>
      </c>
      <c r="P1488" s="3">
        <f>IF(AND($K1488=1,AND(对接源_02物料!$X288="公司筐",N(对接源_02物料!$T288)&lt;&gt;0)),1,0)</f>
        <v>0</v>
      </c>
      <c r="Q1488" s="3">
        <f t="shared" si="403"/>
        <v>8</v>
      </c>
      <c r="R1488" s="3">
        <f>IF(AND($K1488=1,AND(对接源_02物料!$X288="公司筐",N(对接源_02物料!$U288)&lt;&gt;0)),1,0)</f>
        <v>0</v>
      </c>
      <c r="S1488" s="3">
        <f t="shared" si="404"/>
        <v>0</v>
      </c>
      <c r="T1488" s="3">
        <f>IF(AND($K1488=1,AND(对接源_02物料!$X288="公司筐",N(对接源_02物料!$V288)&lt;&gt;0)),1,0)</f>
        <v>0</v>
      </c>
      <c r="U1488" s="3">
        <f t="shared" si="405"/>
        <v>19</v>
      </c>
      <c r="V1488" s="3">
        <f>IF(AND($L1488=1,AND(对接源_02物料!$X288="自备筐",N(对接源_02物料!$V288)&lt;&gt;0)),1,0)</f>
        <v>0</v>
      </c>
      <c r="W1488" s="3">
        <f t="shared" si="406"/>
        <v>8</v>
      </c>
      <c r="X1488" s="3">
        <f>IF(AND($L1488=1,AND(对接源_02物料!$X288="自备筐",N(对接源_02物料!$T288)&lt;&gt;0)),1,0)</f>
        <v>0</v>
      </c>
      <c r="Y1488" s="3">
        <f t="shared" si="407"/>
        <v>0</v>
      </c>
      <c r="Z1488" s="3">
        <f>IF(AND($M1488=1,对接源_02物料!$D288="原料入库"),1,0)</f>
        <v>0</v>
      </c>
      <c r="AA1488" s="3">
        <f t="shared" si="408"/>
        <v>24</v>
      </c>
      <c r="AB1488" s="3">
        <f>IF(AND($M1488=1,LEFT(对接源_02物料!$D288,4)="原料出库"),1,0)</f>
        <v>0</v>
      </c>
      <c r="AC1488" s="3">
        <f t="shared" si="409"/>
        <v>0</v>
      </c>
      <c r="AD1488" s="3">
        <f>IF(AND($M1488=1,LEFT(对接源_02物料!$D288,4)="成品出库"),1,0)</f>
        <v>0</v>
      </c>
      <c r="AE1488" s="3">
        <f t="shared" si="410"/>
        <v>0</v>
      </c>
      <c r="AF1488" s="3">
        <f>IF(AND($N1488=1,AND(LEFT(对接源_02物料!$D288,4)="包装物料",N(对接源_02物料!$K288)&lt;&gt;0)),1,0)</f>
        <v>0</v>
      </c>
      <c r="AG1488" s="3">
        <f t="shared" si="411"/>
        <v>5</v>
      </c>
      <c r="AH1488" s="3">
        <f>IF(AND($N1488=1,AND(对接源_02物料!$D288="周转筐－销售出库",N(对接源_02物料!$K288)&lt;&gt;0)),1,0)</f>
        <v>0</v>
      </c>
      <c r="AI1488" s="3">
        <f t="shared" si="412"/>
        <v>0</v>
      </c>
      <c r="AL1488" s="3">
        <v>0</v>
      </c>
      <c r="AM1488" s="3">
        <f t="shared" si="413"/>
        <v>1</v>
      </c>
      <c r="AN1488" s="3" t="str">
        <f t="shared" si="400"/>
        <v/>
      </c>
      <c r="AO1488" s="3">
        <v>0</v>
      </c>
      <c r="AP1488" s="3">
        <f t="shared" si="414"/>
        <v>8</v>
      </c>
      <c r="AR1488">
        <f t="shared" si="415"/>
        <v>0</v>
      </c>
      <c r="AS1488">
        <f t="shared" si="416"/>
        <v>5</v>
      </c>
    </row>
    <row r="1489" customHeight="1" spans="1:45">
      <c r="A1489" s="3" t="str">
        <f>IF(对接源_02物料!$C289="","",对接源_02物料!$C289)</f>
        <v/>
      </c>
      <c r="B1489" s="3">
        <f t="shared" si="401"/>
        <v>0</v>
      </c>
      <c r="C1489" s="3">
        <f t="shared" si="402"/>
        <v>21</v>
      </c>
      <c r="K1489" s="3">
        <f>IF(OR($K$1="",对接源_02物料!$C289="",对接源_02物料!$C289&lt;&gt;$K$1,对接源_02物料!$B289=""),0,IF(OR(N(对接源_02物料!$B289)&lt;$K$2,N(对接源_02物料!$B289)&gt;$K$3),0,1))</f>
        <v>0</v>
      </c>
      <c r="L1489" s="3">
        <f>IF(OR($L$1="",对接源_02物料!$C289="",对接源_02物料!$C289&lt;&gt;$L$1,对接源_02物料!$B289=""),0,IF(OR(N(对接源_02物料!$B289)&lt;$L$2,N(对接源_02物料!$B289)&gt;$L$3),0,1))</f>
        <v>0</v>
      </c>
      <c r="M1489" s="3">
        <f>IF(OR($M$1="",对接源_02物料!$C289="",对接源_02物料!$C289&lt;&gt;$M$1,对接源_02物料!$B289=""),0,IF(OR(N(对接源_02物料!$B289)&lt;$M$2,N(对接源_02物料!$B289)&gt;$M$3),0,1))</f>
        <v>0</v>
      </c>
      <c r="N1489" s="3">
        <f>IF(OR($N$1="",对接源_02物料!$C289="",对接源_02物料!$C289&lt;&gt;$N$1,对接源_02物料!$B289=""),0,IF(OR(N(对接源_02物料!$B289)&lt;$N$2,N(对接源_02物料!$B289)&gt;$N$3),0,1))</f>
        <v>0</v>
      </c>
      <c r="P1489" s="3">
        <f>IF(AND($K1489=1,AND(对接源_02物料!$X289="公司筐",N(对接源_02物料!$T289)&lt;&gt;0)),1,0)</f>
        <v>0</v>
      </c>
      <c r="Q1489" s="3">
        <f t="shared" si="403"/>
        <v>8</v>
      </c>
      <c r="R1489" s="3">
        <f>IF(AND($K1489=1,AND(对接源_02物料!$X289="公司筐",N(对接源_02物料!$U289)&lt;&gt;0)),1,0)</f>
        <v>0</v>
      </c>
      <c r="S1489" s="3">
        <f t="shared" si="404"/>
        <v>0</v>
      </c>
      <c r="T1489" s="3">
        <f>IF(AND($K1489=1,AND(对接源_02物料!$X289="公司筐",N(对接源_02物料!$V289)&lt;&gt;0)),1,0)</f>
        <v>0</v>
      </c>
      <c r="U1489" s="3">
        <f t="shared" si="405"/>
        <v>19</v>
      </c>
      <c r="V1489" s="3">
        <f>IF(AND($L1489=1,AND(对接源_02物料!$X289="自备筐",N(对接源_02物料!$V289)&lt;&gt;0)),1,0)</f>
        <v>0</v>
      </c>
      <c r="W1489" s="3">
        <f t="shared" si="406"/>
        <v>8</v>
      </c>
      <c r="X1489" s="3">
        <f>IF(AND($L1489=1,AND(对接源_02物料!$X289="自备筐",N(对接源_02物料!$T289)&lt;&gt;0)),1,0)</f>
        <v>0</v>
      </c>
      <c r="Y1489" s="3">
        <f t="shared" si="407"/>
        <v>0</v>
      </c>
      <c r="Z1489" s="3">
        <f>IF(AND($M1489=1,对接源_02物料!$D289="原料入库"),1,0)</f>
        <v>0</v>
      </c>
      <c r="AA1489" s="3">
        <f t="shared" si="408"/>
        <v>24</v>
      </c>
      <c r="AB1489" s="3">
        <f>IF(AND($M1489=1,LEFT(对接源_02物料!$D289,4)="原料出库"),1,0)</f>
        <v>0</v>
      </c>
      <c r="AC1489" s="3">
        <f t="shared" si="409"/>
        <v>0</v>
      </c>
      <c r="AD1489" s="3">
        <f>IF(AND($M1489=1,LEFT(对接源_02物料!$D289,4)="成品出库"),1,0)</f>
        <v>0</v>
      </c>
      <c r="AE1489" s="3">
        <f t="shared" si="410"/>
        <v>0</v>
      </c>
      <c r="AF1489" s="3">
        <f>IF(AND($N1489=1,AND(LEFT(对接源_02物料!$D289,4)="包装物料",N(对接源_02物料!$K289)&lt;&gt;0)),1,0)</f>
        <v>0</v>
      </c>
      <c r="AG1489" s="3">
        <f t="shared" si="411"/>
        <v>5</v>
      </c>
      <c r="AH1489" s="3">
        <f>IF(AND($N1489=1,AND(对接源_02物料!$D289="周转筐－销售出库",N(对接源_02物料!$K289)&lt;&gt;0)),1,0)</f>
        <v>0</v>
      </c>
      <c r="AI1489" s="3">
        <f t="shared" si="412"/>
        <v>0</v>
      </c>
      <c r="AL1489" s="3">
        <v>0</v>
      </c>
      <c r="AM1489" s="3">
        <f t="shared" si="413"/>
        <v>1</v>
      </c>
      <c r="AN1489" s="3" t="str">
        <f t="shared" si="400"/>
        <v/>
      </c>
      <c r="AO1489" s="3">
        <v>0</v>
      </c>
      <c r="AP1489" s="3">
        <f t="shared" si="414"/>
        <v>8</v>
      </c>
      <c r="AR1489">
        <f t="shared" si="415"/>
        <v>0</v>
      </c>
      <c r="AS1489">
        <f t="shared" si="416"/>
        <v>5</v>
      </c>
    </row>
    <row r="1490" customHeight="1" spans="1:45">
      <c r="A1490" s="3" t="str">
        <f>IF(对接源_02物料!$C290="","",对接源_02物料!$C290)</f>
        <v/>
      </c>
      <c r="B1490" s="3">
        <f t="shared" si="401"/>
        <v>0</v>
      </c>
      <c r="C1490" s="3">
        <f t="shared" si="402"/>
        <v>21</v>
      </c>
      <c r="K1490" s="3">
        <f>IF(OR($K$1="",对接源_02物料!$C290="",对接源_02物料!$C290&lt;&gt;$K$1,对接源_02物料!$B290=""),0,IF(OR(N(对接源_02物料!$B290)&lt;$K$2,N(对接源_02物料!$B290)&gt;$K$3),0,1))</f>
        <v>0</v>
      </c>
      <c r="L1490" s="3">
        <f>IF(OR($L$1="",对接源_02物料!$C290="",对接源_02物料!$C290&lt;&gt;$L$1,对接源_02物料!$B290=""),0,IF(OR(N(对接源_02物料!$B290)&lt;$L$2,N(对接源_02物料!$B290)&gt;$L$3),0,1))</f>
        <v>0</v>
      </c>
      <c r="M1490" s="3">
        <f>IF(OR($M$1="",对接源_02物料!$C290="",对接源_02物料!$C290&lt;&gt;$M$1,对接源_02物料!$B290=""),0,IF(OR(N(对接源_02物料!$B290)&lt;$M$2,N(对接源_02物料!$B290)&gt;$M$3),0,1))</f>
        <v>0</v>
      </c>
      <c r="N1490" s="3">
        <f>IF(OR($N$1="",对接源_02物料!$C290="",对接源_02物料!$C290&lt;&gt;$N$1,对接源_02物料!$B290=""),0,IF(OR(N(对接源_02物料!$B290)&lt;$N$2,N(对接源_02物料!$B290)&gt;$N$3),0,1))</f>
        <v>0</v>
      </c>
      <c r="P1490" s="3">
        <f>IF(AND($K1490=1,AND(对接源_02物料!$X290="公司筐",N(对接源_02物料!$T290)&lt;&gt;0)),1,0)</f>
        <v>0</v>
      </c>
      <c r="Q1490" s="3">
        <f t="shared" si="403"/>
        <v>8</v>
      </c>
      <c r="R1490" s="3">
        <f>IF(AND($K1490=1,AND(对接源_02物料!$X290="公司筐",N(对接源_02物料!$U290)&lt;&gt;0)),1,0)</f>
        <v>0</v>
      </c>
      <c r="S1490" s="3">
        <f t="shared" si="404"/>
        <v>0</v>
      </c>
      <c r="T1490" s="3">
        <f>IF(AND($K1490=1,AND(对接源_02物料!$X290="公司筐",N(对接源_02物料!$V290)&lt;&gt;0)),1,0)</f>
        <v>0</v>
      </c>
      <c r="U1490" s="3">
        <f t="shared" si="405"/>
        <v>19</v>
      </c>
      <c r="V1490" s="3">
        <f>IF(AND($L1490=1,AND(对接源_02物料!$X290="自备筐",N(对接源_02物料!$V290)&lt;&gt;0)),1,0)</f>
        <v>0</v>
      </c>
      <c r="W1490" s="3">
        <f t="shared" si="406"/>
        <v>8</v>
      </c>
      <c r="X1490" s="3">
        <f>IF(AND($L1490=1,AND(对接源_02物料!$X290="自备筐",N(对接源_02物料!$T290)&lt;&gt;0)),1,0)</f>
        <v>0</v>
      </c>
      <c r="Y1490" s="3">
        <f t="shared" si="407"/>
        <v>0</v>
      </c>
      <c r="Z1490" s="3">
        <f>IF(AND($M1490=1,对接源_02物料!$D290="原料入库"),1,0)</f>
        <v>0</v>
      </c>
      <c r="AA1490" s="3">
        <f t="shared" si="408"/>
        <v>24</v>
      </c>
      <c r="AB1490" s="3">
        <f>IF(AND($M1490=1,LEFT(对接源_02物料!$D290,4)="原料出库"),1,0)</f>
        <v>0</v>
      </c>
      <c r="AC1490" s="3">
        <f t="shared" si="409"/>
        <v>0</v>
      </c>
      <c r="AD1490" s="3">
        <f>IF(AND($M1490=1,LEFT(对接源_02物料!$D290,4)="成品出库"),1,0)</f>
        <v>0</v>
      </c>
      <c r="AE1490" s="3">
        <f t="shared" si="410"/>
        <v>0</v>
      </c>
      <c r="AF1490" s="3">
        <f>IF(AND($N1490=1,AND(LEFT(对接源_02物料!$D290,4)="包装物料",N(对接源_02物料!$K290)&lt;&gt;0)),1,0)</f>
        <v>0</v>
      </c>
      <c r="AG1490" s="3">
        <f t="shared" si="411"/>
        <v>5</v>
      </c>
      <c r="AH1490" s="3">
        <f>IF(AND($N1490=1,AND(对接源_02物料!$D290="周转筐－销售出库",N(对接源_02物料!$K290)&lt;&gt;0)),1,0)</f>
        <v>0</v>
      </c>
      <c r="AI1490" s="3">
        <f t="shared" si="412"/>
        <v>0</v>
      </c>
      <c r="AL1490" s="3">
        <v>0</v>
      </c>
      <c r="AM1490" s="3">
        <f t="shared" si="413"/>
        <v>1</v>
      </c>
      <c r="AN1490" s="3" t="str">
        <f t="shared" si="400"/>
        <v/>
      </c>
      <c r="AO1490" s="3">
        <v>0</v>
      </c>
      <c r="AP1490" s="3">
        <f t="shared" si="414"/>
        <v>8</v>
      </c>
      <c r="AR1490">
        <f t="shared" si="415"/>
        <v>0</v>
      </c>
      <c r="AS1490">
        <f t="shared" si="416"/>
        <v>5</v>
      </c>
    </row>
    <row r="1491" customHeight="1" spans="1:45">
      <c r="A1491" s="3" t="str">
        <f>IF(对接源_02物料!$C291="","",对接源_02物料!$C291)</f>
        <v/>
      </c>
      <c r="B1491" s="3">
        <f t="shared" si="401"/>
        <v>0</v>
      </c>
      <c r="C1491" s="3">
        <f t="shared" si="402"/>
        <v>21</v>
      </c>
      <c r="K1491" s="3">
        <f>IF(OR($K$1="",对接源_02物料!$C291="",对接源_02物料!$C291&lt;&gt;$K$1,对接源_02物料!$B291=""),0,IF(OR(N(对接源_02物料!$B291)&lt;$K$2,N(对接源_02物料!$B291)&gt;$K$3),0,1))</f>
        <v>0</v>
      </c>
      <c r="L1491" s="3">
        <f>IF(OR($L$1="",对接源_02物料!$C291="",对接源_02物料!$C291&lt;&gt;$L$1,对接源_02物料!$B291=""),0,IF(OR(N(对接源_02物料!$B291)&lt;$L$2,N(对接源_02物料!$B291)&gt;$L$3),0,1))</f>
        <v>0</v>
      </c>
      <c r="M1491" s="3">
        <f>IF(OR($M$1="",对接源_02物料!$C291="",对接源_02物料!$C291&lt;&gt;$M$1,对接源_02物料!$B291=""),0,IF(OR(N(对接源_02物料!$B291)&lt;$M$2,N(对接源_02物料!$B291)&gt;$M$3),0,1))</f>
        <v>0</v>
      </c>
      <c r="N1491" s="3">
        <f>IF(OR($N$1="",对接源_02物料!$C291="",对接源_02物料!$C291&lt;&gt;$N$1,对接源_02物料!$B291=""),0,IF(OR(N(对接源_02物料!$B291)&lt;$N$2,N(对接源_02物料!$B291)&gt;$N$3),0,1))</f>
        <v>0</v>
      </c>
      <c r="P1491" s="3">
        <f>IF(AND($K1491=1,AND(对接源_02物料!$X291="公司筐",N(对接源_02物料!$T291)&lt;&gt;0)),1,0)</f>
        <v>0</v>
      </c>
      <c r="Q1491" s="3">
        <f t="shared" si="403"/>
        <v>8</v>
      </c>
      <c r="R1491" s="3">
        <f>IF(AND($K1491=1,AND(对接源_02物料!$X291="公司筐",N(对接源_02物料!$U291)&lt;&gt;0)),1,0)</f>
        <v>0</v>
      </c>
      <c r="S1491" s="3">
        <f t="shared" si="404"/>
        <v>0</v>
      </c>
      <c r="T1491" s="3">
        <f>IF(AND($K1491=1,AND(对接源_02物料!$X291="公司筐",N(对接源_02物料!$V291)&lt;&gt;0)),1,0)</f>
        <v>0</v>
      </c>
      <c r="U1491" s="3">
        <f t="shared" si="405"/>
        <v>19</v>
      </c>
      <c r="V1491" s="3">
        <f>IF(AND($L1491=1,AND(对接源_02物料!$X291="自备筐",N(对接源_02物料!$V291)&lt;&gt;0)),1,0)</f>
        <v>0</v>
      </c>
      <c r="W1491" s="3">
        <f t="shared" si="406"/>
        <v>8</v>
      </c>
      <c r="X1491" s="3">
        <f>IF(AND($L1491=1,AND(对接源_02物料!$X291="自备筐",N(对接源_02物料!$T291)&lt;&gt;0)),1,0)</f>
        <v>0</v>
      </c>
      <c r="Y1491" s="3">
        <f t="shared" si="407"/>
        <v>0</v>
      </c>
      <c r="Z1491" s="3">
        <f>IF(AND($M1491=1,对接源_02物料!$D291="原料入库"),1,0)</f>
        <v>0</v>
      </c>
      <c r="AA1491" s="3">
        <f t="shared" si="408"/>
        <v>24</v>
      </c>
      <c r="AB1491" s="3">
        <f>IF(AND($M1491=1,LEFT(对接源_02物料!$D291,4)="原料出库"),1,0)</f>
        <v>0</v>
      </c>
      <c r="AC1491" s="3">
        <f t="shared" si="409"/>
        <v>0</v>
      </c>
      <c r="AD1491" s="3">
        <f>IF(AND($M1491=1,LEFT(对接源_02物料!$D291,4)="成品出库"),1,0)</f>
        <v>0</v>
      </c>
      <c r="AE1491" s="3">
        <f t="shared" si="410"/>
        <v>0</v>
      </c>
      <c r="AF1491" s="3">
        <f>IF(AND($N1491=1,AND(LEFT(对接源_02物料!$D291,4)="包装物料",N(对接源_02物料!$K291)&lt;&gt;0)),1,0)</f>
        <v>0</v>
      </c>
      <c r="AG1491" s="3">
        <f t="shared" si="411"/>
        <v>5</v>
      </c>
      <c r="AH1491" s="3">
        <f>IF(AND($N1491=1,AND(对接源_02物料!$D291="周转筐－销售出库",N(对接源_02物料!$K291)&lt;&gt;0)),1,0)</f>
        <v>0</v>
      </c>
      <c r="AI1491" s="3">
        <f t="shared" si="412"/>
        <v>0</v>
      </c>
      <c r="AL1491" s="3">
        <v>0</v>
      </c>
      <c r="AM1491" s="3">
        <f t="shared" si="413"/>
        <v>1</v>
      </c>
      <c r="AN1491" s="3" t="str">
        <f t="shared" si="400"/>
        <v/>
      </c>
      <c r="AO1491" s="3">
        <v>0</v>
      </c>
      <c r="AP1491" s="3">
        <f t="shared" si="414"/>
        <v>8</v>
      </c>
      <c r="AR1491">
        <f t="shared" si="415"/>
        <v>0</v>
      </c>
      <c r="AS1491">
        <f t="shared" si="416"/>
        <v>5</v>
      </c>
    </row>
    <row r="1492" customHeight="1" spans="1:45">
      <c r="A1492" s="3" t="str">
        <f>IF(对接源_02物料!$C292="","",对接源_02物料!$C292)</f>
        <v/>
      </c>
      <c r="B1492" s="3">
        <f t="shared" si="401"/>
        <v>0</v>
      </c>
      <c r="C1492" s="3">
        <f t="shared" si="402"/>
        <v>21</v>
      </c>
      <c r="K1492" s="3">
        <f>IF(OR($K$1="",对接源_02物料!$C292="",对接源_02物料!$C292&lt;&gt;$K$1,对接源_02物料!$B292=""),0,IF(OR(N(对接源_02物料!$B292)&lt;$K$2,N(对接源_02物料!$B292)&gt;$K$3),0,1))</f>
        <v>0</v>
      </c>
      <c r="L1492" s="3">
        <f>IF(OR($L$1="",对接源_02物料!$C292="",对接源_02物料!$C292&lt;&gt;$L$1,对接源_02物料!$B292=""),0,IF(OR(N(对接源_02物料!$B292)&lt;$L$2,N(对接源_02物料!$B292)&gt;$L$3),0,1))</f>
        <v>0</v>
      </c>
      <c r="M1492" s="3">
        <f>IF(OR($M$1="",对接源_02物料!$C292="",对接源_02物料!$C292&lt;&gt;$M$1,对接源_02物料!$B292=""),0,IF(OR(N(对接源_02物料!$B292)&lt;$M$2,N(对接源_02物料!$B292)&gt;$M$3),0,1))</f>
        <v>0</v>
      </c>
      <c r="N1492" s="3">
        <f>IF(OR($N$1="",对接源_02物料!$C292="",对接源_02物料!$C292&lt;&gt;$N$1,对接源_02物料!$B292=""),0,IF(OR(N(对接源_02物料!$B292)&lt;$N$2,N(对接源_02物料!$B292)&gt;$N$3),0,1))</f>
        <v>0</v>
      </c>
      <c r="P1492" s="3">
        <f>IF(AND($K1492=1,AND(对接源_02物料!$X292="公司筐",N(对接源_02物料!$T292)&lt;&gt;0)),1,0)</f>
        <v>0</v>
      </c>
      <c r="Q1492" s="3">
        <f t="shared" si="403"/>
        <v>8</v>
      </c>
      <c r="R1492" s="3">
        <f>IF(AND($K1492=1,AND(对接源_02物料!$X292="公司筐",N(对接源_02物料!$U292)&lt;&gt;0)),1,0)</f>
        <v>0</v>
      </c>
      <c r="S1492" s="3">
        <f t="shared" si="404"/>
        <v>0</v>
      </c>
      <c r="T1492" s="3">
        <f>IF(AND($K1492=1,AND(对接源_02物料!$X292="公司筐",N(对接源_02物料!$V292)&lt;&gt;0)),1,0)</f>
        <v>0</v>
      </c>
      <c r="U1492" s="3">
        <f t="shared" si="405"/>
        <v>19</v>
      </c>
      <c r="V1492" s="3">
        <f>IF(AND($L1492=1,AND(对接源_02物料!$X292="自备筐",N(对接源_02物料!$V292)&lt;&gt;0)),1,0)</f>
        <v>0</v>
      </c>
      <c r="W1492" s="3">
        <f t="shared" si="406"/>
        <v>8</v>
      </c>
      <c r="X1492" s="3">
        <f>IF(AND($L1492=1,AND(对接源_02物料!$X292="自备筐",N(对接源_02物料!$T292)&lt;&gt;0)),1,0)</f>
        <v>0</v>
      </c>
      <c r="Y1492" s="3">
        <f t="shared" si="407"/>
        <v>0</v>
      </c>
      <c r="Z1492" s="3">
        <f>IF(AND($M1492=1,对接源_02物料!$D292="原料入库"),1,0)</f>
        <v>0</v>
      </c>
      <c r="AA1492" s="3">
        <f t="shared" si="408"/>
        <v>24</v>
      </c>
      <c r="AB1492" s="3">
        <f>IF(AND($M1492=1,LEFT(对接源_02物料!$D292,4)="原料出库"),1,0)</f>
        <v>0</v>
      </c>
      <c r="AC1492" s="3">
        <f t="shared" si="409"/>
        <v>0</v>
      </c>
      <c r="AD1492" s="3">
        <f>IF(AND($M1492=1,LEFT(对接源_02物料!$D292,4)="成品出库"),1,0)</f>
        <v>0</v>
      </c>
      <c r="AE1492" s="3">
        <f t="shared" si="410"/>
        <v>0</v>
      </c>
      <c r="AF1492" s="3">
        <f>IF(AND($N1492=1,AND(LEFT(对接源_02物料!$D292,4)="包装物料",N(对接源_02物料!$K292)&lt;&gt;0)),1,0)</f>
        <v>0</v>
      </c>
      <c r="AG1492" s="3">
        <f t="shared" si="411"/>
        <v>5</v>
      </c>
      <c r="AH1492" s="3">
        <f>IF(AND($N1492=1,AND(对接源_02物料!$D292="周转筐－销售出库",N(对接源_02物料!$K292)&lt;&gt;0)),1,0)</f>
        <v>0</v>
      </c>
      <c r="AI1492" s="3">
        <f t="shared" si="412"/>
        <v>0</v>
      </c>
      <c r="AL1492" s="3">
        <v>0</v>
      </c>
      <c r="AM1492" s="3">
        <f t="shared" si="413"/>
        <v>1</v>
      </c>
      <c r="AN1492" s="3" t="str">
        <f t="shared" si="400"/>
        <v/>
      </c>
      <c r="AO1492" s="3">
        <v>0</v>
      </c>
      <c r="AP1492" s="3">
        <f t="shared" si="414"/>
        <v>8</v>
      </c>
      <c r="AR1492">
        <f t="shared" si="415"/>
        <v>0</v>
      </c>
      <c r="AS1492">
        <f t="shared" si="416"/>
        <v>5</v>
      </c>
    </row>
    <row r="1493" customHeight="1" spans="1:45">
      <c r="A1493" s="3" t="str">
        <f>IF(对接源_02物料!$C293="","",对接源_02物料!$C293)</f>
        <v/>
      </c>
      <c r="B1493" s="3">
        <f t="shared" si="401"/>
        <v>0</v>
      </c>
      <c r="C1493" s="3">
        <f t="shared" si="402"/>
        <v>21</v>
      </c>
      <c r="K1493" s="3">
        <f>IF(OR($K$1="",对接源_02物料!$C293="",对接源_02物料!$C293&lt;&gt;$K$1,对接源_02物料!$B293=""),0,IF(OR(N(对接源_02物料!$B293)&lt;$K$2,N(对接源_02物料!$B293)&gt;$K$3),0,1))</f>
        <v>0</v>
      </c>
      <c r="L1493" s="3">
        <f>IF(OR($L$1="",对接源_02物料!$C293="",对接源_02物料!$C293&lt;&gt;$L$1,对接源_02物料!$B293=""),0,IF(OR(N(对接源_02物料!$B293)&lt;$L$2,N(对接源_02物料!$B293)&gt;$L$3),0,1))</f>
        <v>0</v>
      </c>
      <c r="M1493" s="3">
        <f>IF(OR($M$1="",对接源_02物料!$C293="",对接源_02物料!$C293&lt;&gt;$M$1,对接源_02物料!$B293=""),0,IF(OR(N(对接源_02物料!$B293)&lt;$M$2,N(对接源_02物料!$B293)&gt;$M$3),0,1))</f>
        <v>0</v>
      </c>
      <c r="N1493" s="3">
        <f>IF(OR($N$1="",对接源_02物料!$C293="",对接源_02物料!$C293&lt;&gt;$N$1,对接源_02物料!$B293=""),0,IF(OR(N(对接源_02物料!$B293)&lt;$N$2,N(对接源_02物料!$B293)&gt;$N$3),0,1))</f>
        <v>0</v>
      </c>
      <c r="P1493" s="3">
        <f>IF(AND($K1493=1,AND(对接源_02物料!$X293="公司筐",N(对接源_02物料!$T293)&lt;&gt;0)),1,0)</f>
        <v>0</v>
      </c>
      <c r="Q1493" s="3">
        <f t="shared" si="403"/>
        <v>8</v>
      </c>
      <c r="R1493" s="3">
        <f>IF(AND($K1493=1,AND(对接源_02物料!$X293="公司筐",N(对接源_02物料!$U293)&lt;&gt;0)),1,0)</f>
        <v>0</v>
      </c>
      <c r="S1493" s="3">
        <f t="shared" si="404"/>
        <v>0</v>
      </c>
      <c r="T1493" s="3">
        <f>IF(AND($K1493=1,AND(对接源_02物料!$X293="公司筐",N(对接源_02物料!$V293)&lt;&gt;0)),1,0)</f>
        <v>0</v>
      </c>
      <c r="U1493" s="3">
        <f t="shared" si="405"/>
        <v>19</v>
      </c>
      <c r="V1493" s="3">
        <f>IF(AND($L1493=1,AND(对接源_02物料!$X293="自备筐",N(对接源_02物料!$V293)&lt;&gt;0)),1,0)</f>
        <v>0</v>
      </c>
      <c r="W1493" s="3">
        <f t="shared" si="406"/>
        <v>8</v>
      </c>
      <c r="X1493" s="3">
        <f>IF(AND($L1493=1,AND(对接源_02物料!$X293="自备筐",N(对接源_02物料!$T293)&lt;&gt;0)),1,0)</f>
        <v>0</v>
      </c>
      <c r="Y1493" s="3">
        <f t="shared" si="407"/>
        <v>0</v>
      </c>
      <c r="Z1493" s="3">
        <f>IF(AND($M1493=1,对接源_02物料!$D293="原料入库"),1,0)</f>
        <v>0</v>
      </c>
      <c r="AA1493" s="3">
        <f t="shared" si="408"/>
        <v>24</v>
      </c>
      <c r="AB1493" s="3">
        <f>IF(AND($M1493=1,LEFT(对接源_02物料!$D293,4)="原料出库"),1,0)</f>
        <v>0</v>
      </c>
      <c r="AC1493" s="3">
        <f t="shared" si="409"/>
        <v>0</v>
      </c>
      <c r="AD1493" s="3">
        <f>IF(AND($M1493=1,LEFT(对接源_02物料!$D293,4)="成品出库"),1,0)</f>
        <v>0</v>
      </c>
      <c r="AE1493" s="3">
        <f t="shared" si="410"/>
        <v>0</v>
      </c>
      <c r="AF1493" s="3">
        <f>IF(AND($N1493=1,AND(LEFT(对接源_02物料!$D293,4)="包装物料",N(对接源_02物料!$K293)&lt;&gt;0)),1,0)</f>
        <v>0</v>
      </c>
      <c r="AG1493" s="3">
        <f t="shared" si="411"/>
        <v>5</v>
      </c>
      <c r="AH1493" s="3">
        <f>IF(AND($N1493=1,AND(对接源_02物料!$D293="周转筐－销售出库",N(对接源_02物料!$K293)&lt;&gt;0)),1,0)</f>
        <v>0</v>
      </c>
      <c r="AI1493" s="3">
        <f t="shared" si="412"/>
        <v>0</v>
      </c>
      <c r="AL1493" s="3">
        <v>0</v>
      </c>
      <c r="AM1493" s="3">
        <f t="shared" si="413"/>
        <v>1</v>
      </c>
      <c r="AN1493" s="3" t="str">
        <f t="shared" si="400"/>
        <v/>
      </c>
      <c r="AO1493" s="3">
        <v>0</v>
      </c>
      <c r="AP1493" s="3">
        <f t="shared" si="414"/>
        <v>8</v>
      </c>
      <c r="AR1493">
        <f t="shared" si="415"/>
        <v>0</v>
      </c>
      <c r="AS1493">
        <f t="shared" si="416"/>
        <v>5</v>
      </c>
    </row>
    <row r="1494" customHeight="1" spans="1:45">
      <c r="A1494" s="3" t="str">
        <f>IF(对接源_02物料!$C294="","",对接源_02物料!$C294)</f>
        <v/>
      </c>
      <c r="B1494" s="3">
        <f t="shared" si="401"/>
        <v>0</v>
      </c>
      <c r="C1494" s="3">
        <f t="shared" si="402"/>
        <v>21</v>
      </c>
      <c r="K1494" s="3">
        <f>IF(OR($K$1="",对接源_02物料!$C294="",对接源_02物料!$C294&lt;&gt;$K$1,对接源_02物料!$B294=""),0,IF(OR(N(对接源_02物料!$B294)&lt;$K$2,N(对接源_02物料!$B294)&gt;$K$3),0,1))</f>
        <v>0</v>
      </c>
      <c r="L1494" s="3">
        <f>IF(OR($L$1="",对接源_02物料!$C294="",对接源_02物料!$C294&lt;&gt;$L$1,对接源_02物料!$B294=""),0,IF(OR(N(对接源_02物料!$B294)&lt;$L$2,N(对接源_02物料!$B294)&gt;$L$3),0,1))</f>
        <v>0</v>
      </c>
      <c r="M1494" s="3">
        <f>IF(OR($M$1="",对接源_02物料!$C294="",对接源_02物料!$C294&lt;&gt;$M$1,对接源_02物料!$B294=""),0,IF(OR(N(对接源_02物料!$B294)&lt;$M$2,N(对接源_02物料!$B294)&gt;$M$3),0,1))</f>
        <v>0</v>
      </c>
      <c r="N1494" s="3">
        <f>IF(OR($N$1="",对接源_02物料!$C294="",对接源_02物料!$C294&lt;&gt;$N$1,对接源_02物料!$B294=""),0,IF(OR(N(对接源_02物料!$B294)&lt;$N$2,N(对接源_02物料!$B294)&gt;$N$3),0,1))</f>
        <v>0</v>
      </c>
      <c r="P1494" s="3">
        <f>IF(AND($K1494=1,AND(对接源_02物料!$X294="公司筐",N(对接源_02物料!$T294)&lt;&gt;0)),1,0)</f>
        <v>0</v>
      </c>
      <c r="Q1494" s="3">
        <f t="shared" si="403"/>
        <v>8</v>
      </c>
      <c r="R1494" s="3">
        <f>IF(AND($K1494=1,AND(对接源_02物料!$X294="公司筐",N(对接源_02物料!$U294)&lt;&gt;0)),1,0)</f>
        <v>0</v>
      </c>
      <c r="S1494" s="3">
        <f t="shared" si="404"/>
        <v>0</v>
      </c>
      <c r="T1494" s="3">
        <f>IF(AND($K1494=1,AND(对接源_02物料!$X294="公司筐",N(对接源_02物料!$V294)&lt;&gt;0)),1,0)</f>
        <v>0</v>
      </c>
      <c r="U1494" s="3">
        <f t="shared" si="405"/>
        <v>19</v>
      </c>
      <c r="V1494" s="3">
        <f>IF(AND($L1494=1,AND(对接源_02物料!$X294="自备筐",N(对接源_02物料!$V294)&lt;&gt;0)),1,0)</f>
        <v>0</v>
      </c>
      <c r="W1494" s="3">
        <f t="shared" si="406"/>
        <v>8</v>
      </c>
      <c r="X1494" s="3">
        <f>IF(AND($L1494=1,AND(对接源_02物料!$X294="自备筐",N(对接源_02物料!$T294)&lt;&gt;0)),1,0)</f>
        <v>0</v>
      </c>
      <c r="Y1494" s="3">
        <f t="shared" si="407"/>
        <v>0</v>
      </c>
      <c r="Z1494" s="3">
        <f>IF(AND($M1494=1,对接源_02物料!$D294="原料入库"),1,0)</f>
        <v>0</v>
      </c>
      <c r="AA1494" s="3">
        <f t="shared" si="408"/>
        <v>24</v>
      </c>
      <c r="AB1494" s="3">
        <f>IF(AND($M1494=1,LEFT(对接源_02物料!$D294,4)="原料出库"),1,0)</f>
        <v>0</v>
      </c>
      <c r="AC1494" s="3">
        <f t="shared" si="409"/>
        <v>0</v>
      </c>
      <c r="AD1494" s="3">
        <f>IF(AND($M1494=1,LEFT(对接源_02物料!$D294,4)="成品出库"),1,0)</f>
        <v>0</v>
      </c>
      <c r="AE1494" s="3">
        <f t="shared" si="410"/>
        <v>0</v>
      </c>
      <c r="AF1494" s="3">
        <f>IF(AND($N1494=1,AND(LEFT(对接源_02物料!$D294,4)="包装物料",N(对接源_02物料!$K294)&lt;&gt;0)),1,0)</f>
        <v>0</v>
      </c>
      <c r="AG1494" s="3">
        <f t="shared" si="411"/>
        <v>5</v>
      </c>
      <c r="AH1494" s="3">
        <f>IF(AND($N1494=1,AND(对接源_02物料!$D294="周转筐－销售出库",N(对接源_02物料!$K294)&lt;&gt;0)),1,0)</f>
        <v>0</v>
      </c>
      <c r="AI1494" s="3">
        <f t="shared" si="412"/>
        <v>0</v>
      </c>
      <c r="AL1494" s="3">
        <v>0</v>
      </c>
      <c r="AM1494" s="3">
        <f t="shared" si="413"/>
        <v>1</v>
      </c>
      <c r="AN1494" s="3" t="str">
        <f t="shared" si="400"/>
        <v/>
      </c>
      <c r="AO1494" s="3">
        <v>0</v>
      </c>
      <c r="AP1494" s="3">
        <f t="shared" si="414"/>
        <v>8</v>
      </c>
      <c r="AR1494">
        <f t="shared" si="415"/>
        <v>0</v>
      </c>
      <c r="AS1494">
        <f t="shared" si="416"/>
        <v>5</v>
      </c>
    </row>
    <row r="1495" customHeight="1" spans="1:45">
      <c r="A1495" s="3" t="str">
        <f>IF(对接源_02物料!$C295="","",对接源_02物料!$C295)</f>
        <v/>
      </c>
      <c r="B1495" s="3">
        <f t="shared" si="401"/>
        <v>0</v>
      </c>
      <c r="C1495" s="3">
        <f t="shared" si="402"/>
        <v>21</v>
      </c>
      <c r="K1495" s="3">
        <f>IF(OR($K$1="",对接源_02物料!$C295="",对接源_02物料!$C295&lt;&gt;$K$1,对接源_02物料!$B295=""),0,IF(OR(N(对接源_02物料!$B295)&lt;$K$2,N(对接源_02物料!$B295)&gt;$K$3),0,1))</f>
        <v>0</v>
      </c>
      <c r="L1495" s="3">
        <f>IF(OR($L$1="",对接源_02物料!$C295="",对接源_02物料!$C295&lt;&gt;$L$1,对接源_02物料!$B295=""),0,IF(OR(N(对接源_02物料!$B295)&lt;$L$2,N(对接源_02物料!$B295)&gt;$L$3),0,1))</f>
        <v>0</v>
      </c>
      <c r="M1495" s="3">
        <f>IF(OR($M$1="",对接源_02物料!$C295="",对接源_02物料!$C295&lt;&gt;$M$1,对接源_02物料!$B295=""),0,IF(OR(N(对接源_02物料!$B295)&lt;$M$2,N(对接源_02物料!$B295)&gt;$M$3),0,1))</f>
        <v>0</v>
      </c>
      <c r="N1495" s="3">
        <f>IF(OR($N$1="",对接源_02物料!$C295="",对接源_02物料!$C295&lt;&gt;$N$1,对接源_02物料!$B295=""),0,IF(OR(N(对接源_02物料!$B295)&lt;$N$2,N(对接源_02物料!$B295)&gt;$N$3),0,1))</f>
        <v>0</v>
      </c>
      <c r="P1495" s="3">
        <f>IF(AND($K1495=1,AND(对接源_02物料!$X295="公司筐",N(对接源_02物料!$T295)&lt;&gt;0)),1,0)</f>
        <v>0</v>
      </c>
      <c r="Q1495" s="3">
        <f t="shared" si="403"/>
        <v>8</v>
      </c>
      <c r="R1495" s="3">
        <f>IF(AND($K1495=1,AND(对接源_02物料!$X295="公司筐",N(对接源_02物料!$U295)&lt;&gt;0)),1,0)</f>
        <v>0</v>
      </c>
      <c r="S1495" s="3">
        <f t="shared" si="404"/>
        <v>0</v>
      </c>
      <c r="T1495" s="3">
        <f>IF(AND($K1495=1,AND(对接源_02物料!$X295="公司筐",N(对接源_02物料!$V295)&lt;&gt;0)),1,0)</f>
        <v>0</v>
      </c>
      <c r="U1495" s="3">
        <f t="shared" si="405"/>
        <v>19</v>
      </c>
      <c r="V1495" s="3">
        <f>IF(AND($L1495=1,AND(对接源_02物料!$X295="自备筐",N(对接源_02物料!$V295)&lt;&gt;0)),1,0)</f>
        <v>0</v>
      </c>
      <c r="W1495" s="3">
        <f t="shared" si="406"/>
        <v>8</v>
      </c>
      <c r="X1495" s="3">
        <f>IF(AND($L1495=1,AND(对接源_02物料!$X295="自备筐",N(对接源_02物料!$T295)&lt;&gt;0)),1,0)</f>
        <v>0</v>
      </c>
      <c r="Y1495" s="3">
        <f t="shared" si="407"/>
        <v>0</v>
      </c>
      <c r="Z1495" s="3">
        <f>IF(AND($M1495=1,对接源_02物料!$D295="原料入库"),1,0)</f>
        <v>0</v>
      </c>
      <c r="AA1495" s="3">
        <f t="shared" si="408"/>
        <v>24</v>
      </c>
      <c r="AB1495" s="3">
        <f>IF(AND($M1495=1,LEFT(对接源_02物料!$D295,4)="原料出库"),1,0)</f>
        <v>0</v>
      </c>
      <c r="AC1495" s="3">
        <f t="shared" si="409"/>
        <v>0</v>
      </c>
      <c r="AD1495" s="3">
        <f>IF(AND($M1495=1,LEFT(对接源_02物料!$D295,4)="成品出库"),1,0)</f>
        <v>0</v>
      </c>
      <c r="AE1495" s="3">
        <f t="shared" si="410"/>
        <v>0</v>
      </c>
      <c r="AF1495" s="3">
        <f>IF(AND($N1495=1,AND(LEFT(对接源_02物料!$D295,4)="包装物料",N(对接源_02物料!$K295)&lt;&gt;0)),1,0)</f>
        <v>0</v>
      </c>
      <c r="AG1495" s="3">
        <f t="shared" si="411"/>
        <v>5</v>
      </c>
      <c r="AH1495" s="3">
        <f>IF(AND($N1495=1,AND(对接源_02物料!$D295="周转筐－销售出库",N(对接源_02物料!$K295)&lt;&gt;0)),1,0)</f>
        <v>0</v>
      </c>
      <c r="AI1495" s="3">
        <f t="shared" si="412"/>
        <v>0</v>
      </c>
      <c r="AL1495" s="3">
        <v>0</v>
      </c>
      <c r="AM1495" s="3">
        <f t="shared" si="413"/>
        <v>1</v>
      </c>
      <c r="AN1495" s="3" t="str">
        <f t="shared" si="400"/>
        <v/>
      </c>
      <c r="AO1495" s="3">
        <v>0</v>
      </c>
      <c r="AP1495" s="3">
        <f t="shared" si="414"/>
        <v>8</v>
      </c>
      <c r="AR1495">
        <f t="shared" si="415"/>
        <v>0</v>
      </c>
      <c r="AS1495">
        <f t="shared" si="416"/>
        <v>5</v>
      </c>
    </row>
    <row r="1496" customHeight="1" spans="1:45">
      <c r="A1496" s="3" t="str">
        <f>IF(对接源_02物料!$C296="","",对接源_02物料!$C296)</f>
        <v/>
      </c>
      <c r="B1496" s="3">
        <f t="shared" si="401"/>
        <v>0</v>
      </c>
      <c r="C1496" s="3">
        <f t="shared" si="402"/>
        <v>21</v>
      </c>
      <c r="K1496" s="3">
        <f>IF(OR($K$1="",对接源_02物料!$C296="",对接源_02物料!$C296&lt;&gt;$K$1,对接源_02物料!$B296=""),0,IF(OR(N(对接源_02物料!$B296)&lt;$K$2,N(对接源_02物料!$B296)&gt;$K$3),0,1))</f>
        <v>0</v>
      </c>
      <c r="L1496" s="3">
        <f>IF(OR($L$1="",对接源_02物料!$C296="",对接源_02物料!$C296&lt;&gt;$L$1,对接源_02物料!$B296=""),0,IF(OR(N(对接源_02物料!$B296)&lt;$L$2,N(对接源_02物料!$B296)&gt;$L$3),0,1))</f>
        <v>0</v>
      </c>
      <c r="M1496" s="3">
        <f>IF(OR($M$1="",对接源_02物料!$C296="",对接源_02物料!$C296&lt;&gt;$M$1,对接源_02物料!$B296=""),0,IF(OR(N(对接源_02物料!$B296)&lt;$M$2,N(对接源_02物料!$B296)&gt;$M$3),0,1))</f>
        <v>0</v>
      </c>
      <c r="N1496" s="3">
        <f>IF(OR($N$1="",对接源_02物料!$C296="",对接源_02物料!$C296&lt;&gt;$N$1,对接源_02物料!$B296=""),0,IF(OR(N(对接源_02物料!$B296)&lt;$N$2,N(对接源_02物料!$B296)&gt;$N$3),0,1))</f>
        <v>0</v>
      </c>
      <c r="P1496" s="3">
        <f>IF(AND($K1496=1,AND(对接源_02物料!$X296="公司筐",N(对接源_02物料!$T296)&lt;&gt;0)),1,0)</f>
        <v>0</v>
      </c>
      <c r="Q1496" s="3">
        <f t="shared" si="403"/>
        <v>8</v>
      </c>
      <c r="R1496" s="3">
        <f>IF(AND($K1496=1,AND(对接源_02物料!$X296="公司筐",N(对接源_02物料!$U296)&lt;&gt;0)),1,0)</f>
        <v>0</v>
      </c>
      <c r="S1496" s="3">
        <f t="shared" si="404"/>
        <v>0</v>
      </c>
      <c r="T1496" s="3">
        <f>IF(AND($K1496=1,AND(对接源_02物料!$X296="公司筐",N(对接源_02物料!$V296)&lt;&gt;0)),1,0)</f>
        <v>0</v>
      </c>
      <c r="U1496" s="3">
        <f t="shared" si="405"/>
        <v>19</v>
      </c>
      <c r="V1496" s="3">
        <f>IF(AND($L1496=1,AND(对接源_02物料!$X296="自备筐",N(对接源_02物料!$V296)&lt;&gt;0)),1,0)</f>
        <v>0</v>
      </c>
      <c r="W1496" s="3">
        <f t="shared" si="406"/>
        <v>8</v>
      </c>
      <c r="X1496" s="3">
        <f>IF(AND($L1496=1,AND(对接源_02物料!$X296="自备筐",N(对接源_02物料!$T296)&lt;&gt;0)),1,0)</f>
        <v>0</v>
      </c>
      <c r="Y1496" s="3">
        <f t="shared" si="407"/>
        <v>0</v>
      </c>
      <c r="Z1496" s="3">
        <f>IF(AND($M1496=1,对接源_02物料!$D296="原料入库"),1,0)</f>
        <v>0</v>
      </c>
      <c r="AA1496" s="3">
        <f t="shared" si="408"/>
        <v>24</v>
      </c>
      <c r="AB1496" s="3">
        <f>IF(AND($M1496=1,LEFT(对接源_02物料!$D296,4)="原料出库"),1,0)</f>
        <v>0</v>
      </c>
      <c r="AC1496" s="3">
        <f t="shared" si="409"/>
        <v>0</v>
      </c>
      <c r="AD1496" s="3">
        <f>IF(AND($M1496=1,LEFT(对接源_02物料!$D296,4)="成品出库"),1,0)</f>
        <v>0</v>
      </c>
      <c r="AE1496" s="3">
        <f t="shared" si="410"/>
        <v>0</v>
      </c>
      <c r="AF1496" s="3">
        <f>IF(AND($N1496=1,AND(LEFT(对接源_02物料!$D296,4)="包装物料",N(对接源_02物料!$K296)&lt;&gt;0)),1,0)</f>
        <v>0</v>
      </c>
      <c r="AG1496" s="3">
        <f t="shared" si="411"/>
        <v>5</v>
      </c>
      <c r="AH1496" s="3">
        <f>IF(AND($N1496=1,AND(对接源_02物料!$D296="周转筐－销售出库",N(对接源_02物料!$K296)&lt;&gt;0)),1,0)</f>
        <v>0</v>
      </c>
      <c r="AI1496" s="3">
        <f t="shared" si="412"/>
        <v>0</v>
      </c>
      <c r="AL1496" s="3">
        <v>0</v>
      </c>
      <c r="AM1496" s="3">
        <f t="shared" si="413"/>
        <v>1</v>
      </c>
      <c r="AN1496" s="3" t="str">
        <f t="shared" si="400"/>
        <v/>
      </c>
      <c r="AO1496" s="3">
        <v>0</v>
      </c>
      <c r="AP1496" s="3">
        <f t="shared" si="414"/>
        <v>8</v>
      </c>
      <c r="AR1496">
        <f t="shared" si="415"/>
        <v>0</v>
      </c>
      <c r="AS1496">
        <f t="shared" si="416"/>
        <v>5</v>
      </c>
    </row>
    <row r="1497" customHeight="1" spans="1:45">
      <c r="A1497" s="3" t="str">
        <f>IF(对接源_02物料!$C297="","",对接源_02物料!$C297)</f>
        <v/>
      </c>
      <c r="B1497" s="3">
        <f t="shared" si="401"/>
        <v>0</v>
      </c>
      <c r="C1497" s="3">
        <f t="shared" si="402"/>
        <v>21</v>
      </c>
      <c r="K1497" s="3">
        <f>IF(OR($K$1="",对接源_02物料!$C297="",对接源_02物料!$C297&lt;&gt;$K$1,对接源_02物料!$B297=""),0,IF(OR(N(对接源_02物料!$B297)&lt;$K$2,N(对接源_02物料!$B297)&gt;$K$3),0,1))</f>
        <v>0</v>
      </c>
      <c r="L1497" s="3">
        <f>IF(OR($L$1="",对接源_02物料!$C297="",对接源_02物料!$C297&lt;&gt;$L$1,对接源_02物料!$B297=""),0,IF(OR(N(对接源_02物料!$B297)&lt;$L$2,N(对接源_02物料!$B297)&gt;$L$3),0,1))</f>
        <v>0</v>
      </c>
      <c r="M1497" s="3">
        <f>IF(OR($M$1="",对接源_02物料!$C297="",对接源_02物料!$C297&lt;&gt;$M$1,对接源_02物料!$B297=""),0,IF(OR(N(对接源_02物料!$B297)&lt;$M$2,N(对接源_02物料!$B297)&gt;$M$3),0,1))</f>
        <v>0</v>
      </c>
      <c r="N1497" s="3">
        <f>IF(OR($N$1="",对接源_02物料!$C297="",对接源_02物料!$C297&lt;&gt;$N$1,对接源_02物料!$B297=""),0,IF(OR(N(对接源_02物料!$B297)&lt;$N$2,N(对接源_02物料!$B297)&gt;$N$3),0,1))</f>
        <v>0</v>
      </c>
      <c r="P1497" s="3">
        <f>IF(AND($K1497=1,AND(对接源_02物料!$X297="公司筐",N(对接源_02物料!$T297)&lt;&gt;0)),1,0)</f>
        <v>0</v>
      </c>
      <c r="Q1497" s="3">
        <f t="shared" si="403"/>
        <v>8</v>
      </c>
      <c r="R1497" s="3">
        <f>IF(AND($K1497=1,AND(对接源_02物料!$X297="公司筐",N(对接源_02物料!$U297)&lt;&gt;0)),1,0)</f>
        <v>0</v>
      </c>
      <c r="S1497" s="3">
        <f t="shared" si="404"/>
        <v>0</v>
      </c>
      <c r="T1497" s="3">
        <f>IF(AND($K1497=1,AND(对接源_02物料!$X297="公司筐",N(对接源_02物料!$V297)&lt;&gt;0)),1,0)</f>
        <v>0</v>
      </c>
      <c r="U1497" s="3">
        <f t="shared" si="405"/>
        <v>19</v>
      </c>
      <c r="V1497" s="3">
        <f>IF(AND($L1497=1,AND(对接源_02物料!$X297="自备筐",N(对接源_02物料!$V297)&lt;&gt;0)),1,0)</f>
        <v>0</v>
      </c>
      <c r="W1497" s="3">
        <f t="shared" si="406"/>
        <v>8</v>
      </c>
      <c r="X1497" s="3">
        <f>IF(AND($L1497=1,AND(对接源_02物料!$X297="自备筐",N(对接源_02物料!$T297)&lt;&gt;0)),1,0)</f>
        <v>0</v>
      </c>
      <c r="Y1497" s="3">
        <f t="shared" si="407"/>
        <v>0</v>
      </c>
      <c r="Z1497" s="3">
        <f>IF(AND($M1497=1,对接源_02物料!$D297="原料入库"),1,0)</f>
        <v>0</v>
      </c>
      <c r="AA1497" s="3">
        <f t="shared" si="408"/>
        <v>24</v>
      </c>
      <c r="AB1497" s="3">
        <f>IF(AND($M1497=1,LEFT(对接源_02物料!$D297,4)="原料出库"),1,0)</f>
        <v>0</v>
      </c>
      <c r="AC1497" s="3">
        <f t="shared" si="409"/>
        <v>0</v>
      </c>
      <c r="AD1497" s="3">
        <f>IF(AND($M1497=1,LEFT(对接源_02物料!$D297,4)="成品出库"),1,0)</f>
        <v>0</v>
      </c>
      <c r="AE1497" s="3">
        <f t="shared" si="410"/>
        <v>0</v>
      </c>
      <c r="AF1497" s="3">
        <f>IF(AND($N1497=1,AND(LEFT(对接源_02物料!$D297,4)="包装物料",N(对接源_02物料!$K297)&lt;&gt;0)),1,0)</f>
        <v>0</v>
      </c>
      <c r="AG1497" s="3">
        <f t="shared" si="411"/>
        <v>5</v>
      </c>
      <c r="AH1497" s="3">
        <f>IF(AND($N1497=1,AND(对接源_02物料!$D297="周转筐－销售出库",N(对接源_02物料!$K297)&lt;&gt;0)),1,0)</f>
        <v>0</v>
      </c>
      <c r="AI1497" s="3">
        <f t="shared" si="412"/>
        <v>0</v>
      </c>
      <c r="AL1497" s="3">
        <v>0</v>
      </c>
      <c r="AM1497" s="3">
        <f t="shared" si="413"/>
        <v>1</v>
      </c>
      <c r="AN1497" s="3" t="str">
        <f t="shared" si="400"/>
        <v/>
      </c>
      <c r="AO1497" s="3">
        <v>0</v>
      </c>
      <c r="AP1497" s="3">
        <f t="shared" si="414"/>
        <v>8</v>
      </c>
      <c r="AR1497">
        <f t="shared" si="415"/>
        <v>0</v>
      </c>
      <c r="AS1497">
        <f t="shared" si="416"/>
        <v>5</v>
      </c>
    </row>
    <row r="1498" customHeight="1" spans="1:45">
      <c r="A1498" s="3" t="str">
        <f>IF(对接源_02物料!$C298="","",对接源_02物料!$C298)</f>
        <v/>
      </c>
      <c r="B1498" s="3">
        <f t="shared" si="401"/>
        <v>0</v>
      </c>
      <c r="C1498" s="3">
        <f t="shared" si="402"/>
        <v>21</v>
      </c>
      <c r="K1498" s="3">
        <f>IF(OR($K$1="",对接源_02物料!$C298="",对接源_02物料!$C298&lt;&gt;$K$1,对接源_02物料!$B298=""),0,IF(OR(N(对接源_02物料!$B298)&lt;$K$2,N(对接源_02物料!$B298)&gt;$K$3),0,1))</f>
        <v>0</v>
      </c>
      <c r="L1498" s="3">
        <f>IF(OR($L$1="",对接源_02物料!$C298="",对接源_02物料!$C298&lt;&gt;$L$1,对接源_02物料!$B298=""),0,IF(OR(N(对接源_02物料!$B298)&lt;$L$2,N(对接源_02物料!$B298)&gt;$L$3),0,1))</f>
        <v>0</v>
      </c>
      <c r="M1498" s="3">
        <f>IF(OR($M$1="",对接源_02物料!$C298="",对接源_02物料!$C298&lt;&gt;$M$1,对接源_02物料!$B298=""),0,IF(OR(N(对接源_02物料!$B298)&lt;$M$2,N(对接源_02物料!$B298)&gt;$M$3),0,1))</f>
        <v>0</v>
      </c>
      <c r="N1498" s="3">
        <f>IF(OR($N$1="",对接源_02物料!$C298="",对接源_02物料!$C298&lt;&gt;$N$1,对接源_02物料!$B298=""),0,IF(OR(N(对接源_02物料!$B298)&lt;$N$2,N(对接源_02物料!$B298)&gt;$N$3),0,1))</f>
        <v>0</v>
      </c>
      <c r="P1498" s="3">
        <f>IF(AND($K1498=1,AND(对接源_02物料!$X298="公司筐",N(对接源_02物料!$T298)&lt;&gt;0)),1,0)</f>
        <v>0</v>
      </c>
      <c r="Q1498" s="3">
        <f t="shared" si="403"/>
        <v>8</v>
      </c>
      <c r="R1498" s="3">
        <f>IF(AND($K1498=1,AND(对接源_02物料!$X298="公司筐",N(对接源_02物料!$U298)&lt;&gt;0)),1,0)</f>
        <v>0</v>
      </c>
      <c r="S1498" s="3">
        <f t="shared" si="404"/>
        <v>0</v>
      </c>
      <c r="T1498" s="3">
        <f>IF(AND($K1498=1,AND(对接源_02物料!$X298="公司筐",N(对接源_02物料!$V298)&lt;&gt;0)),1,0)</f>
        <v>0</v>
      </c>
      <c r="U1498" s="3">
        <f t="shared" si="405"/>
        <v>19</v>
      </c>
      <c r="V1498" s="3">
        <f>IF(AND($L1498=1,AND(对接源_02物料!$X298="自备筐",N(对接源_02物料!$V298)&lt;&gt;0)),1,0)</f>
        <v>0</v>
      </c>
      <c r="W1498" s="3">
        <f t="shared" si="406"/>
        <v>8</v>
      </c>
      <c r="X1498" s="3">
        <f>IF(AND($L1498=1,AND(对接源_02物料!$X298="自备筐",N(对接源_02物料!$T298)&lt;&gt;0)),1,0)</f>
        <v>0</v>
      </c>
      <c r="Y1498" s="3">
        <f t="shared" si="407"/>
        <v>0</v>
      </c>
      <c r="Z1498" s="3">
        <f>IF(AND($M1498=1,对接源_02物料!$D298="原料入库"),1,0)</f>
        <v>0</v>
      </c>
      <c r="AA1498" s="3">
        <f t="shared" si="408"/>
        <v>24</v>
      </c>
      <c r="AB1498" s="3">
        <f>IF(AND($M1498=1,LEFT(对接源_02物料!$D298,4)="原料出库"),1,0)</f>
        <v>0</v>
      </c>
      <c r="AC1498" s="3">
        <f t="shared" si="409"/>
        <v>0</v>
      </c>
      <c r="AD1498" s="3">
        <f>IF(AND($M1498=1,LEFT(对接源_02物料!$D298,4)="成品出库"),1,0)</f>
        <v>0</v>
      </c>
      <c r="AE1498" s="3">
        <f t="shared" si="410"/>
        <v>0</v>
      </c>
      <c r="AF1498" s="3">
        <f>IF(AND($N1498=1,AND(LEFT(对接源_02物料!$D298,4)="包装物料",N(对接源_02物料!$K298)&lt;&gt;0)),1,0)</f>
        <v>0</v>
      </c>
      <c r="AG1498" s="3">
        <f t="shared" si="411"/>
        <v>5</v>
      </c>
      <c r="AH1498" s="3">
        <f>IF(AND($N1498=1,AND(对接源_02物料!$D298="周转筐－销售出库",N(对接源_02物料!$K298)&lt;&gt;0)),1,0)</f>
        <v>0</v>
      </c>
      <c r="AI1498" s="3">
        <f t="shared" si="412"/>
        <v>0</v>
      </c>
      <c r="AL1498" s="3">
        <v>0</v>
      </c>
      <c r="AM1498" s="3">
        <f t="shared" si="413"/>
        <v>1</v>
      </c>
      <c r="AN1498" s="3" t="str">
        <f t="shared" si="400"/>
        <v/>
      </c>
      <c r="AO1498" s="3">
        <v>0</v>
      </c>
      <c r="AP1498" s="3">
        <f t="shared" si="414"/>
        <v>8</v>
      </c>
      <c r="AR1498">
        <f t="shared" si="415"/>
        <v>0</v>
      </c>
      <c r="AS1498">
        <f t="shared" si="416"/>
        <v>5</v>
      </c>
    </row>
    <row r="1499" customHeight="1" spans="1:45">
      <c r="A1499" s="3" t="str">
        <f>IF(对接源_02物料!$C299="","",对接源_02物料!$C299)</f>
        <v/>
      </c>
      <c r="B1499" s="3">
        <f t="shared" si="401"/>
        <v>0</v>
      </c>
      <c r="C1499" s="3">
        <f t="shared" si="402"/>
        <v>21</v>
      </c>
      <c r="K1499" s="3">
        <f>IF(OR($K$1="",对接源_02物料!$C299="",对接源_02物料!$C299&lt;&gt;$K$1,对接源_02物料!$B299=""),0,IF(OR(N(对接源_02物料!$B299)&lt;$K$2,N(对接源_02物料!$B299)&gt;$K$3),0,1))</f>
        <v>0</v>
      </c>
      <c r="L1499" s="3">
        <f>IF(OR($L$1="",对接源_02物料!$C299="",对接源_02物料!$C299&lt;&gt;$L$1,对接源_02物料!$B299=""),0,IF(OR(N(对接源_02物料!$B299)&lt;$L$2,N(对接源_02物料!$B299)&gt;$L$3),0,1))</f>
        <v>0</v>
      </c>
      <c r="M1499" s="3">
        <f>IF(OR($M$1="",对接源_02物料!$C299="",对接源_02物料!$C299&lt;&gt;$M$1,对接源_02物料!$B299=""),0,IF(OR(N(对接源_02物料!$B299)&lt;$M$2,N(对接源_02物料!$B299)&gt;$M$3),0,1))</f>
        <v>0</v>
      </c>
      <c r="N1499" s="3">
        <f>IF(OR($N$1="",对接源_02物料!$C299="",对接源_02物料!$C299&lt;&gt;$N$1,对接源_02物料!$B299=""),0,IF(OR(N(对接源_02物料!$B299)&lt;$N$2,N(对接源_02物料!$B299)&gt;$N$3),0,1))</f>
        <v>0</v>
      </c>
      <c r="P1499" s="3">
        <f>IF(AND($K1499=1,AND(对接源_02物料!$X299="公司筐",N(对接源_02物料!$T299)&lt;&gt;0)),1,0)</f>
        <v>0</v>
      </c>
      <c r="Q1499" s="3">
        <f t="shared" si="403"/>
        <v>8</v>
      </c>
      <c r="R1499" s="3">
        <f>IF(AND($K1499=1,AND(对接源_02物料!$X299="公司筐",N(对接源_02物料!$U299)&lt;&gt;0)),1,0)</f>
        <v>0</v>
      </c>
      <c r="S1499" s="3">
        <f t="shared" si="404"/>
        <v>0</v>
      </c>
      <c r="T1499" s="3">
        <f>IF(AND($K1499=1,AND(对接源_02物料!$X299="公司筐",N(对接源_02物料!$V299)&lt;&gt;0)),1,0)</f>
        <v>0</v>
      </c>
      <c r="U1499" s="3">
        <f t="shared" si="405"/>
        <v>19</v>
      </c>
      <c r="V1499" s="3">
        <f>IF(AND($L1499=1,AND(对接源_02物料!$X299="自备筐",N(对接源_02物料!$V299)&lt;&gt;0)),1,0)</f>
        <v>0</v>
      </c>
      <c r="W1499" s="3">
        <f t="shared" si="406"/>
        <v>8</v>
      </c>
      <c r="X1499" s="3">
        <f>IF(AND($L1499=1,AND(对接源_02物料!$X299="自备筐",N(对接源_02物料!$T299)&lt;&gt;0)),1,0)</f>
        <v>0</v>
      </c>
      <c r="Y1499" s="3">
        <f t="shared" si="407"/>
        <v>0</v>
      </c>
      <c r="Z1499" s="3">
        <f>IF(AND($M1499=1,对接源_02物料!$D299="原料入库"),1,0)</f>
        <v>0</v>
      </c>
      <c r="AA1499" s="3">
        <f t="shared" si="408"/>
        <v>24</v>
      </c>
      <c r="AB1499" s="3">
        <f>IF(AND($M1499=1,LEFT(对接源_02物料!$D299,4)="原料出库"),1,0)</f>
        <v>0</v>
      </c>
      <c r="AC1499" s="3">
        <f t="shared" si="409"/>
        <v>0</v>
      </c>
      <c r="AD1499" s="3">
        <f>IF(AND($M1499=1,LEFT(对接源_02物料!$D299,4)="成品出库"),1,0)</f>
        <v>0</v>
      </c>
      <c r="AE1499" s="3">
        <f t="shared" si="410"/>
        <v>0</v>
      </c>
      <c r="AF1499" s="3">
        <f>IF(AND($N1499=1,AND(LEFT(对接源_02物料!$D299,4)="包装物料",N(对接源_02物料!$K299)&lt;&gt;0)),1,0)</f>
        <v>0</v>
      </c>
      <c r="AG1499" s="3">
        <f t="shared" si="411"/>
        <v>5</v>
      </c>
      <c r="AH1499" s="3">
        <f>IF(AND($N1499=1,AND(对接源_02物料!$D299="周转筐－销售出库",N(对接源_02物料!$K299)&lt;&gt;0)),1,0)</f>
        <v>0</v>
      </c>
      <c r="AI1499" s="3">
        <f t="shared" si="412"/>
        <v>0</v>
      </c>
      <c r="AL1499" s="3">
        <v>0</v>
      </c>
      <c r="AM1499" s="3">
        <f t="shared" si="413"/>
        <v>1</v>
      </c>
      <c r="AN1499" s="3" t="str">
        <f t="shared" si="400"/>
        <v/>
      </c>
      <c r="AO1499" s="3">
        <v>0</v>
      </c>
      <c r="AP1499" s="3">
        <f t="shared" si="414"/>
        <v>8</v>
      </c>
      <c r="AR1499">
        <f t="shared" si="415"/>
        <v>0</v>
      </c>
      <c r="AS1499">
        <f t="shared" si="416"/>
        <v>5</v>
      </c>
    </row>
    <row r="1500" customHeight="1" spans="1:45">
      <c r="A1500" s="3" t="str">
        <f>IF(对接源_02物料!$C300="","",对接源_02物料!$C300)</f>
        <v/>
      </c>
      <c r="B1500" s="3">
        <f t="shared" si="401"/>
        <v>0</v>
      </c>
      <c r="C1500" s="3">
        <f t="shared" si="402"/>
        <v>21</v>
      </c>
      <c r="K1500" s="3">
        <f>IF(OR($K$1="",对接源_02物料!$C300="",对接源_02物料!$C300&lt;&gt;$K$1,对接源_02物料!$B300=""),0,IF(OR(N(对接源_02物料!$B300)&lt;$K$2,N(对接源_02物料!$B300)&gt;$K$3),0,1))</f>
        <v>0</v>
      </c>
      <c r="L1500" s="3">
        <f>IF(OR($L$1="",对接源_02物料!$C300="",对接源_02物料!$C300&lt;&gt;$L$1,对接源_02物料!$B300=""),0,IF(OR(N(对接源_02物料!$B300)&lt;$L$2,N(对接源_02物料!$B300)&gt;$L$3),0,1))</f>
        <v>0</v>
      </c>
      <c r="M1500" s="3">
        <f>IF(OR($M$1="",对接源_02物料!$C300="",对接源_02物料!$C300&lt;&gt;$M$1,对接源_02物料!$B300=""),0,IF(OR(N(对接源_02物料!$B300)&lt;$M$2,N(对接源_02物料!$B300)&gt;$M$3),0,1))</f>
        <v>0</v>
      </c>
      <c r="N1500" s="3">
        <f>IF(OR($N$1="",对接源_02物料!$C300="",对接源_02物料!$C300&lt;&gt;$N$1,对接源_02物料!$B300=""),0,IF(OR(N(对接源_02物料!$B300)&lt;$N$2,N(对接源_02物料!$B300)&gt;$N$3),0,1))</f>
        <v>0</v>
      </c>
      <c r="P1500" s="3">
        <f>IF(AND($K1500=1,AND(对接源_02物料!$X300="公司筐",N(对接源_02物料!$T300)&lt;&gt;0)),1,0)</f>
        <v>0</v>
      </c>
      <c r="Q1500" s="3">
        <f t="shared" si="403"/>
        <v>8</v>
      </c>
      <c r="R1500" s="3">
        <f>IF(AND($K1500=1,AND(对接源_02物料!$X300="公司筐",N(对接源_02物料!$U300)&lt;&gt;0)),1,0)</f>
        <v>0</v>
      </c>
      <c r="S1500" s="3">
        <f t="shared" si="404"/>
        <v>0</v>
      </c>
      <c r="T1500" s="3">
        <f>IF(AND($K1500=1,AND(对接源_02物料!$X300="公司筐",N(对接源_02物料!$V300)&lt;&gt;0)),1,0)</f>
        <v>0</v>
      </c>
      <c r="U1500" s="3">
        <f t="shared" si="405"/>
        <v>19</v>
      </c>
      <c r="V1500" s="3">
        <f>IF(AND($L1500=1,AND(对接源_02物料!$X300="自备筐",N(对接源_02物料!$V300)&lt;&gt;0)),1,0)</f>
        <v>0</v>
      </c>
      <c r="W1500" s="3">
        <f t="shared" si="406"/>
        <v>8</v>
      </c>
      <c r="X1500" s="3">
        <f>IF(AND($L1500=1,AND(对接源_02物料!$X300="自备筐",N(对接源_02物料!$T300)&lt;&gt;0)),1,0)</f>
        <v>0</v>
      </c>
      <c r="Y1500" s="3">
        <f t="shared" si="407"/>
        <v>0</v>
      </c>
      <c r="Z1500" s="3">
        <f>IF(AND($M1500=1,对接源_02物料!$D300="原料入库"),1,0)</f>
        <v>0</v>
      </c>
      <c r="AA1500" s="3">
        <f t="shared" si="408"/>
        <v>24</v>
      </c>
      <c r="AB1500" s="3">
        <f>IF(AND($M1500=1,LEFT(对接源_02物料!$D300,4)="原料出库"),1,0)</f>
        <v>0</v>
      </c>
      <c r="AC1500" s="3">
        <f t="shared" si="409"/>
        <v>0</v>
      </c>
      <c r="AD1500" s="3">
        <f>IF(AND($M1500=1,LEFT(对接源_02物料!$D300,4)="成品出库"),1,0)</f>
        <v>0</v>
      </c>
      <c r="AE1500" s="3">
        <f t="shared" si="410"/>
        <v>0</v>
      </c>
      <c r="AF1500" s="3">
        <f>IF(AND($N1500=1,AND(LEFT(对接源_02物料!$D300,4)="包装物料",N(对接源_02物料!$K300)&lt;&gt;0)),1,0)</f>
        <v>0</v>
      </c>
      <c r="AG1500" s="3">
        <f t="shared" si="411"/>
        <v>5</v>
      </c>
      <c r="AH1500" s="3">
        <f>IF(AND($N1500=1,AND(对接源_02物料!$D300="周转筐－销售出库",N(对接源_02物料!$K300)&lt;&gt;0)),1,0)</f>
        <v>0</v>
      </c>
      <c r="AI1500" s="3">
        <f t="shared" si="412"/>
        <v>0</v>
      </c>
      <c r="AL1500" s="3">
        <v>0</v>
      </c>
      <c r="AM1500" s="3">
        <f t="shared" si="413"/>
        <v>1</v>
      </c>
      <c r="AN1500" s="3" t="str">
        <f t="shared" si="400"/>
        <v/>
      </c>
      <c r="AO1500" s="3">
        <v>0</v>
      </c>
      <c r="AP1500" s="3">
        <f t="shared" si="414"/>
        <v>8</v>
      </c>
      <c r="AR1500">
        <f t="shared" si="415"/>
        <v>0</v>
      </c>
      <c r="AS1500">
        <f t="shared" si="416"/>
        <v>5</v>
      </c>
    </row>
    <row r="1501" customHeight="1" spans="1:45">
      <c r="A1501" s="3" t="str">
        <f>IF(对接源_02物料!$C301="","",对接源_02物料!$C301)</f>
        <v/>
      </c>
      <c r="B1501" s="3">
        <f t="shared" si="401"/>
        <v>0</v>
      </c>
      <c r="C1501" s="3">
        <f t="shared" si="402"/>
        <v>21</v>
      </c>
      <c r="K1501" s="3">
        <f>IF(OR($K$1="",对接源_02物料!$C301="",对接源_02物料!$C301&lt;&gt;$K$1,对接源_02物料!$B301=""),0,IF(OR(N(对接源_02物料!$B301)&lt;$K$2,N(对接源_02物料!$B301)&gt;$K$3),0,1))</f>
        <v>0</v>
      </c>
      <c r="L1501" s="3">
        <f>IF(OR($L$1="",对接源_02物料!$C301="",对接源_02物料!$C301&lt;&gt;$L$1,对接源_02物料!$B301=""),0,IF(OR(N(对接源_02物料!$B301)&lt;$L$2,N(对接源_02物料!$B301)&gt;$L$3),0,1))</f>
        <v>0</v>
      </c>
      <c r="M1501" s="3">
        <f>IF(OR($M$1="",对接源_02物料!$C301="",对接源_02物料!$C301&lt;&gt;$M$1,对接源_02物料!$B301=""),0,IF(OR(N(对接源_02物料!$B301)&lt;$M$2,N(对接源_02物料!$B301)&gt;$M$3),0,1))</f>
        <v>0</v>
      </c>
      <c r="N1501" s="3">
        <f>IF(OR($N$1="",对接源_02物料!$C301="",对接源_02物料!$C301&lt;&gt;$N$1,对接源_02物料!$B301=""),0,IF(OR(N(对接源_02物料!$B301)&lt;$N$2,N(对接源_02物料!$B301)&gt;$N$3),0,1))</f>
        <v>0</v>
      </c>
      <c r="P1501" s="3">
        <f>IF(AND($K1501=1,AND(对接源_02物料!$X301="公司筐",N(对接源_02物料!$T301)&lt;&gt;0)),1,0)</f>
        <v>0</v>
      </c>
      <c r="Q1501" s="3">
        <f t="shared" si="403"/>
        <v>8</v>
      </c>
      <c r="R1501" s="3">
        <f>IF(AND($K1501=1,AND(对接源_02物料!$X301="公司筐",N(对接源_02物料!$U301)&lt;&gt;0)),1,0)</f>
        <v>0</v>
      </c>
      <c r="S1501" s="3">
        <f t="shared" si="404"/>
        <v>0</v>
      </c>
      <c r="T1501" s="3">
        <f>IF(AND($K1501=1,AND(对接源_02物料!$X301="公司筐",N(对接源_02物料!$V301)&lt;&gt;0)),1,0)</f>
        <v>0</v>
      </c>
      <c r="U1501" s="3">
        <f t="shared" si="405"/>
        <v>19</v>
      </c>
      <c r="V1501" s="3">
        <f>IF(AND($L1501=1,AND(对接源_02物料!$X301="自备筐",N(对接源_02物料!$V301)&lt;&gt;0)),1,0)</f>
        <v>0</v>
      </c>
      <c r="W1501" s="3">
        <f t="shared" si="406"/>
        <v>8</v>
      </c>
      <c r="X1501" s="3">
        <f>IF(AND($L1501=1,AND(对接源_02物料!$X301="自备筐",N(对接源_02物料!$T301)&lt;&gt;0)),1,0)</f>
        <v>0</v>
      </c>
      <c r="Y1501" s="3">
        <f t="shared" si="407"/>
        <v>0</v>
      </c>
      <c r="Z1501" s="3">
        <f>IF(AND($M1501=1,对接源_02物料!$D301="原料入库"),1,0)</f>
        <v>0</v>
      </c>
      <c r="AA1501" s="3">
        <f t="shared" si="408"/>
        <v>24</v>
      </c>
      <c r="AB1501" s="3">
        <f>IF(AND($M1501=1,LEFT(对接源_02物料!$D301,4)="原料出库"),1,0)</f>
        <v>0</v>
      </c>
      <c r="AC1501" s="3">
        <f t="shared" si="409"/>
        <v>0</v>
      </c>
      <c r="AD1501" s="3">
        <f>IF(AND($M1501=1,LEFT(对接源_02物料!$D301,4)="成品出库"),1,0)</f>
        <v>0</v>
      </c>
      <c r="AE1501" s="3">
        <f t="shared" si="410"/>
        <v>0</v>
      </c>
      <c r="AF1501" s="3">
        <f>IF(AND($N1501=1,AND(LEFT(对接源_02物料!$D301,4)="包装物料",N(对接源_02物料!$K301)&lt;&gt;0)),1,0)</f>
        <v>0</v>
      </c>
      <c r="AG1501" s="3">
        <f t="shared" si="411"/>
        <v>5</v>
      </c>
      <c r="AH1501" s="3">
        <f>IF(AND($N1501=1,AND(对接源_02物料!$D301="周转筐－销售出库",N(对接源_02物料!$K301)&lt;&gt;0)),1,0)</f>
        <v>0</v>
      </c>
      <c r="AI1501" s="3">
        <f t="shared" si="412"/>
        <v>0</v>
      </c>
      <c r="AL1501" s="3">
        <v>0</v>
      </c>
      <c r="AM1501" s="3">
        <f t="shared" si="413"/>
        <v>1</v>
      </c>
      <c r="AN1501" s="3" t="str">
        <f t="shared" si="400"/>
        <v/>
      </c>
      <c r="AO1501" s="3">
        <v>0</v>
      </c>
      <c r="AP1501" s="3">
        <f t="shared" si="414"/>
        <v>8</v>
      </c>
      <c r="AR1501">
        <f t="shared" si="415"/>
        <v>0</v>
      </c>
      <c r="AS1501">
        <f t="shared" si="416"/>
        <v>5</v>
      </c>
    </row>
    <row r="1502" customHeight="1" spans="1:45">
      <c r="A1502" s="3" t="str">
        <f>IF(对接源_02物料!$C302="","",对接源_02物料!$C302)</f>
        <v/>
      </c>
      <c r="B1502" s="3">
        <f t="shared" si="401"/>
        <v>0</v>
      </c>
      <c r="C1502" s="3">
        <f t="shared" si="402"/>
        <v>21</v>
      </c>
      <c r="K1502" s="3">
        <f>IF(OR($K$1="",对接源_02物料!$C302="",对接源_02物料!$C302&lt;&gt;$K$1,对接源_02物料!$B302=""),0,IF(OR(N(对接源_02物料!$B302)&lt;$K$2,N(对接源_02物料!$B302)&gt;$K$3),0,1))</f>
        <v>0</v>
      </c>
      <c r="L1502" s="3">
        <f>IF(OR($L$1="",对接源_02物料!$C302="",对接源_02物料!$C302&lt;&gt;$L$1,对接源_02物料!$B302=""),0,IF(OR(N(对接源_02物料!$B302)&lt;$L$2,N(对接源_02物料!$B302)&gt;$L$3),0,1))</f>
        <v>0</v>
      </c>
      <c r="M1502" s="3">
        <f>IF(OR($M$1="",对接源_02物料!$C302="",对接源_02物料!$C302&lt;&gt;$M$1,对接源_02物料!$B302=""),0,IF(OR(N(对接源_02物料!$B302)&lt;$M$2,N(对接源_02物料!$B302)&gt;$M$3),0,1))</f>
        <v>0</v>
      </c>
      <c r="N1502" s="3">
        <f>IF(OR($N$1="",对接源_02物料!$C302="",对接源_02物料!$C302&lt;&gt;$N$1,对接源_02物料!$B302=""),0,IF(OR(N(对接源_02物料!$B302)&lt;$N$2,N(对接源_02物料!$B302)&gt;$N$3),0,1))</f>
        <v>0</v>
      </c>
      <c r="P1502" s="3">
        <f>IF(AND($K1502=1,AND(对接源_02物料!$X302="公司筐",N(对接源_02物料!$T302)&lt;&gt;0)),1,0)</f>
        <v>0</v>
      </c>
      <c r="Q1502" s="3">
        <f t="shared" si="403"/>
        <v>8</v>
      </c>
      <c r="R1502" s="3">
        <f>IF(AND($K1502=1,AND(对接源_02物料!$X302="公司筐",N(对接源_02物料!$U302)&lt;&gt;0)),1,0)</f>
        <v>0</v>
      </c>
      <c r="S1502" s="3">
        <f t="shared" si="404"/>
        <v>0</v>
      </c>
      <c r="T1502" s="3">
        <f>IF(AND($K1502=1,AND(对接源_02物料!$X302="公司筐",N(对接源_02物料!$V302)&lt;&gt;0)),1,0)</f>
        <v>0</v>
      </c>
      <c r="U1502" s="3">
        <f t="shared" si="405"/>
        <v>19</v>
      </c>
      <c r="V1502" s="3">
        <f>IF(AND($L1502=1,AND(对接源_02物料!$X302="自备筐",N(对接源_02物料!$V302)&lt;&gt;0)),1,0)</f>
        <v>0</v>
      </c>
      <c r="W1502" s="3">
        <f t="shared" si="406"/>
        <v>8</v>
      </c>
      <c r="X1502" s="3">
        <f>IF(AND($L1502=1,AND(对接源_02物料!$X302="自备筐",N(对接源_02物料!$T302)&lt;&gt;0)),1,0)</f>
        <v>0</v>
      </c>
      <c r="Y1502" s="3">
        <f t="shared" si="407"/>
        <v>0</v>
      </c>
      <c r="Z1502" s="3">
        <f>IF(AND($M1502=1,对接源_02物料!$D302="原料入库"),1,0)</f>
        <v>0</v>
      </c>
      <c r="AA1502" s="3">
        <f t="shared" si="408"/>
        <v>24</v>
      </c>
      <c r="AB1502" s="3">
        <f>IF(AND($M1502=1,LEFT(对接源_02物料!$D302,4)="原料出库"),1,0)</f>
        <v>0</v>
      </c>
      <c r="AC1502" s="3">
        <f t="shared" si="409"/>
        <v>0</v>
      </c>
      <c r="AD1502" s="3">
        <f>IF(AND($M1502=1,LEFT(对接源_02物料!$D302,4)="成品出库"),1,0)</f>
        <v>0</v>
      </c>
      <c r="AE1502" s="3">
        <f t="shared" si="410"/>
        <v>0</v>
      </c>
      <c r="AF1502" s="3">
        <f>IF(AND($N1502=1,AND(LEFT(对接源_02物料!$D302,4)="包装物料",N(对接源_02物料!$K302)&lt;&gt;0)),1,0)</f>
        <v>0</v>
      </c>
      <c r="AG1502" s="3">
        <f t="shared" si="411"/>
        <v>5</v>
      </c>
      <c r="AH1502" s="3">
        <f>IF(AND($N1502=1,AND(对接源_02物料!$D302="周转筐－销售出库",N(对接源_02物料!$K302)&lt;&gt;0)),1,0)</f>
        <v>0</v>
      </c>
      <c r="AI1502" s="3">
        <f t="shared" si="412"/>
        <v>0</v>
      </c>
      <c r="AL1502" s="3">
        <v>0</v>
      </c>
      <c r="AM1502" s="3">
        <f t="shared" si="413"/>
        <v>1</v>
      </c>
      <c r="AN1502" s="3" t="str">
        <f t="shared" si="400"/>
        <v/>
      </c>
      <c r="AO1502" s="3">
        <v>0</v>
      </c>
      <c r="AP1502" s="3">
        <f t="shared" si="414"/>
        <v>8</v>
      </c>
      <c r="AR1502">
        <f t="shared" si="415"/>
        <v>0</v>
      </c>
      <c r="AS1502">
        <f t="shared" si="416"/>
        <v>5</v>
      </c>
    </row>
    <row r="1503" customHeight="1" spans="1:45">
      <c r="A1503" s="3" t="str">
        <f>IF(对接源_02物料!$C303="","",对接源_02物料!$C303)</f>
        <v/>
      </c>
      <c r="B1503" s="3">
        <f t="shared" si="401"/>
        <v>0</v>
      </c>
      <c r="C1503" s="3">
        <f t="shared" si="402"/>
        <v>21</v>
      </c>
      <c r="K1503" s="3">
        <f>IF(OR($K$1="",对接源_02物料!$C303="",对接源_02物料!$C303&lt;&gt;$K$1,对接源_02物料!$B303=""),0,IF(OR(N(对接源_02物料!$B303)&lt;$K$2,N(对接源_02物料!$B303)&gt;$K$3),0,1))</f>
        <v>0</v>
      </c>
      <c r="L1503" s="3">
        <f>IF(OR($L$1="",对接源_02物料!$C303="",对接源_02物料!$C303&lt;&gt;$L$1,对接源_02物料!$B303=""),0,IF(OR(N(对接源_02物料!$B303)&lt;$L$2,N(对接源_02物料!$B303)&gt;$L$3),0,1))</f>
        <v>0</v>
      </c>
      <c r="M1503" s="3">
        <f>IF(OR($M$1="",对接源_02物料!$C303="",对接源_02物料!$C303&lt;&gt;$M$1,对接源_02物料!$B303=""),0,IF(OR(N(对接源_02物料!$B303)&lt;$M$2,N(对接源_02物料!$B303)&gt;$M$3),0,1))</f>
        <v>0</v>
      </c>
      <c r="N1503" s="3">
        <f>IF(OR($N$1="",对接源_02物料!$C303="",对接源_02物料!$C303&lt;&gt;$N$1,对接源_02物料!$B303=""),0,IF(OR(N(对接源_02物料!$B303)&lt;$N$2,N(对接源_02物料!$B303)&gt;$N$3),0,1))</f>
        <v>0</v>
      </c>
      <c r="P1503" s="3">
        <f>IF(AND($K1503=1,AND(对接源_02物料!$X303="公司筐",N(对接源_02物料!$T303)&lt;&gt;0)),1,0)</f>
        <v>0</v>
      </c>
      <c r="Q1503" s="3">
        <f t="shared" si="403"/>
        <v>8</v>
      </c>
      <c r="R1503" s="3">
        <f>IF(AND($K1503=1,AND(对接源_02物料!$X303="公司筐",N(对接源_02物料!$U303)&lt;&gt;0)),1,0)</f>
        <v>0</v>
      </c>
      <c r="S1503" s="3">
        <f t="shared" si="404"/>
        <v>0</v>
      </c>
      <c r="T1503" s="3">
        <f>IF(AND($K1503=1,AND(对接源_02物料!$X303="公司筐",N(对接源_02物料!$V303)&lt;&gt;0)),1,0)</f>
        <v>0</v>
      </c>
      <c r="U1503" s="3">
        <f t="shared" si="405"/>
        <v>19</v>
      </c>
      <c r="V1503" s="3">
        <f>IF(AND($L1503=1,AND(对接源_02物料!$X303="自备筐",N(对接源_02物料!$V303)&lt;&gt;0)),1,0)</f>
        <v>0</v>
      </c>
      <c r="W1503" s="3">
        <f t="shared" si="406"/>
        <v>8</v>
      </c>
      <c r="X1503" s="3">
        <f>IF(AND($L1503=1,AND(对接源_02物料!$X303="自备筐",N(对接源_02物料!$T303)&lt;&gt;0)),1,0)</f>
        <v>0</v>
      </c>
      <c r="Y1503" s="3">
        <f t="shared" si="407"/>
        <v>0</v>
      </c>
      <c r="Z1503" s="3">
        <f>IF(AND($M1503=1,对接源_02物料!$D303="原料入库"),1,0)</f>
        <v>0</v>
      </c>
      <c r="AA1503" s="3">
        <f t="shared" si="408"/>
        <v>24</v>
      </c>
      <c r="AB1503" s="3">
        <f>IF(AND($M1503=1,LEFT(对接源_02物料!$D303,4)="原料出库"),1,0)</f>
        <v>0</v>
      </c>
      <c r="AC1503" s="3">
        <f t="shared" si="409"/>
        <v>0</v>
      </c>
      <c r="AD1503" s="3">
        <f>IF(AND($M1503=1,LEFT(对接源_02物料!$D303,4)="成品出库"),1,0)</f>
        <v>0</v>
      </c>
      <c r="AE1503" s="3">
        <f t="shared" si="410"/>
        <v>0</v>
      </c>
      <c r="AF1503" s="3">
        <f>IF(AND($N1503=1,AND(LEFT(对接源_02物料!$D303,4)="包装物料",N(对接源_02物料!$K303)&lt;&gt;0)),1,0)</f>
        <v>0</v>
      </c>
      <c r="AG1503" s="3">
        <f t="shared" si="411"/>
        <v>5</v>
      </c>
      <c r="AH1503" s="3">
        <f>IF(AND($N1503=1,AND(对接源_02物料!$D303="周转筐－销售出库",N(对接源_02物料!$K303)&lt;&gt;0)),1,0)</f>
        <v>0</v>
      </c>
      <c r="AI1503" s="3">
        <f t="shared" si="412"/>
        <v>0</v>
      </c>
      <c r="AL1503" s="3">
        <v>0</v>
      </c>
      <c r="AM1503" s="3">
        <f t="shared" si="413"/>
        <v>1</v>
      </c>
      <c r="AN1503" s="3" t="str">
        <f t="shared" si="400"/>
        <v/>
      </c>
      <c r="AO1503" s="3">
        <v>0</v>
      </c>
      <c r="AP1503" s="3">
        <f t="shared" si="414"/>
        <v>8</v>
      </c>
      <c r="AR1503">
        <f t="shared" si="415"/>
        <v>0</v>
      </c>
      <c r="AS1503">
        <f t="shared" si="416"/>
        <v>5</v>
      </c>
    </row>
    <row r="1504" customHeight="1" spans="1:45">
      <c r="A1504" s="3" t="str">
        <f>IF(对接源_02物料!$C304="","",对接源_02物料!$C304)</f>
        <v/>
      </c>
      <c r="B1504" s="3">
        <f t="shared" si="401"/>
        <v>0</v>
      </c>
      <c r="C1504" s="3">
        <f t="shared" si="402"/>
        <v>21</v>
      </c>
      <c r="K1504" s="3">
        <f>IF(OR($K$1="",对接源_02物料!$C304="",对接源_02物料!$C304&lt;&gt;$K$1,对接源_02物料!$B304=""),0,IF(OR(N(对接源_02物料!$B304)&lt;$K$2,N(对接源_02物料!$B304)&gt;$K$3),0,1))</f>
        <v>0</v>
      </c>
      <c r="L1504" s="3">
        <f>IF(OR($L$1="",对接源_02物料!$C304="",对接源_02物料!$C304&lt;&gt;$L$1,对接源_02物料!$B304=""),0,IF(OR(N(对接源_02物料!$B304)&lt;$L$2,N(对接源_02物料!$B304)&gt;$L$3),0,1))</f>
        <v>0</v>
      </c>
      <c r="M1504" s="3">
        <f>IF(OR($M$1="",对接源_02物料!$C304="",对接源_02物料!$C304&lt;&gt;$M$1,对接源_02物料!$B304=""),0,IF(OR(N(对接源_02物料!$B304)&lt;$M$2,N(对接源_02物料!$B304)&gt;$M$3),0,1))</f>
        <v>0</v>
      </c>
      <c r="N1504" s="3">
        <f>IF(OR($N$1="",对接源_02物料!$C304="",对接源_02物料!$C304&lt;&gt;$N$1,对接源_02物料!$B304=""),0,IF(OR(N(对接源_02物料!$B304)&lt;$N$2,N(对接源_02物料!$B304)&gt;$N$3),0,1))</f>
        <v>0</v>
      </c>
      <c r="P1504" s="3">
        <f>IF(AND($K1504=1,AND(对接源_02物料!$X304="公司筐",N(对接源_02物料!$T304)&lt;&gt;0)),1,0)</f>
        <v>0</v>
      </c>
      <c r="Q1504" s="3">
        <f t="shared" si="403"/>
        <v>8</v>
      </c>
      <c r="R1504" s="3">
        <f>IF(AND($K1504=1,AND(对接源_02物料!$X304="公司筐",N(对接源_02物料!$U304)&lt;&gt;0)),1,0)</f>
        <v>0</v>
      </c>
      <c r="S1504" s="3">
        <f t="shared" si="404"/>
        <v>0</v>
      </c>
      <c r="T1504" s="3">
        <f>IF(AND($K1504=1,AND(对接源_02物料!$X304="公司筐",N(对接源_02物料!$V304)&lt;&gt;0)),1,0)</f>
        <v>0</v>
      </c>
      <c r="U1504" s="3">
        <f t="shared" si="405"/>
        <v>19</v>
      </c>
      <c r="V1504" s="3">
        <f>IF(AND($L1504=1,AND(对接源_02物料!$X304="自备筐",N(对接源_02物料!$V304)&lt;&gt;0)),1,0)</f>
        <v>0</v>
      </c>
      <c r="W1504" s="3">
        <f t="shared" si="406"/>
        <v>8</v>
      </c>
      <c r="X1504" s="3">
        <f>IF(AND($L1504=1,AND(对接源_02物料!$X304="自备筐",N(对接源_02物料!$T304)&lt;&gt;0)),1,0)</f>
        <v>0</v>
      </c>
      <c r="Y1504" s="3">
        <f t="shared" si="407"/>
        <v>0</v>
      </c>
      <c r="Z1504" s="3">
        <f>IF(AND($M1504=1,对接源_02物料!$D304="原料入库"),1,0)</f>
        <v>0</v>
      </c>
      <c r="AA1504" s="3">
        <f t="shared" si="408"/>
        <v>24</v>
      </c>
      <c r="AB1504" s="3">
        <f>IF(AND($M1504=1,LEFT(对接源_02物料!$D304,4)="原料出库"),1,0)</f>
        <v>0</v>
      </c>
      <c r="AC1504" s="3">
        <f t="shared" si="409"/>
        <v>0</v>
      </c>
      <c r="AD1504" s="3">
        <f>IF(AND($M1504=1,LEFT(对接源_02物料!$D304,4)="成品出库"),1,0)</f>
        <v>0</v>
      </c>
      <c r="AE1504" s="3">
        <f t="shared" si="410"/>
        <v>0</v>
      </c>
      <c r="AF1504" s="3">
        <f>IF(AND($N1504=1,AND(LEFT(对接源_02物料!$D304,4)="包装物料",N(对接源_02物料!$K304)&lt;&gt;0)),1,0)</f>
        <v>0</v>
      </c>
      <c r="AG1504" s="3">
        <f t="shared" si="411"/>
        <v>5</v>
      </c>
      <c r="AH1504" s="3">
        <f>IF(AND($N1504=1,AND(对接源_02物料!$D304="周转筐－销售出库",N(对接源_02物料!$K304)&lt;&gt;0)),1,0)</f>
        <v>0</v>
      </c>
      <c r="AI1504" s="3">
        <f t="shared" si="412"/>
        <v>0</v>
      </c>
      <c r="AL1504" s="3">
        <v>0</v>
      </c>
      <c r="AM1504" s="3">
        <f t="shared" si="413"/>
        <v>1</v>
      </c>
      <c r="AN1504" s="3" t="str">
        <f t="shared" si="400"/>
        <v/>
      </c>
      <c r="AO1504" s="3">
        <v>0</v>
      </c>
      <c r="AP1504" s="3">
        <f t="shared" si="414"/>
        <v>8</v>
      </c>
      <c r="AR1504">
        <f t="shared" si="415"/>
        <v>0</v>
      </c>
      <c r="AS1504">
        <f t="shared" si="416"/>
        <v>5</v>
      </c>
    </row>
    <row r="1505" customHeight="1" spans="1:45">
      <c r="A1505" s="3" t="str">
        <f>IF(对接源_02物料!$C305="","",对接源_02物料!$C305)</f>
        <v/>
      </c>
      <c r="B1505" s="3">
        <f t="shared" si="401"/>
        <v>0</v>
      </c>
      <c r="C1505" s="3">
        <f t="shared" si="402"/>
        <v>21</v>
      </c>
      <c r="K1505" s="3">
        <f>IF(OR($K$1="",对接源_02物料!$C305="",对接源_02物料!$C305&lt;&gt;$K$1,对接源_02物料!$B305=""),0,IF(OR(N(对接源_02物料!$B305)&lt;$K$2,N(对接源_02物料!$B305)&gt;$K$3),0,1))</f>
        <v>0</v>
      </c>
      <c r="L1505" s="3">
        <f>IF(OR($L$1="",对接源_02物料!$C305="",对接源_02物料!$C305&lt;&gt;$L$1,对接源_02物料!$B305=""),0,IF(OR(N(对接源_02物料!$B305)&lt;$L$2,N(对接源_02物料!$B305)&gt;$L$3),0,1))</f>
        <v>0</v>
      </c>
      <c r="M1505" s="3">
        <f>IF(OR($M$1="",对接源_02物料!$C305="",对接源_02物料!$C305&lt;&gt;$M$1,对接源_02物料!$B305=""),0,IF(OR(N(对接源_02物料!$B305)&lt;$M$2,N(对接源_02物料!$B305)&gt;$M$3),0,1))</f>
        <v>0</v>
      </c>
      <c r="N1505" s="3">
        <f>IF(OR($N$1="",对接源_02物料!$C305="",对接源_02物料!$C305&lt;&gt;$N$1,对接源_02物料!$B305=""),0,IF(OR(N(对接源_02物料!$B305)&lt;$N$2,N(对接源_02物料!$B305)&gt;$N$3),0,1))</f>
        <v>0</v>
      </c>
      <c r="P1505" s="3">
        <f>IF(AND($K1505=1,AND(对接源_02物料!$X305="公司筐",N(对接源_02物料!$T305)&lt;&gt;0)),1,0)</f>
        <v>0</v>
      </c>
      <c r="Q1505" s="3">
        <f t="shared" si="403"/>
        <v>8</v>
      </c>
      <c r="R1505" s="3">
        <f>IF(AND($K1505=1,AND(对接源_02物料!$X305="公司筐",N(对接源_02物料!$U305)&lt;&gt;0)),1,0)</f>
        <v>0</v>
      </c>
      <c r="S1505" s="3">
        <f t="shared" si="404"/>
        <v>0</v>
      </c>
      <c r="T1505" s="3">
        <f>IF(AND($K1505=1,AND(对接源_02物料!$X305="公司筐",N(对接源_02物料!$V305)&lt;&gt;0)),1,0)</f>
        <v>0</v>
      </c>
      <c r="U1505" s="3">
        <f t="shared" si="405"/>
        <v>19</v>
      </c>
      <c r="V1505" s="3">
        <f>IF(AND($L1505=1,AND(对接源_02物料!$X305="自备筐",N(对接源_02物料!$V305)&lt;&gt;0)),1,0)</f>
        <v>0</v>
      </c>
      <c r="W1505" s="3">
        <f t="shared" si="406"/>
        <v>8</v>
      </c>
      <c r="X1505" s="3">
        <f>IF(AND($L1505=1,AND(对接源_02物料!$X305="自备筐",N(对接源_02物料!$T305)&lt;&gt;0)),1,0)</f>
        <v>0</v>
      </c>
      <c r="Y1505" s="3">
        <f t="shared" si="407"/>
        <v>0</v>
      </c>
      <c r="Z1505" s="3">
        <f>IF(AND($M1505=1,对接源_02物料!$D305="原料入库"),1,0)</f>
        <v>0</v>
      </c>
      <c r="AA1505" s="3">
        <f t="shared" si="408"/>
        <v>24</v>
      </c>
      <c r="AB1505" s="3">
        <f>IF(AND($M1505=1,LEFT(对接源_02物料!$D305,4)="原料出库"),1,0)</f>
        <v>0</v>
      </c>
      <c r="AC1505" s="3">
        <f t="shared" si="409"/>
        <v>0</v>
      </c>
      <c r="AD1505" s="3">
        <f>IF(AND($M1505=1,LEFT(对接源_02物料!$D305,4)="成品出库"),1,0)</f>
        <v>0</v>
      </c>
      <c r="AE1505" s="3">
        <f t="shared" si="410"/>
        <v>0</v>
      </c>
      <c r="AF1505" s="3">
        <f>IF(AND($N1505=1,AND(LEFT(对接源_02物料!$D305,4)="包装物料",N(对接源_02物料!$K305)&lt;&gt;0)),1,0)</f>
        <v>0</v>
      </c>
      <c r="AG1505" s="3">
        <f t="shared" si="411"/>
        <v>5</v>
      </c>
      <c r="AH1505" s="3">
        <f>IF(AND($N1505=1,AND(对接源_02物料!$D305="周转筐－销售出库",N(对接源_02物料!$K305)&lt;&gt;0)),1,0)</f>
        <v>0</v>
      </c>
      <c r="AI1505" s="3">
        <f t="shared" si="412"/>
        <v>0</v>
      </c>
      <c r="AL1505" s="3">
        <v>0</v>
      </c>
      <c r="AM1505" s="3">
        <f t="shared" si="413"/>
        <v>1</v>
      </c>
      <c r="AN1505" s="3" t="str">
        <f t="shared" si="400"/>
        <v/>
      </c>
      <c r="AO1505" s="3">
        <v>0</v>
      </c>
      <c r="AP1505" s="3">
        <f t="shared" si="414"/>
        <v>8</v>
      </c>
      <c r="AR1505">
        <f t="shared" si="415"/>
        <v>0</v>
      </c>
      <c r="AS1505">
        <f t="shared" si="416"/>
        <v>5</v>
      </c>
    </row>
    <row r="1506" customHeight="1" spans="1:45">
      <c r="A1506" s="3" t="str">
        <f>IF(对接源_02物料!$C306="","",对接源_02物料!$C306)</f>
        <v/>
      </c>
      <c r="B1506" s="3">
        <f t="shared" si="401"/>
        <v>0</v>
      </c>
      <c r="C1506" s="3">
        <f t="shared" si="402"/>
        <v>21</v>
      </c>
      <c r="K1506" s="3">
        <f>IF(OR($K$1="",对接源_02物料!$C306="",对接源_02物料!$C306&lt;&gt;$K$1,对接源_02物料!$B306=""),0,IF(OR(N(对接源_02物料!$B306)&lt;$K$2,N(对接源_02物料!$B306)&gt;$K$3),0,1))</f>
        <v>0</v>
      </c>
      <c r="L1506" s="3">
        <f>IF(OR($L$1="",对接源_02物料!$C306="",对接源_02物料!$C306&lt;&gt;$L$1,对接源_02物料!$B306=""),0,IF(OR(N(对接源_02物料!$B306)&lt;$L$2,N(对接源_02物料!$B306)&gt;$L$3),0,1))</f>
        <v>0</v>
      </c>
      <c r="M1506" s="3">
        <f>IF(OR($M$1="",对接源_02物料!$C306="",对接源_02物料!$C306&lt;&gt;$M$1,对接源_02物料!$B306=""),0,IF(OR(N(对接源_02物料!$B306)&lt;$M$2,N(对接源_02物料!$B306)&gt;$M$3),0,1))</f>
        <v>0</v>
      </c>
      <c r="N1506" s="3">
        <f>IF(OR($N$1="",对接源_02物料!$C306="",对接源_02物料!$C306&lt;&gt;$N$1,对接源_02物料!$B306=""),0,IF(OR(N(对接源_02物料!$B306)&lt;$N$2,N(对接源_02物料!$B306)&gt;$N$3),0,1))</f>
        <v>0</v>
      </c>
      <c r="P1506" s="3">
        <f>IF(AND($K1506=1,AND(对接源_02物料!$X306="公司筐",N(对接源_02物料!$T306)&lt;&gt;0)),1,0)</f>
        <v>0</v>
      </c>
      <c r="Q1506" s="3">
        <f t="shared" si="403"/>
        <v>8</v>
      </c>
      <c r="R1506" s="3">
        <f>IF(AND($K1506=1,AND(对接源_02物料!$X306="公司筐",N(对接源_02物料!$U306)&lt;&gt;0)),1,0)</f>
        <v>0</v>
      </c>
      <c r="S1506" s="3">
        <f t="shared" si="404"/>
        <v>0</v>
      </c>
      <c r="T1506" s="3">
        <f>IF(AND($K1506=1,AND(对接源_02物料!$X306="公司筐",N(对接源_02物料!$V306)&lt;&gt;0)),1,0)</f>
        <v>0</v>
      </c>
      <c r="U1506" s="3">
        <f t="shared" si="405"/>
        <v>19</v>
      </c>
      <c r="V1506" s="3">
        <f>IF(AND($L1506=1,AND(对接源_02物料!$X306="自备筐",N(对接源_02物料!$V306)&lt;&gt;0)),1,0)</f>
        <v>0</v>
      </c>
      <c r="W1506" s="3">
        <f t="shared" si="406"/>
        <v>8</v>
      </c>
      <c r="X1506" s="3">
        <f>IF(AND($L1506=1,AND(对接源_02物料!$X306="自备筐",N(对接源_02物料!$T306)&lt;&gt;0)),1,0)</f>
        <v>0</v>
      </c>
      <c r="Y1506" s="3">
        <f t="shared" si="407"/>
        <v>0</v>
      </c>
      <c r="Z1506" s="3">
        <f>IF(AND($M1506=1,对接源_02物料!$D306="原料入库"),1,0)</f>
        <v>0</v>
      </c>
      <c r="AA1506" s="3">
        <f t="shared" si="408"/>
        <v>24</v>
      </c>
      <c r="AB1506" s="3">
        <f>IF(AND($M1506=1,LEFT(对接源_02物料!$D306,4)="原料出库"),1,0)</f>
        <v>0</v>
      </c>
      <c r="AC1506" s="3">
        <f t="shared" si="409"/>
        <v>0</v>
      </c>
      <c r="AD1506" s="3">
        <f>IF(AND($M1506=1,LEFT(对接源_02物料!$D306,4)="成品出库"),1,0)</f>
        <v>0</v>
      </c>
      <c r="AE1506" s="3">
        <f t="shared" si="410"/>
        <v>0</v>
      </c>
      <c r="AF1506" s="3">
        <f>IF(AND($N1506=1,AND(LEFT(对接源_02物料!$D306,4)="包装物料",N(对接源_02物料!$K306)&lt;&gt;0)),1,0)</f>
        <v>0</v>
      </c>
      <c r="AG1506" s="3">
        <f t="shared" si="411"/>
        <v>5</v>
      </c>
      <c r="AH1506" s="3">
        <f>IF(AND($N1506=1,AND(对接源_02物料!$D306="周转筐－销售出库",N(对接源_02物料!$K306)&lt;&gt;0)),1,0)</f>
        <v>0</v>
      </c>
      <c r="AI1506" s="3">
        <f t="shared" si="412"/>
        <v>0</v>
      </c>
      <c r="AL1506" s="3">
        <v>0</v>
      </c>
      <c r="AM1506" s="3">
        <f t="shared" si="413"/>
        <v>1</v>
      </c>
      <c r="AN1506" s="3" t="str">
        <f t="shared" si="400"/>
        <v/>
      </c>
      <c r="AO1506" s="3">
        <v>0</v>
      </c>
      <c r="AP1506" s="3">
        <f t="shared" si="414"/>
        <v>8</v>
      </c>
      <c r="AR1506">
        <f t="shared" si="415"/>
        <v>0</v>
      </c>
      <c r="AS1506">
        <f t="shared" si="416"/>
        <v>5</v>
      </c>
    </row>
    <row r="1507" customHeight="1" spans="1:45">
      <c r="A1507" s="3" t="str">
        <f>IF(对接源_02物料!$C307="","",对接源_02物料!$C307)</f>
        <v/>
      </c>
      <c r="B1507" s="3">
        <f t="shared" si="401"/>
        <v>0</v>
      </c>
      <c r="C1507" s="3">
        <f t="shared" si="402"/>
        <v>21</v>
      </c>
      <c r="K1507" s="3">
        <f>IF(OR($K$1="",对接源_02物料!$C307="",对接源_02物料!$C307&lt;&gt;$K$1,对接源_02物料!$B307=""),0,IF(OR(N(对接源_02物料!$B307)&lt;$K$2,N(对接源_02物料!$B307)&gt;$K$3),0,1))</f>
        <v>0</v>
      </c>
      <c r="L1507" s="3">
        <f>IF(OR($L$1="",对接源_02物料!$C307="",对接源_02物料!$C307&lt;&gt;$L$1,对接源_02物料!$B307=""),0,IF(OR(N(对接源_02物料!$B307)&lt;$L$2,N(对接源_02物料!$B307)&gt;$L$3),0,1))</f>
        <v>0</v>
      </c>
      <c r="M1507" s="3">
        <f>IF(OR($M$1="",对接源_02物料!$C307="",对接源_02物料!$C307&lt;&gt;$M$1,对接源_02物料!$B307=""),0,IF(OR(N(对接源_02物料!$B307)&lt;$M$2,N(对接源_02物料!$B307)&gt;$M$3),0,1))</f>
        <v>0</v>
      </c>
      <c r="N1507" s="3">
        <f>IF(OR($N$1="",对接源_02物料!$C307="",对接源_02物料!$C307&lt;&gt;$N$1,对接源_02物料!$B307=""),0,IF(OR(N(对接源_02物料!$B307)&lt;$N$2,N(对接源_02物料!$B307)&gt;$N$3),0,1))</f>
        <v>0</v>
      </c>
      <c r="P1507" s="3">
        <f>IF(AND($K1507=1,AND(对接源_02物料!$X307="公司筐",N(对接源_02物料!$T307)&lt;&gt;0)),1,0)</f>
        <v>0</v>
      </c>
      <c r="Q1507" s="3">
        <f t="shared" si="403"/>
        <v>8</v>
      </c>
      <c r="R1507" s="3">
        <f>IF(AND($K1507=1,AND(对接源_02物料!$X307="公司筐",N(对接源_02物料!$U307)&lt;&gt;0)),1,0)</f>
        <v>0</v>
      </c>
      <c r="S1507" s="3">
        <f t="shared" si="404"/>
        <v>0</v>
      </c>
      <c r="T1507" s="3">
        <f>IF(AND($K1507=1,AND(对接源_02物料!$X307="公司筐",N(对接源_02物料!$V307)&lt;&gt;0)),1,0)</f>
        <v>0</v>
      </c>
      <c r="U1507" s="3">
        <f t="shared" si="405"/>
        <v>19</v>
      </c>
      <c r="V1507" s="3">
        <f>IF(AND($L1507=1,AND(对接源_02物料!$X307="自备筐",N(对接源_02物料!$V307)&lt;&gt;0)),1,0)</f>
        <v>0</v>
      </c>
      <c r="W1507" s="3">
        <f t="shared" si="406"/>
        <v>8</v>
      </c>
      <c r="X1507" s="3">
        <f>IF(AND($L1507=1,AND(对接源_02物料!$X307="自备筐",N(对接源_02物料!$T307)&lt;&gt;0)),1,0)</f>
        <v>0</v>
      </c>
      <c r="Y1507" s="3">
        <f t="shared" si="407"/>
        <v>0</v>
      </c>
      <c r="Z1507" s="3">
        <f>IF(AND($M1507=1,对接源_02物料!$D307="原料入库"),1,0)</f>
        <v>0</v>
      </c>
      <c r="AA1507" s="3">
        <f t="shared" si="408"/>
        <v>24</v>
      </c>
      <c r="AB1507" s="3">
        <f>IF(AND($M1507=1,LEFT(对接源_02物料!$D307,4)="原料出库"),1,0)</f>
        <v>0</v>
      </c>
      <c r="AC1507" s="3">
        <f t="shared" si="409"/>
        <v>0</v>
      </c>
      <c r="AD1507" s="3">
        <f>IF(AND($M1507=1,LEFT(对接源_02物料!$D307,4)="成品出库"),1,0)</f>
        <v>0</v>
      </c>
      <c r="AE1507" s="3">
        <f t="shared" si="410"/>
        <v>0</v>
      </c>
      <c r="AF1507" s="3">
        <f>IF(AND($N1507=1,AND(LEFT(对接源_02物料!$D307,4)="包装物料",N(对接源_02物料!$K307)&lt;&gt;0)),1,0)</f>
        <v>0</v>
      </c>
      <c r="AG1507" s="3">
        <f t="shared" si="411"/>
        <v>5</v>
      </c>
      <c r="AH1507" s="3">
        <f>IF(AND($N1507=1,AND(对接源_02物料!$D307="周转筐－销售出库",N(对接源_02物料!$K307)&lt;&gt;0)),1,0)</f>
        <v>0</v>
      </c>
      <c r="AI1507" s="3">
        <f t="shared" si="412"/>
        <v>0</v>
      </c>
      <c r="AL1507" s="3">
        <v>0</v>
      </c>
      <c r="AM1507" s="3">
        <f t="shared" si="413"/>
        <v>1</v>
      </c>
      <c r="AN1507" s="3" t="str">
        <f t="shared" si="400"/>
        <v/>
      </c>
      <c r="AO1507" s="3">
        <v>0</v>
      </c>
      <c r="AP1507" s="3">
        <f t="shared" si="414"/>
        <v>8</v>
      </c>
      <c r="AR1507">
        <f t="shared" si="415"/>
        <v>0</v>
      </c>
      <c r="AS1507">
        <f t="shared" si="416"/>
        <v>5</v>
      </c>
    </row>
    <row r="1508" customHeight="1" spans="1:45">
      <c r="A1508" s="3" t="str">
        <f>IF(对接源_02物料!$C308="","",对接源_02物料!$C308)</f>
        <v/>
      </c>
      <c r="B1508" s="3">
        <f t="shared" si="401"/>
        <v>0</v>
      </c>
      <c r="C1508" s="3">
        <f t="shared" si="402"/>
        <v>21</v>
      </c>
      <c r="K1508" s="3">
        <f>IF(OR($K$1="",对接源_02物料!$C308="",对接源_02物料!$C308&lt;&gt;$K$1,对接源_02物料!$B308=""),0,IF(OR(N(对接源_02物料!$B308)&lt;$K$2,N(对接源_02物料!$B308)&gt;$K$3),0,1))</f>
        <v>0</v>
      </c>
      <c r="L1508" s="3">
        <f>IF(OR($L$1="",对接源_02物料!$C308="",对接源_02物料!$C308&lt;&gt;$L$1,对接源_02物料!$B308=""),0,IF(OR(N(对接源_02物料!$B308)&lt;$L$2,N(对接源_02物料!$B308)&gt;$L$3),0,1))</f>
        <v>0</v>
      </c>
      <c r="M1508" s="3">
        <f>IF(OR($M$1="",对接源_02物料!$C308="",对接源_02物料!$C308&lt;&gt;$M$1,对接源_02物料!$B308=""),0,IF(OR(N(对接源_02物料!$B308)&lt;$M$2,N(对接源_02物料!$B308)&gt;$M$3),0,1))</f>
        <v>0</v>
      </c>
      <c r="N1508" s="3">
        <f>IF(OR($N$1="",对接源_02物料!$C308="",对接源_02物料!$C308&lt;&gt;$N$1,对接源_02物料!$B308=""),0,IF(OR(N(对接源_02物料!$B308)&lt;$N$2,N(对接源_02物料!$B308)&gt;$N$3),0,1))</f>
        <v>0</v>
      </c>
      <c r="P1508" s="3">
        <f>IF(AND($K1508=1,AND(对接源_02物料!$X308="公司筐",N(对接源_02物料!$T308)&lt;&gt;0)),1,0)</f>
        <v>0</v>
      </c>
      <c r="Q1508" s="3">
        <f t="shared" si="403"/>
        <v>8</v>
      </c>
      <c r="R1508" s="3">
        <f>IF(AND($K1508=1,AND(对接源_02物料!$X308="公司筐",N(对接源_02物料!$U308)&lt;&gt;0)),1,0)</f>
        <v>0</v>
      </c>
      <c r="S1508" s="3">
        <f t="shared" si="404"/>
        <v>0</v>
      </c>
      <c r="T1508" s="3">
        <f>IF(AND($K1508=1,AND(对接源_02物料!$X308="公司筐",N(对接源_02物料!$V308)&lt;&gt;0)),1,0)</f>
        <v>0</v>
      </c>
      <c r="U1508" s="3">
        <f t="shared" si="405"/>
        <v>19</v>
      </c>
      <c r="V1508" s="3">
        <f>IF(AND($L1508=1,AND(对接源_02物料!$X308="自备筐",N(对接源_02物料!$V308)&lt;&gt;0)),1,0)</f>
        <v>0</v>
      </c>
      <c r="W1508" s="3">
        <f t="shared" si="406"/>
        <v>8</v>
      </c>
      <c r="X1508" s="3">
        <f>IF(AND($L1508=1,AND(对接源_02物料!$X308="自备筐",N(对接源_02物料!$T308)&lt;&gt;0)),1,0)</f>
        <v>0</v>
      </c>
      <c r="Y1508" s="3">
        <f t="shared" si="407"/>
        <v>0</v>
      </c>
      <c r="Z1508" s="3">
        <f>IF(AND($M1508=1,对接源_02物料!$D308="原料入库"),1,0)</f>
        <v>0</v>
      </c>
      <c r="AA1508" s="3">
        <f t="shared" si="408"/>
        <v>24</v>
      </c>
      <c r="AB1508" s="3">
        <f>IF(AND($M1508=1,LEFT(对接源_02物料!$D308,4)="原料出库"),1,0)</f>
        <v>0</v>
      </c>
      <c r="AC1508" s="3">
        <f t="shared" si="409"/>
        <v>0</v>
      </c>
      <c r="AD1508" s="3">
        <f>IF(AND($M1508=1,LEFT(对接源_02物料!$D308,4)="成品出库"),1,0)</f>
        <v>0</v>
      </c>
      <c r="AE1508" s="3">
        <f t="shared" si="410"/>
        <v>0</v>
      </c>
      <c r="AF1508" s="3">
        <f>IF(AND($N1508=1,AND(LEFT(对接源_02物料!$D308,4)="包装物料",N(对接源_02物料!$K308)&lt;&gt;0)),1,0)</f>
        <v>0</v>
      </c>
      <c r="AG1508" s="3">
        <f t="shared" si="411"/>
        <v>5</v>
      </c>
      <c r="AH1508" s="3">
        <f>IF(AND($N1508=1,AND(对接源_02物料!$D308="周转筐－销售出库",N(对接源_02物料!$K308)&lt;&gt;0)),1,0)</f>
        <v>0</v>
      </c>
      <c r="AI1508" s="3">
        <f t="shared" si="412"/>
        <v>0</v>
      </c>
      <c r="AL1508" s="3">
        <v>0</v>
      </c>
      <c r="AM1508" s="3">
        <f t="shared" si="413"/>
        <v>1</v>
      </c>
      <c r="AN1508" s="3" t="str">
        <f t="shared" si="400"/>
        <v/>
      </c>
      <c r="AO1508" s="3">
        <v>0</v>
      </c>
      <c r="AP1508" s="3">
        <f t="shared" si="414"/>
        <v>8</v>
      </c>
      <c r="AR1508">
        <f t="shared" si="415"/>
        <v>0</v>
      </c>
      <c r="AS1508">
        <f t="shared" si="416"/>
        <v>5</v>
      </c>
    </row>
    <row r="1509" customHeight="1" spans="1:45">
      <c r="A1509" s="3" t="str">
        <f>IF(对接源_02物料!$C309="","",对接源_02物料!$C309)</f>
        <v/>
      </c>
      <c r="B1509" s="3">
        <f t="shared" si="401"/>
        <v>0</v>
      </c>
      <c r="C1509" s="3">
        <f t="shared" si="402"/>
        <v>21</v>
      </c>
      <c r="K1509" s="3">
        <f>IF(OR($K$1="",对接源_02物料!$C309="",对接源_02物料!$C309&lt;&gt;$K$1,对接源_02物料!$B309=""),0,IF(OR(N(对接源_02物料!$B309)&lt;$K$2,N(对接源_02物料!$B309)&gt;$K$3),0,1))</f>
        <v>0</v>
      </c>
      <c r="L1509" s="3">
        <f>IF(OR($L$1="",对接源_02物料!$C309="",对接源_02物料!$C309&lt;&gt;$L$1,对接源_02物料!$B309=""),0,IF(OR(N(对接源_02物料!$B309)&lt;$L$2,N(对接源_02物料!$B309)&gt;$L$3),0,1))</f>
        <v>0</v>
      </c>
      <c r="M1509" s="3">
        <f>IF(OR($M$1="",对接源_02物料!$C309="",对接源_02物料!$C309&lt;&gt;$M$1,对接源_02物料!$B309=""),0,IF(OR(N(对接源_02物料!$B309)&lt;$M$2,N(对接源_02物料!$B309)&gt;$M$3),0,1))</f>
        <v>0</v>
      </c>
      <c r="N1509" s="3">
        <f>IF(OR($N$1="",对接源_02物料!$C309="",对接源_02物料!$C309&lt;&gt;$N$1,对接源_02物料!$B309=""),0,IF(OR(N(对接源_02物料!$B309)&lt;$N$2,N(对接源_02物料!$B309)&gt;$N$3),0,1))</f>
        <v>0</v>
      </c>
      <c r="P1509" s="3">
        <f>IF(AND($K1509=1,AND(对接源_02物料!$X309="公司筐",N(对接源_02物料!$T309)&lt;&gt;0)),1,0)</f>
        <v>0</v>
      </c>
      <c r="Q1509" s="3">
        <f t="shared" si="403"/>
        <v>8</v>
      </c>
      <c r="R1509" s="3">
        <f>IF(AND($K1509=1,AND(对接源_02物料!$X309="公司筐",N(对接源_02物料!$U309)&lt;&gt;0)),1,0)</f>
        <v>0</v>
      </c>
      <c r="S1509" s="3">
        <f t="shared" si="404"/>
        <v>0</v>
      </c>
      <c r="T1509" s="3">
        <f>IF(AND($K1509=1,AND(对接源_02物料!$X309="公司筐",N(对接源_02物料!$V309)&lt;&gt;0)),1,0)</f>
        <v>0</v>
      </c>
      <c r="U1509" s="3">
        <f t="shared" si="405"/>
        <v>19</v>
      </c>
      <c r="V1509" s="3">
        <f>IF(AND($L1509=1,AND(对接源_02物料!$X309="自备筐",N(对接源_02物料!$V309)&lt;&gt;0)),1,0)</f>
        <v>0</v>
      </c>
      <c r="W1509" s="3">
        <f t="shared" si="406"/>
        <v>8</v>
      </c>
      <c r="X1509" s="3">
        <f>IF(AND($L1509=1,AND(对接源_02物料!$X309="自备筐",N(对接源_02物料!$T309)&lt;&gt;0)),1,0)</f>
        <v>0</v>
      </c>
      <c r="Y1509" s="3">
        <f t="shared" si="407"/>
        <v>0</v>
      </c>
      <c r="Z1509" s="3">
        <f>IF(AND($M1509=1,对接源_02物料!$D309="原料入库"),1,0)</f>
        <v>0</v>
      </c>
      <c r="AA1509" s="3">
        <f t="shared" si="408"/>
        <v>24</v>
      </c>
      <c r="AB1509" s="3">
        <f>IF(AND($M1509=1,LEFT(对接源_02物料!$D309,4)="原料出库"),1,0)</f>
        <v>0</v>
      </c>
      <c r="AC1509" s="3">
        <f t="shared" si="409"/>
        <v>0</v>
      </c>
      <c r="AD1509" s="3">
        <f>IF(AND($M1509=1,LEFT(对接源_02物料!$D309,4)="成品出库"),1,0)</f>
        <v>0</v>
      </c>
      <c r="AE1509" s="3">
        <f t="shared" si="410"/>
        <v>0</v>
      </c>
      <c r="AF1509" s="3">
        <f>IF(AND($N1509=1,AND(LEFT(对接源_02物料!$D309,4)="包装物料",N(对接源_02物料!$K309)&lt;&gt;0)),1,0)</f>
        <v>0</v>
      </c>
      <c r="AG1509" s="3">
        <f t="shared" si="411"/>
        <v>5</v>
      </c>
      <c r="AH1509" s="3">
        <f>IF(AND($N1509=1,AND(对接源_02物料!$D309="周转筐－销售出库",N(对接源_02物料!$K309)&lt;&gt;0)),1,0)</f>
        <v>0</v>
      </c>
      <c r="AI1509" s="3">
        <f t="shared" si="412"/>
        <v>0</v>
      </c>
      <c r="AL1509" s="3">
        <v>0</v>
      </c>
      <c r="AM1509" s="3">
        <f t="shared" si="413"/>
        <v>1</v>
      </c>
      <c r="AN1509" s="3" t="str">
        <f t="shared" si="400"/>
        <v/>
      </c>
      <c r="AO1509" s="3">
        <v>0</v>
      </c>
      <c r="AP1509" s="3">
        <f t="shared" si="414"/>
        <v>8</v>
      </c>
      <c r="AR1509">
        <f t="shared" si="415"/>
        <v>0</v>
      </c>
      <c r="AS1509">
        <f t="shared" si="416"/>
        <v>5</v>
      </c>
    </row>
    <row r="1510" customHeight="1" spans="1:45">
      <c r="A1510" s="3" t="str">
        <f>IF(对接源_02物料!$C310="","",对接源_02物料!$C310)</f>
        <v/>
      </c>
      <c r="B1510" s="3">
        <f t="shared" si="401"/>
        <v>0</v>
      </c>
      <c r="C1510" s="3">
        <f t="shared" si="402"/>
        <v>21</v>
      </c>
      <c r="K1510" s="3">
        <f>IF(OR($K$1="",对接源_02物料!$C310="",对接源_02物料!$C310&lt;&gt;$K$1,对接源_02物料!$B310=""),0,IF(OR(N(对接源_02物料!$B310)&lt;$K$2,N(对接源_02物料!$B310)&gt;$K$3),0,1))</f>
        <v>0</v>
      </c>
      <c r="L1510" s="3">
        <f>IF(OR($L$1="",对接源_02物料!$C310="",对接源_02物料!$C310&lt;&gt;$L$1,对接源_02物料!$B310=""),0,IF(OR(N(对接源_02物料!$B310)&lt;$L$2,N(对接源_02物料!$B310)&gt;$L$3),0,1))</f>
        <v>0</v>
      </c>
      <c r="M1510" s="3">
        <f>IF(OR($M$1="",对接源_02物料!$C310="",对接源_02物料!$C310&lt;&gt;$M$1,对接源_02物料!$B310=""),0,IF(OR(N(对接源_02物料!$B310)&lt;$M$2,N(对接源_02物料!$B310)&gt;$M$3),0,1))</f>
        <v>0</v>
      </c>
      <c r="N1510" s="3">
        <f>IF(OR($N$1="",对接源_02物料!$C310="",对接源_02物料!$C310&lt;&gt;$N$1,对接源_02物料!$B310=""),0,IF(OR(N(对接源_02物料!$B310)&lt;$N$2,N(对接源_02物料!$B310)&gt;$N$3),0,1))</f>
        <v>0</v>
      </c>
      <c r="P1510" s="3">
        <f>IF(AND($K1510=1,AND(对接源_02物料!$X310="公司筐",N(对接源_02物料!$T310)&lt;&gt;0)),1,0)</f>
        <v>0</v>
      </c>
      <c r="Q1510" s="3">
        <f t="shared" si="403"/>
        <v>8</v>
      </c>
      <c r="R1510" s="3">
        <f>IF(AND($K1510=1,AND(对接源_02物料!$X310="公司筐",N(对接源_02物料!$U310)&lt;&gt;0)),1,0)</f>
        <v>0</v>
      </c>
      <c r="S1510" s="3">
        <f t="shared" si="404"/>
        <v>0</v>
      </c>
      <c r="T1510" s="3">
        <f>IF(AND($K1510=1,AND(对接源_02物料!$X310="公司筐",N(对接源_02物料!$V310)&lt;&gt;0)),1,0)</f>
        <v>0</v>
      </c>
      <c r="U1510" s="3">
        <f t="shared" si="405"/>
        <v>19</v>
      </c>
      <c r="V1510" s="3">
        <f>IF(AND($L1510=1,AND(对接源_02物料!$X310="自备筐",N(对接源_02物料!$V310)&lt;&gt;0)),1,0)</f>
        <v>0</v>
      </c>
      <c r="W1510" s="3">
        <f t="shared" si="406"/>
        <v>8</v>
      </c>
      <c r="X1510" s="3">
        <f>IF(AND($L1510=1,AND(对接源_02物料!$X310="自备筐",N(对接源_02物料!$T310)&lt;&gt;0)),1,0)</f>
        <v>0</v>
      </c>
      <c r="Y1510" s="3">
        <f t="shared" si="407"/>
        <v>0</v>
      </c>
      <c r="Z1510" s="3">
        <f>IF(AND($M1510=1,对接源_02物料!$D310="原料入库"),1,0)</f>
        <v>0</v>
      </c>
      <c r="AA1510" s="3">
        <f t="shared" si="408"/>
        <v>24</v>
      </c>
      <c r="AB1510" s="3">
        <f>IF(AND($M1510=1,LEFT(对接源_02物料!$D310,4)="原料出库"),1,0)</f>
        <v>0</v>
      </c>
      <c r="AC1510" s="3">
        <f t="shared" si="409"/>
        <v>0</v>
      </c>
      <c r="AD1510" s="3">
        <f>IF(AND($M1510=1,LEFT(对接源_02物料!$D310,4)="成品出库"),1,0)</f>
        <v>0</v>
      </c>
      <c r="AE1510" s="3">
        <f t="shared" si="410"/>
        <v>0</v>
      </c>
      <c r="AF1510" s="3">
        <f>IF(AND($N1510=1,AND(LEFT(对接源_02物料!$D310,4)="包装物料",N(对接源_02物料!$K310)&lt;&gt;0)),1,0)</f>
        <v>0</v>
      </c>
      <c r="AG1510" s="3">
        <f t="shared" si="411"/>
        <v>5</v>
      </c>
      <c r="AH1510" s="3">
        <f>IF(AND($N1510=1,AND(对接源_02物料!$D310="周转筐－销售出库",N(对接源_02物料!$K310)&lt;&gt;0)),1,0)</f>
        <v>0</v>
      </c>
      <c r="AI1510" s="3">
        <f t="shared" si="412"/>
        <v>0</v>
      </c>
      <c r="AL1510" s="3">
        <v>0</v>
      </c>
      <c r="AM1510" s="3">
        <f t="shared" si="413"/>
        <v>1</v>
      </c>
      <c r="AN1510" s="3" t="str">
        <f t="shared" si="400"/>
        <v/>
      </c>
      <c r="AO1510" s="3">
        <v>0</v>
      </c>
      <c r="AP1510" s="3">
        <f t="shared" si="414"/>
        <v>8</v>
      </c>
      <c r="AR1510">
        <f t="shared" si="415"/>
        <v>0</v>
      </c>
      <c r="AS1510">
        <f t="shared" si="416"/>
        <v>5</v>
      </c>
    </row>
    <row r="1511" customHeight="1" spans="1:45">
      <c r="A1511" s="3" t="str">
        <f>IF(对接源_02物料!$C311="","",对接源_02物料!$C311)</f>
        <v/>
      </c>
      <c r="B1511" s="3">
        <f t="shared" si="401"/>
        <v>0</v>
      </c>
      <c r="C1511" s="3">
        <f t="shared" si="402"/>
        <v>21</v>
      </c>
      <c r="K1511" s="3">
        <f>IF(OR($K$1="",对接源_02物料!$C311="",对接源_02物料!$C311&lt;&gt;$K$1,对接源_02物料!$B311=""),0,IF(OR(N(对接源_02物料!$B311)&lt;$K$2,N(对接源_02物料!$B311)&gt;$K$3),0,1))</f>
        <v>0</v>
      </c>
      <c r="L1511" s="3">
        <f>IF(OR($L$1="",对接源_02物料!$C311="",对接源_02物料!$C311&lt;&gt;$L$1,对接源_02物料!$B311=""),0,IF(OR(N(对接源_02物料!$B311)&lt;$L$2,N(对接源_02物料!$B311)&gt;$L$3),0,1))</f>
        <v>0</v>
      </c>
      <c r="M1511" s="3">
        <f>IF(OR($M$1="",对接源_02物料!$C311="",对接源_02物料!$C311&lt;&gt;$M$1,对接源_02物料!$B311=""),0,IF(OR(N(对接源_02物料!$B311)&lt;$M$2,N(对接源_02物料!$B311)&gt;$M$3),0,1))</f>
        <v>0</v>
      </c>
      <c r="N1511" s="3">
        <f>IF(OR($N$1="",对接源_02物料!$C311="",对接源_02物料!$C311&lt;&gt;$N$1,对接源_02物料!$B311=""),0,IF(OR(N(对接源_02物料!$B311)&lt;$N$2,N(对接源_02物料!$B311)&gt;$N$3),0,1))</f>
        <v>0</v>
      </c>
      <c r="P1511" s="3">
        <f>IF(AND($K1511=1,AND(对接源_02物料!$X311="公司筐",N(对接源_02物料!$T311)&lt;&gt;0)),1,0)</f>
        <v>0</v>
      </c>
      <c r="Q1511" s="3">
        <f t="shared" si="403"/>
        <v>8</v>
      </c>
      <c r="R1511" s="3">
        <f>IF(AND($K1511=1,AND(对接源_02物料!$X311="公司筐",N(对接源_02物料!$U311)&lt;&gt;0)),1,0)</f>
        <v>0</v>
      </c>
      <c r="S1511" s="3">
        <f t="shared" si="404"/>
        <v>0</v>
      </c>
      <c r="T1511" s="3">
        <f>IF(AND($K1511=1,AND(对接源_02物料!$X311="公司筐",N(对接源_02物料!$V311)&lt;&gt;0)),1,0)</f>
        <v>0</v>
      </c>
      <c r="U1511" s="3">
        <f t="shared" si="405"/>
        <v>19</v>
      </c>
      <c r="V1511" s="3">
        <f>IF(AND($L1511=1,AND(对接源_02物料!$X311="自备筐",N(对接源_02物料!$V311)&lt;&gt;0)),1,0)</f>
        <v>0</v>
      </c>
      <c r="W1511" s="3">
        <f t="shared" si="406"/>
        <v>8</v>
      </c>
      <c r="X1511" s="3">
        <f>IF(AND($L1511=1,AND(对接源_02物料!$X311="自备筐",N(对接源_02物料!$T311)&lt;&gt;0)),1,0)</f>
        <v>0</v>
      </c>
      <c r="Y1511" s="3">
        <f t="shared" si="407"/>
        <v>0</v>
      </c>
      <c r="Z1511" s="3">
        <f>IF(AND($M1511=1,对接源_02物料!$D311="原料入库"),1,0)</f>
        <v>0</v>
      </c>
      <c r="AA1511" s="3">
        <f t="shared" si="408"/>
        <v>24</v>
      </c>
      <c r="AB1511" s="3">
        <f>IF(AND($M1511=1,LEFT(对接源_02物料!$D311,4)="原料出库"),1,0)</f>
        <v>0</v>
      </c>
      <c r="AC1511" s="3">
        <f t="shared" si="409"/>
        <v>0</v>
      </c>
      <c r="AD1511" s="3">
        <f>IF(AND($M1511=1,LEFT(对接源_02物料!$D311,4)="成品出库"),1,0)</f>
        <v>0</v>
      </c>
      <c r="AE1511" s="3">
        <f t="shared" si="410"/>
        <v>0</v>
      </c>
      <c r="AF1511" s="3">
        <f>IF(AND($N1511=1,AND(LEFT(对接源_02物料!$D311,4)="包装物料",N(对接源_02物料!$K311)&lt;&gt;0)),1,0)</f>
        <v>0</v>
      </c>
      <c r="AG1511" s="3">
        <f t="shared" si="411"/>
        <v>5</v>
      </c>
      <c r="AH1511" s="3">
        <f>IF(AND($N1511=1,AND(对接源_02物料!$D311="周转筐－销售出库",N(对接源_02物料!$K311)&lt;&gt;0)),1,0)</f>
        <v>0</v>
      </c>
      <c r="AI1511" s="3">
        <f t="shared" si="412"/>
        <v>0</v>
      </c>
      <c r="AL1511" s="3">
        <v>0</v>
      </c>
      <c r="AM1511" s="3">
        <f t="shared" si="413"/>
        <v>1</v>
      </c>
      <c r="AN1511" s="3" t="str">
        <f t="shared" si="400"/>
        <v/>
      </c>
      <c r="AO1511" s="3">
        <v>0</v>
      </c>
      <c r="AP1511" s="3">
        <f t="shared" si="414"/>
        <v>8</v>
      </c>
      <c r="AR1511">
        <f t="shared" si="415"/>
        <v>0</v>
      </c>
      <c r="AS1511">
        <f t="shared" si="416"/>
        <v>5</v>
      </c>
    </row>
    <row r="1512" customHeight="1" spans="1:45">
      <c r="A1512" s="3" t="str">
        <f>IF(对接源_02物料!$C312="","",对接源_02物料!$C312)</f>
        <v/>
      </c>
      <c r="B1512" s="3">
        <f t="shared" si="401"/>
        <v>0</v>
      </c>
      <c r="C1512" s="3">
        <f t="shared" si="402"/>
        <v>21</v>
      </c>
      <c r="K1512" s="3">
        <f>IF(OR($K$1="",对接源_02物料!$C312="",对接源_02物料!$C312&lt;&gt;$K$1,对接源_02物料!$B312=""),0,IF(OR(N(对接源_02物料!$B312)&lt;$K$2,N(对接源_02物料!$B312)&gt;$K$3),0,1))</f>
        <v>0</v>
      </c>
      <c r="L1512" s="3">
        <f>IF(OR($L$1="",对接源_02物料!$C312="",对接源_02物料!$C312&lt;&gt;$L$1,对接源_02物料!$B312=""),0,IF(OR(N(对接源_02物料!$B312)&lt;$L$2,N(对接源_02物料!$B312)&gt;$L$3),0,1))</f>
        <v>0</v>
      </c>
      <c r="M1512" s="3">
        <f>IF(OR($M$1="",对接源_02物料!$C312="",对接源_02物料!$C312&lt;&gt;$M$1,对接源_02物料!$B312=""),0,IF(OR(N(对接源_02物料!$B312)&lt;$M$2,N(对接源_02物料!$B312)&gt;$M$3),0,1))</f>
        <v>0</v>
      </c>
      <c r="N1512" s="3">
        <f>IF(OR($N$1="",对接源_02物料!$C312="",对接源_02物料!$C312&lt;&gt;$N$1,对接源_02物料!$B312=""),0,IF(OR(N(对接源_02物料!$B312)&lt;$N$2,N(对接源_02物料!$B312)&gt;$N$3),0,1))</f>
        <v>0</v>
      </c>
      <c r="P1512" s="3">
        <f>IF(AND($K1512=1,AND(对接源_02物料!$X312="公司筐",N(对接源_02物料!$T312)&lt;&gt;0)),1,0)</f>
        <v>0</v>
      </c>
      <c r="Q1512" s="3">
        <f t="shared" si="403"/>
        <v>8</v>
      </c>
      <c r="R1512" s="3">
        <f>IF(AND($K1512=1,AND(对接源_02物料!$X312="公司筐",N(对接源_02物料!$U312)&lt;&gt;0)),1,0)</f>
        <v>0</v>
      </c>
      <c r="S1512" s="3">
        <f t="shared" si="404"/>
        <v>0</v>
      </c>
      <c r="T1512" s="3">
        <f>IF(AND($K1512=1,AND(对接源_02物料!$X312="公司筐",N(对接源_02物料!$V312)&lt;&gt;0)),1,0)</f>
        <v>0</v>
      </c>
      <c r="U1512" s="3">
        <f t="shared" si="405"/>
        <v>19</v>
      </c>
      <c r="V1512" s="3">
        <f>IF(AND($L1512=1,AND(对接源_02物料!$X312="自备筐",N(对接源_02物料!$V312)&lt;&gt;0)),1,0)</f>
        <v>0</v>
      </c>
      <c r="W1512" s="3">
        <f t="shared" si="406"/>
        <v>8</v>
      </c>
      <c r="X1512" s="3">
        <f>IF(AND($L1512=1,AND(对接源_02物料!$X312="自备筐",N(对接源_02物料!$T312)&lt;&gt;0)),1,0)</f>
        <v>0</v>
      </c>
      <c r="Y1512" s="3">
        <f t="shared" si="407"/>
        <v>0</v>
      </c>
      <c r="Z1512" s="3">
        <f>IF(AND($M1512=1,对接源_02物料!$D312="原料入库"),1,0)</f>
        <v>0</v>
      </c>
      <c r="AA1512" s="3">
        <f t="shared" si="408"/>
        <v>24</v>
      </c>
      <c r="AB1512" s="3">
        <f>IF(AND($M1512=1,LEFT(对接源_02物料!$D312,4)="原料出库"),1,0)</f>
        <v>0</v>
      </c>
      <c r="AC1512" s="3">
        <f t="shared" si="409"/>
        <v>0</v>
      </c>
      <c r="AD1512" s="3">
        <f>IF(AND($M1512=1,LEFT(对接源_02物料!$D312,4)="成品出库"),1,0)</f>
        <v>0</v>
      </c>
      <c r="AE1512" s="3">
        <f t="shared" si="410"/>
        <v>0</v>
      </c>
      <c r="AF1512" s="3">
        <f>IF(AND($N1512=1,AND(LEFT(对接源_02物料!$D312,4)="包装物料",N(对接源_02物料!$K312)&lt;&gt;0)),1,0)</f>
        <v>0</v>
      </c>
      <c r="AG1512" s="3">
        <f t="shared" si="411"/>
        <v>5</v>
      </c>
      <c r="AH1512" s="3">
        <f>IF(AND($N1512=1,AND(对接源_02物料!$D312="周转筐－销售出库",N(对接源_02物料!$K312)&lt;&gt;0)),1,0)</f>
        <v>0</v>
      </c>
      <c r="AI1512" s="3">
        <f t="shared" si="412"/>
        <v>0</v>
      </c>
      <c r="AL1512" s="3">
        <v>0</v>
      </c>
      <c r="AM1512" s="3">
        <f t="shared" si="413"/>
        <v>1</v>
      </c>
      <c r="AN1512" s="3" t="str">
        <f t="shared" si="400"/>
        <v/>
      </c>
      <c r="AO1512" s="3">
        <v>0</v>
      </c>
      <c r="AP1512" s="3">
        <f t="shared" si="414"/>
        <v>8</v>
      </c>
      <c r="AR1512">
        <f t="shared" si="415"/>
        <v>0</v>
      </c>
      <c r="AS1512">
        <f t="shared" si="416"/>
        <v>5</v>
      </c>
    </row>
    <row r="1513" customHeight="1" spans="1:45">
      <c r="A1513" s="3" t="str">
        <f>IF(对接源_02物料!$C313="","",对接源_02物料!$C313)</f>
        <v/>
      </c>
      <c r="B1513" s="3">
        <f t="shared" si="401"/>
        <v>0</v>
      </c>
      <c r="C1513" s="3">
        <f t="shared" si="402"/>
        <v>21</v>
      </c>
      <c r="K1513" s="3">
        <f>IF(OR($K$1="",对接源_02物料!$C313="",对接源_02物料!$C313&lt;&gt;$K$1,对接源_02物料!$B313=""),0,IF(OR(N(对接源_02物料!$B313)&lt;$K$2,N(对接源_02物料!$B313)&gt;$K$3),0,1))</f>
        <v>0</v>
      </c>
      <c r="L1513" s="3">
        <f>IF(OR($L$1="",对接源_02物料!$C313="",对接源_02物料!$C313&lt;&gt;$L$1,对接源_02物料!$B313=""),0,IF(OR(N(对接源_02物料!$B313)&lt;$L$2,N(对接源_02物料!$B313)&gt;$L$3),0,1))</f>
        <v>0</v>
      </c>
      <c r="M1513" s="3">
        <f>IF(OR($M$1="",对接源_02物料!$C313="",对接源_02物料!$C313&lt;&gt;$M$1,对接源_02物料!$B313=""),0,IF(OR(N(对接源_02物料!$B313)&lt;$M$2,N(对接源_02物料!$B313)&gt;$M$3),0,1))</f>
        <v>0</v>
      </c>
      <c r="N1513" s="3">
        <f>IF(OR($N$1="",对接源_02物料!$C313="",对接源_02物料!$C313&lt;&gt;$N$1,对接源_02物料!$B313=""),0,IF(OR(N(对接源_02物料!$B313)&lt;$N$2,N(对接源_02物料!$B313)&gt;$N$3),0,1))</f>
        <v>0</v>
      </c>
      <c r="P1513" s="3">
        <f>IF(AND($K1513=1,AND(对接源_02物料!$X313="公司筐",N(对接源_02物料!$T313)&lt;&gt;0)),1,0)</f>
        <v>0</v>
      </c>
      <c r="Q1513" s="3">
        <f t="shared" si="403"/>
        <v>8</v>
      </c>
      <c r="R1513" s="3">
        <f>IF(AND($K1513=1,AND(对接源_02物料!$X313="公司筐",N(对接源_02物料!$U313)&lt;&gt;0)),1,0)</f>
        <v>0</v>
      </c>
      <c r="S1513" s="3">
        <f t="shared" si="404"/>
        <v>0</v>
      </c>
      <c r="T1513" s="3">
        <f>IF(AND($K1513=1,AND(对接源_02物料!$X313="公司筐",N(对接源_02物料!$V313)&lt;&gt;0)),1,0)</f>
        <v>0</v>
      </c>
      <c r="U1513" s="3">
        <f t="shared" si="405"/>
        <v>19</v>
      </c>
      <c r="V1513" s="3">
        <f>IF(AND($L1513=1,AND(对接源_02物料!$X313="自备筐",N(对接源_02物料!$V313)&lt;&gt;0)),1,0)</f>
        <v>0</v>
      </c>
      <c r="W1513" s="3">
        <f t="shared" si="406"/>
        <v>8</v>
      </c>
      <c r="X1513" s="3">
        <f>IF(AND($L1513=1,AND(对接源_02物料!$X313="自备筐",N(对接源_02物料!$T313)&lt;&gt;0)),1,0)</f>
        <v>0</v>
      </c>
      <c r="Y1513" s="3">
        <f t="shared" si="407"/>
        <v>0</v>
      </c>
      <c r="Z1513" s="3">
        <f>IF(AND($M1513=1,对接源_02物料!$D313="原料入库"),1,0)</f>
        <v>0</v>
      </c>
      <c r="AA1513" s="3">
        <f t="shared" si="408"/>
        <v>24</v>
      </c>
      <c r="AB1513" s="3">
        <f>IF(AND($M1513=1,LEFT(对接源_02物料!$D313,4)="原料出库"),1,0)</f>
        <v>0</v>
      </c>
      <c r="AC1513" s="3">
        <f t="shared" si="409"/>
        <v>0</v>
      </c>
      <c r="AD1513" s="3">
        <f>IF(AND($M1513=1,LEFT(对接源_02物料!$D313,4)="成品出库"),1,0)</f>
        <v>0</v>
      </c>
      <c r="AE1513" s="3">
        <f t="shared" si="410"/>
        <v>0</v>
      </c>
      <c r="AF1513" s="3">
        <f>IF(AND($N1513=1,AND(LEFT(对接源_02物料!$D313,4)="包装物料",N(对接源_02物料!$K313)&lt;&gt;0)),1,0)</f>
        <v>0</v>
      </c>
      <c r="AG1513" s="3">
        <f t="shared" si="411"/>
        <v>5</v>
      </c>
      <c r="AH1513" s="3">
        <f>IF(AND($N1513=1,AND(对接源_02物料!$D313="周转筐－销售出库",N(对接源_02物料!$K313)&lt;&gt;0)),1,0)</f>
        <v>0</v>
      </c>
      <c r="AI1513" s="3">
        <f t="shared" si="412"/>
        <v>0</v>
      </c>
      <c r="AL1513" s="3">
        <v>0</v>
      </c>
      <c r="AM1513" s="3">
        <f t="shared" si="413"/>
        <v>1</v>
      </c>
      <c r="AN1513" s="3" t="str">
        <f t="shared" si="400"/>
        <v/>
      </c>
      <c r="AO1513" s="3">
        <v>0</v>
      </c>
      <c r="AP1513" s="3">
        <f t="shared" si="414"/>
        <v>8</v>
      </c>
      <c r="AR1513">
        <f t="shared" si="415"/>
        <v>0</v>
      </c>
      <c r="AS1513">
        <f t="shared" si="416"/>
        <v>5</v>
      </c>
    </row>
    <row r="1514" customHeight="1" spans="1:45">
      <c r="A1514" s="3" t="str">
        <f>IF(对接源_02物料!$C314="","",对接源_02物料!$C314)</f>
        <v/>
      </c>
      <c r="B1514" s="3">
        <f t="shared" si="401"/>
        <v>0</v>
      </c>
      <c r="C1514" s="3">
        <f t="shared" si="402"/>
        <v>21</v>
      </c>
      <c r="K1514" s="3">
        <f>IF(OR($K$1="",对接源_02物料!$C314="",对接源_02物料!$C314&lt;&gt;$K$1,对接源_02物料!$B314=""),0,IF(OR(N(对接源_02物料!$B314)&lt;$K$2,N(对接源_02物料!$B314)&gt;$K$3),0,1))</f>
        <v>0</v>
      </c>
      <c r="L1514" s="3">
        <f>IF(OR($L$1="",对接源_02物料!$C314="",对接源_02物料!$C314&lt;&gt;$L$1,对接源_02物料!$B314=""),0,IF(OR(N(对接源_02物料!$B314)&lt;$L$2,N(对接源_02物料!$B314)&gt;$L$3),0,1))</f>
        <v>0</v>
      </c>
      <c r="M1514" s="3">
        <f>IF(OR($M$1="",对接源_02物料!$C314="",对接源_02物料!$C314&lt;&gt;$M$1,对接源_02物料!$B314=""),0,IF(OR(N(对接源_02物料!$B314)&lt;$M$2,N(对接源_02物料!$B314)&gt;$M$3),0,1))</f>
        <v>0</v>
      </c>
      <c r="N1514" s="3">
        <f>IF(OR($N$1="",对接源_02物料!$C314="",对接源_02物料!$C314&lt;&gt;$N$1,对接源_02物料!$B314=""),0,IF(OR(N(对接源_02物料!$B314)&lt;$N$2,N(对接源_02物料!$B314)&gt;$N$3),0,1))</f>
        <v>0</v>
      </c>
      <c r="P1514" s="3">
        <f>IF(AND($K1514=1,AND(对接源_02物料!$X314="公司筐",N(对接源_02物料!$T314)&lt;&gt;0)),1,0)</f>
        <v>0</v>
      </c>
      <c r="Q1514" s="3">
        <f t="shared" si="403"/>
        <v>8</v>
      </c>
      <c r="R1514" s="3">
        <f>IF(AND($K1514=1,AND(对接源_02物料!$X314="公司筐",N(对接源_02物料!$U314)&lt;&gt;0)),1,0)</f>
        <v>0</v>
      </c>
      <c r="S1514" s="3">
        <f t="shared" si="404"/>
        <v>0</v>
      </c>
      <c r="T1514" s="3">
        <f>IF(AND($K1514=1,AND(对接源_02物料!$X314="公司筐",N(对接源_02物料!$V314)&lt;&gt;0)),1,0)</f>
        <v>0</v>
      </c>
      <c r="U1514" s="3">
        <f t="shared" si="405"/>
        <v>19</v>
      </c>
      <c r="V1514" s="3">
        <f>IF(AND($L1514=1,AND(对接源_02物料!$X314="自备筐",N(对接源_02物料!$V314)&lt;&gt;0)),1,0)</f>
        <v>0</v>
      </c>
      <c r="W1514" s="3">
        <f t="shared" si="406"/>
        <v>8</v>
      </c>
      <c r="X1514" s="3">
        <f>IF(AND($L1514=1,AND(对接源_02物料!$X314="自备筐",N(对接源_02物料!$T314)&lt;&gt;0)),1,0)</f>
        <v>0</v>
      </c>
      <c r="Y1514" s="3">
        <f t="shared" si="407"/>
        <v>0</v>
      </c>
      <c r="Z1514" s="3">
        <f>IF(AND($M1514=1,对接源_02物料!$D314="原料入库"),1,0)</f>
        <v>0</v>
      </c>
      <c r="AA1514" s="3">
        <f t="shared" si="408"/>
        <v>24</v>
      </c>
      <c r="AB1514" s="3">
        <f>IF(AND($M1514=1,LEFT(对接源_02物料!$D314,4)="原料出库"),1,0)</f>
        <v>0</v>
      </c>
      <c r="AC1514" s="3">
        <f t="shared" si="409"/>
        <v>0</v>
      </c>
      <c r="AD1514" s="3">
        <f>IF(AND($M1514=1,LEFT(对接源_02物料!$D314,4)="成品出库"),1,0)</f>
        <v>0</v>
      </c>
      <c r="AE1514" s="3">
        <f t="shared" si="410"/>
        <v>0</v>
      </c>
      <c r="AF1514" s="3">
        <f>IF(AND($N1514=1,AND(LEFT(对接源_02物料!$D314,4)="包装物料",N(对接源_02物料!$K314)&lt;&gt;0)),1,0)</f>
        <v>0</v>
      </c>
      <c r="AG1514" s="3">
        <f t="shared" si="411"/>
        <v>5</v>
      </c>
      <c r="AH1514" s="3">
        <f>IF(AND($N1514=1,AND(对接源_02物料!$D314="周转筐－销售出库",N(对接源_02物料!$K314)&lt;&gt;0)),1,0)</f>
        <v>0</v>
      </c>
      <c r="AI1514" s="3">
        <f t="shared" si="412"/>
        <v>0</v>
      </c>
      <c r="AL1514" s="3">
        <v>0</v>
      </c>
      <c r="AM1514" s="3">
        <f t="shared" si="413"/>
        <v>1</v>
      </c>
      <c r="AN1514" s="3" t="str">
        <f t="shared" si="400"/>
        <v/>
      </c>
      <c r="AO1514" s="3">
        <v>0</v>
      </c>
      <c r="AP1514" s="3">
        <f t="shared" si="414"/>
        <v>8</v>
      </c>
      <c r="AR1514">
        <f t="shared" si="415"/>
        <v>0</v>
      </c>
      <c r="AS1514">
        <f t="shared" si="416"/>
        <v>5</v>
      </c>
    </row>
    <row r="1515" customHeight="1" spans="1:45">
      <c r="A1515" s="3" t="str">
        <f>IF(对接源_02物料!$C315="","",对接源_02物料!$C315)</f>
        <v/>
      </c>
      <c r="B1515" s="3">
        <f t="shared" si="401"/>
        <v>0</v>
      </c>
      <c r="C1515" s="3">
        <f t="shared" si="402"/>
        <v>21</v>
      </c>
      <c r="K1515" s="3">
        <f>IF(OR($K$1="",对接源_02物料!$C315="",对接源_02物料!$C315&lt;&gt;$K$1,对接源_02物料!$B315=""),0,IF(OR(N(对接源_02物料!$B315)&lt;$K$2,N(对接源_02物料!$B315)&gt;$K$3),0,1))</f>
        <v>0</v>
      </c>
      <c r="L1515" s="3">
        <f>IF(OR($L$1="",对接源_02物料!$C315="",对接源_02物料!$C315&lt;&gt;$L$1,对接源_02物料!$B315=""),0,IF(OR(N(对接源_02物料!$B315)&lt;$L$2,N(对接源_02物料!$B315)&gt;$L$3),0,1))</f>
        <v>0</v>
      </c>
      <c r="M1515" s="3">
        <f>IF(OR($M$1="",对接源_02物料!$C315="",对接源_02物料!$C315&lt;&gt;$M$1,对接源_02物料!$B315=""),0,IF(OR(N(对接源_02物料!$B315)&lt;$M$2,N(对接源_02物料!$B315)&gt;$M$3),0,1))</f>
        <v>0</v>
      </c>
      <c r="N1515" s="3">
        <f>IF(OR($N$1="",对接源_02物料!$C315="",对接源_02物料!$C315&lt;&gt;$N$1,对接源_02物料!$B315=""),0,IF(OR(N(对接源_02物料!$B315)&lt;$N$2,N(对接源_02物料!$B315)&gt;$N$3),0,1))</f>
        <v>0</v>
      </c>
      <c r="P1515" s="3">
        <f>IF(AND($K1515=1,AND(对接源_02物料!$X315="公司筐",N(对接源_02物料!$T315)&lt;&gt;0)),1,0)</f>
        <v>0</v>
      </c>
      <c r="Q1515" s="3">
        <f t="shared" si="403"/>
        <v>8</v>
      </c>
      <c r="R1515" s="3">
        <f>IF(AND($K1515=1,AND(对接源_02物料!$X315="公司筐",N(对接源_02物料!$U315)&lt;&gt;0)),1,0)</f>
        <v>0</v>
      </c>
      <c r="S1515" s="3">
        <f t="shared" si="404"/>
        <v>0</v>
      </c>
      <c r="T1515" s="3">
        <f>IF(AND($K1515=1,AND(对接源_02物料!$X315="公司筐",N(对接源_02物料!$V315)&lt;&gt;0)),1,0)</f>
        <v>0</v>
      </c>
      <c r="U1515" s="3">
        <f t="shared" si="405"/>
        <v>19</v>
      </c>
      <c r="V1515" s="3">
        <f>IF(AND($L1515=1,AND(对接源_02物料!$X315="自备筐",N(对接源_02物料!$V315)&lt;&gt;0)),1,0)</f>
        <v>0</v>
      </c>
      <c r="W1515" s="3">
        <f t="shared" si="406"/>
        <v>8</v>
      </c>
      <c r="X1515" s="3">
        <f>IF(AND($L1515=1,AND(对接源_02物料!$X315="自备筐",N(对接源_02物料!$T315)&lt;&gt;0)),1,0)</f>
        <v>0</v>
      </c>
      <c r="Y1515" s="3">
        <f t="shared" si="407"/>
        <v>0</v>
      </c>
      <c r="Z1515" s="3">
        <f>IF(AND($M1515=1,对接源_02物料!$D315="原料入库"),1,0)</f>
        <v>0</v>
      </c>
      <c r="AA1515" s="3">
        <f t="shared" si="408"/>
        <v>24</v>
      </c>
      <c r="AB1515" s="3">
        <f>IF(AND($M1515=1,LEFT(对接源_02物料!$D315,4)="原料出库"),1,0)</f>
        <v>0</v>
      </c>
      <c r="AC1515" s="3">
        <f t="shared" si="409"/>
        <v>0</v>
      </c>
      <c r="AD1515" s="3">
        <f>IF(AND($M1515=1,LEFT(对接源_02物料!$D315,4)="成品出库"),1,0)</f>
        <v>0</v>
      </c>
      <c r="AE1515" s="3">
        <f t="shared" si="410"/>
        <v>0</v>
      </c>
      <c r="AF1515" s="3">
        <f>IF(AND($N1515=1,AND(LEFT(对接源_02物料!$D315,4)="包装物料",N(对接源_02物料!$K315)&lt;&gt;0)),1,0)</f>
        <v>0</v>
      </c>
      <c r="AG1515" s="3">
        <f t="shared" si="411"/>
        <v>5</v>
      </c>
      <c r="AH1515" s="3">
        <f>IF(AND($N1515=1,AND(对接源_02物料!$D315="周转筐－销售出库",N(对接源_02物料!$K315)&lt;&gt;0)),1,0)</f>
        <v>0</v>
      </c>
      <c r="AI1515" s="3">
        <f t="shared" si="412"/>
        <v>0</v>
      </c>
      <c r="AL1515" s="3">
        <v>0</v>
      </c>
      <c r="AM1515" s="3">
        <f t="shared" si="413"/>
        <v>1</v>
      </c>
      <c r="AN1515" s="3" t="str">
        <f t="shared" si="400"/>
        <v/>
      </c>
      <c r="AO1515" s="3">
        <v>0</v>
      </c>
      <c r="AP1515" s="3">
        <f t="shared" si="414"/>
        <v>8</v>
      </c>
      <c r="AR1515">
        <f t="shared" si="415"/>
        <v>0</v>
      </c>
      <c r="AS1515">
        <f t="shared" si="416"/>
        <v>5</v>
      </c>
    </row>
    <row r="1516" customHeight="1" spans="1:45">
      <c r="A1516" s="3" t="str">
        <f>IF(对接源_02物料!$C316="","",对接源_02物料!$C316)</f>
        <v/>
      </c>
      <c r="B1516" s="3">
        <f t="shared" si="401"/>
        <v>0</v>
      </c>
      <c r="C1516" s="3">
        <f t="shared" si="402"/>
        <v>21</v>
      </c>
      <c r="K1516" s="3">
        <f>IF(OR($K$1="",对接源_02物料!$C316="",对接源_02物料!$C316&lt;&gt;$K$1,对接源_02物料!$B316=""),0,IF(OR(N(对接源_02物料!$B316)&lt;$K$2,N(对接源_02物料!$B316)&gt;$K$3),0,1))</f>
        <v>0</v>
      </c>
      <c r="L1516" s="3">
        <f>IF(OR($L$1="",对接源_02物料!$C316="",对接源_02物料!$C316&lt;&gt;$L$1,对接源_02物料!$B316=""),0,IF(OR(N(对接源_02物料!$B316)&lt;$L$2,N(对接源_02物料!$B316)&gt;$L$3),0,1))</f>
        <v>0</v>
      </c>
      <c r="M1516" s="3">
        <f>IF(OR($M$1="",对接源_02物料!$C316="",对接源_02物料!$C316&lt;&gt;$M$1,对接源_02物料!$B316=""),0,IF(OR(N(对接源_02物料!$B316)&lt;$M$2,N(对接源_02物料!$B316)&gt;$M$3),0,1))</f>
        <v>0</v>
      </c>
      <c r="N1516" s="3">
        <f>IF(OR($N$1="",对接源_02物料!$C316="",对接源_02物料!$C316&lt;&gt;$N$1,对接源_02物料!$B316=""),0,IF(OR(N(对接源_02物料!$B316)&lt;$N$2,N(对接源_02物料!$B316)&gt;$N$3),0,1))</f>
        <v>0</v>
      </c>
      <c r="P1516" s="3">
        <f>IF(AND($K1516=1,AND(对接源_02物料!$X316="公司筐",N(对接源_02物料!$T316)&lt;&gt;0)),1,0)</f>
        <v>0</v>
      </c>
      <c r="Q1516" s="3">
        <f t="shared" si="403"/>
        <v>8</v>
      </c>
      <c r="R1516" s="3">
        <f>IF(AND($K1516=1,AND(对接源_02物料!$X316="公司筐",N(对接源_02物料!$U316)&lt;&gt;0)),1,0)</f>
        <v>0</v>
      </c>
      <c r="S1516" s="3">
        <f t="shared" si="404"/>
        <v>0</v>
      </c>
      <c r="T1516" s="3">
        <f>IF(AND($K1516=1,AND(对接源_02物料!$X316="公司筐",N(对接源_02物料!$V316)&lt;&gt;0)),1,0)</f>
        <v>0</v>
      </c>
      <c r="U1516" s="3">
        <f t="shared" si="405"/>
        <v>19</v>
      </c>
      <c r="V1516" s="3">
        <f>IF(AND($L1516=1,AND(对接源_02物料!$X316="自备筐",N(对接源_02物料!$V316)&lt;&gt;0)),1,0)</f>
        <v>0</v>
      </c>
      <c r="W1516" s="3">
        <f t="shared" si="406"/>
        <v>8</v>
      </c>
      <c r="X1516" s="3">
        <f>IF(AND($L1516=1,AND(对接源_02物料!$X316="自备筐",N(对接源_02物料!$T316)&lt;&gt;0)),1,0)</f>
        <v>0</v>
      </c>
      <c r="Y1516" s="3">
        <f t="shared" si="407"/>
        <v>0</v>
      </c>
      <c r="Z1516" s="3">
        <f>IF(AND($M1516=1,对接源_02物料!$D316="原料入库"),1,0)</f>
        <v>0</v>
      </c>
      <c r="AA1516" s="3">
        <f t="shared" si="408"/>
        <v>24</v>
      </c>
      <c r="AB1516" s="3">
        <f>IF(AND($M1516=1,LEFT(对接源_02物料!$D316,4)="原料出库"),1,0)</f>
        <v>0</v>
      </c>
      <c r="AC1516" s="3">
        <f t="shared" si="409"/>
        <v>0</v>
      </c>
      <c r="AD1516" s="3">
        <f>IF(AND($M1516=1,LEFT(对接源_02物料!$D316,4)="成品出库"),1,0)</f>
        <v>0</v>
      </c>
      <c r="AE1516" s="3">
        <f t="shared" si="410"/>
        <v>0</v>
      </c>
      <c r="AF1516" s="3">
        <f>IF(AND($N1516=1,AND(LEFT(对接源_02物料!$D316,4)="包装物料",N(对接源_02物料!$K316)&lt;&gt;0)),1,0)</f>
        <v>0</v>
      </c>
      <c r="AG1516" s="3">
        <f t="shared" si="411"/>
        <v>5</v>
      </c>
      <c r="AH1516" s="3">
        <f>IF(AND($N1516=1,AND(对接源_02物料!$D316="周转筐－销售出库",N(对接源_02物料!$K316)&lt;&gt;0)),1,0)</f>
        <v>0</v>
      </c>
      <c r="AI1516" s="3">
        <f t="shared" si="412"/>
        <v>0</v>
      </c>
      <c r="AL1516" s="3">
        <v>0</v>
      </c>
      <c r="AM1516" s="3">
        <f t="shared" si="413"/>
        <v>1</v>
      </c>
      <c r="AN1516" s="3" t="str">
        <f t="shared" si="400"/>
        <v/>
      </c>
      <c r="AO1516" s="3">
        <v>0</v>
      </c>
      <c r="AP1516" s="3">
        <f t="shared" si="414"/>
        <v>8</v>
      </c>
      <c r="AR1516">
        <f t="shared" si="415"/>
        <v>0</v>
      </c>
      <c r="AS1516">
        <f t="shared" si="416"/>
        <v>5</v>
      </c>
    </row>
    <row r="1517" customHeight="1" spans="1:45">
      <c r="A1517" s="3" t="str">
        <f>IF(对接源_02物料!$C317="","",对接源_02物料!$C317)</f>
        <v/>
      </c>
      <c r="B1517" s="3">
        <f t="shared" si="401"/>
        <v>0</v>
      </c>
      <c r="C1517" s="3">
        <f t="shared" si="402"/>
        <v>21</v>
      </c>
      <c r="K1517" s="3">
        <f>IF(OR($K$1="",对接源_02物料!$C317="",对接源_02物料!$C317&lt;&gt;$K$1,对接源_02物料!$B317=""),0,IF(OR(N(对接源_02物料!$B317)&lt;$K$2,N(对接源_02物料!$B317)&gt;$K$3),0,1))</f>
        <v>0</v>
      </c>
      <c r="L1517" s="3">
        <f>IF(OR($L$1="",对接源_02物料!$C317="",对接源_02物料!$C317&lt;&gt;$L$1,对接源_02物料!$B317=""),0,IF(OR(N(对接源_02物料!$B317)&lt;$L$2,N(对接源_02物料!$B317)&gt;$L$3),0,1))</f>
        <v>0</v>
      </c>
      <c r="M1517" s="3">
        <f>IF(OR($M$1="",对接源_02物料!$C317="",对接源_02物料!$C317&lt;&gt;$M$1,对接源_02物料!$B317=""),0,IF(OR(N(对接源_02物料!$B317)&lt;$M$2,N(对接源_02物料!$B317)&gt;$M$3),0,1))</f>
        <v>0</v>
      </c>
      <c r="N1517" s="3">
        <f>IF(OR($N$1="",对接源_02物料!$C317="",对接源_02物料!$C317&lt;&gt;$N$1,对接源_02物料!$B317=""),0,IF(OR(N(对接源_02物料!$B317)&lt;$N$2,N(对接源_02物料!$B317)&gt;$N$3),0,1))</f>
        <v>0</v>
      </c>
      <c r="P1517" s="3">
        <f>IF(AND($K1517=1,AND(对接源_02物料!$X317="公司筐",N(对接源_02物料!$T317)&lt;&gt;0)),1,0)</f>
        <v>0</v>
      </c>
      <c r="Q1517" s="3">
        <f t="shared" si="403"/>
        <v>8</v>
      </c>
      <c r="R1517" s="3">
        <f>IF(AND($K1517=1,AND(对接源_02物料!$X317="公司筐",N(对接源_02物料!$U317)&lt;&gt;0)),1,0)</f>
        <v>0</v>
      </c>
      <c r="S1517" s="3">
        <f t="shared" si="404"/>
        <v>0</v>
      </c>
      <c r="T1517" s="3">
        <f>IF(AND($K1517=1,AND(对接源_02物料!$X317="公司筐",N(对接源_02物料!$V317)&lt;&gt;0)),1,0)</f>
        <v>0</v>
      </c>
      <c r="U1517" s="3">
        <f t="shared" si="405"/>
        <v>19</v>
      </c>
      <c r="V1517" s="3">
        <f>IF(AND($L1517=1,AND(对接源_02物料!$X317="自备筐",N(对接源_02物料!$V317)&lt;&gt;0)),1,0)</f>
        <v>0</v>
      </c>
      <c r="W1517" s="3">
        <f t="shared" si="406"/>
        <v>8</v>
      </c>
      <c r="X1517" s="3">
        <f>IF(AND($L1517=1,AND(对接源_02物料!$X317="自备筐",N(对接源_02物料!$T317)&lt;&gt;0)),1,0)</f>
        <v>0</v>
      </c>
      <c r="Y1517" s="3">
        <f t="shared" si="407"/>
        <v>0</v>
      </c>
      <c r="Z1517" s="3">
        <f>IF(AND($M1517=1,对接源_02物料!$D317="原料入库"),1,0)</f>
        <v>0</v>
      </c>
      <c r="AA1517" s="3">
        <f t="shared" si="408"/>
        <v>24</v>
      </c>
      <c r="AB1517" s="3">
        <f>IF(AND($M1517=1,LEFT(对接源_02物料!$D317,4)="原料出库"),1,0)</f>
        <v>0</v>
      </c>
      <c r="AC1517" s="3">
        <f t="shared" si="409"/>
        <v>0</v>
      </c>
      <c r="AD1517" s="3">
        <f>IF(AND($M1517=1,LEFT(对接源_02物料!$D317,4)="成品出库"),1,0)</f>
        <v>0</v>
      </c>
      <c r="AE1517" s="3">
        <f t="shared" si="410"/>
        <v>0</v>
      </c>
      <c r="AF1517" s="3">
        <f>IF(AND($N1517=1,AND(LEFT(对接源_02物料!$D317,4)="包装物料",N(对接源_02物料!$K317)&lt;&gt;0)),1,0)</f>
        <v>0</v>
      </c>
      <c r="AG1517" s="3">
        <f t="shared" si="411"/>
        <v>5</v>
      </c>
      <c r="AH1517" s="3">
        <f>IF(AND($N1517=1,AND(对接源_02物料!$D317="周转筐－销售出库",N(对接源_02物料!$K317)&lt;&gt;0)),1,0)</f>
        <v>0</v>
      </c>
      <c r="AI1517" s="3">
        <f t="shared" si="412"/>
        <v>0</v>
      </c>
      <c r="AL1517" s="3">
        <v>0</v>
      </c>
      <c r="AM1517" s="3">
        <f t="shared" si="413"/>
        <v>1</v>
      </c>
      <c r="AN1517" s="3" t="str">
        <f t="shared" si="400"/>
        <v/>
      </c>
      <c r="AO1517" s="3">
        <v>0</v>
      </c>
      <c r="AP1517" s="3">
        <f t="shared" si="414"/>
        <v>8</v>
      </c>
      <c r="AR1517">
        <f t="shared" si="415"/>
        <v>0</v>
      </c>
      <c r="AS1517">
        <f t="shared" si="416"/>
        <v>5</v>
      </c>
    </row>
    <row r="1518" customHeight="1" spans="1:45">
      <c r="A1518" s="3" t="str">
        <f>IF(对接源_02物料!$C318="","",对接源_02物料!$C318)</f>
        <v/>
      </c>
      <c r="B1518" s="3">
        <f t="shared" si="401"/>
        <v>0</v>
      </c>
      <c r="C1518" s="3">
        <f t="shared" si="402"/>
        <v>21</v>
      </c>
      <c r="K1518" s="3">
        <f>IF(OR($K$1="",对接源_02物料!$C318="",对接源_02物料!$C318&lt;&gt;$K$1,对接源_02物料!$B318=""),0,IF(OR(N(对接源_02物料!$B318)&lt;$K$2,N(对接源_02物料!$B318)&gt;$K$3),0,1))</f>
        <v>0</v>
      </c>
      <c r="L1518" s="3">
        <f>IF(OR($L$1="",对接源_02物料!$C318="",对接源_02物料!$C318&lt;&gt;$L$1,对接源_02物料!$B318=""),0,IF(OR(N(对接源_02物料!$B318)&lt;$L$2,N(对接源_02物料!$B318)&gt;$L$3),0,1))</f>
        <v>0</v>
      </c>
      <c r="M1518" s="3">
        <f>IF(OR($M$1="",对接源_02物料!$C318="",对接源_02物料!$C318&lt;&gt;$M$1,对接源_02物料!$B318=""),0,IF(OR(N(对接源_02物料!$B318)&lt;$M$2,N(对接源_02物料!$B318)&gt;$M$3),0,1))</f>
        <v>0</v>
      </c>
      <c r="N1518" s="3">
        <f>IF(OR($N$1="",对接源_02物料!$C318="",对接源_02物料!$C318&lt;&gt;$N$1,对接源_02物料!$B318=""),0,IF(OR(N(对接源_02物料!$B318)&lt;$N$2,N(对接源_02物料!$B318)&gt;$N$3),0,1))</f>
        <v>0</v>
      </c>
      <c r="P1518" s="3">
        <f>IF(AND($K1518=1,AND(对接源_02物料!$X318="公司筐",N(对接源_02物料!$T318)&lt;&gt;0)),1,0)</f>
        <v>0</v>
      </c>
      <c r="Q1518" s="3">
        <f t="shared" si="403"/>
        <v>8</v>
      </c>
      <c r="R1518" s="3">
        <f>IF(AND($K1518=1,AND(对接源_02物料!$X318="公司筐",N(对接源_02物料!$U318)&lt;&gt;0)),1,0)</f>
        <v>0</v>
      </c>
      <c r="S1518" s="3">
        <f t="shared" si="404"/>
        <v>0</v>
      </c>
      <c r="T1518" s="3">
        <f>IF(AND($K1518=1,AND(对接源_02物料!$X318="公司筐",N(对接源_02物料!$V318)&lt;&gt;0)),1,0)</f>
        <v>0</v>
      </c>
      <c r="U1518" s="3">
        <f t="shared" si="405"/>
        <v>19</v>
      </c>
      <c r="V1518" s="3">
        <f>IF(AND($L1518=1,AND(对接源_02物料!$X318="自备筐",N(对接源_02物料!$V318)&lt;&gt;0)),1,0)</f>
        <v>0</v>
      </c>
      <c r="W1518" s="3">
        <f t="shared" si="406"/>
        <v>8</v>
      </c>
      <c r="X1518" s="3">
        <f>IF(AND($L1518=1,AND(对接源_02物料!$X318="自备筐",N(对接源_02物料!$T318)&lt;&gt;0)),1,0)</f>
        <v>0</v>
      </c>
      <c r="Y1518" s="3">
        <f t="shared" si="407"/>
        <v>0</v>
      </c>
      <c r="Z1518" s="3">
        <f>IF(AND($M1518=1,对接源_02物料!$D318="原料入库"),1,0)</f>
        <v>0</v>
      </c>
      <c r="AA1518" s="3">
        <f t="shared" si="408"/>
        <v>24</v>
      </c>
      <c r="AB1518" s="3">
        <f>IF(AND($M1518=1,LEFT(对接源_02物料!$D318,4)="原料出库"),1,0)</f>
        <v>0</v>
      </c>
      <c r="AC1518" s="3">
        <f t="shared" si="409"/>
        <v>0</v>
      </c>
      <c r="AD1518" s="3">
        <f>IF(AND($M1518=1,LEFT(对接源_02物料!$D318,4)="成品出库"),1,0)</f>
        <v>0</v>
      </c>
      <c r="AE1518" s="3">
        <f t="shared" si="410"/>
        <v>0</v>
      </c>
      <c r="AF1518" s="3">
        <f>IF(AND($N1518=1,AND(LEFT(对接源_02物料!$D318,4)="包装物料",N(对接源_02物料!$K318)&lt;&gt;0)),1,0)</f>
        <v>0</v>
      </c>
      <c r="AG1518" s="3">
        <f t="shared" si="411"/>
        <v>5</v>
      </c>
      <c r="AH1518" s="3">
        <f>IF(AND($N1518=1,AND(对接源_02物料!$D318="周转筐－销售出库",N(对接源_02物料!$K318)&lt;&gt;0)),1,0)</f>
        <v>0</v>
      </c>
      <c r="AI1518" s="3">
        <f t="shared" si="412"/>
        <v>0</v>
      </c>
      <c r="AL1518" s="3">
        <v>0</v>
      </c>
      <c r="AM1518" s="3">
        <f t="shared" si="413"/>
        <v>1</v>
      </c>
      <c r="AN1518" s="3" t="str">
        <f t="shared" si="400"/>
        <v/>
      </c>
      <c r="AO1518" s="3">
        <v>0</v>
      </c>
      <c r="AP1518" s="3">
        <f t="shared" si="414"/>
        <v>8</v>
      </c>
      <c r="AR1518">
        <f t="shared" si="415"/>
        <v>0</v>
      </c>
      <c r="AS1518">
        <f t="shared" si="416"/>
        <v>5</v>
      </c>
    </row>
    <row r="1519" customHeight="1" spans="1:45">
      <c r="A1519" s="3" t="str">
        <f>IF(对接源_02物料!$C319="","",对接源_02物料!$C319)</f>
        <v/>
      </c>
      <c r="B1519" s="3">
        <f t="shared" si="401"/>
        <v>0</v>
      </c>
      <c r="C1519" s="3">
        <f t="shared" si="402"/>
        <v>21</v>
      </c>
      <c r="K1519" s="3">
        <f>IF(OR($K$1="",对接源_02物料!$C319="",对接源_02物料!$C319&lt;&gt;$K$1,对接源_02物料!$B319=""),0,IF(OR(N(对接源_02物料!$B319)&lt;$K$2,N(对接源_02物料!$B319)&gt;$K$3),0,1))</f>
        <v>0</v>
      </c>
      <c r="L1519" s="3">
        <f>IF(OR($L$1="",对接源_02物料!$C319="",对接源_02物料!$C319&lt;&gt;$L$1,对接源_02物料!$B319=""),0,IF(OR(N(对接源_02物料!$B319)&lt;$L$2,N(对接源_02物料!$B319)&gt;$L$3),0,1))</f>
        <v>0</v>
      </c>
      <c r="M1519" s="3">
        <f>IF(OR($M$1="",对接源_02物料!$C319="",对接源_02物料!$C319&lt;&gt;$M$1,对接源_02物料!$B319=""),0,IF(OR(N(对接源_02物料!$B319)&lt;$M$2,N(对接源_02物料!$B319)&gt;$M$3),0,1))</f>
        <v>0</v>
      </c>
      <c r="N1519" s="3">
        <f>IF(OR($N$1="",对接源_02物料!$C319="",对接源_02物料!$C319&lt;&gt;$N$1,对接源_02物料!$B319=""),0,IF(OR(N(对接源_02物料!$B319)&lt;$N$2,N(对接源_02物料!$B319)&gt;$N$3),0,1))</f>
        <v>0</v>
      </c>
      <c r="P1519" s="3">
        <f>IF(AND($K1519=1,AND(对接源_02物料!$X319="公司筐",N(对接源_02物料!$T319)&lt;&gt;0)),1,0)</f>
        <v>0</v>
      </c>
      <c r="Q1519" s="3">
        <f t="shared" si="403"/>
        <v>8</v>
      </c>
      <c r="R1519" s="3">
        <f>IF(AND($K1519=1,AND(对接源_02物料!$X319="公司筐",N(对接源_02物料!$U319)&lt;&gt;0)),1,0)</f>
        <v>0</v>
      </c>
      <c r="S1519" s="3">
        <f t="shared" si="404"/>
        <v>0</v>
      </c>
      <c r="T1519" s="3">
        <f>IF(AND($K1519=1,AND(对接源_02物料!$X319="公司筐",N(对接源_02物料!$V319)&lt;&gt;0)),1,0)</f>
        <v>0</v>
      </c>
      <c r="U1519" s="3">
        <f t="shared" si="405"/>
        <v>19</v>
      </c>
      <c r="V1519" s="3">
        <f>IF(AND($L1519=1,AND(对接源_02物料!$X319="自备筐",N(对接源_02物料!$V319)&lt;&gt;0)),1,0)</f>
        <v>0</v>
      </c>
      <c r="W1519" s="3">
        <f t="shared" si="406"/>
        <v>8</v>
      </c>
      <c r="X1519" s="3">
        <f>IF(AND($L1519=1,AND(对接源_02物料!$X319="自备筐",N(对接源_02物料!$T319)&lt;&gt;0)),1,0)</f>
        <v>0</v>
      </c>
      <c r="Y1519" s="3">
        <f t="shared" si="407"/>
        <v>0</v>
      </c>
      <c r="Z1519" s="3">
        <f>IF(AND($M1519=1,对接源_02物料!$D319="原料入库"),1,0)</f>
        <v>0</v>
      </c>
      <c r="AA1519" s="3">
        <f t="shared" si="408"/>
        <v>24</v>
      </c>
      <c r="AB1519" s="3">
        <f>IF(AND($M1519=1,LEFT(对接源_02物料!$D319,4)="原料出库"),1,0)</f>
        <v>0</v>
      </c>
      <c r="AC1519" s="3">
        <f t="shared" si="409"/>
        <v>0</v>
      </c>
      <c r="AD1519" s="3">
        <f>IF(AND($M1519=1,LEFT(对接源_02物料!$D319,4)="成品出库"),1,0)</f>
        <v>0</v>
      </c>
      <c r="AE1519" s="3">
        <f t="shared" si="410"/>
        <v>0</v>
      </c>
      <c r="AF1519" s="3">
        <f>IF(AND($N1519=1,AND(LEFT(对接源_02物料!$D319,4)="包装物料",N(对接源_02物料!$K319)&lt;&gt;0)),1,0)</f>
        <v>0</v>
      </c>
      <c r="AG1519" s="3">
        <f t="shared" si="411"/>
        <v>5</v>
      </c>
      <c r="AH1519" s="3">
        <f>IF(AND($N1519=1,AND(对接源_02物料!$D319="周转筐－销售出库",N(对接源_02物料!$K319)&lt;&gt;0)),1,0)</f>
        <v>0</v>
      </c>
      <c r="AI1519" s="3">
        <f t="shared" si="412"/>
        <v>0</v>
      </c>
      <c r="AL1519" s="3">
        <v>0</v>
      </c>
      <c r="AM1519" s="3">
        <f t="shared" si="413"/>
        <v>1</v>
      </c>
      <c r="AN1519" s="3" t="str">
        <f t="shared" si="400"/>
        <v/>
      </c>
      <c r="AO1519" s="3">
        <v>0</v>
      </c>
      <c r="AP1519" s="3">
        <f t="shared" si="414"/>
        <v>8</v>
      </c>
      <c r="AR1519">
        <f t="shared" si="415"/>
        <v>0</v>
      </c>
      <c r="AS1519">
        <f t="shared" si="416"/>
        <v>5</v>
      </c>
    </row>
    <row r="1520" customHeight="1" spans="1:45">
      <c r="A1520" s="3" t="str">
        <f>IF(对接源_02物料!$C320="","",对接源_02物料!$C320)</f>
        <v/>
      </c>
      <c r="B1520" s="3">
        <f t="shared" si="401"/>
        <v>0</v>
      </c>
      <c r="C1520" s="3">
        <f t="shared" si="402"/>
        <v>21</v>
      </c>
      <c r="K1520" s="3">
        <f>IF(OR($K$1="",对接源_02物料!$C320="",对接源_02物料!$C320&lt;&gt;$K$1,对接源_02物料!$B320=""),0,IF(OR(N(对接源_02物料!$B320)&lt;$K$2,N(对接源_02物料!$B320)&gt;$K$3),0,1))</f>
        <v>0</v>
      </c>
      <c r="L1520" s="3">
        <f>IF(OR($L$1="",对接源_02物料!$C320="",对接源_02物料!$C320&lt;&gt;$L$1,对接源_02物料!$B320=""),0,IF(OR(N(对接源_02物料!$B320)&lt;$L$2,N(对接源_02物料!$B320)&gt;$L$3),0,1))</f>
        <v>0</v>
      </c>
      <c r="M1520" s="3">
        <f>IF(OR($M$1="",对接源_02物料!$C320="",对接源_02物料!$C320&lt;&gt;$M$1,对接源_02物料!$B320=""),0,IF(OR(N(对接源_02物料!$B320)&lt;$M$2,N(对接源_02物料!$B320)&gt;$M$3),0,1))</f>
        <v>0</v>
      </c>
      <c r="N1520" s="3">
        <f>IF(OR($N$1="",对接源_02物料!$C320="",对接源_02物料!$C320&lt;&gt;$N$1,对接源_02物料!$B320=""),0,IF(OR(N(对接源_02物料!$B320)&lt;$N$2,N(对接源_02物料!$B320)&gt;$N$3),0,1))</f>
        <v>0</v>
      </c>
      <c r="P1520" s="3">
        <f>IF(AND($K1520=1,AND(对接源_02物料!$X320="公司筐",N(对接源_02物料!$T320)&lt;&gt;0)),1,0)</f>
        <v>0</v>
      </c>
      <c r="Q1520" s="3">
        <f t="shared" si="403"/>
        <v>8</v>
      </c>
      <c r="R1520" s="3">
        <f>IF(AND($K1520=1,AND(对接源_02物料!$X320="公司筐",N(对接源_02物料!$U320)&lt;&gt;0)),1,0)</f>
        <v>0</v>
      </c>
      <c r="S1520" s="3">
        <f t="shared" si="404"/>
        <v>0</v>
      </c>
      <c r="T1520" s="3">
        <f>IF(AND($K1520=1,AND(对接源_02物料!$X320="公司筐",N(对接源_02物料!$V320)&lt;&gt;0)),1,0)</f>
        <v>0</v>
      </c>
      <c r="U1520" s="3">
        <f t="shared" si="405"/>
        <v>19</v>
      </c>
      <c r="V1520" s="3">
        <f>IF(AND($L1520=1,AND(对接源_02物料!$X320="自备筐",N(对接源_02物料!$V320)&lt;&gt;0)),1,0)</f>
        <v>0</v>
      </c>
      <c r="W1520" s="3">
        <f t="shared" si="406"/>
        <v>8</v>
      </c>
      <c r="X1520" s="3">
        <f>IF(AND($L1520=1,AND(对接源_02物料!$X320="自备筐",N(对接源_02物料!$T320)&lt;&gt;0)),1,0)</f>
        <v>0</v>
      </c>
      <c r="Y1520" s="3">
        <f t="shared" si="407"/>
        <v>0</v>
      </c>
      <c r="Z1520" s="3">
        <f>IF(AND($M1520=1,对接源_02物料!$D320="原料入库"),1,0)</f>
        <v>0</v>
      </c>
      <c r="AA1520" s="3">
        <f t="shared" si="408"/>
        <v>24</v>
      </c>
      <c r="AB1520" s="3">
        <f>IF(AND($M1520=1,LEFT(对接源_02物料!$D320,4)="原料出库"),1,0)</f>
        <v>0</v>
      </c>
      <c r="AC1520" s="3">
        <f t="shared" si="409"/>
        <v>0</v>
      </c>
      <c r="AD1520" s="3">
        <f>IF(AND($M1520=1,LEFT(对接源_02物料!$D320,4)="成品出库"),1,0)</f>
        <v>0</v>
      </c>
      <c r="AE1520" s="3">
        <f t="shared" si="410"/>
        <v>0</v>
      </c>
      <c r="AF1520" s="3">
        <f>IF(AND($N1520=1,AND(LEFT(对接源_02物料!$D320,4)="包装物料",N(对接源_02物料!$K320)&lt;&gt;0)),1,0)</f>
        <v>0</v>
      </c>
      <c r="AG1520" s="3">
        <f t="shared" si="411"/>
        <v>5</v>
      </c>
      <c r="AH1520" s="3">
        <f>IF(AND($N1520=1,AND(对接源_02物料!$D320="周转筐－销售出库",N(对接源_02物料!$K320)&lt;&gt;0)),1,0)</f>
        <v>0</v>
      </c>
      <c r="AI1520" s="3">
        <f t="shared" si="412"/>
        <v>0</v>
      </c>
      <c r="AL1520" s="3">
        <v>0</v>
      </c>
      <c r="AM1520" s="3">
        <f t="shared" si="413"/>
        <v>1</v>
      </c>
      <c r="AN1520" s="3" t="str">
        <f t="shared" si="400"/>
        <v/>
      </c>
      <c r="AO1520" s="3">
        <v>0</v>
      </c>
      <c r="AP1520" s="3">
        <f t="shared" si="414"/>
        <v>8</v>
      </c>
      <c r="AR1520">
        <f t="shared" si="415"/>
        <v>0</v>
      </c>
      <c r="AS1520">
        <f t="shared" si="416"/>
        <v>5</v>
      </c>
    </row>
    <row r="1521" customHeight="1" spans="1:45">
      <c r="A1521" s="3" t="str">
        <f>IF(对接源_02物料!$C321="","",对接源_02物料!$C321)</f>
        <v/>
      </c>
      <c r="B1521" s="3">
        <f t="shared" si="401"/>
        <v>0</v>
      </c>
      <c r="C1521" s="3">
        <f t="shared" si="402"/>
        <v>21</v>
      </c>
      <c r="K1521" s="3">
        <f>IF(OR($K$1="",对接源_02物料!$C321="",对接源_02物料!$C321&lt;&gt;$K$1,对接源_02物料!$B321=""),0,IF(OR(N(对接源_02物料!$B321)&lt;$K$2,N(对接源_02物料!$B321)&gt;$K$3),0,1))</f>
        <v>0</v>
      </c>
      <c r="L1521" s="3">
        <f>IF(OR($L$1="",对接源_02物料!$C321="",对接源_02物料!$C321&lt;&gt;$L$1,对接源_02物料!$B321=""),0,IF(OR(N(对接源_02物料!$B321)&lt;$L$2,N(对接源_02物料!$B321)&gt;$L$3),0,1))</f>
        <v>0</v>
      </c>
      <c r="M1521" s="3">
        <f>IF(OR($M$1="",对接源_02物料!$C321="",对接源_02物料!$C321&lt;&gt;$M$1,对接源_02物料!$B321=""),0,IF(OR(N(对接源_02物料!$B321)&lt;$M$2,N(对接源_02物料!$B321)&gt;$M$3),0,1))</f>
        <v>0</v>
      </c>
      <c r="N1521" s="3">
        <f>IF(OR($N$1="",对接源_02物料!$C321="",对接源_02物料!$C321&lt;&gt;$N$1,对接源_02物料!$B321=""),0,IF(OR(N(对接源_02物料!$B321)&lt;$N$2,N(对接源_02物料!$B321)&gt;$N$3),0,1))</f>
        <v>0</v>
      </c>
      <c r="P1521" s="3">
        <f>IF(AND($K1521=1,AND(对接源_02物料!$X321="公司筐",N(对接源_02物料!$T321)&lt;&gt;0)),1,0)</f>
        <v>0</v>
      </c>
      <c r="Q1521" s="3">
        <f t="shared" si="403"/>
        <v>8</v>
      </c>
      <c r="R1521" s="3">
        <f>IF(AND($K1521=1,AND(对接源_02物料!$X321="公司筐",N(对接源_02物料!$U321)&lt;&gt;0)),1,0)</f>
        <v>0</v>
      </c>
      <c r="S1521" s="3">
        <f t="shared" si="404"/>
        <v>0</v>
      </c>
      <c r="T1521" s="3">
        <f>IF(AND($K1521=1,AND(对接源_02物料!$X321="公司筐",N(对接源_02物料!$V321)&lt;&gt;0)),1,0)</f>
        <v>0</v>
      </c>
      <c r="U1521" s="3">
        <f t="shared" si="405"/>
        <v>19</v>
      </c>
      <c r="V1521" s="3">
        <f>IF(AND($L1521=1,AND(对接源_02物料!$X321="自备筐",N(对接源_02物料!$V321)&lt;&gt;0)),1,0)</f>
        <v>0</v>
      </c>
      <c r="W1521" s="3">
        <f t="shared" si="406"/>
        <v>8</v>
      </c>
      <c r="X1521" s="3">
        <f>IF(AND($L1521=1,AND(对接源_02物料!$X321="自备筐",N(对接源_02物料!$T321)&lt;&gt;0)),1,0)</f>
        <v>0</v>
      </c>
      <c r="Y1521" s="3">
        <f t="shared" si="407"/>
        <v>0</v>
      </c>
      <c r="Z1521" s="3">
        <f>IF(AND($M1521=1,对接源_02物料!$D321="原料入库"),1,0)</f>
        <v>0</v>
      </c>
      <c r="AA1521" s="3">
        <f t="shared" si="408"/>
        <v>24</v>
      </c>
      <c r="AB1521" s="3">
        <f>IF(AND($M1521=1,LEFT(对接源_02物料!$D321,4)="原料出库"),1,0)</f>
        <v>0</v>
      </c>
      <c r="AC1521" s="3">
        <f t="shared" si="409"/>
        <v>0</v>
      </c>
      <c r="AD1521" s="3">
        <f>IF(AND($M1521=1,LEFT(对接源_02物料!$D321,4)="成品出库"),1,0)</f>
        <v>0</v>
      </c>
      <c r="AE1521" s="3">
        <f t="shared" si="410"/>
        <v>0</v>
      </c>
      <c r="AF1521" s="3">
        <f>IF(AND($N1521=1,AND(LEFT(对接源_02物料!$D321,4)="包装物料",N(对接源_02物料!$K321)&lt;&gt;0)),1,0)</f>
        <v>0</v>
      </c>
      <c r="AG1521" s="3">
        <f t="shared" si="411"/>
        <v>5</v>
      </c>
      <c r="AH1521" s="3">
        <f>IF(AND($N1521=1,AND(对接源_02物料!$D321="周转筐－销售出库",N(对接源_02物料!$K321)&lt;&gt;0)),1,0)</f>
        <v>0</v>
      </c>
      <c r="AI1521" s="3">
        <f t="shared" si="412"/>
        <v>0</v>
      </c>
      <c r="AL1521" s="3">
        <v>0</v>
      </c>
      <c r="AM1521" s="3">
        <f t="shared" si="413"/>
        <v>1</v>
      </c>
      <c r="AN1521" s="3" t="str">
        <f t="shared" si="400"/>
        <v/>
      </c>
      <c r="AO1521" s="3">
        <v>0</v>
      </c>
      <c r="AP1521" s="3">
        <f t="shared" si="414"/>
        <v>8</v>
      </c>
      <c r="AR1521">
        <f t="shared" si="415"/>
        <v>0</v>
      </c>
      <c r="AS1521">
        <f t="shared" si="416"/>
        <v>5</v>
      </c>
    </row>
    <row r="1522" customHeight="1" spans="1:45">
      <c r="A1522" s="3" t="str">
        <f>IF(对接源_02物料!$C322="","",对接源_02物料!$C322)</f>
        <v/>
      </c>
      <c r="B1522" s="3">
        <f t="shared" si="401"/>
        <v>0</v>
      </c>
      <c r="C1522" s="3">
        <f t="shared" si="402"/>
        <v>21</v>
      </c>
      <c r="K1522" s="3">
        <f>IF(OR($K$1="",对接源_02物料!$C322="",对接源_02物料!$C322&lt;&gt;$K$1,对接源_02物料!$B322=""),0,IF(OR(N(对接源_02物料!$B322)&lt;$K$2,N(对接源_02物料!$B322)&gt;$K$3),0,1))</f>
        <v>0</v>
      </c>
      <c r="L1522" s="3">
        <f>IF(OR($L$1="",对接源_02物料!$C322="",对接源_02物料!$C322&lt;&gt;$L$1,对接源_02物料!$B322=""),0,IF(OR(N(对接源_02物料!$B322)&lt;$L$2,N(对接源_02物料!$B322)&gt;$L$3),0,1))</f>
        <v>0</v>
      </c>
      <c r="M1522" s="3">
        <f>IF(OR($M$1="",对接源_02物料!$C322="",对接源_02物料!$C322&lt;&gt;$M$1,对接源_02物料!$B322=""),0,IF(OR(N(对接源_02物料!$B322)&lt;$M$2,N(对接源_02物料!$B322)&gt;$M$3),0,1))</f>
        <v>0</v>
      </c>
      <c r="N1522" s="3">
        <f>IF(OR($N$1="",对接源_02物料!$C322="",对接源_02物料!$C322&lt;&gt;$N$1,对接源_02物料!$B322=""),0,IF(OR(N(对接源_02物料!$B322)&lt;$N$2,N(对接源_02物料!$B322)&gt;$N$3),0,1))</f>
        <v>0</v>
      </c>
      <c r="P1522" s="3">
        <f>IF(AND($K1522=1,AND(对接源_02物料!$X322="公司筐",N(对接源_02物料!$T322)&lt;&gt;0)),1,0)</f>
        <v>0</v>
      </c>
      <c r="Q1522" s="3">
        <f t="shared" si="403"/>
        <v>8</v>
      </c>
      <c r="R1522" s="3">
        <f>IF(AND($K1522=1,AND(对接源_02物料!$X322="公司筐",N(对接源_02物料!$U322)&lt;&gt;0)),1,0)</f>
        <v>0</v>
      </c>
      <c r="S1522" s="3">
        <f t="shared" si="404"/>
        <v>0</v>
      </c>
      <c r="T1522" s="3">
        <f>IF(AND($K1522=1,AND(对接源_02物料!$X322="公司筐",N(对接源_02物料!$V322)&lt;&gt;0)),1,0)</f>
        <v>0</v>
      </c>
      <c r="U1522" s="3">
        <f t="shared" si="405"/>
        <v>19</v>
      </c>
      <c r="V1522" s="3">
        <f>IF(AND($L1522=1,AND(对接源_02物料!$X322="自备筐",N(对接源_02物料!$V322)&lt;&gt;0)),1,0)</f>
        <v>0</v>
      </c>
      <c r="W1522" s="3">
        <f t="shared" si="406"/>
        <v>8</v>
      </c>
      <c r="X1522" s="3">
        <f>IF(AND($L1522=1,AND(对接源_02物料!$X322="自备筐",N(对接源_02物料!$T322)&lt;&gt;0)),1,0)</f>
        <v>0</v>
      </c>
      <c r="Y1522" s="3">
        <f t="shared" si="407"/>
        <v>0</v>
      </c>
      <c r="Z1522" s="3">
        <f>IF(AND($M1522=1,对接源_02物料!$D322="原料入库"),1,0)</f>
        <v>0</v>
      </c>
      <c r="AA1522" s="3">
        <f t="shared" si="408"/>
        <v>24</v>
      </c>
      <c r="AB1522" s="3">
        <f>IF(AND($M1522=1,LEFT(对接源_02物料!$D322,4)="原料出库"),1,0)</f>
        <v>0</v>
      </c>
      <c r="AC1522" s="3">
        <f t="shared" si="409"/>
        <v>0</v>
      </c>
      <c r="AD1522" s="3">
        <f>IF(AND($M1522=1,LEFT(对接源_02物料!$D322,4)="成品出库"),1,0)</f>
        <v>0</v>
      </c>
      <c r="AE1522" s="3">
        <f t="shared" si="410"/>
        <v>0</v>
      </c>
      <c r="AF1522" s="3">
        <f>IF(AND($N1522=1,AND(LEFT(对接源_02物料!$D322,4)="包装物料",N(对接源_02物料!$K322)&lt;&gt;0)),1,0)</f>
        <v>0</v>
      </c>
      <c r="AG1522" s="3">
        <f t="shared" si="411"/>
        <v>5</v>
      </c>
      <c r="AH1522" s="3">
        <f>IF(AND($N1522=1,AND(对接源_02物料!$D322="周转筐－销售出库",N(对接源_02物料!$K322)&lt;&gt;0)),1,0)</f>
        <v>0</v>
      </c>
      <c r="AI1522" s="3">
        <f t="shared" si="412"/>
        <v>0</v>
      </c>
      <c r="AL1522" s="3">
        <v>0</v>
      </c>
      <c r="AM1522" s="3">
        <f t="shared" si="413"/>
        <v>1</v>
      </c>
      <c r="AN1522" s="3" t="str">
        <f t="shared" si="400"/>
        <v/>
      </c>
      <c r="AO1522" s="3">
        <v>0</v>
      </c>
      <c r="AP1522" s="3">
        <f t="shared" si="414"/>
        <v>8</v>
      </c>
      <c r="AR1522">
        <f t="shared" si="415"/>
        <v>0</v>
      </c>
      <c r="AS1522">
        <f t="shared" si="416"/>
        <v>5</v>
      </c>
    </row>
    <row r="1523" customHeight="1" spans="1:45">
      <c r="A1523" s="3" t="str">
        <f>IF(对接源_02物料!$C323="","",对接源_02物料!$C323)</f>
        <v/>
      </c>
      <c r="B1523" s="3">
        <f t="shared" si="401"/>
        <v>0</v>
      </c>
      <c r="C1523" s="3">
        <f t="shared" si="402"/>
        <v>21</v>
      </c>
      <c r="K1523" s="3">
        <f>IF(OR($K$1="",对接源_02物料!$C323="",对接源_02物料!$C323&lt;&gt;$K$1,对接源_02物料!$B323=""),0,IF(OR(N(对接源_02物料!$B323)&lt;$K$2,N(对接源_02物料!$B323)&gt;$K$3),0,1))</f>
        <v>0</v>
      </c>
      <c r="L1523" s="3">
        <f>IF(OR($L$1="",对接源_02物料!$C323="",对接源_02物料!$C323&lt;&gt;$L$1,对接源_02物料!$B323=""),0,IF(OR(N(对接源_02物料!$B323)&lt;$L$2,N(对接源_02物料!$B323)&gt;$L$3),0,1))</f>
        <v>0</v>
      </c>
      <c r="M1523" s="3">
        <f>IF(OR($M$1="",对接源_02物料!$C323="",对接源_02物料!$C323&lt;&gt;$M$1,对接源_02物料!$B323=""),0,IF(OR(N(对接源_02物料!$B323)&lt;$M$2,N(对接源_02物料!$B323)&gt;$M$3),0,1))</f>
        <v>0</v>
      </c>
      <c r="N1523" s="3">
        <f>IF(OR($N$1="",对接源_02物料!$C323="",对接源_02物料!$C323&lt;&gt;$N$1,对接源_02物料!$B323=""),0,IF(OR(N(对接源_02物料!$B323)&lt;$N$2,N(对接源_02物料!$B323)&gt;$N$3),0,1))</f>
        <v>0</v>
      </c>
      <c r="P1523" s="3">
        <f>IF(AND($K1523=1,AND(对接源_02物料!$X323="公司筐",N(对接源_02物料!$T323)&lt;&gt;0)),1,0)</f>
        <v>0</v>
      </c>
      <c r="Q1523" s="3">
        <f t="shared" si="403"/>
        <v>8</v>
      </c>
      <c r="R1523" s="3">
        <f>IF(AND($K1523=1,AND(对接源_02物料!$X323="公司筐",N(对接源_02物料!$U323)&lt;&gt;0)),1,0)</f>
        <v>0</v>
      </c>
      <c r="S1523" s="3">
        <f t="shared" si="404"/>
        <v>0</v>
      </c>
      <c r="T1523" s="3">
        <f>IF(AND($K1523=1,AND(对接源_02物料!$X323="公司筐",N(对接源_02物料!$V323)&lt;&gt;0)),1,0)</f>
        <v>0</v>
      </c>
      <c r="U1523" s="3">
        <f t="shared" si="405"/>
        <v>19</v>
      </c>
      <c r="V1523" s="3">
        <f>IF(AND($L1523=1,AND(对接源_02物料!$X323="自备筐",N(对接源_02物料!$V323)&lt;&gt;0)),1,0)</f>
        <v>0</v>
      </c>
      <c r="W1523" s="3">
        <f t="shared" si="406"/>
        <v>8</v>
      </c>
      <c r="X1523" s="3">
        <f>IF(AND($L1523=1,AND(对接源_02物料!$X323="自备筐",N(对接源_02物料!$T323)&lt;&gt;0)),1,0)</f>
        <v>0</v>
      </c>
      <c r="Y1523" s="3">
        <f t="shared" si="407"/>
        <v>0</v>
      </c>
      <c r="Z1523" s="3">
        <f>IF(AND($M1523=1,对接源_02物料!$D323="原料入库"),1,0)</f>
        <v>0</v>
      </c>
      <c r="AA1523" s="3">
        <f t="shared" si="408"/>
        <v>24</v>
      </c>
      <c r="AB1523" s="3">
        <f>IF(AND($M1523=1,LEFT(对接源_02物料!$D323,4)="原料出库"),1,0)</f>
        <v>0</v>
      </c>
      <c r="AC1523" s="3">
        <f t="shared" si="409"/>
        <v>0</v>
      </c>
      <c r="AD1523" s="3">
        <f>IF(AND($M1523=1,LEFT(对接源_02物料!$D323,4)="成品出库"),1,0)</f>
        <v>0</v>
      </c>
      <c r="AE1523" s="3">
        <f t="shared" si="410"/>
        <v>0</v>
      </c>
      <c r="AF1523" s="3">
        <f>IF(AND($N1523=1,AND(LEFT(对接源_02物料!$D323,4)="包装物料",N(对接源_02物料!$K323)&lt;&gt;0)),1,0)</f>
        <v>0</v>
      </c>
      <c r="AG1523" s="3">
        <f t="shared" si="411"/>
        <v>5</v>
      </c>
      <c r="AH1523" s="3">
        <f>IF(AND($N1523=1,AND(对接源_02物料!$D323="周转筐－销售出库",N(对接源_02物料!$K323)&lt;&gt;0)),1,0)</f>
        <v>0</v>
      </c>
      <c r="AI1523" s="3">
        <f t="shared" si="412"/>
        <v>0</v>
      </c>
      <c r="AL1523" s="3">
        <v>0</v>
      </c>
      <c r="AM1523" s="3">
        <f t="shared" si="413"/>
        <v>1</v>
      </c>
      <c r="AN1523" s="3" t="str">
        <f t="shared" si="400"/>
        <v/>
      </c>
      <c r="AO1523" s="3">
        <v>0</v>
      </c>
      <c r="AP1523" s="3">
        <f t="shared" si="414"/>
        <v>8</v>
      </c>
      <c r="AR1523">
        <f t="shared" si="415"/>
        <v>0</v>
      </c>
      <c r="AS1523">
        <f t="shared" si="416"/>
        <v>5</v>
      </c>
    </row>
    <row r="1524" customHeight="1" spans="1:45">
      <c r="A1524" s="3" t="str">
        <f>IF(对接源_02物料!$C324="","",对接源_02物料!$C324)</f>
        <v/>
      </c>
      <c r="B1524" s="3">
        <f t="shared" si="401"/>
        <v>0</v>
      </c>
      <c r="C1524" s="3">
        <f t="shared" si="402"/>
        <v>21</v>
      </c>
      <c r="K1524" s="3">
        <f>IF(OR($K$1="",对接源_02物料!$C324="",对接源_02物料!$C324&lt;&gt;$K$1,对接源_02物料!$B324=""),0,IF(OR(N(对接源_02物料!$B324)&lt;$K$2,N(对接源_02物料!$B324)&gt;$K$3),0,1))</f>
        <v>0</v>
      </c>
      <c r="L1524" s="3">
        <f>IF(OR($L$1="",对接源_02物料!$C324="",对接源_02物料!$C324&lt;&gt;$L$1,对接源_02物料!$B324=""),0,IF(OR(N(对接源_02物料!$B324)&lt;$L$2,N(对接源_02物料!$B324)&gt;$L$3),0,1))</f>
        <v>0</v>
      </c>
      <c r="M1524" s="3">
        <f>IF(OR($M$1="",对接源_02物料!$C324="",对接源_02物料!$C324&lt;&gt;$M$1,对接源_02物料!$B324=""),0,IF(OR(N(对接源_02物料!$B324)&lt;$M$2,N(对接源_02物料!$B324)&gt;$M$3),0,1))</f>
        <v>0</v>
      </c>
      <c r="N1524" s="3">
        <f>IF(OR($N$1="",对接源_02物料!$C324="",对接源_02物料!$C324&lt;&gt;$N$1,对接源_02物料!$B324=""),0,IF(OR(N(对接源_02物料!$B324)&lt;$N$2,N(对接源_02物料!$B324)&gt;$N$3),0,1))</f>
        <v>0</v>
      </c>
      <c r="P1524" s="3">
        <f>IF(AND($K1524=1,AND(对接源_02物料!$X324="公司筐",N(对接源_02物料!$T324)&lt;&gt;0)),1,0)</f>
        <v>0</v>
      </c>
      <c r="Q1524" s="3">
        <f t="shared" si="403"/>
        <v>8</v>
      </c>
      <c r="R1524" s="3">
        <f>IF(AND($K1524=1,AND(对接源_02物料!$X324="公司筐",N(对接源_02物料!$U324)&lt;&gt;0)),1,0)</f>
        <v>0</v>
      </c>
      <c r="S1524" s="3">
        <f t="shared" si="404"/>
        <v>0</v>
      </c>
      <c r="T1524" s="3">
        <f>IF(AND($K1524=1,AND(对接源_02物料!$X324="公司筐",N(对接源_02物料!$V324)&lt;&gt;0)),1,0)</f>
        <v>0</v>
      </c>
      <c r="U1524" s="3">
        <f t="shared" si="405"/>
        <v>19</v>
      </c>
      <c r="V1524" s="3">
        <f>IF(AND($L1524=1,AND(对接源_02物料!$X324="自备筐",N(对接源_02物料!$V324)&lt;&gt;0)),1,0)</f>
        <v>0</v>
      </c>
      <c r="W1524" s="3">
        <f t="shared" si="406"/>
        <v>8</v>
      </c>
      <c r="X1524" s="3">
        <f>IF(AND($L1524=1,AND(对接源_02物料!$X324="自备筐",N(对接源_02物料!$T324)&lt;&gt;0)),1,0)</f>
        <v>0</v>
      </c>
      <c r="Y1524" s="3">
        <f t="shared" si="407"/>
        <v>0</v>
      </c>
      <c r="Z1524" s="3">
        <f>IF(AND($M1524=1,对接源_02物料!$D324="原料入库"),1,0)</f>
        <v>0</v>
      </c>
      <c r="AA1524" s="3">
        <f t="shared" si="408"/>
        <v>24</v>
      </c>
      <c r="AB1524" s="3">
        <f>IF(AND($M1524=1,LEFT(对接源_02物料!$D324,4)="原料出库"),1,0)</f>
        <v>0</v>
      </c>
      <c r="AC1524" s="3">
        <f t="shared" si="409"/>
        <v>0</v>
      </c>
      <c r="AD1524" s="3">
        <f>IF(AND($M1524=1,LEFT(对接源_02物料!$D324,4)="成品出库"),1,0)</f>
        <v>0</v>
      </c>
      <c r="AE1524" s="3">
        <f t="shared" si="410"/>
        <v>0</v>
      </c>
      <c r="AF1524" s="3">
        <f>IF(AND($N1524=1,AND(LEFT(对接源_02物料!$D324,4)="包装物料",N(对接源_02物料!$K324)&lt;&gt;0)),1,0)</f>
        <v>0</v>
      </c>
      <c r="AG1524" s="3">
        <f t="shared" si="411"/>
        <v>5</v>
      </c>
      <c r="AH1524" s="3">
        <f>IF(AND($N1524=1,AND(对接源_02物料!$D324="周转筐－销售出库",N(对接源_02物料!$K324)&lt;&gt;0)),1,0)</f>
        <v>0</v>
      </c>
      <c r="AI1524" s="3">
        <f t="shared" si="412"/>
        <v>0</v>
      </c>
      <c r="AL1524" s="3">
        <v>0</v>
      </c>
      <c r="AM1524" s="3">
        <f t="shared" si="413"/>
        <v>1</v>
      </c>
      <c r="AN1524" s="3" t="str">
        <f t="shared" ref="AN1524:AN1587" si="417">""</f>
        <v/>
      </c>
      <c r="AO1524" s="3">
        <v>0</v>
      </c>
      <c r="AP1524" s="3">
        <f t="shared" si="414"/>
        <v>8</v>
      </c>
      <c r="AR1524">
        <f t="shared" si="415"/>
        <v>0</v>
      </c>
      <c r="AS1524">
        <f t="shared" si="416"/>
        <v>5</v>
      </c>
    </row>
    <row r="1525" customHeight="1" spans="1:45">
      <c r="A1525" s="3" t="str">
        <f>IF(对接源_02物料!$C325="","",对接源_02物料!$C325)</f>
        <v/>
      </c>
      <c r="B1525" s="3">
        <f t="shared" si="401"/>
        <v>0</v>
      </c>
      <c r="C1525" s="3">
        <f t="shared" si="402"/>
        <v>21</v>
      </c>
      <c r="K1525" s="3">
        <f>IF(OR($K$1="",对接源_02物料!$C325="",对接源_02物料!$C325&lt;&gt;$K$1,对接源_02物料!$B325=""),0,IF(OR(N(对接源_02物料!$B325)&lt;$K$2,N(对接源_02物料!$B325)&gt;$K$3),0,1))</f>
        <v>0</v>
      </c>
      <c r="L1525" s="3">
        <f>IF(OR($L$1="",对接源_02物料!$C325="",对接源_02物料!$C325&lt;&gt;$L$1,对接源_02物料!$B325=""),0,IF(OR(N(对接源_02物料!$B325)&lt;$L$2,N(对接源_02物料!$B325)&gt;$L$3),0,1))</f>
        <v>0</v>
      </c>
      <c r="M1525" s="3">
        <f>IF(OR($M$1="",对接源_02物料!$C325="",对接源_02物料!$C325&lt;&gt;$M$1,对接源_02物料!$B325=""),0,IF(OR(N(对接源_02物料!$B325)&lt;$M$2,N(对接源_02物料!$B325)&gt;$M$3),0,1))</f>
        <v>0</v>
      </c>
      <c r="N1525" s="3">
        <f>IF(OR($N$1="",对接源_02物料!$C325="",对接源_02物料!$C325&lt;&gt;$N$1,对接源_02物料!$B325=""),0,IF(OR(N(对接源_02物料!$B325)&lt;$N$2,N(对接源_02物料!$B325)&gt;$N$3),0,1))</f>
        <v>0</v>
      </c>
      <c r="P1525" s="3">
        <f>IF(AND($K1525=1,AND(对接源_02物料!$X325="公司筐",N(对接源_02物料!$T325)&lt;&gt;0)),1,0)</f>
        <v>0</v>
      </c>
      <c r="Q1525" s="3">
        <f t="shared" si="403"/>
        <v>8</v>
      </c>
      <c r="R1525" s="3">
        <f>IF(AND($K1525=1,AND(对接源_02物料!$X325="公司筐",N(对接源_02物料!$U325)&lt;&gt;0)),1,0)</f>
        <v>0</v>
      </c>
      <c r="S1525" s="3">
        <f t="shared" si="404"/>
        <v>0</v>
      </c>
      <c r="T1525" s="3">
        <f>IF(AND($K1525=1,AND(对接源_02物料!$X325="公司筐",N(对接源_02物料!$V325)&lt;&gt;0)),1,0)</f>
        <v>0</v>
      </c>
      <c r="U1525" s="3">
        <f t="shared" si="405"/>
        <v>19</v>
      </c>
      <c r="V1525" s="3">
        <f>IF(AND($L1525=1,AND(对接源_02物料!$X325="自备筐",N(对接源_02物料!$V325)&lt;&gt;0)),1,0)</f>
        <v>0</v>
      </c>
      <c r="W1525" s="3">
        <f t="shared" si="406"/>
        <v>8</v>
      </c>
      <c r="X1525" s="3">
        <f>IF(AND($L1525=1,AND(对接源_02物料!$X325="自备筐",N(对接源_02物料!$T325)&lt;&gt;0)),1,0)</f>
        <v>0</v>
      </c>
      <c r="Y1525" s="3">
        <f t="shared" si="407"/>
        <v>0</v>
      </c>
      <c r="Z1525" s="3">
        <f>IF(AND($M1525=1,对接源_02物料!$D325="原料入库"),1,0)</f>
        <v>0</v>
      </c>
      <c r="AA1525" s="3">
        <f t="shared" si="408"/>
        <v>24</v>
      </c>
      <c r="AB1525" s="3">
        <f>IF(AND($M1525=1,LEFT(对接源_02物料!$D325,4)="原料出库"),1,0)</f>
        <v>0</v>
      </c>
      <c r="AC1525" s="3">
        <f t="shared" si="409"/>
        <v>0</v>
      </c>
      <c r="AD1525" s="3">
        <f>IF(AND($M1525=1,LEFT(对接源_02物料!$D325,4)="成品出库"),1,0)</f>
        <v>0</v>
      </c>
      <c r="AE1525" s="3">
        <f t="shared" si="410"/>
        <v>0</v>
      </c>
      <c r="AF1525" s="3">
        <f>IF(AND($N1525=1,AND(LEFT(对接源_02物料!$D325,4)="包装物料",N(对接源_02物料!$K325)&lt;&gt;0)),1,0)</f>
        <v>0</v>
      </c>
      <c r="AG1525" s="3">
        <f t="shared" si="411"/>
        <v>5</v>
      </c>
      <c r="AH1525" s="3">
        <f>IF(AND($N1525=1,AND(对接源_02物料!$D325="周转筐－销售出库",N(对接源_02物料!$K325)&lt;&gt;0)),1,0)</f>
        <v>0</v>
      </c>
      <c r="AI1525" s="3">
        <f t="shared" si="412"/>
        <v>0</v>
      </c>
      <c r="AL1525" s="3">
        <v>0</v>
      </c>
      <c r="AM1525" s="3">
        <f t="shared" si="413"/>
        <v>1</v>
      </c>
      <c r="AN1525" s="3" t="str">
        <f t="shared" si="417"/>
        <v/>
      </c>
      <c r="AO1525" s="3">
        <v>0</v>
      </c>
      <c r="AP1525" s="3">
        <f t="shared" si="414"/>
        <v>8</v>
      </c>
      <c r="AR1525">
        <f t="shared" si="415"/>
        <v>0</v>
      </c>
      <c r="AS1525">
        <f t="shared" si="416"/>
        <v>5</v>
      </c>
    </row>
    <row r="1526" customHeight="1" spans="1:45">
      <c r="A1526" s="3" t="str">
        <f>IF(对接源_02物料!$C326="","",对接源_02物料!$C326)</f>
        <v/>
      </c>
      <c r="B1526" s="3">
        <f t="shared" si="401"/>
        <v>0</v>
      </c>
      <c r="C1526" s="3">
        <f t="shared" si="402"/>
        <v>21</v>
      </c>
      <c r="K1526" s="3">
        <f>IF(OR($K$1="",对接源_02物料!$C326="",对接源_02物料!$C326&lt;&gt;$K$1,对接源_02物料!$B326=""),0,IF(OR(N(对接源_02物料!$B326)&lt;$K$2,N(对接源_02物料!$B326)&gt;$K$3),0,1))</f>
        <v>0</v>
      </c>
      <c r="L1526" s="3">
        <f>IF(OR($L$1="",对接源_02物料!$C326="",对接源_02物料!$C326&lt;&gt;$L$1,对接源_02物料!$B326=""),0,IF(OR(N(对接源_02物料!$B326)&lt;$L$2,N(对接源_02物料!$B326)&gt;$L$3),0,1))</f>
        <v>0</v>
      </c>
      <c r="M1526" s="3">
        <f>IF(OR($M$1="",对接源_02物料!$C326="",对接源_02物料!$C326&lt;&gt;$M$1,对接源_02物料!$B326=""),0,IF(OR(N(对接源_02物料!$B326)&lt;$M$2,N(对接源_02物料!$B326)&gt;$M$3),0,1))</f>
        <v>0</v>
      </c>
      <c r="N1526" s="3">
        <f>IF(OR($N$1="",对接源_02物料!$C326="",对接源_02物料!$C326&lt;&gt;$N$1,对接源_02物料!$B326=""),0,IF(OR(N(对接源_02物料!$B326)&lt;$N$2,N(对接源_02物料!$B326)&gt;$N$3),0,1))</f>
        <v>0</v>
      </c>
      <c r="P1526" s="3">
        <f>IF(AND($K1526=1,AND(对接源_02物料!$X326="公司筐",N(对接源_02物料!$T326)&lt;&gt;0)),1,0)</f>
        <v>0</v>
      </c>
      <c r="Q1526" s="3">
        <f t="shared" si="403"/>
        <v>8</v>
      </c>
      <c r="R1526" s="3">
        <f>IF(AND($K1526=1,AND(对接源_02物料!$X326="公司筐",N(对接源_02物料!$U326)&lt;&gt;0)),1,0)</f>
        <v>0</v>
      </c>
      <c r="S1526" s="3">
        <f t="shared" si="404"/>
        <v>0</v>
      </c>
      <c r="T1526" s="3">
        <f>IF(AND($K1526=1,AND(对接源_02物料!$X326="公司筐",N(对接源_02物料!$V326)&lt;&gt;0)),1,0)</f>
        <v>0</v>
      </c>
      <c r="U1526" s="3">
        <f t="shared" si="405"/>
        <v>19</v>
      </c>
      <c r="V1526" s="3">
        <f>IF(AND($L1526=1,AND(对接源_02物料!$X326="自备筐",N(对接源_02物料!$V326)&lt;&gt;0)),1,0)</f>
        <v>0</v>
      </c>
      <c r="W1526" s="3">
        <f t="shared" si="406"/>
        <v>8</v>
      </c>
      <c r="X1526" s="3">
        <f>IF(AND($L1526=1,AND(对接源_02物料!$X326="自备筐",N(对接源_02物料!$T326)&lt;&gt;0)),1,0)</f>
        <v>0</v>
      </c>
      <c r="Y1526" s="3">
        <f t="shared" si="407"/>
        <v>0</v>
      </c>
      <c r="Z1526" s="3">
        <f>IF(AND($M1526=1,对接源_02物料!$D326="原料入库"),1,0)</f>
        <v>0</v>
      </c>
      <c r="AA1526" s="3">
        <f t="shared" si="408"/>
        <v>24</v>
      </c>
      <c r="AB1526" s="3">
        <f>IF(AND($M1526=1,LEFT(对接源_02物料!$D326,4)="原料出库"),1,0)</f>
        <v>0</v>
      </c>
      <c r="AC1526" s="3">
        <f t="shared" si="409"/>
        <v>0</v>
      </c>
      <c r="AD1526" s="3">
        <f>IF(AND($M1526=1,LEFT(对接源_02物料!$D326,4)="成品出库"),1,0)</f>
        <v>0</v>
      </c>
      <c r="AE1526" s="3">
        <f t="shared" si="410"/>
        <v>0</v>
      </c>
      <c r="AF1526" s="3">
        <f>IF(AND($N1526=1,AND(LEFT(对接源_02物料!$D326,4)="包装物料",N(对接源_02物料!$K326)&lt;&gt;0)),1,0)</f>
        <v>0</v>
      </c>
      <c r="AG1526" s="3">
        <f t="shared" si="411"/>
        <v>5</v>
      </c>
      <c r="AH1526" s="3">
        <f>IF(AND($N1526=1,AND(对接源_02物料!$D326="周转筐－销售出库",N(对接源_02物料!$K326)&lt;&gt;0)),1,0)</f>
        <v>0</v>
      </c>
      <c r="AI1526" s="3">
        <f t="shared" si="412"/>
        <v>0</v>
      </c>
      <c r="AL1526" s="3">
        <v>0</v>
      </c>
      <c r="AM1526" s="3">
        <f t="shared" si="413"/>
        <v>1</v>
      </c>
      <c r="AN1526" s="3" t="str">
        <f t="shared" si="417"/>
        <v/>
      </c>
      <c r="AO1526" s="3">
        <v>0</v>
      </c>
      <c r="AP1526" s="3">
        <f t="shared" si="414"/>
        <v>8</v>
      </c>
      <c r="AR1526">
        <f t="shared" si="415"/>
        <v>0</v>
      </c>
      <c r="AS1526">
        <f t="shared" si="416"/>
        <v>5</v>
      </c>
    </row>
    <row r="1527" customHeight="1" spans="1:45">
      <c r="A1527" s="3" t="str">
        <f>IF(对接源_02物料!$C327="","",对接源_02物料!$C327)</f>
        <v/>
      </c>
      <c r="B1527" s="3">
        <f t="shared" si="401"/>
        <v>0</v>
      </c>
      <c r="C1527" s="3">
        <f t="shared" si="402"/>
        <v>21</v>
      </c>
      <c r="K1527" s="3">
        <f>IF(OR($K$1="",对接源_02物料!$C327="",对接源_02物料!$C327&lt;&gt;$K$1,对接源_02物料!$B327=""),0,IF(OR(N(对接源_02物料!$B327)&lt;$K$2,N(对接源_02物料!$B327)&gt;$K$3),0,1))</f>
        <v>0</v>
      </c>
      <c r="L1527" s="3">
        <f>IF(OR($L$1="",对接源_02物料!$C327="",对接源_02物料!$C327&lt;&gt;$L$1,对接源_02物料!$B327=""),0,IF(OR(N(对接源_02物料!$B327)&lt;$L$2,N(对接源_02物料!$B327)&gt;$L$3),0,1))</f>
        <v>0</v>
      </c>
      <c r="M1527" s="3">
        <f>IF(OR($M$1="",对接源_02物料!$C327="",对接源_02物料!$C327&lt;&gt;$M$1,对接源_02物料!$B327=""),0,IF(OR(N(对接源_02物料!$B327)&lt;$M$2,N(对接源_02物料!$B327)&gt;$M$3),0,1))</f>
        <v>0</v>
      </c>
      <c r="N1527" s="3">
        <f>IF(OR($N$1="",对接源_02物料!$C327="",对接源_02物料!$C327&lt;&gt;$N$1,对接源_02物料!$B327=""),0,IF(OR(N(对接源_02物料!$B327)&lt;$N$2,N(对接源_02物料!$B327)&gt;$N$3),0,1))</f>
        <v>0</v>
      </c>
      <c r="P1527" s="3">
        <f>IF(AND($K1527=1,AND(对接源_02物料!$X327="公司筐",N(对接源_02物料!$T327)&lt;&gt;0)),1,0)</f>
        <v>0</v>
      </c>
      <c r="Q1527" s="3">
        <f t="shared" si="403"/>
        <v>8</v>
      </c>
      <c r="R1527" s="3">
        <f>IF(AND($K1527=1,AND(对接源_02物料!$X327="公司筐",N(对接源_02物料!$U327)&lt;&gt;0)),1,0)</f>
        <v>0</v>
      </c>
      <c r="S1527" s="3">
        <f t="shared" si="404"/>
        <v>0</v>
      </c>
      <c r="T1527" s="3">
        <f>IF(AND($K1527=1,AND(对接源_02物料!$X327="公司筐",N(对接源_02物料!$V327)&lt;&gt;0)),1,0)</f>
        <v>0</v>
      </c>
      <c r="U1527" s="3">
        <f t="shared" si="405"/>
        <v>19</v>
      </c>
      <c r="V1527" s="3">
        <f>IF(AND($L1527=1,AND(对接源_02物料!$X327="自备筐",N(对接源_02物料!$V327)&lt;&gt;0)),1,0)</f>
        <v>0</v>
      </c>
      <c r="W1527" s="3">
        <f t="shared" si="406"/>
        <v>8</v>
      </c>
      <c r="X1527" s="3">
        <f>IF(AND($L1527=1,AND(对接源_02物料!$X327="自备筐",N(对接源_02物料!$T327)&lt;&gt;0)),1,0)</f>
        <v>0</v>
      </c>
      <c r="Y1527" s="3">
        <f t="shared" si="407"/>
        <v>0</v>
      </c>
      <c r="Z1527" s="3">
        <f>IF(AND($M1527=1,对接源_02物料!$D327="原料入库"),1,0)</f>
        <v>0</v>
      </c>
      <c r="AA1527" s="3">
        <f t="shared" si="408"/>
        <v>24</v>
      </c>
      <c r="AB1527" s="3">
        <f>IF(AND($M1527=1,LEFT(对接源_02物料!$D327,4)="原料出库"),1,0)</f>
        <v>0</v>
      </c>
      <c r="AC1527" s="3">
        <f t="shared" si="409"/>
        <v>0</v>
      </c>
      <c r="AD1527" s="3">
        <f>IF(AND($M1527=1,LEFT(对接源_02物料!$D327,4)="成品出库"),1,0)</f>
        <v>0</v>
      </c>
      <c r="AE1527" s="3">
        <f t="shared" si="410"/>
        <v>0</v>
      </c>
      <c r="AF1527" s="3">
        <f>IF(AND($N1527=1,AND(LEFT(对接源_02物料!$D327,4)="包装物料",N(对接源_02物料!$K327)&lt;&gt;0)),1,0)</f>
        <v>0</v>
      </c>
      <c r="AG1527" s="3">
        <f t="shared" si="411"/>
        <v>5</v>
      </c>
      <c r="AH1527" s="3">
        <f>IF(AND($N1527=1,AND(对接源_02物料!$D327="周转筐－销售出库",N(对接源_02物料!$K327)&lt;&gt;0)),1,0)</f>
        <v>0</v>
      </c>
      <c r="AI1527" s="3">
        <f t="shared" si="412"/>
        <v>0</v>
      </c>
      <c r="AL1527" s="3">
        <v>0</v>
      </c>
      <c r="AM1527" s="3">
        <f t="shared" si="413"/>
        <v>1</v>
      </c>
      <c r="AN1527" s="3" t="str">
        <f t="shared" si="417"/>
        <v/>
      </c>
      <c r="AO1527" s="3">
        <v>0</v>
      </c>
      <c r="AP1527" s="3">
        <f t="shared" si="414"/>
        <v>8</v>
      </c>
      <c r="AR1527">
        <f t="shared" si="415"/>
        <v>0</v>
      </c>
      <c r="AS1527">
        <f t="shared" si="416"/>
        <v>5</v>
      </c>
    </row>
    <row r="1528" customHeight="1" spans="1:45">
      <c r="A1528" s="3" t="str">
        <f>IF(对接源_02物料!$C328="","",对接源_02物料!$C328)</f>
        <v/>
      </c>
      <c r="B1528" s="3">
        <f t="shared" si="401"/>
        <v>0</v>
      </c>
      <c r="C1528" s="3">
        <f t="shared" si="402"/>
        <v>21</v>
      </c>
      <c r="K1528" s="3">
        <f>IF(OR($K$1="",对接源_02物料!$C328="",对接源_02物料!$C328&lt;&gt;$K$1,对接源_02物料!$B328=""),0,IF(OR(N(对接源_02物料!$B328)&lt;$K$2,N(对接源_02物料!$B328)&gt;$K$3),0,1))</f>
        <v>0</v>
      </c>
      <c r="L1528" s="3">
        <f>IF(OR($L$1="",对接源_02物料!$C328="",对接源_02物料!$C328&lt;&gt;$L$1,对接源_02物料!$B328=""),0,IF(OR(N(对接源_02物料!$B328)&lt;$L$2,N(对接源_02物料!$B328)&gt;$L$3),0,1))</f>
        <v>0</v>
      </c>
      <c r="M1528" s="3">
        <f>IF(OR($M$1="",对接源_02物料!$C328="",对接源_02物料!$C328&lt;&gt;$M$1,对接源_02物料!$B328=""),0,IF(OR(N(对接源_02物料!$B328)&lt;$M$2,N(对接源_02物料!$B328)&gt;$M$3),0,1))</f>
        <v>0</v>
      </c>
      <c r="N1528" s="3">
        <f>IF(OR($N$1="",对接源_02物料!$C328="",对接源_02物料!$C328&lt;&gt;$N$1,对接源_02物料!$B328=""),0,IF(OR(N(对接源_02物料!$B328)&lt;$N$2,N(对接源_02物料!$B328)&gt;$N$3),0,1))</f>
        <v>0</v>
      </c>
      <c r="P1528" s="3">
        <f>IF(AND($K1528=1,AND(对接源_02物料!$X328="公司筐",N(对接源_02物料!$T328)&lt;&gt;0)),1,0)</f>
        <v>0</v>
      </c>
      <c r="Q1528" s="3">
        <f t="shared" si="403"/>
        <v>8</v>
      </c>
      <c r="R1528" s="3">
        <f>IF(AND($K1528=1,AND(对接源_02物料!$X328="公司筐",N(对接源_02物料!$U328)&lt;&gt;0)),1,0)</f>
        <v>0</v>
      </c>
      <c r="S1528" s="3">
        <f t="shared" si="404"/>
        <v>0</v>
      </c>
      <c r="T1528" s="3">
        <f>IF(AND($K1528=1,AND(对接源_02物料!$X328="公司筐",N(对接源_02物料!$V328)&lt;&gt;0)),1,0)</f>
        <v>0</v>
      </c>
      <c r="U1528" s="3">
        <f t="shared" si="405"/>
        <v>19</v>
      </c>
      <c r="V1528" s="3">
        <f>IF(AND($L1528=1,AND(对接源_02物料!$X328="自备筐",N(对接源_02物料!$V328)&lt;&gt;0)),1,0)</f>
        <v>0</v>
      </c>
      <c r="W1528" s="3">
        <f t="shared" si="406"/>
        <v>8</v>
      </c>
      <c r="X1528" s="3">
        <f>IF(AND($L1528=1,AND(对接源_02物料!$X328="自备筐",N(对接源_02物料!$T328)&lt;&gt;0)),1,0)</f>
        <v>0</v>
      </c>
      <c r="Y1528" s="3">
        <f t="shared" si="407"/>
        <v>0</v>
      </c>
      <c r="Z1528" s="3">
        <f>IF(AND($M1528=1,对接源_02物料!$D328="原料入库"),1,0)</f>
        <v>0</v>
      </c>
      <c r="AA1528" s="3">
        <f t="shared" si="408"/>
        <v>24</v>
      </c>
      <c r="AB1528" s="3">
        <f>IF(AND($M1528=1,LEFT(对接源_02物料!$D328,4)="原料出库"),1,0)</f>
        <v>0</v>
      </c>
      <c r="AC1528" s="3">
        <f t="shared" si="409"/>
        <v>0</v>
      </c>
      <c r="AD1528" s="3">
        <f>IF(AND($M1528=1,LEFT(对接源_02物料!$D328,4)="成品出库"),1,0)</f>
        <v>0</v>
      </c>
      <c r="AE1528" s="3">
        <f t="shared" si="410"/>
        <v>0</v>
      </c>
      <c r="AF1528" s="3">
        <f>IF(AND($N1528=1,AND(LEFT(对接源_02物料!$D328,4)="包装物料",N(对接源_02物料!$K328)&lt;&gt;0)),1,0)</f>
        <v>0</v>
      </c>
      <c r="AG1528" s="3">
        <f t="shared" si="411"/>
        <v>5</v>
      </c>
      <c r="AH1528" s="3">
        <f>IF(AND($N1528=1,AND(对接源_02物料!$D328="周转筐－销售出库",N(对接源_02物料!$K328)&lt;&gt;0)),1,0)</f>
        <v>0</v>
      </c>
      <c r="AI1528" s="3">
        <f t="shared" si="412"/>
        <v>0</v>
      </c>
      <c r="AL1528" s="3">
        <v>0</v>
      </c>
      <c r="AM1528" s="3">
        <f t="shared" si="413"/>
        <v>1</v>
      </c>
      <c r="AN1528" s="3" t="str">
        <f t="shared" si="417"/>
        <v/>
      </c>
      <c r="AO1528" s="3">
        <v>0</v>
      </c>
      <c r="AP1528" s="3">
        <f t="shared" si="414"/>
        <v>8</v>
      </c>
      <c r="AR1528">
        <f t="shared" si="415"/>
        <v>0</v>
      </c>
      <c r="AS1528">
        <f t="shared" si="416"/>
        <v>5</v>
      </c>
    </row>
    <row r="1529" customHeight="1" spans="1:45">
      <c r="A1529" s="3" t="str">
        <f>IF(对接源_02物料!$C329="","",对接源_02物料!$C329)</f>
        <v/>
      </c>
      <c r="B1529" s="3">
        <f t="shared" si="401"/>
        <v>0</v>
      </c>
      <c r="C1529" s="3">
        <f t="shared" si="402"/>
        <v>21</v>
      </c>
      <c r="K1529" s="3">
        <f>IF(OR($K$1="",对接源_02物料!$C329="",对接源_02物料!$C329&lt;&gt;$K$1,对接源_02物料!$B329=""),0,IF(OR(N(对接源_02物料!$B329)&lt;$K$2,N(对接源_02物料!$B329)&gt;$K$3),0,1))</f>
        <v>0</v>
      </c>
      <c r="L1529" s="3">
        <f>IF(OR($L$1="",对接源_02物料!$C329="",对接源_02物料!$C329&lt;&gt;$L$1,对接源_02物料!$B329=""),0,IF(OR(N(对接源_02物料!$B329)&lt;$L$2,N(对接源_02物料!$B329)&gt;$L$3),0,1))</f>
        <v>0</v>
      </c>
      <c r="M1529" s="3">
        <f>IF(OR($M$1="",对接源_02物料!$C329="",对接源_02物料!$C329&lt;&gt;$M$1,对接源_02物料!$B329=""),0,IF(OR(N(对接源_02物料!$B329)&lt;$M$2,N(对接源_02物料!$B329)&gt;$M$3),0,1))</f>
        <v>0</v>
      </c>
      <c r="N1529" s="3">
        <f>IF(OR($N$1="",对接源_02物料!$C329="",对接源_02物料!$C329&lt;&gt;$N$1,对接源_02物料!$B329=""),0,IF(OR(N(对接源_02物料!$B329)&lt;$N$2,N(对接源_02物料!$B329)&gt;$N$3),0,1))</f>
        <v>0</v>
      </c>
      <c r="P1529" s="3">
        <f>IF(AND($K1529=1,AND(对接源_02物料!$X329="公司筐",N(对接源_02物料!$T329)&lt;&gt;0)),1,0)</f>
        <v>0</v>
      </c>
      <c r="Q1529" s="3">
        <f t="shared" si="403"/>
        <v>8</v>
      </c>
      <c r="R1529" s="3">
        <f>IF(AND($K1529=1,AND(对接源_02物料!$X329="公司筐",N(对接源_02物料!$U329)&lt;&gt;0)),1,0)</f>
        <v>0</v>
      </c>
      <c r="S1529" s="3">
        <f t="shared" si="404"/>
        <v>0</v>
      </c>
      <c r="T1529" s="3">
        <f>IF(AND($K1529=1,AND(对接源_02物料!$X329="公司筐",N(对接源_02物料!$V329)&lt;&gt;0)),1,0)</f>
        <v>0</v>
      </c>
      <c r="U1529" s="3">
        <f t="shared" si="405"/>
        <v>19</v>
      </c>
      <c r="V1529" s="3">
        <f>IF(AND($L1529=1,AND(对接源_02物料!$X329="自备筐",N(对接源_02物料!$V329)&lt;&gt;0)),1,0)</f>
        <v>0</v>
      </c>
      <c r="W1529" s="3">
        <f t="shared" si="406"/>
        <v>8</v>
      </c>
      <c r="X1529" s="3">
        <f>IF(AND($L1529=1,AND(对接源_02物料!$X329="自备筐",N(对接源_02物料!$T329)&lt;&gt;0)),1,0)</f>
        <v>0</v>
      </c>
      <c r="Y1529" s="3">
        <f t="shared" si="407"/>
        <v>0</v>
      </c>
      <c r="Z1529" s="3">
        <f>IF(AND($M1529=1,对接源_02物料!$D329="原料入库"),1,0)</f>
        <v>0</v>
      </c>
      <c r="AA1529" s="3">
        <f t="shared" si="408"/>
        <v>24</v>
      </c>
      <c r="AB1529" s="3">
        <f>IF(AND($M1529=1,LEFT(对接源_02物料!$D329,4)="原料出库"),1,0)</f>
        <v>0</v>
      </c>
      <c r="AC1529" s="3">
        <f t="shared" si="409"/>
        <v>0</v>
      </c>
      <c r="AD1529" s="3">
        <f>IF(AND($M1529=1,LEFT(对接源_02物料!$D329,4)="成品出库"),1,0)</f>
        <v>0</v>
      </c>
      <c r="AE1529" s="3">
        <f t="shared" si="410"/>
        <v>0</v>
      </c>
      <c r="AF1529" s="3">
        <f>IF(AND($N1529=1,AND(LEFT(对接源_02物料!$D329,4)="包装物料",N(对接源_02物料!$K329)&lt;&gt;0)),1,0)</f>
        <v>0</v>
      </c>
      <c r="AG1529" s="3">
        <f t="shared" si="411"/>
        <v>5</v>
      </c>
      <c r="AH1529" s="3">
        <f>IF(AND($N1529=1,AND(对接源_02物料!$D329="周转筐－销售出库",N(对接源_02物料!$K329)&lt;&gt;0)),1,0)</f>
        <v>0</v>
      </c>
      <c r="AI1529" s="3">
        <f t="shared" si="412"/>
        <v>0</v>
      </c>
      <c r="AL1529" s="3">
        <v>0</v>
      </c>
      <c r="AM1529" s="3">
        <f t="shared" si="413"/>
        <v>1</v>
      </c>
      <c r="AN1529" s="3" t="str">
        <f t="shared" si="417"/>
        <v/>
      </c>
      <c r="AO1529" s="3">
        <v>0</v>
      </c>
      <c r="AP1529" s="3">
        <f t="shared" si="414"/>
        <v>8</v>
      </c>
      <c r="AR1529">
        <f t="shared" si="415"/>
        <v>0</v>
      </c>
      <c r="AS1529">
        <f t="shared" si="416"/>
        <v>5</v>
      </c>
    </row>
    <row r="1530" customHeight="1" spans="1:45">
      <c r="A1530" s="3" t="str">
        <f>IF(对接源_02物料!$C330="","",对接源_02物料!$C330)</f>
        <v/>
      </c>
      <c r="B1530" s="3">
        <f t="shared" si="401"/>
        <v>0</v>
      </c>
      <c r="C1530" s="3">
        <f t="shared" si="402"/>
        <v>21</v>
      </c>
      <c r="K1530" s="3">
        <f>IF(OR($K$1="",对接源_02物料!$C330="",对接源_02物料!$C330&lt;&gt;$K$1,对接源_02物料!$B330=""),0,IF(OR(N(对接源_02物料!$B330)&lt;$K$2,N(对接源_02物料!$B330)&gt;$K$3),0,1))</f>
        <v>0</v>
      </c>
      <c r="L1530" s="3">
        <f>IF(OR($L$1="",对接源_02物料!$C330="",对接源_02物料!$C330&lt;&gt;$L$1,对接源_02物料!$B330=""),0,IF(OR(N(对接源_02物料!$B330)&lt;$L$2,N(对接源_02物料!$B330)&gt;$L$3),0,1))</f>
        <v>0</v>
      </c>
      <c r="M1530" s="3">
        <f>IF(OR($M$1="",对接源_02物料!$C330="",对接源_02物料!$C330&lt;&gt;$M$1,对接源_02物料!$B330=""),0,IF(OR(N(对接源_02物料!$B330)&lt;$M$2,N(对接源_02物料!$B330)&gt;$M$3),0,1))</f>
        <v>0</v>
      </c>
      <c r="N1530" s="3">
        <f>IF(OR($N$1="",对接源_02物料!$C330="",对接源_02物料!$C330&lt;&gt;$N$1,对接源_02物料!$B330=""),0,IF(OR(N(对接源_02物料!$B330)&lt;$N$2,N(对接源_02物料!$B330)&gt;$N$3),0,1))</f>
        <v>0</v>
      </c>
      <c r="P1530" s="3">
        <f>IF(AND($K1530=1,AND(对接源_02物料!$X330="公司筐",N(对接源_02物料!$T330)&lt;&gt;0)),1,0)</f>
        <v>0</v>
      </c>
      <c r="Q1530" s="3">
        <f t="shared" si="403"/>
        <v>8</v>
      </c>
      <c r="R1530" s="3">
        <f>IF(AND($K1530=1,AND(对接源_02物料!$X330="公司筐",N(对接源_02物料!$U330)&lt;&gt;0)),1,0)</f>
        <v>0</v>
      </c>
      <c r="S1530" s="3">
        <f t="shared" si="404"/>
        <v>0</v>
      </c>
      <c r="T1530" s="3">
        <f>IF(AND($K1530=1,AND(对接源_02物料!$X330="公司筐",N(对接源_02物料!$V330)&lt;&gt;0)),1,0)</f>
        <v>0</v>
      </c>
      <c r="U1530" s="3">
        <f t="shared" si="405"/>
        <v>19</v>
      </c>
      <c r="V1530" s="3">
        <f>IF(AND($L1530=1,AND(对接源_02物料!$X330="自备筐",N(对接源_02物料!$V330)&lt;&gt;0)),1,0)</f>
        <v>0</v>
      </c>
      <c r="W1530" s="3">
        <f t="shared" si="406"/>
        <v>8</v>
      </c>
      <c r="X1530" s="3">
        <f>IF(AND($L1530=1,AND(对接源_02物料!$X330="自备筐",N(对接源_02物料!$T330)&lt;&gt;0)),1,0)</f>
        <v>0</v>
      </c>
      <c r="Y1530" s="3">
        <f t="shared" si="407"/>
        <v>0</v>
      </c>
      <c r="Z1530" s="3">
        <f>IF(AND($M1530=1,对接源_02物料!$D330="原料入库"),1,0)</f>
        <v>0</v>
      </c>
      <c r="AA1530" s="3">
        <f t="shared" si="408"/>
        <v>24</v>
      </c>
      <c r="AB1530" s="3">
        <f>IF(AND($M1530=1,LEFT(对接源_02物料!$D330,4)="原料出库"),1,0)</f>
        <v>0</v>
      </c>
      <c r="AC1530" s="3">
        <f t="shared" si="409"/>
        <v>0</v>
      </c>
      <c r="AD1530" s="3">
        <f>IF(AND($M1530=1,LEFT(对接源_02物料!$D330,4)="成品出库"),1,0)</f>
        <v>0</v>
      </c>
      <c r="AE1530" s="3">
        <f t="shared" si="410"/>
        <v>0</v>
      </c>
      <c r="AF1530" s="3">
        <f>IF(AND($N1530=1,AND(LEFT(对接源_02物料!$D330,4)="包装物料",N(对接源_02物料!$K330)&lt;&gt;0)),1,0)</f>
        <v>0</v>
      </c>
      <c r="AG1530" s="3">
        <f t="shared" si="411"/>
        <v>5</v>
      </c>
      <c r="AH1530" s="3">
        <f>IF(AND($N1530=1,AND(对接源_02物料!$D330="周转筐－销售出库",N(对接源_02物料!$K330)&lt;&gt;0)),1,0)</f>
        <v>0</v>
      </c>
      <c r="AI1530" s="3">
        <f t="shared" si="412"/>
        <v>0</v>
      </c>
      <c r="AL1530" s="3">
        <v>0</v>
      </c>
      <c r="AM1530" s="3">
        <f t="shared" si="413"/>
        <v>1</v>
      </c>
      <c r="AN1530" s="3" t="str">
        <f t="shared" si="417"/>
        <v/>
      </c>
      <c r="AO1530" s="3">
        <v>0</v>
      </c>
      <c r="AP1530" s="3">
        <f t="shared" si="414"/>
        <v>8</v>
      </c>
      <c r="AR1530">
        <f t="shared" si="415"/>
        <v>0</v>
      </c>
      <c r="AS1530">
        <f t="shared" si="416"/>
        <v>5</v>
      </c>
    </row>
    <row r="1531" customHeight="1" spans="1:45">
      <c r="A1531" s="3" t="str">
        <f>IF(对接源_02物料!$C331="","",对接源_02物料!$C331)</f>
        <v/>
      </c>
      <c r="B1531" s="3">
        <f t="shared" si="401"/>
        <v>0</v>
      </c>
      <c r="C1531" s="3">
        <f t="shared" si="402"/>
        <v>21</v>
      </c>
      <c r="K1531" s="3">
        <f>IF(OR($K$1="",对接源_02物料!$C331="",对接源_02物料!$C331&lt;&gt;$K$1,对接源_02物料!$B331=""),0,IF(OR(N(对接源_02物料!$B331)&lt;$K$2,N(对接源_02物料!$B331)&gt;$K$3),0,1))</f>
        <v>0</v>
      </c>
      <c r="L1531" s="3">
        <f>IF(OR($L$1="",对接源_02物料!$C331="",对接源_02物料!$C331&lt;&gt;$L$1,对接源_02物料!$B331=""),0,IF(OR(N(对接源_02物料!$B331)&lt;$L$2,N(对接源_02物料!$B331)&gt;$L$3),0,1))</f>
        <v>0</v>
      </c>
      <c r="M1531" s="3">
        <f>IF(OR($M$1="",对接源_02物料!$C331="",对接源_02物料!$C331&lt;&gt;$M$1,对接源_02物料!$B331=""),0,IF(OR(N(对接源_02物料!$B331)&lt;$M$2,N(对接源_02物料!$B331)&gt;$M$3),0,1))</f>
        <v>0</v>
      </c>
      <c r="N1531" s="3">
        <f>IF(OR($N$1="",对接源_02物料!$C331="",对接源_02物料!$C331&lt;&gt;$N$1,对接源_02物料!$B331=""),0,IF(OR(N(对接源_02物料!$B331)&lt;$N$2,N(对接源_02物料!$B331)&gt;$N$3),0,1))</f>
        <v>0</v>
      </c>
      <c r="P1531" s="3">
        <f>IF(AND($K1531=1,AND(对接源_02物料!$X331="公司筐",N(对接源_02物料!$T331)&lt;&gt;0)),1,0)</f>
        <v>0</v>
      </c>
      <c r="Q1531" s="3">
        <f t="shared" si="403"/>
        <v>8</v>
      </c>
      <c r="R1531" s="3">
        <f>IF(AND($K1531=1,AND(对接源_02物料!$X331="公司筐",N(对接源_02物料!$U331)&lt;&gt;0)),1,0)</f>
        <v>0</v>
      </c>
      <c r="S1531" s="3">
        <f t="shared" si="404"/>
        <v>0</v>
      </c>
      <c r="T1531" s="3">
        <f>IF(AND($K1531=1,AND(对接源_02物料!$X331="公司筐",N(对接源_02物料!$V331)&lt;&gt;0)),1,0)</f>
        <v>0</v>
      </c>
      <c r="U1531" s="3">
        <f t="shared" si="405"/>
        <v>19</v>
      </c>
      <c r="V1531" s="3">
        <f>IF(AND($L1531=1,AND(对接源_02物料!$X331="自备筐",N(对接源_02物料!$V331)&lt;&gt;0)),1,0)</f>
        <v>0</v>
      </c>
      <c r="W1531" s="3">
        <f t="shared" si="406"/>
        <v>8</v>
      </c>
      <c r="X1531" s="3">
        <f>IF(AND($L1531=1,AND(对接源_02物料!$X331="自备筐",N(对接源_02物料!$T331)&lt;&gt;0)),1,0)</f>
        <v>0</v>
      </c>
      <c r="Y1531" s="3">
        <f t="shared" si="407"/>
        <v>0</v>
      </c>
      <c r="Z1531" s="3">
        <f>IF(AND($M1531=1,对接源_02物料!$D331="原料入库"),1,0)</f>
        <v>0</v>
      </c>
      <c r="AA1531" s="3">
        <f t="shared" si="408"/>
        <v>24</v>
      </c>
      <c r="AB1531" s="3">
        <f>IF(AND($M1531=1,LEFT(对接源_02物料!$D331,4)="原料出库"),1,0)</f>
        <v>0</v>
      </c>
      <c r="AC1531" s="3">
        <f t="shared" si="409"/>
        <v>0</v>
      </c>
      <c r="AD1531" s="3">
        <f>IF(AND($M1531=1,LEFT(对接源_02物料!$D331,4)="成品出库"),1,0)</f>
        <v>0</v>
      </c>
      <c r="AE1531" s="3">
        <f t="shared" si="410"/>
        <v>0</v>
      </c>
      <c r="AF1531" s="3">
        <f>IF(AND($N1531=1,AND(LEFT(对接源_02物料!$D331,4)="包装物料",N(对接源_02物料!$K331)&lt;&gt;0)),1,0)</f>
        <v>0</v>
      </c>
      <c r="AG1531" s="3">
        <f t="shared" si="411"/>
        <v>5</v>
      </c>
      <c r="AH1531" s="3">
        <f>IF(AND($N1531=1,AND(对接源_02物料!$D331="周转筐－销售出库",N(对接源_02物料!$K331)&lt;&gt;0)),1,0)</f>
        <v>0</v>
      </c>
      <c r="AI1531" s="3">
        <f t="shared" si="412"/>
        <v>0</v>
      </c>
      <c r="AL1531" s="3">
        <v>0</v>
      </c>
      <c r="AM1531" s="3">
        <f t="shared" si="413"/>
        <v>1</v>
      </c>
      <c r="AN1531" s="3" t="str">
        <f t="shared" si="417"/>
        <v/>
      </c>
      <c r="AO1531" s="3">
        <v>0</v>
      </c>
      <c r="AP1531" s="3">
        <f t="shared" si="414"/>
        <v>8</v>
      </c>
      <c r="AR1531">
        <f t="shared" si="415"/>
        <v>0</v>
      </c>
      <c r="AS1531">
        <f t="shared" si="416"/>
        <v>5</v>
      </c>
    </row>
    <row r="1532" customHeight="1" spans="1:45">
      <c r="A1532" s="3" t="str">
        <f>IF(对接源_02物料!$C332="","",对接源_02物料!$C332)</f>
        <v/>
      </c>
      <c r="B1532" s="3">
        <f t="shared" si="401"/>
        <v>0</v>
      </c>
      <c r="C1532" s="3">
        <f t="shared" si="402"/>
        <v>21</v>
      </c>
      <c r="K1532" s="3">
        <f>IF(OR($K$1="",对接源_02物料!$C332="",对接源_02物料!$C332&lt;&gt;$K$1,对接源_02物料!$B332=""),0,IF(OR(N(对接源_02物料!$B332)&lt;$K$2,N(对接源_02物料!$B332)&gt;$K$3),0,1))</f>
        <v>0</v>
      </c>
      <c r="L1532" s="3">
        <f>IF(OR($L$1="",对接源_02物料!$C332="",对接源_02物料!$C332&lt;&gt;$L$1,对接源_02物料!$B332=""),0,IF(OR(N(对接源_02物料!$B332)&lt;$L$2,N(对接源_02物料!$B332)&gt;$L$3),0,1))</f>
        <v>0</v>
      </c>
      <c r="M1532" s="3">
        <f>IF(OR($M$1="",对接源_02物料!$C332="",对接源_02物料!$C332&lt;&gt;$M$1,对接源_02物料!$B332=""),0,IF(OR(N(对接源_02物料!$B332)&lt;$M$2,N(对接源_02物料!$B332)&gt;$M$3),0,1))</f>
        <v>0</v>
      </c>
      <c r="N1532" s="3">
        <f>IF(OR($N$1="",对接源_02物料!$C332="",对接源_02物料!$C332&lt;&gt;$N$1,对接源_02物料!$B332=""),0,IF(OR(N(对接源_02物料!$B332)&lt;$N$2,N(对接源_02物料!$B332)&gt;$N$3),0,1))</f>
        <v>0</v>
      </c>
      <c r="P1532" s="3">
        <f>IF(AND($K1532=1,AND(对接源_02物料!$X332="公司筐",N(对接源_02物料!$T332)&lt;&gt;0)),1,0)</f>
        <v>0</v>
      </c>
      <c r="Q1532" s="3">
        <f t="shared" si="403"/>
        <v>8</v>
      </c>
      <c r="R1532" s="3">
        <f>IF(AND($K1532=1,AND(对接源_02物料!$X332="公司筐",N(对接源_02物料!$U332)&lt;&gt;0)),1,0)</f>
        <v>0</v>
      </c>
      <c r="S1532" s="3">
        <f t="shared" si="404"/>
        <v>0</v>
      </c>
      <c r="T1532" s="3">
        <f>IF(AND($K1532=1,AND(对接源_02物料!$X332="公司筐",N(对接源_02物料!$V332)&lt;&gt;0)),1,0)</f>
        <v>0</v>
      </c>
      <c r="U1532" s="3">
        <f t="shared" si="405"/>
        <v>19</v>
      </c>
      <c r="V1532" s="3">
        <f>IF(AND($L1532=1,AND(对接源_02物料!$X332="自备筐",N(对接源_02物料!$V332)&lt;&gt;0)),1,0)</f>
        <v>0</v>
      </c>
      <c r="W1532" s="3">
        <f t="shared" si="406"/>
        <v>8</v>
      </c>
      <c r="X1532" s="3">
        <f>IF(AND($L1532=1,AND(对接源_02物料!$X332="自备筐",N(对接源_02物料!$T332)&lt;&gt;0)),1,0)</f>
        <v>0</v>
      </c>
      <c r="Y1532" s="3">
        <f t="shared" si="407"/>
        <v>0</v>
      </c>
      <c r="Z1532" s="3">
        <f>IF(AND($M1532=1,对接源_02物料!$D332="原料入库"),1,0)</f>
        <v>0</v>
      </c>
      <c r="AA1532" s="3">
        <f t="shared" si="408"/>
        <v>24</v>
      </c>
      <c r="AB1532" s="3">
        <f>IF(AND($M1532=1,LEFT(对接源_02物料!$D332,4)="原料出库"),1,0)</f>
        <v>0</v>
      </c>
      <c r="AC1532" s="3">
        <f t="shared" si="409"/>
        <v>0</v>
      </c>
      <c r="AD1532" s="3">
        <f>IF(AND($M1532=1,LEFT(对接源_02物料!$D332,4)="成品出库"),1,0)</f>
        <v>0</v>
      </c>
      <c r="AE1532" s="3">
        <f t="shared" si="410"/>
        <v>0</v>
      </c>
      <c r="AF1532" s="3">
        <f>IF(AND($N1532=1,AND(LEFT(对接源_02物料!$D332,4)="包装物料",N(对接源_02物料!$K332)&lt;&gt;0)),1,0)</f>
        <v>0</v>
      </c>
      <c r="AG1532" s="3">
        <f t="shared" si="411"/>
        <v>5</v>
      </c>
      <c r="AH1532" s="3">
        <f>IF(AND($N1532=1,AND(对接源_02物料!$D332="周转筐－销售出库",N(对接源_02物料!$K332)&lt;&gt;0)),1,0)</f>
        <v>0</v>
      </c>
      <c r="AI1532" s="3">
        <f t="shared" si="412"/>
        <v>0</v>
      </c>
      <c r="AL1532" s="3">
        <v>0</v>
      </c>
      <c r="AM1532" s="3">
        <f t="shared" si="413"/>
        <v>1</v>
      </c>
      <c r="AN1532" s="3" t="str">
        <f t="shared" si="417"/>
        <v/>
      </c>
      <c r="AO1532" s="3">
        <v>0</v>
      </c>
      <c r="AP1532" s="3">
        <f t="shared" si="414"/>
        <v>8</v>
      </c>
      <c r="AR1532">
        <f t="shared" si="415"/>
        <v>0</v>
      </c>
      <c r="AS1532">
        <f t="shared" si="416"/>
        <v>5</v>
      </c>
    </row>
    <row r="1533" customHeight="1" spans="1:45">
      <c r="A1533" s="3" t="str">
        <f>IF(对接源_02物料!$C333="","",对接源_02物料!$C333)</f>
        <v/>
      </c>
      <c r="B1533" s="3">
        <f t="shared" si="401"/>
        <v>0</v>
      </c>
      <c r="C1533" s="3">
        <f t="shared" si="402"/>
        <v>21</v>
      </c>
      <c r="K1533" s="3">
        <f>IF(OR($K$1="",对接源_02物料!$C333="",对接源_02物料!$C333&lt;&gt;$K$1,对接源_02物料!$B333=""),0,IF(OR(N(对接源_02物料!$B333)&lt;$K$2,N(对接源_02物料!$B333)&gt;$K$3),0,1))</f>
        <v>0</v>
      </c>
      <c r="L1533" s="3">
        <f>IF(OR($L$1="",对接源_02物料!$C333="",对接源_02物料!$C333&lt;&gt;$L$1,对接源_02物料!$B333=""),0,IF(OR(N(对接源_02物料!$B333)&lt;$L$2,N(对接源_02物料!$B333)&gt;$L$3),0,1))</f>
        <v>0</v>
      </c>
      <c r="M1533" s="3">
        <f>IF(OR($M$1="",对接源_02物料!$C333="",对接源_02物料!$C333&lt;&gt;$M$1,对接源_02物料!$B333=""),0,IF(OR(N(对接源_02物料!$B333)&lt;$M$2,N(对接源_02物料!$B333)&gt;$M$3),0,1))</f>
        <v>0</v>
      </c>
      <c r="N1533" s="3">
        <f>IF(OR($N$1="",对接源_02物料!$C333="",对接源_02物料!$C333&lt;&gt;$N$1,对接源_02物料!$B333=""),0,IF(OR(N(对接源_02物料!$B333)&lt;$N$2,N(对接源_02物料!$B333)&gt;$N$3),0,1))</f>
        <v>0</v>
      </c>
      <c r="P1533" s="3">
        <f>IF(AND($K1533=1,AND(对接源_02物料!$X333="公司筐",N(对接源_02物料!$T333)&lt;&gt;0)),1,0)</f>
        <v>0</v>
      </c>
      <c r="Q1533" s="3">
        <f t="shared" si="403"/>
        <v>8</v>
      </c>
      <c r="R1533" s="3">
        <f>IF(AND($K1533=1,AND(对接源_02物料!$X333="公司筐",N(对接源_02物料!$U333)&lt;&gt;0)),1,0)</f>
        <v>0</v>
      </c>
      <c r="S1533" s="3">
        <f t="shared" si="404"/>
        <v>0</v>
      </c>
      <c r="T1533" s="3">
        <f>IF(AND($K1533=1,AND(对接源_02物料!$X333="公司筐",N(对接源_02物料!$V333)&lt;&gt;0)),1,0)</f>
        <v>0</v>
      </c>
      <c r="U1533" s="3">
        <f t="shared" si="405"/>
        <v>19</v>
      </c>
      <c r="V1533" s="3">
        <f>IF(AND($L1533=1,AND(对接源_02物料!$X333="自备筐",N(对接源_02物料!$V333)&lt;&gt;0)),1,0)</f>
        <v>0</v>
      </c>
      <c r="W1533" s="3">
        <f t="shared" si="406"/>
        <v>8</v>
      </c>
      <c r="X1533" s="3">
        <f>IF(AND($L1533=1,AND(对接源_02物料!$X333="自备筐",N(对接源_02物料!$T333)&lt;&gt;0)),1,0)</f>
        <v>0</v>
      </c>
      <c r="Y1533" s="3">
        <f t="shared" si="407"/>
        <v>0</v>
      </c>
      <c r="Z1533" s="3">
        <f>IF(AND($M1533=1,对接源_02物料!$D333="原料入库"),1,0)</f>
        <v>0</v>
      </c>
      <c r="AA1533" s="3">
        <f t="shared" si="408"/>
        <v>24</v>
      </c>
      <c r="AB1533" s="3">
        <f>IF(AND($M1533=1,LEFT(对接源_02物料!$D333,4)="原料出库"),1,0)</f>
        <v>0</v>
      </c>
      <c r="AC1533" s="3">
        <f t="shared" si="409"/>
        <v>0</v>
      </c>
      <c r="AD1533" s="3">
        <f>IF(AND($M1533=1,LEFT(对接源_02物料!$D333,4)="成品出库"),1,0)</f>
        <v>0</v>
      </c>
      <c r="AE1533" s="3">
        <f t="shared" si="410"/>
        <v>0</v>
      </c>
      <c r="AF1533" s="3">
        <f>IF(AND($N1533=1,AND(LEFT(对接源_02物料!$D333,4)="包装物料",N(对接源_02物料!$K333)&lt;&gt;0)),1,0)</f>
        <v>0</v>
      </c>
      <c r="AG1533" s="3">
        <f t="shared" si="411"/>
        <v>5</v>
      </c>
      <c r="AH1533" s="3">
        <f>IF(AND($N1533=1,AND(对接源_02物料!$D333="周转筐－销售出库",N(对接源_02物料!$K333)&lt;&gt;0)),1,0)</f>
        <v>0</v>
      </c>
      <c r="AI1533" s="3">
        <f t="shared" si="412"/>
        <v>0</v>
      </c>
      <c r="AL1533" s="3">
        <v>0</v>
      </c>
      <c r="AM1533" s="3">
        <f t="shared" si="413"/>
        <v>1</v>
      </c>
      <c r="AN1533" s="3" t="str">
        <f t="shared" si="417"/>
        <v/>
      </c>
      <c r="AO1533" s="3">
        <v>0</v>
      </c>
      <c r="AP1533" s="3">
        <f t="shared" si="414"/>
        <v>8</v>
      </c>
      <c r="AR1533">
        <f t="shared" si="415"/>
        <v>0</v>
      </c>
      <c r="AS1533">
        <f t="shared" si="416"/>
        <v>5</v>
      </c>
    </row>
    <row r="1534" customHeight="1" spans="1:45">
      <c r="A1534" s="3" t="str">
        <f>IF(对接源_02物料!$C334="","",对接源_02物料!$C334)</f>
        <v/>
      </c>
      <c r="B1534" s="3">
        <f t="shared" si="401"/>
        <v>0</v>
      </c>
      <c r="C1534" s="3">
        <f t="shared" si="402"/>
        <v>21</v>
      </c>
      <c r="K1534" s="3">
        <f>IF(OR($K$1="",对接源_02物料!$C334="",对接源_02物料!$C334&lt;&gt;$K$1,对接源_02物料!$B334=""),0,IF(OR(N(对接源_02物料!$B334)&lt;$K$2,N(对接源_02物料!$B334)&gt;$K$3),0,1))</f>
        <v>0</v>
      </c>
      <c r="L1534" s="3">
        <f>IF(OR($L$1="",对接源_02物料!$C334="",对接源_02物料!$C334&lt;&gt;$L$1,对接源_02物料!$B334=""),0,IF(OR(N(对接源_02物料!$B334)&lt;$L$2,N(对接源_02物料!$B334)&gt;$L$3),0,1))</f>
        <v>0</v>
      </c>
      <c r="M1534" s="3">
        <f>IF(OR($M$1="",对接源_02物料!$C334="",对接源_02物料!$C334&lt;&gt;$M$1,对接源_02物料!$B334=""),0,IF(OR(N(对接源_02物料!$B334)&lt;$M$2,N(对接源_02物料!$B334)&gt;$M$3),0,1))</f>
        <v>0</v>
      </c>
      <c r="N1534" s="3">
        <f>IF(OR($N$1="",对接源_02物料!$C334="",对接源_02物料!$C334&lt;&gt;$N$1,对接源_02物料!$B334=""),0,IF(OR(N(对接源_02物料!$B334)&lt;$N$2,N(对接源_02物料!$B334)&gt;$N$3),0,1))</f>
        <v>0</v>
      </c>
      <c r="P1534" s="3">
        <f>IF(AND($K1534=1,AND(对接源_02物料!$X334="公司筐",N(对接源_02物料!$T334)&lt;&gt;0)),1,0)</f>
        <v>0</v>
      </c>
      <c r="Q1534" s="3">
        <f t="shared" si="403"/>
        <v>8</v>
      </c>
      <c r="R1534" s="3">
        <f>IF(AND($K1534=1,AND(对接源_02物料!$X334="公司筐",N(对接源_02物料!$U334)&lt;&gt;0)),1,0)</f>
        <v>0</v>
      </c>
      <c r="S1534" s="3">
        <f t="shared" si="404"/>
        <v>0</v>
      </c>
      <c r="T1534" s="3">
        <f>IF(AND($K1534=1,AND(对接源_02物料!$X334="公司筐",N(对接源_02物料!$V334)&lt;&gt;0)),1,0)</f>
        <v>0</v>
      </c>
      <c r="U1534" s="3">
        <f t="shared" si="405"/>
        <v>19</v>
      </c>
      <c r="V1534" s="3">
        <f>IF(AND($L1534=1,AND(对接源_02物料!$X334="自备筐",N(对接源_02物料!$V334)&lt;&gt;0)),1,0)</f>
        <v>0</v>
      </c>
      <c r="W1534" s="3">
        <f t="shared" si="406"/>
        <v>8</v>
      </c>
      <c r="X1534" s="3">
        <f>IF(AND($L1534=1,AND(对接源_02物料!$X334="自备筐",N(对接源_02物料!$T334)&lt;&gt;0)),1,0)</f>
        <v>0</v>
      </c>
      <c r="Y1534" s="3">
        <f t="shared" si="407"/>
        <v>0</v>
      </c>
      <c r="Z1534" s="3">
        <f>IF(AND($M1534=1,对接源_02物料!$D334="原料入库"),1,0)</f>
        <v>0</v>
      </c>
      <c r="AA1534" s="3">
        <f t="shared" si="408"/>
        <v>24</v>
      </c>
      <c r="AB1534" s="3">
        <f>IF(AND($M1534=1,LEFT(对接源_02物料!$D334,4)="原料出库"),1,0)</f>
        <v>0</v>
      </c>
      <c r="AC1534" s="3">
        <f t="shared" si="409"/>
        <v>0</v>
      </c>
      <c r="AD1534" s="3">
        <f>IF(AND($M1534=1,LEFT(对接源_02物料!$D334,4)="成品出库"),1,0)</f>
        <v>0</v>
      </c>
      <c r="AE1534" s="3">
        <f t="shared" si="410"/>
        <v>0</v>
      </c>
      <c r="AF1534" s="3">
        <f>IF(AND($N1534=1,AND(LEFT(对接源_02物料!$D334,4)="包装物料",N(对接源_02物料!$K334)&lt;&gt;0)),1,0)</f>
        <v>0</v>
      </c>
      <c r="AG1534" s="3">
        <f t="shared" si="411"/>
        <v>5</v>
      </c>
      <c r="AH1534" s="3">
        <f>IF(AND($N1534=1,AND(对接源_02物料!$D334="周转筐－销售出库",N(对接源_02物料!$K334)&lt;&gt;0)),1,0)</f>
        <v>0</v>
      </c>
      <c r="AI1534" s="3">
        <f t="shared" si="412"/>
        <v>0</v>
      </c>
      <c r="AL1534" s="3">
        <v>0</v>
      </c>
      <c r="AM1534" s="3">
        <f t="shared" si="413"/>
        <v>1</v>
      </c>
      <c r="AN1534" s="3" t="str">
        <f t="shared" si="417"/>
        <v/>
      </c>
      <c r="AO1534" s="3">
        <v>0</v>
      </c>
      <c r="AP1534" s="3">
        <f t="shared" si="414"/>
        <v>8</v>
      </c>
      <c r="AR1534">
        <f t="shared" si="415"/>
        <v>0</v>
      </c>
      <c r="AS1534">
        <f t="shared" si="416"/>
        <v>5</v>
      </c>
    </row>
    <row r="1535" customHeight="1" spans="1:45">
      <c r="A1535" s="3" t="str">
        <f>IF(对接源_02物料!$C335="","",对接源_02物料!$C335)</f>
        <v/>
      </c>
      <c r="B1535" s="3">
        <f t="shared" si="401"/>
        <v>0</v>
      </c>
      <c r="C1535" s="3">
        <f t="shared" si="402"/>
        <v>21</v>
      </c>
      <c r="K1535" s="3">
        <f>IF(OR($K$1="",对接源_02物料!$C335="",对接源_02物料!$C335&lt;&gt;$K$1,对接源_02物料!$B335=""),0,IF(OR(N(对接源_02物料!$B335)&lt;$K$2,N(对接源_02物料!$B335)&gt;$K$3),0,1))</f>
        <v>0</v>
      </c>
      <c r="L1535" s="3">
        <f>IF(OR($L$1="",对接源_02物料!$C335="",对接源_02物料!$C335&lt;&gt;$L$1,对接源_02物料!$B335=""),0,IF(OR(N(对接源_02物料!$B335)&lt;$L$2,N(对接源_02物料!$B335)&gt;$L$3),0,1))</f>
        <v>0</v>
      </c>
      <c r="M1535" s="3">
        <f>IF(OR($M$1="",对接源_02物料!$C335="",对接源_02物料!$C335&lt;&gt;$M$1,对接源_02物料!$B335=""),0,IF(OR(N(对接源_02物料!$B335)&lt;$M$2,N(对接源_02物料!$B335)&gt;$M$3),0,1))</f>
        <v>0</v>
      </c>
      <c r="N1535" s="3">
        <f>IF(OR($N$1="",对接源_02物料!$C335="",对接源_02物料!$C335&lt;&gt;$N$1,对接源_02物料!$B335=""),0,IF(OR(N(对接源_02物料!$B335)&lt;$N$2,N(对接源_02物料!$B335)&gt;$N$3),0,1))</f>
        <v>0</v>
      </c>
      <c r="P1535" s="3">
        <f>IF(AND($K1535=1,AND(对接源_02物料!$X335="公司筐",N(对接源_02物料!$T335)&lt;&gt;0)),1,0)</f>
        <v>0</v>
      </c>
      <c r="Q1535" s="3">
        <f t="shared" si="403"/>
        <v>8</v>
      </c>
      <c r="R1535" s="3">
        <f>IF(AND($K1535=1,AND(对接源_02物料!$X335="公司筐",N(对接源_02物料!$U335)&lt;&gt;0)),1,0)</f>
        <v>0</v>
      </c>
      <c r="S1535" s="3">
        <f t="shared" si="404"/>
        <v>0</v>
      </c>
      <c r="T1535" s="3">
        <f>IF(AND($K1535=1,AND(对接源_02物料!$X335="公司筐",N(对接源_02物料!$V335)&lt;&gt;0)),1,0)</f>
        <v>0</v>
      </c>
      <c r="U1535" s="3">
        <f t="shared" si="405"/>
        <v>19</v>
      </c>
      <c r="V1535" s="3">
        <f>IF(AND($L1535=1,AND(对接源_02物料!$X335="自备筐",N(对接源_02物料!$V335)&lt;&gt;0)),1,0)</f>
        <v>0</v>
      </c>
      <c r="W1535" s="3">
        <f t="shared" si="406"/>
        <v>8</v>
      </c>
      <c r="X1535" s="3">
        <f>IF(AND($L1535=1,AND(对接源_02物料!$X335="自备筐",N(对接源_02物料!$T335)&lt;&gt;0)),1,0)</f>
        <v>0</v>
      </c>
      <c r="Y1535" s="3">
        <f t="shared" si="407"/>
        <v>0</v>
      </c>
      <c r="Z1535" s="3">
        <f>IF(AND($M1535=1,对接源_02物料!$D335="原料入库"),1,0)</f>
        <v>0</v>
      </c>
      <c r="AA1535" s="3">
        <f t="shared" si="408"/>
        <v>24</v>
      </c>
      <c r="AB1535" s="3">
        <f>IF(AND($M1535=1,LEFT(对接源_02物料!$D335,4)="原料出库"),1,0)</f>
        <v>0</v>
      </c>
      <c r="AC1535" s="3">
        <f t="shared" si="409"/>
        <v>0</v>
      </c>
      <c r="AD1535" s="3">
        <f>IF(AND($M1535=1,LEFT(对接源_02物料!$D335,4)="成品出库"),1,0)</f>
        <v>0</v>
      </c>
      <c r="AE1535" s="3">
        <f t="shared" si="410"/>
        <v>0</v>
      </c>
      <c r="AF1535" s="3">
        <f>IF(AND($N1535=1,AND(LEFT(对接源_02物料!$D335,4)="包装物料",N(对接源_02物料!$K335)&lt;&gt;0)),1,0)</f>
        <v>0</v>
      </c>
      <c r="AG1535" s="3">
        <f t="shared" si="411"/>
        <v>5</v>
      </c>
      <c r="AH1535" s="3">
        <f>IF(AND($N1535=1,AND(对接源_02物料!$D335="周转筐－销售出库",N(对接源_02物料!$K335)&lt;&gt;0)),1,0)</f>
        <v>0</v>
      </c>
      <c r="AI1535" s="3">
        <f t="shared" si="412"/>
        <v>0</v>
      </c>
      <c r="AL1535" s="3">
        <v>0</v>
      </c>
      <c r="AM1535" s="3">
        <f t="shared" si="413"/>
        <v>1</v>
      </c>
      <c r="AN1535" s="3" t="str">
        <f t="shared" si="417"/>
        <v/>
      </c>
      <c r="AO1535" s="3">
        <v>0</v>
      </c>
      <c r="AP1535" s="3">
        <f t="shared" si="414"/>
        <v>8</v>
      </c>
      <c r="AR1535">
        <f t="shared" si="415"/>
        <v>0</v>
      </c>
      <c r="AS1535">
        <f t="shared" si="416"/>
        <v>5</v>
      </c>
    </row>
    <row r="1536" customHeight="1" spans="1:45">
      <c r="A1536" s="3" t="str">
        <f>IF(对接源_02物料!$C336="","",对接源_02物料!$C336)</f>
        <v/>
      </c>
      <c r="B1536" s="3">
        <f t="shared" si="401"/>
        <v>0</v>
      </c>
      <c r="C1536" s="3">
        <f t="shared" si="402"/>
        <v>21</v>
      </c>
      <c r="K1536" s="3">
        <f>IF(OR($K$1="",对接源_02物料!$C336="",对接源_02物料!$C336&lt;&gt;$K$1,对接源_02物料!$B336=""),0,IF(OR(N(对接源_02物料!$B336)&lt;$K$2,N(对接源_02物料!$B336)&gt;$K$3),0,1))</f>
        <v>0</v>
      </c>
      <c r="L1536" s="3">
        <f>IF(OR($L$1="",对接源_02物料!$C336="",对接源_02物料!$C336&lt;&gt;$L$1,对接源_02物料!$B336=""),0,IF(OR(N(对接源_02物料!$B336)&lt;$L$2,N(对接源_02物料!$B336)&gt;$L$3),0,1))</f>
        <v>0</v>
      </c>
      <c r="M1536" s="3">
        <f>IF(OR($M$1="",对接源_02物料!$C336="",对接源_02物料!$C336&lt;&gt;$M$1,对接源_02物料!$B336=""),0,IF(OR(N(对接源_02物料!$B336)&lt;$M$2,N(对接源_02物料!$B336)&gt;$M$3),0,1))</f>
        <v>0</v>
      </c>
      <c r="N1536" s="3">
        <f>IF(OR($N$1="",对接源_02物料!$C336="",对接源_02物料!$C336&lt;&gt;$N$1,对接源_02物料!$B336=""),0,IF(OR(N(对接源_02物料!$B336)&lt;$N$2,N(对接源_02物料!$B336)&gt;$N$3),0,1))</f>
        <v>0</v>
      </c>
      <c r="P1536" s="3">
        <f>IF(AND($K1536=1,AND(对接源_02物料!$X336="公司筐",N(对接源_02物料!$T336)&lt;&gt;0)),1,0)</f>
        <v>0</v>
      </c>
      <c r="Q1536" s="3">
        <f t="shared" si="403"/>
        <v>8</v>
      </c>
      <c r="R1536" s="3">
        <f>IF(AND($K1536=1,AND(对接源_02物料!$X336="公司筐",N(对接源_02物料!$U336)&lt;&gt;0)),1,0)</f>
        <v>0</v>
      </c>
      <c r="S1536" s="3">
        <f t="shared" si="404"/>
        <v>0</v>
      </c>
      <c r="T1536" s="3">
        <f>IF(AND($K1536=1,AND(对接源_02物料!$X336="公司筐",N(对接源_02物料!$V336)&lt;&gt;0)),1,0)</f>
        <v>0</v>
      </c>
      <c r="U1536" s="3">
        <f t="shared" si="405"/>
        <v>19</v>
      </c>
      <c r="V1536" s="3">
        <f>IF(AND($L1536=1,AND(对接源_02物料!$X336="自备筐",N(对接源_02物料!$V336)&lt;&gt;0)),1,0)</f>
        <v>0</v>
      </c>
      <c r="W1536" s="3">
        <f t="shared" si="406"/>
        <v>8</v>
      </c>
      <c r="X1536" s="3">
        <f>IF(AND($L1536=1,AND(对接源_02物料!$X336="自备筐",N(对接源_02物料!$T336)&lt;&gt;0)),1,0)</f>
        <v>0</v>
      </c>
      <c r="Y1536" s="3">
        <f t="shared" si="407"/>
        <v>0</v>
      </c>
      <c r="Z1536" s="3">
        <f>IF(AND($M1536=1,对接源_02物料!$D336="原料入库"),1,0)</f>
        <v>0</v>
      </c>
      <c r="AA1536" s="3">
        <f t="shared" si="408"/>
        <v>24</v>
      </c>
      <c r="AB1536" s="3">
        <f>IF(AND($M1536=1,LEFT(对接源_02物料!$D336,4)="原料出库"),1,0)</f>
        <v>0</v>
      </c>
      <c r="AC1536" s="3">
        <f t="shared" si="409"/>
        <v>0</v>
      </c>
      <c r="AD1536" s="3">
        <f>IF(AND($M1536=1,LEFT(对接源_02物料!$D336,4)="成品出库"),1,0)</f>
        <v>0</v>
      </c>
      <c r="AE1536" s="3">
        <f t="shared" si="410"/>
        <v>0</v>
      </c>
      <c r="AF1536" s="3">
        <f>IF(AND($N1536=1,AND(LEFT(对接源_02物料!$D336,4)="包装物料",N(对接源_02物料!$K336)&lt;&gt;0)),1,0)</f>
        <v>0</v>
      </c>
      <c r="AG1536" s="3">
        <f t="shared" si="411"/>
        <v>5</v>
      </c>
      <c r="AH1536" s="3">
        <f>IF(AND($N1536=1,AND(对接源_02物料!$D336="周转筐－销售出库",N(对接源_02物料!$K336)&lt;&gt;0)),1,0)</f>
        <v>0</v>
      </c>
      <c r="AI1536" s="3">
        <f t="shared" si="412"/>
        <v>0</v>
      </c>
      <c r="AL1536" s="3">
        <v>0</v>
      </c>
      <c r="AM1536" s="3">
        <f t="shared" si="413"/>
        <v>1</v>
      </c>
      <c r="AN1536" s="3" t="str">
        <f t="shared" si="417"/>
        <v/>
      </c>
      <c r="AO1536" s="3">
        <v>0</v>
      </c>
      <c r="AP1536" s="3">
        <f t="shared" si="414"/>
        <v>8</v>
      </c>
      <c r="AR1536">
        <f t="shared" si="415"/>
        <v>0</v>
      </c>
      <c r="AS1536">
        <f t="shared" si="416"/>
        <v>5</v>
      </c>
    </row>
    <row r="1537" customHeight="1" spans="1:45">
      <c r="A1537" s="3" t="str">
        <f>IF(对接源_02物料!$C337="","",对接源_02物料!$C337)</f>
        <v/>
      </c>
      <c r="B1537" s="3">
        <f t="shared" si="401"/>
        <v>0</v>
      </c>
      <c r="C1537" s="3">
        <f t="shared" si="402"/>
        <v>21</v>
      </c>
      <c r="K1537" s="3">
        <f>IF(OR($K$1="",对接源_02物料!$C337="",对接源_02物料!$C337&lt;&gt;$K$1,对接源_02物料!$B337=""),0,IF(OR(N(对接源_02物料!$B337)&lt;$K$2,N(对接源_02物料!$B337)&gt;$K$3),0,1))</f>
        <v>0</v>
      </c>
      <c r="L1537" s="3">
        <f>IF(OR($L$1="",对接源_02物料!$C337="",对接源_02物料!$C337&lt;&gt;$L$1,对接源_02物料!$B337=""),0,IF(OR(N(对接源_02物料!$B337)&lt;$L$2,N(对接源_02物料!$B337)&gt;$L$3),0,1))</f>
        <v>0</v>
      </c>
      <c r="M1537" s="3">
        <f>IF(OR($M$1="",对接源_02物料!$C337="",对接源_02物料!$C337&lt;&gt;$M$1,对接源_02物料!$B337=""),0,IF(OR(N(对接源_02物料!$B337)&lt;$M$2,N(对接源_02物料!$B337)&gt;$M$3),0,1))</f>
        <v>0</v>
      </c>
      <c r="N1537" s="3">
        <f>IF(OR($N$1="",对接源_02物料!$C337="",对接源_02物料!$C337&lt;&gt;$N$1,对接源_02物料!$B337=""),0,IF(OR(N(对接源_02物料!$B337)&lt;$N$2,N(对接源_02物料!$B337)&gt;$N$3),0,1))</f>
        <v>0</v>
      </c>
      <c r="P1537" s="3">
        <f>IF(AND($K1537=1,AND(对接源_02物料!$X337="公司筐",N(对接源_02物料!$T337)&lt;&gt;0)),1,0)</f>
        <v>0</v>
      </c>
      <c r="Q1537" s="3">
        <f t="shared" si="403"/>
        <v>8</v>
      </c>
      <c r="R1537" s="3">
        <f>IF(AND($K1537=1,AND(对接源_02物料!$X337="公司筐",N(对接源_02物料!$U337)&lt;&gt;0)),1,0)</f>
        <v>0</v>
      </c>
      <c r="S1537" s="3">
        <f t="shared" si="404"/>
        <v>0</v>
      </c>
      <c r="T1537" s="3">
        <f>IF(AND($K1537=1,AND(对接源_02物料!$X337="公司筐",N(对接源_02物料!$V337)&lt;&gt;0)),1,0)</f>
        <v>0</v>
      </c>
      <c r="U1537" s="3">
        <f t="shared" si="405"/>
        <v>19</v>
      </c>
      <c r="V1537" s="3">
        <f>IF(AND($L1537=1,AND(对接源_02物料!$X337="自备筐",N(对接源_02物料!$V337)&lt;&gt;0)),1,0)</f>
        <v>0</v>
      </c>
      <c r="W1537" s="3">
        <f t="shared" si="406"/>
        <v>8</v>
      </c>
      <c r="X1537" s="3">
        <f>IF(AND($L1537=1,AND(对接源_02物料!$X337="自备筐",N(对接源_02物料!$T337)&lt;&gt;0)),1,0)</f>
        <v>0</v>
      </c>
      <c r="Y1537" s="3">
        <f t="shared" si="407"/>
        <v>0</v>
      </c>
      <c r="Z1537" s="3">
        <f>IF(AND($M1537=1,对接源_02物料!$D337="原料入库"),1,0)</f>
        <v>0</v>
      </c>
      <c r="AA1537" s="3">
        <f t="shared" si="408"/>
        <v>24</v>
      </c>
      <c r="AB1537" s="3">
        <f>IF(AND($M1537=1,LEFT(对接源_02物料!$D337,4)="原料出库"),1,0)</f>
        <v>0</v>
      </c>
      <c r="AC1537" s="3">
        <f t="shared" si="409"/>
        <v>0</v>
      </c>
      <c r="AD1537" s="3">
        <f>IF(AND($M1537=1,LEFT(对接源_02物料!$D337,4)="成品出库"),1,0)</f>
        <v>0</v>
      </c>
      <c r="AE1537" s="3">
        <f t="shared" si="410"/>
        <v>0</v>
      </c>
      <c r="AF1537" s="3">
        <f>IF(AND($N1537=1,AND(LEFT(对接源_02物料!$D337,4)="包装物料",N(对接源_02物料!$K337)&lt;&gt;0)),1,0)</f>
        <v>0</v>
      </c>
      <c r="AG1537" s="3">
        <f t="shared" si="411"/>
        <v>5</v>
      </c>
      <c r="AH1537" s="3">
        <f>IF(AND($N1537=1,AND(对接源_02物料!$D337="周转筐－销售出库",N(对接源_02物料!$K337)&lt;&gt;0)),1,0)</f>
        <v>0</v>
      </c>
      <c r="AI1537" s="3">
        <f t="shared" si="412"/>
        <v>0</v>
      </c>
      <c r="AL1537" s="3">
        <v>0</v>
      </c>
      <c r="AM1537" s="3">
        <f t="shared" si="413"/>
        <v>1</v>
      </c>
      <c r="AN1537" s="3" t="str">
        <f t="shared" si="417"/>
        <v/>
      </c>
      <c r="AO1537" s="3">
        <v>0</v>
      </c>
      <c r="AP1537" s="3">
        <f t="shared" si="414"/>
        <v>8</v>
      </c>
      <c r="AR1537">
        <f t="shared" si="415"/>
        <v>0</v>
      </c>
      <c r="AS1537">
        <f t="shared" si="416"/>
        <v>5</v>
      </c>
    </row>
    <row r="1538" customHeight="1" spans="1:45">
      <c r="A1538" s="3" t="str">
        <f>IF(对接源_02物料!$C338="","",对接源_02物料!$C338)</f>
        <v/>
      </c>
      <c r="B1538" s="3">
        <f t="shared" si="401"/>
        <v>0</v>
      </c>
      <c r="C1538" s="3">
        <f t="shared" si="402"/>
        <v>21</v>
      </c>
      <c r="K1538" s="3">
        <f>IF(OR($K$1="",对接源_02物料!$C338="",对接源_02物料!$C338&lt;&gt;$K$1,对接源_02物料!$B338=""),0,IF(OR(N(对接源_02物料!$B338)&lt;$K$2,N(对接源_02物料!$B338)&gt;$K$3),0,1))</f>
        <v>0</v>
      </c>
      <c r="L1538" s="3">
        <f>IF(OR($L$1="",对接源_02物料!$C338="",对接源_02物料!$C338&lt;&gt;$L$1,对接源_02物料!$B338=""),0,IF(OR(N(对接源_02物料!$B338)&lt;$L$2,N(对接源_02物料!$B338)&gt;$L$3),0,1))</f>
        <v>0</v>
      </c>
      <c r="M1538" s="3">
        <f>IF(OR($M$1="",对接源_02物料!$C338="",对接源_02物料!$C338&lt;&gt;$M$1,对接源_02物料!$B338=""),0,IF(OR(N(对接源_02物料!$B338)&lt;$M$2,N(对接源_02物料!$B338)&gt;$M$3),0,1))</f>
        <v>0</v>
      </c>
      <c r="N1538" s="3">
        <f>IF(OR($N$1="",对接源_02物料!$C338="",对接源_02物料!$C338&lt;&gt;$N$1,对接源_02物料!$B338=""),0,IF(OR(N(对接源_02物料!$B338)&lt;$N$2,N(对接源_02物料!$B338)&gt;$N$3),0,1))</f>
        <v>0</v>
      </c>
      <c r="P1538" s="3">
        <f>IF(AND($K1538=1,AND(对接源_02物料!$X338="公司筐",N(对接源_02物料!$T338)&lt;&gt;0)),1,0)</f>
        <v>0</v>
      </c>
      <c r="Q1538" s="3">
        <f t="shared" si="403"/>
        <v>8</v>
      </c>
      <c r="R1538" s="3">
        <f>IF(AND($K1538=1,AND(对接源_02物料!$X338="公司筐",N(对接源_02物料!$U338)&lt;&gt;0)),1,0)</f>
        <v>0</v>
      </c>
      <c r="S1538" s="3">
        <f t="shared" si="404"/>
        <v>0</v>
      </c>
      <c r="T1538" s="3">
        <f>IF(AND($K1538=1,AND(对接源_02物料!$X338="公司筐",N(对接源_02物料!$V338)&lt;&gt;0)),1,0)</f>
        <v>0</v>
      </c>
      <c r="U1538" s="3">
        <f t="shared" si="405"/>
        <v>19</v>
      </c>
      <c r="V1538" s="3">
        <f>IF(AND($L1538=1,AND(对接源_02物料!$X338="自备筐",N(对接源_02物料!$V338)&lt;&gt;0)),1,0)</f>
        <v>0</v>
      </c>
      <c r="W1538" s="3">
        <f t="shared" si="406"/>
        <v>8</v>
      </c>
      <c r="X1538" s="3">
        <f>IF(AND($L1538=1,AND(对接源_02物料!$X338="自备筐",N(对接源_02物料!$T338)&lt;&gt;0)),1,0)</f>
        <v>0</v>
      </c>
      <c r="Y1538" s="3">
        <f t="shared" si="407"/>
        <v>0</v>
      </c>
      <c r="Z1538" s="3">
        <f>IF(AND($M1538=1,对接源_02物料!$D338="原料入库"),1,0)</f>
        <v>0</v>
      </c>
      <c r="AA1538" s="3">
        <f t="shared" si="408"/>
        <v>24</v>
      </c>
      <c r="AB1538" s="3">
        <f>IF(AND($M1538=1,LEFT(对接源_02物料!$D338,4)="原料出库"),1,0)</f>
        <v>0</v>
      </c>
      <c r="AC1538" s="3">
        <f t="shared" si="409"/>
        <v>0</v>
      </c>
      <c r="AD1538" s="3">
        <f>IF(AND($M1538=1,LEFT(对接源_02物料!$D338,4)="成品出库"),1,0)</f>
        <v>0</v>
      </c>
      <c r="AE1538" s="3">
        <f t="shared" si="410"/>
        <v>0</v>
      </c>
      <c r="AF1538" s="3">
        <f>IF(AND($N1538=1,AND(LEFT(对接源_02物料!$D338,4)="包装物料",N(对接源_02物料!$K338)&lt;&gt;0)),1,0)</f>
        <v>0</v>
      </c>
      <c r="AG1538" s="3">
        <f t="shared" si="411"/>
        <v>5</v>
      </c>
      <c r="AH1538" s="3">
        <f>IF(AND($N1538=1,AND(对接源_02物料!$D338="周转筐－销售出库",N(对接源_02物料!$K338)&lt;&gt;0)),1,0)</f>
        <v>0</v>
      </c>
      <c r="AI1538" s="3">
        <f t="shared" si="412"/>
        <v>0</v>
      </c>
      <c r="AL1538" s="3">
        <v>0</v>
      </c>
      <c r="AM1538" s="3">
        <f t="shared" si="413"/>
        <v>1</v>
      </c>
      <c r="AN1538" s="3" t="str">
        <f t="shared" si="417"/>
        <v/>
      </c>
      <c r="AO1538" s="3">
        <v>0</v>
      </c>
      <c r="AP1538" s="3">
        <f t="shared" si="414"/>
        <v>8</v>
      </c>
      <c r="AR1538">
        <f t="shared" si="415"/>
        <v>0</v>
      </c>
      <c r="AS1538">
        <f t="shared" si="416"/>
        <v>5</v>
      </c>
    </row>
    <row r="1539" customHeight="1" spans="1:45">
      <c r="A1539" s="3" t="str">
        <f>IF(对接源_02物料!$C339="","",对接源_02物料!$C339)</f>
        <v/>
      </c>
      <c r="B1539" s="3">
        <f t="shared" si="401"/>
        <v>0</v>
      </c>
      <c r="C1539" s="3">
        <f t="shared" si="402"/>
        <v>21</v>
      </c>
      <c r="K1539" s="3">
        <f>IF(OR($K$1="",对接源_02物料!$C339="",对接源_02物料!$C339&lt;&gt;$K$1,对接源_02物料!$B339=""),0,IF(OR(N(对接源_02物料!$B339)&lt;$K$2,N(对接源_02物料!$B339)&gt;$K$3),0,1))</f>
        <v>0</v>
      </c>
      <c r="L1539" s="3">
        <f>IF(OR($L$1="",对接源_02物料!$C339="",对接源_02物料!$C339&lt;&gt;$L$1,对接源_02物料!$B339=""),0,IF(OR(N(对接源_02物料!$B339)&lt;$L$2,N(对接源_02物料!$B339)&gt;$L$3),0,1))</f>
        <v>0</v>
      </c>
      <c r="M1539" s="3">
        <f>IF(OR($M$1="",对接源_02物料!$C339="",对接源_02物料!$C339&lt;&gt;$M$1,对接源_02物料!$B339=""),0,IF(OR(N(对接源_02物料!$B339)&lt;$M$2,N(对接源_02物料!$B339)&gt;$M$3),0,1))</f>
        <v>0</v>
      </c>
      <c r="N1539" s="3">
        <f>IF(OR($N$1="",对接源_02物料!$C339="",对接源_02物料!$C339&lt;&gt;$N$1,对接源_02物料!$B339=""),0,IF(OR(N(对接源_02物料!$B339)&lt;$N$2,N(对接源_02物料!$B339)&gt;$N$3),0,1))</f>
        <v>0</v>
      </c>
      <c r="P1539" s="3">
        <f>IF(AND($K1539=1,AND(对接源_02物料!$X339="公司筐",N(对接源_02物料!$T339)&lt;&gt;0)),1,0)</f>
        <v>0</v>
      </c>
      <c r="Q1539" s="3">
        <f t="shared" si="403"/>
        <v>8</v>
      </c>
      <c r="R1539" s="3">
        <f>IF(AND($K1539=1,AND(对接源_02物料!$X339="公司筐",N(对接源_02物料!$U339)&lt;&gt;0)),1,0)</f>
        <v>0</v>
      </c>
      <c r="S1539" s="3">
        <f t="shared" si="404"/>
        <v>0</v>
      </c>
      <c r="T1539" s="3">
        <f>IF(AND($K1539=1,AND(对接源_02物料!$X339="公司筐",N(对接源_02物料!$V339)&lt;&gt;0)),1,0)</f>
        <v>0</v>
      </c>
      <c r="U1539" s="3">
        <f t="shared" si="405"/>
        <v>19</v>
      </c>
      <c r="V1539" s="3">
        <f>IF(AND($L1539=1,AND(对接源_02物料!$X339="自备筐",N(对接源_02物料!$V339)&lt;&gt;0)),1,0)</f>
        <v>0</v>
      </c>
      <c r="W1539" s="3">
        <f t="shared" si="406"/>
        <v>8</v>
      </c>
      <c r="X1539" s="3">
        <f>IF(AND($L1539=1,AND(对接源_02物料!$X339="自备筐",N(对接源_02物料!$T339)&lt;&gt;0)),1,0)</f>
        <v>0</v>
      </c>
      <c r="Y1539" s="3">
        <f t="shared" si="407"/>
        <v>0</v>
      </c>
      <c r="Z1539" s="3">
        <f>IF(AND($M1539=1,对接源_02物料!$D339="原料入库"),1,0)</f>
        <v>0</v>
      </c>
      <c r="AA1539" s="3">
        <f t="shared" si="408"/>
        <v>24</v>
      </c>
      <c r="AB1539" s="3">
        <f>IF(AND($M1539=1,LEFT(对接源_02物料!$D339,4)="原料出库"),1,0)</f>
        <v>0</v>
      </c>
      <c r="AC1539" s="3">
        <f t="shared" si="409"/>
        <v>0</v>
      </c>
      <c r="AD1539" s="3">
        <f>IF(AND($M1539=1,LEFT(对接源_02物料!$D339,4)="成品出库"),1,0)</f>
        <v>0</v>
      </c>
      <c r="AE1539" s="3">
        <f t="shared" si="410"/>
        <v>0</v>
      </c>
      <c r="AF1539" s="3">
        <f>IF(AND($N1539=1,AND(LEFT(对接源_02物料!$D339,4)="包装物料",N(对接源_02物料!$K339)&lt;&gt;0)),1,0)</f>
        <v>0</v>
      </c>
      <c r="AG1539" s="3">
        <f t="shared" si="411"/>
        <v>5</v>
      </c>
      <c r="AH1539" s="3">
        <f>IF(AND($N1539=1,AND(对接源_02物料!$D339="周转筐－销售出库",N(对接源_02物料!$K339)&lt;&gt;0)),1,0)</f>
        <v>0</v>
      </c>
      <c r="AI1539" s="3">
        <f t="shared" si="412"/>
        <v>0</v>
      </c>
      <c r="AL1539" s="3">
        <v>0</v>
      </c>
      <c r="AM1539" s="3">
        <f t="shared" si="413"/>
        <v>1</v>
      </c>
      <c r="AN1539" s="3" t="str">
        <f t="shared" si="417"/>
        <v/>
      </c>
      <c r="AO1539" s="3">
        <v>0</v>
      </c>
      <c r="AP1539" s="3">
        <f t="shared" si="414"/>
        <v>8</v>
      </c>
      <c r="AR1539">
        <f t="shared" si="415"/>
        <v>0</v>
      </c>
      <c r="AS1539">
        <f t="shared" si="416"/>
        <v>5</v>
      </c>
    </row>
    <row r="1540" customHeight="1" spans="1:45">
      <c r="A1540" s="3" t="str">
        <f>IF(对接源_02物料!$C340="","",对接源_02物料!$C340)</f>
        <v/>
      </c>
      <c r="B1540" s="3">
        <f t="shared" ref="B1540:B1603" si="418">IF(A1540="",0,IF(MATCH(A1540,$A$4:$A$2403,0)=ROW()-3,1,0))</f>
        <v>0</v>
      </c>
      <c r="C1540" s="3">
        <f t="shared" ref="C1540:C1603" si="419">N(C1539)+B1540</f>
        <v>21</v>
      </c>
      <c r="K1540" s="3">
        <f>IF(OR($K$1="",对接源_02物料!$C340="",对接源_02物料!$C340&lt;&gt;$K$1,对接源_02物料!$B340=""),0,IF(OR(N(对接源_02物料!$B340)&lt;$K$2,N(对接源_02物料!$B340)&gt;$K$3),0,1))</f>
        <v>0</v>
      </c>
      <c r="L1540" s="3">
        <f>IF(OR($L$1="",对接源_02物料!$C340="",对接源_02物料!$C340&lt;&gt;$L$1,对接源_02物料!$B340=""),0,IF(OR(N(对接源_02物料!$B340)&lt;$L$2,N(对接源_02物料!$B340)&gt;$L$3),0,1))</f>
        <v>0</v>
      </c>
      <c r="M1540" s="3">
        <f>IF(OR($M$1="",对接源_02物料!$C340="",对接源_02物料!$C340&lt;&gt;$M$1,对接源_02物料!$B340=""),0,IF(OR(N(对接源_02物料!$B340)&lt;$M$2,N(对接源_02物料!$B340)&gt;$M$3),0,1))</f>
        <v>0</v>
      </c>
      <c r="N1540" s="3">
        <f>IF(OR($N$1="",对接源_02物料!$C340="",对接源_02物料!$C340&lt;&gt;$N$1,对接源_02物料!$B340=""),0,IF(OR(N(对接源_02物料!$B340)&lt;$N$2,N(对接源_02物料!$B340)&gt;$N$3),0,1))</f>
        <v>0</v>
      </c>
      <c r="P1540" s="3">
        <f>IF(AND($K1540=1,AND(对接源_02物料!$X340="公司筐",N(对接源_02物料!$T340)&lt;&gt;0)),1,0)</f>
        <v>0</v>
      </c>
      <c r="Q1540" s="3">
        <f t="shared" ref="Q1540:Q1603" si="420">N(Q1539)+$P1540</f>
        <v>8</v>
      </c>
      <c r="R1540" s="3">
        <f>IF(AND($K1540=1,AND(对接源_02物料!$X340="公司筐",N(对接源_02物料!$U340)&lt;&gt;0)),1,0)</f>
        <v>0</v>
      </c>
      <c r="S1540" s="3">
        <f t="shared" ref="S1540:S1603" si="421">N(S1539)+$R1540</f>
        <v>0</v>
      </c>
      <c r="T1540" s="3">
        <f>IF(AND($K1540=1,AND(对接源_02物料!$X340="公司筐",N(对接源_02物料!$V340)&lt;&gt;0)),1,0)</f>
        <v>0</v>
      </c>
      <c r="U1540" s="3">
        <f t="shared" ref="U1540:U1603" si="422">N(U1539)+$T1540</f>
        <v>19</v>
      </c>
      <c r="V1540" s="3">
        <f>IF(AND($L1540=1,AND(对接源_02物料!$X340="自备筐",N(对接源_02物料!$V340)&lt;&gt;0)),1,0)</f>
        <v>0</v>
      </c>
      <c r="W1540" s="3">
        <f t="shared" ref="W1540:W1603" si="423">N(W1539)+$V1540</f>
        <v>8</v>
      </c>
      <c r="X1540" s="3">
        <f>IF(AND($L1540=1,AND(对接源_02物料!$X340="自备筐",N(对接源_02物料!$T340)&lt;&gt;0)),1,0)</f>
        <v>0</v>
      </c>
      <c r="Y1540" s="3">
        <f t="shared" ref="Y1540:Y1603" si="424">N(Y1539)+$X1540</f>
        <v>0</v>
      </c>
      <c r="Z1540" s="3">
        <f>IF(AND($M1540=1,对接源_02物料!$D340="原料入库"),1,0)</f>
        <v>0</v>
      </c>
      <c r="AA1540" s="3">
        <f t="shared" ref="AA1540:AA1603" si="425">N(AA1539)+$Z1540</f>
        <v>24</v>
      </c>
      <c r="AB1540" s="3">
        <f>IF(AND($M1540=1,LEFT(对接源_02物料!$D340,4)="原料出库"),1,0)</f>
        <v>0</v>
      </c>
      <c r="AC1540" s="3">
        <f t="shared" ref="AC1540:AC1603" si="426">N(AC1539)+$AB1540</f>
        <v>0</v>
      </c>
      <c r="AD1540" s="3">
        <f>IF(AND($M1540=1,LEFT(对接源_02物料!$D340,4)="成品出库"),1,0)</f>
        <v>0</v>
      </c>
      <c r="AE1540" s="3">
        <f t="shared" ref="AE1540:AE1603" si="427">N(AE1539)+$AD1540</f>
        <v>0</v>
      </c>
      <c r="AF1540" s="3">
        <f>IF(AND($N1540=1,AND(LEFT(对接源_02物料!$D340,4)="包装物料",N(对接源_02物料!$K340)&lt;&gt;0)),1,0)</f>
        <v>0</v>
      </c>
      <c r="AG1540" s="3">
        <f t="shared" ref="AG1540:AG1603" si="428">N(AG1539)+$AF1540</f>
        <v>5</v>
      </c>
      <c r="AH1540" s="3">
        <f>IF(AND($N1540=1,AND(对接源_02物料!$D340="周转筐－销售出库",N(对接源_02物料!$K340)&lt;&gt;0)),1,0)</f>
        <v>0</v>
      </c>
      <c r="AI1540" s="3">
        <f t="shared" ref="AI1540:AI1603" si="429">N(AI1539)+$AH1540</f>
        <v>0</v>
      </c>
      <c r="AL1540" s="3">
        <v>0</v>
      </c>
      <c r="AM1540" s="3">
        <f t="shared" ref="AM1540:AM1603" si="430">N(AM1539)+$AL1540</f>
        <v>1</v>
      </c>
      <c r="AN1540" s="3" t="str">
        <f t="shared" si="417"/>
        <v/>
      </c>
      <c r="AO1540" s="3">
        <v>0</v>
      </c>
      <c r="AP1540" s="3">
        <f t="shared" ref="AP1540:AP1603" si="431">N(AP1539)+$AO1540</f>
        <v>8</v>
      </c>
      <c r="AR1540">
        <f t="shared" ref="AR1540:AR1603" si="432">IF(OR($AF1540=1,$AH1540=1),1,0)</f>
        <v>0</v>
      </c>
      <c r="AS1540">
        <f t="shared" ref="AS1540:AS1603" si="433">N(AS1539)+$AR1540</f>
        <v>5</v>
      </c>
    </row>
    <row r="1541" customHeight="1" spans="1:45">
      <c r="A1541" s="3" t="str">
        <f>IF(对接源_02物料!$C341="","",对接源_02物料!$C341)</f>
        <v/>
      </c>
      <c r="B1541" s="3">
        <f t="shared" si="418"/>
        <v>0</v>
      </c>
      <c r="C1541" s="3">
        <f t="shared" si="419"/>
        <v>21</v>
      </c>
      <c r="K1541" s="3">
        <f>IF(OR($K$1="",对接源_02物料!$C341="",对接源_02物料!$C341&lt;&gt;$K$1,对接源_02物料!$B341=""),0,IF(OR(N(对接源_02物料!$B341)&lt;$K$2,N(对接源_02物料!$B341)&gt;$K$3),0,1))</f>
        <v>0</v>
      </c>
      <c r="L1541" s="3">
        <f>IF(OR($L$1="",对接源_02物料!$C341="",对接源_02物料!$C341&lt;&gt;$L$1,对接源_02物料!$B341=""),0,IF(OR(N(对接源_02物料!$B341)&lt;$L$2,N(对接源_02物料!$B341)&gt;$L$3),0,1))</f>
        <v>0</v>
      </c>
      <c r="M1541" s="3">
        <f>IF(OR($M$1="",对接源_02物料!$C341="",对接源_02物料!$C341&lt;&gt;$M$1,对接源_02物料!$B341=""),0,IF(OR(N(对接源_02物料!$B341)&lt;$M$2,N(对接源_02物料!$B341)&gt;$M$3),0,1))</f>
        <v>0</v>
      </c>
      <c r="N1541" s="3">
        <f>IF(OR($N$1="",对接源_02物料!$C341="",对接源_02物料!$C341&lt;&gt;$N$1,对接源_02物料!$B341=""),0,IF(OR(N(对接源_02物料!$B341)&lt;$N$2,N(对接源_02物料!$B341)&gt;$N$3),0,1))</f>
        <v>0</v>
      </c>
      <c r="P1541" s="3">
        <f>IF(AND($K1541=1,AND(对接源_02物料!$X341="公司筐",N(对接源_02物料!$T341)&lt;&gt;0)),1,0)</f>
        <v>0</v>
      </c>
      <c r="Q1541" s="3">
        <f t="shared" si="420"/>
        <v>8</v>
      </c>
      <c r="R1541" s="3">
        <f>IF(AND($K1541=1,AND(对接源_02物料!$X341="公司筐",N(对接源_02物料!$U341)&lt;&gt;0)),1,0)</f>
        <v>0</v>
      </c>
      <c r="S1541" s="3">
        <f t="shared" si="421"/>
        <v>0</v>
      </c>
      <c r="T1541" s="3">
        <f>IF(AND($K1541=1,AND(对接源_02物料!$X341="公司筐",N(对接源_02物料!$V341)&lt;&gt;0)),1,0)</f>
        <v>0</v>
      </c>
      <c r="U1541" s="3">
        <f t="shared" si="422"/>
        <v>19</v>
      </c>
      <c r="V1541" s="3">
        <f>IF(AND($L1541=1,AND(对接源_02物料!$X341="自备筐",N(对接源_02物料!$V341)&lt;&gt;0)),1,0)</f>
        <v>0</v>
      </c>
      <c r="W1541" s="3">
        <f t="shared" si="423"/>
        <v>8</v>
      </c>
      <c r="X1541" s="3">
        <f>IF(AND($L1541=1,AND(对接源_02物料!$X341="自备筐",N(对接源_02物料!$T341)&lt;&gt;0)),1,0)</f>
        <v>0</v>
      </c>
      <c r="Y1541" s="3">
        <f t="shared" si="424"/>
        <v>0</v>
      </c>
      <c r="Z1541" s="3">
        <f>IF(AND($M1541=1,对接源_02物料!$D341="原料入库"),1,0)</f>
        <v>0</v>
      </c>
      <c r="AA1541" s="3">
        <f t="shared" si="425"/>
        <v>24</v>
      </c>
      <c r="AB1541" s="3">
        <f>IF(AND($M1541=1,LEFT(对接源_02物料!$D341,4)="原料出库"),1,0)</f>
        <v>0</v>
      </c>
      <c r="AC1541" s="3">
        <f t="shared" si="426"/>
        <v>0</v>
      </c>
      <c r="AD1541" s="3">
        <f>IF(AND($M1541=1,LEFT(对接源_02物料!$D341,4)="成品出库"),1,0)</f>
        <v>0</v>
      </c>
      <c r="AE1541" s="3">
        <f t="shared" si="427"/>
        <v>0</v>
      </c>
      <c r="AF1541" s="3">
        <f>IF(AND($N1541=1,AND(LEFT(对接源_02物料!$D341,4)="包装物料",N(对接源_02物料!$K341)&lt;&gt;0)),1,0)</f>
        <v>0</v>
      </c>
      <c r="AG1541" s="3">
        <f t="shared" si="428"/>
        <v>5</v>
      </c>
      <c r="AH1541" s="3">
        <f>IF(AND($N1541=1,AND(对接源_02物料!$D341="周转筐－销售出库",N(对接源_02物料!$K341)&lt;&gt;0)),1,0)</f>
        <v>0</v>
      </c>
      <c r="AI1541" s="3">
        <f t="shared" si="429"/>
        <v>0</v>
      </c>
      <c r="AL1541" s="3">
        <v>0</v>
      </c>
      <c r="AM1541" s="3">
        <f t="shared" si="430"/>
        <v>1</v>
      </c>
      <c r="AN1541" s="3" t="str">
        <f t="shared" si="417"/>
        <v/>
      </c>
      <c r="AO1541" s="3">
        <v>0</v>
      </c>
      <c r="AP1541" s="3">
        <f t="shared" si="431"/>
        <v>8</v>
      </c>
      <c r="AR1541">
        <f t="shared" si="432"/>
        <v>0</v>
      </c>
      <c r="AS1541">
        <f t="shared" si="433"/>
        <v>5</v>
      </c>
    </row>
    <row r="1542" customHeight="1" spans="1:45">
      <c r="A1542" s="3" t="str">
        <f>IF(对接源_02物料!$C342="","",对接源_02物料!$C342)</f>
        <v/>
      </c>
      <c r="B1542" s="3">
        <f t="shared" si="418"/>
        <v>0</v>
      </c>
      <c r="C1542" s="3">
        <f t="shared" si="419"/>
        <v>21</v>
      </c>
      <c r="K1542" s="3">
        <f>IF(OR($K$1="",对接源_02物料!$C342="",对接源_02物料!$C342&lt;&gt;$K$1,对接源_02物料!$B342=""),0,IF(OR(N(对接源_02物料!$B342)&lt;$K$2,N(对接源_02物料!$B342)&gt;$K$3),0,1))</f>
        <v>0</v>
      </c>
      <c r="L1542" s="3">
        <f>IF(OR($L$1="",对接源_02物料!$C342="",对接源_02物料!$C342&lt;&gt;$L$1,对接源_02物料!$B342=""),0,IF(OR(N(对接源_02物料!$B342)&lt;$L$2,N(对接源_02物料!$B342)&gt;$L$3),0,1))</f>
        <v>0</v>
      </c>
      <c r="M1542" s="3">
        <f>IF(OR($M$1="",对接源_02物料!$C342="",对接源_02物料!$C342&lt;&gt;$M$1,对接源_02物料!$B342=""),0,IF(OR(N(对接源_02物料!$B342)&lt;$M$2,N(对接源_02物料!$B342)&gt;$M$3),0,1))</f>
        <v>0</v>
      </c>
      <c r="N1542" s="3">
        <f>IF(OR($N$1="",对接源_02物料!$C342="",对接源_02物料!$C342&lt;&gt;$N$1,对接源_02物料!$B342=""),0,IF(OR(N(对接源_02物料!$B342)&lt;$N$2,N(对接源_02物料!$B342)&gt;$N$3),0,1))</f>
        <v>0</v>
      </c>
      <c r="P1542" s="3">
        <f>IF(AND($K1542=1,AND(对接源_02物料!$X342="公司筐",N(对接源_02物料!$T342)&lt;&gt;0)),1,0)</f>
        <v>0</v>
      </c>
      <c r="Q1542" s="3">
        <f t="shared" si="420"/>
        <v>8</v>
      </c>
      <c r="R1542" s="3">
        <f>IF(AND($K1542=1,AND(对接源_02物料!$X342="公司筐",N(对接源_02物料!$U342)&lt;&gt;0)),1,0)</f>
        <v>0</v>
      </c>
      <c r="S1542" s="3">
        <f t="shared" si="421"/>
        <v>0</v>
      </c>
      <c r="T1542" s="3">
        <f>IF(AND($K1542=1,AND(对接源_02物料!$X342="公司筐",N(对接源_02物料!$V342)&lt;&gt;0)),1,0)</f>
        <v>0</v>
      </c>
      <c r="U1542" s="3">
        <f t="shared" si="422"/>
        <v>19</v>
      </c>
      <c r="V1542" s="3">
        <f>IF(AND($L1542=1,AND(对接源_02物料!$X342="自备筐",N(对接源_02物料!$V342)&lt;&gt;0)),1,0)</f>
        <v>0</v>
      </c>
      <c r="W1542" s="3">
        <f t="shared" si="423"/>
        <v>8</v>
      </c>
      <c r="X1542" s="3">
        <f>IF(AND($L1542=1,AND(对接源_02物料!$X342="自备筐",N(对接源_02物料!$T342)&lt;&gt;0)),1,0)</f>
        <v>0</v>
      </c>
      <c r="Y1542" s="3">
        <f t="shared" si="424"/>
        <v>0</v>
      </c>
      <c r="Z1542" s="3">
        <f>IF(AND($M1542=1,对接源_02物料!$D342="原料入库"),1,0)</f>
        <v>0</v>
      </c>
      <c r="AA1542" s="3">
        <f t="shared" si="425"/>
        <v>24</v>
      </c>
      <c r="AB1542" s="3">
        <f>IF(AND($M1542=1,LEFT(对接源_02物料!$D342,4)="原料出库"),1,0)</f>
        <v>0</v>
      </c>
      <c r="AC1542" s="3">
        <f t="shared" si="426"/>
        <v>0</v>
      </c>
      <c r="AD1542" s="3">
        <f>IF(AND($M1542=1,LEFT(对接源_02物料!$D342,4)="成品出库"),1,0)</f>
        <v>0</v>
      </c>
      <c r="AE1542" s="3">
        <f t="shared" si="427"/>
        <v>0</v>
      </c>
      <c r="AF1542" s="3">
        <f>IF(AND($N1542=1,AND(LEFT(对接源_02物料!$D342,4)="包装物料",N(对接源_02物料!$K342)&lt;&gt;0)),1,0)</f>
        <v>0</v>
      </c>
      <c r="AG1542" s="3">
        <f t="shared" si="428"/>
        <v>5</v>
      </c>
      <c r="AH1542" s="3">
        <f>IF(AND($N1542=1,AND(对接源_02物料!$D342="周转筐－销售出库",N(对接源_02物料!$K342)&lt;&gt;0)),1,0)</f>
        <v>0</v>
      </c>
      <c r="AI1542" s="3">
        <f t="shared" si="429"/>
        <v>0</v>
      </c>
      <c r="AL1542" s="3">
        <v>0</v>
      </c>
      <c r="AM1542" s="3">
        <f t="shared" si="430"/>
        <v>1</v>
      </c>
      <c r="AN1542" s="3" t="str">
        <f t="shared" si="417"/>
        <v/>
      </c>
      <c r="AO1542" s="3">
        <v>0</v>
      </c>
      <c r="AP1542" s="3">
        <f t="shared" si="431"/>
        <v>8</v>
      </c>
      <c r="AR1542">
        <f t="shared" si="432"/>
        <v>0</v>
      </c>
      <c r="AS1542">
        <f t="shared" si="433"/>
        <v>5</v>
      </c>
    </row>
    <row r="1543" customHeight="1" spans="1:45">
      <c r="A1543" s="3" t="str">
        <f>IF(对接源_02物料!$C343="","",对接源_02物料!$C343)</f>
        <v/>
      </c>
      <c r="B1543" s="3">
        <f t="shared" si="418"/>
        <v>0</v>
      </c>
      <c r="C1543" s="3">
        <f t="shared" si="419"/>
        <v>21</v>
      </c>
      <c r="K1543" s="3">
        <f>IF(OR($K$1="",对接源_02物料!$C343="",对接源_02物料!$C343&lt;&gt;$K$1,对接源_02物料!$B343=""),0,IF(OR(N(对接源_02物料!$B343)&lt;$K$2,N(对接源_02物料!$B343)&gt;$K$3),0,1))</f>
        <v>0</v>
      </c>
      <c r="L1543" s="3">
        <f>IF(OR($L$1="",对接源_02物料!$C343="",对接源_02物料!$C343&lt;&gt;$L$1,对接源_02物料!$B343=""),0,IF(OR(N(对接源_02物料!$B343)&lt;$L$2,N(对接源_02物料!$B343)&gt;$L$3),0,1))</f>
        <v>0</v>
      </c>
      <c r="M1543" s="3">
        <f>IF(OR($M$1="",对接源_02物料!$C343="",对接源_02物料!$C343&lt;&gt;$M$1,对接源_02物料!$B343=""),0,IF(OR(N(对接源_02物料!$B343)&lt;$M$2,N(对接源_02物料!$B343)&gt;$M$3),0,1))</f>
        <v>0</v>
      </c>
      <c r="N1543" s="3">
        <f>IF(OR($N$1="",对接源_02物料!$C343="",对接源_02物料!$C343&lt;&gt;$N$1,对接源_02物料!$B343=""),0,IF(OR(N(对接源_02物料!$B343)&lt;$N$2,N(对接源_02物料!$B343)&gt;$N$3),0,1))</f>
        <v>0</v>
      </c>
      <c r="P1543" s="3">
        <f>IF(AND($K1543=1,AND(对接源_02物料!$X343="公司筐",N(对接源_02物料!$T343)&lt;&gt;0)),1,0)</f>
        <v>0</v>
      </c>
      <c r="Q1543" s="3">
        <f t="shared" si="420"/>
        <v>8</v>
      </c>
      <c r="R1543" s="3">
        <f>IF(AND($K1543=1,AND(对接源_02物料!$X343="公司筐",N(对接源_02物料!$U343)&lt;&gt;0)),1,0)</f>
        <v>0</v>
      </c>
      <c r="S1543" s="3">
        <f t="shared" si="421"/>
        <v>0</v>
      </c>
      <c r="T1543" s="3">
        <f>IF(AND($K1543=1,AND(对接源_02物料!$X343="公司筐",N(对接源_02物料!$V343)&lt;&gt;0)),1,0)</f>
        <v>0</v>
      </c>
      <c r="U1543" s="3">
        <f t="shared" si="422"/>
        <v>19</v>
      </c>
      <c r="V1543" s="3">
        <f>IF(AND($L1543=1,AND(对接源_02物料!$X343="自备筐",N(对接源_02物料!$V343)&lt;&gt;0)),1,0)</f>
        <v>0</v>
      </c>
      <c r="W1543" s="3">
        <f t="shared" si="423"/>
        <v>8</v>
      </c>
      <c r="X1543" s="3">
        <f>IF(AND($L1543=1,AND(对接源_02物料!$X343="自备筐",N(对接源_02物料!$T343)&lt;&gt;0)),1,0)</f>
        <v>0</v>
      </c>
      <c r="Y1543" s="3">
        <f t="shared" si="424"/>
        <v>0</v>
      </c>
      <c r="Z1543" s="3">
        <f>IF(AND($M1543=1,对接源_02物料!$D343="原料入库"),1,0)</f>
        <v>0</v>
      </c>
      <c r="AA1543" s="3">
        <f t="shared" si="425"/>
        <v>24</v>
      </c>
      <c r="AB1543" s="3">
        <f>IF(AND($M1543=1,LEFT(对接源_02物料!$D343,4)="原料出库"),1,0)</f>
        <v>0</v>
      </c>
      <c r="AC1543" s="3">
        <f t="shared" si="426"/>
        <v>0</v>
      </c>
      <c r="AD1543" s="3">
        <f>IF(AND($M1543=1,LEFT(对接源_02物料!$D343,4)="成品出库"),1,0)</f>
        <v>0</v>
      </c>
      <c r="AE1543" s="3">
        <f t="shared" si="427"/>
        <v>0</v>
      </c>
      <c r="AF1543" s="3">
        <f>IF(AND($N1543=1,AND(LEFT(对接源_02物料!$D343,4)="包装物料",N(对接源_02物料!$K343)&lt;&gt;0)),1,0)</f>
        <v>0</v>
      </c>
      <c r="AG1543" s="3">
        <f t="shared" si="428"/>
        <v>5</v>
      </c>
      <c r="AH1543" s="3">
        <f>IF(AND($N1543=1,AND(对接源_02物料!$D343="周转筐－销售出库",N(对接源_02物料!$K343)&lt;&gt;0)),1,0)</f>
        <v>0</v>
      </c>
      <c r="AI1543" s="3">
        <f t="shared" si="429"/>
        <v>0</v>
      </c>
      <c r="AL1543" s="3">
        <v>0</v>
      </c>
      <c r="AM1543" s="3">
        <f t="shared" si="430"/>
        <v>1</v>
      </c>
      <c r="AN1543" s="3" t="str">
        <f t="shared" si="417"/>
        <v/>
      </c>
      <c r="AO1543" s="3">
        <v>0</v>
      </c>
      <c r="AP1543" s="3">
        <f t="shared" si="431"/>
        <v>8</v>
      </c>
      <c r="AR1543">
        <f t="shared" si="432"/>
        <v>0</v>
      </c>
      <c r="AS1543">
        <f t="shared" si="433"/>
        <v>5</v>
      </c>
    </row>
    <row r="1544" customHeight="1" spans="1:45">
      <c r="A1544" s="3" t="str">
        <f>IF(对接源_02物料!$C344="","",对接源_02物料!$C344)</f>
        <v/>
      </c>
      <c r="B1544" s="3">
        <f t="shared" si="418"/>
        <v>0</v>
      </c>
      <c r="C1544" s="3">
        <f t="shared" si="419"/>
        <v>21</v>
      </c>
      <c r="K1544" s="3">
        <f>IF(OR($K$1="",对接源_02物料!$C344="",对接源_02物料!$C344&lt;&gt;$K$1,对接源_02物料!$B344=""),0,IF(OR(N(对接源_02物料!$B344)&lt;$K$2,N(对接源_02物料!$B344)&gt;$K$3),0,1))</f>
        <v>0</v>
      </c>
      <c r="L1544" s="3">
        <f>IF(OR($L$1="",对接源_02物料!$C344="",对接源_02物料!$C344&lt;&gt;$L$1,对接源_02物料!$B344=""),0,IF(OR(N(对接源_02物料!$B344)&lt;$L$2,N(对接源_02物料!$B344)&gt;$L$3),0,1))</f>
        <v>0</v>
      </c>
      <c r="M1544" s="3">
        <f>IF(OR($M$1="",对接源_02物料!$C344="",对接源_02物料!$C344&lt;&gt;$M$1,对接源_02物料!$B344=""),0,IF(OR(N(对接源_02物料!$B344)&lt;$M$2,N(对接源_02物料!$B344)&gt;$M$3),0,1))</f>
        <v>0</v>
      </c>
      <c r="N1544" s="3">
        <f>IF(OR($N$1="",对接源_02物料!$C344="",对接源_02物料!$C344&lt;&gt;$N$1,对接源_02物料!$B344=""),0,IF(OR(N(对接源_02物料!$B344)&lt;$N$2,N(对接源_02物料!$B344)&gt;$N$3),0,1))</f>
        <v>0</v>
      </c>
      <c r="P1544" s="3">
        <f>IF(AND($K1544=1,AND(对接源_02物料!$X344="公司筐",N(对接源_02物料!$T344)&lt;&gt;0)),1,0)</f>
        <v>0</v>
      </c>
      <c r="Q1544" s="3">
        <f t="shared" si="420"/>
        <v>8</v>
      </c>
      <c r="R1544" s="3">
        <f>IF(AND($K1544=1,AND(对接源_02物料!$X344="公司筐",N(对接源_02物料!$U344)&lt;&gt;0)),1,0)</f>
        <v>0</v>
      </c>
      <c r="S1544" s="3">
        <f t="shared" si="421"/>
        <v>0</v>
      </c>
      <c r="T1544" s="3">
        <f>IF(AND($K1544=1,AND(对接源_02物料!$X344="公司筐",N(对接源_02物料!$V344)&lt;&gt;0)),1,0)</f>
        <v>0</v>
      </c>
      <c r="U1544" s="3">
        <f t="shared" si="422"/>
        <v>19</v>
      </c>
      <c r="V1544" s="3">
        <f>IF(AND($L1544=1,AND(对接源_02物料!$X344="自备筐",N(对接源_02物料!$V344)&lt;&gt;0)),1,0)</f>
        <v>0</v>
      </c>
      <c r="W1544" s="3">
        <f t="shared" si="423"/>
        <v>8</v>
      </c>
      <c r="X1544" s="3">
        <f>IF(AND($L1544=1,AND(对接源_02物料!$X344="自备筐",N(对接源_02物料!$T344)&lt;&gt;0)),1,0)</f>
        <v>0</v>
      </c>
      <c r="Y1544" s="3">
        <f t="shared" si="424"/>
        <v>0</v>
      </c>
      <c r="Z1544" s="3">
        <f>IF(AND($M1544=1,对接源_02物料!$D344="原料入库"),1,0)</f>
        <v>0</v>
      </c>
      <c r="AA1544" s="3">
        <f t="shared" si="425"/>
        <v>24</v>
      </c>
      <c r="AB1544" s="3">
        <f>IF(AND($M1544=1,LEFT(对接源_02物料!$D344,4)="原料出库"),1,0)</f>
        <v>0</v>
      </c>
      <c r="AC1544" s="3">
        <f t="shared" si="426"/>
        <v>0</v>
      </c>
      <c r="AD1544" s="3">
        <f>IF(AND($M1544=1,LEFT(对接源_02物料!$D344,4)="成品出库"),1,0)</f>
        <v>0</v>
      </c>
      <c r="AE1544" s="3">
        <f t="shared" si="427"/>
        <v>0</v>
      </c>
      <c r="AF1544" s="3">
        <f>IF(AND($N1544=1,AND(LEFT(对接源_02物料!$D344,4)="包装物料",N(对接源_02物料!$K344)&lt;&gt;0)),1,0)</f>
        <v>0</v>
      </c>
      <c r="AG1544" s="3">
        <f t="shared" si="428"/>
        <v>5</v>
      </c>
      <c r="AH1544" s="3">
        <f>IF(AND($N1544=1,AND(对接源_02物料!$D344="周转筐－销售出库",N(对接源_02物料!$K344)&lt;&gt;0)),1,0)</f>
        <v>0</v>
      </c>
      <c r="AI1544" s="3">
        <f t="shared" si="429"/>
        <v>0</v>
      </c>
      <c r="AL1544" s="3">
        <v>0</v>
      </c>
      <c r="AM1544" s="3">
        <f t="shared" si="430"/>
        <v>1</v>
      </c>
      <c r="AN1544" s="3" t="str">
        <f t="shared" si="417"/>
        <v/>
      </c>
      <c r="AO1544" s="3">
        <v>0</v>
      </c>
      <c r="AP1544" s="3">
        <f t="shared" si="431"/>
        <v>8</v>
      </c>
      <c r="AR1544">
        <f t="shared" si="432"/>
        <v>0</v>
      </c>
      <c r="AS1544">
        <f t="shared" si="433"/>
        <v>5</v>
      </c>
    </row>
    <row r="1545" customHeight="1" spans="1:45">
      <c r="A1545" s="3" t="str">
        <f>IF(对接源_02物料!$C345="","",对接源_02物料!$C345)</f>
        <v/>
      </c>
      <c r="B1545" s="3">
        <f t="shared" si="418"/>
        <v>0</v>
      </c>
      <c r="C1545" s="3">
        <f t="shared" si="419"/>
        <v>21</v>
      </c>
      <c r="K1545" s="3">
        <f>IF(OR($K$1="",对接源_02物料!$C345="",对接源_02物料!$C345&lt;&gt;$K$1,对接源_02物料!$B345=""),0,IF(OR(N(对接源_02物料!$B345)&lt;$K$2,N(对接源_02物料!$B345)&gt;$K$3),0,1))</f>
        <v>0</v>
      </c>
      <c r="L1545" s="3">
        <f>IF(OR($L$1="",对接源_02物料!$C345="",对接源_02物料!$C345&lt;&gt;$L$1,对接源_02物料!$B345=""),0,IF(OR(N(对接源_02物料!$B345)&lt;$L$2,N(对接源_02物料!$B345)&gt;$L$3),0,1))</f>
        <v>0</v>
      </c>
      <c r="M1545" s="3">
        <f>IF(OR($M$1="",对接源_02物料!$C345="",对接源_02物料!$C345&lt;&gt;$M$1,对接源_02物料!$B345=""),0,IF(OR(N(对接源_02物料!$B345)&lt;$M$2,N(对接源_02物料!$B345)&gt;$M$3),0,1))</f>
        <v>0</v>
      </c>
      <c r="N1545" s="3">
        <f>IF(OR($N$1="",对接源_02物料!$C345="",对接源_02物料!$C345&lt;&gt;$N$1,对接源_02物料!$B345=""),0,IF(OR(N(对接源_02物料!$B345)&lt;$N$2,N(对接源_02物料!$B345)&gt;$N$3),0,1))</f>
        <v>0</v>
      </c>
      <c r="P1545" s="3">
        <f>IF(AND($K1545=1,AND(对接源_02物料!$X345="公司筐",N(对接源_02物料!$T345)&lt;&gt;0)),1,0)</f>
        <v>0</v>
      </c>
      <c r="Q1545" s="3">
        <f t="shared" si="420"/>
        <v>8</v>
      </c>
      <c r="R1545" s="3">
        <f>IF(AND($K1545=1,AND(对接源_02物料!$X345="公司筐",N(对接源_02物料!$U345)&lt;&gt;0)),1,0)</f>
        <v>0</v>
      </c>
      <c r="S1545" s="3">
        <f t="shared" si="421"/>
        <v>0</v>
      </c>
      <c r="T1545" s="3">
        <f>IF(AND($K1545=1,AND(对接源_02物料!$X345="公司筐",N(对接源_02物料!$V345)&lt;&gt;0)),1,0)</f>
        <v>0</v>
      </c>
      <c r="U1545" s="3">
        <f t="shared" si="422"/>
        <v>19</v>
      </c>
      <c r="V1545" s="3">
        <f>IF(AND($L1545=1,AND(对接源_02物料!$X345="自备筐",N(对接源_02物料!$V345)&lt;&gt;0)),1,0)</f>
        <v>0</v>
      </c>
      <c r="W1545" s="3">
        <f t="shared" si="423"/>
        <v>8</v>
      </c>
      <c r="X1545" s="3">
        <f>IF(AND($L1545=1,AND(对接源_02物料!$X345="自备筐",N(对接源_02物料!$T345)&lt;&gt;0)),1,0)</f>
        <v>0</v>
      </c>
      <c r="Y1545" s="3">
        <f t="shared" si="424"/>
        <v>0</v>
      </c>
      <c r="Z1545" s="3">
        <f>IF(AND($M1545=1,对接源_02物料!$D345="原料入库"),1,0)</f>
        <v>0</v>
      </c>
      <c r="AA1545" s="3">
        <f t="shared" si="425"/>
        <v>24</v>
      </c>
      <c r="AB1545" s="3">
        <f>IF(AND($M1545=1,LEFT(对接源_02物料!$D345,4)="原料出库"),1,0)</f>
        <v>0</v>
      </c>
      <c r="AC1545" s="3">
        <f t="shared" si="426"/>
        <v>0</v>
      </c>
      <c r="AD1545" s="3">
        <f>IF(AND($M1545=1,LEFT(对接源_02物料!$D345,4)="成品出库"),1,0)</f>
        <v>0</v>
      </c>
      <c r="AE1545" s="3">
        <f t="shared" si="427"/>
        <v>0</v>
      </c>
      <c r="AF1545" s="3">
        <f>IF(AND($N1545=1,AND(LEFT(对接源_02物料!$D345,4)="包装物料",N(对接源_02物料!$K345)&lt;&gt;0)),1,0)</f>
        <v>0</v>
      </c>
      <c r="AG1545" s="3">
        <f t="shared" si="428"/>
        <v>5</v>
      </c>
      <c r="AH1545" s="3">
        <f>IF(AND($N1545=1,AND(对接源_02物料!$D345="周转筐－销售出库",N(对接源_02物料!$K345)&lt;&gt;0)),1,0)</f>
        <v>0</v>
      </c>
      <c r="AI1545" s="3">
        <f t="shared" si="429"/>
        <v>0</v>
      </c>
      <c r="AL1545" s="3">
        <v>0</v>
      </c>
      <c r="AM1545" s="3">
        <f t="shared" si="430"/>
        <v>1</v>
      </c>
      <c r="AN1545" s="3" t="str">
        <f t="shared" si="417"/>
        <v/>
      </c>
      <c r="AO1545" s="3">
        <v>0</v>
      </c>
      <c r="AP1545" s="3">
        <f t="shared" si="431"/>
        <v>8</v>
      </c>
      <c r="AR1545">
        <f t="shared" si="432"/>
        <v>0</v>
      </c>
      <c r="AS1545">
        <f t="shared" si="433"/>
        <v>5</v>
      </c>
    </row>
    <row r="1546" customHeight="1" spans="1:45">
      <c r="A1546" s="3" t="str">
        <f>IF(对接源_02物料!$C346="","",对接源_02物料!$C346)</f>
        <v/>
      </c>
      <c r="B1546" s="3">
        <f t="shared" si="418"/>
        <v>0</v>
      </c>
      <c r="C1546" s="3">
        <f t="shared" si="419"/>
        <v>21</v>
      </c>
      <c r="K1546" s="3">
        <f>IF(OR($K$1="",对接源_02物料!$C346="",对接源_02物料!$C346&lt;&gt;$K$1,对接源_02物料!$B346=""),0,IF(OR(N(对接源_02物料!$B346)&lt;$K$2,N(对接源_02物料!$B346)&gt;$K$3),0,1))</f>
        <v>0</v>
      </c>
      <c r="L1546" s="3">
        <f>IF(OR($L$1="",对接源_02物料!$C346="",对接源_02物料!$C346&lt;&gt;$L$1,对接源_02物料!$B346=""),0,IF(OR(N(对接源_02物料!$B346)&lt;$L$2,N(对接源_02物料!$B346)&gt;$L$3),0,1))</f>
        <v>0</v>
      </c>
      <c r="M1546" s="3">
        <f>IF(OR($M$1="",对接源_02物料!$C346="",对接源_02物料!$C346&lt;&gt;$M$1,对接源_02物料!$B346=""),0,IF(OR(N(对接源_02物料!$B346)&lt;$M$2,N(对接源_02物料!$B346)&gt;$M$3),0,1))</f>
        <v>0</v>
      </c>
      <c r="N1546" s="3">
        <f>IF(OR($N$1="",对接源_02物料!$C346="",对接源_02物料!$C346&lt;&gt;$N$1,对接源_02物料!$B346=""),0,IF(OR(N(对接源_02物料!$B346)&lt;$N$2,N(对接源_02物料!$B346)&gt;$N$3),0,1))</f>
        <v>0</v>
      </c>
      <c r="P1546" s="3">
        <f>IF(AND($K1546=1,AND(对接源_02物料!$X346="公司筐",N(对接源_02物料!$T346)&lt;&gt;0)),1,0)</f>
        <v>0</v>
      </c>
      <c r="Q1546" s="3">
        <f t="shared" si="420"/>
        <v>8</v>
      </c>
      <c r="R1546" s="3">
        <f>IF(AND($K1546=1,AND(对接源_02物料!$X346="公司筐",N(对接源_02物料!$U346)&lt;&gt;0)),1,0)</f>
        <v>0</v>
      </c>
      <c r="S1546" s="3">
        <f t="shared" si="421"/>
        <v>0</v>
      </c>
      <c r="T1546" s="3">
        <f>IF(AND($K1546=1,AND(对接源_02物料!$X346="公司筐",N(对接源_02物料!$V346)&lt;&gt;0)),1,0)</f>
        <v>0</v>
      </c>
      <c r="U1546" s="3">
        <f t="shared" si="422"/>
        <v>19</v>
      </c>
      <c r="V1546" s="3">
        <f>IF(AND($L1546=1,AND(对接源_02物料!$X346="自备筐",N(对接源_02物料!$V346)&lt;&gt;0)),1,0)</f>
        <v>0</v>
      </c>
      <c r="W1546" s="3">
        <f t="shared" si="423"/>
        <v>8</v>
      </c>
      <c r="X1546" s="3">
        <f>IF(AND($L1546=1,AND(对接源_02物料!$X346="自备筐",N(对接源_02物料!$T346)&lt;&gt;0)),1,0)</f>
        <v>0</v>
      </c>
      <c r="Y1546" s="3">
        <f t="shared" si="424"/>
        <v>0</v>
      </c>
      <c r="Z1546" s="3">
        <f>IF(AND($M1546=1,对接源_02物料!$D346="原料入库"),1,0)</f>
        <v>0</v>
      </c>
      <c r="AA1546" s="3">
        <f t="shared" si="425"/>
        <v>24</v>
      </c>
      <c r="AB1546" s="3">
        <f>IF(AND($M1546=1,LEFT(对接源_02物料!$D346,4)="原料出库"),1,0)</f>
        <v>0</v>
      </c>
      <c r="AC1546" s="3">
        <f t="shared" si="426"/>
        <v>0</v>
      </c>
      <c r="AD1546" s="3">
        <f>IF(AND($M1546=1,LEFT(对接源_02物料!$D346,4)="成品出库"),1,0)</f>
        <v>0</v>
      </c>
      <c r="AE1546" s="3">
        <f t="shared" si="427"/>
        <v>0</v>
      </c>
      <c r="AF1546" s="3">
        <f>IF(AND($N1546=1,AND(LEFT(对接源_02物料!$D346,4)="包装物料",N(对接源_02物料!$K346)&lt;&gt;0)),1,0)</f>
        <v>0</v>
      </c>
      <c r="AG1546" s="3">
        <f t="shared" si="428"/>
        <v>5</v>
      </c>
      <c r="AH1546" s="3">
        <f>IF(AND($N1546=1,AND(对接源_02物料!$D346="周转筐－销售出库",N(对接源_02物料!$K346)&lt;&gt;0)),1,0)</f>
        <v>0</v>
      </c>
      <c r="AI1546" s="3">
        <f t="shared" si="429"/>
        <v>0</v>
      </c>
      <c r="AL1546" s="3">
        <v>0</v>
      </c>
      <c r="AM1546" s="3">
        <f t="shared" si="430"/>
        <v>1</v>
      </c>
      <c r="AN1546" s="3" t="str">
        <f t="shared" si="417"/>
        <v/>
      </c>
      <c r="AO1546" s="3">
        <v>0</v>
      </c>
      <c r="AP1546" s="3">
        <f t="shared" si="431"/>
        <v>8</v>
      </c>
      <c r="AR1546">
        <f t="shared" si="432"/>
        <v>0</v>
      </c>
      <c r="AS1546">
        <f t="shared" si="433"/>
        <v>5</v>
      </c>
    </row>
    <row r="1547" customHeight="1" spans="1:45">
      <c r="A1547" s="3" t="str">
        <f>IF(对接源_02物料!$C347="","",对接源_02物料!$C347)</f>
        <v/>
      </c>
      <c r="B1547" s="3">
        <f t="shared" si="418"/>
        <v>0</v>
      </c>
      <c r="C1547" s="3">
        <f t="shared" si="419"/>
        <v>21</v>
      </c>
      <c r="K1547" s="3">
        <f>IF(OR($K$1="",对接源_02物料!$C347="",对接源_02物料!$C347&lt;&gt;$K$1,对接源_02物料!$B347=""),0,IF(OR(N(对接源_02物料!$B347)&lt;$K$2,N(对接源_02物料!$B347)&gt;$K$3),0,1))</f>
        <v>0</v>
      </c>
      <c r="L1547" s="3">
        <f>IF(OR($L$1="",对接源_02物料!$C347="",对接源_02物料!$C347&lt;&gt;$L$1,对接源_02物料!$B347=""),0,IF(OR(N(对接源_02物料!$B347)&lt;$L$2,N(对接源_02物料!$B347)&gt;$L$3),0,1))</f>
        <v>0</v>
      </c>
      <c r="M1547" s="3">
        <f>IF(OR($M$1="",对接源_02物料!$C347="",对接源_02物料!$C347&lt;&gt;$M$1,对接源_02物料!$B347=""),0,IF(OR(N(对接源_02物料!$B347)&lt;$M$2,N(对接源_02物料!$B347)&gt;$M$3),0,1))</f>
        <v>0</v>
      </c>
      <c r="N1547" s="3">
        <f>IF(OR($N$1="",对接源_02物料!$C347="",对接源_02物料!$C347&lt;&gt;$N$1,对接源_02物料!$B347=""),0,IF(OR(N(对接源_02物料!$B347)&lt;$N$2,N(对接源_02物料!$B347)&gt;$N$3),0,1))</f>
        <v>0</v>
      </c>
      <c r="P1547" s="3">
        <f>IF(AND($K1547=1,AND(对接源_02物料!$X347="公司筐",N(对接源_02物料!$T347)&lt;&gt;0)),1,0)</f>
        <v>0</v>
      </c>
      <c r="Q1547" s="3">
        <f t="shared" si="420"/>
        <v>8</v>
      </c>
      <c r="R1547" s="3">
        <f>IF(AND($K1547=1,AND(对接源_02物料!$X347="公司筐",N(对接源_02物料!$U347)&lt;&gt;0)),1,0)</f>
        <v>0</v>
      </c>
      <c r="S1547" s="3">
        <f t="shared" si="421"/>
        <v>0</v>
      </c>
      <c r="T1547" s="3">
        <f>IF(AND($K1547=1,AND(对接源_02物料!$X347="公司筐",N(对接源_02物料!$V347)&lt;&gt;0)),1,0)</f>
        <v>0</v>
      </c>
      <c r="U1547" s="3">
        <f t="shared" si="422"/>
        <v>19</v>
      </c>
      <c r="V1547" s="3">
        <f>IF(AND($L1547=1,AND(对接源_02物料!$X347="自备筐",N(对接源_02物料!$V347)&lt;&gt;0)),1,0)</f>
        <v>0</v>
      </c>
      <c r="W1547" s="3">
        <f t="shared" si="423"/>
        <v>8</v>
      </c>
      <c r="X1547" s="3">
        <f>IF(AND($L1547=1,AND(对接源_02物料!$X347="自备筐",N(对接源_02物料!$T347)&lt;&gt;0)),1,0)</f>
        <v>0</v>
      </c>
      <c r="Y1547" s="3">
        <f t="shared" si="424"/>
        <v>0</v>
      </c>
      <c r="Z1547" s="3">
        <f>IF(AND($M1547=1,对接源_02物料!$D347="原料入库"),1,0)</f>
        <v>0</v>
      </c>
      <c r="AA1547" s="3">
        <f t="shared" si="425"/>
        <v>24</v>
      </c>
      <c r="AB1547" s="3">
        <f>IF(AND($M1547=1,LEFT(对接源_02物料!$D347,4)="原料出库"),1,0)</f>
        <v>0</v>
      </c>
      <c r="AC1547" s="3">
        <f t="shared" si="426"/>
        <v>0</v>
      </c>
      <c r="AD1547" s="3">
        <f>IF(AND($M1547=1,LEFT(对接源_02物料!$D347,4)="成品出库"),1,0)</f>
        <v>0</v>
      </c>
      <c r="AE1547" s="3">
        <f t="shared" si="427"/>
        <v>0</v>
      </c>
      <c r="AF1547" s="3">
        <f>IF(AND($N1547=1,AND(LEFT(对接源_02物料!$D347,4)="包装物料",N(对接源_02物料!$K347)&lt;&gt;0)),1,0)</f>
        <v>0</v>
      </c>
      <c r="AG1547" s="3">
        <f t="shared" si="428"/>
        <v>5</v>
      </c>
      <c r="AH1547" s="3">
        <f>IF(AND($N1547=1,AND(对接源_02物料!$D347="周转筐－销售出库",N(对接源_02物料!$K347)&lt;&gt;0)),1,0)</f>
        <v>0</v>
      </c>
      <c r="AI1547" s="3">
        <f t="shared" si="429"/>
        <v>0</v>
      </c>
      <c r="AL1547" s="3">
        <v>0</v>
      </c>
      <c r="AM1547" s="3">
        <f t="shared" si="430"/>
        <v>1</v>
      </c>
      <c r="AN1547" s="3" t="str">
        <f t="shared" si="417"/>
        <v/>
      </c>
      <c r="AO1547" s="3">
        <v>0</v>
      </c>
      <c r="AP1547" s="3">
        <f t="shared" si="431"/>
        <v>8</v>
      </c>
      <c r="AR1547">
        <f t="shared" si="432"/>
        <v>0</v>
      </c>
      <c r="AS1547">
        <f t="shared" si="433"/>
        <v>5</v>
      </c>
    </row>
    <row r="1548" customHeight="1" spans="1:45">
      <c r="A1548" s="3" t="str">
        <f>IF(对接源_02物料!$C348="","",对接源_02物料!$C348)</f>
        <v/>
      </c>
      <c r="B1548" s="3">
        <f t="shared" si="418"/>
        <v>0</v>
      </c>
      <c r="C1548" s="3">
        <f t="shared" si="419"/>
        <v>21</v>
      </c>
      <c r="K1548" s="3">
        <f>IF(OR($K$1="",对接源_02物料!$C348="",对接源_02物料!$C348&lt;&gt;$K$1,对接源_02物料!$B348=""),0,IF(OR(N(对接源_02物料!$B348)&lt;$K$2,N(对接源_02物料!$B348)&gt;$K$3),0,1))</f>
        <v>0</v>
      </c>
      <c r="L1548" s="3">
        <f>IF(OR($L$1="",对接源_02物料!$C348="",对接源_02物料!$C348&lt;&gt;$L$1,对接源_02物料!$B348=""),0,IF(OR(N(对接源_02物料!$B348)&lt;$L$2,N(对接源_02物料!$B348)&gt;$L$3),0,1))</f>
        <v>0</v>
      </c>
      <c r="M1548" s="3">
        <f>IF(OR($M$1="",对接源_02物料!$C348="",对接源_02物料!$C348&lt;&gt;$M$1,对接源_02物料!$B348=""),0,IF(OR(N(对接源_02物料!$B348)&lt;$M$2,N(对接源_02物料!$B348)&gt;$M$3),0,1))</f>
        <v>0</v>
      </c>
      <c r="N1548" s="3">
        <f>IF(OR($N$1="",对接源_02物料!$C348="",对接源_02物料!$C348&lt;&gt;$N$1,对接源_02物料!$B348=""),0,IF(OR(N(对接源_02物料!$B348)&lt;$N$2,N(对接源_02物料!$B348)&gt;$N$3),0,1))</f>
        <v>0</v>
      </c>
      <c r="P1548" s="3">
        <f>IF(AND($K1548=1,AND(对接源_02物料!$X348="公司筐",N(对接源_02物料!$T348)&lt;&gt;0)),1,0)</f>
        <v>0</v>
      </c>
      <c r="Q1548" s="3">
        <f t="shared" si="420"/>
        <v>8</v>
      </c>
      <c r="R1548" s="3">
        <f>IF(AND($K1548=1,AND(对接源_02物料!$X348="公司筐",N(对接源_02物料!$U348)&lt;&gt;0)),1,0)</f>
        <v>0</v>
      </c>
      <c r="S1548" s="3">
        <f t="shared" si="421"/>
        <v>0</v>
      </c>
      <c r="T1548" s="3">
        <f>IF(AND($K1548=1,AND(对接源_02物料!$X348="公司筐",N(对接源_02物料!$V348)&lt;&gt;0)),1,0)</f>
        <v>0</v>
      </c>
      <c r="U1548" s="3">
        <f t="shared" si="422"/>
        <v>19</v>
      </c>
      <c r="V1548" s="3">
        <f>IF(AND($L1548=1,AND(对接源_02物料!$X348="自备筐",N(对接源_02物料!$V348)&lt;&gt;0)),1,0)</f>
        <v>0</v>
      </c>
      <c r="W1548" s="3">
        <f t="shared" si="423"/>
        <v>8</v>
      </c>
      <c r="X1548" s="3">
        <f>IF(AND($L1548=1,AND(对接源_02物料!$X348="自备筐",N(对接源_02物料!$T348)&lt;&gt;0)),1,0)</f>
        <v>0</v>
      </c>
      <c r="Y1548" s="3">
        <f t="shared" si="424"/>
        <v>0</v>
      </c>
      <c r="Z1548" s="3">
        <f>IF(AND($M1548=1,对接源_02物料!$D348="原料入库"),1,0)</f>
        <v>0</v>
      </c>
      <c r="AA1548" s="3">
        <f t="shared" si="425"/>
        <v>24</v>
      </c>
      <c r="AB1548" s="3">
        <f>IF(AND($M1548=1,LEFT(对接源_02物料!$D348,4)="原料出库"),1,0)</f>
        <v>0</v>
      </c>
      <c r="AC1548" s="3">
        <f t="shared" si="426"/>
        <v>0</v>
      </c>
      <c r="AD1548" s="3">
        <f>IF(AND($M1548=1,LEFT(对接源_02物料!$D348,4)="成品出库"),1,0)</f>
        <v>0</v>
      </c>
      <c r="AE1548" s="3">
        <f t="shared" si="427"/>
        <v>0</v>
      </c>
      <c r="AF1548" s="3">
        <f>IF(AND($N1548=1,AND(LEFT(对接源_02物料!$D348,4)="包装物料",N(对接源_02物料!$K348)&lt;&gt;0)),1,0)</f>
        <v>0</v>
      </c>
      <c r="AG1548" s="3">
        <f t="shared" si="428"/>
        <v>5</v>
      </c>
      <c r="AH1548" s="3">
        <f>IF(AND($N1548=1,AND(对接源_02物料!$D348="周转筐－销售出库",N(对接源_02物料!$K348)&lt;&gt;0)),1,0)</f>
        <v>0</v>
      </c>
      <c r="AI1548" s="3">
        <f t="shared" si="429"/>
        <v>0</v>
      </c>
      <c r="AL1548" s="3">
        <v>0</v>
      </c>
      <c r="AM1548" s="3">
        <f t="shared" si="430"/>
        <v>1</v>
      </c>
      <c r="AN1548" s="3" t="str">
        <f t="shared" si="417"/>
        <v/>
      </c>
      <c r="AO1548" s="3">
        <v>0</v>
      </c>
      <c r="AP1548" s="3">
        <f t="shared" si="431"/>
        <v>8</v>
      </c>
      <c r="AR1548">
        <f t="shared" si="432"/>
        <v>0</v>
      </c>
      <c r="AS1548">
        <f t="shared" si="433"/>
        <v>5</v>
      </c>
    </row>
    <row r="1549" customHeight="1" spans="1:45">
      <c r="A1549" s="3" t="str">
        <f>IF(对接源_02物料!$C349="","",对接源_02物料!$C349)</f>
        <v/>
      </c>
      <c r="B1549" s="3">
        <f t="shared" si="418"/>
        <v>0</v>
      </c>
      <c r="C1549" s="3">
        <f t="shared" si="419"/>
        <v>21</v>
      </c>
      <c r="K1549" s="3">
        <f>IF(OR($K$1="",对接源_02物料!$C349="",对接源_02物料!$C349&lt;&gt;$K$1,对接源_02物料!$B349=""),0,IF(OR(N(对接源_02物料!$B349)&lt;$K$2,N(对接源_02物料!$B349)&gt;$K$3),0,1))</f>
        <v>0</v>
      </c>
      <c r="L1549" s="3">
        <f>IF(OR($L$1="",对接源_02物料!$C349="",对接源_02物料!$C349&lt;&gt;$L$1,对接源_02物料!$B349=""),0,IF(OR(N(对接源_02物料!$B349)&lt;$L$2,N(对接源_02物料!$B349)&gt;$L$3),0,1))</f>
        <v>0</v>
      </c>
      <c r="M1549" s="3">
        <f>IF(OR($M$1="",对接源_02物料!$C349="",对接源_02物料!$C349&lt;&gt;$M$1,对接源_02物料!$B349=""),0,IF(OR(N(对接源_02物料!$B349)&lt;$M$2,N(对接源_02物料!$B349)&gt;$M$3),0,1))</f>
        <v>0</v>
      </c>
      <c r="N1549" s="3">
        <f>IF(OR($N$1="",对接源_02物料!$C349="",对接源_02物料!$C349&lt;&gt;$N$1,对接源_02物料!$B349=""),0,IF(OR(N(对接源_02物料!$B349)&lt;$N$2,N(对接源_02物料!$B349)&gt;$N$3),0,1))</f>
        <v>0</v>
      </c>
      <c r="P1549" s="3">
        <f>IF(AND($K1549=1,AND(对接源_02物料!$X349="公司筐",N(对接源_02物料!$T349)&lt;&gt;0)),1,0)</f>
        <v>0</v>
      </c>
      <c r="Q1549" s="3">
        <f t="shared" si="420"/>
        <v>8</v>
      </c>
      <c r="R1549" s="3">
        <f>IF(AND($K1549=1,AND(对接源_02物料!$X349="公司筐",N(对接源_02物料!$U349)&lt;&gt;0)),1,0)</f>
        <v>0</v>
      </c>
      <c r="S1549" s="3">
        <f t="shared" si="421"/>
        <v>0</v>
      </c>
      <c r="T1549" s="3">
        <f>IF(AND($K1549=1,AND(对接源_02物料!$X349="公司筐",N(对接源_02物料!$V349)&lt;&gt;0)),1,0)</f>
        <v>0</v>
      </c>
      <c r="U1549" s="3">
        <f t="shared" si="422"/>
        <v>19</v>
      </c>
      <c r="V1549" s="3">
        <f>IF(AND($L1549=1,AND(对接源_02物料!$X349="自备筐",N(对接源_02物料!$V349)&lt;&gt;0)),1,0)</f>
        <v>0</v>
      </c>
      <c r="W1549" s="3">
        <f t="shared" si="423"/>
        <v>8</v>
      </c>
      <c r="X1549" s="3">
        <f>IF(AND($L1549=1,AND(对接源_02物料!$X349="自备筐",N(对接源_02物料!$T349)&lt;&gt;0)),1,0)</f>
        <v>0</v>
      </c>
      <c r="Y1549" s="3">
        <f t="shared" si="424"/>
        <v>0</v>
      </c>
      <c r="Z1549" s="3">
        <f>IF(AND($M1549=1,对接源_02物料!$D349="原料入库"),1,0)</f>
        <v>0</v>
      </c>
      <c r="AA1549" s="3">
        <f t="shared" si="425"/>
        <v>24</v>
      </c>
      <c r="AB1549" s="3">
        <f>IF(AND($M1549=1,LEFT(对接源_02物料!$D349,4)="原料出库"),1,0)</f>
        <v>0</v>
      </c>
      <c r="AC1549" s="3">
        <f t="shared" si="426"/>
        <v>0</v>
      </c>
      <c r="AD1549" s="3">
        <f>IF(AND($M1549=1,LEFT(对接源_02物料!$D349,4)="成品出库"),1,0)</f>
        <v>0</v>
      </c>
      <c r="AE1549" s="3">
        <f t="shared" si="427"/>
        <v>0</v>
      </c>
      <c r="AF1549" s="3">
        <f>IF(AND($N1549=1,AND(LEFT(对接源_02物料!$D349,4)="包装物料",N(对接源_02物料!$K349)&lt;&gt;0)),1,0)</f>
        <v>0</v>
      </c>
      <c r="AG1549" s="3">
        <f t="shared" si="428"/>
        <v>5</v>
      </c>
      <c r="AH1549" s="3">
        <f>IF(AND($N1549=1,AND(对接源_02物料!$D349="周转筐－销售出库",N(对接源_02物料!$K349)&lt;&gt;0)),1,0)</f>
        <v>0</v>
      </c>
      <c r="AI1549" s="3">
        <f t="shared" si="429"/>
        <v>0</v>
      </c>
      <c r="AL1549" s="3">
        <v>0</v>
      </c>
      <c r="AM1549" s="3">
        <f t="shared" si="430"/>
        <v>1</v>
      </c>
      <c r="AN1549" s="3" t="str">
        <f t="shared" si="417"/>
        <v/>
      </c>
      <c r="AO1549" s="3">
        <v>0</v>
      </c>
      <c r="AP1549" s="3">
        <f t="shared" si="431"/>
        <v>8</v>
      </c>
      <c r="AR1549">
        <f t="shared" si="432"/>
        <v>0</v>
      </c>
      <c r="AS1549">
        <f t="shared" si="433"/>
        <v>5</v>
      </c>
    </row>
    <row r="1550" customHeight="1" spans="1:45">
      <c r="A1550" s="3" t="str">
        <f>IF(对接源_02物料!$C350="","",对接源_02物料!$C350)</f>
        <v/>
      </c>
      <c r="B1550" s="3">
        <f t="shared" si="418"/>
        <v>0</v>
      </c>
      <c r="C1550" s="3">
        <f t="shared" si="419"/>
        <v>21</v>
      </c>
      <c r="K1550" s="3">
        <f>IF(OR($K$1="",对接源_02物料!$C350="",对接源_02物料!$C350&lt;&gt;$K$1,对接源_02物料!$B350=""),0,IF(OR(N(对接源_02物料!$B350)&lt;$K$2,N(对接源_02物料!$B350)&gt;$K$3),0,1))</f>
        <v>0</v>
      </c>
      <c r="L1550" s="3">
        <f>IF(OR($L$1="",对接源_02物料!$C350="",对接源_02物料!$C350&lt;&gt;$L$1,对接源_02物料!$B350=""),0,IF(OR(N(对接源_02物料!$B350)&lt;$L$2,N(对接源_02物料!$B350)&gt;$L$3),0,1))</f>
        <v>0</v>
      </c>
      <c r="M1550" s="3">
        <f>IF(OR($M$1="",对接源_02物料!$C350="",对接源_02物料!$C350&lt;&gt;$M$1,对接源_02物料!$B350=""),0,IF(OR(N(对接源_02物料!$B350)&lt;$M$2,N(对接源_02物料!$B350)&gt;$M$3),0,1))</f>
        <v>0</v>
      </c>
      <c r="N1550" s="3">
        <f>IF(OR($N$1="",对接源_02物料!$C350="",对接源_02物料!$C350&lt;&gt;$N$1,对接源_02物料!$B350=""),0,IF(OR(N(对接源_02物料!$B350)&lt;$N$2,N(对接源_02物料!$B350)&gt;$N$3),0,1))</f>
        <v>0</v>
      </c>
      <c r="P1550" s="3">
        <f>IF(AND($K1550=1,AND(对接源_02物料!$X350="公司筐",N(对接源_02物料!$T350)&lt;&gt;0)),1,0)</f>
        <v>0</v>
      </c>
      <c r="Q1550" s="3">
        <f t="shared" si="420"/>
        <v>8</v>
      </c>
      <c r="R1550" s="3">
        <f>IF(AND($K1550=1,AND(对接源_02物料!$X350="公司筐",N(对接源_02物料!$U350)&lt;&gt;0)),1,0)</f>
        <v>0</v>
      </c>
      <c r="S1550" s="3">
        <f t="shared" si="421"/>
        <v>0</v>
      </c>
      <c r="T1550" s="3">
        <f>IF(AND($K1550=1,AND(对接源_02物料!$X350="公司筐",N(对接源_02物料!$V350)&lt;&gt;0)),1,0)</f>
        <v>0</v>
      </c>
      <c r="U1550" s="3">
        <f t="shared" si="422"/>
        <v>19</v>
      </c>
      <c r="V1550" s="3">
        <f>IF(AND($L1550=1,AND(对接源_02物料!$X350="自备筐",N(对接源_02物料!$V350)&lt;&gt;0)),1,0)</f>
        <v>0</v>
      </c>
      <c r="W1550" s="3">
        <f t="shared" si="423"/>
        <v>8</v>
      </c>
      <c r="X1550" s="3">
        <f>IF(AND($L1550=1,AND(对接源_02物料!$X350="自备筐",N(对接源_02物料!$T350)&lt;&gt;0)),1,0)</f>
        <v>0</v>
      </c>
      <c r="Y1550" s="3">
        <f t="shared" si="424"/>
        <v>0</v>
      </c>
      <c r="Z1550" s="3">
        <f>IF(AND($M1550=1,对接源_02物料!$D350="原料入库"),1,0)</f>
        <v>0</v>
      </c>
      <c r="AA1550" s="3">
        <f t="shared" si="425"/>
        <v>24</v>
      </c>
      <c r="AB1550" s="3">
        <f>IF(AND($M1550=1,LEFT(对接源_02物料!$D350,4)="原料出库"),1,0)</f>
        <v>0</v>
      </c>
      <c r="AC1550" s="3">
        <f t="shared" si="426"/>
        <v>0</v>
      </c>
      <c r="AD1550" s="3">
        <f>IF(AND($M1550=1,LEFT(对接源_02物料!$D350,4)="成品出库"),1,0)</f>
        <v>0</v>
      </c>
      <c r="AE1550" s="3">
        <f t="shared" si="427"/>
        <v>0</v>
      </c>
      <c r="AF1550" s="3">
        <f>IF(AND($N1550=1,AND(LEFT(对接源_02物料!$D350,4)="包装物料",N(对接源_02物料!$K350)&lt;&gt;0)),1,0)</f>
        <v>0</v>
      </c>
      <c r="AG1550" s="3">
        <f t="shared" si="428"/>
        <v>5</v>
      </c>
      <c r="AH1550" s="3">
        <f>IF(AND($N1550=1,AND(对接源_02物料!$D350="周转筐－销售出库",N(对接源_02物料!$K350)&lt;&gt;0)),1,0)</f>
        <v>0</v>
      </c>
      <c r="AI1550" s="3">
        <f t="shared" si="429"/>
        <v>0</v>
      </c>
      <c r="AL1550" s="3">
        <v>0</v>
      </c>
      <c r="AM1550" s="3">
        <f t="shared" si="430"/>
        <v>1</v>
      </c>
      <c r="AN1550" s="3" t="str">
        <f t="shared" si="417"/>
        <v/>
      </c>
      <c r="AO1550" s="3">
        <v>0</v>
      </c>
      <c r="AP1550" s="3">
        <f t="shared" si="431"/>
        <v>8</v>
      </c>
      <c r="AR1550">
        <f t="shared" si="432"/>
        <v>0</v>
      </c>
      <c r="AS1550">
        <f t="shared" si="433"/>
        <v>5</v>
      </c>
    </row>
    <row r="1551" customHeight="1" spans="1:45">
      <c r="A1551" s="3" t="str">
        <f>IF(对接源_02物料!$C351="","",对接源_02物料!$C351)</f>
        <v/>
      </c>
      <c r="B1551" s="3">
        <f t="shared" si="418"/>
        <v>0</v>
      </c>
      <c r="C1551" s="3">
        <f t="shared" si="419"/>
        <v>21</v>
      </c>
      <c r="K1551" s="3">
        <f>IF(OR($K$1="",对接源_02物料!$C351="",对接源_02物料!$C351&lt;&gt;$K$1,对接源_02物料!$B351=""),0,IF(OR(N(对接源_02物料!$B351)&lt;$K$2,N(对接源_02物料!$B351)&gt;$K$3),0,1))</f>
        <v>0</v>
      </c>
      <c r="L1551" s="3">
        <f>IF(OR($L$1="",对接源_02物料!$C351="",对接源_02物料!$C351&lt;&gt;$L$1,对接源_02物料!$B351=""),0,IF(OR(N(对接源_02物料!$B351)&lt;$L$2,N(对接源_02物料!$B351)&gt;$L$3),0,1))</f>
        <v>0</v>
      </c>
      <c r="M1551" s="3">
        <f>IF(OR($M$1="",对接源_02物料!$C351="",对接源_02物料!$C351&lt;&gt;$M$1,对接源_02物料!$B351=""),0,IF(OR(N(对接源_02物料!$B351)&lt;$M$2,N(对接源_02物料!$B351)&gt;$M$3),0,1))</f>
        <v>0</v>
      </c>
      <c r="N1551" s="3">
        <f>IF(OR($N$1="",对接源_02物料!$C351="",对接源_02物料!$C351&lt;&gt;$N$1,对接源_02物料!$B351=""),0,IF(OR(N(对接源_02物料!$B351)&lt;$N$2,N(对接源_02物料!$B351)&gt;$N$3),0,1))</f>
        <v>0</v>
      </c>
      <c r="P1551" s="3">
        <f>IF(AND($K1551=1,AND(对接源_02物料!$X351="公司筐",N(对接源_02物料!$T351)&lt;&gt;0)),1,0)</f>
        <v>0</v>
      </c>
      <c r="Q1551" s="3">
        <f t="shared" si="420"/>
        <v>8</v>
      </c>
      <c r="R1551" s="3">
        <f>IF(AND($K1551=1,AND(对接源_02物料!$X351="公司筐",N(对接源_02物料!$U351)&lt;&gt;0)),1,0)</f>
        <v>0</v>
      </c>
      <c r="S1551" s="3">
        <f t="shared" si="421"/>
        <v>0</v>
      </c>
      <c r="T1551" s="3">
        <f>IF(AND($K1551=1,AND(对接源_02物料!$X351="公司筐",N(对接源_02物料!$V351)&lt;&gt;0)),1,0)</f>
        <v>0</v>
      </c>
      <c r="U1551" s="3">
        <f t="shared" si="422"/>
        <v>19</v>
      </c>
      <c r="V1551" s="3">
        <f>IF(AND($L1551=1,AND(对接源_02物料!$X351="自备筐",N(对接源_02物料!$V351)&lt;&gt;0)),1,0)</f>
        <v>0</v>
      </c>
      <c r="W1551" s="3">
        <f t="shared" si="423"/>
        <v>8</v>
      </c>
      <c r="X1551" s="3">
        <f>IF(AND($L1551=1,AND(对接源_02物料!$X351="自备筐",N(对接源_02物料!$T351)&lt;&gt;0)),1,0)</f>
        <v>0</v>
      </c>
      <c r="Y1551" s="3">
        <f t="shared" si="424"/>
        <v>0</v>
      </c>
      <c r="Z1551" s="3">
        <f>IF(AND($M1551=1,对接源_02物料!$D351="原料入库"),1,0)</f>
        <v>0</v>
      </c>
      <c r="AA1551" s="3">
        <f t="shared" si="425"/>
        <v>24</v>
      </c>
      <c r="AB1551" s="3">
        <f>IF(AND($M1551=1,LEFT(对接源_02物料!$D351,4)="原料出库"),1,0)</f>
        <v>0</v>
      </c>
      <c r="AC1551" s="3">
        <f t="shared" si="426"/>
        <v>0</v>
      </c>
      <c r="AD1551" s="3">
        <f>IF(AND($M1551=1,LEFT(对接源_02物料!$D351,4)="成品出库"),1,0)</f>
        <v>0</v>
      </c>
      <c r="AE1551" s="3">
        <f t="shared" si="427"/>
        <v>0</v>
      </c>
      <c r="AF1551" s="3">
        <f>IF(AND($N1551=1,AND(LEFT(对接源_02物料!$D351,4)="包装物料",N(对接源_02物料!$K351)&lt;&gt;0)),1,0)</f>
        <v>0</v>
      </c>
      <c r="AG1551" s="3">
        <f t="shared" si="428"/>
        <v>5</v>
      </c>
      <c r="AH1551" s="3">
        <f>IF(AND($N1551=1,AND(对接源_02物料!$D351="周转筐－销售出库",N(对接源_02物料!$K351)&lt;&gt;0)),1,0)</f>
        <v>0</v>
      </c>
      <c r="AI1551" s="3">
        <f t="shared" si="429"/>
        <v>0</v>
      </c>
      <c r="AL1551" s="3">
        <v>0</v>
      </c>
      <c r="AM1551" s="3">
        <f t="shared" si="430"/>
        <v>1</v>
      </c>
      <c r="AN1551" s="3" t="str">
        <f t="shared" si="417"/>
        <v/>
      </c>
      <c r="AO1551" s="3">
        <v>0</v>
      </c>
      <c r="AP1551" s="3">
        <f t="shared" si="431"/>
        <v>8</v>
      </c>
      <c r="AR1551">
        <f t="shared" si="432"/>
        <v>0</v>
      </c>
      <c r="AS1551">
        <f t="shared" si="433"/>
        <v>5</v>
      </c>
    </row>
    <row r="1552" customHeight="1" spans="1:45">
      <c r="A1552" s="3" t="str">
        <f>IF(对接源_02物料!$C352="","",对接源_02物料!$C352)</f>
        <v/>
      </c>
      <c r="B1552" s="3">
        <f t="shared" si="418"/>
        <v>0</v>
      </c>
      <c r="C1552" s="3">
        <f t="shared" si="419"/>
        <v>21</v>
      </c>
      <c r="K1552" s="3">
        <f>IF(OR($K$1="",对接源_02物料!$C352="",对接源_02物料!$C352&lt;&gt;$K$1,对接源_02物料!$B352=""),0,IF(OR(N(对接源_02物料!$B352)&lt;$K$2,N(对接源_02物料!$B352)&gt;$K$3),0,1))</f>
        <v>0</v>
      </c>
      <c r="L1552" s="3">
        <f>IF(OR($L$1="",对接源_02物料!$C352="",对接源_02物料!$C352&lt;&gt;$L$1,对接源_02物料!$B352=""),0,IF(OR(N(对接源_02物料!$B352)&lt;$L$2,N(对接源_02物料!$B352)&gt;$L$3),0,1))</f>
        <v>0</v>
      </c>
      <c r="M1552" s="3">
        <f>IF(OR($M$1="",对接源_02物料!$C352="",对接源_02物料!$C352&lt;&gt;$M$1,对接源_02物料!$B352=""),0,IF(OR(N(对接源_02物料!$B352)&lt;$M$2,N(对接源_02物料!$B352)&gt;$M$3),0,1))</f>
        <v>0</v>
      </c>
      <c r="N1552" s="3">
        <f>IF(OR($N$1="",对接源_02物料!$C352="",对接源_02物料!$C352&lt;&gt;$N$1,对接源_02物料!$B352=""),0,IF(OR(N(对接源_02物料!$B352)&lt;$N$2,N(对接源_02物料!$B352)&gt;$N$3),0,1))</f>
        <v>0</v>
      </c>
      <c r="P1552" s="3">
        <f>IF(AND($K1552=1,AND(对接源_02物料!$X352="公司筐",N(对接源_02物料!$T352)&lt;&gt;0)),1,0)</f>
        <v>0</v>
      </c>
      <c r="Q1552" s="3">
        <f t="shared" si="420"/>
        <v>8</v>
      </c>
      <c r="R1552" s="3">
        <f>IF(AND($K1552=1,AND(对接源_02物料!$X352="公司筐",N(对接源_02物料!$U352)&lt;&gt;0)),1,0)</f>
        <v>0</v>
      </c>
      <c r="S1552" s="3">
        <f t="shared" si="421"/>
        <v>0</v>
      </c>
      <c r="T1552" s="3">
        <f>IF(AND($K1552=1,AND(对接源_02物料!$X352="公司筐",N(对接源_02物料!$V352)&lt;&gt;0)),1,0)</f>
        <v>0</v>
      </c>
      <c r="U1552" s="3">
        <f t="shared" si="422"/>
        <v>19</v>
      </c>
      <c r="V1552" s="3">
        <f>IF(AND($L1552=1,AND(对接源_02物料!$X352="自备筐",N(对接源_02物料!$V352)&lt;&gt;0)),1,0)</f>
        <v>0</v>
      </c>
      <c r="W1552" s="3">
        <f t="shared" si="423"/>
        <v>8</v>
      </c>
      <c r="X1552" s="3">
        <f>IF(AND($L1552=1,AND(对接源_02物料!$X352="自备筐",N(对接源_02物料!$T352)&lt;&gt;0)),1,0)</f>
        <v>0</v>
      </c>
      <c r="Y1552" s="3">
        <f t="shared" si="424"/>
        <v>0</v>
      </c>
      <c r="Z1552" s="3">
        <f>IF(AND($M1552=1,对接源_02物料!$D352="原料入库"),1,0)</f>
        <v>0</v>
      </c>
      <c r="AA1552" s="3">
        <f t="shared" si="425"/>
        <v>24</v>
      </c>
      <c r="AB1552" s="3">
        <f>IF(AND($M1552=1,LEFT(对接源_02物料!$D352,4)="原料出库"),1,0)</f>
        <v>0</v>
      </c>
      <c r="AC1552" s="3">
        <f t="shared" si="426"/>
        <v>0</v>
      </c>
      <c r="AD1552" s="3">
        <f>IF(AND($M1552=1,LEFT(对接源_02物料!$D352,4)="成品出库"),1,0)</f>
        <v>0</v>
      </c>
      <c r="AE1552" s="3">
        <f t="shared" si="427"/>
        <v>0</v>
      </c>
      <c r="AF1552" s="3">
        <f>IF(AND($N1552=1,AND(LEFT(对接源_02物料!$D352,4)="包装物料",N(对接源_02物料!$K352)&lt;&gt;0)),1,0)</f>
        <v>0</v>
      </c>
      <c r="AG1552" s="3">
        <f t="shared" si="428"/>
        <v>5</v>
      </c>
      <c r="AH1552" s="3">
        <f>IF(AND($N1552=1,AND(对接源_02物料!$D352="周转筐－销售出库",N(对接源_02物料!$K352)&lt;&gt;0)),1,0)</f>
        <v>0</v>
      </c>
      <c r="AI1552" s="3">
        <f t="shared" si="429"/>
        <v>0</v>
      </c>
      <c r="AL1552" s="3">
        <v>0</v>
      </c>
      <c r="AM1552" s="3">
        <f t="shared" si="430"/>
        <v>1</v>
      </c>
      <c r="AN1552" s="3" t="str">
        <f t="shared" si="417"/>
        <v/>
      </c>
      <c r="AO1552" s="3">
        <v>0</v>
      </c>
      <c r="AP1552" s="3">
        <f t="shared" si="431"/>
        <v>8</v>
      </c>
      <c r="AR1552">
        <f t="shared" si="432"/>
        <v>0</v>
      </c>
      <c r="AS1552">
        <f t="shared" si="433"/>
        <v>5</v>
      </c>
    </row>
    <row r="1553" customHeight="1" spans="1:45">
      <c r="A1553" s="3" t="str">
        <f>IF(对接源_02物料!$C353="","",对接源_02物料!$C353)</f>
        <v/>
      </c>
      <c r="B1553" s="3">
        <f t="shared" si="418"/>
        <v>0</v>
      </c>
      <c r="C1553" s="3">
        <f t="shared" si="419"/>
        <v>21</v>
      </c>
      <c r="K1553" s="3">
        <f>IF(OR($K$1="",对接源_02物料!$C353="",对接源_02物料!$C353&lt;&gt;$K$1,对接源_02物料!$B353=""),0,IF(OR(N(对接源_02物料!$B353)&lt;$K$2,N(对接源_02物料!$B353)&gt;$K$3),0,1))</f>
        <v>0</v>
      </c>
      <c r="L1553" s="3">
        <f>IF(OR($L$1="",对接源_02物料!$C353="",对接源_02物料!$C353&lt;&gt;$L$1,对接源_02物料!$B353=""),0,IF(OR(N(对接源_02物料!$B353)&lt;$L$2,N(对接源_02物料!$B353)&gt;$L$3),0,1))</f>
        <v>0</v>
      </c>
      <c r="M1553" s="3">
        <f>IF(OR($M$1="",对接源_02物料!$C353="",对接源_02物料!$C353&lt;&gt;$M$1,对接源_02物料!$B353=""),0,IF(OR(N(对接源_02物料!$B353)&lt;$M$2,N(对接源_02物料!$B353)&gt;$M$3),0,1))</f>
        <v>0</v>
      </c>
      <c r="N1553" s="3">
        <f>IF(OR($N$1="",对接源_02物料!$C353="",对接源_02物料!$C353&lt;&gt;$N$1,对接源_02物料!$B353=""),0,IF(OR(N(对接源_02物料!$B353)&lt;$N$2,N(对接源_02物料!$B353)&gt;$N$3),0,1))</f>
        <v>0</v>
      </c>
      <c r="P1553" s="3">
        <f>IF(AND($K1553=1,AND(对接源_02物料!$X353="公司筐",N(对接源_02物料!$T353)&lt;&gt;0)),1,0)</f>
        <v>0</v>
      </c>
      <c r="Q1553" s="3">
        <f t="shared" si="420"/>
        <v>8</v>
      </c>
      <c r="R1553" s="3">
        <f>IF(AND($K1553=1,AND(对接源_02物料!$X353="公司筐",N(对接源_02物料!$U353)&lt;&gt;0)),1,0)</f>
        <v>0</v>
      </c>
      <c r="S1553" s="3">
        <f t="shared" si="421"/>
        <v>0</v>
      </c>
      <c r="T1553" s="3">
        <f>IF(AND($K1553=1,AND(对接源_02物料!$X353="公司筐",N(对接源_02物料!$V353)&lt;&gt;0)),1,0)</f>
        <v>0</v>
      </c>
      <c r="U1553" s="3">
        <f t="shared" si="422"/>
        <v>19</v>
      </c>
      <c r="V1553" s="3">
        <f>IF(AND($L1553=1,AND(对接源_02物料!$X353="自备筐",N(对接源_02物料!$V353)&lt;&gt;0)),1,0)</f>
        <v>0</v>
      </c>
      <c r="W1553" s="3">
        <f t="shared" si="423"/>
        <v>8</v>
      </c>
      <c r="X1553" s="3">
        <f>IF(AND($L1553=1,AND(对接源_02物料!$X353="自备筐",N(对接源_02物料!$T353)&lt;&gt;0)),1,0)</f>
        <v>0</v>
      </c>
      <c r="Y1553" s="3">
        <f t="shared" si="424"/>
        <v>0</v>
      </c>
      <c r="Z1553" s="3">
        <f>IF(AND($M1553=1,对接源_02物料!$D353="原料入库"),1,0)</f>
        <v>0</v>
      </c>
      <c r="AA1553" s="3">
        <f t="shared" si="425"/>
        <v>24</v>
      </c>
      <c r="AB1553" s="3">
        <f>IF(AND($M1553=1,LEFT(对接源_02物料!$D353,4)="原料出库"),1,0)</f>
        <v>0</v>
      </c>
      <c r="AC1553" s="3">
        <f t="shared" si="426"/>
        <v>0</v>
      </c>
      <c r="AD1553" s="3">
        <f>IF(AND($M1553=1,LEFT(对接源_02物料!$D353,4)="成品出库"),1,0)</f>
        <v>0</v>
      </c>
      <c r="AE1553" s="3">
        <f t="shared" si="427"/>
        <v>0</v>
      </c>
      <c r="AF1553" s="3">
        <f>IF(AND($N1553=1,AND(LEFT(对接源_02物料!$D353,4)="包装物料",N(对接源_02物料!$K353)&lt;&gt;0)),1,0)</f>
        <v>0</v>
      </c>
      <c r="AG1553" s="3">
        <f t="shared" si="428"/>
        <v>5</v>
      </c>
      <c r="AH1553" s="3">
        <f>IF(AND($N1553=1,AND(对接源_02物料!$D353="周转筐－销售出库",N(对接源_02物料!$K353)&lt;&gt;0)),1,0)</f>
        <v>0</v>
      </c>
      <c r="AI1553" s="3">
        <f t="shared" si="429"/>
        <v>0</v>
      </c>
      <c r="AL1553" s="3">
        <v>0</v>
      </c>
      <c r="AM1553" s="3">
        <f t="shared" si="430"/>
        <v>1</v>
      </c>
      <c r="AN1553" s="3" t="str">
        <f t="shared" si="417"/>
        <v/>
      </c>
      <c r="AO1553" s="3">
        <v>0</v>
      </c>
      <c r="AP1553" s="3">
        <f t="shared" si="431"/>
        <v>8</v>
      </c>
      <c r="AR1553">
        <f t="shared" si="432"/>
        <v>0</v>
      </c>
      <c r="AS1553">
        <f t="shared" si="433"/>
        <v>5</v>
      </c>
    </row>
    <row r="1554" customHeight="1" spans="1:45">
      <c r="A1554" s="3" t="str">
        <f>IF(对接源_02物料!$C354="","",对接源_02物料!$C354)</f>
        <v/>
      </c>
      <c r="B1554" s="3">
        <f t="shared" si="418"/>
        <v>0</v>
      </c>
      <c r="C1554" s="3">
        <f t="shared" si="419"/>
        <v>21</v>
      </c>
      <c r="K1554" s="3">
        <f>IF(OR($K$1="",对接源_02物料!$C354="",对接源_02物料!$C354&lt;&gt;$K$1,对接源_02物料!$B354=""),0,IF(OR(N(对接源_02物料!$B354)&lt;$K$2,N(对接源_02物料!$B354)&gt;$K$3),0,1))</f>
        <v>0</v>
      </c>
      <c r="L1554" s="3">
        <f>IF(OR($L$1="",对接源_02物料!$C354="",对接源_02物料!$C354&lt;&gt;$L$1,对接源_02物料!$B354=""),0,IF(OR(N(对接源_02物料!$B354)&lt;$L$2,N(对接源_02物料!$B354)&gt;$L$3),0,1))</f>
        <v>0</v>
      </c>
      <c r="M1554" s="3">
        <f>IF(OR($M$1="",对接源_02物料!$C354="",对接源_02物料!$C354&lt;&gt;$M$1,对接源_02物料!$B354=""),0,IF(OR(N(对接源_02物料!$B354)&lt;$M$2,N(对接源_02物料!$B354)&gt;$M$3),0,1))</f>
        <v>0</v>
      </c>
      <c r="N1554" s="3">
        <f>IF(OR($N$1="",对接源_02物料!$C354="",对接源_02物料!$C354&lt;&gt;$N$1,对接源_02物料!$B354=""),0,IF(OR(N(对接源_02物料!$B354)&lt;$N$2,N(对接源_02物料!$B354)&gt;$N$3),0,1))</f>
        <v>0</v>
      </c>
      <c r="P1554" s="3">
        <f>IF(AND($K1554=1,AND(对接源_02物料!$X354="公司筐",N(对接源_02物料!$T354)&lt;&gt;0)),1,0)</f>
        <v>0</v>
      </c>
      <c r="Q1554" s="3">
        <f t="shared" si="420"/>
        <v>8</v>
      </c>
      <c r="R1554" s="3">
        <f>IF(AND($K1554=1,AND(对接源_02物料!$X354="公司筐",N(对接源_02物料!$U354)&lt;&gt;0)),1,0)</f>
        <v>0</v>
      </c>
      <c r="S1554" s="3">
        <f t="shared" si="421"/>
        <v>0</v>
      </c>
      <c r="T1554" s="3">
        <f>IF(AND($K1554=1,AND(对接源_02物料!$X354="公司筐",N(对接源_02物料!$V354)&lt;&gt;0)),1,0)</f>
        <v>0</v>
      </c>
      <c r="U1554" s="3">
        <f t="shared" si="422"/>
        <v>19</v>
      </c>
      <c r="V1554" s="3">
        <f>IF(AND($L1554=1,AND(对接源_02物料!$X354="自备筐",N(对接源_02物料!$V354)&lt;&gt;0)),1,0)</f>
        <v>0</v>
      </c>
      <c r="W1554" s="3">
        <f t="shared" si="423"/>
        <v>8</v>
      </c>
      <c r="X1554" s="3">
        <f>IF(AND($L1554=1,AND(对接源_02物料!$X354="自备筐",N(对接源_02物料!$T354)&lt;&gt;0)),1,0)</f>
        <v>0</v>
      </c>
      <c r="Y1554" s="3">
        <f t="shared" si="424"/>
        <v>0</v>
      </c>
      <c r="Z1554" s="3">
        <f>IF(AND($M1554=1,对接源_02物料!$D354="原料入库"),1,0)</f>
        <v>0</v>
      </c>
      <c r="AA1554" s="3">
        <f t="shared" si="425"/>
        <v>24</v>
      </c>
      <c r="AB1554" s="3">
        <f>IF(AND($M1554=1,LEFT(对接源_02物料!$D354,4)="原料出库"),1,0)</f>
        <v>0</v>
      </c>
      <c r="AC1554" s="3">
        <f t="shared" si="426"/>
        <v>0</v>
      </c>
      <c r="AD1554" s="3">
        <f>IF(AND($M1554=1,LEFT(对接源_02物料!$D354,4)="成品出库"),1,0)</f>
        <v>0</v>
      </c>
      <c r="AE1554" s="3">
        <f t="shared" si="427"/>
        <v>0</v>
      </c>
      <c r="AF1554" s="3">
        <f>IF(AND($N1554=1,AND(LEFT(对接源_02物料!$D354,4)="包装物料",N(对接源_02物料!$K354)&lt;&gt;0)),1,0)</f>
        <v>0</v>
      </c>
      <c r="AG1554" s="3">
        <f t="shared" si="428"/>
        <v>5</v>
      </c>
      <c r="AH1554" s="3">
        <f>IF(AND($N1554=1,AND(对接源_02物料!$D354="周转筐－销售出库",N(对接源_02物料!$K354)&lt;&gt;0)),1,0)</f>
        <v>0</v>
      </c>
      <c r="AI1554" s="3">
        <f t="shared" si="429"/>
        <v>0</v>
      </c>
      <c r="AL1554" s="3">
        <v>0</v>
      </c>
      <c r="AM1554" s="3">
        <f t="shared" si="430"/>
        <v>1</v>
      </c>
      <c r="AN1554" s="3" t="str">
        <f t="shared" si="417"/>
        <v/>
      </c>
      <c r="AO1554" s="3">
        <v>0</v>
      </c>
      <c r="AP1554" s="3">
        <f t="shared" si="431"/>
        <v>8</v>
      </c>
      <c r="AR1554">
        <f t="shared" si="432"/>
        <v>0</v>
      </c>
      <c r="AS1554">
        <f t="shared" si="433"/>
        <v>5</v>
      </c>
    </row>
    <row r="1555" customHeight="1" spans="1:45">
      <c r="A1555" s="3" t="str">
        <f>IF(对接源_02物料!$C355="","",对接源_02物料!$C355)</f>
        <v/>
      </c>
      <c r="B1555" s="3">
        <f t="shared" si="418"/>
        <v>0</v>
      </c>
      <c r="C1555" s="3">
        <f t="shared" si="419"/>
        <v>21</v>
      </c>
      <c r="K1555" s="3">
        <f>IF(OR($K$1="",对接源_02物料!$C355="",对接源_02物料!$C355&lt;&gt;$K$1,对接源_02物料!$B355=""),0,IF(OR(N(对接源_02物料!$B355)&lt;$K$2,N(对接源_02物料!$B355)&gt;$K$3),0,1))</f>
        <v>0</v>
      </c>
      <c r="L1555" s="3">
        <f>IF(OR($L$1="",对接源_02物料!$C355="",对接源_02物料!$C355&lt;&gt;$L$1,对接源_02物料!$B355=""),0,IF(OR(N(对接源_02物料!$B355)&lt;$L$2,N(对接源_02物料!$B355)&gt;$L$3),0,1))</f>
        <v>0</v>
      </c>
      <c r="M1555" s="3">
        <f>IF(OR($M$1="",对接源_02物料!$C355="",对接源_02物料!$C355&lt;&gt;$M$1,对接源_02物料!$B355=""),0,IF(OR(N(对接源_02物料!$B355)&lt;$M$2,N(对接源_02物料!$B355)&gt;$M$3),0,1))</f>
        <v>0</v>
      </c>
      <c r="N1555" s="3">
        <f>IF(OR($N$1="",对接源_02物料!$C355="",对接源_02物料!$C355&lt;&gt;$N$1,对接源_02物料!$B355=""),0,IF(OR(N(对接源_02物料!$B355)&lt;$N$2,N(对接源_02物料!$B355)&gt;$N$3),0,1))</f>
        <v>0</v>
      </c>
      <c r="P1555" s="3">
        <f>IF(AND($K1555=1,AND(对接源_02物料!$X355="公司筐",N(对接源_02物料!$T355)&lt;&gt;0)),1,0)</f>
        <v>0</v>
      </c>
      <c r="Q1555" s="3">
        <f t="shared" si="420"/>
        <v>8</v>
      </c>
      <c r="R1555" s="3">
        <f>IF(AND($K1555=1,AND(对接源_02物料!$X355="公司筐",N(对接源_02物料!$U355)&lt;&gt;0)),1,0)</f>
        <v>0</v>
      </c>
      <c r="S1555" s="3">
        <f t="shared" si="421"/>
        <v>0</v>
      </c>
      <c r="T1555" s="3">
        <f>IF(AND($K1555=1,AND(对接源_02物料!$X355="公司筐",N(对接源_02物料!$V355)&lt;&gt;0)),1,0)</f>
        <v>0</v>
      </c>
      <c r="U1555" s="3">
        <f t="shared" si="422"/>
        <v>19</v>
      </c>
      <c r="V1555" s="3">
        <f>IF(AND($L1555=1,AND(对接源_02物料!$X355="自备筐",N(对接源_02物料!$V355)&lt;&gt;0)),1,0)</f>
        <v>0</v>
      </c>
      <c r="W1555" s="3">
        <f t="shared" si="423"/>
        <v>8</v>
      </c>
      <c r="X1555" s="3">
        <f>IF(AND($L1555=1,AND(对接源_02物料!$X355="自备筐",N(对接源_02物料!$T355)&lt;&gt;0)),1,0)</f>
        <v>0</v>
      </c>
      <c r="Y1555" s="3">
        <f t="shared" si="424"/>
        <v>0</v>
      </c>
      <c r="Z1555" s="3">
        <f>IF(AND($M1555=1,对接源_02物料!$D355="原料入库"),1,0)</f>
        <v>0</v>
      </c>
      <c r="AA1555" s="3">
        <f t="shared" si="425"/>
        <v>24</v>
      </c>
      <c r="AB1555" s="3">
        <f>IF(AND($M1555=1,LEFT(对接源_02物料!$D355,4)="原料出库"),1,0)</f>
        <v>0</v>
      </c>
      <c r="AC1555" s="3">
        <f t="shared" si="426"/>
        <v>0</v>
      </c>
      <c r="AD1555" s="3">
        <f>IF(AND($M1555=1,LEFT(对接源_02物料!$D355,4)="成品出库"),1,0)</f>
        <v>0</v>
      </c>
      <c r="AE1555" s="3">
        <f t="shared" si="427"/>
        <v>0</v>
      </c>
      <c r="AF1555" s="3">
        <f>IF(AND($N1555=1,AND(LEFT(对接源_02物料!$D355,4)="包装物料",N(对接源_02物料!$K355)&lt;&gt;0)),1,0)</f>
        <v>0</v>
      </c>
      <c r="AG1555" s="3">
        <f t="shared" si="428"/>
        <v>5</v>
      </c>
      <c r="AH1555" s="3">
        <f>IF(AND($N1555=1,AND(对接源_02物料!$D355="周转筐－销售出库",N(对接源_02物料!$K355)&lt;&gt;0)),1,0)</f>
        <v>0</v>
      </c>
      <c r="AI1555" s="3">
        <f t="shared" si="429"/>
        <v>0</v>
      </c>
      <c r="AL1555" s="3">
        <v>0</v>
      </c>
      <c r="AM1555" s="3">
        <f t="shared" si="430"/>
        <v>1</v>
      </c>
      <c r="AN1555" s="3" t="str">
        <f t="shared" si="417"/>
        <v/>
      </c>
      <c r="AO1555" s="3">
        <v>0</v>
      </c>
      <c r="AP1555" s="3">
        <f t="shared" si="431"/>
        <v>8</v>
      </c>
      <c r="AR1555">
        <f t="shared" si="432"/>
        <v>0</v>
      </c>
      <c r="AS1555">
        <f t="shared" si="433"/>
        <v>5</v>
      </c>
    </row>
    <row r="1556" customHeight="1" spans="1:45">
      <c r="A1556" s="3" t="str">
        <f>IF(对接源_02物料!$C356="","",对接源_02物料!$C356)</f>
        <v/>
      </c>
      <c r="B1556" s="3">
        <f t="shared" si="418"/>
        <v>0</v>
      </c>
      <c r="C1556" s="3">
        <f t="shared" si="419"/>
        <v>21</v>
      </c>
      <c r="K1556" s="3">
        <f>IF(OR($K$1="",对接源_02物料!$C356="",对接源_02物料!$C356&lt;&gt;$K$1,对接源_02物料!$B356=""),0,IF(OR(N(对接源_02物料!$B356)&lt;$K$2,N(对接源_02物料!$B356)&gt;$K$3),0,1))</f>
        <v>0</v>
      </c>
      <c r="L1556" s="3">
        <f>IF(OR($L$1="",对接源_02物料!$C356="",对接源_02物料!$C356&lt;&gt;$L$1,对接源_02物料!$B356=""),0,IF(OR(N(对接源_02物料!$B356)&lt;$L$2,N(对接源_02物料!$B356)&gt;$L$3),0,1))</f>
        <v>0</v>
      </c>
      <c r="M1556" s="3">
        <f>IF(OR($M$1="",对接源_02物料!$C356="",对接源_02物料!$C356&lt;&gt;$M$1,对接源_02物料!$B356=""),0,IF(OR(N(对接源_02物料!$B356)&lt;$M$2,N(对接源_02物料!$B356)&gt;$M$3),0,1))</f>
        <v>0</v>
      </c>
      <c r="N1556" s="3">
        <f>IF(OR($N$1="",对接源_02物料!$C356="",对接源_02物料!$C356&lt;&gt;$N$1,对接源_02物料!$B356=""),0,IF(OR(N(对接源_02物料!$B356)&lt;$N$2,N(对接源_02物料!$B356)&gt;$N$3),0,1))</f>
        <v>0</v>
      </c>
      <c r="P1556" s="3">
        <f>IF(AND($K1556=1,AND(对接源_02物料!$X356="公司筐",N(对接源_02物料!$T356)&lt;&gt;0)),1,0)</f>
        <v>0</v>
      </c>
      <c r="Q1556" s="3">
        <f t="shared" si="420"/>
        <v>8</v>
      </c>
      <c r="R1556" s="3">
        <f>IF(AND($K1556=1,AND(对接源_02物料!$X356="公司筐",N(对接源_02物料!$U356)&lt;&gt;0)),1,0)</f>
        <v>0</v>
      </c>
      <c r="S1556" s="3">
        <f t="shared" si="421"/>
        <v>0</v>
      </c>
      <c r="T1556" s="3">
        <f>IF(AND($K1556=1,AND(对接源_02物料!$X356="公司筐",N(对接源_02物料!$V356)&lt;&gt;0)),1,0)</f>
        <v>0</v>
      </c>
      <c r="U1556" s="3">
        <f t="shared" si="422"/>
        <v>19</v>
      </c>
      <c r="V1556" s="3">
        <f>IF(AND($L1556=1,AND(对接源_02物料!$X356="自备筐",N(对接源_02物料!$V356)&lt;&gt;0)),1,0)</f>
        <v>0</v>
      </c>
      <c r="W1556" s="3">
        <f t="shared" si="423"/>
        <v>8</v>
      </c>
      <c r="X1556" s="3">
        <f>IF(AND($L1556=1,AND(对接源_02物料!$X356="自备筐",N(对接源_02物料!$T356)&lt;&gt;0)),1,0)</f>
        <v>0</v>
      </c>
      <c r="Y1556" s="3">
        <f t="shared" si="424"/>
        <v>0</v>
      </c>
      <c r="Z1556" s="3">
        <f>IF(AND($M1556=1,对接源_02物料!$D356="原料入库"),1,0)</f>
        <v>0</v>
      </c>
      <c r="AA1556" s="3">
        <f t="shared" si="425"/>
        <v>24</v>
      </c>
      <c r="AB1556" s="3">
        <f>IF(AND($M1556=1,LEFT(对接源_02物料!$D356,4)="原料出库"),1,0)</f>
        <v>0</v>
      </c>
      <c r="AC1556" s="3">
        <f t="shared" si="426"/>
        <v>0</v>
      </c>
      <c r="AD1556" s="3">
        <f>IF(AND($M1556=1,LEFT(对接源_02物料!$D356,4)="成品出库"),1,0)</f>
        <v>0</v>
      </c>
      <c r="AE1556" s="3">
        <f t="shared" si="427"/>
        <v>0</v>
      </c>
      <c r="AF1556" s="3">
        <f>IF(AND($N1556=1,AND(LEFT(对接源_02物料!$D356,4)="包装物料",N(对接源_02物料!$K356)&lt;&gt;0)),1,0)</f>
        <v>0</v>
      </c>
      <c r="AG1556" s="3">
        <f t="shared" si="428"/>
        <v>5</v>
      </c>
      <c r="AH1556" s="3">
        <f>IF(AND($N1556=1,AND(对接源_02物料!$D356="周转筐－销售出库",N(对接源_02物料!$K356)&lt;&gt;0)),1,0)</f>
        <v>0</v>
      </c>
      <c r="AI1556" s="3">
        <f t="shared" si="429"/>
        <v>0</v>
      </c>
      <c r="AL1556" s="3">
        <v>0</v>
      </c>
      <c r="AM1556" s="3">
        <f t="shared" si="430"/>
        <v>1</v>
      </c>
      <c r="AN1556" s="3" t="str">
        <f t="shared" si="417"/>
        <v/>
      </c>
      <c r="AO1556" s="3">
        <v>0</v>
      </c>
      <c r="AP1556" s="3">
        <f t="shared" si="431"/>
        <v>8</v>
      </c>
      <c r="AR1556">
        <f t="shared" si="432"/>
        <v>0</v>
      </c>
      <c r="AS1556">
        <f t="shared" si="433"/>
        <v>5</v>
      </c>
    </row>
    <row r="1557" customHeight="1" spans="1:45">
      <c r="A1557" s="3" t="str">
        <f>IF(对接源_02物料!$C357="","",对接源_02物料!$C357)</f>
        <v/>
      </c>
      <c r="B1557" s="3">
        <f t="shared" si="418"/>
        <v>0</v>
      </c>
      <c r="C1557" s="3">
        <f t="shared" si="419"/>
        <v>21</v>
      </c>
      <c r="K1557" s="3">
        <f>IF(OR($K$1="",对接源_02物料!$C357="",对接源_02物料!$C357&lt;&gt;$K$1,对接源_02物料!$B357=""),0,IF(OR(N(对接源_02物料!$B357)&lt;$K$2,N(对接源_02物料!$B357)&gt;$K$3),0,1))</f>
        <v>0</v>
      </c>
      <c r="L1557" s="3">
        <f>IF(OR($L$1="",对接源_02物料!$C357="",对接源_02物料!$C357&lt;&gt;$L$1,对接源_02物料!$B357=""),0,IF(OR(N(对接源_02物料!$B357)&lt;$L$2,N(对接源_02物料!$B357)&gt;$L$3),0,1))</f>
        <v>0</v>
      </c>
      <c r="M1557" s="3">
        <f>IF(OR($M$1="",对接源_02物料!$C357="",对接源_02物料!$C357&lt;&gt;$M$1,对接源_02物料!$B357=""),0,IF(OR(N(对接源_02物料!$B357)&lt;$M$2,N(对接源_02物料!$B357)&gt;$M$3),0,1))</f>
        <v>0</v>
      </c>
      <c r="N1557" s="3">
        <f>IF(OR($N$1="",对接源_02物料!$C357="",对接源_02物料!$C357&lt;&gt;$N$1,对接源_02物料!$B357=""),0,IF(OR(N(对接源_02物料!$B357)&lt;$N$2,N(对接源_02物料!$B357)&gt;$N$3),0,1))</f>
        <v>0</v>
      </c>
      <c r="P1557" s="3">
        <f>IF(AND($K1557=1,AND(对接源_02物料!$X357="公司筐",N(对接源_02物料!$T357)&lt;&gt;0)),1,0)</f>
        <v>0</v>
      </c>
      <c r="Q1557" s="3">
        <f t="shared" si="420"/>
        <v>8</v>
      </c>
      <c r="R1557" s="3">
        <f>IF(AND($K1557=1,AND(对接源_02物料!$X357="公司筐",N(对接源_02物料!$U357)&lt;&gt;0)),1,0)</f>
        <v>0</v>
      </c>
      <c r="S1557" s="3">
        <f t="shared" si="421"/>
        <v>0</v>
      </c>
      <c r="T1557" s="3">
        <f>IF(AND($K1557=1,AND(对接源_02物料!$X357="公司筐",N(对接源_02物料!$V357)&lt;&gt;0)),1,0)</f>
        <v>0</v>
      </c>
      <c r="U1557" s="3">
        <f t="shared" si="422"/>
        <v>19</v>
      </c>
      <c r="V1557" s="3">
        <f>IF(AND($L1557=1,AND(对接源_02物料!$X357="自备筐",N(对接源_02物料!$V357)&lt;&gt;0)),1,0)</f>
        <v>0</v>
      </c>
      <c r="W1557" s="3">
        <f t="shared" si="423"/>
        <v>8</v>
      </c>
      <c r="X1557" s="3">
        <f>IF(AND($L1557=1,AND(对接源_02物料!$X357="自备筐",N(对接源_02物料!$T357)&lt;&gt;0)),1,0)</f>
        <v>0</v>
      </c>
      <c r="Y1557" s="3">
        <f t="shared" si="424"/>
        <v>0</v>
      </c>
      <c r="Z1557" s="3">
        <f>IF(AND($M1557=1,对接源_02物料!$D357="原料入库"),1,0)</f>
        <v>0</v>
      </c>
      <c r="AA1557" s="3">
        <f t="shared" si="425"/>
        <v>24</v>
      </c>
      <c r="AB1557" s="3">
        <f>IF(AND($M1557=1,LEFT(对接源_02物料!$D357,4)="原料出库"),1,0)</f>
        <v>0</v>
      </c>
      <c r="AC1557" s="3">
        <f t="shared" si="426"/>
        <v>0</v>
      </c>
      <c r="AD1557" s="3">
        <f>IF(AND($M1557=1,LEFT(对接源_02物料!$D357,4)="成品出库"),1,0)</f>
        <v>0</v>
      </c>
      <c r="AE1557" s="3">
        <f t="shared" si="427"/>
        <v>0</v>
      </c>
      <c r="AF1557" s="3">
        <f>IF(AND($N1557=1,AND(LEFT(对接源_02物料!$D357,4)="包装物料",N(对接源_02物料!$K357)&lt;&gt;0)),1,0)</f>
        <v>0</v>
      </c>
      <c r="AG1557" s="3">
        <f t="shared" si="428"/>
        <v>5</v>
      </c>
      <c r="AH1557" s="3">
        <f>IF(AND($N1557=1,AND(对接源_02物料!$D357="周转筐－销售出库",N(对接源_02物料!$K357)&lt;&gt;0)),1,0)</f>
        <v>0</v>
      </c>
      <c r="AI1557" s="3">
        <f t="shared" si="429"/>
        <v>0</v>
      </c>
      <c r="AL1557" s="3">
        <v>0</v>
      </c>
      <c r="AM1557" s="3">
        <f t="shared" si="430"/>
        <v>1</v>
      </c>
      <c r="AN1557" s="3" t="str">
        <f t="shared" si="417"/>
        <v/>
      </c>
      <c r="AO1557" s="3">
        <v>0</v>
      </c>
      <c r="AP1557" s="3">
        <f t="shared" si="431"/>
        <v>8</v>
      </c>
      <c r="AR1557">
        <f t="shared" si="432"/>
        <v>0</v>
      </c>
      <c r="AS1557">
        <f t="shared" si="433"/>
        <v>5</v>
      </c>
    </row>
    <row r="1558" customHeight="1" spans="1:45">
      <c r="A1558" s="3" t="str">
        <f>IF(对接源_02物料!$C358="","",对接源_02物料!$C358)</f>
        <v/>
      </c>
      <c r="B1558" s="3">
        <f t="shared" si="418"/>
        <v>0</v>
      </c>
      <c r="C1558" s="3">
        <f t="shared" si="419"/>
        <v>21</v>
      </c>
      <c r="K1558" s="3">
        <f>IF(OR($K$1="",对接源_02物料!$C358="",对接源_02物料!$C358&lt;&gt;$K$1,对接源_02物料!$B358=""),0,IF(OR(N(对接源_02物料!$B358)&lt;$K$2,N(对接源_02物料!$B358)&gt;$K$3),0,1))</f>
        <v>0</v>
      </c>
      <c r="L1558" s="3">
        <f>IF(OR($L$1="",对接源_02物料!$C358="",对接源_02物料!$C358&lt;&gt;$L$1,对接源_02物料!$B358=""),0,IF(OR(N(对接源_02物料!$B358)&lt;$L$2,N(对接源_02物料!$B358)&gt;$L$3),0,1))</f>
        <v>0</v>
      </c>
      <c r="M1558" s="3">
        <f>IF(OR($M$1="",对接源_02物料!$C358="",对接源_02物料!$C358&lt;&gt;$M$1,对接源_02物料!$B358=""),0,IF(OR(N(对接源_02物料!$B358)&lt;$M$2,N(对接源_02物料!$B358)&gt;$M$3),0,1))</f>
        <v>0</v>
      </c>
      <c r="N1558" s="3">
        <f>IF(OR($N$1="",对接源_02物料!$C358="",对接源_02物料!$C358&lt;&gt;$N$1,对接源_02物料!$B358=""),0,IF(OR(N(对接源_02物料!$B358)&lt;$N$2,N(对接源_02物料!$B358)&gt;$N$3),0,1))</f>
        <v>0</v>
      </c>
      <c r="P1558" s="3">
        <f>IF(AND($K1558=1,AND(对接源_02物料!$X358="公司筐",N(对接源_02物料!$T358)&lt;&gt;0)),1,0)</f>
        <v>0</v>
      </c>
      <c r="Q1558" s="3">
        <f t="shared" si="420"/>
        <v>8</v>
      </c>
      <c r="R1558" s="3">
        <f>IF(AND($K1558=1,AND(对接源_02物料!$X358="公司筐",N(对接源_02物料!$U358)&lt;&gt;0)),1,0)</f>
        <v>0</v>
      </c>
      <c r="S1558" s="3">
        <f t="shared" si="421"/>
        <v>0</v>
      </c>
      <c r="T1558" s="3">
        <f>IF(AND($K1558=1,AND(对接源_02物料!$X358="公司筐",N(对接源_02物料!$V358)&lt;&gt;0)),1,0)</f>
        <v>0</v>
      </c>
      <c r="U1558" s="3">
        <f t="shared" si="422"/>
        <v>19</v>
      </c>
      <c r="V1558" s="3">
        <f>IF(AND($L1558=1,AND(对接源_02物料!$X358="自备筐",N(对接源_02物料!$V358)&lt;&gt;0)),1,0)</f>
        <v>0</v>
      </c>
      <c r="W1558" s="3">
        <f t="shared" si="423"/>
        <v>8</v>
      </c>
      <c r="X1558" s="3">
        <f>IF(AND($L1558=1,AND(对接源_02物料!$X358="自备筐",N(对接源_02物料!$T358)&lt;&gt;0)),1,0)</f>
        <v>0</v>
      </c>
      <c r="Y1558" s="3">
        <f t="shared" si="424"/>
        <v>0</v>
      </c>
      <c r="Z1558" s="3">
        <f>IF(AND($M1558=1,对接源_02物料!$D358="原料入库"),1,0)</f>
        <v>0</v>
      </c>
      <c r="AA1558" s="3">
        <f t="shared" si="425"/>
        <v>24</v>
      </c>
      <c r="AB1558" s="3">
        <f>IF(AND($M1558=1,LEFT(对接源_02物料!$D358,4)="原料出库"),1,0)</f>
        <v>0</v>
      </c>
      <c r="AC1558" s="3">
        <f t="shared" si="426"/>
        <v>0</v>
      </c>
      <c r="AD1558" s="3">
        <f>IF(AND($M1558=1,LEFT(对接源_02物料!$D358,4)="成品出库"),1,0)</f>
        <v>0</v>
      </c>
      <c r="AE1558" s="3">
        <f t="shared" si="427"/>
        <v>0</v>
      </c>
      <c r="AF1558" s="3">
        <f>IF(AND($N1558=1,AND(LEFT(对接源_02物料!$D358,4)="包装物料",N(对接源_02物料!$K358)&lt;&gt;0)),1,0)</f>
        <v>0</v>
      </c>
      <c r="AG1558" s="3">
        <f t="shared" si="428"/>
        <v>5</v>
      </c>
      <c r="AH1558" s="3">
        <f>IF(AND($N1558=1,AND(对接源_02物料!$D358="周转筐－销售出库",N(对接源_02物料!$K358)&lt;&gt;0)),1,0)</f>
        <v>0</v>
      </c>
      <c r="AI1558" s="3">
        <f t="shared" si="429"/>
        <v>0</v>
      </c>
      <c r="AL1558" s="3">
        <v>0</v>
      </c>
      <c r="AM1558" s="3">
        <f t="shared" si="430"/>
        <v>1</v>
      </c>
      <c r="AN1558" s="3" t="str">
        <f t="shared" si="417"/>
        <v/>
      </c>
      <c r="AO1558" s="3">
        <v>0</v>
      </c>
      <c r="AP1558" s="3">
        <f t="shared" si="431"/>
        <v>8</v>
      </c>
      <c r="AR1558">
        <f t="shared" si="432"/>
        <v>0</v>
      </c>
      <c r="AS1558">
        <f t="shared" si="433"/>
        <v>5</v>
      </c>
    </row>
    <row r="1559" customHeight="1" spans="1:45">
      <c r="A1559" s="3" t="str">
        <f>IF(对接源_02物料!$C359="","",对接源_02物料!$C359)</f>
        <v/>
      </c>
      <c r="B1559" s="3">
        <f t="shared" si="418"/>
        <v>0</v>
      </c>
      <c r="C1559" s="3">
        <f t="shared" si="419"/>
        <v>21</v>
      </c>
      <c r="K1559" s="3">
        <f>IF(OR($K$1="",对接源_02物料!$C359="",对接源_02物料!$C359&lt;&gt;$K$1,对接源_02物料!$B359=""),0,IF(OR(N(对接源_02物料!$B359)&lt;$K$2,N(对接源_02物料!$B359)&gt;$K$3),0,1))</f>
        <v>0</v>
      </c>
      <c r="L1559" s="3">
        <f>IF(OR($L$1="",对接源_02物料!$C359="",对接源_02物料!$C359&lt;&gt;$L$1,对接源_02物料!$B359=""),0,IF(OR(N(对接源_02物料!$B359)&lt;$L$2,N(对接源_02物料!$B359)&gt;$L$3),0,1))</f>
        <v>0</v>
      </c>
      <c r="M1559" s="3">
        <f>IF(OR($M$1="",对接源_02物料!$C359="",对接源_02物料!$C359&lt;&gt;$M$1,对接源_02物料!$B359=""),0,IF(OR(N(对接源_02物料!$B359)&lt;$M$2,N(对接源_02物料!$B359)&gt;$M$3),0,1))</f>
        <v>0</v>
      </c>
      <c r="N1559" s="3">
        <f>IF(OR($N$1="",对接源_02物料!$C359="",对接源_02物料!$C359&lt;&gt;$N$1,对接源_02物料!$B359=""),0,IF(OR(N(对接源_02物料!$B359)&lt;$N$2,N(对接源_02物料!$B359)&gt;$N$3),0,1))</f>
        <v>0</v>
      </c>
      <c r="P1559" s="3">
        <f>IF(AND($K1559=1,AND(对接源_02物料!$X359="公司筐",N(对接源_02物料!$T359)&lt;&gt;0)),1,0)</f>
        <v>0</v>
      </c>
      <c r="Q1559" s="3">
        <f t="shared" si="420"/>
        <v>8</v>
      </c>
      <c r="R1559" s="3">
        <f>IF(AND($K1559=1,AND(对接源_02物料!$X359="公司筐",N(对接源_02物料!$U359)&lt;&gt;0)),1,0)</f>
        <v>0</v>
      </c>
      <c r="S1559" s="3">
        <f t="shared" si="421"/>
        <v>0</v>
      </c>
      <c r="T1559" s="3">
        <f>IF(AND($K1559=1,AND(对接源_02物料!$X359="公司筐",N(对接源_02物料!$V359)&lt;&gt;0)),1,0)</f>
        <v>0</v>
      </c>
      <c r="U1559" s="3">
        <f t="shared" si="422"/>
        <v>19</v>
      </c>
      <c r="V1559" s="3">
        <f>IF(AND($L1559=1,AND(对接源_02物料!$X359="自备筐",N(对接源_02物料!$V359)&lt;&gt;0)),1,0)</f>
        <v>0</v>
      </c>
      <c r="W1559" s="3">
        <f t="shared" si="423"/>
        <v>8</v>
      </c>
      <c r="X1559" s="3">
        <f>IF(AND($L1559=1,AND(对接源_02物料!$X359="自备筐",N(对接源_02物料!$T359)&lt;&gt;0)),1,0)</f>
        <v>0</v>
      </c>
      <c r="Y1559" s="3">
        <f t="shared" si="424"/>
        <v>0</v>
      </c>
      <c r="Z1559" s="3">
        <f>IF(AND($M1559=1,对接源_02物料!$D359="原料入库"),1,0)</f>
        <v>0</v>
      </c>
      <c r="AA1559" s="3">
        <f t="shared" si="425"/>
        <v>24</v>
      </c>
      <c r="AB1559" s="3">
        <f>IF(AND($M1559=1,LEFT(对接源_02物料!$D359,4)="原料出库"),1,0)</f>
        <v>0</v>
      </c>
      <c r="AC1559" s="3">
        <f t="shared" si="426"/>
        <v>0</v>
      </c>
      <c r="AD1559" s="3">
        <f>IF(AND($M1559=1,LEFT(对接源_02物料!$D359,4)="成品出库"),1,0)</f>
        <v>0</v>
      </c>
      <c r="AE1559" s="3">
        <f t="shared" si="427"/>
        <v>0</v>
      </c>
      <c r="AF1559" s="3">
        <f>IF(AND($N1559=1,AND(LEFT(对接源_02物料!$D359,4)="包装物料",N(对接源_02物料!$K359)&lt;&gt;0)),1,0)</f>
        <v>0</v>
      </c>
      <c r="AG1559" s="3">
        <f t="shared" si="428"/>
        <v>5</v>
      </c>
      <c r="AH1559" s="3">
        <f>IF(AND($N1559=1,AND(对接源_02物料!$D359="周转筐－销售出库",N(对接源_02物料!$K359)&lt;&gt;0)),1,0)</f>
        <v>0</v>
      </c>
      <c r="AI1559" s="3">
        <f t="shared" si="429"/>
        <v>0</v>
      </c>
      <c r="AL1559" s="3">
        <v>0</v>
      </c>
      <c r="AM1559" s="3">
        <f t="shared" si="430"/>
        <v>1</v>
      </c>
      <c r="AN1559" s="3" t="str">
        <f t="shared" si="417"/>
        <v/>
      </c>
      <c r="AO1559" s="3">
        <v>0</v>
      </c>
      <c r="AP1559" s="3">
        <f t="shared" si="431"/>
        <v>8</v>
      </c>
      <c r="AR1559">
        <f t="shared" si="432"/>
        <v>0</v>
      </c>
      <c r="AS1559">
        <f t="shared" si="433"/>
        <v>5</v>
      </c>
    </row>
    <row r="1560" customHeight="1" spans="1:45">
      <c r="A1560" s="3" t="str">
        <f>IF(对接源_02物料!$C360="","",对接源_02物料!$C360)</f>
        <v/>
      </c>
      <c r="B1560" s="3">
        <f t="shared" si="418"/>
        <v>0</v>
      </c>
      <c r="C1560" s="3">
        <f t="shared" si="419"/>
        <v>21</v>
      </c>
      <c r="K1560" s="3">
        <f>IF(OR($K$1="",对接源_02物料!$C360="",对接源_02物料!$C360&lt;&gt;$K$1,对接源_02物料!$B360=""),0,IF(OR(N(对接源_02物料!$B360)&lt;$K$2,N(对接源_02物料!$B360)&gt;$K$3),0,1))</f>
        <v>0</v>
      </c>
      <c r="L1560" s="3">
        <f>IF(OR($L$1="",对接源_02物料!$C360="",对接源_02物料!$C360&lt;&gt;$L$1,对接源_02物料!$B360=""),0,IF(OR(N(对接源_02物料!$B360)&lt;$L$2,N(对接源_02物料!$B360)&gt;$L$3),0,1))</f>
        <v>0</v>
      </c>
      <c r="M1560" s="3">
        <f>IF(OR($M$1="",对接源_02物料!$C360="",对接源_02物料!$C360&lt;&gt;$M$1,对接源_02物料!$B360=""),0,IF(OR(N(对接源_02物料!$B360)&lt;$M$2,N(对接源_02物料!$B360)&gt;$M$3),0,1))</f>
        <v>0</v>
      </c>
      <c r="N1560" s="3">
        <f>IF(OR($N$1="",对接源_02物料!$C360="",对接源_02物料!$C360&lt;&gt;$N$1,对接源_02物料!$B360=""),0,IF(OR(N(对接源_02物料!$B360)&lt;$N$2,N(对接源_02物料!$B360)&gt;$N$3),0,1))</f>
        <v>0</v>
      </c>
      <c r="P1560" s="3">
        <f>IF(AND($K1560=1,AND(对接源_02物料!$X360="公司筐",N(对接源_02物料!$T360)&lt;&gt;0)),1,0)</f>
        <v>0</v>
      </c>
      <c r="Q1560" s="3">
        <f t="shared" si="420"/>
        <v>8</v>
      </c>
      <c r="R1560" s="3">
        <f>IF(AND($K1560=1,AND(对接源_02物料!$X360="公司筐",N(对接源_02物料!$U360)&lt;&gt;0)),1,0)</f>
        <v>0</v>
      </c>
      <c r="S1560" s="3">
        <f t="shared" si="421"/>
        <v>0</v>
      </c>
      <c r="T1560" s="3">
        <f>IF(AND($K1560=1,AND(对接源_02物料!$X360="公司筐",N(对接源_02物料!$V360)&lt;&gt;0)),1,0)</f>
        <v>0</v>
      </c>
      <c r="U1560" s="3">
        <f t="shared" si="422"/>
        <v>19</v>
      </c>
      <c r="V1560" s="3">
        <f>IF(AND($L1560=1,AND(对接源_02物料!$X360="自备筐",N(对接源_02物料!$V360)&lt;&gt;0)),1,0)</f>
        <v>0</v>
      </c>
      <c r="W1560" s="3">
        <f t="shared" si="423"/>
        <v>8</v>
      </c>
      <c r="X1560" s="3">
        <f>IF(AND($L1560=1,AND(对接源_02物料!$X360="自备筐",N(对接源_02物料!$T360)&lt;&gt;0)),1,0)</f>
        <v>0</v>
      </c>
      <c r="Y1560" s="3">
        <f t="shared" si="424"/>
        <v>0</v>
      </c>
      <c r="Z1560" s="3">
        <f>IF(AND($M1560=1,对接源_02物料!$D360="原料入库"),1,0)</f>
        <v>0</v>
      </c>
      <c r="AA1560" s="3">
        <f t="shared" si="425"/>
        <v>24</v>
      </c>
      <c r="AB1560" s="3">
        <f>IF(AND($M1560=1,LEFT(对接源_02物料!$D360,4)="原料出库"),1,0)</f>
        <v>0</v>
      </c>
      <c r="AC1560" s="3">
        <f t="shared" si="426"/>
        <v>0</v>
      </c>
      <c r="AD1560" s="3">
        <f>IF(AND($M1560=1,LEFT(对接源_02物料!$D360,4)="成品出库"),1,0)</f>
        <v>0</v>
      </c>
      <c r="AE1560" s="3">
        <f t="shared" si="427"/>
        <v>0</v>
      </c>
      <c r="AF1560" s="3">
        <f>IF(AND($N1560=1,AND(LEFT(对接源_02物料!$D360,4)="包装物料",N(对接源_02物料!$K360)&lt;&gt;0)),1,0)</f>
        <v>0</v>
      </c>
      <c r="AG1560" s="3">
        <f t="shared" si="428"/>
        <v>5</v>
      </c>
      <c r="AH1560" s="3">
        <f>IF(AND($N1560=1,AND(对接源_02物料!$D360="周转筐－销售出库",N(对接源_02物料!$K360)&lt;&gt;0)),1,0)</f>
        <v>0</v>
      </c>
      <c r="AI1560" s="3">
        <f t="shared" si="429"/>
        <v>0</v>
      </c>
      <c r="AL1560" s="3">
        <v>0</v>
      </c>
      <c r="AM1560" s="3">
        <f t="shared" si="430"/>
        <v>1</v>
      </c>
      <c r="AN1560" s="3" t="str">
        <f t="shared" si="417"/>
        <v/>
      </c>
      <c r="AO1560" s="3">
        <v>0</v>
      </c>
      <c r="AP1560" s="3">
        <f t="shared" si="431"/>
        <v>8</v>
      </c>
      <c r="AR1560">
        <f t="shared" si="432"/>
        <v>0</v>
      </c>
      <c r="AS1560">
        <f t="shared" si="433"/>
        <v>5</v>
      </c>
    </row>
    <row r="1561" customHeight="1" spans="1:45">
      <c r="A1561" s="3" t="str">
        <f>IF(对接源_02物料!$C361="","",对接源_02物料!$C361)</f>
        <v/>
      </c>
      <c r="B1561" s="3">
        <f t="shared" si="418"/>
        <v>0</v>
      </c>
      <c r="C1561" s="3">
        <f t="shared" si="419"/>
        <v>21</v>
      </c>
      <c r="K1561" s="3">
        <f>IF(OR($K$1="",对接源_02物料!$C361="",对接源_02物料!$C361&lt;&gt;$K$1,对接源_02物料!$B361=""),0,IF(OR(N(对接源_02物料!$B361)&lt;$K$2,N(对接源_02物料!$B361)&gt;$K$3),0,1))</f>
        <v>0</v>
      </c>
      <c r="L1561" s="3">
        <f>IF(OR($L$1="",对接源_02物料!$C361="",对接源_02物料!$C361&lt;&gt;$L$1,对接源_02物料!$B361=""),0,IF(OR(N(对接源_02物料!$B361)&lt;$L$2,N(对接源_02物料!$B361)&gt;$L$3),0,1))</f>
        <v>0</v>
      </c>
      <c r="M1561" s="3">
        <f>IF(OR($M$1="",对接源_02物料!$C361="",对接源_02物料!$C361&lt;&gt;$M$1,对接源_02物料!$B361=""),0,IF(OR(N(对接源_02物料!$B361)&lt;$M$2,N(对接源_02物料!$B361)&gt;$M$3),0,1))</f>
        <v>0</v>
      </c>
      <c r="N1561" s="3">
        <f>IF(OR($N$1="",对接源_02物料!$C361="",对接源_02物料!$C361&lt;&gt;$N$1,对接源_02物料!$B361=""),0,IF(OR(N(对接源_02物料!$B361)&lt;$N$2,N(对接源_02物料!$B361)&gt;$N$3),0,1))</f>
        <v>0</v>
      </c>
      <c r="P1561" s="3">
        <f>IF(AND($K1561=1,AND(对接源_02物料!$X361="公司筐",N(对接源_02物料!$T361)&lt;&gt;0)),1,0)</f>
        <v>0</v>
      </c>
      <c r="Q1561" s="3">
        <f t="shared" si="420"/>
        <v>8</v>
      </c>
      <c r="R1561" s="3">
        <f>IF(AND($K1561=1,AND(对接源_02物料!$X361="公司筐",N(对接源_02物料!$U361)&lt;&gt;0)),1,0)</f>
        <v>0</v>
      </c>
      <c r="S1561" s="3">
        <f t="shared" si="421"/>
        <v>0</v>
      </c>
      <c r="T1561" s="3">
        <f>IF(AND($K1561=1,AND(对接源_02物料!$X361="公司筐",N(对接源_02物料!$V361)&lt;&gt;0)),1,0)</f>
        <v>0</v>
      </c>
      <c r="U1561" s="3">
        <f t="shared" si="422"/>
        <v>19</v>
      </c>
      <c r="V1561" s="3">
        <f>IF(AND($L1561=1,AND(对接源_02物料!$X361="自备筐",N(对接源_02物料!$V361)&lt;&gt;0)),1,0)</f>
        <v>0</v>
      </c>
      <c r="W1561" s="3">
        <f t="shared" si="423"/>
        <v>8</v>
      </c>
      <c r="X1561" s="3">
        <f>IF(AND($L1561=1,AND(对接源_02物料!$X361="自备筐",N(对接源_02物料!$T361)&lt;&gt;0)),1,0)</f>
        <v>0</v>
      </c>
      <c r="Y1561" s="3">
        <f t="shared" si="424"/>
        <v>0</v>
      </c>
      <c r="Z1561" s="3">
        <f>IF(AND($M1561=1,对接源_02物料!$D361="原料入库"),1,0)</f>
        <v>0</v>
      </c>
      <c r="AA1561" s="3">
        <f t="shared" si="425"/>
        <v>24</v>
      </c>
      <c r="AB1561" s="3">
        <f>IF(AND($M1561=1,LEFT(对接源_02物料!$D361,4)="原料出库"),1,0)</f>
        <v>0</v>
      </c>
      <c r="AC1561" s="3">
        <f t="shared" si="426"/>
        <v>0</v>
      </c>
      <c r="AD1561" s="3">
        <f>IF(AND($M1561=1,LEFT(对接源_02物料!$D361,4)="成品出库"),1,0)</f>
        <v>0</v>
      </c>
      <c r="AE1561" s="3">
        <f t="shared" si="427"/>
        <v>0</v>
      </c>
      <c r="AF1561" s="3">
        <f>IF(AND($N1561=1,AND(LEFT(对接源_02物料!$D361,4)="包装物料",N(对接源_02物料!$K361)&lt;&gt;0)),1,0)</f>
        <v>0</v>
      </c>
      <c r="AG1561" s="3">
        <f t="shared" si="428"/>
        <v>5</v>
      </c>
      <c r="AH1561" s="3">
        <f>IF(AND($N1561=1,AND(对接源_02物料!$D361="周转筐－销售出库",N(对接源_02物料!$K361)&lt;&gt;0)),1,0)</f>
        <v>0</v>
      </c>
      <c r="AI1561" s="3">
        <f t="shared" si="429"/>
        <v>0</v>
      </c>
      <c r="AL1561" s="3">
        <v>0</v>
      </c>
      <c r="AM1561" s="3">
        <f t="shared" si="430"/>
        <v>1</v>
      </c>
      <c r="AN1561" s="3" t="str">
        <f t="shared" si="417"/>
        <v/>
      </c>
      <c r="AO1561" s="3">
        <v>0</v>
      </c>
      <c r="AP1561" s="3">
        <f t="shared" si="431"/>
        <v>8</v>
      </c>
      <c r="AR1561">
        <f t="shared" si="432"/>
        <v>0</v>
      </c>
      <c r="AS1561">
        <f t="shared" si="433"/>
        <v>5</v>
      </c>
    </row>
    <row r="1562" customHeight="1" spans="1:45">
      <c r="A1562" s="3" t="str">
        <f>IF(对接源_02物料!$C362="","",对接源_02物料!$C362)</f>
        <v/>
      </c>
      <c r="B1562" s="3">
        <f t="shared" si="418"/>
        <v>0</v>
      </c>
      <c r="C1562" s="3">
        <f t="shared" si="419"/>
        <v>21</v>
      </c>
      <c r="K1562" s="3">
        <f>IF(OR($K$1="",对接源_02物料!$C362="",对接源_02物料!$C362&lt;&gt;$K$1,对接源_02物料!$B362=""),0,IF(OR(N(对接源_02物料!$B362)&lt;$K$2,N(对接源_02物料!$B362)&gt;$K$3),0,1))</f>
        <v>0</v>
      </c>
      <c r="L1562" s="3">
        <f>IF(OR($L$1="",对接源_02物料!$C362="",对接源_02物料!$C362&lt;&gt;$L$1,对接源_02物料!$B362=""),0,IF(OR(N(对接源_02物料!$B362)&lt;$L$2,N(对接源_02物料!$B362)&gt;$L$3),0,1))</f>
        <v>0</v>
      </c>
      <c r="M1562" s="3">
        <f>IF(OR($M$1="",对接源_02物料!$C362="",对接源_02物料!$C362&lt;&gt;$M$1,对接源_02物料!$B362=""),0,IF(OR(N(对接源_02物料!$B362)&lt;$M$2,N(对接源_02物料!$B362)&gt;$M$3),0,1))</f>
        <v>0</v>
      </c>
      <c r="N1562" s="3">
        <f>IF(OR($N$1="",对接源_02物料!$C362="",对接源_02物料!$C362&lt;&gt;$N$1,对接源_02物料!$B362=""),0,IF(OR(N(对接源_02物料!$B362)&lt;$N$2,N(对接源_02物料!$B362)&gt;$N$3),0,1))</f>
        <v>0</v>
      </c>
      <c r="P1562" s="3">
        <f>IF(AND($K1562=1,AND(对接源_02物料!$X362="公司筐",N(对接源_02物料!$T362)&lt;&gt;0)),1,0)</f>
        <v>0</v>
      </c>
      <c r="Q1562" s="3">
        <f t="shared" si="420"/>
        <v>8</v>
      </c>
      <c r="R1562" s="3">
        <f>IF(AND($K1562=1,AND(对接源_02物料!$X362="公司筐",N(对接源_02物料!$U362)&lt;&gt;0)),1,0)</f>
        <v>0</v>
      </c>
      <c r="S1562" s="3">
        <f t="shared" si="421"/>
        <v>0</v>
      </c>
      <c r="T1562" s="3">
        <f>IF(AND($K1562=1,AND(对接源_02物料!$X362="公司筐",N(对接源_02物料!$V362)&lt;&gt;0)),1,0)</f>
        <v>0</v>
      </c>
      <c r="U1562" s="3">
        <f t="shared" si="422"/>
        <v>19</v>
      </c>
      <c r="V1562" s="3">
        <f>IF(AND($L1562=1,AND(对接源_02物料!$X362="自备筐",N(对接源_02物料!$V362)&lt;&gt;0)),1,0)</f>
        <v>0</v>
      </c>
      <c r="W1562" s="3">
        <f t="shared" si="423"/>
        <v>8</v>
      </c>
      <c r="X1562" s="3">
        <f>IF(AND($L1562=1,AND(对接源_02物料!$X362="自备筐",N(对接源_02物料!$T362)&lt;&gt;0)),1,0)</f>
        <v>0</v>
      </c>
      <c r="Y1562" s="3">
        <f t="shared" si="424"/>
        <v>0</v>
      </c>
      <c r="Z1562" s="3">
        <f>IF(AND($M1562=1,对接源_02物料!$D362="原料入库"),1,0)</f>
        <v>0</v>
      </c>
      <c r="AA1562" s="3">
        <f t="shared" si="425"/>
        <v>24</v>
      </c>
      <c r="AB1562" s="3">
        <f>IF(AND($M1562=1,LEFT(对接源_02物料!$D362,4)="原料出库"),1,0)</f>
        <v>0</v>
      </c>
      <c r="AC1562" s="3">
        <f t="shared" si="426"/>
        <v>0</v>
      </c>
      <c r="AD1562" s="3">
        <f>IF(AND($M1562=1,LEFT(对接源_02物料!$D362,4)="成品出库"),1,0)</f>
        <v>0</v>
      </c>
      <c r="AE1562" s="3">
        <f t="shared" si="427"/>
        <v>0</v>
      </c>
      <c r="AF1562" s="3">
        <f>IF(AND($N1562=1,AND(LEFT(对接源_02物料!$D362,4)="包装物料",N(对接源_02物料!$K362)&lt;&gt;0)),1,0)</f>
        <v>0</v>
      </c>
      <c r="AG1562" s="3">
        <f t="shared" si="428"/>
        <v>5</v>
      </c>
      <c r="AH1562" s="3">
        <f>IF(AND($N1562=1,AND(对接源_02物料!$D362="周转筐－销售出库",N(对接源_02物料!$K362)&lt;&gt;0)),1,0)</f>
        <v>0</v>
      </c>
      <c r="AI1562" s="3">
        <f t="shared" si="429"/>
        <v>0</v>
      </c>
      <c r="AL1562" s="3">
        <v>0</v>
      </c>
      <c r="AM1562" s="3">
        <f t="shared" si="430"/>
        <v>1</v>
      </c>
      <c r="AN1562" s="3" t="str">
        <f t="shared" si="417"/>
        <v/>
      </c>
      <c r="AO1562" s="3">
        <v>0</v>
      </c>
      <c r="AP1562" s="3">
        <f t="shared" si="431"/>
        <v>8</v>
      </c>
      <c r="AR1562">
        <f t="shared" si="432"/>
        <v>0</v>
      </c>
      <c r="AS1562">
        <f t="shared" si="433"/>
        <v>5</v>
      </c>
    </row>
    <row r="1563" customHeight="1" spans="1:45">
      <c r="A1563" s="3" t="str">
        <f>IF(对接源_02物料!$C363="","",对接源_02物料!$C363)</f>
        <v/>
      </c>
      <c r="B1563" s="3">
        <f t="shared" si="418"/>
        <v>0</v>
      </c>
      <c r="C1563" s="3">
        <f t="shared" si="419"/>
        <v>21</v>
      </c>
      <c r="K1563" s="3">
        <f>IF(OR($K$1="",对接源_02物料!$C363="",对接源_02物料!$C363&lt;&gt;$K$1,对接源_02物料!$B363=""),0,IF(OR(N(对接源_02物料!$B363)&lt;$K$2,N(对接源_02物料!$B363)&gt;$K$3),0,1))</f>
        <v>0</v>
      </c>
      <c r="L1563" s="3">
        <f>IF(OR($L$1="",对接源_02物料!$C363="",对接源_02物料!$C363&lt;&gt;$L$1,对接源_02物料!$B363=""),0,IF(OR(N(对接源_02物料!$B363)&lt;$L$2,N(对接源_02物料!$B363)&gt;$L$3),0,1))</f>
        <v>0</v>
      </c>
      <c r="M1563" s="3">
        <f>IF(OR($M$1="",对接源_02物料!$C363="",对接源_02物料!$C363&lt;&gt;$M$1,对接源_02物料!$B363=""),0,IF(OR(N(对接源_02物料!$B363)&lt;$M$2,N(对接源_02物料!$B363)&gt;$M$3),0,1))</f>
        <v>0</v>
      </c>
      <c r="N1563" s="3">
        <f>IF(OR($N$1="",对接源_02物料!$C363="",对接源_02物料!$C363&lt;&gt;$N$1,对接源_02物料!$B363=""),0,IF(OR(N(对接源_02物料!$B363)&lt;$N$2,N(对接源_02物料!$B363)&gt;$N$3),0,1))</f>
        <v>0</v>
      </c>
      <c r="P1563" s="3">
        <f>IF(AND($K1563=1,AND(对接源_02物料!$X363="公司筐",N(对接源_02物料!$T363)&lt;&gt;0)),1,0)</f>
        <v>0</v>
      </c>
      <c r="Q1563" s="3">
        <f t="shared" si="420"/>
        <v>8</v>
      </c>
      <c r="R1563" s="3">
        <f>IF(AND($K1563=1,AND(对接源_02物料!$X363="公司筐",N(对接源_02物料!$U363)&lt;&gt;0)),1,0)</f>
        <v>0</v>
      </c>
      <c r="S1563" s="3">
        <f t="shared" si="421"/>
        <v>0</v>
      </c>
      <c r="T1563" s="3">
        <f>IF(AND($K1563=1,AND(对接源_02物料!$X363="公司筐",N(对接源_02物料!$V363)&lt;&gt;0)),1,0)</f>
        <v>0</v>
      </c>
      <c r="U1563" s="3">
        <f t="shared" si="422"/>
        <v>19</v>
      </c>
      <c r="V1563" s="3">
        <f>IF(AND($L1563=1,AND(对接源_02物料!$X363="自备筐",N(对接源_02物料!$V363)&lt;&gt;0)),1,0)</f>
        <v>0</v>
      </c>
      <c r="W1563" s="3">
        <f t="shared" si="423"/>
        <v>8</v>
      </c>
      <c r="X1563" s="3">
        <f>IF(AND($L1563=1,AND(对接源_02物料!$X363="自备筐",N(对接源_02物料!$T363)&lt;&gt;0)),1,0)</f>
        <v>0</v>
      </c>
      <c r="Y1563" s="3">
        <f t="shared" si="424"/>
        <v>0</v>
      </c>
      <c r="Z1563" s="3">
        <f>IF(AND($M1563=1,对接源_02物料!$D363="原料入库"),1,0)</f>
        <v>0</v>
      </c>
      <c r="AA1563" s="3">
        <f t="shared" si="425"/>
        <v>24</v>
      </c>
      <c r="AB1563" s="3">
        <f>IF(AND($M1563=1,LEFT(对接源_02物料!$D363,4)="原料出库"),1,0)</f>
        <v>0</v>
      </c>
      <c r="AC1563" s="3">
        <f t="shared" si="426"/>
        <v>0</v>
      </c>
      <c r="AD1563" s="3">
        <f>IF(AND($M1563=1,LEFT(对接源_02物料!$D363,4)="成品出库"),1,0)</f>
        <v>0</v>
      </c>
      <c r="AE1563" s="3">
        <f t="shared" si="427"/>
        <v>0</v>
      </c>
      <c r="AF1563" s="3">
        <f>IF(AND($N1563=1,AND(LEFT(对接源_02物料!$D363,4)="包装物料",N(对接源_02物料!$K363)&lt;&gt;0)),1,0)</f>
        <v>0</v>
      </c>
      <c r="AG1563" s="3">
        <f t="shared" si="428"/>
        <v>5</v>
      </c>
      <c r="AH1563" s="3">
        <f>IF(AND($N1563=1,AND(对接源_02物料!$D363="周转筐－销售出库",N(对接源_02物料!$K363)&lt;&gt;0)),1,0)</f>
        <v>0</v>
      </c>
      <c r="AI1563" s="3">
        <f t="shared" si="429"/>
        <v>0</v>
      </c>
      <c r="AL1563" s="3">
        <v>0</v>
      </c>
      <c r="AM1563" s="3">
        <f t="shared" si="430"/>
        <v>1</v>
      </c>
      <c r="AN1563" s="3" t="str">
        <f t="shared" si="417"/>
        <v/>
      </c>
      <c r="AO1563" s="3">
        <v>0</v>
      </c>
      <c r="AP1563" s="3">
        <f t="shared" si="431"/>
        <v>8</v>
      </c>
      <c r="AR1563">
        <f t="shared" si="432"/>
        <v>0</v>
      </c>
      <c r="AS1563">
        <f t="shared" si="433"/>
        <v>5</v>
      </c>
    </row>
    <row r="1564" customHeight="1" spans="1:45">
      <c r="A1564" s="3" t="str">
        <f>IF(对接源_02物料!$C364="","",对接源_02物料!$C364)</f>
        <v/>
      </c>
      <c r="B1564" s="3">
        <f t="shared" si="418"/>
        <v>0</v>
      </c>
      <c r="C1564" s="3">
        <f t="shared" si="419"/>
        <v>21</v>
      </c>
      <c r="K1564" s="3">
        <f>IF(OR($K$1="",对接源_02物料!$C364="",对接源_02物料!$C364&lt;&gt;$K$1,对接源_02物料!$B364=""),0,IF(OR(N(对接源_02物料!$B364)&lt;$K$2,N(对接源_02物料!$B364)&gt;$K$3),0,1))</f>
        <v>0</v>
      </c>
      <c r="L1564" s="3">
        <f>IF(OR($L$1="",对接源_02物料!$C364="",对接源_02物料!$C364&lt;&gt;$L$1,对接源_02物料!$B364=""),0,IF(OR(N(对接源_02物料!$B364)&lt;$L$2,N(对接源_02物料!$B364)&gt;$L$3),0,1))</f>
        <v>0</v>
      </c>
      <c r="M1564" s="3">
        <f>IF(OR($M$1="",对接源_02物料!$C364="",对接源_02物料!$C364&lt;&gt;$M$1,对接源_02物料!$B364=""),0,IF(OR(N(对接源_02物料!$B364)&lt;$M$2,N(对接源_02物料!$B364)&gt;$M$3),0,1))</f>
        <v>0</v>
      </c>
      <c r="N1564" s="3">
        <f>IF(OR($N$1="",对接源_02物料!$C364="",对接源_02物料!$C364&lt;&gt;$N$1,对接源_02物料!$B364=""),0,IF(OR(N(对接源_02物料!$B364)&lt;$N$2,N(对接源_02物料!$B364)&gt;$N$3),0,1))</f>
        <v>0</v>
      </c>
      <c r="P1564" s="3">
        <f>IF(AND($K1564=1,AND(对接源_02物料!$X364="公司筐",N(对接源_02物料!$T364)&lt;&gt;0)),1,0)</f>
        <v>0</v>
      </c>
      <c r="Q1564" s="3">
        <f t="shared" si="420"/>
        <v>8</v>
      </c>
      <c r="R1564" s="3">
        <f>IF(AND($K1564=1,AND(对接源_02物料!$X364="公司筐",N(对接源_02物料!$U364)&lt;&gt;0)),1,0)</f>
        <v>0</v>
      </c>
      <c r="S1564" s="3">
        <f t="shared" si="421"/>
        <v>0</v>
      </c>
      <c r="T1564" s="3">
        <f>IF(AND($K1564=1,AND(对接源_02物料!$X364="公司筐",N(对接源_02物料!$V364)&lt;&gt;0)),1,0)</f>
        <v>0</v>
      </c>
      <c r="U1564" s="3">
        <f t="shared" si="422"/>
        <v>19</v>
      </c>
      <c r="V1564" s="3">
        <f>IF(AND($L1564=1,AND(对接源_02物料!$X364="自备筐",N(对接源_02物料!$V364)&lt;&gt;0)),1,0)</f>
        <v>0</v>
      </c>
      <c r="W1564" s="3">
        <f t="shared" si="423"/>
        <v>8</v>
      </c>
      <c r="X1564" s="3">
        <f>IF(AND($L1564=1,AND(对接源_02物料!$X364="自备筐",N(对接源_02物料!$T364)&lt;&gt;0)),1,0)</f>
        <v>0</v>
      </c>
      <c r="Y1564" s="3">
        <f t="shared" si="424"/>
        <v>0</v>
      </c>
      <c r="Z1564" s="3">
        <f>IF(AND($M1564=1,对接源_02物料!$D364="原料入库"),1,0)</f>
        <v>0</v>
      </c>
      <c r="AA1564" s="3">
        <f t="shared" si="425"/>
        <v>24</v>
      </c>
      <c r="AB1564" s="3">
        <f>IF(AND($M1564=1,LEFT(对接源_02物料!$D364,4)="原料出库"),1,0)</f>
        <v>0</v>
      </c>
      <c r="AC1564" s="3">
        <f t="shared" si="426"/>
        <v>0</v>
      </c>
      <c r="AD1564" s="3">
        <f>IF(AND($M1564=1,LEFT(对接源_02物料!$D364,4)="成品出库"),1,0)</f>
        <v>0</v>
      </c>
      <c r="AE1564" s="3">
        <f t="shared" si="427"/>
        <v>0</v>
      </c>
      <c r="AF1564" s="3">
        <f>IF(AND($N1564=1,AND(LEFT(对接源_02物料!$D364,4)="包装物料",N(对接源_02物料!$K364)&lt;&gt;0)),1,0)</f>
        <v>0</v>
      </c>
      <c r="AG1564" s="3">
        <f t="shared" si="428"/>
        <v>5</v>
      </c>
      <c r="AH1564" s="3">
        <f>IF(AND($N1564=1,AND(对接源_02物料!$D364="周转筐－销售出库",N(对接源_02物料!$K364)&lt;&gt;0)),1,0)</f>
        <v>0</v>
      </c>
      <c r="AI1564" s="3">
        <f t="shared" si="429"/>
        <v>0</v>
      </c>
      <c r="AL1564" s="3">
        <v>0</v>
      </c>
      <c r="AM1564" s="3">
        <f t="shared" si="430"/>
        <v>1</v>
      </c>
      <c r="AN1564" s="3" t="str">
        <f t="shared" si="417"/>
        <v/>
      </c>
      <c r="AO1564" s="3">
        <v>0</v>
      </c>
      <c r="AP1564" s="3">
        <f t="shared" si="431"/>
        <v>8</v>
      </c>
      <c r="AR1564">
        <f t="shared" si="432"/>
        <v>0</v>
      </c>
      <c r="AS1564">
        <f t="shared" si="433"/>
        <v>5</v>
      </c>
    </row>
    <row r="1565" customHeight="1" spans="1:45">
      <c r="A1565" s="3" t="str">
        <f>IF(对接源_02物料!$C365="","",对接源_02物料!$C365)</f>
        <v/>
      </c>
      <c r="B1565" s="3">
        <f t="shared" si="418"/>
        <v>0</v>
      </c>
      <c r="C1565" s="3">
        <f t="shared" si="419"/>
        <v>21</v>
      </c>
      <c r="K1565" s="3">
        <f>IF(OR($K$1="",对接源_02物料!$C365="",对接源_02物料!$C365&lt;&gt;$K$1,对接源_02物料!$B365=""),0,IF(OR(N(对接源_02物料!$B365)&lt;$K$2,N(对接源_02物料!$B365)&gt;$K$3),0,1))</f>
        <v>0</v>
      </c>
      <c r="L1565" s="3">
        <f>IF(OR($L$1="",对接源_02物料!$C365="",对接源_02物料!$C365&lt;&gt;$L$1,对接源_02物料!$B365=""),0,IF(OR(N(对接源_02物料!$B365)&lt;$L$2,N(对接源_02物料!$B365)&gt;$L$3),0,1))</f>
        <v>0</v>
      </c>
      <c r="M1565" s="3">
        <f>IF(OR($M$1="",对接源_02物料!$C365="",对接源_02物料!$C365&lt;&gt;$M$1,对接源_02物料!$B365=""),0,IF(OR(N(对接源_02物料!$B365)&lt;$M$2,N(对接源_02物料!$B365)&gt;$M$3),0,1))</f>
        <v>0</v>
      </c>
      <c r="N1565" s="3">
        <f>IF(OR($N$1="",对接源_02物料!$C365="",对接源_02物料!$C365&lt;&gt;$N$1,对接源_02物料!$B365=""),0,IF(OR(N(对接源_02物料!$B365)&lt;$N$2,N(对接源_02物料!$B365)&gt;$N$3),0,1))</f>
        <v>0</v>
      </c>
      <c r="P1565" s="3">
        <f>IF(AND($K1565=1,AND(对接源_02物料!$X365="公司筐",N(对接源_02物料!$T365)&lt;&gt;0)),1,0)</f>
        <v>0</v>
      </c>
      <c r="Q1565" s="3">
        <f t="shared" si="420"/>
        <v>8</v>
      </c>
      <c r="R1565" s="3">
        <f>IF(AND($K1565=1,AND(对接源_02物料!$X365="公司筐",N(对接源_02物料!$U365)&lt;&gt;0)),1,0)</f>
        <v>0</v>
      </c>
      <c r="S1565" s="3">
        <f t="shared" si="421"/>
        <v>0</v>
      </c>
      <c r="T1565" s="3">
        <f>IF(AND($K1565=1,AND(对接源_02物料!$X365="公司筐",N(对接源_02物料!$V365)&lt;&gt;0)),1,0)</f>
        <v>0</v>
      </c>
      <c r="U1565" s="3">
        <f t="shared" si="422"/>
        <v>19</v>
      </c>
      <c r="V1565" s="3">
        <f>IF(AND($L1565=1,AND(对接源_02物料!$X365="自备筐",N(对接源_02物料!$V365)&lt;&gt;0)),1,0)</f>
        <v>0</v>
      </c>
      <c r="W1565" s="3">
        <f t="shared" si="423"/>
        <v>8</v>
      </c>
      <c r="X1565" s="3">
        <f>IF(AND($L1565=1,AND(对接源_02物料!$X365="自备筐",N(对接源_02物料!$T365)&lt;&gt;0)),1,0)</f>
        <v>0</v>
      </c>
      <c r="Y1565" s="3">
        <f t="shared" si="424"/>
        <v>0</v>
      </c>
      <c r="Z1565" s="3">
        <f>IF(AND($M1565=1,对接源_02物料!$D365="原料入库"),1,0)</f>
        <v>0</v>
      </c>
      <c r="AA1565" s="3">
        <f t="shared" si="425"/>
        <v>24</v>
      </c>
      <c r="AB1565" s="3">
        <f>IF(AND($M1565=1,LEFT(对接源_02物料!$D365,4)="原料出库"),1,0)</f>
        <v>0</v>
      </c>
      <c r="AC1565" s="3">
        <f t="shared" si="426"/>
        <v>0</v>
      </c>
      <c r="AD1565" s="3">
        <f>IF(AND($M1565=1,LEFT(对接源_02物料!$D365,4)="成品出库"),1,0)</f>
        <v>0</v>
      </c>
      <c r="AE1565" s="3">
        <f t="shared" si="427"/>
        <v>0</v>
      </c>
      <c r="AF1565" s="3">
        <f>IF(AND($N1565=1,AND(LEFT(对接源_02物料!$D365,4)="包装物料",N(对接源_02物料!$K365)&lt;&gt;0)),1,0)</f>
        <v>0</v>
      </c>
      <c r="AG1565" s="3">
        <f t="shared" si="428"/>
        <v>5</v>
      </c>
      <c r="AH1565" s="3">
        <f>IF(AND($N1565=1,AND(对接源_02物料!$D365="周转筐－销售出库",N(对接源_02物料!$K365)&lt;&gt;0)),1,0)</f>
        <v>0</v>
      </c>
      <c r="AI1565" s="3">
        <f t="shared" si="429"/>
        <v>0</v>
      </c>
      <c r="AL1565" s="3">
        <v>0</v>
      </c>
      <c r="AM1565" s="3">
        <f t="shared" si="430"/>
        <v>1</v>
      </c>
      <c r="AN1565" s="3" t="str">
        <f t="shared" si="417"/>
        <v/>
      </c>
      <c r="AO1565" s="3">
        <v>0</v>
      </c>
      <c r="AP1565" s="3">
        <f t="shared" si="431"/>
        <v>8</v>
      </c>
      <c r="AR1565">
        <f t="shared" si="432"/>
        <v>0</v>
      </c>
      <c r="AS1565">
        <f t="shared" si="433"/>
        <v>5</v>
      </c>
    </row>
    <row r="1566" customHeight="1" spans="1:45">
      <c r="A1566" s="3" t="str">
        <f>IF(对接源_02物料!$C366="","",对接源_02物料!$C366)</f>
        <v/>
      </c>
      <c r="B1566" s="3">
        <f t="shared" si="418"/>
        <v>0</v>
      </c>
      <c r="C1566" s="3">
        <f t="shared" si="419"/>
        <v>21</v>
      </c>
      <c r="K1566" s="3">
        <f>IF(OR($K$1="",对接源_02物料!$C366="",对接源_02物料!$C366&lt;&gt;$K$1,对接源_02物料!$B366=""),0,IF(OR(N(对接源_02物料!$B366)&lt;$K$2,N(对接源_02物料!$B366)&gt;$K$3),0,1))</f>
        <v>0</v>
      </c>
      <c r="L1566" s="3">
        <f>IF(OR($L$1="",对接源_02物料!$C366="",对接源_02物料!$C366&lt;&gt;$L$1,对接源_02物料!$B366=""),0,IF(OR(N(对接源_02物料!$B366)&lt;$L$2,N(对接源_02物料!$B366)&gt;$L$3),0,1))</f>
        <v>0</v>
      </c>
      <c r="M1566" s="3">
        <f>IF(OR($M$1="",对接源_02物料!$C366="",对接源_02物料!$C366&lt;&gt;$M$1,对接源_02物料!$B366=""),0,IF(OR(N(对接源_02物料!$B366)&lt;$M$2,N(对接源_02物料!$B366)&gt;$M$3),0,1))</f>
        <v>0</v>
      </c>
      <c r="N1566" s="3">
        <f>IF(OR($N$1="",对接源_02物料!$C366="",对接源_02物料!$C366&lt;&gt;$N$1,对接源_02物料!$B366=""),0,IF(OR(N(对接源_02物料!$B366)&lt;$N$2,N(对接源_02物料!$B366)&gt;$N$3),0,1))</f>
        <v>0</v>
      </c>
      <c r="P1566" s="3">
        <f>IF(AND($K1566=1,AND(对接源_02物料!$X366="公司筐",N(对接源_02物料!$T366)&lt;&gt;0)),1,0)</f>
        <v>0</v>
      </c>
      <c r="Q1566" s="3">
        <f t="shared" si="420"/>
        <v>8</v>
      </c>
      <c r="R1566" s="3">
        <f>IF(AND($K1566=1,AND(对接源_02物料!$X366="公司筐",N(对接源_02物料!$U366)&lt;&gt;0)),1,0)</f>
        <v>0</v>
      </c>
      <c r="S1566" s="3">
        <f t="shared" si="421"/>
        <v>0</v>
      </c>
      <c r="T1566" s="3">
        <f>IF(AND($K1566=1,AND(对接源_02物料!$X366="公司筐",N(对接源_02物料!$V366)&lt;&gt;0)),1,0)</f>
        <v>0</v>
      </c>
      <c r="U1566" s="3">
        <f t="shared" si="422"/>
        <v>19</v>
      </c>
      <c r="V1566" s="3">
        <f>IF(AND($L1566=1,AND(对接源_02物料!$X366="自备筐",N(对接源_02物料!$V366)&lt;&gt;0)),1,0)</f>
        <v>0</v>
      </c>
      <c r="W1566" s="3">
        <f t="shared" si="423"/>
        <v>8</v>
      </c>
      <c r="X1566" s="3">
        <f>IF(AND($L1566=1,AND(对接源_02物料!$X366="自备筐",N(对接源_02物料!$T366)&lt;&gt;0)),1,0)</f>
        <v>0</v>
      </c>
      <c r="Y1566" s="3">
        <f t="shared" si="424"/>
        <v>0</v>
      </c>
      <c r="Z1566" s="3">
        <f>IF(AND($M1566=1,对接源_02物料!$D366="原料入库"),1,0)</f>
        <v>0</v>
      </c>
      <c r="AA1566" s="3">
        <f t="shared" si="425"/>
        <v>24</v>
      </c>
      <c r="AB1566" s="3">
        <f>IF(AND($M1566=1,LEFT(对接源_02物料!$D366,4)="原料出库"),1,0)</f>
        <v>0</v>
      </c>
      <c r="AC1566" s="3">
        <f t="shared" si="426"/>
        <v>0</v>
      </c>
      <c r="AD1566" s="3">
        <f>IF(AND($M1566=1,LEFT(对接源_02物料!$D366,4)="成品出库"),1,0)</f>
        <v>0</v>
      </c>
      <c r="AE1566" s="3">
        <f t="shared" si="427"/>
        <v>0</v>
      </c>
      <c r="AF1566" s="3">
        <f>IF(AND($N1566=1,AND(LEFT(对接源_02物料!$D366,4)="包装物料",N(对接源_02物料!$K366)&lt;&gt;0)),1,0)</f>
        <v>0</v>
      </c>
      <c r="AG1566" s="3">
        <f t="shared" si="428"/>
        <v>5</v>
      </c>
      <c r="AH1566" s="3">
        <f>IF(AND($N1566=1,AND(对接源_02物料!$D366="周转筐－销售出库",N(对接源_02物料!$K366)&lt;&gt;0)),1,0)</f>
        <v>0</v>
      </c>
      <c r="AI1566" s="3">
        <f t="shared" si="429"/>
        <v>0</v>
      </c>
      <c r="AL1566" s="3">
        <v>0</v>
      </c>
      <c r="AM1566" s="3">
        <f t="shared" si="430"/>
        <v>1</v>
      </c>
      <c r="AN1566" s="3" t="str">
        <f t="shared" si="417"/>
        <v/>
      </c>
      <c r="AO1566" s="3">
        <v>0</v>
      </c>
      <c r="AP1566" s="3">
        <f t="shared" si="431"/>
        <v>8</v>
      </c>
      <c r="AR1566">
        <f t="shared" si="432"/>
        <v>0</v>
      </c>
      <c r="AS1566">
        <f t="shared" si="433"/>
        <v>5</v>
      </c>
    </row>
    <row r="1567" customHeight="1" spans="1:45">
      <c r="A1567" s="3" t="str">
        <f>IF(对接源_02物料!$C367="","",对接源_02物料!$C367)</f>
        <v/>
      </c>
      <c r="B1567" s="3">
        <f t="shared" si="418"/>
        <v>0</v>
      </c>
      <c r="C1567" s="3">
        <f t="shared" si="419"/>
        <v>21</v>
      </c>
      <c r="K1567" s="3">
        <f>IF(OR($K$1="",对接源_02物料!$C367="",对接源_02物料!$C367&lt;&gt;$K$1,对接源_02物料!$B367=""),0,IF(OR(N(对接源_02物料!$B367)&lt;$K$2,N(对接源_02物料!$B367)&gt;$K$3),0,1))</f>
        <v>0</v>
      </c>
      <c r="L1567" s="3">
        <f>IF(OR($L$1="",对接源_02物料!$C367="",对接源_02物料!$C367&lt;&gt;$L$1,对接源_02物料!$B367=""),0,IF(OR(N(对接源_02物料!$B367)&lt;$L$2,N(对接源_02物料!$B367)&gt;$L$3),0,1))</f>
        <v>0</v>
      </c>
      <c r="M1567" s="3">
        <f>IF(OR($M$1="",对接源_02物料!$C367="",对接源_02物料!$C367&lt;&gt;$M$1,对接源_02物料!$B367=""),0,IF(OR(N(对接源_02物料!$B367)&lt;$M$2,N(对接源_02物料!$B367)&gt;$M$3),0,1))</f>
        <v>0</v>
      </c>
      <c r="N1567" s="3">
        <f>IF(OR($N$1="",对接源_02物料!$C367="",对接源_02物料!$C367&lt;&gt;$N$1,对接源_02物料!$B367=""),0,IF(OR(N(对接源_02物料!$B367)&lt;$N$2,N(对接源_02物料!$B367)&gt;$N$3),0,1))</f>
        <v>0</v>
      </c>
      <c r="P1567" s="3">
        <f>IF(AND($K1567=1,AND(对接源_02物料!$X367="公司筐",N(对接源_02物料!$T367)&lt;&gt;0)),1,0)</f>
        <v>0</v>
      </c>
      <c r="Q1567" s="3">
        <f t="shared" si="420"/>
        <v>8</v>
      </c>
      <c r="R1567" s="3">
        <f>IF(AND($K1567=1,AND(对接源_02物料!$X367="公司筐",N(对接源_02物料!$U367)&lt;&gt;0)),1,0)</f>
        <v>0</v>
      </c>
      <c r="S1567" s="3">
        <f t="shared" si="421"/>
        <v>0</v>
      </c>
      <c r="T1567" s="3">
        <f>IF(AND($K1567=1,AND(对接源_02物料!$X367="公司筐",N(对接源_02物料!$V367)&lt;&gt;0)),1,0)</f>
        <v>0</v>
      </c>
      <c r="U1567" s="3">
        <f t="shared" si="422"/>
        <v>19</v>
      </c>
      <c r="V1567" s="3">
        <f>IF(AND($L1567=1,AND(对接源_02物料!$X367="自备筐",N(对接源_02物料!$V367)&lt;&gt;0)),1,0)</f>
        <v>0</v>
      </c>
      <c r="W1567" s="3">
        <f t="shared" si="423"/>
        <v>8</v>
      </c>
      <c r="X1567" s="3">
        <f>IF(AND($L1567=1,AND(对接源_02物料!$X367="自备筐",N(对接源_02物料!$T367)&lt;&gt;0)),1,0)</f>
        <v>0</v>
      </c>
      <c r="Y1567" s="3">
        <f t="shared" si="424"/>
        <v>0</v>
      </c>
      <c r="Z1567" s="3">
        <f>IF(AND($M1567=1,对接源_02物料!$D367="原料入库"),1,0)</f>
        <v>0</v>
      </c>
      <c r="AA1567" s="3">
        <f t="shared" si="425"/>
        <v>24</v>
      </c>
      <c r="AB1567" s="3">
        <f>IF(AND($M1567=1,LEFT(对接源_02物料!$D367,4)="原料出库"),1,0)</f>
        <v>0</v>
      </c>
      <c r="AC1567" s="3">
        <f t="shared" si="426"/>
        <v>0</v>
      </c>
      <c r="AD1567" s="3">
        <f>IF(AND($M1567=1,LEFT(对接源_02物料!$D367,4)="成品出库"),1,0)</f>
        <v>0</v>
      </c>
      <c r="AE1567" s="3">
        <f t="shared" si="427"/>
        <v>0</v>
      </c>
      <c r="AF1567" s="3">
        <f>IF(AND($N1567=1,AND(LEFT(对接源_02物料!$D367,4)="包装物料",N(对接源_02物料!$K367)&lt;&gt;0)),1,0)</f>
        <v>0</v>
      </c>
      <c r="AG1567" s="3">
        <f t="shared" si="428"/>
        <v>5</v>
      </c>
      <c r="AH1567" s="3">
        <f>IF(AND($N1567=1,AND(对接源_02物料!$D367="周转筐－销售出库",N(对接源_02物料!$K367)&lt;&gt;0)),1,0)</f>
        <v>0</v>
      </c>
      <c r="AI1567" s="3">
        <f t="shared" si="429"/>
        <v>0</v>
      </c>
      <c r="AL1567" s="3">
        <v>0</v>
      </c>
      <c r="AM1567" s="3">
        <f t="shared" si="430"/>
        <v>1</v>
      </c>
      <c r="AN1567" s="3" t="str">
        <f t="shared" si="417"/>
        <v/>
      </c>
      <c r="AO1567" s="3">
        <v>0</v>
      </c>
      <c r="AP1567" s="3">
        <f t="shared" si="431"/>
        <v>8</v>
      </c>
      <c r="AR1567">
        <f t="shared" si="432"/>
        <v>0</v>
      </c>
      <c r="AS1567">
        <f t="shared" si="433"/>
        <v>5</v>
      </c>
    </row>
    <row r="1568" customHeight="1" spans="1:45">
      <c r="A1568" s="3" t="str">
        <f>IF(对接源_02物料!$C368="","",对接源_02物料!$C368)</f>
        <v/>
      </c>
      <c r="B1568" s="3">
        <f t="shared" si="418"/>
        <v>0</v>
      </c>
      <c r="C1568" s="3">
        <f t="shared" si="419"/>
        <v>21</v>
      </c>
      <c r="K1568" s="3">
        <f>IF(OR($K$1="",对接源_02物料!$C368="",对接源_02物料!$C368&lt;&gt;$K$1,对接源_02物料!$B368=""),0,IF(OR(N(对接源_02物料!$B368)&lt;$K$2,N(对接源_02物料!$B368)&gt;$K$3),0,1))</f>
        <v>0</v>
      </c>
      <c r="L1568" s="3">
        <f>IF(OR($L$1="",对接源_02物料!$C368="",对接源_02物料!$C368&lt;&gt;$L$1,对接源_02物料!$B368=""),0,IF(OR(N(对接源_02物料!$B368)&lt;$L$2,N(对接源_02物料!$B368)&gt;$L$3),0,1))</f>
        <v>0</v>
      </c>
      <c r="M1568" s="3">
        <f>IF(OR($M$1="",对接源_02物料!$C368="",对接源_02物料!$C368&lt;&gt;$M$1,对接源_02物料!$B368=""),0,IF(OR(N(对接源_02物料!$B368)&lt;$M$2,N(对接源_02物料!$B368)&gt;$M$3),0,1))</f>
        <v>0</v>
      </c>
      <c r="N1568" s="3">
        <f>IF(OR($N$1="",对接源_02物料!$C368="",对接源_02物料!$C368&lt;&gt;$N$1,对接源_02物料!$B368=""),0,IF(OR(N(对接源_02物料!$B368)&lt;$N$2,N(对接源_02物料!$B368)&gt;$N$3),0,1))</f>
        <v>0</v>
      </c>
      <c r="P1568" s="3">
        <f>IF(AND($K1568=1,AND(对接源_02物料!$X368="公司筐",N(对接源_02物料!$T368)&lt;&gt;0)),1,0)</f>
        <v>0</v>
      </c>
      <c r="Q1568" s="3">
        <f t="shared" si="420"/>
        <v>8</v>
      </c>
      <c r="R1568" s="3">
        <f>IF(AND($K1568=1,AND(对接源_02物料!$X368="公司筐",N(对接源_02物料!$U368)&lt;&gt;0)),1,0)</f>
        <v>0</v>
      </c>
      <c r="S1568" s="3">
        <f t="shared" si="421"/>
        <v>0</v>
      </c>
      <c r="T1568" s="3">
        <f>IF(AND($K1568=1,AND(对接源_02物料!$X368="公司筐",N(对接源_02物料!$V368)&lt;&gt;0)),1,0)</f>
        <v>0</v>
      </c>
      <c r="U1568" s="3">
        <f t="shared" si="422"/>
        <v>19</v>
      </c>
      <c r="V1568" s="3">
        <f>IF(AND($L1568=1,AND(对接源_02物料!$X368="自备筐",N(对接源_02物料!$V368)&lt;&gt;0)),1,0)</f>
        <v>0</v>
      </c>
      <c r="W1568" s="3">
        <f t="shared" si="423"/>
        <v>8</v>
      </c>
      <c r="X1568" s="3">
        <f>IF(AND($L1568=1,AND(对接源_02物料!$X368="自备筐",N(对接源_02物料!$T368)&lt;&gt;0)),1,0)</f>
        <v>0</v>
      </c>
      <c r="Y1568" s="3">
        <f t="shared" si="424"/>
        <v>0</v>
      </c>
      <c r="Z1568" s="3">
        <f>IF(AND($M1568=1,对接源_02物料!$D368="原料入库"),1,0)</f>
        <v>0</v>
      </c>
      <c r="AA1568" s="3">
        <f t="shared" si="425"/>
        <v>24</v>
      </c>
      <c r="AB1568" s="3">
        <f>IF(AND($M1568=1,LEFT(对接源_02物料!$D368,4)="原料出库"),1,0)</f>
        <v>0</v>
      </c>
      <c r="AC1568" s="3">
        <f t="shared" si="426"/>
        <v>0</v>
      </c>
      <c r="AD1568" s="3">
        <f>IF(AND($M1568=1,LEFT(对接源_02物料!$D368,4)="成品出库"),1,0)</f>
        <v>0</v>
      </c>
      <c r="AE1568" s="3">
        <f t="shared" si="427"/>
        <v>0</v>
      </c>
      <c r="AF1568" s="3">
        <f>IF(AND($N1568=1,AND(LEFT(对接源_02物料!$D368,4)="包装物料",N(对接源_02物料!$K368)&lt;&gt;0)),1,0)</f>
        <v>0</v>
      </c>
      <c r="AG1568" s="3">
        <f t="shared" si="428"/>
        <v>5</v>
      </c>
      <c r="AH1568" s="3">
        <f>IF(AND($N1568=1,AND(对接源_02物料!$D368="周转筐－销售出库",N(对接源_02物料!$K368)&lt;&gt;0)),1,0)</f>
        <v>0</v>
      </c>
      <c r="AI1568" s="3">
        <f t="shared" si="429"/>
        <v>0</v>
      </c>
      <c r="AL1568" s="3">
        <v>0</v>
      </c>
      <c r="AM1568" s="3">
        <f t="shared" si="430"/>
        <v>1</v>
      </c>
      <c r="AN1568" s="3" t="str">
        <f t="shared" si="417"/>
        <v/>
      </c>
      <c r="AO1568" s="3">
        <v>0</v>
      </c>
      <c r="AP1568" s="3">
        <f t="shared" si="431"/>
        <v>8</v>
      </c>
      <c r="AR1568">
        <f t="shared" si="432"/>
        <v>0</v>
      </c>
      <c r="AS1568">
        <f t="shared" si="433"/>
        <v>5</v>
      </c>
    </row>
    <row r="1569" customHeight="1" spans="1:45">
      <c r="A1569" s="3" t="str">
        <f>IF(对接源_02物料!$C369="","",对接源_02物料!$C369)</f>
        <v/>
      </c>
      <c r="B1569" s="3">
        <f t="shared" si="418"/>
        <v>0</v>
      </c>
      <c r="C1569" s="3">
        <f t="shared" si="419"/>
        <v>21</v>
      </c>
      <c r="K1569" s="3">
        <f>IF(OR($K$1="",对接源_02物料!$C369="",对接源_02物料!$C369&lt;&gt;$K$1,对接源_02物料!$B369=""),0,IF(OR(N(对接源_02物料!$B369)&lt;$K$2,N(对接源_02物料!$B369)&gt;$K$3),0,1))</f>
        <v>0</v>
      </c>
      <c r="L1569" s="3">
        <f>IF(OR($L$1="",对接源_02物料!$C369="",对接源_02物料!$C369&lt;&gt;$L$1,对接源_02物料!$B369=""),0,IF(OR(N(对接源_02物料!$B369)&lt;$L$2,N(对接源_02物料!$B369)&gt;$L$3),0,1))</f>
        <v>0</v>
      </c>
      <c r="M1569" s="3">
        <f>IF(OR($M$1="",对接源_02物料!$C369="",对接源_02物料!$C369&lt;&gt;$M$1,对接源_02物料!$B369=""),0,IF(OR(N(对接源_02物料!$B369)&lt;$M$2,N(对接源_02物料!$B369)&gt;$M$3),0,1))</f>
        <v>0</v>
      </c>
      <c r="N1569" s="3">
        <f>IF(OR($N$1="",对接源_02物料!$C369="",对接源_02物料!$C369&lt;&gt;$N$1,对接源_02物料!$B369=""),0,IF(OR(N(对接源_02物料!$B369)&lt;$N$2,N(对接源_02物料!$B369)&gt;$N$3),0,1))</f>
        <v>0</v>
      </c>
      <c r="P1569" s="3">
        <f>IF(AND($K1569=1,AND(对接源_02物料!$X369="公司筐",N(对接源_02物料!$T369)&lt;&gt;0)),1,0)</f>
        <v>0</v>
      </c>
      <c r="Q1569" s="3">
        <f t="shared" si="420"/>
        <v>8</v>
      </c>
      <c r="R1569" s="3">
        <f>IF(AND($K1569=1,AND(对接源_02物料!$X369="公司筐",N(对接源_02物料!$U369)&lt;&gt;0)),1,0)</f>
        <v>0</v>
      </c>
      <c r="S1569" s="3">
        <f t="shared" si="421"/>
        <v>0</v>
      </c>
      <c r="T1569" s="3">
        <f>IF(AND($K1569=1,AND(对接源_02物料!$X369="公司筐",N(对接源_02物料!$V369)&lt;&gt;0)),1,0)</f>
        <v>0</v>
      </c>
      <c r="U1569" s="3">
        <f t="shared" si="422"/>
        <v>19</v>
      </c>
      <c r="V1569" s="3">
        <f>IF(AND($L1569=1,AND(对接源_02物料!$X369="自备筐",N(对接源_02物料!$V369)&lt;&gt;0)),1,0)</f>
        <v>0</v>
      </c>
      <c r="W1569" s="3">
        <f t="shared" si="423"/>
        <v>8</v>
      </c>
      <c r="X1569" s="3">
        <f>IF(AND($L1569=1,AND(对接源_02物料!$X369="自备筐",N(对接源_02物料!$T369)&lt;&gt;0)),1,0)</f>
        <v>0</v>
      </c>
      <c r="Y1569" s="3">
        <f t="shared" si="424"/>
        <v>0</v>
      </c>
      <c r="Z1569" s="3">
        <f>IF(AND($M1569=1,对接源_02物料!$D369="原料入库"),1,0)</f>
        <v>0</v>
      </c>
      <c r="AA1569" s="3">
        <f t="shared" si="425"/>
        <v>24</v>
      </c>
      <c r="AB1569" s="3">
        <f>IF(AND($M1569=1,LEFT(对接源_02物料!$D369,4)="原料出库"),1,0)</f>
        <v>0</v>
      </c>
      <c r="AC1569" s="3">
        <f t="shared" si="426"/>
        <v>0</v>
      </c>
      <c r="AD1569" s="3">
        <f>IF(AND($M1569=1,LEFT(对接源_02物料!$D369,4)="成品出库"),1,0)</f>
        <v>0</v>
      </c>
      <c r="AE1569" s="3">
        <f t="shared" si="427"/>
        <v>0</v>
      </c>
      <c r="AF1569" s="3">
        <f>IF(AND($N1569=1,AND(LEFT(对接源_02物料!$D369,4)="包装物料",N(对接源_02物料!$K369)&lt;&gt;0)),1,0)</f>
        <v>0</v>
      </c>
      <c r="AG1569" s="3">
        <f t="shared" si="428"/>
        <v>5</v>
      </c>
      <c r="AH1569" s="3">
        <f>IF(AND($N1569=1,AND(对接源_02物料!$D369="周转筐－销售出库",N(对接源_02物料!$K369)&lt;&gt;0)),1,0)</f>
        <v>0</v>
      </c>
      <c r="AI1569" s="3">
        <f t="shared" si="429"/>
        <v>0</v>
      </c>
      <c r="AL1569" s="3">
        <v>0</v>
      </c>
      <c r="AM1569" s="3">
        <f t="shared" si="430"/>
        <v>1</v>
      </c>
      <c r="AN1569" s="3" t="str">
        <f t="shared" si="417"/>
        <v/>
      </c>
      <c r="AO1569" s="3">
        <v>0</v>
      </c>
      <c r="AP1569" s="3">
        <f t="shared" si="431"/>
        <v>8</v>
      </c>
      <c r="AR1569">
        <f t="shared" si="432"/>
        <v>0</v>
      </c>
      <c r="AS1569">
        <f t="shared" si="433"/>
        <v>5</v>
      </c>
    </row>
    <row r="1570" customHeight="1" spans="1:45">
      <c r="A1570" s="3" t="str">
        <f>IF(对接源_02物料!$C370="","",对接源_02物料!$C370)</f>
        <v/>
      </c>
      <c r="B1570" s="3">
        <f t="shared" si="418"/>
        <v>0</v>
      </c>
      <c r="C1570" s="3">
        <f t="shared" si="419"/>
        <v>21</v>
      </c>
      <c r="K1570" s="3">
        <f>IF(OR($K$1="",对接源_02物料!$C370="",对接源_02物料!$C370&lt;&gt;$K$1,对接源_02物料!$B370=""),0,IF(OR(N(对接源_02物料!$B370)&lt;$K$2,N(对接源_02物料!$B370)&gt;$K$3),0,1))</f>
        <v>0</v>
      </c>
      <c r="L1570" s="3">
        <f>IF(OR($L$1="",对接源_02物料!$C370="",对接源_02物料!$C370&lt;&gt;$L$1,对接源_02物料!$B370=""),0,IF(OR(N(对接源_02物料!$B370)&lt;$L$2,N(对接源_02物料!$B370)&gt;$L$3),0,1))</f>
        <v>0</v>
      </c>
      <c r="M1570" s="3">
        <f>IF(OR($M$1="",对接源_02物料!$C370="",对接源_02物料!$C370&lt;&gt;$M$1,对接源_02物料!$B370=""),0,IF(OR(N(对接源_02物料!$B370)&lt;$M$2,N(对接源_02物料!$B370)&gt;$M$3),0,1))</f>
        <v>0</v>
      </c>
      <c r="N1570" s="3">
        <f>IF(OR($N$1="",对接源_02物料!$C370="",对接源_02物料!$C370&lt;&gt;$N$1,对接源_02物料!$B370=""),0,IF(OR(N(对接源_02物料!$B370)&lt;$N$2,N(对接源_02物料!$B370)&gt;$N$3),0,1))</f>
        <v>0</v>
      </c>
      <c r="P1570" s="3">
        <f>IF(AND($K1570=1,AND(对接源_02物料!$X370="公司筐",N(对接源_02物料!$T370)&lt;&gt;0)),1,0)</f>
        <v>0</v>
      </c>
      <c r="Q1570" s="3">
        <f t="shared" si="420"/>
        <v>8</v>
      </c>
      <c r="R1570" s="3">
        <f>IF(AND($K1570=1,AND(对接源_02物料!$X370="公司筐",N(对接源_02物料!$U370)&lt;&gt;0)),1,0)</f>
        <v>0</v>
      </c>
      <c r="S1570" s="3">
        <f t="shared" si="421"/>
        <v>0</v>
      </c>
      <c r="T1570" s="3">
        <f>IF(AND($K1570=1,AND(对接源_02物料!$X370="公司筐",N(对接源_02物料!$V370)&lt;&gt;0)),1,0)</f>
        <v>0</v>
      </c>
      <c r="U1570" s="3">
        <f t="shared" si="422"/>
        <v>19</v>
      </c>
      <c r="V1570" s="3">
        <f>IF(AND($L1570=1,AND(对接源_02物料!$X370="自备筐",N(对接源_02物料!$V370)&lt;&gt;0)),1,0)</f>
        <v>0</v>
      </c>
      <c r="W1570" s="3">
        <f t="shared" si="423"/>
        <v>8</v>
      </c>
      <c r="X1570" s="3">
        <f>IF(AND($L1570=1,AND(对接源_02物料!$X370="自备筐",N(对接源_02物料!$T370)&lt;&gt;0)),1,0)</f>
        <v>0</v>
      </c>
      <c r="Y1570" s="3">
        <f t="shared" si="424"/>
        <v>0</v>
      </c>
      <c r="Z1570" s="3">
        <f>IF(AND($M1570=1,对接源_02物料!$D370="原料入库"),1,0)</f>
        <v>0</v>
      </c>
      <c r="AA1570" s="3">
        <f t="shared" si="425"/>
        <v>24</v>
      </c>
      <c r="AB1570" s="3">
        <f>IF(AND($M1570=1,LEFT(对接源_02物料!$D370,4)="原料出库"),1,0)</f>
        <v>0</v>
      </c>
      <c r="AC1570" s="3">
        <f t="shared" si="426"/>
        <v>0</v>
      </c>
      <c r="AD1570" s="3">
        <f>IF(AND($M1570=1,LEFT(对接源_02物料!$D370,4)="成品出库"),1,0)</f>
        <v>0</v>
      </c>
      <c r="AE1570" s="3">
        <f t="shared" si="427"/>
        <v>0</v>
      </c>
      <c r="AF1570" s="3">
        <f>IF(AND($N1570=1,AND(LEFT(对接源_02物料!$D370,4)="包装物料",N(对接源_02物料!$K370)&lt;&gt;0)),1,0)</f>
        <v>0</v>
      </c>
      <c r="AG1570" s="3">
        <f t="shared" si="428"/>
        <v>5</v>
      </c>
      <c r="AH1570" s="3">
        <f>IF(AND($N1570=1,AND(对接源_02物料!$D370="周转筐－销售出库",N(对接源_02物料!$K370)&lt;&gt;0)),1,0)</f>
        <v>0</v>
      </c>
      <c r="AI1570" s="3">
        <f t="shared" si="429"/>
        <v>0</v>
      </c>
      <c r="AL1570" s="3">
        <v>0</v>
      </c>
      <c r="AM1570" s="3">
        <f t="shared" si="430"/>
        <v>1</v>
      </c>
      <c r="AN1570" s="3" t="str">
        <f t="shared" si="417"/>
        <v/>
      </c>
      <c r="AO1570" s="3">
        <v>0</v>
      </c>
      <c r="AP1570" s="3">
        <f t="shared" si="431"/>
        <v>8</v>
      </c>
      <c r="AR1570">
        <f t="shared" si="432"/>
        <v>0</v>
      </c>
      <c r="AS1570">
        <f t="shared" si="433"/>
        <v>5</v>
      </c>
    </row>
    <row r="1571" customHeight="1" spans="1:45">
      <c r="A1571" s="3" t="str">
        <f>IF(对接源_02物料!$C371="","",对接源_02物料!$C371)</f>
        <v/>
      </c>
      <c r="B1571" s="3">
        <f t="shared" si="418"/>
        <v>0</v>
      </c>
      <c r="C1571" s="3">
        <f t="shared" si="419"/>
        <v>21</v>
      </c>
      <c r="K1571" s="3">
        <f>IF(OR($K$1="",对接源_02物料!$C371="",对接源_02物料!$C371&lt;&gt;$K$1,对接源_02物料!$B371=""),0,IF(OR(N(对接源_02物料!$B371)&lt;$K$2,N(对接源_02物料!$B371)&gt;$K$3),0,1))</f>
        <v>0</v>
      </c>
      <c r="L1571" s="3">
        <f>IF(OR($L$1="",对接源_02物料!$C371="",对接源_02物料!$C371&lt;&gt;$L$1,对接源_02物料!$B371=""),0,IF(OR(N(对接源_02物料!$B371)&lt;$L$2,N(对接源_02物料!$B371)&gt;$L$3),0,1))</f>
        <v>0</v>
      </c>
      <c r="M1571" s="3">
        <f>IF(OR($M$1="",对接源_02物料!$C371="",对接源_02物料!$C371&lt;&gt;$M$1,对接源_02物料!$B371=""),0,IF(OR(N(对接源_02物料!$B371)&lt;$M$2,N(对接源_02物料!$B371)&gt;$M$3),0,1))</f>
        <v>0</v>
      </c>
      <c r="N1571" s="3">
        <f>IF(OR($N$1="",对接源_02物料!$C371="",对接源_02物料!$C371&lt;&gt;$N$1,对接源_02物料!$B371=""),0,IF(OR(N(对接源_02物料!$B371)&lt;$N$2,N(对接源_02物料!$B371)&gt;$N$3),0,1))</f>
        <v>0</v>
      </c>
      <c r="P1571" s="3">
        <f>IF(AND($K1571=1,AND(对接源_02物料!$X371="公司筐",N(对接源_02物料!$T371)&lt;&gt;0)),1,0)</f>
        <v>0</v>
      </c>
      <c r="Q1571" s="3">
        <f t="shared" si="420"/>
        <v>8</v>
      </c>
      <c r="R1571" s="3">
        <f>IF(AND($K1571=1,AND(对接源_02物料!$X371="公司筐",N(对接源_02物料!$U371)&lt;&gt;0)),1,0)</f>
        <v>0</v>
      </c>
      <c r="S1571" s="3">
        <f t="shared" si="421"/>
        <v>0</v>
      </c>
      <c r="T1571" s="3">
        <f>IF(AND($K1571=1,AND(对接源_02物料!$X371="公司筐",N(对接源_02物料!$V371)&lt;&gt;0)),1,0)</f>
        <v>0</v>
      </c>
      <c r="U1571" s="3">
        <f t="shared" si="422"/>
        <v>19</v>
      </c>
      <c r="V1571" s="3">
        <f>IF(AND($L1571=1,AND(对接源_02物料!$X371="自备筐",N(对接源_02物料!$V371)&lt;&gt;0)),1,0)</f>
        <v>0</v>
      </c>
      <c r="W1571" s="3">
        <f t="shared" si="423"/>
        <v>8</v>
      </c>
      <c r="X1571" s="3">
        <f>IF(AND($L1571=1,AND(对接源_02物料!$X371="自备筐",N(对接源_02物料!$T371)&lt;&gt;0)),1,0)</f>
        <v>0</v>
      </c>
      <c r="Y1571" s="3">
        <f t="shared" si="424"/>
        <v>0</v>
      </c>
      <c r="Z1571" s="3">
        <f>IF(AND($M1571=1,对接源_02物料!$D371="原料入库"),1,0)</f>
        <v>0</v>
      </c>
      <c r="AA1571" s="3">
        <f t="shared" si="425"/>
        <v>24</v>
      </c>
      <c r="AB1571" s="3">
        <f>IF(AND($M1571=1,LEFT(对接源_02物料!$D371,4)="原料出库"),1,0)</f>
        <v>0</v>
      </c>
      <c r="AC1571" s="3">
        <f t="shared" si="426"/>
        <v>0</v>
      </c>
      <c r="AD1571" s="3">
        <f>IF(AND($M1571=1,LEFT(对接源_02物料!$D371,4)="成品出库"),1,0)</f>
        <v>0</v>
      </c>
      <c r="AE1571" s="3">
        <f t="shared" si="427"/>
        <v>0</v>
      </c>
      <c r="AF1571" s="3">
        <f>IF(AND($N1571=1,AND(LEFT(对接源_02物料!$D371,4)="包装物料",N(对接源_02物料!$K371)&lt;&gt;0)),1,0)</f>
        <v>0</v>
      </c>
      <c r="AG1571" s="3">
        <f t="shared" si="428"/>
        <v>5</v>
      </c>
      <c r="AH1571" s="3">
        <f>IF(AND($N1571=1,AND(对接源_02物料!$D371="周转筐－销售出库",N(对接源_02物料!$K371)&lt;&gt;0)),1,0)</f>
        <v>0</v>
      </c>
      <c r="AI1571" s="3">
        <f t="shared" si="429"/>
        <v>0</v>
      </c>
      <c r="AL1571" s="3">
        <v>0</v>
      </c>
      <c r="AM1571" s="3">
        <f t="shared" si="430"/>
        <v>1</v>
      </c>
      <c r="AN1571" s="3" t="str">
        <f t="shared" si="417"/>
        <v/>
      </c>
      <c r="AO1571" s="3">
        <v>0</v>
      </c>
      <c r="AP1571" s="3">
        <f t="shared" si="431"/>
        <v>8</v>
      </c>
      <c r="AR1571">
        <f t="shared" si="432"/>
        <v>0</v>
      </c>
      <c r="AS1571">
        <f t="shared" si="433"/>
        <v>5</v>
      </c>
    </row>
    <row r="1572" customHeight="1" spans="1:45">
      <c r="A1572" s="3" t="str">
        <f>IF(对接源_02物料!$C372="","",对接源_02物料!$C372)</f>
        <v/>
      </c>
      <c r="B1572" s="3">
        <f t="shared" si="418"/>
        <v>0</v>
      </c>
      <c r="C1572" s="3">
        <f t="shared" si="419"/>
        <v>21</v>
      </c>
      <c r="K1572" s="3">
        <f>IF(OR($K$1="",对接源_02物料!$C372="",对接源_02物料!$C372&lt;&gt;$K$1,对接源_02物料!$B372=""),0,IF(OR(N(对接源_02物料!$B372)&lt;$K$2,N(对接源_02物料!$B372)&gt;$K$3),0,1))</f>
        <v>0</v>
      </c>
      <c r="L1572" s="3">
        <f>IF(OR($L$1="",对接源_02物料!$C372="",对接源_02物料!$C372&lt;&gt;$L$1,对接源_02物料!$B372=""),0,IF(OR(N(对接源_02物料!$B372)&lt;$L$2,N(对接源_02物料!$B372)&gt;$L$3),0,1))</f>
        <v>0</v>
      </c>
      <c r="M1572" s="3">
        <f>IF(OR($M$1="",对接源_02物料!$C372="",对接源_02物料!$C372&lt;&gt;$M$1,对接源_02物料!$B372=""),0,IF(OR(N(对接源_02物料!$B372)&lt;$M$2,N(对接源_02物料!$B372)&gt;$M$3),0,1))</f>
        <v>0</v>
      </c>
      <c r="N1572" s="3">
        <f>IF(OR($N$1="",对接源_02物料!$C372="",对接源_02物料!$C372&lt;&gt;$N$1,对接源_02物料!$B372=""),0,IF(OR(N(对接源_02物料!$B372)&lt;$N$2,N(对接源_02物料!$B372)&gt;$N$3),0,1))</f>
        <v>0</v>
      </c>
      <c r="P1572" s="3">
        <f>IF(AND($K1572=1,AND(对接源_02物料!$X372="公司筐",N(对接源_02物料!$T372)&lt;&gt;0)),1,0)</f>
        <v>0</v>
      </c>
      <c r="Q1572" s="3">
        <f t="shared" si="420"/>
        <v>8</v>
      </c>
      <c r="R1572" s="3">
        <f>IF(AND($K1572=1,AND(对接源_02物料!$X372="公司筐",N(对接源_02物料!$U372)&lt;&gt;0)),1,0)</f>
        <v>0</v>
      </c>
      <c r="S1572" s="3">
        <f t="shared" si="421"/>
        <v>0</v>
      </c>
      <c r="T1572" s="3">
        <f>IF(AND($K1572=1,AND(对接源_02物料!$X372="公司筐",N(对接源_02物料!$V372)&lt;&gt;0)),1,0)</f>
        <v>0</v>
      </c>
      <c r="U1572" s="3">
        <f t="shared" si="422"/>
        <v>19</v>
      </c>
      <c r="V1572" s="3">
        <f>IF(AND($L1572=1,AND(对接源_02物料!$X372="自备筐",N(对接源_02物料!$V372)&lt;&gt;0)),1,0)</f>
        <v>0</v>
      </c>
      <c r="W1572" s="3">
        <f t="shared" si="423"/>
        <v>8</v>
      </c>
      <c r="X1572" s="3">
        <f>IF(AND($L1572=1,AND(对接源_02物料!$X372="自备筐",N(对接源_02物料!$T372)&lt;&gt;0)),1,0)</f>
        <v>0</v>
      </c>
      <c r="Y1572" s="3">
        <f t="shared" si="424"/>
        <v>0</v>
      </c>
      <c r="Z1572" s="3">
        <f>IF(AND($M1572=1,对接源_02物料!$D372="原料入库"),1,0)</f>
        <v>0</v>
      </c>
      <c r="AA1572" s="3">
        <f t="shared" si="425"/>
        <v>24</v>
      </c>
      <c r="AB1572" s="3">
        <f>IF(AND($M1572=1,LEFT(对接源_02物料!$D372,4)="原料出库"),1,0)</f>
        <v>0</v>
      </c>
      <c r="AC1572" s="3">
        <f t="shared" si="426"/>
        <v>0</v>
      </c>
      <c r="AD1572" s="3">
        <f>IF(AND($M1572=1,LEFT(对接源_02物料!$D372,4)="成品出库"),1,0)</f>
        <v>0</v>
      </c>
      <c r="AE1572" s="3">
        <f t="shared" si="427"/>
        <v>0</v>
      </c>
      <c r="AF1572" s="3">
        <f>IF(AND($N1572=1,AND(LEFT(对接源_02物料!$D372,4)="包装物料",N(对接源_02物料!$K372)&lt;&gt;0)),1,0)</f>
        <v>0</v>
      </c>
      <c r="AG1572" s="3">
        <f t="shared" si="428"/>
        <v>5</v>
      </c>
      <c r="AH1572" s="3">
        <f>IF(AND($N1572=1,AND(对接源_02物料!$D372="周转筐－销售出库",N(对接源_02物料!$K372)&lt;&gt;0)),1,0)</f>
        <v>0</v>
      </c>
      <c r="AI1572" s="3">
        <f t="shared" si="429"/>
        <v>0</v>
      </c>
      <c r="AL1572" s="3">
        <v>0</v>
      </c>
      <c r="AM1572" s="3">
        <f t="shared" si="430"/>
        <v>1</v>
      </c>
      <c r="AN1572" s="3" t="str">
        <f t="shared" si="417"/>
        <v/>
      </c>
      <c r="AO1572" s="3">
        <v>0</v>
      </c>
      <c r="AP1572" s="3">
        <f t="shared" si="431"/>
        <v>8</v>
      </c>
      <c r="AR1572">
        <f t="shared" si="432"/>
        <v>0</v>
      </c>
      <c r="AS1572">
        <f t="shared" si="433"/>
        <v>5</v>
      </c>
    </row>
    <row r="1573" customHeight="1" spans="1:45">
      <c r="A1573" s="3" t="str">
        <f>IF(对接源_02物料!$C373="","",对接源_02物料!$C373)</f>
        <v/>
      </c>
      <c r="B1573" s="3">
        <f t="shared" si="418"/>
        <v>0</v>
      </c>
      <c r="C1573" s="3">
        <f t="shared" si="419"/>
        <v>21</v>
      </c>
      <c r="K1573" s="3">
        <f>IF(OR($K$1="",对接源_02物料!$C373="",对接源_02物料!$C373&lt;&gt;$K$1,对接源_02物料!$B373=""),0,IF(OR(N(对接源_02物料!$B373)&lt;$K$2,N(对接源_02物料!$B373)&gt;$K$3),0,1))</f>
        <v>0</v>
      </c>
      <c r="L1573" s="3">
        <f>IF(OR($L$1="",对接源_02物料!$C373="",对接源_02物料!$C373&lt;&gt;$L$1,对接源_02物料!$B373=""),0,IF(OR(N(对接源_02物料!$B373)&lt;$L$2,N(对接源_02物料!$B373)&gt;$L$3),0,1))</f>
        <v>0</v>
      </c>
      <c r="M1573" s="3">
        <f>IF(OR($M$1="",对接源_02物料!$C373="",对接源_02物料!$C373&lt;&gt;$M$1,对接源_02物料!$B373=""),0,IF(OR(N(对接源_02物料!$B373)&lt;$M$2,N(对接源_02物料!$B373)&gt;$M$3),0,1))</f>
        <v>0</v>
      </c>
      <c r="N1573" s="3">
        <f>IF(OR($N$1="",对接源_02物料!$C373="",对接源_02物料!$C373&lt;&gt;$N$1,对接源_02物料!$B373=""),0,IF(OR(N(对接源_02物料!$B373)&lt;$N$2,N(对接源_02物料!$B373)&gt;$N$3),0,1))</f>
        <v>0</v>
      </c>
      <c r="P1573" s="3">
        <f>IF(AND($K1573=1,AND(对接源_02物料!$X373="公司筐",N(对接源_02物料!$T373)&lt;&gt;0)),1,0)</f>
        <v>0</v>
      </c>
      <c r="Q1573" s="3">
        <f t="shared" si="420"/>
        <v>8</v>
      </c>
      <c r="R1573" s="3">
        <f>IF(AND($K1573=1,AND(对接源_02物料!$X373="公司筐",N(对接源_02物料!$U373)&lt;&gt;0)),1,0)</f>
        <v>0</v>
      </c>
      <c r="S1573" s="3">
        <f t="shared" si="421"/>
        <v>0</v>
      </c>
      <c r="T1573" s="3">
        <f>IF(AND($K1573=1,AND(对接源_02物料!$X373="公司筐",N(对接源_02物料!$V373)&lt;&gt;0)),1,0)</f>
        <v>0</v>
      </c>
      <c r="U1573" s="3">
        <f t="shared" si="422"/>
        <v>19</v>
      </c>
      <c r="V1573" s="3">
        <f>IF(AND($L1573=1,AND(对接源_02物料!$X373="自备筐",N(对接源_02物料!$V373)&lt;&gt;0)),1,0)</f>
        <v>0</v>
      </c>
      <c r="W1573" s="3">
        <f t="shared" si="423"/>
        <v>8</v>
      </c>
      <c r="X1573" s="3">
        <f>IF(AND($L1573=1,AND(对接源_02物料!$X373="自备筐",N(对接源_02物料!$T373)&lt;&gt;0)),1,0)</f>
        <v>0</v>
      </c>
      <c r="Y1573" s="3">
        <f t="shared" si="424"/>
        <v>0</v>
      </c>
      <c r="Z1573" s="3">
        <f>IF(AND($M1573=1,对接源_02物料!$D373="原料入库"),1,0)</f>
        <v>0</v>
      </c>
      <c r="AA1573" s="3">
        <f t="shared" si="425"/>
        <v>24</v>
      </c>
      <c r="AB1573" s="3">
        <f>IF(AND($M1573=1,LEFT(对接源_02物料!$D373,4)="原料出库"),1,0)</f>
        <v>0</v>
      </c>
      <c r="AC1573" s="3">
        <f t="shared" si="426"/>
        <v>0</v>
      </c>
      <c r="AD1573" s="3">
        <f>IF(AND($M1573=1,LEFT(对接源_02物料!$D373,4)="成品出库"),1,0)</f>
        <v>0</v>
      </c>
      <c r="AE1573" s="3">
        <f t="shared" si="427"/>
        <v>0</v>
      </c>
      <c r="AF1573" s="3">
        <f>IF(AND($N1573=1,AND(LEFT(对接源_02物料!$D373,4)="包装物料",N(对接源_02物料!$K373)&lt;&gt;0)),1,0)</f>
        <v>0</v>
      </c>
      <c r="AG1573" s="3">
        <f t="shared" si="428"/>
        <v>5</v>
      </c>
      <c r="AH1573" s="3">
        <f>IF(AND($N1573=1,AND(对接源_02物料!$D373="周转筐－销售出库",N(对接源_02物料!$K373)&lt;&gt;0)),1,0)</f>
        <v>0</v>
      </c>
      <c r="AI1573" s="3">
        <f t="shared" si="429"/>
        <v>0</v>
      </c>
      <c r="AL1573" s="3">
        <v>0</v>
      </c>
      <c r="AM1573" s="3">
        <f t="shared" si="430"/>
        <v>1</v>
      </c>
      <c r="AN1573" s="3" t="str">
        <f t="shared" si="417"/>
        <v/>
      </c>
      <c r="AO1573" s="3">
        <v>0</v>
      </c>
      <c r="AP1573" s="3">
        <f t="shared" si="431"/>
        <v>8</v>
      </c>
      <c r="AR1573">
        <f t="shared" si="432"/>
        <v>0</v>
      </c>
      <c r="AS1573">
        <f t="shared" si="433"/>
        <v>5</v>
      </c>
    </row>
    <row r="1574" customHeight="1" spans="1:45">
      <c r="A1574" s="3" t="str">
        <f>IF(对接源_02物料!$C374="","",对接源_02物料!$C374)</f>
        <v/>
      </c>
      <c r="B1574" s="3">
        <f t="shared" si="418"/>
        <v>0</v>
      </c>
      <c r="C1574" s="3">
        <f t="shared" si="419"/>
        <v>21</v>
      </c>
      <c r="K1574" s="3">
        <f>IF(OR($K$1="",对接源_02物料!$C374="",对接源_02物料!$C374&lt;&gt;$K$1,对接源_02物料!$B374=""),0,IF(OR(N(对接源_02物料!$B374)&lt;$K$2,N(对接源_02物料!$B374)&gt;$K$3),0,1))</f>
        <v>0</v>
      </c>
      <c r="L1574" s="3">
        <f>IF(OR($L$1="",对接源_02物料!$C374="",对接源_02物料!$C374&lt;&gt;$L$1,对接源_02物料!$B374=""),0,IF(OR(N(对接源_02物料!$B374)&lt;$L$2,N(对接源_02物料!$B374)&gt;$L$3),0,1))</f>
        <v>0</v>
      </c>
      <c r="M1574" s="3">
        <f>IF(OR($M$1="",对接源_02物料!$C374="",对接源_02物料!$C374&lt;&gt;$M$1,对接源_02物料!$B374=""),0,IF(OR(N(对接源_02物料!$B374)&lt;$M$2,N(对接源_02物料!$B374)&gt;$M$3),0,1))</f>
        <v>0</v>
      </c>
      <c r="N1574" s="3">
        <f>IF(OR($N$1="",对接源_02物料!$C374="",对接源_02物料!$C374&lt;&gt;$N$1,对接源_02物料!$B374=""),0,IF(OR(N(对接源_02物料!$B374)&lt;$N$2,N(对接源_02物料!$B374)&gt;$N$3),0,1))</f>
        <v>0</v>
      </c>
      <c r="P1574" s="3">
        <f>IF(AND($K1574=1,AND(对接源_02物料!$X374="公司筐",N(对接源_02物料!$T374)&lt;&gt;0)),1,0)</f>
        <v>0</v>
      </c>
      <c r="Q1574" s="3">
        <f t="shared" si="420"/>
        <v>8</v>
      </c>
      <c r="R1574" s="3">
        <f>IF(AND($K1574=1,AND(对接源_02物料!$X374="公司筐",N(对接源_02物料!$U374)&lt;&gt;0)),1,0)</f>
        <v>0</v>
      </c>
      <c r="S1574" s="3">
        <f t="shared" si="421"/>
        <v>0</v>
      </c>
      <c r="T1574" s="3">
        <f>IF(AND($K1574=1,AND(对接源_02物料!$X374="公司筐",N(对接源_02物料!$V374)&lt;&gt;0)),1,0)</f>
        <v>0</v>
      </c>
      <c r="U1574" s="3">
        <f t="shared" si="422"/>
        <v>19</v>
      </c>
      <c r="V1574" s="3">
        <f>IF(AND($L1574=1,AND(对接源_02物料!$X374="自备筐",N(对接源_02物料!$V374)&lt;&gt;0)),1,0)</f>
        <v>0</v>
      </c>
      <c r="W1574" s="3">
        <f t="shared" si="423"/>
        <v>8</v>
      </c>
      <c r="X1574" s="3">
        <f>IF(AND($L1574=1,AND(对接源_02物料!$X374="自备筐",N(对接源_02物料!$T374)&lt;&gt;0)),1,0)</f>
        <v>0</v>
      </c>
      <c r="Y1574" s="3">
        <f t="shared" si="424"/>
        <v>0</v>
      </c>
      <c r="Z1574" s="3">
        <f>IF(AND($M1574=1,对接源_02物料!$D374="原料入库"),1,0)</f>
        <v>0</v>
      </c>
      <c r="AA1574" s="3">
        <f t="shared" si="425"/>
        <v>24</v>
      </c>
      <c r="AB1574" s="3">
        <f>IF(AND($M1574=1,LEFT(对接源_02物料!$D374,4)="原料出库"),1,0)</f>
        <v>0</v>
      </c>
      <c r="AC1574" s="3">
        <f t="shared" si="426"/>
        <v>0</v>
      </c>
      <c r="AD1574" s="3">
        <f>IF(AND($M1574=1,LEFT(对接源_02物料!$D374,4)="成品出库"),1,0)</f>
        <v>0</v>
      </c>
      <c r="AE1574" s="3">
        <f t="shared" si="427"/>
        <v>0</v>
      </c>
      <c r="AF1574" s="3">
        <f>IF(AND($N1574=1,AND(LEFT(对接源_02物料!$D374,4)="包装物料",N(对接源_02物料!$K374)&lt;&gt;0)),1,0)</f>
        <v>0</v>
      </c>
      <c r="AG1574" s="3">
        <f t="shared" si="428"/>
        <v>5</v>
      </c>
      <c r="AH1574" s="3">
        <f>IF(AND($N1574=1,AND(对接源_02物料!$D374="周转筐－销售出库",N(对接源_02物料!$K374)&lt;&gt;0)),1,0)</f>
        <v>0</v>
      </c>
      <c r="AI1574" s="3">
        <f t="shared" si="429"/>
        <v>0</v>
      </c>
      <c r="AL1574" s="3">
        <v>0</v>
      </c>
      <c r="AM1574" s="3">
        <f t="shared" si="430"/>
        <v>1</v>
      </c>
      <c r="AN1574" s="3" t="str">
        <f t="shared" si="417"/>
        <v/>
      </c>
      <c r="AO1574" s="3">
        <v>0</v>
      </c>
      <c r="AP1574" s="3">
        <f t="shared" si="431"/>
        <v>8</v>
      </c>
      <c r="AR1574">
        <f t="shared" si="432"/>
        <v>0</v>
      </c>
      <c r="AS1574">
        <f t="shared" si="433"/>
        <v>5</v>
      </c>
    </row>
    <row r="1575" customHeight="1" spans="1:45">
      <c r="A1575" s="3" t="str">
        <f>IF(对接源_02物料!$C375="","",对接源_02物料!$C375)</f>
        <v/>
      </c>
      <c r="B1575" s="3">
        <f t="shared" si="418"/>
        <v>0</v>
      </c>
      <c r="C1575" s="3">
        <f t="shared" si="419"/>
        <v>21</v>
      </c>
      <c r="K1575" s="3">
        <f>IF(OR($K$1="",对接源_02物料!$C375="",对接源_02物料!$C375&lt;&gt;$K$1,对接源_02物料!$B375=""),0,IF(OR(N(对接源_02物料!$B375)&lt;$K$2,N(对接源_02物料!$B375)&gt;$K$3),0,1))</f>
        <v>0</v>
      </c>
      <c r="L1575" s="3">
        <f>IF(OR($L$1="",对接源_02物料!$C375="",对接源_02物料!$C375&lt;&gt;$L$1,对接源_02物料!$B375=""),0,IF(OR(N(对接源_02物料!$B375)&lt;$L$2,N(对接源_02物料!$B375)&gt;$L$3),0,1))</f>
        <v>0</v>
      </c>
      <c r="M1575" s="3">
        <f>IF(OR($M$1="",对接源_02物料!$C375="",对接源_02物料!$C375&lt;&gt;$M$1,对接源_02物料!$B375=""),0,IF(OR(N(对接源_02物料!$B375)&lt;$M$2,N(对接源_02物料!$B375)&gt;$M$3),0,1))</f>
        <v>0</v>
      </c>
      <c r="N1575" s="3">
        <f>IF(OR($N$1="",对接源_02物料!$C375="",对接源_02物料!$C375&lt;&gt;$N$1,对接源_02物料!$B375=""),0,IF(OR(N(对接源_02物料!$B375)&lt;$N$2,N(对接源_02物料!$B375)&gt;$N$3),0,1))</f>
        <v>0</v>
      </c>
      <c r="P1575" s="3">
        <f>IF(AND($K1575=1,AND(对接源_02物料!$X375="公司筐",N(对接源_02物料!$T375)&lt;&gt;0)),1,0)</f>
        <v>0</v>
      </c>
      <c r="Q1575" s="3">
        <f t="shared" si="420"/>
        <v>8</v>
      </c>
      <c r="R1575" s="3">
        <f>IF(AND($K1575=1,AND(对接源_02物料!$X375="公司筐",N(对接源_02物料!$U375)&lt;&gt;0)),1,0)</f>
        <v>0</v>
      </c>
      <c r="S1575" s="3">
        <f t="shared" si="421"/>
        <v>0</v>
      </c>
      <c r="T1575" s="3">
        <f>IF(AND($K1575=1,AND(对接源_02物料!$X375="公司筐",N(对接源_02物料!$V375)&lt;&gt;0)),1,0)</f>
        <v>0</v>
      </c>
      <c r="U1575" s="3">
        <f t="shared" si="422"/>
        <v>19</v>
      </c>
      <c r="V1575" s="3">
        <f>IF(AND($L1575=1,AND(对接源_02物料!$X375="自备筐",N(对接源_02物料!$V375)&lt;&gt;0)),1,0)</f>
        <v>0</v>
      </c>
      <c r="W1575" s="3">
        <f t="shared" si="423"/>
        <v>8</v>
      </c>
      <c r="X1575" s="3">
        <f>IF(AND($L1575=1,AND(对接源_02物料!$X375="自备筐",N(对接源_02物料!$T375)&lt;&gt;0)),1,0)</f>
        <v>0</v>
      </c>
      <c r="Y1575" s="3">
        <f t="shared" si="424"/>
        <v>0</v>
      </c>
      <c r="Z1575" s="3">
        <f>IF(AND($M1575=1,对接源_02物料!$D375="原料入库"),1,0)</f>
        <v>0</v>
      </c>
      <c r="AA1575" s="3">
        <f t="shared" si="425"/>
        <v>24</v>
      </c>
      <c r="AB1575" s="3">
        <f>IF(AND($M1575=1,LEFT(对接源_02物料!$D375,4)="原料出库"),1,0)</f>
        <v>0</v>
      </c>
      <c r="AC1575" s="3">
        <f t="shared" si="426"/>
        <v>0</v>
      </c>
      <c r="AD1575" s="3">
        <f>IF(AND($M1575=1,LEFT(对接源_02物料!$D375,4)="成品出库"),1,0)</f>
        <v>0</v>
      </c>
      <c r="AE1575" s="3">
        <f t="shared" si="427"/>
        <v>0</v>
      </c>
      <c r="AF1575" s="3">
        <f>IF(AND($N1575=1,AND(LEFT(对接源_02物料!$D375,4)="包装物料",N(对接源_02物料!$K375)&lt;&gt;0)),1,0)</f>
        <v>0</v>
      </c>
      <c r="AG1575" s="3">
        <f t="shared" si="428"/>
        <v>5</v>
      </c>
      <c r="AH1575" s="3">
        <f>IF(AND($N1575=1,AND(对接源_02物料!$D375="周转筐－销售出库",N(对接源_02物料!$K375)&lt;&gt;0)),1,0)</f>
        <v>0</v>
      </c>
      <c r="AI1575" s="3">
        <f t="shared" si="429"/>
        <v>0</v>
      </c>
      <c r="AL1575" s="3">
        <v>0</v>
      </c>
      <c r="AM1575" s="3">
        <f t="shared" si="430"/>
        <v>1</v>
      </c>
      <c r="AN1575" s="3" t="str">
        <f t="shared" si="417"/>
        <v/>
      </c>
      <c r="AO1575" s="3">
        <v>0</v>
      </c>
      <c r="AP1575" s="3">
        <f t="shared" si="431"/>
        <v>8</v>
      </c>
      <c r="AR1575">
        <f t="shared" si="432"/>
        <v>0</v>
      </c>
      <c r="AS1575">
        <f t="shared" si="433"/>
        <v>5</v>
      </c>
    </row>
    <row r="1576" customHeight="1" spans="1:45">
      <c r="A1576" s="3" t="str">
        <f>IF(对接源_02物料!$C376="","",对接源_02物料!$C376)</f>
        <v/>
      </c>
      <c r="B1576" s="3">
        <f t="shared" si="418"/>
        <v>0</v>
      </c>
      <c r="C1576" s="3">
        <f t="shared" si="419"/>
        <v>21</v>
      </c>
      <c r="K1576" s="3">
        <f>IF(OR($K$1="",对接源_02物料!$C376="",对接源_02物料!$C376&lt;&gt;$K$1,对接源_02物料!$B376=""),0,IF(OR(N(对接源_02物料!$B376)&lt;$K$2,N(对接源_02物料!$B376)&gt;$K$3),0,1))</f>
        <v>0</v>
      </c>
      <c r="L1576" s="3">
        <f>IF(OR($L$1="",对接源_02物料!$C376="",对接源_02物料!$C376&lt;&gt;$L$1,对接源_02物料!$B376=""),0,IF(OR(N(对接源_02物料!$B376)&lt;$L$2,N(对接源_02物料!$B376)&gt;$L$3),0,1))</f>
        <v>0</v>
      </c>
      <c r="M1576" s="3">
        <f>IF(OR($M$1="",对接源_02物料!$C376="",对接源_02物料!$C376&lt;&gt;$M$1,对接源_02物料!$B376=""),0,IF(OR(N(对接源_02物料!$B376)&lt;$M$2,N(对接源_02物料!$B376)&gt;$M$3),0,1))</f>
        <v>0</v>
      </c>
      <c r="N1576" s="3">
        <f>IF(OR($N$1="",对接源_02物料!$C376="",对接源_02物料!$C376&lt;&gt;$N$1,对接源_02物料!$B376=""),0,IF(OR(N(对接源_02物料!$B376)&lt;$N$2,N(对接源_02物料!$B376)&gt;$N$3),0,1))</f>
        <v>0</v>
      </c>
      <c r="P1576" s="3">
        <f>IF(AND($K1576=1,AND(对接源_02物料!$X376="公司筐",N(对接源_02物料!$T376)&lt;&gt;0)),1,0)</f>
        <v>0</v>
      </c>
      <c r="Q1576" s="3">
        <f t="shared" si="420"/>
        <v>8</v>
      </c>
      <c r="R1576" s="3">
        <f>IF(AND($K1576=1,AND(对接源_02物料!$X376="公司筐",N(对接源_02物料!$U376)&lt;&gt;0)),1,0)</f>
        <v>0</v>
      </c>
      <c r="S1576" s="3">
        <f t="shared" si="421"/>
        <v>0</v>
      </c>
      <c r="T1576" s="3">
        <f>IF(AND($K1576=1,AND(对接源_02物料!$X376="公司筐",N(对接源_02物料!$V376)&lt;&gt;0)),1,0)</f>
        <v>0</v>
      </c>
      <c r="U1576" s="3">
        <f t="shared" si="422"/>
        <v>19</v>
      </c>
      <c r="V1576" s="3">
        <f>IF(AND($L1576=1,AND(对接源_02物料!$X376="自备筐",N(对接源_02物料!$V376)&lt;&gt;0)),1,0)</f>
        <v>0</v>
      </c>
      <c r="W1576" s="3">
        <f t="shared" si="423"/>
        <v>8</v>
      </c>
      <c r="X1576" s="3">
        <f>IF(AND($L1576=1,AND(对接源_02物料!$X376="自备筐",N(对接源_02物料!$T376)&lt;&gt;0)),1,0)</f>
        <v>0</v>
      </c>
      <c r="Y1576" s="3">
        <f t="shared" si="424"/>
        <v>0</v>
      </c>
      <c r="Z1576" s="3">
        <f>IF(AND($M1576=1,对接源_02物料!$D376="原料入库"),1,0)</f>
        <v>0</v>
      </c>
      <c r="AA1576" s="3">
        <f t="shared" si="425"/>
        <v>24</v>
      </c>
      <c r="AB1576" s="3">
        <f>IF(AND($M1576=1,LEFT(对接源_02物料!$D376,4)="原料出库"),1,0)</f>
        <v>0</v>
      </c>
      <c r="AC1576" s="3">
        <f t="shared" si="426"/>
        <v>0</v>
      </c>
      <c r="AD1576" s="3">
        <f>IF(AND($M1576=1,LEFT(对接源_02物料!$D376,4)="成品出库"),1,0)</f>
        <v>0</v>
      </c>
      <c r="AE1576" s="3">
        <f t="shared" si="427"/>
        <v>0</v>
      </c>
      <c r="AF1576" s="3">
        <f>IF(AND($N1576=1,AND(LEFT(对接源_02物料!$D376,4)="包装物料",N(对接源_02物料!$K376)&lt;&gt;0)),1,0)</f>
        <v>0</v>
      </c>
      <c r="AG1576" s="3">
        <f t="shared" si="428"/>
        <v>5</v>
      </c>
      <c r="AH1576" s="3">
        <f>IF(AND($N1576=1,AND(对接源_02物料!$D376="周转筐－销售出库",N(对接源_02物料!$K376)&lt;&gt;0)),1,0)</f>
        <v>0</v>
      </c>
      <c r="AI1576" s="3">
        <f t="shared" si="429"/>
        <v>0</v>
      </c>
      <c r="AL1576" s="3">
        <v>0</v>
      </c>
      <c r="AM1576" s="3">
        <f t="shared" si="430"/>
        <v>1</v>
      </c>
      <c r="AN1576" s="3" t="str">
        <f t="shared" si="417"/>
        <v/>
      </c>
      <c r="AO1576" s="3">
        <v>0</v>
      </c>
      <c r="AP1576" s="3">
        <f t="shared" si="431"/>
        <v>8</v>
      </c>
      <c r="AR1576">
        <f t="shared" si="432"/>
        <v>0</v>
      </c>
      <c r="AS1576">
        <f t="shared" si="433"/>
        <v>5</v>
      </c>
    </row>
    <row r="1577" customHeight="1" spans="1:45">
      <c r="A1577" s="3" t="str">
        <f>IF(对接源_02物料!$C377="","",对接源_02物料!$C377)</f>
        <v/>
      </c>
      <c r="B1577" s="3">
        <f t="shared" si="418"/>
        <v>0</v>
      </c>
      <c r="C1577" s="3">
        <f t="shared" si="419"/>
        <v>21</v>
      </c>
      <c r="K1577" s="3">
        <f>IF(OR($K$1="",对接源_02物料!$C377="",对接源_02物料!$C377&lt;&gt;$K$1,对接源_02物料!$B377=""),0,IF(OR(N(对接源_02物料!$B377)&lt;$K$2,N(对接源_02物料!$B377)&gt;$K$3),0,1))</f>
        <v>0</v>
      </c>
      <c r="L1577" s="3">
        <f>IF(OR($L$1="",对接源_02物料!$C377="",对接源_02物料!$C377&lt;&gt;$L$1,对接源_02物料!$B377=""),0,IF(OR(N(对接源_02物料!$B377)&lt;$L$2,N(对接源_02物料!$B377)&gt;$L$3),0,1))</f>
        <v>0</v>
      </c>
      <c r="M1577" s="3">
        <f>IF(OR($M$1="",对接源_02物料!$C377="",对接源_02物料!$C377&lt;&gt;$M$1,对接源_02物料!$B377=""),0,IF(OR(N(对接源_02物料!$B377)&lt;$M$2,N(对接源_02物料!$B377)&gt;$M$3),0,1))</f>
        <v>0</v>
      </c>
      <c r="N1577" s="3">
        <f>IF(OR($N$1="",对接源_02物料!$C377="",对接源_02物料!$C377&lt;&gt;$N$1,对接源_02物料!$B377=""),0,IF(OR(N(对接源_02物料!$B377)&lt;$N$2,N(对接源_02物料!$B377)&gt;$N$3),0,1))</f>
        <v>0</v>
      </c>
      <c r="P1577" s="3">
        <f>IF(AND($K1577=1,AND(对接源_02物料!$X377="公司筐",N(对接源_02物料!$T377)&lt;&gt;0)),1,0)</f>
        <v>0</v>
      </c>
      <c r="Q1577" s="3">
        <f t="shared" si="420"/>
        <v>8</v>
      </c>
      <c r="R1577" s="3">
        <f>IF(AND($K1577=1,AND(对接源_02物料!$X377="公司筐",N(对接源_02物料!$U377)&lt;&gt;0)),1,0)</f>
        <v>0</v>
      </c>
      <c r="S1577" s="3">
        <f t="shared" si="421"/>
        <v>0</v>
      </c>
      <c r="T1577" s="3">
        <f>IF(AND($K1577=1,AND(对接源_02物料!$X377="公司筐",N(对接源_02物料!$V377)&lt;&gt;0)),1,0)</f>
        <v>0</v>
      </c>
      <c r="U1577" s="3">
        <f t="shared" si="422"/>
        <v>19</v>
      </c>
      <c r="V1577" s="3">
        <f>IF(AND($L1577=1,AND(对接源_02物料!$X377="自备筐",N(对接源_02物料!$V377)&lt;&gt;0)),1,0)</f>
        <v>0</v>
      </c>
      <c r="W1577" s="3">
        <f t="shared" si="423"/>
        <v>8</v>
      </c>
      <c r="X1577" s="3">
        <f>IF(AND($L1577=1,AND(对接源_02物料!$X377="自备筐",N(对接源_02物料!$T377)&lt;&gt;0)),1,0)</f>
        <v>0</v>
      </c>
      <c r="Y1577" s="3">
        <f t="shared" si="424"/>
        <v>0</v>
      </c>
      <c r="Z1577" s="3">
        <f>IF(AND($M1577=1,对接源_02物料!$D377="原料入库"),1,0)</f>
        <v>0</v>
      </c>
      <c r="AA1577" s="3">
        <f t="shared" si="425"/>
        <v>24</v>
      </c>
      <c r="AB1577" s="3">
        <f>IF(AND($M1577=1,LEFT(对接源_02物料!$D377,4)="原料出库"),1,0)</f>
        <v>0</v>
      </c>
      <c r="AC1577" s="3">
        <f t="shared" si="426"/>
        <v>0</v>
      </c>
      <c r="AD1577" s="3">
        <f>IF(AND($M1577=1,LEFT(对接源_02物料!$D377,4)="成品出库"),1,0)</f>
        <v>0</v>
      </c>
      <c r="AE1577" s="3">
        <f t="shared" si="427"/>
        <v>0</v>
      </c>
      <c r="AF1577" s="3">
        <f>IF(AND($N1577=1,AND(LEFT(对接源_02物料!$D377,4)="包装物料",N(对接源_02物料!$K377)&lt;&gt;0)),1,0)</f>
        <v>0</v>
      </c>
      <c r="AG1577" s="3">
        <f t="shared" si="428"/>
        <v>5</v>
      </c>
      <c r="AH1577" s="3">
        <f>IF(AND($N1577=1,AND(对接源_02物料!$D377="周转筐－销售出库",N(对接源_02物料!$K377)&lt;&gt;0)),1,0)</f>
        <v>0</v>
      </c>
      <c r="AI1577" s="3">
        <f t="shared" si="429"/>
        <v>0</v>
      </c>
      <c r="AL1577" s="3">
        <v>0</v>
      </c>
      <c r="AM1577" s="3">
        <f t="shared" si="430"/>
        <v>1</v>
      </c>
      <c r="AN1577" s="3" t="str">
        <f t="shared" si="417"/>
        <v/>
      </c>
      <c r="AO1577" s="3">
        <v>0</v>
      </c>
      <c r="AP1577" s="3">
        <f t="shared" si="431"/>
        <v>8</v>
      </c>
      <c r="AR1577">
        <f t="shared" si="432"/>
        <v>0</v>
      </c>
      <c r="AS1577">
        <f t="shared" si="433"/>
        <v>5</v>
      </c>
    </row>
    <row r="1578" customHeight="1" spans="1:45">
      <c r="A1578" s="3" t="str">
        <f>IF(对接源_02物料!$C378="","",对接源_02物料!$C378)</f>
        <v/>
      </c>
      <c r="B1578" s="3">
        <f t="shared" si="418"/>
        <v>0</v>
      </c>
      <c r="C1578" s="3">
        <f t="shared" si="419"/>
        <v>21</v>
      </c>
      <c r="K1578" s="3">
        <f>IF(OR($K$1="",对接源_02物料!$C378="",对接源_02物料!$C378&lt;&gt;$K$1,对接源_02物料!$B378=""),0,IF(OR(N(对接源_02物料!$B378)&lt;$K$2,N(对接源_02物料!$B378)&gt;$K$3),0,1))</f>
        <v>0</v>
      </c>
      <c r="L1578" s="3">
        <f>IF(OR($L$1="",对接源_02物料!$C378="",对接源_02物料!$C378&lt;&gt;$L$1,对接源_02物料!$B378=""),0,IF(OR(N(对接源_02物料!$B378)&lt;$L$2,N(对接源_02物料!$B378)&gt;$L$3),0,1))</f>
        <v>0</v>
      </c>
      <c r="M1578" s="3">
        <f>IF(OR($M$1="",对接源_02物料!$C378="",对接源_02物料!$C378&lt;&gt;$M$1,对接源_02物料!$B378=""),0,IF(OR(N(对接源_02物料!$B378)&lt;$M$2,N(对接源_02物料!$B378)&gt;$M$3),0,1))</f>
        <v>0</v>
      </c>
      <c r="N1578" s="3">
        <f>IF(OR($N$1="",对接源_02物料!$C378="",对接源_02物料!$C378&lt;&gt;$N$1,对接源_02物料!$B378=""),0,IF(OR(N(对接源_02物料!$B378)&lt;$N$2,N(对接源_02物料!$B378)&gt;$N$3),0,1))</f>
        <v>0</v>
      </c>
      <c r="P1578" s="3">
        <f>IF(AND($K1578=1,AND(对接源_02物料!$X378="公司筐",N(对接源_02物料!$T378)&lt;&gt;0)),1,0)</f>
        <v>0</v>
      </c>
      <c r="Q1578" s="3">
        <f t="shared" si="420"/>
        <v>8</v>
      </c>
      <c r="R1578" s="3">
        <f>IF(AND($K1578=1,AND(对接源_02物料!$X378="公司筐",N(对接源_02物料!$U378)&lt;&gt;0)),1,0)</f>
        <v>0</v>
      </c>
      <c r="S1578" s="3">
        <f t="shared" si="421"/>
        <v>0</v>
      </c>
      <c r="T1578" s="3">
        <f>IF(AND($K1578=1,AND(对接源_02物料!$X378="公司筐",N(对接源_02物料!$V378)&lt;&gt;0)),1,0)</f>
        <v>0</v>
      </c>
      <c r="U1578" s="3">
        <f t="shared" si="422"/>
        <v>19</v>
      </c>
      <c r="V1578" s="3">
        <f>IF(AND($L1578=1,AND(对接源_02物料!$X378="自备筐",N(对接源_02物料!$V378)&lt;&gt;0)),1,0)</f>
        <v>0</v>
      </c>
      <c r="W1578" s="3">
        <f t="shared" si="423"/>
        <v>8</v>
      </c>
      <c r="X1578" s="3">
        <f>IF(AND($L1578=1,AND(对接源_02物料!$X378="自备筐",N(对接源_02物料!$T378)&lt;&gt;0)),1,0)</f>
        <v>0</v>
      </c>
      <c r="Y1578" s="3">
        <f t="shared" si="424"/>
        <v>0</v>
      </c>
      <c r="Z1578" s="3">
        <f>IF(AND($M1578=1,对接源_02物料!$D378="原料入库"),1,0)</f>
        <v>0</v>
      </c>
      <c r="AA1578" s="3">
        <f t="shared" si="425"/>
        <v>24</v>
      </c>
      <c r="AB1578" s="3">
        <f>IF(AND($M1578=1,LEFT(对接源_02物料!$D378,4)="原料出库"),1,0)</f>
        <v>0</v>
      </c>
      <c r="AC1578" s="3">
        <f t="shared" si="426"/>
        <v>0</v>
      </c>
      <c r="AD1578" s="3">
        <f>IF(AND($M1578=1,LEFT(对接源_02物料!$D378,4)="成品出库"),1,0)</f>
        <v>0</v>
      </c>
      <c r="AE1578" s="3">
        <f t="shared" si="427"/>
        <v>0</v>
      </c>
      <c r="AF1578" s="3">
        <f>IF(AND($N1578=1,AND(LEFT(对接源_02物料!$D378,4)="包装物料",N(对接源_02物料!$K378)&lt;&gt;0)),1,0)</f>
        <v>0</v>
      </c>
      <c r="AG1578" s="3">
        <f t="shared" si="428"/>
        <v>5</v>
      </c>
      <c r="AH1578" s="3">
        <f>IF(AND($N1578=1,AND(对接源_02物料!$D378="周转筐－销售出库",N(对接源_02物料!$K378)&lt;&gt;0)),1,0)</f>
        <v>0</v>
      </c>
      <c r="AI1578" s="3">
        <f t="shared" si="429"/>
        <v>0</v>
      </c>
      <c r="AL1578" s="3">
        <v>0</v>
      </c>
      <c r="AM1578" s="3">
        <f t="shared" si="430"/>
        <v>1</v>
      </c>
      <c r="AN1578" s="3" t="str">
        <f t="shared" si="417"/>
        <v/>
      </c>
      <c r="AO1578" s="3">
        <v>0</v>
      </c>
      <c r="AP1578" s="3">
        <f t="shared" si="431"/>
        <v>8</v>
      </c>
      <c r="AR1578">
        <f t="shared" si="432"/>
        <v>0</v>
      </c>
      <c r="AS1578">
        <f t="shared" si="433"/>
        <v>5</v>
      </c>
    </row>
    <row r="1579" customHeight="1" spans="1:45">
      <c r="A1579" s="3" t="str">
        <f>IF(对接源_02物料!$C379="","",对接源_02物料!$C379)</f>
        <v/>
      </c>
      <c r="B1579" s="3">
        <f t="shared" si="418"/>
        <v>0</v>
      </c>
      <c r="C1579" s="3">
        <f t="shared" si="419"/>
        <v>21</v>
      </c>
      <c r="K1579" s="3">
        <f>IF(OR($K$1="",对接源_02物料!$C379="",对接源_02物料!$C379&lt;&gt;$K$1,对接源_02物料!$B379=""),0,IF(OR(N(对接源_02物料!$B379)&lt;$K$2,N(对接源_02物料!$B379)&gt;$K$3),0,1))</f>
        <v>0</v>
      </c>
      <c r="L1579" s="3">
        <f>IF(OR($L$1="",对接源_02物料!$C379="",对接源_02物料!$C379&lt;&gt;$L$1,对接源_02物料!$B379=""),0,IF(OR(N(对接源_02物料!$B379)&lt;$L$2,N(对接源_02物料!$B379)&gt;$L$3),0,1))</f>
        <v>0</v>
      </c>
      <c r="M1579" s="3">
        <f>IF(OR($M$1="",对接源_02物料!$C379="",对接源_02物料!$C379&lt;&gt;$M$1,对接源_02物料!$B379=""),0,IF(OR(N(对接源_02物料!$B379)&lt;$M$2,N(对接源_02物料!$B379)&gt;$M$3),0,1))</f>
        <v>0</v>
      </c>
      <c r="N1579" s="3">
        <f>IF(OR($N$1="",对接源_02物料!$C379="",对接源_02物料!$C379&lt;&gt;$N$1,对接源_02物料!$B379=""),0,IF(OR(N(对接源_02物料!$B379)&lt;$N$2,N(对接源_02物料!$B379)&gt;$N$3),0,1))</f>
        <v>0</v>
      </c>
      <c r="P1579" s="3">
        <f>IF(AND($K1579=1,AND(对接源_02物料!$X379="公司筐",N(对接源_02物料!$T379)&lt;&gt;0)),1,0)</f>
        <v>0</v>
      </c>
      <c r="Q1579" s="3">
        <f t="shared" si="420"/>
        <v>8</v>
      </c>
      <c r="R1579" s="3">
        <f>IF(AND($K1579=1,AND(对接源_02物料!$X379="公司筐",N(对接源_02物料!$U379)&lt;&gt;0)),1,0)</f>
        <v>0</v>
      </c>
      <c r="S1579" s="3">
        <f t="shared" si="421"/>
        <v>0</v>
      </c>
      <c r="T1579" s="3">
        <f>IF(AND($K1579=1,AND(对接源_02物料!$X379="公司筐",N(对接源_02物料!$V379)&lt;&gt;0)),1,0)</f>
        <v>0</v>
      </c>
      <c r="U1579" s="3">
        <f t="shared" si="422"/>
        <v>19</v>
      </c>
      <c r="V1579" s="3">
        <f>IF(AND($L1579=1,AND(对接源_02物料!$X379="自备筐",N(对接源_02物料!$V379)&lt;&gt;0)),1,0)</f>
        <v>0</v>
      </c>
      <c r="W1579" s="3">
        <f t="shared" si="423"/>
        <v>8</v>
      </c>
      <c r="X1579" s="3">
        <f>IF(AND($L1579=1,AND(对接源_02物料!$X379="自备筐",N(对接源_02物料!$T379)&lt;&gt;0)),1,0)</f>
        <v>0</v>
      </c>
      <c r="Y1579" s="3">
        <f t="shared" si="424"/>
        <v>0</v>
      </c>
      <c r="Z1579" s="3">
        <f>IF(AND($M1579=1,对接源_02物料!$D379="原料入库"),1,0)</f>
        <v>0</v>
      </c>
      <c r="AA1579" s="3">
        <f t="shared" si="425"/>
        <v>24</v>
      </c>
      <c r="AB1579" s="3">
        <f>IF(AND($M1579=1,LEFT(对接源_02物料!$D379,4)="原料出库"),1,0)</f>
        <v>0</v>
      </c>
      <c r="AC1579" s="3">
        <f t="shared" si="426"/>
        <v>0</v>
      </c>
      <c r="AD1579" s="3">
        <f>IF(AND($M1579=1,LEFT(对接源_02物料!$D379,4)="成品出库"),1,0)</f>
        <v>0</v>
      </c>
      <c r="AE1579" s="3">
        <f t="shared" si="427"/>
        <v>0</v>
      </c>
      <c r="AF1579" s="3">
        <f>IF(AND($N1579=1,AND(LEFT(对接源_02物料!$D379,4)="包装物料",N(对接源_02物料!$K379)&lt;&gt;0)),1,0)</f>
        <v>0</v>
      </c>
      <c r="AG1579" s="3">
        <f t="shared" si="428"/>
        <v>5</v>
      </c>
      <c r="AH1579" s="3">
        <f>IF(AND($N1579=1,AND(对接源_02物料!$D379="周转筐－销售出库",N(对接源_02物料!$K379)&lt;&gt;0)),1,0)</f>
        <v>0</v>
      </c>
      <c r="AI1579" s="3">
        <f t="shared" si="429"/>
        <v>0</v>
      </c>
      <c r="AL1579" s="3">
        <v>0</v>
      </c>
      <c r="AM1579" s="3">
        <f t="shared" si="430"/>
        <v>1</v>
      </c>
      <c r="AN1579" s="3" t="str">
        <f t="shared" si="417"/>
        <v/>
      </c>
      <c r="AO1579" s="3">
        <v>0</v>
      </c>
      <c r="AP1579" s="3">
        <f t="shared" si="431"/>
        <v>8</v>
      </c>
      <c r="AR1579">
        <f t="shared" si="432"/>
        <v>0</v>
      </c>
      <c r="AS1579">
        <f t="shared" si="433"/>
        <v>5</v>
      </c>
    </row>
    <row r="1580" customHeight="1" spans="1:45">
      <c r="A1580" s="3" t="str">
        <f>IF(对接源_02物料!$C380="","",对接源_02物料!$C380)</f>
        <v/>
      </c>
      <c r="B1580" s="3">
        <f t="shared" si="418"/>
        <v>0</v>
      </c>
      <c r="C1580" s="3">
        <f t="shared" si="419"/>
        <v>21</v>
      </c>
      <c r="K1580" s="3">
        <f>IF(OR($K$1="",对接源_02物料!$C380="",对接源_02物料!$C380&lt;&gt;$K$1,对接源_02物料!$B380=""),0,IF(OR(N(对接源_02物料!$B380)&lt;$K$2,N(对接源_02物料!$B380)&gt;$K$3),0,1))</f>
        <v>0</v>
      </c>
      <c r="L1580" s="3">
        <f>IF(OR($L$1="",对接源_02物料!$C380="",对接源_02物料!$C380&lt;&gt;$L$1,对接源_02物料!$B380=""),0,IF(OR(N(对接源_02物料!$B380)&lt;$L$2,N(对接源_02物料!$B380)&gt;$L$3),0,1))</f>
        <v>0</v>
      </c>
      <c r="M1580" s="3">
        <f>IF(OR($M$1="",对接源_02物料!$C380="",对接源_02物料!$C380&lt;&gt;$M$1,对接源_02物料!$B380=""),0,IF(OR(N(对接源_02物料!$B380)&lt;$M$2,N(对接源_02物料!$B380)&gt;$M$3),0,1))</f>
        <v>0</v>
      </c>
      <c r="N1580" s="3">
        <f>IF(OR($N$1="",对接源_02物料!$C380="",对接源_02物料!$C380&lt;&gt;$N$1,对接源_02物料!$B380=""),0,IF(OR(N(对接源_02物料!$B380)&lt;$N$2,N(对接源_02物料!$B380)&gt;$N$3),0,1))</f>
        <v>0</v>
      </c>
      <c r="P1580" s="3">
        <f>IF(AND($K1580=1,AND(对接源_02物料!$X380="公司筐",N(对接源_02物料!$T380)&lt;&gt;0)),1,0)</f>
        <v>0</v>
      </c>
      <c r="Q1580" s="3">
        <f t="shared" si="420"/>
        <v>8</v>
      </c>
      <c r="R1580" s="3">
        <f>IF(AND($K1580=1,AND(对接源_02物料!$X380="公司筐",N(对接源_02物料!$U380)&lt;&gt;0)),1,0)</f>
        <v>0</v>
      </c>
      <c r="S1580" s="3">
        <f t="shared" si="421"/>
        <v>0</v>
      </c>
      <c r="T1580" s="3">
        <f>IF(AND($K1580=1,AND(对接源_02物料!$X380="公司筐",N(对接源_02物料!$V380)&lt;&gt;0)),1,0)</f>
        <v>0</v>
      </c>
      <c r="U1580" s="3">
        <f t="shared" si="422"/>
        <v>19</v>
      </c>
      <c r="V1580" s="3">
        <f>IF(AND($L1580=1,AND(对接源_02物料!$X380="自备筐",N(对接源_02物料!$V380)&lt;&gt;0)),1,0)</f>
        <v>0</v>
      </c>
      <c r="W1580" s="3">
        <f t="shared" si="423"/>
        <v>8</v>
      </c>
      <c r="X1580" s="3">
        <f>IF(AND($L1580=1,AND(对接源_02物料!$X380="自备筐",N(对接源_02物料!$T380)&lt;&gt;0)),1,0)</f>
        <v>0</v>
      </c>
      <c r="Y1580" s="3">
        <f t="shared" si="424"/>
        <v>0</v>
      </c>
      <c r="Z1580" s="3">
        <f>IF(AND($M1580=1,对接源_02物料!$D380="原料入库"),1,0)</f>
        <v>0</v>
      </c>
      <c r="AA1580" s="3">
        <f t="shared" si="425"/>
        <v>24</v>
      </c>
      <c r="AB1580" s="3">
        <f>IF(AND($M1580=1,LEFT(对接源_02物料!$D380,4)="原料出库"),1,0)</f>
        <v>0</v>
      </c>
      <c r="AC1580" s="3">
        <f t="shared" si="426"/>
        <v>0</v>
      </c>
      <c r="AD1580" s="3">
        <f>IF(AND($M1580=1,LEFT(对接源_02物料!$D380,4)="成品出库"),1,0)</f>
        <v>0</v>
      </c>
      <c r="AE1580" s="3">
        <f t="shared" si="427"/>
        <v>0</v>
      </c>
      <c r="AF1580" s="3">
        <f>IF(AND($N1580=1,AND(LEFT(对接源_02物料!$D380,4)="包装物料",N(对接源_02物料!$K380)&lt;&gt;0)),1,0)</f>
        <v>0</v>
      </c>
      <c r="AG1580" s="3">
        <f t="shared" si="428"/>
        <v>5</v>
      </c>
      <c r="AH1580" s="3">
        <f>IF(AND($N1580=1,AND(对接源_02物料!$D380="周转筐－销售出库",N(对接源_02物料!$K380)&lt;&gt;0)),1,0)</f>
        <v>0</v>
      </c>
      <c r="AI1580" s="3">
        <f t="shared" si="429"/>
        <v>0</v>
      </c>
      <c r="AL1580" s="3">
        <v>0</v>
      </c>
      <c r="AM1580" s="3">
        <f t="shared" si="430"/>
        <v>1</v>
      </c>
      <c r="AN1580" s="3" t="str">
        <f t="shared" si="417"/>
        <v/>
      </c>
      <c r="AO1580" s="3">
        <v>0</v>
      </c>
      <c r="AP1580" s="3">
        <f t="shared" si="431"/>
        <v>8</v>
      </c>
      <c r="AR1580">
        <f t="shared" si="432"/>
        <v>0</v>
      </c>
      <c r="AS1580">
        <f t="shared" si="433"/>
        <v>5</v>
      </c>
    </row>
    <row r="1581" customHeight="1" spans="1:45">
      <c r="A1581" s="3" t="str">
        <f>IF(对接源_02物料!$C381="","",对接源_02物料!$C381)</f>
        <v/>
      </c>
      <c r="B1581" s="3">
        <f t="shared" si="418"/>
        <v>0</v>
      </c>
      <c r="C1581" s="3">
        <f t="shared" si="419"/>
        <v>21</v>
      </c>
      <c r="K1581" s="3">
        <f>IF(OR($K$1="",对接源_02物料!$C381="",对接源_02物料!$C381&lt;&gt;$K$1,对接源_02物料!$B381=""),0,IF(OR(N(对接源_02物料!$B381)&lt;$K$2,N(对接源_02物料!$B381)&gt;$K$3),0,1))</f>
        <v>0</v>
      </c>
      <c r="L1581" s="3">
        <f>IF(OR($L$1="",对接源_02物料!$C381="",对接源_02物料!$C381&lt;&gt;$L$1,对接源_02物料!$B381=""),0,IF(OR(N(对接源_02物料!$B381)&lt;$L$2,N(对接源_02物料!$B381)&gt;$L$3),0,1))</f>
        <v>0</v>
      </c>
      <c r="M1581" s="3">
        <f>IF(OR($M$1="",对接源_02物料!$C381="",对接源_02物料!$C381&lt;&gt;$M$1,对接源_02物料!$B381=""),0,IF(OR(N(对接源_02物料!$B381)&lt;$M$2,N(对接源_02物料!$B381)&gt;$M$3),0,1))</f>
        <v>0</v>
      </c>
      <c r="N1581" s="3">
        <f>IF(OR($N$1="",对接源_02物料!$C381="",对接源_02物料!$C381&lt;&gt;$N$1,对接源_02物料!$B381=""),0,IF(OR(N(对接源_02物料!$B381)&lt;$N$2,N(对接源_02物料!$B381)&gt;$N$3),0,1))</f>
        <v>0</v>
      </c>
      <c r="P1581" s="3">
        <f>IF(AND($K1581=1,AND(对接源_02物料!$X381="公司筐",N(对接源_02物料!$T381)&lt;&gt;0)),1,0)</f>
        <v>0</v>
      </c>
      <c r="Q1581" s="3">
        <f t="shared" si="420"/>
        <v>8</v>
      </c>
      <c r="R1581" s="3">
        <f>IF(AND($K1581=1,AND(对接源_02物料!$X381="公司筐",N(对接源_02物料!$U381)&lt;&gt;0)),1,0)</f>
        <v>0</v>
      </c>
      <c r="S1581" s="3">
        <f t="shared" si="421"/>
        <v>0</v>
      </c>
      <c r="T1581" s="3">
        <f>IF(AND($K1581=1,AND(对接源_02物料!$X381="公司筐",N(对接源_02物料!$V381)&lt;&gt;0)),1,0)</f>
        <v>0</v>
      </c>
      <c r="U1581" s="3">
        <f t="shared" si="422"/>
        <v>19</v>
      </c>
      <c r="V1581" s="3">
        <f>IF(AND($L1581=1,AND(对接源_02物料!$X381="自备筐",N(对接源_02物料!$V381)&lt;&gt;0)),1,0)</f>
        <v>0</v>
      </c>
      <c r="W1581" s="3">
        <f t="shared" si="423"/>
        <v>8</v>
      </c>
      <c r="X1581" s="3">
        <f>IF(AND($L1581=1,AND(对接源_02物料!$X381="自备筐",N(对接源_02物料!$T381)&lt;&gt;0)),1,0)</f>
        <v>0</v>
      </c>
      <c r="Y1581" s="3">
        <f t="shared" si="424"/>
        <v>0</v>
      </c>
      <c r="Z1581" s="3">
        <f>IF(AND($M1581=1,对接源_02物料!$D381="原料入库"),1,0)</f>
        <v>0</v>
      </c>
      <c r="AA1581" s="3">
        <f t="shared" si="425"/>
        <v>24</v>
      </c>
      <c r="AB1581" s="3">
        <f>IF(AND($M1581=1,LEFT(对接源_02物料!$D381,4)="原料出库"),1,0)</f>
        <v>0</v>
      </c>
      <c r="AC1581" s="3">
        <f t="shared" si="426"/>
        <v>0</v>
      </c>
      <c r="AD1581" s="3">
        <f>IF(AND($M1581=1,LEFT(对接源_02物料!$D381,4)="成品出库"),1,0)</f>
        <v>0</v>
      </c>
      <c r="AE1581" s="3">
        <f t="shared" si="427"/>
        <v>0</v>
      </c>
      <c r="AF1581" s="3">
        <f>IF(AND($N1581=1,AND(LEFT(对接源_02物料!$D381,4)="包装物料",N(对接源_02物料!$K381)&lt;&gt;0)),1,0)</f>
        <v>0</v>
      </c>
      <c r="AG1581" s="3">
        <f t="shared" si="428"/>
        <v>5</v>
      </c>
      <c r="AH1581" s="3">
        <f>IF(AND($N1581=1,AND(对接源_02物料!$D381="周转筐－销售出库",N(对接源_02物料!$K381)&lt;&gt;0)),1,0)</f>
        <v>0</v>
      </c>
      <c r="AI1581" s="3">
        <f t="shared" si="429"/>
        <v>0</v>
      </c>
      <c r="AL1581" s="3">
        <v>0</v>
      </c>
      <c r="AM1581" s="3">
        <f t="shared" si="430"/>
        <v>1</v>
      </c>
      <c r="AN1581" s="3" t="str">
        <f t="shared" si="417"/>
        <v/>
      </c>
      <c r="AO1581" s="3">
        <v>0</v>
      </c>
      <c r="AP1581" s="3">
        <f t="shared" si="431"/>
        <v>8</v>
      </c>
      <c r="AR1581">
        <f t="shared" si="432"/>
        <v>0</v>
      </c>
      <c r="AS1581">
        <f t="shared" si="433"/>
        <v>5</v>
      </c>
    </row>
    <row r="1582" customHeight="1" spans="1:45">
      <c r="A1582" s="3" t="str">
        <f>IF(对接源_02物料!$C382="","",对接源_02物料!$C382)</f>
        <v/>
      </c>
      <c r="B1582" s="3">
        <f t="shared" si="418"/>
        <v>0</v>
      </c>
      <c r="C1582" s="3">
        <f t="shared" si="419"/>
        <v>21</v>
      </c>
      <c r="K1582" s="3">
        <f>IF(OR($K$1="",对接源_02物料!$C382="",对接源_02物料!$C382&lt;&gt;$K$1,对接源_02物料!$B382=""),0,IF(OR(N(对接源_02物料!$B382)&lt;$K$2,N(对接源_02物料!$B382)&gt;$K$3),0,1))</f>
        <v>0</v>
      </c>
      <c r="L1582" s="3">
        <f>IF(OR($L$1="",对接源_02物料!$C382="",对接源_02物料!$C382&lt;&gt;$L$1,对接源_02物料!$B382=""),0,IF(OR(N(对接源_02物料!$B382)&lt;$L$2,N(对接源_02物料!$B382)&gt;$L$3),0,1))</f>
        <v>0</v>
      </c>
      <c r="M1582" s="3">
        <f>IF(OR($M$1="",对接源_02物料!$C382="",对接源_02物料!$C382&lt;&gt;$M$1,对接源_02物料!$B382=""),0,IF(OR(N(对接源_02物料!$B382)&lt;$M$2,N(对接源_02物料!$B382)&gt;$M$3),0,1))</f>
        <v>0</v>
      </c>
      <c r="N1582" s="3">
        <f>IF(OR($N$1="",对接源_02物料!$C382="",对接源_02物料!$C382&lt;&gt;$N$1,对接源_02物料!$B382=""),0,IF(OR(N(对接源_02物料!$B382)&lt;$N$2,N(对接源_02物料!$B382)&gt;$N$3),0,1))</f>
        <v>0</v>
      </c>
      <c r="P1582" s="3">
        <f>IF(AND($K1582=1,AND(对接源_02物料!$X382="公司筐",N(对接源_02物料!$T382)&lt;&gt;0)),1,0)</f>
        <v>0</v>
      </c>
      <c r="Q1582" s="3">
        <f t="shared" si="420"/>
        <v>8</v>
      </c>
      <c r="R1582" s="3">
        <f>IF(AND($K1582=1,AND(对接源_02物料!$X382="公司筐",N(对接源_02物料!$U382)&lt;&gt;0)),1,0)</f>
        <v>0</v>
      </c>
      <c r="S1582" s="3">
        <f t="shared" si="421"/>
        <v>0</v>
      </c>
      <c r="T1582" s="3">
        <f>IF(AND($K1582=1,AND(对接源_02物料!$X382="公司筐",N(对接源_02物料!$V382)&lt;&gt;0)),1,0)</f>
        <v>0</v>
      </c>
      <c r="U1582" s="3">
        <f t="shared" si="422"/>
        <v>19</v>
      </c>
      <c r="V1582" s="3">
        <f>IF(AND($L1582=1,AND(对接源_02物料!$X382="自备筐",N(对接源_02物料!$V382)&lt;&gt;0)),1,0)</f>
        <v>0</v>
      </c>
      <c r="W1582" s="3">
        <f t="shared" si="423"/>
        <v>8</v>
      </c>
      <c r="X1582" s="3">
        <f>IF(AND($L1582=1,AND(对接源_02物料!$X382="自备筐",N(对接源_02物料!$T382)&lt;&gt;0)),1,0)</f>
        <v>0</v>
      </c>
      <c r="Y1582" s="3">
        <f t="shared" si="424"/>
        <v>0</v>
      </c>
      <c r="Z1582" s="3">
        <f>IF(AND($M1582=1,对接源_02物料!$D382="原料入库"),1,0)</f>
        <v>0</v>
      </c>
      <c r="AA1582" s="3">
        <f t="shared" si="425"/>
        <v>24</v>
      </c>
      <c r="AB1582" s="3">
        <f>IF(AND($M1582=1,LEFT(对接源_02物料!$D382,4)="原料出库"),1,0)</f>
        <v>0</v>
      </c>
      <c r="AC1582" s="3">
        <f t="shared" si="426"/>
        <v>0</v>
      </c>
      <c r="AD1582" s="3">
        <f>IF(AND($M1582=1,LEFT(对接源_02物料!$D382,4)="成品出库"),1,0)</f>
        <v>0</v>
      </c>
      <c r="AE1582" s="3">
        <f t="shared" si="427"/>
        <v>0</v>
      </c>
      <c r="AF1582" s="3">
        <f>IF(AND($N1582=1,AND(LEFT(对接源_02物料!$D382,4)="包装物料",N(对接源_02物料!$K382)&lt;&gt;0)),1,0)</f>
        <v>0</v>
      </c>
      <c r="AG1582" s="3">
        <f t="shared" si="428"/>
        <v>5</v>
      </c>
      <c r="AH1582" s="3">
        <f>IF(AND($N1582=1,AND(对接源_02物料!$D382="周转筐－销售出库",N(对接源_02物料!$K382)&lt;&gt;0)),1,0)</f>
        <v>0</v>
      </c>
      <c r="AI1582" s="3">
        <f t="shared" si="429"/>
        <v>0</v>
      </c>
      <c r="AL1582" s="3">
        <v>0</v>
      </c>
      <c r="AM1582" s="3">
        <f t="shared" si="430"/>
        <v>1</v>
      </c>
      <c r="AN1582" s="3" t="str">
        <f t="shared" si="417"/>
        <v/>
      </c>
      <c r="AO1582" s="3">
        <v>0</v>
      </c>
      <c r="AP1582" s="3">
        <f t="shared" si="431"/>
        <v>8</v>
      </c>
      <c r="AR1582">
        <f t="shared" si="432"/>
        <v>0</v>
      </c>
      <c r="AS1582">
        <f t="shared" si="433"/>
        <v>5</v>
      </c>
    </row>
    <row r="1583" customHeight="1" spans="1:45">
      <c r="A1583" s="3" t="str">
        <f>IF(对接源_02物料!$C383="","",对接源_02物料!$C383)</f>
        <v/>
      </c>
      <c r="B1583" s="3">
        <f t="shared" si="418"/>
        <v>0</v>
      </c>
      <c r="C1583" s="3">
        <f t="shared" si="419"/>
        <v>21</v>
      </c>
      <c r="K1583" s="3">
        <f>IF(OR($K$1="",对接源_02物料!$C383="",对接源_02物料!$C383&lt;&gt;$K$1,对接源_02物料!$B383=""),0,IF(OR(N(对接源_02物料!$B383)&lt;$K$2,N(对接源_02物料!$B383)&gt;$K$3),0,1))</f>
        <v>0</v>
      </c>
      <c r="L1583" s="3">
        <f>IF(OR($L$1="",对接源_02物料!$C383="",对接源_02物料!$C383&lt;&gt;$L$1,对接源_02物料!$B383=""),0,IF(OR(N(对接源_02物料!$B383)&lt;$L$2,N(对接源_02物料!$B383)&gt;$L$3),0,1))</f>
        <v>0</v>
      </c>
      <c r="M1583" s="3">
        <f>IF(OR($M$1="",对接源_02物料!$C383="",对接源_02物料!$C383&lt;&gt;$M$1,对接源_02物料!$B383=""),0,IF(OR(N(对接源_02物料!$B383)&lt;$M$2,N(对接源_02物料!$B383)&gt;$M$3),0,1))</f>
        <v>0</v>
      </c>
      <c r="N1583" s="3">
        <f>IF(OR($N$1="",对接源_02物料!$C383="",对接源_02物料!$C383&lt;&gt;$N$1,对接源_02物料!$B383=""),0,IF(OR(N(对接源_02物料!$B383)&lt;$N$2,N(对接源_02物料!$B383)&gt;$N$3),0,1))</f>
        <v>0</v>
      </c>
      <c r="P1583" s="3">
        <f>IF(AND($K1583=1,AND(对接源_02物料!$X383="公司筐",N(对接源_02物料!$T383)&lt;&gt;0)),1,0)</f>
        <v>0</v>
      </c>
      <c r="Q1583" s="3">
        <f t="shared" si="420"/>
        <v>8</v>
      </c>
      <c r="R1583" s="3">
        <f>IF(AND($K1583=1,AND(对接源_02物料!$X383="公司筐",N(对接源_02物料!$U383)&lt;&gt;0)),1,0)</f>
        <v>0</v>
      </c>
      <c r="S1583" s="3">
        <f t="shared" si="421"/>
        <v>0</v>
      </c>
      <c r="T1583" s="3">
        <f>IF(AND($K1583=1,AND(对接源_02物料!$X383="公司筐",N(对接源_02物料!$V383)&lt;&gt;0)),1,0)</f>
        <v>0</v>
      </c>
      <c r="U1583" s="3">
        <f t="shared" si="422"/>
        <v>19</v>
      </c>
      <c r="V1583" s="3">
        <f>IF(AND($L1583=1,AND(对接源_02物料!$X383="自备筐",N(对接源_02物料!$V383)&lt;&gt;0)),1,0)</f>
        <v>0</v>
      </c>
      <c r="W1583" s="3">
        <f t="shared" si="423"/>
        <v>8</v>
      </c>
      <c r="X1583" s="3">
        <f>IF(AND($L1583=1,AND(对接源_02物料!$X383="自备筐",N(对接源_02物料!$T383)&lt;&gt;0)),1,0)</f>
        <v>0</v>
      </c>
      <c r="Y1583" s="3">
        <f t="shared" si="424"/>
        <v>0</v>
      </c>
      <c r="Z1583" s="3">
        <f>IF(AND($M1583=1,对接源_02物料!$D383="原料入库"),1,0)</f>
        <v>0</v>
      </c>
      <c r="AA1583" s="3">
        <f t="shared" si="425"/>
        <v>24</v>
      </c>
      <c r="AB1583" s="3">
        <f>IF(AND($M1583=1,LEFT(对接源_02物料!$D383,4)="原料出库"),1,0)</f>
        <v>0</v>
      </c>
      <c r="AC1583" s="3">
        <f t="shared" si="426"/>
        <v>0</v>
      </c>
      <c r="AD1583" s="3">
        <f>IF(AND($M1583=1,LEFT(对接源_02物料!$D383,4)="成品出库"),1,0)</f>
        <v>0</v>
      </c>
      <c r="AE1583" s="3">
        <f t="shared" si="427"/>
        <v>0</v>
      </c>
      <c r="AF1583" s="3">
        <f>IF(AND($N1583=1,AND(LEFT(对接源_02物料!$D383,4)="包装物料",N(对接源_02物料!$K383)&lt;&gt;0)),1,0)</f>
        <v>0</v>
      </c>
      <c r="AG1583" s="3">
        <f t="shared" si="428"/>
        <v>5</v>
      </c>
      <c r="AH1583" s="3">
        <f>IF(AND($N1583=1,AND(对接源_02物料!$D383="周转筐－销售出库",N(对接源_02物料!$K383)&lt;&gt;0)),1,0)</f>
        <v>0</v>
      </c>
      <c r="AI1583" s="3">
        <f t="shared" si="429"/>
        <v>0</v>
      </c>
      <c r="AL1583" s="3">
        <v>0</v>
      </c>
      <c r="AM1583" s="3">
        <f t="shared" si="430"/>
        <v>1</v>
      </c>
      <c r="AN1583" s="3" t="str">
        <f t="shared" si="417"/>
        <v/>
      </c>
      <c r="AO1583" s="3">
        <v>0</v>
      </c>
      <c r="AP1583" s="3">
        <f t="shared" si="431"/>
        <v>8</v>
      </c>
      <c r="AR1583">
        <f t="shared" si="432"/>
        <v>0</v>
      </c>
      <c r="AS1583">
        <f t="shared" si="433"/>
        <v>5</v>
      </c>
    </row>
    <row r="1584" customHeight="1" spans="1:45">
      <c r="A1584" s="3" t="str">
        <f>IF(对接源_02物料!$C384="","",对接源_02物料!$C384)</f>
        <v/>
      </c>
      <c r="B1584" s="3">
        <f t="shared" si="418"/>
        <v>0</v>
      </c>
      <c r="C1584" s="3">
        <f t="shared" si="419"/>
        <v>21</v>
      </c>
      <c r="K1584" s="3">
        <f>IF(OR($K$1="",对接源_02物料!$C384="",对接源_02物料!$C384&lt;&gt;$K$1,对接源_02物料!$B384=""),0,IF(OR(N(对接源_02物料!$B384)&lt;$K$2,N(对接源_02物料!$B384)&gt;$K$3),0,1))</f>
        <v>0</v>
      </c>
      <c r="L1584" s="3">
        <f>IF(OR($L$1="",对接源_02物料!$C384="",对接源_02物料!$C384&lt;&gt;$L$1,对接源_02物料!$B384=""),0,IF(OR(N(对接源_02物料!$B384)&lt;$L$2,N(对接源_02物料!$B384)&gt;$L$3),0,1))</f>
        <v>0</v>
      </c>
      <c r="M1584" s="3">
        <f>IF(OR($M$1="",对接源_02物料!$C384="",对接源_02物料!$C384&lt;&gt;$M$1,对接源_02物料!$B384=""),0,IF(OR(N(对接源_02物料!$B384)&lt;$M$2,N(对接源_02物料!$B384)&gt;$M$3),0,1))</f>
        <v>0</v>
      </c>
      <c r="N1584" s="3">
        <f>IF(OR($N$1="",对接源_02物料!$C384="",对接源_02物料!$C384&lt;&gt;$N$1,对接源_02物料!$B384=""),0,IF(OR(N(对接源_02物料!$B384)&lt;$N$2,N(对接源_02物料!$B384)&gt;$N$3),0,1))</f>
        <v>0</v>
      </c>
      <c r="P1584" s="3">
        <f>IF(AND($K1584=1,AND(对接源_02物料!$X384="公司筐",N(对接源_02物料!$T384)&lt;&gt;0)),1,0)</f>
        <v>0</v>
      </c>
      <c r="Q1584" s="3">
        <f t="shared" si="420"/>
        <v>8</v>
      </c>
      <c r="R1584" s="3">
        <f>IF(AND($K1584=1,AND(对接源_02物料!$X384="公司筐",N(对接源_02物料!$U384)&lt;&gt;0)),1,0)</f>
        <v>0</v>
      </c>
      <c r="S1584" s="3">
        <f t="shared" si="421"/>
        <v>0</v>
      </c>
      <c r="T1584" s="3">
        <f>IF(AND($K1584=1,AND(对接源_02物料!$X384="公司筐",N(对接源_02物料!$V384)&lt;&gt;0)),1,0)</f>
        <v>0</v>
      </c>
      <c r="U1584" s="3">
        <f t="shared" si="422"/>
        <v>19</v>
      </c>
      <c r="V1584" s="3">
        <f>IF(AND($L1584=1,AND(对接源_02物料!$X384="自备筐",N(对接源_02物料!$V384)&lt;&gt;0)),1,0)</f>
        <v>0</v>
      </c>
      <c r="W1584" s="3">
        <f t="shared" si="423"/>
        <v>8</v>
      </c>
      <c r="X1584" s="3">
        <f>IF(AND($L1584=1,AND(对接源_02物料!$X384="自备筐",N(对接源_02物料!$T384)&lt;&gt;0)),1,0)</f>
        <v>0</v>
      </c>
      <c r="Y1584" s="3">
        <f t="shared" si="424"/>
        <v>0</v>
      </c>
      <c r="Z1584" s="3">
        <f>IF(AND($M1584=1,对接源_02物料!$D384="原料入库"),1,0)</f>
        <v>0</v>
      </c>
      <c r="AA1584" s="3">
        <f t="shared" si="425"/>
        <v>24</v>
      </c>
      <c r="AB1584" s="3">
        <f>IF(AND($M1584=1,LEFT(对接源_02物料!$D384,4)="原料出库"),1,0)</f>
        <v>0</v>
      </c>
      <c r="AC1584" s="3">
        <f t="shared" si="426"/>
        <v>0</v>
      </c>
      <c r="AD1584" s="3">
        <f>IF(AND($M1584=1,LEFT(对接源_02物料!$D384,4)="成品出库"),1,0)</f>
        <v>0</v>
      </c>
      <c r="AE1584" s="3">
        <f t="shared" si="427"/>
        <v>0</v>
      </c>
      <c r="AF1584" s="3">
        <f>IF(AND($N1584=1,AND(LEFT(对接源_02物料!$D384,4)="包装物料",N(对接源_02物料!$K384)&lt;&gt;0)),1,0)</f>
        <v>0</v>
      </c>
      <c r="AG1584" s="3">
        <f t="shared" si="428"/>
        <v>5</v>
      </c>
      <c r="AH1584" s="3">
        <f>IF(AND($N1584=1,AND(对接源_02物料!$D384="周转筐－销售出库",N(对接源_02物料!$K384)&lt;&gt;0)),1,0)</f>
        <v>0</v>
      </c>
      <c r="AI1584" s="3">
        <f t="shared" si="429"/>
        <v>0</v>
      </c>
      <c r="AL1584" s="3">
        <v>0</v>
      </c>
      <c r="AM1584" s="3">
        <f t="shared" si="430"/>
        <v>1</v>
      </c>
      <c r="AN1584" s="3" t="str">
        <f t="shared" si="417"/>
        <v/>
      </c>
      <c r="AO1584" s="3">
        <v>0</v>
      </c>
      <c r="AP1584" s="3">
        <f t="shared" si="431"/>
        <v>8</v>
      </c>
      <c r="AR1584">
        <f t="shared" si="432"/>
        <v>0</v>
      </c>
      <c r="AS1584">
        <f t="shared" si="433"/>
        <v>5</v>
      </c>
    </row>
    <row r="1585" customHeight="1" spans="1:45">
      <c r="A1585" s="3" t="str">
        <f>IF(对接源_02物料!$C385="","",对接源_02物料!$C385)</f>
        <v/>
      </c>
      <c r="B1585" s="3">
        <f t="shared" si="418"/>
        <v>0</v>
      </c>
      <c r="C1585" s="3">
        <f t="shared" si="419"/>
        <v>21</v>
      </c>
      <c r="K1585" s="3">
        <f>IF(OR($K$1="",对接源_02物料!$C385="",对接源_02物料!$C385&lt;&gt;$K$1,对接源_02物料!$B385=""),0,IF(OR(N(对接源_02物料!$B385)&lt;$K$2,N(对接源_02物料!$B385)&gt;$K$3),0,1))</f>
        <v>0</v>
      </c>
      <c r="L1585" s="3">
        <f>IF(OR($L$1="",对接源_02物料!$C385="",对接源_02物料!$C385&lt;&gt;$L$1,对接源_02物料!$B385=""),0,IF(OR(N(对接源_02物料!$B385)&lt;$L$2,N(对接源_02物料!$B385)&gt;$L$3),0,1))</f>
        <v>0</v>
      </c>
      <c r="M1585" s="3">
        <f>IF(OR($M$1="",对接源_02物料!$C385="",对接源_02物料!$C385&lt;&gt;$M$1,对接源_02物料!$B385=""),0,IF(OR(N(对接源_02物料!$B385)&lt;$M$2,N(对接源_02物料!$B385)&gt;$M$3),0,1))</f>
        <v>0</v>
      </c>
      <c r="N1585" s="3">
        <f>IF(OR($N$1="",对接源_02物料!$C385="",对接源_02物料!$C385&lt;&gt;$N$1,对接源_02物料!$B385=""),0,IF(OR(N(对接源_02物料!$B385)&lt;$N$2,N(对接源_02物料!$B385)&gt;$N$3),0,1))</f>
        <v>0</v>
      </c>
      <c r="P1585" s="3">
        <f>IF(AND($K1585=1,AND(对接源_02物料!$X385="公司筐",N(对接源_02物料!$T385)&lt;&gt;0)),1,0)</f>
        <v>0</v>
      </c>
      <c r="Q1585" s="3">
        <f t="shared" si="420"/>
        <v>8</v>
      </c>
      <c r="R1585" s="3">
        <f>IF(AND($K1585=1,AND(对接源_02物料!$X385="公司筐",N(对接源_02物料!$U385)&lt;&gt;0)),1,0)</f>
        <v>0</v>
      </c>
      <c r="S1585" s="3">
        <f t="shared" si="421"/>
        <v>0</v>
      </c>
      <c r="T1585" s="3">
        <f>IF(AND($K1585=1,AND(对接源_02物料!$X385="公司筐",N(对接源_02物料!$V385)&lt;&gt;0)),1,0)</f>
        <v>0</v>
      </c>
      <c r="U1585" s="3">
        <f t="shared" si="422"/>
        <v>19</v>
      </c>
      <c r="V1585" s="3">
        <f>IF(AND($L1585=1,AND(对接源_02物料!$X385="自备筐",N(对接源_02物料!$V385)&lt;&gt;0)),1,0)</f>
        <v>0</v>
      </c>
      <c r="W1585" s="3">
        <f t="shared" si="423"/>
        <v>8</v>
      </c>
      <c r="X1585" s="3">
        <f>IF(AND($L1585=1,AND(对接源_02物料!$X385="自备筐",N(对接源_02物料!$T385)&lt;&gt;0)),1,0)</f>
        <v>0</v>
      </c>
      <c r="Y1585" s="3">
        <f t="shared" si="424"/>
        <v>0</v>
      </c>
      <c r="Z1585" s="3">
        <f>IF(AND($M1585=1,对接源_02物料!$D385="原料入库"),1,0)</f>
        <v>0</v>
      </c>
      <c r="AA1585" s="3">
        <f t="shared" si="425"/>
        <v>24</v>
      </c>
      <c r="AB1585" s="3">
        <f>IF(AND($M1585=1,LEFT(对接源_02物料!$D385,4)="原料出库"),1,0)</f>
        <v>0</v>
      </c>
      <c r="AC1585" s="3">
        <f t="shared" si="426"/>
        <v>0</v>
      </c>
      <c r="AD1585" s="3">
        <f>IF(AND($M1585=1,LEFT(对接源_02物料!$D385,4)="成品出库"),1,0)</f>
        <v>0</v>
      </c>
      <c r="AE1585" s="3">
        <f t="shared" si="427"/>
        <v>0</v>
      </c>
      <c r="AF1585" s="3">
        <f>IF(AND($N1585=1,AND(LEFT(对接源_02物料!$D385,4)="包装物料",N(对接源_02物料!$K385)&lt;&gt;0)),1,0)</f>
        <v>0</v>
      </c>
      <c r="AG1585" s="3">
        <f t="shared" si="428"/>
        <v>5</v>
      </c>
      <c r="AH1585" s="3">
        <f>IF(AND($N1585=1,AND(对接源_02物料!$D385="周转筐－销售出库",N(对接源_02物料!$K385)&lt;&gt;0)),1,0)</f>
        <v>0</v>
      </c>
      <c r="AI1585" s="3">
        <f t="shared" si="429"/>
        <v>0</v>
      </c>
      <c r="AL1585" s="3">
        <v>0</v>
      </c>
      <c r="AM1585" s="3">
        <f t="shared" si="430"/>
        <v>1</v>
      </c>
      <c r="AN1585" s="3" t="str">
        <f t="shared" si="417"/>
        <v/>
      </c>
      <c r="AO1585" s="3">
        <v>0</v>
      </c>
      <c r="AP1585" s="3">
        <f t="shared" si="431"/>
        <v>8</v>
      </c>
      <c r="AR1585">
        <f t="shared" si="432"/>
        <v>0</v>
      </c>
      <c r="AS1585">
        <f t="shared" si="433"/>
        <v>5</v>
      </c>
    </row>
    <row r="1586" customHeight="1" spans="1:45">
      <c r="A1586" s="3" t="str">
        <f>IF(对接源_02物料!$C386="","",对接源_02物料!$C386)</f>
        <v/>
      </c>
      <c r="B1586" s="3">
        <f t="shared" si="418"/>
        <v>0</v>
      </c>
      <c r="C1586" s="3">
        <f t="shared" si="419"/>
        <v>21</v>
      </c>
      <c r="K1586" s="3">
        <f>IF(OR($K$1="",对接源_02物料!$C386="",对接源_02物料!$C386&lt;&gt;$K$1,对接源_02物料!$B386=""),0,IF(OR(N(对接源_02物料!$B386)&lt;$K$2,N(对接源_02物料!$B386)&gt;$K$3),0,1))</f>
        <v>0</v>
      </c>
      <c r="L1586" s="3">
        <f>IF(OR($L$1="",对接源_02物料!$C386="",对接源_02物料!$C386&lt;&gt;$L$1,对接源_02物料!$B386=""),0,IF(OR(N(对接源_02物料!$B386)&lt;$L$2,N(对接源_02物料!$B386)&gt;$L$3),0,1))</f>
        <v>0</v>
      </c>
      <c r="M1586" s="3">
        <f>IF(OR($M$1="",对接源_02物料!$C386="",对接源_02物料!$C386&lt;&gt;$M$1,对接源_02物料!$B386=""),0,IF(OR(N(对接源_02物料!$B386)&lt;$M$2,N(对接源_02物料!$B386)&gt;$M$3),0,1))</f>
        <v>0</v>
      </c>
      <c r="N1586" s="3">
        <f>IF(OR($N$1="",对接源_02物料!$C386="",对接源_02物料!$C386&lt;&gt;$N$1,对接源_02物料!$B386=""),0,IF(OR(N(对接源_02物料!$B386)&lt;$N$2,N(对接源_02物料!$B386)&gt;$N$3),0,1))</f>
        <v>0</v>
      </c>
      <c r="P1586" s="3">
        <f>IF(AND($K1586=1,AND(对接源_02物料!$X386="公司筐",N(对接源_02物料!$T386)&lt;&gt;0)),1,0)</f>
        <v>0</v>
      </c>
      <c r="Q1586" s="3">
        <f t="shared" si="420"/>
        <v>8</v>
      </c>
      <c r="R1586" s="3">
        <f>IF(AND($K1586=1,AND(对接源_02物料!$X386="公司筐",N(对接源_02物料!$U386)&lt;&gt;0)),1,0)</f>
        <v>0</v>
      </c>
      <c r="S1586" s="3">
        <f t="shared" si="421"/>
        <v>0</v>
      </c>
      <c r="T1586" s="3">
        <f>IF(AND($K1586=1,AND(对接源_02物料!$X386="公司筐",N(对接源_02物料!$V386)&lt;&gt;0)),1,0)</f>
        <v>0</v>
      </c>
      <c r="U1586" s="3">
        <f t="shared" si="422"/>
        <v>19</v>
      </c>
      <c r="V1586" s="3">
        <f>IF(AND($L1586=1,AND(对接源_02物料!$X386="自备筐",N(对接源_02物料!$V386)&lt;&gt;0)),1,0)</f>
        <v>0</v>
      </c>
      <c r="W1586" s="3">
        <f t="shared" si="423"/>
        <v>8</v>
      </c>
      <c r="X1586" s="3">
        <f>IF(AND($L1586=1,AND(对接源_02物料!$X386="自备筐",N(对接源_02物料!$T386)&lt;&gt;0)),1,0)</f>
        <v>0</v>
      </c>
      <c r="Y1586" s="3">
        <f t="shared" si="424"/>
        <v>0</v>
      </c>
      <c r="Z1586" s="3">
        <f>IF(AND($M1586=1,对接源_02物料!$D386="原料入库"),1,0)</f>
        <v>0</v>
      </c>
      <c r="AA1586" s="3">
        <f t="shared" si="425"/>
        <v>24</v>
      </c>
      <c r="AB1586" s="3">
        <f>IF(AND($M1586=1,LEFT(对接源_02物料!$D386,4)="原料出库"),1,0)</f>
        <v>0</v>
      </c>
      <c r="AC1586" s="3">
        <f t="shared" si="426"/>
        <v>0</v>
      </c>
      <c r="AD1586" s="3">
        <f>IF(AND($M1586=1,LEFT(对接源_02物料!$D386,4)="成品出库"),1,0)</f>
        <v>0</v>
      </c>
      <c r="AE1586" s="3">
        <f t="shared" si="427"/>
        <v>0</v>
      </c>
      <c r="AF1586" s="3">
        <f>IF(AND($N1586=1,AND(LEFT(对接源_02物料!$D386,4)="包装物料",N(对接源_02物料!$K386)&lt;&gt;0)),1,0)</f>
        <v>0</v>
      </c>
      <c r="AG1586" s="3">
        <f t="shared" si="428"/>
        <v>5</v>
      </c>
      <c r="AH1586" s="3">
        <f>IF(AND($N1586=1,AND(对接源_02物料!$D386="周转筐－销售出库",N(对接源_02物料!$K386)&lt;&gt;0)),1,0)</f>
        <v>0</v>
      </c>
      <c r="AI1586" s="3">
        <f t="shared" si="429"/>
        <v>0</v>
      </c>
      <c r="AL1586" s="3">
        <v>0</v>
      </c>
      <c r="AM1586" s="3">
        <f t="shared" si="430"/>
        <v>1</v>
      </c>
      <c r="AN1586" s="3" t="str">
        <f t="shared" si="417"/>
        <v/>
      </c>
      <c r="AO1586" s="3">
        <v>0</v>
      </c>
      <c r="AP1586" s="3">
        <f t="shared" si="431"/>
        <v>8</v>
      </c>
      <c r="AR1586">
        <f t="shared" si="432"/>
        <v>0</v>
      </c>
      <c r="AS1586">
        <f t="shared" si="433"/>
        <v>5</v>
      </c>
    </row>
    <row r="1587" customHeight="1" spans="1:45">
      <c r="A1587" s="3" t="str">
        <f>IF(对接源_02物料!$C387="","",对接源_02物料!$C387)</f>
        <v/>
      </c>
      <c r="B1587" s="3">
        <f t="shared" si="418"/>
        <v>0</v>
      </c>
      <c r="C1587" s="3">
        <f t="shared" si="419"/>
        <v>21</v>
      </c>
      <c r="K1587" s="3">
        <f>IF(OR($K$1="",对接源_02物料!$C387="",对接源_02物料!$C387&lt;&gt;$K$1,对接源_02物料!$B387=""),0,IF(OR(N(对接源_02物料!$B387)&lt;$K$2,N(对接源_02物料!$B387)&gt;$K$3),0,1))</f>
        <v>0</v>
      </c>
      <c r="L1587" s="3">
        <f>IF(OR($L$1="",对接源_02物料!$C387="",对接源_02物料!$C387&lt;&gt;$L$1,对接源_02物料!$B387=""),0,IF(OR(N(对接源_02物料!$B387)&lt;$L$2,N(对接源_02物料!$B387)&gt;$L$3),0,1))</f>
        <v>0</v>
      </c>
      <c r="M1587" s="3">
        <f>IF(OR($M$1="",对接源_02物料!$C387="",对接源_02物料!$C387&lt;&gt;$M$1,对接源_02物料!$B387=""),0,IF(OR(N(对接源_02物料!$B387)&lt;$M$2,N(对接源_02物料!$B387)&gt;$M$3),0,1))</f>
        <v>0</v>
      </c>
      <c r="N1587" s="3">
        <f>IF(OR($N$1="",对接源_02物料!$C387="",对接源_02物料!$C387&lt;&gt;$N$1,对接源_02物料!$B387=""),0,IF(OR(N(对接源_02物料!$B387)&lt;$N$2,N(对接源_02物料!$B387)&gt;$N$3),0,1))</f>
        <v>0</v>
      </c>
      <c r="P1587" s="3">
        <f>IF(AND($K1587=1,AND(对接源_02物料!$X387="公司筐",N(对接源_02物料!$T387)&lt;&gt;0)),1,0)</f>
        <v>0</v>
      </c>
      <c r="Q1587" s="3">
        <f t="shared" si="420"/>
        <v>8</v>
      </c>
      <c r="R1587" s="3">
        <f>IF(AND($K1587=1,AND(对接源_02物料!$X387="公司筐",N(对接源_02物料!$U387)&lt;&gt;0)),1,0)</f>
        <v>0</v>
      </c>
      <c r="S1587" s="3">
        <f t="shared" si="421"/>
        <v>0</v>
      </c>
      <c r="T1587" s="3">
        <f>IF(AND($K1587=1,AND(对接源_02物料!$X387="公司筐",N(对接源_02物料!$V387)&lt;&gt;0)),1,0)</f>
        <v>0</v>
      </c>
      <c r="U1587" s="3">
        <f t="shared" si="422"/>
        <v>19</v>
      </c>
      <c r="V1587" s="3">
        <f>IF(AND($L1587=1,AND(对接源_02物料!$X387="自备筐",N(对接源_02物料!$V387)&lt;&gt;0)),1,0)</f>
        <v>0</v>
      </c>
      <c r="W1587" s="3">
        <f t="shared" si="423"/>
        <v>8</v>
      </c>
      <c r="X1587" s="3">
        <f>IF(AND($L1587=1,AND(对接源_02物料!$X387="自备筐",N(对接源_02物料!$T387)&lt;&gt;0)),1,0)</f>
        <v>0</v>
      </c>
      <c r="Y1587" s="3">
        <f t="shared" si="424"/>
        <v>0</v>
      </c>
      <c r="Z1587" s="3">
        <f>IF(AND($M1587=1,对接源_02物料!$D387="原料入库"),1,0)</f>
        <v>0</v>
      </c>
      <c r="AA1587" s="3">
        <f t="shared" si="425"/>
        <v>24</v>
      </c>
      <c r="AB1587" s="3">
        <f>IF(AND($M1587=1,LEFT(对接源_02物料!$D387,4)="原料出库"),1,0)</f>
        <v>0</v>
      </c>
      <c r="AC1587" s="3">
        <f t="shared" si="426"/>
        <v>0</v>
      </c>
      <c r="AD1587" s="3">
        <f>IF(AND($M1587=1,LEFT(对接源_02物料!$D387,4)="成品出库"),1,0)</f>
        <v>0</v>
      </c>
      <c r="AE1587" s="3">
        <f t="shared" si="427"/>
        <v>0</v>
      </c>
      <c r="AF1587" s="3">
        <f>IF(AND($N1587=1,AND(LEFT(对接源_02物料!$D387,4)="包装物料",N(对接源_02物料!$K387)&lt;&gt;0)),1,0)</f>
        <v>0</v>
      </c>
      <c r="AG1587" s="3">
        <f t="shared" si="428"/>
        <v>5</v>
      </c>
      <c r="AH1587" s="3">
        <f>IF(AND($N1587=1,AND(对接源_02物料!$D387="周转筐－销售出库",N(对接源_02物料!$K387)&lt;&gt;0)),1,0)</f>
        <v>0</v>
      </c>
      <c r="AI1587" s="3">
        <f t="shared" si="429"/>
        <v>0</v>
      </c>
      <c r="AL1587" s="3">
        <v>0</v>
      </c>
      <c r="AM1587" s="3">
        <f t="shared" si="430"/>
        <v>1</v>
      </c>
      <c r="AN1587" s="3" t="str">
        <f t="shared" si="417"/>
        <v/>
      </c>
      <c r="AO1587" s="3">
        <v>0</v>
      </c>
      <c r="AP1587" s="3">
        <f t="shared" si="431"/>
        <v>8</v>
      </c>
      <c r="AR1587">
        <f t="shared" si="432"/>
        <v>0</v>
      </c>
      <c r="AS1587">
        <f t="shared" si="433"/>
        <v>5</v>
      </c>
    </row>
    <row r="1588" customHeight="1" spans="1:45">
      <c r="A1588" s="3" t="str">
        <f>IF(对接源_02物料!$C388="","",对接源_02物料!$C388)</f>
        <v/>
      </c>
      <c r="B1588" s="3">
        <f t="shared" si="418"/>
        <v>0</v>
      </c>
      <c r="C1588" s="3">
        <f t="shared" si="419"/>
        <v>21</v>
      </c>
      <c r="K1588" s="3">
        <f>IF(OR($K$1="",对接源_02物料!$C388="",对接源_02物料!$C388&lt;&gt;$K$1,对接源_02物料!$B388=""),0,IF(OR(N(对接源_02物料!$B388)&lt;$K$2,N(对接源_02物料!$B388)&gt;$K$3),0,1))</f>
        <v>0</v>
      </c>
      <c r="L1588" s="3">
        <f>IF(OR($L$1="",对接源_02物料!$C388="",对接源_02物料!$C388&lt;&gt;$L$1,对接源_02物料!$B388=""),0,IF(OR(N(对接源_02物料!$B388)&lt;$L$2,N(对接源_02物料!$B388)&gt;$L$3),0,1))</f>
        <v>0</v>
      </c>
      <c r="M1588" s="3">
        <f>IF(OR($M$1="",对接源_02物料!$C388="",对接源_02物料!$C388&lt;&gt;$M$1,对接源_02物料!$B388=""),0,IF(OR(N(对接源_02物料!$B388)&lt;$M$2,N(对接源_02物料!$B388)&gt;$M$3),0,1))</f>
        <v>0</v>
      </c>
      <c r="N1588" s="3">
        <f>IF(OR($N$1="",对接源_02物料!$C388="",对接源_02物料!$C388&lt;&gt;$N$1,对接源_02物料!$B388=""),0,IF(OR(N(对接源_02物料!$B388)&lt;$N$2,N(对接源_02物料!$B388)&gt;$N$3),0,1))</f>
        <v>0</v>
      </c>
      <c r="P1588" s="3">
        <f>IF(AND($K1588=1,AND(对接源_02物料!$X388="公司筐",N(对接源_02物料!$T388)&lt;&gt;0)),1,0)</f>
        <v>0</v>
      </c>
      <c r="Q1588" s="3">
        <f t="shared" si="420"/>
        <v>8</v>
      </c>
      <c r="R1588" s="3">
        <f>IF(AND($K1588=1,AND(对接源_02物料!$X388="公司筐",N(对接源_02物料!$U388)&lt;&gt;0)),1,0)</f>
        <v>0</v>
      </c>
      <c r="S1588" s="3">
        <f t="shared" si="421"/>
        <v>0</v>
      </c>
      <c r="T1588" s="3">
        <f>IF(AND($K1588=1,AND(对接源_02物料!$X388="公司筐",N(对接源_02物料!$V388)&lt;&gt;0)),1,0)</f>
        <v>0</v>
      </c>
      <c r="U1588" s="3">
        <f t="shared" si="422"/>
        <v>19</v>
      </c>
      <c r="V1588" s="3">
        <f>IF(AND($L1588=1,AND(对接源_02物料!$X388="自备筐",N(对接源_02物料!$V388)&lt;&gt;0)),1,0)</f>
        <v>0</v>
      </c>
      <c r="W1588" s="3">
        <f t="shared" si="423"/>
        <v>8</v>
      </c>
      <c r="X1588" s="3">
        <f>IF(AND($L1588=1,AND(对接源_02物料!$X388="自备筐",N(对接源_02物料!$T388)&lt;&gt;0)),1,0)</f>
        <v>0</v>
      </c>
      <c r="Y1588" s="3">
        <f t="shared" si="424"/>
        <v>0</v>
      </c>
      <c r="Z1588" s="3">
        <f>IF(AND($M1588=1,对接源_02物料!$D388="原料入库"),1,0)</f>
        <v>0</v>
      </c>
      <c r="AA1588" s="3">
        <f t="shared" si="425"/>
        <v>24</v>
      </c>
      <c r="AB1588" s="3">
        <f>IF(AND($M1588=1,LEFT(对接源_02物料!$D388,4)="原料出库"),1,0)</f>
        <v>0</v>
      </c>
      <c r="AC1588" s="3">
        <f t="shared" si="426"/>
        <v>0</v>
      </c>
      <c r="AD1588" s="3">
        <f>IF(AND($M1588=1,LEFT(对接源_02物料!$D388,4)="成品出库"),1,0)</f>
        <v>0</v>
      </c>
      <c r="AE1588" s="3">
        <f t="shared" si="427"/>
        <v>0</v>
      </c>
      <c r="AF1588" s="3">
        <f>IF(AND($N1588=1,AND(LEFT(对接源_02物料!$D388,4)="包装物料",N(对接源_02物料!$K388)&lt;&gt;0)),1,0)</f>
        <v>0</v>
      </c>
      <c r="AG1588" s="3">
        <f t="shared" si="428"/>
        <v>5</v>
      </c>
      <c r="AH1588" s="3">
        <f>IF(AND($N1588=1,AND(对接源_02物料!$D388="周转筐－销售出库",N(对接源_02物料!$K388)&lt;&gt;0)),1,0)</f>
        <v>0</v>
      </c>
      <c r="AI1588" s="3">
        <f t="shared" si="429"/>
        <v>0</v>
      </c>
      <c r="AL1588" s="3">
        <v>0</v>
      </c>
      <c r="AM1588" s="3">
        <f t="shared" si="430"/>
        <v>1</v>
      </c>
      <c r="AN1588" s="3" t="str">
        <f t="shared" ref="AN1588:AN1651" si="434">""</f>
        <v/>
      </c>
      <c r="AO1588" s="3">
        <v>0</v>
      </c>
      <c r="AP1588" s="3">
        <f t="shared" si="431"/>
        <v>8</v>
      </c>
      <c r="AR1588">
        <f t="shared" si="432"/>
        <v>0</v>
      </c>
      <c r="AS1588">
        <f t="shared" si="433"/>
        <v>5</v>
      </c>
    </row>
    <row r="1589" customHeight="1" spans="1:45">
      <c r="A1589" s="3" t="str">
        <f>IF(对接源_02物料!$C389="","",对接源_02物料!$C389)</f>
        <v/>
      </c>
      <c r="B1589" s="3">
        <f t="shared" si="418"/>
        <v>0</v>
      </c>
      <c r="C1589" s="3">
        <f t="shared" si="419"/>
        <v>21</v>
      </c>
      <c r="K1589" s="3">
        <f>IF(OR($K$1="",对接源_02物料!$C389="",对接源_02物料!$C389&lt;&gt;$K$1,对接源_02物料!$B389=""),0,IF(OR(N(对接源_02物料!$B389)&lt;$K$2,N(对接源_02物料!$B389)&gt;$K$3),0,1))</f>
        <v>0</v>
      </c>
      <c r="L1589" s="3">
        <f>IF(OR($L$1="",对接源_02物料!$C389="",对接源_02物料!$C389&lt;&gt;$L$1,对接源_02物料!$B389=""),0,IF(OR(N(对接源_02物料!$B389)&lt;$L$2,N(对接源_02物料!$B389)&gt;$L$3),0,1))</f>
        <v>0</v>
      </c>
      <c r="M1589" s="3">
        <f>IF(OR($M$1="",对接源_02物料!$C389="",对接源_02物料!$C389&lt;&gt;$M$1,对接源_02物料!$B389=""),0,IF(OR(N(对接源_02物料!$B389)&lt;$M$2,N(对接源_02物料!$B389)&gt;$M$3),0,1))</f>
        <v>0</v>
      </c>
      <c r="N1589" s="3">
        <f>IF(OR($N$1="",对接源_02物料!$C389="",对接源_02物料!$C389&lt;&gt;$N$1,对接源_02物料!$B389=""),0,IF(OR(N(对接源_02物料!$B389)&lt;$N$2,N(对接源_02物料!$B389)&gt;$N$3),0,1))</f>
        <v>0</v>
      </c>
      <c r="P1589" s="3">
        <f>IF(AND($K1589=1,AND(对接源_02物料!$X389="公司筐",N(对接源_02物料!$T389)&lt;&gt;0)),1,0)</f>
        <v>0</v>
      </c>
      <c r="Q1589" s="3">
        <f t="shared" si="420"/>
        <v>8</v>
      </c>
      <c r="R1589" s="3">
        <f>IF(AND($K1589=1,AND(对接源_02物料!$X389="公司筐",N(对接源_02物料!$U389)&lt;&gt;0)),1,0)</f>
        <v>0</v>
      </c>
      <c r="S1589" s="3">
        <f t="shared" si="421"/>
        <v>0</v>
      </c>
      <c r="T1589" s="3">
        <f>IF(AND($K1589=1,AND(对接源_02物料!$X389="公司筐",N(对接源_02物料!$V389)&lt;&gt;0)),1,0)</f>
        <v>0</v>
      </c>
      <c r="U1589" s="3">
        <f t="shared" si="422"/>
        <v>19</v>
      </c>
      <c r="V1589" s="3">
        <f>IF(AND($L1589=1,AND(对接源_02物料!$X389="自备筐",N(对接源_02物料!$V389)&lt;&gt;0)),1,0)</f>
        <v>0</v>
      </c>
      <c r="W1589" s="3">
        <f t="shared" si="423"/>
        <v>8</v>
      </c>
      <c r="X1589" s="3">
        <f>IF(AND($L1589=1,AND(对接源_02物料!$X389="自备筐",N(对接源_02物料!$T389)&lt;&gt;0)),1,0)</f>
        <v>0</v>
      </c>
      <c r="Y1589" s="3">
        <f t="shared" si="424"/>
        <v>0</v>
      </c>
      <c r="Z1589" s="3">
        <f>IF(AND($M1589=1,对接源_02物料!$D389="原料入库"),1,0)</f>
        <v>0</v>
      </c>
      <c r="AA1589" s="3">
        <f t="shared" si="425"/>
        <v>24</v>
      </c>
      <c r="AB1589" s="3">
        <f>IF(AND($M1589=1,LEFT(对接源_02物料!$D389,4)="原料出库"),1,0)</f>
        <v>0</v>
      </c>
      <c r="AC1589" s="3">
        <f t="shared" si="426"/>
        <v>0</v>
      </c>
      <c r="AD1589" s="3">
        <f>IF(AND($M1589=1,LEFT(对接源_02物料!$D389,4)="成品出库"),1,0)</f>
        <v>0</v>
      </c>
      <c r="AE1589" s="3">
        <f t="shared" si="427"/>
        <v>0</v>
      </c>
      <c r="AF1589" s="3">
        <f>IF(AND($N1589=1,AND(LEFT(对接源_02物料!$D389,4)="包装物料",N(对接源_02物料!$K389)&lt;&gt;0)),1,0)</f>
        <v>0</v>
      </c>
      <c r="AG1589" s="3">
        <f t="shared" si="428"/>
        <v>5</v>
      </c>
      <c r="AH1589" s="3">
        <f>IF(AND($N1589=1,AND(对接源_02物料!$D389="周转筐－销售出库",N(对接源_02物料!$K389)&lt;&gt;0)),1,0)</f>
        <v>0</v>
      </c>
      <c r="AI1589" s="3">
        <f t="shared" si="429"/>
        <v>0</v>
      </c>
      <c r="AL1589" s="3">
        <v>0</v>
      </c>
      <c r="AM1589" s="3">
        <f t="shared" si="430"/>
        <v>1</v>
      </c>
      <c r="AN1589" s="3" t="str">
        <f t="shared" si="434"/>
        <v/>
      </c>
      <c r="AO1589" s="3">
        <v>0</v>
      </c>
      <c r="AP1589" s="3">
        <f t="shared" si="431"/>
        <v>8</v>
      </c>
      <c r="AR1589">
        <f t="shared" si="432"/>
        <v>0</v>
      </c>
      <c r="AS1589">
        <f t="shared" si="433"/>
        <v>5</v>
      </c>
    </row>
    <row r="1590" customHeight="1" spans="1:45">
      <c r="A1590" s="3" t="str">
        <f>IF(对接源_02物料!$C390="","",对接源_02物料!$C390)</f>
        <v/>
      </c>
      <c r="B1590" s="3">
        <f t="shared" si="418"/>
        <v>0</v>
      </c>
      <c r="C1590" s="3">
        <f t="shared" si="419"/>
        <v>21</v>
      </c>
      <c r="K1590" s="3">
        <f>IF(OR($K$1="",对接源_02物料!$C390="",对接源_02物料!$C390&lt;&gt;$K$1,对接源_02物料!$B390=""),0,IF(OR(N(对接源_02物料!$B390)&lt;$K$2,N(对接源_02物料!$B390)&gt;$K$3),0,1))</f>
        <v>0</v>
      </c>
      <c r="L1590" s="3">
        <f>IF(OR($L$1="",对接源_02物料!$C390="",对接源_02物料!$C390&lt;&gt;$L$1,对接源_02物料!$B390=""),0,IF(OR(N(对接源_02物料!$B390)&lt;$L$2,N(对接源_02物料!$B390)&gt;$L$3),0,1))</f>
        <v>0</v>
      </c>
      <c r="M1590" s="3">
        <f>IF(OR($M$1="",对接源_02物料!$C390="",对接源_02物料!$C390&lt;&gt;$M$1,对接源_02物料!$B390=""),0,IF(OR(N(对接源_02物料!$B390)&lt;$M$2,N(对接源_02物料!$B390)&gt;$M$3),0,1))</f>
        <v>0</v>
      </c>
      <c r="N1590" s="3">
        <f>IF(OR($N$1="",对接源_02物料!$C390="",对接源_02物料!$C390&lt;&gt;$N$1,对接源_02物料!$B390=""),0,IF(OR(N(对接源_02物料!$B390)&lt;$N$2,N(对接源_02物料!$B390)&gt;$N$3),0,1))</f>
        <v>0</v>
      </c>
      <c r="P1590" s="3">
        <f>IF(AND($K1590=1,AND(对接源_02物料!$X390="公司筐",N(对接源_02物料!$T390)&lt;&gt;0)),1,0)</f>
        <v>0</v>
      </c>
      <c r="Q1590" s="3">
        <f t="shared" si="420"/>
        <v>8</v>
      </c>
      <c r="R1590" s="3">
        <f>IF(AND($K1590=1,AND(对接源_02物料!$X390="公司筐",N(对接源_02物料!$U390)&lt;&gt;0)),1,0)</f>
        <v>0</v>
      </c>
      <c r="S1590" s="3">
        <f t="shared" si="421"/>
        <v>0</v>
      </c>
      <c r="T1590" s="3">
        <f>IF(AND($K1590=1,AND(对接源_02物料!$X390="公司筐",N(对接源_02物料!$V390)&lt;&gt;0)),1,0)</f>
        <v>0</v>
      </c>
      <c r="U1590" s="3">
        <f t="shared" si="422"/>
        <v>19</v>
      </c>
      <c r="V1590" s="3">
        <f>IF(AND($L1590=1,AND(对接源_02物料!$X390="自备筐",N(对接源_02物料!$V390)&lt;&gt;0)),1,0)</f>
        <v>0</v>
      </c>
      <c r="W1590" s="3">
        <f t="shared" si="423"/>
        <v>8</v>
      </c>
      <c r="X1590" s="3">
        <f>IF(AND($L1590=1,AND(对接源_02物料!$X390="自备筐",N(对接源_02物料!$T390)&lt;&gt;0)),1,0)</f>
        <v>0</v>
      </c>
      <c r="Y1590" s="3">
        <f t="shared" si="424"/>
        <v>0</v>
      </c>
      <c r="Z1590" s="3">
        <f>IF(AND($M1590=1,对接源_02物料!$D390="原料入库"),1,0)</f>
        <v>0</v>
      </c>
      <c r="AA1590" s="3">
        <f t="shared" si="425"/>
        <v>24</v>
      </c>
      <c r="AB1590" s="3">
        <f>IF(AND($M1590=1,LEFT(对接源_02物料!$D390,4)="原料出库"),1,0)</f>
        <v>0</v>
      </c>
      <c r="AC1590" s="3">
        <f t="shared" si="426"/>
        <v>0</v>
      </c>
      <c r="AD1590" s="3">
        <f>IF(AND($M1590=1,LEFT(对接源_02物料!$D390,4)="成品出库"),1,0)</f>
        <v>0</v>
      </c>
      <c r="AE1590" s="3">
        <f t="shared" si="427"/>
        <v>0</v>
      </c>
      <c r="AF1590" s="3">
        <f>IF(AND($N1590=1,AND(LEFT(对接源_02物料!$D390,4)="包装物料",N(对接源_02物料!$K390)&lt;&gt;0)),1,0)</f>
        <v>0</v>
      </c>
      <c r="AG1590" s="3">
        <f t="shared" si="428"/>
        <v>5</v>
      </c>
      <c r="AH1590" s="3">
        <f>IF(AND($N1590=1,AND(对接源_02物料!$D390="周转筐－销售出库",N(对接源_02物料!$K390)&lt;&gt;0)),1,0)</f>
        <v>0</v>
      </c>
      <c r="AI1590" s="3">
        <f t="shared" si="429"/>
        <v>0</v>
      </c>
      <c r="AL1590" s="3">
        <v>0</v>
      </c>
      <c r="AM1590" s="3">
        <f t="shared" si="430"/>
        <v>1</v>
      </c>
      <c r="AN1590" s="3" t="str">
        <f t="shared" si="434"/>
        <v/>
      </c>
      <c r="AO1590" s="3">
        <v>0</v>
      </c>
      <c r="AP1590" s="3">
        <f t="shared" si="431"/>
        <v>8</v>
      </c>
      <c r="AR1590">
        <f t="shared" si="432"/>
        <v>0</v>
      </c>
      <c r="AS1590">
        <f t="shared" si="433"/>
        <v>5</v>
      </c>
    </row>
    <row r="1591" customHeight="1" spans="1:45">
      <c r="A1591" s="3" t="str">
        <f>IF(对接源_02物料!$C391="","",对接源_02物料!$C391)</f>
        <v/>
      </c>
      <c r="B1591" s="3">
        <f t="shared" si="418"/>
        <v>0</v>
      </c>
      <c r="C1591" s="3">
        <f t="shared" si="419"/>
        <v>21</v>
      </c>
      <c r="K1591" s="3">
        <f>IF(OR($K$1="",对接源_02物料!$C391="",对接源_02物料!$C391&lt;&gt;$K$1,对接源_02物料!$B391=""),0,IF(OR(N(对接源_02物料!$B391)&lt;$K$2,N(对接源_02物料!$B391)&gt;$K$3),0,1))</f>
        <v>0</v>
      </c>
      <c r="L1591" s="3">
        <f>IF(OR($L$1="",对接源_02物料!$C391="",对接源_02物料!$C391&lt;&gt;$L$1,对接源_02物料!$B391=""),0,IF(OR(N(对接源_02物料!$B391)&lt;$L$2,N(对接源_02物料!$B391)&gt;$L$3),0,1))</f>
        <v>0</v>
      </c>
      <c r="M1591" s="3">
        <f>IF(OR($M$1="",对接源_02物料!$C391="",对接源_02物料!$C391&lt;&gt;$M$1,对接源_02物料!$B391=""),0,IF(OR(N(对接源_02物料!$B391)&lt;$M$2,N(对接源_02物料!$B391)&gt;$M$3),0,1))</f>
        <v>0</v>
      </c>
      <c r="N1591" s="3">
        <f>IF(OR($N$1="",对接源_02物料!$C391="",对接源_02物料!$C391&lt;&gt;$N$1,对接源_02物料!$B391=""),0,IF(OR(N(对接源_02物料!$B391)&lt;$N$2,N(对接源_02物料!$B391)&gt;$N$3),0,1))</f>
        <v>0</v>
      </c>
      <c r="P1591" s="3">
        <f>IF(AND($K1591=1,AND(对接源_02物料!$X391="公司筐",N(对接源_02物料!$T391)&lt;&gt;0)),1,0)</f>
        <v>0</v>
      </c>
      <c r="Q1591" s="3">
        <f t="shared" si="420"/>
        <v>8</v>
      </c>
      <c r="R1591" s="3">
        <f>IF(AND($K1591=1,AND(对接源_02物料!$X391="公司筐",N(对接源_02物料!$U391)&lt;&gt;0)),1,0)</f>
        <v>0</v>
      </c>
      <c r="S1591" s="3">
        <f t="shared" si="421"/>
        <v>0</v>
      </c>
      <c r="T1591" s="3">
        <f>IF(AND($K1591=1,AND(对接源_02物料!$X391="公司筐",N(对接源_02物料!$V391)&lt;&gt;0)),1,0)</f>
        <v>0</v>
      </c>
      <c r="U1591" s="3">
        <f t="shared" si="422"/>
        <v>19</v>
      </c>
      <c r="V1591" s="3">
        <f>IF(AND($L1591=1,AND(对接源_02物料!$X391="自备筐",N(对接源_02物料!$V391)&lt;&gt;0)),1,0)</f>
        <v>0</v>
      </c>
      <c r="W1591" s="3">
        <f t="shared" si="423"/>
        <v>8</v>
      </c>
      <c r="X1591" s="3">
        <f>IF(AND($L1591=1,AND(对接源_02物料!$X391="自备筐",N(对接源_02物料!$T391)&lt;&gt;0)),1,0)</f>
        <v>0</v>
      </c>
      <c r="Y1591" s="3">
        <f t="shared" si="424"/>
        <v>0</v>
      </c>
      <c r="Z1591" s="3">
        <f>IF(AND($M1591=1,对接源_02物料!$D391="原料入库"),1,0)</f>
        <v>0</v>
      </c>
      <c r="AA1591" s="3">
        <f t="shared" si="425"/>
        <v>24</v>
      </c>
      <c r="AB1591" s="3">
        <f>IF(AND($M1591=1,LEFT(对接源_02物料!$D391,4)="原料出库"),1,0)</f>
        <v>0</v>
      </c>
      <c r="AC1591" s="3">
        <f t="shared" si="426"/>
        <v>0</v>
      </c>
      <c r="AD1591" s="3">
        <f>IF(AND($M1591=1,LEFT(对接源_02物料!$D391,4)="成品出库"),1,0)</f>
        <v>0</v>
      </c>
      <c r="AE1591" s="3">
        <f t="shared" si="427"/>
        <v>0</v>
      </c>
      <c r="AF1591" s="3">
        <f>IF(AND($N1591=1,AND(LEFT(对接源_02物料!$D391,4)="包装物料",N(对接源_02物料!$K391)&lt;&gt;0)),1,0)</f>
        <v>0</v>
      </c>
      <c r="AG1591" s="3">
        <f t="shared" si="428"/>
        <v>5</v>
      </c>
      <c r="AH1591" s="3">
        <f>IF(AND($N1591=1,AND(对接源_02物料!$D391="周转筐－销售出库",N(对接源_02物料!$K391)&lt;&gt;0)),1,0)</f>
        <v>0</v>
      </c>
      <c r="AI1591" s="3">
        <f t="shared" si="429"/>
        <v>0</v>
      </c>
      <c r="AL1591" s="3">
        <v>0</v>
      </c>
      <c r="AM1591" s="3">
        <f t="shared" si="430"/>
        <v>1</v>
      </c>
      <c r="AN1591" s="3" t="str">
        <f t="shared" si="434"/>
        <v/>
      </c>
      <c r="AO1591" s="3">
        <v>0</v>
      </c>
      <c r="AP1591" s="3">
        <f t="shared" si="431"/>
        <v>8</v>
      </c>
      <c r="AR1591">
        <f t="shared" si="432"/>
        <v>0</v>
      </c>
      <c r="AS1591">
        <f t="shared" si="433"/>
        <v>5</v>
      </c>
    </row>
    <row r="1592" customHeight="1" spans="1:45">
      <c r="A1592" s="3" t="str">
        <f>IF(对接源_02物料!$C392="","",对接源_02物料!$C392)</f>
        <v/>
      </c>
      <c r="B1592" s="3">
        <f t="shared" si="418"/>
        <v>0</v>
      </c>
      <c r="C1592" s="3">
        <f t="shared" si="419"/>
        <v>21</v>
      </c>
      <c r="K1592" s="3">
        <f>IF(OR($K$1="",对接源_02物料!$C392="",对接源_02物料!$C392&lt;&gt;$K$1,对接源_02物料!$B392=""),0,IF(OR(N(对接源_02物料!$B392)&lt;$K$2,N(对接源_02物料!$B392)&gt;$K$3),0,1))</f>
        <v>0</v>
      </c>
      <c r="L1592" s="3">
        <f>IF(OR($L$1="",对接源_02物料!$C392="",对接源_02物料!$C392&lt;&gt;$L$1,对接源_02物料!$B392=""),0,IF(OR(N(对接源_02物料!$B392)&lt;$L$2,N(对接源_02物料!$B392)&gt;$L$3),0,1))</f>
        <v>0</v>
      </c>
      <c r="M1592" s="3">
        <f>IF(OR($M$1="",对接源_02物料!$C392="",对接源_02物料!$C392&lt;&gt;$M$1,对接源_02物料!$B392=""),0,IF(OR(N(对接源_02物料!$B392)&lt;$M$2,N(对接源_02物料!$B392)&gt;$M$3),0,1))</f>
        <v>0</v>
      </c>
      <c r="N1592" s="3">
        <f>IF(OR($N$1="",对接源_02物料!$C392="",对接源_02物料!$C392&lt;&gt;$N$1,对接源_02物料!$B392=""),0,IF(OR(N(对接源_02物料!$B392)&lt;$N$2,N(对接源_02物料!$B392)&gt;$N$3),0,1))</f>
        <v>0</v>
      </c>
      <c r="P1592" s="3">
        <f>IF(AND($K1592=1,AND(对接源_02物料!$X392="公司筐",N(对接源_02物料!$T392)&lt;&gt;0)),1,0)</f>
        <v>0</v>
      </c>
      <c r="Q1592" s="3">
        <f t="shared" si="420"/>
        <v>8</v>
      </c>
      <c r="R1592" s="3">
        <f>IF(AND($K1592=1,AND(对接源_02物料!$X392="公司筐",N(对接源_02物料!$U392)&lt;&gt;0)),1,0)</f>
        <v>0</v>
      </c>
      <c r="S1592" s="3">
        <f t="shared" si="421"/>
        <v>0</v>
      </c>
      <c r="T1592" s="3">
        <f>IF(AND($K1592=1,AND(对接源_02物料!$X392="公司筐",N(对接源_02物料!$V392)&lt;&gt;0)),1,0)</f>
        <v>0</v>
      </c>
      <c r="U1592" s="3">
        <f t="shared" si="422"/>
        <v>19</v>
      </c>
      <c r="V1592" s="3">
        <f>IF(AND($L1592=1,AND(对接源_02物料!$X392="自备筐",N(对接源_02物料!$V392)&lt;&gt;0)),1,0)</f>
        <v>0</v>
      </c>
      <c r="W1592" s="3">
        <f t="shared" si="423"/>
        <v>8</v>
      </c>
      <c r="X1592" s="3">
        <f>IF(AND($L1592=1,AND(对接源_02物料!$X392="自备筐",N(对接源_02物料!$T392)&lt;&gt;0)),1,0)</f>
        <v>0</v>
      </c>
      <c r="Y1592" s="3">
        <f t="shared" si="424"/>
        <v>0</v>
      </c>
      <c r="Z1592" s="3">
        <f>IF(AND($M1592=1,对接源_02物料!$D392="原料入库"),1,0)</f>
        <v>0</v>
      </c>
      <c r="AA1592" s="3">
        <f t="shared" si="425"/>
        <v>24</v>
      </c>
      <c r="AB1592" s="3">
        <f>IF(AND($M1592=1,LEFT(对接源_02物料!$D392,4)="原料出库"),1,0)</f>
        <v>0</v>
      </c>
      <c r="AC1592" s="3">
        <f t="shared" si="426"/>
        <v>0</v>
      </c>
      <c r="AD1592" s="3">
        <f>IF(AND($M1592=1,LEFT(对接源_02物料!$D392,4)="成品出库"),1,0)</f>
        <v>0</v>
      </c>
      <c r="AE1592" s="3">
        <f t="shared" si="427"/>
        <v>0</v>
      </c>
      <c r="AF1592" s="3">
        <f>IF(AND($N1592=1,AND(LEFT(对接源_02物料!$D392,4)="包装物料",N(对接源_02物料!$K392)&lt;&gt;0)),1,0)</f>
        <v>0</v>
      </c>
      <c r="AG1592" s="3">
        <f t="shared" si="428"/>
        <v>5</v>
      </c>
      <c r="AH1592" s="3">
        <f>IF(AND($N1592=1,AND(对接源_02物料!$D392="周转筐－销售出库",N(对接源_02物料!$K392)&lt;&gt;0)),1,0)</f>
        <v>0</v>
      </c>
      <c r="AI1592" s="3">
        <f t="shared" si="429"/>
        <v>0</v>
      </c>
      <c r="AL1592" s="3">
        <v>0</v>
      </c>
      <c r="AM1592" s="3">
        <f t="shared" si="430"/>
        <v>1</v>
      </c>
      <c r="AN1592" s="3" t="str">
        <f t="shared" si="434"/>
        <v/>
      </c>
      <c r="AO1592" s="3">
        <v>0</v>
      </c>
      <c r="AP1592" s="3">
        <f t="shared" si="431"/>
        <v>8</v>
      </c>
      <c r="AR1592">
        <f t="shared" si="432"/>
        <v>0</v>
      </c>
      <c r="AS1592">
        <f t="shared" si="433"/>
        <v>5</v>
      </c>
    </row>
    <row r="1593" customHeight="1" spans="1:45">
      <c r="A1593" s="3" t="str">
        <f>IF(对接源_02物料!$C393="","",对接源_02物料!$C393)</f>
        <v/>
      </c>
      <c r="B1593" s="3">
        <f t="shared" si="418"/>
        <v>0</v>
      </c>
      <c r="C1593" s="3">
        <f t="shared" si="419"/>
        <v>21</v>
      </c>
      <c r="K1593" s="3">
        <f>IF(OR($K$1="",对接源_02物料!$C393="",对接源_02物料!$C393&lt;&gt;$K$1,对接源_02物料!$B393=""),0,IF(OR(N(对接源_02物料!$B393)&lt;$K$2,N(对接源_02物料!$B393)&gt;$K$3),0,1))</f>
        <v>0</v>
      </c>
      <c r="L1593" s="3">
        <f>IF(OR($L$1="",对接源_02物料!$C393="",对接源_02物料!$C393&lt;&gt;$L$1,对接源_02物料!$B393=""),0,IF(OR(N(对接源_02物料!$B393)&lt;$L$2,N(对接源_02物料!$B393)&gt;$L$3),0,1))</f>
        <v>0</v>
      </c>
      <c r="M1593" s="3">
        <f>IF(OR($M$1="",对接源_02物料!$C393="",对接源_02物料!$C393&lt;&gt;$M$1,对接源_02物料!$B393=""),0,IF(OR(N(对接源_02物料!$B393)&lt;$M$2,N(对接源_02物料!$B393)&gt;$M$3),0,1))</f>
        <v>0</v>
      </c>
      <c r="N1593" s="3">
        <f>IF(OR($N$1="",对接源_02物料!$C393="",对接源_02物料!$C393&lt;&gt;$N$1,对接源_02物料!$B393=""),0,IF(OR(N(对接源_02物料!$B393)&lt;$N$2,N(对接源_02物料!$B393)&gt;$N$3),0,1))</f>
        <v>0</v>
      </c>
      <c r="P1593" s="3">
        <f>IF(AND($K1593=1,AND(对接源_02物料!$X393="公司筐",N(对接源_02物料!$T393)&lt;&gt;0)),1,0)</f>
        <v>0</v>
      </c>
      <c r="Q1593" s="3">
        <f t="shared" si="420"/>
        <v>8</v>
      </c>
      <c r="R1593" s="3">
        <f>IF(AND($K1593=1,AND(对接源_02物料!$X393="公司筐",N(对接源_02物料!$U393)&lt;&gt;0)),1,0)</f>
        <v>0</v>
      </c>
      <c r="S1593" s="3">
        <f t="shared" si="421"/>
        <v>0</v>
      </c>
      <c r="T1593" s="3">
        <f>IF(AND($K1593=1,AND(对接源_02物料!$X393="公司筐",N(对接源_02物料!$V393)&lt;&gt;0)),1,0)</f>
        <v>0</v>
      </c>
      <c r="U1593" s="3">
        <f t="shared" si="422"/>
        <v>19</v>
      </c>
      <c r="V1593" s="3">
        <f>IF(AND($L1593=1,AND(对接源_02物料!$X393="自备筐",N(对接源_02物料!$V393)&lt;&gt;0)),1,0)</f>
        <v>0</v>
      </c>
      <c r="W1593" s="3">
        <f t="shared" si="423"/>
        <v>8</v>
      </c>
      <c r="X1593" s="3">
        <f>IF(AND($L1593=1,AND(对接源_02物料!$X393="自备筐",N(对接源_02物料!$T393)&lt;&gt;0)),1,0)</f>
        <v>0</v>
      </c>
      <c r="Y1593" s="3">
        <f t="shared" si="424"/>
        <v>0</v>
      </c>
      <c r="Z1593" s="3">
        <f>IF(AND($M1593=1,对接源_02物料!$D393="原料入库"),1,0)</f>
        <v>0</v>
      </c>
      <c r="AA1593" s="3">
        <f t="shared" si="425"/>
        <v>24</v>
      </c>
      <c r="AB1593" s="3">
        <f>IF(AND($M1593=1,LEFT(对接源_02物料!$D393,4)="原料出库"),1,0)</f>
        <v>0</v>
      </c>
      <c r="AC1593" s="3">
        <f t="shared" si="426"/>
        <v>0</v>
      </c>
      <c r="AD1593" s="3">
        <f>IF(AND($M1593=1,LEFT(对接源_02物料!$D393,4)="成品出库"),1,0)</f>
        <v>0</v>
      </c>
      <c r="AE1593" s="3">
        <f t="shared" si="427"/>
        <v>0</v>
      </c>
      <c r="AF1593" s="3">
        <f>IF(AND($N1593=1,AND(LEFT(对接源_02物料!$D393,4)="包装物料",N(对接源_02物料!$K393)&lt;&gt;0)),1,0)</f>
        <v>0</v>
      </c>
      <c r="AG1593" s="3">
        <f t="shared" si="428"/>
        <v>5</v>
      </c>
      <c r="AH1593" s="3">
        <f>IF(AND($N1593=1,AND(对接源_02物料!$D393="周转筐－销售出库",N(对接源_02物料!$K393)&lt;&gt;0)),1,0)</f>
        <v>0</v>
      </c>
      <c r="AI1593" s="3">
        <f t="shared" si="429"/>
        <v>0</v>
      </c>
      <c r="AL1593" s="3">
        <v>0</v>
      </c>
      <c r="AM1593" s="3">
        <f t="shared" si="430"/>
        <v>1</v>
      </c>
      <c r="AN1593" s="3" t="str">
        <f t="shared" si="434"/>
        <v/>
      </c>
      <c r="AO1593" s="3">
        <v>0</v>
      </c>
      <c r="AP1593" s="3">
        <f t="shared" si="431"/>
        <v>8</v>
      </c>
      <c r="AR1593">
        <f t="shared" si="432"/>
        <v>0</v>
      </c>
      <c r="AS1593">
        <f t="shared" si="433"/>
        <v>5</v>
      </c>
    </row>
    <row r="1594" customHeight="1" spans="1:45">
      <c r="A1594" s="3" t="str">
        <f>IF(对接源_02物料!$C394="","",对接源_02物料!$C394)</f>
        <v/>
      </c>
      <c r="B1594" s="3">
        <f t="shared" si="418"/>
        <v>0</v>
      </c>
      <c r="C1594" s="3">
        <f t="shared" si="419"/>
        <v>21</v>
      </c>
      <c r="K1594" s="3">
        <f>IF(OR($K$1="",对接源_02物料!$C394="",对接源_02物料!$C394&lt;&gt;$K$1,对接源_02物料!$B394=""),0,IF(OR(N(对接源_02物料!$B394)&lt;$K$2,N(对接源_02物料!$B394)&gt;$K$3),0,1))</f>
        <v>0</v>
      </c>
      <c r="L1594" s="3">
        <f>IF(OR($L$1="",对接源_02物料!$C394="",对接源_02物料!$C394&lt;&gt;$L$1,对接源_02物料!$B394=""),0,IF(OR(N(对接源_02物料!$B394)&lt;$L$2,N(对接源_02物料!$B394)&gt;$L$3),0,1))</f>
        <v>0</v>
      </c>
      <c r="M1594" s="3">
        <f>IF(OR($M$1="",对接源_02物料!$C394="",对接源_02物料!$C394&lt;&gt;$M$1,对接源_02物料!$B394=""),0,IF(OR(N(对接源_02物料!$B394)&lt;$M$2,N(对接源_02物料!$B394)&gt;$M$3),0,1))</f>
        <v>0</v>
      </c>
      <c r="N1594" s="3">
        <f>IF(OR($N$1="",对接源_02物料!$C394="",对接源_02物料!$C394&lt;&gt;$N$1,对接源_02物料!$B394=""),0,IF(OR(N(对接源_02物料!$B394)&lt;$N$2,N(对接源_02物料!$B394)&gt;$N$3),0,1))</f>
        <v>0</v>
      </c>
      <c r="P1594" s="3">
        <f>IF(AND($K1594=1,AND(对接源_02物料!$X394="公司筐",N(对接源_02物料!$T394)&lt;&gt;0)),1,0)</f>
        <v>0</v>
      </c>
      <c r="Q1594" s="3">
        <f t="shared" si="420"/>
        <v>8</v>
      </c>
      <c r="R1594" s="3">
        <f>IF(AND($K1594=1,AND(对接源_02物料!$X394="公司筐",N(对接源_02物料!$U394)&lt;&gt;0)),1,0)</f>
        <v>0</v>
      </c>
      <c r="S1594" s="3">
        <f t="shared" si="421"/>
        <v>0</v>
      </c>
      <c r="T1594" s="3">
        <f>IF(AND($K1594=1,AND(对接源_02物料!$X394="公司筐",N(对接源_02物料!$V394)&lt;&gt;0)),1,0)</f>
        <v>0</v>
      </c>
      <c r="U1594" s="3">
        <f t="shared" si="422"/>
        <v>19</v>
      </c>
      <c r="V1594" s="3">
        <f>IF(AND($L1594=1,AND(对接源_02物料!$X394="自备筐",N(对接源_02物料!$V394)&lt;&gt;0)),1,0)</f>
        <v>0</v>
      </c>
      <c r="W1594" s="3">
        <f t="shared" si="423"/>
        <v>8</v>
      </c>
      <c r="X1594" s="3">
        <f>IF(AND($L1594=1,AND(对接源_02物料!$X394="自备筐",N(对接源_02物料!$T394)&lt;&gt;0)),1,0)</f>
        <v>0</v>
      </c>
      <c r="Y1594" s="3">
        <f t="shared" si="424"/>
        <v>0</v>
      </c>
      <c r="Z1594" s="3">
        <f>IF(AND($M1594=1,对接源_02物料!$D394="原料入库"),1,0)</f>
        <v>0</v>
      </c>
      <c r="AA1594" s="3">
        <f t="shared" si="425"/>
        <v>24</v>
      </c>
      <c r="AB1594" s="3">
        <f>IF(AND($M1594=1,LEFT(对接源_02物料!$D394,4)="原料出库"),1,0)</f>
        <v>0</v>
      </c>
      <c r="AC1594" s="3">
        <f t="shared" si="426"/>
        <v>0</v>
      </c>
      <c r="AD1594" s="3">
        <f>IF(AND($M1594=1,LEFT(对接源_02物料!$D394,4)="成品出库"),1,0)</f>
        <v>0</v>
      </c>
      <c r="AE1594" s="3">
        <f t="shared" si="427"/>
        <v>0</v>
      </c>
      <c r="AF1594" s="3">
        <f>IF(AND($N1594=1,AND(LEFT(对接源_02物料!$D394,4)="包装物料",N(对接源_02物料!$K394)&lt;&gt;0)),1,0)</f>
        <v>0</v>
      </c>
      <c r="AG1594" s="3">
        <f t="shared" si="428"/>
        <v>5</v>
      </c>
      <c r="AH1594" s="3">
        <f>IF(AND($N1594=1,AND(对接源_02物料!$D394="周转筐－销售出库",N(对接源_02物料!$K394)&lt;&gt;0)),1,0)</f>
        <v>0</v>
      </c>
      <c r="AI1594" s="3">
        <f t="shared" si="429"/>
        <v>0</v>
      </c>
      <c r="AL1594" s="3">
        <v>0</v>
      </c>
      <c r="AM1594" s="3">
        <f t="shared" si="430"/>
        <v>1</v>
      </c>
      <c r="AN1594" s="3" t="str">
        <f t="shared" si="434"/>
        <v/>
      </c>
      <c r="AO1594" s="3">
        <v>0</v>
      </c>
      <c r="AP1594" s="3">
        <f t="shared" si="431"/>
        <v>8</v>
      </c>
      <c r="AR1594">
        <f t="shared" si="432"/>
        <v>0</v>
      </c>
      <c r="AS1594">
        <f t="shared" si="433"/>
        <v>5</v>
      </c>
    </row>
    <row r="1595" customHeight="1" spans="1:45">
      <c r="A1595" s="3" t="str">
        <f>IF(对接源_02物料!$C395="","",对接源_02物料!$C395)</f>
        <v/>
      </c>
      <c r="B1595" s="3">
        <f t="shared" si="418"/>
        <v>0</v>
      </c>
      <c r="C1595" s="3">
        <f t="shared" si="419"/>
        <v>21</v>
      </c>
      <c r="K1595" s="3">
        <f>IF(OR($K$1="",对接源_02物料!$C395="",对接源_02物料!$C395&lt;&gt;$K$1,对接源_02物料!$B395=""),0,IF(OR(N(对接源_02物料!$B395)&lt;$K$2,N(对接源_02物料!$B395)&gt;$K$3),0,1))</f>
        <v>0</v>
      </c>
      <c r="L1595" s="3">
        <f>IF(OR($L$1="",对接源_02物料!$C395="",对接源_02物料!$C395&lt;&gt;$L$1,对接源_02物料!$B395=""),0,IF(OR(N(对接源_02物料!$B395)&lt;$L$2,N(对接源_02物料!$B395)&gt;$L$3),0,1))</f>
        <v>0</v>
      </c>
      <c r="M1595" s="3">
        <f>IF(OR($M$1="",对接源_02物料!$C395="",对接源_02物料!$C395&lt;&gt;$M$1,对接源_02物料!$B395=""),0,IF(OR(N(对接源_02物料!$B395)&lt;$M$2,N(对接源_02物料!$B395)&gt;$M$3),0,1))</f>
        <v>0</v>
      </c>
      <c r="N1595" s="3">
        <f>IF(OR($N$1="",对接源_02物料!$C395="",对接源_02物料!$C395&lt;&gt;$N$1,对接源_02物料!$B395=""),0,IF(OR(N(对接源_02物料!$B395)&lt;$N$2,N(对接源_02物料!$B395)&gt;$N$3),0,1))</f>
        <v>0</v>
      </c>
      <c r="P1595" s="3">
        <f>IF(AND($K1595=1,AND(对接源_02物料!$X395="公司筐",N(对接源_02物料!$T395)&lt;&gt;0)),1,0)</f>
        <v>0</v>
      </c>
      <c r="Q1595" s="3">
        <f t="shared" si="420"/>
        <v>8</v>
      </c>
      <c r="R1595" s="3">
        <f>IF(AND($K1595=1,AND(对接源_02物料!$X395="公司筐",N(对接源_02物料!$U395)&lt;&gt;0)),1,0)</f>
        <v>0</v>
      </c>
      <c r="S1595" s="3">
        <f t="shared" si="421"/>
        <v>0</v>
      </c>
      <c r="T1595" s="3">
        <f>IF(AND($K1595=1,AND(对接源_02物料!$X395="公司筐",N(对接源_02物料!$V395)&lt;&gt;0)),1,0)</f>
        <v>0</v>
      </c>
      <c r="U1595" s="3">
        <f t="shared" si="422"/>
        <v>19</v>
      </c>
      <c r="V1595" s="3">
        <f>IF(AND($L1595=1,AND(对接源_02物料!$X395="自备筐",N(对接源_02物料!$V395)&lt;&gt;0)),1,0)</f>
        <v>0</v>
      </c>
      <c r="W1595" s="3">
        <f t="shared" si="423"/>
        <v>8</v>
      </c>
      <c r="X1595" s="3">
        <f>IF(AND($L1595=1,AND(对接源_02物料!$X395="自备筐",N(对接源_02物料!$T395)&lt;&gt;0)),1,0)</f>
        <v>0</v>
      </c>
      <c r="Y1595" s="3">
        <f t="shared" si="424"/>
        <v>0</v>
      </c>
      <c r="Z1595" s="3">
        <f>IF(AND($M1595=1,对接源_02物料!$D395="原料入库"),1,0)</f>
        <v>0</v>
      </c>
      <c r="AA1595" s="3">
        <f t="shared" si="425"/>
        <v>24</v>
      </c>
      <c r="AB1595" s="3">
        <f>IF(AND($M1595=1,LEFT(对接源_02物料!$D395,4)="原料出库"),1,0)</f>
        <v>0</v>
      </c>
      <c r="AC1595" s="3">
        <f t="shared" si="426"/>
        <v>0</v>
      </c>
      <c r="AD1595" s="3">
        <f>IF(AND($M1595=1,LEFT(对接源_02物料!$D395,4)="成品出库"),1,0)</f>
        <v>0</v>
      </c>
      <c r="AE1595" s="3">
        <f t="shared" si="427"/>
        <v>0</v>
      </c>
      <c r="AF1595" s="3">
        <f>IF(AND($N1595=1,AND(LEFT(对接源_02物料!$D395,4)="包装物料",N(对接源_02物料!$K395)&lt;&gt;0)),1,0)</f>
        <v>0</v>
      </c>
      <c r="AG1595" s="3">
        <f t="shared" si="428"/>
        <v>5</v>
      </c>
      <c r="AH1595" s="3">
        <f>IF(AND($N1595=1,AND(对接源_02物料!$D395="周转筐－销售出库",N(对接源_02物料!$K395)&lt;&gt;0)),1,0)</f>
        <v>0</v>
      </c>
      <c r="AI1595" s="3">
        <f t="shared" si="429"/>
        <v>0</v>
      </c>
      <c r="AL1595" s="3">
        <v>0</v>
      </c>
      <c r="AM1595" s="3">
        <f t="shared" si="430"/>
        <v>1</v>
      </c>
      <c r="AN1595" s="3" t="str">
        <f t="shared" si="434"/>
        <v/>
      </c>
      <c r="AO1595" s="3">
        <v>0</v>
      </c>
      <c r="AP1595" s="3">
        <f t="shared" si="431"/>
        <v>8</v>
      </c>
      <c r="AR1595">
        <f t="shared" si="432"/>
        <v>0</v>
      </c>
      <c r="AS1595">
        <f t="shared" si="433"/>
        <v>5</v>
      </c>
    </row>
    <row r="1596" customHeight="1" spans="1:45">
      <c r="A1596" s="3" t="str">
        <f>IF(对接源_02物料!$C396="","",对接源_02物料!$C396)</f>
        <v/>
      </c>
      <c r="B1596" s="3">
        <f t="shared" si="418"/>
        <v>0</v>
      </c>
      <c r="C1596" s="3">
        <f t="shared" si="419"/>
        <v>21</v>
      </c>
      <c r="K1596" s="3">
        <f>IF(OR($K$1="",对接源_02物料!$C396="",对接源_02物料!$C396&lt;&gt;$K$1,对接源_02物料!$B396=""),0,IF(OR(N(对接源_02物料!$B396)&lt;$K$2,N(对接源_02物料!$B396)&gt;$K$3),0,1))</f>
        <v>0</v>
      </c>
      <c r="L1596" s="3">
        <f>IF(OR($L$1="",对接源_02物料!$C396="",对接源_02物料!$C396&lt;&gt;$L$1,对接源_02物料!$B396=""),0,IF(OR(N(对接源_02物料!$B396)&lt;$L$2,N(对接源_02物料!$B396)&gt;$L$3),0,1))</f>
        <v>0</v>
      </c>
      <c r="M1596" s="3">
        <f>IF(OR($M$1="",对接源_02物料!$C396="",对接源_02物料!$C396&lt;&gt;$M$1,对接源_02物料!$B396=""),0,IF(OR(N(对接源_02物料!$B396)&lt;$M$2,N(对接源_02物料!$B396)&gt;$M$3),0,1))</f>
        <v>0</v>
      </c>
      <c r="N1596" s="3">
        <f>IF(OR($N$1="",对接源_02物料!$C396="",对接源_02物料!$C396&lt;&gt;$N$1,对接源_02物料!$B396=""),0,IF(OR(N(对接源_02物料!$B396)&lt;$N$2,N(对接源_02物料!$B396)&gt;$N$3),0,1))</f>
        <v>0</v>
      </c>
      <c r="P1596" s="3">
        <f>IF(AND($K1596=1,AND(对接源_02物料!$X396="公司筐",N(对接源_02物料!$T396)&lt;&gt;0)),1,0)</f>
        <v>0</v>
      </c>
      <c r="Q1596" s="3">
        <f t="shared" si="420"/>
        <v>8</v>
      </c>
      <c r="R1596" s="3">
        <f>IF(AND($K1596=1,AND(对接源_02物料!$X396="公司筐",N(对接源_02物料!$U396)&lt;&gt;0)),1,0)</f>
        <v>0</v>
      </c>
      <c r="S1596" s="3">
        <f t="shared" si="421"/>
        <v>0</v>
      </c>
      <c r="T1596" s="3">
        <f>IF(AND($K1596=1,AND(对接源_02物料!$X396="公司筐",N(对接源_02物料!$V396)&lt;&gt;0)),1,0)</f>
        <v>0</v>
      </c>
      <c r="U1596" s="3">
        <f t="shared" si="422"/>
        <v>19</v>
      </c>
      <c r="V1596" s="3">
        <f>IF(AND($L1596=1,AND(对接源_02物料!$X396="自备筐",N(对接源_02物料!$V396)&lt;&gt;0)),1,0)</f>
        <v>0</v>
      </c>
      <c r="W1596" s="3">
        <f t="shared" si="423"/>
        <v>8</v>
      </c>
      <c r="X1596" s="3">
        <f>IF(AND($L1596=1,AND(对接源_02物料!$X396="自备筐",N(对接源_02物料!$T396)&lt;&gt;0)),1,0)</f>
        <v>0</v>
      </c>
      <c r="Y1596" s="3">
        <f t="shared" si="424"/>
        <v>0</v>
      </c>
      <c r="Z1596" s="3">
        <f>IF(AND($M1596=1,对接源_02物料!$D396="原料入库"),1,0)</f>
        <v>0</v>
      </c>
      <c r="AA1596" s="3">
        <f t="shared" si="425"/>
        <v>24</v>
      </c>
      <c r="AB1596" s="3">
        <f>IF(AND($M1596=1,LEFT(对接源_02物料!$D396,4)="原料出库"),1,0)</f>
        <v>0</v>
      </c>
      <c r="AC1596" s="3">
        <f t="shared" si="426"/>
        <v>0</v>
      </c>
      <c r="AD1596" s="3">
        <f>IF(AND($M1596=1,LEFT(对接源_02物料!$D396,4)="成品出库"),1,0)</f>
        <v>0</v>
      </c>
      <c r="AE1596" s="3">
        <f t="shared" si="427"/>
        <v>0</v>
      </c>
      <c r="AF1596" s="3">
        <f>IF(AND($N1596=1,AND(LEFT(对接源_02物料!$D396,4)="包装物料",N(对接源_02物料!$K396)&lt;&gt;0)),1,0)</f>
        <v>0</v>
      </c>
      <c r="AG1596" s="3">
        <f t="shared" si="428"/>
        <v>5</v>
      </c>
      <c r="AH1596" s="3">
        <f>IF(AND($N1596=1,AND(对接源_02物料!$D396="周转筐－销售出库",N(对接源_02物料!$K396)&lt;&gt;0)),1,0)</f>
        <v>0</v>
      </c>
      <c r="AI1596" s="3">
        <f t="shared" si="429"/>
        <v>0</v>
      </c>
      <c r="AL1596" s="3">
        <v>0</v>
      </c>
      <c r="AM1596" s="3">
        <f t="shared" si="430"/>
        <v>1</v>
      </c>
      <c r="AN1596" s="3" t="str">
        <f t="shared" si="434"/>
        <v/>
      </c>
      <c r="AO1596" s="3">
        <v>0</v>
      </c>
      <c r="AP1596" s="3">
        <f t="shared" si="431"/>
        <v>8</v>
      </c>
      <c r="AR1596">
        <f t="shared" si="432"/>
        <v>0</v>
      </c>
      <c r="AS1596">
        <f t="shared" si="433"/>
        <v>5</v>
      </c>
    </row>
    <row r="1597" customHeight="1" spans="1:45">
      <c r="A1597" s="3" t="str">
        <f>IF(对接源_02物料!$C397="","",对接源_02物料!$C397)</f>
        <v/>
      </c>
      <c r="B1597" s="3">
        <f t="shared" si="418"/>
        <v>0</v>
      </c>
      <c r="C1597" s="3">
        <f t="shared" si="419"/>
        <v>21</v>
      </c>
      <c r="K1597" s="3">
        <f>IF(OR($K$1="",对接源_02物料!$C397="",对接源_02物料!$C397&lt;&gt;$K$1,对接源_02物料!$B397=""),0,IF(OR(N(对接源_02物料!$B397)&lt;$K$2,N(对接源_02物料!$B397)&gt;$K$3),0,1))</f>
        <v>0</v>
      </c>
      <c r="L1597" s="3">
        <f>IF(OR($L$1="",对接源_02物料!$C397="",对接源_02物料!$C397&lt;&gt;$L$1,对接源_02物料!$B397=""),0,IF(OR(N(对接源_02物料!$B397)&lt;$L$2,N(对接源_02物料!$B397)&gt;$L$3),0,1))</f>
        <v>0</v>
      </c>
      <c r="M1597" s="3">
        <f>IF(OR($M$1="",对接源_02物料!$C397="",对接源_02物料!$C397&lt;&gt;$M$1,对接源_02物料!$B397=""),0,IF(OR(N(对接源_02物料!$B397)&lt;$M$2,N(对接源_02物料!$B397)&gt;$M$3),0,1))</f>
        <v>0</v>
      </c>
      <c r="N1597" s="3">
        <f>IF(OR($N$1="",对接源_02物料!$C397="",对接源_02物料!$C397&lt;&gt;$N$1,对接源_02物料!$B397=""),0,IF(OR(N(对接源_02物料!$B397)&lt;$N$2,N(对接源_02物料!$B397)&gt;$N$3),0,1))</f>
        <v>0</v>
      </c>
      <c r="P1597" s="3">
        <f>IF(AND($K1597=1,AND(对接源_02物料!$X397="公司筐",N(对接源_02物料!$T397)&lt;&gt;0)),1,0)</f>
        <v>0</v>
      </c>
      <c r="Q1597" s="3">
        <f t="shared" si="420"/>
        <v>8</v>
      </c>
      <c r="R1597" s="3">
        <f>IF(AND($K1597=1,AND(对接源_02物料!$X397="公司筐",N(对接源_02物料!$U397)&lt;&gt;0)),1,0)</f>
        <v>0</v>
      </c>
      <c r="S1597" s="3">
        <f t="shared" si="421"/>
        <v>0</v>
      </c>
      <c r="T1597" s="3">
        <f>IF(AND($K1597=1,AND(对接源_02物料!$X397="公司筐",N(对接源_02物料!$V397)&lt;&gt;0)),1,0)</f>
        <v>0</v>
      </c>
      <c r="U1597" s="3">
        <f t="shared" si="422"/>
        <v>19</v>
      </c>
      <c r="V1597" s="3">
        <f>IF(AND($L1597=1,AND(对接源_02物料!$X397="自备筐",N(对接源_02物料!$V397)&lt;&gt;0)),1,0)</f>
        <v>0</v>
      </c>
      <c r="W1597" s="3">
        <f t="shared" si="423"/>
        <v>8</v>
      </c>
      <c r="X1597" s="3">
        <f>IF(AND($L1597=1,AND(对接源_02物料!$X397="自备筐",N(对接源_02物料!$T397)&lt;&gt;0)),1,0)</f>
        <v>0</v>
      </c>
      <c r="Y1597" s="3">
        <f t="shared" si="424"/>
        <v>0</v>
      </c>
      <c r="Z1597" s="3">
        <f>IF(AND($M1597=1,对接源_02物料!$D397="原料入库"),1,0)</f>
        <v>0</v>
      </c>
      <c r="AA1597" s="3">
        <f t="shared" si="425"/>
        <v>24</v>
      </c>
      <c r="AB1597" s="3">
        <f>IF(AND($M1597=1,LEFT(对接源_02物料!$D397,4)="原料出库"),1,0)</f>
        <v>0</v>
      </c>
      <c r="AC1597" s="3">
        <f t="shared" si="426"/>
        <v>0</v>
      </c>
      <c r="AD1597" s="3">
        <f>IF(AND($M1597=1,LEFT(对接源_02物料!$D397,4)="成品出库"),1,0)</f>
        <v>0</v>
      </c>
      <c r="AE1597" s="3">
        <f t="shared" si="427"/>
        <v>0</v>
      </c>
      <c r="AF1597" s="3">
        <f>IF(AND($N1597=1,AND(LEFT(对接源_02物料!$D397,4)="包装物料",N(对接源_02物料!$K397)&lt;&gt;0)),1,0)</f>
        <v>0</v>
      </c>
      <c r="AG1597" s="3">
        <f t="shared" si="428"/>
        <v>5</v>
      </c>
      <c r="AH1597" s="3">
        <f>IF(AND($N1597=1,AND(对接源_02物料!$D397="周转筐－销售出库",N(对接源_02物料!$K397)&lt;&gt;0)),1,0)</f>
        <v>0</v>
      </c>
      <c r="AI1597" s="3">
        <f t="shared" si="429"/>
        <v>0</v>
      </c>
      <c r="AL1597" s="3">
        <v>0</v>
      </c>
      <c r="AM1597" s="3">
        <f t="shared" si="430"/>
        <v>1</v>
      </c>
      <c r="AN1597" s="3" t="str">
        <f t="shared" si="434"/>
        <v/>
      </c>
      <c r="AO1597" s="3">
        <v>0</v>
      </c>
      <c r="AP1597" s="3">
        <f t="shared" si="431"/>
        <v>8</v>
      </c>
      <c r="AR1597">
        <f t="shared" si="432"/>
        <v>0</v>
      </c>
      <c r="AS1597">
        <f t="shared" si="433"/>
        <v>5</v>
      </c>
    </row>
    <row r="1598" customHeight="1" spans="1:45">
      <c r="A1598" s="3" t="str">
        <f>IF(对接源_02物料!$C398="","",对接源_02物料!$C398)</f>
        <v/>
      </c>
      <c r="B1598" s="3">
        <f t="shared" si="418"/>
        <v>0</v>
      </c>
      <c r="C1598" s="3">
        <f t="shared" si="419"/>
        <v>21</v>
      </c>
      <c r="K1598" s="3">
        <f>IF(OR($K$1="",对接源_02物料!$C398="",对接源_02物料!$C398&lt;&gt;$K$1,对接源_02物料!$B398=""),0,IF(OR(N(对接源_02物料!$B398)&lt;$K$2,N(对接源_02物料!$B398)&gt;$K$3),0,1))</f>
        <v>0</v>
      </c>
      <c r="L1598" s="3">
        <f>IF(OR($L$1="",对接源_02物料!$C398="",对接源_02物料!$C398&lt;&gt;$L$1,对接源_02物料!$B398=""),0,IF(OR(N(对接源_02物料!$B398)&lt;$L$2,N(对接源_02物料!$B398)&gt;$L$3),0,1))</f>
        <v>0</v>
      </c>
      <c r="M1598" s="3">
        <f>IF(OR($M$1="",对接源_02物料!$C398="",对接源_02物料!$C398&lt;&gt;$M$1,对接源_02物料!$B398=""),0,IF(OR(N(对接源_02物料!$B398)&lt;$M$2,N(对接源_02物料!$B398)&gt;$M$3),0,1))</f>
        <v>0</v>
      </c>
      <c r="N1598" s="3">
        <f>IF(OR($N$1="",对接源_02物料!$C398="",对接源_02物料!$C398&lt;&gt;$N$1,对接源_02物料!$B398=""),0,IF(OR(N(对接源_02物料!$B398)&lt;$N$2,N(对接源_02物料!$B398)&gt;$N$3),0,1))</f>
        <v>0</v>
      </c>
      <c r="P1598" s="3">
        <f>IF(AND($K1598=1,AND(对接源_02物料!$X398="公司筐",N(对接源_02物料!$T398)&lt;&gt;0)),1,0)</f>
        <v>0</v>
      </c>
      <c r="Q1598" s="3">
        <f t="shared" si="420"/>
        <v>8</v>
      </c>
      <c r="R1598" s="3">
        <f>IF(AND($K1598=1,AND(对接源_02物料!$X398="公司筐",N(对接源_02物料!$U398)&lt;&gt;0)),1,0)</f>
        <v>0</v>
      </c>
      <c r="S1598" s="3">
        <f t="shared" si="421"/>
        <v>0</v>
      </c>
      <c r="T1598" s="3">
        <f>IF(AND($K1598=1,AND(对接源_02物料!$X398="公司筐",N(对接源_02物料!$V398)&lt;&gt;0)),1,0)</f>
        <v>0</v>
      </c>
      <c r="U1598" s="3">
        <f t="shared" si="422"/>
        <v>19</v>
      </c>
      <c r="V1598" s="3">
        <f>IF(AND($L1598=1,AND(对接源_02物料!$X398="自备筐",N(对接源_02物料!$V398)&lt;&gt;0)),1,0)</f>
        <v>0</v>
      </c>
      <c r="W1598" s="3">
        <f t="shared" si="423"/>
        <v>8</v>
      </c>
      <c r="X1598" s="3">
        <f>IF(AND($L1598=1,AND(对接源_02物料!$X398="自备筐",N(对接源_02物料!$T398)&lt;&gt;0)),1,0)</f>
        <v>0</v>
      </c>
      <c r="Y1598" s="3">
        <f t="shared" si="424"/>
        <v>0</v>
      </c>
      <c r="Z1598" s="3">
        <f>IF(AND($M1598=1,对接源_02物料!$D398="原料入库"),1,0)</f>
        <v>0</v>
      </c>
      <c r="AA1598" s="3">
        <f t="shared" si="425"/>
        <v>24</v>
      </c>
      <c r="AB1598" s="3">
        <f>IF(AND($M1598=1,LEFT(对接源_02物料!$D398,4)="原料出库"),1,0)</f>
        <v>0</v>
      </c>
      <c r="AC1598" s="3">
        <f t="shared" si="426"/>
        <v>0</v>
      </c>
      <c r="AD1598" s="3">
        <f>IF(AND($M1598=1,LEFT(对接源_02物料!$D398,4)="成品出库"),1,0)</f>
        <v>0</v>
      </c>
      <c r="AE1598" s="3">
        <f t="shared" si="427"/>
        <v>0</v>
      </c>
      <c r="AF1598" s="3">
        <f>IF(AND($N1598=1,AND(LEFT(对接源_02物料!$D398,4)="包装物料",N(对接源_02物料!$K398)&lt;&gt;0)),1,0)</f>
        <v>0</v>
      </c>
      <c r="AG1598" s="3">
        <f t="shared" si="428"/>
        <v>5</v>
      </c>
      <c r="AH1598" s="3">
        <f>IF(AND($N1598=1,AND(对接源_02物料!$D398="周转筐－销售出库",N(对接源_02物料!$K398)&lt;&gt;0)),1,0)</f>
        <v>0</v>
      </c>
      <c r="AI1598" s="3">
        <f t="shared" si="429"/>
        <v>0</v>
      </c>
      <c r="AL1598" s="3">
        <v>0</v>
      </c>
      <c r="AM1598" s="3">
        <f t="shared" si="430"/>
        <v>1</v>
      </c>
      <c r="AN1598" s="3" t="str">
        <f t="shared" si="434"/>
        <v/>
      </c>
      <c r="AO1598" s="3">
        <v>0</v>
      </c>
      <c r="AP1598" s="3">
        <f t="shared" si="431"/>
        <v>8</v>
      </c>
      <c r="AR1598">
        <f t="shared" si="432"/>
        <v>0</v>
      </c>
      <c r="AS1598">
        <f t="shared" si="433"/>
        <v>5</v>
      </c>
    </row>
    <row r="1599" customHeight="1" spans="1:45">
      <c r="A1599" s="3" t="str">
        <f>IF(对接源_02物料!$C399="","",对接源_02物料!$C399)</f>
        <v/>
      </c>
      <c r="B1599" s="3">
        <f t="shared" si="418"/>
        <v>0</v>
      </c>
      <c r="C1599" s="3">
        <f t="shared" si="419"/>
        <v>21</v>
      </c>
      <c r="K1599" s="3">
        <f>IF(OR($K$1="",对接源_02物料!$C399="",对接源_02物料!$C399&lt;&gt;$K$1,对接源_02物料!$B399=""),0,IF(OR(N(对接源_02物料!$B399)&lt;$K$2,N(对接源_02物料!$B399)&gt;$K$3),0,1))</f>
        <v>0</v>
      </c>
      <c r="L1599" s="3">
        <f>IF(OR($L$1="",对接源_02物料!$C399="",对接源_02物料!$C399&lt;&gt;$L$1,对接源_02物料!$B399=""),0,IF(OR(N(对接源_02物料!$B399)&lt;$L$2,N(对接源_02物料!$B399)&gt;$L$3),0,1))</f>
        <v>0</v>
      </c>
      <c r="M1599" s="3">
        <f>IF(OR($M$1="",对接源_02物料!$C399="",对接源_02物料!$C399&lt;&gt;$M$1,对接源_02物料!$B399=""),0,IF(OR(N(对接源_02物料!$B399)&lt;$M$2,N(对接源_02物料!$B399)&gt;$M$3),0,1))</f>
        <v>0</v>
      </c>
      <c r="N1599" s="3">
        <f>IF(OR($N$1="",对接源_02物料!$C399="",对接源_02物料!$C399&lt;&gt;$N$1,对接源_02物料!$B399=""),0,IF(OR(N(对接源_02物料!$B399)&lt;$N$2,N(对接源_02物料!$B399)&gt;$N$3),0,1))</f>
        <v>0</v>
      </c>
      <c r="P1599" s="3">
        <f>IF(AND($K1599=1,AND(对接源_02物料!$X399="公司筐",N(对接源_02物料!$T399)&lt;&gt;0)),1,0)</f>
        <v>0</v>
      </c>
      <c r="Q1599" s="3">
        <f t="shared" si="420"/>
        <v>8</v>
      </c>
      <c r="R1599" s="3">
        <f>IF(AND($K1599=1,AND(对接源_02物料!$X399="公司筐",N(对接源_02物料!$U399)&lt;&gt;0)),1,0)</f>
        <v>0</v>
      </c>
      <c r="S1599" s="3">
        <f t="shared" si="421"/>
        <v>0</v>
      </c>
      <c r="T1599" s="3">
        <f>IF(AND($K1599=1,AND(对接源_02物料!$X399="公司筐",N(对接源_02物料!$V399)&lt;&gt;0)),1,0)</f>
        <v>0</v>
      </c>
      <c r="U1599" s="3">
        <f t="shared" si="422"/>
        <v>19</v>
      </c>
      <c r="V1599" s="3">
        <f>IF(AND($L1599=1,AND(对接源_02物料!$X399="自备筐",N(对接源_02物料!$V399)&lt;&gt;0)),1,0)</f>
        <v>0</v>
      </c>
      <c r="W1599" s="3">
        <f t="shared" si="423"/>
        <v>8</v>
      </c>
      <c r="X1599" s="3">
        <f>IF(AND($L1599=1,AND(对接源_02物料!$X399="自备筐",N(对接源_02物料!$T399)&lt;&gt;0)),1,0)</f>
        <v>0</v>
      </c>
      <c r="Y1599" s="3">
        <f t="shared" si="424"/>
        <v>0</v>
      </c>
      <c r="Z1599" s="3">
        <f>IF(AND($M1599=1,对接源_02物料!$D399="原料入库"),1,0)</f>
        <v>0</v>
      </c>
      <c r="AA1599" s="3">
        <f t="shared" si="425"/>
        <v>24</v>
      </c>
      <c r="AB1599" s="3">
        <f>IF(AND($M1599=1,LEFT(对接源_02物料!$D399,4)="原料出库"),1,0)</f>
        <v>0</v>
      </c>
      <c r="AC1599" s="3">
        <f t="shared" si="426"/>
        <v>0</v>
      </c>
      <c r="AD1599" s="3">
        <f>IF(AND($M1599=1,LEFT(对接源_02物料!$D399,4)="成品出库"),1,0)</f>
        <v>0</v>
      </c>
      <c r="AE1599" s="3">
        <f t="shared" si="427"/>
        <v>0</v>
      </c>
      <c r="AF1599" s="3">
        <f>IF(AND($N1599=1,AND(LEFT(对接源_02物料!$D399,4)="包装物料",N(对接源_02物料!$K399)&lt;&gt;0)),1,0)</f>
        <v>0</v>
      </c>
      <c r="AG1599" s="3">
        <f t="shared" si="428"/>
        <v>5</v>
      </c>
      <c r="AH1599" s="3">
        <f>IF(AND($N1599=1,AND(对接源_02物料!$D399="周转筐－销售出库",N(对接源_02物料!$K399)&lt;&gt;0)),1,0)</f>
        <v>0</v>
      </c>
      <c r="AI1599" s="3">
        <f t="shared" si="429"/>
        <v>0</v>
      </c>
      <c r="AL1599" s="3">
        <v>0</v>
      </c>
      <c r="AM1599" s="3">
        <f t="shared" si="430"/>
        <v>1</v>
      </c>
      <c r="AN1599" s="3" t="str">
        <f t="shared" si="434"/>
        <v/>
      </c>
      <c r="AO1599" s="3">
        <v>0</v>
      </c>
      <c r="AP1599" s="3">
        <f t="shared" si="431"/>
        <v>8</v>
      </c>
      <c r="AR1599">
        <f t="shared" si="432"/>
        <v>0</v>
      </c>
      <c r="AS1599">
        <f t="shared" si="433"/>
        <v>5</v>
      </c>
    </row>
    <row r="1600" customHeight="1" spans="1:45">
      <c r="A1600" s="3" t="str">
        <f>IF(对接源_02物料!$C400="","",对接源_02物料!$C400)</f>
        <v/>
      </c>
      <c r="B1600" s="3">
        <f t="shared" si="418"/>
        <v>0</v>
      </c>
      <c r="C1600" s="3">
        <f t="shared" si="419"/>
        <v>21</v>
      </c>
      <c r="K1600" s="3">
        <f>IF(OR($K$1="",对接源_02物料!$C400="",对接源_02物料!$C400&lt;&gt;$K$1,对接源_02物料!$B400=""),0,IF(OR(N(对接源_02物料!$B400)&lt;$K$2,N(对接源_02物料!$B400)&gt;$K$3),0,1))</f>
        <v>0</v>
      </c>
      <c r="L1600" s="3">
        <f>IF(OR($L$1="",对接源_02物料!$C400="",对接源_02物料!$C400&lt;&gt;$L$1,对接源_02物料!$B400=""),0,IF(OR(N(对接源_02物料!$B400)&lt;$L$2,N(对接源_02物料!$B400)&gt;$L$3),0,1))</f>
        <v>0</v>
      </c>
      <c r="M1600" s="3">
        <f>IF(OR($M$1="",对接源_02物料!$C400="",对接源_02物料!$C400&lt;&gt;$M$1,对接源_02物料!$B400=""),0,IF(OR(N(对接源_02物料!$B400)&lt;$M$2,N(对接源_02物料!$B400)&gt;$M$3),0,1))</f>
        <v>0</v>
      </c>
      <c r="N1600" s="3">
        <f>IF(OR($N$1="",对接源_02物料!$C400="",对接源_02物料!$C400&lt;&gt;$N$1,对接源_02物料!$B400=""),0,IF(OR(N(对接源_02物料!$B400)&lt;$N$2,N(对接源_02物料!$B400)&gt;$N$3),0,1))</f>
        <v>0</v>
      </c>
      <c r="P1600" s="3">
        <f>IF(AND($K1600=1,AND(对接源_02物料!$X400="公司筐",N(对接源_02物料!$T400)&lt;&gt;0)),1,0)</f>
        <v>0</v>
      </c>
      <c r="Q1600" s="3">
        <f t="shared" si="420"/>
        <v>8</v>
      </c>
      <c r="R1600" s="3">
        <f>IF(AND($K1600=1,AND(对接源_02物料!$X400="公司筐",N(对接源_02物料!$U400)&lt;&gt;0)),1,0)</f>
        <v>0</v>
      </c>
      <c r="S1600" s="3">
        <f t="shared" si="421"/>
        <v>0</v>
      </c>
      <c r="T1600" s="3">
        <f>IF(AND($K1600=1,AND(对接源_02物料!$X400="公司筐",N(对接源_02物料!$V400)&lt;&gt;0)),1,0)</f>
        <v>0</v>
      </c>
      <c r="U1600" s="3">
        <f t="shared" si="422"/>
        <v>19</v>
      </c>
      <c r="V1600" s="3">
        <f>IF(AND($L1600=1,AND(对接源_02物料!$X400="自备筐",N(对接源_02物料!$V400)&lt;&gt;0)),1,0)</f>
        <v>0</v>
      </c>
      <c r="W1600" s="3">
        <f t="shared" si="423"/>
        <v>8</v>
      </c>
      <c r="X1600" s="3">
        <f>IF(AND($L1600=1,AND(对接源_02物料!$X400="自备筐",N(对接源_02物料!$T400)&lt;&gt;0)),1,0)</f>
        <v>0</v>
      </c>
      <c r="Y1600" s="3">
        <f t="shared" si="424"/>
        <v>0</v>
      </c>
      <c r="Z1600" s="3">
        <f>IF(AND($M1600=1,对接源_02物料!$D400="原料入库"),1,0)</f>
        <v>0</v>
      </c>
      <c r="AA1600" s="3">
        <f t="shared" si="425"/>
        <v>24</v>
      </c>
      <c r="AB1600" s="3">
        <f>IF(AND($M1600=1,LEFT(对接源_02物料!$D400,4)="原料出库"),1,0)</f>
        <v>0</v>
      </c>
      <c r="AC1600" s="3">
        <f t="shared" si="426"/>
        <v>0</v>
      </c>
      <c r="AD1600" s="3">
        <f>IF(AND($M1600=1,LEFT(对接源_02物料!$D400,4)="成品出库"),1,0)</f>
        <v>0</v>
      </c>
      <c r="AE1600" s="3">
        <f t="shared" si="427"/>
        <v>0</v>
      </c>
      <c r="AF1600" s="3">
        <f>IF(AND($N1600=1,AND(LEFT(对接源_02物料!$D400,4)="包装物料",N(对接源_02物料!$K400)&lt;&gt;0)),1,0)</f>
        <v>0</v>
      </c>
      <c r="AG1600" s="3">
        <f t="shared" si="428"/>
        <v>5</v>
      </c>
      <c r="AH1600" s="3">
        <f>IF(AND($N1600=1,AND(对接源_02物料!$D400="周转筐－销售出库",N(对接源_02物料!$K400)&lt;&gt;0)),1,0)</f>
        <v>0</v>
      </c>
      <c r="AI1600" s="3">
        <f t="shared" si="429"/>
        <v>0</v>
      </c>
      <c r="AL1600" s="3">
        <v>0</v>
      </c>
      <c r="AM1600" s="3">
        <f t="shared" si="430"/>
        <v>1</v>
      </c>
      <c r="AN1600" s="3" t="str">
        <f t="shared" si="434"/>
        <v/>
      </c>
      <c r="AO1600" s="3">
        <v>0</v>
      </c>
      <c r="AP1600" s="3">
        <f t="shared" si="431"/>
        <v>8</v>
      </c>
      <c r="AR1600">
        <f t="shared" si="432"/>
        <v>0</v>
      </c>
      <c r="AS1600">
        <f t="shared" si="433"/>
        <v>5</v>
      </c>
    </row>
    <row r="1601" customHeight="1" spans="1:45">
      <c r="A1601" s="3" t="str">
        <f>IF(对接源_02物料!$C401="","",对接源_02物料!$C401)</f>
        <v/>
      </c>
      <c r="B1601" s="3">
        <f t="shared" si="418"/>
        <v>0</v>
      </c>
      <c r="C1601" s="3">
        <f t="shared" si="419"/>
        <v>21</v>
      </c>
      <c r="K1601" s="3">
        <f>IF(OR($K$1="",对接源_02物料!$C401="",对接源_02物料!$C401&lt;&gt;$K$1,对接源_02物料!$B401=""),0,IF(OR(N(对接源_02物料!$B401)&lt;$K$2,N(对接源_02物料!$B401)&gt;$K$3),0,1))</f>
        <v>0</v>
      </c>
      <c r="L1601" s="3">
        <f>IF(OR($L$1="",对接源_02物料!$C401="",对接源_02物料!$C401&lt;&gt;$L$1,对接源_02物料!$B401=""),0,IF(OR(N(对接源_02物料!$B401)&lt;$L$2,N(对接源_02物料!$B401)&gt;$L$3),0,1))</f>
        <v>0</v>
      </c>
      <c r="M1601" s="3">
        <f>IF(OR($M$1="",对接源_02物料!$C401="",对接源_02物料!$C401&lt;&gt;$M$1,对接源_02物料!$B401=""),0,IF(OR(N(对接源_02物料!$B401)&lt;$M$2,N(对接源_02物料!$B401)&gt;$M$3),0,1))</f>
        <v>0</v>
      </c>
      <c r="N1601" s="3">
        <f>IF(OR($N$1="",对接源_02物料!$C401="",对接源_02物料!$C401&lt;&gt;$N$1,对接源_02物料!$B401=""),0,IF(OR(N(对接源_02物料!$B401)&lt;$N$2,N(对接源_02物料!$B401)&gt;$N$3),0,1))</f>
        <v>0</v>
      </c>
      <c r="P1601" s="3">
        <f>IF(AND($K1601=1,AND(对接源_02物料!$X401="公司筐",N(对接源_02物料!$T401)&lt;&gt;0)),1,0)</f>
        <v>0</v>
      </c>
      <c r="Q1601" s="3">
        <f t="shared" si="420"/>
        <v>8</v>
      </c>
      <c r="R1601" s="3">
        <f>IF(AND($K1601=1,AND(对接源_02物料!$X401="公司筐",N(对接源_02物料!$U401)&lt;&gt;0)),1,0)</f>
        <v>0</v>
      </c>
      <c r="S1601" s="3">
        <f t="shared" si="421"/>
        <v>0</v>
      </c>
      <c r="T1601" s="3">
        <f>IF(AND($K1601=1,AND(对接源_02物料!$X401="公司筐",N(对接源_02物料!$V401)&lt;&gt;0)),1,0)</f>
        <v>0</v>
      </c>
      <c r="U1601" s="3">
        <f t="shared" si="422"/>
        <v>19</v>
      </c>
      <c r="V1601" s="3">
        <f>IF(AND($L1601=1,AND(对接源_02物料!$X401="自备筐",N(对接源_02物料!$V401)&lt;&gt;0)),1,0)</f>
        <v>0</v>
      </c>
      <c r="W1601" s="3">
        <f t="shared" si="423"/>
        <v>8</v>
      </c>
      <c r="X1601" s="3">
        <f>IF(AND($L1601=1,AND(对接源_02物料!$X401="自备筐",N(对接源_02物料!$T401)&lt;&gt;0)),1,0)</f>
        <v>0</v>
      </c>
      <c r="Y1601" s="3">
        <f t="shared" si="424"/>
        <v>0</v>
      </c>
      <c r="Z1601" s="3">
        <f>IF(AND($M1601=1,对接源_02物料!$D401="原料入库"),1,0)</f>
        <v>0</v>
      </c>
      <c r="AA1601" s="3">
        <f t="shared" si="425"/>
        <v>24</v>
      </c>
      <c r="AB1601" s="3">
        <f>IF(AND($M1601=1,LEFT(对接源_02物料!$D401,4)="原料出库"),1,0)</f>
        <v>0</v>
      </c>
      <c r="AC1601" s="3">
        <f t="shared" si="426"/>
        <v>0</v>
      </c>
      <c r="AD1601" s="3">
        <f>IF(AND($M1601=1,LEFT(对接源_02物料!$D401,4)="成品出库"),1,0)</f>
        <v>0</v>
      </c>
      <c r="AE1601" s="3">
        <f t="shared" si="427"/>
        <v>0</v>
      </c>
      <c r="AF1601" s="3">
        <f>IF(AND($N1601=1,AND(LEFT(对接源_02物料!$D401,4)="包装物料",N(对接源_02物料!$K401)&lt;&gt;0)),1,0)</f>
        <v>0</v>
      </c>
      <c r="AG1601" s="3">
        <f t="shared" si="428"/>
        <v>5</v>
      </c>
      <c r="AH1601" s="3">
        <f>IF(AND($N1601=1,AND(对接源_02物料!$D401="周转筐－销售出库",N(对接源_02物料!$K401)&lt;&gt;0)),1,0)</f>
        <v>0</v>
      </c>
      <c r="AI1601" s="3">
        <f t="shared" si="429"/>
        <v>0</v>
      </c>
      <c r="AL1601" s="3">
        <v>0</v>
      </c>
      <c r="AM1601" s="3">
        <f t="shared" si="430"/>
        <v>1</v>
      </c>
      <c r="AN1601" s="3" t="str">
        <f t="shared" si="434"/>
        <v/>
      </c>
      <c r="AO1601" s="3">
        <v>0</v>
      </c>
      <c r="AP1601" s="3">
        <f t="shared" si="431"/>
        <v>8</v>
      </c>
      <c r="AR1601">
        <f t="shared" si="432"/>
        <v>0</v>
      </c>
      <c r="AS1601">
        <f t="shared" si="433"/>
        <v>5</v>
      </c>
    </row>
    <row r="1602" customHeight="1" spans="1:45">
      <c r="A1602" s="3" t="str">
        <f>IF(对接源_02物料!$C402="","",对接源_02物料!$C402)</f>
        <v/>
      </c>
      <c r="B1602" s="3">
        <f t="shared" si="418"/>
        <v>0</v>
      </c>
      <c r="C1602" s="3">
        <f t="shared" si="419"/>
        <v>21</v>
      </c>
      <c r="K1602" s="3">
        <f>IF(OR($K$1="",对接源_02物料!$C402="",对接源_02物料!$C402&lt;&gt;$K$1,对接源_02物料!$B402=""),0,IF(OR(N(对接源_02物料!$B402)&lt;$K$2,N(对接源_02物料!$B402)&gt;$K$3),0,1))</f>
        <v>0</v>
      </c>
      <c r="L1602" s="3">
        <f>IF(OR($L$1="",对接源_02物料!$C402="",对接源_02物料!$C402&lt;&gt;$L$1,对接源_02物料!$B402=""),0,IF(OR(N(对接源_02物料!$B402)&lt;$L$2,N(对接源_02物料!$B402)&gt;$L$3),0,1))</f>
        <v>0</v>
      </c>
      <c r="M1602" s="3">
        <f>IF(OR($M$1="",对接源_02物料!$C402="",对接源_02物料!$C402&lt;&gt;$M$1,对接源_02物料!$B402=""),0,IF(OR(N(对接源_02物料!$B402)&lt;$M$2,N(对接源_02物料!$B402)&gt;$M$3),0,1))</f>
        <v>0</v>
      </c>
      <c r="N1602" s="3">
        <f>IF(OR($N$1="",对接源_02物料!$C402="",对接源_02物料!$C402&lt;&gt;$N$1,对接源_02物料!$B402=""),0,IF(OR(N(对接源_02物料!$B402)&lt;$N$2,N(对接源_02物料!$B402)&gt;$N$3),0,1))</f>
        <v>0</v>
      </c>
      <c r="P1602" s="3">
        <f>IF(AND($K1602=1,AND(对接源_02物料!$X402="公司筐",N(对接源_02物料!$T402)&lt;&gt;0)),1,0)</f>
        <v>0</v>
      </c>
      <c r="Q1602" s="3">
        <f t="shared" si="420"/>
        <v>8</v>
      </c>
      <c r="R1602" s="3">
        <f>IF(AND($K1602=1,AND(对接源_02物料!$X402="公司筐",N(对接源_02物料!$U402)&lt;&gt;0)),1,0)</f>
        <v>0</v>
      </c>
      <c r="S1602" s="3">
        <f t="shared" si="421"/>
        <v>0</v>
      </c>
      <c r="T1602" s="3">
        <f>IF(AND($K1602=1,AND(对接源_02物料!$X402="公司筐",N(对接源_02物料!$V402)&lt;&gt;0)),1,0)</f>
        <v>0</v>
      </c>
      <c r="U1602" s="3">
        <f t="shared" si="422"/>
        <v>19</v>
      </c>
      <c r="V1602" s="3">
        <f>IF(AND($L1602=1,AND(对接源_02物料!$X402="自备筐",N(对接源_02物料!$V402)&lt;&gt;0)),1,0)</f>
        <v>0</v>
      </c>
      <c r="W1602" s="3">
        <f t="shared" si="423"/>
        <v>8</v>
      </c>
      <c r="X1602" s="3">
        <f>IF(AND($L1602=1,AND(对接源_02物料!$X402="自备筐",N(对接源_02物料!$T402)&lt;&gt;0)),1,0)</f>
        <v>0</v>
      </c>
      <c r="Y1602" s="3">
        <f t="shared" si="424"/>
        <v>0</v>
      </c>
      <c r="Z1602" s="3">
        <f>IF(AND($M1602=1,对接源_02物料!$D402="原料入库"),1,0)</f>
        <v>0</v>
      </c>
      <c r="AA1602" s="3">
        <f t="shared" si="425"/>
        <v>24</v>
      </c>
      <c r="AB1602" s="3">
        <f>IF(AND($M1602=1,LEFT(对接源_02物料!$D402,4)="原料出库"),1,0)</f>
        <v>0</v>
      </c>
      <c r="AC1602" s="3">
        <f t="shared" si="426"/>
        <v>0</v>
      </c>
      <c r="AD1602" s="3">
        <f>IF(AND($M1602=1,LEFT(对接源_02物料!$D402,4)="成品出库"),1,0)</f>
        <v>0</v>
      </c>
      <c r="AE1602" s="3">
        <f t="shared" si="427"/>
        <v>0</v>
      </c>
      <c r="AF1602" s="3">
        <f>IF(AND($N1602=1,AND(LEFT(对接源_02物料!$D402,4)="包装物料",N(对接源_02物料!$K402)&lt;&gt;0)),1,0)</f>
        <v>0</v>
      </c>
      <c r="AG1602" s="3">
        <f t="shared" si="428"/>
        <v>5</v>
      </c>
      <c r="AH1602" s="3">
        <f>IF(AND($N1602=1,AND(对接源_02物料!$D402="周转筐－销售出库",N(对接源_02物料!$K402)&lt;&gt;0)),1,0)</f>
        <v>0</v>
      </c>
      <c r="AI1602" s="3">
        <f t="shared" si="429"/>
        <v>0</v>
      </c>
      <c r="AL1602" s="3">
        <v>0</v>
      </c>
      <c r="AM1602" s="3">
        <f t="shared" si="430"/>
        <v>1</v>
      </c>
      <c r="AN1602" s="3" t="str">
        <f t="shared" si="434"/>
        <v/>
      </c>
      <c r="AO1602" s="3">
        <v>0</v>
      </c>
      <c r="AP1602" s="3">
        <f t="shared" si="431"/>
        <v>8</v>
      </c>
      <c r="AR1602">
        <f t="shared" si="432"/>
        <v>0</v>
      </c>
      <c r="AS1602">
        <f t="shared" si="433"/>
        <v>5</v>
      </c>
    </row>
    <row r="1603" customHeight="1" spans="1:45">
      <c r="A1603" s="3" t="str">
        <f>IF(对接源_02物料!$C403="","",对接源_02物料!$C403)</f>
        <v/>
      </c>
      <c r="B1603" s="3">
        <f t="shared" si="418"/>
        <v>0</v>
      </c>
      <c r="C1603" s="3">
        <f t="shared" si="419"/>
        <v>21</v>
      </c>
      <c r="K1603" s="3">
        <f>IF(OR($K$1="",对接源_02物料!$C403="",对接源_02物料!$C403&lt;&gt;$K$1,对接源_02物料!$B403=""),0,IF(OR(N(对接源_02物料!$B403)&lt;$K$2,N(对接源_02物料!$B403)&gt;$K$3),0,1))</f>
        <v>0</v>
      </c>
      <c r="L1603" s="3">
        <f>IF(OR($L$1="",对接源_02物料!$C403="",对接源_02物料!$C403&lt;&gt;$L$1,对接源_02物料!$B403=""),0,IF(OR(N(对接源_02物料!$B403)&lt;$L$2,N(对接源_02物料!$B403)&gt;$L$3),0,1))</f>
        <v>0</v>
      </c>
      <c r="M1603" s="3">
        <f>IF(OR($M$1="",对接源_02物料!$C403="",对接源_02物料!$C403&lt;&gt;$M$1,对接源_02物料!$B403=""),0,IF(OR(N(对接源_02物料!$B403)&lt;$M$2,N(对接源_02物料!$B403)&gt;$M$3),0,1))</f>
        <v>0</v>
      </c>
      <c r="N1603" s="3">
        <f>IF(OR($N$1="",对接源_02物料!$C403="",对接源_02物料!$C403&lt;&gt;$N$1,对接源_02物料!$B403=""),0,IF(OR(N(对接源_02物料!$B403)&lt;$N$2,N(对接源_02物料!$B403)&gt;$N$3),0,1))</f>
        <v>0</v>
      </c>
      <c r="P1603" s="3">
        <f>IF(AND($K1603=1,AND(对接源_02物料!$X403="公司筐",N(对接源_02物料!$T403)&lt;&gt;0)),1,0)</f>
        <v>0</v>
      </c>
      <c r="Q1603" s="3">
        <f t="shared" si="420"/>
        <v>8</v>
      </c>
      <c r="R1603" s="3">
        <f>IF(AND($K1603=1,AND(对接源_02物料!$X403="公司筐",N(对接源_02物料!$U403)&lt;&gt;0)),1,0)</f>
        <v>0</v>
      </c>
      <c r="S1603" s="3">
        <f t="shared" si="421"/>
        <v>0</v>
      </c>
      <c r="T1603" s="3">
        <f>IF(AND($K1603=1,AND(对接源_02物料!$X403="公司筐",N(对接源_02物料!$V403)&lt;&gt;0)),1,0)</f>
        <v>0</v>
      </c>
      <c r="U1603" s="3">
        <f t="shared" si="422"/>
        <v>19</v>
      </c>
      <c r="V1603" s="3">
        <f>IF(AND($L1603=1,AND(对接源_02物料!$X403="自备筐",N(对接源_02物料!$V403)&lt;&gt;0)),1,0)</f>
        <v>0</v>
      </c>
      <c r="W1603" s="3">
        <f t="shared" si="423"/>
        <v>8</v>
      </c>
      <c r="X1603" s="3">
        <f>IF(AND($L1603=1,AND(对接源_02物料!$X403="自备筐",N(对接源_02物料!$T403)&lt;&gt;0)),1,0)</f>
        <v>0</v>
      </c>
      <c r="Y1603" s="3">
        <f t="shared" si="424"/>
        <v>0</v>
      </c>
      <c r="Z1603" s="3">
        <f>IF(AND($M1603=1,对接源_02物料!$D403="原料入库"),1,0)</f>
        <v>0</v>
      </c>
      <c r="AA1603" s="3">
        <f t="shared" si="425"/>
        <v>24</v>
      </c>
      <c r="AB1603" s="3">
        <f>IF(AND($M1603=1,LEFT(对接源_02物料!$D403,4)="原料出库"),1,0)</f>
        <v>0</v>
      </c>
      <c r="AC1603" s="3">
        <f t="shared" si="426"/>
        <v>0</v>
      </c>
      <c r="AD1603" s="3">
        <f>IF(AND($M1603=1,LEFT(对接源_02物料!$D403,4)="成品出库"),1,0)</f>
        <v>0</v>
      </c>
      <c r="AE1603" s="3">
        <f t="shared" si="427"/>
        <v>0</v>
      </c>
      <c r="AF1603" s="3">
        <f>IF(AND($N1603=1,AND(LEFT(对接源_02物料!$D403,4)="包装物料",N(对接源_02物料!$K403)&lt;&gt;0)),1,0)</f>
        <v>0</v>
      </c>
      <c r="AG1603" s="3">
        <f t="shared" si="428"/>
        <v>5</v>
      </c>
      <c r="AH1603" s="3">
        <f>IF(AND($N1603=1,AND(对接源_02物料!$D403="周转筐－销售出库",N(对接源_02物料!$K403)&lt;&gt;0)),1,0)</f>
        <v>0</v>
      </c>
      <c r="AI1603" s="3">
        <f t="shared" si="429"/>
        <v>0</v>
      </c>
      <c r="AL1603" s="3">
        <v>0</v>
      </c>
      <c r="AM1603" s="3">
        <f t="shared" si="430"/>
        <v>1</v>
      </c>
      <c r="AN1603" s="3" t="str">
        <f t="shared" si="434"/>
        <v/>
      </c>
      <c r="AO1603" s="3">
        <v>0</v>
      </c>
      <c r="AP1603" s="3">
        <f t="shared" si="431"/>
        <v>8</v>
      </c>
      <c r="AR1603">
        <f t="shared" si="432"/>
        <v>0</v>
      </c>
      <c r="AS1603">
        <f t="shared" si="433"/>
        <v>5</v>
      </c>
    </row>
    <row r="1604" customHeight="1" spans="1:45">
      <c r="A1604" s="3" t="str">
        <f>IF(对接源_02物料!$C404="","",对接源_02物料!$C404)</f>
        <v/>
      </c>
      <c r="B1604" s="3">
        <f t="shared" ref="B1604:B1667" si="435">IF(A1604="",0,IF(MATCH(A1604,$A$4:$A$2403,0)=ROW()-3,1,0))</f>
        <v>0</v>
      </c>
      <c r="C1604" s="3">
        <f t="shared" ref="C1604:C1667" si="436">N(C1603)+B1604</f>
        <v>21</v>
      </c>
      <c r="K1604" s="3">
        <f>IF(OR($K$1="",对接源_02物料!$C404="",对接源_02物料!$C404&lt;&gt;$K$1,对接源_02物料!$B404=""),0,IF(OR(N(对接源_02物料!$B404)&lt;$K$2,N(对接源_02物料!$B404)&gt;$K$3),0,1))</f>
        <v>0</v>
      </c>
      <c r="L1604" s="3">
        <f>IF(OR($L$1="",对接源_02物料!$C404="",对接源_02物料!$C404&lt;&gt;$L$1,对接源_02物料!$B404=""),0,IF(OR(N(对接源_02物料!$B404)&lt;$L$2,N(对接源_02物料!$B404)&gt;$L$3),0,1))</f>
        <v>0</v>
      </c>
      <c r="M1604" s="3">
        <f>IF(OR($M$1="",对接源_02物料!$C404="",对接源_02物料!$C404&lt;&gt;$M$1,对接源_02物料!$B404=""),0,IF(OR(N(对接源_02物料!$B404)&lt;$M$2,N(对接源_02物料!$B404)&gt;$M$3),0,1))</f>
        <v>0</v>
      </c>
      <c r="N1604" s="3">
        <f>IF(OR($N$1="",对接源_02物料!$C404="",对接源_02物料!$C404&lt;&gt;$N$1,对接源_02物料!$B404=""),0,IF(OR(N(对接源_02物料!$B404)&lt;$N$2,N(对接源_02物料!$B404)&gt;$N$3),0,1))</f>
        <v>0</v>
      </c>
      <c r="P1604" s="3">
        <f>IF(AND($K1604=1,AND(对接源_02物料!$X404="公司筐",N(对接源_02物料!$T404)&lt;&gt;0)),1,0)</f>
        <v>0</v>
      </c>
      <c r="Q1604" s="3">
        <f t="shared" ref="Q1604:Q1667" si="437">N(Q1603)+$P1604</f>
        <v>8</v>
      </c>
      <c r="R1604" s="3">
        <f>IF(AND($K1604=1,AND(对接源_02物料!$X404="公司筐",N(对接源_02物料!$U404)&lt;&gt;0)),1,0)</f>
        <v>0</v>
      </c>
      <c r="S1604" s="3">
        <f t="shared" ref="S1604:S1667" si="438">N(S1603)+$R1604</f>
        <v>0</v>
      </c>
      <c r="T1604" s="3">
        <f>IF(AND($K1604=1,AND(对接源_02物料!$X404="公司筐",N(对接源_02物料!$V404)&lt;&gt;0)),1,0)</f>
        <v>0</v>
      </c>
      <c r="U1604" s="3">
        <f t="shared" ref="U1604:U1667" si="439">N(U1603)+$T1604</f>
        <v>19</v>
      </c>
      <c r="V1604" s="3">
        <f>IF(AND($L1604=1,AND(对接源_02物料!$X404="自备筐",N(对接源_02物料!$V404)&lt;&gt;0)),1,0)</f>
        <v>0</v>
      </c>
      <c r="W1604" s="3">
        <f t="shared" ref="W1604:W1667" si="440">N(W1603)+$V1604</f>
        <v>8</v>
      </c>
      <c r="X1604" s="3">
        <f>IF(AND($L1604=1,AND(对接源_02物料!$X404="自备筐",N(对接源_02物料!$T404)&lt;&gt;0)),1,0)</f>
        <v>0</v>
      </c>
      <c r="Y1604" s="3">
        <f t="shared" ref="Y1604:Y1667" si="441">N(Y1603)+$X1604</f>
        <v>0</v>
      </c>
      <c r="Z1604" s="3">
        <f>IF(AND($M1604=1,对接源_02物料!$D404="原料入库"),1,0)</f>
        <v>0</v>
      </c>
      <c r="AA1604" s="3">
        <f t="shared" ref="AA1604:AA1667" si="442">N(AA1603)+$Z1604</f>
        <v>24</v>
      </c>
      <c r="AB1604" s="3">
        <f>IF(AND($M1604=1,LEFT(对接源_02物料!$D404,4)="原料出库"),1,0)</f>
        <v>0</v>
      </c>
      <c r="AC1604" s="3">
        <f t="shared" ref="AC1604:AC1667" si="443">N(AC1603)+$AB1604</f>
        <v>0</v>
      </c>
      <c r="AD1604" s="3">
        <f>IF(AND($M1604=1,LEFT(对接源_02物料!$D404,4)="成品出库"),1,0)</f>
        <v>0</v>
      </c>
      <c r="AE1604" s="3">
        <f t="shared" ref="AE1604:AE1667" si="444">N(AE1603)+$AD1604</f>
        <v>0</v>
      </c>
      <c r="AF1604" s="3">
        <f>IF(AND($N1604=1,AND(LEFT(对接源_02物料!$D404,4)="包装物料",N(对接源_02物料!$K404)&lt;&gt;0)),1,0)</f>
        <v>0</v>
      </c>
      <c r="AG1604" s="3">
        <f t="shared" ref="AG1604:AG1667" si="445">N(AG1603)+$AF1604</f>
        <v>5</v>
      </c>
      <c r="AH1604" s="3">
        <f>IF(AND($N1604=1,AND(对接源_02物料!$D404="周转筐－销售出库",N(对接源_02物料!$K404)&lt;&gt;0)),1,0)</f>
        <v>0</v>
      </c>
      <c r="AI1604" s="3">
        <f t="shared" ref="AI1604:AI1667" si="446">N(AI1603)+$AH1604</f>
        <v>0</v>
      </c>
      <c r="AL1604" s="3">
        <v>0</v>
      </c>
      <c r="AM1604" s="3">
        <f t="shared" ref="AM1604:AM1667" si="447">N(AM1603)+$AL1604</f>
        <v>1</v>
      </c>
      <c r="AN1604" s="3" t="str">
        <f t="shared" si="434"/>
        <v/>
      </c>
      <c r="AO1604" s="3">
        <v>0</v>
      </c>
      <c r="AP1604" s="3">
        <f t="shared" ref="AP1604:AP1667" si="448">N(AP1603)+$AO1604</f>
        <v>8</v>
      </c>
      <c r="AR1604">
        <f t="shared" ref="AR1604:AR1667" si="449">IF(OR($AF1604=1,$AH1604=1),1,0)</f>
        <v>0</v>
      </c>
      <c r="AS1604">
        <f t="shared" ref="AS1604:AS1667" si="450">N(AS1603)+$AR1604</f>
        <v>5</v>
      </c>
    </row>
    <row r="1605" customHeight="1" spans="1:45">
      <c r="A1605" s="3" t="str">
        <f>IF(对接源_02物料!$C405="","",对接源_02物料!$C405)</f>
        <v/>
      </c>
      <c r="B1605" s="3">
        <f t="shared" si="435"/>
        <v>0</v>
      </c>
      <c r="C1605" s="3">
        <f t="shared" si="436"/>
        <v>21</v>
      </c>
      <c r="K1605" s="3">
        <f>IF(OR($K$1="",对接源_02物料!$C405="",对接源_02物料!$C405&lt;&gt;$K$1,对接源_02物料!$B405=""),0,IF(OR(N(对接源_02物料!$B405)&lt;$K$2,N(对接源_02物料!$B405)&gt;$K$3),0,1))</f>
        <v>0</v>
      </c>
      <c r="L1605" s="3">
        <f>IF(OR($L$1="",对接源_02物料!$C405="",对接源_02物料!$C405&lt;&gt;$L$1,对接源_02物料!$B405=""),0,IF(OR(N(对接源_02物料!$B405)&lt;$L$2,N(对接源_02物料!$B405)&gt;$L$3),0,1))</f>
        <v>0</v>
      </c>
      <c r="M1605" s="3">
        <f>IF(OR($M$1="",对接源_02物料!$C405="",对接源_02物料!$C405&lt;&gt;$M$1,对接源_02物料!$B405=""),0,IF(OR(N(对接源_02物料!$B405)&lt;$M$2,N(对接源_02物料!$B405)&gt;$M$3),0,1))</f>
        <v>0</v>
      </c>
      <c r="N1605" s="3">
        <f>IF(OR($N$1="",对接源_02物料!$C405="",对接源_02物料!$C405&lt;&gt;$N$1,对接源_02物料!$B405=""),0,IF(OR(N(对接源_02物料!$B405)&lt;$N$2,N(对接源_02物料!$B405)&gt;$N$3),0,1))</f>
        <v>0</v>
      </c>
      <c r="P1605" s="3">
        <f>IF(AND($K1605=1,AND(对接源_02物料!$X405="公司筐",N(对接源_02物料!$T405)&lt;&gt;0)),1,0)</f>
        <v>0</v>
      </c>
      <c r="Q1605" s="3">
        <f t="shared" si="437"/>
        <v>8</v>
      </c>
      <c r="R1605" s="3">
        <f>IF(AND($K1605=1,AND(对接源_02物料!$X405="公司筐",N(对接源_02物料!$U405)&lt;&gt;0)),1,0)</f>
        <v>0</v>
      </c>
      <c r="S1605" s="3">
        <f t="shared" si="438"/>
        <v>0</v>
      </c>
      <c r="T1605" s="3">
        <f>IF(AND($K1605=1,AND(对接源_02物料!$X405="公司筐",N(对接源_02物料!$V405)&lt;&gt;0)),1,0)</f>
        <v>0</v>
      </c>
      <c r="U1605" s="3">
        <f t="shared" si="439"/>
        <v>19</v>
      </c>
      <c r="V1605" s="3">
        <f>IF(AND($L1605=1,AND(对接源_02物料!$X405="自备筐",N(对接源_02物料!$V405)&lt;&gt;0)),1,0)</f>
        <v>0</v>
      </c>
      <c r="W1605" s="3">
        <f t="shared" si="440"/>
        <v>8</v>
      </c>
      <c r="X1605" s="3">
        <f>IF(AND($L1605=1,AND(对接源_02物料!$X405="自备筐",N(对接源_02物料!$T405)&lt;&gt;0)),1,0)</f>
        <v>0</v>
      </c>
      <c r="Y1605" s="3">
        <f t="shared" si="441"/>
        <v>0</v>
      </c>
      <c r="Z1605" s="3">
        <f>IF(AND($M1605=1,对接源_02物料!$D405="原料入库"),1,0)</f>
        <v>0</v>
      </c>
      <c r="AA1605" s="3">
        <f t="shared" si="442"/>
        <v>24</v>
      </c>
      <c r="AB1605" s="3">
        <f>IF(AND($M1605=1,LEFT(对接源_02物料!$D405,4)="原料出库"),1,0)</f>
        <v>0</v>
      </c>
      <c r="AC1605" s="3">
        <f t="shared" si="443"/>
        <v>0</v>
      </c>
      <c r="AD1605" s="3">
        <f>IF(AND($M1605=1,LEFT(对接源_02物料!$D405,4)="成品出库"),1,0)</f>
        <v>0</v>
      </c>
      <c r="AE1605" s="3">
        <f t="shared" si="444"/>
        <v>0</v>
      </c>
      <c r="AF1605" s="3">
        <f>IF(AND($N1605=1,AND(LEFT(对接源_02物料!$D405,4)="包装物料",N(对接源_02物料!$K405)&lt;&gt;0)),1,0)</f>
        <v>0</v>
      </c>
      <c r="AG1605" s="3">
        <f t="shared" si="445"/>
        <v>5</v>
      </c>
      <c r="AH1605" s="3">
        <f>IF(AND($N1605=1,AND(对接源_02物料!$D405="周转筐－销售出库",N(对接源_02物料!$K405)&lt;&gt;0)),1,0)</f>
        <v>0</v>
      </c>
      <c r="AI1605" s="3">
        <f t="shared" si="446"/>
        <v>0</v>
      </c>
      <c r="AL1605" s="3">
        <v>0</v>
      </c>
      <c r="AM1605" s="3">
        <f t="shared" si="447"/>
        <v>1</v>
      </c>
      <c r="AN1605" s="3" t="str">
        <f t="shared" si="434"/>
        <v/>
      </c>
      <c r="AO1605" s="3">
        <v>0</v>
      </c>
      <c r="AP1605" s="3">
        <f t="shared" si="448"/>
        <v>8</v>
      </c>
      <c r="AR1605">
        <f t="shared" si="449"/>
        <v>0</v>
      </c>
      <c r="AS1605">
        <f t="shared" si="450"/>
        <v>5</v>
      </c>
    </row>
    <row r="1606" customHeight="1" spans="1:45">
      <c r="A1606" s="3" t="str">
        <f>IF(对接源_02物料!$C406="","",对接源_02物料!$C406)</f>
        <v/>
      </c>
      <c r="B1606" s="3">
        <f t="shared" si="435"/>
        <v>0</v>
      </c>
      <c r="C1606" s="3">
        <f t="shared" si="436"/>
        <v>21</v>
      </c>
      <c r="K1606" s="3">
        <f>IF(OR($K$1="",对接源_02物料!$C406="",对接源_02物料!$C406&lt;&gt;$K$1,对接源_02物料!$B406=""),0,IF(OR(N(对接源_02物料!$B406)&lt;$K$2,N(对接源_02物料!$B406)&gt;$K$3),0,1))</f>
        <v>0</v>
      </c>
      <c r="L1606" s="3">
        <f>IF(OR($L$1="",对接源_02物料!$C406="",对接源_02物料!$C406&lt;&gt;$L$1,对接源_02物料!$B406=""),0,IF(OR(N(对接源_02物料!$B406)&lt;$L$2,N(对接源_02物料!$B406)&gt;$L$3),0,1))</f>
        <v>0</v>
      </c>
      <c r="M1606" s="3">
        <f>IF(OR($M$1="",对接源_02物料!$C406="",对接源_02物料!$C406&lt;&gt;$M$1,对接源_02物料!$B406=""),0,IF(OR(N(对接源_02物料!$B406)&lt;$M$2,N(对接源_02物料!$B406)&gt;$M$3),0,1))</f>
        <v>0</v>
      </c>
      <c r="N1606" s="3">
        <f>IF(OR($N$1="",对接源_02物料!$C406="",对接源_02物料!$C406&lt;&gt;$N$1,对接源_02物料!$B406=""),0,IF(OR(N(对接源_02物料!$B406)&lt;$N$2,N(对接源_02物料!$B406)&gt;$N$3),0,1))</f>
        <v>0</v>
      </c>
      <c r="P1606" s="3">
        <f>IF(AND($K1606=1,AND(对接源_02物料!$X406="公司筐",N(对接源_02物料!$T406)&lt;&gt;0)),1,0)</f>
        <v>0</v>
      </c>
      <c r="Q1606" s="3">
        <f t="shared" si="437"/>
        <v>8</v>
      </c>
      <c r="R1606" s="3">
        <f>IF(AND($K1606=1,AND(对接源_02物料!$X406="公司筐",N(对接源_02物料!$U406)&lt;&gt;0)),1,0)</f>
        <v>0</v>
      </c>
      <c r="S1606" s="3">
        <f t="shared" si="438"/>
        <v>0</v>
      </c>
      <c r="T1606" s="3">
        <f>IF(AND($K1606=1,AND(对接源_02物料!$X406="公司筐",N(对接源_02物料!$V406)&lt;&gt;0)),1,0)</f>
        <v>0</v>
      </c>
      <c r="U1606" s="3">
        <f t="shared" si="439"/>
        <v>19</v>
      </c>
      <c r="V1606" s="3">
        <f>IF(AND($L1606=1,AND(对接源_02物料!$X406="自备筐",N(对接源_02物料!$V406)&lt;&gt;0)),1,0)</f>
        <v>0</v>
      </c>
      <c r="W1606" s="3">
        <f t="shared" si="440"/>
        <v>8</v>
      </c>
      <c r="X1606" s="3">
        <f>IF(AND($L1606=1,AND(对接源_02物料!$X406="自备筐",N(对接源_02物料!$T406)&lt;&gt;0)),1,0)</f>
        <v>0</v>
      </c>
      <c r="Y1606" s="3">
        <f t="shared" si="441"/>
        <v>0</v>
      </c>
      <c r="Z1606" s="3">
        <f>IF(AND($M1606=1,对接源_02物料!$D406="原料入库"),1,0)</f>
        <v>0</v>
      </c>
      <c r="AA1606" s="3">
        <f t="shared" si="442"/>
        <v>24</v>
      </c>
      <c r="AB1606" s="3">
        <f>IF(AND($M1606=1,LEFT(对接源_02物料!$D406,4)="原料出库"),1,0)</f>
        <v>0</v>
      </c>
      <c r="AC1606" s="3">
        <f t="shared" si="443"/>
        <v>0</v>
      </c>
      <c r="AD1606" s="3">
        <f>IF(AND($M1606=1,LEFT(对接源_02物料!$D406,4)="成品出库"),1,0)</f>
        <v>0</v>
      </c>
      <c r="AE1606" s="3">
        <f t="shared" si="444"/>
        <v>0</v>
      </c>
      <c r="AF1606" s="3">
        <f>IF(AND($N1606=1,AND(LEFT(对接源_02物料!$D406,4)="包装物料",N(对接源_02物料!$K406)&lt;&gt;0)),1,0)</f>
        <v>0</v>
      </c>
      <c r="AG1606" s="3">
        <f t="shared" si="445"/>
        <v>5</v>
      </c>
      <c r="AH1606" s="3">
        <f>IF(AND($N1606=1,AND(对接源_02物料!$D406="周转筐－销售出库",N(对接源_02物料!$K406)&lt;&gt;0)),1,0)</f>
        <v>0</v>
      </c>
      <c r="AI1606" s="3">
        <f t="shared" si="446"/>
        <v>0</v>
      </c>
      <c r="AL1606" s="3">
        <v>0</v>
      </c>
      <c r="AM1606" s="3">
        <f t="shared" si="447"/>
        <v>1</v>
      </c>
      <c r="AN1606" s="3" t="str">
        <f t="shared" si="434"/>
        <v/>
      </c>
      <c r="AO1606" s="3">
        <v>0</v>
      </c>
      <c r="AP1606" s="3">
        <f t="shared" si="448"/>
        <v>8</v>
      </c>
      <c r="AR1606">
        <f t="shared" si="449"/>
        <v>0</v>
      </c>
      <c r="AS1606">
        <f t="shared" si="450"/>
        <v>5</v>
      </c>
    </row>
    <row r="1607" customHeight="1" spans="1:45">
      <c r="A1607" s="3" t="str">
        <f>IF(对接源_02物料!$C407="","",对接源_02物料!$C407)</f>
        <v/>
      </c>
      <c r="B1607" s="3">
        <f t="shared" si="435"/>
        <v>0</v>
      </c>
      <c r="C1607" s="3">
        <f t="shared" si="436"/>
        <v>21</v>
      </c>
      <c r="K1607" s="3">
        <f>IF(OR($K$1="",对接源_02物料!$C407="",对接源_02物料!$C407&lt;&gt;$K$1,对接源_02物料!$B407=""),0,IF(OR(N(对接源_02物料!$B407)&lt;$K$2,N(对接源_02物料!$B407)&gt;$K$3),0,1))</f>
        <v>0</v>
      </c>
      <c r="L1607" s="3">
        <f>IF(OR($L$1="",对接源_02物料!$C407="",对接源_02物料!$C407&lt;&gt;$L$1,对接源_02物料!$B407=""),0,IF(OR(N(对接源_02物料!$B407)&lt;$L$2,N(对接源_02物料!$B407)&gt;$L$3),0,1))</f>
        <v>0</v>
      </c>
      <c r="M1607" s="3">
        <f>IF(OR($M$1="",对接源_02物料!$C407="",对接源_02物料!$C407&lt;&gt;$M$1,对接源_02物料!$B407=""),0,IF(OR(N(对接源_02物料!$B407)&lt;$M$2,N(对接源_02物料!$B407)&gt;$M$3),0,1))</f>
        <v>0</v>
      </c>
      <c r="N1607" s="3">
        <f>IF(OR($N$1="",对接源_02物料!$C407="",对接源_02物料!$C407&lt;&gt;$N$1,对接源_02物料!$B407=""),0,IF(OR(N(对接源_02物料!$B407)&lt;$N$2,N(对接源_02物料!$B407)&gt;$N$3),0,1))</f>
        <v>0</v>
      </c>
      <c r="P1607" s="3">
        <f>IF(AND($K1607=1,AND(对接源_02物料!$X407="公司筐",N(对接源_02物料!$T407)&lt;&gt;0)),1,0)</f>
        <v>0</v>
      </c>
      <c r="Q1607" s="3">
        <f t="shared" si="437"/>
        <v>8</v>
      </c>
      <c r="R1607" s="3">
        <f>IF(AND($K1607=1,AND(对接源_02物料!$X407="公司筐",N(对接源_02物料!$U407)&lt;&gt;0)),1,0)</f>
        <v>0</v>
      </c>
      <c r="S1607" s="3">
        <f t="shared" si="438"/>
        <v>0</v>
      </c>
      <c r="T1607" s="3">
        <f>IF(AND($K1607=1,AND(对接源_02物料!$X407="公司筐",N(对接源_02物料!$V407)&lt;&gt;0)),1,0)</f>
        <v>0</v>
      </c>
      <c r="U1607" s="3">
        <f t="shared" si="439"/>
        <v>19</v>
      </c>
      <c r="V1607" s="3">
        <f>IF(AND($L1607=1,AND(对接源_02物料!$X407="自备筐",N(对接源_02物料!$V407)&lt;&gt;0)),1,0)</f>
        <v>0</v>
      </c>
      <c r="W1607" s="3">
        <f t="shared" si="440"/>
        <v>8</v>
      </c>
      <c r="X1607" s="3">
        <f>IF(AND($L1607=1,AND(对接源_02物料!$X407="自备筐",N(对接源_02物料!$T407)&lt;&gt;0)),1,0)</f>
        <v>0</v>
      </c>
      <c r="Y1607" s="3">
        <f t="shared" si="441"/>
        <v>0</v>
      </c>
      <c r="Z1607" s="3">
        <f>IF(AND($M1607=1,对接源_02物料!$D407="原料入库"),1,0)</f>
        <v>0</v>
      </c>
      <c r="AA1607" s="3">
        <f t="shared" si="442"/>
        <v>24</v>
      </c>
      <c r="AB1607" s="3">
        <f>IF(AND($M1607=1,LEFT(对接源_02物料!$D407,4)="原料出库"),1,0)</f>
        <v>0</v>
      </c>
      <c r="AC1607" s="3">
        <f t="shared" si="443"/>
        <v>0</v>
      </c>
      <c r="AD1607" s="3">
        <f>IF(AND($M1607=1,LEFT(对接源_02物料!$D407,4)="成品出库"),1,0)</f>
        <v>0</v>
      </c>
      <c r="AE1607" s="3">
        <f t="shared" si="444"/>
        <v>0</v>
      </c>
      <c r="AF1607" s="3">
        <f>IF(AND($N1607=1,AND(LEFT(对接源_02物料!$D407,4)="包装物料",N(对接源_02物料!$K407)&lt;&gt;0)),1,0)</f>
        <v>0</v>
      </c>
      <c r="AG1607" s="3">
        <f t="shared" si="445"/>
        <v>5</v>
      </c>
      <c r="AH1607" s="3">
        <f>IF(AND($N1607=1,AND(对接源_02物料!$D407="周转筐－销售出库",N(对接源_02物料!$K407)&lt;&gt;0)),1,0)</f>
        <v>0</v>
      </c>
      <c r="AI1607" s="3">
        <f t="shared" si="446"/>
        <v>0</v>
      </c>
      <c r="AL1607" s="3">
        <v>0</v>
      </c>
      <c r="AM1607" s="3">
        <f t="shared" si="447"/>
        <v>1</v>
      </c>
      <c r="AN1607" s="3" t="str">
        <f t="shared" si="434"/>
        <v/>
      </c>
      <c r="AO1607" s="3">
        <v>0</v>
      </c>
      <c r="AP1607" s="3">
        <f t="shared" si="448"/>
        <v>8</v>
      </c>
      <c r="AR1607">
        <f t="shared" si="449"/>
        <v>0</v>
      </c>
      <c r="AS1607">
        <f t="shared" si="450"/>
        <v>5</v>
      </c>
    </row>
    <row r="1608" customHeight="1" spans="1:45">
      <c r="A1608" s="3" t="str">
        <f>IF(对接源_02物料!$C408="","",对接源_02物料!$C408)</f>
        <v/>
      </c>
      <c r="B1608" s="3">
        <f t="shared" si="435"/>
        <v>0</v>
      </c>
      <c r="C1608" s="3">
        <f t="shared" si="436"/>
        <v>21</v>
      </c>
      <c r="K1608" s="3">
        <f>IF(OR($K$1="",对接源_02物料!$C408="",对接源_02物料!$C408&lt;&gt;$K$1,对接源_02物料!$B408=""),0,IF(OR(N(对接源_02物料!$B408)&lt;$K$2,N(对接源_02物料!$B408)&gt;$K$3),0,1))</f>
        <v>0</v>
      </c>
      <c r="L1608" s="3">
        <f>IF(OR($L$1="",对接源_02物料!$C408="",对接源_02物料!$C408&lt;&gt;$L$1,对接源_02物料!$B408=""),0,IF(OR(N(对接源_02物料!$B408)&lt;$L$2,N(对接源_02物料!$B408)&gt;$L$3),0,1))</f>
        <v>0</v>
      </c>
      <c r="M1608" s="3">
        <f>IF(OR($M$1="",对接源_02物料!$C408="",对接源_02物料!$C408&lt;&gt;$M$1,对接源_02物料!$B408=""),0,IF(OR(N(对接源_02物料!$B408)&lt;$M$2,N(对接源_02物料!$B408)&gt;$M$3),0,1))</f>
        <v>0</v>
      </c>
      <c r="N1608" s="3">
        <f>IF(OR($N$1="",对接源_02物料!$C408="",对接源_02物料!$C408&lt;&gt;$N$1,对接源_02物料!$B408=""),0,IF(OR(N(对接源_02物料!$B408)&lt;$N$2,N(对接源_02物料!$B408)&gt;$N$3),0,1))</f>
        <v>0</v>
      </c>
      <c r="P1608" s="3">
        <f>IF(AND($K1608=1,AND(对接源_02物料!$X408="公司筐",N(对接源_02物料!$T408)&lt;&gt;0)),1,0)</f>
        <v>0</v>
      </c>
      <c r="Q1608" s="3">
        <f t="shared" si="437"/>
        <v>8</v>
      </c>
      <c r="R1608" s="3">
        <f>IF(AND($K1608=1,AND(对接源_02物料!$X408="公司筐",N(对接源_02物料!$U408)&lt;&gt;0)),1,0)</f>
        <v>0</v>
      </c>
      <c r="S1608" s="3">
        <f t="shared" si="438"/>
        <v>0</v>
      </c>
      <c r="T1608" s="3">
        <f>IF(AND($K1608=1,AND(对接源_02物料!$X408="公司筐",N(对接源_02物料!$V408)&lt;&gt;0)),1,0)</f>
        <v>0</v>
      </c>
      <c r="U1608" s="3">
        <f t="shared" si="439"/>
        <v>19</v>
      </c>
      <c r="V1608" s="3">
        <f>IF(AND($L1608=1,AND(对接源_02物料!$X408="自备筐",N(对接源_02物料!$V408)&lt;&gt;0)),1,0)</f>
        <v>0</v>
      </c>
      <c r="W1608" s="3">
        <f t="shared" si="440"/>
        <v>8</v>
      </c>
      <c r="X1608" s="3">
        <f>IF(AND($L1608=1,AND(对接源_02物料!$X408="自备筐",N(对接源_02物料!$T408)&lt;&gt;0)),1,0)</f>
        <v>0</v>
      </c>
      <c r="Y1608" s="3">
        <f t="shared" si="441"/>
        <v>0</v>
      </c>
      <c r="Z1608" s="3">
        <f>IF(AND($M1608=1,对接源_02物料!$D408="原料入库"),1,0)</f>
        <v>0</v>
      </c>
      <c r="AA1608" s="3">
        <f t="shared" si="442"/>
        <v>24</v>
      </c>
      <c r="AB1608" s="3">
        <f>IF(AND($M1608=1,LEFT(对接源_02物料!$D408,4)="原料出库"),1,0)</f>
        <v>0</v>
      </c>
      <c r="AC1608" s="3">
        <f t="shared" si="443"/>
        <v>0</v>
      </c>
      <c r="AD1608" s="3">
        <f>IF(AND($M1608=1,LEFT(对接源_02物料!$D408,4)="成品出库"),1,0)</f>
        <v>0</v>
      </c>
      <c r="AE1608" s="3">
        <f t="shared" si="444"/>
        <v>0</v>
      </c>
      <c r="AF1608" s="3">
        <f>IF(AND($N1608=1,AND(LEFT(对接源_02物料!$D408,4)="包装物料",N(对接源_02物料!$K408)&lt;&gt;0)),1,0)</f>
        <v>0</v>
      </c>
      <c r="AG1608" s="3">
        <f t="shared" si="445"/>
        <v>5</v>
      </c>
      <c r="AH1608" s="3">
        <f>IF(AND($N1608=1,AND(对接源_02物料!$D408="周转筐－销售出库",N(对接源_02物料!$K408)&lt;&gt;0)),1,0)</f>
        <v>0</v>
      </c>
      <c r="AI1608" s="3">
        <f t="shared" si="446"/>
        <v>0</v>
      </c>
      <c r="AL1608" s="3">
        <v>0</v>
      </c>
      <c r="AM1608" s="3">
        <f t="shared" si="447"/>
        <v>1</v>
      </c>
      <c r="AN1608" s="3" t="str">
        <f t="shared" si="434"/>
        <v/>
      </c>
      <c r="AO1608" s="3">
        <v>0</v>
      </c>
      <c r="AP1608" s="3">
        <f t="shared" si="448"/>
        <v>8</v>
      </c>
      <c r="AR1608">
        <f t="shared" si="449"/>
        <v>0</v>
      </c>
      <c r="AS1608">
        <f t="shared" si="450"/>
        <v>5</v>
      </c>
    </row>
    <row r="1609" customHeight="1" spans="1:45">
      <c r="A1609" s="3" t="str">
        <f>IF(对接源_02物料!$C409="","",对接源_02物料!$C409)</f>
        <v/>
      </c>
      <c r="B1609" s="3">
        <f t="shared" si="435"/>
        <v>0</v>
      </c>
      <c r="C1609" s="3">
        <f t="shared" si="436"/>
        <v>21</v>
      </c>
      <c r="K1609" s="3">
        <f>IF(OR($K$1="",对接源_02物料!$C409="",对接源_02物料!$C409&lt;&gt;$K$1,对接源_02物料!$B409=""),0,IF(OR(N(对接源_02物料!$B409)&lt;$K$2,N(对接源_02物料!$B409)&gt;$K$3),0,1))</f>
        <v>0</v>
      </c>
      <c r="L1609" s="3">
        <f>IF(OR($L$1="",对接源_02物料!$C409="",对接源_02物料!$C409&lt;&gt;$L$1,对接源_02物料!$B409=""),0,IF(OR(N(对接源_02物料!$B409)&lt;$L$2,N(对接源_02物料!$B409)&gt;$L$3),0,1))</f>
        <v>0</v>
      </c>
      <c r="M1609" s="3">
        <f>IF(OR($M$1="",对接源_02物料!$C409="",对接源_02物料!$C409&lt;&gt;$M$1,对接源_02物料!$B409=""),0,IF(OR(N(对接源_02物料!$B409)&lt;$M$2,N(对接源_02物料!$B409)&gt;$M$3),0,1))</f>
        <v>0</v>
      </c>
      <c r="N1609" s="3">
        <f>IF(OR($N$1="",对接源_02物料!$C409="",对接源_02物料!$C409&lt;&gt;$N$1,对接源_02物料!$B409=""),0,IF(OR(N(对接源_02物料!$B409)&lt;$N$2,N(对接源_02物料!$B409)&gt;$N$3),0,1))</f>
        <v>0</v>
      </c>
      <c r="P1609" s="3">
        <f>IF(AND($K1609=1,AND(对接源_02物料!$X409="公司筐",N(对接源_02物料!$T409)&lt;&gt;0)),1,0)</f>
        <v>0</v>
      </c>
      <c r="Q1609" s="3">
        <f t="shared" si="437"/>
        <v>8</v>
      </c>
      <c r="R1609" s="3">
        <f>IF(AND($K1609=1,AND(对接源_02物料!$X409="公司筐",N(对接源_02物料!$U409)&lt;&gt;0)),1,0)</f>
        <v>0</v>
      </c>
      <c r="S1609" s="3">
        <f t="shared" si="438"/>
        <v>0</v>
      </c>
      <c r="T1609" s="3">
        <f>IF(AND($K1609=1,AND(对接源_02物料!$X409="公司筐",N(对接源_02物料!$V409)&lt;&gt;0)),1,0)</f>
        <v>0</v>
      </c>
      <c r="U1609" s="3">
        <f t="shared" si="439"/>
        <v>19</v>
      </c>
      <c r="V1609" s="3">
        <f>IF(AND($L1609=1,AND(对接源_02物料!$X409="自备筐",N(对接源_02物料!$V409)&lt;&gt;0)),1,0)</f>
        <v>0</v>
      </c>
      <c r="W1609" s="3">
        <f t="shared" si="440"/>
        <v>8</v>
      </c>
      <c r="X1609" s="3">
        <f>IF(AND($L1609=1,AND(对接源_02物料!$X409="自备筐",N(对接源_02物料!$T409)&lt;&gt;0)),1,0)</f>
        <v>0</v>
      </c>
      <c r="Y1609" s="3">
        <f t="shared" si="441"/>
        <v>0</v>
      </c>
      <c r="Z1609" s="3">
        <f>IF(AND($M1609=1,对接源_02物料!$D409="原料入库"),1,0)</f>
        <v>0</v>
      </c>
      <c r="AA1609" s="3">
        <f t="shared" si="442"/>
        <v>24</v>
      </c>
      <c r="AB1609" s="3">
        <f>IF(AND($M1609=1,LEFT(对接源_02物料!$D409,4)="原料出库"),1,0)</f>
        <v>0</v>
      </c>
      <c r="AC1609" s="3">
        <f t="shared" si="443"/>
        <v>0</v>
      </c>
      <c r="AD1609" s="3">
        <f>IF(AND($M1609=1,LEFT(对接源_02物料!$D409,4)="成品出库"),1,0)</f>
        <v>0</v>
      </c>
      <c r="AE1609" s="3">
        <f t="shared" si="444"/>
        <v>0</v>
      </c>
      <c r="AF1609" s="3">
        <f>IF(AND($N1609=1,AND(LEFT(对接源_02物料!$D409,4)="包装物料",N(对接源_02物料!$K409)&lt;&gt;0)),1,0)</f>
        <v>0</v>
      </c>
      <c r="AG1609" s="3">
        <f t="shared" si="445"/>
        <v>5</v>
      </c>
      <c r="AH1609" s="3">
        <f>IF(AND($N1609=1,AND(对接源_02物料!$D409="周转筐－销售出库",N(对接源_02物料!$K409)&lt;&gt;0)),1,0)</f>
        <v>0</v>
      </c>
      <c r="AI1609" s="3">
        <f t="shared" si="446"/>
        <v>0</v>
      </c>
      <c r="AL1609" s="3">
        <v>0</v>
      </c>
      <c r="AM1609" s="3">
        <f t="shared" si="447"/>
        <v>1</v>
      </c>
      <c r="AN1609" s="3" t="str">
        <f t="shared" si="434"/>
        <v/>
      </c>
      <c r="AO1609" s="3">
        <v>0</v>
      </c>
      <c r="AP1609" s="3">
        <f t="shared" si="448"/>
        <v>8</v>
      </c>
      <c r="AR1609">
        <f t="shared" si="449"/>
        <v>0</v>
      </c>
      <c r="AS1609">
        <f t="shared" si="450"/>
        <v>5</v>
      </c>
    </row>
    <row r="1610" customHeight="1" spans="1:45">
      <c r="A1610" s="3" t="str">
        <f>IF(对接源_02物料!$C410="","",对接源_02物料!$C410)</f>
        <v/>
      </c>
      <c r="B1610" s="3">
        <f t="shared" si="435"/>
        <v>0</v>
      </c>
      <c r="C1610" s="3">
        <f t="shared" si="436"/>
        <v>21</v>
      </c>
      <c r="K1610" s="3">
        <f>IF(OR($K$1="",对接源_02物料!$C410="",对接源_02物料!$C410&lt;&gt;$K$1,对接源_02物料!$B410=""),0,IF(OR(N(对接源_02物料!$B410)&lt;$K$2,N(对接源_02物料!$B410)&gt;$K$3),0,1))</f>
        <v>0</v>
      </c>
      <c r="L1610" s="3">
        <f>IF(OR($L$1="",对接源_02物料!$C410="",对接源_02物料!$C410&lt;&gt;$L$1,对接源_02物料!$B410=""),0,IF(OR(N(对接源_02物料!$B410)&lt;$L$2,N(对接源_02物料!$B410)&gt;$L$3),0,1))</f>
        <v>0</v>
      </c>
      <c r="M1610" s="3">
        <f>IF(OR($M$1="",对接源_02物料!$C410="",对接源_02物料!$C410&lt;&gt;$M$1,对接源_02物料!$B410=""),0,IF(OR(N(对接源_02物料!$B410)&lt;$M$2,N(对接源_02物料!$B410)&gt;$M$3),0,1))</f>
        <v>0</v>
      </c>
      <c r="N1610" s="3">
        <f>IF(OR($N$1="",对接源_02物料!$C410="",对接源_02物料!$C410&lt;&gt;$N$1,对接源_02物料!$B410=""),0,IF(OR(N(对接源_02物料!$B410)&lt;$N$2,N(对接源_02物料!$B410)&gt;$N$3),0,1))</f>
        <v>0</v>
      </c>
      <c r="P1610" s="3">
        <f>IF(AND($K1610=1,AND(对接源_02物料!$X410="公司筐",N(对接源_02物料!$T410)&lt;&gt;0)),1,0)</f>
        <v>0</v>
      </c>
      <c r="Q1610" s="3">
        <f t="shared" si="437"/>
        <v>8</v>
      </c>
      <c r="R1610" s="3">
        <f>IF(AND($K1610=1,AND(对接源_02物料!$X410="公司筐",N(对接源_02物料!$U410)&lt;&gt;0)),1,0)</f>
        <v>0</v>
      </c>
      <c r="S1610" s="3">
        <f t="shared" si="438"/>
        <v>0</v>
      </c>
      <c r="T1610" s="3">
        <f>IF(AND($K1610=1,AND(对接源_02物料!$X410="公司筐",N(对接源_02物料!$V410)&lt;&gt;0)),1,0)</f>
        <v>0</v>
      </c>
      <c r="U1610" s="3">
        <f t="shared" si="439"/>
        <v>19</v>
      </c>
      <c r="V1610" s="3">
        <f>IF(AND($L1610=1,AND(对接源_02物料!$X410="自备筐",N(对接源_02物料!$V410)&lt;&gt;0)),1,0)</f>
        <v>0</v>
      </c>
      <c r="W1610" s="3">
        <f t="shared" si="440"/>
        <v>8</v>
      </c>
      <c r="X1610" s="3">
        <f>IF(AND($L1610=1,AND(对接源_02物料!$X410="自备筐",N(对接源_02物料!$T410)&lt;&gt;0)),1,0)</f>
        <v>0</v>
      </c>
      <c r="Y1610" s="3">
        <f t="shared" si="441"/>
        <v>0</v>
      </c>
      <c r="Z1610" s="3">
        <f>IF(AND($M1610=1,对接源_02物料!$D410="原料入库"),1,0)</f>
        <v>0</v>
      </c>
      <c r="AA1610" s="3">
        <f t="shared" si="442"/>
        <v>24</v>
      </c>
      <c r="AB1610" s="3">
        <f>IF(AND($M1610=1,LEFT(对接源_02物料!$D410,4)="原料出库"),1,0)</f>
        <v>0</v>
      </c>
      <c r="AC1610" s="3">
        <f t="shared" si="443"/>
        <v>0</v>
      </c>
      <c r="AD1610" s="3">
        <f>IF(AND($M1610=1,LEFT(对接源_02物料!$D410,4)="成品出库"),1,0)</f>
        <v>0</v>
      </c>
      <c r="AE1610" s="3">
        <f t="shared" si="444"/>
        <v>0</v>
      </c>
      <c r="AF1610" s="3">
        <f>IF(AND($N1610=1,AND(LEFT(对接源_02物料!$D410,4)="包装物料",N(对接源_02物料!$K410)&lt;&gt;0)),1,0)</f>
        <v>0</v>
      </c>
      <c r="AG1610" s="3">
        <f t="shared" si="445"/>
        <v>5</v>
      </c>
      <c r="AH1610" s="3">
        <f>IF(AND($N1610=1,AND(对接源_02物料!$D410="周转筐－销售出库",N(对接源_02物料!$K410)&lt;&gt;0)),1,0)</f>
        <v>0</v>
      </c>
      <c r="AI1610" s="3">
        <f t="shared" si="446"/>
        <v>0</v>
      </c>
      <c r="AL1610" s="3">
        <v>0</v>
      </c>
      <c r="AM1610" s="3">
        <f t="shared" si="447"/>
        <v>1</v>
      </c>
      <c r="AN1610" s="3" t="str">
        <f t="shared" si="434"/>
        <v/>
      </c>
      <c r="AO1610" s="3">
        <v>0</v>
      </c>
      <c r="AP1610" s="3">
        <f t="shared" si="448"/>
        <v>8</v>
      </c>
      <c r="AR1610">
        <f t="shared" si="449"/>
        <v>0</v>
      </c>
      <c r="AS1610">
        <f t="shared" si="450"/>
        <v>5</v>
      </c>
    </row>
    <row r="1611" customHeight="1" spans="1:45">
      <c r="A1611" s="3" t="str">
        <f>IF(对接源_02物料!$C411="","",对接源_02物料!$C411)</f>
        <v/>
      </c>
      <c r="B1611" s="3">
        <f t="shared" si="435"/>
        <v>0</v>
      </c>
      <c r="C1611" s="3">
        <f t="shared" si="436"/>
        <v>21</v>
      </c>
      <c r="K1611" s="3">
        <f>IF(OR($K$1="",对接源_02物料!$C411="",对接源_02物料!$C411&lt;&gt;$K$1,对接源_02物料!$B411=""),0,IF(OR(N(对接源_02物料!$B411)&lt;$K$2,N(对接源_02物料!$B411)&gt;$K$3),0,1))</f>
        <v>0</v>
      </c>
      <c r="L1611" s="3">
        <f>IF(OR($L$1="",对接源_02物料!$C411="",对接源_02物料!$C411&lt;&gt;$L$1,对接源_02物料!$B411=""),0,IF(OR(N(对接源_02物料!$B411)&lt;$L$2,N(对接源_02物料!$B411)&gt;$L$3),0,1))</f>
        <v>0</v>
      </c>
      <c r="M1611" s="3">
        <f>IF(OR($M$1="",对接源_02物料!$C411="",对接源_02物料!$C411&lt;&gt;$M$1,对接源_02物料!$B411=""),0,IF(OR(N(对接源_02物料!$B411)&lt;$M$2,N(对接源_02物料!$B411)&gt;$M$3),0,1))</f>
        <v>0</v>
      </c>
      <c r="N1611" s="3">
        <f>IF(OR($N$1="",对接源_02物料!$C411="",对接源_02物料!$C411&lt;&gt;$N$1,对接源_02物料!$B411=""),0,IF(OR(N(对接源_02物料!$B411)&lt;$N$2,N(对接源_02物料!$B411)&gt;$N$3),0,1))</f>
        <v>0</v>
      </c>
      <c r="P1611" s="3">
        <f>IF(AND($K1611=1,AND(对接源_02物料!$X411="公司筐",N(对接源_02物料!$T411)&lt;&gt;0)),1,0)</f>
        <v>0</v>
      </c>
      <c r="Q1611" s="3">
        <f t="shared" si="437"/>
        <v>8</v>
      </c>
      <c r="R1611" s="3">
        <f>IF(AND($K1611=1,AND(对接源_02物料!$X411="公司筐",N(对接源_02物料!$U411)&lt;&gt;0)),1,0)</f>
        <v>0</v>
      </c>
      <c r="S1611" s="3">
        <f t="shared" si="438"/>
        <v>0</v>
      </c>
      <c r="T1611" s="3">
        <f>IF(AND($K1611=1,AND(对接源_02物料!$X411="公司筐",N(对接源_02物料!$V411)&lt;&gt;0)),1,0)</f>
        <v>0</v>
      </c>
      <c r="U1611" s="3">
        <f t="shared" si="439"/>
        <v>19</v>
      </c>
      <c r="V1611" s="3">
        <f>IF(AND($L1611=1,AND(对接源_02物料!$X411="自备筐",N(对接源_02物料!$V411)&lt;&gt;0)),1,0)</f>
        <v>0</v>
      </c>
      <c r="W1611" s="3">
        <f t="shared" si="440"/>
        <v>8</v>
      </c>
      <c r="X1611" s="3">
        <f>IF(AND($L1611=1,AND(对接源_02物料!$X411="自备筐",N(对接源_02物料!$T411)&lt;&gt;0)),1,0)</f>
        <v>0</v>
      </c>
      <c r="Y1611" s="3">
        <f t="shared" si="441"/>
        <v>0</v>
      </c>
      <c r="Z1611" s="3">
        <f>IF(AND($M1611=1,对接源_02物料!$D411="原料入库"),1,0)</f>
        <v>0</v>
      </c>
      <c r="AA1611" s="3">
        <f t="shared" si="442"/>
        <v>24</v>
      </c>
      <c r="AB1611" s="3">
        <f>IF(AND($M1611=1,LEFT(对接源_02物料!$D411,4)="原料出库"),1,0)</f>
        <v>0</v>
      </c>
      <c r="AC1611" s="3">
        <f t="shared" si="443"/>
        <v>0</v>
      </c>
      <c r="AD1611" s="3">
        <f>IF(AND($M1611=1,LEFT(对接源_02物料!$D411,4)="成品出库"),1,0)</f>
        <v>0</v>
      </c>
      <c r="AE1611" s="3">
        <f t="shared" si="444"/>
        <v>0</v>
      </c>
      <c r="AF1611" s="3">
        <f>IF(AND($N1611=1,AND(LEFT(对接源_02物料!$D411,4)="包装物料",N(对接源_02物料!$K411)&lt;&gt;0)),1,0)</f>
        <v>0</v>
      </c>
      <c r="AG1611" s="3">
        <f t="shared" si="445"/>
        <v>5</v>
      </c>
      <c r="AH1611" s="3">
        <f>IF(AND($N1611=1,AND(对接源_02物料!$D411="周转筐－销售出库",N(对接源_02物料!$K411)&lt;&gt;0)),1,0)</f>
        <v>0</v>
      </c>
      <c r="AI1611" s="3">
        <f t="shared" si="446"/>
        <v>0</v>
      </c>
      <c r="AL1611" s="3">
        <v>0</v>
      </c>
      <c r="AM1611" s="3">
        <f t="shared" si="447"/>
        <v>1</v>
      </c>
      <c r="AN1611" s="3" t="str">
        <f t="shared" si="434"/>
        <v/>
      </c>
      <c r="AO1611" s="3">
        <v>0</v>
      </c>
      <c r="AP1611" s="3">
        <f t="shared" si="448"/>
        <v>8</v>
      </c>
      <c r="AR1611">
        <f t="shared" si="449"/>
        <v>0</v>
      </c>
      <c r="AS1611">
        <f t="shared" si="450"/>
        <v>5</v>
      </c>
    </row>
    <row r="1612" customHeight="1" spans="1:45">
      <c r="A1612" s="3" t="str">
        <f>IF(对接源_02物料!$C412="","",对接源_02物料!$C412)</f>
        <v/>
      </c>
      <c r="B1612" s="3">
        <f t="shared" si="435"/>
        <v>0</v>
      </c>
      <c r="C1612" s="3">
        <f t="shared" si="436"/>
        <v>21</v>
      </c>
      <c r="K1612" s="3">
        <f>IF(OR($K$1="",对接源_02物料!$C412="",对接源_02物料!$C412&lt;&gt;$K$1,对接源_02物料!$B412=""),0,IF(OR(N(对接源_02物料!$B412)&lt;$K$2,N(对接源_02物料!$B412)&gt;$K$3),0,1))</f>
        <v>0</v>
      </c>
      <c r="L1612" s="3">
        <f>IF(OR($L$1="",对接源_02物料!$C412="",对接源_02物料!$C412&lt;&gt;$L$1,对接源_02物料!$B412=""),0,IF(OR(N(对接源_02物料!$B412)&lt;$L$2,N(对接源_02物料!$B412)&gt;$L$3),0,1))</f>
        <v>0</v>
      </c>
      <c r="M1612" s="3">
        <f>IF(OR($M$1="",对接源_02物料!$C412="",对接源_02物料!$C412&lt;&gt;$M$1,对接源_02物料!$B412=""),0,IF(OR(N(对接源_02物料!$B412)&lt;$M$2,N(对接源_02物料!$B412)&gt;$M$3),0,1))</f>
        <v>0</v>
      </c>
      <c r="N1612" s="3">
        <f>IF(OR($N$1="",对接源_02物料!$C412="",对接源_02物料!$C412&lt;&gt;$N$1,对接源_02物料!$B412=""),0,IF(OR(N(对接源_02物料!$B412)&lt;$N$2,N(对接源_02物料!$B412)&gt;$N$3),0,1))</f>
        <v>0</v>
      </c>
      <c r="P1612" s="3">
        <f>IF(AND($K1612=1,AND(对接源_02物料!$X412="公司筐",N(对接源_02物料!$T412)&lt;&gt;0)),1,0)</f>
        <v>0</v>
      </c>
      <c r="Q1612" s="3">
        <f t="shared" si="437"/>
        <v>8</v>
      </c>
      <c r="R1612" s="3">
        <f>IF(AND($K1612=1,AND(对接源_02物料!$X412="公司筐",N(对接源_02物料!$U412)&lt;&gt;0)),1,0)</f>
        <v>0</v>
      </c>
      <c r="S1612" s="3">
        <f t="shared" si="438"/>
        <v>0</v>
      </c>
      <c r="T1612" s="3">
        <f>IF(AND($K1612=1,AND(对接源_02物料!$X412="公司筐",N(对接源_02物料!$V412)&lt;&gt;0)),1,0)</f>
        <v>0</v>
      </c>
      <c r="U1612" s="3">
        <f t="shared" si="439"/>
        <v>19</v>
      </c>
      <c r="V1612" s="3">
        <f>IF(AND($L1612=1,AND(对接源_02物料!$X412="自备筐",N(对接源_02物料!$V412)&lt;&gt;0)),1,0)</f>
        <v>0</v>
      </c>
      <c r="W1612" s="3">
        <f t="shared" si="440"/>
        <v>8</v>
      </c>
      <c r="X1612" s="3">
        <f>IF(AND($L1612=1,AND(对接源_02物料!$X412="自备筐",N(对接源_02物料!$T412)&lt;&gt;0)),1,0)</f>
        <v>0</v>
      </c>
      <c r="Y1612" s="3">
        <f t="shared" si="441"/>
        <v>0</v>
      </c>
      <c r="Z1612" s="3">
        <f>IF(AND($M1612=1,对接源_02物料!$D412="原料入库"),1,0)</f>
        <v>0</v>
      </c>
      <c r="AA1612" s="3">
        <f t="shared" si="442"/>
        <v>24</v>
      </c>
      <c r="AB1612" s="3">
        <f>IF(AND($M1612=1,LEFT(对接源_02物料!$D412,4)="原料出库"),1,0)</f>
        <v>0</v>
      </c>
      <c r="AC1612" s="3">
        <f t="shared" si="443"/>
        <v>0</v>
      </c>
      <c r="AD1612" s="3">
        <f>IF(AND($M1612=1,LEFT(对接源_02物料!$D412,4)="成品出库"),1,0)</f>
        <v>0</v>
      </c>
      <c r="AE1612" s="3">
        <f t="shared" si="444"/>
        <v>0</v>
      </c>
      <c r="AF1612" s="3">
        <f>IF(AND($N1612=1,AND(LEFT(对接源_02物料!$D412,4)="包装物料",N(对接源_02物料!$K412)&lt;&gt;0)),1,0)</f>
        <v>0</v>
      </c>
      <c r="AG1612" s="3">
        <f t="shared" si="445"/>
        <v>5</v>
      </c>
      <c r="AH1612" s="3">
        <f>IF(AND($N1612=1,AND(对接源_02物料!$D412="周转筐－销售出库",N(对接源_02物料!$K412)&lt;&gt;0)),1,0)</f>
        <v>0</v>
      </c>
      <c r="AI1612" s="3">
        <f t="shared" si="446"/>
        <v>0</v>
      </c>
      <c r="AL1612" s="3">
        <v>0</v>
      </c>
      <c r="AM1612" s="3">
        <f t="shared" si="447"/>
        <v>1</v>
      </c>
      <c r="AN1612" s="3" t="str">
        <f t="shared" si="434"/>
        <v/>
      </c>
      <c r="AO1612" s="3">
        <v>0</v>
      </c>
      <c r="AP1612" s="3">
        <f t="shared" si="448"/>
        <v>8</v>
      </c>
      <c r="AR1612">
        <f t="shared" si="449"/>
        <v>0</v>
      </c>
      <c r="AS1612">
        <f t="shared" si="450"/>
        <v>5</v>
      </c>
    </row>
    <row r="1613" customHeight="1" spans="1:45">
      <c r="A1613" s="3" t="str">
        <f>IF(对接源_02物料!$C413="","",对接源_02物料!$C413)</f>
        <v/>
      </c>
      <c r="B1613" s="3">
        <f t="shared" si="435"/>
        <v>0</v>
      </c>
      <c r="C1613" s="3">
        <f t="shared" si="436"/>
        <v>21</v>
      </c>
      <c r="K1613" s="3">
        <f>IF(OR($K$1="",对接源_02物料!$C413="",对接源_02物料!$C413&lt;&gt;$K$1,对接源_02物料!$B413=""),0,IF(OR(N(对接源_02物料!$B413)&lt;$K$2,N(对接源_02物料!$B413)&gt;$K$3),0,1))</f>
        <v>0</v>
      </c>
      <c r="L1613" s="3">
        <f>IF(OR($L$1="",对接源_02物料!$C413="",对接源_02物料!$C413&lt;&gt;$L$1,对接源_02物料!$B413=""),0,IF(OR(N(对接源_02物料!$B413)&lt;$L$2,N(对接源_02物料!$B413)&gt;$L$3),0,1))</f>
        <v>0</v>
      </c>
      <c r="M1613" s="3">
        <f>IF(OR($M$1="",对接源_02物料!$C413="",对接源_02物料!$C413&lt;&gt;$M$1,对接源_02物料!$B413=""),0,IF(OR(N(对接源_02物料!$B413)&lt;$M$2,N(对接源_02物料!$B413)&gt;$M$3),0,1))</f>
        <v>0</v>
      </c>
      <c r="N1613" s="3">
        <f>IF(OR($N$1="",对接源_02物料!$C413="",对接源_02物料!$C413&lt;&gt;$N$1,对接源_02物料!$B413=""),0,IF(OR(N(对接源_02物料!$B413)&lt;$N$2,N(对接源_02物料!$B413)&gt;$N$3),0,1))</f>
        <v>0</v>
      </c>
      <c r="P1613" s="3">
        <f>IF(AND($K1613=1,AND(对接源_02物料!$X413="公司筐",N(对接源_02物料!$T413)&lt;&gt;0)),1,0)</f>
        <v>0</v>
      </c>
      <c r="Q1613" s="3">
        <f t="shared" si="437"/>
        <v>8</v>
      </c>
      <c r="R1613" s="3">
        <f>IF(AND($K1613=1,AND(对接源_02物料!$X413="公司筐",N(对接源_02物料!$U413)&lt;&gt;0)),1,0)</f>
        <v>0</v>
      </c>
      <c r="S1613" s="3">
        <f t="shared" si="438"/>
        <v>0</v>
      </c>
      <c r="T1613" s="3">
        <f>IF(AND($K1613=1,AND(对接源_02物料!$X413="公司筐",N(对接源_02物料!$V413)&lt;&gt;0)),1,0)</f>
        <v>0</v>
      </c>
      <c r="U1613" s="3">
        <f t="shared" si="439"/>
        <v>19</v>
      </c>
      <c r="V1613" s="3">
        <f>IF(AND($L1613=1,AND(对接源_02物料!$X413="自备筐",N(对接源_02物料!$V413)&lt;&gt;0)),1,0)</f>
        <v>0</v>
      </c>
      <c r="W1613" s="3">
        <f t="shared" si="440"/>
        <v>8</v>
      </c>
      <c r="X1613" s="3">
        <f>IF(AND($L1613=1,AND(对接源_02物料!$X413="自备筐",N(对接源_02物料!$T413)&lt;&gt;0)),1,0)</f>
        <v>0</v>
      </c>
      <c r="Y1613" s="3">
        <f t="shared" si="441"/>
        <v>0</v>
      </c>
      <c r="Z1613" s="3">
        <f>IF(AND($M1613=1,对接源_02物料!$D413="原料入库"),1,0)</f>
        <v>0</v>
      </c>
      <c r="AA1613" s="3">
        <f t="shared" si="442"/>
        <v>24</v>
      </c>
      <c r="AB1613" s="3">
        <f>IF(AND($M1613=1,LEFT(对接源_02物料!$D413,4)="原料出库"),1,0)</f>
        <v>0</v>
      </c>
      <c r="AC1613" s="3">
        <f t="shared" si="443"/>
        <v>0</v>
      </c>
      <c r="AD1613" s="3">
        <f>IF(AND($M1613=1,LEFT(对接源_02物料!$D413,4)="成品出库"),1,0)</f>
        <v>0</v>
      </c>
      <c r="AE1613" s="3">
        <f t="shared" si="444"/>
        <v>0</v>
      </c>
      <c r="AF1613" s="3">
        <f>IF(AND($N1613=1,AND(LEFT(对接源_02物料!$D413,4)="包装物料",N(对接源_02物料!$K413)&lt;&gt;0)),1,0)</f>
        <v>0</v>
      </c>
      <c r="AG1613" s="3">
        <f t="shared" si="445"/>
        <v>5</v>
      </c>
      <c r="AH1613" s="3">
        <f>IF(AND($N1613=1,AND(对接源_02物料!$D413="周转筐－销售出库",N(对接源_02物料!$K413)&lt;&gt;0)),1,0)</f>
        <v>0</v>
      </c>
      <c r="AI1613" s="3">
        <f t="shared" si="446"/>
        <v>0</v>
      </c>
      <c r="AL1613" s="3">
        <v>0</v>
      </c>
      <c r="AM1613" s="3">
        <f t="shared" si="447"/>
        <v>1</v>
      </c>
      <c r="AN1613" s="3" t="str">
        <f t="shared" si="434"/>
        <v/>
      </c>
      <c r="AO1613" s="3">
        <v>0</v>
      </c>
      <c r="AP1613" s="3">
        <f t="shared" si="448"/>
        <v>8</v>
      </c>
      <c r="AR1613">
        <f t="shared" si="449"/>
        <v>0</v>
      </c>
      <c r="AS1613">
        <f t="shared" si="450"/>
        <v>5</v>
      </c>
    </row>
    <row r="1614" customHeight="1" spans="1:45">
      <c r="A1614" s="3" t="str">
        <f>IF(对接源_02物料!$C414="","",对接源_02物料!$C414)</f>
        <v/>
      </c>
      <c r="B1614" s="3">
        <f t="shared" si="435"/>
        <v>0</v>
      </c>
      <c r="C1614" s="3">
        <f t="shared" si="436"/>
        <v>21</v>
      </c>
      <c r="K1614" s="3">
        <f>IF(OR($K$1="",对接源_02物料!$C414="",对接源_02物料!$C414&lt;&gt;$K$1,对接源_02物料!$B414=""),0,IF(OR(N(对接源_02物料!$B414)&lt;$K$2,N(对接源_02物料!$B414)&gt;$K$3),0,1))</f>
        <v>0</v>
      </c>
      <c r="L1614" s="3">
        <f>IF(OR($L$1="",对接源_02物料!$C414="",对接源_02物料!$C414&lt;&gt;$L$1,对接源_02物料!$B414=""),0,IF(OR(N(对接源_02物料!$B414)&lt;$L$2,N(对接源_02物料!$B414)&gt;$L$3),0,1))</f>
        <v>0</v>
      </c>
      <c r="M1614" s="3">
        <f>IF(OR($M$1="",对接源_02物料!$C414="",对接源_02物料!$C414&lt;&gt;$M$1,对接源_02物料!$B414=""),0,IF(OR(N(对接源_02物料!$B414)&lt;$M$2,N(对接源_02物料!$B414)&gt;$M$3),0,1))</f>
        <v>0</v>
      </c>
      <c r="N1614" s="3">
        <f>IF(OR($N$1="",对接源_02物料!$C414="",对接源_02物料!$C414&lt;&gt;$N$1,对接源_02物料!$B414=""),0,IF(OR(N(对接源_02物料!$B414)&lt;$N$2,N(对接源_02物料!$B414)&gt;$N$3),0,1))</f>
        <v>0</v>
      </c>
      <c r="P1614" s="3">
        <f>IF(AND($K1614=1,AND(对接源_02物料!$X414="公司筐",N(对接源_02物料!$T414)&lt;&gt;0)),1,0)</f>
        <v>0</v>
      </c>
      <c r="Q1614" s="3">
        <f t="shared" si="437"/>
        <v>8</v>
      </c>
      <c r="R1614" s="3">
        <f>IF(AND($K1614=1,AND(对接源_02物料!$X414="公司筐",N(对接源_02物料!$U414)&lt;&gt;0)),1,0)</f>
        <v>0</v>
      </c>
      <c r="S1614" s="3">
        <f t="shared" si="438"/>
        <v>0</v>
      </c>
      <c r="T1614" s="3">
        <f>IF(AND($K1614=1,AND(对接源_02物料!$X414="公司筐",N(对接源_02物料!$V414)&lt;&gt;0)),1,0)</f>
        <v>0</v>
      </c>
      <c r="U1614" s="3">
        <f t="shared" si="439"/>
        <v>19</v>
      </c>
      <c r="V1614" s="3">
        <f>IF(AND($L1614=1,AND(对接源_02物料!$X414="自备筐",N(对接源_02物料!$V414)&lt;&gt;0)),1,0)</f>
        <v>0</v>
      </c>
      <c r="W1614" s="3">
        <f t="shared" si="440"/>
        <v>8</v>
      </c>
      <c r="X1614" s="3">
        <f>IF(AND($L1614=1,AND(对接源_02物料!$X414="自备筐",N(对接源_02物料!$T414)&lt;&gt;0)),1,0)</f>
        <v>0</v>
      </c>
      <c r="Y1614" s="3">
        <f t="shared" si="441"/>
        <v>0</v>
      </c>
      <c r="Z1614" s="3">
        <f>IF(AND($M1614=1,对接源_02物料!$D414="原料入库"),1,0)</f>
        <v>0</v>
      </c>
      <c r="AA1614" s="3">
        <f t="shared" si="442"/>
        <v>24</v>
      </c>
      <c r="AB1614" s="3">
        <f>IF(AND($M1614=1,LEFT(对接源_02物料!$D414,4)="原料出库"),1,0)</f>
        <v>0</v>
      </c>
      <c r="AC1614" s="3">
        <f t="shared" si="443"/>
        <v>0</v>
      </c>
      <c r="AD1614" s="3">
        <f>IF(AND($M1614=1,LEFT(对接源_02物料!$D414,4)="成品出库"),1,0)</f>
        <v>0</v>
      </c>
      <c r="AE1614" s="3">
        <f t="shared" si="444"/>
        <v>0</v>
      </c>
      <c r="AF1614" s="3">
        <f>IF(AND($N1614=1,AND(LEFT(对接源_02物料!$D414,4)="包装物料",N(对接源_02物料!$K414)&lt;&gt;0)),1,0)</f>
        <v>0</v>
      </c>
      <c r="AG1614" s="3">
        <f t="shared" si="445"/>
        <v>5</v>
      </c>
      <c r="AH1614" s="3">
        <f>IF(AND($N1614=1,AND(对接源_02物料!$D414="周转筐－销售出库",N(对接源_02物料!$K414)&lt;&gt;0)),1,0)</f>
        <v>0</v>
      </c>
      <c r="AI1614" s="3">
        <f t="shared" si="446"/>
        <v>0</v>
      </c>
      <c r="AL1614" s="3">
        <v>0</v>
      </c>
      <c r="AM1614" s="3">
        <f t="shared" si="447"/>
        <v>1</v>
      </c>
      <c r="AN1614" s="3" t="str">
        <f t="shared" si="434"/>
        <v/>
      </c>
      <c r="AO1614" s="3">
        <v>0</v>
      </c>
      <c r="AP1614" s="3">
        <f t="shared" si="448"/>
        <v>8</v>
      </c>
      <c r="AR1614">
        <f t="shared" si="449"/>
        <v>0</v>
      </c>
      <c r="AS1614">
        <f t="shared" si="450"/>
        <v>5</v>
      </c>
    </row>
    <row r="1615" customHeight="1" spans="1:45">
      <c r="A1615" s="3" t="str">
        <f>IF(对接源_02物料!$C415="","",对接源_02物料!$C415)</f>
        <v/>
      </c>
      <c r="B1615" s="3">
        <f t="shared" si="435"/>
        <v>0</v>
      </c>
      <c r="C1615" s="3">
        <f t="shared" si="436"/>
        <v>21</v>
      </c>
      <c r="K1615" s="3">
        <f>IF(OR($K$1="",对接源_02物料!$C415="",对接源_02物料!$C415&lt;&gt;$K$1,对接源_02物料!$B415=""),0,IF(OR(N(对接源_02物料!$B415)&lt;$K$2,N(对接源_02物料!$B415)&gt;$K$3),0,1))</f>
        <v>0</v>
      </c>
      <c r="L1615" s="3">
        <f>IF(OR($L$1="",对接源_02物料!$C415="",对接源_02物料!$C415&lt;&gt;$L$1,对接源_02物料!$B415=""),0,IF(OR(N(对接源_02物料!$B415)&lt;$L$2,N(对接源_02物料!$B415)&gt;$L$3),0,1))</f>
        <v>0</v>
      </c>
      <c r="M1615" s="3">
        <f>IF(OR($M$1="",对接源_02物料!$C415="",对接源_02物料!$C415&lt;&gt;$M$1,对接源_02物料!$B415=""),0,IF(OR(N(对接源_02物料!$B415)&lt;$M$2,N(对接源_02物料!$B415)&gt;$M$3),0,1))</f>
        <v>0</v>
      </c>
      <c r="N1615" s="3">
        <f>IF(OR($N$1="",对接源_02物料!$C415="",对接源_02物料!$C415&lt;&gt;$N$1,对接源_02物料!$B415=""),0,IF(OR(N(对接源_02物料!$B415)&lt;$N$2,N(对接源_02物料!$B415)&gt;$N$3),0,1))</f>
        <v>0</v>
      </c>
      <c r="P1615" s="3">
        <f>IF(AND($K1615=1,AND(对接源_02物料!$X415="公司筐",N(对接源_02物料!$T415)&lt;&gt;0)),1,0)</f>
        <v>0</v>
      </c>
      <c r="Q1615" s="3">
        <f t="shared" si="437"/>
        <v>8</v>
      </c>
      <c r="R1615" s="3">
        <f>IF(AND($K1615=1,AND(对接源_02物料!$X415="公司筐",N(对接源_02物料!$U415)&lt;&gt;0)),1,0)</f>
        <v>0</v>
      </c>
      <c r="S1615" s="3">
        <f t="shared" si="438"/>
        <v>0</v>
      </c>
      <c r="T1615" s="3">
        <f>IF(AND($K1615=1,AND(对接源_02物料!$X415="公司筐",N(对接源_02物料!$V415)&lt;&gt;0)),1,0)</f>
        <v>0</v>
      </c>
      <c r="U1615" s="3">
        <f t="shared" si="439"/>
        <v>19</v>
      </c>
      <c r="V1615" s="3">
        <f>IF(AND($L1615=1,AND(对接源_02物料!$X415="自备筐",N(对接源_02物料!$V415)&lt;&gt;0)),1,0)</f>
        <v>0</v>
      </c>
      <c r="W1615" s="3">
        <f t="shared" si="440"/>
        <v>8</v>
      </c>
      <c r="X1615" s="3">
        <f>IF(AND($L1615=1,AND(对接源_02物料!$X415="自备筐",N(对接源_02物料!$T415)&lt;&gt;0)),1,0)</f>
        <v>0</v>
      </c>
      <c r="Y1615" s="3">
        <f t="shared" si="441"/>
        <v>0</v>
      </c>
      <c r="Z1615" s="3">
        <f>IF(AND($M1615=1,对接源_02物料!$D415="原料入库"),1,0)</f>
        <v>0</v>
      </c>
      <c r="AA1615" s="3">
        <f t="shared" si="442"/>
        <v>24</v>
      </c>
      <c r="AB1615" s="3">
        <f>IF(AND($M1615=1,LEFT(对接源_02物料!$D415,4)="原料出库"),1,0)</f>
        <v>0</v>
      </c>
      <c r="AC1615" s="3">
        <f t="shared" si="443"/>
        <v>0</v>
      </c>
      <c r="AD1615" s="3">
        <f>IF(AND($M1615=1,LEFT(对接源_02物料!$D415,4)="成品出库"),1,0)</f>
        <v>0</v>
      </c>
      <c r="AE1615" s="3">
        <f t="shared" si="444"/>
        <v>0</v>
      </c>
      <c r="AF1615" s="3">
        <f>IF(AND($N1615=1,AND(LEFT(对接源_02物料!$D415,4)="包装物料",N(对接源_02物料!$K415)&lt;&gt;0)),1,0)</f>
        <v>0</v>
      </c>
      <c r="AG1615" s="3">
        <f t="shared" si="445"/>
        <v>5</v>
      </c>
      <c r="AH1615" s="3">
        <f>IF(AND($N1615=1,AND(对接源_02物料!$D415="周转筐－销售出库",N(对接源_02物料!$K415)&lt;&gt;0)),1,0)</f>
        <v>0</v>
      </c>
      <c r="AI1615" s="3">
        <f t="shared" si="446"/>
        <v>0</v>
      </c>
      <c r="AL1615" s="3">
        <v>0</v>
      </c>
      <c r="AM1615" s="3">
        <f t="shared" si="447"/>
        <v>1</v>
      </c>
      <c r="AN1615" s="3" t="str">
        <f t="shared" si="434"/>
        <v/>
      </c>
      <c r="AO1615" s="3">
        <v>0</v>
      </c>
      <c r="AP1615" s="3">
        <f t="shared" si="448"/>
        <v>8</v>
      </c>
      <c r="AR1615">
        <f t="shared" si="449"/>
        <v>0</v>
      </c>
      <c r="AS1615">
        <f t="shared" si="450"/>
        <v>5</v>
      </c>
    </row>
    <row r="1616" customHeight="1" spans="1:45">
      <c r="A1616" s="3" t="str">
        <f>IF(对接源_02物料!$C416="","",对接源_02物料!$C416)</f>
        <v/>
      </c>
      <c r="B1616" s="3">
        <f t="shared" si="435"/>
        <v>0</v>
      </c>
      <c r="C1616" s="3">
        <f t="shared" si="436"/>
        <v>21</v>
      </c>
      <c r="K1616" s="3">
        <f>IF(OR($K$1="",对接源_02物料!$C416="",对接源_02物料!$C416&lt;&gt;$K$1,对接源_02物料!$B416=""),0,IF(OR(N(对接源_02物料!$B416)&lt;$K$2,N(对接源_02物料!$B416)&gt;$K$3),0,1))</f>
        <v>0</v>
      </c>
      <c r="L1616" s="3">
        <f>IF(OR($L$1="",对接源_02物料!$C416="",对接源_02物料!$C416&lt;&gt;$L$1,对接源_02物料!$B416=""),0,IF(OR(N(对接源_02物料!$B416)&lt;$L$2,N(对接源_02物料!$B416)&gt;$L$3),0,1))</f>
        <v>0</v>
      </c>
      <c r="M1616" s="3">
        <f>IF(OR($M$1="",对接源_02物料!$C416="",对接源_02物料!$C416&lt;&gt;$M$1,对接源_02物料!$B416=""),0,IF(OR(N(对接源_02物料!$B416)&lt;$M$2,N(对接源_02物料!$B416)&gt;$M$3),0,1))</f>
        <v>0</v>
      </c>
      <c r="N1616" s="3">
        <f>IF(OR($N$1="",对接源_02物料!$C416="",对接源_02物料!$C416&lt;&gt;$N$1,对接源_02物料!$B416=""),0,IF(OR(N(对接源_02物料!$B416)&lt;$N$2,N(对接源_02物料!$B416)&gt;$N$3),0,1))</f>
        <v>0</v>
      </c>
      <c r="P1616" s="3">
        <f>IF(AND($K1616=1,AND(对接源_02物料!$X416="公司筐",N(对接源_02物料!$T416)&lt;&gt;0)),1,0)</f>
        <v>0</v>
      </c>
      <c r="Q1616" s="3">
        <f t="shared" si="437"/>
        <v>8</v>
      </c>
      <c r="R1616" s="3">
        <f>IF(AND($K1616=1,AND(对接源_02物料!$X416="公司筐",N(对接源_02物料!$U416)&lt;&gt;0)),1,0)</f>
        <v>0</v>
      </c>
      <c r="S1616" s="3">
        <f t="shared" si="438"/>
        <v>0</v>
      </c>
      <c r="T1616" s="3">
        <f>IF(AND($K1616=1,AND(对接源_02物料!$X416="公司筐",N(对接源_02物料!$V416)&lt;&gt;0)),1,0)</f>
        <v>0</v>
      </c>
      <c r="U1616" s="3">
        <f t="shared" si="439"/>
        <v>19</v>
      </c>
      <c r="V1616" s="3">
        <f>IF(AND($L1616=1,AND(对接源_02物料!$X416="自备筐",N(对接源_02物料!$V416)&lt;&gt;0)),1,0)</f>
        <v>0</v>
      </c>
      <c r="W1616" s="3">
        <f t="shared" si="440"/>
        <v>8</v>
      </c>
      <c r="X1616" s="3">
        <f>IF(AND($L1616=1,AND(对接源_02物料!$X416="自备筐",N(对接源_02物料!$T416)&lt;&gt;0)),1,0)</f>
        <v>0</v>
      </c>
      <c r="Y1616" s="3">
        <f t="shared" si="441"/>
        <v>0</v>
      </c>
      <c r="Z1616" s="3">
        <f>IF(AND($M1616=1,对接源_02物料!$D416="原料入库"),1,0)</f>
        <v>0</v>
      </c>
      <c r="AA1616" s="3">
        <f t="shared" si="442"/>
        <v>24</v>
      </c>
      <c r="AB1616" s="3">
        <f>IF(AND($M1616=1,LEFT(对接源_02物料!$D416,4)="原料出库"),1,0)</f>
        <v>0</v>
      </c>
      <c r="AC1616" s="3">
        <f t="shared" si="443"/>
        <v>0</v>
      </c>
      <c r="AD1616" s="3">
        <f>IF(AND($M1616=1,LEFT(对接源_02物料!$D416,4)="成品出库"),1,0)</f>
        <v>0</v>
      </c>
      <c r="AE1616" s="3">
        <f t="shared" si="444"/>
        <v>0</v>
      </c>
      <c r="AF1616" s="3">
        <f>IF(AND($N1616=1,AND(LEFT(对接源_02物料!$D416,4)="包装物料",N(对接源_02物料!$K416)&lt;&gt;0)),1,0)</f>
        <v>0</v>
      </c>
      <c r="AG1616" s="3">
        <f t="shared" si="445"/>
        <v>5</v>
      </c>
      <c r="AH1616" s="3">
        <f>IF(AND($N1616=1,AND(对接源_02物料!$D416="周转筐－销售出库",N(对接源_02物料!$K416)&lt;&gt;0)),1,0)</f>
        <v>0</v>
      </c>
      <c r="AI1616" s="3">
        <f t="shared" si="446"/>
        <v>0</v>
      </c>
      <c r="AL1616" s="3">
        <v>0</v>
      </c>
      <c r="AM1616" s="3">
        <f t="shared" si="447"/>
        <v>1</v>
      </c>
      <c r="AN1616" s="3" t="str">
        <f t="shared" si="434"/>
        <v/>
      </c>
      <c r="AO1616" s="3">
        <v>0</v>
      </c>
      <c r="AP1616" s="3">
        <f t="shared" si="448"/>
        <v>8</v>
      </c>
      <c r="AR1616">
        <f t="shared" si="449"/>
        <v>0</v>
      </c>
      <c r="AS1616">
        <f t="shared" si="450"/>
        <v>5</v>
      </c>
    </row>
    <row r="1617" customHeight="1" spans="1:45">
      <c r="A1617" s="3" t="str">
        <f>IF(对接源_02物料!$C417="","",对接源_02物料!$C417)</f>
        <v/>
      </c>
      <c r="B1617" s="3">
        <f t="shared" si="435"/>
        <v>0</v>
      </c>
      <c r="C1617" s="3">
        <f t="shared" si="436"/>
        <v>21</v>
      </c>
      <c r="K1617" s="3">
        <f>IF(OR($K$1="",对接源_02物料!$C417="",对接源_02物料!$C417&lt;&gt;$K$1,对接源_02物料!$B417=""),0,IF(OR(N(对接源_02物料!$B417)&lt;$K$2,N(对接源_02物料!$B417)&gt;$K$3),0,1))</f>
        <v>0</v>
      </c>
      <c r="L1617" s="3">
        <f>IF(OR($L$1="",对接源_02物料!$C417="",对接源_02物料!$C417&lt;&gt;$L$1,对接源_02物料!$B417=""),0,IF(OR(N(对接源_02物料!$B417)&lt;$L$2,N(对接源_02物料!$B417)&gt;$L$3),0,1))</f>
        <v>0</v>
      </c>
      <c r="M1617" s="3">
        <f>IF(OR($M$1="",对接源_02物料!$C417="",对接源_02物料!$C417&lt;&gt;$M$1,对接源_02物料!$B417=""),0,IF(OR(N(对接源_02物料!$B417)&lt;$M$2,N(对接源_02物料!$B417)&gt;$M$3),0,1))</f>
        <v>0</v>
      </c>
      <c r="N1617" s="3">
        <f>IF(OR($N$1="",对接源_02物料!$C417="",对接源_02物料!$C417&lt;&gt;$N$1,对接源_02物料!$B417=""),0,IF(OR(N(对接源_02物料!$B417)&lt;$N$2,N(对接源_02物料!$B417)&gt;$N$3),0,1))</f>
        <v>0</v>
      </c>
      <c r="P1617" s="3">
        <f>IF(AND($K1617=1,AND(对接源_02物料!$X417="公司筐",N(对接源_02物料!$T417)&lt;&gt;0)),1,0)</f>
        <v>0</v>
      </c>
      <c r="Q1617" s="3">
        <f t="shared" si="437"/>
        <v>8</v>
      </c>
      <c r="R1617" s="3">
        <f>IF(AND($K1617=1,AND(对接源_02物料!$X417="公司筐",N(对接源_02物料!$U417)&lt;&gt;0)),1,0)</f>
        <v>0</v>
      </c>
      <c r="S1617" s="3">
        <f t="shared" si="438"/>
        <v>0</v>
      </c>
      <c r="T1617" s="3">
        <f>IF(AND($K1617=1,AND(对接源_02物料!$X417="公司筐",N(对接源_02物料!$V417)&lt;&gt;0)),1,0)</f>
        <v>0</v>
      </c>
      <c r="U1617" s="3">
        <f t="shared" si="439"/>
        <v>19</v>
      </c>
      <c r="V1617" s="3">
        <f>IF(AND($L1617=1,AND(对接源_02物料!$X417="自备筐",N(对接源_02物料!$V417)&lt;&gt;0)),1,0)</f>
        <v>0</v>
      </c>
      <c r="W1617" s="3">
        <f t="shared" si="440"/>
        <v>8</v>
      </c>
      <c r="X1617" s="3">
        <f>IF(AND($L1617=1,AND(对接源_02物料!$X417="自备筐",N(对接源_02物料!$T417)&lt;&gt;0)),1,0)</f>
        <v>0</v>
      </c>
      <c r="Y1617" s="3">
        <f t="shared" si="441"/>
        <v>0</v>
      </c>
      <c r="Z1617" s="3">
        <f>IF(AND($M1617=1,对接源_02物料!$D417="原料入库"),1,0)</f>
        <v>0</v>
      </c>
      <c r="AA1617" s="3">
        <f t="shared" si="442"/>
        <v>24</v>
      </c>
      <c r="AB1617" s="3">
        <f>IF(AND($M1617=1,LEFT(对接源_02物料!$D417,4)="原料出库"),1,0)</f>
        <v>0</v>
      </c>
      <c r="AC1617" s="3">
        <f t="shared" si="443"/>
        <v>0</v>
      </c>
      <c r="AD1617" s="3">
        <f>IF(AND($M1617=1,LEFT(对接源_02物料!$D417,4)="成品出库"),1,0)</f>
        <v>0</v>
      </c>
      <c r="AE1617" s="3">
        <f t="shared" si="444"/>
        <v>0</v>
      </c>
      <c r="AF1617" s="3">
        <f>IF(AND($N1617=1,AND(LEFT(对接源_02物料!$D417,4)="包装物料",N(对接源_02物料!$K417)&lt;&gt;0)),1,0)</f>
        <v>0</v>
      </c>
      <c r="AG1617" s="3">
        <f t="shared" si="445"/>
        <v>5</v>
      </c>
      <c r="AH1617" s="3">
        <f>IF(AND($N1617=1,AND(对接源_02物料!$D417="周转筐－销售出库",N(对接源_02物料!$K417)&lt;&gt;0)),1,0)</f>
        <v>0</v>
      </c>
      <c r="AI1617" s="3">
        <f t="shared" si="446"/>
        <v>0</v>
      </c>
      <c r="AL1617" s="3">
        <v>0</v>
      </c>
      <c r="AM1617" s="3">
        <f t="shared" si="447"/>
        <v>1</v>
      </c>
      <c r="AN1617" s="3" t="str">
        <f t="shared" si="434"/>
        <v/>
      </c>
      <c r="AO1617" s="3">
        <v>0</v>
      </c>
      <c r="AP1617" s="3">
        <f t="shared" si="448"/>
        <v>8</v>
      </c>
      <c r="AR1617">
        <f t="shared" si="449"/>
        <v>0</v>
      </c>
      <c r="AS1617">
        <f t="shared" si="450"/>
        <v>5</v>
      </c>
    </row>
    <row r="1618" customHeight="1" spans="1:45">
      <c r="A1618" s="3" t="str">
        <f>IF(对接源_02物料!$C418="","",对接源_02物料!$C418)</f>
        <v/>
      </c>
      <c r="B1618" s="3">
        <f t="shared" si="435"/>
        <v>0</v>
      </c>
      <c r="C1618" s="3">
        <f t="shared" si="436"/>
        <v>21</v>
      </c>
      <c r="K1618" s="3">
        <f>IF(OR($K$1="",对接源_02物料!$C418="",对接源_02物料!$C418&lt;&gt;$K$1,对接源_02物料!$B418=""),0,IF(OR(N(对接源_02物料!$B418)&lt;$K$2,N(对接源_02物料!$B418)&gt;$K$3),0,1))</f>
        <v>0</v>
      </c>
      <c r="L1618" s="3">
        <f>IF(OR($L$1="",对接源_02物料!$C418="",对接源_02物料!$C418&lt;&gt;$L$1,对接源_02物料!$B418=""),0,IF(OR(N(对接源_02物料!$B418)&lt;$L$2,N(对接源_02物料!$B418)&gt;$L$3),0,1))</f>
        <v>0</v>
      </c>
      <c r="M1618" s="3">
        <f>IF(OR($M$1="",对接源_02物料!$C418="",对接源_02物料!$C418&lt;&gt;$M$1,对接源_02物料!$B418=""),0,IF(OR(N(对接源_02物料!$B418)&lt;$M$2,N(对接源_02物料!$B418)&gt;$M$3),0,1))</f>
        <v>0</v>
      </c>
      <c r="N1618" s="3">
        <f>IF(OR($N$1="",对接源_02物料!$C418="",对接源_02物料!$C418&lt;&gt;$N$1,对接源_02物料!$B418=""),0,IF(OR(N(对接源_02物料!$B418)&lt;$N$2,N(对接源_02物料!$B418)&gt;$N$3),0,1))</f>
        <v>0</v>
      </c>
      <c r="P1618" s="3">
        <f>IF(AND($K1618=1,AND(对接源_02物料!$X418="公司筐",N(对接源_02物料!$T418)&lt;&gt;0)),1,0)</f>
        <v>0</v>
      </c>
      <c r="Q1618" s="3">
        <f t="shared" si="437"/>
        <v>8</v>
      </c>
      <c r="R1618" s="3">
        <f>IF(AND($K1618=1,AND(对接源_02物料!$X418="公司筐",N(对接源_02物料!$U418)&lt;&gt;0)),1,0)</f>
        <v>0</v>
      </c>
      <c r="S1618" s="3">
        <f t="shared" si="438"/>
        <v>0</v>
      </c>
      <c r="T1618" s="3">
        <f>IF(AND($K1618=1,AND(对接源_02物料!$X418="公司筐",N(对接源_02物料!$V418)&lt;&gt;0)),1,0)</f>
        <v>0</v>
      </c>
      <c r="U1618" s="3">
        <f t="shared" si="439"/>
        <v>19</v>
      </c>
      <c r="V1618" s="3">
        <f>IF(AND($L1618=1,AND(对接源_02物料!$X418="自备筐",N(对接源_02物料!$V418)&lt;&gt;0)),1,0)</f>
        <v>0</v>
      </c>
      <c r="W1618" s="3">
        <f t="shared" si="440"/>
        <v>8</v>
      </c>
      <c r="X1618" s="3">
        <f>IF(AND($L1618=1,AND(对接源_02物料!$X418="自备筐",N(对接源_02物料!$T418)&lt;&gt;0)),1,0)</f>
        <v>0</v>
      </c>
      <c r="Y1618" s="3">
        <f t="shared" si="441"/>
        <v>0</v>
      </c>
      <c r="Z1618" s="3">
        <f>IF(AND($M1618=1,对接源_02物料!$D418="原料入库"),1,0)</f>
        <v>0</v>
      </c>
      <c r="AA1618" s="3">
        <f t="shared" si="442"/>
        <v>24</v>
      </c>
      <c r="AB1618" s="3">
        <f>IF(AND($M1618=1,LEFT(对接源_02物料!$D418,4)="原料出库"),1,0)</f>
        <v>0</v>
      </c>
      <c r="AC1618" s="3">
        <f t="shared" si="443"/>
        <v>0</v>
      </c>
      <c r="AD1618" s="3">
        <f>IF(AND($M1618=1,LEFT(对接源_02物料!$D418,4)="成品出库"),1,0)</f>
        <v>0</v>
      </c>
      <c r="AE1618" s="3">
        <f t="shared" si="444"/>
        <v>0</v>
      </c>
      <c r="AF1618" s="3">
        <f>IF(AND($N1618=1,AND(LEFT(对接源_02物料!$D418,4)="包装物料",N(对接源_02物料!$K418)&lt;&gt;0)),1,0)</f>
        <v>0</v>
      </c>
      <c r="AG1618" s="3">
        <f t="shared" si="445"/>
        <v>5</v>
      </c>
      <c r="AH1618" s="3">
        <f>IF(AND($N1618=1,AND(对接源_02物料!$D418="周转筐－销售出库",N(对接源_02物料!$K418)&lt;&gt;0)),1,0)</f>
        <v>0</v>
      </c>
      <c r="AI1618" s="3">
        <f t="shared" si="446"/>
        <v>0</v>
      </c>
      <c r="AL1618" s="3">
        <v>0</v>
      </c>
      <c r="AM1618" s="3">
        <f t="shared" si="447"/>
        <v>1</v>
      </c>
      <c r="AN1618" s="3" t="str">
        <f t="shared" si="434"/>
        <v/>
      </c>
      <c r="AO1618" s="3">
        <v>0</v>
      </c>
      <c r="AP1618" s="3">
        <f t="shared" si="448"/>
        <v>8</v>
      </c>
      <c r="AR1618">
        <f t="shared" si="449"/>
        <v>0</v>
      </c>
      <c r="AS1618">
        <f t="shared" si="450"/>
        <v>5</v>
      </c>
    </row>
    <row r="1619" customHeight="1" spans="1:45">
      <c r="A1619" s="3" t="str">
        <f>IF(对接源_02物料!$C419="","",对接源_02物料!$C419)</f>
        <v/>
      </c>
      <c r="B1619" s="3">
        <f t="shared" si="435"/>
        <v>0</v>
      </c>
      <c r="C1619" s="3">
        <f t="shared" si="436"/>
        <v>21</v>
      </c>
      <c r="K1619" s="3">
        <f>IF(OR($K$1="",对接源_02物料!$C419="",对接源_02物料!$C419&lt;&gt;$K$1,对接源_02物料!$B419=""),0,IF(OR(N(对接源_02物料!$B419)&lt;$K$2,N(对接源_02物料!$B419)&gt;$K$3),0,1))</f>
        <v>0</v>
      </c>
      <c r="L1619" s="3">
        <f>IF(OR($L$1="",对接源_02物料!$C419="",对接源_02物料!$C419&lt;&gt;$L$1,对接源_02物料!$B419=""),0,IF(OR(N(对接源_02物料!$B419)&lt;$L$2,N(对接源_02物料!$B419)&gt;$L$3),0,1))</f>
        <v>0</v>
      </c>
      <c r="M1619" s="3">
        <f>IF(OR($M$1="",对接源_02物料!$C419="",对接源_02物料!$C419&lt;&gt;$M$1,对接源_02物料!$B419=""),0,IF(OR(N(对接源_02物料!$B419)&lt;$M$2,N(对接源_02物料!$B419)&gt;$M$3),0,1))</f>
        <v>0</v>
      </c>
      <c r="N1619" s="3">
        <f>IF(OR($N$1="",对接源_02物料!$C419="",对接源_02物料!$C419&lt;&gt;$N$1,对接源_02物料!$B419=""),0,IF(OR(N(对接源_02物料!$B419)&lt;$N$2,N(对接源_02物料!$B419)&gt;$N$3),0,1))</f>
        <v>0</v>
      </c>
      <c r="P1619" s="3">
        <f>IF(AND($K1619=1,AND(对接源_02物料!$X419="公司筐",N(对接源_02物料!$T419)&lt;&gt;0)),1,0)</f>
        <v>0</v>
      </c>
      <c r="Q1619" s="3">
        <f t="shared" si="437"/>
        <v>8</v>
      </c>
      <c r="R1619" s="3">
        <f>IF(AND($K1619=1,AND(对接源_02物料!$X419="公司筐",N(对接源_02物料!$U419)&lt;&gt;0)),1,0)</f>
        <v>0</v>
      </c>
      <c r="S1619" s="3">
        <f t="shared" si="438"/>
        <v>0</v>
      </c>
      <c r="T1619" s="3">
        <f>IF(AND($K1619=1,AND(对接源_02物料!$X419="公司筐",N(对接源_02物料!$V419)&lt;&gt;0)),1,0)</f>
        <v>0</v>
      </c>
      <c r="U1619" s="3">
        <f t="shared" si="439"/>
        <v>19</v>
      </c>
      <c r="V1619" s="3">
        <f>IF(AND($L1619=1,AND(对接源_02物料!$X419="自备筐",N(对接源_02物料!$V419)&lt;&gt;0)),1,0)</f>
        <v>0</v>
      </c>
      <c r="W1619" s="3">
        <f t="shared" si="440"/>
        <v>8</v>
      </c>
      <c r="X1619" s="3">
        <f>IF(AND($L1619=1,AND(对接源_02物料!$X419="自备筐",N(对接源_02物料!$T419)&lt;&gt;0)),1,0)</f>
        <v>0</v>
      </c>
      <c r="Y1619" s="3">
        <f t="shared" si="441"/>
        <v>0</v>
      </c>
      <c r="Z1619" s="3">
        <f>IF(AND($M1619=1,对接源_02物料!$D419="原料入库"),1,0)</f>
        <v>0</v>
      </c>
      <c r="AA1619" s="3">
        <f t="shared" si="442"/>
        <v>24</v>
      </c>
      <c r="AB1619" s="3">
        <f>IF(AND($M1619=1,LEFT(对接源_02物料!$D419,4)="原料出库"),1,0)</f>
        <v>0</v>
      </c>
      <c r="AC1619" s="3">
        <f t="shared" si="443"/>
        <v>0</v>
      </c>
      <c r="AD1619" s="3">
        <f>IF(AND($M1619=1,LEFT(对接源_02物料!$D419,4)="成品出库"),1,0)</f>
        <v>0</v>
      </c>
      <c r="AE1619" s="3">
        <f t="shared" si="444"/>
        <v>0</v>
      </c>
      <c r="AF1619" s="3">
        <f>IF(AND($N1619=1,AND(LEFT(对接源_02物料!$D419,4)="包装物料",N(对接源_02物料!$K419)&lt;&gt;0)),1,0)</f>
        <v>0</v>
      </c>
      <c r="AG1619" s="3">
        <f t="shared" si="445"/>
        <v>5</v>
      </c>
      <c r="AH1619" s="3">
        <f>IF(AND($N1619=1,AND(对接源_02物料!$D419="周转筐－销售出库",N(对接源_02物料!$K419)&lt;&gt;0)),1,0)</f>
        <v>0</v>
      </c>
      <c r="AI1619" s="3">
        <f t="shared" si="446"/>
        <v>0</v>
      </c>
      <c r="AL1619" s="3">
        <v>0</v>
      </c>
      <c r="AM1619" s="3">
        <f t="shared" si="447"/>
        <v>1</v>
      </c>
      <c r="AN1619" s="3" t="str">
        <f t="shared" si="434"/>
        <v/>
      </c>
      <c r="AO1619" s="3">
        <v>0</v>
      </c>
      <c r="AP1619" s="3">
        <f t="shared" si="448"/>
        <v>8</v>
      </c>
      <c r="AR1619">
        <f t="shared" si="449"/>
        <v>0</v>
      </c>
      <c r="AS1619">
        <f t="shared" si="450"/>
        <v>5</v>
      </c>
    </row>
    <row r="1620" customHeight="1" spans="1:45">
      <c r="A1620" s="3" t="str">
        <f>IF(对接源_02物料!$C420="","",对接源_02物料!$C420)</f>
        <v/>
      </c>
      <c r="B1620" s="3">
        <f t="shared" si="435"/>
        <v>0</v>
      </c>
      <c r="C1620" s="3">
        <f t="shared" si="436"/>
        <v>21</v>
      </c>
      <c r="K1620" s="3">
        <f>IF(OR($K$1="",对接源_02物料!$C420="",对接源_02物料!$C420&lt;&gt;$K$1,对接源_02物料!$B420=""),0,IF(OR(N(对接源_02物料!$B420)&lt;$K$2,N(对接源_02物料!$B420)&gt;$K$3),0,1))</f>
        <v>0</v>
      </c>
      <c r="L1620" s="3">
        <f>IF(OR($L$1="",对接源_02物料!$C420="",对接源_02物料!$C420&lt;&gt;$L$1,对接源_02物料!$B420=""),0,IF(OR(N(对接源_02物料!$B420)&lt;$L$2,N(对接源_02物料!$B420)&gt;$L$3),0,1))</f>
        <v>0</v>
      </c>
      <c r="M1620" s="3">
        <f>IF(OR($M$1="",对接源_02物料!$C420="",对接源_02物料!$C420&lt;&gt;$M$1,对接源_02物料!$B420=""),0,IF(OR(N(对接源_02物料!$B420)&lt;$M$2,N(对接源_02物料!$B420)&gt;$M$3),0,1))</f>
        <v>0</v>
      </c>
      <c r="N1620" s="3">
        <f>IF(OR($N$1="",对接源_02物料!$C420="",对接源_02物料!$C420&lt;&gt;$N$1,对接源_02物料!$B420=""),0,IF(OR(N(对接源_02物料!$B420)&lt;$N$2,N(对接源_02物料!$B420)&gt;$N$3),0,1))</f>
        <v>0</v>
      </c>
      <c r="P1620" s="3">
        <f>IF(AND($K1620=1,AND(对接源_02物料!$X420="公司筐",N(对接源_02物料!$T420)&lt;&gt;0)),1,0)</f>
        <v>0</v>
      </c>
      <c r="Q1620" s="3">
        <f t="shared" si="437"/>
        <v>8</v>
      </c>
      <c r="R1620" s="3">
        <f>IF(AND($K1620=1,AND(对接源_02物料!$X420="公司筐",N(对接源_02物料!$U420)&lt;&gt;0)),1,0)</f>
        <v>0</v>
      </c>
      <c r="S1620" s="3">
        <f t="shared" si="438"/>
        <v>0</v>
      </c>
      <c r="T1620" s="3">
        <f>IF(AND($K1620=1,AND(对接源_02物料!$X420="公司筐",N(对接源_02物料!$V420)&lt;&gt;0)),1,0)</f>
        <v>0</v>
      </c>
      <c r="U1620" s="3">
        <f t="shared" si="439"/>
        <v>19</v>
      </c>
      <c r="V1620" s="3">
        <f>IF(AND($L1620=1,AND(对接源_02物料!$X420="自备筐",N(对接源_02物料!$V420)&lt;&gt;0)),1,0)</f>
        <v>0</v>
      </c>
      <c r="W1620" s="3">
        <f t="shared" si="440"/>
        <v>8</v>
      </c>
      <c r="X1620" s="3">
        <f>IF(AND($L1620=1,AND(对接源_02物料!$X420="自备筐",N(对接源_02物料!$T420)&lt;&gt;0)),1,0)</f>
        <v>0</v>
      </c>
      <c r="Y1620" s="3">
        <f t="shared" si="441"/>
        <v>0</v>
      </c>
      <c r="Z1620" s="3">
        <f>IF(AND($M1620=1,对接源_02物料!$D420="原料入库"),1,0)</f>
        <v>0</v>
      </c>
      <c r="AA1620" s="3">
        <f t="shared" si="442"/>
        <v>24</v>
      </c>
      <c r="AB1620" s="3">
        <f>IF(AND($M1620=1,LEFT(对接源_02物料!$D420,4)="原料出库"),1,0)</f>
        <v>0</v>
      </c>
      <c r="AC1620" s="3">
        <f t="shared" si="443"/>
        <v>0</v>
      </c>
      <c r="AD1620" s="3">
        <f>IF(AND($M1620=1,LEFT(对接源_02物料!$D420,4)="成品出库"),1,0)</f>
        <v>0</v>
      </c>
      <c r="AE1620" s="3">
        <f t="shared" si="444"/>
        <v>0</v>
      </c>
      <c r="AF1620" s="3">
        <f>IF(AND($N1620=1,AND(LEFT(对接源_02物料!$D420,4)="包装物料",N(对接源_02物料!$K420)&lt;&gt;0)),1,0)</f>
        <v>0</v>
      </c>
      <c r="AG1620" s="3">
        <f t="shared" si="445"/>
        <v>5</v>
      </c>
      <c r="AH1620" s="3">
        <f>IF(AND($N1620=1,AND(对接源_02物料!$D420="周转筐－销售出库",N(对接源_02物料!$K420)&lt;&gt;0)),1,0)</f>
        <v>0</v>
      </c>
      <c r="AI1620" s="3">
        <f t="shared" si="446"/>
        <v>0</v>
      </c>
      <c r="AL1620" s="3">
        <v>0</v>
      </c>
      <c r="AM1620" s="3">
        <f t="shared" si="447"/>
        <v>1</v>
      </c>
      <c r="AN1620" s="3" t="str">
        <f t="shared" si="434"/>
        <v/>
      </c>
      <c r="AO1620" s="3">
        <v>0</v>
      </c>
      <c r="AP1620" s="3">
        <f t="shared" si="448"/>
        <v>8</v>
      </c>
      <c r="AR1620">
        <f t="shared" si="449"/>
        <v>0</v>
      </c>
      <c r="AS1620">
        <f t="shared" si="450"/>
        <v>5</v>
      </c>
    </row>
    <row r="1621" customHeight="1" spans="1:45">
      <c r="A1621" s="3" t="str">
        <f>IF(对接源_02物料!$C421="","",对接源_02物料!$C421)</f>
        <v/>
      </c>
      <c r="B1621" s="3">
        <f t="shared" si="435"/>
        <v>0</v>
      </c>
      <c r="C1621" s="3">
        <f t="shared" si="436"/>
        <v>21</v>
      </c>
      <c r="K1621" s="3">
        <f>IF(OR($K$1="",对接源_02物料!$C421="",对接源_02物料!$C421&lt;&gt;$K$1,对接源_02物料!$B421=""),0,IF(OR(N(对接源_02物料!$B421)&lt;$K$2,N(对接源_02物料!$B421)&gt;$K$3),0,1))</f>
        <v>0</v>
      </c>
      <c r="L1621" s="3">
        <f>IF(OR($L$1="",对接源_02物料!$C421="",对接源_02物料!$C421&lt;&gt;$L$1,对接源_02物料!$B421=""),0,IF(OR(N(对接源_02物料!$B421)&lt;$L$2,N(对接源_02物料!$B421)&gt;$L$3),0,1))</f>
        <v>0</v>
      </c>
      <c r="M1621" s="3">
        <f>IF(OR($M$1="",对接源_02物料!$C421="",对接源_02物料!$C421&lt;&gt;$M$1,对接源_02物料!$B421=""),0,IF(OR(N(对接源_02物料!$B421)&lt;$M$2,N(对接源_02物料!$B421)&gt;$M$3),0,1))</f>
        <v>0</v>
      </c>
      <c r="N1621" s="3">
        <f>IF(OR($N$1="",对接源_02物料!$C421="",对接源_02物料!$C421&lt;&gt;$N$1,对接源_02物料!$B421=""),0,IF(OR(N(对接源_02物料!$B421)&lt;$N$2,N(对接源_02物料!$B421)&gt;$N$3),0,1))</f>
        <v>0</v>
      </c>
      <c r="P1621" s="3">
        <f>IF(AND($K1621=1,AND(对接源_02物料!$X421="公司筐",N(对接源_02物料!$T421)&lt;&gt;0)),1,0)</f>
        <v>0</v>
      </c>
      <c r="Q1621" s="3">
        <f t="shared" si="437"/>
        <v>8</v>
      </c>
      <c r="R1621" s="3">
        <f>IF(AND($K1621=1,AND(对接源_02物料!$X421="公司筐",N(对接源_02物料!$U421)&lt;&gt;0)),1,0)</f>
        <v>0</v>
      </c>
      <c r="S1621" s="3">
        <f t="shared" si="438"/>
        <v>0</v>
      </c>
      <c r="T1621" s="3">
        <f>IF(AND($K1621=1,AND(对接源_02物料!$X421="公司筐",N(对接源_02物料!$V421)&lt;&gt;0)),1,0)</f>
        <v>0</v>
      </c>
      <c r="U1621" s="3">
        <f t="shared" si="439"/>
        <v>19</v>
      </c>
      <c r="V1621" s="3">
        <f>IF(AND($L1621=1,AND(对接源_02物料!$X421="自备筐",N(对接源_02物料!$V421)&lt;&gt;0)),1,0)</f>
        <v>0</v>
      </c>
      <c r="W1621" s="3">
        <f t="shared" si="440"/>
        <v>8</v>
      </c>
      <c r="X1621" s="3">
        <f>IF(AND($L1621=1,AND(对接源_02物料!$X421="自备筐",N(对接源_02物料!$T421)&lt;&gt;0)),1,0)</f>
        <v>0</v>
      </c>
      <c r="Y1621" s="3">
        <f t="shared" si="441"/>
        <v>0</v>
      </c>
      <c r="Z1621" s="3">
        <f>IF(AND($M1621=1,对接源_02物料!$D421="原料入库"),1,0)</f>
        <v>0</v>
      </c>
      <c r="AA1621" s="3">
        <f t="shared" si="442"/>
        <v>24</v>
      </c>
      <c r="AB1621" s="3">
        <f>IF(AND($M1621=1,LEFT(对接源_02物料!$D421,4)="原料出库"),1,0)</f>
        <v>0</v>
      </c>
      <c r="AC1621" s="3">
        <f t="shared" si="443"/>
        <v>0</v>
      </c>
      <c r="AD1621" s="3">
        <f>IF(AND($M1621=1,LEFT(对接源_02物料!$D421,4)="成品出库"),1,0)</f>
        <v>0</v>
      </c>
      <c r="AE1621" s="3">
        <f t="shared" si="444"/>
        <v>0</v>
      </c>
      <c r="AF1621" s="3">
        <f>IF(AND($N1621=1,AND(LEFT(对接源_02物料!$D421,4)="包装物料",N(对接源_02物料!$K421)&lt;&gt;0)),1,0)</f>
        <v>0</v>
      </c>
      <c r="AG1621" s="3">
        <f t="shared" si="445"/>
        <v>5</v>
      </c>
      <c r="AH1621" s="3">
        <f>IF(AND($N1621=1,AND(对接源_02物料!$D421="周转筐－销售出库",N(对接源_02物料!$K421)&lt;&gt;0)),1,0)</f>
        <v>0</v>
      </c>
      <c r="AI1621" s="3">
        <f t="shared" si="446"/>
        <v>0</v>
      </c>
      <c r="AL1621" s="3">
        <v>0</v>
      </c>
      <c r="AM1621" s="3">
        <f t="shared" si="447"/>
        <v>1</v>
      </c>
      <c r="AN1621" s="3" t="str">
        <f t="shared" si="434"/>
        <v/>
      </c>
      <c r="AO1621" s="3">
        <v>0</v>
      </c>
      <c r="AP1621" s="3">
        <f t="shared" si="448"/>
        <v>8</v>
      </c>
      <c r="AR1621">
        <f t="shared" si="449"/>
        <v>0</v>
      </c>
      <c r="AS1621">
        <f t="shared" si="450"/>
        <v>5</v>
      </c>
    </row>
    <row r="1622" customHeight="1" spans="1:45">
      <c r="A1622" s="3" t="str">
        <f>IF(对接源_02物料!$C422="","",对接源_02物料!$C422)</f>
        <v/>
      </c>
      <c r="B1622" s="3">
        <f t="shared" si="435"/>
        <v>0</v>
      </c>
      <c r="C1622" s="3">
        <f t="shared" si="436"/>
        <v>21</v>
      </c>
      <c r="K1622" s="3">
        <f>IF(OR($K$1="",对接源_02物料!$C422="",对接源_02物料!$C422&lt;&gt;$K$1,对接源_02物料!$B422=""),0,IF(OR(N(对接源_02物料!$B422)&lt;$K$2,N(对接源_02物料!$B422)&gt;$K$3),0,1))</f>
        <v>0</v>
      </c>
      <c r="L1622" s="3">
        <f>IF(OR($L$1="",对接源_02物料!$C422="",对接源_02物料!$C422&lt;&gt;$L$1,对接源_02物料!$B422=""),0,IF(OR(N(对接源_02物料!$B422)&lt;$L$2,N(对接源_02物料!$B422)&gt;$L$3),0,1))</f>
        <v>0</v>
      </c>
      <c r="M1622" s="3">
        <f>IF(OR($M$1="",对接源_02物料!$C422="",对接源_02物料!$C422&lt;&gt;$M$1,对接源_02物料!$B422=""),0,IF(OR(N(对接源_02物料!$B422)&lt;$M$2,N(对接源_02物料!$B422)&gt;$M$3),0,1))</f>
        <v>0</v>
      </c>
      <c r="N1622" s="3">
        <f>IF(OR($N$1="",对接源_02物料!$C422="",对接源_02物料!$C422&lt;&gt;$N$1,对接源_02物料!$B422=""),0,IF(OR(N(对接源_02物料!$B422)&lt;$N$2,N(对接源_02物料!$B422)&gt;$N$3),0,1))</f>
        <v>0</v>
      </c>
      <c r="P1622" s="3">
        <f>IF(AND($K1622=1,AND(对接源_02物料!$X422="公司筐",N(对接源_02物料!$T422)&lt;&gt;0)),1,0)</f>
        <v>0</v>
      </c>
      <c r="Q1622" s="3">
        <f t="shared" si="437"/>
        <v>8</v>
      </c>
      <c r="R1622" s="3">
        <f>IF(AND($K1622=1,AND(对接源_02物料!$X422="公司筐",N(对接源_02物料!$U422)&lt;&gt;0)),1,0)</f>
        <v>0</v>
      </c>
      <c r="S1622" s="3">
        <f t="shared" si="438"/>
        <v>0</v>
      </c>
      <c r="T1622" s="3">
        <f>IF(AND($K1622=1,AND(对接源_02物料!$X422="公司筐",N(对接源_02物料!$V422)&lt;&gt;0)),1,0)</f>
        <v>0</v>
      </c>
      <c r="U1622" s="3">
        <f t="shared" si="439"/>
        <v>19</v>
      </c>
      <c r="V1622" s="3">
        <f>IF(AND($L1622=1,AND(对接源_02物料!$X422="自备筐",N(对接源_02物料!$V422)&lt;&gt;0)),1,0)</f>
        <v>0</v>
      </c>
      <c r="W1622" s="3">
        <f t="shared" si="440"/>
        <v>8</v>
      </c>
      <c r="X1622" s="3">
        <f>IF(AND($L1622=1,AND(对接源_02物料!$X422="自备筐",N(对接源_02物料!$T422)&lt;&gt;0)),1,0)</f>
        <v>0</v>
      </c>
      <c r="Y1622" s="3">
        <f t="shared" si="441"/>
        <v>0</v>
      </c>
      <c r="Z1622" s="3">
        <f>IF(AND($M1622=1,对接源_02物料!$D422="原料入库"),1,0)</f>
        <v>0</v>
      </c>
      <c r="AA1622" s="3">
        <f t="shared" si="442"/>
        <v>24</v>
      </c>
      <c r="AB1622" s="3">
        <f>IF(AND($M1622=1,LEFT(对接源_02物料!$D422,4)="原料出库"),1,0)</f>
        <v>0</v>
      </c>
      <c r="AC1622" s="3">
        <f t="shared" si="443"/>
        <v>0</v>
      </c>
      <c r="AD1622" s="3">
        <f>IF(AND($M1622=1,LEFT(对接源_02物料!$D422,4)="成品出库"),1,0)</f>
        <v>0</v>
      </c>
      <c r="AE1622" s="3">
        <f t="shared" si="444"/>
        <v>0</v>
      </c>
      <c r="AF1622" s="3">
        <f>IF(AND($N1622=1,AND(LEFT(对接源_02物料!$D422,4)="包装物料",N(对接源_02物料!$K422)&lt;&gt;0)),1,0)</f>
        <v>0</v>
      </c>
      <c r="AG1622" s="3">
        <f t="shared" si="445"/>
        <v>5</v>
      </c>
      <c r="AH1622" s="3">
        <f>IF(AND($N1622=1,AND(对接源_02物料!$D422="周转筐－销售出库",N(对接源_02物料!$K422)&lt;&gt;0)),1,0)</f>
        <v>0</v>
      </c>
      <c r="AI1622" s="3">
        <f t="shared" si="446"/>
        <v>0</v>
      </c>
      <c r="AL1622" s="3">
        <v>0</v>
      </c>
      <c r="AM1622" s="3">
        <f t="shared" si="447"/>
        <v>1</v>
      </c>
      <c r="AN1622" s="3" t="str">
        <f t="shared" si="434"/>
        <v/>
      </c>
      <c r="AO1622" s="3">
        <v>0</v>
      </c>
      <c r="AP1622" s="3">
        <f t="shared" si="448"/>
        <v>8</v>
      </c>
      <c r="AR1622">
        <f t="shared" si="449"/>
        <v>0</v>
      </c>
      <c r="AS1622">
        <f t="shared" si="450"/>
        <v>5</v>
      </c>
    </row>
    <row r="1623" customHeight="1" spans="1:45">
      <c r="A1623" s="3" t="str">
        <f>IF(对接源_02物料!$C423="","",对接源_02物料!$C423)</f>
        <v/>
      </c>
      <c r="B1623" s="3">
        <f t="shared" si="435"/>
        <v>0</v>
      </c>
      <c r="C1623" s="3">
        <f t="shared" si="436"/>
        <v>21</v>
      </c>
      <c r="K1623" s="3">
        <f>IF(OR($K$1="",对接源_02物料!$C423="",对接源_02物料!$C423&lt;&gt;$K$1,对接源_02物料!$B423=""),0,IF(OR(N(对接源_02物料!$B423)&lt;$K$2,N(对接源_02物料!$B423)&gt;$K$3),0,1))</f>
        <v>0</v>
      </c>
      <c r="L1623" s="3">
        <f>IF(OR($L$1="",对接源_02物料!$C423="",对接源_02物料!$C423&lt;&gt;$L$1,对接源_02物料!$B423=""),0,IF(OR(N(对接源_02物料!$B423)&lt;$L$2,N(对接源_02物料!$B423)&gt;$L$3),0,1))</f>
        <v>0</v>
      </c>
      <c r="M1623" s="3">
        <f>IF(OR($M$1="",对接源_02物料!$C423="",对接源_02物料!$C423&lt;&gt;$M$1,对接源_02物料!$B423=""),0,IF(OR(N(对接源_02物料!$B423)&lt;$M$2,N(对接源_02物料!$B423)&gt;$M$3),0,1))</f>
        <v>0</v>
      </c>
      <c r="N1623" s="3">
        <f>IF(OR($N$1="",对接源_02物料!$C423="",对接源_02物料!$C423&lt;&gt;$N$1,对接源_02物料!$B423=""),0,IF(OR(N(对接源_02物料!$B423)&lt;$N$2,N(对接源_02物料!$B423)&gt;$N$3),0,1))</f>
        <v>0</v>
      </c>
      <c r="P1623" s="3">
        <f>IF(AND($K1623=1,AND(对接源_02物料!$X423="公司筐",N(对接源_02物料!$T423)&lt;&gt;0)),1,0)</f>
        <v>0</v>
      </c>
      <c r="Q1623" s="3">
        <f t="shared" si="437"/>
        <v>8</v>
      </c>
      <c r="R1623" s="3">
        <f>IF(AND($K1623=1,AND(对接源_02物料!$X423="公司筐",N(对接源_02物料!$U423)&lt;&gt;0)),1,0)</f>
        <v>0</v>
      </c>
      <c r="S1623" s="3">
        <f t="shared" si="438"/>
        <v>0</v>
      </c>
      <c r="T1623" s="3">
        <f>IF(AND($K1623=1,AND(对接源_02物料!$X423="公司筐",N(对接源_02物料!$V423)&lt;&gt;0)),1,0)</f>
        <v>0</v>
      </c>
      <c r="U1623" s="3">
        <f t="shared" si="439"/>
        <v>19</v>
      </c>
      <c r="V1623" s="3">
        <f>IF(AND($L1623=1,AND(对接源_02物料!$X423="自备筐",N(对接源_02物料!$V423)&lt;&gt;0)),1,0)</f>
        <v>0</v>
      </c>
      <c r="W1623" s="3">
        <f t="shared" si="440"/>
        <v>8</v>
      </c>
      <c r="X1623" s="3">
        <f>IF(AND($L1623=1,AND(对接源_02物料!$X423="自备筐",N(对接源_02物料!$T423)&lt;&gt;0)),1,0)</f>
        <v>0</v>
      </c>
      <c r="Y1623" s="3">
        <f t="shared" si="441"/>
        <v>0</v>
      </c>
      <c r="Z1623" s="3">
        <f>IF(AND($M1623=1,对接源_02物料!$D423="原料入库"),1,0)</f>
        <v>0</v>
      </c>
      <c r="AA1623" s="3">
        <f t="shared" si="442"/>
        <v>24</v>
      </c>
      <c r="AB1623" s="3">
        <f>IF(AND($M1623=1,LEFT(对接源_02物料!$D423,4)="原料出库"),1,0)</f>
        <v>0</v>
      </c>
      <c r="AC1623" s="3">
        <f t="shared" si="443"/>
        <v>0</v>
      </c>
      <c r="AD1623" s="3">
        <f>IF(AND($M1623=1,LEFT(对接源_02物料!$D423,4)="成品出库"),1,0)</f>
        <v>0</v>
      </c>
      <c r="AE1623" s="3">
        <f t="shared" si="444"/>
        <v>0</v>
      </c>
      <c r="AF1623" s="3">
        <f>IF(AND($N1623=1,AND(LEFT(对接源_02物料!$D423,4)="包装物料",N(对接源_02物料!$K423)&lt;&gt;0)),1,0)</f>
        <v>0</v>
      </c>
      <c r="AG1623" s="3">
        <f t="shared" si="445"/>
        <v>5</v>
      </c>
      <c r="AH1623" s="3">
        <f>IF(AND($N1623=1,AND(对接源_02物料!$D423="周转筐－销售出库",N(对接源_02物料!$K423)&lt;&gt;0)),1,0)</f>
        <v>0</v>
      </c>
      <c r="AI1623" s="3">
        <f t="shared" si="446"/>
        <v>0</v>
      </c>
      <c r="AL1623" s="3">
        <v>0</v>
      </c>
      <c r="AM1623" s="3">
        <f t="shared" si="447"/>
        <v>1</v>
      </c>
      <c r="AN1623" s="3" t="str">
        <f t="shared" si="434"/>
        <v/>
      </c>
      <c r="AO1623" s="3">
        <v>0</v>
      </c>
      <c r="AP1623" s="3">
        <f t="shared" si="448"/>
        <v>8</v>
      </c>
      <c r="AR1623">
        <f t="shared" si="449"/>
        <v>0</v>
      </c>
      <c r="AS1623">
        <f t="shared" si="450"/>
        <v>5</v>
      </c>
    </row>
    <row r="1624" customHeight="1" spans="1:45">
      <c r="A1624" s="3" t="str">
        <f>IF(对接源_02物料!$C424="","",对接源_02物料!$C424)</f>
        <v/>
      </c>
      <c r="B1624" s="3">
        <f t="shared" si="435"/>
        <v>0</v>
      </c>
      <c r="C1624" s="3">
        <f t="shared" si="436"/>
        <v>21</v>
      </c>
      <c r="K1624" s="3">
        <f>IF(OR($K$1="",对接源_02物料!$C424="",对接源_02物料!$C424&lt;&gt;$K$1,对接源_02物料!$B424=""),0,IF(OR(N(对接源_02物料!$B424)&lt;$K$2,N(对接源_02物料!$B424)&gt;$K$3),0,1))</f>
        <v>0</v>
      </c>
      <c r="L1624" s="3">
        <f>IF(OR($L$1="",对接源_02物料!$C424="",对接源_02物料!$C424&lt;&gt;$L$1,对接源_02物料!$B424=""),0,IF(OR(N(对接源_02物料!$B424)&lt;$L$2,N(对接源_02物料!$B424)&gt;$L$3),0,1))</f>
        <v>0</v>
      </c>
      <c r="M1624" s="3">
        <f>IF(OR($M$1="",对接源_02物料!$C424="",对接源_02物料!$C424&lt;&gt;$M$1,对接源_02物料!$B424=""),0,IF(OR(N(对接源_02物料!$B424)&lt;$M$2,N(对接源_02物料!$B424)&gt;$M$3),0,1))</f>
        <v>0</v>
      </c>
      <c r="N1624" s="3">
        <f>IF(OR($N$1="",对接源_02物料!$C424="",对接源_02物料!$C424&lt;&gt;$N$1,对接源_02物料!$B424=""),0,IF(OR(N(对接源_02物料!$B424)&lt;$N$2,N(对接源_02物料!$B424)&gt;$N$3),0,1))</f>
        <v>0</v>
      </c>
      <c r="P1624" s="3">
        <f>IF(AND($K1624=1,AND(对接源_02物料!$X424="公司筐",N(对接源_02物料!$T424)&lt;&gt;0)),1,0)</f>
        <v>0</v>
      </c>
      <c r="Q1624" s="3">
        <f t="shared" si="437"/>
        <v>8</v>
      </c>
      <c r="R1624" s="3">
        <f>IF(AND($K1624=1,AND(对接源_02物料!$X424="公司筐",N(对接源_02物料!$U424)&lt;&gt;0)),1,0)</f>
        <v>0</v>
      </c>
      <c r="S1624" s="3">
        <f t="shared" si="438"/>
        <v>0</v>
      </c>
      <c r="T1624" s="3">
        <f>IF(AND($K1624=1,AND(对接源_02物料!$X424="公司筐",N(对接源_02物料!$V424)&lt;&gt;0)),1,0)</f>
        <v>0</v>
      </c>
      <c r="U1624" s="3">
        <f t="shared" si="439"/>
        <v>19</v>
      </c>
      <c r="V1624" s="3">
        <f>IF(AND($L1624=1,AND(对接源_02物料!$X424="自备筐",N(对接源_02物料!$V424)&lt;&gt;0)),1,0)</f>
        <v>0</v>
      </c>
      <c r="W1624" s="3">
        <f t="shared" si="440"/>
        <v>8</v>
      </c>
      <c r="X1624" s="3">
        <f>IF(AND($L1624=1,AND(对接源_02物料!$X424="自备筐",N(对接源_02物料!$T424)&lt;&gt;0)),1,0)</f>
        <v>0</v>
      </c>
      <c r="Y1624" s="3">
        <f t="shared" si="441"/>
        <v>0</v>
      </c>
      <c r="Z1624" s="3">
        <f>IF(AND($M1624=1,对接源_02物料!$D424="原料入库"),1,0)</f>
        <v>0</v>
      </c>
      <c r="AA1624" s="3">
        <f t="shared" si="442"/>
        <v>24</v>
      </c>
      <c r="AB1624" s="3">
        <f>IF(AND($M1624=1,LEFT(对接源_02物料!$D424,4)="原料出库"),1,0)</f>
        <v>0</v>
      </c>
      <c r="AC1624" s="3">
        <f t="shared" si="443"/>
        <v>0</v>
      </c>
      <c r="AD1624" s="3">
        <f>IF(AND($M1624=1,LEFT(对接源_02物料!$D424,4)="成品出库"),1,0)</f>
        <v>0</v>
      </c>
      <c r="AE1624" s="3">
        <f t="shared" si="444"/>
        <v>0</v>
      </c>
      <c r="AF1624" s="3">
        <f>IF(AND($N1624=1,AND(LEFT(对接源_02物料!$D424,4)="包装物料",N(对接源_02物料!$K424)&lt;&gt;0)),1,0)</f>
        <v>0</v>
      </c>
      <c r="AG1624" s="3">
        <f t="shared" si="445"/>
        <v>5</v>
      </c>
      <c r="AH1624" s="3">
        <f>IF(AND($N1624=1,AND(对接源_02物料!$D424="周转筐－销售出库",N(对接源_02物料!$K424)&lt;&gt;0)),1,0)</f>
        <v>0</v>
      </c>
      <c r="AI1624" s="3">
        <f t="shared" si="446"/>
        <v>0</v>
      </c>
      <c r="AL1624" s="3">
        <v>0</v>
      </c>
      <c r="AM1624" s="3">
        <f t="shared" si="447"/>
        <v>1</v>
      </c>
      <c r="AN1624" s="3" t="str">
        <f t="shared" si="434"/>
        <v/>
      </c>
      <c r="AO1624" s="3">
        <v>0</v>
      </c>
      <c r="AP1624" s="3">
        <f t="shared" si="448"/>
        <v>8</v>
      </c>
      <c r="AR1624">
        <f t="shared" si="449"/>
        <v>0</v>
      </c>
      <c r="AS1624">
        <f t="shared" si="450"/>
        <v>5</v>
      </c>
    </row>
    <row r="1625" customHeight="1" spans="1:45">
      <c r="A1625" s="3" t="str">
        <f>IF(对接源_02物料!$C425="","",对接源_02物料!$C425)</f>
        <v/>
      </c>
      <c r="B1625" s="3">
        <f t="shared" si="435"/>
        <v>0</v>
      </c>
      <c r="C1625" s="3">
        <f t="shared" si="436"/>
        <v>21</v>
      </c>
      <c r="K1625" s="3">
        <f>IF(OR($K$1="",对接源_02物料!$C425="",对接源_02物料!$C425&lt;&gt;$K$1,对接源_02物料!$B425=""),0,IF(OR(N(对接源_02物料!$B425)&lt;$K$2,N(对接源_02物料!$B425)&gt;$K$3),0,1))</f>
        <v>0</v>
      </c>
      <c r="L1625" s="3">
        <f>IF(OR($L$1="",对接源_02物料!$C425="",对接源_02物料!$C425&lt;&gt;$L$1,对接源_02物料!$B425=""),0,IF(OR(N(对接源_02物料!$B425)&lt;$L$2,N(对接源_02物料!$B425)&gt;$L$3),0,1))</f>
        <v>0</v>
      </c>
      <c r="M1625" s="3">
        <f>IF(OR($M$1="",对接源_02物料!$C425="",对接源_02物料!$C425&lt;&gt;$M$1,对接源_02物料!$B425=""),0,IF(OR(N(对接源_02物料!$B425)&lt;$M$2,N(对接源_02物料!$B425)&gt;$M$3),0,1))</f>
        <v>0</v>
      </c>
      <c r="N1625" s="3">
        <f>IF(OR($N$1="",对接源_02物料!$C425="",对接源_02物料!$C425&lt;&gt;$N$1,对接源_02物料!$B425=""),0,IF(OR(N(对接源_02物料!$B425)&lt;$N$2,N(对接源_02物料!$B425)&gt;$N$3),0,1))</f>
        <v>0</v>
      </c>
      <c r="P1625" s="3">
        <f>IF(AND($K1625=1,AND(对接源_02物料!$X425="公司筐",N(对接源_02物料!$T425)&lt;&gt;0)),1,0)</f>
        <v>0</v>
      </c>
      <c r="Q1625" s="3">
        <f t="shared" si="437"/>
        <v>8</v>
      </c>
      <c r="R1625" s="3">
        <f>IF(AND($K1625=1,AND(对接源_02物料!$X425="公司筐",N(对接源_02物料!$U425)&lt;&gt;0)),1,0)</f>
        <v>0</v>
      </c>
      <c r="S1625" s="3">
        <f t="shared" si="438"/>
        <v>0</v>
      </c>
      <c r="T1625" s="3">
        <f>IF(AND($K1625=1,AND(对接源_02物料!$X425="公司筐",N(对接源_02物料!$V425)&lt;&gt;0)),1,0)</f>
        <v>0</v>
      </c>
      <c r="U1625" s="3">
        <f t="shared" si="439"/>
        <v>19</v>
      </c>
      <c r="V1625" s="3">
        <f>IF(AND($L1625=1,AND(对接源_02物料!$X425="自备筐",N(对接源_02物料!$V425)&lt;&gt;0)),1,0)</f>
        <v>0</v>
      </c>
      <c r="W1625" s="3">
        <f t="shared" si="440"/>
        <v>8</v>
      </c>
      <c r="X1625" s="3">
        <f>IF(AND($L1625=1,AND(对接源_02物料!$X425="自备筐",N(对接源_02物料!$T425)&lt;&gt;0)),1,0)</f>
        <v>0</v>
      </c>
      <c r="Y1625" s="3">
        <f t="shared" si="441"/>
        <v>0</v>
      </c>
      <c r="Z1625" s="3">
        <f>IF(AND($M1625=1,对接源_02物料!$D425="原料入库"),1,0)</f>
        <v>0</v>
      </c>
      <c r="AA1625" s="3">
        <f t="shared" si="442"/>
        <v>24</v>
      </c>
      <c r="AB1625" s="3">
        <f>IF(AND($M1625=1,LEFT(对接源_02物料!$D425,4)="原料出库"),1,0)</f>
        <v>0</v>
      </c>
      <c r="AC1625" s="3">
        <f t="shared" si="443"/>
        <v>0</v>
      </c>
      <c r="AD1625" s="3">
        <f>IF(AND($M1625=1,LEFT(对接源_02物料!$D425,4)="成品出库"),1,0)</f>
        <v>0</v>
      </c>
      <c r="AE1625" s="3">
        <f t="shared" si="444"/>
        <v>0</v>
      </c>
      <c r="AF1625" s="3">
        <f>IF(AND($N1625=1,AND(LEFT(对接源_02物料!$D425,4)="包装物料",N(对接源_02物料!$K425)&lt;&gt;0)),1,0)</f>
        <v>0</v>
      </c>
      <c r="AG1625" s="3">
        <f t="shared" si="445"/>
        <v>5</v>
      </c>
      <c r="AH1625" s="3">
        <f>IF(AND($N1625=1,AND(对接源_02物料!$D425="周转筐－销售出库",N(对接源_02物料!$K425)&lt;&gt;0)),1,0)</f>
        <v>0</v>
      </c>
      <c r="AI1625" s="3">
        <f t="shared" si="446"/>
        <v>0</v>
      </c>
      <c r="AL1625" s="3">
        <v>0</v>
      </c>
      <c r="AM1625" s="3">
        <f t="shared" si="447"/>
        <v>1</v>
      </c>
      <c r="AN1625" s="3" t="str">
        <f t="shared" si="434"/>
        <v/>
      </c>
      <c r="AO1625" s="3">
        <v>0</v>
      </c>
      <c r="AP1625" s="3">
        <f t="shared" si="448"/>
        <v>8</v>
      </c>
      <c r="AR1625">
        <f t="shared" si="449"/>
        <v>0</v>
      </c>
      <c r="AS1625">
        <f t="shared" si="450"/>
        <v>5</v>
      </c>
    </row>
    <row r="1626" customHeight="1" spans="1:45">
      <c r="A1626" s="3" t="str">
        <f>IF(对接源_02物料!$C426="","",对接源_02物料!$C426)</f>
        <v/>
      </c>
      <c r="B1626" s="3">
        <f t="shared" si="435"/>
        <v>0</v>
      </c>
      <c r="C1626" s="3">
        <f t="shared" si="436"/>
        <v>21</v>
      </c>
      <c r="K1626" s="3">
        <f>IF(OR($K$1="",对接源_02物料!$C426="",对接源_02物料!$C426&lt;&gt;$K$1,对接源_02物料!$B426=""),0,IF(OR(N(对接源_02物料!$B426)&lt;$K$2,N(对接源_02物料!$B426)&gt;$K$3),0,1))</f>
        <v>0</v>
      </c>
      <c r="L1626" s="3">
        <f>IF(OR($L$1="",对接源_02物料!$C426="",对接源_02物料!$C426&lt;&gt;$L$1,对接源_02物料!$B426=""),0,IF(OR(N(对接源_02物料!$B426)&lt;$L$2,N(对接源_02物料!$B426)&gt;$L$3),0,1))</f>
        <v>0</v>
      </c>
      <c r="M1626" s="3">
        <f>IF(OR($M$1="",对接源_02物料!$C426="",对接源_02物料!$C426&lt;&gt;$M$1,对接源_02物料!$B426=""),0,IF(OR(N(对接源_02物料!$B426)&lt;$M$2,N(对接源_02物料!$B426)&gt;$M$3),0,1))</f>
        <v>0</v>
      </c>
      <c r="N1626" s="3">
        <f>IF(OR($N$1="",对接源_02物料!$C426="",对接源_02物料!$C426&lt;&gt;$N$1,对接源_02物料!$B426=""),0,IF(OR(N(对接源_02物料!$B426)&lt;$N$2,N(对接源_02物料!$B426)&gt;$N$3),0,1))</f>
        <v>0</v>
      </c>
      <c r="P1626" s="3">
        <f>IF(AND($K1626=1,AND(对接源_02物料!$X426="公司筐",N(对接源_02物料!$T426)&lt;&gt;0)),1,0)</f>
        <v>0</v>
      </c>
      <c r="Q1626" s="3">
        <f t="shared" si="437"/>
        <v>8</v>
      </c>
      <c r="R1626" s="3">
        <f>IF(AND($K1626=1,AND(对接源_02物料!$X426="公司筐",N(对接源_02物料!$U426)&lt;&gt;0)),1,0)</f>
        <v>0</v>
      </c>
      <c r="S1626" s="3">
        <f t="shared" si="438"/>
        <v>0</v>
      </c>
      <c r="T1626" s="3">
        <f>IF(AND($K1626=1,AND(对接源_02物料!$X426="公司筐",N(对接源_02物料!$V426)&lt;&gt;0)),1,0)</f>
        <v>0</v>
      </c>
      <c r="U1626" s="3">
        <f t="shared" si="439"/>
        <v>19</v>
      </c>
      <c r="V1626" s="3">
        <f>IF(AND($L1626=1,AND(对接源_02物料!$X426="自备筐",N(对接源_02物料!$V426)&lt;&gt;0)),1,0)</f>
        <v>0</v>
      </c>
      <c r="W1626" s="3">
        <f t="shared" si="440"/>
        <v>8</v>
      </c>
      <c r="X1626" s="3">
        <f>IF(AND($L1626=1,AND(对接源_02物料!$X426="自备筐",N(对接源_02物料!$T426)&lt;&gt;0)),1,0)</f>
        <v>0</v>
      </c>
      <c r="Y1626" s="3">
        <f t="shared" si="441"/>
        <v>0</v>
      </c>
      <c r="Z1626" s="3">
        <f>IF(AND($M1626=1,对接源_02物料!$D426="原料入库"),1,0)</f>
        <v>0</v>
      </c>
      <c r="AA1626" s="3">
        <f t="shared" si="442"/>
        <v>24</v>
      </c>
      <c r="AB1626" s="3">
        <f>IF(AND($M1626=1,LEFT(对接源_02物料!$D426,4)="原料出库"),1,0)</f>
        <v>0</v>
      </c>
      <c r="AC1626" s="3">
        <f t="shared" si="443"/>
        <v>0</v>
      </c>
      <c r="AD1626" s="3">
        <f>IF(AND($M1626=1,LEFT(对接源_02物料!$D426,4)="成品出库"),1,0)</f>
        <v>0</v>
      </c>
      <c r="AE1626" s="3">
        <f t="shared" si="444"/>
        <v>0</v>
      </c>
      <c r="AF1626" s="3">
        <f>IF(AND($N1626=1,AND(LEFT(对接源_02物料!$D426,4)="包装物料",N(对接源_02物料!$K426)&lt;&gt;0)),1,0)</f>
        <v>0</v>
      </c>
      <c r="AG1626" s="3">
        <f t="shared" si="445"/>
        <v>5</v>
      </c>
      <c r="AH1626" s="3">
        <f>IF(AND($N1626=1,AND(对接源_02物料!$D426="周转筐－销售出库",N(对接源_02物料!$K426)&lt;&gt;0)),1,0)</f>
        <v>0</v>
      </c>
      <c r="AI1626" s="3">
        <f t="shared" si="446"/>
        <v>0</v>
      </c>
      <c r="AL1626" s="3">
        <v>0</v>
      </c>
      <c r="AM1626" s="3">
        <f t="shared" si="447"/>
        <v>1</v>
      </c>
      <c r="AN1626" s="3" t="str">
        <f t="shared" si="434"/>
        <v/>
      </c>
      <c r="AO1626" s="3">
        <v>0</v>
      </c>
      <c r="AP1626" s="3">
        <f t="shared" si="448"/>
        <v>8</v>
      </c>
      <c r="AR1626">
        <f t="shared" si="449"/>
        <v>0</v>
      </c>
      <c r="AS1626">
        <f t="shared" si="450"/>
        <v>5</v>
      </c>
    </row>
    <row r="1627" customHeight="1" spans="1:45">
      <c r="A1627" s="3" t="str">
        <f>IF(对接源_02物料!$C427="","",对接源_02物料!$C427)</f>
        <v/>
      </c>
      <c r="B1627" s="3">
        <f t="shared" si="435"/>
        <v>0</v>
      </c>
      <c r="C1627" s="3">
        <f t="shared" si="436"/>
        <v>21</v>
      </c>
      <c r="K1627" s="3">
        <f>IF(OR($K$1="",对接源_02物料!$C427="",对接源_02物料!$C427&lt;&gt;$K$1,对接源_02物料!$B427=""),0,IF(OR(N(对接源_02物料!$B427)&lt;$K$2,N(对接源_02物料!$B427)&gt;$K$3),0,1))</f>
        <v>0</v>
      </c>
      <c r="L1627" s="3">
        <f>IF(OR($L$1="",对接源_02物料!$C427="",对接源_02物料!$C427&lt;&gt;$L$1,对接源_02物料!$B427=""),0,IF(OR(N(对接源_02物料!$B427)&lt;$L$2,N(对接源_02物料!$B427)&gt;$L$3),0,1))</f>
        <v>0</v>
      </c>
      <c r="M1627" s="3">
        <f>IF(OR($M$1="",对接源_02物料!$C427="",对接源_02物料!$C427&lt;&gt;$M$1,对接源_02物料!$B427=""),0,IF(OR(N(对接源_02物料!$B427)&lt;$M$2,N(对接源_02物料!$B427)&gt;$M$3),0,1))</f>
        <v>0</v>
      </c>
      <c r="N1627" s="3">
        <f>IF(OR($N$1="",对接源_02物料!$C427="",对接源_02物料!$C427&lt;&gt;$N$1,对接源_02物料!$B427=""),0,IF(OR(N(对接源_02物料!$B427)&lt;$N$2,N(对接源_02物料!$B427)&gt;$N$3),0,1))</f>
        <v>0</v>
      </c>
      <c r="P1627" s="3">
        <f>IF(AND($K1627=1,AND(对接源_02物料!$X427="公司筐",N(对接源_02物料!$T427)&lt;&gt;0)),1,0)</f>
        <v>0</v>
      </c>
      <c r="Q1627" s="3">
        <f t="shared" si="437"/>
        <v>8</v>
      </c>
      <c r="R1627" s="3">
        <f>IF(AND($K1627=1,AND(对接源_02物料!$X427="公司筐",N(对接源_02物料!$U427)&lt;&gt;0)),1,0)</f>
        <v>0</v>
      </c>
      <c r="S1627" s="3">
        <f t="shared" si="438"/>
        <v>0</v>
      </c>
      <c r="T1627" s="3">
        <f>IF(AND($K1627=1,AND(对接源_02物料!$X427="公司筐",N(对接源_02物料!$V427)&lt;&gt;0)),1,0)</f>
        <v>0</v>
      </c>
      <c r="U1627" s="3">
        <f t="shared" si="439"/>
        <v>19</v>
      </c>
      <c r="V1627" s="3">
        <f>IF(AND($L1627=1,AND(对接源_02物料!$X427="自备筐",N(对接源_02物料!$V427)&lt;&gt;0)),1,0)</f>
        <v>0</v>
      </c>
      <c r="W1627" s="3">
        <f t="shared" si="440"/>
        <v>8</v>
      </c>
      <c r="X1627" s="3">
        <f>IF(AND($L1627=1,AND(对接源_02物料!$X427="自备筐",N(对接源_02物料!$T427)&lt;&gt;0)),1,0)</f>
        <v>0</v>
      </c>
      <c r="Y1627" s="3">
        <f t="shared" si="441"/>
        <v>0</v>
      </c>
      <c r="Z1627" s="3">
        <f>IF(AND($M1627=1,对接源_02物料!$D427="原料入库"),1,0)</f>
        <v>0</v>
      </c>
      <c r="AA1627" s="3">
        <f t="shared" si="442"/>
        <v>24</v>
      </c>
      <c r="AB1627" s="3">
        <f>IF(AND($M1627=1,LEFT(对接源_02物料!$D427,4)="原料出库"),1,0)</f>
        <v>0</v>
      </c>
      <c r="AC1627" s="3">
        <f t="shared" si="443"/>
        <v>0</v>
      </c>
      <c r="AD1627" s="3">
        <f>IF(AND($M1627=1,LEFT(对接源_02物料!$D427,4)="成品出库"),1,0)</f>
        <v>0</v>
      </c>
      <c r="AE1627" s="3">
        <f t="shared" si="444"/>
        <v>0</v>
      </c>
      <c r="AF1627" s="3">
        <f>IF(AND($N1627=1,AND(LEFT(对接源_02物料!$D427,4)="包装物料",N(对接源_02物料!$K427)&lt;&gt;0)),1,0)</f>
        <v>0</v>
      </c>
      <c r="AG1627" s="3">
        <f t="shared" si="445"/>
        <v>5</v>
      </c>
      <c r="AH1627" s="3">
        <f>IF(AND($N1627=1,AND(对接源_02物料!$D427="周转筐－销售出库",N(对接源_02物料!$K427)&lt;&gt;0)),1,0)</f>
        <v>0</v>
      </c>
      <c r="AI1627" s="3">
        <f t="shared" si="446"/>
        <v>0</v>
      </c>
      <c r="AL1627" s="3">
        <v>0</v>
      </c>
      <c r="AM1627" s="3">
        <f t="shared" si="447"/>
        <v>1</v>
      </c>
      <c r="AN1627" s="3" t="str">
        <f t="shared" si="434"/>
        <v/>
      </c>
      <c r="AO1627" s="3">
        <v>0</v>
      </c>
      <c r="AP1627" s="3">
        <f t="shared" si="448"/>
        <v>8</v>
      </c>
      <c r="AR1627">
        <f t="shared" si="449"/>
        <v>0</v>
      </c>
      <c r="AS1627">
        <f t="shared" si="450"/>
        <v>5</v>
      </c>
    </row>
    <row r="1628" customHeight="1" spans="1:45">
      <c r="A1628" s="3" t="str">
        <f>IF(对接源_02物料!$C428="","",对接源_02物料!$C428)</f>
        <v/>
      </c>
      <c r="B1628" s="3">
        <f t="shared" si="435"/>
        <v>0</v>
      </c>
      <c r="C1628" s="3">
        <f t="shared" si="436"/>
        <v>21</v>
      </c>
      <c r="K1628" s="3">
        <f>IF(OR($K$1="",对接源_02物料!$C428="",对接源_02物料!$C428&lt;&gt;$K$1,对接源_02物料!$B428=""),0,IF(OR(N(对接源_02物料!$B428)&lt;$K$2,N(对接源_02物料!$B428)&gt;$K$3),0,1))</f>
        <v>0</v>
      </c>
      <c r="L1628" s="3">
        <f>IF(OR($L$1="",对接源_02物料!$C428="",对接源_02物料!$C428&lt;&gt;$L$1,对接源_02物料!$B428=""),0,IF(OR(N(对接源_02物料!$B428)&lt;$L$2,N(对接源_02物料!$B428)&gt;$L$3),0,1))</f>
        <v>0</v>
      </c>
      <c r="M1628" s="3">
        <f>IF(OR($M$1="",对接源_02物料!$C428="",对接源_02物料!$C428&lt;&gt;$M$1,对接源_02物料!$B428=""),0,IF(OR(N(对接源_02物料!$B428)&lt;$M$2,N(对接源_02物料!$B428)&gt;$M$3),0,1))</f>
        <v>0</v>
      </c>
      <c r="N1628" s="3">
        <f>IF(OR($N$1="",对接源_02物料!$C428="",对接源_02物料!$C428&lt;&gt;$N$1,对接源_02物料!$B428=""),0,IF(OR(N(对接源_02物料!$B428)&lt;$N$2,N(对接源_02物料!$B428)&gt;$N$3),0,1))</f>
        <v>0</v>
      </c>
      <c r="P1628" s="3">
        <f>IF(AND($K1628=1,AND(对接源_02物料!$X428="公司筐",N(对接源_02物料!$T428)&lt;&gt;0)),1,0)</f>
        <v>0</v>
      </c>
      <c r="Q1628" s="3">
        <f t="shared" si="437"/>
        <v>8</v>
      </c>
      <c r="R1628" s="3">
        <f>IF(AND($K1628=1,AND(对接源_02物料!$X428="公司筐",N(对接源_02物料!$U428)&lt;&gt;0)),1,0)</f>
        <v>0</v>
      </c>
      <c r="S1628" s="3">
        <f t="shared" si="438"/>
        <v>0</v>
      </c>
      <c r="T1628" s="3">
        <f>IF(AND($K1628=1,AND(对接源_02物料!$X428="公司筐",N(对接源_02物料!$V428)&lt;&gt;0)),1,0)</f>
        <v>0</v>
      </c>
      <c r="U1628" s="3">
        <f t="shared" si="439"/>
        <v>19</v>
      </c>
      <c r="V1628" s="3">
        <f>IF(AND($L1628=1,AND(对接源_02物料!$X428="自备筐",N(对接源_02物料!$V428)&lt;&gt;0)),1,0)</f>
        <v>0</v>
      </c>
      <c r="W1628" s="3">
        <f t="shared" si="440"/>
        <v>8</v>
      </c>
      <c r="X1628" s="3">
        <f>IF(AND($L1628=1,AND(对接源_02物料!$X428="自备筐",N(对接源_02物料!$T428)&lt;&gt;0)),1,0)</f>
        <v>0</v>
      </c>
      <c r="Y1628" s="3">
        <f t="shared" si="441"/>
        <v>0</v>
      </c>
      <c r="Z1628" s="3">
        <f>IF(AND($M1628=1,对接源_02物料!$D428="原料入库"),1,0)</f>
        <v>0</v>
      </c>
      <c r="AA1628" s="3">
        <f t="shared" si="442"/>
        <v>24</v>
      </c>
      <c r="AB1628" s="3">
        <f>IF(AND($M1628=1,LEFT(对接源_02物料!$D428,4)="原料出库"),1,0)</f>
        <v>0</v>
      </c>
      <c r="AC1628" s="3">
        <f t="shared" si="443"/>
        <v>0</v>
      </c>
      <c r="AD1628" s="3">
        <f>IF(AND($M1628=1,LEFT(对接源_02物料!$D428,4)="成品出库"),1,0)</f>
        <v>0</v>
      </c>
      <c r="AE1628" s="3">
        <f t="shared" si="444"/>
        <v>0</v>
      </c>
      <c r="AF1628" s="3">
        <f>IF(AND($N1628=1,AND(LEFT(对接源_02物料!$D428,4)="包装物料",N(对接源_02物料!$K428)&lt;&gt;0)),1,0)</f>
        <v>0</v>
      </c>
      <c r="AG1628" s="3">
        <f t="shared" si="445"/>
        <v>5</v>
      </c>
      <c r="AH1628" s="3">
        <f>IF(AND($N1628=1,AND(对接源_02物料!$D428="周转筐－销售出库",N(对接源_02物料!$K428)&lt;&gt;0)),1,0)</f>
        <v>0</v>
      </c>
      <c r="AI1628" s="3">
        <f t="shared" si="446"/>
        <v>0</v>
      </c>
      <c r="AL1628" s="3">
        <v>0</v>
      </c>
      <c r="AM1628" s="3">
        <f t="shared" si="447"/>
        <v>1</v>
      </c>
      <c r="AN1628" s="3" t="str">
        <f t="shared" si="434"/>
        <v/>
      </c>
      <c r="AO1628" s="3">
        <v>0</v>
      </c>
      <c r="AP1628" s="3">
        <f t="shared" si="448"/>
        <v>8</v>
      </c>
      <c r="AR1628">
        <f t="shared" si="449"/>
        <v>0</v>
      </c>
      <c r="AS1628">
        <f t="shared" si="450"/>
        <v>5</v>
      </c>
    </row>
    <row r="1629" customHeight="1" spans="1:45">
      <c r="A1629" s="3" t="str">
        <f>IF(对接源_02物料!$C429="","",对接源_02物料!$C429)</f>
        <v/>
      </c>
      <c r="B1629" s="3">
        <f t="shared" si="435"/>
        <v>0</v>
      </c>
      <c r="C1629" s="3">
        <f t="shared" si="436"/>
        <v>21</v>
      </c>
      <c r="K1629" s="3">
        <f>IF(OR($K$1="",对接源_02物料!$C429="",对接源_02物料!$C429&lt;&gt;$K$1,对接源_02物料!$B429=""),0,IF(OR(N(对接源_02物料!$B429)&lt;$K$2,N(对接源_02物料!$B429)&gt;$K$3),0,1))</f>
        <v>0</v>
      </c>
      <c r="L1629" s="3">
        <f>IF(OR($L$1="",对接源_02物料!$C429="",对接源_02物料!$C429&lt;&gt;$L$1,对接源_02物料!$B429=""),0,IF(OR(N(对接源_02物料!$B429)&lt;$L$2,N(对接源_02物料!$B429)&gt;$L$3),0,1))</f>
        <v>0</v>
      </c>
      <c r="M1629" s="3">
        <f>IF(OR($M$1="",对接源_02物料!$C429="",对接源_02物料!$C429&lt;&gt;$M$1,对接源_02物料!$B429=""),0,IF(OR(N(对接源_02物料!$B429)&lt;$M$2,N(对接源_02物料!$B429)&gt;$M$3),0,1))</f>
        <v>0</v>
      </c>
      <c r="N1629" s="3">
        <f>IF(OR($N$1="",对接源_02物料!$C429="",对接源_02物料!$C429&lt;&gt;$N$1,对接源_02物料!$B429=""),0,IF(OR(N(对接源_02物料!$B429)&lt;$N$2,N(对接源_02物料!$B429)&gt;$N$3),0,1))</f>
        <v>0</v>
      </c>
      <c r="P1629" s="3">
        <f>IF(AND($K1629=1,AND(对接源_02物料!$X429="公司筐",N(对接源_02物料!$T429)&lt;&gt;0)),1,0)</f>
        <v>0</v>
      </c>
      <c r="Q1629" s="3">
        <f t="shared" si="437"/>
        <v>8</v>
      </c>
      <c r="R1629" s="3">
        <f>IF(AND($K1629=1,AND(对接源_02物料!$X429="公司筐",N(对接源_02物料!$U429)&lt;&gt;0)),1,0)</f>
        <v>0</v>
      </c>
      <c r="S1629" s="3">
        <f t="shared" si="438"/>
        <v>0</v>
      </c>
      <c r="T1629" s="3">
        <f>IF(AND($K1629=1,AND(对接源_02物料!$X429="公司筐",N(对接源_02物料!$V429)&lt;&gt;0)),1,0)</f>
        <v>0</v>
      </c>
      <c r="U1629" s="3">
        <f t="shared" si="439"/>
        <v>19</v>
      </c>
      <c r="V1629" s="3">
        <f>IF(AND($L1629=1,AND(对接源_02物料!$X429="自备筐",N(对接源_02物料!$V429)&lt;&gt;0)),1,0)</f>
        <v>0</v>
      </c>
      <c r="W1629" s="3">
        <f t="shared" si="440"/>
        <v>8</v>
      </c>
      <c r="X1629" s="3">
        <f>IF(AND($L1629=1,AND(对接源_02物料!$X429="自备筐",N(对接源_02物料!$T429)&lt;&gt;0)),1,0)</f>
        <v>0</v>
      </c>
      <c r="Y1629" s="3">
        <f t="shared" si="441"/>
        <v>0</v>
      </c>
      <c r="Z1629" s="3">
        <f>IF(AND($M1629=1,对接源_02物料!$D429="原料入库"),1,0)</f>
        <v>0</v>
      </c>
      <c r="AA1629" s="3">
        <f t="shared" si="442"/>
        <v>24</v>
      </c>
      <c r="AB1629" s="3">
        <f>IF(AND($M1629=1,LEFT(对接源_02物料!$D429,4)="原料出库"),1,0)</f>
        <v>0</v>
      </c>
      <c r="AC1629" s="3">
        <f t="shared" si="443"/>
        <v>0</v>
      </c>
      <c r="AD1629" s="3">
        <f>IF(AND($M1629=1,LEFT(对接源_02物料!$D429,4)="成品出库"),1,0)</f>
        <v>0</v>
      </c>
      <c r="AE1629" s="3">
        <f t="shared" si="444"/>
        <v>0</v>
      </c>
      <c r="AF1629" s="3">
        <f>IF(AND($N1629=1,AND(LEFT(对接源_02物料!$D429,4)="包装物料",N(对接源_02物料!$K429)&lt;&gt;0)),1,0)</f>
        <v>0</v>
      </c>
      <c r="AG1629" s="3">
        <f t="shared" si="445"/>
        <v>5</v>
      </c>
      <c r="AH1629" s="3">
        <f>IF(AND($N1629=1,AND(对接源_02物料!$D429="周转筐－销售出库",N(对接源_02物料!$K429)&lt;&gt;0)),1,0)</f>
        <v>0</v>
      </c>
      <c r="AI1629" s="3">
        <f t="shared" si="446"/>
        <v>0</v>
      </c>
      <c r="AL1629" s="3">
        <v>0</v>
      </c>
      <c r="AM1629" s="3">
        <f t="shared" si="447"/>
        <v>1</v>
      </c>
      <c r="AN1629" s="3" t="str">
        <f t="shared" si="434"/>
        <v/>
      </c>
      <c r="AO1629" s="3">
        <v>0</v>
      </c>
      <c r="AP1629" s="3">
        <f t="shared" si="448"/>
        <v>8</v>
      </c>
      <c r="AR1629">
        <f t="shared" si="449"/>
        <v>0</v>
      </c>
      <c r="AS1629">
        <f t="shared" si="450"/>
        <v>5</v>
      </c>
    </row>
    <row r="1630" customHeight="1" spans="1:45">
      <c r="A1630" s="3" t="str">
        <f>IF(对接源_02物料!$C430="","",对接源_02物料!$C430)</f>
        <v/>
      </c>
      <c r="B1630" s="3">
        <f t="shared" si="435"/>
        <v>0</v>
      </c>
      <c r="C1630" s="3">
        <f t="shared" si="436"/>
        <v>21</v>
      </c>
      <c r="K1630" s="3">
        <f>IF(OR($K$1="",对接源_02物料!$C430="",对接源_02物料!$C430&lt;&gt;$K$1,对接源_02物料!$B430=""),0,IF(OR(N(对接源_02物料!$B430)&lt;$K$2,N(对接源_02物料!$B430)&gt;$K$3),0,1))</f>
        <v>0</v>
      </c>
      <c r="L1630" s="3">
        <f>IF(OR($L$1="",对接源_02物料!$C430="",对接源_02物料!$C430&lt;&gt;$L$1,对接源_02物料!$B430=""),0,IF(OR(N(对接源_02物料!$B430)&lt;$L$2,N(对接源_02物料!$B430)&gt;$L$3),0,1))</f>
        <v>0</v>
      </c>
      <c r="M1630" s="3">
        <f>IF(OR($M$1="",对接源_02物料!$C430="",对接源_02物料!$C430&lt;&gt;$M$1,对接源_02物料!$B430=""),0,IF(OR(N(对接源_02物料!$B430)&lt;$M$2,N(对接源_02物料!$B430)&gt;$M$3),0,1))</f>
        <v>0</v>
      </c>
      <c r="N1630" s="3">
        <f>IF(OR($N$1="",对接源_02物料!$C430="",对接源_02物料!$C430&lt;&gt;$N$1,对接源_02物料!$B430=""),0,IF(OR(N(对接源_02物料!$B430)&lt;$N$2,N(对接源_02物料!$B430)&gt;$N$3),0,1))</f>
        <v>0</v>
      </c>
      <c r="P1630" s="3">
        <f>IF(AND($K1630=1,AND(对接源_02物料!$X430="公司筐",N(对接源_02物料!$T430)&lt;&gt;0)),1,0)</f>
        <v>0</v>
      </c>
      <c r="Q1630" s="3">
        <f t="shared" si="437"/>
        <v>8</v>
      </c>
      <c r="R1630" s="3">
        <f>IF(AND($K1630=1,AND(对接源_02物料!$X430="公司筐",N(对接源_02物料!$U430)&lt;&gt;0)),1,0)</f>
        <v>0</v>
      </c>
      <c r="S1630" s="3">
        <f t="shared" si="438"/>
        <v>0</v>
      </c>
      <c r="T1630" s="3">
        <f>IF(AND($K1630=1,AND(对接源_02物料!$X430="公司筐",N(对接源_02物料!$V430)&lt;&gt;0)),1,0)</f>
        <v>0</v>
      </c>
      <c r="U1630" s="3">
        <f t="shared" si="439"/>
        <v>19</v>
      </c>
      <c r="V1630" s="3">
        <f>IF(AND($L1630=1,AND(对接源_02物料!$X430="自备筐",N(对接源_02物料!$V430)&lt;&gt;0)),1,0)</f>
        <v>0</v>
      </c>
      <c r="W1630" s="3">
        <f t="shared" si="440"/>
        <v>8</v>
      </c>
      <c r="X1630" s="3">
        <f>IF(AND($L1630=1,AND(对接源_02物料!$X430="自备筐",N(对接源_02物料!$T430)&lt;&gt;0)),1,0)</f>
        <v>0</v>
      </c>
      <c r="Y1630" s="3">
        <f t="shared" si="441"/>
        <v>0</v>
      </c>
      <c r="Z1630" s="3">
        <f>IF(AND($M1630=1,对接源_02物料!$D430="原料入库"),1,0)</f>
        <v>0</v>
      </c>
      <c r="AA1630" s="3">
        <f t="shared" si="442"/>
        <v>24</v>
      </c>
      <c r="AB1630" s="3">
        <f>IF(AND($M1630=1,LEFT(对接源_02物料!$D430,4)="原料出库"),1,0)</f>
        <v>0</v>
      </c>
      <c r="AC1630" s="3">
        <f t="shared" si="443"/>
        <v>0</v>
      </c>
      <c r="AD1630" s="3">
        <f>IF(AND($M1630=1,LEFT(对接源_02物料!$D430,4)="成品出库"),1,0)</f>
        <v>0</v>
      </c>
      <c r="AE1630" s="3">
        <f t="shared" si="444"/>
        <v>0</v>
      </c>
      <c r="AF1630" s="3">
        <f>IF(AND($N1630=1,AND(LEFT(对接源_02物料!$D430,4)="包装物料",N(对接源_02物料!$K430)&lt;&gt;0)),1,0)</f>
        <v>0</v>
      </c>
      <c r="AG1630" s="3">
        <f t="shared" si="445"/>
        <v>5</v>
      </c>
      <c r="AH1630" s="3">
        <f>IF(AND($N1630=1,AND(对接源_02物料!$D430="周转筐－销售出库",N(对接源_02物料!$K430)&lt;&gt;0)),1,0)</f>
        <v>0</v>
      </c>
      <c r="AI1630" s="3">
        <f t="shared" si="446"/>
        <v>0</v>
      </c>
      <c r="AL1630" s="3">
        <v>0</v>
      </c>
      <c r="AM1630" s="3">
        <f t="shared" si="447"/>
        <v>1</v>
      </c>
      <c r="AN1630" s="3" t="str">
        <f t="shared" si="434"/>
        <v/>
      </c>
      <c r="AO1630" s="3">
        <v>0</v>
      </c>
      <c r="AP1630" s="3">
        <f t="shared" si="448"/>
        <v>8</v>
      </c>
      <c r="AR1630">
        <f t="shared" si="449"/>
        <v>0</v>
      </c>
      <c r="AS1630">
        <f t="shared" si="450"/>
        <v>5</v>
      </c>
    </row>
    <row r="1631" customHeight="1" spans="1:45">
      <c r="A1631" s="3" t="str">
        <f>IF(对接源_02物料!$C431="","",对接源_02物料!$C431)</f>
        <v/>
      </c>
      <c r="B1631" s="3">
        <f t="shared" si="435"/>
        <v>0</v>
      </c>
      <c r="C1631" s="3">
        <f t="shared" si="436"/>
        <v>21</v>
      </c>
      <c r="K1631" s="3">
        <f>IF(OR($K$1="",对接源_02物料!$C431="",对接源_02物料!$C431&lt;&gt;$K$1,对接源_02物料!$B431=""),0,IF(OR(N(对接源_02物料!$B431)&lt;$K$2,N(对接源_02物料!$B431)&gt;$K$3),0,1))</f>
        <v>0</v>
      </c>
      <c r="L1631" s="3">
        <f>IF(OR($L$1="",对接源_02物料!$C431="",对接源_02物料!$C431&lt;&gt;$L$1,对接源_02物料!$B431=""),0,IF(OR(N(对接源_02物料!$B431)&lt;$L$2,N(对接源_02物料!$B431)&gt;$L$3),0,1))</f>
        <v>0</v>
      </c>
      <c r="M1631" s="3">
        <f>IF(OR($M$1="",对接源_02物料!$C431="",对接源_02物料!$C431&lt;&gt;$M$1,对接源_02物料!$B431=""),0,IF(OR(N(对接源_02物料!$B431)&lt;$M$2,N(对接源_02物料!$B431)&gt;$M$3),0,1))</f>
        <v>0</v>
      </c>
      <c r="N1631" s="3">
        <f>IF(OR($N$1="",对接源_02物料!$C431="",对接源_02物料!$C431&lt;&gt;$N$1,对接源_02物料!$B431=""),0,IF(OR(N(对接源_02物料!$B431)&lt;$N$2,N(对接源_02物料!$B431)&gt;$N$3),0,1))</f>
        <v>0</v>
      </c>
      <c r="P1631" s="3">
        <f>IF(AND($K1631=1,AND(对接源_02物料!$X431="公司筐",N(对接源_02物料!$T431)&lt;&gt;0)),1,0)</f>
        <v>0</v>
      </c>
      <c r="Q1631" s="3">
        <f t="shared" si="437"/>
        <v>8</v>
      </c>
      <c r="R1631" s="3">
        <f>IF(AND($K1631=1,AND(对接源_02物料!$X431="公司筐",N(对接源_02物料!$U431)&lt;&gt;0)),1,0)</f>
        <v>0</v>
      </c>
      <c r="S1631" s="3">
        <f t="shared" si="438"/>
        <v>0</v>
      </c>
      <c r="T1631" s="3">
        <f>IF(AND($K1631=1,AND(对接源_02物料!$X431="公司筐",N(对接源_02物料!$V431)&lt;&gt;0)),1,0)</f>
        <v>0</v>
      </c>
      <c r="U1631" s="3">
        <f t="shared" si="439"/>
        <v>19</v>
      </c>
      <c r="V1631" s="3">
        <f>IF(AND($L1631=1,AND(对接源_02物料!$X431="自备筐",N(对接源_02物料!$V431)&lt;&gt;0)),1,0)</f>
        <v>0</v>
      </c>
      <c r="W1631" s="3">
        <f t="shared" si="440"/>
        <v>8</v>
      </c>
      <c r="X1631" s="3">
        <f>IF(AND($L1631=1,AND(对接源_02物料!$X431="自备筐",N(对接源_02物料!$T431)&lt;&gt;0)),1,0)</f>
        <v>0</v>
      </c>
      <c r="Y1631" s="3">
        <f t="shared" si="441"/>
        <v>0</v>
      </c>
      <c r="Z1631" s="3">
        <f>IF(AND($M1631=1,对接源_02物料!$D431="原料入库"),1,0)</f>
        <v>0</v>
      </c>
      <c r="AA1631" s="3">
        <f t="shared" si="442"/>
        <v>24</v>
      </c>
      <c r="AB1631" s="3">
        <f>IF(AND($M1631=1,LEFT(对接源_02物料!$D431,4)="原料出库"),1,0)</f>
        <v>0</v>
      </c>
      <c r="AC1631" s="3">
        <f t="shared" si="443"/>
        <v>0</v>
      </c>
      <c r="AD1631" s="3">
        <f>IF(AND($M1631=1,LEFT(对接源_02物料!$D431,4)="成品出库"),1,0)</f>
        <v>0</v>
      </c>
      <c r="AE1631" s="3">
        <f t="shared" si="444"/>
        <v>0</v>
      </c>
      <c r="AF1631" s="3">
        <f>IF(AND($N1631=1,AND(LEFT(对接源_02物料!$D431,4)="包装物料",N(对接源_02物料!$K431)&lt;&gt;0)),1,0)</f>
        <v>0</v>
      </c>
      <c r="AG1631" s="3">
        <f t="shared" si="445"/>
        <v>5</v>
      </c>
      <c r="AH1631" s="3">
        <f>IF(AND($N1631=1,AND(对接源_02物料!$D431="周转筐－销售出库",N(对接源_02物料!$K431)&lt;&gt;0)),1,0)</f>
        <v>0</v>
      </c>
      <c r="AI1631" s="3">
        <f t="shared" si="446"/>
        <v>0</v>
      </c>
      <c r="AL1631" s="3">
        <v>0</v>
      </c>
      <c r="AM1631" s="3">
        <f t="shared" si="447"/>
        <v>1</v>
      </c>
      <c r="AN1631" s="3" t="str">
        <f t="shared" si="434"/>
        <v/>
      </c>
      <c r="AO1631" s="3">
        <v>0</v>
      </c>
      <c r="AP1631" s="3">
        <f t="shared" si="448"/>
        <v>8</v>
      </c>
      <c r="AR1631">
        <f t="shared" si="449"/>
        <v>0</v>
      </c>
      <c r="AS1631">
        <f t="shared" si="450"/>
        <v>5</v>
      </c>
    </row>
    <row r="1632" customHeight="1" spans="1:45">
      <c r="A1632" s="3" t="str">
        <f>IF(对接源_02物料!$C432="","",对接源_02物料!$C432)</f>
        <v/>
      </c>
      <c r="B1632" s="3">
        <f t="shared" si="435"/>
        <v>0</v>
      </c>
      <c r="C1632" s="3">
        <f t="shared" si="436"/>
        <v>21</v>
      </c>
      <c r="K1632" s="3">
        <f>IF(OR($K$1="",对接源_02物料!$C432="",对接源_02物料!$C432&lt;&gt;$K$1,对接源_02物料!$B432=""),0,IF(OR(N(对接源_02物料!$B432)&lt;$K$2,N(对接源_02物料!$B432)&gt;$K$3),0,1))</f>
        <v>0</v>
      </c>
      <c r="L1632" s="3">
        <f>IF(OR($L$1="",对接源_02物料!$C432="",对接源_02物料!$C432&lt;&gt;$L$1,对接源_02物料!$B432=""),0,IF(OR(N(对接源_02物料!$B432)&lt;$L$2,N(对接源_02物料!$B432)&gt;$L$3),0,1))</f>
        <v>0</v>
      </c>
      <c r="M1632" s="3">
        <f>IF(OR($M$1="",对接源_02物料!$C432="",对接源_02物料!$C432&lt;&gt;$M$1,对接源_02物料!$B432=""),0,IF(OR(N(对接源_02物料!$B432)&lt;$M$2,N(对接源_02物料!$B432)&gt;$M$3),0,1))</f>
        <v>0</v>
      </c>
      <c r="N1632" s="3">
        <f>IF(OR($N$1="",对接源_02物料!$C432="",对接源_02物料!$C432&lt;&gt;$N$1,对接源_02物料!$B432=""),0,IF(OR(N(对接源_02物料!$B432)&lt;$N$2,N(对接源_02物料!$B432)&gt;$N$3),0,1))</f>
        <v>0</v>
      </c>
      <c r="P1632" s="3">
        <f>IF(AND($K1632=1,AND(对接源_02物料!$X432="公司筐",N(对接源_02物料!$T432)&lt;&gt;0)),1,0)</f>
        <v>0</v>
      </c>
      <c r="Q1632" s="3">
        <f t="shared" si="437"/>
        <v>8</v>
      </c>
      <c r="R1632" s="3">
        <f>IF(AND($K1632=1,AND(对接源_02物料!$X432="公司筐",N(对接源_02物料!$U432)&lt;&gt;0)),1,0)</f>
        <v>0</v>
      </c>
      <c r="S1632" s="3">
        <f t="shared" si="438"/>
        <v>0</v>
      </c>
      <c r="T1632" s="3">
        <f>IF(AND($K1632=1,AND(对接源_02物料!$X432="公司筐",N(对接源_02物料!$V432)&lt;&gt;0)),1,0)</f>
        <v>0</v>
      </c>
      <c r="U1632" s="3">
        <f t="shared" si="439"/>
        <v>19</v>
      </c>
      <c r="V1632" s="3">
        <f>IF(AND($L1632=1,AND(对接源_02物料!$X432="自备筐",N(对接源_02物料!$V432)&lt;&gt;0)),1,0)</f>
        <v>0</v>
      </c>
      <c r="W1632" s="3">
        <f t="shared" si="440"/>
        <v>8</v>
      </c>
      <c r="X1632" s="3">
        <f>IF(AND($L1632=1,AND(对接源_02物料!$X432="自备筐",N(对接源_02物料!$T432)&lt;&gt;0)),1,0)</f>
        <v>0</v>
      </c>
      <c r="Y1632" s="3">
        <f t="shared" si="441"/>
        <v>0</v>
      </c>
      <c r="Z1632" s="3">
        <f>IF(AND($M1632=1,对接源_02物料!$D432="原料入库"),1,0)</f>
        <v>0</v>
      </c>
      <c r="AA1632" s="3">
        <f t="shared" si="442"/>
        <v>24</v>
      </c>
      <c r="AB1632" s="3">
        <f>IF(AND($M1632=1,LEFT(对接源_02物料!$D432,4)="原料出库"),1,0)</f>
        <v>0</v>
      </c>
      <c r="AC1632" s="3">
        <f t="shared" si="443"/>
        <v>0</v>
      </c>
      <c r="AD1632" s="3">
        <f>IF(AND($M1632=1,LEFT(对接源_02物料!$D432,4)="成品出库"),1,0)</f>
        <v>0</v>
      </c>
      <c r="AE1632" s="3">
        <f t="shared" si="444"/>
        <v>0</v>
      </c>
      <c r="AF1632" s="3">
        <f>IF(AND($N1632=1,AND(LEFT(对接源_02物料!$D432,4)="包装物料",N(对接源_02物料!$K432)&lt;&gt;0)),1,0)</f>
        <v>0</v>
      </c>
      <c r="AG1632" s="3">
        <f t="shared" si="445"/>
        <v>5</v>
      </c>
      <c r="AH1632" s="3">
        <f>IF(AND($N1632=1,AND(对接源_02物料!$D432="周转筐－销售出库",N(对接源_02物料!$K432)&lt;&gt;0)),1,0)</f>
        <v>0</v>
      </c>
      <c r="AI1632" s="3">
        <f t="shared" si="446"/>
        <v>0</v>
      </c>
      <c r="AL1632" s="3">
        <v>0</v>
      </c>
      <c r="AM1632" s="3">
        <f t="shared" si="447"/>
        <v>1</v>
      </c>
      <c r="AN1632" s="3" t="str">
        <f t="shared" si="434"/>
        <v/>
      </c>
      <c r="AO1632" s="3">
        <v>0</v>
      </c>
      <c r="AP1632" s="3">
        <f t="shared" si="448"/>
        <v>8</v>
      </c>
      <c r="AR1632">
        <f t="shared" si="449"/>
        <v>0</v>
      </c>
      <c r="AS1632">
        <f t="shared" si="450"/>
        <v>5</v>
      </c>
    </row>
    <row r="1633" customHeight="1" spans="1:45">
      <c r="A1633" s="3" t="str">
        <f>IF(对接源_02物料!$C433="","",对接源_02物料!$C433)</f>
        <v/>
      </c>
      <c r="B1633" s="3">
        <f t="shared" si="435"/>
        <v>0</v>
      </c>
      <c r="C1633" s="3">
        <f t="shared" si="436"/>
        <v>21</v>
      </c>
      <c r="K1633" s="3">
        <f>IF(OR($K$1="",对接源_02物料!$C433="",对接源_02物料!$C433&lt;&gt;$K$1,对接源_02物料!$B433=""),0,IF(OR(N(对接源_02物料!$B433)&lt;$K$2,N(对接源_02物料!$B433)&gt;$K$3),0,1))</f>
        <v>0</v>
      </c>
      <c r="L1633" s="3">
        <f>IF(OR($L$1="",对接源_02物料!$C433="",对接源_02物料!$C433&lt;&gt;$L$1,对接源_02物料!$B433=""),0,IF(OR(N(对接源_02物料!$B433)&lt;$L$2,N(对接源_02物料!$B433)&gt;$L$3),0,1))</f>
        <v>0</v>
      </c>
      <c r="M1633" s="3">
        <f>IF(OR($M$1="",对接源_02物料!$C433="",对接源_02物料!$C433&lt;&gt;$M$1,对接源_02物料!$B433=""),0,IF(OR(N(对接源_02物料!$B433)&lt;$M$2,N(对接源_02物料!$B433)&gt;$M$3),0,1))</f>
        <v>0</v>
      </c>
      <c r="N1633" s="3">
        <f>IF(OR($N$1="",对接源_02物料!$C433="",对接源_02物料!$C433&lt;&gt;$N$1,对接源_02物料!$B433=""),0,IF(OR(N(对接源_02物料!$B433)&lt;$N$2,N(对接源_02物料!$B433)&gt;$N$3),0,1))</f>
        <v>0</v>
      </c>
      <c r="P1633" s="3">
        <f>IF(AND($K1633=1,AND(对接源_02物料!$X433="公司筐",N(对接源_02物料!$T433)&lt;&gt;0)),1,0)</f>
        <v>0</v>
      </c>
      <c r="Q1633" s="3">
        <f t="shared" si="437"/>
        <v>8</v>
      </c>
      <c r="R1633" s="3">
        <f>IF(AND($K1633=1,AND(对接源_02物料!$X433="公司筐",N(对接源_02物料!$U433)&lt;&gt;0)),1,0)</f>
        <v>0</v>
      </c>
      <c r="S1633" s="3">
        <f t="shared" si="438"/>
        <v>0</v>
      </c>
      <c r="T1633" s="3">
        <f>IF(AND($K1633=1,AND(对接源_02物料!$X433="公司筐",N(对接源_02物料!$V433)&lt;&gt;0)),1,0)</f>
        <v>0</v>
      </c>
      <c r="U1633" s="3">
        <f t="shared" si="439"/>
        <v>19</v>
      </c>
      <c r="V1633" s="3">
        <f>IF(AND($L1633=1,AND(对接源_02物料!$X433="自备筐",N(对接源_02物料!$V433)&lt;&gt;0)),1,0)</f>
        <v>0</v>
      </c>
      <c r="W1633" s="3">
        <f t="shared" si="440"/>
        <v>8</v>
      </c>
      <c r="X1633" s="3">
        <f>IF(AND($L1633=1,AND(对接源_02物料!$X433="自备筐",N(对接源_02物料!$T433)&lt;&gt;0)),1,0)</f>
        <v>0</v>
      </c>
      <c r="Y1633" s="3">
        <f t="shared" si="441"/>
        <v>0</v>
      </c>
      <c r="Z1633" s="3">
        <f>IF(AND($M1633=1,对接源_02物料!$D433="原料入库"),1,0)</f>
        <v>0</v>
      </c>
      <c r="AA1633" s="3">
        <f t="shared" si="442"/>
        <v>24</v>
      </c>
      <c r="AB1633" s="3">
        <f>IF(AND($M1633=1,LEFT(对接源_02物料!$D433,4)="原料出库"),1,0)</f>
        <v>0</v>
      </c>
      <c r="AC1633" s="3">
        <f t="shared" si="443"/>
        <v>0</v>
      </c>
      <c r="AD1633" s="3">
        <f>IF(AND($M1633=1,LEFT(对接源_02物料!$D433,4)="成品出库"),1,0)</f>
        <v>0</v>
      </c>
      <c r="AE1633" s="3">
        <f t="shared" si="444"/>
        <v>0</v>
      </c>
      <c r="AF1633" s="3">
        <f>IF(AND($N1633=1,AND(LEFT(对接源_02物料!$D433,4)="包装物料",N(对接源_02物料!$K433)&lt;&gt;0)),1,0)</f>
        <v>0</v>
      </c>
      <c r="AG1633" s="3">
        <f t="shared" si="445"/>
        <v>5</v>
      </c>
      <c r="AH1633" s="3">
        <f>IF(AND($N1633=1,AND(对接源_02物料!$D433="周转筐－销售出库",N(对接源_02物料!$K433)&lt;&gt;0)),1,0)</f>
        <v>0</v>
      </c>
      <c r="AI1633" s="3">
        <f t="shared" si="446"/>
        <v>0</v>
      </c>
      <c r="AL1633" s="3">
        <v>0</v>
      </c>
      <c r="AM1633" s="3">
        <f t="shared" si="447"/>
        <v>1</v>
      </c>
      <c r="AN1633" s="3" t="str">
        <f t="shared" si="434"/>
        <v/>
      </c>
      <c r="AO1633" s="3">
        <v>0</v>
      </c>
      <c r="AP1633" s="3">
        <f t="shared" si="448"/>
        <v>8</v>
      </c>
      <c r="AR1633">
        <f t="shared" si="449"/>
        <v>0</v>
      </c>
      <c r="AS1633">
        <f t="shared" si="450"/>
        <v>5</v>
      </c>
    </row>
    <row r="1634" customHeight="1" spans="1:45">
      <c r="A1634" s="3" t="str">
        <f>IF(对接源_02物料!$C434="","",对接源_02物料!$C434)</f>
        <v/>
      </c>
      <c r="B1634" s="3">
        <f t="shared" si="435"/>
        <v>0</v>
      </c>
      <c r="C1634" s="3">
        <f t="shared" si="436"/>
        <v>21</v>
      </c>
      <c r="K1634" s="3">
        <f>IF(OR($K$1="",对接源_02物料!$C434="",对接源_02物料!$C434&lt;&gt;$K$1,对接源_02物料!$B434=""),0,IF(OR(N(对接源_02物料!$B434)&lt;$K$2,N(对接源_02物料!$B434)&gt;$K$3),0,1))</f>
        <v>0</v>
      </c>
      <c r="L1634" s="3">
        <f>IF(OR($L$1="",对接源_02物料!$C434="",对接源_02物料!$C434&lt;&gt;$L$1,对接源_02物料!$B434=""),0,IF(OR(N(对接源_02物料!$B434)&lt;$L$2,N(对接源_02物料!$B434)&gt;$L$3),0,1))</f>
        <v>0</v>
      </c>
      <c r="M1634" s="3">
        <f>IF(OR($M$1="",对接源_02物料!$C434="",对接源_02物料!$C434&lt;&gt;$M$1,对接源_02物料!$B434=""),0,IF(OR(N(对接源_02物料!$B434)&lt;$M$2,N(对接源_02物料!$B434)&gt;$M$3),0,1))</f>
        <v>0</v>
      </c>
      <c r="N1634" s="3">
        <f>IF(OR($N$1="",对接源_02物料!$C434="",对接源_02物料!$C434&lt;&gt;$N$1,对接源_02物料!$B434=""),0,IF(OR(N(对接源_02物料!$B434)&lt;$N$2,N(对接源_02物料!$B434)&gt;$N$3),0,1))</f>
        <v>0</v>
      </c>
      <c r="P1634" s="3">
        <f>IF(AND($K1634=1,AND(对接源_02物料!$X434="公司筐",N(对接源_02物料!$T434)&lt;&gt;0)),1,0)</f>
        <v>0</v>
      </c>
      <c r="Q1634" s="3">
        <f t="shared" si="437"/>
        <v>8</v>
      </c>
      <c r="R1634" s="3">
        <f>IF(AND($K1634=1,AND(对接源_02物料!$X434="公司筐",N(对接源_02物料!$U434)&lt;&gt;0)),1,0)</f>
        <v>0</v>
      </c>
      <c r="S1634" s="3">
        <f t="shared" si="438"/>
        <v>0</v>
      </c>
      <c r="T1634" s="3">
        <f>IF(AND($K1634=1,AND(对接源_02物料!$X434="公司筐",N(对接源_02物料!$V434)&lt;&gt;0)),1,0)</f>
        <v>0</v>
      </c>
      <c r="U1634" s="3">
        <f t="shared" si="439"/>
        <v>19</v>
      </c>
      <c r="V1634" s="3">
        <f>IF(AND($L1634=1,AND(对接源_02物料!$X434="自备筐",N(对接源_02物料!$V434)&lt;&gt;0)),1,0)</f>
        <v>0</v>
      </c>
      <c r="W1634" s="3">
        <f t="shared" si="440"/>
        <v>8</v>
      </c>
      <c r="X1634" s="3">
        <f>IF(AND($L1634=1,AND(对接源_02物料!$X434="自备筐",N(对接源_02物料!$T434)&lt;&gt;0)),1,0)</f>
        <v>0</v>
      </c>
      <c r="Y1634" s="3">
        <f t="shared" si="441"/>
        <v>0</v>
      </c>
      <c r="Z1634" s="3">
        <f>IF(AND($M1634=1,对接源_02物料!$D434="原料入库"),1,0)</f>
        <v>0</v>
      </c>
      <c r="AA1634" s="3">
        <f t="shared" si="442"/>
        <v>24</v>
      </c>
      <c r="AB1634" s="3">
        <f>IF(AND($M1634=1,LEFT(对接源_02物料!$D434,4)="原料出库"),1,0)</f>
        <v>0</v>
      </c>
      <c r="AC1634" s="3">
        <f t="shared" si="443"/>
        <v>0</v>
      </c>
      <c r="AD1634" s="3">
        <f>IF(AND($M1634=1,LEFT(对接源_02物料!$D434,4)="成品出库"),1,0)</f>
        <v>0</v>
      </c>
      <c r="AE1634" s="3">
        <f t="shared" si="444"/>
        <v>0</v>
      </c>
      <c r="AF1634" s="3">
        <f>IF(AND($N1634=1,AND(LEFT(对接源_02物料!$D434,4)="包装物料",N(对接源_02物料!$K434)&lt;&gt;0)),1,0)</f>
        <v>0</v>
      </c>
      <c r="AG1634" s="3">
        <f t="shared" si="445"/>
        <v>5</v>
      </c>
      <c r="AH1634" s="3">
        <f>IF(AND($N1634=1,AND(对接源_02物料!$D434="周转筐－销售出库",N(对接源_02物料!$K434)&lt;&gt;0)),1,0)</f>
        <v>0</v>
      </c>
      <c r="AI1634" s="3">
        <f t="shared" si="446"/>
        <v>0</v>
      </c>
      <c r="AL1634" s="3">
        <v>0</v>
      </c>
      <c r="AM1634" s="3">
        <f t="shared" si="447"/>
        <v>1</v>
      </c>
      <c r="AN1634" s="3" t="str">
        <f t="shared" si="434"/>
        <v/>
      </c>
      <c r="AO1634" s="3">
        <v>0</v>
      </c>
      <c r="AP1634" s="3">
        <f t="shared" si="448"/>
        <v>8</v>
      </c>
      <c r="AR1634">
        <f t="shared" si="449"/>
        <v>0</v>
      </c>
      <c r="AS1634">
        <f t="shared" si="450"/>
        <v>5</v>
      </c>
    </row>
    <row r="1635" customHeight="1" spans="1:45">
      <c r="A1635" s="3" t="str">
        <f>IF(对接源_02物料!$C435="","",对接源_02物料!$C435)</f>
        <v/>
      </c>
      <c r="B1635" s="3">
        <f t="shared" si="435"/>
        <v>0</v>
      </c>
      <c r="C1635" s="3">
        <f t="shared" si="436"/>
        <v>21</v>
      </c>
      <c r="K1635" s="3">
        <f>IF(OR($K$1="",对接源_02物料!$C435="",对接源_02物料!$C435&lt;&gt;$K$1,对接源_02物料!$B435=""),0,IF(OR(N(对接源_02物料!$B435)&lt;$K$2,N(对接源_02物料!$B435)&gt;$K$3),0,1))</f>
        <v>0</v>
      </c>
      <c r="L1635" s="3">
        <f>IF(OR($L$1="",对接源_02物料!$C435="",对接源_02物料!$C435&lt;&gt;$L$1,对接源_02物料!$B435=""),0,IF(OR(N(对接源_02物料!$B435)&lt;$L$2,N(对接源_02物料!$B435)&gt;$L$3),0,1))</f>
        <v>0</v>
      </c>
      <c r="M1635" s="3">
        <f>IF(OR($M$1="",对接源_02物料!$C435="",对接源_02物料!$C435&lt;&gt;$M$1,对接源_02物料!$B435=""),0,IF(OR(N(对接源_02物料!$B435)&lt;$M$2,N(对接源_02物料!$B435)&gt;$M$3),0,1))</f>
        <v>0</v>
      </c>
      <c r="N1635" s="3">
        <f>IF(OR($N$1="",对接源_02物料!$C435="",对接源_02物料!$C435&lt;&gt;$N$1,对接源_02物料!$B435=""),0,IF(OR(N(对接源_02物料!$B435)&lt;$N$2,N(对接源_02物料!$B435)&gt;$N$3),0,1))</f>
        <v>0</v>
      </c>
      <c r="P1635" s="3">
        <f>IF(AND($K1635=1,AND(对接源_02物料!$X435="公司筐",N(对接源_02物料!$T435)&lt;&gt;0)),1,0)</f>
        <v>0</v>
      </c>
      <c r="Q1635" s="3">
        <f t="shared" si="437"/>
        <v>8</v>
      </c>
      <c r="R1635" s="3">
        <f>IF(AND($K1635=1,AND(对接源_02物料!$X435="公司筐",N(对接源_02物料!$U435)&lt;&gt;0)),1,0)</f>
        <v>0</v>
      </c>
      <c r="S1635" s="3">
        <f t="shared" si="438"/>
        <v>0</v>
      </c>
      <c r="T1635" s="3">
        <f>IF(AND($K1635=1,AND(对接源_02物料!$X435="公司筐",N(对接源_02物料!$V435)&lt;&gt;0)),1,0)</f>
        <v>0</v>
      </c>
      <c r="U1635" s="3">
        <f t="shared" si="439"/>
        <v>19</v>
      </c>
      <c r="V1635" s="3">
        <f>IF(AND($L1635=1,AND(对接源_02物料!$X435="自备筐",N(对接源_02物料!$V435)&lt;&gt;0)),1,0)</f>
        <v>0</v>
      </c>
      <c r="W1635" s="3">
        <f t="shared" si="440"/>
        <v>8</v>
      </c>
      <c r="X1635" s="3">
        <f>IF(AND($L1635=1,AND(对接源_02物料!$X435="自备筐",N(对接源_02物料!$T435)&lt;&gt;0)),1,0)</f>
        <v>0</v>
      </c>
      <c r="Y1635" s="3">
        <f t="shared" si="441"/>
        <v>0</v>
      </c>
      <c r="Z1635" s="3">
        <f>IF(AND($M1635=1,对接源_02物料!$D435="原料入库"),1,0)</f>
        <v>0</v>
      </c>
      <c r="AA1635" s="3">
        <f t="shared" si="442"/>
        <v>24</v>
      </c>
      <c r="AB1635" s="3">
        <f>IF(AND($M1635=1,LEFT(对接源_02物料!$D435,4)="原料出库"),1,0)</f>
        <v>0</v>
      </c>
      <c r="AC1635" s="3">
        <f t="shared" si="443"/>
        <v>0</v>
      </c>
      <c r="AD1635" s="3">
        <f>IF(AND($M1635=1,LEFT(对接源_02物料!$D435,4)="成品出库"),1,0)</f>
        <v>0</v>
      </c>
      <c r="AE1635" s="3">
        <f t="shared" si="444"/>
        <v>0</v>
      </c>
      <c r="AF1635" s="3">
        <f>IF(AND($N1635=1,AND(LEFT(对接源_02物料!$D435,4)="包装物料",N(对接源_02物料!$K435)&lt;&gt;0)),1,0)</f>
        <v>0</v>
      </c>
      <c r="AG1635" s="3">
        <f t="shared" si="445"/>
        <v>5</v>
      </c>
      <c r="AH1635" s="3">
        <f>IF(AND($N1635=1,AND(对接源_02物料!$D435="周转筐－销售出库",N(对接源_02物料!$K435)&lt;&gt;0)),1,0)</f>
        <v>0</v>
      </c>
      <c r="AI1635" s="3">
        <f t="shared" si="446"/>
        <v>0</v>
      </c>
      <c r="AL1635" s="3">
        <v>0</v>
      </c>
      <c r="AM1635" s="3">
        <f t="shared" si="447"/>
        <v>1</v>
      </c>
      <c r="AN1635" s="3" t="str">
        <f t="shared" si="434"/>
        <v/>
      </c>
      <c r="AO1635" s="3">
        <v>0</v>
      </c>
      <c r="AP1635" s="3">
        <f t="shared" si="448"/>
        <v>8</v>
      </c>
      <c r="AR1635">
        <f t="shared" si="449"/>
        <v>0</v>
      </c>
      <c r="AS1635">
        <f t="shared" si="450"/>
        <v>5</v>
      </c>
    </row>
    <row r="1636" customHeight="1" spans="1:45">
      <c r="A1636" s="3" t="str">
        <f>IF(对接源_02物料!$C436="","",对接源_02物料!$C436)</f>
        <v/>
      </c>
      <c r="B1636" s="3">
        <f t="shared" si="435"/>
        <v>0</v>
      </c>
      <c r="C1636" s="3">
        <f t="shared" si="436"/>
        <v>21</v>
      </c>
      <c r="K1636" s="3">
        <f>IF(OR($K$1="",对接源_02物料!$C436="",对接源_02物料!$C436&lt;&gt;$K$1,对接源_02物料!$B436=""),0,IF(OR(N(对接源_02物料!$B436)&lt;$K$2,N(对接源_02物料!$B436)&gt;$K$3),0,1))</f>
        <v>0</v>
      </c>
      <c r="L1636" s="3">
        <f>IF(OR($L$1="",对接源_02物料!$C436="",对接源_02物料!$C436&lt;&gt;$L$1,对接源_02物料!$B436=""),0,IF(OR(N(对接源_02物料!$B436)&lt;$L$2,N(对接源_02物料!$B436)&gt;$L$3),0,1))</f>
        <v>0</v>
      </c>
      <c r="M1636" s="3">
        <f>IF(OR($M$1="",对接源_02物料!$C436="",对接源_02物料!$C436&lt;&gt;$M$1,对接源_02物料!$B436=""),0,IF(OR(N(对接源_02物料!$B436)&lt;$M$2,N(对接源_02物料!$B436)&gt;$M$3),0,1))</f>
        <v>0</v>
      </c>
      <c r="N1636" s="3">
        <f>IF(OR($N$1="",对接源_02物料!$C436="",对接源_02物料!$C436&lt;&gt;$N$1,对接源_02物料!$B436=""),0,IF(OR(N(对接源_02物料!$B436)&lt;$N$2,N(对接源_02物料!$B436)&gt;$N$3),0,1))</f>
        <v>0</v>
      </c>
      <c r="P1636" s="3">
        <f>IF(AND($K1636=1,AND(对接源_02物料!$X436="公司筐",N(对接源_02物料!$T436)&lt;&gt;0)),1,0)</f>
        <v>0</v>
      </c>
      <c r="Q1636" s="3">
        <f t="shared" si="437"/>
        <v>8</v>
      </c>
      <c r="R1636" s="3">
        <f>IF(AND($K1636=1,AND(对接源_02物料!$X436="公司筐",N(对接源_02物料!$U436)&lt;&gt;0)),1,0)</f>
        <v>0</v>
      </c>
      <c r="S1636" s="3">
        <f t="shared" si="438"/>
        <v>0</v>
      </c>
      <c r="T1636" s="3">
        <f>IF(AND($K1636=1,AND(对接源_02物料!$X436="公司筐",N(对接源_02物料!$V436)&lt;&gt;0)),1,0)</f>
        <v>0</v>
      </c>
      <c r="U1636" s="3">
        <f t="shared" si="439"/>
        <v>19</v>
      </c>
      <c r="V1636" s="3">
        <f>IF(AND($L1636=1,AND(对接源_02物料!$X436="自备筐",N(对接源_02物料!$V436)&lt;&gt;0)),1,0)</f>
        <v>0</v>
      </c>
      <c r="W1636" s="3">
        <f t="shared" si="440"/>
        <v>8</v>
      </c>
      <c r="X1636" s="3">
        <f>IF(AND($L1636=1,AND(对接源_02物料!$X436="自备筐",N(对接源_02物料!$T436)&lt;&gt;0)),1,0)</f>
        <v>0</v>
      </c>
      <c r="Y1636" s="3">
        <f t="shared" si="441"/>
        <v>0</v>
      </c>
      <c r="Z1636" s="3">
        <f>IF(AND($M1636=1,对接源_02物料!$D436="原料入库"),1,0)</f>
        <v>0</v>
      </c>
      <c r="AA1636" s="3">
        <f t="shared" si="442"/>
        <v>24</v>
      </c>
      <c r="AB1636" s="3">
        <f>IF(AND($M1636=1,LEFT(对接源_02物料!$D436,4)="原料出库"),1,0)</f>
        <v>0</v>
      </c>
      <c r="AC1636" s="3">
        <f t="shared" si="443"/>
        <v>0</v>
      </c>
      <c r="AD1636" s="3">
        <f>IF(AND($M1636=1,LEFT(对接源_02物料!$D436,4)="成品出库"),1,0)</f>
        <v>0</v>
      </c>
      <c r="AE1636" s="3">
        <f t="shared" si="444"/>
        <v>0</v>
      </c>
      <c r="AF1636" s="3">
        <f>IF(AND($N1636=1,AND(LEFT(对接源_02物料!$D436,4)="包装物料",N(对接源_02物料!$K436)&lt;&gt;0)),1,0)</f>
        <v>0</v>
      </c>
      <c r="AG1636" s="3">
        <f t="shared" si="445"/>
        <v>5</v>
      </c>
      <c r="AH1636" s="3">
        <f>IF(AND($N1636=1,AND(对接源_02物料!$D436="周转筐－销售出库",N(对接源_02物料!$K436)&lt;&gt;0)),1,0)</f>
        <v>0</v>
      </c>
      <c r="AI1636" s="3">
        <f t="shared" si="446"/>
        <v>0</v>
      </c>
      <c r="AL1636" s="3">
        <v>0</v>
      </c>
      <c r="AM1636" s="3">
        <f t="shared" si="447"/>
        <v>1</v>
      </c>
      <c r="AN1636" s="3" t="str">
        <f t="shared" si="434"/>
        <v/>
      </c>
      <c r="AO1636" s="3">
        <v>0</v>
      </c>
      <c r="AP1636" s="3">
        <f t="shared" si="448"/>
        <v>8</v>
      </c>
      <c r="AR1636">
        <f t="shared" si="449"/>
        <v>0</v>
      </c>
      <c r="AS1636">
        <f t="shared" si="450"/>
        <v>5</v>
      </c>
    </row>
    <row r="1637" customHeight="1" spans="1:45">
      <c r="A1637" s="3" t="str">
        <f>IF(对接源_02物料!$C437="","",对接源_02物料!$C437)</f>
        <v/>
      </c>
      <c r="B1637" s="3">
        <f t="shared" si="435"/>
        <v>0</v>
      </c>
      <c r="C1637" s="3">
        <f t="shared" si="436"/>
        <v>21</v>
      </c>
      <c r="K1637" s="3">
        <f>IF(OR($K$1="",对接源_02物料!$C437="",对接源_02物料!$C437&lt;&gt;$K$1,对接源_02物料!$B437=""),0,IF(OR(N(对接源_02物料!$B437)&lt;$K$2,N(对接源_02物料!$B437)&gt;$K$3),0,1))</f>
        <v>0</v>
      </c>
      <c r="L1637" s="3">
        <f>IF(OR($L$1="",对接源_02物料!$C437="",对接源_02物料!$C437&lt;&gt;$L$1,对接源_02物料!$B437=""),0,IF(OR(N(对接源_02物料!$B437)&lt;$L$2,N(对接源_02物料!$B437)&gt;$L$3),0,1))</f>
        <v>0</v>
      </c>
      <c r="M1637" s="3">
        <f>IF(OR($M$1="",对接源_02物料!$C437="",对接源_02物料!$C437&lt;&gt;$M$1,对接源_02物料!$B437=""),0,IF(OR(N(对接源_02物料!$B437)&lt;$M$2,N(对接源_02物料!$B437)&gt;$M$3),0,1))</f>
        <v>0</v>
      </c>
      <c r="N1637" s="3">
        <f>IF(OR($N$1="",对接源_02物料!$C437="",对接源_02物料!$C437&lt;&gt;$N$1,对接源_02物料!$B437=""),0,IF(OR(N(对接源_02物料!$B437)&lt;$N$2,N(对接源_02物料!$B437)&gt;$N$3),0,1))</f>
        <v>0</v>
      </c>
      <c r="P1637" s="3">
        <f>IF(AND($K1637=1,AND(对接源_02物料!$X437="公司筐",N(对接源_02物料!$T437)&lt;&gt;0)),1,0)</f>
        <v>0</v>
      </c>
      <c r="Q1637" s="3">
        <f t="shared" si="437"/>
        <v>8</v>
      </c>
      <c r="R1637" s="3">
        <f>IF(AND($K1637=1,AND(对接源_02物料!$X437="公司筐",N(对接源_02物料!$U437)&lt;&gt;0)),1,0)</f>
        <v>0</v>
      </c>
      <c r="S1637" s="3">
        <f t="shared" si="438"/>
        <v>0</v>
      </c>
      <c r="T1637" s="3">
        <f>IF(AND($K1637=1,AND(对接源_02物料!$X437="公司筐",N(对接源_02物料!$V437)&lt;&gt;0)),1,0)</f>
        <v>0</v>
      </c>
      <c r="U1637" s="3">
        <f t="shared" si="439"/>
        <v>19</v>
      </c>
      <c r="V1637" s="3">
        <f>IF(AND($L1637=1,AND(对接源_02物料!$X437="自备筐",N(对接源_02物料!$V437)&lt;&gt;0)),1,0)</f>
        <v>0</v>
      </c>
      <c r="W1637" s="3">
        <f t="shared" si="440"/>
        <v>8</v>
      </c>
      <c r="X1637" s="3">
        <f>IF(AND($L1637=1,AND(对接源_02物料!$X437="自备筐",N(对接源_02物料!$T437)&lt;&gt;0)),1,0)</f>
        <v>0</v>
      </c>
      <c r="Y1637" s="3">
        <f t="shared" si="441"/>
        <v>0</v>
      </c>
      <c r="Z1637" s="3">
        <f>IF(AND($M1637=1,对接源_02物料!$D437="原料入库"),1,0)</f>
        <v>0</v>
      </c>
      <c r="AA1637" s="3">
        <f t="shared" si="442"/>
        <v>24</v>
      </c>
      <c r="AB1637" s="3">
        <f>IF(AND($M1637=1,LEFT(对接源_02物料!$D437,4)="原料出库"),1,0)</f>
        <v>0</v>
      </c>
      <c r="AC1637" s="3">
        <f t="shared" si="443"/>
        <v>0</v>
      </c>
      <c r="AD1637" s="3">
        <f>IF(AND($M1637=1,LEFT(对接源_02物料!$D437,4)="成品出库"),1,0)</f>
        <v>0</v>
      </c>
      <c r="AE1637" s="3">
        <f t="shared" si="444"/>
        <v>0</v>
      </c>
      <c r="AF1637" s="3">
        <f>IF(AND($N1637=1,AND(LEFT(对接源_02物料!$D437,4)="包装物料",N(对接源_02物料!$K437)&lt;&gt;0)),1,0)</f>
        <v>0</v>
      </c>
      <c r="AG1637" s="3">
        <f t="shared" si="445"/>
        <v>5</v>
      </c>
      <c r="AH1637" s="3">
        <f>IF(AND($N1637=1,AND(对接源_02物料!$D437="周转筐－销售出库",N(对接源_02物料!$K437)&lt;&gt;0)),1,0)</f>
        <v>0</v>
      </c>
      <c r="AI1637" s="3">
        <f t="shared" si="446"/>
        <v>0</v>
      </c>
      <c r="AL1637" s="3">
        <v>0</v>
      </c>
      <c r="AM1637" s="3">
        <f t="shared" si="447"/>
        <v>1</v>
      </c>
      <c r="AN1637" s="3" t="str">
        <f t="shared" si="434"/>
        <v/>
      </c>
      <c r="AO1637" s="3">
        <v>0</v>
      </c>
      <c r="AP1637" s="3">
        <f t="shared" si="448"/>
        <v>8</v>
      </c>
      <c r="AR1637">
        <f t="shared" si="449"/>
        <v>0</v>
      </c>
      <c r="AS1637">
        <f t="shared" si="450"/>
        <v>5</v>
      </c>
    </row>
    <row r="1638" customHeight="1" spans="1:45">
      <c r="A1638" s="3" t="str">
        <f>IF(对接源_02物料!$C438="","",对接源_02物料!$C438)</f>
        <v/>
      </c>
      <c r="B1638" s="3">
        <f t="shared" si="435"/>
        <v>0</v>
      </c>
      <c r="C1638" s="3">
        <f t="shared" si="436"/>
        <v>21</v>
      </c>
      <c r="K1638" s="3">
        <f>IF(OR($K$1="",对接源_02物料!$C438="",对接源_02物料!$C438&lt;&gt;$K$1,对接源_02物料!$B438=""),0,IF(OR(N(对接源_02物料!$B438)&lt;$K$2,N(对接源_02物料!$B438)&gt;$K$3),0,1))</f>
        <v>0</v>
      </c>
      <c r="L1638" s="3">
        <f>IF(OR($L$1="",对接源_02物料!$C438="",对接源_02物料!$C438&lt;&gt;$L$1,对接源_02物料!$B438=""),0,IF(OR(N(对接源_02物料!$B438)&lt;$L$2,N(对接源_02物料!$B438)&gt;$L$3),0,1))</f>
        <v>0</v>
      </c>
      <c r="M1638" s="3">
        <f>IF(OR($M$1="",对接源_02物料!$C438="",对接源_02物料!$C438&lt;&gt;$M$1,对接源_02物料!$B438=""),0,IF(OR(N(对接源_02物料!$B438)&lt;$M$2,N(对接源_02物料!$B438)&gt;$M$3),0,1))</f>
        <v>0</v>
      </c>
      <c r="N1638" s="3">
        <f>IF(OR($N$1="",对接源_02物料!$C438="",对接源_02物料!$C438&lt;&gt;$N$1,对接源_02物料!$B438=""),0,IF(OR(N(对接源_02物料!$B438)&lt;$N$2,N(对接源_02物料!$B438)&gt;$N$3),0,1))</f>
        <v>0</v>
      </c>
      <c r="P1638" s="3">
        <f>IF(AND($K1638=1,AND(对接源_02物料!$X438="公司筐",N(对接源_02物料!$T438)&lt;&gt;0)),1,0)</f>
        <v>0</v>
      </c>
      <c r="Q1638" s="3">
        <f t="shared" si="437"/>
        <v>8</v>
      </c>
      <c r="R1638" s="3">
        <f>IF(AND($K1638=1,AND(对接源_02物料!$X438="公司筐",N(对接源_02物料!$U438)&lt;&gt;0)),1,0)</f>
        <v>0</v>
      </c>
      <c r="S1638" s="3">
        <f t="shared" si="438"/>
        <v>0</v>
      </c>
      <c r="T1638" s="3">
        <f>IF(AND($K1638=1,AND(对接源_02物料!$X438="公司筐",N(对接源_02物料!$V438)&lt;&gt;0)),1,0)</f>
        <v>0</v>
      </c>
      <c r="U1638" s="3">
        <f t="shared" si="439"/>
        <v>19</v>
      </c>
      <c r="V1638" s="3">
        <f>IF(AND($L1638=1,AND(对接源_02物料!$X438="自备筐",N(对接源_02物料!$V438)&lt;&gt;0)),1,0)</f>
        <v>0</v>
      </c>
      <c r="W1638" s="3">
        <f t="shared" si="440"/>
        <v>8</v>
      </c>
      <c r="X1638" s="3">
        <f>IF(AND($L1638=1,AND(对接源_02物料!$X438="自备筐",N(对接源_02物料!$T438)&lt;&gt;0)),1,0)</f>
        <v>0</v>
      </c>
      <c r="Y1638" s="3">
        <f t="shared" si="441"/>
        <v>0</v>
      </c>
      <c r="Z1638" s="3">
        <f>IF(AND($M1638=1,对接源_02物料!$D438="原料入库"),1,0)</f>
        <v>0</v>
      </c>
      <c r="AA1638" s="3">
        <f t="shared" si="442"/>
        <v>24</v>
      </c>
      <c r="AB1638" s="3">
        <f>IF(AND($M1638=1,LEFT(对接源_02物料!$D438,4)="原料出库"),1,0)</f>
        <v>0</v>
      </c>
      <c r="AC1638" s="3">
        <f t="shared" si="443"/>
        <v>0</v>
      </c>
      <c r="AD1638" s="3">
        <f>IF(AND($M1638=1,LEFT(对接源_02物料!$D438,4)="成品出库"),1,0)</f>
        <v>0</v>
      </c>
      <c r="AE1638" s="3">
        <f t="shared" si="444"/>
        <v>0</v>
      </c>
      <c r="AF1638" s="3">
        <f>IF(AND($N1638=1,AND(LEFT(对接源_02物料!$D438,4)="包装物料",N(对接源_02物料!$K438)&lt;&gt;0)),1,0)</f>
        <v>0</v>
      </c>
      <c r="AG1638" s="3">
        <f t="shared" si="445"/>
        <v>5</v>
      </c>
      <c r="AH1638" s="3">
        <f>IF(AND($N1638=1,AND(对接源_02物料!$D438="周转筐－销售出库",N(对接源_02物料!$K438)&lt;&gt;0)),1,0)</f>
        <v>0</v>
      </c>
      <c r="AI1638" s="3">
        <f t="shared" si="446"/>
        <v>0</v>
      </c>
      <c r="AL1638" s="3">
        <v>0</v>
      </c>
      <c r="AM1638" s="3">
        <f t="shared" si="447"/>
        <v>1</v>
      </c>
      <c r="AN1638" s="3" t="str">
        <f t="shared" si="434"/>
        <v/>
      </c>
      <c r="AO1638" s="3">
        <v>0</v>
      </c>
      <c r="AP1638" s="3">
        <f t="shared" si="448"/>
        <v>8</v>
      </c>
      <c r="AR1638">
        <f t="shared" si="449"/>
        <v>0</v>
      </c>
      <c r="AS1638">
        <f t="shared" si="450"/>
        <v>5</v>
      </c>
    </row>
    <row r="1639" customHeight="1" spans="1:45">
      <c r="A1639" s="3" t="str">
        <f>IF(对接源_02物料!$C439="","",对接源_02物料!$C439)</f>
        <v/>
      </c>
      <c r="B1639" s="3">
        <f t="shared" si="435"/>
        <v>0</v>
      </c>
      <c r="C1639" s="3">
        <f t="shared" si="436"/>
        <v>21</v>
      </c>
      <c r="K1639" s="3">
        <f>IF(OR($K$1="",对接源_02物料!$C439="",对接源_02物料!$C439&lt;&gt;$K$1,对接源_02物料!$B439=""),0,IF(OR(N(对接源_02物料!$B439)&lt;$K$2,N(对接源_02物料!$B439)&gt;$K$3),0,1))</f>
        <v>0</v>
      </c>
      <c r="L1639" s="3">
        <f>IF(OR($L$1="",对接源_02物料!$C439="",对接源_02物料!$C439&lt;&gt;$L$1,对接源_02物料!$B439=""),0,IF(OR(N(对接源_02物料!$B439)&lt;$L$2,N(对接源_02物料!$B439)&gt;$L$3),0,1))</f>
        <v>0</v>
      </c>
      <c r="M1639" s="3">
        <f>IF(OR($M$1="",对接源_02物料!$C439="",对接源_02物料!$C439&lt;&gt;$M$1,对接源_02物料!$B439=""),0,IF(OR(N(对接源_02物料!$B439)&lt;$M$2,N(对接源_02物料!$B439)&gt;$M$3),0,1))</f>
        <v>0</v>
      </c>
      <c r="N1639" s="3">
        <f>IF(OR($N$1="",对接源_02物料!$C439="",对接源_02物料!$C439&lt;&gt;$N$1,对接源_02物料!$B439=""),0,IF(OR(N(对接源_02物料!$B439)&lt;$N$2,N(对接源_02物料!$B439)&gt;$N$3),0,1))</f>
        <v>0</v>
      </c>
      <c r="P1639" s="3">
        <f>IF(AND($K1639=1,AND(对接源_02物料!$X439="公司筐",N(对接源_02物料!$T439)&lt;&gt;0)),1,0)</f>
        <v>0</v>
      </c>
      <c r="Q1639" s="3">
        <f t="shared" si="437"/>
        <v>8</v>
      </c>
      <c r="R1639" s="3">
        <f>IF(AND($K1639=1,AND(对接源_02物料!$X439="公司筐",N(对接源_02物料!$U439)&lt;&gt;0)),1,0)</f>
        <v>0</v>
      </c>
      <c r="S1639" s="3">
        <f t="shared" si="438"/>
        <v>0</v>
      </c>
      <c r="T1639" s="3">
        <f>IF(AND($K1639=1,AND(对接源_02物料!$X439="公司筐",N(对接源_02物料!$V439)&lt;&gt;0)),1,0)</f>
        <v>0</v>
      </c>
      <c r="U1639" s="3">
        <f t="shared" si="439"/>
        <v>19</v>
      </c>
      <c r="V1639" s="3">
        <f>IF(AND($L1639=1,AND(对接源_02物料!$X439="自备筐",N(对接源_02物料!$V439)&lt;&gt;0)),1,0)</f>
        <v>0</v>
      </c>
      <c r="W1639" s="3">
        <f t="shared" si="440"/>
        <v>8</v>
      </c>
      <c r="X1639" s="3">
        <f>IF(AND($L1639=1,AND(对接源_02物料!$X439="自备筐",N(对接源_02物料!$T439)&lt;&gt;0)),1,0)</f>
        <v>0</v>
      </c>
      <c r="Y1639" s="3">
        <f t="shared" si="441"/>
        <v>0</v>
      </c>
      <c r="Z1639" s="3">
        <f>IF(AND($M1639=1,对接源_02物料!$D439="原料入库"),1,0)</f>
        <v>0</v>
      </c>
      <c r="AA1639" s="3">
        <f t="shared" si="442"/>
        <v>24</v>
      </c>
      <c r="AB1639" s="3">
        <f>IF(AND($M1639=1,LEFT(对接源_02物料!$D439,4)="原料出库"),1,0)</f>
        <v>0</v>
      </c>
      <c r="AC1639" s="3">
        <f t="shared" si="443"/>
        <v>0</v>
      </c>
      <c r="AD1639" s="3">
        <f>IF(AND($M1639=1,LEFT(对接源_02物料!$D439,4)="成品出库"),1,0)</f>
        <v>0</v>
      </c>
      <c r="AE1639" s="3">
        <f t="shared" si="444"/>
        <v>0</v>
      </c>
      <c r="AF1639" s="3">
        <f>IF(AND($N1639=1,AND(LEFT(对接源_02物料!$D439,4)="包装物料",N(对接源_02物料!$K439)&lt;&gt;0)),1,0)</f>
        <v>0</v>
      </c>
      <c r="AG1639" s="3">
        <f t="shared" si="445"/>
        <v>5</v>
      </c>
      <c r="AH1639" s="3">
        <f>IF(AND($N1639=1,AND(对接源_02物料!$D439="周转筐－销售出库",N(对接源_02物料!$K439)&lt;&gt;0)),1,0)</f>
        <v>0</v>
      </c>
      <c r="AI1639" s="3">
        <f t="shared" si="446"/>
        <v>0</v>
      </c>
      <c r="AL1639" s="3">
        <v>0</v>
      </c>
      <c r="AM1639" s="3">
        <f t="shared" si="447"/>
        <v>1</v>
      </c>
      <c r="AN1639" s="3" t="str">
        <f t="shared" si="434"/>
        <v/>
      </c>
      <c r="AO1639" s="3">
        <v>0</v>
      </c>
      <c r="AP1639" s="3">
        <f t="shared" si="448"/>
        <v>8</v>
      </c>
      <c r="AR1639">
        <f t="shared" si="449"/>
        <v>0</v>
      </c>
      <c r="AS1639">
        <f t="shared" si="450"/>
        <v>5</v>
      </c>
    </row>
    <row r="1640" customHeight="1" spans="1:45">
      <c r="A1640" s="3" t="str">
        <f>IF(对接源_02物料!$C440="","",对接源_02物料!$C440)</f>
        <v/>
      </c>
      <c r="B1640" s="3">
        <f t="shared" si="435"/>
        <v>0</v>
      </c>
      <c r="C1640" s="3">
        <f t="shared" si="436"/>
        <v>21</v>
      </c>
      <c r="K1640" s="3">
        <f>IF(OR($K$1="",对接源_02物料!$C440="",对接源_02物料!$C440&lt;&gt;$K$1,对接源_02物料!$B440=""),0,IF(OR(N(对接源_02物料!$B440)&lt;$K$2,N(对接源_02物料!$B440)&gt;$K$3),0,1))</f>
        <v>0</v>
      </c>
      <c r="L1640" s="3">
        <f>IF(OR($L$1="",对接源_02物料!$C440="",对接源_02物料!$C440&lt;&gt;$L$1,对接源_02物料!$B440=""),0,IF(OR(N(对接源_02物料!$B440)&lt;$L$2,N(对接源_02物料!$B440)&gt;$L$3),0,1))</f>
        <v>0</v>
      </c>
      <c r="M1640" s="3">
        <f>IF(OR($M$1="",对接源_02物料!$C440="",对接源_02物料!$C440&lt;&gt;$M$1,对接源_02物料!$B440=""),0,IF(OR(N(对接源_02物料!$B440)&lt;$M$2,N(对接源_02物料!$B440)&gt;$M$3),0,1))</f>
        <v>0</v>
      </c>
      <c r="N1640" s="3">
        <f>IF(OR($N$1="",对接源_02物料!$C440="",对接源_02物料!$C440&lt;&gt;$N$1,对接源_02物料!$B440=""),0,IF(OR(N(对接源_02物料!$B440)&lt;$N$2,N(对接源_02物料!$B440)&gt;$N$3),0,1))</f>
        <v>0</v>
      </c>
      <c r="P1640" s="3">
        <f>IF(AND($K1640=1,AND(对接源_02物料!$X440="公司筐",N(对接源_02物料!$T440)&lt;&gt;0)),1,0)</f>
        <v>0</v>
      </c>
      <c r="Q1640" s="3">
        <f t="shared" si="437"/>
        <v>8</v>
      </c>
      <c r="R1640" s="3">
        <f>IF(AND($K1640=1,AND(对接源_02物料!$X440="公司筐",N(对接源_02物料!$U440)&lt;&gt;0)),1,0)</f>
        <v>0</v>
      </c>
      <c r="S1640" s="3">
        <f t="shared" si="438"/>
        <v>0</v>
      </c>
      <c r="T1640" s="3">
        <f>IF(AND($K1640=1,AND(对接源_02物料!$X440="公司筐",N(对接源_02物料!$V440)&lt;&gt;0)),1,0)</f>
        <v>0</v>
      </c>
      <c r="U1640" s="3">
        <f t="shared" si="439"/>
        <v>19</v>
      </c>
      <c r="V1640" s="3">
        <f>IF(AND($L1640=1,AND(对接源_02物料!$X440="自备筐",N(对接源_02物料!$V440)&lt;&gt;0)),1,0)</f>
        <v>0</v>
      </c>
      <c r="W1640" s="3">
        <f t="shared" si="440"/>
        <v>8</v>
      </c>
      <c r="X1640" s="3">
        <f>IF(AND($L1640=1,AND(对接源_02物料!$X440="自备筐",N(对接源_02物料!$T440)&lt;&gt;0)),1,0)</f>
        <v>0</v>
      </c>
      <c r="Y1640" s="3">
        <f t="shared" si="441"/>
        <v>0</v>
      </c>
      <c r="Z1640" s="3">
        <f>IF(AND($M1640=1,对接源_02物料!$D440="原料入库"),1,0)</f>
        <v>0</v>
      </c>
      <c r="AA1640" s="3">
        <f t="shared" si="442"/>
        <v>24</v>
      </c>
      <c r="AB1640" s="3">
        <f>IF(AND($M1640=1,LEFT(对接源_02物料!$D440,4)="原料出库"),1,0)</f>
        <v>0</v>
      </c>
      <c r="AC1640" s="3">
        <f t="shared" si="443"/>
        <v>0</v>
      </c>
      <c r="AD1640" s="3">
        <f>IF(AND($M1640=1,LEFT(对接源_02物料!$D440,4)="成品出库"),1,0)</f>
        <v>0</v>
      </c>
      <c r="AE1640" s="3">
        <f t="shared" si="444"/>
        <v>0</v>
      </c>
      <c r="AF1640" s="3">
        <f>IF(AND($N1640=1,AND(LEFT(对接源_02物料!$D440,4)="包装物料",N(对接源_02物料!$K440)&lt;&gt;0)),1,0)</f>
        <v>0</v>
      </c>
      <c r="AG1640" s="3">
        <f t="shared" si="445"/>
        <v>5</v>
      </c>
      <c r="AH1640" s="3">
        <f>IF(AND($N1640=1,AND(对接源_02物料!$D440="周转筐－销售出库",N(对接源_02物料!$K440)&lt;&gt;0)),1,0)</f>
        <v>0</v>
      </c>
      <c r="AI1640" s="3">
        <f t="shared" si="446"/>
        <v>0</v>
      </c>
      <c r="AL1640" s="3">
        <v>0</v>
      </c>
      <c r="AM1640" s="3">
        <f t="shared" si="447"/>
        <v>1</v>
      </c>
      <c r="AN1640" s="3" t="str">
        <f t="shared" si="434"/>
        <v/>
      </c>
      <c r="AO1640" s="3">
        <v>0</v>
      </c>
      <c r="AP1640" s="3">
        <f t="shared" si="448"/>
        <v>8</v>
      </c>
      <c r="AR1640">
        <f t="shared" si="449"/>
        <v>0</v>
      </c>
      <c r="AS1640">
        <f t="shared" si="450"/>
        <v>5</v>
      </c>
    </row>
    <row r="1641" customHeight="1" spans="1:45">
      <c r="A1641" s="3" t="str">
        <f>IF(对接源_02物料!$C441="","",对接源_02物料!$C441)</f>
        <v/>
      </c>
      <c r="B1641" s="3">
        <f t="shared" si="435"/>
        <v>0</v>
      </c>
      <c r="C1641" s="3">
        <f t="shared" si="436"/>
        <v>21</v>
      </c>
      <c r="K1641" s="3">
        <f>IF(OR($K$1="",对接源_02物料!$C441="",对接源_02物料!$C441&lt;&gt;$K$1,对接源_02物料!$B441=""),0,IF(OR(N(对接源_02物料!$B441)&lt;$K$2,N(对接源_02物料!$B441)&gt;$K$3),0,1))</f>
        <v>0</v>
      </c>
      <c r="L1641" s="3">
        <f>IF(OR($L$1="",对接源_02物料!$C441="",对接源_02物料!$C441&lt;&gt;$L$1,对接源_02物料!$B441=""),0,IF(OR(N(对接源_02物料!$B441)&lt;$L$2,N(对接源_02物料!$B441)&gt;$L$3),0,1))</f>
        <v>0</v>
      </c>
      <c r="M1641" s="3">
        <f>IF(OR($M$1="",对接源_02物料!$C441="",对接源_02物料!$C441&lt;&gt;$M$1,对接源_02物料!$B441=""),0,IF(OR(N(对接源_02物料!$B441)&lt;$M$2,N(对接源_02物料!$B441)&gt;$M$3),0,1))</f>
        <v>0</v>
      </c>
      <c r="N1641" s="3">
        <f>IF(OR($N$1="",对接源_02物料!$C441="",对接源_02物料!$C441&lt;&gt;$N$1,对接源_02物料!$B441=""),0,IF(OR(N(对接源_02物料!$B441)&lt;$N$2,N(对接源_02物料!$B441)&gt;$N$3),0,1))</f>
        <v>0</v>
      </c>
      <c r="P1641" s="3">
        <f>IF(AND($K1641=1,AND(对接源_02物料!$X441="公司筐",N(对接源_02物料!$T441)&lt;&gt;0)),1,0)</f>
        <v>0</v>
      </c>
      <c r="Q1641" s="3">
        <f t="shared" si="437"/>
        <v>8</v>
      </c>
      <c r="R1641" s="3">
        <f>IF(AND($K1641=1,AND(对接源_02物料!$X441="公司筐",N(对接源_02物料!$U441)&lt;&gt;0)),1,0)</f>
        <v>0</v>
      </c>
      <c r="S1641" s="3">
        <f t="shared" si="438"/>
        <v>0</v>
      </c>
      <c r="T1641" s="3">
        <f>IF(AND($K1641=1,AND(对接源_02物料!$X441="公司筐",N(对接源_02物料!$V441)&lt;&gt;0)),1,0)</f>
        <v>0</v>
      </c>
      <c r="U1641" s="3">
        <f t="shared" si="439"/>
        <v>19</v>
      </c>
      <c r="V1641" s="3">
        <f>IF(AND($L1641=1,AND(对接源_02物料!$X441="自备筐",N(对接源_02物料!$V441)&lt;&gt;0)),1,0)</f>
        <v>0</v>
      </c>
      <c r="W1641" s="3">
        <f t="shared" si="440"/>
        <v>8</v>
      </c>
      <c r="X1641" s="3">
        <f>IF(AND($L1641=1,AND(对接源_02物料!$X441="自备筐",N(对接源_02物料!$T441)&lt;&gt;0)),1,0)</f>
        <v>0</v>
      </c>
      <c r="Y1641" s="3">
        <f t="shared" si="441"/>
        <v>0</v>
      </c>
      <c r="Z1641" s="3">
        <f>IF(AND($M1641=1,对接源_02物料!$D441="原料入库"),1,0)</f>
        <v>0</v>
      </c>
      <c r="AA1641" s="3">
        <f t="shared" si="442"/>
        <v>24</v>
      </c>
      <c r="AB1641" s="3">
        <f>IF(AND($M1641=1,LEFT(对接源_02物料!$D441,4)="原料出库"),1,0)</f>
        <v>0</v>
      </c>
      <c r="AC1641" s="3">
        <f t="shared" si="443"/>
        <v>0</v>
      </c>
      <c r="AD1641" s="3">
        <f>IF(AND($M1641=1,LEFT(对接源_02物料!$D441,4)="成品出库"),1,0)</f>
        <v>0</v>
      </c>
      <c r="AE1641" s="3">
        <f t="shared" si="444"/>
        <v>0</v>
      </c>
      <c r="AF1641" s="3">
        <f>IF(AND($N1641=1,AND(LEFT(对接源_02物料!$D441,4)="包装物料",N(对接源_02物料!$K441)&lt;&gt;0)),1,0)</f>
        <v>0</v>
      </c>
      <c r="AG1641" s="3">
        <f t="shared" si="445"/>
        <v>5</v>
      </c>
      <c r="AH1641" s="3">
        <f>IF(AND($N1641=1,AND(对接源_02物料!$D441="周转筐－销售出库",N(对接源_02物料!$K441)&lt;&gt;0)),1,0)</f>
        <v>0</v>
      </c>
      <c r="AI1641" s="3">
        <f t="shared" si="446"/>
        <v>0</v>
      </c>
      <c r="AL1641" s="3">
        <v>0</v>
      </c>
      <c r="AM1641" s="3">
        <f t="shared" si="447"/>
        <v>1</v>
      </c>
      <c r="AN1641" s="3" t="str">
        <f t="shared" si="434"/>
        <v/>
      </c>
      <c r="AO1641" s="3">
        <v>0</v>
      </c>
      <c r="AP1641" s="3">
        <f t="shared" si="448"/>
        <v>8</v>
      </c>
      <c r="AR1641">
        <f t="shared" si="449"/>
        <v>0</v>
      </c>
      <c r="AS1641">
        <f t="shared" si="450"/>
        <v>5</v>
      </c>
    </row>
    <row r="1642" customHeight="1" spans="1:45">
      <c r="A1642" s="3" t="str">
        <f>IF(对接源_02物料!$C442="","",对接源_02物料!$C442)</f>
        <v/>
      </c>
      <c r="B1642" s="3">
        <f t="shared" si="435"/>
        <v>0</v>
      </c>
      <c r="C1642" s="3">
        <f t="shared" si="436"/>
        <v>21</v>
      </c>
      <c r="K1642" s="3">
        <f>IF(OR($K$1="",对接源_02物料!$C442="",对接源_02物料!$C442&lt;&gt;$K$1,对接源_02物料!$B442=""),0,IF(OR(N(对接源_02物料!$B442)&lt;$K$2,N(对接源_02物料!$B442)&gt;$K$3),0,1))</f>
        <v>0</v>
      </c>
      <c r="L1642" s="3">
        <f>IF(OR($L$1="",对接源_02物料!$C442="",对接源_02物料!$C442&lt;&gt;$L$1,对接源_02物料!$B442=""),0,IF(OR(N(对接源_02物料!$B442)&lt;$L$2,N(对接源_02物料!$B442)&gt;$L$3),0,1))</f>
        <v>0</v>
      </c>
      <c r="M1642" s="3">
        <f>IF(OR($M$1="",对接源_02物料!$C442="",对接源_02物料!$C442&lt;&gt;$M$1,对接源_02物料!$B442=""),0,IF(OR(N(对接源_02物料!$B442)&lt;$M$2,N(对接源_02物料!$B442)&gt;$M$3),0,1))</f>
        <v>0</v>
      </c>
      <c r="N1642" s="3">
        <f>IF(OR($N$1="",对接源_02物料!$C442="",对接源_02物料!$C442&lt;&gt;$N$1,对接源_02物料!$B442=""),0,IF(OR(N(对接源_02物料!$B442)&lt;$N$2,N(对接源_02物料!$B442)&gt;$N$3),0,1))</f>
        <v>0</v>
      </c>
      <c r="P1642" s="3">
        <f>IF(AND($K1642=1,AND(对接源_02物料!$X442="公司筐",N(对接源_02物料!$T442)&lt;&gt;0)),1,0)</f>
        <v>0</v>
      </c>
      <c r="Q1642" s="3">
        <f t="shared" si="437"/>
        <v>8</v>
      </c>
      <c r="R1642" s="3">
        <f>IF(AND($K1642=1,AND(对接源_02物料!$X442="公司筐",N(对接源_02物料!$U442)&lt;&gt;0)),1,0)</f>
        <v>0</v>
      </c>
      <c r="S1642" s="3">
        <f t="shared" si="438"/>
        <v>0</v>
      </c>
      <c r="T1642" s="3">
        <f>IF(AND($K1642=1,AND(对接源_02物料!$X442="公司筐",N(对接源_02物料!$V442)&lt;&gt;0)),1,0)</f>
        <v>0</v>
      </c>
      <c r="U1642" s="3">
        <f t="shared" si="439"/>
        <v>19</v>
      </c>
      <c r="V1642" s="3">
        <f>IF(AND($L1642=1,AND(对接源_02物料!$X442="自备筐",N(对接源_02物料!$V442)&lt;&gt;0)),1,0)</f>
        <v>0</v>
      </c>
      <c r="W1642" s="3">
        <f t="shared" si="440"/>
        <v>8</v>
      </c>
      <c r="X1642" s="3">
        <f>IF(AND($L1642=1,AND(对接源_02物料!$X442="自备筐",N(对接源_02物料!$T442)&lt;&gt;0)),1,0)</f>
        <v>0</v>
      </c>
      <c r="Y1642" s="3">
        <f t="shared" si="441"/>
        <v>0</v>
      </c>
      <c r="Z1642" s="3">
        <f>IF(AND($M1642=1,对接源_02物料!$D442="原料入库"),1,0)</f>
        <v>0</v>
      </c>
      <c r="AA1642" s="3">
        <f t="shared" si="442"/>
        <v>24</v>
      </c>
      <c r="AB1642" s="3">
        <f>IF(AND($M1642=1,LEFT(对接源_02物料!$D442,4)="原料出库"),1,0)</f>
        <v>0</v>
      </c>
      <c r="AC1642" s="3">
        <f t="shared" si="443"/>
        <v>0</v>
      </c>
      <c r="AD1642" s="3">
        <f>IF(AND($M1642=1,LEFT(对接源_02物料!$D442,4)="成品出库"),1,0)</f>
        <v>0</v>
      </c>
      <c r="AE1642" s="3">
        <f t="shared" si="444"/>
        <v>0</v>
      </c>
      <c r="AF1642" s="3">
        <f>IF(AND($N1642=1,AND(LEFT(对接源_02物料!$D442,4)="包装物料",N(对接源_02物料!$K442)&lt;&gt;0)),1,0)</f>
        <v>0</v>
      </c>
      <c r="AG1642" s="3">
        <f t="shared" si="445"/>
        <v>5</v>
      </c>
      <c r="AH1642" s="3">
        <f>IF(AND($N1642=1,AND(对接源_02物料!$D442="周转筐－销售出库",N(对接源_02物料!$K442)&lt;&gt;0)),1,0)</f>
        <v>0</v>
      </c>
      <c r="AI1642" s="3">
        <f t="shared" si="446"/>
        <v>0</v>
      </c>
      <c r="AL1642" s="3">
        <v>0</v>
      </c>
      <c r="AM1642" s="3">
        <f t="shared" si="447"/>
        <v>1</v>
      </c>
      <c r="AN1642" s="3" t="str">
        <f t="shared" si="434"/>
        <v/>
      </c>
      <c r="AO1642" s="3">
        <v>0</v>
      </c>
      <c r="AP1642" s="3">
        <f t="shared" si="448"/>
        <v>8</v>
      </c>
      <c r="AR1642">
        <f t="shared" si="449"/>
        <v>0</v>
      </c>
      <c r="AS1642">
        <f t="shared" si="450"/>
        <v>5</v>
      </c>
    </row>
    <row r="1643" customHeight="1" spans="1:45">
      <c r="A1643" s="3" t="str">
        <f>IF(对接源_02物料!$C443="","",对接源_02物料!$C443)</f>
        <v/>
      </c>
      <c r="B1643" s="3">
        <f t="shared" si="435"/>
        <v>0</v>
      </c>
      <c r="C1643" s="3">
        <f t="shared" si="436"/>
        <v>21</v>
      </c>
      <c r="K1643" s="3">
        <f>IF(OR($K$1="",对接源_02物料!$C443="",对接源_02物料!$C443&lt;&gt;$K$1,对接源_02物料!$B443=""),0,IF(OR(N(对接源_02物料!$B443)&lt;$K$2,N(对接源_02物料!$B443)&gt;$K$3),0,1))</f>
        <v>0</v>
      </c>
      <c r="L1643" s="3">
        <f>IF(OR($L$1="",对接源_02物料!$C443="",对接源_02物料!$C443&lt;&gt;$L$1,对接源_02物料!$B443=""),0,IF(OR(N(对接源_02物料!$B443)&lt;$L$2,N(对接源_02物料!$B443)&gt;$L$3),0,1))</f>
        <v>0</v>
      </c>
      <c r="M1643" s="3">
        <f>IF(OR($M$1="",对接源_02物料!$C443="",对接源_02物料!$C443&lt;&gt;$M$1,对接源_02物料!$B443=""),0,IF(OR(N(对接源_02物料!$B443)&lt;$M$2,N(对接源_02物料!$B443)&gt;$M$3),0,1))</f>
        <v>0</v>
      </c>
      <c r="N1643" s="3">
        <f>IF(OR($N$1="",对接源_02物料!$C443="",对接源_02物料!$C443&lt;&gt;$N$1,对接源_02物料!$B443=""),0,IF(OR(N(对接源_02物料!$B443)&lt;$N$2,N(对接源_02物料!$B443)&gt;$N$3),0,1))</f>
        <v>0</v>
      </c>
      <c r="P1643" s="3">
        <f>IF(AND($K1643=1,AND(对接源_02物料!$X443="公司筐",N(对接源_02物料!$T443)&lt;&gt;0)),1,0)</f>
        <v>0</v>
      </c>
      <c r="Q1643" s="3">
        <f t="shared" si="437"/>
        <v>8</v>
      </c>
      <c r="R1643" s="3">
        <f>IF(AND($K1643=1,AND(对接源_02物料!$X443="公司筐",N(对接源_02物料!$U443)&lt;&gt;0)),1,0)</f>
        <v>0</v>
      </c>
      <c r="S1643" s="3">
        <f t="shared" si="438"/>
        <v>0</v>
      </c>
      <c r="T1643" s="3">
        <f>IF(AND($K1643=1,AND(对接源_02物料!$X443="公司筐",N(对接源_02物料!$V443)&lt;&gt;0)),1,0)</f>
        <v>0</v>
      </c>
      <c r="U1643" s="3">
        <f t="shared" si="439"/>
        <v>19</v>
      </c>
      <c r="V1643" s="3">
        <f>IF(AND($L1643=1,AND(对接源_02物料!$X443="自备筐",N(对接源_02物料!$V443)&lt;&gt;0)),1,0)</f>
        <v>0</v>
      </c>
      <c r="W1643" s="3">
        <f t="shared" si="440"/>
        <v>8</v>
      </c>
      <c r="X1643" s="3">
        <f>IF(AND($L1643=1,AND(对接源_02物料!$X443="自备筐",N(对接源_02物料!$T443)&lt;&gt;0)),1,0)</f>
        <v>0</v>
      </c>
      <c r="Y1643" s="3">
        <f t="shared" si="441"/>
        <v>0</v>
      </c>
      <c r="Z1643" s="3">
        <f>IF(AND($M1643=1,对接源_02物料!$D443="原料入库"),1,0)</f>
        <v>0</v>
      </c>
      <c r="AA1643" s="3">
        <f t="shared" si="442"/>
        <v>24</v>
      </c>
      <c r="AB1643" s="3">
        <f>IF(AND($M1643=1,LEFT(对接源_02物料!$D443,4)="原料出库"),1,0)</f>
        <v>0</v>
      </c>
      <c r="AC1643" s="3">
        <f t="shared" si="443"/>
        <v>0</v>
      </c>
      <c r="AD1643" s="3">
        <f>IF(AND($M1643=1,LEFT(对接源_02物料!$D443,4)="成品出库"),1,0)</f>
        <v>0</v>
      </c>
      <c r="AE1643" s="3">
        <f t="shared" si="444"/>
        <v>0</v>
      </c>
      <c r="AF1643" s="3">
        <f>IF(AND($N1643=1,AND(LEFT(对接源_02物料!$D443,4)="包装物料",N(对接源_02物料!$K443)&lt;&gt;0)),1,0)</f>
        <v>0</v>
      </c>
      <c r="AG1643" s="3">
        <f t="shared" si="445"/>
        <v>5</v>
      </c>
      <c r="AH1643" s="3">
        <f>IF(AND($N1643=1,AND(对接源_02物料!$D443="周转筐－销售出库",N(对接源_02物料!$K443)&lt;&gt;0)),1,0)</f>
        <v>0</v>
      </c>
      <c r="AI1643" s="3">
        <f t="shared" si="446"/>
        <v>0</v>
      </c>
      <c r="AL1643" s="3">
        <v>0</v>
      </c>
      <c r="AM1643" s="3">
        <f t="shared" si="447"/>
        <v>1</v>
      </c>
      <c r="AN1643" s="3" t="str">
        <f t="shared" si="434"/>
        <v/>
      </c>
      <c r="AO1643" s="3">
        <v>0</v>
      </c>
      <c r="AP1643" s="3">
        <f t="shared" si="448"/>
        <v>8</v>
      </c>
      <c r="AR1643">
        <f t="shared" si="449"/>
        <v>0</v>
      </c>
      <c r="AS1643">
        <f t="shared" si="450"/>
        <v>5</v>
      </c>
    </row>
    <row r="1644" customHeight="1" spans="1:45">
      <c r="A1644" s="3" t="str">
        <f>IF(对接源_02物料!$C444="","",对接源_02物料!$C444)</f>
        <v/>
      </c>
      <c r="B1644" s="3">
        <f t="shared" si="435"/>
        <v>0</v>
      </c>
      <c r="C1644" s="3">
        <f t="shared" si="436"/>
        <v>21</v>
      </c>
      <c r="K1644" s="3">
        <f>IF(OR($K$1="",对接源_02物料!$C444="",对接源_02物料!$C444&lt;&gt;$K$1,对接源_02物料!$B444=""),0,IF(OR(N(对接源_02物料!$B444)&lt;$K$2,N(对接源_02物料!$B444)&gt;$K$3),0,1))</f>
        <v>0</v>
      </c>
      <c r="L1644" s="3">
        <f>IF(OR($L$1="",对接源_02物料!$C444="",对接源_02物料!$C444&lt;&gt;$L$1,对接源_02物料!$B444=""),0,IF(OR(N(对接源_02物料!$B444)&lt;$L$2,N(对接源_02物料!$B444)&gt;$L$3),0,1))</f>
        <v>0</v>
      </c>
      <c r="M1644" s="3">
        <f>IF(OR($M$1="",对接源_02物料!$C444="",对接源_02物料!$C444&lt;&gt;$M$1,对接源_02物料!$B444=""),0,IF(OR(N(对接源_02物料!$B444)&lt;$M$2,N(对接源_02物料!$B444)&gt;$M$3),0,1))</f>
        <v>0</v>
      </c>
      <c r="N1644" s="3">
        <f>IF(OR($N$1="",对接源_02物料!$C444="",对接源_02物料!$C444&lt;&gt;$N$1,对接源_02物料!$B444=""),0,IF(OR(N(对接源_02物料!$B444)&lt;$N$2,N(对接源_02物料!$B444)&gt;$N$3),0,1))</f>
        <v>0</v>
      </c>
      <c r="P1644" s="3">
        <f>IF(AND($K1644=1,AND(对接源_02物料!$X444="公司筐",N(对接源_02物料!$T444)&lt;&gt;0)),1,0)</f>
        <v>0</v>
      </c>
      <c r="Q1644" s="3">
        <f t="shared" si="437"/>
        <v>8</v>
      </c>
      <c r="R1644" s="3">
        <f>IF(AND($K1644=1,AND(对接源_02物料!$X444="公司筐",N(对接源_02物料!$U444)&lt;&gt;0)),1,0)</f>
        <v>0</v>
      </c>
      <c r="S1644" s="3">
        <f t="shared" si="438"/>
        <v>0</v>
      </c>
      <c r="T1644" s="3">
        <f>IF(AND($K1644=1,AND(对接源_02物料!$X444="公司筐",N(对接源_02物料!$V444)&lt;&gt;0)),1,0)</f>
        <v>0</v>
      </c>
      <c r="U1644" s="3">
        <f t="shared" si="439"/>
        <v>19</v>
      </c>
      <c r="V1644" s="3">
        <f>IF(AND($L1644=1,AND(对接源_02物料!$X444="自备筐",N(对接源_02物料!$V444)&lt;&gt;0)),1,0)</f>
        <v>0</v>
      </c>
      <c r="W1644" s="3">
        <f t="shared" si="440"/>
        <v>8</v>
      </c>
      <c r="X1644" s="3">
        <f>IF(AND($L1644=1,AND(对接源_02物料!$X444="自备筐",N(对接源_02物料!$T444)&lt;&gt;0)),1,0)</f>
        <v>0</v>
      </c>
      <c r="Y1644" s="3">
        <f t="shared" si="441"/>
        <v>0</v>
      </c>
      <c r="Z1644" s="3">
        <f>IF(AND($M1644=1,对接源_02物料!$D444="原料入库"),1,0)</f>
        <v>0</v>
      </c>
      <c r="AA1644" s="3">
        <f t="shared" si="442"/>
        <v>24</v>
      </c>
      <c r="AB1644" s="3">
        <f>IF(AND($M1644=1,LEFT(对接源_02物料!$D444,4)="原料出库"),1,0)</f>
        <v>0</v>
      </c>
      <c r="AC1644" s="3">
        <f t="shared" si="443"/>
        <v>0</v>
      </c>
      <c r="AD1644" s="3">
        <f>IF(AND($M1644=1,LEFT(对接源_02物料!$D444,4)="成品出库"),1,0)</f>
        <v>0</v>
      </c>
      <c r="AE1644" s="3">
        <f t="shared" si="444"/>
        <v>0</v>
      </c>
      <c r="AF1644" s="3">
        <f>IF(AND($N1644=1,AND(LEFT(对接源_02物料!$D444,4)="包装物料",N(对接源_02物料!$K444)&lt;&gt;0)),1,0)</f>
        <v>0</v>
      </c>
      <c r="AG1644" s="3">
        <f t="shared" si="445"/>
        <v>5</v>
      </c>
      <c r="AH1644" s="3">
        <f>IF(AND($N1644=1,AND(对接源_02物料!$D444="周转筐－销售出库",N(对接源_02物料!$K444)&lt;&gt;0)),1,0)</f>
        <v>0</v>
      </c>
      <c r="AI1644" s="3">
        <f t="shared" si="446"/>
        <v>0</v>
      </c>
      <c r="AL1644" s="3">
        <v>0</v>
      </c>
      <c r="AM1644" s="3">
        <f t="shared" si="447"/>
        <v>1</v>
      </c>
      <c r="AN1644" s="3" t="str">
        <f t="shared" si="434"/>
        <v/>
      </c>
      <c r="AO1644" s="3">
        <v>0</v>
      </c>
      <c r="AP1644" s="3">
        <f t="shared" si="448"/>
        <v>8</v>
      </c>
      <c r="AR1644">
        <f t="shared" si="449"/>
        <v>0</v>
      </c>
      <c r="AS1644">
        <f t="shared" si="450"/>
        <v>5</v>
      </c>
    </row>
    <row r="1645" customHeight="1" spans="1:45">
      <c r="A1645" s="3" t="str">
        <f>IF(对接源_02物料!$C445="","",对接源_02物料!$C445)</f>
        <v/>
      </c>
      <c r="B1645" s="3">
        <f t="shared" si="435"/>
        <v>0</v>
      </c>
      <c r="C1645" s="3">
        <f t="shared" si="436"/>
        <v>21</v>
      </c>
      <c r="K1645" s="3">
        <f>IF(OR($K$1="",对接源_02物料!$C445="",对接源_02物料!$C445&lt;&gt;$K$1,对接源_02物料!$B445=""),0,IF(OR(N(对接源_02物料!$B445)&lt;$K$2,N(对接源_02物料!$B445)&gt;$K$3),0,1))</f>
        <v>0</v>
      </c>
      <c r="L1645" s="3">
        <f>IF(OR($L$1="",对接源_02物料!$C445="",对接源_02物料!$C445&lt;&gt;$L$1,对接源_02物料!$B445=""),0,IF(OR(N(对接源_02物料!$B445)&lt;$L$2,N(对接源_02物料!$B445)&gt;$L$3),0,1))</f>
        <v>0</v>
      </c>
      <c r="M1645" s="3">
        <f>IF(OR($M$1="",对接源_02物料!$C445="",对接源_02物料!$C445&lt;&gt;$M$1,对接源_02物料!$B445=""),0,IF(OR(N(对接源_02物料!$B445)&lt;$M$2,N(对接源_02物料!$B445)&gt;$M$3),0,1))</f>
        <v>0</v>
      </c>
      <c r="N1645" s="3">
        <f>IF(OR($N$1="",对接源_02物料!$C445="",对接源_02物料!$C445&lt;&gt;$N$1,对接源_02物料!$B445=""),0,IF(OR(N(对接源_02物料!$B445)&lt;$N$2,N(对接源_02物料!$B445)&gt;$N$3),0,1))</f>
        <v>0</v>
      </c>
      <c r="P1645" s="3">
        <f>IF(AND($K1645=1,AND(对接源_02物料!$X445="公司筐",N(对接源_02物料!$T445)&lt;&gt;0)),1,0)</f>
        <v>0</v>
      </c>
      <c r="Q1645" s="3">
        <f t="shared" si="437"/>
        <v>8</v>
      </c>
      <c r="R1645" s="3">
        <f>IF(AND($K1645=1,AND(对接源_02物料!$X445="公司筐",N(对接源_02物料!$U445)&lt;&gt;0)),1,0)</f>
        <v>0</v>
      </c>
      <c r="S1645" s="3">
        <f t="shared" si="438"/>
        <v>0</v>
      </c>
      <c r="T1645" s="3">
        <f>IF(AND($K1645=1,AND(对接源_02物料!$X445="公司筐",N(对接源_02物料!$V445)&lt;&gt;0)),1,0)</f>
        <v>0</v>
      </c>
      <c r="U1645" s="3">
        <f t="shared" si="439"/>
        <v>19</v>
      </c>
      <c r="V1645" s="3">
        <f>IF(AND($L1645=1,AND(对接源_02物料!$X445="自备筐",N(对接源_02物料!$V445)&lt;&gt;0)),1,0)</f>
        <v>0</v>
      </c>
      <c r="W1645" s="3">
        <f t="shared" si="440"/>
        <v>8</v>
      </c>
      <c r="X1645" s="3">
        <f>IF(AND($L1645=1,AND(对接源_02物料!$X445="自备筐",N(对接源_02物料!$T445)&lt;&gt;0)),1,0)</f>
        <v>0</v>
      </c>
      <c r="Y1645" s="3">
        <f t="shared" si="441"/>
        <v>0</v>
      </c>
      <c r="Z1645" s="3">
        <f>IF(AND($M1645=1,对接源_02物料!$D445="原料入库"),1,0)</f>
        <v>0</v>
      </c>
      <c r="AA1645" s="3">
        <f t="shared" si="442"/>
        <v>24</v>
      </c>
      <c r="AB1645" s="3">
        <f>IF(AND($M1645=1,LEFT(对接源_02物料!$D445,4)="原料出库"),1,0)</f>
        <v>0</v>
      </c>
      <c r="AC1645" s="3">
        <f t="shared" si="443"/>
        <v>0</v>
      </c>
      <c r="AD1645" s="3">
        <f>IF(AND($M1645=1,LEFT(对接源_02物料!$D445,4)="成品出库"),1,0)</f>
        <v>0</v>
      </c>
      <c r="AE1645" s="3">
        <f t="shared" si="444"/>
        <v>0</v>
      </c>
      <c r="AF1645" s="3">
        <f>IF(AND($N1645=1,AND(LEFT(对接源_02物料!$D445,4)="包装物料",N(对接源_02物料!$K445)&lt;&gt;0)),1,0)</f>
        <v>0</v>
      </c>
      <c r="AG1645" s="3">
        <f t="shared" si="445"/>
        <v>5</v>
      </c>
      <c r="AH1645" s="3">
        <f>IF(AND($N1645=1,AND(对接源_02物料!$D445="周转筐－销售出库",N(对接源_02物料!$K445)&lt;&gt;0)),1,0)</f>
        <v>0</v>
      </c>
      <c r="AI1645" s="3">
        <f t="shared" si="446"/>
        <v>0</v>
      </c>
      <c r="AL1645" s="3">
        <v>0</v>
      </c>
      <c r="AM1645" s="3">
        <f t="shared" si="447"/>
        <v>1</v>
      </c>
      <c r="AN1645" s="3" t="str">
        <f t="shared" si="434"/>
        <v/>
      </c>
      <c r="AO1645" s="3">
        <v>0</v>
      </c>
      <c r="AP1645" s="3">
        <f t="shared" si="448"/>
        <v>8</v>
      </c>
      <c r="AR1645">
        <f t="shared" si="449"/>
        <v>0</v>
      </c>
      <c r="AS1645">
        <f t="shared" si="450"/>
        <v>5</v>
      </c>
    </row>
    <row r="1646" customHeight="1" spans="1:45">
      <c r="A1646" s="3" t="str">
        <f>IF(对接源_02物料!$C446="","",对接源_02物料!$C446)</f>
        <v/>
      </c>
      <c r="B1646" s="3">
        <f t="shared" si="435"/>
        <v>0</v>
      </c>
      <c r="C1646" s="3">
        <f t="shared" si="436"/>
        <v>21</v>
      </c>
      <c r="K1646" s="3">
        <f>IF(OR($K$1="",对接源_02物料!$C446="",对接源_02物料!$C446&lt;&gt;$K$1,对接源_02物料!$B446=""),0,IF(OR(N(对接源_02物料!$B446)&lt;$K$2,N(对接源_02物料!$B446)&gt;$K$3),0,1))</f>
        <v>0</v>
      </c>
      <c r="L1646" s="3">
        <f>IF(OR($L$1="",对接源_02物料!$C446="",对接源_02物料!$C446&lt;&gt;$L$1,对接源_02物料!$B446=""),0,IF(OR(N(对接源_02物料!$B446)&lt;$L$2,N(对接源_02物料!$B446)&gt;$L$3),0,1))</f>
        <v>0</v>
      </c>
      <c r="M1646" s="3">
        <f>IF(OR($M$1="",对接源_02物料!$C446="",对接源_02物料!$C446&lt;&gt;$M$1,对接源_02物料!$B446=""),0,IF(OR(N(对接源_02物料!$B446)&lt;$M$2,N(对接源_02物料!$B446)&gt;$M$3),0,1))</f>
        <v>0</v>
      </c>
      <c r="N1646" s="3">
        <f>IF(OR($N$1="",对接源_02物料!$C446="",对接源_02物料!$C446&lt;&gt;$N$1,对接源_02物料!$B446=""),0,IF(OR(N(对接源_02物料!$B446)&lt;$N$2,N(对接源_02物料!$B446)&gt;$N$3),0,1))</f>
        <v>0</v>
      </c>
      <c r="P1646" s="3">
        <f>IF(AND($K1646=1,AND(对接源_02物料!$X446="公司筐",N(对接源_02物料!$T446)&lt;&gt;0)),1,0)</f>
        <v>0</v>
      </c>
      <c r="Q1646" s="3">
        <f t="shared" si="437"/>
        <v>8</v>
      </c>
      <c r="R1646" s="3">
        <f>IF(AND($K1646=1,AND(对接源_02物料!$X446="公司筐",N(对接源_02物料!$U446)&lt;&gt;0)),1,0)</f>
        <v>0</v>
      </c>
      <c r="S1646" s="3">
        <f t="shared" si="438"/>
        <v>0</v>
      </c>
      <c r="T1646" s="3">
        <f>IF(AND($K1646=1,AND(对接源_02物料!$X446="公司筐",N(对接源_02物料!$V446)&lt;&gt;0)),1,0)</f>
        <v>0</v>
      </c>
      <c r="U1646" s="3">
        <f t="shared" si="439"/>
        <v>19</v>
      </c>
      <c r="V1646" s="3">
        <f>IF(AND($L1646=1,AND(对接源_02物料!$X446="自备筐",N(对接源_02物料!$V446)&lt;&gt;0)),1,0)</f>
        <v>0</v>
      </c>
      <c r="W1646" s="3">
        <f t="shared" si="440"/>
        <v>8</v>
      </c>
      <c r="X1646" s="3">
        <f>IF(AND($L1646=1,AND(对接源_02物料!$X446="自备筐",N(对接源_02物料!$T446)&lt;&gt;0)),1,0)</f>
        <v>0</v>
      </c>
      <c r="Y1646" s="3">
        <f t="shared" si="441"/>
        <v>0</v>
      </c>
      <c r="Z1646" s="3">
        <f>IF(AND($M1646=1,对接源_02物料!$D446="原料入库"),1,0)</f>
        <v>0</v>
      </c>
      <c r="AA1646" s="3">
        <f t="shared" si="442"/>
        <v>24</v>
      </c>
      <c r="AB1646" s="3">
        <f>IF(AND($M1646=1,LEFT(对接源_02物料!$D446,4)="原料出库"),1,0)</f>
        <v>0</v>
      </c>
      <c r="AC1646" s="3">
        <f t="shared" si="443"/>
        <v>0</v>
      </c>
      <c r="AD1646" s="3">
        <f>IF(AND($M1646=1,LEFT(对接源_02物料!$D446,4)="成品出库"),1,0)</f>
        <v>0</v>
      </c>
      <c r="AE1646" s="3">
        <f t="shared" si="444"/>
        <v>0</v>
      </c>
      <c r="AF1646" s="3">
        <f>IF(AND($N1646=1,AND(LEFT(对接源_02物料!$D446,4)="包装物料",N(对接源_02物料!$K446)&lt;&gt;0)),1,0)</f>
        <v>0</v>
      </c>
      <c r="AG1646" s="3">
        <f t="shared" si="445"/>
        <v>5</v>
      </c>
      <c r="AH1646" s="3">
        <f>IF(AND($N1646=1,AND(对接源_02物料!$D446="周转筐－销售出库",N(对接源_02物料!$K446)&lt;&gt;0)),1,0)</f>
        <v>0</v>
      </c>
      <c r="AI1646" s="3">
        <f t="shared" si="446"/>
        <v>0</v>
      </c>
      <c r="AL1646" s="3">
        <v>0</v>
      </c>
      <c r="AM1646" s="3">
        <f t="shared" si="447"/>
        <v>1</v>
      </c>
      <c r="AN1646" s="3" t="str">
        <f t="shared" si="434"/>
        <v/>
      </c>
      <c r="AO1646" s="3">
        <v>0</v>
      </c>
      <c r="AP1646" s="3">
        <f t="shared" si="448"/>
        <v>8</v>
      </c>
      <c r="AR1646">
        <f t="shared" si="449"/>
        <v>0</v>
      </c>
      <c r="AS1646">
        <f t="shared" si="450"/>
        <v>5</v>
      </c>
    </row>
    <row r="1647" customHeight="1" spans="1:45">
      <c r="A1647" s="3" t="str">
        <f>IF(对接源_02物料!$C447="","",对接源_02物料!$C447)</f>
        <v/>
      </c>
      <c r="B1647" s="3">
        <f t="shared" si="435"/>
        <v>0</v>
      </c>
      <c r="C1647" s="3">
        <f t="shared" si="436"/>
        <v>21</v>
      </c>
      <c r="K1647" s="3">
        <f>IF(OR($K$1="",对接源_02物料!$C447="",对接源_02物料!$C447&lt;&gt;$K$1,对接源_02物料!$B447=""),0,IF(OR(N(对接源_02物料!$B447)&lt;$K$2,N(对接源_02物料!$B447)&gt;$K$3),0,1))</f>
        <v>0</v>
      </c>
      <c r="L1647" s="3">
        <f>IF(OR($L$1="",对接源_02物料!$C447="",对接源_02物料!$C447&lt;&gt;$L$1,对接源_02物料!$B447=""),0,IF(OR(N(对接源_02物料!$B447)&lt;$L$2,N(对接源_02物料!$B447)&gt;$L$3),0,1))</f>
        <v>0</v>
      </c>
      <c r="M1647" s="3">
        <f>IF(OR($M$1="",对接源_02物料!$C447="",对接源_02物料!$C447&lt;&gt;$M$1,对接源_02物料!$B447=""),0,IF(OR(N(对接源_02物料!$B447)&lt;$M$2,N(对接源_02物料!$B447)&gt;$M$3),0,1))</f>
        <v>0</v>
      </c>
      <c r="N1647" s="3">
        <f>IF(OR($N$1="",对接源_02物料!$C447="",对接源_02物料!$C447&lt;&gt;$N$1,对接源_02物料!$B447=""),0,IF(OR(N(对接源_02物料!$B447)&lt;$N$2,N(对接源_02物料!$B447)&gt;$N$3),0,1))</f>
        <v>0</v>
      </c>
      <c r="P1647" s="3">
        <f>IF(AND($K1647=1,AND(对接源_02物料!$X447="公司筐",N(对接源_02物料!$T447)&lt;&gt;0)),1,0)</f>
        <v>0</v>
      </c>
      <c r="Q1647" s="3">
        <f t="shared" si="437"/>
        <v>8</v>
      </c>
      <c r="R1647" s="3">
        <f>IF(AND($K1647=1,AND(对接源_02物料!$X447="公司筐",N(对接源_02物料!$U447)&lt;&gt;0)),1,0)</f>
        <v>0</v>
      </c>
      <c r="S1647" s="3">
        <f t="shared" si="438"/>
        <v>0</v>
      </c>
      <c r="T1647" s="3">
        <f>IF(AND($K1647=1,AND(对接源_02物料!$X447="公司筐",N(对接源_02物料!$V447)&lt;&gt;0)),1,0)</f>
        <v>0</v>
      </c>
      <c r="U1647" s="3">
        <f t="shared" si="439"/>
        <v>19</v>
      </c>
      <c r="V1647" s="3">
        <f>IF(AND($L1647=1,AND(对接源_02物料!$X447="自备筐",N(对接源_02物料!$V447)&lt;&gt;0)),1,0)</f>
        <v>0</v>
      </c>
      <c r="W1647" s="3">
        <f t="shared" si="440"/>
        <v>8</v>
      </c>
      <c r="X1647" s="3">
        <f>IF(AND($L1647=1,AND(对接源_02物料!$X447="自备筐",N(对接源_02物料!$T447)&lt;&gt;0)),1,0)</f>
        <v>0</v>
      </c>
      <c r="Y1647" s="3">
        <f t="shared" si="441"/>
        <v>0</v>
      </c>
      <c r="Z1647" s="3">
        <f>IF(AND($M1647=1,对接源_02物料!$D447="原料入库"),1,0)</f>
        <v>0</v>
      </c>
      <c r="AA1647" s="3">
        <f t="shared" si="442"/>
        <v>24</v>
      </c>
      <c r="AB1647" s="3">
        <f>IF(AND($M1647=1,LEFT(对接源_02物料!$D447,4)="原料出库"),1,0)</f>
        <v>0</v>
      </c>
      <c r="AC1647" s="3">
        <f t="shared" si="443"/>
        <v>0</v>
      </c>
      <c r="AD1647" s="3">
        <f>IF(AND($M1647=1,LEFT(对接源_02物料!$D447,4)="成品出库"),1,0)</f>
        <v>0</v>
      </c>
      <c r="AE1647" s="3">
        <f t="shared" si="444"/>
        <v>0</v>
      </c>
      <c r="AF1647" s="3">
        <f>IF(AND($N1647=1,AND(LEFT(对接源_02物料!$D447,4)="包装物料",N(对接源_02物料!$K447)&lt;&gt;0)),1,0)</f>
        <v>0</v>
      </c>
      <c r="AG1647" s="3">
        <f t="shared" si="445"/>
        <v>5</v>
      </c>
      <c r="AH1647" s="3">
        <f>IF(AND($N1647=1,AND(对接源_02物料!$D447="周转筐－销售出库",N(对接源_02物料!$K447)&lt;&gt;0)),1,0)</f>
        <v>0</v>
      </c>
      <c r="AI1647" s="3">
        <f t="shared" si="446"/>
        <v>0</v>
      </c>
      <c r="AL1647" s="3">
        <v>0</v>
      </c>
      <c r="AM1647" s="3">
        <f t="shared" si="447"/>
        <v>1</v>
      </c>
      <c r="AN1647" s="3" t="str">
        <f t="shared" si="434"/>
        <v/>
      </c>
      <c r="AO1647" s="3">
        <v>0</v>
      </c>
      <c r="AP1647" s="3">
        <f t="shared" si="448"/>
        <v>8</v>
      </c>
      <c r="AR1647">
        <f t="shared" si="449"/>
        <v>0</v>
      </c>
      <c r="AS1647">
        <f t="shared" si="450"/>
        <v>5</v>
      </c>
    </row>
    <row r="1648" customHeight="1" spans="1:45">
      <c r="A1648" s="3" t="str">
        <f>IF(对接源_02物料!$C448="","",对接源_02物料!$C448)</f>
        <v/>
      </c>
      <c r="B1648" s="3">
        <f t="shared" si="435"/>
        <v>0</v>
      </c>
      <c r="C1648" s="3">
        <f t="shared" si="436"/>
        <v>21</v>
      </c>
      <c r="K1648" s="3">
        <f>IF(OR($K$1="",对接源_02物料!$C448="",对接源_02物料!$C448&lt;&gt;$K$1,对接源_02物料!$B448=""),0,IF(OR(N(对接源_02物料!$B448)&lt;$K$2,N(对接源_02物料!$B448)&gt;$K$3),0,1))</f>
        <v>0</v>
      </c>
      <c r="L1648" s="3">
        <f>IF(OR($L$1="",对接源_02物料!$C448="",对接源_02物料!$C448&lt;&gt;$L$1,对接源_02物料!$B448=""),0,IF(OR(N(对接源_02物料!$B448)&lt;$L$2,N(对接源_02物料!$B448)&gt;$L$3),0,1))</f>
        <v>0</v>
      </c>
      <c r="M1648" s="3">
        <f>IF(OR($M$1="",对接源_02物料!$C448="",对接源_02物料!$C448&lt;&gt;$M$1,对接源_02物料!$B448=""),0,IF(OR(N(对接源_02物料!$B448)&lt;$M$2,N(对接源_02物料!$B448)&gt;$M$3),0,1))</f>
        <v>0</v>
      </c>
      <c r="N1648" s="3">
        <f>IF(OR($N$1="",对接源_02物料!$C448="",对接源_02物料!$C448&lt;&gt;$N$1,对接源_02物料!$B448=""),0,IF(OR(N(对接源_02物料!$B448)&lt;$N$2,N(对接源_02物料!$B448)&gt;$N$3),0,1))</f>
        <v>0</v>
      </c>
      <c r="P1648" s="3">
        <f>IF(AND($K1648=1,AND(对接源_02物料!$X448="公司筐",N(对接源_02物料!$T448)&lt;&gt;0)),1,0)</f>
        <v>0</v>
      </c>
      <c r="Q1648" s="3">
        <f t="shared" si="437"/>
        <v>8</v>
      </c>
      <c r="R1648" s="3">
        <f>IF(AND($K1648=1,AND(对接源_02物料!$X448="公司筐",N(对接源_02物料!$U448)&lt;&gt;0)),1,0)</f>
        <v>0</v>
      </c>
      <c r="S1648" s="3">
        <f t="shared" si="438"/>
        <v>0</v>
      </c>
      <c r="T1648" s="3">
        <f>IF(AND($K1648=1,AND(对接源_02物料!$X448="公司筐",N(对接源_02物料!$V448)&lt;&gt;0)),1,0)</f>
        <v>0</v>
      </c>
      <c r="U1648" s="3">
        <f t="shared" si="439"/>
        <v>19</v>
      </c>
      <c r="V1648" s="3">
        <f>IF(AND($L1648=1,AND(对接源_02物料!$X448="自备筐",N(对接源_02物料!$V448)&lt;&gt;0)),1,0)</f>
        <v>0</v>
      </c>
      <c r="W1648" s="3">
        <f t="shared" si="440"/>
        <v>8</v>
      </c>
      <c r="X1648" s="3">
        <f>IF(AND($L1648=1,AND(对接源_02物料!$X448="自备筐",N(对接源_02物料!$T448)&lt;&gt;0)),1,0)</f>
        <v>0</v>
      </c>
      <c r="Y1648" s="3">
        <f t="shared" si="441"/>
        <v>0</v>
      </c>
      <c r="Z1648" s="3">
        <f>IF(AND($M1648=1,对接源_02物料!$D448="原料入库"),1,0)</f>
        <v>0</v>
      </c>
      <c r="AA1648" s="3">
        <f t="shared" si="442"/>
        <v>24</v>
      </c>
      <c r="AB1648" s="3">
        <f>IF(AND($M1648=1,LEFT(对接源_02物料!$D448,4)="原料出库"),1,0)</f>
        <v>0</v>
      </c>
      <c r="AC1648" s="3">
        <f t="shared" si="443"/>
        <v>0</v>
      </c>
      <c r="AD1648" s="3">
        <f>IF(AND($M1648=1,LEFT(对接源_02物料!$D448,4)="成品出库"),1,0)</f>
        <v>0</v>
      </c>
      <c r="AE1648" s="3">
        <f t="shared" si="444"/>
        <v>0</v>
      </c>
      <c r="AF1648" s="3">
        <f>IF(AND($N1648=1,AND(LEFT(对接源_02物料!$D448,4)="包装物料",N(对接源_02物料!$K448)&lt;&gt;0)),1,0)</f>
        <v>0</v>
      </c>
      <c r="AG1648" s="3">
        <f t="shared" si="445"/>
        <v>5</v>
      </c>
      <c r="AH1648" s="3">
        <f>IF(AND($N1648=1,AND(对接源_02物料!$D448="周转筐－销售出库",N(对接源_02物料!$K448)&lt;&gt;0)),1,0)</f>
        <v>0</v>
      </c>
      <c r="AI1648" s="3">
        <f t="shared" si="446"/>
        <v>0</v>
      </c>
      <c r="AL1648" s="3">
        <v>0</v>
      </c>
      <c r="AM1648" s="3">
        <f t="shared" si="447"/>
        <v>1</v>
      </c>
      <c r="AN1648" s="3" t="str">
        <f t="shared" si="434"/>
        <v/>
      </c>
      <c r="AO1648" s="3">
        <v>0</v>
      </c>
      <c r="AP1648" s="3">
        <f t="shared" si="448"/>
        <v>8</v>
      </c>
      <c r="AR1648">
        <f t="shared" si="449"/>
        <v>0</v>
      </c>
      <c r="AS1648">
        <f t="shared" si="450"/>
        <v>5</v>
      </c>
    </row>
    <row r="1649" customHeight="1" spans="1:45">
      <c r="A1649" s="3" t="str">
        <f>IF(对接源_02物料!$C449="","",对接源_02物料!$C449)</f>
        <v/>
      </c>
      <c r="B1649" s="3">
        <f t="shared" si="435"/>
        <v>0</v>
      </c>
      <c r="C1649" s="3">
        <f t="shared" si="436"/>
        <v>21</v>
      </c>
      <c r="K1649" s="3">
        <f>IF(OR($K$1="",对接源_02物料!$C449="",对接源_02物料!$C449&lt;&gt;$K$1,对接源_02物料!$B449=""),0,IF(OR(N(对接源_02物料!$B449)&lt;$K$2,N(对接源_02物料!$B449)&gt;$K$3),0,1))</f>
        <v>0</v>
      </c>
      <c r="L1649" s="3">
        <f>IF(OR($L$1="",对接源_02物料!$C449="",对接源_02物料!$C449&lt;&gt;$L$1,对接源_02物料!$B449=""),0,IF(OR(N(对接源_02物料!$B449)&lt;$L$2,N(对接源_02物料!$B449)&gt;$L$3),0,1))</f>
        <v>0</v>
      </c>
      <c r="M1649" s="3">
        <f>IF(OR($M$1="",对接源_02物料!$C449="",对接源_02物料!$C449&lt;&gt;$M$1,对接源_02物料!$B449=""),0,IF(OR(N(对接源_02物料!$B449)&lt;$M$2,N(对接源_02物料!$B449)&gt;$M$3),0,1))</f>
        <v>0</v>
      </c>
      <c r="N1649" s="3">
        <f>IF(OR($N$1="",对接源_02物料!$C449="",对接源_02物料!$C449&lt;&gt;$N$1,对接源_02物料!$B449=""),0,IF(OR(N(对接源_02物料!$B449)&lt;$N$2,N(对接源_02物料!$B449)&gt;$N$3),0,1))</f>
        <v>0</v>
      </c>
      <c r="P1649" s="3">
        <f>IF(AND($K1649=1,AND(对接源_02物料!$X449="公司筐",N(对接源_02物料!$T449)&lt;&gt;0)),1,0)</f>
        <v>0</v>
      </c>
      <c r="Q1649" s="3">
        <f t="shared" si="437"/>
        <v>8</v>
      </c>
      <c r="R1649" s="3">
        <f>IF(AND($K1649=1,AND(对接源_02物料!$X449="公司筐",N(对接源_02物料!$U449)&lt;&gt;0)),1,0)</f>
        <v>0</v>
      </c>
      <c r="S1649" s="3">
        <f t="shared" si="438"/>
        <v>0</v>
      </c>
      <c r="T1649" s="3">
        <f>IF(AND($K1649=1,AND(对接源_02物料!$X449="公司筐",N(对接源_02物料!$V449)&lt;&gt;0)),1,0)</f>
        <v>0</v>
      </c>
      <c r="U1649" s="3">
        <f t="shared" si="439"/>
        <v>19</v>
      </c>
      <c r="V1649" s="3">
        <f>IF(AND($L1649=1,AND(对接源_02物料!$X449="自备筐",N(对接源_02物料!$V449)&lt;&gt;0)),1,0)</f>
        <v>0</v>
      </c>
      <c r="W1649" s="3">
        <f t="shared" si="440"/>
        <v>8</v>
      </c>
      <c r="X1649" s="3">
        <f>IF(AND($L1649=1,AND(对接源_02物料!$X449="自备筐",N(对接源_02物料!$T449)&lt;&gt;0)),1,0)</f>
        <v>0</v>
      </c>
      <c r="Y1649" s="3">
        <f t="shared" si="441"/>
        <v>0</v>
      </c>
      <c r="Z1649" s="3">
        <f>IF(AND($M1649=1,对接源_02物料!$D449="原料入库"),1,0)</f>
        <v>0</v>
      </c>
      <c r="AA1649" s="3">
        <f t="shared" si="442"/>
        <v>24</v>
      </c>
      <c r="AB1649" s="3">
        <f>IF(AND($M1649=1,LEFT(对接源_02物料!$D449,4)="原料出库"),1,0)</f>
        <v>0</v>
      </c>
      <c r="AC1649" s="3">
        <f t="shared" si="443"/>
        <v>0</v>
      </c>
      <c r="AD1649" s="3">
        <f>IF(AND($M1649=1,LEFT(对接源_02物料!$D449,4)="成品出库"),1,0)</f>
        <v>0</v>
      </c>
      <c r="AE1649" s="3">
        <f t="shared" si="444"/>
        <v>0</v>
      </c>
      <c r="AF1649" s="3">
        <f>IF(AND($N1649=1,AND(LEFT(对接源_02物料!$D449,4)="包装物料",N(对接源_02物料!$K449)&lt;&gt;0)),1,0)</f>
        <v>0</v>
      </c>
      <c r="AG1649" s="3">
        <f t="shared" si="445"/>
        <v>5</v>
      </c>
      <c r="AH1649" s="3">
        <f>IF(AND($N1649=1,AND(对接源_02物料!$D449="周转筐－销售出库",N(对接源_02物料!$K449)&lt;&gt;0)),1,0)</f>
        <v>0</v>
      </c>
      <c r="AI1649" s="3">
        <f t="shared" si="446"/>
        <v>0</v>
      </c>
      <c r="AL1649" s="3">
        <v>0</v>
      </c>
      <c r="AM1649" s="3">
        <f t="shared" si="447"/>
        <v>1</v>
      </c>
      <c r="AN1649" s="3" t="str">
        <f t="shared" si="434"/>
        <v/>
      </c>
      <c r="AO1649" s="3">
        <v>0</v>
      </c>
      <c r="AP1649" s="3">
        <f t="shared" si="448"/>
        <v>8</v>
      </c>
      <c r="AR1649">
        <f t="shared" si="449"/>
        <v>0</v>
      </c>
      <c r="AS1649">
        <f t="shared" si="450"/>
        <v>5</v>
      </c>
    </row>
    <row r="1650" customHeight="1" spans="1:45">
      <c r="A1650" s="3" t="str">
        <f>IF(对接源_02物料!$C450="","",对接源_02物料!$C450)</f>
        <v/>
      </c>
      <c r="B1650" s="3">
        <f t="shared" si="435"/>
        <v>0</v>
      </c>
      <c r="C1650" s="3">
        <f t="shared" si="436"/>
        <v>21</v>
      </c>
      <c r="K1650" s="3">
        <f>IF(OR($K$1="",对接源_02物料!$C450="",对接源_02物料!$C450&lt;&gt;$K$1,对接源_02物料!$B450=""),0,IF(OR(N(对接源_02物料!$B450)&lt;$K$2,N(对接源_02物料!$B450)&gt;$K$3),0,1))</f>
        <v>0</v>
      </c>
      <c r="L1650" s="3">
        <f>IF(OR($L$1="",对接源_02物料!$C450="",对接源_02物料!$C450&lt;&gt;$L$1,对接源_02物料!$B450=""),0,IF(OR(N(对接源_02物料!$B450)&lt;$L$2,N(对接源_02物料!$B450)&gt;$L$3),0,1))</f>
        <v>0</v>
      </c>
      <c r="M1650" s="3">
        <f>IF(OR($M$1="",对接源_02物料!$C450="",对接源_02物料!$C450&lt;&gt;$M$1,对接源_02物料!$B450=""),0,IF(OR(N(对接源_02物料!$B450)&lt;$M$2,N(对接源_02物料!$B450)&gt;$M$3),0,1))</f>
        <v>0</v>
      </c>
      <c r="N1650" s="3">
        <f>IF(OR($N$1="",对接源_02物料!$C450="",对接源_02物料!$C450&lt;&gt;$N$1,对接源_02物料!$B450=""),0,IF(OR(N(对接源_02物料!$B450)&lt;$N$2,N(对接源_02物料!$B450)&gt;$N$3),0,1))</f>
        <v>0</v>
      </c>
      <c r="P1650" s="3">
        <f>IF(AND($K1650=1,AND(对接源_02物料!$X450="公司筐",N(对接源_02物料!$T450)&lt;&gt;0)),1,0)</f>
        <v>0</v>
      </c>
      <c r="Q1650" s="3">
        <f t="shared" si="437"/>
        <v>8</v>
      </c>
      <c r="R1650" s="3">
        <f>IF(AND($K1650=1,AND(对接源_02物料!$X450="公司筐",N(对接源_02物料!$U450)&lt;&gt;0)),1,0)</f>
        <v>0</v>
      </c>
      <c r="S1650" s="3">
        <f t="shared" si="438"/>
        <v>0</v>
      </c>
      <c r="T1650" s="3">
        <f>IF(AND($K1650=1,AND(对接源_02物料!$X450="公司筐",N(对接源_02物料!$V450)&lt;&gt;0)),1,0)</f>
        <v>0</v>
      </c>
      <c r="U1650" s="3">
        <f t="shared" si="439"/>
        <v>19</v>
      </c>
      <c r="V1650" s="3">
        <f>IF(AND($L1650=1,AND(对接源_02物料!$X450="自备筐",N(对接源_02物料!$V450)&lt;&gt;0)),1,0)</f>
        <v>0</v>
      </c>
      <c r="W1650" s="3">
        <f t="shared" si="440"/>
        <v>8</v>
      </c>
      <c r="X1650" s="3">
        <f>IF(AND($L1650=1,AND(对接源_02物料!$X450="自备筐",N(对接源_02物料!$T450)&lt;&gt;0)),1,0)</f>
        <v>0</v>
      </c>
      <c r="Y1650" s="3">
        <f t="shared" si="441"/>
        <v>0</v>
      </c>
      <c r="Z1650" s="3">
        <f>IF(AND($M1650=1,对接源_02物料!$D450="原料入库"),1,0)</f>
        <v>0</v>
      </c>
      <c r="AA1650" s="3">
        <f t="shared" si="442"/>
        <v>24</v>
      </c>
      <c r="AB1650" s="3">
        <f>IF(AND($M1650=1,LEFT(对接源_02物料!$D450,4)="原料出库"),1,0)</f>
        <v>0</v>
      </c>
      <c r="AC1650" s="3">
        <f t="shared" si="443"/>
        <v>0</v>
      </c>
      <c r="AD1650" s="3">
        <f>IF(AND($M1650=1,LEFT(对接源_02物料!$D450,4)="成品出库"),1,0)</f>
        <v>0</v>
      </c>
      <c r="AE1650" s="3">
        <f t="shared" si="444"/>
        <v>0</v>
      </c>
      <c r="AF1650" s="3">
        <f>IF(AND($N1650=1,AND(LEFT(对接源_02物料!$D450,4)="包装物料",N(对接源_02物料!$K450)&lt;&gt;0)),1,0)</f>
        <v>0</v>
      </c>
      <c r="AG1650" s="3">
        <f t="shared" si="445"/>
        <v>5</v>
      </c>
      <c r="AH1650" s="3">
        <f>IF(AND($N1650=1,AND(对接源_02物料!$D450="周转筐－销售出库",N(对接源_02物料!$K450)&lt;&gt;0)),1,0)</f>
        <v>0</v>
      </c>
      <c r="AI1650" s="3">
        <f t="shared" si="446"/>
        <v>0</v>
      </c>
      <c r="AL1650" s="3">
        <v>0</v>
      </c>
      <c r="AM1650" s="3">
        <f t="shared" si="447"/>
        <v>1</v>
      </c>
      <c r="AN1650" s="3" t="str">
        <f t="shared" si="434"/>
        <v/>
      </c>
      <c r="AO1650" s="3">
        <v>0</v>
      </c>
      <c r="AP1650" s="3">
        <f t="shared" si="448"/>
        <v>8</v>
      </c>
      <c r="AR1650">
        <f t="shared" si="449"/>
        <v>0</v>
      </c>
      <c r="AS1650">
        <f t="shared" si="450"/>
        <v>5</v>
      </c>
    </row>
    <row r="1651" customHeight="1" spans="1:45">
      <c r="A1651" s="3" t="str">
        <f>IF(对接源_02物料!$C451="","",对接源_02物料!$C451)</f>
        <v/>
      </c>
      <c r="B1651" s="3">
        <f t="shared" si="435"/>
        <v>0</v>
      </c>
      <c r="C1651" s="3">
        <f t="shared" si="436"/>
        <v>21</v>
      </c>
      <c r="K1651" s="3">
        <f>IF(OR($K$1="",对接源_02物料!$C451="",对接源_02物料!$C451&lt;&gt;$K$1,对接源_02物料!$B451=""),0,IF(OR(N(对接源_02物料!$B451)&lt;$K$2,N(对接源_02物料!$B451)&gt;$K$3),0,1))</f>
        <v>0</v>
      </c>
      <c r="L1651" s="3">
        <f>IF(OR($L$1="",对接源_02物料!$C451="",对接源_02物料!$C451&lt;&gt;$L$1,对接源_02物料!$B451=""),0,IF(OR(N(对接源_02物料!$B451)&lt;$L$2,N(对接源_02物料!$B451)&gt;$L$3),0,1))</f>
        <v>0</v>
      </c>
      <c r="M1651" s="3">
        <f>IF(OR($M$1="",对接源_02物料!$C451="",对接源_02物料!$C451&lt;&gt;$M$1,对接源_02物料!$B451=""),0,IF(OR(N(对接源_02物料!$B451)&lt;$M$2,N(对接源_02物料!$B451)&gt;$M$3),0,1))</f>
        <v>0</v>
      </c>
      <c r="N1651" s="3">
        <f>IF(OR($N$1="",对接源_02物料!$C451="",对接源_02物料!$C451&lt;&gt;$N$1,对接源_02物料!$B451=""),0,IF(OR(N(对接源_02物料!$B451)&lt;$N$2,N(对接源_02物料!$B451)&gt;$N$3),0,1))</f>
        <v>0</v>
      </c>
      <c r="P1651" s="3">
        <f>IF(AND($K1651=1,AND(对接源_02物料!$X451="公司筐",N(对接源_02物料!$T451)&lt;&gt;0)),1,0)</f>
        <v>0</v>
      </c>
      <c r="Q1651" s="3">
        <f t="shared" si="437"/>
        <v>8</v>
      </c>
      <c r="R1651" s="3">
        <f>IF(AND($K1651=1,AND(对接源_02物料!$X451="公司筐",N(对接源_02物料!$U451)&lt;&gt;0)),1,0)</f>
        <v>0</v>
      </c>
      <c r="S1651" s="3">
        <f t="shared" si="438"/>
        <v>0</v>
      </c>
      <c r="T1651" s="3">
        <f>IF(AND($K1651=1,AND(对接源_02物料!$X451="公司筐",N(对接源_02物料!$V451)&lt;&gt;0)),1,0)</f>
        <v>0</v>
      </c>
      <c r="U1651" s="3">
        <f t="shared" si="439"/>
        <v>19</v>
      </c>
      <c r="V1651" s="3">
        <f>IF(AND($L1651=1,AND(对接源_02物料!$X451="自备筐",N(对接源_02物料!$V451)&lt;&gt;0)),1,0)</f>
        <v>0</v>
      </c>
      <c r="W1651" s="3">
        <f t="shared" si="440"/>
        <v>8</v>
      </c>
      <c r="X1651" s="3">
        <f>IF(AND($L1651=1,AND(对接源_02物料!$X451="自备筐",N(对接源_02物料!$T451)&lt;&gt;0)),1,0)</f>
        <v>0</v>
      </c>
      <c r="Y1651" s="3">
        <f t="shared" si="441"/>
        <v>0</v>
      </c>
      <c r="Z1651" s="3">
        <f>IF(AND($M1651=1,对接源_02物料!$D451="原料入库"),1,0)</f>
        <v>0</v>
      </c>
      <c r="AA1651" s="3">
        <f t="shared" si="442"/>
        <v>24</v>
      </c>
      <c r="AB1651" s="3">
        <f>IF(AND($M1651=1,LEFT(对接源_02物料!$D451,4)="原料出库"),1,0)</f>
        <v>0</v>
      </c>
      <c r="AC1651" s="3">
        <f t="shared" si="443"/>
        <v>0</v>
      </c>
      <c r="AD1651" s="3">
        <f>IF(AND($M1651=1,LEFT(对接源_02物料!$D451,4)="成品出库"),1,0)</f>
        <v>0</v>
      </c>
      <c r="AE1651" s="3">
        <f t="shared" si="444"/>
        <v>0</v>
      </c>
      <c r="AF1651" s="3">
        <f>IF(AND($N1651=1,AND(LEFT(对接源_02物料!$D451,4)="包装物料",N(对接源_02物料!$K451)&lt;&gt;0)),1,0)</f>
        <v>0</v>
      </c>
      <c r="AG1651" s="3">
        <f t="shared" si="445"/>
        <v>5</v>
      </c>
      <c r="AH1651" s="3">
        <f>IF(AND($N1651=1,AND(对接源_02物料!$D451="周转筐－销售出库",N(对接源_02物料!$K451)&lt;&gt;0)),1,0)</f>
        <v>0</v>
      </c>
      <c r="AI1651" s="3">
        <f t="shared" si="446"/>
        <v>0</v>
      </c>
      <c r="AL1651" s="3">
        <v>0</v>
      </c>
      <c r="AM1651" s="3">
        <f t="shared" si="447"/>
        <v>1</v>
      </c>
      <c r="AN1651" s="3" t="str">
        <f t="shared" si="434"/>
        <v/>
      </c>
      <c r="AO1651" s="3">
        <v>0</v>
      </c>
      <c r="AP1651" s="3">
        <f t="shared" si="448"/>
        <v>8</v>
      </c>
      <c r="AR1651">
        <f t="shared" si="449"/>
        <v>0</v>
      </c>
      <c r="AS1651">
        <f t="shared" si="450"/>
        <v>5</v>
      </c>
    </row>
    <row r="1652" customHeight="1" spans="1:45">
      <c r="A1652" s="3" t="str">
        <f>IF(对接源_02物料!$C452="","",对接源_02物料!$C452)</f>
        <v/>
      </c>
      <c r="B1652" s="3">
        <f t="shared" si="435"/>
        <v>0</v>
      </c>
      <c r="C1652" s="3">
        <f t="shared" si="436"/>
        <v>21</v>
      </c>
      <c r="K1652" s="3">
        <f>IF(OR($K$1="",对接源_02物料!$C452="",对接源_02物料!$C452&lt;&gt;$K$1,对接源_02物料!$B452=""),0,IF(OR(N(对接源_02物料!$B452)&lt;$K$2,N(对接源_02物料!$B452)&gt;$K$3),0,1))</f>
        <v>0</v>
      </c>
      <c r="L1652" s="3">
        <f>IF(OR($L$1="",对接源_02物料!$C452="",对接源_02物料!$C452&lt;&gt;$L$1,对接源_02物料!$B452=""),0,IF(OR(N(对接源_02物料!$B452)&lt;$L$2,N(对接源_02物料!$B452)&gt;$L$3),0,1))</f>
        <v>0</v>
      </c>
      <c r="M1652" s="3">
        <f>IF(OR($M$1="",对接源_02物料!$C452="",对接源_02物料!$C452&lt;&gt;$M$1,对接源_02物料!$B452=""),0,IF(OR(N(对接源_02物料!$B452)&lt;$M$2,N(对接源_02物料!$B452)&gt;$M$3),0,1))</f>
        <v>0</v>
      </c>
      <c r="N1652" s="3">
        <f>IF(OR($N$1="",对接源_02物料!$C452="",对接源_02物料!$C452&lt;&gt;$N$1,对接源_02物料!$B452=""),0,IF(OR(N(对接源_02物料!$B452)&lt;$N$2,N(对接源_02物料!$B452)&gt;$N$3),0,1))</f>
        <v>0</v>
      </c>
      <c r="P1652" s="3">
        <f>IF(AND($K1652=1,AND(对接源_02物料!$X452="公司筐",N(对接源_02物料!$T452)&lt;&gt;0)),1,0)</f>
        <v>0</v>
      </c>
      <c r="Q1652" s="3">
        <f t="shared" si="437"/>
        <v>8</v>
      </c>
      <c r="R1652" s="3">
        <f>IF(AND($K1652=1,AND(对接源_02物料!$X452="公司筐",N(对接源_02物料!$U452)&lt;&gt;0)),1,0)</f>
        <v>0</v>
      </c>
      <c r="S1652" s="3">
        <f t="shared" si="438"/>
        <v>0</v>
      </c>
      <c r="T1652" s="3">
        <f>IF(AND($K1652=1,AND(对接源_02物料!$X452="公司筐",N(对接源_02物料!$V452)&lt;&gt;0)),1,0)</f>
        <v>0</v>
      </c>
      <c r="U1652" s="3">
        <f t="shared" si="439"/>
        <v>19</v>
      </c>
      <c r="V1652" s="3">
        <f>IF(AND($L1652=1,AND(对接源_02物料!$X452="自备筐",N(对接源_02物料!$V452)&lt;&gt;0)),1,0)</f>
        <v>0</v>
      </c>
      <c r="W1652" s="3">
        <f t="shared" si="440"/>
        <v>8</v>
      </c>
      <c r="X1652" s="3">
        <f>IF(AND($L1652=1,AND(对接源_02物料!$X452="自备筐",N(对接源_02物料!$T452)&lt;&gt;0)),1,0)</f>
        <v>0</v>
      </c>
      <c r="Y1652" s="3">
        <f t="shared" si="441"/>
        <v>0</v>
      </c>
      <c r="Z1652" s="3">
        <f>IF(AND($M1652=1,对接源_02物料!$D452="原料入库"),1,0)</f>
        <v>0</v>
      </c>
      <c r="AA1652" s="3">
        <f t="shared" si="442"/>
        <v>24</v>
      </c>
      <c r="AB1652" s="3">
        <f>IF(AND($M1652=1,LEFT(对接源_02物料!$D452,4)="原料出库"),1,0)</f>
        <v>0</v>
      </c>
      <c r="AC1652" s="3">
        <f t="shared" si="443"/>
        <v>0</v>
      </c>
      <c r="AD1652" s="3">
        <f>IF(AND($M1652=1,LEFT(对接源_02物料!$D452,4)="成品出库"),1,0)</f>
        <v>0</v>
      </c>
      <c r="AE1652" s="3">
        <f t="shared" si="444"/>
        <v>0</v>
      </c>
      <c r="AF1652" s="3">
        <f>IF(AND($N1652=1,AND(LEFT(对接源_02物料!$D452,4)="包装物料",N(对接源_02物料!$K452)&lt;&gt;0)),1,0)</f>
        <v>0</v>
      </c>
      <c r="AG1652" s="3">
        <f t="shared" si="445"/>
        <v>5</v>
      </c>
      <c r="AH1652" s="3">
        <f>IF(AND($N1652=1,AND(对接源_02物料!$D452="周转筐－销售出库",N(对接源_02物料!$K452)&lt;&gt;0)),1,0)</f>
        <v>0</v>
      </c>
      <c r="AI1652" s="3">
        <f t="shared" si="446"/>
        <v>0</v>
      </c>
      <c r="AL1652" s="3">
        <v>0</v>
      </c>
      <c r="AM1652" s="3">
        <f t="shared" si="447"/>
        <v>1</v>
      </c>
      <c r="AN1652" s="3" t="str">
        <f t="shared" ref="AN1652:AN1715" si="451">""</f>
        <v/>
      </c>
      <c r="AO1652" s="3">
        <v>0</v>
      </c>
      <c r="AP1652" s="3">
        <f t="shared" si="448"/>
        <v>8</v>
      </c>
      <c r="AR1652">
        <f t="shared" si="449"/>
        <v>0</v>
      </c>
      <c r="AS1652">
        <f t="shared" si="450"/>
        <v>5</v>
      </c>
    </row>
    <row r="1653" customHeight="1" spans="1:45">
      <c r="A1653" s="3" t="str">
        <f>IF(对接源_02物料!$C453="","",对接源_02物料!$C453)</f>
        <v/>
      </c>
      <c r="B1653" s="3">
        <f t="shared" si="435"/>
        <v>0</v>
      </c>
      <c r="C1653" s="3">
        <f t="shared" si="436"/>
        <v>21</v>
      </c>
      <c r="K1653" s="3">
        <f>IF(OR($K$1="",对接源_02物料!$C453="",对接源_02物料!$C453&lt;&gt;$K$1,对接源_02物料!$B453=""),0,IF(OR(N(对接源_02物料!$B453)&lt;$K$2,N(对接源_02物料!$B453)&gt;$K$3),0,1))</f>
        <v>0</v>
      </c>
      <c r="L1653" s="3">
        <f>IF(OR($L$1="",对接源_02物料!$C453="",对接源_02物料!$C453&lt;&gt;$L$1,对接源_02物料!$B453=""),0,IF(OR(N(对接源_02物料!$B453)&lt;$L$2,N(对接源_02物料!$B453)&gt;$L$3),0,1))</f>
        <v>0</v>
      </c>
      <c r="M1653" s="3">
        <f>IF(OR($M$1="",对接源_02物料!$C453="",对接源_02物料!$C453&lt;&gt;$M$1,对接源_02物料!$B453=""),0,IF(OR(N(对接源_02物料!$B453)&lt;$M$2,N(对接源_02物料!$B453)&gt;$M$3),0,1))</f>
        <v>0</v>
      </c>
      <c r="N1653" s="3">
        <f>IF(OR($N$1="",对接源_02物料!$C453="",对接源_02物料!$C453&lt;&gt;$N$1,对接源_02物料!$B453=""),0,IF(OR(N(对接源_02物料!$B453)&lt;$N$2,N(对接源_02物料!$B453)&gt;$N$3),0,1))</f>
        <v>0</v>
      </c>
      <c r="P1653" s="3">
        <f>IF(AND($K1653=1,AND(对接源_02物料!$X453="公司筐",N(对接源_02物料!$T453)&lt;&gt;0)),1,0)</f>
        <v>0</v>
      </c>
      <c r="Q1653" s="3">
        <f t="shared" si="437"/>
        <v>8</v>
      </c>
      <c r="R1653" s="3">
        <f>IF(AND($K1653=1,AND(对接源_02物料!$X453="公司筐",N(对接源_02物料!$U453)&lt;&gt;0)),1,0)</f>
        <v>0</v>
      </c>
      <c r="S1653" s="3">
        <f t="shared" si="438"/>
        <v>0</v>
      </c>
      <c r="T1653" s="3">
        <f>IF(AND($K1653=1,AND(对接源_02物料!$X453="公司筐",N(对接源_02物料!$V453)&lt;&gt;0)),1,0)</f>
        <v>0</v>
      </c>
      <c r="U1653" s="3">
        <f t="shared" si="439"/>
        <v>19</v>
      </c>
      <c r="V1653" s="3">
        <f>IF(AND($L1653=1,AND(对接源_02物料!$X453="自备筐",N(对接源_02物料!$V453)&lt;&gt;0)),1,0)</f>
        <v>0</v>
      </c>
      <c r="W1653" s="3">
        <f t="shared" si="440"/>
        <v>8</v>
      </c>
      <c r="X1653" s="3">
        <f>IF(AND($L1653=1,AND(对接源_02物料!$X453="自备筐",N(对接源_02物料!$T453)&lt;&gt;0)),1,0)</f>
        <v>0</v>
      </c>
      <c r="Y1653" s="3">
        <f t="shared" si="441"/>
        <v>0</v>
      </c>
      <c r="Z1653" s="3">
        <f>IF(AND($M1653=1,对接源_02物料!$D453="原料入库"),1,0)</f>
        <v>0</v>
      </c>
      <c r="AA1653" s="3">
        <f t="shared" si="442"/>
        <v>24</v>
      </c>
      <c r="AB1653" s="3">
        <f>IF(AND($M1653=1,LEFT(对接源_02物料!$D453,4)="原料出库"),1,0)</f>
        <v>0</v>
      </c>
      <c r="AC1653" s="3">
        <f t="shared" si="443"/>
        <v>0</v>
      </c>
      <c r="AD1653" s="3">
        <f>IF(AND($M1653=1,LEFT(对接源_02物料!$D453,4)="成品出库"),1,0)</f>
        <v>0</v>
      </c>
      <c r="AE1653" s="3">
        <f t="shared" si="444"/>
        <v>0</v>
      </c>
      <c r="AF1653" s="3">
        <f>IF(AND($N1653=1,AND(LEFT(对接源_02物料!$D453,4)="包装物料",N(对接源_02物料!$K453)&lt;&gt;0)),1,0)</f>
        <v>0</v>
      </c>
      <c r="AG1653" s="3">
        <f t="shared" si="445"/>
        <v>5</v>
      </c>
      <c r="AH1653" s="3">
        <f>IF(AND($N1653=1,AND(对接源_02物料!$D453="周转筐－销售出库",N(对接源_02物料!$K453)&lt;&gt;0)),1,0)</f>
        <v>0</v>
      </c>
      <c r="AI1653" s="3">
        <f t="shared" si="446"/>
        <v>0</v>
      </c>
      <c r="AL1653" s="3">
        <v>0</v>
      </c>
      <c r="AM1653" s="3">
        <f t="shared" si="447"/>
        <v>1</v>
      </c>
      <c r="AN1653" s="3" t="str">
        <f t="shared" si="451"/>
        <v/>
      </c>
      <c r="AO1653" s="3">
        <v>0</v>
      </c>
      <c r="AP1653" s="3">
        <f t="shared" si="448"/>
        <v>8</v>
      </c>
      <c r="AR1653">
        <f t="shared" si="449"/>
        <v>0</v>
      </c>
      <c r="AS1653">
        <f t="shared" si="450"/>
        <v>5</v>
      </c>
    </row>
    <row r="1654" customHeight="1" spans="1:45">
      <c r="A1654" s="3" t="str">
        <f>IF(对接源_02物料!$C454="","",对接源_02物料!$C454)</f>
        <v/>
      </c>
      <c r="B1654" s="3">
        <f t="shared" si="435"/>
        <v>0</v>
      </c>
      <c r="C1654" s="3">
        <f t="shared" si="436"/>
        <v>21</v>
      </c>
      <c r="K1654" s="3">
        <f>IF(OR($K$1="",对接源_02物料!$C454="",对接源_02物料!$C454&lt;&gt;$K$1,对接源_02物料!$B454=""),0,IF(OR(N(对接源_02物料!$B454)&lt;$K$2,N(对接源_02物料!$B454)&gt;$K$3),0,1))</f>
        <v>0</v>
      </c>
      <c r="L1654" s="3">
        <f>IF(OR($L$1="",对接源_02物料!$C454="",对接源_02物料!$C454&lt;&gt;$L$1,对接源_02物料!$B454=""),0,IF(OR(N(对接源_02物料!$B454)&lt;$L$2,N(对接源_02物料!$B454)&gt;$L$3),0,1))</f>
        <v>0</v>
      </c>
      <c r="M1654" s="3">
        <f>IF(OR($M$1="",对接源_02物料!$C454="",对接源_02物料!$C454&lt;&gt;$M$1,对接源_02物料!$B454=""),0,IF(OR(N(对接源_02物料!$B454)&lt;$M$2,N(对接源_02物料!$B454)&gt;$M$3),0,1))</f>
        <v>0</v>
      </c>
      <c r="N1654" s="3">
        <f>IF(OR($N$1="",对接源_02物料!$C454="",对接源_02物料!$C454&lt;&gt;$N$1,对接源_02物料!$B454=""),0,IF(OR(N(对接源_02物料!$B454)&lt;$N$2,N(对接源_02物料!$B454)&gt;$N$3),0,1))</f>
        <v>0</v>
      </c>
      <c r="P1654" s="3">
        <f>IF(AND($K1654=1,AND(对接源_02物料!$X454="公司筐",N(对接源_02物料!$T454)&lt;&gt;0)),1,0)</f>
        <v>0</v>
      </c>
      <c r="Q1654" s="3">
        <f t="shared" si="437"/>
        <v>8</v>
      </c>
      <c r="R1654" s="3">
        <f>IF(AND($K1654=1,AND(对接源_02物料!$X454="公司筐",N(对接源_02物料!$U454)&lt;&gt;0)),1,0)</f>
        <v>0</v>
      </c>
      <c r="S1654" s="3">
        <f t="shared" si="438"/>
        <v>0</v>
      </c>
      <c r="T1654" s="3">
        <f>IF(AND($K1654=1,AND(对接源_02物料!$X454="公司筐",N(对接源_02物料!$V454)&lt;&gt;0)),1,0)</f>
        <v>0</v>
      </c>
      <c r="U1654" s="3">
        <f t="shared" si="439"/>
        <v>19</v>
      </c>
      <c r="V1654" s="3">
        <f>IF(AND($L1654=1,AND(对接源_02物料!$X454="自备筐",N(对接源_02物料!$V454)&lt;&gt;0)),1,0)</f>
        <v>0</v>
      </c>
      <c r="W1654" s="3">
        <f t="shared" si="440"/>
        <v>8</v>
      </c>
      <c r="X1654" s="3">
        <f>IF(AND($L1654=1,AND(对接源_02物料!$X454="自备筐",N(对接源_02物料!$T454)&lt;&gt;0)),1,0)</f>
        <v>0</v>
      </c>
      <c r="Y1654" s="3">
        <f t="shared" si="441"/>
        <v>0</v>
      </c>
      <c r="Z1654" s="3">
        <f>IF(AND($M1654=1,对接源_02物料!$D454="原料入库"),1,0)</f>
        <v>0</v>
      </c>
      <c r="AA1654" s="3">
        <f t="shared" si="442"/>
        <v>24</v>
      </c>
      <c r="AB1654" s="3">
        <f>IF(AND($M1654=1,LEFT(对接源_02物料!$D454,4)="原料出库"),1,0)</f>
        <v>0</v>
      </c>
      <c r="AC1654" s="3">
        <f t="shared" si="443"/>
        <v>0</v>
      </c>
      <c r="AD1654" s="3">
        <f>IF(AND($M1654=1,LEFT(对接源_02物料!$D454,4)="成品出库"),1,0)</f>
        <v>0</v>
      </c>
      <c r="AE1654" s="3">
        <f t="shared" si="444"/>
        <v>0</v>
      </c>
      <c r="AF1654" s="3">
        <f>IF(AND($N1654=1,AND(LEFT(对接源_02物料!$D454,4)="包装物料",N(对接源_02物料!$K454)&lt;&gt;0)),1,0)</f>
        <v>0</v>
      </c>
      <c r="AG1654" s="3">
        <f t="shared" si="445"/>
        <v>5</v>
      </c>
      <c r="AH1654" s="3">
        <f>IF(AND($N1654=1,AND(对接源_02物料!$D454="周转筐－销售出库",N(对接源_02物料!$K454)&lt;&gt;0)),1,0)</f>
        <v>0</v>
      </c>
      <c r="AI1654" s="3">
        <f t="shared" si="446"/>
        <v>0</v>
      </c>
      <c r="AL1654" s="3">
        <v>0</v>
      </c>
      <c r="AM1654" s="3">
        <f t="shared" si="447"/>
        <v>1</v>
      </c>
      <c r="AN1654" s="3" t="str">
        <f t="shared" si="451"/>
        <v/>
      </c>
      <c r="AO1654" s="3">
        <v>0</v>
      </c>
      <c r="AP1654" s="3">
        <f t="shared" si="448"/>
        <v>8</v>
      </c>
      <c r="AR1654">
        <f t="shared" si="449"/>
        <v>0</v>
      </c>
      <c r="AS1654">
        <f t="shared" si="450"/>
        <v>5</v>
      </c>
    </row>
    <row r="1655" customHeight="1" spans="1:45">
      <c r="A1655" s="3" t="str">
        <f>IF(对接源_02物料!$C455="","",对接源_02物料!$C455)</f>
        <v/>
      </c>
      <c r="B1655" s="3">
        <f t="shared" si="435"/>
        <v>0</v>
      </c>
      <c r="C1655" s="3">
        <f t="shared" si="436"/>
        <v>21</v>
      </c>
      <c r="K1655" s="3">
        <f>IF(OR($K$1="",对接源_02物料!$C455="",对接源_02物料!$C455&lt;&gt;$K$1,对接源_02物料!$B455=""),0,IF(OR(N(对接源_02物料!$B455)&lt;$K$2,N(对接源_02物料!$B455)&gt;$K$3),0,1))</f>
        <v>0</v>
      </c>
      <c r="L1655" s="3">
        <f>IF(OR($L$1="",对接源_02物料!$C455="",对接源_02物料!$C455&lt;&gt;$L$1,对接源_02物料!$B455=""),0,IF(OR(N(对接源_02物料!$B455)&lt;$L$2,N(对接源_02物料!$B455)&gt;$L$3),0,1))</f>
        <v>0</v>
      </c>
      <c r="M1655" s="3">
        <f>IF(OR($M$1="",对接源_02物料!$C455="",对接源_02物料!$C455&lt;&gt;$M$1,对接源_02物料!$B455=""),0,IF(OR(N(对接源_02物料!$B455)&lt;$M$2,N(对接源_02物料!$B455)&gt;$M$3),0,1))</f>
        <v>0</v>
      </c>
      <c r="N1655" s="3">
        <f>IF(OR($N$1="",对接源_02物料!$C455="",对接源_02物料!$C455&lt;&gt;$N$1,对接源_02物料!$B455=""),0,IF(OR(N(对接源_02物料!$B455)&lt;$N$2,N(对接源_02物料!$B455)&gt;$N$3),0,1))</f>
        <v>0</v>
      </c>
      <c r="P1655" s="3">
        <f>IF(AND($K1655=1,AND(对接源_02物料!$X455="公司筐",N(对接源_02物料!$T455)&lt;&gt;0)),1,0)</f>
        <v>0</v>
      </c>
      <c r="Q1655" s="3">
        <f t="shared" si="437"/>
        <v>8</v>
      </c>
      <c r="R1655" s="3">
        <f>IF(AND($K1655=1,AND(对接源_02物料!$X455="公司筐",N(对接源_02物料!$U455)&lt;&gt;0)),1,0)</f>
        <v>0</v>
      </c>
      <c r="S1655" s="3">
        <f t="shared" si="438"/>
        <v>0</v>
      </c>
      <c r="T1655" s="3">
        <f>IF(AND($K1655=1,AND(对接源_02物料!$X455="公司筐",N(对接源_02物料!$V455)&lt;&gt;0)),1,0)</f>
        <v>0</v>
      </c>
      <c r="U1655" s="3">
        <f t="shared" si="439"/>
        <v>19</v>
      </c>
      <c r="V1655" s="3">
        <f>IF(AND($L1655=1,AND(对接源_02物料!$X455="自备筐",N(对接源_02物料!$V455)&lt;&gt;0)),1,0)</f>
        <v>0</v>
      </c>
      <c r="W1655" s="3">
        <f t="shared" si="440"/>
        <v>8</v>
      </c>
      <c r="X1655" s="3">
        <f>IF(AND($L1655=1,AND(对接源_02物料!$X455="自备筐",N(对接源_02物料!$T455)&lt;&gt;0)),1,0)</f>
        <v>0</v>
      </c>
      <c r="Y1655" s="3">
        <f t="shared" si="441"/>
        <v>0</v>
      </c>
      <c r="Z1655" s="3">
        <f>IF(AND($M1655=1,对接源_02物料!$D455="原料入库"),1,0)</f>
        <v>0</v>
      </c>
      <c r="AA1655" s="3">
        <f t="shared" si="442"/>
        <v>24</v>
      </c>
      <c r="AB1655" s="3">
        <f>IF(AND($M1655=1,LEFT(对接源_02物料!$D455,4)="原料出库"),1,0)</f>
        <v>0</v>
      </c>
      <c r="AC1655" s="3">
        <f t="shared" si="443"/>
        <v>0</v>
      </c>
      <c r="AD1655" s="3">
        <f>IF(AND($M1655=1,LEFT(对接源_02物料!$D455,4)="成品出库"),1,0)</f>
        <v>0</v>
      </c>
      <c r="AE1655" s="3">
        <f t="shared" si="444"/>
        <v>0</v>
      </c>
      <c r="AF1655" s="3">
        <f>IF(AND($N1655=1,AND(LEFT(对接源_02物料!$D455,4)="包装物料",N(对接源_02物料!$K455)&lt;&gt;0)),1,0)</f>
        <v>0</v>
      </c>
      <c r="AG1655" s="3">
        <f t="shared" si="445"/>
        <v>5</v>
      </c>
      <c r="AH1655" s="3">
        <f>IF(AND($N1655=1,AND(对接源_02物料!$D455="周转筐－销售出库",N(对接源_02物料!$K455)&lt;&gt;0)),1,0)</f>
        <v>0</v>
      </c>
      <c r="AI1655" s="3">
        <f t="shared" si="446"/>
        <v>0</v>
      </c>
      <c r="AL1655" s="3">
        <v>0</v>
      </c>
      <c r="AM1655" s="3">
        <f t="shared" si="447"/>
        <v>1</v>
      </c>
      <c r="AN1655" s="3" t="str">
        <f t="shared" si="451"/>
        <v/>
      </c>
      <c r="AO1655" s="3">
        <v>0</v>
      </c>
      <c r="AP1655" s="3">
        <f t="shared" si="448"/>
        <v>8</v>
      </c>
      <c r="AR1655">
        <f t="shared" si="449"/>
        <v>0</v>
      </c>
      <c r="AS1655">
        <f t="shared" si="450"/>
        <v>5</v>
      </c>
    </row>
    <row r="1656" customHeight="1" spans="1:45">
      <c r="A1656" s="3" t="str">
        <f>IF(对接源_02物料!$C456="","",对接源_02物料!$C456)</f>
        <v/>
      </c>
      <c r="B1656" s="3">
        <f t="shared" si="435"/>
        <v>0</v>
      </c>
      <c r="C1656" s="3">
        <f t="shared" si="436"/>
        <v>21</v>
      </c>
      <c r="K1656" s="3">
        <f>IF(OR($K$1="",对接源_02物料!$C456="",对接源_02物料!$C456&lt;&gt;$K$1,对接源_02物料!$B456=""),0,IF(OR(N(对接源_02物料!$B456)&lt;$K$2,N(对接源_02物料!$B456)&gt;$K$3),0,1))</f>
        <v>0</v>
      </c>
      <c r="L1656" s="3">
        <f>IF(OR($L$1="",对接源_02物料!$C456="",对接源_02物料!$C456&lt;&gt;$L$1,对接源_02物料!$B456=""),0,IF(OR(N(对接源_02物料!$B456)&lt;$L$2,N(对接源_02物料!$B456)&gt;$L$3),0,1))</f>
        <v>0</v>
      </c>
      <c r="M1656" s="3">
        <f>IF(OR($M$1="",对接源_02物料!$C456="",对接源_02物料!$C456&lt;&gt;$M$1,对接源_02物料!$B456=""),0,IF(OR(N(对接源_02物料!$B456)&lt;$M$2,N(对接源_02物料!$B456)&gt;$M$3),0,1))</f>
        <v>0</v>
      </c>
      <c r="N1656" s="3">
        <f>IF(OR($N$1="",对接源_02物料!$C456="",对接源_02物料!$C456&lt;&gt;$N$1,对接源_02物料!$B456=""),0,IF(OR(N(对接源_02物料!$B456)&lt;$N$2,N(对接源_02物料!$B456)&gt;$N$3),0,1))</f>
        <v>0</v>
      </c>
      <c r="P1656" s="3">
        <f>IF(AND($K1656=1,AND(对接源_02物料!$X456="公司筐",N(对接源_02物料!$T456)&lt;&gt;0)),1,0)</f>
        <v>0</v>
      </c>
      <c r="Q1656" s="3">
        <f t="shared" si="437"/>
        <v>8</v>
      </c>
      <c r="R1656" s="3">
        <f>IF(AND($K1656=1,AND(对接源_02物料!$X456="公司筐",N(对接源_02物料!$U456)&lt;&gt;0)),1,0)</f>
        <v>0</v>
      </c>
      <c r="S1656" s="3">
        <f t="shared" si="438"/>
        <v>0</v>
      </c>
      <c r="T1656" s="3">
        <f>IF(AND($K1656=1,AND(对接源_02物料!$X456="公司筐",N(对接源_02物料!$V456)&lt;&gt;0)),1,0)</f>
        <v>0</v>
      </c>
      <c r="U1656" s="3">
        <f t="shared" si="439"/>
        <v>19</v>
      </c>
      <c r="V1656" s="3">
        <f>IF(AND($L1656=1,AND(对接源_02物料!$X456="自备筐",N(对接源_02物料!$V456)&lt;&gt;0)),1,0)</f>
        <v>0</v>
      </c>
      <c r="W1656" s="3">
        <f t="shared" si="440"/>
        <v>8</v>
      </c>
      <c r="X1656" s="3">
        <f>IF(AND($L1656=1,AND(对接源_02物料!$X456="自备筐",N(对接源_02物料!$T456)&lt;&gt;0)),1,0)</f>
        <v>0</v>
      </c>
      <c r="Y1656" s="3">
        <f t="shared" si="441"/>
        <v>0</v>
      </c>
      <c r="Z1656" s="3">
        <f>IF(AND($M1656=1,对接源_02物料!$D456="原料入库"),1,0)</f>
        <v>0</v>
      </c>
      <c r="AA1656" s="3">
        <f t="shared" si="442"/>
        <v>24</v>
      </c>
      <c r="AB1656" s="3">
        <f>IF(AND($M1656=1,LEFT(对接源_02物料!$D456,4)="原料出库"),1,0)</f>
        <v>0</v>
      </c>
      <c r="AC1656" s="3">
        <f t="shared" si="443"/>
        <v>0</v>
      </c>
      <c r="AD1656" s="3">
        <f>IF(AND($M1656=1,LEFT(对接源_02物料!$D456,4)="成品出库"),1,0)</f>
        <v>0</v>
      </c>
      <c r="AE1656" s="3">
        <f t="shared" si="444"/>
        <v>0</v>
      </c>
      <c r="AF1656" s="3">
        <f>IF(AND($N1656=1,AND(LEFT(对接源_02物料!$D456,4)="包装物料",N(对接源_02物料!$K456)&lt;&gt;0)),1,0)</f>
        <v>0</v>
      </c>
      <c r="AG1656" s="3">
        <f t="shared" si="445"/>
        <v>5</v>
      </c>
      <c r="AH1656" s="3">
        <f>IF(AND($N1656=1,AND(对接源_02物料!$D456="周转筐－销售出库",N(对接源_02物料!$K456)&lt;&gt;0)),1,0)</f>
        <v>0</v>
      </c>
      <c r="AI1656" s="3">
        <f t="shared" si="446"/>
        <v>0</v>
      </c>
      <c r="AL1656" s="3">
        <v>0</v>
      </c>
      <c r="AM1656" s="3">
        <f t="shared" si="447"/>
        <v>1</v>
      </c>
      <c r="AN1656" s="3" t="str">
        <f t="shared" si="451"/>
        <v/>
      </c>
      <c r="AO1656" s="3">
        <v>0</v>
      </c>
      <c r="AP1656" s="3">
        <f t="shared" si="448"/>
        <v>8</v>
      </c>
      <c r="AR1656">
        <f t="shared" si="449"/>
        <v>0</v>
      </c>
      <c r="AS1656">
        <f t="shared" si="450"/>
        <v>5</v>
      </c>
    </row>
    <row r="1657" customHeight="1" spans="1:45">
      <c r="A1657" s="3" t="str">
        <f>IF(对接源_02物料!$C457="","",对接源_02物料!$C457)</f>
        <v/>
      </c>
      <c r="B1657" s="3">
        <f t="shared" si="435"/>
        <v>0</v>
      </c>
      <c r="C1657" s="3">
        <f t="shared" si="436"/>
        <v>21</v>
      </c>
      <c r="K1657" s="3">
        <f>IF(OR($K$1="",对接源_02物料!$C457="",对接源_02物料!$C457&lt;&gt;$K$1,对接源_02物料!$B457=""),0,IF(OR(N(对接源_02物料!$B457)&lt;$K$2,N(对接源_02物料!$B457)&gt;$K$3),0,1))</f>
        <v>0</v>
      </c>
      <c r="L1657" s="3">
        <f>IF(OR($L$1="",对接源_02物料!$C457="",对接源_02物料!$C457&lt;&gt;$L$1,对接源_02物料!$B457=""),0,IF(OR(N(对接源_02物料!$B457)&lt;$L$2,N(对接源_02物料!$B457)&gt;$L$3),0,1))</f>
        <v>0</v>
      </c>
      <c r="M1657" s="3">
        <f>IF(OR($M$1="",对接源_02物料!$C457="",对接源_02物料!$C457&lt;&gt;$M$1,对接源_02物料!$B457=""),0,IF(OR(N(对接源_02物料!$B457)&lt;$M$2,N(对接源_02物料!$B457)&gt;$M$3),0,1))</f>
        <v>0</v>
      </c>
      <c r="N1657" s="3">
        <f>IF(OR($N$1="",对接源_02物料!$C457="",对接源_02物料!$C457&lt;&gt;$N$1,对接源_02物料!$B457=""),0,IF(OR(N(对接源_02物料!$B457)&lt;$N$2,N(对接源_02物料!$B457)&gt;$N$3),0,1))</f>
        <v>0</v>
      </c>
      <c r="P1657" s="3">
        <f>IF(AND($K1657=1,AND(对接源_02物料!$X457="公司筐",N(对接源_02物料!$T457)&lt;&gt;0)),1,0)</f>
        <v>0</v>
      </c>
      <c r="Q1657" s="3">
        <f t="shared" si="437"/>
        <v>8</v>
      </c>
      <c r="R1657" s="3">
        <f>IF(AND($K1657=1,AND(对接源_02物料!$X457="公司筐",N(对接源_02物料!$U457)&lt;&gt;0)),1,0)</f>
        <v>0</v>
      </c>
      <c r="S1657" s="3">
        <f t="shared" si="438"/>
        <v>0</v>
      </c>
      <c r="T1657" s="3">
        <f>IF(AND($K1657=1,AND(对接源_02物料!$X457="公司筐",N(对接源_02物料!$V457)&lt;&gt;0)),1,0)</f>
        <v>0</v>
      </c>
      <c r="U1657" s="3">
        <f t="shared" si="439"/>
        <v>19</v>
      </c>
      <c r="V1657" s="3">
        <f>IF(AND($L1657=1,AND(对接源_02物料!$X457="自备筐",N(对接源_02物料!$V457)&lt;&gt;0)),1,0)</f>
        <v>0</v>
      </c>
      <c r="W1657" s="3">
        <f t="shared" si="440"/>
        <v>8</v>
      </c>
      <c r="X1657" s="3">
        <f>IF(AND($L1657=1,AND(对接源_02物料!$X457="自备筐",N(对接源_02物料!$T457)&lt;&gt;0)),1,0)</f>
        <v>0</v>
      </c>
      <c r="Y1657" s="3">
        <f t="shared" si="441"/>
        <v>0</v>
      </c>
      <c r="Z1657" s="3">
        <f>IF(AND($M1657=1,对接源_02物料!$D457="原料入库"),1,0)</f>
        <v>0</v>
      </c>
      <c r="AA1657" s="3">
        <f t="shared" si="442"/>
        <v>24</v>
      </c>
      <c r="AB1657" s="3">
        <f>IF(AND($M1657=1,LEFT(对接源_02物料!$D457,4)="原料出库"),1,0)</f>
        <v>0</v>
      </c>
      <c r="AC1657" s="3">
        <f t="shared" si="443"/>
        <v>0</v>
      </c>
      <c r="AD1657" s="3">
        <f>IF(AND($M1657=1,LEFT(对接源_02物料!$D457,4)="成品出库"),1,0)</f>
        <v>0</v>
      </c>
      <c r="AE1657" s="3">
        <f t="shared" si="444"/>
        <v>0</v>
      </c>
      <c r="AF1657" s="3">
        <f>IF(AND($N1657=1,AND(LEFT(对接源_02物料!$D457,4)="包装物料",N(对接源_02物料!$K457)&lt;&gt;0)),1,0)</f>
        <v>0</v>
      </c>
      <c r="AG1657" s="3">
        <f t="shared" si="445"/>
        <v>5</v>
      </c>
      <c r="AH1657" s="3">
        <f>IF(AND($N1657=1,AND(对接源_02物料!$D457="周转筐－销售出库",N(对接源_02物料!$K457)&lt;&gt;0)),1,0)</f>
        <v>0</v>
      </c>
      <c r="AI1657" s="3">
        <f t="shared" si="446"/>
        <v>0</v>
      </c>
      <c r="AL1657" s="3">
        <v>0</v>
      </c>
      <c r="AM1657" s="3">
        <f t="shared" si="447"/>
        <v>1</v>
      </c>
      <c r="AN1657" s="3" t="str">
        <f t="shared" si="451"/>
        <v/>
      </c>
      <c r="AO1657" s="3">
        <v>0</v>
      </c>
      <c r="AP1657" s="3">
        <f t="shared" si="448"/>
        <v>8</v>
      </c>
      <c r="AR1657">
        <f t="shared" si="449"/>
        <v>0</v>
      </c>
      <c r="AS1657">
        <f t="shared" si="450"/>
        <v>5</v>
      </c>
    </row>
    <row r="1658" customHeight="1" spans="1:45">
      <c r="A1658" s="3" t="str">
        <f>IF(对接源_02物料!$C458="","",对接源_02物料!$C458)</f>
        <v/>
      </c>
      <c r="B1658" s="3">
        <f t="shared" si="435"/>
        <v>0</v>
      </c>
      <c r="C1658" s="3">
        <f t="shared" si="436"/>
        <v>21</v>
      </c>
      <c r="K1658" s="3">
        <f>IF(OR($K$1="",对接源_02物料!$C458="",对接源_02物料!$C458&lt;&gt;$K$1,对接源_02物料!$B458=""),0,IF(OR(N(对接源_02物料!$B458)&lt;$K$2,N(对接源_02物料!$B458)&gt;$K$3),0,1))</f>
        <v>0</v>
      </c>
      <c r="L1658" s="3">
        <f>IF(OR($L$1="",对接源_02物料!$C458="",对接源_02物料!$C458&lt;&gt;$L$1,对接源_02物料!$B458=""),0,IF(OR(N(对接源_02物料!$B458)&lt;$L$2,N(对接源_02物料!$B458)&gt;$L$3),0,1))</f>
        <v>0</v>
      </c>
      <c r="M1658" s="3">
        <f>IF(OR($M$1="",对接源_02物料!$C458="",对接源_02物料!$C458&lt;&gt;$M$1,对接源_02物料!$B458=""),0,IF(OR(N(对接源_02物料!$B458)&lt;$M$2,N(对接源_02物料!$B458)&gt;$M$3),0,1))</f>
        <v>0</v>
      </c>
      <c r="N1658" s="3">
        <f>IF(OR($N$1="",对接源_02物料!$C458="",对接源_02物料!$C458&lt;&gt;$N$1,对接源_02物料!$B458=""),0,IF(OR(N(对接源_02物料!$B458)&lt;$N$2,N(对接源_02物料!$B458)&gt;$N$3),0,1))</f>
        <v>0</v>
      </c>
      <c r="P1658" s="3">
        <f>IF(AND($K1658=1,AND(对接源_02物料!$X458="公司筐",N(对接源_02物料!$T458)&lt;&gt;0)),1,0)</f>
        <v>0</v>
      </c>
      <c r="Q1658" s="3">
        <f t="shared" si="437"/>
        <v>8</v>
      </c>
      <c r="R1658" s="3">
        <f>IF(AND($K1658=1,AND(对接源_02物料!$X458="公司筐",N(对接源_02物料!$U458)&lt;&gt;0)),1,0)</f>
        <v>0</v>
      </c>
      <c r="S1658" s="3">
        <f t="shared" si="438"/>
        <v>0</v>
      </c>
      <c r="T1658" s="3">
        <f>IF(AND($K1658=1,AND(对接源_02物料!$X458="公司筐",N(对接源_02物料!$V458)&lt;&gt;0)),1,0)</f>
        <v>0</v>
      </c>
      <c r="U1658" s="3">
        <f t="shared" si="439"/>
        <v>19</v>
      </c>
      <c r="V1658" s="3">
        <f>IF(AND($L1658=1,AND(对接源_02物料!$X458="自备筐",N(对接源_02物料!$V458)&lt;&gt;0)),1,0)</f>
        <v>0</v>
      </c>
      <c r="W1658" s="3">
        <f t="shared" si="440"/>
        <v>8</v>
      </c>
      <c r="X1658" s="3">
        <f>IF(AND($L1658=1,AND(对接源_02物料!$X458="自备筐",N(对接源_02物料!$T458)&lt;&gt;0)),1,0)</f>
        <v>0</v>
      </c>
      <c r="Y1658" s="3">
        <f t="shared" si="441"/>
        <v>0</v>
      </c>
      <c r="Z1658" s="3">
        <f>IF(AND($M1658=1,对接源_02物料!$D458="原料入库"),1,0)</f>
        <v>0</v>
      </c>
      <c r="AA1658" s="3">
        <f t="shared" si="442"/>
        <v>24</v>
      </c>
      <c r="AB1658" s="3">
        <f>IF(AND($M1658=1,LEFT(对接源_02物料!$D458,4)="原料出库"),1,0)</f>
        <v>0</v>
      </c>
      <c r="AC1658" s="3">
        <f t="shared" si="443"/>
        <v>0</v>
      </c>
      <c r="AD1658" s="3">
        <f>IF(AND($M1658=1,LEFT(对接源_02物料!$D458,4)="成品出库"),1,0)</f>
        <v>0</v>
      </c>
      <c r="AE1658" s="3">
        <f t="shared" si="444"/>
        <v>0</v>
      </c>
      <c r="AF1658" s="3">
        <f>IF(AND($N1658=1,AND(LEFT(对接源_02物料!$D458,4)="包装物料",N(对接源_02物料!$K458)&lt;&gt;0)),1,0)</f>
        <v>0</v>
      </c>
      <c r="AG1658" s="3">
        <f t="shared" si="445"/>
        <v>5</v>
      </c>
      <c r="AH1658" s="3">
        <f>IF(AND($N1658=1,AND(对接源_02物料!$D458="周转筐－销售出库",N(对接源_02物料!$K458)&lt;&gt;0)),1,0)</f>
        <v>0</v>
      </c>
      <c r="AI1658" s="3">
        <f t="shared" si="446"/>
        <v>0</v>
      </c>
      <c r="AL1658" s="3">
        <v>0</v>
      </c>
      <c r="AM1658" s="3">
        <f t="shared" si="447"/>
        <v>1</v>
      </c>
      <c r="AN1658" s="3" t="str">
        <f t="shared" si="451"/>
        <v/>
      </c>
      <c r="AO1658" s="3">
        <v>0</v>
      </c>
      <c r="AP1658" s="3">
        <f t="shared" si="448"/>
        <v>8</v>
      </c>
      <c r="AR1658">
        <f t="shared" si="449"/>
        <v>0</v>
      </c>
      <c r="AS1658">
        <f t="shared" si="450"/>
        <v>5</v>
      </c>
    </row>
    <row r="1659" customHeight="1" spans="1:45">
      <c r="A1659" s="3" t="str">
        <f>IF(对接源_02物料!$C459="","",对接源_02物料!$C459)</f>
        <v/>
      </c>
      <c r="B1659" s="3">
        <f t="shared" si="435"/>
        <v>0</v>
      </c>
      <c r="C1659" s="3">
        <f t="shared" si="436"/>
        <v>21</v>
      </c>
      <c r="K1659" s="3">
        <f>IF(OR($K$1="",对接源_02物料!$C459="",对接源_02物料!$C459&lt;&gt;$K$1,对接源_02物料!$B459=""),0,IF(OR(N(对接源_02物料!$B459)&lt;$K$2,N(对接源_02物料!$B459)&gt;$K$3),0,1))</f>
        <v>0</v>
      </c>
      <c r="L1659" s="3">
        <f>IF(OR($L$1="",对接源_02物料!$C459="",对接源_02物料!$C459&lt;&gt;$L$1,对接源_02物料!$B459=""),0,IF(OR(N(对接源_02物料!$B459)&lt;$L$2,N(对接源_02物料!$B459)&gt;$L$3),0,1))</f>
        <v>0</v>
      </c>
      <c r="M1659" s="3">
        <f>IF(OR($M$1="",对接源_02物料!$C459="",对接源_02物料!$C459&lt;&gt;$M$1,对接源_02物料!$B459=""),0,IF(OR(N(对接源_02物料!$B459)&lt;$M$2,N(对接源_02物料!$B459)&gt;$M$3),0,1))</f>
        <v>0</v>
      </c>
      <c r="N1659" s="3">
        <f>IF(OR($N$1="",对接源_02物料!$C459="",对接源_02物料!$C459&lt;&gt;$N$1,对接源_02物料!$B459=""),0,IF(OR(N(对接源_02物料!$B459)&lt;$N$2,N(对接源_02物料!$B459)&gt;$N$3),0,1))</f>
        <v>0</v>
      </c>
      <c r="P1659" s="3">
        <f>IF(AND($K1659=1,AND(对接源_02物料!$X459="公司筐",N(对接源_02物料!$T459)&lt;&gt;0)),1,0)</f>
        <v>0</v>
      </c>
      <c r="Q1659" s="3">
        <f t="shared" si="437"/>
        <v>8</v>
      </c>
      <c r="R1659" s="3">
        <f>IF(AND($K1659=1,AND(对接源_02物料!$X459="公司筐",N(对接源_02物料!$U459)&lt;&gt;0)),1,0)</f>
        <v>0</v>
      </c>
      <c r="S1659" s="3">
        <f t="shared" si="438"/>
        <v>0</v>
      </c>
      <c r="T1659" s="3">
        <f>IF(AND($K1659=1,AND(对接源_02物料!$X459="公司筐",N(对接源_02物料!$V459)&lt;&gt;0)),1,0)</f>
        <v>0</v>
      </c>
      <c r="U1659" s="3">
        <f t="shared" si="439"/>
        <v>19</v>
      </c>
      <c r="V1659" s="3">
        <f>IF(AND($L1659=1,AND(对接源_02物料!$X459="自备筐",N(对接源_02物料!$V459)&lt;&gt;0)),1,0)</f>
        <v>0</v>
      </c>
      <c r="W1659" s="3">
        <f t="shared" si="440"/>
        <v>8</v>
      </c>
      <c r="X1659" s="3">
        <f>IF(AND($L1659=1,AND(对接源_02物料!$X459="自备筐",N(对接源_02物料!$T459)&lt;&gt;0)),1,0)</f>
        <v>0</v>
      </c>
      <c r="Y1659" s="3">
        <f t="shared" si="441"/>
        <v>0</v>
      </c>
      <c r="Z1659" s="3">
        <f>IF(AND($M1659=1,对接源_02物料!$D459="原料入库"),1,0)</f>
        <v>0</v>
      </c>
      <c r="AA1659" s="3">
        <f t="shared" si="442"/>
        <v>24</v>
      </c>
      <c r="AB1659" s="3">
        <f>IF(AND($M1659=1,LEFT(对接源_02物料!$D459,4)="原料出库"),1,0)</f>
        <v>0</v>
      </c>
      <c r="AC1659" s="3">
        <f t="shared" si="443"/>
        <v>0</v>
      </c>
      <c r="AD1659" s="3">
        <f>IF(AND($M1659=1,LEFT(对接源_02物料!$D459,4)="成品出库"),1,0)</f>
        <v>0</v>
      </c>
      <c r="AE1659" s="3">
        <f t="shared" si="444"/>
        <v>0</v>
      </c>
      <c r="AF1659" s="3">
        <f>IF(AND($N1659=1,AND(LEFT(对接源_02物料!$D459,4)="包装物料",N(对接源_02物料!$K459)&lt;&gt;0)),1,0)</f>
        <v>0</v>
      </c>
      <c r="AG1659" s="3">
        <f t="shared" si="445"/>
        <v>5</v>
      </c>
      <c r="AH1659" s="3">
        <f>IF(AND($N1659=1,AND(对接源_02物料!$D459="周转筐－销售出库",N(对接源_02物料!$K459)&lt;&gt;0)),1,0)</f>
        <v>0</v>
      </c>
      <c r="AI1659" s="3">
        <f t="shared" si="446"/>
        <v>0</v>
      </c>
      <c r="AL1659" s="3">
        <v>0</v>
      </c>
      <c r="AM1659" s="3">
        <f t="shared" si="447"/>
        <v>1</v>
      </c>
      <c r="AN1659" s="3" t="str">
        <f t="shared" si="451"/>
        <v/>
      </c>
      <c r="AO1659" s="3">
        <v>0</v>
      </c>
      <c r="AP1659" s="3">
        <f t="shared" si="448"/>
        <v>8</v>
      </c>
      <c r="AR1659">
        <f t="shared" si="449"/>
        <v>0</v>
      </c>
      <c r="AS1659">
        <f t="shared" si="450"/>
        <v>5</v>
      </c>
    </row>
    <row r="1660" customHeight="1" spans="1:45">
      <c r="A1660" s="3" t="str">
        <f>IF(对接源_02物料!$C460="","",对接源_02物料!$C460)</f>
        <v/>
      </c>
      <c r="B1660" s="3">
        <f t="shared" si="435"/>
        <v>0</v>
      </c>
      <c r="C1660" s="3">
        <f t="shared" si="436"/>
        <v>21</v>
      </c>
      <c r="K1660" s="3">
        <f>IF(OR($K$1="",对接源_02物料!$C460="",对接源_02物料!$C460&lt;&gt;$K$1,对接源_02物料!$B460=""),0,IF(OR(N(对接源_02物料!$B460)&lt;$K$2,N(对接源_02物料!$B460)&gt;$K$3),0,1))</f>
        <v>0</v>
      </c>
      <c r="L1660" s="3">
        <f>IF(OR($L$1="",对接源_02物料!$C460="",对接源_02物料!$C460&lt;&gt;$L$1,对接源_02物料!$B460=""),0,IF(OR(N(对接源_02物料!$B460)&lt;$L$2,N(对接源_02物料!$B460)&gt;$L$3),0,1))</f>
        <v>0</v>
      </c>
      <c r="M1660" s="3">
        <f>IF(OR($M$1="",对接源_02物料!$C460="",对接源_02物料!$C460&lt;&gt;$M$1,对接源_02物料!$B460=""),0,IF(OR(N(对接源_02物料!$B460)&lt;$M$2,N(对接源_02物料!$B460)&gt;$M$3),0,1))</f>
        <v>0</v>
      </c>
      <c r="N1660" s="3">
        <f>IF(OR($N$1="",对接源_02物料!$C460="",对接源_02物料!$C460&lt;&gt;$N$1,对接源_02物料!$B460=""),0,IF(OR(N(对接源_02物料!$B460)&lt;$N$2,N(对接源_02物料!$B460)&gt;$N$3),0,1))</f>
        <v>0</v>
      </c>
      <c r="P1660" s="3">
        <f>IF(AND($K1660=1,AND(对接源_02物料!$X460="公司筐",N(对接源_02物料!$T460)&lt;&gt;0)),1,0)</f>
        <v>0</v>
      </c>
      <c r="Q1660" s="3">
        <f t="shared" si="437"/>
        <v>8</v>
      </c>
      <c r="R1660" s="3">
        <f>IF(AND($K1660=1,AND(对接源_02物料!$X460="公司筐",N(对接源_02物料!$U460)&lt;&gt;0)),1,0)</f>
        <v>0</v>
      </c>
      <c r="S1660" s="3">
        <f t="shared" si="438"/>
        <v>0</v>
      </c>
      <c r="T1660" s="3">
        <f>IF(AND($K1660=1,AND(对接源_02物料!$X460="公司筐",N(对接源_02物料!$V460)&lt;&gt;0)),1,0)</f>
        <v>0</v>
      </c>
      <c r="U1660" s="3">
        <f t="shared" si="439"/>
        <v>19</v>
      </c>
      <c r="V1660" s="3">
        <f>IF(AND($L1660=1,AND(对接源_02物料!$X460="自备筐",N(对接源_02物料!$V460)&lt;&gt;0)),1,0)</f>
        <v>0</v>
      </c>
      <c r="W1660" s="3">
        <f t="shared" si="440"/>
        <v>8</v>
      </c>
      <c r="X1660" s="3">
        <f>IF(AND($L1660=1,AND(对接源_02物料!$X460="自备筐",N(对接源_02物料!$T460)&lt;&gt;0)),1,0)</f>
        <v>0</v>
      </c>
      <c r="Y1660" s="3">
        <f t="shared" si="441"/>
        <v>0</v>
      </c>
      <c r="Z1660" s="3">
        <f>IF(AND($M1660=1,对接源_02物料!$D460="原料入库"),1,0)</f>
        <v>0</v>
      </c>
      <c r="AA1660" s="3">
        <f t="shared" si="442"/>
        <v>24</v>
      </c>
      <c r="AB1660" s="3">
        <f>IF(AND($M1660=1,LEFT(对接源_02物料!$D460,4)="原料出库"),1,0)</f>
        <v>0</v>
      </c>
      <c r="AC1660" s="3">
        <f t="shared" si="443"/>
        <v>0</v>
      </c>
      <c r="AD1660" s="3">
        <f>IF(AND($M1660=1,LEFT(对接源_02物料!$D460,4)="成品出库"),1,0)</f>
        <v>0</v>
      </c>
      <c r="AE1660" s="3">
        <f t="shared" si="444"/>
        <v>0</v>
      </c>
      <c r="AF1660" s="3">
        <f>IF(AND($N1660=1,AND(LEFT(对接源_02物料!$D460,4)="包装物料",N(对接源_02物料!$K460)&lt;&gt;0)),1,0)</f>
        <v>0</v>
      </c>
      <c r="AG1660" s="3">
        <f t="shared" si="445"/>
        <v>5</v>
      </c>
      <c r="AH1660" s="3">
        <f>IF(AND($N1660=1,AND(对接源_02物料!$D460="周转筐－销售出库",N(对接源_02物料!$K460)&lt;&gt;0)),1,0)</f>
        <v>0</v>
      </c>
      <c r="AI1660" s="3">
        <f t="shared" si="446"/>
        <v>0</v>
      </c>
      <c r="AL1660" s="3">
        <v>0</v>
      </c>
      <c r="AM1660" s="3">
        <f t="shared" si="447"/>
        <v>1</v>
      </c>
      <c r="AN1660" s="3" t="str">
        <f t="shared" si="451"/>
        <v/>
      </c>
      <c r="AO1660" s="3">
        <v>0</v>
      </c>
      <c r="AP1660" s="3">
        <f t="shared" si="448"/>
        <v>8</v>
      </c>
      <c r="AR1660">
        <f t="shared" si="449"/>
        <v>0</v>
      </c>
      <c r="AS1660">
        <f t="shared" si="450"/>
        <v>5</v>
      </c>
    </row>
    <row r="1661" customHeight="1" spans="1:45">
      <c r="A1661" s="3" t="str">
        <f>IF(对接源_02物料!$C461="","",对接源_02物料!$C461)</f>
        <v/>
      </c>
      <c r="B1661" s="3">
        <f t="shared" si="435"/>
        <v>0</v>
      </c>
      <c r="C1661" s="3">
        <f t="shared" si="436"/>
        <v>21</v>
      </c>
      <c r="K1661" s="3">
        <f>IF(OR($K$1="",对接源_02物料!$C461="",对接源_02物料!$C461&lt;&gt;$K$1,对接源_02物料!$B461=""),0,IF(OR(N(对接源_02物料!$B461)&lt;$K$2,N(对接源_02物料!$B461)&gt;$K$3),0,1))</f>
        <v>0</v>
      </c>
      <c r="L1661" s="3">
        <f>IF(OR($L$1="",对接源_02物料!$C461="",对接源_02物料!$C461&lt;&gt;$L$1,对接源_02物料!$B461=""),0,IF(OR(N(对接源_02物料!$B461)&lt;$L$2,N(对接源_02物料!$B461)&gt;$L$3),0,1))</f>
        <v>0</v>
      </c>
      <c r="M1661" s="3">
        <f>IF(OR($M$1="",对接源_02物料!$C461="",对接源_02物料!$C461&lt;&gt;$M$1,对接源_02物料!$B461=""),0,IF(OR(N(对接源_02物料!$B461)&lt;$M$2,N(对接源_02物料!$B461)&gt;$M$3),0,1))</f>
        <v>0</v>
      </c>
      <c r="N1661" s="3">
        <f>IF(OR($N$1="",对接源_02物料!$C461="",对接源_02物料!$C461&lt;&gt;$N$1,对接源_02物料!$B461=""),0,IF(OR(N(对接源_02物料!$B461)&lt;$N$2,N(对接源_02物料!$B461)&gt;$N$3),0,1))</f>
        <v>0</v>
      </c>
      <c r="P1661" s="3">
        <f>IF(AND($K1661=1,AND(对接源_02物料!$X461="公司筐",N(对接源_02物料!$T461)&lt;&gt;0)),1,0)</f>
        <v>0</v>
      </c>
      <c r="Q1661" s="3">
        <f t="shared" si="437"/>
        <v>8</v>
      </c>
      <c r="R1661" s="3">
        <f>IF(AND($K1661=1,AND(对接源_02物料!$X461="公司筐",N(对接源_02物料!$U461)&lt;&gt;0)),1,0)</f>
        <v>0</v>
      </c>
      <c r="S1661" s="3">
        <f t="shared" si="438"/>
        <v>0</v>
      </c>
      <c r="T1661" s="3">
        <f>IF(AND($K1661=1,AND(对接源_02物料!$X461="公司筐",N(对接源_02物料!$V461)&lt;&gt;0)),1,0)</f>
        <v>0</v>
      </c>
      <c r="U1661" s="3">
        <f t="shared" si="439"/>
        <v>19</v>
      </c>
      <c r="V1661" s="3">
        <f>IF(AND($L1661=1,AND(对接源_02物料!$X461="自备筐",N(对接源_02物料!$V461)&lt;&gt;0)),1,0)</f>
        <v>0</v>
      </c>
      <c r="W1661" s="3">
        <f t="shared" si="440"/>
        <v>8</v>
      </c>
      <c r="X1661" s="3">
        <f>IF(AND($L1661=1,AND(对接源_02物料!$X461="自备筐",N(对接源_02物料!$T461)&lt;&gt;0)),1,0)</f>
        <v>0</v>
      </c>
      <c r="Y1661" s="3">
        <f t="shared" si="441"/>
        <v>0</v>
      </c>
      <c r="Z1661" s="3">
        <f>IF(AND($M1661=1,对接源_02物料!$D461="原料入库"),1,0)</f>
        <v>0</v>
      </c>
      <c r="AA1661" s="3">
        <f t="shared" si="442"/>
        <v>24</v>
      </c>
      <c r="AB1661" s="3">
        <f>IF(AND($M1661=1,LEFT(对接源_02物料!$D461,4)="原料出库"),1,0)</f>
        <v>0</v>
      </c>
      <c r="AC1661" s="3">
        <f t="shared" si="443"/>
        <v>0</v>
      </c>
      <c r="AD1661" s="3">
        <f>IF(AND($M1661=1,LEFT(对接源_02物料!$D461,4)="成品出库"),1,0)</f>
        <v>0</v>
      </c>
      <c r="AE1661" s="3">
        <f t="shared" si="444"/>
        <v>0</v>
      </c>
      <c r="AF1661" s="3">
        <f>IF(AND($N1661=1,AND(LEFT(对接源_02物料!$D461,4)="包装物料",N(对接源_02物料!$K461)&lt;&gt;0)),1,0)</f>
        <v>0</v>
      </c>
      <c r="AG1661" s="3">
        <f t="shared" si="445"/>
        <v>5</v>
      </c>
      <c r="AH1661" s="3">
        <f>IF(AND($N1661=1,AND(对接源_02物料!$D461="周转筐－销售出库",N(对接源_02物料!$K461)&lt;&gt;0)),1,0)</f>
        <v>0</v>
      </c>
      <c r="AI1661" s="3">
        <f t="shared" si="446"/>
        <v>0</v>
      </c>
      <c r="AL1661" s="3">
        <v>0</v>
      </c>
      <c r="AM1661" s="3">
        <f t="shared" si="447"/>
        <v>1</v>
      </c>
      <c r="AN1661" s="3" t="str">
        <f t="shared" si="451"/>
        <v/>
      </c>
      <c r="AO1661" s="3">
        <v>0</v>
      </c>
      <c r="AP1661" s="3">
        <f t="shared" si="448"/>
        <v>8</v>
      </c>
      <c r="AR1661">
        <f t="shared" si="449"/>
        <v>0</v>
      </c>
      <c r="AS1661">
        <f t="shared" si="450"/>
        <v>5</v>
      </c>
    </row>
    <row r="1662" customHeight="1" spans="1:45">
      <c r="A1662" s="3" t="str">
        <f>IF(对接源_02物料!$C462="","",对接源_02物料!$C462)</f>
        <v/>
      </c>
      <c r="B1662" s="3">
        <f t="shared" si="435"/>
        <v>0</v>
      </c>
      <c r="C1662" s="3">
        <f t="shared" si="436"/>
        <v>21</v>
      </c>
      <c r="K1662" s="3">
        <f>IF(OR($K$1="",对接源_02物料!$C462="",对接源_02物料!$C462&lt;&gt;$K$1,对接源_02物料!$B462=""),0,IF(OR(N(对接源_02物料!$B462)&lt;$K$2,N(对接源_02物料!$B462)&gt;$K$3),0,1))</f>
        <v>0</v>
      </c>
      <c r="L1662" s="3">
        <f>IF(OR($L$1="",对接源_02物料!$C462="",对接源_02物料!$C462&lt;&gt;$L$1,对接源_02物料!$B462=""),0,IF(OR(N(对接源_02物料!$B462)&lt;$L$2,N(对接源_02物料!$B462)&gt;$L$3),0,1))</f>
        <v>0</v>
      </c>
      <c r="M1662" s="3">
        <f>IF(OR($M$1="",对接源_02物料!$C462="",对接源_02物料!$C462&lt;&gt;$M$1,对接源_02物料!$B462=""),0,IF(OR(N(对接源_02物料!$B462)&lt;$M$2,N(对接源_02物料!$B462)&gt;$M$3),0,1))</f>
        <v>0</v>
      </c>
      <c r="N1662" s="3">
        <f>IF(OR($N$1="",对接源_02物料!$C462="",对接源_02物料!$C462&lt;&gt;$N$1,对接源_02物料!$B462=""),0,IF(OR(N(对接源_02物料!$B462)&lt;$N$2,N(对接源_02物料!$B462)&gt;$N$3),0,1))</f>
        <v>0</v>
      </c>
      <c r="P1662" s="3">
        <f>IF(AND($K1662=1,AND(对接源_02物料!$X462="公司筐",N(对接源_02物料!$T462)&lt;&gt;0)),1,0)</f>
        <v>0</v>
      </c>
      <c r="Q1662" s="3">
        <f t="shared" si="437"/>
        <v>8</v>
      </c>
      <c r="R1662" s="3">
        <f>IF(AND($K1662=1,AND(对接源_02物料!$X462="公司筐",N(对接源_02物料!$U462)&lt;&gt;0)),1,0)</f>
        <v>0</v>
      </c>
      <c r="S1662" s="3">
        <f t="shared" si="438"/>
        <v>0</v>
      </c>
      <c r="T1662" s="3">
        <f>IF(AND($K1662=1,AND(对接源_02物料!$X462="公司筐",N(对接源_02物料!$V462)&lt;&gt;0)),1,0)</f>
        <v>0</v>
      </c>
      <c r="U1662" s="3">
        <f t="shared" si="439"/>
        <v>19</v>
      </c>
      <c r="V1662" s="3">
        <f>IF(AND($L1662=1,AND(对接源_02物料!$X462="自备筐",N(对接源_02物料!$V462)&lt;&gt;0)),1,0)</f>
        <v>0</v>
      </c>
      <c r="W1662" s="3">
        <f t="shared" si="440"/>
        <v>8</v>
      </c>
      <c r="X1662" s="3">
        <f>IF(AND($L1662=1,AND(对接源_02物料!$X462="自备筐",N(对接源_02物料!$T462)&lt;&gt;0)),1,0)</f>
        <v>0</v>
      </c>
      <c r="Y1662" s="3">
        <f t="shared" si="441"/>
        <v>0</v>
      </c>
      <c r="Z1662" s="3">
        <f>IF(AND($M1662=1,对接源_02物料!$D462="原料入库"),1,0)</f>
        <v>0</v>
      </c>
      <c r="AA1662" s="3">
        <f t="shared" si="442"/>
        <v>24</v>
      </c>
      <c r="AB1662" s="3">
        <f>IF(AND($M1662=1,LEFT(对接源_02物料!$D462,4)="原料出库"),1,0)</f>
        <v>0</v>
      </c>
      <c r="AC1662" s="3">
        <f t="shared" si="443"/>
        <v>0</v>
      </c>
      <c r="AD1662" s="3">
        <f>IF(AND($M1662=1,LEFT(对接源_02物料!$D462,4)="成品出库"),1,0)</f>
        <v>0</v>
      </c>
      <c r="AE1662" s="3">
        <f t="shared" si="444"/>
        <v>0</v>
      </c>
      <c r="AF1662" s="3">
        <f>IF(AND($N1662=1,AND(LEFT(对接源_02物料!$D462,4)="包装物料",N(对接源_02物料!$K462)&lt;&gt;0)),1,0)</f>
        <v>0</v>
      </c>
      <c r="AG1662" s="3">
        <f t="shared" si="445"/>
        <v>5</v>
      </c>
      <c r="AH1662" s="3">
        <f>IF(AND($N1662=1,AND(对接源_02物料!$D462="周转筐－销售出库",N(对接源_02物料!$K462)&lt;&gt;0)),1,0)</f>
        <v>0</v>
      </c>
      <c r="AI1662" s="3">
        <f t="shared" si="446"/>
        <v>0</v>
      </c>
      <c r="AL1662" s="3">
        <v>0</v>
      </c>
      <c r="AM1662" s="3">
        <f t="shared" si="447"/>
        <v>1</v>
      </c>
      <c r="AN1662" s="3" t="str">
        <f t="shared" si="451"/>
        <v/>
      </c>
      <c r="AO1662" s="3">
        <v>0</v>
      </c>
      <c r="AP1662" s="3">
        <f t="shared" si="448"/>
        <v>8</v>
      </c>
      <c r="AR1662">
        <f t="shared" si="449"/>
        <v>0</v>
      </c>
      <c r="AS1662">
        <f t="shared" si="450"/>
        <v>5</v>
      </c>
    </row>
    <row r="1663" customHeight="1" spans="1:45">
      <c r="A1663" s="3" t="str">
        <f>IF(对接源_02物料!$C463="","",对接源_02物料!$C463)</f>
        <v/>
      </c>
      <c r="B1663" s="3">
        <f t="shared" si="435"/>
        <v>0</v>
      </c>
      <c r="C1663" s="3">
        <f t="shared" si="436"/>
        <v>21</v>
      </c>
      <c r="K1663" s="3">
        <f>IF(OR($K$1="",对接源_02物料!$C463="",对接源_02物料!$C463&lt;&gt;$K$1,对接源_02物料!$B463=""),0,IF(OR(N(对接源_02物料!$B463)&lt;$K$2,N(对接源_02物料!$B463)&gt;$K$3),0,1))</f>
        <v>0</v>
      </c>
      <c r="L1663" s="3">
        <f>IF(OR($L$1="",对接源_02物料!$C463="",对接源_02物料!$C463&lt;&gt;$L$1,对接源_02物料!$B463=""),0,IF(OR(N(对接源_02物料!$B463)&lt;$L$2,N(对接源_02物料!$B463)&gt;$L$3),0,1))</f>
        <v>0</v>
      </c>
      <c r="M1663" s="3">
        <f>IF(OR($M$1="",对接源_02物料!$C463="",对接源_02物料!$C463&lt;&gt;$M$1,对接源_02物料!$B463=""),0,IF(OR(N(对接源_02物料!$B463)&lt;$M$2,N(对接源_02物料!$B463)&gt;$M$3),0,1))</f>
        <v>0</v>
      </c>
      <c r="N1663" s="3">
        <f>IF(OR($N$1="",对接源_02物料!$C463="",对接源_02物料!$C463&lt;&gt;$N$1,对接源_02物料!$B463=""),0,IF(OR(N(对接源_02物料!$B463)&lt;$N$2,N(对接源_02物料!$B463)&gt;$N$3),0,1))</f>
        <v>0</v>
      </c>
      <c r="P1663" s="3">
        <f>IF(AND($K1663=1,AND(对接源_02物料!$X463="公司筐",N(对接源_02物料!$T463)&lt;&gt;0)),1,0)</f>
        <v>0</v>
      </c>
      <c r="Q1663" s="3">
        <f t="shared" si="437"/>
        <v>8</v>
      </c>
      <c r="R1663" s="3">
        <f>IF(AND($K1663=1,AND(对接源_02物料!$X463="公司筐",N(对接源_02物料!$U463)&lt;&gt;0)),1,0)</f>
        <v>0</v>
      </c>
      <c r="S1663" s="3">
        <f t="shared" si="438"/>
        <v>0</v>
      </c>
      <c r="T1663" s="3">
        <f>IF(AND($K1663=1,AND(对接源_02物料!$X463="公司筐",N(对接源_02物料!$V463)&lt;&gt;0)),1,0)</f>
        <v>0</v>
      </c>
      <c r="U1663" s="3">
        <f t="shared" si="439"/>
        <v>19</v>
      </c>
      <c r="V1663" s="3">
        <f>IF(AND($L1663=1,AND(对接源_02物料!$X463="自备筐",N(对接源_02物料!$V463)&lt;&gt;0)),1,0)</f>
        <v>0</v>
      </c>
      <c r="W1663" s="3">
        <f t="shared" si="440"/>
        <v>8</v>
      </c>
      <c r="X1663" s="3">
        <f>IF(AND($L1663=1,AND(对接源_02物料!$X463="自备筐",N(对接源_02物料!$T463)&lt;&gt;0)),1,0)</f>
        <v>0</v>
      </c>
      <c r="Y1663" s="3">
        <f t="shared" si="441"/>
        <v>0</v>
      </c>
      <c r="Z1663" s="3">
        <f>IF(AND($M1663=1,对接源_02物料!$D463="原料入库"),1,0)</f>
        <v>0</v>
      </c>
      <c r="AA1663" s="3">
        <f t="shared" si="442"/>
        <v>24</v>
      </c>
      <c r="AB1663" s="3">
        <f>IF(AND($M1663=1,LEFT(对接源_02物料!$D463,4)="原料出库"),1,0)</f>
        <v>0</v>
      </c>
      <c r="AC1663" s="3">
        <f t="shared" si="443"/>
        <v>0</v>
      </c>
      <c r="AD1663" s="3">
        <f>IF(AND($M1663=1,LEFT(对接源_02物料!$D463,4)="成品出库"),1,0)</f>
        <v>0</v>
      </c>
      <c r="AE1663" s="3">
        <f t="shared" si="444"/>
        <v>0</v>
      </c>
      <c r="AF1663" s="3">
        <f>IF(AND($N1663=1,AND(LEFT(对接源_02物料!$D463,4)="包装物料",N(对接源_02物料!$K463)&lt;&gt;0)),1,0)</f>
        <v>0</v>
      </c>
      <c r="AG1663" s="3">
        <f t="shared" si="445"/>
        <v>5</v>
      </c>
      <c r="AH1663" s="3">
        <f>IF(AND($N1663=1,AND(对接源_02物料!$D463="周转筐－销售出库",N(对接源_02物料!$K463)&lt;&gt;0)),1,0)</f>
        <v>0</v>
      </c>
      <c r="AI1663" s="3">
        <f t="shared" si="446"/>
        <v>0</v>
      </c>
      <c r="AL1663" s="3">
        <v>0</v>
      </c>
      <c r="AM1663" s="3">
        <f t="shared" si="447"/>
        <v>1</v>
      </c>
      <c r="AN1663" s="3" t="str">
        <f t="shared" si="451"/>
        <v/>
      </c>
      <c r="AO1663" s="3">
        <v>0</v>
      </c>
      <c r="AP1663" s="3">
        <f t="shared" si="448"/>
        <v>8</v>
      </c>
      <c r="AR1663">
        <f t="shared" si="449"/>
        <v>0</v>
      </c>
      <c r="AS1663">
        <f t="shared" si="450"/>
        <v>5</v>
      </c>
    </row>
    <row r="1664" customHeight="1" spans="1:45">
      <c r="A1664" s="3" t="str">
        <f>IF(对接源_02物料!$C464="","",对接源_02物料!$C464)</f>
        <v/>
      </c>
      <c r="B1664" s="3">
        <f t="shared" si="435"/>
        <v>0</v>
      </c>
      <c r="C1664" s="3">
        <f t="shared" si="436"/>
        <v>21</v>
      </c>
      <c r="K1664" s="3">
        <f>IF(OR($K$1="",对接源_02物料!$C464="",对接源_02物料!$C464&lt;&gt;$K$1,对接源_02物料!$B464=""),0,IF(OR(N(对接源_02物料!$B464)&lt;$K$2,N(对接源_02物料!$B464)&gt;$K$3),0,1))</f>
        <v>0</v>
      </c>
      <c r="L1664" s="3">
        <f>IF(OR($L$1="",对接源_02物料!$C464="",对接源_02物料!$C464&lt;&gt;$L$1,对接源_02物料!$B464=""),0,IF(OR(N(对接源_02物料!$B464)&lt;$L$2,N(对接源_02物料!$B464)&gt;$L$3),0,1))</f>
        <v>0</v>
      </c>
      <c r="M1664" s="3">
        <f>IF(OR($M$1="",对接源_02物料!$C464="",对接源_02物料!$C464&lt;&gt;$M$1,对接源_02物料!$B464=""),0,IF(OR(N(对接源_02物料!$B464)&lt;$M$2,N(对接源_02物料!$B464)&gt;$M$3),0,1))</f>
        <v>0</v>
      </c>
      <c r="N1664" s="3">
        <f>IF(OR($N$1="",对接源_02物料!$C464="",对接源_02物料!$C464&lt;&gt;$N$1,对接源_02物料!$B464=""),0,IF(OR(N(对接源_02物料!$B464)&lt;$N$2,N(对接源_02物料!$B464)&gt;$N$3),0,1))</f>
        <v>0</v>
      </c>
      <c r="P1664" s="3">
        <f>IF(AND($K1664=1,AND(对接源_02物料!$X464="公司筐",N(对接源_02物料!$T464)&lt;&gt;0)),1,0)</f>
        <v>0</v>
      </c>
      <c r="Q1664" s="3">
        <f t="shared" si="437"/>
        <v>8</v>
      </c>
      <c r="R1664" s="3">
        <f>IF(AND($K1664=1,AND(对接源_02物料!$X464="公司筐",N(对接源_02物料!$U464)&lt;&gt;0)),1,0)</f>
        <v>0</v>
      </c>
      <c r="S1664" s="3">
        <f t="shared" si="438"/>
        <v>0</v>
      </c>
      <c r="T1664" s="3">
        <f>IF(AND($K1664=1,AND(对接源_02物料!$X464="公司筐",N(对接源_02物料!$V464)&lt;&gt;0)),1,0)</f>
        <v>0</v>
      </c>
      <c r="U1664" s="3">
        <f t="shared" si="439"/>
        <v>19</v>
      </c>
      <c r="V1664" s="3">
        <f>IF(AND($L1664=1,AND(对接源_02物料!$X464="自备筐",N(对接源_02物料!$V464)&lt;&gt;0)),1,0)</f>
        <v>0</v>
      </c>
      <c r="W1664" s="3">
        <f t="shared" si="440"/>
        <v>8</v>
      </c>
      <c r="X1664" s="3">
        <f>IF(AND($L1664=1,AND(对接源_02物料!$X464="自备筐",N(对接源_02物料!$T464)&lt;&gt;0)),1,0)</f>
        <v>0</v>
      </c>
      <c r="Y1664" s="3">
        <f t="shared" si="441"/>
        <v>0</v>
      </c>
      <c r="Z1664" s="3">
        <f>IF(AND($M1664=1,对接源_02物料!$D464="原料入库"),1,0)</f>
        <v>0</v>
      </c>
      <c r="AA1664" s="3">
        <f t="shared" si="442"/>
        <v>24</v>
      </c>
      <c r="AB1664" s="3">
        <f>IF(AND($M1664=1,LEFT(对接源_02物料!$D464,4)="原料出库"),1,0)</f>
        <v>0</v>
      </c>
      <c r="AC1664" s="3">
        <f t="shared" si="443"/>
        <v>0</v>
      </c>
      <c r="AD1664" s="3">
        <f>IF(AND($M1664=1,LEFT(对接源_02物料!$D464,4)="成品出库"),1,0)</f>
        <v>0</v>
      </c>
      <c r="AE1664" s="3">
        <f t="shared" si="444"/>
        <v>0</v>
      </c>
      <c r="AF1664" s="3">
        <f>IF(AND($N1664=1,AND(LEFT(对接源_02物料!$D464,4)="包装物料",N(对接源_02物料!$K464)&lt;&gt;0)),1,0)</f>
        <v>0</v>
      </c>
      <c r="AG1664" s="3">
        <f t="shared" si="445"/>
        <v>5</v>
      </c>
      <c r="AH1664" s="3">
        <f>IF(AND($N1664=1,AND(对接源_02物料!$D464="周转筐－销售出库",N(对接源_02物料!$K464)&lt;&gt;0)),1,0)</f>
        <v>0</v>
      </c>
      <c r="AI1664" s="3">
        <f t="shared" si="446"/>
        <v>0</v>
      </c>
      <c r="AL1664" s="3">
        <v>0</v>
      </c>
      <c r="AM1664" s="3">
        <f t="shared" si="447"/>
        <v>1</v>
      </c>
      <c r="AN1664" s="3" t="str">
        <f t="shared" si="451"/>
        <v/>
      </c>
      <c r="AO1664" s="3">
        <v>0</v>
      </c>
      <c r="AP1664" s="3">
        <f t="shared" si="448"/>
        <v>8</v>
      </c>
      <c r="AR1664">
        <f t="shared" si="449"/>
        <v>0</v>
      </c>
      <c r="AS1664">
        <f t="shared" si="450"/>
        <v>5</v>
      </c>
    </row>
    <row r="1665" customHeight="1" spans="1:45">
      <c r="A1665" s="3" t="str">
        <f>IF(对接源_02物料!$C465="","",对接源_02物料!$C465)</f>
        <v/>
      </c>
      <c r="B1665" s="3">
        <f t="shared" si="435"/>
        <v>0</v>
      </c>
      <c r="C1665" s="3">
        <f t="shared" si="436"/>
        <v>21</v>
      </c>
      <c r="K1665" s="3">
        <f>IF(OR($K$1="",对接源_02物料!$C465="",对接源_02物料!$C465&lt;&gt;$K$1,对接源_02物料!$B465=""),0,IF(OR(N(对接源_02物料!$B465)&lt;$K$2,N(对接源_02物料!$B465)&gt;$K$3),0,1))</f>
        <v>0</v>
      </c>
      <c r="L1665" s="3">
        <f>IF(OR($L$1="",对接源_02物料!$C465="",对接源_02物料!$C465&lt;&gt;$L$1,对接源_02物料!$B465=""),0,IF(OR(N(对接源_02物料!$B465)&lt;$L$2,N(对接源_02物料!$B465)&gt;$L$3),0,1))</f>
        <v>0</v>
      </c>
      <c r="M1665" s="3">
        <f>IF(OR($M$1="",对接源_02物料!$C465="",对接源_02物料!$C465&lt;&gt;$M$1,对接源_02物料!$B465=""),0,IF(OR(N(对接源_02物料!$B465)&lt;$M$2,N(对接源_02物料!$B465)&gt;$M$3),0,1))</f>
        <v>0</v>
      </c>
      <c r="N1665" s="3">
        <f>IF(OR($N$1="",对接源_02物料!$C465="",对接源_02物料!$C465&lt;&gt;$N$1,对接源_02物料!$B465=""),0,IF(OR(N(对接源_02物料!$B465)&lt;$N$2,N(对接源_02物料!$B465)&gt;$N$3),0,1))</f>
        <v>0</v>
      </c>
      <c r="P1665" s="3">
        <f>IF(AND($K1665=1,AND(对接源_02物料!$X465="公司筐",N(对接源_02物料!$T465)&lt;&gt;0)),1,0)</f>
        <v>0</v>
      </c>
      <c r="Q1665" s="3">
        <f t="shared" si="437"/>
        <v>8</v>
      </c>
      <c r="R1665" s="3">
        <f>IF(AND($K1665=1,AND(对接源_02物料!$X465="公司筐",N(对接源_02物料!$U465)&lt;&gt;0)),1,0)</f>
        <v>0</v>
      </c>
      <c r="S1665" s="3">
        <f t="shared" si="438"/>
        <v>0</v>
      </c>
      <c r="T1665" s="3">
        <f>IF(AND($K1665=1,AND(对接源_02物料!$X465="公司筐",N(对接源_02物料!$V465)&lt;&gt;0)),1,0)</f>
        <v>0</v>
      </c>
      <c r="U1665" s="3">
        <f t="shared" si="439"/>
        <v>19</v>
      </c>
      <c r="V1665" s="3">
        <f>IF(AND($L1665=1,AND(对接源_02物料!$X465="自备筐",N(对接源_02物料!$V465)&lt;&gt;0)),1,0)</f>
        <v>0</v>
      </c>
      <c r="W1665" s="3">
        <f t="shared" si="440"/>
        <v>8</v>
      </c>
      <c r="X1665" s="3">
        <f>IF(AND($L1665=1,AND(对接源_02物料!$X465="自备筐",N(对接源_02物料!$T465)&lt;&gt;0)),1,0)</f>
        <v>0</v>
      </c>
      <c r="Y1665" s="3">
        <f t="shared" si="441"/>
        <v>0</v>
      </c>
      <c r="Z1665" s="3">
        <f>IF(AND($M1665=1,对接源_02物料!$D465="原料入库"),1,0)</f>
        <v>0</v>
      </c>
      <c r="AA1665" s="3">
        <f t="shared" si="442"/>
        <v>24</v>
      </c>
      <c r="AB1665" s="3">
        <f>IF(AND($M1665=1,LEFT(对接源_02物料!$D465,4)="原料出库"),1,0)</f>
        <v>0</v>
      </c>
      <c r="AC1665" s="3">
        <f t="shared" si="443"/>
        <v>0</v>
      </c>
      <c r="AD1665" s="3">
        <f>IF(AND($M1665=1,LEFT(对接源_02物料!$D465,4)="成品出库"),1,0)</f>
        <v>0</v>
      </c>
      <c r="AE1665" s="3">
        <f t="shared" si="444"/>
        <v>0</v>
      </c>
      <c r="AF1665" s="3">
        <f>IF(AND($N1665=1,AND(LEFT(对接源_02物料!$D465,4)="包装物料",N(对接源_02物料!$K465)&lt;&gt;0)),1,0)</f>
        <v>0</v>
      </c>
      <c r="AG1665" s="3">
        <f t="shared" si="445"/>
        <v>5</v>
      </c>
      <c r="AH1665" s="3">
        <f>IF(AND($N1665=1,AND(对接源_02物料!$D465="周转筐－销售出库",N(对接源_02物料!$K465)&lt;&gt;0)),1,0)</f>
        <v>0</v>
      </c>
      <c r="AI1665" s="3">
        <f t="shared" si="446"/>
        <v>0</v>
      </c>
      <c r="AL1665" s="3">
        <v>0</v>
      </c>
      <c r="AM1665" s="3">
        <f t="shared" si="447"/>
        <v>1</v>
      </c>
      <c r="AN1665" s="3" t="str">
        <f t="shared" si="451"/>
        <v/>
      </c>
      <c r="AO1665" s="3">
        <v>0</v>
      </c>
      <c r="AP1665" s="3">
        <f t="shared" si="448"/>
        <v>8</v>
      </c>
      <c r="AR1665">
        <f t="shared" si="449"/>
        <v>0</v>
      </c>
      <c r="AS1665">
        <f t="shared" si="450"/>
        <v>5</v>
      </c>
    </row>
    <row r="1666" customHeight="1" spans="1:45">
      <c r="A1666" s="3" t="str">
        <f>IF(对接源_02物料!$C466="","",对接源_02物料!$C466)</f>
        <v/>
      </c>
      <c r="B1666" s="3">
        <f t="shared" si="435"/>
        <v>0</v>
      </c>
      <c r="C1666" s="3">
        <f t="shared" si="436"/>
        <v>21</v>
      </c>
      <c r="K1666" s="3">
        <f>IF(OR($K$1="",对接源_02物料!$C466="",对接源_02物料!$C466&lt;&gt;$K$1,对接源_02物料!$B466=""),0,IF(OR(N(对接源_02物料!$B466)&lt;$K$2,N(对接源_02物料!$B466)&gt;$K$3),0,1))</f>
        <v>0</v>
      </c>
      <c r="L1666" s="3">
        <f>IF(OR($L$1="",对接源_02物料!$C466="",对接源_02物料!$C466&lt;&gt;$L$1,对接源_02物料!$B466=""),0,IF(OR(N(对接源_02物料!$B466)&lt;$L$2,N(对接源_02物料!$B466)&gt;$L$3),0,1))</f>
        <v>0</v>
      </c>
      <c r="M1666" s="3">
        <f>IF(OR($M$1="",对接源_02物料!$C466="",对接源_02物料!$C466&lt;&gt;$M$1,对接源_02物料!$B466=""),0,IF(OR(N(对接源_02物料!$B466)&lt;$M$2,N(对接源_02物料!$B466)&gt;$M$3),0,1))</f>
        <v>0</v>
      </c>
      <c r="N1666" s="3">
        <f>IF(OR($N$1="",对接源_02物料!$C466="",对接源_02物料!$C466&lt;&gt;$N$1,对接源_02物料!$B466=""),0,IF(OR(N(对接源_02物料!$B466)&lt;$N$2,N(对接源_02物料!$B466)&gt;$N$3),0,1))</f>
        <v>0</v>
      </c>
      <c r="P1666" s="3">
        <f>IF(AND($K1666=1,AND(对接源_02物料!$X466="公司筐",N(对接源_02物料!$T466)&lt;&gt;0)),1,0)</f>
        <v>0</v>
      </c>
      <c r="Q1666" s="3">
        <f t="shared" si="437"/>
        <v>8</v>
      </c>
      <c r="R1666" s="3">
        <f>IF(AND($K1666=1,AND(对接源_02物料!$X466="公司筐",N(对接源_02物料!$U466)&lt;&gt;0)),1,0)</f>
        <v>0</v>
      </c>
      <c r="S1666" s="3">
        <f t="shared" si="438"/>
        <v>0</v>
      </c>
      <c r="T1666" s="3">
        <f>IF(AND($K1666=1,AND(对接源_02物料!$X466="公司筐",N(对接源_02物料!$V466)&lt;&gt;0)),1,0)</f>
        <v>0</v>
      </c>
      <c r="U1666" s="3">
        <f t="shared" si="439"/>
        <v>19</v>
      </c>
      <c r="V1666" s="3">
        <f>IF(AND($L1666=1,AND(对接源_02物料!$X466="自备筐",N(对接源_02物料!$V466)&lt;&gt;0)),1,0)</f>
        <v>0</v>
      </c>
      <c r="W1666" s="3">
        <f t="shared" si="440"/>
        <v>8</v>
      </c>
      <c r="X1666" s="3">
        <f>IF(AND($L1666=1,AND(对接源_02物料!$X466="自备筐",N(对接源_02物料!$T466)&lt;&gt;0)),1,0)</f>
        <v>0</v>
      </c>
      <c r="Y1666" s="3">
        <f t="shared" si="441"/>
        <v>0</v>
      </c>
      <c r="Z1666" s="3">
        <f>IF(AND($M1666=1,对接源_02物料!$D466="原料入库"),1,0)</f>
        <v>0</v>
      </c>
      <c r="AA1666" s="3">
        <f t="shared" si="442"/>
        <v>24</v>
      </c>
      <c r="AB1666" s="3">
        <f>IF(AND($M1666=1,LEFT(对接源_02物料!$D466,4)="原料出库"),1,0)</f>
        <v>0</v>
      </c>
      <c r="AC1666" s="3">
        <f t="shared" si="443"/>
        <v>0</v>
      </c>
      <c r="AD1666" s="3">
        <f>IF(AND($M1666=1,LEFT(对接源_02物料!$D466,4)="成品出库"),1,0)</f>
        <v>0</v>
      </c>
      <c r="AE1666" s="3">
        <f t="shared" si="444"/>
        <v>0</v>
      </c>
      <c r="AF1666" s="3">
        <f>IF(AND($N1666=1,AND(LEFT(对接源_02物料!$D466,4)="包装物料",N(对接源_02物料!$K466)&lt;&gt;0)),1,0)</f>
        <v>0</v>
      </c>
      <c r="AG1666" s="3">
        <f t="shared" si="445"/>
        <v>5</v>
      </c>
      <c r="AH1666" s="3">
        <f>IF(AND($N1666=1,AND(对接源_02物料!$D466="周转筐－销售出库",N(对接源_02物料!$K466)&lt;&gt;0)),1,0)</f>
        <v>0</v>
      </c>
      <c r="AI1666" s="3">
        <f t="shared" si="446"/>
        <v>0</v>
      </c>
      <c r="AL1666" s="3">
        <v>0</v>
      </c>
      <c r="AM1666" s="3">
        <f t="shared" si="447"/>
        <v>1</v>
      </c>
      <c r="AN1666" s="3" t="str">
        <f t="shared" si="451"/>
        <v/>
      </c>
      <c r="AO1666" s="3">
        <v>0</v>
      </c>
      <c r="AP1666" s="3">
        <f t="shared" si="448"/>
        <v>8</v>
      </c>
      <c r="AR1666">
        <f t="shared" si="449"/>
        <v>0</v>
      </c>
      <c r="AS1666">
        <f t="shared" si="450"/>
        <v>5</v>
      </c>
    </row>
    <row r="1667" customHeight="1" spans="1:45">
      <c r="A1667" s="3" t="str">
        <f>IF(对接源_02物料!$C467="","",对接源_02物料!$C467)</f>
        <v/>
      </c>
      <c r="B1667" s="3">
        <f t="shared" si="435"/>
        <v>0</v>
      </c>
      <c r="C1667" s="3">
        <f t="shared" si="436"/>
        <v>21</v>
      </c>
      <c r="K1667" s="3">
        <f>IF(OR($K$1="",对接源_02物料!$C467="",对接源_02物料!$C467&lt;&gt;$K$1,对接源_02物料!$B467=""),0,IF(OR(N(对接源_02物料!$B467)&lt;$K$2,N(对接源_02物料!$B467)&gt;$K$3),0,1))</f>
        <v>0</v>
      </c>
      <c r="L1667" s="3">
        <f>IF(OR($L$1="",对接源_02物料!$C467="",对接源_02物料!$C467&lt;&gt;$L$1,对接源_02物料!$B467=""),0,IF(OR(N(对接源_02物料!$B467)&lt;$L$2,N(对接源_02物料!$B467)&gt;$L$3),0,1))</f>
        <v>0</v>
      </c>
      <c r="M1667" s="3">
        <f>IF(OR($M$1="",对接源_02物料!$C467="",对接源_02物料!$C467&lt;&gt;$M$1,对接源_02物料!$B467=""),0,IF(OR(N(对接源_02物料!$B467)&lt;$M$2,N(对接源_02物料!$B467)&gt;$M$3),0,1))</f>
        <v>0</v>
      </c>
      <c r="N1667" s="3">
        <f>IF(OR($N$1="",对接源_02物料!$C467="",对接源_02物料!$C467&lt;&gt;$N$1,对接源_02物料!$B467=""),0,IF(OR(N(对接源_02物料!$B467)&lt;$N$2,N(对接源_02物料!$B467)&gt;$N$3),0,1))</f>
        <v>0</v>
      </c>
      <c r="P1667" s="3">
        <f>IF(AND($K1667=1,AND(对接源_02物料!$X467="公司筐",N(对接源_02物料!$T467)&lt;&gt;0)),1,0)</f>
        <v>0</v>
      </c>
      <c r="Q1667" s="3">
        <f t="shared" si="437"/>
        <v>8</v>
      </c>
      <c r="R1667" s="3">
        <f>IF(AND($K1667=1,AND(对接源_02物料!$X467="公司筐",N(对接源_02物料!$U467)&lt;&gt;0)),1,0)</f>
        <v>0</v>
      </c>
      <c r="S1667" s="3">
        <f t="shared" si="438"/>
        <v>0</v>
      </c>
      <c r="T1667" s="3">
        <f>IF(AND($K1667=1,AND(对接源_02物料!$X467="公司筐",N(对接源_02物料!$V467)&lt;&gt;0)),1,0)</f>
        <v>0</v>
      </c>
      <c r="U1667" s="3">
        <f t="shared" si="439"/>
        <v>19</v>
      </c>
      <c r="V1667" s="3">
        <f>IF(AND($L1667=1,AND(对接源_02物料!$X467="自备筐",N(对接源_02物料!$V467)&lt;&gt;0)),1,0)</f>
        <v>0</v>
      </c>
      <c r="W1667" s="3">
        <f t="shared" si="440"/>
        <v>8</v>
      </c>
      <c r="X1667" s="3">
        <f>IF(AND($L1667=1,AND(对接源_02物料!$X467="自备筐",N(对接源_02物料!$T467)&lt;&gt;0)),1,0)</f>
        <v>0</v>
      </c>
      <c r="Y1667" s="3">
        <f t="shared" si="441"/>
        <v>0</v>
      </c>
      <c r="Z1667" s="3">
        <f>IF(AND($M1667=1,对接源_02物料!$D467="原料入库"),1,0)</f>
        <v>0</v>
      </c>
      <c r="AA1667" s="3">
        <f t="shared" si="442"/>
        <v>24</v>
      </c>
      <c r="AB1667" s="3">
        <f>IF(AND($M1667=1,LEFT(对接源_02物料!$D467,4)="原料出库"),1,0)</f>
        <v>0</v>
      </c>
      <c r="AC1667" s="3">
        <f t="shared" si="443"/>
        <v>0</v>
      </c>
      <c r="AD1667" s="3">
        <f>IF(AND($M1667=1,LEFT(对接源_02物料!$D467,4)="成品出库"),1,0)</f>
        <v>0</v>
      </c>
      <c r="AE1667" s="3">
        <f t="shared" si="444"/>
        <v>0</v>
      </c>
      <c r="AF1667" s="3">
        <f>IF(AND($N1667=1,AND(LEFT(对接源_02物料!$D467,4)="包装物料",N(对接源_02物料!$K467)&lt;&gt;0)),1,0)</f>
        <v>0</v>
      </c>
      <c r="AG1667" s="3">
        <f t="shared" si="445"/>
        <v>5</v>
      </c>
      <c r="AH1667" s="3">
        <f>IF(AND($N1667=1,AND(对接源_02物料!$D467="周转筐－销售出库",N(对接源_02物料!$K467)&lt;&gt;0)),1,0)</f>
        <v>0</v>
      </c>
      <c r="AI1667" s="3">
        <f t="shared" si="446"/>
        <v>0</v>
      </c>
      <c r="AL1667" s="3">
        <v>0</v>
      </c>
      <c r="AM1667" s="3">
        <f t="shared" si="447"/>
        <v>1</v>
      </c>
      <c r="AN1667" s="3" t="str">
        <f t="shared" si="451"/>
        <v/>
      </c>
      <c r="AO1667" s="3">
        <v>0</v>
      </c>
      <c r="AP1667" s="3">
        <f t="shared" si="448"/>
        <v>8</v>
      </c>
      <c r="AR1667">
        <f t="shared" si="449"/>
        <v>0</v>
      </c>
      <c r="AS1667">
        <f t="shared" si="450"/>
        <v>5</v>
      </c>
    </row>
    <row r="1668" customHeight="1" spans="1:45">
      <c r="A1668" s="3" t="str">
        <f>IF(对接源_02物料!$C468="","",对接源_02物料!$C468)</f>
        <v/>
      </c>
      <c r="B1668" s="3">
        <f t="shared" ref="B1668:B1731" si="452">IF(A1668="",0,IF(MATCH(A1668,$A$4:$A$2403,0)=ROW()-3,1,0))</f>
        <v>0</v>
      </c>
      <c r="C1668" s="3">
        <f t="shared" ref="C1668:C1731" si="453">N(C1667)+B1668</f>
        <v>21</v>
      </c>
      <c r="K1668" s="3">
        <f>IF(OR($K$1="",对接源_02物料!$C468="",对接源_02物料!$C468&lt;&gt;$K$1,对接源_02物料!$B468=""),0,IF(OR(N(对接源_02物料!$B468)&lt;$K$2,N(对接源_02物料!$B468)&gt;$K$3),0,1))</f>
        <v>0</v>
      </c>
      <c r="L1668" s="3">
        <f>IF(OR($L$1="",对接源_02物料!$C468="",对接源_02物料!$C468&lt;&gt;$L$1,对接源_02物料!$B468=""),0,IF(OR(N(对接源_02物料!$B468)&lt;$L$2,N(对接源_02物料!$B468)&gt;$L$3),0,1))</f>
        <v>0</v>
      </c>
      <c r="M1668" s="3">
        <f>IF(OR($M$1="",对接源_02物料!$C468="",对接源_02物料!$C468&lt;&gt;$M$1,对接源_02物料!$B468=""),0,IF(OR(N(对接源_02物料!$B468)&lt;$M$2,N(对接源_02物料!$B468)&gt;$M$3),0,1))</f>
        <v>0</v>
      </c>
      <c r="N1668" s="3">
        <f>IF(OR($N$1="",对接源_02物料!$C468="",对接源_02物料!$C468&lt;&gt;$N$1,对接源_02物料!$B468=""),0,IF(OR(N(对接源_02物料!$B468)&lt;$N$2,N(对接源_02物料!$B468)&gt;$N$3),0,1))</f>
        <v>0</v>
      </c>
      <c r="P1668" s="3">
        <f>IF(AND($K1668=1,AND(对接源_02物料!$X468="公司筐",N(对接源_02物料!$T468)&lt;&gt;0)),1,0)</f>
        <v>0</v>
      </c>
      <c r="Q1668" s="3">
        <f t="shared" ref="Q1668:Q1731" si="454">N(Q1667)+$P1668</f>
        <v>8</v>
      </c>
      <c r="R1668" s="3">
        <f>IF(AND($K1668=1,AND(对接源_02物料!$X468="公司筐",N(对接源_02物料!$U468)&lt;&gt;0)),1,0)</f>
        <v>0</v>
      </c>
      <c r="S1668" s="3">
        <f t="shared" ref="S1668:S1731" si="455">N(S1667)+$R1668</f>
        <v>0</v>
      </c>
      <c r="T1668" s="3">
        <f>IF(AND($K1668=1,AND(对接源_02物料!$X468="公司筐",N(对接源_02物料!$V468)&lt;&gt;0)),1,0)</f>
        <v>0</v>
      </c>
      <c r="U1668" s="3">
        <f t="shared" ref="U1668:U1731" si="456">N(U1667)+$T1668</f>
        <v>19</v>
      </c>
      <c r="V1668" s="3">
        <f>IF(AND($L1668=1,AND(对接源_02物料!$X468="自备筐",N(对接源_02物料!$V468)&lt;&gt;0)),1,0)</f>
        <v>0</v>
      </c>
      <c r="W1668" s="3">
        <f t="shared" ref="W1668:W1731" si="457">N(W1667)+$V1668</f>
        <v>8</v>
      </c>
      <c r="X1668" s="3">
        <f>IF(AND($L1668=1,AND(对接源_02物料!$X468="自备筐",N(对接源_02物料!$T468)&lt;&gt;0)),1,0)</f>
        <v>0</v>
      </c>
      <c r="Y1668" s="3">
        <f t="shared" ref="Y1668:Y1731" si="458">N(Y1667)+$X1668</f>
        <v>0</v>
      </c>
      <c r="Z1668" s="3">
        <f>IF(AND($M1668=1,对接源_02物料!$D468="原料入库"),1,0)</f>
        <v>0</v>
      </c>
      <c r="AA1668" s="3">
        <f t="shared" ref="AA1668:AA1731" si="459">N(AA1667)+$Z1668</f>
        <v>24</v>
      </c>
      <c r="AB1668" s="3">
        <f>IF(AND($M1668=1,LEFT(对接源_02物料!$D468,4)="原料出库"),1,0)</f>
        <v>0</v>
      </c>
      <c r="AC1668" s="3">
        <f t="shared" ref="AC1668:AC1731" si="460">N(AC1667)+$AB1668</f>
        <v>0</v>
      </c>
      <c r="AD1668" s="3">
        <f>IF(AND($M1668=1,LEFT(对接源_02物料!$D468,4)="成品出库"),1,0)</f>
        <v>0</v>
      </c>
      <c r="AE1668" s="3">
        <f t="shared" ref="AE1668:AE1731" si="461">N(AE1667)+$AD1668</f>
        <v>0</v>
      </c>
      <c r="AF1668" s="3">
        <f>IF(AND($N1668=1,AND(LEFT(对接源_02物料!$D468,4)="包装物料",N(对接源_02物料!$K468)&lt;&gt;0)),1,0)</f>
        <v>0</v>
      </c>
      <c r="AG1668" s="3">
        <f t="shared" ref="AG1668:AG1731" si="462">N(AG1667)+$AF1668</f>
        <v>5</v>
      </c>
      <c r="AH1668" s="3">
        <f>IF(AND($N1668=1,AND(对接源_02物料!$D468="周转筐－销售出库",N(对接源_02物料!$K468)&lt;&gt;0)),1,0)</f>
        <v>0</v>
      </c>
      <c r="AI1668" s="3">
        <f t="shared" ref="AI1668:AI1731" si="463">N(AI1667)+$AH1668</f>
        <v>0</v>
      </c>
      <c r="AL1668" s="3">
        <v>0</v>
      </c>
      <c r="AM1668" s="3">
        <f t="shared" ref="AM1668:AM1731" si="464">N(AM1667)+$AL1668</f>
        <v>1</v>
      </c>
      <c r="AN1668" s="3" t="str">
        <f t="shared" si="451"/>
        <v/>
      </c>
      <c r="AO1668" s="3">
        <v>0</v>
      </c>
      <c r="AP1668" s="3">
        <f t="shared" ref="AP1668:AP1731" si="465">N(AP1667)+$AO1668</f>
        <v>8</v>
      </c>
      <c r="AR1668">
        <f t="shared" ref="AR1668:AR1731" si="466">IF(OR($AF1668=1,$AH1668=1),1,0)</f>
        <v>0</v>
      </c>
      <c r="AS1668">
        <f t="shared" ref="AS1668:AS1731" si="467">N(AS1667)+$AR1668</f>
        <v>5</v>
      </c>
    </row>
    <row r="1669" customHeight="1" spans="1:45">
      <c r="A1669" s="3" t="str">
        <f>IF(对接源_02物料!$C469="","",对接源_02物料!$C469)</f>
        <v/>
      </c>
      <c r="B1669" s="3">
        <f t="shared" si="452"/>
        <v>0</v>
      </c>
      <c r="C1669" s="3">
        <f t="shared" si="453"/>
        <v>21</v>
      </c>
      <c r="K1669" s="3">
        <f>IF(OR($K$1="",对接源_02物料!$C469="",对接源_02物料!$C469&lt;&gt;$K$1,对接源_02物料!$B469=""),0,IF(OR(N(对接源_02物料!$B469)&lt;$K$2,N(对接源_02物料!$B469)&gt;$K$3),0,1))</f>
        <v>0</v>
      </c>
      <c r="L1669" s="3">
        <f>IF(OR($L$1="",对接源_02物料!$C469="",对接源_02物料!$C469&lt;&gt;$L$1,对接源_02物料!$B469=""),0,IF(OR(N(对接源_02物料!$B469)&lt;$L$2,N(对接源_02物料!$B469)&gt;$L$3),0,1))</f>
        <v>0</v>
      </c>
      <c r="M1669" s="3">
        <f>IF(OR($M$1="",对接源_02物料!$C469="",对接源_02物料!$C469&lt;&gt;$M$1,对接源_02物料!$B469=""),0,IF(OR(N(对接源_02物料!$B469)&lt;$M$2,N(对接源_02物料!$B469)&gt;$M$3),0,1))</f>
        <v>0</v>
      </c>
      <c r="N1669" s="3">
        <f>IF(OR($N$1="",对接源_02物料!$C469="",对接源_02物料!$C469&lt;&gt;$N$1,对接源_02物料!$B469=""),0,IF(OR(N(对接源_02物料!$B469)&lt;$N$2,N(对接源_02物料!$B469)&gt;$N$3),0,1))</f>
        <v>0</v>
      </c>
      <c r="P1669" s="3">
        <f>IF(AND($K1669=1,AND(对接源_02物料!$X469="公司筐",N(对接源_02物料!$T469)&lt;&gt;0)),1,0)</f>
        <v>0</v>
      </c>
      <c r="Q1669" s="3">
        <f t="shared" si="454"/>
        <v>8</v>
      </c>
      <c r="R1669" s="3">
        <f>IF(AND($K1669=1,AND(对接源_02物料!$X469="公司筐",N(对接源_02物料!$U469)&lt;&gt;0)),1,0)</f>
        <v>0</v>
      </c>
      <c r="S1669" s="3">
        <f t="shared" si="455"/>
        <v>0</v>
      </c>
      <c r="T1669" s="3">
        <f>IF(AND($K1669=1,AND(对接源_02物料!$X469="公司筐",N(对接源_02物料!$V469)&lt;&gt;0)),1,0)</f>
        <v>0</v>
      </c>
      <c r="U1669" s="3">
        <f t="shared" si="456"/>
        <v>19</v>
      </c>
      <c r="V1669" s="3">
        <f>IF(AND($L1669=1,AND(对接源_02物料!$X469="自备筐",N(对接源_02物料!$V469)&lt;&gt;0)),1,0)</f>
        <v>0</v>
      </c>
      <c r="W1669" s="3">
        <f t="shared" si="457"/>
        <v>8</v>
      </c>
      <c r="X1669" s="3">
        <f>IF(AND($L1669=1,AND(对接源_02物料!$X469="自备筐",N(对接源_02物料!$T469)&lt;&gt;0)),1,0)</f>
        <v>0</v>
      </c>
      <c r="Y1669" s="3">
        <f t="shared" si="458"/>
        <v>0</v>
      </c>
      <c r="Z1669" s="3">
        <f>IF(AND($M1669=1,对接源_02物料!$D469="原料入库"),1,0)</f>
        <v>0</v>
      </c>
      <c r="AA1669" s="3">
        <f t="shared" si="459"/>
        <v>24</v>
      </c>
      <c r="AB1669" s="3">
        <f>IF(AND($M1669=1,LEFT(对接源_02物料!$D469,4)="原料出库"),1,0)</f>
        <v>0</v>
      </c>
      <c r="AC1669" s="3">
        <f t="shared" si="460"/>
        <v>0</v>
      </c>
      <c r="AD1669" s="3">
        <f>IF(AND($M1669=1,LEFT(对接源_02物料!$D469,4)="成品出库"),1,0)</f>
        <v>0</v>
      </c>
      <c r="AE1669" s="3">
        <f t="shared" si="461"/>
        <v>0</v>
      </c>
      <c r="AF1669" s="3">
        <f>IF(AND($N1669=1,AND(LEFT(对接源_02物料!$D469,4)="包装物料",N(对接源_02物料!$K469)&lt;&gt;0)),1,0)</f>
        <v>0</v>
      </c>
      <c r="AG1669" s="3">
        <f t="shared" si="462"/>
        <v>5</v>
      </c>
      <c r="AH1669" s="3">
        <f>IF(AND($N1669=1,AND(对接源_02物料!$D469="周转筐－销售出库",N(对接源_02物料!$K469)&lt;&gt;0)),1,0)</f>
        <v>0</v>
      </c>
      <c r="AI1669" s="3">
        <f t="shared" si="463"/>
        <v>0</v>
      </c>
      <c r="AL1669" s="3">
        <v>0</v>
      </c>
      <c r="AM1669" s="3">
        <f t="shared" si="464"/>
        <v>1</v>
      </c>
      <c r="AN1669" s="3" t="str">
        <f t="shared" si="451"/>
        <v/>
      </c>
      <c r="AO1669" s="3">
        <v>0</v>
      </c>
      <c r="AP1669" s="3">
        <f t="shared" si="465"/>
        <v>8</v>
      </c>
      <c r="AR1669">
        <f t="shared" si="466"/>
        <v>0</v>
      </c>
      <c r="AS1669">
        <f t="shared" si="467"/>
        <v>5</v>
      </c>
    </row>
    <row r="1670" customHeight="1" spans="1:45">
      <c r="A1670" s="3" t="str">
        <f>IF(对接源_02物料!$C470="","",对接源_02物料!$C470)</f>
        <v/>
      </c>
      <c r="B1670" s="3">
        <f t="shared" si="452"/>
        <v>0</v>
      </c>
      <c r="C1670" s="3">
        <f t="shared" si="453"/>
        <v>21</v>
      </c>
      <c r="K1670" s="3">
        <f>IF(OR($K$1="",对接源_02物料!$C470="",对接源_02物料!$C470&lt;&gt;$K$1,对接源_02物料!$B470=""),0,IF(OR(N(对接源_02物料!$B470)&lt;$K$2,N(对接源_02物料!$B470)&gt;$K$3),0,1))</f>
        <v>0</v>
      </c>
      <c r="L1670" s="3">
        <f>IF(OR($L$1="",对接源_02物料!$C470="",对接源_02物料!$C470&lt;&gt;$L$1,对接源_02物料!$B470=""),0,IF(OR(N(对接源_02物料!$B470)&lt;$L$2,N(对接源_02物料!$B470)&gt;$L$3),0,1))</f>
        <v>0</v>
      </c>
      <c r="M1670" s="3">
        <f>IF(OR($M$1="",对接源_02物料!$C470="",对接源_02物料!$C470&lt;&gt;$M$1,对接源_02物料!$B470=""),0,IF(OR(N(对接源_02物料!$B470)&lt;$M$2,N(对接源_02物料!$B470)&gt;$M$3),0,1))</f>
        <v>0</v>
      </c>
      <c r="N1670" s="3">
        <f>IF(OR($N$1="",对接源_02物料!$C470="",对接源_02物料!$C470&lt;&gt;$N$1,对接源_02物料!$B470=""),0,IF(OR(N(对接源_02物料!$B470)&lt;$N$2,N(对接源_02物料!$B470)&gt;$N$3),0,1))</f>
        <v>0</v>
      </c>
      <c r="P1670" s="3">
        <f>IF(AND($K1670=1,AND(对接源_02物料!$X470="公司筐",N(对接源_02物料!$T470)&lt;&gt;0)),1,0)</f>
        <v>0</v>
      </c>
      <c r="Q1670" s="3">
        <f t="shared" si="454"/>
        <v>8</v>
      </c>
      <c r="R1670" s="3">
        <f>IF(AND($K1670=1,AND(对接源_02物料!$X470="公司筐",N(对接源_02物料!$U470)&lt;&gt;0)),1,0)</f>
        <v>0</v>
      </c>
      <c r="S1670" s="3">
        <f t="shared" si="455"/>
        <v>0</v>
      </c>
      <c r="T1670" s="3">
        <f>IF(AND($K1670=1,AND(对接源_02物料!$X470="公司筐",N(对接源_02物料!$V470)&lt;&gt;0)),1,0)</f>
        <v>0</v>
      </c>
      <c r="U1670" s="3">
        <f t="shared" si="456"/>
        <v>19</v>
      </c>
      <c r="V1670" s="3">
        <f>IF(AND($L1670=1,AND(对接源_02物料!$X470="自备筐",N(对接源_02物料!$V470)&lt;&gt;0)),1,0)</f>
        <v>0</v>
      </c>
      <c r="W1670" s="3">
        <f t="shared" si="457"/>
        <v>8</v>
      </c>
      <c r="X1670" s="3">
        <f>IF(AND($L1670=1,AND(对接源_02物料!$X470="自备筐",N(对接源_02物料!$T470)&lt;&gt;0)),1,0)</f>
        <v>0</v>
      </c>
      <c r="Y1670" s="3">
        <f t="shared" si="458"/>
        <v>0</v>
      </c>
      <c r="Z1670" s="3">
        <f>IF(AND($M1670=1,对接源_02物料!$D470="原料入库"),1,0)</f>
        <v>0</v>
      </c>
      <c r="AA1670" s="3">
        <f t="shared" si="459"/>
        <v>24</v>
      </c>
      <c r="AB1670" s="3">
        <f>IF(AND($M1670=1,LEFT(对接源_02物料!$D470,4)="原料出库"),1,0)</f>
        <v>0</v>
      </c>
      <c r="AC1670" s="3">
        <f t="shared" si="460"/>
        <v>0</v>
      </c>
      <c r="AD1670" s="3">
        <f>IF(AND($M1670=1,LEFT(对接源_02物料!$D470,4)="成品出库"),1,0)</f>
        <v>0</v>
      </c>
      <c r="AE1670" s="3">
        <f t="shared" si="461"/>
        <v>0</v>
      </c>
      <c r="AF1670" s="3">
        <f>IF(AND($N1670=1,AND(LEFT(对接源_02物料!$D470,4)="包装物料",N(对接源_02物料!$K470)&lt;&gt;0)),1,0)</f>
        <v>0</v>
      </c>
      <c r="AG1670" s="3">
        <f t="shared" si="462"/>
        <v>5</v>
      </c>
      <c r="AH1670" s="3">
        <f>IF(AND($N1670=1,AND(对接源_02物料!$D470="周转筐－销售出库",N(对接源_02物料!$K470)&lt;&gt;0)),1,0)</f>
        <v>0</v>
      </c>
      <c r="AI1670" s="3">
        <f t="shared" si="463"/>
        <v>0</v>
      </c>
      <c r="AL1670" s="3">
        <v>0</v>
      </c>
      <c r="AM1670" s="3">
        <f t="shared" si="464"/>
        <v>1</v>
      </c>
      <c r="AN1670" s="3" t="str">
        <f t="shared" si="451"/>
        <v/>
      </c>
      <c r="AO1670" s="3">
        <v>0</v>
      </c>
      <c r="AP1670" s="3">
        <f t="shared" si="465"/>
        <v>8</v>
      </c>
      <c r="AR1670">
        <f t="shared" si="466"/>
        <v>0</v>
      </c>
      <c r="AS1670">
        <f t="shared" si="467"/>
        <v>5</v>
      </c>
    </row>
    <row r="1671" customHeight="1" spans="1:45">
      <c r="A1671" s="3" t="str">
        <f>IF(对接源_02物料!$C471="","",对接源_02物料!$C471)</f>
        <v/>
      </c>
      <c r="B1671" s="3">
        <f t="shared" si="452"/>
        <v>0</v>
      </c>
      <c r="C1671" s="3">
        <f t="shared" si="453"/>
        <v>21</v>
      </c>
      <c r="K1671" s="3">
        <f>IF(OR($K$1="",对接源_02物料!$C471="",对接源_02物料!$C471&lt;&gt;$K$1,对接源_02物料!$B471=""),0,IF(OR(N(对接源_02物料!$B471)&lt;$K$2,N(对接源_02物料!$B471)&gt;$K$3),0,1))</f>
        <v>0</v>
      </c>
      <c r="L1671" s="3">
        <f>IF(OR($L$1="",对接源_02物料!$C471="",对接源_02物料!$C471&lt;&gt;$L$1,对接源_02物料!$B471=""),0,IF(OR(N(对接源_02物料!$B471)&lt;$L$2,N(对接源_02物料!$B471)&gt;$L$3),0,1))</f>
        <v>0</v>
      </c>
      <c r="M1671" s="3">
        <f>IF(OR($M$1="",对接源_02物料!$C471="",对接源_02物料!$C471&lt;&gt;$M$1,对接源_02物料!$B471=""),0,IF(OR(N(对接源_02物料!$B471)&lt;$M$2,N(对接源_02物料!$B471)&gt;$M$3),0,1))</f>
        <v>0</v>
      </c>
      <c r="N1671" s="3">
        <f>IF(OR($N$1="",对接源_02物料!$C471="",对接源_02物料!$C471&lt;&gt;$N$1,对接源_02物料!$B471=""),0,IF(OR(N(对接源_02物料!$B471)&lt;$N$2,N(对接源_02物料!$B471)&gt;$N$3),0,1))</f>
        <v>0</v>
      </c>
      <c r="P1671" s="3">
        <f>IF(AND($K1671=1,AND(对接源_02物料!$X471="公司筐",N(对接源_02物料!$T471)&lt;&gt;0)),1,0)</f>
        <v>0</v>
      </c>
      <c r="Q1671" s="3">
        <f t="shared" si="454"/>
        <v>8</v>
      </c>
      <c r="R1671" s="3">
        <f>IF(AND($K1671=1,AND(对接源_02物料!$X471="公司筐",N(对接源_02物料!$U471)&lt;&gt;0)),1,0)</f>
        <v>0</v>
      </c>
      <c r="S1671" s="3">
        <f t="shared" si="455"/>
        <v>0</v>
      </c>
      <c r="T1671" s="3">
        <f>IF(AND($K1671=1,AND(对接源_02物料!$X471="公司筐",N(对接源_02物料!$V471)&lt;&gt;0)),1,0)</f>
        <v>0</v>
      </c>
      <c r="U1671" s="3">
        <f t="shared" si="456"/>
        <v>19</v>
      </c>
      <c r="V1671" s="3">
        <f>IF(AND($L1671=1,AND(对接源_02物料!$X471="自备筐",N(对接源_02物料!$V471)&lt;&gt;0)),1,0)</f>
        <v>0</v>
      </c>
      <c r="W1671" s="3">
        <f t="shared" si="457"/>
        <v>8</v>
      </c>
      <c r="X1671" s="3">
        <f>IF(AND($L1671=1,AND(对接源_02物料!$X471="自备筐",N(对接源_02物料!$T471)&lt;&gt;0)),1,0)</f>
        <v>0</v>
      </c>
      <c r="Y1671" s="3">
        <f t="shared" si="458"/>
        <v>0</v>
      </c>
      <c r="Z1671" s="3">
        <f>IF(AND($M1671=1,对接源_02物料!$D471="原料入库"),1,0)</f>
        <v>0</v>
      </c>
      <c r="AA1671" s="3">
        <f t="shared" si="459"/>
        <v>24</v>
      </c>
      <c r="AB1671" s="3">
        <f>IF(AND($M1671=1,LEFT(对接源_02物料!$D471,4)="原料出库"),1,0)</f>
        <v>0</v>
      </c>
      <c r="AC1671" s="3">
        <f t="shared" si="460"/>
        <v>0</v>
      </c>
      <c r="AD1671" s="3">
        <f>IF(AND($M1671=1,LEFT(对接源_02物料!$D471,4)="成品出库"),1,0)</f>
        <v>0</v>
      </c>
      <c r="AE1671" s="3">
        <f t="shared" si="461"/>
        <v>0</v>
      </c>
      <c r="AF1671" s="3">
        <f>IF(AND($N1671=1,AND(LEFT(对接源_02物料!$D471,4)="包装物料",N(对接源_02物料!$K471)&lt;&gt;0)),1,0)</f>
        <v>0</v>
      </c>
      <c r="AG1671" s="3">
        <f t="shared" si="462"/>
        <v>5</v>
      </c>
      <c r="AH1671" s="3">
        <f>IF(AND($N1671=1,AND(对接源_02物料!$D471="周转筐－销售出库",N(对接源_02物料!$K471)&lt;&gt;0)),1,0)</f>
        <v>0</v>
      </c>
      <c r="AI1671" s="3">
        <f t="shared" si="463"/>
        <v>0</v>
      </c>
      <c r="AL1671" s="3">
        <v>0</v>
      </c>
      <c r="AM1671" s="3">
        <f t="shared" si="464"/>
        <v>1</v>
      </c>
      <c r="AN1671" s="3" t="str">
        <f t="shared" si="451"/>
        <v/>
      </c>
      <c r="AO1671" s="3">
        <v>0</v>
      </c>
      <c r="AP1671" s="3">
        <f t="shared" si="465"/>
        <v>8</v>
      </c>
      <c r="AR1671">
        <f t="shared" si="466"/>
        <v>0</v>
      </c>
      <c r="AS1671">
        <f t="shared" si="467"/>
        <v>5</v>
      </c>
    </row>
    <row r="1672" customHeight="1" spans="1:45">
      <c r="A1672" s="3" t="str">
        <f>IF(对接源_02物料!$C472="","",对接源_02物料!$C472)</f>
        <v/>
      </c>
      <c r="B1672" s="3">
        <f t="shared" si="452"/>
        <v>0</v>
      </c>
      <c r="C1672" s="3">
        <f t="shared" si="453"/>
        <v>21</v>
      </c>
      <c r="K1672" s="3">
        <f>IF(OR($K$1="",对接源_02物料!$C472="",对接源_02物料!$C472&lt;&gt;$K$1,对接源_02物料!$B472=""),0,IF(OR(N(对接源_02物料!$B472)&lt;$K$2,N(对接源_02物料!$B472)&gt;$K$3),0,1))</f>
        <v>0</v>
      </c>
      <c r="L1672" s="3">
        <f>IF(OR($L$1="",对接源_02物料!$C472="",对接源_02物料!$C472&lt;&gt;$L$1,对接源_02物料!$B472=""),0,IF(OR(N(对接源_02物料!$B472)&lt;$L$2,N(对接源_02物料!$B472)&gt;$L$3),0,1))</f>
        <v>0</v>
      </c>
      <c r="M1672" s="3">
        <f>IF(OR($M$1="",对接源_02物料!$C472="",对接源_02物料!$C472&lt;&gt;$M$1,对接源_02物料!$B472=""),0,IF(OR(N(对接源_02物料!$B472)&lt;$M$2,N(对接源_02物料!$B472)&gt;$M$3),0,1))</f>
        <v>0</v>
      </c>
      <c r="N1672" s="3">
        <f>IF(OR($N$1="",对接源_02物料!$C472="",对接源_02物料!$C472&lt;&gt;$N$1,对接源_02物料!$B472=""),0,IF(OR(N(对接源_02物料!$B472)&lt;$N$2,N(对接源_02物料!$B472)&gt;$N$3),0,1))</f>
        <v>0</v>
      </c>
      <c r="P1672" s="3">
        <f>IF(AND($K1672=1,AND(对接源_02物料!$X472="公司筐",N(对接源_02物料!$T472)&lt;&gt;0)),1,0)</f>
        <v>0</v>
      </c>
      <c r="Q1672" s="3">
        <f t="shared" si="454"/>
        <v>8</v>
      </c>
      <c r="R1672" s="3">
        <f>IF(AND($K1672=1,AND(对接源_02物料!$X472="公司筐",N(对接源_02物料!$U472)&lt;&gt;0)),1,0)</f>
        <v>0</v>
      </c>
      <c r="S1672" s="3">
        <f t="shared" si="455"/>
        <v>0</v>
      </c>
      <c r="T1672" s="3">
        <f>IF(AND($K1672=1,AND(对接源_02物料!$X472="公司筐",N(对接源_02物料!$V472)&lt;&gt;0)),1,0)</f>
        <v>0</v>
      </c>
      <c r="U1672" s="3">
        <f t="shared" si="456"/>
        <v>19</v>
      </c>
      <c r="V1672" s="3">
        <f>IF(AND($L1672=1,AND(对接源_02物料!$X472="自备筐",N(对接源_02物料!$V472)&lt;&gt;0)),1,0)</f>
        <v>0</v>
      </c>
      <c r="W1672" s="3">
        <f t="shared" si="457"/>
        <v>8</v>
      </c>
      <c r="X1672" s="3">
        <f>IF(AND($L1672=1,AND(对接源_02物料!$X472="自备筐",N(对接源_02物料!$T472)&lt;&gt;0)),1,0)</f>
        <v>0</v>
      </c>
      <c r="Y1672" s="3">
        <f t="shared" si="458"/>
        <v>0</v>
      </c>
      <c r="Z1672" s="3">
        <f>IF(AND($M1672=1,对接源_02物料!$D472="原料入库"),1,0)</f>
        <v>0</v>
      </c>
      <c r="AA1672" s="3">
        <f t="shared" si="459"/>
        <v>24</v>
      </c>
      <c r="AB1672" s="3">
        <f>IF(AND($M1672=1,LEFT(对接源_02物料!$D472,4)="原料出库"),1,0)</f>
        <v>0</v>
      </c>
      <c r="AC1672" s="3">
        <f t="shared" si="460"/>
        <v>0</v>
      </c>
      <c r="AD1672" s="3">
        <f>IF(AND($M1672=1,LEFT(对接源_02物料!$D472,4)="成品出库"),1,0)</f>
        <v>0</v>
      </c>
      <c r="AE1672" s="3">
        <f t="shared" si="461"/>
        <v>0</v>
      </c>
      <c r="AF1672" s="3">
        <f>IF(AND($N1672=1,AND(LEFT(对接源_02物料!$D472,4)="包装物料",N(对接源_02物料!$K472)&lt;&gt;0)),1,0)</f>
        <v>0</v>
      </c>
      <c r="AG1672" s="3">
        <f t="shared" si="462"/>
        <v>5</v>
      </c>
      <c r="AH1672" s="3">
        <f>IF(AND($N1672=1,AND(对接源_02物料!$D472="周转筐－销售出库",N(对接源_02物料!$K472)&lt;&gt;0)),1,0)</f>
        <v>0</v>
      </c>
      <c r="AI1672" s="3">
        <f t="shared" si="463"/>
        <v>0</v>
      </c>
      <c r="AL1672" s="3">
        <v>0</v>
      </c>
      <c r="AM1672" s="3">
        <f t="shared" si="464"/>
        <v>1</v>
      </c>
      <c r="AN1672" s="3" t="str">
        <f t="shared" si="451"/>
        <v/>
      </c>
      <c r="AO1672" s="3">
        <v>0</v>
      </c>
      <c r="AP1672" s="3">
        <f t="shared" si="465"/>
        <v>8</v>
      </c>
      <c r="AR1672">
        <f t="shared" si="466"/>
        <v>0</v>
      </c>
      <c r="AS1672">
        <f t="shared" si="467"/>
        <v>5</v>
      </c>
    </row>
    <row r="1673" customHeight="1" spans="1:45">
      <c r="A1673" s="3" t="str">
        <f>IF(对接源_02物料!$C473="","",对接源_02物料!$C473)</f>
        <v/>
      </c>
      <c r="B1673" s="3">
        <f t="shared" si="452"/>
        <v>0</v>
      </c>
      <c r="C1673" s="3">
        <f t="shared" si="453"/>
        <v>21</v>
      </c>
      <c r="K1673" s="3">
        <f>IF(OR($K$1="",对接源_02物料!$C473="",对接源_02物料!$C473&lt;&gt;$K$1,对接源_02物料!$B473=""),0,IF(OR(N(对接源_02物料!$B473)&lt;$K$2,N(对接源_02物料!$B473)&gt;$K$3),0,1))</f>
        <v>0</v>
      </c>
      <c r="L1673" s="3">
        <f>IF(OR($L$1="",对接源_02物料!$C473="",对接源_02物料!$C473&lt;&gt;$L$1,对接源_02物料!$B473=""),0,IF(OR(N(对接源_02物料!$B473)&lt;$L$2,N(对接源_02物料!$B473)&gt;$L$3),0,1))</f>
        <v>0</v>
      </c>
      <c r="M1673" s="3">
        <f>IF(OR($M$1="",对接源_02物料!$C473="",对接源_02物料!$C473&lt;&gt;$M$1,对接源_02物料!$B473=""),0,IF(OR(N(对接源_02物料!$B473)&lt;$M$2,N(对接源_02物料!$B473)&gt;$M$3),0,1))</f>
        <v>0</v>
      </c>
      <c r="N1673" s="3">
        <f>IF(OR($N$1="",对接源_02物料!$C473="",对接源_02物料!$C473&lt;&gt;$N$1,对接源_02物料!$B473=""),0,IF(OR(N(对接源_02物料!$B473)&lt;$N$2,N(对接源_02物料!$B473)&gt;$N$3),0,1))</f>
        <v>0</v>
      </c>
      <c r="P1673" s="3">
        <f>IF(AND($K1673=1,AND(对接源_02物料!$X473="公司筐",N(对接源_02物料!$T473)&lt;&gt;0)),1,0)</f>
        <v>0</v>
      </c>
      <c r="Q1673" s="3">
        <f t="shared" si="454"/>
        <v>8</v>
      </c>
      <c r="R1673" s="3">
        <f>IF(AND($K1673=1,AND(对接源_02物料!$X473="公司筐",N(对接源_02物料!$U473)&lt;&gt;0)),1,0)</f>
        <v>0</v>
      </c>
      <c r="S1673" s="3">
        <f t="shared" si="455"/>
        <v>0</v>
      </c>
      <c r="T1673" s="3">
        <f>IF(AND($K1673=1,AND(对接源_02物料!$X473="公司筐",N(对接源_02物料!$V473)&lt;&gt;0)),1,0)</f>
        <v>0</v>
      </c>
      <c r="U1673" s="3">
        <f t="shared" si="456"/>
        <v>19</v>
      </c>
      <c r="V1673" s="3">
        <f>IF(AND($L1673=1,AND(对接源_02物料!$X473="自备筐",N(对接源_02物料!$V473)&lt;&gt;0)),1,0)</f>
        <v>0</v>
      </c>
      <c r="W1673" s="3">
        <f t="shared" si="457"/>
        <v>8</v>
      </c>
      <c r="X1673" s="3">
        <f>IF(AND($L1673=1,AND(对接源_02物料!$X473="自备筐",N(对接源_02物料!$T473)&lt;&gt;0)),1,0)</f>
        <v>0</v>
      </c>
      <c r="Y1673" s="3">
        <f t="shared" si="458"/>
        <v>0</v>
      </c>
      <c r="Z1673" s="3">
        <f>IF(AND($M1673=1,对接源_02物料!$D473="原料入库"),1,0)</f>
        <v>0</v>
      </c>
      <c r="AA1673" s="3">
        <f t="shared" si="459"/>
        <v>24</v>
      </c>
      <c r="AB1673" s="3">
        <f>IF(AND($M1673=1,LEFT(对接源_02物料!$D473,4)="原料出库"),1,0)</f>
        <v>0</v>
      </c>
      <c r="AC1673" s="3">
        <f t="shared" si="460"/>
        <v>0</v>
      </c>
      <c r="AD1673" s="3">
        <f>IF(AND($M1673=1,LEFT(对接源_02物料!$D473,4)="成品出库"),1,0)</f>
        <v>0</v>
      </c>
      <c r="AE1673" s="3">
        <f t="shared" si="461"/>
        <v>0</v>
      </c>
      <c r="AF1673" s="3">
        <f>IF(AND($N1673=1,AND(LEFT(对接源_02物料!$D473,4)="包装物料",N(对接源_02物料!$K473)&lt;&gt;0)),1,0)</f>
        <v>0</v>
      </c>
      <c r="AG1673" s="3">
        <f t="shared" si="462"/>
        <v>5</v>
      </c>
      <c r="AH1673" s="3">
        <f>IF(AND($N1673=1,AND(对接源_02物料!$D473="周转筐－销售出库",N(对接源_02物料!$K473)&lt;&gt;0)),1,0)</f>
        <v>0</v>
      </c>
      <c r="AI1673" s="3">
        <f t="shared" si="463"/>
        <v>0</v>
      </c>
      <c r="AL1673" s="3">
        <v>0</v>
      </c>
      <c r="AM1673" s="3">
        <f t="shared" si="464"/>
        <v>1</v>
      </c>
      <c r="AN1673" s="3" t="str">
        <f t="shared" si="451"/>
        <v/>
      </c>
      <c r="AO1673" s="3">
        <v>0</v>
      </c>
      <c r="AP1673" s="3">
        <f t="shared" si="465"/>
        <v>8</v>
      </c>
      <c r="AR1673">
        <f t="shared" si="466"/>
        <v>0</v>
      </c>
      <c r="AS1673">
        <f t="shared" si="467"/>
        <v>5</v>
      </c>
    </row>
    <row r="1674" customHeight="1" spans="1:45">
      <c r="A1674" s="3" t="str">
        <f>IF(对接源_02物料!$C474="","",对接源_02物料!$C474)</f>
        <v/>
      </c>
      <c r="B1674" s="3">
        <f t="shared" si="452"/>
        <v>0</v>
      </c>
      <c r="C1674" s="3">
        <f t="shared" si="453"/>
        <v>21</v>
      </c>
      <c r="K1674" s="3">
        <f>IF(OR($K$1="",对接源_02物料!$C474="",对接源_02物料!$C474&lt;&gt;$K$1,对接源_02物料!$B474=""),0,IF(OR(N(对接源_02物料!$B474)&lt;$K$2,N(对接源_02物料!$B474)&gt;$K$3),0,1))</f>
        <v>0</v>
      </c>
      <c r="L1674" s="3">
        <f>IF(OR($L$1="",对接源_02物料!$C474="",对接源_02物料!$C474&lt;&gt;$L$1,对接源_02物料!$B474=""),0,IF(OR(N(对接源_02物料!$B474)&lt;$L$2,N(对接源_02物料!$B474)&gt;$L$3),0,1))</f>
        <v>0</v>
      </c>
      <c r="M1674" s="3">
        <f>IF(OR($M$1="",对接源_02物料!$C474="",对接源_02物料!$C474&lt;&gt;$M$1,对接源_02物料!$B474=""),0,IF(OR(N(对接源_02物料!$B474)&lt;$M$2,N(对接源_02物料!$B474)&gt;$M$3),0,1))</f>
        <v>0</v>
      </c>
      <c r="N1674" s="3">
        <f>IF(OR($N$1="",对接源_02物料!$C474="",对接源_02物料!$C474&lt;&gt;$N$1,对接源_02物料!$B474=""),0,IF(OR(N(对接源_02物料!$B474)&lt;$N$2,N(对接源_02物料!$B474)&gt;$N$3),0,1))</f>
        <v>0</v>
      </c>
      <c r="P1674" s="3">
        <f>IF(AND($K1674=1,AND(对接源_02物料!$X474="公司筐",N(对接源_02物料!$T474)&lt;&gt;0)),1,0)</f>
        <v>0</v>
      </c>
      <c r="Q1674" s="3">
        <f t="shared" si="454"/>
        <v>8</v>
      </c>
      <c r="R1674" s="3">
        <f>IF(AND($K1674=1,AND(对接源_02物料!$X474="公司筐",N(对接源_02物料!$U474)&lt;&gt;0)),1,0)</f>
        <v>0</v>
      </c>
      <c r="S1674" s="3">
        <f t="shared" si="455"/>
        <v>0</v>
      </c>
      <c r="T1674" s="3">
        <f>IF(AND($K1674=1,AND(对接源_02物料!$X474="公司筐",N(对接源_02物料!$V474)&lt;&gt;0)),1,0)</f>
        <v>0</v>
      </c>
      <c r="U1674" s="3">
        <f t="shared" si="456"/>
        <v>19</v>
      </c>
      <c r="V1674" s="3">
        <f>IF(AND($L1674=1,AND(对接源_02物料!$X474="自备筐",N(对接源_02物料!$V474)&lt;&gt;0)),1,0)</f>
        <v>0</v>
      </c>
      <c r="W1674" s="3">
        <f t="shared" si="457"/>
        <v>8</v>
      </c>
      <c r="X1674" s="3">
        <f>IF(AND($L1674=1,AND(对接源_02物料!$X474="自备筐",N(对接源_02物料!$T474)&lt;&gt;0)),1,0)</f>
        <v>0</v>
      </c>
      <c r="Y1674" s="3">
        <f t="shared" si="458"/>
        <v>0</v>
      </c>
      <c r="Z1674" s="3">
        <f>IF(AND($M1674=1,对接源_02物料!$D474="原料入库"),1,0)</f>
        <v>0</v>
      </c>
      <c r="AA1674" s="3">
        <f t="shared" si="459"/>
        <v>24</v>
      </c>
      <c r="AB1674" s="3">
        <f>IF(AND($M1674=1,LEFT(对接源_02物料!$D474,4)="原料出库"),1,0)</f>
        <v>0</v>
      </c>
      <c r="AC1674" s="3">
        <f t="shared" si="460"/>
        <v>0</v>
      </c>
      <c r="AD1674" s="3">
        <f>IF(AND($M1674=1,LEFT(对接源_02物料!$D474,4)="成品出库"),1,0)</f>
        <v>0</v>
      </c>
      <c r="AE1674" s="3">
        <f t="shared" si="461"/>
        <v>0</v>
      </c>
      <c r="AF1674" s="3">
        <f>IF(AND($N1674=1,AND(LEFT(对接源_02物料!$D474,4)="包装物料",N(对接源_02物料!$K474)&lt;&gt;0)),1,0)</f>
        <v>0</v>
      </c>
      <c r="AG1674" s="3">
        <f t="shared" si="462"/>
        <v>5</v>
      </c>
      <c r="AH1674" s="3">
        <f>IF(AND($N1674=1,AND(对接源_02物料!$D474="周转筐－销售出库",N(对接源_02物料!$K474)&lt;&gt;0)),1,0)</f>
        <v>0</v>
      </c>
      <c r="AI1674" s="3">
        <f t="shared" si="463"/>
        <v>0</v>
      </c>
      <c r="AL1674" s="3">
        <v>0</v>
      </c>
      <c r="AM1674" s="3">
        <f t="shared" si="464"/>
        <v>1</v>
      </c>
      <c r="AN1674" s="3" t="str">
        <f t="shared" si="451"/>
        <v/>
      </c>
      <c r="AO1674" s="3">
        <v>0</v>
      </c>
      <c r="AP1674" s="3">
        <f t="shared" si="465"/>
        <v>8</v>
      </c>
      <c r="AR1674">
        <f t="shared" si="466"/>
        <v>0</v>
      </c>
      <c r="AS1674">
        <f t="shared" si="467"/>
        <v>5</v>
      </c>
    </row>
    <row r="1675" customHeight="1" spans="1:45">
      <c r="A1675" s="3" t="str">
        <f>IF(对接源_02物料!$C475="","",对接源_02物料!$C475)</f>
        <v/>
      </c>
      <c r="B1675" s="3">
        <f t="shared" si="452"/>
        <v>0</v>
      </c>
      <c r="C1675" s="3">
        <f t="shared" si="453"/>
        <v>21</v>
      </c>
      <c r="K1675" s="3">
        <f>IF(OR($K$1="",对接源_02物料!$C475="",对接源_02物料!$C475&lt;&gt;$K$1,对接源_02物料!$B475=""),0,IF(OR(N(对接源_02物料!$B475)&lt;$K$2,N(对接源_02物料!$B475)&gt;$K$3),0,1))</f>
        <v>0</v>
      </c>
      <c r="L1675" s="3">
        <f>IF(OR($L$1="",对接源_02物料!$C475="",对接源_02物料!$C475&lt;&gt;$L$1,对接源_02物料!$B475=""),0,IF(OR(N(对接源_02物料!$B475)&lt;$L$2,N(对接源_02物料!$B475)&gt;$L$3),0,1))</f>
        <v>0</v>
      </c>
      <c r="M1675" s="3">
        <f>IF(OR($M$1="",对接源_02物料!$C475="",对接源_02物料!$C475&lt;&gt;$M$1,对接源_02物料!$B475=""),0,IF(OR(N(对接源_02物料!$B475)&lt;$M$2,N(对接源_02物料!$B475)&gt;$M$3),0,1))</f>
        <v>0</v>
      </c>
      <c r="N1675" s="3">
        <f>IF(OR($N$1="",对接源_02物料!$C475="",对接源_02物料!$C475&lt;&gt;$N$1,对接源_02物料!$B475=""),0,IF(OR(N(对接源_02物料!$B475)&lt;$N$2,N(对接源_02物料!$B475)&gt;$N$3),0,1))</f>
        <v>0</v>
      </c>
      <c r="P1675" s="3">
        <f>IF(AND($K1675=1,AND(对接源_02物料!$X475="公司筐",N(对接源_02物料!$T475)&lt;&gt;0)),1,0)</f>
        <v>0</v>
      </c>
      <c r="Q1675" s="3">
        <f t="shared" si="454"/>
        <v>8</v>
      </c>
      <c r="R1675" s="3">
        <f>IF(AND($K1675=1,AND(对接源_02物料!$X475="公司筐",N(对接源_02物料!$U475)&lt;&gt;0)),1,0)</f>
        <v>0</v>
      </c>
      <c r="S1675" s="3">
        <f t="shared" si="455"/>
        <v>0</v>
      </c>
      <c r="T1675" s="3">
        <f>IF(AND($K1675=1,AND(对接源_02物料!$X475="公司筐",N(对接源_02物料!$V475)&lt;&gt;0)),1,0)</f>
        <v>0</v>
      </c>
      <c r="U1675" s="3">
        <f t="shared" si="456"/>
        <v>19</v>
      </c>
      <c r="V1675" s="3">
        <f>IF(AND($L1675=1,AND(对接源_02物料!$X475="自备筐",N(对接源_02物料!$V475)&lt;&gt;0)),1,0)</f>
        <v>0</v>
      </c>
      <c r="W1675" s="3">
        <f t="shared" si="457"/>
        <v>8</v>
      </c>
      <c r="X1675" s="3">
        <f>IF(AND($L1675=1,AND(对接源_02物料!$X475="自备筐",N(对接源_02物料!$T475)&lt;&gt;0)),1,0)</f>
        <v>0</v>
      </c>
      <c r="Y1675" s="3">
        <f t="shared" si="458"/>
        <v>0</v>
      </c>
      <c r="Z1675" s="3">
        <f>IF(AND($M1675=1,对接源_02物料!$D475="原料入库"),1,0)</f>
        <v>0</v>
      </c>
      <c r="AA1675" s="3">
        <f t="shared" si="459"/>
        <v>24</v>
      </c>
      <c r="AB1675" s="3">
        <f>IF(AND($M1675=1,LEFT(对接源_02物料!$D475,4)="原料出库"),1,0)</f>
        <v>0</v>
      </c>
      <c r="AC1675" s="3">
        <f t="shared" si="460"/>
        <v>0</v>
      </c>
      <c r="AD1675" s="3">
        <f>IF(AND($M1675=1,LEFT(对接源_02物料!$D475,4)="成品出库"),1,0)</f>
        <v>0</v>
      </c>
      <c r="AE1675" s="3">
        <f t="shared" si="461"/>
        <v>0</v>
      </c>
      <c r="AF1675" s="3">
        <f>IF(AND($N1675=1,AND(LEFT(对接源_02物料!$D475,4)="包装物料",N(对接源_02物料!$K475)&lt;&gt;0)),1,0)</f>
        <v>0</v>
      </c>
      <c r="AG1675" s="3">
        <f t="shared" si="462"/>
        <v>5</v>
      </c>
      <c r="AH1675" s="3">
        <f>IF(AND($N1675=1,AND(对接源_02物料!$D475="周转筐－销售出库",N(对接源_02物料!$K475)&lt;&gt;0)),1,0)</f>
        <v>0</v>
      </c>
      <c r="AI1675" s="3">
        <f t="shared" si="463"/>
        <v>0</v>
      </c>
      <c r="AL1675" s="3">
        <v>0</v>
      </c>
      <c r="AM1675" s="3">
        <f t="shared" si="464"/>
        <v>1</v>
      </c>
      <c r="AN1675" s="3" t="str">
        <f t="shared" si="451"/>
        <v/>
      </c>
      <c r="AO1675" s="3">
        <v>0</v>
      </c>
      <c r="AP1675" s="3">
        <f t="shared" si="465"/>
        <v>8</v>
      </c>
      <c r="AR1675">
        <f t="shared" si="466"/>
        <v>0</v>
      </c>
      <c r="AS1675">
        <f t="shared" si="467"/>
        <v>5</v>
      </c>
    </row>
    <row r="1676" customHeight="1" spans="1:45">
      <c r="A1676" s="3" t="str">
        <f>IF(对接源_02物料!$C476="","",对接源_02物料!$C476)</f>
        <v/>
      </c>
      <c r="B1676" s="3">
        <f t="shared" si="452"/>
        <v>0</v>
      </c>
      <c r="C1676" s="3">
        <f t="shared" si="453"/>
        <v>21</v>
      </c>
      <c r="K1676" s="3">
        <f>IF(OR($K$1="",对接源_02物料!$C476="",对接源_02物料!$C476&lt;&gt;$K$1,对接源_02物料!$B476=""),0,IF(OR(N(对接源_02物料!$B476)&lt;$K$2,N(对接源_02物料!$B476)&gt;$K$3),0,1))</f>
        <v>0</v>
      </c>
      <c r="L1676" s="3">
        <f>IF(OR($L$1="",对接源_02物料!$C476="",对接源_02物料!$C476&lt;&gt;$L$1,对接源_02物料!$B476=""),0,IF(OR(N(对接源_02物料!$B476)&lt;$L$2,N(对接源_02物料!$B476)&gt;$L$3),0,1))</f>
        <v>0</v>
      </c>
      <c r="M1676" s="3">
        <f>IF(OR($M$1="",对接源_02物料!$C476="",对接源_02物料!$C476&lt;&gt;$M$1,对接源_02物料!$B476=""),0,IF(OR(N(对接源_02物料!$B476)&lt;$M$2,N(对接源_02物料!$B476)&gt;$M$3),0,1))</f>
        <v>0</v>
      </c>
      <c r="N1676" s="3">
        <f>IF(OR($N$1="",对接源_02物料!$C476="",对接源_02物料!$C476&lt;&gt;$N$1,对接源_02物料!$B476=""),0,IF(OR(N(对接源_02物料!$B476)&lt;$N$2,N(对接源_02物料!$B476)&gt;$N$3),0,1))</f>
        <v>0</v>
      </c>
      <c r="P1676" s="3">
        <f>IF(AND($K1676=1,AND(对接源_02物料!$X476="公司筐",N(对接源_02物料!$T476)&lt;&gt;0)),1,0)</f>
        <v>0</v>
      </c>
      <c r="Q1676" s="3">
        <f t="shared" si="454"/>
        <v>8</v>
      </c>
      <c r="R1676" s="3">
        <f>IF(AND($K1676=1,AND(对接源_02物料!$X476="公司筐",N(对接源_02物料!$U476)&lt;&gt;0)),1,0)</f>
        <v>0</v>
      </c>
      <c r="S1676" s="3">
        <f t="shared" si="455"/>
        <v>0</v>
      </c>
      <c r="T1676" s="3">
        <f>IF(AND($K1676=1,AND(对接源_02物料!$X476="公司筐",N(对接源_02物料!$V476)&lt;&gt;0)),1,0)</f>
        <v>0</v>
      </c>
      <c r="U1676" s="3">
        <f t="shared" si="456"/>
        <v>19</v>
      </c>
      <c r="V1676" s="3">
        <f>IF(AND($L1676=1,AND(对接源_02物料!$X476="自备筐",N(对接源_02物料!$V476)&lt;&gt;0)),1,0)</f>
        <v>0</v>
      </c>
      <c r="W1676" s="3">
        <f t="shared" si="457"/>
        <v>8</v>
      </c>
      <c r="X1676" s="3">
        <f>IF(AND($L1676=1,AND(对接源_02物料!$X476="自备筐",N(对接源_02物料!$T476)&lt;&gt;0)),1,0)</f>
        <v>0</v>
      </c>
      <c r="Y1676" s="3">
        <f t="shared" si="458"/>
        <v>0</v>
      </c>
      <c r="Z1676" s="3">
        <f>IF(AND($M1676=1,对接源_02物料!$D476="原料入库"),1,0)</f>
        <v>0</v>
      </c>
      <c r="AA1676" s="3">
        <f t="shared" si="459"/>
        <v>24</v>
      </c>
      <c r="AB1676" s="3">
        <f>IF(AND($M1676=1,LEFT(对接源_02物料!$D476,4)="原料出库"),1,0)</f>
        <v>0</v>
      </c>
      <c r="AC1676" s="3">
        <f t="shared" si="460"/>
        <v>0</v>
      </c>
      <c r="AD1676" s="3">
        <f>IF(AND($M1676=1,LEFT(对接源_02物料!$D476,4)="成品出库"),1,0)</f>
        <v>0</v>
      </c>
      <c r="AE1676" s="3">
        <f t="shared" si="461"/>
        <v>0</v>
      </c>
      <c r="AF1676" s="3">
        <f>IF(AND($N1676=1,AND(LEFT(对接源_02物料!$D476,4)="包装物料",N(对接源_02物料!$K476)&lt;&gt;0)),1,0)</f>
        <v>0</v>
      </c>
      <c r="AG1676" s="3">
        <f t="shared" si="462"/>
        <v>5</v>
      </c>
      <c r="AH1676" s="3">
        <f>IF(AND($N1676=1,AND(对接源_02物料!$D476="周转筐－销售出库",N(对接源_02物料!$K476)&lt;&gt;0)),1,0)</f>
        <v>0</v>
      </c>
      <c r="AI1676" s="3">
        <f t="shared" si="463"/>
        <v>0</v>
      </c>
      <c r="AL1676" s="3">
        <v>0</v>
      </c>
      <c r="AM1676" s="3">
        <f t="shared" si="464"/>
        <v>1</v>
      </c>
      <c r="AN1676" s="3" t="str">
        <f t="shared" si="451"/>
        <v/>
      </c>
      <c r="AO1676" s="3">
        <v>0</v>
      </c>
      <c r="AP1676" s="3">
        <f t="shared" si="465"/>
        <v>8</v>
      </c>
      <c r="AR1676">
        <f t="shared" si="466"/>
        <v>0</v>
      </c>
      <c r="AS1676">
        <f t="shared" si="467"/>
        <v>5</v>
      </c>
    </row>
    <row r="1677" customHeight="1" spans="1:45">
      <c r="A1677" s="3" t="str">
        <f>IF(对接源_02物料!$C477="","",对接源_02物料!$C477)</f>
        <v/>
      </c>
      <c r="B1677" s="3">
        <f t="shared" si="452"/>
        <v>0</v>
      </c>
      <c r="C1677" s="3">
        <f t="shared" si="453"/>
        <v>21</v>
      </c>
      <c r="K1677" s="3">
        <f>IF(OR($K$1="",对接源_02物料!$C477="",对接源_02物料!$C477&lt;&gt;$K$1,对接源_02物料!$B477=""),0,IF(OR(N(对接源_02物料!$B477)&lt;$K$2,N(对接源_02物料!$B477)&gt;$K$3),0,1))</f>
        <v>0</v>
      </c>
      <c r="L1677" s="3">
        <f>IF(OR($L$1="",对接源_02物料!$C477="",对接源_02物料!$C477&lt;&gt;$L$1,对接源_02物料!$B477=""),0,IF(OR(N(对接源_02物料!$B477)&lt;$L$2,N(对接源_02物料!$B477)&gt;$L$3),0,1))</f>
        <v>0</v>
      </c>
      <c r="M1677" s="3">
        <f>IF(OR($M$1="",对接源_02物料!$C477="",对接源_02物料!$C477&lt;&gt;$M$1,对接源_02物料!$B477=""),0,IF(OR(N(对接源_02物料!$B477)&lt;$M$2,N(对接源_02物料!$B477)&gt;$M$3),0,1))</f>
        <v>0</v>
      </c>
      <c r="N1677" s="3">
        <f>IF(OR($N$1="",对接源_02物料!$C477="",对接源_02物料!$C477&lt;&gt;$N$1,对接源_02物料!$B477=""),0,IF(OR(N(对接源_02物料!$B477)&lt;$N$2,N(对接源_02物料!$B477)&gt;$N$3),0,1))</f>
        <v>0</v>
      </c>
      <c r="P1677" s="3">
        <f>IF(AND($K1677=1,AND(对接源_02物料!$X477="公司筐",N(对接源_02物料!$T477)&lt;&gt;0)),1,0)</f>
        <v>0</v>
      </c>
      <c r="Q1677" s="3">
        <f t="shared" si="454"/>
        <v>8</v>
      </c>
      <c r="R1677" s="3">
        <f>IF(AND($K1677=1,AND(对接源_02物料!$X477="公司筐",N(对接源_02物料!$U477)&lt;&gt;0)),1,0)</f>
        <v>0</v>
      </c>
      <c r="S1677" s="3">
        <f t="shared" si="455"/>
        <v>0</v>
      </c>
      <c r="T1677" s="3">
        <f>IF(AND($K1677=1,AND(对接源_02物料!$X477="公司筐",N(对接源_02物料!$V477)&lt;&gt;0)),1,0)</f>
        <v>0</v>
      </c>
      <c r="U1677" s="3">
        <f t="shared" si="456"/>
        <v>19</v>
      </c>
      <c r="V1677" s="3">
        <f>IF(AND($L1677=1,AND(对接源_02物料!$X477="自备筐",N(对接源_02物料!$V477)&lt;&gt;0)),1,0)</f>
        <v>0</v>
      </c>
      <c r="W1677" s="3">
        <f t="shared" si="457"/>
        <v>8</v>
      </c>
      <c r="X1677" s="3">
        <f>IF(AND($L1677=1,AND(对接源_02物料!$X477="自备筐",N(对接源_02物料!$T477)&lt;&gt;0)),1,0)</f>
        <v>0</v>
      </c>
      <c r="Y1677" s="3">
        <f t="shared" si="458"/>
        <v>0</v>
      </c>
      <c r="Z1677" s="3">
        <f>IF(AND($M1677=1,对接源_02物料!$D477="原料入库"),1,0)</f>
        <v>0</v>
      </c>
      <c r="AA1677" s="3">
        <f t="shared" si="459"/>
        <v>24</v>
      </c>
      <c r="AB1677" s="3">
        <f>IF(AND($M1677=1,LEFT(对接源_02物料!$D477,4)="原料出库"),1,0)</f>
        <v>0</v>
      </c>
      <c r="AC1677" s="3">
        <f t="shared" si="460"/>
        <v>0</v>
      </c>
      <c r="AD1677" s="3">
        <f>IF(AND($M1677=1,LEFT(对接源_02物料!$D477,4)="成品出库"),1,0)</f>
        <v>0</v>
      </c>
      <c r="AE1677" s="3">
        <f t="shared" si="461"/>
        <v>0</v>
      </c>
      <c r="AF1677" s="3">
        <f>IF(AND($N1677=1,AND(LEFT(对接源_02物料!$D477,4)="包装物料",N(对接源_02物料!$K477)&lt;&gt;0)),1,0)</f>
        <v>0</v>
      </c>
      <c r="AG1677" s="3">
        <f t="shared" si="462"/>
        <v>5</v>
      </c>
      <c r="AH1677" s="3">
        <f>IF(AND($N1677=1,AND(对接源_02物料!$D477="周转筐－销售出库",N(对接源_02物料!$K477)&lt;&gt;0)),1,0)</f>
        <v>0</v>
      </c>
      <c r="AI1677" s="3">
        <f t="shared" si="463"/>
        <v>0</v>
      </c>
      <c r="AL1677" s="3">
        <v>0</v>
      </c>
      <c r="AM1677" s="3">
        <f t="shared" si="464"/>
        <v>1</v>
      </c>
      <c r="AN1677" s="3" t="str">
        <f t="shared" si="451"/>
        <v/>
      </c>
      <c r="AO1677" s="3">
        <v>0</v>
      </c>
      <c r="AP1677" s="3">
        <f t="shared" si="465"/>
        <v>8</v>
      </c>
      <c r="AR1677">
        <f t="shared" si="466"/>
        <v>0</v>
      </c>
      <c r="AS1677">
        <f t="shared" si="467"/>
        <v>5</v>
      </c>
    </row>
    <row r="1678" customHeight="1" spans="1:45">
      <c r="A1678" s="3" t="str">
        <f>IF(对接源_02物料!$C478="","",对接源_02物料!$C478)</f>
        <v/>
      </c>
      <c r="B1678" s="3">
        <f t="shared" si="452"/>
        <v>0</v>
      </c>
      <c r="C1678" s="3">
        <f t="shared" si="453"/>
        <v>21</v>
      </c>
      <c r="K1678" s="3">
        <f>IF(OR($K$1="",对接源_02物料!$C478="",对接源_02物料!$C478&lt;&gt;$K$1,对接源_02物料!$B478=""),0,IF(OR(N(对接源_02物料!$B478)&lt;$K$2,N(对接源_02物料!$B478)&gt;$K$3),0,1))</f>
        <v>0</v>
      </c>
      <c r="L1678" s="3">
        <f>IF(OR($L$1="",对接源_02物料!$C478="",对接源_02物料!$C478&lt;&gt;$L$1,对接源_02物料!$B478=""),0,IF(OR(N(对接源_02物料!$B478)&lt;$L$2,N(对接源_02物料!$B478)&gt;$L$3),0,1))</f>
        <v>0</v>
      </c>
      <c r="M1678" s="3">
        <f>IF(OR($M$1="",对接源_02物料!$C478="",对接源_02物料!$C478&lt;&gt;$M$1,对接源_02物料!$B478=""),0,IF(OR(N(对接源_02物料!$B478)&lt;$M$2,N(对接源_02物料!$B478)&gt;$M$3),0,1))</f>
        <v>0</v>
      </c>
      <c r="N1678" s="3">
        <f>IF(OR($N$1="",对接源_02物料!$C478="",对接源_02物料!$C478&lt;&gt;$N$1,对接源_02物料!$B478=""),0,IF(OR(N(对接源_02物料!$B478)&lt;$N$2,N(对接源_02物料!$B478)&gt;$N$3),0,1))</f>
        <v>0</v>
      </c>
      <c r="P1678" s="3">
        <f>IF(AND($K1678=1,AND(对接源_02物料!$X478="公司筐",N(对接源_02物料!$T478)&lt;&gt;0)),1,0)</f>
        <v>0</v>
      </c>
      <c r="Q1678" s="3">
        <f t="shared" si="454"/>
        <v>8</v>
      </c>
      <c r="R1678" s="3">
        <f>IF(AND($K1678=1,AND(对接源_02物料!$X478="公司筐",N(对接源_02物料!$U478)&lt;&gt;0)),1,0)</f>
        <v>0</v>
      </c>
      <c r="S1678" s="3">
        <f t="shared" si="455"/>
        <v>0</v>
      </c>
      <c r="T1678" s="3">
        <f>IF(AND($K1678=1,AND(对接源_02物料!$X478="公司筐",N(对接源_02物料!$V478)&lt;&gt;0)),1,0)</f>
        <v>0</v>
      </c>
      <c r="U1678" s="3">
        <f t="shared" si="456"/>
        <v>19</v>
      </c>
      <c r="V1678" s="3">
        <f>IF(AND($L1678=1,AND(对接源_02物料!$X478="自备筐",N(对接源_02物料!$V478)&lt;&gt;0)),1,0)</f>
        <v>0</v>
      </c>
      <c r="W1678" s="3">
        <f t="shared" si="457"/>
        <v>8</v>
      </c>
      <c r="X1678" s="3">
        <f>IF(AND($L1678=1,AND(对接源_02物料!$X478="自备筐",N(对接源_02物料!$T478)&lt;&gt;0)),1,0)</f>
        <v>0</v>
      </c>
      <c r="Y1678" s="3">
        <f t="shared" si="458"/>
        <v>0</v>
      </c>
      <c r="Z1678" s="3">
        <f>IF(AND($M1678=1,对接源_02物料!$D478="原料入库"),1,0)</f>
        <v>0</v>
      </c>
      <c r="AA1678" s="3">
        <f t="shared" si="459"/>
        <v>24</v>
      </c>
      <c r="AB1678" s="3">
        <f>IF(AND($M1678=1,LEFT(对接源_02物料!$D478,4)="原料出库"),1,0)</f>
        <v>0</v>
      </c>
      <c r="AC1678" s="3">
        <f t="shared" si="460"/>
        <v>0</v>
      </c>
      <c r="AD1678" s="3">
        <f>IF(AND($M1678=1,LEFT(对接源_02物料!$D478,4)="成品出库"),1,0)</f>
        <v>0</v>
      </c>
      <c r="AE1678" s="3">
        <f t="shared" si="461"/>
        <v>0</v>
      </c>
      <c r="AF1678" s="3">
        <f>IF(AND($N1678=1,AND(LEFT(对接源_02物料!$D478,4)="包装物料",N(对接源_02物料!$K478)&lt;&gt;0)),1,0)</f>
        <v>0</v>
      </c>
      <c r="AG1678" s="3">
        <f t="shared" si="462"/>
        <v>5</v>
      </c>
      <c r="AH1678" s="3">
        <f>IF(AND($N1678=1,AND(对接源_02物料!$D478="周转筐－销售出库",N(对接源_02物料!$K478)&lt;&gt;0)),1,0)</f>
        <v>0</v>
      </c>
      <c r="AI1678" s="3">
        <f t="shared" si="463"/>
        <v>0</v>
      </c>
      <c r="AL1678" s="3">
        <v>0</v>
      </c>
      <c r="AM1678" s="3">
        <f t="shared" si="464"/>
        <v>1</v>
      </c>
      <c r="AN1678" s="3" t="str">
        <f t="shared" si="451"/>
        <v/>
      </c>
      <c r="AO1678" s="3">
        <v>0</v>
      </c>
      <c r="AP1678" s="3">
        <f t="shared" si="465"/>
        <v>8</v>
      </c>
      <c r="AR1678">
        <f t="shared" si="466"/>
        <v>0</v>
      </c>
      <c r="AS1678">
        <f t="shared" si="467"/>
        <v>5</v>
      </c>
    </row>
    <row r="1679" customHeight="1" spans="1:45">
      <c r="A1679" s="3" t="str">
        <f>IF(对接源_02物料!$C479="","",对接源_02物料!$C479)</f>
        <v/>
      </c>
      <c r="B1679" s="3">
        <f t="shared" si="452"/>
        <v>0</v>
      </c>
      <c r="C1679" s="3">
        <f t="shared" si="453"/>
        <v>21</v>
      </c>
      <c r="K1679" s="3">
        <f>IF(OR($K$1="",对接源_02物料!$C479="",对接源_02物料!$C479&lt;&gt;$K$1,对接源_02物料!$B479=""),0,IF(OR(N(对接源_02物料!$B479)&lt;$K$2,N(对接源_02物料!$B479)&gt;$K$3),0,1))</f>
        <v>0</v>
      </c>
      <c r="L1679" s="3">
        <f>IF(OR($L$1="",对接源_02物料!$C479="",对接源_02物料!$C479&lt;&gt;$L$1,对接源_02物料!$B479=""),0,IF(OR(N(对接源_02物料!$B479)&lt;$L$2,N(对接源_02物料!$B479)&gt;$L$3),0,1))</f>
        <v>0</v>
      </c>
      <c r="M1679" s="3">
        <f>IF(OR($M$1="",对接源_02物料!$C479="",对接源_02物料!$C479&lt;&gt;$M$1,对接源_02物料!$B479=""),0,IF(OR(N(对接源_02物料!$B479)&lt;$M$2,N(对接源_02物料!$B479)&gt;$M$3),0,1))</f>
        <v>0</v>
      </c>
      <c r="N1679" s="3">
        <f>IF(OR($N$1="",对接源_02物料!$C479="",对接源_02物料!$C479&lt;&gt;$N$1,对接源_02物料!$B479=""),0,IF(OR(N(对接源_02物料!$B479)&lt;$N$2,N(对接源_02物料!$B479)&gt;$N$3),0,1))</f>
        <v>0</v>
      </c>
      <c r="P1679" s="3">
        <f>IF(AND($K1679=1,AND(对接源_02物料!$X479="公司筐",N(对接源_02物料!$T479)&lt;&gt;0)),1,0)</f>
        <v>0</v>
      </c>
      <c r="Q1679" s="3">
        <f t="shared" si="454"/>
        <v>8</v>
      </c>
      <c r="R1679" s="3">
        <f>IF(AND($K1679=1,AND(对接源_02物料!$X479="公司筐",N(对接源_02物料!$U479)&lt;&gt;0)),1,0)</f>
        <v>0</v>
      </c>
      <c r="S1679" s="3">
        <f t="shared" si="455"/>
        <v>0</v>
      </c>
      <c r="T1679" s="3">
        <f>IF(AND($K1679=1,AND(对接源_02物料!$X479="公司筐",N(对接源_02物料!$V479)&lt;&gt;0)),1,0)</f>
        <v>0</v>
      </c>
      <c r="U1679" s="3">
        <f t="shared" si="456"/>
        <v>19</v>
      </c>
      <c r="V1679" s="3">
        <f>IF(AND($L1679=1,AND(对接源_02物料!$X479="自备筐",N(对接源_02物料!$V479)&lt;&gt;0)),1,0)</f>
        <v>0</v>
      </c>
      <c r="W1679" s="3">
        <f t="shared" si="457"/>
        <v>8</v>
      </c>
      <c r="X1679" s="3">
        <f>IF(AND($L1679=1,AND(对接源_02物料!$X479="自备筐",N(对接源_02物料!$T479)&lt;&gt;0)),1,0)</f>
        <v>0</v>
      </c>
      <c r="Y1679" s="3">
        <f t="shared" si="458"/>
        <v>0</v>
      </c>
      <c r="Z1679" s="3">
        <f>IF(AND($M1679=1,对接源_02物料!$D479="原料入库"),1,0)</f>
        <v>0</v>
      </c>
      <c r="AA1679" s="3">
        <f t="shared" si="459"/>
        <v>24</v>
      </c>
      <c r="AB1679" s="3">
        <f>IF(AND($M1679=1,LEFT(对接源_02物料!$D479,4)="原料出库"),1,0)</f>
        <v>0</v>
      </c>
      <c r="AC1679" s="3">
        <f t="shared" si="460"/>
        <v>0</v>
      </c>
      <c r="AD1679" s="3">
        <f>IF(AND($M1679=1,LEFT(对接源_02物料!$D479,4)="成品出库"),1,0)</f>
        <v>0</v>
      </c>
      <c r="AE1679" s="3">
        <f t="shared" si="461"/>
        <v>0</v>
      </c>
      <c r="AF1679" s="3">
        <f>IF(AND($N1679=1,AND(LEFT(对接源_02物料!$D479,4)="包装物料",N(对接源_02物料!$K479)&lt;&gt;0)),1,0)</f>
        <v>0</v>
      </c>
      <c r="AG1679" s="3">
        <f t="shared" si="462"/>
        <v>5</v>
      </c>
      <c r="AH1679" s="3">
        <f>IF(AND($N1679=1,AND(对接源_02物料!$D479="周转筐－销售出库",N(对接源_02物料!$K479)&lt;&gt;0)),1,0)</f>
        <v>0</v>
      </c>
      <c r="AI1679" s="3">
        <f t="shared" si="463"/>
        <v>0</v>
      </c>
      <c r="AL1679" s="3">
        <v>0</v>
      </c>
      <c r="AM1679" s="3">
        <f t="shared" si="464"/>
        <v>1</v>
      </c>
      <c r="AN1679" s="3" t="str">
        <f t="shared" si="451"/>
        <v/>
      </c>
      <c r="AO1679" s="3">
        <v>0</v>
      </c>
      <c r="AP1679" s="3">
        <f t="shared" si="465"/>
        <v>8</v>
      </c>
      <c r="AR1679">
        <f t="shared" si="466"/>
        <v>0</v>
      </c>
      <c r="AS1679">
        <f t="shared" si="467"/>
        <v>5</v>
      </c>
    </row>
    <row r="1680" customHeight="1" spans="1:45">
      <c r="A1680" s="3" t="str">
        <f>IF(对接源_02物料!$C480="","",对接源_02物料!$C480)</f>
        <v/>
      </c>
      <c r="B1680" s="3">
        <f t="shared" si="452"/>
        <v>0</v>
      </c>
      <c r="C1680" s="3">
        <f t="shared" si="453"/>
        <v>21</v>
      </c>
      <c r="K1680" s="3">
        <f>IF(OR($K$1="",对接源_02物料!$C480="",对接源_02物料!$C480&lt;&gt;$K$1,对接源_02物料!$B480=""),0,IF(OR(N(对接源_02物料!$B480)&lt;$K$2,N(对接源_02物料!$B480)&gt;$K$3),0,1))</f>
        <v>0</v>
      </c>
      <c r="L1680" s="3">
        <f>IF(OR($L$1="",对接源_02物料!$C480="",对接源_02物料!$C480&lt;&gt;$L$1,对接源_02物料!$B480=""),0,IF(OR(N(对接源_02物料!$B480)&lt;$L$2,N(对接源_02物料!$B480)&gt;$L$3),0,1))</f>
        <v>0</v>
      </c>
      <c r="M1680" s="3">
        <f>IF(OR($M$1="",对接源_02物料!$C480="",对接源_02物料!$C480&lt;&gt;$M$1,对接源_02物料!$B480=""),0,IF(OR(N(对接源_02物料!$B480)&lt;$M$2,N(对接源_02物料!$B480)&gt;$M$3),0,1))</f>
        <v>0</v>
      </c>
      <c r="N1680" s="3">
        <f>IF(OR($N$1="",对接源_02物料!$C480="",对接源_02物料!$C480&lt;&gt;$N$1,对接源_02物料!$B480=""),0,IF(OR(N(对接源_02物料!$B480)&lt;$N$2,N(对接源_02物料!$B480)&gt;$N$3),0,1))</f>
        <v>0</v>
      </c>
      <c r="P1680" s="3">
        <f>IF(AND($K1680=1,AND(对接源_02物料!$X480="公司筐",N(对接源_02物料!$T480)&lt;&gt;0)),1,0)</f>
        <v>0</v>
      </c>
      <c r="Q1680" s="3">
        <f t="shared" si="454"/>
        <v>8</v>
      </c>
      <c r="R1680" s="3">
        <f>IF(AND($K1680=1,AND(对接源_02物料!$X480="公司筐",N(对接源_02物料!$U480)&lt;&gt;0)),1,0)</f>
        <v>0</v>
      </c>
      <c r="S1680" s="3">
        <f t="shared" si="455"/>
        <v>0</v>
      </c>
      <c r="T1680" s="3">
        <f>IF(AND($K1680=1,AND(对接源_02物料!$X480="公司筐",N(对接源_02物料!$V480)&lt;&gt;0)),1,0)</f>
        <v>0</v>
      </c>
      <c r="U1680" s="3">
        <f t="shared" si="456"/>
        <v>19</v>
      </c>
      <c r="V1680" s="3">
        <f>IF(AND($L1680=1,AND(对接源_02物料!$X480="自备筐",N(对接源_02物料!$V480)&lt;&gt;0)),1,0)</f>
        <v>0</v>
      </c>
      <c r="W1680" s="3">
        <f t="shared" si="457"/>
        <v>8</v>
      </c>
      <c r="X1680" s="3">
        <f>IF(AND($L1680=1,AND(对接源_02物料!$X480="自备筐",N(对接源_02物料!$T480)&lt;&gt;0)),1,0)</f>
        <v>0</v>
      </c>
      <c r="Y1680" s="3">
        <f t="shared" si="458"/>
        <v>0</v>
      </c>
      <c r="Z1680" s="3">
        <f>IF(AND($M1680=1,对接源_02物料!$D480="原料入库"),1,0)</f>
        <v>0</v>
      </c>
      <c r="AA1680" s="3">
        <f t="shared" si="459"/>
        <v>24</v>
      </c>
      <c r="AB1680" s="3">
        <f>IF(AND($M1680=1,LEFT(对接源_02物料!$D480,4)="原料出库"),1,0)</f>
        <v>0</v>
      </c>
      <c r="AC1680" s="3">
        <f t="shared" si="460"/>
        <v>0</v>
      </c>
      <c r="AD1680" s="3">
        <f>IF(AND($M1680=1,LEFT(对接源_02物料!$D480,4)="成品出库"),1,0)</f>
        <v>0</v>
      </c>
      <c r="AE1680" s="3">
        <f t="shared" si="461"/>
        <v>0</v>
      </c>
      <c r="AF1680" s="3">
        <f>IF(AND($N1680=1,AND(LEFT(对接源_02物料!$D480,4)="包装物料",N(对接源_02物料!$K480)&lt;&gt;0)),1,0)</f>
        <v>0</v>
      </c>
      <c r="AG1680" s="3">
        <f t="shared" si="462"/>
        <v>5</v>
      </c>
      <c r="AH1680" s="3">
        <f>IF(AND($N1680=1,AND(对接源_02物料!$D480="周转筐－销售出库",N(对接源_02物料!$K480)&lt;&gt;0)),1,0)</f>
        <v>0</v>
      </c>
      <c r="AI1680" s="3">
        <f t="shared" si="463"/>
        <v>0</v>
      </c>
      <c r="AL1680" s="3">
        <v>0</v>
      </c>
      <c r="AM1680" s="3">
        <f t="shared" si="464"/>
        <v>1</v>
      </c>
      <c r="AN1680" s="3" t="str">
        <f t="shared" si="451"/>
        <v/>
      </c>
      <c r="AO1680" s="3">
        <v>0</v>
      </c>
      <c r="AP1680" s="3">
        <f t="shared" si="465"/>
        <v>8</v>
      </c>
      <c r="AR1680">
        <f t="shared" si="466"/>
        <v>0</v>
      </c>
      <c r="AS1680">
        <f t="shared" si="467"/>
        <v>5</v>
      </c>
    </row>
    <row r="1681" customHeight="1" spans="1:45">
      <c r="A1681" s="3" t="str">
        <f>IF(对接源_02物料!$C481="","",对接源_02物料!$C481)</f>
        <v/>
      </c>
      <c r="B1681" s="3">
        <f t="shared" si="452"/>
        <v>0</v>
      </c>
      <c r="C1681" s="3">
        <f t="shared" si="453"/>
        <v>21</v>
      </c>
      <c r="K1681" s="3">
        <f>IF(OR($K$1="",对接源_02物料!$C481="",对接源_02物料!$C481&lt;&gt;$K$1,对接源_02物料!$B481=""),0,IF(OR(N(对接源_02物料!$B481)&lt;$K$2,N(对接源_02物料!$B481)&gt;$K$3),0,1))</f>
        <v>0</v>
      </c>
      <c r="L1681" s="3">
        <f>IF(OR($L$1="",对接源_02物料!$C481="",对接源_02物料!$C481&lt;&gt;$L$1,对接源_02物料!$B481=""),0,IF(OR(N(对接源_02物料!$B481)&lt;$L$2,N(对接源_02物料!$B481)&gt;$L$3),0,1))</f>
        <v>0</v>
      </c>
      <c r="M1681" s="3">
        <f>IF(OR($M$1="",对接源_02物料!$C481="",对接源_02物料!$C481&lt;&gt;$M$1,对接源_02物料!$B481=""),0,IF(OR(N(对接源_02物料!$B481)&lt;$M$2,N(对接源_02物料!$B481)&gt;$M$3),0,1))</f>
        <v>0</v>
      </c>
      <c r="N1681" s="3">
        <f>IF(OR($N$1="",对接源_02物料!$C481="",对接源_02物料!$C481&lt;&gt;$N$1,对接源_02物料!$B481=""),0,IF(OR(N(对接源_02物料!$B481)&lt;$N$2,N(对接源_02物料!$B481)&gt;$N$3),0,1))</f>
        <v>0</v>
      </c>
      <c r="P1681" s="3">
        <f>IF(AND($K1681=1,AND(对接源_02物料!$X481="公司筐",N(对接源_02物料!$T481)&lt;&gt;0)),1,0)</f>
        <v>0</v>
      </c>
      <c r="Q1681" s="3">
        <f t="shared" si="454"/>
        <v>8</v>
      </c>
      <c r="R1681" s="3">
        <f>IF(AND($K1681=1,AND(对接源_02物料!$X481="公司筐",N(对接源_02物料!$U481)&lt;&gt;0)),1,0)</f>
        <v>0</v>
      </c>
      <c r="S1681" s="3">
        <f t="shared" si="455"/>
        <v>0</v>
      </c>
      <c r="T1681" s="3">
        <f>IF(AND($K1681=1,AND(对接源_02物料!$X481="公司筐",N(对接源_02物料!$V481)&lt;&gt;0)),1,0)</f>
        <v>0</v>
      </c>
      <c r="U1681" s="3">
        <f t="shared" si="456"/>
        <v>19</v>
      </c>
      <c r="V1681" s="3">
        <f>IF(AND($L1681=1,AND(对接源_02物料!$X481="自备筐",N(对接源_02物料!$V481)&lt;&gt;0)),1,0)</f>
        <v>0</v>
      </c>
      <c r="W1681" s="3">
        <f t="shared" si="457"/>
        <v>8</v>
      </c>
      <c r="X1681" s="3">
        <f>IF(AND($L1681=1,AND(对接源_02物料!$X481="自备筐",N(对接源_02物料!$T481)&lt;&gt;0)),1,0)</f>
        <v>0</v>
      </c>
      <c r="Y1681" s="3">
        <f t="shared" si="458"/>
        <v>0</v>
      </c>
      <c r="Z1681" s="3">
        <f>IF(AND($M1681=1,对接源_02物料!$D481="原料入库"),1,0)</f>
        <v>0</v>
      </c>
      <c r="AA1681" s="3">
        <f t="shared" si="459"/>
        <v>24</v>
      </c>
      <c r="AB1681" s="3">
        <f>IF(AND($M1681=1,LEFT(对接源_02物料!$D481,4)="原料出库"),1,0)</f>
        <v>0</v>
      </c>
      <c r="AC1681" s="3">
        <f t="shared" si="460"/>
        <v>0</v>
      </c>
      <c r="AD1681" s="3">
        <f>IF(AND($M1681=1,LEFT(对接源_02物料!$D481,4)="成品出库"),1,0)</f>
        <v>0</v>
      </c>
      <c r="AE1681" s="3">
        <f t="shared" si="461"/>
        <v>0</v>
      </c>
      <c r="AF1681" s="3">
        <f>IF(AND($N1681=1,AND(LEFT(对接源_02物料!$D481,4)="包装物料",N(对接源_02物料!$K481)&lt;&gt;0)),1,0)</f>
        <v>0</v>
      </c>
      <c r="AG1681" s="3">
        <f t="shared" si="462"/>
        <v>5</v>
      </c>
      <c r="AH1681" s="3">
        <f>IF(AND($N1681=1,AND(对接源_02物料!$D481="周转筐－销售出库",N(对接源_02物料!$K481)&lt;&gt;0)),1,0)</f>
        <v>0</v>
      </c>
      <c r="AI1681" s="3">
        <f t="shared" si="463"/>
        <v>0</v>
      </c>
      <c r="AL1681" s="3">
        <v>0</v>
      </c>
      <c r="AM1681" s="3">
        <f t="shared" si="464"/>
        <v>1</v>
      </c>
      <c r="AN1681" s="3" t="str">
        <f t="shared" si="451"/>
        <v/>
      </c>
      <c r="AO1681" s="3">
        <v>0</v>
      </c>
      <c r="AP1681" s="3">
        <f t="shared" si="465"/>
        <v>8</v>
      </c>
      <c r="AR1681">
        <f t="shared" si="466"/>
        <v>0</v>
      </c>
      <c r="AS1681">
        <f t="shared" si="467"/>
        <v>5</v>
      </c>
    </row>
    <row r="1682" customHeight="1" spans="1:45">
      <c r="A1682" s="3" t="str">
        <f>IF(对接源_02物料!$C482="","",对接源_02物料!$C482)</f>
        <v/>
      </c>
      <c r="B1682" s="3">
        <f t="shared" si="452"/>
        <v>0</v>
      </c>
      <c r="C1682" s="3">
        <f t="shared" si="453"/>
        <v>21</v>
      </c>
      <c r="K1682" s="3">
        <f>IF(OR($K$1="",对接源_02物料!$C482="",对接源_02物料!$C482&lt;&gt;$K$1,对接源_02物料!$B482=""),0,IF(OR(N(对接源_02物料!$B482)&lt;$K$2,N(对接源_02物料!$B482)&gt;$K$3),0,1))</f>
        <v>0</v>
      </c>
      <c r="L1682" s="3">
        <f>IF(OR($L$1="",对接源_02物料!$C482="",对接源_02物料!$C482&lt;&gt;$L$1,对接源_02物料!$B482=""),0,IF(OR(N(对接源_02物料!$B482)&lt;$L$2,N(对接源_02物料!$B482)&gt;$L$3),0,1))</f>
        <v>0</v>
      </c>
      <c r="M1682" s="3">
        <f>IF(OR($M$1="",对接源_02物料!$C482="",对接源_02物料!$C482&lt;&gt;$M$1,对接源_02物料!$B482=""),0,IF(OR(N(对接源_02物料!$B482)&lt;$M$2,N(对接源_02物料!$B482)&gt;$M$3),0,1))</f>
        <v>0</v>
      </c>
      <c r="N1682" s="3">
        <f>IF(OR($N$1="",对接源_02物料!$C482="",对接源_02物料!$C482&lt;&gt;$N$1,对接源_02物料!$B482=""),0,IF(OR(N(对接源_02物料!$B482)&lt;$N$2,N(对接源_02物料!$B482)&gt;$N$3),0,1))</f>
        <v>0</v>
      </c>
      <c r="P1682" s="3">
        <f>IF(AND($K1682=1,AND(对接源_02物料!$X482="公司筐",N(对接源_02物料!$T482)&lt;&gt;0)),1,0)</f>
        <v>0</v>
      </c>
      <c r="Q1682" s="3">
        <f t="shared" si="454"/>
        <v>8</v>
      </c>
      <c r="R1682" s="3">
        <f>IF(AND($K1682=1,AND(对接源_02物料!$X482="公司筐",N(对接源_02物料!$U482)&lt;&gt;0)),1,0)</f>
        <v>0</v>
      </c>
      <c r="S1682" s="3">
        <f t="shared" si="455"/>
        <v>0</v>
      </c>
      <c r="T1682" s="3">
        <f>IF(AND($K1682=1,AND(对接源_02物料!$X482="公司筐",N(对接源_02物料!$V482)&lt;&gt;0)),1,0)</f>
        <v>0</v>
      </c>
      <c r="U1682" s="3">
        <f t="shared" si="456"/>
        <v>19</v>
      </c>
      <c r="V1682" s="3">
        <f>IF(AND($L1682=1,AND(对接源_02物料!$X482="自备筐",N(对接源_02物料!$V482)&lt;&gt;0)),1,0)</f>
        <v>0</v>
      </c>
      <c r="W1682" s="3">
        <f t="shared" si="457"/>
        <v>8</v>
      </c>
      <c r="X1682" s="3">
        <f>IF(AND($L1682=1,AND(对接源_02物料!$X482="自备筐",N(对接源_02物料!$T482)&lt;&gt;0)),1,0)</f>
        <v>0</v>
      </c>
      <c r="Y1682" s="3">
        <f t="shared" si="458"/>
        <v>0</v>
      </c>
      <c r="Z1682" s="3">
        <f>IF(AND($M1682=1,对接源_02物料!$D482="原料入库"),1,0)</f>
        <v>0</v>
      </c>
      <c r="AA1682" s="3">
        <f t="shared" si="459"/>
        <v>24</v>
      </c>
      <c r="AB1682" s="3">
        <f>IF(AND($M1682=1,LEFT(对接源_02物料!$D482,4)="原料出库"),1,0)</f>
        <v>0</v>
      </c>
      <c r="AC1682" s="3">
        <f t="shared" si="460"/>
        <v>0</v>
      </c>
      <c r="AD1682" s="3">
        <f>IF(AND($M1682=1,LEFT(对接源_02物料!$D482,4)="成品出库"),1,0)</f>
        <v>0</v>
      </c>
      <c r="AE1682" s="3">
        <f t="shared" si="461"/>
        <v>0</v>
      </c>
      <c r="AF1682" s="3">
        <f>IF(AND($N1682=1,AND(LEFT(对接源_02物料!$D482,4)="包装物料",N(对接源_02物料!$K482)&lt;&gt;0)),1,0)</f>
        <v>0</v>
      </c>
      <c r="AG1682" s="3">
        <f t="shared" si="462"/>
        <v>5</v>
      </c>
      <c r="AH1682" s="3">
        <f>IF(AND($N1682=1,AND(对接源_02物料!$D482="周转筐－销售出库",N(对接源_02物料!$K482)&lt;&gt;0)),1,0)</f>
        <v>0</v>
      </c>
      <c r="AI1682" s="3">
        <f t="shared" si="463"/>
        <v>0</v>
      </c>
      <c r="AL1682" s="3">
        <v>0</v>
      </c>
      <c r="AM1682" s="3">
        <f t="shared" si="464"/>
        <v>1</v>
      </c>
      <c r="AN1682" s="3" t="str">
        <f t="shared" si="451"/>
        <v/>
      </c>
      <c r="AO1682" s="3">
        <v>0</v>
      </c>
      <c r="AP1682" s="3">
        <f t="shared" si="465"/>
        <v>8</v>
      </c>
      <c r="AR1682">
        <f t="shared" si="466"/>
        <v>0</v>
      </c>
      <c r="AS1682">
        <f t="shared" si="467"/>
        <v>5</v>
      </c>
    </row>
    <row r="1683" customHeight="1" spans="1:45">
      <c r="A1683" s="3" t="str">
        <f>IF(对接源_02物料!$C483="","",对接源_02物料!$C483)</f>
        <v/>
      </c>
      <c r="B1683" s="3">
        <f t="shared" si="452"/>
        <v>0</v>
      </c>
      <c r="C1683" s="3">
        <f t="shared" si="453"/>
        <v>21</v>
      </c>
      <c r="K1683" s="3">
        <f>IF(OR($K$1="",对接源_02物料!$C483="",对接源_02物料!$C483&lt;&gt;$K$1,对接源_02物料!$B483=""),0,IF(OR(N(对接源_02物料!$B483)&lt;$K$2,N(对接源_02物料!$B483)&gt;$K$3),0,1))</f>
        <v>0</v>
      </c>
      <c r="L1683" s="3">
        <f>IF(OR($L$1="",对接源_02物料!$C483="",对接源_02物料!$C483&lt;&gt;$L$1,对接源_02物料!$B483=""),0,IF(OR(N(对接源_02物料!$B483)&lt;$L$2,N(对接源_02物料!$B483)&gt;$L$3),0,1))</f>
        <v>0</v>
      </c>
      <c r="M1683" s="3">
        <f>IF(OR($M$1="",对接源_02物料!$C483="",对接源_02物料!$C483&lt;&gt;$M$1,对接源_02物料!$B483=""),0,IF(OR(N(对接源_02物料!$B483)&lt;$M$2,N(对接源_02物料!$B483)&gt;$M$3),0,1))</f>
        <v>0</v>
      </c>
      <c r="N1683" s="3">
        <f>IF(OR($N$1="",对接源_02物料!$C483="",对接源_02物料!$C483&lt;&gt;$N$1,对接源_02物料!$B483=""),0,IF(OR(N(对接源_02物料!$B483)&lt;$N$2,N(对接源_02物料!$B483)&gt;$N$3),0,1))</f>
        <v>0</v>
      </c>
      <c r="P1683" s="3">
        <f>IF(AND($K1683=1,AND(对接源_02物料!$X483="公司筐",N(对接源_02物料!$T483)&lt;&gt;0)),1,0)</f>
        <v>0</v>
      </c>
      <c r="Q1683" s="3">
        <f t="shared" si="454"/>
        <v>8</v>
      </c>
      <c r="R1683" s="3">
        <f>IF(AND($K1683=1,AND(对接源_02物料!$X483="公司筐",N(对接源_02物料!$U483)&lt;&gt;0)),1,0)</f>
        <v>0</v>
      </c>
      <c r="S1683" s="3">
        <f t="shared" si="455"/>
        <v>0</v>
      </c>
      <c r="T1683" s="3">
        <f>IF(AND($K1683=1,AND(对接源_02物料!$X483="公司筐",N(对接源_02物料!$V483)&lt;&gt;0)),1,0)</f>
        <v>0</v>
      </c>
      <c r="U1683" s="3">
        <f t="shared" si="456"/>
        <v>19</v>
      </c>
      <c r="V1683" s="3">
        <f>IF(AND($L1683=1,AND(对接源_02物料!$X483="自备筐",N(对接源_02物料!$V483)&lt;&gt;0)),1,0)</f>
        <v>0</v>
      </c>
      <c r="W1683" s="3">
        <f t="shared" si="457"/>
        <v>8</v>
      </c>
      <c r="X1683" s="3">
        <f>IF(AND($L1683=1,AND(对接源_02物料!$X483="自备筐",N(对接源_02物料!$T483)&lt;&gt;0)),1,0)</f>
        <v>0</v>
      </c>
      <c r="Y1683" s="3">
        <f t="shared" si="458"/>
        <v>0</v>
      </c>
      <c r="Z1683" s="3">
        <f>IF(AND($M1683=1,对接源_02物料!$D483="原料入库"),1,0)</f>
        <v>0</v>
      </c>
      <c r="AA1683" s="3">
        <f t="shared" si="459"/>
        <v>24</v>
      </c>
      <c r="AB1683" s="3">
        <f>IF(AND($M1683=1,LEFT(对接源_02物料!$D483,4)="原料出库"),1,0)</f>
        <v>0</v>
      </c>
      <c r="AC1683" s="3">
        <f t="shared" si="460"/>
        <v>0</v>
      </c>
      <c r="AD1683" s="3">
        <f>IF(AND($M1683=1,LEFT(对接源_02物料!$D483,4)="成品出库"),1,0)</f>
        <v>0</v>
      </c>
      <c r="AE1683" s="3">
        <f t="shared" si="461"/>
        <v>0</v>
      </c>
      <c r="AF1683" s="3">
        <f>IF(AND($N1683=1,AND(LEFT(对接源_02物料!$D483,4)="包装物料",N(对接源_02物料!$K483)&lt;&gt;0)),1,0)</f>
        <v>0</v>
      </c>
      <c r="AG1683" s="3">
        <f t="shared" si="462"/>
        <v>5</v>
      </c>
      <c r="AH1683" s="3">
        <f>IF(AND($N1683=1,AND(对接源_02物料!$D483="周转筐－销售出库",N(对接源_02物料!$K483)&lt;&gt;0)),1,0)</f>
        <v>0</v>
      </c>
      <c r="AI1683" s="3">
        <f t="shared" si="463"/>
        <v>0</v>
      </c>
      <c r="AL1683" s="3">
        <v>0</v>
      </c>
      <c r="AM1683" s="3">
        <f t="shared" si="464"/>
        <v>1</v>
      </c>
      <c r="AN1683" s="3" t="str">
        <f t="shared" si="451"/>
        <v/>
      </c>
      <c r="AO1683" s="3">
        <v>0</v>
      </c>
      <c r="AP1683" s="3">
        <f t="shared" si="465"/>
        <v>8</v>
      </c>
      <c r="AR1683">
        <f t="shared" si="466"/>
        <v>0</v>
      </c>
      <c r="AS1683">
        <f t="shared" si="467"/>
        <v>5</v>
      </c>
    </row>
    <row r="1684" customHeight="1" spans="1:45">
      <c r="A1684" s="3" t="str">
        <f>IF(对接源_02物料!$C484="","",对接源_02物料!$C484)</f>
        <v/>
      </c>
      <c r="B1684" s="3">
        <f t="shared" si="452"/>
        <v>0</v>
      </c>
      <c r="C1684" s="3">
        <f t="shared" si="453"/>
        <v>21</v>
      </c>
      <c r="K1684" s="3">
        <f>IF(OR($K$1="",对接源_02物料!$C484="",对接源_02物料!$C484&lt;&gt;$K$1,对接源_02物料!$B484=""),0,IF(OR(N(对接源_02物料!$B484)&lt;$K$2,N(对接源_02物料!$B484)&gt;$K$3),0,1))</f>
        <v>0</v>
      </c>
      <c r="L1684" s="3">
        <f>IF(OR($L$1="",对接源_02物料!$C484="",对接源_02物料!$C484&lt;&gt;$L$1,对接源_02物料!$B484=""),0,IF(OR(N(对接源_02物料!$B484)&lt;$L$2,N(对接源_02物料!$B484)&gt;$L$3),0,1))</f>
        <v>0</v>
      </c>
      <c r="M1684" s="3">
        <f>IF(OR($M$1="",对接源_02物料!$C484="",对接源_02物料!$C484&lt;&gt;$M$1,对接源_02物料!$B484=""),0,IF(OR(N(对接源_02物料!$B484)&lt;$M$2,N(对接源_02物料!$B484)&gt;$M$3),0,1))</f>
        <v>0</v>
      </c>
      <c r="N1684" s="3">
        <f>IF(OR($N$1="",对接源_02物料!$C484="",对接源_02物料!$C484&lt;&gt;$N$1,对接源_02物料!$B484=""),0,IF(OR(N(对接源_02物料!$B484)&lt;$N$2,N(对接源_02物料!$B484)&gt;$N$3),0,1))</f>
        <v>0</v>
      </c>
      <c r="P1684" s="3">
        <f>IF(AND($K1684=1,AND(对接源_02物料!$X484="公司筐",N(对接源_02物料!$T484)&lt;&gt;0)),1,0)</f>
        <v>0</v>
      </c>
      <c r="Q1684" s="3">
        <f t="shared" si="454"/>
        <v>8</v>
      </c>
      <c r="R1684" s="3">
        <f>IF(AND($K1684=1,AND(对接源_02物料!$X484="公司筐",N(对接源_02物料!$U484)&lt;&gt;0)),1,0)</f>
        <v>0</v>
      </c>
      <c r="S1684" s="3">
        <f t="shared" si="455"/>
        <v>0</v>
      </c>
      <c r="T1684" s="3">
        <f>IF(AND($K1684=1,AND(对接源_02物料!$X484="公司筐",N(对接源_02物料!$V484)&lt;&gt;0)),1,0)</f>
        <v>0</v>
      </c>
      <c r="U1684" s="3">
        <f t="shared" si="456"/>
        <v>19</v>
      </c>
      <c r="V1684" s="3">
        <f>IF(AND($L1684=1,AND(对接源_02物料!$X484="自备筐",N(对接源_02物料!$V484)&lt;&gt;0)),1,0)</f>
        <v>0</v>
      </c>
      <c r="W1684" s="3">
        <f t="shared" si="457"/>
        <v>8</v>
      </c>
      <c r="X1684" s="3">
        <f>IF(AND($L1684=1,AND(对接源_02物料!$X484="自备筐",N(对接源_02物料!$T484)&lt;&gt;0)),1,0)</f>
        <v>0</v>
      </c>
      <c r="Y1684" s="3">
        <f t="shared" si="458"/>
        <v>0</v>
      </c>
      <c r="Z1684" s="3">
        <f>IF(AND($M1684=1,对接源_02物料!$D484="原料入库"),1,0)</f>
        <v>0</v>
      </c>
      <c r="AA1684" s="3">
        <f t="shared" si="459"/>
        <v>24</v>
      </c>
      <c r="AB1684" s="3">
        <f>IF(AND($M1684=1,LEFT(对接源_02物料!$D484,4)="原料出库"),1,0)</f>
        <v>0</v>
      </c>
      <c r="AC1684" s="3">
        <f t="shared" si="460"/>
        <v>0</v>
      </c>
      <c r="AD1684" s="3">
        <f>IF(AND($M1684=1,LEFT(对接源_02物料!$D484,4)="成品出库"),1,0)</f>
        <v>0</v>
      </c>
      <c r="AE1684" s="3">
        <f t="shared" si="461"/>
        <v>0</v>
      </c>
      <c r="AF1684" s="3">
        <f>IF(AND($N1684=1,AND(LEFT(对接源_02物料!$D484,4)="包装物料",N(对接源_02物料!$K484)&lt;&gt;0)),1,0)</f>
        <v>0</v>
      </c>
      <c r="AG1684" s="3">
        <f t="shared" si="462"/>
        <v>5</v>
      </c>
      <c r="AH1684" s="3">
        <f>IF(AND($N1684=1,AND(对接源_02物料!$D484="周转筐－销售出库",N(对接源_02物料!$K484)&lt;&gt;0)),1,0)</f>
        <v>0</v>
      </c>
      <c r="AI1684" s="3">
        <f t="shared" si="463"/>
        <v>0</v>
      </c>
      <c r="AL1684" s="3">
        <v>0</v>
      </c>
      <c r="AM1684" s="3">
        <f t="shared" si="464"/>
        <v>1</v>
      </c>
      <c r="AN1684" s="3" t="str">
        <f t="shared" si="451"/>
        <v/>
      </c>
      <c r="AO1684" s="3">
        <v>0</v>
      </c>
      <c r="AP1684" s="3">
        <f t="shared" si="465"/>
        <v>8</v>
      </c>
      <c r="AR1684">
        <f t="shared" si="466"/>
        <v>0</v>
      </c>
      <c r="AS1684">
        <f t="shared" si="467"/>
        <v>5</v>
      </c>
    </row>
    <row r="1685" customHeight="1" spans="1:45">
      <c r="A1685" s="3" t="str">
        <f>IF(对接源_02物料!$C485="","",对接源_02物料!$C485)</f>
        <v/>
      </c>
      <c r="B1685" s="3">
        <f t="shared" si="452"/>
        <v>0</v>
      </c>
      <c r="C1685" s="3">
        <f t="shared" si="453"/>
        <v>21</v>
      </c>
      <c r="K1685" s="3">
        <f>IF(OR($K$1="",对接源_02物料!$C485="",对接源_02物料!$C485&lt;&gt;$K$1,对接源_02物料!$B485=""),0,IF(OR(N(对接源_02物料!$B485)&lt;$K$2,N(对接源_02物料!$B485)&gt;$K$3),0,1))</f>
        <v>0</v>
      </c>
      <c r="L1685" s="3">
        <f>IF(OR($L$1="",对接源_02物料!$C485="",对接源_02物料!$C485&lt;&gt;$L$1,对接源_02物料!$B485=""),0,IF(OR(N(对接源_02物料!$B485)&lt;$L$2,N(对接源_02物料!$B485)&gt;$L$3),0,1))</f>
        <v>0</v>
      </c>
      <c r="M1685" s="3">
        <f>IF(OR($M$1="",对接源_02物料!$C485="",对接源_02物料!$C485&lt;&gt;$M$1,对接源_02物料!$B485=""),0,IF(OR(N(对接源_02物料!$B485)&lt;$M$2,N(对接源_02物料!$B485)&gt;$M$3),0,1))</f>
        <v>0</v>
      </c>
      <c r="N1685" s="3">
        <f>IF(OR($N$1="",对接源_02物料!$C485="",对接源_02物料!$C485&lt;&gt;$N$1,对接源_02物料!$B485=""),0,IF(OR(N(对接源_02物料!$B485)&lt;$N$2,N(对接源_02物料!$B485)&gt;$N$3),0,1))</f>
        <v>0</v>
      </c>
      <c r="P1685" s="3">
        <f>IF(AND($K1685=1,AND(对接源_02物料!$X485="公司筐",N(对接源_02物料!$T485)&lt;&gt;0)),1,0)</f>
        <v>0</v>
      </c>
      <c r="Q1685" s="3">
        <f t="shared" si="454"/>
        <v>8</v>
      </c>
      <c r="R1685" s="3">
        <f>IF(AND($K1685=1,AND(对接源_02物料!$X485="公司筐",N(对接源_02物料!$U485)&lt;&gt;0)),1,0)</f>
        <v>0</v>
      </c>
      <c r="S1685" s="3">
        <f t="shared" si="455"/>
        <v>0</v>
      </c>
      <c r="T1685" s="3">
        <f>IF(AND($K1685=1,AND(对接源_02物料!$X485="公司筐",N(对接源_02物料!$V485)&lt;&gt;0)),1,0)</f>
        <v>0</v>
      </c>
      <c r="U1685" s="3">
        <f t="shared" si="456"/>
        <v>19</v>
      </c>
      <c r="V1685" s="3">
        <f>IF(AND($L1685=1,AND(对接源_02物料!$X485="自备筐",N(对接源_02物料!$V485)&lt;&gt;0)),1,0)</f>
        <v>0</v>
      </c>
      <c r="W1685" s="3">
        <f t="shared" si="457"/>
        <v>8</v>
      </c>
      <c r="X1685" s="3">
        <f>IF(AND($L1685=1,AND(对接源_02物料!$X485="自备筐",N(对接源_02物料!$T485)&lt;&gt;0)),1,0)</f>
        <v>0</v>
      </c>
      <c r="Y1685" s="3">
        <f t="shared" si="458"/>
        <v>0</v>
      </c>
      <c r="Z1685" s="3">
        <f>IF(AND($M1685=1,对接源_02物料!$D485="原料入库"),1,0)</f>
        <v>0</v>
      </c>
      <c r="AA1685" s="3">
        <f t="shared" si="459"/>
        <v>24</v>
      </c>
      <c r="AB1685" s="3">
        <f>IF(AND($M1685=1,LEFT(对接源_02物料!$D485,4)="原料出库"),1,0)</f>
        <v>0</v>
      </c>
      <c r="AC1685" s="3">
        <f t="shared" si="460"/>
        <v>0</v>
      </c>
      <c r="AD1685" s="3">
        <f>IF(AND($M1685=1,LEFT(对接源_02物料!$D485,4)="成品出库"),1,0)</f>
        <v>0</v>
      </c>
      <c r="AE1685" s="3">
        <f t="shared" si="461"/>
        <v>0</v>
      </c>
      <c r="AF1685" s="3">
        <f>IF(AND($N1685=1,AND(LEFT(对接源_02物料!$D485,4)="包装物料",N(对接源_02物料!$K485)&lt;&gt;0)),1,0)</f>
        <v>0</v>
      </c>
      <c r="AG1685" s="3">
        <f t="shared" si="462"/>
        <v>5</v>
      </c>
      <c r="AH1685" s="3">
        <f>IF(AND($N1685=1,AND(对接源_02物料!$D485="周转筐－销售出库",N(对接源_02物料!$K485)&lt;&gt;0)),1,0)</f>
        <v>0</v>
      </c>
      <c r="AI1685" s="3">
        <f t="shared" si="463"/>
        <v>0</v>
      </c>
      <c r="AL1685" s="3">
        <v>0</v>
      </c>
      <c r="AM1685" s="3">
        <f t="shared" si="464"/>
        <v>1</v>
      </c>
      <c r="AN1685" s="3" t="str">
        <f t="shared" si="451"/>
        <v/>
      </c>
      <c r="AO1685" s="3">
        <v>0</v>
      </c>
      <c r="AP1685" s="3">
        <f t="shared" si="465"/>
        <v>8</v>
      </c>
      <c r="AR1685">
        <f t="shared" si="466"/>
        <v>0</v>
      </c>
      <c r="AS1685">
        <f t="shared" si="467"/>
        <v>5</v>
      </c>
    </row>
    <row r="1686" customHeight="1" spans="1:45">
      <c r="A1686" s="3" t="str">
        <f>IF(对接源_02物料!$C486="","",对接源_02物料!$C486)</f>
        <v/>
      </c>
      <c r="B1686" s="3">
        <f t="shared" si="452"/>
        <v>0</v>
      </c>
      <c r="C1686" s="3">
        <f t="shared" si="453"/>
        <v>21</v>
      </c>
      <c r="K1686" s="3">
        <f>IF(OR($K$1="",对接源_02物料!$C486="",对接源_02物料!$C486&lt;&gt;$K$1,对接源_02物料!$B486=""),0,IF(OR(N(对接源_02物料!$B486)&lt;$K$2,N(对接源_02物料!$B486)&gt;$K$3),0,1))</f>
        <v>0</v>
      </c>
      <c r="L1686" s="3">
        <f>IF(OR($L$1="",对接源_02物料!$C486="",对接源_02物料!$C486&lt;&gt;$L$1,对接源_02物料!$B486=""),0,IF(OR(N(对接源_02物料!$B486)&lt;$L$2,N(对接源_02物料!$B486)&gt;$L$3),0,1))</f>
        <v>0</v>
      </c>
      <c r="M1686" s="3">
        <f>IF(OR($M$1="",对接源_02物料!$C486="",对接源_02物料!$C486&lt;&gt;$M$1,对接源_02物料!$B486=""),0,IF(OR(N(对接源_02物料!$B486)&lt;$M$2,N(对接源_02物料!$B486)&gt;$M$3),0,1))</f>
        <v>0</v>
      </c>
      <c r="N1686" s="3">
        <f>IF(OR($N$1="",对接源_02物料!$C486="",对接源_02物料!$C486&lt;&gt;$N$1,对接源_02物料!$B486=""),0,IF(OR(N(对接源_02物料!$B486)&lt;$N$2,N(对接源_02物料!$B486)&gt;$N$3),0,1))</f>
        <v>0</v>
      </c>
      <c r="P1686" s="3">
        <f>IF(AND($K1686=1,AND(对接源_02物料!$X486="公司筐",N(对接源_02物料!$T486)&lt;&gt;0)),1,0)</f>
        <v>0</v>
      </c>
      <c r="Q1686" s="3">
        <f t="shared" si="454"/>
        <v>8</v>
      </c>
      <c r="R1686" s="3">
        <f>IF(AND($K1686=1,AND(对接源_02物料!$X486="公司筐",N(对接源_02物料!$U486)&lt;&gt;0)),1,0)</f>
        <v>0</v>
      </c>
      <c r="S1686" s="3">
        <f t="shared" si="455"/>
        <v>0</v>
      </c>
      <c r="T1686" s="3">
        <f>IF(AND($K1686=1,AND(对接源_02物料!$X486="公司筐",N(对接源_02物料!$V486)&lt;&gt;0)),1,0)</f>
        <v>0</v>
      </c>
      <c r="U1686" s="3">
        <f t="shared" si="456"/>
        <v>19</v>
      </c>
      <c r="V1686" s="3">
        <f>IF(AND($L1686=1,AND(对接源_02物料!$X486="自备筐",N(对接源_02物料!$V486)&lt;&gt;0)),1,0)</f>
        <v>0</v>
      </c>
      <c r="W1686" s="3">
        <f t="shared" si="457"/>
        <v>8</v>
      </c>
      <c r="X1686" s="3">
        <f>IF(AND($L1686=1,AND(对接源_02物料!$X486="自备筐",N(对接源_02物料!$T486)&lt;&gt;0)),1,0)</f>
        <v>0</v>
      </c>
      <c r="Y1686" s="3">
        <f t="shared" si="458"/>
        <v>0</v>
      </c>
      <c r="Z1686" s="3">
        <f>IF(AND($M1686=1,对接源_02物料!$D486="原料入库"),1,0)</f>
        <v>0</v>
      </c>
      <c r="AA1686" s="3">
        <f t="shared" si="459"/>
        <v>24</v>
      </c>
      <c r="AB1686" s="3">
        <f>IF(AND($M1686=1,LEFT(对接源_02物料!$D486,4)="原料出库"),1,0)</f>
        <v>0</v>
      </c>
      <c r="AC1686" s="3">
        <f t="shared" si="460"/>
        <v>0</v>
      </c>
      <c r="AD1686" s="3">
        <f>IF(AND($M1686=1,LEFT(对接源_02物料!$D486,4)="成品出库"),1,0)</f>
        <v>0</v>
      </c>
      <c r="AE1686" s="3">
        <f t="shared" si="461"/>
        <v>0</v>
      </c>
      <c r="AF1686" s="3">
        <f>IF(AND($N1686=1,AND(LEFT(对接源_02物料!$D486,4)="包装物料",N(对接源_02物料!$K486)&lt;&gt;0)),1,0)</f>
        <v>0</v>
      </c>
      <c r="AG1686" s="3">
        <f t="shared" si="462"/>
        <v>5</v>
      </c>
      <c r="AH1686" s="3">
        <f>IF(AND($N1686=1,AND(对接源_02物料!$D486="周转筐－销售出库",N(对接源_02物料!$K486)&lt;&gt;0)),1,0)</f>
        <v>0</v>
      </c>
      <c r="AI1686" s="3">
        <f t="shared" si="463"/>
        <v>0</v>
      </c>
      <c r="AL1686" s="3">
        <v>0</v>
      </c>
      <c r="AM1686" s="3">
        <f t="shared" si="464"/>
        <v>1</v>
      </c>
      <c r="AN1686" s="3" t="str">
        <f t="shared" si="451"/>
        <v/>
      </c>
      <c r="AO1686" s="3">
        <v>0</v>
      </c>
      <c r="AP1686" s="3">
        <f t="shared" si="465"/>
        <v>8</v>
      </c>
      <c r="AR1686">
        <f t="shared" si="466"/>
        <v>0</v>
      </c>
      <c r="AS1686">
        <f t="shared" si="467"/>
        <v>5</v>
      </c>
    </row>
    <row r="1687" customHeight="1" spans="1:45">
      <c r="A1687" s="3" t="str">
        <f>IF(对接源_02物料!$C487="","",对接源_02物料!$C487)</f>
        <v/>
      </c>
      <c r="B1687" s="3">
        <f t="shared" si="452"/>
        <v>0</v>
      </c>
      <c r="C1687" s="3">
        <f t="shared" si="453"/>
        <v>21</v>
      </c>
      <c r="K1687" s="3">
        <f>IF(OR($K$1="",对接源_02物料!$C487="",对接源_02物料!$C487&lt;&gt;$K$1,对接源_02物料!$B487=""),0,IF(OR(N(对接源_02物料!$B487)&lt;$K$2,N(对接源_02物料!$B487)&gt;$K$3),0,1))</f>
        <v>0</v>
      </c>
      <c r="L1687" s="3">
        <f>IF(OR($L$1="",对接源_02物料!$C487="",对接源_02物料!$C487&lt;&gt;$L$1,对接源_02物料!$B487=""),0,IF(OR(N(对接源_02物料!$B487)&lt;$L$2,N(对接源_02物料!$B487)&gt;$L$3),0,1))</f>
        <v>0</v>
      </c>
      <c r="M1687" s="3">
        <f>IF(OR($M$1="",对接源_02物料!$C487="",对接源_02物料!$C487&lt;&gt;$M$1,对接源_02物料!$B487=""),0,IF(OR(N(对接源_02物料!$B487)&lt;$M$2,N(对接源_02物料!$B487)&gt;$M$3),0,1))</f>
        <v>0</v>
      </c>
      <c r="N1687" s="3">
        <f>IF(OR($N$1="",对接源_02物料!$C487="",对接源_02物料!$C487&lt;&gt;$N$1,对接源_02物料!$B487=""),0,IF(OR(N(对接源_02物料!$B487)&lt;$N$2,N(对接源_02物料!$B487)&gt;$N$3),0,1))</f>
        <v>0</v>
      </c>
      <c r="P1687" s="3">
        <f>IF(AND($K1687=1,AND(对接源_02物料!$X487="公司筐",N(对接源_02物料!$T487)&lt;&gt;0)),1,0)</f>
        <v>0</v>
      </c>
      <c r="Q1687" s="3">
        <f t="shared" si="454"/>
        <v>8</v>
      </c>
      <c r="R1687" s="3">
        <f>IF(AND($K1687=1,AND(对接源_02物料!$X487="公司筐",N(对接源_02物料!$U487)&lt;&gt;0)),1,0)</f>
        <v>0</v>
      </c>
      <c r="S1687" s="3">
        <f t="shared" si="455"/>
        <v>0</v>
      </c>
      <c r="T1687" s="3">
        <f>IF(AND($K1687=1,AND(对接源_02物料!$X487="公司筐",N(对接源_02物料!$V487)&lt;&gt;0)),1,0)</f>
        <v>0</v>
      </c>
      <c r="U1687" s="3">
        <f t="shared" si="456"/>
        <v>19</v>
      </c>
      <c r="V1687" s="3">
        <f>IF(AND($L1687=1,AND(对接源_02物料!$X487="自备筐",N(对接源_02物料!$V487)&lt;&gt;0)),1,0)</f>
        <v>0</v>
      </c>
      <c r="W1687" s="3">
        <f t="shared" si="457"/>
        <v>8</v>
      </c>
      <c r="X1687" s="3">
        <f>IF(AND($L1687=1,AND(对接源_02物料!$X487="自备筐",N(对接源_02物料!$T487)&lt;&gt;0)),1,0)</f>
        <v>0</v>
      </c>
      <c r="Y1687" s="3">
        <f t="shared" si="458"/>
        <v>0</v>
      </c>
      <c r="Z1687" s="3">
        <f>IF(AND($M1687=1,对接源_02物料!$D487="原料入库"),1,0)</f>
        <v>0</v>
      </c>
      <c r="AA1687" s="3">
        <f t="shared" si="459"/>
        <v>24</v>
      </c>
      <c r="AB1687" s="3">
        <f>IF(AND($M1687=1,LEFT(对接源_02物料!$D487,4)="原料出库"),1,0)</f>
        <v>0</v>
      </c>
      <c r="AC1687" s="3">
        <f t="shared" si="460"/>
        <v>0</v>
      </c>
      <c r="AD1687" s="3">
        <f>IF(AND($M1687=1,LEFT(对接源_02物料!$D487,4)="成品出库"),1,0)</f>
        <v>0</v>
      </c>
      <c r="AE1687" s="3">
        <f t="shared" si="461"/>
        <v>0</v>
      </c>
      <c r="AF1687" s="3">
        <f>IF(AND($N1687=1,AND(LEFT(对接源_02物料!$D487,4)="包装物料",N(对接源_02物料!$K487)&lt;&gt;0)),1,0)</f>
        <v>0</v>
      </c>
      <c r="AG1687" s="3">
        <f t="shared" si="462"/>
        <v>5</v>
      </c>
      <c r="AH1687" s="3">
        <f>IF(AND($N1687=1,AND(对接源_02物料!$D487="周转筐－销售出库",N(对接源_02物料!$K487)&lt;&gt;0)),1,0)</f>
        <v>0</v>
      </c>
      <c r="AI1687" s="3">
        <f t="shared" si="463"/>
        <v>0</v>
      </c>
      <c r="AL1687" s="3">
        <v>0</v>
      </c>
      <c r="AM1687" s="3">
        <f t="shared" si="464"/>
        <v>1</v>
      </c>
      <c r="AN1687" s="3" t="str">
        <f t="shared" si="451"/>
        <v/>
      </c>
      <c r="AO1687" s="3">
        <v>0</v>
      </c>
      <c r="AP1687" s="3">
        <f t="shared" si="465"/>
        <v>8</v>
      </c>
      <c r="AR1687">
        <f t="shared" si="466"/>
        <v>0</v>
      </c>
      <c r="AS1687">
        <f t="shared" si="467"/>
        <v>5</v>
      </c>
    </row>
    <row r="1688" customHeight="1" spans="1:45">
      <c r="A1688" s="3" t="str">
        <f>IF(对接源_02物料!$C488="","",对接源_02物料!$C488)</f>
        <v/>
      </c>
      <c r="B1688" s="3">
        <f t="shared" si="452"/>
        <v>0</v>
      </c>
      <c r="C1688" s="3">
        <f t="shared" si="453"/>
        <v>21</v>
      </c>
      <c r="K1688" s="3">
        <f>IF(OR($K$1="",对接源_02物料!$C488="",对接源_02物料!$C488&lt;&gt;$K$1,对接源_02物料!$B488=""),0,IF(OR(N(对接源_02物料!$B488)&lt;$K$2,N(对接源_02物料!$B488)&gt;$K$3),0,1))</f>
        <v>0</v>
      </c>
      <c r="L1688" s="3">
        <f>IF(OR($L$1="",对接源_02物料!$C488="",对接源_02物料!$C488&lt;&gt;$L$1,对接源_02物料!$B488=""),0,IF(OR(N(对接源_02物料!$B488)&lt;$L$2,N(对接源_02物料!$B488)&gt;$L$3),0,1))</f>
        <v>0</v>
      </c>
      <c r="M1688" s="3">
        <f>IF(OR($M$1="",对接源_02物料!$C488="",对接源_02物料!$C488&lt;&gt;$M$1,对接源_02物料!$B488=""),0,IF(OR(N(对接源_02物料!$B488)&lt;$M$2,N(对接源_02物料!$B488)&gt;$M$3),0,1))</f>
        <v>0</v>
      </c>
      <c r="N1688" s="3">
        <f>IF(OR($N$1="",对接源_02物料!$C488="",对接源_02物料!$C488&lt;&gt;$N$1,对接源_02物料!$B488=""),0,IF(OR(N(对接源_02物料!$B488)&lt;$N$2,N(对接源_02物料!$B488)&gt;$N$3),0,1))</f>
        <v>0</v>
      </c>
      <c r="P1688" s="3">
        <f>IF(AND($K1688=1,AND(对接源_02物料!$X488="公司筐",N(对接源_02物料!$T488)&lt;&gt;0)),1,0)</f>
        <v>0</v>
      </c>
      <c r="Q1688" s="3">
        <f t="shared" si="454"/>
        <v>8</v>
      </c>
      <c r="R1688" s="3">
        <f>IF(AND($K1688=1,AND(对接源_02物料!$X488="公司筐",N(对接源_02物料!$U488)&lt;&gt;0)),1,0)</f>
        <v>0</v>
      </c>
      <c r="S1688" s="3">
        <f t="shared" si="455"/>
        <v>0</v>
      </c>
      <c r="T1688" s="3">
        <f>IF(AND($K1688=1,AND(对接源_02物料!$X488="公司筐",N(对接源_02物料!$V488)&lt;&gt;0)),1,0)</f>
        <v>0</v>
      </c>
      <c r="U1688" s="3">
        <f t="shared" si="456"/>
        <v>19</v>
      </c>
      <c r="V1688" s="3">
        <f>IF(AND($L1688=1,AND(对接源_02物料!$X488="自备筐",N(对接源_02物料!$V488)&lt;&gt;0)),1,0)</f>
        <v>0</v>
      </c>
      <c r="W1688" s="3">
        <f t="shared" si="457"/>
        <v>8</v>
      </c>
      <c r="X1688" s="3">
        <f>IF(AND($L1688=1,AND(对接源_02物料!$X488="自备筐",N(对接源_02物料!$T488)&lt;&gt;0)),1,0)</f>
        <v>0</v>
      </c>
      <c r="Y1688" s="3">
        <f t="shared" si="458"/>
        <v>0</v>
      </c>
      <c r="Z1688" s="3">
        <f>IF(AND($M1688=1,对接源_02物料!$D488="原料入库"),1,0)</f>
        <v>0</v>
      </c>
      <c r="AA1688" s="3">
        <f t="shared" si="459"/>
        <v>24</v>
      </c>
      <c r="AB1688" s="3">
        <f>IF(AND($M1688=1,LEFT(对接源_02物料!$D488,4)="原料出库"),1,0)</f>
        <v>0</v>
      </c>
      <c r="AC1688" s="3">
        <f t="shared" si="460"/>
        <v>0</v>
      </c>
      <c r="AD1688" s="3">
        <f>IF(AND($M1688=1,LEFT(对接源_02物料!$D488,4)="成品出库"),1,0)</f>
        <v>0</v>
      </c>
      <c r="AE1688" s="3">
        <f t="shared" si="461"/>
        <v>0</v>
      </c>
      <c r="AF1688" s="3">
        <f>IF(AND($N1688=1,AND(LEFT(对接源_02物料!$D488,4)="包装物料",N(对接源_02物料!$K488)&lt;&gt;0)),1,0)</f>
        <v>0</v>
      </c>
      <c r="AG1688" s="3">
        <f t="shared" si="462"/>
        <v>5</v>
      </c>
      <c r="AH1688" s="3">
        <f>IF(AND($N1688=1,AND(对接源_02物料!$D488="周转筐－销售出库",N(对接源_02物料!$K488)&lt;&gt;0)),1,0)</f>
        <v>0</v>
      </c>
      <c r="AI1688" s="3">
        <f t="shared" si="463"/>
        <v>0</v>
      </c>
      <c r="AL1688" s="3">
        <v>0</v>
      </c>
      <c r="AM1688" s="3">
        <f t="shared" si="464"/>
        <v>1</v>
      </c>
      <c r="AN1688" s="3" t="str">
        <f t="shared" si="451"/>
        <v/>
      </c>
      <c r="AO1688" s="3">
        <v>0</v>
      </c>
      <c r="AP1688" s="3">
        <f t="shared" si="465"/>
        <v>8</v>
      </c>
      <c r="AR1688">
        <f t="shared" si="466"/>
        <v>0</v>
      </c>
      <c r="AS1688">
        <f t="shared" si="467"/>
        <v>5</v>
      </c>
    </row>
    <row r="1689" customHeight="1" spans="1:45">
      <c r="A1689" s="3" t="str">
        <f>IF(对接源_02物料!$C489="","",对接源_02物料!$C489)</f>
        <v/>
      </c>
      <c r="B1689" s="3">
        <f t="shared" si="452"/>
        <v>0</v>
      </c>
      <c r="C1689" s="3">
        <f t="shared" si="453"/>
        <v>21</v>
      </c>
      <c r="K1689" s="3">
        <f>IF(OR($K$1="",对接源_02物料!$C489="",对接源_02物料!$C489&lt;&gt;$K$1,对接源_02物料!$B489=""),0,IF(OR(N(对接源_02物料!$B489)&lt;$K$2,N(对接源_02物料!$B489)&gt;$K$3),0,1))</f>
        <v>0</v>
      </c>
      <c r="L1689" s="3">
        <f>IF(OR($L$1="",对接源_02物料!$C489="",对接源_02物料!$C489&lt;&gt;$L$1,对接源_02物料!$B489=""),0,IF(OR(N(对接源_02物料!$B489)&lt;$L$2,N(对接源_02物料!$B489)&gt;$L$3),0,1))</f>
        <v>0</v>
      </c>
      <c r="M1689" s="3">
        <f>IF(OR($M$1="",对接源_02物料!$C489="",对接源_02物料!$C489&lt;&gt;$M$1,对接源_02物料!$B489=""),0,IF(OR(N(对接源_02物料!$B489)&lt;$M$2,N(对接源_02物料!$B489)&gt;$M$3),0,1))</f>
        <v>0</v>
      </c>
      <c r="N1689" s="3">
        <f>IF(OR($N$1="",对接源_02物料!$C489="",对接源_02物料!$C489&lt;&gt;$N$1,对接源_02物料!$B489=""),0,IF(OR(N(对接源_02物料!$B489)&lt;$N$2,N(对接源_02物料!$B489)&gt;$N$3),0,1))</f>
        <v>0</v>
      </c>
      <c r="P1689" s="3">
        <f>IF(AND($K1689=1,AND(对接源_02物料!$X489="公司筐",N(对接源_02物料!$T489)&lt;&gt;0)),1,0)</f>
        <v>0</v>
      </c>
      <c r="Q1689" s="3">
        <f t="shared" si="454"/>
        <v>8</v>
      </c>
      <c r="R1689" s="3">
        <f>IF(AND($K1689=1,AND(对接源_02物料!$X489="公司筐",N(对接源_02物料!$U489)&lt;&gt;0)),1,0)</f>
        <v>0</v>
      </c>
      <c r="S1689" s="3">
        <f t="shared" si="455"/>
        <v>0</v>
      </c>
      <c r="T1689" s="3">
        <f>IF(AND($K1689=1,AND(对接源_02物料!$X489="公司筐",N(对接源_02物料!$V489)&lt;&gt;0)),1,0)</f>
        <v>0</v>
      </c>
      <c r="U1689" s="3">
        <f t="shared" si="456"/>
        <v>19</v>
      </c>
      <c r="V1689" s="3">
        <f>IF(AND($L1689=1,AND(对接源_02物料!$X489="自备筐",N(对接源_02物料!$V489)&lt;&gt;0)),1,0)</f>
        <v>0</v>
      </c>
      <c r="W1689" s="3">
        <f t="shared" si="457"/>
        <v>8</v>
      </c>
      <c r="X1689" s="3">
        <f>IF(AND($L1689=1,AND(对接源_02物料!$X489="自备筐",N(对接源_02物料!$T489)&lt;&gt;0)),1,0)</f>
        <v>0</v>
      </c>
      <c r="Y1689" s="3">
        <f t="shared" si="458"/>
        <v>0</v>
      </c>
      <c r="Z1689" s="3">
        <f>IF(AND($M1689=1,对接源_02物料!$D489="原料入库"),1,0)</f>
        <v>0</v>
      </c>
      <c r="AA1689" s="3">
        <f t="shared" si="459"/>
        <v>24</v>
      </c>
      <c r="AB1689" s="3">
        <f>IF(AND($M1689=1,LEFT(对接源_02物料!$D489,4)="原料出库"),1,0)</f>
        <v>0</v>
      </c>
      <c r="AC1689" s="3">
        <f t="shared" si="460"/>
        <v>0</v>
      </c>
      <c r="AD1689" s="3">
        <f>IF(AND($M1689=1,LEFT(对接源_02物料!$D489,4)="成品出库"),1,0)</f>
        <v>0</v>
      </c>
      <c r="AE1689" s="3">
        <f t="shared" si="461"/>
        <v>0</v>
      </c>
      <c r="AF1689" s="3">
        <f>IF(AND($N1689=1,AND(LEFT(对接源_02物料!$D489,4)="包装物料",N(对接源_02物料!$K489)&lt;&gt;0)),1,0)</f>
        <v>0</v>
      </c>
      <c r="AG1689" s="3">
        <f t="shared" si="462"/>
        <v>5</v>
      </c>
      <c r="AH1689" s="3">
        <f>IF(AND($N1689=1,AND(对接源_02物料!$D489="周转筐－销售出库",N(对接源_02物料!$K489)&lt;&gt;0)),1,0)</f>
        <v>0</v>
      </c>
      <c r="AI1689" s="3">
        <f t="shared" si="463"/>
        <v>0</v>
      </c>
      <c r="AL1689" s="3">
        <v>0</v>
      </c>
      <c r="AM1689" s="3">
        <f t="shared" si="464"/>
        <v>1</v>
      </c>
      <c r="AN1689" s="3" t="str">
        <f t="shared" si="451"/>
        <v/>
      </c>
      <c r="AO1689" s="3">
        <v>0</v>
      </c>
      <c r="AP1689" s="3">
        <f t="shared" si="465"/>
        <v>8</v>
      </c>
      <c r="AR1689">
        <f t="shared" si="466"/>
        <v>0</v>
      </c>
      <c r="AS1689">
        <f t="shared" si="467"/>
        <v>5</v>
      </c>
    </row>
    <row r="1690" customHeight="1" spans="1:45">
      <c r="A1690" s="3" t="str">
        <f>IF(对接源_02物料!$C490="","",对接源_02物料!$C490)</f>
        <v/>
      </c>
      <c r="B1690" s="3">
        <f t="shared" si="452"/>
        <v>0</v>
      </c>
      <c r="C1690" s="3">
        <f t="shared" si="453"/>
        <v>21</v>
      </c>
      <c r="K1690" s="3">
        <f>IF(OR($K$1="",对接源_02物料!$C490="",对接源_02物料!$C490&lt;&gt;$K$1,对接源_02物料!$B490=""),0,IF(OR(N(对接源_02物料!$B490)&lt;$K$2,N(对接源_02物料!$B490)&gt;$K$3),0,1))</f>
        <v>0</v>
      </c>
      <c r="L1690" s="3">
        <f>IF(OR($L$1="",对接源_02物料!$C490="",对接源_02物料!$C490&lt;&gt;$L$1,对接源_02物料!$B490=""),0,IF(OR(N(对接源_02物料!$B490)&lt;$L$2,N(对接源_02物料!$B490)&gt;$L$3),0,1))</f>
        <v>0</v>
      </c>
      <c r="M1690" s="3">
        <f>IF(OR($M$1="",对接源_02物料!$C490="",对接源_02物料!$C490&lt;&gt;$M$1,对接源_02物料!$B490=""),0,IF(OR(N(对接源_02物料!$B490)&lt;$M$2,N(对接源_02物料!$B490)&gt;$M$3),0,1))</f>
        <v>0</v>
      </c>
      <c r="N1690" s="3">
        <f>IF(OR($N$1="",对接源_02物料!$C490="",对接源_02物料!$C490&lt;&gt;$N$1,对接源_02物料!$B490=""),0,IF(OR(N(对接源_02物料!$B490)&lt;$N$2,N(对接源_02物料!$B490)&gt;$N$3),0,1))</f>
        <v>0</v>
      </c>
      <c r="P1690" s="3">
        <f>IF(AND($K1690=1,AND(对接源_02物料!$X490="公司筐",N(对接源_02物料!$T490)&lt;&gt;0)),1,0)</f>
        <v>0</v>
      </c>
      <c r="Q1690" s="3">
        <f t="shared" si="454"/>
        <v>8</v>
      </c>
      <c r="R1690" s="3">
        <f>IF(AND($K1690=1,AND(对接源_02物料!$X490="公司筐",N(对接源_02物料!$U490)&lt;&gt;0)),1,0)</f>
        <v>0</v>
      </c>
      <c r="S1690" s="3">
        <f t="shared" si="455"/>
        <v>0</v>
      </c>
      <c r="T1690" s="3">
        <f>IF(AND($K1690=1,AND(对接源_02物料!$X490="公司筐",N(对接源_02物料!$V490)&lt;&gt;0)),1,0)</f>
        <v>0</v>
      </c>
      <c r="U1690" s="3">
        <f t="shared" si="456"/>
        <v>19</v>
      </c>
      <c r="V1690" s="3">
        <f>IF(AND($L1690=1,AND(对接源_02物料!$X490="自备筐",N(对接源_02物料!$V490)&lt;&gt;0)),1,0)</f>
        <v>0</v>
      </c>
      <c r="W1690" s="3">
        <f t="shared" si="457"/>
        <v>8</v>
      </c>
      <c r="X1690" s="3">
        <f>IF(AND($L1690=1,AND(对接源_02物料!$X490="自备筐",N(对接源_02物料!$T490)&lt;&gt;0)),1,0)</f>
        <v>0</v>
      </c>
      <c r="Y1690" s="3">
        <f t="shared" si="458"/>
        <v>0</v>
      </c>
      <c r="Z1690" s="3">
        <f>IF(AND($M1690=1,对接源_02物料!$D490="原料入库"),1,0)</f>
        <v>0</v>
      </c>
      <c r="AA1690" s="3">
        <f t="shared" si="459"/>
        <v>24</v>
      </c>
      <c r="AB1690" s="3">
        <f>IF(AND($M1690=1,LEFT(对接源_02物料!$D490,4)="原料出库"),1,0)</f>
        <v>0</v>
      </c>
      <c r="AC1690" s="3">
        <f t="shared" si="460"/>
        <v>0</v>
      </c>
      <c r="AD1690" s="3">
        <f>IF(AND($M1690=1,LEFT(对接源_02物料!$D490,4)="成品出库"),1,0)</f>
        <v>0</v>
      </c>
      <c r="AE1690" s="3">
        <f t="shared" si="461"/>
        <v>0</v>
      </c>
      <c r="AF1690" s="3">
        <f>IF(AND($N1690=1,AND(LEFT(对接源_02物料!$D490,4)="包装物料",N(对接源_02物料!$K490)&lt;&gt;0)),1,0)</f>
        <v>0</v>
      </c>
      <c r="AG1690" s="3">
        <f t="shared" si="462"/>
        <v>5</v>
      </c>
      <c r="AH1690" s="3">
        <f>IF(AND($N1690=1,AND(对接源_02物料!$D490="周转筐－销售出库",N(对接源_02物料!$K490)&lt;&gt;0)),1,0)</f>
        <v>0</v>
      </c>
      <c r="AI1690" s="3">
        <f t="shared" si="463"/>
        <v>0</v>
      </c>
      <c r="AL1690" s="3">
        <v>0</v>
      </c>
      <c r="AM1690" s="3">
        <f t="shared" si="464"/>
        <v>1</v>
      </c>
      <c r="AN1690" s="3" t="str">
        <f t="shared" si="451"/>
        <v/>
      </c>
      <c r="AO1690" s="3">
        <v>0</v>
      </c>
      <c r="AP1690" s="3">
        <f t="shared" si="465"/>
        <v>8</v>
      </c>
      <c r="AR1690">
        <f t="shared" si="466"/>
        <v>0</v>
      </c>
      <c r="AS1690">
        <f t="shared" si="467"/>
        <v>5</v>
      </c>
    </row>
    <row r="1691" customHeight="1" spans="1:45">
      <c r="A1691" s="3" t="str">
        <f>IF(对接源_02物料!$C491="","",对接源_02物料!$C491)</f>
        <v/>
      </c>
      <c r="B1691" s="3">
        <f t="shared" si="452"/>
        <v>0</v>
      </c>
      <c r="C1691" s="3">
        <f t="shared" si="453"/>
        <v>21</v>
      </c>
      <c r="K1691" s="3">
        <f>IF(OR($K$1="",对接源_02物料!$C491="",对接源_02物料!$C491&lt;&gt;$K$1,对接源_02物料!$B491=""),0,IF(OR(N(对接源_02物料!$B491)&lt;$K$2,N(对接源_02物料!$B491)&gt;$K$3),0,1))</f>
        <v>0</v>
      </c>
      <c r="L1691" s="3">
        <f>IF(OR($L$1="",对接源_02物料!$C491="",对接源_02物料!$C491&lt;&gt;$L$1,对接源_02物料!$B491=""),0,IF(OR(N(对接源_02物料!$B491)&lt;$L$2,N(对接源_02物料!$B491)&gt;$L$3),0,1))</f>
        <v>0</v>
      </c>
      <c r="M1691" s="3">
        <f>IF(OR($M$1="",对接源_02物料!$C491="",对接源_02物料!$C491&lt;&gt;$M$1,对接源_02物料!$B491=""),0,IF(OR(N(对接源_02物料!$B491)&lt;$M$2,N(对接源_02物料!$B491)&gt;$M$3),0,1))</f>
        <v>0</v>
      </c>
      <c r="N1691" s="3">
        <f>IF(OR($N$1="",对接源_02物料!$C491="",对接源_02物料!$C491&lt;&gt;$N$1,对接源_02物料!$B491=""),0,IF(OR(N(对接源_02物料!$B491)&lt;$N$2,N(对接源_02物料!$B491)&gt;$N$3),0,1))</f>
        <v>0</v>
      </c>
      <c r="P1691" s="3">
        <f>IF(AND($K1691=1,AND(对接源_02物料!$X491="公司筐",N(对接源_02物料!$T491)&lt;&gt;0)),1,0)</f>
        <v>0</v>
      </c>
      <c r="Q1691" s="3">
        <f t="shared" si="454"/>
        <v>8</v>
      </c>
      <c r="R1691" s="3">
        <f>IF(AND($K1691=1,AND(对接源_02物料!$X491="公司筐",N(对接源_02物料!$U491)&lt;&gt;0)),1,0)</f>
        <v>0</v>
      </c>
      <c r="S1691" s="3">
        <f t="shared" si="455"/>
        <v>0</v>
      </c>
      <c r="T1691" s="3">
        <f>IF(AND($K1691=1,AND(对接源_02物料!$X491="公司筐",N(对接源_02物料!$V491)&lt;&gt;0)),1,0)</f>
        <v>0</v>
      </c>
      <c r="U1691" s="3">
        <f t="shared" si="456"/>
        <v>19</v>
      </c>
      <c r="V1691" s="3">
        <f>IF(AND($L1691=1,AND(对接源_02物料!$X491="自备筐",N(对接源_02物料!$V491)&lt;&gt;0)),1,0)</f>
        <v>0</v>
      </c>
      <c r="W1691" s="3">
        <f t="shared" si="457"/>
        <v>8</v>
      </c>
      <c r="X1691" s="3">
        <f>IF(AND($L1691=1,AND(对接源_02物料!$X491="自备筐",N(对接源_02物料!$T491)&lt;&gt;0)),1,0)</f>
        <v>0</v>
      </c>
      <c r="Y1691" s="3">
        <f t="shared" si="458"/>
        <v>0</v>
      </c>
      <c r="Z1691" s="3">
        <f>IF(AND($M1691=1,对接源_02物料!$D491="原料入库"),1,0)</f>
        <v>0</v>
      </c>
      <c r="AA1691" s="3">
        <f t="shared" si="459"/>
        <v>24</v>
      </c>
      <c r="AB1691" s="3">
        <f>IF(AND($M1691=1,LEFT(对接源_02物料!$D491,4)="原料出库"),1,0)</f>
        <v>0</v>
      </c>
      <c r="AC1691" s="3">
        <f t="shared" si="460"/>
        <v>0</v>
      </c>
      <c r="AD1691" s="3">
        <f>IF(AND($M1691=1,LEFT(对接源_02物料!$D491,4)="成品出库"),1,0)</f>
        <v>0</v>
      </c>
      <c r="AE1691" s="3">
        <f t="shared" si="461"/>
        <v>0</v>
      </c>
      <c r="AF1691" s="3">
        <f>IF(AND($N1691=1,AND(LEFT(对接源_02物料!$D491,4)="包装物料",N(对接源_02物料!$K491)&lt;&gt;0)),1,0)</f>
        <v>0</v>
      </c>
      <c r="AG1691" s="3">
        <f t="shared" si="462"/>
        <v>5</v>
      </c>
      <c r="AH1691" s="3">
        <f>IF(AND($N1691=1,AND(对接源_02物料!$D491="周转筐－销售出库",N(对接源_02物料!$K491)&lt;&gt;0)),1,0)</f>
        <v>0</v>
      </c>
      <c r="AI1691" s="3">
        <f t="shared" si="463"/>
        <v>0</v>
      </c>
      <c r="AL1691" s="3">
        <v>0</v>
      </c>
      <c r="AM1691" s="3">
        <f t="shared" si="464"/>
        <v>1</v>
      </c>
      <c r="AN1691" s="3" t="str">
        <f t="shared" si="451"/>
        <v/>
      </c>
      <c r="AO1691" s="3">
        <v>0</v>
      </c>
      <c r="AP1691" s="3">
        <f t="shared" si="465"/>
        <v>8</v>
      </c>
      <c r="AR1691">
        <f t="shared" si="466"/>
        <v>0</v>
      </c>
      <c r="AS1691">
        <f t="shared" si="467"/>
        <v>5</v>
      </c>
    </row>
    <row r="1692" customHeight="1" spans="1:45">
      <c r="A1692" s="3" t="str">
        <f>IF(对接源_02物料!$C492="","",对接源_02物料!$C492)</f>
        <v/>
      </c>
      <c r="B1692" s="3">
        <f t="shared" si="452"/>
        <v>0</v>
      </c>
      <c r="C1692" s="3">
        <f t="shared" si="453"/>
        <v>21</v>
      </c>
      <c r="K1692" s="3">
        <f>IF(OR($K$1="",对接源_02物料!$C492="",对接源_02物料!$C492&lt;&gt;$K$1,对接源_02物料!$B492=""),0,IF(OR(N(对接源_02物料!$B492)&lt;$K$2,N(对接源_02物料!$B492)&gt;$K$3),0,1))</f>
        <v>0</v>
      </c>
      <c r="L1692" s="3">
        <f>IF(OR($L$1="",对接源_02物料!$C492="",对接源_02物料!$C492&lt;&gt;$L$1,对接源_02物料!$B492=""),0,IF(OR(N(对接源_02物料!$B492)&lt;$L$2,N(对接源_02物料!$B492)&gt;$L$3),0,1))</f>
        <v>0</v>
      </c>
      <c r="M1692" s="3">
        <f>IF(OR($M$1="",对接源_02物料!$C492="",对接源_02物料!$C492&lt;&gt;$M$1,对接源_02物料!$B492=""),0,IF(OR(N(对接源_02物料!$B492)&lt;$M$2,N(对接源_02物料!$B492)&gt;$M$3),0,1))</f>
        <v>0</v>
      </c>
      <c r="N1692" s="3">
        <f>IF(OR($N$1="",对接源_02物料!$C492="",对接源_02物料!$C492&lt;&gt;$N$1,对接源_02物料!$B492=""),0,IF(OR(N(对接源_02物料!$B492)&lt;$N$2,N(对接源_02物料!$B492)&gt;$N$3),0,1))</f>
        <v>0</v>
      </c>
      <c r="P1692" s="3">
        <f>IF(AND($K1692=1,AND(对接源_02物料!$X492="公司筐",N(对接源_02物料!$T492)&lt;&gt;0)),1,0)</f>
        <v>0</v>
      </c>
      <c r="Q1692" s="3">
        <f t="shared" si="454"/>
        <v>8</v>
      </c>
      <c r="R1692" s="3">
        <f>IF(AND($K1692=1,AND(对接源_02物料!$X492="公司筐",N(对接源_02物料!$U492)&lt;&gt;0)),1,0)</f>
        <v>0</v>
      </c>
      <c r="S1692" s="3">
        <f t="shared" si="455"/>
        <v>0</v>
      </c>
      <c r="T1692" s="3">
        <f>IF(AND($K1692=1,AND(对接源_02物料!$X492="公司筐",N(对接源_02物料!$V492)&lt;&gt;0)),1,0)</f>
        <v>0</v>
      </c>
      <c r="U1692" s="3">
        <f t="shared" si="456"/>
        <v>19</v>
      </c>
      <c r="V1692" s="3">
        <f>IF(AND($L1692=1,AND(对接源_02物料!$X492="自备筐",N(对接源_02物料!$V492)&lt;&gt;0)),1,0)</f>
        <v>0</v>
      </c>
      <c r="W1692" s="3">
        <f t="shared" si="457"/>
        <v>8</v>
      </c>
      <c r="X1692" s="3">
        <f>IF(AND($L1692=1,AND(对接源_02物料!$X492="自备筐",N(对接源_02物料!$T492)&lt;&gt;0)),1,0)</f>
        <v>0</v>
      </c>
      <c r="Y1692" s="3">
        <f t="shared" si="458"/>
        <v>0</v>
      </c>
      <c r="Z1692" s="3">
        <f>IF(AND($M1692=1,对接源_02物料!$D492="原料入库"),1,0)</f>
        <v>0</v>
      </c>
      <c r="AA1692" s="3">
        <f t="shared" si="459"/>
        <v>24</v>
      </c>
      <c r="AB1692" s="3">
        <f>IF(AND($M1692=1,LEFT(对接源_02物料!$D492,4)="原料出库"),1,0)</f>
        <v>0</v>
      </c>
      <c r="AC1692" s="3">
        <f t="shared" si="460"/>
        <v>0</v>
      </c>
      <c r="AD1692" s="3">
        <f>IF(AND($M1692=1,LEFT(对接源_02物料!$D492,4)="成品出库"),1,0)</f>
        <v>0</v>
      </c>
      <c r="AE1692" s="3">
        <f t="shared" si="461"/>
        <v>0</v>
      </c>
      <c r="AF1692" s="3">
        <f>IF(AND($N1692=1,AND(LEFT(对接源_02物料!$D492,4)="包装物料",N(对接源_02物料!$K492)&lt;&gt;0)),1,0)</f>
        <v>0</v>
      </c>
      <c r="AG1692" s="3">
        <f t="shared" si="462"/>
        <v>5</v>
      </c>
      <c r="AH1692" s="3">
        <f>IF(AND($N1692=1,AND(对接源_02物料!$D492="周转筐－销售出库",N(对接源_02物料!$K492)&lt;&gt;0)),1,0)</f>
        <v>0</v>
      </c>
      <c r="AI1692" s="3">
        <f t="shared" si="463"/>
        <v>0</v>
      </c>
      <c r="AL1692" s="3">
        <v>0</v>
      </c>
      <c r="AM1692" s="3">
        <f t="shared" si="464"/>
        <v>1</v>
      </c>
      <c r="AN1692" s="3" t="str">
        <f t="shared" si="451"/>
        <v/>
      </c>
      <c r="AO1692" s="3">
        <v>0</v>
      </c>
      <c r="AP1692" s="3">
        <f t="shared" si="465"/>
        <v>8</v>
      </c>
      <c r="AR1692">
        <f t="shared" si="466"/>
        <v>0</v>
      </c>
      <c r="AS1692">
        <f t="shared" si="467"/>
        <v>5</v>
      </c>
    </row>
    <row r="1693" customHeight="1" spans="1:45">
      <c r="A1693" s="3" t="str">
        <f>IF(对接源_02物料!$C493="","",对接源_02物料!$C493)</f>
        <v/>
      </c>
      <c r="B1693" s="3">
        <f t="shared" si="452"/>
        <v>0</v>
      </c>
      <c r="C1693" s="3">
        <f t="shared" si="453"/>
        <v>21</v>
      </c>
      <c r="K1693" s="3">
        <f>IF(OR($K$1="",对接源_02物料!$C493="",对接源_02物料!$C493&lt;&gt;$K$1,对接源_02物料!$B493=""),0,IF(OR(N(对接源_02物料!$B493)&lt;$K$2,N(对接源_02物料!$B493)&gt;$K$3),0,1))</f>
        <v>0</v>
      </c>
      <c r="L1693" s="3">
        <f>IF(OR($L$1="",对接源_02物料!$C493="",对接源_02物料!$C493&lt;&gt;$L$1,对接源_02物料!$B493=""),0,IF(OR(N(对接源_02物料!$B493)&lt;$L$2,N(对接源_02物料!$B493)&gt;$L$3),0,1))</f>
        <v>0</v>
      </c>
      <c r="M1693" s="3">
        <f>IF(OR($M$1="",对接源_02物料!$C493="",对接源_02物料!$C493&lt;&gt;$M$1,对接源_02物料!$B493=""),0,IF(OR(N(对接源_02物料!$B493)&lt;$M$2,N(对接源_02物料!$B493)&gt;$M$3),0,1))</f>
        <v>0</v>
      </c>
      <c r="N1693" s="3">
        <f>IF(OR($N$1="",对接源_02物料!$C493="",对接源_02物料!$C493&lt;&gt;$N$1,对接源_02物料!$B493=""),0,IF(OR(N(对接源_02物料!$B493)&lt;$N$2,N(对接源_02物料!$B493)&gt;$N$3),0,1))</f>
        <v>0</v>
      </c>
      <c r="P1693" s="3">
        <f>IF(AND($K1693=1,AND(对接源_02物料!$X493="公司筐",N(对接源_02物料!$T493)&lt;&gt;0)),1,0)</f>
        <v>0</v>
      </c>
      <c r="Q1693" s="3">
        <f t="shared" si="454"/>
        <v>8</v>
      </c>
      <c r="R1693" s="3">
        <f>IF(AND($K1693=1,AND(对接源_02物料!$X493="公司筐",N(对接源_02物料!$U493)&lt;&gt;0)),1,0)</f>
        <v>0</v>
      </c>
      <c r="S1693" s="3">
        <f t="shared" si="455"/>
        <v>0</v>
      </c>
      <c r="T1693" s="3">
        <f>IF(AND($K1693=1,AND(对接源_02物料!$X493="公司筐",N(对接源_02物料!$V493)&lt;&gt;0)),1,0)</f>
        <v>0</v>
      </c>
      <c r="U1693" s="3">
        <f t="shared" si="456"/>
        <v>19</v>
      </c>
      <c r="V1693" s="3">
        <f>IF(AND($L1693=1,AND(对接源_02物料!$X493="自备筐",N(对接源_02物料!$V493)&lt;&gt;0)),1,0)</f>
        <v>0</v>
      </c>
      <c r="W1693" s="3">
        <f t="shared" si="457"/>
        <v>8</v>
      </c>
      <c r="X1693" s="3">
        <f>IF(AND($L1693=1,AND(对接源_02物料!$X493="自备筐",N(对接源_02物料!$T493)&lt;&gt;0)),1,0)</f>
        <v>0</v>
      </c>
      <c r="Y1693" s="3">
        <f t="shared" si="458"/>
        <v>0</v>
      </c>
      <c r="Z1693" s="3">
        <f>IF(AND($M1693=1,对接源_02物料!$D493="原料入库"),1,0)</f>
        <v>0</v>
      </c>
      <c r="AA1693" s="3">
        <f t="shared" si="459"/>
        <v>24</v>
      </c>
      <c r="AB1693" s="3">
        <f>IF(AND($M1693=1,LEFT(对接源_02物料!$D493,4)="原料出库"),1,0)</f>
        <v>0</v>
      </c>
      <c r="AC1693" s="3">
        <f t="shared" si="460"/>
        <v>0</v>
      </c>
      <c r="AD1693" s="3">
        <f>IF(AND($M1693=1,LEFT(对接源_02物料!$D493,4)="成品出库"),1,0)</f>
        <v>0</v>
      </c>
      <c r="AE1693" s="3">
        <f t="shared" si="461"/>
        <v>0</v>
      </c>
      <c r="AF1693" s="3">
        <f>IF(AND($N1693=1,AND(LEFT(对接源_02物料!$D493,4)="包装物料",N(对接源_02物料!$K493)&lt;&gt;0)),1,0)</f>
        <v>0</v>
      </c>
      <c r="AG1693" s="3">
        <f t="shared" si="462"/>
        <v>5</v>
      </c>
      <c r="AH1693" s="3">
        <f>IF(AND($N1693=1,AND(对接源_02物料!$D493="周转筐－销售出库",N(对接源_02物料!$K493)&lt;&gt;0)),1,0)</f>
        <v>0</v>
      </c>
      <c r="AI1693" s="3">
        <f t="shared" si="463"/>
        <v>0</v>
      </c>
      <c r="AL1693" s="3">
        <v>0</v>
      </c>
      <c r="AM1693" s="3">
        <f t="shared" si="464"/>
        <v>1</v>
      </c>
      <c r="AN1693" s="3" t="str">
        <f t="shared" si="451"/>
        <v/>
      </c>
      <c r="AO1693" s="3">
        <v>0</v>
      </c>
      <c r="AP1693" s="3">
        <f t="shared" si="465"/>
        <v>8</v>
      </c>
      <c r="AR1693">
        <f t="shared" si="466"/>
        <v>0</v>
      </c>
      <c r="AS1693">
        <f t="shared" si="467"/>
        <v>5</v>
      </c>
    </row>
    <row r="1694" customHeight="1" spans="1:45">
      <c r="A1694" s="3" t="str">
        <f>IF(对接源_02物料!$C494="","",对接源_02物料!$C494)</f>
        <v/>
      </c>
      <c r="B1694" s="3">
        <f t="shared" si="452"/>
        <v>0</v>
      </c>
      <c r="C1694" s="3">
        <f t="shared" si="453"/>
        <v>21</v>
      </c>
      <c r="K1694" s="3">
        <f>IF(OR($K$1="",对接源_02物料!$C494="",对接源_02物料!$C494&lt;&gt;$K$1,对接源_02物料!$B494=""),0,IF(OR(N(对接源_02物料!$B494)&lt;$K$2,N(对接源_02物料!$B494)&gt;$K$3),0,1))</f>
        <v>0</v>
      </c>
      <c r="L1694" s="3">
        <f>IF(OR($L$1="",对接源_02物料!$C494="",对接源_02物料!$C494&lt;&gt;$L$1,对接源_02物料!$B494=""),0,IF(OR(N(对接源_02物料!$B494)&lt;$L$2,N(对接源_02物料!$B494)&gt;$L$3),0,1))</f>
        <v>0</v>
      </c>
      <c r="M1694" s="3">
        <f>IF(OR($M$1="",对接源_02物料!$C494="",对接源_02物料!$C494&lt;&gt;$M$1,对接源_02物料!$B494=""),0,IF(OR(N(对接源_02物料!$B494)&lt;$M$2,N(对接源_02物料!$B494)&gt;$M$3),0,1))</f>
        <v>0</v>
      </c>
      <c r="N1694" s="3">
        <f>IF(OR($N$1="",对接源_02物料!$C494="",对接源_02物料!$C494&lt;&gt;$N$1,对接源_02物料!$B494=""),0,IF(OR(N(对接源_02物料!$B494)&lt;$N$2,N(对接源_02物料!$B494)&gt;$N$3),0,1))</f>
        <v>0</v>
      </c>
      <c r="P1694" s="3">
        <f>IF(AND($K1694=1,AND(对接源_02物料!$X494="公司筐",N(对接源_02物料!$T494)&lt;&gt;0)),1,0)</f>
        <v>0</v>
      </c>
      <c r="Q1694" s="3">
        <f t="shared" si="454"/>
        <v>8</v>
      </c>
      <c r="R1694" s="3">
        <f>IF(AND($K1694=1,AND(对接源_02物料!$X494="公司筐",N(对接源_02物料!$U494)&lt;&gt;0)),1,0)</f>
        <v>0</v>
      </c>
      <c r="S1694" s="3">
        <f t="shared" si="455"/>
        <v>0</v>
      </c>
      <c r="T1694" s="3">
        <f>IF(AND($K1694=1,AND(对接源_02物料!$X494="公司筐",N(对接源_02物料!$V494)&lt;&gt;0)),1,0)</f>
        <v>0</v>
      </c>
      <c r="U1694" s="3">
        <f t="shared" si="456"/>
        <v>19</v>
      </c>
      <c r="V1694" s="3">
        <f>IF(AND($L1694=1,AND(对接源_02物料!$X494="自备筐",N(对接源_02物料!$V494)&lt;&gt;0)),1,0)</f>
        <v>0</v>
      </c>
      <c r="W1694" s="3">
        <f t="shared" si="457"/>
        <v>8</v>
      </c>
      <c r="X1694" s="3">
        <f>IF(AND($L1694=1,AND(对接源_02物料!$X494="自备筐",N(对接源_02物料!$T494)&lt;&gt;0)),1,0)</f>
        <v>0</v>
      </c>
      <c r="Y1694" s="3">
        <f t="shared" si="458"/>
        <v>0</v>
      </c>
      <c r="Z1694" s="3">
        <f>IF(AND($M1694=1,对接源_02物料!$D494="原料入库"),1,0)</f>
        <v>0</v>
      </c>
      <c r="AA1694" s="3">
        <f t="shared" si="459"/>
        <v>24</v>
      </c>
      <c r="AB1694" s="3">
        <f>IF(AND($M1694=1,LEFT(对接源_02物料!$D494,4)="原料出库"),1,0)</f>
        <v>0</v>
      </c>
      <c r="AC1694" s="3">
        <f t="shared" si="460"/>
        <v>0</v>
      </c>
      <c r="AD1694" s="3">
        <f>IF(AND($M1694=1,LEFT(对接源_02物料!$D494,4)="成品出库"),1,0)</f>
        <v>0</v>
      </c>
      <c r="AE1694" s="3">
        <f t="shared" si="461"/>
        <v>0</v>
      </c>
      <c r="AF1694" s="3">
        <f>IF(AND($N1694=1,AND(LEFT(对接源_02物料!$D494,4)="包装物料",N(对接源_02物料!$K494)&lt;&gt;0)),1,0)</f>
        <v>0</v>
      </c>
      <c r="AG1694" s="3">
        <f t="shared" si="462"/>
        <v>5</v>
      </c>
      <c r="AH1694" s="3">
        <f>IF(AND($N1694=1,AND(对接源_02物料!$D494="周转筐－销售出库",N(对接源_02物料!$K494)&lt;&gt;0)),1,0)</f>
        <v>0</v>
      </c>
      <c r="AI1694" s="3">
        <f t="shared" si="463"/>
        <v>0</v>
      </c>
      <c r="AL1694" s="3">
        <v>0</v>
      </c>
      <c r="AM1694" s="3">
        <f t="shared" si="464"/>
        <v>1</v>
      </c>
      <c r="AN1694" s="3" t="str">
        <f t="shared" si="451"/>
        <v/>
      </c>
      <c r="AO1694" s="3">
        <v>0</v>
      </c>
      <c r="AP1694" s="3">
        <f t="shared" si="465"/>
        <v>8</v>
      </c>
      <c r="AR1694">
        <f t="shared" si="466"/>
        <v>0</v>
      </c>
      <c r="AS1694">
        <f t="shared" si="467"/>
        <v>5</v>
      </c>
    </row>
    <row r="1695" customHeight="1" spans="1:45">
      <c r="A1695" s="3" t="str">
        <f>IF(对接源_02物料!$C495="","",对接源_02物料!$C495)</f>
        <v/>
      </c>
      <c r="B1695" s="3">
        <f t="shared" si="452"/>
        <v>0</v>
      </c>
      <c r="C1695" s="3">
        <f t="shared" si="453"/>
        <v>21</v>
      </c>
      <c r="K1695" s="3">
        <f>IF(OR($K$1="",对接源_02物料!$C495="",对接源_02物料!$C495&lt;&gt;$K$1,对接源_02物料!$B495=""),0,IF(OR(N(对接源_02物料!$B495)&lt;$K$2,N(对接源_02物料!$B495)&gt;$K$3),0,1))</f>
        <v>0</v>
      </c>
      <c r="L1695" s="3">
        <f>IF(OR($L$1="",对接源_02物料!$C495="",对接源_02物料!$C495&lt;&gt;$L$1,对接源_02物料!$B495=""),0,IF(OR(N(对接源_02物料!$B495)&lt;$L$2,N(对接源_02物料!$B495)&gt;$L$3),0,1))</f>
        <v>0</v>
      </c>
      <c r="M1695" s="3">
        <f>IF(OR($M$1="",对接源_02物料!$C495="",对接源_02物料!$C495&lt;&gt;$M$1,对接源_02物料!$B495=""),0,IF(OR(N(对接源_02物料!$B495)&lt;$M$2,N(对接源_02物料!$B495)&gt;$M$3),0,1))</f>
        <v>0</v>
      </c>
      <c r="N1695" s="3">
        <f>IF(OR($N$1="",对接源_02物料!$C495="",对接源_02物料!$C495&lt;&gt;$N$1,对接源_02物料!$B495=""),0,IF(OR(N(对接源_02物料!$B495)&lt;$N$2,N(对接源_02物料!$B495)&gt;$N$3),0,1))</f>
        <v>0</v>
      </c>
      <c r="P1695" s="3">
        <f>IF(AND($K1695=1,AND(对接源_02物料!$X495="公司筐",N(对接源_02物料!$T495)&lt;&gt;0)),1,0)</f>
        <v>0</v>
      </c>
      <c r="Q1695" s="3">
        <f t="shared" si="454"/>
        <v>8</v>
      </c>
      <c r="R1695" s="3">
        <f>IF(AND($K1695=1,AND(对接源_02物料!$X495="公司筐",N(对接源_02物料!$U495)&lt;&gt;0)),1,0)</f>
        <v>0</v>
      </c>
      <c r="S1695" s="3">
        <f t="shared" si="455"/>
        <v>0</v>
      </c>
      <c r="T1695" s="3">
        <f>IF(AND($K1695=1,AND(对接源_02物料!$X495="公司筐",N(对接源_02物料!$V495)&lt;&gt;0)),1,0)</f>
        <v>0</v>
      </c>
      <c r="U1695" s="3">
        <f t="shared" si="456"/>
        <v>19</v>
      </c>
      <c r="V1695" s="3">
        <f>IF(AND($L1695=1,AND(对接源_02物料!$X495="自备筐",N(对接源_02物料!$V495)&lt;&gt;0)),1,0)</f>
        <v>0</v>
      </c>
      <c r="W1695" s="3">
        <f t="shared" si="457"/>
        <v>8</v>
      </c>
      <c r="X1695" s="3">
        <f>IF(AND($L1695=1,AND(对接源_02物料!$X495="自备筐",N(对接源_02物料!$T495)&lt;&gt;0)),1,0)</f>
        <v>0</v>
      </c>
      <c r="Y1695" s="3">
        <f t="shared" si="458"/>
        <v>0</v>
      </c>
      <c r="Z1695" s="3">
        <f>IF(AND($M1695=1,对接源_02物料!$D495="原料入库"),1,0)</f>
        <v>0</v>
      </c>
      <c r="AA1695" s="3">
        <f t="shared" si="459"/>
        <v>24</v>
      </c>
      <c r="AB1695" s="3">
        <f>IF(AND($M1695=1,LEFT(对接源_02物料!$D495,4)="原料出库"),1,0)</f>
        <v>0</v>
      </c>
      <c r="AC1695" s="3">
        <f t="shared" si="460"/>
        <v>0</v>
      </c>
      <c r="AD1695" s="3">
        <f>IF(AND($M1695=1,LEFT(对接源_02物料!$D495,4)="成品出库"),1,0)</f>
        <v>0</v>
      </c>
      <c r="AE1695" s="3">
        <f t="shared" si="461"/>
        <v>0</v>
      </c>
      <c r="AF1695" s="3">
        <f>IF(AND($N1695=1,AND(LEFT(对接源_02物料!$D495,4)="包装物料",N(对接源_02物料!$K495)&lt;&gt;0)),1,0)</f>
        <v>0</v>
      </c>
      <c r="AG1695" s="3">
        <f t="shared" si="462"/>
        <v>5</v>
      </c>
      <c r="AH1695" s="3">
        <f>IF(AND($N1695=1,AND(对接源_02物料!$D495="周转筐－销售出库",N(对接源_02物料!$K495)&lt;&gt;0)),1,0)</f>
        <v>0</v>
      </c>
      <c r="AI1695" s="3">
        <f t="shared" si="463"/>
        <v>0</v>
      </c>
      <c r="AL1695" s="3">
        <v>0</v>
      </c>
      <c r="AM1695" s="3">
        <f t="shared" si="464"/>
        <v>1</v>
      </c>
      <c r="AN1695" s="3" t="str">
        <f t="shared" si="451"/>
        <v/>
      </c>
      <c r="AO1695" s="3">
        <v>0</v>
      </c>
      <c r="AP1695" s="3">
        <f t="shared" si="465"/>
        <v>8</v>
      </c>
      <c r="AR1695">
        <f t="shared" si="466"/>
        <v>0</v>
      </c>
      <c r="AS1695">
        <f t="shared" si="467"/>
        <v>5</v>
      </c>
    </row>
    <row r="1696" customHeight="1" spans="1:45">
      <c r="A1696" s="3" t="str">
        <f>IF(对接源_02物料!$C496="","",对接源_02物料!$C496)</f>
        <v/>
      </c>
      <c r="B1696" s="3">
        <f t="shared" si="452"/>
        <v>0</v>
      </c>
      <c r="C1696" s="3">
        <f t="shared" si="453"/>
        <v>21</v>
      </c>
      <c r="K1696" s="3">
        <f>IF(OR($K$1="",对接源_02物料!$C496="",对接源_02物料!$C496&lt;&gt;$K$1,对接源_02物料!$B496=""),0,IF(OR(N(对接源_02物料!$B496)&lt;$K$2,N(对接源_02物料!$B496)&gt;$K$3),0,1))</f>
        <v>0</v>
      </c>
      <c r="L1696" s="3">
        <f>IF(OR($L$1="",对接源_02物料!$C496="",对接源_02物料!$C496&lt;&gt;$L$1,对接源_02物料!$B496=""),0,IF(OR(N(对接源_02物料!$B496)&lt;$L$2,N(对接源_02物料!$B496)&gt;$L$3),0,1))</f>
        <v>0</v>
      </c>
      <c r="M1696" s="3">
        <f>IF(OR($M$1="",对接源_02物料!$C496="",对接源_02物料!$C496&lt;&gt;$M$1,对接源_02物料!$B496=""),0,IF(OR(N(对接源_02物料!$B496)&lt;$M$2,N(对接源_02物料!$B496)&gt;$M$3),0,1))</f>
        <v>0</v>
      </c>
      <c r="N1696" s="3">
        <f>IF(OR($N$1="",对接源_02物料!$C496="",对接源_02物料!$C496&lt;&gt;$N$1,对接源_02物料!$B496=""),0,IF(OR(N(对接源_02物料!$B496)&lt;$N$2,N(对接源_02物料!$B496)&gt;$N$3),0,1))</f>
        <v>0</v>
      </c>
      <c r="P1696" s="3">
        <f>IF(AND($K1696=1,AND(对接源_02物料!$X496="公司筐",N(对接源_02物料!$T496)&lt;&gt;0)),1,0)</f>
        <v>0</v>
      </c>
      <c r="Q1696" s="3">
        <f t="shared" si="454"/>
        <v>8</v>
      </c>
      <c r="R1696" s="3">
        <f>IF(AND($K1696=1,AND(对接源_02物料!$X496="公司筐",N(对接源_02物料!$U496)&lt;&gt;0)),1,0)</f>
        <v>0</v>
      </c>
      <c r="S1696" s="3">
        <f t="shared" si="455"/>
        <v>0</v>
      </c>
      <c r="T1696" s="3">
        <f>IF(AND($K1696=1,AND(对接源_02物料!$X496="公司筐",N(对接源_02物料!$V496)&lt;&gt;0)),1,0)</f>
        <v>0</v>
      </c>
      <c r="U1696" s="3">
        <f t="shared" si="456"/>
        <v>19</v>
      </c>
      <c r="V1696" s="3">
        <f>IF(AND($L1696=1,AND(对接源_02物料!$X496="自备筐",N(对接源_02物料!$V496)&lt;&gt;0)),1,0)</f>
        <v>0</v>
      </c>
      <c r="W1696" s="3">
        <f t="shared" si="457"/>
        <v>8</v>
      </c>
      <c r="X1696" s="3">
        <f>IF(AND($L1696=1,AND(对接源_02物料!$X496="自备筐",N(对接源_02物料!$T496)&lt;&gt;0)),1,0)</f>
        <v>0</v>
      </c>
      <c r="Y1696" s="3">
        <f t="shared" si="458"/>
        <v>0</v>
      </c>
      <c r="Z1696" s="3">
        <f>IF(AND($M1696=1,对接源_02物料!$D496="原料入库"),1,0)</f>
        <v>0</v>
      </c>
      <c r="AA1696" s="3">
        <f t="shared" si="459"/>
        <v>24</v>
      </c>
      <c r="AB1696" s="3">
        <f>IF(AND($M1696=1,LEFT(对接源_02物料!$D496,4)="原料出库"),1,0)</f>
        <v>0</v>
      </c>
      <c r="AC1696" s="3">
        <f t="shared" si="460"/>
        <v>0</v>
      </c>
      <c r="AD1696" s="3">
        <f>IF(AND($M1696=1,LEFT(对接源_02物料!$D496,4)="成品出库"),1,0)</f>
        <v>0</v>
      </c>
      <c r="AE1696" s="3">
        <f t="shared" si="461"/>
        <v>0</v>
      </c>
      <c r="AF1696" s="3">
        <f>IF(AND($N1696=1,AND(LEFT(对接源_02物料!$D496,4)="包装物料",N(对接源_02物料!$K496)&lt;&gt;0)),1,0)</f>
        <v>0</v>
      </c>
      <c r="AG1696" s="3">
        <f t="shared" si="462"/>
        <v>5</v>
      </c>
      <c r="AH1696" s="3">
        <f>IF(AND($N1696=1,AND(对接源_02物料!$D496="周转筐－销售出库",N(对接源_02物料!$K496)&lt;&gt;0)),1,0)</f>
        <v>0</v>
      </c>
      <c r="AI1696" s="3">
        <f t="shared" si="463"/>
        <v>0</v>
      </c>
      <c r="AL1696" s="3">
        <v>0</v>
      </c>
      <c r="AM1696" s="3">
        <f t="shared" si="464"/>
        <v>1</v>
      </c>
      <c r="AN1696" s="3" t="str">
        <f t="shared" si="451"/>
        <v/>
      </c>
      <c r="AO1696" s="3">
        <v>0</v>
      </c>
      <c r="AP1696" s="3">
        <f t="shared" si="465"/>
        <v>8</v>
      </c>
      <c r="AR1696">
        <f t="shared" si="466"/>
        <v>0</v>
      </c>
      <c r="AS1696">
        <f t="shared" si="467"/>
        <v>5</v>
      </c>
    </row>
    <row r="1697" customHeight="1" spans="1:45">
      <c r="A1697" s="3" t="str">
        <f>IF(对接源_02物料!$C497="","",对接源_02物料!$C497)</f>
        <v/>
      </c>
      <c r="B1697" s="3">
        <f t="shared" si="452"/>
        <v>0</v>
      </c>
      <c r="C1697" s="3">
        <f t="shared" si="453"/>
        <v>21</v>
      </c>
      <c r="K1697" s="3">
        <f>IF(OR($K$1="",对接源_02物料!$C497="",对接源_02物料!$C497&lt;&gt;$K$1,对接源_02物料!$B497=""),0,IF(OR(N(对接源_02物料!$B497)&lt;$K$2,N(对接源_02物料!$B497)&gt;$K$3),0,1))</f>
        <v>0</v>
      </c>
      <c r="L1697" s="3">
        <f>IF(OR($L$1="",对接源_02物料!$C497="",对接源_02物料!$C497&lt;&gt;$L$1,对接源_02物料!$B497=""),0,IF(OR(N(对接源_02物料!$B497)&lt;$L$2,N(对接源_02物料!$B497)&gt;$L$3),0,1))</f>
        <v>0</v>
      </c>
      <c r="M1697" s="3">
        <f>IF(OR($M$1="",对接源_02物料!$C497="",对接源_02物料!$C497&lt;&gt;$M$1,对接源_02物料!$B497=""),0,IF(OR(N(对接源_02物料!$B497)&lt;$M$2,N(对接源_02物料!$B497)&gt;$M$3),0,1))</f>
        <v>0</v>
      </c>
      <c r="N1697" s="3">
        <f>IF(OR($N$1="",对接源_02物料!$C497="",对接源_02物料!$C497&lt;&gt;$N$1,对接源_02物料!$B497=""),0,IF(OR(N(对接源_02物料!$B497)&lt;$N$2,N(对接源_02物料!$B497)&gt;$N$3),0,1))</f>
        <v>0</v>
      </c>
      <c r="P1697" s="3">
        <f>IF(AND($K1697=1,AND(对接源_02物料!$X497="公司筐",N(对接源_02物料!$T497)&lt;&gt;0)),1,0)</f>
        <v>0</v>
      </c>
      <c r="Q1697" s="3">
        <f t="shared" si="454"/>
        <v>8</v>
      </c>
      <c r="R1697" s="3">
        <f>IF(AND($K1697=1,AND(对接源_02物料!$X497="公司筐",N(对接源_02物料!$U497)&lt;&gt;0)),1,0)</f>
        <v>0</v>
      </c>
      <c r="S1697" s="3">
        <f t="shared" si="455"/>
        <v>0</v>
      </c>
      <c r="T1697" s="3">
        <f>IF(AND($K1697=1,AND(对接源_02物料!$X497="公司筐",N(对接源_02物料!$V497)&lt;&gt;0)),1,0)</f>
        <v>0</v>
      </c>
      <c r="U1697" s="3">
        <f t="shared" si="456"/>
        <v>19</v>
      </c>
      <c r="V1697" s="3">
        <f>IF(AND($L1697=1,AND(对接源_02物料!$X497="自备筐",N(对接源_02物料!$V497)&lt;&gt;0)),1,0)</f>
        <v>0</v>
      </c>
      <c r="W1697" s="3">
        <f t="shared" si="457"/>
        <v>8</v>
      </c>
      <c r="X1697" s="3">
        <f>IF(AND($L1697=1,AND(对接源_02物料!$X497="自备筐",N(对接源_02物料!$T497)&lt;&gt;0)),1,0)</f>
        <v>0</v>
      </c>
      <c r="Y1697" s="3">
        <f t="shared" si="458"/>
        <v>0</v>
      </c>
      <c r="Z1697" s="3">
        <f>IF(AND($M1697=1,对接源_02物料!$D497="原料入库"),1,0)</f>
        <v>0</v>
      </c>
      <c r="AA1697" s="3">
        <f t="shared" si="459"/>
        <v>24</v>
      </c>
      <c r="AB1697" s="3">
        <f>IF(AND($M1697=1,LEFT(对接源_02物料!$D497,4)="原料出库"),1,0)</f>
        <v>0</v>
      </c>
      <c r="AC1697" s="3">
        <f t="shared" si="460"/>
        <v>0</v>
      </c>
      <c r="AD1697" s="3">
        <f>IF(AND($M1697=1,LEFT(对接源_02物料!$D497,4)="成品出库"),1,0)</f>
        <v>0</v>
      </c>
      <c r="AE1697" s="3">
        <f t="shared" si="461"/>
        <v>0</v>
      </c>
      <c r="AF1697" s="3">
        <f>IF(AND($N1697=1,AND(LEFT(对接源_02物料!$D497,4)="包装物料",N(对接源_02物料!$K497)&lt;&gt;0)),1,0)</f>
        <v>0</v>
      </c>
      <c r="AG1697" s="3">
        <f t="shared" si="462"/>
        <v>5</v>
      </c>
      <c r="AH1697" s="3">
        <f>IF(AND($N1697=1,AND(对接源_02物料!$D497="周转筐－销售出库",N(对接源_02物料!$K497)&lt;&gt;0)),1,0)</f>
        <v>0</v>
      </c>
      <c r="AI1697" s="3">
        <f t="shared" si="463"/>
        <v>0</v>
      </c>
      <c r="AL1697" s="3">
        <v>0</v>
      </c>
      <c r="AM1697" s="3">
        <f t="shared" si="464"/>
        <v>1</v>
      </c>
      <c r="AN1697" s="3" t="str">
        <f t="shared" si="451"/>
        <v/>
      </c>
      <c r="AO1697" s="3">
        <v>0</v>
      </c>
      <c r="AP1697" s="3">
        <f t="shared" si="465"/>
        <v>8</v>
      </c>
      <c r="AR1697">
        <f t="shared" si="466"/>
        <v>0</v>
      </c>
      <c r="AS1697">
        <f t="shared" si="467"/>
        <v>5</v>
      </c>
    </row>
    <row r="1698" customHeight="1" spans="1:45">
      <c r="A1698" s="3" t="str">
        <f>IF(对接源_02物料!$C498="","",对接源_02物料!$C498)</f>
        <v/>
      </c>
      <c r="B1698" s="3">
        <f t="shared" si="452"/>
        <v>0</v>
      </c>
      <c r="C1698" s="3">
        <f t="shared" si="453"/>
        <v>21</v>
      </c>
      <c r="K1698" s="3">
        <f>IF(OR($K$1="",对接源_02物料!$C498="",对接源_02物料!$C498&lt;&gt;$K$1,对接源_02物料!$B498=""),0,IF(OR(N(对接源_02物料!$B498)&lt;$K$2,N(对接源_02物料!$B498)&gt;$K$3),0,1))</f>
        <v>0</v>
      </c>
      <c r="L1698" s="3">
        <f>IF(OR($L$1="",对接源_02物料!$C498="",对接源_02物料!$C498&lt;&gt;$L$1,对接源_02物料!$B498=""),0,IF(OR(N(对接源_02物料!$B498)&lt;$L$2,N(对接源_02物料!$B498)&gt;$L$3),0,1))</f>
        <v>0</v>
      </c>
      <c r="M1698" s="3">
        <f>IF(OR($M$1="",对接源_02物料!$C498="",对接源_02物料!$C498&lt;&gt;$M$1,对接源_02物料!$B498=""),0,IF(OR(N(对接源_02物料!$B498)&lt;$M$2,N(对接源_02物料!$B498)&gt;$M$3),0,1))</f>
        <v>0</v>
      </c>
      <c r="N1698" s="3">
        <f>IF(OR($N$1="",对接源_02物料!$C498="",对接源_02物料!$C498&lt;&gt;$N$1,对接源_02物料!$B498=""),0,IF(OR(N(对接源_02物料!$B498)&lt;$N$2,N(对接源_02物料!$B498)&gt;$N$3),0,1))</f>
        <v>0</v>
      </c>
      <c r="P1698" s="3">
        <f>IF(AND($K1698=1,AND(对接源_02物料!$X498="公司筐",N(对接源_02物料!$T498)&lt;&gt;0)),1,0)</f>
        <v>0</v>
      </c>
      <c r="Q1698" s="3">
        <f t="shared" si="454"/>
        <v>8</v>
      </c>
      <c r="R1698" s="3">
        <f>IF(AND($K1698=1,AND(对接源_02物料!$X498="公司筐",N(对接源_02物料!$U498)&lt;&gt;0)),1,0)</f>
        <v>0</v>
      </c>
      <c r="S1698" s="3">
        <f t="shared" si="455"/>
        <v>0</v>
      </c>
      <c r="T1698" s="3">
        <f>IF(AND($K1698=1,AND(对接源_02物料!$X498="公司筐",N(对接源_02物料!$V498)&lt;&gt;0)),1,0)</f>
        <v>0</v>
      </c>
      <c r="U1698" s="3">
        <f t="shared" si="456"/>
        <v>19</v>
      </c>
      <c r="V1698" s="3">
        <f>IF(AND($L1698=1,AND(对接源_02物料!$X498="自备筐",N(对接源_02物料!$V498)&lt;&gt;0)),1,0)</f>
        <v>0</v>
      </c>
      <c r="W1698" s="3">
        <f t="shared" si="457"/>
        <v>8</v>
      </c>
      <c r="X1698" s="3">
        <f>IF(AND($L1698=1,AND(对接源_02物料!$X498="自备筐",N(对接源_02物料!$T498)&lt;&gt;0)),1,0)</f>
        <v>0</v>
      </c>
      <c r="Y1698" s="3">
        <f t="shared" si="458"/>
        <v>0</v>
      </c>
      <c r="Z1698" s="3">
        <f>IF(AND($M1698=1,对接源_02物料!$D498="原料入库"),1,0)</f>
        <v>0</v>
      </c>
      <c r="AA1698" s="3">
        <f t="shared" si="459"/>
        <v>24</v>
      </c>
      <c r="AB1698" s="3">
        <f>IF(AND($M1698=1,LEFT(对接源_02物料!$D498,4)="原料出库"),1,0)</f>
        <v>0</v>
      </c>
      <c r="AC1698" s="3">
        <f t="shared" si="460"/>
        <v>0</v>
      </c>
      <c r="AD1698" s="3">
        <f>IF(AND($M1698=1,LEFT(对接源_02物料!$D498,4)="成品出库"),1,0)</f>
        <v>0</v>
      </c>
      <c r="AE1698" s="3">
        <f t="shared" si="461"/>
        <v>0</v>
      </c>
      <c r="AF1698" s="3">
        <f>IF(AND($N1698=1,AND(LEFT(对接源_02物料!$D498,4)="包装物料",N(对接源_02物料!$K498)&lt;&gt;0)),1,0)</f>
        <v>0</v>
      </c>
      <c r="AG1698" s="3">
        <f t="shared" si="462"/>
        <v>5</v>
      </c>
      <c r="AH1698" s="3">
        <f>IF(AND($N1698=1,AND(对接源_02物料!$D498="周转筐－销售出库",N(对接源_02物料!$K498)&lt;&gt;0)),1,0)</f>
        <v>0</v>
      </c>
      <c r="AI1698" s="3">
        <f t="shared" si="463"/>
        <v>0</v>
      </c>
      <c r="AL1698" s="3">
        <v>0</v>
      </c>
      <c r="AM1698" s="3">
        <f t="shared" si="464"/>
        <v>1</v>
      </c>
      <c r="AN1698" s="3" t="str">
        <f t="shared" si="451"/>
        <v/>
      </c>
      <c r="AO1698" s="3">
        <v>0</v>
      </c>
      <c r="AP1698" s="3">
        <f t="shared" si="465"/>
        <v>8</v>
      </c>
      <c r="AR1698">
        <f t="shared" si="466"/>
        <v>0</v>
      </c>
      <c r="AS1698">
        <f t="shared" si="467"/>
        <v>5</v>
      </c>
    </row>
    <row r="1699" customHeight="1" spans="1:45">
      <c r="A1699" s="3" t="str">
        <f>IF(对接源_02物料!$C499="","",对接源_02物料!$C499)</f>
        <v/>
      </c>
      <c r="B1699" s="3">
        <f t="shared" si="452"/>
        <v>0</v>
      </c>
      <c r="C1699" s="3">
        <f t="shared" si="453"/>
        <v>21</v>
      </c>
      <c r="K1699" s="3">
        <f>IF(OR($K$1="",对接源_02物料!$C499="",对接源_02物料!$C499&lt;&gt;$K$1,对接源_02物料!$B499=""),0,IF(OR(N(对接源_02物料!$B499)&lt;$K$2,N(对接源_02物料!$B499)&gt;$K$3),0,1))</f>
        <v>0</v>
      </c>
      <c r="L1699" s="3">
        <f>IF(OR($L$1="",对接源_02物料!$C499="",对接源_02物料!$C499&lt;&gt;$L$1,对接源_02物料!$B499=""),0,IF(OR(N(对接源_02物料!$B499)&lt;$L$2,N(对接源_02物料!$B499)&gt;$L$3),0,1))</f>
        <v>0</v>
      </c>
      <c r="M1699" s="3">
        <f>IF(OR($M$1="",对接源_02物料!$C499="",对接源_02物料!$C499&lt;&gt;$M$1,对接源_02物料!$B499=""),0,IF(OR(N(对接源_02物料!$B499)&lt;$M$2,N(对接源_02物料!$B499)&gt;$M$3),0,1))</f>
        <v>0</v>
      </c>
      <c r="N1699" s="3">
        <f>IF(OR($N$1="",对接源_02物料!$C499="",对接源_02物料!$C499&lt;&gt;$N$1,对接源_02物料!$B499=""),0,IF(OR(N(对接源_02物料!$B499)&lt;$N$2,N(对接源_02物料!$B499)&gt;$N$3),0,1))</f>
        <v>0</v>
      </c>
      <c r="P1699" s="3">
        <f>IF(AND($K1699=1,AND(对接源_02物料!$X499="公司筐",N(对接源_02物料!$T499)&lt;&gt;0)),1,0)</f>
        <v>0</v>
      </c>
      <c r="Q1699" s="3">
        <f t="shared" si="454"/>
        <v>8</v>
      </c>
      <c r="R1699" s="3">
        <f>IF(AND($K1699=1,AND(对接源_02物料!$X499="公司筐",N(对接源_02物料!$U499)&lt;&gt;0)),1,0)</f>
        <v>0</v>
      </c>
      <c r="S1699" s="3">
        <f t="shared" si="455"/>
        <v>0</v>
      </c>
      <c r="T1699" s="3">
        <f>IF(AND($K1699=1,AND(对接源_02物料!$X499="公司筐",N(对接源_02物料!$V499)&lt;&gt;0)),1,0)</f>
        <v>0</v>
      </c>
      <c r="U1699" s="3">
        <f t="shared" si="456"/>
        <v>19</v>
      </c>
      <c r="V1699" s="3">
        <f>IF(AND($L1699=1,AND(对接源_02物料!$X499="自备筐",N(对接源_02物料!$V499)&lt;&gt;0)),1,0)</f>
        <v>0</v>
      </c>
      <c r="W1699" s="3">
        <f t="shared" si="457"/>
        <v>8</v>
      </c>
      <c r="X1699" s="3">
        <f>IF(AND($L1699=1,AND(对接源_02物料!$X499="自备筐",N(对接源_02物料!$T499)&lt;&gt;0)),1,0)</f>
        <v>0</v>
      </c>
      <c r="Y1699" s="3">
        <f t="shared" si="458"/>
        <v>0</v>
      </c>
      <c r="Z1699" s="3">
        <f>IF(AND($M1699=1,对接源_02物料!$D499="原料入库"),1,0)</f>
        <v>0</v>
      </c>
      <c r="AA1699" s="3">
        <f t="shared" si="459"/>
        <v>24</v>
      </c>
      <c r="AB1699" s="3">
        <f>IF(AND($M1699=1,LEFT(对接源_02物料!$D499,4)="原料出库"),1,0)</f>
        <v>0</v>
      </c>
      <c r="AC1699" s="3">
        <f t="shared" si="460"/>
        <v>0</v>
      </c>
      <c r="AD1699" s="3">
        <f>IF(AND($M1699=1,LEFT(对接源_02物料!$D499,4)="成品出库"),1,0)</f>
        <v>0</v>
      </c>
      <c r="AE1699" s="3">
        <f t="shared" si="461"/>
        <v>0</v>
      </c>
      <c r="AF1699" s="3">
        <f>IF(AND($N1699=1,AND(LEFT(对接源_02物料!$D499,4)="包装物料",N(对接源_02物料!$K499)&lt;&gt;0)),1,0)</f>
        <v>0</v>
      </c>
      <c r="AG1699" s="3">
        <f t="shared" si="462"/>
        <v>5</v>
      </c>
      <c r="AH1699" s="3">
        <f>IF(AND($N1699=1,AND(对接源_02物料!$D499="周转筐－销售出库",N(对接源_02物料!$K499)&lt;&gt;0)),1,0)</f>
        <v>0</v>
      </c>
      <c r="AI1699" s="3">
        <f t="shared" si="463"/>
        <v>0</v>
      </c>
      <c r="AL1699" s="3">
        <v>0</v>
      </c>
      <c r="AM1699" s="3">
        <f t="shared" si="464"/>
        <v>1</v>
      </c>
      <c r="AN1699" s="3" t="str">
        <f t="shared" si="451"/>
        <v/>
      </c>
      <c r="AO1699" s="3">
        <v>0</v>
      </c>
      <c r="AP1699" s="3">
        <f t="shared" si="465"/>
        <v>8</v>
      </c>
      <c r="AR1699">
        <f t="shared" si="466"/>
        <v>0</v>
      </c>
      <c r="AS1699">
        <f t="shared" si="467"/>
        <v>5</v>
      </c>
    </row>
    <row r="1700" customHeight="1" spans="1:45">
      <c r="A1700" s="3" t="str">
        <f>IF(对接源_02物料!$C500="","",对接源_02物料!$C500)</f>
        <v/>
      </c>
      <c r="B1700" s="3">
        <f t="shared" si="452"/>
        <v>0</v>
      </c>
      <c r="C1700" s="3">
        <f t="shared" si="453"/>
        <v>21</v>
      </c>
      <c r="K1700" s="3">
        <f>IF(OR($K$1="",对接源_02物料!$C500="",对接源_02物料!$C500&lt;&gt;$K$1,对接源_02物料!$B500=""),0,IF(OR(N(对接源_02物料!$B500)&lt;$K$2,N(对接源_02物料!$B500)&gt;$K$3),0,1))</f>
        <v>0</v>
      </c>
      <c r="L1700" s="3">
        <f>IF(OR($L$1="",对接源_02物料!$C500="",对接源_02物料!$C500&lt;&gt;$L$1,对接源_02物料!$B500=""),0,IF(OR(N(对接源_02物料!$B500)&lt;$L$2,N(对接源_02物料!$B500)&gt;$L$3),0,1))</f>
        <v>0</v>
      </c>
      <c r="M1700" s="3">
        <f>IF(OR($M$1="",对接源_02物料!$C500="",对接源_02物料!$C500&lt;&gt;$M$1,对接源_02物料!$B500=""),0,IF(OR(N(对接源_02物料!$B500)&lt;$M$2,N(对接源_02物料!$B500)&gt;$M$3),0,1))</f>
        <v>0</v>
      </c>
      <c r="N1700" s="3">
        <f>IF(OR($N$1="",对接源_02物料!$C500="",对接源_02物料!$C500&lt;&gt;$N$1,对接源_02物料!$B500=""),0,IF(OR(N(对接源_02物料!$B500)&lt;$N$2,N(对接源_02物料!$B500)&gt;$N$3),0,1))</f>
        <v>0</v>
      </c>
      <c r="P1700" s="3">
        <f>IF(AND($K1700=1,AND(对接源_02物料!$X500="公司筐",N(对接源_02物料!$T500)&lt;&gt;0)),1,0)</f>
        <v>0</v>
      </c>
      <c r="Q1700" s="3">
        <f t="shared" si="454"/>
        <v>8</v>
      </c>
      <c r="R1700" s="3">
        <f>IF(AND($K1700=1,AND(对接源_02物料!$X500="公司筐",N(对接源_02物料!$U500)&lt;&gt;0)),1,0)</f>
        <v>0</v>
      </c>
      <c r="S1700" s="3">
        <f t="shared" si="455"/>
        <v>0</v>
      </c>
      <c r="T1700" s="3">
        <f>IF(AND($K1700=1,AND(对接源_02物料!$X500="公司筐",N(对接源_02物料!$V500)&lt;&gt;0)),1,0)</f>
        <v>0</v>
      </c>
      <c r="U1700" s="3">
        <f t="shared" si="456"/>
        <v>19</v>
      </c>
      <c r="V1700" s="3">
        <f>IF(AND($L1700=1,AND(对接源_02物料!$X500="自备筐",N(对接源_02物料!$V500)&lt;&gt;0)),1,0)</f>
        <v>0</v>
      </c>
      <c r="W1700" s="3">
        <f t="shared" si="457"/>
        <v>8</v>
      </c>
      <c r="X1700" s="3">
        <f>IF(AND($L1700=1,AND(对接源_02物料!$X500="自备筐",N(对接源_02物料!$T500)&lt;&gt;0)),1,0)</f>
        <v>0</v>
      </c>
      <c r="Y1700" s="3">
        <f t="shared" si="458"/>
        <v>0</v>
      </c>
      <c r="Z1700" s="3">
        <f>IF(AND($M1700=1,对接源_02物料!$D500="原料入库"),1,0)</f>
        <v>0</v>
      </c>
      <c r="AA1700" s="3">
        <f t="shared" si="459"/>
        <v>24</v>
      </c>
      <c r="AB1700" s="3">
        <f>IF(AND($M1700=1,LEFT(对接源_02物料!$D500,4)="原料出库"),1,0)</f>
        <v>0</v>
      </c>
      <c r="AC1700" s="3">
        <f t="shared" si="460"/>
        <v>0</v>
      </c>
      <c r="AD1700" s="3">
        <f>IF(AND($M1700=1,LEFT(对接源_02物料!$D500,4)="成品出库"),1,0)</f>
        <v>0</v>
      </c>
      <c r="AE1700" s="3">
        <f t="shared" si="461"/>
        <v>0</v>
      </c>
      <c r="AF1700" s="3">
        <f>IF(AND($N1700=1,AND(LEFT(对接源_02物料!$D500,4)="包装物料",N(对接源_02物料!$K500)&lt;&gt;0)),1,0)</f>
        <v>0</v>
      </c>
      <c r="AG1700" s="3">
        <f t="shared" si="462"/>
        <v>5</v>
      </c>
      <c r="AH1700" s="3">
        <f>IF(AND($N1700=1,AND(对接源_02物料!$D500="周转筐－销售出库",N(对接源_02物料!$K500)&lt;&gt;0)),1,0)</f>
        <v>0</v>
      </c>
      <c r="AI1700" s="3">
        <f t="shared" si="463"/>
        <v>0</v>
      </c>
      <c r="AL1700" s="3">
        <v>0</v>
      </c>
      <c r="AM1700" s="3">
        <f t="shared" si="464"/>
        <v>1</v>
      </c>
      <c r="AN1700" s="3" t="str">
        <f t="shared" si="451"/>
        <v/>
      </c>
      <c r="AO1700" s="3">
        <v>0</v>
      </c>
      <c r="AP1700" s="3">
        <f t="shared" si="465"/>
        <v>8</v>
      </c>
      <c r="AR1700">
        <f t="shared" si="466"/>
        <v>0</v>
      </c>
      <c r="AS1700">
        <f t="shared" si="467"/>
        <v>5</v>
      </c>
    </row>
    <row r="1701" customHeight="1" spans="1:45">
      <c r="A1701" s="3" t="str">
        <f>IF(对接源_02物料!$C501="","",对接源_02物料!$C501)</f>
        <v/>
      </c>
      <c r="B1701" s="3">
        <f t="shared" si="452"/>
        <v>0</v>
      </c>
      <c r="C1701" s="3">
        <f t="shared" si="453"/>
        <v>21</v>
      </c>
      <c r="K1701" s="3">
        <f>IF(OR($K$1="",对接源_02物料!$C501="",对接源_02物料!$C501&lt;&gt;$K$1,对接源_02物料!$B501=""),0,IF(OR(N(对接源_02物料!$B501)&lt;$K$2,N(对接源_02物料!$B501)&gt;$K$3),0,1))</f>
        <v>0</v>
      </c>
      <c r="L1701" s="3">
        <f>IF(OR($L$1="",对接源_02物料!$C501="",对接源_02物料!$C501&lt;&gt;$L$1,对接源_02物料!$B501=""),0,IF(OR(N(对接源_02物料!$B501)&lt;$L$2,N(对接源_02物料!$B501)&gt;$L$3),0,1))</f>
        <v>0</v>
      </c>
      <c r="M1701" s="3">
        <f>IF(OR($M$1="",对接源_02物料!$C501="",对接源_02物料!$C501&lt;&gt;$M$1,对接源_02物料!$B501=""),0,IF(OR(N(对接源_02物料!$B501)&lt;$M$2,N(对接源_02物料!$B501)&gt;$M$3),0,1))</f>
        <v>0</v>
      </c>
      <c r="N1701" s="3">
        <f>IF(OR($N$1="",对接源_02物料!$C501="",对接源_02物料!$C501&lt;&gt;$N$1,对接源_02物料!$B501=""),0,IF(OR(N(对接源_02物料!$B501)&lt;$N$2,N(对接源_02物料!$B501)&gt;$N$3),0,1))</f>
        <v>0</v>
      </c>
      <c r="P1701" s="3">
        <f>IF(AND($K1701=1,AND(对接源_02物料!$X501="公司筐",N(对接源_02物料!$T501)&lt;&gt;0)),1,0)</f>
        <v>0</v>
      </c>
      <c r="Q1701" s="3">
        <f t="shared" si="454"/>
        <v>8</v>
      </c>
      <c r="R1701" s="3">
        <f>IF(AND($K1701=1,AND(对接源_02物料!$X501="公司筐",N(对接源_02物料!$U501)&lt;&gt;0)),1,0)</f>
        <v>0</v>
      </c>
      <c r="S1701" s="3">
        <f t="shared" si="455"/>
        <v>0</v>
      </c>
      <c r="T1701" s="3">
        <f>IF(AND($K1701=1,AND(对接源_02物料!$X501="公司筐",N(对接源_02物料!$V501)&lt;&gt;0)),1,0)</f>
        <v>0</v>
      </c>
      <c r="U1701" s="3">
        <f t="shared" si="456"/>
        <v>19</v>
      </c>
      <c r="V1701" s="3">
        <f>IF(AND($L1701=1,AND(对接源_02物料!$X501="自备筐",N(对接源_02物料!$V501)&lt;&gt;0)),1,0)</f>
        <v>0</v>
      </c>
      <c r="W1701" s="3">
        <f t="shared" si="457"/>
        <v>8</v>
      </c>
      <c r="X1701" s="3">
        <f>IF(AND($L1701=1,AND(对接源_02物料!$X501="自备筐",N(对接源_02物料!$T501)&lt;&gt;0)),1,0)</f>
        <v>0</v>
      </c>
      <c r="Y1701" s="3">
        <f t="shared" si="458"/>
        <v>0</v>
      </c>
      <c r="Z1701" s="3">
        <f>IF(AND($M1701=1,对接源_02物料!$D501="原料入库"),1,0)</f>
        <v>0</v>
      </c>
      <c r="AA1701" s="3">
        <f t="shared" si="459"/>
        <v>24</v>
      </c>
      <c r="AB1701" s="3">
        <f>IF(AND($M1701=1,LEFT(对接源_02物料!$D501,4)="原料出库"),1,0)</f>
        <v>0</v>
      </c>
      <c r="AC1701" s="3">
        <f t="shared" si="460"/>
        <v>0</v>
      </c>
      <c r="AD1701" s="3">
        <f>IF(AND($M1701=1,LEFT(对接源_02物料!$D501,4)="成品出库"),1,0)</f>
        <v>0</v>
      </c>
      <c r="AE1701" s="3">
        <f t="shared" si="461"/>
        <v>0</v>
      </c>
      <c r="AF1701" s="3">
        <f>IF(AND($N1701=1,AND(LEFT(对接源_02物料!$D501,4)="包装物料",N(对接源_02物料!$K501)&lt;&gt;0)),1,0)</f>
        <v>0</v>
      </c>
      <c r="AG1701" s="3">
        <f t="shared" si="462"/>
        <v>5</v>
      </c>
      <c r="AH1701" s="3">
        <f>IF(AND($N1701=1,AND(对接源_02物料!$D501="周转筐－销售出库",N(对接源_02物料!$K501)&lt;&gt;0)),1,0)</f>
        <v>0</v>
      </c>
      <c r="AI1701" s="3">
        <f t="shared" si="463"/>
        <v>0</v>
      </c>
      <c r="AL1701" s="3">
        <v>0</v>
      </c>
      <c r="AM1701" s="3">
        <f t="shared" si="464"/>
        <v>1</v>
      </c>
      <c r="AN1701" s="3" t="str">
        <f t="shared" si="451"/>
        <v/>
      </c>
      <c r="AO1701" s="3">
        <v>0</v>
      </c>
      <c r="AP1701" s="3">
        <f t="shared" si="465"/>
        <v>8</v>
      </c>
      <c r="AR1701">
        <f t="shared" si="466"/>
        <v>0</v>
      </c>
      <c r="AS1701">
        <f t="shared" si="467"/>
        <v>5</v>
      </c>
    </row>
    <row r="1702" customHeight="1" spans="1:45">
      <c r="A1702" s="3" t="str">
        <f>IF(对接源_02物料!$C502="","",对接源_02物料!$C502)</f>
        <v/>
      </c>
      <c r="B1702" s="3">
        <f t="shared" si="452"/>
        <v>0</v>
      </c>
      <c r="C1702" s="3">
        <f t="shared" si="453"/>
        <v>21</v>
      </c>
      <c r="K1702" s="3">
        <f>IF(OR($K$1="",对接源_02物料!$C502="",对接源_02物料!$C502&lt;&gt;$K$1,对接源_02物料!$B502=""),0,IF(OR(N(对接源_02物料!$B502)&lt;$K$2,N(对接源_02物料!$B502)&gt;$K$3),0,1))</f>
        <v>0</v>
      </c>
      <c r="L1702" s="3">
        <f>IF(OR($L$1="",对接源_02物料!$C502="",对接源_02物料!$C502&lt;&gt;$L$1,对接源_02物料!$B502=""),0,IF(OR(N(对接源_02物料!$B502)&lt;$L$2,N(对接源_02物料!$B502)&gt;$L$3),0,1))</f>
        <v>0</v>
      </c>
      <c r="M1702" s="3">
        <f>IF(OR($M$1="",对接源_02物料!$C502="",对接源_02物料!$C502&lt;&gt;$M$1,对接源_02物料!$B502=""),0,IF(OR(N(对接源_02物料!$B502)&lt;$M$2,N(对接源_02物料!$B502)&gt;$M$3),0,1))</f>
        <v>0</v>
      </c>
      <c r="N1702" s="3">
        <f>IF(OR($N$1="",对接源_02物料!$C502="",对接源_02物料!$C502&lt;&gt;$N$1,对接源_02物料!$B502=""),0,IF(OR(N(对接源_02物料!$B502)&lt;$N$2,N(对接源_02物料!$B502)&gt;$N$3),0,1))</f>
        <v>0</v>
      </c>
      <c r="P1702" s="3">
        <f>IF(AND($K1702=1,AND(对接源_02物料!$X502="公司筐",N(对接源_02物料!$T502)&lt;&gt;0)),1,0)</f>
        <v>0</v>
      </c>
      <c r="Q1702" s="3">
        <f t="shared" si="454"/>
        <v>8</v>
      </c>
      <c r="R1702" s="3">
        <f>IF(AND($K1702=1,AND(对接源_02物料!$X502="公司筐",N(对接源_02物料!$U502)&lt;&gt;0)),1,0)</f>
        <v>0</v>
      </c>
      <c r="S1702" s="3">
        <f t="shared" si="455"/>
        <v>0</v>
      </c>
      <c r="T1702" s="3">
        <f>IF(AND($K1702=1,AND(对接源_02物料!$X502="公司筐",N(对接源_02物料!$V502)&lt;&gt;0)),1,0)</f>
        <v>0</v>
      </c>
      <c r="U1702" s="3">
        <f t="shared" si="456"/>
        <v>19</v>
      </c>
      <c r="V1702" s="3">
        <f>IF(AND($L1702=1,AND(对接源_02物料!$X502="自备筐",N(对接源_02物料!$V502)&lt;&gt;0)),1,0)</f>
        <v>0</v>
      </c>
      <c r="W1702" s="3">
        <f t="shared" si="457"/>
        <v>8</v>
      </c>
      <c r="X1702" s="3">
        <f>IF(AND($L1702=1,AND(对接源_02物料!$X502="自备筐",N(对接源_02物料!$T502)&lt;&gt;0)),1,0)</f>
        <v>0</v>
      </c>
      <c r="Y1702" s="3">
        <f t="shared" si="458"/>
        <v>0</v>
      </c>
      <c r="Z1702" s="3">
        <f>IF(AND($M1702=1,对接源_02物料!$D502="原料入库"),1,0)</f>
        <v>0</v>
      </c>
      <c r="AA1702" s="3">
        <f t="shared" si="459"/>
        <v>24</v>
      </c>
      <c r="AB1702" s="3">
        <f>IF(AND($M1702=1,LEFT(对接源_02物料!$D502,4)="原料出库"),1,0)</f>
        <v>0</v>
      </c>
      <c r="AC1702" s="3">
        <f t="shared" si="460"/>
        <v>0</v>
      </c>
      <c r="AD1702" s="3">
        <f>IF(AND($M1702=1,LEFT(对接源_02物料!$D502,4)="成品出库"),1,0)</f>
        <v>0</v>
      </c>
      <c r="AE1702" s="3">
        <f t="shared" si="461"/>
        <v>0</v>
      </c>
      <c r="AF1702" s="3">
        <f>IF(AND($N1702=1,AND(LEFT(对接源_02物料!$D502,4)="包装物料",N(对接源_02物料!$K502)&lt;&gt;0)),1,0)</f>
        <v>0</v>
      </c>
      <c r="AG1702" s="3">
        <f t="shared" si="462"/>
        <v>5</v>
      </c>
      <c r="AH1702" s="3">
        <f>IF(AND($N1702=1,AND(对接源_02物料!$D502="周转筐－销售出库",N(对接源_02物料!$K502)&lt;&gt;0)),1,0)</f>
        <v>0</v>
      </c>
      <c r="AI1702" s="3">
        <f t="shared" si="463"/>
        <v>0</v>
      </c>
      <c r="AL1702" s="3">
        <v>0</v>
      </c>
      <c r="AM1702" s="3">
        <f t="shared" si="464"/>
        <v>1</v>
      </c>
      <c r="AN1702" s="3" t="str">
        <f t="shared" si="451"/>
        <v/>
      </c>
      <c r="AO1702" s="3">
        <v>0</v>
      </c>
      <c r="AP1702" s="3">
        <f t="shared" si="465"/>
        <v>8</v>
      </c>
      <c r="AR1702">
        <f t="shared" si="466"/>
        <v>0</v>
      </c>
      <c r="AS1702">
        <f t="shared" si="467"/>
        <v>5</v>
      </c>
    </row>
    <row r="1703" customHeight="1" spans="1:45">
      <c r="A1703" s="3" t="str">
        <f>IF(对接源_02物料!$C503="","",对接源_02物料!$C503)</f>
        <v/>
      </c>
      <c r="B1703" s="3">
        <f t="shared" si="452"/>
        <v>0</v>
      </c>
      <c r="C1703" s="3">
        <f t="shared" si="453"/>
        <v>21</v>
      </c>
      <c r="K1703" s="3">
        <f>IF(OR($K$1="",对接源_02物料!$C503="",对接源_02物料!$C503&lt;&gt;$K$1,对接源_02物料!$B503=""),0,IF(OR(N(对接源_02物料!$B503)&lt;$K$2,N(对接源_02物料!$B503)&gt;$K$3),0,1))</f>
        <v>0</v>
      </c>
      <c r="L1703" s="3">
        <f>IF(OR($L$1="",对接源_02物料!$C503="",对接源_02物料!$C503&lt;&gt;$L$1,对接源_02物料!$B503=""),0,IF(OR(N(对接源_02物料!$B503)&lt;$L$2,N(对接源_02物料!$B503)&gt;$L$3),0,1))</f>
        <v>0</v>
      </c>
      <c r="M1703" s="3">
        <f>IF(OR($M$1="",对接源_02物料!$C503="",对接源_02物料!$C503&lt;&gt;$M$1,对接源_02物料!$B503=""),0,IF(OR(N(对接源_02物料!$B503)&lt;$M$2,N(对接源_02物料!$B503)&gt;$M$3),0,1))</f>
        <v>0</v>
      </c>
      <c r="N1703" s="3">
        <f>IF(OR($N$1="",对接源_02物料!$C503="",对接源_02物料!$C503&lt;&gt;$N$1,对接源_02物料!$B503=""),0,IF(OR(N(对接源_02物料!$B503)&lt;$N$2,N(对接源_02物料!$B503)&gt;$N$3),0,1))</f>
        <v>0</v>
      </c>
      <c r="P1703" s="3">
        <f>IF(AND($K1703=1,AND(对接源_02物料!$X503="公司筐",N(对接源_02物料!$T503)&lt;&gt;0)),1,0)</f>
        <v>0</v>
      </c>
      <c r="Q1703" s="3">
        <f t="shared" si="454"/>
        <v>8</v>
      </c>
      <c r="R1703" s="3">
        <f>IF(AND($K1703=1,AND(对接源_02物料!$X503="公司筐",N(对接源_02物料!$U503)&lt;&gt;0)),1,0)</f>
        <v>0</v>
      </c>
      <c r="S1703" s="3">
        <f t="shared" si="455"/>
        <v>0</v>
      </c>
      <c r="T1703" s="3">
        <f>IF(AND($K1703=1,AND(对接源_02物料!$X503="公司筐",N(对接源_02物料!$V503)&lt;&gt;0)),1,0)</f>
        <v>0</v>
      </c>
      <c r="U1703" s="3">
        <f t="shared" si="456"/>
        <v>19</v>
      </c>
      <c r="V1703" s="3">
        <f>IF(AND($L1703=1,AND(对接源_02物料!$X503="自备筐",N(对接源_02物料!$V503)&lt;&gt;0)),1,0)</f>
        <v>0</v>
      </c>
      <c r="W1703" s="3">
        <f t="shared" si="457"/>
        <v>8</v>
      </c>
      <c r="X1703" s="3">
        <f>IF(AND($L1703=1,AND(对接源_02物料!$X503="自备筐",N(对接源_02物料!$T503)&lt;&gt;0)),1,0)</f>
        <v>0</v>
      </c>
      <c r="Y1703" s="3">
        <f t="shared" si="458"/>
        <v>0</v>
      </c>
      <c r="Z1703" s="3">
        <f>IF(AND($M1703=1,对接源_02物料!$D503="原料入库"),1,0)</f>
        <v>0</v>
      </c>
      <c r="AA1703" s="3">
        <f t="shared" si="459"/>
        <v>24</v>
      </c>
      <c r="AB1703" s="3">
        <f>IF(AND($M1703=1,LEFT(对接源_02物料!$D503,4)="原料出库"),1,0)</f>
        <v>0</v>
      </c>
      <c r="AC1703" s="3">
        <f t="shared" si="460"/>
        <v>0</v>
      </c>
      <c r="AD1703" s="3">
        <f>IF(AND($M1703=1,LEFT(对接源_02物料!$D503,4)="成品出库"),1,0)</f>
        <v>0</v>
      </c>
      <c r="AE1703" s="3">
        <f t="shared" si="461"/>
        <v>0</v>
      </c>
      <c r="AF1703" s="3">
        <f>IF(AND($N1703=1,AND(LEFT(对接源_02物料!$D503,4)="包装物料",N(对接源_02物料!$K503)&lt;&gt;0)),1,0)</f>
        <v>0</v>
      </c>
      <c r="AG1703" s="3">
        <f t="shared" si="462"/>
        <v>5</v>
      </c>
      <c r="AH1703" s="3">
        <f>IF(AND($N1703=1,AND(对接源_02物料!$D503="周转筐－销售出库",N(对接源_02物料!$K503)&lt;&gt;0)),1,0)</f>
        <v>0</v>
      </c>
      <c r="AI1703" s="3">
        <f t="shared" si="463"/>
        <v>0</v>
      </c>
      <c r="AL1703" s="3">
        <v>0</v>
      </c>
      <c r="AM1703" s="3">
        <f t="shared" si="464"/>
        <v>1</v>
      </c>
      <c r="AN1703" s="3" t="str">
        <f t="shared" si="451"/>
        <v/>
      </c>
      <c r="AO1703" s="3">
        <v>0</v>
      </c>
      <c r="AP1703" s="3">
        <f t="shared" si="465"/>
        <v>8</v>
      </c>
      <c r="AR1703">
        <f t="shared" si="466"/>
        <v>0</v>
      </c>
      <c r="AS1703">
        <f t="shared" si="467"/>
        <v>5</v>
      </c>
    </row>
    <row r="1704" customHeight="1" spans="1:45">
      <c r="A1704" s="3" t="str">
        <f>IF(对接源_02物料!$C504="","",对接源_02物料!$C504)</f>
        <v/>
      </c>
      <c r="B1704" s="3">
        <f t="shared" si="452"/>
        <v>0</v>
      </c>
      <c r="C1704" s="3">
        <f t="shared" si="453"/>
        <v>21</v>
      </c>
      <c r="K1704" s="3">
        <f>IF(OR($K$1="",对接源_02物料!$C504="",对接源_02物料!$C504&lt;&gt;$K$1,对接源_02物料!$B504=""),0,IF(OR(N(对接源_02物料!$B504)&lt;$K$2,N(对接源_02物料!$B504)&gt;$K$3),0,1))</f>
        <v>0</v>
      </c>
      <c r="L1704" s="3">
        <f>IF(OR($L$1="",对接源_02物料!$C504="",对接源_02物料!$C504&lt;&gt;$L$1,对接源_02物料!$B504=""),0,IF(OR(N(对接源_02物料!$B504)&lt;$L$2,N(对接源_02物料!$B504)&gt;$L$3),0,1))</f>
        <v>0</v>
      </c>
      <c r="M1704" s="3">
        <f>IF(OR($M$1="",对接源_02物料!$C504="",对接源_02物料!$C504&lt;&gt;$M$1,对接源_02物料!$B504=""),0,IF(OR(N(对接源_02物料!$B504)&lt;$M$2,N(对接源_02物料!$B504)&gt;$M$3),0,1))</f>
        <v>0</v>
      </c>
      <c r="N1704" s="3">
        <f>IF(OR($N$1="",对接源_02物料!$C504="",对接源_02物料!$C504&lt;&gt;$N$1,对接源_02物料!$B504=""),0,IF(OR(N(对接源_02物料!$B504)&lt;$N$2,N(对接源_02物料!$B504)&gt;$N$3),0,1))</f>
        <v>0</v>
      </c>
      <c r="P1704" s="3">
        <f>IF(AND($K1704=1,AND(对接源_02物料!$X504="公司筐",N(对接源_02物料!$T504)&lt;&gt;0)),1,0)</f>
        <v>0</v>
      </c>
      <c r="Q1704" s="3">
        <f t="shared" si="454"/>
        <v>8</v>
      </c>
      <c r="R1704" s="3">
        <f>IF(AND($K1704=1,AND(对接源_02物料!$X504="公司筐",N(对接源_02物料!$U504)&lt;&gt;0)),1,0)</f>
        <v>0</v>
      </c>
      <c r="S1704" s="3">
        <f t="shared" si="455"/>
        <v>0</v>
      </c>
      <c r="T1704" s="3">
        <f>IF(AND($K1704=1,AND(对接源_02物料!$X504="公司筐",N(对接源_02物料!$V504)&lt;&gt;0)),1,0)</f>
        <v>0</v>
      </c>
      <c r="U1704" s="3">
        <f t="shared" si="456"/>
        <v>19</v>
      </c>
      <c r="V1704" s="3">
        <f>IF(AND($L1704=1,AND(对接源_02物料!$X504="自备筐",N(对接源_02物料!$V504)&lt;&gt;0)),1,0)</f>
        <v>0</v>
      </c>
      <c r="W1704" s="3">
        <f t="shared" si="457"/>
        <v>8</v>
      </c>
      <c r="X1704" s="3">
        <f>IF(AND($L1704=1,AND(对接源_02物料!$X504="自备筐",N(对接源_02物料!$T504)&lt;&gt;0)),1,0)</f>
        <v>0</v>
      </c>
      <c r="Y1704" s="3">
        <f t="shared" si="458"/>
        <v>0</v>
      </c>
      <c r="Z1704" s="3">
        <f>IF(AND($M1704=1,对接源_02物料!$D504="原料入库"),1,0)</f>
        <v>0</v>
      </c>
      <c r="AA1704" s="3">
        <f t="shared" si="459"/>
        <v>24</v>
      </c>
      <c r="AB1704" s="3">
        <f>IF(AND($M1704=1,LEFT(对接源_02物料!$D504,4)="原料出库"),1,0)</f>
        <v>0</v>
      </c>
      <c r="AC1704" s="3">
        <f t="shared" si="460"/>
        <v>0</v>
      </c>
      <c r="AD1704" s="3">
        <f>IF(AND($M1704=1,LEFT(对接源_02物料!$D504,4)="成品出库"),1,0)</f>
        <v>0</v>
      </c>
      <c r="AE1704" s="3">
        <f t="shared" si="461"/>
        <v>0</v>
      </c>
      <c r="AF1704" s="3">
        <f>IF(AND($N1704=1,AND(LEFT(对接源_02物料!$D504,4)="包装物料",N(对接源_02物料!$K504)&lt;&gt;0)),1,0)</f>
        <v>0</v>
      </c>
      <c r="AG1704" s="3">
        <f t="shared" si="462"/>
        <v>5</v>
      </c>
      <c r="AH1704" s="3">
        <f>IF(AND($N1704=1,AND(对接源_02物料!$D504="周转筐－销售出库",N(对接源_02物料!$K504)&lt;&gt;0)),1,0)</f>
        <v>0</v>
      </c>
      <c r="AI1704" s="3">
        <f t="shared" si="463"/>
        <v>0</v>
      </c>
      <c r="AL1704" s="3">
        <v>0</v>
      </c>
      <c r="AM1704" s="3">
        <f t="shared" si="464"/>
        <v>1</v>
      </c>
      <c r="AN1704" s="3" t="str">
        <f t="shared" si="451"/>
        <v/>
      </c>
      <c r="AO1704" s="3">
        <v>0</v>
      </c>
      <c r="AP1704" s="3">
        <f t="shared" si="465"/>
        <v>8</v>
      </c>
      <c r="AR1704">
        <f t="shared" si="466"/>
        <v>0</v>
      </c>
      <c r="AS1704">
        <f t="shared" si="467"/>
        <v>5</v>
      </c>
    </row>
    <row r="1705" customHeight="1" spans="1:45">
      <c r="A1705" s="3" t="str">
        <f>IF(对接源_02物料!$C505="","",对接源_02物料!$C505)</f>
        <v/>
      </c>
      <c r="B1705" s="3">
        <f t="shared" si="452"/>
        <v>0</v>
      </c>
      <c r="C1705" s="3">
        <f t="shared" si="453"/>
        <v>21</v>
      </c>
      <c r="K1705" s="3">
        <f>IF(OR($K$1="",对接源_02物料!$C505="",对接源_02物料!$C505&lt;&gt;$K$1,对接源_02物料!$B505=""),0,IF(OR(N(对接源_02物料!$B505)&lt;$K$2,N(对接源_02物料!$B505)&gt;$K$3),0,1))</f>
        <v>0</v>
      </c>
      <c r="L1705" s="3">
        <f>IF(OR($L$1="",对接源_02物料!$C505="",对接源_02物料!$C505&lt;&gt;$L$1,对接源_02物料!$B505=""),0,IF(OR(N(对接源_02物料!$B505)&lt;$L$2,N(对接源_02物料!$B505)&gt;$L$3),0,1))</f>
        <v>0</v>
      </c>
      <c r="M1705" s="3">
        <f>IF(OR($M$1="",对接源_02物料!$C505="",对接源_02物料!$C505&lt;&gt;$M$1,对接源_02物料!$B505=""),0,IF(OR(N(对接源_02物料!$B505)&lt;$M$2,N(对接源_02物料!$B505)&gt;$M$3),0,1))</f>
        <v>0</v>
      </c>
      <c r="N1705" s="3">
        <f>IF(OR($N$1="",对接源_02物料!$C505="",对接源_02物料!$C505&lt;&gt;$N$1,对接源_02物料!$B505=""),0,IF(OR(N(对接源_02物料!$B505)&lt;$N$2,N(对接源_02物料!$B505)&gt;$N$3),0,1))</f>
        <v>0</v>
      </c>
      <c r="P1705" s="3">
        <f>IF(AND($K1705=1,AND(对接源_02物料!$X505="公司筐",N(对接源_02物料!$T505)&lt;&gt;0)),1,0)</f>
        <v>0</v>
      </c>
      <c r="Q1705" s="3">
        <f t="shared" si="454"/>
        <v>8</v>
      </c>
      <c r="R1705" s="3">
        <f>IF(AND($K1705=1,AND(对接源_02物料!$X505="公司筐",N(对接源_02物料!$U505)&lt;&gt;0)),1,0)</f>
        <v>0</v>
      </c>
      <c r="S1705" s="3">
        <f t="shared" si="455"/>
        <v>0</v>
      </c>
      <c r="T1705" s="3">
        <f>IF(AND($K1705=1,AND(对接源_02物料!$X505="公司筐",N(对接源_02物料!$V505)&lt;&gt;0)),1,0)</f>
        <v>0</v>
      </c>
      <c r="U1705" s="3">
        <f t="shared" si="456"/>
        <v>19</v>
      </c>
      <c r="V1705" s="3">
        <f>IF(AND($L1705=1,AND(对接源_02物料!$X505="自备筐",N(对接源_02物料!$V505)&lt;&gt;0)),1,0)</f>
        <v>0</v>
      </c>
      <c r="W1705" s="3">
        <f t="shared" si="457"/>
        <v>8</v>
      </c>
      <c r="X1705" s="3">
        <f>IF(AND($L1705=1,AND(对接源_02物料!$X505="自备筐",N(对接源_02物料!$T505)&lt;&gt;0)),1,0)</f>
        <v>0</v>
      </c>
      <c r="Y1705" s="3">
        <f t="shared" si="458"/>
        <v>0</v>
      </c>
      <c r="Z1705" s="3">
        <f>IF(AND($M1705=1,对接源_02物料!$D505="原料入库"),1,0)</f>
        <v>0</v>
      </c>
      <c r="AA1705" s="3">
        <f t="shared" si="459"/>
        <v>24</v>
      </c>
      <c r="AB1705" s="3">
        <f>IF(AND($M1705=1,LEFT(对接源_02物料!$D505,4)="原料出库"),1,0)</f>
        <v>0</v>
      </c>
      <c r="AC1705" s="3">
        <f t="shared" si="460"/>
        <v>0</v>
      </c>
      <c r="AD1705" s="3">
        <f>IF(AND($M1705=1,LEFT(对接源_02物料!$D505,4)="成品出库"),1,0)</f>
        <v>0</v>
      </c>
      <c r="AE1705" s="3">
        <f t="shared" si="461"/>
        <v>0</v>
      </c>
      <c r="AF1705" s="3">
        <f>IF(AND($N1705=1,AND(LEFT(对接源_02物料!$D505,4)="包装物料",N(对接源_02物料!$K505)&lt;&gt;0)),1,0)</f>
        <v>0</v>
      </c>
      <c r="AG1705" s="3">
        <f t="shared" si="462"/>
        <v>5</v>
      </c>
      <c r="AH1705" s="3">
        <f>IF(AND($N1705=1,AND(对接源_02物料!$D505="周转筐－销售出库",N(对接源_02物料!$K505)&lt;&gt;0)),1,0)</f>
        <v>0</v>
      </c>
      <c r="AI1705" s="3">
        <f t="shared" si="463"/>
        <v>0</v>
      </c>
      <c r="AL1705" s="3">
        <v>0</v>
      </c>
      <c r="AM1705" s="3">
        <f t="shared" si="464"/>
        <v>1</v>
      </c>
      <c r="AN1705" s="3" t="str">
        <f t="shared" si="451"/>
        <v/>
      </c>
      <c r="AO1705" s="3">
        <v>0</v>
      </c>
      <c r="AP1705" s="3">
        <f t="shared" si="465"/>
        <v>8</v>
      </c>
      <c r="AR1705">
        <f t="shared" si="466"/>
        <v>0</v>
      </c>
      <c r="AS1705">
        <f t="shared" si="467"/>
        <v>5</v>
      </c>
    </row>
    <row r="1706" customHeight="1" spans="1:45">
      <c r="A1706" s="3" t="str">
        <f>IF(对接源_02物料!$C506="","",对接源_02物料!$C506)</f>
        <v/>
      </c>
      <c r="B1706" s="3">
        <f t="shared" si="452"/>
        <v>0</v>
      </c>
      <c r="C1706" s="3">
        <f t="shared" si="453"/>
        <v>21</v>
      </c>
      <c r="K1706" s="3">
        <f>IF(OR($K$1="",对接源_02物料!$C506="",对接源_02物料!$C506&lt;&gt;$K$1,对接源_02物料!$B506=""),0,IF(OR(N(对接源_02物料!$B506)&lt;$K$2,N(对接源_02物料!$B506)&gt;$K$3),0,1))</f>
        <v>0</v>
      </c>
      <c r="L1706" s="3">
        <f>IF(OR($L$1="",对接源_02物料!$C506="",对接源_02物料!$C506&lt;&gt;$L$1,对接源_02物料!$B506=""),0,IF(OR(N(对接源_02物料!$B506)&lt;$L$2,N(对接源_02物料!$B506)&gt;$L$3),0,1))</f>
        <v>0</v>
      </c>
      <c r="M1706" s="3">
        <f>IF(OR($M$1="",对接源_02物料!$C506="",对接源_02物料!$C506&lt;&gt;$M$1,对接源_02物料!$B506=""),0,IF(OR(N(对接源_02物料!$B506)&lt;$M$2,N(对接源_02物料!$B506)&gt;$M$3),0,1))</f>
        <v>0</v>
      </c>
      <c r="N1706" s="3">
        <f>IF(OR($N$1="",对接源_02物料!$C506="",对接源_02物料!$C506&lt;&gt;$N$1,对接源_02物料!$B506=""),0,IF(OR(N(对接源_02物料!$B506)&lt;$N$2,N(对接源_02物料!$B506)&gt;$N$3),0,1))</f>
        <v>0</v>
      </c>
      <c r="P1706" s="3">
        <f>IF(AND($K1706=1,AND(对接源_02物料!$X506="公司筐",N(对接源_02物料!$T506)&lt;&gt;0)),1,0)</f>
        <v>0</v>
      </c>
      <c r="Q1706" s="3">
        <f t="shared" si="454"/>
        <v>8</v>
      </c>
      <c r="R1706" s="3">
        <f>IF(AND($K1706=1,AND(对接源_02物料!$X506="公司筐",N(对接源_02物料!$U506)&lt;&gt;0)),1,0)</f>
        <v>0</v>
      </c>
      <c r="S1706" s="3">
        <f t="shared" si="455"/>
        <v>0</v>
      </c>
      <c r="T1706" s="3">
        <f>IF(AND($K1706=1,AND(对接源_02物料!$X506="公司筐",N(对接源_02物料!$V506)&lt;&gt;0)),1,0)</f>
        <v>0</v>
      </c>
      <c r="U1706" s="3">
        <f t="shared" si="456"/>
        <v>19</v>
      </c>
      <c r="V1706" s="3">
        <f>IF(AND($L1706=1,AND(对接源_02物料!$X506="自备筐",N(对接源_02物料!$V506)&lt;&gt;0)),1,0)</f>
        <v>0</v>
      </c>
      <c r="W1706" s="3">
        <f t="shared" si="457"/>
        <v>8</v>
      </c>
      <c r="X1706" s="3">
        <f>IF(AND($L1706=1,AND(对接源_02物料!$X506="自备筐",N(对接源_02物料!$T506)&lt;&gt;0)),1,0)</f>
        <v>0</v>
      </c>
      <c r="Y1706" s="3">
        <f t="shared" si="458"/>
        <v>0</v>
      </c>
      <c r="Z1706" s="3">
        <f>IF(AND($M1706=1,对接源_02物料!$D506="原料入库"),1,0)</f>
        <v>0</v>
      </c>
      <c r="AA1706" s="3">
        <f t="shared" si="459"/>
        <v>24</v>
      </c>
      <c r="AB1706" s="3">
        <f>IF(AND($M1706=1,LEFT(对接源_02物料!$D506,4)="原料出库"),1,0)</f>
        <v>0</v>
      </c>
      <c r="AC1706" s="3">
        <f t="shared" si="460"/>
        <v>0</v>
      </c>
      <c r="AD1706" s="3">
        <f>IF(AND($M1706=1,LEFT(对接源_02物料!$D506,4)="成品出库"),1,0)</f>
        <v>0</v>
      </c>
      <c r="AE1706" s="3">
        <f t="shared" si="461"/>
        <v>0</v>
      </c>
      <c r="AF1706" s="3">
        <f>IF(AND($N1706=1,AND(LEFT(对接源_02物料!$D506,4)="包装物料",N(对接源_02物料!$K506)&lt;&gt;0)),1,0)</f>
        <v>0</v>
      </c>
      <c r="AG1706" s="3">
        <f t="shared" si="462"/>
        <v>5</v>
      </c>
      <c r="AH1706" s="3">
        <f>IF(AND($N1706=1,AND(对接源_02物料!$D506="周转筐－销售出库",N(对接源_02物料!$K506)&lt;&gt;0)),1,0)</f>
        <v>0</v>
      </c>
      <c r="AI1706" s="3">
        <f t="shared" si="463"/>
        <v>0</v>
      </c>
      <c r="AL1706" s="3">
        <v>0</v>
      </c>
      <c r="AM1706" s="3">
        <f t="shared" si="464"/>
        <v>1</v>
      </c>
      <c r="AN1706" s="3" t="str">
        <f t="shared" si="451"/>
        <v/>
      </c>
      <c r="AO1706" s="3">
        <v>0</v>
      </c>
      <c r="AP1706" s="3">
        <f t="shared" si="465"/>
        <v>8</v>
      </c>
      <c r="AR1706">
        <f t="shared" si="466"/>
        <v>0</v>
      </c>
      <c r="AS1706">
        <f t="shared" si="467"/>
        <v>5</v>
      </c>
    </row>
    <row r="1707" customHeight="1" spans="1:45">
      <c r="A1707" s="3" t="str">
        <f>IF(对接源_02物料!$C507="","",对接源_02物料!$C507)</f>
        <v/>
      </c>
      <c r="B1707" s="3">
        <f t="shared" si="452"/>
        <v>0</v>
      </c>
      <c r="C1707" s="3">
        <f t="shared" si="453"/>
        <v>21</v>
      </c>
      <c r="K1707" s="3">
        <f>IF(OR($K$1="",对接源_02物料!$C507="",对接源_02物料!$C507&lt;&gt;$K$1,对接源_02物料!$B507=""),0,IF(OR(N(对接源_02物料!$B507)&lt;$K$2,N(对接源_02物料!$B507)&gt;$K$3),0,1))</f>
        <v>0</v>
      </c>
      <c r="L1707" s="3">
        <f>IF(OR($L$1="",对接源_02物料!$C507="",对接源_02物料!$C507&lt;&gt;$L$1,对接源_02物料!$B507=""),0,IF(OR(N(对接源_02物料!$B507)&lt;$L$2,N(对接源_02物料!$B507)&gt;$L$3),0,1))</f>
        <v>0</v>
      </c>
      <c r="M1707" s="3">
        <f>IF(OR($M$1="",对接源_02物料!$C507="",对接源_02物料!$C507&lt;&gt;$M$1,对接源_02物料!$B507=""),0,IF(OR(N(对接源_02物料!$B507)&lt;$M$2,N(对接源_02物料!$B507)&gt;$M$3),0,1))</f>
        <v>0</v>
      </c>
      <c r="N1707" s="3">
        <f>IF(OR($N$1="",对接源_02物料!$C507="",对接源_02物料!$C507&lt;&gt;$N$1,对接源_02物料!$B507=""),0,IF(OR(N(对接源_02物料!$B507)&lt;$N$2,N(对接源_02物料!$B507)&gt;$N$3),0,1))</f>
        <v>0</v>
      </c>
      <c r="P1707" s="3">
        <f>IF(AND($K1707=1,AND(对接源_02物料!$X507="公司筐",N(对接源_02物料!$T507)&lt;&gt;0)),1,0)</f>
        <v>0</v>
      </c>
      <c r="Q1707" s="3">
        <f t="shared" si="454"/>
        <v>8</v>
      </c>
      <c r="R1707" s="3">
        <f>IF(AND($K1707=1,AND(对接源_02物料!$X507="公司筐",N(对接源_02物料!$U507)&lt;&gt;0)),1,0)</f>
        <v>0</v>
      </c>
      <c r="S1707" s="3">
        <f t="shared" si="455"/>
        <v>0</v>
      </c>
      <c r="T1707" s="3">
        <f>IF(AND($K1707=1,AND(对接源_02物料!$X507="公司筐",N(对接源_02物料!$V507)&lt;&gt;0)),1,0)</f>
        <v>0</v>
      </c>
      <c r="U1707" s="3">
        <f t="shared" si="456"/>
        <v>19</v>
      </c>
      <c r="V1707" s="3">
        <f>IF(AND($L1707=1,AND(对接源_02物料!$X507="自备筐",N(对接源_02物料!$V507)&lt;&gt;0)),1,0)</f>
        <v>0</v>
      </c>
      <c r="W1707" s="3">
        <f t="shared" si="457"/>
        <v>8</v>
      </c>
      <c r="X1707" s="3">
        <f>IF(AND($L1707=1,AND(对接源_02物料!$X507="自备筐",N(对接源_02物料!$T507)&lt;&gt;0)),1,0)</f>
        <v>0</v>
      </c>
      <c r="Y1707" s="3">
        <f t="shared" si="458"/>
        <v>0</v>
      </c>
      <c r="Z1707" s="3">
        <f>IF(AND($M1707=1,对接源_02物料!$D507="原料入库"),1,0)</f>
        <v>0</v>
      </c>
      <c r="AA1707" s="3">
        <f t="shared" si="459"/>
        <v>24</v>
      </c>
      <c r="AB1707" s="3">
        <f>IF(AND($M1707=1,LEFT(对接源_02物料!$D507,4)="原料出库"),1,0)</f>
        <v>0</v>
      </c>
      <c r="AC1707" s="3">
        <f t="shared" si="460"/>
        <v>0</v>
      </c>
      <c r="AD1707" s="3">
        <f>IF(AND($M1707=1,LEFT(对接源_02物料!$D507,4)="成品出库"),1,0)</f>
        <v>0</v>
      </c>
      <c r="AE1707" s="3">
        <f t="shared" si="461"/>
        <v>0</v>
      </c>
      <c r="AF1707" s="3">
        <f>IF(AND($N1707=1,AND(LEFT(对接源_02物料!$D507,4)="包装物料",N(对接源_02物料!$K507)&lt;&gt;0)),1,0)</f>
        <v>0</v>
      </c>
      <c r="AG1707" s="3">
        <f t="shared" si="462"/>
        <v>5</v>
      </c>
      <c r="AH1707" s="3">
        <f>IF(AND($N1707=1,AND(对接源_02物料!$D507="周转筐－销售出库",N(对接源_02物料!$K507)&lt;&gt;0)),1,0)</f>
        <v>0</v>
      </c>
      <c r="AI1707" s="3">
        <f t="shared" si="463"/>
        <v>0</v>
      </c>
      <c r="AL1707" s="3">
        <v>0</v>
      </c>
      <c r="AM1707" s="3">
        <f t="shared" si="464"/>
        <v>1</v>
      </c>
      <c r="AN1707" s="3" t="str">
        <f t="shared" si="451"/>
        <v/>
      </c>
      <c r="AO1707" s="3">
        <v>0</v>
      </c>
      <c r="AP1707" s="3">
        <f t="shared" si="465"/>
        <v>8</v>
      </c>
      <c r="AR1707">
        <f t="shared" si="466"/>
        <v>0</v>
      </c>
      <c r="AS1707">
        <f t="shared" si="467"/>
        <v>5</v>
      </c>
    </row>
    <row r="1708" customHeight="1" spans="1:45">
      <c r="A1708" s="3" t="str">
        <f>IF(对接源_02物料!$C508="","",对接源_02物料!$C508)</f>
        <v/>
      </c>
      <c r="B1708" s="3">
        <f t="shared" si="452"/>
        <v>0</v>
      </c>
      <c r="C1708" s="3">
        <f t="shared" si="453"/>
        <v>21</v>
      </c>
      <c r="K1708" s="3">
        <f>IF(OR($K$1="",对接源_02物料!$C508="",对接源_02物料!$C508&lt;&gt;$K$1,对接源_02物料!$B508=""),0,IF(OR(N(对接源_02物料!$B508)&lt;$K$2,N(对接源_02物料!$B508)&gt;$K$3),0,1))</f>
        <v>0</v>
      </c>
      <c r="L1708" s="3">
        <f>IF(OR($L$1="",对接源_02物料!$C508="",对接源_02物料!$C508&lt;&gt;$L$1,对接源_02物料!$B508=""),0,IF(OR(N(对接源_02物料!$B508)&lt;$L$2,N(对接源_02物料!$B508)&gt;$L$3),0,1))</f>
        <v>0</v>
      </c>
      <c r="M1708" s="3">
        <f>IF(OR($M$1="",对接源_02物料!$C508="",对接源_02物料!$C508&lt;&gt;$M$1,对接源_02物料!$B508=""),0,IF(OR(N(对接源_02物料!$B508)&lt;$M$2,N(对接源_02物料!$B508)&gt;$M$3),0,1))</f>
        <v>0</v>
      </c>
      <c r="N1708" s="3">
        <f>IF(OR($N$1="",对接源_02物料!$C508="",对接源_02物料!$C508&lt;&gt;$N$1,对接源_02物料!$B508=""),0,IF(OR(N(对接源_02物料!$B508)&lt;$N$2,N(对接源_02物料!$B508)&gt;$N$3),0,1))</f>
        <v>0</v>
      </c>
      <c r="P1708" s="3">
        <f>IF(AND($K1708=1,AND(对接源_02物料!$X508="公司筐",N(对接源_02物料!$T508)&lt;&gt;0)),1,0)</f>
        <v>0</v>
      </c>
      <c r="Q1708" s="3">
        <f t="shared" si="454"/>
        <v>8</v>
      </c>
      <c r="R1708" s="3">
        <f>IF(AND($K1708=1,AND(对接源_02物料!$X508="公司筐",N(对接源_02物料!$U508)&lt;&gt;0)),1,0)</f>
        <v>0</v>
      </c>
      <c r="S1708" s="3">
        <f t="shared" si="455"/>
        <v>0</v>
      </c>
      <c r="T1708" s="3">
        <f>IF(AND($K1708=1,AND(对接源_02物料!$X508="公司筐",N(对接源_02物料!$V508)&lt;&gt;0)),1,0)</f>
        <v>0</v>
      </c>
      <c r="U1708" s="3">
        <f t="shared" si="456"/>
        <v>19</v>
      </c>
      <c r="V1708" s="3">
        <f>IF(AND($L1708=1,AND(对接源_02物料!$X508="自备筐",N(对接源_02物料!$V508)&lt;&gt;0)),1,0)</f>
        <v>0</v>
      </c>
      <c r="W1708" s="3">
        <f t="shared" si="457"/>
        <v>8</v>
      </c>
      <c r="X1708" s="3">
        <f>IF(AND($L1708=1,AND(对接源_02物料!$X508="自备筐",N(对接源_02物料!$T508)&lt;&gt;0)),1,0)</f>
        <v>0</v>
      </c>
      <c r="Y1708" s="3">
        <f t="shared" si="458"/>
        <v>0</v>
      </c>
      <c r="Z1708" s="3">
        <f>IF(AND($M1708=1,对接源_02物料!$D508="原料入库"),1,0)</f>
        <v>0</v>
      </c>
      <c r="AA1708" s="3">
        <f t="shared" si="459"/>
        <v>24</v>
      </c>
      <c r="AB1708" s="3">
        <f>IF(AND($M1708=1,LEFT(对接源_02物料!$D508,4)="原料出库"),1,0)</f>
        <v>0</v>
      </c>
      <c r="AC1708" s="3">
        <f t="shared" si="460"/>
        <v>0</v>
      </c>
      <c r="AD1708" s="3">
        <f>IF(AND($M1708=1,LEFT(对接源_02物料!$D508,4)="成品出库"),1,0)</f>
        <v>0</v>
      </c>
      <c r="AE1708" s="3">
        <f t="shared" si="461"/>
        <v>0</v>
      </c>
      <c r="AF1708" s="3">
        <f>IF(AND($N1708=1,AND(LEFT(对接源_02物料!$D508,4)="包装物料",N(对接源_02物料!$K508)&lt;&gt;0)),1,0)</f>
        <v>0</v>
      </c>
      <c r="AG1708" s="3">
        <f t="shared" si="462"/>
        <v>5</v>
      </c>
      <c r="AH1708" s="3">
        <f>IF(AND($N1708=1,AND(对接源_02物料!$D508="周转筐－销售出库",N(对接源_02物料!$K508)&lt;&gt;0)),1,0)</f>
        <v>0</v>
      </c>
      <c r="AI1708" s="3">
        <f t="shared" si="463"/>
        <v>0</v>
      </c>
      <c r="AL1708" s="3">
        <v>0</v>
      </c>
      <c r="AM1708" s="3">
        <f t="shared" si="464"/>
        <v>1</v>
      </c>
      <c r="AN1708" s="3" t="str">
        <f t="shared" si="451"/>
        <v/>
      </c>
      <c r="AO1708" s="3">
        <v>0</v>
      </c>
      <c r="AP1708" s="3">
        <f t="shared" si="465"/>
        <v>8</v>
      </c>
      <c r="AR1708">
        <f t="shared" si="466"/>
        <v>0</v>
      </c>
      <c r="AS1708">
        <f t="shared" si="467"/>
        <v>5</v>
      </c>
    </row>
    <row r="1709" customHeight="1" spans="1:45">
      <c r="A1709" s="3" t="str">
        <f>IF(对接源_02物料!$C509="","",对接源_02物料!$C509)</f>
        <v/>
      </c>
      <c r="B1709" s="3">
        <f t="shared" si="452"/>
        <v>0</v>
      </c>
      <c r="C1709" s="3">
        <f t="shared" si="453"/>
        <v>21</v>
      </c>
      <c r="K1709" s="3">
        <f>IF(OR($K$1="",对接源_02物料!$C509="",对接源_02物料!$C509&lt;&gt;$K$1,对接源_02物料!$B509=""),0,IF(OR(N(对接源_02物料!$B509)&lt;$K$2,N(对接源_02物料!$B509)&gt;$K$3),0,1))</f>
        <v>0</v>
      </c>
      <c r="L1709" s="3">
        <f>IF(OR($L$1="",对接源_02物料!$C509="",对接源_02物料!$C509&lt;&gt;$L$1,对接源_02物料!$B509=""),0,IF(OR(N(对接源_02物料!$B509)&lt;$L$2,N(对接源_02物料!$B509)&gt;$L$3),0,1))</f>
        <v>0</v>
      </c>
      <c r="M1709" s="3">
        <f>IF(OR($M$1="",对接源_02物料!$C509="",对接源_02物料!$C509&lt;&gt;$M$1,对接源_02物料!$B509=""),0,IF(OR(N(对接源_02物料!$B509)&lt;$M$2,N(对接源_02物料!$B509)&gt;$M$3),0,1))</f>
        <v>0</v>
      </c>
      <c r="N1709" s="3">
        <f>IF(OR($N$1="",对接源_02物料!$C509="",对接源_02物料!$C509&lt;&gt;$N$1,对接源_02物料!$B509=""),0,IF(OR(N(对接源_02物料!$B509)&lt;$N$2,N(对接源_02物料!$B509)&gt;$N$3),0,1))</f>
        <v>0</v>
      </c>
      <c r="P1709" s="3">
        <f>IF(AND($K1709=1,AND(对接源_02物料!$X509="公司筐",N(对接源_02物料!$T509)&lt;&gt;0)),1,0)</f>
        <v>0</v>
      </c>
      <c r="Q1709" s="3">
        <f t="shared" si="454"/>
        <v>8</v>
      </c>
      <c r="R1709" s="3">
        <f>IF(AND($K1709=1,AND(对接源_02物料!$X509="公司筐",N(对接源_02物料!$U509)&lt;&gt;0)),1,0)</f>
        <v>0</v>
      </c>
      <c r="S1709" s="3">
        <f t="shared" si="455"/>
        <v>0</v>
      </c>
      <c r="T1709" s="3">
        <f>IF(AND($K1709=1,AND(对接源_02物料!$X509="公司筐",N(对接源_02物料!$V509)&lt;&gt;0)),1,0)</f>
        <v>0</v>
      </c>
      <c r="U1709" s="3">
        <f t="shared" si="456"/>
        <v>19</v>
      </c>
      <c r="V1709" s="3">
        <f>IF(AND($L1709=1,AND(对接源_02物料!$X509="自备筐",N(对接源_02物料!$V509)&lt;&gt;0)),1,0)</f>
        <v>0</v>
      </c>
      <c r="W1709" s="3">
        <f t="shared" si="457"/>
        <v>8</v>
      </c>
      <c r="X1709" s="3">
        <f>IF(AND($L1709=1,AND(对接源_02物料!$X509="自备筐",N(对接源_02物料!$T509)&lt;&gt;0)),1,0)</f>
        <v>0</v>
      </c>
      <c r="Y1709" s="3">
        <f t="shared" si="458"/>
        <v>0</v>
      </c>
      <c r="Z1709" s="3">
        <f>IF(AND($M1709=1,对接源_02物料!$D509="原料入库"),1,0)</f>
        <v>0</v>
      </c>
      <c r="AA1709" s="3">
        <f t="shared" si="459"/>
        <v>24</v>
      </c>
      <c r="AB1709" s="3">
        <f>IF(AND($M1709=1,LEFT(对接源_02物料!$D509,4)="原料出库"),1,0)</f>
        <v>0</v>
      </c>
      <c r="AC1709" s="3">
        <f t="shared" si="460"/>
        <v>0</v>
      </c>
      <c r="AD1709" s="3">
        <f>IF(AND($M1709=1,LEFT(对接源_02物料!$D509,4)="成品出库"),1,0)</f>
        <v>0</v>
      </c>
      <c r="AE1709" s="3">
        <f t="shared" si="461"/>
        <v>0</v>
      </c>
      <c r="AF1709" s="3">
        <f>IF(AND($N1709=1,AND(LEFT(对接源_02物料!$D509,4)="包装物料",N(对接源_02物料!$K509)&lt;&gt;0)),1,0)</f>
        <v>0</v>
      </c>
      <c r="AG1709" s="3">
        <f t="shared" si="462"/>
        <v>5</v>
      </c>
      <c r="AH1709" s="3">
        <f>IF(AND($N1709=1,AND(对接源_02物料!$D509="周转筐－销售出库",N(对接源_02物料!$K509)&lt;&gt;0)),1,0)</f>
        <v>0</v>
      </c>
      <c r="AI1709" s="3">
        <f t="shared" si="463"/>
        <v>0</v>
      </c>
      <c r="AL1709" s="3">
        <v>0</v>
      </c>
      <c r="AM1709" s="3">
        <f t="shared" si="464"/>
        <v>1</v>
      </c>
      <c r="AN1709" s="3" t="str">
        <f t="shared" si="451"/>
        <v/>
      </c>
      <c r="AO1709" s="3">
        <v>0</v>
      </c>
      <c r="AP1709" s="3">
        <f t="shared" si="465"/>
        <v>8</v>
      </c>
      <c r="AR1709">
        <f t="shared" si="466"/>
        <v>0</v>
      </c>
      <c r="AS1709">
        <f t="shared" si="467"/>
        <v>5</v>
      </c>
    </row>
    <row r="1710" customHeight="1" spans="1:45">
      <c r="A1710" s="3" t="str">
        <f>IF(对接源_02物料!$C510="","",对接源_02物料!$C510)</f>
        <v/>
      </c>
      <c r="B1710" s="3">
        <f t="shared" si="452"/>
        <v>0</v>
      </c>
      <c r="C1710" s="3">
        <f t="shared" si="453"/>
        <v>21</v>
      </c>
      <c r="K1710" s="3">
        <f>IF(OR($K$1="",对接源_02物料!$C510="",对接源_02物料!$C510&lt;&gt;$K$1,对接源_02物料!$B510=""),0,IF(OR(N(对接源_02物料!$B510)&lt;$K$2,N(对接源_02物料!$B510)&gt;$K$3),0,1))</f>
        <v>0</v>
      </c>
      <c r="L1710" s="3">
        <f>IF(OR($L$1="",对接源_02物料!$C510="",对接源_02物料!$C510&lt;&gt;$L$1,对接源_02物料!$B510=""),0,IF(OR(N(对接源_02物料!$B510)&lt;$L$2,N(对接源_02物料!$B510)&gt;$L$3),0,1))</f>
        <v>0</v>
      </c>
      <c r="M1710" s="3">
        <f>IF(OR($M$1="",对接源_02物料!$C510="",对接源_02物料!$C510&lt;&gt;$M$1,对接源_02物料!$B510=""),0,IF(OR(N(对接源_02物料!$B510)&lt;$M$2,N(对接源_02物料!$B510)&gt;$M$3),0,1))</f>
        <v>0</v>
      </c>
      <c r="N1710" s="3">
        <f>IF(OR($N$1="",对接源_02物料!$C510="",对接源_02物料!$C510&lt;&gt;$N$1,对接源_02物料!$B510=""),0,IF(OR(N(对接源_02物料!$B510)&lt;$N$2,N(对接源_02物料!$B510)&gt;$N$3),0,1))</f>
        <v>0</v>
      </c>
      <c r="P1710" s="3">
        <f>IF(AND($K1710=1,AND(对接源_02物料!$X510="公司筐",N(对接源_02物料!$T510)&lt;&gt;0)),1,0)</f>
        <v>0</v>
      </c>
      <c r="Q1710" s="3">
        <f t="shared" si="454"/>
        <v>8</v>
      </c>
      <c r="R1710" s="3">
        <f>IF(AND($K1710=1,AND(对接源_02物料!$X510="公司筐",N(对接源_02物料!$U510)&lt;&gt;0)),1,0)</f>
        <v>0</v>
      </c>
      <c r="S1710" s="3">
        <f t="shared" si="455"/>
        <v>0</v>
      </c>
      <c r="T1710" s="3">
        <f>IF(AND($K1710=1,AND(对接源_02物料!$X510="公司筐",N(对接源_02物料!$V510)&lt;&gt;0)),1,0)</f>
        <v>0</v>
      </c>
      <c r="U1710" s="3">
        <f t="shared" si="456"/>
        <v>19</v>
      </c>
      <c r="V1710" s="3">
        <f>IF(AND($L1710=1,AND(对接源_02物料!$X510="自备筐",N(对接源_02物料!$V510)&lt;&gt;0)),1,0)</f>
        <v>0</v>
      </c>
      <c r="W1710" s="3">
        <f t="shared" si="457"/>
        <v>8</v>
      </c>
      <c r="X1710" s="3">
        <f>IF(AND($L1710=1,AND(对接源_02物料!$X510="自备筐",N(对接源_02物料!$T510)&lt;&gt;0)),1,0)</f>
        <v>0</v>
      </c>
      <c r="Y1710" s="3">
        <f t="shared" si="458"/>
        <v>0</v>
      </c>
      <c r="Z1710" s="3">
        <f>IF(AND($M1710=1,对接源_02物料!$D510="原料入库"),1,0)</f>
        <v>0</v>
      </c>
      <c r="AA1710" s="3">
        <f t="shared" si="459"/>
        <v>24</v>
      </c>
      <c r="AB1710" s="3">
        <f>IF(AND($M1710=1,LEFT(对接源_02物料!$D510,4)="原料出库"),1,0)</f>
        <v>0</v>
      </c>
      <c r="AC1710" s="3">
        <f t="shared" si="460"/>
        <v>0</v>
      </c>
      <c r="AD1710" s="3">
        <f>IF(AND($M1710=1,LEFT(对接源_02物料!$D510,4)="成品出库"),1,0)</f>
        <v>0</v>
      </c>
      <c r="AE1710" s="3">
        <f t="shared" si="461"/>
        <v>0</v>
      </c>
      <c r="AF1710" s="3">
        <f>IF(AND($N1710=1,AND(LEFT(对接源_02物料!$D510,4)="包装物料",N(对接源_02物料!$K510)&lt;&gt;0)),1,0)</f>
        <v>0</v>
      </c>
      <c r="AG1710" s="3">
        <f t="shared" si="462"/>
        <v>5</v>
      </c>
      <c r="AH1710" s="3">
        <f>IF(AND($N1710=1,AND(对接源_02物料!$D510="周转筐－销售出库",N(对接源_02物料!$K510)&lt;&gt;0)),1,0)</f>
        <v>0</v>
      </c>
      <c r="AI1710" s="3">
        <f t="shared" si="463"/>
        <v>0</v>
      </c>
      <c r="AL1710" s="3">
        <v>0</v>
      </c>
      <c r="AM1710" s="3">
        <f t="shared" si="464"/>
        <v>1</v>
      </c>
      <c r="AN1710" s="3" t="str">
        <f t="shared" si="451"/>
        <v/>
      </c>
      <c r="AO1710" s="3">
        <v>0</v>
      </c>
      <c r="AP1710" s="3">
        <f t="shared" si="465"/>
        <v>8</v>
      </c>
      <c r="AR1710">
        <f t="shared" si="466"/>
        <v>0</v>
      </c>
      <c r="AS1710">
        <f t="shared" si="467"/>
        <v>5</v>
      </c>
    </row>
    <row r="1711" customHeight="1" spans="1:45">
      <c r="A1711" s="3" t="str">
        <f>IF(对接源_02物料!$C511="","",对接源_02物料!$C511)</f>
        <v/>
      </c>
      <c r="B1711" s="3">
        <f t="shared" si="452"/>
        <v>0</v>
      </c>
      <c r="C1711" s="3">
        <f t="shared" si="453"/>
        <v>21</v>
      </c>
      <c r="K1711" s="3">
        <f>IF(OR($K$1="",对接源_02物料!$C511="",对接源_02物料!$C511&lt;&gt;$K$1,对接源_02物料!$B511=""),0,IF(OR(N(对接源_02物料!$B511)&lt;$K$2,N(对接源_02物料!$B511)&gt;$K$3),0,1))</f>
        <v>0</v>
      </c>
      <c r="L1711" s="3">
        <f>IF(OR($L$1="",对接源_02物料!$C511="",对接源_02物料!$C511&lt;&gt;$L$1,对接源_02物料!$B511=""),0,IF(OR(N(对接源_02物料!$B511)&lt;$L$2,N(对接源_02物料!$B511)&gt;$L$3),0,1))</f>
        <v>0</v>
      </c>
      <c r="M1711" s="3">
        <f>IF(OR($M$1="",对接源_02物料!$C511="",对接源_02物料!$C511&lt;&gt;$M$1,对接源_02物料!$B511=""),0,IF(OR(N(对接源_02物料!$B511)&lt;$M$2,N(对接源_02物料!$B511)&gt;$M$3),0,1))</f>
        <v>0</v>
      </c>
      <c r="N1711" s="3">
        <f>IF(OR($N$1="",对接源_02物料!$C511="",对接源_02物料!$C511&lt;&gt;$N$1,对接源_02物料!$B511=""),0,IF(OR(N(对接源_02物料!$B511)&lt;$N$2,N(对接源_02物料!$B511)&gt;$N$3),0,1))</f>
        <v>0</v>
      </c>
      <c r="P1711" s="3">
        <f>IF(AND($K1711=1,AND(对接源_02物料!$X511="公司筐",N(对接源_02物料!$T511)&lt;&gt;0)),1,0)</f>
        <v>0</v>
      </c>
      <c r="Q1711" s="3">
        <f t="shared" si="454"/>
        <v>8</v>
      </c>
      <c r="R1711" s="3">
        <f>IF(AND($K1711=1,AND(对接源_02物料!$X511="公司筐",N(对接源_02物料!$U511)&lt;&gt;0)),1,0)</f>
        <v>0</v>
      </c>
      <c r="S1711" s="3">
        <f t="shared" si="455"/>
        <v>0</v>
      </c>
      <c r="T1711" s="3">
        <f>IF(AND($K1711=1,AND(对接源_02物料!$X511="公司筐",N(对接源_02物料!$V511)&lt;&gt;0)),1,0)</f>
        <v>0</v>
      </c>
      <c r="U1711" s="3">
        <f t="shared" si="456"/>
        <v>19</v>
      </c>
      <c r="V1711" s="3">
        <f>IF(AND($L1711=1,AND(对接源_02物料!$X511="自备筐",N(对接源_02物料!$V511)&lt;&gt;0)),1,0)</f>
        <v>0</v>
      </c>
      <c r="W1711" s="3">
        <f t="shared" si="457"/>
        <v>8</v>
      </c>
      <c r="X1711" s="3">
        <f>IF(AND($L1711=1,AND(对接源_02物料!$X511="自备筐",N(对接源_02物料!$T511)&lt;&gt;0)),1,0)</f>
        <v>0</v>
      </c>
      <c r="Y1711" s="3">
        <f t="shared" si="458"/>
        <v>0</v>
      </c>
      <c r="Z1711" s="3">
        <f>IF(AND($M1711=1,对接源_02物料!$D511="原料入库"),1,0)</f>
        <v>0</v>
      </c>
      <c r="AA1711" s="3">
        <f t="shared" si="459"/>
        <v>24</v>
      </c>
      <c r="AB1711" s="3">
        <f>IF(AND($M1711=1,LEFT(对接源_02物料!$D511,4)="原料出库"),1,0)</f>
        <v>0</v>
      </c>
      <c r="AC1711" s="3">
        <f t="shared" si="460"/>
        <v>0</v>
      </c>
      <c r="AD1711" s="3">
        <f>IF(AND($M1711=1,LEFT(对接源_02物料!$D511,4)="成品出库"),1,0)</f>
        <v>0</v>
      </c>
      <c r="AE1711" s="3">
        <f t="shared" si="461"/>
        <v>0</v>
      </c>
      <c r="AF1711" s="3">
        <f>IF(AND($N1711=1,AND(LEFT(对接源_02物料!$D511,4)="包装物料",N(对接源_02物料!$K511)&lt;&gt;0)),1,0)</f>
        <v>0</v>
      </c>
      <c r="AG1711" s="3">
        <f t="shared" si="462"/>
        <v>5</v>
      </c>
      <c r="AH1711" s="3">
        <f>IF(AND($N1711=1,AND(对接源_02物料!$D511="周转筐－销售出库",N(对接源_02物料!$K511)&lt;&gt;0)),1,0)</f>
        <v>0</v>
      </c>
      <c r="AI1711" s="3">
        <f t="shared" si="463"/>
        <v>0</v>
      </c>
      <c r="AL1711" s="3">
        <v>0</v>
      </c>
      <c r="AM1711" s="3">
        <f t="shared" si="464"/>
        <v>1</v>
      </c>
      <c r="AN1711" s="3" t="str">
        <f t="shared" si="451"/>
        <v/>
      </c>
      <c r="AO1711" s="3">
        <v>0</v>
      </c>
      <c r="AP1711" s="3">
        <f t="shared" si="465"/>
        <v>8</v>
      </c>
      <c r="AR1711">
        <f t="shared" si="466"/>
        <v>0</v>
      </c>
      <c r="AS1711">
        <f t="shared" si="467"/>
        <v>5</v>
      </c>
    </row>
    <row r="1712" customHeight="1" spans="1:45">
      <c r="A1712" s="3" t="str">
        <f>IF(对接源_02物料!$C512="","",对接源_02物料!$C512)</f>
        <v/>
      </c>
      <c r="B1712" s="3">
        <f t="shared" si="452"/>
        <v>0</v>
      </c>
      <c r="C1712" s="3">
        <f t="shared" si="453"/>
        <v>21</v>
      </c>
      <c r="K1712" s="3">
        <f>IF(OR($K$1="",对接源_02物料!$C512="",对接源_02物料!$C512&lt;&gt;$K$1,对接源_02物料!$B512=""),0,IF(OR(N(对接源_02物料!$B512)&lt;$K$2,N(对接源_02物料!$B512)&gt;$K$3),0,1))</f>
        <v>0</v>
      </c>
      <c r="L1712" s="3">
        <f>IF(OR($L$1="",对接源_02物料!$C512="",对接源_02物料!$C512&lt;&gt;$L$1,对接源_02物料!$B512=""),0,IF(OR(N(对接源_02物料!$B512)&lt;$L$2,N(对接源_02物料!$B512)&gt;$L$3),0,1))</f>
        <v>0</v>
      </c>
      <c r="M1712" s="3">
        <f>IF(OR($M$1="",对接源_02物料!$C512="",对接源_02物料!$C512&lt;&gt;$M$1,对接源_02物料!$B512=""),0,IF(OR(N(对接源_02物料!$B512)&lt;$M$2,N(对接源_02物料!$B512)&gt;$M$3),0,1))</f>
        <v>0</v>
      </c>
      <c r="N1712" s="3">
        <f>IF(OR($N$1="",对接源_02物料!$C512="",对接源_02物料!$C512&lt;&gt;$N$1,对接源_02物料!$B512=""),0,IF(OR(N(对接源_02物料!$B512)&lt;$N$2,N(对接源_02物料!$B512)&gt;$N$3),0,1))</f>
        <v>0</v>
      </c>
      <c r="P1712" s="3">
        <f>IF(AND($K1712=1,AND(对接源_02物料!$X512="公司筐",N(对接源_02物料!$T512)&lt;&gt;0)),1,0)</f>
        <v>0</v>
      </c>
      <c r="Q1712" s="3">
        <f t="shared" si="454"/>
        <v>8</v>
      </c>
      <c r="R1712" s="3">
        <f>IF(AND($K1712=1,AND(对接源_02物料!$X512="公司筐",N(对接源_02物料!$U512)&lt;&gt;0)),1,0)</f>
        <v>0</v>
      </c>
      <c r="S1712" s="3">
        <f t="shared" si="455"/>
        <v>0</v>
      </c>
      <c r="T1712" s="3">
        <f>IF(AND($K1712=1,AND(对接源_02物料!$X512="公司筐",N(对接源_02物料!$V512)&lt;&gt;0)),1,0)</f>
        <v>0</v>
      </c>
      <c r="U1712" s="3">
        <f t="shared" si="456"/>
        <v>19</v>
      </c>
      <c r="V1712" s="3">
        <f>IF(AND($L1712=1,AND(对接源_02物料!$X512="自备筐",N(对接源_02物料!$V512)&lt;&gt;0)),1,0)</f>
        <v>0</v>
      </c>
      <c r="W1712" s="3">
        <f t="shared" si="457"/>
        <v>8</v>
      </c>
      <c r="X1712" s="3">
        <f>IF(AND($L1712=1,AND(对接源_02物料!$X512="自备筐",N(对接源_02物料!$T512)&lt;&gt;0)),1,0)</f>
        <v>0</v>
      </c>
      <c r="Y1712" s="3">
        <f t="shared" si="458"/>
        <v>0</v>
      </c>
      <c r="Z1712" s="3">
        <f>IF(AND($M1712=1,对接源_02物料!$D512="原料入库"),1,0)</f>
        <v>0</v>
      </c>
      <c r="AA1712" s="3">
        <f t="shared" si="459"/>
        <v>24</v>
      </c>
      <c r="AB1712" s="3">
        <f>IF(AND($M1712=1,LEFT(对接源_02物料!$D512,4)="原料出库"),1,0)</f>
        <v>0</v>
      </c>
      <c r="AC1712" s="3">
        <f t="shared" si="460"/>
        <v>0</v>
      </c>
      <c r="AD1712" s="3">
        <f>IF(AND($M1712=1,LEFT(对接源_02物料!$D512,4)="成品出库"),1,0)</f>
        <v>0</v>
      </c>
      <c r="AE1712" s="3">
        <f t="shared" si="461"/>
        <v>0</v>
      </c>
      <c r="AF1712" s="3">
        <f>IF(AND($N1712=1,AND(LEFT(对接源_02物料!$D512,4)="包装物料",N(对接源_02物料!$K512)&lt;&gt;0)),1,0)</f>
        <v>0</v>
      </c>
      <c r="AG1712" s="3">
        <f t="shared" si="462"/>
        <v>5</v>
      </c>
      <c r="AH1712" s="3">
        <f>IF(AND($N1712=1,AND(对接源_02物料!$D512="周转筐－销售出库",N(对接源_02物料!$K512)&lt;&gt;0)),1,0)</f>
        <v>0</v>
      </c>
      <c r="AI1712" s="3">
        <f t="shared" si="463"/>
        <v>0</v>
      </c>
      <c r="AL1712" s="3">
        <v>0</v>
      </c>
      <c r="AM1712" s="3">
        <f t="shared" si="464"/>
        <v>1</v>
      </c>
      <c r="AN1712" s="3" t="str">
        <f t="shared" si="451"/>
        <v/>
      </c>
      <c r="AO1712" s="3">
        <v>0</v>
      </c>
      <c r="AP1712" s="3">
        <f t="shared" si="465"/>
        <v>8</v>
      </c>
      <c r="AR1712">
        <f t="shared" si="466"/>
        <v>0</v>
      </c>
      <c r="AS1712">
        <f t="shared" si="467"/>
        <v>5</v>
      </c>
    </row>
    <row r="1713" customHeight="1" spans="1:45">
      <c r="A1713" s="3" t="str">
        <f>IF(对接源_02物料!$C513="","",对接源_02物料!$C513)</f>
        <v/>
      </c>
      <c r="B1713" s="3">
        <f t="shared" si="452"/>
        <v>0</v>
      </c>
      <c r="C1713" s="3">
        <f t="shared" si="453"/>
        <v>21</v>
      </c>
      <c r="K1713" s="3">
        <f>IF(OR($K$1="",对接源_02物料!$C513="",对接源_02物料!$C513&lt;&gt;$K$1,对接源_02物料!$B513=""),0,IF(OR(N(对接源_02物料!$B513)&lt;$K$2,N(对接源_02物料!$B513)&gt;$K$3),0,1))</f>
        <v>0</v>
      </c>
      <c r="L1713" s="3">
        <f>IF(OR($L$1="",对接源_02物料!$C513="",对接源_02物料!$C513&lt;&gt;$L$1,对接源_02物料!$B513=""),0,IF(OR(N(对接源_02物料!$B513)&lt;$L$2,N(对接源_02物料!$B513)&gt;$L$3),0,1))</f>
        <v>0</v>
      </c>
      <c r="M1713" s="3">
        <f>IF(OR($M$1="",对接源_02物料!$C513="",对接源_02物料!$C513&lt;&gt;$M$1,对接源_02物料!$B513=""),0,IF(OR(N(对接源_02物料!$B513)&lt;$M$2,N(对接源_02物料!$B513)&gt;$M$3),0,1))</f>
        <v>0</v>
      </c>
      <c r="N1713" s="3">
        <f>IF(OR($N$1="",对接源_02物料!$C513="",对接源_02物料!$C513&lt;&gt;$N$1,对接源_02物料!$B513=""),0,IF(OR(N(对接源_02物料!$B513)&lt;$N$2,N(对接源_02物料!$B513)&gt;$N$3),0,1))</f>
        <v>0</v>
      </c>
      <c r="P1713" s="3">
        <f>IF(AND($K1713=1,AND(对接源_02物料!$X513="公司筐",N(对接源_02物料!$T513)&lt;&gt;0)),1,0)</f>
        <v>0</v>
      </c>
      <c r="Q1713" s="3">
        <f t="shared" si="454"/>
        <v>8</v>
      </c>
      <c r="R1713" s="3">
        <f>IF(AND($K1713=1,AND(对接源_02物料!$X513="公司筐",N(对接源_02物料!$U513)&lt;&gt;0)),1,0)</f>
        <v>0</v>
      </c>
      <c r="S1713" s="3">
        <f t="shared" si="455"/>
        <v>0</v>
      </c>
      <c r="T1713" s="3">
        <f>IF(AND($K1713=1,AND(对接源_02物料!$X513="公司筐",N(对接源_02物料!$V513)&lt;&gt;0)),1,0)</f>
        <v>0</v>
      </c>
      <c r="U1713" s="3">
        <f t="shared" si="456"/>
        <v>19</v>
      </c>
      <c r="V1713" s="3">
        <f>IF(AND($L1713=1,AND(对接源_02物料!$X513="自备筐",N(对接源_02物料!$V513)&lt;&gt;0)),1,0)</f>
        <v>0</v>
      </c>
      <c r="W1713" s="3">
        <f t="shared" si="457"/>
        <v>8</v>
      </c>
      <c r="X1713" s="3">
        <f>IF(AND($L1713=1,AND(对接源_02物料!$X513="自备筐",N(对接源_02物料!$T513)&lt;&gt;0)),1,0)</f>
        <v>0</v>
      </c>
      <c r="Y1713" s="3">
        <f t="shared" si="458"/>
        <v>0</v>
      </c>
      <c r="Z1713" s="3">
        <f>IF(AND($M1713=1,对接源_02物料!$D513="原料入库"),1,0)</f>
        <v>0</v>
      </c>
      <c r="AA1713" s="3">
        <f t="shared" si="459"/>
        <v>24</v>
      </c>
      <c r="AB1713" s="3">
        <f>IF(AND($M1713=1,LEFT(对接源_02物料!$D513,4)="原料出库"),1,0)</f>
        <v>0</v>
      </c>
      <c r="AC1713" s="3">
        <f t="shared" si="460"/>
        <v>0</v>
      </c>
      <c r="AD1713" s="3">
        <f>IF(AND($M1713=1,LEFT(对接源_02物料!$D513,4)="成品出库"),1,0)</f>
        <v>0</v>
      </c>
      <c r="AE1713" s="3">
        <f t="shared" si="461"/>
        <v>0</v>
      </c>
      <c r="AF1713" s="3">
        <f>IF(AND($N1713=1,AND(LEFT(对接源_02物料!$D513,4)="包装物料",N(对接源_02物料!$K513)&lt;&gt;0)),1,0)</f>
        <v>0</v>
      </c>
      <c r="AG1713" s="3">
        <f t="shared" si="462"/>
        <v>5</v>
      </c>
      <c r="AH1713" s="3">
        <f>IF(AND($N1713=1,AND(对接源_02物料!$D513="周转筐－销售出库",N(对接源_02物料!$K513)&lt;&gt;0)),1,0)</f>
        <v>0</v>
      </c>
      <c r="AI1713" s="3">
        <f t="shared" si="463"/>
        <v>0</v>
      </c>
      <c r="AL1713" s="3">
        <v>0</v>
      </c>
      <c r="AM1713" s="3">
        <f t="shared" si="464"/>
        <v>1</v>
      </c>
      <c r="AN1713" s="3" t="str">
        <f t="shared" si="451"/>
        <v/>
      </c>
      <c r="AO1713" s="3">
        <v>0</v>
      </c>
      <c r="AP1713" s="3">
        <f t="shared" si="465"/>
        <v>8</v>
      </c>
      <c r="AR1713">
        <f t="shared" si="466"/>
        <v>0</v>
      </c>
      <c r="AS1713">
        <f t="shared" si="467"/>
        <v>5</v>
      </c>
    </row>
    <row r="1714" customHeight="1" spans="1:45">
      <c r="A1714" s="3" t="str">
        <f>IF(对接源_02物料!$C514="","",对接源_02物料!$C514)</f>
        <v/>
      </c>
      <c r="B1714" s="3">
        <f t="shared" si="452"/>
        <v>0</v>
      </c>
      <c r="C1714" s="3">
        <f t="shared" si="453"/>
        <v>21</v>
      </c>
      <c r="K1714" s="3">
        <f>IF(OR($K$1="",对接源_02物料!$C514="",对接源_02物料!$C514&lt;&gt;$K$1,对接源_02物料!$B514=""),0,IF(OR(N(对接源_02物料!$B514)&lt;$K$2,N(对接源_02物料!$B514)&gt;$K$3),0,1))</f>
        <v>0</v>
      </c>
      <c r="L1714" s="3">
        <f>IF(OR($L$1="",对接源_02物料!$C514="",对接源_02物料!$C514&lt;&gt;$L$1,对接源_02物料!$B514=""),0,IF(OR(N(对接源_02物料!$B514)&lt;$L$2,N(对接源_02物料!$B514)&gt;$L$3),0,1))</f>
        <v>0</v>
      </c>
      <c r="M1714" s="3">
        <f>IF(OR($M$1="",对接源_02物料!$C514="",对接源_02物料!$C514&lt;&gt;$M$1,对接源_02物料!$B514=""),0,IF(OR(N(对接源_02物料!$B514)&lt;$M$2,N(对接源_02物料!$B514)&gt;$M$3),0,1))</f>
        <v>0</v>
      </c>
      <c r="N1714" s="3">
        <f>IF(OR($N$1="",对接源_02物料!$C514="",对接源_02物料!$C514&lt;&gt;$N$1,对接源_02物料!$B514=""),0,IF(OR(N(对接源_02物料!$B514)&lt;$N$2,N(对接源_02物料!$B514)&gt;$N$3),0,1))</f>
        <v>0</v>
      </c>
      <c r="P1714" s="3">
        <f>IF(AND($K1714=1,AND(对接源_02物料!$X514="公司筐",N(对接源_02物料!$T514)&lt;&gt;0)),1,0)</f>
        <v>0</v>
      </c>
      <c r="Q1714" s="3">
        <f t="shared" si="454"/>
        <v>8</v>
      </c>
      <c r="R1714" s="3">
        <f>IF(AND($K1714=1,AND(对接源_02物料!$X514="公司筐",N(对接源_02物料!$U514)&lt;&gt;0)),1,0)</f>
        <v>0</v>
      </c>
      <c r="S1714" s="3">
        <f t="shared" si="455"/>
        <v>0</v>
      </c>
      <c r="T1714" s="3">
        <f>IF(AND($K1714=1,AND(对接源_02物料!$X514="公司筐",N(对接源_02物料!$V514)&lt;&gt;0)),1,0)</f>
        <v>0</v>
      </c>
      <c r="U1714" s="3">
        <f t="shared" si="456"/>
        <v>19</v>
      </c>
      <c r="V1714" s="3">
        <f>IF(AND($L1714=1,AND(对接源_02物料!$X514="自备筐",N(对接源_02物料!$V514)&lt;&gt;0)),1,0)</f>
        <v>0</v>
      </c>
      <c r="W1714" s="3">
        <f t="shared" si="457"/>
        <v>8</v>
      </c>
      <c r="X1714" s="3">
        <f>IF(AND($L1714=1,AND(对接源_02物料!$X514="自备筐",N(对接源_02物料!$T514)&lt;&gt;0)),1,0)</f>
        <v>0</v>
      </c>
      <c r="Y1714" s="3">
        <f t="shared" si="458"/>
        <v>0</v>
      </c>
      <c r="Z1714" s="3">
        <f>IF(AND($M1714=1,对接源_02物料!$D514="原料入库"),1,0)</f>
        <v>0</v>
      </c>
      <c r="AA1714" s="3">
        <f t="shared" si="459"/>
        <v>24</v>
      </c>
      <c r="AB1714" s="3">
        <f>IF(AND($M1714=1,LEFT(对接源_02物料!$D514,4)="原料出库"),1,0)</f>
        <v>0</v>
      </c>
      <c r="AC1714" s="3">
        <f t="shared" si="460"/>
        <v>0</v>
      </c>
      <c r="AD1714" s="3">
        <f>IF(AND($M1714=1,LEFT(对接源_02物料!$D514,4)="成品出库"),1,0)</f>
        <v>0</v>
      </c>
      <c r="AE1714" s="3">
        <f t="shared" si="461"/>
        <v>0</v>
      </c>
      <c r="AF1714" s="3">
        <f>IF(AND($N1714=1,AND(LEFT(对接源_02物料!$D514,4)="包装物料",N(对接源_02物料!$K514)&lt;&gt;0)),1,0)</f>
        <v>0</v>
      </c>
      <c r="AG1714" s="3">
        <f t="shared" si="462"/>
        <v>5</v>
      </c>
      <c r="AH1714" s="3">
        <f>IF(AND($N1714=1,AND(对接源_02物料!$D514="周转筐－销售出库",N(对接源_02物料!$K514)&lt;&gt;0)),1,0)</f>
        <v>0</v>
      </c>
      <c r="AI1714" s="3">
        <f t="shared" si="463"/>
        <v>0</v>
      </c>
      <c r="AL1714" s="3">
        <v>0</v>
      </c>
      <c r="AM1714" s="3">
        <f t="shared" si="464"/>
        <v>1</v>
      </c>
      <c r="AN1714" s="3" t="str">
        <f t="shared" si="451"/>
        <v/>
      </c>
      <c r="AO1714" s="3">
        <v>0</v>
      </c>
      <c r="AP1714" s="3">
        <f t="shared" si="465"/>
        <v>8</v>
      </c>
      <c r="AR1714">
        <f t="shared" si="466"/>
        <v>0</v>
      </c>
      <c r="AS1714">
        <f t="shared" si="467"/>
        <v>5</v>
      </c>
    </row>
    <row r="1715" customHeight="1" spans="1:45">
      <c r="A1715" s="3" t="str">
        <f>IF(对接源_02物料!$C515="","",对接源_02物料!$C515)</f>
        <v/>
      </c>
      <c r="B1715" s="3">
        <f t="shared" si="452"/>
        <v>0</v>
      </c>
      <c r="C1715" s="3">
        <f t="shared" si="453"/>
        <v>21</v>
      </c>
      <c r="K1715" s="3">
        <f>IF(OR($K$1="",对接源_02物料!$C515="",对接源_02物料!$C515&lt;&gt;$K$1,对接源_02物料!$B515=""),0,IF(OR(N(对接源_02物料!$B515)&lt;$K$2,N(对接源_02物料!$B515)&gt;$K$3),0,1))</f>
        <v>0</v>
      </c>
      <c r="L1715" s="3">
        <f>IF(OR($L$1="",对接源_02物料!$C515="",对接源_02物料!$C515&lt;&gt;$L$1,对接源_02物料!$B515=""),0,IF(OR(N(对接源_02物料!$B515)&lt;$L$2,N(对接源_02物料!$B515)&gt;$L$3),0,1))</f>
        <v>0</v>
      </c>
      <c r="M1715" s="3">
        <f>IF(OR($M$1="",对接源_02物料!$C515="",对接源_02物料!$C515&lt;&gt;$M$1,对接源_02物料!$B515=""),0,IF(OR(N(对接源_02物料!$B515)&lt;$M$2,N(对接源_02物料!$B515)&gt;$M$3),0,1))</f>
        <v>0</v>
      </c>
      <c r="N1715" s="3">
        <f>IF(OR($N$1="",对接源_02物料!$C515="",对接源_02物料!$C515&lt;&gt;$N$1,对接源_02物料!$B515=""),0,IF(OR(N(对接源_02物料!$B515)&lt;$N$2,N(对接源_02物料!$B515)&gt;$N$3),0,1))</f>
        <v>0</v>
      </c>
      <c r="P1715" s="3">
        <f>IF(AND($K1715=1,AND(对接源_02物料!$X515="公司筐",N(对接源_02物料!$T515)&lt;&gt;0)),1,0)</f>
        <v>0</v>
      </c>
      <c r="Q1715" s="3">
        <f t="shared" si="454"/>
        <v>8</v>
      </c>
      <c r="R1715" s="3">
        <f>IF(AND($K1715=1,AND(对接源_02物料!$X515="公司筐",N(对接源_02物料!$U515)&lt;&gt;0)),1,0)</f>
        <v>0</v>
      </c>
      <c r="S1715" s="3">
        <f t="shared" si="455"/>
        <v>0</v>
      </c>
      <c r="T1715" s="3">
        <f>IF(AND($K1715=1,AND(对接源_02物料!$X515="公司筐",N(对接源_02物料!$V515)&lt;&gt;0)),1,0)</f>
        <v>0</v>
      </c>
      <c r="U1715" s="3">
        <f t="shared" si="456"/>
        <v>19</v>
      </c>
      <c r="V1715" s="3">
        <f>IF(AND($L1715=1,AND(对接源_02物料!$X515="自备筐",N(对接源_02物料!$V515)&lt;&gt;0)),1,0)</f>
        <v>0</v>
      </c>
      <c r="W1715" s="3">
        <f t="shared" si="457"/>
        <v>8</v>
      </c>
      <c r="X1715" s="3">
        <f>IF(AND($L1715=1,AND(对接源_02物料!$X515="自备筐",N(对接源_02物料!$T515)&lt;&gt;0)),1,0)</f>
        <v>0</v>
      </c>
      <c r="Y1715" s="3">
        <f t="shared" si="458"/>
        <v>0</v>
      </c>
      <c r="Z1715" s="3">
        <f>IF(AND($M1715=1,对接源_02物料!$D515="原料入库"),1,0)</f>
        <v>0</v>
      </c>
      <c r="AA1715" s="3">
        <f t="shared" si="459"/>
        <v>24</v>
      </c>
      <c r="AB1715" s="3">
        <f>IF(AND($M1715=1,LEFT(对接源_02物料!$D515,4)="原料出库"),1,0)</f>
        <v>0</v>
      </c>
      <c r="AC1715" s="3">
        <f t="shared" si="460"/>
        <v>0</v>
      </c>
      <c r="AD1715" s="3">
        <f>IF(AND($M1715=1,LEFT(对接源_02物料!$D515,4)="成品出库"),1,0)</f>
        <v>0</v>
      </c>
      <c r="AE1715" s="3">
        <f t="shared" si="461"/>
        <v>0</v>
      </c>
      <c r="AF1715" s="3">
        <f>IF(AND($N1715=1,AND(LEFT(对接源_02物料!$D515,4)="包装物料",N(对接源_02物料!$K515)&lt;&gt;0)),1,0)</f>
        <v>0</v>
      </c>
      <c r="AG1715" s="3">
        <f t="shared" si="462"/>
        <v>5</v>
      </c>
      <c r="AH1715" s="3">
        <f>IF(AND($N1715=1,AND(对接源_02物料!$D515="周转筐－销售出库",N(对接源_02物料!$K515)&lt;&gt;0)),1,0)</f>
        <v>0</v>
      </c>
      <c r="AI1715" s="3">
        <f t="shared" si="463"/>
        <v>0</v>
      </c>
      <c r="AL1715" s="3">
        <v>0</v>
      </c>
      <c r="AM1715" s="3">
        <f t="shared" si="464"/>
        <v>1</v>
      </c>
      <c r="AN1715" s="3" t="str">
        <f t="shared" si="451"/>
        <v/>
      </c>
      <c r="AO1715" s="3">
        <v>0</v>
      </c>
      <c r="AP1715" s="3">
        <f t="shared" si="465"/>
        <v>8</v>
      </c>
      <c r="AR1715">
        <f t="shared" si="466"/>
        <v>0</v>
      </c>
      <c r="AS1715">
        <f t="shared" si="467"/>
        <v>5</v>
      </c>
    </row>
    <row r="1716" customHeight="1" spans="1:45">
      <c r="A1716" s="3" t="str">
        <f>IF(对接源_02物料!$C516="","",对接源_02物料!$C516)</f>
        <v/>
      </c>
      <c r="B1716" s="3">
        <f t="shared" si="452"/>
        <v>0</v>
      </c>
      <c r="C1716" s="3">
        <f t="shared" si="453"/>
        <v>21</v>
      </c>
      <c r="K1716" s="3">
        <f>IF(OR($K$1="",对接源_02物料!$C516="",对接源_02物料!$C516&lt;&gt;$K$1,对接源_02物料!$B516=""),0,IF(OR(N(对接源_02物料!$B516)&lt;$K$2,N(对接源_02物料!$B516)&gt;$K$3),0,1))</f>
        <v>0</v>
      </c>
      <c r="L1716" s="3">
        <f>IF(OR($L$1="",对接源_02物料!$C516="",对接源_02物料!$C516&lt;&gt;$L$1,对接源_02物料!$B516=""),0,IF(OR(N(对接源_02物料!$B516)&lt;$L$2,N(对接源_02物料!$B516)&gt;$L$3),0,1))</f>
        <v>0</v>
      </c>
      <c r="M1716" s="3">
        <f>IF(OR($M$1="",对接源_02物料!$C516="",对接源_02物料!$C516&lt;&gt;$M$1,对接源_02物料!$B516=""),0,IF(OR(N(对接源_02物料!$B516)&lt;$M$2,N(对接源_02物料!$B516)&gt;$M$3),0,1))</f>
        <v>0</v>
      </c>
      <c r="N1716" s="3">
        <f>IF(OR($N$1="",对接源_02物料!$C516="",对接源_02物料!$C516&lt;&gt;$N$1,对接源_02物料!$B516=""),0,IF(OR(N(对接源_02物料!$B516)&lt;$N$2,N(对接源_02物料!$B516)&gt;$N$3),0,1))</f>
        <v>0</v>
      </c>
      <c r="P1716" s="3">
        <f>IF(AND($K1716=1,AND(对接源_02物料!$X516="公司筐",N(对接源_02物料!$T516)&lt;&gt;0)),1,0)</f>
        <v>0</v>
      </c>
      <c r="Q1716" s="3">
        <f t="shared" si="454"/>
        <v>8</v>
      </c>
      <c r="R1716" s="3">
        <f>IF(AND($K1716=1,AND(对接源_02物料!$X516="公司筐",N(对接源_02物料!$U516)&lt;&gt;0)),1,0)</f>
        <v>0</v>
      </c>
      <c r="S1716" s="3">
        <f t="shared" si="455"/>
        <v>0</v>
      </c>
      <c r="T1716" s="3">
        <f>IF(AND($K1716=1,AND(对接源_02物料!$X516="公司筐",N(对接源_02物料!$V516)&lt;&gt;0)),1,0)</f>
        <v>0</v>
      </c>
      <c r="U1716" s="3">
        <f t="shared" si="456"/>
        <v>19</v>
      </c>
      <c r="V1716" s="3">
        <f>IF(AND($L1716=1,AND(对接源_02物料!$X516="自备筐",N(对接源_02物料!$V516)&lt;&gt;0)),1,0)</f>
        <v>0</v>
      </c>
      <c r="W1716" s="3">
        <f t="shared" si="457"/>
        <v>8</v>
      </c>
      <c r="X1716" s="3">
        <f>IF(AND($L1716=1,AND(对接源_02物料!$X516="自备筐",N(对接源_02物料!$T516)&lt;&gt;0)),1,0)</f>
        <v>0</v>
      </c>
      <c r="Y1716" s="3">
        <f t="shared" si="458"/>
        <v>0</v>
      </c>
      <c r="Z1716" s="3">
        <f>IF(AND($M1716=1,对接源_02物料!$D516="原料入库"),1,0)</f>
        <v>0</v>
      </c>
      <c r="AA1716" s="3">
        <f t="shared" si="459"/>
        <v>24</v>
      </c>
      <c r="AB1716" s="3">
        <f>IF(AND($M1716=1,LEFT(对接源_02物料!$D516,4)="原料出库"),1,0)</f>
        <v>0</v>
      </c>
      <c r="AC1716" s="3">
        <f t="shared" si="460"/>
        <v>0</v>
      </c>
      <c r="AD1716" s="3">
        <f>IF(AND($M1716=1,LEFT(对接源_02物料!$D516,4)="成品出库"),1,0)</f>
        <v>0</v>
      </c>
      <c r="AE1716" s="3">
        <f t="shared" si="461"/>
        <v>0</v>
      </c>
      <c r="AF1716" s="3">
        <f>IF(AND($N1716=1,AND(LEFT(对接源_02物料!$D516,4)="包装物料",N(对接源_02物料!$K516)&lt;&gt;0)),1,0)</f>
        <v>0</v>
      </c>
      <c r="AG1716" s="3">
        <f t="shared" si="462"/>
        <v>5</v>
      </c>
      <c r="AH1716" s="3">
        <f>IF(AND($N1716=1,AND(对接源_02物料!$D516="周转筐－销售出库",N(对接源_02物料!$K516)&lt;&gt;0)),1,0)</f>
        <v>0</v>
      </c>
      <c r="AI1716" s="3">
        <f t="shared" si="463"/>
        <v>0</v>
      </c>
      <c r="AL1716" s="3">
        <v>0</v>
      </c>
      <c r="AM1716" s="3">
        <f t="shared" si="464"/>
        <v>1</v>
      </c>
      <c r="AN1716" s="3" t="str">
        <f t="shared" ref="AN1716:AN1779" si="468">""</f>
        <v/>
      </c>
      <c r="AO1716" s="3">
        <v>0</v>
      </c>
      <c r="AP1716" s="3">
        <f t="shared" si="465"/>
        <v>8</v>
      </c>
      <c r="AR1716">
        <f t="shared" si="466"/>
        <v>0</v>
      </c>
      <c r="AS1716">
        <f t="shared" si="467"/>
        <v>5</v>
      </c>
    </row>
    <row r="1717" customHeight="1" spans="1:45">
      <c r="A1717" s="3" t="str">
        <f>IF(对接源_02物料!$C517="","",对接源_02物料!$C517)</f>
        <v/>
      </c>
      <c r="B1717" s="3">
        <f t="shared" si="452"/>
        <v>0</v>
      </c>
      <c r="C1717" s="3">
        <f t="shared" si="453"/>
        <v>21</v>
      </c>
      <c r="K1717" s="3">
        <f>IF(OR($K$1="",对接源_02物料!$C517="",对接源_02物料!$C517&lt;&gt;$K$1,对接源_02物料!$B517=""),0,IF(OR(N(对接源_02物料!$B517)&lt;$K$2,N(对接源_02物料!$B517)&gt;$K$3),0,1))</f>
        <v>0</v>
      </c>
      <c r="L1717" s="3">
        <f>IF(OR($L$1="",对接源_02物料!$C517="",对接源_02物料!$C517&lt;&gt;$L$1,对接源_02物料!$B517=""),0,IF(OR(N(对接源_02物料!$B517)&lt;$L$2,N(对接源_02物料!$B517)&gt;$L$3),0,1))</f>
        <v>0</v>
      </c>
      <c r="M1717" s="3">
        <f>IF(OR($M$1="",对接源_02物料!$C517="",对接源_02物料!$C517&lt;&gt;$M$1,对接源_02物料!$B517=""),0,IF(OR(N(对接源_02物料!$B517)&lt;$M$2,N(对接源_02物料!$B517)&gt;$M$3),0,1))</f>
        <v>0</v>
      </c>
      <c r="N1717" s="3">
        <f>IF(OR($N$1="",对接源_02物料!$C517="",对接源_02物料!$C517&lt;&gt;$N$1,对接源_02物料!$B517=""),0,IF(OR(N(对接源_02物料!$B517)&lt;$N$2,N(对接源_02物料!$B517)&gt;$N$3),0,1))</f>
        <v>0</v>
      </c>
      <c r="P1717" s="3">
        <f>IF(AND($K1717=1,AND(对接源_02物料!$X517="公司筐",N(对接源_02物料!$T517)&lt;&gt;0)),1,0)</f>
        <v>0</v>
      </c>
      <c r="Q1717" s="3">
        <f t="shared" si="454"/>
        <v>8</v>
      </c>
      <c r="R1717" s="3">
        <f>IF(AND($K1717=1,AND(对接源_02物料!$X517="公司筐",N(对接源_02物料!$U517)&lt;&gt;0)),1,0)</f>
        <v>0</v>
      </c>
      <c r="S1717" s="3">
        <f t="shared" si="455"/>
        <v>0</v>
      </c>
      <c r="T1717" s="3">
        <f>IF(AND($K1717=1,AND(对接源_02物料!$X517="公司筐",N(对接源_02物料!$V517)&lt;&gt;0)),1,0)</f>
        <v>0</v>
      </c>
      <c r="U1717" s="3">
        <f t="shared" si="456"/>
        <v>19</v>
      </c>
      <c r="V1717" s="3">
        <f>IF(AND($L1717=1,AND(对接源_02物料!$X517="自备筐",N(对接源_02物料!$V517)&lt;&gt;0)),1,0)</f>
        <v>0</v>
      </c>
      <c r="W1717" s="3">
        <f t="shared" si="457"/>
        <v>8</v>
      </c>
      <c r="X1717" s="3">
        <f>IF(AND($L1717=1,AND(对接源_02物料!$X517="自备筐",N(对接源_02物料!$T517)&lt;&gt;0)),1,0)</f>
        <v>0</v>
      </c>
      <c r="Y1717" s="3">
        <f t="shared" si="458"/>
        <v>0</v>
      </c>
      <c r="Z1717" s="3">
        <f>IF(AND($M1717=1,对接源_02物料!$D517="原料入库"),1,0)</f>
        <v>0</v>
      </c>
      <c r="AA1717" s="3">
        <f t="shared" si="459"/>
        <v>24</v>
      </c>
      <c r="AB1717" s="3">
        <f>IF(AND($M1717=1,LEFT(对接源_02物料!$D517,4)="原料出库"),1,0)</f>
        <v>0</v>
      </c>
      <c r="AC1717" s="3">
        <f t="shared" si="460"/>
        <v>0</v>
      </c>
      <c r="AD1717" s="3">
        <f>IF(AND($M1717=1,LEFT(对接源_02物料!$D517,4)="成品出库"),1,0)</f>
        <v>0</v>
      </c>
      <c r="AE1717" s="3">
        <f t="shared" si="461"/>
        <v>0</v>
      </c>
      <c r="AF1717" s="3">
        <f>IF(AND($N1717=1,AND(LEFT(对接源_02物料!$D517,4)="包装物料",N(对接源_02物料!$K517)&lt;&gt;0)),1,0)</f>
        <v>0</v>
      </c>
      <c r="AG1717" s="3">
        <f t="shared" si="462"/>
        <v>5</v>
      </c>
      <c r="AH1717" s="3">
        <f>IF(AND($N1717=1,AND(对接源_02物料!$D517="周转筐－销售出库",N(对接源_02物料!$K517)&lt;&gt;0)),1,0)</f>
        <v>0</v>
      </c>
      <c r="AI1717" s="3">
        <f t="shared" si="463"/>
        <v>0</v>
      </c>
      <c r="AL1717" s="3">
        <v>0</v>
      </c>
      <c r="AM1717" s="3">
        <f t="shared" si="464"/>
        <v>1</v>
      </c>
      <c r="AN1717" s="3" t="str">
        <f t="shared" si="468"/>
        <v/>
      </c>
      <c r="AO1717" s="3">
        <v>0</v>
      </c>
      <c r="AP1717" s="3">
        <f t="shared" si="465"/>
        <v>8</v>
      </c>
      <c r="AR1717">
        <f t="shared" si="466"/>
        <v>0</v>
      </c>
      <c r="AS1717">
        <f t="shared" si="467"/>
        <v>5</v>
      </c>
    </row>
    <row r="1718" customHeight="1" spans="1:45">
      <c r="A1718" s="3" t="str">
        <f>IF(对接源_02物料!$C518="","",对接源_02物料!$C518)</f>
        <v/>
      </c>
      <c r="B1718" s="3">
        <f t="shared" si="452"/>
        <v>0</v>
      </c>
      <c r="C1718" s="3">
        <f t="shared" si="453"/>
        <v>21</v>
      </c>
      <c r="K1718" s="3">
        <f>IF(OR($K$1="",对接源_02物料!$C518="",对接源_02物料!$C518&lt;&gt;$K$1,对接源_02物料!$B518=""),0,IF(OR(N(对接源_02物料!$B518)&lt;$K$2,N(对接源_02物料!$B518)&gt;$K$3),0,1))</f>
        <v>0</v>
      </c>
      <c r="L1718" s="3">
        <f>IF(OR($L$1="",对接源_02物料!$C518="",对接源_02物料!$C518&lt;&gt;$L$1,对接源_02物料!$B518=""),0,IF(OR(N(对接源_02物料!$B518)&lt;$L$2,N(对接源_02物料!$B518)&gt;$L$3),0,1))</f>
        <v>0</v>
      </c>
      <c r="M1718" s="3">
        <f>IF(OR($M$1="",对接源_02物料!$C518="",对接源_02物料!$C518&lt;&gt;$M$1,对接源_02物料!$B518=""),0,IF(OR(N(对接源_02物料!$B518)&lt;$M$2,N(对接源_02物料!$B518)&gt;$M$3),0,1))</f>
        <v>0</v>
      </c>
      <c r="N1718" s="3">
        <f>IF(OR($N$1="",对接源_02物料!$C518="",对接源_02物料!$C518&lt;&gt;$N$1,对接源_02物料!$B518=""),0,IF(OR(N(对接源_02物料!$B518)&lt;$N$2,N(对接源_02物料!$B518)&gt;$N$3),0,1))</f>
        <v>0</v>
      </c>
      <c r="P1718" s="3">
        <f>IF(AND($K1718=1,AND(对接源_02物料!$X518="公司筐",N(对接源_02物料!$T518)&lt;&gt;0)),1,0)</f>
        <v>0</v>
      </c>
      <c r="Q1718" s="3">
        <f t="shared" si="454"/>
        <v>8</v>
      </c>
      <c r="R1718" s="3">
        <f>IF(AND($K1718=1,AND(对接源_02物料!$X518="公司筐",N(对接源_02物料!$U518)&lt;&gt;0)),1,0)</f>
        <v>0</v>
      </c>
      <c r="S1718" s="3">
        <f t="shared" si="455"/>
        <v>0</v>
      </c>
      <c r="T1718" s="3">
        <f>IF(AND($K1718=1,AND(对接源_02物料!$X518="公司筐",N(对接源_02物料!$V518)&lt;&gt;0)),1,0)</f>
        <v>0</v>
      </c>
      <c r="U1718" s="3">
        <f t="shared" si="456"/>
        <v>19</v>
      </c>
      <c r="V1718" s="3">
        <f>IF(AND($L1718=1,AND(对接源_02物料!$X518="自备筐",N(对接源_02物料!$V518)&lt;&gt;0)),1,0)</f>
        <v>0</v>
      </c>
      <c r="W1718" s="3">
        <f t="shared" si="457"/>
        <v>8</v>
      </c>
      <c r="X1718" s="3">
        <f>IF(AND($L1718=1,AND(对接源_02物料!$X518="自备筐",N(对接源_02物料!$T518)&lt;&gt;0)),1,0)</f>
        <v>0</v>
      </c>
      <c r="Y1718" s="3">
        <f t="shared" si="458"/>
        <v>0</v>
      </c>
      <c r="Z1718" s="3">
        <f>IF(AND($M1718=1,对接源_02物料!$D518="原料入库"),1,0)</f>
        <v>0</v>
      </c>
      <c r="AA1718" s="3">
        <f t="shared" si="459"/>
        <v>24</v>
      </c>
      <c r="AB1718" s="3">
        <f>IF(AND($M1718=1,LEFT(对接源_02物料!$D518,4)="原料出库"),1,0)</f>
        <v>0</v>
      </c>
      <c r="AC1718" s="3">
        <f t="shared" si="460"/>
        <v>0</v>
      </c>
      <c r="AD1718" s="3">
        <f>IF(AND($M1718=1,LEFT(对接源_02物料!$D518,4)="成品出库"),1,0)</f>
        <v>0</v>
      </c>
      <c r="AE1718" s="3">
        <f t="shared" si="461"/>
        <v>0</v>
      </c>
      <c r="AF1718" s="3">
        <f>IF(AND($N1718=1,AND(LEFT(对接源_02物料!$D518,4)="包装物料",N(对接源_02物料!$K518)&lt;&gt;0)),1,0)</f>
        <v>0</v>
      </c>
      <c r="AG1718" s="3">
        <f t="shared" si="462"/>
        <v>5</v>
      </c>
      <c r="AH1718" s="3">
        <f>IF(AND($N1718=1,AND(对接源_02物料!$D518="周转筐－销售出库",N(对接源_02物料!$K518)&lt;&gt;0)),1,0)</f>
        <v>0</v>
      </c>
      <c r="AI1718" s="3">
        <f t="shared" si="463"/>
        <v>0</v>
      </c>
      <c r="AL1718" s="3">
        <v>0</v>
      </c>
      <c r="AM1718" s="3">
        <f t="shared" si="464"/>
        <v>1</v>
      </c>
      <c r="AN1718" s="3" t="str">
        <f t="shared" si="468"/>
        <v/>
      </c>
      <c r="AO1718" s="3">
        <v>0</v>
      </c>
      <c r="AP1718" s="3">
        <f t="shared" si="465"/>
        <v>8</v>
      </c>
      <c r="AR1718">
        <f t="shared" si="466"/>
        <v>0</v>
      </c>
      <c r="AS1718">
        <f t="shared" si="467"/>
        <v>5</v>
      </c>
    </row>
    <row r="1719" customHeight="1" spans="1:45">
      <c r="A1719" s="3" t="str">
        <f>IF(对接源_02物料!$C519="","",对接源_02物料!$C519)</f>
        <v/>
      </c>
      <c r="B1719" s="3">
        <f t="shared" si="452"/>
        <v>0</v>
      </c>
      <c r="C1719" s="3">
        <f t="shared" si="453"/>
        <v>21</v>
      </c>
      <c r="K1719" s="3">
        <f>IF(OR($K$1="",对接源_02物料!$C519="",对接源_02物料!$C519&lt;&gt;$K$1,对接源_02物料!$B519=""),0,IF(OR(N(对接源_02物料!$B519)&lt;$K$2,N(对接源_02物料!$B519)&gt;$K$3),0,1))</f>
        <v>0</v>
      </c>
      <c r="L1719" s="3">
        <f>IF(OR($L$1="",对接源_02物料!$C519="",对接源_02物料!$C519&lt;&gt;$L$1,对接源_02物料!$B519=""),0,IF(OR(N(对接源_02物料!$B519)&lt;$L$2,N(对接源_02物料!$B519)&gt;$L$3),0,1))</f>
        <v>0</v>
      </c>
      <c r="M1719" s="3">
        <f>IF(OR($M$1="",对接源_02物料!$C519="",对接源_02物料!$C519&lt;&gt;$M$1,对接源_02物料!$B519=""),0,IF(OR(N(对接源_02物料!$B519)&lt;$M$2,N(对接源_02物料!$B519)&gt;$M$3),0,1))</f>
        <v>0</v>
      </c>
      <c r="N1719" s="3">
        <f>IF(OR($N$1="",对接源_02物料!$C519="",对接源_02物料!$C519&lt;&gt;$N$1,对接源_02物料!$B519=""),0,IF(OR(N(对接源_02物料!$B519)&lt;$N$2,N(对接源_02物料!$B519)&gt;$N$3),0,1))</f>
        <v>0</v>
      </c>
      <c r="P1719" s="3">
        <f>IF(AND($K1719=1,AND(对接源_02物料!$X519="公司筐",N(对接源_02物料!$T519)&lt;&gt;0)),1,0)</f>
        <v>0</v>
      </c>
      <c r="Q1719" s="3">
        <f t="shared" si="454"/>
        <v>8</v>
      </c>
      <c r="R1719" s="3">
        <f>IF(AND($K1719=1,AND(对接源_02物料!$X519="公司筐",N(对接源_02物料!$U519)&lt;&gt;0)),1,0)</f>
        <v>0</v>
      </c>
      <c r="S1719" s="3">
        <f t="shared" si="455"/>
        <v>0</v>
      </c>
      <c r="T1719" s="3">
        <f>IF(AND($K1719=1,AND(对接源_02物料!$X519="公司筐",N(对接源_02物料!$V519)&lt;&gt;0)),1,0)</f>
        <v>0</v>
      </c>
      <c r="U1719" s="3">
        <f t="shared" si="456"/>
        <v>19</v>
      </c>
      <c r="V1719" s="3">
        <f>IF(AND($L1719=1,AND(对接源_02物料!$X519="自备筐",N(对接源_02物料!$V519)&lt;&gt;0)),1,0)</f>
        <v>0</v>
      </c>
      <c r="W1719" s="3">
        <f t="shared" si="457"/>
        <v>8</v>
      </c>
      <c r="X1719" s="3">
        <f>IF(AND($L1719=1,AND(对接源_02物料!$X519="自备筐",N(对接源_02物料!$T519)&lt;&gt;0)),1,0)</f>
        <v>0</v>
      </c>
      <c r="Y1719" s="3">
        <f t="shared" si="458"/>
        <v>0</v>
      </c>
      <c r="Z1719" s="3">
        <f>IF(AND($M1719=1,对接源_02物料!$D519="原料入库"),1,0)</f>
        <v>0</v>
      </c>
      <c r="AA1719" s="3">
        <f t="shared" si="459"/>
        <v>24</v>
      </c>
      <c r="AB1719" s="3">
        <f>IF(AND($M1719=1,LEFT(对接源_02物料!$D519,4)="原料出库"),1,0)</f>
        <v>0</v>
      </c>
      <c r="AC1719" s="3">
        <f t="shared" si="460"/>
        <v>0</v>
      </c>
      <c r="AD1719" s="3">
        <f>IF(AND($M1719=1,LEFT(对接源_02物料!$D519,4)="成品出库"),1,0)</f>
        <v>0</v>
      </c>
      <c r="AE1719" s="3">
        <f t="shared" si="461"/>
        <v>0</v>
      </c>
      <c r="AF1719" s="3">
        <f>IF(AND($N1719=1,AND(LEFT(对接源_02物料!$D519,4)="包装物料",N(对接源_02物料!$K519)&lt;&gt;0)),1,0)</f>
        <v>0</v>
      </c>
      <c r="AG1719" s="3">
        <f t="shared" si="462"/>
        <v>5</v>
      </c>
      <c r="AH1719" s="3">
        <f>IF(AND($N1719=1,AND(对接源_02物料!$D519="周转筐－销售出库",N(对接源_02物料!$K519)&lt;&gt;0)),1,0)</f>
        <v>0</v>
      </c>
      <c r="AI1719" s="3">
        <f t="shared" si="463"/>
        <v>0</v>
      </c>
      <c r="AL1719" s="3">
        <v>0</v>
      </c>
      <c r="AM1719" s="3">
        <f t="shared" si="464"/>
        <v>1</v>
      </c>
      <c r="AN1719" s="3" t="str">
        <f t="shared" si="468"/>
        <v/>
      </c>
      <c r="AO1719" s="3">
        <v>0</v>
      </c>
      <c r="AP1719" s="3">
        <f t="shared" si="465"/>
        <v>8</v>
      </c>
      <c r="AR1719">
        <f t="shared" si="466"/>
        <v>0</v>
      </c>
      <c r="AS1719">
        <f t="shared" si="467"/>
        <v>5</v>
      </c>
    </row>
    <row r="1720" customHeight="1" spans="1:45">
      <c r="A1720" s="3" t="str">
        <f>IF(对接源_02物料!$C520="","",对接源_02物料!$C520)</f>
        <v/>
      </c>
      <c r="B1720" s="3">
        <f t="shared" si="452"/>
        <v>0</v>
      </c>
      <c r="C1720" s="3">
        <f t="shared" si="453"/>
        <v>21</v>
      </c>
      <c r="K1720" s="3">
        <f>IF(OR($K$1="",对接源_02物料!$C520="",对接源_02物料!$C520&lt;&gt;$K$1,对接源_02物料!$B520=""),0,IF(OR(N(对接源_02物料!$B520)&lt;$K$2,N(对接源_02物料!$B520)&gt;$K$3),0,1))</f>
        <v>0</v>
      </c>
      <c r="L1720" s="3">
        <f>IF(OR($L$1="",对接源_02物料!$C520="",对接源_02物料!$C520&lt;&gt;$L$1,对接源_02物料!$B520=""),0,IF(OR(N(对接源_02物料!$B520)&lt;$L$2,N(对接源_02物料!$B520)&gt;$L$3),0,1))</f>
        <v>0</v>
      </c>
      <c r="M1720" s="3">
        <f>IF(OR($M$1="",对接源_02物料!$C520="",对接源_02物料!$C520&lt;&gt;$M$1,对接源_02物料!$B520=""),0,IF(OR(N(对接源_02物料!$B520)&lt;$M$2,N(对接源_02物料!$B520)&gt;$M$3),0,1))</f>
        <v>0</v>
      </c>
      <c r="N1720" s="3">
        <f>IF(OR($N$1="",对接源_02物料!$C520="",对接源_02物料!$C520&lt;&gt;$N$1,对接源_02物料!$B520=""),0,IF(OR(N(对接源_02物料!$B520)&lt;$N$2,N(对接源_02物料!$B520)&gt;$N$3),0,1))</f>
        <v>0</v>
      </c>
      <c r="P1720" s="3">
        <f>IF(AND($K1720=1,AND(对接源_02物料!$X520="公司筐",N(对接源_02物料!$T520)&lt;&gt;0)),1,0)</f>
        <v>0</v>
      </c>
      <c r="Q1720" s="3">
        <f t="shared" si="454"/>
        <v>8</v>
      </c>
      <c r="R1720" s="3">
        <f>IF(AND($K1720=1,AND(对接源_02物料!$X520="公司筐",N(对接源_02物料!$U520)&lt;&gt;0)),1,0)</f>
        <v>0</v>
      </c>
      <c r="S1720" s="3">
        <f t="shared" si="455"/>
        <v>0</v>
      </c>
      <c r="T1720" s="3">
        <f>IF(AND($K1720=1,AND(对接源_02物料!$X520="公司筐",N(对接源_02物料!$V520)&lt;&gt;0)),1,0)</f>
        <v>0</v>
      </c>
      <c r="U1720" s="3">
        <f t="shared" si="456"/>
        <v>19</v>
      </c>
      <c r="V1720" s="3">
        <f>IF(AND($L1720=1,AND(对接源_02物料!$X520="自备筐",N(对接源_02物料!$V520)&lt;&gt;0)),1,0)</f>
        <v>0</v>
      </c>
      <c r="W1720" s="3">
        <f t="shared" si="457"/>
        <v>8</v>
      </c>
      <c r="X1720" s="3">
        <f>IF(AND($L1720=1,AND(对接源_02物料!$X520="自备筐",N(对接源_02物料!$T520)&lt;&gt;0)),1,0)</f>
        <v>0</v>
      </c>
      <c r="Y1720" s="3">
        <f t="shared" si="458"/>
        <v>0</v>
      </c>
      <c r="Z1720" s="3">
        <f>IF(AND($M1720=1,对接源_02物料!$D520="原料入库"),1,0)</f>
        <v>0</v>
      </c>
      <c r="AA1720" s="3">
        <f t="shared" si="459"/>
        <v>24</v>
      </c>
      <c r="AB1720" s="3">
        <f>IF(AND($M1720=1,LEFT(对接源_02物料!$D520,4)="原料出库"),1,0)</f>
        <v>0</v>
      </c>
      <c r="AC1720" s="3">
        <f t="shared" si="460"/>
        <v>0</v>
      </c>
      <c r="AD1720" s="3">
        <f>IF(AND($M1720=1,LEFT(对接源_02物料!$D520,4)="成品出库"),1,0)</f>
        <v>0</v>
      </c>
      <c r="AE1720" s="3">
        <f t="shared" si="461"/>
        <v>0</v>
      </c>
      <c r="AF1720" s="3">
        <f>IF(AND($N1720=1,AND(LEFT(对接源_02物料!$D520,4)="包装物料",N(对接源_02物料!$K520)&lt;&gt;0)),1,0)</f>
        <v>0</v>
      </c>
      <c r="AG1720" s="3">
        <f t="shared" si="462"/>
        <v>5</v>
      </c>
      <c r="AH1720" s="3">
        <f>IF(AND($N1720=1,AND(对接源_02物料!$D520="周转筐－销售出库",N(对接源_02物料!$K520)&lt;&gt;0)),1,0)</f>
        <v>0</v>
      </c>
      <c r="AI1720" s="3">
        <f t="shared" si="463"/>
        <v>0</v>
      </c>
      <c r="AL1720" s="3">
        <v>0</v>
      </c>
      <c r="AM1720" s="3">
        <f t="shared" si="464"/>
        <v>1</v>
      </c>
      <c r="AN1720" s="3" t="str">
        <f t="shared" si="468"/>
        <v/>
      </c>
      <c r="AO1720" s="3">
        <v>0</v>
      </c>
      <c r="AP1720" s="3">
        <f t="shared" si="465"/>
        <v>8</v>
      </c>
      <c r="AR1720">
        <f t="shared" si="466"/>
        <v>0</v>
      </c>
      <c r="AS1720">
        <f t="shared" si="467"/>
        <v>5</v>
      </c>
    </row>
    <row r="1721" customHeight="1" spans="1:45">
      <c r="A1721" s="3" t="str">
        <f>IF(对接源_02物料!$C521="","",对接源_02物料!$C521)</f>
        <v/>
      </c>
      <c r="B1721" s="3">
        <f t="shared" si="452"/>
        <v>0</v>
      </c>
      <c r="C1721" s="3">
        <f t="shared" si="453"/>
        <v>21</v>
      </c>
      <c r="K1721" s="3">
        <f>IF(OR($K$1="",对接源_02物料!$C521="",对接源_02物料!$C521&lt;&gt;$K$1,对接源_02物料!$B521=""),0,IF(OR(N(对接源_02物料!$B521)&lt;$K$2,N(对接源_02物料!$B521)&gt;$K$3),0,1))</f>
        <v>0</v>
      </c>
      <c r="L1721" s="3">
        <f>IF(OR($L$1="",对接源_02物料!$C521="",对接源_02物料!$C521&lt;&gt;$L$1,对接源_02物料!$B521=""),0,IF(OR(N(对接源_02物料!$B521)&lt;$L$2,N(对接源_02物料!$B521)&gt;$L$3),0,1))</f>
        <v>0</v>
      </c>
      <c r="M1721" s="3">
        <f>IF(OR($M$1="",对接源_02物料!$C521="",对接源_02物料!$C521&lt;&gt;$M$1,对接源_02物料!$B521=""),0,IF(OR(N(对接源_02物料!$B521)&lt;$M$2,N(对接源_02物料!$B521)&gt;$M$3),0,1))</f>
        <v>0</v>
      </c>
      <c r="N1721" s="3">
        <f>IF(OR($N$1="",对接源_02物料!$C521="",对接源_02物料!$C521&lt;&gt;$N$1,对接源_02物料!$B521=""),0,IF(OR(N(对接源_02物料!$B521)&lt;$N$2,N(对接源_02物料!$B521)&gt;$N$3),0,1))</f>
        <v>0</v>
      </c>
      <c r="P1721" s="3">
        <f>IF(AND($K1721=1,AND(对接源_02物料!$X521="公司筐",N(对接源_02物料!$T521)&lt;&gt;0)),1,0)</f>
        <v>0</v>
      </c>
      <c r="Q1721" s="3">
        <f t="shared" si="454"/>
        <v>8</v>
      </c>
      <c r="R1721" s="3">
        <f>IF(AND($K1721=1,AND(对接源_02物料!$X521="公司筐",N(对接源_02物料!$U521)&lt;&gt;0)),1,0)</f>
        <v>0</v>
      </c>
      <c r="S1721" s="3">
        <f t="shared" si="455"/>
        <v>0</v>
      </c>
      <c r="T1721" s="3">
        <f>IF(AND($K1721=1,AND(对接源_02物料!$X521="公司筐",N(对接源_02物料!$V521)&lt;&gt;0)),1,0)</f>
        <v>0</v>
      </c>
      <c r="U1721" s="3">
        <f t="shared" si="456"/>
        <v>19</v>
      </c>
      <c r="V1721" s="3">
        <f>IF(AND($L1721=1,AND(对接源_02物料!$X521="自备筐",N(对接源_02物料!$V521)&lt;&gt;0)),1,0)</f>
        <v>0</v>
      </c>
      <c r="W1721" s="3">
        <f t="shared" si="457"/>
        <v>8</v>
      </c>
      <c r="X1721" s="3">
        <f>IF(AND($L1721=1,AND(对接源_02物料!$X521="自备筐",N(对接源_02物料!$T521)&lt;&gt;0)),1,0)</f>
        <v>0</v>
      </c>
      <c r="Y1721" s="3">
        <f t="shared" si="458"/>
        <v>0</v>
      </c>
      <c r="Z1721" s="3">
        <f>IF(AND($M1721=1,对接源_02物料!$D521="原料入库"),1,0)</f>
        <v>0</v>
      </c>
      <c r="AA1721" s="3">
        <f t="shared" si="459"/>
        <v>24</v>
      </c>
      <c r="AB1721" s="3">
        <f>IF(AND($M1721=1,LEFT(对接源_02物料!$D521,4)="原料出库"),1,0)</f>
        <v>0</v>
      </c>
      <c r="AC1721" s="3">
        <f t="shared" si="460"/>
        <v>0</v>
      </c>
      <c r="AD1721" s="3">
        <f>IF(AND($M1721=1,LEFT(对接源_02物料!$D521,4)="成品出库"),1,0)</f>
        <v>0</v>
      </c>
      <c r="AE1721" s="3">
        <f t="shared" si="461"/>
        <v>0</v>
      </c>
      <c r="AF1721" s="3">
        <f>IF(AND($N1721=1,AND(LEFT(对接源_02物料!$D521,4)="包装物料",N(对接源_02物料!$K521)&lt;&gt;0)),1,0)</f>
        <v>0</v>
      </c>
      <c r="AG1721" s="3">
        <f t="shared" si="462"/>
        <v>5</v>
      </c>
      <c r="AH1721" s="3">
        <f>IF(AND($N1721=1,AND(对接源_02物料!$D521="周转筐－销售出库",N(对接源_02物料!$K521)&lt;&gt;0)),1,0)</f>
        <v>0</v>
      </c>
      <c r="AI1721" s="3">
        <f t="shared" si="463"/>
        <v>0</v>
      </c>
      <c r="AL1721" s="3">
        <v>0</v>
      </c>
      <c r="AM1721" s="3">
        <f t="shared" si="464"/>
        <v>1</v>
      </c>
      <c r="AN1721" s="3" t="str">
        <f t="shared" si="468"/>
        <v/>
      </c>
      <c r="AO1721" s="3">
        <v>0</v>
      </c>
      <c r="AP1721" s="3">
        <f t="shared" si="465"/>
        <v>8</v>
      </c>
      <c r="AR1721">
        <f t="shared" si="466"/>
        <v>0</v>
      </c>
      <c r="AS1721">
        <f t="shared" si="467"/>
        <v>5</v>
      </c>
    </row>
    <row r="1722" customHeight="1" spans="1:45">
      <c r="A1722" s="3" t="str">
        <f>IF(对接源_02物料!$C522="","",对接源_02物料!$C522)</f>
        <v/>
      </c>
      <c r="B1722" s="3">
        <f t="shared" si="452"/>
        <v>0</v>
      </c>
      <c r="C1722" s="3">
        <f t="shared" si="453"/>
        <v>21</v>
      </c>
      <c r="K1722" s="3">
        <f>IF(OR($K$1="",对接源_02物料!$C522="",对接源_02物料!$C522&lt;&gt;$K$1,对接源_02物料!$B522=""),0,IF(OR(N(对接源_02物料!$B522)&lt;$K$2,N(对接源_02物料!$B522)&gt;$K$3),0,1))</f>
        <v>0</v>
      </c>
      <c r="L1722" s="3">
        <f>IF(OR($L$1="",对接源_02物料!$C522="",对接源_02物料!$C522&lt;&gt;$L$1,对接源_02物料!$B522=""),0,IF(OR(N(对接源_02物料!$B522)&lt;$L$2,N(对接源_02物料!$B522)&gt;$L$3),0,1))</f>
        <v>0</v>
      </c>
      <c r="M1722" s="3">
        <f>IF(OR($M$1="",对接源_02物料!$C522="",对接源_02物料!$C522&lt;&gt;$M$1,对接源_02物料!$B522=""),0,IF(OR(N(对接源_02物料!$B522)&lt;$M$2,N(对接源_02物料!$B522)&gt;$M$3),0,1))</f>
        <v>0</v>
      </c>
      <c r="N1722" s="3">
        <f>IF(OR($N$1="",对接源_02物料!$C522="",对接源_02物料!$C522&lt;&gt;$N$1,对接源_02物料!$B522=""),0,IF(OR(N(对接源_02物料!$B522)&lt;$N$2,N(对接源_02物料!$B522)&gt;$N$3),0,1))</f>
        <v>0</v>
      </c>
      <c r="P1722" s="3">
        <f>IF(AND($K1722=1,AND(对接源_02物料!$X522="公司筐",N(对接源_02物料!$T522)&lt;&gt;0)),1,0)</f>
        <v>0</v>
      </c>
      <c r="Q1722" s="3">
        <f t="shared" si="454"/>
        <v>8</v>
      </c>
      <c r="R1722" s="3">
        <f>IF(AND($K1722=1,AND(对接源_02物料!$X522="公司筐",N(对接源_02物料!$U522)&lt;&gt;0)),1,0)</f>
        <v>0</v>
      </c>
      <c r="S1722" s="3">
        <f t="shared" si="455"/>
        <v>0</v>
      </c>
      <c r="T1722" s="3">
        <f>IF(AND($K1722=1,AND(对接源_02物料!$X522="公司筐",N(对接源_02物料!$V522)&lt;&gt;0)),1,0)</f>
        <v>0</v>
      </c>
      <c r="U1722" s="3">
        <f t="shared" si="456"/>
        <v>19</v>
      </c>
      <c r="V1722" s="3">
        <f>IF(AND($L1722=1,AND(对接源_02物料!$X522="自备筐",N(对接源_02物料!$V522)&lt;&gt;0)),1,0)</f>
        <v>0</v>
      </c>
      <c r="W1722" s="3">
        <f t="shared" si="457"/>
        <v>8</v>
      </c>
      <c r="X1722" s="3">
        <f>IF(AND($L1722=1,AND(对接源_02物料!$X522="自备筐",N(对接源_02物料!$T522)&lt;&gt;0)),1,0)</f>
        <v>0</v>
      </c>
      <c r="Y1722" s="3">
        <f t="shared" si="458"/>
        <v>0</v>
      </c>
      <c r="Z1722" s="3">
        <f>IF(AND($M1722=1,对接源_02物料!$D522="原料入库"),1,0)</f>
        <v>0</v>
      </c>
      <c r="AA1722" s="3">
        <f t="shared" si="459"/>
        <v>24</v>
      </c>
      <c r="AB1722" s="3">
        <f>IF(AND($M1722=1,LEFT(对接源_02物料!$D522,4)="原料出库"),1,0)</f>
        <v>0</v>
      </c>
      <c r="AC1722" s="3">
        <f t="shared" si="460"/>
        <v>0</v>
      </c>
      <c r="AD1722" s="3">
        <f>IF(AND($M1722=1,LEFT(对接源_02物料!$D522,4)="成品出库"),1,0)</f>
        <v>0</v>
      </c>
      <c r="AE1722" s="3">
        <f t="shared" si="461"/>
        <v>0</v>
      </c>
      <c r="AF1722" s="3">
        <f>IF(AND($N1722=1,AND(LEFT(对接源_02物料!$D522,4)="包装物料",N(对接源_02物料!$K522)&lt;&gt;0)),1,0)</f>
        <v>0</v>
      </c>
      <c r="AG1722" s="3">
        <f t="shared" si="462"/>
        <v>5</v>
      </c>
      <c r="AH1722" s="3">
        <f>IF(AND($N1722=1,AND(对接源_02物料!$D522="周转筐－销售出库",N(对接源_02物料!$K522)&lt;&gt;0)),1,0)</f>
        <v>0</v>
      </c>
      <c r="AI1722" s="3">
        <f t="shared" si="463"/>
        <v>0</v>
      </c>
      <c r="AL1722" s="3">
        <v>0</v>
      </c>
      <c r="AM1722" s="3">
        <f t="shared" si="464"/>
        <v>1</v>
      </c>
      <c r="AN1722" s="3" t="str">
        <f t="shared" si="468"/>
        <v/>
      </c>
      <c r="AO1722" s="3">
        <v>0</v>
      </c>
      <c r="AP1722" s="3">
        <f t="shared" si="465"/>
        <v>8</v>
      </c>
      <c r="AR1722">
        <f t="shared" si="466"/>
        <v>0</v>
      </c>
      <c r="AS1722">
        <f t="shared" si="467"/>
        <v>5</v>
      </c>
    </row>
    <row r="1723" customHeight="1" spans="1:45">
      <c r="A1723" s="3" t="str">
        <f>IF(对接源_02物料!$C523="","",对接源_02物料!$C523)</f>
        <v/>
      </c>
      <c r="B1723" s="3">
        <f t="shared" si="452"/>
        <v>0</v>
      </c>
      <c r="C1723" s="3">
        <f t="shared" si="453"/>
        <v>21</v>
      </c>
      <c r="K1723" s="3">
        <f>IF(OR($K$1="",对接源_02物料!$C523="",对接源_02物料!$C523&lt;&gt;$K$1,对接源_02物料!$B523=""),0,IF(OR(N(对接源_02物料!$B523)&lt;$K$2,N(对接源_02物料!$B523)&gt;$K$3),0,1))</f>
        <v>0</v>
      </c>
      <c r="L1723" s="3">
        <f>IF(OR($L$1="",对接源_02物料!$C523="",对接源_02物料!$C523&lt;&gt;$L$1,对接源_02物料!$B523=""),0,IF(OR(N(对接源_02物料!$B523)&lt;$L$2,N(对接源_02物料!$B523)&gt;$L$3),0,1))</f>
        <v>0</v>
      </c>
      <c r="M1723" s="3">
        <f>IF(OR($M$1="",对接源_02物料!$C523="",对接源_02物料!$C523&lt;&gt;$M$1,对接源_02物料!$B523=""),0,IF(OR(N(对接源_02物料!$B523)&lt;$M$2,N(对接源_02物料!$B523)&gt;$M$3),0,1))</f>
        <v>0</v>
      </c>
      <c r="N1723" s="3">
        <f>IF(OR($N$1="",对接源_02物料!$C523="",对接源_02物料!$C523&lt;&gt;$N$1,对接源_02物料!$B523=""),0,IF(OR(N(对接源_02物料!$B523)&lt;$N$2,N(对接源_02物料!$B523)&gt;$N$3),0,1))</f>
        <v>0</v>
      </c>
      <c r="P1723" s="3">
        <f>IF(AND($K1723=1,AND(对接源_02物料!$X523="公司筐",N(对接源_02物料!$T523)&lt;&gt;0)),1,0)</f>
        <v>0</v>
      </c>
      <c r="Q1723" s="3">
        <f t="shared" si="454"/>
        <v>8</v>
      </c>
      <c r="R1723" s="3">
        <f>IF(AND($K1723=1,AND(对接源_02物料!$X523="公司筐",N(对接源_02物料!$U523)&lt;&gt;0)),1,0)</f>
        <v>0</v>
      </c>
      <c r="S1723" s="3">
        <f t="shared" si="455"/>
        <v>0</v>
      </c>
      <c r="T1723" s="3">
        <f>IF(AND($K1723=1,AND(对接源_02物料!$X523="公司筐",N(对接源_02物料!$V523)&lt;&gt;0)),1,0)</f>
        <v>0</v>
      </c>
      <c r="U1723" s="3">
        <f t="shared" si="456"/>
        <v>19</v>
      </c>
      <c r="V1723" s="3">
        <f>IF(AND($L1723=1,AND(对接源_02物料!$X523="自备筐",N(对接源_02物料!$V523)&lt;&gt;0)),1,0)</f>
        <v>0</v>
      </c>
      <c r="W1723" s="3">
        <f t="shared" si="457"/>
        <v>8</v>
      </c>
      <c r="X1723" s="3">
        <f>IF(AND($L1723=1,AND(对接源_02物料!$X523="自备筐",N(对接源_02物料!$T523)&lt;&gt;0)),1,0)</f>
        <v>0</v>
      </c>
      <c r="Y1723" s="3">
        <f t="shared" si="458"/>
        <v>0</v>
      </c>
      <c r="Z1723" s="3">
        <f>IF(AND($M1723=1,对接源_02物料!$D523="原料入库"),1,0)</f>
        <v>0</v>
      </c>
      <c r="AA1723" s="3">
        <f t="shared" si="459"/>
        <v>24</v>
      </c>
      <c r="AB1723" s="3">
        <f>IF(AND($M1723=1,LEFT(对接源_02物料!$D523,4)="原料出库"),1,0)</f>
        <v>0</v>
      </c>
      <c r="AC1723" s="3">
        <f t="shared" si="460"/>
        <v>0</v>
      </c>
      <c r="AD1723" s="3">
        <f>IF(AND($M1723=1,LEFT(对接源_02物料!$D523,4)="成品出库"),1,0)</f>
        <v>0</v>
      </c>
      <c r="AE1723" s="3">
        <f t="shared" si="461"/>
        <v>0</v>
      </c>
      <c r="AF1723" s="3">
        <f>IF(AND($N1723=1,AND(LEFT(对接源_02物料!$D523,4)="包装物料",N(对接源_02物料!$K523)&lt;&gt;0)),1,0)</f>
        <v>0</v>
      </c>
      <c r="AG1723" s="3">
        <f t="shared" si="462"/>
        <v>5</v>
      </c>
      <c r="AH1723" s="3">
        <f>IF(AND($N1723=1,AND(对接源_02物料!$D523="周转筐－销售出库",N(对接源_02物料!$K523)&lt;&gt;0)),1,0)</f>
        <v>0</v>
      </c>
      <c r="AI1723" s="3">
        <f t="shared" si="463"/>
        <v>0</v>
      </c>
      <c r="AL1723" s="3">
        <v>0</v>
      </c>
      <c r="AM1723" s="3">
        <f t="shared" si="464"/>
        <v>1</v>
      </c>
      <c r="AN1723" s="3" t="str">
        <f t="shared" si="468"/>
        <v/>
      </c>
      <c r="AO1723" s="3">
        <v>0</v>
      </c>
      <c r="AP1723" s="3">
        <f t="shared" si="465"/>
        <v>8</v>
      </c>
      <c r="AR1723">
        <f t="shared" si="466"/>
        <v>0</v>
      </c>
      <c r="AS1723">
        <f t="shared" si="467"/>
        <v>5</v>
      </c>
    </row>
    <row r="1724" customHeight="1" spans="1:45">
      <c r="A1724" s="3" t="str">
        <f>IF(对接源_02物料!$C524="","",对接源_02物料!$C524)</f>
        <v/>
      </c>
      <c r="B1724" s="3">
        <f t="shared" si="452"/>
        <v>0</v>
      </c>
      <c r="C1724" s="3">
        <f t="shared" si="453"/>
        <v>21</v>
      </c>
      <c r="K1724" s="3">
        <f>IF(OR($K$1="",对接源_02物料!$C524="",对接源_02物料!$C524&lt;&gt;$K$1,对接源_02物料!$B524=""),0,IF(OR(N(对接源_02物料!$B524)&lt;$K$2,N(对接源_02物料!$B524)&gt;$K$3),0,1))</f>
        <v>0</v>
      </c>
      <c r="L1724" s="3">
        <f>IF(OR($L$1="",对接源_02物料!$C524="",对接源_02物料!$C524&lt;&gt;$L$1,对接源_02物料!$B524=""),0,IF(OR(N(对接源_02物料!$B524)&lt;$L$2,N(对接源_02物料!$B524)&gt;$L$3),0,1))</f>
        <v>0</v>
      </c>
      <c r="M1724" s="3">
        <f>IF(OR($M$1="",对接源_02物料!$C524="",对接源_02物料!$C524&lt;&gt;$M$1,对接源_02物料!$B524=""),0,IF(OR(N(对接源_02物料!$B524)&lt;$M$2,N(对接源_02物料!$B524)&gt;$M$3),0,1))</f>
        <v>0</v>
      </c>
      <c r="N1724" s="3">
        <f>IF(OR($N$1="",对接源_02物料!$C524="",对接源_02物料!$C524&lt;&gt;$N$1,对接源_02物料!$B524=""),0,IF(OR(N(对接源_02物料!$B524)&lt;$N$2,N(对接源_02物料!$B524)&gt;$N$3),0,1))</f>
        <v>0</v>
      </c>
      <c r="P1724" s="3">
        <f>IF(AND($K1724=1,AND(对接源_02物料!$X524="公司筐",N(对接源_02物料!$T524)&lt;&gt;0)),1,0)</f>
        <v>0</v>
      </c>
      <c r="Q1724" s="3">
        <f t="shared" si="454"/>
        <v>8</v>
      </c>
      <c r="R1724" s="3">
        <f>IF(AND($K1724=1,AND(对接源_02物料!$X524="公司筐",N(对接源_02物料!$U524)&lt;&gt;0)),1,0)</f>
        <v>0</v>
      </c>
      <c r="S1724" s="3">
        <f t="shared" si="455"/>
        <v>0</v>
      </c>
      <c r="T1724" s="3">
        <f>IF(AND($K1724=1,AND(对接源_02物料!$X524="公司筐",N(对接源_02物料!$V524)&lt;&gt;0)),1,0)</f>
        <v>0</v>
      </c>
      <c r="U1724" s="3">
        <f t="shared" si="456"/>
        <v>19</v>
      </c>
      <c r="V1724" s="3">
        <f>IF(AND($L1724=1,AND(对接源_02物料!$X524="自备筐",N(对接源_02物料!$V524)&lt;&gt;0)),1,0)</f>
        <v>0</v>
      </c>
      <c r="W1724" s="3">
        <f t="shared" si="457"/>
        <v>8</v>
      </c>
      <c r="X1724" s="3">
        <f>IF(AND($L1724=1,AND(对接源_02物料!$X524="自备筐",N(对接源_02物料!$T524)&lt;&gt;0)),1,0)</f>
        <v>0</v>
      </c>
      <c r="Y1724" s="3">
        <f t="shared" si="458"/>
        <v>0</v>
      </c>
      <c r="Z1724" s="3">
        <f>IF(AND($M1724=1,对接源_02物料!$D524="原料入库"),1,0)</f>
        <v>0</v>
      </c>
      <c r="AA1724" s="3">
        <f t="shared" si="459"/>
        <v>24</v>
      </c>
      <c r="AB1724" s="3">
        <f>IF(AND($M1724=1,LEFT(对接源_02物料!$D524,4)="原料出库"),1,0)</f>
        <v>0</v>
      </c>
      <c r="AC1724" s="3">
        <f t="shared" si="460"/>
        <v>0</v>
      </c>
      <c r="AD1724" s="3">
        <f>IF(AND($M1724=1,LEFT(对接源_02物料!$D524,4)="成品出库"),1,0)</f>
        <v>0</v>
      </c>
      <c r="AE1724" s="3">
        <f t="shared" si="461"/>
        <v>0</v>
      </c>
      <c r="AF1724" s="3">
        <f>IF(AND($N1724=1,AND(LEFT(对接源_02物料!$D524,4)="包装物料",N(对接源_02物料!$K524)&lt;&gt;0)),1,0)</f>
        <v>0</v>
      </c>
      <c r="AG1724" s="3">
        <f t="shared" si="462"/>
        <v>5</v>
      </c>
      <c r="AH1724" s="3">
        <f>IF(AND($N1724=1,AND(对接源_02物料!$D524="周转筐－销售出库",N(对接源_02物料!$K524)&lt;&gt;0)),1,0)</f>
        <v>0</v>
      </c>
      <c r="AI1724" s="3">
        <f t="shared" si="463"/>
        <v>0</v>
      </c>
      <c r="AL1724" s="3">
        <v>0</v>
      </c>
      <c r="AM1724" s="3">
        <f t="shared" si="464"/>
        <v>1</v>
      </c>
      <c r="AN1724" s="3" t="str">
        <f t="shared" si="468"/>
        <v/>
      </c>
      <c r="AO1724" s="3">
        <v>0</v>
      </c>
      <c r="AP1724" s="3">
        <f t="shared" si="465"/>
        <v>8</v>
      </c>
      <c r="AR1724">
        <f t="shared" si="466"/>
        <v>0</v>
      </c>
      <c r="AS1724">
        <f t="shared" si="467"/>
        <v>5</v>
      </c>
    </row>
    <row r="1725" customHeight="1" spans="1:45">
      <c r="A1725" s="3" t="str">
        <f>IF(对接源_02物料!$C525="","",对接源_02物料!$C525)</f>
        <v/>
      </c>
      <c r="B1725" s="3">
        <f t="shared" si="452"/>
        <v>0</v>
      </c>
      <c r="C1725" s="3">
        <f t="shared" si="453"/>
        <v>21</v>
      </c>
      <c r="K1725" s="3">
        <f>IF(OR($K$1="",对接源_02物料!$C525="",对接源_02物料!$C525&lt;&gt;$K$1,对接源_02物料!$B525=""),0,IF(OR(N(对接源_02物料!$B525)&lt;$K$2,N(对接源_02物料!$B525)&gt;$K$3),0,1))</f>
        <v>0</v>
      </c>
      <c r="L1725" s="3">
        <f>IF(OR($L$1="",对接源_02物料!$C525="",对接源_02物料!$C525&lt;&gt;$L$1,对接源_02物料!$B525=""),0,IF(OR(N(对接源_02物料!$B525)&lt;$L$2,N(对接源_02物料!$B525)&gt;$L$3),0,1))</f>
        <v>0</v>
      </c>
      <c r="M1725" s="3">
        <f>IF(OR($M$1="",对接源_02物料!$C525="",对接源_02物料!$C525&lt;&gt;$M$1,对接源_02物料!$B525=""),0,IF(OR(N(对接源_02物料!$B525)&lt;$M$2,N(对接源_02物料!$B525)&gt;$M$3),0,1))</f>
        <v>0</v>
      </c>
      <c r="N1725" s="3">
        <f>IF(OR($N$1="",对接源_02物料!$C525="",对接源_02物料!$C525&lt;&gt;$N$1,对接源_02物料!$B525=""),0,IF(OR(N(对接源_02物料!$B525)&lt;$N$2,N(对接源_02物料!$B525)&gt;$N$3),0,1))</f>
        <v>0</v>
      </c>
      <c r="P1725" s="3">
        <f>IF(AND($K1725=1,AND(对接源_02物料!$X525="公司筐",N(对接源_02物料!$T525)&lt;&gt;0)),1,0)</f>
        <v>0</v>
      </c>
      <c r="Q1725" s="3">
        <f t="shared" si="454"/>
        <v>8</v>
      </c>
      <c r="R1725" s="3">
        <f>IF(AND($K1725=1,AND(对接源_02物料!$X525="公司筐",N(对接源_02物料!$U525)&lt;&gt;0)),1,0)</f>
        <v>0</v>
      </c>
      <c r="S1725" s="3">
        <f t="shared" si="455"/>
        <v>0</v>
      </c>
      <c r="T1725" s="3">
        <f>IF(AND($K1725=1,AND(对接源_02物料!$X525="公司筐",N(对接源_02物料!$V525)&lt;&gt;0)),1,0)</f>
        <v>0</v>
      </c>
      <c r="U1725" s="3">
        <f t="shared" si="456"/>
        <v>19</v>
      </c>
      <c r="V1725" s="3">
        <f>IF(AND($L1725=1,AND(对接源_02物料!$X525="自备筐",N(对接源_02物料!$V525)&lt;&gt;0)),1,0)</f>
        <v>0</v>
      </c>
      <c r="W1725" s="3">
        <f t="shared" si="457"/>
        <v>8</v>
      </c>
      <c r="X1725" s="3">
        <f>IF(AND($L1725=1,AND(对接源_02物料!$X525="自备筐",N(对接源_02物料!$T525)&lt;&gt;0)),1,0)</f>
        <v>0</v>
      </c>
      <c r="Y1725" s="3">
        <f t="shared" si="458"/>
        <v>0</v>
      </c>
      <c r="Z1725" s="3">
        <f>IF(AND($M1725=1,对接源_02物料!$D525="原料入库"),1,0)</f>
        <v>0</v>
      </c>
      <c r="AA1725" s="3">
        <f t="shared" si="459"/>
        <v>24</v>
      </c>
      <c r="AB1725" s="3">
        <f>IF(AND($M1725=1,LEFT(对接源_02物料!$D525,4)="原料出库"),1,0)</f>
        <v>0</v>
      </c>
      <c r="AC1725" s="3">
        <f t="shared" si="460"/>
        <v>0</v>
      </c>
      <c r="AD1725" s="3">
        <f>IF(AND($M1725=1,LEFT(对接源_02物料!$D525,4)="成品出库"),1,0)</f>
        <v>0</v>
      </c>
      <c r="AE1725" s="3">
        <f t="shared" si="461"/>
        <v>0</v>
      </c>
      <c r="AF1725" s="3">
        <f>IF(AND($N1725=1,AND(LEFT(对接源_02物料!$D525,4)="包装物料",N(对接源_02物料!$K525)&lt;&gt;0)),1,0)</f>
        <v>0</v>
      </c>
      <c r="AG1725" s="3">
        <f t="shared" si="462"/>
        <v>5</v>
      </c>
      <c r="AH1725" s="3">
        <f>IF(AND($N1725=1,AND(对接源_02物料!$D525="周转筐－销售出库",N(对接源_02物料!$K525)&lt;&gt;0)),1,0)</f>
        <v>0</v>
      </c>
      <c r="AI1725" s="3">
        <f t="shared" si="463"/>
        <v>0</v>
      </c>
      <c r="AL1725" s="3">
        <v>0</v>
      </c>
      <c r="AM1725" s="3">
        <f t="shared" si="464"/>
        <v>1</v>
      </c>
      <c r="AN1725" s="3" t="str">
        <f t="shared" si="468"/>
        <v/>
      </c>
      <c r="AO1725" s="3">
        <v>0</v>
      </c>
      <c r="AP1725" s="3">
        <f t="shared" si="465"/>
        <v>8</v>
      </c>
      <c r="AR1725">
        <f t="shared" si="466"/>
        <v>0</v>
      </c>
      <c r="AS1725">
        <f t="shared" si="467"/>
        <v>5</v>
      </c>
    </row>
    <row r="1726" customHeight="1" spans="1:45">
      <c r="A1726" s="3" t="str">
        <f>IF(对接源_02物料!$C526="","",对接源_02物料!$C526)</f>
        <v/>
      </c>
      <c r="B1726" s="3">
        <f t="shared" si="452"/>
        <v>0</v>
      </c>
      <c r="C1726" s="3">
        <f t="shared" si="453"/>
        <v>21</v>
      </c>
      <c r="K1726" s="3">
        <f>IF(OR($K$1="",对接源_02物料!$C526="",对接源_02物料!$C526&lt;&gt;$K$1,对接源_02物料!$B526=""),0,IF(OR(N(对接源_02物料!$B526)&lt;$K$2,N(对接源_02物料!$B526)&gt;$K$3),0,1))</f>
        <v>0</v>
      </c>
      <c r="L1726" s="3">
        <f>IF(OR($L$1="",对接源_02物料!$C526="",对接源_02物料!$C526&lt;&gt;$L$1,对接源_02物料!$B526=""),0,IF(OR(N(对接源_02物料!$B526)&lt;$L$2,N(对接源_02物料!$B526)&gt;$L$3),0,1))</f>
        <v>0</v>
      </c>
      <c r="M1726" s="3">
        <f>IF(OR($M$1="",对接源_02物料!$C526="",对接源_02物料!$C526&lt;&gt;$M$1,对接源_02物料!$B526=""),0,IF(OR(N(对接源_02物料!$B526)&lt;$M$2,N(对接源_02物料!$B526)&gt;$M$3),0,1))</f>
        <v>0</v>
      </c>
      <c r="N1726" s="3">
        <f>IF(OR($N$1="",对接源_02物料!$C526="",对接源_02物料!$C526&lt;&gt;$N$1,对接源_02物料!$B526=""),0,IF(OR(N(对接源_02物料!$B526)&lt;$N$2,N(对接源_02物料!$B526)&gt;$N$3),0,1))</f>
        <v>0</v>
      </c>
      <c r="P1726" s="3">
        <f>IF(AND($K1726=1,AND(对接源_02物料!$X526="公司筐",N(对接源_02物料!$T526)&lt;&gt;0)),1,0)</f>
        <v>0</v>
      </c>
      <c r="Q1726" s="3">
        <f t="shared" si="454"/>
        <v>8</v>
      </c>
      <c r="R1726" s="3">
        <f>IF(AND($K1726=1,AND(对接源_02物料!$X526="公司筐",N(对接源_02物料!$U526)&lt;&gt;0)),1,0)</f>
        <v>0</v>
      </c>
      <c r="S1726" s="3">
        <f t="shared" si="455"/>
        <v>0</v>
      </c>
      <c r="T1726" s="3">
        <f>IF(AND($K1726=1,AND(对接源_02物料!$X526="公司筐",N(对接源_02物料!$V526)&lt;&gt;0)),1,0)</f>
        <v>0</v>
      </c>
      <c r="U1726" s="3">
        <f t="shared" si="456"/>
        <v>19</v>
      </c>
      <c r="V1726" s="3">
        <f>IF(AND($L1726=1,AND(对接源_02物料!$X526="自备筐",N(对接源_02物料!$V526)&lt;&gt;0)),1,0)</f>
        <v>0</v>
      </c>
      <c r="W1726" s="3">
        <f t="shared" si="457"/>
        <v>8</v>
      </c>
      <c r="X1726" s="3">
        <f>IF(AND($L1726=1,AND(对接源_02物料!$X526="自备筐",N(对接源_02物料!$T526)&lt;&gt;0)),1,0)</f>
        <v>0</v>
      </c>
      <c r="Y1726" s="3">
        <f t="shared" si="458"/>
        <v>0</v>
      </c>
      <c r="Z1726" s="3">
        <f>IF(AND($M1726=1,对接源_02物料!$D526="原料入库"),1,0)</f>
        <v>0</v>
      </c>
      <c r="AA1726" s="3">
        <f t="shared" si="459"/>
        <v>24</v>
      </c>
      <c r="AB1726" s="3">
        <f>IF(AND($M1726=1,LEFT(对接源_02物料!$D526,4)="原料出库"),1,0)</f>
        <v>0</v>
      </c>
      <c r="AC1726" s="3">
        <f t="shared" si="460"/>
        <v>0</v>
      </c>
      <c r="AD1726" s="3">
        <f>IF(AND($M1726=1,LEFT(对接源_02物料!$D526,4)="成品出库"),1,0)</f>
        <v>0</v>
      </c>
      <c r="AE1726" s="3">
        <f t="shared" si="461"/>
        <v>0</v>
      </c>
      <c r="AF1726" s="3">
        <f>IF(AND($N1726=1,AND(LEFT(对接源_02物料!$D526,4)="包装物料",N(对接源_02物料!$K526)&lt;&gt;0)),1,0)</f>
        <v>0</v>
      </c>
      <c r="AG1726" s="3">
        <f t="shared" si="462"/>
        <v>5</v>
      </c>
      <c r="AH1726" s="3">
        <f>IF(AND($N1726=1,AND(对接源_02物料!$D526="周转筐－销售出库",N(对接源_02物料!$K526)&lt;&gt;0)),1,0)</f>
        <v>0</v>
      </c>
      <c r="AI1726" s="3">
        <f t="shared" si="463"/>
        <v>0</v>
      </c>
      <c r="AL1726" s="3">
        <v>0</v>
      </c>
      <c r="AM1726" s="3">
        <f t="shared" si="464"/>
        <v>1</v>
      </c>
      <c r="AN1726" s="3" t="str">
        <f t="shared" si="468"/>
        <v/>
      </c>
      <c r="AO1726" s="3">
        <v>0</v>
      </c>
      <c r="AP1726" s="3">
        <f t="shared" si="465"/>
        <v>8</v>
      </c>
      <c r="AR1726">
        <f t="shared" si="466"/>
        <v>0</v>
      </c>
      <c r="AS1726">
        <f t="shared" si="467"/>
        <v>5</v>
      </c>
    </row>
    <row r="1727" customHeight="1" spans="1:45">
      <c r="A1727" s="3" t="str">
        <f>IF(对接源_02物料!$C527="","",对接源_02物料!$C527)</f>
        <v/>
      </c>
      <c r="B1727" s="3">
        <f t="shared" si="452"/>
        <v>0</v>
      </c>
      <c r="C1727" s="3">
        <f t="shared" si="453"/>
        <v>21</v>
      </c>
      <c r="K1727" s="3">
        <f>IF(OR($K$1="",对接源_02物料!$C527="",对接源_02物料!$C527&lt;&gt;$K$1,对接源_02物料!$B527=""),0,IF(OR(N(对接源_02物料!$B527)&lt;$K$2,N(对接源_02物料!$B527)&gt;$K$3),0,1))</f>
        <v>0</v>
      </c>
      <c r="L1727" s="3">
        <f>IF(OR($L$1="",对接源_02物料!$C527="",对接源_02物料!$C527&lt;&gt;$L$1,对接源_02物料!$B527=""),0,IF(OR(N(对接源_02物料!$B527)&lt;$L$2,N(对接源_02物料!$B527)&gt;$L$3),0,1))</f>
        <v>0</v>
      </c>
      <c r="M1727" s="3">
        <f>IF(OR($M$1="",对接源_02物料!$C527="",对接源_02物料!$C527&lt;&gt;$M$1,对接源_02物料!$B527=""),0,IF(OR(N(对接源_02物料!$B527)&lt;$M$2,N(对接源_02物料!$B527)&gt;$M$3),0,1))</f>
        <v>0</v>
      </c>
      <c r="N1727" s="3">
        <f>IF(OR($N$1="",对接源_02物料!$C527="",对接源_02物料!$C527&lt;&gt;$N$1,对接源_02物料!$B527=""),0,IF(OR(N(对接源_02物料!$B527)&lt;$N$2,N(对接源_02物料!$B527)&gt;$N$3),0,1))</f>
        <v>0</v>
      </c>
      <c r="P1727" s="3">
        <f>IF(AND($K1727=1,AND(对接源_02物料!$X527="公司筐",N(对接源_02物料!$T527)&lt;&gt;0)),1,0)</f>
        <v>0</v>
      </c>
      <c r="Q1727" s="3">
        <f t="shared" si="454"/>
        <v>8</v>
      </c>
      <c r="R1727" s="3">
        <f>IF(AND($K1727=1,AND(对接源_02物料!$X527="公司筐",N(对接源_02物料!$U527)&lt;&gt;0)),1,0)</f>
        <v>0</v>
      </c>
      <c r="S1727" s="3">
        <f t="shared" si="455"/>
        <v>0</v>
      </c>
      <c r="T1727" s="3">
        <f>IF(AND($K1727=1,AND(对接源_02物料!$X527="公司筐",N(对接源_02物料!$V527)&lt;&gt;0)),1,0)</f>
        <v>0</v>
      </c>
      <c r="U1727" s="3">
        <f t="shared" si="456"/>
        <v>19</v>
      </c>
      <c r="V1727" s="3">
        <f>IF(AND($L1727=1,AND(对接源_02物料!$X527="自备筐",N(对接源_02物料!$V527)&lt;&gt;0)),1,0)</f>
        <v>0</v>
      </c>
      <c r="W1727" s="3">
        <f t="shared" si="457"/>
        <v>8</v>
      </c>
      <c r="X1727" s="3">
        <f>IF(AND($L1727=1,AND(对接源_02物料!$X527="自备筐",N(对接源_02物料!$T527)&lt;&gt;0)),1,0)</f>
        <v>0</v>
      </c>
      <c r="Y1727" s="3">
        <f t="shared" si="458"/>
        <v>0</v>
      </c>
      <c r="Z1727" s="3">
        <f>IF(AND($M1727=1,对接源_02物料!$D527="原料入库"),1,0)</f>
        <v>0</v>
      </c>
      <c r="AA1727" s="3">
        <f t="shared" si="459"/>
        <v>24</v>
      </c>
      <c r="AB1727" s="3">
        <f>IF(AND($M1727=1,LEFT(对接源_02物料!$D527,4)="原料出库"),1,0)</f>
        <v>0</v>
      </c>
      <c r="AC1727" s="3">
        <f t="shared" si="460"/>
        <v>0</v>
      </c>
      <c r="AD1727" s="3">
        <f>IF(AND($M1727=1,LEFT(对接源_02物料!$D527,4)="成品出库"),1,0)</f>
        <v>0</v>
      </c>
      <c r="AE1727" s="3">
        <f t="shared" si="461"/>
        <v>0</v>
      </c>
      <c r="AF1727" s="3">
        <f>IF(AND($N1727=1,AND(LEFT(对接源_02物料!$D527,4)="包装物料",N(对接源_02物料!$K527)&lt;&gt;0)),1,0)</f>
        <v>0</v>
      </c>
      <c r="AG1727" s="3">
        <f t="shared" si="462"/>
        <v>5</v>
      </c>
      <c r="AH1727" s="3">
        <f>IF(AND($N1727=1,AND(对接源_02物料!$D527="周转筐－销售出库",N(对接源_02物料!$K527)&lt;&gt;0)),1,0)</f>
        <v>0</v>
      </c>
      <c r="AI1727" s="3">
        <f t="shared" si="463"/>
        <v>0</v>
      </c>
      <c r="AL1727" s="3">
        <v>0</v>
      </c>
      <c r="AM1727" s="3">
        <f t="shared" si="464"/>
        <v>1</v>
      </c>
      <c r="AN1727" s="3" t="str">
        <f t="shared" si="468"/>
        <v/>
      </c>
      <c r="AO1727" s="3">
        <v>0</v>
      </c>
      <c r="AP1727" s="3">
        <f t="shared" si="465"/>
        <v>8</v>
      </c>
      <c r="AR1727">
        <f t="shared" si="466"/>
        <v>0</v>
      </c>
      <c r="AS1727">
        <f t="shared" si="467"/>
        <v>5</v>
      </c>
    </row>
    <row r="1728" customHeight="1" spans="1:45">
      <c r="A1728" s="3" t="str">
        <f>IF(对接源_02物料!$C528="","",对接源_02物料!$C528)</f>
        <v/>
      </c>
      <c r="B1728" s="3">
        <f t="shared" si="452"/>
        <v>0</v>
      </c>
      <c r="C1728" s="3">
        <f t="shared" si="453"/>
        <v>21</v>
      </c>
      <c r="K1728" s="3">
        <f>IF(OR($K$1="",对接源_02物料!$C528="",对接源_02物料!$C528&lt;&gt;$K$1,对接源_02物料!$B528=""),0,IF(OR(N(对接源_02物料!$B528)&lt;$K$2,N(对接源_02物料!$B528)&gt;$K$3),0,1))</f>
        <v>0</v>
      </c>
      <c r="L1728" s="3">
        <f>IF(OR($L$1="",对接源_02物料!$C528="",对接源_02物料!$C528&lt;&gt;$L$1,对接源_02物料!$B528=""),0,IF(OR(N(对接源_02物料!$B528)&lt;$L$2,N(对接源_02物料!$B528)&gt;$L$3),0,1))</f>
        <v>0</v>
      </c>
      <c r="M1728" s="3">
        <f>IF(OR($M$1="",对接源_02物料!$C528="",对接源_02物料!$C528&lt;&gt;$M$1,对接源_02物料!$B528=""),0,IF(OR(N(对接源_02物料!$B528)&lt;$M$2,N(对接源_02物料!$B528)&gt;$M$3),0,1))</f>
        <v>0</v>
      </c>
      <c r="N1728" s="3">
        <f>IF(OR($N$1="",对接源_02物料!$C528="",对接源_02物料!$C528&lt;&gt;$N$1,对接源_02物料!$B528=""),0,IF(OR(N(对接源_02物料!$B528)&lt;$N$2,N(对接源_02物料!$B528)&gt;$N$3),0,1))</f>
        <v>0</v>
      </c>
      <c r="P1728" s="3">
        <f>IF(AND($K1728=1,AND(对接源_02物料!$X528="公司筐",N(对接源_02物料!$T528)&lt;&gt;0)),1,0)</f>
        <v>0</v>
      </c>
      <c r="Q1728" s="3">
        <f t="shared" si="454"/>
        <v>8</v>
      </c>
      <c r="R1728" s="3">
        <f>IF(AND($K1728=1,AND(对接源_02物料!$X528="公司筐",N(对接源_02物料!$U528)&lt;&gt;0)),1,0)</f>
        <v>0</v>
      </c>
      <c r="S1728" s="3">
        <f t="shared" si="455"/>
        <v>0</v>
      </c>
      <c r="T1728" s="3">
        <f>IF(AND($K1728=1,AND(对接源_02物料!$X528="公司筐",N(对接源_02物料!$V528)&lt;&gt;0)),1,0)</f>
        <v>0</v>
      </c>
      <c r="U1728" s="3">
        <f t="shared" si="456"/>
        <v>19</v>
      </c>
      <c r="V1728" s="3">
        <f>IF(AND($L1728=1,AND(对接源_02物料!$X528="自备筐",N(对接源_02物料!$V528)&lt;&gt;0)),1,0)</f>
        <v>0</v>
      </c>
      <c r="W1728" s="3">
        <f t="shared" si="457"/>
        <v>8</v>
      </c>
      <c r="X1728" s="3">
        <f>IF(AND($L1728=1,AND(对接源_02物料!$X528="自备筐",N(对接源_02物料!$T528)&lt;&gt;0)),1,0)</f>
        <v>0</v>
      </c>
      <c r="Y1728" s="3">
        <f t="shared" si="458"/>
        <v>0</v>
      </c>
      <c r="Z1728" s="3">
        <f>IF(AND($M1728=1,对接源_02物料!$D528="原料入库"),1,0)</f>
        <v>0</v>
      </c>
      <c r="AA1728" s="3">
        <f t="shared" si="459"/>
        <v>24</v>
      </c>
      <c r="AB1728" s="3">
        <f>IF(AND($M1728=1,LEFT(对接源_02物料!$D528,4)="原料出库"),1,0)</f>
        <v>0</v>
      </c>
      <c r="AC1728" s="3">
        <f t="shared" si="460"/>
        <v>0</v>
      </c>
      <c r="AD1728" s="3">
        <f>IF(AND($M1728=1,LEFT(对接源_02物料!$D528,4)="成品出库"),1,0)</f>
        <v>0</v>
      </c>
      <c r="AE1728" s="3">
        <f t="shared" si="461"/>
        <v>0</v>
      </c>
      <c r="AF1728" s="3">
        <f>IF(AND($N1728=1,AND(LEFT(对接源_02物料!$D528,4)="包装物料",N(对接源_02物料!$K528)&lt;&gt;0)),1,0)</f>
        <v>0</v>
      </c>
      <c r="AG1728" s="3">
        <f t="shared" si="462"/>
        <v>5</v>
      </c>
      <c r="AH1728" s="3">
        <f>IF(AND($N1728=1,AND(对接源_02物料!$D528="周转筐－销售出库",N(对接源_02物料!$K528)&lt;&gt;0)),1,0)</f>
        <v>0</v>
      </c>
      <c r="AI1728" s="3">
        <f t="shared" si="463"/>
        <v>0</v>
      </c>
      <c r="AL1728" s="3">
        <v>0</v>
      </c>
      <c r="AM1728" s="3">
        <f t="shared" si="464"/>
        <v>1</v>
      </c>
      <c r="AN1728" s="3" t="str">
        <f t="shared" si="468"/>
        <v/>
      </c>
      <c r="AO1728" s="3">
        <v>0</v>
      </c>
      <c r="AP1728" s="3">
        <f t="shared" si="465"/>
        <v>8</v>
      </c>
      <c r="AR1728">
        <f t="shared" si="466"/>
        <v>0</v>
      </c>
      <c r="AS1728">
        <f t="shared" si="467"/>
        <v>5</v>
      </c>
    </row>
    <row r="1729" customHeight="1" spans="1:45">
      <c r="A1729" s="3" t="str">
        <f>IF(对接源_02物料!$C529="","",对接源_02物料!$C529)</f>
        <v/>
      </c>
      <c r="B1729" s="3">
        <f t="shared" si="452"/>
        <v>0</v>
      </c>
      <c r="C1729" s="3">
        <f t="shared" si="453"/>
        <v>21</v>
      </c>
      <c r="K1729" s="3">
        <f>IF(OR($K$1="",对接源_02物料!$C529="",对接源_02物料!$C529&lt;&gt;$K$1,对接源_02物料!$B529=""),0,IF(OR(N(对接源_02物料!$B529)&lt;$K$2,N(对接源_02物料!$B529)&gt;$K$3),0,1))</f>
        <v>0</v>
      </c>
      <c r="L1729" s="3">
        <f>IF(OR($L$1="",对接源_02物料!$C529="",对接源_02物料!$C529&lt;&gt;$L$1,对接源_02物料!$B529=""),0,IF(OR(N(对接源_02物料!$B529)&lt;$L$2,N(对接源_02物料!$B529)&gt;$L$3),0,1))</f>
        <v>0</v>
      </c>
      <c r="M1729" s="3">
        <f>IF(OR($M$1="",对接源_02物料!$C529="",对接源_02物料!$C529&lt;&gt;$M$1,对接源_02物料!$B529=""),0,IF(OR(N(对接源_02物料!$B529)&lt;$M$2,N(对接源_02物料!$B529)&gt;$M$3),0,1))</f>
        <v>0</v>
      </c>
      <c r="N1729" s="3">
        <f>IF(OR($N$1="",对接源_02物料!$C529="",对接源_02物料!$C529&lt;&gt;$N$1,对接源_02物料!$B529=""),0,IF(OR(N(对接源_02物料!$B529)&lt;$N$2,N(对接源_02物料!$B529)&gt;$N$3),0,1))</f>
        <v>0</v>
      </c>
      <c r="P1729" s="3">
        <f>IF(AND($K1729=1,AND(对接源_02物料!$X529="公司筐",N(对接源_02物料!$T529)&lt;&gt;0)),1,0)</f>
        <v>0</v>
      </c>
      <c r="Q1729" s="3">
        <f t="shared" si="454"/>
        <v>8</v>
      </c>
      <c r="R1729" s="3">
        <f>IF(AND($K1729=1,AND(对接源_02物料!$X529="公司筐",N(对接源_02物料!$U529)&lt;&gt;0)),1,0)</f>
        <v>0</v>
      </c>
      <c r="S1729" s="3">
        <f t="shared" si="455"/>
        <v>0</v>
      </c>
      <c r="T1729" s="3">
        <f>IF(AND($K1729=1,AND(对接源_02物料!$X529="公司筐",N(对接源_02物料!$V529)&lt;&gt;0)),1,0)</f>
        <v>0</v>
      </c>
      <c r="U1729" s="3">
        <f t="shared" si="456"/>
        <v>19</v>
      </c>
      <c r="V1729" s="3">
        <f>IF(AND($L1729=1,AND(对接源_02物料!$X529="自备筐",N(对接源_02物料!$V529)&lt;&gt;0)),1,0)</f>
        <v>0</v>
      </c>
      <c r="W1729" s="3">
        <f t="shared" si="457"/>
        <v>8</v>
      </c>
      <c r="X1729" s="3">
        <f>IF(AND($L1729=1,AND(对接源_02物料!$X529="自备筐",N(对接源_02物料!$T529)&lt;&gt;0)),1,0)</f>
        <v>0</v>
      </c>
      <c r="Y1729" s="3">
        <f t="shared" si="458"/>
        <v>0</v>
      </c>
      <c r="Z1729" s="3">
        <f>IF(AND($M1729=1,对接源_02物料!$D529="原料入库"),1,0)</f>
        <v>0</v>
      </c>
      <c r="AA1729" s="3">
        <f t="shared" si="459"/>
        <v>24</v>
      </c>
      <c r="AB1729" s="3">
        <f>IF(AND($M1729=1,LEFT(对接源_02物料!$D529,4)="原料出库"),1,0)</f>
        <v>0</v>
      </c>
      <c r="AC1729" s="3">
        <f t="shared" si="460"/>
        <v>0</v>
      </c>
      <c r="AD1729" s="3">
        <f>IF(AND($M1729=1,LEFT(对接源_02物料!$D529,4)="成品出库"),1,0)</f>
        <v>0</v>
      </c>
      <c r="AE1729" s="3">
        <f t="shared" si="461"/>
        <v>0</v>
      </c>
      <c r="AF1729" s="3">
        <f>IF(AND($N1729=1,AND(LEFT(对接源_02物料!$D529,4)="包装物料",N(对接源_02物料!$K529)&lt;&gt;0)),1,0)</f>
        <v>0</v>
      </c>
      <c r="AG1729" s="3">
        <f t="shared" si="462"/>
        <v>5</v>
      </c>
      <c r="AH1729" s="3">
        <f>IF(AND($N1729=1,AND(对接源_02物料!$D529="周转筐－销售出库",N(对接源_02物料!$K529)&lt;&gt;0)),1,0)</f>
        <v>0</v>
      </c>
      <c r="AI1729" s="3">
        <f t="shared" si="463"/>
        <v>0</v>
      </c>
      <c r="AL1729" s="3">
        <v>0</v>
      </c>
      <c r="AM1729" s="3">
        <f t="shared" si="464"/>
        <v>1</v>
      </c>
      <c r="AN1729" s="3" t="str">
        <f t="shared" si="468"/>
        <v/>
      </c>
      <c r="AO1729" s="3">
        <v>0</v>
      </c>
      <c r="AP1729" s="3">
        <f t="shared" si="465"/>
        <v>8</v>
      </c>
      <c r="AR1729">
        <f t="shared" si="466"/>
        <v>0</v>
      </c>
      <c r="AS1729">
        <f t="shared" si="467"/>
        <v>5</v>
      </c>
    </row>
    <row r="1730" customHeight="1" spans="1:45">
      <c r="A1730" s="3" t="str">
        <f>IF(对接源_02物料!$C530="","",对接源_02物料!$C530)</f>
        <v/>
      </c>
      <c r="B1730" s="3">
        <f t="shared" si="452"/>
        <v>0</v>
      </c>
      <c r="C1730" s="3">
        <f t="shared" si="453"/>
        <v>21</v>
      </c>
      <c r="K1730" s="3">
        <f>IF(OR($K$1="",对接源_02物料!$C530="",对接源_02物料!$C530&lt;&gt;$K$1,对接源_02物料!$B530=""),0,IF(OR(N(对接源_02物料!$B530)&lt;$K$2,N(对接源_02物料!$B530)&gt;$K$3),0,1))</f>
        <v>0</v>
      </c>
      <c r="L1730" s="3">
        <f>IF(OR($L$1="",对接源_02物料!$C530="",对接源_02物料!$C530&lt;&gt;$L$1,对接源_02物料!$B530=""),0,IF(OR(N(对接源_02物料!$B530)&lt;$L$2,N(对接源_02物料!$B530)&gt;$L$3),0,1))</f>
        <v>0</v>
      </c>
      <c r="M1730" s="3">
        <f>IF(OR($M$1="",对接源_02物料!$C530="",对接源_02物料!$C530&lt;&gt;$M$1,对接源_02物料!$B530=""),0,IF(OR(N(对接源_02物料!$B530)&lt;$M$2,N(对接源_02物料!$B530)&gt;$M$3),0,1))</f>
        <v>0</v>
      </c>
      <c r="N1730" s="3">
        <f>IF(OR($N$1="",对接源_02物料!$C530="",对接源_02物料!$C530&lt;&gt;$N$1,对接源_02物料!$B530=""),0,IF(OR(N(对接源_02物料!$B530)&lt;$N$2,N(对接源_02物料!$B530)&gt;$N$3),0,1))</f>
        <v>0</v>
      </c>
      <c r="P1730" s="3">
        <f>IF(AND($K1730=1,AND(对接源_02物料!$X530="公司筐",N(对接源_02物料!$T530)&lt;&gt;0)),1,0)</f>
        <v>0</v>
      </c>
      <c r="Q1730" s="3">
        <f t="shared" si="454"/>
        <v>8</v>
      </c>
      <c r="R1730" s="3">
        <f>IF(AND($K1730=1,AND(对接源_02物料!$X530="公司筐",N(对接源_02物料!$U530)&lt;&gt;0)),1,0)</f>
        <v>0</v>
      </c>
      <c r="S1730" s="3">
        <f t="shared" si="455"/>
        <v>0</v>
      </c>
      <c r="T1730" s="3">
        <f>IF(AND($K1730=1,AND(对接源_02物料!$X530="公司筐",N(对接源_02物料!$V530)&lt;&gt;0)),1,0)</f>
        <v>0</v>
      </c>
      <c r="U1730" s="3">
        <f t="shared" si="456"/>
        <v>19</v>
      </c>
      <c r="V1730" s="3">
        <f>IF(AND($L1730=1,AND(对接源_02物料!$X530="自备筐",N(对接源_02物料!$V530)&lt;&gt;0)),1,0)</f>
        <v>0</v>
      </c>
      <c r="W1730" s="3">
        <f t="shared" si="457"/>
        <v>8</v>
      </c>
      <c r="X1730" s="3">
        <f>IF(AND($L1730=1,AND(对接源_02物料!$X530="自备筐",N(对接源_02物料!$T530)&lt;&gt;0)),1,0)</f>
        <v>0</v>
      </c>
      <c r="Y1730" s="3">
        <f t="shared" si="458"/>
        <v>0</v>
      </c>
      <c r="Z1730" s="3">
        <f>IF(AND($M1730=1,对接源_02物料!$D530="原料入库"),1,0)</f>
        <v>0</v>
      </c>
      <c r="AA1730" s="3">
        <f t="shared" si="459"/>
        <v>24</v>
      </c>
      <c r="AB1730" s="3">
        <f>IF(AND($M1730=1,LEFT(对接源_02物料!$D530,4)="原料出库"),1,0)</f>
        <v>0</v>
      </c>
      <c r="AC1730" s="3">
        <f t="shared" si="460"/>
        <v>0</v>
      </c>
      <c r="AD1730" s="3">
        <f>IF(AND($M1730=1,LEFT(对接源_02物料!$D530,4)="成品出库"),1,0)</f>
        <v>0</v>
      </c>
      <c r="AE1730" s="3">
        <f t="shared" si="461"/>
        <v>0</v>
      </c>
      <c r="AF1730" s="3">
        <f>IF(AND($N1730=1,AND(LEFT(对接源_02物料!$D530,4)="包装物料",N(对接源_02物料!$K530)&lt;&gt;0)),1,0)</f>
        <v>0</v>
      </c>
      <c r="AG1730" s="3">
        <f t="shared" si="462"/>
        <v>5</v>
      </c>
      <c r="AH1730" s="3">
        <f>IF(AND($N1730=1,AND(对接源_02物料!$D530="周转筐－销售出库",N(对接源_02物料!$K530)&lt;&gt;0)),1,0)</f>
        <v>0</v>
      </c>
      <c r="AI1730" s="3">
        <f t="shared" si="463"/>
        <v>0</v>
      </c>
      <c r="AL1730" s="3">
        <v>0</v>
      </c>
      <c r="AM1730" s="3">
        <f t="shared" si="464"/>
        <v>1</v>
      </c>
      <c r="AN1730" s="3" t="str">
        <f t="shared" si="468"/>
        <v/>
      </c>
      <c r="AO1730" s="3">
        <v>0</v>
      </c>
      <c r="AP1730" s="3">
        <f t="shared" si="465"/>
        <v>8</v>
      </c>
      <c r="AR1730">
        <f t="shared" si="466"/>
        <v>0</v>
      </c>
      <c r="AS1730">
        <f t="shared" si="467"/>
        <v>5</v>
      </c>
    </row>
    <row r="1731" customHeight="1" spans="1:45">
      <c r="A1731" s="3" t="str">
        <f>IF(对接源_02物料!$C531="","",对接源_02物料!$C531)</f>
        <v/>
      </c>
      <c r="B1731" s="3">
        <f t="shared" si="452"/>
        <v>0</v>
      </c>
      <c r="C1731" s="3">
        <f t="shared" si="453"/>
        <v>21</v>
      </c>
      <c r="K1731" s="3">
        <f>IF(OR($K$1="",对接源_02物料!$C531="",对接源_02物料!$C531&lt;&gt;$K$1,对接源_02物料!$B531=""),0,IF(OR(N(对接源_02物料!$B531)&lt;$K$2,N(对接源_02物料!$B531)&gt;$K$3),0,1))</f>
        <v>0</v>
      </c>
      <c r="L1731" s="3">
        <f>IF(OR($L$1="",对接源_02物料!$C531="",对接源_02物料!$C531&lt;&gt;$L$1,对接源_02物料!$B531=""),0,IF(OR(N(对接源_02物料!$B531)&lt;$L$2,N(对接源_02物料!$B531)&gt;$L$3),0,1))</f>
        <v>0</v>
      </c>
      <c r="M1731" s="3">
        <f>IF(OR($M$1="",对接源_02物料!$C531="",对接源_02物料!$C531&lt;&gt;$M$1,对接源_02物料!$B531=""),0,IF(OR(N(对接源_02物料!$B531)&lt;$M$2,N(对接源_02物料!$B531)&gt;$M$3),0,1))</f>
        <v>0</v>
      </c>
      <c r="N1731" s="3">
        <f>IF(OR($N$1="",对接源_02物料!$C531="",对接源_02物料!$C531&lt;&gt;$N$1,对接源_02物料!$B531=""),0,IF(OR(N(对接源_02物料!$B531)&lt;$N$2,N(对接源_02物料!$B531)&gt;$N$3),0,1))</f>
        <v>0</v>
      </c>
      <c r="P1731" s="3">
        <f>IF(AND($K1731=1,AND(对接源_02物料!$X531="公司筐",N(对接源_02物料!$T531)&lt;&gt;0)),1,0)</f>
        <v>0</v>
      </c>
      <c r="Q1731" s="3">
        <f t="shared" si="454"/>
        <v>8</v>
      </c>
      <c r="R1731" s="3">
        <f>IF(AND($K1731=1,AND(对接源_02物料!$X531="公司筐",N(对接源_02物料!$U531)&lt;&gt;0)),1,0)</f>
        <v>0</v>
      </c>
      <c r="S1731" s="3">
        <f t="shared" si="455"/>
        <v>0</v>
      </c>
      <c r="T1731" s="3">
        <f>IF(AND($K1731=1,AND(对接源_02物料!$X531="公司筐",N(对接源_02物料!$V531)&lt;&gt;0)),1,0)</f>
        <v>0</v>
      </c>
      <c r="U1731" s="3">
        <f t="shared" si="456"/>
        <v>19</v>
      </c>
      <c r="V1731" s="3">
        <f>IF(AND($L1731=1,AND(对接源_02物料!$X531="自备筐",N(对接源_02物料!$V531)&lt;&gt;0)),1,0)</f>
        <v>0</v>
      </c>
      <c r="W1731" s="3">
        <f t="shared" si="457"/>
        <v>8</v>
      </c>
      <c r="X1731" s="3">
        <f>IF(AND($L1731=1,AND(对接源_02物料!$X531="自备筐",N(对接源_02物料!$T531)&lt;&gt;0)),1,0)</f>
        <v>0</v>
      </c>
      <c r="Y1731" s="3">
        <f t="shared" si="458"/>
        <v>0</v>
      </c>
      <c r="Z1731" s="3">
        <f>IF(AND($M1731=1,对接源_02物料!$D531="原料入库"),1,0)</f>
        <v>0</v>
      </c>
      <c r="AA1731" s="3">
        <f t="shared" si="459"/>
        <v>24</v>
      </c>
      <c r="AB1731" s="3">
        <f>IF(AND($M1731=1,LEFT(对接源_02物料!$D531,4)="原料出库"),1,0)</f>
        <v>0</v>
      </c>
      <c r="AC1731" s="3">
        <f t="shared" si="460"/>
        <v>0</v>
      </c>
      <c r="AD1731" s="3">
        <f>IF(AND($M1731=1,LEFT(对接源_02物料!$D531,4)="成品出库"),1,0)</f>
        <v>0</v>
      </c>
      <c r="AE1731" s="3">
        <f t="shared" si="461"/>
        <v>0</v>
      </c>
      <c r="AF1731" s="3">
        <f>IF(AND($N1731=1,AND(LEFT(对接源_02物料!$D531,4)="包装物料",N(对接源_02物料!$K531)&lt;&gt;0)),1,0)</f>
        <v>0</v>
      </c>
      <c r="AG1731" s="3">
        <f t="shared" si="462"/>
        <v>5</v>
      </c>
      <c r="AH1731" s="3">
        <f>IF(AND($N1731=1,AND(对接源_02物料!$D531="周转筐－销售出库",N(对接源_02物料!$K531)&lt;&gt;0)),1,0)</f>
        <v>0</v>
      </c>
      <c r="AI1731" s="3">
        <f t="shared" si="463"/>
        <v>0</v>
      </c>
      <c r="AL1731" s="3">
        <v>0</v>
      </c>
      <c r="AM1731" s="3">
        <f t="shared" si="464"/>
        <v>1</v>
      </c>
      <c r="AN1731" s="3" t="str">
        <f t="shared" si="468"/>
        <v/>
      </c>
      <c r="AO1731" s="3">
        <v>0</v>
      </c>
      <c r="AP1731" s="3">
        <f t="shared" si="465"/>
        <v>8</v>
      </c>
      <c r="AR1731">
        <f t="shared" si="466"/>
        <v>0</v>
      </c>
      <c r="AS1731">
        <f t="shared" si="467"/>
        <v>5</v>
      </c>
    </row>
    <row r="1732" customHeight="1" spans="1:45">
      <c r="A1732" s="3" t="str">
        <f>IF(对接源_02物料!$C532="","",对接源_02物料!$C532)</f>
        <v/>
      </c>
      <c r="B1732" s="3">
        <f t="shared" ref="B1732:B1795" si="469">IF(A1732="",0,IF(MATCH(A1732,$A$4:$A$2403,0)=ROW()-3,1,0))</f>
        <v>0</v>
      </c>
      <c r="C1732" s="3">
        <f t="shared" ref="C1732:C1795" si="470">N(C1731)+B1732</f>
        <v>21</v>
      </c>
      <c r="K1732" s="3">
        <f>IF(OR($K$1="",对接源_02物料!$C532="",对接源_02物料!$C532&lt;&gt;$K$1,对接源_02物料!$B532=""),0,IF(OR(N(对接源_02物料!$B532)&lt;$K$2,N(对接源_02物料!$B532)&gt;$K$3),0,1))</f>
        <v>0</v>
      </c>
      <c r="L1732" s="3">
        <f>IF(OR($L$1="",对接源_02物料!$C532="",对接源_02物料!$C532&lt;&gt;$L$1,对接源_02物料!$B532=""),0,IF(OR(N(对接源_02物料!$B532)&lt;$L$2,N(对接源_02物料!$B532)&gt;$L$3),0,1))</f>
        <v>0</v>
      </c>
      <c r="M1732" s="3">
        <f>IF(OR($M$1="",对接源_02物料!$C532="",对接源_02物料!$C532&lt;&gt;$M$1,对接源_02物料!$B532=""),0,IF(OR(N(对接源_02物料!$B532)&lt;$M$2,N(对接源_02物料!$B532)&gt;$M$3),0,1))</f>
        <v>0</v>
      </c>
      <c r="N1732" s="3">
        <f>IF(OR($N$1="",对接源_02物料!$C532="",对接源_02物料!$C532&lt;&gt;$N$1,对接源_02物料!$B532=""),0,IF(OR(N(对接源_02物料!$B532)&lt;$N$2,N(对接源_02物料!$B532)&gt;$N$3),0,1))</f>
        <v>0</v>
      </c>
      <c r="P1732" s="3">
        <f>IF(AND($K1732=1,AND(对接源_02物料!$X532="公司筐",N(对接源_02物料!$T532)&lt;&gt;0)),1,0)</f>
        <v>0</v>
      </c>
      <c r="Q1732" s="3">
        <f t="shared" ref="Q1732:Q1795" si="471">N(Q1731)+$P1732</f>
        <v>8</v>
      </c>
      <c r="R1732" s="3">
        <f>IF(AND($K1732=1,AND(对接源_02物料!$X532="公司筐",N(对接源_02物料!$U532)&lt;&gt;0)),1,0)</f>
        <v>0</v>
      </c>
      <c r="S1732" s="3">
        <f t="shared" ref="S1732:S1795" si="472">N(S1731)+$R1732</f>
        <v>0</v>
      </c>
      <c r="T1732" s="3">
        <f>IF(AND($K1732=1,AND(对接源_02物料!$X532="公司筐",N(对接源_02物料!$V532)&lt;&gt;0)),1,0)</f>
        <v>0</v>
      </c>
      <c r="U1732" s="3">
        <f t="shared" ref="U1732:U1795" si="473">N(U1731)+$T1732</f>
        <v>19</v>
      </c>
      <c r="V1732" s="3">
        <f>IF(AND($L1732=1,AND(对接源_02物料!$X532="自备筐",N(对接源_02物料!$V532)&lt;&gt;0)),1,0)</f>
        <v>0</v>
      </c>
      <c r="W1732" s="3">
        <f t="shared" ref="W1732:W1795" si="474">N(W1731)+$V1732</f>
        <v>8</v>
      </c>
      <c r="X1732" s="3">
        <f>IF(AND($L1732=1,AND(对接源_02物料!$X532="自备筐",N(对接源_02物料!$T532)&lt;&gt;0)),1,0)</f>
        <v>0</v>
      </c>
      <c r="Y1732" s="3">
        <f t="shared" ref="Y1732:Y1795" si="475">N(Y1731)+$X1732</f>
        <v>0</v>
      </c>
      <c r="Z1732" s="3">
        <f>IF(AND($M1732=1,对接源_02物料!$D532="原料入库"),1,0)</f>
        <v>0</v>
      </c>
      <c r="AA1732" s="3">
        <f t="shared" ref="AA1732:AA1795" si="476">N(AA1731)+$Z1732</f>
        <v>24</v>
      </c>
      <c r="AB1732" s="3">
        <f>IF(AND($M1732=1,LEFT(对接源_02物料!$D532,4)="原料出库"),1,0)</f>
        <v>0</v>
      </c>
      <c r="AC1732" s="3">
        <f t="shared" ref="AC1732:AC1795" si="477">N(AC1731)+$AB1732</f>
        <v>0</v>
      </c>
      <c r="AD1732" s="3">
        <f>IF(AND($M1732=1,LEFT(对接源_02物料!$D532,4)="成品出库"),1,0)</f>
        <v>0</v>
      </c>
      <c r="AE1732" s="3">
        <f t="shared" ref="AE1732:AE1795" si="478">N(AE1731)+$AD1732</f>
        <v>0</v>
      </c>
      <c r="AF1732" s="3">
        <f>IF(AND($N1732=1,AND(LEFT(对接源_02物料!$D532,4)="包装物料",N(对接源_02物料!$K532)&lt;&gt;0)),1,0)</f>
        <v>0</v>
      </c>
      <c r="AG1732" s="3">
        <f t="shared" ref="AG1732:AG1795" si="479">N(AG1731)+$AF1732</f>
        <v>5</v>
      </c>
      <c r="AH1732" s="3">
        <f>IF(AND($N1732=1,AND(对接源_02物料!$D532="周转筐－销售出库",N(对接源_02物料!$K532)&lt;&gt;0)),1,0)</f>
        <v>0</v>
      </c>
      <c r="AI1732" s="3">
        <f t="shared" ref="AI1732:AI1795" si="480">N(AI1731)+$AH1732</f>
        <v>0</v>
      </c>
      <c r="AL1732" s="3">
        <v>0</v>
      </c>
      <c r="AM1732" s="3">
        <f t="shared" ref="AM1732:AM1795" si="481">N(AM1731)+$AL1732</f>
        <v>1</v>
      </c>
      <c r="AN1732" s="3" t="str">
        <f t="shared" si="468"/>
        <v/>
      </c>
      <c r="AO1732" s="3">
        <v>0</v>
      </c>
      <c r="AP1732" s="3">
        <f t="shared" ref="AP1732:AP1795" si="482">N(AP1731)+$AO1732</f>
        <v>8</v>
      </c>
      <c r="AR1732">
        <f t="shared" ref="AR1732:AR1795" si="483">IF(OR($AF1732=1,$AH1732=1),1,0)</f>
        <v>0</v>
      </c>
      <c r="AS1732">
        <f t="shared" ref="AS1732:AS1795" si="484">N(AS1731)+$AR1732</f>
        <v>5</v>
      </c>
    </row>
    <row r="1733" customHeight="1" spans="1:45">
      <c r="A1733" s="3" t="str">
        <f>IF(对接源_02物料!$C533="","",对接源_02物料!$C533)</f>
        <v/>
      </c>
      <c r="B1733" s="3">
        <f t="shared" si="469"/>
        <v>0</v>
      </c>
      <c r="C1733" s="3">
        <f t="shared" si="470"/>
        <v>21</v>
      </c>
      <c r="K1733" s="3">
        <f>IF(OR($K$1="",对接源_02物料!$C533="",对接源_02物料!$C533&lt;&gt;$K$1,对接源_02物料!$B533=""),0,IF(OR(N(对接源_02物料!$B533)&lt;$K$2,N(对接源_02物料!$B533)&gt;$K$3),0,1))</f>
        <v>0</v>
      </c>
      <c r="L1733" s="3">
        <f>IF(OR($L$1="",对接源_02物料!$C533="",对接源_02物料!$C533&lt;&gt;$L$1,对接源_02物料!$B533=""),0,IF(OR(N(对接源_02物料!$B533)&lt;$L$2,N(对接源_02物料!$B533)&gt;$L$3),0,1))</f>
        <v>0</v>
      </c>
      <c r="M1733" s="3">
        <f>IF(OR($M$1="",对接源_02物料!$C533="",对接源_02物料!$C533&lt;&gt;$M$1,对接源_02物料!$B533=""),0,IF(OR(N(对接源_02物料!$B533)&lt;$M$2,N(对接源_02物料!$B533)&gt;$M$3),0,1))</f>
        <v>0</v>
      </c>
      <c r="N1733" s="3">
        <f>IF(OR($N$1="",对接源_02物料!$C533="",对接源_02物料!$C533&lt;&gt;$N$1,对接源_02物料!$B533=""),0,IF(OR(N(对接源_02物料!$B533)&lt;$N$2,N(对接源_02物料!$B533)&gt;$N$3),0,1))</f>
        <v>0</v>
      </c>
      <c r="P1733" s="3">
        <f>IF(AND($K1733=1,AND(对接源_02物料!$X533="公司筐",N(对接源_02物料!$T533)&lt;&gt;0)),1,0)</f>
        <v>0</v>
      </c>
      <c r="Q1733" s="3">
        <f t="shared" si="471"/>
        <v>8</v>
      </c>
      <c r="R1733" s="3">
        <f>IF(AND($K1733=1,AND(对接源_02物料!$X533="公司筐",N(对接源_02物料!$U533)&lt;&gt;0)),1,0)</f>
        <v>0</v>
      </c>
      <c r="S1733" s="3">
        <f t="shared" si="472"/>
        <v>0</v>
      </c>
      <c r="T1733" s="3">
        <f>IF(AND($K1733=1,AND(对接源_02物料!$X533="公司筐",N(对接源_02物料!$V533)&lt;&gt;0)),1,0)</f>
        <v>0</v>
      </c>
      <c r="U1733" s="3">
        <f t="shared" si="473"/>
        <v>19</v>
      </c>
      <c r="V1733" s="3">
        <f>IF(AND($L1733=1,AND(对接源_02物料!$X533="自备筐",N(对接源_02物料!$V533)&lt;&gt;0)),1,0)</f>
        <v>0</v>
      </c>
      <c r="W1733" s="3">
        <f t="shared" si="474"/>
        <v>8</v>
      </c>
      <c r="X1733" s="3">
        <f>IF(AND($L1733=1,AND(对接源_02物料!$X533="自备筐",N(对接源_02物料!$T533)&lt;&gt;0)),1,0)</f>
        <v>0</v>
      </c>
      <c r="Y1733" s="3">
        <f t="shared" si="475"/>
        <v>0</v>
      </c>
      <c r="Z1733" s="3">
        <f>IF(AND($M1733=1,对接源_02物料!$D533="原料入库"),1,0)</f>
        <v>0</v>
      </c>
      <c r="AA1733" s="3">
        <f t="shared" si="476"/>
        <v>24</v>
      </c>
      <c r="AB1733" s="3">
        <f>IF(AND($M1733=1,LEFT(对接源_02物料!$D533,4)="原料出库"),1,0)</f>
        <v>0</v>
      </c>
      <c r="AC1733" s="3">
        <f t="shared" si="477"/>
        <v>0</v>
      </c>
      <c r="AD1733" s="3">
        <f>IF(AND($M1733=1,LEFT(对接源_02物料!$D533,4)="成品出库"),1,0)</f>
        <v>0</v>
      </c>
      <c r="AE1733" s="3">
        <f t="shared" si="478"/>
        <v>0</v>
      </c>
      <c r="AF1733" s="3">
        <f>IF(AND($N1733=1,AND(LEFT(对接源_02物料!$D533,4)="包装物料",N(对接源_02物料!$K533)&lt;&gt;0)),1,0)</f>
        <v>0</v>
      </c>
      <c r="AG1733" s="3">
        <f t="shared" si="479"/>
        <v>5</v>
      </c>
      <c r="AH1733" s="3">
        <f>IF(AND($N1733=1,AND(对接源_02物料!$D533="周转筐－销售出库",N(对接源_02物料!$K533)&lt;&gt;0)),1,0)</f>
        <v>0</v>
      </c>
      <c r="AI1733" s="3">
        <f t="shared" si="480"/>
        <v>0</v>
      </c>
      <c r="AL1733" s="3">
        <v>0</v>
      </c>
      <c r="AM1733" s="3">
        <f t="shared" si="481"/>
        <v>1</v>
      </c>
      <c r="AN1733" s="3" t="str">
        <f t="shared" si="468"/>
        <v/>
      </c>
      <c r="AO1733" s="3">
        <v>0</v>
      </c>
      <c r="AP1733" s="3">
        <f t="shared" si="482"/>
        <v>8</v>
      </c>
      <c r="AR1733">
        <f t="shared" si="483"/>
        <v>0</v>
      </c>
      <c r="AS1733">
        <f t="shared" si="484"/>
        <v>5</v>
      </c>
    </row>
    <row r="1734" customHeight="1" spans="1:45">
      <c r="A1734" s="3" t="str">
        <f>IF(对接源_02物料!$C534="","",对接源_02物料!$C534)</f>
        <v/>
      </c>
      <c r="B1734" s="3">
        <f t="shared" si="469"/>
        <v>0</v>
      </c>
      <c r="C1734" s="3">
        <f t="shared" si="470"/>
        <v>21</v>
      </c>
      <c r="K1734" s="3">
        <f>IF(OR($K$1="",对接源_02物料!$C534="",对接源_02物料!$C534&lt;&gt;$K$1,对接源_02物料!$B534=""),0,IF(OR(N(对接源_02物料!$B534)&lt;$K$2,N(对接源_02物料!$B534)&gt;$K$3),0,1))</f>
        <v>0</v>
      </c>
      <c r="L1734" s="3">
        <f>IF(OR($L$1="",对接源_02物料!$C534="",对接源_02物料!$C534&lt;&gt;$L$1,对接源_02物料!$B534=""),0,IF(OR(N(对接源_02物料!$B534)&lt;$L$2,N(对接源_02物料!$B534)&gt;$L$3),0,1))</f>
        <v>0</v>
      </c>
      <c r="M1734" s="3">
        <f>IF(OR($M$1="",对接源_02物料!$C534="",对接源_02物料!$C534&lt;&gt;$M$1,对接源_02物料!$B534=""),0,IF(OR(N(对接源_02物料!$B534)&lt;$M$2,N(对接源_02物料!$B534)&gt;$M$3),0,1))</f>
        <v>0</v>
      </c>
      <c r="N1734" s="3">
        <f>IF(OR($N$1="",对接源_02物料!$C534="",对接源_02物料!$C534&lt;&gt;$N$1,对接源_02物料!$B534=""),0,IF(OR(N(对接源_02物料!$B534)&lt;$N$2,N(对接源_02物料!$B534)&gt;$N$3),0,1))</f>
        <v>0</v>
      </c>
      <c r="P1734" s="3">
        <f>IF(AND($K1734=1,AND(对接源_02物料!$X534="公司筐",N(对接源_02物料!$T534)&lt;&gt;0)),1,0)</f>
        <v>0</v>
      </c>
      <c r="Q1734" s="3">
        <f t="shared" si="471"/>
        <v>8</v>
      </c>
      <c r="R1734" s="3">
        <f>IF(AND($K1734=1,AND(对接源_02物料!$X534="公司筐",N(对接源_02物料!$U534)&lt;&gt;0)),1,0)</f>
        <v>0</v>
      </c>
      <c r="S1734" s="3">
        <f t="shared" si="472"/>
        <v>0</v>
      </c>
      <c r="T1734" s="3">
        <f>IF(AND($K1734=1,AND(对接源_02物料!$X534="公司筐",N(对接源_02物料!$V534)&lt;&gt;0)),1,0)</f>
        <v>0</v>
      </c>
      <c r="U1734" s="3">
        <f t="shared" si="473"/>
        <v>19</v>
      </c>
      <c r="V1734" s="3">
        <f>IF(AND($L1734=1,AND(对接源_02物料!$X534="自备筐",N(对接源_02物料!$V534)&lt;&gt;0)),1,0)</f>
        <v>0</v>
      </c>
      <c r="W1734" s="3">
        <f t="shared" si="474"/>
        <v>8</v>
      </c>
      <c r="X1734" s="3">
        <f>IF(AND($L1734=1,AND(对接源_02物料!$X534="自备筐",N(对接源_02物料!$T534)&lt;&gt;0)),1,0)</f>
        <v>0</v>
      </c>
      <c r="Y1734" s="3">
        <f t="shared" si="475"/>
        <v>0</v>
      </c>
      <c r="Z1734" s="3">
        <f>IF(AND($M1734=1,对接源_02物料!$D534="原料入库"),1,0)</f>
        <v>0</v>
      </c>
      <c r="AA1734" s="3">
        <f t="shared" si="476"/>
        <v>24</v>
      </c>
      <c r="AB1734" s="3">
        <f>IF(AND($M1734=1,LEFT(对接源_02物料!$D534,4)="原料出库"),1,0)</f>
        <v>0</v>
      </c>
      <c r="AC1734" s="3">
        <f t="shared" si="477"/>
        <v>0</v>
      </c>
      <c r="AD1734" s="3">
        <f>IF(AND($M1734=1,LEFT(对接源_02物料!$D534,4)="成品出库"),1,0)</f>
        <v>0</v>
      </c>
      <c r="AE1734" s="3">
        <f t="shared" si="478"/>
        <v>0</v>
      </c>
      <c r="AF1734" s="3">
        <f>IF(AND($N1734=1,AND(LEFT(对接源_02物料!$D534,4)="包装物料",N(对接源_02物料!$K534)&lt;&gt;0)),1,0)</f>
        <v>0</v>
      </c>
      <c r="AG1734" s="3">
        <f t="shared" si="479"/>
        <v>5</v>
      </c>
      <c r="AH1734" s="3">
        <f>IF(AND($N1734=1,AND(对接源_02物料!$D534="周转筐－销售出库",N(对接源_02物料!$K534)&lt;&gt;0)),1,0)</f>
        <v>0</v>
      </c>
      <c r="AI1734" s="3">
        <f t="shared" si="480"/>
        <v>0</v>
      </c>
      <c r="AL1734" s="3">
        <v>0</v>
      </c>
      <c r="AM1734" s="3">
        <f t="shared" si="481"/>
        <v>1</v>
      </c>
      <c r="AN1734" s="3" t="str">
        <f t="shared" si="468"/>
        <v/>
      </c>
      <c r="AO1734" s="3">
        <v>0</v>
      </c>
      <c r="AP1734" s="3">
        <f t="shared" si="482"/>
        <v>8</v>
      </c>
      <c r="AR1734">
        <f t="shared" si="483"/>
        <v>0</v>
      </c>
      <c r="AS1734">
        <f t="shared" si="484"/>
        <v>5</v>
      </c>
    </row>
    <row r="1735" customHeight="1" spans="1:45">
      <c r="A1735" s="3" t="str">
        <f>IF(对接源_02物料!$C535="","",对接源_02物料!$C535)</f>
        <v/>
      </c>
      <c r="B1735" s="3">
        <f t="shared" si="469"/>
        <v>0</v>
      </c>
      <c r="C1735" s="3">
        <f t="shared" si="470"/>
        <v>21</v>
      </c>
      <c r="K1735" s="3">
        <f>IF(OR($K$1="",对接源_02物料!$C535="",对接源_02物料!$C535&lt;&gt;$K$1,对接源_02物料!$B535=""),0,IF(OR(N(对接源_02物料!$B535)&lt;$K$2,N(对接源_02物料!$B535)&gt;$K$3),0,1))</f>
        <v>0</v>
      </c>
      <c r="L1735" s="3">
        <f>IF(OR($L$1="",对接源_02物料!$C535="",对接源_02物料!$C535&lt;&gt;$L$1,对接源_02物料!$B535=""),0,IF(OR(N(对接源_02物料!$B535)&lt;$L$2,N(对接源_02物料!$B535)&gt;$L$3),0,1))</f>
        <v>0</v>
      </c>
      <c r="M1735" s="3">
        <f>IF(OR($M$1="",对接源_02物料!$C535="",对接源_02物料!$C535&lt;&gt;$M$1,对接源_02物料!$B535=""),0,IF(OR(N(对接源_02物料!$B535)&lt;$M$2,N(对接源_02物料!$B535)&gt;$M$3),0,1))</f>
        <v>0</v>
      </c>
      <c r="N1735" s="3">
        <f>IF(OR($N$1="",对接源_02物料!$C535="",对接源_02物料!$C535&lt;&gt;$N$1,对接源_02物料!$B535=""),0,IF(OR(N(对接源_02物料!$B535)&lt;$N$2,N(对接源_02物料!$B535)&gt;$N$3),0,1))</f>
        <v>0</v>
      </c>
      <c r="P1735" s="3">
        <f>IF(AND($K1735=1,AND(对接源_02物料!$X535="公司筐",N(对接源_02物料!$T535)&lt;&gt;0)),1,0)</f>
        <v>0</v>
      </c>
      <c r="Q1735" s="3">
        <f t="shared" si="471"/>
        <v>8</v>
      </c>
      <c r="R1735" s="3">
        <f>IF(AND($K1735=1,AND(对接源_02物料!$X535="公司筐",N(对接源_02物料!$U535)&lt;&gt;0)),1,0)</f>
        <v>0</v>
      </c>
      <c r="S1735" s="3">
        <f t="shared" si="472"/>
        <v>0</v>
      </c>
      <c r="T1735" s="3">
        <f>IF(AND($K1735=1,AND(对接源_02物料!$X535="公司筐",N(对接源_02物料!$V535)&lt;&gt;0)),1,0)</f>
        <v>0</v>
      </c>
      <c r="U1735" s="3">
        <f t="shared" si="473"/>
        <v>19</v>
      </c>
      <c r="V1735" s="3">
        <f>IF(AND($L1735=1,AND(对接源_02物料!$X535="自备筐",N(对接源_02物料!$V535)&lt;&gt;0)),1,0)</f>
        <v>0</v>
      </c>
      <c r="W1735" s="3">
        <f t="shared" si="474"/>
        <v>8</v>
      </c>
      <c r="X1735" s="3">
        <f>IF(AND($L1735=1,AND(对接源_02物料!$X535="自备筐",N(对接源_02物料!$T535)&lt;&gt;0)),1,0)</f>
        <v>0</v>
      </c>
      <c r="Y1735" s="3">
        <f t="shared" si="475"/>
        <v>0</v>
      </c>
      <c r="Z1735" s="3">
        <f>IF(AND($M1735=1,对接源_02物料!$D535="原料入库"),1,0)</f>
        <v>0</v>
      </c>
      <c r="AA1735" s="3">
        <f t="shared" si="476"/>
        <v>24</v>
      </c>
      <c r="AB1735" s="3">
        <f>IF(AND($M1735=1,LEFT(对接源_02物料!$D535,4)="原料出库"),1,0)</f>
        <v>0</v>
      </c>
      <c r="AC1735" s="3">
        <f t="shared" si="477"/>
        <v>0</v>
      </c>
      <c r="AD1735" s="3">
        <f>IF(AND($M1735=1,LEFT(对接源_02物料!$D535,4)="成品出库"),1,0)</f>
        <v>0</v>
      </c>
      <c r="AE1735" s="3">
        <f t="shared" si="478"/>
        <v>0</v>
      </c>
      <c r="AF1735" s="3">
        <f>IF(AND($N1735=1,AND(LEFT(对接源_02物料!$D535,4)="包装物料",N(对接源_02物料!$K535)&lt;&gt;0)),1,0)</f>
        <v>0</v>
      </c>
      <c r="AG1735" s="3">
        <f t="shared" si="479"/>
        <v>5</v>
      </c>
      <c r="AH1735" s="3">
        <f>IF(AND($N1735=1,AND(对接源_02物料!$D535="周转筐－销售出库",N(对接源_02物料!$K535)&lt;&gt;0)),1,0)</f>
        <v>0</v>
      </c>
      <c r="AI1735" s="3">
        <f t="shared" si="480"/>
        <v>0</v>
      </c>
      <c r="AL1735" s="3">
        <v>0</v>
      </c>
      <c r="AM1735" s="3">
        <f t="shared" si="481"/>
        <v>1</v>
      </c>
      <c r="AN1735" s="3" t="str">
        <f t="shared" si="468"/>
        <v/>
      </c>
      <c r="AO1735" s="3">
        <v>0</v>
      </c>
      <c r="AP1735" s="3">
        <f t="shared" si="482"/>
        <v>8</v>
      </c>
      <c r="AR1735">
        <f t="shared" si="483"/>
        <v>0</v>
      </c>
      <c r="AS1735">
        <f t="shared" si="484"/>
        <v>5</v>
      </c>
    </row>
    <row r="1736" customHeight="1" spans="1:45">
      <c r="A1736" s="3" t="str">
        <f>IF(对接源_02物料!$C536="","",对接源_02物料!$C536)</f>
        <v/>
      </c>
      <c r="B1736" s="3">
        <f t="shared" si="469"/>
        <v>0</v>
      </c>
      <c r="C1736" s="3">
        <f t="shared" si="470"/>
        <v>21</v>
      </c>
      <c r="K1736" s="3">
        <f>IF(OR($K$1="",对接源_02物料!$C536="",对接源_02物料!$C536&lt;&gt;$K$1,对接源_02物料!$B536=""),0,IF(OR(N(对接源_02物料!$B536)&lt;$K$2,N(对接源_02物料!$B536)&gt;$K$3),0,1))</f>
        <v>0</v>
      </c>
      <c r="L1736" s="3">
        <f>IF(OR($L$1="",对接源_02物料!$C536="",对接源_02物料!$C536&lt;&gt;$L$1,对接源_02物料!$B536=""),0,IF(OR(N(对接源_02物料!$B536)&lt;$L$2,N(对接源_02物料!$B536)&gt;$L$3),0,1))</f>
        <v>0</v>
      </c>
      <c r="M1736" s="3">
        <f>IF(OR($M$1="",对接源_02物料!$C536="",对接源_02物料!$C536&lt;&gt;$M$1,对接源_02物料!$B536=""),0,IF(OR(N(对接源_02物料!$B536)&lt;$M$2,N(对接源_02物料!$B536)&gt;$M$3),0,1))</f>
        <v>0</v>
      </c>
      <c r="N1736" s="3">
        <f>IF(OR($N$1="",对接源_02物料!$C536="",对接源_02物料!$C536&lt;&gt;$N$1,对接源_02物料!$B536=""),0,IF(OR(N(对接源_02物料!$B536)&lt;$N$2,N(对接源_02物料!$B536)&gt;$N$3),0,1))</f>
        <v>0</v>
      </c>
      <c r="P1736" s="3">
        <f>IF(AND($K1736=1,AND(对接源_02物料!$X536="公司筐",N(对接源_02物料!$T536)&lt;&gt;0)),1,0)</f>
        <v>0</v>
      </c>
      <c r="Q1736" s="3">
        <f t="shared" si="471"/>
        <v>8</v>
      </c>
      <c r="R1736" s="3">
        <f>IF(AND($K1736=1,AND(对接源_02物料!$X536="公司筐",N(对接源_02物料!$U536)&lt;&gt;0)),1,0)</f>
        <v>0</v>
      </c>
      <c r="S1736" s="3">
        <f t="shared" si="472"/>
        <v>0</v>
      </c>
      <c r="T1736" s="3">
        <f>IF(AND($K1736=1,AND(对接源_02物料!$X536="公司筐",N(对接源_02物料!$V536)&lt;&gt;0)),1,0)</f>
        <v>0</v>
      </c>
      <c r="U1736" s="3">
        <f t="shared" si="473"/>
        <v>19</v>
      </c>
      <c r="V1736" s="3">
        <f>IF(AND($L1736=1,AND(对接源_02物料!$X536="自备筐",N(对接源_02物料!$V536)&lt;&gt;0)),1,0)</f>
        <v>0</v>
      </c>
      <c r="W1736" s="3">
        <f t="shared" si="474"/>
        <v>8</v>
      </c>
      <c r="X1736" s="3">
        <f>IF(AND($L1736=1,AND(对接源_02物料!$X536="自备筐",N(对接源_02物料!$T536)&lt;&gt;0)),1,0)</f>
        <v>0</v>
      </c>
      <c r="Y1736" s="3">
        <f t="shared" si="475"/>
        <v>0</v>
      </c>
      <c r="Z1736" s="3">
        <f>IF(AND($M1736=1,对接源_02物料!$D536="原料入库"),1,0)</f>
        <v>0</v>
      </c>
      <c r="AA1736" s="3">
        <f t="shared" si="476"/>
        <v>24</v>
      </c>
      <c r="AB1736" s="3">
        <f>IF(AND($M1736=1,LEFT(对接源_02物料!$D536,4)="原料出库"),1,0)</f>
        <v>0</v>
      </c>
      <c r="AC1736" s="3">
        <f t="shared" si="477"/>
        <v>0</v>
      </c>
      <c r="AD1736" s="3">
        <f>IF(AND($M1736=1,LEFT(对接源_02物料!$D536,4)="成品出库"),1,0)</f>
        <v>0</v>
      </c>
      <c r="AE1736" s="3">
        <f t="shared" si="478"/>
        <v>0</v>
      </c>
      <c r="AF1736" s="3">
        <f>IF(AND($N1736=1,AND(LEFT(对接源_02物料!$D536,4)="包装物料",N(对接源_02物料!$K536)&lt;&gt;0)),1,0)</f>
        <v>0</v>
      </c>
      <c r="AG1736" s="3">
        <f t="shared" si="479"/>
        <v>5</v>
      </c>
      <c r="AH1736" s="3">
        <f>IF(AND($N1736=1,AND(对接源_02物料!$D536="周转筐－销售出库",N(对接源_02物料!$K536)&lt;&gt;0)),1,0)</f>
        <v>0</v>
      </c>
      <c r="AI1736" s="3">
        <f t="shared" si="480"/>
        <v>0</v>
      </c>
      <c r="AL1736" s="3">
        <v>0</v>
      </c>
      <c r="AM1736" s="3">
        <f t="shared" si="481"/>
        <v>1</v>
      </c>
      <c r="AN1736" s="3" t="str">
        <f t="shared" si="468"/>
        <v/>
      </c>
      <c r="AO1736" s="3">
        <v>0</v>
      </c>
      <c r="AP1736" s="3">
        <f t="shared" si="482"/>
        <v>8</v>
      </c>
      <c r="AR1736">
        <f t="shared" si="483"/>
        <v>0</v>
      </c>
      <c r="AS1736">
        <f t="shared" si="484"/>
        <v>5</v>
      </c>
    </row>
    <row r="1737" customHeight="1" spans="1:45">
      <c r="A1737" s="3" t="str">
        <f>IF(对接源_02物料!$C537="","",对接源_02物料!$C537)</f>
        <v/>
      </c>
      <c r="B1737" s="3">
        <f t="shared" si="469"/>
        <v>0</v>
      </c>
      <c r="C1737" s="3">
        <f t="shared" si="470"/>
        <v>21</v>
      </c>
      <c r="K1737" s="3">
        <f>IF(OR($K$1="",对接源_02物料!$C537="",对接源_02物料!$C537&lt;&gt;$K$1,对接源_02物料!$B537=""),0,IF(OR(N(对接源_02物料!$B537)&lt;$K$2,N(对接源_02物料!$B537)&gt;$K$3),0,1))</f>
        <v>0</v>
      </c>
      <c r="L1737" s="3">
        <f>IF(OR($L$1="",对接源_02物料!$C537="",对接源_02物料!$C537&lt;&gt;$L$1,对接源_02物料!$B537=""),0,IF(OR(N(对接源_02物料!$B537)&lt;$L$2,N(对接源_02物料!$B537)&gt;$L$3),0,1))</f>
        <v>0</v>
      </c>
      <c r="M1737" s="3">
        <f>IF(OR($M$1="",对接源_02物料!$C537="",对接源_02物料!$C537&lt;&gt;$M$1,对接源_02物料!$B537=""),0,IF(OR(N(对接源_02物料!$B537)&lt;$M$2,N(对接源_02物料!$B537)&gt;$M$3),0,1))</f>
        <v>0</v>
      </c>
      <c r="N1737" s="3">
        <f>IF(OR($N$1="",对接源_02物料!$C537="",对接源_02物料!$C537&lt;&gt;$N$1,对接源_02物料!$B537=""),0,IF(OR(N(对接源_02物料!$B537)&lt;$N$2,N(对接源_02物料!$B537)&gt;$N$3),0,1))</f>
        <v>0</v>
      </c>
      <c r="P1737" s="3">
        <f>IF(AND($K1737=1,AND(对接源_02物料!$X537="公司筐",N(对接源_02物料!$T537)&lt;&gt;0)),1,0)</f>
        <v>0</v>
      </c>
      <c r="Q1737" s="3">
        <f t="shared" si="471"/>
        <v>8</v>
      </c>
      <c r="R1737" s="3">
        <f>IF(AND($K1737=1,AND(对接源_02物料!$X537="公司筐",N(对接源_02物料!$U537)&lt;&gt;0)),1,0)</f>
        <v>0</v>
      </c>
      <c r="S1737" s="3">
        <f t="shared" si="472"/>
        <v>0</v>
      </c>
      <c r="T1737" s="3">
        <f>IF(AND($K1737=1,AND(对接源_02物料!$X537="公司筐",N(对接源_02物料!$V537)&lt;&gt;0)),1,0)</f>
        <v>0</v>
      </c>
      <c r="U1737" s="3">
        <f t="shared" si="473"/>
        <v>19</v>
      </c>
      <c r="V1737" s="3">
        <f>IF(AND($L1737=1,AND(对接源_02物料!$X537="自备筐",N(对接源_02物料!$V537)&lt;&gt;0)),1,0)</f>
        <v>0</v>
      </c>
      <c r="W1737" s="3">
        <f t="shared" si="474"/>
        <v>8</v>
      </c>
      <c r="X1737" s="3">
        <f>IF(AND($L1737=1,AND(对接源_02物料!$X537="自备筐",N(对接源_02物料!$T537)&lt;&gt;0)),1,0)</f>
        <v>0</v>
      </c>
      <c r="Y1737" s="3">
        <f t="shared" si="475"/>
        <v>0</v>
      </c>
      <c r="Z1737" s="3">
        <f>IF(AND($M1737=1,对接源_02物料!$D537="原料入库"),1,0)</f>
        <v>0</v>
      </c>
      <c r="AA1737" s="3">
        <f t="shared" si="476"/>
        <v>24</v>
      </c>
      <c r="AB1737" s="3">
        <f>IF(AND($M1737=1,LEFT(对接源_02物料!$D537,4)="原料出库"),1,0)</f>
        <v>0</v>
      </c>
      <c r="AC1737" s="3">
        <f t="shared" si="477"/>
        <v>0</v>
      </c>
      <c r="AD1737" s="3">
        <f>IF(AND($M1737=1,LEFT(对接源_02物料!$D537,4)="成品出库"),1,0)</f>
        <v>0</v>
      </c>
      <c r="AE1737" s="3">
        <f t="shared" si="478"/>
        <v>0</v>
      </c>
      <c r="AF1737" s="3">
        <f>IF(AND($N1737=1,AND(LEFT(对接源_02物料!$D537,4)="包装物料",N(对接源_02物料!$K537)&lt;&gt;0)),1,0)</f>
        <v>0</v>
      </c>
      <c r="AG1737" s="3">
        <f t="shared" si="479"/>
        <v>5</v>
      </c>
      <c r="AH1737" s="3">
        <f>IF(AND($N1737=1,AND(对接源_02物料!$D537="周转筐－销售出库",N(对接源_02物料!$K537)&lt;&gt;0)),1,0)</f>
        <v>0</v>
      </c>
      <c r="AI1737" s="3">
        <f t="shared" si="480"/>
        <v>0</v>
      </c>
      <c r="AL1737" s="3">
        <v>0</v>
      </c>
      <c r="AM1737" s="3">
        <f t="shared" si="481"/>
        <v>1</v>
      </c>
      <c r="AN1737" s="3" t="str">
        <f t="shared" si="468"/>
        <v/>
      </c>
      <c r="AO1737" s="3">
        <v>0</v>
      </c>
      <c r="AP1737" s="3">
        <f t="shared" si="482"/>
        <v>8</v>
      </c>
      <c r="AR1737">
        <f t="shared" si="483"/>
        <v>0</v>
      </c>
      <c r="AS1737">
        <f t="shared" si="484"/>
        <v>5</v>
      </c>
    </row>
    <row r="1738" customHeight="1" spans="1:45">
      <c r="A1738" s="3" t="str">
        <f>IF(对接源_02物料!$C538="","",对接源_02物料!$C538)</f>
        <v/>
      </c>
      <c r="B1738" s="3">
        <f t="shared" si="469"/>
        <v>0</v>
      </c>
      <c r="C1738" s="3">
        <f t="shared" si="470"/>
        <v>21</v>
      </c>
      <c r="K1738" s="3">
        <f>IF(OR($K$1="",对接源_02物料!$C538="",对接源_02物料!$C538&lt;&gt;$K$1,对接源_02物料!$B538=""),0,IF(OR(N(对接源_02物料!$B538)&lt;$K$2,N(对接源_02物料!$B538)&gt;$K$3),0,1))</f>
        <v>0</v>
      </c>
      <c r="L1738" s="3">
        <f>IF(OR($L$1="",对接源_02物料!$C538="",对接源_02物料!$C538&lt;&gt;$L$1,对接源_02物料!$B538=""),0,IF(OR(N(对接源_02物料!$B538)&lt;$L$2,N(对接源_02物料!$B538)&gt;$L$3),0,1))</f>
        <v>0</v>
      </c>
      <c r="M1738" s="3">
        <f>IF(OR($M$1="",对接源_02物料!$C538="",对接源_02物料!$C538&lt;&gt;$M$1,对接源_02物料!$B538=""),0,IF(OR(N(对接源_02物料!$B538)&lt;$M$2,N(对接源_02物料!$B538)&gt;$M$3),0,1))</f>
        <v>0</v>
      </c>
      <c r="N1738" s="3">
        <f>IF(OR($N$1="",对接源_02物料!$C538="",对接源_02物料!$C538&lt;&gt;$N$1,对接源_02物料!$B538=""),0,IF(OR(N(对接源_02物料!$B538)&lt;$N$2,N(对接源_02物料!$B538)&gt;$N$3),0,1))</f>
        <v>0</v>
      </c>
      <c r="P1738" s="3">
        <f>IF(AND($K1738=1,AND(对接源_02物料!$X538="公司筐",N(对接源_02物料!$T538)&lt;&gt;0)),1,0)</f>
        <v>0</v>
      </c>
      <c r="Q1738" s="3">
        <f t="shared" si="471"/>
        <v>8</v>
      </c>
      <c r="R1738" s="3">
        <f>IF(AND($K1738=1,AND(对接源_02物料!$X538="公司筐",N(对接源_02物料!$U538)&lt;&gt;0)),1,0)</f>
        <v>0</v>
      </c>
      <c r="S1738" s="3">
        <f t="shared" si="472"/>
        <v>0</v>
      </c>
      <c r="T1738" s="3">
        <f>IF(AND($K1738=1,AND(对接源_02物料!$X538="公司筐",N(对接源_02物料!$V538)&lt;&gt;0)),1,0)</f>
        <v>0</v>
      </c>
      <c r="U1738" s="3">
        <f t="shared" si="473"/>
        <v>19</v>
      </c>
      <c r="V1738" s="3">
        <f>IF(AND($L1738=1,AND(对接源_02物料!$X538="自备筐",N(对接源_02物料!$V538)&lt;&gt;0)),1,0)</f>
        <v>0</v>
      </c>
      <c r="W1738" s="3">
        <f t="shared" si="474"/>
        <v>8</v>
      </c>
      <c r="X1738" s="3">
        <f>IF(AND($L1738=1,AND(对接源_02物料!$X538="自备筐",N(对接源_02物料!$T538)&lt;&gt;0)),1,0)</f>
        <v>0</v>
      </c>
      <c r="Y1738" s="3">
        <f t="shared" si="475"/>
        <v>0</v>
      </c>
      <c r="Z1738" s="3">
        <f>IF(AND($M1738=1,对接源_02物料!$D538="原料入库"),1,0)</f>
        <v>0</v>
      </c>
      <c r="AA1738" s="3">
        <f t="shared" si="476"/>
        <v>24</v>
      </c>
      <c r="AB1738" s="3">
        <f>IF(AND($M1738=1,LEFT(对接源_02物料!$D538,4)="原料出库"),1,0)</f>
        <v>0</v>
      </c>
      <c r="AC1738" s="3">
        <f t="shared" si="477"/>
        <v>0</v>
      </c>
      <c r="AD1738" s="3">
        <f>IF(AND($M1738=1,LEFT(对接源_02物料!$D538,4)="成品出库"),1,0)</f>
        <v>0</v>
      </c>
      <c r="AE1738" s="3">
        <f t="shared" si="478"/>
        <v>0</v>
      </c>
      <c r="AF1738" s="3">
        <f>IF(AND($N1738=1,AND(LEFT(对接源_02物料!$D538,4)="包装物料",N(对接源_02物料!$K538)&lt;&gt;0)),1,0)</f>
        <v>0</v>
      </c>
      <c r="AG1738" s="3">
        <f t="shared" si="479"/>
        <v>5</v>
      </c>
      <c r="AH1738" s="3">
        <f>IF(AND($N1738=1,AND(对接源_02物料!$D538="周转筐－销售出库",N(对接源_02物料!$K538)&lt;&gt;0)),1,0)</f>
        <v>0</v>
      </c>
      <c r="AI1738" s="3">
        <f t="shared" si="480"/>
        <v>0</v>
      </c>
      <c r="AL1738" s="3">
        <v>0</v>
      </c>
      <c r="AM1738" s="3">
        <f t="shared" si="481"/>
        <v>1</v>
      </c>
      <c r="AN1738" s="3" t="str">
        <f t="shared" si="468"/>
        <v/>
      </c>
      <c r="AO1738" s="3">
        <v>0</v>
      </c>
      <c r="AP1738" s="3">
        <f t="shared" si="482"/>
        <v>8</v>
      </c>
      <c r="AR1738">
        <f t="shared" si="483"/>
        <v>0</v>
      </c>
      <c r="AS1738">
        <f t="shared" si="484"/>
        <v>5</v>
      </c>
    </row>
    <row r="1739" customHeight="1" spans="1:45">
      <c r="A1739" s="3" t="str">
        <f>IF(对接源_02物料!$C539="","",对接源_02物料!$C539)</f>
        <v/>
      </c>
      <c r="B1739" s="3">
        <f t="shared" si="469"/>
        <v>0</v>
      </c>
      <c r="C1739" s="3">
        <f t="shared" si="470"/>
        <v>21</v>
      </c>
      <c r="K1739" s="3">
        <f>IF(OR($K$1="",对接源_02物料!$C539="",对接源_02物料!$C539&lt;&gt;$K$1,对接源_02物料!$B539=""),0,IF(OR(N(对接源_02物料!$B539)&lt;$K$2,N(对接源_02物料!$B539)&gt;$K$3),0,1))</f>
        <v>0</v>
      </c>
      <c r="L1739" s="3">
        <f>IF(OR($L$1="",对接源_02物料!$C539="",对接源_02物料!$C539&lt;&gt;$L$1,对接源_02物料!$B539=""),0,IF(OR(N(对接源_02物料!$B539)&lt;$L$2,N(对接源_02物料!$B539)&gt;$L$3),0,1))</f>
        <v>0</v>
      </c>
      <c r="M1739" s="3">
        <f>IF(OR($M$1="",对接源_02物料!$C539="",对接源_02物料!$C539&lt;&gt;$M$1,对接源_02物料!$B539=""),0,IF(OR(N(对接源_02物料!$B539)&lt;$M$2,N(对接源_02物料!$B539)&gt;$M$3),0,1))</f>
        <v>0</v>
      </c>
      <c r="N1739" s="3">
        <f>IF(OR($N$1="",对接源_02物料!$C539="",对接源_02物料!$C539&lt;&gt;$N$1,对接源_02物料!$B539=""),0,IF(OR(N(对接源_02物料!$B539)&lt;$N$2,N(对接源_02物料!$B539)&gt;$N$3),0,1))</f>
        <v>0</v>
      </c>
      <c r="P1739" s="3">
        <f>IF(AND($K1739=1,AND(对接源_02物料!$X539="公司筐",N(对接源_02物料!$T539)&lt;&gt;0)),1,0)</f>
        <v>0</v>
      </c>
      <c r="Q1739" s="3">
        <f t="shared" si="471"/>
        <v>8</v>
      </c>
      <c r="R1739" s="3">
        <f>IF(AND($K1739=1,AND(对接源_02物料!$X539="公司筐",N(对接源_02物料!$U539)&lt;&gt;0)),1,0)</f>
        <v>0</v>
      </c>
      <c r="S1739" s="3">
        <f t="shared" si="472"/>
        <v>0</v>
      </c>
      <c r="T1739" s="3">
        <f>IF(AND($K1739=1,AND(对接源_02物料!$X539="公司筐",N(对接源_02物料!$V539)&lt;&gt;0)),1,0)</f>
        <v>0</v>
      </c>
      <c r="U1739" s="3">
        <f t="shared" si="473"/>
        <v>19</v>
      </c>
      <c r="V1739" s="3">
        <f>IF(AND($L1739=1,AND(对接源_02物料!$X539="自备筐",N(对接源_02物料!$V539)&lt;&gt;0)),1,0)</f>
        <v>0</v>
      </c>
      <c r="W1739" s="3">
        <f t="shared" si="474"/>
        <v>8</v>
      </c>
      <c r="X1739" s="3">
        <f>IF(AND($L1739=1,AND(对接源_02物料!$X539="自备筐",N(对接源_02物料!$T539)&lt;&gt;0)),1,0)</f>
        <v>0</v>
      </c>
      <c r="Y1739" s="3">
        <f t="shared" si="475"/>
        <v>0</v>
      </c>
      <c r="Z1739" s="3">
        <f>IF(AND($M1739=1,对接源_02物料!$D539="原料入库"),1,0)</f>
        <v>0</v>
      </c>
      <c r="AA1739" s="3">
        <f t="shared" si="476"/>
        <v>24</v>
      </c>
      <c r="AB1739" s="3">
        <f>IF(AND($M1739=1,LEFT(对接源_02物料!$D539,4)="原料出库"),1,0)</f>
        <v>0</v>
      </c>
      <c r="AC1739" s="3">
        <f t="shared" si="477"/>
        <v>0</v>
      </c>
      <c r="AD1739" s="3">
        <f>IF(AND($M1739=1,LEFT(对接源_02物料!$D539,4)="成品出库"),1,0)</f>
        <v>0</v>
      </c>
      <c r="AE1739" s="3">
        <f t="shared" si="478"/>
        <v>0</v>
      </c>
      <c r="AF1739" s="3">
        <f>IF(AND($N1739=1,AND(LEFT(对接源_02物料!$D539,4)="包装物料",N(对接源_02物料!$K539)&lt;&gt;0)),1,0)</f>
        <v>0</v>
      </c>
      <c r="AG1739" s="3">
        <f t="shared" si="479"/>
        <v>5</v>
      </c>
      <c r="AH1739" s="3">
        <f>IF(AND($N1739=1,AND(对接源_02物料!$D539="周转筐－销售出库",N(对接源_02物料!$K539)&lt;&gt;0)),1,0)</f>
        <v>0</v>
      </c>
      <c r="AI1739" s="3">
        <f t="shared" si="480"/>
        <v>0</v>
      </c>
      <c r="AL1739" s="3">
        <v>0</v>
      </c>
      <c r="AM1739" s="3">
        <f t="shared" si="481"/>
        <v>1</v>
      </c>
      <c r="AN1739" s="3" t="str">
        <f t="shared" si="468"/>
        <v/>
      </c>
      <c r="AO1739" s="3">
        <v>0</v>
      </c>
      <c r="AP1739" s="3">
        <f t="shared" si="482"/>
        <v>8</v>
      </c>
      <c r="AR1739">
        <f t="shared" si="483"/>
        <v>0</v>
      </c>
      <c r="AS1739">
        <f t="shared" si="484"/>
        <v>5</v>
      </c>
    </row>
    <row r="1740" customHeight="1" spans="1:45">
      <c r="A1740" s="3" t="str">
        <f>IF(对接源_02物料!$C540="","",对接源_02物料!$C540)</f>
        <v/>
      </c>
      <c r="B1740" s="3">
        <f t="shared" si="469"/>
        <v>0</v>
      </c>
      <c r="C1740" s="3">
        <f t="shared" si="470"/>
        <v>21</v>
      </c>
      <c r="K1740" s="3">
        <f>IF(OR($K$1="",对接源_02物料!$C540="",对接源_02物料!$C540&lt;&gt;$K$1,对接源_02物料!$B540=""),0,IF(OR(N(对接源_02物料!$B540)&lt;$K$2,N(对接源_02物料!$B540)&gt;$K$3),0,1))</f>
        <v>0</v>
      </c>
      <c r="L1740" s="3">
        <f>IF(OR($L$1="",对接源_02物料!$C540="",对接源_02物料!$C540&lt;&gt;$L$1,对接源_02物料!$B540=""),0,IF(OR(N(对接源_02物料!$B540)&lt;$L$2,N(对接源_02物料!$B540)&gt;$L$3),0,1))</f>
        <v>0</v>
      </c>
      <c r="M1740" s="3">
        <f>IF(OR($M$1="",对接源_02物料!$C540="",对接源_02物料!$C540&lt;&gt;$M$1,对接源_02物料!$B540=""),0,IF(OR(N(对接源_02物料!$B540)&lt;$M$2,N(对接源_02物料!$B540)&gt;$M$3),0,1))</f>
        <v>0</v>
      </c>
      <c r="N1740" s="3">
        <f>IF(OR($N$1="",对接源_02物料!$C540="",对接源_02物料!$C540&lt;&gt;$N$1,对接源_02物料!$B540=""),0,IF(OR(N(对接源_02物料!$B540)&lt;$N$2,N(对接源_02物料!$B540)&gt;$N$3),0,1))</f>
        <v>0</v>
      </c>
      <c r="P1740" s="3">
        <f>IF(AND($K1740=1,AND(对接源_02物料!$X540="公司筐",N(对接源_02物料!$T540)&lt;&gt;0)),1,0)</f>
        <v>0</v>
      </c>
      <c r="Q1740" s="3">
        <f t="shared" si="471"/>
        <v>8</v>
      </c>
      <c r="R1740" s="3">
        <f>IF(AND($K1740=1,AND(对接源_02物料!$X540="公司筐",N(对接源_02物料!$U540)&lt;&gt;0)),1,0)</f>
        <v>0</v>
      </c>
      <c r="S1740" s="3">
        <f t="shared" si="472"/>
        <v>0</v>
      </c>
      <c r="T1740" s="3">
        <f>IF(AND($K1740=1,AND(对接源_02物料!$X540="公司筐",N(对接源_02物料!$V540)&lt;&gt;0)),1,0)</f>
        <v>0</v>
      </c>
      <c r="U1740" s="3">
        <f t="shared" si="473"/>
        <v>19</v>
      </c>
      <c r="V1740" s="3">
        <f>IF(AND($L1740=1,AND(对接源_02物料!$X540="自备筐",N(对接源_02物料!$V540)&lt;&gt;0)),1,0)</f>
        <v>0</v>
      </c>
      <c r="W1740" s="3">
        <f t="shared" si="474"/>
        <v>8</v>
      </c>
      <c r="X1740" s="3">
        <f>IF(AND($L1740=1,AND(对接源_02物料!$X540="自备筐",N(对接源_02物料!$T540)&lt;&gt;0)),1,0)</f>
        <v>0</v>
      </c>
      <c r="Y1740" s="3">
        <f t="shared" si="475"/>
        <v>0</v>
      </c>
      <c r="Z1740" s="3">
        <f>IF(AND($M1740=1,对接源_02物料!$D540="原料入库"),1,0)</f>
        <v>0</v>
      </c>
      <c r="AA1740" s="3">
        <f t="shared" si="476"/>
        <v>24</v>
      </c>
      <c r="AB1740" s="3">
        <f>IF(AND($M1740=1,LEFT(对接源_02物料!$D540,4)="原料出库"),1,0)</f>
        <v>0</v>
      </c>
      <c r="AC1740" s="3">
        <f t="shared" si="477"/>
        <v>0</v>
      </c>
      <c r="AD1740" s="3">
        <f>IF(AND($M1740=1,LEFT(对接源_02物料!$D540,4)="成品出库"),1,0)</f>
        <v>0</v>
      </c>
      <c r="AE1740" s="3">
        <f t="shared" si="478"/>
        <v>0</v>
      </c>
      <c r="AF1740" s="3">
        <f>IF(AND($N1740=1,AND(LEFT(对接源_02物料!$D540,4)="包装物料",N(对接源_02物料!$K540)&lt;&gt;0)),1,0)</f>
        <v>0</v>
      </c>
      <c r="AG1740" s="3">
        <f t="shared" si="479"/>
        <v>5</v>
      </c>
      <c r="AH1740" s="3">
        <f>IF(AND($N1740=1,AND(对接源_02物料!$D540="周转筐－销售出库",N(对接源_02物料!$K540)&lt;&gt;0)),1,0)</f>
        <v>0</v>
      </c>
      <c r="AI1740" s="3">
        <f t="shared" si="480"/>
        <v>0</v>
      </c>
      <c r="AL1740" s="3">
        <v>0</v>
      </c>
      <c r="AM1740" s="3">
        <f t="shared" si="481"/>
        <v>1</v>
      </c>
      <c r="AN1740" s="3" t="str">
        <f t="shared" si="468"/>
        <v/>
      </c>
      <c r="AO1740" s="3">
        <v>0</v>
      </c>
      <c r="AP1740" s="3">
        <f t="shared" si="482"/>
        <v>8</v>
      </c>
      <c r="AR1740">
        <f t="shared" si="483"/>
        <v>0</v>
      </c>
      <c r="AS1740">
        <f t="shared" si="484"/>
        <v>5</v>
      </c>
    </row>
    <row r="1741" customHeight="1" spans="1:45">
      <c r="A1741" s="3" t="str">
        <f>IF(对接源_02物料!$C541="","",对接源_02物料!$C541)</f>
        <v/>
      </c>
      <c r="B1741" s="3">
        <f t="shared" si="469"/>
        <v>0</v>
      </c>
      <c r="C1741" s="3">
        <f t="shared" si="470"/>
        <v>21</v>
      </c>
      <c r="K1741" s="3">
        <f>IF(OR($K$1="",对接源_02物料!$C541="",对接源_02物料!$C541&lt;&gt;$K$1,对接源_02物料!$B541=""),0,IF(OR(N(对接源_02物料!$B541)&lt;$K$2,N(对接源_02物料!$B541)&gt;$K$3),0,1))</f>
        <v>0</v>
      </c>
      <c r="L1741" s="3">
        <f>IF(OR($L$1="",对接源_02物料!$C541="",对接源_02物料!$C541&lt;&gt;$L$1,对接源_02物料!$B541=""),0,IF(OR(N(对接源_02物料!$B541)&lt;$L$2,N(对接源_02物料!$B541)&gt;$L$3),0,1))</f>
        <v>0</v>
      </c>
      <c r="M1741" s="3">
        <f>IF(OR($M$1="",对接源_02物料!$C541="",对接源_02物料!$C541&lt;&gt;$M$1,对接源_02物料!$B541=""),0,IF(OR(N(对接源_02物料!$B541)&lt;$M$2,N(对接源_02物料!$B541)&gt;$M$3),0,1))</f>
        <v>0</v>
      </c>
      <c r="N1741" s="3">
        <f>IF(OR($N$1="",对接源_02物料!$C541="",对接源_02物料!$C541&lt;&gt;$N$1,对接源_02物料!$B541=""),0,IF(OR(N(对接源_02物料!$B541)&lt;$N$2,N(对接源_02物料!$B541)&gt;$N$3),0,1))</f>
        <v>0</v>
      </c>
      <c r="P1741" s="3">
        <f>IF(AND($K1741=1,AND(对接源_02物料!$X541="公司筐",N(对接源_02物料!$T541)&lt;&gt;0)),1,0)</f>
        <v>0</v>
      </c>
      <c r="Q1741" s="3">
        <f t="shared" si="471"/>
        <v>8</v>
      </c>
      <c r="R1741" s="3">
        <f>IF(AND($K1741=1,AND(对接源_02物料!$X541="公司筐",N(对接源_02物料!$U541)&lt;&gt;0)),1,0)</f>
        <v>0</v>
      </c>
      <c r="S1741" s="3">
        <f t="shared" si="472"/>
        <v>0</v>
      </c>
      <c r="T1741" s="3">
        <f>IF(AND($K1741=1,AND(对接源_02物料!$X541="公司筐",N(对接源_02物料!$V541)&lt;&gt;0)),1,0)</f>
        <v>0</v>
      </c>
      <c r="U1741" s="3">
        <f t="shared" si="473"/>
        <v>19</v>
      </c>
      <c r="V1741" s="3">
        <f>IF(AND($L1741=1,AND(对接源_02物料!$X541="自备筐",N(对接源_02物料!$V541)&lt;&gt;0)),1,0)</f>
        <v>0</v>
      </c>
      <c r="W1741" s="3">
        <f t="shared" si="474"/>
        <v>8</v>
      </c>
      <c r="X1741" s="3">
        <f>IF(AND($L1741=1,AND(对接源_02物料!$X541="自备筐",N(对接源_02物料!$T541)&lt;&gt;0)),1,0)</f>
        <v>0</v>
      </c>
      <c r="Y1741" s="3">
        <f t="shared" si="475"/>
        <v>0</v>
      </c>
      <c r="Z1741" s="3">
        <f>IF(AND($M1741=1,对接源_02物料!$D541="原料入库"),1,0)</f>
        <v>0</v>
      </c>
      <c r="AA1741" s="3">
        <f t="shared" si="476"/>
        <v>24</v>
      </c>
      <c r="AB1741" s="3">
        <f>IF(AND($M1741=1,LEFT(对接源_02物料!$D541,4)="原料出库"),1,0)</f>
        <v>0</v>
      </c>
      <c r="AC1741" s="3">
        <f t="shared" si="477"/>
        <v>0</v>
      </c>
      <c r="AD1741" s="3">
        <f>IF(AND($M1741=1,LEFT(对接源_02物料!$D541,4)="成品出库"),1,0)</f>
        <v>0</v>
      </c>
      <c r="AE1741" s="3">
        <f t="shared" si="478"/>
        <v>0</v>
      </c>
      <c r="AF1741" s="3">
        <f>IF(AND($N1741=1,AND(LEFT(对接源_02物料!$D541,4)="包装物料",N(对接源_02物料!$K541)&lt;&gt;0)),1,0)</f>
        <v>0</v>
      </c>
      <c r="AG1741" s="3">
        <f t="shared" si="479"/>
        <v>5</v>
      </c>
      <c r="AH1741" s="3">
        <f>IF(AND($N1741=1,AND(对接源_02物料!$D541="周转筐－销售出库",N(对接源_02物料!$K541)&lt;&gt;0)),1,0)</f>
        <v>0</v>
      </c>
      <c r="AI1741" s="3">
        <f t="shared" si="480"/>
        <v>0</v>
      </c>
      <c r="AL1741" s="3">
        <v>0</v>
      </c>
      <c r="AM1741" s="3">
        <f t="shared" si="481"/>
        <v>1</v>
      </c>
      <c r="AN1741" s="3" t="str">
        <f t="shared" si="468"/>
        <v/>
      </c>
      <c r="AO1741" s="3">
        <v>0</v>
      </c>
      <c r="AP1741" s="3">
        <f t="shared" si="482"/>
        <v>8</v>
      </c>
      <c r="AR1741">
        <f t="shared" si="483"/>
        <v>0</v>
      </c>
      <c r="AS1741">
        <f t="shared" si="484"/>
        <v>5</v>
      </c>
    </row>
    <row r="1742" customHeight="1" spans="1:45">
      <c r="A1742" s="3" t="str">
        <f>IF(对接源_02物料!$C542="","",对接源_02物料!$C542)</f>
        <v/>
      </c>
      <c r="B1742" s="3">
        <f t="shared" si="469"/>
        <v>0</v>
      </c>
      <c r="C1742" s="3">
        <f t="shared" si="470"/>
        <v>21</v>
      </c>
      <c r="K1742" s="3">
        <f>IF(OR($K$1="",对接源_02物料!$C542="",对接源_02物料!$C542&lt;&gt;$K$1,对接源_02物料!$B542=""),0,IF(OR(N(对接源_02物料!$B542)&lt;$K$2,N(对接源_02物料!$B542)&gt;$K$3),0,1))</f>
        <v>0</v>
      </c>
      <c r="L1742" s="3">
        <f>IF(OR($L$1="",对接源_02物料!$C542="",对接源_02物料!$C542&lt;&gt;$L$1,对接源_02物料!$B542=""),0,IF(OR(N(对接源_02物料!$B542)&lt;$L$2,N(对接源_02物料!$B542)&gt;$L$3),0,1))</f>
        <v>0</v>
      </c>
      <c r="M1742" s="3">
        <f>IF(OR($M$1="",对接源_02物料!$C542="",对接源_02物料!$C542&lt;&gt;$M$1,对接源_02物料!$B542=""),0,IF(OR(N(对接源_02物料!$B542)&lt;$M$2,N(对接源_02物料!$B542)&gt;$M$3),0,1))</f>
        <v>0</v>
      </c>
      <c r="N1742" s="3">
        <f>IF(OR($N$1="",对接源_02物料!$C542="",对接源_02物料!$C542&lt;&gt;$N$1,对接源_02物料!$B542=""),0,IF(OR(N(对接源_02物料!$B542)&lt;$N$2,N(对接源_02物料!$B542)&gt;$N$3),0,1))</f>
        <v>0</v>
      </c>
      <c r="P1742" s="3">
        <f>IF(AND($K1742=1,AND(对接源_02物料!$X542="公司筐",N(对接源_02物料!$T542)&lt;&gt;0)),1,0)</f>
        <v>0</v>
      </c>
      <c r="Q1742" s="3">
        <f t="shared" si="471"/>
        <v>8</v>
      </c>
      <c r="R1742" s="3">
        <f>IF(AND($K1742=1,AND(对接源_02物料!$X542="公司筐",N(对接源_02物料!$U542)&lt;&gt;0)),1,0)</f>
        <v>0</v>
      </c>
      <c r="S1742" s="3">
        <f t="shared" si="472"/>
        <v>0</v>
      </c>
      <c r="T1742" s="3">
        <f>IF(AND($K1742=1,AND(对接源_02物料!$X542="公司筐",N(对接源_02物料!$V542)&lt;&gt;0)),1,0)</f>
        <v>0</v>
      </c>
      <c r="U1742" s="3">
        <f t="shared" si="473"/>
        <v>19</v>
      </c>
      <c r="V1742" s="3">
        <f>IF(AND($L1742=1,AND(对接源_02物料!$X542="自备筐",N(对接源_02物料!$V542)&lt;&gt;0)),1,0)</f>
        <v>0</v>
      </c>
      <c r="W1742" s="3">
        <f t="shared" si="474"/>
        <v>8</v>
      </c>
      <c r="X1742" s="3">
        <f>IF(AND($L1742=1,AND(对接源_02物料!$X542="自备筐",N(对接源_02物料!$T542)&lt;&gt;0)),1,0)</f>
        <v>0</v>
      </c>
      <c r="Y1742" s="3">
        <f t="shared" si="475"/>
        <v>0</v>
      </c>
      <c r="Z1742" s="3">
        <f>IF(AND($M1742=1,对接源_02物料!$D542="原料入库"),1,0)</f>
        <v>0</v>
      </c>
      <c r="AA1742" s="3">
        <f t="shared" si="476"/>
        <v>24</v>
      </c>
      <c r="AB1742" s="3">
        <f>IF(AND($M1742=1,LEFT(对接源_02物料!$D542,4)="原料出库"),1,0)</f>
        <v>0</v>
      </c>
      <c r="AC1742" s="3">
        <f t="shared" si="477"/>
        <v>0</v>
      </c>
      <c r="AD1742" s="3">
        <f>IF(AND($M1742=1,LEFT(对接源_02物料!$D542,4)="成品出库"),1,0)</f>
        <v>0</v>
      </c>
      <c r="AE1742" s="3">
        <f t="shared" si="478"/>
        <v>0</v>
      </c>
      <c r="AF1742" s="3">
        <f>IF(AND($N1742=1,AND(LEFT(对接源_02物料!$D542,4)="包装物料",N(对接源_02物料!$K542)&lt;&gt;0)),1,0)</f>
        <v>0</v>
      </c>
      <c r="AG1742" s="3">
        <f t="shared" si="479"/>
        <v>5</v>
      </c>
      <c r="AH1742" s="3">
        <f>IF(AND($N1742=1,AND(对接源_02物料!$D542="周转筐－销售出库",N(对接源_02物料!$K542)&lt;&gt;0)),1,0)</f>
        <v>0</v>
      </c>
      <c r="AI1742" s="3">
        <f t="shared" si="480"/>
        <v>0</v>
      </c>
      <c r="AL1742" s="3">
        <v>0</v>
      </c>
      <c r="AM1742" s="3">
        <f t="shared" si="481"/>
        <v>1</v>
      </c>
      <c r="AN1742" s="3" t="str">
        <f t="shared" si="468"/>
        <v/>
      </c>
      <c r="AO1742" s="3">
        <v>0</v>
      </c>
      <c r="AP1742" s="3">
        <f t="shared" si="482"/>
        <v>8</v>
      </c>
      <c r="AR1742">
        <f t="shared" si="483"/>
        <v>0</v>
      </c>
      <c r="AS1742">
        <f t="shared" si="484"/>
        <v>5</v>
      </c>
    </row>
    <row r="1743" customHeight="1" spans="1:45">
      <c r="A1743" s="3" t="str">
        <f>IF(对接源_02物料!$C543="","",对接源_02物料!$C543)</f>
        <v/>
      </c>
      <c r="B1743" s="3">
        <f t="shared" si="469"/>
        <v>0</v>
      </c>
      <c r="C1743" s="3">
        <f t="shared" si="470"/>
        <v>21</v>
      </c>
      <c r="K1743" s="3">
        <f>IF(OR($K$1="",对接源_02物料!$C543="",对接源_02物料!$C543&lt;&gt;$K$1,对接源_02物料!$B543=""),0,IF(OR(N(对接源_02物料!$B543)&lt;$K$2,N(对接源_02物料!$B543)&gt;$K$3),0,1))</f>
        <v>0</v>
      </c>
      <c r="L1743" s="3">
        <f>IF(OR($L$1="",对接源_02物料!$C543="",对接源_02物料!$C543&lt;&gt;$L$1,对接源_02物料!$B543=""),0,IF(OR(N(对接源_02物料!$B543)&lt;$L$2,N(对接源_02物料!$B543)&gt;$L$3),0,1))</f>
        <v>0</v>
      </c>
      <c r="M1743" s="3">
        <f>IF(OR($M$1="",对接源_02物料!$C543="",对接源_02物料!$C543&lt;&gt;$M$1,对接源_02物料!$B543=""),0,IF(OR(N(对接源_02物料!$B543)&lt;$M$2,N(对接源_02物料!$B543)&gt;$M$3),0,1))</f>
        <v>0</v>
      </c>
      <c r="N1743" s="3">
        <f>IF(OR($N$1="",对接源_02物料!$C543="",对接源_02物料!$C543&lt;&gt;$N$1,对接源_02物料!$B543=""),0,IF(OR(N(对接源_02物料!$B543)&lt;$N$2,N(对接源_02物料!$B543)&gt;$N$3),0,1))</f>
        <v>0</v>
      </c>
      <c r="P1743" s="3">
        <f>IF(AND($K1743=1,AND(对接源_02物料!$X543="公司筐",N(对接源_02物料!$T543)&lt;&gt;0)),1,0)</f>
        <v>0</v>
      </c>
      <c r="Q1743" s="3">
        <f t="shared" si="471"/>
        <v>8</v>
      </c>
      <c r="R1743" s="3">
        <f>IF(AND($K1743=1,AND(对接源_02物料!$X543="公司筐",N(对接源_02物料!$U543)&lt;&gt;0)),1,0)</f>
        <v>0</v>
      </c>
      <c r="S1743" s="3">
        <f t="shared" si="472"/>
        <v>0</v>
      </c>
      <c r="T1743" s="3">
        <f>IF(AND($K1743=1,AND(对接源_02物料!$X543="公司筐",N(对接源_02物料!$V543)&lt;&gt;0)),1,0)</f>
        <v>0</v>
      </c>
      <c r="U1743" s="3">
        <f t="shared" si="473"/>
        <v>19</v>
      </c>
      <c r="V1743" s="3">
        <f>IF(AND($L1743=1,AND(对接源_02物料!$X543="自备筐",N(对接源_02物料!$V543)&lt;&gt;0)),1,0)</f>
        <v>0</v>
      </c>
      <c r="W1743" s="3">
        <f t="shared" si="474"/>
        <v>8</v>
      </c>
      <c r="X1743" s="3">
        <f>IF(AND($L1743=1,AND(对接源_02物料!$X543="自备筐",N(对接源_02物料!$T543)&lt;&gt;0)),1,0)</f>
        <v>0</v>
      </c>
      <c r="Y1743" s="3">
        <f t="shared" si="475"/>
        <v>0</v>
      </c>
      <c r="Z1743" s="3">
        <f>IF(AND($M1743=1,对接源_02物料!$D543="原料入库"),1,0)</f>
        <v>0</v>
      </c>
      <c r="AA1743" s="3">
        <f t="shared" si="476"/>
        <v>24</v>
      </c>
      <c r="AB1743" s="3">
        <f>IF(AND($M1743=1,LEFT(对接源_02物料!$D543,4)="原料出库"),1,0)</f>
        <v>0</v>
      </c>
      <c r="AC1743" s="3">
        <f t="shared" si="477"/>
        <v>0</v>
      </c>
      <c r="AD1743" s="3">
        <f>IF(AND($M1743=1,LEFT(对接源_02物料!$D543,4)="成品出库"),1,0)</f>
        <v>0</v>
      </c>
      <c r="AE1743" s="3">
        <f t="shared" si="478"/>
        <v>0</v>
      </c>
      <c r="AF1743" s="3">
        <f>IF(AND($N1743=1,AND(LEFT(对接源_02物料!$D543,4)="包装物料",N(对接源_02物料!$K543)&lt;&gt;0)),1,0)</f>
        <v>0</v>
      </c>
      <c r="AG1743" s="3">
        <f t="shared" si="479"/>
        <v>5</v>
      </c>
      <c r="AH1743" s="3">
        <f>IF(AND($N1743=1,AND(对接源_02物料!$D543="周转筐－销售出库",N(对接源_02物料!$K543)&lt;&gt;0)),1,0)</f>
        <v>0</v>
      </c>
      <c r="AI1743" s="3">
        <f t="shared" si="480"/>
        <v>0</v>
      </c>
      <c r="AL1743" s="3">
        <v>0</v>
      </c>
      <c r="AM1743" s="3">
        <f t="shared" si="481"/>
        <v>1</v>
      </c>
      <c r="AN1743" s="3" t="str">
        <f t="shared" si="468"/>
        <v/>
      </c>
      <c r="AO1743" s="3">
        <v>0</v>
      </c>
      <c r="AP1743" s="3">
        <f t="shared" si="482"/>
        <v>8</v>
      </c>
      <c r="AR1743">
        <f t="shared" si="483"/>
        <v>0</v>
      </c>
      <c r="AS1743">
        <f t="shared" si="484"/>
        <v>5</v>
      </c>
    </row>
    <row r="1744" customHeight="1" spans="1:45">
      <c r="A1744" s="3" t="str">
        <f>IF(对接源_02物料!$C544="","",对接源_02物料!$C544)</f>
        <v/>
      </c>
      <c r="B1744" s="3">
        <f t="shared" si="469"/>
        <v>0</v>
      </c>
      <c r="C1744" s="3">
        <f t="shared" si="470"/>
        <v>21</v>
      </c>
      <c r="K1744" s="3">
        <f>IF(OR($K$1="",对接源_02物料!$C544="",对接源_02物料!$C544&lt;&gt;$K$1,对接源_02物料!$B544=""),0,IF(OR(N(对接源_02物料!$B544)&lt;$K$2,N(对接源_02物料!$B544)&gt;$K$3),0,1))</f>
        <v>0</v>
      </c>
      <c r="L1744" s="3">
        <f>IF(OR($L$1="",对接源_02物料!$C544="",对接源_02物料!$C544&lt;&gt;$L$1,对接源_02物料!$B544=""),0,IF(OR(N(对接源_02物料!$B544)&lt;$L$2,N(对接源_02物料!$B544)&gt;$L$3),0,1))</f>
        <v>0</v>
      </c>
      <c r="M1744" s="3">
        <f>IF(OR($M$1="",对接源_02物料!$C544="",对接源_02物料!$C544&lt;&gt;$M$1,对接源_02物料!$B544=""),0,IF(OR(N(对接源_02物料!$B544)&lt;$M$2,N(对接源_02物料!$B544)&gt;$M$3),0,1))</f>
        <v>0</v>
      </c>
      <c r="N1744" s="3">
        <f>IF(OR($N$1="",对接源_02物料!$C544="",对接源_02物料!$C544&lt;&gt;$N$1,对接源_02物料!$B544=""),0,IF(OR(N(对接源_02物料!$B544)&lt;$N$2,N(对接源_02物料!$B544)&gt;$N$3),0,1))</f>
        <v>0</v>
      </c>
      <c r="P1744" s="3">
        <f>IF(AND($K1744=1,AND(对接源_02物料!$X544="公司筐",N(对接源_02物料!$T544)&lt;&gt;0)),1,0)</f>
        <v>0</v>
      </c>
      <c r="Q1744" s="3">
        <f t="shared" si="471"/>
        <v>8</v>
      </c>
      <c r="R1744" s="3">
        <f>IF(AND($K1744=1,AND(对接源_02物料!$X544="公司筐",N(对接源_02物料!$U544)&lt;&gt;0)),1,0)</f>
        <v>0</v>
      </c>
      <c r="S1744" s="3">
        <f t="shared" si="472"/>
        <v>0</v>
      </c>
      <c r="T1744" s="3">
        <f>IF(AND($K1744=1,AND(对接源_02物料!$X544="公司筐",N(对接源_02物料!$V544)&lt;&gt;0)),1,0)</f>
        <v>0</v>
      </c>
      <c r="U1744" s="3">
        <f t="shared" si="473"/>
        <v>19</v>
      </c>
      <c r="V1744" s="3">
        <f>IF(AND($L1744=1,AND(对接源_02物料!$X544="自备筐",N(对接源_02物料!$V544)&lt;&gt;0)),1,0)</f>
        <v>0</v>
      </c>
      <c r="W1744" s="3">
        <f t="shared" si="474"/>
        <v>8</v>
      </c>
      <c r="X1744" s="3">
        <f>IF(AND($L1744=1,AND(对接源_02物料!$X544="自备筐",N(对接源_02物料!$T544)&lt;&gt;0)),1,0)</f>
        <v>0</v>
      </c>
      <c r="Y1744" s="3">
        <f t="shared" si="475"/>
        <v>0</v>
      </c>
      <c r="Z1744" s="3">
        <f>IF(AND($M1744=1,对接源_02物料!$D544="原料入库"),1,0)</f>
        <v>0</v>
      </c>
      <c r="AA1744" s="3">
        <f t="shared" si="476"/>
        <v>24</v>
      </c>
      <c r="AB1744" s="3">
        <f>IF(AND($M1744=1,LEFT(对接源_02物料!$D544,4)="原料出库"),1,0)</f>
        <v>0</v>
      </c>
      <c r="AC1744" s="3">
        <f t="shared" si="477"/>
        <v>0</v>
      </c>
      <c r="AD1744" s="3">
        <f>IF(AND($M1744=1,LEFT(对接源_02物料!$D544,4)="成品出库"),1,0)</f>
        <v>0</v>
      </c>
      <c r="AE1744" s="3">
        <f t="shared" si="478"/>
        <v>0</v>
      </c>
      <c r="AF1744" s="3">
        <f>IF(AND($N1744=1,AND(LEFT(对接源_02物料!$D544,4)="包装物料",N(对接源_02物料!$K544)&lt;&gt;0)),1,0)</f>
        <v>0</v>
      </c>
      <c r="AG1744" s="3">
        <f t="shared" si="479"/>
        <v>5</v>
      </c>
      <c r="AH1744" s="3">
        <f>IF(AND($N1744=1,AND(对接源_02物料!$D544="周转筐－销售出库",N(对接源_02物料!$K544)&lt;&gt;0)),1,0)</f>
        <v>0</v>
      </c>
      <c r="AI1744" s="3">
        <f t="shared" si="480"/>
        <v>0</v>
      </c>
      <c r="AL1744" s="3">
        <v>0</v>
      </c>
      <c r="AM1744" s="3">
        <f t="shared" si="481"/>
        <v>1</v>
      </c>
      <c r="AN1744" s="3" t="str">
        <f t="shared" si="468"/>
        <v/>
      </c>
      <c r="AO1744" s="3">
        <v>0</v>
      </c>
      <c r="AP1744" s="3">
        <f t="shared" si="482"/>
        <v>8</v>
      </c>
      <c r="AR1744">
        <f t="shared" si="483"/>
        <v>0</v>
      </c>
      <c r="AS1744">
        <f t="shared" si="484"/>
        <v>5</v>
      </c>
    </row>
    <row r="1745" customHeight="1" spans="1:45">
      <c r="A1745" s="3" t="str">
        <f>IF(对接源_02物料!$C545="","",对接源_02物料!$C545)</f>
        <v/>
      </c>
      <c r="B1745" s="3">
        <f t="shared" si="469"/>
        <v>0</v>
      </c>
      <c r="C1745" s="3">
        <f t="shared" si="470"/>
        <v>21</v>
      </c>
      <c r="K1745" s="3">
        <f>IF(OR($K$1="",对接源_02物料!$C545="",对接源_02物料!$C545&lt;&gt;$K$1,对接源_02物料!$B545=""),0,IF(OR(N(对接源_02物料!$B545)&lt;$K$2,N(对接源_02物料!$B545)&gt;$K$3),0,1))</f>
        <v>0</v>
      </c>
      <c r="L1745" s="3">
        <f>IF(OR($L$1="",对接源_02物料!$C545="",对接源_02物料!$C545&lt;&gt;$L$1,对接源_02物料!$B545=""),0,IF(OR(N(对接源_02物料!$B545)&lt;$L$2,N(对接源_02物料!$B545)&gt;$L$3),0,1))</f>
        <v>0</v>
      </c>
      <c r="M1745" s="3">
        <f>IF(OR($M$1="",对接源_02物料!$C545="",对接源_02物料!$C545&lt;&gt;$M$1,对接源_02物料!$B545=""),0,IF(OR(N(对接源_02物料!$B545)&lt;$M$2,N(对接源_02物料!$B545)&gt;$M$3),0,1))</f>
        <v>0</v>
      </c>
      <c r="N1745" s="3">
        <f>IF(OR($N$1="",对接源_02物料!$C545="",对接源_02物料!$C545&lt;&gt;$N$1,对接源_02物料!$B545=""),0,IF(OR(N(对接源_02物料!$B545)&lt;$N$2,N(对接源_02物料!$B545)&gt;$N$3),0,1))</f>
        <v>0</v>
      </c>
      <c r="P1745" s="3">
        <f>IF(AND($K1745=1,AND(对接源_02物料!$X545="公司筐",N(对接源_02物料!$T545)&lt;&gt;0)),1,0)</f>
        <v>0</v>
      </c>
      <c r="Q1745" s="3">
        <f t="shared" si="471"/>
        <v>8</v>
      </c>
      <c r="R1745" s="3">
        <f>IF(AND($K1745=1,AND(对接源_02物料!$X545="公司筐",N(对接源_02物料!$U545)&lt;&gt;0)),1,0)</f>
        <v>0</v>
      </c>
      <c r="S1745" s="3">
        <f t="shared" si="472"/>
        <v>0</v>
      </c>
      <c r="T1745" s="3">
        <f>IF(AND($K1745=1,AND(对接源_02物料!$X545="公司筐",N(对接源_02物料!$V545)&lt;&gt;0)),1,0)</f>
        <v>0</v>
      </c>
      <c r="U1745" s="3">
        <f t="shared" si="473"/>
        <v>19</v>
      </c>
      <c r="V1745" s="3">
        <f>IF(AND($L1745=1,AND(对接源_02物料!$X545="自备筐",N(对接源_02物料!$V545)&lt;&gt;0)),1,0)</f>
        <v>0</v>
      </c>
      <c r="W1745" s="3">
        <f t="shared" si="474"/>
        <v>8</v>
      </c>
      <c r="X1745" s="3">
        <f>IF(AND($L1745=1,AND(对接源_02物料!$X545="自备筐",N(对接源_02物料!$T545)&lt;&gt;0)),1,0)</f>
        <v>0</v>
      </c>
      <c r="Y1745" s="3">
        <f t="shared" si="475"/>
        <v>0</v>
      </c>
      <c r="Z1745" s="3">
        <f>IF(AND($M1745=1,对接源_02物料!$D545="原料入库"),1,0)</f>
        <v>0</v>
      </c>
      <c r="AA1745" s="3">
        <f t="shared" si="476"/>
        <v>24</v>
      </c>
      <c r="AB1745" s="3">
        <f>IF(AND($M1745=1,LEFT(对接源_02物料!$D545,4)="原料出库"),1,0)</f>
        <v>0</v>
      </c>
      <c r="AC1745" s="3">
        <f t="shared" si="477"/>
        <v>0</v>
      </c>
      <c r="AD1745" s="3">
        <f>IF(AND($M1745=1,LEFT(对接源_02物料!$D545,4)="成品出库"),1,0)</f>
        <v>0</v>
      </c>
      <c r="AE1745" s="3">
        <f t="shared" si="478"/>
        <v>0</v>
      </c>
      <c r="AF1745" s="3">
        <f>IF(AND($N1745=1,AND(LEFT(对接源_02物料!$D545,4)="包装物料",N(对接源_02物料!$K545)&lt;&gt;0)),1,0)</f>
        <v>0</v>
      </c>
      <c r="AG1745" s="3">
        <f t="shared" si="479"/>
        <v>5</v>
      </c>
      <c r="AH1745" s="3">
        <f>IF(AND($N1745=1,AND(对接源_02物料!$D545="周转筐－销售出库",N(对接源_02物料!$K545)&lt;&gt;0)),1,0)</f>
        <v>0</v>
      </c>
      <c r="AI1745" s="3">
        <f t="shared" si="480"/>
        <v>0</v>
      </c>
      <c r="AL1745" s="3">
        <v>0</v>
      </c>
      <c r="AM1745" s="3">
        <f t="shared" si="481"/>
        <v>1</v>
      </c>
      <c r="AN1745" s="3" t="str">
        <f t="shared" si="468"/>
        <v/>
      </c>
      <c r="AO1745" s="3">
        <v>0</v>
      </c>
      <c r="AP1745" s="3">
        <f t="shared" si="482"/>
        <v>8</v>
      </c>
      <c r="AR1745">
        <f t="shared" si="483"/>
        <v>0</v>
      </c>
      <c r="AS1745">
        <f t="shared" si="484"/>
        <v>5</v>
      </c>
    </row>
    <row r="1746" customHeight="1" spans="1:45">
      <c r="A1746" s="3" t="str">
        <f>IF(对接源_02物料!$C546="","",对接源_02物料!$C546)</f>
        <v/>
      </c>
      <c r="B1746" s="3">
        <f t="shared" si="469"/>
        <v>0</v>
      </c>
      <c r="C1746" s="3">
        <f t="shared" si="470"/>
        <v>21</v>
      </c>
      <c r="K1746" s="3">
        <f>IF(OR($K$1="",对接源_02物料!$C546="",对接源_02物料!$C546&lt;&gt;$K$1,对接源_02物料!$B546=""),0,IF(OR(N(对接源_02物料!$B546)&lt;$K$2,N(对接源_02物料!$B546)&gt;$K$3),0,1))</f>
        <v>0</v>
      </c>
      <c r="L1746" s="3">
        <f>IF(OR($L$1="",对接源_02物料!$C546="",对接源_02物料!$C546&lt;&gt;$L$1,对接源_02物料!$B546=""),0,IF(OR(N(对接源_02物料!$B546)&lt;$L$2,N(对接源_02物料!$B546)&gt;$L$3),0,1))</f>
        <v>0</v>
      </c>
      <c r="M1746" s="3">
        <f>IF(OR($M$1="",对接源_02物料!$C546="",对接源_02物料!$C546&lt;&gt;$M$1,对接源_02物料!$B546=""),0,IF(OR(N(对接源_02物料!$B546)&lt;$M$2,N(对接源_02物料!$B546)&gt;$M$3),0,1))</f>
        <v>0</v>
      </c>
      <c r="N1746" s="3">
        <f>IF(OR($N$1="",对接源_02物料!$C546="",对接源_02物料!$C546&lt;&gt;$N$1,对接源_02物料!$B546=""),0,IF(OR(N(对接源_02物料!$B546)&lt;$N$2,N(对接源_02物料!$B546)&gt;$N$3),0,1))</f>
        <v>0</v>
      </c>
      <c r="P1746" s="3">
        <f>IF(AND($K1746=1,AND(对接源_02物料!$X546="公司筐",N(对接源_02物料!$T546)&lt;&gt;0)),1,0)</f>
        <v>0</v>
      </c>
      <c r="Q1746" s="3">
        <f t="shared" si="471"/>
        <v>8</v>
      </c>
      <c r="R1746" s="3">
        <f>IF(AND($K1746=1,AND(对接源_02物料!$X546="公司筐",N(对接源_02物料!$U546)&lt;&gt;0)),1,0)</f>
        <v>0</v>
      </c>
      <c r="S1746" s="3">
        <f t="shared" si="472"/>
        <v>0</v>
      </c>
      <c r="T1746" s="3">
        <f>IF(AND($K1746=1,AND(对接源_02物料!$X546="公司筐",N(对接源_02物料!$V546)&lt;&gt;0)),1,0)</f>
        <v>0</v>
      </c>
      <c r="U1746" s="3">
        <f t="shared" si="473"/>
        <v>19</v>
      </c>
      <c r="V1746" s="3">
        <f>IF(AND($L1746=1,AND(对接源_02物料!$X546="自备筐",N(对接源_02物料!$V546)&lt;&gt;0)),1,0)</f>
        <v>0</v>
      </c>
      <c r="W1746" s="3">
        <f t="shared" si="474"/>
        <v>8</v>
      </c>
      <c r="X1746" s="3">
        <f>IF(AND($L1746=1,AND(对接源_02物料!$X546="自备筐",N(对接源_02物料!$T546)&lt;&gt;0)),1,0)</f>
        <v>0</v>
      </c>
      <c r="Y1746" s="3">
        <f t="shared" si="475"/>
        <v>0</v>
      </c>
      <c r="Z1746" s="3">
        <f>IF(AND($M1746=1,对接源_02物料!$D546="原料入库"),1,0)</f>
        <v>0</v>
      </c>
      <c r="AA1746" s="3">
        <f t="shared" si="476"/>
        <v>24</v>
      </c>
      <c r="AB1746" s="3">
        <f>IF(AND($M1746=1,LEFT(对接源_02物料!$D546,4)="原料出库"),1,0)</f>
        <v>0</v>
      </c>
      <c r="AC1746" s="3">
        <f t="shared" si="477"/>
        <v>0</v>
      </c>
      <c r="AD1746" s="3">
        <f>IF(AND($M1746=1,LEFT(对接源_02物料!$D546,4)="成品出库"),1,0)</f>
        <v>0</v>
      </c>
      <c r="AE1746" s="3">
        <f t="shared" si="478"/>
        <v>0</v>
      </c>
      <c r="AF1746" s="3">
        <f>IF(AND($N1746=1,AND(LEFT(对接源_02物料!$D546,4)="包装物料",N(对接源_02物料!$K546)&lt;&gt;0)),1,0)</f>
        <v>0</v>
      </c>
      <c r="AG1746" s="3">
        <f t="shared" si="479"/>
        <v>5</v>
      </c>
      <c r="AH1746" s="3">
        <f>IF(AND($N1746=1,AND(对接源_02物料!$D546="周转筐－销售出库",N(对接源_02物料!$K546)&lt;&gt;0)),1,0)</f>
        <v>0</v>
      </c>
      <c r="AI1746" s="3">
        <f t="shared" si="480"/>
        <v>0</v>
      </c>
      <c r="AL1746" s="3">
        <v>0</v>
      </c>
      <c r="AM1746" s="3">
        <f t="shared" si="481"/>
        <v>1</v>
      </c>
      <c r="AN1746" s="3" t="str">
        <f t="shared" si="468"/>
        <v/>
      </c>
      <c r="AO1746" s="3">
        <v>0</v>
      </c>
      <c r="AP1746" s="3">
        <f t="shared" si="482"/>
        <v>8</v>
      </c>
      <c r="AR1746">
        <f t="shared" si="483"/>
        <v>0</v>
      </c>
      <c r="AS1746">
        <f t="shared" si="484"/>
        <v>5</v>
      </c>
    </row>
    <row r="1747" customHeight="1" spans="1:45">
      <c r="A1747" s="3" t="str">
        <f>IF(对接源_02物料!$C547="","",对接源_02物料!$C547)</f>
        <v/>
      </c>
      <c r="B1747" s="3">
        <f t="shared" si="469"/>
        <v>0</v>
      </c>
      <c r="C1747" s="3">
        <f t="shared" si="470"/>
        <v>21</v>
      </c>
      <c r="K1747" s="3">
        <f>IF(OR($K$1="",对接源_02物料!$C547="",对接源_02物料!$C547&lt;&gt;$K$1,对接源_02物料!$B547=""),0,IF(OR(N(对接源_02物料!$B547)&lt;$K$2,N(对接源_02物料!$B547)&gt;$K$3),0,1))</f>
        <v>0</v>
      </c>
      <c r="L1747" s="3">
        <f>IF(OR($L$1="",对接源_02物料!$C547="",对接源_02物料!$C547&lt;&gt;$L$1,对接源_02物料!$B547=""),0,IF(OR(N(对接源_02物料!$B547)&lt;$L$2,N(对接源_02物料!$B547)&gt;$L$3),0,1))</f>
        <v>0</v>
      </c>
      <c r="M1747" s="3">
        <f>IF(OR($M$1="",对接源_02物料!$C547="",对接源_02物料!$C547&lt;&gt;$M$1,对接源_02物料!$B547=""),0,IF(OR(N(对接源_02物料!$B547)&lt;$M$2,N(对接源_02物料!$B547)&gt;$M$3),0,1))</f>
        <v>0</v>
      </c>
      <c r="N1747" s="3">
        <f>IF(OR($N$1="",对接源_02物料!$C547="",对接源_02物料!$C547&lt;&gt;$N$1,对接源_02物料!$B547=""),0,IF(OR(N(对接源_02物料!$B547)&lt;$N$2,N(对接源_02物料!$B547)&gt;$N$3),0,1))</f>
        <v>0</v>
      </c>
      <c r="P1747" s="3">
        <f>IF(AND($K1747=1,AND(对接源_02物料!$X547="公司筐",N(对接源_02物料!$T547)&lt;&gt;0)),1,0)</f>
        <v>0</v>
      </c>
      <c r="Q1747" s="3">
        <f t="shared" si="471"/>
        <v>8</v>
      </c>
      <c r="R1747" s="3">
        <f>IF(AND($K1747=1,AND(对接源_02物料!$X547="公司筐",N(对接源_02物料!$U547)&lt;&gt;0)),1,0)</f>
        <v>0</v>
      </c>
      <c r="S1747" s="3">
        <f t="shared" si="472"/>
        <v>0</v>
      </c>
      <c r="T1747" s="3">
        <f>IF(AND($K1747=1,AND(对接源_02物料!$X547="公司筐",N(对接源_02物料!$V547)&lt;&gt;0)),1,0)</f>
        <v>0</v>
      </c>
      <c r="U1747" s="3">
        <f t="shared" si="473"/>
        <v>19</v>
      </c>
      <c r="V1747" s="3">
        <f>IF(AND($L1747=1,AND(对接源_02物料!$X547="自备筐",N(对接源_02物料!$V547)&lt;&gt;0)),1,0)</f>
        <v>0</v>
      </c>
      <c r="W1747" s="3">
        <f t="shared" si="474"/>
        <v>8</v>
      </c>
      <c r="X1747" s="3">
        <f>IF(AND($L1747=1,AND(对接源_02物料!$X547="自备筐",N(对接源_02物料!$T547)&lt;&gt;0)),1,0)</f>
        <v>0</v>
      </c>
      <c r="Y1747" s="3">
        <f t="shared" si="475"/>
        <v>0</v>
      </c>
      <c r="Z1747" s="3">
        <f>IF(AND($M1747=1,对接源_02物料!$D547="原料入库"),1,0)</f>
        <v>0</v>
      </c>
      <c r="AA1747" s="3">
        <f t="shared" si="476"/>
        <v>24</v>
      </c>
      <c r="AB1747" s="3">
        <f>IF(AND($M1747=1,LEFT(对接源_02物料!$D547,4)="原料出库"),1,0)</f>
        <v>0</v>
      </c>
      <c r="AC1747" s="3">
        <f t="shared" si="477"/>
        <v>0</v>
      </c>
      <c r="AD1747" s="3">
        <f>IF(AND($M1747=1,LEFT(对接源_02物料!$D547,4)="成品出库"),1,0)</f>
        <v>0</v>
      </c>
      <c r="AE1747" s="3">
        <f t="shared" si="478"/>
        <v>0</v>
      </c>
      <c r="AF1747" s="3">
        <f>IF(AND($N1747=1,AND(LEFT(对接源_02物料!$D547,4)="包装物料",N(对接源_02物料!$K547)&lt;&gt;0)),1,0)</f>
        <v>0</v>
      </c>
      <c r="AG1747" s="3">
        <f t="shared" si="479"/>
        <v>5</v>
      </c>
      <c r="AH1747" s="3">
        <f>IF(AND($N1747=1,AND(对接源_02物料!$D547="周转筐－销售出库",N(对接源_02物料!$K547)&lt;&gt;0)),1,0)</f>
        <v>0</v>
      </c>
      <c r="AI1747" s="3">
        <f t="shared" si="480"/>
        <v>0</v>
      </c>
      <c r="AL1747" s="3">
        <v>0</v>
      </c>
      <c r="AM1747" s="3">
        <f t="shared" si="481"/>
        <v>1</v>
      </c>
      <c r="AN1747" s="3" t="str">
        <f t="shared" si="468"/>
        <v/>
      </c>
      <c r="AO1747" s="3">
        <v>0</v>
      </c>
      <c r="AP1747" s="3">
        <f t="shared" si="482"/>
        <v>8</v>
      </c>
      <c r="AR1747">
        <f t="shared" si="483"/>
        <v>0</v>
      </c>
      <c r="AS1747">
        <f t="shared" si="484"/>
        <v>5</v>
      </c>
    </row>
    <row r="1748" customHeight="1" spans="1:45">
      <c r="A1748" s="3" t="str">
        <f>IF(对接源_02物料!$C548="","",对接源_02物料!$C548)</f>
        <v/>
      </c>
      <c r="B1748" s="3">
        <f t="shared" si="469"/>
        <v>0</v>
      </c>
      <c r="C1748" s="3">
        <f t="shared" si="470"/>
        <v>21</v>
      </c>
      <c r="K1748" s="3">
        <f>IF(OR($K$1="",对接源_02物料!$C548="",对接源_02物料!$C548&lt;&gt;$K$1,对接源_02物料!$B548=""),0,IF(OR(N(对接源_02物料!$B548)&lt;$K$2,N(对接源_02物料!$B548)&gt;$K$3),0,1))</f>
        <v>0</v>
      </c>
      <c r="L1748" s="3">
        <f>IF(OR($L$1="",对接源_02物料!$C548="",对接源_02物料!$C548&lt;&gt;$L$1,对接源_02物料!$B548=""),0,IF(OR(N(对接源_02物料!$B548)&lt;$L$2,N(对接源_02物料!$B548)&gt;$L$3),0,1))</f>
        <v>0</v>
      </c>
      <c r="M1748" s="3">
        <f>IF(OR($M$1="",对接源_02物料!$C548="",对接源_02物料!$C548&lt;&gt;$M$1,对接源_02物料!$B548=""),0,IF(OR(N(对接源_02物料!$B548)&lt;$M$2,N(对接源_02物料!$B548)&gt;$M$3),0,1))</f>
        <v>0</v>
      </c>
      <c r="N1748" s="3">
        <f>IF(OR($N$1="",对接源_02物料!$C548="",对接源_02物料!$C548&lt;&gt;$N$1,对接源_02物料!$B548=""),0,IF(OR(N(对接源_02物料!$B548)&lt;$N$2,N(对接源_02物料!$B548)&gt;$N$3),0,1))</f>
        <v>0</v>
      </c>
      <c r="P1748" s="3">
        <f>IF(AND($K1748=1,AND(对接源_02物料!$X548="公司筐",N(对接源_02物料!$T548)&lt;&gt;0)),1,0)</f>
        <v>0</v>
      </c>
      <c r="Q1748" s="3">
        <f t="shared" si="471"/>
        <v>8</v>
      </c>
      <c r="R1748" s="3">
        <f>IF(AND($K1748=1,AND(对接源_02物料!$X548="公司筐",N(对接源_02物料!$U548)&lt;&gt;0)),1,0)</f>
        <v>0</v>
      </c>
      <c r="S1748" s="3">
        <f t="shared" si="472"/>
        <v>0</v>
      </c>
      <c r="T1748" s="3">
        <f>IF(AND($K1748=1,AND(对接源_02物料!$X548="公司筐",N(对接源_02物料!$V548)&lt;&gt;0)),1,0)</f>
        <v>0</v>
      </c>
      <c r="U1748" s="3">
        <f t="shared" si="473"/>
        <v>19</v>
      </c>
      <c r="V1748" s="3">
        <f>IF(AND($L1748=1,AND(对接源_02物料!$X548="自备筐",N(对接源_02物料!$V548)&lt;&gt;0)),1,0)</f>
        <v>0</v>
      </c>
      <c r="W1748" s="3">
        <f t="shared" si="474"/>
        <v>8</v>
      </c>
      <c r="X1748" s="3">
        <f>IF(AND($L1748=1,AND(对接源_02物料!$X548="自备筐",N(对接源_02物料!$T548)&lt;&gt;0)),1,0)</f>
        <v>0</v>
      </c>
      <c r="Y1748" s="3">
        <f t="shared" si="475"/>
        <v>0</v>
      </c>
      <c r="Z1748" s="3">
        <f>IF(AND($M1748=1,对接源_02物料!$D548="原料入库"),1,0)</f>
        <v>0</v>
      </c>
      <c r="AA1748" s="3">
        <f t="shared" si="476"/>
        <v>24</v>
      </c>
      <c r="AB1748" s="3">
        <f>IF(AND($M1748=1,LEFT(对接源_02物料!$D548,4)="原料出库"),1,0)</f>
        <v>0</v>
      </c>
      <c r="AC1748" s="3">
        <f t="shared" si="477"/>
        <v>0</v>
      </c>
      <c r="AD1748" s="3">
        <f>IF(AND($M1748=1,LEFT(对接源_02物料!$D548,4)="成品出库"),1,0)</f>
        <v>0</v>
      </c>
      <c r="AE1748" s="3">
        <f t="shared" si="478"/>
        <v>0</v>
      </c>
      <c r="AF1748" s="3">
        <f>IF(AND($N1748=1,AND(LEFT(对接源_02物料!$D548,4)="包装物料",N(对接源_02物料!$K548)&lt;&gt;0)),1,0)</f>
        <v>0</v>
      </c>
      <c r="AG1748" s="3">
        <f t="shared" si="479"/>
        <v>5</v>
      </c>
      <c r="AH1748" s="3">
        <f>IF(AND($N1748=1,AND(对接源_02物料!$D548="周转筐－销售出库",N(对接源_02物料!$K548)&lt;&gt;0)),1,0)</f>
        <v>0</v>
      </c>
      <c r="AI1748" s="3">
        <f t="shared" si="480"/>
        <v>0</v>
      </c>
      <c r="AL1748" s="3">
        <v>0</v>
      </c>
      <c r="AM1748" s="3">
        <f t="shared" si="481"/>
        <v>1</v>
      </c>
      <c r="AN1748" s="3" t="str">
        <f t="shared" si="468"/>
        <v/>
      </c>
      <c r="AO1748" s="3">
        <v>0</v>
      </c>
      <c r="AP1748" s="3">
        <f t="shared" si="482"/>
        <v>8</v>
      </c>
      <c r="AR1748">
        <f t="shared" si="483"/>
        <v>0</v>
      </c>
      <c r="AS1748">
        <f t="shared" si="484"/>
        <v>5</v>
      </c>
    </row>
    <row r="1749" customHeight="1" spans="1:45">
      <c r="A1749" s="3" t="str">
        <f>IF(对接源_02物料!$C549="","",对接源_02物料!$C549)</f>
        <v/>
      </c>
      <c r="B1749" s="3">
        <f t="shared" si="469"/>
        <v>0</v>
      </c>
      <c r="C1749" s="3">
        <f t="shared" si="470"/>
        <v>21</v>
      </c>
      <c r="K1749" s="3">
        <f>IF(OR($K$1="",对接源_02物料!$C549="",对接源_02物料!$C549&lt;&gt;$K$1,对接源_02物料!$B549=""),0,IF(OR(N(对接源_02物料!$B549)&lt;$K$2,N(对接源_02物料!$B549)&gt;$K$3),0,1))</f>
        <v>0</v>
      </c>
      <c r="L1749" s="3">
        <f>IF(OR($L$1="",对接源_02物料!$C549="",对接源_02物料!$C549&lt;&gt;$L$1,对接源_02物料!$B549=""),0,IF(OR(N(对接源_02物料!$B549)&lt;$L$2,N(对接源_02物料!$B549)&gt;$L$3),0,1))</f>
        <v>0</v>
      </c>
      <c r="M1749" s="3">
        <f>IF(OR($M$1="",对接源_02物料!$C549="",对接源_02物料!$C549&lt;&gt;$M$1,对接源_02物料!$B549=""),0,IF(OR(N(对接源_02物料!$B549)&lt;$M$2,N(对接源_02物料!$B549)&gt;$M$3),0,1))</f>
        <v>0</v>
      </c>
      <c r="N1749" s="3">
        <f>IF(OR($N$1="",对接源_02物料!$C549="",对接源_02物料!$C549&lt;&gt;$N$1,对接源_02物料!$B549=""),0,IF(OR(N(对接源_02物料!$B549)&lt;$N$2,N(对接源_02物料!$B549)&gt;$N$3),0,1))</f>
        <v>0</v>
      </c>
      <c r="P1749" s="3">
        <f>IF(AND($K1749=1,AND(对接源_02物料!$X549="公司筐",N(对接源_02物料!$T549)&lt;&gt;0)),1,0)</f>
        <v>0</v>
      </c>
      <c r="Q1749" s="3">
        <f t="shared" si="471"/>
        <v>8</v>
      </c>
      <c r="R1749" s="3">
        <f>IF(AND($K1749=1,AND(对接源_02物料!$X549="公司筐",N(对接源_02物料!$U549)&lt;&gt;0)),1,0)</f>
        <v>0</v>
      </c>
      <c r="S1749" s="3">
        <f t="shared" si="472"/>
        <v>0</v>
      </c>
      <c r="T1749" s="3">
        <f>IF(AND($K1749=1,AND(对接源_02物料!$X549="公司筐",N(对接源_02物料!$V549)&lt;&gt;0)),1,0)</f>
        <v>0</v>
      </c>
      <c r="U1749" s="3">
        <f t="shared" si="473"/>
        <v>19</v>
      </c>
      <c r="V1749" s="3">
        <f>IF(AND($L1749=1,AND(对接源_02物料!$X549="自备筐",N(对接源_02物料!$V549)&lt;&gt;0)),1,0)</f>
        <v>0</v>
      </c>
      <c r="W1749" s="3">
        <f t="shared" si="474"/>
        <v>8</v>
      </c>
      <c r="X1749" s="3">
        <f>IF(AND($L1749=1,AND(对接源_02物料!$X549="自备筐",N(对接源_02物料!$T549)&lt;&gt;0)),1,0)</f>
        <v>0</v>
      </c>
      <c r="Y1749" s="3">
        <f t="shared" si="475"/>
        <v>0</v>
      </c>
      <c r="Z1749" s="3">
        <f>IF(AND($M1749=1,对接源_02物料!$D549="原料入库"),1,0)</f>
        <v>0</v>
      </c>
      <c r="AA1749" s="3">
        <f t="shared" si="476"/>
        <v>24</v>
      </c>
      <c r="AB1749" s="3">
        <f>IF(AND($M1749=1,LEFT(对接源_02物料!$D549,4)="原料出库"),1,0)</f>
        <v>0</v>
      </c>
      <c r="AC1749" s="3">
        <f t="shared" si="477"/>
        <v>0</v>
      </c>
      <c r="AD1749" s="3">
        <f>IF(AND($M1749=1,LEFT(对接源_02物料!$D549,4)="成品出库"),1,0)</f>
        <v>0</v>
      </c>
      <c r="AE1749" s="3">
        <f t="shared" si="478"/>
        <v>0</v>
      </c>
      <c r="AF1749" s="3">
        <f>IF(AND($N1749=1,AND(LEFT(对接源_02物料!$D549,4)="包装物料",N(对接源_02物料!$K549)&lt;&gt;0)),1,0)</f>
        <v>0</v>
      </c>
      <c r="AG1749" s="3">
        <f t="shared" si="479"/>
        <v>5</v>
      </c>
      <c r="AH1749" s="3">
        <f>IF(AND($N1749=1,AND(对接源_02物料!$D549="周转筐－销售出库",N(对接源_02物料!$K549)&lt;&gt;0)),1,0)</f>
        <v>0</v>
      </c>
      <c r="AI1749" s="3">
        <f t="shared" si="480"/>
        <v>0</v>
      </c>
      <c r="AL1749" s="3">
        <v>0</v>
      </c>
      <c r="AM1749" s="3">
        <f t="shared" si="481"/>
        <v>1</v>
      </c>
      <c r="AN1749" s="3" t="str">
        <f t="shared" si="468"/>
        <v/>
      </c>
      <c r="AO1749" s="3">
        <v>0</v>
      </c>
      <c r="AP1749" s="3">
        <f t="shared" si="482"/>
        <v>8</v>
      </c>
      <c r="AR1749">
        <f t="shared" si="483"/>
        <v>0</v>
      </c>
      <c r="AS1749">
        <f t="shared" si="484"/>
        <v>5</v>
      </c>
    </row>
    <row r="1750" customHeight="1" spans="1:45">
      <c r="A1750" s="3" t="str">
        <f>IF(对接源_02物料!$C550="","",对接源_02物料!$C550)</f>
        <v/>
      </c>
      <c r="B1750" s="3">
        <f t="shared" si="469"/>
        <v>0</v>
      </c>
      <c r="C1750" s="3">
        <f t="shared" si="470"/>
        <v>21</v>
      </c>
      <c r="K1750" s="3">
        <f>IF(OR($K$1="",对接源_02物料!$C550="",对接源_02物料!$C550&lt;&gt;$K$1,对接源_02物料!$B550=""),0,IF(OR(N(对接源_02物料!$B550)&lt;$K$2,N(对接源_02物料!$B550)&gt;$K$3),0,1))</f>
        <v>0</v>
      </c>
      <c r="L1750" s="3">
        <f>IF(OR($L$1="",对接源_02物料!$C550="",对接源_02物料!$C550&lt;&gt;$L$1,对接源_02物料!$B550=""),0,IF(OR(N(对接源_02物料!$B550)&lt;$L$2,N(对接源_02物料!$B550)&gt;$L$3),0,1))</f>
        <v>0</v>
      </c>
      <c r="M1750" s="3">
        <f>IF(OR($M$1="",对接源_02物料!$C550="",对接源_02物料!$C550&lt;&gt;$M$1,对接源_02物料!$B550=""),0,IF(OR(N(对接源_02物料!$B550)&lt;$M$2,N(对接源_02物料!$B550)&gt;$M$3),0,1))</f>
        <v>0</v>
      </c>
      <c r="N1750" s="3">
        <f>IF(OR($N$1="",对接源_02物料!$C550="",对接源_02物料!$C550&lt;&gt;$N$1,对接源_02物料!$B550=""),0,IF(OR(N(对接源_02物料!$B550)&lt;$N$2,N(对接源_02物料!$B550)&gt;$N$3),0,1))</f>
        <v>0</v>
      </c>
      <c r="P1750" s="3">
        <f>IF(AND($K1750=1,AND(对接源_02物料!$X550="公司筐",N(对接源_02物料!$T550)&lt;&gt;0)),1,0)</f>
        <v>0</v>
      </c>
      <c r="Q1750" s="3">
        <f t="shared" si="471"/>
        <v>8</v>
      </c>
      <c r="R1750" s="3">
        <f>IF(AND($K1750=1,AND(对接源_02物料!$X550="公司筐",N(对接源_02物料!$U550)&lt;&gt;0)),1,0)</f>
        <v>0</v>
      </c>
      <c r="S1750" s="3">
        <f t="shared" si="472"/>
        <v>0</v>
      </c>
      <c r="T1750" s="3">
        <f>IF(AND($K1750=1,AND(对接源_02物料!$X550="公司筐",N(对接源_02物料!$V550)&lt;&gt;0)),1,0)</f>
        <v>0</v>
      </c>
      <c r="U1750" s="3">
        <f t="shared" si="473"/>
        <v>19</v>
      </c>
      <c r="V1750" s="3">
        <f>IF(AND($L1750=1,AND(对接源_02物料!$X550="自备筐",N(对接源_02物料!$V550)&lt;&gt;0)),1,0)</f>
        <v>0</v>
      </c>
      <c r="W1750" s="3">
        <f t="shared" si="474"/>
        <v>8</v>
      </c>
      <c r="X1750" s="3">
        <f>IF(AND($L1750=1,AND(对接源_02物料!$X550="自备筐",N(对接源_02物料!$T550)&lt;&gt;0)),1,0)</f>
        <v>0</v>
      </c>
      <c r="Y1750" s="3">
        <f t="shared" si="475"/>
        <v>0</v>
      </c>
      <c r="Z1750" s="3">
        <f>IF(AND($M1750=1,对接源_02物料!$D550="原料入库"),1,0)</f>
        <v>0</v>
      </c>
      <c r="AA1750" s="3">
        <f t="shared" si="476"/>
        <v>24</v>
      </c>
      <c r="AB1750" s="3">
        <f>IF(AND($M1750=1,LEFT(对接源_02物料!$D550,4)="原料出库"),1,0)</f>
        <v>0</v>
      </c>
      <c r="AC1750" s="3">
        <f t="shared" si="477"/>
        <v>0</v>
      </c>
      <c r="AD1750" s="3">
        <f>IF(AND($M1750=1,LEFT(对接源_02物料!$D550,4)="成品出库"),1,0)</f>
        <v>0</v>
      </c>
      <c r="AE1750" s="3">
        <f t="shared" si="478"/>
        <v>0</v>
      </c>
      <c r="AF1750" s="3">
        <f>IF(AND($N1750=1,AND(LEFT(对接源_02物料!$D550,4)="包装物料",N(对接源_02物料!$K550)&lt;&gt;0)),1,0)</f>
        <v>0</v>
      </c>
      <c r="AG1750" s="3">
        <f t="shared" si="479"/>
        <v>5</v>
      </c>
      <c r="AH1750" s="3">
        <f>IF(AND($N1750=1,AND(对接源_02物料!$D550="周转筐－销售出库",N(对接源_02物料!$K550)&lt;&gt;0)),1,0)</f>
        <v>0</v>
      </c>
      <c r="AI1750" s="3">
        <f t="shared" si="480"/>
        <v>0</v>
      </c>
      <c r="AL1750" s="3">
        <v>0</v>
      </c>
      <c r="AM1750" s="3">
        <f t="shared" si="481"/>
        <v>1</v>
      </c>
      <c r="AN1750" s="3" t="str">
        <f t="shared" si="468"/>
        <v/>
      </c>
      <c r="AO1750" s="3">
        <v>0</v>
      </c>
      <c r="AP1750" s="3">
        <f t="shared" si="482"/>
        <v>8</v>
      </c>
      <c r="AR1750">
        <f t="shared" si="483"/>
        <v>0</v>
      </c>
      <c r="AS1750">
        <f t="shared" si="484"/>
        <v>5</v>
      </c>
    </row>
    <row r="1751" customHeight="1" spans="1:45">
      <c r="A1751" s="3" t="str">
        <f>IF(对接源_02物料!$C551="","",对接源_02物料!$C551)</f>
        <v/>
      </c>
      <c r="B1751" s="3">
        <f t="shared" si="469"/>
        <v>0</v>
      </c>
      <c r="C1751" s="3">
        <f t="shared" si="470"/>
        <v>21</v>
      </c>
      <c r="K1751" s="3">
        <f>IF(OR($K$1="",对接源_02物料!$C551="",对接源_02物料!$C551&lt;&gt;$K$1,对接源_02物料!$B551=""),0,IF(OR(N(对接源_02物料!$B551)&lt;$K$2,N(对接源_02物料!$B551)&gt;$K$3),0,1))</f>
        <v>0</v>
      </c>
      <c r="L1751" s="3">
        <f>IF(OR($L$1="",对接源_02物料!$C551="",对接源_02物料!$C551&lt;&gt;$L$1,对接源_02物料!$B551=""),0,IF(OR(N(对接源_02物料!$B551)&lt;$L$2,N(对接源_02物料!$B551)&gt;$L$3),0,1))</f>
        <v>0</v>
      </c>
      <c r="M1751" s="3">
        <f>IF(OR($M$1="",对接源_02物料!$C551="",对接源_02物料!$C551&lt;&gt;$M$1,对接源_02物料!$B551=""),0,IF(OR(N(对接源_02物料!$B551)&lt;$M$2,N(对接源_02物料!$B551)&gt;$M$3),0,1))</f>
        <v>0</v>
      </c>
      <c r="N1751" s="3">
        <f>IF(OR($N$1="",对接源_02物料!$C551="",对接源_02物料!$C551&lt;&gt;$N$1,对接源_02物料!$B551=""),0,IF(OR(N(对接源_02物料!$B551)&lt;$N$2,N(对接源_02物料!$B551)&gt;$N$3),0,1))</f>
        <v>0</v>
      </c>
      <c r="P1751" s="3">
        <f>IF(AND($K1751=1,AND(对接源_02物料!$X551="公司筐",N(对接源_02物料!$T551)&lt;&gt;0)),1,0)</f>
        <v>0</v>
      </c>
      <c r="Q1751" s="3">
        <f t="shared" si="471"/>
        <v>8</v>
      </c>
      <c r="R1751" s="3">
        <f>IF(AND($K1751=1,AND(对接源_02物料!$X551="公司筐",N(对接源_02物料!$U551)&lt;&gt;0)),1,0)</f>
        <v>0</v>
      </c>
      <c r="S1751" s="3">
        <f t="shared" si="472"/>
        <v>0</v>
      </c>
      <c r="T1751" s="3">
        <f>IF(AND($K1751=1,AND(对接源_02物料!$X551="公司筐",N(对接源_02物料!$V551)&lt;&gt;0)),1,0)</f>
        <v>0</v>
      </c>
      <c r="U1751" s="3">
        <f t="shared" si="473"/>
        <v>19</v>
      </c>
      <c r="V1751" s="3">
        <f>IF(AND($L1751=1,AND(对接源_02物料!$X551="自备筐",N(对接源_02物料!$V551)&lt;&gt;0)),1,0)</f>
        <v>0</v>
      </c>
      <c r="W1751" s="3">
        <f t="shared" si="474"/>
        <v>8</v>
      </c>
      <c r="X1751" s="3">
        <f>IF(AND($L1751=1,AND(对接源_02物料!$X551="自备筐",N(对接源_02物料!$T551)&lt;&gt;0)),1,0)</f>
        <v>0</v>
      </c>
      <c r="Y1751" s="3">
        <f t="shared" si="475"/>
        <v>0</v>
      </c>
      <c r="Z1751" s="3">
        <f>IF(AND($M1751=1,对接源_02物料!$D551="原料入库"),1,0)</f>
        <v>0</v>
      </c>
      <c r="AA1751" s="3">
        <f t="shared" si="476"/>
        <v>24</v>
      </c>
      <c r="AB1751" s="3">
        <f>IF(AND($M1751=1,LEFT(对接源_02物料!$D551,4)="原料出库"),1,0)</f>
        <v>0</v>
      </c>
      <c r="AC1751" s="3">
        <f t="shared" si="477"/>
        <v>0</v>
      </c>
      <c r="AD1751" s="3">
        <f>IF(AND($M1751=1,LEFT(对接源_02物料!$D551,4)="成品出库"),1,0)</f>
        <v>0</v>
      </c>
      <c r="AE1751" s="3">
        <f t="shared" si="478"/>
        <v>0</v>
      </c>
      <c r="AF1751" s="3">
        <f>IF(AND($N1751=1,AND(LEFT(对接源_02物料!$D551,4)="包装物料",N(对接源_02物料!$K551)&lt;&gt;0)),1,0)</f>
        <v>0</v>
      </c>
      <c r="AG1751" s="3">
        <f t="shared" si="479"/>
        <v>5</v>
      </c>
      <c r="AH1751" s="3">
        <f>IF(AND($N1751=1,AND(对接源_02物料!$D551="周转筐－销售出库",N(对接源_02物料!$K551)&lt;&gt;0)),1,0)</f>
        <v>0</v>
      </c>
      <c r="AI1751" s="3">
        <f t="shared" si="480"/>
        <v>0</v>
      </c>
      <c r="AL1751" s="3">
        <v>0</v>
      </c>
      <c r="AM1751" s="3">
        <f t="shared" si="481"/>
        <v>1</v>
      </c>
      <c r="AN1751" s="3" t="str">
        <f t="shared" si="468"/>
        <v/>
      </c>
      <c r="AO1751" s="3">
        <v>0</v>
      </c>
      <c r="AP1751" s="3">
        <f t="shared" si="482"/>
        <v>8</v>
      </c>
      <c r="AR1751">
        <f t="shared" si="483"/>
        <v>0</v>
      </c>
      <c r="AS1751">
        <f t="shared" si="484"/>
        <v>5</v>
      </c>
    </row>
    <row r="1752" customHeight="1" spans="1:45">
      <c r="A1752" s="3" t="str">
        <f>IF(对接源_02物料!$C552="","",对接源_02物料!$C552)</f>
        <v/>
      </c>
      <c r="B1752" s="3">
        <f t="shared" si="469"/>
        <v>0</v>
      </c>
      <c r="C1752" s="3">
        <f t="shared" si="470"/>
        <v>21</v>
      </c>
      <c r="K1752" s="3">
        <f>IF(OR($K$1="",对接源_02物料!$C552="",对接源_02物料!$C552&lt;&gt;$K$1,对接源_02物料!$B552=""),0,IF(OR(N(对接源_02物料!$B552)&lt;$K$2,N(对接源_02物料!$B552)&gt;$K$3),0,1))</f>
        <v>0</v>
      </c>
      <c r="L1752" s="3">
        <f>IF(OR($L$1="",对接源_02物料!$C552="",对接源_02物料!$C552&lt;&gt;$L$1,对接源_02物料!$B552=""),0,IF(OR(N(对接源_02物料!$B552)&lt;$L$2,N(对接源_02物料!$B552)&gt;$L$3),0,1))</f>
        <v>0</v>
      </c>
      <c r="M1752" s="3">
        <f>IF(OR($M$1="",对接源_02物料!$C552="",对接源_02物料!$C552&lt;&gt;$M$1,对接源_02物料!$B552=""),0,IF(OR(N(对接源_02物料!$B552)&lt;$M$2,N(对接源_02物料!$B552)&gt;$M$3),0,1))</f>
        <v>0</v>
      </c>
      <c r="N1752" s="3">
        <f>IF(OR($N$1="",对接源_02物料!$C552="",对接源_02物料!$C552&lt;&gt;$N$1,对接源_02物料!$B552=""),0,IF(OR(N(对接源_02物料!$B552)&lt;$N$2,N(对接源_02物料!$B552)&gt;$N$3),0,1))</f>
        <v>0</v>
      </c>
      <c r="P1752" s="3">
        <f>IF(AND($K1752=1,AND(对接源_02物料!$X552="公司筐",N(对接源_02物料!$T552)&lt;&gt;0)),1,0)</f>
        <v>0</v>
      </c>
      <c r="Q1752" s="3">
        <f t="shared" si="471"/>
        <v>8</v>
      </c>
      <c r="R1752" s="3">
        <f>IF(AND($K1752=1,AND(对接源_02物料!$X552="公司筐",N(对接源_02物料!$U552)&lt;&gt;0)),1,0)</f>
        <v>0</v>
      </c>
      <c r="S1752" s="3">
        <f t="shared" si="472"/>
        <v>0</v>
      </c>
      <c r="T1752" s="3">
        <f>IF(AND($K1752=1,AND(对接源_02物料!$X552="公司筐",N(对接源_02物料!$V552)&lt;&gt;0)),1,0)</f>
        <v>0</v>
      </c>
      <c r="U1752" s="3">
        <f t="shared" si="473"/>
        <v>19</v>
      </c>
      <c r="V1752" s="3">
        <f>IF(AND($L1752=1,AND(对接源_02物料!$X552="自备筐",N(对接源_02物料!$V552)&lt;&gt;0)),1,0)</f>
        <v>0</v>
      </c>
      <c r="W1752" s="3">
        <f t="shared" si="474"/>
        <v>8</v>
      </c>
      <c r="X1752" s="3">
        <f>IF(AND($L1752=1,AND(对接源_02物料!$X552="自备筐",N(对接源_02物料!$T552)&lt;&gt;0)),1,0)</f>
        <v>0</v>
      </c>
      <c r="Y1752" s="3">
        <f t="shared" si="475"/>
        <v>0</v>
      </c>
      <c r="Z1752" s="3">
        <f>IF(AND($M1752=1,对接源_02物料!$D552="原料入库"),1,0)</f>
        <v>0</v>
      </c>
      <c r="AA1752" s="3">
        <f t="shared" si="476"/>
        <v>24</v>
      </c>
      <c r="AB1752" s="3">
        <f>IF(AND($M1752=1,LEFT(对接源_02物料!$D552,4)="原料出库"),1,0)</f>
        <v>0</v>
      </c>
      <c r="AC1752" s="3">
        <f t="shared" si="477"/>
        <v>0</v>
      </c>
      <c r="AD1752" s="3">
        <f>IF(AND($M1752=1,LEFT(对接源_02物料!$D552,4)="成品出库"),1,0)</f>
        <v>0</v>
      </c>
      <c r="AE1752" s="3">
        <f t="shared" si="478"/>
        <v>0</v>
      </c>
      <c r="AF1752" s="3">
        <f>IF(AND($N1752=1,AND(LEFT(对接源_02物料!$D552,4)="包装物料",N(对接源_02物料!$K552)&lt;&gt;0)),1,0)</f>
        <v>0</v>
      </c>
      <c r="AG1752" s="3">
        <f t="shared" si="479"/>
        <v>5</v>
      </c>
      <c r="AH1752" s="3">
        <f>IF(AND($N1752=1,AND(对接源_02物料!$D552="周转筐－销售出库",N(对接源_02物料!$K552)&lt;&gt;0)),1,0)</f>
        <v>0</v>
      </c>
      <c r="AI1752" s="3">
        <f t="shared" si="480"/>
        <v>0</v>
      </c>
      <c r="AL1752" s="3">
        <v>0</v>
      </c>
      <c r="AM1752" s="3">
        <f t="shared" si="481"/>
        <v>1</v>
      </c>
      <c r="AN1752" s="3" t="str">
        <f t="shared" si="468"/>
        <v/>
      </c>
      <c r="AO1752" s="3">
        <v>0</v>
      </c>
      <c r="AP1752" s="3">
        <f t="shared" si="482"/>
        <v>8</v>
      </c>
      <c r="AR1752">
        <f t="shared" si="483"/>
        <v>0</v>
      </c>
      <c r="AS1752">
        <f t="shared" si="484"/>
        <v>5</v>
      </c>
    </row>
    <row r="1753" customHeight="1" spans="1:45">
      <c r="A1753" s="3" t="str">
        <f>IF(对接源_02物料!$C553="","",对接源_02物料!$C553)</f>
        <v/>
      </c>
      <c r="B1753" s="3">
        <f t="shared" si="469"/>
        <v>0</v>
      </c>
      <c r="C1753" s="3">
        <f t="shared" si="470"/>
        <v>21</v>
      </c>
      <c r="K1753" s="3">
        <f>IF(OR($K$1="",对接源_02物料!$C553="",对接源_02物料!$C553&lt;&gt;$K$1,对接源_02物料!$B553=""),0,IF(OR(N(对接源_02物料!$B553)&lt;$K$2,N(对接源_02物料!$B553)&gt;$K$3),0,1))</f>
        <v>0</v>
      </c>
      <c r="L1753" s="3">
        <f>IF(OR($L$1="",对接源_02物料!$C553="",对接源_02物料!$C553&lt;&gt;$L$1,对接源_02物料!$B553=""),0,IF(OR(N(对接源_02物料!$B553)&lt;$L$2,N(对接源_02物料!$B553)&gt;$L$3),0,1))</f>
        <v>0</v>
      </c>
      <c r="M1753" s="3">
        <f>IF(OR($M$1="",对接源_02物料!$C553="",对接源_02物料!$C553&lt;&gt;$M$1,对接源_02物料!$B553=""),0,IF(OR(N(对接源_02物料!$B553)&lt;$M$2,N(对接源_02物料!$B553)&gt;$M$3),0,1))</f>
        <v>0</v>
      </c>
      <c r="N1753" s="3">
        <f>IF(OR($N$1="",对接源_02物料!$C553="",对接源_02物料!$C553&lt;&gt;$N$1,对接源_02物料!$B553=""),0,IF(OR(N(对接源_02物料!$B553)&lt;$N$2,N(对接源_02物料!$B553)&gt;$N$3),0,1))</f>
        <v>0</v>
      </c>
      <c r="P1753" s="3">
        <f>IF(AND($K1753=1,AND(对接源_02物料!$X553="公司筐",N(对接源_02物料!$T553)&lt;&gt;0)),1,0)</f>
        <v>0</v>
      </c>
      <c r="Q1753" s="3">
        <f t="shared" si="471"/>
        <v>8</v>
      </c>
      <c r="R1753" s="3">
        <f>IF(AND($K1753=1,AND(对接源_02物料!$X553="公司筐",N(对接源_02物料!$U553)&lt;&gt;0)),1,0)</f>
        <v>0</v>
      </c>
      <c r="S1753" s="3">
        <f t="shared" si="472"/>
        <v>0</v>
      </c>
      <c r="T1753" s="3">
        <f>IF(AND($K1753=1,AND(对接源_02物料!$X553="公司筐",N(对接源_02物料!$V553)&lt;&gt;0)),1,0)</f>
        <v>0</v>
      </c>
      <c r="U1753" s="3">
        <f t="shared" si="473"/>
        <v>19</v>
      </c>
      <c r="V1753" s="3">
        <f>IF(AND($L1753=1,AND(对接源_02物料!$X553="自备筐",N(对接源_02物料!$V553)&lt;&gt;0)),1,0)</f>
        <v>0</v>
      </c>
      <c r="W1753" s="3">
        <f t="shared" si="474"/>
        <v>8</v>
      </c>
      <c r="X1753" s="3">
        <f>IF(AND($L1753=1,AND(对接源_02物料!$X553="自备筐",N(对接源_02物料!$T553)&lt;&gt;0)),1,0)</f>
        <v>0</v>
      </c>
      <c r="Y1753" s="3">
        <f t="shared" si="475"/>
        <v>0</v>
      </c>
      <c r="Z1753" s="3">
        <f>IF(AND($M1753=1,对接源_02物料!$D553="原料入库"),1,0)</f>
        <v>0</v>
      </c>
      <c r="AA1753" s="3">
        <f t="shared" si="476"/>
        <v>24</v>
      </c>
      <c r="AB1753" s="3">
        <f>IF(AND($M1753=1,LEFT(对接源_02物料!$D553,4)="原料出库"),1,0)</f>
        <v>0</v>
      </c>
      <c r="AC1753" s="3">
        <f t="shared" si="477"/>
        <v>0</v>
      </c>
      <c r="AD1753" s="3">
        <f>IF(AND($M1753=1,LEFT(对接源_02物料!$D553,4)="成品出库"),1,0)</f>
        <v>0</v>
      </c>
      <c r="AE1753" s="3">
        <f t="shared" si="478"/>
        <v>0</v>
      </c>
      <c r="AF1753" s="3">
        <f>IF(AND($N1753=1,AND(LEFT(对接源_02物料!$D553,4)="包装物料",N(对接源_02物料!$K553)&lt;&gt;0)),1,0)</f>
        <v>0</v>
      </c>
      <c r="AG1753" s="3">
        <f t="shared" si="479"/>
        <v>5</v>
      </c>
      <c r="AH1753" s="3">
        <f>IF(AND($N1753=1,AND(对接源_02物料!$D553="周转筐－销售出库",N(对接源_02物料!$K553)&lt;&gt;0)),1,0)</f>
        <v>0</v>
      </c>
      <c r="AI1753" s="3">
        <f t="shared" si="480"/>
        <v>0</v>
      </c>
      <c r="AL1753" s="3">
        <v>0</v>
      </c>
      <c r="AM1753" s="3">
        <f t="shared" si="481"/>
        <v>1</v>
      </c>
      <c r="AN1753" s="3" t="str">
        <f t="shared" si="468"/>
        <v/>
      </c>
      <c r="AO1753" s="3">
        <v>0</v>
      </c>
      <c r="AP1753" s="3">
        <f t="shared" si="482"/>
        <v>8</v>
      </c>
      <c r="AR1753">
        <f t="shared" si="483"/>
        <v>0</v>
      </c>
      <c r="AS1753">
        <f t="shared" si="484"/>
        <v>5</v>
      </c>
    </row>
    <row r="1754" customHeight="1" spans="1:45">
      <c r="A1754" s="3" t="str">
        <f>IF(对接源_02物料!$C554="","",对接源_02物料!$C554)</f>
        <v/>
      </c>
      <c r="B1754" s="3">
        <f t="shared" si="469"/>
        <v>0</v>
      </c>
      <c r="C1754" s="3">
        <f t="shared" si="470"/>
        <v>21</v>
      </c>
      <c r="K1754" s="3">
        <f>IF(OR($K$1="",对接源_02物料!$C554="",对接源_02物料!$C554&lt;&gt;$K$1,对接源_02物料!$B554=""),0,IF(OR(N(对接源_02物料!$B554)&lt;$K$2,N(对接源_02物料!$B554)&gt;$K$3),0,1))</f>
        <v>0</v>
      </c>
      <c r="L1754" s="3">
        <f>IF(OR($L$1="",对接源_02物料!$C554="",对接源_02物料!$C554&lt;&gt;$L$1,对接源_02物料!$B554=""),0,IF(OR(N(对接源_02物料!$B554)&lt;$L$2,N(对接源_02物料!$B554)&gt;$L$3),0,1))</f>
        <v>0</v>
      </c>
      <c r="M1754" s="3">
        <f>IF(OR($M$1="",对接源_02物料!$C554="",对接源_02物料!$C554&lt;&gt;$M$1,对接源_02物料!$B554=""),0,IF(OR(N(对接源_02物料!$B554)&lt;$M$2,N(对接源_02物料!$B554)&gt;$M$3),0,1))</f>
        <v>0</v>
      </c>
      <c r="N1754" s="3">
        <f>IF(OR($N$1="",对接源_02物料!$C554="",对接源_02物料!$C554&lt;&gt;$N$1,对接源_02物料!$B554=""),0,IF(OR(N(对接源_02物料!$B554)&lt;$N$2,N(对接源_02物料!$B554)&gt;$N$3),0,1))</f>
        <v>0</v>
      </c>
      <c r="P1754" s="3">
        <f>IF(AND($K1754=1,AND(对接源_02物料!$X554="公司筐",N(对接源_02物料!$T554)&lt;&gt;0)),1,0)</f>
        <v>0</v>
      </c>
      <c r="Q1754" s="3">
        <f t="shared" si="471"/>
        <v>8</v>
      </c>
      <c r="R1754" s="3">
        <f>IF(AND($K1754=1,AND(对接源_02物料!$X554="公司筐",N(对接源_02物料!$U554)&lt;&gt;0)),1,0)</f>
        <v>0</v>
      </c>
      <c r="S1754" s="3">
        <f t="shared" si="472"/>
        <v>0</v>
      </c>
      <c r="T1754" s="3">
        <f>IF(AND($K1754=1,AND(对接源_02物料!$X554="公司筐",N(对接源_02物料!$V554)&lt;&gt;0)),1,0)</f>
        <v>0</v>
      </c>
      <c r="U1754" s="3">
        <f t="shared" si="473"/>
        <v>19</v>
      </c>
      <c r="V1754" s="3">
        <f>IF(AND($L1754=1,AND(对接源_02物料!$X554="自备筐",N(对接源_02物料!$V554)&lt;&gt;0)),1,0)</f>
        <v>0</v>
      </c>
      <c r="W1754" s="3">
        <f t="shared" si="474"/>
        <v>8</v>
      </c>
      <c r="X1754" s="3">
        <f>IF(AND($L1754=1,AND(对接源_02物料!$X554="自备筐",N(对接源_02物料!$T554)&lt;&gt;0)),1,0)</f>
        <v>0</v>
      </c>
      <c r="Y1754" s="3">
        <f t="shared" si="475"/>
        <v>0</v>
      </c>
      <c r="Z1754" s="3">
        <f>IF(AND($M1754=1,对接源_02物料!$D554="原料入库"),1,0)</f>
        <v>0</v>
      </c>
      <c r="AA1754" s="3">
        <f t="shared" si="476"/>
        <v>24</v>
      </c>
      <c r="AB1754" s="3">
        <f>IF(AND($M1754=1,LEFT(对接源_02物料!$D554,4)="原料出库"),1,0)</f>
        <v>0</v>
      </c>
      <c r="AC1754" s="3">
        <f t="shared" si="477"/>
        <v>0</v>
      </c>
      <c r="AD1754" s="3">
        <f>IF(AND($M1754=1,LEFT(对接源_02物料!$D554,4)="成品出库"),1,0)</f>
        <v>0</v>
      </c>
      <c r="AE1754" s="3">
        <f t="shared" si="478"/>
        <v>0</v>
      </c>
      <c r="AF1754" s="3">
        <f>IF(AND($N1754=1,AND(LEFT(对接源_02物料!$D554,4)="包装物料",N(对接源_02物料!$K554)&lt;&gt;0)),1,0)</f>
        <v>0</v>
      </c>
      <c r="AG1754" s="3">
        <f t="shared" si="479"/>
        <v>5</v>
      </c>
      <c r="AH1754" s="3">
        <f>IF(AND($N1754=1,AND(对接源_02物料!$D554="周转筐－销售出库",N(对接源_02物料!$K554)&lt;&gt;0)),1,0)</f>
        <v>0</v>
      </c>
      <c r="AI1754" s="3">
        <f t="shared" si="480"/>
        <v>0</v>
      </c>
      <c r="AL1754" s="3">
        <v>0</v>
      </c>
      <c r="AM1754" s="3">
        <f t="shared" si="481"/>
        <v>1</v>
      </c>
      <c r="AN1754" s="3" t="str">
        <f t="shared" si="468"/>
        <v/>
      </c>
      <c r="AO1754" s="3">
        <v>0</v>
      </c>
      <c r="AP1754" s="3">
        <f t="shared" si="482"/>
        <v>8</v>
      </c>
      <c r="AR1754">
        <f t="shared" si="483"/>
        <v>0</v>
      </c>
      <c r="AS1754">
        <f t="shared" si="484"/>
        <v>5</v>
      </c>
    </row>
    <row r="1755" customHeight="1" spans="1:45">
      <c r="A1755" s="3" t="str">
        <f>IF(对接源_02物料!$C555="","",对接源_02物料!$C555)</f>
        <v/>
      </c>
      <c r="B1755" s="3">
        <f t="shared" si="469"/>
        <v>0</v>
      </c>
      <c r="C1755" s="3">
        <f t="shared" si="470"/>
        <v>21</v>
      </c>
      <c r="K1755" s="3">
        <f>IF(OR($K$1="",对接源_02物料!$C555="",对接源_02物料!$C555&lt;&gt;$K$1,对接源_02物料!$B555=""),0,IF(OR(N(对接源_02物料!$B555)&lt;$K$2,N(对接源_02物料!$B555)&gt;$K$3),0,1))</f>
        <v>0</v>
      </c>
      <c r="L1755" s="3">
        <f>IF(OR($L$1="",对接源_02物料!$C555="",对接源_02物料!$C555&lt;&gt;$L$1,对接源_02物料!$B555=""),0,IF(OR(N(对接源_02物料!$B555)&lt;$L$2,N(对接源_02物料!$B555)&gt;$L$3),0,1))</f>
        <v>0</v>
      </c>
      <c r="M1755" s="3">
        <f>IF(OR($M$1="",对接源_02物料!$C555="",对接源_02物料!$C555&lt;&gt;$M$1,对接源_02物料!$B555=""),0,IF(OR(N(对接源_02物料!$B555)&lt;$M$2,N(对接源_02物料!$B555)&gt;$M$3),0,1))</f>
        <v>0</v>
      </c>
      <c r="N1755" s="3">
        <f>IF(OR($N$1="",对接源_02物料!$C555="",对接源_02物料!$C555&lt;&gt;$N$1,对接源_02物料!$B555=""),0,IF(OR(N(对接源_02物料!$B555)&lt;$N$2,N(对接源_02物料!$B555)&gt;$N$3),0,1))</f>
        <v>0</v>
      </c>
      <c r="P1755" s="3">
        <f>IF(AND($K1755=1,AND(对接源_02物料!$X555="公司筐",N(对接源_02物料!$T555)&lt;&gt;0)),1,0)</f>
        <v>0</v>
      </c>
      <c r="Q1755" s="3">
        <f t="shared" si="471"/>
        <v>8</v>
      </c>
      <c r="R1755" s="3">
        <f>IF(AND($K1755=1,AND(对接源_02物料!$X555="公司筐",N(对接源_02物料!$U555)&lt;&gt;0)),1,0)</f>
        <v>0</v>
      </c>
      <c r="S1755" s="3">
        <f t="shared" si="472"/>
        <v>0</v>
      </c>
      <c r="T1755" s="3">
        <f>IF(AND($K1755=1,AND(对接源_02物料!$X555="公司筐",N(对接源_02物料!$V555)&lt;&gt;0)),1,0)</f>
        <v>0</v>
      </c>
      <c r="U1755" s="3">
        <f t="shared" si="473"/>
        <v>19</v>
      </c>
      <c r="V1755" s="3">
        <f>IF(AND($L1755=1,AND(对接源_02物料!$X555="自备筐",N(对接源_02物料!$V555)&lt;&gt;0)),1,0)</f>
        <v>0</v>
      </c>
      <c r="W1755" s="3">
        <f t="shared" si="474"/>
        <v>8</v>
      </c>
      <c r="X1755" s="3">
        <f>IF(AND($L1755=1,AND(对接源_02物料!$X555="自备筐",N(对接源_02物料!$T555)&lt;&gt;0)),1,0)</f>
        <v>0</v>
      </c>
      <c r="Y1755" s="3">
        <f t="shared" si="475"/>
        <v>0</v>
      </c>
      <c r="Z1755" s="3">
        <f>IF(AND($M1755=1,对接源_02物料!$D555="原料入库"),1,0)</f>
        <v>0</v>
      </c>
      <c r="AA1755" s="3">
        <f t="shared" si="476"/>
        <v>24</v>
      </c>
      <c r="AB1755" s="3">
        <f>IF(AND($M1755=1,LEFT(对接源_02物料!$D555,4)="原料出库"),1,0)</f>
        <v>0</v>
      </c>
      <c r="AC1755" s="3">
        <f t="shared" si="477"/>
        <v>0</v>
      </c>
      <c r="AD1755" s="3">
        <f>IF(AND($M1755=1,LEFT(对接源_02物料!$D555,4)="成品出库"),1,0)</f>
        <v>0</v>
      </c>
      <c r="AE1755" s="3">
        <f t="shared" si="478"/>
        <v>0</v>
      </c>
      <c r="AF1755" s="3">
        <f>IF(AND($N1755=1,AND(LEFT(对接源_02物料!$D555,4)="包装物料",N(对接源_02物料!$K555)&lt;&gt;0)),1,0)</f>
        <v>0</v>
      </c>
      <c r="AG1755" s="3">
        <f t="shared" si="479"/>
        <v>5</v>
      </c>
      <c r="AH1755" s="3">
        <f>IF(AND($N1755=1,AND(对接源_02物料!$D555="周转筐－销售出库",N(对接源_02物料!$K555)&lt;&gt;0)),1,0)</f>
        <v>0</v>
      </c>
      <c r="AI1755" s="3">
        <f t="shared" si="480"/>
        <v>0</v>
      </c>
      <c r="AL1755" s="3">
        <v>0</v>
      </c>
      <c r="AM1755" s="3">
        <f t="shared" si="481"/>
        <v>1</v>
      </c>
      <c r="AN1755" s="3" t="str">
        <f t="shared" si="468"/>
        <v/>
      </c>
      <c r="AO1755" s="3">
        <v>0</v>
      </c>
      <c r="AP1755" s="3">
        <f t="shared" si="482"/>
        <v>8</v>
      </c>
      <c r="AR1755">
        <f t="shared" si="483"/>
        <v>0</v>
      </c>
      <c r="AS1755">
        <f t="shared" si="484"/>
        <v>5</v>
      </c>
    </row>
    <row r="1756" customHeight="1" spans="1:45">
      <c r="A1756" s="3" t="str">
        <f>IF(对接源_02物料!$C556="","",对接源_02物料!$C556)</f>
        <v/>
      </c>
      <c r="B1756" s="3">
        <f t="shared" si="469"/>
        <v>0</v>
      </c>
      <c r="C1756" s="3">
        <f t="shared" si="470"/>
        <v>21</v>
      </c>
      <c r="K1756" s="3">
        <f>IF(OR($K$1="",对接源_02物料!$C556="",对接源_02物料!$C556&lt;&gt;$K$1,对接源_02物料!$B556=""),0,IF(OR(N(对接源_02物料!$B556)&lt;$K$2,N(对接源_02物料!$B556)&gt;$K$3),0,1))</f>
        <v>0</v>
      </c>
      <c r="L1756" s="3">
        <f>IF(OR($L$1="",对接源_02物料!$C556="",对接源_02物料!$C556&lt;&gt;$L$1,对接源_02物料!$B556=""),0,IF(OR(N(对接源_02物料!$B556)&lt;$L$2,N(对接源_02物料!$B556)&gt;$L$3),0,1))</f>
        <v>0</v>
      </c>
      <c r="M1756" s="3">
        <f>IF(OR($M$1="",对接源_02物料!$C556="",对接源_02物料!$C556&lt;&gt;$M$1,对接源_02物料!$B556=""),0,IF(OR(N(对接源_02物料!$B556)&lt;$M$2,N(对接源_02物料!$B556)&gt;$M$3),0,1))</f>
        <v>0</v>
      </c>
      <c r="N1756" s="3">
        <f>IF(OR($N$1="",对接源_02物料!$C556="",对接源_02物料!$C556&lt;&gt;$N$1,对接源_02物料!$B556=""),0,IF(OR(N(对接源_02物料!$B556)&lt;$N$2,N(对接源_02物料!$B556)&gt;$N$3),0,1))</f>
        <v>0</v>
      </c>
      <c r="P1756" s="3">
        <f>IF(AND($K1756=1,AND(对接源_02物料!$X556="公司筐",N(对接源_02物料!$T556)&lt;&gt;0)),1,0)</f>
        <v>0</v>
      </c>
      <c r="Q1756" s="3">
        <f t="shared" si="471"/>
        <v>8</v>
      </c>
      <c r="R1756" s="3">
        <f>IF(AND($K1756=1,AND(对接源_02物料!$X556="公司筐",N(对接源_02物料!$U556)&lt;&gt;0)),1,0)</f>
        <v>0</v>
      </c>
      <c r="S1756" s="3">
        <f t="shared" si="472"/>
        <v>0</v>
      </c>
      <c r="T1756" s="3">
        <f>IF(AND($K1756=1,AND(对接源_02物料!$X556="公司筐",N(对接源_02物料!$V556)&lt;&gt;0)),1,0)</f>
        <v>0</v>
      </c>
      <c r="U1756" s="3">
        <f t="shared" si="473"/>
        <v>19</v>
      </c>
      <c r="V1756" s="3">
        <f>IF(AND($L1756=1,AND(对接源_02物料!$X556="自备筐",N(对接源_02物料!$V556)&lt;&gt;0)),1,0)</f>
        <v>0</v>
      </c>
      <c r="W1756" s="3">
        <f t="shared" si="474"/>
        <v>8</v>
      </c>
      <c r="X1756" s="3">
        <f>IF(AND($L1756=1,AND(对接源_02物料!$X556="自备筐",N(对接源_02物料!$T556)&lt;&gt;0)),1,0)</f>
        <v>0</v>
      </c>
      <c r="Y1756" s="3">
        <f t="shared" si="475"/>
        <v>0</v>
      </c>
      <c r="Z1756" s="3">
        <f>IF(AND($M1756=1,对接源_02物料!$D556="原料入库"),1,0)</f>
        <v>0</v>
      </c>
      <c r="AA1756" s="3">
        <f t="shared" si="476"/>
        <v>24</v>
      </c>
      <c r="AB1756" s="3">
        <f>IF(AND($M1756=1,LEFT(对接源_02物料!$D556,4)="原料出库"),1,0)</f>
        <v>0</v>
      </c>
      <c r="AC1756" s="3">
        <f t="shared" si="477"/>
        <v>0</v>
      </c>
      <c r="AD1756" s="3">
        <f>IF(AND($M1756=1,LEFT(对接源_02物料!$D556,4)="成品出库"),1,0)</f>
        <v>0</v>
      </c>
      <c r="AE1756" s="3">
        <f t="shared" si="478"/>
        <v>0</v>
      </c>
      <c r="AF1756" s="3">
        <f>IF(AND($N1756=1,AND(LEFT(对接源_02物料!$D556,4)="包装物料",N(对接源_02物料!$K556)&lt;&gt;0)),1,0)</f>
        <v>0</v>
      </c>
      <c r="AG1756" s="3">
        <f t="shared" si="479"/>
        <v>5</v>
      </c>
      <c r="AH1756" s="3">
        <f>IF(AND($N1756=1,AND(对接源_02物料!$D556="周转筐－销售出库",N(对接源_02物料!$K556)&lt;&gt;0)),1,0)</f>
        <v>0</v>
      </c>
      <c r="AI1756" s="3">
        <f t="shared" si="480"/>
        <v>0</v>
      </c>
      <c r="AL1756" s="3">
        <v>0</v>
      </c>
      <c r="AM1756" s="3">
        <f t="shared" si="481"/>
        <v>1</v>
      </c>
      <c r="AN1756" s="3" t="str">
        <f t="shared" si="468"/>
        <v/>
      </c>
      <c r="AO1756" s="3">
        <v>0</v>
      </c>
      <c r="AP1756" s="3">
        <f t="shared" si="482"/>
        <v>8</v>
      </c>
      <c r="AR1756">
        <f t="shared" si="483"/>
        <v>0</v>
      </c>
      <c r="AS1756">
        <f t="shared" si="484"/>
        <v>5</v>
      </c>
    </row>
    <row r="1757" customHeight="1" spans="1:45">
      <c r="A1757" s="3" t="str">
        <f>IF(对接源_02物料!$C557="","",对接源_02物料!$C557)</f>
        <v/>
      </c>
      <c r="B1757" s="3">
        <f t="shared" si="469"/>
        <v>0</v>
      </c>
      <c r="C1757" s="3">
        <f t="shared" si="470"/>
        <v>21</v>
      </c>
      <c r="K1757" s="3">
        <f>IF(OR($K$1="",对接源_02物料!$C557="",对接源_02物料!$C557&lt;&gt;$K$1,对接源_02物料!$B557=""),0,IF(OR(N(对接源_02物料!$B557)&lt;$K$2,N(对接源_02物料!$B557)&gt;$K$3),0,1))</f>
        <v>0</v>
      </c>
      <c r="L1757" s="3">
        <f>IF(OR($L$1="",对接源_02物料!$C557="",对接源_02物料!$C557&lt;&gt;$L$1,对接源_02物料!$B557=""),0,IF(OR(N(对接源_02物料!$B557)&lt;$L$2,N(对接源_02物料!$B557)&gt;$L$3),0,1))</f>
        <v>0</v>
      </c>
      <c r="M1757" s="3">
        <f>IF(OR($M$1="",对接源_02物料!$C557="",对接源_02物料!$C557&lt;&gt;$M$1,对接源_02物料!$B557=""),0,IF(OR(N(对接源_02物料!$B557)&lt;$M$2,N(对接源_02物料!$B557)&gt;$M$3),0,1))</f>
        <v>0</v>
      </c>
      <c r="N1757" s="3">
        <f>IF(OR($N$1="",对接源_02物料!$C557="",对接源_02物料!$C557&lt;&gt;$N$1,对接源_02物料!$B557=""),0,IF(OR(N(对接源_02物料!$B557)&lt;$N$2,N(对接源_02物料!$B557)&gt;$N$3),0,1))</f>
        <v>0</v>
      </c>
      <c r="P1757" s="3">
        <f>IF(AND($K1757=1,AND(对接源_02物料!$X557="公司筐",N(对接源_02物料!$T557)&lt;&gt;0)),1,0)</f>
        <v>0</v>
      </c>
      <c r="Q1757" s="3">
        <f t="shared" si="471"/>
        <v>8</v>
      </c>
      <c r="R1757" s="3">
        <f>IF(AND($K1757=1,AND(对接源_02物料!$X557="公司筐",N(对接源_02物料!$U557)&lt;&gt;0)),1,0)</f>
        <v>0</v>
      </c>
      <c r="S1757" s="3">
        <f t="shared" si="472"/>
        <v>0</v>
      </c>
      <c r="T1757" s="3">
        <f>IF(AND($K1757=1,AND(对接源_02物料!$X557="公司筐",N(对接源_02物料!$V557)&lt;&gt;0)),1,0)</f>
        <v>0</v>
      </c>
      <c r="U1757" s="3">
        <f t="shared" si="473"/>
        <v>19</v>
      </c>
      <c r="V1757" s="3">
        <f>IF(AND($L1757=1,AND(对接源_02物料!$X557="自备筐",N(对接源_02物料!$V557)&lt;&gt;0)),1,0)</f>
        <v>0</v>
      </c>
      <c r="W1757" s="3">
        <f t="shared" si="474"/>
        <v>8</v>
      </c>
      <c r="X1757" s="3">
        <f>IF(AND($L1757=1,AND(对接源_02物料!$X557="自备筐",N(对接源_02物料!$T557)&lt;&gt;0)),1,0)</f>
        <v>0</v>
      </c>
      <c r="Y1757" s="3">
        <f t="shared" si="475"/>
        <v>0</v>
      </c>
      <c r="Z1757" s="3">
        <f>IF(AND($M1757=1,对接源_02物料!$D557="原料入库"),1,0)</f>
        <v>0</v>
      </c>
      <c r="AA1757" s="3">
        <f t="shared" si="476"/>
        <v>24</v>
      </c>
      <c r="AB1757" s="3">
        <f>IF(AND($M1757=1,LEFT(对接源_02物料!$D557,4)="原料出库"),1,0)</f>
        <v>0</v>
      </c>
      <c r="AC1757" s="3">
        <f t="shared" si="477"/>
        <v>0</v>
      </c>
      <c r="AD1757" s="3">
        <f>IF(AND($M1757=1,LEFT(对接源_02物料!$D557,4)="成品出库"),1,0)</f>
        <v>0</v>
      </c>
      <c r="AE1757" s="3">
        <f t="shared" si="478"/>
        <v>0</v>
      </c>
      <c r="AF1757" s="3">
        <f>IF(AND($N1757=1,AND(LEFT(对接源_02物料!$D557,4)="包装物料",N(对接源_02物料!$K557)&lt;&gt;0)),1,0)</f>
        <v>0</v>
      </c>
      <c r="AG1757" s="3">
        <f t="shared" si="479"/>
        <v>5</v>
      </c>
      <c r="AH1757" s="3">
        <f>IF(AND($N1757=1,AND(对接源_02物料!$D557="周转筐－销售出库",N(对接源_02物料!$K557)&lt;&gt;0)),1,0)</f>
        <v>0</v>
      </c>
      <c r="AI1757" s="3">
        <f t="shared" si="480"/>
        <v>0</v>
      </c>
      <c r="AL1757" s="3">
        <v>0</v>
      </c>
      <c r="AM1757" s="3">
        <f t="shared" si="481"/>
        <v>1</v>
      </c>
      <c r="AN1757" s="3" t="str">
        <f t="shared" si="468"/>
        <v/>
      </c>
      <c r="AO1757" s="3">
        <v>0</v>
      </c>
      <c r="AP1757" s="3">
        <f t="shared" si="482"/>
        <v>8</v>
      </c>
      <c r="AR1757">
        <f t="shared" si="483"/>
        <v>0</v>
      </c>
      <c r="AS1757">
        <f t="shared" si="484"/>
        <v>5</v>
      </c>
    </row>
    <row r="1758" customHeight="1" spans="1:45">
      <c r="A1758" s="3" t="str">
        <f>IF(对接源_02物料!$C558="","",对接源_02物料!$C558)</f>
        <v/>
      </c>
      <c r="B1758" s="3">
        <f t="shared" si="469"/>
        <v>0</v>
      </c>
      <c r="C1758" s="3">
        <f t="shared" si="470"/>
        <v>21</v>
      </c>
      <c r="K1758" s="3">
        <f>IF(OR($K$1="",对接源_02物料!$C558="",对接源_02物料!$C558&lt;&gt;$K$1,对接源_02物料!$B558=""),0,IF(OR(N(对接源_02物料!$B558)&lt;$K$2,N(对接源_02物料!$B558)&gt;$K$3),0,1))</f>
        <v>0</v>
      </c>
      <c r="L1758" s="3">
        <f>IF(OR($L$1="",对接源_02物料!$C558="",对接源_02物料!$C558&lt;&gt;$L$1,对接源_02物料!$B558=""),0,IF(OR(N(对接源_02物料!$B558)&lt;$L$2,N(对接源_02物料!$B558)&gt;$L$3),0,1))</f>
        <v>0</v>
      </c>
      <c r="M1758" s="3">
        <f>IF(OR($M$1="",对接源_02物料!$C558="",对接源_02物料!$C558&lt;&gt;$M$1,对接源_02物料!$B558=""),0,IF(OR(N(对接源_02物料!$B558)&lt;$M$2,N(对接源_02物料!$B558)&gt;$M$3),0,1))</f>
        <v>0</v>
      </c>
      <c r="N1758" s="3">
        <f>IF(OR($N$1="",对接源_02物料!$C558="",对接源_02物料!$C558&lt;&gt;$N$1,对接源_02物料!$B558=""),0,IF(OR(N(对接源_02物料!$B558)&lt;$N$2,N(对接源_02物料!$B558)&gt;$N$3),0,1))</f>
        <v>0</v>
      </c>
      <c r="P1758" s="3">
        <f>IF(AND($K1758=1,AND(对接源_02物料!$X558="公司筐",N(对接源_02物料!$T558)&lt;&gt;0)),1,0)</f>
        <v>0</v>
      </c>
      <c r="Q1758" s="3">
        <f t="shared" si="471"/>
        <v>8</v>
      </c>
      <c r="R1758" s="3">
        <f>IF(AND($K1758=1,AND(对接源_02物料!$X558="公司筐",N(对接源_02物料!$U558)&lt;&gt;0)),1,0)</f>
        <v>0</v>
      </c>
      <c r="S1758" s="3">
        <f t="shared" si="472"/>
        <v>0</v>
      </c>
      <c r="T1758" s="3">
        <f>IF(AND($K1758=1,AND(对接源_02物料!$X558="公司筐",N(对接源_02物料!$V558)&lt;&gt;0)),1,0)</f>
        <v>0</v>
      </c>
      <c r="U1758" s="3">
        <f t="shared" si="473"/>
        <v>19</v>
      </c>
      <c r="V1758" s="3">
        <f>IF(AND($L1758=1,AND(对接源_02物料!$X558="自备筐",N(对接源_02物料!$V558)&lt;&gt;0)),1,0)</f>
        <v>0</v>
      </c>
      <c r="W1758" s="3">
        <f t="shared" si="474"/>
        <v>8</v>
      </c>
      <c r="X1758" s="3">
        <f>IF(AND($L1758=1,AND(对接源_02物料!$X558="自备筐",N(对接源_02物料!$T558)&lt;&gt;0)),1,0)</f>
        <v>0</v>
      </c>
      <c r="Y1758" s="3">
        <f t="shared" si="475"/>
        <v>0</v>
      </c>
      <c r="Z1758" s="3">
        <f>IF(AND($M1758=1,对接源_02物料!$D558="原料入库"),1,0)</f>
        <v>0</v>
      </c>
      <c r="AA1758" s="3">
        <f t="shared" si="476"/>
        <v>24</v>
      </c>
      <c r="AB1758" s="3">
        <f>IF(AND($M1758=1,LEFT(对接源_02物料!$D558,4)="原料出库"),1,0)</f>
        <v>0</v>
      </c>
      <c r="AC1758" s="3">
        <f t="shared" si="477"/>
        <v>0</v>
      </c>
      <c r="AD1758" s="3">
        <f>IF(AND($M1758=1,LEFT(对接源_02物料!$D558,4)="成品出库"),1,0)</f>
        <v>0</v>
      </c>
      <c r="AE1758" s="3">
        <f t="shared" si="478"/>
        <v>0</v>
      </c>
      <c r="AF1758" s="3">
        <f>IF(AND($N1758=1,AND(LEFT(对接源_02物料!$D558,4)="包装物料",N(对接源_02物料!$K558)&lt;&gt;0)),1,0)</f>
        <v>0</v>
      </c>
      <c r="AG1758" s="3">
        <f t="shared" si="479"/>
        <v>5</v>
      </c>
      <c r="AH1758" s="3">
        <f>IF(AND($N1758=1,AND(对接源_02物料!$D558="周转筐－销售出库",N(对接源_02物料!$K558)&lt;&gt;0)),1,0)</f>
        <v>0</v>
      </c>
      <c r="AI1758" s="3">
        <f t="shared" si="480"/>
        <v>0</v>
      </c>
      <c r="AL1758" s="3">
        <v>0</v>
      </c>
      <c r="AM1758" s="3">
        <f t="shared" si="481"/>
        <v>1</v>
      </c>
      <c r="AN1758" s="3" t="str">
        <f t="shared" si="468"/>
        <v/>
      </c>
      <c r="AO1758" s="3">
        <v>0</v>
      </c>
      <c r="AP1758" s="3">
        <f t="shared" si="482"/>
        <v>8</v>
      </c>
      <c r="AR1758">
        <f t="shared" si="483"/>
        <v>0</v>
      </c>
      <c r="AS1758">
        <f t="shared" si="484"/>
        <v>5</v>
      </c>
    </row>
    <row r="1759" customHeight="1" spans="1:45">
      <c r="A1759" s="3" t="str">
        <f>IF(对接源_02物料!$C559="","",对接源_02物料!$C559)</f>
        <v/>
      </c>
      <c r="B1759" s="3">
        <f t="shared" si="469"/>
        <v>0</v>
      </c>
      <c r="C1759" s="3">
        <f t="shared" si="470"/>
        <v>21</v>
      </c>
      <c r="K1759" s="3">
        <f>IF(OR($K$1="",对接源_02物料!$C559="",对接源_02物料!$C559&lt;&gt;$K$1,对接源_02物料!$B559=""),0,IF(OR(N(对接源_02物料!$B559)&lt;$K$2,N(对接源_02物料!$B559)&gt;$K$3),0,1))</f>
        <v>0</v>
      </c>
      <c r="L1759" s="3">
        <f>IF(OR($L$1="",对接源_02物料!$C559="",对接源_02物料!$C559&lt;&gt;$L$1,对接源_02物料!$B559=""),0,IF(OR(N(对接源_02物料!$B559)&lt;$L$2,N(对接源_02物料!$B559)&gt;$L$3),0,1))</f>
        <v>0</v>
      </c>
      <c r="M1759" s="3">
        <f>IF(OR($M$1="",对接源_02物料!$C559="",对接源_02物料!$C559&lt;&gt;$M$1,对接源_02物料!$B559=""),0,IF(OR(N(对接源_02物料!$B559)&lt;$M$2,N(对接源_02物料!$B559)&gt;$M$3),0,1))</f>
        <v>0</v>
      </c>
      <c r="N1759" s="3">
        <f>IF(OR($N$1="",对接源_02物料!$C559="",对接源_02物料!$C559&lt;&gt;$N$1,对接源_02物料!$B559=""),0,IF(OR(N(对接源_02物料!$B559)&lt;$N$2,N(对接源_02物料!$B559)&gt;$N$3),0,1))</f>
        <v>0</v>
      </c>
      <c r="P1759" s="3">
        <f>IF(AND($K1759=1,AND(对接源_02物料!$X559="公司筐",N(对接源_02物料!$T559)&lt;&gt;0)),1,0)</f>
        <v>0</v>
      </c>
      <c r="Q1759" s="3">
        <f t="shared" si="471"/>
        <v>8</v>
      </c>
      <c r="R1759" s="3">
        <f>IF(AND($K1759=1,AND(对接源_02物料!$X559="公司筐",N(对接源_02物料!$U559)&lt;&gt;0)),1,0)</f>
        <v>0</v>
      </c>
      <c r="S1759" s="3">
        <f t="shared" si="472"/>
        <v>0</v>
      </c>
      <c r="T1759" s="3">
        <f>IF(AND($K1759=1,AND(对接源_02物料!$X559="公司筐",N(对接源_02物料!$V559)&lt;&gt;0)),1,0)</f>
        <v>0</v>
      </c>
      <c r="U1759" s="3">
        <f t="shared" si="473"/>
        <v>19</v>
      </c>
      <c r="V1759" s="3">
        <f>IF(AND($L1759=1,AND(对接源_02物料!$X559="自备筐",N(对接源_02物料!$V559)&lt;&gt;0)),1,0)</f>
        <v>0</v>
      </c>
      <c r="W1759" s="3">
        <f t="shared" si="474"/>
        <v>8</v>
      </c>
      <c r="X1759" s="3">
        <f>IF(AND($L1759=1,AND(对接源_02物料!$X559="自备筐",N(对接源_02物料!$T559)&lt;&gt;0)),1,0)</f>
        <v>0</v>
      </c>
      <c r="Y1759" s="3">
        <f t="shared" si="475"/>
        <v>0</v>
      </c>
      <c r="Z1759" s="3">
        <f>IF(AND($M1759=1,对接源_02物料!$D559="原料入库"),1,0)</f>
        <v>0</v>
      </c>
      <c r="AA1759" s="3">
        <f t="shared" si="476"/>
        <v>24</v>
      </c>
      <c r="AB1759" s="3">
        <f>IF(AND($M1759=1,LEFT(对接源_02物料!$D559,4)="原料出库"),1,0)</f>
        <v>0</v>
      </c>
      <c r="AC1759" s="3">
        <f t="shared" si="477"/>
        <v>0</v>
      </c>
      <c r="AD1759" s="3">
        <f>IF(AND($M1759=1,LEFT(对接源_02物料!$D559,4)="成品出库"),1,0)</f>
        <v>0</v>
      </c>
      <c r="AE1759" s="3">
        <f t="shared" si="478"/>
        <v>0</v>
      </c>
      <c r="AF1759" s="3">
        <f>IF(AND($N1759=1,AND(LEFT(对接源_02物料!$D559,4)="包装物料",N(对接源_02物料!$K559)&lt;&gt;0)),1,0)</f>
        <v>0</v>
      </c>
      <c r="AG1759" s="3">
        <f t="shared" si="479"/>
        <v>5</v>
      </c>
      <c r="AH1759" s="3">
        <f>IF(AND($N1759=1,AND(对接源_02物料!$D559="周转筐－销售出库",N(对接源_02物料!$K559)&lt;&gt;0)),1,0)</f>
        <v>0</v>
      </c>
      <c r="AI1759" s="3">
        <f t="shared" si="480"/>
        <v>0</v>
      </c>
      <c r="AL1759" s="3">
        <v>0</v>
      </c>
      <c r="AM1759" s="3">
        <f t="shared" si="481"/>
        <v>1</v>
      </c>
      <c r="AN1759" s="3" t="str">
        <f t="shared" si="468"/>
        <v/>
      </c>
      <c r="AO1759" s="3">
        <v>0</v>
      </c>
      <c r="AP1759" s="3">
        <f t="shared" si="482"/>
        <v>8</v>
      </c>
      <c r="AR1759">
        <f t="shared" si="483"/>
        <v>0</v>
      </c>
      <c r="AS1759">
        <f t="shared" si="484"/>
        <v>5</v>
      </c>
    </row>
    <row r="1760" customHeight="1" spans="1:45">
      <c r="A1760" s="3" t="str">
        <f>IF(对接源_02物料!$C560="","",对接源_02物料!$C560)</f>
        <v/>
      </c>
      <c r="B1760" s="3">
        <f t="shared" si="469"/>
        <v>0</v>
      </c>
      <c r="C1760" s="3">
        <f t="shared" si="470"/>
        <v>21</v>
      </c>
      <c r="K1760" s="3">
        <f>IF(OR($K$1="",对接源_02物料!$C560="",对接源_02物料!$C560&lt;&gt;$K$1,对接源_02物料!$B560=""),0,IF(OR(N(对接源_02物料!$B560)&lt;$K$2,N(对接源_02物料!$B560)&gt;$K$3),0,1))</f>
        <v>0</v>
      </c>
      <c r="L1760" s="3">
        <f>IF(OR($L$1="",对接源_02物料!$C560="",对接源_02物料!$C560&lt;&gt;$L$1,对接源_02物料!$B560=""),0,IF(OR(N(对接源_02物料!$B560)&lt;$L$2,N(对接源_02物料!$B560)&gt;$L$3),0,1))</f>
        <v>0</v>
      </c>
      <c r="M1760" s="3">
        <f>IF(OR($M$1="",对接源_02物料!$C560="",对接源_02物料!$C560&lt;&gt;$M$1,对接源_02物料!$B560=""),0,IF(OR(N(对接源_02物料!$B560)&lt;$M$2,N(对接源_02物料!$B560)&gt;$M$3),0,1))</f>
        <v>0</v>
      </c>
      <c r="N1760" s="3">
        <f>IF(OR($N$1="",对接源_02物料!$C560="",对接源_02物料!$C560&lt;&gt;$N$1,对接源_02物料!$B560=""),0,IF(OR(N(对接源_02物料!$B560)&lt;$N$2,N(对接源_02物料!$B560)&gt;$N$3),0,1))</f>
        <v>0</v>
      </c>
      <c r="P1760" s="3">
        <f>IF(AND($K1760=1,AND(对接源_02物料!$X560="公司筐",N(对接源_02物料!$T560)&lt;&gt;0)),1,0)</f>
        <v>0</v>
      </c>
      <c r="Q1760" s="3">
        <f t="shared" si="471"/>
        <v>8</v>
      </c>
      <c r="R1760" s="3">
        <f>IF(AND($K1760=1,AND(对接源_02物料!$X560="公司筐",N(对接源_02物料!$U560)&lt;&gt;0)),1,0)</f>
        <v>0</v>
      </c>
      <c r="S1760" s="3">
        <f t="shared" si="472"/>
        <v>0</v>
      </c>
      <c r="T1760" s="3">
        <f>IF(AND($K1760=1,AND(对接源_02物料!$X560="公司筐",N(对接源_02物料!$V560)&lt;&gt;0)),1,0)</f>
        <v>0</v>
      </c>
      <c r="U1760" s="3">
        <f t="shared" si="473"/>
        <v>19</v>
      </c>
      <c r="V1760" s="3">
        <f>IF(AND($L1760=1,AND(对接源_02物料!$X560="自备筐",N(对接源_02物料!$V560)&lt;&gt;0)),1,0)</f>
        <v>0</v>
      </c>
      <c r="W1760" s="3">
        <f t="shared" si="474"/>
        <v>8</v>
      </c>
      <c r="X1760" s="3">
        <f>IF(AND($L1760=1,AND(对接源_02物料!$X560="自备筐",N(对接源_02物料!$T560)&lt;&gt;0)),1,0)</f>
        <v>0</v>
      </c>
      <c r="Y1760" s="3">
        <f t="shared" si="475"/>
        <v>0</v>
      </c>
      <c r="Z1760" s="3">
        <f>IF(AND($M1760=1,对接源_02物料!$D560="原料入库"),1,0)</f>
        <v>0</v>
      </c>
      <c r="AA1760" s="3">
        <f t="shared" si="476"/>
        <v>24</v>
      </c>
      <c r="AB1760" s="3">
        <f>IF(AND($M1760=1,LEFT(对接源_02物料!$D560,4)="原料出库"),1,0)</f>
        <v>0</v>
      </c>
      <c r="AC1760" s="3">
        <f t="shared" si="477"/>
        <v>0</v>
      </c>
      <c r="AD1760" s="3">
        <f>IF(AND($M1760=1,LEFT(对接源_02物料!$D560,4)="成品出库"),1,0)</f>
        <v>0</v>
      </c>
      <c r="AE1760" s="3">
        <f t="shared" si="478"/>
        <v>0</v>
      </c>
      <c r="AF1760" s="3">
        <f>IF(AND($N1760=1,AND(LEFT(对接源_02物料!$D560,4)="包装物料",N(对接源_02物料!$K560)&lt;&gt;0)),1,0)</f>
        <v>0</v>
      </c>
      <c r="AG1760" s="3">
        <f t="shared" si="479"/>
        <v>5</v>
      </c>
      <c r="AH1760" s="3">
        <f>IF(AND($N1760=1,AND(对接源_02物料!$D560="周转筐－销售出库",N(对接源_02物料!$K560)&lt;&gt;0)),1,0)</f>
        <v>0</v>
      </c>
      <c r="AI1760" s="3">
        <f t="shared" si="480"/>
        <v>0</v>
      </c>
      <c r="AL1760" s="3">
        <v>0</v>
      </c>
      <c r="AM1760" s="3">
        <f t="shared" si="481"/>
        <v>1</v>
      </c>
      <c r="AN1760" s="3" t="str">
        <f t="shared" si="468"/>
        <v/>
      </c>
      <c r="AO1760" s="3">
        <v>0</v>
      </c>
      <c r="AP1760" s="3">
        <f t="shared" si="482"/>
        <v>8</v>
      </c>
      <c r="AR1760">
        <f t="shared" si="483"/>
        <v>0</v>
      </c>
      <c r="AS1760">
        <f t="shared" si="484"/>
        <v>5</v>
      </c>
    </row>
    <row r="1761" customHeight="1" spans="1:45">
      <c r="A1761" s="3" t="str">
        <f>IF(对接源_02物料!$C561="","",对接源_02物料!$C561)</f>
        <v/>
      </c>
      <c r="B1761" s="3">
        <f t="shared" si="469"/>
        <v>0</v>
      </c>
      <c r="C1761" s="3">
        <f t="shared" si="470"/>
        <v>21</v>
      </c>
      <c r="K1761" s="3">
        <f>IF(OR($K$1="",对接源_02物料!$C561="",对接源_02物料!$C561&lt;&gt;$K$1,对接源_02物料!$B561=""),0,IF(OR(N(对接源_02物料!$B561)&lt;$K$2,N(对接源_02物料!$B561)&gt;$K$3),0,1))</f>
        <v>0</v>
      </c>
      <c r="L1761" s="3">
        <f>IF(OR($L$1="",对接源_02物料!$C561="",对接源_02物料!$C561&lt;&gt;$L$1,对接源_02物料!$B561=""),0,IF(OR(N(对接源_02物料!$B561)&lt;$L$2,N(对接源_02物料!$B561)&gt;$L$3),0,1))</f>
        <v>0</v>
      </c>
      <c r="M1761" s="3">
        <f>IF(OR($M$1="",对接源_02物料!$C561="",对接源_02物料!$C561&lt;&gt;$M$1,对接源_02物料!$B561=""),0,IF(OR(N(对接源_02物料!$B561)&lt;$M$2,N(对接源_02物料!$B561)&gt;$M$3),0,1))</f>
        <v>0</v>
      </c>
      <c r="N1761" s="3">
        <f>IF(OR($N$1="",对接源_02物料!$C561="",对接源_02物料!$C561&lt;&gt;$N$1,对接源_02物料!$B561=""),0,IF(OR(N(对接源_02物料!$B561)&lt;$N$2,N(对接源_02物料!$B561)&gt;$N$3),0,1))</f>
        <v>0</v>
      </c>
      <c r="P1761" s="3">
        <f>IF(AND($K1761=1,AND(对接源_02物料!$X561="公司筐",N(对接源_02物料!$T561)&lt;&gt;0)),1,0)</f>
        <v>0</v>
      </c>
      <c r="Q1761" s="3">
        <f t="shared" si="471"/>
        <v>8</v>
      </c>
      <c r="R1761" s="3">
        <f>IF(AND($K1761=1,AND(对接源_02物料!$X561="公司筐",N(对接源_02物料!$U561)&lt;&gt;0)),1,0)</f>
        <v>0</v>
      </c>
      <c r="S1761" s="3">
        <f t="shared" si="472"/>
        <v>0</v>
      </c>
      <c r="T1761" s="3">
        <f>IF(AND($K1761=1,AND(对接源_02物料!$X561="公司筐",N(对接源_02物料!$V561)&lt;&gt;0)),1,0)</f>
        <v>0</v>
      </c>
      <c r="U1761" s="3">
        <f t="shared" si="473"/>
        <v>19</v>
      </c>
      <c r="V1761" s="3">
        <f>IF(AND($L1761=1,AND(对接源_02物料!$X561="自备筐",N(对接源_02物料!$V561)&lt;&gt;0)),1,0)</f>
        <v>0</v>
      </c>
      <c r="W1761" s="3">
        <f t="shared" si="474"/>
        <v>8</v>
      </c>
      <c r="X1761" s="3">
        <f>IF(AND($L1761=1,AND(对接源_02物料!$X561="自备筐",N(对接源_02物料!$T561)&lt;&gt;0)),1,0)</f>
        <v>0</v>
      </c>
      <c r="Y1761" s="3">
        <f t="shared" si="475"/>
        <v>0</v>
      </c>
      <c r="Z1761" s="3">
        <f>IF(AND($M1761=1,对接源_02物料!$D561="原料入库"),1,0)</f>
        <v>0</v>
      </c>
      <c r="AA1761" s="3">
        <f t="shared" si="476"/>
        <v>24</v>
      </c>
      <c r="AB1761" s="3">
        <f>IF(AND($M1761=1,LEFT(对接源_02物料!$D561,4)="原料出库"),1,0)</f>
        <v>0</v>
      </c>
      <c r="AC1761" s="3">
        <f t="shared" si="477"/>
        <v>0</v>
      </c>
      <c r="AD1761" s="3">
        <f>IF(AND($M1761=1,LEFT(对接源_02物料!$D561,4)="成品出库"),1,0)</f>
        <v>0</v>
      </c>
      <c r="AE1761" s="3">
        <f t="shared" si="478"/>
        <v>0</v>
      </c>
      <c r="AF1761" s="3">
        <f>IF(AND($N1761=1,AND(LEFT(对接源_02物料!$D561,4)="包装物料",N(对接源_02物料!$K561)&lt;&gt;0)),1,0)</f>
        <v>0</v>
      </c>
      <c r="AG1761" s="3">
        <f t="shared" si="479"/>
        <v>5</v>
      </c>
      <c r="AH1761" s="3">
        <f>IF(AND($N1761=1,AND(对接源_02物料!$D561="周转筐－销售出库",N(对接源_02物料!$K561)&lt;&gt;0)),1,0)</f>
        <v>0</v>
      </c>
      <c r="AI1761" s="3">
        <f t="shared" si="480"/>
        <v>0</v>
      </c>
      <c r="AL1761" s="3">
        <v>0</v>
      </c>
      <c r="AM1761" s="3">
        <f t="shared" si="481"/>
        <v>1</v>
      </c>
      <c r="AN1761" s="3" t="str">
        <f t="shared" si="468"/>
        <v/>
      </c>
      <c r="AO1761" s="3">
        <v>0</v>
      </c>
      <c r="AP1761" s="3">
        <f t="shared" si="482"/>
        <v>8</v>
      </c>
      <c r="AR1761">
        <f t="shared" si="483"/>
        <v>0</v>
      </c>
      <c r="AS1761">
        <f t="shared" si="484"/>
        <v>5</v>
      </c>
    </row>
    <row r="1762" customHeight="1" spans="1:45">
      <c r="A1762" s="3" t="str">
        <f>IF(对接源_02物料!$C562="","",对接源_02物料!$C562)</f>
        <v/>
      </c>
      <c r="B1762" s="3">
        <f t="shared" si="469"/>
        <v>0</v>
      </c>
      <c r="C1762" s="3">
        <f t="shared" si="470"/>
        <v>21</v>
      </c>
      <c r="K1762" s="3">
        <f>IF(OR($K$1="",对接源_02物料!$C562="",对接源_02物料!$C562&lt;&gt;$K$1,对接源_02物料!$B562=""),0,IF(OR(N(对接源_02物料!$B562)&lt;$K$2,N(对接源_02物料!$B562)&gt;$K$3),0,1))</f>
        <v>0</v>
      </c>
      <c r="L1762" s="3">
        <f>IF(OR($L$1="",对接源_02物料!$C562="",对接源_02物料!$C562&lt;&gt;$L$1,对接源_02物料!$B562=""),0,IF(OR(N(对接源_02物料!$B562)&lt;$L$2,N(对接源_02物料!$B562)&gt;$L$3),0,1))</f>
        <v>0</v>
      </c>
      <c r="M1762" s="3">
        <f>IF(OR($M$1="",对接源_02物料!$C562="",对接源_02物料!$C562&lt;&gt;$M$1,对接源_02物料!$B562=""),0,IF(OR(N(对接源_02物料!$B562)&lt;$M$2,N(对接源_02物料!$B562)&gt;$M$3),0,1))</f>
        <v>0</v>
      </c>
      <c r="N1762" s="3">
        <f>IF(OR($N$1="",对接源_02物料!$C562="",对接源_02物料!$C562&lt;&gt;$N$1,对接源_02物料!$B562=""),0,IF(OR(N(对接源_02物料!$B562)&lt;$N$2,N(对接源_02物料!$B562)&gt;$N$3),0,1))</f>
        <v>0</v>
      </c>
      <c r="P1762" s="3">
        <f>IF(AND($K1762=1,AND(对接源_02物料!$X562="公司筐",N(对接源_02物料!$T562)&lt;&gt;0)),1,0)</f>
        <v>0</v>
      </c>
      <c r="Q1762" s="3">
        <f t="shared" si="471"/>
        <v>8</v>
      </c>
      <c r="R1762" s="3">
        <f>IF(AND($K1762=1,AND(对接源_02物料!$X562="公司筐",N(对接源_02物料!$U562)&lt;&gt;0)),1,0)</f>
        <v>0</v>
      </c>
      <c r="S1762" s="3">
        <f t="shared" si="472"/>
        <v>0</v>
      </c>
      <c r="T1762" s="3">
        <f>IF(AND($K1762=1,AND(对接源_02物料!$X562="公司筐",N(对接源_02物料!$V562)&lt;&gt;0)),1,0)</f>
        <v>0</v>
      </c>
      <c r="U1762" s="3">
        <f t="shared" si="473"/>
        <v>19</v>
      </c>
      <c r="V1762" s="3">
        <f>IF(AND($L1762=1,AND(对接源_02物料!$X562="自备筐",N(对接源_02物料!$V562)&lt;&gt;0)),1,0)</f>
        <v>0</v>
      </c>
      <c r="W1762" s="3">
        <f t="shared" si="474"/>
        <v>8</v>
      </c>
      <c r="X1762" s="3">
        <f>IF(AND($L1762=1,AND(对接源_02物料!$X562="自备筐",N(对接源_02物料!$T562)&lt;&gt;0)),1,0)</f>
        <v>0</v>
      </c>
      <c r="Y1762" s="3">
        <f t="shared" si="475"/>
        <v>0</v>
      </c>
      <c r="Z1762" s="3">
        <f>IF(AND($M1762=1,对接源_02物料!$D562="原料入库"),1,0)</f>
        <v>0</v>
      </c>
      <c r="AA1762" s="3">
        <f t="shared" si="476"/>
        <v>24</v>
      </c>
      <c r="AB1762" s="3">
        <f>IF(AND($M1762=1,LEFT(对接源_02物料!$D562,4)="原料出库"),1,0)</f>
        <v>0</v>
      </c>
      <c r="AC1762" s="3">
        <f t="shared" si="477"/>
        <v>0</v>
      </c>
      <c r="AD1762" s="3">
        <f>IF(AND($M1762=1,LEFT(对接源_02物料!$D562,4)="成品出库"),1,0)</f>
        <v>0</v>
      </c>
      <c r="AE1762" s="3">
        <f t="shared" si="478"/>
        <v>0</v>
      </c>
      <c r="AF1762" s="3">
        <f>IF(AND($N1762=1,AND(LEFT(对接源_02物料!$D562,4)="包装物料",N(对接源_02物料!$K562)&lt;&gt;0)),1,0)</f>
        <v>0</v>
      </c>
      <c r="AG1762" s="3">
        <f t="shared" si="479"/>
        <v>5</v>
      </c>
      <c r="AH1762" s="3">
        <f>IF(AND($N1762=1,AND(对接源_02物料!$D562="周转筐－销售出库",N(对接源_02物料!$K562)&lt;&gt;0)),1,0)</f>
        <v>0</v>
      </c>
      <c r="AI1762" s="3">
        <f t="shared" si="480"/>
        <v>0</v>
      </c>
      <c r="AL1762" s="3">
        <v>0</v>
      </c>
      <c r="AM1762" s="3">
        <f t="shared" si="481"/>
        <v>1</v>
      </c>
      <c r="AN1762" s="3" t="str">
        <f t="shared" si="468"/>
        <v/>
      </c>
      <c r="AO1762" s="3">
        <v>0</v>
      </c>
      <c r="AP1762" s="3">
        <f t="shared" si="482"/>
        <v>8</v>
      </c>
      <c r="AR1762">
        <f t="shared" si="483"/>
        <v>0</v>
      </c>
      <c r="AS1762">
        <f t="shared" si="484"/>
        <v>5</v>
      </c>
    </row>
    <row r="1763" customHeight="1" spans="1:45">
      <c r="A1763" s="3" t="str">
        <f>IF(对接源_02物料!$C563="","",对接源_02物料!$C563)</f>
        <v/>
      </c>
      <c r="B1763" s="3">
        <f t="shared" si="469"/>
        <v>0</v>
      </c>
      <c r="C1763" s="3">
        <f t="shared" si="470"/>
        <v>21</v>
      </c>
      <c r="K1763" s="3">
        <f>IF(OR($K$1="",对接源_02物料!$C563="",对接源_02物料!$C563&lt;&gt;$K$1,对接源_02物料!$B563=""),0,IF(OR(N(对接源_02物料!$B563)&lt;$K$2,N(对接源_02物料!$B563)&gt;$K$3),0,1))</f>
        <v>0</v>
      </c>
      <c r="L1763" s="3">
        <f>IF(OR($L$1="",对接源_02物料!$C563="",对接源_02物料!$C563&lt;&gt;$L$1,对接源_02物料!$B563=""),0,IF(OR(N(对接源_02物料!$B563)&lt;$L$2,N(对接源_02物料!$B563)&gt;$L$3),0,1))</f>
        <v>0</v>
      </c>
      <c r="M1763" s="3">
        <f>IF(OR($M$1="",对接源_02物料!$C563="",对接源_02物料!$C563&lt;&gt;$M$1,对接源_02物料!$B563=""),0,IF(OR(N(对接源_02物料!$B563)&lt;$M$2,N(对接源_02物料!$B563)&gt;$M$3),0,1))</f>
        <v>0</v>
      </c>
      <c r="N1763" s="3">
        <f>IF(OR($N$1="",对接源_02物料!$C563="",对接源_02物料!$C563&lt;&gt;$N$1,对接源_02物料!$B563=""),0,IF(OR(N(对接源_02物料!$B563)&lt;$N$2,N(对接源_02物料!$B563)&gt;$N$3),0,1))</f>
        <v>0</v>
      </c>
      <c r="P1763" s="3">
        <f>IF(AND($K1763=1,AND(对接源_02物料!$X563="公司筐",N(对接源_02物料!$T563)&lt;&gt;0)),1,0)</f>
        <v>0</v>
      </c>
      <c r="Q1763" s="3">
        <f t="shared" si="471"/>
        <v>8</v>
      </c>
      <c r="R1763" s="3">
        <f>IF(AND($K1763=1,AND(对接源_02物料!$X563="公司筐",N(对接源_02物料!$U563)&lt;&gt;0)),1,0)</f>
        <v>0</v>
      </c>
      <c r="S1763" s="3">
        <f t="shared" si="472"/>
        <v>0</v>
      </c>
      <c r="T1763" s="3">
        <f>IF(AND($K1763=1,AND(对接源_02物料!$X563="公司筐",N(对接源_02物料!$V563)&lt;&gt;0)),1,0)</f>
        <v>0</v>
      </c>
      <c r="U1763" s="3">
        <f t="shared" si="473"/>
        <v>19</v>
      </c>
      <c r="V1763" s="3">
        <f>IF(AND($L1763=1,AND(对接源_02物料!$X563="自备筐",N(对接源_02物料!$V563)&lt;&gt;0)),1,0)</f>
        <v>0</v>
      </c>
      <c r="W1763" s="3">
        <f t="shared" si="474"/>
        <v>8</v>
      </c>
      <c r="X1763" s="3">
        <f>IF(AND($L1763=1,AND(对接源_02物料!$X563="自备筐",N(对接源_02物料!$T563)&lt;&gt;0)),1,0)</f>
        <v>0</v>
      </c>
      <c r="Y1763" s="3">
        <f t="shared" si="475"/>
        <v>0</v>
      </c>
      <c r="Z1763" s="3">
        <f>IF(AND($M1763=1,对接源_02物料!$D563="原料入库"),1,0)</f>
        <v>0</v>
      </c>
      <c r="AA1763" s="3">
        <f t="shared" si="476"/>
        <v>24</v>
      </c>
      <c r="AB1763" s="3">
        <f>IF(AND($M1763=1,LEFT(对接源_02物料!$D563,4)="原料出库"),1,0)</f>
        <v>0</v>
      </c>
      <c r="AC1763" s="3">
        <f t="shared" si="477"/>
        <v>0</v>
      </c>
      <c r="AD1763" s="3">
        <f>IF(AND($M1763=1,LEFT(对接源_02物料!$D563,4)="成品出库"),1,0)</f>
        <v>0</v>
      </c>
      <c r="AE1763" s="3">
        <f t="shared" si="478"/>
        <v>0</v>
      </c>
      <c r="AF1763" s="3">
        <f>IF(AND($N1763=1,AND(LEFT(对接源_02物料!$D563,4)="包装物料",N(对接源_02物料!$K563)&lt;&gt;0)),1,0)</f>
        <v>0</v>
      </c>
      <c r="AG1763" s="3">
        <f t="shared" si="479"/>
        <v>5</v>
      </c>
      <c r="AH1763" s="3">
        <f>IF(AND($N1763=1,AND(对接源_02物料!$D563="周转筐－销售出库",N(对接源_02物料!$K563)&lt;&gt;0)),1,0)</f>
        <v>0</v>
      </c>
      <c r="AI1763" s="3">
        <f t="shared" si="480"/>
        <v>0</v>
      </c>
      <c r="AL1763" s="3">
        <v>0</v>
      </c>
      <c r="AM1763" s="3">
        <f t="shared" si="481"/>
        <v>1</v>
      </c>
      <c r="AN1763" s="3" t="str">
        <f t="shared" si="468"/>
        <v/>
      </c>
      <c r="AO1763" s="3">
        <v>0</v>
      </c>
      <c r="AP1763" s="3">
        <f t="shared" si="482"/>
        <v>8</v>
      </c>
      <c r="AR1763">
        <f t="shared" si="483"/>
        <v>0</v>
      </c>
      <c r="AS1763">
        <f t="shared" si="484"/>
        <v>5</v>
      </c>
    </row>
    <row r="1764" customHeight="1" spans="1:45">
      <c r="A1764" s="3" t="str">
        <f>IF(对接源_02物料!$C564="","",对接源_02物料!$C564)</f>
        <v/>
      </c>
      <c r="B1764" s="3">
        <f t="shared" si="469"/>
        <v>0</v>
      </c>
      <c r="C1764" s="3">
        <f t="shared" si="470"/>
        <v>21</v>
      </c>
      <c r="K1764" s="3">
        <f>IF(OR($K$1="",对接源_02物料!$C564="",对接源_02物料!$C564&lt;&gt;$K$1,对接源_02物料!$B564=""),0,IF(OR(N(对接源_02物料!$B564)&lt;$K$2,N(对接源_02物料!$B564)&gt;$K$3),0,1))</f>
        <v>0</v>
      </c>
      <c r="L1764" s="3">
        <f>IF(OR($L$1="",对接源_02物料!$C564="",对接源_02物料!$C564&lt;&gt;$L$1,对接源_02物料!$B564=""),0,IF(OR(N(对接源_02物料!$B564)&lt;$L$2,N(对接源_02物料!$B564)&gt;$L$3),0,1))</f>
        <v>0</v>
      </c>
      <c r="M1764" s="3">
        <f>IF(OR($M$1="",对接源_02物料!$C564="",对接源_02物料!$C564&lt;&gt;$M$1,对接源_02物料!$B564=""),0,IF(OR(N(对接源_02物料!$B564)&lt;$M$2,N(对接源_02物料!$B564)&gt;$M$3),0,1))</f>
        <v>0</v>
      </c>
      <c r="N1764" s="3">
        <f>IF(OR($N$1="",对接源_02物料!$C564="",对接源_02物料!$C564&lt;&gt;$N$1,对接源_02物料!$B564=""),0,IF(OR(N(对接源_02物料!$B564)&lt;$N$2,N(对接源_02物料!$B564)&gt;$N$3),0,1))</f>
        <v>0</v>
      </c>
      <c r="P1764" s="3">
        <f>IF(AND($K1764=1,AND(对接源_02物料!$X564="公司筐",N(对接源_02物料!$T564)&lt;&gt;0)),1,0)</f>
        <v>0</v>
      </c>
      <c r="Q1764" s="3">
        <f t="shared" si="471"/>
        <v>8</v>
      </c>
      <c r="R1764" s="3">
        <f>IF(AND($K1764=1,AND(对接源_02物料!$X564="公司筐",N(对接源_02物料!$U564)&lt;&gt;0)),1,0)</f>
        <v>0</v>
      </c>
      <c r="S1764" s="3">
        <f t="shared" si="472"/>
        <v>0</v>
      </c>
      <c r="T1764" s="3">
        <f>IF(AND($K1764=1,AND(对接源_02物料!$X564="公司筐",N(对接源_02物料!$V564)&lt;&gt;0)),1,0)</f>
        <v>0</v>
      </c>
      <c r="U1764" s="3">
        <f t="shared" si="473"/>
        <v>19</v>
      </c>
      <c r="V1764" s="3">
        <f>IF(AND($L1764=1,AND(对接源_02物料!$X564="自备筐",N(对接源_02物料!$V564)&lt;&gt;0)),1,0)</f>
        <v>0</v>
      </c>
      <c r="W1764" s="3">
        <f t="shared" si="474"/>
        <v>8</v>
      </c>
      <c r="X1764" s="3">
        <f>IF(AND($L1764=1,AND(对接源_02物料!$X564="自备筐",N(对接源_02物料!$T564)&lt;&gt;0)),1,0)</f>
        <v>0</v>
      </c>
      <c r="Y1764" s="3">
        <f t="shared" si="475"/>
        <v>0</v>
      </c>
      <c r="Z1764" s="3">
        <f>IF(AND($M1764=1,对接源_02物料!$D564="原料入库"),1,0)</f>
        <v>0</v>
      </c>
      <c r="AA1764" s="3">
        <f t="shared" si="476"/>
        <v>24</v>
      </c>
      <c r="AB1764" s="3">
        <f>IF(AND($M1764=1,LEFT(对接源_02物料!$D564,4)="原料出库"),1,0)</f>
        <v>0</v>
      </c>
      <c r="AC1764" s="3">
        <f t="shared" si="477"/>
        <v>0</v>
      </c>
      <c r="AD1764" s="3">
        <f>IF(AND($M1764=1,LEFT(对接源_02物料!$D564,4)="成品出库"),1,0)</f>
        <v>0</v>
      </c>
      <c r="AE1764" s="3">
        <f t="shared" si="478"/>
        <v>0</v>
      </c>
      <c r="AF1764" s="3">
        <f>IF(AND($N1764=1,AND(LEFT(对接源_02物料!$D564,4)="包装物料",N(对接源_02物料!$K564)&lt;&gt;0)),1,0)</f>
        <v>0</v>
      </c>
      <c r="AG1764" s="3">
        <f t="shared" si="479"/>
        <v>5</v>
      </c>
      <c r="AH1764" s="3">
        <f>IF(AND($N1764=1,AND(对接源_02物料!$D564="周转筐－销售出库",N(对接源_02物料!$K564)&lt;&gt;0)),1,0)</f>
        <v>0</v>
      </c>
      <c r="AI1764" s="3">
        <f t="shared" si="480"/>
        <v>0</v>
      </c>
      <c r="AL1764" s="3">
        <v>0</v>
      </c>
      <c r="AM1764" s="3">
        <f t="shared" si="481"/>
        <v>1</v>
      </c>
      <c r="AN1764" s="3" t="str">
        <f t="shared" si="468"/>
        <v/>
      </c>
      <c r="AO1764" s="3">
        <v>0</v>
      </c>
      <c r="AP1764" s="3">
        <f t="shared" si="482"/>
        <v>8</v>
      </c>
      <c r="AR1764">
        <f t="shared" si="483"/>
        <v>0</v>
      </c>
      <c r="AS1764">
        <f t="shared" si="484"/>
        <v>5</v>
      </c>
    </row>
    <row r="1765" customHeight="1" spans="1:45">
      <c r="A1765" s="3" t="str">
        <f>IF(对接源_02物料!$C565="","",对接源_02物料!$C565)</f>
        <v/>
      </c>
      <c r="B1765" s="3">
        <f t="shared" si="469"/>
        <v>0</v>
      </c>
      <c r="C1765" s="3">
        <f t="shared" si="470"/>
        <v>21</v>
      </c>
      <c r="K1765" s="3">
        <f>IF(OR($K$1="",对接源_02物料!$C565="",对接源_02物料!$C565&lt;&gt;$K$1,对接源_02物料!$B565=""),0,IF(OR(N(对接源_02物料!$B565)&lt;$K$2,N(对接源_02物料!$B565)&gt;$K$3),0,1))</f>
        <v>0</v>
      </c>
      <c r="L1765" s="3">
        <f>IF(OR($L$1="",对接源_02物料!$C565="",对接源_02物料!$C565&lt;&gt;$L$1,对接源_02物料!$B565=""),0,IF(OR(N(对接源_02物料!$B565)&lt;$L$2,N(对接源_02物料!$B565)&gt;$L$3),0,1))</f>
        <v>0</v>
      </c>
      <c r="M1765" s="3">
        <f>IF(OR($M$1="",对接源_02物料!$C565="",对接源_02物料!$C565&lt;&gt;$M$1,对接源_02物料!$B565=""),0,IF(OR(N(对接源_02物料!$B565)&lt;$M$2,N(对接源_02物料!$B565)&gt;$M$3),0,1))</f>
        <v>0</v>
      </c>
      <c r="N1765" s="3">
        <f>IF(OR($N$1="",对接源_02物料!$C565="",对接源_02物料!$C565&lt;&gt;$N$1,对接源_02物料!$B565=""),0,IF(OR(N(对接源_02物料!$B565)&lt;$N$2,N(对接源_02物料!$B565)&gt;$N$3),0,1))</f>
        <v>0</v>
      </c>
      <c r="P1765" s="3">
        <f>IF(AND($K1765=1,AND(对接源_02物料!$X565="公司筐",N(对接源_02物料!$T565)&lt;&gt;0)),1,0)</f>
        <v>0</v>
      </c>
      <c r="Q1765" s="3">
        <f t="shared" si="471"/>
        <v>8</v>
      </c>
      <c r="R1765" s="3">
        <f>IF(AND($K1765=1,AND(对接源_02物料!$X565="公司筐",N(对接源_02物料!$U565)&lt;&gt;0)),1,0)</f>
        <v>0</v>
      </c>
      <c r="S1765" s="3">
        <f t="shared" si="472"/>
        <v>0</v>
      </c>
      <c r="T1765" s="3">
        <f>IF(AND($K1765=1,AND(对接源_02物料!$X565="公司筐",N(对接源_02物料!$V565)&lt;&gt;0)),1,0)</f>
        <v>0</v>
      </c>
      <c r="U1765" s="3">
        <f t="shared" si="473"/>
        <v>19</v>
      </c>
      <c r="V1765" s="3">
        <f>IF(AND($L1765=1,AND(对接源_02物料!$X565="自备筐",N(对接源_02物料!$V565)&lt;&gt;0)),1,0)</f>
        <v>0</v>
      </c>
      <c r="W1765" s="3">
        <f t="shared" si="474"/>
        <v>8</v>
      </c>
      <c r="X1765" s="3">
        <f>IF(AND($L1765=1,AND(对接源_02物料!$X565="自备筐",N(对接源_02物料!$T565)&lt;&gt;0)),1,0)</f>
        <v>0</v>
      </c>
      <c r="Y1765" s="3">
        <f t="shared" si="475"/>
        <v>0</v>
      </c>
      <c r="Z1765" s="3">
        <f>IF(AND($M1765=1,对接源_02物料!$D565="原料入库"),1,0)</f>
        <v>0</v>
      </c>
      <c r="AA1765" s="3">
        <f t="shared" si="476"/>
        <v>24</v>
      </c>
      <c r="AB1765" s="3">
        <f>IF(AND($M1765=1,LEFT(对接源_02物料!$D565,4)="原料出库"),1,0)</f>
        <v>0</v>
      </c>
      <c r="AC1765" s="3">
        <f t="shared" si="477"/>
        <v>0</v>
      </c>
      <c r="AD1765" s="3">
        <f>IF(AND($M1765=1,LEFT(对接源_02物料!$D565,4)="成品出库"),1,0)</f>
        <v>0</v>
      </c>
      <c r="AE1765" s="3">
        <f t="shared" si="478"/>
        <v>0</v>
      </c>
      <c r="AF1765" s="3">
        <f>IF(AND($N1765=1,AND(LEFT(对接源_02物料!$D565,4)="包装物料",N(对接源_02物料!$K565)&lt;&gt;0)),1,0)</f>
        <v>0</v>
      </c>
      <c r="AG1765" s="3">
        <f t="shared" si="479"/>
        <v>5</v>
      </c>
      <c r="AH1765" s="3">
        <f>IF(AND($N1765=1,AND(对接源_02物料!$D565="周转筐－销售出库",N(对接源_02物料!$K565)&lt;&gt;0)),1,0)</f>
        <v>0</v>
      </c>
      <c r="AI1765" s="3">
        <f t="shared" si="480"/>
        <v>0</v>
      </c>
      <c r="AL1765" s="3">
        <v>0</v>
      </c>
      <c r="AM1765" s="3">
        <f t="shared" si="481"/>
        <v>1</v>
      </c>
      <c r="AN1765" s="3" t="str">
        <f t="shared" si="468"/>
        <v/>
      </c>
      <c r="AO1765" s="3">
        <v>0</v>
      </c>
      <c r="AP1765" s="3">
        <f t="shared" si="482"/>
        <v>8</v>
      </c>
      <c r="AR1765">
        <f t="shared" si="483"/>
        <v>0</v>
      </c>
      <c r="AS1765">
        <f t="shared" si="484"/>
        <v>5</v>
      </c>
    </row>
    <row r="1766" customHeight="1" spans="1:45">
      <c r="A1766" s="3" t="str">
        <f>IF(对接源_02物料!$C566="","",对接源_02物料!$C566)</f>
        <v/>
      </c>
      <c r="B1766" s="3">
        <f t="shared" si="469"/>
        <v>0</v>
      </c>
      <c r="C1766" s="3">
        <f t="shared" si="470"/>
        <v>21</v>
      </c>
      <c r="K1766" s="3">
        <f>IF(OR($K$1="",对接源_02物料!$C566="",对接源_02物料!$C566&lt;&gt;$K$1,对接源_02物料!$B566=""),0,IF(OR(N(对接源_02物料!$B566)&lt;$K$2,N(对接源_02物料!$B566)&gt;$K$3),0,1))</f>
        <v>0</v>
      </c>
      <c r="L1766" s="3">
        <f>IF(OR($L$1="",对接源_02物料!$C566="",对接源_02物料!$C566&lt;&gt;$L$1,对接源_02物料!$B566=""),0,IF(OR(N(对接源_02物料!$B566)&lt;$L$2,N(对接源_02物料!$B566)&gt;$L$3),0,1))</f>
        <v>0</v>
      </c>
      <c r="M1766" s="3">
        <f>IF(OR($M$1="",对接源_02物料!$C566="",对接源_02物料!$C566&lt;&gt;$M$1,对接源_02物料!$B566=""),0,IF(OR(N(对接源_02物料!$B566)&lt;$M$2,N(对接源_02物料!$B566)&gt;$M$3),0,1))</f>
        <v>0</v>
      </c>
      <c r="N1766" s="3">
        <f>IF(OR($N$1="",对接源_02物料!$C566="",对接源_02物料!$C566&lt;&gt;$N$1,对接源_02物料!$B566=""),0,IF(OR(N(对接源_02物料!$B566)&lt;$N$2,N(对接源_02物料!$B566)&gt;$N$3),0,1))</f>
        <v>0</v>
      </c>
      <c r="P1766" s="3">
        <f>IF(AND($K1766=1,AND(对接源_02物料!$X566="公司筐",N(对接源_02物料!$T566)&lt;&gt;0)),1,0)</f>
        <v>0</v>
      </c>
      <c r="Q1766" s="3">
        <f t="shared" si="471"/>
        <v>8</v>
      </c>
      <c r="R1766" s="3">
        <f>IF(AND($K1766=1,AND(对接源_02物料!$X566="公司筐",N(对接源_02物料!$U566)&lt;&gt;0)),1,0)</f>
        <v>0</v>
      </c>
      <c r="S1766" s="3">
        <f t="shared" si="472"/>
        <v>0</v>
      </c>
      <c r="T1766" s="3">
        <f>IF(AND($K1766=1,AND(对接源_02物料!$X566="公司筐",N(对接源_02物料!$V566)&lt;&gt;0)),1,0)</f>
        <v>0</v>
      </c>
      <c r="U1766" s="3">
        <f t="shared" si="473"/>
        <v>19</v>
      </c>
      <c r="V1766" s="3">
        <f>IF(AND($L1766=1,AND(对接源_02物料!$X566="自备筐",N(对接源_02物料!$V566)&lt;&gt;0)),1,0)</f>
        <v>0</v>
      </c>
      <c r="W1766" s="3">
        <f t="shared" si="474"/>
        <v>8</v>
      </c>
      <c r="X1766" s="3">
        <f>IF(AND($L1766=1,AND(对接源_02物料!$X566="自备筐",N(对接源_02物料!$T566)&lt;&gt;0)),1,0)</f>
        <v>0</v>
      </c>
      <c r="Y1766" s="3">
        <f t="shared" si="475"/>
        <v>0</v>
      </c>
      <c r="Z1766" s="3">
        <f>IF(AND($M1766=1,对接源_02物料!$D566="原料入库"),1,0)</f>
        <v>0</v>
      </c>
      <c r="AA1766" s="3">
        <f t="shared" si="476"/>
        <v>24</v>
      </c>
      <c r="AB1766" s="3">
        <f>IF(AND($M1766=1,LEFT(对接源_02物料!$D566,4)="原料出库"),1,0)</f>
        <v>0</v>
      </c>
      <c r="AC1766" s="3">
        <f t="shared" si="477"/>
        <v>0</v>
      </c>
      <c r="AD1766" s="3">
        <f>IF(AND($M1766=1,LEFT(对接源_02物料!$D566,4)="成品出库"),1,0)</f>
        <v>0</v>
      </c>
      <c r="AE1766" s="3">
        <f t="shared" si="478"/>
        <v>0</v>
      </c>
      <c r="AF1766" s="3">
        <f>IF(AND($N1766=1,AND(LEFT(对接源_02物料!$D566,4)="包装物料",N(对接源_02物料!$K566)&lt;&gt;0)),1,0)</f>
        <v>0</v>
      </c>
      <c r="AG1766" s="3">
        <f t="shared" si="479"/>
        <v>5</v>
      </c>
      <c r="AH1766" s="3">
        <f>IF(AND($N1766=1,AND(对接源_02物料!$D566="周转筐－销售出库",N(对接源_02物料!$K566)&lt;&gt;0)),1,0)</f>
        <v>0</v>
      </c>
      <c r="AI1766" s="3">
        <f t="shared" si="480"/>
        <v>0</v>
      </c>
      <c r="AL1766" s="3">
        <v>0</v>
      </c>
      <c r="AM1766" s="3">
        <f t="shared" si="481"/>
        <v>1</v>
      </c>
      <c r="AN1766" s="3" t="str">
        <f t="shared" si="468"/>
        <v/>
      </c>
      <c r="AO1766" s="3">
        <v>0</v>
      </c>
      <c r="AP1766" s="3">
        <f t="shared" si="482"/>
        <v>8</v>
      </c>
      <c r="AR1766">
        <f t="shared" si="483"/>
        <v>0</v>
      </c>
      <c r="AS1766">
        <f t="shared" si="484"/>
        <v>5</v>
      </c>
    </row>
    <row r="1767" customHeight="1" spans="1:45">
      <c r="A1767" s="3" t="str">
        <f>IF(对接源_02物料!$C567="","",对接源_02物料!$C567)</f>
        <v/>
      </c>
      <c r="B1767" s="3">
        <f t="shared" si="469"/>
        <v>0</v>
      </c>
      <c r="C1767" s="3">
        <f t="shared" si="470"/>
        <v>21</v>
      </c>
      <c r="K1767" s="3">
        <f>IF(OR($K$1="",对接源_02物料!$C567="",对接源_02物料!$C567&lt;&gt;$K$1,对接源_02物料!$B567=""),0,IF(OR(N(对接源_02物料!$B567)&lt;$K$2,N(对接源_02物料!$B567)&gt;$K$3),0,1))</f>
        <v>0</v>
      </c>
      <c r="L1767" s="3">
        <f>IF(OR($L$1="",对接源_02物料!$C567="",对接源_02物料!$C567&lt;&gt;$L$1,对接源_02物料!$B567=""),0,IF(OR(N(对接源_02物料!$B567)&lt;$L$2,N(对接源_02物料!$B567)&gt;$L$3),0,1))</f>
        <v>0</v>
      </c>
      <c r="M1767" s="3">
        <f>IF(OR($M$1="",对接源_02物料!$C567="",对接源_02物料!$C567&lt;&gt;$M$1,对接源_02物料!$B567=""),0,IF(OR(N(对接源_02物料!$B567)&lt;$M$2,N(对接源_02物料!$B567)&gt;$M$3),0,1))</f>
        <v>0</v>
      </c>
      <c r="N1767" s="3">
        <f>IF(OR($N$1="",对接源_02物料!$C567="",对接源_02物料!$C567&lt;&gt;$N$1,对接源_02物料!$B567=""),0,IF(OR(N(对接源_02物料!$B567)&lt;$N$2,N(对接源_02物料!$B567)&gt;$N$3),0,1))</f>
        <v>0</v>
      </c>
      <c r="P1767" s="3">
        <f>IF(AND($K1767=1,AND(对接源_02物料!$X567="公司筐",N(对接源_02物料!$T567)&lt;&gt;0)),1,0)</f>
        <v>0</v>
      </c>
      <c r="Q1767" s="3">
        <f t="shared" si="471"/>
        <v>8</v>
      </c>
      <c r="R1767" s="3">
        <f>IF(AND($K1767=1,AND(对接源_02物料!$X567="公司筐",N(对接源_02物料!$U567)&lt;&gt;0)),1,0)</f>
        <v>0</v>
      </c>
      <c r="S1767" s="3">
        <f t="shared" si="472"/>
        <v>0</v>
      </c>
      <c r="T1767" s="3">
        <f>IF(AND($K1767=1,AND(对接源_02物料!$X567="公司筐",N(对接源_02物料!$V567)&lt;&gt;0)),1,0)</f>
        <v>0</v>
      </c>
      <c r="U1767" s="3">
        <f t="shared" si="473"/>
        <v>19</v>
      </c>
      <c r="V1767" s="3">
        <f>IF(AND($L1767=1,AND(对接源_02物料!$X567="自备筐",N(对接源_02物料!$V567)&lt;&gt;0)),1,0)</f>
        <v>0</v>
      </c>
      <c r="W1767" s="3">
        <f t="shared" si="474"/>
        <v>8</v>
      </c>
      <c r="X1767" s="3">
        <f>IF(AND($L1767=1,AND(对接源_02物料!$X567="自备筐",N(对接源_02物料!$T567)&lt;&gt;0)),1,0)</f>
        <v>0</v>
      </c>
      <c r="Y1767" s="3">
        <f t="shared" si="475"/>
        <v>0</v>
      </c>
      <c r="Z1767" s="3">
        <f>IF(AND($M1767=1,对接源_02物料!$D567="原料入库"),1,0)</f>
        <v>0</v>
      </c>
      <c r="AA1767" s="3">
        <f t="shared" si="476"/>
        <v>24</v>
      </c>
      <c r="AB1767" s="3">
        <f>IF(AND($M1767=1,LEFT(对接源_02物料!$D567,4)="原料出库"),1,0)</f>
        <v>0</v>
      </c>
      <c r="AC1767" s="3">
        <f t="shared" si="477"/>
        <v>0</v>
      </c>
      <c r="AD1767" s="3">
        <f>IF(AND($M1767=1,LEFT(对接源_02物料!$D567,4)="成品出库"),1,0)</f>
        <v>0</v>
      </c>
      <c r="AE1767" s="3">
        <f t="shared" si="478"/>
        <v>0</v>
      </c>
      <c r="AF1767" s="3">
        <f>IF(AND($N1767=1,AND(LEFT(对接源_02物料!$D567,4)="包装物料",N(对接源_02物料!$K567)&lt;&gt;0)),1,0)</f>
        <v>0</v>
      </c>
      <c r="AG1767" s="3">
        <f t="shared" si="479"/>
        <v>5</v>
      </c>
      <c r="AH1767" s="3">
        <f>IF(AND($N1767=1,AND(对接源_02物料!$D567="周转筐－销售出库",N(对接源_02物料!$K567)&lt;&gt;0)),1,0)</f>
        <v>0</v>
      </c>
      <c r="AI1767" s="3">
        <f t="shared" si="480"/>
        <v>0</v>
      </c>
      <c r="AL1767" s="3">
        <v>0</v>
      </c>
      <c r="AM1767" s="3">
        <f t="shared" si="481"/>
        <v>1</v>
      </c>
      <c r="AN1767" s="3" t="str">
        <f t="shared" si="468"/>
        <v/>
      </c>
      <c r="AO1767" s="3">
        <v>0</v>
      </c>
      <c r="AP1767" s="3">
        <f t="shared" si="482"/>
        <v>8</v>
      </c>
      <c r="AR1767">
        <f t="shared" si="483"/>
        <v>0</v>
      </c>
      <c r="AS1767">
        <f t="shared" si="484"/>
        <v>5</v>
      </c>
    </row>
    <row r="1768" customHeight="1" spans="1:45">
      <c r="A1768" s="3" t="str">
        <f>IF(对接源_02物料!$C568="","",对接源_02物料!$C568)</f>
        <v/>
      </c>
      <c r="B1768" s="3">
        <f t="shared" si="469"/>
        <v>0</v>
      </c>
      <c r="C1768" s="3">
        <f t="shared" si="470"/>
        <v>21</v>
      </c>
      <c r="K1768" s="3">
        <f>IF(OR($K$1="",对接源_02物料!$C568="",对接源_02物料!$C568&lt;&gt;$K$1,对接源_02物料!$B568=""),0,IF(OR(N(对接源_02物料!$B568)&lt;$K$2,N(对接源_02物料!$B568)&gt;$K$3),0,1))</f>
        <v>0</v>
      </c>
      <c r="L1768" s="3">
        <f>IF(OR($L$1="",对接源_02物料!$C568="",对接源_02物料!$C568&lt;&gt;$L$1,对接源_02物料!$B568=""),0,IF(OR(N(对接源_02物料!$B568)&lt;$L$2,N(对接源_02物料!$B568)&gt;$L$3),0,1))</f>
        <v>0</v>
      </c>
      <c r="M1768" s="3">
        <f>IF(OR($M$1="",对接源_02物料!$C568="",对接源_02物料!$C568&lt;&gt;$M$1,对接源_02物料!$B568=""),0,IF(OR(N(对接源_02物料!$B568)&lt;$M$2,N(对接源_02物料!$B568)&gt;$M$3),0,1))</f>
        <v>0</v>
      </c>
      <c r="N1768" s="3">
        <f>IF(OR($N$1="",对接源_02物料!$C568="",对接源_02物料!$C568&lt;&gt;$N$1,对接源_02物料!$B568=""),0,IF(OR(N(对接源_02物料!$B568)&lt;$N$2,N(对接源_02物料!$B568)&gt;$N$3),0,1))</f>
        <v>0</v>
      </c>
      <c r="P1768" s="3">
        <f>IF(AND($K1768=1,AND(对接源_02物料!$X568="公司筐",N(对接源_02物料!$T568)&lt;&gt;0)),1,0)</f>
        <v>0</v>
      </c>
      <c r="Q1768" s="3">
        <f t="shared" si="471"/>
        <v>8</v>
      </c>
      <c r="R1768" s="3">
        <f>IF(AND($K1768=1,AND(对接源_02物料!$X568="公司筐",N(对接源_02物料!$U568)&lt;&gt;0)),1,0)</f>
        <v>0</v>
      </c>
      <c r="S1768" s="3">
        <f t="shared" si="472"/>
        <v>0</v>
      </c>
      <c r="T1768" s="3">
        <f>IF(AND($K1768=1,AND(对接源_02物料!$X568="公司筐",N(对接源_02物料!$V568)&lt;&gt;0)),1,0)</f>
        <v>0</v>
      </c>
      <c r="U1768" s="3">
        <f t="shared" si="473"/>
        <v>19</v>
      </c>
      <c r="V1768" s="3">
        <f>IF(AND($L1768=1,AND(对接源_02物料!$X568="自备筐",N(对接源_02物料!$V568)&lt;&gt;0)),1,0)</f>
        <v>0</v>
      </c>
      <c r="W1768" s="3">
        <f t="shared" si="474"/>
        <v>8</v>
      </c>
      <c r="X1768" s="3">
        <f>IF(AND($L1768=1,AND(对接源_02物料!$X568="自备筐",N(对接源_02物料!$T568)&lt;&gt;0)),1,0)</f>
        <v>0</v>
      </c>
      <c r="Y1768" s="3">
        <f t="shared" si="475"/>
        <v>0</v>
      </c>
      <c r="Z1768" s="3">
        <f>IF(AND($M1768=1,对接源_02物料!$D568="原料入库"),1,0)</f>
        <v>0</v>
      </c>
      <c r="AA1768" s="3">
        <f t="shared" si="476"/>
        <v>24</v>
      </c>
      <c r="AB1768" s="3">
        <f>IF(AND($M1768=1,LEFT(对接源_02物料!$D568,4)="原料出库"),1,0)</f>
        <v>0</v>
      </c>
      <c r="AC1768" s="3">
        <f t="shared" si="477"/>
        <v>0</v>
      </c>
      <c r="AD1768" s="3">
        <f>IF(AND($M1768=1,LEFT(对接源_02物料!$D568,4)="成品出库"),1,0)</f>
        <v>0</v>
      </c>
      <c r="AE1768" s="3">
        <f t="shared" si="478"/>
        <v>0</v>
      </c>
      <c r="AF1768" s="3">
        <f>IF(AND($N1768=1,AND(LEFT(对接源_02物料!$D568,4)="包装物料",N(对接源_02物料!$K568)&lt;&gt;0)),1,0)</f>
        <v>0</v>
      </c>
      <c r="AG1768" s="3">
        <f t="shared" si="479"/>
        <v>5</v>
      </c>
      <c r="AH1768" s="3">
        <f>IF(AND($N1768=1,AND(对接源_02物料!$D568="周转筐－销售出库",N(对接源_02物料!$K568)&lt;&gt;0)),1,0)</f>
        <v>0</v>
      </c>
      <c r="AI1768" s="3">
        <f t="shared" si="480"/>
        <v>0</v>
      </c>
      <c r="AL1768" s="3">
        <v>0</v>
      </c>
      <c r="AM1768" s="3">
        <f t="shared" si="481"/>
        <v>1</v>
      </c>
      <c r="AN1768" s="3" t="str">
        <f t="shared" si="468"/>
        <v/>
      </c>
      <c r="AO1768" s="3">
        <v>0</v>
      </c>
      <c r="AP1768" s="3">
        <f t="shared" si="482"/>
        <v>8</v>
      </c>
      <c r="AR1768">
        <f t="shared" si="483"/>
        <v>0</v>
      </c>
      <c r="AS1768">
        <f t="shared" si="484"/>
        <v>5</v>
      </c>
    </row>
    <row r="1769" customHeight="1" spans="1:45">
      <c r="A1769" s="3" t="str">
        <f>IF(对接源_02物料!$C569="","",对接源_02物料!$C569)</f>
        <v/>
      </c>
      <c r="B1769" s="3">
        <f t="shared" si="469"/>
        <v>0</v>
      </c>
      <c r="C1769" s="3">
        <f t="shared" si="470"/>
        <v>21</v>
      </c>
      <c r="K1769" s="3">
        <f>IF(OR($K$1="",对接源_02物料!$C569="",对接源_02物料!$C569&lt;&gt;$K$1,对接源_02物料!$B569=""),0,IF(OR(N(对接源_02物料!$B569)&lt;$K$2,N(对接源_02物料!$B569)&gt;$K$3),0,1))</f>
        <v>0</v>
      </c>
      <c r="L1769" s="3">
        <f>IF(OR($L$1="",对接源_02物料!$C569="",对接源_02物料!$C569&lt;&gt;$L$1,对接源_02物料!$B569=""),0,IF(OR(N(对接源_02物料!$B569)&lt;$L$2,N(对接源_02物料!$B569)&gt;$L$3),0,1))</f>
        <v>0</v>
      </c>
      <c r="M1769" s="3">
        <f>IF(OR($M$1="",对接源_02物料!$C569="",对接源_02物料!$C569&lt;&gt;$M$1,对接源_02物料!$B569=""),0,IF(OR(N(对接源_02物料!$B569)&lt;$M$2,N(对接源_02物料!$B569)&gt;$M$3),0,1))</f>
        <v>0</v>
      </c>
      <c r="N1769" s="3">
        <f>IF(OR($N$1="",对接源_02物料!$C569="",对接源_02物料!$C569&lt;&gt;$N$1,对接源_02物料!$B569=""),0,IF(OR(N(对接源_02物料!$B569)&lt;$N$2,N(对接源_02物料!$B569)&gt;$N$3),0,1))</f>
        <v>0</v>
      </c>
      <c r="P1769" s="3">
        <f>IF(AND($K1769=1,AND(对接源_02物料!$X569="公司筐",N(对接源_02物料!$T569)&lt;&gt;0)),1,0)</f>
        <v>0</v>
      </c>
      <c r="Q1769" s="3">
        <f t="shared" si="471"/>
        <v>8</v>
      </c>
      <c r="R1769" s="3">
        <f>IF(AND($K1769=1,AND(对接源_02物料!$X569="公司筐",N(对接源_02物料!$U569)&lt;&gt;0)),1,0)</f>
        <v>0</v>
      </c>
      <c r="S1769" s="3">
        <f t="shared" si="472"/>
        <v>0</v>
      </c>
      <c r="T1769" s="3">
        <f>IF(AND($K1769=1,AND(对接源_02物料!$X569="公司筐",N(对接源_02物料!$V569)&lt;&gt;0)),1,0)</f>
        <v>0</v>
      </c>
      <c r="U1769" s="3">
        <f t="shared" si="473"/>
        <v>19</v>
      </c>
      <c r="V1769" s="3">
        <f>IF(AND($L1769=1,AND(对接源_02物料!$X569="自备筐",N(对接源_02物料!$V569)&lt;&gt;0)),1,0)</f>
        <v>0</v>
      </c>
      <c r="W1769" s="3">
        <f t="shared" si="474"/>
        <v>8</v>
      </c>
      <c r="X1769" s="3">
        <f>IF(AND($L1769=1,AND(对接源_02物料!$X569="自备筐",N(对接源_02物料!$T569)&lt;&gt;0)),1,0)</f>
        <v>0</v>
      </c>
      <c r="Y1769" s="3">
        <f t="shared" si="475"/>
        <v>0</v>
      </c>
      <c r="Z1769" s="3">
        <f>IF(AND($M1769=1,对接源_02物料!$D569="原料入库"),1,0)</f>
        <v>0</v>
      </c>
      <c r="AA1769" s="3">
        <f t="shared" si="476"/>
        <v>24</v>
      </c>
      <c r="AB1769" s="3">
        <f>IF(AND($M1769=1,LEFT(对接源_02物料!$D569,4)="原料出库"),1,0)</f>
        <v>0</v>
      </c>
      <c r="AC1769" s="3">
        <f t="shared" si="477"/>
        <v>0</v>
      </c>
      <c r="AD1769" s="3">
        <f>IF(AND($M1769=1,LEFT(对接源_02物料!$D569,4)="成品出库"),1,0)</f>
        <v>0</v>
      </c>
      <c r="AE1769" s="3">
        <f t="shared" si="478"/>
        <v>0</v>
      </c>
      <c r="AF1769" s="3">
        <f>IF(AND($N1769=1,AND(LEFT(对接源_02物料!$D569,4)="包装物料",N(对接源_02物料!$K569)&lt;&gt;0)),1,0)</f>
        <v>0</v>
      </c>
      <c r="AG1769" s="3">
        <f t="shared" si="479"/>
        <v>5</v>
      </c>
      <c r="AH1769" s="3">
        <f>IF(AND($N1769=1,AND(对接源_02物料!$D569="周转筐－销售出库",N(对接源_02物料!$K569)&lt;&gt;0)),1,0)</f>
        <v>0</v>
      </c>
      <c r="AI1769" s="3">
        <f t="shared" si="480"/>
        <v>0</v>
      </c>
      <c r="AL1769" s="3">
        <v>0</v>
      </c>
      <c r="AM1769" s="3">
        <f t="shared" si="481"/>
        <v>1</v>
      </c>
      <c r="AN1769" s="3" t="str">
        <f t="shared" si="468"/>
        <v/>
      </c>
      <c r="AO1769" s="3">
        <v>0</v>
      </c>
      <c r="AP1769" s="3">
        <f t="shared" si="482"/>
        <v>8</v>
      </c>
      <c r="AR1769">
        <f t="shared" si="483"/>
        <v>0</v>
      </c>
      <c r="AS1769">
        <f t="shared" si="484"/>
        <v>5</v>
      </c>
    </row>
    <row r="1770" customHeight="1" spans="1:45">
      <c r="A1770" s="3" t="str">
        <f>IF(对接源_02物料!$C570="","",对接源_02物料!$C570)</f>
        <v/>
      </c>
      <c r="B1770" s="3">
        <f t="shared" si="469"/>
        <v>0</v>
      </c>
      <c r="C1770" s="3">
        <f t="shared" si="470"/>
        <v>21</v>
      </c>
      <c r="K1770" s="3">
        <f>IF(OR($K$1="",对接源_02物料!$C570="",对接源_02物料!$C570&lt;&gt;$K$1,对接源_02物料!$B570=""),0,IF(OR(N(对接源_02物料!$B570)&lt;$K$2,N(对接源_02物料!$B570)&gt;$K$3),0,1))</f>
        <v>0</v>
      </c>
      <c r="L1770" s="3">
        <f>IF(OR($L$1="",对接源_02物料!$C570="",对接源_02物料!$C570&lt;&gt;$L$1,对接源_02物料!$B570=""),0,IF(OR(N(对接源_02物料!$B570)&lt;$L$2,N(对接源_02物料!$B570)&gt;$L$3),0,1))</f>
        <v>0</v>
      </c>
      <c r="M1770" s="3">
        <f>IF(OR($M$1="",对接源_02物料!$C570="",对接源_02物料!$C570&lt;&gt;$M$1,对接源_02物料!$B570=""),0,IF(OR(N(对接源_02物料!$B570)&lt;$M$2,N(对接源_02物料!$B570)&gt;$M$3),0,1))</f>
        <v>0</v>
      </c>
      <c r="N1770" s="3">
        <f>IF(OR($N$1="",对接源_02物料!$C570="",对接源_02物料!$C570&lt;&gt;$N$1,对接源_02物料!$B570=""),0,IF(OR(N(对接源_02物料!$B570)&lt;$N$2,N(对接源_02物料!$B570)&gt;$N$3),0,1))</f>
        <v>0</v>
      </c>
      <c r="P1770" s="3">
        <f>IF(AND($K1770=1,AND(对接源_02物料!$X570="公司筐",N(对接源_02物料!$T570)&lt;&gt;0)),1,0)</f>
        <v>0</v>
      </c>
      <c r="Q1770" s="3">
        <f t="shared" si="471"/>
        <v>8</v>
      </c>
      <c r="R1770" s="3">
        <f>IF(AND($K1770=1,AND(对接源_02物料!$X570="公司筐",N(对接源_02物料!$U570)&lt;&gt;0)),1,0)</f>
        <v>0</v>
      </c>
      <c r="S1770" s="3">
        <f t="shared" si="472"/>
        <v>0</v>
      </c>
      <c r="T1770" s="3">
        <f>IF(AND($K1770=1,AND(对接源_02物料!$X570="公司筐",N(对接源_02物料!$V570)&lt;&gt;0)),1,0)</f>
        <v>0</v>
      </c>
      <c r="U1770" s="3">
        <f t="shared" si="473"/>
        <v>19</v>
      </c>
      <c r="V1770" s="3">
        <f>IF(AND($L1770=1,AND(对接源_02物料!$X570="自备筐",N(对接源_02物料!$V570)&lt;&gt;0)),1,0)</f>
        <v>0</v>
      </c>
      <c r="W1770" s="3">
        <f t="shared" si="474"/>
        <v>8</v>
      </c>
      <c r="X1770" s="3">
        <f>IF(AND($L1770=1,AND(对接源_02物料!$X570="自备筐",N(对接源_02物料!$T570)&lt;&gt;0)),1,0)</f>
        <v>0</v>
      </c>
      <c r="Y1770" s="3">
        <f t="shared" si="475"/>
        <v>0</v>
      </c>
      <c r="Z1770" s="3">
        <f>IF(AND($M1770=1,对接源_02物料!$D570="原料入库"),1,0)</f>
        <v>0</v>
      </c>
      <c r="AA1770" s="3">
        <f t="shared" si="476"/>
        <v>24</v>
      </c>
      <c r="AB1770" s="3">
        <f>IF(AND($M1770=1,LEFT(对接源_02物料!$D570,4)="原料出库"),1,0)</f>
        <v>0</v>
      </c>
      <c r="AC1770" s="3">
        <f t="shared" si="477"/>
        <v>0</v>
      </c>
      <c r="AD1770" s="3">
        <f>IF(AND($M1770=1,LEFT(对接源_02物料!$D570,4)="成品出库"),1,0)</f>
        <v>0</v>
      </c>
      <c r="AE1770" s="3">
        <f t="shared" si="478"/>
        <v>0</v>
      </c>
      <c r="AF1770" s="3">
        <f>IF(AND($N1770=1,AND(LEFT(对接源_02物料!$D570,4)="包装物料",N(对接源_02物料!$K570)&lt;&gt;0)),1,0)</f>
        <v>0</v>
      </c>
      <c r="AG1770" s="3">
        <f t="shared" si="479"/>
        <v>5</v>
      </c>
      <c r="AH1770" s="3">
        <f>IF(AND($N1770=1,AND(对接源_02物料!$D570="周转筐－销售出库",N(对接源_02物料!$K570)&lt;&gt;0)),1,0)</f>
        <v>0</v>
      </c>
      <c r="AI1770" s="3">
        <f t="shared" si="480"/>
        <v>0</v>
      </c>
      <c r="AL1770" s="3">
        <v>0</v>
      </c>
      <c r="AM1770" s="3">
        <f t="shared" si="481"/>
        <v>1</v>
      </c>
      <c r="AN1770" s="3" t="str">
        <f t="shared" si="468"/>
        <v/>
      </c>
      <c r="AO1770" s="3">
        <v>0</v>
      </c>
      <c r="AP1770" s="3">
        <f t="shared" si="482"/>
        <v>8</v>
      </c>
      <c r="AR1770">
        <f t="shared" si="483"/>
        <v>0</v>
      </c>
      <c r="AS1770">
        <f t="shared" si="484"/>
        <v>5</v>
      </c>
    </row>
    <row r="1771" customHeight="1" spans="1:45">
      <c r="A1771" s="3" t="str">
        <f>IF(对接源_02物料!$C571="","",对接源_02物料!$C571)</f>
        <v/>
      </c>
      <c r="B1771" s="3">
        <f t="shared" si="469"/>
        <v>0</v>
      </c>
      <c r="C1771" s="3">
        <f t="shared" si="470"/>
        <v>21</v>
      </c>
      <c r="K1771" s="3">
        <f>IF(OR($K$1="",对接源_02物料!$C571="",对接源_02物料!$C571&lt;&gt;$K$1,对接源_02物料!$B571=""),0,IF(OR(N(对接源_02物料!$B571)&lt;$K$2,N(对接源_02物料!$B571)&gt;$K$3),0,1))</f>
        <v>0</v>
      </c>
      <c r="L1771" s="3">
        <f>IF(OR($L$1="",对接源_02物料!$C571="",对接源_02物料!$C571&lt;&gt;$L$1,对接源_02物料!$B571=""),0,IF(OR(N(对接源_02物料!$B571)&lt;$L$2,N(对接源_02物料!$B571)&gt;$L$3),0,1))</f>
        <v>0</v>
      </c>
      <c r="M1771" s="3">
        <f>IF(OR($M$1="",对接源_02物料!$C571="",对接源_02物料!$C571&lt;&gt;$M$1,对接源_02物料!$B571=""),0,IF(OR(N(对接源_02物料!$B571)&lt;$M$2,N(对接源_02物料!$B571)&gt;$M$3),0,1))</f>
        <v>0</v>
      </c>
      <c r="N1771" s="3">
        <f>IF(OR($N$1="",对接源_02物料!$C571="",对接源_02物料!$C571&lt;&gt;$N$1,对接源_02物料!$B571=""),0,IF(OR(N(对接源_02物料!$B571)&lt;$N$2,N(对接源_02物料!$B571)&gt;$N$3),0,1))</f>
        <v>0</v>
      </c>
      <c r="P1771" s="3">
        <f>IF(AND($K1771=1,AND(对接源_02物料!$X571="公司筐",N(对接源_02物料!$T571)&lt;&gt;0)),1,0)</f>
        <v>0</v>
      </c>
      <c r="Q1771" s="3">
        <f t="shared" si="471"/>
        <v>8</v>
      </c>
      <c r="R1771" s="3">
        <f>IF(AND($K1771=1,AND(对接源_02物料!$X571="公司筐",N(对接源_02物料!$U571)&lt;&gt;0)),1,0)</f>
        <v>0</v>
      </c>
      <c r="S1771" s="3">
        <f t="shared" si="472"/>
        <v>0</v>
      </c>
      <c r="T1771" s="3">
        <f>IF(AND($K1771=1,AND(对接源_02物料!$X571="公司筐",N(对接源_02物料!$V571)&lt;&gt;0)),1,0)</f>
        <v>0</v>
      </c>
      <c r="U1771" s="3">
        <f t="shared" si="473"/>
        <v>19</v>
      </c>
      <c r="V1771" s="3">
        <f>IF(AND($L1771=1,AND(对接源_02物料!$X571="自备筐",N(对接源_02物料!$V571)&lt;&gt;0)),1,0)</f>
        <v>0</v>
      </c>
      <c r="W1771" s="3">
        <f t="shared" si="474"/>
        <v>8</v>
      </c>
      <c r="X1771" s="3">
        <f>IF(AND($L1771=1,AND(对接源_02物料!$X571="自备筐",N(对接源_02物料!$T571)&lt;&gt;0)),1,0)</f>
        <v>0</v>
      </c>
      <c r="Y1771" s="3">
        <f t="shared" si="475"/>
        <v>0</v>
      </c>
      <c r="Z1771" s="3">
        <f>IF(AND($M1771=1,对接源_02物料!$D571="原料入库"),1,0)</f>
        <v>0</v>
      </c>
      <c r="AA1771" s="3">
        <f t="shared" si="476"/>
        <v>24</v>
      </c>
      <c r="AB1771" s="3">
        <f>IF(AND($M1771=1,LEFT(对接源_02物料!$D571,4)="原料出库"),1,0)</f>
        <v>0</v>
      </c>
      <c r="AC1771" s="3">
        <f t="shared" si="477"/>
        <v>0</v>
      </c>
      <c r="AD1771" s="3">
        <f>IF(AND($M1771=1,LEFT(对接源_02物料!$D571,4)="成品出库"),1,0)</f>
        <v>0</v>
      </c>
      <c r="AE1771" s="3">
        <f t="shared" si="478"/>
        <v>0</v>
      </c>
      <c r="AF1771" s="3">
        <f>IF(AND($N1771=1,AND(LEFT(对接源_02物料!$D571,4)="包装物料",N(对接源_02物料!$K571)&lt;&gt;0)),1,0)</f>
        <v>0</v>
      </c>
      <c r="AG1771" s="3">
        <f t="shared" si="479"/>
        <v>5</v>
      </c>
      <c r="AH1771" s="3">
        <f>IF(AND($N1771=1,AND(对接源_02物料!$D571="周转筐－销售出库",N(对接源_02物料!$K571)&lt;&gt;0)),1,0)</f>
        <v>0</v>
      </c>
      <c r="AI1771" s="3">
        <f t="shared" si="480"/>
        <v>0</v>
      </c>
      <c r="AL1771" s="3">
        <v>0</v>
      </c>
      <c r="AM1771" s="3">
        <f t="shared" si="481"/>
        <v>1</v>
      </c>
      <c r="AN1771" s="3" t="str">
        <f t="shared" si="468"/>
        <v/>
      </c>
      <c r="AO1771" s="3">
        <v>0</v>
      </c>
      <c r="AP1771" s="3">
        <f t="shared" si="482"/>
        <v>8</v>
      </c>
      <c r="AR1771">
        <f t="shared" si="483"/>
        <v>0</v>
      </c>
      <c r="AS1771">
        <f t="shared" si="484"/>
        <v>5</v>
      </c>
    </row>
    <row r="1772" customHeight="1" spans="1:45">
      <c r="A1772" s="3" t="str">
        <f>IF(对接源_02物料!$C572="","",对接源_02物料!$C572)</f>
        <v/>
      </c>
      <c r="B1772" s="3">
        <f t="shared" si="469"/>
        <v>0</v>
      </c>
      <c r="C1772" s="3">
        <f t="shared" si="470"/>
        <v>21</v>
      </c>
      <c r="K1772" s="3">
        <f>IF(OR($K$1="",对接源_02物料!$C572="",对接源_02物料!$C572&lt;&gt;$K$1,对接源_02物料!$B572=""),0,IF(OR(N(对接源_02物料!$B572)&lt;$K$2,N(对接源_02物料!$B572)&gt;$K$3),0,1))</f>
        <v>0</v>
      </c>
      <c r="L1772" s="3">
        <f>IF(OR($L$1="",对接源_02物料!$C572="",对接源_02物料!$C572&lt;&gt;$L$1,对接源_02物料!$B572=""),0,IF(OR(N(对接源_02物料!$B572)&lt;$L$2,N(对接源_02物料!$B572)&gt;$L$3),0,1))</f>
        <v>0</v>
      </c>
      <c r="M1772" s="3">
        <f>IF(OR($M$1="",对接源_02物料!$C572="",对接源_02物料!$C572&lt;&gt;$M$1,对接源_02物料!$B572=""),0,IF(OR(N(对接源_02物料!$B572)&lt;$M$2,N(对接源_02物料!$B572)&gt;$M$3),0,1))</f>
        <v>0</v>
      </c>
      <c r="N1772" s="3">
        <f>IF(OR($N$1="",对接源_02物料!$C572="",对接源_02物料!$C572&lt;&gt;$N$1,对接源_02物料!$B572=""),0,IF(OR(N(对接源_02物料!$B572)&lt;$N$2,N(对接源_02物料!$B572)&gt;$N$3),0,1))</f>
        <v>0</v>
      </c>
      <c r="P1772" s="3">
        <f>IF(AND($K1772=1,AND(对接源_02物料!$X572="公司筐",N(对接源_02物料!$T572)&lt;&gt;0)),1,0)</f>
        <v>0</v>
      </c>
      <c r="Q1772" s="3">
        <f t="shared" si="471"/>
        <v>8</v>
      </c>
      <c r="R1772" s="3">
        <f>IF(AND($K1772=1,AND(对接源_02物料!$X572="公司筐",N(对接源_02物料!$U572)&lt;&gt;0)),1,0)</f>
        <v>0</v>
      </c>
      <c r="S1772" s="3">
        <f t="shared" si="472"/>
        <v>0</v>
      </c>
      <c r="T1772" s="3">
        <f>IF(AND($K1772=1,AND(对接源_02物料!$X572="公司筐",N(对接源_02物料!$V572)&lt;&gt;0)),1,0)</f>
        <v>0</v>
      </c>
      <c r="U1772" s="3">
        <f t="shared" si="473"/>
        <v>19</v>
      </c>
      <c r="V1772" s="3">
        <f>IF(AND($L1772=1,AND(对接源_02物料!$X572="自备筐",N(对接源_02物料!$V572)&lt;&gt;0)),1,0)</f>
        <v>0</v>
      </c>
      <c r="W1772" s="3">
        <f t="shared" si="474"/>
        <v>8</v>
      </c>
      <c r="X1772" s="3">
        <f>IF(AND($L1772=1,AND(对接源_02物料!$X572="自备筐",N(对接源_02物料!$T572)&lt;&gt;0)),1,0)</f>
        <v>0</v>
      </c>
      <c r="Y1772" s="3">
        <f t="shared" si="475"/>
        <v>0</v>
      </c>
      <c r="Z1772" s="3">
        <f>IF(AND($M1772=1,对接源_02物料!$D572="原料入库"),1,0)</f>
        <v>0</v>
      </c>
      <c r="AA1772" s="3">
        <f t="shared" si="476"/>
        <v>24</v>
      </c>
      <c r="AB1772" s="3">
        <f>IF(AND($M1772=1,LEFT(对接源_02物料!$D572,4)="原料出库"),1,0)</f>
        <v>0</v>
      </c>
      <c r="AC1772" s="3">
        <f t="shared" si="477"/>
        <v>0</v>
      </c>
      <c r="AD1772" s="3">
        <f>IF(AND($M1772=1,LEFT(对接源_02物料!$D572,4)="成品出库"),1,0)</f>
        <v>0</v>
      </c>
      <c r="AE1772" s="3">
        <f t="shared" si="478"/>
        <v>0</v>
      </c>
      <c r="AF1772" s="3">
        <f>IF(AND($N1772=1,AND(LEFT(对接源_02物料!$D572,4)="包装物料",N(对接源_02物料!$K572)&lt;&gt;0)),1,0)</f>
        <v>0</v>
      </c>
      <c r="AG1772" s="3">
        <f t="shared" si="479"/>
        <v>5</v>
      </c>
      <c r="AH1772" s="3">
        <f>IF(AND($N1772=1,AND(对接源_02物料!$D572="周转筐－销售出库",N(对接源_02物料!$K572)&lt;&gt;0)),1,0)</f>
        <v>0</v>
      </c>
      <c r="AI1772" s="3">
        <f t="shared" si="480"/>
        <v>0</v>
      </c>
      <c r="AL1772" s="3">
        <v>0</v>
      </c>
      <c r="AM1772" s="3">
        <f t="shared" si="481"/>
        <v>1</v>
      </c>
      <c r="AN1772" s="3" t="str">
        <f t="shared" si="468"/>
        <v/>
      </c>
      <c r="AO1772" s="3">
        <v>0</v>
      </c>
      <c r="AP1772" s="3">
        <f t="shared" si="482"/>
        <v>8</v>
      </c>
      <c r="AR1772">
        <f t="shared" si="483"/>
        <v>0</v>
      </c>
      <c r="AS1772">
        <f t="shared" si="484"/>
        <v>5</v>
      </c>
    </row>
    <row r="1773" customHeight="1" spans="1:45">
      <c r="A1773" s="3" t="str">
        <f>IF(对接源_02物料!$C573="","",对接源_02物料!$C573)</f>
        <v/>
      </c>
      <c r="B1773" s="3">
        <f t="shared" si="469"/>
        <v>0</v>
      </c>
      <c r="C1773" s="3">
        <f t="shared" si="470"/>
        <v>21</v>
      </c>
      <c r="K1773" s="3">
        <f>IF(OR($K$1="",对接源_02物料!$C573="",对接源_02物料!$C573&lt;&gt;$K$1,对接源_02物料!$B573=""),0,IF(OR(N(对接源_02物料!$B573)&lt;$K$2,N(对接源_02物料!$B573)&gt;$K$3),0,1))</f>
        <v>0</v>
      </c>
      <c r="L1773" s="3">
        <f>IF(OR($L$1="",对接源_02物料!$C573="",对接源_02物料!$C573&lt;&gt;$L$1,对接源_02物料!$B573=""),0,IF(OR(N(对接源_02物料!$B573)&lt;$L$2,N(对接源_02物料!$B573)&gt;$L$3),0,1))</f>
        <v>0</v>
      </c>
      <c r="M1773" s="3">
        <f>IF(OR($M$1="",对接源_02物料!$C573="",对接源_02物料!$C573&lt;&gt;$M$1,对接源_02物料!$B573=""),0,IF(OR(N(对接源_02物料!$B573)&lt;$M$2,N(对接源_02物料!$B573)&gt;$M$3),0,1))</f>
        <v>0</v>
      </c>
      <c r="N1773" s="3">
        <f>IF(OR($N$1="",对接源_02物料!$C573="",对接源_02物料!$C573&lt;&gt;$N$1,对接源_02物料!$B573=""),0,IF(OR(N(对接源_02物料!$B573)&lt;$N$2,N(对接源_02物料!$B573)&gt;$N$3),0,1))</f>
        <v>0</v>
      </c>
      <c r="P1773" s="3">
        <f>IF(AND($K1773=1,AND(对接源_02物料!$X573="公司筐",N(对接源_02物料!$T573)&lt;&gt;0)),1,0)</f>
        <v>0</v>
      </c>
      <c r="Q1773" s="3">
        <f t="shared" si="471"/>
        <v>8</v>
      </c>
      <c r="R1773" s="3">
        <f>IF(AND($K1773=1,AND(对接源_02物料!$X573="公司筐",N(对接源_02物料!$U573)&lt;&gt;0)),1,0)</f>
        <v>0</v>
      </c>
      <c r="S1773" s="3">
        <f t="shared" si="472"/>
        <v>0</v>
      </c>
      <c r="T1773" s="3">
        <f>IF(AND($K1773=1,AND(对接源_02物料!$X573="公司筐",N(对接源_02物料!$V573)&lt;&gt;0)),1,0)</f>
        <v>0</v>
      </c>
      <c r="U1773" s="3">
        <f t="shared" si="473"/>
        <v>19</v>
      </c>
      <c r="V1773" s="3">
        <f>IF(AND($L1773=1,AND(对接源_02物料!$X573="自备筐",N(对接源_02物料!$V573)&lt;&gt;0)),1,0)</f>
        <v>0</v>
      </c>
      <c r="W1773" s="3">
        <f t="shared" si="474"/>
        <v>8</v>
      </c>
      <c r="X1773" s="3">
        <f>IF(AND($L1773=1,AND(对接源_02物料!$X573="自备筐",N(对接源_02物料!$T573)&lt;&gt;0)),1,0)</f>
        <v>0</v>
      </c>
      <c r="Y1773" s="3">
        <f t="shared" si="475"/>
        <v>0</v>
      </c>
      <c r="Z1773" s="3">
        <f>IF(AND($M1773=1,对接源_02物料!$D573="原料入库"),1,0)</f>
        <v>0</v>
      </c>
      <c r="AA1773" s="3">
        <f t="shared" si="476"/>
        <v>24</v>
      </c>
      <c r="AB1773" s="3">
        <f>IF(AND($M1773=1,LEFT(对接源_02物料!$D573,4)="原料出库"),1,0)</f>
        <v>0</v>
      </c>
      <c r="AC1773" s="3">
        <f t="shared" si="477"/>
        <v>0</v>
      </c>
      <c r="AD1773" s="3">
        <f>IF(AND($M1773=1,LEFT(对接源_02物料!$D573,4)="成品出库"),1,0)</f>
        <v>0</v>
      </c>
      <c r="AE1773" s="3">
        <f t="shared" si="478"/>
        <v>0</v>
      </c>
      <c r="AF1773" s="3">
        <f>IF(AND($N1773=1,AND(LEFT(对接源_02物料!$D573,4)="包装物料",N(对接源_02物料!$K573)&lt;&gt;0)),1,0)</f>
        <v>0</v>
      </c>
      <c r="AG1773" s="3">
        <f t="shared" si="479"/>
        <v>5</v>
      </c>
      <c r="AH1773" s="3">
        <f>IF(AND($N1773=1,AND(对接源_02物料!$D573="周转筐－销售出库",N(对接源_02物料!$K573)&lt;&gt;0)),1,0)</f>
        <v>0</v>
      </c>
      <c r="AI1773" s="3">
        <f t="shared" si="480"/>
        <v>0</v>
      </c>
      <c r="AL1773" s="3">
        <v>0</v>
      </c>
      <c r="AM1773" s="3">
        <f t="shared" si="481"/>
        <v>1</v>
      </c>
      <c r="AN1773" s="3" t="str">
        <f t="shared" si="468"/>
        <v/>
      </c>
      <c r="AO1773" s="3">
        <v>0</v>
      </c>
      <c r="AP1773" s="3">
        <f t="shared" si="482"/>
        <v>8</v>
      </c>
      <c r="AR1773">
        <f t="shared" si="483"/>
        <v>0</v>
      </c>
      <c r="AS1773">
        <f t="shared" si="484"/>
        <v>5</v>
      </c>
    </row>
    <row r="1774" customHeight="1" spans="1:45">
      <c r="A1774" s="3" t="str">
        <f>IF(对接源_02物料!$C574="","",对接源_02物料!$C574)</f>
        <v/>
      </c>
      <c r="B1774" s="3">
        <f t="shared" si="469"/>
        <v>0</v>
      </c>
      <c r="C1774" s="3">
        <f t="shared" si="470"/>
        <v>21</v>
      </c>
      <c r="K1774" s="3">
        <f>IF(OR($K$1="",对接源_02物料!$C574="",对接源_02物料!$C574&lt;&gt;$K$1,对接源_02物料!$B574=""),0,IF(OR(N(对接源_02物料!$B574)&lt;$K$2,N(对接源_02物料!$B574)&gt;$K$3),0,1))</f>
        <v>0</v>
      </c>
      <c r="L1774" s="3">
        <f>IF(OR($L$1="",对接源_02物料!$C574="",对接源_02物料!$C574&lt;&gt;$L$1,对接源_02物料!$B574=""),0,IF(OR(N(对接源_02物料!$B574)&lt;$L$2,N(对接源_02物料!$B574)&gt;$L$3),0,1))</f>
        <v>0</v>
      </c>
      <c r="M1774" s="3">
        <f>IF(OR($M$1="",对接源_02物料!$C574="",对接源_02物料!$C574&lt;&gt;$M$1,对接源_02物料!$B574=""),0,IF(OR(N(对接源_02物料!$B574)&lt;$M$2,N(对接源_02物料!$B574)&gt;$M$3),0,1))</f>
        <v>0</v>
      </c>
      <c r="N1774" s="3">
        <f>IF(OR($N$1="",对接源_02物料!$C574="",对接源_02物料!$C574&lt;&gt;$N$1,对接源_02物料!$B574=""),0,IF(OR(N(对接源_02物料!$B574)&lt;$N$2,N(对接源_02物料!$B574)&gt;$N$3),0,1))</f>
        <v>0</v>
      </c>
      <c r="P1774" s="3">
        <f>IF(AND($K1774=1,AND(对接源_02物料!$X574="公司筐",N(对接源_02物料!$T574)&lt;&gt;0)),1,0)</f>
        <v>0</v>
      </c>
      <c r="Q1774" s="3">
        <f t="shared" si="471"/>
        <v>8</v>
      </c>
      <c r="R1774" s="3">
        <f>IF(AND($K1774=1,AND(对接源_02物料!$X574="公司筐",N(对接源_02物料!$U574)&lt;&gt;0)),1,0)</f>
        <v>0</v>
      </c>
      <c r="S1774" s="3">
        <f t="shared" si="472"/>
        <v>0</v>
      </c>
      <c r="T1774" s="3">
        <f>IF(AND($K1774=1,AND(对接源_02物料!$X574="公司筐",N(对接源_02物料!$V574)&lt;&gt;0)),1,0)</f>
        <v>0</v>
      </c>
      <c r="U1774" s="3">
        <f t="shared" si="473"/>
        <v>19</v>
      </c>
      <c r="V1774" s="3">
        <f>IF(AND($L1774=1,AND(对接源_02物料!$X574="自备筐",N(对接源_02物料!$V574)&lt;&gt;0)),1,0)</f>
        <v>0</v>
      </c>
      <c r="W1774" s="3">
        <f t="shared" si="474"/>
        <v>8</v>
      </c>
      <c r="X1774" s="3">
        <f>IF(AND($L1774=1,AND(对接源_02物料!$X574="自备筐",N(对接源_02物料!$T574)&lt;&gt;0)),1,0)</f>
        <v>0</v>
      </c>
      <c r="Y1774" s="3">
        <f t="shared" si="475"/>
        <v>0</v>
      </c>
      <c r="Z1774" s="3">
        <f>IF(AND($M1774=1,对接源_02物料!$D574="原料入库"),1,0)</f>
        <v>0</v>
      </c>
      <c r="AA1774" s="3">
        <f t="shared" si="476"/>
        <v>24</v>
      </c>
      <c r="AB1774" s="3">
        <f>IF(AND($M1774=1,LEFT(对接源_02物料!$D574,4)="原料出库"),1,0)</f>
        <v>0</v>
      </c>
      <c r="AC1774" s="3">
        <f t="shared" si="477"/>
        <v>0</v>
      </c>
      <c r="AD1774" s="3">
        <f>IF(AND($M1774=1,LEFT(对接源_02物料!$D574,4)="成品出库"),1,0)</f>
        <v>0</v>
      </c>
      <c r="AE1774" s="3">
        <f t="shared" si="478"/>
        <v>0</v>
      </c>
      <c r="AF1774" s="3">
        <f>IF(AND($N1774=1,AND(LEFT(对接源_02物料!$D574,4)="包装物料",N(对接源_02物料!$K574)&lt;&gt;0)),1,0)</f>
        <v>0</v>
      </c>
      <c r="AG1774" s="3">
        <f t="shared" si="479"/>
        <v>5</v>
      </c>
      <c r="AH1774" s="3">
        <f>IF(AND($N1774=1,AND(对接源_02物料!$D574="周转筐－销售出库",N(对接源_02物料!$K574)&lt;&gt;0)),1,0)</f>
        <v>0</v>
      </c>
      <c r="AI1774" s="3">
        <f t="shared" si="480"/>
        <v>0</v>
      </c>
      <c r="AL1774" s="3">
        <v>0</v>
      </c>
      <c r="AM1774" s="3">
        <f t="shared" si="481"/>
        <v>1</v>
      </c>
      <c r="AN1774" s="3" t="str">
        <f t="shared" si="468"/>
        <v/>
      </c>
      <c r="AO1774" s="3">
        <v>0</v>
      </c>
      <c r="AP1774" s="3">
        <f t="shared" si="482"/>
        <v>8</v>
      </c>
      <c r="AR1774">
        <f t="shared" si="483"/>
        <v>0</v>
      </c>
      <c r="AS1774">
        <f t="shared" si="484"/>
        <v>5</v>
      </c>
    </row>
    <row r="1775" customHeight="1" spans="1:45">
      <c r="A1775" s="3" t="str">
        <f>IF(对接源_02物料!$C575="","",对接源_02物料!$C575)</f>
        <v/>
      </c>
      <c r="B1775" s="3">
        <f t="shared" si="469"/>
        <v>0</v>
      </c>
      <c r="C1775" s="3">
        <f t="shared" si="470"/>
        <v>21</v>
      </c>
      <c r="K1775" s="3">
        <f>IF(OR($K$1="",对接源_02物料!$C575="",对接源_02物料!$C575&lt;&gt;$K$1,对接源_02物料!$B575=""),0,IF(OR(N(对接源_02物料!$B575)&lt;$K$2,N(对接源_02物料!$B575)&gt;$K$3),0,1))</f>
        <v>0</v>
      </c>
      <c r="L1775" s="3">
        <f>IF(OR($L$1="",对接源_02物料!$C575="",对接源_02物料!$C575&lt;&gt;$L$1,对接源_02物料!$B575=""),0,IF(OR(N(对接源_02物料!$B575)&lt;$L$2,N(对接源_02物料!$B575)&gt;$L$3),0,1))</f>
        <v>0</v>
      </c>
      <c r="M1775" s="3">
        <f>IF(OR($M$1="",对接源_02物料!$C575="",对接源_02物料!$C575&lt;&gt;$M$1,对接源_02物料!$B575=""),0,IF(OR(N(对接源_02物料!$B575)&lt;$M$2,N(对接源_02物料!$B575)&gt;$M$3),0,1))</f>
        <v>0</v>
      </c>
      <c r="N1775" s="3">
        <f>IF(OR($N$1="",对接源_02物料!$C575="",对接源_02物料!$C575&lt;&gt;$N$1,对接源_02物料!$B575=""),0,IF(OR(N(对接源_02物料!$B575)&lt;$N$2,N(对接源_02物料!$B575)&gt;$N$3),0,1))</f>
        <v>0</v>
      </c>
      <c r="P1775" s="3">
        <f>IF(AND($K1775=1,AND(对接源_02物料!$X575="公司筐",N(对接源_02物料!$T575)&lt;&gt;0)),1,0)</f>
        <v>0</v>
      </c>
      <c r="Q1775" s="3">
        <f t="shared" si="471"/>
        <v>8</v>
      </c>
      <c r="R1775" s="3">
        <f>IF(AND($K1775=1,AND(对接源_02物料!$X575="公司筐",N(对接源_02物料!$U575)&lt;&gt;0)),1,0)</f>
        <v>0</v>
      </c>
      <c r="S1775" s="3">
        <f t="shared" si="472"/>
        <v>0</v>
      </c>
      <c r="T1775" s="3">
        <f>IF(AND($K1775=1,AND(对接源_02物料!$X575="公司筐",N(对接源_02物料!$V575)&lt;&gt;0)),1,0)</f>
        <v>0</v>
      </c>
      <c r="U1775" s="3">
        <f t="shared" si="473"/>
        <v>19</v>
      </c>
      <c r="V1775" s="3">
        <f>IF(AND($L1775=1,AND(对接源_02物料!$X575="自备筐",N(对接源_02物料!$V575)&lt;&gt;0)),1,0)</f>
        <v>0</v>
      </c>
      <c r="W1775" s="3">
        <f t="shared" si="474"/>
        <v>8</v>
      </c>
      <c r="X1775" s="3">
        <f>IF(AND($L1775=1,AND(对接源_02物料!$X575="自备筐",N(对接源_02物料!$T575)&lt;&gt;0)),1,0)</f>
        <v>0</v>
      </c>
      <c r="Y1775" s="3">
        <f t="shared" si="475"/>
        <v>0</v>
      </c>
      <c r="Z1775" s="3">
        <f>IF(AND($M1775=1,对接源_02物料!$D575="原料入库"),1,0)</f>
        <v>0</v>
      </c>
      <c r="AA1775" s="3">
        <f t="shared" si="476"/>
        <v>24</v>
      </c>
      <c r="AB1775" s="3">
        <f>IF(AND($M1775=1,LEFT(对接源_02物料!$D575,4)="原料出库"),1,0)</f>
        <v>0</v>
      </c>
      <c r="AC1775" s="3">
        <f t="shared" si="477"/>
        <v>0</v>
      </c>
      <c r="AD1775" s="3">
        <f>IF(AND($M1775=1,LEFT(对接源_02物料!$D575,4)="成品出库"),1,0)</f>
        <v>0</v>
      </c>
      <c r="AE1775" s="3">
        <f t="shared" si="478"/>
        <v>0</v>
      </c>
      <c r="AF1775" s="3">
        <f>IF(AND($N1775=1,AND(LEFT(对接源_02物料!$D575,4)="包装物料",N(对接源_02物料!$K575)&lt;&gt;0)),1,0)</f>
        <v>0</v>
      </c>
      <c r="AG1775" s="3">
        <f t="shared" si="479"/>
        <v>5</v>
      </c>
      <c r="AH1775" s="3">
        <f>IF(AND($N1775=1,AND(对接源_02物料!$D575="周转筐－销售出库",N(对接源_02物料!$K575)&lt;&gt;0)),1,0)</f>
        <v>0</v>
      </c>
      <c r="AI1775" s="3">
        <f t="shared" si="480"/>
        <v>0</v>
      </c>
      <c r="AL1775" s="3">
        <v>0</v>
      </c>
      <c r="AM1775" s="3">
        <f t="shared" si="481"/>
        <v>1</v>
      </c>
      <c r="AN1775" s="3" t="str">
        <f t="shared" si="468"/>
        <v/>
      </c>
      <c r="AO1775" s="3">
        <v>0</v>
      </c>
      <c r="AP1775" s="3">
        <f t="shared" si="482"/>
        <v>8</v>
      </c>
      <c r="AR1775">
        <f t="shared" si="483"/>
        <v>0</v>
      </c>
      <c r="AS1775">
        <f t="shared" si="484"/>
        <v>5</v>
      </c>
    </row>
    <row r="1776" customHeight="1" spans="1:45">
      <c r="A1776" s="3" t="str">
        <f>IF(对接源_02物料!$C576="","",对接源_02物料!$C576)</f>
        <v/>
      </c>
      <c r="B1776" s="3">
        <f t="shared" si="469"/>
        <v>0</v>
      </c>
      <c r="C1776" s="3">
        <f t="shared" si="470"/>
        <v>21</v>
      </c>
      <c r="K1776" s="3">
        <f>IF(OR($K$1="",对接源_02物料!$C576="",对接源_02物料!$C576&lt;&gt;$K$1,对接源_02物料!$B576=""),0,IF(OR(N(对接源_02物料!$B576)&lt;$K$2,N(对接源_02物料!$B576)&gt;$K$3),0,1))</f>
        <v>0</v>
      </c>
      <c r="L1776" s="3">
        <f>IF(OR($L$1="",对接源_02物料!$C576="",对接源_02物料!$C576&lt;&gt;$L$1,对接源_02物料!$B576=""),0,IF(OR(N(对接源_02物料!$B576)&lt;$L$2,N(对接源_02物料!$B576)&gt;$L$3),0,1))</f>
        <v>0</v>
      </c>
      <c r="M1776" s="3">
        <f>IF(OR($M$1="",对接源_02物料!$C576="",对接源_02物料!$C576&lt;&gt;$M$1,对接源_02物料!$B576=""),0,IF(OR(N(对接源_02物料!$B576)&lt;$M$2,N(对接源_02物料!$B576)&gt;$M$3),0,1))</f>
        <v>0</v>
      </c>
      <c r="N1776" s="3">
        <f>IF(OR($N$1="",对接源_02物料!$C576="",对接源_02物料!$C576&lt;&gt;$N$1,对接源_02物料!$B576=""),0,IF(OR(N(对接源_02物料!$B576)&lt;$N$2,N(对接源_02物料!$B576)&gt;$N$3),0,1))</f>
        <v>0</v>
      </c>
      <c r="P1776" s="3">
        <f>IF(AND($K1776=1,AND(对接源_02物料!$X576="公司筐",N(对接源_02物料!$T576)&lt;&gt;0)),1,0)</f>
        <v>0</v>
      </c>
      <c r="Q1776" s="3">
        <f t="shared" si="471"/>
        <v>8</v>
      </c>
      <c r="R1776" s="3">
        <f>IF(AND($K1776=1,AND(对接源_02物料!$X576="公司筐",N(对接源_02物料!$U576)&lt;&gt;0)),1,0)</f>
        <v>0</v>
      </c>
      <c r="S1776" s="3">
        <f t="shared" si="472"/>
        <v>0</v>
      </c>
      <c r="T1776" s="3">
        <f>IF(AND($K1776=1,AND(对接源_02物料!$X576="公司筐",N(对接源_02物料!$V576)&lt;&gt;0)),1,0)</f>
        <v>0</v>
      </c>
      <c r="U1776" s="3">
        <f t="shared" si="473"/>
        <v>19</v>
      </c>
      <c r="V1776" s="3">
        <f>IF(AND($L1776=1,AND(对接源_02物料!$X576="自备筐",N(对接源_02物料!$V576)&lt;&gt;0)),1,0)</f>
        <v>0</v>
      </c>
      <c r="W1776" s="3">
        <f t="shared" si="474"/>
        <v>8</v>
      </c>
      <c r="X1776" s="3">
        <f>IF(AND($L1776=1,AND(对接源_02物料!$X576="自备筐",N(对接源_02物料!$T576)&lt;&gt;0)),1,0)</f>
        <v>0</v>
      </c>
      <c r="Y1776" s="3">
        <f t="shared" si="475"/>
        <v>0</v>
      </c>
      <c r="Z1776" s="3">
        <f>IF(AND($M1776=1,对接源_02物料!$D576="原料入库"),1,0)</f>
        <v>0</v>
      </c>
      <c r="AA1776" s="3">
        <f t="shared" si="476"/>
        <v>24</v>
      </c>
      <c r="AB1776" s="3">
        <f>IF(AND($M1776=1,LEFT(对接源_02物料!$D576,4)="原料出库"),1,0)</f>
        <v>0</v>
      </c>
      <c r="AC1776" s="3">
        <f t="shared" si="477"/>
        <v>0</v>
      </c>
      <c r="AD1776" s="3">
        <f>IF(AND($M1776=1,LEFT(对接源_02物料!$D576,4)="成品出库"),1,0)</f>
        <v>0</v>
      </c>
      <c r="AE1776" s="3">
        <f t="shared" si="478"/>
        <v>0</v>
      </c>
      <c r="AF1776" s="3">
        <f>IF(AND($N1776=1,AND(LEFT(对接源_02物料!$D576,4)="包装物料",N(对接源_02物料!$K576)&lt;&gt;0)),1,0)</f>
        <v>0</v>
      </c>
      <c r="AG1776" s="3">
        <f t="shared" si="479"/>
        <v>5</v>
      </c>
      <c r="AH1776" s="3">
        <f>IF(AND($N1776=1,AND(对接源_02物料!$D576="周转筐－销售出库",N(对接源_02物料!$K576)&lt;&gt;0)),1,0)</f>
        <v>0</v>
      </c>
      <c r="AI1776" s="3">
        <f t="shared" si="480"/>
        <v>0</v>
      </c>
      <c r="AL1776" s="3">
        <v>0</v>
      </c>
      <c r="AM1776" s="3">
        <f t="shared" si="481"/>
        <v>1</v>
      </c>
      <c r="AN1776" s="3" t="str">
        <f t="shared" si="468"/>
        <v/>
      </c>
      <c r="AO1776" s="3">
        <v>0</v>
      </c>
      <c r="AP1776" s="3">
        <f t="shared" si="482"/>
        <v>8</v>
      </c>
      <c r="AR1776">
        <f t="shared" si="483"/>
        <v>0</v>
      </c>
      <c r="AS1776">
        <f t="shared" si="484"/>
        <v>5</v>
      </c>
    </row>
    <row r="1777" customHeight="1" spans="1:45">
      <c r="A1777" s="3" t="str">
        <f>IF(对接源_02物料!$C577="","",对接源_02物料!$C577)</f>
        <v/>
      </c>
      <c r="B1777" s="3">
        <f t="shared" si="469"/>
        <v>0</v>
      </c>
      <c r="C1777" s="3">
        <f t="shared" si="470"/>
        <v>21</v>
      </c>
      <c r="K1777" s="3">
        <f>IF(OR($K$1="",对接源_02物料!$C577="",对接源_02物料!$C577&lt;&gt;$K$1,对接源_02物料!$B577=""),0,IF(OR(N(对接源_02物料!$B577)&lt;$K$2,N(对接源_02物料!$B577)&gt;$K$3),0,1))</f>
        <v>0</v>
      </c>
      <c r="L1777" s="3">
        <f>IF(OR($L$1="",对接源_02物料!$C577="",对接源_02物料!$C577&lt;&gt;$L$1,对接源_02物料!$B577=""),0,IF(OR(N(对接源_02物料!$B577)&lt;$L$2,N(对接源_02物料!$B577)&gt;$L$3),0,1))</f>
        <v>0</v>
      </c>
      <c r="M1777" s="3">
        <f>IF(OR($M$1="",对接源_02物料!$C577="",对接源_02物料!$C577&lt;&gt;$M$1,对接源_02物料!$B577=""),0,IF(OR(N(对接源_02物料!$B577)&lt;$M$2,N(对接源_02物料!$B577)&gt;$M$3),0,1))</f>
        <v>0</v>
      </c>
      <c r="N1777" s="3">
        <f>IF(OR($N$1="",对接源_02物料!$C577="",对接源_02物料!$C577&lt;&gt;$N$1,对接源_02物料!$B577=""),0,IF(OR(N(对接源_02物料!$B577)&lt;$N$2,N(对接源_02物料!$B577)&gt;$N$3),0,1))</f>
        <v>0</v>
      </c>
      <c r="P1777" s="3">
        <f>IF(AND($K1777=1,AND(对接源_02物料!$X577="公司筐",N(对接源_02物料!$T577)&lt;&gt;0)),1,0)</f>
        <v>0</v>
      </c>
      <c r="Q1777" s="3">
        <f t="shared" si="471"/>
        <v>8</v>
      </c>
      <c r="R1777" s="3">
        <f>IF(AND($K1777=1,AND(对接源_02物料!$X577="公司筐",N(对接源_02物料!$U577)&lt;&gt;0)),1,0)</f>
        <v>0</v>
      </c>
      <c r="S1777" s="3">
        <f t="shared" si="472"/>
        <v>0</v>
      </c>
      <c r="T1777" s="3">
        <f>IF(AND($K1777=1,AND(对接源_02物料!$X577="公司筐",N(对接源_02物料!$V577)&lt;&gt;0)),1,0)</f>
        <v>0</v>
      </c>
      <c r="U1777" s="3">
        <f t="shared" si="473"/>
        <v>19</v>
      </c>
      <c r="V1777" s="3">
        <f>IF(AND($L1777=1,AND(对接源_02物料!$X577="自备筐",N(对接源_02物料!$V577)&lt;&gt;0)),1,0)</f>
        <v>0</v>
      </c>
      <c r="W1777" s="3">
        <f t="shared" si="474"/>
        <v>8</v>
      </c>
      <c r="X1777" s="3">
        <f>IF(AND($L1777=1,AND(对接源_02物料!$X577="自备筐",N(对接源_02物料!$T577)&lt;&gt;0)),1,0)</f>
        <v>0</v>
      </c>
      <c r="Y1777" s="3">
        <f t="shared" si="475"/>
        <v>0</v>
      </c>
      <c r="Z1777" s="3">
        <f>IF(AND($M1777=1,对接源_02物料!$D577="原料入库"),1,0)</f>
        <v>0</v>
      </c>
      <c r="AA1777" s="3">
        <f t="shared" si="476"/>
        <v>24</v>
      </c>
      <c r="AB1777" s="3">
        <f>IF(AND($M1777=1,LEFT(对接源_02物料!$D577,4)="原料出库"),1,0)</f>
        <v>0</v>
      </c>
      <c r="AC1777" s="3">
        <f t="shared" si="477"/>
        <v>0</v>
      </c>
      <c r="AD1777" s="3">
        <f>IF(AND($M1777=1,LEFT(对接源_02物料!$D577,4)="成品出库"),1,0)</f>
        <v>0</v>
      </c>
      <c r="AE1777" s="3">
        <f t="shared" si="478"/>
        <v>0</v>
      </c>
      <c r="AF1777" s="3">
        <f>IF(AND($N1777=1,AND(LEFT(对接源_02物料!$D577,4)="包装物料",N(对接源_02物料!$K577)&lt;&gt;0)),1,0)</f>
        <v>0</v>
      </c>
      <c r="AG1777" s="3">
        <f t="shared" si="479"/>
        <v>5</v>
      </c>
      <c r="AH1777" s="3">
        <f>IF(AND($N1777=1,AND(对接源_02物料!$D577="周转筐－销售出库",N(对接源_02物料!$K577)&lt;&gt;0)),1,0)</f>
        <v>0</v>
      </c>
      <c r="AI1777" s="3">
        <f t="shared" si="480"/>
        <v>0</v>
      </c>
      <c r="AL1777" s="3">
        <v>0</v>
      </c>
      <c r="AM1777" s="3">
        <f t="shared" si="481"/>
        <v>1</v>
      </c>
      <c r="AN1777" s="3" t="str">
        <f t="shared" si="468"/>
        <v/>
      </c>
      <c r="AO1777" s="3">
        <v>0</v>
      </c>
      <c r="AP1777" s="3">
        <f t="shared" si="482"/>
        <v>8</v>
      </c>
      <c r="AR1777">
        <f t="shared" si="483"/>
        <v>0</v>
      </c>
      <c r="AS1777">
        <f t="shared" si="484"/>
        <v>5</v>
      </c>
    </row>
    <row r="1778" customHeight="1" spans="1:45">
      <c r="A1778" s="3" t="str">
        <f>IF(对接源_02物料!$C578="","",对接源_02物料!$C578)</f>
        <v/>
      </c>
      <c r="B1778" s="3">
        <f t="shared" si="469"/>
        <v>0</v>
      </c>
      <c r="C1778" s="3">
        <f t="shared" si="470"/>
        <v>21</v>
      </c>
      <c r="K1778" s="3">
        <f>IF(OR($K$1="",对接源_02物料!$C578="",对接源_02物料!$C578&lt;&gt;$K$1,对接源_02物料!$B578=""),0,IF(OR(N(对接源_02物料!$B578)&lt;$K$2,N(对接源_02物料!$B578)&gt;$K$3),0,1))</f>
        <v>0</v>
      </c>
      <c r="L1778" s="3">
        <f>IF(OR($L$1="",对接源_02物料!$C578="",对接源_02物料!$C578&lt;&gt;$L$1,对接源_02物料!$B578=""),0,IF(OR(N(对接源_02物料!$B578)&lt;$L$2,N(对接源_02物料!$B578)&gt;$L$3),0,1))</f>
        <v>0</v>
      </c>
      <c r="M1778" s="3">
        <f>IF(OR($M$1="",对接源_02物料!$C578="",对接源_02物料!$C578&lt;&gt;$M$1,对接源_02物料!$B578=""),0,IF(OR(N(对接源_02物料!$B578)&lt;$M$2,N(对接源_02物料!$B578)&gt;$M$3),0,1))</f>
        <v>0</v>
      </c>
      <c r="N1778" s="3">
        <f>IF(OR($N$1="",对接源_02物料!$C578="",对接源_02物料!$C578&lt;&gt;$N$1,对接源_02物料!$B578=""),0,IF(OR(N(对接源_02物料!$B578)&lt;$N$2,N(对接源_02物料!$B578)&gt;$N$3),0,1))</f>
        <v>0</v>
      </c>
      <c r="P1778" s="3">
        <f>IF(AND($K1778=1,AND(对接源_02物料!$X578="公司筐",N(对接源_02物料!$T578)&lt;&gt;0)),1,0)</f>
        <v>0</v>
      </c>
      <c r="Q1778" s="3">
        <f t="shared" si="471"/>
        <v>8</v>
      </c>
      <c r="R1778" s="3">
        <f>IF(AND($K1778=1,AND(对接源_02物料!$X578="公司筐",N(对接源_02物料!$U578)&lt;&gt;0)),1,0)</f>
        <v>0</v>
      </c>
      <c r="S1778" s="3">
        <f t="shared" si="472"/>
        <v>0</v>
      </c>
      <c r="T1778" s="3">
        <f>IF(AND($K1778=1,AND(对接源_02物料!$X578="公司筐",N(对接源_02物料!$V578)&lt;&gt;0)),1,0)</f>
        <v>0</v>
      </c>
      <c r="U1778" s="3">
        <f t="shared" si="473"/>
        <v>19</v>
      </c>
      <c r="V1778" s="3">
        <f>IF(AND($L1778=1,AND(对接源_02物料!$X578="自备筐",N(对接源_02物料!$V578)&lt;&gt;0)),1,0)</f>
        <v>0</v>
      </c>
      <c r="W1778" s="3">
        <f t="shared" si="474"/>
        <v>8</v>
      </c>
      <c r="X1778" s="3">
        <f>IF(AND($L1778=1,AND(对接源_02物料!$X578="自备筐",N(对接源_02物料!$T578)&lt;&gt;0)),1,0)</f>
        <v>0</v>
      </c>
      <c r="Y1778" s="3">
        <f t="shared" si="475"/>
        <v>0</v>
      </c>
      <c r="Z1778" s="3">
        <f>IF(AND($M1778=1,对接源_02物料!$D578="原料入库"),1,0)</f>
        <v>0</v>
      </c>
      <c r="AA1778" s="3">
        <f t="shared" si="476"/>
        <v>24</v>
      </c>
      <c r="AB1778" s="3">
        <f>IF(AND($M1778=1,LEFT(对接源_02物料!$D578,4)="原料出库"),1,0)</f>
        <v>0</v>
      </c>
      <c r="AC1778" s="3">
        <f t="shared" si="477"/>
        <v>0</v>
      </c>
      <c r="AD1778" s="3">
        <f>IF(AND($M1778=1,LEFT(对接源_02物料!$D578,4)="成品出库"),1,0)</f>
        <v>0</v>
      </c>
      <c r="AE1778" s="3">
        <f t="shared" si="478"/>
        <v>0</v>
      </c>
      <c r="AF1778" s="3">
        <f>IF(AND($N1778=1,AND(LEFT(对接源_02物料!$D578,4)="包装物料",N(对接源_02物料!$K578)&lt;&gt;0)),1,0)</f>
        <v>0</v>
      </c>
      <c r="AG1778" s="3">
        <f t="shared" si="479"/>
        <v>5</v>
      </c>
      <c r="AH1778" s="3">
        <f>IF(AND($N1778=1,AND(对接源_02物料!$D578="周转筐－销售出库",N(对接源_02物料!$K578)&lt;&gt;0)),1,0)</f>
        <v>0</v>
      </c>
      <c r="AI1778" s="3">
        <f t="shared" si="480"/>
        <v>0</v>
      </c>
      <c r="AL1778" s="3">
        <v>0</v>
      </c>
      <c r="AM1778" s="3">
        <f t="shared" si="481"/>
        <v>1</v>
      </c>
      <c r="AN1778" s="3" t="str">
        <f t="shared" si="468"/>
        <v/>
      </c>
      <c r="AO1778" s="3">
        <v>0</v>
      </c>
      <c r="AP1778" s="3">
        <f t="shared" si="482"/>
        <v>8</v>
      </c>
      <c r="AR1778">
        <f t="shared" si="483"/>
        <v>0</v>
      </c>
      <c r="AS1778">
        <f t="shared" si="484"/>
        <v>5</v>
      </c>
    </row>
    <row r="1779" customHeight="1" spans="1:45">
      <c r="A1779" s="3" t="str">
        <f>IF(对接源_02物料!$C579="","",对接源_02物料!$C579)</f>
        <v/>
      </c>
      <c r="B1779" s="3">
        <f t="shared" si="469"/>
        <v>0</v>
      </c>
      <c r="C1779" s="3">
        <f t="shared" si="470"/>
        <v>21</v>
      </c>
      <c r="K1779" s="3">
        <f>IF(OR($K$1="",对接源_02物料!$C579="",对接源_02物料!$C579&lt;&gt;$K$1,对接源_02物料!$B579=""),0,IF(OR(N(对接源_02物料!$B579)&lt;$K$2,N(对接源_02物料!$B579)&gt;$K$3),0,1))</f>
        <v>0</v>
      </c>
      <c r="L1779" s="3">
        <f>IF(OR($L$1="",对接源_02物料!$C579="",对接源_02物料!$C579&lt;&gt;$L$1,对接源_02物料!$B579=""),0,IF(OR(N(对接源_02物料!$B579)&lt;$L$2,N(对接源_02物料!$B579)&gt;$L$3),0,1))</f>
        <v>0</v>
      </c>
      <c r="M1779" s="3">
        <f>IF(OR($M$1="",对接源_02物料!$C579="",对接源_02物料!$C579&lt;&gt;$M$1,对接源_02物料!$B579=""),0,IF(OR(N(对接源_02物料!$B579)&lt;$M$2,N(对接源_02物料!$B579)&gt;$M$3),0,1))</f>
        <v>0</v>
      </c>
      <c r="N1779" s="3">
        <f>IF(OR($N$1="",对接源_02物料!$C579="",对接源_02物料!$C579&lt;&gt;$N$1,对接源_02物料!$B579=""),0,IF(OR(N(对接源_02物料!$B579)&lt;$N$2,N(对接源_02物料!$B579)&gt;$N$3),0,1))</f>
        <v>0</v>
      </c>
      <c r="P1779" s="3">
        <f>IF(AND($K1779=1,AND(对接源_02物料!$X579="公司筐",N(对接源_02物料!$T579)&lt;&gt;0)),1,0)</f>
        <v>0</v>
      </c>
      <c r="Q1779" s="3">
        <f t="shared" si="471"/>
        <v>8</v>
      </c>
      <c r="R1779" s="3">
        <f>IF(AND($K1779=1,AND(对接源_02物料!$X579="公司筐",N(对接源_02物料!$U579)&lt;&gt;0)),1,0)</f>
        <v>0</v>
      </c>
      <c r="S1779" s="3">
        <f t="shared" si="472"/>
        <v>0</v>
      </c>
      <c r="T1779" s="3">
        <f>IF(AND($K1779=1,AND(对接源_02物料!$X579="公司筐",N(对接源_02物料!$V579)&lt;&gt;0)),1,0)</f>
        <v>0</v>
      </c>
      <c r="U1779" s="3">
        <f t="shared" si="473"/>
        <v>19</v>
      </c>
      <c r="V1779" s="3">
        <f>IF(AND($L1779=1,AND(对接源_02物料!$X579="自备筐",N(对接源_02物料!$V579)&lt;&gt;0)),1,0)</f>
        <v>0</v>
      </c>
      <c r="W1779" s="3">
        <f t="shared" si="474"/>
        <v>8</v>
      </c>
      <c r="X1779" s="3">
        <f>IF(AND($L1779=1,AND(对接源_02物料!$X579="自备筐",N(对接源_02物料!$T579)&lt;&gt;0)),1,0)</f>
        <v>0</v>
      </c>
      <c r="Y1779" s="3">
        <f t="shared" si="475"/>
        <v>0</v>
      </c>
      <c r="Z1779" s="3">
        <f>IF(AND($M1779=1,对接源_02物料!$D579="原料入库"),1,0)</f>
        <v>0</v>
      </c>
      <c r="AA1779" s="3">
        <f t="shared" si="476"/>
        <v>24</v>
      </c>
      <c r="AB1779" s="3">
        <f>IF(AND($M1779=1,LEFT(对接源_02物料!$D579,4)="原料出库"),1,0)</f>
        <v>0</v>
      </c>
      <c r="AC1779" s="3">
        <f t="shared" si="477"/>
        <v>0</v>
      </c>
      <c r="AD1779" s="3">
        <f>IF(AND($M1779=1,LEFT(对接源_02物料!$D579,4)="成品出库"),1,0)</f>
        <v>0</v>
      </c>
      <c r="AE1779" s="3">
        <f t="shared" si="478"/>
        <v>0</v>
      </c>
      <c r="AF1779" s="3">
        <f>IF(AND($N1779=1,AND(LEFT(对接源_02物料!$D579,4)="包装物料",N(对接源_02物料!$K579)&lt;&gt;0)),1,0)</f>
        <v>0</v>
      </c>
      <c r="AG1779" s="3">
        <f t="shared" si="479"/>
        <v>5</v>
      </c>
      <c r="AH1779" s="3">
        <f>IF(AND($N1779=1,AND(对接源_02物料!$D579="周转筐－销售出库",N(对接源_02物料!$K579)&lt;&gt;0)),1,0)</f>
        <v>0</v>
      </c>
      <c r="AI1779" s="3">
        <f t="shared" si="480"/>
        <v>0</v>
      </c>
      <c r="AL1779" s="3">
        <v>0</v>
      </c>
      <c r="AM1779" s="3">
        <f t="shared" si="481"/>
        <v>1</v>
      </c>
      <c r="AN1779" s="3" t="str">
        <f t="shared" si="468"/>
        <v/>
      </c>
      <c r="AO1779" s="3">
        <v>0</v>
      </c>
      <c r="AP1779" s="3">
        <f t="shared" si="482"/>
        <v>8</v>
      </c>
      <c r="AR1779">
        <f t="shared" si="483"/>
        <v>0</v>
      </c>
      <c r="AS1779">
        <f t="shared" si="484"/>
        <v>5</v>
      </c>
    </row>
    <row r="1780" customHeight="1" spans="1:45">
      <c r="A1780" s="3" t="str">
        <f>IF(对接源_02物料!$C580="","",对接源_02物料!$C580)</f>
        <v/>
      </c>
      <c r="B1780" s="3">
        <f t="shared" si="469"/>
        <v>0</v>
      </c>
      <c r="C1780" s="3">
        <f t="shared" si="470"/>
        <v>21</v>
      </c>
      <c r="K1780" s="3">
        <f>IF(OR($K$1="",对接源_02物料!$C580="",对接源_02物料!$C580&lt;&gt;$K$1,对接源_02物料!$B580=""),0,IF(OR(N(对接源_02物料!$B580)&lt;$K$2,N(对接源_02物料!$B580)&gt;$K$3),0,1))</f>
        <v>0</v>
      </c>
      <c r="L1780" s="3">
        <f>IF(OR($L$1="",对接源_02物料!$C580="",对接源_02物料!$C580&lt;&gt;$L$1,对接源_02物料!$B580=""),0,IF(OR(N(对接源_02物料!$B580)&lt;$L$2,N(对接源_02物料!$B580)&gt;$L$3),0,1))</f>
        <v>0</v>
      </c>
      <c r="M1780" s="3">
        <f>IF(OR($M$1="",对接源_02物料!$C580="",对接源_02物料!$C580&lt;&gt;$M$1,对接源_02物料!$B580=""),0,IF(OR(N(对接源_02物料!$B580)&lt;$M$2,N(对接源_02物料!$B580)&gt;$M$3),0,1))</f>
        <v>0</v>
      </c>
      <c r="N1780" s="3">
        <f>IF(OR($N$1="",对接源_02物料!$C580="",对接源_02物料!$C580&lt;&gt;$N$1,对接源_02物料!$B580=""),0,IF(OR(N(对接源_02物料!$B580)&lt;$N$2,N(对接源_02物料!$B580)&gt;$N$3),0,1))</f>
        <v>0</v>
      </c>
      <c r="P1780" s="3">
        <f>IF(AND($K1780=1,AND(对接源_02物料!$X580="公司筐",N(对接源_02物料!$T580)&lt;&gt;0)),1,0)</f>
        <v>0</v>
      </c>
      <c r="Q1780" s="3">
        <f t="shared" si="471"/>
        <v>8</v>
      </c>
      <c r="R1780" s="3">
        <f>IF(AND($K1780=1,AND(对接源_02物料!$X580="公司筐",N(对接源_02物料!$U580)&lt;&gt;0)),1,0)</f>
        <v>0</v>
      </c>
      <c r="S1780" s="3">
        <f t="shared" si="472"/>
        <v>0</v>
      </c>
      <c r="T1780" s="3">
        <f>IF(AND($K1780=1,AND(对接源_02物料!$X580="公司筐",N(对接源_02物料!$V580)&lt;&gt;0)),1,0)</f>
        <v>0</v>
      </c>
      <c r="U1780" s="3">
        <f t="shared" si="473"/>
        <v>19</v>
      </c>
      <c r="V1780" s="3">
        <f>IF(AND($L1780=1,AND(对接源_02物料!$X580="自备筐",N(对接源_02物料!$V580)&lt;&gt;0)),1,0)</f>
        <v>0</v>
      </c>
      <c r="W1780" s="3">
        <f t="shared" si="474"/>
        <v>8</v>
      </c>
      <c r="X1780" s="3">
        <f>IF(AND($L1780=1,AND(对接源_02物料!$X580="自备筐",N(对接源_02物料!$T580)&lt;&gt;0)),1,0)</f>
        <v>0</v>
      </c>
      <c r="Y1780" s="3">
        <f t="shared" si="475"/>
        <v>0</v>
      </c>
      <c r="Z1780" s="3">
        <f>IF(AND($M1780=1,对接源_02物料!$D580="原料入库"),1,0)</f>
        <v>0</v>
      </c>
      <c r="AA1780" s="3">
        <f t="shared" si="476"/>
        <v>24</v>
      </c>
      <c r="AB1780" s="3">
        <f>IF(AND($M1780=1,LEFT(对接源_02物料!$D580,4)="原料出库"),1,0)</f>
        <v>0</v>
      </c>
      <c r="AC1780" s="3">
        <f t="shared" si="477"/>
        <v>0</v>
      </c>
      <c r="AD1780" s="3">
        <f>IF(AND($M1780=1,LEFT(对接源_02物料!$D580,4)="成品出库"),1,0)</f>
        <v>0</v>
      </c>
      <c r="AE1780" s="3">
        <f t="shared" si="478"/>
        <v>0</v>
      </c>
      <c r="AF1780" s="3">
        <f>IF(AND($N1780=1,AND(LEFT(对接源_02物料!$D580,4)="包装物料",N(对接源_02物料!$K580)&lt;&gt;0)),1,0)</f>
        <v>0</v>
      </c>
      <c r="AG1780" s="3">
        <f t="shared" si="479"/>
        <v>5</v>
      </c>
      <c r="AH1780" s="3">
        <f>IF(AND($N1780=1,AND(对接源_02物料!$D580="周转筐－销售出库",N(对接源_02物料!$K580)&lt;&gt;0)),1,0)</f>
        <v>0</v>
      </c>
      <c r="AI1780" s="3">
        <f t="shared" si="480"/>
        <v>0</v>
      </c>
      <c r="AL1780" s="3">
        <v>0</v>
      </c>
      <c r="AM1780" s="3">
        <f t="shared" si="481"/>
        <v>1</v>
      </c>
      <c r="AN1780" s="3" t="str">
        <f t="shared" ref="AN1780:AN1843" si="485">""</f>
        <v/>
      </c>
      <c r="AO1780" s="3">
        <v>0</v>
      </c>
      <c r="AP1780" s="3">
        <f t="shared" si="482"/>
        <v>8</v>
      </c>
      <c r="AR1780">
        <f t="shared" si="483"/>
        <v>0</v>
      </c>
      <c r="AS1780">
        <f t="shared" si="484"/>
        <v>5</v>
      </c>
    </row>
    <row r="1781" customHeight="1" spans="1:45">
      <c r="A1781" s="3" t="str">
        <f>IF(对接源_02物料!$C581="","",对接源_02物料!$C581)</f>
        <v/>
      </c>
      <c r="B1781" s="3">
        <f t="shared" si="469"/>
        <v>0</v>
      </c>
      <c r="C1781" s="3">
        <f t="shared" si="470"/>
        <v>21</v>
      </c>
      <c r="K1781" s="3">
        <f>IF(OR($K$1="",对接源_02物料!$C581="",对接源_02物料!$C581&lt;&gt;$K$1,对接源_02物料!$B581=""),0,IF(OR(N(对接源_02物料!$B581)&lt;$K$2,N(对接源_02物料!$B581)&gt;$K$3),0,1))</f>
        <v>0</v>
      </c>
      <c r="L1781" s="3">
        <f>IF(OR($L$1="",对接源_02物料!$C581="",对接源_02物料!$C581&lt;&gt;$L$1,对接源_02物料!$B581=""),0,IF(OR(N(对接源_02物料!$B581)&lt;$L$2,N(对接源_02物料!$B581)&gt;$L$3),0,1))</f>
        <v>0</v>
      </c>
      <c r="M1781" s="3">
        <f>IF(OR($M$1="",对接源_02物料!$C581="",对接源_02物料!$C581&lt;&gt;$M$1,对接源_02物料!$B581=""),0,IF(OR(N(对接源_02物料!$B581)&lt;$M$2,N(对接源_02物料!$B581)&gt;$M$3),0,1))</f>
        <v>0</v>
      </c>
      <c r="N1781" s="3">
        <f>IF(OR($N$1="",对接源_02物料!$C581="",对接源_02物料!$C581&lt;&gt;$N$1,对接源_02物料!$B581=""),0,IF(OR(N(对接源_02物料!$B581)&lt;$N$2,N(对接源_02物料!$B581)&gt;$N$3),0,1))</f>
        <v>0</v>
      </c>
      <c r="P1781" s="3">
        <f>IF(AND($K1781=1,AND(对接源_02物料!$X581="公司筐",N(对接源_02物料!$T581)&lt;&gt;0)),1,0)</f>
        <v>0</v>
      </c>
      <c r="Q1781" s="3">
        <f t="shared" si="471"/>
        <v>8</v>
      </c>
      <c r="R1781" s="3">
        <f>IF(AND($K1781=1,AND(对接源_02物料!$X581="公司筐",N(对接源_02物料!$U581)&lt;&gt;0)),1,0)</f>
        <v>0</v>
      </c>
      <c r="S1781" s="3">
        <f t="shared" si="472"/>
        <v>0</v>
      </c>
      <c r="T1781" s="3">
        <f>IF(AND($K1781=1,AND(对接源_02物料!$X581="公司筐",N(对接源_02物料!$V581)&lt;&gt;0)),1,0)</f>
        <v>0</v>
      </c>
      <c r="U1781" s="3">
        <f t="shared" si="473"/>
        <v>19</v>
      </c>
      <c r="V1781" s="3">
        <f>IF(AND($L1781=1,AND(对接源_02物料!$X581="自备筐",N(对接源_02物料!$V581)&lt;&gt;0)),1,0)</f>
        <v>0</v>
      </c>
      <c r="W1781" s="3">
        <f t="shared" si="474"/>
        <v>8</v>
      </c>
      <c r="X1781" s="3">
        <f>IF(AND($L1781=1,AND(对接源_02物料!$X581="自备筐",N(对接源_02物料!$T581)&lt;&gt;0)),1,0)</f>
        <v>0</v>
      </c>
      <c r="Y1781" s="3">
        <f t="shared" si="475"/>
        <v>0</v>
      </c>
      <c r="Z1781" s="3">
        <f>IF(AND($M1781=1,对接源_02物料!$D581="原料入库"),1,0)</f>
        <v>0</v>
      </c>
      <c r="AA1781" s="3">
        <f t="shared" si="476"/>
        <v>24</v>
      </c>
      <c r="AB1781" s="3">
        <f>IF(AND($M1781=1,LEFT(对接源_02物料!$D581,4)="原料出库"),1,0)</f>
        <v>0</v>
      </c>
      <c r="AC1781" s="3">
        <f t="shared" si="477"/>
        <v>0</v>
      </c>
      <c r="AD1781" s="3">
        <f>IF(AND($M1781=1,LEFT(对接源_02物料!$D581,4)="成品出库"),1,0)</f>
        <v>0</v>
      </c>
      <c r="AE1781" s="3">
        <f t="shared" si="478"/>
        <v>0</v>
      </c>
      <c r="AF1781" s="3">
        <f>IF(AND($N1781=1,AND(LEFT(对接源_02物料!$D581,4)="包装物料",N(对接源_02物料!$K581)&lt;&gt;0)),1,0)</f>
        <v>0</v>
      </c>
      <c r="AG1781" s="3">
        <f t="shared" si="479"/>
        <v>5</v>
      </c>
      <c r="AH1781" s="3">
        <f>IF(AND($N1781=1,AND(对接源_02物料!$D581="周转筐－销售出库",N(对接源_02物料!$K581)&lt;&gt;0)),1,0)</f>
        <v>0</v>
      </c>
      <c r="AI1781" s="3">
        <f t="shared" si="480"/>
        <v>0</v>
      </c>
      <c r="AL1781" s="3">
        <v>0</v>
      </c>
      <c r="AM1781" s="3">
        <f t="shared" si="481"/>
        <v>1</v>
      </c>
      <c r="AN1781" s="3" t="str">
        <f t="shared" si="485"/>
        <v/>
      </c>
      <c r="AO1781" s="3">
        <v>0</v>
      </c>
      <c r="AP1781" s="3">
        <f t="shared" si="482"/>
        <v>8</v>
      </c>
      <c r="AR1781">
        <f t="shared" si="483"/>
        <v>0</v>
      </c>
      <c r="AS1781">
        <f t="shared" si="484"/>
        <v>5</v>
      </c>
    </row>
    <row r="1782" customHeight="1" spans="1:45">
      <c r="A1782" s="3" t="str">
        <f>IF(对接源_02物料!$C582="","",对接源_02物料!$C582)</f>
        <v/>
      </c>
      <c r="B1782" s="3">
        <f t="shared" si="469"/>
        <v>0</v>
      </c>
      <c r="C1782" s="3">
        <f t="shared" si="470"/>
        <v>21</v>
      </c>
      <c r="K1782" s="3">
        <f>IF(OR($K$1="",对接源_02物料!$C582="",对接源_02物料!$C582&lt;&gt;$K$1,对接源_02物料!$B582=""),0,IF(OR(N(对接源_02物料!$B582)&lt;$K$2,N(对接源_02物料!$B582)&gt;$K$3),0,1))</f>
        <v>0</v>
      </c>
      <c r="L1782" s="3">
        <f>IF(OR($L$1="",对接源_02物料!$C582="",对接源_02物料!$C582&lt;&gt;$L$1,对接源_02物料!$B582=""),0,IF(OR(N(对接源_02物料!$B582)&lt;$L$2,N(对接源_02物料!$B582)&gt;$L$3),0,1))</f>
        <v>0</v>
      </c>
      <c r="M1782" s="3">
        <f>IF(OR($M$1="",对接源_02物料!$C582="",对接源_02物料!$C582&lt;&gt;$M$1,对接源_02物料!$B582=""),0,IF(OR(N(对接源_02物料!$B582)&lt;$M$2,N(对接源_02物料!$B582)&gt;$M$3),0,1))</f>
        <v>0</v>
      </c>
      <c r="N1782" s="3">
        <f>IF(OR($N$1="",对接源_02物料!$C582="",对接源_02物料!$C582&lt;&gt;$N$1,对接源_02物料!$B582=""),0,IF(OR(N(对接源_02物料!$B582)&lt;$N$2,N(对接源_02物料!$B582)&gt;$N$3),0,1))</f>
        <v>0</v>
      </c>
      <c r="P1782" s="3">
        <f>IF(AND($K1782=1,AND(对接源_02物料!$X582="公司筐",N(对接源_02物料!$T582)&lt;&gt;0)),1,0)</f>
        <v>0</v>
      </c>
      <c r="Q1782" s="3">
        <f t="shared" si="471"/>
        <v>8</v>
      </c>
      <c r="R1782" s="3">
        <f>IF(AND($K1782=1,AND(对接源_02物料!$X582="公司筐",N(对接源_02物料!$U582)&lt;&gt;0)),1,0)</f>
        <v>0</v>
      </c>
      <c r="S1782" s="3">
        <f t="shared" si="472"/>
        <v>0</v>
      </c>
      <c r="T1782" s="3">
        <f>IF(AND($K1782=1,AND(对接源_02物料!$X582="公司筐",N(对接源_02物料!$V582)&lt;&gt;0)),1,0)</f>
        <v>0</v>
      </c>
      <c r="U1782" s="3">
        <f t="shared" si="473"/>
        <v>19</v>
      </c>
      <c r="V1782" s="3">
        <f>IF(AND($L1782=1,AND(对接源_02物料!$X582="自备筐",N(对接源_02物料!$V582)&lt;&gt;0)),1,0)</f>
        <v>0</v>
      </c>
      <c r="W1782" s="3">
        <f t="shared" si="474"/>
        <v>8</v>
      </c>
      <c r="X1782" s="3">
        <f>IF(AND($L1782=1,AND(对接源_02物料!$X582="自备筐",N(对接源_02物料!$T582)&lt;&gt;0)),1,0)</f>
        <v>0</v>
      </c>
      <c r="Y1782" s="3">
        <f t="shared" si="475"/>
        <v>0</v>
      </c>
      <c r="Z1782" s="3">
        <f>IF(AND($M1782=1,对接源_02物料!$D582="原料入库"),1,0)</f>
        <v>0</v>
      </c>
      <c r="AA1782" s="3">
        <f t="shared" si="476"/>
        <v>24</v>
      </c>
      <c r="AB1782" s="3">
        <f>IF(AND($M1782=1,LEFT(对接源_02物料!$D582,4)="原料出库"),1,0)</f>
        <v>0</v>
      </c>
      <c r="AC1782" s="3">
        <f t="shared" si="477"/>
        <v>0</v>
      </c>
      <c r="AD1782" s="3">
        <f>IF(AND($M1782=1,LEFT(对接源_02物料!$D582,4)="成品出库"),1,0)</f>
        <v>0</v>
      </c>
      <c r="AE1782" s="3">
        <f t="shared" si="478"/>
        <v>0</v>
      </c>
      <c r="AF1782" s="3">
        <f>IF(AND($N1782=1,AND(LEFT(对接源_02物料!$D582,4)="包装物料",N(对接源_02物料!$K582)&lt;&gt;0)),1,0)</f>
        <v>0</v>
      </c>
      <c r="AG1782" s="3">
        <f t="shared" si="479"/>
        <v>5</v>
      </c>
      <c r="AH1782" s="3">
        <f>IF(AND($N1782=1,AND(对接源_02物料!$D582="周转筐－销售出库",N(对接源_02物料!$K582)&lt;&gt;0)),1,0)</f>
        <v>0</v>
      </c>
      <c r="AI1782" s="3">
        <f t="shared" si="480"/>
        <v>0</v>
      </c>
      <c r="AL1782" s="3">
        <v>0</v>
      </c>
      <c r="AM1782" s="3">
        <f t="shared" si="481"/>
        <v>1</v>
      </c>
      <c r="AN1782" s="3" t="str">
        <f t="shared" si="485"/>
        <v/>
      </c>
      <c r="AO1782" s="3">
        <v>0</v>
      </c>
      <c r="AP1782" s="3">
        <f t="shared" si="482"/>
        <v>8</v>
      </c>
      <c r="AR1782">
        <f t="shared" si="483"/>
        <v>0</v>
      </c>
      <c r="AS1782">
        <f t="shared" si="484"/>
        <v>5</v>
      </c>
    </row>
    <row r="1783" customHeight="1" spans="1:45">
      <c r="A1783" s="3" t="str">
        <f>IF(对接源_02物料!$C583="","",对接源_02物料!$C583)</f>
        <v/>
      </c>
      <c r="B1783" s="3">
        <f t="shared" si="469"/>
        <v>0</v>
      </c>
      <c r="C1783" s="3">
        <f t="shared" si="470"/>
        <v>21</v>
      </c>
      <c r="K1783" s="3">
        <f>IF(OR($K$1="",对接源_02物料!$C583="",对接源_02物料!$C583&lt;&gt;$K$1,对接源_02物料!$B583=""),0,IF(OR(N(对接源_02物料!$B583)&lt;$K$2,N(对接源_02物料!$B583)&gt;$K$3),0,1))</f>
        <v>0</v>
      </c>
      <c r="L1783" s="3">
        <f>IF(OR($L$1="",对接源_02物料!$C583="",对接源_02物料!$C583&lt;&gt;$L$1,对接源_02物料!$B583=""),0,IF(OR(N(对接源_02物料!$B583)&lt;$L$2,N(对接源_02物料!$B583)&gt;$L$3),0,1))</f>
        <v>0</v>
      </c>
      <c r="M1783" s="3">
        <f>IF(OR($M$1="",对接源_02物料!$C583="",对接源_02物料!$C583&lt;&gt;$M$1,对接源_02物料!$B583=""),0,IF(OR(N(对接源_02物料!$B583)&lt;$M$2,N(对接源_02物料!$B583)&gt;$M$3),0,1))</f>
        <v>0</v>
      </c>
      <c r="N1783" s="3">
        <f>IF(OR($N$1="",对接源_02物料!$C583="",对接源_02物料!$C583&lt;&gt;$N$1,对接源_02物料!$B583=""),0,IF(OR(N(对接源_02物料!$B583)&lt;$N$2,N(对接源_02物料!$B583)&gt;$N$3),0,1))</f>
        <v>0</v>
      </c>
      <c r="P1783" s="3">
        <f>IF(AND($K1783=1,AND(对接源_02物料!$X583="公司筐",N(对接源_02物料!$T583)&lt;&gt;0)),1,0)</f>
        <v>0</v>
      </c>
      <c r="Q1783" s="3">
        <f t="shared" si="471"/>
        <v>8</v>
      </c>
      <c r="R1783" s="3">
        <f>IF(AND($K1783=1,AND(对接源_02物料!$X583="公司筐",N(对接源_02物料!$U583)&lt;&gt;0)),1,0)</f>
        <v>0</v>
      </c>
      <c r="S1783" s="3">
        <f t="shared" si="472"/>
        <v>0</v>
      </c>
      <c r="T1783" s="3">
        <f>IF(AND($K1783=1,AND(对接源_02物料!$X583="公司筐",N(对接源_02物料!$V583)&lt;&gt;0)),1,0)</f>
        <v>0</v>
      </c>
      <c r="U1783" s="3">
        <f t="shared" si="473"/>
        <v>19</v>
      </c>
      <c r="V1783" s="3">
        <f>IF(AND($L1783=1,AND(对接源_02物料!$X583="自备筐",N(对接源_02物料!$V583)&lt;&gt;0)),1,0)</f>
        <v>0</v>
      </c>
      <c r="W1783" s="3">
        <f t="shared" si="474"/>
        <v>8</v>
      </c>
      <c r="X1783" s="3">
        <f>IF(AND($L1783=1,AND(对接源_02物料!$X583="自备筐",N(对接源_02物料!$T583)&lt;&gt;0)),1,0)</f>
        <v>0</v>
      </c>
      <c r="Y1783" s="3">
        <f t="shared" si="475"/>
        <v>0</v>
      </c>
      <c r="Z1783" s="3">
        <f>IF(AND($M1783=1,对接源_02物料!$D583="原料入库"),1,0)</f>
        <v>0</v>
      </c>
      <c r="AA1783" s="3">
        <f t="shared" si="476"/>
        <v>24</v>
      </c>
      <c r="AB1783" s="3">
        <f>IF(AND($M1783=1,LEFT(对接源_02物料!$D583,4)="原料出库"),1,0)</f>
        <v>0</v>
      </c>
      <c r="AC1783" s="3">
        <f t="shared" si="477"/>
        <v>0</v>
      </c>
      <c r="AD1783" s="3">
        <f>IF(AND($M1783=1,LEFT(对接源_02物料!$D583,4)="成品出库"),1,0)</f>
        <v>0</v>
      </c>
      <c r="AE1783" s="3">
        <f t="shared" si="478"/>
        <v>0</v>
      </c>
      <c r="AF1783" s="3">
        <f>IF(AND($N1783=1,AND(LEFT(对接源_02物料!$D583,4)="包装物料",N(对接源_02物料!$K583)&lt;&gt;0)),1,0)</f>
        <v>0</v>
      </c>
      <c r="AG1783" s="3">
        <f t="shared" si="479"/>
        <v>5</v>
      </c>
      <c r="AH1783" s="3">
        <f>IF(AND($N1783=1,AND(对接源_02物料!$D583="周转筐－销售出库",N(对接源_02物料!$K583)&lt;&gt;0)),1,0)</f>
        <v>0</v>
      </c>
      <c r="AI1783" s="3">
        <f t="shared" si="480"/>
        <v>0</v>
      </c>
      <c r="AL1783" s="3">
        <v>0</v>
      </c>
      <c r="AM1783" s="3">
        <f t="shared" si="481"/>
        <v>1</v>
      </c>
      <c r="AN1783" s="3" t="str">
        <f t="shared" si="485"/>
        <v/>
      </c>
      <c r="AO1783" s="3">
        <v>0</v>
      </c>
      <c r="AP1783" s="3">
        <f t="shared" si="482"/>
        <v>8</v>
      </c>
      <c r="AR1783">
        <f t="shared" si="483"/>
        <v>0</v>
      </c>
      <c r="AS1783">
        <f t="shared" si="484"/>
        <v>5</v>
      </c>
    </row>
    <row r="1784" customHeight="1" spans="1:45">
      <c r="A1784" s="3" t="str">
        <f>IF(对接源_02物料!$C584="","",对接源_02物料!$C584)</f>
        <v/>
      </c>
      <c r="B1784" s="3">
        <f t="shared" si="469"/>
        <v>0</v>
      </c>
      <c r="C1784" s="3">
        <f t="shared" si="470"/>
        <v>21</v>
      </c>
      <c r="K1784" s="3">
        <f>IF(OR($K$1="",对接源_02物料!$C584="",对接源_02物料!$C584&lt;&gt;$K$1,对接源_02物料!$B584=""),0,IF(OR(N(对接源_02物料!$B584)&lt;$K$2,N(对接源_02物料!$B584)&gt;$K$3),0,1))</f>
        <v>0</v>
      </c>
      <c r="L1784" s="3">
        <f>IF(OR($L$1="",对接源_02物料!$C584="",对接源_02物料!$C584&lt;&gt;$L$1,对接源_02物料!$B584=""),0,IF(OR(N(对接源_02物料!$B584)&lt;$L$2,N(对接源_02物料!$B584)&gt;$L$3),0,1))</f>
        <v>0</v>
      </c>
      <c r="M1784" s="3">
        <f>IF(OR($M$1="",对接源_02物料!$C584="",对接源_02物料!$C584&lt;&gt;$M$1,对接源_02物料!$B584=""),0,IF(OR(N(对接源_02物料!$B584)&lt;$M$2,N(对接源_02物料!$B584)&gt;$M$3),0,1))</f>
        <v>0</v>
      </c>
      <c r="N1784" s="3">
        <f>IF(OR($N$1="",对接源_02物料!$C584="",对接源_02物料!$C584&lt;&gt;$N$1,对接源_02物料!$B584=""),0,IF(OR(N(对接源_02物料!$B584)&lt;$N$2,N(对接源_02物料!$B584)&gt;$N$3),0,1))</f>
        <v>0</v>
      </c>
      <c r="P1784" s="3">
        <f>IF(AND($K1784=1,AND(对接源_02物料!$X584="公司筐",N(对接源_02物料!$T584)&lt;&gt;0)),1,0)</f>
        <v>0</v>
      </c>
      <c r="Q1784" s="3">
        <f t="shared" si="471"/>
        <v>8</v>
      </c>
      <c r="R1784" s="3">
        <f>IF(AND($K1784=1,AND(对接源_02物料!$X584="公司筐",N(对接源_02物料!$U584)&lt;&gt;0)),1,0)</f>
        <v>0</v>
      </c>
      <c r="S1784" s="3">
        <f t="shared" si="472"/>
        <v>0</v>
      </c>
      <c r="T1784" s="3">
        <f>IF(AND($K1784=1,AND(对接源_02物料!$X584="公司筐",N(对接源_02物料!$V584)&lt;&gt;0)),1,0)</f>
        <v>0</v>
      </c>
      <c r="U1784" s="3">
        <f t="shared" si="473"/>
        <v>19</v>
      </c>
      <c r="V1784" s="3">
        <f>IF(AND($L1784=1,AND(对接源_02物料!$X584="自备筐",N(对接源_02物料!$V584)&lt;&gt;0)),1,0)</f>
        <v>0</v>
      </c>
      <c r="W1784" s="3">
        <f t="shared" si="474"/>
        <v>8</v>
      </c>
      <c r="X1784" s="3">
        <f>IF(AND($L1784=1,AND(对接源_02物料!$X584="自备筐",N(对接源_02物料!$T584)&lt;&gt;0)),1,0)</f>
        <v>0</v>
      </c>
      <c r="Y1784" s="3">
        <f t="shared" si="475"/>
        <v>0</v>
      </c>
      <c r="Z1784" s="3">
        <f>IF(AND($M1784=1,对接源_02物料!$D584="原料入库"),1,0)</f>
        <v>0</v>
      </c>
      <c r="AA1784" s="3">
        <f t="shared" si="476"/>
        <v>24</v>
      </c>
      <c r="AB1784" s="3">
        <f>IF(AND($M1784=1,LEFT(对接源_02物料!$D584,4)="原料出库"),1,0)</f>
        <v>0</v>
      </c>
      <c r="AC1784" s="3">
        <f t="shared" si="477"/>
        <v>0</v>
      </c>
      <c r="AD1784" s="3">
        <f>IF(AND($M1784=1,LEFT(对接源_02物料!$D584,4)="成品出库"),1,0)</f>
        <v>0</v>
      </c>
      <c r="AE1784" s="3">
        <f t="shared" si="478"/>
        <v>0</v>
      </c>
      <c r="AF1784" s="3">
        <f>IF(AND($N1784=1,AND(LEFT(对接源_02物料!$D584,4)="包装物料",N(对接源_02物料!$K584)&lt;&gt;0)),1,0)</f>
        <v>0</v>
      </c>
      <c r="AG1784" s="3">
        <f t="shared" si="479"/>
        <v>5</v>
      </c>
      <c r="AH1784" s="3">
        <f>IF(AND($N1784=1,AND(对接源_02物料!$D584="周转筐－销售出库",N(对接源_02物料!$K584)&lt;&gt;0)),1,0)</f>
        <v>0</v>
      </c>
      <c r="AI1784" s="3">
        <f t="shared" si="480"/>
        <v>0</v>
      </c>
      <c r="AL1784" s="3">
        <v>0</v>
      </c>
      <c r="AM1784" s="3">
        <f t="shared" si="481"/>
        <v>1</v>
      </c>
      <c r="AN1784" s="3" t="str">
        <f t="shared" si="485"/>
        <v/>
      </c>
      <c r="AO1784" s="3">
        <v>0</v>
      </c>
      <c r="AP1784" s="3">
        <f t="shared" si="482"/>
        <v>8</v>
      </c>
      <c r="AR1784">
        <f t="shared" si="483"/>
        <v>0</v>
      </c>
      <c r="AS1784">
        <f t="shared" si="484"/>
        <v>5</v>
      </c>
    </row>
    <row r="1785" customHeight="1" spans="1:45">
      <c r="A1785" s="3" t="str">
        <f>IF(对接源_02物料!$C585="","",对接源_02物料!$C585)</f>
        <v/>
      </c>
      <c r="B1785" s="3">
        <f t="shared" si="469"/>
        <v>0</v>
      </c>
      <c r="C1785" s="3">
        <f t="shared" si="470"/>
        <v>21</v>
      </c>
      <c r="K1785" s="3">
        <f>IF(OR($K$1="",对接源_02物料!$C585="",对接源_02物料!$C585&lt;&gt;$K$1,对接源_02物料!$B585=""),0,IF(OR(N(对接源_02物料!$B585)&lt;$K$2,N(对接源_02物料!$B585)&gt;$K$3),0,1))</f>
        <v>0</v>
      </c>
      <c r="L1785" s="3">
        <f>IF(OR($L$1="",对接源_02物料!$C585="",对接源_02物料!$C585&lt;&gt;$L$1,对接源_02物料!$B585=""),0,IF(OR(N(对接源_02物料!$B585)&lt;$L$2,N(对接源_02物料!$B585)&gt;$L$3),0,1))</f>
        <v>0</v>
      </c>
      <c r="M1785" s="3">
        <f>IF(OR($M$1="",对接源_02物料!$C585="",对接源_02物料!$C585&lt;&gt;$M$1,对接源_02物料!$B585=""),0,IF(OR(N(对接源_02物料!$B585)&lt;$M$2,N(对接源_02物料!$B585)&gt;$M$3),0,1))</f>
        <v>0</v>
      </c>
      <c r="N1785" s="3">
        <f>IF(OR($N$1="",对接源_02物料!$C585="",对接源_02物料!$C585&lt;&gt;$N$1,对接源_02物料!$B585=""),0,IF(OR(N(对接源_02物料!$B585)&lt;$N$2,N(对接源_02物料!$B585)&gt;$N$3),0,1))</f>
        <v>0</v>
      </c>
      <c r="P1785" s="3">
        <f>IF(AND($K1785=1,AND(对接源_02物料!$X585="公司筐",N(对接源_02物料!$T585)&lt;&gt;0)),1,0)</f>
        <v>0</v>
      </c>
      <c r="Q1785" s="3">
        <f t="shared" si="471"/>
        <v>8</v>
      </c>
      <c r="R1785" s="3">
        <f>IF(AND($K1785=1,AND(对接源_02物料!$X585="公司筐",N(对接源_02物料!$U585)&lt;&gt;0)),1,0)</f>
        <v>0</v>
      </c>
      <c r="S1785" s="3">
        <f t="shared" si="472"/>
        <v>0</v>
      </c>
      <c r="T1785" s="3">
        <f>IF(AND($K1785=1,AND(对接源_02物料!$X585="公司筐",N(对接源_02物料!$V585)&lt;&gt;0)),1,0)</f>
        <v>0</v>
      </c>
      <c r="U1785" s="3">
        <f t="shared" si="473"/>
        <v>19</v>
      </c>
      <c r="V1785" s="3">
        <f>IF(AND($L1785=1,AND(对接源_02物料!$X585="自备筐",N(对接源_02物料!$V585)&lt;&gt;0)),1,0)</f>
        <v>0</v>
      </c>
      <c r="W1785" s="3">
        <f t="shared" si="474"/>
        <v>8</v>
      </c>
      <c r="X1785" s="3">
        <f>IF(AND($L1785=1,AND(对接源_02物料!$X585="自备筐",N(对接源_02物料!$T585)&lt;&gt;0)),1,0)</f>
        <v>0</v>
      </c>
      <c r="Y1785" s="3">
        <f t="shared" si="475"/>
        <v>0</v>
      </c>
      <c r="Z1785" s="3">
        <f>IF(AND($M1785=1,对接源_02物料!$D585="原料入库"),1,0)</f>
        <v>0</v>
      </c>
      <c r="AA1785" s="3">
        <f t="shared" si="476"/>
        <v>24</v>
      </c>
      <c r="AB1785" s="3">
        <f>IF(AND($M1785=1,LEFT(对接源_02物料!$D585,4)="原料出库"),1,0)</f>
        <v>0</v>
      </c>
      <c r="AC1785" s="3">
        <f t="shared" si="477"/>
        <v>0</v>
      </c>
      <c r="AD1785" s="3">
        <f>IF(AND($M1785=1,LEFT(对接源_02物料!$D585,4)="成品出库"),1,0)</f>
        <v>0</v>
      </c>
      <c r="AE1785" s="3">
        <f t="shared" si="478"/>
        <v>0</v>
      </c>
      <c r="AF1785" s="3">
        <f>IF(AND($N1785=1,AND(LEFT(对接源_02物料!$D585,4)="包装物料",N(对接源_02物料!$K585)&lt;&gt;0)),1,0)</f>
        <v>0</v>
      </c>
      <c r="AG1785" s="3">
        <f t="shared" si="479"/>
        <v>5</v>
      </c>
      <c r="AH1785" s="3">
        <f>IF(AND($N1785=1,AND(对接源_02物料!$D585="周转筐－销售出库",N(对接源_02物料!$K585)&lt;&gt;0)),1,0)</f>
        <v>0</v>
      </c>
      <c r="AI1785" s="3">
        <f t="shared" si="480"/>
        <v>0</v>
      </c>
      <c r="AL1785" s="3">
        <v>0</v>
      </c>
      <c r="AM1785" s="3">
        <f t="shared" si="481"/>
        <v>1</v>
      </c>
      <c r="AN1785" s="3" t="str">
        <f t="shared" si="485"/>
        <v/>
      </c>
      <c r="AO1785" s="3">
        <v>0</v>
      </c>
      <c r="AP1785" s="3">
        <f t="shared" si="482"/>
        <v>8</v>
      </c>
      <c r="AR1785">
        <f t="shared" si="483"/>
        <v>0</v>
      </c>
      <c r="AS1785">
        <f t="shared" si="484"/>
        <v>5</v>
      </c>
    </row>
    <row r="1786" customHeight="1" spans="1:45">
      <c r="A1786" s="3" t="str">
        <f>IF(对接源_02物料!$C586="","",对接源_02物料!$C586)</f>
        <v/>
      </c>
      <c r="B1786" s="3">
        <f t="shared" si="469"/>
        <v>0</v>
      </c>
      <c r="C1786" s="3">
        <f t="shared" si="470"/>
        <v>21</v>
      </c>
      <c r="K1786" s="3">
        <f>IF(OR($K$1="",对接源_02物料!$C586="",对接源_02物料!$C586&lt;&gt;$K$1,对接源_02物料!$B586=""),0,IF(OR(N(对接源_02物料!$B586)&lt;$K$2,N(对接源_02物料!$B586)&gt;$K$3),0,1))</f>
        <v>0</v>
      </c>
      <c r="L1786" s="3">
        <f>IF(OR($L$1="",对接源_02物料!$C586="",对接源_02物料!$C586&lt;&gt;$L$1,对接源_02物料!$B586=""),0,IF(OR(N(对接源_02物料!$B586)&lt;$L$2,N(对接源_02物料!$B586)&gt;$L$3),0,1))</f>
        <v>0</v>
      </c>
      <c r="M1786" s="3">
        <f>IF(OR($M$1="",对接源_02物料!$C586="",对接源_02物料!$C586&lt;&gt;$M$1,对接源_02物料!$B586=""),0,IF(OR(N(对接源_02物料!$B586)&lt;$M$2,N(对接源_02物料!$B586)&gt;$M$3),0,1))</f>
        <v>0</v>
      </c>
      <c r="N1786" s="3">
        <f>IF(OR($N$1="",对接源_02物料!$C586="",对接源_02物料!$C586&lt;&gt;$N$1,对接源_02物料!$B586=""),0,IF(OR(N(对接源_02物料!$B586)&lt;$N$2,N(对接源_02物料!$B586)&gt;$N$3),0,1))</f>
        <v>0</v>
      </c>
      <c r="P1786" s="3">
        <f>IF(AND($K1786=1,AND(对接源_02物料!$X586="公司筐",N(对接源_02物料!$T586)&lt;&gt;0)),1,0)</f>
        <v>0</v>
      </c>
      <c r="Q1786" s="3">
        <f t="shared" si="471"/>
        <v>8</v>
      </c>
      <c r="R1786" s="3">
        <f>IF(AND($K1786=1,AND(对接源_02物料!$X586="公司筐",N(对接源_02物料!$U586)&lt;&gt;0)),1,0)</f>
        <v>0</v>
      </c>
      <c r="S1786" s="3">
        <f t="shared" si="472"/>
        <v>0</v>
      </c>
      <c r="T1786" s="3">
        <f>IF(AND($K1786=1,AND(对接源_02物料!$X586="公司筐",N(对接源_02物料!$V586)&lt;&gt;0)),1,0)</f>
        <v>0</v>
      </c>
      <c r="U1786" s="3">
        <f t="shared" si="473"/>
        <v>19</v>
      </c>
      <c r="V1786" s="3">
        <f>IF(AND($L1786=1,AND(对接源_02物料!$X586="自备筐",N(对接源_02物料!$V586)&lt;&gt;0)),1,0)</f>
        <v>0</v>
      </c>
      <c r="W1786" s="3">
        <f t="shared" si="474"/>
        <v>8</v>
      </c>
      <c r="X1786" s="3">
        <f>IF(AND($L1786=1,AND(对接源_02物料!$X586="自备筐",N(对接源_02物料!$T586)&lt;&gt;0)),1,0)</f>
        <v>0</v>
      </c>
      <c r="Y1786" s="3">
        <f t="shared" si="475"/>
        <v>0</v>
      </c>
      <c r="Z1786" s="3">
        <f>IF(AND($M1786=1,对接源_02物料!$D586="原料入库"),1,0)</f>
        <v>0</v>
      </c>
      <c r="AA1786" s="3">
        <f t="shared" si="476"/>
        <v>24</v>
      </c>
      <c r="AB1786" s="3">
        <f>IF(AND($M1786=1,LEFT(对接源_02物料!$D586,4)="原料出库"),1,0)</f>
        <v>0</v>
      </c>
      <c r="AC1786" s="3">
        <f t="shared" si="477"/>
        <v>0</v>
      </c>
      <c r="AD1786" s="3">
        <f>IF(AND($M1786=1,LEFT(对接源_02物料!$D586,4)="成品出库"),1,0)</f>
        <v>0</v>
      </c>
      <c r="AE1786" s="3">
        <f t="shared" si="478"/>
        <v>0</v>
      </c>
      <c r="AF1786" s="3">
        <f>IF(AND($N1786=1,AND(LEFT(对接源_02物料!$D586,4)="包装物料",N(对接源_02物料!$K586)&lt;&gt;0)),1,0)</f>
        <v>0</v>
      </c>
      <c r="AG1786" s="3">
        <f t="shared" si="479"/>
        <v>5</v>
      </c>
      <c r="AH1786" s="3">
        <f>IF(AND($N1786=1,AND(对接源_02物料!$D586="周转筐－销售出库",N(对接源_02物料!$K586)&lt;&gt;0)),1,0)</f>
        <v>0</v>
      </c>
      <c r="AI1786" s="3">
        <f t="shared" si="480"/>
        <v>0</v>
      </c>
      <c r="AL1786" s="3">
        <v>0</v>
      </c>
      <c r="AM1786" s="3">
        <f t="shared" si="481"/>
        <v>1</v>
      </c>
      <c r="AN1786" s="3" t="str">
        <f t="shared" si="485"/>
        <v/>
      </c>
      <c r="AO1786" s="3">
        <v>0</v>
      </c>
      <c r="AP1786" s="3">
        <f t="shared" si="482"/>
        <v>8</v>
      </c>
      <c r="AR1786">
        <f t="shared" si="483"/>
        <v>0</v>
      </c>
      <c r="AS1786">
        <f t="shared" si="484"/>
        <v>5</v>
      </c>
    </row>
    <row r="1787" customHeight="1" spans="1:45">
      <c r="A1787" s="3" t="str">
        <f>IF(对接源_02物料!$C587="","",对接源_02物料!$C587)</f>
        <v/>
      </c>
      <c r="B1787" s="3">
        <f t="shared" si="469"/>
        <v>0</v>
      </c>
      <c r="C1787" s="3">
        <f t="shared" si="470"/>
        <v>21</v>
      </c>
      <c r="K1787" s="3">
        <f>IF(OR($K$1="",对接源_02物料!$C587="",对接源_02物料!$C587&lt;&gt;$K$1,对接源_02物料!$B587=""),0,IF(OR(N(对接源_02物料!$B587)&lt;$K$2,N(对接源_02物料!$B587)&gt;$K$3),0,1))</f>
        <v>0</v>
      </c>
      <c r="L1787" s="3">
        <f>IF(OR($L$1="",对接源_02物料!$C587="",对接源_02物料!$C587&lt;&gt;$L$1,对接源_02物料!$B587=""),0,IF(OR(N(对接源_02物料!$B587)&lt;$L$2,N(对接源_02物料!$B587)&gt;$L$3),0,1))</f>
        <v>0</v>
      </c>
      <c r="M1787" s="3">
        <f>IF(OR($M$1="",对接源_02物料!$C587="",对接源_02物料!$C587&lt;&gt;$M$1,对接源_02物料!$B587=""),0,IF(OR(N(对接源_02物料!$B587)&lt;$M$2,N(对接源_02物料!$B587)&gt;$M$3),0,1))</f>
        <v>0</v>
      </c>
      <c r="N1787" s="3">
        <f>IF(OR($N$1="",对接源_02物料!$C587="",对接源_02物料!$C587&lt;&gt;$N$1,对接源_02物料!$B587=""),0,IF(OR(N(对接源_02物料!$B587)&lt;$N$2,N(对接源_02物料!$B587)&gt;$N$3),0,1))</f>
        <v>0</v>
      </c>
      <c r="P1787" s="3">
        <f>IF(AND($K1787=1,AND(对接源_02物料!$X587="公司筐",N(对接源_02物料!$T587)&lt;&gt;0)),1,0)</f>
        <v>0</v>
      </c>
      <c r="Q1787" s="3">
        <f t="shared" si="471"/>
        <v>8</v>
      </c>
      <c r="R1787" s="3">
        <f>IF(AND($K1787=1,AND(对接源_02物料!$X587="公司筐",N(对接源_02物料!$U587)&lt;&gt;0)),1,0)</f>
        <v>0</v>
      </c>
      <c r="S1787" s="3">
        <f t="shared" si="472"/>
        <v>0</v>
      </c>
      <c r="T1787" s="3">
        <f>IF(AND($K1787=1,AND(对接源_02物料!$X587="公司筐",N(对接源_02物料!$V587)&lt;&gt;0)),1,0)</f>
        <v>0</v>
      </c>
      <c r="U1787" s="3">
        <f t="shared" si="473"/>
        <v>19</v>
      </c>
      <c r="V1787" s="3">
        <f>IF(AND($L1787=1,AND(对接源_02物料!$X587="自备筐",N(对接源_02物料!$V587)&lt;&gt;0)),1,0)</f>
        <v>0</v>
      </c>
      <c r="W1787" s="3">
        <f t="shared" si="474"/>
        <v>8</v>
      </c>
      <c r="X1787" s="3">
        <f>IF(AND($L1787=1,AND(对接源_02物料!$X587="自备筐",N(对接源_02物料!$T587)&lt;&gt;0)),1,0)</f>
        <v>0</v>
      </c>
      <c r="Y1787" s="3">
        <f t="shared" si="475"/>
        <v>0</v>
      </c>
      <c r="Z1787" s="3">
        <f>IF(AND($M1787=1,对接源_02物料!$D587="原料入库"),1,0)</f>
        <v>0</v>
      </c>
      <c r="AA1787" s="3">
        <f t="shared" si="476"/>
        <v>24</v>
      </c>
      <c r="AB1787" s="3">
        <f>IF(AND($M1787=1,LEFT(对接源_02物料!$D587,4)="原料出库"),1,0)</f>
        <v>0</v>
      </c>
      <c r="AC1787" s="3">
        <f t="shared" si="477"/>
        <v>0</v>
      </c>
      <c r="AD1787" s="3">
        <f>IF(AND($M1787=1,LEFT(对接源_02物料!$D587,4)="成品出库"),1,0)</f>
        <v>0</v>
      </c>
      <c r="AE1787" s="3">
        <f t="shared" si="478"/>
        <v>0</v>
      </c>
      <c r="AF1787" s="3">
        <f>IF(AND($N1787=1,AND(LEFT(对接源_02物料!$D587,4)="包装物料",N(对接源_02物料!$K587)&lt;&gt;0)),1,0)</f>
        <v>0</v>
      </c>
      <c r="AG1787" s="3">
        <f t="shared" si="479"/>
        <v>5</v>
      </c>
      <c r="AH1787" s="3">
        <f>IF(AND($N1787=1,AND(对接源_02物料!$D587="周转筐－销售出库",N(对接源_02物料!$K587)&lt;&gt;0)),1,0)</f>
        <v>0</v>
      </c>
      <c r="AI1787" s="3">
        <f t="shared" si="480"/>
        <v>0</v>
      </c>
      <c r="AL1787" s="3">
        <v>0</v>
      </c>
      <c r="AM1787" s="3">
        <f t="shared" si="481"/>
        <v>1</v>
      </c>
      <c r="AN1787" s="3" t="str">
        <f t="shared" si="485"/>
        <v/>
      </c>
      <c r="AO1787" s="3">
        <v>0</v>
      </c>
      <c r="AP1787" s="3">
        <f t="shared" si="482"/>
        <v>8</v>
      </c>
      <c r="AR1787">
        <f t="shared" si="483"/>
        <v>0</v>
      </c>
      <c r="AS1787">
        <f t="shared" si="484"/>
        <v>5</v>
      </c>
    </row>
    <row r="1788" customHeight="1" spans="1:45">
      <c r="A1788" s="3" t="str">
        <f>IF(对接源_02物料!$C588="","",对接源_02物料!$C588)</f>
        <v/>
      </c>
      <c r="B1788" s="3">
        <f t="shared" si="469"/>
        <v>0</v>
      </c>
      <c r="C1788" s="3">
        <f t="shared" si="470"/>
        <v>21</v>
      </c>
      <c r="K1788" s="3">
        <f>IF(OR($K$1="",对接源_02物料!$C588="",对接源_02物料!$C588&lt;&gt;$K$1,对接源_02物料!$B588=""),0,IF(OR(N(对接源_02物料!$B588)&lt;$K$2,N(对接源_02物料!$B588)&gt;$K$3),0,1))</f>
        <v>0</v>
      </c>
      <c r="L1788" s="3">
        <f>IF(OR($L$1="",对接源_02物料!$C588="",对接源_02物料!$C588&lt;&gt;$L$1,对接源_02物料!$B588=""),0,IF(OR(N(对接源_02物料!$B588)&lt;$L$2,N(对接源_02物料!$B588)&gt;$L$3),0,1))</f>
        <v>0</v>
      </c>
      <c r="M1788" s="3">
        <f>IF(OR($M$1="",对接源_02物料!$C588="",对接源_02物料!$C588&lt;&gt;$M$1,对接源_02物料!$B588=""),0,IF(OR(N(对接源_02物料!$B588)&lt;$M$2,N(对接源_02物料!$B588)&gt;$M$3),0,1))</f>
        <v>0</v>
      </c>
      <c r="N1788" s="3">
        <f>IF(OR($N$1="",对接源_02物料!$C588="",对接源_02物料!$C588&lt;&gt;$N$1,对接源_02物料!$B588=""),0,IF(OR(N(对接源_02物料!$B588)&lt;$N$2,N(对接源_02物料!$B588)&gt;$N$3),0,1))</f>
        <v>0</v>
      </c>
      <c r="P1788" s="3">
        <f>IF(AND($K1788=1,AND(对接源_02物料!$X588="公司筐",N(对接源_02物料!$T588)&lt;&gt;0)),1,0)</f>
        <v>0</v>
      </c>
      <c r="Q1788" s="3">
        <f t="shared" si="471"/>
        <v>8</v>
      </c>
      <c r="R1788" s="3">
        <f>IF(AND($K1788=1,AND(对接源_02物料!$X588="公司筐",N(对接源_02物料!$U588)&lt;&gt;0)),1,0)</f>
        <v>0</v>
      </c>
      <c r="S1788" s="3">
        <f t="shared" si="472"/>
        <v>0</v>
      </c>
      <c r="T1788" s="3">
        <f>IF(AND($K1788=1,AND(对接源_02物料!$X588="公司筐",N(对接源_02物料!$V588)&lt;&gt;0)),1,0)</f>
        <v>0</v>
      </c>
      <c r="U1788" s="3">
        <f t="shared" si="473"/>
        <v>19</v>
      </c>
      <c r="V1788" s="3">
        <f>IF(AND($L1788=1,AND(对接源_02物料!$X588="自备筐",N(对接源_02物料!$V588)&lt;&gt;0)),1,0)</f>
        <v>0</v>
      </c>
      <c r="W1788" s="3">
        <f t="shared" si="474"/>
        <v>8</v>
      </c>
      <c r="X1788" s="3">
        <f>IF(AND($L1788=1,AND(对接源_02物料!$X588="自备筐",N(对接源_02物料!$T588)&lt;&gt;0)),1,0)</f>
        <v>0</v>
      </c>
      <c r="Y1788" s="3">
        <f t="shared" si="475"/>
        <v>0</v>
      </c>
      <c r="Z1788" s="3">
        <f>IF(AND($M1788=1,对接源_02物料!$D588="原料入库"),1,0)</f>
        <v>0</v>
      </c>
      <c r="AA1788" s="3">
        <f t="shared" si="476"/>
        <v>24</v>
      </c>
      <c r="AB1788" s="3">
        <f>IF(AND($M1788=1,LEFT(对接源_02物料!$D588,4)="原料出库"),1,0)</f>
        <v>0</v>
      </c>
      <c r="AC1788" s="3">
        <f t="shared" si="477"/>
        <v>0</v>
      </c>
      <c r="AD1788" s="3">
        <f>IF(AND($M1788=1,LEFT(对接源_02物料!$D588,4)="成品出库"),1,0)</f>
        <v>0</v>
      </c>
      <c r="AE1788" s="3">
        <f t="shared" si="478"/>
        <v>0</v>
      </c>
      <c r="AF1788" s="3">
        <f>IF(AND($N1788=1,AND(LEFT(对接源_02物料!$D588,4)="包装物料",N(对接源_02物料!$K588)&lt;&gt;0)),1,0)</f>
        <v>0</v>
      </c>
      <c r="AG1788" s="3">
        <f t="shared" si="479"/>
        <v>5</v>
      </c>
      <c r="AH1788" s="3">
        <f>IF(AND($N1788=1,AND(对接源_02物料!$D588="周转筐－销售出库",N(对接源_02物料!$K588)&lt;&gt;0)),1,0)</f>
        <v>0</v>
      </c>
      <c r="AI1788" s="3">
        <f t="shared" si="480"/>
        <v>0</v>
      </c>
      <c r="AL1788" s="3">
        <v>0</v>
      </c>
      <c r="AM1788" s="3">
        <f t="shared" si="481"/>
        <v>1</v>
      </c>
      <c r="AN1788" s="3" t="str">
        <f t="shared" si="485"/>
        <v/>
      </c>
      <c r="AO1788" s="3">
        <v>0</v>
      </c>
      <c r="AP1788" s="3">
        <f t="shared" si="482"/>
        <v>8</v>
      </c>
      <c r="AR1788">
        <f t="shared" si="483"/>
        <v>0</v>
      </c>
      <c r="AS1788">
        <f t="shared" si="484"/>
        <v>5</v>
      </c>
    </row>
    <row r="1789" customHeight="1" spans="1:45">
      <c r="A1789" s="3" t="str">
        <f>IF(对接源_02物料!$C589="","",对接源_02物料!$C589)</f>
        <v/>
      </c>
      <c r="B1789" s="3">
        <f t="shared" si="469"/>
        <v>0</v>
      </c>
      <c r="C1789" s="3">
        <f t="shared" si="470"/>
        <v>21</v>
      </c>
      <c r="K1789" s="3">
        <f>IF(OR($K$1="",对接源_02物料!$C589="",对接源_02物料!$C589&lt;&gt;$K$1,对接源_02物料!$B589=""),0,IF(OR(N(对接源_02物料!$B589)&lt;$K$2,N(对接源_02物料!$B589)&gt;$K$3),0,1))</f>
        <v>0</v>
      </c>
      <c r="L1789" s="3">
        <f>IF(OR($L$1="",对接源_02物料!$C589="",对接源_02物料!$C589&lt;&gt;$L$1,对接源_02物料!$B589=""),0,IF(OR(N(对接源_02物料!$B589)&lt;$L$2,N(对接源_02物料!$B589)&gt;$L$3),0,1))</f>
        <v>0</v>
      </c>
      <c r="M1789" s="3">
        <f>IF(OR($M$1="",对接源_02物料!$C589="",对接源_02物料!$C589&lt;&gt;$M$1,对接源_02物料!$B589=""),0,IF(OR(N(对接源_02物料!$B589)&lt;$M$2,N(对接源_02物料!$B589)&gt;$M$3),0,1))</f>
        <v>0</v>
      </c>
      <c r="N1789" s="3">
        <f>IF(OR($N$1="",对接源_02物料!$C589="",对接源_02物料!$C589&lt;&gt;$N$1,对接源_02物料!$B589=""),0,IF(OR(N(对接源_02物料!$B589)&lt;$N$2,N(对接源_02物料!$B589)&gt;$N$3),0,1))</f>
        <v>0</v>
      </c>
      <c r="P1789" s="3">
        <f>IF(AND($K1789=1,AND(对接源_02物料!$X589="公司筐",N(对接源_02物料!$T589)&lt;&gt;0)),1,0)</f>
        <v>0</v>
      </c>
      <c r="Q1789" s="3">
        <f t="shared" si="471"/>
        <v>8</v>
      </c>
      <c r="R1789" s="3">
        <f>IF(AND($K1789=1,AND(对接源_02物料!$X589="公司筐",N(对接源_02物料!$U589)&lt;&gt;0)),1,0)</f>
        <v>0</v>
      </c>
      <c r="S1789" s="3">
        <f t="shared" si="472"/>
        <v>0</v>
      </c>
      <c r="T1789" s="3">
        <f>IF(AND($K1789=1,AND(对接源_02物料!$X589="公司筐",N(对接源_02物料!$V589)&lt;&gt;0)),1,0)</f>
        <v>0</v>
      </c>
      <c r="U1789" s="3">
        <f t="shared" si="473"/>
        <v>19</v>
      </c>
      <c r="V1789" s="3">
        <f>IF(AND($L1789=1,AND(对接源_02物料!$X589="自备筐",N(对接源_02物料!$V589)&lt;&gt;0)),1,0)</f>
        <v>0</v>
      </c>
      <c r="W1789" s="3">
        <f t="shared" si="474"/>
        <v>8</v>
      </c>
      <c r="X1789" s="3">
        <f>IF(AND($L1789=1,AND(对接源_02物料!$X589="自备筐",N(对接源_02物料!$T589)&lt;&gt;0)),1,0)</f>
        <v>0</v>
      </c>
      <c r="Y1789" s="3">
        <f t="shared" si="475"/>
        <v>0</v>
      </c>
      <c r="Z1789" s="3">
        <f>IF(AND($M1789=1,对接源_02物料!$D589="原料入库"),1,0)</f>
        <v>0</v>
      </c>
      <c r="AA1789" s="3">
        <f t="shared" si="476"/>
        <v>24</v>
      </c>
      <c r="AB1789" s="3">
        <f>IF(AND($M1789=1,LEFT(对接源_02物料!$D589,4)="原料出库"),1,0)</f>
        <v>0</v>
      </c>
      <c r="AC1789" s="3">
        <f t="shared" si="477"/>
        <v>0</v>
      </c>
      <c r="AD1789" s="3">
        <f>IF(AND($M1789=1,LEFT(对接源_02物料!$D589,4)="成品出库"),1,0)</f>
        <v>0</v>
      </c>
      <c r="AE1789" s="3">
        <f t="shared" si="478"/>
        <v>0</v>
      </c>
      <c r="AF1789" s="3">
        <f>IF(AND($N1789=1,AND(LEFT(对接源_02物料!$D589,4)="包装物料",N(对接源_02物料!$K589)&lt;&gt;0)),1,0)</f>
        <v>0</v>
      </c>
      <c r="AG1789" s="3">
        <f t="shared" si="479"/>
        <v>5</v>
      </c>
      <c r="AH1789" s="3">
        <f>IF(AND($N1789=1,AND(对接源_02物料!$D589="周转筐－销售出库",N(对接源_02物料!$K589)&lt;&gt;0)),1,0)</f>
        <v>0</v>
      </c>
      <c r="AI1789" s="3">
        <f t="shared" si="480"/>
        <v>0</v>
      </c>
      <c r="AL1789" s="3">
        <v>0</v>
      </c>
      <c r="AM1789" s="3">
        <f t="shared" si="481"/>
        <v>1</v>
      </c>
      <c r="AN1789" s="3" t="str">
        <f t="shared" si="485"/>
        <v/>
      </c>
      <c r="AO1789" s="3">
        <v>0</v>
      </c>
      <c r="AP1789" s="3">
        <f t="shared" si="482"/>
        <v>8</v>
      </c>
      <c r="AR1789">
        <f t="shared" si="483"/>
        <v>0</v>
      </c>
      <c r="AS1789">
        <f t="shared" si="484"/>
        <v>5</v>
      </c>
    </row>
    <row r="1790" customHeight="1" spans="1:45">
      <c r="A1790" s="3" t="str">
        <f>IF(对接源_02物料!$C590="","",对接源_02物料!$C590)</f>
        <v/>
      </c>
      <c r="B1790" s="3">
        <f t="shared" si="469"/>
        <v>0</v>
      </c>
      <c r="C1790" s="3">
        <f t="shared" si="470"/>
        <v>21</v>
      </c>
      <c r="K1790" s="3">
        <f>IF(OR($K$1="",对接源_02物料!$C590="",对接源_02物料!$C590&lt;&gt;$K$1,对接源_02物料!$B590=""),0,IF(OR(N(对接源_02物料!$B590)&lt;$K$2,N(对接源_02物料!$B590)&gt;$K$3),0,1))</f>
        <v>0</v>
      </c>
      <c r="L1790" s="3">
        <f>IF(OR($L$1="",对接源_02物料!$C590="",对接源_02物料!$C590&lt;&gt;$L$1,对接源_02物料!$B590=""),0,IF(OR(N(对接源_02物料!$B590)&lt;$L$2,N(对接源_02物料!$B590)&gt;$L$3),0,1))</f>
        <v>0</v>
      </c>
      <c r="M1790" s="3">
        <f>IF(OR($M$1="",对接源_02物料!$C590="",对接源_02物料!$C590&lt;&gt;$M$1,对接源_02物料!$B590=""),0,IF(OR(N(对接源_02物料!$B590)&lt;$M$2,N(对接源_02物料!$B590)&gt;$M$3),0,1))</f>
        <v>0</v>
      </c>
      <c r="N1790" s="3">
        <f>IF(OR($N$1="",对接源_02物料!$C590="",对接源_02物料!$C590&lt;&gt;$N$1,对接源_02物料!$B590=""),0,IF(OR(N(对接源_02物料!$B590)&lt;$N$2,N(对接源_02物料!$B590)&gt;$N$3),0,1))</f>
        <v>0</v>
      </c>
      <c r="P1790" s="3">
        <f>IF(AND($K1790=1,AND(对接源_02物料!$X590="公司筐",N(对接源_02物料!$T590)&lt;&gt;0)),1,0)</f>
        <v>0</v>
      </c>
      <c r="Q1790" s="3">
        <f t="shared" si="471"/>
        <v>8</v>
      </c>
      <c r="R1790" s="3">
        <f>IF(AND($K1790=1,AND(对接源_02物料!$X590="公司筐",N(对接源_02物料!$U590)&lt;&gt;0)),1,0)</f>
        <v>0</v>
      </c>
      <c r="S1790" s="3">
        <f t="shared" si="472"/>
        <v>0</v>
      </c>
      <c r="T1790" s="3">
        <f>IF(AND($K1790=1,AND(对接源_02物料!$X590="公司筐",N(对接源_02物料!$V590)&lt;&gt;0)),1,0)</f>
        <v>0</v>
      </c>
      <c r="U1790" s="3">
        <f t="shared" si="473"/>
        <v>19</v>
      </c>
      <c r="V1790" s="3">
        <f>IF(AND($L1790=1,AND(对接源_02物料!$X590="自备筐",N(对接源_02物料!$V590)&lt;&gt;0)),1,0)</f>
        <v>0</v>
      </c>
      <c r="W1790" s="3">
        <f t="shared" si="474"/>
        <v>8</v>
      </c>
      <c r="X1790" s="3">
        <f>IF(AND($L1790=1,AND(对接源_02物料!$X590="自备筐",N(对接源_02物料!$T590)&lt;&gt;0)),1,0)</f>
        <v>0</v>
      </c>
      <c r="Y1790" s="3">
        <f t="shared" si="475"/>
        <v>0</v>
      </c>
      <c r="Z1790" s="3">
        <f>IF(AND($M1790=1,对接源_02物料!$D590="原料入库"),1,0)</f>
        <v>0</v>
      </c>
      <c r="AA1790" s="3">
        <f t="shared" si="476"/>
        <v>24</v>
      </c>
      <c r="AB1790" s="3">
        <f>IF(AND($M1790=1,LEFT(对接源_02物料!$D590,4)="原料出库"),1,0)</f>
        <v>0</v>
      </c>
      <c r="AC1790" s="3">
        <f t="shared" si="477"/>
        <v>0</v>
      </c>
      <c r="AD1790" s="3">
        <f>IF(AND($M1790=1,LEFT(对接源_02物料!$D590,4)="成品出库"),1,0)</f>
        <v>0</v>
      </c>
      <c r="AE1790" s="3">
        <f t="shared" si="478"/>
        <v>0</v>
      </c>
      <c r="AF1790" s="3">
        <f>IF(AND($N1790=1,AND(LEFT(对接源_02物料!$D590,4)="包装物料",N(对接源_02物料!$K590)&lt;&gt;0)),1,0)</f>
        <v>0</v>
      </c>
      <c r="AG1790" s="3">
        <f t="shared" si="479"/>
        <v>5</v>
      </c>
      <c r="AH1790" s="3">
        <f>IF(AND($N1790=1,AND(对接源_02物料!$D590="周转筐－销售出库",N(对接源_02物料!$K590)&lt;&gt;0)),1,0)</f>
        <v>0</v>
      </c>
      <c r="AI1790" s="3">
        <f t="shared" si="480"/>
        <v>0</v>
      </c>
      <c r="AL1790" s="3">
        <v>0</v>
      </c>
      <c r="AM1790" s="3">
        <f t="shared" si="481"/>
        <v>1</v>
      </c>
      <c r="AN1790" s="3" t="str">
        <f t="shared" si="485"/>
        <v/>
      </c>
      <c r="AO1790" s="3">
        <v>0</v>
      </c>
      <c r="AP1790" s="3">
        <f t="shared" si="482"/>
        <v>8</v>
      </c>
      <c r="AR1790">
        <f t="shared" si="483"/>
        <v>0</v>
      </c>
      <c r="AS1790">
        <f t="shared" si="484"/>
        <v>5</v>
      </c>
    </row>
    <row r="1791" customHeight="1" spans="1:45">
      <c r="A1791" s="3" t="str">
        <f>IF(对接源_02物料!$C591="","",对接源_02物料!$C591)</f>
        <v/>
      </c>
      <c r="B1791" s="3">
        <f t="shared" si="469"/>
        <v>0</v>
      </c>
      <c r="C1791" s="3">
        <f t="shared" si="470"/>
        <v>21</v>
      </c>
      <c r="K1791" s="3">
        <f>IF(OR($K$1="",对接源_02物料!$C591="",对接源_02物料!$C591&lt;&gt;$K$1,对接源_02物料!$B591=""),0,IF(OR(N(对接源_02物料!$B591)&lt;$K$2,N(对接源_02物料!$B591)&gt;$K$3),0,1))</f>
        <v>0</v>
      </c>
      <c r="L1791" s="3">
        <f>IF(OR($L$1="",对接源_02物料!$C591="",对接源_02物料!$C591&lt;&gt;$L$1,对接源_02物料!$B591=""),0,IF(OR(N(对接源_02物料!$B591)&lt;$L$2,N(对接源_02物料!$B591)&gt;$L$3),0,1))</f>
        <v>0</v>
      </c>
      <c r="M1791" s="3">
        <f>IF(OR($M$1="",对接源_02物料!$C591="",对接源_02物料!$C591&lt;&gt;$M$1,对接源_02物料!$B591=""),0,IF(OR(N(对接源_02物料!$B591)&lt;$M$2,N(对接源_02物料!$B591)&gt;$M$3),0,1))</f>
        <v>0</v>
      </c>
      <c r="N1791" s="3">
        <f>IF(OR($N$1="",对接源_02物料!$C591="",对接源_02物料!$C591&lt;&gt;$N$1,对接源_02物料!$B591=""),0,IF(OR(N(对接源_02物料!$B591)&lt;$N$2,N(对接源_02物料!$B591)&gt;$N$3),0,1))</f>
        <v>0</v>
      </c>
      <c r="P1791" s="3">
        <f>IF(AND($K1791=1,AND(对接源_02物料!$X591="公司筐",N(对接源_02物料!$T591)&lt;&gt;0)),1,0)</f>
        <v>0</v>
      </c>
      <c r="Q1791" s="3">
        <f t="shared" si="471"/>
        <v>8</v>
      </c>
      <c r="R1791" s="3">
        <f>IF(AND($K1791=1,AND(对接源_02物料!$X591="公司筐",N(对接源_02物料!$U591)&lt;&gt;0)),1,0)</f>
        <v>0</v>
      </c>
      <c r="S1791" s="3">
        <f t="shared" si="472"/>
        <v>0</v>
      </c>
      <c r="T1791" s="3">
        <f>IF(AND($K1791=1,AND(对接源_02物料!$X591="公司筐",N(对接源_02物料!$V591)&lt;&gt;0)),1,0)</f>
        <v>0</v>
      </c>
      <c r="U1791" s="3">
        <f t="shared" si="473"/>
        <v>19</v>
      </c>
      <c r="V1791" s="3">
        <f>IF(AND($L1791=1,AND(对接源_02物料!$X591="自备筐",N(对接源_02物料!$V591)&lt;&gt;0)),1,0)</f>
        <v>0</v>
      </c>
      <c r="W1791" s="3">
        <f t="shared" si="474"/>
        <v>8</v>
      </c>
      <c r="X1791" s="3">
        <f>IF(AND($L1791=1,AND(对接源_02物料!$X591="自备筐",N(对接源_02物料!$T591)&lt;&gt;0)),1,0)</f>
        <v>0</v>
      </c>
      <c r="Y1791" s="3">
        <f t="shared" si="475"/>
        <v>0</v>
      </c>
      <c r="Z1791" s="3">
        <f>IF(AND($M1791=1,对接源_02物料!$D591="原料入库"),1,0)</f>
        <v>0</v>
      </c>
      <c r="AA1791" s="3">
        <f t="shared" si="476"/>
        <v>24</v>
      </c>
      <c r="AB1791" s="3">
        <f>IF(AND($M1791=1,LEFT(对接源_02物料!$D591,4)="原料出库"),1,0)</f>
        <v>0</v>
      </c>
      <c r="AC1791" s="3">
        <f t="shared" si="477"/>
        <v>0</v>
      </c>
      <c r="AD1791" s="3">
        <f>IF(AND($M1791=1,LEFT(对接源_02物料!$D591,4)="成品出库"),1,0)</f>
        <v>0</v>
      </c>
      <c r="AE1791" s="3">
        <f t="shared" si="478"/>
        <v>0</v>
      </c>
      <c r="AF1791" s="3">
        <f>IF(AND($N1791=1,AND(LEFT(对接源_02物料!$D591,4)="包装物料",N(对接源_02物料!$K591)&lt;&gt;0)),1,0)</f>
        <v>0</v>
      </c>
      <c r="AG1791" s="3">
        <f t="shared" si="479"/>
        <v>5</v>
      </c>
      <c r="AH1791" s="3">
        <f>IF(AND($N1791=1,AND(对接源_02物料!$D591="周转筐－销售出库",N(对接源_02物料!$K591)&lt;&gt;0)),1,0)</f>
        <v>0</v>
      </c>
      <c r="AI1791" s="3">
        <f t="shared" si="480"/>
        <v>0</v>
      </c>
      <c r="AL1791" s="3">
        <v>0</v>
      </c>
      <c r="AM1791" s="3">
        <f t="shared" si="481"/>
        <v>1</v>
      </c>
      <c r="AN1791" s="3" t="str">
        <f t="shared" si="485"/>
        <v/>
      </c>
      <c r="AO1791" s="3">
        <v>0</v>
      </c>
      <c r="AP1791" s="3">
        <f t="shared" si="482"/>
        <v>8</v>
      </c>
      <c r="AR1791">
        <f t="shared" si="483"/>
        <v>0</v>
      </c>
      <c r="AS1791">
        <f t="shared" si="484"/>
        <v>5</v>
      </c>
    </row>
    <row r="1792" customHeight="1" spans="1:45">
      <c r="A1792" s="3" t="str">
        <f>IF(对接源_02物料!$C592="","",对接源_02物料!$C592)</f>
        <v/>
      </c>
      <c r="B1792" s="3">
        <f t="shared" si="469"/>
        <v>0</v>
      </c>
      <c r="C1792" s="3">
        <f t="shared" si="470"/>
        <v>21</v>
      </c>
      <c r="K1792" s="3">
        <f>IF(OR($K$1="",对接源_02物料!$C592="",对接源_02物料!$C592&lt;&gt;$K$1,对接源_02物料!$B592=""),0,IF(OR(N(对接源_02物料!$B592)&lt;$K$2,N(对接源_02物料!$B592)&gt;$K$3),0,1))</f>
        <v>0</v>
      </c>
      <c r="L1792" s="3">
        <f>IF(OR($L$1="",对接源_02物料!$C592="",对接源_02物料!$C592&lt;&gt;$L$1,对接源_02物料!$B592=""),0,IF(OR(N(对接源_02物料!$B592)&lt;$L$2,N(对接源_02物料!$B592)&gt;$L$3),0,1))</f>
        <v>0</v>
      </c>
      <c r="M1792" s="3">
        <f>IF(OR($M$1="",对接源_02物料!$C592="",对接源_02物料!$C592&lt;&gt;$M$1,对接源_02物料!$B592=""),0,IF(OR(N(对接源_02物料!$B592)&lt;$M$2,N(对接源_02物料!$B592)&gt;$M$3),0,1))</f>
        <v>0</v>
      </c>
      <c r="N1792" s="3">
        <f>IF(OR($N$1="",对接源_02物料!$C592="",对接源_02物料!$C592&lt;&gt;$N$1,对接源_02物料!$B592=""),0,IF(OR(N(对接源_02物料!$B592)&lt;$N$2,N(对接源_02物料!$B592)&gt;$N$3),0,1))</f>
        <v>0</v>
      </c>
      <c r="P1792" s="3">
        <f>IF(AND($K1792=1,AND(对接源_02物料!$X592="公司筐",N(对接源_02物料!$T592)&lt;&gt;0)),1,0)</f>
        <v>0</v>
      </c>
      <c r="Q1792" s="3">
        <f t="shared" si="471"/>
        <v>8</v>
      </c>
      <c r="R1792" s="3">
        <f>IF(AND($K1792=1,AND(对接源_02物料!$X592="公司筐",N(对接源_02物料!$U592)&lt;&gt;0)),1,0)</f>
        <v>0</v>
      </c>
      <c r="S1792" s="3">
        <f t="shared" si="472"/>
        <v>0</v>
      </c>
      <c r="T1792" s="3">
        <f>IF(AND($K1792=1,AND(对接源_02物料!$X592="公司筐",N(对接源_02物料!$V592)&lt;&gt;0)),1,0)</f>
        <v>0</v>
      </c>
      <c r="U1792" s="3">
        <f t="shared" si="473"/>
        <v>19</v>
      </c>
      <c r="V1792" s="3">
        <f>IF(AND($L1792=1,AND(对接源_02物料!$X592="自备筐",N(对接源_02物料!$V592)&lt;&gt;0)),1,0)</f>
        <v>0</v>
      </c>
      <c r="W1792" s="3">
        <f t="shared" si="474"/>
        <v>8</v>
      </c>
      <c r="X1792" s="3">
        <f>IF(AND($L1792=1,AND(对接源_02物料!$X592="自备筐",N(对接源_02物料!$T592)&lt;&gt;0)),1,0)</f>
        <v>0</v>
      </c>
      <c r="Y1792" s="3">
        <f t="shared" si="475"/>
        <v>0</v>
      </c>
      <c r="Z1792" s="3">
        <f>IF(AND($M1792=1,对接源_02物料!$D592="原料入库"),1,0)</f>
        <v>0</v>
      </c>
      <c r="AA1792" s="3">
        <f t="shared" si="476"/>
        <v>24</v>
      </c>
      <c r="AB1792" s="3">
        <f>IF(AND($M1792=1,LEFT(对接源_02物料!$D592,4)="原料出库"),1,0)</f>
        <v>0</v>
      </c>
      <c r="AC1792" s="3">
        <f t="shared" si="477"/>
        <v>0</v>
      </c>
      <c r="AD1792" s="3">
        <f>IF(AND($M1792=1,LEFT(对接源_02物料!$D592,4)="成品出库"),1,0)</f>
        <v>0</v>
      </c>
      <c r="AE1792" s="3">
        <f t="shared" si="478"/>
        <v>0</v>
      </c>
      <c r="AF1792" s="3">
        <f>IF(AND($N1792=1,AND(LEFT(对接源_02物料!$D592,4)="包装物料",N(对接源_02物料!$K592)&lt;&gt;0)),1,0)</f>
        <v>0</v>
      </c>
      <c r="AG1792" s="3">
        <f t="shared" si="479"/>
        <v>5</v>
      </c>
      <c r="AH1792" s="3">
        <f>IF(AND($N1792=1,AND(对接源_02物料!$D592="周转筐－销售出库",N(对接源_02物料!$K592)&lt;&gt;0)),1,0)</f>
        <v>0</v>
      </c>
      <c r="AI1792" s="3">
        <f t="shared" si="480"/>
        <v>0</v>
      </c>
      <c r="AL1792" s="3">
        <v>0</v>
      </c>
      <c r="AM1792" s="3">
        <f t="shared" si="481"/>
        <v>1</v>
      </c>
      <c r="AN1792" s="3" t="str">
        <f t="shared" si="485"/>
        <v/>
      </c>
      <c r="AO1792" s="3">
        <v>0</v>
      </c>
      <c r="AP1792" s="3">
        <f t="shared" si="482"/>
        <v>8</v>
      </c>
      <c r="AR1792">
        <f t="shared" si="483"/>
        <v>0</v>
      </c>
      <c r="AS1792">
        <f t="shared" si="484"/>
        <v>5</v>
      </c>
    </row>
    <row r="1793" customHeight="1" spans="1:45">
      <c r="A1793" s="3" t="str">
        <f>IF(对接源_02物料!$C593="","",对接源_02物料!$C593)</f>
        <v/>
      </c>
      <c r="B1793" s="3">
        <f t="shared" si="469"/>
        <v>0</v>
      </c>
      <c r="C1793" s="3">
        <f t="shared" si="470"/>
        <v>21</v>
      </c>
      <c r="K1793" s="3">
        <f>IF(OR($K$1="",对接源_02物料!$C593="",对接源_02物料!$C593&lt;&gt;$K$1,对接源_02物料!$B593=""),0,IF(OR(N(对接源_02物料!$B593)&lt;$K$2,N(对接源_02物料!$B593)&gt;$K$3),0,1))</f>
        <v>0</v>
      </c>
      <c r="L1793" s="3">
        <f>IF(OR($L$1="",对接源_02物料!$C593="",对接源_02物料!$C593&lt;&gt;$L$1,对接源_02物料!$B593=""),0,IF(OR(N(对接源_02物料!$B593)&lt;$L$2,N(对接源_02物料!$B593)&gt;$L$3),0,1))</f>
        <v>0</v>
      </c>
      <c r="M1793" s="3">
        <f>IF(OR($M$1="",对接源_02物料!$C593="",对接源_02物料!$C593&lt;&gt;$M$1,对接源_02物料!$B593=""),0,IF(OR(N(对接源_02物料!$B593)&lt;$M$2,N(对接源_02物料!$B593)&gt;$M$3),0,1))</f>
        <v>0</v>
      </c>
      <c r="N1793" s="3">
        <f>IF(OR($N$1="",对接源_02物料!$C593="",对接源_02物料!$C593&lt;&gt;$N$1,对接源_02物料!$B593=""),0,IF(OR(N(对接源_02物料!$B593)&lt;$N$2,N(对接源_02物料!$B593)&gt;$N$3),0,1))</f>
        <v>0</v>
      </c>
      <c r="P1793" s="3">
        <f>IF(AND($K1793=1,AND(对接源_02物料!$X593="公司筐",N(对接源_02物料!$T593)&lt;&gt;0)),1,0)</f>
        <v>0</v>
      </c>
      <c r="Q1793" s="3">
        <f t="shared" si="471"/>
        <v>8</v>
      </c>
      <c r="R1793" s="3">
        <f>IF(AND($K1793=1,AND(对接源_02物料!$X593="公司筐",N(对接源_02物料!$U593)&lt;&gt;0)),1,0)</f>
        <v>0</v>
      </c>
      <c r="S1793" s="3">
        <f t="shared" si="472"/>
        <v>0</v>
      </c>
      <c r="T1793" s="3">
        <f>IF(AND($K1793=1,AND(对接源_02物料!$X593="公司筐",N(对接源_02物料!$V593)&lt;&gt;0)),1,0)</f>
        <v>0</v>
      </c>
      <c r="U1793" s="3">
        <f t="shared" si="473"/>
        <v>19</v>
      </c>
      <c r="V1793" s="3">
        <f>IF(AND($L1793=1,AND(对接源_02物料!$X593="自备筐",N(对接源_02物料!$V593)&lt;&gt;0)),1,0)</f>
        <v>0</v>
      </c>
      <c r="W1793" s="3">
        <f t="shared" si="474"/>
        <v>8</v>
      </c>
      <c r="X1793" s="3">
        <f>IF(AND($L1793=1,AND(对接源_02物料!$X593="自备筐",N(对接源_02物料!$T593)&lt;&gt;0)),1,0)</f>
        <v>0</v>
      </c>
      <c r="Y1793" s="3">
        <f t="shared" si="475"/>
        <v>0</v>
      </c>
      <c r="Z1793" s="3">
        <f>IF(AND($M1793=1,对接源_02物料!$D593="原料入库"),1,0)</f>
        <v>0</v>
      </c>
      <c r="AA1793" s="3">
        <f t="shared" si="476"/>
        <v>24</v>
      </c>
      <c r="AB1793" s="3">
        <f>IF(AND($M1793=1,LEFT(对接源_02物料!$D593,4)="原料出库"),1,0)</f>
        <v>0</v>
      </c>
      <c r="AC1793" s="3">
        <f t="shared" si="477"/>
        <v>0</v>
      </c>
      <c r="AD1793" s="3">
        <f>IF(AND($M1793=1,LEFT(对接源_02物料!$D593,4)="成品出库"),1,0)</f>
        <v>0</v>
      </c>
      <c r="AE1793" s="3">
        <f t="shared" si="478"/>
        <v>0</v>
      </c>
      <c r="AF1793" s="3">
        <f>IF(AND($N1793=1,AND(LEFT(对接源_02物料!$D593,4)="包装物料",N(对接源_02物料!$K593)&lt;&gt;0)),1,0)</f>
        <v>0</v>
      </c>
      <c r="AG1793" s="3">
        <f t="shared" si="479"/>
        <v>5</v>
      </c>
      <c r="AH1793" s="3">
        <f>IF(AND($N1793=1,AND(对接源_02物料!$D593="周转筐－销售出库",N(对接源_02物料!$K593)&lt;&gt;0)),1,0)</f>
        <v>0</v>
      </c>
      <c r="AI1793" s="3">
        <f t="shared" si="480"/>
        <v>0</v>
      </c>
      <c r="AL1793" s="3">
        <v>0</v>
      </c>
      <c r="AM1793" s="3">
        <f t="shared" si="481"/>
        <v>1</v>
      </c>
      <c r="AN1793" s="3" t="str">
        <f t="shared" si="485"/>
        <v/>
      </c>
      <c r="AO1793" s="3">
        <v>0</v>
      </c>
      <c r="AP1793" s="3">
        <f t="shared" si="482"/>
        <v>8</v>
      </c>
      <c r="AR1793">
        <f t="shared" si="483"/>
        <v>0</v>
      </c>
      <c r="AS1793">
        <f t="shared" si="484"/>
        <v>5</v>
      </c>
    </row>
    <row r="1794" customHeight="1" spans="1:45">
      <c r="A1794" s="3" t="str">
        <f>IF(对接源_02物料!$C594="","",对接源_02物料!$C594)</f>
        <v/>
      </c>
      <c r="B1794" s="3">
        <f t="shared" si="469"/>
        <v>0</v>
      </c>
      <c r="C1794" s="3">
        <f t="shared" si="470"/>
        <v>21</v>
      </c>
      <c r="K1794" s="3">
        <f>IF(OR($K$1="",对接源_02物料!$C594="",对接源_02物料!$C594&lt;&gt;$K$1,对接源_02物料!$B594=""),0,IF(OR(N(对接源_02物料!$B594)&lt;$K$2,N(对接源_02物料!$B594)&gt;$K$3),0,1))</f>
        <v>0</v>
      </c>
      <c r="L1794" s="3">
        <f>IF(OR($L$1="",对接源_02物料!$C594="",对接源_02物料!$C594&lt;&gt;$L$1,对接源_02物料!$B594=""),0,IF(OR(N(对接源_02物料!$B594)&lt;$L$2,N(对接源_02物料!$B594)&gt;$L$3),0,1))</f>
        <v>0</v>
      </c>
      <c r="M1794" s="3">
        <f>IF(OR($M$1="",对接源_02物料!$C594="",对接源_02物料!$C594&lt;&gt;$M$1,对接源_02物料!$B594=""),0,IF(OR(N(对接源_02物料!$B594)&lt;$M$2,N(对接源_02物料!$B594)&gt;$M$3),0,1))</f>
        <v>0</v>
      </c>
      <c r="N1794" s="3">
        <f>IF(OR($N$1="",对接源_02物料!$C594="",对接源_02物料!$C594&lt;&gt;$N$1,对接源_02物料!$B594=""),0,IF(OR(N(对接源_02物料!$B594)&lt;$N$2,N(对接源_02物料!$B594)&gt;$N$3),0,1))</f>
        <v>0</v>
      </c>
      <c r="P1794" s="3">
        <f>IF(AND($K1794=1,AND(对接源_02物料!$X594="公司筐",N(对接源_02物料!$T594)&lt;&gt;0)),1,0)</f>
        <v>0</v>
      </c>
      <c r="Q1794" s="3">
        <f t="shared" si="471"/>
        <v>8</v>
      </c>
      <c r="R1794" s="3">
        <f>IF(AND($K1794=1,AND(对接源_02物料!$X594="公司筐",N(对接源_02物料!$U594)&lt;&gt;0)),1,0)</f>
        <v>0</v>
      </c>
      <c r="S1794" s="3">
        <f t="shared" si="472"/>
        <v>0</v>
      </c>
      <c r="T1794" s="3">
        <f>IF(AND($K1794=1,AND(对接源_02物料!$X594="公司筐",N(对接源_02物料!$V594)&lt;&gt;0)),1,0)</f>
        <v>0</v>
      </c>
      <c r="U1794" s="3">
        <f t="shared" si="473"/>
        <v>19</v>
      </c>
      <c r="V1794" s="3">
        <f>IF(AND($L1794=1,AND(对接源_02物料!$X594="自备筐",N(对接源_02物料!$V594)&lt;&gt;0)),1,0)</f>
        <v>0</v>
      </c>
      <c r="W1794" s="3">
        <f t="shared" si="474"/>
        <v>8</v>
      </c>
      <c r="X1794" s="3">
        <f>IF(AND($L1794=1,AND(对接源_02物料!$X594="自备筐",N(对接源_02物料!$T594)&lt;&gt;0)),1,0)</f>
        <v>0</v>
      </c>
      <c r="Y1794" s="3">
        <f t="shared" si="475"/>
        <v>0</v>
      </c>
      <c r="Z1794" s="3">
        <f>IF(AND($M1794=1,对接源_02物料!$D594="原料入库"),1,0)</f>
        <v>0</v>
      </c>
      <c r="AA1794" s="3">
        <f t="shared" si="476"/>
        <v>24</v>
      </c>
      <c r="AB1794" s="3">
        <f>IF(AND($M1794=1,LEFT(对接源_02物料!$D594,4)="原料出库"),1,0)</f>
        <v>0</v>
      </c>
      <c r="AC1794" s="3">
        <f t="shared" si="477"/>
        <v>0</v>
      </c>
      <c r="AD1794" s="3">
        <f>IF(AND($M1794=1,LEFT(对接源_02物料!$D594,4)="成品出库"),1,0)</f>
        <v>0</v>
      </c>
      <c r="AE1794" s="3">
        <f t="shared" si="478"/>
        <v>0</v>
      </c>
      <c r="AF1794" s="3">
        <f>IF(AND($N1794=1,AND(LEFT(对接源_02物料!$D594,4)="包装物料",N(对接源_02物料!$K594)&lt;&gt;0)),1,0)</f>
        <v>0</v>
      </c>
      <c r="AG1794" s="3">
        <f t="shared" si="479"/>
        <v>5</v>
      </c>
      <c r="AH1794" s="3">
        <f>IF(AND($N1794=1,AND(对接源_02物料!$D594="周转筐－销售出库",N(对接源_02物料!$K594)&lt;&gt;0)),1,0)</f>
        <v>0</v>
      </c>
      <c r="AI1794" s="3">
        <f t="shared" si="480"/>
        <v>0</v>
      </c>
      <c r="AL1794" s="3">
        <v>0</v>
      </c>
      <c r="AM1794" s="3">
        <f t="shared" si="481"/>
        <v>1</v>
      </c>
      <c r="AN1794" s="3" t="str">
        <f t="shared" si="485"/>
        <v/>
      </c>
      <c r="AO1794" s="3">
        <v>0</v>
      </c>
      <c r="AP1794" s="3">
        <f t="shared" si="482"/>
        <v>8</v>
      </c>
      <c r="AR1794">
        <f t="shared" si="483"/>
        <v>0</v>
      </c>
      <c r="AS1794">
        <f t="shared" si="484"/>
        <v>5</v>
      </c>
    </row>
    <row r="1795" customHeight="1" spans="1:45">
      <c r="A1795" s="3" t="str">
        <f>IF(对接源_02物料!$C595="","",对接源_02物料!$C595)</f>
        <v/>
      </c>
      <c r="B1795" s="3">
        <f t="shared" si="469"/>
        <v>0</v>
      </c>
      <c r="C1795" s="3">
        <f t="shared" si="470"/>
        <v>21</v>
      </c>
      <c r="K1795" s="3">
        <f>IF(OR($K$1="",对接源_02物料!$C595="",对接源_02物料!$C595&lt;&gt;$K$1,对接源_02物料!$B595=""),0,IF(OR(N(对接源_02物料!$B595)&lt;$K$2,N(对接源_02物料!$B595)&gt;$K$3),0,1))</f>
        <v>0</v>
      </c>
      <c r="L1795" s="3">
        <f>IF(OR($L$1="",对接源_02物料!$C595="",对接源_02物料!$C595&lt;&gt;$L$1,对接源_02物料!$B595=""),0,IF(OR(N(对接源_02物料!$B595)&lt;$L$2,N(对接源_02物料!$B595)&gt;$L$3),0,1))</f>
        <v>0</v>
      </c>
      <c r="M1795" s="3">
        <f>IF(OR($M$1="",对接源_02物料!$C595="",对接源_02物料!$C595&lt;&gt;$M$1,对接源_02物料!$B595=""),0,IF(OR(N(对接源_02物料!$B595)&lt;$M$2,N(对接源_02物料!$B595)&gt;$M$3),0,1))</f>
        <v>0</v>
      </c>
      <c r="N1795" s="3">
        <f>IF(OR($N$1="",对接源_02物料!$C595="",对接源_02物料!$C595&lt;&gt;$N$1,对接源_02物料!$B595=""),0,IF(OR(N(对接源_02物料!$B595)&lt;$N$2,N(对接源_02物料!$B595)&gt;$N$3),0,1))</f>
        <v>0</v>
      </c>
      <c r="P1795" s="3">
        <f>IF(AND($K1795=1,AND(对接源_02物料!$X595="公司筐",N(对接源_02物料!$T595)&lt;&gt;0)),1,0)</f>
        <v>0</v>
      </c>
      <c r="Q1795" s="3">
        <f t="shared" si="471"/>
        <v>8</v>
      </c>
      <c r="R1795" s="3">
        <f>IF(AND($K1795=1,AND(对接源_02物料!$X595="公司筐",N(对接源_02物料!$U595)&lt;&gt;0)),1,0)</f>
        <v>0</v>
      </c>
      <c r="S1795" s="3">
        <f t="shared" si="472"/>
        <v>0</v>
      </c>
      <c r="T1795" s="3">
        <f>IF(AND($K1795=1,AND(对接源_02物料!$X595="公司筐",N(对接源_02物料!$V595)&lt;&gt;0)),1,0)</f>
        <v>0</v>
      </c>
      <c r="U1795" s="3">
        <f t="shared" si="473"/>
        <v>19</v>
      </c>
      <c r="V1795" s="3">
        <f>IF(AND($L1795=1,AND(对接源_02物料!$X595="自备筐",N(对接源_02物料!$V595)&lt;&gt;0)),1,0)</f>
        <v>0</v>
      </c>
      <c r="W1795" s="3">
        <f t="shared" si="474"/>
        <v>8</v>
      </c>
      <c r="X1795" s="3">
        <f>IF(AND($L1795=1,AND(对接源_02物料!$X595="自备筐",N(对接源_02物料!$T595)&lt;&gt;0)),1,0)</f>
        <v>0</v>
      </c>
      <c r="Y1795" s="3">
        <f t="shared" si="475"/>
        <v>0</v>
      </c>
      <c r="Z1795" s="3">
        <f>IF(AND($M1795=1,对接源_02物料!$D595="原料入库"),1,0)</f>
        <v>0</v>
      </c>
      <c r="AA1795" s="3">
        <f t="shared" si="476"/>
        <v>24</v>
      </c>
      <c r="AB1795" s="3">
        <f>IF(AND($M1795=1,LEFT(对接源_02物料!$D595,4)="原料出库"),1,0)</f>
        <v>0</v>
      </c>
      <c r="AC1795" s="3">
        <f t="shared" si="477"/>
        <v>0</v>
      </c>
      <c r="AD1795" s="3">
        <f>IF(AND($M1795=1,LEFT(对接源_02物料!$D595,4)="成品出库"),1,0)</f>
        <v>0</v>
      </c>
      <c r="AE1795" s="3">
        <f t="shared" si="478"/>
        <v>0</v>
      </c>
      <c r="AF1795" s="3">
        <f>IF(AND($N1795=1,AND(LEFT(对接源_02物料!$D595,4)="包装物料",N(对接源_02物料!$K595)&lt;&gt;0)),1,0)</f>
        <v>0</v>
      </c>
      <c r="AG1795" s="3">
        <f t="shared" si="479"/>
        <v>5</v>
      </c>
      <c r="AH1795" s="3">
        <f>IF(AND($N1795=1,AND(对接源_02物料!$D595="周转筐－销售出库",N(对接源_02物料!$K595)&lt;&gt;0)),1,0)</f>
        <v>0</v>
      </c>
      <c r="AI1795" s="3">
        <f t="shared" si="480"/>
        <v>0</v>
      </c>
      <c r="AL1795" s="3">
        <v>0</v>
      </c>
      <c r="AM1795" s="3">
        <f t="shared" si="481"/>
        <v>1</v>
      </c>
      <c r="AN1795" s="3" t="str">
        <f t="shared" si="485"/>
        <v/>
      </c>
      <c r="AO1795" s="3">
        <v>0</v>
      </c>
      <c r="AP1795" s="3">
        <f t="shared" si="482"/>
        <v>8</v>
      </c>
      <c r="AR1795">
        <f t="shared" si="483"/>
        <v>0</v>
      </c>
      <c r="AS1795">
        <f t="shared" si="484"/>
        <v>5</v>
      </c>
    </row>
    <row r="1796" customHeight="1" spans="1:45">
      <c r="A1796" s="3" t="str">
        <f>IF(对接源_02物料!$C596="","",对接源_02物料!$C596)</f>
        <v/>
      </c>
      <c r="B1796" s="3">
        <f t="shared" ref="B1796:B1859" si="486">IF(A1796="",0,IF(MATCH(A1796,$A$4:$A$2403,0)=ROW()-3,1,0))</f>
        <v>0</v>
      </c>
      <c r="C1796" s="3">
        <f t="shared" ref="C1796:C1859" si="487">N(C1795)+B1796</f>
        <v>21</v>
      </c>
      <c r="K1796" s="3">
        <f>IF(OR($K$1="",对接源_02物料!$C596="",对接源_02物料!$C596&lt;&gt;$K$1,对接源_02物料!$B596=""),0,IF(OR(N(对接源_02物料!$B596)&lt;$K$2,N(对接源_02物料!$B596)&gt;$K$3),0,1))</f>
        <v>0</v>
      </c>
      <c r="L1796" s="3">
        <f>IF(OR($L$1="",对接源_02物料!$C596="",对接源_02物料!$C596&lt;&gt;$L$1,对接源_02物料!$B596=""),0,IF(OR(N(对接源_02物料!$B596)&lt;$L$2,N(对接源_02物料!$B596)&gt;$L$3),0,1))</f>
        <v>0</v>
      </c>
      <c r="M1796" s="3">
        <f>IF(OR($M$1="",对接源_02物料!$C596="",对接源_02物料!$C596&lt;&gt;$M$1,对接源_02物料!$B596=""),0,IF(OR(N(对接源_02物料!$B596)&lt;$M$2,N(对接源_02物料!$B596)&gt;$M$3),0,1))</f>
        <v>0</v>
      </c>
      <c r="N1796" s="3">
        <f>IF(OR($N$1="",对接源_02物料!$C596="",对接源_02物料!$C596&lt;&gt;$N$1,对接源_02物料!$B596=""),0,IF(OR(N(对接源_02物料!$B596)&lt;$N$2,N(对接源_02物料!$B596)&gt;$N$3),0,1))</f>
        <v>0</v>
      </c>
      <c r="P1796" s="3">
        <f>IF(AND($K1796=1,AND(对接源_02物料!$X596="公司筐",N(对接源_02物料!$T596)&lt;&gt;0)),1,0)</f>
        <v>0</v>
      </c>
      <c r="Q1796" s="3">
        <f t="shared" ref="Q1796:Q1859" si="488">N(Q1795)+$P1796</f>
        <v>8</v>
      </c>
      <c r="R1796" s="3">
        <f>IF(AND($K1796=1,AND(对接源_02物料!$X596="公司筐",N(对接源_02物料!$U596)&lt;&gt;0)),1,0)</f>
        <v>0</v>
      </c>
      <c r="S1796" s="3">
        <f t="shared" ref="S1796:S1859" si="489">N(S1795)+$R1796</f>
        <v>0</v>
      </c>
      <c r="T1796" s="3">
        <f>IF(AND($K1796=1,AND(对接源_02物料!$X596="公司筐",N(对接源_02物料!$V596)&lt;&gt;0)),1,0)</f>
        <v>0</v>
      </c>
      <c r="U1796" s="3">
        <f t="shared" ref="U1796:U1859" si="490">N(U1795)+$T1796</f>
        <v>19</v>
      </c>
      <c r="V1796" s="3">
        <f>IF(AND($L1796=1,AND(对接源_02物料!$X596="自备筐",N(对接源_02物料!$V596)&lt;&gt;0)),1,0)</f>
        <v>0</v>
      </c>
      <c r="W1796" s="3">
        <f t="shared" ref="W1796:W1859" si="491">N(W1795)+$V1796</f>
        <v>8</v>
      </c>
      <c r="X1796" s="3">
        <f>IF(AND($L1796=1,AND(对接源_02物料!$X596="自备筐",N(对接源_02物料!$T596)&lt;&gt;0)),1,0)</f>
        <v>0</v>
      </c>
      <c r="Y1796" s="3">
        <f t="shared" ref="Y1796:Y1859" si="492">N(Y1795)+$X1796</f>
        <v>0</v>
      </c>
      <c r="Z1796" s="3">
        <f>IF(AND($M1796=1,对接源_02物料!$D596="原料入库"),1,0)</f>
        <v>0</v>
      </c>
      <c r="AA1796" s="3">
        <f t="shared" ref="AA1796:AA1859" si="493">N(AA1795)+$Z1796</f>
        <v>24</v>
      </c>
      <c r="AB1796" s="3">
        <f>IF(AND($M1796=1,LEFT(对接源_02物料!$D596,4)="原料出库"),1,0)</f>
        <v>0</v>
      </c>
      <c r="AC1796" s="3">
        <f t="shared" ref="AC1796:AC1859" si="494">N(AC1795)+$AB1796</f>
        <v>0</v>
      </c>
      <c r="AD1796" s="3">
        <f>IF(AND($M1796=1,LEFT(对接源_02物料!$D596,4)="成品出库"),1,0)</f>
        <v>0</v>
      </c>
      <c r="AE1796" s="3">
        <f t="shared" ref="AE1796:AE1859" si="495">N(AE1795)+$AD1796</f>
        <v>0</v>
      </c>
      <c r="AF1796" s="3">
        <f>IF(AND($N1796=1,AND(LEFT(对接源_02物料!$D596,4)="包装物料",N(对接源_02物料!$K596)&lt;&gt;0)),1,0)</f>
        <v>0</v>
      </c>
      <c r="AG1796" s="3">
        <f t="shared" ref="AG1796:AG1859" si="496">N(AG1795)+$AF1796</f>
        <v>5</v>
      </c>
      <c r="AH1796" s="3">
        <f>IF(AND($N1796=1,AND(对接源_02物料!$D596="周转筐－销售出库",N(对接源_02物料!$K596)&lt;&gt;0)),1,0)</f>
        <v>0</v>
      </c>
      <c r="AI1796" s="3">
        <f t="shared" ref="AI1796:AI1859" si="497">N(AI1795)+$AH1796</f>
        <v>0</v>
      </c>
      <c r="AL1796" s="3">
        <v>0</v>
      </c>
      <c r="AM1796" s="3">
        <f t="shared" ref="AM1796:AM1859" si="498">N(AM1795)+$AL1796</f>
        <v>1</v>
      </c>
      <c r="AN1796" s="3" t="str">
        <f t="shared" si="485"/>
        <v/>
      </c>
      <c r="AO1796" s="3">
        <v>0</v>
      </c>
      <c r="AP1796" s="3">
        <f t="shared" ref="AP1796:AP1859" si="499">N(AP1795)+$AO1796</f>
        <v>8</v>
      </c>
      <c r="AR1796">
        <f t="shared" ref="AR1796:AR1859" si="500">IF(OR($AF1796=1,$AH1796=1),1,0)</f>
        <v>0</v>
      </c>
      <c r="AS1796">
        <f t="shared" ref="AS1796:AS1859" si="501">N(AS1795)+$AR1796</f>
        <v>5</v>
      </c>
    </row>
    <row r="1797" customHeight="1" spans="1:45">
      <c r="A1797" s="3" t="str">
        <f>IF(对接源_02物料!$C597="","",对接源_02物料!$C597)</f>
        <v/>
      </c>
      <c r="B1797" s="3">
        <f t="shared" si="486"/>
        <v>0</v>
      </c>
      <c r="C1797" s="3">
        <f t="shared" si="487"/>
        <v>21</v>
      </c>
      <c r="K1797" s="3">
        <f>IF(OR($K$1="",对接源_02物料!$C597="",对接源_02物料!$C597&lt;&gt;$K$1,对接源_02物料!$B597=""),0,IF(OR(N(对接源_02物料!$B597)&lt;$K$2,N(对接源_02物料!$B597)&gt;$K$3),0,1))</f>
        <v>0</v>
      </c>
      <c r="L1797" s="3">
        <f>IF(OR($L$1="",对接源_02物料!$C597="",对接源_02物料!$C597&lt;&gt;$L$1,对接源_02物料!$B597=""),0,IF(OR(N(对接源_02物料!$B597)&lt;$L$2,N(对接源_02物料!$B597)&gt;$L$3),0,1))</f>
        <v>0</v>
      </c>
      <c r="M1797" s="3">
        <f>IF(OR($M$1="",对接源_02物料!$C597="",对接源_02物料!$C597&lt;&gt;$M$1,对接源_02物料!$B597=""),0,IF(OR(N(对接源_02物料!$B597)&lt;$M$2,N(对接源_02物料!$B597)&gt;$M$3),0,1))</f>
        <v>0</v>
      </c>
      <c r="N1797" s="3">
        <f>IF(OR($N$1="",对接源_02物料!$C597="",对接源_02物料!$C597&lt;&gt;$N$1,对接源_02物料!$B597=""),0,IF(OR(N(对接源_02物料!$B597)&lt;$N$2,N(对接源_02物料!$B597)&gt;$N$3),0,1))</f>
        <v>0</v>
      </c>
      <c r="P1797" s="3">
        <f>IF(AND($K1797=1,AND(对接源_02物料!$X597="公司筐",N(对接源_02物料!$T597)&lt;&gt;0)),1,0)</f>
        <v>0</v>
      </c>
      <c r="Q1797" s="3">
        <f t="shared" si="488"/>
        <v>8</v>
      </c>
      <c r="R1797" s="3">
        <f>IF(AND($K1797=1,AND(对接源_02物料!$X597="公司筐",N(对接源_02物料!$U597)&lt;&gt;0)),1,0)</f>
        <v>0</v>
      </c>
      <c r="S1797" s="3">
        <f t="shared" si="489"/>
        <v>0</v>
      </c>
      <c r="T1797" s="3">
        <f>IF(AND($K1797=1,AND(对接源_02物料!$X597="公司筐",N(对接源_02物料!$V597)&lt;&gt;0)),1,0)</f>
        <v>0</v>
      </c>
      <c r="U1797" s="3">
        <f t="shared" si="490"/>
        <v>19</v>
      </c>
      <c r="V1797" s="3">
        <f>IF(AND($L1797=1,AND(对接源_02物料!$X597="自备筐",N(对接源_02物料!$V597)&lt;&gt;0)),1,0)</f>
        <v>0</v>
      </c>
      <c r="W1797" s="3">
        <f t="shared" si="491"/>
        <v>8</v>
      </c>
      <c r="X1797" s="3">
        <f>IF(AND($L1797=1,AND(对接源_02物料!$X597="自备筐",N(对接源_02物料!$T597)&lt;&gt;0)),1,0)</f>
        <v>0</v>
      </c>
      <c r="Y1797" s="3">
        <f t="shared" si="492"/>
        <v>0</v>
      </c>
      <c r="Z1797" s="3">
        <f>IF(AND($M1797=1,对接源_02物料!$D597="原料入库"),1,0)</f>
        <v>0</v>
      </c>
      <c r="AA1797" s="3">
        <f t="shared" si="493"/>
        <v>24</v>
      </c>
      <c r="AB1797" s="3">
        <f>IF(AND($M1797=1,LEFT(对接源_02物料!$D597,4)="原料出库"),1,0)</f>
        <v>0</v>
      </c>
      <c r="AC1797" s="3">
        <f t="shared" si="494"/>
        <v>0</v>
      </c>
      <c r="AD1797" s="3">
        <f>IF(AND($M1797=1,LEFT(对接源_02物料!$D597,4)="成品出库"),1,0)</f>
        <v>0</v>
      </c>
      <c r="AE1797" s="3">
        <f t="shared" si="495"/>
        <v>0</v>
      </c>
      <c r="AF1797" s="3">
        <f>IF(AND($N1797=1,AND(LEFT(对接源_02物料!$D597,4)="包装物料",N(对接源_02物料!$K597)&lt;&gt;0)),1,0)</f>
        <v>0</v>
      </c>
      <c r="AG1797" s="3">
        <f t="shared" si="496"/>
        <v>5</v>
      </c>
      <c r="AH1797" s="3">
        <f>IF(AND($N1797=1,AND(对接源_02物料!$D597="周转筐－销售出库",N(对接源_02物料!$K597)&lt;&gt;0)),1,0)</f>
        <v>0</v>
      </c>
      <c r="AI1797" s="3">
        <f t="shared" si="497"/>
        <v>0</v>
      </c>
      <c r="AL1797" s="3">
        <v>0</v>
      </c>
      <c r="AM1797" s="3">
        <f t="shared" si="498"/>
        <v>1</v>
      </c>
      <c r="AN1797" s="3" t="str">
        <f t="shared" si="485"/>
        <v/>
      </c>
      <c r="AO1797" s="3">
        <v>0</v>
      </c>
      <c r="AP1797" s="3">
        <f t="shared" si="499"/>
        <v>8</v>
      </c>
      <c r="AR1797">
        <f t="shared" si="500"/>
        <v>0</v>
      </c>
      <c r="AS1797">
        <f t="shared" si="501"/>
        <v>5</v>
      </c>
    </row>
    <row r="1798" customHeight="1" spans="1:45">
      <c r="A1798" s="3" t="str">
        <f>IF(对接源_02物料!$C598="","",对接源_02物料!$C598)</f>
        <v/>
      </c>
      <c r="B1798" s="3">
        <f t="shared" si="486"/>
        <v>0</v>
      </c>
      <c r="C1798" s="3">
        <f t="shared" si="487"/>
        <v>21</v>
      </c>
      <c r="K1798" s="3">
        <f>IF(OR($K$1="",对接源_02物料!$C598="",对接源_02物料!$C598&lt;&gt;$K$1,对接源_02物料!$B598=""),0,IF(OR(N(对接源_02物料!$B598)&lt;$K$2,N(对接源_02物料!$B598)&gt;$K$3),0,1))</f>
        <v>0</v>
      </c>
      <c r="L1798" s="3">
        <f>IF(OR($L$1="",对接源_02物料!$C598="",对接源_02物料!$C598&lt;&gt;$L$1,对接源_02物料!$B598=""),0,IF(OR(N(对接源_02物料!$B598)&lt;$L$2,N(对接源_02物料!$B598)&gt;$L$3),0,1))</f>
        <v>0</v>
      </c>
      <c r="M1798" s="3">
        <f>IF(OR($M$1="",对接源_02物料!$C598="",对接源_02物料!$C598&lt;&gt;$M$1,对接源_02物料!$B598=""),0,IF(OR(N(对接源_02物料!$B598)&lt;$M$2,N(对接源_02物料!$B598)&gt;$M$3),0,1))</f>
        <v>0</v>
      </c>
      <c r="N1798" s="3">
        <f>IF(OR($N$1="",对接源_02物料!$C598="",对接源_02物料!$C598&lt;&gt;$N$1,对接源_02物料!$B598=""),0,IF(OR(N(对接源_02物料!$B598)&lt;$N$2,N(对接源_02物料!$B598)&gt;$N$3),0,1))</f>
        <v>0</v>
      </c>
      <c r="P1798" s="3">
        <f>IF(AND($K1798=1,AND(对接源_02物料!$X598="公司筐",N(对接源_02物料!$T598)&lt;&gt;0)),1,0)</f>
        <v>0</v>
      </c>
      <c r="Q1798" s="3">
        <f t="shared" si="488"/>
        <v>8</v>
      </c>
      <c r="R1798" s="3">
        <f>IF(AND($K1798=1,AND(对接源_02物料!$X598="公司筐",N(对接源_02物料!$U598)&lt;&gt;0)),1,0)</f>
        <v>0</v>
      </c>
      <c r="S1798" s="3">
        <f t="shared" si="489"/>
        <v>0</v>
      </c>
      <c r="T1798" s="3">
        <f>IF(AND($K1798=1,AND(对接源_02物料!$X598="公司筐",N(对接源_02物料!$V598)&lt;&gt;0)),1,0)</f>
        <v>0</v>
      </c>
      <c r="U1798" s="3">
        <f t="shared" si="490"/>
        <v>19</v>
      </c>
      <c r="V1798" s="3">
        <f>IF(AND($L1798=1,AND(对接源_02物料!$X598="自备筐",N(对接源_02物料!$V598)&lt;&gt;0)),1,0)</f>
        <v>0</v>
      </c>
      <c r="W1798" s="3">
        <f t="shared" si="491"/>
        <v>8</v>
      </c>
      <c r="X1798" s="3">
        <f>IF(AND($L1798=1,AND(对接源_02物料!$X598="自备筐",N(对接源_02物料!$T598)&lt;&gt;0)),1,0)</f>
        <v>0</v>
      </c>
      <c r="Y1798" s="3">
        <f t="shared" si="492"/>
        <v>0</v>
      </c>
      <c r="Z1798" s="3">
        <f>IF(AND($M1798=1,对接源_02物料!$D598="原料入库"),1,0)</f>
        <v>0</v>
      </c>
      <c r="AA1798" s="3">
        <f t="shared" si="493"/>
        <v>24</v>
      </c>
      <c r="AB1798" s="3">
        <f>IF(AND($M1798=1,LEFT(对接源_02物料!$D598,4)="原料出库"),1,0)</f>
        <v>0</v>
      </c>
      <c r="AC1798" s="3">
        <f t="shared" si="494"/>
        <v>0</v>
      </c>
      <c r="AD1798" s="3">
        <f>IF(AND($M1798=1,LEFT(对接源_02物料!$D598,4)="成品出库"),1,0)</f>
        <v>0</v>
      </c>
      <c r="AE1798" s="3">
        <f t="shared" si="495"/>
        <v>0</v>
      </c>
      <c r="AF1798" s="3">
        <f>IF(AND($N1798=1,AND(LEFT(对接源_02物料!$D598,4)="包装物料",N(对接源_02物料!$K598)&lt;&gt;0)),1,0)</f>
        <v>0</v>
      </c>
      <c r="AG1798" s="3">
        <f t="shared" si="496"/>
        <v>5</v>
      </c>
      <c r="AH1798" s="3">
        <f>IF(AND($N1798=1,AND(对接源_02物料!$D598="周转筐－销售出库",N(对接源_02物料!$K598)&lt;&gt;0)),1,0)</f>
        <v>0</v>
      </c>
      <c r="AI1798" s="3">
        <f t="shared" si="497"/>
        <v>0</v>
      </c>
      <c r="AL1798" s="3">
        <v>0</v>
      </c>
      <c r="AM1798" s="3">
        <f t="shared" si="498"/>
        <v>1</v>
      </c>
      <c r="AN1798" s="3" t="str">
        <f t="shared" si="485"/>
        <v/>
      </c>
      <c r="AO1798" s="3">
        <v>0</v>
      </c>
      <c r="AP1798" s="3">
        <f t="shared" si="499"/>
        <v>8</v>
      </c>
      <c r="AR1798">
        <f t="shared" si="500"/>
        <v>0</v>
      </c>
      <c r="AS1798">
        <f t="shared" si="501"/>
        <v>5</v>
      </c>
    </row>
    <row r="1799" customHeight="1" spans="1:45">
      <c r="A1799" s="3" t="str">
        <f>IF(对接源_02物料!$C599="","",对接源_02物料!$C599)</f>
        <v/>
      </c>
      <c r="B1799" s="3">
        <f t="shared" si="486"/>
        <v>0</v>
      </c>
      <c r="C1799" s="3">
        <f t="shared" si="487"/>
        <v>21</v>
      </c>
      <c r="K1799" s="3">
        <f>IF(OR($K$1="",对接源_02物料!$C599="",对接源_02物料!$C599&lt;&gt;$K$1,对接源_02物料!$B599=""),0,IF(OR(N(对接源_02物料!$B599)&lt;$K$2,N(对接源_02物料!$B599)&gt;$K$3),0,1))</f>
        <v>0</v>
      </c>
      <c r="L1799" s="3">
        <f>IF(OR($L$1="",对接源_02物料!$C599="",对接源_02物料!$C599&lt;&gt;$L$1,对接源_02物料!$B599=""),0,IF(OR(N(对接源_02物料!$B599)&lt;$L$2,N(对接源_02物料!$B599)&gt;$L$3),0,1))</f>
        <v>0</v>
      </c>
      <c r="M1799" s="3">
        <f>IF(OR($M$1="",对接源_02物料!$C599="",对接源_02物料!$C599&lt;&gt;$M$1,对接源_02物料!$B599=""),0,IF(OR(N(对接源_02物料!$B599)&lt;$M$2,N(对接源_02物料!$B599)&gt;$M$3),0,1))</f>
        <v>0</v>
      </c>
      <c r="N1799" s="3">
        <f>IF(OR($N$1="",对接源_02物料!$C599="",对接源_02物料!$C599&lt;&gt;$N$1,对接源_02物料!$B599=""),0,IF(OR(N(对接源_02物料!$B599)&lt;$N$2,N(对接源_02物料!$B599)&gt;$N$3),0,1))</f>
        <v>0</v>
      </c>
      <c r="P1799" s="3">
        <f>IF(AND($K1799=1,AND(对接源_02物料!$X599="公司筐",N(对接源_02物料!$T599)&lt;&gt;0)),1,0)</f>
        <v>0</v>
      </c>
      <c r="Q1799" s="3">
        <f t="shared" si="488"/>
        <v>8</v>
      </c>
      <c r="R1799" s="3">
        <f>IF(AND($K1799=1,AND(对接源_02物料!$X599="公司筐",N(对接源_02物料!$U599)&lt;&gt;0)),1,0)</f>
        <v>0</v>
      </c>
      <c r="S1799" s="3">
        <f t="shared" si="489"/>
        <v>0</v>
      </c>
      <c r="T1799" s="3">
        <f>IF(AND($K1799=1,AND(对接源_02物料!$X599="公司筐",N(对接源_02物料!$V599)&lt;&gt;0)),1,0)</f>
        <v>0</v>
      </c>
      <c r="U1799" s="3">
        <f t="shared" si="490"/>
        <v>19</v>
      </c>
      <c r="V1799" s="3">
        <f>IF(AND($L1799=1,AND(对接源_02物料!$X599="自备筐",N(对接源_02物料!$V599)&lt;&gt;0)),1,0)</f>
        <v>0</v>
      </c>
      <c r="W1799" s="3">
        <f t="shared" si="491"/>
        <v>8</v>
      </c>
      <c r="X1799" s="3">
        <f>IF(AND($L1799=1,AND(对接源_02物料!$X599="自备筐",N(对接源_02物料!$T599)&lt;&gt;0)),1,0)</f>
        <v>0</v>
      </c>
      <c r="Y1799" s="3">
        <f t="shared" si="492"/>
        <v>0</v>
      </c>
      <c r="Z1799" s="3">
        <f>IF(AND($M1799=1,对接源_02物料!$D599="原料入库"),1,0)</f>
        <v>0</v>
      </c>
      <c r="AA1799" s="3">
        <f t="shared" si="493"/>
        <v>24</v>
      </c>
      <c r="AB1799" s="3">
        <f>IF(AND($M1799=1,LEFT(对接源_02物料!$D599,4)="原料出库"),1,0)</f>
        <v>0</v>
      </c>
      <c r="AC1799" s="3">
        <f t="shared" si="494"/>
        <v>0</v>
      </c>
      <c r="AD1799" s="3">
        <f>IF(AND($M1799=1,LEFT(对接源_02物料!$D599,4)="成品出库"),1,0)</f>
        <v>0</v>
      </c>
      <c r="AE1799" s="3">
        <f t="shared" si="495"/>
        <v>0</v>
      </c>
      <c r="AF1799" s="3">
        <f>IF(AND($N1799=1,AND(LEFT(对接源_02物料!$D599,4)="包装物料",N(对接源_02物料!$K599)&lt;&gt;0)),1,0)</f>
        <v>0</v>
      </c>
      <c r="AG1799" s="3">
        <f t="shared" si="496"/>
        <v>5</v>
      </c>
      <c r="AH1799" s="3">
        <f>IF(AND($N1799=1,AND(对接源_02物料!$D599="周转筐－销售出库",N(对接源_02物料!$K599)&lt;&gt;0)),1,0)</f>
        <v>0</v>
      </c>
      <c r="AI1799" s="3">
        <f t="shared" si="497"/>
        <v>0</v>
      </c>
      <c r="AL1799" s="3">
        <v>0</v>
      </c>
      <c r="AM1799" s="3">
        <f t="shared" si="498"/>
        <v>1</v>
      </c>
      <c r="AN1799" s="3" t="str">
        <f t="shared" si="485"/>
        <v/>
      </c>
      <c r="AO1799" s="3">
        <v>0</v>
      </c>
      <c r="AP1799" s="3">
        <f t="shared" si="499"/>
        <v>8</v>
      </c>
      <c r="AR1799">
        <f t="shared" si="500"/>
        <v>0</v>
      </c>
      <c r="AS1799">
        <f t="shared" si="501"/>
        <v>5</v>
      </c>
    </row>
    <row r="1800" customHeight="1" spans="1:45">
      <c r="A1800" s="3" t="str">
        <f>IF(对接源_02物料!$C600="","",对接源_02物料!$C600)</f>
        <v/>
      </c>
      <c r="B1800" s="3">
        <f t="shared" si="486"/>
        <v>0</v>
      </c>
      <c r="C1800" s="3">
        <f t="shared" si="487"/>
        <v>21</v>
      </c>
      <c r="K1800" s="3">
        <f>IF(OR($K$1="",对接源_02物料!$C600="",对接源_02物料!$C600&lt;&gt;$K$1,对接源_02物料!$B600=""),0,IF(OR(N(对接源_02物料!$B600)&lt;$K$2,N(对接源_02物料!$B600)&gt;$K$3),0,1))</f>
        <v>0</v>
      </c>
      <c r="L1800" s="3">
        <f>IF(OR($L$1="",对接源_02物料!$C600="",对接源_02物料!$C600&lt;&gt;$L$1,对接源_02物料!$B600=""),0,IF(OR(N(对接源_02物料!$B600)&lt;$L$2,N(对接源_02物料!$B600)&gt;$L$3),0,1))</f>
        <v>0</v>
      </c>
      <c r="M1800" s="3">
        <f>IF(OR($M$1="",对接源_02物料!$C600="",对接源_02物料!$C600&lt;&gt;$M$1,对接源_02物料!$B600=""),0,IF(OR(N(对接源_02物料!$B600)&lt;$M$2,N(对接源_02物料!$B600)&gt;$M$3),0,1))</f>
        <v>0</v>
      </c>
      <c r="N1800" s="3">
        <f>IF(OR($N$1="",对接源_02物料!$C600="",对接源_02物料!$C600&lt;&gt;$N$1,对接源_02物料!$B600=""),0,IF(OR(N(对接源_02物料!$B600)&lt;$N$2,N(对接源_02物料!$B600)&gt;$N$3),0,1))</f>
        <v>0</v>
      </c>
      <c r="P1800" s="3">
        <f>IF(AND($K1800=1,AND(对接源_02物料!$X600="公司筐",N(对接源_02物料!$T600)&lt;&gt;0)),1,0)</f>
        <v>0</v>
      </c>
      <c r="Q1800" s="3">
        <f t="shared" si="488"/>
        <v>8</v>
      </c>
      <c r="R1800" s="3">
        <f>IF(AND($K1800=1,AND(对接源_02物料!$X600="公司筐",N(对接源_02物料!$U600)&lt;&gt;0)),1,0)</f>
        <v>0</v>
      </c>
      <c r="S1800" s="3">
        <f t="shared" si="489"/>
        <v>0</v>
      </c>
      <c r="T1800" s="3">
        <f>IF(AND($K1800=1,AND(对接源_02物料!$X600="公司筐",N(对接源_02物料!$V600)&lt;&gt;0)),1,0)</f>
        <v>0</v>
      </c>
      <c r="U1800" s="3">
        <f t="shared" si="490"/>
        <v>19</v>
      </c>
      <c r="V1800" s="3">
        <f>IF(AND($L1800=1,AND(对接源_02物料!$X600="自备筐",N(对接源_02物料!$V600)&lt;&gt;0)),1,0)</f>
        <v>0</v>
      </c>
      <c r="W1800" s="3">
        <f t="shared" si="491"/>
        <v>8</v>
      </c>
      <c r="X1800" s="3">
        <f>IF(AND($L1800=1,AND(对接源_02物料!$X600="自备筐",N(对接源_02物料!$T600)&lt;&gt;0)),1,0)</f>
        <v>0</v>
      </c>
      <c r="Y1800" s="3">
        <f t="shared" si="492"/>
        <v>0</v>
      </c>
      <c r="Z1800" s="3">
        <f>IF(AND($M1800=1,对接源_02物料!$D600="原料入库"),1,0)</f>
        <v>0</v>
      </c>
      <c r="AA1800" s="3">
        <f t="shared" si="493"/>
        <v>24</v>
      </c>
      <c r="AB1800" s="3">
        <f>IF(AND($M1800=1,LEFT(对接源_02物料!$D600,4)="原料出库"),1,0)</f>
        <v>0</v>
      </c>
      <c r="AC1800" s="3">
        <f t="shared" si="494"/>
        <v>0</v>
      </c>
      <c r="AD1800" s="3">
        <f>IF(AND($M1800=1,LEFT(对接源_02物料!$D600,4)="成品出库"),1,0)</f>
        <v>0</v>
      </c>
      <c r="AE1800" s="3">
        <f t="shared" si="495"/>
        <v>0</v>
      </c>
      <c r="AF1800" s="3">
        <f>IF(AND($N1800=1,AND(LEFT(对接源_02物料!$D600,4)="包装物料",N(对接源_02物料!$K600)&lt;&gt;0)),1,0)</f>
        <v>0</v>
      </c>
      <c r="AG1800" s="3">
        <f t="shared" si="496"/>
        <v>5</v>
      </c>
      <c r="AH1800" s="3">
        <f>IF(AND($N1800=1,AND(对接源_02物料!$D600="周转筐－销售出库",N(对接源_02物料!$K600)&lt;&gt;0)),1,0)</f>
        <v>0</v>
      </c>
      <c r="AI1800" s="3">
        <f t="shared" si="497"/>
        <v>0</v>
      </c>
      <c r="AL1800" s="3">
        <v>0</v>
      </c>
      <c r="AM1800" s="3">
        <f t="shared" si="498"/>
        <v>1</v>
      </c>
      <c r="AN1800" s="3" t="str">
        <f t="shared" si="485"/>
        <v/>
      </c>
      <c r="AO1800" s="3">
        <v>0</v>
      </c>
      <c r="AP1800" s="3">
        <f t="shared" si="499"/>
        <v>8</v>
      </c>
      <c r="AR1800">
        <f t="shared" si="500"/>
        <v>0</v>
      </c>
      <c r="AS1800">
        <f t="shared" si="501"/>
        <v>5</v>
      </c>
    </row>
    <row r="1801" customHeight="1" spans="1:45">
      <c r="A1801" s="3" t="str">
        <f>IF(对接源_02物料!$C601="","",对接源_02物料!$C601)</f>
        <v/>
      </c>
      <c r="B1801" s="3">
        <f t="shared" si="486"/>
        <v>0</v>
      </c>
      <c r="C1801" s="3">
        <f t="shared" si="487"/>
        <v>21</v>
      </c>
      <c r="K1801" s="3">
        <f>IF(OR($K$1="",对接源_02物料!$C601="",对接源_02物料!$C601&lt;&gt;$K$1,对接源_02物料!$B601=""),0,IF(OR(N(对接源_02物料!$B601)&lt;$K$2,N(对接源_02物料!$B601)&gt;$K$3),0,1))</f>
        <v>0</v>
      </c>
      <c r="L1801" s="3">
        <f>IF(OR($L$1="",对接源_02物料!$C601="",对接源_02物料!$C601&lt;&gt;$L$1,对接源_02物料!$B601=""),0,IF(OR(N(对接源_02物料!$B601)&lt;$L$2,N(对接源_02物料!$B601)&gt;$L$3),0,1))</f>
        <v>0</v>
      </c>
      <c r="M1801" s="3">
        <f>IF(OR($M$1="",对接源_02物料!$C601="",对接源_02物料!$C601&lt;&gt;$M$1,对接源_02物料!$B601=""),0,IF(OR(N(对接源_02物料!$B601)&lt;$M$2,N(对接源_02物料!$B601)&gt;$M$3),0,1))</f>
        <v>0</v>
      </c>
      <c r="N1801" s="3">
        <f>IF(OR($N$1="",对接源_02物料!$C601="",对接源_02物料!$C601&lt;&gt;$N$1,对接源_02物料!$B601=""),0,IF(OR(N(对接源_02物料!$B601)&lt;$N$2,N(对接源_02物料!$B601)&gt;$N$3),0,1))</f>
        <v>0</v>
      </c>
      <c r="P1801" s="3">
        <f>IF(AND($K1801=1,AND(对接源_02物料!$X601="公司筐",N(对接源_02物料!$T601)&lt;&gt;0)),1,0)</f>
        <v>0</v>
      </c>
      <c r="Q1801" s="3">
        <f t="shared" si="488"/>
        <v>8</v>
      </c>
      <c r="R1801" s="3">
        <f>IF(AND($K1801=1,AND(对接源_02物料!$X601="公司筐",N(对接源_02物料!$U601)&lt;&gt;0)),1,0)</f>
        <v>0</v>
      </c>
      <c r="S1801" s="3">
        <f t="shared" si="489"/>
        <v>0</v>
      </c>
      <c r="T1801" s="3">
        <f>IF(AND($K1801=1,AND(对接源_02物料!$X601="公司筐",N(对接源_02物料!$V601)&lt;&gt;0)),1,0)</f>
        <v>0</v>
      </c>
      <c r="U1801" s="3">
        <f t="shared" si="490"/>
        <v>19</v>
      </c>
      <c r="V1801" s="3">
        <f>IF(AND($L1801=1,AND(对接源_02物料!$X601="自备筐",N(对接源_02物料!$V601)&lt;&gt;0)),1,0)</f>
        <v>0</v>
      </c>
      <c r="W1801" s="3">
        <f t="shared" si="491"/>
        <v>8</v>
      </c>
      <c r="X1801" s="3">
        <f>IF(AND($L1801=1,AND(对接源_02物料!$X601="自备筐",N(对接源_02物料!$T601)&lt;&gt;0)),1,0)</f>
        <v>0</v>
      </c>
      <c r="Y1801" s="3">
        <f t="shared" si="492"/>
        <v>0</v>
      </c>
      <c r="Z1801" s="3">
        <f>IF(AND($M1801=1,对接源_02物料!$D601="原料入库"),1,0)</f>
        <v>0</v>
      </c>
      <c r="AA1801" s="3">
        <f t="shared" si="493"/>
        <v>24</v>
      </c>
      <c r="AB1801" s="3">
        <f>IF(AND($M1801=1,LEFT(对接源_02物料!$D601,4)="原料出库"),1,0)</f>
        <v>0</v>
      </c>
      <c r="AC1801" s="3">
        <f t="shared" si="494"/>
        <v>0</v>
      </c>
      <c r="AD1801" s="3">
        <f>IF(AND($M1801=1,LEFT(对接源_02物料!$D601,4)="成品出库"),1,0)</f>
        <v>0</v>
      </c>
      <c r="AE1801" s="3">
        <f t="shared" si="495"/>
        <v>0</v>
      </c>
      <c r="AF1801" s="3">
        <f>IF(AND($N1801=1,AND(LEFT(对接源_02物料!$D601,4)="包装物料",N(对接源_02物料!$K601)&lt;&gt;0)),1,0)</f>
        <v>0</v>
      </c>
      <c r="AG1801" s="3">
        <f t="shared" si="496"/>
        <v>5</v>
      </c>
      <c r="AH1801" s="3">
        <f>IF(AND($N1801=1,AND(对接源_02物料!$D601="周转筐－销售出库",N(对接源_02物料!$K601)&lt;&gt;0)),1,0)</f>
        <v>0</v>
      </c>
      <c r="AI1801" s="3">
        <f t="shared" si="497"/>
        <v>0</v>
      </c>
      <c r="AL1801" s="3">
        <v>0</v>
      </c>
      <c r="AM1801" s="3">
        <f t="shared" si="498"/>
        <v>1</v>
      </c>
      <c r="AN1801" s="3" t="str">
        <f t="shared" si="485"/>
        <v/>
      </c>
      <c r="AO1801" s="3">
        <v>0</v>
      </c>
      <c r="AP1801" s="3">
        <f t="shared" si="499"/>
        <v>8</v>
      </c>
      <c r="AR1801">
        <f t="shared" si="500"/>
        <v>0</v>
      </c>
      <c r="AS1801">
        <f t="shared" si="501"/>
        <v>5</v>
      </c>
    </row>
    <row r="1802" customHeight="1" spans="1:45">
      <c r="A1802" s="3" t="str">
        <f>IF(对接源_02物料!$C602="","",对接源_02物料!$C602)</f>
        <v/>
      </c>
      <c r="B1802" s="3">
        <f t="shared" si="486"/>
        <v>0</v>
      </c>
      <c r="C1802" s="3">
        <f t="shared" si="487"/>
        <v>21</v>
      </c>
      <c r="K1802" s="3">
        <f>IF(OR($K$1="",对接源_02物料!$C602="",对接源_02物料!$C602&lt;&gt;$K$1,对接源_02物料!$B602=""),0,IF(OR(N(对接源_02物料!$B602)&lt;$K$2,N(对接源_02物料!$B602)&gt;$K$3),0,1))</f>
        <v>0</v>
      </c>
      <c r="L1802" s="3">
        <f>IF(OR($L$1="",对接源_02物料!$C602="",对接源_02物料!$C602&lt;&gt;$L$1,对接源_02物料!$B602=""),0,IF(OR(N(对接源_02物料!$B602)&lt;$L$2,N(对接源_02物料!$B602)&gt;$L$3),0,1))</f>
        <v>0</v>
      </c>
      <c r="M1802" s="3">
        <f>IF(OR($M$1="",对接源_02物料!$C602="",对接源_02物料!$C602&lt;&gt;$M$1,对接源_02物料!$B602=""),0,IF(OR(N(对接源_02物料!$B602)&lt;$M$2,N(对接源_02物料!$B602)&gt;$M$3),0,1))</f>
        <v>0</v>
      </c>
      <c r="N1802" s="3">
        <f>IF(OR($N$1="",对接源_02物料!$C602="",对接源_02物料!$C602&lt;&gt;$N$1,对接源_02物料!$B602=""),0,IF(OR(N(对接源_02物料!$B602)&lt;$N$2,N(对接源_02物料!$B602)&gt;$N$3),0,1))</f>
        <v>0</v>
      </c>
      <c r="P1802" s="3">
        <f>IF(AND($K1802=1,AND(对接源_02物料!$X602="公司筐",N(对接源_02物料!$T602)&lt;&gt;0)),1,0)</f>
        <v>0</v>
      </c>
      <c r="Q1802" s="3">
        <f t="shared" si="488"/>
        <v>8</v>
      </c>
      <c r="R1802" s="3">
        <f>IF(AND($K1802=1,AND(对接源_02物料!$X602="公司筐",N(对接源_02物料!$U602)&lt;&gt;0)),1,0)</f>
        <v>0</v>
      </c>
      <c r="S1802" s="3">
        <f t="shared" si="489"/>
        <v>0</v>
      </c>
      <c r="T1802" s="3">
        <f>IF(AND($K1802=1,AND(对接源_02物料!$X602="公司筐",N(对接源_02物料!$V602)&lt;&gt;0)),1,0)</f>
        <v>0</v>
      </c>
      <c r="U1802" s="3">
        <f t="shared" si="490"/>
        <v>19</v>
      </c>
      <c r="V1802" s="3">
        <f>IF(AND($L1802=1,AND(对接源_02物料!$X602="自备筐",N(对接源_02物料!$V602)&lt;&gt;0)),1,0)</f>
        <v>0</v>
      </c>
      <c r="W1802" s="3">
        <f t="shared" si="491"/>
        <v>8</v>
      </c>
      <c r="X1802" s="3">
        <f>IF(AND($L1802=1,AND(对接源_02物料!$X602="自备筐",N(对接源_02物料!$T602)&lt;&gt;0)),1,0)</f>
        <v>0</v>
      </c>
      <c r="Y1802" s="3">
        <f t="shared" si="492"/>
        <v>0</v>
      </c>
      <c r="Z1802" s="3">
        <f>IF(AND($M1802=1,对接源_02物料!$D602="原料入库"),1,0)</f>
        <v>0</v>
      </c>
      <c r="AA1802" s="3">
        <f t="shared" si="493"/>
        <v>24</v>
      </c>
      <c r="AB1802" s="3">
        <f>IF(AND($M1802=1,LEFT(对接源_02物料!$D602,4)="原料出库"),1,0)</f>
        <v>0</v>
      </c>
      <c r="AC1802" s="3">
        <f t="shared" si="494"/>
        <v>0</v>
      </c>
      <c r="AD1802" s="3">
        <f>IF(AND($M1802=1,LEFT(对接源_02物料!$D602,4)="成品出库"),1,0)</f>
        <v>0</v>
      </c>
      <c r="AE1802" s="3">
        <f t="shared" si="495"/>
        <v>0</v>
      </c>
      <c r="AF1802" s="3">
        <f>IF(AND($N1802=1,AND(LEFT(对接源_02物料!$D602,4)="包装物料",N(对接源_02物料!$K602)&lt;&gt;0)),1,0)</f>
        <v>0</v>
      </c>
      <c r="AG1802" s="3">
        <f t="shared" si="496"/>
        <v>5</v>
      </c>
      <c r="AH1802" s="3">
        <f>IF(AND($N1802=1,AND(对接源_02物料!$D602="周转筐－销售出库",N(对接源_02物料!$K602)&lt;&gt;0)),1,0)</f>
        <v>0</v>
      </c>
      <c r="AI1802" s="3">
        <f t="shared" si="497"/>
        <v>0</v>
      </c>
      <c r="AL1802" s="3">
        <v>0</v>
      </c>
      <c r="AM1802" s="3">
        <f t="shared" si="498"/>
        <v>1</v>
      </c>
      <c r="AN1802" s="3" t="str">
        <f t="shared" si="485"/>
        <v/>
      </c>
      <c r="AO1802" s="3">
        <v>0</v>
      </c>
      <c r="AP1802" s="3">
        <f t="shared" si="499"/>
        <v>8</v>
      </c>
      <c r="AR1802">
        <f t="shared" si="500"/>
        <v>0</v>
      </c>
      <c r="AS1802">
        <f t="shared" si="501"/>
        <v>5</v>
      </c>
    </row>
    <row r="1803" customHeight="1" spans="1:45">
      <c r="A1803" s="3" t="str">
        <f>IF(对接源_02物料!$C603="","",对接源_02物料!$C603)</f>
        <v/>
      </c>
      <c r="B1803" s="3">
        <f t="shared" si="486"/>
        <v>0</v>
      </c>
      <c r="C1803" s="3">
        <f t="shared" si="487"/>
        <v>21</v>
      </c>
      <c r="K1803" s="3">
        <f>IF(OR($K$1="",对接源_02物料!$C603="",对接源_02物料!$C603&lt;&gt;$K$1,对接源_02物料!$B603=""),0,IF(OR(N(对接源_02物料!$B603)&lt;$K$2,N(对接源_02物料!$B603)&gt;$K$3),0,1))</f>
        <v>0</v>
      </c>
      <c r="L1803" s="3">
        <f>IF(OR($L$1="",对接源_02物料!$C603="",对接源_02物料!$C603&lt;&gt;$L$1,对接源_02物料!$B603=""),0,IF(OR(N(对接源_02物料!$B603)&lt;$L$2,N(对接源_02物料!$B603)&gt;$L$3),0,1))</f>
        <v>0</v>
      </c>
      <c r="M1803" s="3">
        <f>IF(OR($M$1="",对接源_02物料!$C603="",对接源_02物料!$C603&lt;&gt;$M$1,对接源_02物料!$B603=""),0,IF(OR(N(对接源_02物料!$B603)&lt;$M$2,N(对接源_02物料!$B603)&gt;$M$3),0,1))</f>
        <v>0</v>
      </c>
      <c r="N1803" s="3">
        <f>IF(OR($N$1="",对接源_02物料!$C603="",对接源_02物料!$C603&lt;&gt;$N$1,对接源_02物料!$B603=""),0,IF(OR(N(对接源_02物料!$B603)&lt;$N$2,N(对接源_02物料!$B603)&gt;$N$3),0,1))</f>
        <v>0</v>
      </c>
      <c r="P1803" s="3">
        <f>IF(AND($K1803=1,AND(对接源_02物料!$X603="公司筐",N(对接源_02物料!$T603)&lt;&gt;0)),1,0)</f>
        <v>0</v>
      </c>
      <c r="Q1803" s="3">
        <f t="shared" si="488"/>
        <v>8</v>
      </c>
      <c r="R1803" s="3">
        <f>IF(AND($K1803=1,AND(对接源_02物料!$X603="公司筐",N(对接源_02物料!$U603)&lt;&gt;0)),1,0)</f>
        <v>0</v>
      </c>
      <c r="S1803" s="3">
        <f t="shared" si="489"/>
        <v>0</v>
      </c>
      <c r="T1803" s="3">
        <f>IF(AND($K1803=1,AND(对接源_02物料!$X603="公司筐",N(对接源_02物料!$V603)&lt;&gt;0)),1,0)</f>
        <v>0</v>
      </c>
      <c r="U1803" s="3">
        <f t="shared" si="490"/>
        <v>19</v>
      </c>
      <c r="V1803" s="3">
        <f>IF(AND($L1803=1,AND(对接源_02物料!$X603="自备筐",N(对接源_02物料!$V603)&lt;&gt;0)),1,0)</f>
        <v>0</v>
      </c>
      <c r="W1803" s="3">
        <f t="shared" si="491"/>
        <v>8</v>
      </c>
      <c r="X1803" s="3">
        <f>IF(AND($L1803=1,AND(对接源_02物料!$X603="自备筐",N(对接源_02物料!$T603)&lt;&gt;0)),1,0)</f>
        <v>0</v>
      </c>
      <c r="Y1803" s="3">
        <f t="shared" si="492"/>
        <v>0</v>
      </c>
      <c r="Z1803" s="3">
        <f>IF(AND($M1803=1,对接源_02物料!$D603="原料入库"),1,0)</f>
        <v>0</v>
      </c>
      <c r="AA1803" s="3">
        <f t="shared" si="493"/>
        <v>24</v>
      </c>
      <c r="AB1803" s="3">
        <f>IF(AND($M1803=1,LEFT(对接源_02物料!$D603,4)="原料出库"),1,0)</f>
        <v>0</v>
      </c>
      <c r="AC1803" s="3">
        <f t="shared" si="494"/>
        <v>0</v>
      </c>
      <c r="AD1803" s="3">
        <f>IF(AND($M1803=1,LEFT(对接源_02物料!$D603,4)="成品出库"),1,0)</f>
        <v>0</v>
      </c>
      <c r="AE1803" s="3">
        <f t="shared" si="495"/>
        <v>0</v>
      </c>
      <c r="AF1803" s="3">
        <f>IF(AND($N1803=1,AND(LEFT(对接源_02物料!$D603,4)="包装物料",N(对接源_02物料!$K603)&lt;&gt;0)),1,0)</f>
        <v>0</v>
      </c>
      <c r="AG1803" s="3">
        <f t="shared" si="496"/>
        <v>5</v>
      </c>
      <c r="AH1803" s="3">
        <f>IF(AND($N1803=1,AND(对接源_02物料!$D603="周转筐－销售出库",N(对接源_02物料!$K603)&lt;&gt;0)),1,0)</f>
        <v>0</v>
      </c>
      <c r="AI1803" s="3">
        <f t="shared" si="497"/>
        <v>0</v>
      </c>
      <c r="AL1803" s="3">
        <v>0</v>
      </c>
      <c r="AM1803" s="3">
        <f t="shared" si="498"/>
        <v>1</v>
      </c>
      <c r="AN1803" s="3" t="str">
        <f t="shared" si="485"/>
        <v/>
      </c>
      <c r="AO1803" s="3">
        <v>0</v>
      </c>
      <c r="AP1803" s="3">
        <f t="shared" si="499"/>
        <v>8</v>
      </c>
      <c r="AR1803">
        <f t="shared" si="500"/>
        <v>0</v>
      </c>
      <c r="AS1803">
        <f t="shared" si="501"/>
        <v>5</v>
      </c>
    </row>
    <row r="1804" customHeight="1" spans="1:45">
      <c r="A1804" s="3" t="str">
        <f>IF(对接源_02物料!$C604="","",对接源_02物料!$C604)</f>
        <v/>
      </c>
      <c r="B1804" s="3">
        <f t="shared" si="486"/>
        <v>0</v>
      </c>
      <c r="C1804" s="3">
        <f t="shared" si="487"/>
        <v>21</v>
      </c>
      <c r="K1804" s="3">
        <f>IF(OR($K$1="",对接源_02物料!$C604="",对接源_02物料!$C604&lt;&gt;$K$1,对接源_02物料!$B604=""),0,IF(OR(N(对接源_02物料!$B604)&lt;$K$2,N(对接源_02物料!$B604)&gt;$K$3),0,1))</f>
        <v>0</v>
      </c>
      <c r="L1804" s="3">
        <f>IF(OR($L$1="",对接源_02物料!$C604="",对接源_02物料!$C604&lt;&gt;$L$1,对接源_02物料!$B604=""),0,IF(OR(N(对接源_02物料!$B604)&lt;$L$2,N(对接源_02物料!$B604)&gt;$L$3),0,1))</f>
        <v>0</v>
      </c>
      <c r="M1804" s="3">
        <f>IF(OR($M$1="",对接源_02物料!$C604="",对接源_02物料!$C604&lt;&gt;$M$1,对接源_02物料!$B604=""),0,IF(OR(N(对接源_02物料!$B604)&lt;$M$2,N(对接源_02物料!$B604)&gt;$M$3),0,1))</f>
        <v>0</v>
      </c>
      <c r="N1804" s="3">
        <f>IF(OR($N$1="",对接源_02物料!$C604="",对接源_02物料!$C604&lt;&gt;$N$1,对接源_02物料!$B604=""),0,IF(OR(N(对接源_02物料!$B604)&lt;$N$2,N(对接源_02物料!$B604)&gt;$N$3),0,1))</f>
        <v>0</v>
      </c>
      <c r="P1804" s="3">
        <f>IF(AND($K1804=1,AND(对接源_02物料!$X604="公司筐",N(对接源_02物料!$T604)&lt;&gt;0)),1,0)</f>
        <v>0</v>
      </c>
      <c r="Q1804" s="3">
        <f t="shared" si="488"/>
        <v>8</v>
      </c>
      <c r="R1804" s="3">
        <f>IF(AND($K1804=1,AND(对接源_02物料!$X604="公司筐",N(对接源_02物料!$U604)&lt;&gt;0)),1,0)</f>
        <v>0</v>
      </c>
      <c r="S1804" s="3">
        <f t="shared" si="489"/>
        <v>0</v>
      </c>
      <c r="T1804" s="3">
        <f>IF(AND($K1804=1,AND(对接源_02物料!$X604="公司筐",N(对接源_02物料!$V604)&lt;&gt;0)),1,0)</f>
        <v>0</v>
      </c>
      <c r="U1804" s="3">
        <f t="shared" si="490"/>
        <v>19</v>
      </c>
      <c r="V1804" s="3">
        <f>IF(AND($L1804=1,AND(对接源_02物料!$X604="自备筐",N(对接源_02物料!$V604)&lt;&gt;0)),1,0)</f>
        <v>0</v>
      </c>
      <c r="W1804" s="3">
        <f t="shared" si="491"/>
        <v>8</v>
      </c>
      <c r="X1804" s="3">
        <f>IF(AND($L1804=1,AND(对接源_02物料!$X604="自备筐",N(对接源_02物料!$T604)&lt;&gt;0)),1,0)</f>
        <v>0</v>
      </c>
      <c r="Y1804" s="3">
        <f t="shared" si="492"/>
        <v>0</v>
      </c>
      <c r="Z1804" s="3">
        <f>IF(AND($M1804=1,对接源_02物料!$D604="原料入库"),1,0)</f>
        <v>0</v>
      </c>
      <c r="AA1804" s="3">
        <f t="shared" si="493"/>
        <v>24</v>
      </c>
      <c r="AB1804" s="3">
        <f>IF(AND($M1804=1,LEFT(对接源_02物料!$D604,4)="原料出库"),1,0)</f>
        <v>0</v>
      </c>
      <c r="AC1804" s="3">
        <f t="shared" si="494"/>
        <v>0</v>
      </c>
      <c r="AD1804" s="3">
        <f>IF(AND($M1804=1,LEFT(对接源_02物料!$D604,4)="成品出库"),1,0)</f>
        <v>0</v>
      </c>
      <c r="AE1804" s="3">
        <f t="shared" si="495"/>
        <v>0</v>
      </c>
      <c r="AF1804" s="3">
        <f>IF(AND($N1804=1,AND(LEFT(对接源_02物料!$D604,4)="包装物料",N(对接源_02物料!$K604)&lt;&gt;0)),1,0)</f>
        <v>0</v>
      </c>
      <c r="AG1804" s="3">
        <f t="shared" si="496"/>
        <v>5</v>
      </c>
      <c r="AH1804" s="3">
        <f>IF(AND($N1804=1,AND(对接源_02物料!$D604="周转筐－销售出库",N(对接源_02物料!$K604)&lt;&gt;0)),1,0)</f>
        <v>0</v>
      </c>
      <c r="AI1804" s="3">
        <f t="shared" si="497"/>
        <v>0</v>
      </c>
      <c r="AL1804" s="3">
        <v>0</v>
      </c>
      <c r="AM1804" s="3">
        <f t="shared" si="498"/>
        <v>1</v>
      </c>
      <c r="AN1804" s="3" t="str">
        <f t="shared" si="485"/>
        <v/>
      </c>
      <c r="AO1804" s="3">
        <v>0</v>
      </c>
      <c r="AP1804" s="3">
        <f t="shared" si="499"/>
        <v>8</v>
      </c>
      <c r="AR1804">
        <f t="shared" si="500"/>
        <v>0</v>
      </c>
      <c r="AS1804">
        <f t="shared" si="501"/>
        <v>5</v>
      </c>
    </row>
    <row r="1805" customHeight="1" spans="1:45">
      <c r="A1805" s="3" t="str">
        <f>IF(对接源_02物料!$C605="","",对接源_02物料!$C605)</f>
        <v/>
      </c>
      <c r="B1805" s="3">
        <f t="shared" si="486"/>
        <v>0</v>
      </c>
      <c r="C1805" s="3">
        <f t="shared" si="487"/>
        <v>21</v>
      </c>
      <c r="K1805" s="3">
        <f>IF(OR($K$1="",对接源_02物料!$C605="",对接源_02物料!$C605&lt;&gt;$K$1,对接源_02物料!$B605=""),0,IF(OR(N(对接源_02物料!$B605)&lt;$K$2,N(对接源_02物料!$B605)&gt;$K$3),0,1))</f>
        <v>0</v>
      </c>
      <c r="L1805" s="3">
        <f>IF(OR($L$1="",对接源_02物料!$C605="",对接源_02物料!$C605&lt;&gt;$L$1,对接源_02物料!$B605=""),0,IF(OR(N(对接源_02物料!$B605)&lt;$L$2,N(对接源_02物料!$B605)&gt;$L$3),0,1))</f>
        <v>0</v>
      </c>
      <c r="M1805" s="3">
        <f>IF(OR($M$1="",对接源_02物料!$C605="",对接源_02物料!$C605&lt;&gt;$M$1,对接源_02物料!$B605=""),0,IF(OR(N(对接源_02物料!$B605)&lt;$M$2,N(对接源_02物料!$B605)&gt;$M$3),0,1))</f>
        <v>0</v>
      </c>
      <c r="N1805" s="3">
        <f>IF(OR($N$1="",对接源_02物料!$C605="",对接源_02物料!$C605&lt;&gt;$N$1,对接源_02物料!$B605=""),0,IF(OR(N(对接源_02物料!$B605)&lt;$N$2,N(对接源_02物料!$B605)&gt;$N$3),0,1))</f>
        <v>0</v>
      </c>
      <c r="P1805" s="3">
        <f>IF(AND($K1805=1,AND(对接源_02物料!$X605="公司筐",N(对接源_02物料!$T605)&lt;&gt;0)),1,0)</f>
        <v>0</v>
      </c>
      <c r="Q1805" s="3">
        <f t="shared" si="488"/>
        <v>8</v>
      </c>
      <c r="R1805" s="3">
        <f>IF(AND($K1805=1,AND(对接源_02物料!$X605="公司筐",N(对接源_02物料!$U605)&lt;&gt;0)),1,0)</f>
        <v>0</v>
      </c>
      <c r="S1805" s="3">
        <f t="shared" si="489"/>
        <v>0</v>
      </c>
      <c r="T1805" s="3">
        <f>IF(AND($K1805=1,AND(对接源_02物料!$X605="公司筐",N(对接源_02物料!$V605)&lt;&gt;0)),1,0)</f>
        <v>0</v>
      </c>
      <c r="U1805" s="3">
        <f t="shared" si="490"/>
        <v>19</v>
      </c>
      <c r="V1805" s="3">
        <f>IF(AND($L1805=1,AND(对接源_02物料!$X605="自备筐",N(对接源_02物料!$V605)&lt;&gt;0)),1,0)</f>
        <v>0</v>
      </c>
      <c r="W1805" s="3">
        <f t="shared" si="491"/>
        <v>8</v>
      </c>
      <c r="X1805" s="3">
        <f>IF(AND($L1805=1,AND(对接源_02物料!$X605="自备筐",N(对接源_02物料!$T605)&lt;&gt;0)),1,0)</f>
        <v>0</v>
      </c>
      <c r="Y1805" s="3">
        <f t="shared" si="492"/>
        <v>0</v>
      </c>
      <c r="Z1805" s="3">
        <f>IF(AND($M1805=1,对接源_02物料!$D605="原料入库"),1,0)</f>
        <v>0</v>
      </c>
      <c r="AA1805" s="3">
        <f t="shared" si="493"/>
        <v>24</v>
      </c>
      <c r="AB1805" s="3">
        <f>IF(AND($M1805=1,LEFT(对接源_02物料!$D605,4)="原料出库"),1,0)</f>
        <v>0</v>
      </c>
      <c r="AC1805" s="3">
        <f t="shared" si="494"/>
        <v>0</v>
      </c>
      <c r="AD1805" s="3">
        <f>IF(AND($M1805=1,LEFT(对接源_02物料!$D605,4)="成品出库"),1,0)</f>
        <v>0</v>
      </c>
      <c r="AE1805" s="3">
        <f t="shared" si="495"/>
        <v>0</v>
      </c>
      <c r="AF1805" s="3">
        <f>IF(AND($N1805=1,AND(LEFT(对接源_02物料!$D605,4)="包装物料",N(对接源_02物料!$K605)&lt;&gt;0)),1,0)</f>
        <v>0</v>
      </c>
      <c r="AG1805" s="3">
        <f t="shared" si="496"/>
        <v>5</v>
      </c>
      <c r="AH1805" s="3">
        <f>IF(AND($N1805=1,AND(对接源_02物料!$D605="周转筐－销售出库",N(对接源_02物料!$K605)&lt;&gt;0)),1,0)</f>
        <v>0</v>
      </c>
      <c r="AI1805" s="3">
        <f t="shared" si="497"/>
        <v>0</v>
      </c>
      <c r="AL1805" s="3">
        <v>0</v>
      </c>
      <c r="AM1805" s="3">
        <f t="shared" si="498"/>
        <v>1</v>
      </c>
      <c r="AN1805" s="3" t="str">
        <f t="shared" si="485"/>
        <v/>
      </c>
      <c r="AO1805" s="3">
        <v>0</v>
      </c>
      <c r="AP1805" s="3">
        <f t="shared" si="499"/>
        <v>8</v>
      </c>
      <c r="AR1805">
        <f t="shared" si="500"/>
        <v>0</v>
      </c>
      <c r="AS1805">
        <f t="shared" si="501"/>
        <v>5</v>
      </c>
    </row>
    <row r="1806" customHeight="1" spans="1:45">
      <c r="A1806" s="3" t="str">
        <f>IF(对接源_02物料!$C606="","",对接源_02物料!$C606)</f>
        <v/>
      </c>
      <c r="B1806" s="3">
        <f t="shared" si="486"/>
        <v>0</v>
      </c>
      <c r="C1806" s="3">
        <f t="shared" si="487"/>
        <v>21</v>
      </c>
      <c r="K1806" s="3">
        <f>IF(OR($K$1="",对接源_02物料!$C606="",对接源_02物料!$C606&lt;&gt;$K$1,对接源_02物料!$B606=""),0,IF(OR(N(对接源_02物料!$B606)&lt;$K$2,N(对接源_02物料!$B606)&gt;$K$3),0,1))</f>
        <v>0</v>
      </c>
      <c r="L1806" s="3">
        <f>IF(OR($L$1="",对接源_02物料!$C606="",对接源_02物料!$C606&lt;&gt;$L$1,对接源_02物料!$B606=""),0,IF(OR(N(对接源_02物料!$B606)&lt;$L$2,N(对接源_02物料!$B606)&gt;$L$3),0,1))</f>
        <v>0</v>
      </c>
      <c r="M1806" s="3">
        <f>IF(OR($M$1="",对接源_02物料!$C606="",对接源_02物料!$C606&lt;&gt;$M$1,对接源_02物料!$B606=""),0,IF(OR(N(对接源_02物料!$B606)&lt;$M$2,N(对接源_02物料!$B606)&gt;$M$3),0,1))</f>
        <v>0</v>
      </c>
      <c r="N1806" s="3">
        <f>IF(OR($N$1="",对接源_02物料!$C606="",对接源_02物料!$C606&lt;&gt;$N$1,对接源_02物料!$B606=""),0,IF(OR(N(对接源_02物料!$B606)&lt;$N$2,N(对接源_02物料!$B606)&gt;$N$3),0,1))</f>
        <v>0</v>
      </c>
      <c r="P1806" s="3">
        <f>IF(AND($K1806=1,AND(对接源_02物料!$X606="公司筐",N(对接源_02物料!$T606)&lt;&gt;0)),1,0)</f>
        <v>0</v>
      </c>
      <c r="Q1806" s="3">
        <f t="shared" si="488"/>
        <v>8</v>
      </c>
      <c r="R1806" s="3">
        <f>IF(AND($K1806=1,AND(对接源_02物料!$X606="公司筐",N(对接源_02物料!$U606)&lt;&gt;0)),1,0)</f>
        <v>0</v>
      </c>
      <c r="S1806" s="3">
        <f t="shared" si="489"/>
        <v>0</v>
      </c>
      <c r="T1806" s="3">
        <f>IF(AND($K1806=1,AND(对接源_02物料!$X606="公司筐",N(对接源_02物料!$V606)&lt;&gt;0)),1,0)</f>
        <v>0</v>
      </c>
      <c r="U1806" s="3">
        <f t="shared" si="490"/>
        <v>19</v>
      </c>
      <c r="V1806" s="3">
        <f>IF(AND($L1806=1,AND(对接源_02物料!$X606="自备筐",N(对接源_02物料!$V606)&lt;&gt;0)),1,0)</f>
        <v>0</v>
      </c>
      <c r="W1806" s="3">
        <f t="shared" si="491"/>
        <v>8</v>
      </c>
      <c r="X1806" s="3">
        <f>IF(AND($L1806=1,AND(对接源_02物料!$X606="自备筐",N(对接源_02物料!$T606)&lt;&gt;0)),1,0)</f>
        <v>0</v>
      </c>
      <c r="Y1806" s="3">
        <f t="shared" si="492"/>
        <v>0</v>
      </c>
      <c r="Z1806" s="3">
        <f>IF(AND($M1806=1,对接源_02物料!$D606="原料入库"),1,0)</f>
        <v>0</v>
      </c>
      <c r="AA1806" s="3">
        <f t="shared" si="493"/>
        <v>24</v>
      </c>
      <c r="AB1806" s="3">
        <f>IF(AND($M1806=1,LEFT(对接源_02物料!$D606,4)="原料出库"),1,0)</f>
        <v>0</v>
      </c>
      <c r="AC1806" s="3">
        <f t="shared" si="494"/>
        <v>0</v>
      </c>
      <c r="AD1806" s="3">
        <f>IF(AND($M1806=1,LEFT(对接源_02物料!$D606,4)="成品出库"),1,0)</f>
        <v>0</v>
      </c>
      <c r="AE1806" s="3">
        <f t="shared" si="495"/>
        <v>0</v>
      </c>
      <c r="AF1806" s="3">
        <f>IF(AND($N1806=1,AND(LEFT(对接源_02物料!$D606,4)="包装物料",N(对接源_02物料!$K606)&lt;&gt;0)),1,0)</f>
        <v>0</v>
      </c>
      <c r="AG1806" s="3">
        <f t="shared" si="496"/>
        <v>5</v>
      </c>
      <c r="AH1806" s="3">
        <f>IF(AND($N1806=1,AND(对接源_02物料!$D606="周转筐－销售出库",N(对接源_02物料!$K606)&lt;&gt;0)),1,0)</f>
        <v>0</v>
      </c>
      <c r="AI1806" s="3">
        <f t="shared" si="497"/>
        <v>0</v>
      </c>
      <c r="AL1806" s="3">
        <v>0</v>
      </c>
      <c r="AM1806" s="3">
        <f t="shared" si="498"/>
        <v>1</v>
      </c>
      <c r="AN1806" s="3" t="str">
        <f t="shared" si="485"/>
        <v/>
      </c>
      <c r="AO1806" s="3">
        <v>0</v>
      </c>
      <c r="AP1806" s="3">
        <f t="shared" si="499"/>
        <v>8</v>
      </c>
      <c r="AR1806">
        <f t="shared" si="500"/>
        <v>0</v>
      </c>
      <c r="AS1806">
        <f t="shared" si="501"/>
        <v>5</v>
      </c>
    </row>
    <row r="1807" customHeight="1" spans="1:45">
      <c r="A1807" s="3" t="str">
        <f>IF(对接源_02物料!$C607="","",对接源_02物料!$C607)</f>
        <v/>
      </c>
      <c r="B1807" s="3">
        <f t="shared" si="486"/>
        <v>0</v>
      </c>
      <c r="C1807" s="3">
        <f t="shared" si="487"/>
        <v>21</v>
      </c>
      <c r="K1807" s="3">
        <f>IF(OR($K$1="",对接源_02物料!$C607="",对接源_02物料!$C607&lt;&gt;$K$1,对接源_02物料!$B607=""),0,IF(OR(N(对接源_02物料!$B607)&lt;$K$2,N(对接源_02物料!$B607)&gt;$K$3),0,1))</f>
        <v>0</v>
      </c>
      <c r="L1807" s="3">
        <f>IF(OR($L$1="",对接源_02物料!$C607="",对接源_02物料!$C607&lt;&gt;$L$1,对接源_02物料!$B607=""),0,IF(OR(N(对接源_02物料!$B607)&lt;$L$2,N(对接源_02物料!$B607)&gt;$L$3),0,1))</f>
        <v>0</v>
      </c>
      <c r="M1807" s="3">
        <f>IF(OR($M$1="",对接源_02物料!$C607="",对接源_02物料!$C607&lt;&gt;$M$1,对接源_02物料!$B607=""),0,IF(OR(N(对接源_02物料!$B607)&lt;$M$2,N(对接源_02物料!$B607)&gt;$M$3),0,1))</f>
        <v>0</v>
      </c>
      <c r="N1807" s="3">
        <f>IF(OR($N$1="",对接源_02物料!$C607="",对接源_02物料!$C607&lt;&gt;$N$1,对接源_02物料!$B607=""),0,IF(OR(N(对接源_02物料!$B607)&lt;$N$2,N(对接源_02物料!$B607)&gt;$N$3),0,1))</f>
        <v>0</v>
      </c>
      <c r="P1807" s="3">
        <f>IF(AND($K1807=1,AND(对接源_02物料!$X607="公司筐",N(对接源_02物料!$T607)&lt;&gt;0)),1,0)</f>
        <v>0</v>
      </c>
      <c r="Q1807" s="3">
        <f t="shared" si="488"/>
        <v>8</v>
      </c>
      <c r="R1807" s="3">
        <f>IF(AND($K1807=1,AND(对接源_02物料!$X607="公司筐",N(对接源_02物料!$U607)&lt;&gt;0)),1,0)</f>
        <v>0</v>
      </c>
      <c r="S1807" s="3">
        <f t="shared" si="489"/>
        <v>0</v>
      </c>
      <c r="T1807" s="3">
        <f>IF(AND($K1807=1,AND(对接源_02物料!$X607="公司筐",N(对接源_02物料!$V607)&lt;&gt;0)),1,0)</f>
        <v>0</v>
      </c>
      <c r="U1807" s="3">
        <f t="shared" si="490"/>
        <v>19</v>
      </c>
      <c r="V1807" s="3">
        <f>IF(AND($L1807=1,AND(对接源_02物料!$X607="自备筐",N(对接源_02物料!$V607)&lt;&gt;0)),1,0)</f>
        <v>0</v>
      </c>
      <c r="W1807" s="3">
        <f t="shared" si="491"/>
        <v>8</v>
      </c>
      <c r="X1807" s="3">
        <f>IF(AND($L1807=1,AND(对接源_02物料!$X607="自备筐",N(对接源_02物料!$T607)&lt;&gt;0)),1,0)</f>
        <v>0</v>
      </c>
      <c r="Y1807" s="3">
        <f t="shared" si="492"/>
        <v>0</v>
      </c>
      <c r="Z1807" s="3">
        <f>IF(AND($M1807=1,对接源_02物料!$D607="原料入库"),1,0)</f>
        <v>0</v>
      </c>
      <c r="AA1807" s="3">
        <f t="shared" si="493"/>
        <v>24</v>
      </c>
      <c r="AB1807" s="3">
        <f>IF(AND($M1807=1,LEFT(对接源_02物料!$D607,4)="原料出库"),1,0)</f>
        <v>0</v>
      </c>
      <c r="AC1807" s="3">
        <f t="shared" si="494"/>
        <v>0</v>
      </c>
      <c r="AD1807" s="3">
        <f>IF(AND($M1807=1,LEFT(对接源_02物料!$D607,4)="成品出库"),1,0)</f>
        <v>0</v>
      </c>
      <c r="AE1807" s="3">
        <f t="shared" si="495"/>
        <v>0</v>
      </c>
      <c r="AF1807" s="3">
        <f>IF(AND($N1807=1,AND(LEFT(对接源_02物料!$D607,4)="包装物料",N(对接源_02物料!$K607)&lt;&gt;0)),1,0)</f>
        <v>0</v>
      </c>
      <c r="AG1807" s="3">
        <f t="shared" si="496"/>
        <v>5</v>
      </c>
      <c r="AH1807" s="3">
        <f>IF(AND($N1807=1,AND(对接源_02物料!$D607="周转筐－销售出库",N(对接源_02物料!$K607)&lt;&gt;0)),1,0)</f>
        <v>0</v>
      </c>
      <c r="AI1807" s="3">
        <f t="shared" si="497"/>
        <v>0</v>
      </c>
      <c r="AL1807" s="3">
        <v>0</v>
      </c>
      <c r="AM1807" s="3">
        <f t="shared" si="498"/>
        <v>1</v>
      </c>
      <c r="AN1807" s="3" t="str">
        <f t="shared" si="485"/>
        <v/>
      </c>
      <c r="AO1807" s="3">
        <v>0</v>
      </c>
      <c r="AP1807" s="3">
        <f t="shared" si="499"/>
        <v>8</v>
      </c>
      <c r="AR1807">
        <f t="shared" si="500"/>
        <v>0</v>
      </c>
      <c r="AS1807">
        <f t="shared" si="501"/>
        <v>5</v>
      </c>
    </row>
    <row r="1808" customHeight="1" spans="1:45">
      <c r="A1808" s="3" t="str">
        <f>IF(对接源_02物料!$C608="","",对接源_02物料!$C608)</f>
        <v/>
      </c>
      <c r="B1808" s="3">
        <f t="shared" si="486"/>
        <v>0</v>
      </c>
      <c r="C1808" s="3">
        <f t="shared" si="487"/>
        <v>21</v>
      </c>
      <c r="K1808" s="3">
        <f>IF(OR($K$1="",对接源_02物料!$C608="",对接源_02物料!$C608&lt;&gt;$K$1,对接源_02物料!$B608=""),0,IF(OR(N(对接源_02物料!$B608)&lt;$K$2,N(对接源_02物料!$B608)&gt;$K$3),0,1))</f>
        <v>0</v>
      </c>
      <c r="L1808" s="3">
        <f>IF(OR($L$1="",对接源_02物料!$C608="",对接源_02物料!$C608&lt;&gt;$L$1,对接源_02物料!$B608=""),0,IF(OR(N(对接源_02物料!$B608)&lt;$L$2,N(对接源_02物料!$B608)&gt;$L$3),0,1))</f>
        <v>0</v>
      </c>
      <c r="M1808" s="3">
        <f>IF(OR($M$1="",对接源_02物料!$C608="",对接源_02物料!$C608&lt;&gt;$M$1,对接源_02物料!$B608=""),0,IF(OR(N(对接源_02物料!$B608)&lt;$M$2,N(对接源_02物料!$B608)&gt;$M$3),0,1))</f>
        <v>0</v>
      </c>
      <c r="N1808" s="3">
        <f>IF(OR($N$1="",对接源_02物料!$C608="",对接源_02物料!$C608&lt;&gt;$N$1,对接源_02物料!$B608=""),0,IF(OR(N(对接源_02物料!$B608)&lt;$N$2,N(对接源_02物料!$B608)&gt;$N$3),0,1))</f>
        <v>0</v>
      </c>
      <c r="P1808" s="3">
        <f>IF(AND($K1808=1,AND(对接源_02物料!$X608="公司筐",N(对接源_02物料!$T608)&lt;&gt;0)),1,0)</f>
        <v>0</v>
      </c>
      <c r="Q1808" s="3">
        <f t="shared" si="488"/>
        <v>8</v>
      </c>
      <c r="R1808" s="3">
        <f>IF(AND($K1808=1,AND(对接源_02物料!$X608="公司筐",N(对接源_02物料!$U608)&lt;&gt;0)),1,0)</f>
        <v>0</v>
      </c>
      <c r="S1808" s="3">
        <f t="shared" si="489"/>
        <v>0</v>
      </c>
      <c r="T1808" s="3">
        <f>IF(AND($K1808=1,AND(对接源_02物料!$X608="公司筐",N(对接源_02物料!$V608)&lt;&gt;0)),1,0)</f>
        <v>0</v>
      </c>
      <c r="U1808" s="3">
        <f t="shared" si="490"/>
        <v>19</v>
      </c>
      <c r="V1808" s="3">
        <f>IF(AND($L1808=1,AND(对接源_02物料!$X608="自备筐",N(对接源_02物料!$V608)&lt;&gt;0)),1,0)</f>
        <v>0</v>
      </c>
      <c r="W1808" s="3">
        <f t="shared" si="491"/>
        <v>8</v>
      </c>
      <c r="X1808" s="3">
        <f>IF(AND($L1808=1,AND(对接源_02物料!$X608="自备筐",N(对接源_02物料!$T608)&lt;&gt;0)),1,0)</f>
        <v>0</v>
      </c>
      <c r="Y1808" s="3">
        <f t="shared" si="492"/>
        <v>0</v>
      </c>
      <c r="Z1808" s="3">
        <f>IF(AND($M1808=1,对接源_02物料!$D608="原料入库"),1,0)</f>
        <v>0</v>
      </c>
      <c r="AA1808" s="3">
        <f t="shared" si="493"/>
        <v>24</v>
      </c>
      <c r="AB1808" s="3">
        <f>IF(AND($M1808=1,LEFT(对接源_02物料!$D608,4)="原料出库"),1,0)</f>
        <v>0</v>
      </c>
      <c r="AC1808" s="3">
        <f t="shared" si="494"/>
        <v>0</v>
      </c>
      <c r="AD1808" s="3">
        <f>IF(AND($M1808=1,LEFT(对接源_02物料!$D608,4)="成品出库"),1,0)</f>
        <v>0</v>
      </c>
      <c r="AE1808" s="3">
        <f t="shared" si="495"/>
        <v>0</v>
      </c>
      <c r="AF1808" s="3">
        <f>IF(AND($N1808=1,AND(LEFT(对接源_02物料!$D608,4)="包装物料",N(对接源_02物料!$K608)&lt;&gt;0)),1,0)</f>
        <v>0</v>
      </c>
      <c r="AG1808" s="3">
        <f t="shared" si="496"/>
        <v>5</v>
      </c>
      <c r="AH1808" s="3">
        <f>IF(AND($N1808=1,AND(对接源_02物料!$D608="周转筐－销售出库",N(对接源_02物料!$K608)&lt;&gt;0)),1,0)</f>
        <v>0</v>
      </c>
      <c r="AI1808" s="3">
        <f t="shared" si="497"/>
        <v>0</v>
      </c>
      <c r="AL1808" s="3">
        <v>0</v>
      </c>
      <c r="AM1808" s="3">
        <f t="shared" si="498"/>
        <v>1</v>
      </c>
      <c r="AN1808" s="3" t="str">
        <f t="shared" si="485"/>
        <v/>
      </c>
      <c r="AO1808" s="3">
        <v>0</v>
      </c>
      <c r="AP1808" s="3">
        <f t="shared" si="499"/>
        <v>8</v>
      </c>
      <c r="AR1808">
        <f t="shared" si="500"/>
        <v>0</v>
      </c>
      <c r="AS1808">
        <f t="shared" si="501"/>
        <v>5</v>
      </c>
    </row>
    <row r="1809" customHeight="1" spans="1:45">
      <c r="A1809" s="3" t="str">
        <f>IF(对接源_02物料!$C609="","",对接源_02物料!$C609)</f>
        <v/>
      </c>
      <c r="B1809" s="3">
        <f t="shared" si="486"/>
        <v>0</v>
      </c>
      <c r="C1809" s="3">
        <f t="shared" si="487"/>
        <v>21</v>
      </c>
      <c r="K1809" s="3">
        <f>IF(OR($K$1="",对接源_02物料!$C609="",对接源_02物料!$C609&lt;&gt;$K$1,对接源_02物料!$B609=""),0,IF(OR(N(对接源_02物料!$B609)&lt;$K$2,N(对接源_02物料!$B609)&gt;$K$3),0,1))</f>
        <v>0</v>
      </c>
      <c r="L1809" s="3">
        <f>IF(OR($L$1="",对接源_02物料!$C609="",对接源_02物料!$C609&lt;&gt;$L$1,对接源_02物料!$B609=""),0,IF(OR(N(对接源_02物料!$B609)&lt;$L$2,N(对接源_02物料!$B609)&gt;$L$3),0,1))</f>
        <v>0</v>
      </c>
      <c r="M1809" s="3">
        <f>IF(OR($M$1="",对接源_02物料!$C609="",对接源_02物料!$C609&lt;&gt;$M$1,对接源_02物料!$B609=""),0,IF(OR(N(对接源_02物料!$B609)&lt;$M$2,N(对接源_02物料!$B609)&gt;$M$3),0,1))</f>
        <v>0</v>
      </c>
      <c r="N1809" s="3">
        <f>IF(OR($N$1="",对接源_02物料!$C609="",对接源_02物料!$C609&lt;&gt;$N$1,对接源_02物料!$B609=""),0,IF(OR(N(对接源_02物料!$B609)&lt;$N$2,N(对接源_02物料!$B609)&gt;$N$3),0,1))</f>
        <v>0</v>
      </c>
      <c r="P1809" s="3">
        <f>IF(AND($K1809=1,AND(对接源_02物料!$X609="公司筐",N(对接源_02物料!$T609)&lt;&gt;0)),1,0)</f>
        <v>0</v>
      </c>
      <c r="Q1809" s="3">
        <f t="shared" si="488"/>
        <v>8</v>
      </c>
      <c r="R1809" s="3">
        <f>IF(AND($K1809=1,AND(对接源_02物料!$X609="公司筐",N(对接源_02物料!$U609)&lt;&gt;0)),1,0)</f>
        <v>0</v>
      </c>
      <c r="S1809" s="3">
        <f t="shared" si="489"/>
        <v>0</v>
      </c>
      <c r="T1809" s="3">
        <f>IF(AND($K1809=1,AND(对接源_02物料!$X609="公司筐",N(对接源_02物料!$V609)&lt;&gt;0)),1,0)</f>
        <v>0</v>
      </c>
      <c r="U1809" s="3">
        <f t="shared" si="490"/>
        <v>19</v>
      </c>
      <c r="V1809" s="3">
        <f>IF(AND($L1809=1,AND(对接源_02物料!$X609="自备筐",N(对接源_02物料!$V609)&lt;&gt;0)),1,0)</f>
        <v>0</v>
      </c>
      <c r="W1809" s="3">
        <f t="shared" si="491"/>
        <v>8</v>
      </c>
      <c r="X1809" s="3">
        <f>IF(AND($L1809=1,AND(对接源_02物料!$X609="自备筐",N(对接源_02物料!$T609)&lt;&gt;0)),1,0)</f>
        <v>0</v>
      </c>
      <c r="Y1809" s="3">
        <f t="shared" si="492"/>
        <v>0</v>
      </c>
      <c r="Z1809" s="3">
        <f>IF(AND($M1809=1,对接源_02物料!$D609="原料入库"),1,0)</f>
        <v>0</v>
      </c>
      <c r="AA1809" s="3">
        <f t="shared" si="493"/>
        <v>24</v>
      </c>
      <c r="AB1809" s="3">
        <f>IF(AND($M1809=1,LEFT(对接源_02物料!$D609,4)="原料出库"),1,0)</f>
        <v>0</v>
      </c>
      <c r="AC1809" s="3">
        <f t="shared" si="494"/>
        <v>0</v>
      </c>
      <c r="AD1809" s="3">
        <f>IF(AND($M1809=1,LEFT(对接源_02物料!$D609,4)="成品出库"),1,0)</f>
        <v>0</v>
      </c>
      <c r="AE1809" s="3">
        <f t="shared" si="495"/>
        <v>0</v>
      </c>
      <c r="AF1809" s="3">
        <f>IF(AND($N1809=1,AND(LEFT(对接源_02物料!$D609,4)="包装物料",N(对接源_02物料!$K609)&lt;&gt;0)),1,0)</f>
        <v>0</v>
      </c>
      <c r="AG1809" s="3">
        <f t="shared" si="496"/>
        <v>5</v>
      </c>
      <c r="AH1809" s="3">
        <f>IF(AND($N1809=1,AND(对接源_02物料!$D609="周转筐－销售出库",N(对接源_02物料!$K609)&lt;&gt;0)),1,0)</f>
        <v>0</v>
      </c>
      <c r="AI1809" s="3">
        <f t="shared" si="497"/>
        <v>0</v>
      </c>
      <c r="AL1809" s="3">
        <v>0</v>
      </c>
      <c r="AM1809" s="3">
        <f t="shared" si="498"/>
        <v>1</v>
      </c>
      <c r="AN1809" s="3" t="str">
        <f t="shared" si="485"/>
        <v/>
      </c>
      <c r="AO1809" s="3">
        <v>0</v>
      </c>
      <c r="AP1809" s="3">
        <f t="shared" si="499"/>
        <v>8</v>
      </c>
      <c r="AR1809">
        <f t="shared" si="500"/>
        <v>0</v>
      </c>
      <c r="AS1809">
        <f t="shared" si="501"/>
        <v>5</v>
      </c>
    </row>
    <row r="1810" customHeight="1" spans="1:45">
      <c r="A1810" s="3" t="str">
        <f>IF(对接源_02物料!$C610="","",对接源_02物料!$C610)</f>
        <v/>
      </c>
      <c r="B1810" s="3">
        <f t="shared" si="486"/>
        <v>0</v>
      </c>
      <c r="C1810" s="3">
        <f t="shared" si="487"/>
        <v>21</v>
      </c>
      <c r="K1810" s="3">
        <f>IF(OR($K$1="",对接源_02物料!$C610="",对接源_02物料!$C610&lt;&gt;$K$1,对接源_02物料!$B610=""),0,IF(OR(N(对接源_02物料!$B610)&lt;$K$2,N(对接源_02物料!$B610)&gt;$K$3),0,1))</f>
        <v>0</v>
      </c>
      <c r="L1810" s="3">
        <f>IF(OR($L$1="",对接源_02物料!$C610="",对接源_02物料!$C610&lt;&gt;$L$1,对接源_02物料!$B610=""),0,IF(OR(N(对接源_02物料!$B610)&lt;$L$2,N(对接源_02物料!$B610)&gt;$L$3),0,1))</f>
        <v>0</v>
      </c>
      <c r="M1810" s="3">
        <f>IF(OR($M$1="",对接源_02物料!$C610="",对接源_02物料!$C610&lt;&gt;$M$1,对接源_02物料!$B610=""),0,IF(OR(N(对接源_02物料!$B610)&lt;$M$2,N(对接源_02物料!$B610)&gt;$M$3),0,1))</f>
        <v>0</v>
      </c>
      <c r="N1810" s="3">
        <f>IF(OR($N$1="",对接源_02物料!$C610="",对接源_02物料!$C610&lt;&gt;$N$1,对接源_02物料!$B610=""),0,IF(OR(N(对接源_02物料!$B610)&lt;$N$2,N(对接源_02物料!$B610)&gt;$N$3),0,1))</f>
        <v>0</v>
      </c>
      <c r="P1810" s="3">
        <f>IF(AND($K1810=1,AND(对接源_02物料!$X610="公司筐",N(对接源_02物料!$T610)&lt;&gt;0)),1,0)</f>
        <v>0</v>
      </c>
      <c r="Q1810" s="3">
        <f t="shared" si="488"/>
        <v>8</v>
      </c>
      <c r="R1810" s="3">
        <f>IF(AND($K1810=1,AND(对接源_02物料!$X610="公司筐",N(对接源_02物料!$U610)&lt;&gt;0)),1,0)</f>
        <v>0</v>
      </c>
      <c r="S1810" s="3">
        <f t="shared" si="489"/>
        <v>0</v>
      </c>
      <c r="T1810" s="3">
        <f>IF(AND($K1810=1,AND(对接源_02物料!$X610="公司筐",N(对接源_02物料!$V610)&lt;&gt;0)),1,0)</f>
        <v>0</v>
      </c>
      <c r="U1810" s="3">
        <f t="shared" si="490"/>
        <v>19</v>
      </c>
      <c r="V1810" s="3">
        <f>IF(AND($L1810=1,AND(对接源_02物料!$X610="自备筐",N(对接源_02物料!$V610)&lt;&gt;0)),1,0)</f>
        <v>0</v>
      </c>
      <c r="W1810" s="3">
        <f t="shared" si="491"/>
        <v>8</v>
      </c>
      <c r="X1810" s="3">
        <f>IF(AND($L1810=1,AND(对接源_02物料!$X610="自备筐",N(对接源_02物料!$T610)&lt;&gt;0)),1,0)</f>
        <v>0</v>
      </c>
      <c r="Y1810" s="3">
        <f t="shared" si="492"/>
        <v>0</v>
      </c>
      <c r="Z1810" s="3">
        <f>IF(AND($M1810=1,对接源_02物料!$D610="原料入库"),1,0)</f>
        <v>0</v>
      </c>
      <c r="AA1810" s="3">
        <f t="shared" si="493"/>
        <v>24</v>
      </c>
      <c r="AB1810" s="3">
        <f>IF(AND($M1810=1,LEFT(对接源_02物料!$D610,4)="原料出库"),1,0)</f>
        <v>0</v>
      </c>
      <c r="AC1810" s="3">
        <f t="shared" si="494"/>
        <v>0</v>
      </c>
      <c r="AD1810" s="3">
        <f>IF(AND($M1810=1,LEFT(对接源_02物料!$D610,4)="成品出库"),1,0)</f>
        <v>0</v>
      </c>
      <c r="AE1810" s="3">
        <f t="shared" si="495"/>
        <v>0</v>
      </c>
      <c r="AF1810" s="3">
        <f>IF(AND($N1810=1,AND(LEFT(对接源_02物料!$D610,4)="包装物料",N(对接源_02物料!$K610)&lt;&gt;0)),1,0)</f>
        <v>0</v>
      </c>
      <c r="AG1810" s="3">
        <f t="shared" si="496"/>
        <v>5</v>
      </c>
      <c r="AH1810" s="3">
        <f>IF(AND($N1810=1,AND(对接源_02物料!$D610="周转筐－销售出库",N(对接源_02物料!$K610)&lt;&gt;0)),1,0)</f>
        <v>0</v>
      </c>
      <c r="AI1810" s="3">
        <f t="shared" si="497"/>
        <v>0</v>
      </c>
      <c r="AL1810" s="3">
        <v>0</v>
      </c>
      <c r="AM1810" s="3">
        <f t="shared" si="498"/>
        <v>1</v>
      </c>
      <c r="AN1810" s="3" t="str">
        <f t="shared" si="485"/>
        <v/>
      </c>
      <c r="AO1810" s="3">
        <v>0</v>
      </c>
      <c r="AP1810" s="3">
        <f t="shared" si="499"/>
        <v>8</v>
      </c>
      <c r="AR1810">
        <f t="shared" si="500"/>
        <v>0</v>
      </c>
      <c r="AS1810">
        <f t="shared" si="501"/>
        <v>5</v>
      </c>
    </row>
    <row r="1811" customHeight="1" spans="1:45">
      <c r="A1811" s="3" t="str">
        <f>IF(对接源_02物料!$C611="","",对接源_02物料!$C611)</f>
        <v/>
      </c>
      <c r="B1811" s="3">
        <f t="shared" si="486"/>
        <v>0</v>
      </c>
      <c r="C1811" s="3">
        <f t="shared" si="487"/>
        <v>21</v>
      </c>
      <c r="K1811" s="3">
        <f>IF(OR($K$1="",对接源_02物料!$C611="",对接源_02物料!$C611&lt;&gt;$K$1,对接源_02物料!$B611=""),0,IF(OR(N(对接源_02物料!$B611)&lt;$K$2,N(对接源_02物料!$B611)&gt;$K$3),0,1))</f>
        <v>0</v>
      </c>
      <c r="L1811" s="3">
        <f>IF(OR($L$1="",对接源_02物料!$C611="",对接源_02物料!$C611&lt;&gt;$L$1,对接源_02物料!$B611=""),0,IF(OR(N(对接源_02物料!$B611)&lt;$L$2,N(对接源_02物料!$B611)&gt;$L$3),0,1))</f>
        <v>0</v>
      </c>
      <c r="M1811" s="3">
        <f>IF(OR($M$1="",对接源_02物料!$C611="",对接源_02物料!$C611&lt;&gt;$M$1,对接源_02物料!$B611=""),0,IF(OR(N(对接源_02物料!$B611)&lt;$M$2,N(对接源_02物料!$B611)&gt;$M$3),0,1))</f>
        <v>0</v>
      </c>
      <c r="N1811" s="3">
        <f>IF(OR($N$1="",对接源_02物料!$C611="",对接源_02物料!$C611&lt;&gt;$N$1,对接源_02物料!$B611=""),0,IF(OR(N(对接源_02物料!$B611)&lt;$N$2,N(对接源_02物料!$B611)&gt;$N$3),0,1))</f>
        <v>0</v>
      </c>
      <c r="P1811" s="3">
        <f>IF(AND($K1811=1,AND(对接源_02物料!$X611="公司筐",N(对接源_02物料!$T611)&lt;&gt;0)),1,0)</f>
        <v>0</v>
      </c>
      <c r="Q1811" s="3">
        <f t="shared" si="488"/>
        <v>8</v>
      </c>
      <c r="R1811" s="3">
        <f>IF(AND($K1811=1,AND(对接源_02物料!$X611="公司筐",N(对接源_02物料!$U611)&lt;&gt;0)),1,0)</f>
        <v>0</v>
      </c>
      <c r="S1811" s="3">
        <f t="shared" si="489"/>
        <v>0</v>
      </c>
      <c r="T1811" s="3">
        <f>IF(AND($K1811=1,AND(对接源_02物料!$X611="公司筐",N(对接源_02物料!$V611)&lt;&gt;0)),1,0)</f>
        <v>0</v>
      </c>
      <c r="U1811" s="3">
        <f t="shared" si="490"/>
        <v>19</v>
      </c>
      <c r="V1811" s="3">
        <f>IF(AND($L1811=1,AND(对接源_02物料!$X611="自备筐",N(对接源_02物料!$V611)&lt;&gt;0)),1,0)</f>
        <v>0</v>
      </c>
      <c r="W1811" s="3">
        <f t="shared" si="491"/>
        <v>8</v>
      </c>
      <c r="X1811" s="3">
        <f>IF(AND($L1811=1,AND(对接源_02物料!$X611="自备筐",N(对接源_02物料!$T611)&lt;&gt;0)),1,0)</f>
        <v>0</v>
      </c>
      <c r="Y1811" s="3">
        <f t="shared" si="492"/>
        <v>0</v>
      </c>
      <c r="Z1811" s="3">
        <f>IF(AND($M1811=1,对接源_02物料!$D611="原料入库"),1,0)</f>
        <v>0</v>
      </c>
      <c r="AA1811" s="3">
        <f t="shared" si="493"/>
        <v>24</v>
      </c>
      <c r="AB1811" s="3">
        <f>IF(AND($M1811=1,LEFT(对接源_02物料!$D611,4)="原料出库"),1,0)</f>
        <v>0</v>
      </c>
      <c r="AC1811" s="3">
        <f t="shared" si="494"/>
        <v>0</v>
      </c>
      <c r="AD1811" s="3">
        <f>IF(AND($M1811=1,LEFT(对接源_02物料!$D611,4)="成品出库"),1,0)</f>
        <v>0</v>
      </c>
      <c r="AE1811" s="3">
        <f t="shared" si="495"/>
        <v>0</v>
      </c>
      <c r="AF1811" s="3">
        <f>IF(AND($N1811=1,AND(LEFT(对接源_02物料!$D611,4)="包装物料",N(对接源_02物料!$K611)&lt;&gt;0)),1,0)</f>
        <v>0</v>
      </c>
      <c r="AG1811" s="3">
        <f t="shared" si="496"/>
        <v>5</v>
      </c>
      <c r="AH1811" s="3">
        <f>IF(AND($N1811=1,AND(对接源_02物料!$D611="周转筐－销售出库",N(对接源_02物料!$K611)&lt;&gt;0)),1,0)</f>
        <v>0</v>
      </c>
      <c r="AI1811" s="3">
        <f t="shared" si="497"/>
        <v>0</v>
      </c>
      <c r="AL1811" s="3">
        <v>0</v>
      </c>
      <c r="AM1811" s="3">
        <f t="shared" si="498"/>
        <v>1</v>
      </c>
      <c r="AN1811" s="3" t="str">
        <f t="shared" si="485"/>
        <v/>
      </c>
      <c r="AO1811" s="3">
        <v>0</v>
      </c>
      <c r="AP1811" s="3">
        <f t="shared" si="499"/>
        <v>8</v>
      </c>
      <c r="AR1811">
        <f t="shared" si="500"/>
        <v>0</v>
      </c>
      <c r="AS1811">
        <f t="shared" si="501"/>
        <v>5</v>
      </c>
    </row>
    <row r="1812" customHeight="1" spans="1:45">
      <c r="A1812" s="3" t="str">
        <f>IF(对接源_02物料!$C612="","",对接源_02物料!$C612)</f>
        <v/>
      </c>
      <c r="B1812" s="3">
        <f t="shared" si="486"/>
        <v>0</v>
      </c>
      <c r="C1812" s="3">
        <f t="shared" si="487"/>
        <v>21</v>
      </c>
      <c r="K1812" s="3">
        <f>IF(OR($K$1="",对接源_02物料!$C612="",对接源_02物料!$C612&lt;&gt;$K$1,对接源_02物料!$B612=""),0,IF(OR(N(对接源_02物料!$B612)&lt;$K$2,N(对接源_02物料!$B612)&gt;$K$3),0,1))</f>
        <v>0</v>
      </c>
      <c r="L1812" s="3">
        <f>IF(OR($L$1="",对接源_02物料!$C612="",对接源_02物料!$C612&lt;&gt;$L$1,对接源_02物料!$B612=""),0,IF(OR(N(对接源_02物料!$B612)&lt;$L$2,N(对接源_02物料!$B612)&gt;$L$3),0,1))</f>
        <v>0</v>
      </c>
      <c r="M1812" s="3">
        <f>IF(OR($M$1="",对接源_02物料!$C612="",对接源_02物料!$C612&lt;&gt;$M$1,对接源_02物料!$B612=""),0,IF(OR(N(对接源_02物料!$B612)&lt;$M$2,N(对接源_02物料!$B612)&gt;$M$3),0,1))</f>
        <v>0</v>
      </c>
      <c r="N1812" s="3">
        <f>IF(OR($N$1="",对接源_02物料!$C612="",对接源_02物料!$C612&lt;&gt;$N$1,对接源_02物料!$B612=""),0,IF(OR(N(对接源_02物料!$B612)&lt;$N$2,N(对接源_02物料!$B612)&gt;$N$3),0,1))</f>
        <v>0</v>
      </c>
      <c r="P1812" s="3">
        <f>IF(AND($K1812=1,AND(对接源_02物料!$X612="公司筐",N(对接源_02物料!$T612)&lt;&gt;0)),1,0)</f>
        <v>0</v>
      </c>
      <c r="Q1812" s="3">
        <f t="shared" si="488"/>
        <v>8</v>
      </c>
      <c r="R1812" s="3">
        <f>IF(AND($K1812=1,AND(对接源_02物料!$X612="公司筐",N(对接源_02物料!$U612)&lt;&gt;0)),1,0)</f>
        <v>0</v>
      </c>
      <c r="S1812" s="3">
        <f t="shared" si="489"/>
        <v>0</v>
      </c>
      <c r="T1812" s="3">
        <f>IF(AND($K1812=1,AND(对接源_02物料!$X612="公司筐",N(对接源_02物料!$V612)&lt;&gt;0)),1,0)</f>
        <v>0</v>
      </c>
      <c r="U1812" s="3">
        <f t="shared" si="490"/>
        <v>19</v>
      </c>
      <c r="V1812" s="3">
        <f>IF(AND($L1812=1,AND(对接源_02物料!$X612="自备筐",N(对接源_02物料!$V612)&lt;&gt;0)),1,0)</f>
        <v>0</v>
      </c>
      <c r="W1812" s="3">
        <f t="shared" si="491"/>
        <v>8</v>
      </c>
      <c r="X1812" s="3">
        <f>IF(AND($L1812=1,AND(对接源_02物料!$X612="自备筐",N(对接源_02物料!$T612)&lt;&gt;0)),1,0)</f>
        <v>0</v>
      </c>
      <c r="Y1812" s="3">
        <f t="shared" si="492"/>
        <v>0</v>
      </c>
      <c r="Z1812" s="3">
        <f>IF(AND($M1812=1,对接源_02物料!$D612="原料入库"),1,0)</f>
        <v>0</v>
      </c>
      <c r="AA1812" s="3">
        <f t="shared" si="493"/>
        <v>24</v>
      </c>
      <c r="AB1812" s="3">
        <f>IF(AND($M1812=1,LEFT(对接源_02物料!$D612,4)="原料出库"),1,0)</f>
        <v>0</v>
      </c>
      <c r="AC1812" s="3">
        <f t="shared" si="494"/>
        <v>0</v>
      </c>
      <c r="AD1812" s="3">
        <f>IF(AND($M1812=1,LEFT(对接源_02物料!$D612,4)="成品出库"),1,0)</f>
        <v>0</v>
      </c>
      <c r="AE1812" s="3">
        <f t="shared" si="495"/>
        <v>0</v>
      </c>
      <c r="AF1812" s="3">
        <f>IF(AND($N1812=1,AND(LEFT(对接源_02物料!$D612,4)="包装物料",N(对接源_02物料!$K612)&lt;&gt;0)),1,0)</f>
        <v>0</v>
      </c>
      <c r="AG1812" s="3">
        <f t="shared" si="496"/>
        <v>5</v>
      </c>
      <c r="AH1812" s="3">
        <f>IF(AND($N1812=1,AND(对接源_02物料!$D612="周转筐－销售出库",N(对接源_02物料!$K612)&lt;&gt;0)),1,0)</f>
        <v>0</v>
      </c>
      <c r="AI1812" s="3">
        <f t="shared" si="497"/>
        <v>0</v>
      </c>
      <c r="AL1812" s="3">
        <v>0</v>
      </c>
      <c r="AM1812" s="3">
        <f t="shared" si="498"/>
        <v>1</v>
      </c>
      <c r="AN1812" s="3" t="str">
        <f t="shared" si="485"/>
        <v/>
      </c>
      <c r="AO1812" s="3">
        <v>0</v>
      </c>
      <c r="AP1812" s="3">
        <f t="shared" si="499"/>
        <v>8</v>
      </c>
      <c r="AR1812">
        <f t="shared" si="500"/>
        <v>0</v>
      </c>
      <c r="AS1812">
        <f t="shared" si="501"/>
        <v>5</v>
      </c>
    </row>
    <row r="1813" customHeight="1" spans="1:45">
      <c r="A1813" s="3" t="str">
        <f>IF(对接源_02物料!$C613="","",对接源_02物料!$C613)</f>
        <v/>
      </c>
      <c r="B1813" s="3">
        <f t="shared" si="486"/>
        <v>0</v>
      </c>
      <c r="C1813" s="3">
        <f t="shared" si="487"/>
        <v>21</v>
      </c>
      <c r="K1813" s="3">
        <f>IF(OR($K$1="",对接源_02物料!$C613="",对接源_02物料!$C613&lt;&gt;$K$1,对接源_02物料!$B613=""),0,IF(OR(N(对接源_02物料!$B613)&lt;$K$2,N(对接源_02物料!$B613)&gt;$K$3),0,1))</f>
        <v>0</v>
      </c>
      <c r="L1813" s="3">
        <f>IF(OR($L$1="",对接源_02物料!$C613="",对接源_02物料!$C613&lt;&gt;$L$1,对接源_02物料!$B613=""),0,IF(OR(N(对接源_02物料!$B613)&lt;$L$2,N(对接源_02物料!$B613)&gt;$L$3),0,1))</f>
        <v>0</v>
      </c>
      <c r="M1813" s="3">
        <f>IF(OR($M$1="",对接源_02物料!$C613="",对接源_02物料!$C613&lt;&gt;$M$1,对接源_02物料!$B613=""),0,IF(OR(N(对接源_02物料!$B613)&lt;$M$2,N(对接源_02物料!$B613)&gt;$M$3),0,1))</f>
        <v>0</v>
      </c>
      <c r="N1813" s="3">
        <f>IF(OR($N$1="",对接源_02物料!$C613="",对接源_02物料!$C613&lt;&gt;$N$1,对接源_02物料!$B613=""),0,IF(OR(N(对接源_02物料!$B613)&lt;$N$2,N(对接源_02物料!$B613)&gt;$N$3),0,1))</f>
        <v>0</v>
      </c>
      <c r="P1813" s="3">
        <f>IF(AND($K1813=1,AND(对接源_02物料!$X613="公司筐",N(对接源_02物料!$T613)&lt;&gt;0)),1,0)</f>
        <v>0</v>
      </c>
      <c r="Q1813" s="3">
        <f t="shared" si="488"/>
        <v>8</v>
      </c>
      <c r="R1813" s="3">
        <f>IF(AND($K1813=1,AND(对接源_02物料!$X613="公司筐",N(对接源_02物料!$U613)&lt;&gt;0)),1,0)</f>
        <v>0</v>
      </c>
      <c r="S1813" s="3">
        <f t="shared" si="489"/>
        <v>0</v>
      </c>
      <c r="T1813" s="3">
        <f>IF(AND($K1813=1,AND(对接源_02物料!$X613="公司筐",N(对接源_02物料!$V613)&lt;&gt;0)),1,0)</f>
        <v>0</v>
      </c>
      <c r="U1813" s="3">
        <f t="shared" si="490"/>
        <v>19</v>
      </c>
      <c r="V1813" s="3">
        <f>IF(AND($L1813=1,AND(对接源_02物料!$X613="自备筐",N(对接源_02物料!$V613)&lt;&gt;0)),1,0)</f>
        <v>0</v>
      </c>
      <c r="W1813" s="3">
        <f t="shared" si="491"/>
        <v>8</v>
      </c>
      <c r="X1813" s="3">
        <f>IF(AND($L1813=1,AND(对接源_02物料!$X613="自备筐",N(对接源_02物料!$T613)&lt;&gt;0)),1,0)</f>
        <v>0</v>
      </c>
      <c r="Y1813" s="3">
        <f t="shared" si="492"/>
        <v>0</v>
      </c>
      <c r="Z1813" s="3">
        <f>IF(AND($M1813=1,对接源_02物料!$D613="原料入库"),1,0)</f>
        <v>0</v>
      </c>
      <c r="AA1813" s="3">
        <f t="shared" si="493"/>
        <v>24</v>
      </c>
      <c r="AB1813" s="3">
        <f>IF(AND($M1813=1,LEFT(对接源_02物料!$D613,4)="原料出库"),1,0)</f>
        <v>0</v>
      </c>
      <c r="AC1813" s="3">
        <f t="shared" si="494"/>
        <v>0</v>
      </c>
      <c r="AD1813" s="3">
        <f>IF(AND($M1813=1,LEFT(对接源_02物料!$D613,4)="成品出库"),1,0)</f>
        <v>0</v>
      </c>
      <c r="AE1813" s="3">
        <f t="shared" si="495"/>
        <v>0</v>
      </c>
      <c r="AF1813" s="3">
        <f>IF(AND($N1813=1,AND(LEFT(对接源_02物料!$D613,4)="包装物料",N(对接源_02物料!$K613)&lt;&gt;0)),1,0)</f>
        <v>0</v>
      </c>
      <c r="AG1813" s="3">
        <f t="shared" si="496"/>
        <v>5</v>
      </c>
      <c r="AH1813" s="3">
        <f>IF(AND($N1813=1,AND(对接源_02物料!$D613="周转筐－销售出库",N(对接源_02物料!$K613)&lt;&gt;0)),1,0)</f>
        <v>0</v>
      </c>
      <c r="AI1813" s="3">
        <f t="shared" si="497"/>
        <v>0</v>
      </c>
      <c r="AL1813" s="3">
        <v>0</v>
      </c>
      <c r="AM1813" s="3">
        <f t="shared" si="498"/>
        <v>1</v>
      </c>
      <c r="AN1813" s="3" t="str">
        <f t="shared" si="485"/>
        <v/>
      </c>
      <c r="AO1813" s="3">
        <v>0</v>
      </c>
      <c r="AP1813" s="3">
        <f t="shared" si="499"/>
        <v>8</v>
      </c>
      <c r="AR1813">
        <f t="shared" si="500"/>
        <v>0</v>
      </c>
      <c r="AS1813">
        <f t="shared" si="501"/>
        <v>5</v>
      </c>
    </row>
    <row r="1814" customHeight="1" spans="1:45">
      <c r="A1814" s="3" t="str">
        <f>IF(对接源_02物料!$C614="","",对接源_02物料!$C614)</f>
        <v/>
      </c>
      <c r="B1814" s="3">
        <f t="shared" si="486"/>
        <v>0</v>
      </c>
      <c r="C1814" s="3">
        <f t="shared" si="487"/>
        <v>21</v>
      </c>
      <c r="K1814" s="3">
        <f>IF(OR($K$1="",对接源_02物料!$C614="",对接源_02物料!$C614&lt;&gt;$K$1,对接源_02物料!$B614=""),0,IF(OR(N(对接源_02物料!$B614)&lt;$K$2,N(对接源_02物料!$B614)&gt;$K$3),0,1))</f>
        <v>0</v>
      </c>
      <c r="L1814" s="3">
        <f>IF(OR($L$1="",对接源_02物料!$C614="",对接源_02物料!$C614&lt;&gt;$L$1,对接源_02物料!$B614=""),0,IF(OR(N(对接源_02物料!$B614)&lt;$L$2,N(对接源_02物料!$B614)&gt;$L$3),0,1))</f>
        <v>0</v>
      </c>
      <c r="M1814" s="3">
        <f>IF(OR($M$1="",对接源_02物料!$C614="",对接源_02物料!$C614&lt;&gt;$M$1,对接源_02物料!$B614=""),0,IF(OR(N(对接源_02物料!$B614)&lt;$M$2,N(对接源_02物料!$B614)&gt;$M$3),0,1))</f>
        <v>0</v>
      </c>
      <c r="N1814" s="3">
        <f>IF(OR($N$1="",对接源_02物料!$C614="",对接源_02物料!$C614&lt;&gt;$N$1,对接源_02物料!$B614=""),0,IF(OR(N(对接源_02物料!$B614)&lt;$N$2,N(对接源_02物料!$B614)&gt;$N$3),0,1))</f>
        <v>0</v>
      </c>
      <c r="P1814" s="3">
        <f>IF(AND($K1814=1,AND(对接源_02物料!$X614="公司筐",N(对接源_02物料!$T614)&lt;&gt;0)),1,0)</f>
        <v>0</v>
      </c>
      <c r="Q1814" s="3">
        <f t="shared" si="488"/>
        <v>8</v>
      </c>
      <c r="R1814" s="3">
        <f>IF(AND($K1814=1,AND(对接源_02物料!$X614="公司筐",N(对接源_02物料!$U614)&lt;&gt;0)),1,0)</f>
        <v>0</v>
      </c>
      <c r="S1814" s="3">
        <f t="shared" si="489"/>
        <v>0</v>
      </c>
      <c r="T1814" s="3">
        <f>IF(AND($K1814=1,AND(对接源_02物料!$X614="公司筐",N(对接源_02物料!$V614)&lt;&gt;0)),1,0)</f>
        <v>0</v>
      </c>
      <c r="U1814" s="3">
        <f t="shared" si="490"/>
        <v>19</v>
      </c>
      <c r="V1814" s="3">
        <f>IF(AND($L1814=1,AND(对接源_02物料!$X614="自备筐",N(对接源_02物料!$V614)&lt;&gt;0)),1,0)</f>
        <v>0</v>
      </c>
      <c r="W1814" s="3">
        <f t="shared" si="491"/>
        <v>8</v>
      </c>
      <c r="X1814" s="3">
        <f>IF(AND($L1814=1,AND(对接源_02物料!$X614="自备筐",N(对接源_02物料!$T614)&lt;&gt;0)),1,0)</f>
        <v>0</v>
      </c>
      <c r="Y1814" s="3">
        <f t="shared" si="492"/>
        <v>0</v>
      </c>
      <c r="Z1814" s="3">
        <f>IF(AND($M1814=1,对接源_02物料!$D614="原料入库"),1,0)</f>
        <v>0</v>
      </c>
      <c r="AA1814" s="3">
        <f t="shared" si="493"/>
        <v>24</v>
      </c>
      <c r="AB1814" s="3">
        <f>IF(AND($M1814=1,LEFT(对接源_02物料!$D614,4)="原料出库"),1,0)</f>
        <v>0</v>
      </c>
      <c r="AC1814" s="3">
        <f t="shared" si="494"/>
        <v>0</v>
      </c>
      <c r="AD1814" s="3">
        <f>IF(AND($M1814=1,LEFT(对接源_02物料!$D614,4)="成品出库"),1,0)</f>
        <v>0</v>
      </c>
      <c r="AE1814" s="3">
        <f t="shared" si="495"/>
        <v>0</v>
      </c>
      <c r="AF1814" s="3">
        <f>IF(AND($N1814=1,AND(LEFT(对接源_02物料!$D614,4)="包装物料",N(对接源_02物料!$K614)&lt;&gt;0)),1,0)</f>
        <v>0</v>
      </c>
      <c r="AG1814" s="3">
        <f t="shared" si="496"/>
        <v>5</v>
      </c>
      <c r="AH1814" s="3">
        <f>IF(AND($N1814=1,AND(对接源_02物料!$D614="周转筐－销售出库",N(对接源_02物料!$K614)&lt;&gt;0)),1,0)</f>
        <v>0</v>
      </c>
      <c r="AI1814" s="3">
        <f t="shared" si="497"/>
        <v>0</v>
      </c>
      <c r="AL1814" s="3">
        <v>0</v>
      </c>
      <c r="AM1814" s="3">
        <f t="shared" si="498"/>
        <v>1</v>
      </c>
      <c r="AN1814" s="3" t="str">
        <f t="shared" si="485"/>
        <v/>
      </c>
      <c r="AO1814" s="3">
        <v>0</v>
      </c>
      <c r="AP1814" s="3">
        <f t="shared" si="499"/>
        <v>8</v>
      </c>
      <c r="AR1814">
        <f t="shared" si="500"/>
        <v>0</v>
      </c>
      <c r="AS1814">
        <f t="shared" si="501"/>
        <v>5</v>
      </c>
    </row>
    <row r="1815" customHeight="1" spans="1:45">
      <c r="A1815" s="3" t="str">
        <f>IF(对接源_02物料!$C615="","",对接源_02物料!$C615)</f>
        <v/>
      </c>
      <c r="B1815" s="3">
        <f t="shared" si="486"/>
        <v>0</v>
      </c>
      <c r="C1815" s="3">
        <f t="shared" si="487"/>
        <v>21</v>
      </c>
      <c r="K1815" s="3">
        <f>IF(OR($K$1="",对接源_02物料!$C615="",对接源_02物料!$C615&lt;&gt;$K$1,对接源_02物料!$B615=""),0,IF(OR(N(对接源_02物料!$B615)&lt;$K$2,N(对接源_02物料!$B615)&gt;$K$3),0,1))</f>
        <v>0</v>
      </c>
      <c r="L1815" s="3">
        <f>IF(OR($L$1="",对接源_02物料!$C615="",对接源_02物料!$C615&lt;&gt;$L$1,对接源_02物料!$B615=""),0,IF(OR(N(对接源_02物料!$B615)&lt;$L$2,N(对接源_02物料!$B615)&gt;$L$3),0,1))</f>
        <v>0</v>
      </c>
      <c r="M1815" s="3">
        <f>IF(OR($M$1="",对接源_02物料!$C615="",对接源_02物料!$C615&lt;&gt;$M$1,对接源_02物料!$B615=""),0,IF(OR(N(对接源_02物料!$B615)&lt;$M$2,N(对接源_02物料!$B615)&gt;$M$3),0,1))</f>
        <v>0</v>
      </c>
      <c r="N1815" s="3">
        <f>IF(OR($N$1="",对接源_02物料!$C615="",对接源_02物料!$C615&lt;&gt;$N$1,对接源_02物料!$B615=""),0,IF(OR(N(对接源_02物料!$B615)&lt;$N$2,N(对接源_02物料!$B615)&gt;$N$3),0,1))</f>
        <v>0</v>
      </c>
      <c r="P1815" s="3">
        <f>IF(AND($K1815=1,AND(对接源_02物料!$X615="公司筐",N(对接源_02物料!$T615)&lt;&gt;0)),1,0)</f>
        <v>0</v>
      </c>
      <c r="Q1815" s="3">
        <f t="shared" si="488"/>
        <v>8</v>
      </c>
      <c r="R1815" s="3">
        <f>IF(AND($K1815=1,AND(对接源_02物料!$X615="公司筐",N(对接源_02物料!$U615)&lt;&gt;0)),1,0)</f>
        <v>0</v>
      </c>
      <c r="S1815" s="3">
        <f t="shared" si="489"/>
        <v>0</v>
      </c>
      <c r="T1815" s="3">
        <f>IF(AND($K1815=1,AND(对接源_02物料!$X615="公司筐",N(对接源_02物料!$V615)&lt;&gt;0)),1,0)</f>
        <v>0</v>
      </c>
      <c r="U1815" s="3">
        <f t="shared" si="490"/>
        <v>19</v>
      </c>
      <c r="V1815" s="3">
        <f>IF(AND($L1815=1,AND(对接源_02物料!$X615="自备筐",N(对接源_02物料!$V615)&lt;&gt;0)),1,0)</f>
        <v>0</v>
      </c>
      <c r="W1815" s="3">
        <f t="shared" si="491"/>
        <v>8</v>
      </c>
      <c r="X1815" s="3">
        <f>IF(AND($L1815=1,AND(对接源_02物料!$X615="自备筐",N(对接源_02物料!$T615)&lt;&gt;0)),1,0)</f>
        <v>0</v>
      </c>
      <c r="Y1815" s="3">
        <f t="shared" si="492"/>
        <v>0</v>
      </c>
      <c r="Z1815" s="3">
        <f>IF(AND($M1815=1,对接源_02物料!$D615="原料入库"),1,0)</f>
        <v>0</v>
      </c>
      <c r="AA1815" s="3">
        <f t="shared" si="493"/>
        <v>24</v>
      </c>
      <c r="AB1815" s="3">
        <f>IF(AND($M1815=1,LEFT(对接源_02物料!$D615,4)="原料出库"),1,0)</f>
        <v>0</v>
      </c>
      <c r="AC1815" s="3">
        <f t="shared" si="494"/>
        <v>0</v>
      </c>
      <c r="AD1815" s="3">
        <f>IF(AND($M1815=1,LEFT(对接源_02物料!$D615,4)="成品出库"),1,0)</f>
        <v>0</v>
      </c>
      <c r="AE1815" s="3">
        <f t="shared" si="495"/>
        <v>0</v>
      </c>
      <c r="AF1815" s="3">
        <f>IF(AND($N1815=1,AND(LEFT(对接源_02物料!$D615,4)="包装物料",N(对接源_02物料!$K615)&lt;&gt;0)),1,0)</f>
        <v>0</v>
      </c>
      <c r="AG1815" s="3">
        <f t="shared" si="496"/>
        <v>5</v>
      </c>
      <c r="AH1815" s="3">
        <f>IF(AND($N1815=1,AND(对接源_02物料!$D615="周转筐－销售出库",N(对接源_02物料!$K615)&lt;&gt;0)),1,0)</f>
        <v>0</v>
      </c>
      <c r="AI1815" s="3">
        <f t="shared" si="497"/>
        <v>0</v>
      </c>
      <c r="AL1815" s="3">
        <v>0</v>
      </c>
      <c r="AM1815" s="3">
        <f t="shared" si="498"/>
        <v>1</v>
      </c>
      <c r="AN1815" s="3" t="str">
        <f t="shared" si="485"/>
        <v/>
      </c>
      <c r="AO1815" s="3">
        <v>0</v>
      </c>
      <c r="AP1815" s="3">
        <f t="shared" si="499"/>
        <v>8</v>
      </c>
      <c r="AR1815">
        <f t="shared" si="500"/>
        <v>0</v>
      </c>
      <c r="AS1815">
        <f t="shared" si="501"/>
        <v>5</v>
      </c>
    </row>
    <row r="1816" customHeight="1" spans="1:45">
      <c r="A1816" s="3" t="str">
        <f>IF(对接源_02物料!$C616="","",对接源_02物料!$C616)</f>
        <v/>
      </c>
      <c r="B1816" s="3">
        <f t="shared" si="486"/>
        <v>0</v>
      </c>
      <c r="C1816" s="3">
        <f t="shared" si="487"/>
        <v>21</v>
      </c>
      <c r="K1816" s="3">
        <f>IF(OR($K$1="",对接源_02物料!$C616="",对接源_02物料!$C616&lt;&gt;$K$1,对接源_02物料!$B616=""),0,IF(OR(N(对接源_02物料!$B616)&lt;$K$2,N(对接源_02物料!$B616)&gt;$K$3),0,1))</f>
        <v>0</v>
      </c>
      <c r="L1816" s="3">
        <f>IF(OR($L$1="",对接源_02物料!$C616="",对接源_02物料!$C616&lt;&gt;$L$1,对接源_02物料!$B616=""),0,IF(OR(N(对接源_02物料!$B616)&lt;$L$2,N(对接源_02物料!$B616)&gt;$L$3),0,1))</f>
        <v>0</v>
      </c>
      <c r="M1816" s="3">
        <f>IF(OR($M$1="",对接源_02物料!$C616="",对接源_02物料!$C616&lt;&gt;$M$1,对接源_02物料!$B616=""),0,IF(OR(N(对接源_02物料!$B616)&lt;$M$2,N(对接源_02物料!$B616)&gt;$M$3),0,1))</f>
        <v>0</v>
      </c>
      <c r="N1816" s="3">
        <f>IF(OR($N$1="",对接源_02物料!$C616="",对接源_02物料!$C616&lt;&gt;$N$1,对接源_02物料!$B616=""),0,IF(OR(N(对接源_02物料!$B616)&lt;$N$2,N(对接源_02物料!$B616)&gt;$N$3),0,1))</f>
        <v>0</v>
      </c>
      <c r="P1816" s="3">
        <f>IF(AND($K1816=1,AND(对接源_02物料!$X616="公司筐",N(对接源_02物料!$T616)&lt;&gt;0)),1,0)</f>
        <v>0</v>
      </c>
      <c r="Q1816" s="3">
        <f t="shared" si="488"/>
        <v>8</v>
      </c>
      <c r="R1816" s="3">
        <f>IF(AND($K1816=1,AND(对接源_02物料!$X616="公司筐",N(对接源_02物料!$U616)&lt;&gt;0)),1,0)</f>
        <v>0</v>
      </c>
      <c r="S1816" s="3">
        <f t="shared" si="489"/>
        <v>0</v>
      </c>
      <c r="T1816" s="3">
        <f>IF(AND($K1816=1,AND(对接源_02物料!$X616="公司筐",N(对接源_02物料!$V616)&lt;&gt;0)),1,0)</f>
        <v>0</v>
      </c>
      <c r="U1816" s="3">
        <f t="shared" si="490"/>
        <v>19</v>
      </c>
      <c r="V1816" s="3">
        <f>IF(AND($L1816=1,AND(对接源_02物料!$X616="自备筐",N(对接源_02物料!$V616)&lt;&gt;0)),1,0)</f>
        <v>0</v>
      </c>
      <c r="W1816" s="3">
        <f t="shared" si="491"/>
        <v>8</v>
      </c>
      <c r="X1816" s="3">
        <f>IF(AND($L1816=1,AND(对接源_02物料!$X616="自备筐",N(对接源_02物料!$T616)&lt;&gt;0)),1,0)</f>
        <v>0</v>
      </c>
      <c r="Y1816" s="3">
        <f t="shared" si="492"/>
        <v>0</v>
      </c>
      <c r="Z1816" s="3">
        <f>IF(AND($M1816=1,对接源_02物料!$D616="原料入库"),1,0)</f>
        <v>0</v>
      </c>
      <c r="AA1816" s="3">
        <f t="shared" si="493"/>
        <v>24</v>
      </c>
      <c r="AB1816" s="3">
        <f>IF(AND($M1816=1,LEFT(对接源_02物料!$D616,4)="原料出库"),1,0)</f>
        <v>0</v>
      </c>
      <c r="AC1816" s="3">
        <f t="shared" si="494"/>
        <v>0</v>
      </c>
      <c r="AD1816" s="3">
        <f>IF(AND($M1816=1,LEFT(对接源_02物料!$D616,4)="成品出库"),1,0)</f>
        <v>0</v>
      </c>
      <c r="AE1816" s="3">
        <f t="shared" si="495"/>
        <v>0</v>
      </c>
      <c r="AF1816" s="3">
        <f>IF(AND($N1816=1,AND(LEFT(对接源_02物料!$D616,4)="包装物料",N(对接源_02物料!$K616)&lt;&gt;0)),1,0)</f>
        <v>0</v>
      </c>
      <c r="AG1816" s="3">
        <f t="shared" si="496"/>
        <v>5</v>
      </c>
      <c r="AH1816" s="3">
        <f>IF(AND($N1816=1,AND(对接源_02物料!$D616="周转筐－销售出库",N(对接源_02物料!$K616)&lt;&gt;0)),1,0)</f>
        <v>0</v>
      </c>
      <c r="AI1816" s="3">
        <f t="shared" si="497"/>
        <v>0</v>
      </c>
      <c r="AL1816" s="3">
        <v>0</v>
      </c>
      <c r="AM1816" s="3">
        <f t="shared" si="498"/>
        <v>1</v>
      </c>
      <c r="AN1816" s="3" t="str">
        <f t="shared" si="485"/>
        <v/>
      </c>
      <c r="AO1816" s="3">
        <v>0</v>
      </c>
      <c r="AP1816" s="3">
        <f t="shared" si="499"/>
        <v>8</v>
      </c>
      <c r="AR1816">
        <f t="shared" si="500"/>
        <v>0</v>
      </c>
      <c r="AS1816">
        <f t="shared" si="501"/>
        <v>5</v>
      </c>
    </row>
    <row r="1817" customHeight="1" spans="1:45">
      <c r="A1817" s="3" t="str">
        <f>IF(对接源_02物料!$C617="","",对接源_02物料!$C617)</f>
        <v/>
      </c>
      <c r="B1817" s="3">
        <f t="shared" si="486"/>
        <v>0</v>
      </c>
      <c r="C1817" s="3">
        <f t="shared" si="487"/>
        <v>21</v>
      </c>
      <c r="K1817" s="3">
        <f>IF(OR($K$1="",对接源_02物料!$C617="",对接源_02物料!$C617&lt;&gt;$K$1,对接源_02物料!$B617=""),0,IF(OR(N(对接源_02物料!$B617)&lt;$K$2,N(对接源_02物料!$B617)&gt;$K$3),0,1))</f>
        <v>0</v>
      </c>
      <c r="L1817" s="3">
        <f>IF(OR($L$1="",对接源_02物料!$C617="",对接源_02物料!$C617&lt;&gt;$L$1,对接源_02物料!$B617=""),0,IF(OR(N(对接源_02物料!$B617)&lt;$L$2,N(对接源_02物料!$B617)&gt;$L$3),0,1))</f>
        <v>0</v>
      </c>
      <c r="M1817" s="3">
        <f>IF(OR($M$1="",对接源_02物料!$C617="",对接源_02物料!$C617&lt;&gt;$M$1,对接源_02物料!$B617=""),0,IF(OR(N(对接源_02物料!$B617)&lt;$M$2,N(对接源_02物料!$B617)&gt;$M$3),0,1))</f>
        <v>0</v>
      </c>
      <c r="N1817" s="3">
        <f>IF(OR($N$1="",对接源_02物料!$C617="",对接源_02物料!$C617&lt;&gt;$N$1,对接源_02物料!$B617=""),0,IF(OR(N(对接源_02物料!$B617)&lt;$N$2,N(对接源_02物料!$B617)&gt;$N$3),0,1))</f>
        <v>0</v>
      </c>
      <c r="P1817" s="3">
        <f>IF(AND($K1817=1,AND(对接源_02物料!$X617="公司筐",N(对接源_02物料!$T617)&lt;&gt;0)),1,0)</f>
        <v>0</v>
      </c>
      <c r="Q1817" s="3">
        <f t="shared" si="488"/>
        <v>8</v>
      </c>
      <c r="R1817" s="3">
        <f>IF(AND($K1817=1,AND(对接源_02物料!$X617="公司筐",N(对接源_02物料!$U617)&lt;&gt;0)),1,0)</f>
        <v>0</v>
      </c>
      <c r="S1817" s="3">
        <f t="shared" si="489"/>
        <v>0</v>
      </c>
      <c r="T1817" s="3">
        <f>IF(AND($K1817=1,AND(对接源_02物料!$X617="公司筐",N(对接源_02物料!$V617)&lt;&gt;0)),1,0)</f>
        <v>0</v>
      </c>
      <c r="U1817" s="3">
        <f t="shared" si="490"/>
        <v>19</v>
      </c>
      <c r="V1817" s="3">
        <f>IF(AND($L1817=1,AND(对接源_02物料!$X617="自备筐",N(对接源_02物料!$V617)&lt;&gt;0)),1,0)</f>
        <v>0</v>
      </c>
      <c r="W1817" s="3">
        <f t="shared" si="491"/>
        <v>8</v>
      </c>
      <c r="X1817" s="3">
        <f>IF(AND($L1817=1,AND(对接源_02物料!$X617="自备筐",N(对接源_02物料!$T617)&lt;&gt;0)),1,0)</f>
        <v>0</v>
      </c>
      <c r="Y1817" s="3">
        <f t="shared" si="492"/>
        <v>0</v>
      </c>
      <c r="Z1817" s="3">
        <f>IF(AND($M1817=1,对接源_02物料!$D617="原料入库"),1,0)</f>
        <v>0</v>
      </c>
      <c r="AA1817" s="3">
        <f t="shared" si="493"/>
        <v>24</v>
      </c>
      <c r="AB1817" s="3">
        <f>IF(AND($M1817=1,LEFT(对接源_02物料!$D617,4)="原料出库"),1,0)</f>
        <v>0</v>
      </c>
      <c r="AC1817" s="3">
        <f t="shared" si="494"/>
        <v>0</v>
      </c>
      <c r="AD1817" s="3">
        <f>IF(AND($M1817=1,LEFT(对接源_02物料!$D617,4)="成品出库"),1,0)</f>
        <v>0</v>
      </c>
      <c r="AE1817" s="3">
        <f t="shared" si="495"/>
        <v>0</v>
      </c>
      <c r="AF1817" s="3">
        <f>IF(AND($N1817=1,AND(LEFT(对接源_02物料!$D617,4)="包装物料",N(对接源_02物料!$K617)&lt;&gt;0)),1,0)</f>
        <v>0</v>
      </c>
      <c r="AG1817" s="3">
        <f t="shared" si="496"/>
        <v>5</v>
      </c>
      <c r="AH1817" s="3">
        <f>IF(AND($N1817=1,AND(对接源_02物料!$D617="周转筐－销售出库",N(对接源_02物料!$K617)&lt;&gt;0)),1,0)</f>
        <v>0</v>
      </c>
      <c r="AI1817" s="3">
        <f t="shared" si="497"/>
        <v>0</v>
      </c>
      <c r="AL1817" s="3">
        <v>0</v>
      </c>
      <c r="AM1817" s="3">
        <f t="shared" si="498"/>
        <v>1</v>
      </c>
      <c r="AN1817" s="3" t="str">
        <f t="shared" si="485"/>
        <v/>
      </c>
      <c r="AO1817" s="3">
        <v>0</v>
      </c>
      <c r="AP1817" s="3">
        <f t="shared" si="499"/>
        <v>8</v>
      </c>
      <c r="AR1817">
        <f t="shared" si="500"/>
        <v>0</v>
      </c>
      <c r="AS1817">
        <f t="shared" si="501"/>
        <v>5</v>
      </c>
    </row>
    <row r="1818" customHeight="1" spans="1:45">
      <c r="A1818" s="3" t="str">
        <f>IF(对接源_02物料!$C618="","",对接源_02物料!$C618)</f>
        <v/>
      </c>
      <c r="B1818" s="3">
        <f t="shared" si="486"/>
        <v>0</v>
      </c>
      <c r="C1818" s="3">
        <f t="shared" si="487"/>
        <v>21</v>
      </c>
      <c r="K1818" s="3">
        <f>IF(OR($K$1="",对接源_02物料!$C618="",对接源_02物料!$C618&lt;&gt;$K$1,对接源_02物料!$B618=""),0,IF(OR(N(对接源_02物料!$B618)&lt;$K$2,N(对接源_02物料!$B618)&gt;$K$3),0,1))</f>
        <v>0</v>
      </c>
      <c r="L1818" s="3">
        <f>IF(OR($L$1="",对接源_02物料!$C618="",对接源_02物料!$C618&lt;&gt;$L$1,对接源_02物料!$B618=""),0,IF(OR(N(对接源_02物料!$B618)&lt;$L$2,N(对接源_02物料!$B618)&gt;$L$3),0,1))</f>
        <v>0</v>
      </c>
      <c r="M1818" s="3">
        <f>IF(OR($M$1="",对接源_02物料!$C618="",对接源_02物料!$C618&lt;&gt;$M$1,对接源_02物料!$B618=""),0,IF(OR(N(对接源_02物料!$B618)&lt;$M$2,N(对接源_02物料!$B618)&gt;$M$3),0,1))</f>
        <v>0</v>
      </c>
      <c r="N1818" s="3">
        <f>IF(OR($N$1="",对接源_02物料!$C618="",对接源_02物料!$C618&lt;&gt;$N$1,对接源_02物料!$B618=""),0,IF(OR(N(对接源_02物料!$B618)&lt;$N$2,N(对接源_02物料!$B618)&gt;$N$3),0,1))</f>
        <v>0</v>
      </c>
      <c r="P1818" s="3">
        <f>IF(AND($K1818=1,AND(对接源_02物料!$X618="公司筐",N(对接源_02物料!$T618)&lt;&gt;0)),1,0)</f>
        <v>0</v>
      </c>
      <c r="Q1818" s="3">
        <f t="shared" si="488"/>
        <v>8</v>
      </c>
      <c r="R1818" s="3">
        <f>IF(AND($K1818=1,AND(对接源_02物料!$X618="公司筐",N(对接源_02物料!$U618)&lt;&gt;0)),1,0)</f>
        <v>0</v>
      </c>
      <c r="S1818" s="3">
        <f t="shared" si="489"/>
        <v>0</v>
      </c>
      <c r="T1818" s="3">
        <f>IF(AND($K1818=1,AND(对接源_02物料!$X618="公司筐",N(对接源_02物料!$V618)&lt;&gt;0)),1,0)</f>
        <v>0</v>
      </c>
      <c r="U1818" s="3">
        <f t="shared" si="490"/>
        <v>19</v>
      </c>
      <c r="V1818" s="3">
        <f>IF(AND($L1818=1,AND(对接源_02物料!$X618="自备筐",N(对接源_02物料!$V618)&lt;&gt;0)),1,0)</f>
        <v>0</v>
      </c>
      <c r="W1818" s="3">
        <f t="shared" si="491"/>
        <v>8</v>
      </c>
      <c r="X1818" s="3">
        <f>IF(AND($L1818=1,AND(对接源_02物料!$X618="自备筐",N(对接源_02物料!$T618)&lt;&gt;0)),1,0)</f>
        <v>0</v>
      </c>
      <c r="Y1818" s="3">
        <f t="shared" si="492"/>
        <v>0</v>
      </c>
      <c r="Z1818" s="3">
        <f>IF(AND($M1818=1,对接源_02物料!$D618="原料入库"),1,0)</f>
        <v>0</v>
      </c>
      <c r="AA1818" s="3">
        <f t="shared" si="493"/>
        <v>24</v>
      </c>
      <c r="AB1818" s="3">
        <f>IF(AND($M1818=1,LEFT(对接源_02物料!$D618,4)="原料出库"),1,0)</f>
        <v>0</v>
      </c>
      <c r="AC1818" s="3">
        <f t="shared" si="494"/>
        <v>0</v>
      </c>
      <c r="AD1818" s="3">
        <f>IF(AND($M1818=1,LEFT(对接源_02物料!$D618,4)="成品出库"),1,0)</f>
        <v>0</v>
      </c>
      <c r="AE1818" s="3">
        <f t="shared" si="495"/>
        <v>0</v>
      </c>
      <c r="AF1818" s="3">
        <f>IF(AND($N1818=1,AND(LEFT(对接源_02物料!$D618,4)="包装物料",N(对接源_02物料!$K618)&lt;&gt;0)),1,0)</f>
        <v>0</v>
      </c>
      <c r="AG1818" s="3">
        <f t="shared" si="496"/>
        <v>5</v>
      </c>
      <c r="AH1818" s="3">
        <f>IF(AND($N1818=1,AND(对接源_02物料!$D618="周转筐－销售出库",N(对接源_02物料!$K618)&lt;&gt;0)),1,0)</f>
        <v>0</v>
      </c>
      <c r="AI1818" s="3">
        <f t="shared" si="497"/>
        <v>0</v>
      </c>
      <c r="AL1818" s="3">
        <v>0</v>
      </c>
      <c r="AM1818" s="3">
        <f t="shared" si="498"/>
        <v>1</v>
      </c>
      <c r="AN1818" s="3" t="str">
        <f t="shared" si="485"/>
        <v/>
      </c>
      <c r="AO1818" s="3">
        <v>0</v>
      </c>
      <c r="AP1818" s="3">
        <f t="shared" si="499"/>
        <v>8</v>
      </c>
      <c r="AR1818">
        <f t="shared" si="500"/>
        <v>0</v>
      </c>
      <c r="AS1818">
        <f t="shared" si="501"/>
        <v>5</v>
      </c>
    </row>
    <row r="1819" customHeight="1" spans="1:45">
      <c r="A1819" s="3" t="str">
        <f>IF(对接源_02物料!$C619="","",对接源_02物料!$C619)</f>
        <v/>
      </c>
      <c r="B1819" s="3">
        <f t="shared" si="486"/>
        <v>0</v>
      </c>
      <c r="C1819" s="3">
        <f t="shared" si="487"/>
        <v>21</v>
      </c>
      <c r="K1819" s="3">
        <f>IF(OR($K$1="",对接源_02物料!$C619="",对接源_02物料!$C619&lt;&gt;$K$1,对接源_02物料!$B619=""),0,IF(OR(N(对接源_02物料!$B619)&lt;$K$2,N(对接源_02物料!$B619)&gt;$K$3),0,1))</f>
        <v>0</v>
      </c>
      <c r="L1819" s="3">
        <f>IF(OR($L$1="",对接源_02物料!$C619="",对接源_02物料!$C619&lt;&gt;$L$1,对接源_02物料!$B619=""),0,IF(OR(N(对接源_02物料!$B619)&lt;$L$2,N(对接源_02物料!$B619)&gt;$L$3),0,1))</f>
        <v>0</v>
      </c>
      <c r="M1819" s="3">
        <f>IF(OR($M$1="",对接源_02物料!$C619="",对接源_02物料!$C619&lt;&gt;$M$1,对接源_02物料!$B619=""),0,IF(OR(N(对接源_02物料!$B619)&lt;$M$2,N(对接源_02物料!$B619)&gt;$M$3),0,1))</f>
        <v>0</v>
      </c>
      <c r="N1819" s="3">
        <f>IF(OR($N$1="",对接源_02物料!$C619="",对接源_02物料!$C619&lt;&gt;$N$1,对接源_02物料!$B619=""),0,IF(OR(N(对接源_02物料!$B619)&lt;$N$2,N(对接源_02物料!$B619)&gt;$N$3),0,1))</f>
        <v>0</v>
      </c>
      <c r="P1819" s="3">
        <f>IF(AND($K1819=1,AND(对接源_02物料!$X619="公司筐",N(对接源_02物料!$T619)&lt;&gt;0)),1,0)</f>
        <v>0</v>
      </c>
      <c r="Q1819" s="3">
        <f t="shared" si="488"/>
        <v>8</v>
      </c>
      <c r="R1819" s="3">
        <f>IF(AND($K1819=1,AND(对接源_02物料!$X619="公司筐",N(对接源_02物料!$U619)&lt;&gt;0)),1,0)</f>
        <v>0</v>
      </c>
      <c r="S1819" s="3">
        <f t="shared" si="489"/>
        <v>0</v>
      </c>
      <c r="T1819" s="3">
        <f>IF(AND($K1819=1,AND(对接源_02物料!$X619="公司筐",N(对接源_02物料!$V619)&lt;&gt;0)),1,0)</f>
        <v>0</v>
      </c>
      <c r="U1819" s="3">
        <f t="shared" si="490"/>
        <v>19</v>
      </c>
      <c r="V1819" s="3">
        <f>IF(AND($L1819=1,AND(对接源_02物料!$X619="自备筐",N(对接源_02物料!$V619)&lt;&gt;0)),1,0)</f>
        <v>0</v>
      </c>
      <c r="W1819" s="3">
        <f t="shared" si="491"/>
        <v>8</v>
      </c>
      <c r="X1819" s="3">
        <f>IF(AND($L1819=1,AND(对接源_02物料!$X619="自备筐",N(对接源_02物料!$T619)&lt;&gt;0)),1,0)</f>
        <v>0</v>
      </c>
      <c r="Y1819" s="3">
        <f t="shared" si="492"/>
        <v>0</v>
      </c>
      <c r="Z1819" s="3">
        <f>IF(AND($M1819=1,对接源_02物料!$D619="原料入库"),1,0)</f>
        <v>0</v>
      </c>
      <c r="AA1819" s="3">
        <f t="shared" si="493"/>
        <v>24</v>
      </c>
      <c r="AB1819" s="3">
        <f>IF(AND($M1819=1,LEFT(对接源_02物料!$D619,4)="原料出库"),1,0)</f>
        <v>0</v>
      </c>
      <c r="AC1819" s="3">
        <f t="shared" si="494"/>
        <v>0</v>
      </c>
      <c r="AD1819" s="3">
        <f>IF(AND($M1819=1,LEFT(对接源_02物料!$D619,4)="成品出库"),1,0)</f>
        <v>0</v>
      </c>
      <c r="AE1819" s="3">
        <f t="shared" si="495"/>
        <v>0</v>
      </c>
      <c r="AF1819" s="3">
        <f>IF(AND($N1819=1,AND(LEFT(对接源_02物料!$D619,4)="包装物料",N(对接源_02物料!$K619)&lt;&gt;0)),1,0)</f>
        <v>0</v>
      </c>
      <c r="AG1819" s="3">
        <f t="shared" si="496"/>
        <v>5</v>
      </c>
      <c r="AH1819" s="3">
        <f>IF(AND($N1819=1,AND(对接源_02物料!$D619="周转筐－销售出库",N(对接源_02物料!$K619)&lt;&gt;0)),1,0)</f>
        <v>0</v>
      </c>
      <c r="AI1819" s="3">
        <f t="shared" si="497"/>
        <v>0</v>
      </c>
      <c r="AL1819" s="3">
        <v>0</v>
      </c>
      <c r="AM1819" s="3">
        <f t="shared" si="498"/>
        <v>1</v>
      </c>
      <c r="AN1819" s="3" t="str">
        <f t="shared" si="485"/>
        <v/>
      </c>
      <c r="AO1819" s="3">
        <v>0</v>
      </c>
      <c r="AP1819" s="3">
        <f t="shared" si="499"/>
        <v>8</v>
      </c>
      <c r="AR1819">
        <f t="shared" si="500"/>
        <v>0</v>
      </c>
      <c r="AS1819">
        <f t="shared" si="501"/>
        <v>5</v>
      </c>
    </row>
    <row r="1820" customHeight="1" spans="1:45">
      <c r="A1820" s="3" t="str">
        <f>IF(对接源_02物料!$C620="","",对接源_02物料!$C620)</f>
        <v/>
      </c>
      <c r="B1820" s="3">
        <f t="shared" si="486"/>
        <v>0</v>
      </c>
      <c r="C1820" s="3">
        <f t="shared" si="487"/>
        <v>21</v>
      </c>
      <c r="K1820" s="3">
        <f>IF(OR($K$1="",对接源_02物料!$C620="",对接源_02物料!$C620&lt;&gt;$K$1,对接源_02物料!$B620=""),0,IF(OR(N(对接源_02物料!$B620)&lt;$K$2,N(对接源_02物料!$B620)&gt;$K$3),0,1))</f>
        <v>0</v>
      </c>
      <c r="L1820" s="3">
        <f>IF(OR($L$1="",对接源_02物料!$C620="",对接源_02物料!$C620&lt;&gt;$L$1,对接源_02物料!$B620=""),0,IF(OR(N(对接源_02物料!$B620)&lt;$L$2,N(对接源_02物料!$B620)&gt;$L$3),0,1))</f>
        <v>0</v>
      </c>
      <c r="M1820" s="3">
        <f>IF(OR($M$1="",对接源_02物料!$C620="",对接源_02物料!$C620&lt;&gt;$M$1,对接源_02物料!$B620=""),0,IF(OR(N(对接源_02物料!$B620)&lt;$M$2,N(对接源_02物料!$B620)&gt;$M$3),0,1))</f>
        <v>0</v>
      </c>
      <c r="N1820" s="3">
        <f>IF(OR($N$1="",对接源_02物料!$C620="",对接源_02物料!$C620&lt;&gt;$N$1,对接源_02物料!$B620=""),0,IF(OR(N(对接源_02物料!$B620)&lt;$N$2,N(对接源_02物料!$B620)&gt;$N$3),0,1))</f>
        <v>0</v>
      </c>
      <c r="P1820" s="3">
        <f>IF(AND($K1820=1,AND(对接源_02物料!$X620="公司筐",N(对接源_02物料!$T620)&lt;&gt;0)),1,0)</f>
        <v>0</v>
      </c>
      <c r="Q1820" s="3">
        <f t="shared" si="488"/>
        <v>8</v>
      </c>
      <c r="R1820" s="3">
        <f>IF(AND($K1820=1,AND(对接源_02物料!$X620="公司筐",N(对接源_02物料!$U620)&lt;&gt;0)),1,0)</f>
        <v>0</v>
      </c>
      <c r="S1820" s="3">
        <f t="shared" si="489"/>
        <v>0</v>
      </c>
      <c r="T1820" s="3">
        <f>IF(AND($K1820=1,AND(对接源_02物料!$X620="公司筐",N(对接源_02物料!$V620)&lt;&gt;0)),1,0)</f>
        <v>0</v>
      </c>
      <c r="U1820" s="3">
        <f t="shared" si="490"/>
        <v>19</v>
      </c>
      <c r="V1820" s="3">
        <f>IF(AND($L1820=1,AND(对接源_02物料!$X620="自备筐",N(对接源_02物料!$V620)&lt;&gt;0)),1,0)</f>
        <v>0</v>
      </c>
      <c r="W1820" s="3">
        <f t="shared" si="491"/>
        <v>8</v>
      </c>
      <c r="X1820" s="3">
        <f>IF(AND($L1820=1,AND(对接源_02物料!$X620="自备筐",N(对接源_02物料!$T620)&lt;&gt;0)),1,0)</f>
        <v>0</v>
      </c>
      <c r="Y1820" s="3">
        <f t="shared" si="492"/>
        <v>0</v>
      </c>
      <c r="Z1820" s="3">
        <f>IF(AND($M1820=1,对接源_02物料!$D620="原料入库"),1,0)</f>
        <v>0</v>
      </c>
      <c r="AA1820" s="3">
        <f t="shared" si="493"/>
        <v>24</v>
      </c>
      <c r="AB1820" s="3">
        <f>IF(AND($M1820=1,LEFT(对接源_02物料!$D620,4)="原料出库"),1,0)</f>
        <v>0</v>
      </c>
      <c r="AC1820" s="3">
        <f t="shared" si="494"/>
        <v>0</v>
      </c>
      <c r="AD1820" s="3">
        <f>IF(AND($M1820=1,LEFT(对接源_02物料!$D620,4)="成品出库"),1,0)</f>
        <v>0</v>
      </c>
      <c r="AE1820" s="3">
        <f t="shared" si="495"/>
        <v>0</v>
      </c>
      <c r="AF1820" s="3">
        <f>IF(AND($N1820=1,AND(LEFT(对接源_02物料!$D620,4)="包装物料",N(对接源_02物料!$K620)&lt;&gt;0)),1,0)</f>
        <v>0</v>
      </c>
      <c r="AG1820" s="3">
        <f t="shared" si="496"/>
        <v>5</v>
      </c>
      <c r="AH1820" s="3">
        <f>IF(AND($N1820=1,AND(对接源_02物料!$D620="周转筐－销售出库",N(对接源_02物料!$K620)&lt;&gt;0)),1,0)</f>
        <v>0</v>
      </c>
      <c r="AI1820" s="3">
        <f t="shared" si="497"/>
        <v>0</v>
      </c>
      <c r="AL1820" s="3">
        <v>0</v>
      </c>
      <c r="AM1820" s="3">
        <f t="shared" si="498"/>
        <v>1</v>
      </c>
      <c r="AN1820" s="3" t="str">
        <f t="shared" si="485"/>
        <v/>
      </c>
      <c r="AO1820" s="3">
        <v>0</v>
      </c>
      <c r="AP1820" s="3">
        <f t="shared" si="499"/>
        <v>8</v>
      </c>
      <c r="AR1820">
        <f t="shared" si="500"/>
        <v>0</v>
      </c>
      <c r="AS1820">
        <f t="shared" si="501"/>
        <v>5</v>
      </c>
    </row>
    <row r="1821" customHeight="1" spans="1:45">
      <c r="A1821" s="3" t="str">
        <f>IF(对接源_02物料!$C621="","",对接源_02物料!$C621)</f>
        <v/>
      </c>
      <c r="B1821" s="3">
        <f t="shared" si="486"/>
        <v>0</v>
      </c>
      <c r="C1821" s="3">
        <f t="shared" si="487"/>
        <v>21</v>
      </c>
      <c r="K1821" s="3">
        <f>IF(OR($K$1="",对接源_02物料!$C621="",对接源_02物料!$C621&lt;&gt;$K$1,对接源_02物料!$B621=""),0,IF(OR(N(对接源_02物料!$B621)&lt;$K$2,N(对接源_02物料!$B621)&gt;$K$3),0,1))</f>
        <v>0</v>
      </c>
      <c r="L1821" s="3">
        <f>IF(OR($L$1="",对接源_02物料!$C621="",对接源_02物料!$C621&lt;&gt;$L$1,对接源_02物料!$B621=""),0,IF(OR(N(对接源_02物料!$B621)&lt;$L$2,N(对接源_02物料!$B621)&gt;$L$3),0,1))</f>
        <v>0</v>
      </c>
      <c r="M1821" s="3">
        <f>IF(OR($M$1="",对接源_02物料!$C621="",对接源_02物料!$C621&lt;&gt;$M$1,对接源_02物料!$B621=""),0,IF(OR(N(对接源_02物料!$B621)&lt;$M$2,N(对接源_02物料!$B621)&gt;$M$3),0,1))</f>
        <v>0</v>
      </c>
      <c r="N1821" s="3">
        <f>IF(OR($N$1="",对接源_02物料!$C621="",对接源_02物料!$C621&lt;&gt;$N$1,对接源_02物料!$B621=""),0,IF(OR(N(对接源_02物料!$B621)&lt;$N$2,N(对接源_02物料!$B621)&gt;$N$3),0,1))</f>
        <v>0</v>
      </c>
      <c r="P1821" s="3">
        <f>IF(AND($K1821=1,AND(对接源_02物料!$X621="公司筐",N(对接源_02物料!$T621)&lt;&gt;0)),1,0)</f>
        <v>0</v>
      </c>
      <c r="Q1821" s="3">
        <f t="shared" si="488"/>
        <v>8</v>
      </c>
      <c r="R1821" s="3">
        <f>IF(AND($K1821=1,AND(对接源_02物料!$X621="公司筐",N(对接源_02物料!$U621)&lt;&gt;0)),1,0)</f>
        <v>0</v>
      </c>
      <c r="S1821" s="3">
        <f t="shared" si="489"/>
        <v>0</v>
      </c>
      <c r="T1821" s="3">
        <f>IF(AND($K1821=1,AND(对接源_02物料!$X621="公司筐",N(对接源_02物料!$V621)&lt;&gt;0)),1,0)</f>
        <v>0</v>
      </c>
      <c r="U1821" s="3">
        <f t="shared" si="490"/>
        <v>19</v>
      </c>
      <c r="V1821" s="3">
        <f>IF(AND($L1821=1,AND(对接源_02物料!$X621="自备筐",N(对接源_02物料!$V621)&lt;&gt;0)),1,0)</f>
        <v>0</v>
      </c>
      <c r="W1821" s="3">
        <f t="shared" si="491"/>
        <v>8</v>
      </c>
      <c r="X1821" s="3">
        <f>IF(AND($L1821=1,AND(对接源_02物料!$X621="自备筐",N(对接源_02物料!$T621)&lt;&gt;0)),1,0)</f>
        <v>0</v>
      </c>
      <c r="Y1821" s="3">
        <f t="shared" si="492"/>
        <v>0</v>
      </c>
      <c r="Z1821" s="3">
        <f>IF(AND($M1821=1,对接源_02物料!$D621="原料入库"),1,0)</f>
        <v>0</v>
      </c>
      <c r="AA1821" s="3">
        <f t="shared" si="493"/>
        <v>24</v>
      </c>
      <c r="AB1821" s="3">
        <f>IF(AND($M1821=1,LEFT(对接源_02物料!$D621,4)="原料出库"),1,0)</f>
        <v>0</v>
      </c>
      <c r="AC1821" s="3">
        <f t="shared" si="494"/>
        <v>0</v>
      </c>
      <c r="AD1821" s="3">
        <f>IF(AND($M1821=1,LEFT(对接源_02物料!$D621,4)="成品出库"),1,0)</f>
        <v>0</v>
      </c>
      <c r="AE1821" s="3">
        <f t="shared" si="495"/>
        <v>0</v>
      </c>
      <c r="AF1821" s="3">
        <f>IF(AND($N1821=1,AND(LEFT(对接源_02物料!$D621,4)="包装物料",N(对接源_02物料!$K621)&lt;&gt;0)),1,0)</f>
        <v>0</v>
      </c>
      <c r="AG1821" s="3">
        <f t="shared" si="496"/>
        <v>5</v>
      </c>
      <c r="AH1821" s="3">
        <f>IF(AND($N1821=1,AND(对接源_02物料!$D621="周转筐－销售出库",N(对接源_02物料!$K621)&lt;&gt;0)),1,0)</f>
        <v>0</v>
      </c>
      <c r="AI1821" s="3">
        <f t="shared" si="497"/>
        <v>0</v>
      </c>
      <c r="AL1821" s="3">
        <v>0</v>
      </c>
      <c r="AM1821" s="3">
        <f t="shared" si="498"/>
        <v>1</v>
      </c>
      <c r="AN1821" s="3" t="str">
        <f t="shared" si="485"/>
        <v/>
      </c>
      <c r="AO1821" s="3">
        <v>0</v>
      </c>
      <c r="AP1821" s="3">
        <f t="shared" si="499"/>
        <v>8</v>
      </c>
      <c r="AR1821">
        <f t="shared" si="500"/>
        <v>0</v>
      </c>
      <c r="AS1821">
        <f t="shared" si="501"/>
        <v>5</v>
      </c>
    </row>
    <row r="1822" customHeight="1" spans="1:45">
      <c r="A1822" s="3" t="str">
        <f>IF(对接源_02物料!$C622="","",对接源_02物料!$C622)</f>
        <v/>
      </c>
      <c r="B1822" s="3">
        <f t="shared" si="486"/>
        <v>0</v>
      </c>
      <c r="C1822" s="3">
        <f t="shared" si="487"/>
        <v>21</v>
      </c>
      <c r="K1822" s="3">
        <f>IF(OR($K$1="",对接源_02物料!$C622="",对接源_02物料!$C622&lt;&gt;$K$1,对接源_02物料!$B622=""),0,IF(OR(N(对接源_02物料!$B622)&lt;$K$2,N(对接源_02物料!$B622)&gt;$K$3),0,1))</f>
        <v>0</v>
      </c>
      <c r="L1822" s="3">
        <f>IF(OR($L$1="",对接源_02物料!$C622="",对接源_02物料!$C622&lt;&gt;$L$1,对接源_02物料!$B622=""),0,IF(OR(N(对接源_02物料!$B622)&lt;$L$2,N(对接源_02物料!$B622)&gt;$L$3),0,1))</f>
        <v>0</v>
      </c>
      <c r="M1822" s="3">
        <f>IF(OR($M$1="",对接源_02物料!$C622="",对接源_02物料!$C622&lt;&gt;$M$1,对接源_02物料!$B622=""),0,IF(OR(N(对接源_02物料!$B622)&lt;$M$2,N(对接源_02物料!$B622)&gt;$M$3),0,1))</f>
        <v>0</v>
      </c>
      <c r="N1822" s="3">
        <f>IF(OR($N$1="",对接源_02物料!$C622="",对接源_02物料!$C622&lt;&gt;$N$1,对接源_02物料!$B622=""),0,IF(OR(N(对接源_02物料!$B622)&lt;$N$2,N(对接源_02物料!$B622)&gt;$N$3),0,1))</f>
        <v>0</v>
      </c>
      <c r="P1822" s="3">
        <f>IF(AND($K1822=1,AND(对接源_02物料!$X622="公司筐",N(对接源_02物料!$T622)&lt;&gt;0)),1,0)</f>
        <v>0</v>
      </c>
      <c r="Q1822" s="3">
        <f t="shared" si="488"/>
        <v>8</v>
      </c>
      <c r="R1822" s="3">
        <f>IF(AND($K1822=1,AND(对接源_02物料!$X622="公司筐",N(对接源_02物料!$U622)&lt;&gt;0)),1,0)</f>
        <v>0</v>
      </c>
      <c r="S1822" s="3">
        <f t="shared" si="489"/>
        <v>0</v>
      </c>
      <c r="T1822" s="3">
        <f>IF(AND($K1822=1,AND(对接源_02物料!$X622="公司筐",N(对接源_02物料!$V622)&lt;&gt;0)),1,0)</f>
        <v>0</v>
      </c>
      <c r="U1822" s="3">
        <f t="shared" si="490"/>
        <v>19</v>
      </c>
      <c r="V1822" s="3">
        <f>IF(AND($L1822=1,AND(对接源_02物料!$X622="自备筐",N(对接源_02物料!$V622)&lt;&gt;0)),1,0)</f>
        <v>0</v>
      </c>
      <c r="W1822" s="3">
        <f t="shared" si="491"/>
        <v>8</v>
      </c>
      <c r="X1822" s="3">
        <f>IF(AND($L1822=1,AND(对接源_02物料!$X622="自备筐",N(对接源_02物料!$T622)&lt;&gt;0)),1,0)</f>
        <v>0</v>
      </c>
      <c r="Y1822" s="3">
        <f t="shared" si="492"/>
        <v>0</v>
      </c>
      <c r="Z1822" s="3">
        <f>IF(AND($M1822=1,对接源_02物料!$D622="原料入库"),1,0)</f>
        <v>0</v>
      </c>
      <c r="AA1822" s="3">
        <f t="shared" si="493"/>
        <v>24</v>
      </c>
      <c r="AB1822" s="3">
        <f>IF(AND($M1822=1,LEFT(对接源_02物料!$D622,4)="原料出库"),1,0)</f>
        <v>0</v>
      </c>
      <c r="AC1822" s="3">
        <f t="shared" si="494"/>
        <v>0</v>
      </c>
      <c r="AD1822" s="3">
        <f>IF(AND($M1822=1,LEFT(对接源_02物料!$D622,4)="成品出库"),1,0)</f>
        <v>0</v>
      </c>
      <c r="AE1822" s="3">
        <f t="shared" si="495"/>
        <v>0</v>
      </c>
      <c r="AF1822" s="3">
        <f>IF(AND($N1822=1,AND(LEFT(对接源_02物料!$D622,4)="包装物料",N(对接源_02物料!$K622)&lt;&gt;0)),1,0)</f>
        <v>0</v>
      </c>
      <c r="AG1822" s="3">
        <f t="shared" si="496"/>
        <v>5</v>
      </c>
      <c r="AH1822" s="3">
        <f>IF(AND($N1822=1,AND(对接源_02物料!$D622="周转筐－销售出库",N(对接源_02物料!$K622)&lt;&gt;0)),1,0)</f>
        <v>0</v>
      </c>
      <c r="AI1822" s="3">
        <f t="shared" si="497"/>
        <v>0</v>
      </c>
      <c r="AL1822" s="3">
        <v>0</v>
      </c>
      <c r="AM1822" s="3">
        <f t="shared" si="498"/>
        <v>1</v>
      </c>
      <c r="AN1822" s="3" t="str">
        <f t="shared" si="485"/>
        <v/>
      </c>
      <c r="AO1822" s="3">
        <v>0</v>
      </c>
      <c r="AP1822" s="3">
        <f t="shared" si="499"/>
        <v>8</v>
      </c>
      <c r="AR1822">
        <f t="shared" si="500"/>
        <v>0</v>
      </c>
      <c r="AS1822">
        <f t="shared" si="501"/>
        <v>5</v>
      </c>
    </row>
    <row r="1823" customHeight="1" spans="1:45">
      <c r="A1823" s="3" t="str">
        <f>IF(对接源_02物料!$C623="","",对接源_02物料!$C623)</f>
        <v/>
      </c>
      <c r="B1823" s="3">
        <f t="shared" si="486"/>
        <v>0</v>
      </c>
      <c r="C1823" s="3">
        <f t="shared" si="487"/>
        <v>21</v>
      </c>
      <c r="K1823" s="3">
        <f>IF(OR($K$1="",对接源_02物料!$C623="",对接源_02物料!$C623&lt;&gt;$K$1,对接源_02物料!$B623=""),0,IF(OR(N(对接源_02物料!$B623)&lt;$K$2,N(对接源_02物料!$B623)&gt;$K$3),0,1))</f>
        <v>0</v>
      </c>
      <c r="L1823" s="3">
        <f>IF(OR($L$1="",对接源_02物料!$C623="",对接源_02物料!$C623&lt;&gt;$L$1,对接源_02物料!$B623=""),0,IF(OR(N(对接源_02物料!$B623)&lt;$L$2,N(对接源_02物料!$B623)&gt;$L$3),0,1))</f>
        <v>0</v>
      </c>
      <c r="M1823" s="3">
        <f>IF(OR($M$1="",对接源_02物料!$C623="",对接源_02物料!$C623&lt;&gt;$M$1,对接源_02物料!$B623=""),0,IF(OR(N(对接源_02物料!$B623)&lt;$M$2,N(对接源_02物料!$B623)&gt;$M$3),0,1))</f>
        <v>0</v>
      </c>
      <c r="N1823" s="3">
        <f>IF(OR($N$1="",对接源_02物料!$C623="",对接源_02物料!$C623&lt;&gt;$N$1,对接源_02物料!$B623=""),0,IF(OR(N(对接源_02物料!$B623)&lt;$N$2,N(对接源_02物料!$B623)&gt;$N$3),0,1))</f>
        <v>0</v>
      </c>
      <c r="P1823" s="3">
        <f>IF(AND($K1823=1,AND(对接源_02物料!$X623="公司筐",N(对接源_02物料!$T623)&lt;&gt;0)),1,0)</f>
        <v>0</v>
      </c>
      <c r="Q1823" s="3">
        <f t="shared" si="488"/>
        <v>8</v>
      </c>
      <c r="R1823" s="3">
        <f>IF(AND($K1823=1,AND(对接源_02物料!$X623="公司筐",N(对接源_02物料!$U623)&lt;&gt;0)),1,0)</f>
        <v>0</v>
      </c>
      <c r="S1823" s="3">
        <f t="shared" si="489"/>
        <v>0</v>
      </c>
      <c r="T1823" s="3">
        <f>IF(AND($K1823=1,AND(对接源_02物料!$X623="公司筐",N(对接源_02物料!$V623)&lt;&gt;0)),1,0)</f>
        <v>0</v>
      </c>
      <c r="U1823" s="3">
        <f t="shared" si="490"/>
        <v>19</v>
      </c>
      <c r="V1823" s="3">
        <f>IF(AND($L1823=1,AND(对接源_02物料!$X623="自备筐",N(对接源_02物料!$V623)&lt;&gt;0)),1,0)</f>
        <v>0</v>
      </c>
      <c r="W1823" s="3">
        <f t="shared" si="491"/>
        <v>8</v>
      </c>
      <c r="X1823" s="3">
        <f>IF(AND($L1823=1,AND(对接源_02物料!$X623="自备筐",N(对接源_02物料!$T623)&lt;&gt;0)),1,0)</f>
        <v>0</v>
      </c>
      <c r="Y1823" s="3">
        <f t="shared" si="492"/>
        <v>0</v>
      </c>
      <c r="Z1823" s="3">
        <f>IF(AND($M1823=1,对接源_02物料!$D623="原料入库"),1,0)</f>
        <v>0</v>
      </c>
      <c r="AA1823" s="3">
        <f t="shared" si="493"/>
        <v>24</v>
      </c>
      <c r="AB1823" s="3">
        <f>IF(AND($M1823=1,LEFT(对接源_02物料!$D623,4)="原料出库"),1,0)</f>
        <v>0</v>
      </c>
      <c r="AC1823" s="3">
        <f t="shared" si="494"/>
        <v>0</v>
      </c>
      <c r="AD1823" s="3">
        <f>IF(AND($M1823=1,LEFT(对接源_02物料!$D623,4)="成品出库"),1,0)</f>
        <v>0</v>
      </c>
      <c r="AE1823" s="3">
        <f t="shared" si="495"/>
        <v>0</v>
      </c>
      <c r="AF1823" s="3">
        <f>IF(AND($N1823=1,AND(LEFT(对接源_02物料!$D623,4)="包装物料",N(对接源_02物料!$K623)&lt;&gt;0)),1,0)</f>
        <v>0</v>
      </c>
      <c r="AG1823" s="3">
        <f t="shared" si="496"/>
        <v>5</v>
      </c>
      <c r="AH1823" s="3">
        <f>IF(AND($N1823=1,AND(对接源_02物料!$D623="周转筐－销售出库",N(对接源_02物料!$K623)&lt;&gt;0)),1,0)</f>
        <v>0</v>
      </c>
      <c r="AI1823" s="3">
        <f t="shared" si="497"/>
        <v>0</v>
      </c>
      <c r="AL1823" s="3">
        <v>0</v>
      </c>
      <c r="AM1823" s="3">
        <f t="shared" si="498"/>
        <v>1</v>
      </c>
      <c r="AN1823" s="3" t="str">
        <f t="shared" si="485"/>
        <v/>
      </c>
      <c r="AO1823" s="3">
        <v>0</v>
      </c>
      <c r="AP1823" s="3">
        <f t="shared" si="499"/>
        <v>8</v>
      </c>
      <c r="AR1823">
        <f t="shared" si="500"/>
        <v>0</v>
      </c>
      <c r="AS1823">
        <f t="shared" si="501"/>
        <v>5</v>
      </c>
    </row>
    <row r="1824" customHeight="1" spans="1:45">
      <c r="A1824" s="3" t="str">
        <f>IF(对接源_02物料!$C624="","",对接源_02物料!$C624)</f>
        <v/>
      </c>
      <c r="B1824" s="3">
        <f t="shared" si="486"/>
        <v>0</v>
      </c>
      <c r="C1824" s="3">
        <f t="shared" si="487"/>
        <v>21</v>
      </c>
      <c r="K1824" s="3">
        <f>IF(OR($K$1="",对接源_02物料!$C624="",对接源_02物料!$C624&lt;&gt;$K$1,对接源_02物料!$B624=""),0,IF(OR(N(对接源_02物料!$B624)&lt;$K$2,N(对接源_02物料!$B624)&gt;$K$3),0,1))</f>
        <v>0</v>
      </c>
      <c r="L1824" s="3">
        <f>IF(OR($L$1="",对接源_02物料!$C624="",对接源_02物料!$C624&lt;&gt;$L$1,对接源_02物料!$B624=""),0,IF(OR(N(对接源_02物料!$B624)&lt;$L$2,N(对接源_02物料!$B624)&gt;$L$3),0,1))</f>
        <v>0</v>
      </c>
      <c r="M1824" s="3">
        <f>IF(OR($M$1="",对接源_02物料!$C624="",对接源_02物料!$C624&lt;&gt;$M$1,对接源_02物料!$B624=""),0,IF(OR(N(对接源_02物料!$B624)&lt;$M$2,N(对接源_02物料!$B624)&gt;$M$3),0,1))</f>
        <v>0</v>
      </c>
      <c r="N1824" s="3">
        <f>IF(OR($N$1="",对接源_02物料!$C624="",对接源_02物料!$C624&lt;&gt;$N$1,对接源_02物料!$B624=""),0,IF(OR(N(对接源_02物料!$B624)&lt;$N$2,N(对接源_02物料!$B624)&gt;$N$3),0,1))</f>
        <v>0</v>
      </c>
      <c r="P1824" s="3">
        <f>IF(AND($K1824=1,AND(对接源_02物料!$X624="公司筐",N(对接源_02物料!$T624)&lt;&gt;0)),1,0)</f>
        <v>0</v>
      </c>
      <c r="Q1824" s="3">
        <f t="shared" si="488"/>
        <v>8</v>
      </c>
      <c r="R1824" s="3">
        <f>IF(AND($K1824=1,AND(对接源_02物料!$X624="公司筐",N(对接源_02物料!$U624)&lt;&gt;0)),1,0)</f>
        <v>0</v>
      </c>
      <c r="S1824" s="3">
        <f t="shared" si="489"/>
        <v>0</v>
      </c>
      <c r="T1824" s="3">
        <f>IF(AND($K1824=1,AND(对接源_02物料!$X624="公司筐",N(对接源_02物料!$V624)&lt;&gt;0)),1,0)</f>
        <v>0</v>
      </c>
      <c r="U1824" s="3">
        <f t="shared" si="490"/>
        <v>19</v>
      </c>
      <c r="V1824" s="3">
        <f>IF(AND($L1824=1,AND(对接源_02物料!$X624="自备筐",N(对接源_02物料!$V624)&lt;&gt;0)),1,0)</f>
        <v>0</v>
      </c>
      <c r="W1824" s="3">
        <f t="shared" si="491"/>
        <v>8</v>
      </c>
      <c r="X1824" s="3">
        <f>IF(AND($L1824=1,AND(对接源_02物料!$X624="自备筐",N(对接源_02物料!$T624)&lt;&gt;0)),1,0)</f>
        <v>0</v>
      </c>
      <c r="Y1824" s="3">
        <f t="shared" si="492"/>
        <v>0</v>
      </c>
      <c r="Z1824" s="3">
        <f>IF(AND($M1824=1,对接源_02物料!$D624="原料入库"),1,0)</f>
        <v>0</v>
      </c>
      <c r="AA1824" s="3">
        <f t="shared" si="493"/>
        <v>24</v>
      </c>
      <c r="AB1824" s="3">
        <f>IF(AND($M1824=1,LEFT(对接源_02物料!$D624,4)="原料出库"),1,0)</f>
        <v>0</v>
      </c>
      <c r="AC1824" s="3">
        <f t="shared" si="494"/>
        <v>0</v>
      </c>
      <c r="AD1824" s="3">
        <f>IF(AND($M1824=1,LEFT(对接源_02物料!$D624,4)="成品出库"),1,0)</f>
        <v>0</v>
      </c>
      <c r="AE1824" s="3">
        <f t="shared" si="495"/>
        <v>0</v>
      </c>
      <c r="AF1824" s="3">
        <f>IF(AND($N1824=1,AND(LEFT(对接源_02物料!$D624,4)="包装物料",N(对接源_02物料!$K624)&lt;&gt;0)),1,0)</f>
        <v>0</v>
      </c>
      <c r="AG1824" s="3">
        <f t="shared" si="496"/>
        <v>5</v>
      </c>
      <c r="AH1824" s="3">
        <f>IF(AND($N1824=1,AND(对接源_02物料!$D624="周转筐－销售出库",N(对接源_02物料!$K624)&lt;&gt;0)),1,0)</f>
        <v>0</v>
      </c>
      <c r="AI1824" s="3">
        <f t="shared" si="497"/>
        <v>0</v>
      </c>
      <c r="AL1824" s="3">
        <v>0</v>
      </c>
      <c r="AM1824" s="3">
        <f t="shared" si="498"/>
        <v>1</v>
      </c>
      <c r="AN1824" s="3" t="str">
        <f t="shared" si="485"/>
        <v/>
      </c>
      <c r="AO1824" s="3">
        <v>0</v>
      </c>
      <c r="AP1824" s="3">
        <f t="shared" si="499"/>
        <v>8</v>
      </c>
      <c r="AR1824">
        <f t="shared" si="500"/>
        <v>0</v>
      </c>
      <c r="AS1824">
        <f t="shared" si="501"/>
        <v>5</v>
      </c>
    </row>
    <row r="1825" customHeight="1" spans="1:45">
      <c r="A1825" s="3" t="str">
        <f>IF(对接源_02物料!$C625="","",对接源_02物料!$C625)</f>
        <v/>
      </c>
      <c r="B1825" s="3">
        <f t="shared" si="486"/>
        <v>0</v>
      </c>
      <c r="C1825" s="3">
        <f t="shared" si="487"/>
        <v>21</v>
      </c>
      <c r="K1825" s="3">
        <f>IF(OR($K$1="",对接源_02物料!$C625="",对接源_02物料!$C625&lt;&gt;$K$1,对接源_02物料!$B625=""),0,IF(OR(N(对接源_02物料!$B625)&lt;$K$2,N(对接源_02物料!$B625)&gt;$K$3),0,1))</f>
        <v>0</v>
      </c>
      <c r="L1825" s="3">
        <f>IF(OR($L$1="",对接源_02物料!$C625="",对接源_02物料!$C625&lt;&gt;$L$1,对接源_02物料!$B625=""),0,IF(OR(N(对接源_02物料!$B625)&lt;$L$2,N(对接源_02物料!$B625)&gt;$L$3),0,1))</f>
        <v>0</v>
      </c>
      <c r="M1825" s="3">
        <f>IF(OR($M$1="",对接源_02物料!$C625="",对接源_02物料!$C625&lt;&gt;$M$1,对接源_02物料!$B625=""),0,IF(OR(N(对接源_02物料!$B625)&lt;$M$2,N(对接源_02物料!$B625)&gt;$M$3),0,1))</f>
        <v>0</v>
      </c>
      <c r="N1825" s="3">
        <f>IF(OR($N$1="",对接源_02物料!$C625="",对接源_02物料!$C625&lt;&gt;$N$1,对接源_02物料!$B625=""),0,IF(OR(N(对接源_02物料!$B625)&lt;$N$2,N(对接源_02物料!$B625)&gt;$N$3),0,1))</f>
        <v>0</v>
      </c>
      <c r="P1825" s="3">
        <f>IF(AND($K1825=1,AND(对接源_02物料!$X625="公司筐",N(对接源_02物料!$T625)&lt;&gt;0)),1,0)</f>
        <v>0</v>
      </c>
      <c r="Q1825" s="3">
        <f t="shared" si="488"/>
        <v>8</v>
      </c>
      <c r="R1825" s="3">
        <f>IF(AND($K1825=1,AND(对接源_02物料!$X625="公司筐",N(对接源_02物料!$U625)&lt;&gt;0)),1,0)</f>
        <v>0</v>
      </c>
      <c r="S1825" s="3">
        <f t="shared" si="489"/>
        <v>0</v>
      </c>
      <c r="T1825" s="3">
        <f>IF(AND($K1825=1,AND(对接源_02物料!$X625="公司筐",N(对接源_02物料!$V625)&lt;&gt;0)),1,0)</f>
        <v>0</v>
      </c>
      <c r="U1825" s="3">
        <f t="shared" si="490"/>
        <v>19</v>
      </c>
      <c r="V1825" s="3">
        <f>IF(AND($L1825=1,AND(对接源_02物料!$X625="自备筐",N(对接源_02物料!$V625)&lt;&gt;0)),1,0)</f>
        <v>0</v>
      </c>
      <c r="W1825" s="3">
        <f t="shared" si="491"/>
        <v>8</v>
      </c>
      <c r="X1825" s="3">
        <f>IF(AND($L1825=1,AND(对接源_02物料!$X625="自备筐",N(对接源_02物料!$T625)&lt;&gt;0)),1,0)</f>
        <v>0</v>
      </c>
      <c r="Y1825" s="3">
        <f t="shared" si="492"/>
        <v>0</v>
      </c>
      <c r="Z1825" s="3">
        <f>IF(AND($M1825=1,对接源_02物料!$D625="原料入库"),1,0)</f>
        <v>0</v>
      </c>
      <c r="AA1825" s="3">
        <f t="shared" si="493"/>
        <v>24</v>
      </c>
      <c r="AB1825" s="3">
        <f>IF(AND($M1825=1,LEFT(对接源_02物料!$D625,4)="原料出库"),1,0)</f>
        <v>0</v>
      </c>
      <c r="AC1825" s="3">
        <f t="shared" si="494"/>
        <v>0</v>
      </c>
      <c r="AD1825" s="3">
        <f>IF(AND($M1825=1,LEFT(对接源_02物料!$D625,4)="成品出库"),1,0)</f>
        <v>0</v>
      </c>
      <c r="AE1825" s="3">
        <f t="shared" si="495"/>
        <v>0</v>
      </c>
      <c r="AF1825" s="3">
        <f>IF(AND($N1825=1,AND(LEFT(对接源_02物料!$D625,4)="包装物料",N(对接源_02物料!$K625)&lt;&gt;0)),1,0)</f>
        <v>0</v>
      </c>
      <c r="AG1825" s="3">
        <f t="shared" si="496"/>
        <v>5</v>
      </c>
      <c r="AH1825" s="3">
        <f>IF(AND($N1825=1,AND(对接源_02物料!$D625="周转筐－销售出库",N(对接源_02物料!$K625)&lt;&gt;0)),1,0)</f>
        <v>0</v>
      </c>
      <c r="AI1825" s="3">
        <f t="shared" si="497"/>
        <v>0</v>
      </c>
      <c r="AL1825" s="3">
        <v>0</v>
      </c>
      <c r="AM1825" s="3">
        <f t="shared" si="498"/>
        <v>1</v>
      </c>
      <c r="AN1825" s="3" t="str">
        <f t="shared" si="485"/>
        <v/>
      </c>
      <c r="AO1825" s="3">
        <v>0</v>
      </c>
      <c r="AP1825" s="3">
        <f t="shared" si="499"/>
        <v>8</v>
      </c>
      <c r="AR1825">
        <f t="shared" si="500"/>
        <v>0</v>
      </c>
      <c r="AS1825">
        <f t="shared" si="501"/>
        <v>5</v>
      </c>
    </row>
    <row r="1826" customHeight="1" spans="1:45">
      <c r="A1826" s="3" t="str">
        <f>IF(对接源_02物料!$C626="","",对接源_02物料!$C626)</f>
        <v/>
      </c>
      <c r="B1826" s="3">
        <f t="shared" si="486"/>
        <v>0</v>
      </c>
      <c r="C1826" s="3">
        <f t="shared" si="487"/>
        <v>21</v>
      </c>
      <c r="K1826" s="3">
        <f>IF(OR($K$1="",对接源_02物料!$C626="",对接源_02物料!$C626&lt;&gt;$K$1,对接源_02物料!$B626=""),0,IF(OR(N(对接源_02物料!$B626)&lt;$K$2,N(对接源_02物料!$B626)&gt;$K$3),0,1))</f>
        <v>0</v>
      </c>
      <c r="L1826" s="3">
        <f>IF(OR($L$1="",对接源_02物料!$C626="",对接源_02物料!$C626&lt;&gt;$L$1,对接源_02物料!$B626=""),0,IF(OR(N(对接源_02物料!$B626)&lt;$L$2,N(对接源_02物料!$B626)&gt;$L$3),0,1))</f>
        <v>0</v>
      </c>
      <c r="M1826" s="3">
        <f>IF(OR($M$1="",对接源_02物料!$C626="",对接源_02物料!$C626&lt;&gt;$M$1,对接源_02物料!$B626=""),0,IF(OR(N(对接源_02物料!$B626)&lt;$M$2,N(对接源_02物料!$B626)&gt;$M$3),0,1))</f>
        <v>0</v>
      </c>
      <c r="N1826" s="3">
        <f>IF(OR($N$1="",对接源_02物料!$C626="",对接源_02物料!$C626&lt;&gt;$N$1,对接源_02物料!$B626=""),0,IF(OR(N(对接源_02物料!$B626)&lt;$N$2,N(对接源_02物料!$B626)&gt;$N$3),0,1))</f>
        <v>0</v>
      </c>
      <c r="P1826" s="3">
        <f>IF(AND($K1826=1,AND(对接源_02物料!$X626="公司筐",N(对接源_02物料!$T626)&lt;&gt;0)),1,0)</f>
        <v>0</v>
      </c>
      <c r="Q1826" s="3">
        <f t="shared" si="488"/>
        <v>8</v>
      </c>
      <c r="R1826" s="3">
        <f>IF(AND($K1826=1,AND(对接源_02物料!$X626="公司筐",N(对接源_02物料!$U626)&lt;&gt;0)),1,0)</f>
        <v>0</v>
      </c>
      <c r="S1826" s="3">
        <f t="shared" si="489"/>
        <v>0</v>
      </c>
      <c r="T1826" s="3">
        <f>IF(AND($K1826=1,AND(对接源_02物料!$X626="公司筐",N(对接源_02物料!$V626)&lt;&gt;0)),1,0)</f>
        <v>0</v>
      </c>
      <c r="U1826" s="3">
        <f t="shared" si="490"/>
        <v>19</v>
      </c>
      <c r="V1826" s="3">
        <f>IF(AND($L1826=1,AND(对接源_02物料!$X626="自备筐",N(对接源_02物料!$V626)&lt;&gt;0)),1,0)</f>
        <v>0</v>
      </c>
      <c r="W1826" s="3">
        <f t="shared" si="491"/>
        <v>8</v>
      </c>
      <c r="X1826" s="3">
        <f>IF(AND($L1826=1,AND(对接源_02物料!$X626="自备筐",N(对接源_02物料!$T626)&lt;&gt;0)),1,0)</f>
        <v>0</v>
      </c>
      <c r="Y1826" s="3">
        <f t="shared" si="492"/>
        <v>0</v>
      </c>
      <c r="Z1826" s="3">
        <f>IF(AND($M1826=1,对接源_02物料!$D626="原料入库"),1,0)</f>
        <v>0</v>
      </c>
      <c r="AA1826" s="3">
        <f t="shared" si="493"/>
        <v>24</v>
      </c>
      <c r="AB1826" s="3">
        <f>IF(AND($M1826=1,LEFT(对接源_02物料!$D626,4)="原料出库"),1,0)</f>
        <v>0</v>
      </c>
      <c r="AC1826" s="3">
        <f t="shared" si="494"/>
        <v>0</v>
      </c>
      <c r="AD1826" s="3">
        <f>IF(AND($M1826=1,LEFT(对接源_02物料!$D626,4)="成品出库"),1,0)</f>
        <v>0</v>
      </c>
      <c r="AE1826" s="3">
        <f t="shared" si="495"/>
        <v>0</v>
      </c>
      <c r="AF1826" s="3">
        <f>IF(AND($N1826=1,AND(LEFT(对接源_02物料!$D626,4)="包装物料",N(对接源_02物料!$K626)&lt;&gt;0)),1,0)</f>
        <v>0</v>
      </c>
      <c r="AG1826" s="3">
        <f t="shared" si="496"/>
        <v>5</v>
      </c>
      <c r="AH1826" s="3">
        <f>IF(AND($N1826=1,AND(对接源_02物料!$D626="周转筐－销售出库",N(对接源_02物料!$K626)&lt;&gt;0)),1,0)</f>
        <v>0</v>
      </c>
      <c r="AI1826" s="3">
        <f t="shared" si="497"/>
        <v>0</v>
      </c>
      <c r="AL1826" s="3">
        <v>0</v>
      </c>
      <c r="AM1826" s="3">
        <f t="shared" si="498"/>
        <v>1</v>
      </c>
      <c r="AN1826" s="3" t="str">
        <f t="shared" si="485"/>
        <v/>
      </c>
      <c r="AO1826" s="3">
        <v>0</v>
      </c>
      <c r="AP1826" s="3">
        <f t="shared" si="499"/>
        <v>8</v>
      </c>
      <c r="AR1826">
        <f t="shared" si="500"/>
        <v>0</v>
      </c>
      <c r="AS1826">
        <f t="shared" si="501"/>
        <v>5</v>
      </c>
    </row>
    <row r="1827" customHeight="1" spans="1:45">
      <c r="A1827" s="3" t="str">
        <f>IF(对接源_02物料!$C627="","",对接源_02物料!$C627)</f>
        <v/>
      </c>
      <c r="B1827" s="3">
        <f t="shared" si="486"/>
        <v>0</v>
      </c>
      <c r="C1827" s="3">
        <f t="shared" si="487"/>
        <v>21</v>
      </c>
      <c r="K1827" s="3">
        <f>IF(OR($K$1="",对接源_02物料!$C627="",对接源_02物料!$C627&lt;&gt;$K$1,对接源_02物料!$B627=""),0,IF(OR(N(对接源_02物料!$B627)&lt;$K$2,N(对接源_02物料!$B627)&gt;$K$3),0,1))</f>
        <v>0</v>
      </c>
      <c r="L1827" s="3">
        <f>IF(OR($L$1="",对接源_02物料!$C627="",对接源_02物料!$C627&lt;&gt;$L$1,对接源_02物料!$B627=""),0,IF(OR(N(对接源_02物料!$B627)&lt;$L$2,N(对接源_02物料!$B627)&gt;$L$3),0,1))</f>
        <v>0</v>
      </c>
      <c r="M1827" s="3">
        <f>IF(OR($M$1="",对接源_02物料!$C627="",对接源_02物料!$C627&lt;&gt;$M$1,对接源_02物料!$B627=""),0,IF(OR(N(对接源_02物料!$B627)&lt;$M$2,N(对接源_02物料!$B627)&gt;$M$3),0,1))</f>
        <v>0</v>
      </c>
      <c r="N1827" s="3">
        <f>IF(OR($N$1="",对接源_02物料!$C627="",对接源_02物料!$C627&lt;&gt;$N$1,对接源_02物料!$B627=""),0,IF(OR(N(对接源_02物料!$B627)&lt;$N$2,N(对接源_02物料!$B627)&gt;$N$3),0,1))</f>
        <v>0</v>
      </c>
      <c r="P1827" s="3">
        <f>IF(AND($K1827=1,AND(对接源_02物料!$X627="公司筐",N(对接源_02物料!$T627)&lt;&gt;0)),1,0)</f>
        <v>0</v>
      </c>
      <c r="Q1827" s="3">
        <f t="shared" si="488"/>
        <v>8</v>
      </c>
      <c r="R1827" s="3">
        <f>IF(AND($K1827=1,AND(对接源_02物料!$X627="公司筐",N(对接源_02物料!$U627)&lt;&gt;0)),1,0)</f>
        <v>0</v>
      </c>
      <c r="S1827" s="3">
        <f t="shared" si="489"/>
        <v>0</v>
      </c>
      <c r="T1827" s="3">
        <f>IF(AND($K1827=1,AND(对接源_02物料!$X627="公司筐",N(对接源_02物料!$V627)&lt;&gt;0)),1,0)</f>
        <v>0</v>
      </c>
      <c r="U1827" s="3">
        <f t="shared" si="490"/>
        <v>19</v>
      </c>
      <c r="V1827" s="3">
        <f>IF(AND($L1827=1,AND(对接源_02物料!$X627="自备筐",N(对接源_02物料!$V627)&lt;&gt;0)),1,0)</f>
        <v>0</v>
      </c>
      <c r="W1827" s="3">
        <f t="shared" si="491"/>
        <v>8</v>
      </c>
      <c r="X1827" s="3">
        <f>IF(AND($L1827=1,AND(对接源_02物料!$X627="自备筐",N(对接源_02物料!$T627)&lt;&gt;0)),1,0)</f>
        <v>0</v>
      </c>
      <c r="Y1827" s="3">
        <f t="shared" si="492"/>
        <v>0</v>
      </c>
      <c r="Z1827" s="3">
        <f>IF(AND($M1827=1,对接源_02物料!$D627="原料入库"),1,0)</f>
        <v>0</v>
      </c>
      <c r="AA1827" s="3">
        <f t="shared" si="493"/>
        <v>24</v>
      </c>
      <c r="AB1827" s="3">
        <f>IF(AND($M1827=1,LEFT(对接源_02物料!$D627,4)="原料出库"),1,0)</f>
        <v>0</v>
      </c>
      <c r="AC1827" s="3">
        <f t="shared" si="494"/>
        <v>0</v>
      </c>
      <c r="AD1827" s="3">
        <f>IF(AND($M1827=1,LEFT(对接源_02物料!$D627,4)="成品出库"),1,0)</f>
        <v>0</v>
      </c>
      <c r="AE1827" s="3">
        <f t="shared" si="495"/>
        <v>0</v>
      </c>
      <c r="AF1827" s="3">
        <f>IF(AND($N1827=1,AND(LEFT(对接源_02物料!$D627,4)="包装物料",N(对接源_02物料!$K627)&lt;&gt;0)),1,0)</f>
        <v>0</v>
      </c>
      <c r="AG1827" s="3">
        <f t="shared" si="496"/>
        <v>5</v>
      </c>
      <c r="AH1827" s="3">
        <f>IF(AND($N1827=1,AND(对接源_02物料!$D627="周转筐－销售出库",N(对接源_02物料!$K627)&lt;&gt;0)),1,0)</f>
        <v>0</v>
      </c>
      <c r="AI1827" s="3">
        <f t="shared" si="497"/>
        <v>0</v>
      </c>
      <c r="AL1827" s="3">
        <v>0</v>
      </c>
      <c r="AM1827" s="3">
        <f t="shared" si="498"/>
        <v>1</v>
      </c>
      <c r="AN1827" s="3" t="str">
        <f t="shared" si="485"/>
        <v/>
      </c>
      <c r="AO1827" s="3">
        <v>0</v>
      </c>
      <c r="AP1827" s="3">
        <f t="shared" si="499"/>
        <v>8</v>
      </c>
      <c r="AR1827">
        <f t="shared" si="500"/>
        <v>0</v>
      </c>
      <c r="AS1827">
        <f t="shared" si="501"/>
        <v>5</v>
      </c>
    </row>
    <row r="1828" customHeight="1" spans="1:45">
      <c r="A1828" s="3" t="str">
        <f>IF(对接源_02物料!$C628="","",对接源_02物料!$C628)</f>
        <v/>
      </c>
      <c r="B1828" s="3">
        <f t="shared" si="486"/>
        <v>0</v>
      </c>
      <c r="C1828" s="3">
        <f t="shared" si="487"/>
        <v>21</v>
      </c>
      <c r="K1828" s="3">
        <f>IF(OR($K$1="",对接源_02物料!$C628="",对接源_02物料!$C628&lt;&gt;$K$1,对接源_02物料!$B628=""),0,IF(OR(N(对接源_02物料!$B628)&lt;$K$2,N(对接源_02物料!$B628)&gt;$K$3),0,1))</f>
        <v>0</v>
      </c>
      <c r="L1828" s="3">
        <f>IF(OR($L$1="",对接源_02物料!$C628="",对接源_02物料!$C628&lt;&gt;$L$1,对接源_02物料!$B628=""),0,IF(OR(N(对接源_02物料!$B628)&lt;$L$2,N(对接源_02物料!$B628)&gt;$L$3),0,1))</f>
        <v>0</v>
      </c>
      <c r="M1828" s="3">
        <f>IF(OR($M$1="",对接源_02物料!$C628="",对接源_02物料!$C628&lt;&gt;$M$1,对接源_02物料!$B628=""),0,IF(OR(N(对接源_02物料!$B628)&lt;$M$2,N(对接源_02物料!$B628)&gt;$M$3),0,1))</f>
        <v>0</v>
      </c>
      <c r="N1828" s="3">
        <f>IF(OR($N$1="",对接源_02物料!$C628="",对接源_02物料!$C628&lt;&gt;$N$1,对接源_02物料!$B628=""),0,IF(OR(N(对接源_02物料!$B628)&lt;$N$2,N(对接源_02物料!$B628)&gt;$N$3),0,1))</f>
        <v>0</v>
      </c>
      <c r="P1828" s="3">
        <f>IF(AND($K1828=1,AND(对接源_02物料!$X628="公司筐",N(对接源_02物料!$T628)&lt;&gt;0)),1,0)</f>
        <v>0</v>
      </c>
      <c r="Q1828" s="3">
        <f t="shared" si="488"/>
        <v>8</v>
      </c>
      <c r="R1828" s="3">
        <f>IF(AND($K1828=1,AND(对接源_02物料!$X628="公司筐",N(对接源_02物料!$U628)&lt;&gt;0)),1,0)</f>
        <v>0</v>
      </c>
      <c r="S1828" s="3">
        <f t="shared" si="489"/>
        <v>0</v>
      </c>
      <c r="T1828" s="3">
        <f>IF(AND($K1828=1,AND(对接源_02物料!$X628="公司筐",N(对接源_02物料!$V628)&lt;&gt;0)),1,0)</f>
        <v>0</v>
      </c>
      <c r="U1828" s="3">
        <f t="shared" si="490"/>
        <v>19</v>
      </c>
      <c r="V1828" s="3">
        <f>IF(AND($L1828=1,AND(对接源_02物料!$X628="自备筐",N(对接源_02物料!$V628)&lt;&gt;0)),1,0)</f>
        <v>0</v>
      </c>
      <c r="W1828" s="3">
        <f t="shared" si="491"/>
        <v>8</v>
      </c>
      <c r="X1828" s="3">
        <f>IF(AND($L1828=1,AND(对接源_02物料!$X628="自备筐",N(对接源_02物料!$T628)&lt;&gt;0)),1,0)</f>
        <v>0</v>
      </c>
      <c r="Y1828" s="3">
        <f t="shared" si="492"/>
        <v>0</v>
      </c>
      <c r="Z1828" s="3">
        <f>IF(AND($M1828=1,对接源_02物料!$D628="原料入库"),1,0)</f>
        <v>0</v>
      </c>
      <c r="AA1828" s="3">
        <f t="shared" si="493"/>
        <v>24</v>
      </c>
      <c r="AB1828" s="3">
        <f>IF(AND($M1828=1,LEFT(对接源_02物料!$D628,4)="原料出库"),1,0)</f>
        <v>0</v>
      </c>
      <c r="AC1828" s="3">
        <f t="shared" si="494"/>
        <v>0</v>
      </c>
      <c r="AD1828" s="3">
        <f>IF(AND($M1828=1,LEFT(对接源_02物料!$D628,4)="成品出库"),1,0)</f>
        <v>0</v>
      </c>
      <c r="AE1828" s="3">
        <f t="shared" si="495"/>
        <v>0</v>
      </c>
      <c r="AF1828" s="3">
        <f>IF(AND($N1828=1,AND(LEFT(对接源_02物料!$D628,4)="包装物料",N(对接源_02物料!$K628)&lt;&gt;0)),1,0)</f>
        <v>0</v>
      </c>
      <c r="AG1828" s="3">
        <f t="shared" si="496"/>
        <v>5</v>
      </c>
      <c r="AH1828" s="3">
        <f>IF(AND($N1828=1,AND(对接源_02物料!$D628="周转筐－销售出库",N(对接源_02物料!$K628)&lt;&gt;0)),1,0)</f>
        <v>0</v>
      </c>
      <c r="AI1828" s="3">
        <f t="shared" si="497"/>
        <v>0</v>
      </c>
      <c r="AL1828" s="3">
        <v>0</v>
      </c>
      <c r="AM1828" s="3">
        <f t="shared" si="498"/>
        <v>1</v>
      </c>
      <c r="AN1828" s="3" t="str">
        <f t="shared" si="485"/>
        <v/>
      </c>
      <c r="AO1828" s="3">
        <v>0</v>
      </c>
      <c r="AP1828" s="3">
        <f t="shared" si="499"/>
        <v>8</v>
      </c>
      <c r="AR1828">
        <f t="shared" si="500"/>
        <v>0</v>
      </c>
      <c r="AS1828">
        <f t="shared" si="501"/>
        <v>5</v>
      </c>
    </row>
    <row r="1829" customHeight="1" spans="1:45">
      <c r="A1829" s="3" t="str">
        <f>IF(对接源_02物料!$C629="","",对接源_02物料!$C629)</f>
        <v/>
      </c>
      <c r="B1829" s="3">
        <f t="shared" si="486"/>
        <v>0</v>
      </c>
      <c r="C1829" s="3">
        <f t="shared" si="487"/>
        <v>21</v>
      </c>
      <c r="K1829" s="3">
        <f>IF(OR($K$1="",对接源_02物料!$C629="",对接源_02物料!$C629&lt;&gt;$K$1,对接源_02物料!$B629=""),0,IF(OR(N(对接源_02物料!$B629)&lt;$K$2,N(对接源_02物料!$B629)&gt;$K$3),0,1))</f>
        <v>0</v>
      </c>
      <c r="L1829" s="3">
        <f>IF(OR($L$1="",对接源_02物料!$C629="",对接源_02物料!$C629&lt;&gt;$L$1,对接源_02物料!$B629=""),0,IF(OR(N(对接源_02物料!$B629)&lt;$L$2,N(对接源_02物料!$B629)&gt;$L$3),0,1))</f>
        <v>0</v>
      </c>
      <c r="M1829" s="3">
        <f>IF(OR($M$1="",对接源_02物料!$C629="",对接源_02物料!$C629&lt;&gt;$M$1,对接源_02物料!$B629=""),0,IF(OR(N(对接源_02物料!$B629)&lt;$M$2,N(对接源_02物料!$B629)&gt;$M$3),0,1))</f>
        <v>0</v>
      </c>
      <c r="N1829" s="3">
        <f>IF(OR($N$1="",对接源_02物料!$C629="",对接源_02物料!$C629&lt;&gt;$N$1,对接源_02物料!$B629=""),0,IF(OR(N(对接源_02物料!$B629)&lt;$N$2,N(对接源_02物料!$B629)&gt;$N$3),0,1))</f>
        <v>0</v>
      </c>
      <c r="P1829" s="3">
        <f>IF(AND($K1829=1,AND(对接源_02物料!$X629="公司筐",N(对接源_02物料!$T629)&lt;&gt;0)),1,0)</f>
        <v>0</v>
      </c>
      <c r="Q1829" s="3">
        <f t="shared" si="488"/>
        <v>8</v>
      </c>
      <c r="R1829" s="3">
        <f>IF(AND($K1829=1,AND(对接源_02物料!$X629="公司筐",N(对接源_02物料!$U629)&lt;&gt;0)),1,0)</f>
        <v>0</v>
      </c>
      <c r="S1829" s="3">
        <f t="shared" si="489"/>
        <v>0</v>
      </c>
      <c r="T1829" s="3">
        <f>IF(AND($K1829=1,AND(对接源_02物料!$X629="公司筐",N(对接源_02物料!$V629)&lt;&gt;0)),1,0)</f>
        <v>0</v>
      </c>
      <c r="U1829" s="3">
        <f t="shared" si="490"/>
        <v>19</v>
      </c>
      <c r="V1829" s="3">
        <f>IF(AND($L1829=1,AND(对接源_02物料!$X629="自备筐",N(对接源_02物料!$V629)&lt;&gt;0)),1,0)</f>
        <v>0</v>
      </c>
      <c r="W1829" s="3">
        <f t="shared" si="491"/>
        <v>8</v>
      </c>
      <c r="X1829" s="3">
        <f>IF(AND($L1829=1,AND(对接源_02物料!$X629="自备筐",N(对接源_02物料!$T629)&lt;&gt;0)),1,0)</f>
        <v>0</v>
      </c>
      <c r="Y1829" s="3">
        <f t="shared" si="492"/>
        <v>0</v>
      </c>
      <c r="Z1829" s="3">
        <f>IF(AND($M1829=1,对接源_02物料!$D629="原料入库"),1,0)</f>
        <v>0</v>
      </c>
      <c r="AA1829" s="3">
        <f t="shared" si="493"/>
        <v>24</v>
      </c>
      <c r="AB1829" s="3">
        <f>IF(AND($M1829=1,LEFT(对接源_02物料!$D629,4)="原料出库"),1,0)</f>
        <v>0</v>
      </c>
      <c r="AC1829" s="3">
        <f t="shared" si="494"/>
        <v>0</v>
      </c>
      <c r="AD1829" s="3">
        <f>IF(AND($M1829=1,LEFT(对接源_02物料!$D629,4)="成品出库"),1,0)</f>
        <v>0</v>
      </c>
      <c r="AE1829" s="3">
        <f t="shared" si="495"/>
        <v>0</v>
      </c>
      <c r="AF1829" s="3">
        <f>IF(AND($N1829=1,AND(LEFT(对接源_02物料!$D629,4)="包装物料",N(对接源_02物料!$K629)&lt;&gt;0)),1,0)</f>
        <v>0</v>
      </c>
      <c r="AG1829" s="3">
        <f t="shared" si="496"/>
        <v>5</v>
      </c>
      <c r="AH1829" s="3">
        <f>IF(AND($N1829=1,AND(对接源_02物料!$D629="周转筐－销售出库",N(对接源_02物料!$K629)&lt;&gt;0)),1,0)</f>
        <v>0</v>
      </c>
      <c r="AI1829" s="3">
        <f t="shared" si="497"/>
        <v>0</v>
      </c>
      <c r="AL1829" s="3">
        <v>0</v>
      </c>
      <c r="AM1829" s="3">
        <f t="shared" si="498"/>
        <v>1</v>
      </c>
      <c r="AN1829" s="3" t="str">
        <f t="shared" si="485"/>
        <v/>
      </c>
      <c r="AO1829" s="3">
        <v>0</v>
      </c>
      <c r="AP1829" s="3">
        <f t="shared" si="499"/>
        <v>8</v>
      </c>
      <c r="AR1829">
        <f t="shared" si="500"/>
        <v>0</v>
      </c>
      <c r="AS1829">
        <f t="shared" si="501"/>
        <v>5</v>
      </c>
    </row>
    <row r="1830" customHeight="1" spans="1:45">
      <c r="A1830" s="3" t="str">
        <f>IF(对接源_02物料!$C630="","",对接源_02物料!$C630)</f>
        <v/>
      </c>
      <c r="B1830" s="3">
        <f t="shared" si="486"/>
        <v>0</v>
      </c>
      <c r="C1830" s="3">
        <f t="shared" si="487"/>
        <v>21</v>
      </c>
      <c r="K1830" s="3">
        <f>IF(OR($K$1="",对接源_02物料!$C630="",对接源_02物料!$C630&lt;&gt;$K$1,对接源_02物料!$B630=""),0,IF(OR(N(对接源_02物料!$B630)&lt;$K$2,N(对接源_02物料!$B630)&gt;$K$3),0,1))</f>
        <v>0</v>
      </c>
      <c r="L1830" s="3">
        <f>IF(OR($L$1="",对接源_02物料!$C630="",对接源_02物料!$C630&lt;&gt;$L$1,对接源_02物料!$B630=""),0,IF(OR(N(对接源_02物料!$B630)&lt;$L$2,N(对接源_02物料!$B630)&gt;$L$3),0,1))</f>
        <v>0</v>
      </c>
      <c r="M1830" s="3">
        <f>IF(OR($M$1="",对接源_02物料!$C630="",对接源_02物料!$C630&lt;&gt;$M$1,对接源_02物料!$B630=""),0,IF(OR(N(对接源_02物料!$B630)&lt;$M$2,N(对接源_02物料!$B630)&gt;$M$3),0,1))</f>
        <v>0</v>
      </c>
      <c r="N1830" s="3">
        <f>IF(OR($N$1="",对接源_02物料!$C630="",对接源_02物料!$C630&lt;&gt;$N$1,对接源_02物料!$B630=""),0,IF(OR(N(对接源_02物料!$B630)&lt;$N$2,N(对接源_02物料!$B630)&gt;$N$3),0,1))</f>
        <v>0</v>
      </c>
      <c r="P1830" s="3">
        <f>IF(AND($K1830=1,AND(对接源_02物料!$X630="公司筐",N(对接源_02物料!$T630)&lt;&gt;0)),1,0)</f>
        <v>0</v>
      </c>
      <c r="Q1830" s="3">
        <f t="shared" si="488"/>
        <v>8</v>
      </c>
      <c r="R1830" s="3">
        <f>IF(AND($K1830=1,AND(对接源_02物料!$X630="公司筐",N(对接源_02物料!$U630)&lt;&gt;0)),1,0)</f>
        <v>0</v>
      </c>
      <c r="S1830" s="3">
        <f t="shared" si="489"/>
        <v>0</v>
      </c>
      <c r="T1830" s="3">
        <f>IF(AND($K1830=1,AND(对接源_02物料!$X630="公司筐",N(对接源_02物料!$V630)&lt;&gt;0)),1,0)</f>
        <v>0</v>
      </c>
      <c r="U1830" s="3">
        <f t="shared" si="490"/>
        <v>19</v>
      </c>
      <c r="V1830" s="3">
        <f>IF(AND($L1830=1,AND(对接源_02物料!$X630="自备筐",N(对接源_02物料!$V630)&lt;&gt;0)),1,0)</f>
        <v>0</v>
      </c>
      <c r="W1830" s="3">
        <f t="shared" si="491"/>
        <v>8</v>
      </c>
      <c r="X1830" s="3">
        <f>IF(AND($L1830=1,AND(对接源_02物料!$X630="自备筐",N(对接源_02物料!$T630)&lt;&gt;0)),1,0)</f>
        <v>0</v>
      </c>
      <c r="Y1830" s="3">
        <f t="shared" si="492"/>
        <v>0</v>
      </c>
      <c r="Z1830" s="3">
        <f>IF(AND($M1830=1,对接源_02物料!$D630="原料入库"),1,0)</f>
        <v>0</v>
      </c>
      <c r="AA1830" s="3">
        <f t="shared" si="493"/>
        <v>24</v>
      </c>
      <c r="AB1830" s="3">
        <f>IF(AND($M1830=1,LEFT(对接源_02物料!$D630,4)="原料出库"),1,0)</f>
        <v>0</v>
      </c>
      <c r="AC1830" s="3">
        <f t="shared" si="494"/>
        <v>0</v>
      </c>
      <c r="AD1830" s="3">
        <f>IF(AND($M1830=1,LEFT(对接源_02物料!$D630,4)="成品出库"),1,0)</f>
        <v>0</v>
      </c>
      <c r="AE1830" s="3">
        <f t="shared" si="495"/>
        <v>0</v>
      </c>
      <c r="AF1830" s="3">
        <f>IF(AND($N1830=1,AND(LEFT(对接源_02物料!$D630,4)="包装物料",N(对接源_02物料!$K630)&lt;&gt;0)),1,0)</f>
        <v>0</v>
      </c>
      <c r="AG1830" s="3">
        <f t="shared" si="496"/>
        <v>5</v>
      </c>
      <c r="AH1830" s="3">
        <f>IF(AND($N1830=1,AND(对接源_02物料!$D630="周转筐－销售出库",N(对接源_02物料!$K630)&lt;&gt;0)),1,0)</f>
        <v>0</v>
      </c>
      <c r="AI1830" s="3">
        <f t="shared" si="497"/>
        <v>0</v>
      </c>
      <c r="AL1830" s="3">
        <v>0</v>
      </c>
      <c r="AM1830" s="3">
        <f t="shared" si="498"/>
        <v>1</v>
      </c>
      <c r="AN1830" s="3" t="str">
        <f t="shared" si="485"/>
        <v/>
      </c>
      <c r="AO1830" s="3">
        <v>0</v>
      </c>
      <c r="AP1830" s="3">
        <f t="shared" si="499"/>
        <v>8</v>
      </c>
      <c r="AR1830">
        <f t="shared" si="500"/>
        <v>0</v>
      </c>
      <c r="AS1830">
        <f t="shared" si="501"/>
        <v>5</v>
      </c>
    </row>
    <row r="1831" customHeight="1" spans="1:45">
      <c r="A1831" s="3" t="str">
        <f>IF(对接源_02物料!$C631="","",对接源_02物料!$C631)</f>
        <v/>
      </c>
      <c r="B1831" s="3">
        <f t="shared" si="486"/>
        <v>0</v>
      </c>
      <c r="C1831" s="3">
        <f t="shared" si="487"/>
        <v>21</v>
      </c>
      <c r="K1831" s="3">
        <f>IF(OR($K$1="",对接源_02物料!$C631="",对接源_02物料!$C631&lt;&gt;$K$1,对接源_02物料!$B631=""),0,IF(OR(N(对接源_02物料!$B631)&lt;$K$2,N(对接源_02物料!$B631)&gt;$K$3),0,1))</f>
        <v>0</v>
      </c>
      <c r="L1831" s="3">
        <f>IF(OR($L$1="",对接源_02物料!$C631="",对接源_02物料!$C631&lt;&gt;$L$1,对接源_02物料!$B631=""),0,IF(OR(N(对接源_02物料!$B631)&lt;$L$2,N(对接源_02物料!$B631)&gt;$L$3),0,1))</f>
        <v>0</v>
      </c>
      <c r="M1831" s="3">
        <f>IF(OR($M$1="",对接源_02物料!$C631="",对接源_02物料!$C631&lt;&gt;$M$1,对接源_02物料!$B631=""),0,IF(OR(N(对接源_02物料!$B631)&lt;$M$2,N(对接源_02物料!$B631)&gt;$M$3),0,1))</f>
        <v>0</v>
      </c>
      <c r="N1831" s="3">
        <f>IF(OR($N$1="",对接源_02物料!$C631="",对接源_02物料!$C631&lt;&gt;$N$1,对接源_02物料!$B631=""),0,IF(OR(N(对接源_02物料!$B631)&lt;$N$2,N(对接源_02物料!$B631)&gt;$N$3),0,1))</f>
        <v>0</v>
      </c>
      <c r="P1831" s="3">
        <f>IF(AND($K1831=1,AND(对接源_02物料!$X631="公司筐",N(对接源_02物料!$T631)&lt;&gt;0)),1,0)</f>
        <v>0</v>
      </c>
      <c r="Q1831" s="3">
        <f t="shared" si="488"/>
        <v>8</v>
      </c>
      <c r="R1831" s="3">
        <f>IF(AND($K1831=1,AND(对接源_02物料!$X631="公司筐",N(对接源_02物料!$U631)&lt;&gt;0)),1,0)</f>
        <v>0</v>
      </c>
      <c r="S1831" s="3">
        <f t="shared" si="489"/>
        <v>0</v>
      </c>
      <c r="T1831" s="3">
        <f>IF(AND($K1831=1,AND(对接源_02物料!$X631="公司筐",N(对接源_02物料!$V631)&lt;&gt;0)),1,0)</f>
        <v>0</v>
      </c>
      <c r="U1831" s="3">
        <f t="shared" si="490"/>
        <v>19</v>
      </c>
      <c r="V1831" s="3">
        <f>IF(AND($L1831=1,AND(对接源_02物料!$X631="自备筐",N(对接源_02物料!$V631)&lt;&gt;0)),1,0)</f>
        <v>0</v>
      </c>
      <c r="W1831" s="3">
        <f t="shared" si="491"/>
        <v>8</v>
      </c>
      <c r="X1831" s="3">
        <f>IF(AND($L1831=1,AND(对接源_02物料!$X631="自备筐",N(对接源_02物料!$T631)&lt;&gt;0)),1,0)</f>
        <v>0</v>
      </c>
      <c r="Y1831" s="3">
        <f t="shared" si="492"/>
        <v>0</v>
      </c>
      <c r="Z1831" s="3">
        <f>IF(AND($M1831=1,对接源_02物料!$D631="原料入库"),1,0)</f>
        <v>0</v>
      </c>
      <c r="AA1831" s="3">
        <f t="shared" si="493"/>
        <v>24</v>
      </c>
      <c r="AB1831" s="3">
        <f>IF(AND($M1831=1,LEFT(对接源_02物料!$D631,4)="原料出库"),1,0)</f>
        <v>0</v>
      </c>
      <c r="AC1831" s="3">
        <f t="shared" si="494"/>
        <v>0</v>
      </c>
      <c r="AD1831" s="3">
        <f>IF(AND($M1831=1,LEFT(对接源_02物料!$D631,4)="成品出库"),1,0)</f>
        <v>0</v>
      </c>
      <c r="AE1831" s="3">
        <f t="shared" si="495"/>
        <v>0</v>
      </c>
      <c r="AF1831" s="3">
        <f>IF(AND($N1831=1,AND(LEFT(对接源_02物料!$D631,4)="包装物料",N(对接源_02物料!$K631)&lt;&gt;0)),1,0)</f>
        <v>0</v>
      </c>
      <c r="AG1831" s="3">
        <f t="shared" si="496"/>
        <v>5</v>
      </c>
      <c r="AH1831" s="3">
        <f>IF(AND($N1831=1,AND(对接源_02物料!$D631="周转筐－销售出库",N(对接源_02物料!$K631)&lt;&gt;0)),1,0)</f>
        <v>0</v>
      </c>
      <c r="AI1831" s="3">
        <f t="shared" si="497"/>
        <v>0</v>
      </c>
      <c r="AL1831" s="3">
        <v>0</v>
      </c>
      <c r="AM1831" s="3">
        <f t="shared" si="498"/>
        <v>1</v>
      </c>
      <c r="AN1831" s="3" t="str">
        <f t="shared" si="485"/>
        <v/>
      </c>
      <c r="AO1831" s="3">
        <v>0</v>
      </c>
      <c r="AP1831" s="3">
        <f t="shared" si="499"/>
        <v>8</v>
      </c>
      <c r="AR1831">
        <f t="shared" si="500"/>
        <v>0</v>
      </c>
      <c r="AS1831">
        <f t="shared" si="501"/>
        <v>5</v>
      </c>
    </row>
    <row r="1832" customHeight="1" spans="1:45">
      <c r="A1832" s="3" t="str">
        <f>IF(对接源_02物料!$C632="","",对接源_02物料!$C632)</f>
        <v/>
      </c>
      <c r="B1832" s="3">
        <f t="shared" si="486"/>
        <v>0</v>
      </c>
      <c r="C1832" s="3">
        <f t="shared" si="487"/>
        <v>21</v>
      </c>
      <c r="K1832" s="3">
        <f>IF(OR($K$1="",对接源_02物料!$C632="",对接源_02物料!$C632&lt;&gt;$K$1,对接源_02物料!$B632=""),0,IF(OR(N(对接源_02物料!$B632)&lt;$K$2,N(对接源_02物料!$B632)&gt;$K$3),0,1))</f>
        <v>0</v>
      </c>
      <c r="L1832" s="3">
        <f>IF(OR($L$1="",对接源_02物料!$C632="",对接源_02物料!$C632&lt;&gt;$L$1,对接源_02物料!$B632=""),0,IF(OR(N(对接源_02物料!$B632)&lt;$L$2,N(对接源_02物料!$B632)&gt;$L$3),0,1))</f>
        <v>0</v>
      </c>
      <c r="M1832" s="3">
        <f>IF(OR($M$1="",对接源_02物料!$C632="",对接源_02物料!$C632&lt;&gt;$M$1,对接源_02物料!$B632=""),0,IF(OR(N(对接源_02物料!$B632)&lt;$M$2,N(对接源_02物料!$B632)&gt;$M$3),0,1))</f>
        <v>0</v>
      </c>
      <c r="N1832" s="3">
        <f>IF(OR($N$1="",对接源_02物料!$C632="",对接源_02物料!$C632&lt;&gt;$N$1,对接源_02物料!$B632=""),0,IF(OR(N(对接源_02物料!$B632)&lt;$N$2,N(对接源_02物料!$B632)&gt;$N$3),0,1))</f>
        <v>0</v>
      </c>
      <c r="P1832" s="3">
        <f>IF(AND($K1832=1,AND(对接源_02物料!$X632="公司筐",N(对接源_02物料!$T632)&lt;&gt;0)),1,0)</f>
        <v>0</v>
      </c>
      <c r="Q1832" s="3">
        <f t="shared" si="488"/>
        <v>8</v>
      </c>
      <c r="R1832" s="3">
        <f>IF(AND($K1832=1,AND(对接源_02物料!$X632="公司筐",N(对接源_02物料!$U632)&lt;&gt;0)),1,0)</f>
        <v>0</v>
      </c>
      <c r="S1832" s="3">
        <f t="shared" si="489"/>
        <v>0</v>
      </c>
      <c r="T1832" s="3">
        <f>IF(AND($K1832=1,AND(对接源_02物料!$X632="公司筐",N(对接源_02物料!$V632)&lt;&gt;0)),1,0)</f>
        <v>0</v>
      </c>
      <c r="U1832" s="3">
        <f t="shared" si="490"/>
        <v>19</v>
      </c>
      <c r="V1832" s="3">
        <f>IF(AND($L1832=1,AND(对接源_02物料!$X632="自备筐",N(对接源_02物料!$V632)&lt;&gt;0)),1,0)</f>
        <v>0</v>
      </c>
      <c r="W1832" s="3">
        <f t="shared" si="491"/>
        <v>8</v>
      </c>
      <c r="X1832" s="3">
        <f>IF(AND($L1832=1,AND(对接源_02物料!$X632="自备筐",N(对接源_02物料!$T632)&lt;&gt;0)),1,0)</f>
        <v>0</v>
      </c>
      <c r="Y1832" s="3">
        <f t="shared" si="492"/>
        <v>0</v>
      </c>
      <c r="Z1832" s="3">
        <f>IF(AND($M1832=1,对接源_02物料!$D632="原料入库"),1,0)</f>
        <v>0</v>
      </c>
      <c r="AA1832" s="3">
        <f t="shared" si="493"/>
        <v>24</v>
      </c>
      <c r="AB1832" s="3">
        <f>IF(AND($M1832=1,LEFT(对接源_02物料!$D632,4)="原料出库"),1,0)</f>
        <v>0</v>
      </c>
      <c r="AC1832" s="3">
        <f t="shared" si="494"/>
        <v>0</v>
      </c>
      <c r="AD1832" s="3">
        <f>IF(AND($M1832=1,LEFT(对接源_02物料!$D632,4)="成品出库"),1,0)</f>
        <v>0</v>
      </c>
      <c r="AE1832" s="3">
        <f t="shared" si="495"/>
        <v>0</v>
      </c>
      <c r="AF1832" s="3">
        <f>IF(AND($N1832=1,AND(LEFT(对接源_02物料!$D632,4)="包装物料",N(对接源_02物料!$K632)&lt;&gt;0)),1,0)</f>
        <v>0</v>
      </c>
      <c r="AG1832" s="3">
        <f t="shared" si="496"/>
        <v>5</v>
      </c>
      <c r="AH1832" s="3">
        <f>IF(AND($N1832=1,AND(对接源_02物料!$D632="周转筐－销售出库",N(对接源_02物料!$K632)&lt;&gt;0)),1,0)</f>
        <v>0</v>
      </c>
      <c r="AI1832" s="3">
        <f t="shared" si="497"/>
        <v>0</v>
      </c>
      <c r="AL1832" s="3">
        <v>0</v>
      </c>
      <c r="AM1832" s="3">
        <f t="shared" si="498"/>
        <v>1</v>
      </c>
      <c r="AN1832" s="3" t="str">
        <f t="shared" si="485"/>
        <v/>
      </c>
      <c r="AO1832" s="3">
        <v>0</v>
      </c>
      <c r="AP1832" s="3">
        <f t="shared" si="499"/>
        <v>8</v>
      </c>
      <c r="AR1832">
        <f t="shared" si="500"/>
        <v>0</v>
      </c>
      <c r="AS1832">
        <f t="shared" si="501"/>
        <v>5</v>
      </c>
    </row>
    <row r="1833" customHeight="1" spans="1:45">
      <c r="A1833" s="3" t="str">
        <f>IF(对接源_02物料!$C633="","",对接源_02物料!$C633)</f>
        <v/>
      </c>
      <c r="B1833" s="3">
        <f t="shared" si="486"/>
        <v>0</v>
      </c>
      <c r="C1833" s="3">
        <f t="shared" si="487"/>
        <v>21</v>
      </c>
      <c r="K1833" s="3">
        <f>IF(OR($K$1="",对接源_02物料!$C633="",对接源_02物料!$C633&lt;&gt;$K$1,对接源_02物料!$B633=""),0,IF(OR(N(对接源_02物料!$B633)&lt;$K$2,N(对接源_02物料!$B633)&gt;$K$3),0,1))</f>
        <v>0</v>
      </c>
      <c r="L1833" s="3">
        <f>IF(OR($L$1="",对接源_02物料!$C633="",对接源_02物料!$C633&lt;&gt;$L$1,对接源_02物料!$B633=""),0,IF(OR(N(对接源_02物料!$B633)&lt;$L$2,N(对接源_02物料!$B633)&gt;$L$3),0,1))</f>
        <v>0</v>
      </c>
      <c r="M1833" s="3">
        <f>IF(OR($M$1="",对接源_02物料!$C633="",对接源_02物料!$C633&lt;&gt;$M$1,对接源_02物料!$B633=""),0,IF(OR(N(对接源_02物料!$B633)&lt;$M$2,N(对接源_02物料!$B633)&gt;$M$3),0,1))</f>
        <v>0</v>
      </c>
      <c r="N1833" s="3">
        <f>IF(OR($N$1="",对接源_02物料!$C633="",对接源_02物料!$C633&lt;&gt;$N$1,对接源_02物料!$B633=""),0,IF(OR(N(对接源_02物料!$B633)&lt;$N$2,N(对接源_02物料!$B633)&gt;$N$3),0,1))</f>
        <v>0</v>
      </c>
      <c r="P1833" s="3">
        <f>IF(AND($K1833=1,AND(对接源_02物料!$X633="公司筐",N(对接源_02物料!$T633)&lt;&gt;0)),1,0)</f>
        <v>0</v>
      </c>
      <c r="Q1833" s="3">
        <f t="shared" si="488"/>
        <v>8</v>
      </c>
      <c r="R1833" s="3">
        <f>IF(AND($K1833=1,AND(对接源_02物料!$X633="公司筐",N(对接源_02物料!$U633)&lt;&gt;0)),1,0)</f>
        <v>0</v>
      </c>
      <c r="S1833" s="3">
        <f t="shared" si="489"/>
        <v>0</v>
      </c>
      <c r="T1833" s="3">
        <f>IF(AND($K1833=1,AND(对接源_02物料!$X633="公司筐",N(对接源_02物料!$V633)&lt;&gt;0)),1,0)</f>
        <v>0</v>
      </c>
      <c r="U1833" s="3">
        <f t="shared" si="490"/>
        <v>19</v>
      </c>
      <c r="V1833" s="3">
        <f>IF(AND($L1833=1,AND(对接源_02物料!$X633="自备筐",N(对接源_02物料!$V633)&lt;&gt;0)),1,0)</f>
        <v>0</v>
      </c>
      <c r="W1833" s="3">
        <f t="shared" si="491"/>
        <v>8</v>
      </c>
      <c r="X1833" s="3">
        <f>IF(AND($L1833=1,AND(对接源_02物料!$X633="自备筐",N(对接源_02物料!$T633)&lt;&gt;0)),1,0)</f>
        <v>0</v>
      </c>
      <c r="Y1833" s="3">
        <f t="shared" si="492"/>
        <v>0</v>
      </c>
      <c r="Z1833" s="3">
        <f>IF(AND($M1833=1,对接源_02物料!$D633="原料入库"),1,0)</f>
        <v>0</v>
      </c>
      <c r="AA1833" s="3">
        <f t="shared" si="493"/>
        <v>24</v>
      </c>
      <c r="AB1833" s="3">
        <f>IF(AND($M1833=1,LEFT(对接源_02物料!$D633,4)="原料出库"),1,0)</f>
        <v>0</v>
      </c>
      <c r="AC1833" s="3">
        <f t="shared" si="494"/>
        <v>0</v>
      </c>
      <c r="AD1833" s="3">
        <f>IF(AND($M1833=1,LEFT(对接源_02物料!$D633,4)="成品出库"),1,0)</f>
        <v>0</v>
      </c>
      <c r="AE1833" s="3">
        <f t="shared" si="495"/>
        <v>0</v>
      </c>
      <c r="AF1833" s="3">
        <f>IF(AND($N1833=1,AND(LEFT(对接源_02物料!$D633,4)="包装物料",N(对接源_02物料!$K633)&lt;&gt;0)),1,0)</f>
        <v>0</v>
      </c>
      <c r="AG1833" s="3">
        <f t="shared" si="496"/>
        <v>5</v>
      </c>
      <c r="AH1833" s="3">
        <f>IF(AND($N1833=1,AND(对接源_02物料!$D633="周转筐－销售出库",N(对接源_02物料!$K633)&lt;&gt;0)),1,0)</f>
        <v>0</v>
      </c>
      <c r="AI1833" s="3">
        <f t="shared" si="497"/>
        <v>0</v>
      </c>
      <c r="AL1833" s="3">
        <v>0</v>
      </c>
      <c r="AM1833" s="3">
        <f t="shared" si="498"/>
        <v>1</v>
      </c>
      <c r="AN1833" s="3" t="str">
        <f t="shared" si="485"/>
        <v/>
      </c>
      <c r="AO1833" s="3">
        <v>0</v>
      </c>
      <c r="AP1833" s="3">
        <f t="shared" si="499"/>
        <v>8</v>
      </c>
      <c r="AR1833">
        <f t="shared" si="500"/>
        <v>0</v>
      </c>
      <c r="AS1833">
        <f t="shared" si="501"/>
        <v>5</v>
      </c>
    </row>
    <row r="1834" customHeight="1" spans="1:45">
      <c r="A1834" s="3" t="str">
        <f>IF(对接源_02物料!$C634="","",对接源_02物料!$C634)</f>
        <v/>
      </c>
      <c r="B1834" s="3">
        <f t="shared" si="486"/>
        <v>0</v>
      </c>
      <c r="C1834" s="3">
        <f t="shared" si="487"/>
        <v>21</v>
      </c>
      <c r="K1834" s="3">
        <f>IF(OR($K$1="",对接源_02物料!$C634="",对接源_02物料!$C634&lt;&gt;$K$1,对接源_02物料!$B634=""),0,IF(OR(N(对接源_02物料!$B634)&lt;$K$2,N(对接源_02物料!$B634)&gt;$K$3),0,1))</f>
        <v>0</v>
      </c>
      <c r="L1834" s="3">
        <f>IF(OR($L$1="",对接源_02物料!$C634="",对接源_02物料!$C634&lt;&gt;$L$1,对接源_02物料!$B634=""),0,IF(OR(N(对接源_02物料!$B634)&lt;$L$2,N(对接源_02物料!$B634)&gt;$L$3),0,1))</f>
        <v>0</v>
      </c>
      <c r="M1834" s="3">
        <f>IF(OR($M$1="",对接源_02物料!$C634="",对接源_02物料!$C634&lt;&gt;$M$1,对接源_02物料!$B634=""),0,IF(OR(N(对接源_02物料!$B634)&lt;$M$2,N(对接源_02物料!$B634)&gt;$M$3),0,1))</f>
        <v>0</v>
      </c>
      <c r="N1834" s="3">
        <f>IF(OR($N$1="",对接源_02物料!$C634="",对接源_02物料!$C634&lt;&gt;$N$1,对接源_02物料!$B634=""),0,IF(OR(N(对接源_02物料!$B634)&lt;$N$2,N(对接源_02物料!$B634)&gt;$N$3),0,1))</f>
        <v>0</v>
      </c>
      <c r="P1834" s="3">
        <f>IF(AND($K1834=1,AND(对接源_02物料!$X634="公司筐",N(对接源_02物料!$T634)&lt;&gt;0)),1,0)</f>
        <v>0</v>
      </c>
      <c r="Q1834" s="3">
        <f t="shared" si="488"/>
        <v>8</v>
      </c>
      <c r="R1834" s="3">
        <f>IF(AND($K1834=1,AND(对接源_02物料!$X634="公司筐",N(对接源_02物料!$U634)&lt;&gt;0)),1,0)</f>
        <v>0</v>
      </c>
      <c r="S1834" s="3">
        <f t="shared" si="489"/>
        <v>0</v>
      </c>
      <c r="T1834" s="3">
        <f>IF(AND($K1834=1,AND(对接源_02物料!$X634="公司筐",N(对接源_02物料!$V634)&lt;&gt;0)),1,0)</f>
        <v>0</v>
      </c>
      <c r="U1834" s="3">
        <f t="shared" si="490"/>
        <v>19</v>
      </c>
      <c r="V1834" s="3">
        <f>IF(AND($L1834=1,AND(对接源_02物料!$X634="自备筐",N(对接源_02物料!$V634)&lt;&gt;0)),1,0)</f>
        <v>0</v>
      </c>
      <c r="W1834" s="3">
        <f t="shared" si="491"/>
        <v>8</v>
      </c>
      <c r="X1834" s="3">
        <f>IF(AND($L1834=1,AND(对接源_02物料!$X634="自备筐",N(对接源_02物料!$T634)&lt;&gt;0)),1,0)</f>
        <v>0</v>
      </c>
      <c r="Y1834" s="3">
        <f t="shared" si="492"/>
        <v>0</v>
      </c>
      <c r="Z1834" s="3">
        <f>IF(AND($M1834=1,对接源_02物料!$D634="原料入库"),1,0)</f>
        <v>0</v>
      </c>
      <c r="AA1834" s="3">
        <f t="shared" si="493"/>
        <v>24</v>
      </c>
      <c r="AB1834" s="3">
        <f>IF(AND($M1834=1,LEFT(对接源_02物料!$D634,4)="原料出库"),1,0)</f>
        <v>0</v>
      </c>
      <c r="AC1834" s="3">
        <f t="shared" si="494"/>
        <v>0</v>
      </c>
      <c r="AD1834" s="3">
        <f>IF(AND($M1834=1,LEFT(对接源_02物料!$D634,4)="成品出库"),1,0)</f>
        <v>0</v>
      </c>
      <c r="AE1834" s="3">
        <f t="shared" si="495"/>
        <v>0</v>
      </c>
      <c r="AF1834" s="3">
        <f>IF(AND($N1834=1,AND(LEFT(对接源_02物料!$D634,4)="包装物料",N(对接源_02物料!$K634)&lt;&gt;0)),1,0)</f>
        <v>0</v>
      </c>
      <c r="AG1834" s="3">
        <f t="shared" si="496"/>
        <v>5</v>
      </c>
      <c r="AH1834" s="3">
        <f>IF(AND($N1834=1,AND(对接源_02物料!$D634="周转筐－销售出库",N(对接源_02物料!$K634)&lt;&gt;0)),1,0)</f>
        <v>0</v>
      </c>
      <c r="AI1834" s="3">
        <f t="shared" si="497"/>
        <v>0</v>
      </c>
      <c r="AL1834" s="3">
        <v>0</v>
      </c>
      <c r="AM1834" s="3">
        <f t="shared" si="498"/>
        <v>1</v>
      </c>
      <c r="AN1834" s="3" t="str">
        <f t="shared" si="485"/>
        <v/>
      </c>
      <c r="AO1834" s="3">
        <v>0</v>
      </c>
      <c r="AP1834" s="3">
        <f t="shared" si="499"/>
        <v>8</v>
      </c>
      <c r="AR1834">
        <f t="shared" si="500"/>
        <v>0</v>
      </c>
      <c r="AS1834">
        <f t="shared" si="501"/>
        <v>5</v>
      </c>
    </row>
    <row r="1835" customHeight="1" spans="1:45">
      <c r="A1835" s="3" t="str">
        <f>IF(对接源_02物料!$C635="","",对接源_02物料!$C635)</f>
        <v/>
      </c>
      <c r="B1835" s="3">
        <f t="shared" si="486"/>
        <v>0</v>
      </c>
      <c r="C1835" s="3">
        <f t="shared" si="487"/>
        <v>21</v>
      </c>
      <c r="K1835" s="3">
        <f>IF(OR($K$1="",对接源_02物料!$C635="",对接源_02物料!$C635&lt;&gt;$K$1,对接源_02物料!$B635=""),0,IF(OR(N(对接源_02物料!$B635)&lt;$K$2,N(对接源_02物料!$B635)&gt;$K$3),0,1))</f>
        <v>0</v>
      </c>
      <c r="L1835" s="3">
        <f>IF(OR($L$1="",对接源_02物料!$C635="",对接源_02物料!$C635&lt;&gt;$L$1,对接源_02物料!$B635=""),0,IF(OR(N(对接源_02物料!$B635)&lt;$L$2,N(对接源_02物料!$B635)&gt;$L$3),0,1))</f>
        <v>0</v>
      </c>
      <c r="M1835" s="3">
        <f>IF(OR($M$1="",对接源_02物料!$C635="",对接源_02物料!$C635&lt;&gt;$M$1,对接源_02物料!$B635=""),0,IF(OR(N(对接源_02物料!$B635)&lt;$M$2,N(对接源_02物料!$B635)&gt;$M$3),0,1))</f>
        <v>0</v>
      </c>
      <c r="N1835" s="3">
        <f>IF(OR($N$1="",对接源_02物料!$C635="",对接源_02物料!$C635&lt;&gt;$N$1,对接源_02物料!$B635=""),0,IF(OR(N(对接源_02物料!$B635)&lt;$N$2,N(对接源_02物料!$B635)&gt;$N$3),0,1))</f>
        <v>0</v>
      </c>
      <c r="P1835" s="3">
        <f>IF(AND($K1835=1,AND(对接源_02物料!$X635="公司筐",N(对接源_02物料!$T635)&lt;&gt;0)),1,0)</f>
        <v>0</v>
      </c>
      <c r="Q1835" s="3">
        <f t="shared" si="488"/>
        <v>8</v>
      </c>
      <c r="R1835" s="3">
        <f>IF(AND($K1835=1,AND(对接源_02物料!$X635="公司筐",N(对接源_02物料!$U635)&lt;&gt;0)),1,0)</f>
        <v>0</v>
      </c>
      <c r="S1835" s="3">
        <f t="shared" si="489"/>
        <v>0</v>
      </c>
      <c r="T1835" s="3">
        <f>IF(AND($K1835=1,AND(对接源_02物料!$X635="公司筐",N(对接源_02物料!$V635)&lt;&gt;0)),1,0)</f>
        <v>0</v>
      </c>
      <c r="U1835" s="3">
        <f t="shared" si="490"/>
        <v>19</v>
      </c>
      <c r="V1835" s="3">
        <f>IF(AND($L1835=1,AND(对接源_02物料!$X635="自备筐",N(对接源_02物料!$V635)&lt;&gt;0)),1,0)</f>
        <v>0</v>
      </c>
      <c r="W1835" s="3">
        <f t="shared" si="491"/>
        <v>8</v>
      </c>
      <c r="X1835" s="3">
        <f>IF(AND($L1835=1,AND(对接源_02物料!$X635="自备筐",N(对接源_02物料!$T635)&lt;&gt;0)),1,0)</f>
        <v>0</v>
      </c>
      <c r="Y1835" s="3">
        <f t="shared" si="492"/>
        <v>0</v>
      </c>
      <c r="Z1835" s="3">
        <f>IF(AND($M1835=1,对接源_02物料!$D635="原料入库"),1,0)</f>
        <v>0</v>
      </c>
      <c r="AA1835" s="3">
        <f t="shared" si="493"/>
        <v>24</v>
      </c>
      <c r="AB1835" s="3">
        <f>IF(AND($M1835=1,LEFT(对接源_02物料!$D635,4)="原料出库"),1,0)</f>
        <v>0</v>
      </c>
      <c r="AC1835" s="3">
        <f t="shared" si="494"/>
        <v>0</v>
      </c>
      <c r="AD1835" s="3">
        <f>IF(AND($M1835=1,LEFT(对接源_02物料!$D635,4)="成品出库"),1,0)</f>
        <v>0</v>
      </c>
      <c r="AE1835" s="3">
        <f t="shared" si="495"/>
        <v>0</v>
      </c>
      <c r="AF1835" s="3">
        <f>IF(AND($N1835=1,AND(LEFT(对接源_02物料!$D635,4)="包装物料",N(对接源_02物料!$K635)&lt;&gt;0)),1,0)</f>
        <v>0</v>
      </c>
      <c r="AG1835" s="3">
        <f t="shared" si="496"/>
        <v>5</v>
      </c>
      <c r="AH1835" s="3">
        <f>IF(AND($N1835=1,AND(对接源_02物料!$D635="周转筐－销售出库",N(对接源_02物料!$K635)&lt;&gt;0)),1,0)</f>
        <v>0</v>
      </c>
      <c r="AI1835" s="3">
        <f t="shared" si="497"/>
        <v>0</v>
      </c>
      <c r="AL1835" s="3">
        <v>0</v>
      </c>
      <c r="AM1835" s="3">
        <f t="shared" si="498"/>
        <v>1</v>
      </c>
      <c r="AN1835" s="3" t="str">
        <f t="shared" si="485"/>
        <v/>
      </c>
      <c r="AO1835" s="3">
        <v>0</v>
      </c>
      <c r="AP1835" s="3">
        <f t="shared" si="499"/>
        <v>8</v>
      </c>
      <c r="AR1835">
        <f t="shared" si="500"/>
        <v>0</v>
      </c>
      <c r="AS1835">
        <f t="shared" si="501"/>
        <v>5</v>
      </c>
    </row>
    <row r="1836" customHeight="1" spans="1:45">
      <c r="A1836" s="3" t="str">
        <f>IF(对接源_02物料!$C636="","",对接源_02物料!$C636)</f>
        <v/>
      </c>
      <c r="B1836" s="3">
        <f t="shared" si="486"/>
        <v>0</v>
      </c>
      <c r="C1836" s="3">
        <f t="shared" si="487"/>
        <v>21</v>
      </c>
      <c r="K1836" s="3">
        <f>IF(OR($K$1="",对接源_02物料!$C636="",对接源_02物料!$C636&lt;&gt;$K$1,对接源_02物料!$B636=""),0,IF(OR(N(对接源_02物料!$B636)&lt;$K$2,N(对接源_02物料!$B636)&gt;$K$3),0,1))</f>
        <v>0</v>
      </c>
      <c r="L1836" s="3">
        <f>IF(OR($L$1="",对接源_02物料!$C636="",对接源_02物料!$C636&lt;&gt;$L$1,对接源_02物料!$B636=""),0,IF(OR(N(对接源_02物料!$B636)&lt;$L$2,N(对接源_02物料!$B636)&gt;$L$3),0,1))</f>
        <v>0</v>
      </c>
      <c r="M1836" s="3">
        <f>IF(OR($M$1="",对接源_02物料!$C636="",对接源_02物料!$C636&lt;&gt;$M$1,对接源_02物料!$B636=""),0,IF(OR(N(对接源_02物料!$B636)&lt;$M$2,N(对接源_02物料!$B636)&gt;$M$3),0,1))</f>
        <v>0</v>
      </c>
      <c r="N1836" s="3">
        <f>IF(OR($N$1="",对接源_02物料!$C636="",对接源_02物料!$C636&lt;&gt;$N$1,对接源_02物料!$B636=""),0,IF(OR(N(对接源_02物料!$B636)&lt;$N$2,N(对接源_02物料!$B636)&gt;$N$3),0,1))</f>
        <v>0</v>
      </c>
      <c r="P1836" s="3">
        <f>IF(AND($K1836=1,AND(对接源_02物料!$X636="公司筐",N(对接源_02物料!$T636)&lt;&gt;0)),1,0)</f>
        <v>0</v>
      </c>
      <c r="Q1836" s="3">
        <f t="shared" si="488"/>
        <v>8</v>
      </c>
      <c r="R1836" s="3">
        <f>IF(AND($K1836=1,AND(对接源_02物料!$X636="公司筐",N(对接源_02物料!$U636)&lt;&gt;0)),1,0)</f>
        <v>0</v>
      </c>
      <c r="S1836" s="3">
        <f t="shared" si="489"/>
        <v>0</v>
      </c>
      <c r="T1836" s="3">
        <f>IF(AND($K1836=1,AND(对接源_02物料!$X636="公司筐",N(对接源_02物料!$V636)&lt;&gt;0)),1,0)</f>
        <v>0</v>
      </c>
      <c r="U1836" s="3">
        <f t="shared" si="490"/>
        <v>19</v>
      </c>
      <c r="V1836" s="3">
        <f>IF(AND($L1836=1,AND(对接源_02物料!$X636="自备筐",N(对接源_02物料!$V636)&lt;&gt;0)),1,0)</f>
        <v>0</v>
      </c>
      <c r="W1836" s="3">
        <f t="shared" si="491"/>
        <v>8</v>
      </c>
      <c r="X1836" s="3">
        <f>IF(AND($L1836=1,AND(对接源_02物料!$X636="自备筐",N(对接源_02物料!$T636)&lt;&gt;0)),1,0)</f>
        <v>0</v>
      </c>
      <c r="Y1836" s="3">
        <f t="shared" si="492"/>
        <v>0</v>
      </c>
      <c r="Z1836" s="3">
        <f>IF(AND($M1836=1,对接源_02物料!$D636="原料入库"),1,0)</f>
        <v>0</v>
      </c>
      <c r="AA1836" s="3">
        <f t="shared" si="493"/>
        <v>24</v>
      </c>
      <c r="AB1836" s="3">
        <f>IF(AND($M1836=1,LEFT(对接源_02物料!$D636,4)="原料出库"),1,0)</f>
        <v>0</v>
      </c>
      <c r="AC1836" s="3">
        <f t="shared" si="494"/>
        <v>0</v>
      </c>
      <c r="AD1836" s="3">
        <f>IF(AND($M1836=1,LEFT(对接源_02物料!$D636,4)="成品出库"),1,0)</f>
        <v>0</v>
      </c>
      <c r="AE1836" s="3">
        <f t="shared" si="495"/>
        <v>0</v>
      </c>
      <c r="AF1836" s="3">
        <f>IF(AND($N1836=1,AND(LEFT(对接源_02物料!$D636,4)="包装物料",N(对接源_02物料!$K636)&lt;&gt;0)),1,0)</f>
        <v>0</v>
      </c>
      <c r="AG1836" s="3">
        <f t="shared" si="496"/>
        <v>5</v>
      </c>
      <c r="AH1836" s="3">
        <f>IF(AND($N1836=1,AND(对接源_02物料!$D636="周转筐－销售出库",N(对接源_02物料!$K636)&lt;&gt;0)),1,0)</f>
        <v>0</v>
      </c>
      <c r="AI1836" s="3">
        <f t="shared" si="497"/>
        <v>0</v>
      </c>
      <c r="AL1836" s="3">
        <v>0</v>
      </c>
      <c r="AM1836" s="3">
        <f t="shared" si="498"/>
        <v>1</v>
      </c>
      <c r="AN1836" s="3" t="str">
        <f t="shared" si="485"/>
        <v/>
      </c>
      <c r="AO1836" s="3">
        <v>0</v>
      </c>
      <c r="AP1836" s="3">
        <f t="shared" si="499"/>
        <v>8</v>
      </c>
      <c r="AR1836">
        <f t="shared" si="500"/>
        <v>0</v>
      </c>
      <c r="AS1836">
        <f t="shared" si="501"/>
        <v>5</v>
      </c>
    </row>
    <row r="1837" customHeight="1" spans="1:45">
      <c r="A1837" s="3" t="str">
        <f>IF(对接源_02物料!$C637="","",对接源_02物料!$C637)</f>
        <v/>
      </c>
      <c r="B1837" s="3">
        <f t="shared" si="486"/>
        <v>0</v>
      </c>
      <c r="C1837" s="3">
        <f t="shared" si="487"/>
        <v>21</v>
      </c>
      <c r="K1837" s="3">
        <f>IF(OR($K$1="",对接源_02物料!$C637="",对接源_02物料!$C637&lt;&gt;$K$1,对接源_02物料!$B637=""),0,IF(OR(N(对接源_02物料!$B637)&lt;$K$2,N(对接源_02物料!$B637)&gt;$K$3),0,1))</f>
        <v>0</v>
      </c>
      <c r="L1837" s="3">
        <f>IF(OR($L$1="",对接源_02物料!$C637="",对接源_02物料!$C637&lt;&gt;$L$1,对接源_02物料!$B637=""),0,IF(OR(N(对接源_02物料!$B637)&lt;$L$2,N(对接源_02物料!$B637)&gt;$L$3),0,1))</f>
        <v>0</v>
      </c>
      <c r="M1837" s="3">
        <f>IF(OR($M$1="",对接源_02物料!$C637="",对接源_02物料!$C637&lt;&gt;$M$1,对接源_02物料!$B637=""),0,IF(OR(N(对接源_02物料!$B637)&lt;$M$2,N(对接源_02物料!$B637)&gt;$M$3),0,1))</f>
        <v>0</v>
      </c>
      <c r="N1837" s="3">
        <f>IF(OR($N$1="",对接源_02物料!$C637="",对接源_02物料!$C637&lt;&gt;$N$1,对接源_02物料!$B637=""),0,IF(OR(N(对接源_02物料!$B637)&lt;$N$2,N(对接源_02物料!$B637)&gt;$N$3),0,1))</f>
        <v>0</v>
      </c>
      <c r="P1837" s="3">
        <f>IF(AND($K1837=1,AND(对接源_02物料!$X637="公司筐",N(对接源_02物料!$T637)&lt;&gt;0)),1,0)</f>
        <v>0</v>
      </c>
      <c r="Q1837" s="3">
        <f t="shared" si="488"/>
        <v>8</v>
      </c>
      <c r="R1837" s="3">
        <f>IF(AND($K1837=1,AND(对接源_02物料!$X637="公司筐",N(对接源_02物料!$U637)&lt;&gt;0)),1,0)</f>
        <v>0</v>
      </c>
      <c r="S1837" s="3">
        <f t="shared" si="489"/>
        <v>0</v>
      </c>
      <c r="T1837" s="3">
        <f>IF(AND($K1837=1,AND(对接源_02物料!$X637="公司筐",N(对接源_02物料!$V637)&lt;&gt;0)),1,0)</f>
        <v>0</v>
      </c>
      <c r="U1837" s="3">
        <f t="shared" si="490"/>
        <v>19</v>
      </c>
      <c r="V1837" s="3">
        <f>IF(AND($L1837=1,AND(对接源_02物料!$X637="自备筐",N(对接源_02物料!$V637)&lt;&gt;0)),1,0)</f>
        <v>0</v>
      </c>
      <c r="W1837" s="3">
        <f t="shared" si="491"/>
        <v>8</v>
      </c>
      <c r="X1837" s="3">
        <f>IF(AND($L1837=1,AND(对接源_02物料!$X637="自备筐",N(对接源_02物料!$T637)&lt;&gt;0)),1,0)</f>
        <v>0</v>
      </c>
      <c r="Y1837" s="3">
        <f t="shared" si="492"/>
        <v>0</v>
      </c>
      <c r="Z1837" s="3">
        <f>IF(AND($M1837=1,对接源_02物料!$D637="原料入库"),1,0)</f>
        <v>0</v>
      </c>
      <c r="AA1837" s="3">
        <f t="shared" si="493"/>
        <v>24</v>
      </c>
      <c r="AB1837" s="3">
        <f>IF(AND($M1837=1,LEFT(对接源_02物料!$D637,4)="原料出库"),1,0)</f>
        <v>0</v>
      </c>
      <c r="AC1837" s="3">
        <f t="shared" si="494"/>
        <v>0</v>
      </c>
      <c r="AD1837" s="3">
        <f>IF(AND($M1837=1,LEFT(对接源_02物料!$D637,4)="成品出库"),1,0)</f>
        <v>0</v>
      </c>
      <c r="AE1837" s="3">
        <f t="shared" si="495"/>
        <v>0</v>
      </c>
      <c r="AF1837" s="3">
        <f>IF(AND($N1837=1,AND(LEFT(对接源_02物料!$D637,4)="包装物料",N(对接源_02物料!$K637)&lt;&gt;0)),1,0)</f>
        <v>0</v>
      </c>
      <c r="AG1837" s="3">
        <f t="shared" si="496"/>
        <v>5</v>
      </c>
      <c r="AH1837" s="3">
        <f>IF(AND($N1837=1,AND(对接源_02物料!$D637="周转筐－销售出库",N(对接源_02物料!$K637)&lt;&gt;0)),1,0)</f>
        <v>0</v>
      </c>
      <c r="AI1837" s="3">
        <f t="shared" si="497"/>
        <v>0</v>
      </c>
      <c r="AL1837" s="3">
        <v>0</v>
      </c>
      <c r="AM1837" s="3">
        <f t="shared" si="498"/>
        <v>1</v>
      </c>
      <c r="AN1837" s="3" t="str">
        <f t="shared" si="485"/>
        <v/>
      </c>
      <c r="AO1837" s="3">
        <v>0</v>
      </c>
      <c r="AP1837" s="3">
        <f t="shared" si="499"/>
        <v>8</v>
      </c>
      <c r="AR1837">
        <f t="shared" si="500"/>
        <v>0</v>
      </c>
      <c r="AS1837">
        <f t="shared" si="501"/>
        <v>5</v>
      </c>
    </row>
    <row r="1838" customHeight="1" spans="1:45">
      <c r="A1838" s="3" t="str">
        <f>IF(对接源_02物料!$C638="","",对接源_02物料!$C638)</f>
        <v/>
      </c>
      <c r="B1838" s="3">
        <f t="shared" si="486"/>
        <v>0</v>
      </c>
      <c r="C1838" s="3">
        <f t="shared" si="487"/>
        <v>21</v>
      </c>
      <c r="K1838" s="3">
        <f>IF(OR($K$1="",对接源_02物料!$C638="",对接源_02物料!$C638&lt;&gt;$K$1,对接源_02物料!$B638=""),0,IF(OR(N(对接源_02物料!$B638)&lt;$K$2,N(对接源_02物料!$B638)&gt;$K$3),0,1))</f>
        <v>0</v>
      </c>
      <c r="L1838" s="3">
        <f>IF(OR($L$1="",对接源_02物料!$C638="",对接源_02物料!$C638&lt;&gt;$L$1,对接源_02物料!$B638=""),0,IF(OR(N(对接源_02物料!$B638)&lt;$L$2,N(对接源_02物料!$B638)&gt;$L$3),0,1))</f>
        <v>0</v>
      </c>
      <c r="M1838" s="3">
        <f>IF(OR($M$1="",对接源_02物料!$C638="",对接源_02物料!$C638&lt;&gt;$M$1,对接源_02物料!$B638=""),0,IF(OR(N(对接源_02物料!$B638)&lt;$M$2,N(对接源_02物料!$B638)&gt;$M$3),0,1))</f>
        <v>0</v>
      </c>
      <c r="N1838" s="3">
        <f>IF(OR($N$1="",对接源_02物料!$C638="",对接源_02物料!$C638&lt;&gt;$N$1,对接源_02物料!$B638=""),0,IF(OR(N(对接源_02物料!$B638)&lt;$N$2,N(对接源_02物料!$B638)&gt;$N$3),0,1))</f>
        <v>0</v>
      </c>
      <c r="P1838" s="3">
        <f>IF(AND($K1838=1,AND(对接源_02物料!$X638="公司筐",N(对接源_02物料!$T638)&lt;&gt;0)),1,0)</f>
        <v>0</v>
      </c>
      <c r="Q1838" s="3">
        <f t="shared" si="488"/>
        <v>8</v>
      </c>
      <c r="R1838" s="3">
        <f>IF(AND($K1838=1,AND(对接源_02物料!$X638="公司筐",N(对接源_02物料!$U638)&lt;&gt;0)),1,0)</f>
        <v>0</v>
      </c>
      <c r="S1838" s="3">
        <f t="shared" si="489"/>
        <v>0</v>
      </c>
      <c r="T1838" s="3">
        <f>IF(AND($K1838=1,AND(对接源_02物料!$X638="公司筐",N(对接源_02物料!$V638)&lt;&gt;0)),1,0)</f>
        <v>0</v>
      </c>
      <c r="U1838" s="3">
        <f t="shared" si="490"/>
        <v>19</v>
      </c>
      <c r="V1838" s="3">
        <f>IF(AND($L1838=1,AND(对接源_02物料!$X638="自备筐",N(对接源_02物料!$V638)&lt;&gt;0)),1,0)</f>
        <v>0</v>
      </c>
      <c r="W1838" s="3">
        <f t="shared" si="491"/>
        <v>8</v>
      </c>
      <c r="X1838" s="3">
        <f>IF(AND($L1838=1,AND(对接源_02物料!$X638="自备筐",N(对接源_02物料!$T638)&lt;&gt;0)),1,0)</f>
        <v>0</v>
      </c>
      <c r="Y1838" s="3">
        <f t="shared" si="492"/>
        <v>0</v>
      </c>
      <c r="Z1838" s="3">
        <f>IF(AND($M1838=1,对接源_02物料!$D638="原料入库"),1,0)</f>
        <v>0</v>
      </c>
      <c r="AA1838" s="3">
        <f t="shared" si="493"/>
        <v>24</v>
      </c>
      <c r="AB1838" s="3">
        <f>IF(AND($M1838=1,LEFT(对接源_02物料!$D638,4)="原料出库"),1,0)</f>
        <v>0</v>
      </c>
      <c r="AC1838" s="3">
        <f t="shared" si="494"/>
        <v>0</v>
      </c>
      <c r="AD1838" s="3">
        <f>IF(AND($M1838=1,LEFT(对接源_02物料!$D638,4)="成品出库"),1,0)</f>
        <v>0</v>
      </c>
      <c r="AE1838" s="3">
        <f t="shared" si="495"/>
        <v>0</v>
      </c>
      <c r="AF1838" s="3">
        <f>IF(AND($N1838=1,AND(LEFT(对接源_02物料!$D638,4)="包装物料",N(对接源_02物料!$K638)&lt;&gt;0)),1,0)</f>
        <v>0</v>
      </c>
      <c r="AG1838" s="3">
        <f t="shared" si="496"/>
        <v>5</v>
      </c>
      <c r="AH1838" s="3">
        <f>IF(AND($N1838=1,AND(对接源_02物料!$D638="周转筐－销售出库",N(对接源_02物料!$K638)&lt;&gt;0)),1,0)</f>
        <v>0</v>
      </c>
      <c r="AI1838" s="3">
        <f t="shared" si="497"/>
        <v>0</v>
      </c>
      <c r="AL1838" s="3">
        <v>0</v>
      </c>
      <c r="AM1838" s="3">
        <f t="shared" si="498"/>
        <v>1</v>
      </c>
      <c r="AN1838" s="3" t="str">
        <f t="shared" si="485"/>
        <v/>
      </c>
      <c r="AO1838" s="3">
        <v>0</v>
      </c>
      <c r="AP1838" s="3">
        <f t="shared" si="499"/>
        <v>8</v>
      </c>
      <c r="AR1838">
        <f t="shared" si="500"/>
        <v>0</v>
      </c>
      <c r="AS1838">
        <f t="shared" si="501"/>
        <v>5</v>
      </c>
    </row>
    <row r="1839" customHeight="1" spans="1:45">
      <c r="A1839" s="3" t="str">
        <f>IF(对接源_02物料!$C639="","",对接源_02物料!$C639)</f>
        <v/>
      </c>
      <c r="B1839" s="3">
        <f t="shared" si="486"/>
        <v>0</v>
      </c>
      <c r="C1839" s="3">
        <f t="shared" si="487"/>
        <v>21</v>
      </c>
      <c r="K1839" s="3">
        <f>IF(OR($K$1="",对接源_02物料!$C639="",对接源_02物料!$C639&lt;&gt;$K$1,对接源_02物料!$B639=""),0,IF(OR(N(对接源_02物料!$B639)&lt;$K$2,N(对接源_02物料!$B639)&gt;$K$3),0,1))</f>
        <v>0</v>
      </c>
      <c r="L1839" s="3">
        <f>IF(OR($L$1="",对接源_02物料!$C639="",对接源_02物料!$C639&lt;&gt;$L$1,对接源_02物料!$B639=""),0,IF(OR(N(对接源_02物料!$B639)&lt;$L$2,N(对接源_02物料!$B639)&gt;$L$3),0,1))</f>
        <v>0</v>
      </c>
      <c r="M1839" s="3">
        <f>IF(OR($M$1="",对接源_02物料!$C639="",对接源_02物料!$C639&lt;&gt;$M$1,对接源_02物料!$B639=""),0,IF(OR(N(对接源_02物料!$B639)&lt;$M$2,N(对接源_02物料!$B639)&gt;$M$3),0,1))</f>
        <v>0</v>
      </c>
      <c r="N1839" s="3">
        <f>IF(OR($N$1="",对接源_02物料!$C639="",对接源_02物料!$C639&lt;&gt;$N$1,对接源_02物料!$B639=""),0,IF(OR(N(对接源_02物料!$B639)&lt;$N$2,N(对接源_02物料!$B639)&gt;$N$3),0,1))</f>
        <v>0</v>
      </c>
      <c r="P1839" s="3">
        <f>IF(AND($K1839=1,AND(对接源_02物料!$X639="公司筐",N(对接源_02物料!$T639)&lt;&gt;0)),1,0)</f>
        <v>0</v>
      </c>
      <c r="Q1839" s="3">
        <f t="shared" si="488"/>
        <v>8</v>
      </c>
      <c r="R1839" s="3">
        <f>IF(AND($K1839=1,AND(对接源_02物料!$X639="公司筐",N(对接源_02物料!$U639)&lt;&gt;0)),1,0)</f>
        <v>0</v>
      </c>
      <c r="S1839" s="3">
        <f t="shared" si="489"/>
        <v>0</v>
      </c>
      <c r="T1839" s="3">
        <f>IF(AND($K1839=1,AND(对接源_02物料!$X639="公司筐",N(对接源_02物料!$V639)&lt;&gt;0)),1,0)</f>
        <v>0</v>
      </c>
      <c r="U1839" s="3">
        <f t="shared" si="490"/>
        <v>19</v>
      </c>
      <c r="V1839" s="3">
        <f>IF(AND($L1839=1,AND(对接源_02物料!$X639="自备筐",N(对接源_02物料!$V639)&lt;&gt;0)),1,0)</f>
        <v>0</v>
      </c>
      <c r="W1839" s="3">
        <f t="shared" si="491"/>
        <v>8</v>
      </c>
      <c r="X1839" s="3">
        <f>IF(AND($L1839=1,AND(对接源_02物料!$X639="自备筐",N(对接源_02物料!$T639)&lt;&gt;0)),1,0)</f>
        <v>0</v>
      </c>
      <c r="Y1839" s="3">
        <f t="shared" si="492"/>
        <v>0</v>
      </c>
      <c r="Z1839" s="3">
        <f>IF(AND($M1839=1,对接源_02物料!$D639="原料入库"),1,0)</f>
        <v>0</v>
      </c>
      <c r="AA1839" s="3">
        <f t="shared" si="493"/>
        <v>24</v>
      </c>
      <c r="AB1839" s="3">
        <f>IF(AND($M1839=1,LEFT(对接源_02物料!$D639,4)="原料出库"),1,0)</f>
        <v>0</v>
      </c>
      <c r="AC1839" s="3">
        <f t="shared" si="494"/>
        <v>0</v>
      </c>
      <c r="AD1839" s="3">
        <f>IF(AND($M1839=1,LEFT(对接源_02物料!$D639,4)="成品出库"),1,0)</f>
        <v>0</v>
      </c>
      <c r="AE1839" s="3">
        <f t="shared" si="495"/>
        <v>0</v>
      </c>
      <c r="AF1839" s="3">
        <f>IF(AND($N1839=1,AND(LEFT(对接源_02物料!$D639,4)="包装物料",N(对接源_02物料!$K639)&lt;&gt;0)),1,0)</f>
        <v>0</v>
      </c>
      <c r="AG1839" s="3">
        <f t="shared" si="496"/>
        <v>5</v>
      </c>
      <c r="AH1839" s="3">
        <f>IF(AND($N1839=1,AND(对接源_02物料!$D639="周转筐－销售出库",N(对接源_02物料!$K639)&lt;&gt;0)),1,0)</f>
        <v>0</v>
      </c>
      <c r="AI1839" s="3">
        <f t="shared" si="497"/>
        <v>0</v>
      </c>
      <c r="AL1839" s="3">
        <v>0</v>
      </c>
      <c r="AM1839" s="3">
        <f t="shared" si="498"/>
        <v>1</v>
      </c>
      <c r="AN1839" s="3" t="str">
        <f t="shared" si="485"/>
        <v/>
      </c>
      <c r="AO1839" s="3">
        <v>0</v>
      </c>
      <c r="AP1839" s="3">
        <f t="shared" si="499"/>
        <v>8</v>
      </c>
      <c r="AR1839">
        <f t="shared" si="500"/>
        <v>0</v>
      </c>
      <c r="AS1839">
        <f t="shared" si="501"/>
        <v>5</v>
      </c>
    </row>
    <row r="1840" customHeight="1" spans="1:45">
      <c r="A1840" s="3" t="str">
        <f>IF(对接源_02物料!$C640="","",对接源_02物料!$C640)</f>
        <v/>
      </c>
      <c r="B1840" s="3">
        <f t="shared" si="486"/>
        <v>0</v>
      </c>
      <c r="C1840" s="3">
        <f t="shared" si="487"/>
        <v>21</v>
      </c>
      <c r="K1840" s="3">
        <f>IF(OR($K$1="",对接源_02物料!$C640="",对接源_02物料!$C640&lt;&gt;$K$1,对接源_02物料!$B640=""),0,IF(OR(N(对接源_02物料!$B640)&lt;$K$2,N(对接源_02物料!$B640)&gt;$K$3),0,1))</f>
        <v>0</v>
      </c>
      <c r="L1840" s="3">
        <f>IF(OR($L$1="",对接源_02物料!$C640="",对接源_02物料!$C640&lt;&gt;$L$1,对接源_02物料!$B640=""),0,IF(OR(N(对接源_02物料!$B640)&lt;$L$2,N(对接源_02物料!$B640)&gt;$L$3),0,1))</f>
        <v>0</v>
      </c>
      <c r="M1840" s="3">
        <f>IF(OR($M$1="",对接源_02物料!$C640="",对接源_02物料!$C640&lt;&gt;$M$1,对接源_02物料!$B640=""),0,IF(OR(N(对接源_02物料!$B640)&lt;$M$2,N(对接源_02物料!$B640)&gt;$M$3),0,1))</f>
        <v>0</v>
      </c>
      <c r="N1840" s="3">
        <f>IF(OR($N$1="",对接源_02物料!$C640="",对接源_02物料!$C640&lt;&gt;$N$1,对接源_02物料!$B640=""),0,IF(OR(N(对接源_02物料!$B640)&lt;$N$2,N(对接源_02物料!$B640)&gt;$N$3),0,1))</f>
        <v>0</v>
      </c>
      <c r="P1840" s="3">
        <f>IF(AND($K1840=1,AND(对接源_02物料!$X640="公司筐",N(对接源_02物料!$T640)&lt;&gt;0)),1,0)</f>
        <v>0</v>
      </c>
      <c r="Q1840" s="3">
        <f t="shared" si="488"/>
        <v>8</v>
      </c>
      <c r="R1840" s="3">
        <f>IF(AND($K1840=1,AND(对接源_02物料!$X640="公司筐",N(对接源_02物料!$U640)&lt;&gt;0)),1,0)</f>
        <v>0</v>
      </c>
      <c r="S1840" s="3">
        <f t="shared" si="489"/>
        <v>0</v>
      </c>
      <c r="T1840" s="3">
        <f>IF(AND($K1840=1,AND(对接源_02物料!$X640="公司筐",N(对接源_02物料!$V640)&lt;&gt;0)),1,0)</f>
        <v>0</v>
      </c>
      <c r="U1840" s="3">
        <f t="shared" si="490"/>
        <v>19</v>
      </c>
      <c r="V1840" s="3">
        <f>IF(AND($L1840=1,AND(对接源_02物料!$X640="自备筐",N(对接源_02物料!$V640)&lt;&gt;0)),1,0)</f>
        <v>0</v>
      </c>
      <c r="W1840" s="3">
        <f t="shared" si="491"/>
        <v>8</v>
      </c>
      <c r="X1840" s="3">
        <f>IF(AND($L1840=1,AND(对接源_02物料!$X640="自备筐",N(对接源_02物料!$T640)&lt;&gt;0)),1,0)</f>
        <v>0</v>
      </c>
      <c r="Y1840" s="3">
        <f t="shared" si="492"/>
        <v>0</v>
      </c>
      <c r="Z1840" s="3">
        <f>IF(AND($M1840=1,对接源_02物料!$D640="原料入库"),1,0)</f>
        <v>0</v>
      </c>
      <c r="AA1840" s="3">
        <f t="shared" si="493"/>
        <v>24</v>
      </c>
      <c r="AB1840" s="3">
        <f>IF(AND($M1840=1,LEFT(对接源_02物料!$D640,4)="原料出库"),1,0)</f>
        <v>0</v>
      </c>
      <c r="AC1840" s="3">
        <f t="shared" si="494"/>
        <v>0</v>
      </c>
      <c r="AD1840" s="3">
        <f>IF(AND($M1840=1,LEFT(对接源_02物料!$D640,4)="成品出库"),1,0)</f>
        <v>0</v>
      </c>
      <c r="AE1840" s="3">
        <f t="shared" si="495"/>
        <v>0</v>
      </c>
      <c r="AF1840" s="3">
        <f>IF(AND($N1840=1,AND(LEFT(对接源_02物料!$D640,4)="包装物料",N(对接源_02物料!$K640)&lt;&gt;0)),1,0)</f>
        <v>0</v>
      </c>
      <c r="AG1840" s="3">
        <f t="shared" si="496"/>
        <v>5</v>
      </c>
      <c r="AH1840" s="3">
        <f>IF(AND($N1840=1,AND(对接源_02物料!$D640="周转筐－销售出库",N(对接源_02物料!$K640)&lt;&gt;0)),1,0)</f>
        <v>0</v>
      </c>
      <c r="AI1840" s="3">
        <f t="shared" si="497"/>
        <v>0</v>
      </c>
      <c r="AL1840" s="3">
        <v>0</v>
      </c>
      <c r="AM1840" s="3">
        <f t="shared" si="498"/>
        <v>1</v>
      </c>
      <c r="AN1840" s="3" t="str">
        <f t="shared" si="485"/>
        <v/>
      </c>
      <c r="AO1840" s="3">
        <v>0</v>
      </c>
      <c r="AP1840" s="3">
        <f t="shared" si="499"/>
        <v>8</v>
      </c>
      <c r="AR1840">
        <f t="shared" si="500"/>
        <v>0</v>
      </c>
      <c r="AS1840">
        <f t="shared" si="501"/>
        <v>5</v>
      </c>
    </row>
    <row r="1841" customHeight="1" spans="1:45">
      <c r="A1841" s="3" t="str">
        <f>IF(对接源_02物料!$C641="","",对接源_02物料!$C641)</f>
        <v/>
      </c>
      <c r="B1841" s="3">
        <f t="shared" si="486"/>
        <v>0</v>
      </c>
      <c r="C1841" s="3">
        <f t="shared" si="487"/>
        <v>21</v>
      </c>
      <c r="K1841" s="3">
        <f>IF(OR($K$1="",对接源_02物料!$C641="",对接源_02物料!$C641&lt;&gt;$K$1,对接源_02物料!$B641=""),0,IF(OR(N(对接源_02物料!$B641)&lt;$K$2,N(对接源_02物料!$B641)&gt;$K$3),0,1))</f>
        <v>0</v>
      </c>
      <c r="L1841" s="3">
        <f>IF(OR($L$1="",对接源_02物料!$C641="",对接源_02物料!$C641&lt;&gt;$L$1,对接源_02物料!$B641=""),0,IF(OR(N(对接源_02物料!$B641)&lt;$L$2,N(对接源_02物料!$B641)&gt;$L$3),0,1))</f>
        <v>0</v>
      </c>
      <c r="M1841" s="3">
        <f>IF(OR($M$1="",对接源_02物料!$C641="",对接源_02物料!$C641&lt;&gt;$M$1,对接源_02物料!$B641=""),0,IF(OR(N(对接源_02物料!$B641)&lt;$M$2,N(对接源_02物料!$B641)&gt;$M$3),0,1))</f>
        <v>0</v>
      </c>
      <c r="N1841" s="3">
        <f>IF(OR($N$1="",对接源_02物料!$C641="",对接源_02物料!$C641&lt;&gt;$N$1,对接源_02物料!$B641=""),0,IF(OR(N(对接源_02物料!$B641)&lt;$N$2,N(对接源_02物料!$B641)&gt;$N$3),0,1))</f>
        <v>0</v>
      </c>
      <c r="P1841" s="3">
        <f>IF(AND($K1841=1,AND(对接源_02物料!$X641="公司筐",N(对接源_02物料!$T641)&lt;&gt;0)),1,0)</f>
        <v>0</v>
      </c>
      <c r="Q1841" s="3">
        <f t="shared" si="488"/>
        <v>8</v>
      </c>
      <c r="R1841" s="3">
        <f>IF(AND($K1841=1,AND(对接源_02物料!$X641="公司筐",N(对接源_02物料!$U641)&lt;&gt;0)),1,0)</f>
        <v>0</v>
      </c>
      <c r="S1841" s="3">
        <f t="shared" si="489"/>
        <v>0</v>
      </c>
      <c r="T1841" s="3">
        <f>IF(AND($K1841=1,AND(对接源_02物料!$X641="公司筐",N(对接源_02物料!$V641)&lt;&gt;0)),1,0)</f>
        <v>0</v>
      </c>
      <c r="U1841" s="3">
        <f t="shared" si="490"/>
        <v>19</v>
      </c>
      <c r="V1841" s="3">
        <f>IF(AND($L1841=1,AND(对接源_02物料!$X641="自备筐",N(对接源_02物料!$V641)&lt;&gt;0)),1,0)</f>
        <v>0</v>
      </c>
      <c r="W1841" s="3">
        <f t="shared" si="491"/>
        <v>8</v>
      </c>
      <c r="X1841" s="3">
        <f>IF(AND($L1841=1,AND(对接源_02物料!$X641="自备筐",N(对接源_02物料!$T641)&lt;&gt;0)),1,0)</f>
        <v>0</v>
      </c>
      <c r="Y1841" s="3">
        <f t="shared" si="492"/>
        <v>0</v>
      </c>
      <c r="Z1841" s="3">
        <f>IF(AND($M1841=1,对接源_02物料!$D641="原料入库"),1,0)</f>
        <v>0</v>
      </c>
      <c r="AA1841" s="3">
        <f t="shared" si="493"/>
        <v>24</v>
      </c>
      <c r="AB1841" s="3">
        <f>IF(AND($M1841=1,LEFT(对接源_02物料!$D641,4)="原料出库"),1,0)</f>
        <v>0</v>
      </c>
      <c r="AC1841" s="3">
        <f t="shared" si="494"/>
        <v>0</v>
      </c>
      <c r="AD1841" s="3">
        <f>IF(AND($M1841=1,LEFT(对接源_02物料!$D641,4)="成品出库"),1,0)</f>
        <v>0</v>
      </c>
      <c r="AE1841" s="3">
        <f t="shared" si="495"/>
        <v>0</v>
      </c>
      <c r="AF1841" s="3">
        <f>IF(AND($N1841=1,AND(LEFT(对接源_02物料!$D641,4)="包装物料",N(对接源_02物料!$K641)&lt;&gt;0)),1,0)</f>
        <v>0</v>
      </c>
      <c r="AG1841" s="3">
        <f t="shared" si="496"/>
        <v>5</v>
      </c>
      <c r="AH1841" s="3">
        <f>IF(AND($N1841=1,AND(对接源_02物料!$D641="周转筐－销售出库",N(对接源_02物料!$K641)&lt;&gt;0)),1,0)</f>
        <v>0</v>
      </c>
      <c r="AI1841" s="3">
        <f t="shared" si="497"/>
        <v>0</v>
      </c>
      <c r="AL1841" s="3">
        <v>0</v>
      </c>
      <c r="AM1841" s="3">
        <f t="shared" si="498"/>
        <v>1</v>
      </c>
      <c r="AN1841" s="3" t="str">
        <f t="shared" si="485"/>
        <v/>
      </c>
      <c r="AO1841" s="3">
        <v>0</v>
      </c>
      <c r="AP1841" s="3">
        <f t="shared" si="499"/>
        <v>8</v>
      </c>
      <c r="AR1841">
        <f t="shared" si="500"/>
        <v>0</v>
      </c>
      <c r="AS1841">
        <f t="shared" si="501"/>
        <v>5</v>
      </c>
    </row>
    <row r="1842" customHeight="1" spans="1:45">
      <c r="A1842" s="3" t="str">
        <f>IF(对接源_02物料!$C642="","",对接源_02物料!$C642)</f>
        <v/>
      </c>
      <c r="B1842" s="3">
        <f t="shared" si="486"/>
        <v>0</v>
      </c>
      <c r="C1842" s="3">
        <f t="shared" si="487"/>
        <v>21</v>
      </c>
      <c r="K1842" s="3">
        <f>IF(OR($K$1="",对接源_02物料!$C642="",对接源_02物料!$C642&lt;&gt;$K$1,对接源_02物料!$B642=""),0,IF(OR(N(对接源_02物料!$B642)&lt;$K$2,N(对接源_02物料!$B642)&gt;$K$3),0,1))</f>
        <v>0</v>
      </c>
      <c r="L1842" s="3">
        <f>IF(OR($L$1="",对接源_02物料!$C642="",对接源_02物料!$C642&lt;&gt;$L$1,对接源_02物料!$B642=""),0,IF(OR(N(对接源_02物料!$B642)&lt;$L$2,N(对接源_02物料!$B642)&gt;$L$3),0,1))</f>
        <v>0</v>
      </c>
      <c r="M1842" s="3">
        <f>IF(OR($M$1="",对接源_02物料!$C642="",对接源_02物料!$C642&lt;&gt;$M$1,对接源_02物料!$B642=""),0,IF(OR(N(对接源_02物料!$B642)&lt;$M$2,N(对接源_02物料!$B642)&gt;$M$3),0,1))</f>
        <v>0</v>
      </c>
      <c r="N1842" s="3">
        <f>IF(OR($N$1="",对接源_02物料!$C642="",对接源_02物料!$C642&lt;&gt;$N$1,对接源_02物料!$B642=""),0,IF(OR(N(对接源_02物料!$B642)&lt;$N$2,N(对接源_02物料!$B642)&gt;$N$3),0,1))</f>
        <v>0</v>
      </c>
      <c r="P1842" s="3">
        <f>IF(AND($K1842=1,AND(对接源_02物料!$X642="公司筐",N(对接源_02物料!$T642)&lt;&gt;0)),1,0)</f>
        <v>0</v>
      </c>
      <c r="Q1842" s="3">
        <f t="shared" si="488"/>
        <v>8</v>
      </c>
      <c r="R1842" s="3">
        <f>IF(AND($K1842=1,AND(对接源_02物料!$X642="公司筐",N(对接源_02物料!$U642)&lt;&gt;0)),1,0)</f>
        <v>0</v>
      </c>
      <c r="S1842" s="3">
        <f t="shared" si="489"/>
        <v>0</v>
      </c>
      <c r="T1842" s="3">
        <f>IF(AND($K1842=1,AND(对接源_02物料!$X642="公司筐",N(对接源_02物料!$V642)&lt;&gt;0)),1,0)</f>
        <v>0</v>
      </c>
      <c r="U1842" s="3">
        <f t="shared" si="490"/>
        <v>19</v>
      </c>
      <c r="V1842" s="3">
        <f>IF(AND($L1842=1,AND(对接源_02物料!$X642="自备筐",N(对接源_02物料!$V642)&lt;&gt;0)),1,0)</f>
        <v>0</v>
      </c>
      <c r="W1842" s="3">
        <f t="shared" si="491"/>
        <v>8</v>
      </c>
      <c r="X1842" s="3">
        <f>IF(AND($L1842=1,AND(对接源_02物料!$X642="自备筐",N(对接源_02物料!$T642)&lt;&gt;0)),1,0)</f>
        <v>0</v>
      </c>
      <c r="Y1842" s="3">
        <f t="shared" si="492"/>
        <v>0</v>
      </c>
      <c r="Z1842" s="3">
        <f>IF(AND($M1842=1,对接源_02物料!$D642="原料入库"),1,0)</f>
        <v>0</v>
      </c>
      <c r="AA1842" s="3">
        <f t="shared" si="493"/>
        <v>24</v>
      </c>
      <c r="AB1842" s="3">
        <f>IF(AND($M1842=1,LEFT(对接源_02物料!$D642,4)="原料出库"),1,0)</f>
        <v>0</v>
      </c>
      <c r="AC1842" s="3">
        <f t="shared" si="494"/>
        <v>0</v>
      </c>
      <c r="AD1842" s="3">
        <f>IF(AND($M1842=1,LEFT(对接源_02物料!$D642,4)="成品出库"),1,0)</f>
        <v>0</v>
      </c>
      <c r="AE1842" s="3">
        <f t="shared" si="495"/>
        <v>0</v>
      </c>
      <c r="AF1842" s="3">
        <f>IF(AND($N1842=1,AND(LEFT(对接源_02物料!$D642,4)="包装物料",N(对接源_02物料!$K642)&lt;&gt;0)),1,0)</f>
        <v>0</v>
      </c>
      <c r="AG1842" s="3">
        <f t="shared" si="496"/>
        <v>5</v>
      </c>
      <c r="AH1842" s="3">
        <f>IF(AND($N1842=1,AND(对接源_02物料!$D642="周转筐－销售出库",N(对接源_02物料!$K642)&lt;&gt;0)),1,0)</f>
        <v>0</v>
      </c>
      <c r="AI1842" s="3">
        <f t="shared" si="497"/>
        <v>0</v>
      </c>
      <c r="AL1842" s="3">
        <v>0</v>
      </c>
      <c r="AM1842" s="3">
        <f t="shared" si="498"/>
        <v>1</v>
      </c>
      <c r="AN1842" s="3" t="str">
        <f t="shared" si="485"/>
        <v/>
      </c>
      <c r="AO1842" s="3">
        <v>0</v>
      </c>
      <c r="AP1842" s="3">
        <f t="shared" si="499"/>
        <v>8</v>
      </c>
      <c r="AR1842">
        <f t="shared" si="500"/>
        <v>0</v>
      </c>
      <c r="AS1842">
        <f t="shared" si="501"/>
        <v>5</v>
      </c>
    </row>
    <row r="1843" customHeight="1" spans="1:45">
      <c r="A1843" s="3" t="str">
        <f>IF(对接源_02物料!$C643="","",对接源_02物料!$C643)</f>
        <v/>
      </c>
      <c r="B1843" s="3">
        <f t="shared" si="486"/>
        <v>0</v>
      </c>
      <c r="C1843" s="3">
        <f t="shared" si="487"/>
        <v>21</v>
      </c>
      <c r="K1843" s="3">
        <f>IF(OR($K$1="",对接源_02物料!$C643="",对接源_02物料!$C643&lt;&gt;$K$1,对接源_02物料!$B643=""),0,IF(OR(N(对接源_02物料!$B643)&lt;$K$2,N(对接源_02物料!$B643)&gt;$K$3),0,1))</f>
        <v>0</v>
      </c>
      <c r="L1843" s="3">
        <f>IF(OR($L$1="",对接源_02物料!$C643="",对接源_02物料!$C643&lt;&gt;$L$1,对接源_02物料!$B643=""),0,IF(OR(N(对接源_02物料!$B643)&lt;$L$2,N(对接源_02物料!$B643)&gt;$L$3),0,1))</f>
        <v>0</v>
      </c>
      <c r="M1843" s="3">
        <f>IF(OR($M$1="",对接源_02物料!$C643="",对接源_02物料!$C643&lt;&gt;$M$1,对接源_02物料!$B643=""),0,IF(OR(N(对接源_02物料!$B643)&lt;$M$2,N(对接源_02物料!$B643)&gt;$M$3),0,1))</f>
        <v>0</v>
      </c>
      <c r="N1843" s="3">
        <f>IF(OR($N$1="",对接源_02物料!$C643="",对接源_02物料!$C643&lt;&gt;$N$1,对接源_02物料!$B643=""),0,IF(OR(N(对接源_02物料!$B643)&lt;$N$2,N(对接源_02物料!$B643)&gt;$N$3),0,1))</f>
        <v>0</v>
      </c>
      <c r="P1843" s="3">
        <f>IF(AND($K1843=1,AND(对接源_02物料!$X643="公司筐",N(对接源_02物料!$T643)&lt;&gt;0)),1,0)</f>
        <v>0</v>
      </c>
      <c r="Q1843" s="3">
        <f t="shared" si="488"/>
        <v>8</v>
      </c>
      <c r="R1843" s="3">
        <f>IF(AND($K1843=1,AND(对接源_02物料!$X643="公司筐",N(对接源_02物料!$U643)&lt;&gt;0)),1,0)</f>
        <v>0</v>
      </c>
      <c r="S1843" s="3">
        <f t="shared" si="489"/>
        <v>0</v>
      </c>
      <c r="T1843" s="3">
        <f>IF(AND($K1843=1,AND(对接源_02物料!$X643="公司筐",N(对接源_02物料!$V643)&lt;&gt;0)),1,0)</f>
        <v>0</v>
      </c>
      <c r="U1843" s="3">
        <f t="shared" si="490"/>
        <v>19</v>
      </c>
      <c r="V1843" s="3">
        <f>IF(AND($L1843=1,AND(对接源_02物料!$X643="自备筐",N(对接源_02物料!$V643)&lt;&gt;0)),1,0)</f>
        <v>0</v>
      </c>
      <c r="W1843" s="3">
        <f t="shared" si="491"/>
        <v>8</v>
      </c>
      <c r="X1843" s="3">
        <f>IF(AND($L1843=1,AND(对接源_02物料!$X643="自备筐",N(对接源_02物料!$T643)&lt;&gt;0)),1,0)</f>
        <v>0</v>
      </c>
      <c r="Y1843" s="3">
        <f t="shared" si="492"/>
        <v>0</v>
      </c>
      <c r="Z1843" s="3">
        <f>IF(AND($M1843=1,对接源_02物料!$D643="原料入库"),1,0)</f>
        <v>0</v>
      </c>
      <c r="AA1843" s="3">
        <f t="shared" si="493"/>
        <v>24</v>
      </c>
      <c r="AB1843" s="3">
        <f>IF(AND($M1843=1,LEFT(对接源_02物料!$D643,4)="原料出库"),1,0)</f>
        <v>0</v>
      </c>
      <c r="AC1843" s="3">
        <f t="shared" si="494"/>
        <v>0</v>
      </c>
      <c r="AD1843" s="3">
        <f>IF(AND($M1843=1,LEFT(对接源_02物料!$D643,4)="成品出库"),1,0)</f>
        <v>0</v>
      </c>
      <c r="AE1843" s="3">
        <f t="shared" si="495"/>
        <v>0</v>
      </c>
      <c r="AF1843" s="3">
        <f>IF(AND($N1843=1,AND(LEFT(对接源_02物料!$D643,4)="包装物料",N(对接源_02物料!$K643)&lt;&gt;0)),1,0)</f>
        <v>0</v>
      </c>
      <c r="AG1843" s="3">
        <f t="shared" si="496"/>
        <v>5</v>
      </c>
      <c r="AH1843" s="3">
        <f>IF(AND($N1843=1,AND(对接源_02物料!$D643="周转筐－销售出库",N(对接源_02物料!$K643)&lt;&gt;0)),1,0)</f>
        <v>0</v>
      </c>
      <c r="AI1843" s="3">
        <f t="shared" si="497"/>
        <v>0</v>
      </c>
      <c r="AL1843" s="3">
        <v>0</v>
      </c>
      <c r="AM1843" s="3">
        <f t="shared" si="498"/>
        <v>1</v>
      </c>
      <c r="AN1843" s="3" t="str">
        <f t="shared" si="485"/>
        <v/>
      </c>
      <c r="AO1843" s="3">
        <v>0</v>
      </c>
      <c r="AP1843" s="3">
        <f t="shared" si="499"/>
        <v>8</v>
      </c>
      <c r="AR1843">
        <f t="shared" si="500"/>
        <v>0</v>
      </c>
      <c r="AS1843">
        <f t="shared" si="501"/>
        <v>5</v>
      </c>
    </row>
    <row r="1844" customHeight="1" spans="1:45">
      <c r="A1844" s="3" t="str">
        <f>IF(对接源_02物料!$C644="","",对接源_02物料!$C644)</f>
        <v/>
      </c>
      <c r="B1844" s="3">
        <f t="shared" si="486"/>
        <v>0</v>
      </c>
      <c r="C1844" s="3">
        <f t="shared" si="487"/>
        <v>21</v>
      </c>
      <c r="K1844" s="3">
        <f>IF(OR($K$1="",对接源_02物料!$C644="",对接源_02物料!$C644&lt;&gt;$K$1,对接源_02物料!$B644=""),0,IF(OR(N(对接源_02物料!$B644)&lt;$K$2,N(对接源_02物料!$B644)&gt;$K$3),0,1))</f>
        <v>0</v>
      </c>
      <c r="L1844" s="3">
        <f>IF(OR($L$1="",对接源_02物料!$C644="",对接源_02物料!$C644&lt;&gt;$L$1,对接源_02物料!$B644=""),0,IF(OR(N(对接源_02物料!$B644)&lt;$L$2,N(对接源_02物料!$B644)&gt;$L$3),0,1))</f>
        <v>0</v>
      </c>
      <c r="M1844" s="3">
        <f>IF(OR($M$1="",对接源_02物料!$C644="",对接源_02物料!$C644&lt;&gt;$M$1,对接源_02物料!$B644=""),0,IF(OR(N(对接源_02物料!$B644)&lt;$M$2,N(对接源_02物料!$B644)&gt;$M$3),0,1))</f>
        <v>0</v>
      </c>
      <c r="N1844" s="3">
        <f>IF(OR($N$1="",对接源_02物料!$C644="",对接源_02物料!$C644&lt;&gt;$N$1,对接源_02物料!$B644=""),0,IF(OR(N(对接源_02物料!$B644)&lt;$N$2,N(对接源_02物料!$B644)&gt;$N$3),0,1))</f>
        <v>0</v>
      </c>
      <c r="P1844" s="3">
        <f>IF(AND($K1844=1,AND(对接源_02物料!$X644="公司筐",N(对接源_02物料!$T644)&lt;&gt;0)),1,0)</f>
        <v>0</v>
      </c>
      <c r="Q1844" s="3">
        <f t="shared" si="488"/>
        <v>8</v>
      </c>
      <c r="R1844" s="3">
        <f>IF(AND($K1844=1,AND(对接源_02物料!$X644="公司筐",N(对接源_02物料!$U644)&lt;&gt;0)),1,0)</f>
        <v>0</v>
      </c>
      <c r="S1844" s="3">
        <f t="shared" si="489"/>
        <v>0</v>
      </c>
      <c r="T1844" s="3">
        <f>IF(AND($K1844=1,AND(对接源_02物料!$X644="公司筐",N(对接源_02物料!$V644)&lt;&gt;0)),1,0)</f>
        <v>0</v>
      </c>
      <c r="U1844" s="3">
        <f t="shared" si="490"/>
        <v>19</v>
      </c>
      <c r="V1844" s="3">
        <f>IF(AND($L1844=1,AND(对接源_02物料!$X644="自备筐",N(对接源_02物料!$V644)&lt;&gt;0)),1,0)</f>
        <v>0</v>
      </c>
      <c r="W1844" s="3">
        <f t="shared" si="491"/>
        <v>8</v>
      </c>
      <c r="X1844" s="3">
        <f>IF(AND($L1844=1,AND(对接源_02物料!$X644="自备筐",N(对接源_02物料!$T644)&lt;&gt;0)),1,0)</f>
        <v>0</v>
      </c>
      <c r="Y1844" s="3">
        <f t="shared" si="492"/>
        <v>0</v>
      </c>
      <c r="Z1844" s="3">
        <f>IF(AND($M1844=1,对接源_02物料!$D644="原料入库"),1,0)</f>
        <v>0</v>
      </c>
      <c r="AA1844" s="3">
        <f t="shared" si="493"/>
        <v>24</v>
      </c>
      <c r="AB1844" s="3">
        <f>IF(AND($M1844=1,LEFT(对接源_02物料!$D644,4)="原料出库"),1,0)</f>
        <v>0</v>
      </c>
      <c r="AC1844" s="3">
        <f t="shared" si="494"/>
        <v>0</v>
      </c>
      <c r="AD1844" s="3">
        <f>IF(AND($M1844=1,LEFT(对接源_02物料!$D644,4)="成品出库"),1,0)</f>
        <v>0</v>
      </c>
      <c r="AE1844" s="3">
        <f t="shared" si="495"/>
        <v>0</v>
      </c>
      <c r="AF1844" s="3">
        <f>IF(AND($N1844=1,AND(LEFT(对接源_02物料!$D644,4)="包装物料",N(对接源_02物料!$K644)&lt;&gt;0)),1,0)</f>
        <v>0</v>
      </c>
      <c r="AG1844" s="3">
        <f t="shared" si="496"/>
        <v>5</v>
      </c>
      <c r="AH1844" s="3">
        <f>IF(AND($N1844=1,AND(对接源_02物料!$D644="周转筐－销售出库",N(对接源_02物料!$K644)&lt;&gt;0)),1,0)</f>
        <v>0</v>
      </c>
      <c r="AI1844" s="3">
        <f t="shared" si="497"/>
        <v>0</v>
      </c>
      <c r="AL1844" s="3">
        <v>0</v>
      </c>
      <c r="AM1844" s="3">
        <f t="shared" si="498"/>
        <v>1</v>
      </c>
      <c r="AN1844" s="3" t="str">
        <f t="shared" ref="AN1844:AN1907" si="502">""</f>
        <v/>
      </c>
      <c r="AO1844" s="3">
        <v>0</v>
      </c>
      <c r="AP1844" s="3">
        <f t="shared" si="499"/>
        <v>8</v>
      </c>
      <c r="AR1844">
        <f t="shared" si="500"/>
        <v>0</v>
      </c>
      <c r="AS1844">
        <f t="shared" si="501"/>
        <v>5</v>
      </c>
    </row>
    <row r="1845" customHeight="1" spans="1:45">
      <c r="A1845" s="3" t="str">
        <f>IF(对接源_02物料!$C645="","",对接源_02物料!$C645)</f>
        <v/>
      </c>
      <c r="B1845" s="3">
        <f t="shared" si="486"/>
        <v>0</v>
      </c>
      <c r="C1845" s="3">
        <f t="shared" si="487"/>
        <v>21</v>
      </c>
      <c r="K1845" s="3">
        <f>IF(OR($K$1="",对接源_02物料!$C645="",对接源_02物料!$C645&lt;&gt;$K$1,对接源_02物料!$B645=""),0,IF(OR(N(对接源_02物料!$B645)&lt;$K$2,N(对接源_02物料!$B645)&gt;$K$3),0,1))</f>
        <v>0</v>
      </c>
      <c r="L1845" s="3">
        <f>IF(OR($L$1="",对接源_02物料!$C645="",对接源_02物料!$C645&lt;&gt;$L$1,对接源_02物料!$B645=""),0,IF(OR(N(对接源_02物料!$B645)&lt;$L$2,N(对接源_02物料!$B645)&gt;$L$3),0,1))</f>
        <v>0</v>
      </c>
      <c r="M1845" s="3">
        <f>IF(OR($M$1="",对接源_02物料!$C645="",对接源_02物料!$C645&lt;&gt;$M$1,对接源_02物料!$B645=""),0,IF(OR(N(对接源_02物料!$B645)&lt;$M$2,N(对接源_02物料!$B645)&gt;$M$3),0,1))</f>
        <v>0</v>
      </c>
      <c r="N1845" s="3">
        <f>IF(OR($N$1="",对接源_02物料!$C645="",对接源_02物料!$C645&lt;&gt;$N$1,对接源_02物料!$B645=""),0,IF(OR(N(对接源_02物料!$B645)&lt;$N$2,N(对接源_02物料!$B645)&gt;$N$3),0,1))</f>
        <v>0</v>
      </c>
      <c r="P1845" s="3">
        <f>IF(AND($K1845=1,AND(对接源_02物料!$X645="公司筐",N(对接源_02物料!$T645)&lt;&gt;0)),1,0)</f>
        <v>0</v>
      </c>
      <c r="Q1845" s="3">
        <f t="shared" si="488"/>
        <v>8</v>
      </c>
      <c r="R1845" s="3">
        <f>IF(AND($K1845=1,AND(对接源_02物料!$X645="公司筐",N(对接源_02物料!$U645)&lt;&gt;0)),1,0)</f>
        <v>0</v>
      </c>
      <c r="S1845" s="3">
        <f t="shared" si="489"/>
        <v>0</v>
      </c>
      <c r="T1845" s="3">
        <f>IF(AND($K1845=1,AND(对接源_02物料!$X645="公司筐",N(对接源_02物料!$V645)&lt;&gt;0)),1,0)</f>
        <v>0</v>
      </c>
      <c r="U1845" s="3">
        <f t="shared" si="490"/>
        <v>19</v>
      </c>
      <c r="V1845" s="3">
        <f>IF(AND($L1845=1,AND(对接源_02物料!$X645="自备筐",N(对接源_02物料!$V645)&lt;&gt;0)),1,0)</f>
        <v>0</v>
      </c>
      <c r="W1845" s="3">
        <f t="shared" si="491"/>
        <v>8</v>
      </c>
      <c r="X1845" s="3">
        <f>IF(AND($L1845=1,AND(对接源_02物料!$X645="自备筐",N(对接源_02物料!$T645)&lt;&gt;0)),1,0)</f>
        <v>0</v>
      </c>
      <c r="Y1845" s="3">
        <f t="shared" si="492"/>
        <v>0</v>
      </c>
      <c r="Z1845" s="3">
        <f>IF(AND($M1845=1,对接源_02物料!$D645="原料入库"),1,0)</f>
        <v>0</v>
      </c>
      <c r="AA1845" s="3">
        <f t="shared" si="493"/>
        <v>24</v>
      </c>
      <c r="AB1845" s="3">
        <f>IF(AND($M1845=1,LEFT(对接源_02物料!$D645,4)="原料出库"),1,0)</f>
        <v>0</v>
      </c>
      <c r="AC1845" s="3">
        <f t="shared" si="494"/>
        <v>0</v>
      </c>
      <c r="AD1845" s="3">
        <f>IF(AND($M1845=1,LEFT(对接源_02物料!$D645,4)="成品出库"),1,0)</f>
        <v>0</v>
      </c>
      <c r="AE1845" s="3">
        <f t="shared" si="495"/>
        <v>0</v>
      </c>
      <c r="AF1845" s="3">
        <f>IF(AND($N1845=1,AND(LEFT(对接源_02物料!$D645,4)="包装物料",N(对接源_02物料!$K645)&lt;&gt;0)),1,0)</f>
        <v>0</v>
      </c>
      <c r="AG1845" s="3">
        <f t="shared" si="496"/>
        <v>5</v>
      </c>
      <c r="AH1845" s="3">
        <f>IF(AND($N1845=1,AND(对接源_02物料!$D645="周转筐－销售出库",N(对接源_02物料!$K645)&lt;&gt;0)),1,0)</f>
        <v>0</v>
      </c>
      <c r="AI1845" s="3">
        <f t="shared" si="497"/>
        <v>0</v>
      </c>
      <c r="AL1845" s="3">
        <v>0</v>
      </c>
      <c r="AM1845" s="3">
        <f t="shared" si="498"/>
        <v>1</v>
      </c>
      <c r="AN1845" s="3" t="str">
        <f t="shared" si="502"/>
        <v/>
      </c>
      <c r="AO1845" s="3">
        <v>0</v>
      </c>
      <c r="AP1845" s="3">
        <f t="shared" si="499"/>
        <v>8</v>
      </c>
      <c r="AR1845">
        <f t="shared" si="500"/>
        <v>0</v>
      </c>
      <c r="AS1845">
        <f t="shared" si="501"/>
        <v>5</v>
      </c>
    </row>
    <row r="1846" customHeight="1" spans="1:45">
      <c r="A1846" s="3" t="str">
        <f>IF(对接源_02物料!$C646="","",对接源_02物料!$C646)</f>
        <v/>
      </c>
      <c r="B1846" s="3">
        <f t="shared" si="486"/>
        <v>0</v>
      </c>
      <c r="C1846" s="3">
        <f t="shared" si="487"/>
        <v>21</v>
      </c>
      <c r="K1846" s="3">
        <f>IF(OR($K$1="",对接源_02物料!$C646="",对接源_02物料!$C646&lt;&gt;$K$1,对接源_02物料!$B646=""),0,IF(OR(N(对接源_02物料!$B646)&lt;$K$2,N(对接源_02物料!$B646)&gt;$K$3),0,1))</f>
        <v>0</v>
      </c>
      <c r="L1846" s="3">
        <f>IF(OR($L$1="",对接源_02物料!$C646="",对接源_02物料!$C646&lt;&gt;$L$1,对接源_02物料!$B646=""),0,IF(OR(N(对接源_02物料!$B646)&lt;$L$2,N(对接源_02物料!$B646)&gt;$L$3),0,1))</f>
        <v>0</v>
      </c>
      <c r="M1846" s="3">
        <f>IF(OR($M$1="",对接源_02物料!$C646="",对接源_02物料!$C646&lt;&gt;$M$1,对接源_02物料!$B646=""),0,IF(OR(N(对接源_02物料!$B646)&lt;$M$2,N(对接源_02物料!$B646)&gt;$M$3),0,1))</f>
        <v>0</v>
      </c>
      <c r="N1846" s="3">
        <f>IF(OR($N$1="",对接源_02物料!$C646="",对接源_02物料!$C646&lt;&gt;$N$1,对接源_02物料!$B646=""),0,IF(OR(N(对接源_02物料!$B646)&lt;$N$2,N(对接源_02物料!$B646)&gt;$N$3),0,1))</f>
        <v>0</v>
      </c>
      <c r="P1846" s="3">
        <f>IF(AND($K1846=1,AND(对接源_02物料!$X646="公司筐",N(对接源_02物料!$T646)&lt;&gt;0)),1,0)</f>
        <v>0</v>
      </c>
      <c r="Q1846" s="3">
        <f t="shared" si="488"/>
        <v>8</v>
      </c>
      <c r="R1846" s="3">
        <f>IF(AND($K1846=1,AND(对接源_02物料!$X646="公司筐",N(对接源_02物料!$U646)&lt;&gt;0)),1,0)</f>
        <v>0</v>
      </c>
      <c r="S1846" s="3">
        <f t="shared" si="489"/>
        <v>0</v>
      </c>
      <c r="T1846" s="3">
        <f>IF(AND($K1846=1,AND(对接源_02物料!$X646="公司筐",N(对接源_02物料!$V646)&lt;&gt;0)),1,0)</f>
        <v>0</v>
      </c>
      <c r="U1846" s="3">
        <f t="shared" si="490"/>
        <v>19</v>
      </c>
      <c r="V1846" s="3">
        <f>IF(AND($L1846=1,AND(对接源_02物料!$X646="自备筐",N(对接源_02物料!$V646)&lt;&gt;0)),1,0)</f>
        <v>0</v>
      </c>
      <c r="W1846" s="3">
        <f t="shared" si="491"/>
        <v>8</v>
      </c>
      <c r="X1846" s="3">
        <f>IF(AND($L1846=1,AND(对接源_02物料!$X646="自备筐",N(对接源_02物料!$T646)&lt;&gt;0)),1,0)</f>
        <v>0</v>
      </c>
      <c r="Y1846" s="3">
        <f t="shared" si="492"/>
        <v>0</v>
      </c>
      <c r="Z1846" s="3">
        <f>IF(AND($M1846=1,对接源_02物料!$D646="原料入库"),1,0)</f>
        <v>0</v>
      </c>
      <c r="AA1846" s="3">
        <f t="shared" si="493"/>
        <v>24</v>
      </c>
      <c r="AB1846" s="3">
        <f>IF(AND($M1846=1,LEFT(对接源_02物料!$D646,4)="原料出库"),1,0)</f>
        <v>0</v>
      </c>
      <c r="AC1846" s="3">
        <f t="shared" si="494"/>
        <v>0</v>
      </c>
      <c r="AD1846" s="3">
        <f>IF(AND($M1846=1,LEFT(对接源_02物料!$D646,4)="成品出库"),1,0)</f>
        <v>0</v>
      </c>
      <c r="AE1846" s="3">
        <f t="shared" si="495"/>
        <v>0</v>
      </c>
      <c r="AF1846" s="3">
        <f>IF(AND($N1846=1,AND(LEFT(对接源_02物料!$D646,4)="包装物料",N(对接源_02物料!$K646)&lt;&gt;0)),1,0)</f>
        <v>0</v>
      </c>
      <c r="AG1846" s="3">
        <f t="shared" si="496"/>
        <v>5</v>
      </c>
      <c r="AH1846" s="3">
        <f>IF(AND($N1846=1,AND(对接源_02物料!$D646="周转筐－销售出库",N(对接源_02物料!$K646)&lt;&gt;0)),1,0)</f>
        <v>0</v>
      </c>
      <c r="AI1846" s="3">
        <f t="shared" si="497"/>
        <v>0</v>
      </c>
      <c r="AL1846" s="3">
        <v>0</v>
      </c>
      <c r="AM1846" s="3">
        <f t="shared" si="498"/>
        <v>1</v>
      </c>
      <c r="AN1846" s="3" t="str">
        <f t="shared" si="502"/>
        <v/>
      </c>
      <c r="AO1846" s="3">
        <v>0</v>
      </c>
      <c r="AP1846" s="3">
        <f t="shared" si="499"/>
        <v>8</v>
      </c>
      <c r="AR1846">
        <f t="shared" si="500"/>
        <v>0</v>
      </c>
      <c r="AS1846">
        <f t="shared" si="501"/>
        <v>5</v>
      </c>
    </row>
    <row r="1847" customHeight="1" spans="1:45">
      <c r="A1847" s="3" t="str">
        <f>IF(对接源_02物料!$C647="","",对接源_02物料!$C647)</f>
        <v/>
      </c>
      <c r="B1847" s="3">
        <f t="shared" si="486"/>
        <v>0</v>
      </c>
      <c r="C1847" s="3">
        <f t="shared" si="487"/>
        <v>21</v>
      </c>
      <c r="K1847" s="3">
        <f>IF(OR($K$1="",对接源_02物料!$C647="",对接源_02物料!$C647&lt;&gt;$K$1,对接源_02物料!$B647=""),0,IF(OR(N(对接源_02物料!$B647)&lt;$K$2,N(对接源_02物料!$B647)&gt;$K$3),0,1))</f>
        <v>0</v>
      </c>
      <c r="L1847" s="3">
        <f>IF(OR($L$1="",对接源_02物料!$C647="",对接源_02物料!$C647&lt;&gt;$L$1,对接源_02物料!$B647=""),0,IF(OR(N(对接源_02物料!$B647)&lt;$L$2,N(对接源_02物料!$B647)&gt;$L$3),0,1))</f>
        <v>0</v>
      </c>
      <c r="M1847" s="3">
        <f>IF(OR($M$1="",对接源_02物料!$C647="",对接源_02物料!$C647&lt;&gt;$M$1,对接源_02物料!$B647=""),0,IF(OR(N(对接源_02物料!$B647)&lt;$M$2,N(对接源_02物料!$B647)&gt;$M$3),0,1))</f>
        <v>0</v>
      </c>
      <c r="N1847" s="3">
        <f>IF(OR($N$1="",对接源_02物料!$C647="",对接源_02物料!$C647&lt;&gt;$N$1,对接源_02物料!$B647=""),0,IF(OR(N(对接源_02物料!$B647)&lt;$N$2,N(对接源_02物料!$B647)&gt;$N$3),0,1))</f>
        <v>0</v>
      </c>
      <c r="P1847" s="3">
        <f>IF(AND($K1847=1,AND(对接源_02物料!$X647="公司筐",N(对接源_02物料!$T647)&lt;&gt;0)),1,0)</f>
        <v>0</v>
      </c>
      <c r="Q1847" s="3">
        <f t="shared" si="488"/>
        <v>8</v>
      </c>
      <c r="R1847" s="3">
        <f>IF(AND($K1847=1,AND(对接源_02物料!$X647="公司筐",N(对接源_02物料!$U647)&lt;&gt;0)),1,0)</f>
        <v>0</v>
      </c>
      <c r="S1847" s="3">
        <f t="shared" si="489"/>
        <v>0</v>
      </c>
      <c r="T1847" s="3">
        <f>IF(AND($K1847=1,AND(对接源_02物料!$X647="公司筐",N(对接源_02物料!$V647)&lt;&gt;0)),1,0)</f>
        <v>0</v>
      </c>
      <c r="U1847" s="3">
        <f t="shared" si="490"/>
        <v>19</v>
      </c>
      <c r="V1847" s="3">
        <f>IF(AND($L1847=1,AND(对接源_02物料!$X647="自备筐",N(对接源_02物料!$V647)&lt;&gt;0)),1,0)</f>
        <v>0</v>
      </c>
      <c r="W1847" s="3">
        <f t="shared" si="491"/>
        <v>8</v>
      </c>
      <c r="X1847" s="3">
        <f>IF(AND($L1847=1,AND(对接源_02物料!$X647="自备筐",N(对接源_02物料!$T647)&lt;&gt;0)),1,0)</f>
        <v>0</v>
      </c>
      <c r="Y1847" s="3">
        <f t="shared" si="492"/>
        <v>0</v>
      </c>
      <c r="Z1847" s="3">
        <f>IF(AND($M1847=1,对接源_02物料!$D647="原料入库"),1,0)</f>
        <v>0</v>
      </c>
      <c r="AA1847" s="3">
        <f t="shared" si="493"/>
        <v>24</v>
      </c>
      <c r="AB1847" s="3">
        <f>IF(AND($M1847=1,LEFT(对接源_02物料!$D647,4)="原料出库"),1,0)</f>
        <v>0</v>
      </c>
      <c r="AC1847" s="3">
        <f t="shared" si="494"/>
        <v>0</v>
      </c>
      <c r="AD1847" s="3">
        <f>IF(AND($M1847=1,LEFT(对接源_02物料!$D647,4)="成品出库"),1,0)</f>
        <v>0</v>
      </c>
      <c r="AE1847" s="3">
        <f t="shared" si="495"/>
        <v>0</v>
      </c>
      <c r="AF1847" s="3">
        <f>IF(AND($N1847=1,AND(LEFT(对接源_02物料!$D647,4)="包装物料",N(对接源_02物料!$K647)&lt;&gt;0)),1,0)</f>
        <v>0</v>
      </c>
      <c r="AG1847" s="3">
        <f t="shared" si="496"/>
        <v>5</v>
      </c>
      <c r="AH1847" s="3">
        <f>IF(AND($N1847=1,AND(对接源_02物料!$D647="周转筐－销售出库",N(对接源_02物料!$K647)&lt;&gt;0)),1,0)</f>
        <v>0</v>
      </c>
      <c r="AI1847" s="3">
        <f t="shared" si="497"/>
        <v>0</v>
      </c>
      <c r="AL1847" s="3">
        <v>0</v>
      </c>
      <c r="AM1847" s="3">
        <f t="shared" si="498"/>
        <v>1</v>
      </c>
      <c r="AN1847" s="3" t="str">
        <f t="shared" si="502"/>
        <v/>
      </c>
      <c r="AO1847" s="3">
        <v>0</v>
      </c>
      <c r="AP1847" s="3">
        <f t="shared" si="499"/>
        <v>8</v>
      </c>
      <c r="AR1847">
        <f t="shared" si="500"/>
        <v>0</v>
      </c>
      <c r="AS1847">
        <f t="shared" si="501"/>
        <v>5</v>
      </c>
    </row>
    <row r="1848" customHeight="1" spans="1:45">
      <c r="A1848" s="3" t="str">
        <f>IF(对接源_02物料!$C648="","",对接源_02物料!$C648)</f>
        <v/>
      </c>
      <c r="B1848" s="3">
        <f t="shared" si="486"/>
        <v>0</v>
      </c>
      <c r="C1848" s="3">
        <f t="shared" si="487"/>
        <v>21</v>
      </c>
      <c r="K1848" s="3">
        <f>IF(OR($K$1="",对接源_02物料!$C648="",对接源_02物料!$C648&lt;&gt;$K$1,对接源_02物料!$B648=""),0,IF(OR(N(对接源_02物料!$B648)&lt;$K$2,N(对接源_02物料!$B648)&gt;$K$3),0,1))</f>
        <v>0</v>
      </c>
      <c r="L1848" s="3">
        <f>IF(OR($L$1="",对接源_02物料!$C648="",对接源_02物料!$C648&lt;&gt;$L$1,对接源_02物料!$B648=""),0,IF(OR(N(对接源_02物料!$B648)&lt;$L$2,N(对接源_02物料!$B648)&gt;$L$3),0,1))</f>
        <v>0</v>
      </c>
      <c r="M1848" s="3">
        <f>IF(OR($M$1="",对接源_02物料!$C648="",对接源_02物料!$C648&lt;&gt;$M$1,对接源_02物料!$B648=""),0,IF(OR(N(对接源_02物料!$B648)&lt;$M$2,N(对接源_02物料!$B648)&gt;$M$3),0,1))</f>
        <v>0</v>
      </c>
      <c r="N1848" s="3">
        <f>IF(OR($N$1="",对接源_02物料!$C648="",对接源_02物料!$C648&lt;&gt;$N$1,对接源_02物料!$B648=""),0,IF(OR(N(对接源_02物料!$B648)&lt;$N$2,N(对接源_02物料!$B648)&gt;$N$3),0,1))</f>
        <v>0</v>
      </c>
      <c r="P1848" s="3">
        <f>IF(AND($K1848=1,AND(对接源_02物料!$X648="公司筐",N(对接源_02物料!$T648)&lt;&gt;0)),1,0)</f>
        <v>0</v>
      </c>
      <c r="Q1848" s="3">
        <f t="shared" si="488"/>
        <v>8</v>
      </c>
      <c r="R1848" s="3">
        <f>IF(AND($K1848=1,AND(对接源_02物料!$X648="公司筐",N(对接源_02物料!$U648)&lt;&gt;0)),1,0)</f>
        <v>0</v>
      </c>
      <c r="S1848" s="3">
        <f t="shared" si="489"/>
        <v>0</v>
      </c>
      <c r="T1848" s="3">
        <f>IF(AND($K1848=1,AND(对接源_02物料!$X648="公司筐",N(对接源_02物料!$V648)&lt;&gt;0)),1,0)</f>
        <v>0</v>
      </c>
      <c r="U1848" s="3">
        <f t="shared" si="490"/>
        <v>19</v>
      </c>
      <c r="V1848" s="3">
        <f>IF(AND($L1848=1,AND(对接源_02物料!$X648="自备筐",N(对接源_02物料!$V648)&lt;&gt;0)),1,0)</f>
        <v>0</v>
      </c>
      <c r="W1848" s="3">
        <f t="shared" si="491"/>
        <v>8</v>
      </c>
      <c r="X1848" s="3">
        <f>IF(AND($L1848=1,AND(对接源_02物料!$X648="自备筐",N(对接源_02物料!$T648)&lt;&gt;0)),1,0)</f>
        <v>0</v>
      </c>
      <c r="Y1848" s="3">
        <f t="shared" si="492"/>
        <v>0</v>
      </c>
      <c r="Z1848" s="3">
        <f>IF(AND($M1848=1,对接源_02物料!$D648="原料入库"),1,0)</f>
        <v>0</v>
      </c>
      <c r="AA1848" s="3">
        <f t="shared" si="493"/>
        <v>24</v>
      </c>
      <c r="AB1848" s="3">
        <f>IF(AND($M1848=1,LEFT(对接源_02物料!$D648,4)="原料出库"),1,0)</f>
        <v>0</v>
      </c>
      <c r="AC1848" s="3">
        <f t="shared" si="494"/>
        <v>0</v>
      </c>
      <c r="AD1848" s="3">
        <f>IF(AND($M1848=1,LEFT(对接源_02物料!$D648,4)="成品出库"),1,0)</f>
        <v>0</v>
      </c>
      <c r="AE1848" s="3">
        <f t="shared" si="495"/>
        <v>0</v>
      </c>
      <c r="AF1848" s="3">
        <f>IF(AND($N1848=1,AND(LEFT(对接源_02物料!$D648,4)="包装物料",N(对接源_02物料!$K648)&lt;&gt;0)),1,0)</f>
        <v>0</v>
      </c>
      <c r="AG1848" s="3">
        <f t="shared" si="496"/>
        <v>5</v>
      </c>
      <c r="AH1848" s="3">
        <f>IF(AND($N1848=1,AND(对接源_02物料!$D648="周转筐－销售出库",N(对接源_02物料!$K648)&lt;&gt;0)),1,0)</f>
        <v>0</v>
      </c>
      <c r="AI1848" s="3">
        <f t="shared" si="497"/>
        <v>0</v>
      </c>
      <c r="AL1848" s="3">
        <v>0</v>
      </c>
      <c r="AM1848" s="3">
        <f t="shared" si="498"/>
        <v>1</v>
      </c>
      <c r="AN1848" s="3" t="str">
        <f t="shared" si="502"/>
        <v/>
      </c>
      <c r="AO1848" s="3">
        <v>0</v>
      </c>
      <c r="AP1848" s="3">
        <f t="shared" si="499"/>
        <v>8</v>
      </c>
      <c r="AR1848">
        <f t="shared" si="500"/>
        <v>0</v>
      </c>
      <c r="AS1848">
        <f t="shared" si="501"/>
        <v>5</v>
      </c>
    </row>
    <row r="1849" customHeight="1" spans="1:45">
      <c r="A1849" s="3" t="str">
        <f>IF(对接源_02物料!$C649="","",对接源_02物料!$C649)</f>
        <v/>
      </c>
      <c r="B1849" s="3">
        <f t="shared" si="486"/>
        <v>0</v>
      </c>
      <c r="C1849" s="3">
        <f t="shared" si="487"/>
        <v>21</v>
      </c>
      <c r="K1849" s="3">
        <f>IF(OR($K$1="",对接源_02物料!$C649="",对接源_02物料!$C649&lt;&gt;$K$1,对接源_02物料!$B649=""),0,IF(OR(N(对接源_02物料!$B649)&lt;$K$2,N(对接源_02物料!$B649)&gt;$K$3),0,1))</f>
        <v>0</v>
      </c>
      <c r="L1849" s="3">
        <f>IF(OR($L$1="",对接源_02物料!$C649="",对接源_02物料!$C649&lt;&gt;$L$1,对接源_02物料!$B649=""),0,IF(OR(N(对接源_02物料!$B649)&lt;$L$2,N(对接源_02物料!$B649)&gt;$L$3),0,1))</f>
        <v>0</v>
      </c>
      <c r="M1849" s="3">
        <f>IF(OR($M$1="",对接源_02物料!$C649="",对接源_02物料!$C649&lt;&gt;$M$1,对接源_02物料!$B649=""),0,IF(OR(N(对接源_02物料!$B649)&lt;$M$2,N(对接源_02物料!$B649)&gt;$M$3),0,1))</f>
        <v>0</v>
      </c>
      <c r="N1849" s="3">
        <f>IF(OR($N$1="",对接源_02物料!$C649="",对接源_02物料!$C649&lt;&gt;$N$1,对接源_02物料!$B649=""),0,IF(OR(N(对接源_02物料!$B649)&lt;$N$2,N(对接源_02物料!$B649)&gt;$N$3),0,1))</f>
        <v>0</v>
      </c>
      <c r="P1849" s="3">
        <f>IF(AND($K1849=1,AND(对接源_02物料!$X649="公司筐",N(对接源_02物料!$T649)&lt;&gt;0)),1,0)</f>
        <v>0</v>
      </c>
      <c r="Q1849" s="3">
        <f t="shared" si="488"/>
        <v>8</v>
      </c>
      <c r="R1849" s="3">
        <f>IF(AND($K1849=1,AND(对接源_02物料!$X649="公司筐",N(对接源_02物料!$U649)&lt;&gt;0)),1,0)</f>
        <v>0</v>
      </c>
      <c r="S1849" s="3">
        <f t="shared" si="489"/>
        <v>0</v>
      </c>
      <c r="T1849" s="3">
        <f>IF(AND($K1849=1,AND(对接源_02物料!$X649="公司筐",N(对接源_02物料!$V649)&lt;&gt;0)),1,0)</f>
        <v>0</v>
      </c>
      <c r="U1849" s="3">
        <f t="shared" si="490"/>
        <v>19</v>
      </c>
      <c r="V1849" s="3">
        <f>IF(AND($L1849=1,AND(对接源_02物料!$X649="自备筐",N(对接源_02物料!$V649)&lt;&gt;0)),1,0)</f>
        <v>0</v>
      </c>
      <c r="W1849" s="3">
        <f t="shared" si="491"/>
        <v>8</v>
      </c>
      <c r="X1849" s="3">
        <f>IF(AND($L1849=1,AND(对接源_02物料!$X649="自备筐",N(对接源_02物料!$T649)&lt;&gt;0)),1,0)</f>
        <v>0</v>
      </c>
      <c r="Y1849" s="3">
        <f t="shared" si="492"/>
        <v>0</v>
      </c>
      <c r="Z1849" s="3">
        <f>IF(AND($M1849=1,对接源_02物料!$D649="原料入库"),1,0)</f>
        <v>0</v>
      </c>
      <c r="AA1849" s="3">
        <f t="shared" si="493"/>
        <v>24</v>
      </c>
      <c r="AB1849" s="3">
        <f>IF(AND($M1849=1,LEFT(对接源_02物料!$D649,4)="原料出库"),1,0)</f>
        <v>0</v>
      </c>
      <c r="AC1849" s="3">
        <f t="shared" si="494"/>
        <v>0</v>
      </c>
      <c r="AD1849" s="3">
        <f>IF(AND($M1849=1,LEFT(对接源_02物料!$D649,4)="成品出库"),1,0)</f>
        <v>0</v>
      </c>
      <c r="AE1849" s="3">
        <f t="shared" si="495"/>
        <v>0</v>
      </c>
      <c r="AF1849" s="3">
        <f>IF(AND($N1849=1,AND(LEFT(对接源_02物料!$D649,4)="包装物料",N(对接源_02物料!$K649)&lt;&gt;0)),1,0)</f>
        <v>0</v>
      </c>
      <c r="AG1849" s="3">
        <f t="shared" si="496"/>
        <v>5</v>
      </c>
      <c r="AH1849" s="3">
        <f>IF(AND($N1849=1,AND(对接源_02物料!$D649="周转筐－销售出库",N(对接源_02物料!$K649)&lt;&gt;0)),1,0)</f>
        <v>0</v>
      </c>
      <c r="AI1849" s="3">
        <f t="shared" si="497"/>
        <v>0</v>
      </c>
      <c r="AL1849" s="3">
        <v>0</v>
      </c>
      <c r="AM1849" s="3">
        <f t="shared" si="498"/>
        <v>1</v>
      </c>
      <c r="AN1849" s="3" t="str">
        <f t="shared" si="502"/>
        <v/>
      </c>
      <c r="AO1849" s="3">
        <v>0</v>
      </c>
      <c r="AP1849" s="3">
        <f t="shared" si="499"/>
        <v>8</v>
      </c>
      <c r="AR1849">
        <f t="shared" si="500"/>
        <v>0</v>
      </c>
      <c r="AS1849">
        <f t="shared" si="501"/>
        <v>5</v>
      </c>
    </row>
    <row r="1850" customHeight="1" spans="1:45">
      <c r="A1850" s="3" t="str">
        <f>IF(对接源_02物料!$C650="","",对接源_02物料!$C650)</f>
        <v/>
      </c>
      <c r="B1850" s="3">
        <f t="shared" si="486"/>
        <v>0</v>
      </c>
      <c r="C1850" s="3">
        <f t="shared" si="487"/>
        <v>21</v>
      </c>
      <c r="K1850" s="3">
        <f>IF(OR($K$1="",对接源_02物料!$C650="",对接源_02物料!$C650&lt;&gt;$K$1,对接源_02物料!$B650=""),0,IF(OR(N(对接源_02物料!$B650)&lt;$K$2,N(对接源_02物料!$B650)&gt;$K$3),0,1))</f>
        <v>0</v>
      </c>
      <c r="L1850" s="3">
        <f>IF(OR($L$1="",对接源_02物料!$C650="",对接源_02物料!$C650&lt;&gt;$L$1,对接源_02物料!$B650=""),0,IF(OR(N(对接源_02物料!$B650)&lt;$L$2,N(对接源_02物料!$B650)&gt;$L$3),0,1))</f>
        <v>0</v>
      </c>
      <c r="M1850" s="3">
        <f>IF(OR($M$1="",对接源_02物料!$C650="",对接源_02物料!$C650&lt;&gt;$M$1,对接源_02物料!$B650=""),0,IF(OR(N(对接源_02物料!$B650)&lt;$M$2,N(对接源_02物料!$B650)&gt;$M$3),0,1))</f>
        <v>0</v>
      </c>
      <c r="N1850" s="3">
        <f>IF(OR($N$1="",对接源_02物料!$C650="",对接源_02物料!$C650&lt;&gt;$N$1,对接源_02物料!$B650=""),0,IF(OR(N(对接源_02物料!$B650)&lt;$N$2,N(对接源_02物料!$B650)&gt;$N$3),0,1))</f>
        <v>0</v>
      </c>
      <c r="P1850" s="3">
        <f>IF(AND($K1850=1,AND(对接源_02物料!$X650="公司筐",N(对接源_02物料!$T650)&lt;&gt;0)),1,0)</f>
        <v>0</v>
      </c>
      <c r="Q1850" s="3">
        <f t="shared" si="488"/>
        <v>8</v>
      </c>
      <c r="R1850" s="3">
        <f>IF(AND($K1850=1,AND(对接源_02物料!$X650="公司筐",N(对接源_02物料!$U650)&lt;&gt;0)),1,0)</f>
        <v>0</v>
      </c>
      <c r="S1850" s="3">
        <f t="shared" si="489"/>
        <v>0</v>
      </c>
      <c r="T1850" s="3">
        <f>IF(AND($K1850=1,AND(对接源_02物料!$X650="公司筐",N(对接源_02物料!$V650)&lt;&gt;0)),1,0)</f>
        <v>0</v>
      </c>
      <c r="U1850" s="3">
        <f t="shared" si="490"/>
        <v>19</v>
      </c>
      <c r="V1850" s="3">
        <f>IF(AND($L1850=1,AND(对接源_02物料!$X650="自备筐",N(对接源_02物料!$V650)&lt;&gt;0)),1,0)</f>
        <v>0</v>
      </c>
      <c r="W1850" s="3">
        <f t="shared" si="491"/>
        <v>8</v>
      </c>
      <c r="X1850" s="3">
        <f>IF(AND($L1850=1,AND(对接源_02物料!$X650="自备筐",N(对接源_02物料!$T650)&lt;&gt;0)),1,0)</f>
        <v>0</v>
      </c>
      <c r="Y1850" s="3">
        <f t="shared" si="492"/>
        <v>0</v>
      </c>
      <c r="Z1850" s="3">
        <f>IF(AND($M1850=1,对接源_02物料!$D650="原料入库"),1,0)</f>
        <v>0</v>
      </c>
      <c r="AA1850" s="3">
        <f t="shared" si="493"/>
        <v>24</v>
      </c>
      <c r="AB1850" s="3">
        <f>IF(AND($M1850=1,LEFT(对接源_02物料!$D650,4)="原料出库"),1,0)</f>
        <v>0</v>
      </c>
      <c r="AC1850" s="3">
        <f t="shared" si="494"/>
        <v>0</v>
      </c>
      <c r="AD1850" s="3">
        <f>IF(AND($M1850=1,LEFT(对接源_02物料!$D650,4)="成品出库"),1,0)</f>
        <v>0</v>
      </c>
      <c r="AE1850" s="3">
        <f t="shared" si="495"/>
        <v>0</v>
      </c>
      <c r="AF1850" s="3">
        <f>IF(AND($N1850=1,AND(LEFT(对接源_02物料!$D650,4)="包装物料",N(对接源_02物料!$K650)&lt;&gt;0)),1,0)</f>
        <v>0</v>
      </c>
      <c r="AG1850" s="3">
        <f t="shared" si="496"/>
        <v>5</v>
      </c>
      <c r="AH1850" s="3">
        <f>IF(AND($N1850=1,AND(对接源_02物料!$D650="周转筐－销售出库",N(对接源_02物料!$K650)&lt;&gt;0)),1,0)</f>
        <v>0</v>
      </c>
      <c r="AI1850" s="3">
        <f t="shared" si="497"/>
        <v>0</v>
      </c>
      <c r="AL1850" s="3">
        <v>0</v>
      </c>
      <c r="AM1850" s="3">
        <f t="shared" si="498"/>
        <v>1</v>
      </c>
      <c r="AN1850" s="3" t="str">
        <f t="shared" si="502"/>
        <v/>
      </c>
      <c r="AO1850" s="3">
        <v>0</v>
      </c>
      <c r="AP1850" s="3">
        <f t="shared" si="499"/>
        <v>8</v>
      </c>
      <c r="AR1850">
        <f t="shared" si="500"/>
        <v>0</v>
      </c>
      <c r="AS1850">
        <f t="shared" si="501"/>
        <v>5</v>
      </c>
    </row>
    <row r="1851" customHeight="1" spans="1:45">
      <c r="A1851" s="3" t="str">
        <f>IF(对接源_02物料!$C651="","",对接源_02物料!$C651)</f>
        <v/>
      </c>
      <c r="B1851" s="3">
        <f t="shared" si="486"/>
        <v>0</v>
      </c>
      <c r="C1851" s="3">
        <f t="shared" si="487"/>
        <v>21</v>
      </c>
      <c r="K1851" s="3">
        <f>IF(OR($K$1="",对接源_02物料!$C651="",对接源_02物料!$C651&lt;&gt;$K$1,对接源_02物料!$B651=""),0,IF(OR(N(对接源_02物料!$B651)&lt;$K$2,N(对接源_02物料!$B651)&gt;$K$3),0,1))</f>
        <v>0</v>
      </c>
      <c r="L1851" s="3">
        <f>IF(OR($L$1="",对接源_02物料!$C651="",对接源_02物料!$C651&lt;&gt;$L$1,对接源_02物料!$B651=""),0,IF(OR(N(对接源_02物料!$B651)&lt;$L$2,N(对接源_02物料!$B651)&gt;$L$3),0,1))</f>
        <v>0</v>
      </c>
      <c r="M1851" s="3">
        <f>IF(OR($M$1="",对接源_02物料!$C651="",对接源_02物料!$C651&lt;&gt;$M$1,对接源_02物料!$B651=""),0,IF(OR(N(对接源_02物料!$B651)&lt;$M$2,N(对接源_02物料!$B651)&gt;$M$3),0,1))</f>
        <v>0</v>
      </c>
      <c r="N1851" s="3">
        <f>IF(OR($N$1="",对接源_02物料!$C651="",对接源_02物料!$C651&lt;&gt;$N$1,对接源_02物料!$B651=""),0,IF(OR(N(对接源_02物料!$B651)&lt;$N$2,N(对接源_02物料!$B651)&gt;$N$3),0,1))</f>
        <v>0</v>
      </c>
      <c r="P1851" s="3">
        <f>IF(AND($K1851=1,AND(对接源_02物料!$X651="公司筐",N(对接源_02物料!$T651)&lt;&gt;0)),1,0)</f>
        <v>0</v>
      </c>
      <c r="Q1851" s="3">
        <f t="shared" si="488"/>
        <v>8</v>
      </c>
      <c r="R1851" s="3">
        <f>IF(AND($K1851=1,AND(对接源_02物料!$X651="公司筐",N(对接源_02物料!$U651)&lt;&gt;0)),1,0)</f>
        <v>0</v>
      </c>
      <c r="S1851" s="3">
        <f t="shared" si="489"/>
        <v>0</v>
      </c>
      <c r="T1851" s="3">
        <f>IF(AND($K1851=1,AND(对接源_02物料!$X651="公司筐",N(对接源_02物料!$V651)&lt;&gt;0)),1,0)</f>
        <v>0</v>
      </c>
      <c r="U1851" s="3">
        <f t="shared" si="490"/>
        <v>19</v>
      </c>
      <c r="V1851" s="3">
        <f>IF(AND($L1851=1,AND(对接源_02物料!$X651="自备筐",N(对接源_02物料!$V651)&lt;&gt;0)),1,0)</f>
        <v>0</v>
      </c>
      <c r="W1851" s="3">
        <f t="shared" si="491"/>
        <v>8</v>
      </c>
      <c r="X1851" s="3">
        <f>IF(AND($L1851=1,AND(对接源_02物料!$X651="自备筐",N(对接源_02物料!$T651)&lt;&gt;0)),1,0)</f>
        <v>0</v>
      </c>
      <c r="Y1851" s="3">
        <f t="shared" si="492"/>
        <v>0</v>
      </c>
      <c r="Z1851" s="3">
        <f>IF(AND($M1851=1,对接源_02物料!$D651="原料入库"),1,0)</f>
        <v>0</v>
      </c>
      <c r="AA1851" s="3">
        <f t="shared" si="493"/>
        <v>24</v>
      </c>
      <c r="AB1851" s="3">
        <f>IF(AND($M1851=1,LEFT(对接源_02物料!$D651,4)="原料出库"),1,0)</f>
        <v>0</v>
      </c>
      <c r="AC1851" s="3">
        <f t="shared" si="494"/>
        <v>0</v>
      </c>
      <c r="AD1851" s="3">
        <f>IF(AND($M1851=1,LEFT(对接源_02物料!$D651,4)="成品出库"),1,0)</f>
        <v>0</v>
      </c>
      <c r="AE1851" s="3">
        <f t="shared" si="495"/>
        <v>0</v>
      </c>
      <c r="AF1851" s="3">
        <f>IF(AND($N1851=1,AND(LEFT(对接源_02物料!$D651,4)="包装物料",N(对接源_02物料!$K651)&lt;&gt;0)),1,0)</f>
        <v>0</v>
      </c>
      <c r="AG1851" s="3">
        <f t="shared" si="496"/>
        <v>5</v>
      </c>
      <c r="AH1851" s="3">
        <f>IF(AND($N1851=1,AND(对接源_02物料!$D651="周转筐－销售出库",N(对接源_02物料!$K651)&lt;&gt;0)),1,0)</f>
        <v>0</v>
      </c>
      <c r="AI1851" s="3">
        <f t="shared" si="497"/>
        <v>0</v>
      </c>
      <c r="AL1851" s="3">
        <v>0</v>
      </c>
      <c r="AM1851" s="3">
        <f t="shared" si="498"/>
        <v>1</v>
      </c>
      <c r="AN1851" s="3" t="str">
        <f t="shared" si="502"/>
        <v/>
      </c>
      <c r="AO1851" s="3">
        <v>0</v>
      </c>
      <c r="AP1851" s="3">
        <f t="shared" si="499"/>
        <v>8</v>
      </c>
      <c r="AR1851">
        <f t="shared" si="500"/>
        <v>0</v>
      </c>
      <c r="AS1851">
        <f t="shared" si="501"/>
        <v>5</v>
      </c>
    </row>
    <row r="1852" customHeight="1" spans="1:45">
      <c r="A1852" s="3" t="str">
        <f>IF(对接源_02物料!$C652="","",对接源_02物料!$C652)</f>
        <v/>
      </c>
      <c r="B1852" s="3">
        <f t="shared" si="486"/>
        <v>0</v>
      </c>
      <c r="C1852" s="3">
        <f t="shared" si="487"/>
        <v>21</v>
      </c>
      <c r="K1852" s="3">
        <f>IF(OR($K$1="",对接源_02物料!$C652="",对接源_02物料!$C652&lt;&gt;$K$1,对接源_02物料!$B652=""),0,IF(OR(N(对接源_02物料!$B652)&lt;$K$2,N(对接源_02物料!$B652)&gt;$K$3),0,1))</f>
        <v>0</v>
      </c>
      <c r="L1852" s="3">
        <f>IF(OR($L$1="",对接源_02物料!$C652="",对接源_02物料!$C652&lt;&gt;$L$1,对接源_02物料!$B652=""),0,IF(OR(N(对接源_02物料!$B652)&lt;$L$2,N(对接源_02物料!$B652)&gt;$L$3),0,1))</f>
        <v>0</v>
      </c>
      <c r="M1852" s="3">
        <f>IF(OR($M$1="",对接源_02物料!$C652="",对接源_02物料!$C652&lt;&gt;$M$1,对接源_02物料!$B652=""),0,IF(OR(N(对接源_02物料!$B652)&lt;$M$2,N(对接源_02物料!$B652)&gt;$M$3),0,1))</f>
        <v>0</v>
      </c>
      <c r="N1852" s="3">
        <f>IF(OR($N$1="",对接源_02物料!$C652="",对接源_02物料!$C652&lt;&gt;$N$1,对接源_02物料!$B652=""),0,IF(OR(N(对接源_02物料!$B652)&lt;$N$2,N(对接源_02物料!$B652)&gt;$N$3),0,1))</f>
        <v>0</v>
      </c>
      <c r="P1852" s="3">
        <f>IF(AND($K1852=1,AND(对接源_02物料!$X652="公司筐",N(对接源_02物料!$T652)&lt;&gt;0)),1,0)</f>
        <v>0</v>
      </c>
      <c r="Q1852" s="3">
        <f t="shared" si="488"/>
        <v>8</v>
      </c>
      <c r="R1852" s="3">
        <f>IF(AND($K1852=1,AND(对接源_02物料!$X652="公司筐",N(对接源_02物料!$U652)&lt;&gt;0)),1,0)</f>
        <v>0</v>
      </c>
      <c r="S1852" s="3">
        <f t="shared" si="489"/>
        <v>0</v>
      </c>
      <c r="T1852" s="3">
        <f>IF(AND($K1852=1,AND(对接源_02物料!$X652="公司筐",N(对接源_02物料!$V652)&lt;&gt;0)),1,0)</f>
        <v>0</v>
      </c>
      <c r="U1852" s="3">
        <f t="shared" si="490"/>
        <v>19</v>
      </c>
      <c r="V1852" s="3">
        <f>IF(AND($L1852=1,AND(对接源_02物料!$X652="自备筐",N(对接源_02物料!$V652)&lt;&gt;0)),1,0)</f>
        <v>0</v>
      </c>
      <c r="W1852" s="3">
        <f t="shared" si="491"/>
        <v>8</v>
      </c>
      <c r="X1852" s="3">
        <f>IF(AND($L1852=1,AND(对接源_02物料!$X652="自备筐",N(对接源_02物料!$T652)&lt;&gt;0)),1,0)</f>
        <v>0</v>
      </c>
      <c r="Y1852" s="3">
        <f t="shared" si="492"/>
        <v>0</v>
      </c>
      <c r="Z1852" s="3">
        <f>IF(AND($M1852=1,对接源_02物料!$D652="原料入库"),1,0)</f>
        <v>0</v>
      </c>
      <c r="AA1852" s="3">
        <f t="shared" si="493"/>
        <v>24</v>
      </c>
      <c r="AB1852" s="3">
        <f>IF(AND($M1852=1,LEFT(对接源_02物料!$D652,4)="原料出库"),1,0)</f>
        <v>0</v>
      </c>
      <c r="AC1852" s="3">
        <f t="shared" si="494"/>
        <v>0</v>
      </c>
      <c r="AD1852" s="3">
        <f>IF(AND($M1852=1,LEFT(对接源_02物料!$D652,4)="成品出库"),1,0)</f>
        <v>0</v>
      </c>
      <c r="AE1852" s="3">
        <f t="shared" si="495"/>
        <v>0</v>
      </c>
      <c r="AF1852" s="3">
        <f>IF(AND($N1852=1,AND(LEFT(对接源_02物料!$D652,4)="包装物料",N(对接源_02物料!$K652)&lt;&gt;0)),1,0)</f>
        <v>0</v>
      </c>
      <c r="AG1852" s="3">
        <f t="shared" si="496"/>
        <v>5</v>
      </c>
      <c r="AH1852" s="3">
        <f>IF(AND($N1852=1,AND(对接源_02物料!$D652="周转筐－销售出库",N(对接源_02物料!$K652)&lt;&gt;0)),1,0)</f>
        <v>0</v>
      </c>
      <c r="AI1852" s="3">
        <f t="shared" si="497"/>
        <v>0</v>
      </c>
      <c r="AL1852" s="3">
        <v>0</v>
      </c>
      <c r="AM1852" s="3">
        <f t="shared" si="498"/>
        <v>1</v>
      </c>
      <c r="AN1852" s="3" t="str">
        <f t="shared" si="502"/>
        <v/>
      </c>
      <c r="AO1852" s="3">
        <v>0</v>
      </c>
      <c r="AP1852" s="3">
        <f t="shared" si="499"/>
        <v>8</v>
      </c>
      <c r="AR1852">
        <f t="shared" si="500"/>
        <v>0</v>
      </c>
      <c r="AS1852">
        <f t="shared" si="501"/>
        <v>5</v>
      </c>
    </row>
    <row r="1853" customHeight="1" spans="1:45">
      <c r="A1853" s="3" t="str">
        <f>IF(对接源_02物料!$C653="","",对接源_02物料!$C653)</f>
        <v/>
      </c>
      <c r="B1853" s="3">
        <f t="shared" si="486"/>
        <v>0</v>
      </c>
      <c r="C1853" s="3">
        <f t="shared" si="487"/>
        <v>21</v>
      </c>
      <c r="K1853" s="3">
        <f>IF(OR($K$1="",对接源_02物料!$C653="",对接源_02物料!$C653&lt;&gt;$K$1,对接源_02物料!$B653=""),0,IF(OR(N(对接源_02物料!$B653)&lt;$K$2,N(对接源_02物料!$B653)&gt;$K$3),0,1))</f>
        <v>0</v>
      </c>
      <c r="L1853" s="3">
        <f>IF(OR($L$1="",对接源_02物料!$C653="",对接源_02物料!$C653&lt;&gt;$L$1,对接源_02物料!$B653=""),0,IF(OR(N(对接源_02物料!$B653)&lt;$L$2,N(对接源_02物料!$B653)&gt;$L$3),0,1))</f>
        <v>0</v>
      </c>
      <c r="M1853" s="3">
        <f>IF(OR($M$1="",对接源_02物料!$C653="",对接源_02物料!$C653&lt;&gt;$M$1,对接源_02物料!$B653=""),0,IF(OR(N(对接源_02物料!$B653)&lt;$M$2,N(对接源_02物料!$B653)&gt;$M$3),0,1))</f>
        <v>0</v>
      </c>
      <c r="N1853" s="3">
        <f>IF(OR($N$1="",对接源_02物料!$C653="",对接源_02物料!$C653&lt;&gt;$N$1,对接源_02物料!$B653=""),0,IF(OR(N(对接源_02物料!$B653)&lt;$N$2,N(对接源_02物料!$B653)&gt;$N$3),0,1))</f>
        <v>0</v>
      </c>
      <c r="P1853" s="3">
        <f>IF(AND($K1853=1,AND(对接源_02物料!$X653="公司筐",N(对接源_02物料!$T653)&lt;&gt;0)),1,0)</f>
        <v>0</v>
      </c>
      <c r="Q1853" s="3">
        <f t="shared" si="488"/>
        <v>8</v>
      </c>
      <c r="R1853" s="3">
        <f>IF(AND($K1853=1,AND(对接源_02物料!$X653="公司筐",N(对接源_02物料!$U653)&lt;&gt;0)),1,0)</f>
        <v>0</v>
      </c>
      <c r="S1853" s="3">
        <f t="shared" si="489"/>
        <v>0</v>
      </c>
      <c r="T1853" s="3">
        <f>IF(AND($K1853=1,AND(对接源_02物料!$X653="公司筐",N(对接源_02物料!$V653)&lt;&gt;0)),1,0)</f>
        <v>0</v>
      </c>
      <c r="U1853" s="3">
        <f t="shared" si="490"/>
        <v>19</v>
      </c>
      <c r="V1853" s="3">
        <f>IF(AND($L1853=1,AND(对接源_02物料!$X653="自备筐",N(对接源_02物料!$V653)&lt;&gt;0)),1,0)</f>
        <v>0</v>
      </c>
      <c r="W1853" s="3">
        <f t="shared" si="491"/>
        <v>8</v>
      </c>
      <c r="X1853" s="3">
        <f>IF(AND($L1853=1,AND(对接源_02物料!$X653="自备筐",N(对接源_02物料!$T653)&lt;&gt;0)),1,0)</f>
        <v>0</v>
      </c>
      <c r="Y1853" s="3">
        <f t="shared" si="492"/>
        <v>0</v>
      </c>
      <c r="Z1853" s="3">
        <f>IF(AND($M1853=1,对接源_02物料!$D653="原料入库"),1,0)</f>
        <v>0</v>
      </c>
      <c r="AA1853" s="3">
        <f t="shared" si="493"/>
        <v>24</v>
      </c>
      <c r="AB1853" s="3">
        <f>IF(AND($M1853=1,LEFT(对接源_02物料!$D653,4)="原料出库"),1,0)</f>
        <v>0</v>
      </c>
      <c r="AC1853" s="3">
        <f t="shared" si="494"/>
        <v>0</v>
      </c>
      <c r="AD1853" s="3">
        <f>IF(AND($M1853=1,LEFT(对接源_02物料!$D653,4)="成品出库"),1,0)</f>
        <v>0</v>
      </c>
      <c r="AE1853" s="3">
        <f t="shared" si="495"/>
        <v>0</v>
      </c>
      <c r="AF1853" s="3">
        <f>IF(AND($N1853=1,AND(LEFT(对接源_02物料!$D653,4)="包装物料",N(对接源_02物料!$K653)&lt;&gt;0)),1,0)</f>
        <v>0</v>
      </c>
      <c r="AG1853" s="3">
        <f t="shared" si="496"/>
        <v>5</v>
      </c>
      <c r="AH1853" s="3">
        <f>IF(AND($N1853=1,AND(对接源_02物料!$D653="周转筐－销售出库",N(对接源_02物料!$K653)&lt;&gt;0)),1,0)</f>
        <v>0</v>
      </c>
      <c r="AI1853" s="3">
        <f t="shared" si="497"/>
        <v>0</v>
      </c>
      <c r="AL1853" s="3">
        <v>0</v>
      </c>
      <c r="AM1853" s="3">
        <f t="shared" si="498"/>
        <v>1</v>
      </c>
      <c r="AN1853" s="3" t="str">
        <f t="shared" si="502"/>
        <v/>
      </c>
      <c r="AO1853" s="3">
        <v>0</v>
      </c>
      <c r="AP1853" s="3">
        <f t="shared" si="499"/>
        <v>8</v>
      </c>
      <c r="AR1853">
        <f t="shared" si="500"/>
        <v>0</v>
      </c>
      <c r="AS1853">
        <f t="shared" si="501"/>
        <v>5</v>
      </c>
    </row>
    <row r="1854" customHeight="1" spans="1:45">
      <c r="A1854" s="3" t="str">
        <f>IF(对接源_02物料!$C654="","",对接源_02物料!$C654)</f>
        <v/>
      </c>
      <c r="B1854" s="3">
        <f t="shared" si="486"/>
        <v>0</v>
      </c>
      <c r="C1854" s="3">
        <f t="shared" si="487"/>
        <v>21</v>
      </c>
      <c r="K1854" s="3">
        <f>IF(OR($K$1="",对接源_02物料!$C654="",对接源_02物料!$C654&lt;&gt;$K$1,对接源_02物料!$B654=""),0,IF(OR(N(对接源_02物料!$B654)&lt;$K$2,N(对接源_02物料!$B654)&gt;$K$3),0,1))</f>
        <v>0</v>
      </c>
      <c r="L1854" s="3">
        <f>IF(OR($L$1="",对接源_02物料!$C654="",对接源_02物料!$C654&lt;&gt;$L$1,对接源_02物料!$B654=""),0,IF(OR(N(对接源_02物料!$B654)&lt;$L$2,N(对接源_02物料!$B654)&gt;$L$3),0,1))</f>
        <v>0</v>
      </c>
      <c r="M1854" s="3">
        <f>IF(OR($M$1="",对接源_02物料!$C654="",对接源_02物料!$C654&lt;&gt;$M$1,对接源_02物料!$B654=""),0,IF(OR(N(对接源_02物料!$B654)&lt;$M$2,N(对接源_02物料!$B654)&gt;$M$3),0,1))</f>
        <v>0</v>
      </c>
      <c r="N1854" s="3">
        <f>IF(OR($N$1="",对接源_02物料!$C654="",对接源_02物料!$C654&lt;&gt;$N$1,对接源_02物料!$B654=""),0,IF(OR(N(对接源_02物料!$B654)&lt;$N$2,N(对接源_02物料!$B654)&gt;$N$3),0,1))</f>
        <v>0</v>
      </c>
      <c r="P1854" s="3">
        <f>IF(AND($K1854=1,AND(对接源_02物料!$X654="公司筐",N(对接源_02物料!$T654)&lt;&gt;0)),1,0)</f>
        <v>0</v>
      </c>
      <c r="Q1854" s="3">
        <f t="shared" si="488"/>
        <v>8</v>
      </c>
      <c r="R1854" s="3">
        <f>IF(AND($K1854=1,AND(对接源_02物料!$X654="公司筐",N(对接源_02物料!$U654)&lt;&gt;0)),1,0)</f>
        <v>0</v>
      </c>
      <c r="S1854" s="3">
        <f t="shared" si="489"/>
        <v>0</v>
      </c>
      <c r="T1854" s="3">
        <f>IF(AND($K1854=1,AND(对接源_02物料!$X654="公司筐",N(对接源_02物料!$V654)&lt;&gt;0)),1,0)</f>
        <v>0</v>
      </c>
      <c r="U1854" s="3">
        <f t="shared" si="490"/>
        <v>19</v>
      </c>
      <c r="V1854" s="3">
        <f>IF(AND($L1854=1,AND(对接源_02物料!$X654="自备筐",N(对接源_02物料!$V654)&lt;&gt;0)),1,0)</f>
        <v>0</v>
      </c>
      <c r="W1854" s="3">
        <f t="shared" si="491"/>
        <v>8</v>
      </c>
      <c r="X1854" s="3">
        <f>IF(AND($L1854=1,AND(对接源_02物料!$X654="自备筐",N(对接源_02物料!$T654)&lt;&gt;0)),1,0)</f>
        <v>0</v>
      </c>
      <c r="Y1854" s="3">
        <f t="shared" si="492"/>
        <v>0</v>
      </c>
      <c r="Z1854" s="3">
        <f>IF(AND($M1854=1,对接源_02物料!$D654="原料入库"),1,0)</f>
        <v>0</v>
      </c>
      <c r="AA1854" s="3">
        <f t="shared" si="493"/>
        <v>24</v>
      </c>
      <c r="AB1854" s="3">
        <f>IF(AND($M1854=1,LEFT(对接源_02物料!$D654,4)="原料出库"),1,0)</f>
        <v>0</v>
      </c>
      <c r="AC1854" s="3">
        <f t="shared" si="494"/>
        <v>0</v>
      </c>
      <c r="AD1854" s="3">
        <f>IF(AND($M1854=1,LEFT(对接源_02物料!$D654,4)="成品出库"),1,0)</f>
        <v>0</v>
      </c>
      <c r="AE1854" s="3">
        <f t="shared" si="495"/>
        <v>0</v>
      </c>
      <c r="AF1854" s="3">
        <f>IF(AND($N1854=1,AND(LEFT(对接源_02物料!$D654,4)="包装物料",N(对接源_02物料!$K654)&lt;&gt;0)),1,0)</f>
        <v>0</v>
      </c>
      <c r="AG1854" s="3">
        <f t="shared" si="496"/>
        <v>5</v>
      </c>
      <c r="AH1854" s="3">
        <f>IF(AND($N1854=1,AND(对接源_02物料!$D654="周转筐－销售出库",N(对接源_02物料!$K654)&lt;&gt;0)),1,0)</f>
        <v>0</v>
      </c>
      <c r="AI1854" s="3">
        <f t="shared" si="497"/>
        <v>0</v>
      </c>
      <c r="AL1854" s="3">
        <v>0</v>
      </c>
      <c r="AM1854" s="3">
        <f t="shared" si="498"/>
        <v>1</v>
      </c>
      <c r="AN1854" s="3" t="str">
        <f t="shared" si="502"/>
        <v/>
      </c>
      <c r="AO1854" s="3">
        <v>0</v>
      </c>
      <c r="AP1854" s="3">
        <f t="shared" si="499"/>
        <v>8</v>
      </c>
      <c r="AR1854">
        <f t="shared" si="500"/>
        <v>0</v>
      </c>
      <c r="AS1854">
        <f t="shared" si="501"/>
        <v>5</v>
      </c>
    </row>
    <row r="1855" customHeight="1" spans="1:45">
      <c r="A1855" s="3" t="str">
        <f>IF(对接源_02物料!$C655="","",对接源_02物料!$C655)</f>
        <v/>
      </c>
      <c r="B1855" s="3">
        <f t="shared" si="486"/>
        <v>0</v>
      </c>
      <c r="C1855" s="3">
        <f t="shared" si="487"/>
        <v>21</v>
      </c>
      <c r="K1855" s="3">
        <f>IF(OR($K$1="",对接源_02物料!$C655="",对接源_02物料!$C655&lt;&gt;$K$1,对接源_02物料!$B655=""),0,IF(OR(N(对接源_02物料!$B655)&lt;$K$2,N(对接源_02物料!$B655)&gt;$K$3),0,1))</f>
        <v>0</v>
      </c>
      <c r="L1855" s="3">
        <f>IF(OR($L$1="",对接源_02物料!$C655="",对接源_02物料!$C655&lt;&gt;$L$1,对接源_02物料!$B655=""),0,IF(OR(N(对接源_02物料!$B655)&lt;$L$2,N(对接源_02物料!$B655)&gt;$L$3),0,1))</f>
        <v>0</v>
      </c>
      <c r="M1855" s="3">
        <f>IF(OR($M$1="",对接源_02物料!$C655="",对接源_02物料!$C655&lt;&gt;$M$1,对接源_02物料!$B655=""),0,IF(OR(N(对接源_02物料!$B655)&lt;$M$2,N(对接源_02物料!$B655)&gt;$M$3),0,1))</f>
        <v>0</v>
      </c>
      <c r="N1855" s="3">
        <f>IF(OR($N$1="",对接源_02物料!$C655="",对接源_02物料!$C655&lt;&gt;$N$1,对接源_02物料!$B655=""),0,IF(OR(N(对接源_02物料!$B655)&lt;$N$2,N(对接源_02物料!$B655)&gt;$N$3),0,1))</f>
        <v>0</v>
      </c>
      <c r="P1855" s="3">
        <f>IF(AND($K1855=1,AND(对接源_02物料!$X655="公司筐",N(对接源_02物料!$T655)&lt;&gt;0)),1,0)</f>
        <v>0</v>
      </c>
      <c r="Q1855" s="3">
        <f t="shared" si="488"/>
        <v>8</v>
      </c>
      <c r="R1855" s="3">
        <f>IF(AND($K1855=1,AND(对接源_02物料!$X655="公司筐",N(对接源_02物料!$U655)&lt;&gt;0)),1,0)</f>
        <v>0</v>
      </c>
      <c r="S1855" s="3">
        <f t="shared" si="489"/>
        <v>0</v>
      </c>
      <c r="T1855" s="3">
        <f>IF(AND($K1855=1,AND(对接源_02物料!$X655="公司筐",N(对接源_02物料!$V655)&lt;&gt;0)),1,0)</f>
        <v>0</v>
      </c>
      <c r="U1855" s="3">
        <f t="shared" si="490"/>
        <v>19</v>
      </c>
      <c r="V1855" s="3">
        <f>IF(AND($L1855=1,AND(对接源_02物料!$X655="自备筐",N(对接源_02物料!$V655)&lt;&gt;0)),1,0)</f>
        <v>0</v>
      </c>
      <c r="W1855" s="3">
        <f t="shared" si="491"/>
        <v>8</v>
      </c>
      <c r="X1855" s="3">
        <f>IF(AND($L1855=1,AND(对接源_02物料!$X655="自备筐",N(对接源_02物料!$T655)&lt;&gt;0)),1,0)</f>
        <v>0</v>
      </c>
      <c r="Y1855" s="3">
        <f t="shared" si="492"/>
        <v>0</v>
      </c>
      <c r="Z1855" s="3">
        <f>IF(AND($M1855=1,对接源_02物料!$D655="原料入库"),1,0)</f>
        <v>0</v>
      </c>
      <c r="AA1855" s="3">
        <f t="shared" si="493"/>
        <v>24</v>
      </c>
      <c r="AB1855" s="3">
        <f>IF(AND($M1855=1,LEFT(对接源_02物料!$D655,4)="原料出库"),1,0)</f>
        <v>0</v>
      </c>
      <c r="AC1855" s="3">
        <f t="shared" si="494"/>
        <v>0</v>
      </c>
      <c r="AD1855" s="3">
        <f>IF(AND($M1855=1,LEFT(对接源_02物料!$D655,4)="成品出库"),1,0)</f>
        <v>0</v>
      </c>
      <c r="AE1855" s="3">
        <f t="shared" si="495"/>
        <v>0</v>
      </c>
      <c r="AF1855" s="3">
        <f>IF(AND($N1855=1,AND(LEFT(对接源_02物料!$D655,4)="包装物料",N(对接源_02物料!$K655)&lt;&gt;0)),1,0)</f>
        <v>0</v>
      </c>
      <c r="AG1855" s="3">
        <f t="shared" si="496"/>
        <v>5</v>
      </c>
      <c r="AH1855" s="3">
        <f>IF(AND($N1855=1,AND(对接源_02物料!$D655="周转筐－销售出库",N(对接源_02物料!$K655)&lt;&gt;0)),1,0)</f>
        <v>0</v>
      </c>
      <c r="AI1855" s="3">
        <f t="shared" si="497"/>
        <v>0</v>
      </c>
      <c r="AL1855" s="3">
        <v>0</v>
      </c>
      <c r="AM1855" s="3">
        <f t="shared" si="498"/>
        <v>1</v>
      </c>
      <c r="AN1855" s="3" t="str">
        <f t="shared" si="502"/>
        <v/>
      </c>
      <c r="AO1855" s="3">
        <v>0</v>
      </c>
      <c r="AP1855" s="3">
        <f t="shared" si="499"/>
        <v>8</v>
      </c>
      <c r="AR1855">
        <f t="shared" si="500"/>
        <v>0</v>
      </c>
      <c r="AS1855">
        <f t="shared" si="501"/>
        <v>5</v>
      </c>
    </row>
    <row r="1856" customHeight="1" spans="1:45">
      <c r="A1856" s="3" t="str">
        <f>IF(对接源_02物料!$C656="","",对接源_02物料!$C656)</f>
        <v/>
      </c>
      <c r="B1856" s="3">
        <f t="shared" si="486"/>
        <v>0</v>
      </c>
      <c r="C1856" s="3">
        <f t="shared" si="487"/>
        <v>21</v>
      </c>
      <c r="K1856" s="3">
        <f>IF(OR($K$1="",对接源_02物料!$C656="",对接源_02物料!$C656&lt;&gt;$K$1,对接源_02物料!$B656=""),0,IF(OR(N(对接源_02物料!$B656)&lt;$K$2,N(对接源_02物料!$B656)&gt;$K$3),0,1))</f>
        <v>0</v>
      </c>
      <c r="L1856" s="3">
        <f>IF(OR($L$1="",对接源_02物料!$C656="",对接源_02物料!$C656&lt;&gt;$L$1,对接源_02物料!$B656=""),0,IF(OR(N(对接源_02物料!$B656)&lt;$L$2,N(对接源_02物料!$B656)&gt;$L$3),0,1))</f>
        <v>0</v>
      </c>
      <c r="M1856" s="3">
        <f>IF(OR($M$1="",对接源_02物料!$C656="",对接源_02物料!$C656&lt;&gt;$M$1,对接源_02物料!$B656=""),0,IF(OR(N(对接源_02物料!$B656)&lt;$M$2,N(对接源_02物料!$B656)&gt;$M$3),0,1))</f>
        <v>0</v>
      </c>
      <c r="N1856" s="3">
        <f>IF(OR($N$1="",对接源_02物料!$C656="",对接源_02物料!$C656&lt;&gt;$N$1,对接源_02物料!$B656=""),0,IF(OR(N(对接源_02物料!$B656)&lt;$N$2,N(对接源_02物料!$B656)&gt;$N$3),0,1))</f>
        <v>0</v>
      </c>
      <c r="P1856" s="3">
        <f>IF(AND($K1856=1,AND(对接源_02物料!$X656="公司筐",N(对接源_02物料!$T656)&lt;&gt;0)),1,0)</f>
        <v>0</v>
      </c>
      <c r="Q1856" s="3">
        <f t="shared" si="488"/>
        <v>8</v>
      </c>
      <c r="R1856" s="3">
        <f>IF(AND($K1856=1,AND(对接源_02物料!$X656="公司筐",N(对接源_02物料!$U656)&lt;&gt;0)),1,0)</f>
        <v>0</v>
      </c>
      <c r="S1856" s="3">
        <f t="shared" si="489"/>
        <v>0</v>
      </c>
      <c r="T1856" s="3">
        <f>IF(AND($K1856=1,AND(对接源_02物料!$X656="公司筐",N(对接源_02物料!$V656)&lt;&gt;0)),1,0)</f>
        <v>0</v>
      </c>
      <c r="U1856" s="3">
        <f t="shared" si="490"/>
        <v>19</v>
      </c>
      <c r="V1856" s="3">
        <f>IF(AND($L1856=1,AND(对接源_02物料!$X656="自备筐",N(对接源_02物料!$V656)&lt;&gt;0)),1,0)</f>
        <v>0</v>
      </c>
      <c r="W1856" s="3">
        <f t="shared" si="491"/>
        <v>8</v>
      </c>
      <c r="X1856" s="3">
        <f>IF(AND($L1856=1,AND(对接源_02物料!$X656="自备筐",N(对接源_02物料!$T656)&lt;&gt;0)),1,0)</f>
        <v>0</v>
      </c>
      <c r="Y1856" s="3">
        <f t="shared" si="492"/>
        <v>0</v>
      </c>
      <c r="Z1856" s="3">
        <f>IF(AND($M1856=1,对接源_02物料!$D656="原料入库"),1,0)</f>
        <v>0</v>
      </c>
      <c r="AA1856" s="3">
        <f t="shared" si="493"/>
        <v>24</v>
      </c>
      <c r="AB1856" s="3">
        <f>IF(AND($M1856=1,LEFT(对接源_02物料!$D656,4)="原料出库"),1,0)</f>
        <v>0</v>
      </c>
      <c r="AC1856" s="3">
        <f t="shared" si="494"/>
        <v>0</v>
      </c>
      <c r="AD1856" s="3">
        <f>IF(AND($M1856=1,LEFT(对接源_02物料!$D656,4)="成品出库"),1,0)</f>
        <v>0</v>
      </c>
      <c r="AE1856" s="3">
        <f t="shared" si="495"/>
        <v>0</v>
      </c>
      <c r="AF1856" s="3">
        <f>IF(AND($N1856=1,AND(LEFT(对接源_02物料!$D656,4)="包装物料",N(对接源_02物料!$K656)&lt;&gt;0)),1,0)</f>
        <v>0</v>
      </c>
      <c r="AG1856" s="3">
        <f t="shared" si="496"/>
        <v>5</v>
      </c>
      <c r="AH1856" s="3">
        <f>IF(AND($N1856=1,AND(对接源_02物料!$D656="周转筐－销售出库",N(对接源_02物料!$K656)&lt;&gt;0)),1,0)</f>
        <v>0</v>
      </c>
      <c r="AI1856" s="3">
        <f t="shared" si="497"/>
        <v>0</v>
      </c>
      <c r="AL1856" s="3">
        <v>0</v>
      </c>
      <c r="AM1856" s="3">
        <f t="shared" si="498"/>
        <v>1</v>
      </c>
      <c r="AN1856" s="3" t="str">
        <f t="shared" si="502"/>
        <v/>
      </c>
      <c r="AO1856" s="3">
        <v>0</v>
      </c>
      <c r="AP1856" s="3">
        <f t="shared" si="499"/>
        <v>8</v>
      </c>
      <c r="AR1856">
        <f t="shared" si="500"/>
        <v>0</v>
      </c>
      <c r="AS1856">
        <f t="shared" si="501"/>
        <v>5</v>
      </c>
    </row>
    <row r="1857" customHeight="1" spans="1:45">
      <c r="A1857" s="3" t="str">
        <f>IF(对接源_02物料!$C657="","",对接源_02物料!$C657)</f>
        <v/>
      </c>
      <c r="B1857" s="3">
        <f t="shared" si="486"/>
        <v>0</v>
      </c>
      <c r="C1857" s="3">
        <f t="shared" si="487"/>
        <v>21</v>
      </c>
      <c r="K1857" s="3">
        <f>IF(OR($K$1="",对接源_02物料!$C657="",对接源_02物料!$C657&lt;&gt;$K$1,对接源_02物料!$B657=""),0,IF(OR(N(对接源_02物料!$B657)&lt;$K$2,N(对接源_02物料!$B657)&gt;$K$3),0,1))</f>
        <v>0</v>
      </c>
      <c r="L1857" s="3">
        <f>IF(OR($L$1="",对接源_02物料!$C657="",对接源_02物料!$C657&lt;&gt;$L$1,对接源_02物料!$B657=""),0,IF(OR(N(对接源_02物料!$B657)&lt;$L$2,N(对接源_02物料!$B657)&gt;$L$3),0,1))</f>
        <v>0</v>
      </c>
      <c r="M1857" s="3">
        <f>IF(OR($M$1="",对接源_02物料!$C657="",对接源_02物料!$C657&lt;&gt;$M$1,对接源_02物料!$B657=""),0,IF(OR(N(对接源_02物料!$B657)&lt;$M$2,N(对接源_02物料!$B657)&gt;$M$3),0,1))</f>
        <v>0</v>
      </c>
      <c r="N1857" s="3">
        <f>IF(OR($N$1="",对接源_02物料!$C657="",对接源_02物料!$C657&lt;&gt;$N$1,对接源_02物料!$B657=""),0,IF(OR(N(对接源_02物料!$B657)&lt;$N$2,N(对接源_02物料!$B657)&gt;$N$3),0,1))</f>
        <v>0</v>
      </c>
      <c r="P1857" s="3">
        <f>IF(AND($K1857=1,AND(对接源_02物料!$X657="公司筐",N(对接源_02物料!$T657)&lt;&gt;0)),1,0)</f>
        <v>0</v>
      </c>
      <c r="Q1857" s="3">
        <f t="shared" si="488"/>
        <v>8</v>
      </c>
      <c r="R1857" s="3">
        <f>IF(AND($K1857=1,AND(对接源_02物料!$X657="公司筐",N(对接源_02物料!$U657)&lt;&gt;0)),1,0)</f>
        <v>0</v>
      </c>
      <c r="S1857" s="3">
        <f t="shared" si="489"/>
        <v>0</v>
      </c>
      <c r="T1857" s="3">
        <f>IF(AND($K1857=1,AND(对接源_02物料!$X657="公司筐",N(对接源_02物料!$V657)&lt;&gt;0)),1,0)</f>
        <v>0</v>
      </c>
      <c r="U1857" s="3">
        <f t="shared" si="490"/>
        <v>19</v>
      </c>
      <c r="V1857" s="3">
        <f>IF(AND($L1857=1,AND(对接源_02物料!$X657="自备筐",N(对接源_02物料!$V657)&lt;&gt;0)),1,0)</f>
        <v>0</v>
      </c>
      <c r="W1857" s="3">
        <f t="shared" si="491"/>
        <v>8</v>
      </c>
      <c r="X1857" s="3">
        <f>IF(AND($L1857=1,AND(对接源_02物料!$X657="自备筐",N(对接源_02物料!$T657)&lt;&gt;0)),1,0)</f>
        <v>0</v>
      </c>
      <c r="Y1857" s="3">
        <f t="shared" si="492"/>
        <v>0</v>
      </c>
      <c r="Z1857" s="3">
        <f>IF(AND($M1857=1,对接源_02物料!$D657="原料入库"),1,0)</f>
        <v>0</v>
      </c>
      <c r="AA1857" s="3">
        <f t="shared" si="493"/>
        <v>24</v>
      </c>
      <c r="AB1857" s="3">
        <f>IF(AND($M1857=1,LEFT(对接源_02物料!$D657,4)="原料出库"),1,0)</f>
        <v>0</v>
      </c>
      <c r="AC1857" s="3">
        <f t="shared" si="494"/>
        <v>0</v>
      </c>
      <c r="AD1857" s="3">
        <f>IF(AND($M1857=1,LEFT(对接源_02物料!$D657,4)="成品出库"),1,0)</f>
        <v>0</v>
      </c>
      <c r="AE1857" s="3">
        <f t="shared" si="495"/>
        <v>0</v>
      </c>
      <c r="AF1857" s="3">
        <f>IF(AND($N1857=1,AND(LEFT(对接源_02物料!$D657,4)="包装物料",N(对接源_02物料!$K657)&lt;&gt;0)),1,0)</f>
        <v>0</v>
      </c>
      <c r="AG1857" s="3">
        <f t="shared" si="496"/>
        <v>5</v>
      </c>
      <c r="AH1857" s="3">
        <f>IF(AND($N1857=1,AND(对接源_02物料!$D657="周转筐－销售出库",N(对接源_02物料!$K657)&lt;&gt;0)),1,0)</f>
        <v>0</v>
      </c>
      <c r="AI1857" s="3">
        <f t="shared" si="497"/>
        <v>0</v>
      </c>
      <c r="AL1857" s="3">
        <v>0</v>
      </c>
      <c r="AM1857" s="3">
        <f t="shared" si="498"/>
        <v>1</v>
      </c>
      <c r="AN1857" s="3" t="str">
        <f t="shared" si="502"/>
        <v/>
      </c>
      <c r="AO1857" s="3">
        <v>0</v>
      </c>
      <c r="AP1857" s="3">
        <f t="shared" si="499"/>
        <v>8</v>
      </c>
      <c r="AR1857">
        <f t="shared" si="500"/>
        <v>0</v>
      </c>
      <c r="AS1857">
        <f t="shared" si="501"/>
        <v>5</v>
      </c>
    </row>
    <row r="1858" customHeight="1" spans="1:45">
      <c r="A1858" s="3" t="str">
        <f>IF(对接源_02物料!$C658="","",对接源_02物料!$C658)</f>
        <v/>
      </c>
      <c r="B1858" s="3">
        <f t="shared" si="486"/>
        <v>0</v>
      </c>
      <c r="C1858" s="3">
        <f t="shared" si="487"/>
        <v>21</v>
      </c>
      <c r="K1858" s="3">
        <f>IF(OR($K$1="",对接源_02物料!$C658="",对接源_02物料!$C658&lt;&gt;$K$1,对接源_02物料!$B658=""),0,IF(OR(N(对接源_02物料!$B658)&lt;$K$2,N(对接源_02物料!$B658)&gt;$K$3),0,1))</f>
        <v>0</v>
      </c>
      <c r="L1858" s="3">
        <f>IF(OR($L$1="",对接源_02物料!$C658="",对接源_02物料!$C658&lt;&gt;$L$1,对接源_02物料!$B658=""),0,IF(OR(N(对接源_02物料!$B658)&lt;$L$2,N(对接源_02物料!$B658)&gt;$L$3),0,1))</f>
        <v>0</v>
      </c>
      <c r="M1858" s="3">
        <f>IF(OR($M$1="",对接源_02物料!$C658="",对接源_02物料!$C658&lt;&gt;$M$1,对接源_02物料!$B658=""),0,IF(OR(N(对接源_02物料!$B658)&lt;$M$2,N(对接源_02物料!$B658)&gt;$M$3),0,1))</f>
        <v>0</v>
      </c>
      <c r="N1858" s="3">
        <f>IF(OR($N$1="",对接源_02物料!$C658="",对接源_02物料!$C658&lt;&gt;$N$1,对接源_02物料!$B658=""),0,IF(OR(N(对接源_02物料!$B658)&lt;$N$2,N(对接源_02物料!$B658)&gt;$N$3),0,1))</f>
        <v>0</v>
      </c>
      <c r="P1858" s="3">
        <f>IF(AND($K1858=1,AND(对接源_02物料!$X658="公司筐",N(对接源_02物料!$T658)&lt;&gt;0)),1,0)</f>
        <v>0</v>
      </c>
      <c r="Q1858" s="3">
        <f t="shared" si="488"/>
        <v>8</v>
      </c>
      <c r="R1858" s="3">
        <f>IF(AND($K1858=1,AND(对接源_02物料!$X658="公司筐",N(对接源_02物料!$U658)&lt;&gt;0)),1,0)</f>
        <v>0</v>
      </c>
      <c r="S1858" s="3">
        <f t="shared" si="489"/>
        <v>0</v>
      </c>
      <c r="T1858" s="3">
        <f>IF(AND($K1858=1,AND(对接源_02物料!$X658="公司筐",N(对接源_02物料!$V658)&lt;&gt;0)),1,0)</f>
        <v>0</v>
      </c>
      <c r="U1858" s="3">
        <f t="shared" si="490"/>
        <v>19</v>
      </c>
      <c r="V1858" s="3">
        <f>IF(AND($L1858=1,AND(对接源_02物料!$X658="自备筐",N(对接源_02物料!$V658)&lt;&gt;0)),1,0)</f>
        <v>0</v>
      </c>
      <c r="W1858" s="3">
        <f t="shared" si="491"/>
        <v>8</v>
      </c>
      <c r="X1858" s="3">
        <f>IF(AND($L1858=1,AND(对接源_02物料!$X658="自备筐",N(对接源_02物料!$T658)&lt;&gt;0)),1,0)</f>
        <v>0</v>
      </c>
      <c r="Y1858" s="3">
        <f t="shared" si="492"/>
        <v>0</v>
      </c>
      <c r="Z1858" s="3">
        <f>IF(AND($M1858=1,对接源_02物料!$D658="原料入库"),1,0)</f>
        <v>0</v>
      </c>
      <c r="AA1858" s="3">
        <f t="shared" si="493"/>
        <v>24</v>
      </c>
      <c r="AB1858" s="3">
        <f>IF(AND($M1858=1,LEFT(对接源_02物料!$D658,4)="原料出库"),1,0)</f>
        <v>0</v>
      </c>
      <c r="AC1858" s="3">
        <f t="shared" si="494"/>
        <v>0</v>
      </c>
      <c r="AD1858" s="3">
        <f>IF(AND($M1858=1,LEFT(对接源_02物料!$D658,4)="成品出库"),1,0)</f>
        <v>0</v>
      </c>
      <c r="AE1858" s="3">
        <f t="shared" si="495"/>
        <v>0</v>
      </c>
      <c r="AF1858" s="3">
        <f>IF(AND($N1858=1,AND(LEFT(对接源_02物料!$D658,4)="包装物料",N(对接源_02物料!$K658)&lt;&gt;0)),1,0)</f>
        <v>0</v>
      </c>
      <c r="AG1858" s="3">
        <f t="shared" si="496"/>
        <v>5</v>
      </c>
      <c r="AH1858" s="3">
        <f>IF(AND($N1858=1,AND(对接源_02物料!$D658="周转筐－销售出库",N(对接源_02物料!$K658)&lt;&gt;0)),1,0)</f>
        <v>0</v>
      </c>
      <c r="AI1858" s="3">
        <f t="shared" si="497"/>
        <v>0</v>
      </c>
      <c r="AL1858" s="3">
        <v>0</v>
      </c>
      <c r="AM1858" s="3">
        <f t="shared" si="498"/>
        <v>1</v>
      </c>
      <c r="AN1858" s="3" t="str">
        <f t="shared" si="502"/>
        <v/>
      </c>
      <c r="AO1858" s="3">
        <v>0</v>
      </c>
      <c r="AP1858" s="3">
        <f t="shared" si="499"/>
        <v>8</v>
      </c>
      <c r="AR1858">
        <f t="shared" si="500"/>
        <v>0</v>
      </c>
      <c r="AS1858">
        <f t="shared" si="501"/>
        <v>5</v>
      </c>
    </row>
    <row r="1859" customHeight="1" spans="1:45">
      <c r="A1859" s="3" t="str">
        <f>IF(对接源_02物料!$C659="","",对接源_02物料!$C659)</f>
        <v/>
      </c>
      <c r="B1859" s="3">
        <f t="shared" si="486"/>
        <v>0</v>
      </c>
      <c r="C1859" s="3">
        <f t="shared" si="487"/>
        <v>21</v>
      </c>
      <c r="K1859" s="3">
        <f>IF(OR($K$1="",对接源_02物料!$C659="",对接源_02物料!$C659&lt;&gt;$K$1,对接源_02物料!$B659=""),0,IF(OR(N(对接源_02物料!$B659)&lt;$K$2,N(对接源_02物料!$B659)&gt;$K$3),0,1))</f>
        <v>0</v>
      </c>
      <c r="L1859" s="3">
        <f>IF(OR($L$1="",对接源_02物料!$C659="",对接源_02物料!$C659&lt;&gt;$L$1,对接源_02物料!$B659=""),0,IF(OR(N(对接源_02物料!$B659)&lt;$L$2,N(对接源_02物料!$B659)&gt;$L$3),0,1))</f>
        <v>0</v>
      </c>
      <c r="M1859" s="3">
        <f>IF(OR($M$1="",对接源_02物料!$C659="",对接源_02物料!$C659&lt;&gt;$M$1,对接源_02物料!$B659=""),0,IF(OR(N(对接源_02物料!$B659)&lt;$M$2,N(对接源_02物料!$B659)&gt;$M$3),0,1))</f>
        <v>0</v>
      </c>
      <c r="N1859" s="3">
        <f>IF(OR($N$1="",对接源_02物料!$C659="",对接源_02物料!$C659&lt;&gt;$N$1,对接源_02物料!$B659=""),0,IF(OR(N(对接源_02物料!$B659)&lt;$N$2,N(对接源_02物料!$B659)&gt;$N$3),0,1))</f>
        <v>0</v>
      </c>
      <c r="P1859" s="3">
        <f>IF(AND($K1859=1,AND(对接源_02物料!$X659="公司筐",N(对接源_02物料!$T659)&lt;&gt;0)),1,0)</f>
        <v>0</v>
      </c>
      <c r="Q1859" s="3">
        <f t="shared" si="488"/>
        <v>8</v>
      </c>
      <c r="R1859" s="3">
        <f>IF(AND($K1859=1,AND(对接源_02物料!$X659="公司筐",N(对接源_02物料!$U659)&lt;&gt;0)),1,0)</f>
        <v>0</v>
      </c>
      <c r="S1859" s="3">
        <f t="shared" si="489"/>
        <v>0</v>
      </c>
      <c r="T1859" s="3">
        <f>IF(AND($K1859=1,AND(对接源_02物料!$X659="公司筐",N(对接源_02物料!$V659)&lt;&gt;0)),1,0)</f>
        <v>0</v>
      </c>
      <c r="U1859" s="3">
        <f t="shared" si="490"/>
        <v>19</v>
      </c>
      <c r="V1859" s="3">
        <f>IF(AND($L1859=1,AND(对接源_02物料!$X659="自备筐",N(对接源_02物料!$V659)&lt;&gt;0)),1,0)</f>
        <v>0</v>
      </c>
      <c r="W1859" s="3">
        <f t="shared" si="491"/>
        <v>8</v>
      </c>
      <c r="X1859" s="3">
        <f>IF(AND($L1859=1,AND(对接源_02物料!$X659="自备筐",N(对接源_02物料!$T659)&lt;&gt;0)),1,0)</f>
        <v>0</v>
      </c>
      <c r="Y1859" s="3">
        <f t="shared" si="492"/>
        <v>0</v>
      </c>
      <c r="Z1859" s="3">
        <f>IF(AND($M1859=1,对接源_02物料!$D659="原料入库"),1,0)</f>
        <v>0</v>
      </c>
      <c r="AA1859" s="3">
        <f t="shared" si="493"/>
        <v>24</v>
      </c>
      <c r="AB1859" s="3">
        <f>IF(AND($M1859=1,LEFT(对接源_02物料!$D659,4)="原料出库"),1,0)</f>
        <v>0</v>
      </c>
      <c r="AC1859" s="3">
        <f t="shared" si="494"/>
        <v>0</v>
      </c>
      <c r="AD1859" s="3">
        <f>IF(AND($M1859=1,LEFT(对接源_02物料!$D659,4)="成品出库"),1,0)</f>
        <v>0</v>
      </c>
      <c r="AE1859" s="3">
        <f t="shared" si="495"/>
        <v>0</v>
      </c>
      <c r="AF1859" s="3">
        <f>IF(AND($N1859=1,AND(LEFT(对接源_02物料!$D659,4)="包装物料",N(对接源_02物料!$K659)&lt;&gt;0)),1,0)</f>
        <v>0</v>
      </c>
      <c r="AG1859" s="3">
        <f t="shared" si="496"/>
        <v>5</v>
      </c>
      <c r="AH1859" s="3">
        <f>IF(AND($N1859=1,AND(对接源_02物料!$D659="周转筐－销售出库",N(对接源_02物料!$K659)&lt;&gt;0)),1,0)</f>
        <v>0</v>
      </c>
      <c r="AI1859" s="3">
        <f t="shared" si="497"/>
        <v>0</v>
      </c>
      <c r="AL1859" s="3">
        <v>0</v>
      </c>
      <c r="AM1859" s="3">
        <f t="shared" si="498"/>
        <v>1</v>
      </c>
      <c r="AN1859" s="3" t="str">
        <f t="shared" si="502"/>
        <v/>
      </c>
      <c r="AO1859" s="3">
        <v>0</v>
      </c>
      <c r="AP1859" s="3">
        <f t="shared" si="499"/>
        <v>8</v>
      </c>
      <c r="AR1859">
        <f t="shared" si="500"/>
        <v>0</v>
      </c>
      <c r="AS1859">
        <f t="shared" si="501"/>
        <v>5</v>
      </c>
    </row>
    <row r="1860" customHeight="1" spans="1:45">
      <c r="A1860" s="3" t="str">
        <f>IF(对接源_02物料!$C660="","",对接源_02物料!$C660)</f>
        <v/>
      </c>
      <c r="B1860" s="3">
        <f t="shared" ref="B1860:B1923" si="503">IF(A1860="",0,IF(MATCH(A1860,$A$4:$A$2403,0)=ROW()-3,1,0))</f>
        <v>0</v>
      </c>
      <c r="C1860" s="3">
        <f t="shared" ref="C1860:C1923" si="504">N(C1859)+B1860</f>
        <v>21</v>
      </c>
      <c r="K1860" s="3">
        <f>IF(OR($K$1="",对接源_02物料!$C660="",对接源_02物料!$C660&lt;&gt;$K$1,对接源_02物料!$B660=""),0,IF(OR(N(对接源_02物料!$B660)&lt;$K$2,N(对接源_02物料!$B660)&gt;$K$3),0,1))</f>
        <v>0</v>
      </c>
      <c r="L1860" s="3">
        <f>IF(OR($L$1="",对接源_02物料!$C660="",对接源_02物料!$C660&lt;&gt;$L$1,对接源_02物料!$B660=""),0,IF(OR(N(对接源_02物料!$B660)&lt;$L$2,N(对接源_02物料!$B660)&gt;$L$3),0,1))</f>
        <v>0</v>
      </c>
      <c r="M1860" s="3">
        <f>IF(OR($M$1="",对接源_02物料!$C660="",对接源_02物料!$C660&lt;&gt;$M$1,对接源_02物料!$B660=""),0,IF(OR(N(对接源_02物料!$B660)&lt;$M$2,N(对接源_02物料!$B660)&gt;$M$3),0,1))</f>
        <v>0</v>
      </c>
      <c r="N1860" s="3">
        <f>IF(OR($N$1="",对接源_02物料!$C660="",对接源_02物料!$C660&lt;&gt;$N$1,对接源_02物料!$B660=""),0,IF(OR(N(对接源_02物料!$B660)&lt;$N$2,N(对接源_02物料!$B660)&gt;$N$3),0,1))</f>
        <v>0</v>
      </c>
      <c r="P1860" s="3">
        <f>IF(AND($K1860=1,AND(对接源_02物料!$X660="公司筐",N(对接源_02物料!$T660)&lt;&gt;0)),1,0)</f>
        <v>0</v>
      </c>
      <c r="Q1860" s="3">
        <f t="shared" ref="Q1860:Q1923" si="505">N(Q1859)+$P1860</f>
        <v>8</v>
      </c>
      <c r="R1860" s="3">
        <f>IF(AND($K1860=1,AND(对接源_02物料!$X660="公司筐",N(对接源_02物料!$U660)&lt;&gt;0)),1,0)</f>
        <v>0</v>
      </c>
      <c r="S1860" s="3">
        <f t="shared" ref="S1860:S1923" si="506">N(S1859)+$R1860</f>
        <v>0</v>
      </c>
      <c r="T1860" s="3">
        <f>IF(AND($K1860=1,AND(对接源_02物料!$X660="公司筐",N(对接源_02物料!$V660)&lt;&gt;0)),1,0)</f>
        <v>0</v>
      </c>
      <c r="U1860" s="3">
        <f t="shared" ref="U1860:U1923" si="507">N(U1859)+$T1860</f>
        <v>19</v>
      </c>
      <c r="V1860" s="3">
        <f>IF(AND($L1860=1,AND(对接源_02物料!$X660="自备筐",N(对接源_02物料!$V660)&lt;&gt;0)),1,0)</f>
        <v>0</v>
      </c>
      <c r="W1860" s="3">
        <f t="shared" ref="W1860:W1923" si="508">N(W1859)+$V1860</f>
        <v>8</v>
      </c>
      <c r="X1860" s="3">
        <f>IF(AND($L1860=1,AND(对接源_02物料!$X660="自备筐",N(对接源_02物料!$T660)&lt;&gt;0)),1,0)</f>
        <v>0</v>
      </c>
      <c r="Y1860" s="3">
        <f t="shared" ref="Y1860:Y1923" si="509">N(Y1859)+$X1860</f>
        <v>0</v>
      </c>
      <c r="Z1860" s="3">
        <f>IF(AND($M1860=1,对接源_02物料!$D660="原料入库"),1,0)</f>
        <v>0</v>
      </c>
      <c r="AA1860" s="3">
        <f t="shared" ref="AA1860:AA1923" si="510">N(AA1859)+$Z1860</f>
        <v>24</v>
      </c>
      <c r="AB1860" s="3">
        <f>IF(AND($M1860=1,LEFT(对接源_02物料!$D660,4)="原料出库"),1,0)</f>
        <v>0</v>
      </c>
      <c r="AC1860" s="3">
        <f t="shared" ref="AC1860:AC1923" si="511">N(AC1859)+$AB1860</f>
        <v>0</v>
      </c>
      <c r="AD1860" s="3">
        <f>IF(AND($M1860=1,LEFT(对接源_02物料!$D660,4)="成品出库"),1,0)</f>
        <v>0</v>
      </c>
      <c r="AE1860" s="3">
        <f t="shared" ref="AE1860:AE1923" si="512">N(AE1859)+$AD1860</f>
        <v>0</v>
      </c>
      <c r="AF1860" s="3">
        <f>IF(AND($N1860=1,AND(LEFT(对接源_02物料!$D660,4)="包装物料",N(对接源_02物料!$K660)&lt;&gt;0)),1,0)</f>
        <v>0</v>
      </c>
      <c r="AG1860" s="3">
        <f t="shared" ref="AG1860:AG1923" si="513">N(AG1859)+$AF1860</f>
        <v>5</v>
      </c>
      <c r="AH1860" s="3">
        <f>IF(AND($N1860=1,AND(对接源_02物料!$D660="周转筐－销售出库",N(对接源_02物料!$K660)&lt;&gt;0)),1,0)</f>
        <v>0</v>
      </c>
      <c r="AI1860" s="3">
        <f t="shared" ref="AI1860:AI1923" si="514">N(AI1859)+$AH1860</f>
        <v>0</v>
      </c>
      <c r="AL1860" s="3">
        <v>0</v>
      </c>
      <c r="AM1860" s="3">
        <f t="shared" ref="AM1860:AM1923" si="515">N(AM1859)+$AL1860</f>
        <v>1</v>
      </c>
      <c r="AN1860" s="3" t="str">
        <f t="shared" si="502"/>
        <v/>
      </c>
      <c r="AO1860" s="3">
        <v>0</v>
      </c>
      <c r="AP1860" s="3">
        <f t="shared" ref="AP1860:AP1923" si="516">N(AP1859)+$AO1860</f>
        <v>8</v>
      </c>
      <c r="AR1860">
        <f t="shared" ref="AR1860:AR1923" si="517">IF(OR($AF1860=1,$AH1860=1),1,0)</f>
        <v>0</v>
      </c>
      <c r="AS1860">
        <f t="shared" ref="AS1860:AS1923" si="518">N(AS1859)+$AR1860</f>
        <v>5</v>
      </c>
    </row>
    <row r="1861" customHeight="1" spans="1:45">
      <c r="A1861" s="3" t="str">
        <f>IF(对接源_02物料!$C661="","",对接源_02物料!$C661)</f>
        <v/>
      </c>
      <c r="B1861" s="3">
        <f t="shared" si="503"/>
        <v>0</v>
      </c>
      <c r="C1861" s="3">
        <f t="shared" si="504"/>
        <v>21</v>
      </c>
      <c r="K1861" s="3">
        <f>IF(OR($K$1="",对接源_02物料!$C661="",对接源_02物料!$C661&lt;&gt;$K$1,对接源_02物料!$B661=""),0,IF(OR(N(对接源_02物料!$B661)&lt;$K$2,N(对接源_02物料!$B661)&gt;$K$3),0,1))</f>
        <v>0</v>
      </c>
      <c r="L1861" s="3">
        <f>IF(OR($L$1="",对接源_02物料!$C661="",对接源_02物料!$C661&lt;&gt;$L$1,对接源_02物料!$B661=""),0,IF(OR(N(对接源_02物料!$B661)&lt;$L$2,N(对接源_02物料!$B661)&gt;$L$3),0,1))</f>
        <v>0</v>
      </c>
      <c r="M1861" s="3">
        <f>IF(OR($M$1="",对接源_02物料!$C661="",对接源_02物料!$C661&lt;&gt;$M$1,对接源_02物料!$B661=""),0,IF(OR(N(对接源_02物料!$B661)&lt;$M$2,N(对接源_02物料!$B661)&gt;$M$3),0,1))</f>
        <v>0</v>
      </c>
      <c r="N1861" s="3">
        <f>IF(OR($N$1="",对接源_02物料!$C661="",对接源_02物料!$C661&lt;&gt;$N$1,对接源_02物料!$B661=""),0,IF(OR(N(对接源_02物料!$B661)&lt;$N$2,N(对接源_02物料!$B661)&gt;$N$3),0,1))</f>
        <v>0</v>
      </c>
      <c r="P1861" s="3">
        <f>IF(AND($K1861=1,AND(对接源_02物料!$X661="公司筐",N(对接源_02物料!$T661)&lt;&gt;0)),1,0)</f>
        <v>0</v>
      </c>
      <c r="Q1861" s="3">
        <f t="shared" si="505"/>
        <v>8</v>
      </c>
      <c r="R1861" s="3">
        <f>IF(AND($K1861=1,AND(对接源_02物料!$X661="公司筐",N(对接源_02物料!$U661)&lt;&gt;0)),1,0)</f>
        <v>0</v>
      </c>
      <c r="S1861" s="3">
        <f t="shared" si="506"/>
        <v>0</v>
      </c>
      <c r="T1861" s="3">
        <f>IF(AND($K1861=1,AND(对接源_02物料!$X661="公司筐",N(对接源_02物料!$V661)&lt;&gt;0)),1,0)</f>
        <v>0</v>
      </c>
      <c r="U1861" s="3">
        <f t="shared" si="507"/>
        <v>19</v>
      </c>
      <c r="V1861" s="3">
        <f>IF(AND($L1861=1,AND(对接源_02物料!$X661="自备筐",N(对接源_02物料!$V661)&lt;&gt;0)),1,0)</f>
        <v>0</v>
      </c>
      <c r="W1861" s="3">
        <f t="shared" si="508"/>
        <v>8</v>
      </c>
      <c r="X1861" s="3">
        <f>IF(AND($L1861=1,AND(对接源_02物料!$X661="自备筐",N(对接源_02物料!$T661)&lt;&gt;0)),1,0)</f>
        <v>0</v>
      </c>
      <c r="Y1861" s="3">
        <f t="shared" si="509"/>
        <v>0</v>
      </c>
      <c r="Z1861" s="3">
        <f>IF(AND($M1861=1,对接源_02物料!$D661="原料入库"),1,0)</f>
        <v>0</v>
      </c>
      <c r="AA1861" s="3">
        <f t="shared" si="510"/>
        <v>24</v>
      </c>
      <c r="AB1861" s="3">
        <f>IF(AND($M1861=1,LEFT(对接源_02物料!$D661,4)="原料出库"),1,0)</f>
        <v>0</v>
      </c>
      <c r="AC1861" s="3">
        <f t="shared" si="511"/>
        <v>0</v>
      </c>
      <c r="AD1861" s="3">
        <f>IF(AND($M1861=1,LEFT(对接源_02物料!$D661,4)="成品出库"),1,0)</f>
        <v>0</v>
      </c>
      <c r="AE1861" s="3">
        <f t="shared" si="512"/>
        <v>0</v>
      </c>
      <c r="AF1861" s="3">
        <f>IF(AND($N1861=1,AND(LEFT(对接源_02物料!$D661,4)="包装物料",N(对接源_02物料!$K661)&lt;&gt;0)),1,0)</f>
        <v>0</v>
      </c>
      <c r="AG1861" s="3">
        <f t="shared" si="513"/>
        <v>5</v>
      </c>
      <c r="AH1861" s="3">
        <f>IF(AND($N1861=1,AND(对接源_02物料!$D661="周转筐－销售出库",N(对接源_02物料!$K661)&lt;&gt;0)),1,0)</f>
        <v>0</v>
      </c>
      <c r="AI1861" s="3">
        <f t="shared" si="514"/>
        <v>0</v>
      </c>
      <c r="AL1861" s="3">
        <v>0</v>
      </c>
      <c r="AM1861" s="3">
        <f t="shared" si="515"/>
        <v>1</v>
      </c>
      <c r="AN1861" s="3" t="str">
        <f t="shared" si="502"/>
        <v/>
      </c>
      <c r="AO1861" s="3">
        <v>0</v>
      </c>
      <c r="AP1861" s="3">
        <f t="shared" si="516"/>
        <v>8</v>
      </c>
      <c r="AR1861">
        <f t="shared" si="517"/>
        <v>0</v>
      </c>
      <c r="AS1861">
        <f t="shared" si="518"/>
        <v>5</v>
      </c>
    </row>
    <row r="1862" customHeight="1" spans="1:45">
      <c r="A1862" s="3" t="str">
        <f>IF(对接源_02物料!$C662="","",对接源_02物料!$C662)</f>
        <v/>
      </c>
      <c r="B1862" s="3">
        <f t="shared" si="503"/>
        <v>0</v>
      </c>
      <c r="C1862" s="3">
        <f t="shared" si="504"/>
        <v>21</v>
      </c>
      <c r="K1862" s="3">
        <f>IF(OR($K$1="",对接源_02物料!$C662="",对接源_02物料!$C662&lt;&gt;$K$1,对接源_02物料!$B662=""),0,IF(OR(N(对接源_02物料!$B662)&lt;$K$2,N(对接源_02物料!$B662)&gt;$K$3),0,1))</f>
        <v>0</v>
      </c>
      <c r="L1862" s="3">
        <f>IF(OR($L$1="",对接源_02物料!$C662="",对接源_02物料!$C662&lt;&gt;$L$1,对接源_02物料!$B662=""),0,IF(OR(N(对接源_02物料!$B662)&lt;$L$2,N(对接源_02物料!$B662)&gt;$L$3),0,1))</f>
        <v>0</v>
      </c>
      <c r="M1862" s="3">
        <f>IF(OR($M$1="",对接源_02物料!$C662="",对接源_02物料!$C662&lt;&gt;$M$1,对接源_02物料!$B662=""),0,IF(OR(N(对接源_02物料!$B662)&lt;$M$2,N(对接源_02物料!$B662)&gt;$M$3),0,1))</f>
        <v>0</v>
      </c>
      <c r="N1862" s="3">
        <f>IF(OR($N$1="",对接源_02物料!$C662="",对接源_02物料!$C662&lt;&gt;$N$1,对接源_02物料!$B662=""),0,IF(OR(N(对接源_02物料!$B662)&lt;$N$2,N(对接源_02物料!$B662)&gt;$N$3),0,1))</f>
        <v>0</v>
      </c>
      <c r="P1862" s="3">
        <f>IF(AND($K1862=1,AND(对接源_02物料!$X662="公司筐",N(对接源_02物料!$T662)&lt;&gt;0)),1,0)</f>
        <v>0</v>
      </c>
      <c r="Q1862" s="3">
        <f t="shared" si="505"/>
        <v>8</v>
      </c>
      <c r="R1862" s="3">
        <f>IF(AND($K1862=1,AND(对接源_02物料!$X662="公司筐",N(对接源_02物料!$U662)&lt;&gt;0)),1,0)</f>
        <v>0</v>
      </c>
      <c r="S1862" s="3">
        <f t="shared" si="506"/>
        <v>0</v>
      </c>
      <c r="T1862" s="3">
        <f>IF(AND($K1862=1,AND(对接源_02物料!$X662="公司筐",N(对接源_02物料!$V662)&lt;&gt;0)),1,0)</f>
        <v>0</v>
      </c>
      <c r="U1862" s="3">
        <f t="shared" si="507"/>
        <v>19</v>
      </c>
      <c r="V1862" s="3">
        <f>IF(AND($L1862=1,AND(对接源_02物料!$X662="自备筐",N(对接源_02物料!$V662)&lt;&gt;0)),1,0)</f>
        <v>0</v>
      </c>
      <c r="W1862" s="3">
        <f t="shared" si="508"/>
        <v>8</v>
      </c>
      <c r="X1862" s="3">
        <f>IF(AND($L1862=1,AND(对接源_02物料!$X662="自备筐",N(对接源_02物料!$T662)&lt;&gt;0)),1,0)</f>
        <v>0</v>
      </c>
      <c r="Y1862" s="3">
        <f t="shared" si="509"/>
        <v>0</v>
      </c>
      <c r="Z1862" s="3">
        <f>IF(AND($M1862=1,对接源_02物料!$D662="原料入库"),1,0)</f>
        <v>0</v>
      </c>
      <c r="AA1862" s="3">
        <f t="shared" si="510"/>
        <v>24</v>
      </c>
      <c r="AB1862" s="3">
        <f>IF(AND($M1862=1,LEFT(对接源_02物料!$D662,4)="原料出库"),1,0)</f>
        <v>0</v>
      </c>
      <c r="AC1862" s="3">
        <f t="shared" si="511"/>
        <v>0</v>
      </c>
      <c r="AD1862" s="3">
        <f>IF(AND($M1862=1,LEFT(对接源_02物料!$D662,4)="成品出库"),1,0)</f>
        <v>0</v>
      </c>
      <c r="AE1862" s="3">
        <f t="shared" si="512"/>
        <v>0</v>
      </c>
      <c r="AF1862" s="3">
        <f>IF(AND($N1862=1,AND(LEFT(对接源_02物料!$D662,4)="包装物料",N(对接源_02物料!$K662)&lt;&gt;0)),1,0)</f>
        <v>0</v>
      </c>
      <c r="AG1862" s="3">
        <f t="shared" si="513"/>
        <v>5</v>
      </c>
      <c r="AH1862" s="3">
        <f>IF(AND($N1862=1,AND(对接源_02物料!$D662="周转筐－销售出库",N(对接源_02物料!$K662)&lt;&gt;0)),1,0)</f>
        <v>0</v>
      </c>
      <c r="AI1862" s="3">
        <f t="shared" si="514"/>
        <v>0</v>
      </c>
      <c r="AL1862" s="3">
        <v>0</v>
      </c>
      <c r="AM1862" s="3">
        <f t="shared" si="515"/>
        <v>1</v>
      </c>
      <c r="AN1862" s="3" t="str">
        <f t="shared" si="502"/>
        <v/>
      </c>
      <c r="AO1862" s="3">
        <v>0</v>
      </c>
      <c r="AP1862" s="3">
        <f t="shared" si="516"/>
        <v>8</v>
      </c>
      <c r="AR1862">
        <f t="shared" si="517"/>
        <v>0</v>
      </c>
      <c r="AS1862">
        <f t="shared" si="518"/>
        <v>5</v>
      </c>
    </row>
    <row r="1863" customHeight="1" spans="1:45">
      <c r="A1863" s="3" t="str">
        <f>IF(对接源_02物料!$C663="","",对接源_02物料!$C663)</f>
        <v/>
      </c>
      <c r="B1863" s="3">
        <f t="shared" si="503"/>
        <v>0</v>
      </c>
      <c r="C1863" s="3">
        <f t="shared" si="504"/>
        <v>21</v>
      </c>
      <c r="K1863" s="3">
        <f>IF(OR($K$1="",对接源_02物料!$C663="",对接源_02物料!$C663&lt;&gt;$K$1,对接源_02物料!$B663=""),0,IF(OR(N(对接源_02物料!$B663)&lt;$K$2,N(对接源_02物料!$B663)&gt;$K$3),0,1))</f>
        <v>0</v>
      </c>
      <c r="L1863" s="3">
        <f>IF(OR($L$1="",对接源_02物料!$C663="",对接源_02物料!$C663&lt;&gt;$L$1,对接源_02物料!$B663=""),0,IF(OR(N(对接源_02物料!$B663)&lt;$L$2,N(对接源_02物料!$B663)&gt;$L$3),0,1))</f>
        <v>0</v>
      </c>
      <c r="M1863" s="3">
        <f>IF(OR($M$1="",对接源_02物料!$C663="",对接源_02物料!$C663&lt;&gt;$M$1,对接源_02物料!$B663=""),0,IF(OR(N(对接源_02物料!$B663)&lt;$M$2,N(对接源_02物料!$B663)&gt;$M$3),0,1))</f>
        <v>0</v>
      </c>
      <c r="N1863" s="3">
        <f>IF(OR($N$1="",对接源_02物料!$C663="",对接源_02物料!$C663&lt;&gt;$N$1,对接源_02物料!$B663=""),0,IF(OR(N(对接源_02物料!$B663)&lt;$N$2,N(对接源_02物料!$B663)&gt;$N$3),0,1))</f>
        <v>0</v>
      </c>
      <c r="P1863" s="3">
        <f>IF(AND($K1863=1,AND(对接源_02物料!$X663="公司筐",N(对接源_02物料!$T663)&lt;&gt;0)),1,0)</f>
        <v>0</v>
      </c>
      <c r="Q1863" s="3">
        <f t="shared" si="505"/>
        <v>8</v>
      </c>
      <c r="R1863" s="3">
        <f>IF(AND($K1863=1,AND(对接源_02物料!$X663="公司筐",N(对接源_02物料!$U663)&lt;&gt;0)),1,0)</f>
        <v>0</v>
      </c>
      <c r="S1863" s="3">
        <f t="shared" si="506"/>
        <v>0</v>
      </c>
      <c r="T1863" s="3">
        <f>IF(AND($K1863=1,AND(对接源_02物料!$X663="公司筐",N(对接源_02物料!$V663)&lt;&gt;0)),1,0)</f>
        <v>0</v>
      </c>
      <c r="U1863" s="3">
        <f t="shared" si="507"/>
        <v>19</v>
      </c>
      <c r="V1863" s="3">
        <f>IF(AND($L1863=1,AND(对接源_02物料!$X663="自备筐",N(对接源_02物料!$V663)&lt;&gt;0)),1,0)</f>
        <v>0</v>
      </c>
      <c r="W1863" s="3">
        <f t="shared" si="508"/>
        <v>8</v>
      </c>
      <c r="X1863" s="3">
        <f>IF(AND($L1863=1,AND(对接源_02物料!$X663="自备筐",N(对接源_02物料!$T663)&lt;&gt;0)),1,0)</f>
        <v>0</v>
      </c>
      <c r="Y1863" s="3">
        <f t="shared" si="509"/>
        <v>0</v>
      </c>
      <c r="Z1863" s="3">
        <f>IF(AND($M1863=1,对接源_02物料!$D663="原料入库"),1,0)</f>
        <v>0</v>
      </c>
      <c r="AA1863" s="3">
        <f t="shared" si="510"/>
        <v>24</v>
      </c>
      <c r="AB1863" s="3">
        <f>IF(AND($M1863=1,LEFT(对接源_02物料!$D663,4)="原料出库"),1,0)</f>
        <v>0</v>
      </c>
      <c r="AC1863" s="3">
        <f t="shared" si="511"/>
        <v>0</v>
      </c>
      <c r="AD1863" s="3">
        <f>IF(AND($M1863=1,LEFT(对接源_02物料!$D663,4)="成品出库"),1,0)</f>
        <v>0</v>
      </c>
      <c r="AE1863" s="3">
        <f t="shared" si="512"/>
        <v>0</v>
      </c>
      <c r="AF1863" s="3">
        <f>IF(AND($N1863=1,AND(LEFT(对接源_02物料!$D663,4)="包装物料",N(对接源_02物料!$K663)&lt;&gt;0)),1,0)</f>
        <v>0</v>
      </c>
      <c r="AG1863" s="3">
        <f t="shared" si="513"/>
        <v>5</v>
      </c>
      <c r="AH1863" s="3">
        <f>IF(AND($N1863=1,AND(对接源_02物料!$D663="周转筐－销售出库",N(对接源_02物料!$K663)&lt;&gt;0)),1,0)</f>
        <v>0</v>
      </c>
      <c r="AI1863" s="3">
        <f t="shared" si="514"/>
        <v>0</v>
      </c>
      <c r="AL1863" s="3">
        <v>0</v>
      </c>
      <c r="AM1863" s="3">
        <f t="shared" si="515"/>
        <v>1</v>
      </c>
      <c r="AN1863" s="3" t="str">
        <f t="shared" si="502"/>
        <v/>
      </c>
      <c r="AO1863" s="3">
        <v>0</v>
      </c>
      <c r="AP1863" s="3">
        <f t="shared" si="516"/>
        <v>8</v>
      </c>
      <c r="AR1863">
        <f t="shared" si="517"/>
        <v>0</v>
      </c>
      <c r="AS1863">
        <f t="shared" si="518"/>
        <v>5</v>
      </c>
    </row>
    <row r="1864" customHeight="1" spans="1:45">
      <c r="A1864" s="3" t="str">
        <f>IF(对接源_02物料!$C664="","",对接源_02物料!$C664)</f>
        <v/>
      </c>
      <c r="B1864" s="3">
        <f t="shared" si="503"/>
        <v>0</v>
      </c>
      <c r="C1864" s="3">
        <f t="shared" si="504"/>
        <v>21</v>
      </c>
      <c r="K1864" s="3">
        <f>IF(OR($K$1="",对接源_02物料!$C664="",对接源_02物料!$C664&lt;&gt;$K$1,对接源_02物料!$B664=""),0,IF(OR(N(对接源_02物料!$B664)&lt;$K$2,N(对接源_02物料!$B664)&gt;$K$3),0,1))</f>
        <v>0</v>
      </c>
      <c r="L1864" s="3">
        <f>IF(OR($L$1="",对接源_02物料!$C664="",对接源_02物料!$C664&lt;&gt;$L$1,对接源_02物料!$B664=""),0,IF(OR(N(对接源_02物料!$B664)&lt;$L$2,N(对接源_02物料!$B664)&gt;$L$3),0,1))</f>
        <v>0</v>
      </c>
      <c r="M1864" s="3">
        <f>IF(OR($M$1="",对接源_02物料!$C664="",对接源_02物料!$C664&lt;&gt;$M$1,对接源_02物料!$B664=""),0,IF(OR(N(对接源_02物料!$B664)&lt;$M$2,N(对接源_02物料!$B664)&gt;$M$3),0,1))</f>
        <v>0</v>
      </c>
      <c r="N1864" s="3">
        <f>IF(OR($N$1="",对接源_02物料!$C664="",对接源_02物料!$C664&lt;&gt;$N$1,对接源_02物料!$B664=""),0,IF(OR(N(对接源_02物料!$B664)&lt;$N$2,N(对接源_02物料!$B664)&gt;$N$3),0,1))</f>
        <v>0</v>
      </c>
      <c r="P1864" s="3">
        <f>IF(AND($K1864=1,AND(对接源_02物料!$X664="公司筐",N(对接源_02物料!$T664)&lt;&gt;0)),1,0)</f>
        <v>0</v>
      </c>
      <c r="Q1864" s="3">
        <f t="shared" si="505"/>
        <v>8</v>
      </c>
      <c r="R1864" s="3">
        <f>IF(AND($K1864=1,AND(对接源_02物料!$X664="公司筐",N(对接源_02物料!$U664)&lt;&gt;0)),1,0)</f>
        <v>0</v>
      </c>
      <c r="S1864" s="3">
        <f t="shared" si="506"/>
        <v>0</v>
      </c>
      <c r="T1864" s="3">
        <f>IF(AND($K1864=1,AND(对接源_02物料!$X664="公司筐",N(对接源_02物料!$V664)&lt;&gt;0)),1,0)</f>
        <v>0</v>
      </c>
      <c r="U1864" s="3">
        <f t="shared" si="507"/>
        <v>19</v>
      </c>
      <c r="V1864" s="3">
        <f>IF(AND($L1864=1,AND(对接源_02物料!$X664="自备筐",N(对接源_02物料!$V664)&lt;&gt;0)),1,0)</f>
        <v>0</v>
      </c>
      <c r="W1864" s="3">
        <f t="shared" si="508"/>
        <v>8</v>
      </c>
      <c r="X1864" s="3">
        <f>IF(AND($L1864=1,AND(对接源_02物料!$X664="自备筐",N(对接源_02物料!$T664)&lt;&gt;0)),1,0)</f>
        <v>0</v>
      </c>
      <c r="Y1864" s="3">
        <f t="shared" si="509"/>
        <v>0</v>
      </c>
      <c r="Z1864" s="3">
        <f>IF(AND($M1864=1,对接源_02物料!$D664="原料入库"),1,0)</f>
        <v>0</v>
      </c>
      <c r="AA1864" s="3">
        <f t="shared" si="510"/>
        <v>24</v>
      </c>
      <c r="AB1864" s="3">
        <f>IF(AND($M1864=1,LEFT(对接源_02物料!$D664,4)="原料出库"),1,0)</f>
        <v>0</v>
      </c>
      <c r="AC1864" s="3">
        <f t="shared" si="511"/>
        <v>0</v>
      </c>
      <c r="AD1864" s="3">
        <f>IF(AND($M1864=1,LEFT(对接源_02物料!$D664,4)="成品出库"),1,0)</f>
        <v>0</v>
      </c>
      <c r="AE1864" s="3">
        <f t="shared" si="512"/>
        <v>0</v>
      </c>
      <c r="AF1864" s="3">
        <f>IF(AND($N1864=1,AND(LEFT(对接源_02物料!$D664,4)="包装物料",N(对接源_02物料!$K664)&lt;&gt;0)),1,0)</f>
        <v>0</v>
      </c>
      <c r="AG1864" s="3">
        <f t="shared" si="513"/>
        <v>5</v>
      </c>
      <c r="AH1864" s="3">
        <f>IF(AND($N1864=1,AND(对接源_02物料!$D664="周转筐－销售出库",N(对接源_02物料!$K664)&lt;&gt;0)),1,0)</f>
        <v>0</v>
      </c>
      <c r="AI1864" s="3">
        <f t="shared" si="514"/>
        <v>0</v>
      </c>
      <c r="AL1864" s="3">
        <v>0</v>
      </c>
      <c r="AM1864" s="3">
        <f t="shared" si="515"/>
        <v>1</v>
      </c>
      <c r="AN1864" s="3" t="str">
        <f t="shared" si="502"/>
        <v/>
      </c>
      <c r="AO1864" s="3">
        <v>0</v>
      </c>
      <c r="AP1864" s="3">
        <f t="shared" si="516"/>
        <v>8</v>
      </c>
      <c r="AR1864">
        <f t="shared" si="517"/>
        <v>0</v>
      </c>
      <c r="AS1864">
        <f t="shared" si="518"/>
        <v>5</v>
      </c>
    </row>
    <row r="1865" customHeight="1" spans="1:45">
      <c r="A1865" s="3" t="str">
        <f>IF(对接源_02物料!$C665="","",对接源_02物料!$C665)</f>
        <v/>
      </c>
      <c r="B1865" s="3">
        <f t="shared" si="503"/>
        <v>0</v>
      </c>
      <c r="C1865" s="3">
        <f t="shared" si="504"/>
        <v>21</v>
      </c>
      <c r="K1865" s="3">
        <f>IF(OR($K$1="",对接源_02物料!$C665="",对接源_02物料!$C665&lt;&gt;$K$1,对接源_02物料!$B665=""),0,IF(OR(N(对接源_02物料!$B665)&lt;$K$2,N(对接源_02物料!$B665)&gt;$K$3),0,1))</f>
        <v>0</v>
      </c>
      <c r="L1865" s="3">
        <f>IF(OR($L$1="",对接源_02物料!$C665="",对接源_02物料!$C665&lt;&gt;$L$1,对接源_02物料!$B665=""),0,IF(OR(N(对接源_02物料!$B665)&lt;$L$2,N(对接源_02物料!$B665)&gt;$L$3),0,1))</f>
        <v>0</v>
      </c>
      <c r="M1865" s="3">
        <f>IF(OR($M$1="",对接源_02物料!$C665="",对接源_02物料!$C665&lt;&gt;$M$1,对接源_02物料!$B665=""),0,IF(OR(N(对接源_02物料!$B665)&lt;$M$2,N(对接源_02物料!$B665)&gt;$M$3),0,1))</f>
        <v>0</v>
      </c>
      <c r="N1865" s="3">
        <f>IF(OR($N$1="",对接源_02物料!$C665="",对接源_02物料!$C665&lt;&gt;$N$1,对接源_02物料!$B665=""),0,IF(OR(N(对接源_02物料!$B665)&lt;$N$2,N(对接源_02物料!$B665)&gt;$N$3),0,1))</f>
        <v>0</v>
      </c>
      <c r="P1865" s="3">
        <f>IF(AND($K1865=1,AND(对接源_02物料!$X665="公司筐",N(对接源_02物料!$T665)&lt;&gt;0)),1,0)</f>
        <v>0</v>
      </c>
      <c r="Q1865" s="3">
        <f t="shared" si="505"/>
        <v>8</v>
      </c>
      <c r="R1865" s="3">
        <f>IF(AND($K1865=1,AND(对接源_02物料!$X665="公司筐",N(对接源_02物料!$U665)&lt;&gt;0)),1,0)</f>
        <v>0</v>
      </c>
      <c r="S1865" s="3">
        <f t="shared" si="506"/>
        <v>0</v>
      </c>
      <c r="T1865" s="3">
        <f>IF(AND($K1865=1,AND(对接源_02物料!$X665="公司筐",N(对接源_02物料!$V665)&lt;&gt;0)),1,0)</f>
        <v>0</v>
      </c>
      <c r="U1865" s="3">
        <f t="shared" si="507"/>
        <v>19</v>
      </c>
      <c r="V1865" s="3">
        <f>IF(AND($L1865=1,AND(对接源_02物料!$X665="自备筐",N(对接源_02物料!$V665)&lt;&gt;0)),1,0)</f>
        <v>0</v>
      </c>
      <c r="W1865" s="3">
        <f t="shared" si="508"/>
        <v>8</v>
      </c>
      <c r="X1865" s="3">
        <f>IF(AND($L1865=1,AND(对接源_02物料!$X665="自备筐",N(对接源_02物料!$T665)&lt;&gt;0)),1,0)</f>
        <v>0</v>
      </c>
      <c r="Y1865" s="3">
        <f t="shared" si="509"/>
        <v>0</v>
      </c>
      <c r="Z1865" s="3">
        <f>IF(AND($M1865=1,对接源_02物料!$D665="原料入库"),1,0)</f>
        <v>0</v>
      </c>
      <c r="AA1865" s="3">
        <f t="shared" si="510"/>
        <v>24</v>
      </c>
      <c r="AB1865" s="3">
        <f>IF(AND($M1865=1,LEFT(对接源_02物料!$D665,4)="原料出库"),1,0)</f>
        <v>0</v>
      </c>
      <c r="AC1865" s="3">
        <f t="shared" si="511"/>
        <v>0</v>
      </c>
      <c r="AD1865" s="3">
        <f>IF(AND($M1865=1,LEFT(对接源_02物料!$D665,4)="成品出库"),1,0)</f>
        <v>0</v>
      </c>
      <c r="AE1865" s="3">
        <f t="shared" si="512"/>
        <v>0</v>
      </c>
      <c r="AF1865" s="3">
        <f>IF(AND($N1865=1,AND(LEFT(对接源_02物料!$D665,4)="包装物料",N(对接源_02物料!$K665)&lt;&gt;0)),1,0)</f>
        <v>0</v>
      </c>
      <c r="AG1865" s="3">
        <f t="shared" si="513"/>
        <v>5</v>
      </c>
      <c r="AH1865" s="3">
        <f>IF(AND($N1865=1,AND(对接源_02物料!$D665="周转筐－销售出库",N(对接源_02物料!$K665)&lt;&gt;0)),1,0)</f>
        <v>0</v>
      </c>
      <c r="AI1865" s="3">
        <f t="shared" si="514"/>
        <v>0</v>
      </c>
      <c r="AL1865" s="3">
        <v>0</v>
      </c>
      <c r="AM1865" s="3">
        <f t="shared" si="515"/>
        <v>1</v>
      </c>
      <c r="AN1865" s="3" t="str">
        <f t="shared" si="502"/>
        <v/>
      </c>
      <c r="AO1865" s="3">
        <v>0</v>
      </c>
      <c r="AP1865" s="3">
        <f t="shared" si="516"/>
        <v>8</v>
      </c>
      <c r="AR1865">
        <f t="shared" si="517"/>
        <v>0</v>
      </c>
      <c r="AS1865">
        <f t="shared" si="518"/>
        <v>5</v>
      </c>
    </row>
    <row r="1866" customHeight="1" spans="1:45">
      <c r="A1866" s="3" t="str">
        <f>IF(对接源_02物料!$C666="","",对接源_02物料!$C666)</f>
        <v/>
      </c>
      <c r="B1866" s="3">
        <f t="shared" si="503"/>
        <v>0</v>
      </c>
      <c r="C1866" s="3">
        <f t="shared" si="504"/>
        <v>21</v>
      </c>
      <c r="K1866" s="3">
        <f>IF(OR($K$1="",对接源_02物料!$C666="",对接源_02物料!$C666&lt;&gt;$K$1,对接源_02物料!$B666=""),0,IF(OR(N(对接源_02物料!$B666)&lt;$K$2,N(对接源_02物料!$B666)&gt;$K$3),0,1))</f>
        <v>0</v>
      </c>
      <c r="L1866" s="3">
        <f>IF(OR($L$1="",对接源_02物料!$C666="",对接源_02物料!$C666&lt;&gt;$L$1,对接源_02物料!$B666=""),0,IF(OR(N(对接源_02物料!$B666)&lt;$L$2,N(对接源_02物料!$B666)&gt;$L$3),0,1))</f>
        <v>0</v>
      </c>
      <c r="M1866" s="3">
        <f>IF(OR($M$1="",对接源_02物料!$C666="",对接源_02物料!$C666&lt;&gt;$M$1,对接源_02物料!$B666=""),0,IF(OR(N(对接源_02物料!$B666)&lt;$M$2,N(对接源_02物料!$B666)&gt;$M$3),0,1))</f>
        <v>0</v>
      </c>
      <c r="N1866" s="3">
        <f>IF(OR($N$1="",对接源_02物料!$C666="",对接源_02物料!$C666&lt;&gt;$N$1,对接源_02物料!$B666=""),0,IF(OR(N(对接源_02物料!$B666)&lt;$N$2,N(对接源_02物料!$B666)&gt;$N$3),0,1))</f>
        <v>0</v>
      </c>
      <c r="P1866" s="3">
        <f>IF(AND($K1866=1,AND(对接源_02物料!$X666="公司筐",N(对接源_02物料!$T666)&lt;&gt;0)),1,0)</f>
        <v>0</v>
      </c>
      <c r="Q1866" s="3">
        <f t="shared" si="505"/>
        <v>8</v>
      </c>
      <c r="R1866" s="3">
        <f>IF(AND($K1866=1,AND(对接源_02物料!$X666="公司筐",N(对接源_02物料!$U666)&lt;&gt;0)),1,0)</f>
        <v>0</v>
      </c>
      <c r="S1866" s="3">
        <f t="shared" si="506"/>
        <v>0</v>
      </c>
      <c r="T1866" s="3">
        <f>IF(AND($K1866=1,AND(对接源_02物料!$X666="公司筐",N(对接源_02物料!$V666)&lt;&gt;0)),1,0)</f>
        <v>0</v>
      </c>
      <c r="U1866" s="3">
        <f t="shared" si="507"/>
        <v>19</v>
      </c>
      <c r="V1866" s="3">
        <f>IF(AND($L1866=1,AND(对接源_02物料!$X666="自备筐",N(对接源_02物料!$V666)&lt;&gt;0)),1,0)</f>
        <v>0</v>
      </c>
      <c r="W1866" s="3">
        <f t="shared" si="508"/>
        <v>8</v>
      </c>
      <c r="X1866" s="3">
        <f>IF(AND($L1866=1,AND(对接源_02物料!$X666="自备筐",N(对接源_02物料!$T666)&lt;&gt;0)),1,0)</f>
        <v>0</v>
      </c>
      <c r="Y1866" s="3">
        <f t="shared" si="509"/>
        <v>0</v>
      </c>
      <c r="Z1866" s="3">
        <f>IF(AND($M1866=1,对接源_02物料!$D666="原料入库"),1,0)</f>
        <v>0</v>
      </c>
      <c r="AA1866" s="3">
        <f t="shared" si="510"/>
        <v>24</v>
      </c>
      <c r="AB1866" s="3">
        <f>IF(AND($M1866=1,LEFT(对接源_02物料!$D666,4)="原料出库"),1,0)</f>
        <v>0</v>
      </c>
      <c r="AC1866" s="3">
        <f t="shared" si="511"/>
        <v>0</v>
      </c>
      <c r="AD1866" s="3">
        <f>IF(AND($M1866=1,LEFT(对接源_02物料!$D666,4)="成品出库"),1,0)</f>
        <v>0</v>
      </c>
      <c r="AE1866" s="3">
        <f t="shared" si="512"/>
        <v>0</v>
      </c>
      <c r="AF1866" s="3">
        <f>IF(AND($N1866=1,AND(LEFT(对接源_02物料!$D666,4)="包装物料",N(对接源_02物料!$K666)&lt;&gt;0)),1,0)</f>
        <v>0</v>
      </c>
      <c r="AG1866" s="3">
        <f t="shared" si="513"/>
        <v>5</v>
      </c>
      <c r="AH1866" s="3">
        <f>IF(AND($N1866=1,AND(对接源_02物料!$D666="周转筐－销售出库",N(对接源_02物料!$K666)&lt;&gt;0)),1,0)</f>
        <v>0</v>
      </c>
      <c r="AI1866" s="3">
        <f t="shared" si="514"/>
        <v>0</v>
      </c>
      <c r="AL1866" s="3">
        <v>0</v>
      </c>
      <c r="AM1866" s="3">
        <f t="shared" si="515"/>
        <v>1</v>
      </c>
      <c r="AN1866" s="3" t="str">
        <f t="shared" si="502"/>
        <v/>
      </c>
      <c r="AO1866" s="3">
        <v>0</v>
      </c>
      <c r="AP1866" s="3">
        <f t="shared" si="516"/>
        <v>8</v>
      </c>
      <c r="AR1866">
        <f t="shared" si="517"/>
        <v>0</v>
      </c>
      <c r="AS1866">
        <f t="shared" si="518"/>
        <v>5</v>
      </c>
    </row>
    <row r="1867" customHeight="1" spans="1:45">
      <c r="A1867" s="3" t="str">
        <f>IF(对接源_02物料!$C667="","",对接源_02物料!$C667)</f>
        <v/>
      </c>
      <c r="B1867" s="3">
        <f t="shared" si="503"/>
        <v>0</v>
      </c>
      <c r="C1867" s="3">
        <f t="shared" si="504"/>
        <v>21</v>
      </c>
      <c r="K1867" s="3">
        <f>IF(OR($K$1="",对接源_02物料!$C667="",对接源_02物料!$C667&lt;&gt;$K$1,对接源_02物料!$B667=""),0,IF(OR(N(对接源_02物料!$B667)&lt;$K$2,N(对接源_02物料!$B667)&gt;$K$3),0,1))</f>
        <v>0</v>
      </c>
      <c r="L1867" s="3">
        <f>IF(OR($L$1="",对接源_02物料!$C667="",对接源_02物料!$C667&lt;&gt;$L$1,对接源_02物料!$B667=""),0,IF(OR(N(对接源_02物料!$B667)&lt;$L$2,N(对接源_02物料!$B667)&gt;$L$3),0,1))</f>
        <v>0</v>
      </c>
      <c r="M1867" s="3">
        <f>IF(OR($M$1="",对接源_02物料!$C667="",对接源_02物料!$C667&lt;&gt;$M$1,对接源_02物料!$B667=""),0,IF(OR(N(对接源_02物料!$B667)&lt;$M$2,N(对接源_02物料!$B667)&gt;$M$3),0,1))</f>
        <v>0</v>
      </c>
      <c r="N1867" s="3">
        <f>IF(OR($N$1="",对接源_02物料!$C667="",对接源_02物料!$C667&lt;&gt;$N$1,对接源_02物料!$B667=""),0,IF(OR(N(对接源_02物料!$B667)&lt;$N$2,N(对接源_02物料!$B667)&gt;$N$3),0,1))</f>
        <v>0</v>
      </c>
      <c r="P1867" s="3">
        <f>IF(AND($K1867=1,AND(对接源_02物料!$X667="公司筐",N(对接源_02物料!$T667)&lt;&gt;0)),1,0)</f>
        <v>0</v>
      </c>
      <c r="Q1867" s="3">
        <f t="shared" si="505"/>
        <v>8</v>
      </c>
      <c r="R1867" s="3">
        <f>IF(AND($K1867=1,AND(对接源_02物料!$X667="公司筐",N(对接源_02物料!$U667)&lt;&gt;0)),1,0)</f>
        <v>0</v>
      </c>
      <c r="S1867" s="3">
        <f t="shared" si="506"/>
        <v>0</v>
      </c>
      <c r="T1867" s="3">
        <f>IF(AND($K1867=1,AND(对接源_02物料!$X667="公司筐",N(对接源_02物料!$V667)&lt;&gt;0)),1,0)</f>
        <v>0</v>
      </c>
      <c r="U1867" s="3">
        <f t="shared" si="507"/>
        <v>19</v>
      </c>
      <c r="V1867" s="3">
        <f>IF(AND($L1867=1,AND(对接源_02物料!$X667="自备筐",N(对接源_02物料!$V667)&lt;&gt;0)),1,0)</f>
        <v>0</v>
      </c>
      <c r="W1867" s="3">
        <f t="shared" si="508"/>
        <v>8</v>
      </c>
      <c r="X1867" s="3">
        <f>IF(AND($L1867=1,AND(对接源_02物料!$X667="自备筐",N(对接源_02物料!$T667)&lt;&gt;0)),1,0)</f>
        <v>0</v>
      </c>
      <c r="Y1867" s="3">
        <f t="shared" si="509"/>
        <v>0</v>
      </c>
      <c r="Z1867" s="3">
        <f>IF(AND($M1867=1,对接源_02物料!$D667="原料入库"),1,0)</f>
        <v>0</v>
      </c>
      <c r="AA1867" s="3">
        <f t="shared" si="510"/>
        <v>24</v>
      </c>
      <c r="AB1867" s="3">
        <f>IF(AND($M1867=1,LEFT(对接源_02物料!$D667,4)="原料出库"),1,0)</f>
        <v>0</v>
      </c>
      <c r="AC1867" s="3">
        <f t="shared" si="511"/>
        <v>0</v>
      </c>
      <c r="AD1867" s="3">
        <f>IF(AND($M1867=1,LEFT(对接源_02物料!$D667,4)="成品出库"),1,0)</f>
        <v>0</v>
      </c>
      <c r="AE1867" s="3">
        <f t="shared" si="512"/>
        <v>0</v>
      </c>
      <c r="AF1867" s="3">
        <f>IF(AND($N1867=1,AND(LEFT(对接源_02物料!$D667,4)="包装物料",N(对接源_02物料!$K667)&lt;&gt;0)),1,0)</f>
        <v>0</v>
      </c>
      <c r="AG1867" s="3">
        <f t="shared" si="513"/>
        <v>5</v>
      </c>
      <c r="AH1867" s="3">
        <f>IF(AND($N1867=1,AND(对接源_02物料!$D667="周转筐－销售出库",N(对接源_02物料!$K667)&lt;&gt;0)),1,0)</f>
        <v>0</v>
      </c>
      <c r="AI1867" s="3">
        <f t="shared" si="514"/>
        <v>0</v>
      </c>
      <c r="AL1867" s="3">
        <v>0</v>
      </c>
      <c r="AM1867" s="3">
        <f t="shared" si="515"/>
        <v>1</v>
      </c>
      <c r="AN1867" s="3" t="str">
        <f t="shared" si="502"/>
        <v/>
      </c>
      <c r="AO1867" s="3">
        <v>0</v>
      </c>
      <c r="AP1867" s="3">
        <f t="shared" si="516"/>
        <v>8</v>
      </c>
      <c r="AR1867">
        <f t="shared" si="517"/>
        <v>0</v>
      </c>
      <c r="AS1867">
        <f t="shared" si="518"/>
        <v>5</v>
      </c>
    </row>
    <row r="1868" customHeight="1" spans="1:45">
      <c r="A1868" s="3" t="str">
        <f>IF(对接源_02物料!$C668="","",对接源_02物料!$C668)</f>
        <v/>
      </c>
      <c r="B1868" s="3">
        <f t="shared" si="503"/>
        <v>0</v>
      </c>
      <c r="C1868" s="3">
        <f t="shared" si="504"/>
        <v>21</v>
      </c>
      <c r="K1868" s="3">
        <f>IF(OR($K$1="",对接源_02物料!$C668="",对接源_02物料!$C668&lt;&gt;$K$1,对接源_02物料!$B668=""),0,IF(OR(N(对接源_02物料!$B668)&lt;$K$2,N(对接源_02物料!$B668)&gt;$K$3),0,1))</f>
        <v>0</v>
      </c>
      <c r="L1868" s="3">
        <f>IF(OR($L$1="",对接源_02物料!$C668="",对接源_02物料!$C668&lt;&gt;$L$1,对接源_02物料!$B668=""),0,IF(OR(N(对接源_02物料!$B668)&lt;$L$2,N(对接源_02物料!$B668)&gt;$L$3),0,1))</f>
        <v>0</v>
      </c>
      <c r="M1868" s="3">
        <f>IF(OR($M$1="",对接源_02物料!$C668="",对接源_02物料!$C668&lt;&gt;$M$1,对接源_02物料!$B668=""),0,IF(OR(N(对接源_02物料!$B668)&lt;$M$2,N(对接源_02物料!$B668)&gt;$M$3),0,1))</f>
        <v>0</v>
      </c>
      <c r="N1868" s="3">
        <f>IF(OR($N$1="",对接源_02物料!$C668="",对接源_02物料!$C668&lt;&gt;$N$1,对接源_02物料!$B668=""),0,IF(OR(N(对接源_02物料!$B668)&lt;$N$2,N(对接源_02物料!$B668)&gt;$N$3),0,1))</f>
        <v>0</v>
      </c>
      <c r="P1868" s="3">
        <f>IF(AND($K1868=1,AND(对接源_02物料!$X668="公司筐",N(对接源_02物料!$T668)&lt;&gt;0)),1,0)</f>
        <v>0</v>
      </c>
      <c r="Q1868" s="3">
        <f t="shared" si="505"/>
        <v>8</v>
      </c>
      <c r="R1868" s="3">
        <f>IF(AND($K1868=1,AND(对接源_02物料!$X668="公司筐",N(对接源_02物料!$U668)&lt;&gt;0)),1,0)</f>
        <v>0</v>
      </c>
      <c r="S1868" s="3">
        <f t="shared" si="506"/>
        <v>0</v>
      </c>
      <c r="T1868" s="3">
        <f>IF(AND($K1868=1,AND(对接源_02物料!$X668="公司筐",N(对接源_02物料!$V668)&lt;&gt;0)),1,0)</f>
        <v>0</v>
      </c>
      <c r="U1868" s="3">
        <f t="shared" si="507"/>
        <v>19</v>
      </c>
      <c r="V1868" s="3">
        <f>IF(AND($L1868=1,AND(对接源_02物料!$X668="自备筐",N(对接源_02物料!$V668)&lt;&gt;0)),1,0)</f>
        <v>0</v>
      </c>
      <c r="W1868" s="3">
        <f t="shared" si="508"/>
        <v>8</v>
      </c>
      <c r="X1868" s="3">
        <f>IF(AND($L1868=1,AND(对接源_02物料!$X668="自备筐",N(对接源_02物料!$T668)&lt;&gt;0)),1,0)</f>
        <v>0</v>
      </c>
      <c r="Y1868" s="3">
        <f t="shared" si="509"/>
        <v>0</v>
      </c>
      <c r="Z1868" s="3">
        <f>IF(AND($M1868=1,对接源_02物料!$D668="原料入库"),1,0)</f>
        <v>0</v>
      </c>
      <c r="AA1868" s="3">
        <f t="shared" si="510"/>
        <v>24</v>
      </c>
      <c r="AB1868" s="3">
        <f>IF(AND($M1868=1,LEFT(对接源_02物料!$D668,4)="原料出库"),1,0)</f>
        <v>0</v>
      </c>
      <c r="AC1868" s="3">
        <f t="shared" si="511"/>
        <v>0</v>
      </c>
      <c r="AD1868" s="3">
        <f>IF(AND($M1868=1,LEFT(对接源_02物料!$D668,4)="成品出库"),1,0)</f>
        <v>0</v>
      </c>
      <c r="AE1868" s="3">
        <f t="shared" si="512"/>
        <v>0</v>
      </c>
      <c r="AF1868" s="3">
        <f>IF(AND($N1868=1,AND(LEFT(对接源_02物料!$D668,4)="包装物料",N(对接源_02物料!$K668)&lt;&gt;0)),1,0)</f>
        <v>0</v>
      </c>
      <c r="AG1868" s="3">
        <f t="shared" si="513"/>
        <v>5</v>
      </c>
      <c r="AH1868" s="3">
        <f>IF(AND($N1868=1,AND(对接源_02物料!$D668="周转筐－销售出库",N(对接源_02物料!$K668)&lt;&gt;0)),1,0)</f>
        <v>0</v>
      </c>
      <c r="AI1868" s="3">
        <f t="shared" si="514"/>
        <v>0</v>
      </c>
      <c r="AL1868" s="3">
        <v>0</v>
      </c>
      <c r="AM1868" s="3">
        <f t="shared" si="515"/>
        <v>1</v>
      </c>
      <c r="AN1868" s="3" t="str">
        <f t="shared" si="502"/>
        <v/>
      </c>
      <c r="AO1868" s="3">
        <v>0</v>
      </c>
      <c r="AP1868" s="3">
        <f t="shared" si="516"/>
        <v>8</v>
      </c>
      <c r="AR1868">
        <f t="shared" si="517"/>
        <v>0</v>
      </c>
      <c r="AS1868">
        <f t="shared" si="518"/>
        <v>5</v>
      </c>
    </row>
    <row r="1869" customHeight="1" spans="1:45">
      <c r="A1869" s="3" t="str">
        <f>IF(对接源_02物料!$C669="","",对接源_02物料!$C669)</f>
        <v/>
      </c>
      <c r="B1869" s="3">
        <f t="shared" si="503"/>
        <v>0</v>
      </c>
      <c r="C1869" s="3">
        <f t="shared" si="504"/>
        <v>21</v>
      </c>
      <c r="K1869" s="3">
        <f>IF(OR($K$1="",对接源_02物料!$C669="",对接源_02物料!$C669&lt;&gt;$K$1,对接源_02物料!$B669=""),0,IF(OR(N(对接源_02物料!$B669)&lt;$K$2,N(对接源_02物料!$B669)&gt;$K$3),0,1))</f>
        <v>0</v>
      </c>
      <c r="L1869" s="3">
        <f>IF(OR($L$1="",对接源_02物料!$C669="",对接源_02物料!$C669&lt;&gt;$L$1,对接源_02物料!$B669=""),0,IF(OR(N(对接源_02物料!$B669)&lt;$L$2,N(对接源_02物料!$B669)&gt;$L$3),0,1))</f>
        <v>0</v>
      </c>
      <c r="M1869" s="3">
        <f>IF(OR($M$1="",对接源_02物料!$C669="",对接源_02物料!$C669&lt;&gt;$M$1,对接源_02物料!$B669=""),0,IF(OR(N(对接源_02物料!$B669)&lt;$M$2,N(对接源_02物料!$B669)&gt;$M$3),0,1))</f>
        <v>0</v>
      </c>
      <c r="N1869" s="3">
        <f>IF(OR($N$1="",对接源_02物料!$C669="",对接源_02物料!$C669&lt;&gt;$N$1,对接源_02物料!$B669=""),0,IF(OR(N(对接源_02物料!$B669)&lt;$N$2,N(对接源_02物料!$B669)&gt;$N$3),0,1))</f>
        <v>0</v>
      </c>
      <c r="P1869" s="3">
        <f>IF(AND($K1869=1,AND(对接源_02物料!$X669="公司筐",N(对接源_02物料!$T669)&lt;&gt;0)),1,0)</f>
        <v>0</v>
      </c>
      <c r="Q1869" s="3">
        <f t="shared" si="505"/>
        <v>8</v>
      </c>
      <c r="R1869" s="3">
        <f>IF(AND($K1869=1,AND(对接源_02物料!$X669="公司筐",N(对接源_02物料!$U669)&lt;&gt;0)),1,0)</f>
        <v>0</v>
      </c>
      <c r="S1869" s="3">
        <f t="shared" si="506"/>
        <v>0</v>
      </c>
      <c r="T1869" s="3">
        <f>IF(AND($K1869=1,AND(对接源_02物料!$X669="公司筐",N(对接源_02物料!$V669)&lt;&gt;0)),1,0)</f>
        <v>0</v>
      </c>
      <c r="U1869" s="3">
        <f t="shared" si="507"/>
        <v>19</v>
      </c>
      <c r="V1869" s="3">
        <f>IF(AND($L1869=1,AND(对接源_02物料!$X669="自备筐",N(对接源_02物料!$V669)&lt;&gt;0)),1,0)</f>
        <v>0</v>
      </c>
      <c r="W1869" s="3">
        <f t="shared" si="508"/>
        <v>8</v>
      </c>
      <c r="X1869" s="3">
        <f>IF(AND($L1869=1,AND(对接源_02物料!$X669="自备筐",N(对接源_02物料!$T669)&lt;&gt;0)),1,0)</f>
        <v>0</v>
      </c>
      <c r="Y1869" s="3">
        <f t="shared" si="509"/>
        <v>0</v>
      </c>
      <c r="Z1869" s="3">
        <f>IF(AND($M1869=1,对接源_02物料!$D669="原料入库"),1,0)</f>
        <v>0</v>
      </c>
      <c r="AA1869" s="3">
        <f t="shared" si="510"/>
        <v>24</v>
      </c>
      <c r="AB1869" s="3">
        <f>IF(AND($M1869=1,LEFT(对接源_02物料!$D669,4)="原料出库"),1,0)</f>
        <v>0</v>
      </c>
      <c r="AC1869" s="3">
        <f t="shared" si="511"/>
        <v>0</v>
      </c>
      <c r="AD1869" s="3">
        <f>IF(AND($M1869=1,LEFT(对接源_02物料!$D669,4)="成品出库"),1,0)</f>
        <v>0</v>
      </c>
      <c r="AE1869" s="3">
        <f t="shared" si="512"/>
        <v>0</v>
      </c>
      <c r="AF1869" s="3">
        <f>IF(AND($N1869=1,AND(LEFT(对接源_02物料!$D669,4)="包装物料",N(对接源_02物料!$K669)&lt;&gt;0)),1,0)</f>
        <v>0</v>
      </c>
      <c r="AG1869" s="3">
        <f t="shared" si="513"/>
        <v>5</v>
      </c>
      <c r="AH1869" s="3">
        <f>IF(AND($N1869=1,AND(对接源_02物料!$D669="周转筐－销售出库",N(对接源_02物料!$K669)&lt;&gt;0)),1,0)</f>
        <v>0</v>
      </c>
      <c r="AI1869" s="3">
        <f t="shared" si="514"/>
        <v>0</v>
      </c>
      <c r="AL1869" s="3">
        <v>0</v>
      </c>
      <c r="AM1869" s="3">
        <f t="shared" si="515"/>
        <v>1</v>
      </c>
      <c r="AN1869" s="3" t="str">
        <f t="shared" si="502"/>
        <v/>
      </c>
      <c r="AO1869" s="3">
        <v>0</v>
      </c>
      <c r="AP1869" s="3">
        <f t="shared" si="516"/>
        <v>8</v>
      </c>
      <c r="AR1869">
        <f t="shared" si="517"/>
        <v>0</v>
      </c>
      <c r="AS1869">
        <f t="shared" si="518"/>
        <v>5</v>
      </c>
    </row>
    <row r="1870" customHeight="1" spans="1:45">
      <c r="A1870" s="3" t="str">
        <f>IF(对接源_02物料!$C670="","",对接源_02物料!$C670)</f>
        <v/>
      </c>
      <c r="B1870" s="3">
        <f t="shared" si="503"/>
        <v>0</v>
      </c>
      <c r="C1870" s="3">
        <f t="shared" si="504"/>
        <v>21</v>
      </c>
      <c r="K1870" s="3">
        <f>IF(OR($K$1="",对接源_02物料!$C670="",对接源_02物料!$C670&lt;&gt;$K$1,对接源_02物料!$B670=""),0,IF(OR(N(对接源_02物料!$B670)&lt;$K$2,N(对接源_02物料!$B670)&gt;$K$3),0,1))</f>
        <v>0</v>
      </c>
      <c r="L1870" s="3">
        <f>IF(OR($L$1="",对接源_02物料!$C670="",对接源_02物料!$C670&lt;&gt;$L$1,对接源_02物料!$B670=""),0,IF(OR(N(对接源_02物料!$B670)&lt;$L$2,N(对接源_02物料!$B670)&gt;$L$3),0,1))</f>
        <v>0</v>
      </c>
      <c r="M1870" s="3">
        <f>IF(OR($M$1="",对接源_02物料!$C670="",对接源_02物料!$C670&lt;&gt;$M$1,对接源_02物料!$B670=""),0,IF(OR(N(对接源_02物料!$B670)&lt;$M$2,N(对接源_02物料!$B670)&gt;$M$3),0,1))</f>
        <v>0</v>
      </c>
      <c r="N1870" s="3">
        <f>IF(OR($N$1="",对接源_02物料!$C670="",对接源_02物料!$C670&lt;&gt;$N$1,对接源_02物料!$B670=""),0,IF(OR(N(对接源_02物料!$B670)&lt;$N$2,N(对接源_02物料!$B670)&gt;$N$3),0,1))</f>
        <v>0</v>
      </c>
      <c r="P1870" s="3">
        <f>IF(AND($K1870=1,AND(对接源_02物料!$X670="公司筐",N(对接源_02物料!$T670)&lt;&gt;0)),1,0)</f>
        <v>0</v>
      </c>
      <c r="Q1870" s="3">
        <f t="shared" si="505"/>
        <v>8</v>
      </c>
      <c r="R1870" s="3">
        <f>IF(AND($K1870=1,AND(对接源_02物料!$X670="公司筐",N(对接源_02物料!$U670)&lt;&gt;0)),1,0)</f>
        <v>0</v>
      </c>
      <c r="S1870" s="3">
        <f t="shared" si="506"/>
        <v>0</v>
      </c>
      <c r="T1870" s="3">
        <f>IF(AND($K1870=1,AND(对接源_02物料!$X670="公司筐",N(对接源_02物料!$V670)&lt;&gt;0)),1,0)</f>
        <v>0</v>
      </c>
      <c r="U1870" s="3">
        <f t="shared" si="507"/>
        <v>19</v>
      </c>
      <c r="V1870" s="3">
        <f>IF(AND($L1870=1,AND(对接源_02物料!$X670="自备筐",N(对接源_02物料!$V670)&lt;&gt;0)),1,0)</f>
        <v>0</v>
      </c>
      <c r="W1870" s="3">
        <f t="shared" si="508"/>
        <v>8</v>
      </c>
      <c r="X1870" s="3">
        <f>IF(AND($L1870=1,AND(对接源_02物料!$X670="自备筐",N(对接源_02物料!$T670)&lt;&gt;0)),1,0)</f>
        <v>0</v>
      </c>
      <c r="Y1870" s="3">
        <f t="shared" si="509"/>
        <v>0</v>
      </c>
      <c r="Z1870" s="3">
        <f>IF(AND($M1870=1,对接源_02物料!$D670="原料入库"),1,0)</f>
        <v>0</v>
      </c>
      <c r="AA1870" s="3">
        <f t="shared" si="510"/>
        <v>24</v>
      </c>
      <c r="AB1870" s="3">
        <f>IF(AND($M1870=1,LEFT(对接源_02物料!$D670,4)="原料出库"),1,0)</f>
        <v>0</v>
      </c>
      <c r="AC1870" s="3">
        <f t="shared" si="511"/>
        <v>0</v>
      </c>
      <c r="AD1870" s="3">
        <f>IF(AND($M1870=1,LEFT(对接源_02物料!$D670,4)="成品出库"),1,0)</f>
        <v>0</v>
      </c>
      <c r="AE1870" s="3">
        <f t="shared" si="512"/>
        <v>0</v>
      </c>
      <c r="AF1870" s="3">
        <f>IF(AND($N1870=1,AND(LEFT(对接源_02物料!$D670,4)="包装物料",N(对接源_02物料!$K670)&lt;&gt;0)),1,0)</f>
        <v>0</v>
      </c>
      <c r="AG1870" s="3">
        <f t="shared" si="513"/>
        <v>5</v>
      </c>
      <c r="AH1870" s="3">
        <f>IF(AND($N1870=1,AND(对接源_02物料!$D670="周转筐－销售出库",N(对接源_02物料!$K670)&lt;&gt;0)),1,0)</f>
        <v>0</v>
      </c>
      <c r="AI1870" s="3">
        <f t="shared" si="514"/>
        <v>0</v>
      </c>
      <c r="AL1870" s="3">
        <v>0</v>
      </c>
      <c r="AM1870" s="3">
        <f t="shared" si="515"/>
        <v>1</v>
      </c>
      <c r="AN1870" s="3" t="str">
        <f t="shared" si="502"/>
        <v/>
      </c>
      <c r="AO1870" s="3">
        <v>0</v>
      </c>
      <c r="AP1870" s="3">
        <f t="shared" si="516"/>
        <v>8</v>
      </c>
      <c r="AR1870">
        <f t="shared" si="517"/>
        <v>0</v>
      </c>
      <c r="AS1870">
        <f t="shared" si="518"/>
        <v>5</v>
      </c>
    </row>
    <row r="1871" customHeight="1" spans="1:45">
      <c r="A1871" s="3" t="str">
        <f>IF(对接源_02物料!$C671="","",对接源_02物料!$C671)</f>
        <v/>
      </c>
      <c r="B1871" s="3">
        <f t="shared" si="503"/>
        <v>0</v>
      </c>
      <c r="C1871" s="3">
        <f t="shared" si="504"/>
        <v>21</v>
      </c>
      <c r="K1871" s="3">
        <f>IF(OR($K$1="",对接源_02物料!$C671="",对接源_02物料!$C671&lt;&gt;$K$1,对接源_02物料!$B671=""),0,IF(OR(N(对接源_02物料!$B671)&lt;$K$2,N(对接源_02物料!$B671)&gt;$K$3),0,1))</f>
        <v>0</v>
      </c>
      <c r="L1871" s="3">
        <f>IF(OR($L$1="",对接源_02物料!$C671="",对接源_02物料!$C671&lt;&gt;$L$1,对接源_02物料!$B671=""),0,IF(OR(N(对接源_02物料!$B671)&lt;$L$2,N(对接源_02物料!$B671)&gt;$L$3),0,1))</f>
        <v>0</v>
      </c>
      <c r="M1871" s="3">
        <f>IF(OR($M$1="",对接源_02物料!$C671="",对接源_02物料!$C671&lt;&gt;$M$1,对接源_02物料!$B671=""),0,IF(OR(N(对接源_02物料!$B671)&lt;$M$2,N(对接源_02物料!$B671)&gt;$M$3),0,1))</f>
        <v>0</v>
      </c>
      <c r="N1871" s="3">
        <f>IF(OR($N$1="",对接源_02物料!$C671="",对接源_02物料!$C671&lt;&gt;$N$1,对接源_02物料!$B671=""),0,IF(OR(N(对接源_02物料!$B671)&lt;$N$2,N(对接源_02物料!$B671)&gt;$N$3),0,1))</f>
        <v>0</v>
      </c>
      <c r="P1871" s="3">
        <f>IF(AND($K1871=1,AND(对接源_02物料!$X671="公司筐",N(对接源_02物料!$T671)&lt;&gt;0)),1,0)</f>
        <v>0</v>
      </c>
      <c r="Q1871" s="3">
        <f t="shared" si="505"/>
        <v>8</v>
      </c>
      <c r="R1871" s="3">
        <f>IF(AND($K1871=1,AND(对接源_02物料!$X671="公司筐",N(对接源_02物料!$U671)&lt;&gt;0)),1,0)</f>
        <v>0</v>
      </c>
      <c r="S1871" s="3">
        <f t="shared" si="506"/>
        <v>0</v>
      </c>
      <c r="T1871" s="3">
        <f>IF(AND($K1871=1,AND(对接源_02物料!$X671="公司筐",N(对接源_02物料!$V671)&lt;&gt;0)),1,0)</f>
        <v>0</v>
      </c>
      <c r="U1871" s="3">
        <f t="shared" si="507"/>
        <v>19</v>
      </c>
      <c r="V1871" s="3">
        <f>IF(AND($L1871=1,AND(对接源_02物料!$X671="自备筐",N(对接源_02物料!$V671)&lt;&gt;0)),1,0)</f>
        <v>0</v>
      </c>
      <c r="W1871" s="3">
        <f t="shared" si="508"/>
        <v>8</v>
      </c>
      <c r="X1871" s="3">
        <f>IF(AND($L1871=1,AND(对接源_02物料!$X671="自备筐",N(对接源_02物料!$T671)&lt;&gt;0)),1,0)</f>
        <v>0</v>
      </c>
      <c r="Y1871" s="3">
        <f t="shared" si="509"/>
        <v>0</v>
      </c>
      <c r="Z1871" s="3">
        <f>IF(AND($M1871=1,对接源_02物料!$D671="原料入库"),1,0)</f>
        <v>0</v>
      </c>
      <c r="AA1871" s="3">
        <f t="shared" si="510"/>
        <v>24</v>
      </c>
      <c r="AB1871" s="3">
        <f>IF(AND($M1871=1,LEFT(对接源_02物料!$D671,4)="原料出库"),1,0)</f>
        <v>0</v>
      </c>
      <c r="AC1871" s="3">
        <f t="shared" si="511"/>
        <v>0</v>
      </c>
      <c r="AD1871" s="3">
        <f>IF(AND($M1871=1,LEFT(对接源_02物料!$D671,4)="成品出库"),1,0)</f>
        <v>0</v>
      </c>
      <c r="AE1871" s="3">
        <f t="shared" si="512"/>
        <v>0</v>
      </c>
      <c r="AF1871" s="3">
        <f>IF(AND($N1871=1,AND(LEFT(对接源_02物料!$D671,4)="包装物料",N(对接源_02物料!$K671)&lt;&gt;0)),1,0)</f>
        <v>0</v>
      </c>
      <c r="AG1871" s="3">
        <f t="shared" si="513"/>
        <v>5</v>
      </c>
      <c r="AH1871" s="3">
        <f>IF(AND($N1871=1,AND(对接源_02物料!$D671="周转筐－销售出库",N(对接源_02物料!$K671)&lt;&gt;0)),1,0)</f>
        <v>0</v>
      </c>
      <c r="AI1871" s="3">
        <f t="shared" si="514"/>
        <v>0</v>
      </c>
      <c r="AL1871" s="3">
        <v>0</v>
      </c>
      <c r="AM1871" s="3">
        <f t="shared" si="515"/>
        <v>1</v>
      </c>
      <c r="AN1871" s="3" t="str">
        <f t="shared" si="502"/>
        <v/>
      </c>
      <c r="AO1871" s="3">
        <v>0</v>
      </c>
      <c r="AP1871" s="3">
        <f t="shared" si="516"/>
        <v>8</v>
      </c>
      <c r="AR1871">
        <f t="shared" si="517"/>
        <v>0</v>
      </c>
      <c r="AS1871">
        <f t="shared" si="518"/>
        <v>5</v>
      </c>
    </row>
    <row r="1872" customHeight="1" spans="1:45">
      <c r="A1872" s="3" t="str">
        <f>IF(对接源_02物料!$C672="","",对接源_02物料!$C672)</f>
        <v/>
      </c>
      <c r="B1872" s="3">
        <f t="shared" si="503"/>
        <v>0</v>
      </c>
      <c r="C1872" s="3">
        <f t="shared" si="504"/>
        <v>21</v>
      </c>
      <c r="K1872" s="3">
        <f>IF(OR($K$1="",对接源_02物料!$C672="",对接源_02物料!$C672&lt;&gt;$K$1,对接源_02物料!$B672=""),0,IF(OR(N(对接源_02物料!$B672)&lt;$K$2,N(对接源_02物料!$B672)&gt;$K$3),0,1))</f>
        <v>0</v>
      </c>
      <c r="L1872" s="3">
        <f>IF(OR($L$1="",对接源_02物料!$C672="",对接源_02物料!$C672&lt;&gt;$L$1,对接源_02物料!$B672=""),0,IF(OR(N(对接源_02物料!$B672)&lt;$L$2,N(对接源_02物料!$B672)&gt;$L$3),0,1))</f>
        <v>0</v>
      </c>
      <c r="M1872" s="3">
        <f>IF(OR($M$1="",对接源_02物料!$C672="",对接源_02物料!$C672&lt;&gt;$M$1,对接源_02物料!$B672=""),0,IF(OR(N(对接源_02物料!$B672)&lt;$M$2,N(对接源_02物料!$B672)&gt;$M$3),0,1))</f>
        <v>0</v>
      </c>
      <c r="N1872" s="3">
        <f>IF(OR($N$1="",对接源_02物料!$C672="",对接源_02物料!$C672&lt;&gt;$N$1,对接源_02物料!$B672=""),0,IF(OR(N(对接源_02物料!$B672)&lt;$N$2,N(对接源_02物料!$B672)&gt;$N$3),0,1))</f>
        <v>0</v>
      </c>
      <c r="P1872" s="3">
        <f>IF(AND($K1872=1,AND(对接源_02物料!$X672="公司筐",N(对接源_02物料!$T672)&lt;&gt;0)),1,0)</f>
        <v>0</v>
      </c>
      <c r="Q1872" s="3">
        <f t="shared" si="505"/>
        <v>8</v>
      </c>
      <c r="R1872" s="3">
        <f>IF(AND($K1872=1,AND(对接源_02物料!$X672="公司筐",N(对接源_02物料!$U672)&lt;&gt;0)),1,0)</f>
        <v>0</v>
      </c>
      <c r="S1872" s="3">
        <f t="shared" si="506"/>
        <v>0</v>
      </c>
      <c r="T1872" s="3">
        <f>IF(AND($K1872=1,AND(对接源_02物料!$X672="公司筐",N(对接源_02物料!$V672)&lt;&gt;0)),1,0)</f>
        <v>0</v>
      </c>
      <c r="U1872" s="3">
        <f t="shared" si="507"/>
        <v>19</v>
      </c>
      <c r="V1872" s="3">
        <f>IF(AND($L1872=1,AND(对接源_02物料!$X672="自备筐",N(对接源_02物料!$V672)&lt;&gt;0)),1,0)</f>
        <v>0</v>
      </c>
      <c r="W1872" s="3">
        <f t="shared" si="508"/>
        <v>8</v>
      </c>
      <c r="X1872" s="3">
        <f>IF(AND($L1872=1,AND(对接源_02物料!$X672="自备筐",N(对接源_02物料!$T672)&lt;&gt;0)),1,0)</f>
        <v>0</v>
      </c>
      <c r="Y1872" s="3">
        <f t="shared" si="509"/>
        <v>0</v>
      </c>
      <c r="Z1872" s="3">
        <f>IF(AND($M1872=1,对接源_02物料!$D672="原料入库"),1,0)</f>
        <v>0</v>
      </c>
      <c r="AA1872" s="3">
        <f t="shared" si="510"/>
        <v>24</v>
      </c>
      <c r="AB1872" s="3">
        <f>IF(AND($M1872=1,LEFT(对接源_02物料!$D672,4)="原料出库"),1,0)</f>
        <v>0</v>
      </c>
      <c r="AC1872" s="3">
        <f t="shared" si="511"/>
        <v>0</v>
      </c>
      <c r="AD1872" s="3">
        <f>IF(AND($M1872=1,LEFT(对接源_02物料!$D672,4)="成品出库"),1,0)</f>
        <v>0</v>
      </c>
      <c r="AE1872" s="3">
        <f t="shared" si="512"/>
        <v>0</v>
      </c>
      <c r="AF1872" s="3">
        <f>IF(AND($N1872=1,AND(LEFT(对接源_02物料!$D672,4)="包装物料",N(对接源_02物料!$K672)&lt;&gt;0)),1,0)</f>
        <v>0</v>
      </c>
      <c r="AG1872" s="3">
        <f t="shared" si="513"/>
        <v>5</v>
      </c>
      <c r="AH1872" s="3">
        <f>IF(AND($N1872=1,AND(对接源_02物料!$D672="周转筐－销售出库",N(对接源_02物料!$K672)&lt;&gt;0)),1,0)</f>
        <v>0</v>
      </c>
      <c r="AI1872" s="3">
        <f t="shared" si="514"/>
        <v>0</v>
      </c>
      <c r="AL1872" s="3">
        <v>0</v>
      </c>
      <c r="AM1872" s="3">
        <f t="shared" si="515"/>
        <v>1</v>
      </c>
      <c r="AN1872" s="3" t="str">
        <f t="shared" si="502"/>
        <v/>
      </c>
      <c r="AO1872" s="3">
        <v>0</v>
      </c>
      <c r="AP1872" s="3">
        <f t="shared" si="516"/>
        <v>8</v>
      </c>
      <c r="AR1872">
        <f t="shared" si="517"/>
        <v>0</v>
      </c>
      <c r="AS1872">
        <f t="shared" si="518"/>
        <v>5</v>
      </c>
    </row>
    <row r="1873" customHeight="1" spans="1:45">
      <c r="A1873" s="3" t="str">
        <f>IF(对接源_02物料!$C673="","",对接源_02物料!$C673)</f>
        <v/>
      </c>
      <c r="B1873" s="3">
        <f t="shared" si="503"/>
        <v>0</v>
      </c>
      <c r="C1873" s="3">
        <f t="shared" si="504"/>
        <v>21</v>
      </c>
      <c r="K1873" s="3">
        <f>IF(OR($K$1="",对接源_02物料!$C673="",对接源_02物料!$C673&lt;&gt;$K$1,对接源_02物料!$B673=""),0,IF(OR(N(对接源_02物料!$B673)&lt;$K$2,N(对接源_02物料!$B673)&gt;$K$3),0,1))</f>
        <v>0</v>
      </c>
      <c r="L1873" s="3">
        <f>IF(OR($L$1="",对接源_02物料!$C673="",对接源_02物料!$C673&lt;&gt;$L$1,对接源_02物料!$B673=""),0,IF(OR(N(对接源_02物料!$B673)&lt;$L$2,N(对接源_02物料!$B673)&gt;$L$3),0,1))</f>
        <v>0</v>
      </c>
      <c r="M1873" s="3">
        <f>IF(OR($M$1="",对接源_02物料!$C673="",对接源_02物料!$C673&lt;&gt;$M$1,对接源_02物料!$B673=""),0,IF(OR(N(对接源_02物料!$B673)&lt;$M$2,N(对接源_02物料!$B673)&gt;$M$3),0,1))</f>
        <v>0</v>
      </c>
      <c r="N1873" s="3">
        <f>IF(OR($N$1="",对接源_02物料!$C673="",对接源_02物料!$C673&lt;&gt;$N$1,对接源_02物料!$B673=""),0,IF(OR(N(对接源_02物料!$B673)&lt;$N$2,N(对接源_02物料!$B673)&gt;$N$3),0,1))</f>
        <v>0</v>
      </c>
      <c r="P1873" s="3">
        <f>IF(AND($K1873=1,AND(对接源_02物料!$X673="公司筐",N(对接源_02物料!$T673)&lt;&gt;0)),1,0)</f>
        <v>0</v>
      </c>
      <c r="Q1873" s="3">
        <f t="shared" si="505"/>
        <v>8</v>
      </c>
      <c r="R1873" s="3">
        <f>IF(AND($K1873=1,AND(对接源_02物料!$X673="公司筐",N(对接源_02物料!$U673)&lt;&gt;0)),1,0)</f>
        <v>0</v>
      </c>
      <c r="S1873" s="3">
        <f t="shared" si="506"/>
        <v>0</v>
      </c>
      <c r="T1873" s="3">
        <f>IF(AND($K1873=1,AND(对接源_02物料!$X673="公司筐",N(对接源_02物料!$V673)&lt;&gt;0)),1,0)</f>
        <v>0</v>
      </c>
      <c r="U1873" s="3">
        <f t="shared" si="507"/>
        <v>19</v>
      </c>
      <c r="V1873" s="3">
        <f>IF(AND($L1873=1,AND(对接源_02物料!$X673="自备筐",N(对接源_02物料!$V673)&lt;&gt;0)),1,0)</f>
        <v>0</v>
      </c>
      <c r="W1873" s="3">
        <f t="shared" si="508"/>
        <v>8</v>
      </c>
      <c r="X1873" s="3">
        <f>IF(AND($L1873=1,AND(对接源_02物料!$X673="自备筐",N(对接源_02物料!$T673)&lt;&gt;0)),1,0)</f>
        <v>0</v>
      </c>
      <c r="Y1873" s="3">
        <f t="shared" si="509"/>
        <v>0</v>
      </c>
      <c r="Z1873" s="3">
        <f>IF(AND($M1873=1,对接源_02物料!$D673="原料入库"),1,0)</f>
        <v>0</v>
      </c>
      <c r="AA1873" s="3">
        <f t="shared" si="510"/>
        <v>24</v>
      </c>
      <c r="AB1873" s="3">
        <f>IF(AND($M1873=1,LEFT(对接源_02物料!$D673,4)="原料出库"),1,0)</f>
        <v>0</v>
      </c>
      <c r="AC1873" s="3">
        <f t="shared" si="511"/>
        <v>0</v>
      </c>
      <c r="AD1873" s="3">
        <f>IF(AND($M1873=1,LEFT(对接源_02物料!$D673,4)="成品出库"),1,0)</f>
        <v>0</v>
      </c>
      <c r="AE1873" s="3">
        <f t="shared" si="512"/>
        <v>0</v>
      </c>
      <c r="AF1873" s="3">
        <f>IF(AND($N1873=1,AND(LEFT(对接源_02物料!$D673,4)="包装物料",N(对接源_02物料!$K673)&lt;&gt;0)),1,0)</f>
        <v>0</v>
      </c>
      <c r="AG1873" s="3">
        <f t="shared" si="513"/>
        <v>5</v>
      </c>
      <c r="AH1873" s="3">
        <f>IF(AND($N1873=1,AND(对接源_02物料!$D673="周转筐－销售出库",N(对接源_02物料!$K673)&lt;&gt;0)),1,0)</f>
        <v>0</v>
      </c>
      <c r="AI1873" s="3">
        <f t="shared" si="514"/>
        <v>0</v>
      </c>
      <c r="AL1873" s="3">
        <v>0</v>
      </c>
      <c r="AM1873" s="3">
        <f t="shared" si="515"/>
        <v>1</v>
      </c>
      <c r="AN1873" s="3" t="str">
        <f t="shared" si="502"/>
        <v/>
      </c>
      <c r="AO1873" s="3">
        <v>0</v>
      </c>
      <c r="AP1873" s="3">
        <f t="shared" si="516"/>
        <v>8</v>
      </c>
      <c r="AR1873">
        <f t="shared" si="517"/>
        <v>0</v>
      </c>
      <c r="AS1873">
        <f t="shared" si="518"/>
        <v>5</v>
      </c>
    </row>
    <row r="1874" customHeight="1" spans="1:45">
      <c r="A1874" s="3" t="str">
        <f>IF(对接源_02物料!$C674="","",对接源_02物料!$C674)</f>
        <v/>
      </c>
      <c r="B1874" s="3">
        <f t="shared" si="503"/>
        <v>0</v>
      </c>
      <c r="C1874" s="3">
        <f t="shared" si="504"/>
        <v>21</v>
      </c>
      <c r="K1874" s="3">
        <f>IF(OR($K$1="",对接源_02物料!$C674="",对接源_02物料!$C674&lt;&gt;$K$1,对接源_02物料!$B674=""),0,IF(OR(N(对接源_02物料!$B674)&lt;$K$2,N(对接源_02物料!$B674)&gt;$K$3),0,1))</f>
        <v>0</v>
      </c>
      <c r="L1874" s="3">
        <f>IF(OR($L$1="",对接源_02物料!$C674="",对接源_02物料!$C674&lt;&gt;$L$1,对接源_02物料!$B674=""),0,IF(OR(N(对接源_02物料!$B674)&lt;$L$2,N(对接源_02物料!$B674)&gt;$L$3),0,1))</f>
        <v>0</v>
      </c>
      <c r="M1874" s="3">
        <f>IF(OR($M$1="",对接源_02物料!$C674="",对接源_02物料!$C674&lt;&gt;$M$1,对接源_02物料!$B674=""),0,IF(OR(N(对接源_02物料!$B674)&lt;$M$2,N(对接源_02物料!$B674)&gt;$M$3),0,1))</f>
        <v>0</v>
      </c>
      <c r="N1874" s="3">
        <f>IF(OR($N$1="",对接源_02物料!$C674="",对接源_02物料!$C674&lt;&gt;$N$1,对接源_02物料!$B674=""),0,IF(OR(N(对接源_02物料!$B674)&lt;$N$2,N(对接源_02物料!$B674)&gt;$N$3),0,1))</f>
        <v>0</v>
      </c>
      <c r="P1874" s="3">
        <f>IF(AND($K1874=1,AND(对接源_02物料!$X674="公司筐",N(对接源_02物料!$T674)&lt;&gt;0)),1,0)</f>
        <v>0</v>
      </c>
      <c r="Q1874" s="3">
        <f t="shared" si="505"/>
        <v>8</v>
      </c>
      <c r="R1874" s="3">
        <f>IF(AND($K1874=1,AND(对接源_02物料!$X674="公司筐",N(对接源_02物料!$U674)&lt;&gt;0)),1,0)</f>
        <v>0</v>
      </c>
      <c r="S1874" s="3">
        <f t="shared" si="506"/>
        <v>0</v>
      </c>
      <c r="T1874" s="3">
        <f>IF(AND($K1874=1,AND(对接源_02物料!$X674="公司筐",N(对接源_02物料!$V674)&lt;&gt;0)),1,0)</f>
        <v>0</v>
      </c>
      <c r="U1874" s="3">
        <f t="shared" si="507"/>
        <v>19</v>
      </c>
      <c r="V1874" s="3">
        <f>IF(AND($L1874=1,AND(对接源_02物料!$X674="自备筐",N(对接源_02物料!$V674)&lt;&gt;0)),1,0)</f>
        <v>0</v>
      </c>
      <c r="W1874" s="3">
        <f t="shared" si="508"/>
        <v>8</v>
      </c>
      <c r="X1874" s="3">
        <f>IF(AND($L1874=1,AND(对接源_02物料!$X674="自备筐",N(对接源_02物料!$T674)&lt;&gt;0)),1,0)</f>
        <v>0</v>
      </c>
      <c r="Y1874" s="3">
        <f t="shared" si="509"/>
        <v>0</v>
      </c>
      <c r="Z1874" s="3">
        <f>IF(AND($M1874=1,对接源_02物料!$D674="原料入库"),1,0)</f>
        <v>0</v>
      </c>
      <c r="AA1874" s="3">
        <f t="shared" si="510"/>
        <v>24</v>
      </c>
      <c r="AB1874" s="3">
        <f>IF(AND($M1874=1,LEFT(对接源_02物料!$D674,4)="原料出库"),1,0)</f>
        <v>0</v>
      </c>
      <c r="AC1874" s="3">
        <f t="shared" si="511"/>
        <v>0</v>
      </c>
      <c r="AD1874" s="3">
        <f>IF(AND($M1874=1,LEFT(对接源_02物料!$D674,4)="成品出库"),1,0)</f>
        <v>0</v>
      </c>
      <c r="AE1874" s="3">
        <f t="shared" si="512"/>
        <v>0</v>
      </c>
      <c r="AF1874" s="3">
        <f>IF(AND($N1874=1,AND(LEFT(对接源_02物料!$D674,4)="包装物料",N(对接源_02物料!$K674)&lt;&gt;0)),1,0)</f>
        <v>0</v>
      </c>
      <c r="AG1874" s="3">
        <f t="shared" si="513"/>
        <v>5</v>
      </c>
      <c r="AH1874" s="3">
        <f>IF(AND($N1874=1,AND(对接源_02物料!$D674="周转筐－销售出库",N(对接源_02物料!$K674)&lt;&gt;0)),1,0)</f>
        <v>0</v>
      </c>
      <c r="AI1874" s="3">
        <f t="shared" si="514"/>
        <v>0</v>
      </c>
      <c r="AL1874" s="3">
        <v>0</v>
      </c>
      <c r="AM1874" s="3">
        <f t="shared" si="515"/>
        <v>1</v>
      </c>
      <c r="AN1874" s="3" t="str">
        <f t="shared" si="502"/>
        <v/>
      </c>
      <c r="AO1874" s="3">
        <v>0</v>
      </c>
      <c r="AP1874" s="3">
        <f t="shared" si="516"/>
        <v>8</v>
      </c>
      <c r="AR1874">
        <f t="shared" si="517"/>
        <v>0</v>
      </c>
      <c r="AS1874">
        <f t="shared" si="518"/>
        <v>5</v>
      </c>
    </row>
    <row r="1875" customHeight="1" spans="1:45">
      <c r="A1875" s="3" t="str">
        <f>IF(对接源_02物料!$C675="","",对接源_02物料!$C675)</f>
        <v/>
      </c>
      <c r="B1875" s="3">
        <f t="shared" si="503"/>
        <v>0</v>
      </c>
      <c r="C1875" s="3">
        <f t="shared" si="504"/>
        <v>21</v>
      </c>
      <c r="K1875" s="3">
        <f>IF(OR($K$1="",对接源_02物料!$C675="",对接源_02物料!$C675&lt;&gt;$K$1,对接源_02物料!$B675=""),0,IF(OR(N(对接源_02物料!$B675)&lt;$K$2,N(对接源_02物料!$B675)&gt;$K$3),0,1))</f>
        <v>0</v>
      </c>
      <c r="L1875" s="3">
        <f>IF(OR($L$1="",对接源_02物料!$C675="",对接源_02物料!$C675&lt;&gt;$L$1,对接源_02物料!$B675=""),0,IF(OR(N(对接源_02物料!$B675)&lt;$L$2,N(对接源_02物料!$B675)&gt;$L$3),0,1))</f>
        <v>0</v>
      </c>
      <c r="M1875" s="3">
        <f>IF(OR($M$1="",对接源_02物料!$C675="",对接源_02物料!$C675&lt;&gt;$M$1,对接源_02物料!$B675=""),0,IF(OR(N(对接源_02物料!$B675)&lt;$M$2,N(对接源_02物料!$B675)&gt;$M$3),0,1))</f>
        <v>0</v>
      </c>
      <c r="N1875" s="3">
        <f>IF(OR($N$1="",对接源_02物料!$C675="",对接源_02物料!$C675&lt;&gt;$N$1,对接源_02物料!$B675=""),0,IF(OR(N(对接源_02物料!$B675)&lt;$N$2,N(对接源_02物料!$B675)&gt;$N$3),0,1))</f>
        <v>0</v>
      </c>
      <c r="P1875" s="3">
        <f>IF(AND($K1875=1,AND(对接源_02物料!$X675="公司筐",N(对接源_02物料!$T675)&lt;&gt;0)),1,0)</f>
        <v>0</v>
      </c>
      <c r="Q1875" s="3">
        <f t="shared" si="505"/>
        <v>8</v>
      </c>
      <c r="R1875" s="3">
        <f>IF(AND($K1875=1,AND(对接源_02物料!$X675="公司筐",N(对接源_02物料!$U675)&lt;&gt;0)),1,0)</f>
        <v>0</v>
      </c>
      <c r="S1875" s="3">
        <f t="shared" si="506"/>
        <v>0</v>
      </c>
      <c r="T1875" s="3">
        <f>IF(AND($K1875=1,AND(对接源_02物料!$X675="公司筐",N(对接源_02物料!$V675)&lt;&gt;0)),1,0)</f>
        <v>0</v>
      </c>
      <c r="U1875" s="3">
        <f t="shared" si="507"/>
        <v>19</v>
      </c>
      <c r="V1875" s="3">
        <f>IF(AND($L1875=1,AND(对接源_02物料!$X675="自备筐",N(对接源_02物料!$V675)&lt;&gt;0)),1,0)</f>
        <v>0</v>
      </c>
      <c r="W1875" s="3">
        <f t="shared" si="508"/>
        <v>8</v>
      </c>
      <c r="X1875" s="3">
        <f>IF(AND($L1875=1,AND(对接源_02物料!$X675="自备筐",N(对接源_02物料!$T675)&lt;&gt;0)),1,0)</f>
        <v>0</v>
      </c>
      <c r="Y1875" s="3">
        <f t="shared" si="509"/>
        <v>0</v>
      </c>
      <c r="Z1875" s="3">
        <f>IF(AND($M1875=1,对接源_02物料!$D675="原料入库"),1,0)</f>
        <v>0</v>
      </c>
      <c r="AA1875" s="3">
        <f t="shared" si="510"/>
        <v>24</v>
      </c>
      <c r="AB1875" s="3">
        <f>IF(AND($M1875=1,LEFT(对接源_02物料!$D675,4)="原料出库"),1,0)</f>
        <v>0</v>
      </c>
      <c r="AC1875" s="3">
        <f t="shared" si="511"/>
        <v>0</v>
      </c>
      <c r="AD1875" s="3">
        <f>IF(AND($M1875=1,LEFT(对接源_02物料!$D675,4)="成品出库"),1,0)</f>
        <v>0</v>
      </c>
      <c r="AE1875" s="3">
        <f t="shared" si="512"/>
        <v>0</v>
      </c>
      <c r="AF1875" s="3">
        <f>IF(AND($N1875=1,AND(LEFT(对接源_02物料!$D675,4)="包装物料",N(对接源_02物料!$K675)&lt;&gt;0)),1,0)</f>
        <v>0</v>
      </c>
      <c r="AG1875" s="3">
        <f t="shared" si="513"/>
        <v>5</v>
      </c>
      <c r="AH1875" s="3">
        <f>IF(AND($N1875=1,AND(对接源_02物料!$D675="周转筐－销售出库",N(对接源_02物料!$K675)&lt;&gt;0)),1,0)</f>
        <v>0</v>
      </c>
      <c r="AI1875" s="3">
        <f t="shared" si="514"/>
        <v>0</v>
      </c>
      <c r="AL1875" s="3">
        <v>0</v>
      </c>
      <c r="AM1875" s="3">
        <f t="shared" si="515"/>
        <v>1</v>
      </c>
      <c r="AN1875" s="3" t="str">
        <f t="shared" si="502"/>
        <v/>
      </c>
      <c r="AO1875" s="3">
        <v>0</v>
      </c>
      <c r="AP1875" s="3">
        <f t="shared" si="516"/>
        <v>8</v>
      </c>
      <c r="AR1875">
        <f t="shared" si="517"/>
        <v>0</v>
      </c>
      <c r="AS1875">
        <f t="shared" si="518"/>
        <v>5</v>
      </c>
    </row>
    <row r="1876" customHeight="1" spans="1:45">
      <c r="A1876" s="3" t="str">
        <f>IF(对接源_02物料!$C676="","",对接源_02物料!$C676)</f>
        <v/>
      </c>
      <c r="B1876" s="3">
        <f t="shared" si="503"/>
        <v>0</v>
      </c>
      <c r="C1876" s="3">
        <f t="shared" si="504"/>
        <v>21</v>
      </c>
      <c r="K1876" s="3">
        <f>IF(OR($K$1="",对接源_02物料!$C676="",对接源_02物料!$C676&lt;&gt;$K$1,对接源_02物料!$B676=""),0,IF(OR(N(对接源_02物料!$B676)&lt;$K$2,N(对接源_02物料!$B676)&gt;$K$3),0,1))</f>
        <v>0</v>
      </c>
      <c r="L1876" s="3">
        <f>IF(OR($L$1="",对接源_02物料!$C676="",对接源_02物料!$C676&lt;&gt;$L$1,对接源_02物料!$B676=""),0,IF(OR(N(对接源_02物料!$B676)&lt;$L$2,N(对接源_02物料!$B676)&gt;$L$3),0,1))</f>
        <v>0</v>
      </c>
      <c r="M1876" s="3">
        <f>IF(OR($M$1="",对接源_02物料!$C676="",对接源_02物料!$C676&lt;&gt;$M$1,对接源_02物料!$B676=""),0,IF(OR(N(对接源_02物料!$B676)&lt;$M$2,N(对接源_02物料!$B676)&gt;$M$3),0,1))</f>
        <v>0</v>
      </c>
      <c r="N1876" s="3">
        <f>IF(OR($N$1="",对接源_02物料!$C676="",对接源_02物料!$C676&lt;&gt;$N$1,对接源_02物料!$B676=""),0,IF(OR(N(对接源_02物料!$B676)&lt;$N$2,N(对接源_02物料!$B676)&gt;$N$3),0,1))</f>
        <v>0</v>
      </c>
      <c r="P1876" s="3">
        <f>IF(AND($K1876=1,AND(对接源_02物料!$X676="公司筐",N(对接源_02物料!$T676)&lt;&gt;0)),1,0)</f>
        <v>0</v>
      </c>
      <c r="Q1876" s="3">
        <f t="shared" si="505"/>
        <v>8</v>
      </c>
      <c r="R1876" s="3">
        <f>IF(AND($K1876=1,AND(对接源_02物料!$X676="公司筐",N(对接源_02物料!$U676)&lt;&gt;0)),1,0)</f>
        <v>0</v>
      </c>
      <c r="S1876" s="3">
        <f t="shared" si="506"/>
        <v>0</v>
      </c>
      <c r="T1876" s="3">
        <f>IF(AND($K1876=1,AND(对接源_02物料!$X676="公司筐",N(对接源_02物料!$V676)&lt;&gt;0)),1,0)</f>
        <v>0</v>
      </c>
      <c r="U1876" s="3">
        <f t="shared" si="507"/>
        <v>19</v>
      </c>
      <c r="V1876" s="3">
        <f>IF(AND($L1876=1,AND(对接源_02物料!$X676="自备筐",N(对接源_02物料!$V676)&lt;&gt;0)),1,0)</f>
        <v>0</v>
      </c>
      <c r="W1876" s="3">
        <f t="shared" si="508"/>
        <v>8</v>
      </c>
      <c r="X1876" s="3">
        <f>IF(AND($L1876=1,AND(对接源_02物料!$X676="自备筐",N(对接源_02物料!$T676)&lt;&gt;0)),1,0)</f>
        <v>0</v>
      </c>
      <c r="Y1876" s="3">
        <f t="shared" si="509"/>
        <v>0</v>
      </c>
      <c r="Z1876" s="3">
        <f>IF(AND($M1876=1,对接源_02物料!$D676="原料入库"),1,0)</f>
        <v>0</v>
      </c>
      <c r="AA1876" s="3">
        <f t="shared" si="510"/>
        <v>24</v>
      </c>
      <c r="AB1876" s="3">
        <f>IF(AND($M1876=1,LEFT(对接源_02物料!$D676,4)="原料出库"),1,0)</f>
        <v>0</v>
      </c>
      <c r="AC1876" s="3">
        <f t="shared" si="511"/>
        <v>0</v>
      </c>
      <c r="AD1876" s="3">
        <f>IF(AND($M1876=1,LEFT(对接源_02物料!$D676,4)="成品出库"),1,0)</f>
        <v>0</v>
      </c>
      <c r="AE1876" s="3">
        <f t="shared" si="512"/>
        <v>0</v>
      </c>
      <c r="AF1876" s="3">
        <f>IF(AND($N1876=1,AND(LEFT(对接源_02物料!$D676,4)="包装物料",N(对接源_02物料!$K676)&lt;&gt;0)),1,0)</f>
        <v>0</v>
      </c>
      <c r="AG1876" s="3">
        <f t="shared" si="513"/>
        <v>5</v>
      </c>
      <c r="AH1876" s="3">
        <f>IF(AND($N1876=1,AND(对接源_02物料!$D676="周转筐－销售出库",N(对接源_02物料!$K676)&lt;&gt;0)),1,0)</f>
        <v>0</v>
      </c>
      <c r="AI1876" s="3">
        <f t="shared" si="514"/>
        <v>0</v>
      </c>
      <c r="AL1876" s="3">
        <v>0</v>
      </c>
      <c r="AM1876" s="3">
        <f t="shared" si="515"/>
        <v>1</v>
      </c>
      <c r="AN1876" s="3" t="str">
        <f t="shared" si="502"/>
        <v/>
      </c>
      <c r="AO1876" s="3">
        <v>0</v>
      </c>
      <c r="AP1876" s="3">
        <f t="shared" si="516"/>
        <v>8</v>
      </c>
      <c r="AR1876">
        <f t="shared" si="517"/>
        <v>0</v>
      </c>
      <c r="AS1876">
        <f t="shared" si="518"/>
        <v>5</v>
      </c>
    </row>
    <row r="1877" customHeight="1" spans="1:45">
      <c r="A1877" s="3" t="str">
        <f>IF(对接源_02物料!$C677="","",对接源_02物料!$C677)</f>
        <v/>
      </c>
      <c r="B1877" s="3">
        <f t="shared" si="503"/>
        <v>0</v>
      </c>
      <c r="C1877" s="3">
        <f t="shared" si="504"/>
        <v>21</v>
      </c>
      <c r="K1877" s="3">
        <f>IF(OR($K$1="",对接源_02物料!$C677="",对接源_02物料!$C677&lt;&gt;$K$1,对接源_02物料!$B677=""),0,IF(OR(N(对接源_02物料!$B677)&lt;$K$2,N(对接源_02物料!$B677)&gt;$K$3),0,1))</f>
        <v>0</v>
      </c>
      <c r="L1877" s="3">
        <f>IF(OR($L$1="",对接源_02物料!$C677="",对接源_02物料!$C677&lt;&gt;$L$1,对接源_02物料!$B677=""),0,IF(OR(N(对接源_02物料!$B677)&lt;$L$2,N(对接源_02物料!$B677)&gt;$L$3),0,1))</f>
        <v>0</v>
      </c>
      <c r="M1877" s="3">
        <f>IF(OR($M$1="",对接源_02物料!$C677="",对接源_02物料!$C677&lt;&gt;$M$1,对接源_02物料!$B677=""),0,IF(OR(N(对接源_02物料!$B677)&lt;$M$2,N(对接源_02物料!$B677)&gt;$M$3),0,1))</f>
        <v>0</v>
      </c>
      <c r="N1877" s="3">
        <f>IF(OR($N$1="",对接源_02物料!$C677="",对接源_02物料!$C677&lt;&gt;$N$1,对接源_02物料!$B677=""),0,IF(OR(N(对接源_02物料!$B677)&lt;$N$2,N(对接源_02物料!$B677)&gt;$N$3),0,1))</f>
        <v>0</v>
      </c>
      <c r="P1877" s="3">
        <f>IF(AND($K1877=1,AND(对接源_02物料!$X677="公司筐",N(对接源_02物料!$T677)&lt;&gt;0)),1,0)</f>
        <v>0</v>
      </c>
      <c r="Q1877" s="3">
        <f t="shared" si="505"/>
        <v>8</v>
      </c>
      <c r="R1877" s="3">
        <f>IF(AND($K1877=1,AND(对接源_02物料!$X677="公司筐",N(对接源_02物料!$U677)&lt;&gt;0)),1,0)</f>
        <v>0</v>
      </c>
      <c r="S1877" s="3">
        <f t="shared" si="506"/>
        <v>0</v>
      </c>
      <c r="T1877" s="3">
        <f>IF(AND($K1877=1,AND(对接源_02物料!$X677="公司筐",N(对接源_02物料!$V677)&lt;&gt;0)),1,0)</f>
        <v>0</v>
      </c>
      <c r="U1877" s="3">
        <f t="shared" si="507"/>
        <v>19</v>
      </c>
      <c r="V1877" s="3">
        <f>IF(AND($L1877=1,AND(对接源_02物料!$X677="自备筐",N(对接源_02物料!$V677)&lt;&gt;0)),1,0)</f>
        <v>0</v>
      </c>
      <c r="W1877" s="3">
        <f t="shared" si="508"/>
        <v>8</v>
      </c>
      <c r="X1877" s="3">
        <f>IF(AND($L1877=1,AND(对接源_02物料!$X677="自备筐",N(对接源_02物料!$T677)&lt;&gt;0)),1,0)</f>
        <v>0</v>
      </c>
      <c r="Y1877" s="3">
        <f t="shared" si="509"/>
        <v>0</v>
      </c>
      <c r="Z1877" s="3">
        <f>IF(AND($M1877=1,对接源_02物料!$D677="原料入库"),1,0)</f>
        <v>0</v>
      </c>
      <c r="AA1877" s="3">
        <f t="shared" si="510"/>
        <v>24</v>
      </c>
      <c r="AB1877" s="3">
        <f>IF(AND($M1877=1,LEFT(对接源_02物料!$D677,4)="原料出库"),1,0)</f>
        <v>0</v>
      </c>
      <c r="AC1877" s="3">
        <f t="shared" si="511"/>
        <v>0</v>
      </c>
      <c r="AD1877" s="3">
        <f>IF(AND($M1877=1,LEFT(对接源_02物料!$D677,4)="成品出库"),1,0)</f>
        <v>0</v>
      </c>
      <c r="AE1877" s="3">
        <f t="shared" si="512"/>
        <v>0</v>
      </c>
      <c r="AF1877" s="3">
        <f>IF(AND($N1877=1,AND(LEFT(对接源_02物料!$D677,4)="包装物料",N(对接源_02物料!$K677)&lt;&gt;0)),1,0)</f>
        <v>0</v>
      </c>
      <c r="AG1877" s="3">
        <f t="shared" si="513"/>
        <v>5</v>
      </c>
      <c r="AH1877" s="3">
        <f>IF(AND($N1877=1,AND(对接源_02物料!$D677="周转筐－销售出库",N(对接源_02物料!$K677)&lt;&gt;0)),1,0)</f>
        <v>0</v>
      </c>
      <c r="AI1877" s="3">
        <f t="shared" si="514"/>
        <v>0</v>
      </c>
      <c r="AL1877" s="3">
        <v>0</v>
      </c>
      <c r="AM1877" s="3">
        <f t="shared" si="515"/>
        <v>1</v>
      </c>
      <c r="AN1877" s="3" t="str">
        <f t="shared" si="502"/>
        <v/>
      </c>
      <c r="AO1877" s="3">
        <v>0</v>
      </c>
      <c r="AP1877" s="3">
        <f t="shared" si="516"/>
        <v>8</v>
      </c>
      <c r="AR1877">
        <f t="shared" si="517"/>
        <v>0</v>
      </c>
      <c r="AS1877">
        <f t="shared" si="518"/>
        <v>5</v>
      </c>
    </row>
    <row r="1878" customHeight="1" spans="1:45">
      <c r="A1878" s="3" t="str">
        <f>IF(对接源_02物料!$C678="","",对接源_02物料!$C678)</f>
        <v/>
      </c>
      <c r="B1878" s="3">
        <f t="shared" si="503"/>
        <v>0</v>
      </c>
      <c r="C1878" s="3">
        <f t="shared" si="504"/>
        <v>21</v>
      </c>
      <c r="K1878" s="3">
        <f>IF(OR($K$1="",对接源_02物料!$C678="",对接源_02物料!$C678&lt;&gt;$K$1,对接源_02物料!$B678=""),0,IF(OR(N(对接源_02物料!$B678)&lt;$K$2,N(对接源_02物料!$B678)&gt;$K$3),0,1))</f>
        <v>0</v>
      </c>
      <c r="L1878" s="3">
        <f>IF(OR($L$1="",对接源_02物料!$C678="",对接源_02物料!$C678&lt;&gt;$L$1,对接源_02物料!$B678=""),0,IF(OR(N(对接源_02物料!$B678)&lt;$L$2,N(对接源_02物料!$B678)&gt;$L$3),0,1))</f>
        <v>0</v>
      </c>
      <c r="M1878" s="3">
        <f>IF(OR($M$1="",对接源_02物料!$C678="",对接源_02物料!$C678&lt;&gt;$M$1,对接源_02物料!$B678=""),0,IF(OR(N(对接源_02物料!$B678)&lt;$M$2,N(对接源_02物料!$B678)&gt;$M$3),0,1))</f>
        <v>0</v>
      </c>
      <c r="N1878" s="3">
        <f>IF(OR($N$1="",对接源_02物料!$C678="",对接源_02物料!$C678&lt;&gt;$N$1,对接源_02物料!$B678=""),0,IF(OR(N(对接源_02物料!$B678)&lt;$N$2,N(对接源_02物料!$B678)&gt;$N$3),0,1))</f>
        <v>0</v>
      </c>
      <c r="P1878" s="3">
        <f>IF(AND($K1878=1,AND(对接源_02物料!$X678="公司筐",N(对接源_02物料!$T678)&lt;&gt;0)),1,0)</f>
        <v>0</v>
      </c>
      <c r="Q1878" s="3">
        <f t="shared" si="505"/>
        <v>8</v>
      </c>
      <c r="R1878" s="3">
        <f>IF(AND($K1878=1,AND(对接源_02物料!$X678="公司筐",N(对接源_02物料!$U678)&lt;&gt;0)),1,0)</f>
        <v>0</v>
      </c>
      <c r="S1878" s="3">
        <f t="shared" si="506"/>
        <v>0</v>
      </c>
      <c r="T1878" s="3">
        <f>IF(AND($K1878=1,AND(对接源_02物料!$X678="公司筐",N(对接源_02物料!$V678)&lt;&gt;0)),1,0)</f>
        <v>0</v>
      </c>
      <c r="U1878" s="3">
        <f t="shared" si="507"/>
        <v>19</v>
      </c>
      <c r="V1878" s="3">
        <f>IF(AND($L1878=1,AND(对接源_02物料!$X678="自备筐",N(对接源_02物料!$V678)&lt;&gt;0)),1,0)</f>
        <v>0</v>
      </c>
      <c r="W1878" s="3">
        <f t="shared" si="508"/>
        <v>8</v>
      </c>
      <c r="X1878" s="3">
        <f>IF(AND($L1878=1,AND(对接源_02物料!$X678="自备筐",N(对接源_02物料!$T678)&lt;&gt;0)),1,0)</f>
        <v>0</v>
      </c>
      <c r="Y1878" s="3">
        <f t="shared" si="509"/>
        <v>0</v>
      </c>
      <c r="Z1878" s="3">
        <f>IF(AND($M1878=1,对接源_02物料!$D678="原料入库"),1,0)</f>
        <v>0</v>
      </c>
      <c r="AA1878" s="3">
        <f t="shared" si="510"/>
        <v>24</v>
      </c>
      <c r="AB1878" s="3">
        <f>IF(AND($M1878=1,LEFT(对接源_02物料!$D678,4)="原料出库"),1,0)</f>
        <v>0</v>
      </c>
      <c r="AC1878" s="3">
        <f t="shared" si="511"/>
        <v>0</v>
      </c>
      <c r="AD1878" s="3">
        <f>IF(AND($M1878=1,LEFT(对接源_02物料!$D678,4)="成品出库"),1,0)</f>
        <v>0</v>
      </c>
      <c r="AE1878" s="3">
        <f t="shared" si="512"/>
        <v>0</v>
      </c>
      <c r="AF1878" s="3">
        <f>IF(AND($N1878=1,AND(LEFT(对接源_02物料!$D678,4)="包装物料",N(对接源_02物料!$K678)&lt;&gt;0)),1,0)</f>
        <v>0</v>
      </c>
      <c r="AG1878" s="3">
        <f t="shared" si="513"/>
        <v>5</v>
      </c>
      <c r="AH1878" s="3">
        <f>IF(AND($N1878=1,AND(对接源_02物料!$D678="周转筐－销售出库",N(对接源_02物料!$K678)&lt;&gt;0)),1,0)</f>
        <v>0</v>
      </c>
      <c r="AI1878" s="3">
        <f t="shared" si="514"/>
        <v>0</v>
      </c>
      <c r="AL1878" s="3">
        <v>0</v>
      </c>
      <c r="AM1878" s="3">
        <f t="shared" si="515"/>
        <v>1</v>
      </c>
      <c r="AN1878" s="3" t="str">
        <f t="shared" si="502"/>
        <v/>
      </c>
      <c r="AO1878" s="3">
        <v>0</v>
      </c>
      <c r="AP1878" s="3">
        <f t="shared" si="516"/>
        <v>8</v>
      </c>
      <c r="AR1878">
        <f t="shared" si="517"/>
        <v>0</v>
      </c>
      <c r="AS1878">
        <f t="shared" si="518"/>
        <v>5</v>
      </c>
    </row>
    <row r="1879" customHeight="1" spans="1:45">
      <c r="A1879" s="3" t="str">
        <f>IF(对接源_02物料!$C679="","",对接源_02物料!$C679)</f>
        <v/>
      </c>
      <c r="B1879" s="3">
        <f t="shared" si="503"/>
        <v>0</v>
      </c>
      <c r="C1879" s="3">
        <f t="shared" si="504"/>
        <v>21</v>
      </c>
      <c r="K1879" s="3">
        <f>IF(OR($K$1="",对接源_02物料!$C679="",对接源_02物料!$C679&lt;&gt;$K$1,对接源_02物料!$B679=""),0,IF(OR(N(对接源_02物料!$B679)&lt;$K$2,N(对接源_02物料!$B679)&gt;$K$3),0,1))</f>
        <v>0</v>
      </c>
      <c r="L1879" s="3">
        <f>IF(OR($L$1="",对接源_02物料!$C679="",对接源_02物料!$C679&lt;&gt;$L$1,对接源_02物料!$B679=""),0,IF(OR(N(对接源_02物料!$B679)&lt;$L$2,N(对接源_02物料!$B679)&gt;$L$3),0,1))</f>
        <v>0</v>
      </c>
      <c r="M1879" s="3">
        <f>IF(OR($M$1="",对接源_02物料!$C679="",对接源_02物料!$C679&lt;&gt;$M$1,对接源_02物料!$B679=""),0,IF(OR(N(对接源_02物料!$B679)&lt;$M$2,N(对接源_02物料!$B679)&gt;$M$3),0,1))</f>
        <v>0</v>
      </c>
      <c r="N1879" s="3">
        <f>IF(OR($N$1="",对接源_02物料!$C679="",对接源_02物料!$C679&lt;&gt;$N$1,对接源_02物料!$B679=""),0,IF(OR(N(对接源_02物料!$B679)&lt;$N$2,N(对接源_02物料!$B679)&gt;$N$3),0,1))</f>
        <v>0</v>
      </c>
      <c r="P1879" s="3">
        <f>IF(AND($K1879=1,AND(对接源_02物料!$X679="公司筐",N(对接源_02物料!$T679)&lt;&gt;0)),1,0)</f>
        <v>0</v>
      </c>
      <c r="Q1879" s="3">
        <f t="shared" si="505"/>
        <v>8</v>
      </c>
      <c r="R1879" s="3">
        <f>IF(AND($K1879=1,AND(对接源_02物料!$X679="公司筐",N(对接源_02物料!$U679)&lt;&gt;0)),1,0)</f>
        <v>0</v>
      </c>
      <c r="S1879" s="3">
        <f t="shared" si="506"/>
        <v>0</v>
      </c>
      <c r="T1879" s="3">
        <f>IF(AND($K1879=1,AND(对接源_02物料!$X679="公司筐",N(对接源_02物料!$V679)&lt;&gt;0)),1,0)</f>
        <v>0</v>
      </c>
      <c r="U1879" s="3">
        <f t="shared" si="507"/>
        <v>19</v>
      </c>
      <c r="V1879" s="3">
        <f>IF(AND($L1879=1,AND(对接源_02物料!$X679="自备筐",N(对接源_02物料!$V679)&lt;&gt;0)),1,0)</f>
        <v>0</v>
      </c>
      <c r="W1879" s="3">
        <f t="shared" si="508"/>
        <v>8</v>
      </c>
      <c r="X1879" s="3">
        <f>IF(AND($L1879=1,AND(对接源_02物料!$X679="自备筐",N(对接源_02物料!$T679)&lt;&gt;0)),1,0)</f>
        <v>0</v>
      </c>
      <c r="Y1879" s="3">
        <f t="shared" si="509"/>
        <v>0</v>
      </c>
      <c r="Z1879" s="3">
        <f>IF(AND($M1879=1,对接源_02物料!$D679="原料入库"),1,0)</f>
        <v>0</v>
      </c>
      <c r="AA1879" s="3">
        <f t="shared" si="510"/>
        <v>24</v>
      </c>
      <c r="AB1879" s="3">
        <f>IF(AND($M1879=1,LEFT(对接源_02物料!$D679,4)="原料出库"),1,0)</f>
        <v>0</v>
      </c>
      <c r="AC1879" s="3">
        <f t="shared" si="511"/>
        <v>0</v>
      </c>
      <c r="AD1879" s="3">
        <f>IF(AND($M1879=1,LEFT(对接源_02物料!$D679,4)="成品出库"),1,0)</f>
        <v>0</v>
      </c>
      <c r="AE1879" s="3">
        <f t="shared" si="512"/>
        <v>0</v>
      </c>
      <c r="AF1879" s="3">
        <f>IF(AND($N1879=1,AND(LEFT(对接源_02物料!$D679,4)="包装物料",N(对接源_02物料!$K679)&lt;&gt;0)),1,0)</f>
        <v>0</v>
      </c>
      <c r="AG1879" s="3">
        <f t="shared" si="513"/>
        <v>5</v>
      </c>
      <c r="AH1879" s="3">
        <f>IF(AND($N1879=1,AND(对接源_02物料!$D679="周转筐－销售出库",N(对接源_02物料!$K679)&lt;&gt;0)),1,0)</f>
        <v>0</v>
      </c>
      <c r="AI1879" s="3">
        <f t="shared" si="514"/>
        <v>0</v>
      </c>
      <c r="AL1879" s="3">
        <v>0</v>
      </c>
      <c r="AM1879" s="3">
        <f t="shared" si="515"/>
        <v>1</v>
      </c>
      <c r="AN1879" s="3" t="str">
        <f t="shared" si="502"/>
        <v/>
      </c>
      <c r="AO1879" s="3">
        <v>0</v>
      </c>
      <c r="AP1879" s="3">
        <f t="shared" si="516"/>
        <v>8</v>
      </c>
      <c r="AR1879">
        <f t="shared" si="517"/>
        <v>0</v>
      </c>
      <c r="AS1879">
        <f t="shared" si="518"/>
        <v>5</v>
      </c>
    </row>
    <row r="1880" customHeight="1" spans="1:45">
      <c r="A1880" s="3" t="str">
        <f>IF(对接源_02物料!$C680="","",对接源_02物料!$C680)</f>
        <v/>
      </c>
      <c r="B1880" s="3">
        <f t="shared" si="503"/>
        <v>0</v>
      </c>
      <c r="C1880" s="3">
        <f t="shared" si="504"/>
        <v>21</v>
      </c>
      <c r="K1880" s="3">
        <f>IF(OR($K$1="",对接源_02物料!$C680="",对接源_02物料!$C680&lt;&gt;$K$1,对接源_02物料!$B680=""),0,IF(OR(N(对接源_02物料!$B680)&lt;$K$2,N(对接源_02物料!$B680)&gt;$K$3),0,1))</f>
        <v>0</v>
      </c>
      <c r="L1880" s="3">
        <f>IF(OR($L$1="",对接源_02物料!$C680="",对接源_02物料!$C680&lt;&gt;$L$1,对接源_02物料!$B680=""),0,IF(OR(N(对接源_02物料!$B680)&lt;$L$2,N(对接源_02物料!$B680)&gt;$L$3),0,1))</f>
        <v>0</v>
      </c>
      <c r="M1880" s="3">
        <f>IF(OR($M$1="",对接源_02物料!$C680="",对接源_02物料!$C680&lt;&gt;$M$1,对接源_02物料!$B680=""),0,IF(OR(N(对接源_02物料!$B680)&lt;$M$2,N(对接源_02物料!$B680)&gt;$M$3),0,1))</f>
        <v>0</v>
      </c>
      <c r="N1880" s="3">
        <f>IF(OR($N$1="",对接源_02物料!$C680="",对接源_02物料!$C680&lt;&gt;$N$1,对接源_02物料!$B680=""),0,IF(OR(N(对接源_02物料!$B680)&lt;$N$2,N(对接源_02物料!$B680)&gt;$N$3),0,1))</f>
        <v>0</v>
      </c>
      <c r="P1880" s="3">
        <f>IF(AND($K1880=1,AND(对接源_02物料!$X680="公司筐",N(对接源_02物料!$T680)&lt;&gt;0)),1,0)</f>
        <v>0</v>
      </c>
      <c r="Q1880" s="3">
        <f t="shared" si="505"/>
        <v>8</v>
      </c>
      <c r="R1880" s="3">
        <f>IF(AND($K1880=1,AND(对接源_02物料!$X680="公司筐",N(对接源_02物料!$U680)&lt;&gt;0)),1,0)</f>
        <v>0</v>
      </c>
      <c r="S1880" s="3">
        <f t="shared" si="506"/>
        <v>0</v>
      </c>
      <c r="T1880" s="3">
        <f>IF(AND($K1880=1,AND(对接源_02物料!$X680="公司筐",N(对接源_02物料!$V680)&lt;&gt;0)),1,0)</f>
        <v>0</v>
      </c>
      <c r="U1880" s="3">
        <f t="shared" si="507"/>
        <v>19</v>
      </c>
      <c r="V1880" s="3">
        <f>IF(AND($L1880=1,AND(对接源_02物料!$X680="自备筐",N(对接源_02物料!$V680)&lt;&gt;0)),1,0)</f>
        <v>0</v>
      </c>
      <c r="W1880" s="3">
        <f t="shared" si="508"/>
        <v>8</v>
      </c>
      <c r="X1880" s="3">
        <f>IF(AND($L1880=1,AND(对接源_02物料!$X680="自备筐",N(对接源_02物料!$T680)&lt;&gt;0)),1,0)</f>
        <v>0</v>
      </c>
      <c r="Y1880" s="3">
        <f t="shared" si="509"/>
        <v>0</v>
      </c>
      <c r="Z1880" s="3">
        <f>IF(AND($M1880=1,对接源_02物料!$D680="原料入库"),1,0)</f>
        <v>0</v>
      </c>
      <c r="AA1880" s="3">
        <f t="shared" si="510"/>
        <v>24</v>
      </c>
      <c r="AB1880" s="3">
        <f>IF(AND($M1880=1,LEFT(对接源_02物料!$D680,4)="原料出库"),1,0)</f>
        <v>0</v>
      </c>
      <c r="AC1880" s="3">
        <f t="shared" si="511"/>
        <v>0</v>
      </c>
      <c r="AD1880" s="3">
        <f>IF(AND($M1880=1,LEFT(对接源_02物料!$D680,4)="成品出库"),1,0)</f>
        <v>0</v>
      </c>
      <c r="AE1880" s="3">
        <f t="shared" si="512"/>
        <v>0</v>
      </c>
      <c r="AF1880" s="3">
        <f>IF(AND($N1880=1,AND(LEFT(对接源_02物料!$D680,4)="包装物料",N(对接源_02物料!$K680)&lt;&gt;0)),1,0)</f>
        <v>0</v>
      </c>
      <c r="AG1880" s="3">
        <f t="shared" si="513"/>
        <v>5</v>
      </c>
      <c r="AH1880" s="3">
        <f>IF(AND($N1880=1,AND(对接源_02物料!$D680="周转筐－销售出库",N(对接源_02物料!$K680)&lt;&gt;0)),1,0)</f>
        <v>0</v>
      </c>
      <c r="AI1880" s="3">
        <f t="shared" si="514"/>
        <v>0</v>
      </c>
      <c r="AL1880" s="3">
        <v>0</v>
      </c>
      <c r="AM1880" s="3">
        <f t="shared" si="515"/>
        <v>1</v>
      </c>
      <c r="AN1880" s="3" t="str">
        <f t="shared" si="502"/>
        <v/>
      </c>
      <c r="AO1880" s="3">
        <v>0</v>
      </c>
      <c r="AP1880" s="3">
        <f t="shared" si="516"/>
        <v>8</v>
      </c>
      <c r="AR1880">
        <f t="shared" si="517"/>
        <v>0</v>
      </c>
      <c r="AS1880">
        <f t="shared" si="518"/>
        <v>5</v>
      </c>
    </row>
    <row r="1881" customHeight="1" spans="1:45">
      <c r="A1881" s="3" t="str">
        <f>IF(对接源_02物料!$C681="","",对接源_02物料!$C681)</f>
        <v/>
      </c>
      <c r="B1881" s="3">
        <f t="shared" si="503"/>
        <v>0</v>
      </c>
      <c r="C1881" s="3">
        <f t="shared" si="504"/>
        <v>21</v>
      </c>
      <c r="K1881" s="3">
        <f>IF(OR($K$1="",对接源_02物料!$C681="",对接源_02物料!$C681&lt;&gt;$K$1,对接源_02物料!$B681=""),0,IF(OR(N(对接源_02物料!$B681)&lt;$K$2,N(对接源_02物料!$B681)&gt;$K$3),0,1))</f>
        <v>0</v>
      </c>
      <c r="L1881" s="3">
        <f>IF(OR($L$1="",对接源_02物料!$C681="",对接源_02物料!$C681&lt;&gt;$L$1,对接源_02物料!$B681=""),0,IF(OR(N(对接源_02物料!$B681)&lt;$L$2,N(对接源_02物料!$B681)&gt;$L$3),0,1))</f>
        <v>0</v>
      </c>
      <c r="M1881" s="3">
        <f>IF(OR($M$1="",对接源_02物料!$C681="",对接源_02物料!$C681&lt;&gt;$M$1,对接源_02物料!$B681=""),0,IF(OR(N(对接源_02物料!$B681)&lt;$M$2,N(对接源_02物料!$B681)&gt;$M$3),0,1))</f>
        <v>0</v>
      </c>
      <c r="N1881" s="3">
        <f>IF(OR($N$1="",对接源_02物料!$C681="",对接源_02物料!$C681&lt;&gt;$N$1,对接源_02物料!$B681=""),0,IF(OR(N(对接源_02物料!$B681)&lt;$N$2,N(对接源_02物料!$B681)&gt;$N$3),0,1))</f>
        <v>0</v>
      </c>
      <c r="P1881" s="3">
        <f>IF(AND($K1881=1,AND(对接源_02物料!$X681="公司筐",N(对接源_02物料!$T681)&lt;&gt;0)),1,0)</f>
        <v>0</v>
      </c>
      <c r="Q1881" s="3">
        <f t="shared" si="505"/>
        <v>8</v>
      </c>
      <c r="R1881" s="3">
        <f>IF(AND($K1881=1,AND(对接源_02物料!$X681="公司筐",N(对接源_02物料!$U681)&lt;&gt;0)),1,0)</f>
        <v>0</v>
      </c>
      <c r="S1881" s="3">
        <f t="shared" si="506"/>
        <v>0</v>
      </c>
      <c r="T1881" s="3">
        <f>IF(AND($K1881=1,AND(对接源_02物料!$X681="公司筐",N(对接源_02物料!$V681)&lt;&gt;0)),1,0)</f>
        <v>0</v>
      </c>
      <c r="U1881" s="3">
        <f t="shared" si="507"/>
        <v>19</v>
      </c>
      <c r="V1881" s="3">
        <f>IF(AND($L1881=1,AND(对接源_02物料!$X681="自备筐",N(对接源_02物料!$V681)&lt;&gt;0)),1,0)</f>
        <v>0</v>
      </c>
      <c r="W1881" s="3">
        <f t="shared" si="508"/>
        <v>8</v>
      </c>
      <c r="X1881" s="3">
        <f>IF(AND($L1881=1,AND(对接源_02物料!$X681="自备筐",N(对接源_02物料!$T681)&lt;&gt;0)),1,0)</f>
        <v>0</v>
      </c>
      <c r="Y1881" s="3">
        <f t="shared" si="509"/>
        <v>0</v>
      </c>
      <c r="Z1881" s="3">
        <f>IF(AND($M1881=1,对接源_02物料!$D681="原料入库"),1,0)</f>
        <v>0</v>
      </c>
      <c r="AA1881" s="3">
        <f t="shared" si="510"/>
        <v>24</v>
      </c>
      <c r="AB1881" s="3">
        <f>IF(AND($M1881=1,LEFT(对接源_02物料!$D681,4)="原料出库"),1,0)</f>
        <v>0</v>
      </c>
      <c r="AC1881" s="3">
        <f t="shared" si="511"/>
        <v>0</v>
      </c>
      <c r="AD1881" s="3">
        <f>IF(AND($M1881=1,LEFT(对接源_02物料!$D681,4)="成品出库"),1,0)</f>
        <v>0</v>
      </c>
      <c r="AE1881" s="3">
        <f t="shared" si="512"/>
        <v>0</v>
      </c>
      <c r="AF1881" s="3">
        <f>IF(AND($N1881=1,AND(LEFT(对接源_02物料!$D681,4)="包装物料",N(对接源_02物料!$K681)&lt;&gt;0)),1,0)</f>
        <v>0</v>
      </c>
      <c r="AG1881" s="3">
        <f t="shared" si="513"/>
        <v>5</v>
      </c>
      <c r="AH1881" s="3">
        <f>IF(AND($N1881=1,AND(对接源_02物料!$D681="周转筐－销售出库",N(对接源_02物料!$K681)&lt;&gt;0)),1,0)</f>
        <v>0</v>
      </c>
      <c r="AI1881" s="3">
        <f t="shared" si="514"/>
        <v>0</v>
      </c>
      <c r="AL1881" s="3">
        <v>0</v>
      </c>
      <c r="AM1881" s="3">
        <f t="shared" si="515"/>
        <v>1</v>
      </c>
      <c r="AN1881" s="3" t="str">
        <f t="shared" si="502"/>
        <v/>
      </c>
      <c r="AO1881" s="3">
        <v>0</v>
      </c>
      <c r="AP1881" s="3">
        <f t="shared" si="516"/>
        <v>8</v>
      </c>
      <c r="AR1881">
        <f t="shared" si="517"/>
        <v>0</v>
      </c>
      <c r="AS1881">
        <f t="shared" si="518"/>
        <v>5</v>
      </c>
    </row>
    <row r="1882" customHeight="1" spans="1:45">
      <c r="A1882" s="3" t="str">
        <f>IF(对接源_02物料!$C682="","",对接源_02物料!$C682)</f>
        <v/>
      </c>
      <c r="B1882" s="3">
        <f t="shared" si="503"/>
        <v>0</v>
      </c>
      <c r="C1882" s="3">
        <f t="shared" si="504"/>
        <v>21</v>
      </c>
      <c r="K1882" s="3">
        <f>IF(OR($K$1="",对接源_02物料!$C682="",对接源_02物料!$C682&lt;&gt;$K$1,对接源_02物料!$B682=""),0,IF(OR(N(对接源_02物料!$B682)&lt;$K$2,N(对接源_02物料!$B682)&gt;$K$3),0,1))</f>
        <v>0</v>
      </c>
      <c r="L1882" s="3">
        <f>IF(OR($L$1="",对接源_02物料!$C682="",对接源_02物料!$C682&lt;&gt;$L$1,对接源_02物料!$B682=""),0,IF(OR(N(对接源_02物料!$B682)&lt;$L$2,N(对接源_02物料!$B682)&gt;$L$3),0,1))</f>
        <v>0</v>
      </c>
      <c r="M1882" s="3">
        <f>IF(OR($M$1="",对接源_02物料!$C682="",对接源_02物料!$C682&lt;&gt;$M$1,对接源_02物料!$B682=""),0,IF(OR(N(对接源_02物料!$B682)&lt;$M$2,N(对接源_02物料!$B682)&gt;$M$3),0,1))</f>
        <v>0</v>
      </c>
      <c r="N1882" s="3">
        <f>IF(OR($N$1="",对接源_02物料!$C682="",对接源_02物料!$C682&lt;&gt;$N$1,对接源_02物料!$B682=""),0,IF(OR(N(对接源_02物料!$B682)&lt;$N$2,N(对接源_02物料!$B682)&gt;$N$3),0,1))</f>
        <v>0</v>
      </c>
      <c r="P1882" s="3">
        <f>IF(AND($K1882=1,AND(对接源_02物料!$X682="公司筐",N(对接源_02物料!$T682)&lt;&gt;0)),1,0)</f>
        <v>0</v>
      </c>
      <c r="Q1882" s="3">
        <f t="shared" si="505"/>
        <v>8</v>
      </c>
      <c r="R1882" s="3">
        <f>IF(AND($K1882=1,AND(对接源_02物料!$X682="公司筐",N(对接源_02物料!$U682)&lt;&gt;0)),1,0)</f>
        <v>0</v>
      </c>
      <c r="S1882" s="3">
        <f t="shared" si="506"/>
        <v>0</v>
      </c>
      <c r="T1882" s="3">
        <f>IF(AND($K1882=1,AND(对接源_02物料!$X682="公司筐",N(对接源_02物料!$V682)&lt;&gt;0)),1,0)</f>
        <v>0</v>
      </c>
      <c r="U1882" s="3">
        <f t="shared" si="507"/>
        <v>19</v>
      </c>
      <c r="V1882" s="3">
        <f>IF(AND($L1882=1,AND(对接源_02物料!$X682="自备筐",N(对接源_02物料!$V682)&lt;&gt;0)),1,0)</f>
        <v>0</v>
      </c>
      <c r="W1882" s="3">
        <f t="shared" si="508"/>
        <v>8</v>
      </c>
      <c r="X1882" s="3">
        <f>IF(AND($L1882=1,AND(对接源_02物料!$X682="自备筐",N(对接源_02物料!$T682)&lt;&gt;0)),1,0)</f>
        <v>0</v>
      </c>
      <c r="Y1882" s="3">
        <f t="shared" si="509"/>
        <v>0</v>
      </c>
      <c r="Z1882" s="3">
        <f>IF(AND($M1882=1,对接源_02物料!$D682="原料入库"),1,0)</f>
        <v>0</v>
      </c>
      <c r="AA1882" s="3">
        <f t="shared" si="510"/>
        <v>24</v>
      </c>
      <c r="AB1882" s="3">
        <f>IF(AND($M1882=1,LEFT(对接源_02物料!$D682,4)="原料出库"),1,0)</f>
        <v>0</v>
      </c>
      <c r="AC1882" s="3">
        <f t="shared" si="511"/>
        <v>0</v>
      </c>
      <c r="AD1882" s="3">
        <f>IF(AND($M1882=1,LEFT(对接源_02物料!$D682,4)="成品出库"),1,0)</f>
        <v>0</v>
      </c>
      <c r="AE1882" s="3">
        <f t="shared" si="512"/>
        <v>0</v>
      </c>
      <c r="AF1882" s="3">
        <f>IF(AND($N1882=1,AND(LEFT(对接源_02物料!$D682,4)="包装物料",N(对接源_02物料!$K682)&lt;&gt;0)),1,0)</f>
        <v>0</v>
      </c>
      <c r="AG1882" s="3">
        <f t="shared" si="513"/>
        <v>5</v>
      </c>
      <c r="AH1882" s="3">
        <f>IF(AND($N1882=1,AND(对接源_02物料!$D682="周转筐－销售出库",N(对接源_02物料!$K682)&lt;&gt;0)),1,0)</f>
        <v>0</v>
      </c>
      <c r="AI1882" s="3">
        <f t="shared" si="514"/>
        <v>0</v>
      </c>
      <c r="AL1882" s="3">
        <v>0</v>
      </c>
      <c r="AM1882" s="3">
        <f t="shared" si="515"/>
        <v>1</v>
      </c>
      <c r="AN1882" s="3" t="str">
        <f t="shared" si="502"/>
        <v/>
      </c>
      <c r="AO1882" s="3">
        <v>0</v>
      </c>
      <c r="AP1882" s="3">
        <f t="shared" si="516"/>
        <v>8</v>
      </c>
      <c r="AR1882">
        <f t="shared" si="517"/>
        <v>0</v>
      </c>
      <c r="AS1882">
        <f t="shared" si="518"/>
        <v>5</v>
      </c>
    </row>
    <row r="1883" customHeight="1" spans="1:45">
      <c r="A1883" s="3" t="str">
        <f>IF(对接源_02物料!$C683="","",对接源_02物料!$C683)</f>
        <v/>
      </c>
      <c r="B1883" s="3">
        <f t="shared" si="503"/>
        <v>0</v>
      </c>
      <c r="C1883" s="3">
        <f t="shared" si="504"/>
        <v>21</v>
      </c>
      <c r="K1883" s="3">
        <f>IF(OR($K$1="",对接源_02物料!$C683="",对接源_02物料!$C683&lt;&gt;$K$1,对接源_02物料!$B683=""),0,IF(OR(N(对接源_02物料!$B683)&lt;$K$2,N(对接源_02物料!$B683)&gt;$K$3),0,1))</f>
        <v>0</v>
      </c>
      <c r="L1883" s="3">
        <f>IF(OR($L$1="",对接源_02物料!$C683="",对接源_02物料!$C683&lt;&gt;$L$1,对接源_02物料!$B683=""),0,IF(OR(N(对接源_02物料!$B683)&lt;$L$2,N(对接源_02物料!$B683)&gt;$L$3),0,1))</f>
        <v>0</v>
      </c>
      <c r="M1883" s="3">
        <f>IF(OR($M$1="",对接源_02物料!$C683="",对接源_02物料!$C683&lt;&gt;$M$1,对接源_02物料!$B683=""),0,IF(OR(N(对接源_02物料!$B683)&lt;$M$2,N(对接源_02物料!$B683)&gt;$M$3),0,1))</f>
        <v>0</v>
      </c>
      <c r="N1883" s="3">
        <f>IF(OR($N$1="",对接源_02物料!$C683="",对接源_02物料!$C683&lt;&gt;$N$1,对接源_02物料!$B683=""),0,IF(OR(N(对接源_02物料!$B683)&lt;$N$2,N(对接源_02物料!$B683)&gt;$N$3),0,1))</f>
        <v>0</v>
      </c>
      <c r="P1883" s="3">
        <f>IF(AND($K1883=1,AND(对接源_02物料!$X683="公司筐",N(对接源_02物料!$T683)&lt;&gt;0)),1,0)</f>
        <v>0</v>
      </c>
      <c r="Q1883" s="3">
        <f t="shared" si="505"/>
        <v>8</v>
      </c>
      <c r="R1883" s="3">
        <f>IF(AND($K1883=1,AND(对接源_02物料!$X683="公司筐",N(对接源_02物料!$U683)&lt;&gt;0)),1,0)</f>
        <v>0</v>
      </c>
      <c r="S1883" s="3">
        <f t="shared" si="506"/>
        <v>0</v>
      </c>
      <c r="T1883" s="3">
        <f>IF(AND($K1883=1,AND(对接源_02物料!$X683="公司筐",N(对接源_02物料!$V683)&lt;&gt;0)),1,0)</f>
        <v>0</v>
      </c>
      <c r="U1883" s="3">
        <f t="shared" si="507"/>
        <v>19</v>
      </c>
      <c r="V1883" s="3">
        <f>IF(AND($L1883=1,AND(对接源_02物料!$X683="自备筐",N(对接源_02物料!$V683)&lt;&gt;0)),1,0)</f>
        <v>0</v>
      </c>
      <c r="W1883" s="3">
        <f t="shared" si="508"/>
        <v>8</v>
      </c>
      <c r="X1883" s="3">
        <f>IF(AND($L1883=1,AND(对接源_02物料!$X683="自备筐",N(对接源_02物料!$T683)&lt;&gt;0)),1,0)</f>
        <v>0</v>
      </c>
      <c r="Y1883" s="3">
        <f t="shared" si="509"/>
        <v>0</v>
      </c>
      <c r="Z1883" s="3">
        <f>IF(AND($M1883=1,对接源_02物料!$D683="原料入库"),1,0)</f>
        <v>0</v>
      </c>
      <c r="AA1883" s="3">
        <f t="shared" si="510"/>
        <v>24</v>
      </c>
      <c r="AB1883" s="3">
        <f>IF(AND($M1883=1,LEFT(对接源_02物料!$D683,4)="原料出库"),1,0)</f>
        <v>0</v>
      </c>
      <c r="AC1883" s="3">
        <f t="shared" si="511"/>
        <v>0</v>
      </c>
      <c r="AD1883" s="3">
        <f>IF(AND($M1883=1,LEFT(对接源_02物料!$D683,4)="成品出库"),1,0)</f>
        <v>0</v>
      </c>
      <c r="AE1883" s="3">
        <f t="shared" si="512"/>
        <v>0</v>
      </c>
      <c r="AF1883" s="3">
        <f>IF(AND($N1883=1,AND(LEFT(对接源_02物料!$D683,4)="包装物料",N(对接源_02物料!$K683)&lt;&gt;0)),1,0)</f>
        <v>0</v>
      </c>
      <c r="AG1883" s="3">
        <f t="shared" si="513"/>
        <v>5</v>
      </c>
      <c r="AH1883" s="3">
        <f>IF(AND($N1883=1,AND(对接源_02物料!$D683="周转筐－销售出库",N(对接源_02物料!$K683)&lt;&gt;0)),1,0)</f>
        <v>0</v>
      </c>
      <c r="AI1883" s="3">
        <f t="shared" si="514"/>
        <v>0</v>
      </c>
      <c r="AL1883" s="3">
        <v>0</v>
      </c>
      <c r="AM1883" s="3">
        <f t="shared" si="515"/>
        <v>1</v>
      </c>
      <c r="AN1883" s="3" t="str">
        <f t="shared" si="502"/>
        <v/>
      </c>
      <c r="AO1883" s="3">
        <v>0</v>
      </c>
      <c r="AP1883" s="3">
        <f t="shared" si="516"/>
        <v>8</v>
      </c>
      <c r="AR1883">
        <f t="shared" si="517"/>
        <v>0</v>
      </c>
      <c r="AS1883">
        <f t="shared" si="518"/>
        <v>5</v>
      </c>
    </row>
    <row r="1884" customHeight="1" spans="1:45">
      <c r="A1884" s="3" t="str">
        <f>IF(对接源_02物料!$C684="","",对接源_02物料!$C684)</f>
        <v/>
      </c>
      <c r="B1884" s="3">
        <f t="shared" si="503"/>
        <v>0</v>
      </c>
      <c r="C1884" s="3">
        <f t="shared" si="504"/>
        <v>21</v>
      </c>
      <c r="K1884" s="3">
        <f>IF(OR($K$1="",对接源_02物料!$C684="",对接源_02物料!$C684&lt;&gt;$K$1,对接源_02物料!$B684=""),0,IF(OR(N(对接源_02物料!$B684)&lt;$K$2,N(对接源_02物料!$B684)&gt;$K$3),0,1))</f>
        <v>0</v>
      </c>
      <c r="L1884" s="3">
        <f>IF(OR($L$1="",对接源_02物料!$C684="",对接源_02物料!$C684&lt;&gt;$L$1,对接源_02物料!$B684=""),0,IF(OR(N(对接源_02物料!$B684)&lt;$L$2,N(对接源_02物料!$B684)&gt;$L$3),0,1))</f>
        <v>0</v>
      </c>
      <c r="M1884" s="3">
        <f>IF(OR($M$1="",对接源_02物料!$C684="",对接源_02物料!$C684&lt;&gt;$M$1,对接源_02物料!$B684=""),0,IF(OR(N(对接源_02物料!$B684)&lt;$M$2,N(对接源_02物料!$B684)&gt;$M$3),0,1))</f>
        <v>0</v>
      </c>
      <c r="N1884" s="3">
        <f>IF(OR($N$1="",对接源_02物料!$C684="",对接源_02物料!$C684&lt;&gt;$N$1,对接源_02物料!$B684=""),0,IF(OR(N(对接源_02物料!$B684)&lt;$N$2,N(对接源_02物料!$B684)&gt;$N$3),0,1))</f>
        <v>0</v>
      </c>
      <c r="P1884" s="3">
        <f>IF(AND($K1884=1,AND(对接源_02物料!$X684="公司筐",N(对接源_02物料!$T684)&lt;&gt;0)),1,0)</f>
        <v>0</v>
      </c>
      <c r="Q1884" s="3">
        <f t="shared" si="505"/>
        <v>8</v>
      </c>
      <c r="R1884" s="3">
        <f>IF(AND($K1884=1,AND(对接源_02物料!$X684="公司筐",N(对接源_02物料!$U684)&lt;&gt;0)),1,0)</f>
        <v>0</v>
      </c>
      <c r="S1884" s="3">
        <f t="shared" si="506"/>
        <v>0</v>
      </c>
      <c r="T1884" s="3">
        <f>IF(AND($K1884=1,AND(对接源_02物料!$X684="公司筐",N(对接源_02物料!$V684)&lt;&gt;0)),1,0)</f>
        <v>0</v>
      </c>
      <c r="U1884" s="3">
        <f t="shared" si="507"/>
        <v>19</v>
      </c>
      <c r="V1884" s="3">
        <f>IF(AND($L1884=1,AND(对接源_02物料!$X684="自备筐",N(对接源_02物料!$V684)&lt;&gt;0)),1,0)</f>
        <v>0</v>
      </c>
      <c r="W1884" s="3">
        <f t="shared" si="508"/>
        <v>8</v>
      </c>
      <c r="X1884" s="3">
        <f>IF(AND($L1884=1,AND(对接源_02物料!$X684="自备筐",N(对接源_02物料!$T684)&lt;&gt;0)),1,0)</f>
        <v>0</v>
      </c>
      <c r="Y1884" s="3">
        <f t="shared" si="509"/>
        <v>0</v>
      </c>
      <c r="Z1884" s="3">
        <f>IF(AND($M1884=1,对接源_02物料!$D684="原料入库"),1,0)</f>
        <v>0</v>
      </c>
      <c r="AA1884" s="3">
        <f t="shared" si="510"/>
        <v>24</v>
      </c>
      <c r="AB1884" s="3">
        <f>IF(AND($M1884=1,LEFT(对接源_02物料!$D684,4)="原料出库"),1,0)</f>
        <v>0</v>
      </c>
      <c r="AC1884" s="3">
        <f t="shared" si="511"/>
        <v>0</v>
      </c>
      <c r="AD1884" s="3">
        <f>IF(AND($M1884=1,LEFT(对接源_02物料!$D684,4)="成品出库"),1,0)</f>
        <v>0</v>
      </c>
      <c r="AE1884" s="3">
        <f t="shared" si="512"/>
        <v>0</v>
      </c>
      <c r="AF1884" s="3">
        <f>IF(AND($N1884=1,AND(LEFT(对接源_02物料!$D684,4)="包装物料",N(对接源_02物料!$K684)&lt;&gt;0)),1,0)</f>
        <v>0</v>
      </c>
      <c r="AG1884" s="3">
        <f t="shared" si="513"/>
        <v>5</v>
      </c>
      <c r="AH1884" s="3">
        <f>IF(AND($N1884=1,AND(对接源_02物料!$D684="周转筐－销售出库",N(对接源_02物料!$K684)&lt;&gt;0)),1,0)</f>
        <v>0</v>
      </c>
      <c r="AI1884" s="3">
        <f t="shared" si="514"/>
        <v>0</v>
      </c>
      <c r="AL1884" s="3">
        <v>0</v>
      </c>
      <c r="AM1884" s="3">
        <f t="shared" si="515"/>
        <v>1</v>
      </c>
      <c r="AN1884" s="3" t="str">
        <f t="shared" si="502"/>
        <v/>
      </c>
      <c r="AO1884" s="3">
        <v>0</v>
      </c>
      <c r="AP1884" s="3">
        <f t="shared" si="516"/>
        <v>8</v>
      </c>
      <c r="AR1884">
        <f t="shared" si="517"/>
        <v>0</v>
      </c>
      <c r="AS1884">
        <f t="shared" si="518"/>
        <v>5</v>
      </c>
    </row>
    <row r="1885" customHeight="1" spans="1:45">
      <c r="A1885" s="3" t="str">
        <f>IF(对接源_02物料!$C685="","",对接源_02物料!$C685)</f>
        <v/>
      </c>
      <c r="B1885" s="3">
        <f t="shared" si="503"/>
        <v>0</v>
      </c>
      <c r="C1885" s="3">
        <f t="shared" si="504"/>
        <v>21</v>
      </c>
      <c r="K1885" s="3">
        <f>IF(OR($K$1="",对接源_02物料!$C685="",对接源_02物料!$C685&lt;&gt;$K$1,对接源_02物料!$B685=""),0,IF(OR(N(对接源_02物料!$B685)&lt;$K$2,N(对接源_02物料!$B685)&gt;$K$3),0,1))</f>
        <v>0</v>
      </c>
      <c r="L1885" s="3">
        <f>IF(OR($L$1="",对接源_02物料!$C685="",对接源_02物料!$C685&lt;&gt;$L$1,对接源_02物料!$B685=""),0,IF(OR(N(对接源_02物料!$B685)&lt;$L$2,N(对接源_02物料!$B685)&gt;$L$3),0,1))</f>
        <v>0</v>
      </c>
      <c r="M1885" s="3">
        <f>IF(OR($M$1="",对接源_02物料!$C685="",对接源_02物料!$C685&lt;&gt;$M$1,对接源_02物料!$B685=""),0,IF(OR(N(对接源_02物料!$B685)&lt;$M$2,N(对接源_02物料!$B685)&gt;$M$3),0,1))</f>
        <v>0</v>
      </c>
      <c r="N1885" s="3">
        <f>IF(OR($N$1="",对接源_02物料!$C685="",对接源_02物料!$C685&lt;&gt;$N$1,对接源_02物料!$B685=""),0,IF(OR(N(对接源_02物料!$B685)&lt;$N$2,N(对接源_02物料!$B685)&gt;$N$3),0,1))</f>
        <v>0</v>
      </c>
      <c r="P1885" s="3">
        <f>IF(AND($K1885=1,AND(对接源_02物料!$X685="公司筐",N(对接源_02物料!$T685)&lt;&gt;0)),1,0)</f>
        <v>0</v>
      </c>
      <c r="Q1885" s="3">
        <f t="shared" si="505"/>
        <v>8</v>
      </c>
      <c r="R1885" s="3">
        <f>IF(AND($K1885=1,AND(对接源_02物料!$X685="公司筐",N(对接源_02物料!$U685)&lt;&gt;0)),1,0)</f>
        <v>0</v>
      </c>
      <c r="S1885" s="3">
        <f t="shared" si="506"/>
        <v>0</v>
      </c>
      <c r="T1885" s="3">
        <f>IF(AND($K1885=1,AND(对接源_02物料!$X685="公司筐",N(对接源_02物料!$V685)&lt;&gt;0)),1,0)</f>
        <v>0</v>
      </c>
      <c r="U1885" s="3">
        <f t="shared" si="507"/>
        <v>19</v>
      </c>
      <c r="V1885" s="3">
        <f>IF(AND($L1885=1,AND(对接源_02物料!$X685="自备筐",N(对接源_02物料!$V685)&lt;&gt;0)),1,0)</f>
        <v>0</v>
      </c>
      <c r="W1885" s="3">
        <f t="shared" si="508"/>
        <v>8</v>
      </c>
      <c r="X1885" s="3">
        <f>IF(AND($L1885=1,AND(对接源_02物料!$X685="自备筐",N(对接源_02物料!$T685)&lt;&gt;0)),1,0)</f>
        <v>0</v>
      </c>
      <c r="Y1885" s="3">
        <f t="shared" si="509"/>
        <v>0</v>
      </c>
      <c r="Z1885" s="3">
        <f>IF(AND($M1885=1,对接源_02物料!$D685="原料入库"),1,0)</f>
        <v>0</v>
      </c>
      <c r="AA1885" s="3">
        <f t="shared" si="510"/>
        <v>24</v>
      </c>
      <c r="AB1885" s="3">
        <f>IF(AND($M1885=1,LEFT(对接源_02物料!$D685,4)="原料出库"),1,0)</f>
        <v>0</v>
      </c>
      <c r="AC1885" s="3">
        <f t="shared" si="511"/>
        <v>0</v>
      </c>
      <c r="AD1885" s="3">
        <f>IF(AND($M1885=1,LEFT(对接源_02物料!$D685,4)="成品出库"),1,0)</f>
        <v>0</v>
      </c>
      <c r="AE1885" s="3">
        <f t="shared" si="512"/>
        <v>0</v>
      </c>
      <c r="AF1885" s="3">
        <f>IF(AND($N1885=1,AND(LEFT(对接源_02物料!$D685,4)="包装物料",N(对接源_02物料!$K685)&lt;&gt;0)),1,0)</f>
        <v>0</v>
      </c>
      <c r="AG1885" s="3">
        <f t="shared" si="513"/>
        <v>5</v>
      </c>
      <c r="AH1885" s="3">
        <f>IF(AND($N1885=1,AND(对接源_02物料!$D685="周转筐－销售出库",N(对接源_02物料!$K685)&lt;&gt;0)),1,0)</f>
        <v>0</v>
      </c>
      <c r="AI1885" s="3">
        <f t="shared" si="514"/>
        <v>0</v>
      </c>
      <c r="AL1885" s="3">
        <v>0</v>
      </c>
      <c r="AM1885" s="3">
        <f t="shared" si="515"/>
        <v>1</v>
      </c>
      <c r="AN1885" s="3" t="str">
        <f t="shared" si="502"/>
        <v/>
      </c>
      <c r="AO1885" s="3">
        <v>0</v>
      </c>
      <c r="AP1885" s="3">
        <f t="shared" si="516"/>
        <v>8</v>
      </c>
      <c r="AR1885">
        <f t="shared" si="517"/>
        <v>0</v>
      </c>
      <c r="AS1885">
        <f t="shared" si="518"/>
        <v>5</v>
      </c>
    </row>
    <row r="1886" customHeight="1" spans="1:45">
      <c r="A1886" s="3" t="str">
        <f>IF(对接源_02物料!$C686="","",对接源_02物料!$C686)</f>
        <v/>
      </c>
      <c r="B1886" s="3">
        <f t="shared" si="503"/>
        <v>0</v>
      </c>
      <c r="C1886" s="3">
        <f t="shared" si="504"/>
        <v>21</v>
      </c>
      <c r="K1886" s="3">
        <f>IF(OR($K$1="",对接源_02物料!$C686="",对接源_02物料!$C686&lt;&gt;$K$1,对接源_02物料!$B686=""),0,IF(OR(N(对接源_02物料!$B686)&lt;$K$2,N(对接源_02物料!$B686)&gt;$K$3),0,1))</f>
        <v>0</v>
      </c>
      <c r="L1886" s="3">
        <f>IF(OR($L$1="",对接源_02物料!$C686="",对接源_02物料!$C686&lt;&gt;$L$1,对接源_02物料!$B686=""),0,IF(OR(N(对接源_02物料!$B686)&lt;$L$2,N(对接源_02物料!$B686)&gt;$L$3),0,1))</f>
        <v>0</v>
      </c>
      <c r="M1886" s="3">
        <f>IF(OR($M$1="",对接源_02物料!$C686="",对接源_02物料!$C686&lt;&gt;$M$1,对接源_02物料!$B686=""),0,IF(OR(N(对接源_02物料!$B686)&lt;$M$2,N(对接源_02物料!$B686)&gt;$M$3),0,1))</f>
        <v>0</v>
      </c>
      <c r="N1886" s="3">
        <f>IF(OR($N$1="",对接源_02物料!$C686="",对接源_02物料!$C686&lt;&gt;$N$1,对接源_02物料!$B686=""),0,IF(OR(N(对接源_02物料!$B686)&lt;$N$2,N(对接源_02物料!$B686)&gt;$N$3),0,1))</f>
        <v>0</v>
      </c>
      <c r="P1886" s="3">
        <f>IF(AND($K1886=1,AND(对接源_02物料!$X686="公司筐",N(对接源_02物料!$T686)&lt;&gt;0)),1,0)</f>
        <v>0</v>
      </c>
      <c r="Q1886" s="3">
        <f t="shared" si="505"/>
        <v>8</v>
      </c>
      <c r="R1886" s="3">
        <f>IF(AND($K1886=1,AND(对接源_02物料!$X686="公司筐",N(对接源_02物料!$U686)&lt;&gt;0)),1,0)</f>
        <v>0</v>
      </c>
      <c r="S1886" s="3">
        <f t="shared" si="506"/>
        <v>0</v>
      </c>
      <c r="T1886" s="3">
        <f>IF(AND($K1886=1,AND(对接源_02物料!$X686="公司筐",N(对接源_02物料!$V686)&lt;&gt;0)),1,0)</f>
        <v>0</v>
      </c>
      <c r="U1886" s="3">
        <f t="shared" si="507"/>
        <v>19</v>
      </c>
      <c r="V1886" s="3">
        <f>IF(AND($L1886=1,AND(对接源_02物料!$X686="自备筐",N(对接源_02物料!$V686)&lt;&gt;0)),1,0)</f>
        <v>0</v>
      </c>
      <c r="W1886" s="3">
        <f t="shared" si="508"/>
        <v>8</v>
      </c>
      <c r="X1886" s="3">
        <f>IF(AND($L1886=1,AND(对接源_02物料!$X686="自备筐",N(对接源_02物料!$T686)&lt;&gt;0)),1,0)</f>
        <v>0</v>
      </c>
      <c r="Y1886" s="3">
        <f t="shared" si="509"/>
        <v>0</v>
      </c>
      <c r="Z1886" s="3">
        <f>IF(AND($M1886=1,对接源_02物料!$D686="原料入库"),1,0)</f>
        <v>0</v>
      </c>
      <c r="AA1886" s="3">
        <f t="shared" si="510"/>
        <v>24</v>
      </c>
      <c r="AB1886" s="3">
        <f>IF(AND($M1886=1,LEFT(对接源_02物料!$D686,4)="原料出库"),1,0)</f>
        <v>0</v>
      </c>
      <c r="AC1886" s="3">
        <f t="shared" si="511"/>
        <v>0</v>
      </c>
      <c r="AD1886" s="3">
        <f>IF(AND($M1886=1,LEFT(对接源_02物料!$D686,4)="成品出库"),1,0)</f>
        <v>0</v>
      </c>
      <c r="AE1886" s="3">
        <f t="shared" si="512"/>
        <v>0</v>
      </c>
      <c r="AF1886" s="3">
        <f>IF(AND($N1886=1,AND(LEFT(对接源_02物料!$D686,4)="包装物料",N(对接源_02物料!$K686)&lt;&gt;0)),1,0)</f>
        <v>0</v>
      </c>
      <c r="AG1886" s="3">
        <f t="shared" si="513"/>
        <v>5</v>
      </c>
      <c r="AH1886" s="3">
        <f>IF(AND($N1886=1,AND(对接源_02物料!$D686="周转筐－销售出库",N(对接源_02物料!$K686)&lt;&gt;0)),1,0)</f>
        <v>0</v>
      </c>
      <c r="AI1886" s="3">
        <f t="shared" si="514"/>
        <v>0</v>
      </c>
      <c r="AL1886" s="3">
        <v>0</v>
      </c>
      <c r="AM1886" s="3">
        <f t="shared" si="515"/>
        <v>1</v>
      </c>
      <c r="AN1886" s="3" t="str">
        <f t="shared" si="502"/>
        <v/>
      </c>
      <c r="AO1886" s="3">
        <v>0</v>
      </c>
      <c r="AP1886" s="3">
        <f t="shared" si="516"/>
        <v>8</v>
      </c>
      <c r="AR1886">
        <f t="shared" si="517"/>
        <v>0</v>
      </c>
      <c r="AS1886">
        <f t="shared" si="518"/>
        <v>5</v>
      </c>
    </row>
    <row r="1887" customHeight="1" spans="1:45">
      <c r="A1887" s="3" t="str">
        <f>IF(对接源_02物料!$C687="","",对接源_02物料!$C687)</f>
        <v/>
      </c>
      <c r="B1887" s="3">
        <f t="shared" si="503"/>
        <v>0</v>
      </c>
      <c r="C1887" s="3">
        <f t="shared" si="504"/>
        <v>21</v>
      </c>
      <c r="K1887" s="3">
        <f>IF(OR($K$1="",对接源_02物料!$C687="",对接源_02物料!$C687&lt;&gt;$K$1,对接源_02物料!$B687=""),0,IF(OR(N(对接源_02物料!$B687)&lt;$K$2,N(对接源_02物料!$B687)&gt;$K$3),0,1))</f>
        <v>0</v>
      </c>
      <c r="L1887" s="3">
        <f>IF(OR($L$1="",对接源_02物料!$C687="",对接源_02物料!$C687&lt;&gt;$L$1,对接源_02物料!$B687=""),0,IF(OR(N(对接源_02物料!$B687)&lt;$L$2,N(对接源_02物料!$B687)&gt;$L$3),0,1))</f>
        <v>0</v>
      </c>
      <c r="M1887" s="3">
        <f>IF(OR($M$1="",对接源_02物料!$C687="",对接源_02物料!$C687&lt;&gt;$M$1,对接源_02物料!$B687=""),0,IF(OR(N(对接源_02物料!$B687)&lt;$M$2,N(对接源_02物料!$B687)&gt;$M$3),0,1))</f>
        <v>0</v>
      </c>
      <c r="N1887" s="3">
        <f>IF(OR($N$1="",对接源_02物料!$C687="",对接源_02物料!$C687&lt;&gt;$N$1,对接源_02物料!$B687=""),0,IF(OR(N(对接源_02物料!$B687)&lt;$N$2,N(对接源_02物料!$B687)&gt;$N$3),0,1))</f>
        <v>0</v>
      </c>
      <c r="P1887" s="3">
        <f>IF(AND($K1887=1,AND(对接源_02物料!$X687="公司筐",N(对接源_02物料!$T687)&lt;&gt;0)),1,0)</f>
        <v>0</v>
      </c>
      <c r="Q1887" s="3">
        <f t="shared" si="505"/>
        <v>8</v>
      </c>
      <c r="R1887" s="3">
        <f>IF(AND($K1887=1,AND(对接源_02物料!$X687="公司筐",N(对接源_02物料!$U687)&lt;&gt;0)),1,0)</f>
        <v>0</v>
      </c>
      <c r="S1887" s="3">
        <f t="shared" si="506"/>
        <v>0</v>
      </c>
      <c r="T1887" s="3">
        <f>IF(AND($K1887=1,AND(对接源_02物料!$X687="公司筐",N(对接源_02物料!$V687)&lt;&gt;0)),1,0)</f>
        <v>0</v>
      </c>
      <c r="U1887" s="3">
        <f t="shared" si="507"/>
        <v>19</v>
      </c>
      <c r="V1887" s="3">
        <f>IF(AND($L1887=1,AND(对接源_02物料!$X687="自备筐",N(对接源_02物料!$V687)&lt;&gt;0)),1,0)</f>
        <v>0</v>
      </c>
      <c r="W1887" s="3">
        <f t="shared" si="508"/>
        <v>8</v>
      </c>
      <c r="X1887" s="3">
        <f>IF(AND($L1887=1,AND(对接源_02物料!$X687="自备筐",N(对接源_02物料!$T687)&lt;&gt;0)),1,0)</f>
        <v>0</v>
      </c>
      <c r="Y1887" s="3">
        <f t="shared" si="509"/>
        <v>0</v>
      </c>
      <c r="Z1887" s="3">
        <f>IF(AND($M1887=1,对接源_02物料!$D687="原料入库"),1,0)</f>
        <v>0</v>
      </c>
      <c r="AA1887" s="3">
        <f t="shared" si="510"/>
        <v>24</v>
      </c>
      <c r="AB1887" s="3">
        <f>IF(AND($M1887=1,LEFT(对接源_02物料!$D687,4)="原料出库"),1,0)</f>
        <v>0</v>
      </c>
      <c r="AC1887" s="3">
        <f t="shared" si="511"/>
        <v>0</v>
      </c>
      <c r="AD1887" s="3">
        <f>IF(AND($M1887=1,LEFT(对接源_02物料!$D687,4)="成品出库"),1,0)</f>
        <v>0</v>
      </c>
      <c r="AE1887" s="3">
        <f t="shared" si="512"/>
        <v>0</v>
      </c>
      <c r="AF1887" s="3">
        <f>IF(AND($N1887=1,AND(LEFT(对接源_02物料!$D687,4)="包装物料",N(对接源_02物料!$K687)&lt;&gt;0)),1,0)</f>
        <v>0</v>
      </c>
      <c r="AG1887" s="3">
        <f t="shared" si="513"/>
        <v>5</v>
      </c>
      <c r="AH1887" s="3">
        <f>IF(AND($N1887=1,AND(对接源_02物料!$D687="周转筐－销售出库",N(对接源_02物料!$K687)&lt;&gt;0)),1,0)</f>
        <v>0</v>
      </c>
      <c r="AI1887" s="3">
        <f t="shared" si="514"/>
        <v>0</v>
      </c>
      <c r="AL1887" s="3">
        <v>0</v>
      </c>
      <c r="AM1887" s="3">
        <f t="shared" si="515"/>
        <v>1</v>
      </c>
      <c r="AN1887" s="3" t="str">
        <f t="shared" si="502"/>
        <v/>
      </c>
      <c r="AO1887" s="3">
        <v>0</v>
      </c>
      <c r="AP1887" s="3">
        <f t="shared" si="516"/>
        <v>8</v>
      </c>
      <c r="AR1887">
        <f t="shared" si="517"/>
        <v>0</v>
      </c>
      <c r="AS1887">
        <f t="shared" si="518"/>
        <v>5</v>
      </c>
    </row>
    <row r="1888" customHeight="1" spans="1:45">
      <c r="A1888" s="3" t="str">
        <f>IF(对接源_02物料!$C688="","",对接源_02物料!$C688)</f>
        <v/>
      </c>
      <c r="B1888" s="3">
        <f t="shared" si="503"/>
        <v>0</v>
      </c>
      <c r="C1888" s="3">
        <f t="shared" si="504"/>
        <v>21</v>
      </c>
      <c r="K1888" s="3">
        <f>IF(OR($K$1="",对接源_02物料!$C688="",对接源_02物料!$C688&lt;&gt;$K$1,对接源_02物料!$B688=""),0,IF(OR(N(对接源_02物料!$B688)&lt;$K$2,N(对接源_02物料!$B688)&gt;$K$3),0,1))</f>
        <v>0</v>
      </c>
      <c r="L1888" s="3">
        <f>IF(OR($L$1="",对接源_02物料!$C688="",对接源_02物料!$C688&lt;&gt;$L$1,对接源_02物料!$B688=""),0,IF(OR(N(对接源_02物料!$B688)&lt;$L$2,N(对接源_02物料!$B688)&gt;$L$3),0,1))</f>
        <v>0</v>
      </c>
      <c r="M1888" s="3">
        <f>IF(OR($M$1="",对接源_02物料!$C688="",对接源_02物料!$C688&lt;&gt;$M$1,对接源_02物料!$B688=""),0,IF(OR(N(对接源_02物料!$B688)&lt;$M$2,N(对接源_02物料!$B688)&gt;$M$3),0,1))</f>
        <v>0</v>
      </c>
      <c r="N1888" s="3">
        <f>IF(OR($N$1="",对接源_02物料!$C688="",对接源_02物料!$C688&lt;&gt;$N$1,对接源_02物料!$B688=""),0,IF(OR(N(对接源_02物料!$B688)&lt;$N$2,N(对接源_02物料!$B688)&gt;$N$3),0,1))</f>
        <v>0</v>
      </c>
      <c r="P1888" s="3">
        <f>IF(AND($K1888=1,AND(对接源_02物料!$X688="公司筐",N(对接源_02物料!$T688)&lt;&gt;0)),1,0)</f>
        <v>0</v>
      </c>
      <c r="Q1888" s="3">
        <f t="shared" si="505"/>
        <v>8</v>
      </c>
      <c r="R1888" s="3">
        <f>IF(AND($K1888=1,AND(对接源_02物料!$X688="公司筐",N(对接源_02物料!$U688)&lt;&gt;0)),1,0)</f>
        <v>0</v>
      </c>
      <c r="S1888" s="3">
        <f t="shared" si="506"/>
        <v>0</v>
      </c>
      <c r="T1888" s="3">
        <f>IF(AND($K1888=1,AND(对接源_02物料!$X688="公司筐",N(对接源_02物料!$V688)&lt;&gt;0)),1,0)</f>
        <v>0</v>
      </c>
      <c r="U1888" s="3">
        <f t="shared" si="507"/>
        <v>19</v>
      </c>
      <c r="V1888" s="3">
        <f>IF(AND($L1888=1,AND(对接源_02物料!$X688="自备筐",N(对接源_02物料!$V688)&lt;&gt;0)),1,0)</f>
        <v>0</v>
      </c>
      <c r="W1888" s="3">
        <f t="shared" si="508"/>
        <v>8</v>
      </c>
      <c r="X1888" s="3">
        <f>IF(AND($L1888=1,AND(对接源_02物料!$X688="自备筐",N(对接源_02物料!$T688)&lt;&gt;0)),1,0)</f>
        <v>0</v>
      </c>
      <c r="Y1888" s="3">
        <f t="shared" si="509"/>
        <v>0</v>
      </c>
      <c r="Z1888" s="3">
        <f>IF(AND($M1888=1,对接源_02物料!$D688="原料入库"),1,0)</f>
        <v>0</v>
      </c>
      <c r="AA1888" s="3">
        <f t="shared" si="510"/>
        <v>24</v>
      </c>
      <c r="AB1888" s="3">
        <f>IF(AND($M1888=1,LEFT(对接源_02物料!$D688,4)="原料出库"),1,0)</f>
        <v>0</v>
      </c>
      <c r="AC1888" s="3">
        <f t="shared" si="511"/>
        <v>0</v>
      </c>
      <c r="AD1888" s="3">
        <f>IF(AND($M1888=1,LEFT(对接源_02物料!$D688,4)="成品出库"),1,0)</f>
        <v>0</v>
      </c>
      <c r="AE1888" s="3">
        <f t="shared" si="512"/>
        <v>0</v>
      </c>
      <c r="AF1888" s="3">
        <f>IF(AND($N1888=1,AND(LEFT(对接源_02物料!$D688,4)="包装物料",N(对接源_02物料!$K688)&lt;&gt;0)),1,0)</f>
        <v>0</v>
      </c>
      <c r="AG1888" s="3">
        <f t="shared" si="513"/>
        <v>5</v>
      </c>
      <c r="AH1888" s="3">
        <f>IF(AND($N1888=1,AND(对接源_02物料!$D688="周转筐－销售出库",N(对接源_02物料!$K688)&lt;&gt;0)),1,0)</f>
        <v>0</v>
      </c>
      <c r="AI1888" s="3">
        <f t="shared" si="514"/>
        <v>0</v>
      </c>
      <c r="AL1888" s="3">
        <v>0</v>
      </c>
      <c r="AM1888" s="3">
        <f t="shared" si="515"/>
        <v>1</v>
      </c>
      <c r="AN1888" s="3" t="str">
        <f t="shared" si="502"/>
        <v/>
      </c>
      <c r="AO1888" s="3">
        <v>0</v>
      </c>
      <c r="AP1888" s="3">
        <f t="shared" si="516"/>
        <v>8</v>
      </c>
      <c r="AR1888">
        <f t="shared" si="517"/>
        <v>0</v>
      </c>
      <c r="AS1888">
        <f t="shared" si="518"/>
        <v>5</v>
      </c>
    </row>
    <row r="1889" customHeight="1" spans="1:45">
      <c r="A1889" s="3" t="str">
        <f>IF(对接源_02物料!$C689="","",对接源_02物料!$C689)</f>
        <v/>
      </c>
      <c r="B1889" s="3">
        <f t="shared" si="503"/>
        <v>0</v>
      </c>
      <c r="C1889" s="3">
        <f t="shared" si="504"/>
        <v>21</v>
      </c>
      <c r="K1889" s="3">
        <f>IF(OR($K$1="",对接源_02物料!$C689="",对接源_02物料!$C689&lt;&gt;$K$1,对接源_02物料!$B689=""),0,IF(OR(N(对接源_02物料!$B689)&lt;$K$2,N(对接源_02物料!$B689)&gt;$K$3),0,1))</f>
        <v>0</v>
      </c>
      <c r="L1889" s="3">
        <f>IF(OR($L$1="",对接源_02物料!$C689="",对接源_02物料!$C689&lt;&gt;$L$1,对接源_02物料!$B689=""),0,IF(OR(N(对接源_02物料!$B689)&lt;$L$2,N(对接源_02物料!$B689)&gt;$L$3),0,1))</f>
        <v>0</v>
      </c>
      <c r="M1889" s="3">
        <f>IF(OR($M$1="",对接源_02物料!$C689="",对接源_02物料!$C689&lt;&gt;$M$1,对接源_02物料!$B689=""),0,IF(OR(N(对接源_02物料!$B689)&lt;$M$2,N(对接源_02物料!$B689)&gt;$M$3),0,1))</f>
        <v>0</v>
      </c>
      <c r="N1889" s="3">
        <f>IF(OR($N$1="",对接源_02物料!$C689="",对接源_02物料!$C689&lt;&gt;$N$1,对接源_02物料!$B689=""),0,IF(OR(N(对接源_02物料!$B689)&lt;$N$2,N(对接源_02物料!$B689)&gt;$N$3),0,1))</f>
        <v>0</v>
      </c>
      <c r="P1889" s="3">
        <f>IF(AND($K1889=1,AND(对接源_02物料!$X689="公司筐",N(对接源_02物料!$T689)&lt;&gt;0)),1,0)</f>
        <v>0</v>
      </c>
      <c r="Q1889" s="3">
        <f t="shared" si="505"/>
        <v>8</v>
      </c>
      <c r="R1889" s="3">
        <f>IF(AND($K1889=1,AND(对接源_02物料!$X689="公司筐",N(对接源_02物料!$U689)&lt;&gt;0)),1,0)</f>
        <v>0</v>
      </c>
      <c r="S1889" s="3">
        <f t="shared" si="506"/>
        <v>0</v>
      </c>
      <c r="T1889" s="3">
        <f>IF(AND($K1889=1,AND(对接源_02物料!$X689="公司筐",N(对接源_02物料!$V689)&lt;&gt;0)),1,0)</f>
        <v>0</v>
      </c>
      <c r="U1889" s="3">
        <f t="shared" si="507"/>
        <v>19</v>
      </c>
      <c r="V1889" s="3">
        <f>IF(AND($L1889=1,AND(对接源_02物料!$X689="自备筐",N(对接源_02物料!$V689)&lt;&gt;0)),1,0)</f>
        <v>0</v>
      </c>
      <c r="W1889" s="3">
        <f t="shared" si="508"/>
        <v>8</v>
      </c>
      <c r="X1889" s="3">
        <f>IF(AND($L1889=1,AND(对接源_02物料!$X689="自备筐",N(对接源_02物料!$T689)&lt;&gt;0)),1,0)</f>
        <v>0</v>
      </c>
      <c r="Y1889" s="3">
        <f t="shared" si="509"/>
        <v>0</v>
      </c>
      <c r="Z1889" s="3">
        <f>IF(AND($M1889=1,对接源_02物料!$D689="原料入库"),1,0)</f>
        <v>0</v>
      </c>
      <c r="AA1889" s="3">
        <f t="shared" si="510"/>
        <v>24</v>
      </c>
      <c r="AB1889" s="3">
        <f>IF(AND($M1889=1,LEFT(对接源_02物料!$D689,4)="原料出库"),1,0)</f>
        <v>0</v>
      </c>
      <c r="AC1889" s="3">
        <f t="shared" si="511"/>
        <v>0</v>
      </c>
      <c r="AD1889" s="3">
        <f>IF(AND($M1889=1,LEFT(对接源_02物料!$D689,4)="成品出库"),1,0)</f>
        <v>0</v>
      </c>
      <c r="AE1889" s="3">
        <f t="shared" si="512"/>
        <v>0</v>
      </c>
      <c r="AF1889" s="3">
        <f>IF(AND($N1889=1,AND(LEFT(对接源_02物料!$D689,4)="包装物料",N(对接源_02物料!$K689)&lt;&gt;0)),1,0)</f>
        <v>0</v>
      </c>
      <c r="AG1889" s="3">
        <f t="shared" si="513"/>
        <v>5</v>
      </c>
      <c r="AH1889" s="3">
        <f>IF(AND($N1889=1,AND(对接源_02物料!$D689="周转筐－销售出库",N(对接源_02物料!$K689)&lt;&gt;0)),1,0)</f>
        <v>0</v>
      </c>
      <c r="AI1889" s="3">
        <f t="shared" si="514"/>
        <v>0</v>
      </c>
      <c r="AL1889" s="3">
        <v>0</v>
      </c>
      <c r="AM1889" s="3">
        <f t="shared" si="515"/>
        <v>1</v>
      </c>
      <c r="AN1889" s="3" t="str">
        <f t="shared" si="502"/>
        <v/>
      </c>
      <c r="AO1889" s="3">
        <v>0</v>
      </c>
      <c r="AP1889" s="3">
        <f t="shared" si="516"/>
        <v>8</v>
      </c>
      <c r="AR1889">
        <f t="shared" si="517"/>
        <v>0</v>
      </c>
      <c r="AS1889">
        <f t="shared" si="518"/>
        <v>5</v>
      </c>
    </row>
    <row r="1890" customHeight="1" spans="1:45">
      <c r="A1890" s="3" t="str">
        <f>IF(对接源_02物料!$C690="","",对接源_02物料!$C690)</f>
        <v/>
      </c>
      <c r="B1890" s="3">
        <f t="shared" si="503"/>
        <v>0</v>
      </c>
      <c r="C1890" s="3">
        <f t="shared" si="504"/>
        <v>21</v>
      </c>
      <c r="K1890" s="3">
        <f>IF(OR($K$1="",对接源_02物料!$C690="",对接源_02物料!$C690&lt;&gt;$K$1,对接源_02物料!$B690=""),0,IF(OR(N(对接源_02物料!$B690)&lt;$K$2,N(对接源_02物料!$B690)&gt;$K$3),0,1))</f>
        <v>0</v>
      </c>
      <c r="L1890" s="3">
        <f>IF(OR($L$1="",对接源_02物料!$C690="",对接源_02物料!$C690&lt;&gt;$L$1,对接源_02物料!$B690=""),0,IF(OR(N(对接源_02物料!$B690)&lt;$L$2,N(对接源_02物料!$B690)&gt;$L$3),0,1))</f>
        <v>0</v>
      </c>
      <c r="M1890" s="3">
        <f>IF(OR($M$1="",对接源_02物料!$C690="",对接源_02物料!$C690&lt;&gt;$M$1,对接源_02物料!$B690=""),0,IF(OR(N(对接源_02物料!$B690)&lt;$M$2,N(对接源_02物料!$B690)&gt;$M$3),0,1))</f>
        <v>0</v>
      </c>
      <c r="N1890" s="3">
        <f>IF(OR($N$1="",对接源_02物料!$C690="",对接源_02物料!$C690&lt;&gt;$N$1,对接源_02物料!$B690=""),0,IF(OR(N(对接源_02物料!$B690)&lt;$N$2,N(对接源_02物料!$B690)&gt;$N$3),0,1))</f>
        <v>0</v>
      </c>
      <c r="P1890" s="3">
        <f>IF(AND($K1890=1,AND(对接源_02物料!$X690="公司筐",N(对接源_02物料!$T690)&lt;&gt;0)),1,0)</f>
        <v>0</v>
      </c>
      <c r="Q1890" s="3">
        <f t="shared" si="505"/>
        <v>8</v>
      </c>
      <c r="R1890" s="3">
        <f>IF(AND($K1890=1,AND(对接源_02物料!$X690="公司筐",N(对接源_02物料!$U690)&lt;&gt;0)),1,0)</f>
        <v>0</v>
      </c>
      <c r="S1890" s="3">
        <f t="shared" si="506"/>
        <v>0</v>
      </c>
      <c r="T1890" s="3">
        <f>IF(AND($K1890=1,AND(对接源_02物料!$X690="公司筐",N(对接源_02物料!$V690)&lt;&gt;0)),1,0)</f>
        <v>0</v>
      </c>
      <c r="U1890" s="3">
        <f t="shared" si="507"/>
        <v>19</v>
      </c>
      <c r="V1890" s="3">
        <f>IF(AND($L1890=1,AND(对接源_02物料!$X690="自备筐",N(对接源_02物料!$V690)&lt;&gt;0)),1,0)</f>
        <v>0</v>
      </c>
      <c r="W1890" s="3">
        <f t="shared" si="508"/>
        <v>8</v>
      </c>
      <c r="X1890" s="3">
        <f>IF(AND($L1890=1,AND(对接源_02物料!$X690="自备筐",N(对接源_02物料!$T690)&lt;&gt;0)),1,0)</f>
        <v>0</v>
      </c>
      <c r="Y1890" s="3">
        <f t="shared" si="509"/>
        <v>0</v>
      </c>
      <c r="Z1890" s="3">
        <f>IF(AND($M1890=1,对接源_02物料!$D690="原料入库"),1,0)</f>
        <v>0</v>
      </c>
      <c r="AA1890" s="3">
        <f t="shared" si="510"/>
        <v>24</v>
      </c>
      <c r="AB1890" s="3">
        <f>IF(AND($M1890=1,LEFT(对接源_02物料!$D690,4)="原料出库"),1,0)</f>
        <v>0</v>
      </c>
      <c r="AC1890" s="3">
        <f t="shared" si="511"/>
        <v>0</v>
      </c>
      <c r="AD1890" s="3">
        <f>IF(AND($M1890=1,LEFT(对接源_02物料!$D690,4)="成品出库"),1,0)</f>
        <v>0</v>
      </c>
      <c r="AE1890" s="3">
        <f t="shared" si="512"/>
        <v>0</v>
      </c>
      <c r="AF1890" s="3">
        <f>IF(AND($N1890=1,AND(LEFT(对接源_02物料!$D690,4)="包装物料",N(对接源_02物料!$K690)&lt;&gt;0)),1,0)</f>
        <v>0</v>
      </c>
      <c r="AG1890" s="3">
        <f t="shared" si="513"/>
        <v>5</v>
      </c>
      <c r="AH1890" s="3">
        <f>IF(AND($N1890=1,AND(对接源_02物料!$D690="周转筐－销售出库",N(对接源_02物料!$K690)&lt;&gt;0)),1,0)</f>
        <v>0</v>
      </c>
      <c r="AI1890" s="3">
        <f t="shared" si="514"/>
        <v>0</v>
      </c>
      <c r="AL1890" s="3">
        <v>0</v>
      </c>
      <c r="AM1890" s="3">
        <f t="shared" si="515"/>
        <v>1</v>
      </c>
      <c r="AN1890" s="3" t="str">
        <f t="shared" si="502"/>
        <v/>
      </c>
      <c r="AO1890" s="3">
        <v>0</v>
      </c>
      <c r="AP1890" s="3">
        <f t="shared" si="516"/>
        <v>8</v>
      </c>
      <c r="AR1890">
        <f t="shared" si="517"/>
        <v>0</v>
      </c>
      <c r="AS1890">
        <f t="shared" si="518"/>
        <v>5</v>
      </c>
    </row>
    <row r="1891" customHeight="1" spans="1:45">
      <c r="A1891" s="3" t="str">
        <f>IF(对接源_02物料!$C691="","",对接源_02物料!$C691)</f>
        <v/>
      </c>
      <c r="B1891" s="3">
        <f t="shared" si="503"/>
        <v>0</v>
      </c>
      <c r="C1891" s="3">
        <f t="shared" si="504"/>
        <v>21</v>
      </c>
      <c r="K1891" s="3">
        <f>IF(OR($K$1="",对接源_02物料!$C691="",对接源_02物料!$C691&lt;&gt;$K$1,对接源_02物料!$B691=""),0,IF(OR(N(对接源_02物料!$B691)&lt;$K$2,N(对接源_02物料!$B691)&gt;$K$3),0,1))</f>
        <v>0</v>
      </c>
      <c r="L1891" s="3">
        <f>IF(OR($L$1="",对接源_02物料!$C691="",对接源_02物料!$C691&lt;&gt;$L$1,对接源_02物料!$B691=""),0,IF(OR(N(对接源_02物料!$B691)&lt;$L$2,N(对接源_02物料!$B691)&gt;$L$3),0,1))</f>
        <v>0</v>
      </c>
      <c r="M1891" s="3">
        <f>IF(OR($M$1="",对接源_02物料!$C691="",对接源_02物料!$C691&lt;&gt;$M$1,对接源_02物料!$B691=""),0,IF(OR(N(对接源_02物料!$B691)&lt;$M$2,N(对接源_02物料!$B691)&gt;$M$3),0,1))</f>
        <v>0</v>
      </c>
      <c r="N1891" s="3">
        <f>IF(OR($N$1="",对接源_02物料!$C691="",对接源_02物料!$C691&lt;&gt;$N$1,对接源_02物料!$B691=""),0,IF(OR(N(对接源_02物料!$B691)&lt;$N$2,N(对接源_02物料!$B691)&gt;$N$3),0,1))</f>
        <v>0</v>
      </c>
      <c r="P1891" s="3">
        <f>IF(AND($K1891=1,AND(对接源_02物料!$X691="公司筐",N(对接源_02物料!$T691)&lt;&gt;0)),1,0)</f>
        <v>0</v>
      </c>
      <c r="Q1891" s="3">
        <f t="shared" si="505"/>
        <v>8</v>
      </c>
      <c r="R1891" s="3">
        <f>IF(AND($K1891=1,AND(对接源_02物料!$X691="公司筐",N(对接源_02物料!$U691)&lt;&gt;0)),1,0)</f>
        <v>0</v>
      </c>
      <c r="S1891" s="3">
        <f t="shared" si="506"/>
        <v>0</v>
      </c>
      <c r="T1891" s="3">
        <f>IF(AND($K1891=1,AND(对接源_02物料!$X691="公司筐",N(对接源_02物料!$V691)&lt;&gt;0)),1,0)</f>
        <v>0</v>
      </c>
      <c r="U1891" s="3">
        <f t="shared" si="507"/>
        <v>19</v>
      </c>
      <c r="V1891" s="3">
        <f>IF(AND($L1891=1,AND(对接源_02物料!$X691="自备筐",N(对接源_02物料!$V691)&lt;&gt;0)),1,0)</f>
        <v>0</v>
      </c>
      <c r="W1891" s="3">
        <f t="shared" si="508"/>
        <v>8</v>
      </c>
      <c r="X1891" s="3">
        <f>IF(AND($L1891=1,AND(对接源_02物料!$X691="自备筐",N(对接源_02物料!$T691)&lt;&gt;0)),1,0)</f>
        <v>0</v>
      </c>
      <c r="Y1891" s="3">
        <f t="shared" si="509"/>
        <v>0</v>
      </c>
      <c r="Z1891" s="3">
        <f>IF(AND($M1891=1,对接源_02物料!$D691="原料入库"),1,0)</f>
        <v>0</v>
      </c>
      <c r="AA1891" s="3">
        <f t="shared" si="510"/>
        <v>24</v>
      </c>
      <c r="AB1891" s="3">
        <f>IF(AND($M1891=1,LEFT(对接源_02物料!$D691,4)="原料出库"),1,0)</f>
        <v>0</v>
      </c>
      <c r="AC1891" s="3">
        <f t="shared" si="511"/>
        <v>0</v>
      </c>
      <c r="AD1891" s="3">
        <f>IF(AND($M1891=1,LEFT(对接源_02物料!$D691,4)="成品出库"),1,0)</f>
        <v>0</v>
      </c>
      <c r="AE1891" s="3">
        <f t="shared" si="512"/>
        <v>0</v>
      </c>
      <c r="AF1891" s="3">
        <f>IF(AND($N1891=1,AND(LEFT(对接源_02物料!$D691,4)="包装物料",N(对接源_02物料!$K691)&lt;&gt;0)),1,0)</f>
        <v>0</v>
      </c>
      <c r="AG1891" s="3">
        <f t="shared" si="513"/>
        <v>5</v>
      </c>
      <c r="AH1891" s="3">
        <f>IF(AND($N1891=1,AND(对接源_02物料!$D691="周转筐－销售出库",N(对接源_02物料!$K691)&lt;&gt;0)),1,0)</f>
        <v>0</v>
      </c>
      <c r="AI1891" s="3">
        <f t="shared" si="514"/>
        <v>0</v>
      </c>
      <c r="AL1891" s="3">
        <v>0</v>
      </c>
      <c r="AM1891" s="3">
        <f t="shared" si="515"/>
        <v>1</v>
      </c>
      <c r="AN1891" s="3" t="str">
        <f t="shared" si="502"/>
        <v/>
      </c>
      <c r="AO1891" s="3">
        <v>0</v>
      </c>
      <c r="AP1891" s="3">
        <f t="shared" si="516"/>
        <v>8</v>
      </c>
      <c r="AR1891">
        <f t="shared" si="517"/>
        <v>0</v>
      </c>
      <c r="AS1891">
        <f t="shared" si="518"/>
        <v>5</v>
      </c>
    </row>
    <row r="1892" customHeight="1" spans="1:45">
      <c r="A1892" s="3" t="str">
        <f>IF(对接源_02物料!$C692="","",对接源_02物料!$C692)</f>
        <v/>
      </c>
      <c r="B1892" s="3">
        <f t="shared" si="503"/>
        <v>0</v>
      </c>
      <c r="C1892" s="3">
        <f t="shared" si="504"/>
        <v>21</v>
      </c>
      <c r="K1892" s="3">
        <f>IF(OR($K$1="",对接源_02物料!$C692="",对接源_02物料!$C692&lt;&gt;$K$1,对接源_02物料!$B692=""),0,IF(OR(N(对接源_02物料!$B692)&lt;$K$2,N(对接源_02物料!$B692)&gt;$K$3),0,1))</f>
        <v>0</v>
      </c>
      <c r="L1892" s="3">
        <f>IF(OR($L$1="",对接源_02物料!$C692="",对接源_02物料!$C692&lt;&gt;$L$1,对接源_02物料!$B692=""),0,IF(OR(N(对接源_02物料!$B692)&lt;$L$2,N(对接源_02物料!$B692)&gt;$L$3),0,1))</f>
        <v>0</v>
      </c>
      <c r="M1892" s="3">
        <f>IF(OR($M$1="",对接源_02物料!$C692="",对接源_02物料!$C692&lt;&gt;$M$1,对接源_02物料!$B692=""),0,IF(OR(N(对接源_02物料!$B692)&lt;$M$2,N(对接源_02物料!$B692)&gt;$M$3),0,1))</f>
        <v>0</v>
      </c>
      <c r="N1892" s="3">
        <f>IF(OR($N$1="",对接源_02物料!$C692="",对接源_02物料!$C692&lt;&gt;$N$1,对接源_02物料!$B692=""),0,IF(OR(N(对接源_02物料!$B692)&lt;$N$2,N(对接源_02物料!$B692)&gt;$N$3),0,1))</f>
        <v>0</v>
      </c>
      <c r="P1892" s="3">
        <f>IF(AND($K1892=1,AND(对接源_02物料!$X692="公司筐",N(对接源_02物料!$T692)&lt;&gt;0)),1,0)</f>
        <v>0</v>
      </c>
      <c r="Q1892" s="3">
        <f t="shared" si="505"/>
        <v>8</v>
      </c>
      <c r="R1892" s="3">
        <f>IF(AND($K1892=1,AND(对接源_02物料!$X692="公司筐",N(对接源_02物料!$U692)&lt;&gt;0)),1,0)</f>
        <v>0</v>
      </c>
      <c r="S1892" s="3">
        <f t="shared" si="506"/>
        <v>0</v>
      </c>
      <c r="T1892" s="3">
        <f>IF(AND($K1892=1,AND(对接源_02物料!$X692="公司筐",N(对接源_02物料!$V692)&lt;&gt;0)),1,0)</f>
        <v>0</v>
      </c>
      <c r="U1892" s="3">
        <f t="shared" si="507"/>
        <v>19</v>
      </c>
      <c r="V1892" s="3">
        <f>IF(AND($L1892=1,AND(对接源_02物料!$X692="自备筐",N(对接源_02物料!$V692)&lt;&gt;0)),1,0)</f>
        <v>0</v>
      </c>
      <c r="W1892" s="3">
        <f t="shared" si="508"/>
        <v>8</v>
      </c>
      <c r="X1892" s="3">
        <f>IF(AND($L1892=1,AND(对接源_02物料!$X692="自备筐",N(对接源_02物料!$T692)&lt;&gt;0)),1,0)</f>
        <v>0</v>
      </c>
      <c r="Y1892" s="3">
        <f t="shared" si="509"/>
        <v>0</v>
      </c>
      <c r="Z1892" s="3">
        <f>IF(AND($M1892=1,对接源_02物料!$D692="原料入库"),1,0)</f>
        <v>0</v>
      </c>
      <c r="AA1892" s="3">
        <f t="shared" si="510"/>
        <v>24</v>
      </c>
      <c r="AB1892" s="3">
        <f>IF(AND($M1892=1,LEFT(对接源_02物料!$D692,4)="原料出库"),1,0)</f>
        <v>0</v>
      </c>
      <c r="AC1892" s="3">
        <f t="shared" si="511"/>
        <v>0</v>
      </c>
      <c r="AD1892" s="3">
        <f>IF(AND($M1892=1,LEFT(对接源_02物料!$D692,4)="成品出库"),1,0)</f>
        <v>0</v>
      </c>
      <c r="AE1892" s="3">
        <f t="shared" si="512"/>
        <v>0</v>
      </c>
      <c r="AF1892" s="3">
        <f>IF(AND($N1892=1,AND(LEFT(对接源_02物料!$D692,4)="包装物料",N(对接源_02物料!$K692)&lt;&gt;0)),1,0)</f>
        <v>0</v>
      </c>
      <c r="AG1892" s="3">
        <f t="shared" si="513"/>
        <v>5</v>
      </c>
      <c r="AH1892" s="3">
        <f>IF(AND($N1892=1,AND(对接源_02物料!$D692="周转筐－销售出库",N(对接源_02物料!$K692)&lt;&gt;0)),1,0)</f>
        <v>0</v>
      </c>
      <c r="AI1892" s="3">
        <f t="shared" si="514"/>
        <v>0</v>
      </c>
      <c r="AL1892" s="3">
        <v>0</v>
      </c>
      <c r="AM1892" s="3">
        <f t="shared" si="515"/>
        <v>1</v>
      </c>
      <c r="AN1892" s="3" t="str">
        <f t="shared" si="502"/>
        <v/>
      </c>
      <c r="AO1892" s="3">
        <v>0</v>
      </c>
      <c r="AP1892" s="3">
        <f t="shared" si="516"/>
        <v>8</v>
      </c>
      <c r="AR1892">
        <f t="shared" si="517"/>
        <v>0</v>
      </c>
      <c r="AS1892">
        <f t="shared" si="518"/>
        <v>5</v>
      </c>
    </row>
    <row r="1893" customHeight="1" spans="1:45">
      <c r="A1893" s="3" t="str">
        <f>IF(对接源_02物料!$C693="","",对接源_02物料!$C693)</f>
        <v/>
      </c>
      <c r="B1893" s="3">
        <f t="shared" si="503"/>
        <v>0</v>
      </c>
      <c r="C1893" s="3">
        <f t="shared" si="504"/>
        <v>21</v>
      </c>
      <c r="K1893" s="3">
        <f>IF(OR($K$1="",对接源_02物料!$C693="",对接源_02物料!$C693&lt;&gt;$K$1,对接源_02物料!$B693=""),0,IF(OR(N(对接源_02物料!$B693)&lt;$K$2,N(对接源_02物料!$B693)&gt;$K$3),0,1))</f>
        <v>0</v>
      </c>
      <c r="L1893" s="3">
        <f>IF(OR($L$1="",对接源_02物料!$C693="",对接源_02物料!$C693&lt;&gt;$L$1,对接源_02物料!$B693=""),0,IF(OR(N(对接源_02物料!$B693)&lt;$L$2,N(对接源_02物料!$B693)&gt;$L$3),0,1))</f>
        <v>0</v>
      </c>
      <c r="M1893" s="3">
        <f>IF(OR($M$1="",对接源_02物料!$C693="",对接源_02物料!$C693&lt;&gt;$M$1,对接源_02物料!$B693=""),0,IF(OR(N(对接源_02物料!$B693)&lt;$M$2,N(对接源_02物料!$B693)&gt;$M$3),0,1))</f>
        <v>0</v>
      </c>
      <c r="N1893" s="3">
        <f>IF(OR($N$1="",对接源_02物料!$C693="",对接源_02物料!$C693&lt;&gt;$N$1,对接源_02物料!$B693=""),0,IF(OR(N(对接源_02物料!$B693)&lt;$N$2,N(对接源_02物料!$B693)&gt;$N$3),0,1))</f>
        <v>0</v>
      </c>
      <c r="P1893" s="3">
        <f>IF(AND($K1893=1,AND(对接源_02物料!$X693="公司筐",N(对接源_02物料!$T693)&lt;&gt;0)),1,0)</f>
        <v>0</v>
      </c>
      <c r="Q1893" s="3">
        <f t="shared" si="505"/>
        <v>8</v>
      </c>
      <c r="R1893" s="3">
        <f>IF(AND($K1893=1,AND(对接源_02物料!$X693="公司筐",N(对接源_02物料!$U693)&lt;&gt;0)),1,0)</f>
        <v>0</v>
      </c>
      <c r="S1893" s="3">
        <f t="shared" si="506"/>
        <v>0</v>
      </c>
      <c r="T1893" s="3">
        <f>IF(AND($K1893=1,AND(对接源_02物料!$X693="公司筐",N(对接源_02物料!$V693)&lt;&gt;0)),1,0)</f>
        <v>0</v>
      </c>
      <c r="U1893" s="3">
        <f t="shared" si="507"/>
        <v>19</v>
      </c>
      <c r="V1893" s="3">
        <f>IF(AND($L1893=1,AND(对接源_02物料!$X693="自备筐",N(对接源_02物料!$V693)&lt;&gt;0)),1,0)</f>
        <v>0</v>
      </c>
      <c r="W1893" s="3">
        <f t="shared" si="508"/>
        <v>8</v>
      </c>
      <c r="X1893" s="3">
        <f>IF(AND($L1893=1,AND(对接源_02物料!$X693="自备筐",N(对接源_02物料!$T693)&lt;&gt;0)),1,0)</f>
        <v>0</v>
      </c>
      <c r="Y1893" s="3">
        <f t="shared" si="509"/>
        <v>0</v>
      </c>
      <c r="Z1893" s="3">
        <f>IF(AND($M1893=1,对接源_02物料!$D693="原料入库"),1,0)</f>
        <v>0</v>
      </c>
      <c r="AA1893" s="3">
        <f t="shared" si="510"/>
        <v>24</v>
      </c>
      <c r="AB1893" s="3">
        <f>IF(AND($M1893=1,LEFT(对接源_02物料!$D693,4)="原料出库"),1,0)</f>
        <v>0</v>
      </c>
      <c r="AC1893" s="3">
        <f t="shared" si="511"/>
        <v>0</v>
      </c>
      <c r="AD1893" s="3">
        <f>IF(AND($M1893=1,LEFT(对接源_02物料!$D693,4)="成品出库"),1,0)</f>
        <v>0</v>
      </c>
      <c r="AE1893" s="3">
        <f t="shared" si="512"/>
        <v>0</v>
      </c>
      <c r="AF1893" s="3">
        <f>IF(AND($N1893=1,AND(LEFT(对接源_02物料!$D693,4)="包装物料",N(对接源_02物料!$K693)&lt;&gt;0)),1,0)</f>
        <v>0</v>
      </c>
      <c r="AG1893" s="3">
        <f t="shared" si="513"/>
        <v>5</v>
      </c>
      <c r="AH1893" s="3">
        <f>IF(AND($N1893=1,AND(对接源_02物料!$D693="周转筐－销售出库",N(对接源_02物料!$K693)&lt;&gt;0)),1,0)</f>
        <v>0</v>
      </c>
      <c r="AI1893" s="3">
        <f t="shared" si="514"/>
        <v>0</v>
      </c>
      <c r="AL1893" s="3">
        <v>0</v>
      </c>
      <c r="AM1893" s="3">
        <f t="shared" si="515"/>
        <v>1</v>
      </c>
      <c r="AN1893" s="3" t="str">
        <f t="shared" si="502"/>
        <v/>
      </c>
      <c r="AO1893" s="3">
        <v>0</v>
      </c>
      <c r="AP1893" s="3">
        <f t="shared" si="516"/>
        <v>8</v>
      </c>
      <c r="AR1893">
        <f t="shared" si="517"/>
        <v>0</v>
      </c>
      <c r="AS1893">
        <f t="shared" si="518"/>
        <v>5</v>
      </c>
    </row>
    <row r="1894" customHeight="1" spans="1:45">
      <c r="A1894" s="3" t="str">
        <f>IF(对接源_02物料!$C694="","",对接源_02物料!$C694)</f>
        <v/>
      </c>
      <c r="B1894" s="3">
        <f t="shared" si="503"/>
        <v>0</v>
      </c>
      <c r="C1894" s="3">
        <f t="shared" si="504"/>
        <v>21</v>
      </c>
      <c r="K1894" s="3">
        <f>IF(OR($K$1="",对接源_02物料!$C694="",对接源_02物料!$C694&lt;&gt;$K$1,对接源_02物料!$B694=""),0,IF(OR(N(对接源_02物料!$B694)&lt;$K$2,N(对接源_02物料!$B694)&gt;$K$3),0,1))</f>
        <v>0</v>
      </c>
      <c r="L1894" s="3">
        <f>IF(OR($L$1="",对接源_02物料!$C694="",对接源_02物料!$C694&lt;&gt;$L$1,对接源_02物料!$B694=""),0,IF(OR(N(对接源_02物料!$B694)&lt;$L$2,N(对接源_02物料!$B694)&gt;$L$3),0,1))</f>
        <v>0</v>
      </c>
      <c r="M1894" s="3">
        <f>IF(OR($M$1="",对接源_02物料!$C694="",对接源_02物料!$C694&lt;&gt;$M$1,对接源_02物料!$B694=""),0,IF(OR(N(对接源_02物料!$B694)&lt;$M$2,N(对接源_02物料!$B694)&gt;$M$3),0,1))</f>
        <v>0</v>
      </c>
      <c r="N1894" s="3">
        <f>IF(OR($N$1="",对接源_02物料!$C694="",对接源_02物料!$C694&lt;&gt;$N$1,对接源_02物料!$B694=""),0,IF(OR(N(对接源_02物料!$B694)&lt;$N$2,N(对接源_02物料!$B694)&gt;$N$3),0,1))</f>
        <v>0</v>
      </c>
      <c r="P1894" s="3">
        <f>IF(AND($K1894=1,AND(对接源_02物料!$X694="公司筐",N(对接源_02物料!$T694)&lt;&gt;0)),1,0)</f>
        <v>0</v>
      </c>
      <c r="Q1894" s="3">
        <f t="shared" si="505"/>
        <v>8</v>
      </c>
      <c r="R1894" s="3">
        <f>IF(AND($K1894=1,AND(对接源_02物料!$X694="公司筐",N(对接源_02物料!$U694)&lt;&gt;0)),1,0)</f>
        <v>0</v>
      </c>
      <c r="S1894" s="3">
        <f t="shared" si="506"/>
        <v>0</v>
      </c>
      <c r="T1894" s="3">
        <f>IF(AND($K1894=1,AND(对接源_02物料!$X694="公司筐",N(对接源_02物料!$V694)&lt;&gt;0)),1,0)</f>
        <v>0</v>
      </c>
      <c r="U1894" s="3">
        <f t="shared" si="507"/>
        <v>19</v>
      </c>
      <c r="V1894" s="3">
        <f>IF(AND($L1894=1,AND(对接源_02物料!$X694="自备筐",N(对接源_02物料!$V694)&lt;&gt;0)),1,0)</f>
        <v>0</v>
      </c>
      <c r="W1894" s="3">
        <f t="shared" si="508"/>
        <v>8</v>
      </c>
      <c r="X1894" s="3">
        <f>IF(AND($L1894=1,AND(对接源_02物料!$X694="自备筐",N(对接源_02物料!$T694)&lt;&gt;0)),1,0)</f>
        <v>0</v>
      </c>
      <c r="Y1894" s="3">
        <f t="shared" si="509"/>
        <v>0</v>
      </c>
      <c r="Z1894" s="3">
        <f>IF(AND($M1894=1,对接源_02物料!$D694="原料入库"),1,0)</f>
        <v>0</v>
      </c>
      <c r="AA1894" s="3">
        <f t="shared" si="510"/>
        <v>24</v>
      </c>
      <c r="AB1894" s="3">
        <f>IF(AND($M1894=1,LEFT(对接源_02物料!$D694,4)="原料出库"),1,0)</f>
        <v>0</v>
      </c>
      <c r="AC1894" s="3">
        <f t="shared" si="511"/>
        <v>0</v>
      </c>
      <c r="AD1894" s="3">
        <f>IF(AND($M1894=1,LEFT(对接源_02物料!$D694,4)="成品出库"),1,0)</f>
        <v>0</v>
      </c>
      <c r="AE1894" s="3">
        <f t="shared" si="512"/>
        <v>0</v>
      </c>
      <c r="AF1894" s="3">
        <f>IF(AND($N1894=1,AND(LEFT(对接源_02物料!$D694,4)="包装物料",N(对接源_02物料!$K694)&lt;&gt;0)),1,0)</f>
        <v>0</v>
      </c>
      <c r="AG1894" s="3">
        <f t="shared" si="513"/>
        <v>5</v>
      </c>
      <c r="AH1894" s="3">
        <f>IF(AND($N1894=1,AND(对接源_02物料!$D694="周转筐－销售出库",N(对接源_02物料!$K694)&lt;&gt;0)),1,0)</f>
        <v>0</v>
      </c>
      <c r="AI1894" s="3">
        <f t="shared" si="514"/>
        <v>0</v>
      </c>
      <c r="AL1894" s="3">
        <v>0</v>
      </c>
      <c r="AM1894" s="3">
        <f t="shared" si="515"/>
        <v>1</v>
      </c>
      <c r="AN1894" s="3" t="str">
        <f t="shared" si="502"/>
        <v/>
      </c>
      <c r="AO1894" s="3">
        <v>0</v>
      </c>
      <c r="AP1894" s="3">
        <f t="shared" si="516"/>
        <v>8</v>
      </c>
      <c r="AR1894">
        <f t="shared" si="517"/>
        <v>0</v>
      </c>
      <c r="AS1894">
        <f t="shared" si="518"/>
        <v>5</v>
      </c>
    </row>
    <row r="1895" customHeight="1" spans="1:45">
      <c r="A1895" s="3" t="str">
        <f>IF(对接源_02物料!$C695="","",对接源_02物料!$C695)</f>
        <v/>
      </c>
      <c r="B1895" s="3">
        <f t="shared" si="503"/>
        <v>0</v>
      </c>
      <c r="C1895" s="3">
        <f t="shared" si="504"/>
        <v>21</v>
      </c>
      <c r="K1895" s="3">
        <f>IF(OR($K$1="",对接源_02物料!$C695="",对接源_02物料!$C695&lt;&gt;$K$1,对接源_02物料!$B695=""),0,IF(OR(N(对接源_02物料!$B695)&lt;$K$2,N(对接源_02物料!$B695)&gt;$K$3),0,1))</f>
        <v>0</v>
      </c>
      <c r="L1895" s="3">
        <f>IF(OR($L$1="",对接源_02物料!$C695="",对接源_02物料!$C695&lt;&gt;$L$1,对接源_02物料!$B695=""),0,IF(OR(N(对接源_02物料!$B695)&lt;$L$2,N(对接源_02物料!$B695)&gt;$L$3),0,1))</f>
        <v>0</v>
      </c>
      <c r="M1895" s="3">
        <f>IF(OR($M$1="",对接源_02物料!$C695="",对接源_02物料!$C695&lt;&gt;$M$1,对接源_02物料!$B695=""),0,IF(OR(N(对接源_02物料!$B695)&lt;$M$2,N(对接源_02物料!$B695)&gt;$M$3),0,1))</f>
        <v>0</v>
      </c>
      <c r="N1895" s="3">
        <f>IF(OR($N$1="",对接源_02物料!$C695="",对接源_02物料!$C695&lt;&gt;$N$1,对接源_02物料!$B695=""),0,IF(OR(N(对接源_02物料!$B695)&lt;$N$2,N(对接源_02物料!$B695)&gt;$N$3),0,1))</f>
        <v>0</v>
      </c>
      <c r="P1895" s="3">
        <f>IF(AND($K1895=1,AND(对接源_02物料!$X695="公司筐",N(对接源_02物料!$T695)&lt;&gt;0)),1,0)</f>
        <v>0</v>
      </c>
      <c r="Q1895" s="3">
        <f t="shared" si="505"/>
        <v>8</v>
      </c>
      <c r="R1895" s="3">
        <f>IF(AND($K1895=1,AND(对接源_02物料!$X695="公司筐",N(对接源_02物料!$U695)&lt;&gt;0)),1,0)</f>
        <v>0</v>
      </c>
      <c r="S1895" s="3">
        <f t="shared" si="506"/>
        <v>0</v>
      </c>
      <c r="T1895" s="3">
        <f>IF(AND($K1895=1,AND(对接源_02物料!$X695="公司筐",N(对接源_02物料!$V695)&lt;&gt;0)),1,0)</f>
        <v>0</v>
      </c>
      <c r="U1895" s="3">
        <f t="shared" si="507"/>
        <v>19</v>
      </c>
      <c r="V1895" s="3">
        <f>IF(AND($L1895=1,AND(对接源_02物料!$X695="自备筐",N(对接源_02物料!$V695)&lt;&gt;0)),1,0)</f>
        <v>0</v>
      </c>
      <c r="W1895" s="3">
        <f t="shared" si="508"/>
        <v>8</v>
      </c>
      <c r="X1895" s="3">
        <f>IF(AND($L1895=1,AND(对接源_02物料!$X695="自备筐",N(对接源_02物料!$T695)&lt;&gt;0)),1,0)</f>
        <v>0</v>
      </c>
      <c r="Y1895" s="3">
        <f t="shared" si="509"/>
        <v>0</v>
      </c>
      <c r="Z1895" s="3">
        <f>IF(AND($M1895=1,对接源_02物料!$D695="原料入库"),1,0)</f>
        <v>0</v>
      </c>
      <c r="AA1895" s="3">
        <f t="shared" si="510"/>
        <v>24</v>
      </c>
      <c r="AB1895" s="3">
        <f>IF(AND($M1895=1,LEFT(对接源_02物料!$D695,4)="原料出库"),1,0)</f>
        <v>0</v>
      </c>
      <c r="AC1895" s="3">
        <f t="shared" si="511"/>
        <v>0</v>
      </c>
      <c r="AD1895" s="3">
        <f>IF(AND($M1895=1,LEFT(对接源_02物料!$D695,4)="成品出库"),1,0)</f>
        <v>0</v>
      </c>
      <c r="AE1895" s="3">
        <f t="shared" si="512"/>
        <v>0</v>
      </c>
      <c r="AF1895" s="3">
        <f>IF(AND($N1895=1,AND(LEFT(对接源_02物料!$D695,4)="包装物料",N(对接源_02物料!$K695)&lt;&gt;0)),1,0)</f>
        <v>0</v>
      </c>
      <c r="AG1895" s="3">
        <f t="shared" si="513"/>
        <v>5</v>
      </c>
      <c r="AH1895" s="3">
        <f>IF(AND($N1895=1,AND(对接源_02物料!$D695="周转筐－销售出库",N(对接源_02物料!$K695)&lt;&gt;0)),1,0)</f>
        <v>0</v>
      </c>
      <c r="AI1895" s="3">
        <f t="shared" si="514"/>
        <v>0</v>
      </c>
      <c r="AL1895" s="3">
        <v>0</v>
      </c>
      <c r="AM1895" s="3">
        <f t="shared" si="515"/>
        <v>1</v>
      </c>
      <c r="AN1895" s="3" t="str">
        <f t="shared" si="502"/>
        <v/>
      </c>
      <c r="AO1895" s="3">
        <v>0</v>
      </c>
      <c r="AP1895" s="3">
        <f t="shared" si="516"/>
        <v>8</v>
      </c>
      <c r="AR1895">
        <f t="shared" si="517"/>
        <v>0</v>
      </c>
      <c r="AS1895">
        <f t="shared" si="518"/>
        <v>5</v>
      </c>
    </row>
    <row r="1896" customHeight="1" spans="1:45">
      <c r="A1896" s="3" t="str">
        <f>IF(对接源_02物料!$C696="","",对接源_02物料!$C696)</f>
        <v/>
      </c>
      <c r="B1896" s="3">
        <f t="shared" si="503"/>
        <v>0</v>
      </c>
      <c r="C1896" s="3">
        <f t="shared" si="504"/>
        <v>21</v>
      </c>
      <c r="K1896" s="3">
        <f>IF(OR($K$1="",对接源_02物料!$C696="",对接源_02物料!$C696&lt;&gt;$K$1,对接源_02物料!$B696=""),0,IF(OR(N(对接源_02物料!$B696)&lt;$K$2,N(对接源_02物料!$B696)&gt;$K$3),0,1))</f>
        <v>0</v>
      </c>
      <c r="L1896" s="3">
        <f>IF(OR($L$1="",对接源_02物料!$C696="",对接源_02物料!$C696&lt;&gt;$L$1,对接源_02物料!$B696=""),0,IF(OR(N(对接源_02物料!$B696)&lt;$L$2,N(对接源_02物料!$B696)&gt;$L$3),0,1))</f>
        <v>0</v>
      </c>
      <c r="M1896" s="3">
        <f>IF(OR($M$1="",对接源_02物料!$C696="",对接源_02物料!$C696&lt;&gt;$M$1,对接源_02物料!$B696=""),0,IF(OR(N(对接源_02物料!$B696)&lt;$M$2,N(对接源_02物料!$B696)&gt;$M$3),0,1))</f>
        <v>0</v>
      </c>
      <c r="N1896" s="3">
        <f>IF(OR($N$1="",对接源_02物料!$C696="",对接源_02物料!$C696&lt;&gt;$N$1,对接源_02物料!$B696=""),0,IF(OR(N(对接源_02物料!$B696)&lt;$N$2,N(对接源_02物料!$B696)&gt;$N$3),0,1))</f>
        <v>0</v>
      </c>
      <c r="P1896" s="3">
        <f>IF(AND($K1896=1,AND(对接源_02物料!$X696="公司筐",N(对接源_02物料!$T696)&lt;&gt;0)),1,0)</f>
        <v>0</v>
      </c>
      <c r="Q1896" s="3">
        <f t="shared" si="505"/>
        <v>8</v>
      </c>
      <c r="R1896" s="3">
        <f>IF(AND($K1896=1,AND(对接源_02物料!$X696="公司筐",N(对接源_02物料!$U696)&lt;&gt;0)),1,0)</f>
        <v>0</v>
      </c>
      <c r="S1896" s="3">
        <f t="shared" si="506"/>
        <v>0</v>
      </c>
      <c r="T1896" s="3">
        <f>IF(AND($K1896=1,AND(对接源_02物料!$X696="公司筐",N(对接源_02物料!$V696)&lt;&gt;0)),1,0)</f>
        <v>0</v>
      </c>
      <c r="U1896" s="3">
        <f t="shared" si="507"/>
        <v>19</v>
      </c>
      <c r="V1896" s="3">
        <f>IF(AND($L1896=1,AND(对接源_02物料!$X696="自备筐",N(对接源_02物料!$V696)&lt;&gt;0)),1,0)</f>
        <v>0</v>
      </c>
      <c r="W1896" s="3">
        <f t="shared" si="508"/>
        <v>8</v>
      </c>
      <c r="X1896" s="3">
        <f>IF(AND($L1896=1,AND(对接源_02物料!$X696="自备筐",N(对接源_02物料!$T696)&lt;&gt;0)),1,0)</f>
        <v>0</v>
      </c>
      <c r="Y1896" s="3">
        <f t="shared" si="509"/>
        <v>0</v>
      </c>
      <c r="Z1896" s="3">
        <f>IF(AND($M1896=1,对接源_02物料!$D696="原料入库"),1,0)</f>
        <v>0</v>
      </c>
      <c r="AA1896" s="3">
        <f t="shared" si="510"/>
        <v>24</v>
      </c>
      <c r="AB1896" s="3">
        <f>IF(AND($M1896=1,LEFT(对接源_02物料!$D696,4)="原料出库"),1,0)</f>
        <v>0</v>
      </c>
      <c r="AC1896" s="3">
        <f t="shared" si="511"/>
        <v>0</v>
      </c>
      <c r="AD1896" s="3">
        <f>IF(AND($M1896=1,LEFT(对接源_02物料!$D696,4)="成品出库"),1,0)</f>
        <v>0</v>
      </c>
      <c r="AE1896" s="3">
        <f t="shared" si="512"/>
        <v>0</v>
      </c>
      <c r="AF1896" s="3">
        <f>IF(AND($N1896=1,AND(LEFT(对接源_02物料!$D696,4)="包装物料",N(对接源_02物料!$K696)&lt;&gt;0)),1,0)</f>
        <v>0</v>
      </c>
      <c r="AG1896" s="3">
        <f t="shared" si="513"/>
        <v>5</v>
      </c>
      <c r="AH1896" s="3">
        <f>IF(AND($N1896=1,AND(对接源_02物料!$D696="周转筐－销售出库",N(对接源_02物料!$K696)&lt;&gt;0)),1,0)</f>
        <v>0</v>
      </c>
      <c r="AI1896" s="3">
        <f t="shared" si="514"/>
        <v>0</v>
      </c>
      <c r="AL1896" s="3">
        <v>0</v>
      </c>
      <c r="AM1896" s="3">
        <f t="shared" si="515"/>
        <v>1</v>
      </c>
      <c r="AN1896" s="3" t="str">
        <f t="shared" si="502"/>
        <v/>
      </c>
      <c r="AO1896" s="3">
        <v>0</v>
      </c>
      <c r="AP1896" s="3">
        <f t="shared" si="516"/>
        <v>8</v>
      </c>
      <c r="AR1896">
        <f t="shared" si="517"/>
        <v>0</v>
      </c>
      <c r="AS1896">
        <f t="shared" si="518"/>
        <v>5</v>
      </c>
    </row>
    <row r="1897" customHeight="1" spans="1:45">
      <c r="A1897" s="3" t="str">
        <f>IF(对接源_02物料!$C697="","",对接源_02物料!$C697)</f>
        <v/>
      </c>
      <c r="B1897" s="3">
        <f t="shared" si="503"/>
        <v>0</v>
      </c>
      <c r="C1897" s="3">
        <f t="shared" si="504"/>
        <v>21</v>
      </c>
      <c r="K1897" s="3">
        <f>IF(OR($K$1="",对接源_02物料!$C697="",对接源_02物料!$C697&lt;&gt;$K$1,对接源_02物料!$B697=""),0,IF(OR(N(对接源_02物料!$B697)&lt;$K$2,N(对接源_02物料!$B697)&gt;$K$3),0,1))</f>
        <v>0</v>
      </c>
      <c r="L1897" s="3">
        <f>IF(OR($L$1="",对接源_02物料!$C697="",对接源_02物料!$C697&lt;&gt;$L$1,对接源_02物料!$B697=""),0,IF(OR(N(对接源_02物料!$B697)&lt;$L$2,N(对接源_02物料!$B697)&gt;$L$3),0,1))</f>
        <v>0</v>
      </c>
      <c r="M1897" s="3">
        <f>IF(OR($M$1="",对接源_02物料!$C697="",对接源_02物料!$C697&lt;&gt;$M$1,对接源_02物料!$B697=""),0,IF(OR(N(对接源_02物料!$B697)&lt;$M$2,N(对接源_02物料!$B697)&gt;$M$3),0,1))</f>
        <v>0</v>
      </c>
      <c r="N1897" s="3">
        <f>IF(OR($N$1="",对接源_02物料!$C697="",对接源_02物料!$C697&lt;&gt;$N$1,对接源_02物料!$B697=""),0,IF(OR(N(对接源_02物料!$B697)&lt;$N$2,N(对接源_02物料!$B697)&gt;$N$3),0,1))</f>
        <v>0</v>
      </c>
      <c r="P1897" s="3">
        <f>IF(AND($K1897=1,AND(对接源_02物料!$X697="公司筐",N(对接源_02物料!$T697)&lt;&gt;0)),1,0)</f>
        <v>0</v>
      </c>
      <c r="Q1897" s="3">
        <f t="shared" si="505"/>
        <v>8</v>
      </c>
      <c r="R1897" s="3">
        <f>IF(AND($K1897=1,AND(对接源_02物料!$X697="公司筐",N(对接源_02物料!$U697)&lt;&gt;0)),1,0)</f>
        <v>0</v>
      </c>
      <c r="S1897" s="3">
        <f t="shared" si="506"/>
        <v>0</v>
      </c>
      <c r="T1897" s="3">
        <f>IF(AND($K1897=1,AND(对接源_02物料!$X697="公司筐",N(对接源_02物料!$V697)&lt;&gt;0)),1,0)</f>
        <v>0</v>
      </c>
      <c r="U1897" s="3">
        <f t="shared" si="507"/>
        <v>19</v>
      </c>
      <c r="V1897" s="3">
        <f>IF(AND($L1897=1,AND(对接源_02物料!$X697="自备筐",N(对接源_02物料!$V697)&lt;&gt;0)),1,0)</f>
        <v>0</v>
      </c>
      <c r="W1897" s="3">
        <f t="shared" si="508"/>
        <v>8</v>
      </c>
      <c r="X1897" s="3">
        <f>IF(AND($L1897=1,AND(对接源_02物料!$X697="自备筐",N(对接源_02物料!$T697)&lt;&gt;0)),1,0)</f>
        <v>0</v>
      </c>
      <c r="Y1897" s="3">
        <f t="shared" si="509"/>
        <v>0</v>
      </c>
      <c r="Z1897" s="3">
        <f>IF(AND($M1897=1,对接源_02物料!$D697="原料入库"),1,0)</f>
        <v>0</v>
      </c>
      <c r="AA1897" s="3">
        <f t="shared" si="510"/>
        <v>24</v>
      </c>
      <c r="AB1897" s="3">
        <f>IF(AND($M1897=1,LEFT(对接源_02物料!$D697,4)="原料出库"),1,0)</f>
        <v>0</v>
      </c>
      <c r="AC1897" s="3">
        <f t="shared" si="511"/>
        <v>0</v>
      </c>
      <c r="AD1897" s="3">
        <f>IF(AND($M1897=1,LEFT(对接源_02物料!$D697,4)="成品出库"),1,0)</f>
        <v>0</v>
      </c>
      <c r="AE1897" s="3">
        <f t="shared" si="512"/>
        <v>0</v>
      </c>
      <c r="AF1897" s="3">
        <f>IF(AND($N1897=1,AND(LEFT(对接源_02物料!$D697,4)="包装物料",N(对接源_02物料!$K697)&lt;&gt;0)),1,0)</f>
        <v>0</v>
      </c>
      <c r="AG1897" s="3">
        <f t="shared" si="513"/>
        <v>5</v>
      </c>
      <c r="AH1897" s="3">
        <f>IF(AND($N1897=1,AND(对接源_02物料!$D697="周转筐－销售出库",N(对接源_02物料!$K697)&lt;&gt;0)),1,0)</f>
        <v>0</v>
      </c>
      <c r="AI1897" s="3">
        <f t="shared" si="514"/>
        <v>0</v>
      </c>
      <c r="AL1897" s="3">
        <v>0</v>
      </c>
      <c r="AM1897" s="3">
        <f t="shared" si="515"/>
        <v>1</v>
      </c>
      <c r="AN1897" s="3" t="str">
        <f t="shared" si="502"/>
        <v/>
      </c>
      <c r="AO1897" s="3">
        <v>0</v>
      </c>
      <c r="AP1897" s="3">
        <f t="shared" si="516"/>
        <v>8</v>
      </c>
      <c r="AR1897">
        <f t="shared" si="517"/>
        <v>0</v>
      </c>
      <c r="AS1897">
        <f t="shared" si="518"/>
        <v>5</v>
      </c>
    </row>
    <row r="1898" customHeight="1" spans="1:45">
      <c r="A1898" s="3" t="str">
        <f>IF(对接源_02物料!$C698="","",对接源_02物料!$C698)</f>
        <v/>
      </c>
      <c r="B1898" s="3">
        <f t="shared" si="503"/>
        <v>0</v>
      </c>
      <c r="C1898" s="3">
        <f t="shared" si="504"/>
        <v>21</v>
      </c>
      <c r="K1898" s="3">
        <f>IF(OR($K$1="",对接源_02物料!$C698="",对接源_02物料!$C698&lt;&gt;$K$1,对接源_02物料!$B698=""),0,IF(OR(N(对接源_02物料!$B698)&lt;$K$2,N(对接源_02物料!$B698)&gt;$K$3),0,1))</f>
        <v>0</v>
      </c>
      <c r="L1898" s="3">
        <f>IF(OR($L$1="",对接源_02物料!$C698="",对接源_02物料!$C698&lt;&gt;$L$1,对接源_02物料!$B698=""),0,IF(OR(N(对接源_02物料!$B698)&lt;$L$2,N(对接源_02物料!$B698)&gt;$L$3),0,1))</f>
        <v>0</v>
      </c>
      <c r="M1898" s="3">
        <f>IF(OR($M$1="",对接源_02物料!$C698="",对接源_02物料!$C698&lt;&gt;$M$1,对接源_02物料!$B698=""),0,IF(OR(N(对接源_02物料!$B698)&lt;$M$2,N(对接源_02物料!$B698)&gt;$M$3),0,1))</f>
        <v>0</v>
      </c>
      <c r="N1898" s="3">
        <f>IF(OR($N$1="",对接源_02物料!$C698="",对接源_02物料!$C698&lt;&gt;$N$1,对接源_02物料!$B698=""),0,IF(OR(N(对接源_02物料!$B698)&lt;$N$2,N(对接源_02物料!$B698)&gt;$N$3),0,1))</f>
        <v>0</v>
      </c>
      <c r="P1898" s="3">
        <f>IF(AND($K1898=1,AND(对接源_02物料!$X698="公司筐",N(对接源_02物料!$T698)&lt;&gt;0)),1,0)</f>
        <v>0</v>
      </c>
      <c r="Q1898" s="3">
        <f t="shared" si="505"/>
        <v>8</v>
      </c>
      <c r="R1898" s="3">
        <f>IF(AND($K1898=1,AND(对接源_02物料!$X698="公司筐",N(对接源_02物料!$U698)&lt;&gt;0)),1,0)</f>
        <v>0</v>
      </c>
      <c r="S1898" s="3">
        <f t="shared" si="506"/>
        <v>0</v>
      </c>
      <c r="T1898" s="3">
        <f>IF(AND($K1898=1,AND(对接源_02物料!$X698="公司筐",N(对接源_02物料!$V698)&lt;&gt;0)),1,0)</f>
        <v>0</v>
      </c>
      <c r="U1898" s="3">
        <f t="shared" si="507"/>
        <v>19</v>
      </c>
      <c r="V1898" s="3">
        <f>IF(AND($L1898=1,AND(对接源_02物料!$X698="自备筐",N(对接源_02物料!$V698)&lt;&gt;0)),1,0)</f>
        <v>0</v>
      </c>
      <c r="W1898" s="3">
        <f t="shared" si="508"/>
        <v>8</v>
      </c>
      <c r="X1898" s="3">
        <f>IF(AND($L1898=1,AND(对接源_02物料!$X698="自备筐",N(对接源_02物料!$T698)&lt;&gt;0)),1,0)</f>
        <v>0</v>
      </c>
      <c r="Y1898" s="3">
        <f t="shared" si="509"/>
        <v>0</v>
      </c>
      <c r="Z1898" s="3">
        <f>IF(AND($M1898=1,对接源_02物料!$D698="原料入库"),1,0)</f>
        <v>0</v>
      </c>
      <c r="AA1898" s="3">
        <f t="shared" si="510"/>
        <v>24</v>
      </c>
      <c r="AB1898" s="3">
        <f>IF(AND($M1898=1,LEFT(对接源_02物料!$D698,4)="原料出库"),1,0)</f>
        <v>0</v>
      </c>
      <c r="AC1898" s="3">
        <f t="shared" si="511"/>
        <v>0</v>
      </c>
      <c r="AD1898" s="3">
        <f>IF(AND($M1898=1,LEFT(对接源_02物料!$D698,4)="成品出库"),1,0)</f>
        <v>0</v>
      </c>
      <c r="AE1898" s="3">
        <f t="shared" si="512"/>
        <v>0</v>
      </c>
      <c r="AF1898" s="3">
        <f>IF(AND($N1898=1,AND(LEFT(对接源_02物料!$D698,4)="包装物料",N(对接源_02物料!$K698)&lt;&gt;0)),1,0)</f>
        <v>0</v>
      </c>
      <c r="AG1898" s="3">
        <f t="shared" si="513"/>
        <v>5</v>
      </c>
      <c r="AH1898" s="3">
        <f>IF(AND($N1898=1,AND(对接源_02物料!$D698="周转筐－销售出库",N(对接源_02物料!$K698)&lt;&gt;0)),1,0)</f>
        <v>0</v>
      </c>
      <c r="AI1898" s="3">
        <f t="shared" si="514"/>
        <v>0</v>
      </c>
      <c r="AL1898" s="3">
        <v>0</v>
      </c>
      <c r="AM1898" s="3">
        <f t="shared" si="515"/>
        <v>1</v>
      </c>
      <c r="AN1898" s="3" t="str">
        <f t="shared" si="502"/>
        <v/>
      </c>
      <c r="AO1898" s="3">
        <v>0</v>
      </c>
      <c r="AP1898" s="3">
        <f t="shared" si="516"/>
        <v>8</v>
      </c>
      <c r="AR1898">
        <f t="shared" si="517"/>
        <v>0</v>
      </c>
      <c r="AS1898">
        <f t="shared" si="518"/>
        <v>5</v>
      </c>
    </row>
    <row r="1899" customHeight="1" spans="1:45">
      <c r="A1899" s="3" t="str">
        <f>IF(对接源_02物料!$C699="","",对接源_02物料!$C699)</f>
        <v/>
      </c>
      <c r="B1899" s="3">
        <f t="shared" si="503"/>
        <v>0</v>
      </c>
      <c r="C1899" s="3">
        <f t="shared" si="504"/>
        <v>21</v>
      </c>
      <c r="K1899" s="3">
        <f>IF(OR($K$1="",对接源_02物料!$C699="",对接源_02物料!$C699&lt;&gt;$K$1,对接源_02物料!$B699=""),0,IF(OR(N(对接源_02物料!$B699)&lt;$K$2,N(对接源_02物料!$B699)&gt;$K$3),0,1))</f>
        <v>0</v>
      </c>
      <c r="L1899" s="3">
        <f>IF(OR($L$1="",对接源_02物料!$C699="",对接源_02物料!$C699&lt;&gt;$L$1,对接源_02物料!$B699=""),0,IF(OR(N(对接源_02物料!$B699)&lt;$L$2,N(对接源_02物料!$B699)&gt;$L$3),0,1))</f>
        <v>0</v>
      </c>
      <c r="M1899" s="3">
        <f>IF(OR($M$1="",对接源_02物料!$C699="",对接源_02物料!$C699&lt;&gt;$M$1,对接源_02物料!$B699=""),0,IF(OR(N(对接源_02物料!$B699)&lt;$M$2,N(对接源_02物料!$B699)&gt;$M$3),0,1))</f>
        <v>0</v>
      </c>
      <c r="N1899" s="3">
        <f>IF(OR($N$1="",对接源_02物料!$C699="",对接源_02物料!$C699&lt;&gt;$N$1,对接源_02物料!$B699=""),0,IF(OR(N(对接源_02物料!$B699)&lt;$N$2,N(对接源_02物料!$B699)&gt;$N$3),0,1))</f>
        <v>0</v>
      </c>
      <c r="P1899" s="3">
        <f>IF(AND($K1899=1,AND(对接源_02物料!$X699="公司筐",N(对接源_02物料!$T699)&lt;&gt;0)),1,0)</f>
        <v>0</v>
      </c>
      <c r="Q1899" s="3">
        <f t="shared" si="505"/>
        <v>8</v>
      </c>
      <c r="R1899" s="3">
        <f>IF(AND($K1899=1,AND(对接源_02物料!$X699="公司筐",N(对接源_02物料!$U699)&lt;&gt;0)),1,0)</f>
        <v>0</v>
      </c>
      <c r="S1899" s="3">
        <f t="shared" si="506"/>
        <v>0</v>
      </c>
      <c r="T1899" s="3">
        <f>IF(AND($K1899=1,AND(对接源_02物料!$X699="公司筐",N(对接源_02物料!$V699)&lt;&gt;0)),1,0)</f>
        <v>0</v>
      </c>
      <c r="U1899" s="3">
        <f t="shared" si="507"/>
        <v>19</v>
      </c>
      <c r="V1899" s="3">
        <f>IF(AND($L1899=1,AND(对接源_02物料!$X699="自备筐",N(对接源_02物料!$V699)&lt;&gt;0)),1,0)</f>
        <v>0</v>
      </c>
      <c r="W1899" s="3">
        <f t="shared" si="508"/>
        <v>8</v>
      </c>
      <c r="X1899" s="3">
        <f>IF(AND($L1899=1,AND(对接源_02物料!$X699="自备筐",N(对接源_02物料!$T699)&lt;&gt;0)),1,0)</f>
        <v>0</v>
      </c>
      <c r="Y1899" s="3">
        <f t="shared" si="509"/>
        <v>0</v>
      </c>
      <c r="Z1899" s="3">
        <f>IF(AND($M1899=1,对接源_02物料!$D699="原料入库"),1,0)</f>
        <v>0</v>
      </c>
      <c r="AA1899" s="3">
        <f t="shared" si="510"/>
        <v>24</v>
      </c>
      <c r="AB1899" s="3">
        <f>IF(AND($M1899=1,LEFT(对接源_02物料!$D699,4)="原料出库"),1,0)</f>
        <v>0</v>
      </c>
      <c r="AC1899" s="3">
        <f t="shared" si="511"/>
        <v>0</v>
      </c>
      <c r="AD1899" s="3">
        <f>IF(AND($M1899=1,LEFT(对接源_02物料!$D699,4)="成品出库"),1,0)</f>
        <v>0</v>
      </c>
      <c r="AE1899" s="3">
        <f t="shared" si="512"/>
        <v>0</v>
      </c>
      <c r="AF1899" s="3">
        <f>IF(AND($N1899=1,AND(LEFT(对接源_02物料!$D699,4)="包装物料",N(对接源_02物料!$K699)&lt;&gt;0)),1,0)</f>
        <v>0</v>
      </c>
      <c r="AG1899" s="3">
        <f t="shared" si="513"/>
        <v>5</v>
      </c>
      <c r="AH1899" s="3">
        <f>IF(AND($N1899=1,AND(对接源_02物料!$D699="周转筐－销售出库",N(对接源_02物料!$K699)&lt;&gt;0)),1,0)</f>
        <v>0</v>
      </c>
      <c r="AI1899" s="3">
        <f t="shared" si="514"/>
        <v>0</v>
      </c>
      <c r="AL1899" s="3">
        <v>0</v>
      </c>
      <c r="AM1899" s="3">
        <f t="shared" si="515"/>
        <v>1</v>
      </c>
      <c r="AN1899" s="3" t="str">
        <f t="shared" si="502"/>
        <v/>
      </c>
      <c r="AO1899" s="3">
        <v>0</v>
      </c>
      <c r="AP1899" s="3">
        <f t="shared" si="516"/>
        <v>8</v>
      </c>
      <c r="AR1899">
        <f t="shared" si="517"/>
        <v>0</v>
      </c>
      <c r="AS1899">
        <f t="shared" si="518"/>
        <v>5</v>
      </c>
    </row>
    <row r="1900" customHeight="1" spans="1:45">
      <c r="A1900" s="3" t="str">
        <f>IF(对接源_02物料!$C700="","",对接源_02物料!$C700)</f>
        <v/>
      </c>
      <c r="B1900" s="3">
        <f t="shared" si="503"/>
        <v>0</v>
      </c>
      <c r="C1900" s="3">
        <f t="shared" si="504"/>
        <v>21</v>
      </c>
      <c r="K1900" s="3">
        <f>IF(OR($K$1="",对接源_02物料!$C700="",对接源_02物料!$C700&lt;&gt;$K$1,对接源_02物料!$B700=""),0,IF(OR(N(对接源_02物料!$B700)&lt;$K$2,N(对接源_02物料!$B700)&gt;$K$3),0,1))</f>
        <v>0</v>
      </c>
      <c r="L1900" s="3">
        <f>IF(OR($L$1="",对接源_02物料!$C700="",对接源_02物料!$C700&lt;&gt;$L$1,对接源_02物料!$B700=""),0,IF(OR(N(对接源_02物料!$B700)&lt;$L$2,N(对接源_02物料!$B700)&gt;$L$3),0,1))</f>
        <v>0</v>
      </c>
      <c r="M1900" s="3">
        <f>IF(OR($M$1="",对接源_02物料!$C700="",对接源_02物料!$C700&lt;&gt;$M$1,对接源_02物料!$B700=""),0,IF(OR(N(对接源_02物料!$B700)&lt;$M$2,N(对接源_02物料!$B700)&gt;$M$3),0,1))</f>
        <v>0</v>
      </c>
      <c r="N1900" s="3">
        <f>IF(OR($N$1="",对接源_02物料!$C700="",对接源_02物料!$C700&lt;&gt;$N$1,对接源_02物料!$B700=""),0,IF(OR(N(对接源_02物料!$B700)&lt;$N$2,N(对接源_02物料!$B700)&gt;$N$3),0,1))</f>
        <v>0</v>
      </c>
      <c r="P1900" s="3">
        <f>IF(AND($K1900=1,AND(对接源_02物料!$X700="公司筐",N(对接源_02物料!$T700)&lt;&gt;0)),1,0)</f>
        <v>0</v>
      </c>
      <c r="Q1900" s="3">
        <f t="shared" si="505"/>
        <v>8</v>
      </c>
      <c r="R1900" s="3">
        <f>IF(AND($K1900=1,AND(对接源_02物料!$X700="公司筐",N(对接源_02物料!$U700)&lt;&gt;0)),1,0)</f>
        <v>0</v>
      </c>
      <c r="S1900" s="3">
        <f t="shared" si="506"/>
        <v>0</v>
      </c>
      <c r="T1900" s="3">
        <f>IF(AND($K1900=1,AND(对接源_02物料!$X700="公司筐",N(对接源_02物料!$V700)&lt;&gt;0)),1,0)</f>
        <v>0</v>
      </c>
      <c r="U1900" s="3">
        <f t="shared" si="507"/>
        <v>19</v>
      </c>
      <c r="V1900" s="3">
        <f>IF(AND($L1900=1,AND(对接源_02物料!$X700="自备筐",N(对接源_02物料!$V700)&lt;&gt;0)),1,0)</f>
        <v>0</v>
      </c>
      <c r="W1900" s="3">
        <f t="shared" si="508"/>
        <v>8</v>
      </c>
      <c r="X1900" s="3">
        <f>IF(AND($L1900=1,AND(对接源_02物料!$X700="自备筐",N(对接源_02物料!$T700)&lt;&gt;0)),1,0)</f>
        <v>0</v>
      </c>
      <c r="Y1900" s="3">
        <f t="shared" si="509"/>
        <v>0</v>
      </c>
      <c r="Z1900" s="3">
        <f>IF(AND($M1900=1,对接源_02物料!$D700="原料入库"),1,0)</f>
        <v>0</v>
      </c>
      <c r="AA1900" s="3">
        <f t="shared" si="510"/>
        <v>24</v>
      </c>
      <c r="AB1900" s="3">
        <f>IF(AND($M1900=1,LEFT(对接源_02物料!$D700,4)="原料出库"),1,0)</f>
        <v>0</v>
      </c>
      <c r="AC1900" s="3">
        <f t="shared" si="511"/>
        <v>0</v>
      </c>
      <c r="AD1900" s="3">
        <f>IF(AND($M1900=1,LEFT(对接源_02物料!$D700,4)="成品出库"),1,0)</f>
        <v>0</v>
      </c>
      <c r="AE1900" s="3">
        <f t="shared" si="512"/>
        <v>0</v>
      </c>
      <c r="AF1900" s="3">
        <f>IF(AND($N1900=1,AND(LEFT(对接源_02物料!$D700,4)="包装物料",N(对接源_02物料!$K700)&lt;&gt;0)),1,0)</f>
        <v>0</v>
      </c>
      <c r="AG1900" s="3">
        <f t="shared" si="513"/>
        <v>5</v>
      </c>
      <c r="AH1900" s="3">
        <f>IF(AND($N1900=1,AND(对接源_02物料!$D700="周转筐－销售出库",N(对接源_02物料!$K700)&lt;&gt;0)),1,0)</f>
        <v>0</v>
      </c>
      <c r="AI1900" s="3">
        <f t="shared" si="514"/>
        <v>0</v>
      </c>
      <c r="AL1900" s="3">
        <v>0</v>
      </c>
      <c r="AM1900" s="3">
        <f t="shared" si="515"/>
        <v>1</v>
      </c>
      <c r="AN1900" s="3" t="str">
        <f t="shared" si="502"/>
        <v/>
      </c>
      <c r="AO1900" s="3">
        <v>0</v>
      </c>
      <c r="AP1900" s="3">
        <f t="shared" si="516"/>
        <v>8</v>
      </c>
      <c r="AR1900">
        <f t="shared" si="517"/>
        <v>0</v>
      </c>
      <c r="AS1900">
        <f t="shared" si="518"/>
        <v>5</v>
      </c>
    </row>
    <row r="1901" customHeight="1" spans="1:45">
      <c r="A1901" s="3" t="str">
        <f>IF(对接源_02物料!$C701="","",对接源_02物料!$C701)</f>
        <v/>
      </c>
      <c r="B1901" s="3">
        <f t="shared" si="503"/>
        <v>0</v>
      </c>
      <c r="C1901" s="3">
        <f t="shared" si="504"/>
        <v>21</v>
      </c>
      <c r="K1901" s="3">
        <f>IF(OR($K$1="",对接源_02物料!$C701="",对接源_02物料!$C701&lt;&gt;$K$1,对接源_02物料!$B701=""),0,IF(OR(N(对接源_02物料!$B701)&lt;$K$2,N(对接源_02物料!$B701)&gt;$K$3),0,1))</f>
        <v>0</v>
      </c>
      <c r="L1901" s="3">
        <f>IF(OR($L$1="",对接源_02物料!$C701="",对接源_02物料!$C701&lt;&gt;$L$1,对接源_02物料!$B701=""),0,IF(OR(N(对接源_02物料!$B701)&lt;$L$2,N(对接源_02物料!$B701)&gt;$L$3),0,1))</f>
        <v>0</v>
      </c>
      <c r="M1901" s="3">
        <f>IF(OR($M$1="",对接源_02物料!$C701="",对接源_02物料!$C701&lt;&gt;$M$1,对接源_02物料!$B701=""),0,IF(OR(N(对接源_02物料!$B701)&lt;$M$2,N(对接源_02物料!$B701)&gt;$M$3),0,1))</f>
        <v>0</v>
      </c>
      <c r="N1901" s="3">
        <f>IF(OR($N$1="",对接源_02物料!$C701="",对接源_02物料!$C701&lt;&gt;$N$1,对接源_02物料!$B701=""),0,IF(OR(N(对接源_02物料!$B701)&lt;$N$2,N(对接源_02物料!$B701)&gt;$N$3),0,1))</f>
        <v>0</v>
      </c>
      <c r="P1901" s="3">
        <f>IF(AND($K1901=1,AND(对接源_02物料!$X701="公司筐",N(对接源_02物料!$T701)&lt;&gt;0)),1,0)</f>
        <v>0</v>
      </c>
      <c r="Q1901" s="3">
        <f t="shared" si="505"/>
        <v>8</v>
      </c>
      <c r="R1901" s="3">
        <f>IF(AND($K1901=1,AND(对接源_02物料!$X701="公司筐",N(对接源_02物料!$U701)&lt;&gt;0)),1,0)</f>
        <v>0</v>
      </c>
      <c r="S1901" s="3">
        <f t="shared" si="506"/>
        <v>0</v>
      </c>
      <c r="T1901" s="3">
        <f>IF(AND($K1901=1,AND(对接源_02物料!$X701="公司筐",N(对接源_02物料!$V701)&lt;&gt;0)),1,0)</f>
        <v>0</v>
      </c>
      <c r="U1901" s="3">
        <f t="shared" si="507"/>
        <v>19</v>
      </c>
      <c r="V1901" s="3">
        <f>IF(AND($L1901=1,AND(对接源_02物料!$X701="自备筐",N(对接源_02物料!$V701)&lt;&gt;0)),1,0)</f>
        <v>0</v>
      </c>
      <c r="W1901" s="3">
        <f t="shared" si="508"/>
        <v>8</v>
      </c>
      <c r="X1901" s="3">
        <f>IF(AND($L1901=1,AND(对接源_02物料!$X701="自备筐",N(对接源_02物料!$T701)&lt;&gt;0)),1,0)</f>
        <v>0</v>
      </c>
      <c r="Y1901" s="3">
        <f t="shared" si="509"/>
        <v>0</v>
      </c>
      <c r="Z1901" s="3">
        <f>IF(AND($M1901=1,对接源_02物料!$D701="原料入库"),1,0)</f>
        <v>0</v>
      </c>
      <c r="AA1901" s="3">
        <f t="shared" si="510"/>
        <v>24</v>
      </c>
      <c r="AB1901" s="3">
        <f>IF(AND($M1901=1,LEFT(对接源_02物料!$D701,4)="原料出库"),1,0)</f>
        <v>0</v>
      </c>
      <c r="AC1901" s="3">
        <f t="shared" si="511"/>
        <v>0</v>
      </c>
      <c r="AD1901" s="3">
        <f>IF(AND($M1901=1,LEFT(对接源_02物料!$D701,4)="成品出库"),1,0)</f>
        <v>0</v>
      </c>
      <c r="AE1901" s="3">
        <f t="shared" si="512"/>
        <v>0</v>
      </c>
      <c r="AF1901" s="3">
        <f>IF(AND($N1901=1,AND(LEFT(对接源_02物料!$D701,4)="包装物料",N(对接源_02物料!$K701)&lt;&gt;0)),1,0)</f>
        <v>0</v>
      </c>
      <c r="AG1901" s="3">
        <f t="shared" si="513"/>
        <v>5</v>
      </c>
      <c r="AH1901" s="3">
        <f>IF(AND($N1901=1,AND(对接源_02物料!$D701="周转筐－销售出库",N(对接源_02物料!$K701)&lt;&gt;0)),1,0)</f>
        <v>0</v>
      </c>
      <c r="AI1901" s="3">
        <f t="shared" si="514"/>
        <v>0</v>
      </c>
      <c r="AL1901" s="3">
        <v>0</v>
      </c>
      <c r="AM1901" s="3">
        <f t="shared" si="515"/>
        <v>1</v>
      </c>
      <c r="AN1901" s="3" t="str">
        <f t="shared" si="502"/>
        <v/>
      </c>
      <c r="AO1901" s="3">
        <v>0</v>
      </c>
      <c r="AP1901" s="3">
        <f t="shared" si="516"/>
        <v>8</v>
      </c>
      <c r="AR1901">
        <f t="shared" si="517"/>
        <v>0</v>
      </c>
      <c r="AS1901">
        <f t="shared" si="518"/>
        <v>5</v>
      </c>
    </row>
    <row r="1902" customHeight="1" spans="1:45">
      <c r="A1902" s="3" t="str">
        <f>IF(对接源_02物料!$C702="","",对接源_02物料!$C702)</f>
        <v/>
      </c>
      <c r="B1902" s="3">
        <f t="shared" si="503"/>
        <v>0</v>
      </c>
      <c r="C1902" s="3">
        <f t="shared" si="504"/>
        <v>21</v>
      </c>
      <c r="K1902" s="3">
        <f>IF(OR($K$1="",对接源_02物料!$C702="",对接源_02物料!$C702&lt;&gt;$K$1,对接源_02物料!$B702=""),0,IF(OR(N(对接源_02物料!$B702)&lt;$K$2,N(对接源_02物料!$B702)&gt;$K$3),0,1))</f>
        <v>0</v>
      </c>
      <c r="L1902" s="3">
        <f>IF(OR($L$1="",对接源_02物料!$C702="",对接源_02物料!$C702&lt;&gt;$L$1,对接源_02物料!$B702=""),0,IF(OR(N(对接源_02物料!$B702)&lt;$L$2,N(对接源_02物料!$B702)&gt;$L$3),0,1))</f>
        <v>0</v>
      </c>
      <c r="M1902" s="3">
        <f>IF(OR($M$1="",对接源_02物料!$C702="",对接源_02物料!$C702&lt;&gt;$M$1,对接源_02物料!$B702=""),0,IF(OR(N(对接源_02物料!$B702)&lt;$M$2,N(对接源_02物料!$B702)&gt;$M$3),0,1))</f>
        <v>0</v>
      </c>
      <c r="N1902" s="3">
        <f>IF(OR($N$1="",对接源_02物料!$C702="",对接源_02物料!$C702&lt;&gt;$N$1,对接源_02物料!$B702=""),0,IF(OR(N(对接源_02物料!$B702)&lt;$N$2,N(对接源_02物料!$B702)&gt;$N$3),0,1))</f>
        <v>0</v>
      </c>
      <c r="P1902" s="3">
        <f>IF(AND($K1902=1,AND(对接源_02物料!$X702="公司筐",N(对接源_02物料!$T702)&lt;&gt;0)),1,0)</f>
        <v>0</v>
      </c>
      <c r="Q1902" s="3">
        <f t="shared" si="505"/>
        <v>8</v>
      </c>
      <c r="R1902" s="3">
        <f>IF(AND($K1902=1,AND(对接源_02物料!$X702="公司筐",N(对接源_02物料!$U702)&lt;&gt;0)),1,0)</f>
        <v>0</v>
      </c>
      <c r="S1902" s="3">
        <f t="shared" si="506"/>
        <v>0</v>
      </c>
      <c r="T1902" s="3">
        <f>IF(AND($K1902=1,AND(对接源_02物料!$X702="公司筐",N(对接源_02物料!$V702)&lt;&gt;0)),1,0)</f>
        <v>0</v>
      </c>
      <c r="U1902" s="3">
        <f t="shared" si="507"/>
        <v>19</v>
      </c>
      <c r="V1902" s="3">
        <f>IF(AND($L1902=1,AND(对接源_02物料!$X702="自备筐",N(对接源_02物料!$V702)&lt;&gt;0)),1,0)</f>
        <v>0</v>
      </c>
      <c r="W1902" s="3">
        <f t="shared" si="508"/>
        <v>8</v>
      </c>
      <c r="X1902" s="3">
        <f>IF(AND($L1902=1,AND(对接源_02物料!$X702="自备筐",N(对接源_02物料!$T702)&lt;&gt;0)),1,0)</f>
        <v>0</v>
      </c>
      <c r="Y1902" s="3">
        <f t="shared" si="509"/>
        <v>0</v>
      </c>
      <c r="Z1902" s="3">
        <f>IF(AND($M1902=1,对接源_02物料!$D702="原料入库"),1,0)</f>
        <v>0</v>
      </c>
      <c r="AA1902" s="3">
        <f t="shared" si="510"/>
        <v>24</v>
      </c>
      <c r="AB1902" s="3">
        <f>IF(AND($M1902=1,LEFT(对接源_02物料!$D702,4)="原料出库"),1,0)</f>
        <v>0</v>
      </c>
      <c r="AC1902" s="3">
        <f t="shared" si="511"/>
        <v>0</v>
      </c>
      <c r="AD1902" s="3">
        <f>IF(AND($M1902=1,LEFT(对接源_02物料!$D702,4)="成品出库"),1,0)</f>
        <v>0</v>
      </c>
      <c r="AE1902" s="3">
        <f t="shared" si="512"/>
        <v>0</v>
      </c>
      <c r="AF1902" s="3">
        <f>IF(AND($N1902=1,AND(LEFT(对接源_02物料!$D702,4)="包装物料",N(对接源_02物料!$K702)&lt;&gt;0)),1,0)</f>
        <v>0</v>
      </c>
      <c r="AG1902" s="3">
        <f t="shared" si="513"/>
        <v>5</v>
      </c>
      <c r="AH1902" s="3">
        <f>IF(AND($N1902=1,AND(对接源_02物料!$D702="周转筐－销售出库",N(对接源_02物料!$K702)&lt;&gt;0)),1,0)</f>
        <v>0</v>
      </c>
      <c r="AI1902" s="3">
        <f t="shared" si="514"/>
        <v>0</v>
      </c>
      <c r="AL1902" s="3">
        <v>0</v>
      </c>
      <c r="AM1902" s="3">
        <f t="shared" si="515"/>
        <v>1</v>
      </c>
      <c r="AN1902" s="3" t="str">
        <f t="shared" si="502"/>
        <v/>
      </c>
      <c r="AO1902" s="3">
        <v>0</v>
      </c>
      <c r="AP1902" s="3">
        <f t="shared" si="516"/>
        <v>8</v>
      </c>
      <c r="AR1902">
        <f t="shared" si="517"/>
        <v>0</v>
      </c>
      <c r="AS1902">
        <f t="shared" si="518"/>
        <v>5</v>
      </c>
    </row>
    <row r="1903" customHeight="1" spans="1:45">
      <c r="A1903" s="3" t="str">
        <f>IF(对接源_02物料!$C703="","",对接源_02物料!$C703)</f>
        <v/>
      </c>
      <c r="B1903" s="3">
        <f t="shared" si="503"/>
        <v>0</v>
      </c>
      <c r="C1903" s="3">
        <f t="shared" si="504"/>
        <v>21</v>
      </c>
      <c r="K1903" s="3">
        <f>IF(OR($K$1="",对接源_02物料!$C703="",对接源_02物料!$C703&lt;&gt;$K$1,对接源_02物料!$B703=""),0,IF(OR(N(对接源_02物料!$B703)&lt;$K$2,N(对接源_02物料!$B703)&gt;$K$3),0,1))</f>
        <v>0</v>
      </c>
      <c r="L1903" s="3">
        <f>IF(OR($L$1="",对接源_02物料!$C703="",对接源_02物料!$C703&lt;&gt;$L$1,对接源_02物料!$B703=""),0,IF(OR(N(对接源_02物料!$B703)&lt;$L$2,N(对接源_02物料!$B703)&gt;$L$3),0,1))</f>
        <v>0</v>
      </c>
      <c r="M1903" s="3">
        <f>IF(OR($M$1="",对接源_02物料!$C703="",对接源_02物料!$C703&lt;&gt;$M$1,对接源_02物料!$B703=""),0,IF(OR(N(对接源_02物料!$B703)&lt;$M$2,N(对接源_02物料!$B703)&gt;$M$3),0,1))</f>
        <v>0</v>
      </c>
      <c r="N1903" s="3">
        <f>IF(OR($N$1="",对接源_02物料!$C703="",对接源_02物料!$C703&lt;&gt;$N$1,对接源_02物料!$B703=""),0,IF(OR(N(对接源_02物料!$B703)&lt;$N$2,N(对接源_02物料!$B703)&gt;$N$3),0,1))</f>
        <v>0</v>
      </c>
      <c r="P1903" s="3">
        <f>IF(AND($K1903=1,AND(对接源_02物料!$X703="公司筐",N(对接源_02物料!$T703)&lt;&gt;0)),1,0)</f>
        <v>0</v>
      </c>
      <c r="Q1903" s="3">
        <f t="shared" si="505"/>
        <v>8</v>
      </c>
      <c r="R1903" s="3">
        <f>IF(AND($K1903=1,AND(对接源_02物料!$X703="公司筐",N(对接源_02物料!$U703)&lt;&gt;0)),1,0)</f>
        <v>0</v>
      </c>
      <c r="S1903" s="3">
        <f t="shared" si="506"/>
        <v>0</v>
      </c>
      <c r="T1903" s="3">
        <f>IF(AND($K1903=1,AND(对接源_02物料!$X703="公司筐",N(对接源_02物料!$V703)&lt;&gt;0)),1,0)</f>
        <v>0</v>
      </c>
      <c r="U1903" s="3">
        <f t="shared" si="507"/>
        <v>19</v>
      </c>
      <c r="V1903" s="3">
        <f>IF(AND($L1903=1,AND(对接源_02物料!$X703="自备筐",N(对接源_02物料!$V703)&lt;&gt;0)),1,0)</f>
        <v>0</v>
      </c>
      <c r="W1903" s="3">
        <f t="shared" si="508"/>
        <v>8</v>
      </c>
      <c r="X1903" s="3">
        <f>IF(AND($L1903=1,AND(对接源_02物料!$X703="自备筐",N(对接源_02物料!$T703)&lt;&gt;0)),1,0)</f>
        <v>0</v>
      </c>
      <c r="Y1903" s="3">
        <f t="shared" si="509"/>
        <v>0</v>
      </c>
      <c r="Z1903" s="3">
        <f>IF(AND($M1903=1,对接源_02物料!$D703="原料入库"),1,0)</f>
        <v>0</v>
      </c>
      <c r="AA1903" s="3">
        <f t="shared" si="510"/>
        <v>24</v>
      </c>
      <c r="AB1903" s="3">
        <f>IF(AND($M1903=1,LEFT(对接源_02物料!$D703,4)="原料出库"),1,0)</f>
        <v>0</v>
      </c>
      <c r="AC1903" s="3">
        <f t="shared" si="511"/>
        <v>0</v>
      </c>
      <c r="AD1903" s="3">
        <f>IF(AND($M1903=1,LEFT(对接源_02物料!$D703,4)="成品出库"),1,0)</f>
        <v>0</v>
      </c>
      <c r="AE1903" s="3">
        <f t="shared" si="512"/>
        <v>0</v>
      </c>
      <c r="AF1903" s="3">
        <f>IF(AND($N1903=1,AND(LEFT(对接源_02物料!$D703,4)="包装物料",N(对接源_02物料!$K703)&lt;&gt;0)),1,0)</f>
        <v>0</v>
      </c>
      <c r="AG1903" s="3">
        <f t="shared" si="513"/>
        <v>5</v>
      </c>
      <c r="AH1903" s="3">
        <f>IF(AND($N1903=1,AND(对接源_02物料!$D703="周转筐－销售出库",N(对接源_02物料!$K703)&lt;&gt;0)),1,0)</f>
        <v>0</v>
      </c>
      <c r="AI1903" s="3">
        <f t="shared" si="514"/>
        <v>0</v>
      </c>
      <c r="AL1903" s="3">
        <v>0</v>
      </c>
      <c r="AM1903" s="3">
        <f t="shared" si="515"/>
        <v>1</v>
      </c>
      <c r="AN1903" s="3" t="str">
        <f t="shared" si="502"/>
        <v/>
      </c>
      <c r="AO1903" s="3">
        <v>0</v>
      </c>
      <c r="AP1903" s="3">
        <f t="shared" si="516"/>
        <v>8</v>
      </c>
      <c r="AR1903">
        <f t="shared" si="517"/>
        <v>0</v>
      </c>
      <c r="AS1903">
        <f t="shared" si="518"/>
        <v>5</v>
      </c>
    </row>
    <row r="1904" customHeight="1" spans="1:45">
      <c r="A1904" s="3" t="str">
        <f>IF(对接源_02物料!$C704="","",对接源_02物料!$C704)</f>
        <v/>
      </c>
      <c r="B1904" s="3">
        <f t="shared" si="503"/>
        <v>0</v>
      </c>
      <c r="C1904" s="3">
        <f t="shared" si="504"/>
        <v>21</v>
      </c>
      <c r="K1904" s="3">
        <f>IF(OR($K$1="",对接源_02物料!$C704="",对接源_02物料!$C704&lt;&gt;$K$1,对接源_02物料!$B704=""),0,IF(OR(N(对接源_02物料!$B704)&lt;$K$2,N(对接源_02物料!$B704)&gt;$K$3),0,1))</f>
        <v>0</v>
      </c>
      <c r="L1904" s="3">
        <f>IF(OR($L$1="",对接源_02物料!$C704="",对接源_02物料!$C704&lt;&gt;$L$1,对接源_02物料!$B704=""),0,IF(OR(N(对接源_02物料!$B704)&lt;$L$2,N(对接源_02物料!$B704)&gt;$L$3),0,1))</f>
        <v>0</v>
      </c>
      <c r="M1904" s="3">
        <f>IF(OR($M$1="",对接源_02物料!$C704="",对接源_02物料!$C704&lt;&gt;$M$1,对接源_02物料!$B704=""),0,IF(OR(N(对接源_02物料!$B704)&lt;$M$2,N(对接源_02物料!$B704)&gt;$M$3),0,1))</f>
        <v>0</v>
      </c>
      <c r="N1904" s="3">
        <f>IF(OR($N$1="",对接源_02物料!$C704="",对接源_02物料!$C704&lt;&gt;$N$1,对接源_02物料!$B704=""),0,IF(OR(N(对接源_02物料!$B704)&lt;$N$2,N(对接源_02物料!$B704)&gt;$N$3),0,1))</f>
        <v>0</v>
      </c>
      <c r="P1904" s="3">
        <f>IF(AND($K1904=1,AND(对接源_02物料!$X704="公司筐",N(对接源_02物料!$T704)&lt;&gt;0)),1,0)</f>
        <v>0</v>
      </c>
      <c r="Q1904" s="3">
        <f t="shared" si="505"/>
        <v>8</v>
      </c>
      <c r="R1904" s="3">
        <f>IF(AND($K1904=1,AND(对接源_02物料!$X704="公司筐",N(对接源_02物料!$U704)&lt;&gt;0)),1,0)</f>
        <v>0</v>
      </c>
      <c r="S1904" s="3">
        <f t="shared" si="506"/>
        <v>0</v>
      </c>
      <c r="T1904" s="3">
        <f>IF(AND($K1904=1,AND(对接源_02物料!$X704="公司筐",N(对接源_02物料!$V704)&lt;&gt;0)),1,0)</f>
        <v>0</v>
      </c>
      <c r="U1904" s="3">
        <f t="shared" si="507"/>
        <v>19</v>
      </c>
      <c r="V1904" s="3">
        <f>IF(AND($L1904=1,AND(对接源_02物料!$X704="自备筐",N(对接源_02物料!$V704)&lt;&gt;0)),1,0)</f>
        <v>0</v>
      </c>
      <c r="W1904" s="3">
        <f t="shared" si="508"/>
        <v>8</v>
      </c>
      <c r="X1904" s="3">
        <f>IF(AND($L1904=1,AND(对接源_02物料!$X704="自备筐",N(对接源_02物料!$T704)&lt;&gt;0)),1,0)</f>
        <v>0</v>
      </c>
      <c r="Y1904" s="3">
        <f t="shared" si="509"/>
        <v>0</v>
      </c>
      <c r="Z1904" s="3">
        <f>IF(AND($M1904=1,对接源_02物料!$D704="原料入库"),1,0)</f>
        <v>0</v>
      </c>
      <c r="AA1904" s="3">
        <f t="shared" si="510"/>
        <v>24</v>
      </c>
      <c r="AB1904" s="3">
        <f>IF(AND($M1904=1,LEFT(对接源_02物料!$D704,4)="原料出库"),1,0)</f>
        <v>0</v>
      </c>
      <c r="AC1904" s="3">
        <f t="shared" si="511"/>
        <v>0</v>
      </c>
      <c r="AD1904" s="3">
        <f>IF(AND($M1904=1,LEFT(对接源_02物料!$D704,4)="成品出库"),1,0)</f>
        <v>0</v>
      </c>
      <c r="AE1904" s="3">
        <f t="shared" si="512"/>
        <v>0</v>
      </c>
      <c r="AF1904" s="3">
        <f>IF(AND($N1904=1,AND(LEFT(对接源_02物料!$D704,4)="包装物料",N(对接源_02物料!$K704)&lt;&gt;0)),1,0)</f>
        <v>0</v>
      </c>
      <c r="AG1904" s="3">
        <f t="shared" si="513"/>
        <v>5</v>
      </c>
      <c r="AH1904" s="3">
        <f>IF(AND($N1904=1,AND(对接源_02物料!$D704="周转筐－销售出库",N(对接源_02物料!$K704)&lt;&gt;0)),1,0)</f>
        <v>0</v>
      </c>
      <c r="AI1904" s="3">
        <f t="shared" si="514"/>
        <v>0</v>
      </c>
      <c r="AL1904" s="3">
        <v>0</v>
      </c>
      <c r="AM1904" s="3">
        <f t="shared" si="515"/>
        <v>1</v>
      </c>
      <c r="AN1904" s="3" t="str">
        <f t="shared" si="502"/>
        <v/>
      </c>
      <c r="AO1904" s="3">
        <v>0</v>
      </c>
      <c r="AP1904" s="3">
        <f t="shared" si="516"/>
        <v>8</v>
      </c>
      <c r="AR1904">
        <f t="shared" si="517"/>
        <v>0</v>
      </c>
      <c r="AS1904">
        <f t="shared" si="518"/>
        <v>5</v>
      </c>
    </row>
    <row r="1905" customHeight="1" spans="1:45">
      <c r="A1905" s="3" t="str">
        <f>IF(对接源_02物料!$C705="","",对接源_02物料!$C705)</f>
        <v/>
      </c>
      <c r="B1905" s="3">
        <f t="shared" si="503"/>
        <v>0</v>
      </c>
      <c r="C1905" s="3">
        <f t="shared" si="504"/>
        <v>21</v>
      </c>
      <c r="K1905" s="3">
        <f>IF(OR($K$1="",对接源_02物料!$C705="",对接源_02物料!$C705&lt;&gt;$K$1,对接源_02物料!$B705=""),0,IF(OR(N(对接源_02物料!$B705)&lt;$K$2,N(对接源_02物料!$B705)&gt;$K$3),0,1))</f>
        <v>0</v>
      </c>
      <c r="L1905" s="3">
        <f>IF(OR($L$1="",对接源_02物料!$C705="",对接源_02物料!$C705&lt;&gt;$L$1,对接源_02物料!$B705=""),0,IF(OR(N(对接源_02物料!$B705)&lt;$L$2,N(对接源_02物料!$B705)&gt;$L$3),0,1))</f>
        <v>0</v>
      </c>
      <c r="M1905" s="3">
        <f>IF(OR($M$1="",对接源_02物料!$C705="",对接源_02物料!$C705&lt;&gt;$M$1,对接源_02物料!$B705=""),0,IF(OR(N(对接源_02物料!$B705)&lt;$M$2,N(对接源_02物料!$B705)&gt;$M$3),0,1))</f>
        <v>0</v>
      </c>
      <c r="N1905" s="3">
        <f>IF(OR($N$1="",对接源_02物料!$C705="",对接源_02物料!$C705&lt;&gt;$N$1,对接源_02物料!$B705=""),0,IF(OR(N(对接源_02物料!$B705)&lt;$N$2,N(对接源_02物料!$B705)&gt;$N$3),0,1))</f>
        <v>0</v>
      </c>
      <c r="P1905" s="3">
        <f>IF(AND($K1905=1,AND(对接源_02物料!$X705="公司筐",N(对接源_02物料!$T705)&lt;&gt;0)),1,0)</f>
        <v>0</v>
      </c>
      <c r="Q1905" s="3">
        <f t="shared" si="505"/>
        <v>8</v>
      </c>
      <c r="R1905" s="3">
        <f>IF(AND($K1905=1,AND(对接源_02物料!$X705="公司筐",N(对接源_02物料!$U705)&lt;&gt;0)),1,0)</f>
        <v>0</v>
      </c>
      <c r="S1905" s="3">
        <f t="shared" si="506"/>
        <v>0</v>
      </c>
      <c r="T1905" s="3">
        <f>IF(AND($K1905=1,AND(对接源_02物料!$X705="公司筐",N(对接源_02物料!$V705)&lt;&gt;0)),1,0)</f>
        <v>0</v>
      </c>
      <c r="U1905" s="3">
        <f t="shared" si="507"/>
        <v>19</v>
      </c>
      <c r="V1905" s="3">
        <f>IF(AND($L1905=1,AND(对接源_02物料!$X705="自备筐",N(对接源_02物料!$V705)&lt;&gt;0)),1,0)</f>
        <v>0</v>
      </c>
      <c r="W1905" s="3">
        <f t="shared" si="508"/>
        <v>8</v>
      </c>
      <c r="X1905" s="3">
        <f>IF(AND($L1905=1,AND(对接源_02物料!$X705="自备筐",N(对接源_02物料!$T705)&lt;&gt;0)),1,0)</f>
        <v>0</v>
      </c>
      <c r="Y1905" s="3">
        <f t="shared" si="509"/>
        <v>0</v>
      </c>
      <c r="Z1905" s="3">
        <f>IF(AND($M1905=1,对接源_02物料!$D705="原料入库"),1,0)</f>
        <v>0</v>
      </c>
      <c r="AA1905" s="3">
        <f t="shared" si="510"/>
        <v>24</v>
      </c>
      <c r="AB1905" s="3">
        <f>IF(AND($M1905=1,LEFT(对接源_02物料!$D705,4)="原料出库"),1,0)</f>
        <v>0</v>
      </c>
      <c r="AC1905" s="3">
        <f t="shared" si="511"/>
        <v>0</v>
      </c>
      <c r="AD1905" s="3">
        <f>IF(AND($M1905=1,LEFT(对接源_02物料!$D705,4)="成品出库"),1,0)</f>
        <v>0</v>
      </c>
      <c r="AE1905" s="3">
        <f t="shared" si="512"/>
        <v>0</v>
      </c>
      <c r="AF1905" s="3">
        <f>IF(AND($N1905=1,AND(LEFT(对接源_02物料!$D705,4)="包装物料",N(对接源_02物料!$K705)&lt;&gt;0)),1,0)</f>
        <v>0</v>
      </c>
      <c r="AG1905" s="3">
        <f t="shared" si="513"/>
        <v>5</v>
      </c>
      <c r="AH1905" s="3">
        <f>IF(AND($N1905=1,AND(对接源_02物料!$D705="周转筐－销售出库",N(对接源_02物料!$K705)&lt;&gt;0)),1,0)</f>
        <v>0</v>
      </c>
      <c r="AI1905" s="3">
        <f t="shared" si="514"/>
        <v>0</v>
      </c>
      <c r="AL1905" s="3">
        <v>0</v>
      </c>
      <c r="AM1905" s="3">
        <f t="shared" si="515"/>
        <v>1</v>
      </c>
      <c r="AN1905" s="3" t="str">
        <f t="shared" si="502"/>
        <v/>
      </c>
      <c r="AO1905" s="3">
        <v>0</v>
      </c>
      <c r="AP1905" s="3">
        <f t="shared" si="516"/>
        <v>8</v>
      </c>
      <c r="AR1905">
        <f t="shared" si="517"/>
        <v>0</v>
      </c>
      <c r="AS1905">
        <f t="shared" si="518"/>
        <v>5</v>
      </c>
    </row>
    <row r="1906" customHeight="1" spans="1:45">
      <c r="A1906" s="3" t="str">
        <f>IF(对接源_02物料!$C706="","",对接源_02物料!$C706)</f>
        <v/>
      </c>
      <c r="B1906" s="3">
        <f t="shared" si="503"/>
        <v>0</v>
      </c>
      <c r="C1906" s="3">
        <f t="shared" si="504"/>
        <v>21</v>
      </c>
      <c r="K1906" s="3">
        <f>IF(OR($K$1="",对接源_02物料!$C706="",对接源_02物料!$C706&lt;&gt;$K$1,对接源_02物料!$B706=""),0,IF(OR(N(对接源_02物料!$B706)&lt;$K$2,N(对接源_02物料!$B706)&gt;$K$3),0,1))</f>
        <v>0</v>
      </c>
      <c r="L1906" s="3">
        <f>IF(OR($L$1="",对接源_02物料!$C706="",对接源_02物料!$C706&lt;&gt;$L$1,对接源_02物料!$B706=""),0,IF(OR(N(对接源_02物料!$B706)&lt;$L$2,N(对接源_02物料!$B706)&gt;$L$3),0,1))</f>
        <v>0</v>
      </c>
      <c r="M1906" s="3">
        <f>IF(OR($M$1="",对接源_02物料!$C706="",对接源_02物料!$C706&lt;&gt;$M$1,对接源_02物料!$B706=""),0,IF(OR(N(对接源_02物料!$B706)&lt;$M$2,N(对接源_02物料!$B706)&gt;$M$3),0,1))</f>
        <v>0</v>
      </c>
      <c r="N1906" s="3">
        <f>IF(OR($N$1="",对接源_02物料!$C706="",对接源_02物料!$C706&lt;&gt;$N$1,对接源_02物料!$B706=""),0,IF(OR(N(对接源_02物料!$B706)&lt;$N$2,N(对接源_02物料!$B706)&gt;$N$3),0,1))</f>
        <v>0</v>
      </c>
      <c r="P1906" s="3">
        <f>IF(AND($K1906=1,AND(对接源_02物料!$X706="公司筐",N(对接源_02物料!$T706)&lt;&gt;0)),1,0)</f>
        <v>0</v>
      </c>
      <c r="Q1906" s="3">
        <f t="shared" si="505"/>
        <v>8</v>
      </c>
      <c r="R1906" s="3">
        <f>IF(AND($K1906=1,AND(对接源_02物料!$X706="公司筐",N(对接源_02物料!$U706)&lt;&gt;0)),1,0)</f>
        <v>0</v>
      </c>
      <c r="S1906" s="3">
        <f t="shared" si="506"/>
        <v>0</v>
      </c>
      <c r="T1906" s="3">
        <f>IF(AND($K1906=1,AND(对接源_02物料!$X706="公司筐",N(对接源_02物料!$V706)&lt;&gt;0)),1,0)</f>
        <v>0</v>
      </c>
      <c r="U1906" s="3">
        <f t="shared" si="507"/>
        <v>19</v>
      </c>
      <c r="V1906" s="3">
        <f>IF(AND($L1906=1,AND(对接源_02物料!$X706="自备筐",N(对接源_02物料!$V706)&lt;&gt;0)),1,0)</f>
        <v>0</v>
      </c>
      <c r="W1906" s="3">
        <f t="shared" si="508"/>
        <v>8</v>
      </c>
      <c r="X1906" s="3">
        <f>IF(AND($L1906=1,AND(对接源_02物料!$X706="自备筐",N(对接源_02物料!$T706)&lt;&gt;0)),1,0)</f>
        <v>0</v>
      </c>
      <c r="Y1906" s="3">
        <f t="shared" si="509"/>
        <v>0</v>
      </c>
      <c r="Z1906" s="3">
        <f>IF(AND($M1906=1,对接源_02物料!$D706="原料入库"),1,0)</f>
        <v>0</v>
      </c>
      <c r="AA1906" s="3">
        <f t="shared" si="510"/>
        <v>24</v>
      </c>
      <c r="AB1906" s="3">
        <f>IF(AND($M1906=1,LEFT(对接源_02物料!$D706,4)="原料出库"),1,0)</f>
        <v>0</v>
      </c>
      <c r="AC1906" s="3">
        <f t="shared" si="511"/>
        <v>0</v>
      </c>
      <c r="AD1906" s="3">
        <f>IF(AND($M1906=1,LEFT(对接源_02物料!$D706,4)="成品出库"),1,0)</f>
        <v>0</v>
      </c>
      <c r="AE1906" s="3">
        <f t="shared" si="512"/>
        <v>0</v>
      </c>
      <c r="AF1906" s="3">
        <f>IF(AND($N1906=1,AND(LEFT(对接源_02物料!$D706,4)="包装物料",N(对接源_02物料!$K706)&lt;&gt;0)),1,0)</f>
        <v>0</v>
      </c>
      <c r="AG1906" s="3">
        <f t="shared" si="513"/>
        <v>5</v>
      </c>
      <c r="AH1906" s="3">
        <f>IF(AND($N1906=1,AND(对接源_02物料!$D706="周转筐－销售出库",N(对接源_02物料!$K706)&lt;&gt;0)),1,0)</f>
        <v>0</v>
      </c>
      <c r="AI1906" s="3">
        <f t="shared" si="514"/>
        <v>0</v>
      </c>
      <c r="AL1906" s="3">
        <v>0</v>
      </c>
      <c r="AM1906" s="3">
        <f t="shared" si="515"/>
        <v>1</v>
      </c>
      <c r="AN1906" s="3" t="str">
        <f t="shared" si="502"/>
        <v/>
      </c>
      <c r="AO1906" s="3">
        <v>0</v>
      </c>
      <c r="AP1906" s="3">
        <f t="shared" si="516"/>
        <v>8</v>
      </c>
      <c r="AR1906">
        <f t="shared" si="517"/>
        <v>0</v>
      </c>
      <c r="AS1906">
        <f t="shared" si="518"/>
        <v>5</v>
      </c>
    </row>
    <row r="1907" customHeight="1" spans="1:45">
      <c r="A1907" s="3" t="str">
        <f>IF(对接源_02物料!$C707="","",对接源_02物料!$C707)</f>
        <v/>
      </c>
      <c r="B1907" s="3">
        <f t="shared" si="503"/>
        <v>0</v>
      </c>
      <c r="C1907" s="3">
        <f t="shared" si="504"/>
        <v>21</v>
      </c>
      <c r="K1907" s="3">
        <f>IF(OR($K$1="",对接源_02物料!$C707="",对接源_02物料!$C707&lt;&gt;$K$1,对接源_02物料!$B707=""),0,IF(OR(N(对接源_02物料!$B707)&lt;$K$2,N(对接源_02物料!$B707)&gt;$K$3),0,1))</f>
        <v>0</v>
      </c>
      <c r="L1907" s="3">
        <f>IF(OR($L$1="",对接源_02物料!$C707="",对接源_02物料!$C707&lt;&gt;$L$1,对接源_02物料!$B707=""),0,IF(OR(N(对接源_02物料!$B707)&lt;$L$2,N(对接源_02物料!$B707)&gt;$L$3),0,1))</f>
        <v>0</v>
      </c>
      <c r="M1907" s="3">
        <f>IF(OR($M$1="",对接源_02物料!$C707="",对接源_02物料!$C707&lt;&gt;$M$1,对接源_02物料!$B707=""),0,IF(OR(N(对接源_02物料!$B707)&lt;$M$2,N(对接源_02物料!$B707)&gt;$M$3),0,1))</f>
        <v>0</v>
      </c>
      <c r="N1907" s="3">
        <f>IF(OR($N$1="",对接源_02物料!$C707="",对接源_02物料!$C707&lt;&gt;$N$1,对接源_02物料!$B707=""),0,IF(OR(N(对接源_02物料!$B707)&lt;$N$2,N(对接源_02物料!$B707)&gt;$N$3),0,1))</f>
        <v>0</v>
      </c>
      <c r="P1907" s="3">
        <f>IF(AND($K1907=1,AND(对接源_02物料!$X707="公司筐",N(对接源_02物料!$T707)&lt;&gt;0)),1,0)</f>
        <v>0</v>
      </c>
      <c r="Q1907" s="3">
        <f t="shared" si="505"/>
        <v>8</v>
      </c>
      <c r="R1907" s="3">
        <f>IF(AND($K1907=1,AND(对接源_02物料!$X707="公司筐",N(对接源_02物料!$U707)&lt;&gt;0)),1,0)</f>
        <v>0</v>
      </c>
      <c r="S1907" s="3">
        <f t="shared" si="506"/>
        <v>0</v>
      </c>
      <c r="T1907" s="3">
        <f>IF(AND($K1907=1,AND(对接源_02物料!$X707="公司筐",N(对接源_02物料!$V707)&lt;&gt;0)),1,0)</f>
        <v>0</v>
      </c>
      <c r="U1907" s="3">
        <f t="shared" si="507"/>
        <v>19</v>
      </c>
      <c r="V1907" s="3">
        <f>IF(AND($L1907=1,AND(对接源_02物料!$X707="自备筐",N(对接源_02物料!$V707)&lt;&gt;0)),1,0)</f>
        <v>0</v>
      </c>
      <c r="W1907" s="3">
        <f t="shared" si="508"/>
        <v>8</v>
      </c>
      <c r="X1907" s="3">
        <f>IF(AND($L1907=1,AND(对接源_02物料!$X707="自备筐",N(对接源_02物料!$T707)&lt;&gt;0)),1,0)</f>
        <v>0</v>
      </c>
      <c r="Y1907" s="3">
        <f t="shared" si="509"/>
        <v>0</v>
      </c>
      <c r="Z1907" s="3">
        <f>IF(AND($M1907=1,对接源_02物料!$D707="原料入库"),1,0)</f>
        <v>0</v>
      </c>
      <c r="AA1907" s="3">
        <f t="shared" si="510"/>
        <v>24</v>
      </c>
      <c r="AB1907" s="3">
        <f>IF(AND($M1907=1,LEFT(对接源_02物料!$D707,4)="原料出库"),1,0)</f>
        <v>0</v>
      </c>
      <c r="AC1907" s="3">
        <f t="shared" si="511"/>
        <v>0</v>
      </c>
      <c r="AD1907" s="3">
        <f>IF(AND($M1907=1,LEFT(对接源_02物料!$D707,4)="成品出库"),1,0)</f>
        <v>0</v>
      </c>
      <c r="AE1907" s="3">
        <f t="shared" si="512"/>
        <v>0</v>
      </c>
      <c r="AF1907" s="3">
        <f>IF(AND($N1907=1,AND(LEFT(对接源_02物料!$D707,4)="包装物料",N(对接源_02物料!$K707)&lt;&gt;0)),1,0)</f>
        <v>0</v>
      </c>
      <c r="AG1907" s="3">
        <f t="shared" si="513"/>
        <v>5</v>
      </c>
      <c r="AH1907" s="3">
        <f>IF(AND($N1907=1,AND(对接源_02物料!$D707="周转筐－销售出库",N(对接源_02物料!$K707)&lt;&gt;0)),1,0)</f>
        <v>0</v>
      </c>
      <c r="AI1907" s="3">
        <f t="shared" si="514"/>
        <v>0</v>
      </c>
      <c r="AL1907" s="3">
        <v>0</v>
      </c>
      <c r="AM1907" s="3">
        <f t="shared" si="515"/>
        <v>1</v>
      </c>
      <c r="AN1907" s="3" t="str">
        <f t="shared" si="502"/>
        <v/>
      </c>
      <c r="AO1907" s="3">
        <v>0</v>
      </c>
      <c r="AP1907" s="3">
        <f t="shared" si="516"/>
        <v>8</v>
      </c>
      <c r="AR1907">
        <f t="shared" si="517"/>
        <v>0</v>
      </c>
      <c r="AS1907">
        <f t="shared" si="518"/>
        <v>5</v>
      </c>
    </row>
    <row r="1908" customHeight="1" spans="1:45">
      <c r="A1908" s="3" t="str">
        <f>IF(对接源_02物料!$C708="","",对接源_02物料!$C708)</f>
        <v/>
      </c>
      <c r="B1908" s="3">
        <f t="shared" si="503"/>
        <v>0</v>
      </c>
      <c r="C1908" s="3">
        <f t="shared" si="504"/>
        <v>21</v>
      </c>
      <c r="K1908" s="3">
        <f>IF(OR($K$1="",对接源_02物料!$C708="",对接源_02物料!$C708&lt;&gt;$K$1,对接源_02物料!$B708=""),0,IF(OR(N(对接源_02物料!$B708)&lt;$K$2,N(对接源_02物料!$B708)&gt;$K$3),0,1))</f>
        <v>0</v>
      </c>
      <c r="L1908" s="3">
        <f>IF(OR($L$1="",对接源_02物料!$C708="",对接源_02物料!$C708&lt;&gt;$L$1,对接源_02物料!$B708=""),0,IF(OR(N(对接源_02物料!$B708)&lt;$L$2,N(对接源_02物料!$B708)&gt;$L$3),0,1))</f>
        <v>0</v>
      </c>
      <c r="M1908" s="3">
        <f>IF(OR($M$1="",对接源_02物料!$C708="",对接源_02物料!$C708&lt;&gt;$M$1,对接源_02物料!$B708=""),0,IF(OR(N(对接源_02物料!$B708)&lt;$M$2,N(对接源_02物料!$B708)&gt;$M$3),0,1))</f>
        <v>0</v>
      </c>
      <c r="N1908" s="3">
        <f>IF(OR($N$1="",对接源_02物料!$C708="",对接源_02物料!$C708&lt;&gt;$N$1,对接源_02物料!$B708=""),0,IF(OR(N(对接源_02物料!$B708)&lt;$N$2,N(对接源_02物料!$B708)&gt;$N$3),0,1))</f>
        <v>0</v>
      </c>
      <c r="P1908" s="3">
        <f>IF(AND($K1908=1,AND(对接源_02物料!$X708="公司筐",N(对接源_02物料!$T708)&lt;&gt;0)),1,0)</f>
        <v>0</v>
      </c>
      <c r="Q1908" s="3">
        <f t="shared" si="505"/>
        <v>8</v>
      </c>
      <c r="R1908" s="3">
        <f>IF(AND($K1908=1,AND(对接源_02物料!$X708="公司筐",N(对接源_02物料!$U708)&lt;&gt;0)),1,0)</f>
        <v>0</v>
      </c>
      <c r="S1908" s="3">
        <f t="shared" si="506"/>
        <v>0</v>
      </c>
      <c r="T1908" s="3">
        <f>IF(AND($K1908=1,AND(对接源_02物料!$X708="公司筐",N(对接源_02物料!$V708)&lt;&gt;0)),1,0)</f>
        <v>0</v>
      </c>
      <c r="U1908" s="3">
        <f t="shared" si="507"/>
        <v>19</v>
      </c>
      <c r="V1908" s="3">
        <f>IF(AND($L1908=1,AND(对接源_02物料!$X708="自备筐",N(对接源_02物料!$V708)&lt;&gt;0)),1,0)</f>
        <v>0</v>
      </c>
      <c r="W1908" s="3">
        <f t="shared" si="508"/>
        <v>8</v>
      </c>
      <c r="X1908" s="3">
        <f>IF(AND($L1908=1,AND(对接源_02物料!$X708="自备筐",N(对接源_02物料!$T708)&lt;&gt;0)),1,0)</f>
        <v>0</v>
      </c>
      <c r="Y1908" s="3">
        <f t="shared" si="509"/>
        <v>0</v>
      </c>
      <c r="Z1908" s="3">
        <f>IF(AND($M1908=1,对接源_02物料!$D708="原料入库"),1,0)</f>
        <v>0</v>
      </c>
      <c r="AA1908" s="3">
        <f t="shared" si="510"/>
        <v>24</v>
      </c>
      <c r="AB1908" s="3">
        <f>IF(AND($M1908=1,LEFT(对接源_02物料!$D708,4)="原料出库"),1,0)</f>
        <v>0</v>
      </c>
      <c r="AC1908" s="3">
        <f t="shared" si="511"/>
        <v>0</v>
      </c>
      <c r="AD1908" s="3">
        <f>IF(AND($M1908=1,LEFT(对接源_02物料!$D708,4)="成品出库"),1,0)</f>
        <v>0</v>
      </c>
      <c r="AE1908" s="3">
        <f t="shared" si="512"/>
        <v>0</v>
      </c>
      <c r="AF1908" s="3">
        <f>IF(AND($N1908=1,AND(LEFT(对接源_02物料!$D708,4)="包装物料",N(对接源_02物料!$K708)&lt;&gt;0)),1,0)</f>
        <v>0</v>
      </c>
      <c r="AG1908" s="3">
        <f t="shared" si="513"/>
        <v>5</v>
      </c>
      <c r="AH1908" s="3">
        <f>IF(AND($N1908=1,AND(对接源_02物料!$D708="周转筐－销售出库",N(对接源_02物料!$K708)&lt;&gt;0)),1,0)</f>
        <v>0</v>
      </c>
      <c r="AI1908" s="3">
        <f t="shared" si="514"/>
        <v>0</v>
      </c>
      <c r="AL1908" s="3">
        <v>0</v>
      </c>
      <c r="AM1908" s="3">
        <f t="shared" si="515"/>
        <v>1</v>
      </c>
      <c r="AN1908" s="3" t="str">
        <f t="shared" ref="AN1908:AN1971" si="519">""</f>
        <v/>
      </c>
      <c r="AO1908" s="3">
        <v>0</v>
      </c>
      <c r="AP1908" s="3">
        <f t="shared" si="516"/>
        <v>8</v>
      </c>
      <c r="AR1908">
        <f t="shared" si="517"/>
        <v>0</v>
      </c>
      <c r="AS1908">
        <f t="shared" si="518"/>
        <v>5</v>
      </c>
    </row>
    <row r="1909" customHeight="1" spans="1:45">
      <c r="A1909" s="3" t="str">
        <f>IF(对接源_02物料!$C709="","",对接源_02物料!$C709)</f>
        <v/>
      </c>
      <c r="B1909" s="3">
        <f t="shared" si="503"/>
        <v>0</v>
      </c>
      <c r="C1909" s="3">
        <f t="shared" si="504"/>
        <v>21</v>
      </c>
      <c r="K1909" s="3">
        <f>IF(OR($K$1="",对接源_02物料!$C709="",对接源_02物料!$C709&lt;&gt;$K$1,对接源_02物料!$B709=""),0,IF(OR(N(对接源_02物料!$B709)&lt;$K$2,N(对接源_02物料!$B709)&gt;$K$3),0,1))</f>
        <v>0</v>
      </c>
      <c r="L1909" s="3">
        <f>IF(OR($L$1="",对接源_02物料!$C709="",对接源_02物料!$C709&lt;&gt;$L$1,对接源_02物料!$B709=""),0,IF(OR(N(对接源_02物料!$B709)&lt;$L$2,N(对接源_02物料!$B709)&gt;$L$3),0,1))</f>
        <v>0</v>
      </c>
      <c r="M1909" s="3">
        <f>IF(OR($M$1="",对接源_02物料!$C709="",对接源_02物料!$C709&lt;&gt;$M$1,对接源_02物料!$B709=""),0,IF(OR(N(对接源_02物料!$B709)&lt;$M$2,N(对接源_02物料!$B709)&gt;$M$3),0,1))</f>
        <v>0</v>
      </c>
      <c r="N1909" s="3">
        <f>IF(OR($N$1="",对接源_02物料!$C709="",对接源_02物料!$C709&lt;&gt;$N$1,对接源_02物料!$B709=""),0,IF(OR(N(对接源_02物料!$B709)&lt;$N$2,N(对接源_02物料!$B709)&gt;$N$3),0,1))</f>
        <v>0</v>
      </c>
      <c r="P1909" s="3">
        <f>IF(AND($K1909=1,AND(对接源_02物料!$X709="公司筐",N(对接源_02物料!$T709)&lt;&gt;0)),1,0)</f>
        <v>0</v>
      </c>
      <c r="Q1909" s="3">
        <f t="shared" si="505"/>
        <v>8</v>
      </c>
      <c r="R1909" s="3">
        <f>IF(AND($K1909=1,AND(对接源_02物料!$X709="公司筐",N(对接源_02物料!$U709)&lt;&gt;0)),1,0)</f>
        <v>0</v>
      </c>
      <c r="S1909" s="3">
        <f t="shared" si="506"/>
        <v>0</v>
      </c>
      <c r="T1909" s="3">
        <f>IF(AND($K1909=1,AND(对接源_02物料!$X709="公司筐",N(对接源_02物料!$V709)&lt;&gt;0)),1,0)</f>
        <v>0</v>
      </c>
      <c r="U1909" s="3">
        <f t="shared" si="507"/>
        <v>19</v>
      </c>
      <c r="V1909" s="3">
        <f>IF(AND($L1909=1,AND(对接源_02物料!$X709="自备筐",N(对接源_02物料!$V709)&lt;&gt;0)),1,0)</f>
        <v>0</v>
      </c>
      <c r="W1909" s="3">
        <f t="shared" si="508"/>
        <v>8</v>
      </c>
      <c r="X1909" s="3">
        <f>IF(AND($L1909=1,AND(对接源_02物料!$X709="自备筐",N(对接源_02物料!$T709)&lt;&gt;0)),1,0)</f>
        <v>0</v>
      </c>
      <c r="Y1909" s="3">
        <f t="shared" si="509"/>
        <v>0</v>
      </c>
      <c r="Z1909" s="3">
        <f>IF(AND($M1909=1,对接源_02物料!$D709="原料入库"),1,0)</f>
        <v>0</v>
      </c>
      <c r="AA1909" s="3">
        <f t="shared" si="510"/>
        <v>24</v>
      </c>
      <c r="AB1909" s="3">
        <f>IF(AND($M1909=1,LEFT(对接源_02物料!$D709,4)="原料出库"),1,0)</f>
        <v>0</v>
      </c>
      <c r="AC1909" s="3">
        <f t="shared" si="511"/>
        <v>0</v>
      </c>
      <c r="AD1909" s="3">
        <f>IF(AND($M1909=1,LEFT(对接源_02物料!$D709,4)="成品出库"),1,0)</f>
        <v>0</v>
      </c>
      <c r="AE1909" s="3">
        <f t="shared" si="512"/>
        <v>0</v>
      </c>
      <c r="AF1909" s="3">
        <f>IF(AND($N1909=1,AND(LEFT(对接源_02物料!$D709,4)="包装物料",N(对接源_02物料!$K709)&lt;&gt;0)),1,0)</f>
        <v>0</v>
      </c>
      <c r="AG1909" s="3">
        <f t="shared" si="513"/>
        <v>5</v>
      </c>
      <c r="AH1909" s="3">
        <f>IF(AND($N1909=1,AND(对接源_02物料!$D709="周转筐－销售出库",N(对接源_02物料!$K709)&lt;&gt;0)),1,0)</f>
        <v>0</v>
      </c>
      <c r="AI1909" s="3">
        <f t="shared" si="514"/>
        <v>0</v>
      </c>
      <c r="AL1909" s="3">
        <v>0</v>
      </c>
      <c r="AM1909" s="3">
        <f t="shared" si="515"/>
        <v>1</v>
      </c>
      <c r="AN1909" s="3" t="str">
        <f t="shared" si="519"/>
        <v/>
      </c>
      <c r="AO1909" s="3">
        <v>0</v>
      </c>
      <c r="AP1909" s="3">
        <f t="shared" si="516"/>
        <v>8</v>
      </c>
      <c r="AR1909">
        <f t="shared" si="517"/>
        <v>0</v>
      </c>
      <c r="AS1909">
        <f t="shared" si="518"/>
        <v>5</v>
      </c>
    </row>
    <row r="1910" customHeight="1" spans="1:45">
      <c r="A1910" s="3" t="str">
        <f>IF(对接源_02物料!$C710="","",对接源_02物料!$C710)</f>
        <v/>
      </c>
      <c r="B1910" s="3">
        <f t="shared" si="503"/>
        <v>0</v>
      </c>
      <c r="C1910" s="3">
        <f t="shared" si="504"/>
        <v>21</v>
      </c>
      <c r="K1910" s="3">
        <f>IF(OR($K$1="",对接源_02物料!$C710="",对接源_02物料!$C710&lt;&gt;$K$1,对接源_02物料!$B710=""),0,IF(OR(N(对接源_02物料!$B710)&lt;$K$2,N(对接源_02物料!$B710)&gt;$K$3),0,1))</f>
        <v>0</v>
      </c>
      <c r="L1910" s="3">
        <f>IF(OR($L$1="",对接源_02物料!$C710="",对接源_02物料!$C710&lt;&gt;$L$1,对接源_02物料!$B710=""),0,IF(OR(N(对接源_02物料!$B710)&lt;$L$2,N(对接源_02物料!$B710)&gt;$L$3),0,1))</f>
        <v>0</v>
      </c>
      <c r="M1910" s="3">
        <f>IF(OR($M$1="",对接源_02物料!$C710="",对接源_02物料!$C710&lt;&gt;$M$1,对接源_02物料!$B710=""),0,IF(OR(N(对接源_02物料!$B710)&lt;$M$2,N(对接源_02物料!$B710)&gt;$M$3),0,1))</f>
        <v>0</v>
      </c>
      <c r="N1910" s="3">
        <f>IF(OR($N$1="",对接源_02物料!$C710="",对接源_02物料!$C710&lt;&gt;$N$1,对接源_02物料!$B710=""),0,IF(OR(N(对接源_02物料!$B710)&lt;$N$2,N(对接源_02物料!$B710)&gt;$N$3),0,1))</f>
        <v>0</v>
      </c>
      <c r="P1910" s="3">
        <f>IF(AND($K1910=1,AND(对接源_02物料!$X710="公司筐",N(对接源_02物料!$T710)&lt;&gt;0)),1,0)</f>
        <v>0</v>
      </c>
      <c r="Q1910" s="3">
        <f t="shared" si="505"/>
        <v>8</v>
      </c>
      <c r="R1910" s="3">
        <f>IF(AND($K1910=1,AND(对接源_02物料!$X710="公司筐",N(对接源_02物料!$U710)&lt;&gt;0)),1,0)</f>
        <v>0</v>
      </c>
      <c r="S1910" s="3">
        <f t="shared" si="506"/>
        <v>0</v>
      </c>
      <c r="T1910" s="3">
        <f>IF(AND($K1910=1,AND(对接源_02物料!$X710="公司筐",N(对接源_02物料!$V710)&lt;&gt;0)),1,0)</f>
        <v>0</v>
      </c>
      <c r="U1910" s="3">
        <f t="shared" si="507"/>
        <v>19</v>
      </c>
      <c r="V1910" s="3">
        <f>IF(AND($L1910=1,AND(对接源_02物料!$X710="自备筐",N(对接源_02物料!$V710)&lt;&gt;0)),1,0)</f>
        <v>0</v>
      </c>
      <c r="W1910" s="3">
        <f t="shared" si="508"/>
        <v>8</v>
      </c>
      <c r="X1910" s="3">
        <f>IF(AND($L1910=1,AND(对接源_02物料!$X710="自备筐",N(对接源_02物料!$T710)&lt;&gt;0)),1,0)</f>
        <v>0</v>
      </c>
      <c r="Y1910" s="3">
        <f t="shared" si="509"/>
        <v>0</v>
      </c>
      <c r="Z1910" s="3">
        <f>IF(AND($M1910=1,对接源_02物料!$D710="原料入库"),1,0)</f>
        <v>0</v>
      </c>
      <c r="AA1910" s="3">
        <f t="shared" si="510"/>
        <v>24</v>
      </c>
      <c r="AB1910" s="3">
        <f>IF(AND($M1910=1,LEFT(对接源_02物料!$D710,4)="原料出库"),1,0)</f>
        <v>0</v>
      </c>
      <c r="AC1910" s="3">
        <f t="shared" si="511"/>
        <v>0</v>
      </c>
      <c r="AD1910" s="3">
        <f>IF(AND($M1910=1,LEFT(对接源_02物料!$D710,4)="成品出库"),1,0)</f>
        <v>0</v>
      </c>
      <c r="AE1910" s="3">
        <f t="shared" si="512"/>
        <v>0</v>
      </c>
      <c r="AF1910" s="3">
        <f>IF(AND($N1910=1,AND(LEFT(对接源_02物料!$D710,4)="包装物料",N(对接源_02物料!$K710)&lt;&gt;0)),1,0)</f>
        <v>0</v>
      </c>
      <c r="AG1910" s="3">
        <f t="shared" si="513"/>
        <v>5</v>
      </c>
      <c r="AH1910" s="3">
        <f>IF(AND($N1910=1,AND(对接源_02物料!$D710="周转筐－销售出库",N(对接源_02物料!$K710)&lt;&gt;0)),1,0)</f>
        <v>0</v>
      </c>
      <c r="AI1910" s="3">
        <f t="shared" si="514"/>
        <v>0</v>
      </c>
      <c r="AL1910" s="3">
        <v>0</v>
      </c>
      <c r="AM1910" s="3">
        <f t="shared" si="515"/>
        <v>1</v>
      </c>
      <c r="AN1910" s="3" t="str">
        <f t="shared" si="519"/>
        <v/>
      </c>
      <c r="AO1910" s="3">
        <v>0</v>
      </c>
      <c r="AP1910" s="3">
        <f t="shared" si="516"/>
        <v>8</v>
      </c>
      <c r="AR1910">
        <f t="shared" si="517"/>
        <v>0</v>
      </c>
      <c r="AS1910">
        <f t="shared" si="518"/>
        <v>5</v>
      </c>
    </row>
    <row r="1911" customHeight="1" spans="1:45">
      <c r="A1911" s="3" t="str">
        <f>IF(对接源_02物料!$C711="","",对接源_02物料!$C711)</f>
        <v/>
      </c>
      <c r="B1911" s="3">
        <f t="shared" si="503"/>
        <v>0</v>
      </c>
      <c r="C1911" s="3">
        <f t="shared" si="504"/>
        <v>21</v>
      </c>
      <c r="K1911" s="3">
        <f>IF(OR($K$1="",对接源_02物料!$C711="",对接源_02物料!$C711&lt;&gt;$K$1,对接源_02物料!$B711=""),0,IF(OR(N(对接源_02物料!$B711)&lt;$K$2,N(对接源_02物料!$B711)&gt;$K$3),0,1))</f>
        <v>0</v>
      </c>
      <c r="L1911" s="3">
        <f>IF(OR($L$1="",对接源_02物料!$C711="",对接源_02物料!$C711&lt;&gt;$L$1,对接源_02物料!$B711=""),0,IF(OR(N(对接源_02物料!$B711)&lt;$L$2,N(对接源_02物料!$B711)&gt;$L$3),0,1))</f>
        <v>0</v>
      </c>
      <c r="M1911" s="3">
        <f>IF(OR($M$1="",对接源_02物料!$C711="",对接源_02物料!$C711&lt;&gt;$M$1,对接源_02物料!$B711=""),0,IF(OR(N(对接源_02物料!$B711)&lt;$M$2,N(对接源_02物料!$B711)&gt;$M$3),0,1))</f>
        <v>0</v>
      </c>
      <c r="N1911" s="3">
        <f>IF(OR($N$1="",对接源_02物料!$C711="",对接源_02物料!$C711&lt;&gt;$N$1,对接源_02物料!$B711=""),0,IF(OR(N(对接源_02物料!$B711)&lt;$N$2,N(对接源_02物料!$B711)&gt;$N$3),0,1))</f>
        <v>0</v>
      </c>
      <c r="P1911" s="3">
        <f>IF(AND($K1911=1,AND(对接源_02物料!$X711="公司筐",N(对接源_02物料!$T711)&lt;&gt;0)),1,0)</f>
        <v>0</v>
      </c>
      <c r="Q1911" s="3">
        <f t="shared" si="505"/>
        <v>8</v>
      </c>
      <c r="R1911" s="3">
        <f>IF(AND($K1911=1,AND(对接源_02物料!$X711="公司筐",N(对接源_02物料!$U711)&lt;&gt;0)),1,0)</f>
        <v>0</v>
      </c>
      <c r="S1911" s="3">
        <f t="shared" si="506"/>
        <v>0</v>
      </c>
      <c r="T1911" s="3">
        <f>IF(AND($K1911=1,AND(对接源_02物料!$X711="公司筐",N(对接源_02物料!$V711)&lt;&gt;0)),1,0)</f>
        <v>0</v>
      </c>
      <c r="U1911" s="3">
        <f t="shared" si="507"/>
        <v>19</v>
      </c>
      <c r="V1911" s="3">
        <f>IF(AND($L1911=1,AND(对接源_02物料!$X711="自备筐",N(对接源_02物料!$V711)&lt;&gt;0)),1,0)</f>
        <v>0</v>
      </c>
      <c r="W1911" s="3">
        <f t="shared" si="508"/>
        <v>8</v>
      </c>
      <c r="X1911" s="3">
        <f>IF(AND($L1911=1,AND(对接源_02物料!$X711="自备筐",N(对接源_02物料!$T711)&lt;&gt;0)),1,0)</f>
        <v>0</v>
      </c>
      <c r="Y1911" s="3">
        <f t="shared" si="509"/>
        <v>0</v>
      </c>
      <c r="Z1911" s="3">
        <f>IF(AND($M1911=1,对接源_02物料!$D711="原料入库"),1,0)</f>
        <v>0</v>
      </c>
      <c r="AA1911" s="3">
        <f t="shared" si="510"/>
        <v>24</v>
      </c>
      <c r="AB1911" s="3">
        <f>IF(AND($M1911=1,LEFT(对接源_02物料!$D711,4)="原料出库"),1,0)</f>
        <v>0</v>
      </c>
      <c r="AC1911" s="3">
        <f t="shared" si="511"/>
        <v>0</v>
      </c>
      <c r="AD1911" s="3">
        <f>IF(AND($M1911=1,LEFT(对接源_02物料!$D711,4)="成品出库"),1,0)</f>
        <v>0</v>
      </c>
      <c r="AE1911" s="3">
        <f t="shared" si="512"/>
        <v>0</v>
      </c>
      <c r="AF1911" s="3">
        <f>IF(AND($N1911=1,AND(LEFT(对接源_02物料!$D711,4)="包装物料",N(对接源_02物料!$K711)&lt;&gt;0)),1,0)</f>
        <v>0</v>
      </c>
      <c r="AG1911" s="3">
        <f t="shared" si="513"/>
        <v>5</v>
      </c>
      <c r="AH1911" s="3">
        <f>IF(AND($N1911=1,AND(对接源_02物料!$D711="周转筐－销售出库",N(对接源_02物料!$K711)&lt;&gt;0)),1,0)</f>
        <v>0</v>
      </c>
      <c r="AI1911" s="3">
        <f t="shared" si="514"/>
        <v>0</v>
      </c>
      <c r="AL1911" s="3">
        <v>0</v>
      </c>
      <c r="AM1911" s="3">
        <f t="shared" si="515"/>
        <v>1</v>
      </c>
      <c r="AN1911" s="3" t="str">
        <f t="shared" si="519"/>
        <v/>
      </c>
      <c r="AO1911" s="3">
        <v>0</v>
      </c>
      <c r="AP1911" s="3">
        <f t="shared" si="516"/>
        <v>8</v>
      </c>
      <c r="AR1911">
        <f t="shared" si="517"/>
        <v>0</v>
      </c>
      <c r="AS1911">
        <f t="shared" si="518"/>
        <v>5</v>
      </c>
    </row>
    <row r="1912" customHeight="1" spans="1:45">
      <c r="A1912" s="3" t="str">
        <f>IF(对接源_02物料!$C712="","",对接源_02物料!$C712)</f>
        <v/>
      </c>
      <c r="B1912" s="3">
        <f t="shared" si="503"/>
        <v>0</v>
      </c>
      <c r="C1912" s="3">
        <f t="shared" si="504"/>
        <v>21</v>
      </c>
      <c r="K1912" s="3">
        <f>IF(OR($K$1="",对接源_02物料!$C712="",对接源_02物料!$C712&lt;&gt;$K$1,对接源_02物料!$B712=""),0,IF(OR(N(对接源_02物料!$B712)&lt;$K$2,N(对接源_02物料!$B712)&gt;$K$3),0,1))</f>
        <v>0</v>
      </c>
      <c r="L1912" s="3">
        <f>IF(OR($L$1="",对接源_02物料!$C712="",对接源_02物料!$C712&lt;&gt;$L$1,对接源_02物料!$B712=""),0,IF(OR(N(对接源_02物料!$B712)&lt;$L$2,N(对接源_02物料!$B712)&gt;$L$3),0,1))</f>
        <v>0</v>
      </c>
      <c r="M1912" s="3">
        <f>IF(OR($M$1="",对接源_02物料!$C712="",对接源_02物料!$C712&lt;&gt;$M$1,对接源_02物料!$B712=""),0,IF(OR(N(对接源_02物料!$B712)&lt;$M$2,N(对接源_02物料!$B712)&gt;$M$3),0,1))</f>
        <v>0</v>
      </c>
      <c r="N1912" s="3">
        <f>IF(OR($N$1="",对接源_02物料!$C712="",对接源_02物料!$C712&lt;&gt;$N$1,对接源_02物料!$B712=""),0,IF(OR(N(对接源_02物料!$B712)&lt;$N$2,N(对接源_02物料!$B712)&gt;$N$3),0,1))</f>
        <v>0</v>
      </c>
      <c r="P1912" s="3">
        <f>IF(AND($K1912=1,AND(对接源_02物料!$X712="公司筐",N(对接源_02物料!$T712)&lt;&gt;0)),1,0)</f>
        <v>0</v>
      </c>
      <c r="Q1912" s="3">
        <f t="shared" si="505"/>
        <v>8</v>
      </c>
      <c r="R1912" s="3">
        <f>IF(AND($K1912=1,AND(对接源_02物料!$X712="公司筐",N(对接源_02物料!$U712)&lt;&gt;0)),1,0)</f>
        <v>0</v>
      </c>
      <c r="S1912" s="3">
        <f t="shared" si="506"/>
        <v>0</v>
      </c>
      <c r="T1912" s="3">
        <f>IF(AND($K1912=1,AND(对接源_02物料!$X712="公司筐",N(对接源_02物料!$V712)&lt;&gt;0)),1,0)</f>
        <v>0</v>
      </c>
      <c r="U1912" s="3">
        <f t="shared" si="507"/>
        <v>19</v>
      </c>
      <c r="V1912" s="3">
        <f>IF(AND($L1912=1,AND(对接源_02物料!$X712="自备筐",N(对接源_02物料!$V712)&lt;&gt;0)),1,0)</f>
        <v>0</v>
      </c>
      <c r="W1912" s="3">
        <f t="shared" si="508"/>
        <v>8</v>
      </c>
      <c r="X1912" s="3">
        <f>IF(AND($L1912=1,AND(对接源_02物料!$X712="自备筐",N(对接源_02物料!$T712)&lt;&gt;0)),1,0)</f>
        <v>0</v>
      </c>
      <c r="Y1912" s="3">
        <f t="shared" si="509"/>
        <v>0</v>
      </c>
      <c r="Z1912" s="3">
        <f>IF(AND($M1912=1,对接源_02物料!$D712="原料入库"),1,0)</f>
        <v>0</v>
      </c>
      <c r="AA1912" s="3">
        <f t="shared" si="510"/>
        <v>24</v>
      </c>
      <c r="AB1912" s="3">
        <f>IF(AND($M1912=1,LEFT(对接源_02物料!$D712,4)="原料出库"),1,0)</f>
        <v>0</v>
      </c>
      <c r="AC1912" s="3">
        <f t="shared" si="511"/>
        <v>0</v>
      </c>
      <c r="AD1912" s="3">
        <f>IF(AND($M1912=1,LEFT(对接源_02物料!$D712,4)="成品出库"),1,0)</f>
        <v>0</v>
      </c>
      <c r="AE1912" s="3">
        <f t="shared" si="512"/>
        <v>0</v>
      </c>
      <c r="AF1912" s="3">
        <f>IF(AND($N1912=1,AND(LEFT(对接源_02物料!$D712,4)="包装物料",N(对接源_02物料!$K712)&lt;&gt;0)),1,0)</f>
        <v>0</v>
      </c>
      <c r="AG1912" s="3">
        <f t="shared" si="513"/>
        <v>5</v>
      </c>
      <c r="AH1912" s="3">
        <f>IF(AND($N1912=1,AND(对接源_02物料!$D712="周转筐－销售出库",N(对接源_02物料!$K712)&lt;&gt;0)),1,0)</f>
        <v>0</v>
      </c>
      <c r="AI1912" s="3">
        <f t="shared" si="514"/>
        <v>0</v>
      </c>
      <c r="AL1912" s="3">
        <v>0</v>
      </c>
      <c r="AM1912" s="3">
        <f t="shared" si="515"/>
        <v>1</v>
      </c>
      <c r="AN1912" s="3" t="str">
        <f t="shared" si="519"/>
        <v/>
      </c>
      <c r="AO1912" s="3">
        <v>0</v>
      </c>
      <c r="AP1912" s="3">
        <f t="shared" si="516"/>
        <v>8</v>
      </c>
      <c r="AR1912">
        <f t="shared" si="517"/>
        <v>0</v>
      </c>
      <c r="AS1912">
        <f t="shared" si="518"/>
        <v>5</v>
      </c>
    </row>
    <row r="1913" customHeight="1" spans="1:45">
      <c r="A1913" s="3" t="str">
        <f>IF(对接源_02物料!$C713="","",对接源_02物料!$C713)</f>
        <v/>
      </c>
      <c r="B1913" s="3">
        <f t="shared" si="503"/>
        <v>0</v>
      </c>
      <c r="C1913" s="3">
        <f t="shared" si="504"/>
        <v>21</v>
      </c>
      <c r="K1913" s="3">
        <f>IF(OR($K$1="",对接源_02物料!$C713="",对接源_02物料!$C713&lt;&gt;$K$1,对接源_02物料!$B713=""),0,IF(OR(N(对接源_02物料!$B713)&lt;$K$2,N(对接源_02物料!$B713)&gt;$K$3),0,1))</f>
        <v>0</v>
      </c>
      <c r="L1913" s="3">
        <f>IF(OR($L$1="",对接源_02物料!$C713="",对接源_02物料!$C713&lt;&gt;$L$1,对接源_02物料!$B713=""),0,IF(OR(N(对接源_02物料!$B713)&lt;$L$2,N(对接源_02物料!$B713)&gt;$L$3),0,1))</f>
        <v>0</v>
      </c>
      <c r="M1913" s="3">
        <f>IF(OR($M$1="",对接源_02物料!$C713="",对接源_02物料!$C713&lt;&gt;$M$1,对接源_02物料!$B713=""),0,IF(OR(N(对接源_02物料!$B713)&lt;$M$2,N(对接源_02物料!$B713)&gt;$M$3),0,1))</f>
        <v>0</v>
      </c>
      <c r="N1913" s="3">
        <f>IF(OR($N$1="",对接源_02物料!$C713="",对接源_02物料!$C713&lt;&gt;$N$1,对接源_02物料!$B713=""),0,IF(OR(N(对接源_02物料!$B713)&lt;$N$2,N(对接源_02物料!$B713)&gt;$N$3),0,1))</f>
        <v>0</v>
      </c>
      <c r="P1913" s="3">
        <f>IF(AND($K1913=1,AND(对接源_02物料!$X713="公司筐",N(对接源_02物料!$T713)&lt;&gt;0)),1,0)</f>
        <v>0</v>
      </c>
      <c r="Q1913" s="3">
        <f t="shared" si="505"/>
        <v>8</v>
      </c>
      <c r="R1913" s="3">
        <f>IF(AND($K1913=1,AND(对接源_02物料!$X713="公司筐",N(对接源_02物料!$U713)&lt;&gt;0)),1,0)</f>
        <v>0</v>
      </c>
      <c r="S1913" s="3">
        <f t="shared" si="506"/>
        <v>0</v>
      </c>
      <c r="T1913" s="3">
        <f>IF(AND($K1913=1,AND(对接源_02物料!$X713="公司筐",N(对接源_02物料!$V713)&lt;&gt;0)),1,0)</f>
        <v>0</v>
      </c>
      <c r="U1913" s="3">
        <f t="shared" si="507"/>
        <v>19</v>
      </c>
      <c r="V1913" s="3">
        <f>IF(AND($L1913=1,AND(对接源_02物料!$X713="自备筐",N(对接源_02物料!$V713)&lt;&gt;0)),1,0)</f>
        <v>0</v>
      </c>
      <c r="W1913" s="3">
        <f t="shared" si="508"/>
        <v>8</v>
      </c>
      <c r="X1913" s="3">
        <f>IF(AND($L1913=1,AND(对接源_02物料!$X713="自备筐",N(对接源_02物料!$T713)&lt;&gt;0)),1,0)</f>
        <v>0</v>
      </c>
      <c r="Y1913" s="3">
        <f t="shared" si="509"/>
        <v>0</v>
      </c>
      <c r="Z1913" s="3">
        <f>IF(AND($M1913=1,对接源_02物料!$D713="原料入库"),1,0)</f>
        <v>0</v>
      </c>
      <c r="AA1913" s="3">
        <f t="shared" si="510"/>
        <v>24</v>
      </c>
      <c r="AB1913" s="3">
        <f>IF(AND($M1913=1,LEFT(对接源_02物料!$D713,4)="原料出库"),1,0)</f>
        <v>0</v>
      </c>
      <c r="AC1913" s="3">
        <f t="shared" si="511"/>
        <v>0</v>
      </c>
      <c r="AD1913" s="3">
        <f>IF(AND($M1913=1,LEFT(对接源_02物料!$D713,4)="成品出库"),1,0)</f>
        <v>0</v>
      </c>
      <c r="AE1913" s="3">
        <f t="shared" si="512"/>
        <v>0</v>
      </c>
      <c r="AF1913" s="3">
        <f>IF(AND($N1913=1,AND(LEFT(对接源_02物料!$D713,4)="包装物料",N(对接源_02物料!$K713)&lt;&gt;0)),1,0)</f>
        <v>0</v>
      </c>
      <c r="AG1913" s="3">
        <f t="shared" si="513"/>
        <v>5</v>
      </c>
      <c r="AH1913" s="3">
        <f>IF(AND($N1913=1,AND(对接源_02物料!$D713="周转筐－销售出库",N(对接源_02物料!$K713)&lt;&gt;0)),1,0)</f>
        <v>0</v>
      </c>
      <c r="AI1913" s="3">
        <f t="shared" si="514"/>
        <v>0</v>
      </c>
      <c r="AL1913" s="3">
        <v>0</v>
      </c>
      <c r="AM1913" s="3">
        <f t="shared" si="515"/>
        <v>1</v>
      </c>
      <c r="AN1913" s="3" t="str">
        <f t="shared" si="519"/>
        <v/>
      </c>
      <c r="AO1913" s="3">
        <v>0</v>
      </c>
      <c r="AP1913" s="3">
        <f t="shared" si="516"/>
        <v>8</v>
      </c>
      <c r="AR1913">
        <f t="shared" si="517"/>
        <v>0</v>
      </c>
      <c r="AS1913">
        <f t="shared" si="518"/>
        <v>5</v>
      </c>
    </row>
    <row r="1914" customHeight="1" spans="1:45">
      <c r="A1914" s="3" t="str">
        <f>IF(对接源_02物料!$C714="","",对接源_02物料!$C714)</f>
        <v/>
      </c>
      <c r="B1914" s="3">
        <f t="shared" si="503"/>
        <v>0</v>
      </c>
      <c r="C1914" s="3">
        <f t="shared" si="504"/>
        <v>21</v>
      </c>
      <c r="K1914" s="3">
        <f>IF(OR($K$1="",对接源_02物料!$C714="",对接源_02物料!$C714&lt;&gt;$K$1,对接源_02物料!$B714=""),0,IF(OR(N(对接源_02物料!$B714)&lt;$K$2,N(对接源_02物料!$B714)&gt;$K$3),0,1))</f>
        <v>0</v>
      </c>
      <c r="L1914" s="3">
        <f>IF(OR($L$1="",对接源_02物料!$C714="",对接源_02物料!$C714&lt;&gt;$L$1,对接源_02物料!$B714=""),0,IF(OR(N(对接源_02物料!$B714)&lt;$L$2,N(对接源_02物料!$B714)&gt;$L$3),0,1))</f>
        <v>0</v>
      </c>
      <c r="M1914" s="3">
        <f>IF(OR($M$1="",对接源_02物料!$C714="",对接源_02物料!$C714&lt;&gt;$M$1,对接源_02物料!$B714=""),0,IF(OR(N(对接源_02物料!$B714)&lt;$M$2,N(对接源_02物料!$B714)&gt;$M$3),0,1))</f>
        <v>0</v>
      </c>
      <c r="N1914" s="3">
        <f>IF(OR($N$1="",对接源_02物料!$C714="",对接源_02物料!$C714&lt;&gt;$N$1,对接源_02物料!$B714=""),0,IF(OR(N(对接源_02物料!$B714)&lt;$N$2,N(对接源_02物料!$B714)&gt;$N$3),0,1))</f>
        <v>0</v>
      </c>
      <c r="P1914" s="3">
        <f>IF(AND($K1914=1,AND(对接源_02物料!$X714="公司筐",N(对接源_02物料!$T714)&lt;&gt;0)),1,0)</f>
        <v>0</v>
      </c>
      <c r="Q1914" s="3">
        <f t="shared" si="505"/>
        <v>8</v>
      </c>
      <c r="R1914" s="3">
        <f>IF(AND($K1914=1,AND(对接源_02物料!$X714="公司筐",N(对接源_02物料!$U714)&lt;&gt;0)),1,0)</f>
        <v>0</v>
      </c>
      <c r="S1914" s="3">
        <f t="shared" si="506"/>
        <v>0</v>
      </c>
      <c r="T1914" s="3">
        <f>IF(AND($K1914=1,AND(对接源_02物料!$X714="公司筐",N(对接源_02物料!$V714)&lt;&gt;0)),1,0)</f>
        <v>0</v>
      </c>
      <c r="U1914" s="3">
        <f t="shared" si="507"/>
        <v>19</v>
      </c>
      <c r="V1914" s="3">
        <f>IF(AND($L1914=1,AND(对接源_02物料!$X714="自备筐",N(对接源_02物料!$V714)&lt;&gt;0)),1,0)</f>
        <v>0</v>
      </c>
      <c r="W1914" s="3">
        <f t="shared" si="508"/>
        <v>8</v>
      </c>
      <c r="X1914" s="3">
        <f>IF(AND($L1914=1,AND(对接源_02物料!$X714="自备筐",N(对接源_02物料!$T714)&lt;&gt;0)),1,0)</f>
        <v>0</v>
      </c>
      <c r="Y1914" s="3">
        <f t="shared" si="509"/>
        <v>0</v>
      </c>
      <c r="Z1914" s="3">
        <f>IF(AND($M1914=1,对接源_02物料!$D714="原料入库"),1,0)</f>
        <v>0</v>
      </c>
      <c r="AA1914" s="3">
        <f t="shared" si="510"/>
        <v>24</v>
      </c>
      <c r="AB1914" s="3">
        <f>IF(AND($M1914=1,LEFT(对接源_02物料!$D714,4)="原料出库"),1,0)</f>
        <v>0</v>
      </c>
      <c r="AC1914" s="3">
        <f t="shared" si="511"/>
        <v>0</v>
      </c>
      <c r="AD1914" s="3">
        <f>IF(AND($M1914=1,LEFT(对接源_02物料!$D714,4)="成品出库"),1,0)</f>
        <v>0</v>
      </c>
      <c r="AE1914" s="3">
        <f t="shared" si="512"/>
        <v>0</v>
      </c>
      <c r="AF1914" s="3">
        <f>IF(AND($N1914=1,AND(LEFT(对接源_02物料!$D714,4)="包装物料",N(对接源_02物料!$K714)&lt;&gt;0)),1,0)</f>
        <v>0</v>
      </c>
      <c r="AG1914" s="3">
        <f t="shared" si="513"/>
        <v>5</v>
      </c>
      <c r="AH1914" s="3">
        <f>IF(AND($N1914=1,AND(对接源_02物料!$D714="周转筐－销售出库",N(对接源_02物料!$K714)&lt;&gt;0)),1,0)</f>
        <v>0</v>
      </c>
      <c r="AI1914" s="3">
        <f t="shared" si="514"/>
        <v>0</v>
      </c>
      <c r="AL1914" s="3">
        <v>0</v>
      </c>
      <c r="AM1914" s="3">
        <f t="shared" si="515"/>
        <v>1</v>
      </c>
      <c r="AN1914" s="3" t="str">
        <f t="shared" si="519"/>
        <v/>
      </c>
      <c r="AO1914" s="3">
        <v>0</v>
      </c>
      <c r="AP1914" s="3">
        <f t="shared" si="516"/>
        <v>8</v>
      </c>
      <c r="AR1914">
        <f t="shared" si="517"/>
        <v>0</v>
      </c>
      <c r="AS1914">
        <f t="shared" si="518"/>
        <v>5</v>
      </c>
    </row>
    <row r="1915" customHeight="1" spans="1:45">
      <c r="A1915" s="3" t="str">
        <f>IF(对接源_02物料!$C715="","",对接源_02物料!$C715)</f>
        <v/>
      </c>
      <c r="B1915" s="3">
        <f t="shared" si="503"/>
        <v>0</v>
      </c>
      <c r="C1915" s="3">
        <f t="shared" si="504"/>
        <v>21</v>
      </c>
      <c r="K1915" s="3">
        <f>IF(OR($K$1="",对接源_02物料!$C715="",对接源_02物料!$C715&lt;&gt;$K$1,对接源_02物料!$B715=""),0,IF(OR(N(对接源_02物料!$B715)&lt;$K$2,N(对接源_02物料!$B715)&gt;$K$3),0,1))</f>
        <v>0</v>
      </c>
      <c r="L1915" s="3">
        <f>IF(OR($L$1="",对接源_02物料!$C715="",对接源_02物料!$C715&lt;&gt;$L$1,对接源_02物料!$B715=""),0,IF(OR(N(对接源_02物料!$B715)&lt;$L$2,N(对接源_02物料!$B715)&gt;$L$3),0,1))</f>
        <v>0</v>
      </c>
      <c r="M1915" s="3">
        <f>IF(OR($M$1="",对接源_02物料!$C715="",对接源_02物料!$C715&lt;&gt;$M$1,对接源_02物料!$B715=""),0,IF(OR(N(对接源_02物料!$B715)&lt;$M$2,N(对接源_02物料!$B715)&gt;$M$3),0,1))</f>
        <v>0</v>
      </c>
      <c r="N1915" s="3">
        <f>IF(OR($N$1="",对接源_02物料!$C715="",对接源_02物料!$C715&lt;&gt;$N$1,对接源_02物料!$B715=""),0,IF(OR(N(对接源_02物料!$B715)&lt;$N$2,N(对接源_02物料!$B715)&gt;$N$3),0,1))</f>
        <v>0</v>
      </c>
      <c r="P1915" s="3">
        <f>IF(AND($K1915=1,AND(对接源_02物料!$X715="公司筐",N(对接源_02物料!$T715)&lt;&gt;0)),1,0)</f>
        <v>0</v>
      </c>
      <c r="Q1915" s="3">
        <f t="shared" si="505"/>
        <v>8</v>
      </c>
      <c r="R1915" s="3">
        <f>IF(AND($K1915=1,AND(对接源_02物料!$X715="公司筐",N(对接源_02物料!$U715)&lt;&gt;0)),1,0)</f>
        <v>0</v>
      </c>
      <c r="S1915" s="3">
        <f t="shared" si="506"/>
        <v>0</v>
      </c>
      <c r="T1915" s="3">
        <f>IF(AND($K1915=1,AND(对接源_02物料!$X715="公司筐",N(对接源_02物料!$V715)&lt;&gt;0)),1,0)</f>
        <v>0</v>
      </c>
      <c r="U1915" s="3">
        <f t="shared" si="507"/>
        <v>19</v>
      </c>
      <c r="V1915" s="3">
        <f>IF(AND($L1915=1,AND(对接源_02物料!$X715="自备筐",N(对接源_02物料!$V715)&lt;&gt;0)),1,0)</f>
        <v>0</v>
      </c>
      <c r="W1915" s="3">
        <f t="shared" si="508"/>
        <v>8</v>
      </c>
      <c r="X1915" s="3">
        <f>IF(AND($L1915=1,AND(对接源_02物料!$X715="自备筐",N(对接源_02物料!$T715)&lt;&gt;0)),1,0)</f>
        <v>0</v>
      </c>
      <c r="Y1915" s="3">
        <f t="shared" si="509"/>
        <v>0</v>
      </c>
      <c r="Z1915" s="3">
        <f>IF(AND($M1915=1,对接源_02物料!$D715="原料入库"),1,0)</f>
        <v>0</v>
      </c>
      <c r="AA1915" s="3">
        <f t="shared" si="510"/>
        <v>24</v>
      </c>
      <c r="AB1915" s="3">
        <f>IF(AND($M1915=1,LEFT(对接源_02物料!$D715,4)="原料出库"),1,0)</f>
        <v>0</v>
      </c>
      <c r="AC1915" s="3">
        <f t="shared" si="511"/>
        <v>0</v>
      </c>
      <c r="AD1915" s="3">
        <f>IF(AND($M1915=1,LEFT(对接源_02物料!$D715,4)="成品出库"),1,0)</f>
        <v>0</v>
      </c>
      <c r="AE1915" s="3">
        <f t="shared" si="512"/>
        <v>0</v>
      </c>
      <c r="AF1915" s="3">
        <f>IF(AND($N1915=1,AND(LEFT(对接源_02物料!$D715,4)="包装物料",N(对接源_02物料!$K715)&lt;&gt;0)),1,0)</f>
        <v>0</v>
      </c>
      <c r="AG1915" s="3">
        <f t="shared" si="513"/>
        <v>5</v>
      </c>
      <c r="AH1915" s="3">
        <f>IF(AND($N1915=1,AND(对接源_02物料!$D715="周转筐－销售出库",N(对接源_02物料!$K715)&lt;&gt;0)),1,0)</f>
        <v>0</v>
      </c>
      <c r="AI1915" s="3">
        <f t="shared" si="514"/>
        <v>0</v>
      </c>
      <c r="AL1915" s="3">
        <v>0</v>
      </c>
      <c r="AM1915" s="3">
        <f t="shared" si="515"/>
        <v>1</v>
      </c>
      <c r="AN1915" s="3" t="str">
        <f t="shared" si="519"/>
        <v/>
      </c>
      <c r="AO1915" s="3">
        <v>0</v>
      </c>
      <c r="AP1915" s="3">
        <f t="shared" si="516"/>
        <v>8</v>
      </c>
      <c r="AR1915">
        <f t="shared" si="517"/>
        <v>0</v>
      </c>
      <c r="AS1915">
        <f t="shared" si="518"/>
        <v>5</v>
      </c>
    </row>
    <row r="1916" customHeight="1" spans="1:45">
      <c r="A1916" s="3" t="str">
        <f>IF(对接源_02物料!$C716="","",对接源_02物料!$C716)</f>
        <v/>
      </c>
      <c r="B1916" s="3">
        <f t="shared" si="503"/>
        <v>0</v>
      </c>
      <c r="C1916" s="3">
        <f t="shared" si="504"/>
        <v>21</v>
      </c>
      <c r="K1916" s="3">
        <f>IF(OR($K$1="",对接源_02物料!$C716="",对接源_02物料!$C716&lt;&gt;$K$1,对接源_02物料!$B716=""),0,IF(OR(N(对接源_02物料!$B716)&lt;$K$2,N(对接源_02物料!$B716)&gt;$K$3),0,1))</f>
        <v>0</v>
      </c>
      <c r="L1916" s="3">
        <f>IF(OR($L$1="",对接源_02物料!$C716="",对接源_02物料!$C716&lt;&gt;$L$1,对接源_02物料!$B716=""),0,IF(OR(N(对接源_02物料!$B716)&lt;$L$2,N(对接源_02物料!$B716)&gt;$L$3),0,1))</f>
        <v>0</v>
      </c>
      <c r="M1916" s="3">
        <f>IF(OR($M$1="",对接源_02物料!$C716="",对接源_02物料!$C716&lt;&gt;$M$1,对接源_02物料!$B716=""),0,IF(OR(N(对接源_02物料!$B716)&lt;$M$2,N(对接源_02物料!$B716)&gt;$M$3),0,1))</f>
        <v>0</v>
      </c>
      <c r="N1916" s="3">
        <f>IF(OR($N$1="",对接源_02物料!$C716="",对接源_02物料!$C716&lt;&gt;$N$1,对接源_02物料!$B716=""),0,IF(OR(N(对接源_02物料!$B716)&lt;$N$2,N(对接源_02物料!$B716)&gt;$N$3),0,1))</f>
        <v>0</v>
      </c>
      <c r="P1916" s="3">
        <f>IF(AND($K1916=1,AND(对接源_02物料!$X716="公司筐",N(对接源_02物料!$T716)&lt;&gt;0)),1,0)</f>
        <v>0</v>
      </c>
      <c r="Q1916" s="3">
        <f t="shared" si="505"/>
        <v>8</v>
      </c>
      <c r="R1916" s="3">
        <f>IF(AND($K1916=1,AND(对接源_02物料!$X716="公司筐",N(对接源_02物料!$U716)&lt;&gt;0)),1,0)</f>
        <v>0</v>
      </c>
      <c r="S1916" s="3">
        <f t="shared" si="506"/>
        <v>0</v>
      </c>
      <c r="T1916" s="3">
        <f>IF(AND($K1916=1,AND(对接源_02物料!$X716="公司筐",N(对接源_02物料!$V716)&lt;&gt;0)),1,0)</f>
        <v>0</v>
      </c>
      <c r="U1916" s="3">
        <f t="shared" si="507"/>
        <v>19</v>
      </c>
      <c r="V1916" s="3">
        <f>IF(AND($L1916=1,AND(对接源_02物料!$X716="自备筐",N(对接源_02物料!$V716)&lt;&gt;0)),1,0)</f>
        <v>0</v>
      </c>
      <c r="W1916" s="3">
        <f t="shared" si="508"/>
        <v>8</v>
      </c>
      <c r="X1916" s="3">
        <f>IF(AND($L1916=1,AND(对接源_02物料!$X716="自备筐",N(对接源_02物料!$T716)&lt;&gt;0)),1,0)</f>
        <v>0</v>
      </c>
      <c r="Y1916" s="3">
        <f t="shared" si="509"/>
        <v>0</v>
      </c>
      <c r="Z1916" s="3">
        <f>IF(AND($M1916=1,对接源_02物料!$D716="原料入库"),1,0)</f>
        <v>0</v>
      </c>
      <c r="AA1916" s="3">
        <f t="shared" si="510"/>
        <v>24</v>
      </c>
      <c r="AB1916" s="3">
        <f>IF(AND($M1916=1,LEFT(对接源_02物料!$D716,4)="原料出库"),1,0)</f>
        <v>0</v>
      </c>
      <c r="AC1916" s="3">
        <f t="shared" si="511"/>
        <v>0</v>
      </c>
      <c r="AD1916" s="3">
        <f>IF(AND($M1916=1,LEFT(对接源_02物料!$D716,4)="成品出库"),1,0)</f>
        <v>0</v>
      </c>
      <c r="AE1916" s="3">
        <f t="shared" si="512"/>
        <v>0</v>
      </c>
      <c r="AF1916" s="3">
        <f>IF(AND($N1916=1,AND(LEFT(对接源_02物料!$D716,4)="包装物料",N(对接源_02物料!$K716)&lt;&gt;0)),1,0)</f>
        <v>0</v>
      </c>
      <c r="AG1916" s="3">
        <f t="shared" si="513"/>
        <v>5</v>
      </c>
      <c r="AH1916" s="3">
        <f>IF(AND($N1916=1,AND(对接源_02物料!$D716="周转筐－销售出库",N(对接源_02物料!$K716)&lt;&gt;0)),1,0)</f>
        <v>0</v>
      </c>
      <c r="AI1916" s="3">
        <f t="shared" si="514"/>
        <v>0</v>
      </c>
      <c r="AL1916" s="3">
        <v>0</v>
      </c>
      <c r="AM1916" s="3">
        <f t="shared" si="515"/>
        <v>1</v>
      </c>
      <c r="AN1916" s="3" t="str">
        <f t="shared" si="519"/>
        <v/>
      </c>
      <c r="AO1916" s="3">
        <v>0</v>
      </c>
      <c r="AP1916" s="3">
        <f t="shared" si="516"/>
        <v>8</v>
      </c>
      <c r="AR1916">
        <f t="shared" si="517"/>
        <v>0</v>
      </c>
      <c r="AS1916">
        <f t="shared" si="518"/>
        <v>5</v>
      </c>
    </row>
    <row r="1917" customHeight="1" spans="1:45">
      <c r="A1917" s="3" t="str">
        <f>IF(对接源_02物料!$C717="","",对接源_02物料!$C717)</f>
        <v/>
      </c>
      <c r="B1917" s="3">
        <f t="shared" si="503"/>
        <v>0</v>
      </c>
      <c r="C1917" s="3">
        <f t="shared" si="504"/>
        <v>21</v>
      </c>
      <c r="K1917" s="3">
        <f>IF(OR($K$1="",对接源_02物料!$C717="",对接源_02物料!$C717&lt;&gt;$K$1,对接源_02物料!$B717=""),0,IF(OR(N(对接源_02物料!$B717)&lt;$K$2,N(对接源_02物料!$B717)&gt;$K$3),0,1))</f>
        <v>0</v>
      </c>
      <c r="L1917" s="3">
        <f>IF(OR($L$1="",对接源_02物料!$C717="",对接源_02物料!$C717&lt;&gt;$L$1,对接源_02物料!$B717=""),0,IF(OR(N(对接源_02物料!$B717)&lt;$L$2,N(对接源_02物料!$B717)&gt;$L$3),0,1))</f>
        <v>0</v>
      </c>
      <c r="M1917" s="3">
        <f>IF(OR($M$1="",对接源_02物料!$C717="",对接源_02物料!$C717&lt;&gt;$M$1,对接源_02物料!$B717=""),0,IF(OR(N(对接源_02物料!$B717)&lt;$M$2,N(对接源_02物料!$B717)&gt;$M$3),0,1))</f>
        <v>0</v>
      </c>
      <c r="N1917" s="3">
        <f>IF(OR($N$1="",对接源_02物料!$C717="",对接源_02物料!$C717&lt;&gt;$N$1,对接源_02物料!$B717=""),0,IF(OR(N(对接源_02物料!$B717)&lt;$N$2,N(对接源_02物料!$B717)&gt;$N$3),0,1))</f>
        <v>0</v>
      </c>
      <c r="P1917" s="3">
        <f>IF(AND($K1917=1,AND(对接源_02物料!$X717="公司筐",N(对接源_02物料!$T717)&lt;&gt;0)),1,0)</f>
        <v>0</v>
      </c>
      <c r="Q1917" s="3">
        <f t="shared" si="505"/>
        <v>8</v>
      </c>
      <c r="R1917" s="3">
        <f>IF(AND($K1917=1,AND(对接源_02物料!$X717="公司筐",N(对接源_02物料!$U717)&lt;&gt;0)),1,0)</f>
        <v>0</v>
      </c>
      <c r="S1917" s="3">
        <f t="shared" si="506"/>
        <v>0</v>
      </c>
      <c r="T1917" s="3">
        <f>IF(AND($K1917=1,AND(对接源_02物料!$X717="公司筐",N(对接源_02物料!$V717)&lt;&gt;0)),1,0)</f>
        <v>0</v>
      </c>
      <c r="U1917" s="3">
        <f t="shared" si="507"/>
        <v>19</v>
      </c>
      <c r="V1917" s="3">
        <f>IF(AND($L1917=1,AND(对接源_02物料!$X717="自备筐",N(对接源_02物料!$V717)&lt;&gt;0)),1,0)</f>
        <v>0</v>
      </c>
      <c r="W1917" s="3">
        <f t="shared" si="508"/>
        <v>8</v>
      </c>
      <c r="X1917" s="3">
        <f>IF(AND($L1917=1,AND(对接源_02物料!$X717="自备筐",N(对接源_02物料!$T717)&lt;&gt;0)),1,0)</f>
        <v>0</v>
      </c>
      <c r="Y1917" s="3">
        <f t="shared" si="509"/>
        <v>0</v>
      </c>
      <c r="Z1917" s="3">
        <f>IF(AND($M1917=1,对接源_02物料!$D717="原料入库"),1,0)</f>
        <v>0</v>
      </c>
      <c r="AA1917" s="3">
        <f t="shared" si="510"/>
        <v>24</v>
      </c>
      <c r="AB1917" s="3">
        <f>IF(AND($M1917=1,LEFT(对接源_02物料!$D717,4)="原料出库"),1,0)</f>
        <v>0</v>
      </c>
      <c r="AC1917" s="3">
        <f t="shared" si="511"/>
        <v>0</v>
      </c>
      <c r="AD1917" s="3">
        <f>IF(AND($M1917=1,LEFT(对接源_02物料!$D717,4)="成品出库"),1,0)</f>
        <v>0</v>
      </c>
      <c r="AE1917" s="3">
        <f t="shared" si="512"/>
        <v>0</v>
      </c>
      <c r="AF1917" s="3">
        <f>IF(AND($N1917=1,AND(LEFT(对接源_02物料!$D717,4)="包装物料",N(对接源_02物料!$K717)&lt;&gt;0)),1,0)</f>
        <v>0</v>
      </c>
      <c r="AG1917" s="3">
        <f t="shared" si="513"/>
        <v>5</v>
      </c>
      <c r="AH1917" s="3">
        <f>IF(AND($N1917=1,AND(对接源_02物料!$D717="周转筐－销售出库",N(对接源_02物料!$K717)&lt;&gt;0)),1,0)</f>
        <v>0</v>
      </c>
      <c r="AI1917" s="3">
        <f t="shared" si="514"/>
        <v>0</v>
      </c>
      <c r="AL1917" s="3">
        <v>0</v>
      </c>
      <c r="AM1917" s="3">
        <f t="shared" si="515"/>
        <v>1</v>
      </c>
      <c r="AN1917" s="3" t="str">
        <f t="shared" si="519"/>
        <v/>
      </c>
      <c r="AO1917" s="3">
        <v>0</v>
      </c>
      <c r="AP1917" s="3">
        <f t="shared" si="516"/>
        <v>8</v>
      </c>
      <c r="AR1917">
        <f t="shared" si="517"/>
        <v>0</v>
      </c>
      <c r="AS1917">
        <f t="shared" si="518"/>
        <v>5</v>
      </c>
    </row>
    <row r="1918" customHeight="1" spans="1:45">
      <c r="A1918" s="3" t="str">
        <f>IF(对接源_02物料!$C718="","",对接源_02物料!$C718)</f>
        <v/>
      </c>
      <c r="B1918" s="3">
        <f t="shared" si="503"/>
        <v>0</v>
      </c>
      <c r="C1918" s="3">
        <f t="shared" si="504"/>
        <v>21</v>
      </c>
      <c r="K1918" s="3">
        <f>IF(OR($K$1="",对接源_02物料!$C718="",对接源_02物料!$C718&lt;&gt;$K$1,对接源_02物料!$B718=""),0,IF(OR(N(对接源_02物料!$B718)&lt;$K$2,N(对接源_02物料!$B718)&gt;$K$3),0,1))</f>
        <v>0</v>
      </c>
      <c r="L1918" s="3">
        <f>IF(OR($L$1="",对接源_02物料!$C718="",对接源_02物料!$C718&lt;&gt;$L$1,对接源_02物料!$B718=""),0,IF(OR(N(对接源_02物料!$B718)&lt;$L$2,N(对接源_02物料!$B718)&gt;$L$3),0,1))</f>
        <v>0</v>
      </c>
      <c r="M1918" s="3">
        <f>IF(OR($M$1="",对接源_02物料!$C718="",对接源_02物料!$C718&lt;&gt;$M$1,对接源_02物料!$B718=""),0,IF(OR(N(对接源_02物料!$B718)&lt;$M$2,N(对接源_02物料!$B718)&gt;$M$3),0,1))</f>
        <v>0</v>
      </c>
      <c r="N1918" s="3">
        <f>IF(OR($N$1="",对接源_02物料!$C718="",对接源_02物料!$C718&lt;&gt;$N$1,对接源_02物料!$B718=""),0,IF(OR(N(对接源_02物料!$B718)&lt;$N$2,N(对接源_02物料!$B718)&gt;$N$3),0,1))</f>
        <v>0</v>
      </c>
      <c r="P1918" s="3">
        <f>IF(AND($K1918=1,AND(对接源_02物料!$X718="公司筐",N(对接源_02物料!$T718)&lt;&gt;0)),1,0)</f>
        <v>0</v>
      </c>
      <c r="Q1918" s="3">
        <f t="shared" si="505"/>
        <v>8</v>
      </c>
      <c r="R1918" s="3">
        <f>IF(AND($K1918=1,AND(对接源_02物料!$X718="公司筐",N(对接源_02物料!$U718)&lt;&gt;0)),1,0)</f>
        <v>0</v>
      </c>
      <c r="S1918" s="3">
        <f t="shared" si="506"/>
        <v>0</v>
      </c>
      <c r="T1918" s="3">
        <f>IF(AND($K1918=1,AND(对接源_02物料!$X718="公司筐",N(对接源_02物料!$V718)&lt;&gt;0)),1,0)</f>
        <v>0</v>
      </c>
      <c r="U1918" s="3">
        <f t="shared" si="507"/>
        <v>19</v>
      </c>
      <c r="V1918" s="3">
        <f>IF(AND($L1918=1,AND(对接源_02物料!$X718="自备筐",N(对接源_02物料!$V718)&lt;&gt;0)),1,0)</f>
        <v>0</v>
      </c>
      <c r="W1918" s="3">
        <f t="shared" si="508"/>
        <v>8</v>
      </c>
      <c r="X1918" s="3">
        <f>IF(AND($L1918=1,AND(对接源_02物料!$X718="自备筐",N(对接源_02物料!$T718)&lt;&gt;0)),1,0)</f>
        <v>0</v>
      </c>
      <c r="Y1918" s="3">
        <f t="shared" si="509"/>
        <v>0</v>
      </c>
      <c r="Z1918" s="3">
        <f>IF(AND($M1918=1,对接源_02物料!$D718="原料入库"),1,0)</f>
        <v>0</v>
      </c>
      <c r="AA1918" s="3">
        <f t="shared" si="510"/>
        <v>24</v>
      </c>
      <c r="AB1918" s="3">
        <f>IF(AND($M1918=1,LEFT(对接源_02物料!$D718,4)="原料出库"),1,0)</f>
        <v>0</v>
      </c>
      <c r="AC1918" s="3">
        <f t="shared" si="511"/>
        <v>0</v>
      </c>
      <c r="AD1918" s="3">
        <f>IF(AND($M1918=1,LEFT(对接源_02物料!$D718,4)="成品出库"),1,0)</f>
        <v>0</v>
      </c>
      <c r="AE1918" s="3">
        <f t="shared" si="512"/>
        <v>0</v>
      </c>
      <c r="AF1918" s="3">
        <f>IF(AND($N1918=1,AND(LEFT(对接源_02物料!$D718,4)="包装物料",N(对接源_02物料!$K718)&lt;&gt;0)),1,0)</f>
        <v>0</v>
      </c>
      <c r="AG1918" s="3">
        <f t="shared" si="513"/>
        <v>5</v>
      </c>
      <c r="AH1918" s="3">
        <f>IF(AND($N1918=1,AND(对接源_02物料!$D718="周转筐－销售出库",N(对接源_02物料!$K718)&lt;&gt;0)),1,0)</f>
        <v>0</v>
      </c>
      <c r="AI1918" s="3">
        <f t="shared" si="514"/>
        <v>0</v>
      </c>
      <c r="AL1918" s="3">
        <v>0</v>
      </c>
      <c r="AM1918" s="3">
        <f t="shared" si="515"/>
        <v>1</v>
      </c>
      <c r="AN1918" s="3" t="str">
        <f t="shared" si="519"/>
        <v/>
      </c>
      <c r="AO1918" s="3">
        <v>0</v>
      </c>
      <c r="AP1918" s="3">
        <f t="shared" si="516"/>
        <v>8</v>
      </c>
      <c r="AR1918">
        <f t="shared" si="517"/>
        <v>0</v>
      </c>
      <c r="AS1918">
        <f t="shared" si="518"/>
        <v>5</v>
      </c>
    </row>
    <row r="1919" customHeight="1" spans="1:45">
      <c r="A1919" s="3" t="str">
        <f>IF(对接源_02物料!$C719="","",对接源_02物料!$C719)</f>
        <v/>
      </c>
      <c r="B1919" s="3">
        <f t="shared" si="503"/>
        <v>0</v>
      </c>
      <c r="C1919" s="3">
        <f t="shared" si="504"/>
        <v>21</v>
      </c>
      <c r="K1919" s="3">
        <f>IF(OR($K$1="",对接源_02物料!$C719="",对接源_02物料!$C719&lt;&gt;$K$1,对接源_02物料!$B719=""),0,IF(OR(N(对接源_02物料!$B719)&lt;$K$2,N(对接源_02物料!$B719)&gt;$K$3),0,1))</f>
        <v>0</v>
      </c>
      <c r="L1919" s="3">
        <f>IF(OR($L$1="",对接源_02物料!$C719="",对接源_02物料!$C719&lt;&gt;$L$1,对接源_02物料!$B719=""),0,IF(OR(N(对接源_02物料!$B719)&lt;$L$2,N(对接源_02物料!$B719)&gt;$L$3),0,1))</f>
        <v>0</v>
      </c>
      <c r="M1919" s="3">
        <f>IF(OR($M$1="",对接源_02物料!$C719="",对接源_02物料!$C719&lt;&gt;$M$1,对接源_02物料!$B719=""),0,IF(OR(N(对接源_02物料!$B719)&lt;$M$2,N(对接源_02物料!$B719)&gt;$M$3),0,1))</f>
        <v>0</v>
      </c>
      <c r="N1919" s="3">
        <f>IF(OR($N$1="",对接源_02物料!$C719="",对接源_02物料!$C719&lt;&gt;$N$1,对接源_02物料!$B719=""),0,IF(OR(N(对接源_02物料!$B719)&lt;$N$2,N(对接源_02物料!$B719)&gt;$N$3),0,1))</f>
        <v>0</v>
      </c>
      <c r="P1919" s="3">
        <f>IF(AND($K1919=1,AND(对接源_02物料!$X719="公司筐",N(对接源_02物料!$T719)&lt;&gt;0)),1,0)</f>
        <v>0</v>
      </c>
      <c r="Q1919" s="3">
        <f t="shared" si="505"/>
        <v>8</v>
      </c>
      <c r="R1919" s="3">
        <f>IF(AND($K1919=1,AND(对接源_02物料!$X719="公司筐",N(对接源_02物料!$U719)&lt;&gt;0)),1,0)</f>
        <v>0</v>
      </c>
      <c r="S1919" s="3">
        <f t="shared" si="506"/>
        <v>0</v>
      </c>
      <c r="T1919" s="3">
        <f>IF(AND($K1919=1,AND(对接源_02物料!$X719="公司筐",N(对接源_02物料!$V719)&lt;&gt;0)),1,0)</f>
        <v>0</v>
      </c>
      <c r="U1919" s="3">
        <f t="shared" si="507"/>
        <v>19</v>
      </c>
      <c r="V1919" s="3">
        <f>IF(AND($L1919=1,AND(对接源_02物料!$X719="自备筐",N(对接源_02物料!$V719)&lt;&gt;0)),1,0)</f>
        <v>0</v>
      </c>
      <c r="W1919" s="3">
        <f t="shared" si="508"/>
        <v>8</v>
      </c>
      <c r="X1919" s="3">
        <f>IF(AND($L1919=1,AND(对接源_02物料!$X719="自备筐",N(对接源_02物料!$T719)&lt;&gt;0)),1,0)</f>
        <v>0</v>
      </c>
      <c r="Y1919" s="3">
        <f t="shared" si="509"/>
        <v>0</v>
      </c>
      <c r="Z1919" s="3">
        <f>IF(AND($M1919=1,对接源_02物料!$D719="原料入库"),1,0)</f>
        <v>0</v>
      </c>
      <c r="AA1919" s="3">
        <f t="shared" si="510"/>
        <v>24</v>
      </c>
      <c r="AB1919" s="3">
        <f>IF(AND($M1919=1,LEFT(对接源_02物料!$D719,4)="原料出库"),1,0)</f>
        <v>0</v>
      </c>
      <c r="AC1919" s="3">
        <f t="shared" si="511"/>
        <v>0</v>
      </c>
      <c r="AD1919" s="3">
        <f>IF(AND($M1919=1,LEFT(对接源_02物料!$D719,4)="成品出库"),1,0)</f>
        <v>0</v>
      </c>
      <c r="AE1919" s="3">
        <f t="shared" si="512"/>
        <v>0</v>
      </c>
      <c r="AF1919" s="3">
        <f>IF(AND($N1919=1,AND(LEFT(对接源_02物料!$D719,4)="包装物料",N(对接源_02物料!$K719)&lt;&gt;0)),1,0)</f>
        <v>0</v>
      </c>
      <c r="AG1919" s="3">
        <f t="shared" si="513"/>
        <v>5</v>
      </c>
      <c r="AH1919" s="3">
        <f>IF(AND($N1919=1,AND(对接源_02物料!$D719="周转筐－销售出库",N(对接源_02物料!$K719)&lt;&gt;0)),1,0)</f>
        <v>0</v>
      </c>
      <c r="AI1919" s="3">
        <f t="shared" si="514"/>
        <v>0</v>
      </c>
      <c r="AL1919" s="3">
        <v>0</v>
      </c>
      <c r="AM1919" s="3">
        <f t="shared" si="515"/>
        <v>1</v>
      </c>
      <c r="AN1919" s="3" t="str">
        <f t="shared" si="519"/>
        <v/>
      </c>
      <c r="AO1919" s="3">
        <v>0</v>
      </c>
      <c r="AP1919" s="3">
        <f t="shared" si="516"/>
        <v>8</v>
      </c>
      <c r="AR1919">
        <f t="shared" si="517"/>
        <v>0</v>
      </c>
      <c r="AS1919">
        <f t="shared" si="518"/>
        <v>5</v>
      </c>
    </row>
    <row r="1920" customHeight="1" spans="1:45">
      <c r="A1920" s="3" t="str">
        <f>IF(对接源_02物料!$C720="","",对接源_02物料!$C720)</f>
        <v/>
      </c>
      <c r="B1920" s="3">
        <f t="shared" si="503"/>
        <v>0</v>
      </c>
      <c r="C1920" s="3">
        <f t="shared" si="504"/>
        <v>21</v>
      </c>
      <c r="K1920" s="3">
        <f>IF(OR($K$1="",对接源_02物料!$C720="",对接源_02物料!$C720&lt;&gt;$K$1,对接源_02物料!$B720=""),0,IF(OR(N(对接源_02物料!$B720)&lt;$K$2,N(对接源_02物料!$B720)&gt;$K$3),0,1))</f>
        <v>0</v>
      </c>
      <c r="L1920" s="3">
        <f>IF(OR($L$1="",对接源_02物料!$C720="",对接源_02物料!$C720&lt;&gt;$L$1,对接源_02物料!$B720=""),0,IF(OR(N(对接源_02物料!$B720)&lt;$L$2,N(对接源_02物料!$B720)&gt;$L$3),0,1))</f>
        <v>0</v>
      </c>
      <c r="M1920" s="3">
        <f>IF(OR($M$1="",对接源_02物料!$C720="",对接源_02物料!$C720&lt;&gt;$M$1,对接源_02物料!$B720=""),0,IF(OR(N(对接源_02物料!$B720)&lt;$M$2,N(对接源_02物料!$B720)&gt;$M$3),0,1))</f>
        <v>0</v>
      </c>
      <c r="N1920" s="3">
        <f>IF(OR($N$1="",对接源_02物料!$C720="",对接源_02物料!$C720&lt;&gt;$N$1,对接源_02物料!$B720=""),0,IF(OR(N(对接源_02物料!$B720)&lt;$N$2,N(对接源_02物料!$B720)&gt;$N$3),0,1))</f>
        <v>0</v>
      </c>
      <c r="P1920" s="3">
        <f>IF(AND($K1920=1,AND(对接源_02物料!$X720="公司筐",N(对接源_02物料!$T720)&lt;&gt;0)),1,0)</f>
        <v>0</v>
      </c>
      <c r="Q1920" s="3">
        <f t="shared" si="505"/>
        <v>8</v>
      </c>
      <c r="R1920" s="3">
        <f>IF(AND($K1920=1,AND(对接源_02物料!$X720="公司筐",N(对接源_02物料!$U720)&lt;&gt;0)),1,0)</f>
        <v>0</v>
      </c>
      <c r="S1920" s="3">
        <f t="shared" si="506"/>
        <v>0</v>
      </c>
      <c r="T1920" s="3">
        <f>IF(AND($K1920=1,AND(对接源_02物料!$X720="公司筐",N(对接源_02物料!$V720)&lt;&gt;0)),1,0)</f>
        <v>0</v>
      </c>
      <c r="U1920" s="3">
        <f t="shared" si="507"/>
        <v>19</v>
      </c>
      <c r="V1920" s="3">
        <f>IF(AND($L1920=1,AND(对接源_02物料!$X720="自备筐",N(对接源_02物料!$V720)&lt;&gt;0)),1,0)</f>
        <v>0</v>
      </c>
      <c r="W1920" s="3">
        <f t="shared" si="508"/>
        <v>8</v>
      </c>
      <c r="X1920" s="3">
        <f>IF(AND($L1920=1,AND(对接源_02物料!$X720="自备筐",N(对接源_02物料!$T720)&lt;&gt;0)),1,0)</f>
        <v>0</v>
      </c>
      <c r="Y1920" s="3">
        <f t="shared" si="509"/>
        <v>0</v>
      </c>
      <c r="Z1920" s="3">
        <f>IF(AND($M1920=1,对接源_02物料!$D720="原料入库"),1,0)</f>
        <v>0</v>
      </c>
      <c r="AA1920" s="3">
        <f t="shared" si="510"/>
        <v>24</v>
      </c>
      <c r="AB1920" s="3">
        <f>IF(AND($M1920=1,LEFT(对接源_02物料!$D720,4)="原料出库"),1,0)</f>
        <v>0</v>
      </c>
      <c r="AC1920" s="3">
        <f t="shared" si="511"/>
        <v>0</v>
      </c>
      <c r="AD1920" s="3">
        <f>IF(AND($M1920=1,LEFT(对接源_02物料!$D720,4)="成品出库"),1,0)</f>
        <v>0</v>
      </c>
      <c r="AE1920" s="3">
        <f t="shared" si="512"/>
        <v>0</v>
      </c>
      <c r="AF1920" s="3">
        <f>IF(AND($N1920=1,AND(LEFT(对接源_02物料!$D720,4)="包装物料",N(对接源_02物料!$K720)&lt;&gt;0)),1,0)</f>
        <v>0</v>
      </c>
      <c r="AG1920" s="3">
        <f t="shared" si="513"/>
        <v>5</v>
      </c>
      <c r="AH1920" s="3">
        <f>IF(AND($N1920=1,AND(对接源_02物料!$D720="周转筐－销售出库",N(对接源_02物料!$K720)&lt;&gt;0)),1,0)</f>
        <v>0</v>
      </c>
      <c r="AI1920" s="3">
        <f t="shared" si="514"/>
        <v>0</v>
      </c>
      <c r="AL1920" s="3">
        <v>0</v>
      </c>
      <c r="AM1920" s="3">
        <f t="shared" si="515"/>
        <v>1</v>
      </c>
      <c r="AN1920" s="3" t="str">
        <f t="shared" si="519"/>
        <v/>
      </c>
      <c r="AO1920" s="3">
        <v>0</v>
      </c>
      <c r="AP1920" s="3">
        <f t="shared" si="516"/>
        <v>8</v>
      </c>
      <c r="AR1920">
        <f t="shared" si="517"/>
        <v>0</v>
      </c>
      <c r="AS1920">
        <f t="shared" si="518"/>
        <v>5</v>
      </c>
    </row>
    <row r="1921" customHeight="1" spans="1:45">
      <c r="A1921" s="3" t="str">
        <f>IF(对接源_02物料!$C721="","",对接源_02物料!$C721)</f>
        <v/>
      </c>
      <c r="B1921" s="3">
        <f t="shared" si="503"/>
        <v>0</v>
      </c>
      <c r="C1921" s="3">
        <f t="shared" si="504"/>
        <v>21</v>
      </c>
      <c r="K1921" s="3">
        <f>IF(OR($K$1="",对接源_02物料!$C721="",对接源_02物料!$C721&lt;&gt;$K$1,对接源_02物料!$B721=""),0,IF(OR(N(对接源_02物料!$B721)&lt;$K$2,N(对接源_02物料!$B721)&gt;$K$3),0,1))</f>
        <v>0</v>
      </c>
      <c r="L1921" s="3">
        <f>IF(OR($L$1="",对接源_02物料!$C721="",对接源_02物料!$C721&lt;&gt;$L$1,对接源_02物料!$B721=""),0,IF(OR(N(对接源_02物料!$B721)&lt;$L$2,N(对接源_02物料!$B721)&gt;$L$3),0,1))</f>
        <v>0</v>
      </c>
      <c r="M1921" s="3">
        <f>IF(OR($M$1="",对接源_02物料!$C721="",对接源_02物料!$C721&lt;&gt;$M$1,对接源_02物料!$B721=""),0,IF(OR(N(对接源_02物料!$B721)&lt;$M$2,N(对接源_02物料!$B721)&gt;$M$3),0,1))</f>
        <v>0</v>
      </c>
      <c r="N1921" s="3">
        <f>IF(OR($N$1="",对接源_02物料!$C721="",对接源_02物料!$C721&lt;&gt;$N$1,对接源_02物料!$B721=""),0,IF(OR(N(对接源_02物料!$B721)&lt;$N$2,N(对接源_02物料!$B721)&gt;$N$3),0,1))</f>
        <v>0</v>
      </c>
      <c r="P1921" s="3">
        <f>IF(AND($K1921=1,AND(对接源_02物料!$X721="公司筐",N(对接源_02物料!$T721)&lt;&gt;0)),1,0)</f>
        <v>0</v>
      </c>
      <c r="Q1921" s="3">
        <f t="shared" si="505"/>
        <v>8</v>
      </c>
      <c r="R1921" s="3">
        <f>IF(AND($K1921=1,AND(对接源_02物料!$X721="公司筐",N(对接源_02物料!$U721)&lt;&gt;0)),1,0)</f>
        <v>0</v>
      </c>
      <c r="S1921" s="3">
        <f t="shared" si="506"/>
        <v>0</v>
      </c>
      <c r="T1921" s="3">
        <f>IF(AND($K1921=1,AND(对接源_02物料!$X721="公司筐",N(对接源_02物料!$V721)&lt;&gt;0)),1,0)</f>
        <v>0</v>
      </c>
      <c r="U1921" s="3">
        <f t="shared" si="507"/>
        <v>19</v>
      </c>
      <c r="V1921" s="3">
        <f>IF(AND($L1921=1,AND(对接源_02物料!$X721="自备筐",N(对接源_02物料!$V721)&lt;&gt;0)),1,0)</f>
        <v>0</v>
      </c>
      <c r="W1921" s="3">
        <f t="shared" si="508"/>
        <v>8</v>
      </c>
      <c r="X1921" s="3">
        <f>IF(AND($L1921=1,AND(对接源_02物料!$X721="自备筐",N(对接源_02物料!$T721)&lt;&gt;0)),1,0)</f>
        <v>0</v>
      </c>
      <c r="Y1921" s="3">
        <f t="shared" si="509"/>
        <v>0</v>
      </c>
      <c r="Z1921" s="3">
        <f>IF(AND($M1921=1,对接源_02物料!$D721="原料入库"),1,0)</f>
        <v>0</v>
      </c>
      <c r="AA1921" s="3">
        <f t="shared" si="510"/>
        <v>24</v>
      </c>
      <c r="AB1921" s="3">
        <f>IF(AND($M1921=1,LEFT(对接源_02物料!$D721,4)="原料出库"),1,0)</f>
        <v>0</v>
      </c>
      <c r="AC1921" s="3">
        <f t="shared" si="511"/>
        <v>0</v>
      </c>
      <c r="AD1921" s="3">
        <f>IF(AND($M1921=1,LEFT(对接源_02物料!$D721,4)="成品出库"),1,0)</f>
        <v>0</v>
      </c>
      <c r="AE1921" s="3">
        <f t="shared" si="512"/>
        <v>0</v>
      </c>
      <c r="AF1921" s="3">
        <f>IF(AND($N1921=1,AND(LEFT(对接源_02物料!$D721,4)="包装物料",N(对接源_02物料!$K721)&lt;&gt;0)),1,0)</f>
        <v>0</v>
      </c>
      <c r="AG1921" s="3">
        <f t="shared" si="513"/>
        <v>5</v>
      </c>
      <c r="AH1921" s="3">
        <f>IF(AND($N1921=1,AND(对接源_02物料!$D721="周转筐－销售出库",N(对接源_02物料!$K721)&lt;&gt;0)),1,0)</f>
        <v>0</v>
      </c>
      <c r="AI1921" s="3">
        <f t="shared" si="514"/>
        <v>0</v>
      </c>
      <c r="AL1921" s="3">
        <v>0</v>
      </c>
      <c r="AM1921" s="3">
        <f t="shared" si="515"/>
        <v>1</v>
      </c>
      <c r="AN1921" s="3" t="str">
        <f t="shared" si="519"/>
        <v/>
      </c>
      <c r="AO1921" s="3">
        <v>0</v>
      </c>
      <c r="AP1921" s="3">
        <f t="shared" si="516"/>
        <v>8</v>
      </c>
      <c r="AR1921">
        <f t="shared" si="517"/>
        <v>0</v>
      </c>
      <c r="AS1921">
        <f t="shared" si="518"/>
        <v>5</v>
      </c>
    </row>
    <row r="1922" customHeight="1" spans="1:45">
      <c r="A1922" s="3" t="str">
        <f>IF(对接源_02物料!$C722="","",对接源_02物料!$C722)</f>
        <v/>
      </c>
      <c r="B1922" s="3">
        <f t="shared" si="503"/>
        <v>0</v>
      </c>
      <c r="C1922" s="3">
        <f t="shared" si="504"/>
        <v>21</v>
      </c>
      <c r="K1922" s="3">
        <f>IF(OR($K$1="",对接源_02物料!$C722="",对接源_02物料!$C722&lt;&gt;$K$1,对接源_02物料!$B722=""),0,IF(OR(N(对接源_02物料!$B722)&lt;$K$2,N(对接源_02物料!$B722)&gt;$K$3),0,1))</f>
        <v>0</v>
      </c>
      <c r="L1922" s="3">
        <f>IF(OR($L$1="",对接源_02物料!$C722="",对接源_02物料!$C722&lt;&gt;$L$1,对接源_02物料!$B722=""),0,IF(OR(N(对接源_02物料!$B722)&lt;$L$2,N(对接源_02物料!$B722)&gt;$L$3),0,1))</f>
        <v>0</v>
      </c>
      <c r="M1922" s="3">
        <f>IF(OR($M$1="",对接源_02物料!$C722="",对接源_02物料!$C722&lt;&gt;$M$1,对接源_02物料!$B722=""),0,IF(OR(N(对接源_02物料!$B722)&lt;$M$2,N(对接源_02物料!$B722)&gt;$M$3),0,1))</f>
        <v>0</v>
      </c>
      <c r="N1922" s="3">
        <f>IF(OR($N$1="",对接源_02物料!$C722="",对接源_02物料!$C722&lt;&gt;$N$1,对接源_02物料!$B722=""),0,IF(OR(N(对接源_02物料!$B722)&lt;$N$2,N(对接源_02物料!$B722)&gt;$N$3),0,1))</f>
        <v>0</v>
      </c>
      <c r="P1922" s="3">
        <f>IF(AND($K1922=1,AND(对接源_02物料!$X722="公司筐",N(对接源_02物料!$T722)&lt;&gt;0)),1,0)</f>
        <v>0</v>
      </c>
      <c r="Q1922" s="3">
        <f t="shared" si="505"/>
        <v>8</v>
      </c>
      <c r="R1922" s="3">
        <f>IF(AND($K1922=1,AND(对接源_02物料!$X722="公司筐",N(对接源_02物料!$U722)&lt;&gt;0)),1,0)</f>
        <v>0</v>
      </c>
      <c r="S1922" s="3">
        <f t="shared" si="506"/>
        <v>0</v>
      </c>
      <c r="T1922" s="3">
        <f>IF(AND($K1922=1,AND(对接源_02物料!$X722="公司筐",N(对接源_02物料!$V722)&lt;&gt;0)),1,0)</f>
        <v>0</v>
      </c>
      <c r="U1922" s="3">
        <f t="shared" si="507"/>
        <v>19</v>
      </c>
      <c r="V1922" s="3">
        <f>IF(AND($L1922=1,AND(对接源_02物料!$X722="自备筐",N(对接源_02物料!$V722)&lt;&gt;0)),1,0)</f>
        <v>0</v>
      </c>
      <c r="W1922" s="3">
        <f t="shared" si="508"/>
        <v>8</v>
      </c>
      <c r="X1922" s="3">
        <f>IF(AND($L1922=1,AND(对接源_02物料!$X722="自备筐",N(对接源_02物料!$T722)&lt;&gt;0)),1,0)</f>
        <v>0</v>
      </c>
      <c r="Y1922" s="3">
        <f t="shared" si="509"/>
        <v>0</v>
      </c>
      <c r="Z1922" s="3">
        <f>IF(AND($M1922=1,对接源_02物料!$D722="原料入库"),1,0)</f>
        <v>0</v>
      </c>
      <c r="AA1922" s="3">
        <f t="shared" si="510"/>
        <v>24</v>
      </c>
      <c r="AB1922" s="3">
        <f>IF(AND($M1922=1,LEFT(对接源_02物料!$D722,4)="原料出库"),1,0)</f>
        <v>0</v>
      </c>
      <c r="AC1922" s="3">
        <f t="shared" si="511"/>
        <v>0</v>
      </c>
      <c r="AD1922" s="3">
        <f>IF(AND($M1922=1,LEFT(对接源_02物料!$D722,4)="成品出库"),1,0)</f>
        <v>0</v>
      </c>
      <c r="AE1922" s="3">
        <f t="shared" si="512"/>
        <v>0</v>
      </c>
      <c r="AF1922" s="3">
        <f>IF(AND($N1922=1,AND(LEFT(对接源_02物料!$D722,4)="包装物料",N(对接源_02物料!$K722)&lt;&gt;0)),1,0)</f>
        <v>0</v>
      </c>
      <c r="AG1922" s="3">
        <f t="shared" si="513"/>
        <v>5</v>
      </c>
      <c r="AH1922" s="3">
        <f>IF(AND($N1922=1,AND(对接源_02物料!$D722="周转筐－销售出库",N(对接源_02物料!$K722)&lt;&gt;0)),1,0)</f>
        <v>0</v>
      </c>
      <c r="AI1922" s="3">
        <f t="shared" si="514"/>
        <v>0</v>
      </c>
      <c r="AL1922" s="3">
        <v>0</v>
      </c>
      <c r="AM1922" s="3">
        <f t="shared" si="515"/>
        <v>1</v>
      </c>
      <c r="AN1922" s="3" t="str">
        <f t="shared" si="519"/>
        <v/>
      </c>
      <c r="AO1922" s="3">
        <v>0</v>
      </c>
      <c r="AP1922" s="3">
        <f t="shared" si="516"/>
        <v>8</v>
      </c>
      <c r="AR1922">
        <f t="shared" si="517"/>
        <v>0</v>
      </c>
      <c r="AS1922">
        <f t="shared" si="518"/>
        <v>5</v>
      </c>
    </row>
    <row r="1923" customHeight="1" spans="1:45">
      <c r="A1923" s="3" t="str">
        <f>IF(对接源_02物料!$C723="","",对接源_02物料!$C723)</f>
        <v/>
      </c>
      <c r="B1923" s="3">
        <f t="shared" si="503"/>
        <v>0</v>
      </c>
      <c r="C1923" s="3">
        <f t="shared" si="504"/>
        <v>21</v>
      </c>
      <c r="K1923" s="3">
        <f>IF(OR($K$1="",对接源_02物料!$C723="",对接源_02物料!$C723&lt;&gt;$K$1,对接源_02物料!$B723=""),0,IF(OR(N(对接源_02物料!$B723)&lt;$K$2,N(对接源_02物料!$B723)&gt;$K$3),0,1))</f>
        <v>0</v>
      </c>
      <c r="L1923" s="3">
        <f>IF(OR($L$1="",对接源_02物料!$C723="",对接源_02物料!$C723&lt;&gt;$L$1,对接源_02物料!$B723=""),0,IF(OR(N(对接源_02物料!$B723)&lt;$L$2,N(对接源_02物料!$B723)&gt;$L$3),0,1))</f>
        <v>0</v>
      </c>
      <c r="M1923" s="3">
        <f>IF(OR($M$1="",对接源_02物料!$C723="",对接源_02物料!$C723&lt;&gt;$M$1,对接源_02物料!$B723=""),0,IF(OR(N(对接源_02物料!$B723)&lt;$M$2,N(对接源_02物料!$B723)&gt;$M$3),0,1))</f>
        <v>0</v>
      </c>
      <c r="N1923" s="3">
        <f>IF(OR($N$1="",对接源_02物料!$C723="",对接源_02物料!$C723&lt;&gt;$N$1,对接源_02物料!$B723=""),0,IF(OR(N(对接源_02物料!$B723)&lt;$N$2,N(对接源_02物料!$B723)&gt;$N$3),0,1))</f>
        <v>0</v>
      </c>
      <c r="P1923" s="3">
        <f>IF(AND($K1923=1,AND(对接源_02物料!$X723="公司筐",N(对接源_02物料!$T723)&lt;&gt;0)),1,0)</f>
        <v>0</v>
      </c>
      <c r="Q1923" s="3">
        <f t="shared" si="505"/>
        <v>8</v>
      </c>
      <c r="R1923" s="3">
        <f>IF(AND($K1923=1,AND(对接源_02物料!$X723="公司筐",N(对接源_02物料!$U723)&lt;&gt;0)),1,0)</f>
        <v>0</v>
      </c>
      <c r="S1923" s="3">
        <f t="shared" si="506"/>
        <v>0</v>
      </c>
      <c r="T1923" s="3">
        <f>IF(AND($K1923=1,AND(对接源_02物料!$X723="公司筐",N(对接源_02物料!$V723)&lt;&gt;0)),1,0)</f>
        <v>0</v>
      </c>
      <c r="U1923" s="3">
        <f t="shared" si="507"/>
        <v>19</v>
      </c>
      <c r="V1923" s="3">
        <f>IF(AND($L1923=1,AND(对接源_02物料!$X723="自备筐",N(对接源_02物料!$V723)&lt;&gt;0)),1,0)</f>
        <v>0</v>
      </c>
      <c r="W1923" s="3">
        <f t="shared" si="508"/>
        <v>8</v>
      </c>
      <c r="X1923" s="3">
        <f>IF(AND($L1923=1,AND(对接源_02物料!$X723="自备筐",N(对接源_02物料!$T723)&lt;&gt;0)),1,0)</f>
        <v>0</v>
      </c>
      <c r="Y1923" s="3">
        <f t="shared" si="509"/>
        <v>0</v>
      </c>
      <c r="Z1923" s="3">
        <f>IF(AND($M1923=1,对接源_02物料!$D723="原料入库"),1,0)</f>
        <v>0</v>
      </c>
      <c r="AA1923" s="3">
        <f t="shared" si="510"/>
        <v>24</v>
      </c>
      <c r="AB1923" s="3">
        <f>IF(AND($M1923=1,LEFT(对接源_02物料!$D723,4)="原料出库"),1,0)</f>
        <v>0</v>
      </c>
      <c r="AC1923" s="3">
        <f t="shared" si="511"/>
        <v>0</v>
      </c>
      <c r="AD1923" s="3">
        <f>IF(AND($M1923=1,LEFT(对接源_02物料!$D723,4)="成品出库"),1,0)</f>
        <v>0</v>
      </c>
      <c r="AE1923" s="3">
        <f t="shared" si="512"/>
        <v>0</v>
      </c>
      <c r="AF1923" s="3">
        <f>IF(AND($N1923=1,AND(LEFT(对接源_02物料!$D723,4)="包装物料",N(对接源_02物料!$K723)&lt;&gt;0)),1,0)</f>
        <v>0</v>
      </c>
      <c r="AG1923" s="3">
        <f t="shared" si="513"/>
        <v>5</v>
      </c>
      <c r="AH1923" s="3">
        <f>IF(AND($N1923=1,AND(对接源_02物料!$D723="周转筐－销售出库",N(对接源_02物料!$K723)&lt;&gt;0)),1,0)</f>
        <v>0</v>
      </c>
      <c r="AI1923" s="3">
        <f t="shared" si="514"/>
        <v>0</v>
      </c>
      <c r="AL1923" s="3">
        <v>0</v>
      </c>
      <c r="AM1923" s="3">
        <f t="shared" si="515"/>
        <v>1</v>
      </c>
      <c r="AN1923" s="3" t="str">
        <f t="shared" si="519"/>
        <v/>
      </c>
      <c r="AO1923" s="3">
        <v>0</v>
      </c>
      <c r="AP1923" s="3">
        <f t="shared" si="516"/>
        <v>8</v>
      </c>
      <c r="AR1923">
        <f t="shared" si="517"/>
        <v>0</v>
      </c>
      <c r="AS1923">
        <f t="shared" si="518"/>
        <v>5</v>
      </c>
    </row>
    <row r="1924" customHeight="1" spans="1:45">
      <c r="A1924" s="3" t="str">
        <f>IF(对接源_02物料!$C724="","",对接源_02物料!$C724)</f>
        <v/>
      </c>
      <c r="B1924" s="3">
        <f t="shared" ref="B1924:B1987" si="520">IF(A1924="",0,IF(MATCH(A1924,$A$4:$A$2403,0)=ROW()-3,1,0))</f>
        <v>0</v>
      </c>
      <c r="C1924" s="3">
        <f t="shared" ref="C1924:C1987" si="521">N(C1923)+B1924</f>
        <v>21</v>
      </c>
      <c r="K1924" s="3">
        <f>IF(OR($K$1="",对接源_02物料!$C724="",对接源_02物料!$C724&lt;&gt;$K$1,对接源_02物料!$B724=""),0,IF(OR(N(对接源_02物料!$B724)&lt;$K$2,N(对接源_02物料!$B724)&gt;$K$3),0,1))</f>
        <v>0</v>
      </c>
      <c r="L1924" s="3">
        <f>IF(OR($L$1="",对接源_02物料!$C724="",对接源_02物料!$C724&lt;&gt;$L$1,对接源_02物料!$B724=""),0,IF(OR(N(对接源_02物料!$B724)&lt;$L$2,N(对接源_02物料!$B724)&gt;$L$3),0,1))</f>
        <v>0</v>
      </c>
      <c r="M1924" s="3">
        <f>IF(OR($M$1="",对接源_02物料!$C724="",对接源_02物料!$C724&lt;&gt;$M$1,对接源_02物料!$B724=""),0,IF(OR(N(对接源_02物料!$B724)&lt;$M$2,N(对接源_02物料!$B724)&gt;$M$3),0,1))</f>
        <v>0</v>
      </c>
      <c r="N1924" s="3">
        <f>IF(OR($N$1="",对接源_02物料!$C724="",对接源_02物料!$C724&lt;&gt;$N$1,对接源_02物料!$B724=""),0,IF(OR(N(对接源_02物料!$B724)&lt;$N$2,N(对接源_02物料!$B724)&gt;$N$3),0,1))</f>
        <v>0</v>
      </c>
      <c r="P1924" s="3">
        <f>IF(AND($K1924=1,AND(对接源_02物料!$X724="公司筐",N(对接源_02物料!$T724)&lt;&gt;0)),1,0)</f>
        <v>0</v>
      </c>
      <c r="Q1924" s="3">
        <f t="shared" ref="Q1924:Q1987" si="522">N(Q1923)+$P1924</f>
        <v>8</v>
      </c>
      <c r="R1924" s="3">
        <f>IF(AND($K1924=1,AND(对接源_02物料!$X724="公司筐",N(对接源_02物料!$U724)&lt;&gt;0)),1,0)</f>
        <v>0</v>
      </c>
      <c r="S1924" s="3">
        <f t="shared" ref="S1924:S1987" si="523">N(S1923)+$R1924</f>
        <v>0</v>
      </c>
      <c r="T1924" s="3">
        <f>IF(AND($K1924=1,AND(对接源_02物料!$X724="公司筐",N(对接源_02物料!$V724)&lt;&gt;0)),1,0)</f>
        <v>0</v>
      </c>
      <c r="U1924" s="3">
        <f t="shared" ref="U1924:U1987" si="524">N(U1923)+$T1924</f>
        <v>19</v>
      </c>
      <c r="V1924" s="3">
        <f>IF(AND($L1924=1,AND(对接源_02物料!$X724="自备筐",N(对接源_02物料!$V724)&lt;&gt;0)),1,0)</f>
        <v>0</v>
      </c>
      <c r="W1924" s="3">
        <f t="shared" ref="W1924:W1987" si="525">N(W1923)+$V1924</f>
        <v>8</v>
      </c>
      <c r="X1924" s="3">
        <f>IF(AND($L1924=1,AND(对接源_02物料!$X724="自备筐",N(对接源_02物料!$T724)&lt;&gt;0)),1,0)</f>
        <v>0</v>
      </c>
      <c r="Y1924" s="3">
        <f t="shared" ref="Y1924:Y1987" si="526">N(Y1923)+$X1924</f>
        <v>0</v>
      </c>
      <c r="Z1924" s="3">
        <f>IF(AND($M1924=1,对接源_02物料!$D724="原料入库"),1,0)</f>
        <v>0</v>
      </c>
      <c r="AA1924" s="3">
        <f t="shared" ref="AA1924:AA1987" si="527">N(AA1923)+$Z1924</f>
        <v>24</v>
      </c>
      <c r="AB1924" s="3">
        <f>IF(AND($M1924=1,LEFT(对接源_02物料!$D724,4)="原料出库"),1,0)</f>
        <v>0</v>
      </c>
      <c r="AC1924" s="3">
        <f t="shared" ref="AC1924:AC1987" si="528">N(AC1923)+$AB1924</f>
        <v>0</v>
      </c>
      <c r="AD1924" s="3">
        <f>IF(AND($M1924=1,LEFT(对接源_02物料!$D724,4)="成品出库"),1,0)</f>
        <v>0</v>
      </c>
      <c r="AE1924" s="3">
        <f t="shared" ref="AE1924:AE1987" si="529">N(AE1923)+$AD1924</f>
        <v>0</v>
      </c>
      <c r="AF1924" s="3">
        <f>IF(AND($N1924=1,AND(LEFT(对接源_02物料!$D724,4)="包装物料",N(对接源_02物料!$K724)&lt;&gt;0)),1,0)</f>
        <v>0</v>
      </c>
      <c r="AG1924" s="3">
        <f t="shared" ref="AG1924:AG1987" si="530">N(AG1923)+$AF1924</f>
        <v>5</v>
      </c>
      <c r="AH1924" s="3">
        <f>IF(AND($N1924=1,AND(对接源_02物料!$D724="周转筐－销售出库",N(对接源_02物料!$K724)&lt;&gt;0)),1,0)</f>
        <v>0</v>
      </c>
      <c r="AI1924" s="3">
        <f t="shared" ref="AI1924:AI1987" si="531">N(AI1923)+$AH1924</f>
        <v>0</v>
      </c>
      <c r="AL1924" s="3">
        <v>0</v>
      </c>
      <c r="AM1924" s="3">
        <f t="shared" ref="AM1924:AM1987" si="532">N(AM1923)+$AL1924</f>
        <v>1</v>
      </c>
      <c r="AN1924" s="3" t="str">
        <f t="shared" si="519"/>
        <v/>
      </c>
      <c r="AO1924" s="3">
        <v>0</v>
      </c>
      <c r="AP1924" s="3">
        <f t="shared" ref="AP1924:AP1987" si="533">N(AP1923)+$AO1924</f>
        <v>8</v>
      </c>
      <c r="AR1924">
        <f t="shared" ref="AR1924:AR1987" si="534">IF(OR($AF1924=1,$AH1924=1),1,0)</f>
        <v>0</v>
      </c>
      <c r="AS1924">
        <f t="shared" ref="AS1924:AS1987" si="535">N(AS1923)+$AR1924</f>
        <v>5</v>
      </c>
    </row>
    <row r="1925" customHeight="1" spans="1:45">
      <c r="A1925" s="3" t="str">
        <f>IF(对接源_02物料!$C725="","",对接源_02物料!$C725)</f>
        <v/>
      </c>
      <c r="B1925" s="3">
        <f t="shared" si="520"/>
        <v>0</v>
      </c>
      <c r="C1925" s="3">
        <f t="shared" si="521"/>
        <v>21</v>
      </c>
      <c r="K1925" s="3">
        <f>IF(OR($K$1="",对接源_02物料!$C725="",对接源_02物料!$C725&lt;&gt;$K$1,对接源_02物料!$B725=""),0,IF(OR(N(对接源_02物料!$B725)&lt;$K$2,N(对接源_02物料!$B725)&gt;$K$3),0,1))</f>
        <v>0</v>
      </c>
      <c r="L1925" s="3">
        <f>IF(OR($L$1="",对接源_02物料!$C725="",对接源_02物料!$C725&lt;&gt;$L$1,对接源_02物料!$B725=""),0,IF(OR(N(对接源_02物料!$B725)&lt;$L$2,N(对接源_02物料!$B725)&gt;$L$3),0,1))</f>
        <v>0</v>
      </c>
      <c r="M1925" s="3">
        <f>IF(OR($M$1="",对接源_02物料!$C725="",对接源_02物料!$C725&lt;&gt;$M$1,对接源_02物料!$B725=""),0,IF(OR(N(对接源_02物料!$B725)&lt;$M$2,N(对接源_02物料!$B725)&gt;$M$3),0,1))</f>
        <v>0</v>
      </c>
      <c r="N1925" s="3">
        <f>IF(OR($N$1="",对接源_02物料!$C725="",对接源_02物料!$C725&lt;&gt;$N$1,对接源_02物料!$B725=""),0,IF(OR(N(对接源_02物料!$B725)&lt;$N$2,N(对接源_02物料!$B725)&gt;$N$3),0,1))</f>
        <v>0</v>
      </c>
      <c r="P1925" s="3">
        <f>IF(AND($K1925=1,AND(对接源_02物料!$X725="公司筐",N(对接源_02物料!$T725)&lt;&gt;0)),1,0)</f>
        <v>0</v>
      </c>
      <c r="Q1925" s="3">
        <f t="shared" si="522"/>
        <v>8</v>
      </c>
      <c r="R1925" s="3">
        <f>IF(AND($K1925=1,AND(对接源_02物料!$X725="公司筐",N(对接源_02物料!$U725)&lt;&gt;0)),1,0)</f>
        <v>0</v>
      </c>
      <c r="S1925" s="3">
        <f t="shared" si="523"/>
        <v>0</v>
      </c>
      <c r="T1925" s="3">
        <f>IF(AND($K1925=1,AND(对接源_02物料!$X725="公司筐",N(对接源_02物料!$V725)&lt;&gt;0)),1,0)</f>
        <v>0</v>
      </c>
      <c r="U1925" s="3">
        <f t="shared" si="524"/>
        <v>19</v>
      </c>
      <c r="V1925" s="3">
        <f>IF(AND($L1925=1,AND(对接源_02物料!$X725="自备筐",N(对接源_02物料!$V725)&lt;&gt;0)),1,0)</f>
        <v>0</v>
      </c>
      <c r="W1925" s="3">
        <f t="shared" si="525"/>
        <v>8</v>
      </c>
      <c r="X1925" s="3">
        <f>IF(AND($L1925=1,AND(对接源_02物料!$X725="自备筐",N(对接源_02物料!$T725)&lt;&gt;0)),1,0)</f>
        <v>0</v>
      </c>
      <c r="Y1925" s="3">
        <f t="shared" si="526"/>
        <v>0</v>
      </c>
      <c r="Z1925" s="3">
        <f>IF(AND($M1925=1,对接源_02物料!$D725="原料入库"),1,0)</f>
        <v>0</v>
      </c>
      <c r="AA1925" s="3">
        <f t="shared" si="527"/>
        <v>24</v>
      </c>
      <c r="AB1925" s="3">
        <f>IF(AND($M1925=1,LEFT(对接源_02物料!$D725,4)="原料出库"),1,0)</f>
        <v>0</v>
      </c>
      <c r="AC1925" s="3">
        <f t="shared" si="528"/>
        <v>0</v>
      </c>
      <c r="AD1925" s="3">
        <f>IF(AND($M1925=1,LEFT(对接源_02物料!$D725,4)="成品出库"),1,0)</f>
        <v>0</v>
      </c>
      <c r="AE1925" s="3">
        <f t="shared" si="529"/>
        <v>0</v>
      </c>
      <c r="AF1925" s="3">
        <f>IF(AND($N1925=1,AND(LEFT(对接源_02物料!$D725,4)="包装物料",N(对接源_02物料!$K725)&lt;&gt;0)),1,0)</f>
        <v>0</v>
      </c>
      <c r="AG1925" s="3">
        <f t="shared" si="530"/>
        <v>5</v>
      </c>
      <c r="AH1925" s="3">
        <f>IF(AND($N1925=1,AND(对接源_02物料!$D725="周转筐－销售出库",N(对接源_02物料!$K725)&lt;&gt;0)),1,0)</f>
        <v>0</v>
      </c>
      <c r="AI1925" s="3">
        <f t="shared" si="531"/>
        <v>0</v>
      </c>
      <c r="AL1925" s="3">
        <v>0</v>
      </c>
      <c r="AM1925" s="3">
        <f t="shared" si="532"/>
        <v>1</v>
      </c>
      <c r="AN1925" s="3" t="str">
        <f t="shared" si="519"/>
        <v/>
      </c>
      <c r="AO1925" s="3">
        <v>0</v>
      </c>
      <c r="AP1925" s="3">
        <f t="shared" si="533"/>
        <v>8</v>
      </c>
      <c r="AR1925">
        <f t="shared" si="534"/>
        <v>0</v>
      </c>
      <c r="AS1925">
        <f t="shared" si="535"/>
        <v>5</v>
      </c>
    </row>
    <row r="1926" customHeight="1" spans="1:45">
      <c r="A1926" s="3" t="str">
        <f>IF(对接源_02物料!$C726="","",对接源_02物料!$C726)</f>
        <v/>
      </c>
      <c r="B1926" s="3">
        <f t="shared" si="520"/>
        <v>0</v>
      </c>
      <c r="C1926" s="3">
        <f t="shared" si="521"/>
        <v>21</v>
      </c>
      <c r="K1926" s="3">
        <f>IF(OR($K$1="",对接源_02物料!$C726="",对接源_02物料!$C726&lt;&gt;$K$1,对接源_02物料!$B726=""),0,IF(OR(N(对接源_02物料!$B726)&lt;$K$2,N(对接源_02物料!$B726)&gt;$K$3),0,1))</f>
        <v>0</v>
      </c>
      <c r="L1926" s="3">
        <f>IF(OR($L$1="",对接源_02物料!$C726="",对接源_02物料!$C726&lt;&gt;$L$1,对接源_02物料!$B726=""),0,IF(OR(N(对接源_02物料!$B726)&lt;$L$2,N(对接源_02物料!$B726)&gt;$L$3),0,1))</f>
        <v>0</v>
      </c>
      <c r="M1926" s="3">
        <f>IF(OR($M$1="",对接源_02物料!$C726="",对接源_02物料!$C726&lt;&gt;$M$1,对接源_02物料!$B726=""),0,IF(OR(N(对接源_02物料!$B726)&lt;$M$2,N(对接源_02物料!$B726)&gt;$M$3),0,1))</f>
        <v>0</v>
      </c>
      <c r="N1926" s="3">
        <f>IF(OR($N$1="",对接源_02物料!$C726="",对接源_02物料!$C726&lt;&gt;$N$1,对接源_02物料!$B726=""),0,IF(OR(N(对接源_02物料!$B726)&lt;$N$2,N(对接源_02物料!$B726)&gt;$N$3),0,1))</f>
        <v>0</v>
      </c>
      <c r="P1926" s="3">
        <f>IF(AND($K1926=1,AND(对接源_02物料!$X726="公司筐",N(对接源_02物料!$T726)&lt;&gt;0)),1,0)</f>
        <v>0</v>
      </c>
      <c r="Q1926" s="3">
        <f t="shared" si="522"/>
        <v>8</v>
      </c>
      <c r="R1926" s="3">
        <f>IF(AND($K1926=1,AND(对接源_02物料!$X726="公司筐",N(对接源_02物料!$U726)&lt;&gt;0)),1,0)</f>
        <v>0</v>
      </c>
      <c r="S1926" s="3">
        <f t="shared" si="523"/>
        <v>0</v>
      </c>
      <c r="T1926" s="3">
        <f>IF(AND($K1926=1,AND(对接源_02物料!$X726="公司筐",N(对接源_02物料!$V726)&lt;&gt;0)),1,0)</f>
        <v>0</v>
      </c>
      <c r="U1926" s="3">
        <f t="shared" si="524"/>
        <v>19</v>
      </c>
      <c r="V1926" s="3">
        <f>IF(AND($L1926=1,AND(对接源_02物料!$X726="自备筐",N(对接源_02物料!$V726)&lt;&gt;0)),1,0)</f>
        <v>0</v>
      </c>
      <c r="W1926" s="3">
        <f t="shared" si="525"/>
        <v>8</v>
      </c>
      <c r="X1926" s="3">
        <f>IF(AND($L1926=1,AND(对接源_02物料!$X726="自备筐",N(对接源_02物料!$T726)&lt;&gt;0)),1,0)</f>
        <v>0</v>
      </c>
      <c r="Y1926" s="3">
        <f t="shared" si="526"/>
        <v>0</v>
      </c>
      <c r="Z1926" s="3">
        <f>IF(AND($M1926=1,对接源_02物料!$D726="原料入库"),1,0)</f>
        <v>0</v>
      </c>
      <c r="AA1926" s="3">
        <f t="shared" si="527"/>
        <v>24</v>
      </c>
      <c r="AB1926" s="3">
        <f>IF(AND($M1926=1,LEFT(对接源_02物料!$D726,4)="原料出库"),1,0)</f>
        <v>0</v>
      </c>
      <c r="AC1926" s="3">
        <f t="shared" si="528"/>
        <v>0</v>
      </c>
      <c r="AD1926" s="3">
        <f>IF(AND($M1926=1,LEFT(对接源_02物料!$D726,4)="成品出库"),1,0)</f>
        <v>0</v>
      </c>
      <c r="AE1926" s="3">
        <f t="shared" si="529"/>
        <v>0</v>
      </c>
      <c r="AF1926" s="3">
        <f>IF(AND($N1926=1,AND(LEFT(对接源_02物料!$D726,4)="包装物料",N(对接源_02物料!$K726)&lt;&gt;0)),1,0)</f>
        <v>0</v>
      </c>
      <c r="AG1926" s="3">
        <f t="shared" si="530"/>
        <v>5</v>
      </c>
      <c r="AH1926" s="3">
        <f>IF(AND($N1926=1,AND(对接源_02物料!$D726="周转筐－销售出库",N(对接源_02物料!$K726)&lt;&gt;0)),1,0)</f>
        <v>0</v>
      </c>
      <c r="AI1926" s="3">
        <f t="shared" si="531"/>
        <v>0</v>
      </c>
      <c r="AL1926" s="3">
        <v>0</v>
      </c>
      <c r="AM1926" s="3">
        <f t="shared" si="532"/>
        <v>1</v>
      </c>
      <c r="AN1926" s="3" t="str">
        <f t="shared" si="519"/>
        <v/>
      </c>
      <c r="AO1926" s="3">
        <v>0</v>
      </c>
      <c r="AP1926" s="3">
        <f t="shared" si="533"/>
        <v>8</v>
      </c>
      <c r="AR1926">
        <f t="shared" si="534"/>
        <v>0</v>
      </c>
      <c r="AS1926">
        <f t="shared" si="535"/>
        <v>5</v>
      </c>
    </row>
    <row r="1927" customHeight="1" spans="1:45">
      <c r="A1927" s="3" t="str">
        <f>IF(对接源_02物料!$C727="","",对接源_02物料!$C727)</f>
        <v/>
      </c>
      <c r="B1927" s="3">
        <f t="shared" si="520"/>
        <v>0</v>
      </c>
      <c r="C1927" s="3">
        <f t="shared" si="521"/>
        <v>21</v>
      </c>
      <c r="K1927" s="3">
        <f>IF(OR($K$1="",对接源_02物料!$C727="",对接源_02物料!$C727&lt;&gt;$K$1,对接源_02物料!$B727=""),0,IF(OR(N(对接源_02物料!$B727)&lt;$K$2,N(对接源_02物料!$B727)&gt;$K$3),0,1))</f>
        <v>0</v>
      </c>
      <c r="L1927" s="3">
        <f>IF(OR($L$1="",对接源_02物料!$C727="",对接源_02物料!$C727&lt;&gt;$L$1,对接源_02物料!$B727=""),0,IF(OR(N(对接源_02物料!$B727)&lt;$L$2,N(对接源_02物料!$B727)&gt;$L$3),0,1))</f>
        <v>0</v>
      </c>
      <c r="M1927" s="3">
        <f>IF(OR($M$1="",对接源_02物料!$C727="",对接源_02物料!$C727&lt;&gt;$M$1,对接源_02物料!$B727=""),0,IF(OR(N(对接源_02物料!$B727)&lt;$M$2,N(对接源_02物料!$B727)&gt;$M$3),0,1))</f>
        <v>0</v>
      </c>
      <c r="N1927" s="3">
        <f>IF(OR($N$1="",对接源_02物料!$C727="",对接源_02物料!$C727&lt;&gt;$N$1,对接源_02物料!$B727=""),0,IF(OR(N(对接源_02物料!$B727)&lt;$N$2,N(对接源_02物料!$B727)&gt;$N$3),0,1))</f>
        <v>0</v>
      </c>
      <c r="P1927" s="3">
        <f>IF(AND($K1927=1,AND(对接源_02物料!$X727="公司筐",N(对接源_02物料!$T727)&lt;&gt;0)),1,0)</f>
        <v>0</v>
      </c>
      <c r="Q1927" s="3">
        <f t="shared" si="522"/>
        <v>8</v>
      </c>
      <c r="R1927" s="3">
        <f>IF(AND($K1927=1,AND(对接源_02物料!$X727="公司筐",N(对接源_02物料!$U727)&lt;&gt;0)),1,0)</f>
        <v>0</v>
      </c>
      <c r="S1927" s="3">
        <f t="shared" si="523"/>
        <v>0</v>
      </c>
      <c r="T1927" s="3">
        <f>IF(AND($K1927=1,AND(对接源_02物料!$X727="公司筐",N(对接源_02物料!$V727)&lt;&gt;0)),1,0)</f>
        <v>0</v>
      </c>
      <c r="U1927" s="3">
        <f t="shared" si="524"/>
        <v>19</v>
      </c>
      <c r="V1927" s="3">
        <f>IF(AND($L1927=1,AND(对接源_02物料!$X727="自备筐",N(对接源_02物料!$V727)&lt;&gt;0)),1,0)</f>
        <v>0</v>
      </c>
      <c r="W1927" s="3">
        <f t="shared" si="525"/>
        <v>8</v>
      </c>
      <c r="X1927" s="3">
        <f>IF(AND($L1927=1,AND(对接源_02物料!$X727="自备筐",N(对接源_02物料!$T727)&lt;&gt;0)),1,0)</f>
        <v>0</v>
      </c>
      <c r="Y1927" s="3">
        <f t="shared" si="526"/>
        <v>0</v>
      </c>
      <c r="Z1927" s="3">
        <f>IF(AND($M1927=1,对接源_02物料!$D727="原料入库"),1,0)</f>
        <v>0</v>
      </c>
      <c r="AA1927" s="3">
        <f t="shared" si="527"/>
        <v>24</v>
      </c>
      <c r="AB1927" s="3">
        <f>IF(AND($M1927=1,LEFT(对接源_02物料!$D727,4)="原料出库"),1,0)</f>
        <v>0</v>
      </c>
      <c r="AC1927" s="3">
        <f t="shared" si="528"/>
        <v>0</v>
      </c>
      <c r="AD1927" s="3">
        <f>IF(AND($M1927=1,LEFT(对接源_02物料!$D727,4)="成品出库"),1,0)</f>
        <v>0</v>
      </c>
      <c r="AE1927" s="3">
        <f t="shared" si="529"/>
        <v>0</v>
      </c>
      <c r="AF1927" s="3">
        <f>IF(AND($N1927=1,AND(LEFT(对接源_02物料!$D727,4)="包装物料",N(对接源_02物料!$K727)&lt;&gt;0)),1,0)</f>
        <v>0</v>
      </c>
      <c r="AG1927" s="3">
        <f t="shared" si="530"/>
        <v>5</v>
      </c>
      <c r="AH1927" s="3">
        <f>IF(AND($N1927=1,AND(对接源_02物料!$D727="周转筐－销售出库",N(对接源_02物料!$K727)&lt;&gt;0)),1,0)</f>
        <v>0</v>
      </c>
      <c r="AI1927" s="3">
        <f t="shared" si="531"/>
        <v>0</v>
      </c>
      <c r="AL1927" s="3">
        <v>0</v>
      </c>
      <c r="AM1927" s="3">
        <f t="shared" si="532"/>
        <v>1</v>
      </c>
      <c r="AN1927" s="3" t="str">
        <f t="shared" si="519"/>
        <v/>
      </c>
      <c r="AO1927" s="3">
        <v>0</v>
      </c>
      <c r="AP1927" s="3">
        <f t="shared" si="533"/>
        <v>8</v>
      </c>
      <c r="AR1927">
        <f t="shared" si="534"/>
        <v>0</v>
      </c>
      <c r="AS1927">
        <f t="shared" si="535"/>
        <v>5</v>
      </c>
    </row>
    <row r="1928" customHeight="1" spans="1:45">
      <c r="A1928" s="3" t="str">
        <f>IF(对接源_02物料!$C728="","",对接源_02物料!$C728)</f>
        <v/>
      </c>
      <c r="B1928" s="3">
        <f t="shared" si="520"/>
        <v>0</v>
      </c>
      <c r="C1928" s="3">
        <f t="shared" si="521"/>
        <v>21</v>
      </c>
      <c r="K1928" s="3">
        <f>IF(OR($K$1="",对接源_02物料!$C728="",对接源_02物料!$C728&lt;&gt;$K$1,对接源_02物料!$B728=""),0,IF(OR(N(对接源_02物料!$B728)&lt;$K$2,N(对接源_02物料!$B728)&gt;$K$3),0,1))</f>
        <v>0</v>
      </c>
      <c r="L1928" s="3">
        <f>IF(OR($L$1="",对接源_02物料!$C728="",对接源_02物料!$C728&lt;&gt;$L$1,对接源_02物料!$B728=""),0,IF(OR(N(对接源_02物料!$B728)&lt;$L$2,N(对接源_02物料!$B728)&gt;$L$3),0,1))</f>
        <v>0</v>
      </c>
      <c r="M1928" s="3">
        <f>IF(OR($M$1="",对接源_02物料!$C728="",对接源_02物料!$C728&lt;&gt;$M$1,对接源_02物料!$B728=""),0,IF(OR(N(对接源_02物料!$B728)&lt;$M$2,N(对接源_02物料!$B728)&gt;$M$3),0,1))</f>
        <v>0</v>
      </c>
      <c r="N1928" s="3">
        <f>IF(OR($N$1="",对接源_02物料!$C728="",对接源_02物料!$C728&lt;&gt;$N$1,对接源_02物料!$B728=""),0,IF(OR(N(对接源_02物料!$B728)&lt;$N$2,N(对接源_02物料!$B728)&gt;$N$3),0,1))</f>
        <v>0</v>
      </c>
      <c r="P1928" s="3">
        <f>IF(AND($K1928=1,AND(对接源_02物料!$X728="公司筐",N(对接源_02物料!$T728)&lt;&gt;0)),1,0)</f>
        <v>0</v>
      </c>
      <c r="Q1928" s="3">
        <f t="shared" si="522"/>
        <v>8</v>
      </c>
      <c r="R1928" s="3">
        <f>IF(AND($K1928=1,AND(对接源_02物料!$X728="公司筐",N(对接源_02物料!$U728)&lt;&gt;0)),1,0)</f>
        <v>0</v>
      </c>
      <c r="S1928" s="3">
        <f t="shared" si="523"/>
        <v>0</v>
      </c>
      <c r="T1928" s="3">
        <f>IF(AND($K1928=1,AND(对接源_02物料!$X728="公司筐",N(对接源_02物料!$V728)&lt;&gt;0)),1,0)</f>
        <v>0</v>
      </c>
      <c r="U1928" s="3">
        <f t="shared" si="524"/>
        <v>19</v>
      </c>
      <c r="V1928" s="3">
        <f>IF(AND($L1928=1,AND(对接源_02物料!$X728="自备筐",N(对接源_02物料!$V728)&lt;&gt;0)),1,0)</f>
        <v>0</v>
      </c>
      <c r="W1928" s="3">
        <f t="shared" si="525"/>
        <v>8</v>
      </c>
      <c r="X1928" s="3">
        <f>IF(AND($L1928=1,AND(对接源_02物料!$X728="自备筐",N(对接源_02物料!$T728)&lt;&gt;0)),1,0)</f>
        <v>0</v>
      </c>
      <c r="Y1928" s="3">
        <f t="shared" si="526"/>
        <v>0</v>
      </c>
      <c r="Z1928" s="3">
        <f>IF(AND($M1928=1,对接源_02物料!$D728="原料入库"),1,0)</f>
        <v>0</v>
      </c>
      <c r="AA1928" s="3">
        <f t="shared" si="527"/>
        <v>24</v>
      </c>
      <c r="AB1928" s="3">
        <f>IF(AND($M1928=1,LEFT(对接源_02物料!$D728,4)="原料出库"),1,0)</f>
        <v>0</v>
      </c>
      <c r="AC1928" s="3">
        <f t="shared" si="528"/>
        <v>0</v>
      </c>
      <c r="AD1928" s="3">
        <f>IF(AND($M1928=1,LEFT(对接源_02物料!$D728,4)="成品出库"),1,0)</f>
        <v>0</v>
      </c>
      <c r="AE1928" s="3">
        <f t="shared" si="529"/>
        <v>0</v>
      </c>
      <c r="AF1928" s="3">
        <f>IF(AND($N1928=1,AND(LEFT(对接源_02物料!$D728,4)="包装物料",N(对接源_02物料!$K728)&lt;&gt;0)),1,0)</f>
        <v>0</v>
      </c>
      <c r="AG1928" s="3">
        <f t="shared" si="530"/>
        <v>5</v>
      </c>
      <c r="AH1928" s="3">
        <f>IF(AND($N1928=1,AND(对接源_02物料!$D728="周转筐－销售出库",N(对接源_02物料!$K728)&lt;&gt;0)),1,0)</f>
        <v>0</v>
      </c>
      <c r="AI1928" s="3">
        <f t="shared" si="531"/>
        <v>0</v>
      </c>
      <c r="AL1928" s="3">
        <v>0</v>
      </c>
      <c r="AM1928" s="3">
        <f t="shared" si="532"/>
        <v>1</v>
      </c>
      <c r="AN1928" s="3" t="str">
        <f t="shared" si="519"/>
        <v/>
      </c>
      <c r="AO1928" s="3">
        <v>0</v>
      </c>
      <c r="AP1928" s="3">
        <f t="shared" si="533"/>
        <v>8</v>
      </c>
      <c r="AR1928">
        <f t="shared" si="534"/>
        <v>0</v>
      </c>
      <c r="AS1928">
        <f t="shared" si="535"/>
        <v>5</v>
      </c>
    </row>
    <row r="1929" customHeight="1" spans="1:45">
      <c r="A1929" s="3" t="str">
        <f>IF(对接源_02物料!$C729="","",对接源_02物料!$C729)</f>
        <v/>
      </c>
      <c r="B1929" s="3">
        <f t="shared" si="520"/>
        <v>0</v>
      </c>
      <c r="C1929" s="3">
        <f t="shared" si="521"/>
        <v>21</v>
      </c>
      <c r="K1929" s="3">
        <f>IF(OR($K$1="",对接源_02物料!$C729="",对接源_02物料!$C729&lt;&gt;$K$1,对接源_02物料!$B729=""),0,IF(OR(N(对接源_02物料!$B729)&lt;$K$2,N(对接源_02物料!$B729)&gt;$K$3),0,1))</f>
        <v>0</v>
      </c>
      <c r="L1929" s="3">
        <f>IF(OR($L$1="",对接源_02物料!$C729="",对接源_02物料!$C729&lt;&gt;$L$1,对接源_02物料!$B729=""),0,IF(OR(N(对接源_02物料!$B729)&lt;$L$2,N(对接源_02物料!$B729)&gt;$L$3),0,1))</f>
        <v>0</v>
      </c>
      <c r="M1929" s="3">
        <f>IF(OR($M$1="",对接源_02物料!$C729="",对接源_02物料!$C729&lt;&gt;$M$1,对接源_02物料!$B729=""),0,IF(OR(N(对接源_02物料!$B729)&lt;$M$2,N(对接源_02物料!$B729)&gt;$M$3),0,1))</f>
        <v>0</v>
      </c>
      <c r="N1929" s="3">
        <f>IF(OR($N$1="",对接源_02物料!$C729="",对接源_02物料!$C729&lt;&gt;$N$1,对接源_02物料!$B729=""),0,IF(OR(N(对接源_02物料!$B729)&lt;$N$2,N(对接源_02物料!$B729)&gt;$N$3),0,1))</f>
        <v>0</v>
      </c>
      <c r="P1929" s="3">
        <f>IF(AND($K1929=1,AND(对接源_02物料!$X729="公司筐",N(对接源_02物料!$T729)&lt;&gt;0)),1,0)</f>
        <v>0</v>
      </c>
      <c r="Q1929" s="3">
        <f t="shared" si="522"/>
        <v>8</v>
      </c>
      <c r="R1929" s="3">
        <f>IF(AND($K1929=1,AND(对接源_02物料!$X729="公司筐",N(对接源_02物料!$U729)&lt;&gt;0)),1,0)</f>
        <v>0</v>
      </c>
      <c r="S1929" s="3">
        <f t="shared" si="523"/>
        <v>0</v>
      </c>
      <c r="T1929" s="3">
        <f>IF(AND($K1929=1,AND(对接源_02物料!$X729="公司筐",N(对接源_02物料!$V729)&lt;&gt;0)),1,0)</f>
        <v>0</v>
      </c>
      <c r="U1929" s="3">
        <f t="shared" si="524"/>
        <v>19</v>
      </c>
      <c r="V1929" s="3">
        <f>IF(AND($L1929=1,AND(对接源_02物料!$X729="自备筐",N(对接源_02物料!$V729)&lt;&gt;0)),1,0)</f>
        <v>0</v>
      </c>
      <c r="W1929" s="3">
        <f t="shared" si="525"/>
        <v>8</v>
      </c>
      <c r="X1929" s="3">
        <f>IF(AND($L1929=1,AND(对接源_02物料!$X729="自备筐",N(对接源_02物料!$T729)&lt;&gt;0)),1,0)</f>
        <v>0</v>
      </c>
      <c r="Y1929" s="3">
        <f t="shared" si="526"/>
        <v>0</v>
      </c>
      <c r="Z1929" s="3">
        <f>IF(AND($M1929=1,对接源_02物料!$D729="原料入库"),1,0)</f>
        <v>0</v>
      </c>
      <c r="AA1929" s="3">
        <f t="shared" si="527"/>
        <v>24</v>
      </c>
      <c r="AB1929" s="3">
        <f>IF(AND($M1929=1,LEFT(对接源_02物料!$D729,4)="原料出库"),1,0)</f>
        <v>0</v>
      </c>
      <c r="AC1929" s="3">
        <f t="shared" si="528"/>
        <v>0</v>
      </c>
      <c r="AD1929" s="3">
        <f>IF(AND($M1929=1,LEFT(对接源_02物料!$D729,4)="成品出库"),1,0)</f>
        <v>0</v>
      </c>
      <c r="AE1929" s="3">
        <f t="shared" si="529"/>
        <v>0</v>
      </c>
      <c r="AF1929" s="3">
        <f>IF(AND($N1929=1,AND(LEFT(对接源_02物料!$D729,4)="包装物料",N(对接源_02物料!$K729)&lt;&gt;0)),1,0)</f>
        <v>0</v>
      </c>
      <c r="AG1929" s="3">
        <f t="shared" si="530"/>
        <v>5</v>
      </c>
      <c r="AH1929" s="3">
        <f>IF(AND($N1929=1,AND(对接源_02物料!$D729="周转筐－销售出库",N(对接源_02物料!$K729)&lt;&gt;0)),1,0)</f>
        <v>0</v>
      </c>
      <c r="AI1929" s="3">
        <f t="shared" si="531"/>
        <v>0</v>
      </c>
      <c r="AL1929" s="3">
        <v>0</v>
      </c>
      <c r="AM1929" s="3">
        <f t="shared" si="532"/>
        <v>1</v>
      </c>
      <c r="AN1929" s="3" t="str">
        <f t="shared" si="519"/>
        <v/>
      </c>
      <c r="AO1929" s="3">
        <v>0</v>
      </c>
      <c r="AP1929" s="3">
        <f t="shared" si="533"/>
        <v>8</v>
      </c>
      <c r="AR1929">
        <f t="shared" si="534"/>
        <v>0</v>
      </c>
      <c r="AS1929">
        <f t="shared" si="535"/>
        <v>5</v>
      </c>
    </row>
    <row r="1930" customHeight="1" spans="1:45">
      <c r="A1930" s="3" t="str">
        <f>IF(对接源_02物料!$C730="","",对接源_02物料!$C730)</f>
        <v/>
      </c>
      <c r="B1930" s="3">
        <f t="shared" si="520"/>
        <v>0</v>
      </c>
      <c r="C1930" s="3">
        <f t="shared" si="521"/>
        <v>21</v>
      </c>
      <c r="K1930" s="3">
        <f>IF(OR($K$1="",对接源_02物料!$C730="",对接源_02物料!$C730&lt;&gt;$K$1,对接源_02物料!$B730=""),0,IF(OR(N(对接源_02物料!$B730)&lt;$K$2,N(对接源_02物料!$B730)&gt;$K$3),0,1))</f>
        <v>0</v>
      </c>
      <c r="L1930" s="3">
        <f>IF(OR($L$1="",对接源_02物料!$C730="",对接源_02物料!$C730&lt;&gt;$L$1,对接源_02物料!$B730=""),0,IF(OR(N(对接源_02物料!$B730)&lt;$L$2,N(对接源_02物料!$B730)&gt;$L$3),0,1))</f>
        <v>0</v>
      </c>
      <c r="M1930" s="3">
        <f>IF(OR($M$1="",对接源_02物料!$C730="",对接源_02物料!$C730&lt;&gt;$M$1,对接源_02物料!$B730=""),0,IF(OR(N(对接源_02物料!$B730)&lt;$M$2,N(对接源_02物料!$B730)&gt;$M$3),0,1))</f>
        <v>0</v>
      </c>
      <c r="N1930" s="3">
        <f>IF(OR($N$1="",对接源_02物料!$C730="",对接源_02物料!$C730&lt;&gt;$N$1,对接源_02物料!$B730=""),0,IF(OR(N(对接源_02物料!$B730)&lt;$N$2,N(对接源_02物料!$B730)&gt;$N$3),0,1))</f>
        <v>0</v>
      </c>
      <c r="P1930" s="3">
        <f>IF(AND($K1930=1,AND(对接源_02物料!$X730="公司筐",N(对接源_02物料!$T730)&lt;&gt;0)),1,0)</f>
        <v>0</v>
      </c>
      <c r="Q1930" s="3">
        <f t="shared" si="522"/>
        <v>8</v>
      </c>
      <c r="R1930" s="3">
        <f>IF(AND($K1930=1,AND(对接源_02物料!$X730="公司筐",N(对接源_02物料!$U730)&lt;&gt;0)),1,0)</f>
        <v>0</v>
      </c>
      <c r="S1930" s="3">
        <f t="shared" si="523"/>
        <v>0</v>
      </c>
      <c r="T1930" s="3">
        <f>IF(AND($K1930=1,AND(对接源_02物料!$X730="公司筐",N(对接源_02物料!$V730)&lt;&gt;0)),1,0)</f>
        <v>0</v>
      </c>
      <c r="U1930" s="3">
        <f t="shared" si="524"/>
        <v>19</v>
      </c>
      <c r="V1930" s="3">
        <f>IF(AND($L1930=1,AND(对接源_02物料!$X730="自备筐",N(对接源_02物料!$V730)&lt;&gt;0)),1,0)</f>
        <v>0</v>
      </c>
      <c r="W1930" s="3">
        <f t="shared" si="525"/>
        <v>8</v>
      </c>
      <c r="X1930" s="3">
        <f>IF(AND($L1930=1,AND(对接源_02物料!$X730="自备筐",N(对接源_02物料!$T730)&lt;&gt;0)),1,0)</f>
        <v>0</v>
      </c>
      <c r="Y1930" s="3">
        <f t="shared" si="526"/>
        <v>0</v>
      </c>
      <c r="Z1930" s="3">
        <f>IF(AND($M1930=1,对接源_02物料!$D730="原料入库"),1,0)</f>
        <v>0</v>
      </c>
      <c r="AA1930" s="3">
        <f t="shared" si="527"/>
        <v>24</v>
      </c>
      <c r="AB1930" s="3">
        <f>IF(AND($M1930=1,LEFT(对接源_02物料!$D730,4)="原料出库"),1,0)</f>
        <v>0</v>
      </c>
      <c r="AC1930" s="3">
        <f t="shared" si="528"/>
        <v>0</v>
      </c>
      <c r="AD1930" s="3">
        <f>IF(AND($M1930=1,LEFT(对接源_02物料!$D730,4)="成品出库"),1,0)</f>
        <v>0</v>
      </c>
      <c r="AE1930" s="3">
        <f t="shared" si="529"/>
        <v>0</v>
      </c>
      <c r="AF1930" s="3">
        <f>IF(AND($N1930=1,AND(LEFT(对接源_02物料!$D730,4)="包装物料",N(对接源_02物料!$K730)&lt;&gt;0)),1,0)</f>
        <v>0</v>
      </c>
      <c r="AG1930" s="3">
        <f t="shared" si="530"/>
        <v>5</v>
      </c>
      <c r="AH1930" s="3">
        <f>IF(AND($N1930=1,AND(对接源_02物料!$D730="周转筐－销售出库",N(对接源_02物料!$K730)&lt;&gt;0)),1,0)</f>
        <v>0</v>
      </c>
      <c r="AI1930" s="3">
        <f t="shared" si="531"/>
        <v>0</v>
      </c>
      <c r="AL1930" s="3">
        <v>0</v>
      </c>
      <c r="AM1930" s="3">
        <f t="shared" si="532"/>
        <v>1</v>
      </c>
      <c r="AN1930" s="3" t="str">
        <f t="shared" si="519"/>
        <v/>
      </c>
      <c r="AO1930" s="3">
        <v>0</v>
      </c>
      <c r="AP1930" s="3">
        <f t="shared" si="533"/>
        <v>8</v>
      </c>
      <c r="AR1930">
        <f t="shared" si="534"/>
        <v>0</v>
      </c>
      <c r="AS1930">
        <f t="shared" si="535"/>
        <v>5</v>
      </c>
    </row>
    <row r="1931" customHeight="1" spans="1:45">
      <c r="A1931" s="3" t="str">
        <f>IF(对接源_02物料!$C731="","",对接源_02物料!$C731)</f>
        <v/>
      </c>
      <c r="B1931" s="3">
        <f t="shared" si="520"/>
        <v>0</v>
      </c>
      <c r="C1931" s="3">
        <f t="shared" si="521"/>
        <v>21</v>
      </c>
      <c r="K1931" s="3">
        <f>IF(OR($K$1="",对接源_02物料!$C731="",对接源_02物料!$C731&lt;&gt;$K$1,对接源_02物料!$B731=""),0,IF(OR(N(对接源_02物料!$B731)&lt;$K$2,N(对接源_02物料!$B731)&gt;$K$3),0,1))</f>
        <v>0</v>
      </c>
      <c r="L1931" s="3">
        <f>IF(OR($L$1="",对接源_02物料!$C731="",对接源_02物料!$C731&lt;&gt;$L$1,对接源_02物料!$B731=""),0,IF(OR(N(对接源_02物料!$B731)&lt;$L$2,N(对接源_02物料!$B731)&gt;$L$3),0,1))</f>
        <v>0</v>
      </c>
      <c r="M1931" s="3">
        <f>IF(OR($M$1="",对接源_02物料!$C731="",对接源_02物料!$C731&lt;&gt;$M$1,对接源_02物料!$B731=""),0,IF(OR(N(对接源_02物料!$B731)&lt;$M$2,N(对接源_02物料!$B731)&gt;$M$3),0,1))</f>
        <v>0</v>
      </c>
      <c r="N1931" s="3">
        <f>IF(OR($N$1="",对接源_02物料!$C731="",对接源_02物料!$C731&lt;&gt;$N$1,对接源_02物料!$B731=""),0,IF(OR(N(对接源_02物料!$B731)&lt;$N$2,N(对接源_02物料!$B731)&gt;$N$3),0,1))</f>
        <v>0</v>
      </c>
      <c r="P1931" s="3">
        <f>IF(AND($K1931=1,AND(对接源_02物料!$X731="公司筐",N(对接源_02物料!$T731)&lt;&gt;0)),1,0)</f>
        <v>0</v>
      </c>
      <c r="Q1931" s="3">
        <f t="shared" si="522"/>
        <v>8</v>
      </c>
      <c r="R1931" s="3">
        <f>IF(AND($K1931=1,AND(对接源_02物料!$X731="公司筐",N(对接源_02物料!$U731)&lt;&gt;0)),1,0)</f>
        <v>0</v>
      </c>
      <c r="S1931" s="3">
        <f t="shared" si="523"/>
        <v>0</v>
      </c>
      <c r="T1931" s="3">
        <f>IF(AND($K1931=1,AND(对接源_02物料!$X731="公司筐",N(对接源_02物料!$V731)&lt;&gt;0)),1,0)</f>
        <v>0</v>
      </c>
      <c r="U1931" s="3">
        <f t="shared" si="524"/>
        <v>19</v>
      </c>
      <c r="V1931" s="3">
        <f>IF(AND($L1931=1,AND(对接源_02物料!$X731="自备筐",N(对接源_02物料!$V731)&lt;&gt;0)),1,0)</f>
        <v>0</v>
      </c>
      <c r="W1931" s="3">
        <f t="shared" si="525"/>
        <v>8</v>
      </c>
      <c r="X1931" s="3">
        <f>IF(AND($L1931=1,AND(对接源_02物料!$X731="自备筐",N(对接源_02物料!$T731)&lt;&gt;0)),1,0)</f>
        <v>0</v>
      </c>
      <c r="Y1931" s="3">
        <f t="shared" si="526"/>
        <v>0</v>
      </c>
      <c r="Z1931" s="3">
        <f>IF(AND($M1931=1,对接源_02物料!$D731="原料入库"),1,0)</f>
        <v>0</v>
      </c>
      <c r="AA1931" s="3">
        <f t="shared" si="527"/>
        <v>24</v>
      </c>
      <c r="AB1931" s="3">
        <f>IF(AND($M1931=1,LEFT(对接源_02物料!$D731,4)="原料出库"),1,0)</f>
        <v>0</v>
      </c>
      <c r="AC1931" s="3">
        <f t="shared" si="528"/>
        <v>0</v>
      </c>
      <c r="AD1931" s="3">
        <f>IF(AND($M1931=1,LEFT(对接源_02物料!$D731,4)="成品出库"),1,0)</f>
        <v>0</v>
      </c>
      <c r="AE1931" s="3">
        <f t="shared" si="529"/>
        <v>0</v>
      </c>
      <c r="AF1931" s="3">
        <f>IF(AND($N1931=1,AND(LEFT(对接源_02物料!$D731,4)="包装物料",N(对接源_02物料!$K731)&lt;&gt;0)),1,0)</f>
        <v>0</v>
      </c>
      <c r="AG1931" s="3">
        <f t="shared" si="530"/>
        <v>5</v>
      </c>
      <c r="AH1931" s="3">
        <f>IF(AND($N1931=1,AND(对接源_02物料!$D731="周转筐－销售出库",N(对接源_02物料!$K731)&lt;&gt;0)),1,0)</f>
        <v>0</v>
      </c>
      <c r="AI1931" s="3">
        <f t="shared" si="531"/>
        <v>0</v>
      </c>
      <c r="AL1931" s="3">
        <v>0</v>
      </c>
      <c r="AM1931" s="3">
        <f t="shared" si="532"/>
        <v>1</v>
      </c>
      <c r="AN1931" s="3" t="str">
        <f t="shared" si="519"/>
        <v/>
      </c>
      <c r="AO1931" s="3">
        <v>0</v>
      </c>
      <c r="AP1931" s="3">
        <f t="shared" si="533"/>
        <v>8</v>
      </c>
      <c r="AR1931">
        <f t="shared" si="534"/>
        <v>0</v>
      </c>
      <c r="AS1931">
        <f t="shared" si="535"/>
        <v>5</v>
      </c>
    </row>
    <row r="1932" customHeight="1" spans="1:45">
      <c r="A1932" s="3" t="str">
        <f>IF(对接源_02物料!$C732="","",对接源_02物料!$C732)</f>
        <v/>
      </c>
      <c r="B1932" s="3">
        <f t="shared" si="520"/>
        <v>0</v>
      </c>
      <c r="C1932" s="3">
        <f t="shared" si="521"/>
        <v>21</v>
      </c>
      <c r="K1932" s="3">
        <f>IF(OR($K$1="",对接源_02物料!$C732="",对接源_02物料!$C732&lt;&gt;$K$1,对接源_02物料!$B732=""),0,IF(OR(N(对接源_02物料!$B732)&lt;$K$2,N(对接源_02物料!$B732)&gt;$K$3),0,1))</f>
        <v>0</v>
      </c>
      <c r="L1932" s="3">
        <f>IF(OR($L$1="",对接源_02物料!$C732="",对接源_02物料!$C732&lt;&gt;$L$1,对接源_02物料!$B732=""),0,IF(OR(N(对接源_02物料!$B732)&lt;$L$2,N(对接源_02物料!$B732)&gt;$L$3),0,1))</f>
        <v>0</v>
      </c>
      <c r="M1932" s="3">
        <f>IF(OR($M$1="",对接源_02物料!$C732="",对接源_02物料!$C732&lt;&gt;$M$1,对接源_02物料!$B732=""),0,IF(OR(N(对接源_02物料!$B732)&lt;$M$2,N(对接源_02物料!$B732)&gt;$M$3),0,1))</f>
        <v>0</v>
      </c>
      <c r="N1932" s="3">
        <f>IF(OR($N$1="",对接源_02物料!$C732="",对接源_02物料!$C732&lt;&gt;$N$1,对接源_02物料!$B732=""),0,IF(OR(N(对接源_02物料!$B732)&lt;$N$2,N(对接源_02物料!$B732)&gt;$N$3),0,1))</f>
        <v>0</v>
      </c>
      <c r="P1932" s="3">
        <f>IF(AND($K1932=1,AND(对接源_02物料!$X732="公司筐",N(对接源_02物料!$T732)&lt;&gt;0)),1,0)</f>
        <v>0</v>
      </c>
      <c r="Q1932" s="3">
        <f t="shared" si="522"/>
        <v>8</v>
      </c>
      <c r="R1932" s="3">
        <f>IF(AND($K1932=1,AND(对接源_02物料!$X732="公司筐",N(对接源_02物料!$U732)&lt;&gt;0)),1,0)</f>
        <v>0</v>
      </c>
      <c r="S1932" s="3">
        <f t="shared" si="523"/>
        <v>0</v>
      </c>
      <c r="T1932" s="3">
        <f>IF(AND($K1932=1,AND(对接源_02物料!$X732="公司筐",N(对接源_02物料!$V732)&lt;&gt;0)),1,0)</f>
        <v>0</v>
      </c>
      <c r="U1932" s="3">
        <f t="shared" si="524"/>
        <v>19</v>
      </c>
      <c r="V1932" s="3">
        <f>IF(AND($L1932=1,AND(对接源_02物料!$X732="自备筐",N(对接源_02物料!$V732)&lt;&gt;0)),1,0)</f>
        <v>0</v>
      </c>
      <c r="W1932" s="3">
        <f t="shared" si="525"/>
        <v>8</v>
      </c>
      <c r="X1932" s="3">
        <f>IF(AND($L1932=1,AND(对接源_02物料!$X732="自备筐",N(对接源_02物料!$T732)&lt;&gt;0)),1,0)</f>
        <v>0</v>
      </c>
      <c r="Y1932" s="3">
        <f t="shared" si="526"/>
        <v>0</v>
      </c>
      <c r="Z1932" s="3">
        <f>IF(AND($M1932=1,对接源_02物料!$D732="原料入库"),1,0)</f>
        <v>0</v>
      </c>
      <c r="AA1932" s="3">
        <f t="shared" si="527"/>
        <v>24</v>
      </c>
      <c r="AB1932" s="3">
        <f>IF(AND($M1932=1,LEFT(对接源_02物料!$D732,4)="原料出库"),1,0)</f>
        <v>0</v>
      </c>
      <c r="AC1932" s="3">
        <f t="shared" si="528"/>
        <v>0</v>
      </c>
      <c r="AD1932" s="3">
        <f>IF(AND($M1932=1,LEFT(对接源_02物料!$D732,4)="成品出库"),1,0)</f>
        <v>0</v>
      </c>
      <c r="AE1932" s="3">
        <f t="shared" si="529"/>
        <v>0</v>
      </c>
      <c r="AF1932" s="3">
        <f>IF(AND($N1932=1,AND(LEFT(对接源_02物料!$D732,4)="包装物料",N(对接源_02物料!$K732)&lt;&gt;0)),1,0)</f>
        <v>0</v>
      </c>
      <c r="AG1932" s="3">
        <f t="shared" si="530"/>
        <v>5</v>
      </c>
      <c r="AH1932" s="3">
        <f>IF(AND($N1932=1,AND(对接源_02物料!$D732="周转筐－销售出库",N(对接源_02物料!$K732)&lt;&gt;0)),1,0)</f>
        <v>0</v>
      </c>
      <c r="AI1932" s="3">
        <f t="shared" si="531"/>
        <v>0</v>
      </c>
      <c r="AL1932" s="3">
        <v>0</v>
      </c>
      <c r="AM1932" s="3">
        <f t="shared" si="532"/>
        <v>1</v>
      </c>
      <c r="AN1932" s="3" t="str">
        <f t="shared" si="519"/>
        <v/>
      </c>
      <c r="AO1932" s="3">
        <v>0</v>
      </c>
      <c r="AP1932" s="3">
        <f t="shared" si="533"/>
        <v>8</v>
      </c>
      <c r="AR1932">
        <f t="shared" si="534"/>
        <v>0</v>
      </c>
      <c r="AS1932">
        <f t="shared" si="535"/>
        <v>5</v>
      </c>
    </row>
    <row r="1933" customHeight="1" spans="1:45">
      <c r="A1933" s="3" t="str">
        <f>IF(对接源_02物料!$C733="","",对接源_02物料!$C733)</f>
        <v/>
      </c>
      <c r="B1933" s="3">
        <f t="shared" si="520"/>
        <v>0</v>
      </c>
      <c r="C1933" s="3">
        <f t="shared" si="521"/>
        <v>21</v>
      </c>
      <c r="K1933" s="3">
        <f>IF(OR($K$1="",对接源_02物料!$C733="",对接源_02物料!$C733&lt;&gt;$K$1,对接源_02物料!$B733=""),0,IF(OR(N(对接源_02物料!$B733)&lt;$K$2,N(对接源_02物料!$B733)&gt;$K$3),0,1))</f>
        <v>0</v>
      </c>
      <c r="L1933" s="3">
        <f>IF(OR($L$1="",对接源_02物料!$C733="",对接源_02物料!$C733&lt;&gt;$L$1,对接源_02物料!$B733=""),0,IF(OR(N(对接源_02物料!$B733)&lt;$L$2,N(对接源_02物料!$B733)&gt;$L$3),0,1))</f>
        <v>0</v>
      </c>
      <c r="M1933" s="3">
        <f>IF(OR($M$1="",对接源_02物料!$C733="",对接源_02物料!$C733&lt;&gt;$M$1,对接源_02物料!$B733=""),0,IF(OR(N(对接源_02物料!$B733)&lt;$M$2,N(对接源_02物料!$B733)&gt;$M$3),0,1))</f>
        <v>0</v>
      </c>
      <c r="N1933" s="3">
        <f>IF(OR($N$1="",对接源_02物料!$C733="",对接源_02物料!$C733&lt;&gt;$N$1,对接源_02物料!$B733=""),0,IF(OR(N(对接源_02物料!$B733)&lt;$N$2,N(对接源_02物料!$B733)&gt;$N$3),0,1))</f>
        <v>0</v>
      </c>
      <c r="P1933" s="3">
        <f>IF(AND($K1933=1,AND(对接源_02物料!$X733="公司筐",N(对接源_02物料!$T733)&lt;&gt;0)),1,0)</f>
        <v>0</v>
      </c>
      <c r="Q1933" s="3">
        <f t="shared" si="522"/>
        <v>8</v>
      </c>
      <c r="R1933" s="3">
        <f>IF(AND($K1933=1,AND(对接源_02物料!$X733="公司筐",N(对接源_02物料!$U733)&lt;&gt;0)),1,0)</f>
        <v>0</v>
      </c>
      <c r="S1933" s="3">
        <f t="shared" si="523"/>
        <v>0</v>
      </c>
      <c r="T1933" s="3">
        <f>IF(AND($K1933=1,AND(对接源_02物料!$X733="公司筐",N(对接源_02物料!$V733)&lt;&gt;0)),1,0)</f>
        <v>0</v>
      </c>
      <c r="U1933" s="3">
        <f t="shared" si="524"/>
        <v>19</v>
      </c>
      <c r="V1933" s="3">
        <f>IF(AND($L1933=1,AND(对接源_02物料!$X733="自备筐",N(对接源_02物料!$V733)&lt;&gt;0)),1,0)</f>
        <v>0</v>
      </c>
      <c r="W1933" s="3">
        <f t="shared" si="525"/>
        <v>8</v>
      </c>
      <c r="X1933" s="3">
        <f>IF(AND($L1933=1,AND(对接源_02物料!$X733="自备筐",N(对接源_02物料!$T733)&lt;&gt;0)),1,0)</f>
        <v>0</v>
      </c>
      <c r="Y1933" s="3">
        <f t="shared" si="526"/>
        <v>0</v>
      </c>
      <c r="Z1933" s="3">
        <f>IF(AND($M1933=1,对接源_02物料!$D733="原料入库"),1,0)</f>
        <v>0</v>
      </c>
      <c r="AA1933" s="3">
        <f t="shared" si="527"/>
        <v>24</v>
      </c>
      <c r="AB1933" s="3">
        <f>IF(AND($M1933=1,LEFT(对接源_02物料!$D733,4)="原料出库"),1,0)</f>
        <v>0</v>
      </c>
      <c r="AC1933" s="3">
        <f t="shared" si="528"/>
        <v>0</v>
      </c>
      <c r="AD1933" s="3">
        <f>IF(AND($M1933=1,LEFT(对接源_02物料!$D733,4)="成品出库"),1,0)</f>
        <v>0</v>
      </c>
      <c r="AE1933" s="3">
        <f t="shared" si="529"/>
        <v>0</v>
      </c>
      <c r="AF1933" s="3">
        <f>IF(AND($N1933=1,AND(LEFT(对接源_02物料!$D733,4)="包装物料",N(对接源_02物料!$K733)&lt;&gt;0)),1,0)</f>
        <v>0</v>
      </c>
      <c r="AG1933" s="3">
        <f t="shared" si="530"/>
        <v>5</v>
      </c>
      <c r="AH1933" s="3">
        <f>IF(AND($N1933=1,AND(对接源_02物料!$D733="周转筐－销售出库",N(对接源_02物料!$K733)&lt;&gt;0)),1,0)</f>
        <v>0</v>
      </c>
      <c r="AI1933" s="3">
        <f t="shared" si="531"/>
        <v>0</v>
      </c>
      <c r="AL1933" s="3">
        <v>0</v>
      </c>
      <c r="AM1933" s="3">
        <f t="shared" si="532"/>
        <v>1</v>
      </c>
      <c r="AN1933" s="3" t="str">
        <f t="shared" si="519"/>
        <v/>
      </c>
      <c r="AO1933" s="3">
        <v>0</v>
      </c>
      <c r="AP1933" s="3">
        <f t="shared" si="533"/>
        <v>8</v>
      </c>
      <c r="AR1933">
        <f t="shared" si="534"/>
        <v>0</v>
      </c>
      <c r="AS1933">
        <f t="shared" si="535"/>
        <v>5</v>
      </c>
    </row>
    <row r="1934" customHeight="1" spans="1:45">
      <c r="A1934" s="3" t="str">
        <f>IF(对接源_02物料!$C734="","",对接源_02物料!$C734)</f>
        <v/>
      </c>
      <c r="B1934" s="3">
        <f t="shared" si="520"/>
        <v>0</v>
      </c>
      <c r="C1934" s="3">
        <f t="shared" si="521"/>
        <v>21</v>
      </c>
      <c r="K1934" s="3">
        <f>IF(OR($K$1="",对接源_02物料!$C734="",对接源_02物料!$C734&lt;&gt;$K$1,对接源_02物料!$B734=""),0,IF(OR(N(对接源_02物料!$B734)&lt;$K$2,N(对接源_02物料!$B734)&gt;$K$3),0,1))</f>
        <v>0</v>
      </c>
      <c r="L1934" s="3">
        <f>IF(OR($L$1="",对接源_02物料!$C734="",对接源_02物料!$C734&lt;&gt;$L$1,对接源_02物料!$B734=""),0,IF(OR(N(对接源_02物料!$B734)&lt;$L$2,N(对接源_02物料!$B734)&gt;$L$3),0,1))</f>
        <v>0</v>
      </c>
      <c r="M1934" s="3">
        <f>IF(OR($M$1="",对接源_02物料!$C734="",对接源_02物料!$C734&lt;&gt;$M$1,对接源_02物料!$B734=""),0,IF(OR(N(对接源_02物料!$B734)&lt;$M$2,N(对接源_02物料!$B734)&gt;$M$3),0,1))</f>
        <v>0</v>
      </c>
      <c r="N1934" s="3">
        <f>IF(OR($N$1="",对接源_02物料!$C734="",对接源_02物料!$C734&lt;&gt;$N$1,对接源_02物料!$B734=""),0,IF(OR(N(对接源_02物料!$B734)&lt;$N$2,N(对接源_02物料!$B734)&gt;$N$3),0,1))</f>
        <v>0</v>
      </c>
      <c r="P1934" s="3">
        <f>IF(AND($K1934=1,AND(对接源_02物料!$X734="公司筐",N(对接源_02物料!$T734)&lt;&gt;0)),1,0)</f>
        <v>0</v>
      </c>
      <c r="Q1934" s="3">
        <f t="shared" si="522"/>
        <v>8</v>
      </c>
      <c r="R1934" s="3">
        <f>IF(AND($K1934=1,AND(对接源_02物料!$X734="公司筐",N(对接源_02物料!$U734)&lt;&gt;0)),1,0)</f>
        <v>0</v>
      </c>
      <c r="S1934" s="3">
        <f t="shared" si="523"/>
        <v>0</v>
      </c>
      <c r="T1934" s="3">
        <f>IF(AND($K1934=1,AND(对接源_02物料!$X734="公司筐",N(对接源_02物料!$V734)&lt;&gt;0)),1,0)</f>
        <v>0</v>
      </c>
      <c r="U1934" s="3">
        <f t="shared" si="524"/>
        <v>19</v>
      </c>
      <c r="V1934" s="3">
        <f>IF(AND($L1934=1,AND(对接源_02物料!$X734="自备筐",N(对接源_02物料!$V734)&lt;&gt;0)),1,0)</f>
        <v>0</v>
      </c>
      <c r="W1934" s="3">
        <f t="shared" si="525"/>
        <v>8</v>
      </c>
      <c r="X1934" s="3">
        <f>IF(AND($L1934=1,AND(对接源_02物料!$X734="自备筐",N(对接源_02物料!$T734)&lt;&gt;0)),1,0)</f>
        <v>0</v>
      </c>
      <c r="Y1934" s="3">
        <f t="shared" si="526"/>
        <v>0</v>
      </c>
      <c r="Z1934" s="3">
        <f>IF(AND($M1934=1,对接源_02物料!$D734="原料入库"),1,0)</f>
        <v>0</v>
      </c>
      <c r="AA1934" s="3">
        <f t="shared" si="527"/>
        <v>24</v>
      </c>
      <c r="AB1934" s="3">
        <f>IF(AND($M1934=1,LEFT(对接源_02物料!$D734,4)="原料出库"),1,0)</f>
        <v>0</v>
      </c>
      <c r="AC1934" s="3">
        <f t="shared" si="528"/>
        <v>0</v>
      </c>
      <c r="AD1934" s="3">
        <f>IF(AND($M1934=1,LEFT(对接源_02物料!$D734,4)="成品出库"),1,0)</f>
        <v>0</v>
      </c>
      <c r="AE1934" s="3">
        <f t="shared" si="529"/>
        <v>0</v>
      </c>
      <c r="AF1934" s="3">
        <f>IF(AND($N1934=1,AND(LEFT(对接源_02物料!$D734,4)="包装物料",N(对接源_02物料!$K734)&lt;&gt;0)),1,0)</f>
        <v>0</v>
      </c>
      <c r="AG1934" s="3">
        <f t="shared" si="530"/>
        <v>5</v>
      </c>
      <c r="AH1934" s="3">
        <f>IF(AND($N1934=1,AND(对接源_02物料!$D734="周转筐－销售出库",N(对接源_02物料!$K734)&lt;&gt;0)),1,0)</f>
        <v>0</v>
      </c>
      <c r="AI1934" s="3">
        <f t="shared" si="531"/>
        <v>0</v>
      </c>
      <c r="AL1934" s="3">
        <v>0</v>
      </c>
      <c r="AM1934" s="3">
        <f t="shared" si="532"/>
        <v>1</v>
      </c>
      <c r="AN1934" s="3" t="str">
        <f t="shared" si="519"/>
        <v/>
      </c>
      <c r="AO1934" s="3">
        <v>0</v>
      </c>
      <c r="AP1934" s="3">
        <f t="shared" si="533"/>
        <v>8</v>
      </c>
      <c r="AR1934">
        <f t="shared" si="534"/>
        <v>0</v>
      </c>
      <c r="AS1934">
        <f t="shared" si="535"/>
        <v>5</v>
      </c>
    </row>
    <row r="1935" customHeight="1" spans="1:45">
      <c r="A1935" s="3" t="str">
        <f>IF(对接源_02物料!$C735="","",对接源_02物料!$C735)</f>
        <v/>
      </c>
      <c r="B1935" s="3">
        <f t="shared" si="520"/>
        <v>0</v>
      </c>
      <c r="C1935" s="3">
        <f t="shared" si="521"/>
        <v>21</v>
      </c>
      <c r="K1935" s="3">
        <f>IF(OR($K$1="",对接源_02物料!$C735="",对接源_02物料!$C735&lt;&gt;$K$1,对接源_02物料!$B735=""),0,IF(OR(N(对接源_02物料!$B735)&lt;$K$2,N(对接源_02物料!$B735)&gt;$K$3),0,1))</f>
        <v>0</v>
      </c>
      <c r="L1935" s="3">
        <f>IF(OR($L$1="",对接源_02物料!$C735="",对接源_02物料!$C735&lt;&gt;$L$1,对接源_02物料!$B735=""),0,IF(OR(N(对接源_02物料!$B735)&lt;$L$2,N(对接源_02物料!$B735)&gt;$L$3),0,1))</f>
        <v>0</v>
      </c>
      <c r="M1935" s="3">
        <f>IF(OR($M$1="",对接源_02物料!$C735="",对接源_02物料!$C735&lt;&gt;$M$1,对接源_02物料!$B735=""),0,IF(OR(N(对接源_02物料!$B735)&lt;$M$2,N(对接源_02物料!$B735)&gt;$M$3),0,1))</f>
        <v>0</v>
      </c>
      <c r="N1935" s="3">
        <f>IF(OR($N$1="",对接源_02物料!$C735="",对接源_02物料!$C735&lt;&gt;$N$1,对接源_02物料!$B735=""),0,IF(OR(N(对接源_02物料!$B735)&lt;$N$2,N(对接源_02物料!$B735)&gt;$N$3),0,1))</f>
        <v>0</v>
      </c>
      <c r="P1935" s="3">
        <f>IF(AND($K1935=1,AND(对接源_02物料!$X735="公司筐",N(对接源_02物料!$T735)&lt;&gt;0)),1,0)</f>
        <v>0</v>
      </c>
      <c r="Q1935" s="3">
        <f t="shared" si="522"/>
        <v>8</v>
      </c>
      <c r="R1935" s="3">
        <f>IF(AND($K1935=1,AND(对接源_02物料!$X735="公司筐",N(对接源_02物料!$U735)&lt;&gt;0)),1,0)</f>
        <v>0</v>
      </c>
      <c r="S1935" s="3">
        <f t="shared" si="523"/>
        <v>0</v>
      </c>
      <c r="T1935" s="3">
        <f>IF(AND($K1935=1,AND(对接源_02物料!$X735="公司筐",N(对接源_02物料!$V735)&lt;&gt;0)),1,0)</f>
        <v>0</v>
      </c>
      <c r="U1935" s="3">
        <f t="shared" si="524"/>
        <v>19</v>
      </c>
      <c r="V1935" s="3">
        <f>IF(AND($L1935=1,AND(对接源_02物料!$X735="自备筐",N(对接源_02物料!$V735)&lt;&gt;0)),1,0)</f>
        <v>0</v>
      </c>
      <c r="W1935" s="3">
        <f t="shared" si="525"/>
        <v>8</v>
      </c>
      <c r="X1935" s="3">
        <f>IF(AND($L1935=1,AND(对接源_02物料!$X735="自备筐",N(对接源_02物料!$T735)&lt;&gt;0)),1,0)</f>
        <v>0</v>
      </c>
      <c r="Y1935" s="3">
        <f t="shared" si="526"/>
        <v>0</v>
      </c>
      <c r="Z1935" s="3">
        <f>IF(AND($M1935=1,对接源_02物料!$D735="原料入库"),1,0)</f>
        <v>0</v>
      </c>
      <c r="AA1935" s="3">
        <f t="shared" si="527"/>
        <v>24</v>
      </c>
      <c r="AB1935" s="3">
        <f>IF(AND($M1935=1,LEFT(对接源_02物料!$D735,4)="原料出库"),1,0)</f>
        <v>0</v>
      </c>
      <c r="AC1935" s="3">
        <f t="shared" si="528"/>
        <v>0</v>
      </c>
      <c r="AD1935" s="3">
        <f>IF(AND($M1935=1,LEFT(对接源_02物料!$D735,4)="成品出库"),1,0)</f>
        <v>0</v>
      </c>
      <c r="AE1935" s="3">
        <f t="shared" si="529"/>
        <v>0</v>
      </c>
      <c r="AF1935" s="3">
        <f>IF(AND($N1935=1,AND(LEFT(对接源_02物料!$D735,4)="包装物料",N(对接源_02物料!$K735)&lt;&gt;0)),1,0)</f>
        <v>0</v>
      </c>
      <c r="AG1935" s="3">
        <f t="shared" si="530"/>
        <v>5</v>
      </c>
      <c r="AH1935" s="3">
        <f>IF(AND($N1935=1,AND(对接源_02物料!$D735="周转筐－销售出库",N(对接源_02物料!$K735)&lt;&gt;0)),1,0)</f>
        <v>0</v>
      </c>
      <c r="AI1935" s="3">
        <f t="shared" si="531"/>
        <v>0</v>
      </c>
      <c r="AL1935" s="3">
        <v>0</v>
      </c>
      <c r="AM1935" s="3">
        <f t="shared" si="532"/>
        <v>1</v>
      </c>
      <c r="AN1935" s="3" t="str">
        <f t="shared" si="519"/>
        <v/>
      </c>
      <c r="AO1935" s="3">
        <v>0</v>
      </c>
      <c r="AP1935" s="3">
        <f t="shared" si="533"/>
        <v>8</v>
      </c>
      <c r="AR1935">
        <f t="shared" si="534"/>
        <v>0</v>
      </c>
      <c r="AS1935">
        <f t="shared" si="535"/>
        <v>5</v>
      </c>
    </row>
    <row r="1936" customHeight="1" spans="1:45">
      <c r="A1936" s="3" t="str">
        <f>IF(对接源_02物料!$C736="","",对接源_02物料!$C736)</f>
        <v/>
      </c>
      <c r="B1936" s="3">
        <f t="shared" si="520"/>
        <v>0</v>
      </c>
      <c r="C1936" s="3">
        <f t="shared" si="521"/>
        <v>21</v>
      </c>
      <c r="K1936" s="3">
        <f>IF(OR($K$1="",对接源_02物料!$C736="",对接源_02物料!$C736&lt;&gt;$K$1,对接源_02物料!$B736=""),0,IF(OR(N(对接源_02物料!$B736)&lt;$K$2,N(对接源_02物料!$B736)&gt;$K$3),0,1))</f>
        <v>0</v>
      </c>
      <c r="L1936" s="3">
        <f>IF(OR($L$1="",对接源_02物料!$C736="",对接源_02物料!$C736&lt;&gt;$L$1,对接源_02物料!$B736=""),0,IF(OR(N(对接源_02物料!$B736)&lt;$L$2,N(对接源_02物料!$B736)&gt;$L$3),0,1))</f>
        <v>0</v>
      </c>
      <c r="M1936" s="3">
        <f>IF(OR($M$1="",对接源_02物料!$C736="",对接源_02物料!$C736&lt;&gt;$M$1,对接源_02物料!$B736=""),0,IF(OR(N(对接源_02物料!$B736)&lt;$M$2,N(对接源_02物料!$B736)&gt;$M$3),0,1))</f>
        <v>0</v>
      </c>
      <c r="N1936" s="3">
        <f>IF(OR($N$1="",对接源_02物料!$C736="",对接源_02物料!$C736&lt;&gt;$N$1,对接源_02物料!$B736=""),0,IF(OR(N(对接源_02物料!$B736)&lt;$N$2,N(对接源_02物料!$B736)&gt;$N$3),0,1))</f>
        <v>0</v>
      </c>
      <c r="P1936" s="3">
        <f>IF(AND($K1936=1,AND(对接源_02物料!$X736="公司筐",N(对接源_02物料!$T736)&lt;&gt;0)),1,0)</f>
        <v>0</v>
      </c>
      <c r="Q1936" s="3">
        <f t="shared" si="522"/>
        <v>8</v>
      </c>
      <c r="R1936" s="3">
        <f>IF(AND($K1936=1,AND(对接源_02物料!$X736="公司筐",N(对接源_02物料!$U736)&lt;&gt;0)),1,0)</f>
        <v>0</v>
      </c>
      <c r="S1936" s="3">
        <f t="shared" si="523"/>
        <v>0</v>
      </c>
      <c r="T1936" s="3">
        <f>IF(AND($K1936=1,AND(对接源_02物料!$X736="公司筐",N(对接源_02物料!$V736)&lt;&gt;0)),1,0)</f>
        <v>0</v>
      </c>
      <c r="U1936" s="3">
        <f t="shared" si="524"/>
        <v>19</v>
      </c>
      <c r="V1936" s="3">
        <f>IF(AND($L1936=1,AND(对接源_02物料!$X736="自备筐",N(对接源_02物料!$V736)&lt;&gt;0)),1,0)</f>
        <v>0</v>
      </c>
      <c r="W1936" s="3">
        <f t="shared" si="525"/>
        <v>8</v>
      </c>
      <c r="X1936" s="3">
        <f>IF(AND($L1936=1,AND(对接源_02物料!$X736="自备筐",N(对接源_02物料!$T736)&lt;&gt;0)),1,0)</f>
        <v>0</v>
      </c>
      <c r="Y1936" s="3">
        <f t="shared" si="526"/>
        <v>0</v>
      </c>
      <c r="Z1936" s="3">
        <f>IF(AND($M1936=1,对接源_02物料!$D736="原料入库"),1,0)</f>
        <v>0</v>
      </c>
      <c r="AA1936" s="3">
        <f t="shared" si="527"/>
        <v>24</v>
      </c>
      <c r="AB1936" s="3">
        <f>IF(AND($M1936=1,LEFT(对接源_02物料!$D736,4)="原料出库"),1,0)</f>
        <v>0</v>
      </c>
      <c r="AC1936" s="3">
        <f t="shared" si="528"/>
        <v>0</v>
      </c>
      <c r="AD1936" s="3">
        <f>IF(AND($M1936=1,LEFT(对接源_02物料!$D736,4)="成品出库"),1,0)</f>
        <v>0</v>
      </c>
      <c r="AE1936" s="3">
        <f t="shared" si="529"/>
        <v>0</v>
      </c>
      <c r="AF1936" s="3">
        <f>IF(AND($N1936=1,AND(LEFT(对接源_02物料!$D736,4)="包装物料",N(对接源_02物料!$K736)&lt;&gt;0)),1,0)</f>
        <v>0</v>
      </c>
      <c r="AG1936" s="3">
        <f t="shared" si="530"/>
        <v>5</v>
      </c>
      <c r="AH1936" s="3">
        <f>IF(AND($N1936=1,AND(对接源_02物料!$D736="周转筐－销售出库",N(对接源_02物料!$K736)&lt;&gt;0)),1,0)</f>
        <v>0</v>
      </c>
      <c r="AI1936" s="3">
        <f t="shared" si="531"/>
        <v>0</v>
      </c>
      <c r="AL1936" s="3">
        <v>0</v>
      </c>
      <c r="AM1936" s="3">
        <f t="shared" si="532"/>
        <v>1</v>
      </c>
      <c r="AN1936" s="3" t="str">
        <f t="shared" si="519"/>
        <v/>
      </c>
      <c r="AO1936" s="3">
        <v>0</v>
      </c>
      <c r="AP1936" s="3">
        <f t="shared" si="533"/>
        <v>8</v>
      </c>
      <c r="AR1936">
        <f t="shared" si="534"/>
        <v>0</v>
      </c>
      <c r="AS1936">
        <f t="shared" si="535"/>
        <v>5</v>
      </c>
    </row>
    <row r="1937" customHeight="1" spans="1:45">
      <c r="A1937" s="3" t="str">
        <f>IF(对接源_02物料!$C737="","",对接源_02物料!$C737)</f>
        <v/>
      </c>
      <c r="B1937" s="3">
        <f t="shared" si="520"/>
        <v>0</v>
      </c>
      <c r="C1937" s="3">
        <f t="shared" si="521"/>
        <v>21</v>
      </c>
      <c r="K1937" s="3">
        <f>IF(OR($K$1="",对接源_02物料!$C737="",对接源_02物料!$C737&lt;&gt;$K$1,对接源_02物料!$B737=""),0,IF(OR(N(对接源_02物料!$B737)&lt;$K$2,N(对接源_02物料!$B737)&gt;$K$3),0,1))</f>
        <v>0</v>
      </c>
      <c r="L1937" s="3">
        <f>IF(OR($L$1="",对接源_02物料!$C737="",对接源_02物料!$C737&lt;&gt;$L$1,对接源_02物料!$B737=""),0,IF(OR(N(对接源_02物料!$B737)&lt;$L$2,N(对接源_02物料!$B737)&gt;$L$3),0,1))</f>
        <v>0</v>
      </c>
      <c r="M1937" s="3">
        <f>IF(OR($M$1="",对接源_02物料!$C737="",对接源_02物料!$C737&lt;&gt;$M$1,对接源_02物料!$B737=""),0,IF(OR(N(对接源_02物料!$B737)&lt;$M$2,N(对接源_02物料!$B737)&gt;$M$3),0,1))</f>
        <v>0</v>
      </c>
      <c r="N1937" s="3">
        <f>IF(OR($N$1="",对接源_02物料!$C737="",对接源_02物料!$C737&lt;&gt;$N$1,对接源_02物料!$B737=""),0,IF(OR(N(对接源_02物料!$B737)&lt;$N$2,N(对接源_02物料!$B737)&gt;$N$3),0,1))</f>
        <v>0</v>
      </c>
      <c r="P1937" s="3">
        <f>IF(AND($K1937=1,AND(对接源_02物料!$X737="公司筐",N(对接源_02物料!$T737)&lt;&gt;0)),1,0)</f>
        <v>0</v>
      </c>
      <c r="Q1937" s="3">
        <f t="shared" si="522"/>
        <v>8</v>
      </c>
      <c r="R1937" s="3">
        <f>IF(AND($K1937=1,AND(对接源_02物料!$X737="公司筐",N(对接源_02物料!$U737)&lt;&gt;0)),1,0)</f>
        <v>0</v>
      </c>
      <c r="S1937" s="3">
        <f t="shared" si="523"/>
        <v>0</v>
      </c>
      <c r="T1937" s="3">
        <f>IF(AND($K1937=1,AND(对接源_02物料!$X737="公司筐",N(对接源_02物料!$V737)&lt;&gt;0)),1,0)</f>
        <v>0</v>
      </c>
      <c r="U1937" s="3">
        <f t="shared" si="524"/>
        <v>19</v>
      </c>
      <c r="V1937" s="3">
        <f>IF(AND($L1937=1,AND(对接源_02物料!$X737="自备筐",N(对接源_02物料!$V737)&lt;&gt;0)),1,0)</f>
        <v>0</v>
      </c>
      <c r="W1937" s="3">
        <f t="shared" si="525"/>
        <v>8</v>
      </c>
      <c r="X1937" s="3">
        <f>IF(AND($L1937=1,AND(对接源_02物料!$X737="自备筐",N(对接源_02物料!$T737)&lt;&gt;0)),1,0)</f>
        <v>0</v>
      </c>
      <c r="Y1937" s="3">
        <f t="shared" si="526"/>
        <v>0</v>
      </c>
      <c r="Z1937" s="3">
        <f>IF(AND($M1937=1,对接源_02物料!$D737="原料入库"),1,0)</f>
        <v>0</v>
      </c>
      <c r="AA1937" s="3">
        <f t="shared" si="527"/>
        <v>24</v>
      </c>
      <c r="AB1937" s="3">
        <f>IF(AND($M1937=1,LEFT(对接源_02物料!$D737,4)="原料出库"),1,0)</f>
        <v>0</v>
      </c>
      <c r="AC1937" s="3">
        <f t="shared" si="528"/>
        <v>0</v>
      </c>
      <c r="AD1937" s="3">
        <f>IF(AND($M1937=1,LEFT(对接源_02物料!$D737,4)="成品出库"),1,0)</f>
        <v>0</v>
      </c>
      <c r="AE1937" s="3">
        <f t="shared" si="529"/>
        <v>0</v>
      </c>
      <c r="AF1937" s="3">
        <f>IF(AND($N1937=1,AND(LEFT(对接源_02物料!$D737,4)="包装物料",N(对接源_02物料!$K737)&lt;&gt;0)),1,0)</f>
        <v>0</v>
      </c>
      <c r="AG1937" s="3">
        <f t="shared" si="530"/>
        <v>5</v>
      </c>
      <c r="AH1937" s="3">
        <f>IF(AND($N1937=1,AND(对接源_02物料!$D737="周转筐－销售出库",N(对接源_02物料!$K737)&lt;&gt;0)),1,0)</f>
        <v>0</v>
      </c>
      <c r="AI1937" s="3">
        <f t="shared" si="531"/>
        <v>0</v>
      </c>
      <c r="AL1937" s="3">
        <v>0</v>
      </c>
      <c r="AM1937" s="3">
        <f t="shared" si="532"/>
        <v>1</v>
      </c>
      <c r="AN1937" s="3" t="str">
        <f t="shared" si="519"/>
        <v/>
      </c>
      <c r="AO1937" s="3">
        <v>0</v>
      </c>
      <c r="AP1937" s="3">
        <f t="shared" si="533"/>
        <v>8</v>
      </c>
      <c r="AR1937">
        <f t="shared" si="534"/>
        <v>0</v>
      </c>
      <c r="AS1937">
        <f t="shared" si="535"/>
        <v>5</v>
      </c>
    </row>
    <row r="1938" customHeight="1" spans="1:45">
      <c r="A1938" s="3" t="str">
        <f>IF(对接源_02物料!$C738="","",对接源_02物料!$C738)</f>
        <v/>
      </c>
      <c r="B1938" s="3">
        <f t="shared" si="520"/>
        <v>0</v>
      </c>
      <c r="C1938" s="3">
        <f t="shared" si="521"/>
        <v>21</v>
      </c>
      <c r="K1938" s="3">
        <f>IF(OR($K$1="",对接源_02物料!$C738="",对接源_02物料!$C738&lt;&gt;$K$1,对接源_02物料!$B738=""),0,IF(OR(N(对接源_02物料!$B738)&lt;$K$2,N(对接源_02物料!$B738)&gt;$K$3),0,1))</f>
        <v>0</v>
      </c>
      <c r="L1938" s="3">
        <f>IF(OR($L$1="",对接源_02物料!$C738="",对接源_02物料!$C738&lt;&gt;$L$1,对接源_02物料!$B738=""),0,IF(OR(N(对接源_02物料!$B738)&lt;$L$2,N(对接源_02物料!$B738)&gt;$L$3),0,1))</f>
        <v>0</v>
      </c>
      <c r="M1938" s="3">
        <f>IF(OR($M$1="",对接源_02物料!$C738="",对接源_02物料!$C738&lt;&gt;$M$1,对接源_02物料!$B738=""),0,IF(OR(N(对接源_02物料!$B738)&lt;$M$2,N(对接源_02物料!$B738)&gt;$M$3),0,1))</f>
        <v>0</v>
      </c>
      <c r="N1938" s="3">
        <f>IF(OR($N$1="",对接源_02物料!$C738="",对接源_02物料!$C738&lt;&gt;$N$1,对接源_02物料!$B738=""),0,IF(OR(N(对接源_02物料!$B738)&lt;$N$2,N(对接源_02物料!$B738)&gt;$N$3),0,1))</f>
        <v>0</v>
      </c>
      <c r="P1938" s="3">
        <f>IF(AND($K1938=1,AND(对接源_02物料!$X738="公司筐",N(对接源_02物料!$T738)&lt;&gt;0)),1,0)</f>
        <v>0</v>
      </c>
      <c r="Q1938" s="3">
        <f t="shared" si="522"/>
        <v>8</v>
      </c>
      <c r="R1938" s="3">
        <f>IF(AND($K1938=1,AND(对接源_02物料!$X738="公司筐",N(对接源_02物料!$U738)&lt;&gt;0)),1,0)</f>
        <v>0</v>
      </c>
      <c r="S1938" s="3">
        <f t="shared" si="523"/>
        <v>0</v>
      </c>
      <c r="T1938" s="3">
        <f>IF(AND($K1938=1,AND(对接源_02物料!$X738="公司筐",N(对接源_02物料!$V738)&lt;&gt;0)),1,0)</f>
        <v>0</v>
      </c>
      <c r="U1938" s="3">
        <f t="shared" si="524"/>
        <v>19</v>
      </c>
      <c r="V1938" s="3">
        <f>IF(AND($L1938=1,AND(对接源_02物料!$X738="自备筐",N(对接源_02物料!$V738)&lt;&gt;0)),1,0)</f>
        <v>0</v>
      </c>
      <c r="W1938" s="3">
        <f t="shared" si="525"/>
        <v>8</v>
      </c>
      <c r="X1938" s="3">
        <f>IF(AND($L1938=1,AND(对接源_02物料!$X738="自备筐",N(对接源_02物料!$T738)&lt;&gt;0)),1,0)</f>
        <v>0</v>
      </c>
      <c r="Y1938" s="3">
        <f t="shared" si="526"/>
        <v>0</v>
      </c>
      <c r="Z1938" s="3">
        <f>IF(AND($M1938=1,对接源_02物料!$D738="原料入库"),1,0)</f>
        <v>0</v>
      </c>
      <c r="AA1938" s="3">
        <f t="shared" si="527"/>
        <v>24</v>
      </c>
      <c r="AB1938" s="3">
        <f>IF(AND($M1938=1,LEFT(对接源_02物料!$D738,4)="原料出库"),1,0)</f>
        <v>0</v>
      </c>
      <c r="AC1938" s="3">
        <f t="shared" si="528"/>
        <v>0</v>
      </c>
      <c r="AD1938" s="3">
        <f>IF(AND($M1938=1,LEFT(对接源_02物料!$D738,4)="成品出库"),1,0)</f>
        <v>0</v>
      </c>
      <c r="AE1938" s="3">
        <f t="shared" si="529"/>
        <v>0</v>
      </c>
      <c r="AF1938" s="3">
        <f>IF(AND($N1938=1,AND(LEFT(对接源_02物料!$D738,4)="包装物料",N(对接源_02物料!$K738)&lt;&gt;0)),1,0)</f>
        <v>0</v>
      </c>
      <c r="AG1938" s="3">
        <f t="shared" si="530"/>
        <v>5</v>
      </c>
      <c r="AH1938" s="3">
        <f>IF(AND($N1938=1,AND(对接源_02物料!$D738="周转筐－销售出库",N(对接源_02物料!$K738)&lt;&gt;0)),1,0)</f>
        <v>0</v>
      </c>
      <c r="AI1938" s="3">
        <f t="shared" si="531"/>
        <v>0</v>
      </c>
      <c r="AL1938" s="3">
        <v>0</v>
      </c>
      <c r="AM1938" s="3">
        <f t="shared" si="532"/>
        <v>1</v>
      </c>
      <c r="AN1938" s="3" t="str">
        <f t="shared" si="519"/>
        <v/>
      </c>
      <c r="AO1938" s="3">
        <v>0</v>
      </c>
      <c r="AP1938" s="3">
        <f t="shared" si="533"/>
        <v>8</v>
      </c>
      <c r="AR1938">
        <f t="shared" si="534"/>
        <v>0</v>
      </c>
      <c r="AS1938">
        <f t="shared" si="535"/>
        <v>5</v>
      </c>
    </row>
    <row r="1939" customHeight="1" spans="1:45">
      <c r="A1939" s="3" t="str">
        <f>IF(对接源_02物料!$C739="","",对接源_02物料!$C739)</f>
        <v/>
      </c>
      <c r="B1939" s="3">
        <f t="shared" si="520"/>
        <v>0</v>
      </c>
      <c r="C1939" s="3">
        <f t="shared" si="521"/>
        <v>21</v>
      </c>
      <c r="K1939" s="3">
        <f>IF(OR($K$1="",对接源_02物料!$C739="",对接源_02物料!$C739&lt;&gt;$K$1,对接源_02物料!$B739=""),0,IF(OR(N(对接源_02物料!$B739)&lt;$K$2,N(对接源_02物料!$B739)&gt;$K$3),0,1))</f>
        <v>0</v>
      </c>
      <c r="L1939" s="3">
        <f>IF(OR($L$1="",对接源_02物料!$C739="",对接源_02物料!$C739&lt;&gt;$L$1,对接源_02物料!$B739=""),0,IF(OR(N(对接源_02物料!$B739)&lt;$L$2,N(对接源_02物料!$B739)&gt;$L$3),0,1))</f>
        <v>0</v>
      </c>
      <c r="M1939" s="3">
        <f>IF(OR($M$1="",对接源_02物料!$C739="",对接源_02物料!$C739&lt;&gt;$M$1,对接源_02物料!$B739=""),0,IF(OR(N(对接源_02物料!$B739)&lt;$M$2,N(对接源_02物料!$B739)&gt;$M$3),0,1))</f>
        <v>0</v>
      </c>
      <c r="N1939" s="3">
        <f>IF(OR($N$1="",对接源_02物料!$C739="",对接源_02物料!$C739&lt;&gt;$N$1,对接源_02物料!$B739=""),0,IF(OR(N(对接源_02物料!$B739)&lt;$N$2,N(对接源_02物料!$B739)&gt;$N$3),0,1))</f>
        <v>0</v>
      </c>
      <c r="P1939" s="3">
        <f>IF(AND($K1939=1,AND(对接源_02物料!$X739="公司筐",N(对接源_02物料!$T739)&lt;&gt;0)),1,0)</f>
        <v>0</v>
      </c>
      <c r="Q1939" s="3">
        <f t="shared" si="522"/>
        <v>8</v>
      </c>
      <c r="R1939" s="3">
        <f>IF(AND($K1939=1,AND(对接源_02物料!$X739="公司筐",N(对接源_02物料!$U739)&lt;&gt;0)),1,0)</f>
        <v>0</v>
      </c>
      <c r="S1939" s="3">
        <f t="shared" si="523"/>
        <v>0</v>
      </c>
      <c r="T1939" s="3">
        <f>IF(AND($K1939=1,AND(对接源_02物料!$X739="公司筐",N(对接源_02物料!$V739)&lt;&gt;0)),1,0)</f>
        <v>0</v>
      </c>
      <c r="U1939" s="3">
        <f t="shared" si="524"/>
        <v>19</v>
      </c>
      <c r="V1939" s="3">
        <f>IF(AND($L1939=1,AND(对接源_02物料!$X739="自备筐",N(对接源_02物料!$V739)&lt;&gt;0)),1,0)</f>
        <v>0</v>
      </c>
      <c r="W1939" s="3">
        <f t="shared" si="525"/>
        <v>8</v>
      </c>
      <c r="X1939" s="3">
        <f>IF(AND($L1939=1,AND(对接源_02物料!$X739="自备筐",N(对接源_02物料!$T739)&lt;&gt;0)),1,0)</f>
        <v>0</v>
      </c>
      <c r="Y1939" s="3">
        <f t="shared" si="526"/>
        <v>0</v>
      </c>
      <c r="Z1939" s="3">
        <f>IF(AND($M1939=1,对接源_02物料!$D739="原料入库"),1,0)</f>
        <v>0</v>
      </c>
      <c r="AA1939" s="3">
        <f t="shared" si="527"/>
        <v>24</v>
      </c>
      <c r="AB1939" s="3">
        <f>IF(AND($M1939=1,LEFT(对接源_02物料!$D739,4)="原料出库"),1,0)</f>
        <v>0</v>
      </c>
      <c r="AC1939" s="3">
        <f t="shared" si="528"/>
        <v>0</v>
      </c>
      <c r="AD1939" s="3">
        <f>IF(AND($M1939=1,LEFT(对接源_02物料!$D739,4)="成品出库"),1,0)</f>
        <v>0</v>
      </c>
      <c r="AE1939" s="3">
        <f t="shared" si="529"/>
        <v>0</v>
      </c>
      <c r="AF1939" s="3">
        <f>IF(AND($N1939=1,AND(LEFT(对接源_02物料!$D739,4)="包装物料",N(对接源_02物料!$K739)&lt;&gt;0)),1,0)</f>
        <v>0</v>
      </c>
      <c r="AG1939" s="3">
        <f t="shared" si="530"/>
        <v>5</v>
      </c>
      <c r="AH1939" s="3">
        <f>IF(AND($N1939=1,AND(对接源_02物料!$D739="周转筐－销售出库",N(对接源_02物料!$K739)&lt;&gt;0)),1,0)</f>
        <v>0</v>
      </c>
      <c r="AI1939" s="3">
        <f t="shared" si="531"/>
        <v>0</v>
      </c>
      <c r="AL1939" s="3">
        <v>0</v>
      </c>
      <c r="AM1939" s="3">
        <f t="shared" si="532"/>
        <v>1</v>
      </c>
      <c r="AN1939" s="3" t="str">
        <f t="shared" si="519"/>
        <v/>
      </c>
      <c r="AO1939" s="3">
        <v>0</v>
      </c>
      <c r="AP1939" s="3">
        <f t="shared" si="533"/>
        <v>8</v>
      </c>
      <c r="AR1939">
        <f t="shared" si="534"/>
        <v>0</v>
      </c>
      <c r="AS1939">
        <f t="shared" si="535"/>
        <v>5</v>
      </c>
    </row>
    <row r="1940" customHeight="1" spans="1:45">
      <c r="A1940" s="3" t="str">
        <f>IF(对接源_02物料!$C740="","",对接源_02物料!$C740)</f>
        <v/>
      </c>
      <c r="B1940" s="3">
        <f t="shared" si="520"/>
        <v>0</v>
      </c>
      <c r="C1940" s="3">
        <f t="shared" si="521"/>
        <v>21</v>
      </c>
      <c r="K1940" s="3">
        <f>IF(OR($K$1="",对接源_02物料!$C740="",对接源_02物料!$C740&lt;&gt;$K$1,对接源_02物料!$B740=""),0,IF(OR(N(对接源_02物料!$B740)&lt;$K$2,N(对接源_02物料!$B740)&gt;$K$3),0,1))</f>
        <v>0</v>
      </c>
      <c r="L1940" s="3">
        <f>IF(OR($L$1="",对接源_02物料!$C740="",对接源_02物料!$C740&lt;&gt;$L$1,对接源_02物料!$B740=""),0,IF(OR(N(对接源_02物料!$B740)&lt;$L$2,N(对接源_02物料!$B740)&gt;$L$3),0,1))</f>
        <v>0</v>
      </c>
      <c r="M1940" s="3">
        <f>IF(OR($M$1="",对接源_02物料!$C740="",对接源_02物料!$C740&lt;&gt;$M$1,对接源_02物料!$B740=""),0,IF(OR(N(对接源_02物料!$B740)&lt;$M$2,N(对接源_02物料!$B740)&gt;$M$3),0,1))</f>
        <v>0</v>
      </c>
      <c r="N1940" s="3">
        <f>IF(OR($N$1="",对接源_02物料!$C740="",对接源_02物料!$C740&lt;&gt;$N$1,对接源_02物料!$B740=""),0,IF(OR(N(对接源_02物料!$B740)&lt;$N$2,N(对接源_02物料!$B740)&gt;$N$3),0,1))</f>
        <v>0</v>
      </c>
      <c r="P1940" s="3">
        <f>IF(AND($K1940=1,AND(对接源_02物料!$X740="公司筐",N(对接源_02物料!$T740)&lt;&gt;0)),1,0)</f>
        <v>0</v>
      </c>
      <c r="Q1940" s="3">
        <f t="shared" si="522"/>
        <v>8</v>
      </c>
      <c r="R1940" s="3">
        <f>IF(AND($K1940=1,AND(对接源_02物料!$X740="公司筐",N(对接源_02物料!$U740)&lt;&gt;0)),1,0)</f>
        <v>0</v>
      </c>
      <c r="S1940" s="3">
        <f t="shared" si="523"/>
        <v>0</v>
      </c>
      <c r="T1940" s="3">
        <f>IF(AND($K1940=1,AND(对接源_02物料!$X740="公司筐",N(对接源_02物料!$V740)&lt;&gt;0)),1,0)</f>
        <v>0</v>
      </c>
      <c r="U1940" s="3">
        <f t="shared" si="524"/>
        <v>19</v>
      </c>
      <c r="V1940" s="3">
        <f>IF(AND($L1940=1,AND(对接源_02物料!$X740="自备筐",N(对接源_02物料!$V740)&lt;&gt;0)),1,0)</f>
        <v>0</v>
      </c>
      <c r="W1940" s="3">
        <f t="shared" si="525"/>
        <v>8</v>
      </c>
      <c r="X1940" s="3">
        <f>IF(AND($L1940=1,AND(对接源_02物料!$X740="自备筐",N(对接源_02物料!$T740)&lt;&gt;0)),1,0)</f>
        <v>0</v>
      </c>
      <c r="Y1940" s="3">
        <f t="shared" si="526"/>
        <v>0</v>
      </c>
      <c r="Z1940" s="3">
        <f>IF(AND($M1940=1,对接源_02物料!$D740="原料入库"),1,0)</f>
        <v>0</v>
      </c>
      <c r="AA1940" s="3">
        <f t="shared" si="527"/>
        <v>24</v>
      </c>
      <c r="AB1940" s="3">
        <f>IF(AND($M1940=1,LEFT(对接源_02物料!$D740,4)="原料出库"),1,0)</f>
        <v>0</v>
      </c>
      <c r="AC1940" s="3">
        <f t="shared" si="528"/>
        <v>0</v>
      </c>
      <c r="AD1940" s="3">
        <f>IF(AND($M1940=1,LEFT(对接源_02物料!$D740,4)="成品出库"),1,0)</f>
        <v>0</v>
      </c>
      <c r="AE1940" s="3">
        <f t="shared" si="529"/>
        <v>0</v>
      </c>
      <c r="AF1940" s="3">
        <f>IF(AND($N1940=1,AND(LEFT(对接源_02物料!$D740,4)="包装物料",N(对接源_02物料!$K740)&lt;&gt;0)),1,0)</f>
        <v>0</v>
      </c>
      <c r="AG1940" s="3">
        <f t="shared" si="530"/>
        <v>5</v>
      </c>
      <c r="AH1940" s="3">
        <f>IF(AND($N1940=1,AND(对接源_02物料!$D740="周转筐－销售出库",N(对接源_02物料!$K740)&lt;&gt;0)),1,0)</f>
        <v>0</v>
      </c>
      <c r="AI1940" s="3">
        <f t="shared" si="531"/>
        <v>0</v>
      </c>
      <c r="AL1940" s="3">
        <v>0</v>
      </c>
      <c r="AM1940" s="3">
        <f t="shared" si="532"/>
        <v>1</v>
      </c>
      <c r="AN1940" s="3" t="str">
        <f t="shared" si="519"/>
        <v/>
      </c>
      <c r="AO1940" s="3">
        <v>0</v>
      </c>
      <c r="AP1940" s="3">
        <f t="shared" si="533"/>
        <v>8</v>
      </c>
      <c r="AR1940">
        <f t="shared" si="534"/>
        <v>0</v>
      </c>
      <c r="AS1940">
        <f t="shared" si="535"/>
        <v>5</v>
      </c>
    </row>
    <row r="1941" customHeight="1" spans="1:45">
      <c r="A1941" s="3" t="str">
        <f>IF(对接源_02物料!$C741="","",对接源_02物料!$C741)</f>
        <v/>
      </c>
      <c r="B1941" s="3">
        <f t="shared" si="520"/>
        <v>0</v>
      </c>
      <c r="C1941" s="3">
        <f t="shared" si="521"/>
        <v>21</v>
      </c>
      <c r="K1941" s="3">
        <f>IF(OR($K$1="",对接源_02物料!$C741="",对接源_02物料!$C741&lt;&gt;$K$1,对接源_02物料!$B741=""),0,IF(OR(N(对接源_02物料!$B741)&lt;$K$2,N(对接源_02物料!$B741)&gt;$K$3),0,1))</f>
        <v>0</v>
      </c>
      <c r="L1941" s="3">
        <f>IF(OR($L$1="",对接源_02物料!$C741="",对接源_02物料!$C741&lt;&gt;$L$1,对接源_02物料!$B741=""),0,IF(OR(N(对接源_02物料!$B741)&lt;$L$2,N(对接源_02物料!$B741)&gt;$L$3),0,1))</f>
        <v>0</v>
      </c>
      <c r="M1941" s="3">
        <f>IF(OR($M$1="",对接源_02物料!$C741="",对接源_02物料!$C741&lt;&gt;$M$1,对接源_02物料!$B741=""),0,IF(OR(N(对接源_02物料!$B741)&lt;$M$2,N(对接源_02物料!$B741)&gt;$M$3),0,1))</f>
        <v>0</v>
      </c>
      <c r="N1941" s="3">
        <f>IF(OR($N$1="",对接源_02物料!$C741="",对接源_02物料!$C741&lt;&gt;$N$1,对接源_02物料!$B741=""),0,IF(OR(N(对接源_02物料!$B741)&lt;$N$2,N(对接源_02物料!$B741)&gt;$N$3),0,1))</f>
        <v>0</v>
      </c>
      <c r="P1941" s="3">
        <f>IF(AND($K1941=1,AND(对接源_02物料!$X741="公司筐",N(对接源_02物料!$T741)&lt;&gt;0)),1,0)</f>
        <v>0</v>
      </c>
      <c r="Q1941" s="3">
        <f t="shared" si="522"/>
        <v>8</v>
      </c>
      <c r="R1941" s="3">
        <f>IF(AND($K1941=1,AND(对接源_02物料!$X741="公司筐",N(对接源_02物料!$U741)&lt;&gt;0)),1,0)</f>
        <v>0</v>
      </c>
      <c r="S1941" s="3">
        <f t="shared" si="523"/>
        <v>0</v>
      </c>
      <c r="T1941" s="3">
        <f>IF(AND($K1941=1,AND(对接源_02物料!$X741="公司筐",N(对接源_02物料!$V741)&lt;&gt;0)),1,0)</f>
        <v>0</v>
      </c>
      <c r="U1941" s="3">
        <f t="shared" si="524"/>
        <v>19</v>
      </c>
      <c r="V1941" s="3">
        <f>IF(AND($L1941=1,AND(对接源_02物料!$X741="自备筐",N(对接源_02物料!$V741)&lt;&gt;0)),1,0)</f>
        <v>0</v>
      </c>
      <c r="W1941" s="3">
        <f t="shared" si="525"/>
        <v>8</v>
      </c>
      <c r="X1941" s="3">
        <f>IF(AND($L1941=1,AND(对接源_02物料!$X741="自备筐",N(对接源_02物料!$T741)&lt;&gt;0)),1,0)</f>
        <v>0</v>
      </c>
      <c r="Y1941" s="3">
        <f t="shared" si="526"/>
        <v>0</v>
      </c>
      <c r="Z1941" s="3">
        <f>IF(AND($M1941=1,对接源_02物料!$D741="原料入库"),1,0)</f>
        <v>0</v>
      </c>
      <c r="AA1941" s="3">
        <f t="shared" si="527"/>
        <v>24</v>
      </c>
      <c r="AB1941" s="3">
        <f>IF(AND($M1941=1,LEFT(对接源_02物料!$D741,4)="原料出库"),1,0)</f>
        <v>0</v>
      </c>
      <c r="AC1941" s="3">
        <f t="shared" si="528"/>
        <v>0</v>
      </c>
      <c r="AD1941" s="3">
        <f>IF(AND($M1941=1,LEFT(对接源_02物料!$D741,4)="成品出库"),1,0)</f>
        <v>0</v>
      </c>
      <c r="AE1941" s="3">
        <f t="shared" si="529"/>
        <v>0</v>
      </c>
      <c r="AF1941" s="3">
        <f>IF(AND($N1941=1,AND(LEFT(对接源_02物料!$D741,4)="包装物料",N(对接源_02物料!$K741)&lt;&gt;0)),1,0)</f>
        <v>0</v>
      </c>
      <c r="AG1941" s="3">
        <f t="shared" si="530"/>
        <v>5</v>
      </c>
      <c r="AH1941" s="3">
        <f>IF(AND($N1941=1,AND(对接源_02物料!$D741="周转筐－销售出库",N(对接源_02物料!$K741)&lt;&gt;0)),1,0)</f>
        <v>0</v>
      </c>
      <c r="AI1941" s="3">
        <f t="shared" si="531"/>
        <v>0</v>
      </c>
      <c r="AL1941" s="3">
        <v>0</v>
      </c>
      <c r="AM1941" s="3">
        <f t="shared" si="532"/>
        <v>1</v>
      </c>
      <c r="AN1941" s="3" t="str">
        <f t="shared" si="519"/>
        <v/>
      </c>
      <c r="AO1941" s="3">
        <v>0</v>
      </c>
      <c r="AP1941" s="3">
        <f t="shared" si="533"/>
        <v>8</v>
      </c>
      <c r="AR1941">
        <f t="shared" si="534"/>
        <v>0</v>
      </c>
      <c r="AS1941">
        <f t="shared" si="535"/>
        <v>5</v>
      </c>
    </row>
    <row r="1942" customHeight="1" spans="1:45">
      <c r="A1942" s="3" t="str">
        <f>IF(对接源_02物料!$C742="","",对接源_02物料!$C742)</f>
        <v/>
      </c>
      <c r="B1942" s="3">
        <f t="shared" si="520"/>
        <v>0</v>
      </c>
      <c r="C1942" s="3">
        <f t="shared" si="521"/>
        <v>21</v>
      </c>
      <c r="K1942" s="3">
        <f>IF(OR($K$1="",对接源_02物料!$C742="",对接源_02物料!$C742&lt;&gt;$K$1,对接源_02物料!$B742=""),0,IF(OR(N(对接源_02物料!$B742)&lt;$K$2,N(对接源_02物料!$B742)&gt;$K$3),0,1))</f>
        <v>0</v>
      </c>
      <c r="L1942" s="3">
        <f>IF(OR($L$1="",对接源_02物料!$C742="",对接源_02物料!$C742&lt;&gt;$L$1,对接源_02物料!$B742=""),0,IF(OR(N(对接源_02物料!$B742)&lt;$L$2,N(对接源_02物料!$B742)&gt;$L$3),0,1))</f>
        <v>0</v>
      </c>
      <c r="M1942" s="3">
        <f>IF(OR($M$1="",对接源_02物料!$C742="",对接源_02物料!$C742&lt;&gt;$M$1,对接源_02物料!$B742=""),0,IF(OR(N(对接源_02物料!$B742)&lt;$M$2,N(对接源_02物料!$B742)&gt;$M$3),0,1))</f>
        <v>0</v>
      </c>
      <c r="N1942" s="3">
        <f>IF(OR($N$1="",对接源_02物料!$C742="",对接源_02物料!$C742&lt;&gt;$N$1,对接源_02物料!$B742=""),0,IF(OR(N(对接源_02物料!$B742)&lt;$N$2,N(对接源_02物料!$B742)&gt;$N$3),0,1))</f>
        <v>0</v>
      </c>
      <c r="P1942" s="3">
        <f>IF(AND($K1942=1,AND(对接源_02物料!$X742="公司筐",N(对接源_02物料!$T742)&lt;&gt;0)),1,0)</f>
        <v>0</v>
      </c>
      <c r="Q1942" s="3">
        <f t="shared" si="522"/>
        <v>8</v>
      </c>
      <c r="R1942" s="3">
        <f>IF(AND($K1942=1,AND(对接源_02物料!$X742="公司筐",N(对接源_02物料!$U742)&lt;&gt;0)),1,0)</f>
        <v>0</v>
      </c>
      <c r="S1942" s="3">
        <f t="shared" si="523"/>
        <v>0</v>
      </c>
      <c r="T1942" s="3">
        <f>IF(AND($K1942=1,AND(对接源_02物料!$X742="公司筐",N(对接源_02物料!$V742)&lt;&gt;0)),1,0)</f>
        <v>0</v>
      </c>
      <c r="U1942" s="3">
        <f t="shared" si="524"/>
        <v>19</v>
      </c>
      <c r="V1942" s="3">
        <f>IF(AND($L1942=1,AND(对接源_02物料!$X742="自备筐",N(对接源_02物料!$V742)&lt;&gt;0)),1,0)</f>
        <v>0</v>
      </c>
      <c r="W1942" s="3">
        <f t="shared" si="525"/>
        <v>8</v>
      </c>
      <c r="X1942" s="3">
        <f>IF(AND($L1942=1,AND(对接源_02物料!$X742="自备筐",N(对接源_02物料!$T742)&lt;&gt;0)),1,0)</f>
        <v>0</v>
      </c>
      <c r="Y1942" s="3">
        <f t="shared" si="526"/>
        <v>0</v>
      </c>
      <c r="Z1942" s="3">
        <f>IF(AND($M1942=1,对接源_02物料!$D742="原料入库"),1,0)</f>
        <v>0</v>
      </c>
      <c r="AA1942" s="3">
        <f t="shared" si="527"/>
        <v>24</v>
      </c>
      <c r="AB1942" s="3">
        <f>IF(AND($M1942=1,LEFT(对接源_02物料!$D742,4)="原料出库"),1,0)</f>
        <v>0</v>
      </c>
      <c r="AC1942" s="3">
        <f t="shared" si="528"/>
        <v>0</v>
      </c>
      <c r="AD1942" s="3">
        <f>IF(AND($M1942=1,LEFT(对接源_02物料!$D742,4)="成品出库"),1,0)</f>
        <v>0</v>
      </c>
      <c r="AE1942" s="3">
        <f t="shared" si="529"/>
        <v>0</v>
      </c>
      <c r="AF1942" s="3">
        <f>IF(AND($N1942=1,AND(LEFT(对接源_02物料!$D742,4)="包装物料",N(对接源_02物料!$K742)&lt;&gt;0)),1,0)</f>
        <v>0</v>
      </c>
      <c r="AG1942" s="3">
        <f t="shared" si="530"/>
        <v>5</v>
      </c>
      <c r="AH1942" s="3">
        <f>IF(AND($N1942=1,AND(对接源_02物料!$D742="周转筐－销售出库",N(对接源_02物料!$K742)&lt;&gt;0)),1,0)</f>
        <v>0</v>
      </c>
      <c r="AI1942" s="3">
        <f t="shared" si="531"/>
        <v>0</v>
      </c>
      <c r="AL1942" s="3">
        <v>0</v>
      </c>
      <c r="AM1942" s="3">
        <f t="shared" si="532"/>
        <v>1</v>
      </c>
      <c r="AN1942" s="3" t="str">
        <f t="shared" si="519"/>
        <v/>
      </c>
      <c r="AO1942" s="3">
        <v>0</v>
      </c>
      <c r="AP1942" s="3">
        <f t="shared" si="533"/>
        <v>8</v>
      </c>
      <c r="AR1942">
        <f t="shared" si="534"/>
        <v>0</v>
      </c>
      <c r="AS1942">
        <f t="shared" si="535"/>
        <v>5</v>
      </c>
    </row>
    <row r="1943" customHeight="1" spans="1:45">
      <c r="A1943" s="3" t="str">
        <f>IF(对接源_02物料!$C743="","",对接源_02物料!$C743)</f>
        <v/>
      </c>
      <c r="B1943" s="3">
        <f t="shared" si="520"/>
        <v>0</v>
      </c>
      <c r="C1943" s="3">
        <f t="shared" si="521"/>
        <v>21</v>
      </c>
      <c r="K1943" s="3">
        <f>IF(OR($K$1="",对接源_02物料!$C743="",对接源_02物料!$C743&lt;&gt;$K$1,对接源_02物料!$B743=""),0,IF(OR(N(对接源_02物料!$B743)&lt;$K$2,N(对接源_02物料!$B743)&gt;$K$3),0,1))</f>
        <v>0</v>
      </c>
      <c r="L1943" s="3">
        <f>IF(OR($L$1="",对接源_02物料!$C743="",对接源_02物料!$C743&lt;&gt;$L$1,对接源_02物料!$B743=""),0,IF(OR(N(对接源_02物料!$B743)&lt;$L$2,N(对接源_02物料!$B743)&gt;$L$3),0,1))</f>
        <v>0</v>
      </c>
      <c r="M1943" s="3">
        <f>IF(OR($M$1="",对接源_02物料!$C743="",对接源_02物料!$C743&lt;&gt;$M$1,对接源_02物料!$B743=""),0,IF(OR(N(对接源_02物料!$B743)&lt;$M$2,N(对接源_02物料!$B743)&gt;$M$3),0,1))</f>
        <v>0</v>
      </c>
      <c r="N1943" s="3">
        <f>IF(OR($N$1="",对接源_02物料!$C743="",对接源_02物料!$C743&lt;&gt;$N$1,对接源_02物料!$B743=""),0,IF(OR(N(对接源_02物料!$B743)&lt;$N$2,N(对接源_02物料!$B743)&gt;$N$3),0,1))</f>
        <v>0</v>
      </c>
      <c r="P1943" s="3">
        <f>IF(AND($K1943=1,AND(对接源_02物料!$X743="公司筐",N(对接源_02物料!$T743)&lt;&gt;0)),1,0)</f>
        <v>0</v>
      </c>
      <c r="Q1943" s="3">
        <f t="shared" si="522"/>
        <v>8</v>
      </c>
      <c r="R1943" s="3">
        <f>IF(AND($K1943=1,AND(对接源_02物料!$X743="公司筐",N(对接源_02物料!$U743)&lt;&gt;0)),1,0)</f>
        <v>0</v>
      </c>
      <c r="S1943" s="3">
        <f t="shared" si="523"/>
        <v>0</v>
      </c>
      <c r="T1943" s="3">
        <f>IF(AND($K1943=1,AND(对接源_02物料!$X743="公司筐",N(对接源_02物料!$V743)&lt;&gt;0)),1,0)</f>
        <v>0</v>
      </c>
      <c r="U1943" s="3">
        <f t="shared" si="524"/>
        <v>19</v>
      </c>
      <c r="V1943" s="3">
        <f>IF(AND($L1943=1,AND(对接源_02物料!$X743="自备筐",N(对接源_02物料!$V743)&lt;&gt;0)),1,0)</f>
        <v>0</v>
      </c>
      <c r="W1943" s="3">
        <f t="shared" si="525"/>
        <v>8</v>
      </c>
      <c r="X1943" s="3">
        <f>IF(AND($L1943=1,AND(对接源_02物料!$X743="自备筐",N(对接源_02物料!$T743)&lt;&gt;0)),1,0)</f>
        <v>0</v>
      </c>
      <c r="Y1943" s="3">
        <f t="shared" si="526"/>
        <v>0</v>
      </c>
      <c r="Z1943" s="3">
        <f>IF(AND($M1943=1,对接源_02物料!$D743="原料入库"),1,0)</f>
        <v>0</v>
      </c>
      <c r="AA1943" s="3">
        <f t="shared" si="527"/>
        <v>24</v>
      </c>
      <c r="AB1943" s="3">
        <f>IF(AND($M1943=1,LEFT(对接源_02物料!$D743,4)="原料出库"),1,0)</f>
        <v>0</v>
      </c>
      <c r="AC1943" s="3">
        <f t="shared" si="528"/>
        <v>0</v>
      </c>
      <c r="AD1943" s="3">
        <f>IF(AND($M1943=1,LEFT(对接源_02物料!$D743,4)="成品出库"),1,0)</f>
        <v>0</v>
      </c>
      <c r="AE1943" s="3">
        <f t="shared" si="529"/>
        <v>0</v>
      </c>
      <c r="AF1943" s="3">
        <f>IF(AND($N1943=1,AND(LEFT(对接源_02物料!$D743,4)="包装物料",N(对接源_02物料!$K743)&lt;&gt;0)),1,0)</f>
        <v>0</v>
      </c>
      <c r="AG1943" s="3">
        <f t="shared" si="530"/>
        <v>5</v>
      </c>
      <c r="AH1943" s="3">
        <f>IF(AND($N1943=1,AND(对接源_02物料!$D743="周转筐－销售出库",N(对接源_02物料!$K743)&lt;&gt;0)),1,0)</f>
        <v>0</v>
      </c>
      <c r="AI1943" s="3">
        <f t="shared" si="531"/>
        <v>0</v>
      </c>
      <c r="AL1943" s="3">
        <v>0</v>
      </c>
      <c r="AM1943" s="3">
        <f t="shared" si="532"/>
        <v>1</v>
      </c>
      <c r="AN1943" s="3" t="str">
        <f t="shared" si="519"/>
        <v/>
      </c>
      <c r="AO1943" s="3">
        <v>0</v>
      </c>
      <c r="AP1943" s="3">
        <f t="shared" si="533"/>
        <v>8</v>
      </c>
      <c r="AR1943">
        <f t="shared" si="534"/>
        <v>0</v>
      </c>
      <c r="AS1943">
        <f t="shared" si="535"/>
        <v>5</v>
      </c>
    </row>
    <row r="1944" customHeight="1" spans="1:45">
      <c r="A1944" s="3" t="str">
        <f>IF(对接源_02物料!$C744="","",对接源_02物料!$C744)</f>
        <v/>
      </c>
      <c r="B1944" s="3">
        <f t="shared" si="520"/>
        <v>0</v>
      </c>
      <c r="C1944" s="3">
        <f t="shared" si="521"/>
        <v>21</v>
      </c>
      <c r="K1944" s="3">
        <f>IF(OR($K$1="",对接源_02物料!$C744="",对接源_02物料!$C744&lt;&gt;$K$1,对接源_02物料!$B744=""),0,IF(OR(N(对接源_02物料!$B744)&lt;$K$2,N(对接源_02物料!$B744)&gt;$K$3),0,1))</f>
        <v>0</v>
      </c>
      <c r="L1944" s="3">
        <f>IF(OR($L$1="",对接源_02物料!$C744="",对接源_02物料!$C744&lt;&gt;$L$1,对接源_02物料!$B744=""),0,IF(OR(N(对接源_02物料!$B744)&lt;$L$2,N(对接源_02物料!$B744)&gt;$L$3),0,1))</f>
        <v>0</v>
      </c>
      <c r="M1944" s="3">
        <f>IF(OR($M$1="",对接源_02物料!$C744="",对接源_02物料!$C744&lt;&gt;$M$1,对接源_02物料!$B744=""),0,IF(OR(N(对接源_02物料!$B744)&lt;$M$2,N(对接源_02物料!$B744)&gt;$M$3),0,1))</f>
        <v>0</v>
      </c>
      <c r="N1944" s="3">
        <f>IF(OR($N$1="",对接源_02物料!$C744="",对接源_02物料!$C744&lt;&gt;$N$1,对接源_02物料!$B744=""),0,IF(OR(N(对接源_02物料!$B744)&lt;$N$2,N(对接源_02物料!$B744)&gt;$N$3),0,1))</f>
        <v>0</v>
      </c>
      <c r="P1944" s="3">
        <f>IF(AND($K1944=1,AND(对接源_02物料!$X744="公司筐",N(对接源_02物料!$T744)&lt;&gt;0)),1,0)</f>
        <v>0</v>
      </c>
      <c r="Q1944" s="3">
        <f t="shared" si="522"/>
        <v>8</v>
      </c>
      <c r="R1944" s="3">
        <f>IF(AND($K1944=1,AND(对接源_02物料!$X744="公司筐",N(对接源_02物料!$U744)&lt;&gt;0)),1,0)</f>
        <v>0</v>
      </c>
      <c r="S1944" s="3">
        <f t="shared" si="523"/>
        <v>0</v>
      </c>
      <c r="T1944" s="3">
        <f>IF(AND($K1944=1,AND(对接源_02物料!$X744="公司筐",N(对接源_02物料!$V744)&lt;&gt;0)),1,0)</f>
        <v>0</v>
      </c>
      <c r="U1944" s="3">
        <f t="shared" si="524"/>
        <v>19</v>
      </c>
      <c r="V1944" s="3">
        <f>IF(AND($L1944=1,AND(对接源_02物料!$X744="自备筐",N(对接源_02物料!$V744)&lt;&gt;0)),1,0)</f>
        <v>0</v>
      </c>
      <c r="W1944" s="3">
        <f t="shared" si="525"/>
        <v>8</v>
      </c>
      <c r="X1944" s="3">
        <f>IF(AND($L1944=1,AND(对接源_02物料!$X744="自备筐",N(对接源_02物料!$T744)&lt;&gt;0)),1,0)</f>
        <v>0</v>
      </c>
      <c r="Y1944" s="3">
        <f t="shared" si="526"/>
        <v>0</v>
      </c>
      <c r="Z1944" s="3">
        <f>IF(AND($M1944=1,对接源_02物料!$D744="原料入库"),1,0)</f>
        <v>0</v>
      </c>
      <c r="AA1944" s="3">
        <f t="shared" si="527"/>
        <v>24</v>
      </c>
      <c r="AB1944" s="3">
        <f>IF(AND($M1944=1,LEFT(对接源_02物料!$D744,4)="原料出库"),1,0)</f>
        <v>0</v>
      </c>
      <c r="AC1944" s="3">
        <f t="shared" si="528"/>
        <v>0</v>
      </c>
      <c r="AD1944" s="3">
        <f>IF(AND($M1944=1,LEFT(对接源_02物料!$D744,4)="成品出库"),1,0)</f>
        <v>0</v>
      </c>
      <c r="AE1944" s="3">
        <f t="shared" si="529"/>
        <v>0</v>
      </c>
      <c r="AF1944" s="3">
        <f>IF(AND($N1944=1,AND(LEFT(对接源_02物料!$D744,4)="包装物料",N(对接源_02物料!$K744)&lt;&gt;0)),1,0)</f>
        <v>0</v>
      </c>
      <c r="AG1944" s="3">
        <f t="shared" si="530"/>
        <v>5</v>
      </c>
      <c r="AH1944" s="3">
        <f>IF(AND($N1944=1,AND(对接源_02物料!$D744="周转筐－销售出库",N(对接源_02物料!$K744)&lt;&gt;0)),1,0)</f>
        <v>0</v>
      </c>
      <c r="AI1944" s="3">
        <f t="shared" si="531"/>
        <v>0</v>
      </c>
      <c r="AL1944" s="3">
        <v>0</v>
      </c>
      <c r="AM1944" s="3">
        <f t="shared" si="532"/>
        <v>1</v>
      </c>
      <c r="AN1944" s="3" t="str">
        <f t="shared" si="519"/>
        <v/>
      </c>
      <c r="AO1944" s="3">
        <v>0</v>
      </c>
      <c r="AP1944" s="3">
        <f t="shared" si="533"/>
        <v>8</v>
      </c>
      <c r="AR1944">
        <f t="shared" si="534"/>
        <v>0</v>
      </c>
      <c r="AS1944">
        <f t="shared" si="535"/>
        <v>5</v>
      </c>
    </row>
    <row r="1945" customHeight="1" spans="1:45">
      <c r="A1945" s="3" t="str">
        <f>IF(对接源_02物料!$C745="","",对接源_02物料!$C745)</f>
        <v/>
      </c>
      <c r="B1945" s="3">
        <f t="shared" si="520"/>
        <v>0</v>
      </c>
      <c r="C1945" s="3">
        <f t="shared" si="521"/>
        <v>21</v>
      </c>
      <c r="K1945" s="3">
        <f>IF(OR($K$1="",对接源_02物料!$C745="",对接源_02物料!$C745&lt;&gt;$K$1,对接源_02物料!$B745=""),0,IF(OR(N(对接源_02物料!$B745)&lt;$K$2,N(对接源_02物料!$B745)&gt;$K$3),0,1))</f>
        <v>0</v>
      </c>
      <c r="L1945" s="3">
        <f>IF(OR($L$1="",对接源_02物料!$C745="",对接源_02物料!$C745&lt;&gt;$L$1,对接源_02物料!$B745=""),0,IF(OR(N(对接源_02物料!$B745)&lt;$L$2,N(对接源_02物料!$B745)&gt;$L$3),0,1))</f>
        <v>0</v>
      </c>
      <c r="M1945" s="3">
        <f>IF(OR($M$1="",对接源_02物料!$C745="",对接源_02物料!$C745&lt;&gt;$M$1,对接源_02物料!$B745=""),0,IF(OR(N(对接源_02物料!$B745)&lt;$M$2,N(对接源_02物料!$B745)&gt;$M$3),0,1))</f>
        <v>0</v>
      </c>
      <c r="N1945" s="3">
        <f>IF(OR($N$1="",对接源_02物料!$C745="",对接源_02物料!$C745&lt;&gt;$N$1,对接源_02物料!$B745=""),0,IF(OR(N(对接源_02物料!$B745)&lt;$N$2,N(对接源_02物料!$B745)&gt;$N$3),0,1))</f>
        <v>0</v>
      </c>
      <c r="P1945" s="3">
        <f>IF(AND($K1945=1,AND(对接源_02物料!$X745="公司筐",N(对接源_02物料!$T745)&lt;&gt;0)),1,0)</f>
        <v>0</v>
      </c>
      <c r="Q1945" s="3">
        <f t="shared" si="522"/>
        <v>8</v>
      </c>
      <c r="R1945" s="3">
        <f>IF(AND($K1945=1,AND(对接源_02物料!$X745="公司筐",N(对接源_02物料!$U745)&lt;&gt;0)),1,0)</f>
        <v>0</v>
      </c>
      <c r="S1945" s="3">
        <f t="shared" si="523"/>
        <v>0</v>
      </c>
      <c r="T1945" s="3">
        <f>IF(AND($K1945=1,AND(对接源_02物料!$X745="公司筐",N(对接源_02物料!$V745)&lt;&gt;0)),1,0)</f>
        <v>0</v>
      </c>
      <c r="U1945" s="3">
        <f t="shared" si="524"/>
        <v>19</v>
      </c>
      <c r="V1945" s="3">
        <f>IF(AND($L1945=1,AND(对接源_02物料!$X745="自备筐",N(对接源_02物料!$V745)&lt;&gt;0)),1,0)</f>
        <v>0</v>
      </c>
      <c r="W1945" s="3">
        <f t="shared" si="525"/>
        <v>8</v>
      </c>
      <c r="X1945" s="3">
        <f>IF(AND($L1945=1,AND(对接源_02物料!$X745="自备筐",N(对接源_02物料!$T745)&lt;&gt;0)),1,0)</f>
        <v>0</v>
      </c>
      <c r="Y1945" s="3">
        <f t="shared" si="526"/>
        <v>0</v>
      </c>
      <c r="Z1945" s="3">
        <f>IF(AND($M1945=1,对接源_02物料!$D745="原料入库"),1,0)</f>
        <v>0</v>
      </c>
      <c r="AA1945" s="3">
        <f t="shared" si="527"/>
        <v>24</v>
      </c>
      <c r="AB1945" s="3">
        <f>IF(AND($M1945=1,LEFT(对接源_02物料!$D745,4)="原料出库"),1,0)</f>
        <v>0</v>
      </c>
      <c r="AC1945" s="3">
        <f t="shared" si="528"/>
        <v>0</v>
      </c>
      <c r="AD1945" s="3">
        <f>IF(AND($M1945=1,LEFT(对接源_02物料!$D745,4)="成品出库"),1,0)</f>
        <v>0</v>
      </c>
      <c r="AE1945" s="3">
        <f t="shared" si="529"/>
        <v>0</v>
      </c>
      <c r="AF1945" s="3">
        <f>IF(AND($N1945=1,AND(LEFT(对接源_02物料!$D745,4)="包装物料",N(对接源_02物料!$K745)&lt;&gt;0)),1,0)</f>
        <v>0</v>
      </c>
      <c r="AG1945" s="3">
        <f t="shared" si="530"/>
        <v>5</v>
      </c>
      <c r="AH1945" s="3">
        <f>IF(AND($N1945=1,AND(对接源_02物料!$D745="周转筐－销售出库",N(对接源_02物料!$K745)&lt;&gt;0)),1,0)</f>
        <v>0</v>
      </c>
      <c r="AI1945" s="3">
        <f t="shared" si="531"/>
        <v>0</v>
      </c>
      <c r="AL1945" s="3">
        <v>0</v>
      </c>
      <c r="AM1945" s="3">
        <f t="shared" si="532"/>
        <v>1</v>
      </c>
      <c r="AN1945" s="3" t="str">
        <f t="shared" si="519"/>
        <v/>
      </c>
      <c r="AO1945" s="3">
        <v>0</v>
      </c>
      <c r="AP1945" s="3">
        <f t="shared" si="533"/>
        <v>8</v>
      </c>
      <c r="AR1945">
        <f t="shared" si="534"/>
        <v>0</v>
      </c>
      <c r="AS1945">
        <f t="shared" si="535"/>
        <v>5</v>
      </c>
    </row>
    <row r="1946" customHeight="1" spans="1:45">
      <c r="A1946" s="3" t="str">
        <f>IF(对接源_02物料!$C746="","",对接源_02物料!$C746)</f>
        <v/>
      </c>
      <c r="B1946" s="3">
        <f t="shared" si="520"/>
        <v>0</v>
      </c>
      <c r="C1946" s="3">
        <f t="shared" si="521"/>
        <v>21</v>
      </c>
      <c r="K1946" s="3">
        <f>IF(OR($K$1="",对接源_02物料!$C746="",对接源_02物料!$C746&lt;&gt;$K$1,对接源_02物料!$B746=""),0,IF(OR(N(对接源_02物料!$B746)&lt;$K$2,N(对接源_02物料!$B746)&gt;$K$3),0,1))</f>
        <v>0</v>
      </c>
      <c r="L1946" s="3">
        <f>IF(OR($L$1="",对接源_02物料!$C746="",对接源_02物料!$C746&lt;&gt;$L$1,对接源_02物料!$B746=""),0,IF(OR(N(对接源_02物料!$B746)&lt;$L$2,N(对接源_02物料!$B746)&gt;$L$3),0,1))</f>
        <v>0</v>
      </c>
      <c r="M1946" s="3">
        <f>IF(OR($M$1="",对接源_02物料!$C746="",对接源_02物料!$C746&lt;&gt;$M$1,对接源_02物料!$B746=""),0,IF(OR(N(对接源_02物料!$B746)&lt;$M$2,N(对接源_02物料!$B746)&gt;$M$3),0,1))</f>
        <v>0</v>
      </c>
      <c r="N1946" s="3">
        <f>IF(OR($N$1="",对接源_02物料!$C746="",对接源_02物料!$C746&lt;&gt;$N$1,对接源_02物料!$B746=""),0,IF(OR(N(对接源_02物料!$B746)&lt;$N$2,N(对接源_02物料!$B746)&gt;$N$3),0,1))</f>
        <v>0</v>
      </c>
      <c r="P1946" s="3">
        <f>IF(AND($K1946=1,AND(对接源_02物料!$X746="公司筐",N(对接源_02物料!$T746)&lt;&gt;0)),1,0)</f>
        <v>0</v>
      </c>
      <c r="Q1946" s="3">
        <f t="shared" si="522"/>
        <v>8</v>
      </c>
      <c r="R1946" s="3">
        <f>IF(AND($K1946=1,AND(对接源_02物料!$X746="公司筐",N(对接源_02物料!$U746)&lt;&gt;0)),1,0)</f>
        <v>0</v>
      </c>
      <c r="S1946" s="3">
        <f t="shared" si="523"/>
        <v>0</v>
      </c>
      <c r="T1946" s="3">
        <f>IF(AND($K1946=1,AND(对接源_02物料!$X746="公司筐",N(对接源_02物料!$V746)&lt;&gt;0)),1,0)</f>
        <v>0</v>
      </c>
      <c r="U1946" s="3">
        <f t="shared" si="524"/>
        <v>19</v>
      </c>
      <c r="V1946" s="3">
        <f>IF(AND($L1946=1,AND(对接源_02物料!$X746="自备筐",N(对接源_02物料!$V746)&lt;&gt;0)),1,0)</f>
        <v>0</v>
      </c>
      <c r="W1946" s="3">
        <f t="shared" si="525"/>
        <v>8</v>
      </c>
      <c r="X1946" s="3">
        <f>IF(AND($L1946=1,AND(对接源_02物料!$X746="自备筐",N(对接源_02物料!$T746)&lt;&gt;0)),1,0)</f>
        <v>0</v>
      </c>
      <c r="Y1946" s="3">
        <f t="shared" si="526"/>
        <v>0</v>
      </c>
      <c r="Z1946" s="3">
        <f>IF(AND($M1946=1,对接源_02物料!$D746="原料入库"),1,0)</f>
        <v>0</v>
      </c>
      <c r="AA1946" s="3">
        <f t="shared" si="527"/>
        <v>24</v>
      </c>
      <c r="AB1946" s="3">
        <f>IF(AND($M1946=1,LEFT(对接源_02物料!$D746,4)="原料出库"),1,0)</f>
        <v>0</v>
      </c>
      <c r="AC1946" s="3">
        <f t="shared" si="528"/>
        <v>0</v>
      </c>
      <c r="AD1946" s="3">
        <f>IF(AND($M1946=1,LEFT(对接源_02物料!$D746,4)="成品出库"),1,0)</f>
        <v>0</v>
      </c>
      <c r="AE1946" s="3">
        <f t="shared" si="529"/>
        <v>0</v>
      </c>
      <c r="AF1946" s="3">
        <f>IF(AND($N1946=1,AND(LEFT(对接源_02物料!$D746,4)="包装物料",N(对接源_02物料!$K746)&lt;&gt;0)),1,0)</f>
        <v>0</v>
      </c>
      <c r="AG1946" s="3">
        <f t="shared" si="530"/>
        <v>5</v>
      </c>
      <c r="AH1946" s="3">
        <f>IF(AND($N1946=1,AND(对接源_02物料!$D746="周转筐－销售出库",N(对接源_02物料!$K746)&lt;&gt;0)),1,0)</f>
        <v>0</v>
      </c>
      <c r="AI1946" s="3">
        <f t="shared" si="531"/>
        <v>0</v>
      </c>
      <c r="AL1946" s="3">
        <v>0</v>
      </c>
      <c r="AM1946" s="3">
        <f t="shared" si="532"/>
        <v>1</v>
      </c>
      <c r="AN1946" s="3" t="str">
        <f t="shared" si="519"/>
        <v/>
      </c>
      <c r="AO1946" s="3">
        <v>0</v>
      </c>
      <c r="AP1946" s="3">
        <f t="shared" si="533"/>
        <v>8</v>
      </c>
      <c r="AR1946">
        <f t="shared" si="534"/>
        <v>0</v>
      </c>
      <c r="AS1946">
        <f t="shared" si="535"/>
        <v>5</v>
      </c>
    </row>
    <row r="1947" customHeight="1" spans="1:45">
      <c r="A1947" s="3" t="str">
        <f>IF(对接源_02物料!$C747="","",对接源_02物料!$C747)</f>
        <v/>
      </c>
      <c r="B1947" s="3">
        <f t="shared" si="520"/>
        <v>0</v>
      </c>
      <c r="C1947" s="3">
        <f t="shared" si="521"/>
        <v>21</v>
      </c>
      <c r="K1947" s="3">
        <f>IF(OR($K$1="",对接源_02物料!$C747="",对接源_02物料!$C747&lt;&gt;$K$1,对接源_02物料!$B747=""),0,IF(OR(N(对接源_02物料!$B747)&lt;$K$2,N(对接源_02物料!$B747)&gt;$K$3),0,1))</f>
        <v>0</v>
      </c>
      <c r="L1947" s="3">
        <f>IF(OR($L$1="",对接源_02物料!$C747="",对接源_02物料!$C747&lt;&gt;$L$1,对接源_02物料!$B747=""),0,IF(OR(N(对接源_02物料!$B747)&lt;$L$2,N(对接源_02物料!$B747)&gt;$L$3),0,1))</f>
        <v>0</v>
      </c>
      <c r="M1947" s="3">
        <f>IF(OR($M$1="",对接源_02物料!$C747="",对接源_02物料!$C747&lt;&gt;$M$1,对接源_02物料!$B747=""),0,IF(OR(N(对接源_02物料!$B747)&lt;$M$2,N(对接源_02物料!$B747)&gt;$M$3),0,1))</f>
        <v>0</v>
      </c>
      <c r="N1947" s="3">
        <f>IF(OR($N$1="",对接源_02物料!$C747="",对接源_02物料!$C747&lt;&gt;$N$1,对接源_02物料!$B747=""),0,IF(OR(N(对接源_02物料!$B747)&lt;$N$2,N(对接源_02物料!$B747)&gt;$N$3),0,1))</f>
        <v>0</v>
      </c>
      <c r="P1947" s="3">
        <f>IF(AND($K1947=1,AND(对接源_02物料!$X747="公司筐",N(对接源_02物料!$T747)&lt;&gt;0)),1,0)</f>
        <v>0</v>
      </c>
      <c r="Q1947" s="3">
        <f t="shared" si="522"/>
        <v>8</v>
      </c>
      <c r="R1947" s="3">
        <f>IF(AND($K1947=1,AND(对接源_02物料!$X747="公司筐",N(对接源_02物料!$U747)&lt;&gt;0)),1,0)</f>
        <v>0</v>
      </c>
      <c r="S1947" s="3">
        <f t="shared" si="523"/>
        <v>0</v>
      </c>
      <c r="T1947" s="3">
        <f>IF(AND($K1947=1,AND(对接源_02物料!$X747="公司筐",N(对接源_02物料!$V747)&lt;&gt;0)),1,0)</f>
        <v>0</v>
      </c>
      <c r="U1947" s="3">
        <f t="shared" si="524"/>
        <v>19</v>
      </c>
      <c r="V1947" s="3">
        <f>IF(AND($L1947=1,AND(对接源_02物料!$X747="自备筐",N(对接源_02物料!$V747)&lt;&gt;0)),1,0)</f>
        <v>0</v>
      </c>
      <c r="W1947" s="3">
        <f t="shared" si="525"/>
        <v>8</v>
      </c>
      <c r="X1947" s="3">
        <f>IF(AND($L1947=1,AND(对接源_02物料!$X747="自备筐",N(对接源_02物料!$T747)&lt;&gt;0)),1,0)</f>
        <v>0</v>
      </c>
      <c r="Y1947" s="3">
        <f t="shared" si="526"/>
        <v>0</v>
      </c>
      <c r="Z1947" s="3">
        <f>IF(AND($M1947=1,对接源_02物料!$D747="原料入库"),1,0)</f>
        <v>0</v>
      </c>
      <c r="AA1947" s="3">
        <f t="shared" si="527"/>
        <v>24</v>
      </c>
      <c r="AB1947" s="3">
        <f>IF(AND($M1947=1,LEFT(对接源_02物料!$D747,4)="原料出库"),1,0)</f>
        <v>0</v>
      </c>
      <c r="AC1947" s="3">
        <f t="shared" si="528"/>
        <v>0</v>
      </c>
      <c r="AD1947" s="3">
        <f>IF(AND($M1947=1,LEFT(对接源_02物料!$D747,4)="成品出库"),1,0)</f>
        <v>0</v>
      </c>
      <c r="AE1947" s="3">
        <f t="shared" si="529"/>
        <v>0</v>
      </c>
      <c r="AF1947" s="3">
        <f>IF(AND($N1947=1,AND(LEFT(对接源_02物料!$D747,4)="包装物料",N(对接源_02物料!$K747)&lt;&gt;0)),1,0)</f>
        <v>0</v>
      </c>
      <c r="AG1947" s="3">
        <f t="shared" si="530"/>
        <v>5</v>
      </c>
      <c r="AH1947" s="3">
        <f>IF(AND($N1947=1,AND(对接源_02物料!$D747="周转筐－销售出库",N(对接源_02物料!$K747)&lt;&gt;0)),1,0)</f>
        <v>0</v>
      </c>
      <c r="AI1947" s="3">
        <f t="shared" si="531"/>
        <v>0</v>
      </c>
      <c r="AL1947" s="3">
        <v>0</v>
      </c>
      <c r="AM1947" s="3">
        <f t="shared" si="532"/>
        <v>1</v>
      </c>
      <c r="AN1947" s="3" t="str">
        <f t="shared" si="519"/>
        <v/>
      </c>
      <c r="AO1947" s="3">
        <v>0</v>
      </c>
      <c r="AP1947" s="3">
        <f t="shared" si="533"/>
        <v>8</v>
      </c>
      <c r="AR1947">
        <f t="shared" si="534"/>
        <v>0</v>
      </c>
      <c r="AS1947">
        <f t="shared" si="535"/>
        <v>5</v>
      </c>
    </row>
    <row r="1948" customHeight="1" spans="1:45">
      <c r="A1948" s="3" t="str">
        <f>IF(对接源_02物料!$C748="","",对接源_02物料!$C748)</f>
        <v/>
      </c>
      <c r="B1948" s="3">
        <f t="shared" si="520"/>
        <v>0</v>
      </c>
      <c r="C1948" s="3">
        <f t="shared" si="521"/>
        <v>21</v>
      </c>
      <c r="K1948" s="3">
        <f>IF(OR($K$1="",对接源_02物料!$C748="",对接源_02物料!$C748&lt;&gt;$K$1,对接源_02物料!$B748=""),0,IF(OR(N(对接源_02物料!$B748)&lt;$K$2,N(对接源_02物料!$B748)&gt;$K$3),0,1))</f>
        <v>0</v>
      </c>
      <c r="L1948" s="3">
        <f>IF(OR($L$1="",对接源_02物料!$C748="",对接源_02物料!$C748&lt;&gt;$L$1,对接源_02物料!$B748=""),0,IF(OR(N(对接源_02物料!$B748)&lt;$L$2,N(对接源_02物料!$B748)&gt;$L$3),0,1))</f>
        <v>0</v>
      </c>
      <c r="M1948" s="3">
        <f>IF(OR($M$1="",对接源_02物料!$C748="",对接源_02物料!$C748&lt;&gt;$M$1,对接源_02物料!$B748=""),0,IF(OR(N(对接源_02物料!$B748)&lt;$M$2,N(对接源_02物料!$B748)&gt;$M$3),0,1))</f>
        <v>0</v>
      </c>
      <c r="N1948" s="3">
        <f>IF(OR($N$1="",对接源_02物料!$C748="",对接源_02物料!$C748&lt;&gt;$N$1,对接源_02物料!$B748=""),0,IF(OR(N(对接源_02物料!$B748)&lt;$N$2,N(对接源_02物料!$B748)&gt;$N$3),0,1))</f>
        <v>0</v>
      </c>
      <c r="P1948" s="3">
        <f>IF(AND($K1948=1,AND(对接源_02物料!$X748="公司筐",N(对接源_02物料!$T748)&lt;&gt;0)),1,0)</f>
        <v>0</v>
      </c>
      <c r="Q1948" s="3">
        <f t="shared" si="522"/>
        <v>8</v>
      </c>
      <c r="R1948" s="3">
        <f>IF(AND($K1948=1,AND(对接源_02物料!$X748="公司筐",N(对接源_02物料!$U748)&lt;&gt;0)),1,0)</f>
        <v>0</v>
      </c>
      <c r="S1948" s="3">
        <f t="shared" si="523"/>
        <v>0</v>
      </c>
      <c r="T1948" s="3">
        <f>IF(AND($K1948=1,AND(对接源_02物料!$X748="公司筐",N(对接源_02物料!$V748)&lt;&gt;0)),1,0)</f>
        <v>0</v>
      </c>
      <c r="U1948" s="3">
        <f t="shared" si="524"/>
        <v>19</v>
      </c>
      <c r="V1948" s="3">
        <f>IF(AND($L1948=1,AND(对接源_02物料!$X748="自备筐",N(对接源_02物料!$V748)&lt;&gt;0)),1,0)</f>
        <v>0</v>
      </c>
      <c r="W1948" s="3">
        <f t="shared" si="525"/>
        <v>8</v>
      </c>
      <c r="X1948" s="3">
        <f>IF(AND($L1948=1,AND(对接源_02物料!$X748="自备筐",N(对接源_02物料!$T748)&lt;&gt;0)),1,0)</f>
        <v>0</v>
      </c>
      <c r="Y1948" s="3">
        <f t="shared" si="526"/>
        <v>0</v>
      </c>
      <c r="Z1948" s="3">
        <f>IF(AND($M1948=1,对接源_02物料!$D748="原料入库"),1,0)</f>
        <v>0</v>
      </c>
      <c r="AA1948" s="3">
        <f t="shared" si="527"/>
        <v>24</v>
      </c>
      <c r="AB1948" s="3">
        <f>IF(AND($M1948=1,LEFT(对接源_02物料!$D748,4)="原料出库"),1,0)</f>
        <v>0</v>
      </c>
      <c r="AC1948" s="3">
        <f t="shared" si="528"/>
        <v>0</v>
      </c>
      <c r="AD1948" s="3">
        <f>IF(AND($M1948=1,LEFT(对接源_02物料!$D748,4)="成品出库"),1,0)</f>
        <v>0</v>
      </c>
      <c r="AE1948" s="3">
        <f t="shared" si="529"/>
        <v>0</v>
      </c>
      <c r="AF1948" s="3">
        <f>IF(AND($N1948=1,AND(LEFT(对接源_02物料!$D748,4)="包装物料",N(对接源_02物料!$K748)&lt;&gt;0)),1,0)</f>
        <v>0</v>
      </c>
      <c r="AG1948" s="3">
        <f t="shared" si="530"/>
        <v>5</v>
      </c>
      <c r="AH1948" s="3">
        <f>IF(AND($N1948=1,AND(对接源_02物料!$D748="周转筐－销售出库",N(对接源_02物料!$K748)&lt;&gt;0)),1,0)</f>
        <v>0</v>
      </c>
      <c r="AI1948" s="3">
        <f t="shared" si="531"/>
        <v>0</v>
      </c>
      <c r="AL1948" s="3">
        <v>0</v>
      </c>
      <c r="AM1948" s="3">
        <f t="shared" si="532"/>
        <v>1</v>
      </c>
      <c r="AN1948" s="3" t="str">
        <f t="shared" si="519"/>
        <v/>
      </c>
      <c r="AO1948" s="3">
        <v>0</v>
      </c>
      <c r="AP1948" s="3">
        <f t="shared" si="533"/>
        <v>8</v>
      </c>
      <c r="AR1948">
        <f t="shared" si="534"/>
        <v>0</v>
      </c>
      <c r="AS1948">
        <f t="shared" si="535"/>
        <v>5</v>
      </c>
    </row>
    <row r="1949" customHeight="1" spans="1:45">
      <c r="A1949" s="3" t="str">
        <f>IF(对接源_02物料!$C749="","",对接源_02物料!$C749)</f>
        <v/>
      </c>
      <c r="B1949" s="3">
        <f t="shared" si="520"/>
        <v>0</v>
      </c>
      <c r="C1949" s="3">
        <f t="shared" si="521"/>
        <v>21</v>
      </c>
      <c r="K1949" s="3">
        <f>IF(OR($K$1="",对接源_02物料!$C749="",对接源_02物料!$C749&lt;&gt;$K$1,对接源_02物料!$B749=""),0,IF(OR(N(对接源_02物料!$B749)&lt;$K$2,N(对接源_02物料!$B749)&gt;$K$3),0,1))</f>
        <v>0</v>
      </c>
      <c r="L1949" s="3">
        <f>IF(OR($L$1="",对接源_02物料!$C749="",对接源_02物料!$C749&lt;&gt;$L$1,对接源_02物料!$B749=""),0,IF(OR(N(对接源_02物料!$B749)&lt;$L$2,N(对接源_02物料!$B749)&gt;$L$3),0,1))</f>
        <v>0</v>
      </c>
      <c r="M1949" s="3">
        <f>IF(OR($M$1="",对接源_02物料!$C749="",对接源_02物料!$C749&lt;&gt;$M$1,对接源_02物料!$B749=""),0,IF(OR(N(对接源_02物料!$B749)&lt;$M$2,N(对接源_02物料!$B749)&gt;$M$3),0,1))</f>
        <v>0</v>
      </c>
      <c r="N1949" s="3">
        <f>IF(OR($N$1="",对接源_02物料!$C749="",对接源_02物料!$C749&lt;&gt;$N$1,对接源_02物料!$B749=""),0,IF(OR(N(对接源_02物料!$B749)&lt;$N$2,N(对接源_02物料!$B749)&gt;$N$3),0,1))</f>
        <v>0</v>
      </c>
      <c r="P1949" s="3">
        <f>IF(AND($K1949=1,AND(对接源_02物料!$X749="公司筐",N(对接源_02物料!$T749)&lt;&gt;0)),1,0)</f>
        <v>0</v>
      </c>
      <c r="Q1949" s="3">
        <f t="shared" si="522"/>
        <v>8</v>
      </c>
      <c r="R1949" s="3">
        <f>IF(AND($K1949=1,AND(对接源_02物料!$X749="公司筐",N(对接源_02物料!$U749)&lt;&gt;0)),1,0)</f>
        <v>0</v>
      </c>
      <c r="S1949" s="3">
        <f t="shared" si="523"/>
        <v>0</v>
      </c>
      <c r="T1949" s="3">
        <f>IF(AND($K1949=1,AND(对接源_02物料!$X749="公司筐",N(对接源_02物料!$V749)&lt;&gt;0)),1,0)</f>
        <v>0</v>
      </c>
      <c r="U1949" s="3">
        <f t="shared" si="524"/>
        <v>19</v>
      </c>
      <c r="V1949" s="3">
        <f>IF(AND($L1949=1,AND(对接源_02物料!$X749="自备筐",N(对接源_02物料!$V749)&lt;&gt;0)),1,0)</f>
        <v>0</v>
      </c>
      <c r="W1949" s="3">
        <f t="shared" si="525"/>
        <v>8</v>
      </c>
      <c r="X1949" s="3">
        <f>IF(AND($L1949=1,AND(对接源_02物料!$X749="自备筐",N(对接源_02物料!$T749)&lt;&gt;0)),1,0)</f>
        <v>0</v>
      </c>
      <c r="Y1949" s="3">
        <f t="shared" si="526"/>
        <v>0</v>
      </c>
      <c r="Z1949" s="3">
        <f>IF(AND($M1949=1,对接源_02物料!$D749="原料入库"),1,0)</f>
        <v>0</v>
      </c>
      <c r="AA1949" s="3">
        <f t="shared" si="527"/>
        <v>24</v>
      </c>
      <c r="AB1949" s="3">
        <f>IF(AND($M1949=1,LEFT(对接源_02物料!$D749,4)="原料出库"),1,0)</f>
        <v>0</v>
      </c>
      <c r="AC1949" s="3">
        <f t="shared" si="528"/>
        <v>0</v>
      </c>
      <c r="AD1949" s="3">
        <f>IF(AND($M1949=1,LEFT(对接源_02物料!$D749,4)="成品出库"),1,0)</f>
        <v>0</v>
      </c>
      <c r="AE1949" s="3">
        <f t="shared" si="529"/>
        <v>0</v>
      </c>
      <c r="AF1949" s="3">
        <f>IF(AND($N1949=1,AND(LEFT(对接源_02物料!$D749,4)="包装物料",N(对接源_02物料!$K749)&lt;&gt;0)),1,0)</f>
        <v>0</v>
      </c>
      <c r="AG1949" s="3">
        <f t="shared" si="530"/>
        <v>5</v>
      </c>
      <c r="AH1949" s="3">
        <f>IF(AND($N1949=1,AND(对接源_02物料!$D749="周转筐－销售出库",N(对接源_02物料!$K749)&lt;&gt;0)),1,0)</f>
        <v>0</v>
      </c>
      <c r="AI1949" s="3">
        <f t="shared" si="531"/>
        <v>0</v>
      </c>
      <c r="AL1949" s="3">
        <v>0</v>
      </c>
      <c r="AM1949" s="3">
        <f t="shared" si="532"/>
        <v>1</v>
      </c>
      <c r="AN1949" s="3" t="str">
        <f t="shared" si="519"/>
        <v/>
      </c>
      <c r="AO1949" s="3">
        <v>0</v>
      </c>
      <c r="AP1949" s="3">
        <f t="shared" si="533"/>
        <v>8</v>
      </c>
      <c r="AR1949">
        <f t="shared" si="534"/>
        <v>0</v>
      </c>
      <c r="AS1949">
        <f t="shared" si="535"/>
        <v>5</v>
      </c>
    </row>
    <row r="1950" customHeight="1" spans="1:45">
      <c r="A1950" s="3" t="str">
        <f>IF(对接源_02物料!$C750="","",对接源_02物料!$C750)</f>
        <v/>
      </c>
      <c r="B1950" s="3">
        <f t="shared" si="520"/>
        <v>0</v>
      </c>
      <c r="C1950" s="3">
        <f t="shared" si="521"/>
        <v>21</v>
      </c>
      <c r="K1950" s="3">
        <f>IF(OR($K$1="",对接源_02物料!$C750="",对接源_02物料!$C750&lt;&gt;$K$1,对接源_02物料!$B750=""),0,IF(OR(N(对接源_02物料!$B750)&lt;$K$2,N(对接源_02物料!$B750)&gt;$K$3),0,1))</f>
        <v>0</v>
      </c>
      <c r="L1950" s="3">
        <f>IF(OR($L$1="",对接源_02物料!$C750="",对接源_02物料!$C750&lt;&gt;$L$1,对接源_02物料!$B750=""),0,IF(OR(N(对接源_02物料!$B750)&lt;$L$2,N(对接源_02物料!$B750)&gt;$L$3),0,1))</f>
        <v>0</v>
      </c>
      <c r="M1950" s="3">
        <f>IF(OR($M$1="",对接源_02物料!$C750="",对接源_02物料!$C750&lt;&gt;$M$1,对接源_02物料!$B750=""),0,IF(OR(N(对接源_02物料!$B750)&lt;$M$2,N(对接源_02物料!$B750)&gt;$M$3),0,1))</f>
        <v>0</v>
      </c>
      <c r="N1950" s="3">
        <f>IF(OR($N$1="",对接源_02物料!$C750="",对接源_02物料!$C750&lt;&gt;$N$1,对接源_02物料!$B750=""),0,IF(OR(N(对接源_02物料!$B750)&lt;$N$2,N(对接源_02物料!$B750)&gt;$N$3),0,1))</f>
        <v>0</v>
      </c>
      <c r="P1950" s="3">
        <f>IF(AND($K1950=1,AND(对接源_02物料!$X750="公司筐",N(对接源_02物料!$T750)&lt;&gt;0)),1,0)</f>
        <v>0</v>
      </c>
      <c r="Q1950" s="3">
        <f t="shared" si="522"/>
        <v>8</v>
      </c>
      <c r="R1950" s="3">
        <f>IF(AND($K1950=1,AND(对接源_02物料!$X750="公司筐",N(对接源_02物料!$U750)&lt;&gt;0)),1,0)</f>
        <v>0</v>
      </c>
      <c r="S1950" s="3">
        <f t="shared" si="523"/>
        <v>0</v>
      </c>
      <c r="T1950" s="3">
        <f>IF(AND($K1950=1,AND(对接源_02物料!$X750="公司筐",N(对接源_02物料!$V750)&lt;&gt;0)),1,0)</f>
        <v>0</v>
      </c>
      <c r="U1950" s="3">
        <f t="shared" si="524"/>
        <v>19</v>
      </c>
      <c r="V1950" s="3">
        <f>IF(AND($L1950=1,AND(对接源_02物料!$X750="自备筐",N(对接源_02物料!$V750)&lt;&gt;0)),1,0)</f>
        <v>0</v>
      </c>
      <c r="W1950" s="3">
        <f t="shared" si="525"/>
        <v>8</v>
      </c>
      <c r="X1950" s="3">
        <f>IF(AND($L1950=1,AND(对接源_02物料!$X750="自备筐",N(对接源_02物料!$T750)&lt;&gt;0)),1,0)</f>
        <v>0</v>
      </c>
      <c r="Y1950" s="3">
        <f t="shared" si="526"/>
        <v>0</v>
      </c>
      <c r="Z1950" s="3">
        <f>IF(AND($M1950=1,对接源_02物料!$D750="原料入库"),1,0)</f>
        <v>0</v>
      </c>
      <c r="AA1950" s="3">
        <f t="shared" si="527"/>
        <v>24</v>
      </c>
      <c r="AB1950" s="3">
        <f>IF(AND($M1950=1,LEFT(对接源_02物料!$D750,4)="原料出库"),1,0)</f>
        <v>0</v>
      </c>
      <c r="AC1950" s="3">
        <f t="shared" si="528"/>
        <v>0</v>
      </c>
      <c r="AD1950" s="3">
        <f>IF(AND($M1950=1,LEFT(对接源_02物料!$D750,4)="成品出库"),1,0)</f>
        <v>0</v>
      </c>
      <c r="AE1950" s="3">
        <f t="shared" si="529"/>
        <v>0</v>
      </c>
      <c r="AF1950" s="3">
        <f>IF(AND($N1950=1,AND(LEFT(对接源_02物料!$D750,4)="包装物料",N(对接源_02物料!$K750)&lt;&gt;0)),1,0)</f>
        <v>0</v>
      </c>
      <c r="AG1950" s="3">
        <f t="shared" si="530"/>
        <v>5</v>
      </c>
      <c r="AH1950" s="3">
        <f>IF(AND($N1950=1,AND(对接源_02物料!$D750="周转筐－销售出库",N(对接源_02物料!$K750)&lt;&gt;0)),1,0)</f>
        <v>0</v>
      </c>
      <c r="AI1950" s="3">
        <f t="shared" si="531"/>
        <v>0</v>
      </c>
      <c r="AL1950" s="3">
        <v>0</v>
      </c>
      <c r="AM1950" s="3">
        <f t="shared" si="532"/>
        <v>1</v>
      </c>
      <c r="AN1950" s="3" t="str">
        <f t="shared" si="519"/>
        <v/>
      </c>
      <c r="AO1950" s="3">
        <v>0</v>
      </c>
      <c r="AP1950" s="3">
        <f t="shared" si="533"/>
        <v>8</v>
      </c>
      <c r="AR1950">
        <f t="shared" si="534"/>
        <v>0</v>
      </c>
      <c r="AS1950">
        <f t="shared" si="535"/>
        <v>5</v>
      </c>
    </row>
    <row r="1951" customHeight="1" spans="1:45">
      <c r="A1951" s="3" t="str">
        <f>IF(对接源_02物料!$C751="","",对接源_02物料!$C751)</f>
        <v/>
      </c>
      <c r="B1951" s="3">
        <f t="shared" si="520"/>
        <v>0</v>
      </c>
      <c r="C1951" s="3">
        <f t="shared" si="521"/>
        <v>21</v>
      </c>
      <c r="K1951" s="3">
        <f>IF(OR($K$1="",对接源_02物料!$C751="",对接源_02物料!$C751&lt;&gt;$K$1,对接源_02物料!$B751=""),0,IF(OR(N(对接源_02物料!$B751)&lt;$K$2,N(对接源_02物料!$B751)&gt;$K$3),0,1))</f>
        <v>0</v>
      </c>
      <c r="L1951" s="3">
        <f>IF(OR($L$1="",对接源_02物料!$C751="",对接源_02物料!$C751&lt;&gt;$L$1,对接源_02物料!$B751=""),0,IF(OR(N(对接源_02物料!$B751)&lt;$L$2,N(对接源_02物料!$B751)&gt;$L$3),0,1))</f>
        <v>0</v>
      </c>
      <c r="M1951" s="3">
        <f>IF(OR($M$1="",对接源_02物料!$C751="",对接源_02物料!$C751&lt;&gt;$M$1,对接源_02物料!$B751=""),0,IF(OR(N(对接源_02物料!$B751)&lt;$M$2,N(对接源_02物料!$B751)&gt;$M$3),0,1))</f>
        <v>0</v>
      </c>
      <c r="N1951" s="3">
        <f>IF(OR($N$1="",对接源_02物料!$C751="",对接源_02物料!$C751&lt;&gt;$N$1,对接源_02物料!$B751=""),0,IF(OR(N(对接源_02物料!$B751)&lt;$N$2,N(对接源_02物料!$B751)&gt;$N$3),0,1))</f>
        <v>0</v>
      </c>
      <c r="P1951" s="3">
        <f>IF(AND($K1951=1,AND(对接源_02物料!$X751="公司筐",N(对接源_02物料!$T751)&lt;&gt;0)),1,0)</f>
        <v>0</v>
      </c>
      <c r="Q1951" s="3">
        <f t="shared" si="522"/>
        <v>8</v>
      </c>
      <c r="R1951" s="3">
        <f>IF(AND($K1951=1,AND(对接源_02物料!$X751="公司筐",N(对接源_02物料!$U751)&lt;&gt;0)),1,0)</f>
        <v>0</v>
      </c>
      <c r="S1951" s="3">
        <f t="shared" si="523"/>
        <v>0</v>
      </c>
      <c r="T1951" s="3">
        <f>IF(AND($K1951=1,AND(对接源_02物料!$X751="公司筐",N(对接源_02物料!$V751)&lt;&gt;0)),1,0)</f>
        <v>0</v>
      </c>
      <c r="U1951" s="3">
        <f t="shared" si="524"/>
        <v>19</v>
      </c>
      <c r="V1951" s="3">
        <f>IF(AND($L1951=1,AND(对接源_02物料!$X751="自备筐",N(对接源_02物料!$V751)&lt;&gt;0)),1,0)</f>
        <v>0</v>
      </c>
      <c r="W1951" s="3">
        <f t="shared" si="525"/>
        <v>8</v>
      </c>
      <c r="X1951" s="3">
        <f>IF(AND($L1951=1,AND(对接源_02物料!$X751="自备筐",N(对接源_02物料!$T751)&lt;&gt;0)),1,0)</f>
        <v>0</v>
      </c>
      <c r="Y1951" s="3">
        <f t="shared" si="526"/>
        <v>0</v>
      </c>
      <c r="Z1951" s="3">
        <f>IF(AND($M1951=1,对接源_02物料!$D751="原料入库"),1,0)</f>
        <v>0</v>
      </c>
      <c r="AA1951" s="3">
        <f t="shared" si="527"/>
        <v>24</v>
      </c>
      <c r="AB1951" s="3">
        <f>IF(AND($M1951=1,LEFT(对接源_02物料!$D751,4)="原料出库"),1,0)</f>
        <v>0</v>
      </c>
      <c r="AC1951" s="3">
        <f t="shared" si="528"/>
        <v>0</v>
      </c>
      <c r="AD1951" s="3">
        <f>IF(AND($M1951=1,LEFT(对接源_02物料!$D751,4)="成品出库"),1,0)</f>
        <v>0</v>
      </c>
      <c r="AE1951" s="3">
        <f t="shared" si="529"/>
        <v>0</v>
      </c>
      <c r="AF1951" s="3">
        <f>IF(AND($N1951=1,AND(LEFT(对接源_02物料!$D751,4)="包装物料",N(对接源_02物料!$K751)&lt;&gt;0)),1,0)</f>
        <v>0</v>
      </c>
      <c r="AG1951" s="3">
        <f t="shared" si="530"/>
        <v>5</v>
      </c>
      <c r="AH1951" s="3">
        <f>IF(AND($N1951=1,AND(对接源_02物料!$D751="周转筐－销售出库",N(对接源_02物料!$K751)&lt;&gt;0)),1,0)</f>
        <v>0</v>
      </c>
      <c r="AI1951" s="3">
        <f t="shared" si="531"/>
        <v>0</v>
      </c>
      <c r="AL1951" s="3">
        <v>0</v>
      </c>
      <c r="AM1951" s="3">
        <f t="shared" si="532"/>
        <v>1</v>
      </c>
      <c r="AN1951" s="3" t="str">
        <f t="shared" si="519"/>
        <v/>
      </c>
      <c r="AO1951" s="3">
        <v>0</v>
      </c>
      <c r="AP1951" s="3">
        <f t="shared" si="533"/>
        <v>8</v>
      </c>
      <c r="AR1951">
        <f t="shared" si="534"/>
        <v>0</v>
      </c>
      <c r="AS1951">
        <f t="shared" si="535"/>
        <v>5</v>
      </c>
    </row>
    <row r="1952" customHeight="1" spans="1:45">
      <c r="A1952" s="3" t="str">
        <f>IF(对接源_02物料!$C752="","",对接源_02物料!$C752)</f>
        <v/>
      </c>
      <c r="B1952" s="3">
        <f t="shared" si="520"/>
        <v>0</v>
      </c>
      <c r="C1952" s="3">
        <f t="shared" si="521"/>
        <v>21</v>
      </c>
      <c r="K1952" s="3">
        <f>IF(OR($K$1="",对接源_02物料!$C752="",对接源_02物料!$C752&lt;&gt;$K$1,对接源_02物料!$B752=""),0,IF(OR(N(对接源_02物料!$B752)&lt;$K$2,N(对接源_02物料!$B752)&gt;$K$3),0,1))</f>
        <v>0</v>
      </c>
      <c r="L1952" s="3">
        <f>IF(OR($L$1="",对接源_02物料!$C752="",对接源_02物料!$C752&lt;&gt;$L$1,对接源_02物料!$B752=""),0,IF(OR(N(对接源_02物料!$B752)&lt;$L$2,N(对接源_02物料!$B752)&gt;$L$3),0,1))</f>
        <v>0</v>
      </c>
      <c r="M1952" s="3">
        <f>IF(OR($M$1="",对接源_02物料!$C752="",对接源_02物料!$C752&lt;&gt;$M$1,对接源_02物料!$B752=""),0,IF(OR(N(对接源_02物料!$B752)&lt;$M$2,N(对接源_02物料!$B752)&gt;$M$3),0,1))</f>
        <v>0</v>
      </c>
      <c r="N1952" s="3">
        <f>IF(OR($N$1="",对接源_02物料!$C752="",对接源_02物料!$C752&lt;&gt;$N$1,对接源_02物料!$B752=""),0,IF(OR(N(对接源_02物料!$B752)&lt;$N$2,N(对接源_02物料!$B752)&gt;$N$3),0,1))</f>
        <v>0</v>
      </c>
      <c r="P1952" s="3">
        <f>IF(AND($K1952=1,AND(对接源_02物料!$X752="公司筐",N(对接源_02物料!$T752)&lt;&gt;0)),1,0)</f>
        <v>0</v>
      </c>
      <c r="Q1952" s="3">
        <f t="shared" si="522"/>
        <v>8</v>
      </c>
      <c r="R1952" s="3">
        <f>IF(AND($K1952=1,AND(对接源_02物料!$X752="公司筐",N(对接源_02物料!$U752)&lt;&gt;0)),1,0)</f>
        <v>0</v>
      </c>
      <c r="S1952" s="3">
        <f t="shared" si="523"/>
        <v>0</v>
      </c>
      <c r="T1952" s="3">
        <f>IF(AND($K1952=1,AND(对接源_02物料!$X752="公司筐",N(对接源_02物料!$V752)&lt;&gt;0)),1,0)</f>
        <v>0</v>
      </c>
      <c r="U1952" s="3">
        <f t="shared" si="524"/>
        <v>19</v>
      </c>
      <c r="V1952" s="3">
        <f>IF(AND($L1952=1,AND(对接源_02物料!$X752="自备筐",N(对接源_02物料!$V752)&lt;&gt;0)),1,0)</f>
        <v>0</v>
      </c>
      <c r="W1952" s="3">
        <f t="shared" si="525"/>
        <v>8</v>
      </c>
      <c r="X1952" s="3">
        <f>IF(AND($L1952=1,AND(对接源_02物料!$X752="自备筐",N(对接源_02物料!$T752)&lt;&gt;0)),1,0)</f>
        <v>0</v>
      </c>
      <c r="Y1952" s="3">
        <f t="shared" si="526"/>
        <v>0</v>
      </c>
      <c r="Z1952" s="3">
        <f>IF(AND($M1952=1,对接源_02物料!$D752="原料入库"),1,0)</f>
        <v>0</v>
      </c>
      <c r="AA1952" s="3">
        <f t="shared" si="527"/>
        <v>24</v>
      </c>
      <c r="AB1952" s="3">
        <f>IF(AND($M1952=1,LEFT(对接源_02物料!$D752,4)="原料出库"),1,0)</f>
        <v>0</v>
      </c>
      <c r="AC1952" s="3">
        <f t="shared" si="528"/>
        <v>0</v>
      </c>
      <c r="AD1952" s="3">
        <f>IF(AND($M1952=1,LEFT(对接源_02物料!$D752,4)="成品出库"),1,0)</f>
        <v>0</v>
      </c>
      <c r="AE1952" s="3">
        <f t="shared" si="529"/>
        <v>0</v>
      </c>
      <c r="AF1952" s="3">
        <f>IF(AND($N1952=1,AND(LEFT(对接源_02物料!$D752,4)="包装物料",N(对接源_02物料!$K752)&lt;&gt;0)),1,0)</f>
        <v>0</v>
      </c>
      <c r="AG1952" s="3">
        <f t="shared" si="530"/>
        <v>5</v>
      </c>
      <c r="AH1952" s="3">
        <f>IF(AND($N1952=1,AND(对接源_02物料!$D752="周转筐－销售出库",N(对接源_02物料!$K752)&lt;&gt;0)),1,0)</f>
        <v>0</v>
      </c>
      <c r="AI1952" s="3">
        <f t="shared" si="531"/>
        <v>0</v>
      </c>
      <c r="AL1952" s="3">
        <v>0</v>
      </c>
      <c r="AM1952" s="3">
        <f t="shared" si="532"/>
        <v>1</v>
      </c>
      <c r="AN1952" s="3" t="str">
        <f t="shared" si="519"/>
        <v/>
      </c>
      <c r="AO1952" s="3">
        <v>0</v>
      </c>
      <c r="AP1952" s="3">
        <f t="shared" si="533"/>
        <v>8</v>
      </c>
      <c r="AR1952">
        <f t="shared" si="534"/>
        <v>0</v>
      </c>
      <c r="AS1952">
        <f t="shared" si="535"/>
        <v>5</v>
      </c>
    </row>
    <row r="1953" customHeight="1" spans="1:45">
      <c r="A1953" s="3" t="str">
        <f>IF(对接源_02物料!$C753="","",对接源_02物料!$C753)</f>
        <v/>
      </c>
      <c r="B1953" s="3">
        <f t="shared" si="520"/>
        <v>0</v>
      </c>
      <c r="C1953" s="3">
        <f t="shared" si="521"/>
        <v>21</v>
      </c>
      <c r="K1953" s="3">
        <f>IF(OR($K$1="",对接源_02物料!$C753="",对接源_02物料!$C753&lt;&gt;$K$1,对接源_02物料!$B753=""),0,IF(OR(N(对接源_02物料!$B753)&lt;$K$2,N(对接源_02物料!$B753)&gt;$K$3),0,1))</f>
        <v>0</v>
      </c>
      <c r="L1953" s="3">
        <f>IF(OR($L$1="",对接源_02物料!$C753="",对接源_02物料!$C753&lt;&gt;$L$1,对接源_02物料!$B753=""),0,IF(OR(N(对接源_02物料!$B753)&lt;$L$2,N(对接源_02物料!$B753)&gt;$L$3),0,1))</f>
        <v>0</v>
      </c>
      <c r="M1953" s="3">
        <f>IF(OR($M$1="",对接源_02物料!$C753="",对接源_02物料!$C753&lt;&gt;$M$1,对接源_02物料!$B753=""),0,IF(OR(N(对接源_02物料!$B753)&lt;$M$2,N(对接源_02物料!$B753)&gt;$M$3),0,1))</f>
        <v>0</v>
      </c>
      <c r="N1953" s="3">
        <f>IF(OR($N$1="",对接源_02物料!$C753="",对接源_02物料!$C753&lt;&gt;$N$1,对接源_02物料!$B753=""),0,IF(OR(N(对接源_02物料!$B753)&lt;$N$2,N(对接源_02物料!$B753)&gt;$N$3),0,1))</f>
        <v>0</v>
      </c>
      <c r="P1953" s="3">
        <f>IF(AND($K1953=1,AND(对接源_02物料!$X753="公司筐",N(对接源_02物料!$T753)&lt;&gt;0)),1,0)</f>
        <v>0</v>
      </c>
      <c r="Q1953" s="3">
        <f t="shared" si="522"/>
        <v>8</v>
      </c>
      <c r="R1953" s="3">
        <f>IF(AND($K1953=1,AND(对接源_02物料!$X753="公司筐",N(对接源_02物料!$U753)&lt;&gt;0)),1,0)</f>
        <v>0</v>
      </c>
      <c r="S1953" s="3">
        <f t="shared" si="523"/>
        <v>0</v>
      </c>
      <c r="T1953" s="3">
        <f>IF(AND($K1953=1,AND(对接源_02物料!$X753="公司筐",N(对接源_02物料!$V753)&lt;&gt;0)),1,0)</f>
        <v>0</v>
      </c>
      <c r="U1953" s="3">
        <f t="shared" si="524"/>
        <v>19</v>
      </c>
      <c r="V1953" s="3">
        <f>IF(AND($L1953=1,AND(对接源_02物料!$X753="自备筐",N(对接源_02物料!$V753)&lt;&gt;0)),1,0)</f>
        <v>0</v>
      </c>
      <c r="W1953" s="3">
        <f t="shared" si="525"/>
        <v>8</v>
      </c>
      <c r="X1953" s="3">
        <f>IF(AND($L1953=1,AND(对接源_02物料!$X753="自备筐",N(对接源_02物料!$T753)&lt;&gt;0)),1,0)</f>
        <v>0</v>
      </c>
      <c r="Y1953" s="3">
        <f t="shared" si="526"/>
        <v>0</v>
      </c>
      <c r="Z1953" s="3">
        <f>IF(AND($M1953=1,对接源_02物料!$D753="原料入库"),1,0)</f>
        <v>0</v>
      </c>
      <c r="AA1953" s="3">
        <f t="shared" si="527"/>
        <v>24</v>
      </c>
      <c r="AB1953" s="3">
        <f>IF(AND($M1953=1,LEFT(对接源_02物料!$D753,4)="原料出库"),1,0)</f>
        <v>0</v>
      </c>
      <c r="AC1953" s="3">
        <f t="shared" si="528"/>
        <v>0</v>
      </c>
      <c r="AD1953" s="3">
        <f>IF(AND($M1953=1,LEFT(对接源_02物料!$D753,4)="成品出库"),1,0)</f>
        <v>0</v>
      </c>
      <c r="AE1953" s="3">
        <f t="shared" si="529"/>
        <v>0</v>
      </c>
      <c r="AF1953" s="3">
        <f>IF(AND($N1953=1,AND(LEFT(对接源_02物料!$D753,4)="包装物料",N(对接源_02物料!$K753)&lt;&gt;0)),1,0)</f>
        <v>0</v>
      </c>
      <c r="AG1953" s="3">
        <f t="shared" si="530"/>
        <v>5</v>
      </c>
      <c r="AH1953" s="3">
        <f>IF(AND($N1953=1,AND(对接源_02物料!$D753="周转筐－销售出库",N(对接源_02物料!$K753)&lt;&gt;0)),1,0)</f>
        <v>0</v>
      </c>
      <c r="AI1953" s="3">
        <f t="shared" si="531"/>
        <v>0</v>
      </c>
      <c r="AL1953" s="3">
        <v>0</v>
      </c>
      <c r="AM1953" s="3">
        <f t="shared" si="532"/>
        <v>1</v>
      </c>
      <c r="AN1953" s="3" t="str">
        <f t="shared" si="519"/>
        <v/>
      </c>
      <c r="AO1953" s="3">
        <v>0</v>
      </c>
      <c r="AP1953" s="3">
        <f t="shared" si="533"/>
        <v>8</v>
      </c>
      <c r="AR1953">
        <f t="shared" si="534"/>
        <v>0</v>
      </c>
      <c r="AS1953">
        <f t="shared" si="535"/>
        <v>5</v>
      </c>
    </row>
    <row r="1954" customHeight="1" spans="1:45">
      <c r="A1954" s="3" t="str">
        <f>IF(对接源_02物料!$C754="","",对接源_02物料!$C754)</f>
        <v/>
      </c>
      <c r="B1954" s="3">
        <f t="shared" si="520"/>
        <v>0</v>
      </c>
      <c r="C1954" s="3">
        <f t="shared" si="521"/>
        <v>21</v>
      </c>
      <c r="K1954" s="3">
        <f>IF(OR($K$1="",对接源_02物料!$C754="",对接源_02物料!$C754&lt;&gt;$K$1,对接源_02物料!$B754=""),0,IF(OR(N(对接源_02物料!$B754)&lt;$K$2,N(对接源_02物料!$B754)&gt;$K$3),0,1))</f>
        <v>0</v>
      </c>
      <c r="L1954" s="3">
        <f>IF(OR($L$1="",对接源_02物料!$C754="",对接源_02物料!$C754&lt;&gt;$L$1,对接源_02物料!$B754=""),0,IF(OR(N(对接源_02物料!$B754)&lt;$L$2,N(对接源_02物料!$B754)&gt;$L$3),0,1))</f>
        <v>0</v>
      </c>
      <c r="M1954" s="3">
        <f>IF(OR($M$1="",对接源_02物料!$C754="",对接源_02物料!$C754&lt;&gt;$M$1,对接源_02物料!$B754=""),0,IF(OR(N(对接源_02物料!$B754)&lt;$M$2,N(对接源_02物料!$B754)&gt;$M$3),0,1))</f>
        <v>0</v>
      </c>
      <c r="N1954" s="3">
        <f>IF(OR($N$1="",对接源_02物料!$C754="",对接源_02物料!$C754&lt;&gt;$N$1,对接源_02物料!$B754=""),0,IF(OR(N(对接源_02物料!$B754)&lt;$N$2,N(对接源_02物料!$B754)&gt;$N$3),0,1))</f>
        <v>0</v>
      </c>
      <c r="P1954" s="3">
        <f>IF(AND($K1954=1,AND(对接源_02物料!$X754="公司筐",N(对接源_02物料!$T754)&lt;&gt;0)),1,0)</f>
        <v>0</v>
      </c>
      <c r="Q1954" s="3">
        <f t="shared" si="522"/>
        <v>8</v>
      </c>
      <c r="R1954" s="3">
        <f>IF(AND($K1954=1,AND(对接源_02物料!$X754="公司筐",N(对接源_02物料!$U754)&lt;&gt;0)),1,0)</f>
        <v>0</v>
      </c>
      <c r="S1954" s="3">
        <f t="shared" si="523"/>
        <v>0</v>
      </c>
      <c r="T1954" s="3">
        <f>IF(AND($K1954=1,AND(对接源_02物料!$X754="公司筐",N(对接源_02物料!$V754)&lt;&gt;0)),1,0)</f>
        <v>0</v>
      </c>
      <c r="U1954" s="3">
        <f t="shared" si="524"/>
        <v>19</v>
      </c>
      <c r="V1954" s="3">
        <f>IF(AND($L1954=1,AND(对接源_02物料!$X754="自备筐",N(对接源_02物料!$V754)&lt;&gt;0)),1,0)</f>
        <v>0</v>
      </c>
      <c r="W1954" s="3">
        <f t="shared" si="525"/>
        <v>8</v>
      </c>
      <c r="X1954" s="3">
        <f>IF(AND($L1954=1,AND(对接源_02物料!$X754="自备筐",N(对接源_02物料!$T754)&lt;&gt;0)),1,0)</f>
        <v>0</v>
      </c>
      <c r="Y1954" s="3">
        <f t="shared" si="526"/>
        <v>0</v>
      </c>
      <c r="Z1954" s="3">
        <f>IF(AND($M1954=1,对接源_02物料!$D754="原料入库"),1,0)</f>
        <v>0</v>
      </c>
      <c r="AA1954" s="3">
        <f t="shared" si="527"/>
        <v>24</v>
      </c>
      <c r="AB1954" s="3">
        <f>IF(AND($M1954=1,LEFT(对接源_02物料!$D754,4)="原料出库"),1,0)</f>
        <v>0</v>
      </c>
      <c r="AC1954" s="3">
        <f t="shared" si="528"/>
        <v>0</v>
      </c>
      <c r="AD1954" s="3">
        <f>IF(AND($M1954=1,LEFT(对接源_02物料!$D754,4)="成品出库"),1,0)</f>
        <v>0</v>
      </c>
      <c r="AE1954" s="3">
        <f t="shared" si="529"/>
        <v>0</v>
      </c>
      <c r="AF1954" s="3">
        <f>IF(AND($N1954=1,AND(LEFT(对接源_02物料!$D754,4)="包装物料",N(对接源_02物料!$K754)&lt;&gt;0)),1,0)</f>
        <v>0</v>
      </c>
      <c r="AG1954" s="3">
        <f t="shared" si="530"/>
        <v>5</v>
      </c>
      <c r="AH1954" s="3">
        <f>IF(AND($N1954=1,AND(对接源_02物料!$D754="周转筐－销售出库",N(对接源_02物料!$K754)&lt;&gt;0)),1,0)</f>
        <v>0</v>
      </c>
      <c r="AI1954" s="3">
        <f t="shared" si="531"/>
        <v>0</v>
      </c>
      <c r="AL1954" s="3">
        <v>0</v>
      </c>
      <c r="AM1954" s="3">
        <f t="shared" si="532"/>
        <v>1</v>
      </c>
      <c r="AN1954" s="3" t="str">
        <f t="shared" si="519"/>
        <v/>
      </c>
      <c r="AO1954" s="3">
        <v>0</v>
      </c>
      <c r="AP1954" s="3">
        <f t="shared" si="533"/>
        <v>8</v>
      </c>
      <c r="AR1954">
        <f t="shared" si="534"/>
        <v>0</v>
      </c>
      <c r="AS1954">
        <f t="shared" si="535"/>
        <v>5</v>
      </c>
    </row>
    <row r="1955" customHeight="1" spans="1:45">
      <c r="A1955" s="3" t="str">
        <f>IF(对接源_02物料!$C755="","",对接源_02物料!$C755)</f>
        <v/>
      </c>
      <c r="B1955" s="3">
        <f t="shared" si="520"/>
        <v>0</v>
      </c>
      <c r="C1955" s="3">
        <f t="shared" si="521"/>
        <v>21</v>
      </c>
      <c r="K1955" s="3">
        <f>IF(OR($K$1="",对接源_02物料!$C755="",对接源_02物料!$C755&lt;&gt;$K$1,对接源_02物料!$B755=""),0,IF(OR(N(对接源_02物料!$B755)&lt;$K$2,N(对接源_02物料!$B755)&gt;$K$3),0,1))</f>
        <v>0</v>
      </c>
      <c r="L1955" s="3">
        <f>IF(OR($L$1="",对接源_02物料!$C755="",对接源_02物料!$C755&lt;&gt;$L$1,对接源_02物料!$B755=""),0,IF(OR(N(对接源_02物料!$B755)&lt;$L$2,N(对接源_02物料!$B755)&gt;$L$3),0,1))</f>
        <v>0</v>
      </c>
      <c r="M1955" s="3">
        <f>IF(OR($M$1="",对接源_02物料!$C755="",对接源_02物料!$C755&lt;&gt;$M$1,对接源_02物料!$B755=""),0,IF(OR(N(对接源_02物料!$B755)&lt;$M$2,N(对接源_02物料!$B755)&gt;$M$3),0,1))</f>
        <v>0</v>
      </c>
      <c r="N1955" s="3">
        <f>IF(OR($N$1="",对接源_02物料!$C755="",对接源_02物料!$C755&lt;&gt;$N$1,对接源_02物料!$B755=""),0,IF(OR(N(对接源_02物料!$B755)&lt;$N$2,N(对接源_02物料!$B755)&gt;$N$3),0,1))</f>
        <v>0</v>
      </c>
      <c r="P1955" s="3">
        <f>IF(AND($K1955=1,AND(对接源_02物料!$X755="公司筐",N(对接源_02物料!$T755)&lt;&gt;0)),1,0)</f>
        <v>0</v>
      </c>
      <c r="Q1955" s="3">
        <f t="shared" si="522"/>
        <v>8</v>
      </c>
      <c r="R1955" s="3">
        <f>IF(AND($K1955=1,AND(对接源_02物料!$X755="公司筐",N(对接源_02物料!$U755)&lt;&gt;0)),1,0)</f>
        <v>0</v>
      </c>
      <c r="S1955" s="3">
        <f t="shared" si="523"/>
        <v>0</v>
      </c>
      <c r="T1955" s="3">
        <f>IF(AND($K1955=1,AND(对接源_02物料!$X755="公司筐",N(对接源_02物料!$V755)&lt;&gt;0)),1,0)</f>
        <v>0</v>
      </c>
      <c r="U1955" s="3">
        <f t="shared" si="524"/>
        <v>19</v>
      </c>
      <c r="V1955" s="3">
        <f>IF(AND($L1955=1,AND(对接源_02物料!$X755="自备筐",N(对接源_02物料!$V755)&lt;&gt;0)),1,0)</f>
        <v>0</v>
      </c>
      <c r="W1955" s="3">
        <f t="shared" si="525"/>
        <v>8</v>
      </c>
      <c r="X1955" s="3">
        <f>IF(AND($L1955=1,AND(对接源_02物料!$X755="自备筐",N(对接源_02物料!$T755)&lt;&gt;0)),1,0)</f>
        <v>0</v>
      </c>
      <c r="Y1955" s="3">
        <f t="shared" si="526"/>
        <v>0</v>
      </c>
      <c r="Z1955" s="3">
        <f>IF(AND($M1955=1,对接源_02物料!$D755="原料入库"),1,0)</f>
        <v>0</v>
      </c>
      <c r="AA1955" s="3">
        <f t="shared" si="527"/>
        <v>24</v>
      </c>
      <c r="AB1955" s="3">
        <f>IF(AND($M1955=1,LEFT(对接源_02物料!$D755,4)="原料出库"),1,0)</f>
        <v>0</v>
      </c>
      <c r="AC1955" s="3">
        <f t="shared" si="528"/>
        <v>0</v>
      </c>
      <c r="AD1955" s="3">
        <f>IF(AND($M1955=1,LEFT(对接源_02物料!$D755,4)="成品出库"),1,0)</f>
        <v>0</v>
      </c>
      <c r="AE1955" s="3">
        <f t="shared" si="529"/>
        <v>0</v>
      </c>
      <c r="AF1955" s="3">
        <f>IF(AND($N1955=1,AND(LEFT(对接源_02物料!$D755,4)="包装物料",N(对接源_02物料!$K755)&lt;&gt;0)),1,0)</f>
        <v>0</v>
      </c>
      <c r="AG1955" s="3">
        <f t="shared" si="530"/>
        <v>5</v>
      </c>
      <c r="AH1955" s="3">
        <f>IF(AND($N1955=1,AND(对接源_02物料!$D755="周转筐－销售出库",N(对接源_02物料!$K755)&lt;&gt;0)),1,0)</f>
        <v>0</v>
      </c>
      <c r="AI1955" s="3">
        <f t="shared" si="531"/>
        <v>0</v>
      </c>
      <c r="AL1955" s="3">
        <v>0</v>
      </c>
      <c r="AM1955" s="3">
        <f t="shared" si="532"/>
        <v>1</v>
      </c>
      <c r="AN1955" s="3" t="str">
        <f t="shared" si="519"/>
        <v/>
      </c>
      <c r="AO1955" s="3">
        <v>0</v>
      </c>
      <c r="AP1955" s="3">
        <f t="shared" si="533"/>
        <v>8</v>
      </c>
      <c r="AR1955">
        <f t="shared" si="534"/>
        <v>0</v>
      </c>
      <c r="AS1955">
        <f t="shared" si="535"/>
        <v>5</v>
      </c>
    </row>
    <row r="1956" customHeight="1" spans="1:45">
      <c r="A1956" s="3" t="str">
        <f>IF(对接源_02物料!$C756="","",对接源_02物料!$C756)</f>
        <v/>
      </c>
      <c r="B1956" s="3">
        <f t="shared" si="520"/>
        <v>0</v>
      </c>
      <c r="C1956" s="3">
        <f t="shared" si="521"/>
        <v>21</v>
      </c>
      <c r="K1956" s="3">
        <f>IF(OR($K$1="",对接源_02物料!$C756="",对接源_02物料!$C756&lt;&gt;$K$1,对接源_02物料!$B756=""),0,IF(OR(N(对接源_02物料!$B756)&lt;$K$2,N(对接源_02物料!$B756)&gt;$K$3),0,1))</f>
        <v>0</v>
      </c>
      <c r="L1956" s="3">
        <f>IF(OR($L$1="",对接源_02物料!$C756="",对接源_02物料!$C756&lt;&gt;$L$1,对接源_02物料!$B756=""),0,IF(OR(N(对接源_02物料!$B756)&lt;$L$2,N(对接源_02物料!$B756)&gt;$L$3),0,1))</f>
        <v>0</v>
      </c>
      <c r="M1956" s="3">
        <f>IF(OR($M$1="",对接源_02物料!$C756="",对接源_02物料!$C756&lt;&gt;$M$1,对接源_02物料!$B756=""),0,IF(OR(N(对接源_02物料!$B756)&lt;$M$2,N(对接源_02物料!$B756)&gt;$M$3),0,1))</f>
        <v>0</v>
      </c>
      <c r="N1956" s="3">
        <f>IF(OR($N$1="",对接源_02物料!$C756="",对接源_02物料!$C756&lt;&gt;$N$1,对接源_02物料!$B756=""),0,IF(OR(N(对接源_02物料!$B756)&lt;$N$2,N(对接源_02物料!$B756)&gt;$N$3),0,1))</f>
        <v>0</v>
      </c>
      <c r="P1956" s="3">
        <f>IF(AND($K1956=1,AND(对接源_02物料!$X756="公司筐",N(对接源_02物料!$T756)&lt;&gt;0)),1,0)</f>
        <v>0</v>
      </c>
      <c r="Q1956" s="3">
        <f t="shared" si="522"/>
        <v>8</v>
      </c>
      <c r="R1956" s="3">
        <f>IF(AND($K1956=1,AND(对接源_02物料!$X756="公司筐",N(对接源_02物料!$U756)&lt;&gt;0)),1,0)</f>
        <v>0</v>
      </c>
      <c r="S1956" s="3">
        <f t="shared" si="523"/>
        <v>0</v>
      </c>
      <c r="T1956" s="3">
        <f>IF(AND($K1956=1,AND(对接源_02物料!$X756="公司筐",N(对接源_02物料!$V756)&lt;&gt;0)),1,0)</f>
        <v>0</v>
      </c>
      <c r="U1956" s="3">
        <f t="shared" si="524"/>
        <v>19</v>
      </c>
      <c r="V1956" s="3">
        <f>IF(AND($L1956=1,AND(对接源_02物料!$X756="自备筐",N(对接源_02物料!$V756)&lt;&gt;0)),1,0)</f>
        <v>0</v>
      </c>
      <c r="W1956" s="3">
        <f t="shared" si="525"/>
        <v>8</v>
      </c>
      <c r="X1956" s="3">
        <f>IF(AND($L1956=1,AND(对接源_02物料!$X756="自备筐",N(对接源_02物料!$T756)&lt;&gt;0)),1,0)</f>
        <v>0</v>
      </c>
      <c r="Y1956" s="3">
        <f t="shared" si="526"/>
        <v>0</v>
      </c>
      <c r="Z1956" s="3">
        <f>IF(AND($M1956=1,对接源_02物料!$D756="原料入库"),1,0)</f>
        <v>0</v>
      </c>
      <c r="AA1956" s="3">
        <f t="shared" si="527"/>
        <v>24</v>
      </c>
      <c r="AB1956" s="3">
        <f>IF(AND($M1956=1,LEFT(对接源_02物料!$D756,4)="原料出库"),1,0)</f>
        <v>0</v>
      </c>
      <c r="AC1956" s="3">
        <f t="shared" si="528"/>
        <v>0</v>
      </c>
      <c r="AD1956" s="3">
        <f>IF(AND($M1956=1,LEFT(对接源_02物料!$D756,4)="成品出库"),1,0)</f>
        <v>0</v>
      </c>
      <c r="AE1956" s="3">
        <f t="shared" si="529"/>
        <v>0</v>
      </c>
      <c r="AF1956" s="3">
        <f>IF(AND($N1956=1,AND(LEFT(对接源_02物料!$D756,4)="包装物料",N(对接源_02物料!$K756)&lt;&gt;0)),1,0)</f>
        <v>0</v>
      </c>
      <c r="AG1956" s="3">
        <f t="shared" si="530"/>
        <v>5</v>
      </c>
      <c r="AH1956" s="3">
        <f>IF(AND($N1956=1,AND(对接源_02物料!$D756="周转筐－销售出库",N(对接源_02物料!$K756)&lt;&gt;0)),1,0)</f>
        <v>0</v>
      </c>
      <c r="AI1956" s="3">
        <f t="shared" si="531"/>
        <v>0</v>
      </c>
      <c r="AL1956" s="3">
        <v>0</v>
      </c>
      <c r="AM1956" s="3">
        <f t="shared" si="532"/>
        <v>1</v>
      </c>
      <c r="AN1956" s="3" t="str">
        <f t="shared" si="519"/>
        <v/>
      </c>
      <c r="AO1956" s="3">
        <v>0</v>
      </c>
      <c r="AP1956" s="3">
        <f t="shared" si="533"/>
        <v>8</v>
      </c>
      <c r="AR1956">
        <f t="shared" si="534"/>
        <v>0</v>
      </c>
      <c r="AS1956">
        <f t="shared" si="535"/>
        <v>5</v>
      </c>
    </row>
    <row r="1957" customHeight="1" spans="1:45">
      <c r="A1957" s="3" t="str">
        <f>IF(对接源_02物料!$C757="","",对接源_02物料!$C757)</f>
        <v/>
      </c>
      <c r="B1957" s="3">
        <f t="shared" si="520"/>
        <v>0</v>
      </c>
      <c r="C1957" s="3">
        <f t="shared" si="521"/>
        <v>21</v>
      </c>
      <c r="K1957" s="3">
        <f>IF(OR($K$1="",对接源_02物料!$C757="",对接源_02物料!$C757&lt;&gt;$K$1,对接源_02物料!$B757=""),0,IF(OR(N(对接源_02物料!$B757)&lt;$K$2,N(对接源_02物料!$B757)&gt;$K$3),0,1))</f>
        <v>0</v>
      </c>
      <c r="L1957" s="3">
        <f>IF(OR($L$1="",对接源_02物料!$C757="",对接源_02物料!$C757&lt;&gt;$L$1,对接源_02物料!$B757=""),0,IF(OR(N(对接源_02物料!$B757)&lt;$L$2,N(对接源_02物料!$B757)&gt;$L$3),0,1))</f>
        <v>0</v>
      </c>
      <c r="M1957" s="3">
        <f>IF(OR($M$1="",对接源_02物料!$C757="",对接源_02物料!$C757&lt;&gt;$M$1,对接源_02物料!$B757=""),0,IF(OR(N(对接源_02物料!$B757)&lt;$M$2,N(对接源_02物料!$B757)&gt;$M$3),0,1))</f>
        <v>0</v>
      </c>
      <c r="N1957" s="3">
        <f>IF(OR($N$1="",对接源_02物料!$C757="",对接源_02物料!$C757&lt;&gt;$N$1,对接源_02物料!$B757=""),0,IF(OR(N(对接源_02物料!$B757)&lt;$N$2,N(对接源_02物料!$B757)&gt;$N$3),0,1))</f>
        <v>0</v>
      </c>
      <c r="P1957" s="3">
        <f>IF(AND($K1957=1,AND(对接源_02物料!$X757="公司筐",N(对接源_02物料!$T757)&lt;&gt;0)),1,0)</f>
        <v>0</v>
      </c>
      <c r="Q1957" s="3">
        <f t="shared" si="522"/>
        <v>8</v>
      </c>
      <c r="R1957" s="3">
        <f>IF(AND($K1957=1,AND(对接源_02物料!$X757="公司筐",N(对接源_02物料!$U757)&lt;&gt;0)),1,0)</f>
        <v>0</v>
      </c>
      <c r="S1957" s="3">
        <f t="shared" si="523"/>
        <v>0</v>
      </c>
      <c r="T1957" s="3">
        <f>IF(AND($K1957=1,AND(对接源_02物料!$X757="公司筐",N(对接源_02物料!$V757)&lt;&gt;0)),1,0)</f>
        <v>0</v>
      </c>
      <c r="U1957" s="3">
        <f t="shared" si="524"/>
        <v>19</v>
      </c>
      <c r="V1957" s="3">
        <f>IF(AND($L1957=1,AND(对接源_02物料!$X757="自备筐",N(对接源_02物料!$V757)&lt;&gt;0)),1,0)</f>
        <v>0</v>
      </c>
      <c r="W1957" s="3">
        <f t="shared" si="525"/>
        <v>8</v>
      </c>
      <c r="X1957" s="3">
        <f>IF(AND($L1957=1,AND(对接源_02物料!$X757="自备筐",N(对接源_02物料!$T757)&lt;&gt;0)),1,0)</f>
        <v>0</v>
      </c>
      <c r="Y1957" s="3">
        <f t="shared" si="526"/>
        <v>0</v>
      </c>
      <c r="Z1957" s="3">
        <f>IF(AND($M1957=1,对接源_02物料!$D757="原料入库"),1,0)</f>
        <v>0</v>
      </c>
      <c r="AA1957" s="3">
        <f t="shared" si="527"/>
        <v>24</v>
      </c>
      <c r="AB1957" s="3">
        <f>IF(AND($M1957=1,LEFT(对接源_02物料!$D757,4)="原料出库"),1,0)</f>
        <v>0</v>
      </c>
      <c r="AC1957" s="3">
        <f t="shared" si="528"/>
        <v>0</v>
      </c>
      <c r="AD1957" s="3">
        <f>IF(AND($M1957=1,LEFT(对接源_02物料!$D757,4)="成品出库"),1,0)</f>
        <v>0</v>
      </c>
      <c r="AE1957" s="3">
        <f t="shared" si="529"/>
        <v>0</v>
      </c>
      <c r="AF1957" s="3">
        <f>IF(AND($N1957=1,AND(LEFT(对接源_02物料!$D757,4)="包装物料",N(对接源_02物料!$K757)&lt;&gt;0)),1,0)</f>
        <v>0</v>
      </c>
      <c r="AG1957" s="3">
        <f t="shared" si="530"/>
        <v>5</v>
      </c>
      <c r="AH1957" s="3">
        <f>IF(AND($N1957=1,AND(对接源_02物料!$D757="周转筐－销售出库",N(对接源_02物料!$K757)&lt;&gt;0)),1,0)</f>
        <v>0</v>
      </c>
      <c r="AI1957" s="3">
        <f t="shared" si="531"/>
        <v>0</v>
      </c>
      <c r="AL1957" s="3">
        <v>0</v>
      </c>
      <c r="AM1957" s="3">
        <f t="shared" si="532"/>
        <v>1</v>
      </c>
      <c r="AN1957" s="3" t="str">
        <f t="shared" si="519"/>
        <v/>
      </c>
      <c r="AO1957" s="3">
        <v>0</v>
      </c>
      <c r="AP1957" s="3">
        <f t="shared" si="533"/>
        <v>8</v>
      </c>
      <c r="AR1957">
        <f t="shared" si="534"/>
        <v>0</v>
      </c>
      <c r="AS1957">
        <f t="shared" si="535"/>
        <v>5</v>
      </c>
    </row>
    <row r="1958" customHeight="1" spans="1:45">
      <c r="A1958" s="3" t="str">
        <f>IF(对接源_02物料!$C758="","",对接源_02物料!$C758)</f>
        <v/>
      </c>
      <c r="B1958" s="3">
        <f t="shared" si="520"/>
        <v>0</v>
      </c>
      <c r="C1958" s="3">
        <f t="shared" si="521"/>
        <v>21</v>
      </c>
      <c r="K1958" s="3">
        <f>IF(OR($K$1="",对接源_02物料!$C758="",对接源_02物料!$C758&lt;&gt;$K$1,对接源_02物料!$B758=""),0,IF(OR(N(对接源_02物料!$B758)&lt;$K$2,N(对接源_02物料!$B758)&gt;$K$3),0,1))</f>
        <v>0</v>
      </c>
      <c r="L1958" s="3">
        <f>IF(OR($L$1="",对接源_02物料!$C758="",对接源_02物料!$C758&lt;&gt;$L$1,对接源_02物料!$B758=""),0,IF(OR(N(对接源_02物料!$B758)&lt;$L$2,N(对接源_02物料!$B758)&gt;$L$3),0,1))</f>
        <v>0</v>
      </c>
      <c r="M1958" s="3">
        <f>IF(OR($M$1="",对接源_02物料!$C758="",对接源_02物料!$C758&lt;&gt;$M$1,对接源_02物料!$B758=""),0,IF(OR(N(对接源_02物料!$B758)&lt;$M$2,N(对接源_02物料!$B758)&gt;$M$3),0,1))</f>
        <v>0</v>
      </c>
      <c r="N1958" s="3">
        <f>IF(OR($N$1="",对接源_02物料!$C758="",对接源_02物料!$C758&lt;&gt;$N$1,对接源_02物料!$B758=""),0,IF(OR(N(对接源_02物料!$B758)&lt;$N$2,N(对接源_02物料!$B758)&gt;$N$3),0,1))</f>
        <v>0</v>
      </c>
      <c r="P1958" s="3">
        <f>IF(AND($K1958=1,AND(对接源_02物料!$X758="公司筐",N(对接源_02物料!$T758)&lt;&gt;0)),1,0)</f>
        <v>0</v>
      </c>
      <c r="Q1958" s="3">
        <f t="shared" si="522"/>
        <v>8</v>
      </c>
      <c r="R1958" s="3">
        <f>IF(AND($K1958=1,AND(对接源_02物料!$X758="公司筐",N(对接源_02物料!$U758)&lt;&gt;0)),1,0)</f>
        <v>0</v>
      </c>
      <c r="S1958" s="3">
        <f t="shared" si="523"/>
        <v>0</v>
      </c>
      <c r="T1958" s="3">
        <f>IF(AND($K1958=1,AND(对接源_02物料!$X758="公司筐",N(对接源_02物料!$V758)&lt;&gt;0)),1,0)</f>
        <v>0</v>
      </c>
      <c r="U1958" s="3">
        <f t="shared" si="524"/>
        <v>19</v>
      </c>
      <c r="V1958" s="3">
        <f>IF(AND($L1958=1,AND(对接源_02物料!$X758="自备筐",N(对接源_02物料!$V758)&lt;&gt;0)),1,0)</f>
        <v>0</v>
      </c>
      <c r="W1958" s="3">
        <f t="shared" si="525"/>
        <v>8</v>
      </c>
      <c r="X1958" s="3">
        <f>IF(AND($L1958=1,AND(对接源_02物料!$X758="自备筐",N(对接源_02物料!$T758)&lt;&gt;0)),1,0)</f>
        <v>0</v>
      </c>
      <c r="Y1958" s="3">
        <f t="shared" si="526"/>
        <v>0</v>
      </c>
      <c r="Z1958" s="3">
        <f>IF(AND($M1958=1,对接源_02物料!$D758="原料入库"),1,0)</f>
        <v>0</v>
      </c>
      <c r="AA1958" s="3">
        <f t="shared" si="527"/>
        <v>24</v>
      </c>
      <c r="AB1958" s="3">
        <f>IF(AND($M1958=1,LEFT(对接源_02物料!$D758,4)="原料出库"),1,0)</f>
        <v>0</v>
      </c>
      <c r="AC1958" s="3">
        <f t="shared" si="528"/>
        <v>0</v>
      </c>
      <c r="AD1958" s="3">
        <f>IF(AND($M1958=1,LEFT(对接源_02物料!$D758,4)="成品出库"),1,0)</f>
        <v>0</v>
      </c>
      <c r="AE1958" s="3">
        <f t="shared" si="529"/>
        <v>0</v>
      </c>
      <c r="AF1958" s="3">
        <f>IF(AND($N1958=1,AND(LEFT(对接源_02物料!$D758,4)="包装物料",N(对接源_02物料!$K758)&lt;&gt;0)),1,0)</f>
        <v>0</v>
      </c>
      <c r="AG1958" s="3">
        <f t="shared" si="530"/>
        <v>5</v>
      </c>
      <c r="AH1958" s="3">
        <f>IF(AND($N1958=1,AND(对接源_02物料!$D758="周转筐－销售出库",N(对接源_02物料!$K758)&lt;&gt;0)),1,0)</f>
        <v>0</v>
      </c>
      <c r="AI1958" s="3">
        <f t="shared" si="531"/>
        <v>0</v>
      </c>
      <c r="AL1958" s="3">
        <v>0</v>
      </c>
      <c r="AM1958" s="3">
        <f t="shared" si="532"/>
        <v>1</v>
      </c>
      <c r="AN1958" s="3" t="str">
        <f t="shared" si="519"/>
        <v/>
      </c>
      <c r="AO1958" s="3">
        <v>0</v>
      </c>
      <c r="AP1958" s="3">
        <f t="shared" si="533"/>
        <v>8</v>
      </c>
      <c r="AR1958">
        <f t="shared" si="534"/>
        <v>0</v>
      </c>
      <c r="AS1958">
        <f t="shared" si="535"/>
        <v>5</v>
      </c>
    </row>
    <row r="1959" customHeight="1" spans="1:45">
      <c r="A1959" s="3" t="str">
        <f>IF(对接源_02物料!$C759="","",对接源_02物料!$C759)</f>
        <v/>
      </c>
      <c r="B1959" s="3">
        <f t="shared" si="520"/>
        <v>0</v>
      </c>
      <c r="C1959" s="3">
        <f t="shared" si="521"/>
        <v>21</v>
      </c>
      <c r="K1959" s="3">
        <f>IF(OR($K$1="",对接源_02物料!$C759="",对接源_02物料!$C759&lt;&gt;$K$1,对接源_02物料!$B759=""),0,IF(OR(N(对接源_02物料!$B759)&lt;$K$2,N(对接源_02物料!$B759)&gt;$K$3),0,1))</f>
        <v>0</v>
      </c>
      <c r="L1959" s="3">
        <f>IF(OR($L$1="",对接源_02物料!$C759="",对接源_02物料!$C759&lt;&gt;$L$1,对接源_02物料!$B759=""),0,IF(OR(N(对接源_02物料!$B759)&lt;$L$2,N(对接源_02物料!$B759)&gt;$L$3),0,1))</f>
        <v>0</v>
      </c>
      <c r="M1959" s="3">
        <f>IF(OR($M$1="",对接源_02物料!$C759="",对接源_02物料!$C759&lt;&gt;$M$1,对接源_02物料!$B759=""),0,IF(OR(N(对接源_02物料!$B759)&lt;$M$2,N(对接源_02物料!$B759)&gt;$M$3),0,1))</f>
        <v>0</v>
      </c>
      <c r="N1959" s="3">
        <f>IF(OR($N$1="",对接源_02物料!$C759="",对接源_02物料!$C759&lt;&gt;$N$1,对接源_02物料!$B759=""),0,IF(OR(N(对接源_02物料!$B759)&lt;$N$2,N(对接源_02物料!$B759)&gt;$N$3),0,1))</f>
        <v>0</v>
      </c>
      <c r="P1959" s="3">
        <f>IF(AND($K1959=1,AND(对接源_02物料!$X759="公司筐",N(对接源_02物料!$T759)&lt;&gt;0)),1,0)</f>
        <v>0</v>
      </c>
      <c r="Q1959" s="3">
        <f t="shared" si="522"/>
        <v>8</v>
      </c>
      <c r="R1959" s="3">
        <f>IF(AND($K1959=1,AND(对接源_02物料!$X759="公司筐",N(对接源_02物料!$U759)&lt;&gt;0)),1,0)</f>
        <v>0</v>
      </c>
      <c r="S1959" s="3">
        <f t="shared" si="523"/>
        <v>0</v>
      </c>
      <c r="T1959" s="3">
        <f>IF(AND($K1959=1,AND(对接源_02物料!$X759="公司筐",N(对接源_02物料!$V759)&lt;&gt;0)),1,0)</f>
        <v>0</v>
      </c>
      <c r="U1959" s="3">
        <f t="shared" si="524"/>
        <v>19</v>
      </c>
      <c r="V1959" s="3">
        <f>IF(AND($L1959=1,AND(对接源_02物料!$X759="自备筐",N(对接源_02物料!$V759)&lt;&gt;0)),1,0)</f>
        <v>0</v>
      </c>
      <c r="W1959" s="3">
        <f t="shared" si="525"/>
        <v>8</v>
      </c>
      <c r="X1959" s="3">
        <f>IF(AND($L1959=1,AND(对接源_02物料!$X759="自备筐",N(对接源_02物料!$T759)&lt;&gt;0)),1,0)</f>
        <v>0</v>
      </c>
      <c r="Y1959" s="3">
        <f t="shared" si="526"/>
        <v>0</v>
      </c>
      <c r="Z1959" s="3">
        <f>IF(AND($M1959=1,对接源_02物料!$D759="原料入库"),1,0)</f>
        <v>0</v>
      </c>
      <c r="AA1959" s="3">
        <f t="shared" si="527"/>
        <v>24</v>
      </c>
      <c r="AB1959" s="3">
        <f>IF(AND($M1959=1,LEFT(对接源_02物料!$D759,4)="原料出库"),1,0)</f>
        <v>0</v>
      </c>
      <c r="AC1959" s="3">
        <f t="shared" si="528"/>
        <v>0</v>
      </c>
      <c r="AD1959" s="3">
        <f>IF(AND($M1959=1,LEFT(对接源_02物料!$D759,4)="成品出库"),1,0)</f>
        <v>0</v>
      </c>
      <c r="AE1959" s="3">
        <f t="shared" si="529"/>
        <v>0</v>
      </c>
      <c r="AF1959" s="3">
        <f>IF(AND($N1959=1,AND(LEFT(对接源_02物料!$D759,4)="包装物料",N(对接源_02物料!$K759)&lt;&gt;0)),1,0)</f>
        <v>0</v>
      </c>
      <c r="AG1959" s="3">
        <f t="shared" si="530"/>
        <v>5</v>
      </c>
      <c r="AH1959" s="3">
        <f>IF(AND($N1959=1,AND(对接源_02物料!$D759="周转筐－销售出库",N(对接源_02物料!$K759)&lt;&gt;0)),1,0)</f>
        <v>0</v>
      </c>
      <c r="AI1959" s="3">
        <f t="shared" si="531"/>
        <v>0</v>
      </c>
      <c r="AL1959" s="3">
        <v>0</v>
      </c>
      <c r="AM1959" s="3">
        <f t="shared" si="532"/>
        <v>1</v>
      </c>
      <c r="AN1959" s="3" t="str">
        <f t="shared" si="519"/>
        <v/>
      </c>
      <c r="AO1959" s="3">
        <v>0</v>
      </c>
      <c r="AP1959" s="3">
        <f t="shared" si="533"/>
        <v>8</v>
      </c>
      <c r="AR1959">
        <f t="shared" si="534"/>
        <v>0</v>
      </c>
      <c r="AS1959">
        <f t="shared" si="535"/>
        <v>5</v>
      </c>
    </row>
    <row r="1960" customHeight="1" spans="1:45">
      <c r="A1960" s="3" t="str">
        <f>IF(对接源_02物料!$C760="","",对接源_02物料!$C760)</f>
        <v/>
      </c>
      <c r="B1960" s="3">
        <f t="shared" si="520"/>
        <v>0</v>
      </c>
      <c r="C1960" s="3">
        <f t="shared" si="521"/>
        <v>21</v>
      </c>
      <c r="K1960" s="3">
        <f>IF(OR($K$1="",对接源_02物料!$C760="",对接源_02物料!$C760&lt;&gt;$K$1,对接源_02物料!$B760=""),0,IF(OR(N(对接源_02物料!$B760)&lt;$K$2,N(对接源_02物料!$B760)&gt;$K$3),0,1))</f>
        <v>0</v>
      </c>
      <c r="L1960" s="3">
        <f>IF(OR($L$1="",对接源_02物料!$C760="",对接源_02物料!$C760&lt;&gt;$L$1,对接源_02物料!$B760=""),0,IF(OR(N(对接源_02物料!$B760)&lt;$L$2,N(对接源_02物料!$B760)&gt;$L$3),0,1))</f>
        <v>0</v>
      </c>
      <c r="M1960" s="3">
        <f>IF(OR($M$1="",对接源_02物料!$C760="",对接源_02物料!$C760&lt;&gt;$M$1,对接源_02物料!$B760=""),0,IF(OR(N(对接源_02物料!$B760)&lt;$M$2,N(对接源_02物料!$B760)&gt;$M$3),0,1))</f>
        <v>0</v>
      </c>
      <c r="N1960" s="3">
        <f>IF(OR($N$1="",对接源_02物料!$C760="",对接源_02物料!$C760&lt;&gt;$N$1,对接源_02物料!$B760=""),0,IF(OR(N(对接源_02物料!$B760)&lt;$N$2,N(对接源_02物料!$B760)&gt;$N$3),0,1))</f>
        <v>0</v>
      </c>
      <c r="P1960" s="3">
        <f>IF(AND($K1960=1,AND(对接源_02物料!$X760="公司筐",N(对接源_02物料!$T760)&lt;&gt;0)),1,0)</f>
        <v>0</v>
      </c>
      <c r="Q1960" s="3">
        <f t="shared" si="522"/>
        <v>8</v>
      </c>
      <c r="R1960" s="3">
        <f>IF(AND($K1960=1,AND(对接源_02物料!$X760="公司筐",N(对接源_02物料!$U760)&lt;&gt;0)),1,0)</f>
        <v>0</v>
      </c>
      <c r="S1960" s="3">
        <f t="shared" si="523"/>
        <v>0</v>
      </c>
      <c r="T1960" s="3">
        <f>IF(AND($K1960=1,AND(对接源_02物料!$X760="公司筐",N(对接源_02物料!$V760)&lt;&gt;0)),1,0)</f>
        <v>0</v>
      </c>
      <c r="U1960" s="3">
        <f t="shared" si="524"/>
        <v>19</v>
      </c>
      <c r="V1960" s="3">
        <f>IF(AND($L1960=1,AND(对接源_02物料!$X760="自备筐",N(对接源_02物料!$V760)&lt;&gt;0)),1,0)</f>
        <v>0</v>
      </c>
      <c r="W1960" s="3">
        <f t="shared" si="525"/>
        <v>8</v>
      </c>
      <c r="X1960" s="3">
        <f>IF(AND($L1960=1,AND(对接源_02物料!$X760="自备筐",N(对接源_02物料!$T760)&lt;&gt;0)),1,0)</f>
        <v>0</v>
      </c>
      <c r="Y1960" s="3">
        <f t="shared" si="526"/>
        <v>0</v>
      </c>
      <c r="Z1960" s="3">
        <f>IF(AND($M1960=1,对接源_02物料!$D760="原料入库"),1,0)</f>
        <v>0</v>
      </c>
      <c r="AA1960" s="3">
        <f t="shared" si="527"/>
        <v>24</v>
      </c>
      <c r="AB1960" s="3">
        <f>IF(AND($M1960=1,LEFT(对接源_02物料!$D760,4)="原料出库"),1,0)</f>
        <v>0</v>
      </c>
      <c r="AC1960" s="3">
        <f t="shared" si="528"/>
        <v>0</v>
      </c>
      <c r="AD1960" s="3">
        <f>IF(AND($M1960=1,LEFT(对接源_02物料!$D760,4)="成品出库"),1,0)</f>
        <v>0</v>
      </c>
      <c r="AE1960" s="3">
        <f t="shared" si="529"/>
        <v>0</v>
      </c>
      <c r="AF1960" s="3">
        <f>IF(AND($N1960=1,AND(LEFT(对接源_02物料!$D760,4)="包装物料",N(对接源_02物料!$K760)&lt;&gt;0)),1,0)</f>
        <v>0</v>
      </c>
      <c r="AG1960" s="3">
        <f t="shared" si="530"/>
        <v>5</v>
      </c>
      <c r="AH1960" s="3">
        <f>IF(AND($N1960=1,AND(对接源_02物料!$D760="周转筐－销售出库",N(对接源_02物料!$K760)&lt;&gt;0)),1,0)</f>
        <v>0</v>
      </c>
      <c r="AI1960" s="3">
        <f t="shared" si="531"/>
        <v>0</v>
      </c>
      <c r="AL1960" s="3">
        <v>0</v>
      </c>
      <c r="AM1960" s="3">
        <f t="shared" si="532"/>
        <v>1</v>
      </c>
      <c r="AN1960" s="3" t="str">
        <f t="shared" si="519"/>
        <v/>
      </c>
      <c r="AO1960" s="3">
        <v>0</v>
      </c>
      <c r="AP1960" s="3">
        <f t="shared" si="533"/>
        <v>8</v>
      </c>
      <c r="AR1960">
        <f t="shared" si="534"/>
        <v>0</v>
      </c>
      <c r="AS1960">
        <f t="shared" si="535"/>
        <v>5</v>
      </c>
    </row>
    <row r="1961" customHeight="1" spans="1:45">
      <c r="A1961" s="3" t="str">
        <f>IF(对接源_02物料!$C761="","",对接源_02物料!$C761)</f>
        <v/>
      </c>
      <c r="B1961" s="3">
        <f t="shared" si="520"/>
        <v>0</v>
      </c>
      <c r="C1961" s="3">
        <f t="shared" si="521"/>
        <v>21</v>
      </c>
      <c r="K1961" s="3">
        <f>IF(OR($K$1="",对接源_02物料!$C761="",对接源_02物料!$C761&lt;&gt;$K$1,对接源_02物料!$B761=""),0,IF(OR(N(对接源_02物料!$B761)&lt;$K$2,N(对接源_02物料!$B761)&gt;$K$3),0,1))</f>
        <v>0</v>
      </c>
      <c r="L1961" s="3">
        <f>IF(OR($L$1="",对接源_02物料!$C761="",对接源_02物料!$C761&lt;&gt;$L$1,对接源_02物料!$B761=""),0,IF(OR(N(对接源_02物料!$B761)&lt;$L$2,N(对接源_02物料!$B761)&gt;$L$3),0,1))</f>
        <v>0</v>
      </c>
      <c r="M1961" s="3">
        <f>IF(OR($M$1="",对接源_02物料!$C761="",对接源_02物料!$C761&lt;&gt;$M$1,对接源_02物料!$B761=""),0,IF(OR(N(对接源_02物料!$B761)&lt;$M$2,N(对接源_02物料!$B761)&gt;$M$3),0,1))</f>
        <v>0</v>
      </c>
      <c r="N1961" s="3">
        <f>IF(OR($N$1="",对接源_02物料!$C761="",对接源_02物料!$C761&lt;&gt;$N$1,对接源_02物料!$B761=""),0,IF(OR(N(对接源_02物料!$B761)&lt;$N$2,N(对接源_02物料!$B761)&gt;$N$3),0,1))</f>
        <v>0</v>
      </c>
      <c r="P1961" s="3">
        <f>IF(AND($K1961=1,AND(对接源_02物料!$X761="公司筐",N(对接源_02物料!$T761)&lt;&gt;0)),1,0)</f>
        <v>0</v>
      </c>
      <c r="Q1961" s="3">
        <f t="shared" si="522"/>
        <v>8</v>
      </c>
      <c r="R1961" s="3">
        <f>IF(AND($K1961=1,AND(对接源_02物料!$X761="公司筐",N(对接源_02物料!$U761)&lt;&gt;0)),1,0)</f>
        <v>0</v>
      </c>
      <c r="S1961" s="3">
        <f t="shared" si="523"/>
        <v>0</v>
      </c>
      <c r="T1961" s="3">
        <f>IF(AND($K1961=1,AND(对接源_02物料!$X761="公司筐",N(对接源_02物料!$V761)&lt;&gt;0)),1,0)</f>
        <v>0</v>
      </c>
      <c r="U1961" s="3">
        <f t="shared" si="524"/>
        <v>19</v>
      </c>
      <c r="V1961" s="3">
        <f>IF(AND($L1961=1,AND(对接源_02物料!$X761="自备筐",N(对接源_02物料!$V761)&lt;&gt;0)),1,0)</f>
        <v>0</v>
      </c>
      <c r="W1961" s="3">
        <f t="shared" si="525"/>
        <v>8</v>
      </c>
      <c r="X1961" s="3">
        <f>IF(AND($L1961=1,AND(对接源_02物料!$X761="自备筐",N(对接源_02物料!$T761)&lt;&gt;0)),1,0)</f>
        <v>0</v>
      </c>
      <c r="Y1961" s="3">
        <f t="shared" si="526"/>
        <v>0</v>
      </c>
      <c r="Z1961" s="3">
        <f>IF(AND($M1961=1,对接源_02物料!$D761="原料入库"),1,0)</f>
        <v>0</v>
      </c>
      <c r="AA1961" s="3">
        <f t="shared" si="527"/>
        <v>24</v>
      </c>
      <c r="AB1961" s="3">
        <f>IF(AND($M1961=1,LEFT(对接源_02物料!$D761,4)="原料出库"),1,0)</f>
        <v>0</v>
      </c>
      <c r="AC1961" s="3">
        <f t="shared" si="528"/>
        <v>0</v>
      </c>
      <c r="AD1961" s="3">
        <f>IF(AND($M1961=1,LEFT(对接源_02物料!$D761,4)="成品出库"),1,0)</f>
        <v>0</v>
      </c>
      <c r="AE1961" s="3">
        <f t="shared" si="529"/>
        <v>0</v>
      </c>
      <c r="AF1961" s="3">
        <f>IF(AND($N1961=1,AND(LEFT(对接源_02物料!$D761,4)="包装物料",N(对接源_02物料!$K761)&lt;&gt;0)),1,0)</f>
        <v>0</v>
      </c>
      <c r="AG1961" s="3">
        <f t="shared" si="530"/>
        <v>5</v>
      </c>
      <c r="AH1961" s="3">
        <f>IF(AND($N1961=1,AND(对接源_02物料!$D761="周转筐－销售出库",N(对接源_02物料!$K761)&lt;&gt;0)),1,0)</f>
        <v>0</v>
      </c>
      <c r="AI1961" s="3">
        <f t="shared" si="531"/>
        <v>0</v>
      </c>
      <c r="AL1961" s="3">
        <v>0</v>
      </c>
      <c r="AM1961" s="3">
        <f t="shared" si="532"/>
        <v>1</v>
      </c>
      <c r="AN1961" s="3" t="str">
        <f t="shared" si="519"/>
        <v/>
      </c>
      <c r="AO1961" s="3">
        <v>0</v>
      </c>
      <c r="AP1961" s="3">
        <f t="shared" si="533"/>
        <v>8</v>
      </c>
      <c r="AR1961">
        <f t="shared" si="534"/>
        <v>0</v>
      </c>
      <c r="AS1961">
        <f t="shared" si="535"/>
        <v>5</v>
      </c>
    </row>
    <row r="1962" customHeight="1" spans="1:45">
      <c r="A1962" s="3" t="str">
        <f>IF(对接源_02物料!$C762="","",对接源_02物料!$C762)</f>
        <v/>
      </c>
      <c r="B1962" s="3">
        <f t="shared" si="520"/>
        <v>0</v>
      </c>
      <c r="C1962" s="3">
        <f t="shared" si="521"/>
        <v>21</v>
      </c>
      <c r="K1962" s="3">
        <f>IF(OR($K$1="",对接源_02物料!$C762="",对接源_02物料!$C762&lt;&gt;$K$1,对接源_02物料!$B762=""),0,IF(OR(N(对接源_02物料!$B762)&lt;$K$2,N(对接源_02物料!$B762)&gt;$K$3),0,1))</f>
        <v>0</v>
      </c>
      <c r="L1962" s="3">
        <f>IF(OR($L$1="",对接源_02物料!$C762="",对接源_02物料!$C762&lt;&gt;$L$1,对接源_02物料!$B762=""),0,IF(OR(N(对接源_02物料!$B762)&lt;$L$2,N(对接源_02物料!$B762)&gt;$L$3),0,1))</f>
        <v>0</v>
      </c>
      <c r="M1962" s="3">
        <f>IF(OR($M$1="",对接源_02物料!$C762="",对接源_02物料!$C762&lt;&gt;$M$1,对接源_02物料!$B762=""),0,IF(OR(N(对接源_02物料!$B762)&lt;$M$2,N(对接源_02物料!$B762)&gt;$M$3),0,1))</f>
        <v>0</v>
      </c>
      <c r="N1962" s="3">
        <f>IF(OR($N$1="",对接源_02物料!$C762="",对接源_02物料!$C762&lt;&gt;$N$1,对接源_02物料!$B762=""),0,IF(OR(N(对接源_02物料!$B762)&lt;$N$2,N(对接源_02物料!$B762)&gt;$N$3),0,1))</f>
        <v>0</v>
      </c>
      <c r="P1962" s="3">
        <f>IF(AND($K1962=1,AND(对接源_02物料!$X762="公司筐",N(对接源_02物料!$T762)&lt;&gt;0)),1,0)</f>
        <v>0</v>
      </c>
      <c r="Q1962" s="3">
        <f t="shared" si="522"/>
        <v>8</v>
      </c>
      <c r="R1962" s="3">
        <f>IF(AND($K1962=1,AND(对接源_02物料!$X762="公司筐",N(对接源_02物料!$U762)&lt;&gt;0)),1,0)</f>
        <v>0</v>
      </c>
      <c r="S1962" s="3">
        <f t="shared" si="523"/>
        <v>0</v>
      </c>
      <c r="T1962" s="3">
        <f>IF(AND($K1962=1,AND(对接源_02物料!$X762="公司筐",N(对接源_02物料!$V762)&lt;&gt;0)),1,0)</f>
        <v>0</v>
      </c>
      <c r="U1962" s="3">
        <f t="shared" si="524"/>
        <v>19</v>
      </c>
      <c r="V1962" s="3">
        <f>IF(AND($L1962=1,AND(对接源_02物料!$X762="自备筐",N(对接源_02物料!$V762)&lt;&gt;0)),1,0)</f>
        <v>0</v>
      </c>
      <c r="W1962" s="3">
        <f t="shared" si="525"/>
        <v>8</v>
      </c>
      <c r="X1962" s="3">
        <f>IF(AND($L1962=1,AND(对接源_02物料!$X762="自备筐",N(对接源_02物料!$T762)&lt;&gt;0)),1,0)</f>
        <v>0</v>
      </c>
      <c r="Y1962" s="3">
        <f t="shared" si="526"/>
        <v>0</v>
      </c>
      <c r="Z1962" s="3">
        <f>IF(AND($M1962=1,对接源_02物料!$D762="原料入库"),1,0)</f>
        <v>0</v>
      </c>
      <c r="AA1962" s="3">
        <f t="shared" si="527"/>
        <v>24</v>
      </c>
      <c r="AB1962" s="3">
        <f>IF(AND($M1962=1,LEFT(对接源_02物料!$D762,4)="原料出库"),1,0)</f>
        <v>0</v>
      </c>
      <c r="AC1962" s="3">
        <f t="shared" si="528"/>
        <v>0</v>
      </c>
      <c r="AD1962" s="3">
        <f>IF(AND($M1962=1,LEFT(对接源_02物料!$D762,4)="成品出库"),1,0)</f>
        <v>0</v>
      </c>
      <c r="AE1962" s="3">
        <f t="shared" si="529"/>
        <v>0</v>
      </c>
      <c r="AF1962" s="3">
        <f>IF(AND($N1962=1,AND(LEFT(对接源_02物料!$D762,4)="包装物料",N(对接源_02物料!$K762)&lt;&gt;0)),1,0)</f>
        <v>0</v>
      </c>
      <c r="AG1962" s="3">
        <f t="shared" si="530"/>
        <v>5</v>
      </c>
      <c r="AH1962" s="3">
        <f>IF(AND($N1962=1,AND(对接源_02物料!$D762="周转筐－销售出库",N(对接源_02物料!$K762)&lt;&gt;0)),1,0)</f>
        <v>0</v>
      </c>
      <c r="AI1962" s="3">
        <f t="shared" si="531"/>
        <v>0</v>
      </c>
      <c r="AL1962" s="3">
        <v>0</v>
      </c>
      <c r="AM1962" s="3">
        <f t="shared" si="532"/>
        <v>1</v>
      </c>
      <c r="AN1962" s="3" t="str">
        <f t="shared" si="519"/>
        <v/>
      </c>
      <c r="AO1962" s="3">
        <v>0</v>
      </c>
      <c r="AP1962" s="3">
        <f t="shared" si="533"/>
        <v>8</v>
      </c>
      <c r="AR1962">
        <f t="shared" si="534"/>
        <v>0</v>
      </c>
      <c r="AS1962">
        <f t="shared" si="535"/>
        <v>5</v>
      </c>
    </row>
    <row r="1963" customHeight="1" spans="1:45">
      <c r="A1963" s="3" t="str">
        <f>IF(对接源_02物料!$C763="","",对接源_02物料!$C763)</f>
        <v/>
      </c>
      <c r="B1963" s="3">
        <f t="shared" si="520"/>
        <v>0</v>
      </c>
      <c r="C1963" s="3">
        <f t="shared" si="521"/>
        <v>21</v>
      </c>
      <c r="K1963" s="3">
        <f>IF(OR($K$1="",对接源_02物料!$C763="",对接源_02物料!$C763&lt;&gt;$K$1,对接源_02物料!$B763=""),0,IF(OR(N(对接源_02物料!$B763)&lt;$K$2,N(对接源_02物料!$B763)&gt;$K$3),0,1))</f>
        <v>0</v>
      </c>
      <c r="L1963" s="3">
        <f>IF(OR($L$1="",对接源_02物料!$C763="",对接源_02物料!$C763&lt;&gt;$L$1,对接源_02物料!$B763=""),0,IF(OR(N(对接源_02物料!$B763)&lt;$L$2,N(对接源_02物料!$B763)&gt;$L$3),0,1))</f>
        <v>0</v>
      </c>
      <c r="M1963" s="3">
        <f>IF(OR($M$1="",对接源_02物料!$C763="",对接源_02物料!$C763&lt;&gt;$M$1,对接源_02物料!$B763=""),0,IF(OR(N(对接源_02物料!$B763)&lt;$M$2,N(对接源_02物料!$B763)&gt;$M$3),0,1))</f>
        <v>0</v>
      </c>
      <c r="N1963" s="3">
        <f>IF(OR($N$1="",对接源_02物料!$C763="",对接源_02物料!$C763&lt;&gt;$N$1,对接源_02物料!$B763=""),0,IF(OR(N(对接源_02物料!$B763)&lt;$N$2,N(对接源_02物料!$B763)&gt;$N$3),0,1))</f>
        <v>0</v>
      </c>
      <c r="P1963" s="3">
        <f>IF(AND($K1963=1,AND(对接源_02物料!$X763="公司筐",N(对接源_02物料!$T763)&lt;&gt;0)),1,0)</f>
        <v>0</v>
      </c>
      <c r="Q1963" s="3">
        <f t="shared" si="522"/>
        <v>8</v>
      </c>
      <c r="R1963" s="3">
        <f>IF(AND($K1963=1,AND(对接源_02物料!$X763="公司筐",N(对接源_02物料!$U763)&lt;&gt;0)),1,0)</f>
        <v>0</v>
      </c>
      <c r="S1963" s="3">
        <f t="shared" si="523"/>
        <v>0</v>
      </c>
      <c r="T1963" s="3">
        <f>IF(AND($K1963=1,AND(对接源_02物料!$X763="公司筐",N(对接源_02物料!$V763)&lt;&gt;0)),1,0)</f>
        <v>0</v>
      </c>
      <c r="U1963" s="3">
        <f t="shared" si="524"/>
        <v>19</v>
      </c>
      <c r="V1963" s="3">
        <f>IF(AND($L1963=1,AND(对接源_02物料!$X763="自备筐",N(对接源_02物料!$V763)&lt;&gt;0)),1,0)</f>
        <v>0</v>
      </c>
      <c r="W1963" s="3">
        <f t="shared" si="525"/>
        <v>8</v>
      </c>
      <c r="X1963" s="3">
        <f>IF(AND($L1963=1,AND(对接源_02物料!$X763="自备筐",N(对接源_02物料!$T763)&lt;&gt;0)),1,0)</f>
        <v>0</v>
      </c>
      <c r="Y1963" s="3">
        <f t="shared" si="526"/>
        <v>0</v>
      </c>
      <c r="Z1963" s="3">
        <f>IF(AND($M1963=1,对接源_02物料!$D763="原料入库"),1,0)</f>
        <v>0</v>
      </c>
      <c r="AA1963" s="3">
        <f t="shared" si="527"/>
        <v>24</v>
      </c>
      <c r="AB1963" s="3">
        <f>IF(AND($M1963=1,LEFT(对接源_02物料!$D763,4)="原料出库"),1,0)</f>
        <v>0</v>
      </c>
      <c r="AC1963" s="3">
        <f t="shared" si="528"/>
        <v>0</v>
      </c>
      <c r="AD1963" s="3">
        <f>IF(AND($M1963=1,LEFT(对接源_02物料!$D763,4)="成品出库"),1,0)</f>
        <v>0</v>
      </c>
      <c r="AE1963" s="3">
        <f t="shared" si="529"/>
        <v>0</v>
      </c>
      <c r="AF1963" s="3">
        <f>IF(AND($N1963=1,AND(LEFT(对接源_02物料!$D763,4)="包装物料",N(对接源_02物料!$K763)&lt;&gt;0)),1,0)</f>
        <v>0</v>
      </c>
      <c r="AG1963" s="3">
        <f t="shared" si="530"/>
        <v>5</v>
      </c>
      <c r="AH1963" s="3">
        <f>IF(AND($N1963=1,AND(对接源_02物料!$D763="周转筐－销售出库",N(对接源_02物料!$K763)&lt;&gt;0)),1,0)</f>
        <v>0</v>
      </c>
      <c r="AI1963" s="3">
        <f t="shared" si="531"/>
        <v>0</v>
      </c>
      <c r="AL1963" s="3">
        <v>0</v>
      </c>
      <c r="AM1963" s="3">
        <f t="shared" si="532"/>
        <v>1</v>
      </c>
      <c r="AN1963" s="3" t="str">
        <f t="shared" si="519"/>
        <v/>
      </c>
      <c r="AO1963" s="3">
        <v>0</v>
      </c>
      <c r="AP1963" s="3">
        <f t="shared" si="533"/>
        <v>8</v>
      </c>
      <c r="AR1963">
        <f t="shared" si="534"/>
        <v>0</v>
      </c>
      <c r="AS1963">
        <f t="shared" si="535"/>
        <v>5</v>
      </c>
    </row>
    <row r="1964" customHeight="1" spans="1:45">
      <c r="A1964" s="3" t="str">
        <f>IF(对接源_02物料!$C764="","",对接源_02物料!$C764)</f>
        <v/>
      </c>
      <c r="B1964" s="3">
        <f t="shared" si="520"/>
        <v>0</v>
      </c>
      <c r="C1964" s="3">
        <f t="shared" si="521"/>
        <v>21</v>
      </c>
      <c r="K1964" s="3">
        <f>IF(OR($K$1="",对接源_02物料!$C764="",对接源_02物料!$C764&lt;&gt;$K$1,对接源_02物料!$B764=""),0,IF(OR(N(对接源_02物料!$B764)&lt;$K$2,N(对接源_02物料!$B764)&gt;$K$3),0,1))</f>
        <v>0</v>
      </c>
      <c r="L1964" s="3">
        <f>IF(OR($L$1="",对接源_02物料!$C764="",对接源_02物料!$C764&lt;&gt;$L$1,对接源_02物料!$B764=""),0,IF(OR(N(对接源_02物料!$B764)&lt;$L$2,N(对接源_02物料!$B764)&gt;$L$3),0,1))</f>
        <v>0</v>
      </c>
      <c r="M1964" s="3">
        <f>IF(OR($M$1="",对接源_02物料!$C764="",对接源_02物料!$C764&lt;&gt;$M$1,对接源_02物料!$B764=""),0,IF(OR(N(对接源_02物料!$B764)&lt;$M$2,N(对接源_02物料!$B764)&gt;$M$3),0,1))</f>
        <v>0</v>
      </c>
      <c r="N1964" s="3">
        <f>IF(OR($N$1="",对接源_02物料!$C764="",对接源_02物料!$C764&lt;&gt;$N$1,对接源_02物料!$B764=""),0,IF(OR(N(对接源_02物料!$B764)&lt;$N$2,N(对接源_02物料!$B764)&gt;$N$3),0,1))</f>
        <v>0</v>
      </c>
      <c r="P1964" s="3">
        <f>IF(AND($K1964=1,AND(对接源_02物料!$X764="公司筐",N(对接源_02物料!$T764)&lt;&gt;0)),1,0)</f>
        <v>0</v>
      </c>
      <c r="Q1964" s="3">
        <f t="shared" si="522"/>
        <v>8</v>
      </c>
      <c r="R1964" s="3">
        <f>IF(AND($K1964=1,AND(对接源_02物料!$X764="公司筐",N(对接源_02物料!$U764)&lt;&gt;0)),1,0)</f>
        <v>0</v>
      </c>
      <c r="S1964" s="3">
        <f t="shared" si="523"/>
        <v>0</v>
      </c>
      <c r="T1964" s="3">
        <f>IF(AND($K1964=1,AND(对接源_02物料!$X764="公司筐",N(对接源_02物料!$V764)&lt;&gt;0)),1,0)</f>
        <v>0</v>
      </c>
      <c r="U1964" s="3">
        <f t="shared" si="524"/>
        <v>19</v>
      </c>
      <c r="V1964" s="3">
        <f>IF(AND($L1964=1,AND(对接源_02物料!$X764="自备筐",N(对接源_02物料!$V764)&lt;&gt;0)),1,0)</f>
        <v>0</v>
      </c>
      <c r="W1964" s="3">
        <f t="shared" si="525"/>
        <v>8</v>
      </c>
      <c r="X1964" s="3">
        <f>IF(AND($L1964=1,AND(对接源_02物料!$X764="自备筐",N(对接源_02物料!$T764)&lt;&gt;0)),1,0)</f>
        <v>0</v>
      </c>
      <c r="Y1964" s="3">
        <f t="shared" si="526"/>
        <v>0</v>
      </c>
      <c r="Z1964" s="3">
        <f>IF(AND($M1964=1,对接源_02物料!$D764="原料入库"),1,0)</f>
        <v>0</v>
      </c>
      <c r="AA1964" s="3">
        <f t="shared" si="527"/>
        <v>24</v>
      </c>
      <c r="AB1964" s="3">
        <f>IF(AND($M1964=1,LEFT(对接源_02物料!$D764,4)="原料出库"),1,0)</f>
        <v>0</v>
      </c>
      <c r="AC1964" s="3">
        <f t="shared" si="528"/>
        <v>0</v>
      </c>
      <c r="AD1964" s="3">
        <f>IF(AND($M1964=1,LEFT(对接源_02物料!$D764,4)="成品出库"),1,0)</f>
        <v>0</v>
      </c>
      <c r="AE1964" s="3">
        <f t="shared" si="529"/>
        <v>0</v>
      </c>
      <c r="AF1964" s="3">
        <f>IF(AND($N1964=1,AND(LEFT(对接源_02物料!$D764,4)="包装物料",N(对接源_02物料!$K764)&lt;&gt;0)),1,0)</f>
        <v>0</v>
      </c>
      <c r="AG1964" s="3">
        <f t="shared" si="530"/>
        <v>5</v>
      </c>
      <c r="AH1964" s="3">
        <f>IF(AND($N1964=1,AND(对接源_02物料!$D764="周转筐－销售出库",N(对接源_02物料!$K764)&lt;&gt;0)),1,0)</f>
        <v>0</v>
      </c>
      <c r="AI1964" s="3">
        <f t="shared" si="531"/>
        <v>0</v>
      </c>
      <c r="AL1964" s="3">
        <v>0</v>
      </c>
      <c r="AM1964" s="3">
        <f t="shared" si="532"/>
        <v>1</v>
      </c>
      <c r="AN1964" s="3" t="str">
        <f t="shared" si="519"/>
        <v/>
      </c>
      <c r="AO1964" s="3">
        <v>0</v>
      </c>
      <c r="AP1964" s="3">
        <f t="shared" si="533"/>
        <v>8</v>
      </c>
      <c r="AR1964">
        <f t="shared" si="534"/>
        <v>0</v>
      </c>
      <c r="AS1964">
        <f t="shared" si="535"/>
        <v>5</v>
      </c>
    </row>
    <row r="1965" customHeight="1" spans="1:45">
      <c r="A1965" s="3" t="str">
        <f>IF(对接源_02物料!$C765="","",对接源_02物料!$C765)</f>
        <v/>
      </c>
      <c r="B1965" s="3">
        <f t="shared" si="520"/>
        <v>0</v>
      </c>
      <c r="C1965" s="3">
        <f t="shared" si="521"/>
        <v>21</v>
      </c>
      <c r="K1965" s="3">
        <f>IF(OR($K$1="",对接源_02物料!$C765="",对接源_02物料!$C765&lt;&gt;$K$1,对接源_02物料!$B765=""),0,IF(OR(N(对接源_02物料!$B765)&lt;$K$2,N(对接源_02物料!$B765)&gt;$K$3),0,1))</f>
        <v>0</v>
      </c>
      <c r="L1965" s="3">
        <f>IF(OR($L$1="",对接源_02物料!$C765="",对接源_02物料!$C765&lt;&gt;$L$1,对接源_02物料!$B765=""),0,IF(OR(N(对接源_02物料!$B765)&lt;$L$2,N(对接源_02物料!$B765)&gt;$L$3),0,1))</f>
        <v>0</v>
      </c>
      <c r="M1965" s="3">
        <f>IF(OR($M$1="",对接源_02物料!$C765="",对接源_02物料!$C765&lt;&gt;$M$1,对接源_02物料!$B765=""),0,IF(OR(N(对接源_02物料!$B765)&lt;$M$2,N(对接源_02物料!$B765)&gt;$M$3),0,1))</f>
        <v>0</v>
      </c>
      <c r="N1965" s="3">
        <f>IF(OR($N$1="",对接源_02物料!$C765="",对接源_02物料!$C765&lt;&gt;$N$1,对接源_02物料!$B765=""),0,IF(OR(N(对接源_02物料!$B765)&lt;$N$2,N(对接源_02物料!$B765)&gt;$N$3),0,1))</f>
        <v>0</v>
      </c>
      <c r="P1965" s="3">
        <f>IF(AND($K1965=1,AND(对接源_02物料!$X765="公司筐",N(对接源_02物料!$T765)&lt;&gt;0)),1,0)</f>
        <v>0</v>
      </c>
      <c r="Q1965" s="3">
        <f t="shared" si="522"/>
        <v>8</v>
      </c>
      <c r="R1965" s="3">
        <f>IF(AND($K1965=1,AND(对接源_02物料!$X765="公司筐",N(对接源_02物料!$U765)&lt;&gt;0)),1,0)</f>
        <v>0</v>
      </c>
      <c r="S1965" s="3">
        <f t="shared" si="523"/>
        <v>0</v>
      </c>
      <c r="T1965" s="3">
        <f>IF(AND($K1965=1,AND(对接源_02物料!$X765="公司筐",N(对接源_02物料!$V765)&lt;&gt;0)),1,0)</f>
        <v>0</v>
      </c>
      <c r="U1965" s="3">
        <f t="shared" si="524"/>
        <v>19</v>
      </c>
      <c r="V1965" s="3">
        <f>IF(AND($L1965=1,AND(对接源_02物料!$X765="自备筐",N(对接源_02物料!$V765)&lt;&gt;0)),1,0)</f>
        <v>0</v>
      </c>
      <c r="W1965" s="3">
        <f t="shared" si="525"/>
        <v>8</v>
      </c>
      <c r="X1965" s="3">
        <f>IF(AND($L1965=1,AND(对接源_02物料!$X765="自备筐",N(对接源_02物料!$T765)&lt;&gt;0)),1,0)</f>
        <v>0</v>
      </c>
      <c r="Y1965" s="3">
        <f t="shared" si="526"/>
        <v>0</v>
      </c>
      <c r="Z1965" s="3">
        <f>IF(AND($M1965=1,对接源_02物料!$D765="原料入库"),1,0)</f>
        <v>0</v>
      </c>
      <c r="AA1965" s="3">
        <f t="shared" si="527"/>
        <v>24</v>
      </c>
      <c r="AB1965" s="3">
        <f>IF(AND($M1965=1,LEFT(对接源_02物料!$D765,4)="原料出库"),1,0)</f>
        <v>0</v>
      </c>
      <c r="AC1965" s="3">
        <f t="shared" si="528"/>
        <v>0</v>
      </c>
      <c r="AD1965" s="3">
        <f>IF(AND($M1965=1,LEFT(对接源_02物料!$D765,4)="成品出库"),1,0)</f>
        <v>0</v>
      </c>
      <c r="AE1965" s="3">
        <f t="shared" si="529"/>
        <v>0</v>
      </c>
      <c r="AF1965" s="3">
        <f>IF(AND($N1965=1,AND(LEFT(对接源_02物料!$D765,4)="包装物料",N(对接源_02物料!$K765)&lt;&gt;0)),1,0)</f>
        <v>0</v>
      </c>
      <c r="AG1965" s="3">
        <f t="shared" si="530"/>
        <v>5</v>
      </c>
      <c r="AH1965" s="3">
        <f>IF(AND($N1965=1,AND(对接源_02物料!$D765="周转筐－销售出库",N(对接源_02物料!$K765)&lt;&gt;0)),1,0)</f>
        <v>0</v>
      </c>
      <c r="AI1965" s="3">
        <f t="shared" si="531"/>
        <v>0</v>
      </c>
      <c r="AL1965" s="3">
        <v>0</v>
      </c>
      <c r="AM1965" s="3">
        <f t="shared" si="532"/>
        <v>1</v>
      </c>
      <c r="AN1965" s="3" t="str">
        <f t="shared" si="519"/>
        <v/>
      </c>
      <c r="AO1965" s="3">
        <v>0</v>
      </c>
      <c r="AP1965" s="3">
        <f t="shared" si="533"/>
        <v>8</v>
      </c>
      <c r="AR1965">
        <f t="shared" si="534"/>
        <v>0</v>
      </c>
      <c r="AS1965">
        <f t="shared" si="535"/>
        <v>5</v>
      </c>
    </row>
    <row r="1966" customHeight="1" spans="1:45">
      <c r="A1966" s="3" t="str">
        <f>IF(对接源_02物料!$C766="","",对接源_02物料!$C766)</f>
        <v/>
      </c>
      <c r="B1966" s="3">
        <f t="shared" si="520"/>
        <v>0</v>
      </c>
      <c r="C1966" s="3">
        <f t="shared" si="521"/>
        <v>21</v>
      </c>
      <c r="K1966" s="3">
        <f>IF(OR($K$1="",对接源_02物料!$C766="",对接源_02物料!$C766&lt;&gt;$K$1,对接源_02物料!$B766=""),0,IF(OR(N(对接源_02物料!$B766)&lt;$K$2,N(对接源_02物料!$B766)&gt;$K$3),0,1))</f>
        <v>0</v>
      </c>
      <c r="L1966" s="3">
        <f>IF(OR($L$1="",对接源_02物料!$C766="",对接源_02物料!$C766&lt;&gt;$L$1,对接源_02物料!$B766=""),0,IF(OR(N(对接源_02物料!$B766)&lt;$L$2,N(对接源_02物料!$B766)&gt;$L$3),0,1))</f>
        <v>0</v>
      </c>
      <c r="M1966" s="3">
        <f>IF(OR($M$1="",对接源_02物料!$C766="",对接源_02物料!$C766&lt;&gt;$M$1,对接源_02物料!$B766=""),0,IF(OR(N(对接源_02物料!$B766)&lt;$M$2,N(对接源_02物料!$B766)&gt;$M$3),0,1))</f>
        <v>0</v>
      </c>
      <c r="N1966" s="3">
        <f>IF(OR($N$1="",对接源_02物料!$C766="",对接源_02物料!$C766&lt;&gt;$N$1,对接源_02物料!$B766=""),0,IF(OR(N(对接源_02物料!$B766)&lt;$N$2,N(对接源_02物料!$B766)&gt;$N$3),0,1))</f>
        <v>0</v>
      </c>
      <c r="P1966" s="3">
        <f>IF(AND($K1966=1,AND(对接源_02物料!$X766="公司筐",N(对接源_02物料!$T766)&lt;&gt;0)),1,0)</f>
        <v>0</v>
      </c>
      <c r="Q1966" s="3">
        <f t="shared" si="522"/>
        <v>8</v>
      </c>
      <c r="R1966" s="3">
        <f>IF(AND($K1966=1,AND(对接源_02物料!$X766="公司筐",N(对接源_02物料!$U766)&lt;&gt;0)),1,0)</f>
        <v>0</v>
      </c>
      <c r="S1966" s="3">
        <f t="shared" si="523"/>
        <v>0</v>
      </c>
      <c r="T1966" s="3">
        <f>IF(AND($K1966=1,AND(对接源_02物料!$X766="公司筐",N(对接源_02物料!$V766)&lt;&gt;0)),1,0)</f>
        <v>0</v>
      </c>
      <c r="U1966" s="3">
        <f t="shared" si="524"/>
        <v>19</v>
      </c>
      <c r="V1966" s="3">
        <f>IF(AND($L1966=1,AND(对接源_02物料!$X766="自备筐",N(对接源_02物料!$V766)&lt;&gt;0)),1,0)</f>
        <v>0</v>
      </c>
      <c r="W1966" s="3">
        <f t="shared" si="525"/>
        <v>8</v>
      </c>
      <c r="X1966" s="3">
        <f>IF(AND($L1966=1,AND(对接源_02物料!$X766="自备筐",N(对接源_02物料!$T766)&lt;&gt;0)),1,0)</f>
        <v>0</v>
      </c>
      <c r="Y1966" s="3">
        <f t="shared" si="526"/>
        <v>0</v>
      </c>
      <c r="Z1966" s="3">
        <f>IF(AND($M1966=1,对接源_02物料!$D766="原料入库"),1,0)</f>
        <v>0</v>
      </c>
      <c r="AA1966" s="3">
        <f t="shared" si="527"/>
        <v>24</v>
      </c>
      <c r="AB1966" s="3">
        <f>IF(AND($M1966=1,LEFT(对接源_02物料!$D766,4)="原料出库"),1,0)</f>
        <v>0</v>
      </c>
      <c r="AC1966" s="3">
        <f t="shared" si="528"/>
        <v>0</v>
      </c>
      <c r="AD1966" s="3">
        <f>IF(AND($M1966=1,LEFT(对接源_02物料!$D766,4)="成品出库"),1,0)</f>
        <v>0</v>
      </c>
      <c r="AE1966" s="3">
        <f t="shared" si="529"/>
        <v>0</v>
      </c>
      <c r="AF1966" s="3">
        <f>IF(AND($N1966=1,AND(LEFT(对接源_02物料!$D766,4)="包装物料",N(对接源_02物料!$K766)&lt;&gt;0)),1,0)</f>
        <v>0</v>
      </c>
      <c r="AG1966" s="3">
        <f t="shared" si="530"/>
        <v>5</v>
      </c>
      <c r="AH1966" s="3">
        <f>IF(AND($N1966=1,AND(对接源_02物料!$D766="周转筐－销售出库",N(对接源_02物料!$K766)&lt;&gt;0)),1,0)</f>
        <v>0</v>
      </c>
      <c r="AI1966" s="3">
        <f t="shared" si="531"/>
        <v>0</v>
      </c>
      <c r="AL1966" s="3">
        <v>0</v>
      </c>
      <c r="AM1966" s="3">
        <f t="shared" si="532"/>
        <v>1</v>
      </c>
      <c r="AN1966" s="3" t="str">
        <f t="shared" si="519"/>
        <v/>
      </c>
      <c r="AO1966" s="3">
        <v>0</v>
      </c>
      <c r="AP1966" s="3">
        <f t="shared" si="533"/>
        <v>8</v>
      </c>
      <c r="AR1966">
        <f t="shared" si="534"/>
        <v>0</v>
      </c>
      <c r="AS1966">
        <f t="shared" si="535"/>
        <v>5</v>
      </c>
    </row>
    <row r="1967" customHeight="1" spans="1:45">
      <c r="A1967" s="3" t="str">
        <f>IF(对接源_02物料!$C767="","",对接源_02物料!$C767)</f>
        <v/>
      </c>
      <c r="B1967" s="3">
        <f t="shared" si="520"/>
        <v>0</v>
      </c>
      <c r="C1967" s="3">
        <f t="shared" si="521"/>
        <v>21</v>
      </c>
      <c r="K1967" s="3">
        <f>IF(OR($K$1="",对接源_02物料!$C767="",对接源_02物料!$C767&lt;&gt;$K$1,对接源_02物料!$B767=""),0,IF(OR(N(对接源_02物料!$B767)&lt;$K$2,N(对接源_02物料!$B767)&gt;$K$3),0,1))</f>
        <v>0</v>
      </c>
      <c r="L1967" s="3">
        <f>IF(OR($L$1="",对接源_02物料!$C767="",对接源_02物料!$C767&lt;&gt;$L$1,对接源_02物料!$B767=""),0,IF(OR(N(对接源_02物料!$B767)&lt;$L$2,N(对接源_02物料!$B767)&gt;$L$3),0,1))</f>
        <v>0</v>
      </c>
      <c r="M1967" s="3">
        <f>IF(OR($M$1="",对接源_02物料!$C767="",对接源_02物料!$C767&lt;&gt;$M$1,对接源_02物料!$B767=""),0,IF(OR(N(对接源_02物料!$B767)&lt;$M$2,N(对接源_02物料!$B767)&gt;$M$3),0,1))</f>
        <v>0</v>
      </c>
      <c r="N1967" s="3">
        <f>IF(OR($N$1="",对接源_02物料!$C767="",对接源_02物料!$C767&lt;&gt;$N$1,对接源_02物料!$B767=""),0,IF(OR(N(对接源_02物料!$B767)&lt;$N$2,N(对接源_02物料!$B767)&gt;$N$3),0,1))</f>
        <v>0</v>
      </c>
      <c r="P1967" s="3">
        <f>IF(AND($K1967=1,AND(对接源_02物料!$X767="公司筐",N(对接源_02物料!$T767)&lt;&gt;0)),1,0)</f>
        <v>0</v>
      </c>
      <c r="Q1967" s="3">
        <f t="shared" si="522"/>
        <v>8</v>
      </c>
      <c r="R1967" s="3">
        <f>IF(AND($K1967=1,AND(对接源_02物料!$X767="公司筐",N(对接源_02物料!$U767)&lt;&gt;0)),1,0)</f>
        <v>0</v>
      </c>
      <c r="S1967" s="3">
        <f t="shared" si="523"/>
        <v>0</v>
      </c>
      <c r="T1967" s="3">
        <f>IF(AND($K1967=1,AND(对接源_02物料!$X767="公司筐",N(对接源_02物料!$V767)&lt;&gt;0)),1,0)</f>
        <v>0</v>
      </c>
      <c r="U1967" s="3">
        <f t="shared" si="524"/>
        <v>19</v>
      </c>
      <c r="V1967" s="3">
        <f>IF(AND($L1967=1,AND(对接源_02物料!$X767="自备筐",N(对接源_02物料!$V767)&lt;&gt;0)),1,0)</f>
        <v>0</v>
      </c>
      <c r="W1967" s="3">
        <f t="shared" si="525"/>
        <v>8</v>
      </c>
      <c r="X1967" s="3">
        <f>IF(AND($L1967=1,AND(对接源_02物料!$X767="自备筐",N(对接源_02物料!$T767)&lt;&gt;0)),1,0)</f>
        <v>0</v>
      </c>
      <c r="Y1967" s="3">
        <f t="shared" si="526"/>
        <v>0</v>
      </c>
      <c r="Z1967" s="3">
        <f>IF(AND($M1967=1,对接源_02物料!$D767="原料入库"),1,0)</f>
        <v>0</v>
      </c>
      <c r="AA1967" s="3">
        <f t="shared" si="527"/>
        <v>24</v>
      </c>
      <c r="AB1967" s="3">
        <f>IF(AND($M1967=1,LEFT(对接源_02物料!$D767,4)="原料出库"),1,0)</f>
        <v>0</v>
      </c>
      <c r="AC1967" s="3">
        <f t="shared" si="528"/>
        <v>0</v>
      </c>
      <c r="AD1967" s="3">
        <f>IF(AND($M1967=1,LEFT(对接源_02物料!$D767,4)="成品出库"),1,0)</f>
        <v>0</v>
      </c>
      <c r="AE1967" s="3">
        <f t="shared" si="529"/>
        <v>0</v>
      </c>
      <c r="AF1967" s="3">
        <f>IF(AND($N1967=1,AND(LEFT(对接源_02物料!$D767,4)="包装物料",N(对接源_02物料!$K767)&lt;&gt;0)),1,0)</f>
        <v>0</v>
      </c>
      <c r="AG1967" s="3">
        <f t="shared" si="530"/>
        <v>5</v>
      </c>
      <c r="AH1967" s="3">
        <f>IF(AND($N1967=1,AND(对接源_02物料!$D767="周转筐－销售出库",N(对接源_02物料!$K767)&lt;&gt;0)),1,0)</f>
        <v>0</v>
      </c>
      <c r="AI1967" s="3">
        <f t="shared" si="531"/>
        <v>0</v>
      </c>
      <c r="AL1967" s="3">
        <v>0</v>
      </c>
      <c r="AM1967" s="3">
        <f t="shared" si="532"/>
        <v>1</v>
      </c>
      <c r="AN1967" s="3" t="str">
        <f t="shared" si="519"/>
        <v/>
      </c>
      <c r="AO1967" s="3">
        <v>0</v>
      </c>
      <c r="AP1967" s="3">
        <f t="shared" si="533"/>
        <v>8</v>
      </c>
      <c r="AR1967">
        <f t="shared" si="534"/>
        <v>0</v>
      </c>
      <c r="AS1967">
        <f t="shared" si="535"/>
        <v>5</v>
      </c>
    </row>
    <row r="1968" customHeight="1" spans="1:45">
      <c r="A1968" s="3" t="str">
        <f>IF(对接源_02物料!$C768="","",对接源_02物料!$C768)</f>
        <v/>
      </c>
      <c r="B1968" s="3">
        <f t="shared" si="520"/>
        <v>0</v>
      </c>
      <c r="C1968" s="3">
        <f t="shared" si="521"/>
        <v>21</v>
      </c>
      <c r="K1968" s="3">
        <f>IF(OR($K$1="",对接源_02物料!$C768="",对接源_02物料!$C768&lt;&gt;$K$1,对接源_02物料!$B768=""),0,IF(OR(N(对接源_02物料!$B768)&lt;$K$2,N(对接源_02物料!$B768)&gt;$K$3),0,1))</f>
        <v>0</v>
      </c>
      <c r="L1968" s="3">
        <f>IF(OR($L$1="",对接源_02物料!$C768="",对接源_02物料!$C768&lt;&gt;$L$1,对接源_02物料!$B768=""),0,IF(OR(N(对接源_02物料!$B768)&lt;$L$2,N(对接源_02物料!$B768)&gt;$L$3),0,1))</f>
        <v>0</v>
      </c>
      <c r="M1968" s="3">
        <f>IF(OR($M$1="",对接源_02物料!$C768="",对接源_02物料!$C768&lt;&gt;$M$1,对接源_02物料!$B768=""),0,IF(OR(N(对接源_02物料!$B768)&lt;$M$2,N(对接源_02物料!$B768)&gt;$M$3),0,1))</f>
        <v>0</v>
      </c>
      <c r="N1968" s="3">
        <f>IF(OR($N$1="",对接源_02物料!$C768="",对接源_02物料!$C768&lt;&gt;$N$1,对接源_02物料!$B768=""),0,IF(OR(N(对接源_02物料!$B768)&lt;$N$2,N(对接源_02物料!$B768)&gt;$N$3),0,1))</f>
        <v>0</v>
      </c>
      <c r="P1968" s="3">
        <f>IF(AND($K1968=1,AND(对接源_02物料!$X768="公司筐",N(对接源_02物料!$T768)&lt;&gt;0)),1,0)</f>
        <v>0</v>
      </c>
      <c r="Q1968" s="3">
        <f t="shared" si="522"/>
        <v>8</v>
      </c>
      <c r="R1968" s="3">
        <f>IF(AND($K1968=1,AND(对接源_02物料!$X768="公司筐",N(对接源_02物料!$U768)&lt;&gt;0)),1,0)</f>
        <v>0</v>
      </c>
      <c r="S1968" s="3">
        <f t="shared" si="523"/>
        <v>0</v>
      </c>
      <c r="T1968" s="3">
        <f>IF(AND($K1968=1,AND(对接源_02物料!$X768="公司筐",N(对接源_02物料!$V768)&lt;&gt;0)),1,0)</f>
        <v>0</v>
      </c>
      <c r="U1968" s="3">
        <f t="shared" si="524"/>
        <v>19</v>
      </c>
      <c r="V1968" s="3">
        <f>IF(AND($L1968=1,AND(对接源_02物料!$X768="自备筐",N(对接源_02物料!$V768)&lt;&gt;0)),1,0)</f>
        <v>0</v>
      </c>
      <c r="W1968" s="3">
        <f t="shared" si="525"/>
        <v>8</v>
      </c>
      <c r="X1968" s="3">
        <f>IF(AND($L1968=1,AND(对接源_02物料!$X768="自备筐",N(对接源_02物料!$T768)&lt;&gt;0)),1,0)</f>
        <v>0</v>
      </c>
      <c r="Y1968" s="3">
        <f t="shared" si="526"/>
        <v>0</v>
      </c>
      <c r="Z1968" s="3">
        <f>IF(AND($M1968=1,对接源_02物料!$D768="原料入库"),1,0)</f>
        <v>0</v>
      </c>
      <c r="AA1968" s="3">
        <f t="shared" si="527"/>
        <v>24</v>
      </c>
      <c r="AB1968" s="3">
        <f>IF(AND($M1968=1,LEFT(对接源_02物料!$D768,4)="原料出库"),1,0)</f>
        <v>0</v>
      </c>
      <c r="AC1968" s="3">
        <f t="shared" si="528"/>
        <v>0</v>
      </c>
      <c r="AD1968" s="3">
        <f>IF(AND($M1968=1,LEFT(对接源_02物料!$D768,4)="成品出库"),1,0)</f>
        <v>0</v>
      </c>
      <c r="AE1968" s="3">
        <f t="shared" si="529"/>
        <v>0</v>
      </c>
      <c r="AF1968" s="3">
        <f>IF(AND($N1968=1,AND(LEFT(对接源_02物料!$D768,4)="包装物料",N(对接源_02物料!$K768)&lt;&gt;0)),1,0)</f>
        <v>0</v>
      </c>
      <c r="AG1968" s="3">
        <f t="shared" si="530"/>
        <v>5</v>
      </c>
      <c r="AH1968" s="3">
        <f>IF(AND($N1968=1,AND(对接源_02物料!$D768="周转筐－销售出库",N(对接源_02物料!$K768)&lt;&gt;0)),1,0)</f>
        <v>0</v>
      </c>
      <c r="AI1968" s="3">
        <f t="shared" si="531"/>
        <v>0</v>
      </c>
      <c r="AL1968" s="3">
        <v>0</v>
      </c>
      <c r="AM1968" s="3">
        <f t="shared" si="532"/>
        <v>1</v>
      </c>
      <c r="AN1968" s="3" t="str">
        <f t="shared" si="519"/>
        <v/>
      </c>
      <c r="AO1968" s="3">
        <v>0</v>
      </c>
      <c r="AP1968" s="3">
        <f t="shared" si="533"/>
        <v>8</v>
      </c>
      <c r="AR1968">
        <f t="shared" si="534"/>
        <v>0</v>
      </c>
      <c r="AS1968">
        <f t="shared" si="535"/>
        <v>5</v>
      </c>
    </row>
    <row r="1969" customHeight="1" spans="1:45">
      <c r="A1969" s="3" t="str">
        <f>IF(对接源_02物料!$C769="","",对接源_02物料!$C769)</f>
        <v/>
      </c>
      <c r="B1969" s="3">
        <f t="shared" si="520"/>
        <v>0</v>
      </c>
      <c r="C1969" s="3">
        <f t="shared" si="521"/>
        <v>21</v>
      </c>
      <c r="K1969" s="3">
        <f>IF(OR($K$1="",对接源_02物料!$C769="",对接源_02物料!$C769&lt;&gt;$K$1,对接源_02物料!$B769=""),0,IF(OR(N(对接源_02物料!$B769)&lt;$K$2,N(对接源_02物料!$B769)&gt;$K$3),0,1))</f>
        <v>0</v>
      </c>
      <c r="L1969" s="3">
        <f>IF(OR($L$1="",对接源_02物料!$C769="",对接源_02物料!$C769&lt;&gt;$L$1,对接源_02物料!$B769=""),0,IF(OR(N(对接源_02物料!$B769)&lt;$L$2,N(对接源_02物料!$B769)&gt;$L$3),0,1))</f>
        <v>0</v>
      </c>
      <c r="M1969" s="3">
        <f>IF(OR($M$1="",对接源_02物料!$C769="",对接源_02物料!$C769&lt;&gt;$M$1,对接源_02物料!$B769=""),0,IF(OR(N(对接源_02物料!$B769)&lt;$M$2,N(对接源_02物料!$B769)&gt;$M$3),0,1))</f>
        <v>0</v>
      </c>
      <c r="N1969" s="3">
        <f>IF(OR($N$1="",对接源_02物料!$C769="",对接源_02物料!$C769&lt;&gt;$N$1,对接源_02物料!$B769=""),0,IF(OR(N(对接源_02物料!$B769)&lt;$N$2,N(对接源_02物料!$B769)&gt;$N$3),0,1))</f>
        <v>0</v>
      </c>
      <c r="P1969" s="3">
        <f>IF(AND($K1969=1,AND(对接源_02物料!$X769="公司筐",N(对接源_02物料!$T769)&lt;&gt;0)),1,0)</f>
        <v>0</v>
      </c>
      <c r="Q1969" s="3">
        <f t="shared" si="522"/>
        <v>8</v>
      </c>
      <c r="R1969" s="3">
        <f>IF(AND($K1969=1,AND(对接源_02物料!$X769="公司筐",N(对接源_02物料!$U769)&lt;&gt;0)),1,0)</f>
        <v>0</v>
      </c>
      <c r="S1969" s="3">
        <f t="shared" si="523"/>
        <v>0</v>
      </c>
      <c r="T1969" s="3">
        <f>IF(AND($K1969=1,AND(对接源_02物料!$X769="公司筐",N(对接源_02物料!$V769)&lt;&gt;0)),1,0)</f>
        <v>0</v>
      </c>
      <c r="U1969" s="3">
        <f t="shared" si="524"/>
        <v>19</v>
      </c>
      <c r="V1969" s="3">
        <f>IF(AND($L1969=1,AND(对接源_02物料!$X769="自备筐",N(对接源_02物料!$V769)&lt;&gt;0)),1,0)</f>
        <v>0</v>
      </c>
      <c r="W1969" s="3">
        <f t="shared" si="525"/>
        <v>8</v>
      </c>
      <c r="X1969" s="3">
        <f>IF(AND($L1969=1,AND(对接源_02物料!$X769="自备筐",N(对接源_02物料!$T769)&lt;&gt;0)),1,0)</f>
        <v>0</v>
      </c>
      <c r="Y1969" s="3">
        <f t="shared" si="526"/>
        <v>0</v>
      </c>
      <c r="Z1969" s="3">
        <f>IF(AND($M1969=1,对接源_02物料!$D769="原料入库"),1,0)</f>
        <v>0</v>
      </c>
      <c r="AA1969" s="3">
        <f t="shared" si="527"/>
        <v>24</v>
      </c>
      <c r="AB1969" s="3">
        <f>IF(AND($M1969=1,LEFT(对接源_02物料!$D769,4)="原料出库"),1,0)</f>
        <v>0</v>
      </c>
      <c r="AC1969" s="3">
        <f t="shared" si="528"/>
        <v>0</v>
      </c>
      <c r="AD1969" s="3">
        <f>IF(AND($M1969=1,LEFT(对接源_02物料!$D769,4)="成品出库"),1,0)</f>
        <v>0</v>
      </c>
      <c r="AE1969" s="3">
        <f t="shared" si="529"/>
        <v>0</v>
      </c>
      <c r="AF1969" s="3">
        <f>IF(AND($N1969=1,AND(LEFT(对接源_02物料!$D769,4)="包装物料",N(对接源_02物料!$K769)&lt;&gt;0)),1,0)</f>
        <v>0</v>
      </c>
      <c r="AG1969" s="3">
        <f t="shared" si="530"/>
        <v>5</v>
      </c>
      <c r="AH1969" s="3">
        <f>IF(AND($N1969=1,AND(对接源_02物料!$D769="周转筐－销售出库",N(对接源_02物料!$K769)&lt;&gt;0)),1,0)</f>
        <v>0</v>
      </c>
      <c r="AI1969" s="3">
        <f t="shared" si="531"/>
        <v>0</v>
      </c>
      <c r="AL1969" s="3">
        <v>0</v>
      </c>
      <c r="AM1969" s="3">
        <f t="shared" si="532"/>
        <v>1</v>
      </c>
      <c r="AN1969" s="3" t="str">
        <f t="shared" si="519"/>
        <v/>
      </c>
      <c r="AO1969" s="3">
        <v>0</v>
      </c>
      <c r="AP1969" s="3">
        <f t="shared" si="533"/>
        <v>8</v>
      </c>
      <c r="AR1969">
        <f t="shared" si="534"/>
        <v>0</v>
      </c>
      <c r="AS1969">
        <f t="shared" si="535"/>
        <v>5</v>
      </c>
    </row>
    <row r="1970" customHeight="1" spans="1:45">
      <c r="A1970" s="3" t="str">
        <f>IF(对接源_02物料!$C770="","",对接源_02物料!$C770)</f>
        <v/>
      </c>
      <c r="B1970" s="3">
        <f t="shared" si="520"/>
        <v>0</v>
      </c>
      <c r="C1970" s="3">
        <f t="shared" si="521"/>
        <v>21</v>
      </c>
      <c r="K1970" s="3">
        <f>IF(OR($K$1="",对接源_02物料!$C770="",对接源_02物料!$C770&lt;&gt;$K$1,对接源_02物料!$B770=""),0,IF(OR(N(对接源_02物料!$B770)&lt;$K$2,N(对接源_02物料!$B770)&gt;$K$3),0,1))</f>
        <v>0</v>
      </c>
      <c r="L1970" s="3">
        <f>IF(OR($L$1="",对接源_02物料!$C770="",对接源_02物料!$C770&lt;&gt;$L$1,对接源_02物料!$B770=""),0,IF(OR(N(对接源_02物料!$B770)&lt;$L$2,N(对接源_02物料!$B770)&gt;$L$3),0,1))</f>
        <v>0</v>
      </c>
      <c r="M1970" s="3">
        <f>IF(OR($M$1="",对接源_02物料!$C770="",对接源_02物料!$C770&lt;&gt;$M$1,对接源_02物料!$B770=""),0,IF(OR(N(对接源_02物料!$B770)&lt;$M$2,N(对接源_02物料!$B770)&gt;$M$3),0,1))</f>
        <v>0</v>
      </c>
      <c r="N1970" s="3">
        <f>IF(OR($N$1="",对接源_02物料!$C770="",对接源_02物料!$C770&lt;&gt;$N$1,对接源_02物料!$B770=""),0,IF(OR(N(对接源_02物料!$B770)&lt;$N$2,N(对接源_02物料!$B770)&gt;$N$3),0,1))</f>
        <v>0</v>
      </c>
      <c r="P1970" s="3">
        <f>IF(AND($K1970=1,AND(对接源_02物料!$X770="公司筐",N(对接源_02物料!$T770)&lt;&gt;0)),1,0)</f>
        <v>0</v>
      </c>
      <c r="Q1970" s="3">
        <f t="shared" si="522"/>
        <v>8</v>
      </c>
      <c r="R1970" s="3">
        <f>IF(AND($K1970=1,AND(对接源_02物料!$X770="公司筐",N(对接源_02物料!$U770)&lt;&gt;0)),1,0)</f>
        <v>0</v>
      </c>
      <c r="S1970" s="3">
        <f t="shared" si="523"/>
        <v>0</v>
      </c>
      <c r="T1970" s="3">
        <f>IF(AND($K1970=1,AND(对接源_02物料!$X770="公司筐",N(对接源_02物料!$V770)&lt;&gt;0)),1,0)</f>
        <v>0</v>
      </c>
      <c r="U1970" s="3">
        <f t="shared" si="524"/>
        <v>19</v>
      </c>
      <c r="V1970" s="3">
        <f>IF(AND($L1970=1,AND(对接源_02物料!$X770="自备筐",N(对接源_02物料!$V770)&lt;&gt;0)),1,0)</f>
        <v>0</v>
      </c>
      <c r="W1970" s="3">
        <f t="shared" si="525"/>
        <v>8</v>
      </c>
      <c r="X1970" s="3">
        <f>IF(AND($L1970=1,AND(对接源_02物料!$X770="自备筐",N(对接源_02物料!$T770)&lt;&gt;0)),1,0)</f>
        <v>0</v>
      </c>
      <c r="Y1970" s="3">
        <f t="shared" si="526"/>
        <v>0</v>
      </c>
      <c r="Z1970" s="3">
        <f>IF(AND($M1970=1,对接源_02物料!$D770="原料入库"),1,0)</f>
        <v>0</v>
      </c>
      <c r="AA1970" s="3">
        <f t="shared" si="527"/>
        <v>24</v>
      </c>
      <c r="AB1970" s="3">
        <f>IF(AND($M1970=1,LEFT(对接源_02物料!$D770,4)="原料出库"),1,0)</f>
        <v>0</v>
      </c>
      <c r="AC1970" s="3">
        <f t="shared" si="528"/>
        <v>0</v>
      </c>
      <c r="AD1970" s="3">
        <f>IF(AND($M1970=1,LEFT(对接源_02物料!$D770,4)="成品出库"),1,0)</f>
        <v>0</v>
      </c>
      <c r="AE1970" s="3">
        <f t="shared" si="529"/>
        <v>0</v>
      </c>
      <c r="AF1970" s="3">
        <f>IF(AND($N1970=1,AND(LEFT(对接源_02物料!$D770,4)="包装物料",N(对接源_02物料!$K770)&lt;&gt;0)),1,0)</f>
        <v>0</v>
      </c>
      <c r="AG1970" s="3">
        <f t="shared" si="530"/>
        <v>5</v>
      </c>
      <c r="AH1970" s="3">
        <f>IF(AND($N1970=1,AND(对接源_02物料!$D770="周转筐－销售出库",N(对接源_02物料!$K770)&lt;&gt;0)),1,0)</f>
        <v>0</v>
      </c>
      <c r="AI1970" s="3">
        <f t="shared" si="531"/>
        <v>0</v>
      </c>
      <c r="AL1970" s="3">
        <v>0</v>
      </c>
      <c r="AM1970" s="3">
        <f t="shared" si="532"/>
        <v>1</v>
      </c>
      <c r="AN1970" s="3" t="str">
        <f t="shared" si="519"/>
        <v/>
      </c>
      <c r="AO1970" s="3">
        <v>0</v>
      </c>
      <c r="AP1970" s="3">
        <f t="shared" si="533"/>
        <v>8</v>
      </c>
      <c r="AR1970">
        <f t="shared" si="534"/>
        <v>0</v>
      </c>
      <c r="AS1970">
        <f t="shared" si="535"/>
        <v>5</v>
      </c>
    </row>
    <row r="1971" customHeight="1" spans="1:45">
      <c r="A1971" s="3" t="str">
        <f>IF(对接源_02物料!$C771="","",对接源_02物料!$C771)</f>
        <v/>
      </c>
      <c r="B1971" s="3">
        <f t="shared" si="520"/>
        <v>0</v>
      </c>
      <c r="C1971" s="3">
        <f t="shared" si="521"/>
        <v>21</v>
      </c>
      <c r="K1971" s="3">
        <f>IF(OR($K$1="",对接源_02物料!$C771="",对接源_02物料!$C771&lt;&gt;$K$1,对接源_02物料!$B771=""),0,IF(OR(N(对接源_02物料!$B771)&lt;$K$2,N(对接源_02物料!$B771)&gt;$K$3),0,1))</f>
        <v>0</v>
      </c>
      <c r="L1971" s="3">
        <f>IF(OR($L$1="",对接源_02物料!$C771="",对接源_02物料!$C771&lt;&gt;$L$1,对接源_02物料!$B771=""),0,IF(OR(N(对接源_02物料!$B771)&lt;$L$2,N(对接源_02物料!$B771)&gt;$L$3),0,1))</f>
        <v>0</v>
      </c>
      <c r="M1971" s="3">
        <f>IF(OR($M$1="",对接源_02物料!$C771="",对接源_02物料!$C771&lt;&gt;$M$1,对接源_02物料!$B771=""),0,IF(OR(N(对接源_02物料!$B771)&lt;$M$2,N(对接源_02物料!$B771)&gt;$M$3),0,1))</f>
        <v>0</v>
      </c>
      <c r="N1971" s="3">
        <f>IF(OR($N$1="",对接源_02物料!$C771="",对接源_02物料!$C771&lt;&gt;$N$1,对接源_02物料!$B771=""),0,IF(OR(N(对接源_02物料!$B771)&lt;$N$2,N(对接源_02物料!$B771)&gt;$N$3),0,1))</f>
        <v>0</v>
      </c>
      <c r="P1971" s="3">
        <f>IF(AND($K1971=1,AND(对接源_02物料!$X771="公司筐",N(对接源_02物料!$T771)&lt;&gt;0)),1,0)</f>
        <v>0</v>
      </c>
      <c r="Q1971" s="3">
        <f t="shared" si="522"/>
        <v>8</v>
      </c>
      <c r="R1971" s="3">
        <f>IF(AND($K1971=1,AND(对接源_02物料!$X771="公司筐",N(对接源_02物料!$U771)&lt;&gt;0)),1,0)</f>
        <v>0</v>
      </c>
      <c r="S1971" s="3">
        <f t="shared" si="523"/>
        <v>0</v>
      </c>
      <c r="T1971" s="3">
        <f>IF(AND($K1971=1,AND(对接源_02物料!$X771="公司筐",N(对接源_02物料!$V771)&lt;&gt;0)),1,0)</f>
        <v>0</v>
      </c>
      <c r="U1971" s="3">
        <f t="shared" si="524"/>
        <v>19</v>
      </c>
      <c r="V1971" s="3">
        <f>IF(AND($L1971=1,AND(对接源_02物料!$X771="自备筐",N(对接源_02物料!$V771)&lt;&gt;0)),1,0)</f>
        <v>0</v>
      </c>
      <c r="W1971" s="3">
        <f t="shared" si="525"/>
        <v>8</v>
      </c>
      <c r="X1971" s="3">
        <f>IF(AND($L1971=1,AND(对接源_02物料!$X771="自备筐",N(对接源_02物料!$T771)&lt;&gt;0)),1,0)</f>
        <v>0</v>
      </c>
      <c r="Y1971" s="3">
        <f t="shared" si="526"/>
        <v>0</v>
      </c>
      <c r="Z1971" s="3">
        <f>IF(AND($M1971=1,对接源_02物料!$D771="原料入库"),1,0)</f>
        <v>0</v>
      </c>
      <c r="AA1971" s="3">
        <f t="shared" si="527"/>
        <v>24</v>
      </c>
      <c r="AB1971" s="3">
        <f>IF(AND($M1971=1,LEFT(对接源_02物料!$D771,4)="原料出库"),1,0)</f>
        <v>0</v>
      </c>
      <c r="AC1971" s="3">
        <f t="shared" si="528"/>
        <v>0</v>
      </c>
      <c r="AD1971" s="3">
        <f>IF(AND($M1971=1,LEFT(对接源_02物料!$D771,4)="成品出库"),1,0)</f>
        <v>0</v>
      </c>
      <c r="AE1971" s="3">
        <f t="shared" si="529"/>
        <v>0</v>
      </c>
      <c r="AF1971" s="3">
        <f>IF(AND($N1971=1,AND(LEFT(对接源_02物料!$D771,4)="包装物料",N(对接源_02物料!$K771)&lt;&gt;0)),1,0)</f>
        <v>0</v>
      </c>
      <c r="AG1971" s="3">
        <f t="shared" si="530"/>
        <v>5</v>
      </c>
      <c r="AH1971" s="3">
        <f>IF(AND($N1971=1,AND(对接源_02物料!$D771="周转筐－销售出库",N(对接源_02物料!$K771)&lt;&gt;0)),1,0)</f>
        <v>0</v>
      </c>
      <c r="AI1971" s="3">
        <f t="shared" si="531"/>
        <v>0</v>
      </c>
      <c r="AL1971" s="3">
        <v>0</v>
      </c>
      <c r="AM1971" s="3">
        <f t="shared" si="532"/>
        <v>1</v>
      </c>
      <c r="AN1971" s="3" t="str">
        <f t="shared" si="519"/>
        <v/>
      </c>
      <c r="AO1971" s="3">
        <v>0</v>
      </c>
      <c r="AP1971" s="3">
        <f t="shared" si="533"/>
        <v>8</v>
      </c>
      <c r="AR1971">
        <f t="shared" si="534"/>
        <v>0</v>
      </c>
      <c r="AS1971">
        <f t="shared" si="535"/>
        <v>5</v>
      </c>
    </row>
    <row r="1972" customHeight="1" spans="1:45">
      <c r="A1972" s="3" t="str">
        <f>IF(对接源_02物料!$C772="","",对接源_02物料!$C772)</f>
        <v/>
      </c>
      <c r="B1972" s="3">
        <f t="shared" si="520"/>
        <v>0</v>
      </c>
      <c r="C1972" s="3">
        <f t="shared" si="521"/>
        <v>21</v>
      </c>
      <c r="K1972" s="3">
        <f>IF(OR($K$1="",对接源_02物料!$C772="",对接源_02物料!$C772&lt;&gt;$K$1,对接源_02物料!$B772=""),0,IF(OR(N(对接源_02物料!$B772)&lt;$K$2,N(对接源_02物料!$B772)&gt;$K$3),0,1))</f>
        <v>0</v>
      </c>
      <c r="L1972" s="3">
        <f>IF(OR($L$1="",对接源_02物料!$C772="",对接源_02物料!$C772&lt;&gt;$L$1,对接源_02物料!$B772=""),0,IF(OR(N(对接源_02物料!$B772)&lt;$L$2,N(对接源_02物料!$B772)&gt;$L$3),0,1))</f>
        <v>0</v>
      </c>
      <c r="M1972" s="3">
        <f>IF(OR($M$1="",对接源_02物料!$C772="",对接源_02物料!$C772&lt;&gt;$M$1,对接源_02物料!$B772=""),0,IF(OR(N(对接源_02物料!$B772)&lt;$M$2,N(对接源_02物料!$B772)&gt;$M$3),0,1))</f>
        <v>0</v>
      </c>
      <c r="N1972" s="3">
        <f>IF(OR($N$1="",对接源_02物料!$C772="",对接源_02物料!$C772&lt;&gt;$N$1,对接源_02物料!$B772=""),0,IF(OR(N(对接源_02物料!$B772)&lt;$N$2,N(对接源_02物料!$B772)&gt;$N$3),0,1))</f>
        <v>0</v>
      </c>
      <c r="P1972" s="3">
        <f>IF(AND($K1972=1,AND(对接源_02物料!$X772="公司筐",N(对接源_02物料!$T772)&lt;&gt;0)),1,0)</f>
        <v>0</v>
      </c>
      <c r="Q1972" s="3">
        <f t="shared" si="522"/>
        <v>8</v>
      </c>
      <c r="R1972" s="3">
        <f>IF(AND($K1972=1,AND(对接源_02物料!$X772="公司筐",N(对接源_02物料!$U772)&lt;&gt;0)),1,0)</f>
        <v>0</v>
      </c>
      <c r="S1972" s="3">
        <f t="shared" si="523"/>
        <v>0</v>
      </c>
      <c r="T1972" s="3">
        <f>IF(AND($K1972=1,AND(对接源_02物料!$X772="公司筐",N(对接源_02物料!$V772)&lt;&gt;0)),1,0)</f>
        <v>0</v>
      </c>
      <c r="U1972" s="3">
        <f t="shared" si="524"/>
        <v>19</v>
      </c>
      <c r="V1972" s="3">
        <f>IF(AND($L1972=1,AND(对接源_02物料!$X772="自备筐",N(对接源_02物料!$V772)&lt;&gt;0)),1,0)</f>
        <v>0</v>
      </c>
      <c r="W1972" s="3">
        <f t="shared" si="525"/>
        <v>8</v>
      </c>
      <c r="X1972" s="3">
        <f>IF(AND($L1972=1,AND(对接源_02物料!$X772="自备筐",N(对接源_02物料!$T772)&lt;&gt;0)),1,0)</f>
        <v>0</v>
      </c>
      <c r="Y1972" s="3">
        <f t="shared" si="526"/>
        <v>0</v>
      </c>
      <c r="Z1972" s="3">
        <f>IF(AND($M1972=1,对接源_02物料!$D772="原料入库"),1,0)</f>
        <v>0</v>
      </c>
      <c r="AA1972" s="3">
        <f t="shared" si="527"/>
        <v>24</v>
      </c>
      <c r="AB1972" s="3">
        <f>IF(AND($M1972=1,LEFT(对接源_02物料!$D772,4)="原料出库"),1,0)</f>
        <v>0</v>
      </c>
      <c r="AC1972" s="3">
        <f t="shared" si="528"/>
        <v>0</v>
      </c>
      <c r="AD1972" s="3">
        <f>IF(AND($M1972=1,LEFT(对接源_02物料!$D772,4)="成品出库"),1,0)</f>
        <v>0</v>
      </c>
      <c r="AE1972" s="3">
        <f t="shared" si="529"/>
        <v>0</v>
      </c>
      <c r="AF1972" s="3">
        <f>IF(AND($N1972=1,AND(LEFT(对接源_02物料!$D772,4)="包装物料",N(对接源_02物料!$K772)&lt;&gt;0)),1,0)</f>
        <v>0</v>
      </c>
      <c r="AG1972" s="3">
        <f t="shared" si="530"/>
        <v>5</v>
      </c>
      <c r="AH1972" s="3">
        <f>IF(AND($N1972=1,AND(对接源_02物料!$D772="周转筐－销售出库",N(对接源_02物料!$K772)&lt;&gt;0)),1,0)</f>
        <v>0</v>
      </c>
      <c r="AI1972" s="3">
        <f t="shared" si="531"/>
        <v>0</v>
      </c>
      <c r="AL1972" s="3">
        <v>0</v>
      </c>
      <c r="AM1972" s="3">
        <f t="shared" si="532"/>
        <v>1</v>
      </c>
      <c r="AN1972" s="3" t="str">
        <f t="shared" ref="AN1972:AN2035" si="536">""</f>
        <v/>
      </c>
      <c r="AO1972" s="3">
        <v>0</v>
      </c>
      <c r="AP1972" s="3">
        <f t="shared" si="533"/>
        <v>8</v>
      </c>
      <c r="AR1972">
        <f t="shared" si="534"/>
        <v>0</v>
      </c>
      <c r="AS1972">
        <f t="shared" si="535"/>
        <v>5</v>
      </c>
    </row>
    <row r="1973" customHeight="1" spans="1:45">
      <c r="A1973" s="3" t="str">
        <f>IF(对接源_02物料!$C773="","",对接源_02物料!$C773)</f>
        <v/>
      </c>
      <c r="B1973" s="3">
        <f t="shared" si="520"/>
        <v>0</v>
      </c>
      <c r="C1973" s="3">
        <f t="shared" si="521"/>
        <v>21</v>
      </c>
      <c r="K1973" s="3">
        <f>IF(OR($K$1="",对接源_02物料!$C773="",对接源_02物料!$C773&lt;&gt;$K$1,对接源_02物料!$B773=""),0,IF(OR(N(对接源_02物料!$B773)&lt;$K$2,N(对接源_02物料!$B773)&gt;$K$3),0,1))</f>
        <v>0</v>
      </c>
      <c r="L1973" s="3">
        <f>IF(OR($L$1="",对接源_02物料!$C773="",对接源_02物料!$C773&lt;&gt;$L$1,对接源_02物料!$B773=""),0,IF(OR(N(对接源_02物料!$B773)&lt;$L$2,N(对接源_02物料!$B773)&gt;$L$3),0,1))</f>
        <v>0</v>
      </c>
      <c r="M1973" s="3">
        <f>IF(OR($M$1="",对接源_02物料!$C773="",对接源_02物料!$C773&lt;&gt;$M$1,对接源_02物料!$B773=""),0,IF(OR(N(对接源_02物料!$B773)&lt;$M$2,N(对接源_02物料!$B773)&gt;$M$3),0,1))</f>
        <v>0</v>
      </c>
      <c r="N1973" s="3">
        <f>IF(OR($N$1="",对接源_02物料!$C773="",对接源_02物料!$C773&lt;&gt;$N$1,对接源_02物料!$B773=""),0,IF(OR(N(对接源_02物料!$B773)&lt;$N$2,N(对接源_02物料!$B773)&gt;$N$3),0,1))</f>
        <v>0</v>
      </c>
      <c r="P1973" s="3">
        <f>IF(AND($K1973=1,AND(对接源_02物料!$X773="公司筐",N(对接源_02物料!$T773)&lt;&gt;0)),1,0)</f>
        <v>0</v>
      </c>
      <c r="Q1973" s="3">
        <f t="shared" si="522"/>
        <v>8</v>
      </c>
      <c r="R1973" s="3">
        <f>IF(AND($K1973=1,AND(对接源_02物料!$X773="公司筐",N(对接源_02物料!$U773)&lt;&gt;0)),1,0)</f>
        <v>0</v>
      </c>
      <c r="S1973" s="3">
        <f t="shared" si="523"/>
        <v>0</v>
      </c>
      <c r="T1973" s="3">
        <f>IF(AND($K1973=1,AND(对接源_02物料!$X773="公司筐",N(对接源_02物料!$V773)&lt;&gt;0)),1,0)</f>
        <v>0</v>
      </c>
      <c r="U1973" s="3">
        <f t="shared" si="524"/>
        <v>19</v>
      </c>
      <c r="V1973" s="3">
        <f>IF(AND($L1973=1,AND(对接源_02物料!$X773="自备筐",N(对接源_02物料!$V773)&lt;&gt;0)),1,0)</f>
        <v>0</v>
      </c>
      <c r="W1973" s="3">
        <f t="shared" si="525"/>
        <v>8</v>
      </c>
      <c r="X1973" s="3">
        <f>IF(AND($L1973=1,AND(对接源_02物料!$X773="自备筐",N(对接源_02物料!$T773)&lt;&gt;0)),1,0)</f>
        <v>0</v>
      </c>
      <c r="Y1973" s="3">
        <f t="shared" si="526"/>
        <v>0</v>
      </c>
      <c r="Z1973" s="3">
        <f>IF(AND($M1973=1,对接源_02物料!$D773="原料入库"),1,0)</f>
        <v>0</v>
      </c>
      <c r="AA1973" s="3">
        <f t="shared" si="527"/>
        <v>24</v>
      </c>
      <c r="AB1973" s="3">
        <f>IF(AND($M1973=1,LEFT(对接源_02物料!$D773,4)="原料出库"),1,0)</f>
        <v>0</v>
      </c>
      <c r="AC1973" s="3">
        <f t="shared" si="528"/>
        <v>0</v>
      </c>
      <c r="AD1973" s="3">
        <f>IF(AND($M1973=1,LEFT(对接源_02物料!$D773,4)="成品出库"),1,0)</f>
        <v>0</v>
      </c>
      <c r="AE1973" s="3">
        <f t="shared" si="529"/>
        <v>0</v>
      </c>
      <c r="AF1973" s="3">
        <f>IF(AND($N1973=1,AND(LEFT(对接源_02物料!$D773,4)="包装物料",N(对接源_02物料!$K773)&lt;&gt;0)),1,0)</f>
        <v>0</v>
      </c>
      <c r="AG1973" s="3">
        <f t="shared" si="530"/>
        <v>5</v>
      </c>
      <c r="AH1973" s="3">
        <f>IF(AND($N1973=1,AND(对接源_02物料!$D773="周转筐－销售出库",N(对接源_02物料!$K773)&lt;&gt;0)),1,0)</f>
        <v>0</v>
      </c>
      <c r="AI1973" s="3">
        <f t="shared" si="531"/>
        <v>0</v>
      </c>
      <c r="AL1973" s="3">
        <v>0</v>
      </c>
      <c r="AM1973" s="3">
        <f t="shared" si="532"/>
        <v>1</v>
      </c>
      <c r="AN1973" s="3" t="str">
        <f t="shared" si="536"/>
        <v/>
      </c>
      <c r="AO1973" s="3">
        <v>0</v>
      </c>
      <c r="AP1973" s="3">
        <f t="shared" si="533"/>
        <v>8</v>
      </c>
      <c r="AR1973">
        <f t="shared" si="534"/>
        <v>0</v>
      </c>
      <c r="AS1973">
        <f t="shared" si="535"/>
        <v>5</v>
      </c>
    </row>
    <row r="1974" customHeight="1" spans="1:45">
      <c r="A1974" s="3" t="str">
        <f>IF(对接源_02物料!$C774="","",对接源_02物料!$C774)</f>
        <v/>
      </c>
      <c r="B1974" s="3">
        <f t="shared" si="520"/>
        <v>0</v>
      </c>
      <c r="C1974" s="3">
        <f t="shared" si="521"/>
        <v>21</v>
      </c>
      <c r="K1974" s="3">
        <f>IF(OR($K$1="",对接源_02物料!$C774="",对接源_02物料!$C774&lt;&gt;$K$1,对接源_02物料!$B774=""),0,IF(OR(N(对接源_02物料!$B774)&lt;$K$2,N(对接源_02物料!$B774)&gt;$K$3),0,1))</f>
        <v>0</v>
      </c>
      <c r="L1974" s="3">
        <f>IF(OR($L$1="",对接源_02物料!$C774="",对接源_02物料!$C774&lt;&gt;$L$1,对接源_02物料!$B774=""),0,IF(OR(N(对接源_02物料!$B774)&lt;$L$2,N(对接源_02物料!$B774)&gt;$L$3),0,1))</f>
        <v>0</v>
      </c>
      <c r="M1974" s="3">
        <f>IF(OR($M$1="",对接源_02物料!$C774="",对接源_02物料!$C774&lt;&gt;$M$1,对接源_02物料!$B774=""),0,IF(OR(N(对接源_02物料!$B774)&lt;$M$2,N(对接源_02物料!$B774)&gt;$M$3),0,1))</f>
        <v>0</v>
      </c>
      <c r="N1974" s="3">
        <f>IF(OR($N$1="",对接源_02物料!$C774="",对接源_02物料!$C774&lt;&gt;$N$1,对接源_02物料!$B774=""),0,IF(OR(N(对接源_02物料!$B774)&lt;$N$2,N(对接源_02物料!$B774)&gt;$N$3),0,1))</f>
        <v>0</v>
      </c>
      <c r="P1974" s="3">
        <f>IF(AND($K1974=1,AND(对接源_02物料!$X774="公司筐",N(对接源_02物料!$T774)&lt;&gt;0)),1,0)</f>
        <v>0</v>
      </c>
      <c r="Q1974" s="3">
        <f t="shared" si="522"/>
        <v>8</v>
      </c>
      <c r="R1974" s="3">
        <f>IF(AND($K1974=1,AND(对接源_02物料!$X774="公司筐",N(对接源_02物料!$U774)&lt;&gt;0)),1,0)</f>
        <v>0</v>
      </c>
      <c r="S1974" s="3">
        <f t="shared" si="523"/>
        <v>0</v>
      </c>
      <c r="T1974" s="3">
        <f>IF(AND($K1974=1,AND(对接源_02物料!$X774="公司筐",N(对接源_02物料!$V774)&lt;&gt;0)),1,0)</f>
        <v>0</v>
      </c>
      <c r="U1974" s="3">
        <f t="shared" si="524"/>
        <v>19</v>
      </c>
      <c r="V1974" s="3">
        <f>IF(AND($L1974=1,AND(对接源_02物料!$X774="自备筐",N(对接源_02物料!$V774)&lt;&gt;0)),1,0)</f>
        <v>0</v>
      </c>
      <c r="W1974" s="3">
        <f t="shared" si="525"/>
        <v>8</v>
      </c>
      <c r="X1974" s="3">
        <f>IF(AND($L1974=1,AND(对接源_02物料!$X774="自备筐",N(对接源_02物料!$T774)&lt;&gt;0)),1,0)</f>
        <v>0</v>
      </c>
      <c r="Y1974" s="3">
        <f t="shared" si="526"/>
        <v>0</v>
      </c>
      <c r="Z1974" s="3">
        <f>IF(AND($M1974=1,对接源_02物料!$D774="原料入库"),1,0)</f>
        <v>0</v>
      </c>
      <c r="AA1974" s="3">
        <f t="shared" si="527"/>
        <v>24</v>
      </c>
      <c r="AB1974" s="3">
        <f>IF(AND($M1974=1,LEFT(对接源_02物料!$D774,4)="原料出库"),1,0)</f>
        <v>0</v>
      </c>
      <c r="AC1974" s="3">
        <f t="shared" si="528"/>
        <v>0</v>
      </c>
      <c r="AD1974" s="3">
        <f>IF(AND($M1974=1,LEFT(对接源_02物料!$D774,4)="成品出库"),1,0)</f>
        <v>0</v>
      </c>
      <c r="AE1974" s="3">
        <f t="shared" si="529"/>
        <v>0</v>
      </c>
      <c r="AF1974" s="3">
        <f>IF(AND($N1974=1,AND(LEFT(对接源_02物料!$D774,4)="包装物料",N(对接源_02物料!$K774)&lt;&gt;0)),1,0)</f>
        <v>0</v>
      </c>
      <c r="AG1974" s="3">
        <f t="shared" si="530"/>
        <v>5</v>
      </c>
      <c r="AH1974" s="3">
        <f>IF(AND($N1974=1,AND(对接源_02物料!$D774="周转筐－销售出库",N(对接源_02物料!$K774)&lt;&gt;0)),1,0)</f>
        <v>0</v>
      </c>
      <c r="AI1974" s="3">
        <f t="shared" si="531"/>
        <v>0</v>
      </c>
      <c r="AL1974" s="3">
        <v>0</v>
      </c>
      <c r="AM1974" s="3">
        <f t="shared" si="532"/>
        <v>1</v>
      </c>
      <c r="AN1974" s="3" t="str">
        <f t="shared" si="536"/>
        <v/>
      </c>
      <c r="AO1974" s="3">
        <v>0</v>
      </c>
      <c r="AP1974" s="3">
        <f t="shared" si="533"/>
        <v>8</v>
      </c>
      <c r="AR1974">
        <f t="shared" si="534"/>
        <v>0</v>
      </c>
      <c r="AS1974">
        <f t="shared" si="535"/>
        <v>5</v>
      </c>
    </row>
    <row r="1975" customHeight="1" spans="1:45">
      <c r="A1975" s="3" t="str">
        <f>IF(对接源_02物料!$C775="","",对接源_02物料!$C775)</f>
        <v/>
      </c>
      <c r="B1975" s="3">
        <f t="shared" si="520"/>
        <v>0</v>
      </c>
      <c r="C1975" s="3">
        <f t="shared" si="521"/>
        <v>21</v>
      </c>
      <c r="K1975" s="3">
        <f>IF(OR($K$1="",对接源_02物料!$C775="",对接源_02物料!$C775&lt;&gt;$K$1,对接源_02物料!$B775=""),0,IF(OR(N(对接源_02物料!$B775)&lt;$K$2,N(对接源_02物料!$B775)&gt;$K$3),0,1))</f>
        <v>0</v>
      </c>
      <c r="L1975" s="3">
        <f>IF(OR($L$1="",对接源_02物料!$C775="",对接源_02物料!$C775&lt;&gt;$L$1,对接源_02物料!$B775=""),0,IF(OR(N(对接源_02物料!$B775)&lt;$L$2,N(对接源_02物料!$B775)&gt;$L$3),0,1))</f>
        <v>0</v>
      </c>
      <c r="M1975" s="3">
        <f>IF(OR($M$1="",对接源_02物料!$C775="",对接源_02物料!$C775&lt;&gt;$M$1,对接源_02物料!$B775=""),0,IF(OR(N(对接源_02物料!$B775)&lt;$M$2,N(对接源_02物料!$B775)&gt;$M$3),0,1))</f>
        <v>0</v>
      </c>
      <c r="N1975" s="3">
        <f>IF(OR($N$1="",对接源_02物料!$C775="",对接源_02物料!$C775&lt;&gt;$N$1,对接源_02物料!$B775=""),0,IF(OR(N(对接源_02物料!$B775)&lt;$N$2,N(对接源_02物料!$B775)&gt;$N$3),0,1))</f>
        <v>0</v>
      </c>
      <c r="P1975" s="3">
        <f>IF(AND($K1975=1,AND(对接源_02物料!$X775="公司筐",N(对接源_02物料!$T775)&lt;&gt;0)),1,0)</f>
        <v>0</v>
      </c>
      <c r="Q1975" s="3">
        <f t="shared" si="522"/>
        <v>8</v>
      </c>
      <c r="R1975" s="3">
        <f>IF(AND($K1975=1,AND(对接源_02物料!$X775="公司筐",N(对接源_02物料!$U775)&lt;&gt;0)),1,0)</f>
        <v>0</v>
      </c>
      <c r="S1975" s="3">
        <f t="shared" si="523"/>
        <v>0</v>
      </c>
      <c r="T1975" s="3">
        <f>IF(AND($K1975=1,AND(对接源_02物料!$X775="公司筐",N(对接源_02物料!$V775)&lt;&gt;0)),1,0)</f>
        <v>0</v>
      </c>
      <c r="U1975" s="3">
        <f t="shared" si="524"/>
        <v>19</v>
      </c>
      <c r="V1975" s="3">
        <f>IF(AND($L1975=1,AND(对接源_02物料!$X775="自备筐",N(对接源_02物料!$V775)&lt;&gt;0)),1,0)</f>
        <v>0</v>
      </c>
      <c r="W1975" s="3">
        <f t="shared" si="525"/>
        <v>8</v>
      </c>
      <c r="X1975" s="3">
        <f>IF(AND($L1975=1,AND(对接源_02物料!$X775="自备筐",N(对接源_02物料!$T775)&lt;&gt;0)),1,0)</f>
        <v>0</v>
      </c>
      <c r="Y1975" s="3">
        <f t="shared" si="526"/>
        <v>0</v>
      </c>
      <c r="Z1975" s="3">
        <f>IF(AND($M1975=1,对接源_02物料!$D775="原料入库"),1,0)</f>
        <v>0</v>
      </c>
      <c r="AA1975" s="3">
        <f t="shared" si="527"/>
        <v>24</v>
      </c>
      <c r="AB1975" s="3">
        <f>IF(AND($M1975=1,LEFT(对接源_02物料!$D775,4)="原料出库"),1,0)</f>
        <v>0</v>
      </c>
      <c r="AC1975" s="3">
        <f t="shared" si="528"/>
        <v>0</v>
      </c>
      <c r="AD1975" s="3">
        <f>IF(AND($M1975=1,LEFT(对接源_02物料!$D775,4)="成品出库"),1,0)</f>
        <v>0</v>
      </c>
      <c r="AE1975" s="3">
        <f t="shared" si="529"/>
        <v>0</v>
      </c>
      <c r="AF1975" s="3">
        <f>IF(AND($N1975=1,AND(LEFT(对接源_02物料!$D775,4)="包装物料",N(对接源_02物料!$K775)&lt;&gt;0)),1,0)</f>
        <v>0</v>
      </c>
      <c r="AG1975" s="3">
        <f t="shared" si="530"/>
        <v>5</v>
      </c>
      <c r="AH1975" s="3">
        <f>IF(AND($N1975=1,AND(对接源_02物料!$D775="周转筐－销售出库",N(对接源_02物料!$K775)&lt;&gt;0)),1,0)</f>
        <v>0</v>
      </c>
      <c r="AI1975" s="3">
        <f t="shared" si="531"/>
        <v>0</v>
      </c>
      <c r="AL1975" s="3">
        <v>0</v>
      </c>
      <c r="AM1975" s="3">
        <f t="shared" si="532"/>
        <v>1</v>
      </c>
      <c r="AN1975" s="3" t="str">
        <f t="shared" si="536"/>
        <v/>
      </c>
      <c r="AO1975" s="3">
        <v>0</v>
      </c>
      <c r="AP1975" s="3">
        <f t="shared" si="533"/>
        <v>8</v>
      </c>
      <c r="AR1975">
        <f t="shared" si="534"/>
        <v>0</v>
      </c>
      <c r="AS1975">
        <f t="shared" si="535"/>
        <v>5</v>
      </c>
    </row>
    <row r="1976" customHeight="1" spans="1:45">
      <c r="A1976" s="3" t="str">
        <f>IF(对接源_02物料!$C776="","",对接源_02物料!$C776)</f>
        <v/>
      </c>
      <c r="B1976" s="3">
        <f t="shared" si="520"/>
        <v>0</v>
      </c>
      <c r="C1976" s="3">
        <f t="shared" si="521"/>
        <v>21</v>
      </c>
      <c r="K1976" s="3">
        <f>IF(OR($K$1="",对接源_02物料!$C776="",对接源_02物料!$C776&lt;&gt;$K$1,对接源_02物料!$B776=""),0,IF(OR(N(对接源_02物料!$B776)&lt;$K$2,N(对接源_02物料!$B776)&gt;$K$3),0,1))</f>
        <v>0</v>
      </c>
      <c r="L1976" s="3">
        <f>IF(OR($L$1="",对接源_02物料!$C776="",对接源_02物料!$C776&lt;&gt;$L$1,对接源_02物料!$B776=""),0,IF(OR(N(对接源_02物料!$B776)&lt;$L$2,N(对接源_02物料!$B776)&gt;$L$3),0,1))</f>
        <v>0</v>
      </c>
      <c r="M1976" s="3">
        <f>IF(OR($M$1="",对接源_02物料!$C776="",对接源_02物料!$C776&lt;&gt;$M$1,对接源_02物料!$B776=""),0,IF(OR(N(对接源_02物料!$B776)&lt;$M$2,N(对接源_02物料!$B776)&gt;$M$3),0,1))</f>
        <v>0</v>
      </c>
      <c r="N1976" s="3">
        <f>IF(OR($N$1="",对接源_02物料!$C776="",对接源_02物料!$C776&lt;&gt;$N$1,对接源_02物料!$B776=""),0,IF(OR(N(对接源_02物料!$B776)&lt;$N$2,N(对接源_02物料!$B776)&gt;$N$3),0,1))</f>
        <v>0</v>
      </c>
      <c r="P1976" s="3">
        <f>IF(AND($K1976=1,AND(对接源_02物料!$X776="公司筐",N(对接源_02物料!$T776)&lt;&gt;0)),1,0)</f>
        <v>0</v>
      </c>
      <c r="Q1976" s="3">
        <f t="shared" si="522"/>
        <v>8</v>
      </c>
      <c r="R1976" s="3">
        <f>IF(AND($K1976=1,AND(对接源_02物料!$X776="公司筐",N(对接源_02物料!$U776)&lt;&gt;0)),1,0)</f>
        <v>0</v>
      </c>
      <c r="S1976" s="3">
        <f t="shared" si="523"/>
        <v>0</v>
      </c>
      <c r="T1976" s="3">
        <f>IF(AND($K1976=1,AND(对接源_02物料!$X776="公司筐",N(对接源_02物料!$V776)&lt;&gt;0)),1,0)</f>
        <v>0</v>
      </c>
      <c r="U1976" s="3">
        <f t="shared" si="524"/>
        <v>19</v>
      </c>
      <c r="V1976" s="3">
        <f>IF(AND($L1976=1,AND(对接源_02物料!$X776="自备筐",N(对接源_02物料!$V776)&lt;&gt;0)),1,0)</f>
        <v>0</v>
      </c>
      <c r="W1976" s="3">
        <f t="shared" si="525"/>
        <v>8</v>
      </c>
      <c r="X1976" s="3">
        <f>IF(AND($L1976=1,AND(对接源_02物料!$X776="自备筐",N(对接源_02物料!$T776)&lt;&gt;0)),1,0)</f>
        <v>0</v>
      </c>
      <c r="Y1976" s="3">
        <f t="shared" si="526"/>
        <v>0</v>
      </c>
      <c r="Z1976" s="3">
        <f>IF(AND($M1976=1,对接源_02物料!$D776="原料入库"),1,0)</f>
        <v>0</v>
      </c>
      <c r="AA1976" s="3">
        <f t="shared" si="527"/>
        <v>24</v>
      </c>
      <c r="AB1976" s="3">
        <f>IF(AND($M1976=1,LEFT(对接源_02物料!$D776,4)="原料出库"),1,0)</f>
        <v>0</v>
      </c>
      <c r="AC1976" s="3">
        <f t="shared" si="528"/>
        <v>0</v>
      </c>
      <c r="AD1976" s="3">
        <f>IF(AND($M1976=1,LEFT(对接源_02物料!$D776,4)="成品出库"),1,0)</f>
        <v>0</v>
      </c>
      <c r="AE1976" s="3">
        <f t="shared" si="529"/>
        <v>0</v>
      </c>
      <c r="AF1976" s="3">
        <f>IF(AND($N1976=1,AND(LEFT(对接源_02物料!$D776,4)="包装物料",N(对接源_02物料!$K776)&lt;&gt;0)),1,0)</f>
        <v>0</v>
      </c>
      <c r="AG1976" s="3">
        <f t="shared" si="530"/>
        <v>5</v>
      </c>
      <c r="AH1976" s="3">
        <f>IF(AND($N1976=1,AND(对接源_02物料!$D776="周转筐－销售出库",N(对接源_02物料!$K776)&lt;&gt;0)),1,0)</f>
        <v>0</v>
      </c>
      <c r="AI1976" s="3">
        <f t="shared" si="531"/>
        <v>0</v>
      </c>
      <c r="AL1976" s="3">
        <v>0</v>
      </c>
      <c r="AM1976" s="3">
        <f t="shared" si="532"/>
        <v>1</v>
      </c>
      <c r="AN1976" s="3" t="str">
        <f t="shared" si="536"/>
        <v/>
      </c>
      <c r="AO1976" s="3">
        <v>0</v>
      </c>
      <c r="AP1976" s="3">
        <f t="shared" si="533"/>
        <v>8</v>
      </c>
      <c r="AR1976">
        <f t="shared" si="534"/>
        <v>0</v>
      </c>
      <c r="AS1976">
        <f t="shared" si="535"/>
        <v>5</v>
      </c>
    </row>
    <row r="1977" customHeight="1" spans="1:45">
      <c r="A1977" s="3" t="str">
        <f>IF(对接源_02物料!$C777="","",对接源_02物料!$C777)</f>
        <v/>
      </c>
      <c r="B1977" s="3">
        <f t="shared" si="520"/>
        <v>0</v>
      </c>
      <c r="C1977" s="3">
        <f t="shared" si="521"/>
        <v>21</v>
      </c>
      <c r="K1977" s="3">
        <f>IF(OR($K$1="",对接源_02物料!$C777="",对接源_02物料!$C777&lt;&gt;$K$1,对接源_02物料!$B777=""),0,IF(OR(N(对接源_02物料!$B777)&lt;$K$2,N(对接源_02物料!$B777)&gt;$K$3),0,1))</f>
        <v>0</v>
      </c>
      <c r="L1977" s="3">
        <f>IF(OR($L$1="",对接源_02物料!$C777="",对接源_02物料!$C777&lt;&gt;$L$1,对接源_02物料!$B777=""),0,IF(OR(N(对接源_02物料!$B777)&lt;$L$2,N(对接源_02物料!$B777)&gt;$L$3),0,1))</f>
        <v>0</v>
      </c>
      <c r="M1977" s="3">
        <f>IF(OR($M$1="",对接源_02物料!$C777="",对接源_02物料!$C777&lt;&gt;$M$1,对接源_02物料!$B777=""),0,IF(OR(N(对接源_02物料!$B777)&lt;$M$2,N(对接源_02物料!$B777)&gt;$M$3),0,1))</f>
        <v>0</v>
      </c>
      <c r="N1977" s="3">
        <f>IF(OR($N$1="",对接源_02物料!$C777="",对接源_02物料!$C777&lt;&gt;$N$1,对接源_02物料!$B777=""),0,IF(OR(N(对接源_02物料!$B777)&lt;$N$2,N(对接源_02物料!$B777)&gt;$N$3),0,1))</f>
        <v>0</v>
      </c>
      <c r="P1977" s="3">
        <f>IF(AND($K1977=1,AND(对接源_02物料!$X777="公司筐",N(对接源_02物料!$T777)&lt;&gt;0)),1,0)</f>
        <v>0</v>
      </c>
      <c r="Q1977" s="3">
        <f t="shared" si="522"/>
        <v>8</v>
      </c>
      <c r="R1977" s="3">
        <f>IF(AND($K1977=1,AND(对接源_02物料!$X777="公司筐",N(对接源_02物料!$U777)&lt;&gt;0)),1,0)</f>
        <v>0</v>
      </c>
      <c r="S1977" s="3">
        <f t="shared" si="523"/>
        <v>0</v>
      </c>
      <c r="T1977" s="3">
        <f>IF(AND($K1977=1,AND(对接源_02物料!$X777="公司筐",N(对接源_02物料!$V777)&lt;&gt;0)),1,0)</f>
        <v>0</v>
      </c>
      <c r="U1977" s="3">
        <f t="shared" si="524"/>
        <v>19</v>
      </c>
      <c r="V1977" s="3">
        <f>IF(AND($L1977=1,AND(对接源_02物料!$X777="自备筐",N(对接源_02物料!$V777)&lt;&gt;0)),1,0)</f>
        <v>0</v>
      </c>
      <c r="W1977" s="3">
        <f t="shared" si="525"/>
        <v>8</v>
      </c>
      <c r="X1977" s="3">
        <f>IF(AND($L1977=1,AND(对接源_02物料!$X777="自备筐",N(对接源_02物料!$T777)&lt;&gt;0)),1,0)</f>
        <v>0</v>
      </c>
      <c r="Y1977" s="3">
        <f t="shared" si="526"/>
        <v>0</v>
      </c>
      <c r="Z1977" s="3">
        <f>IF(AND($M1977=1,对接源_02物料!$D777="原料入库"),1,0)</f>
        <v>0</v>
      </c>
      <c r="AA1977" s="3">
        <f t="shared" si="527"/>
        <v>24</v>
      </c>
      <c r="AB1977" s="3">
        <f>IF(AND($M1977=1,LEFT(对接源_02物料!$D777,4)="原料出库"),1,0)</f>
        <v>0</v>
      </c>
      <c r="AC1977" s="3">
        <f t="shared" si="528"/>
        <v>0</v>
      </c>
      <c r="AD1977" s="3">
        <f>IF(AND($M1977=1,LEFT(对接源_02物料!$D777,4)="成品出库"),1,0)</f>
        <v>0</v>
      </c>
      <c r="AE1977" s="3">
        <f t="shared" si="529"/>
        <v>0</v>
      </c>
      <c r="AF1977" s="3">
        <f>IF(AND($N1977=1,AND(LEFT(对接源_02物料!$D777,4)="包装物料",N(对接源_02物料!$K777)&lt;&gt;0)),1,0)</f>
        <v>0</v>
      </c>
      <c r="AG1977" s="3">
        <f t="shared" si="530"/>
        <v>5</v>
      </c>
      <c r="AH1977" s="3">
        <f>IF(AND($N1977=1,AND(对接源_02物料!$D777="周转筐－销售出库",N(对接源_02物料!$K777)&lt;&gt;0)),1,0)</f>
        <v>0</v>
      </c>
      <c r="AI1977" s="3">
        <f t="shared" si="531"/>
        <v>0</v>
      </c>
      <c r="AL1977" s="3">
        <v>0</v>
      </c>
      <c r="AM1977" s="3">
        <f t="shared" si="532"/>
        <v>1</v>
      </c>
      <c r="AN1977" s="3" t="str">
        <f t="shared" si="536"/>
        <v/>
      </c>
      <c r="AO1977" s="3">
        <v>0</v>
      </c>
      <c r="AP1977" s="3">
        <f t="shared" si="533"/>
        <v>8</v>
      </c>
      <c r="AR1977">
        <f t="shared" si="534"/>
        <v>0</v>
      </c>
      <c r="AS1977">
        <f t="shared" si="535"/>
        <v>5</v>
      </c>
    </row>
    <row r="1978" customHeight="1" spans="1:45">
      <c r="A1978" s="3" t="str">
        <f>IF(对接源_02物料!$C778="","",对接源_02物料!$C778)</f>
        <v/>
      </c>
      <c r="B1978" s="3">
        <f t="shared" si="520"/>
        <v>0</v>
      </c>
      <c r="C1978" s="3">
        <f t="shared" si="521"/>
        <v>21</v>
      </c>
      <c r="K1978" s="3">
        <f>IF(OR($K$1="",对接源_02物料!$C778="",对接源_02物料!$C778&lt;&gt;$K$1,对接源_02物料!$B778=""),0,IF(OR(N(对接源_02物料!$B778)&lt;$K$2,N(对接源_02物料!$B778)&gt;$K$3),0,1))</f>
        <v>0</v>
      </c>
      <c r="L1978" s="3">
        <f>IF(OR($L$1="",对接源_02物料!$C778="",对接源_02物料!$C778&lt;&gt;$L$1,对接源_02物料!$B778=""),0,IF(OR(N(对接源_02物料!$B778)&lt;$L$2,N(对接源_02物料!$B778)&gt;$L$3),0,1))</f>
        <v>0</v>
      </c>
      <c r="M1978" s="3">
        <f>IF(OR($M$1="",对接源_02物料!$C778="",对接源_02物料!$C778&lt;&gt;$M$1,对接源_02物料!$B778=""),0,IF(OR(N(对接源_02物料!$B778)&lt;$M$2,N(对接源_02物料!$B778)&gt;$M$3),0,1))</f>
        <v>0</v>
      </c>
      <c r="N1978" s="3">
        <f>IF(OR($N$1="",对接源_02物料!$C778="",对接源_02物料!$C778&lt;&gt;$N$1,对接源_02物料!$B778=""),0,IF(OR(N(对接源_02物料!$B778)&lt;$N$2,N(对接源_02物料!$B778)&gt;$N$3),0,1))</f>
        <v>0</v>
      </c>
      <c r="P1978" s="3">
        <f>IF(AND($K1978=1,AND(对接源_02物料!$X778="公司筐",N(对接源_02物料!$T778)&lt;&gt;0)),1,0)</f>
        <v>0</v>
      </c>
      <c r="Q1978" s="3">
        <f t="shared" si="522"/>
        <v>8</v>
      </c>
      <c r="R1978" s="3">
        <f>IF(AND($K1978=1,AND(对接源_02物料!$X778="公司筐",N(对接源_02物料!$U778)&lt;&gt;0)),1,0)</f>
        <v>0</v>
      </c>
      <c r="S1978" s="3">
        <f t="shared" si="523"/>
        <v>0</v>
      </c>
      <c r="T1978" s="3">
        <f>IF(AND($K1978=1,AND(对接源_02物料!$X778="公司筐",N(对接源_02物料!$V778)&lt;&gt;0)),1,0)</f>
        <v>0</v>
      </c>
      <c r="U1978" s="3">
        <f t="shared" si="524"/>
        <v>19</v>
      </c>
      <c r="V1978" s="3">
        <f>IF(AND($L1978=1,AND(对接源_02物料!$X778="自备筐",N(对接源_02物料!$V778)&lt;&gt;0)),1,0)</f>
        <v>0</v>
      </c>
      <c r="W1978" s="3">
        <f t="shared" si="525"/>
        <v>8</v>
      </c>
      <c r="X1978" s="3">
        <f>IF(AND($L1978=1,AND(对接源_02物料!$X778="自备筐",N(对接源_02物料!$T778)&lt;&gt;0)),1,0)</f>
        <v>0</v>
      </c>
      <c r="Y1978" s="3">
        <f t="shared" si="526"/>
        <v>0</v>
      </c>
      <c r="Z1978" s="3">
        <f>IF(AND($M1978=1,对接源_02物料!$D778="原料入库"),1,0)</f>
        <v>0</v>
      </c>
      <c r="AA1978" s="3">
        <f t="shared" si="527"/>
        <v>24</v>
      </c>
      <c r="AB1978" s="3">
        <f>IF(AND($M1978=1,LEFT(对接源_02物料!$D778,4)="原料出库"),1,0)</f>
        <v>0</v>
      </c>
      <c r="AC1978" s="3">
        <f t="shared" si="528"/>
        <v>0</v>
      </c>
      <c r="AD1978" s="3">
        <f>IF(AND($M1978=1,LEFT(对接源_02物料!$D778,4)="成品出库"),1,0)</f>
        <v>0</v>
      </c>
      <c r="AE1978" s="3">
        <f t="shared" si="529"/>
        <v>0</v>
      </c>
      <c r="AF1978" s="3">
        <f>IF(AND($N1978=1,AND(LEFT(对接源_02物料!$D778,4)="包装物料",N(对接源_02物料!$K778)&lt;&gt;0)),1,0)</f>
        <v>0</v>
      </c>
      <c r="AG1978" s="3">
        <f t="shared" si="530"/>
        <v>5</v>
      </c>
      <c r="AH1978" s="3">
        <f>IF(AND($N1978=1,AND(对接源_02物料!$D778="周转筐－销售出库",N(对接源_02物料!$K778)&lt;&gt;0)),1,0)</f>
        <v>0</v>
      </c>
      <c r="AI1978" s="3">
        <f t="shared" si="531"/>
        <v>0</v>
      </c>
      <c r="AL1978" s="3">
        <v>0</v>
      </c>
      <c r="AM1978" s="3">
        <f t="shared" si="532"/>
        <v>1</v>
      </c>
      <c r="AN1978" s="3" t="str">
        <f t="shared" si="536"/>
        <v/>
      </c>
      <c r="AO1978" s="3">
        <v>0</v>
      </c>
      <c r="AP1978" s="3">
        <f t="shared" si="533"/>
        <v>8</v>
      </c>
      <c r="AR1978">
        <f t="shared" si="534"/>
        <v>0</v>
      </c>
      <c r="AS1978">
        <f t="shared" si="535"/>
        <v>5</v>
      </c>
    </row>
    <row r="1979" customHeight="1" spans="1:45">
      <c r="A1979" s="3" t="str">
        <f>IF(对接源_02物料!$C779="","",对接源_02物料!$C779)</f>
        <v/>
      </c>
      <c r="B1979" s="3">
        <f t="shared" si="520"/>
        <v>0</v>
      </c>
      <c r="C1979" s="3">
        <f t="shared" si="521"/>
        <v>21</v>
      </c>
      <c r="K1979" s="3">
        <f>IF(OR($K$1="",对接源_02物料!$C779="",对接源_02物料!$C779&lt;&gt;$K$1,对接源_02物料!$B779=""),0,IF(OR(N(对接源_02物料!$B779)&lt;$K$2,N(对接源_02物料!$B779)&gt;$K$3),0,1))</f>
        <v>0</v>
      </c>
      <c r="L1979" s="3">
        <f>IF(OR($L$1="",对接源_02物料!$C779="",对接源_02物料!$C779&lt;&gt;$L$1,对接源_02物料!$B779=""),0,IF(OR(N(对接源_02物料!$B779)&lt;$L$2,N(对接源_02物料!$B779)&gt;$L$3),0,1))</f>
        <v>0</v>
      </c>
      <c r="M1979" s="3">
        <f>IF(OR($M$1="",对接源_02物料!$C779="",对接源_02物料!$C779&lt;&gt;$M$1,对接源_02物料!$B779=""),0,IF(OR(N(对接源_02物料!$B779)&lt;$M$2,N(对接源_02物料!$B779)&gt;$M$3),0,1))</f>
        <v>0</v>
      </c>
      <c r="N1979" s="3">
        <f>IF(OR($N$1="",对接源_02物料!$C779="",对接源_02物料!$C779&lt;&gt;$N$1,对接源_02物料!$B779=""),0,IF(OR(N(对接源_02物料!$B779)&lt;$N$2,N(对接源_02物料!$B779)&gt;$N$3),0,1))</f>
        <v>0</v>
      </c>
      <c r="P1979" s="3">
        <f>IF(AND($K1979=1,AND(对接源_02物料!$X779="公司筐",N(对接源_02物料!$T779)&lt;&gt;0)),1,0)</f>
        <v>0</v>
      </c>
      <c r="Q1979" s="3">
        <f t="shared" si="522"/>
        <v>8</v>
      </c>
      <c r="R1979" s="3">
        <f>IF(AND($K1979=1,AND(对接源_02物料!$X779="公司筐",N(对接源_02物料!$U779)&lt;&gt;0)),1,0)</f>
        <v>0</v>
      </c>
      <c r="S1979" s="3">
        <f t="shared" si="523"/>
        <v>0</v>
      </c>
      <c r="T1979" s="3">
        <f>IF(AND($K1979=1,AND(对接源_02物料!$X779="公司筐",N(对接源_02物料!$V779)&lt;&gt;0)),1,0)</f>
        <v>0</v>
      </c>
      <c r="U1979" s="3">
        <f t="shared" si="524"/>
        <v>19</v>
      </c>
      <c r="V1979" s="3">
        <f>IF(AND($L1979=1,AND(对接源_02物料!$X779="自备筐",N(对接源_02物料!$V779)&lt;&gt;0)),1,0)</f>
        <v>0</v>
      </c>
      <c r="W1979" s="3">
        <f t="shared" si="525"/>
        <v>8</v>
      </c>
      <c r="X1979" s="3">
        <f>IF(AND($L1979=1,AND(对接源_02物料!$X779="自备筐",N(对接源_02物料!$T779)&lt;&gt;0)),1,0)</f>
        <v>0</v>
      </c>
      <c r="Y1979" s="3">
        <f t="shared" si="526"/>
        <v>0</v>
      </c>
      <c r="Z1979" s="3">
        <f>IF(AND($M1979=1,对接源_02物料!$D779="原料入库"),1,0)</f>
        <v>0</v>
      </c>
      <c r="AA1979" s="3">
        <f t="shared" si="527"/>
        <v>24</v>
      </c>
      <c r="AB1979" s="3">
        <f>IF(AND($M1979=1,LEFT(对接源_02物料!$D779,4)="原料出库"),1,0)</f>
        <v>0</v>
      </c>
      <c r="AC1979" s="3">
        <f t="shared" si="528"/>
        <v>0</v>
      </c>
      <c r="AD1979" s="3">
        <f>IF(AND($M1979=1,LEFT(对接源_02物料!$D779,4)="成品出库"),1,0)</f>
        <v>0</v>
      </c>
      <c r="AE1979" s="3">
        <f t="shared" si="529"/>
        <v>0</v>
      </c>
      <c r="AF1979" s="3">
        <f>IF(AND($N1979=1,AND(LEFT(对接源_02物料!$D779,4)="包装物料",N(对接源_02物料!$K779)&lt;&gt;0)),1,0)</f>
        <v>0</v>
      </c>
      <c r="AG1979" s="3">
        <f t="shared" si="530"/>
        <v>5</v>
      </c>
      <c r="AH1979" s="3">
        <f>IF(AND($N1979=1,AND(对接源_02物料!$D779="周转筐－销售出库",N(对接源_02物料!$K779)&lt;&gt;0)),1,0)</f>
        <v>0</v>
      </c>
      <c r="AI1979" s="3">
        <f t="shared" si="531"/>
        <v>0</v>
      </c>
      <c r="AL1979" s="3">
        <v>0</v>
      </c>
      <c r="AM1979" s="3">
        <f t="shared" si="532"/>
        <v>1</v>
      </c>
      <c r="AN1979" s="3" t="str">
        <f t="shared" si="536"/>
        <v/>
      </c>
      <c r="AO1979" s="3">
        <v>0</v>
      </c>
      <c r="AP1979" s="3">
        <f t="shared" si="533"/>
        <v>8</v>
      </c>
      <c r="AR1979">
        <f t="shared" si="534"/>
        <v>0</v>
      </c>
      <c r="AS1979">
        <f t="shared" si="535"/>
        <v>5</v>
      </c>
    </row>
    <row r="1980" customHeight="1" spans="1:45">
      <c r="A1980" s="3" t="str">
        <f>IF(对接源_02物料!$C780="","",对接源_02物料!$C780)</f>
        <v/>
      </c>
      <c r="B1980" s="3">
        <f t="shared" si="520"/>
        <v>0</v>
      </c>
      <c r="C1980" s="3">
        <f t="shared" si="521"/>
        <v>21</v>
      </c>
      <c r="K1980" s="3">
        <f>IF(OR($K$1="",对接源_02物料!$C780="",对接源_02物料!$C780&lt;&gt;$K$1,对接源_02物料!$B780=""),0,IF(OR(N(对接源_02物料!$B780)&lt;$K$2,N(对接源_02物料!$B780)&gt;$K$3),0,1))</f>
        <v>0</v>
      </c>
      <c r="L1980" s="3">
        <f>IF(OR($L$1="",对接源_02物料!$C780="",对接源_02物料!$C780&lt;&gt;$L$1,对接源_02物料!$B780=""),0,IF(OR(N(对接源_02物料!$B780)&lt;$L$2,N(对接源_02物料!$B780)&gt;$L$3),0,1))</f>
        <v>0</v>
      </c>
      <c r="M1980" s="3">
        <f>IF(OR($M$1="",对接源_02物料!$C780="",对接源_02物料!$C780&lt;&gt;$M$1,对接源_02物料!$B780=""),0,IF(OR(N(对接源_02物料!$B780)&lt;$M$2,N(对接源_02物料!$B780)&gt;$M$3),0,1))</f>
        <v>0</v>
      </c>
      <c r="N1980" s="3">
        <f>IF(OR($N$1="",对接源_02物料!$C780="",对接源_02物料!$C780&lt;&gt;$N$1,对接源_02物料!$B780=""),0,IF(OR(N(对接源_02物料!$B780)&lt;$N$2,N(对接源_02物料!$B780)&gt;$N$3),0,1))</f>
        <v>0</v>
      </c>
      <c r="P1980" s="3">
        <f>IF(AND($K1980=1,AND(对接源_02物料!$X780="公司筐",N(对接源_02物料!$T780)&lt;&gt;0)),1,0)</f>
        <v>0</v>
      </c>
      <c r="Q1980" s="3">
        <f t="shared" si="522"/>
        <v>8</v>
      </c>
      <c r="R1980" s="3">
        <f>IF(AND($K1980=1,AND(对接源_02物料!$X780="公司筐",N(对接源_02物料!$U780)&lt;&gt;0)),1,0)</f>
        <v>0</v>
      </c>
      <c r="S1980" s="3">
        <f t="shared" si="523"/>
        <v>0</v>
      </c>
      <c r="T1980" s="3">
        <f>IF(AND($K1980=1,AND(对接源_02物料!$X780="公司筐",N(对接源_02物料!$V780)&lt;&gt;0)),1,0)</f>
        <v>0</v>
      </c>
      <c r="U1980" s="3">
        <f t="shared" si="524"/>
        <v>19</v>
      </c>
      <c r="V1980" s="3">
        <f>IF(AND($L1980=1,AND(对接源_02物料!$X780="自备筐",N(对接源_02物料!$V780)&lt;&gt;0)),1,0)</f>
        <v>0</v>
      </c>
      <c r="W1980" s="3">
        <f t="shared" si="525"/>
        <v>8</v>
      </c>
      <c r="X1980" s="3">
        <f>IF(AND($L1980=1,AND(对接源_02物料!$X780="自备筐",N(对接源_02物料!$T780)&lt;&gt;0)),1,0)</f>
        <v>0</v>
      </c>
      <c r="Y1980" s="3">
        <f t="shared" si="526"/>
        <v>0</v>
      </c>
      <c r="Z1980" s="3">
        <f>IF(AND($M1980=1,对接源_02物料!$D780="原料入库"),1,0)</f>
        <v>0</v>
      </c>
      <c r="AA1980" s="3">
        <f t="shared" si="527"/>
        <v>24</v>
      </c>
      <c r="AB1980" s="3">
        <f>IF(AND($M1980=1,LEFT(对接源_02物料!$D780,4)="原料出库"),1,0)</f>
        <v>0</v>
      </c>
      <c r="AC1980" s="3">
        <f t="shared" si="528"/>
        <v>0</v>
      </c>
      <c r="AD1980" s="3">
        <f>IF(AND($M1980=1,LEFT(对接源_02物料!$D780,4)="成品出库"),1,0)</f>
        <v>0</v>
      </c>
      <c r="AE1980" s="3">
        <f t="shared" si="529"/>
        <v>0</v>
      </c>
      <c r="AF1980" s="3">
        <f>IF(AND($N1980=1,AND(LEFT(对接源_02物料!$D780,4)="包装物料",N(对接源_02物料!$K780)&lt;&gt;0)),1,0)</f>
        <v>0</v>
      </c>
      <c r="AG1980" s="3">
        <f t="shared" si="530"/>
        <v>5</v>
      </c>
      <c r="AH1980" s="3">
        <f>IF(AND($N1980=1,AND(对接源_02物料!$D780="周转筐－销售出库",N(对接源_02物料!$K780)&lt;&gt;0)),1,0)</f>
        <v>0</v>
      </c>
      <c r="AI1980" s="3">
        <f t="shared" si="531"/>
        <v>0</v>
      </c>
      <c r="AL1980" s="3">
        <v>0</v>
      </c>
      <c r="AM1980" s="3">
        <f t="shared" si="532"/>
        <v>1</v>
      </c>
      <c r="AN1980" s="3" t="str">
        <f t="shared" si="536"/>
        <v/>
      </c>
      <c r="AO1980" s="3">
        <v>0</v>
      </c>
      <c r="AP1980" s="3">
        <f t="shared" si="533"/>
        <v>8</v>
      </c>
      <c r="AR1980">
        <f t="shared" si="534"/>
        <v>0</v>
      </c>
      <c r="AS1980">
        <f t="shared" si="535"/>
        <v>5</v>
      </c>
    </row>
    <row r="1981" customHeight="1" spans="1:45">
      <c r="A1981" s="3" t="str">
        <f>IF(对接源_02物料!$C781="","",对接源_02物料!$C781)</f>
        <v/>
      </c>
      <c r="B1981" s="3">
        <f t="shared" si="520"/>
        <v>0</v>
      </c>
      <c r="C1981" s="3">
        <f t="shared" si="521"/>
        <v>21</v>
      </c>
      <c r="K1981" s="3">
        <f>IF(OR($K$1="",对接源_02物料!$C781="",对接源_02物料!$C781&lt;&gt;$K$1,对接源_02物料!$B781=""),0,IF(OR(N(对接源_02物料!$B781)&lt;$K$2,N(对接源_02物料!$B781)&gt;$K$3),0,1))</f>
        <v>0</v>
      </c>
      <c r="L1981" s="3">
        <f>IF(OR($L$1="",对接源_02物料!$C781="",对接源_02物料!$C781&lt;&gt;$L$1,对接源_02物料!$B781=""),0,IF(OR(N(对接源_02物料!$B781)&lt;$L$2,N(对接源_02物料!$B781)&gt;$L$3),0,1))</f>
        <v>0</v>
      </c>
      <c r="M1981" s="3">
        <f>IF(OR($M$1="",对接源_02物料!$C781="",对接源_02物料!$C781&lt;&gt;$M$1,对接源_02物料!$B781=""),0,IF(OR(N(对接源_02物料!$B781)&lt;$M$2,N(对接源_02物料!$B781)&gt;$M$3),0,1))</f>
        <v>0</v>
      </c>
      <c r="N1981" s="3">
        <f>IF(OR($N$1="",对接源_02物料!$C781="",对接源_02物料!$C781&lt;&gt;$N$1,对接源_02物料!$B781=""),0,IF(OR(N(对接源_02物料!$B781)&lt;$N$2,N(对接源_02物料!$B781)&gt;$N$3),0,1))</f>
        <v>0</v>
      </c>
      <c r="P1981" s="3">
        <f>IF(AND($K1981=1,AND(对接源_02物料!$X781="公司筐",N(对接源_02物料!$T781)&lt;&gt;0)),1,0)</f>
        <v>0</v>
      </c>
      <c r="Q1981" s="3">
        <f t="shared" si="522"/>
        <v>8</v>
      </c>
      <c r="R1981" s="3">
        <f>IF(AND($K1981=1,AND(对接源_02物料!$X781="公司筐",N(对接源_02物料!$U781)&lt;&gt;0)),1,0)</f>
        <v>0</v>
      </c>
      <c r="S1981" s="3">
        <f t="shared" si="523"/>
        <v>0</v>
      </c>
      <c r="T1981" s="3">
        <f>IF(AND($K1981=1,AND(对接源_02物料!$X781="公司筐",N(对接源_02物料!$V781)&lt;&gt;0)),1,0)</f>
        <v>0</v>
      </c>
      <c r="U1981" s="3">
        <f t="shared" si="524"/>
        <v>19</v>
      </c>
      <c r="V1981" s="3">
        <f>IF(AND($L1981=1,AND(对接源_02物料!$X781="自备筐",N(对接源_02物料!$V781)&lt;&gt;0)),1,0)</f>
        <v>0</v>
      </c>
      <c r="W1981" s="3">
        <f t="shared" si="525"/>
        <v>8</v>
      </c>
      <c r="X1981" s="3">
        <f>IF(AND($L1981=1,AND(对接源_02物料!$X781="自备筐",N(对接源_02物料!$T781)&lt;&gt;0)),1,0)</f>
        <v>0</v>
      </c>
      <c r="Y1981" s="3">
        <f t="shared" si="526"/>
        <v>0</v>
      </c>
      <c r="Z1981" s="3">
        <f>IF(AND($M1981=1,对接源_02物料!$D781="原料入库"),1,0)</f>
        <v>0</v>
      </c>
      <c r="AA1981" s="3">
        <f t="shared" si="527"/>
        <v>24</v>
      </c>
      <c r="AB1981" s="3">
        <f>IF(AND($M1981=1,LEFT(对接源_02物料!$D781,4)="原料出库"),1,0)</f>
        <v>0</v>
      </c>
      <c r="AC1981" s="3">
        <f t="shared" si="528"/>
        <v>0</v>
      </c>
      <c r="AD1981" s="3">
        <f>IF(AND($M1981=1,LEFT(对接源_02物料!$D781,4)="成品出库"),1,0)</f>
        <v>0</v>
      </c>
      <c r="AE1981" s="3">
        <f t="shared" si="529"/>
        <v>0</v>
      </c>
      <c r="AF1981" s="3">
        <f>IF(AND($N1981=1,AND(LEFT(对接源_02物料!$D781,4)="包装物料",N(对接源_02物料!$K781)&lt;&gt;0)),1,0)</f>
        <v>0</v>
      </c>
      <c r="AG1981" s="3">
        <f t="shared" si="530"/>
        <v>5</v>
      </c>
      <c r="AH1981" s="3">
        <f>IF(AND($N1981=1,AND(对接源_02物料!$D781="周转筐－销售出库",N(对接源_02物料!$K781)&lt;&gt;0)),1,0)</f>
        <v>0</v>
      </c>
      <c r="AI1981" s="3">
        <f t="shared" si="531"/>
        <v>0</v>
      </c>
      <c r="AL1981" s="3">
        <v>0</v>
      </c>
      <c r="AM1981" s="3">
        <f t="shared" si="532"/>
        <v>1</v>
      </c>
      <c r="AN1981" s="3" t="str">
        <f t="shared" si="536"/>
        <v/>
      </c>
      <c r="AO1981" s="3">
        <v>0</v>
      </c>
      <c r="AP1981" s="3">
        <f t="shared" si="533"/>
        <v>8</v>
      </c>
      <c r="AR1981">
        <f t="shared" si="534"/>
        <v>0</v>
      </c>
      <c r="AS1981">
        <f t="shared" si="535"/>
        <v>5</v>
      </c>
    </row>
    <row r="1982" customHeight="1" spans="1:45">
      <c r="A1982" s="3" t="str">
        <f>IF(对接源_02物料!$C782="","",对接源_02物料!$C782)</f>
        <v/>
      </c>
      <c r="B1982" s="3">
        <f t="shared" si="520"/>
        <v>0</v>
      </c>
      <c r="C1982" s="3">
        <f t="shared" si="521"/>
        <v>21</v>
      </c>
      <c r="K1982" s="3">
        <f>IF(OR($K$1="",对接源_02物料!$C782="",对接源_02物料!$C782&lt;&gt;$K$1,对接源_02物料!$B782=""),0,IF(OR(N(对接源_02物料!$B782)&lt;$K$2,N(对接源_02物料!$B782)&gt;$K$3),0,1))</f>
        <v>0</v>
      </c>
      <c r="L1982" s="3">
        <f>IF(OR($L$1="",对接源_02物料!$C782="",对接源_02物料!$C782&lt;&gt;$L$1,对接源_02物料!$B782=""),0,IF(OR(N(对接源_02物料!$B782)&lt;$L$2,N(对接源_02物料!$B782)&gt;$L$3),0,1))</f>
        <v>0</v>
      </c>
      <c r="M1982" s="3">
        <f>IF(OR($M$1="",对接源_02物料!$C782="",对接源_02物料!$C782&lt;&gt;$M$1,对接源_02物料!$B782=""),0,IF(OR(N(对接源_02物料!$B782)&lt;$M$2,N(对接源_02物料!$B782)&gt;$M$3),0,1))</f>
        <v>0</v>
      </c>
      <c r="N1982" s="3">
        <f>IF(OR($N$1="",对接源_02物料!$C782="",对接源_02物料!$C782&lt;&gt;$N$1,对接源_02物料!$B782=""),0,IF(OR(N(对接源_02物料!$B782)&lt;$N$2,N(对接源_02物料!$B782)&gt;$N$3),0,1))</f>
        <v>0</v>
      </c>
      <c r="P1982" s="3">
        <f>IF(AND($K1982=1,AND(对接源_02物料!$X782="公司筐",N(对接源_02物料!$T782)&lt;&gt;0)),1,0)</f>
        <v>0</v>
      </c>
      <c r="Q1982" s="3">
        <f t="shared" si="522"/>
        <v>8</v>
      </c>
      <c r="R1982" s="3">
        <f>IF(AND($K1982=1,AND(对接源_02物料!$X782="公司筐",N(对接源_02物料!$U782)&lt;&gt;0)),1,0)</f>
        <v>0</v>
      </c>
      <c r="S1982" s="3">
        <f t="shared" si="523"/>
        <v>0</v>
      </c>
      <c r="T1982" s="3">
        <f>IF(AND($K1982=1,AND(对接源_02物料!$X782="公司筐",N(对接源_02物料!$V782)&lt;&gt;0)),1,0)</f>
        <v>0</v>
      </c>
      <c r="U1982" s="3">
        <f t="shared" si="524"/>
        <v>19</v>
      </c>
      <c r="V1982" s="3">
        <f>IF(AND($L1982=1,AND(对接源_02物料!$X782="自备筐",N(对接源_02物料!$V782)&lt;&gt;0)),1,0)</f>
        <v>0</v>
      </c>
      <c r="W1982" s="3">
        <f t="shared" si="525"/>
        <v>8</v>
      </c>
      <c r="X1982" s="3">
        <f>IF(AND($L1982=1,AND(对接源_02物料!$X782="自备筐",N(对接源_02物料!$T782)&lt;&gt;0)),1,0)</f>
        <v>0</v>
      </c>
      <c r="Y1982" s="3">
        <f t="shared" si="526"/>
        <v>0</v>
      </c>
      <c r="Z1982" s="3">
        <f>IF(AND($M1982=1,对接源_02物料!$D782="原料入库"),1,0)</f>
        <v>0</v>
      </c>
      <c r="AA1982" s="3">
        <f t="shared" si="527"/>
        <v>24</v>
      </c>
      <c r="AB1982" s="3">
        <f>IF(AND($M1982=1,LEFT(对接源_02物料!$D782,4)="原料出库"),1,0)</f>
        <v>0</v>
      </c>
      <c r="AC1982" s="3">
        <f t="shared" si="528"/>
        <v>0</v>
      </c>
      <c r="AD1982" s="3">
        <f>IF(AND($M1982=1,LEFT(对接源_02物料!$D782,4)="成品出库"),1,0)</f>
        <v>0</v>
      </c>
      <c r="AE1982" s="3">
        <f t="shared" si="529"/>
        <v>0</v>
      </c>
      <c r="AF1982" s="3">
        <f>IF(AND($N1982=1,AND(LEFT(对接源_02物料!$D782,4)="包装物料",N(对接源_02物料!$K782)&lt;&gt;0)),1,0)</f>
        <v>0</v>
      </c>
      <c r="AG1982" s="3">
        <f t="shared" si="530"/>
        <v>5</v>
      </c>
      <c r="AH1982" s="3">
        <f>IF(AND($N1982=1,AND(对接源_02物料!$D782="周转筐－销售出库",N(对接源_02物料!$K782)&lt;&gt;0)),1,0)</f>
        <v>0</v>
      </c>
      <c r="AI1982" s="3">
        <f t="shared" si="531"/>
        <v>0</v>
      </c>
      <c r="AL1982" s="3">
        <v>0</v>
      </c>
      <c r="AM1982" s="3">
        <f t="shared" si="532"/>
        <v>1</v>
      </c>
      <c r="AN1982" s="3" t="str">
        <f t="shared" si="536"/>
        <v/>
      </c>
      <c r="AO1982" s="3">
        <v>0</v>
      </c>
      <c r="AP1982" s="3">
        <f t="shared" si="533"/>
        <v>8</v>
      </c>
      <c r="AR1982">
        <f t="shared" si="534"/>
        <v>0</v>
      </c>
      <c r="AS1982">
        <f t="shared" si="535"/>
        <v>5</v>
      </c>
    </row>
    <row r="1983" customHeight="1" spans="1:45">
      <c r="A1983" s="3" t="str">
        <f>IF(对接源_02物料!$C783="","",对接源_02物料!$C783)</f>
        <v/>
      </c>
      <c r="B1983" s="3">
        <f t="shared" si="520"/>
        <v>0</v>
      </c>
      <c r="C1983" s="3">
        <f t="shared" si="521"/>
        <v>21</v>
      </c>
      <c r="K1983" s="3">
        <f>IF(OR($K$1="",对接源_02物料!$C783="",对接源_02物料!$C783&lt;&gt;$K$1,对接源_02物料!$B783=""),0,IF(OR(N(对接源_02物料!$B783)&lt;$K$2,N(对接源_02物料!$B783)&gt;$K$3),0,1))</f>
        <v>0</v>
      </c>
      <c r="L1983" s="3">
        <f>IF(OR($L$1="",对接源_02物料!$C783="",对接源_02物料!$C783&lt;&gt;$L$1,对接源_02物料!$B783=""),0,IF(OR(N(对接源_02物料!$B783)&lt;$L$2,N(对接源_02物料!$B783)&gt;$L$3),0,1))</f>
        <v>0</v>
      </c>
      <c r="M1983" s="3">
        <f>IF(OR($M$1="",对接源_02物料!$C783="",对接源_02物料!$C783&lt;&gt;$M$1,对接源_02物料!$B783=""),0,IF(OR(N(对接源_02物料!$B783)&lt;$M$2,N(对接源_02物料!$B783)&gt;$M$3),0,1))</f>
        <v>0</v>
      </c>
      <c r="N1983" s="3">
        <f>IF(OR($N$1="",对接源_02物料!$C783="",对接源_02物料!$C783&lt;&gt;$N$1,对接源_02物料!$B783=""),0,IF(OR(N(对接源_02物料!$B783)&lt;$N$2,N(对接源_02物料!$B783)&gt;$N$3),0,1))</f>
        <v>0</v>
      </c>
      <c r="P1983" s="3">
        <f>IF(AND($K1983=1,AND(对接源_02物料!$X783="公司筐",N(对接源_02物料!$T783)&lt;&gt;0)),1,0)</f>
        <v>0</v>
      </c>
      <c r="Q1983" s="3">
        <f t="shared" si="522"/>
        <v>8</v>
      </c>
      <c r="R1983" s="3">
        <f>IF(AND($K1983=1,AND(对接源_02物料!$X783="公司筐",N(对接源_02物料!$U783)&lt;&gt;0)),1,0)</f>
        <v>0</v>
      </c>
      <c r="S1983" s="3">
        <f t="shared" si="523"/>
        <v>0</v>
      </c>
      <c r="T1983" s="3">
        <f>IF(AND($K1983=1,AND(对接源_02物料!$X783="公司筐",N(对接源_02物料!$V783)&lt;&gt;0)),1,0)</f>
        <v>0</v>
      </c>
      <c r="U1983" s="3">
        <f t="shared" si="524"/>
        <v>19</v>
      </c>
      <c r="V1983" s="3">
        <f>IF(AND($L1983=1,AND(对接源_02物料!$X783="自备筐",N(对接源_02物料!$V783)&lt;&gt;0)),1,0)</f>
        <v>0</v>
      </c>
      <c r="W1983" s="3">
        <f t="shared" si="525"/>
        <v>8</v>
      </c>
      <c r="X1983" s="3">
        <f>IF(AND($L1983=1,AND(对接源_02物料!$X783="自备筐",N(对接源_02物料!$T783)&lt;&gt;0)),1,0)</f>
        <v>0</v>
      </c>
      <c r="Y1983" s="3">
        <f t="shared" si="526"/>
        <v>0</v>
      </c>
      <c r="Z1983" s="3">
        <f>IF(AND($M1983=1,对接源_02物料!$D783="原料入库"),1,0)</f>
        <v>0</v>
      </c>
      <c r="AA1983" s="3">
        <f t="shared" si="527"/>
        <v>24</v>
      </c>
      <c r="AB1983" s="3">
        <f>IF(AND($M1983=1,LEFT(对接源_02物料!$D783,4)="原料出库"),1,0)</f>
        <v>0</v>
      </c>
      <c r="AC1983" s="3">
        <f t="shared" si="528"/>
        <v>0</v>
      </c>
      <c r="AD1983" s="3">
        <f>IF(AND($M1983=1,LEFT(对接源_02物料!$D783,4)="成品出库"),1,0)</f>
        <v>0</v>
      </c>
      <c r="AE1983" s="3">
        <f t="shared" si="529"/>
        <v>0</v>
      </c>
      <c r="AF1983" s="3">
        <f>IF(AND($N1983=1,AND(LEFT(对接源_02物料!$D783,4)="包装物料",N(对接源_02物料!$K783)&lt;&gt;0)),1,0)</f>
        <v>0</v>
      </c>
      <c r="AG1983" s="3">
        <f t="shared" si="530"/>
        <v>5</v>
      </c>
      <c r="AH1983" s="3">
        <f>IF(AND($N1983=1,AND(对接源_02物料!$D783="周转筐－销售出库",N(对接源_02物料!$K783)&lt;&gt;0)),1,0)</f>
        <v>0</v>
      </c>
      <c r="AI1983" s="3">
        <f t="shared" si="531"/>
        <v>0</v>
      </c>
      <c r="AL1983" s="3">
        <v>0</v>
      </c>
      <c r="AM1983" s="3">
        <f t="shared" si="532"/>
        <v>1</v>
      </c>
      <c r="AN1983" s="3" t="str">
        <f t="shared" si="536"/>
        <v/>
      </c>
      <c r="AO1983" s="3">
        <v>0</v>
      </c>
      <c r="AP1983" s="3">
        <f t="shared" si="533"/>
        <v>8</v>
      </c>
      <c r="AR1983">
        <f t="shared" si="534"/>
        <v>0</v>
      </c>
      <c r="AS1983">
        <f t="shared" si="535"/>
        <v>5</v>
      </c>
    </row>
    <row r="1984" customHeight="1" spans="1:45">
      <c r="A1984" s="3" t="str">
        <f>IF(对接源_02物料!$C784="","",对接源_02物料!$C784)</f>
        <v/>
      </c>
      <c r="B1984" s="3">
        <f t="shared" si="520"/>
        <v>0</v>
      </c>
      <c r="C1984" s="3">
        <f t="shared" si="521"/>
        <v>21</v>
      </c>
      <c r="K1984" s="3">
        <f>IF(OR($K$1="",对接源_02物料!$C784="",对接源_02物料!$C784&lt;&gt;$K$1,对接源_02物料!$B784=""),0,IF(OR(N(对接源_02物料!$B784)&lt;$K$2,N(对接源_02物料!$B784)&gt;$K$3),0,1))</f>
        <v>0</v>
      </c>
      <c r="L1984" s="3">
        <f>IF(OR($L$1="",对接源_02物料!$C784="",对接源_02物料!$C784&lt;&gt;$L$1,对接源_02物料!$B784=""),0,IF(OR(N(对接源_02物料!$B784)&lt;$L$2,N(对接源_02物料!$B784)&gt;$L$3),0,1))</f>
        <v>0</v>
      </c>
      <c r="M1984" s="3">
        <f>IF(OR($M$1="",对接源_02物料!$C784="",对接源_02物料!$C784&lt;&gt;$M$1,对接源_02物料!$B784=""),0,IF(OR(N(对接源_02物料!$B784)&lt;$M$2,N(对接源_02物料!$B784)&gt;$M$3),0,1))</f>
        <v>0</v>
      </c>
      <c r="N1984" s="3">
        <f>IF(OR($N$1="",对接源_02物料!$C784="",对接源_02物料!$C784&lt;&gt;$N$1,对接源_02物料!$B784=""),0,IF(OR(N(对接源_02物料!$B784)&lt;$N$2,N(对接源_02物料!$B784)&gt;$N$3),0,1))</f>
        <v>0</v>
      </c>
      <c r="P1984" s="3">
        <f>IF(AND($K1984=1,AND(对接源_02物料!$X784="公司筐",N(对接源_02物料!$T784)&lt;&gt;0)),1,0)</f>
        <v>0</v>
      </c>
      <c r="Q1984" s="3">
        <f t="shared" si="522"/>
        <v>8</v>
      </c>
      <c r="R1984" s="3">
        <f>IF(AND($K1984=1,AND(对接源_02物料!$X784="公司筐",N(对接源_02物料!$U784)&lt;&gt;0)),1,0)</f>
        <v>0</v>
      </c>
      <c r="S1984" s="3">
        <f t="shared" si="523"/>
        <v>0</v>
      </c>
      <c r="T1984" s="3">
        <f>IF(AND($K1984=1,AND(对接源_02物料!$X784="公司筐",N(对接源_02物料!$V784)&lt;&gt;0)),1,0)</f>
        <v>0</v>
      </c>
      <c r="U1984" s="3">
        <f t="shared" si="524"/>
        <v>19</v>
      </c>
      <c r="V1984" s="3">
        <f>IF(AND($L1984=1,AND(对接源_02物料!$X784="自备筐",N(对接源_02物料!$V784)&lt;&gt;0)),1,0)</f>
        <v>0</v>
      </c>
      <c r="W1984" s="3">
        <f t="shared" si="525"/>
        <v>8</v>
      </c>
      <c r="X1984" s="3">
        <f>IF(AND($L1984=1,AND(对接源_02物料!$X784="自备筐",N(对接源_02物料!$T784)&lt;&gt;0)),1,0)</f>
        <v>0</v>
      </c>
      <c r="Y1984" s="3">
        <f t="shared" si="526"/>
        <v>0</v>
      </c>
      <c r="Z1984" s="3">
        <f>IF(AND($M1984=1,对接源_02物料!$D784="原料入库"),1,0)</f>
        <v>0</v>
      </c>
      <c r="AA1984" s="3">
        <f t="shared" si="527"/>
        <v>24</v>
      </c>
      <c r="AB1984" s="3">
        <f>IF(AND($M1984=1,LEFT(对接源_02物料!$D784,4)="原料出库"),1,0)</f>
        <v>0</v>
      </c>
      <c r="AC1984" s="3">
        <f t="shared" si="528"/>
        <v>0</v>
      </c>
      <c r="AD1984" s="3">
        <f>IF(AND($M1984=1,LEFT(对接源_02物料!$D784,4)="成品出库"),1,0)</f>
        <v>0</v>
      </c>
      <c r="AE1984" s="3">
        <f t="shared" si="529"/>
        <v>0</v>
      </c>
      <c r="AF1984" s="3">
        <f>IF(AND($N1984=1,AND(LEFT(对接源_02物料!$D784,4)="包装物料",N(对接源_02物料!$K784)&lt;&gt;0)),1,0)</f>
        <v>0</v>
      </c>
      <c r="AG1984" s="3">
        <f t="shared" si="530"/>
        <v>5</v>
      </c>
      <c r="AH1984" s="3">
        <f>IF(AND($N1984=1,AND(对接源_02物料!$D784="周转筐－销售出库",N(对接源_02物料!$K784)&lt;&gt;0)),1,0)</f>
        <v>0</v>
      </c>
      <c r="AI1984" s="3">
        <f t="shared" si="531"/>
        <v>0</v>
      </c>
      <c r="AL1984" s="3">
        <v>0</v>
      </c>
      <c r="AM1984" s="3">
        <f t="shared" si="532"/>
        <v>1</v>
      </c>
      <c r="AN1984" s="3" t="str">
        <f t="shared" si="536"/>
        <v/>
      </c>
      <c r="AO1984" s="3">
        <v>0</v>
      </c>
      <c r="AP1984" s="3">
        <f t="shared" si="533"/>
        <v>8</v>
      </c>
      <c r="AR1984">
        <f t="shared" si="534"/>
        <v>0</v>
      </c>
      <c r="AS1984">
        <f t="shared" si="535"/>
        <v>5</v>
      </c>
    </row>
    <row r="1985" customHeight="1" spans="1:45">
      <c r="A1985" s="3" t="str">
        <f>IF(对接源_02物料!$C785="","",对接源_02物料!$C785)</f>
        <v/>
      </c>
      <c r="B1985" s="3">
        <f t="shared" si="520"/>
        <v>0</v>
      </c>
      <c r="C1985" s="3">
        <f t="shared" si="521"/>
        <v>21</v>
      </c>
      <c r="K1985" s="3">
        <f>IF(OR($K$1="",对接源_02物料!$C785="",对接源_02物料!$C785&lt;&gt;$K$1,对接源_02物料!$B785=""),0,IF(OR(N(对接源_02物料!$B785)&lt;$K$2,N(对接源_02物料!$B785)&gt;$K$3),0,1))</f>
        <v>0</v>
      </c>
      <c r="L1985" s="3">
        <f>IF(OR($L$1="",对接源_02物料!$C785="",对接源_02物料!$C785&lt;&gt;$L$1,对接源_02物料!$B785=""),0,IF(OR(N(对接源_02物料!$B785)&lt;$L$2,N(对接源_02物料!$B785)&gt;$L$3),0,1))</f>
        <v>0</v>
      </c>
      <c r="M1985" s="3">
        <f>IF(OR($M$1="",对接源_02物料!$C785="",对接源_02物料!$C785&lt;&gt;$M$1,对接源_02物料!$B785=""),0,IF(OR(N(对接源_02物料!$B785)&lt;$M$2,N(对接源_02物料!$B785)&gt;$M$3),0,1))</f>
        <v>0</v>
      </c>
      <c r="N1985" s="3">
        <f>IF(OR($N$1="",对接源_02物料!$C785="",对接源_02物料!$C785&lt;&gt;$N$1,对接源_02物料!$B785=""),0,IF(OR(N(对接源_02物料!$B785)&lt;$N$2,N(对接源_02物料!$B785)&gt;$N$3),0,1))</f>
        <v>0</v>
      </c>
      <c r="P1985" s="3">
        <f>IF(AND($K1985=1,AND(对接源_02物料!$X785="公司筐",N(对接源_02物料!$T785)&lt;&gt;0)),1,0)</f>
        <v>0</v>
      </c>
      <c r="Q1985" s="3">
        <f t="shared" si="522"/>
        <v>8</v>
      </c>
      <c r="R1985" s="3">
        <f>IF(AND($K1985=1,AND(对接源_02物料!$X785="公司筐",N(对接源_02物料!$U785)&lt;&gt;0)),1,0)</f>
        <v>0</v>
      </c>
      <c r="S1985" s="3">
        <f t="shared" si="523"/>
        <v>0</v>
      </c>
      <c r="T1985" s="3">
        <f>IF(AND($K1985=1,AND(对接源_02物料!$X785="公司筐",N(对接源_02物料!$V785)&lt;&gt;0)),1,0)</f>
        <v>0</v>
      </c>
      <c r="U1985" s="3">
        <f t="shared" si="524"/>
        <v>19</v>
      </c>
      <c r="V1985" s="3">
        <f>IF(AND($L1985=1,AND(对接源_02物料!$X785="自备筐",N(对接源_02物料!$V785)&lt;&gt;0)),1,0)</f>
        <v>0</v>
      </c>
      <c r="W1985" s="3">
        <f t="shared" si="525"/>
        <v>8</v>
      </c>
      <c r="X1985" s="3">
        <f>IF(AND($L1985=1,AND(对接源_02物料!$X785="自备筐",N(对接源_02物料!$T785)&lt;&gt;0)),1,0)</f>
        <v>0</v>
      </c>
      <c r="Y1985" s="3">
        <f t="shared" si="526"/>
        <v>0</v>
      </c>
      <c r="Z1985" s="3">
        <f>IF(AND($M1985=1,对接源_02物料!$D785="原料入库"),1,0)</f>
        <v>0</v>
      </c>
      <c r="AA1985" s="3">
        <f t="shared" si="527"/>
        <v>24</v>
      </c>
      <c r="AB1985" s="3">
        <f>IF(AND($M1985=1,LEFT(对接源_02物料!$D785,4)="原料出库"),1,0)</f>
        <v>0</v>
      </c>
      <c r="AC1985" s="3">
        <f t="shared" si="528"/>
        <v>0</v>
      </c>
      <c r="AD1985" s="3">
        <f>IF(AND($M1985=1,LEFT(对接源_02物料!$D785,4)="成品出库"),1,0)</f>
        <v>0</v>
      </c>
      <c r="AE1985" s="3">
        <f t="shared" si="529"/>
        <v>0</v>
      </c>
      <c r="AF1985" s="3">
        <f>IF(AND($N1985=1,AND(LEFT(对接源_02物料!$D785,4)="包装物料",N(对接源_02物料!$K785)&lt;&gt;0)),1,0)</f>
        <v>0</v>
      </c>
      <c r="AG1985" s="3">
        <f t="shared" si="530"/>
        <v>5</v>
      </c>
      <c r="AH1985" s="3">
        <f>IF(AND($N1985=1,AND(对接源_02物料!$D785="周转筐－销售出库",N(对接源_02物料!$K785)&lt;&gt;0)),1,0)</f>
        <v>0</v>
      </c>
      <c r="AI1985" s="3">
        <f t="shared" si="531"/>
        <v>0</v>
      </c>
      <c r="AL1985" s="3">
        <v>0</v>
      </c>
      <c r="AM1985" s="3">
        <f t="shared" si="532"/>
        <v>1</v>
      </c>
      <c r="AN1985" s="3" t="str">
        <f t="shared" si="536"/>
        <v/>
      </c>
      <c r="AO1985" s="3">
        <v>0</v>
      </c>
      <c r="AP1985" s="3">
        <f t="shared" si="533"/>
        <v>8</v>
      </c>
      <c r="AR1985">
        <f t="shared" si="534"/>
        <v>0</v>
      </c>
      <c r="AS1985">
        <f t="shared" si="535"/>
        <v>5</v>
      </c>
    </row>
    <row r="1986" customHeight="1" spans="1:45">
      <c r="A1986" s="3" t="str">
        <f>IF(对接源_02物料!$C786="","",对接源_02物料!$C786)</f>
        <v/>
      </c>
      <c r="B1986" s="3">
        <f t="shared" si="520"/>
        <v>0</v>
      </c>
      <c r="C1986" s="3">
        <f t="shared" si="521"/>
        <v>21</v>
      </c>
      <c r="K1986" s="3">
        <f>IF(OR($K$1="",对接源_02物料!$C786="",对接源_02物料!$C786&lt;&gt;$K$1,对接源_02物料!$B786=""),0,IF(OR(N(对接源_02物料!$B786)&lt;$K$2,N(对接源_02物料!$B786)&gt;$K$3),0,1))</f>
        <v>0</v>
      </c>
      <c r="L1986" s="3">
        <f>IF(OR($L$1="",对接源_02物料!$C786="",对接源_02物料!$C786&lt;&gt;$L$1,对接源_02物料!$B786=""),0,IF(OR(N(对接源_02物料!$B786)&lt;$L$2,N(对接源_02物料!$B786)&gt;$L$3),0,1))</f>
        <v>0</v>
      </c>
      <c r="M1986" s="3">
        <f>IF(OR($M$1="",对接源_02物料!$C786="",对接源_02物料!$C786&lt;&gt;$M$1,对接源_02物料!$B786=""),0,IF(OR(N(对接源_02物料!$B786)&lt;$M$2,N(对接源_02物料!$B786)&gt;$M$3),0,1))</f>
        <v>0</v>
      </c>
      <c r="N1986" s="3">
        <f>IF(OR($N$1="",对接源_02物料!$C786="",对接源_02物料!$C786&lt;&gt;$N$1,对接源_02物料!$B786=""),0,IF(OR(N(对接源_02物料!$B786)&lt;$N$2,N(对接源_02物料!$B786)&gt;$N$3),0,1))</f>
        <v>0</v>
      </c>
      <c r="P1986" s="3">
        <f>IF(AND($K1986=1,AND(对接源_02物料!$X786="公司筐",N(对接源_02物料!$T786)&lt;&gt;0)),1,0)</f>
        <v>0</v>
      </c>
      <c r="Q1986" s="3">
        <f t="shared" si="522"/>
        <v>8</v>
      </c>
      <c r="R1986" s="3">
        <f>IF(AND($K1986=1,AND(对接源_02物料!$X786="公司筐",N(对接源_02物料!$U786)&lt;&gt;0)),1,0)</f>
        <v>0</v>
      </c>
      <c r="S1986" s="3">
        <f t="shared" si="523"/>
        <v>0</v>
      </c>
      <c r="T1986" s="3">
        <f>IF(AND($K1986=1,AND(对接源_02物料!$X786="公司筐",N(对接源_02物料!$V786)&lt;&gt;0)),1,0)</f>
        <v>0</v>
      </c>
      <c r="U1986" s="3">
        <f t="shared" si="524"/>
        <v>19</v>
      </c>
      <c r="V1986" s="3">
        <f>IF(AND($L1986=1,AND(对接源_02物料!$X786="自备筐",N(对接源_02物料!$V786)&lt;&gt;0)),1,0)</f>
        <v>0</v>
      </c>
      <c r="W1986" s="3">
        <f t="shared" si="525"/>
        <v>8</v>
      </c>
      <c r="X1986" s="3">
        <f>IF(AND($L1986=1,AND(对接源_02物料!$X786="自备筐",N(对接源_02物料!$T786)&lt;&gt;0)),1,0)</f>
        <v>0</v>
      </c>
      <c r="Y1986" s="3">
        <f t="shared" si="526"/>
        <v>0</v>
      </c>
      <c r="Z1986" s="3">
        <f>IF(AND($M1986=1,对接源_02物料!$D786="原料入库"),1,0)</f>
        <v>0</v>
      </c>
      <c r="AA1986" s="3">
        <f t="shared" si="527"/>
        <v>24</v>
      </c>
      <c r="AB1986" s="3">
        <f>IF(AND($M1986=1,LEFT(对接源_02物料!$D786,4)="原料出库"),1,0)</f>
        <v>0</v>
      </c>
      <c r="AC1986" s="3">
        <f t="shared" si="528"/>
        <v>0</v>
      </c>
      <c r="AD1986" s="3">
        <f>IF(AND($M1986=1,LEFT(对接源_02物料!$D786,4)="成品出库"),1,0)</f>
        <v>0</v>
      </c>
      <c r="AE1986" s="3">
        <f t="shared" si="529"/>
        <v>0</v>
      </c>
      <c r="AF1986" s="3">
        <f>IF(AND($N1986=1,AND(LEFT(对接源_02物料!$D786,4)="包装物料",N(对接源_02物料!$K786)&lt;&gt;0)),1,0)</f>
        <v>0</v>
      </c>
      <c r="AG1986" s="3">
        <f t="shared" si="530"/>
        <v>5</v>
      </c>
      <c r="AH1986" s="3">
        <f>IF(AND($N1986=1,AND(对接源_02物料!$D786="周转筐－销售出库",N(对接源_02物料!$K786)&lt;&gt;0)),1,0)</f>
        <v>0</v>
      </c>
      <c r="AI1986" s="3">
        <f t="shared" si="531"/>
        <v>0</v>
      </c>
      <c r="AL1986" s="3">
        <v>0</v>
      </c>
      <c r="AM1986" s="3">
        <f t="shared" si="532"/>
        <v>1</v>
      </c>
      <c r="AN1986" s="3" t="str">
        <f t="shared" si="536"/>
        <v/>
      </c>
      <c r="AO1986" s="3">
        <v>0</v>
      </c>
      <c r="AP1986" s="3">
        <f t="shared" si="533"/>
        <v>8</v>
      </c>
      <c r="AR1986">
        <f t="shared" si="534"/>
        <v>0</v>
      </c>
      <c r="AS1986">
        <f t="shared" si="535"/>
        <v>5</v>
      </c>
    </row>
    <row r="1987" customHeight="1" spans="1:45">
      <c r="A1987" s="3" t="str">
        <f>IF(对接源_02物料!$C787="","",对接源_02物料!$C787)</f>
        <v/>
      </c>
      <c r="B1987" s="3">
        <f t="shared" si="520"/>
        <v>0</v>
      </c>
      <c r="C1987" s="3">
        <f t="shared" si="521"/>
        <v>21</v>
      </c>
      <c r="K1987" s="3">
        <f>IF(OR($K$1="",对接源_02物料!$C787="",对接源_02物料!$C787&lt;&gt;$K$1,对接源_02物料!$B787=""),0,IF(OR(N(对接源_02物料!$B787)&lt;$K$2,N(对接源_02物料!$B787)&gt;$K$3),0,1))</f>
        <v>0</v>
      </c>
      <c r="L1987" s="3">
        <f>IF(OR($L$1="",对接源_02物料!$C787="",对接源_02物料!$C787&lt;&gt;$L$1,对接源_02物料!$B787=""),0,IF(OR(N(对接源_02物料!$B787)&lt;$L$2,N(对接源_02物料!$B787)&gt;$L$3),0,1))</f>
        <v>0</v>
      </c>
      <c r="M1987" s="3">
        <f>IF(OR($M$1="",对接源_02物料!$C787="",对接源_02物料!$C787&lt;&gt;$M$1,对接源_02物料!$B787=""),0,IF(OR(N(对接源_02物料!$B787)&lt;$M$2,N(对接源_02物料!$B787)&gt;$M$3),0,1))</f>
        <v>0</v>
      </c>
      <c r="N1987" s="3">
        <f>IF(OR($N$1="",对接源_02物料!$C787="",对接源_02物料!$C787&lt;&gt;$N$1,对接源_02物料!$B787=""),0,IF(OR(N(对接源_02物料!$B787)&lt;$N$2,N(对接源_02物料!$B787)&gt;$N$3),0,1))</f>
        <v>0</v>
      </c>
      <c r="P1987" s="3">
        <f>IF(AND($K1987=1,AND(对接源_02物料!$X787="公司筐",N(对接源_02物料!$T787)&lt;&gt;0)),1,0)</f>
        <v>0</v>
      </c>
      <c r="Q1987" s="3">
        <f t="shared" si="522"/>
        <v>8</v>
      </c>
      <c r="R1987" s="3">
        <f>IF(AND($K1987=1,AND(对接源_02物料!$X787="公司筐",N(对接源_02物料!$U787)&lt;&gt;0)),1,0)</f>
        <v>0</v>
      </c>
      <c r="S1987" s="3">
        <f t="shared" si="523"/>
        <v>0</v>
      </c>
      <c r="T1987" s="3">
        <f>IF(AND($K1987=1,AND(对接源_02物料!$X787="公司筐",N(对接源_02物料!$V787)&lt;&gt;0)),1,0)</f>
        <v>0</v>
      </c>
      <c r="U1987" s="3">
        <f t="shared" si="524"/>
        <v>19</v>
      </c>
      <c r="V1987" s="3">
        <f>IF(AND($L1987=1,AND(对接源_02物料!$X787="自备筐",N(对接源_02物料!$V787)&lt;&gt;0)),1,0)</f>
        <v>0</v>
      </c>
      <c r="W1987" s="3">
        <f t="shared" si="525"/>
        <v>8</v>
      </c>
      <c r="X1987" s="3">
        <f>IF(AND($L1987=1,AND(对接源_02物料!$X787="自备筐",N(对接源_02物料!$T787)&lt;&gt;0)),1,0)</f>
        <v>0</v>
      </c>
      <c r="Y1987" s="3">
        <f t="shared" si="526"/>
        <v>0</v>
      </c>
      <c r="Z1987" s="3">
        <f>IF(AND($M1987=1,对接源_02物料!$D787="原料入库"),1,0)</f>
        <v>0</v>
      </c>
      <c r="AA1987" s="3">
        <f t="shared" si="527"/>
        <v>24</v>
      </c>
      <c r="AB1987" s="3">
        <f>IF(AND($M1987=1,LEFT(对接源_02物料!$D787,4)="原料出库"),1,0)</f>
        <v>0</v>
      </c>
      <c r="AC1987" s="3">
        <f t="shared" si="528"/>
        <v>0</v>
      </c>
      <c r="AD1987" s="3">
        <f>IF(AND($M1987=1,LEFT(对接源_02物料!$D787,4)="成品出库"),1,0)</f>
        <v>0</v>
      </c>
      <c r="AE1987" s="3">
        <f t="shared" si="529"/>
        <v>0</v>
      </c>
      <c r="AF1987" s="3">
        <f>IF(AND($N1987=1,AND(LEFT(对接源_02物料!$D787,4)="包装物料",N(对接源_02物料!$K787)&lt;&gt;0)),1,0)</f>
        <v>0</v>
      </c>
      <c r="AG1987" s="3">
        <f t="shared" si="530"/>
        <v>5</v>
      </c>
      <c r="AH1987" s="3">
        <f>IF(AND($N1987=1,AND(对接源_02物料!$D787="周转筐－销售出库",N(对接源_02物料!$K787)&lt;&gt;0)),1,0)</f>
        <v>0</v>
      </c>
      <c r="AI1987" s="3">
        <f t="shared" si="531"/>
        <v>0</v>
      </c>
      <c r="AL1987" s="3">
        <v>0</v>
      </c>
      <c r="AM1987" s="3">
        <f t="shared" si="532"/>
        <v>1</v>
      </c>
      <c r="AN1987" s="3" t="str">
        <f t="shared" si="536"/>
        <v/>
      </c>
      <c r="AO1987" s="3">
        <v>0</v>
      </c>
      <c r="AP1987" s="3">
        <f t="shared" si="533"/>
        <v>8</v>
      </c>
      <c r="AR1987">
        <f t="shared" si="534"/>
        <v>0</v>
      </c>
      <c r="AS1987">
        <f t="shared" si="535"/>
        <v>5</v>
      </c>
    </row>
    <row r="1988" customHeight="1" spans="1:45">
      <c r="A1988" s="3" t="str">
        <f>IF(对接源_02物料!$C788="","",对接源_02物料!$C788)</f>
        <v/>
      </c>
      <c r="B1988" s="3">
        <f t="shared" ref="B1988:B2051" si="537">IF(A1988="",0,IF(MATCH(A1988,$A$4:$A$2403,0)=ROW()-3,1,0))</f>
        <v>0</v>
      </c>
      <c r="C1988" s="3">
        <f t="shared" ref="C1988:C2051" si="538">N(C1987)+B1988</f>
        <v>21</v>
      </c>
      <c r="K1988" s="3">
        <f>IF(OR($K$1="",对接源_02物料!$C788="",对接源_02物料!$C788&lt;&gt;$K$1,对接源_02物料!$B788=""),0,IF(OR(N(对接源_02物料!$B788)&lt;$K$2,N(对接源_02物料!$B788)&gt;$K$3),0,1))</f>
        <v>0</v>
      </c>
      <c r="L1988" s="3">
        <f>IF(OR($L$1="",对接源_02物料!$C788="",对接源_02物料!$C788&lt;&gt;$L$1,对接源_02物料!$B788=""),0,IF(OR(N(对接源_02物料!$B788)&lt;$L$2,N(对接源_02物料!$B788)&gt;$L$3),0,1))</f>
        <v>0</v>
      </c>
      <c r="M1988" s="3">
        <f>IF(OR($M$1="",对接源_02物料!$C788="",对接源_02物料!$C788&lt;&gt;$M$1,对接源_02物料!$B788=""),0,IF(OR(N(对接源_02物料!$B788)&lt;$M$2,N(对接源_02物料!$B788)&gt;$M$3),0,1))</f>
        <v>0</v>
      </c>
      <c r="N1988" s="3">
        <f>IF(OR($N$1="",对接源_02物料!$C788="",对接源_02物料!$C788&lt;&gt;$N$1,对接源_02物料!$B788=""),0,IF(OR(N(对接源_02物料!$B788)&lt;$N$2,N(对接源_02物料!$B788)&gt;$N$3),0,1))</f>
        <v>0</v>
      </c>
      <c r="P1988" s="3">
        <f>IF(AND($K1988=1,AND(对接源_02物料!$X788="公司筐",N(对接源_02物料!$T788)&lt;&gt;0)),1,0)</f>
        <v>0</v>
      </c>
      <c r="Q1988" s="3">
        <f t="shared" ref="Q1988:Q2051" si="539">N(Q1987)+$P1988</f>
        <v>8</v>
      </c>
      <c r="R1988" s="3">
        <f>IF(AND($K1988=1,AND(对接源_02物料!$X788="公司筐",N(对接源_02物料!$U788)&lt;&gt;0)),1,0)</f>
        <v>0</v>
      </c>
      <c r="S1988" s="3">
        <f t="shared" ref="S1988:S2051" si="540">N(S1987)+$R1988</f>
        <v>0</v>
      </c>
      <c r="T1988" s="3">
        <f>IF(AND($K1988=1,AND(对接源_02物料!$X788="公司筐",N(对接源_02物料!$V788)&lt;&gt;0)),1,0)</f>
        <v>0</v>
      </c>
      <c r="U1988" s="3">
        <f t="shared" ref="U1988:U2051" si="541">N(U1987)+$T1988</f>
        <v>19</v>
      </c>
      <c r="V1988" s="3">
        <f>IF(AND($L1988=1,AND(对接源_02物料!$X788="自备筐",N(对接源_02物料!$V788)&lt;&gt;0)),1,0)</f>
        <v>0</v>
      </c>
      <c r="W1988" s="3">
        <f t="shared" ref="W1988:W2051" si="542">N(W1987)+$V1988</f>
        <v>8</v>
      </c>
      <c r="X1988" s="3">
        <f>IF(AND($L1988=1,AND(对接源_02物料!$X788="自备筐",N(对接源_02物料!$T788)&lt;&gt;0)),1,0)</f>
        <v>0</v>
      </c>
      <c r="Y1988" s="3">
        <f t="shared" ref="Y1988:Y2051" si="543">N(Y1987)+$X1988</f>
        <v>0</v>
      </c>
      <c r="Z1988" s="3">
        <f>IF(AND($M1988=1,对接源_02物料!$D788="原料入库"),1,0)</f>
        <v>0</v>
      </c>
      <c r="AA1988" s="3">
        <f t="shared" ref="AA1988:AA2051" si="544">N(AA1987)+$Z1988</f>
        <v>24</v>
      </c>
      <c r="AB1988" s="3">
        <f>IF(AND($M1988=1,LEFT(对接源_02物料!$D788,4)="原料出库"),1,0)</f>
        <v>0</v>
      </c>
      <c r="AC1988" s="3">
        <f t="shared" ref="AC1988:AC2051" si="545">N(AC1987)+$AB1988</f>
        <v>0</v>
      </c>
      <c r="AD1988" s="3">
        <f>IF(AND($M1988=1,LEFT(对接源_02物料!$D788,4)="成品出库"),1,0)</f>
        <v>0</v>
      </c>
      <c r="AE1988" s="3">
        <f t="shared" ref="AE1988:AE2051" si="546">N(AE1987)+$AD1988</f>
        <v>0</v>
      </c>
      <c r="AF1988" s="3">
        <f>IF(AND($N1988=1,AND(LEFT(对接源_02物料!$D788,4)="包装物料",N(对接源_02物料!$K788)&lt;&gt;0)),1,0)</f>
        <v>0</v>
      </c>
      <c r="AG1988" s="3">
        <f t="shared" ref="AG1988:AG2051" si="547">N(AG1987)+$AF1988</f>
        <v>5</v>
      </c>
      <c r="AH1988" s="3">
        <f>IF(AND($N1988=1,AND(对接源_02物料!$D788="周转筐－销售出库",N(对接源_02物料!$K788)&lt;&gt;0)),1,0)</f>
        <v>0</v>
      </c>
      <c r="AI1988" s="3">
        <f t="shared" ref="AI1988:AI2051" si="548">N(AI1987)+$AH1988</f>
        <v>0</v>
      </c>
      <c r="AL1988" s="3">
        <v>0</v>
      </c>
      <c r="AM1988" s="3">
        <f t="shared" ref="AM1988:AM2051" si="549">N(AM1987)+$AL1988</f>
        <v>1</v>
      </c>
      <c r="AN1988" s="3" t="str">
        <f t="shared" si="536"/>
        <v/>
      </c>
      <c r="AO1988" s="3">
        <v>0</v>
      </c>
      <c r="AP1988" s="3">
        <f t="shared" ref="AP1988:AP2051" si="550">N(AP1987)+$AO1988</f>
        <v>8</v>
      </c>
      <c r="AR1988">
        <f t="shared" ref="AR1988:AR2051" si="551">IF(OR($AF1988=1,$AH1988=1),1,0)</f>
        <v>0</v>
      </c>
      <c r="AS1988">
        <f t="shared" ref="AS1988:AS2051" si="552">N(AS1987)+$AR1988</f>
        <v>5</v>
      </c>
    </row>
    <row r="1989" customHeight="1" spans="1:45">
      <c r="A1989" s="3" t="str">
        <f>IF(对接源_02物料!$C789="","",对接源_02物料!$C789)</f>
        <v/>
      </c>
      <c r="B1989" s="3">
        <f t="shared" si="537"/>
        <v>0</v>
      </c>
      <c r="C1989" s="3">
        <f t="shared" si="538"/>
        <v>21</v>
      </c>
      <c r="K1989" s="3">
        <f>IF(OR($K$1="",对接源_02物料!$C789="",对接源_02物料!$C789&lt;&gt;$K$1,对接源_02物料!$B789=""),0,IF(OR(N(对接源_02物料!$B789)&lt;$K$2,N(对接源_02物料!$B789)&gt;$K$3),0,1))</f>
        <v>0</v>
      </c>
      <c r="L1989" s="3">
        <f>IF(OR($L$1="",对接源_02物料!$C789="",对接源_02物料!$C789&lt;&gt;$L$1,对接源_02物料!$B789=""),0,IF(OR(N(对接源_02物料!$B789)&lt;$L$2,N(对接源_02物料!$B789)&gt;$L$3),0,1))</f>
        <v>0</v>
      </c>
      <c r="M1989" s="3">
        <f>IF(OR($M$1="",对接源_02物料!$C789="",对接源_02物料!$C789&lt;&gt;$M$1,对接源_02物料!$B789=""),0,IF(OR(N(对接源_02物料!$B789)&lt;$M$2,N(对接源_02物料!$B789)&gt;$M$3),0,1))</f>
        <v>0</v>
      </c>
      <c r="N1989" s="3">
        <f>IF(OR($N$1="",对接源_02物料!$C789="",对接源_02物料!$C789&lt;&gt;$N$1,对接源_02物料!$B789=""),0,IF(OR(N(对接源_02物料!$B789)&lt;$N$2,N(对接源_02物料!$B789)&gt;$N$3),0,1))</f>
        <v>0</v>
      </c>
      <c r="P1989" s="3">
        <f>IF(AND($K1989=1,AND(对接源_02物料!$X789="公司筐",N(对接源_02物料!$T789)&lt;&gt;0)),1,0)</f>
        <v>0</v>
      </c>
      <c r="Q1989" s="3">
        <f t="shared" si="539"/>
        <v>8</v>
      </c>
      <c r="R1989" s="3">
        <f>IF(AND($K1989=1,AND(对接源_02物料!$X789="公司筐",N(对接源_02物料!$U789)&lt;&gt;0)),1,0)</f>
        <v>0</v>
      </c>
      <c r="S1989" s="3">
        <f t="shared" si="540"/>
        <v>0</v>
      </c>
      <c r="T1989" s="3">
        <f>IF(AND($K1989=1,AND(对接源_02物料!$X789="公司筐",N(对接源_02物料!$V789)&lt;&gt;0)),1,0)</f>
        <v>0</v>
      </c>
      <c r="U1989" s="3">
        <f t="shared" si="541"/>
        <v>19</v>
      </c>
      <c r="V1989" s="3">
        <f>IF(AND($L1989=1,AND(对接源_02物料!$X789="自备筐",N(对接源_02物料!$V789)&lt;&gt;0)),1,0)</f>
        <v>0</v>
      </c>
      <c r="W1989" s="3">
        <f t="shared" si="542"/>
        <v>8</v>
      </c>
      <c r="X1989" s="3">
        <f>IF(AND($L1989=1,AND(对接源_02物料!$X789="自备筐",N(对接源_02物料!$T789)&lt;&gt;0)),1,0)</f>
        <v>0</v>
      </c>
      <c r="Y1989" s="3">
        <f t="shared" si="543"/>
        <v>0</v>
      </c>
      <c r="Z1989" s="3">
        <f>IF(AND($M1989=1,对接源_02物料!$D789="原料入库"),1,0)</f>
        <v>0</v>
      </c>
      <c r="AA1989" s="3">
        <f t="shared" si="544"/>
        <v>24</v>
      </c>
      <c r="AB1989" s="3">
        <f>IF(AND($M1989=1,LEFT(对接源_02物料!$D789,4)="原料出库"),1,0)</f>
        <v>0</v>
      </c>
      <c r="AC1989" s="3">
        <f t="shared" si="545"/>
        <v>0</v>
      </c>
      <c r="AD1989" s="3">
        <f>IF(AND($M1989=1,LEFT(对接源_02物料!$D789,4)="成品出库"),1,0)</f>
        <v>0</v>
      </c>
      <c r="AE1989" s="3">
        <f t="shared" si="546"/>
        <v>0</v>
      </c>
      <c r="AF1989" s="3">
        <f>IF(AND($N1989=1,AND(LEFT(对接源_02物料!$D789,4)="包装物料",N(对接源_02物料!$K789)&lt;&gt;0)),1,0)</f>
        <v>0</v>
      </c>
      <c r="AG1989" s="3">
        <f t="shared" si="547"/>
        <v>5</v>
      </c>
      <c r="AH1989" s="3">
        <f>IF(AND($N1989=1,AND(对接源_02物料!$D789="周转筐－销售出库",N(对接源_02物料!$K789)&lt;&gt;0)),1,0)</f>
        <v>0</v>
      </c>
      <c r="AI1989" s="3">
        <f t="shared" si="548"/>
        <v>0</v>
      </c>
      <c r="AL1989" s="3">
        <v>0</v>
      </c>
      <c r="AM1989" s="3">
        <f t="shared" si="549"/>
        <v>1</v>
      </c>
      <c r="AN1989" s="3" t="str">
        <f t="shared" si="536"/>
        <v/>
      </c>
      <c r="AO1989" s="3">
        <v>0</v>
      </c>
      <c r="AP1989" s="3">
        <f t="shared" si="550"/>
        <v>8</v>
      </c>
      <c r="AR1989">
        <f t="shared" si="551"/>
        <v>0</v>
      </c>
      <c r="AS1989">
        <f t="shared" si="552"/>
        <v>5</v>
      </c>
    </row>
    <row r="1990" customHeight="1" spans="1:45">
      <c r="A1990" s="3" t="str">
        <f>IF(对接源_02物料!$C790="","",对接源_02物料!$C790)</f>
        <v/>
      </c>
      <c r="B1990" s="3">
        <f t="shared" si="537"/>
        <v>0</v>
      </c>
      <c r="C1990" s="3">
        <f t="shared" si="538"/>
        <v>21</v>
      </c>
      <c r="K1990" s="3">
        <f>IF(OR($K$1="",对接源_02物料!$C790="",对接源_02物料!$C790&lt;&gt;$K$1,对接源_02物料!$B790=""),0,IF(OR(N(对接源_02物料!$B790)&lt;$K$2,N(对接源_02物料!$B790)&gt;$K$3),0,1))</f>
        <v>0</v>
      </c>
      <c r="L1990" s="3">
        <f>IF(OR($L$1="",对接源_02物料!$C790="",对接源_02物料!$C790&lt;&gt;$L$1,对接源_02物料!$B790=""),0,IF(OR(N(对接源_02物料!$B790)&lt;$L$2,N(对接源_02物料!$B790)&gt;$L$3),0,1))</f>
        <v>0</v>
      </c>
      <c r="M1990" s="3">
        <f>IF(OR($M$1="",对接源_02物料!$C790="",对接源_02物料!$C790&lt;&gt;$M$1,对接源_02物料!$B790=""),0,IF(OR(N(对接源_02物料!$B790)&lt;$M$2,N(对接源_02物料!$B790)&gt;$M$3),0,1))</f>
        <v>0</v>
      </c>
      <c r="N1990" s="3">
        <f>IF(OR($N$1="",对接源_02物料!$C790="",对接源_02物料!$C790&lt;&gt;$N$1,对接源_02物料!$B790=""),0,IF(OR(N(对接源_02物料!$B790)&lt;$N$2,N(对接源_02物料!$B790)&gt;$N$3),0,1))</f>
        <v>0</v>
      </c>
      <c r="P1990" s="3">
        <f>IF(AND($K1990=1,AND(对接源_02物料!$X790="公司筐",N(对接源_02物料!$T790)&lt;&gt;0)),1,0)</f>
        <v>0</v>
      </c>
      <c r="Q1990" s="3">
        <f t="shared" si="539"/>
        <v>8</v>
      </c>
      <c r="R1990" s="3">
        <f>IF(AND($K1990=1,AND(对接源_02物料!$X790="公司筐",N(对接源_02物料!$U790)&lt;&gt;0)),1,0)</f>
        <v>0</v>
      </c>
      <c r="S1990" s="3">
        <f t="shared" si="540"/>
        <v>0</v>
      </c>
      <c r="T1990" s="3">
        <f>IF(AND($K1990=1,AND(对接源_02物料!$X790="公司筐",N(对接源_02物料!$V790)&lt;&gt;0)),1,0)</f>
        <v>0</v>
      </c>
      <c r="U1990" s="3">
        <f t="shared" si="541"/>
        <v>19</v>
      </c>
      <c r="V1990" s="3">
        <f>IF(AND($L1990=1,AND(对接源_02物料!$X790="自备筐",N(对接源_02物料!$V790)&lt;&gt;0)),1,0)</f>
        <v>0</v>
      </c>
      <c r="W1990" s="3">
        <f t="shared" si="542"/>
        <v>8</v>
      </c>
      <c r="X1990" s="3">
        <f>IF(AND($L1990=1,AND(对接源_02物料!$X790="自备筐",N(对接源_02物料!$T790)&lt;&gt;0)),1,0)</f>
        <v>0</v>
      </c>
      <c r="Y1990" s="3">
        <f t="shared" si="543"/>
        <v>0</v>
      </c>
      <c r="Z1990" s="3">
        <f>IF(AND($M1990=1,对接源_02物料!$D790="原料入库"),1,0)</f>
        <v>0</v>
      </c>
      <c r="AA1990" s="3">
        <f t="shared" si="544"/>
        <v>24</v>
      </c>
      <c r="AB1990" s="3">
        <f>IF(AND($M1990=1,LEFT(对接源_02物料!$D790,4)="原料出库"),1,0)</f>
        <v>0</v>
      </c>
      <c r="AC1990" s="3">
        <f t="shared" si="545"/>
        <v>0</v>
      </c>
      <c r="AD1990" s="3">
        <f>IF(AND($M1990=1,LEFT(对接源_02物料!$D790,4)="成品出库"),1,0)</f>
        <v>0</v>
      </c>
      <c r="AE1990" s="3">
        <f t="shared" si="546"/>
        <v>0</v>
      </c>
      <c r="AF1990" s="3">
        <f>IF(AND($N1990=1,AND(LEFT(对接源_02物料!$D790,4)="包装物料",N(对接源_02物料!$K790)&lt;&gt;0)),1,0)</f>
        <v>0</v>
      </c>
      <c r="AG1990" s="3">
        <f t="shared" si="547"/>
        <v>5</v>
      </c>
      <c r="AH1990" s="3">
        <f>IF(AND($N1990=1,AND(对接源_02物料!$D790="周转筐－销售出库",N(对接源_02物料!$K790)&lt;&gt;0)),1,0)</f>
        <v>0</v>
      </c>
      <c r="AI1990" s="3">
        <f t="shared" si="548"/>
        <v>0</v>
      </c>
      <c r="AL1990" s="3">
        <v>0</v>
      </c>
      <c r="AM1990" s="3">
        <f t="shared" si="549"/>
        <v>1</v>
      </c>
      <c r="AN1990" s="3" t="str">
        <f t="shared" si="536"/>
        <v/>
      </c>
      <c r="AO1990" s="3">
        <v>0</v>
      </c>
      <c r="AP1990" s="3">
        <f t="shared" si="550"/>
        <v>8</v>
      </c>
      <c r="AR1990">
        <f t="shared" si="551"/>
        <v>0</v>
      </c>
      <c r="AS1990">
        <f t="shared" si="552"/>
        <v>5</v>
      </c>
    </row>
    <row r="1991" customHeight="1" spans="1:45">
      <c r="A1991" s="3" t="str">
        <f>IF(对接源_02物料!$C791="","",对接源_02物料!$C791)</f>
        <v/>
      </c>
      <c r="B1991" s="3">
        <f t="shared" si="537"/>
        <v>0</v>
      </c>
      <c r="C1991" s="3">
        <f t="shared" si="538"/>
        <v>21</v>
      </c>
      <c r="K1991" s="3">
        <f>IF(OR($K$1="",对接源_02物料!$C791="",对接源_02物料!$C791&lt;&gt;$K$1,对接源_02物料!$B791=""),0,IF(OR(N(对接源_02物料!$B791)&lt;$K$2,N(对接源_02物料!$B791)&gt;$K$3),0,1))</f>
        <v>0</v>
      </c>
      <c r="L1991" s="3">
        <f>IF(OR($L$1="",对接源_02物料!$C791="",对接源_02物料!$C791&lt;&gt;$L$1,对接源_02物料!$B791=""),0,IF(OR(N(对接源_02物料!$B791)&lt;$L$2,N(对接源_02物料!$B791)&gt;$L$3),0,1))</f>
        <v>0</v>
      </c>
      <c r="M1991" s="3">
        <f>IF(OR($M$1="",对接源_02物料!$C791="",对接源_02物料!$C791&lt;&gt;$M$1,对接源_02物料!$B791=""),0,IF(OR(N(对接源_02物料!$B791)&lt;$M$2,N(对接源_02物料!$B791)&gt;$M$3),0,1))</f>
        <v>0</v>
      </c>
      <c r="N1991" s="3">
        <f>IF(OR($N$1="",对接源_02物料!$C791="",对接源_02物料!$C791&lt;&gt;$N$1,对接源_02物料!$B791=""),0,IF(OR(N(对接源_02物料!$B791)&lt;$N$2,N(对接源_02物料!$B791)&gt;$N$3),0,1))</f>
        <v>0</v>
      </c>
      <c r="P1991" s="3">
        <f>IF(AND($K1991=1,AND(对接源_02物料!$X791="公司筐",N(对接源_02物料!$T791)&lt;&gt;0)),1,0)</f>
        <v>0</v>
      </c>
      <c r="Q1991" s="3">
        <f t="shared" si="539"/>
        <v>8</v>
      </c>
      <c r="R1991" s="3">
        <f>IF(AND($K1991=1,AND(对接源_02物料!$X791="公司筐",N(对接源_02物料!$U791)&lt;&gt;0)),1,0)</f>
        <v>0</v>
      </c>
      <c r="S1991" s="3">
        <f t="shared" si="540"/>
        <v>0</v>
      </c>
      <c r="T1991" s="3">
        <f>IF(AND($K1991=1,AND(对接源_02物料!$X791="公司筐",N(对接源_02物料!$V791)&lt;&gt;0)),1,0)</f>
        <v>0</v>
      </c>
      <c r="U1991" s="3">
        <f t="shared" si="541"/>
        <v>19</v>
      </c>
      <c r="V1991" s="3">
        <f>IF(AND($L1991=1,AND(对接源_02物料!$X791="自备筐",N(对接源_02物料!$V791)&lt;&gt;0)),1,0)</f>
        <v>0</v>
      </c>
      <c r="W1991" s="3">
        <f t="shared" si="542"/>
        <v>8</v>
      </c>
      <c r="X1991" s="3">
        <f>IF(AND($L1991=1,AND(对接源_02物料!$X791="自备筐",N(对接源_02物料!$T791)&lt;&gt;0)),1,0)</f>
        <v>0</v>
      </c>
      <c r="Y1991" s="3">
        <f t="shared" si="543"/>
        <v>0</v>
      </c>
      <c r="Z1991" s="3">
        <f>IF(AND($M1991=1,对接源_02物料!$D791="原料入库"),1,0)</f>
        <v>0</v>
      </c>
      <c r="AA1991" s="3">
        <f t="shared" si="544"/>
        <v>24</v>
      </c>
      <c r="AB1991" s="3">
        <f>IF(AND($M1991=1,LEFT(对接源_02物料!$D791,4)="原料出库"),1,0)</f>
        <v>0</v>
      </c>
      <c r="AC1991" s="3">
        <f t="shared" si="545"/>
        <v>0</v>
      </c>
      <c r="AD1991" s="3">
        <f>IF(AND($M1991=1,LEFT(对接源_02物料!$D791,4)="成品出库"),1,0)</f>
        <v>0</v>
      </c>
      <c r="AE1991" s="3">
        <f t="shared" si="546"/>
        <v>0</v>
      </c>
      <c r="AF1991" s="3">
        <f>IF(AND($N1991=1,AND(LEFT(对接源_02物料!$D791,4)="包装物料",N(对接源_02物料!$K791)&lt;&gt;0)),1,0)</f>
        <v>0</v>
      </c>
      <c r="AG1991" s="3">
        <f t="shared" si="547"/>
        <v>5</v>
      </c>
      <c r="AH1991" s="3">
        <f>IF(AND($N1991=1,AND(对接源_02物料!$D791="周转筐－销售出库",N(对接源_02物料!$K791)&lt;&gt;0)),1,0)</f>
        <v>0</v>
      </c>
      <c r="AI1991" s="3">
        <f t="shared" si="548"/>
        <v>0</v>
      </c>
      <c r="AL1991" s="3">
        <v>0</v>
      </c>
      <c r="AM1991" s="3">
        <f t="shared" si="549"/>
        <v>1</v>
      </c>
      <c r="AN1991" s="3" t="str">
        <f t="shared" si="536"/>
        <v/>
      </c>
      <c r="AO1991" s="3">
        <v>0</v>
      </c>
      <c r="AP1991" s="3">
        <f t="shared" si="550"/>
        <v>8</v>
      </c>
      <c r="AR1991">
        <f t="shared" si="551"/>
        <v>0</v>
      </c>
      <c r="AS1991">
        <f t="shared" si="552"/>
        <v>5</v>
      </c>
    </row>
    <row r="1992" customHeight="1" spans="1:45">
      <c r="A1992" s="3" t="str">
        <f>IF(对接源_02物料!$C792="","",对接源_02物料!$C792)</f>
        <v/>
      </c>
      <c r="B1992" s="3">
        <f t="shared" si="537"/>
        <v>0</v>
      </c>
      <c r="C1992" s="3">
        <f t="shared" si="538"/>
        <v>21</v>
      </c>
      <c r="K1992" s="3">
        <f>IF(OR($K$1="",对接源_02物料!$C792="",对接源_02物料!$C792&lt;&gt;$K$1,对接源_02物料!$B792=""),0,IF(OR(N(对接源_02物料!$B792)&lt;$K$2,N(对接源_02物料!$B792)&gt;$K$3),0,1))</f>
        <v>0</v>
      </c>
      <c r="L1992" s="3">
        <f>IF(OR($L$1="",对接源_02物料!$C792="",对接源_02物料!$C792&lt;&gt;$L$1,对接源_02物料!$B792=""),0,IF(OR(N(对接源_02物料!$B792)&lt;$L$2,N(对接源_02物料!$B792)&gt;$L$3),0,1))</f>
        <v>0</v>
      </c>
      <c r="M1992" s="3">
        <f>IF(OR($M$1="",对接源_02物料!$C792="",对接源_02物料!$C792&lt;&gt;$M$1,对接源_02物料!$B792=""),0,IF(OR(N(对接源_02物料!$B792)&lt;$M$2,N(对接源_02物料!$B792)&gt;$M$3),0,1))</f>
        <v>0</v>
      </c>
      <c r="N1992" s="3">
        <f>IF(OR($N$1="",对接源_02物料!$C792="",对接源_02物料!$C792&lt;&gt;$N$1,对接源_02物料!$B792=""),0,IF(OR(N(对接源_02物料!$B792)&lt;$N$2,N(对接源_02物料!$B792)&gt;$N$3),0,1))</f>
        <v>0</v>
      </c>
      <c r="P1992" s="3">
        <f>IF(AND($K1992=1,AND(对接源_02物料!$X792="公司筐",N(对接源_02物料!$T792)&lt;&gt;0)),1,0)</f>
        <v>0</v>
      </c>
      <c r="Q1992" s="3">
        <f t="shared" si="539"/>
        <v>8</v>
      </c>
      <c r="R1992" s="3">
        <f>IF(AND($K1992=1,AND(对接源_02物料!$X792="公司筐",N(对接源_02物料!$U792)&lt;&gt;0)),1,0)</f>
        <v>0</v>
      </c>
      <c r="S1992" s="3">
        <f t="shared" si="540"/>
        <v>0</v>
      </c>
      <c r="T1992" s="3">
        <f>IF(AND($K1992=1,AND(对接源_02物料!$X792="公司筐",N(对接源_02物料!$V792)&lt;&gt;0)),1,0)</f>
        <v>0</v>
      </c>
      <c r="U1992" s="3">
        <f t="shared" si="541"/>
        <v>19</v>
      </c>
      <c r="V1992" s="3">
        <f>IF(AND($L1992=1,AND(对接源_02物料!$X792="自备筐",N(对接源_02物料!$V792)&lt;&gt;0)),1,0)</f>
        <v>0</v>
      </c>
      <c r="W1992" s="3">
        <f t="shared" si="542"/>
        <v>8</v>
      </c>
      <c r="X1992" s="3">
        <f>IF(AND($L1992=1,AND(对接源_02物料!$X792="自备筐",N(对接源_02物料!$T792)&lt;&gt;0)),1,0)</f>
        <v>0</v>
      </c>
      <c r="Y1992" s="3">
        <f t="shared" si="543"/>
        <v>0</v>
      </c>
      <c r="Z1992" s="3">
        <f>IF(AND($M1992=1,对接源_02物料!$D792="原料入库"),1,0)</f>
        <v>0</v>
      </c>
      <c r="AA1992" s="3">
        <f t="shared" si="544"/>
        <v>24</v>
      </c>
      <c r="AB1992" s="3">
        <f>IF(AND($M1992=1,LEFT(对接源_02物料!$D792,4)="原料出库"),1,0)</f>
        <v>0</v>
      </c>
      <c r="AC1992" s="3">
        <f t="shared" si="545"/>
        <v>0</v>
      </c>
      <c r="AD1992" s="3">
        <f>IF(AND($M1992=1,LEFT(对接源_02物料!$D792,4)="成品出库"),1,0)</f>
        <v>0</v>
      </c>
      <c r="AE1992" s="3">
        <f t="shared" si="546"/>
        <v>0</v>
      </c>
      <c r="AF1992" s="3">
        <f>IF(AND($N1992=1,AND(LEFT(对接源_02物料!$D792,4)="包装物料",N(对接源_02物料!$K792)&lt;&gt;0)),1,0)</f>
        <v>0</v>
      </c>
      <c r="AG1992" s="3">
        <f t="shared" si="547"/>
        <v>5</v>
      </c>
      <c r="AH1992" s="3">
        <f>IF(AND($N1992=1,AND(对接源_02物料!$D792="周转筐－销售出库",N(对接源_02物料!$K792)&lt;&gt;0)),1,0)</f>
        <v>0</v>
      </c>
      <c r="AI1992" s="3">
        <f t="shared" si="548"/>
        <v>0</v>
      </c>
      <c r="AL1992" s="3">
        <v>0</v>
      </c>
      <c r="AM1992" s="3">
        <f t="shared" si="549"/>
        <v>1</v>
      </c>
      <c r="AN1992" s="3" t="str">
        <f t="shared" si="536"/>
        <v/>
      </c>
      <c r="AO1992" s="3">
        <v>0</v>
      </c>
      <c r="AP1992" s="3">
        <f t="shared" si="550"/>
        <v>8</v>
      </c>
      <c r="AR1992">
        <f t="shared" si="551"/>
        <v>0</v>
      </c>
      <c r="AS1992">
        <f t="shared" si="552"/>
        <v>5</v>
      </c>
    </row>
    <row r="1993" customHeight="1" spans="1:45">
      <c r="A1993" s="3" t="str">
        <f>IF(对接源_02物料!$C793="","",对接源_02物料!$C793)</f>
        <v/>
      </c>
      <c r="B1993" s="3">
        <f t="shared" si="537"/>
        <v>0</v>
      </c>
      <c r="C1993" s="3">
        <f t="shared" si="538"/>
        <v>21</v>
      </c>
      <c r="K1993" s="3">
        <f>IF(OR($K$1="",对接源_02物料!$C793="",对接源_02物料!$C793&lt;&gt;$K$1,对接源_02物料!$B793=""),0,IF(OR(N(对接源_02物料!$B793)&lt;$K$2,N(对接源_02物料!$B793)&gt;$K$3),0,1))</f>
        <v>0</v>
      </c>
      <c r="L1993" s="3">
        <f>IF(OR($L$1="",对接源_02物料!$C793="",对接源_02物料!$C793&lt;&gt;$L$1,对接源_02物料!$B793=""),0,IF(OR(N(对接源_02物料!$B793)&lt;$L$2,N(对接源_02物料!$B793)&gt;$L$3),0,1))</f>
        <v>0</v>
      </c>
      <c r="M1993" s="3">
        <f>IF(OR($M$1="",对接源_02物料!$C793="",对接源_02物料!$C793&lt;&gt;$M$1,对接源_02物料!$B793=""),0,IF(OR(N(对接源_02物料!$B793)&lt;$M$2,N(对接源_02物料!$B793)&gt;$M$3),0,1))</f>
        <v>0</v>
      </c>
      <c r="N1993" s="3">
        <f>IF(OR($N$1="",对接源_02物料!$C793="",对接源_02物料!$C793&lt;&gt;$N$1,对接源_02物料!$B793=""),0,IF(OR(N(对接源_02物料!$B793)&lt;$N$2,N(对接源_02物料!$B793)&gt;$N$3),0,1))</f>
        <v>0</v>
      </c>
      <c r="P1993" s="3">
        <f>IF(AND($K1993=1,AND(对接源_02物料!$X793="公司筐",N(对接源_02物料!$T793)&lt;&gt;0)),1,0)</f>
        <v>0</v>
      </c>
      <c r="Q1993" s="3">
        <f t="shared" si="539"/>
        <v>8</v>
      </c>
      <c r="R1993" s="3">
        <f>IF(AND($K1993=1,AND(对接源_02物料!$X793="公司筐",N(对接源_02物料!$U793)&lt;&gt;0)),1,0)</f>
        <v>0</v>
      </c>
      <c r="S1993" s="3">
        <f t="shared" si="540"/>
        <v>0</v>
      </c>
      <c r="T1993" s="3">
        <f>IF(AND($K1993=1,AND(对接源_02物料!$X793="公司筐",N(对接源_02物料!$V793)&lt;&gt;0)),1,0)</f>
        <v>0</v>
      </c>
      <c r="U1993" s="3">
        <f t="shared" si="541"/>
        <v>19</v>
      </c>
      <c r="V1993" s="3">
        <f>IF(AND($L1993=1,AND(对接源_02物料!$X793="自备筐",N(对接源_02物料!$V793)&lt;&gt;0)),1,0)</f>
        <v>0</v>
      </c>
      <c r="W1993" s="3">
        <f t="shared" si="542"/>
        <v>8</v>
      </c>
      <c r="X1993" s="3">
        <f>IF(AND($L1993=1,AND(对接源_02物料!$X793="自备筐",N(对接源_02物料!$T793)&lt;&gt;0)),1,0)</f>
        <v>0</v>
      </c>
      <c r="Y1993" s="3">
        <f t="shared" si="543"/>
        <v>0</v>
      </c>
      <c r="Z1993" s="3">
        <f>IF(AND($M1993=1,对接源_02物料!$D793="原料入库"),1,0)</f>
        <v>0</v>
      </c>
      <c r="AA1993" s="3">
        <f t="shared" si="544"/>
        <v>24</v>
      </c>
      <c r="AB1993" s="3">
        <f>IF(AND($M1993=1,LEFT(对接源_02物料!$D793,4)="原料出库"),1,0)</f>
        <v>0</v>
      </c>
      <c r="AC1993" s="3">
        <f t="shared" si="545"/>
        <v>0</v>
      </c>
      <c r="AD1993" s="3">
        <f>IF(AND($M1993=1,LEFT(对接源_02物料!$D793,4)="成品出库"),1,0)</f>
        <v>0</v>
      </c>
      <c r="AE1993" s="3">
        <f t="shared" si="546"/>
        <v>0</v>
      </c>
      <c r="AF1993" s="3">
        <f>IF(AND($N1993=1,AND(LEFT(对接源_02物料!$D793,4)="包装物料",N(对接源_02物料!$K793)&lt;&gt;0)),1,0)</f>
        <v>0</v>
      </c>
      <c r="AG1993" s="3">
        <f t="shared" si="547"/>
        <v>5</v>
      </c>
      <c r="AH1993" s="3">
        <f>IF(AND($N1993=1,AND(对接源_02物料!$D793="周转筐－销售出库",N(对接源_02物料!$K793)&lt;&gt;0)),1,0)</f>
        <v>0</v>
      </c>
      <c r="AI1993" s="3">
        <f t="shared" si="548"/>
        <v>0</v>
      </c>
      <c r="AL1993" s="3">
        <v>0</v>
      </c>
      <c r="AM1993" s="3">
        <f t="shared" si="549"/>
        <v>1</v>
      </c>
      <c r="AN1993" s="3" t="str">
        <f t="shared" si="536"/>
        <v/>
      </c>
      <c r="AO1993" s="3">
        <v>0</v>
      </c>
      <c r="AP1993" s="3">
        <f t="shared" si="550"/>
        <v>8</v>
      </c>
      <c r="AR1993">
        <f t="shared" si="551"/>
        <v>0</v>
      </c>
      <c r="AS1993">
        <f t="shared" si="552"/>
        <v>5</v>
      </c>
    </row>
    <row r="1994" customHeight="1" spans="1:45">
      <c r="A1994" s="3" t="str">
        <f>IF(对接源_02物料!$C794="","",对接源_02物料!$C794)</f>
        <v/>
      </c>
      <c r="B1994" s="3">
        <f t="shared" si="537"/>
        <v>0</v>
      </c>
      <c r="C1994" s="3">
        <f t="shared" si="538"/>
        <v>21</v>
      </c>
      <c r="K1994" s="3">
        <f>IF(OR($K$1="",对接源_02物料!$C794="",对接源_02物料!$C794&lt;&gt;$K$1,对接源_02物料!$B794=""),0,IF(OR(N(对接源_02物料!$B794)&lt;$K$2,N(对接源_02物料!$B794)&gt;$K$3),0,1))</f>
        <v>0</v>
      </c>
      <c r="L1994" s="3">
        <f>IF(OR($L$1="",对接源_02物料!$C794="",对接源_02物料!$C794&lt;&gt;$L$1,对接源_02物料!$B794=""),0,IF(OR(N(对接源_02物料!$B794)&lt;$L$2,N(对接源_02物料!$B794)&gt;$L$3),0,1))</f>
        <v>0</v>
      </c>
      <c r="M1994" s="3">
        <f>IF(OR($M$1="",对接源_02物料!$C794="",对接源_02物料!$C794&lt;&gt;$M$1,对接源_02物料!$B794=""),0,IF(OR(N(对接源_02物料!$B794)&lt;$M$2,N(对接源_02物料!$B794)&gt;$M$3),0,1))</f>
        <v>0</v>
      </c>
      <c r="N1994" s="3">
        <f>IF(OR($N$1="",对接源_02物料!$C794="",对接源_02物料!$C794&lt;&gt;$N$1,对接源_02物料!$B794=""),0,IF(OR(N(对接源_02物料!$B794)&lt;$N$2,N(对接源_02物料!$B794)&gt;$N$3),0,1))</f>
        <v>0</v>
      </c>
      <c r="P1994" s="3">
        <f>IF(AND($K1994=1,AND(对接源_02物料!$X794="公司筐",N(对接源_02物料!$T794)&lt;&gt;0)),1,0)</f>
        <v>0</v>
      </c>
      <c r="Q1994" s="3">
        <f t="shared" si="539"/>
        <v>8</v>
      </c>
      <c r="R1994" s="3">
        <f>IF(AND($K1994=1,AND(对接源_02物料!$X794="公司筐",N(对接源_02物料!$U794)&lt;&gt;0)),1,0)</f>
        <v>0</v>
      </c>
      <c r="S1994" s="3">
        <f t="shared" si="540"/>
        <v>0</v>
      </c>
      <c r="T1994" s="3">
        <f>IF(AND($K1994=1,AND(对接源_02物料!$X794="公司筐",N(对接源_02物料!$V794)&lt;&gt;0)),1,0)</f>
        <v>0</v>
      </c>
      <c r="U1994" s="3">
        <f t="shared" si="541"/>
        <v>19</v>
      </c>
      <c r="V1994" s="3">
        <f>IF(AND($L1994=1,AND(对接源_02物料!$X794="自备筐",N(对接源_02物料!$V794)&lt;&gt;0)),1,0)</f>
        <v>0</v>
      </c>
      <c r="W1994" s="3">
        <f t="shared" si="542"/>
        <v>8</v>
      </c>
      <c r="X1994" s="3">
        <f>IF(AND($L1994=1,AND(对接源_02物料!$X794="自备筐",N(对接源_02物料!$T794)&lt;&gt;0)),1,0)</f>
        <v>0</v>
      </c>
      <c r="Y1994" s="3">
        <f t="shared" si="543"/>
        <v>0</v>
      </c>
      <c r="Z1994" s="3">
        <f>IF(AND($M1994=1,对接源_02物料!$D794="原料入库"),1,0)</f>
        <v>0</v>
      </c>
      <c r="AA1994" s="3">
        <f t="shared" si="544"/>
        <v>24</v>
      </c>
      <c r="AB1994" s="3">
        <f>IF(AND($M1994=1,LEFT(对接源_02物料!$D794,4)="原料出库"),1,0)</f>
        <v>0</v>
      </c>
      <c r="AC1994" s="3">
        <f t="shared" si="545"/>
        <v>0</v>
      </c>
      <c r="AD1994" s="3">
        <f>IF(AND($M1994=1,LEFT(对接源_02物料!$D794,4)="成品出库"),1,0)</f>
        <v>0</v>
      </c>
      <c r="AE1994" s="3">
        <f t="shared" si="546"/>
        <v>0</v>
      </c>
      <c r="AF1994" s="3">
        <f>IF(AND($N1994=1,AND(LEFT(对接源_02物料!$D794,4)="包装物料",N(对接源_02物料!$K794)&lt;&gt;0)),1,0)</f>
        <v>0</v>
      </c>
      <c r="AG1994" s="3">
        <f t="shared" si="547"/>
        <v>5</v>
      </c>
      <c r="AH1994" s="3">
        <f>IF(AND($N1994=1,AND(对接源_02物料!$D794="周转筐－销售出库",N(对接源_02物料!$K794)&lt;&gt;0)),1,0)</f>
        <v>0</v>
      </c>
      <c r="AI1994" s="3">
        <f t="shared" si="548"/>
        <v>0</v>
      </c>
      <c r="AL1994" s="3">
        <v>0</v>
      </c>
      <c r="AM1994" s="3">
        <f t="shared" si="549"/>
        <v>1</v>
      </c>
      <c r="AN1994" s="3" t="str">
        <f t="shared" si="536"/>
        <v/>
      </c>
      <c r="AO1994" s="3">
        <v>0</v>
      </c>
      <c r="AP1994" s="3">
        <f t="shared" si="550"/>
        <v>8</v>
      </c>
      <c r="AR1994">
        <f t="shared" si="551"/>
        <v>0</v>
      </c>
      <c r="AS1994">
        <f t="shared" si="552"/>
        <v>5</v>
      </c>
    </row>
    <row r="1995" customHeight="1" spans="1:45">
      <c r="A1995" s="3" t="str">
        <f>IF(对接源_02物料!$C795="","",对接源_02物料!$C795)</f>
        <v/>
      </c>
      <c r="B1995" s="3">
        <f t="shared" si="537"/>
        <v>0</v>
      </c>
      <c r="C1995" s="3">
        <f t="shared" si="538"/>
        <v>21</v>
      </c>
      <c r="K1995" s="3">
        <f>IF(OR($K$1="",对接源_02物料!$C795="",对接源_02物料!$C795&lt;&gt;$K$1,对接源_02物料!$B795=""),0,IF(OR(N(对接源_02物料!$B795)&lt;$K$2,N(对接源_02物料!$B795)&gt;$K$3),0,1))</f>
        <v>0</v>
      </c>
      <c r="L1995" s="3">
        <f>IF(OR($L$1="",对接源_02物料!$C795="",对接源_02物料!$C795&lt;&gt;$L$1,对接源_02物料!$B795=""),0,IF(OR(N(对接源_02物料!$B795)&lt;$L$2,N(对接源_02物料!$B795)&gt;$L$3),0,1))</f>
        <v>0</v>
      </c>
      <c r="M1995" s="3">
        <f>IF(OR($M$1="",对接源_02物料!$C795="",对接源_02物料!$C795&lt;&gt;$M$1,对接源_02物料!$B795=""),0,IF(OR(N(对接源_02物料!$B795)&lt;$M$2,N(对接源_02物料!$B795)&gt;$M$3),0,1))</f>
        <v>0</v>
      </c>
      <c r="N1995" s="3">
        <f>IF(OR($N$1="",对接源_02物料!$C795="",对接源_02物料!$C795&lt;&gt;$N$1,对接源_02物料!$B795=""),0,IF(OR(N(对接源_02物料!$B795)&lt;$N$2,N(对接源_02物料!$B795)&gt;$N$3),0,1))</f>
        <v>0</v>
      </c>
      <c r="P1995" s="3">
        <f>IF(AND($K1995=1,AND(对接源_02物料!$X795="公司筐",N(对接源_02物料!$T795)&lt;&gt;0)),1,0)</f>
        <v>0</v>
      </c>
      <c r="Q1995" s="3">
        <f t="shared" si="539"/>
        <v>8</v>
      </c>
      <c r="R1995" s="3">
        <f>IF(AND($K1995=1,AND(对接源_02物料!$X795="公司筐",N(对接源_02物料!$U795)&lt;&gt;0)),1,0)</f>
        <v>0</v>
      </c>
      <c r="S1995" s="3">
        <f t="shared" si="540"/>
        <v>0</v>
      </c>
      <c r="T1995" s="3">
        <f>IF(AND($K1995=1,AND(对接源_02物料!$X795="公司筐",N(对接源_02物料!$V795)&lt;&gt;0)),1,0)</f>
        <v>0</v>
      </c>
      <c r="U1995" s="3">
        <f t="shared" si="541"/>
        <v>19</v>
      </c>
      <c r="V1995" s="3">
        <f>IF(AND($L1995=1,AND(对接源_02物料!$X795="自备筐",N(对接源_02物料!$V795)&lt;&gt;0)),1,0)</f>
        <v>0</v>
      </c>
      <c r="W1995" s="3">
        <f t="shared" si="542"/>
        <v>8</v>
      </c>
      <c r="X1995" s="3">
        <f>IF(AND($L1995=1,AND(对接源_02物料!$X795="自备筐",N(对接源_02物料!$T795)&lt;&gt;0)),1,0)</f>
        <v>0</v>
      </c>
      <c r="Y1995" s="3">
        <f t="shared" si="543"/>
        <v>0</v>
      </c>
      <c r="Z1995" s="3">
        <f>IF(AND($M1995=1,对接源_02物料!$D795="原料入库"),1,0)</f>
        <v>0</v>
      </c>
      <c r="AA1995" s="3">
        <f t="shared" si="544"/>
        <v>24</v>
      </c>
      <c r="AB1995" s="3">
        <f>IF(AND($M1995=1,LEFT(对接源_02物料!$D795,4)="原料出库"),1,0)</f>
        <v>0</v>
      </c>
      <c r="AC1995" s="3">
        <f t="shared" si="545"/>
        <v>0</v>
      </c>
      <c r="AD1995" s="3">
        <f>IF(AND($M1995=1,LEFT(对接源_02物料!$D795,4)="成品出库"),1,0)</f>
        <v>0</v>
      </c>
      <c r="AE1995" s="3">
        <f t="shared" si="546"/>
        <v>0</v>
      </c>
      <c r="AF1995" s="3">
        <f>IF(AND($N1995=1,AND(LEFT(对接源_02物料!$D795,4)="包装物料",N(对接源_02物料!$K795)&lt;&gt;0)),1,0)</f>
        <v>0</v>
      </c>
      <c r="AG1995" s="3">
        <f t="shared" si="547"/>
        <v>5</v>
      </c>
      <c r="AH1995" s="3">
        <f>IF(AND($N1995=1,AND(对接源_02物料!$D795="周转筐－销售出库",N(对接源_02物料!$K795)&lt;&gt;0)),1,0)</f>
        <v>0</v>
      </c>
      <c r="AI1995" s="3">
        <f t="shared" si="548"/>
        <v>0</v>
      </c>
      <c r="AL1995" s="3">
        <v>0</v>
      </c>
      <c r="AM1995" s="3">
        <f t="shared" si="549"/>
        <v>1</v>
      </c>
      <c r="AN1995" s="3" t="str">
        <f t="shared" si="536"/>
        <v/>
      </c>
      <c r="AO1995" s="3">
        <v>0</v>
      </c>
      <c r="AP1995" s="3">
        <f t="shared" si="550"/>
        <v>8</v>
      </c>
      <c r="AR1995">
        <f t="shared" si="551"/>
        <v>0</v>
      </c>
      <c r="AS1995">
        <f t="shared" si="552"/>
        <v>5</v>
      </c>
    </row>
    <row r="1996" customHeight="1" spans="1:45">
      <c r="A1996" s="3" t="str">
        <f>IF(对接源_02物料!$C796="","",对接源_02物料!$C796)</f>
        <v/>
      </c>
      <c r="B1996" s="3">
        <f t="shared" si="537"/>
        <v>0</v>
      </c>
      <c r="C1996" s="3">
        <f t="shared" si="538"/>
        <v>21</v>
      </c>
      <c r="K1996" s="3">
        <f>IF(OR($K$1="",对接源_02物料!$C796="",对接源_02物料!$C796&lt;&gt;$K$1,对接源_02物料!$B796=""),0,IF(OR(N(对接源_02物料!$B796)&lt;$K$2,N(对接源_02物料!$B796)&gt;$K$3),0,1))</f>
        <v>0</v>
      </c>
      <c r="L1996" s="3">
        <f>IF(OR($L$1="",对接源_02物料!$C796="",对接源_02物料!$C796&lt;&gt;$L$1,对接源_02物料!$B796=""),0,IF(OR(N(对接源_02物料!$B796)&lt;$L$2,N(对接源_02物料!$B796)&gt;$L$3),0,1))</f>
        <v>0</v>
      </c>
      <c r="M1996" s="3">
        <f>IF(OR($M$1="",对接源_02物料!$C796="",对接源_02物料!$C796&lt;&gt;$M$1,对接源_02物料!$B796=""),0,IF(OR(N(对接源_02物料!$B796)&lt;$M$2,N(对接源_02物料!$B796)&gt;$M$3),0,1))</f>
        <v>0</v>
      </c>
      <c r="N1996" s="3">
        <f>IF(OR($N$1="",对接源_02物料!$C796="",对接源_02物料!$C796&lt;&gt;$N$1,对接源_02物料!$B796=""),0,IF(OR(N(对接源_02物料!$B796)&lt;$N$2,N(对接源_02物料!$B796)&gt;$N$3),0,1))</f>
        <v>0</v>
      </c>
      <c r="P1996" s="3">
        <f>IF(AND($K1996=1,AND(对接源_02物料!$X796="公司筐",N(对接源_02物料!$T796)&lt;&gt;0)),1,0)</f>
        <v>0</v>
      </c>
      <c r="Q1996" s="3">
        <f t="shared" si="539"/>
        <v>8</v>
      </c>
      <c r="R1996" s="3">
        <f>IF(AND($K1996=1,AND(对接源_02物料!$X796="公司筐",N(对接源_02物料!$U796)&lt;&gt;0)),1,0)</f>
        <v>0</v>
      </c>
      <c r="S1996" s="3">
        <f t="shared" si="540"/>
        <v>0</v>
      </c>
      <c r="T1996" s="3">
        <f>IF(AND($K1996=1,AND(对接源_02物料!$X796="公司筐",N(对接源_02物料!$V796)&lt;&gt;0)),1,0)</f>
        <v>0</v>
      </c>
      <c r="U1996" s="3">
        <f t="shared" si="541"/>
        <v>19</v>
      </c>
      <c r="V1996" s="3">
        <f>IF(AND($L1996=1,AND(对接源_02物料!$X796="自备筐",N(对接源_02物料!$V796)&lt;&gt;0)),1,0)</f>
        <v>0</v>
      </c>
      <c r="W1996" s="3">
        <f t="shared" si="542"/>
        <v>8</v>
      </c>
      <c r="X1996" s="3">
        <f>IF(AND($L1996=1,AND(对接源_02物料!$X796="自备筐",N(对接源_02物料!$T796)&lt;&gt;0)),1,0)</f>
        <v>0</v>
      </c>
      <c r="Y1996" s="3">
        <f t="shared" si="543"/>
        <v>0</v>
      </c>
      <c r="Z1996" s="3">
        <f>IF(AND($M1996=1,对接源_02物料!$D796="原料入库"),1,0)</f>
        <v>0</v>
      </c>
      <c r="AA1996" s="3">
        <f t="shared" si="544"/>
        <v>24</v>
      </c>
      <c r="AB1996" s="3">
        <f>IF(AND($M1996=1,LEFT(对接源_02物料!$D796,4)="原料出库"),1,0)</f>
        <v>0</v>
      </c>
      <c r="AC1996" s="3">
        <f t="shared" si="545"/>
        <v>0</v>
      </c>
      <c r="AD1996" s="3">
        <f>IF(AND($M1996=1,LEFT(对接源_02物料!$D796,4)="成品出库"),1,0)</f>
        <v>0</v>
      </c>
      <c r="AE1996" s="3">
        <f t="shared" si="546"/>
        <v>0</v>
      </c>
      <c r="AF1996" s="3">
        <f>IF(AND($N1996=1,AND(LEFT(对接源_02物料!$D796,4)="包装物料",N(对接源_02物料!$K796)&lt;&gt;0)),1,0)</f>
        <v>0</v>
      </c>
      <c r="AG1996" s="3">
        <f t="shared" si="547"/>
        <v>5</v>
      </c>
      <c r="AH1996" s="3">
        <f>IF(AND($N1996=1,AND(对接源_02物料!$D796="周转筐－销售出库",N(对接源_02物料!$K796)&lt;&gt;0)),1,0)</f>
        <v>0</v>
      </c>
      <c r="AI1996" s="3">
        <f t="shared" si="548"/>
        <v>0</v>
      </c>
      <c r="AL1996" s="3">
        <v>0</v>
      </c>
      <c r="AM1996" s="3">
        <f t="shared" si="549"/>
        <v>1</v>
      </c>
      <c r="AN1996" s="3" t="str">
        <f t="shared" si="536"/>
        <v/>
      </c>
      <c r="AO1996" s="3">
        <v>0</v>
      </c>
      <c r="AP1996" s="3">
        <f t="shared" si="550"/>
        <v>8</v>
      </c>
      <c r="AR1996">
        <f t="shared" si="551"/>
        <v>0</v>
      </c>
      <c r="AS1996">
        <f t="shared" si="552"/>
        <v>5</v>
      </c>
    </row>
    <row r="1997" customHeight="1" spans="1:45">
      <c r="A1997" s="3" t="str">
        <f>IF(对接源_02物料!$C797="","",对接源_02物料!$C797)</f>
        <v/>
      </c>
      <c r="B1997" s="3">
        <f t="shared" si="537"/>
        <v>0</v>
      </c>
      <c r="C1997" s="3">
        <f t="shared" si="538"/>
        <v>21</v>
      </c>
      <c r="K1997" s="3">
        <f>IF(OR($K$1="",对接源_02物料!$C797="",对接源_02物料!$C797&lt;&gt;$K$1,对接源_02物料!$B797=""),0,IF(OR(N(对接源_02物料!$B797)&lt;$K$2,N(对接源_02物料!$B797)&gt;$K$3),0,1))</f>
        <v>0</v>
      </c>
      <c r="L1997" s="3">
        <f>IF(OR($L$1="",对接源_02物料!$C797="",对接源_02物料!$C797&lt;&gt;$L$1,对接源_02物料!$B797=""),0,IF(OR(N(对接源_02物料!$B797)&lt;$L$2,N(对接源_02物料!$B797)&gt;$L$3),0,1))</f>
        <v>0</v>
      </c>
      <c r="M1997" s="3">
        <f>IF(OR($M$1="",对接源_02物料!$C797="",对接源_02物料!$C797&lt;&gt;$M$1,对接源_02物料!$B797=""),0,IF(OR(N(对接源_02物料!$B797)&lt;$M$2,N(对接源_02物料!$B797)&gt;$M$3),0,1))</f>
        <v>0</v>
      </c>
      <c r="N1997" s="3">
        <f>IF(OR($N$1="",对接源_02物料!$C797="",对接源_02物料!$C797&lt;&gt;$N$1,对接源_02物料!$B797=""),0,IF(OR(N(对接源_02物料!$B797)&lt;$N$2,N(对接源_02物料!$B797)&gt;$N$3),0,1))</f>
        <v>0</v>
      </c>
      <c r="P1997" s="3">
        <f>IF(AND($K1997=1,AND(对接源_02物料!$X797="公司筐",N(对接源_02物料!$T797)&lt;&gt;0)),1,0)</f>
        <v>0</v>
      </c>
      <c r="Q1997" s="3">
        <f t="shared" si="539"/>
        <v>8</v>
      </c>
      <c r="R1997" s="3">
        <f>IF(AND($K1997=1,AND(对接源_02物料!$X797="公司筐",N(对接源_02物料!$U797)&lt;&gt;0)),1,0)</f>
        <v>0</v>
      </c>
      <c r="S1997" s="3">
        <f t="shared" si="540"/>
        <v>0</v>
      </c>
      <c r="T1997" s="3">
        <f>IF(AND($K1997=1,AND(对接源_02物料!$X797="公司筐",N(对接源_02物料!$V797)&lt;&gt;0)),1,0)</f>
        <v>0</v>
      </c>
      <c r="U1997" s="3">
        <f t="shared" si="541"/>
        <v>19</v>
      </c>
      <c r="V1997" s="3">
        <f>IF(AND($L1997=1,AND(对接源_02物料!$X797="自备筐",N(对接源_02物料!$V797)&lt;&gt;0)),1,0)</f>
        <v>0</v>
      </c>
      <c r="W1997" s="3">
        <f t="shared" si="542"/>
        <v>8</v>
      </c>
      <c r="X1997" s="3">
        <f>IF(AND($L1997=1,AND(对接源_02物料!$X797="自备筐",N(对接源_02物料!$T797)&lt;&gt;0)),1,0)</f>
        <v>0</v>
      </c>
      <c r="Y1997" s="3">
        <f t="shared" si="543"/>
        <v>0</v>
      </c>
      <c r="Z1997" s="3">
        <f>IF(AND($M1997=1,对接源_02物料!$D797="原料入库"),1,0)</f>
        <v>0</v>
      </c>
      <c r="AA1997" s="3">
        <f t="shared" si="544"/>
        <v>24</v>
      </c>
      <c r="AB1997" s="3">
        <f>IF(AND($M1997=1,LEFT(对接源_02物料!$D797,4)="原料出库"),1,0)</f>
        <v>0</v>
      </c>
      <c r="AC1997" s="3">
        <f t="shared" si="545"/>
        <v>0</v>
      </c>
      <c r="AD1997" s="3">
        <f>IF(AND($M1997=1,LEFT(对接源_02物料!$D797,4)="成品出库"),1,0)</f>
        <v>0</v>
      </c>
      <c r="AE1997" s="3">
        <f t="shared" si="546"/>
        <v>0</v>
      </c>
      <c r="AF1997" s="3">
        <f>IF(AND($N1997=1,AND(LEFT(对接源_02物料!$D797,4)="包装物料",N(对接源_02物料!$K797)&lt;&gt;0)),1,0)</f>
        <v>0</v>
      </c>
      <c r="AG1997" s="3">
        <f t="shared" si="547"/>
        <v>5</v>
      </c>
      <c r="AH1997" s="3">
        <f>IF(AND($N1997=1,AND(对接源_02物料!$D797="周转筐－销售出库",N(对接源_02物料!$K797)&lt;&gt;0)),1,0)</f>
        <v>0</v>
      </c>
      <c r="AI1997" s="3">
        <f t="shared" si="548"/>
        <v>0</v>
      </c>
      <c r="AL1997" s="3">
        <v>0</v>
      </c>
      <c r="AM1997" s="3">
        <f t="shared" si="549"/>
        <v>1</v>
      </c>
      <c r="AN1997" s="3" t="str">
        <f t="shared" si="536"/>
        <v/>
      </c>
      <c r="AO1997" s="3">
        <v>0</v>
      </c>
      <c r="AP1997" s="3">
        <f t="shared" si="550"/>
        <v>8</v>
      </c>
      <c r="AR1997">
        <f t="shared" si="551"/>
        <v>0</v>
      </c>
      <c r="AS1997">
        <f t="shared" si="552"/>
        <v>5</v>
      </c>
    </row>
    <row r="1998" customHeight="1" spans="1:45">
      <c r="A1998" s="3" t="str">
        <f>IF(对接源_02物料!$C798="","",对接源_02物料!$C798)</f>
        <v/>
      </c>
      <c r="B1998" s="3">
        <f t="shared" si="537"/>
        <v>0</v>
      </c>
      <c r="C1998" s="3">
        <f t="shared" si="538"/>
        <v>21</v>
      </c>
      <c r="K1998" s="3">
        <f>IF(OR($K$1="",对接源_02物料!$C798="",对接源_02物料!$C798&lt;&gt;$K$1,对接源_02物料!$B798=""),0,IF(OR(N(对接源_02物料!$B798)&lt;$K$2,N(对接源_02物料!$B798)&gt;$K$3),0,1))</f>
        <v>0</v>
      </c>
      <c r="L1998" s="3">
        <f>IF(OR($L$1="",对接源_02物料!$C798="",对接源_02物料!$C798&lt;&gt;$L$1,对接源_02物料!$B798=""),0,IF(OR(N(对接源_02物料!$B798)&lt;$L$2,N(对接源_02物料!$B798)&gt;$L$3),0,1))</f>
        <v>0</v>
      </c>
      <c r="M1998" s="3">
        <f>IF(OR($M$1="",对接源_02物料!$C798="",对接源_02物料!$C798&lt;&gt;$M$1,对接源_02物料!$B798=""),0,IF(OR(N(对接源_02物料!$B798)&lt;$M$2,N(对接源_02物料!$B798)&gt;$M$3),0,1))</f>
        <v>0</v>
      </c>
      <c r="N1998" s="3">
        <f>IF(OR($N$1="",对接源_02物料!$C798="",对接源_02物料!$C798&lt;&gt;$N$1,对接源_02物料!$B798=""),0,IF(OR(N(对接源_02物料!$B798)&lt;$N$2,N(对接源_02物料!$B798)&gt;$N$3),0,1))</f>
        <v>0</v>
      </c>
      <c r="P1998" s="3">
        <f>IF(AND($K1998=1,AND(对接源_02物料!$X798="公司筐",N(对接源_02物料!$T798)&lt;&gt;0)),1,0)</f>
        <v>0</v>
      </c>
      <c r="Q1998" s="3">
        <f t="shared" si="539"/>
        <v>8</v>
      </c>
      <c r="R1998" s="3">
        <f>IF(AND($K1998=1,AND(对接源_02物料!$X798="公司筐",N(对接源_02物料!$U798)&lt;&gt;0)),1,0)</f>
        <v>0</v>
      </c>
      <c r="S1998" s="3">
        <f t="shared" si="540"/>
        <v>0</v>
      </c>
      <c r="T1998" s="3">
        <f>IF(AND($K1998=1,AND(对接源_02物料!$X798="公司筐",N(对接源_02物料!$V798)&lt;&gt;0)),1,0)</f>
        <v>0</v>
      </c>
      <c r="U1998" s="3">
        <f t="shared" si="541"/>
        <v>19</v>
      </c>
      <c r="V1998" s="3">
        <f>IF(AND($L1998=1,AND(对接源_02物料!$X798="自备筐",N(对接源_02物料!$V798)&lt;&gt;0)),1,0)</f>
        <v>0</v>
      </c>
      <c r="W1998" s="3">
        <f t="shared" si="542"/>
        <v>8</v>
      </c>
      <c r="X1998" s="3">
        <f>IF(AND($L1998=1,AND(对接源_02物料!$X798="自备筐",N(对接源_02物料!$T798)&lt;&gt;0)),1,0)</f>
        <v>0</v>
      </c>
      <c r="Y1998" s="3">
        <f t="shared" si="543"/>
        <v>0</v>
      </c>
      <c r="Z1998" s="3">
        <f>IF(AND($M1998=1,对接源_02物料!$D798="原料入库"),1,0)</f>
        <v>0</v>
      </c>
      <c r="AA1998" s="3">
        <f t="shared" si="544"/>
        <v>24</v>
      </c>
      <c r="AB1998" s="3">
        <f>IF(AND($M1998=1,LEFT(对接源_02物料!$D798,4)="原料出库"),1,0)</f>
        <v>0</v>
      </c>
      <c r="AC1998" s="3">
        <f t="shared" si="545"/>
        <v>0</v>
      </c>
      <c r="AD1998" s="3">
        <f>IF(AND($M1998=1,LEFT(对接源_02物料!$D798,4)="成品出库"),1,0)</f>
        <v>0</v>
      </c>
      <c r="AE1998" s="3">
        <f t="shared" si="546"/>
        <v>0</v>
      </c>
      <c r="AF1998" s="3">
        <f>IF(AND($N1998=1,AND(LEFT(对接源_02物料!$D798,4)="包装物料",N(对接源_02物料!$K798)&lt;&gt;0)),1,0)</f>
        <v>0</v>
      </c>
      <c r="AG1998" s="3">
        <f t="shared" si="547"/>
        <v>5</v>
      </c>
      <c r="AH1998" s="3">
        <f>IF(AND($N1998=1,AND(对接源_02物料!$D798="周转筐－销售出库",N(对接源_02物料!$K798)&lt;&gt;0)),1,0)</f>
        <v>0</v>
      </c>
      <c r="AI1998" s="3">
        <f t="shared" si="548"/>
        <v>0</v>
      </c>
      <c r="AL1998" s="3">
        <v>0</v>
      </c>
      <c r="AM1998" s="3">
        <f t="shared" si="549"/>
        <v>1</v>
      </c>
      <c r="AN1998" s="3" t="str">
        <f t="shared" si="536"/>
        <v/>
      </c>
      <c r="AO1998" s="3">
        <v>0</v>
      </c>
      <c r="AP1998" s="3">
        <f t="shared" si="550"/>
        <v>8</v>
      </c>
      <c r="AR1998">
        <f t="shared" si="551"/>
        <v>0</v>
      </c>
      <c r="AS1998">
        <f t="shared" si="552"/>
        <v>5</v>
      </c>
    </row>
    <row r="1999" customHeight="1" spans="1:45">
      <c r="A1999" s="3" t="str">
        <f>IF(对接源_02物料!$C799="","",对接源_02物料!$C799)</f>
        <v/>
      </c>
      <c r="B1999" s="3">
        <f t="shared" si="537"/>
        <v>0</v>
      </c>
      <c r="C1999" s="3">
        <f t="shared" si="538"/>
        <v>21</v>
      </c>
      <c r="K1999" s="3">
        <f>IF(OR($K$1="",对接源_02物料!$C799="",对接源_02物料!$C799&lt;&gt;$K$1,对接源_02物料!$B799=""),0,IF(OR(N(对接源_02物料!$B799)&lt;$K$2,N(对接源_02物料!$B799)&gt;$K$3),0,1))</f>
        <v>0</v>
      </c>
      <c r="L1999" s="3">
        <f>IF(OR($L$1="",对接源_02物料!$C799="",对接源_02物料!$C799&lt;&gt;$L$1,对接源_02物料!$B799=""),0,IF(OR(N(对接源_02物料!$B799)&lt;$L$2,N(对接源_02物料!$B799)&gt;$L$3),0,1))</f>
        <v>0</v>
      </c>
      <c r="M1999" s="3">
        <f>IF(OR($M$1="",对接源_02物料!$C799="",对接源_02物料!$C799&lt;&gt;$M$1,对接源_02物料!$B799=""),0,IF(OR(N(对接源_02物料!$B799)&lt;$M$2,N(对接源_02物料!$B799)&gt;$M$3),0,1))</f>
        <v>0</v>
      </c>
      <c r="N1999" s="3">
        <f>IF(OR($N$1="",对接源_02物料!$C799="",对接源_02物料!$C799&lt;&gt;$N$1,对接源_02物料!$B799=""),0,IF(OR(N(对接源_02物料!$B799)&lt;$N$2,N(对接源_02物料!$B799)&gt;$N$3),0,1))</f>
        <v>0</v>
      </c>
      <c r="P1999" s="3">
        <f>IF(AND($K1999=1,AND(对接源_02物料!$X799="公司筐",N(对接源_02物料!$T799)&lt;&gt;0)),1,0)</f>
        <v>0</v>
      </c>
      <c r="Q1999" s="3">
        <f t="shared" si="539"/>
        <v>8</v>
      </c>
      <c r="R1999" s="3">
        <f>IF(AND($K1999=1,AND(对接源_02物料!$X799="公司筐",N(对接源_02物料!$U799)&lt;&gt;0)),1,0)</f>
        <v>0</v>
      </c>
      <c r="S1999" s="3">
        <f t="shared" si="540"/>
        <v>0</v>
      </c>
      <c r="T1999" s="3">
        <f>IF(AND($K1999=1,AND(对接源_02物料!$X799="公司筐",N(对接源_02物料!$V799)&lt;&gt;0)),1,0)</f>
        <v>0</v>
      </c>
      <c r="U1999" s="3">
        <f t="shared" si="541"/>
        <v>19</v>
      </c>
      <c r="V1999" s="3">
        <f>IF(AND($L1999=1,AND(对接源_02物料!$X799="自备筐",N(对接源_02物料!$V799)&lt;&gt;0)),1,0)</f>
        <v>0</v>
      </c>
      <c r="W1999" s="3">
        <f t="shared" si="542"/>
        <v>8</v>
      </c>
      <c r="X1999" s="3">
        <f>IF(AND($L1999=1,AND(对接源_02物料!$X799="自备筐",N(对接源_02物料!$T799)&lt;&gt;0)),1,0)</f>
        <v>0</v>
      </c>
      <c r="Y1999" s="3">
        <f t="shared" si="543"/>
        <v>0</v>
      </c>
      <c r="Z1999" s="3">
        <f>IF(AND($M1999=1,对接源_02物料!$D799="原料入库"),1,0)</f>
        <v>0</v>
      </c>
      <c r="AA1999" s="3">
        <f t="shared" si="544"/>
        <v>24</v>
      </c>
      <c r="AB1999" s="3">
        <f>IF(AND($M1999=1,LEFT(对接源_02物料!$D799,4)="原料出库"),1,0)</f>
        <v>0</v>
      </c>
      <c r="AC1999" s="3">
        <f t="shared" si="545"/>
        <v>0</v>
      </c>
      <c r="AD1999" s="3">
        <f>IF(AND($M1999=1,LEFT(对接源_02物料!$D799,4)="成品出库"),1,0)</f>
        <v>0</v>
      </c>
      <c r="AE1999" s="3">
        <f t="shared" si="546"/>
        <v>0</v>
      </c>
      <c r="AF1999" s="3">
        <f>IF(AND($N1999=1,AND(LEFT(对接源_02物料!$D799,4)="包装物料",N(对接源_02物料!$K799)&lt;&gt;0)),1,0)</f>
        <v>0</v>
      </c>
      <c r="AG1999" s="3">
        <f t="shared" si="547"/>
        <v>5</v>
      </c>
      <c r="AH1999" s="3">
        <f>IF(AND($N1999=1,AND(对接源_02物料!$D799="周转筐－销售出库",N(对接源_02物料!$K799)&lt;&gt;0)),1,0)</f>
        <v>0</v>
      </c>
      <c r="AI1999" s="3">
        <f t="shared" si="548"/>
        <v>0</v>
      </c>
      <c r="AL1999" s="3">
        <v>0</v>
      </c>
      <c r="AM1999" s="3">
        <f t="shared" si="549"/>
        <v>1</v>
      </c>
      <c r="AN1999" s="3" t="str">
        <f t="shared" si="536"/>
        <v/>
      </c>
      <c r="AO1999" s="3">
        <v>0</v>
      </c>
      <c r="AP1999" s="3">
        <f t="shared" si="550"/>
        <v>8</v>
      </c>
      <c r="AR1999">
        <f t="shared" si="551"/>
        <v>0</v>
      </c>
      <c r="AS1999">
        <f t="shared" si="552"/>
        <v>5</v>
      </c>
    </row>
    <row r="2000" customHeight="1" spans="1:45">
      <c r="A2000" s="3" t="str">
        <f>IF(对接源_02物料!$C800="","",对接源_02物料!$C800)</f>
        <v/>
      </c>
      <c r="B2000" s="3">
        <f t="shared" si="537"/>
        <v>0</v>
      </c>
      <c r="C2000" s="3">
        <f t="shared" si="538"/>
        <v>21</v>
      </c>
      <c r="K2000" s="3">
        <f>IF(OR($K$1="",对接源_02物料!$C800="",对接源_02物料!$C800&lt;&gt;$K$1,对接源_02物料!$B800=""),0,IF(OR(N(对接源_02物料!$B800)&lt;$K$2,N(对接源_02物料!$B800)&gt;$K$3),0,1))</f>
        <v>0</v>
      </c>
      <c r="L2000" s="3">
        <f>IF(OR($L$1="",对接源_02物料!$C800="",对接源_02物料!$C800&lt;&gt;$L$1,对接源_02物料!$B800=""),0,IF(OR(N(对接源_02物料!$B800)&lt;$L$2,N(对接源_02物料!$B800)&gt;$L$3),0,1))</f>
        <v>0</v>
      </c>
      <c r="M2000" s="3">
        <f>IF(OR($M$1="",对接源_02物料!$C800="",对接源_02物料!$C800&lt;&gt;$M$1,对接源_02物料!$B800=""),0,IF(OR(N(对接源_02物料!$B800)&lt;$M$2,N(对接源_02物料!$B800)&gt;$M$3),0,1))</f>
        <v>0</v>
      </c>
      <c r="N2000" s="3">
        <f>IF(OR($N$1="",对接源_02物料!$C800="",对接源_02物料!$C800&lt;&gt;$N$1,对接源_02物料!$B800=""),0,IF(OR(N(对接源_02物料!$B800)&lt;$N$2,N(对接源_02物料!$B800)&gt;$N$3),0,1))</f>
        <v>0</v>
      </c>
      <c r="P2000" s="3">
        <f>IF(AND($K2000=1,AND(对接源_02物料!$X800="公司筐",N(对接源_02物料!$T800)&lt;&gt;0)),1,0)</f>
        <v>0</v>
      </c>
      <c r="Q2000" s="3">
        <f t="shared" si="539"/>
        <v>8</v>
      </c>
      <c r="R2000" s="3">
        <f>IF(AND($K2000=1,AND(对接源_02物料!$X800="公司筐",N(对接源_02物料!$U800)&lt;&gt;0)),1,0)</f>
        <v>0</v>
      </c>
      <c r="S2000" s="3">
        <f t="shared" si="540"/>
        <v>0</v>
      </c>
      <c r="T2000" s="3">
        <f>IF(AND($K2000=1,AND(对接源_02物料!$X800="公司筐",N(对接源_02物料!$V800)&lt;&gt;0)),1,0)</f>
        <v>0</v>
      </c>
      <c r="U2000" s="3">
        <f t="shared" si="541"/>
        <v>19</v>
      </c>
      <c r="V2000" s="3">
        <f>IF(AND($L2000=1,AND(对接源_02物料!$X800="自备筐",N(对接源_02物料!$V800)&lt;&gt;0)),1,0)</f>
        <v>0</v>
      </c>
      <c r="W2000" s="3">
        <f t="shared" si="542"/>
        <v>8</v>
      </c>
      <c r="X2000" s="3">
        <f>IF(AND($L2000=1,AND(对接源_02物料!$X800="自备筐",N(对接源_02物料!$T800)&lt;&gt;0)),1,0)</f>
        <v>0</v>
      </c>
      <c r="Y2000" s="3">
        <f t="shared" si="543"/>
        <v>0</v>
      </c>
      <c r="Z2000" s="3">
        <f>IF(AND($M2000=1,对接源_02物料!$D800="原料入库"),1,0)</f>
        <v>0</v>
      </c>
      <c r="AA2000" s="3">
        <f t="shared" si="544"/>
        <v>24</v>
      </c>
      <c r="AB2000" s="3">
        <f>IF(AND($M2000=1,LEFT(对接源_02物料!$D800,4)="原料出库"),1,0)</f>
        <v>0</v>
      </c>
      <c r="AC2000" s="3">
        <f t="shared" si="545"/>
        <v>0</v>
      </c>
      <c r="AD2000" s="3">
        <f>IF(AND($M2000=1,LEFT(对接源_02物料!$D800,4)="成品出库"),1,0)</f>
        <v>0</v>
      </c>
      <c r="AE2000" s="3">
        <f t="shared" si="546"/>
        <v>0</v>
      </c>
      <c r="AF2000" s="3">
        <f>IF(AND($N2000=1,AND(LEFT(对接源_02物料!$D800,4)="包装物料",N(对接源_02物料!$K800)&lt;&gt;0)),1,0)</f>
        <v>0</v>
      </c>
      <c r="AG2000" s="3">
        <f t="shared" si="547"/>
        <v>5</v>
      </c>
      <c r="AH2000" s="3">
        <f>IF(AND($N2000=1,AND(对接源_02物料!$D800="周转筐－销售出库",N(对接源_02物料!$K800)&lt;&gt;0)),1,0)</f>
        <v>0</v>
      </c>
      <c r="AI2000" s="3">
        <f t="shared" si="548"/>
        <v>0</v>
      </c>
      <c r="AL2000" s="3">
        <v>0</v>
      </c>
      <c r="AM2000" s="3">
        <f t="shared" si="549"/>
        <v>1</v>
      </c>
      <c r="AN2000" s="3" t="str">
        <f t="shared" si="536"/>
        <v/>
      </c>
      <c r="AO2000" s="3">
        <v>0</v>
      </c>
      <c r="AP2000" s="3">
        <f t="shared" si="550"/>
        <v>8</v>
      </c>
      <c r="AR2000">
        <f t="shared" si="551"/>
        <v>0</v>
      </c>
      <c r="AS2000">
        <f t="shared" si="552"/>
        <v>5</v>
      </c>
    </row>
    <row r="2001" customHeight="1" spans="1:45">
      <c r="A2001" s="3" t="str">
        <f>IF(对接源_02物料!$C801="","",对接源_02物料!$C801)</f>
        <v/>
      </c>
      <c r="B2001" s="3">
        <f t="shared" si="537"/>
        <v>0</v>
      </c>
      <c r="C2001" s="3">
        <f t="shared" si="538"/>
        <v>21</v>
      </c>
      <c r="K2001" s="3">
        <f>IF(OR($K$1="",对接源_02物料!$C801="",对接源_02物料!$C801&lt;&gt;$K$1,对接源_02物料!$B801=""),0,IF(OR(N(对接源_02物料!$B801)&lt;$K$2,N(对接源_02物料!$B801)&gt;$K$3),0,1))</f>
        <v>0</v>
      </c>
      <c r="L2001" s="3">
        <f>IF(OR($L$1="",对接源_02物料!$C801="",对接源_02物料!$C801&lt;&gt;$L$1,对接源_02物料!$B801=""),0,IF(OR(N(对接源_02物料!$B801)&lt;$L$2,N(对接源_02物料!$B801)&gt;$L$3),0,1))</f>
        <v>0</v>
      </c>
      <c r="M2001" s="3">
        <f>IF(OR($M$1="",对接源_02物料!$C801="",对接源_02物料!$C801&lt;&gt;$M$1,对接源_02物料!$B801=""),0,IF(OR(N(对接源_02物料!$B801)&lt;$M$2,N(对接源_02物料!$B801)&gt;$M$3),0,1))</f>
        <v>0</v>
      </c>
      <c r="N2001" s="3">
        <f>IF(OR($N$1="",对接源_02物料!$C801="",对接源_02物料!$C801&lt;&gt;$N$1,对接源_02物料!$B801=""),0,IF(OR(N(对接源_02物料!$B801)&lt;$N$2,N(对接源_02物料!$B801)&gt;$N$3),0,1))</f>
        <v>0</v>
      </c>
      <c r="P2001" s="3">
        <f>IF(AND($K2001=1,AND(对接源_02物料!$X801="公司筐",N(对接源_02物料!$T801)&lt;&gt;0)),1,0)</f>
        <v>0</v>
      </c>
      <c r="Q2001" s="3">
        <f t="shared" si="539"/>
        <v>8</v>
      </c>
      <c r="R2001" s="3">
        <f>IF(AND($K2001=1,AND(对接源_02物料!$X801="公司筐",N(对接源_02物料!$U801)&lt;&gt;0)),1,0)</f>
        <v>0</v>
      </c>
      <c r="S2001" s="3">
        <f t="shared" si="540"/>
        <v>0</v>
      </c>
      <c r="T2001" s="3">
        <f>IF(AND($K2001=1,AND(对接源_02物料!$X801="公司筐",N(对接源_02物料!$V801)&lt;&gt;0)),1,0)</f>
        <v>0</v>
      </c>
      <c r="U2001" s="3">
        <f t="shared" si="541"/>
        <v>19</v>
      </c>
      <c r="V2001" s="3">
        <f>IF(AND($L2001=1,AND(对接源_02物料!$X801="自备筐",N(对接源_02物料!$V801)&lt;&gt;0)),1,0)</f>
        <v>0</v>
      </c>
      <c r="W2001" s="3">
        <f t="shared" si="542"/>
        <v>8</v>
      </c>
      <c r="X2001" s="3">
        <f>IF(AND($L2001=1,AND(对接源_02物料!$X801="自备筐",N(对接源_02物料!$T801)&lt;&gt;0)),1,0)</f>
        <v>0</v>
      </c>
      <c r="Y2001" s="3">
        <f t="shared" si="543"/>
        <v>0</v>
      </c>
      <c r="Z2001" s="3">
        <f>IF(AND($M2001=1,对接源_02物料!$D801="原料入库"),1,0)</f>
        <v>0</v>
      </c>
      <c r="AA2001" s="3">
        <f t="shared" si="544"/>
        <v>24</v>
      </c>
      <c r="AB2001" s="3">
        <f>IF(AND($M2001=1,LEFT(对接源_02物料!$D801,4)="原料出库"),1,0)</f>
        <v>0</v>
      </c>
      <c r="AC2001" s="3">
        <f t="shared" si="545"/>
        <v>0</v>
      </c>
      <c r="AD2001" s="3">
        <f>IF(AND($M2001=1,LEFT(对接源_02物料!$D801,4)="成品出库"),1,0)</f>
        <v>0</v>
      </c>
      <c r="AE2001" s="3">
        <f t="shared" si="546"/>
        <v>0</v>
      </c>
      <c r="AF2001" s="3">
        <f>IF(AND($N2001=1,AND(LEFT(对接源_02物料!$D801,4)="包装物料",N(对接源_02物料!$K801)&lt;&gt;0)),1,0)</f>
        <v>0</v>
      </c>
      <c r="AG2001" s="3">
        <f t="shared" si="547"/>
        <v>5</v>
      </c>
      <c r="AH2001" s="3">
        <f>IF(AND($N2001=1,AND(对接源_02物料!$D801="周转筐－销售出库",N(对接源_02物料!$K801)&lt;&gt;0)),1,0)</f>
        <v>0</v>
      </c>
      <c r="AI2001" s="3">
        <f t="shared" si="548"/>
        <v>0</v>
      </c>
      <c r="AL2001" s="3">
        <v>0</v>
      </c>
      <c r="AM2001" s="3">
        <f t="shared" si="549"/>
        <v>1</v>
      </c>
      <c r="AN2001" s="3" t="str">
        <f t="shared" si="536"/>
        <v/>
      </c>
      <c r="AO2001" s="3">
        <v>0</v>
      </c>
      <c r="AP2001" s="3">
        <f t="shared" si="550"/>
        <v>8</v>
      </c>
      <c r="AR2001">
        <f t="shared" si="551"/>
        <v>0</v>
      </c>
      <c r="AS2001">
        <f t="shared" si="552"/>
        <v>5</v>
      </c>
    </row>
    <row r="2002" customHeight="1" spans="1:45">
      <c r="A2002" s="3" t="str">
        <f>IF(对接源_02物料!$C802="","",对接源_02物料!$C802)</f>
        <v/>
      </c>
      <c r="B2002" s="3">
        <f t="shared" si="537"/>
        <v>0</v>
      </c>
      <c r="C2002" s="3">
        <f t="shared" si="538"/>
        <v>21</v>
      </c>
      <c r="K2002" s="3">
        <f>IF(OR($K$1="",对接源_02物料!$C802="",对接源_02物料!$C802&lt;&gt;$K$1,对接源_02物料!$B802=""),0,IF(OR(N(对接源_02物料!$B802)&lt;$K$2,N(对接源_02物料!$B802)&gt;$K$3),0,1))</f>
        <v>0</v>
      </c>
      <c r="L2002" s="3">
        <f>IF(OR($L$1="",对接源_02物料!$C802="",对接源_02物料!$C802&lt;&gt;$L$1,对接源_02物料!$B802=""),0,IF(OR(N(对接源_02物料!$B802)&lt;$L$2,N(对接源_02物料!$B802)&gt;$L$3),0,1))</f>
        <v>0</v>
      </c>
      <c r="M2002" s="3">
        <f>IF(OR($M$1="",对接源_02物料!$C802="",对接源_02物料!$C802&lt;&gt;$M$1,对接源_02物料!$B802=""),0,IF(OR(N(对接源_02物料!$B802)&lt;$M$2,N(对接源_02物料!$B802)&gt;$M$3),0,1))</f>
        <v>0</v>
      </c>
      <c r="N2002" s="3">
        <f>IF(OR($N$1="",对接源_02物料!$C802="",对接源_02物料!$C802&lt;&gt;$N$1,对接源_02物料!$B802=""),0,IF(OR(N(对接源_02物料!$B802)&lt;$N$2,N(对接源_02物料!$B802)&gt;$N$3),0,1))</f>
        <v>0</v>
      </c>
      <c r="P2002" s="3">
        <f>IF(AND($K2002=1,AND(对接源_02物料!$X802="公司筐",N(对接源_02物料!$T802)&lt;&gt;0)),1,0)</f>
        <v>0</v>
      </c>
      <c r="Q2002" s="3">
        <f t="shared" si="539"/>
        <v>8</v>
      </c>
      <c r="R2002" s="3">
        <f>IF(AND($K2002=1,AND(对接源_02物料!$X802="公司筐",N(对接源_02物料!$U802)&lt;&gt;0)),1,0)</f>
        <v>0</v>
      </c>
      <c r="S2002" s="3">
        <f t="shared" si="540"/>
        <v>0</v>
      </c>
      <c r="T2002" s="3">
        <f>IF(AND($K2002=1,AND(对接源_02物料!$X802="公司筐",N(对接源_02物料!$V802)&lt;&gt;0)),1,0)</f>
        <v>0</v>
      </c>
      <c r="U2002" s="3">
        <f t="shared" si="541"/>
        <v>19</v>
      </c>
      <c r="V2002" s="3">
        <f>IF(AND($L2002=1,AND(对接源_02物料!$X802="自备筐",N(对接源_02物料!$V802)&lt;&gt;0)),1,0)</f>
        <v>0</v>
      </c>
      <c r="W2002" s="3">
        <f t="shared" si="542"/>
        <v>8</v>
      </c>
      <c r="X2002" s="3">
        <f>IF(AND($L2002=1,AND(对接源_02物料!$X802="自备筐",N(对接源_02物料!$T802)&lt;&gt;0)),1,0)</f>
        <v>0</v>
      </c>
      <c r="Y2002" s="3">
        <f t="shared" si="543"/>
        <v>0</v>
      </c>
      <c r="Z2002" s="3">
        <f>IF(AND($M2002=1,对接源_02物料!$D802="原料入库"),1,0)</f>
        <v>0</v>
      </c>
      <c r="AA2002" s="3">
        <f t="shared" si="544"/>
        <v>24</v>
      </c>
      <c r="AB2002" s="3">
        <f>IF(AND($M2002=1,LEFT(对接源_02物料!$D802,4)="原料出库"),1,0)</f>
        <v>0</v>
      </c>
      <c r="AC2002" s="3">
        <f t="shared" si="545"/>
        <v>0</v>
      </c>
      <c r="AD2002" s="3">
        <f>IF(AND($M2002=1,LEFT(对接源_02物料!$D802,4)="成品出库"),1,0)</f>
        <v>0</v>
      </c>
      <c r="AE2002" s="3">
        <f t="shared" si="546"/>
        <v>0</v>
      </c>
      <c r="AF2002" s="3">
        <f>IF(AND($N2002=1,AND(LEFT(对接源_02物料!$D802,4)="包装物料",N(对接源_02物料!$K802)&lt;&gt;0)),1,0)</f>
        <v>0</v>
      </c>
      <c r="AG2002" s="3">
        <f t="shared" si="547"/>
        <v>5</v>
      </c>
      <c r="AH2002" s="3">
        <f>IF(AND($N2002=1,AND(对接源_02物料!$D802="周转筐－销售出库",N(对接源_02物料!$K802)&lt;&gt;0)),1,0)</f>
        <v>0</v>
      </c>
      <c r="AI2002" s="3">
        <f t="shared" si="548"/>
        <v>0</v>
      </c>
      <c r="AL2002" s="3">
        <v>0</v>
      </c>
      <c r="AM2002" s="3">
        <f t="shared" si="549"/>
        <v>1</v>
      </c>
      <c r="AN2002" s="3" t="str">
        <f t="shared" si="536"/>
        <v/>
      </c>
      <c r="AO2002" s="3">
        <v>0</v>
      </c>
      <c r="AP2002" s="3">
        <f t="shared" si="550"/>
        <v>8</v>
      </c>
      <c r="AR2002">
        <f t="shared" si="551"/>
        <v>0</v>
      </c>
      <c r="AS2002">
        <f t="shared" si="552"/>
        <v>5</v>
      </c>
    </row>
    <row r="2003" customHeight="1" spans="1:45">
      <c r="A2003" s="3" t="str">
        <f>IF(对接源_02物料!$C803="","",对接源_02物料!$C803)</f>
        <v/>
      </c>
      <c r="B2003" s="3">
        <f t="shared" si="537"/>
        <v>0</v>
      </c>
      <c r="C2003" s="3">
        <f t="shared" si="538"/>
        <v>21</v>
      </c>
      <c r="K2003" s="3">
        <f>IF(OR($K$1="",对接源_02物料!$C803="",对接源_02物料!$C803&lt;&gt;$K$1,对接源_02物料!$B803=""),0,IF(OR(N(对接源_02物料!$B803)&lt;$K$2,N(对接源_02物料!$B803)&gt;$K$3),0,1))</f>
        <v>0</v>
      </c>
      <c r="L2003" s="3">
        <f>IF(OR($L$1="",对接源_02物料!$C803="",对接源_02物料!$C803&lt;&gt;$L$1,对接源_02物料!$B803=""),0,IF(OR(N(对接源_02物料!$B803)&lt;$L$2,N(对接源_02物料!$B803)&gt;$L$3),0,1))</f>
        <v>0</v>
      </c>
      <c r="M2003" s="3">
        <f>IF(OR($M$1="",对接源_02物料!$C803="",对接源_02物料!$C803&lt;&gt;$M$1,对接源_02物料!$B803=""),0,IF(OR(N(对接源_02物料!$B803)&lt;$M$2,N(对接源_02物料!$B803)&gt;$M$3),0,1))</f>
        <v>0</v>
      </c>
      <c r="N2003" s="3">
        <f>IF(OR($N$1="",对接源_02物料!$C803="",对接源_02物料!$C803&lt;&gt;$N$1,对接源_02物料!$B803=""),0,IF(OR(N(对接源_02物料!$B803)&lt;$N$2,N(对接源_02物料!$B803)&gt;$N$3),0,1))</f>
        <v>0</v>
      </c>
      <c r="P2003" s="3">
        <f>IF(AND($K2003=1,AND(对接源_02物料!$X803="公司筐",N(对接源_02物料!$T803)&lt;&gt;0)),1,0)</f>
        <v>0</v>
      </c>
      <c r="Q2003" s="3">
        <f t="shared" si="539"/>
        <v>8</v>
      </c>
      <c r="R2003" s="3">
        <f>IF(AND($K2003=1,AND(对接源_02物料!$X803="公司筐",N(对接源_02物料!$U803)&lt;&gt;0)),1,0)</f>
        <v>0</v>
      </c>
      <c r="S2003" s="3">
        <f t="shared" si="540"/>
        <v>0</v>
      </c>
      <c r="T2003" s="3">
        <f>IF(AND($K2003=1,AND(对接源_02物料!$X803="公司筐",N(对接源_02物料!$V803)&lt;&gt;0)),1,0)</f>
        <v>0</v>
      </c>
      <c r="U2003" s="3">
        <f t="shared" si="541"/>
        <v>19</v>
      </c>
      <c r="V2003" s="3">
        <f>IF(AND($L2003=1,AND(对接源_02物料!$X803="自备筐",N(对接源_02物料!$V803)&lt;&gt;0)),1,0)</f>
        <v>0</v>
      </c>
      <c r="W2003" s="3">
        <f t="shared" si="542"/>
        <v>8</v>
      </c>
      <c r="X2003" s="3">
        <f>IF(AND($L2003=1,AND(对接源_02物料!$X803="自备筐",N(对接源_02物料!$T803)&lt;&gt;0)),1,0)</f>
        <v>0</v>
      </c>
      <c r="Y2003" s="3">
        <f t="shared" si="543"/>
        <v>0</v>
      </c>
      <c r="Z2003" s="3">
        <f>IF(AND($M2003=1,对接源_02物料!$D803="原料入库"),1,0)</f>
        <v>0</v>
      </c>
      <c r="AA2003" s="3">
        <f t="shared" si="544"/>
        <v>24</v>
      </c>
      <c r="AB2003" s="3">
        <f>IF(AND($M2003=1,LEFT(对接源_02物料!$D803,4)="原料出库"),1,0)</f>
        <v>0</v>
      </c>
      <c r="AC2003" s="3">
        <f t="shared" si="545"/>
        <v>0</v>
      </c>
      <c r="AD2003" s="3">
        <f>IF(AND($M2003=1,LEFT(对接源_02物料!$D803,4)="成品出库"),1,0)</f>
        <v>0</v>
      </c>
      <c r="AE2003" s="3">
        <f t="shared" si="546"/>
        <v>0</v>
      </c>
      <c r="AF2003" s="3">
        <f>IF(AND($N2003=1,AND(LEFT(对接源_02物料!$D803,4)="包装物料",N(对接源_02物料!$K803)&lt;&gt;0)),1,0)</f>
        <v>0</v>
      </c>
      <c r="AG2003" s="3">
        <f t="shared" si="547"/>
        <v>5</v>
      </c>
      <c r="AH2003" s="3">
        <f>IF(AND($N2003=1,AND(对接源_02物料!$D803="周转筐－销售出库",N(对接源_02物料!$K803)&lt;&gt;0)),1,0)</f>
        <v>0</v>
      </c>
      <c r="AI2003" s="3">
        <f t="shared" si="548"/>
        <v>0</v>
      </c>
      <c r="AL2003" s="3">
        <v>0</v>
      </c>
      <c r="AM2003" s="3">
        <f t="shared" si="549"/>
        <v>1</v>
      </c>
      <c r="AN2003" s="3" t="str">
        <f t="shared" si="536"/>
        <v/>
      </c>
      <c r="AO2003" s="3">
        <v>0</v>
      </c>
      <c r="AP2003" s="3">
        <f t="shared" si="550"/>
        <v>8</v>
      </c>
      <c r="AR2003">
        <f t="shared" si="551"/>
        <v>0</v>
      </c>
      <c r="AS2003">
        <f t="shared" si="552"/>
        <v>5</v>
      </c>
    </row>
    <row r="2004" customHeight="1" spans="1:45">
      <c r="A2004" s="3" t="str">
        <f>IF(对接源_02物料!$C804="","",对接源_02物料!$C804)</f>
        <v/>
      </c>
      <c r="B2004" s="3">
        <f t="shared" si="537"/>
        <v>0</v>
      </c>
      <c r="C2004" s="3">
        <f t="shared" si="538"/>
        <v>21</v>
      </c>
      <c r="K2004" s="3">
        <f>IF(OR($K$1="",对接源_02物料!$C804="",对接源_02物料!$C804&lt;&gt;$K$1,对接源_02物料!$B804=""),0,IF(OR(N(对接源_02物料!$B804)&lt;$K$2,N(对接源_02物料!$B804)&gt;$K$3),0,1))</f>
        <v>0</v>
      </c>
      <c r="L2004" s="3">
        <f>IF(OR($L$1="",对接源_02物料!$C804="",对接源_02物料!$C804&lt;&gt;$L$1,对接源_02物料!$B804=""),0,IF(OR(N(对接源_02物料!$B804)&lt;$L$2,N(对接源_02物料!$B804)&gt;$L$3),0,1))</f>
        <v>0</v>
      </c>
      <c r="M2004" s="3">
        <f>IF(OR($M$1="",对接源_02物料!$C804="",对接源_02物料!$C804&lt;&gt;$M$1,对接源_02物料!$B804=""),0,IF(OR(N(对接源_02物料!$B804)&lt;$M$2,N(对接源_02物料!$B804)&gt;$M$3),0,1))</f>
        <v>0</v>
      </c>
      <c r="N2004" s="3">
        <f>IF(OR($N$1="",对接源_02物料!$C804="",对接源_02物料!$C804&lt;&gt;$N$1,对接源_02物料!$B804=""),0,IF(OR(N(对接源_02物料!$B804)&lt;$N$2,N(对接源_02物料!$B804)&gt;$N$3),0,1))</f>
        <v>0</v>
      </c>
      <c r="P2004" s="3">
        <f>IF(AND($K2004=1,AND(对接源_02物料!$X804="公司筐",N(对接源_02物料!$T804)&lt;&gt;0)),1,0)</f>
        <v>0</v>
      </c>
      <c r="Q2004" s="3">
        <f t="shared" si="539"/>
        <v>8</v>
      </c>
      <c r="R2004" s="3">
        <f>IF(AND($K2004=1,AND(对接源_02物料!$X804="公司筐",N(对接源_02物料!$U804)&lt;&gt;0)),1,0)</f>
        <v>0</v>
      </c>
      <c r="S2004" s="3">
        <f t="shared" si="540"/>
        <v>0</v>
      </c>
      <c r="T2004" s="3">
        <f>IF(AND($K2004=1,AND(对接源_02物料!$X804="公司筐",N(对接源_02物料!$V804)&lt;&gt;0)),1,0)</f>
        <v>0</v>
      </c>
      <c r="U2004" s="3">
        <f t="shared" si="541"/>
        <v>19</v>
      </c>
      <c r="V2004" s="3">
        <f>IF(AND($L2004=1,AND(对接源_02物料!$X804="自备筐",N(对接源_02物料!$V804)&lt;&gt;0)),1,0)</f>
        <v>0</v>
      </c>
      <c r="W2004" s="3">
        <f t="shared" si="542"/>
        <v>8</v>
      </c>
      <c r="X2004" s="3">
        <f>IF(AND($L2004=1,AND(对接源_02物料!$X804="自备筐",N(对接源_02物料!$T804)&lt;&gt;0)),1,0)</f>
        <v>0</v>
      </c>
      <c r="Y2004" s="3">
        <f t="shared" si="543"/>
        <v>0</v>
      </c>
      <c r="Z2004" s="3">
        <f>IF(AND($M2004=1,对接源_02物料!$D804="原料入库"),1,0)</f>
        <v>0</v>
      </c>
      <c r="AA2004" s="3">
        <f t="shared" si="544"/>
        <v>24</v>
      </c>
      <c r="AB2004" s="3">
        <f>IF(AND($M2004=1,LEFT(对接源_02物料!$D804,4)="原料出库"),1,0)</f>
        <v>0</v>
      </c>
      <c r="AC2004" s="3">
        <f t="shared" si="545"/>
        <v>0</v>
      </c>
      <c r="AD2004" s="3">
        <f>IF(AND($M2004=1,LEFT(对接源_02物料!$D804,4)="成品出库"),1,0)</f>
        <v>0</v>
      </c>
      <c r="AE2004" s="3">
        <f t="shared" si="546"/>
        <v>0</v>
      </c>
      <c r="AF2004" s="3">
        <f>IF(AND($N2004=1,AND(LEFT(对接源_02物料!$D804,4)="包装物料",N(对接源_02物料!$K804)&lt;&gt;0)),1,0)</f>
        <v>0</v>
      </c>
      <c r="AG2004" s="3">
        <f t="shared" si="547"/>
        <v>5</v>
      </c>
      <c r="AH2004" s="3">
        <f>IF(AND($N2004=1,AND(对接源_02物料!$D804="周转筐－销售出库",N(对接源_02物料!$K804)&lt;&gt;0)),1,0)</f>
        <v>0</v>
      </c>
      <c r="AI2004" s="3">
        <f t="shared" si="548"/>
        <v>0</v>
      </c>
      <c r="AL2004" s="3">
        <v>0</v>
      </c>
      <c r="AM2004" s="3">
        <f t="shared" si="549"/>
        <v>1</v>
      </c>
      <c r="AN2004" s="3" t="str">
        <f t="shared" si="536"/>
        <v/>
      </c>
      <c r="AO2004" s="3">
        <v>0</v>
      </c>
      <c r="AP2004" s="3">
        <f t="shared" si="550"/>
        <v>8</v>
      </c>
      <c r="AR2004">
        <f t="shared" si="551"/>
        <v>0</v>
      </c>
      <c r="AS2004">
        <f t="shared" si="552"/>
        <v>5</v>
      </c>
    </row>
    <row r="2005" customHeight="1" spans="1:45">
      <c r="A2005" s="3" t="str">
        <f>IF(对接源_02物料!$C805="","",对接源_02物料!$C805)</f>
        <v/>
      </c>
      <c r="B2005" s="3">
        <f t="shared" si="537"/>
        <v>0</v>
      </c>
      <c r="C2005" s="3">
        <f t="shared" si="538"/>
        <v>21</v>
      </c>
      <c r="K2005" s="3">
        <f>IF(OR($K$1="",对接源_02物料!$C805="",对接源_02物料!$C805&lt;&gt;$K$1,对接源_02物料!$B805=""),0,IF(OR(N(对接源_02物料!$B805)&lt;$K$2,N(对接源_02物料!$B805)&gt;$K$3),0,1))</f>
        <v>0</v>
      </c>
      <c r="L2005" s="3">
        <f>IF(OR($L$1="",对接源_02物料!$C805="",对接源_02物料!$C805&lt;&gt;$L$1,对接源_02物料!$B805=""),0,IF(OR(N(对接源_02物料!$B805)&lt;$L$2,N(对接源_02物料!$B805)&gt;$L$3),0,1))</f>
        <v>0</v>
      </c>
      <c r="M2005" s="3">
        <f>IF(OR($M$1="",对接源_02物料!$C805="",对接源_02物料!$C805&lt;&gt;$M$1,对接源_02物料!$B805=""),0,IF(OR(N(对接源_02物料!$B805)&lt;$M$2,N(对接源_02物料!$B805)&gt;$M$3),0,1))</f>
        <v>0</v>
      </c>
      <c r="N2005" s="3">
        <f>IF(OR($N$1="",对接源_02物料!$C805="",对接源_02物料!$C805&lt;&gt;$N$1,对接源_02物料!$B805=""),0,IF(OR(N(对接源_02物料!$B805)&lt;$N$2,N(对接源_02物料!$B805)&gt;$N$3),0,1))</f>
        <v>0</v>
      </c>
      <c r="P2005" s="3">
        <f>IF(AND($K2005=1,AND(对接源_02物料!$X805="公司筐",N(对接源_02物料!$T805)&lt;&gt;0)),1,0)</f>
        <v>0</v>
      </c>
      <c r="Q2005" s="3">
        <f t="shared" si="539"/>
        <v>8</v>
      </c>
      <c r="R2005" s="3">
        <f>IF(AND($K2005=1,AND(对接源_02物料!$X805="公司筐",N(对接源_02物料!$U805)&lt;&gt;0)),1,0)</f>
        <v>0</v>
      </c>
      <c r="S2005" s="3">
        <f t="shared" si="540"/>
        <v>0</v>
      </c>
      <c r="T2005" s="3">
        <f>IF(AND($K2005=1,AND(对接源_02物料!$X805="公司筐",N(对接源_02物料!$V805)&lt;&gt;0)),1,0)</f>
        <v>0</v>
      </c>
      <c r="U2005" s="3">
        <f t="shared" si="541"/>
        <v>19</v>
      </c>
      <c r="V2005" s="3">
        <f>IF(AND($L2005=1,AND(对接源_02物料!$X805="自备筐",N(对接源_02物料!$V805)&lt;&gt;0)),1,0)</f>
        <v>0</v>
      </c>
      <c r="W2005" s="3">
        <f t="shared" si="542"/>
        <v>8</v>
      </c>
      <c r="X2005" s="3">
        <f>IF(AND($L2005=1,AND(对接源_02物料!$X805="自备筐",N(对接源_02物料!$T805)&lt;&gt;0)),1,0)</f>
        <v>0</v>
      </c>
      <c r="Y2005" s="3">
        <f t="shared" si="543"/>
        <v>0</v>
      </c>
      <c r="Z2005" s="3">
        <f>IF(AND($M2005=1,对接源_02物料!$D805="原料入库"),1,0)</f>
        <v>0</v>
      </c>
      <c r="AA2005" s="3">
        <f t="shared" si="544"/>
        <v>24</v>
      </c>
      <c r="AB2005" s="3">
        <f>IF(AND($M2005=1,LEFT(对接源_02物料!$D805,4)="原料出库"),1,0)</f>
        <v>0</v>
      </c>
      <c r="AC2005" s="3">
        <f t="shared" si="545"/>
        <v>0</v>
      </c>
      <c r="AD2005" s="3">
        <f>IF(AND($M2005=1,LEFT(对接源_02物料!$D805,4)="成品出库"),1,0)</f>
        <v>0</v>
      </c>
      <c r="AE2005" s="3">
        <f t="shared" si="546"/>
        <v>0</v>
      </c>
      <c r="AF2005" s="3">
        <f>IF(AND($N2005=1,AND(LEFT(对接源_02物料!$D805,4)="包装物料",N(对接源_02物料!$K805)&lt;&gt;0)),1,0)</f>
        <v>0</v>
      </c>
      <c r="AG2005" s="3">
        <f t="shared" si="547"/>
        <v>5</v>
      </c>
      <c r="AH2005" s="3">
        <f>IF(AND($N2005=1,AND(对接源_02物料!$D805="周转筐－销售出库",N(对接源_02物料!$K805)&lt;&gt;0)),1,0)</f>
        <v>0</v>
      </c>
      <c r="AI2005" s="3">
        <f t="shared" si="548"/>
        <v>0</v>
      </c>
      <c r="AL2005" s="3">
        <v>0</v>
      </c>
      <c r="AM2005" s="3">
        <f t="shared" si="549"/>
        <v>1</v>
      </c>
      <c r="AN2005" s="3" t="str">
        <f t="shared" si="536"/>
        <v/>
      </c>
      <c r="AO2005" s="3">
        <v>0</v>
      </c>
      <c r="AP2005" s="3">
        <f t="shared" si="550"/>
        <v>8</v>
      </c>
      <c r="AR2005">
        <f t="shared" si="551"/>
        <v>0</v>
      </c>
      <c r="AS2005">
        <f t="shared" si="552"/>
        <v>5</v>
      </c>
    </row>
    <row r="2006" customHeight="1" spans="1:45">
      <c r="A2006" s="3" t="str">
        <f>IF(对接源_02物料!$C806="","",对接源_02物料!$C806)</f>
        <v/>
      </c>
      <c r="B2006" s="3">
        <f t="shared" si="537"/>
        <v>0</v>
      </c>
      <c r="C2006" s="3">
        <f t="shared" si="538"/>
        <v>21</v>
      </c>
      <c r="K2006" s="3">
        <f>IF(OR($K$1="",对接源_02物料!$C806="",对接源_02物料!$C806&lt;&gt;$K$1,对接源_02物料!$B806=""),0,IF(OR(N(对接源_02物料!$B806)&lt;$K$2,N(对接源_02物料!$B806)&gt;$K$3),0,1))</f>
        <v>0</v>
      </c>
      <c r="L2006" s="3">
        <f>IF(OR($L$1="",对接源_02物料!$C806="",对接源_02物料!$C806&lt;&gt;$L$1,对接源_02物料!$B806=""),0,IF(OR(N(对接源_02物料!$B806)&lt;$L$2,N(对接源_02物料!$B806)&gt;$L$3),0,1))</f>
        <v>0</v>
      </c>
      <c r="M2006" s="3">
        <f>IF(OR($M$1="",对接源_02物料!$C806="",对接源_02物料!$C806&lt;&gt;$M$1,对接源_02物料!$B806=""),0,IF(OR(N(对接源_02物料!$B806)&lt;$M$2,N(对接源_02物料!$B806)&gt;$M$3),0,1))</f>
        <v>0</v>
      </c>
      <c r="N2006" s="3">
        <f>IF(OR($N$1="",对接源_02物料!$C806="",对接源_02物料!$C806&lt;&gt;$N$1,对接源_02物料!$B806=""),0,IF(OR(N(对接源_02物料!$B806)&lt;$N$2,N(对接源_02物料!$B806)&gt;$N$3),0,1))</f>
        <v>0</v>
      </c>
      <c r="P2006" s="3">
        <f>IF(AND($K2006=1,AND(对接源_02物料!$X806="公司筐",N(对接源_02物料!$T806)&lt;&gt;0)),1,0)</f>
        <v>0</v>
      </c>
      <c r="Q2006" s="3">
        <f t="shared" si="539"/>
        <v>8</v>
      </c>
      <c r="R2006" s="3">
        <f>IF(AND($K2006=1,AND(对接源_02物料!$X806="公司筐",N(对接源_02物料!$U806)&lt;&gt;0)),1,0)</f>
        <v>0</v>
      </c>
      <c r="S2006" s="3">
        <f t="shared" si="540"/>
        <v>0</v>
      </c>
      <c r="T2006" s="3">
        <f>IF(AND($K2006=1,AND(对接源_02物料!$X806="公司筐",N(对接源_02物料!$V806)&lt;&gt;0)),1,0)</f>
        <v>0</v>
      </c>
      <c r="U2006" s="3">
        <f t="shared" si="541"/>
        <v>19</v>
      </c>
      <c r="V2006" s="3">
        <f>IF(AND($L2006=1,AND(对接源_02物料!$X806="自备筐",N(对接源_02物料!$V806)&lt;&gt;0)),1,0)</f>
        <v>0</v>
      </c>
      <c r="W2006" s="3">
        <f t="shared" si="542"/>
        <v>8</v>
      </c>
      <c r="X2006" s="3">
        <f>IF(AND($L2006=1,AND(对接源_02物料!$X806="自备筐",N(对接源_02物料!$T806)&lt;&gt;0)),1,0)</f>
        <v>0</v>
      </c>
      <c r="Y2006" s="3">
        <f t="shared" si="543"/>
        <v>0</v>
      </c>
      <c r="Z2006" s="3">
        <f>IF(AND($M2006=1,对接源_02物料!$D806="原料入库"),1,0)</f>
        <v>0</v>
      </c>
      <c r="AA2006" s="3">
        <f t="shared" si="544"/>
        <v>24</v>
      </c>
      <c r="AB2006" s="3">
        <f>IF(AND($M2006=1,LEFT(对接源_02物料!$D806,4)="原料出库"),1,0)</f>
        <v>0</v>
      </c>
      <c r="AC2006" s="3">
        <f t="shared" si="545"/>
        <v>0</v>
      </c>
      <c r="AD2006" s="3">
        <f>IF(AND($M2006=1,LEFT(对接源_02物料!$D806,4)="成品出库"),1,0)</f>
        <v>0</v>
      </c>
      <c r="AE2006" s="3">
        <f t="shared" si="546"/>
        <v>0</v>
      </c>
      <c r="AF2006" s="3">
        <f>IF(AND($N2006=1,AND(LEFT(对接源_02物料!$D806,4)="包装物料",N(对接源_02物料!$K806)&lt;&gt;0)),1,0)</f>
        <v>0</v>
      </c>
      <c r="AG2006" s="3">
        <f t="shared" si="547"/>
        <v>5</v>
      </c>
      <c r="AH2006" s="3">
        <f>IF(AND($N2006=1,AND(对接源_02物料!$D806="周转筐－销售出库",N(对接源_02物料!$K806)&lt;&gt;0)),1,0)</f>
        <v>0</v>
      </c>
      <c r="AI2006" s="3">
        <f t="shared" si="548"/>
        <v>0</v>
      </c>
      <c r="AL2006" s="3">
        <v>0</v>
      </c>
      <c r="AM2006" s="3">
        <f t="shared" si="549"/>
        <v>1</v>
      </c>
      <c r="AN2006" s="3" t="str">
        <f t="shared" si="536"/>
        <v/>
      </c>
      <c r="AO2006" s="3">
        <v>0</v>
      </c>
      <c r="AP2006" s="3">
        <f t="shared" si="550"/>
        <v>8</v>
      </c>
      <c r="AR2006">
        <f t="shared" si="551"/>
        <v>0</v>
      </c>
      <c r="AS2006">
        <f t="shared" si="552"/>
        <v>5</v>
      </c>
    </row>
    <row r="2007" customHeight="1" spans="1:45">
      <c r="A2007" s="3" t="str">
        <f>IF(对接源_02物料!$C807="","",对接源_02物料!$C807)</f>
        <v/>
      </c>
      <c r="B2007" s="3">
        <f t="shared" si="537"/>
        <v>0</v>
      </c>
      <c r="C2007" s="3">
        <f t="shared" si="538"/>
        <v>21</v>
      </c>
      <c r="K2007" s="3">
        <f>IF(OR($K$1="",对接源_02物料!$C807="",对接源_02物料!$C807&lt;&gt;$K$1,对接源_02物料!$B807=""),0,IF(OR(N(对接源_02物料!$B807)&lt;$K$2,N(对接源_02物料!$B807)&gt;$K$3),0,1))</f>
        <v>0</v>
      </c>
      <c r="L2007" s="3">
        <f>IF(OR($L$1="",对接源_02物料!$C807="",对接源_02物料!$C807&lt;&gt;$L$1,对接源_02物料!$B807=""),0,IF(OR(N(对接源_02物料!$B807)&lt;$L$2,N(对接源_02物料!$B807)&gt;$L$3),0,1))</f>
        <v>0</v>
      </c>
      <c r="M2007" s="3">
        <f>IF(OR($M$1="",对接源_02物料!$C807="",对接源_02物料!$C807&lt;&gt;$M$1,对接源_02物料!$B807=""),0,IF(OR(N(对接源_02物料!$B807)&lt;$M$2,N(对接源_02物料!$B807)&gt;$M$3),0,1))</f>
        <v>0</v>
      </c>
      <c r="N2007" s="3">
        <f>IF(OR($N$1="",对接源_02物料!$C807="",对接源_02物料!$C807&lt;&gt;$N$1,对接源_02物料!$B807=""),0,IF(OR(N(对接源_02物料!$B807)&lt;$N$2,N(对接源_02物料!$B807)&gt;$N$3),0,1))</f>
        <v>0</v>
      </c>
      <c r="P2007" s="3">
        <f>IF(AND($K2007=1,AND(对接源_02物料!$X807="公司筐",N(对接源_02物料!$T807)&lt;&gt;0)),1,0)</f>
        <v>0</v>
      </c>
      <c r="Q2007" s="3">
        <f t="shared" si="539"/>
        <v>8</v>
      </c>
      <c r="R2007" s="3">
        <f>IF(AND($K2007=1,AND(对接源_02物料!$X807="公司筐",N(对接源_02物料!$U807)&lt;&gt;0)),1,0)</f>
        <v>0</v>
      </c>
      <c r="S2007" s="3">
        <f t="shared" si="540"/>
        <v>0</v>
      </c>
      <c r="T2007" s="3">
        <f>IF(AND($K2007=1,AND(对接源_02物料!$X807="公司筐",N(对接源_02物料!$V807)&lt;&gt;0)),1,0)</f>
        <v>0</v>
      </c>
      <c r="U2007" s="3">
        <f t="shared" si="541"/>
        <v>19</v>
      </c>
      <c r="V2007" s="3">
        <f>IF(AND($L2007=1,AND(对接源_02物料!$X807="自备筐",N(对接源_02物料!$V807)&lt;&gt;0)),1,0)</f>
        <v>0</v>
      </c>
      <c r="W2007" s="3">
        <f t="shared" si="542"/>
        <v>8</v>
      </c>
      <c r="X2007" s="3">
        <f>IF(AND($L2007=1,AND(对接源_02物料!$X807="自备筐",N(对接源_02物料!$T807)&lt;&gt;0)),1,0)</f>
        <v>0</v>
      </c>
      <c r="Y2007" s="3">
        <f t="shared" si="543"/>
        <v>0</v>
      </c>
      <c r="Z2007" s="3">
        <f>IF(AND($M2007=1,对接源_02物料!$D807="原料入库"),1,0)</f>
        <v>0</v>
      </c>
      <c r="AA2007" s="3">
        <f t="shared" si="544"/>
        <v>24</v>
      </c>
      <c r="AB2007" s="3">
        <f>IF(AND($M2007=1,LEFT(对接源_02物料!$D807,4)="原料出库"),1,0)</f>
        <v>0</v>
      </c>
      <c r="AC2007" s="3">
        <f t="shared" si="545"/>
        <v>0</v>
      </c>
      <c r="AD2007" s="3">
        <f>IF(AND($M2007=1,LEFT(对接源_02物料!$D807,4)="成品出库"),1,0)</f>
        <v>0</v>
      </c>
      <c r="AE2007" s="3">
        <f t="shared" si="546"/>
        <v>0</v>
      </c>
      <c r="AF2007" s="3">
        <f>IF(AND($N2007=1,AND(LEFT(对接源_02物料!$D807,4)="包装物料",N(对接源_02物料!$K807)&lt;&gt;0)),1,0)</f>
        <v>0</v>
      </c>
      <c r="AG2007" s="3">
        <f t="shared" si="547"/>
        <v>5</v>
      </c>
      <c r="AH2007" s="3">
        <f>IF(AND($N2007=1,AND(对接源_02物料!$D807="周转筐－销售出库",N(对接源_02物料!$K807)&lt;&gt;0)),1,0)</f>
        <v>0</v>
      </c>
      <c r="AI2007" s="3">
        <f t="shared" si="548"/>
        <v>0</v>
      </c>
      <c r="AL2007" s="3">
        <v>0</v>
      </c>
      <c r="AM2007" s="3">
        <f t="shared" si="549"/>
        <v>1</v>
      </c>
      <c r="AN2007" s="3" t="str">
        <f t="shared" si="536"/>
        <v/>
      </c>
      <c r="AO2007" s="3">
        <v>0</v>
      </c>
      <c r="AP2007" s="3">
        <f t="shared" si="550"/>
        <v>8</v>
      </c>
      <c r="AR2007">
        <f t="shared" si="551"/>
        <v>0</v>
      </c>
      <c r="AS2007">
        <f t="shared" si="552"/>
        <v>5</v>
      </c>
    </row>
    <row r="2008" customHeight="1" spans="1:45">
      <c r="A2008" s="3" t="str">
        <f>IF(对接源_02物料!$C808="","",对接源_02物料!$C808)</f>
        <v/>
      </c>
      <c r="B2008" s="3">
        <f t="shared" si="537"/>
        <v>0</v>
      </c>
      <c r="C2008" s="3">
        <f t="shared" si="538"/>
        <v>21</v>
      </c>
      <c r="K2008" s="3">
        <f>IF(OR($K$1="",对接源_02物料!$C808="",对接源_02物料!$C808&lt;&gt;$K$1,对接源_02物料!$B808=""),0,IF(OR(N(对接源_02物料!$B808)&lt;$K$2,N(对接源_02物料!$B808)&gt;$K$3),0,1))</f>
        <v>0</v>
      </c>
      <c r="L2008" s="3">
        <f>IF(OR($L$1="",对接源_02物料!$C808="",对接源_02物料!$C808&lt;&gt;$L$1,对接源_02物料!$B808=""),0,IF(OR(N(对接源_02物料!$B808)&lt;$L$2,N(对接源_02物料!$B808)&gt;$L$3),0,1))</f>
        <v>0</v>
      </c>
      <c r="M2008" s="3">
        <f>IF(OR($M$1="",对接源_02物料!$C808="",对接源_02物料!$C808&lt;&gt;$M$1,对接源_02物料!$B808=""),0,IF(OR(N(对接源_02物料!$B808)&lt;$M$2,N(对接源_02物料!$B808)&gt;$M$3),0,1))</f>
        <v>0</v>
      </c>
      <c r="N2008" s="3">
        <f>IF(OR($N$1="",对接源_02物料!$C808="",对接源_02物料!$C808&lt;&gt;$N$1,对接源_02物料!$B808=""),0,IF(OR(N(对接源_02物料!$B808)&lt;$N$2,N(对接源_02物料!$B808)&gt;$N$3),0,1))</f>
        <v>0</v>
      </c>
      <c r="P2008" s="3">
        <f>IF(AND($K2008=1,AND(对接源_02物料!$X808="公司筐",N(对接源_02物料!$T808)&lt;&gt;0)),1,0)</f>
        <v>0</v>
      </c>
      <c r="Q2008" s="3">
        <f t="shared" si="539"/>
        <v>8</v>
      </c>
      <c r="R2008" s="3">
        <f>IF(AND($K2008=1,AND(对接源_02物料!$X808="公司筐",N(对接源_02物料!$U808)&lt;&gt;0)),1,0)</f>
        <v>0</v>
      </c>
      <c r="S2008" s="3">
        <f t="shared" si="540"/>
        <v>0</v>
      </c>
      <c r="T2008" s="3">
        <f>IF(AND($K2008=1,AND(对接源_02物料!$X808="公司筐",N(对接源_02物料!$V808)&lt;&gt;0)),1,0)</f>
        <v>0</v>
      </c>
      <c r="U2008" s="3">
        <f t="shared" si="541"/>
        <v>19</v>
      </c>
      <c r="V2008" s="3">
        <f>IF(AND($L2008=1,AND(对接源_02物料!$X808="自备筐",N(对接源_02物料!$V808)&lt;&gt;0)),1,0)</f>
        <v>0</v>
      </c>
      <c r="W2008" s="3">
        <f t="shared" si="542"/>
        <v>8</v>
      </c>
      <c r="X2008" s="3">
        <f>IF(AND($L2008=1,AND(对接源_02物料!$X808="自备筐",N(对接源_02物料!$T808)&lt;&gt;0)),1,0)</f>
        <v>0</v>
      </c>
      <c r="Y2008" s="3">
        <f t="shared" si="543"/>
        <v>0</v>
      </c>
      <c r="Z2008" s="3">
        <f>IF(AND($M2008=1,对接源_02物料!$D808="原料入库"),1,0)</f>
        <v>0</v>
      </c>
      <c r="AA2008" s="3">
        <f t="shared" si="544"/>
        <v>24</v>
      </c>
      <c r="AB2008" s="3">
        <f>IF(AND($M2008=1,LEFT(对接源_02物料!$D808,4)="原料出库"),1,0)</f>
        <v>0</v>
      </c>
      <c r="AC2008" s="3">
        <f t="shared" si="545"/>
        <v>0</v>
      </c>
      <c r="AD2008" s="3">
        <f>IF(AND($M2008=1,LEFT(对接源_02物料!$D808,4)="成品出库"),1,0)</f>
        <v>0</v>
      </c>
      <c r="AE2008" s="3">
        <f t="shared" si="546"/>
        <v>0</v>
      </c>
      <c r="AF2008" s="3">
        <f>IF(AND($N2008=1,AND(LEFT(对接源_02物料!$D808,4)="包装物料",N(对接源_02物料!$K808)&lt;&gt;0)),1,0)</f>
        <v>0</v>
      </c>
      <c r="AG2008" s="3">
        <f t="shared" si="547"/>
        <v>5</v>
      </c>
      <c r="AH2008" s="3">
        <f>IF(AND($N2008=1,AND(对接源_02物料!$D808="周转筐－销售出库",N(对接源_02物料!$K808)&lt;&gt;0)),1,0)</f>
        <v>0</v>
      </c>
      <c r="AI2008" s="3">
        <f t="shared" si="548"/>
        <v>0</v>
      </c>
      <c r="AL2008" s="3">
        <v>0</v>
      </c>
      <c r="AM2008" s="3">
        <f t="shared" si="549"/>
        <v>1</v>
      </c>
      <c r="AN2008" s="3" t="str">
        <f t="shared" si="536"/>
        <v/>
      </c>
      <c r="AO2008" s="3">
        <v>0</v>
      </c>
      <c r="AP2008" s="3">
        <f t="shared" si="550"/>
        <v>8</v>
      </c>
      <c r="AR2008">
        <f t="shared" si="551"/>
        <v>0</v>
      </c>
      <c r="AS2008">
        <f t="shared" si="552"/>
        <v>5</v>
      </c>
    </row>
    <row r="2009" customHeight="1" spans="1:45">
      <c r="A2009" s="3" t="str">
        <f>IF(对接源_02物料!$C809="","",对接源_02物料!$C809)</f>
        <v/>
      </c>
      <c r="B2009" s="3">
        <f t="shared" si="537"/>
        <v>0</v>
      </c>
      <c r="C2009" s="3">
        <f t="shared" si="538"/>
        <v>21</v>
      </c>
      <c r="K2009" s="3">
        <f>IF(OR($K$1="",对接源_02物料!$C809="",对接源_02物料!$C809&lt;&gt;$K$1,对接源_02物料!$B809=""),0,IF(OR(N(对接源_02物料!$B809)&lt;$K$2,N(对接源_02物料!$B809)&gt;$K$3),0,1))</f>
        <v>0</v>
      </c>
      <c r="L2009" s="3">
        <f>IF(OR($L$1="",对接源_02物料!$C809="",对接源_02物料!$C809&lt;&gt;$L$1,对接源_02物料!$B809=""),0,IF(OR(N(对接源_02物料!$B809)&lt;$L$2,N(对接源_02物料!$B809)&gt;$L$3),0,1))</f>
        <v>0</v>
      </c>
      <c r="M2009" s="3">
        <f>IF(OR($M$1="",对接源_02物料!$C809="",对接源_02物料!$C809&lt;&gt;$M$1,对接源_02物料!$B809=""),0,IF(OR(N(对接源_02物料!$B809)&lt;$M$2,N(对接源_02物料!$B809)&gt;$M$3),0,1))</f>
        <v>0</v>
      </c>
      <c r="N2009" s="3">
        <f>IF(OR($N$1="",对接源_02物料!$C809="",对接源_02物料!$C809&lt;&gt;$N$1,对接源_02物料!$B809=""),0,IF(OR(N(对接源_02物料!$B809)&lt;$N$2,N(对接源_02物料!$B809)&gt;$N$3),0,1))</f>
        <v>0</v>
      </c>
      <c r="P2009" s="3">
        <f>IF(AND($K2009=1,AND(对接源_02物料!$X809="公司筐",N(对接源_02物料!$T809)&lt;&gt;0)),1,0)</f>
        <v>0</v>
      </c>
      <c r="Q2009" s="3">
        <f t="shared" si="539"/>
        <v>8</v>
      </c>
      <c r="R2009" s="3">
        <f>IF(AND($K2009=1,AND(对接源_02物料!$X809="公司筐",N(对接源_02物料!$U809)&lt;&gt;0)),1,0)</f>
        <v>0</v>
      </c>
      <c r="S2009" s="3">
        <f t="shared" si="540"/>
        <v>0</v>
      </c>
      <c r="T2009" s="3">
        <f>IF(AND($K2009=1,AND(对接源_02物料!$X809="公司筐",N(对接源_02物料!$V809)&lt;&gt;0)),1,0)</f>
        <v>0</v>
      </c>
      <c r="U2009" s="3">
        <f t="shared" si="541"/>
        <v>19</v>
      </c>
      <c r="V2009" s="3">
        <f>IF(AND($L2009=1,AND(对接源_02物料!$X809="自备筐",N(对接源_02物料!$V809)&lt;&gt;0)),1,0)</f>
        <v>0</v>
      </c>
      <c r="W2009" s="3">
        <f t="shared" si="542"/>
        <v>8</v>
      </c>
      <c r="X2009" s="3">
        <f>IF(AND($L2009=1,AND(对接源_02物料!$X809="自备筐",N(对接源_02物料!$T809)&lt;&gt;0)),1,0)</f>
        <v>0</v>
      </c>
      <c r="Y2009" s="3">
        <f t="shared" si="543"/>
        <v>0</v>
      </c>
      <c r="Z2009" s="3">
        <f>IF(AND($M2009=1,对接源_02物料!$D809="原料入库"),1,0)</f>
        <v>0</v>
      </c>
      <c r="AA2009" s="3">
        <f t="shared" si="544"/>
        <v>24</v>
      </c>
      <c r="AB2009" s="3">
        <f>IF(AND($M2009=1,LEFT(对接源_02物料!$D809,4)="原料出库"),1,0)</f>
        <v>0</v>
      </c>
      <c r="AC2009" s="3">
        <f t="shared" si="545"/>
        <v>0</v>
      </c>
      <c r="AD2009" s="3">
        <f>IF(AND($M2009=1,LEFT(对接源_02物料!$D809,4)="成品出库"),1,0)</f>
        <v>0</v>
      </c>
      <c r="AE2009" s="3">
        <f t="shared" si="546"/>
        <v>0</v>
      </c>
      <c r="AF2009" s="3">
        <f>IF(AND($N2009=1,AND(LEFT(对接源_02物料!$D809,4)="包装物料",N(对接源_02物料!$K809)&lt;&gt;0)),1,0)</f>
        <v>0</v>
      </c>
      <c r="AG2009" s="3">
        <f t="shared" si="547"/>
        <v>5</v>
      </c>
      <c r="AH2009" s="3">
        <f>IF(AND($N2009=1,AND(对接源_02物料!$D809="周转筐－销售出库",N(对接源_02物料!$K809)&lt;&gt;0)),1,0)</f>
        <v>0</v>
      </c>
      <c r="AI2009" s="3">
        <f t="shared" si="548"/>
        <v>0</v>
      </c>
      <c r="AL2009" s="3">
        <v>0</v>
      </c>
      <c r="AM2009" s="3">
        <f t="shared" si="549"/>
        <v>1</v>
      </c>
      <c r="AN2009" s="3" t="str">
        <f t="shared" si="536"/>
        <v/>
      </c>
      <c r="AO2009" s="3">
        <v>0</v>
      </c>
      <c r="AP2009" s="3">
        <f t="shared" si="550"/>
        <v>8</v>
      </c>
      <c r="AR2009">
        <f t="shared" si="551"/>
        <v>0</v>
      </c>
      <c r="AS2009">
        <f t="shared" si="552"/>
        <v>5</v>
      </c>
    </row>
    <row r="2010" customHeight="1" spans="1:45">
      <c r="A2010" s="3" t="str">
        <f>IF(对接源_02物料!$C810="","",对接源_02物料!$C810)</f>
        <v/>
      </c>
      <c r="B2010" s="3">
        <f t="shared" si="537"/>
        <v>0</v>
      </c>
      <c r="C2010" s="3">
        <f t="shared" si="538"/>
        <v>21</v>
      </c>
      <c r="K2010" s="3">
        <f>IF(OR($K$1="",对接源_02物料!$C810="",对接源_02物料!$C810&lt;&gt;$K$1,对接源_02物料!$B810=""),0,IF(OR(N(对接源_02物料!$B810)&lt;$K$2,N(对接源_02物料!$B810)&gt;$K$3),0,1))</f>
        <v>0</v>
      </c>
      <c r="L2010" s="3">
        <f>IF(OR($L$1="",对接源_02物料!$C810="",对接源_02物料!$C810&lt;&gt;$L$1,对接源_02物料!$B810=""),0,IF(OR(N(对接源_02物料!$B810)&lt;$L$2,N(对接源_02物料!$B810)&gt;$L$3),0,1))</f>
        <v>0</v>
      </c>
      <c r="M2010" s="3">
        <f>IF(OR($M$1="",对接源_02物料!$C810="",对接源_02物料!$C810&lt;&gt;$M$1,对接源_02物料!$B810=""),0,IF(OR(N(对接源_02物料!$B810)&lt;$M$2,N(对接源_02物料!$B810)&gt;$M$3),0,1))</f>
        <v>0</v>
      </c>
      <c r="N2010" s="3">
        <f>IF(OR($N$1="",对接源_02物料!$C810="",对接源_02物料!$C810&lt;&gt;$N$1,对接源_02物料!$B810=""),0,IF(OR(N(对接源_02物料!$B810)&lt;$N$2,N(对接源_02物料!$B810)&gt;$N$3),0,1))</f>
        <v>0</v>
      </c>
      <c r="P2010" s="3">
        <f>IF(AND($K2010=1,AND(对接源_02物料!$X810="公司筐",N(对接源_02物料!$T810)&lt;&gt;0)),1,0)</f>
        <v>0</v>
      </c>
      <c r="Q2010" s="3">
        <f t="shared" si="539"/>
        <v>8</v>
      </c>
      <c r="R2010" s="3">
        <f>IF(AND($K2010=1,AND(对接源_02物料!$X810="公司筐",N(对接源_02物料!$U810)&lt;&gt;0)),1,0)</f>
        <v>0</v>
      </c>
      <c r="S2010" s="3">
        <f t="shared" si="540"/>
        <v>0</v>
      </c>
      <c r="T2010" s="3">
        <f>IF(AND($K2010=1,AND(对接源_02物料!$X810="公司筐",N(对接源_02物料!$V810)&lt;&gt;0)),1,0)</f>
        <v>0</v>
      </c>
      <c r="U2010" s="3">
        <f t="shared" si="541"/>
        <v>19</v>
      </c>
      <c r="V2010" s="3">
        <f>IF(AND($L2010=1,AND(对接源_02物料!$X810="自备筐",N(对接源_02物料!$V810)&lt;&gt;0)),1,0)</f>
        <v>0</v>
      </c>
      <c r="W2010" s="3">
        <f t="shared" si="542"/>
        <v>8</v>
      </c>
      <c r="X2010" s="3">
        <f>IF(AND($L2010=1,AND(对接源_02物料!$X810="自备筐",N(对接源_02物料!$T810)&lt;&gt;0)),1,0)</f>
        <v>0</v>
      </c>
      <c r="Y2010" s="3">
        <f t="shared" si="543"/>
        <v>0</v>
      </c>
      <c r="Z2010" s="3">
        <f>IF(AND($M2010=1,对接源_02物料!$D810="原料入库"),1,0)</f>
        <v>0</v>
      </c>
      <c r="AA2010" s="3">
        <f t="shared" si="544"/>
        <v>24</v>
      </c>
      <c r="AB2010" s="3">
        <f>IF(AND($M2010=1,LEFT(对接源_02物料!$D810,4)="原料出库"),1,0)</f>
        <v>0</v>
      </c>
      <c r="AC2010" s="3">
        <f t="shared" si="545"/>
        <v>0</v>
      </c>
      <c r="AD2010" s="3">
        <f>IF(AND($M2010=1,LEFT(对接源_02物料!$D810,4)="成品出库"),1,0)</f>
        <v>0</v>
      </c>
      <c r="AE2010" s="3">
        <f t="shared" si="546"/>
        <v>0</v>
      </c>
      <c r="AF2010" s="3">
        <f>IF(AND($N2010=1,AND(LEFT(对接源_02物料!$D810,4)="包装物料",N(对接源_02物料!$K810)&lt;&gt;0)),1,0)</f>
        <v>0</v>
      </c>
      <c r="AG2010" s="3">
        <f t="shared" si="547"/>
        <v>5</v>
      </c>
      <c r="AH2010" s="3">
        <f>IF(AND($N2010=1,AND(对接源_02物料!$D810="周转筐－销售出库",N(对接源_02物料!$K810)&lt;&gt;0)),1,0)</f>
        <v>0</v>
      </c>
      <c r="AI2010" s="3">
        <f t="shared" si="548"/>
        <v>0</v>
      </c>
      <c r="AL2010" s="3">
        <v>0</v>
      </c>
      <c r="AM2010" s="3">
        <f t="shared" si="549"/>
        <v>1</v>
      </c>
      <c r="AN2010" s="3" t="str">
        <f t="shared" si="536"/>
        <v/>
      </c>
      <c r="AO2010" s="3">
        <v>0</v>
      </c>
      <c r="AP2010" s="3">
        <f t="shared" si="550"/>
        <v>8</v>
      </c>
      <c r="AR2010">
        <f t="shared" si="551"/>
        <v>0</v>
      </c>
      <c r="AS2010">
        <f t="shared" si="552"/>
        <v>5</v>
      </c>
    </row>
    <row r="2011" customHeight="1" spans="1:45">
      <c r="A2011" s="3" t="str">
        <f>IF(对接源_02物料!$C811="","",对接源_02物料!$C811)</f>
        <v/>
      </c>
      <c r="B2011" s="3">
        <f t="shared" si="537"/>
        <v>0</v>
      </c>
      <c r="C2011" s="3">
        <f t="shared" si="538"/>
        <v>21</v>
      </c>
      <c r="K2011" s="3">
        <f>IF(OR($K$1="",对接源_02物料!$C811="",对接源_02物料!$C811&lt;&gt;$K$1,对接源_02物料!$B811=""),0,IF(OR(N(对接源_02物料!$B811)&lt;$K$2,N(对接源_02物料!$B811)&gt;$K$3),0,1))</f>
        <v>0</v>
      </c>
      <c r="L2011" s="3">
        <f>IF(OR($L$1="",对接源_02物料!$C811="",对接源_02物料!$C811&lt;&gt;$L$1,对接源_02物料!$B811=""),0,IF(OR(N(对接源_02物料!$B811)&lt;$L$2,N(对接源_02物料!$B811)&gt;$L$3),0,1))</f>
        <v>0</v>
      </c>
      <c r="M2011" s="3">
        <f>IF(OR($M$1="",对接源_02物料!$C811="",对接源_02物料!$C811&lt;&gt;$M$1,对接源_02物料!$B811=""),0,IF(OR(N(对接源_02物料!$B811)&lt;$M$2,N(对接源_02物料!$B811)&gt;$M$3),0,1))</f>
        <v>0</v>
      </c>
      <c r="N2011" s="3">
        <f>IF(OR($N$1="",对接源_02物料!$C811="",对接源_02物料!$C811&lt;&gt;$N$1,对接源_02物料!$B811=""),0,IF(OR(N(对接源_02物料!$B811)&lt;$N$2,N(对接源_02物料!$B811)&gt;$N$3),0,1))</f>
        <v>0</v>
      </c>
      <c r="P2011" s="3">
        <f>IF(AND($K2011=1,AND(对接源_02物料!$X811="公司筐",N(对接源_02物料!$T811)&lt;&gt;0)),1,0)</f>
        <v>0</v>
      </c>
      <c r="Q2011" s="3">
        <f t="shared" si="539"/>
        <v>8</v>
      </c>
      <c r="R2011" s="3">
        <f>IF(AND($K2011=1,AND(对接源_02物料!$X811="公司筐",N(对接源_02物料!$U811)&lt;&gt;0)),1,0)</f>
        <v>0</v>
      </c>
      <c r="S2011" s="3">
        <f t="shared" si="540"/>
        <v>0</v>
      </c>
      <c r="T2011" s="3">
        <f>IF(AND($K2011=1,AND(对接源_02物料!$X811="公司筐",N(对接源_02物料!$V811)&lt;&gt;0)),1,0)</f>
        <v>0</v>
      </c>
      <c r="U2011" s="3">
        <f t="shared" si="541"/>
        <v>19</v>
      </c>
      <c r="V2011" s="3">
        <f>IF(AND($L2011=1,AND(对接源_02物料!$X811="自备筐",N(对接源_02物料!$V811)&lt;&gt;0)),1,0)</f>
        <v>0</v>
      </c>
      <c r="W2011" s="3">
        <f t="shared" si="542"/>
        <v>8</v>
      </c>
      <c r="X2011" s="3">
        <f>IF(AND($L2011=1,AND(对接源_02物料!$X811="自备筐",N(对接源_02物料!$T811)&lt;&gt;0)),1,0)</f>
        <v>0</v>
      </c>
      <c r="Y2011" s="3">
        <f t="shared" si="543"/>
        <v>0</v>
      </c>
      <c r="Z2011" s="3">
        <f>IF(AND($M2011=1,对接源_02物料!$D811="原料入库"),1,0)</f>
        <v>0</v>
      </c>
      <c r="AA2011" s="3">
        <f t="shared" si="544"/>
        <v>24</v>
      </c>
      <c r="AB2011" s="3">
        <f>IF(AND($M2011=1,LEFT(对接源_02物料!$D811,4)="原料出库"),1,0)</f>
        <v>0</v>
      </c>
      <c r="AC2011" s="3">
        <f t="shared" si="545"/>
        <v>0</v>
      </c>
      <c r="AD2011" s="3">
        <f>IF(AND($M2011=1,LEFT(对接源_02物料!$D811,4)="成品出库"),1,0)</f>
        <v>0</v>
      </c>
      <c r="AE2011" s="3">
        <f t="shared" si="546"/>
        <v>0</v>
      </c>
      <c r="AF2011" s="3">
        <f>IF(AND($N2011=1,AND(LEFT(对接源_02物料!$D811,4)="包装物料",N(对接源_02物料!$K811)&lt;&gt;0)),1,0)</f>
        <v>0</v>
      </c>
      <c r="AG2011" s="3">
        <f t="shared" si="547"/>
        <v>5</v>
      </c>
      <c r="AH2011" s="3">
        <f>IF(AND($N2011=1,AND(对接源_02物料!$D811="周转筐－销售出库",N(对接源_02物料!$K811)&lt;&gt;0)),1,0)</f>
        <v>0</v>
      </c>
      <c r="AI2011" s="3">
        <f t="shared" si="548"/>
        <v>0</v>
      </c>
      <c r="AL2011" s="3">
        <v>0</v>
      </c>
      <c r="AM2011" s="3">
        <f t="shared" si="549"/>
        <v>1</v>
      </c>
      <c r="AN2011" s="3" t="str">
        <f t="shared" si="536"/>
        <v/>
      </c>
      <c r="AO2011" s="3">
        <v>0</v>
      </c>
      <c r="AP2011" s="3">
        <f t="shared" si="550"/>
        <v>8</v>
      </c>
      <c r="AR2011">
        <f t="shared" si="551"/>
        <v>0</v>
      </c>
      <c r="AS2011">
        <f t="shared" si="552"/>
        <v>5</v>
      </c>
    </row>
    <row r="2012" customHeight="1" spans="1:45">
      <c r="A2012" s="3" t="str">
        <f>IF(对接源_02物料!$C812="","",对接源_02物料!$C812)</f>
        <v/>
      </c>
      <c r="B2012" s="3">
        <f t="shared" si="537"/>
        <v>0</v>
      </c>
      <c r="C2012" s="3">
        <f t="shared" si="538"/>
        <v>21</v>
      </c>
      <c r="K2012" s="3">
        <f>IF(OR($K$1="",对接源_02物料!$C812="",对接源_02物料!$C812&lt;&gt;$K$1,对接源_02物料!$B812=""),0,IF(OR(N(对接源_02物料!$B812)&lt;$K$2,N(对接源_02物料!$B812)&gt;$K$3),0,1))</f>
        <v>0</v>
      </c>
      <c r="L2012" s="3">
        <f>IF(OR($L$1="",对接源_02物料!$C812="",对接源_02物料!$C812&lt;&gt;$L$1,对接源_02物料!$B812=""),0,IF(OR(N(对接源_02物料!$B812)&lt;$L$2,N(对接源_02物料!$B812)&gt;$L$3),0,1))</f>
        <v>0</v>
      </c>
      <c r="M2012" s="3">
        <f>IF(OR($M$1="",对接源_02物料!$C812="",对接源_02物料!$C812&lt;&gt;$M$1,对接源_02物料!$B812=""),0,IF(OR(N(对接源_02物料!$B812)&lt;$M$2,N(对接源_02物料!$B812)&gt;$M$3),0,1))</f>
        <v>0</v>
      </c>
      <c r="N2012" s="3">
        <f>IF(OR($N$1="",对接源_02物料!$C812="",对接源_02物料!$C812&lt;&gt;$N$1,对接源_02物料!$B812=""),0,IF(OR(N(对接源_02物料!$B812)&lt;$N$2,N(对接源_02物料!$B812)&gt;$N$3),0,1))</f>
        <v>0</v>
      </c>
      <c r="P2012" s="3">
        <f>IF(AND($K2012=1,AND(对接源_02物料!$X812="公司筐",N(对接源_02物料!$T812)&lt;&gt;0)),1,0)</f>
        <v>0</v>
      </c>
      <c r="Q2012" s="3">
        <f t="shared" si="539"/>
        <v>8</v>
      </c>
      <c r="R2012" s="3">
        <f>IF(AND($K2012=1,AND(对接源_02物料!$X812="公司筐",N(对接源_02物料!$U812)&lt;&gt;0)),1,0)</f>
        <v>0</v>
      </c>
      <c r="S2012" s="3">
        <f t="shared" si="540"/>
        <v>0</v>
      </c>
      <c r="T2012" s="3">
        <f>IF(AND($K2012=1,AND(对接源_02物料!$X812="公司筐",N(对接源_02物料!$V812)&lt;&gt;0)),1,0)</f>
        <v>0</v>
      </c>
      <c r="U2012" s="3">
        <f t="shared" si="541"/>
        <v>19</v>
      </c>
      <c r="V2012" s="3">
        <f>IF(AND($L2012=1,AND(对接源_02物料!$X812="自备筐",N(对接源_02物料!$V812)&lt;&gt;0)),1,0)</f>
        <v>0</v>
      </c>
      <c r="W2012" s="3">
        <f t="shared" si="542"/>
        <v>8</v>
      </c>
      <c r="X2012" s="3">
        <f>IF(AND($L2012=1,AND(对接源_02物料!$X812="自备筐",N(对接源_02物料!$T812)&lt;&gt;0)),1,0)</f>
        <v>0</v>
      </c>
      <c r="Y2012" s="3">
        <f t="shared" si="543"/>
        <v>0</v>
      </c>
      <c r="Z2012" s="3">
        <f>IF(AND($M2012=1,对接源_02物料!$D812="原料入库"),1,0)</f>
        <v>0</v>
      </c>
      <c r="AA2012" s="3">
        <f t="shared" si="544"/>
        <v>24</v>
      </c>
      <c r="AB2012" s="3">
        <f>IF(AND($M2012=1,LEFT(对接源_02物料!$D812,4)="原料出库"),1,0)</f>
        <v>0</v>
      </c>
      <c r="AC2012" s="3">
        <f t="shared" si="545"/>
        <v>0</v>
      </c>
      <c r="AD2012" s="3">
        <f>IF(AND($M2012=1,LEFT(对接源_02物料!$D812,4)="成品出库"),1,0)</f>
        <v>0</v>
      </c>
      <c r="AE2012" s="3">
        <f t="shared" si="546"/>
        <v>0</v>
      </c>
      <c r="AF2012" s="3">
        <f>IF(AND($N2012=1,AND(LEFT(对接源_02物料!$D812,4)="包装物料",N(对接源_02物料!$K812)&lt;&gt;0)),1,0)</f>
        <v>0</v>
      </c>
      <c r="AG2012" s="3">
        <f t="shared" si="547"/>
        <v>5</v>
      </c>
      <c r="AH2012" s="3">
        <f>IF(AND($N2012=1,AND(对接源_02物料!$D812="周转筐－销售出库",N(对接源_02物料!$K812)&lt;&gt;0)),1,0)</f>
        <v>0</v>
      </c>
      <c r="AI2012" s="3">
        <f t="shared" si="548"/>
        <v>0</v>
      </c>
      <c r="AL2012" s="3">
        <v>0</v>
      </c>
      <c r="AM2012" s="3">
        <f t="shared" si="549"/>
        <v>1</v>
      </c>
      <c r="AN2012" s="3" t="str">
        <f t="shared" si="536"/>
        <v/>
      </c>
      <c r="AO2012" s="3">
        <v>0</v>
      </c>
      <c r="AP2012" s="3">
        <f t="shared" si="550"/>
        <v>8</v>
      </c>
      <c r="AR2012">
        <f t="shared" si="551"/>
        <v>0</v>
      </c>
      <c r="AS2012">
        <f t="shared" si="552"/>
        <v>5</v>
      </c>
    </row>
    <row r="2013" customHeight="1" spans="1:45">
      <c r="A2013" s="3" t="str">
        <f>IF(对接源_02物料!$C813="","",对接源_02物料!$C813)</f>
        <v/>
      </c>
      <c r="B2013" s="3">
        <f t="shared" si="537"/>
        <v>0</v>
      </c>
      <c r="C2013" s="3">
        <f t="shared" si="538"/>
        <v>21</v>
      </c>
      <c r="K2013" s="3">
        <f>IF(OR($K$1="",对接源_02物料!$C813="",对接源_02物料!$C813&lt;&gt;$K$1,对接源_02物料!$B813=""),0,IF(OR(N(对接源_02物料!$B813)&lt;$K$2,N(对接源_02物料!$B813)&gt;$K$3),0,1))</f>
        <v>0</v>
      </c>
      <c r="L2013" s="3">
        <f>IF(OR($L$1="",对接源_02物料!$C813="",对接源_02物料!$C813&lt;&gt;$L$1,对接源_02物料!$B813=""),0,IF(OR(N(对接源_02物料!$B813)&lt;$L$2,N(对接源_02物料!$B813)&gt;$L$3),0,1))</f>
        <v>0</v>
      </c>
      <c r="M2013" s="3">
        <f>IF(OR($M$1="",对接源_02物料!$C813="",对接源_02物料!$C813&lt;&gt;$M$1,对接源_02物料!$B813=""),0,IF(OR(N(对接源_02物料!$B813)&lt;$M$2,N(对接源_02物料!$B813)&gt;$M$3),0,1))</f>
        <v>0</v>
      </c>
      <c r="N2013" s="3">
        <f>IF(OR($N$1="",对接源_02物料!$C813="",对接源_02物料!$C813&lt;&gt;$N$1,对接源_02物料!$B813=""),0,IF(OR(N(对接源_02物料!$B813)&lt;$N$2,N(对接源_02物料!$B813)&gt;$N$3),0,1))</f>
        <v>0</v>
      </c>
      <c r="P2013" s="3">
        <f>IF(AND($K2013=1,AND(对接源_02物料!$X813="公司筐",N(对接源_02物料!$T813)&lt;&gt;0)),1,0)</f>
        <v>0</v>
      </c>
      <c r="Q2013" s="3">
        <f t="shared" si="539"/>
        <v>8</v>
      </c>
      <c r="R2013" s="3">
        <f>IF(AND($K2013=1,AND(对接源_02物料!$X813="公司筐",N(对接源_02物料!$U813)&lt;&gt;0)),1,0)</f>
        <v>0</v>
      </c>
      <c r="S2013" s="3">
        <f t="shared" si="540"/>
        <v>0</v>
      </c>
      <c r="T2013" s="3">
        <f>IF(AND($K2013=1,AND(对接源_02物料!$X813="公司筐",N(对接源_02物料!$V813)&lt;&gt;0)),1,0)</f>
        <v>0</v>
      </c>
      <c r="U2013" s="3">
        <f t="shared" si="541"/>
        <v>19</v>
      </c>
      <c r="V2013" s="3">
        <f>IF(AND($L2013=1,AND(对接源_02物料!$X813="自备筐",N(对接源_02物料!$V813)&lt;&gt;0)),1,0)</f>
        <v>0</v>
      </c>
      <c r="W2013" s="3">
        <f t="shared" si="542"/>
        <v>8</v>
      </c>
      <c r="X2013" s="3">
        <f>IF(AND($L2013=1,AND(对接源_02物料!$X813="自备筐",N(对接源_02物料!$T813)&lt;&gt;0)),1,0)</f>
        <v>0</v>
      </c>
      <c r="Y2013" s="3">
        <f t="shared" si="543"/>
        <v>0</v>
      </c>
      <c r="Z2013" s="3">
        <f>IF(AND($M2013=1,对接源_02物料!$D813="原料入库"),1,0)</f>
        <v>0</v>
      </c>
      <c r="AA2013" s="3">
        <f t="shared" si="544"/>
        <v>24</v>
      </c>
      <c r="AB2013" s="3">
        <f>IF(AND($M2013=1,LEFT(对接源_02物料!$D813,4)="原料出库"),1,0)</f>
        <v>0</v>
      </c>
      <c r="AC2013" s="3">
        <f t="shared" si="545"/>
        <v>0</v>
      </c>
      <c r="AD2013" s="3">
        <f>IF(AND($M2013=1,LEFT(对接源_02物料!$D813,4)="成品出库"),1,0)</f>
        <v>0</v>
      </c>
      <c r="AE2013" s="3">
        <f t="shared" si="546"/>
        <v>0</v>
      </c>
      <c r="AF2013" s="3">
        <f>IF(AND($N2013=1,AND(LEFT(对接源_02物料!$D813,4)="包装物料",N(对接源_02物料!$K813)&lt;&gt;0)),1,0)</f>
        <v>0</v>
      </c>
      <c r="AG2013" s="3">
        <f t="shared" si="547"/>
        <v>5</v>
      </c>
      <c r="AH2013" s="3">
        <f>IF(AND($N2013=1,AND(对接源_02物料!$D813="周转筐－销售出库",N(对接源_02物料!$K813)&lt;&gt;0)),1,0)</f>
        <v>0</v>
      </c>
      <c r="AI2013" s="3">
        <f t="shared" si="548"/>
        <v>0</v>
      </c>
      <c r="AL2013" s="3">
        <v>0</v>
      </c>
      <c r="AM2013" s="3">
        <f t="shared" si="549"/>
        <v>1</v>
      </c>
      <c r="AN2013" s="3" t="str">
        <f t="shared" si="536"/>
        <v/>
      </c>
      <c r="AO2013" s="3">
        <v>0</v>
      </c>
      <c r="AP2013" s="3">
        <f t="shared" si="550"/>
        <v>8</v>
      </c>
      <c r="AR2013">
        <f t="shared" si="551"/>
        <v>0</v>
      </c>
      <c r="AS2013">
        <f t="shared" si="552"/>
        <v>5</v>
      </c>
    </row>
    <row r="2014" customHeight="1" spans="1:45">
      <c r="A2014" s="3" t="str">
        <f>IF(对接源_02物料!$C814="","",对接源_02物料!$C814)</f>
        <v/>
      </c>
      <c r="B2014" s="3">
        <f t="shared" si="537"/>
        <v>0</v>
      </c>
      <c r="C2014" s="3">
        <f t="shared" si="538"/>
        <v>21</v>
      </c>
      <c r="K2014" s="3">
        <f>IF(OR($K$1="",对接源_02物料!$C814="",对接源_02物料!$C814&lt;&gt;$K$1,对接源_02物料!$B814=""),0,IF(OR(N(对接源_02物料!$B814)&lt;$K$2,N(对接源_02物料!$B814)&gt;$K$3),0,1))</f>
        <v>0</v>
      </c>
      <c r="L2014" s="3">
        <f>IF(OR($L$1="",对接源_02物料!$C814="",对接源_02物料!$C814&lt;&gt;$L$1,对接源_02物料!$B814=""),0,IF(OR(N(对接源_02物料!$B814)&lt;$L$2,N(对接源_02物料!$B814)&gt;$L$3),0,1))</f>
        <v>0</v>
      </c>
      <c r="M2014" s="3">
        <f>IF(OR($M$1="",对接源_02物料!$C814="",对接源_02物料!$C814&lt;&gt;$M$1,对接源_02物料!$B814=""),0,IF(OR(N(对接源_02物料!$B814)&lt;$M$2,N(对接源_02物料!$B814)&gt;$M$3),0,1))</f>
        <v>0</v>
      </c>
      <c r="N2014" s="3">
        <f>IF(OR($N$1="",对接源_02物料!$C814="",对接源_02物料!$C814&lt;&gt;$N$1,对接源_02物料!$B814=""),0,IF(OR(N(对接源_02物料!$B814)&lt;$N$2,N(对接源_02物料!$B814)&gt;$N$3),0,1))</f>
        <v>0</v>
      </c>
      <c r="P2014" s="3">
        <f>IF(AND($K2014=1,AND(对接源_02物料!$X814="公司筐",N(对接源_02物料!$T814)&lt;&gt;0)),1,0)</f>
        <v>0</v>
      </c>
      <c r="Q2014" s="3">
        <f t="shared" si="539"/>
        <v>8</v>
      </c>
      <c r="R2014" s="3">
        <f>IF(AND($K2014=1,AND(对接源_02物料!$X814="公司筐",N(对接源_02物料!$U814)&lt;&gt;0)),1,0)</f>
        <v>0</v>
      </c>
      <c r="S2014" s="3">
        <f t="shared" si="540"/>
        <v>0</v>
      </c>
      <c r="T2014" s="3">
        <f>IF(AND($K2014=1,AND(对接源_02物料!$X814="公司筐",N(对接源_02物料!$V814)&lt;&gt;0)),1,0)</f>
        <v>0</v>
      </c>
      <c r="U2014" s="3">
        <f t="shared" si="541"/>
        <v>19</v>
      </c>
      <c r="V2014" s="3">
        <f>IF(AND($L2014=1,AND(对接源_02物料!$X814="自备筐",N(对接源_02物料!$V814)&lt;&gt;0)),1,0)</f>
        <v>0</v>
      </c>
      <c r="W2014" s="3">
        <f t="shared" si="542"/>
        <v>8</v>
      </c>
      <c r="X2014" s="3">
        <f>IF(AND($L2014=1,AND(对接源_02物料!$X814="自备筐",N(对接源_02物料!$T814)&lt;&gt;0)),1,0)</f>
        <v>0</v>
      </c>
      <c r="Y2014" s="3">
        <f t="shared" si="543"/>
        <v>0</v>
      </c>
      <c r="Z2014" s="3">
        <f>IF(AND($M2014=1,对接源_02物料!$D814="原料入库"),1,0)</f>
        <v>0</v>
      </c>
      <c r="AA2014" s="3">
        <f t="shared" si="544"/>
        <v>24</v>
      </c>
      <c r="AB2014" s="3">
        <f>IF(AND($M2014=1,LEFT(对接源_02物料!$D814,4)="原料出库"),1,0)</f>
        <v>0</v>
      </c>
      <c r="AC2014" s="3">
        <f t="shared" si="545"/>
        <v>0</v>
      </c>
      <c r="AD2014" s="3">
        <f>IF(AND($M2014=1,LEFT(对接源_02物料!$D814,4)="成品出库"),1,0)</f>
        <v>0</v>
      </c>
      <c r="AE2014" s="3">
        <f t="shared" si="546"/>
        <v>0</v>
      </c>
      <c r="AF2014" s="3">
        <f>IF(AND($N2014=1,AND(LEFT(对接源_02物料!$D814,4)="包装物料",N(对接源_02物料!$K814)&lt;&gt;0)),1,0)</f>
        <v>0</v>
      </c>
      <c r="AG2014" s="3">
        <f t="shared" si="547"/>
        <v>5</v>
      </c>
      <c r="AH2014" s="3">
        <f>IF(AND($N2014=1,AND(对接源_02物料!$D814="周转筐－销售出库",N(对接源_02物料!$K814)&lt;&gt;0)),1,0)</f>
        <v>0</v>
      </c>
      <c r="AI2014" s="3">
        <f t="shared" si="548"/>
        <v>0</v>
      </c>
      <c r="AL2014" s="3">
        <v>0</v>
      </c>
      <c r="AM2014" s="3">
        <f t="shared" si="549"/>
        <v>1</v>
      </c>
      <c r="AN2014" s="3" t="str">
        <f t="shared" si="536"/>
        <v/>
      </c>
      <c r="AO2014" s="3">
        <v>0</v>
      </c>
      <c r="AP2014" s="3">
        <f t="shared" si="550"/>
        <v>8</v>
      </c>
      <c r="AR2014">
        <f t="shared" si="551"/>
        <v>0</v>
      </c>
      <c r="AS2014">
        <f t="shared" si="552"/>
        <v>5</v>
      </c>
    </row>
    <row r="2015" customHeight="1" spans="1:45">
      <c r="A2015" s="3" t="str">
        <f>IF(对接源_02物料!$C815="","",对接源_02物料!$C815)</f>
        <v/>
      </c>
      <c r="B2015" s="3">
        <f t="shared" si="537"/>
        <v>0</v>
      </c>
      <c r="C2015" s="3">
        <f t="shared" si="538"/>
        <v>21</v>
      </c>
      <c r="K2015" s="3">
        <f>IF(OR($K$1="",对接源_02物料!$C815="",对接源_02物料!$C815&lt;&gt;$K$1,对接源_02物料!$B815=""),0,IF(OR(N(对接源_02物料!$B815)&lt;$K$2,N(对接源_02物料!$B815)&gt;$K$3),0,1))</f>
        <v>0</v>
      </c>
      <c r="L2015" s="3">
        <f>IF(OR($L$1="",对接源_02物料!$C815="",对接源_02物料!$C815&lt;&gt;$L$1,对接源_02物料!$B815=""),0,IF(OR(N(对接源_02物料!$B815)&lt;$L$2,N(对接源_02物料!$B815)&gt;$L$3),0,1))</f>
        <v>0</v>
      </c>
      <c r="M2015" s="3">
        <f>IF(OR($M$1="",对接源_02物料!$C815="",对接源_02物料!$C815&lt;&gt;$M$1,对接源_02物料!$B815=""),0,IF(OR(N(对接源_02物料!$B815)&lt;$M$2,N(对接源_02物料!$B815)&gt;$M$3),0,1))</f>
        <v>0</v>
      </c>
      <c r="N2015" s="3">
        <f>IF(OR($N$1="",对接源_02物料!$C815="",对接源_02物料!$C815&lt;&gt;$N$1,对接源_02物料!$B815=""),0,IF(OR(N(对接源_02物料!$B815)&lt;$N$2,N(对接源_02物料!$B815)&gt;$N$3),0,1))</f>
        <v>0</v>
      </c>
      <c r="P2015" s="3">
        <f>IF(AND($K2015=1,AND(对接源_02物料!$X815="公司筐",N(对接源_02物料!$T815)&lt;&gt;0)),1,0)</f>
        <v>0</v>
      </c>
      <c r="Q2015" s="3">
        <f t="shared" si="539"/>
        <v>8</v>
      </c>
      <c r="R2015" s="3">
        <f>IF(AND($K2015=1,AND(对接源_02物料!$X815="公司筐",N(对接源_02物料!$U815)&lt;&gt;0)),1,0)</f>
        <v>0</v>
      </c>
      <c r="S2015" s="3">
        <f t="shared" si="540"/>
        <v>0</v>
      </c>
      <c r="T2015" s="3">
        <f>IF(AND($K2015=1,AND(对接源_02物料!$X815="公司筐",N(对接源_02物料!$V815)&lt;&gt;0)),1,0)</f>
        <v>0</v>
      </c>
      <c r="U2015" s="3">
        <f t="shared" si="541"/>
        <v>19</v>
      </c>
      <c r="V2015" s="3">
        <f>IF(AND($L2015=1,AND(对接源_02物料!$X815="自备筐",N(对接源_02物料!$V815)&lt;&gt;0)),1,0)</f>
        <v>0</v>
      </c>
      <c r="W2015" s="3">
        <f t="shared" si="542"/>
        <v>8</v>
      </c>
      <c r="X2015" s="3">
        <f>IF(AND($L2015=1,AND(对接源_02物料!$X815="自备筐",N(对接源_02物料!$T815)&lt;&gt;0)),1,0)</f>
        <v>0</v>
      </c>
      <c r="Y2015" s="3">
        <f t="shared" si="543"/>
        <v>0</v>
      </c>
      <c r="Z2015" s="3">
        <f>IF(AND($M2015=1,对接源_02物料!$D815="原料入库"),1,0)</f>
        <v>0</v>
      </c>
      <c r="AA2015" s="3">
        <f t="shared" si="544"/>
        <v>24</v>
      </c>
      <c r="AB2015" s="3">
        <f>IF(AND($M2015=1,LEFT(对接源_02物料!$D815,4)="原料出库"),1,0)</f>
        <v>0</v>
      </c>
      <c r="AC2015" s="3">
        <f t="shared" si="545"/>
        <v>0</v>
      </c>
      <c r="AD2015" s="3">
        <f>IF(AND($M2015=1,LEFT(对接源_02物料!$D815,4)="成品出库"),1,0)</f>
        <v>0</v>
      </c>
      <c r="AE2015" s="3">
        <f t="shared" si="546"/>
        <v>0</v>
      </c>
      <c r="AF2015" s="3">
        <f>IF(AND($N2015=1,AND(LEFT(对接源_02物料!$D815,4)="包装物料",N(对接源_02物料!$K815)&lt;&gt;0)),1,0)</f>
        <v>0</v>
      </c>
      <c r="AG2015" s="3">
        <f t="shared" si="547"/>
        <v>5</v>
      </c>
      <c r="AH2015" s="3">
        <f>IF(AND($N2015=1,AND(对接源_02物料!$D815="周转筐－销售出库",N(对接源_02物料!$K815)&lt;&gt;0)),1,0)</f>
        <v>0</v>
      </c>
      <c r="AI2015" s="3">
        <f t="shared" si="548"/>
        <v>0</v>
      </c>
      <c r="AL2015" s="3">
        <v>0</v>
      </c>
      <c r="AM2015" s="3">
        <f t="shared" si="549"/>
        <v>1</v>
      </c>
      <c r="AN2015" s="3" t="str">
        <f t="shared" si="536"/>
        <v/>
      </c>
      <c r="AO2015" s="3">
        <v>0</v>
      </c>
      <c r="AP2015" s="3">
        <f t="shared" si="550"/>
        <v>8</v>
      </c>
      <c r="AR2015">
        <f t="shared" si="551"/>
        <v>0</v>
      </c>
      <c r="AS2015">
        <f t="shared" si="552"/>
        <v>5</v>
      </c>
    </row>
    <row r="2016" customHeight="1" spans="1:45">
      <c r="A2016" s="3" t="str">
        <f>IF(对接源_02物料!$C816="","",对接源_02物料!$C816)</f>
        <v/>
      </c>
      <c r="B2016" s="3">
        <f t="shared" si="537"/>
        <v>0</v>
      </c>
      <c r="C2016" s="3">
        <f t="shared" si="538"/>
        <v>21</v>
      </c>
      <c r="K2016" s="3">
        <f>IF(OR($K$1="",对接源_02物料!$C816="",对接源_02物料!$C816&lt;&gt;$K$1,对接源_02物料!$B816=""),0,IF(OR(N(对接源_02物料!$B816)&lt;$K$2,N(对接源_02物料!$B816)&gt;$K$3),0,1))</f>
        <v>0</v>
      </c>
      <c r="L2016" s="3">
        <f>IF(OR($L$1="",对接源_02物料!$C816="",对接源_02物料!$C816&lt;&gt;$L$1,对接源_02物料!$B816=""),0,IF(OR(N(对接源_02物料!$B816)&lt;$L$2,N(对接源_02物料!$B816)&gt;$L$3),0,1))</f>
        <v>0</v>
      </c>
      <c r="M2016" s="3">
        <f>IF(OR($M$1="",对接源_02物料!$C816="",对接源_02物料!$C816&lt;&gt;$M$1,对接源_02物料!$B816=""),0,IF(OR(N(对接源_02物料!$B816)&lt;$M$2,N(对接源_02物料!$B816)&gt;$M$3),0,1))</f>
        <v>0</v>
      </c>
      <c r="N2016" s="3">
        <f>IF(OR($N$1="",对接源_02物料!$C816="",对接源_02物料!$C816&lt;&gt;$N$1,对接源_02物料!$B816=""),0,IF(OR(N(对接源_02物料!$B816)&lt;$N$2,N(对接源_02物料!$B816)&gt;$N$3),0,1))</f>
        <v>0</v>
      </c>
      <c r="P2016" s="3">
        <f>IF(AND($K2016=1,AND(对接源_02物料!$X816="公司筐",N(对接源_02物料!$T816)&lt;&gt;0)),1,0)</f>
        <v>0</v>
      </c>
      <c r="Q2016" s="3">
        <f t="shared" si="539"/>
        <v>8</v>
      </c>
      <c r="R2016" s="3">
        <f>IF(AND($K2016=1,AND(对接源_02物料!$X816="公司筐",N(对接源_02物料!$U816)&lt;&gt;0)),1,0)</f>
        <v>0</v>
      </c>
      <c r="S2016" s="3">
        <f t="shared" si="540"/>
        <v>0</v>
      </c>
      <c r="T2016" s="3">
        <f>IF(AND($K2016=1,AND(对接源_02物料!$X816="公司筐",N(对接源_02物料!$V816)&lt;&gt;0)),1,0)</f>
        <v>0</v>
      </c>
      <c r="U2016" s="3">
        <f t="shared" si="541"/>
        <v>19</v>
      </c>
      <c r="V2016" s="3">
        <f>IF(AND($L2016=1,AND(对接源_02物料!$X816="自备筐",N(对接源_02物料!$V816)&lt;&gt;0)),1,0)</f>
        <v>0</v>
      </c>
      <c r="W2016" s="3">
        <f t="shared" si="542"/>
        <v>8</v>
      </c>
      <c r="X2016" s="3">
        <f>IF(AND($L2016=1,AND(对接源_02物料!$X816="自备筐",N(对接源_02物料!$T816)&lt;&gt;0)),1,0)</f>
        <v>0</v>
      </c>
      <c r="Y2016" s="3">
        <f t="shared" si="543"/>
        <v>0</v>
      </c>
      <c r="Z2016" s="3">
        <f>IF(AND($M2016=1,对接源_02物料!$D816="原料入库"),1,0)</f>
        <v>0</v>
      </c>
      <c r="AA2016" s="3">
        <f t="shared" si="544"/>
        <v>24</v>
      </c>
      <c r="AB2016" s="3">
        <f>IF(AND($M2016=1,LEFT(对接源_02物料!$D816,4)="原料出库"),1,0)</f>
        <v>0</v>
      </c>
      <c r="AC2016" s="3">
        <f t="shared" si="545"/>
        <v>0</v>
      </c>
      <c r="AD2016" s="3">
        <f>IF(AND($M2016=1,LEFT(对接源_02物料!$D816,4)="成品出库"),1,0)</f>
        <v>0</v>
      </c>
      <c r="AE2016" s="3">
        <f t="shared" si="546"/>
        <v>0</v>
      </c>
      <c r="AF2016" s="3">
        <f>IF(AND($N2016=1,AND(LEFT(对接源_02物料!$D816,4)="包装物料",N(对接源_02物料!$K816)&lt;&gt;0)),1,0)</f>
        <v>0</v>
      </c>
      <c r="AG2016" s="3">
        <f t="shared" si="547"/>
        <v>5</v>
      </c>
      <c r="AH2016" s="3">
        <f>IF(AND($N2016=1,AND(对接源_02物料!$D816="周转筐－销售出库",N(对接源_02物料!$K816)&lt;&gt;0)),1,0)</f>
        <v>0</v>
      </c>
      <c r="AI2016" s="3">
        <f t="shared" si="548"/>
        <v>0</v>
      </c>
      <c r="AL2016" s="3">
        <v>0</v>
      </c>
      <c r="AM2016" s="3">
        <f t="shared" si="549"/>
        <v>1</v>
      </c>
      <c r="AN2016" s="3" t="str">
        <f t="shared" si="536"/>
        <v/>
      </c>
      <c r="AO2016" s="3">
        <v>0</v>
      </c>
      <c r="AP2016" s="3">
        <f t="shared" si="550"/>
        <v>8</v>
      </c>
      <c r="AR2016">
        <f t="shared" si="551"/>
        <v>0</v>
      </c>
      <c r="AS2016">
        <f t="shared" si="552"/>
        <v>5</v>
      </c>
    </row>
    <row r="2017" customHeight="1" spans="1:45">
      <c r="A2017" s="3" t="str">
        <f>IF(对接源_02物料!$C817="","",对接源_02物料!$C817)</f>
        <v/>
      </c>
      <c r="B2017" s="3">
        <f t="shared" si="537"/>
        <v>0</v>
      </c>
      <c r="C2017" s="3">
        <f t="shared" si="538"/>
        <v>21</v>
      </c>
      <c r="K2017" s="3">
        <f>IF(OR($K$1="",对接源_02物料!$C817="",对接源_02物料!$C817&lt;&gt;$K$1,对接源_02物料!$B817=""),0,IF(OR(N(对接源_02物料!$B817)&lt;$K$2,N(对接源_02物料!$B817)&gt;$K$3),0,1))</f>
        <v>0</v>
      </c>
      <c r="L2017" s="3">
        <f>IF(OR($L$1="",对接源_02物料!$C817="",对接源_02物料!$C817&lt;&gt;$L$1,对接源_02物料!$B817=""),0,IF(OR(N(对接源_02物料!$B817)&lt;$L$2,N(对接源_02物料!$B817)&gt;$L$3),0,1))</f>
        <v>0</v>
      </c>
      <c r="M2017" s="3">
        <f>IF(OR($M$1="",对接源_02物料!$C817="",对接源_02物料!$C817&lt;&gt;$M$1,对接源_02物料!$B817=""),0,IF(OR(N(对接源_02物料!$B817)&lt;$M$2,N(对接源_02物料!$B817)&gt;$M$3),0,1))</f>
        <v>0</v>
      </c>
      <c r="N2017" s="3">
        <f>IF(OR($N$1="",对接源_02物料!$C817="",对接源_02物料!$C817&lt;&gt;$N$1,对接源_02物料!$B817=""),0,IF(OR(N(对接源_02物料!$B817)&lt;$N$2,N(对接源_02物料!$B817)&gt;$N$3),0,1))</f>
        <v>0</v>
      </c>
      <c r="P2017" s="3">
        <f>IF(AND($K2017=1,AND(对接源_02物料!$X817="公司筐",N(对接源_02物料!$T817)&lt;&gt;0)),1,0)</f>
        <v>0</v>
      </c>
      <c r="Q2017" s="3">
        <f t="shared" si="539"/>
        <v>8</v>
      </c>
      <c r="R2017" s="3">
        <f>IF(AND($K2017=1,AND(对接源_02物料!$X817="公司筐",N(对接源_02物料!$U817)&lt;&gt;0)),1,0)</f>
        <v>0</v>
      </c>
      <c r="S2017" s="3">
        <f t="shared" si="540"/>
        <v>0</v>
      </c>
      <c r="T2017" s="3">
        <f>IF(AND($K2017=1,AND(对接源_02物料!$X817="公司筐",N(对接源_02物料!$V817)&lt;&gt;0)),1,0)</f>
        <v>0</v>
      </c>
      <c r="U2017" s="3">
        <f t="shared" si="541"/>
        <v>19</v>
      </c>
      <c r="V2017" s="3">
        <f>IF(AND($L2017=1,AND(对接源_02物料!$X817="自备筐",N(对接源_02物料!$V817)&lt;&gt;0)),1,0)</f>
        <v>0</v>
      </c>
      <c r="W2017" s="3">
        <f t="shared" si="542"/>
        <v>8</v>
      </c>
      <c r="X2017" s="3">
        <f>IF(AND($L2017=1,AND(对接源_02物料!$X817="自备筐",N(对接源_02物料!$T817)&lt;&gt;0)),1,0)</f>
        <v>0</v>
      </c>
      <c r="Y2017" s="3">
        <f t="shared" si="543"/>
        <v>0</v>
      </c>
      <c r="Z2017" s="3">
        <f>IF(AND($M2017=1,对接源_02物料!$D817="原料入库"),1,0)</f>
        <v>0</v>
      </c>
      <c r="AA2017" s="3">
        <f t="shared" si="544"/>
        <v>24</v>
      </c>
      <c r="AB2017" s="3">
        <f>IF(AND($M2017=1,LEFT(对接源_02物料!$D817,4)="原料出库"),1,0)</f>
        <v>0</v>
      </c>
      <c r="AC2017" s="3">
        <f t="shared" si="545"/>
        <v>0</v>
      </c>
      <c r="AD2017" s="3">
        <f>IF(AND($M2017=1,LEFT(对接源_02物料!$D817,4)="成品出库"),1,0)</f>
        <v>0</v>
      </c>
      <c r="AE2017" s="3">
        <f t="shared" si="546"/>
        <v>0</v>
      </c>
      <c r="AF2017" s="3">
        <f>IF(AND($N2017=1,AND(LEFT(对接源_02物料!$D817,4)="包装物料",N(对接源_02物料!$K817)&lt;&gt;0)),1,0)</f>
        <v>0</v>
      </c>
      <c r="AG2017" s="3">
        <f t="shared" si="547"/>
        <v>5</v>
      </c>
      <c r="AH2017" s="3">
        <f>IF(AND($N2017=1,AND(对接源_02物料!$D817="周转筐－销售出库",N(对接源_02物料!$K817)&lt;&gt;0)),1,0)</f>
        <v>0</v>
      </c>
      <c r="AI2017" s="3">
        <f t="shared" si="548"/>
        <v>0</v>
      </c>
      <c r="AL2017" s="3">
        <v>0</v>
      </c>
      <c r="AM2017" s="3">
        <f t="shared" si="549"/>
        <v>1</v>
      </c>
      <c r="AN2017" s="3" t="str">
        <f t="shared" si="536"/>
        <v/>
      </c>
      <c r="AO2017" s="3">
        <v>0</v>
      </c>
      <c r="AP2017" s="3">
        <f t="shared" si="550"/>
        <v>8</v>
      </c>
      <c r="AR2017">
        <f t="shared" si="551"/>
        <v>0</v>
      </c>
      <c r="AS2017">
        <f t="shared" si="552"/>
        <v>5</v>
      </c>
    </row>
    <row r="2018" customHeight="1" spans="1:45">
      <c r="A2018" s="3" t="str">
        <f>IF(对接源_02物料!$C818="","",对接源_02物料!$C818)</f>
        <v/>
      </c>
      <c r="B2018" s="3">
        <f t="shared" si="537"/>
        <v>0</v>
      </c>
      <c r="C2018" s="3">
        <f t="shared" si="538"/>
        <v>21</v>
      </c>
      <c r="K2018" s="3">
        <f>IF(OR($K$1="",对接源_02物料!$C818="",对接源_02物料!$C818&lt;&gt;$K$1,对接源_02物料!$B818=""),0,IF(OR(N(对接源_02物料!$B818)&lt;$K$2,N(对接源_02物料!$B818)&gt;$K$3),0,1))</f>
        <v>0</v>
      </c>
      <c r="L2018" s="3">
        <f>IF(OR($L$1="",对接源_02物料!$C818="",对接源_02物料!$C818&lt;&gt;$L$1,对接源_02物料!$B818=""),0,IF(OR(N(对接源_02物料!$B818)&lt;$L$2,N(对接源_02物料!$B818)&gt;$L$3),0,1))</f>
        <v>0</v>
      </c>
      <c r="M2018" s="3">
        <f>IF(OR($M$1="",对接源_02物料!$C818="",对接源_02物料!$C818&lt;&gt;$M$1,对接源_02物料!$B818=""),0,IF(OR(N(对接源_02物料!$B818)&lt;$M$2,N(对接源_02物料!$B818)&gt;$M$3),0,1))</f>
        <v>0</v>
      </c>
      <c r="N2018" s="3">
        <f>IF(OR($N$1="",对接源_02物料!$C818="",对接源_02物料!$C818&lt;&gt;$N$1,对接源_02物料!$B818=""),0,IF(OR(N(对接源_02物料!$B818)&lt;$N$2,N(对接源_02物料!$B818)&gt;$N$3),0,1))</f>
        <v>0</v>
      </c>
      <c r="P2018" s="3">
        <f>IF(AND($K2018=1,AND(对接源_02物料!$X818="公司筐",N(对接源_02物料!$T818)&lt;&gt;0)),1,0)</f>
        <v>0</v>
      </c>
      <c r="Q2018" s="3">
        <f t="shared" si="539"/>
        <v>8</v>
      </c>
      <c r="R2018" s="3">
        <f>IF(AND($K2018=1,AND(对接源_02物料!$X818="公司筐",N(对接源_02物料!$U818)&lt;&gt;0)),1,0)</f>
        <v>0</v>
      </c>
      <c r="S2018" s="3">
        <f t="shared" si="540"/>
        <v>0</v>
      </c>
      <c r="T2018" s="3">
        <f>IF(AND($K2018=1,AND(对接源_02物料!$X818="公司筐",N(对接源_02物料!$V818)&lt;&gt;0)),1,0)</f>
        <v>0</v>
      </c>
      <c r="U2018" s="3">
        <f t="shared" si="541"/>
        <v>19</v>
      </c>
      <c r="V2018" s="3">
        <f>IF(AND($L2018=1,AND(对接源_02物料!$X818="自备筐",N(对接源_02物料!$V818)&lt;&gt;0)),1,0)</f>
        <v>0</v>
      </c>
      <c r="W2018" s="3">
        <f t="shared" si="542"/>
        <v>8</v>
      </c>
      <c r="X2018" s="3">
        <f>IF(AND($L2018=1,AND(对接源_02物料!$X818="自备筐",N(对接源_02物料!$T818)&lt;&gt;0)),1,0)</f>
        <v>0</v>
      </c>
      <c r="Y2018" s="3">
        <f t="shared" si="543"/>
        <v>0</v>
      </c>
      <c r="Z2018" s="3">
        <f>IF(AND($M2018=1,对接源_02物料!$D818="原料入库"),1,0)</f>
        <v>0</v>
      </c>
      <c r="AA2018" s="3">
        <f t="shared" si="544"/>
        <v>24</v>
      </c>
      <c r="AB2018" s="3">
        <f>IF(AND($M2018=1,LEFT(对接源_02物料!$D818,4)="原料出库"),1,0)</f>
        <v>0</v>
      </c>
      <c r="AC2018" s="3">
        <f t="shared" si="545"/>
        <v>0</v>
      </c>
      <c r="AD2018" s="3">
        <f>IF(AND($M2018=1,LEFT(对接源_02物料!$D818,4)="成品出库"),1,0)</f>
        <v>0</v>
      </c>
      <c r="AE2018" s="3">
        <f t="shared" si="546"/>
        <v>0</v>
      </c>
      <c r="AF2018" s="3">
        <f>IF(AND($N2018=1,AND(LEFT(对接源_02物料!$D818,4)="包装物料",N(对接源_02物料!$K818)&lt;&gt;0)),1,0)</f>
        <v>0</v>
      </c>
      <c r="AG2018" s="3">
        <f t="shared" si="547"/>
        <v>5</v>
      </c>
      <c r="AH2018" s="3">
        <f>IF(AND($N2018=1,AND(对接源_02物料!$D818="周转筐－销售出库",N(对接源_02物料!$K818)&lt;&gt;0)),1,0)</f>
        <v>0</v>
      </c>
      <c r="AI2018" s="3">
        <f t="shared" si="548"/>
        <v>0</v>
      </c>
      <c r="AL2018" s="3">
        <v>0</v>
      </c>
      <c r="AM2018" s="3">
        <f t="shared" si="549"/>
        <v>1</v>
      </c>
      <c r="AN2018" s="3" t="str">
        <f t="shared" si="536"/>
        <v/>
      </c>
      <c r="AO2018" s="3">
        <v>0</v>
      </c>
      <c r="AP2018" s="3">
        <f t="shared" si="550"/>
        <v>8</v>
      </c>
      <c r="AR2018">
        <f t="shared" si="551"/>
        <v>0</v>
      </c>
      <c r="AS2018">
        <f t="shared" si="552"/>
        <v>5</v>
      </c>
    </row>
    <row r="2019" customHeight="1" spans="1:45">
      <c r="A2019" s="3" t="str">
        <f>IF(对接源_02物料!$C819="","",对接源_02物料!$C819)</f>
        <v/>
      </c>
      <c r="B2019" s="3">
        <f t="shared" si="537"/>
        <v>0</v>
      </c>
      <c r="C2019" s="3">
        <f t="shared" si="538"/>
        <v>21</v>
      </c>
      <c r="K2019" s="3">
        <f>IF(OR($K$1="",对接源_02物料!$C819="",对接源_02物料!$C819&lt;&gt;$K$1,对接源_02物料!$B819=""),0,IF(OR(N(对接源_02物料!$B819)&lt;$K$2,N(对接源_02物料!$B819)&gt;$K$3),0,1))</f>
        <v>0</v>
      </c>
      <c r="L2019" s="3">
        <f>IF(OR($L$1="",对接源_02物料!$C819="",对接源_02物料!$C819&lt;&gt;$L$1,对接源_02物料!$B819=""),0,IF(OR(N(对接源_02物料!$B819)&lt;$L$2,N(对接源_02物料!$B819)&gt;$L$3),0,1))</f>
        <v>0</v>
      </c>
      <c r="M2019" s="3">
        <f>IF(OR($M$1="",对接源_02物料!$C819="",对接源_02物料!$C819&lt;&gt;$M$1,对接源_02物料!$B819=""),0,IF(OR(N(对接源_02物料!$B819)&lt;$M$2,N(对接源_02物料!$B819)&gt;$M$3),0,1))</f>
        <v>0</v>
      </c>
      <c r="N2019" s="3">
        <f>IF(OR($N$1="",对接源_02物料!$C819="",对接源_02物料!$C819&lt;&gt;$N$1,对接源_02物料!$B819=""),0,IF(OR(N(对接源_02物料!$B819)&lt;$N$2,N(对接源_02物料!$B819)&gt;$N$3),0,1))</f>
        <v>0</v>
      </c>
      <c r="P2019" s="3">
        <f>IF(AND($K2019=1,AND(对接源_02物料!$X819="公司筐",N(对接源_02物料!$T819)&lt;&gt;0)),1,0)</f>
        <v>0</v>
      </c>
      <c r="Q2019" s="3">
        <f t="shared" si="539"/>
        <v>8</v>
      </c>
      <c r="R2019" s="3">
        <f>IF(AND($K2019=1,AND(对接源_02物料!$X819="公司筐",N(对接源_02物料!$U819)&lt;&gt;0)),1,0)</f>
        <v>0</v>
      </c>
      <c r="S2019" s="3">
        <f t="shared" si="540"/>
        <v>0</v>
      </c>
      <c r="T2019" s="3">
        <f>IF(AND($K2019=1,AND(对接源_02物料!$X819="公司筐",N(对接源_02物料!$V819)&lt;&gt;0)),1,0)</f>
        <v>0</v>
      </c>
      <c r="U2019" s="3">
        <f t="shared" si="541"/>
        <v>19</v>
      </c>
      <c r="V2019" s="3">
        <f>IF(AND($L2019=1,AND(对接源_02物料!$X819="自备筐",N(对接源_02物料!$V819)&lt;&gt;0)),1,0)</f>
        <v>0</v>
      </c>
      <c r="W2019" s="3">
        <f t="shared" si="542"/>
        <v>8</v>
      </c>
      <c r="X2019" s="3">
        <f>IF(AND($L2019=1,AND(对接源_02物料!$X819="自备筐",N(对接源_02物料!$T819)&lt;&gt;0)),1,0)</f>
        <v>0</v>
      </c>
      <c r="Y2019" s="3">
        <f t="shared" si="543"/>
        <v>0</v>
      </c>
      <c r="Z2019" s="3">
        <f>IF(AND($M2019=1,对接源_02物料!$D819="原料入库"),1,0)</f>
        <v>0</v>
      </c>
      <c r="AA2019" s="3">
        <f t="shared" si="544"/>
        <v>24</v>
      </c>
      <c r="AB2019" s="3">
        <f>IF(AND($M2019=1,LEFT(对接源_02物料!$D819,4)="原料出库"),1,0)</f>
        <v>0</v>
      </c>
      <c r="AC2019" s="3">
        <f t="shared" si="545"/>
        <v>0</v>
      </c>
      <c r="AD2019" s="3">
        <f>IF(AND($M2019=1,LEFT(对接源_02物料!$D819,4)="成品出库"),1,0)</f>
        <v>0</v>
      </c>
      <c r="AE2019" s="3">
        <f t="shared" si="546"/>
        <v>0</v>
      </c>
      <c r="AF2019" s="3">
        <f>IF(AND($N2019=1,AND(LEFT(对接源_02物料!$D819,4)="包装物料",N(对接源_02物料!$K819)&lt;&gt;0)),1,0)</f>
        <v>0</v>
      </c>
      <c r="AG2019" s="3">
        <f t="shared" si="547"/>
        <v>5</v>
      </c>
      <c r="AH2019" s="3">
        <f>IF(AND($N2019=1,AND(对接源_02物料!$D819="周转筐－销售出库",N(对接源_02物料!$K819)&lt;&gt;0)),1,0)</f>
        <v>0</v>
      </c>
      <c r="AI2019" s="3">
        <f t="shared" si="548"/>
        <v>0</v>
      </c>
      <c r="AL2019" s="3">
        <v>0</v>
      </c>
      <c r="AM2019" s="3">
        <f t="shared" si="549"/>
        <v>1</v>
      </c>
      <c r="AN2019" s="3" t="str">
        <f t="shared" si="536"/>
        <v/>
      </c>
      <c r="AO2019" s="3">
        <v>0</v>
      </c>
      <c r="AP2019" s="3">
        <f t="shared" si="550"/>
        <v>8</v>
      </c>
      <c r="AR2019">
        <f t="shared" si="551"/>
        <v>0</v>
      </c>
      <c r="AS2019">
        <f t="shared" si="552"/>
        <v>5</v>
      </c>
    </row>
    <row r="2020" customHeight="1" spans="1:45">
      <c r="A2020" s="3" t="str">
        <f>IF(对接源_02物料!$C820="","",对接源_02物料!$C820)</f>
        <v/>
      </c>
      <c r="B2020" s="3">
        <f t="shared" si="537"/>
        <v>0</v>
      </c>
      <c r="C2020" s="3">
        <f t="shared" si="538"/>
        <v>21</v>
      </c>
      <c r="K2020" s="3">
        <f>IF(OR($K$1="",对接源_02物料!$C820="",对接源_02物料!$C820&lt;&gt;$K$1,对接源_02物料!$B820=""),0,IF(OR(N(对接源_02物料!$B820)&lt;$K$2,N(对接源_02物料!$B820)&gt;$K$3),0,1))</f>
        <v>0</v>
      </c>
      <c r="L2020" s="3">
        <f>IF(OR($L$1="",对接源_02物料!$C820="",对接源_02物料!$C820&lt;&gt;$L$1,对接源_02物料!$B820=""),0,IF(OR(N(对接源_02物料!$B820)&lt;$L$2,N(对接源_02物料!$B820)&gt;$L$3),0,1))</f>
        <v>0</v>
      </c>
      <c r="M2020" s="3">
        <f>IF(OR($M$1="",对接源_02物料!$C820="",对接源_02物料!$C820&lt;&gt;$M$1,对接源_02物料!$B820=""),0,IF(OR(N(对接源_02物料!$B820)&lt;$M$2,N(对接源_02物料!$B820)&gt;$M$3),0,1))</f>
        <v>0</v>
      </c>
      <c r="N2020" s="3">
        <f>IF(OR($N$1="",对接源_02物料!$C820="",对接源_02物料!$C820&lt;&gt;$N$1,对接源_02物料!$B820=""),0,IF(OR(N(对接源_02物料!$B820)&lt;$N$2,N(对接源_02物料!$B820)&gt;$N$3),0,1))</f>
        <v>0</v>
      </c>
      <c r="P2020" s="3">
        <f>IF(AND($K2020=1,AND(对接源_02物料!$X820="公司筐",N(对接源_02物料!$T820)&lt;&gt;0)),1,0)</f>
        <v>0</v>
      </c>
      <c r="Q2020" s="3">
        <f t="shared" si="539"/>
        <v>8</v>
      </c>
      <c r="R2020" s="3">
        <f>IF(AND($K2020=1,AND(对接源_02物料!$X820="公司筐",N(对接源_02物料!$U820)&lt;&gt;0)),1,0)</f>
        <v>0</v>
      </c>
      <c r="S2020" s="3">
        <f t="shared" si="540"/>
        <v>0</v>
      </c>
      <c r="T2020" s="3">
        <f>IF(AND($K2020=1,AND(对接源_02物料!$X820="公司筐",N(对接源_02物料!$V820)&lt;&gt;0)),1,0)</f>
        <v>0</v>
      </c>
      <c r="U2020" s="3">
        <f t="shared" si="541"/>
        <v>19</v>
      </c>
      <c r="V2020" s="3">
        <f>IF(AND($L2020=1,AND(对接源_02物料!$X820="自备筐",N(对接源_02物料!$V820)&lt;&gt;0)),1,0)</f>
        <v>0</v>
      </c>
      <c r="W2020" s="3">
        <f t="shared" si="542"/>
        <v>8</v>
      </c>
      <c r="X2020" s="3">
        <f>IF(AND($L2020=1,AND(对接源_02物料!$X820="自备筐",N(对接源_02物料!$T820)&lt;&gt;0)),1,0)</f>
        <v>0</v>
      </c>
      <c r="Y2020" s="3">
        <f t="shared" si="543"/>
        <v>0</v>
      </c>
      <c r="Z2020" s="3">
        <f>IF(AND($M2020=1,对接源_02物料!$D820="原料入库"),1,0)</f>
        <v>0</v>
      </c>
      <c r="AA2020" s="3">
        <f t="shared" si="544"/>
        <v>24</v>
      </c>
      <c r="AB2020" s="3">
        <f>IF(AND($M2020=1,LEFT(对接源_02物料!$D820,4)="原料出库"),1,0)</f>
        <v>0</v>
      </c>
      <c r="AC2020" s="3">
        <f t="shared" si="545"/>
        <v>0</v>
      </c>
      <c r="AD2020" s="3">
        <f>IF(AND($M2020=1,LEFT(对接源_02物料!$D820,4)="成品出库"),1,0)</f>
        <v>0</v>
      </c>
      <c r="AE2020" s="3">
        <f t="shared" si="546"/>
        <v>0</v>
      </c>
      <c r="AF2020" s="3">
        <f>IF(AND($N2020=1,AND(LEFT(对接源_02物料!$D820,4)="包装物料",N(对接源_02物料!$K820)&lt;&gt;0)),1,0)</f>
        <v>0</v>
      </c>
      <c r="AG2020" s="3">
        <f t="shared" si="547"/>
        <v>5</v>
      </c>
      <c r="AH2020" s="3">
        <f>IF(AND($N2020=1,AND(对接源_02物料!$D820="周转筐－销售出库",N(对接源_02物料!$K820)&lt;&gt;0)),1,0)</f>
        <v>0</v>
      </c>
      <c r="AI2020" s="3">
        <f t="shared" si="548"/>
        <v>0</v>
      </c>
      <c r="AL2020" s="3">
        <v>0</v>
      </c>
      <c r="AM2020" s="3">
        <f t="shared" si="549"/>
        <v>1</v>
      </c>
      <c r="AN2020" s="3" t="str">
        <f t="shared" si="536"/>
        <v/>
      </c>
      <c r="AO2020" s="3">
        <v>0</v>
      </c>
      <c r="AP2020" s="3">
        <f t="shared" si="550"/>
        <v>8</v>
      </c>
      <c r="AR2020">
        <f t="shared" si="551"/>
        <v>0</v>
      </c>
      <c r="AS2020">
        <f t="shared" si="552"/>
        <v>5</v>
      </c>
    </row>
    <row r="2021" customHeight="1" spans="1:45">
      <c r="A2021" s="3" t="str">
        <f>IF(对接源_02物料!$C821="","",对接源_02物料!$C821)</f>
        <v/>
      </c>
      <c r="B2021" s="3">
        <f t="shared" si="537"/>
        <v>0</v>
      </c>
      <c r="C2021" s="3">
        <f t="shared" si="538"/>
        <v>21</v>
      </c>
      <c r="K2021" s="3">
        <f>IF(OR($K$1="",对接源_02物料!$C821="",对接源_02物料!$C821&lt;&gt;$K$1,对接源_02物料!$B821=""),0,IF(OR(N(对接源_02物料!$B821)&lt;$K$2,N(对接源_02物料!$B821)&gt;$K$3),0,1))</f>
        <v>0</v>
      </c>
      <c r="L2021" s="3">
        <f>IF(OR($L$1="",对接源_02物料!$C821="",对接源_02物料!$C821&lt;&gt;$L$1,对接源_02物料!$B821=""),0,IF(OR(N(对接源_02物料!$B821)&lt;$L$2,N(对接源_02物料!$B821)&gt;$L$3),0,1))</f>
        <v>0</v>
      </c>
      <c r="M2021" s="3">
        <f>IF(OR($M$1="",对接源_02物料!$C821="",对接源_02物料!$C821&lt;&gt;$M$1,对接源_02物料!$B821=""),0,IF(OR(N(对接源_02物料!$B821)&lt;$M$2,N(对接源_02物料!$B821)&gt;$M$3),0,1))</f>
        <v>0</v>
      </c>
      <c r="N2021" s="3">
        <f>IF(OR($N$1="",对接源_02物料!$C821="",对接源_02物料!$C821&lt;&gt;$N$1,对接源_02物料!$B821=""),0,IF(OR(N(对接源_02物料!$B821)&lt;$N$2,N(对接源_02物料!$B821)&gt;$N$3),0,1))</f>
        <v>0</v>
      </c>
      <c r="P2021" s="3">
        <f>IF(AND($K2021=1,AND(对接源_02物料!$X821="公司筐",N(对接源_02物料!$T821)&lt;&gt;0)),1,0)</f>
        <v>0</v>
      </c>
      <c r="Q2021" s="3">
        <f t="shared" si="539"/>
        <v>8</v>
      </c>
      <c r="R2021" s="3">
        <f>IF(AND($K2021=1,AND(对接源_02物料!$X821="公司筐",N(对接源_02物料!$U821)&lt;&gt;0)),1,0)</f>
        <v>0</v>
      </c>
      <c r="S2021" s="3">
        <f t="shared" si="540"/>
        <v>0</v>
      </c>
      <c r="T2021" s="3">
        <f>IF(AND($K2021=1,AND(对接源_02物料!$X821="公司筐",N(对接源_02物料!$V821)&lt;&gt;0)),1,0)</f>
        <v>0</v>
      </c>
      <c r="U2021" s="3">
        <f t="shared" si="541"/>
        <v>19</v>
      </c>
      <c r="V2021" s="3">
        <f>IF(AND($L2021=1,AND(对接源_02物料!$X821="自备筐",N(对接源_02物料!$V821)&lt;&gt;0)),1,0)</f>
        <v>0</v>
      </c>
      <c r="W2021" s="3">
        <f t="shared" si="542"/>
        <v>8</v>
      </c>
      <c r="X2021" s="3">
        <f>IF(AND($L2021=1,AND(对接源_02物料!$X821="自备筐",N(对接源_02物料!$T821)&lt;&gt;0)),1,0)</f>
        <v>0</v>
      </c>
      <c r="Y2021" s="3">
        <f t="shared" si="543"/>
        <v>0</v>
      </c>
      <c r="Z2021" s="3">
        <f>IF(AND($M2021=1,对接源_02物料!$D821="原料入库"),1,0)</f>
        <v>0</v>
      </c>
      <c r="AA2021" s="3">
        <f t="shared" si="544"/>
        <v>24</v>
      </c>
      <c r="AB2021" s="3">
        <f>IF(AND($M2021=1,LEFT(对接源_02物料!$D821,4)="原料出库"),1,0)</f>
        <v>0</v>
      </c>
      <c r="AC2021" s="3">
        <f t="shared" si="545"/>
        <v>0</v>
      </c>
      <c r="AD2021" s="3">
        <f>IF(AND($M2021=1,LEFT(对接源_02物料!$D821,4)="成品出库"),1,0)</f>
        <v>0</v>
      </c>
      <c r="AE2021" s="3">
        <f t="shared" si="546"/>
        <v>0</v>
      </c>
      <c r="AF2021" s="3">
        <f>IF(AND($N2021=1,AND(LEFT(对接源_02物料!$D821,4)="包装物料",N(对接源_02物料!$K821)&lt;&gt;0)),1,0)</f>
        <v>0</v>
      </c>
      <c r="AG2021" s="3">
        <f t="shared" si="547"/>
        <v>5</v>
      </c>
      <c r="AH2021" s="3">
        <f>IF(AND($N2021=1,AND(对接源_02物料!$D821="周转筐－销售出库",N(对接源_02物料!$K821)&lt;&gt;0)),1,0)</f>
        <v>0</v>
      </c>
      <c r="AI2021" s="3">
        <f t="shared" si="548"/>
        <v>0</v>
      </c>
      <c r="AL2021" s="3">
        <v>0</v>
      </c>
      <c r="AM2021" s="3">
        <f t="shared" si="549"/>
        <v>1</v>
      </c>
      <c r="AN2021" s="3" t="str">
        <f t="shared" si="536"/>
        <v/>
      </c>
      <c r="AO2021" s="3">
        <v>0</v>
      </c>
      <c r="AP2021" s="3">
        <f t="shared" si="550"/>
        <v>8</v>
      </c>
      <c r="AR2021">
        <f t="shared" si="551"/>
        <v>0</v>
      </c>
      <c r="AS2021">
        <f t="shared" si="552"/>
        <v>5</v>
      </c>
    </row>
    <row r="2022" customHeight="1" spans="1:45">
      <c r="A2022" s="3" t="str">
        <f>IF(对接源_02物料!$C822="","",对接源_02物料!$C822)</f>
        <v/>
      </c>
      <c r="B2022" s="3">
        <f t="shared" si="537"/>
        <v>0</v>
      </c>
      <c r="C2022" s="3">
        <f t="shared" si="538"/>
        <v>21</v>
      </c>
      <c r="K2022" s="3">
        <f>IF(OR($K$1="",对接源_02物料!$C822="",对接源_02物料!$C822&lt;&gt;$K$1,对接源_02物料!$B822=""),0,IF(OR(N(对接源_02物料!$B822)&lt;$K$2,N(对接源_02物料!$B822)&gt;$K$3),0,1))</f>
        <v>0</v>
      </c>
      <c r="L2022" s="3">
        <f>IF(OR($L$1="",对接源_02物料!$C822="",对接源_02物料!$C822&lt;&gt;$L$1,对接源_02物料!$B822=""),0,IF(OR(N(对接源_02物料!$B822)&lt;$L$2,N(对接源_02物料!$B822)&gt;$L$3),0,1))</f>
        <v>0</v>
      </c>
      <c r="M2022" s="3">
        <f>IF(OR($M$1="",对接源_02物料!$C822="",对接源_02物料!$C822&lt;&gt;$M$1,对接源_02物料!$B822=""),0,IF(OR(N(对接源_02物料!$B822)&lt;$M$2,N(对接源_02物料!$B822)&gt;$M$3),0,1))</f>
        <v>0</v>
      </c>
      <c r="N2022" s="3">
        <f>IF(OR($N$1="",对接源_02物料!$C822="",对接源_02物料!$C822&lt;&gt;$N$1,对接源_02物料!$B822=""),0,IF(OR(N(对接源_02物料!$B822)&lt;$N$2,N(对接源_02物料!$B822)&gt;$N$3),0,1))</f>
        <v>0</v>
      </c>
      <c r="P2022" s="3">
        <f>IF(AND($K2022=1,AND(对接源_02物料!$X822="公司筐",N(对接源_02物料!$T822)&lt;&gt;0)),1,0)</f>
        <v>0</v>
      </c>
      <c r="Q2022" s="3">
        <f t="shared" si="539"/>
        <v>8</v>
      </c>
      <c r="R2022" s="3">
        <f>IF(AND($K2022=1,AND(对接源_02物料!$X822="公司筐",N(对接源_02物料!$U822)&lt;&gt;0)),1,0)</f>
        <v>0</v>
      </c>
      <c r="S2022" s="3">
        <f t="shared" si="540"/>
        <v>0</v>
      </c>
      <c r="T2022" s="3">
        <f>IF(AND($K2022=1,AND(对接源_02物料!$X822="公司筐",N(对接源_02物料!$V822)&lt;&gt;0)),1,0)</f>
        <v>0</v>
      </c>
      <c r="U2022" s="3">
        <f t="shared" si="541"/>
        <v>19</v>
      </c>
      <c r="V2022" s="3">
        <f>IF(AND($L2022=1,AND(对接源_02物料!$X822="自备筐",N(对接源_02物料!$V822)&lt;&gt;0)),1,0)</f>
        <v>0</v>
      </c>
      <c r="W2022" s="3">
        <f t="shared" si="542"/>
        <v>8</v>
      </c>
      <c r="X2022" s="3">
        <f>IF(AND($L2022=1,AND(对接源_02物料!$X822="自备筐",N(对接源_02物料!$T822)&lt;&gt;0)),1,0)</f>
        <v>0</v>
      </c>
      <c r="Y2022" s="3">
        <f t="shared" si="543"/>
        <v>0</v>
      </c>
      <c r="Z2022" s="3">
        <f>IF(AND($M2022=1,对接源_02物料!$D822="原料入库"),1,0)</f>
        <v>0</v>
      </c>
      <c r="AA2022" s="3">
        <f t="shared" si="544"/>
        <v>24</v>
      </c>
      <c r="AB2022" s="3">
        <f>IF(AND($M2022=1,LEFT(对接源_02物料!$D822,4)="原料出库"),1,0)</f>
        <v>0</v>
      </c>
      <c r="AC2022" s="3">
        <f t="shared" si="545"/>
        <v>0</v>
      </c>
      <c r="AD2022" s="3">
        <f>IF(AND($M2022=1,LEFT(对接源_02物料!$D822,4)="成品出库"),1,0)</f>
        <v>0</v>
      </c>
      <c r="AE2022" s="3">
        <f t="shared" si="546"/>
        <v>0</v>
      </c>
      <c r="AF2022" s="3">
        <f>IF(AND($N2022=1,AND(LEFT(对接源_02物料!$D822,4)="包装物料",N(对接源_02物料!$K822)&lt;&gt;0)),1,0)</f>
        <v>0</v>
      </c>
      <c r="AG2022" s="3">
        <f t="shared" si="547"/>
        <v>5</v>
      </c>
      <c r="AH2022" s="3">
        <f>IF(AND($N2022=1,AND(对接源_02物料!$D822="周转筐－销售出库",N(对接源_02物料!$K822)&lt;&gt;0)),1,0)</f>
        <v>0</v>
      </c>
      <c r="AI2022" s="3">
        <f t="shared" si="548"/>
        <v>0</v>
      </c>
      <c r="AL2022" s="3">
        <v>0</v>
      </c>
      <c r="AM2022" s="3">
        <f t="shared" si="549"/>
        <v>1</v>
      </c>
      <c r="AN2022" s="3" t="str">
        <f t="shared" si="536"/>
        <v/>
      </c>
      <c r="AO2022" s="3">
        <v>0</v>
      </c>
      <c r="AP2022" s="3">
        <f t="shared" si="550"/>
        <v>8</v>
      </c>
      <c r="AR2022">
        <f t="shared" si="551"/>
        <v>0</v>
      </c>
      <c r="AS2022">
        <f t="shared" si="552"/>
        <v>5</v>
      </c>
    </row>
    <row r="2023" customHeight="1" spans="1:45">
      <c r="A2023" s="3" t="str">
        <f>IF(对接源_02物料!$C823="","",对接源_02物料!$C823)</f>
        <v/>
      </c>
      <c r="B2023" s="3">
        <f t="shared" si="537"/>
        <v>0</v>
      </c>
      <c r="C2023" s="3">
        <f t="shared" si="538"/>
        <v>21</v>
      </c>
      <c r="K2023" s="3">
        <f>IF(OR($K$1="",对接源_02物料!$C823="",对接源_02物料!$C823&lt;&gt;$K$1,对接源_02物料!$B823=""),0,IF(OR(N(对接源_02物料!$B823)&lt;$K$2,N(对接源_02物料!$B823)&gt;$K$3),0,1))</f>
        <v>0</v>
      </c>
      <c r="L2023" s="3">
        <f>IF(OR($L$1="",对接源_02物料!$C823="",对接源_02物料!$C823&lt;&gt;$L$1,对接源_02物料!$B823=""),0,IF(OR(N(对接源_02物料!$B823)&lt;$L$2,N(对接源_02物料!$B823)&gt;$L$3),0,1))</f>
        <v>0</v>
      </c>
      <c r="M2023" s="3">
        <f>IF(OR($M$1="",对接源_02物料!$C823="",对接源_02物料!$C823&lt;&gt;$M$1,对接源_02物料!$B823=""),0,IF(OR(N(对接源_02物料!$B823)&lt;$M$2,N(对接源_02物料!$B823)&gt;$M$3),0,1))</f>
        <v>0</v>
      </c>
      <c r="N2023" s="3">
        <f>IF(OR($N$1="",对接源_02物料!$C823="",对接源_02物料!$C823&lt;&gt;$N$1,对接源_02物料!$B823=""),0,IF(OR(N(对接源_02物料!$B823)&lt;$N$2,N(对接源_02物料!$B823)&gt;$N$3),0,1))</f>
        <v>0</v>
      </c>
      <c r="P2023" s="3">
        <f>IF(AND($K2023=1,AND(对接源_02物料!$X823="公司筐",N(对接源_02物料!$T823)&lt;&gt;0)),1,0)</f>
        <v>0</v>
      </c>
      <c r="Q2023" s="3">
        <f t="shared" si="539"/>
        <v>8</v>
      </c>
      <c r="R2023" s="3">
        <f>IF(AND($K2023=1,AND(对接源_02物料!$X823="公司筐",N(对接源_02物料!$U823)&lt;&gt;0)),1,0)</f>
        <v>0</v>
      </c>
      <c r="S2023" s="3">
        <f t="shared" si="540"/>
        <v>0</v>
      </c>
      <c r="T2023" s="3">
        <f>IF(AND($K2023=1,AND(对接源_02物料!$X823="公司筐",N(对接源_02物料!$V823)&lt;&gt;0)),1,0)</f>
        <v>0</v>
      </c>
      <c r="U2023" s="3">
        <f t="shared" si="541"/>
        <v>19</v>
      </c>
      <c r="V2023" s="3">
        <f>IF(AND($L2023=1,AND(对接源_02物料!$X823="自备筐",N(对接源_02物料!$V823)&lt;&gt;0)),1,0)</f>
        <v>0</v>
      </c>
      <c r="W2023" s="3">
        <f t="shared" si="542"/>
        <v>8</v>
      </c>
      <c r="X2023" s="3">
        <f>IF(AND($L2023=1,AND(对接源_02物料!$X823="自备筐",N(对接源_02物料!$T823)&lt;&gt;0)),1,0)</f>
        <v>0</v>
      </c>
      <c r="Y2023" s="3">
        <f t="shared" si="543"/>
        <v>0</v>
      </c>
      <c r="Z2023" s="3">
        <f>IF(AND($M2023=1,对接源_02物料!$D823="原料入库"),1,0)</f>
        <v>0</v>
      </c>
      <c r="AA2023" s="3">
        <f t="shared" si="544"/>
        <v>24</v>
      </c>
      <c r="AB2023" s="3">
        <f>IF(AND($M2023=1,LEFT(对接源_02物料!$D823,4)="原料出库"),1,0)</f>
        <v>0</v>
      </c>
      <c r="AC2023" s="3">
        <f t="shared" si="545"/>
        <v>0</v>
      </c>
      <c r="AD2023" s="3">
        <f>IF(AND($M2023=1,LEFT(对接源_02物料!$D823,4)="成品出库"),1,0)</f>
        <v>0</v>
      </c>
      <c r="AE2023" s="3">
        <f t="shared" si="546"/>
        <v>0</v>
      </c>
      <c r="AF2023" s="3">
        <f>IF(AND($N2023=1,AND(LEFT(对接源_02物料!$D823,4)="包装物料",N(对接源_02物料!$K823)&lt;&gt;0)),1,0)</f>
        <v>0</v>
      </c>
      <c r="AG2023" s="3">
        <f t="shared" si="547"/>
        <v>5</v>
      </c>
      <c r="AH2023" s="3">
        <f>IF(AND($N2023=1,AND(对接源_02物料!$D823="周转筐－销售出库",N(对接源_02物料!$K823)&lt;&gt;0)),1,0)</f>
        <v>0</v>
      </c>
      <c r="AI2023" s="3">
        <f t="shared" si="548"/>
        <v>0</v>
      </c>
      <c r="AL2023" s="3">
        <v>0</v>
      </c>
      <c r="AM2023" s="3">
        <f t="shared" si="549"/>
        <v>1</v>
      </c>
      <c r="AN2023" s="3" t="str">
        <f t="shared" si="536"/>
        <v/>
      </c>
      <c r="AO2023" s="3">
        <v>0</v>
      </c>
      <c r="AP2023" s="3">
        <f t="shared" si="550"/>
        <v>8</v>
      </c>
      <c r="AR2023">
        <f t="shared" si="551"/>
        <v>0</v>
      </c>
      <c r="AS2023">
        <f t="shared" si="552"/>
        <v>5</v>
      </c>
    </row>
    <row r="2024" customHeight="1" spans="1:45">
      <c r="A2024" s="3" t="str">
        <f>IF(对接源_02物料!$C824="","",对接源_02物料!$C824)</f>
        <v/>
      </c>
      <c r="B2024" s="3">
        <f t="shared" si="537"/>
        <v>0</v>
      </c>
      <c r="C2024" s="3">
        <f t="shared" si="538"/>
        <v>21</v>
      </c>
      <c r="K2024" s="3">
        <f>IF(OR($K$1="",对接源_02物料!$C824="",对接源_02物料!$C824&lt;&gt;$K$1,对接源_02物料!$B824=""),0,IF(OR(N(对接源_02物料!$B824)&lt;$K$2,N(对接源_02物料!$B824)&gt;$K$3),0,1))</f>
        <v>0</v>
      </c>
      <c r="L2024" s="3">
        <f>IF(OR($L$1="",对接源_02物料!$C824="",对接源_02物料!$C824&lt;&gt;$L$1,对接源_02物料!$B824=""),0,IF(OR(N(对接源_02物料!$B824)&lt;$L$2,N(对接源_02物料!$B824)&gt;$L$3),0,1))</f>
        <v>0</v>
      </c>
      <c r="M2024" s="3">
        <f>IF(OR($M$1="",对接源_02物料!$C824="",对接源_02物料!$C824&lt;&gt;$M$1,对接源_02物料!$B824=""),0,IF(OR(N(对接源_02物料!$B824)&lt;$M$2,N(对接源_02物料!$B824)&gt;$M$3),0,1))</f>
        <v>0</v>
      </c>
      <c r="N2024" s="3">
        <f>IF(OR($N$1="",对接源_02物料!$C824="",对接源_02物料!$C824&lt;&gt;$N$1,对接源_02物料!$B824=""),0,IF(OR(N(对接源_02物料!$B824)&lt;$N$2,N(对接源_02物料!$B824)&gt;$N$3),0,1))</f>
        <v>0</v>
      </c>
      <c r="P2024" s="3">
        <f>IF(AND($K2024=1,AND(对接源_02物料!$X824="公司筐",N(对接源_02物料!$T824)&lt;&gt;0)),1,0)</f>
        <v>0</v>
      </c>
      <c r="Q2024" s="3">
        <f t="shared" si="539"/>
        <v>8</v>
      </c>
      <c r="R2024" s="3">
        <f>IF(AND($K2024=1,AND(对接源_02物料!$X824="公司筐",N(对接源_02物料!$U824)&lt;&gt;0)),1,0)</f>
        <v>0</v>
      </c>
      <c r="S2024" s="3">
        <f t="shared" si="540"/>
        <v>0</v>
      </c>
      <c r="T2024" s="3">
        <f>IF(AND($K2024=1,AND(对接源_02物料!$X824="公司筐",N(对接源_02物料!$V824)&lt;&gt;0)),1,0)</f>
        <v>0</v>
      </c>
      <c r="U2024" s="3">
        <f t="shared" si="541"/>
        <v>19</v>
      </c>
      <c r="V2024" s="3">
        <f>IF(AND($L2024=1,AND(对接源_02物料!$X824="自备筐",N(对接源_02物料!$V824)&lt;&gt;0)),1,0)</f>
        <v>0</v>
      </c>
      <c r="W2024" s="3">
        <f t="shared" si="542"/>
        <v>8</v>
      </c>
      <c r="X2024" s="3">
        <f>IF(AND($L2024=1,AND(对接源_02物料!$X824="自备筐",N(对接源_02物料!$T824)&lt;&gt;0)),1,0)</f>
        <v>0</v>
      </c>
      <c r="Y2024" s="3">
        <f t="shared" si="543"/>
        <v>0</v>
      </c>
      <c r="Z2024" s="3">
        <f>IF(AND($M2024=1,对接源_02物料!$D824="原料入库"),1,0)</f>
        <v>0</v>
      </c>
      <c r="AA2024" s="3">
        <f t="shared" si="544"/>
        <v>24</v>
      </c>
      <c r="AB2024" s="3">
        <f>IF(AND($M2024=1,LEFT(对接源_02物料!$D824,4)="原料出库"),1,0)</f>
        <v>0</v>
      </c>
      <c r="AC2024" s="3">
        <f t="shared" si="545"/>
        <v>0</v>
      </c>
      <c r="AD2024" s="3">
        <f>IF(AND($M2024=1,LEFT(对接源_02物料!$D824,4)="成品出库"),1,0)</f>
        <v>0</v>
      </c>
      <c r="AE2024" s="3">
        <f t="shared" si="546"/>
        <v>0</v>
      </c>
      <c r="AF2024" s="3">
        <f>IF(AND($N2024=1,AND(LEFT(对接源_02物料!$D824,4)="包装物料",N(对接源_02物料!$K824)&lt;&gt;0)),1,0)</f>
        <v>0</v>
      </c>
      <c r="AG2024" s="3">
        <f t="shared" si="547"/>
        <v>5</v>
      </c>
      <c r="AH2024" s="3">
        <f>IF(AND($N2024=1,AND(对接源_02物料!$D824="周转筐－销售出库",N(对接源_02物料!$K824)&lt;&gt;0)),1,0)</f>
        <v>0</v>
      </c>
      <c r="AI2024" s="3">
        <f t="shared" si="548"/>
        <v>0</v>
      </c>
      <c r="AL2024" s="3">
        <v>0</v>
      </c>
      <c r="AM2024" s="3">
        <f t="shared" si="549"/>
        <v>1</v>
      </c>
      <c r="AN2024" s="3" t="str">
        <f t="shared" si="536"/>
        <v/>
      </c>
      <c r="AO2024" s="3">
        <v>0</v>
      </c>
      <c r="AP2024" s="3">
        <f t="shared" si="550"/>
        <v>8</v>
      </c>
      <c r="AR2024">
        <f t="shared" si="551"/>
        <v>0</v>
      </c>
      <c r="AS2024">
        <f t="shared" si="552"/>
        <v>5</v>
      </c>
    </row>
    <row r="2025" customHeight="1" spans="1:45">
      <c r="A2025" s="3" t="str">
        <f>IF(对接源_02物料!$C825="","",对接源_02物料!$C825)</f>
        <v/>
      </c>
      <c r="B2025" s="3">
        <f t="shared" si="537"/>
        <v>0</v>
      </c>
      <c r="C2025" s="3">
        <f t="shared" si="538"/>
        <v>21</v>
      </c>
      <c r="K2025" s="3">
        <f>IF(OR($K$1="",对接源_02物料!$C825="",对接源_02物料!$C825&lt;&gt;$K$1,对接源_02物料!$B825=""),0,IF(OR(N(对接源_02物料!$B825)&lt;$K$2,N(对接源_02物料!$B825)&gt;$K$3),0,1))</f>
        <v>0</v>
      </c>
      <c r="L2025" s="3">
        <f>IF(OR($L$1="",对接源_02物料!$C825="",对接源_02物料!$C825&lt;&gt;$L$1,对接源_02物料!$B825=""),0,IF(OR(N(对接源_02物料!$B825)&lt;$L$2,N(对接源_02物料!$B825)&gt;$L$3),0,1))</f>
        <v>0</v>
      </c>
      <c r="M2025" s="3">
        <f>IF(OR($M$1="",对接源_02物料!$C825="",对接源_02物料!$C825&lt;&gt;$M$1,对接源_02物料!$B825=""),0,IF(OR(N(对接源_02物料!$B825)&lt;$M$2,N(对接源_02物料!$B825)&gt;$M$3),0,1))</f>
        <v>0</v>
      </c>
      <c r="N2025" s="3">
        <f>IF(OR($N$1="",对接源_02物料!$C825="",对接源_02物料!$C825&lt;&gt;$N$1,对接源_02物料!$B825=""),0,IF(OR(N(对接源_02物料!$B825)&lt;$N$2,N(对接源_02物料!$B825)&gt;$N$3),0,1))</f>
        <v>0</v>
      </c>
      <c r="P2025" s="3">
        <f>IF(AND($K2025=1,AND(对接源_02物料!$X825="公司筐",N(对接源_02物料!$T825)&lt;&gt;0)),1,0)</f>
        <v>0</v>
      </c>
      <c r="Q2025" s="3">
        <f t="shared" si="539"/>
        <v>8</v>
      </c>
      <c r="R2025" s="3">
        <f>IF(AND($K2025=1,AND(对接源_02物料!$X825="公司筐",N(对接源_02物料!$U825)&lt;&gt;0)),1,0)</f>
        <v>0</v>
      </c>
      <c r="S2025" s="3">
        <f t="shared" si="540"/>
        <v>0</v>
      </c>
      <c r="T2025" s="3">
        <f>IF(AND($K2025=1,AND(对接源_02物料!$X825="公司筐",N(对接源_02物料!$V825)&lt;&gt;0)),1,0)</f>
        <v>0</v>
      </c>
      <c r="U2025" s="3">
        <f t="shared" si="541"/>
        <v>19</v>
      </c>
      <c r="V2025" s="3">
        <f>IF(AND($L2025=1,AND(对接源_02物料!$X825="自备筐",N(对接源_02物料!$V825)&lt;&gt;0)),1,0)</f>
        <v>0</v>
      </c>
      <c r="W2025" s="3">
        <f t="shared" si="542"/>
        <v>8</v>
      </c>
      <c r="X2025" s="3">
        <f>IF(AND($L2025=1,AND(对接源_02物料!$X825="自备筐",N(对接源_02物料!$T825)&lt;&gt;0)),1,0)</f>
        <v>0</v>
      </c>
      <c r="Y2025" s="3">
        <f t="shared" si="543"/>
        <v>0</v>
      </c>
      <c r="Z2025" s="3">
        <f>IF(AND($M2025=1,对接源_02物料!$D825="原料入库"),1,0)</f>
        <v>0</v>
      </c>
      <c r="AA2025" s="3">
        <f t="shared" si="544"/>
        <v>24</v>
      </c>
      <c r="AB2025" s="3">
        <f>IF(AND($M2025=1,LEFT(对接源_02物料!$D825,4)="原料出库"),1,0)</f>
        <v>0</v>
      </c>
      <c r="AC2025" s="3">
        <f t="shared" si="545"/>
        <v>0</v>
      </c>
      <c r="AD2025" s="3">
        <f>IF(AND($M2025=1,LEFT(对接源_02物料!$D825,4)="成品出库"),1,0)</f>
        <v>0</v>
      </c>
      <c r="AE2025" s="3">
        <f t="shared" si="546"/>
        <v>0</v>
      </c>
      <c r="AF2025" s="3">
        <f>IF(AND($N2025=1,AND(LEFT(对接源_02物料!$D825,4)="包装物料",N(对接源_02物料!$K825)&lt;&gt;0)),1,0)</f>
        <v>0</v>
      </c>
      <c r="AG2025" s="3">
        <f t="shared" si="547"/>
        <v>5</v>
      </c>
      <c r="AH2025" s="3">
        <f>IF(AND($N2025=1,AND(对接源_02物料!$D825="周转筐－销售出库",N(对接源_02物料!$K825)&lt;&gt;0)),1,0)</f>
        <v>0</v>
      </c>
      <c r="AI2025" s="3">
        <f t="shared" si="548"/>
        <v>0</v>
      </c>
      <c r="AL2025" s="3">
        <v>0</v>
      </c>
      <c r="AM2025" s="3">
        <f t="shared" si="549"/>
        <v>1</v>
      </c>
      <c r="AN2025" s="3" t="str">
        <f t="shared" si="536"/>
        <v/>
      </c>
      <c r="AO2025" s="3">
        <v>0</v>
      </c>
      <c r="AP2025" s="3">
        <f t="shared" si="550"/>
        <v>8</v>
      </c>
      <c r="AR2025">
        <f t="shared" si="551"/>
        <v>0</v>
      </c>
      <c r="AS2025">
        <f t="shared" si="552"/>
        <v>5</v>
      </c>
    </row>
    <row r="2026" customHeight="1" spans="1:45">
      <c r="A2026" s="3" t="str">
        <f>IF(对接源_02物料!$C826="","",对接源_02物料!$C826)</f>
        <v/>
      </c>
      <c r="B2026" s="3">
        <f t="shared" si="537"/>
        <v>0</v>
      </c>
      <c r="C2026" s="3">
        <f t="shared" si="538"/>
        <v>21</v>
      </c>
      <c r="K2026" s="3">
        <f>IF(OR($K$1="",对接源_02物料!$C826="",对接源_02物料!$C826&lt;&gt;$K$1,对接源_02物料!$B826=""),0,IF(OR(N(对接源_02物料!$B826)&lt;$K$2,N(对接源_02物料!$B826)&gt;$K$3),0,1))</f>
        <v>0</v>
      </c>
      <c r="L2026" s="3">
        <f>IF(OR($L$1="",对接源_02物料!$C826="",对接源_02物料!$C826&lt;&gt;$L$1,对接源_02物料!$B826=""),0,IF(OR(N(对接源_02物料!$B826)&lt;$L$2,N(对接源_02物料!$B826)&gt;$L$3),0,1))</f>
        <v>0</v>
      </c>
      <c r="M2026" s="3">
        <f>IF(OR($M$1="",对接源_02物料!$C826="",对接源_02物料!$C826&lt;&gt;$M$1,对接源_02物料!$B826=""),0,IF(OR(N(对接源_02物料!$B826)&lt;$M$2,N(对接源_02物料!$B826)&gt;$M$3),0,1))</f>
        <v>0</v>
      </c>
      <c r="N2026" s="3">
        <f>IF(OR($N$1="",对接源_02物料!$C826="",对接源_02物料!$C826&lt;&gt;$N$1,对接源_02物料!$B826=""),0,IF(OR(N(对接源_02物料!$B826)&lt;$N$2,N(对接源_02物料!$B826)&gt;$N$3),0,1))</f>
        <v>0</v>
      </c>
      <c r="P2026" s="3">
        <f>IF(AND($K2026=1,AND(对接源_02物料!$X826="公司筐",N(对接源_02物料!$T826)&lt;&gt;0)),1,0)</f>
        <v>0</v>
      </c>
      <c r="Q2026" s="3">
        <f t="shared" si="539"/>
        <v>8</v>
      </c>
      <c r="R2026" s="3">
        <f>IF(AND($K2026=1,AND(对接源_02物料!$X826="公司筐",N(对接源_02物料!$U826)&lt;&gt;0)),1,0)</f>
        <v>0</v>
      </c>
      <c r="S2026" s="3">
        <f t="shared" si="540"/>
        <v>0</v>
      </c>
      <c r="T2026" s="3">
        <f>IF(AND($K2026=1,AND(对接源_02物料!$X826="公司筐",N(对接源_02物料!$V826)&lt;&gt;0)),1,0)</f>
        <v>0</v>
      </c>
      <c r="U2026" s="3">
        <f t="shared" si="541"/>
        <v>19</v>
      </c>
      <c r="V2026" s="3">
        <f>IF(AND($L2026=1,AND(对接源_02物料!$X826="自备筐",N(对接源_02物料!$V826)&lt;&gt;0)),1,0)</f>
        <v>0</v>
      </c>
      <c r="W2026" s="3">
        <f t="shared" si="542"/>
        <v>8</v>
      </c>
      <c r="X2026" s="3">
        <f>IF(AND($L2026=1,AND(对接源_02物料!$X826="自备筐",N(对接源_02物料!$T826)&lt;&gt;0)),1,0)</f>
        <v>0</v>
      </c>
      <c r="Y2026" s="3">
        <f t="shared" si="543"/>
        <v>0</v>
      </c>
      <c r="Z2026" s="3">
        <f>IF(AND($M2026=1,对接源_02物料!$D826="原料入库"),1,0)</f>
        <v>0</v>
      </c>
      <c r="AA2026" s="3">
        <f t="shared" si="544"/>
        <v>24</v>
      </c>
      <c r="AB2026" s="3">
        <f>IF(AND($M2026=1,LEFT(对接源_02物料!$D826,4)="原料出库"),1,0)</f>
        <v>0</v>
      </c>
      <c r="AC2026" s="3">
        <f t="shared" si="545"/>
        <v>0</v>
      </c>
      <c r="AD2026" s="3">
        <f>IF(AND($M2026=1,LEFT(对接源_02物料!$D826,4)="成品出库"),1,0)</f>
        <v>0</v>
      </c>
      <c r="AE2026" s="3">
        <f t="shared" si="546"/>
        <v>0</v>
      </c>
      <c r="AF2026" s="3">
        <f>IF(AND($N2026=1,AND(LEFT(对接源_02物料!$D826,4)="包装物料",N(对接源_02物料!$K826)&lt;&gt;0)),1,0)</f>
        <v>0</v>
      </c>
      <c r="AG2026" s="3">
        <f t="shared" si="547"/>
        <v>5</v>
      </c>
      <c r="AH2026" s="3">
        <f>IF(AND($N2026=1,AND(对接源_02物料!$D826="周转筐－销售出库",N(对接源_02物料!$K826)&lt;&gt;0)),1,0)</f>
        <v>0</v>
      </c>
      <c r="AI2026" s="3">
        <f t="shared" si="548"/>
        <v>0</v>
      </c>
      <c r="AL2026" s="3">
        <v>0</v>
      </c>
      <c r="AM2026" s="3">
        <f t="shared" si="549"/>
        <v>1</v>
      </c>
      <c r="AN2026" s="3" t="str">
        <f t="shared" si="536"/>
        <v/>
      </c>
      <c r="AO2026" s="3">
        <v>0</v>
      </c>
      <c r="AP2026" s="3">
        <f t="shared" si="550"/>
        <v>8</v>
      </c>
      <c r="AR2026">
        <f t="shared" si="551"/>
        <v>0</v>
      </c>
      <c r="AS2026">
        <f t="shared" si="552"/>
        <v>5</v>
      </c>
    </row>
    <row r="2027" customHeight="1" spans="1:45">
      <c r="A2027" s="3" t="str">
        <f>IF(对接源_02物料!$C827="","",对接源_02物料!$C827)</f>
        <v/>
      </c>
      <c r="B2027" s="3">
        <f t="shared" si="537"/>
        <v>0</v>
      </c>
      <c r="C2027" s="3">
        <f t="shared" si="538"/>
        <v>21</v>
      </c>
      <c r="K2027" s="3">
        <f>IF(OR($K$1="",对接源_02物料!$C827="",对接源_02物料!$C827&lt;&gt;$K$1,对接源_02物料!$B827=""),0,IF(OR(N(对接源_02物料!$B827)&lt;$K$2,N(对接源_02物料!$B827)&gt;$K$3),0,1))</f>
        <v>0</v>
      </c>
      <c r="L2027" s="3">
        <f>IF(OR($L$1="",对接源_02物料!$C827="",对接源_02物料!$C827&lt;&gt;$L$1,对接源_02物料!$B827=""),0,IF(OR(N(对接源_02物料!$B827)&lt;$L$2,N(对接源_02物料!$B827)&gt;$L$3),0,1))</f>
        <v>0</v>
      </c>
      <c r="M2027" s="3">
        <f>IF(OR($M$1="",对接源_02物料!$C827="",对接源_02物料!$C827&lt;&gt;$M$1,对接源_02物料!$B827=""),0,IF(OR(N(对接源_02物料!$B827)&lt;$M$2,N(对接源_02物料!$B827)&gt;$M$3),0,1))</f>
        <v>0</v>
      </c>
      <c r="N2027" s="3">
        <f>IF(OR($N$1="",对接源_02物料!$C827="",对接源_02物料!$C827&lt;&gt;$N$1,对接源_02物料!$B827=""),0,IF(OR(N(对接源_02物料!$B827)&lt;$N$2,N(对接源_02物料!$B827)&gt;$N$3),0,1))</f>
        <v>0</v>
      </c>
      <c r="P2027" s="3">
        <f>IF(AND($K2027=1,AND(对接源_02物料!$X827="公司筐",N(对接源_02物料!$T827)&lt;&gt;0)),1,0)</f>
        <v>0</v>
      </c>
      <c r="Q2027" s="3">
        <f t="shared" si="539"/>
        <v>8</v>
      </c>
      <c r="R2027" s="3">
        <f>IF(AND($K2027=1,AND(对接源_02物料!$X827="公司筐",N(对接源_02物料!$U827)&lt;&gt;0)),1,0)</f>
        <v>0</v>
      </c>
      <c r="S2027" s="3">
        <f t="shared" si="540"/>
        <v>0</v>
      </c>
      <c r="T2027" s="3">
        <f>IF(AND($K2027=1,AND(对接源_02物料!$X827="公司筐",N(对接源_02物料!$V827)&lt;&gt;0)),1,0)</f>
        <v>0</v>
      </c>
      <c r="U2027" s="3">
        <f t="shared" si="541"/>
        <v>19</v>
      </c>
      <c r="V2027" s="3">
        <f>IF(AND($L2027=1,AND(对接源_02物料!$X827="自备筐",N(对接源_02物料!$V827)&lt;&gt;0)),1,0)</f>
        <v>0</v>
      </c>
      <c r="W2027" s="3">
        <f t="shared" si="542"/>
        <v>8</v>
      </c>
      <c r="X2027" s="3">
        <f>IF(AND($L2027=1,AND(对接源_02物料!$X827="自备筐",N(对接源_02物料!$T827)&lt;&gt;0)),1,0)</f>
        <v>0</v>
      </c>
      <c r="Y2027" s="3">
        <f t="shared" si="543"/>
        <v>0</v>
      </c>
      <c r="Z2027" s="3">
        <f>IF(AND($M2027=1,对接源_02物料!$D827="原料入库"),1,0)</f>
        <v>0</v>
      </c>
      <c r="AA2027" s="3">
        <f t="shared" si="544"/>
        <v>24</v>
      </c>
      <c r="AB2027" s="3">
        <f>IF(AND($M2027=1,LEFT(对接源_02物料!$D827,4)="原料出库"),1,0)</f>
        <v>0</v>
      </c>
      <c r="AC2027" s="3">
        <f t="shared" si="545"/>
        <v>0</v>
      </c>
      <c r="AD2027" s="3">
        <f>IF(AND($M2027=1,LEFT(对接源_02物料!$D827,4)="成品出库"),1,0)</f>
        <v>0</v>
      </c>
      <c r="AE2027" s="3">
        <f t="shared" si="546"/>
        <v>0</v>
      </c>
      <c r="AF2027" s="3">
        <f>IF(AND($N2027=1,AND(LEFT(对接源_02物料!$D827,4)="包装物料",N(对接源_02物料!$K827)&lt;&gt;0)),1,0)</f>
        <v>0</v>
      </c>
      <c r="AG2027" s="3">
        <f t="shared" si="547"/>
        <v>5</v>
      </c>
      <c r="AH2027" s="3">
        <f>IF(AND($N2027=1,AND(对接源_02物料!$D827="周转筐－销售出库",N(对接源_02物料!$K827)&lt;&gt;0)),1,0)</f>
        <v>0</v>
      </c>
      <c r="AI2027" s="3">
        <f t="shared" si="548"/>
        <v>0</v>
      </c>
      <c r="AL2027" s="3">
        <v>0</v>
      </c>
      <c r="AM2027" s="3">
        <f t="shared" si="549"/>
        <v>1</v>
      </c>
      <c r="AN2027" s="3" t="str">
        <f t="shared" si="536"/>
        <v/>
      </c>
      <c r="AO2027" s="3">
        <v>0</v>
      </c>
      <c r="AP2027" s="3">
        <f t="shared" si="550"/>
        <v>8</v>
      </c>
      <c r="AR2027">
        <f t="shared" si="551"/>
        <v>0</v>
      </c>
      <c r="AS2027">
        <f t="shared" si="552"/>
        <v>5</v>
      </c>
    </row>
    <row r="2028" customHeight="1" spans="1:45">
      <c r="A2028" s="3" t="str">
        <f>IF(对接源_02物料!$C828="","",对接源_02物料!$C828)</f>
        <v/>
      </c>
      <c r="B2028" s="3">
        <f t="shared" si="537"/>
        <v>0</v>
      </c>
      <c r="C2028" s="3">
        <f t="shared" si="538"/>
        <v>21</v>
      </c>
      <c r="K2028" s="3">
        <f>IF(OR($K$1="",对接源_02物料!$C828="",对接源_02物料!$C828&lt;&gt;$K$1,对接源_02物料!$B828=""),0,IF(OR(N(对接源_02物料!$B828)&lt;$K$2,N(对接源_02物料!$B828)&gt;$K$3),0,1))</f>
        <v>0</v>
      </c>
      <c r="L2028" s="3">
        <f>IF(OR($L$1="",对接源_02物料!$C828="",对接源_02物料!$C828&lt;&gt;$L$1,对接源_02物料!$B828=""),0,IF(OR(N(对接源_02物料!$B828)&lt;$L$2,N(对接源_02物料!$B828)&gt;$L$3),0,1))</f>
        <v>0</v>
      </c>
      <c r="M2028" s="3">
        <f>IF(OR($M$1="",对接源_02物料!$C828="",对接源_02物料!$C828&lt;&gt;$M$1,对接源_02物料!$B828=""),0,IF(OR(N(对接源_02物料!$B828)&lt;$M$2,N(对接源_02物料!$B828)&gt;$M$3),0,1))</f>
        <v>0</v>
      </c>
      <c r="N2028" s="3">
        <f>IF(OR($N$1="",对接源_02物料!$C828="",对接源_02物料!$C828&lt;&gt;$N$1,对接源_02物料!$B828=""),0,IF(OR(N(对接源_02物料!$B828)&lt;$N$2,N(对接源_02物料!$B828)&gt;$N$3),0,1))</f>
        <v>0</v>
      </c>
      <c r="P2028" s="3">
        <f>IF(AND($K2028=1,AND(对接源_02物料!$X828="公司筐",N(对接源_02物料!$T828)&lt;&gt;0)),1,0)</f>
        <v>0</v>
      </c>
      <c r="Q2028" s="3">
        <f t="shared" si="539"/>
        <v>8</v>
      </c>
      <c r="R2028" s="3">
        <f>IF(AND($K2028=1,AND(对接源_02物料!$X828="公司筐",N(对接源_02物料!$U828)&lt;&gt;0)),1,0)</f>
        <v>0</v>
      </c>
      <c r="S2028" s="3">
        <f t="shared" si="540"/>
        <v>0</v>
      </c>
      <c r="T2028" s="3">
        <f>IF(AND($K2028=1,AND(对接源_02物料!$X828="公司筐",N(对接源_02物料!$V828)&lt;&gt;0)),1,0)</f>
        <v>0</v>
      </c>
      <c r="U2028" s="3">
        <f t="shared" si="541"/>
        <v>19</v>
      </c>
      <c r="V2028" s="3">
        <f>IF(AND($L2028=1,AND(对接源_02物料!$X828="自备筐",N(对接源_02物料!$V828)&lt;&gt;0)),1,0)</f>
        <v>0</v>
      </c>
      <c r="W2028" s="3">
        <f t="shared" si="542"/>
        <v>8</v>
      </c>
      <c r="X2028" s="3">
        <f>IF(AND($L2028=1,AND(对接源_02物料!$X828="自备筐",N(对接源_02物料!$T828)&lt;&gt;0)),1,0)</f>
        <v>0</v>
      </c>
      <c r="Y2028" s="3">
        <f t="shared" si="543"/>
        <v>0</v>
      </c>
      <c r="Z2028" s="3">
        <f>IF(AND($M2028=1,对接源_02物料!$D828="原料入库"),1,0)</f>
        <v>0</v>
      </c>
      <c r="AA2028" s="3">
        <f t="shared" si="544"/>
        <v>24</v>
      </c>
      <c r="AB2028" s="3">
        <f>IF(AND($M2028=1,LEFT(对接源_02物料!$D828,4)="原料出库"),1,0)</f>
        <v>0</v>
      </c>
      <c r="AC2028" s="3">
        <f t="shared" si="545"/>
        <v>0</v>
      </c>
      <c r="AD2028" s="3">
        <f>IF(AND($M2028=1,LEFT(对接源_02物料!$D828,4)="成品出库"),1,0)</f>
        <v>0</v>
      </c>
      <c r="AE2028" s="3">
        <f t="shared" si="546"/>
        <v>0</v>
      </c>
      <c r="AF2028" s="3">
        <f>IF(AND($N2028=1,AND(LEFT(对接源_02物料!$D828,4)="包装物料",N(对接源_02物料!$K828)&lt;&gt;0)),1,0)</f>
        <v>0</v>
      </c>
      <c r="AG2028" s="3">
        <f t="shared" si="547"/>
        <v>5</v>
      </c>
      <c r="AH2028" s="3">
        <f>IF(AND($N2028=1,AND(对接源_02物料!$D828="周转筐－销售出库",N(对接源_02物料!$K828)&lt;&gt;0)),1,0)</f>
        <v>0</v>
      </c>
      <c r="AI2028" s="3">
        <f t="shared" si="548"/>
        <v>0</v>
      </c>
      <c r="AL2028" s="3">
        <v>0</v>
      </c>
      <c r="AM2028" s="3">
        <f t="shared" si="549"/>
        <v>1</v>
      </c>
      <c r="AN2028" s="3" t="str">
        <f t="shared" si="536"/>
        <v/>
      </c>
      <c r="AO2028" s="3">
        <v>0</v>
      </c>
      <c r="AP2028" s="3">
        <f t="shared" si="550"/>
        <v>8</v>
      </c>
      <c r="AR2028">
        <f t="shared" si="551"/>
        <v>0</v>
      </c>
      <c r="AS2028">
        <f t="shared" si="552"/>
        <v>5</v>
      </c>
    </row>
    <row r="2029" customHeight="1" spans="1:45">
      <c r="A2029" s="3" t="str">
        <f>IF(对接源_02物料!$C829="","",对接源_02物料!$C829)</f>
        <v/>
      </c>
      <c r="B2029" s="3">
        <f t="shared" si="537"/>
        <v>0</v>
      </c>
      <c r="C2029" s="3">
        <f t="shared" si="538"/>
        <v>21</v>
      </c>
      <c r="K2029" s="3">
        <f>IF(OR($K$1="",对接源_02物料!$C829="",对接源_02物料!$C829&lt;&gt;$K$1,对接源_02物料!$B829=""),0,IF(OR(N(对接源_02物料!$B829)&lt;$K$2,N(对接源_02物料!$B829)&gt;$K$3),0,1))</f>
        <v>0</v>
      </c>
      <c r="L2029" s="3">
        <f>IF(OR($L$1="",对接源_02物料!$C829="",对接源_02物料!$C829&lt;&gt;$L$1,对接源_02物料!$B829=""),0,IF(OR(N(对接源_02物料!$B829)&lt;$L$2,N(对接源_02物料!$B829)&gt;$L$3),0,1))</f>
        <v>0</v>
      </c>
      <c r="M2029" s="3">
        <f>IF(OR($M$1="",对接源_02物料!$C829="",对接源_02物料!$C829&lt;&gt;$M$1,对接源_02物料!$B829=""),0,IF(OR(N(对接源_02物料!$B829)&lt;$M$2,N(对接源_02物料!$B829)&gt;$M$3),0,1))</f>
        <v>0</v>
      </c>
      <c r="N2029" s="3">
        <f>IF(OR($N$1="",对接源_02物料!$C829="",对接源_02物料!$C829&lt;&gt;$N$1,对接源_02物料!$B829=""),0,IF(OR(N(对接源_02物料!$B829)&lt;$N$2,N(对接源_02物料!$B829)&gt;$N$3),0,1))</f>
        <v>0</v>
      </c>
      <c r="P2029" s="3">
        <f>IF(AND($K2029=1,AND(对接源_02物料!$X829="公司筐",N(对接源_02物料!$T829)&lt;&gt;0)),1,0)</f>
        <v>0</v>
      </c>
      <c r="Q2029" s="3">
        <f t="shared" si="539"/>
        <v>8</v>
      </c>
      <c r="R2029" s="3">
        <f>IF(AND($K2029=1,AND(对接源_02物料!$X829="公司筐",N(对接源_02物料!$U829)&lt;&gt;0)),1,0)</f>
        <v>0</v>
      </c>
      <c r="S2029" s="3">
        <f t="shared" si="540"/>
        <v>0</v>
      </c>
      <c r="T2029" s="3">
        <f>IF(AND($K2029=1,AND(对接源_02物料!$X829="公司筐",N(对接源_02物料!$V829)&lt;&gt;0)),1,0)</f>
        <v>0</v>
      </c>
      <c r="U2029" s="3">
        <f t="shared" si="541"/>
        <v>19</v>
      </c>
      <c r="V2029" s="3">
        <f>IF(AND($L2029=1,AND(对接源_02物料!$X829="自备筐",N(对接源_02物料!$V829)&lt;&gt;0)),1,0)</f>
        <v>0</v>
      </c>
      <c r="W2029" s="3">
        <f t="shared" si="542"/>
        <v>8</v>
      </c>
      <c r="X2029" s="3">
        <f>IF(AND($L2029=1,AND(对接源_02物料!$X829="自备筐",N(对接源_02物料!$T829)&lt;&gt;0)),1,0)</f>
        <v>0</v>
      </c>
      <c r="Y2029" s="3">
        <f t="shared" si="543"/>
        <v>0</v>
      </c>
      <c r="Z2029" s="3">
        <f>IF(AND($M2029=1,对接源_02物料!$D829="原料入库"),1,0)</f>
        <v>0</v>
      </c>
      <c r="AA2029" s="3">
        <f t="shared" si="544"/>
        <v>24</v>
      </c>
      <c r="AB2029" s="3">
        <f>IF(AND($M2029=1,LEFT(对接源_02物料!$D829,4)="原料出库"),1,0)</f>
        <v>0</v>
      </c>
      <c r="AC2029" s="3">
        <f t="shared" si="545"/>
        <v>0</v>
      </c>
      <c r="AD2029" s="3">
        <f>IF(AND($M2029=1,LEFT(对接源_02物料!$D829,4)="成品出库"),1,0)</f>
        <v>0</v>
      </c>
      <c r="AE2029" s="3">
        <f t="shared" si="546"/>
        <v>0</v>
      </c>
      <c r="AF2029" s="3">
        <f>IF(AND($N2029=1,AND(LEFT(对接源_02物料!$D829,4)="包装物料",N(对接源_02物料!$K829)&lt;&gt;0)),1,0)</f>
        <v>0</v>
      </c>
      <c r="AG2029" s="3">
        <f t="shared" si="547"/>
        <v>5</v>
      </c>
      <c r="AH2029" s="3">
        <f>IF(AND($N2029=1,AND(对接源_02物料!$D829="周转筐－销售出库",N(对接源_02物料!$K829)&lt;&gt;0)),1,0)</f>
        <v>0</v>
      </c>
      <c r="AI2029" s="3">
        <f t="shared" si="548"/>
        <v>0</v>
      </c>
      <c r="AL2029" s="3">
        <v>0</v>
      </c>
      <c r="AM2029" s="3">
        <f t="shared" si="549"/>
        <v>1</v>
      </c>
      <c r="AN2029" s="3" t="str">
        <f t="shared" si="536"/>
        <v/>
      </c>
      <c r="AO2029" s="3">
        <v>0</v>
      </c>
      <c r="AP2029" s="3">
        <f t="shared" si="550"/>
        <v>8</v>
      </c>
      <c r="AR2029">
        <f t="shared" si="551"/>
        <v>0</v>
      </c>
      <c r="AS2029">
        <f t="shared" si="552"/>
        <v>5</v>
      </c>
    </row>
    <row r="2030" customHeight="1" spans="1:45">
      <c r="A2030" s="3" t="str">
        <f>IF(对接源_02物料!$C830="","",对接源_02物料!$C830)</f>
        <v/>
      </c>
      <c r="B2030" s="3">
        <f t="shared" si="537"/>
        <v>0</v>
      </c>
      <c r="C2030" s="3">
        <f t="shared" si="538"/>
        <v>21</v>
      </c>
      <c r="K2030" s="3">
        <f>IF(OR($K$1="",对接源_02物料!$C830="",对接源_02物料!$C830&lt;&gt;$K$1,对接源_02物料!$B830=""),0,IF(OR(N(对接源_02物料!$B830)&lt;$K$2,N(对接源_02物料!$B830)&gt;$K$3),0,1))</f>
        <v>0</v>
      </c>
      <c r="L2030" s="3">
        <f>IF(OR($L$1="",对接源_02物料!$C830="",对接源_02物料!$C830&lt;&gt;$L$1,对接源_02物料!$B830=""),0,IF(OR(N(对接源_02物料!$B830)&lt;$L$2,N(对接源_02物料!$B830)&gt;$L$3),0,1))</f>
        <v>0</v>
      </c>
      <c r="M2030" s="3">
        <f>IF(OR($M$1="",对接源_02物料!$C830="",对接源_02物料!$C830&lt;&gt;$M$1,对接源_02物料!$B830=""),0,IF(OR(N(对接源_02物料!$B830)&lt;$M$2,N(对接源_02物料!$B830)&gt;$M$3),0,1))</f>
        <v>0</v>
      </c>
      <c r="N2030" s="3">
        <f>IF(OR($N$1="",对接源_02物料!$C830="",对接源_02物料!$C830&lt;&gt;$N$1,对接源_02物料!$B830=""),0,IF(OR(N(对接源_02物料!$B830)&lt;$N$2,N(对接源_02物料!$B830)&gt;$N$3),0,1))</f>
        <v>0</v>
      </c>
      <c r="P2030" s="3">
        <f>IF(AND($K2030=1,AND(对接源_02物料!$X830="公司筐",N(对接源_02物料!$T830)&lt;&gt;0)),1,0)</f>
        <v>0</v>
      </c>
      <c r="Q2030" s="3">
        <f t="shared" si="539"/>
        <v>8</v>
      </c>
      <c r="R2030" s="3">
        <f>IF(AND($K2030=1,AND(对接源_02物料!$X830="公司筐",N(对接源_02物料!$U830)&lt;&gt;0)),1,0)</f>
        <v>0</v>
      </c>
      <c r="S2030" s="3">
        <f t="shared" si="540"/>
        <v>0</v>
      </c>
      <c r="T2030" s="3">
        <f>IF(AND($K2030=1,AND(对接源_02物料!$X830="公司筐",N(对接源_02物料!$V830)&lt;&gt;0)),1,0)</f>
        <v>0</v>
      </c>
      <c r="U2030" s="3">
        <f t="shared" si="541"/>
        <v>19</v>
      </c>
      <c r="V2030" s="3">
        <f>IF(AND($L2030=1,AND(对接源_02物料!$X830="自备筐",N(对接源_02物料!$V830)&lt;&gt;0)),1,0)</f>
        <v>0</v>
      </c>
      <c r="W2030" s="3">
        <f t="shared" si="542"/>
        <v>8</v>
      </c>
      <c r="X2030" s="3">
        <f>IF(AND($L2030=1,AND(对接源_02物料!$X830="自备筐",N(对接源_02物料!$T830)&lt;&gt;0)),1,0)</f>
        <v>0</v>
      </c>
      <c r="Y2030" s="3">
        <f t="shared" si="543"/>
        <v>0</v>
      </c>
      <c r="Z2030" s="3">
        <f>IF(AND($M2030=1,对接源_02物料!$D830="原料入库"),1,0)</f>
        <v>0</v>
      </c>
      <c r="AA2030" s="3">
        <f t="shared" si="544"/>
        <v>24</v>
      </c>
      <c r="AB2030" s="3">
        <f>IF(AND($M2030=1,LEFT(对接源_02物料!$D830,4)="原料出库"),1,0)</f>
        <v>0</v>
      </c>
      <c r="AC2030" s="3">
        <f t="shared" si="545"/>
        <v>0</v>
      </c>
      <c r="AD2030" s="3">
        <f>IF(AND($M2030=1,LEFT(对接源_02物料!$D830,4)="成品出库"),1,0)</f>
        <v>0</v>
      </c>
      <c r="AE2030" s="3">
        <f t="shared" si="546"/>
        <v>0</v>
      </c>
      <c r="AF2030" s="3">
        <f>IF(AND($N2030=1,AND(LEFT(对接源_02物料!$D830,4)="包装物料",N(对接源_02物料!$K830)&lt;&gt;0)),1,0)</f>
        <v>0</v>
      </c>
      <c r="AG2030" s="3">
        <f t="shared" si="547"/>
        <v>5</v>
      </c>
      <c r="AH2030" s="3">
        <f>IF(AND($N2030=1,AND(对接源_02物料!$D830="周转筐－销售出库",N(对接源_02物料!$K830)&lt;&gt;0)),1,0)</f>
        <v>0</v>
      </c>
      <c r="AI2030" s="3">
        <f t="shared" si="548"/>
        <v>0</v>
      </c>
      <c r="AL2030" s="3">
        <v>0</v>
      </c>
      <c r="AM2030" s="3">
        <f t="shared" si="549"/>
        <v>1</v>
      </c>
      <c r="AN2030" s="3" t="str">
        <f t="shared" si="536"/>
        <v/>
      </c>
      <c r="AO2030" s="3">
        <v>0</v>
      </c>
      <c r="AP2030" s="3">
        <f t="shared" si="550"/>
        <v>8</v>
      </c>
      <c r="AR2030">
        <f t="shared" si="551"/>
        <v>0</v>
      </c>
      <c r="AS2030">
        <f t="shared" si="552"/>
        <v>5</v>
      </c>
    </row>
    <row r="2031" customHeight="1" spans="1:45">
      <c r="A2031" s="3" t="str">
        <f>IF(对接源_02物料!$C831="","",对接源_02物料!$C831)</f>
        <v/>
      </c>
      <c r="B2031" s="3">
        <f t="shared" si="537"/>
        <v>0</v>
      </c>
      <c r="C2031" s="3">
        <f t="shared" si="538"/>
        <v>21</v>
      </c>
      <c r="K2031" s="3">
        <f>IF(OR($K$1="",对接源_02物料!$C831="",对接源_02物料!$C831&lt;&gt;$K$1,对接源_02物料!$B831=""),0,IF(OR(N(对接源_02物料!$B831)&lt;$K$2,N(对接源_02物料!$B831)&gt;$K$3),0,1))</f>
        <v>0</v>
      </c>
      <c r="L2031" s="3">
        <f>IF(OR($L$1="",对接源_02物料!$C831="",对接源_02物料!$C831&lt;&gt;$L$1,对接源_02物料!$B831=""),0,IF(OR(N(对接源_02物料!$B831)&lt;$L$2,N(对接源_02物料!$B831)&gt;$L$3),0,1))</f>
        <v>0</v>
      </c>
      <c r="M2031" s="3">
        <f>IF(OR($M$1="",对接源_02物料!$C831="",对接源_02物料!$C831&lt;&gt;$M$1,对接源_02物料!$B831=""),0,IF(OR(N(对接源_02物料!$B831)&lt;$M$2,N(对接源_02物料!$B831)&gt;$M$3),0,1))</f>
        <v>0</v>
      </c>
      <c r="N2031" s="3">
        <f>IF(OR($N$1="",对接源_02物料!$C831="",对接源_02物料!$C831&lt;&gt;$N$1,对接源_02物料!$B831=""),0,IF(OR(N(对接源_02物料!$B831)&lt;$N$2,N(对接源_02物料!$B831)&gt;$N$3),0,1))</f>
        <v>0</v>
      </c>
      <c r="P2031" s="3">
        <f>IF(AND($K2031=1,AND(对接源_02物料!$X831="公司筐",N(对接源_02物料!$T831)&lt;&gt;0)),1,0)</f>
        <v>0</v>
      </c>
      <c r="Q2031" s="3">
        <f t="shared" si="539"/>
        <v>8</v>
      </c>
      <c r="R2031" s="3">
        <f>IF(AND($K2031=1,AND(对接源_02物料!$X831="公司筐",N(对接源_02物料!$U831)&lt;&gt;0)),1,0)</f>
        <v>0</v>
      </c>
      <c r="S2031" s="3">
        <f t="shared" si="540"/>
        <v>0</v>
      </c>
      <c r="T2031" s="3">
        <f>IF(AND($K2031=1,AND(对接源_02物料!$X831="公司筐",N(对接源_02物料!$V831)&lt;&gt;0)),1,0)</f>
        <v>0</v>
      </c>
      <c r="U2031" s="3">
        <f t="shared" si="541"/>
        <v>19</v>
      </c>
      <c r="V2031" s="3">
        <f>IF(AND($L2031=1,AND(对接源_02物料!$X831="自备筐",N(对接源_02物料!$V831)&lt;&gt;0)),1,0)</f>
        <v>0</v>
      </c>
      <c r="W2031" s="3">
        <f t="shared" si="542"/>
        <v>8</v>
      </c>
      <c r="X2031" s="3">
        <f>IF(AND($L2031=1,AND(对接源_02物料!$X831="自备筐",N(对接源_02物料!$T831)&lt;&gt;0)),1,0)</f>
        <v>0</v>
      </c>
      <c r="Y2031" s="3">
        <f t="shared" si="543"/>
        <v>0</v>
      </c>
      <c r="Z2031" s="3">
        <f>IF(AND($M2031=1,对接源_02物料!$D831="原料入库"),1,0)</f>
        <v>0</v>
      </c>
      <c r="AA2031" s="3">
        <f t="shared" si="544"/>
        <v>24</v>
      </c>
      <c r="AB2031" s="3">
        <f>IF(AND($M2031=1,LEFT(对接源_02物料!$D831,4)="原料出库"),1,0)</f>
        <v>0</v>
      </c>
      <c r="AC2031" s="3">
        <f t="shared" si="545"/>
        <v>0</v>
      </c>
      <c r="AD2031" s="3">
        <f>IF(AND($M2031=1,LEFT(对接源_02物料!$D831,4)="成品出库"),1,0)</f>
        <v>0</v>
      </c>
      <c r="AE2031" s="3">
        <f t="shared" si="546"/>
        <v>0</v>
      </c>
      <c r="AF2031" s="3">
        <f>IF(AND($N2031=1,AND(LEFT(对接源_02物料!$D831,4)="包装物料",N(对接源_02物料!$K831)&lt;&gt;0)),1,0)</f>
        <v>0</v>
      </c>
      <c r="AG2031" s="3">
        <f t="shared" si="547"/>
        <v>5</v>
      </c>
      <c r="AH2031" s="3">
        <f>IF(AND($N2031=1,AND(对接源_02物料!$D831="周转筐－销售出库",N(对接源_02物料!$K831)&lt;&gt;0)),1,0)</f>
        <v>0</v>
      </c>
      <c r="AI2031" s="3">
        <f t="shared" si="548"/>
        <v>0</v>
      </c>
      <c r="AL2031" s="3">
        <v>0</v>
      </c>
      <c r="AM2031" s="3">
        <f t="shared" si="549"/>
        <v>1</v>
      </c>
      <c r="AN2031" s="3" t="str">
        <f t="shared" si="536"/>
        <v/>
      </c>
      <c r="AO2031" s="3">
        <v>0</v>
      </c>
      <c r="AP2031" s="3">
        <f t="shared" si="550"/>
        <v>8</v>
      </c>
      <c r="AR2031">
        <f t="shared" si="551"/>
        <v>0</v>
      </c>
      <c r="AS2031">
        <f t="shared" si="552"/>
        <v>5</v>
      </c>
    </row>
    <row r="2032" customHeight="1" spans="1:45">
      <c r="A2032" s="3" t="str">
        <f>IF(对接源_02物料!$C832="","",对接源_02物料!$C832)</f>
        <v/>
      </c>
      <c r="B2032" s="3">
        <f t="shared" si="537"/>
        <v>0</v>
      </c>
      <c r="C2032" s="3">
        <f t="shared" si="538"/>
        <v>21</v>
      </c>
      <c r="K2032" s="3">
        <f>IF(OR($K$1="",对接源_02物料!$C832="",对接源_02物料!$C832&lt;&gt;$K$1,对接源_02物料!$B832=""),0,IF(OR(N(对接源_02物料!$B832)&lt;$K$2,N(对接源_02物料!$B832)&gt;$K$3),0,1))</f>
        <v>0</v>
      </c>
      <c r="L2032" s="3">
        <f>IF(OR($L$1="",对接源_02物料!$C832="",对接源_02物料!$C832&lt;&gt;$L$1,对接源_02物料!$B832=""),0,IF(OR(N(对接源_02物料!$B832)&lt;$L$2,N(对接源_02物料!$B832)&gt;$L$3),0,1))</f>
        <v>0</v>
      </c>
      <c r="M2032" s="3">
        <f>IF(OR($M$1="",对接源_02物料!$C832="",对接源_02物料!$C832&lt;&gt;$M$1,对接源_02物料!$B832=""),0,IF(OR(N(对接源_02物料!$B832)&lt;$M$2,N(对接源_02物料!$B832)&gt;$M$3),0,1))</f>
        <v>0</v>
      </c>
      <c r="N2032" s="3">
        <f>IF(OR($N$1="",对接源_02物料!$C832="",对接源_02物料!$C832&lt;&gt;$N$1,对接源_02物料!$B832=""),0,IF(OR(N(对接源_02物料!$B832)&lt;$N$2,N(对接源_02物料!$B832)&gt;$N$3),0,1))</f>
        <v>0</v>
      </c>
      <c r="P2032" s="3">
        <f>IF(AND($K2032=1,AND(对接源_02物料!$X832="公司筐",N(对接源_02物料!$T832)&lt;&gt;0)),1,0)</f>
        <v>0</v>
      </c>
      <c r="Q2032" s="3">
        <f t="shared" si="539"/>
        <v>8</v>
      </c>
      <c r="R2032" s="3">
        <f>IF(AND($K2032=1,AND(对接源_02物料!$X832="公司筐",N(对接源_02物料!$U832)&lt;&gt;0)),1,0)</f>
        <v>0</v>
      </c>
      <c r="S2032" s="3">
        <f t="shared" si="540"/>
        <v>0</v>
      </c>
      <c r="T2032" s="3">
        <f>IF(AND($K2032=1,AND(对接源_02物料!$X832="公司筐",N(对接源_02物料!$V832)&lt;&gt;0)),1,0)</f>
        <v>0</v>
      </c>
      <c r="U2032" s="3">
        <f t="shared" si="541"/>
        <v>19</v>
      </c>
      <c r="V2032" s="3">
        <f>IF(AND($L2032=1,AND(对接源_02物料!$X832="自备筐",N(对接源_02物料!$V832)&lt;&gt;0)),1,0)</f>
        <v>0</v>
      </c>
      <c r="W2032" s="3">
        <f t="shared" si="542"/>
        <v>8</v>
      </c>
      <c r="X2032" s="3">
        <f>IF(AND($L2032=1,AND(对接源_02物料!$X832="自备筐",N(对接源_02物料!$T832)&lt;&gt;0)),1,0)</f>
        <v>0</v>
      </c>
      <c r="Y2032" s="3">
        <f t="shared" si="543"/>
        <v>0</v>
      </c>
      <c r="Z2032" s="3">
        <f>IF(AND($M2032=1,对接源_02物料!$D832="原料入库"),1,0)</f>
        <v>0</v>
      </c>
      <c r="AA2032" s="3">
        <f t="shared" si="544"/>
        <v>24</v>
      </c>
      <c r="AB2032" s="3">
        <f>IF(AND($M2032=1,LEFT(对接源_02物料!$D832,4)="原料出库"),1,0)</f>
        <v>0</v>
      </c>
      <c r="AC2032" s="3">
        <f t="shared" si="545"/>
        <v>0</v>
      </c>
      <c r="AD2032" s="3">
        <f>IF(AND($M2032=1,LEFT(对接源_02物料!$D832,4)="成品出库"),1,0)</f>
        <v>0</v>
      </c>
      <c r="AE2032" s="3">
        <f t="shared" si="546"/>
        <v>0</v>
      </c>
      <c r="AF2032" s="3">
        <f>IF(AND($N2032=1,AND(LEFT(对接源_02物料!$D832,4)="包装物料",N(对接源_02物料!$K832)&lt;&gt;0)),1,0)</f>
        <v>0</v>
      </c>
      <c r="AG2032" s="3">
        <f t="shared" si="547"/>
        <v>5</v>
      </c>
      <c r="AH2032" s="3">
        <f>IF(AND($N2032=1,AND(对接源_02物料!$D832="周转筐－销售出库",N(对接源_02物料!$K832)&lt;&gt;0)),1,0)</f>
        <v>0</v>
      </c>
      <c r="AI2032" s="3">
        <f t="shared" si="548"/>
        <v>0</v>
      </c>
      <c r="AL2032" s="3">
        <v>0</v>
      </c>
      <c r="AM2032" s="3">
        <f t="shared" si="549"/>
        <v>1</v>
      </c>
      <c r="AN2032" s="3" t="str">
        <f t="shared" si="536"/>
        <v/>
      </c>
      <c r="AO2032" s="3">
        <v>0</v>
      </c>
      <c r="AP2032" s="3">
        <f t="shared" si="550"/>
        <v>8</v>
      </c>
      <c r="AR2032">
        <f t="shared" si="551"/>
        <v>0</v>
      </c>
      <c r="AS2032">
        <f t="shared" si="552"/>
        <v>5</v>
      </c>
    </row>
    <row r="2033" customHeight="1" spans="1:45">
      <c r="A2033" s="3" t="str">
        <f>IF(对接源_02物料!$C833="","",对接源_02物料!$C833)</f>
        <v/>
      </c>
      <c r="B2033" s="3">
        <f t="shared" si="537"/>
        <v>0</v>
      </c>
      <c r="C2033" s="3">
        <f t="shared" si="538"/>
        <v>21</v>
      </c>
      <c r="K2033" s="3">
        <f>IF(OR($K$1="",对接源_02物料!$C833="",对接源_02物料!$C833&lt;&gt;$K$1,对接源_02物料!$B833=""),0,IF(OR(N(对接源_02物料!$B833)&lt;$K$2,N(对接源_02物料!$B833)&gt;$K$3),0,1))</f>
        <v>0</v>
      </c>
      <c r="L2033" s="3">
        <f>IF(OR($L$1="",对接源_02物料!$C833="",对接源_02物料!$C833&lt;&gt;$L$1,对接源_02物料!$B833=""),0,IF(OR(N(对接源_02物料!$B833)&lt;$L$2,N(对接源_02物料!$B833)&gt;$L$3),0,1))</f>
        <v>0</v>
      </c>
      <c r="M2033" s="3">
        <f>IF(OR($M$1="",对接源_02物料!$C833="",对接源_02物料!$C833&lt;&gt;$M$1,对接源_02物料!$B833=""),0,IF(OR(N(对接源_02物料!$B833)&lt;$M$2,N(对接源_02物料!$B833)&gt;$M$3),0,1))</f>
        <v>0</v>
      </c>
      <c r="N2033" s="3">
        <f>IF(OR($N$1="",对接源_02物料!$C833="",对接源_02物料!$C833&lt;&gt;$N$1,对接源_02物料!$B833=""),0,IF(OR(N(对接源_02物料!$B833)&lt;$N$2,N(对接源_02物料!$B833)&gt;$N$3),0,1))</f>
        <v>0</v>
      </c>
      <c r="P2033" s="3">
        <f>IF(AND($K2033=1,AND(对接源_02物料!$X833="公司筐",N(对接源_02物料!$T833)&lt;&gt;0)),1,0)</f>
        <v>0</v>
      </c>
      <c r="Q2033" s="3">
        <f t="shared" si="539"/>
        <v>8</v>
      </c>
      <c r="R2033" s="3">
        <f>IF(AND($K2033=1,AND(对接源_02物料!$X833="公司筐",N(对接源_02物料!$U833)&lt;&gt;0)),1,0)</f>
        <v>0</v>
      </c>
      <c r="S2033" s="3">
        <f t="shared" si="540"/>
        <v>0</v>
      </c>
      <c r="T2033" s="3">
        <f>IF(AND($K2033=1,AND(对接源_02物料!$X833="公司筐",N(对接源_02物料!$V833)&lt;&gt;0)),1,0)</f>
        <v>0</v>
      </c>
      <c r="U2033" s="3">
        <f t="shared" si="541"/>
        <v>19</v>
      </c>
      <c r="V2033" s="3">
        <f>IF(AND($L2033=1,AND(对接源_02物料!$X833="自备筐",N(对接源_02物料!$V833)&lt;&gt;0)),1,0)</f>
        <v>0</v>
      </c>
      <c r="W2033" s="3">
        <f t="shared" si="542"/>
        <v>8</v>
      </c>
      <c r="X2033" s="3">
        <f>IF(AND($L2033=1,AND(对接源_02物料!$X833="自备筐",N(对接源_02物料!$T833)&lt;&gt;0)),1,0)</f>
        <v>0</v>
      </c>
      <c r="Y2033" s="3">
        <f t="shared" si="543"/>
        <v>0</v>
      </c>
      <c r="Z2033" s="3">
        <f>IF(AND($M2033=1,对接源_02物料!$D833="原料入库"),1,0)</f>
        <v>0</v>
      </c>
      <c r="AA2033" s="3">
        <f t="shared" si="544"/>
        <v>24</v>
      </c>
      <c r="AB2033" s="3">
        <f>IF(AND($M2033=1,LEFT(对接源_02物料!$D833,4)="原料出库"),1,0)</f>
        <v>0</v>
      </c>
      <c r="AC2033" s="3">
        <f t="shared" si="545"/>
        <v>0</v>
      </c>
      <c r="AD2033" s="3">
        <f>IF(AND($M2033=1,LEFT(对接源_02物料!$D833,4)="成品出库"),1,0)</f>
        <v>0</v>
      </c>
      <c r="AE2033" s="3">
        <f t="shared" si="546"/>
        <v>0</v>
      </c>
      <c r="AF2033" s="3">
        <f>IF(AND($N2033=1,AND(LEFT(对接源_02物料!$D833,4)="包装物料",N(对接源_02物料!$K833)&lt;&gt;0)),1,0)</f>
        <v>0</v>
      </c>
      <c r="AG2033" s="3">
        <f t="shared" si="547"/>
        <v>5</v>
      </c>
      <c r="AH2033" s="3">
        <f>IF(AND($N2033=1,AND(对接源_02物料!$D833="周转筐－销售出库",N(对接源_02物料!$K833)&lt;&gt;0)),1,0)</f>
        <v>0</v>
      </c>
      <c r="AI2033" s="3">
        <f t="shared" si="548"/>
        <v>0</v>
      </c>
      <c r="AL2033" s="3">
        <v>0</v>
      </c>
      <c r="AM2033" s="3">
        <f t="shared" si="549"/>
        <v>1</v>
      </c>
      <c r="AN2033" s="3" t="str">
        <f t="shared" si="536"/>
        <v/>
      </c>
      <c r="AO2033" s="3">
        <v>0</v>
      </c>
      <c r="AP2033" s="3">
        <f t="shared" si="550"/>
        <v>8</v>
      </c>
      <c r="AR2033">
        <f t="shared" si="551"/>
        <v>0</v>
      </c>
      <c r="AS2033">
        <f t="shared" si="552"/>
        <v>5</v>
      </c>
    </row>
    <row r="2034" customHeight="1" spans="1:45">
      <c r="A2034" s="3" t="str">
        <f>IF(对接源_02物料!$C834="","",对接源_02物料!$C834)</f>
        <v/>
      </c>
      <c r="B2034" s="3">
        <f t="shared" si="537"/>
        <v>0</v>
      </c>
      <c r="C2034" s="3">
        <f t="shared" si="538"/>
        <v>21</v>
      </c>
      <c r="K2034" s="3">
        <f>IF(OR($K$1="",对接源_02物料!$C834="",对接源_02物料!$C834&lt;&gt;$K$1,对接源_02物料!$B834=""),0,IF(OR(N(对接源_02物料!$B834)&lt;$K$2,N(对接源_02物料!$B834)&gt;$K$3),0,1))</f>
        <v>0</v>
      </c>
      <c r="L2034" s="3">
        <f>IF(OR($L$1="",对接源_02物料!$C834="",对接源_02物料!$C834&lt;&gt;$L$1,对接源_02物料!$B834=""),0,IF(OR(N(对接源_02物料!$B834)&lt;$L$2,N(对接源_02物料!$B834)&gt;$L$3),0,1))</f>
        <v>0</v>
      </c>
      <c r="M2034" s="3">
        <f>IF(OR($M$1="",对接源_02物料!$C834="",对接源_02物料!$C834&lt;&gt;$M$1,对接源_02物料!$B834=""),0,IF(OR(N(对接源_02物料!$B834)&lt;$M$2,N(对接源_02物料!$B834)&gt;$M$3),0,1))</f>
        <v>0</v>
      </c>
      <c r="N2034" s="3">
        <f>IF(OR($N$1="",对接源_02物料!$C834="",对接源_02物料!$C834&lt;&gt;$N$1,对接源_02物料!$B834=""),0,IF(OR(N(对接源_02物料!$B834)&lt;$N$2,N(对接源_02物料!$B834)&gt;$N$3),0,1))</f>
        <v>0</v>
      </c>
      <c r="P2034" s="3">
        <f>IF(AND($K2034=1,AND(对接源_02物料!$X834="公司筐",N(对接源_02物料!$T834)&lt;&gt;0)),1,0)</f>
        <v>0</v>
      </c>
      <c r="Q2034" s="3">
        <f t="shared" si="539"/>
        <v>8</v>
      </c>
      <c r="R2034" s="3">
        <f>IF(AND($K2034=1,AND(对接源_02物料!$X834="公司筐",N(对接源_02物料!$U834)&lt;&gt;0)),1,0)</f>
        <v>0</v>
      </c>
      <c r="S2034" s="3">
        <f t="shared" si="540"/>
        <v>0</v>
      </c>
      <c r="T2034" s="3">
        <f>IF(AND($K2034=1,AND(对接源_02物料!$X834="公司筐",N(对接源_02物料!$V834)&lt;&gt;0)),1,0)</f>
        <v>0</v>
      </c>
      <c r="U2034" s="3">
        <f t="shared" si="541"/>
        <v>19</v>
      </c>
      <c r="V2034" s="3">
        <f>IF(AND($L2034=1,AND(对接源_02物料!$X834="自备筐",N(对接源_02物料!$V834)&lt;&gt;0)),1,0)</f>
        <v>0</v>
      </c>
      <c r="W2034" s="3">
        <f t="shared" si="542"/>
        <v>8</v>
      </c>
      <c r="X2034" s="3">
        <f>IF(AND($L2034=1,AND(对接源_02物料!$X834="自备筐",N(对接源_02物料!$T834)&lt;&gt;0)),1,0)</f>
        <v>0</v>
      </c>
      <c r="Y2034" s="3">
        <f t="shared" si="543"/>
        <v>0</v>
      </c>
      <c r="Z2034" s="3">
        <f>IF(AND($M2034=1,对接源_02物料!$D834="原料入库"),1,0)</f>
        <v>0</v>
      </c>
      <c r="AA2034" s="3">
        <f t="shared" si="544"/>
        <v>24</v>
      </c>
      <c r="AB2034" s="3">
        <f>IF(AND($M2034=1,LEFT(对接源_02物料!$D834,4)="原料出库"),1,0)</f>
        <v>0</v>
      </c>
      <c r="AC2034" s="3">
        <f t="shared" si="545"/>
        <v>0</v>
      </c>
      <c r="AD2034" s="3">
        <f>IF(AND($M2034=1,LEFT(对接源_02物料!$D834,4)="成品出库"),1,0)</f>
        <v>0</v>
      </c>
      <c r="AE2034" s="3">
        <f t="shared" si="546"/>
        <v>0</v>
      </c>
      <c r="AF2034" s="3">
        <f>IF(AND($N2034=1,AND(LEFT(对接源_02物料!$D834,4)="包装物料",N(对接源_02物料!$K834)&lt;&gt;0)),1,0)</f>
        <v>0</v>
      </c>
      <c r="AG2034" s="3">
        <f t="shared" si="547"/>
        <v>5</v>
      </c>
      <c r="AH2034" s="3">
        <f>IF(AND($N2034=1,AND(对接源_02物料!$D834="周转筐－销售出库",N(对接源_02物料!$K834)&lt;&gt;0)),1,0)</f>
        <v>0</v>
      </c>
      <c r="AI2034" s="3">
        <f t="shared" si="548"/>
        <v>0</v>
      </c>
      <c r="AL2034" s="3">
        <v>0</v>
      </c>
      <c r="AM2034" s="3">
        <f t="shared" si="549"/>
        <v>1</v>
      </c>
      <c r="AN2034" s="3" t="str">
        <f t="shared" si="536"/>
        <v/>
      </c>
      <c r="AO2034" s="3">
        <v>0</v>
      </c>
      <c r="AP2034" s="3">
        <f t="shared" si="550"/>
        <v>8</v>
      </c>
      <c r="AR2034">
        <f t="shared" si="551"/>
        <v>0</v>
      </c>
      <c r="AS2034">
        <f t="shared" si="552"/>
        <v>5</v>
      </c>
    </row>
    <row r="2035" customHeight="1" spans="1:45">
      <c r="A2035" s="3" t="str">
        <f>IF(对接源_02物料!$C835="","",对接源_02物料!$C835)</f>
        <v/>
      </c>
      <c r="B2035" s="3">
        <f t="shared" si="537"/>
        <v>0</v>
      </c>
      <c r="C2035" s="3">
        <f t="shared" si="538"/>
        <v>21</v>
      </c>
      <c r="K2035" s="3">
        <f>IF(OR($K$1="",对接源_02物料!$C835="",对接源_02物料!$C835&lt;&gt;$K$1,对接源_02物料!$B835=""),0,IF(OR(N(对接源_02物料!$B835)&lt;$K$2,N(对接源_02物料!$B835)&gt;$K$3),0,1))</f>
        <v>0</v>
      </c>
      <c r="L2035" s="3">
        <f>IF(OR($L$1="",对接源_02物料!$C835="",对接源_02物料!$C835&lt;&gt;$L$1,对接源_02物料!$B835=""),0,IF(OR(N(对接源_02物料!$B835)&lt;$L$2,N(对接源_02物料!$B835)&gt;$L$3),0,1))</f>
        <v>0</v>
      </c>
      <c r="M2035" s="3">
        <f>IF(OR($M$1="",对接源_02物料!$C835="",对接源_02物料!$C835&lt;&gt;$M$1,对接源_02物料!$B835=""),0,IF(OR(N(对接源_02物料!$B835)&lt;$M$2,N(对接源_02物料!$B835)&gt;$M$3),0,1))</f>
        <v>0</v>
      </c>
      <c r="N2035" s="3">
        <f>IF(OR($N$1="",对接源_02物料!$C835="",对接源_02物料!$C835&lt;&gt;$N$1,对接源_02物料!$B835=""),0,IF(OR(N(对接源_02物料!$B835)&lt;$N$2,N(对接源_02物料!$B835)&gt;$N$3),0,1))</f>
        <v>0</v>
      </c>
      <c r="P2035" s="3">
        <f>IF(AND($K2035=1,AND(对接源_02物料!$X835="公司筐",N(对接源_02物料!$T835)&lt;&gt;0)),1,0)</f>
        <v>0</v>
      </c>
      <c r="Q2035" s="3">
        <f t="shared" si="539"/>
        <v>8</v>
      </c>
      <c r="R2035" s="3">
        <f>IF(AND($K2035=1,AND(对接源_02物料!$X835="公司筐",N(对接源_02物料!$U835)&lt;&gt;0)),1,0)</f>
        <v>0</v>
      </c>
      <c r="S2035" s="3">
        <f t="shared" si="540"/>
        <v>0</v>
      </c>
      <c r="T2035" s="3">
        <f>IF(AND($K2035=1,AND(对接源_02物料!$X835="公司筐",N(对接源_02物料!$V835)&lt;&gt;0)),1,0)</f>
        <v>0</v>
      </c>
      <c r="U2035" s="3">
        <f t="shared" si="541"/>
        <v>19</v>
      </c>
      <c r="V2035" s="3">
        <f>IF(AND($L2035=1,AND(对接源_02物料!$X835="自备筐",N(对接源_02物料!$V835)&lt;&gt;0)),1,0)</f>
        <v>0</v>
      </c>
      <c r="W2035" s="3">
        <f t="shared" si="542"/>
        <v>8</v>
      </c>
      <c r="X2035" s="3">
        <f>IF(AND($L2035=1,AND(对接源_02物料!$X835="自备筐",N(对接源_02物料!$T835)&lt;&gt;0)),1,0)</f>
        <v>0</v>
      </c>
      <c r="Y2035" s="3">
        <f t="shared" si="543"/>
        <v>0</v>
      </c>
      <c r="Z2035" s="3">
        <f>IF(AND($M2035=1,对接源_02物料!$D835="原料入库"),1,0)</f>
        <v>0</v>
      </c>
      <c r="AA2035" s="3">
        <f t="shared" si="544"/>
        <v>24</v>
      </c>
      <c r="AB2035" s="3">
        <f>IF(AND($M2035=1,LEFT(对接源_02物料!$D835,4)="原料出库"),1,0)</f>
        <v>0</v>
      </c>
      <c r="AC2035" s="3">
        <f t="shared" si="545"/>
        <v>0</v>
      </c>
      <c r="AD2035" s="3">
        <f>IF(AND($M2035=1,LEFT(对接源_02物料!$D835,4)="成品出库"),1,0)</f>
        <v>0</v>
      </c>
      <c r="AE2035" s="3">
        <f t="shared" si="546"/>
        <v>0</v>
      </c>
      <c r="AF2035" s="3">
        <f>IF(AND($N2035=1,AND(LEFT(对接源_02物料!$D835,4)="包装物料",N(对接源_02物料!$K835)&lt;&gt;0)),1,0)</f>
        <v>0</v>
      </c>
      <c r="AG2035" s="3">
        <f t="shared" si="547"/>
        <v>5</v>
      </c>
      <c r="AH2035" s="3">
        <f>IF(AND($N2035=1,AND(对接源_02物料!$D835="周转筐－销售出库",N(对接源_02物料!$K835)&lt;&gt;0)),1,0)</f>
        <v>0</v>
      </c>
      <c r="AI2035" s="3">
        <f t="shared" si="548"/>
        <v>0</v>
      </c>
      <c r="AL2035" s="3">
        <v>0</v>
      </c>
      <c r="AM2035" s="3">
        <f t="shared" si="549"/>
        <v>1</v>
      </c>
      <c r="AN2035" s="3" t="str">
        <f t="shared" si="536"/>
        <v/>
      </c>
      <c r="AO2035" s="3">
        <v>0</v>
      </c>
      <c r="AP2035" s="3">
        <f t="shared" si="550"/>
        <v>8</v>
      </c>
      <c r="AR2035">
        <f t="shared" si="551"/>
        <v>0</v>
      </c>
      <c r="AS2035">
        <f t="shared" si="552"/>
        <v>5</v>
      </c>
    </row>
    <row r="2036" customHeight="1" spans="1:45">
      <c r="A2036" s="3" t="str">
        <f>IF(对接源_02物料!$C836="","",对接源_02物料!$C836)</f>
        <v/>
      </c>
      <c r="B2036" s="3">
        <f t="shared" si="537"/>
        <v>0</v>
      </c>
      <c r="C2036" s="3">
        <f t="shared" si="538"/>
        <v>21</v>
      </c>
      <c r="K2036" s="3">
        <f>IF(OR($K$1="",对接源_02物料!$C836="",对接源_02物料!$C836&lt;&gt;$K$1,对接源_02物料!$B836=""),0,IF(OR(N(对接源_02物料!$B836)&lt;$K$2,N(对接源_02物料!$B836)&gt;$K$3),0,1))</f>
        <v>0</v>
      </c>
      <c r="L2036" s="3">
        <f>IF(OR($L$1="",对接源_02物料!$C836="",对接源_02物料!$C836&lt;&gt;$L$1,对接源_02物料!$B836=""),0,IF(OR(N(对接源_02物料!$B836)&lt;$L$2,N(对接源_02物料!$B836)&gt;$L$3),0,1))</f>
        <v>0</v>
      </c>
      <c r="M2036" s="3">
        <f>IF(OR($M$1="",对接源_02物料!$C836="",对接源_02物料!$C836&lt;&gt;$M$1,对接源_02物料!$B836=""),0,IF(OR(N(对接源_02物料!$B836)&lt;$M$2,N(对接源_02物料!$B836)&gt;$M$3),0,1))</f>
        <v>0</v>
      </c>
      <c r="N2036" s="3">
        <f>IF(OR($N$1="",对接源_02物料!$C836="",对接源_02物料!$C836&lt;&gt;$N$1,对接源_02物料!$B836=""),0,IF(OR(N(对接源_02物料!$B836)&lt;$N$2,N(对接源_02物料!$B836)&gt;$N$3),0,1))</f>
        <v>0</v>
      </c>
      <c r="P2036" s="3">
        <f>IF(AND($K2036=1,AND(对接源_02物料!$X836="公司筐",N(对接源_02物料!$T836)&lt;&gt;0)),1,0)</f>
        <v>0</v>
      </c>
      <c r="Q2036" s="3">
        <f t="shared" si="539"/>
        <v>8</v>
      </c>
      <c r="R2036" s="3">
        <f>IF(AND($K2036=1,AND(对接源_02物料!$X836="公司筐",N(对接源_02物料!$U836)&lt;&gt;0)),1,0)</f>
        <v>0</v>
      </c>
      <c r="S2036" s="3">
        <f t="shared" si="540"/>
        <v>0</v>
      </c>
      <c r="T2036" s="3">
        <f>IF(AND($K2036=1,AND(对接源_02物料!$X836="公司筐",N(对接源_02物料!$V836)&lt;&gt;0)),1,0)</f>
        <v>0</v>
      </c>
      <c r="U2036" s="3">
        <f t="shared" si="541"/>
        <v>19</v>
      </c>
      <c r="V2036" s="3">
        <f>IF(AND($L2036=1,AND(对接源_02物料!$X836="自备筐",N(对接源_02物料!$V836)&lt;&gt;0)),1,0)</f>
        <v>0</v>
      </c>
      <c r="W2036" s="3">
        <f t="shared" si="542"/>
        <v>8</v>
      </c>
      <c r="X2036" s="3">
        <f>IF(AND($L2036=1,AND(对接源_02物料!$X836="自备筐",N(对接源_02物料!$T836)&lt;&gt;0)),1,0)</f>
        <v>0</v>
      </c>
      <c r="Y2036" s="3">
        <f t="shared" si="543"/>
        <v>0</v>
      </c>
      <c r="Z2036" s="3">
        <f>IF(AND($M2036=1,对接源_02物料!$D836="原料入库"),1,0)</f>
        <v>0</v>
      </c>
      <c r="AA2036" s="3">
        <f t="shared" si="544"/>
        <v>24</v>
      </c>
      <c r="AB2036" s="3">
        <f>IF(AND($M2036=1,LEFT(对接源_02物料!$D836,4)="原料出库"),1,0)</f>
        <v>0</v>
      </c>
      <c r="AC2036" s="3">
        <f t="shared" si="545"/>
        <v>0</v>
      </c>
      <c r="AD2036" s="3">
        <f>IF(AND($M2036=1,LEFT(对接源_02物料!$D836,4)="成品出库"),1,0)</f>
        <v>0</v>
      </c>
      <c r="AE2036" s="3">
        <f t="shared" si="546"/>
        <v>0</v>
      </c>
      <c r="AF2036" s="3">
        <f>IF(AND($N2036=1,AND(LEFT(对接源_02物料!$D836,4)="包装物料",N(对接源_02物料!$K836)&lt;&gt;0)),1,0)</f>
        <v>0</v>
      </c>
      <c r="AG2036" s="3">
        <f t="shared" si="547"/>
        <v>5</v>
      </c>
      <c r="AH2036" s="3">
        <f>IF(AND($N2036=1,AND(对接源_02物料!$D836="周转筐－销售出库",N(对接源_02物料!$K836)&lt;&gt;0)),1,0)</f>
        <v>0</v>
      </c>
      <c r="AI2036" s="3">
        <f t="shared" si="548"/>
        <v>0</v>
      </c>
      <c r="AL2036" s="3">
        <v>0</v>
      </c>
      <c r="AM2036" s="3">
        <f t="shared" si="549"/>
        <v>1</v>
      </c>
      <c r="AN2036" s="3" t="str">
        <f t="shared" ref="AN2036:AN2099" si="553">""</f>
        <v/>
      </c>
      <c r="AO2036" s="3">
        <v>0</v>
      </c>
      <c r="AP2036" s="3">
        <f t="shared" si="550"/>
        <v>8</v>
      </c>
      <c r="AR2036">
        <f t="shared" si="551"/>
        <v>0</v>
      </c>
      <c r="AS2036">
        <f t="shared" si="552"/>
        <v>5</v>
      </c>
    </row>
    <row r="2037" customHeight="1" spans="1:45">
      <c r="A2037" s="3" t="str">
        <f>IF(对接源_02物料!$C837="","",对接源_02物料!$C837)</f>
        <v/>
      </c>
      <c r="B2037" s="3">
        <f t="shared" si="537"/>
        <v>0</v>
      </c>
      <c r="C2037" s="3">
        <f t="shared" si="538"/>
        <v>21</v>
      </c>
      <c r="K2037" s="3">
        <f>IF(OR($K$1="",对接源_02物料!$C837="",对接源_02物料!$C837&lt;&gt;$K$1,对接源_02物料!$B837=""),0,IF(OR(N(对接源_02物料!$B837)&lt;$K$2,N(对接源_02物料!$B837)&gt;$K$3),0,1))</f>
        <v>0</v>
      </c>
      <c r="L2037" s="3">
        <f>IF(OR($L$1="",对接源_02物料!$C837="",对接源_02物料!$C837&lt;&gt;$L$1,对接源_02物料!$B837=""),0,IF(OR(N(对接源_02物料!$B837)&lt;$L$2,N(对接源_02物料!$B837)&gt;$L$3),0,1))</f>
        <v>0</v>
      </c>
      <c r="M2037" s="3">
        <f>IF(OR($M$1="",对接源_02物料!$C837="",对接源_02物料!$C837&lt;&gt;$M$1,对接源_02物料!$B837=""),0,IF(OR(N(对接源_02物料!$B837)&lt;$M$2,N(对接源_02物料!$B837)&gt;$M$3),0,1))</f>
        <v>0</v>
      </c>
      <c r="N2037" s="3">
        <f>IF(OR($N$1="",对接源_02物料!$C837="",对接源_02物料!$C837&lt;&gt;$N$1,对接源_02物料!$B837=""),0,IF(OR(N(对接源_02物料!$B837)&lt;$N$2,N(对接源_02物料!$B837)&gt;$N$3),0,1))</f>
        <v>0</v>
      </c>
      <c r="P2037" s="3">
        <f>IF(AND($K2037=1,AND(对接源_02物料!$X837="公司筐",N(对接源_02物料!$T837)&lt;&gt;0)),1,0)</f>
        <v>0</v>
      </c>
      <c r="Q2037" s="3">
        <f t="shared" si="539"/>
        <v>8</v>
      </c>
      <c r="R2037" s="3">
        <f>IF(AND($K2037=1,AND(对接源_02物料!$X837="公司筐",N(对接源_02物料!$U837)&lt;&gt;0)),1,0)</f>
        <v>0</v>
      </c>
      <c r="S2037" s="3">
        <f t="shared" si="540"/>
        <v>0</v>
      </c>
      <c r="T2037" s="3">
        <f>IF(AND($K2037=1,AND(对接源_02物料!$X837="公司筐",N(对接源_02物料!$V837)&lt;&gt;0)),1,0)</f>
        <v>0</v>
      </c>
      <c r="U2037" s="3">
        <f t="shared" si="541"/>
        <v>19</v>
      </c>
      <c r="V2037" s="3">
        <f>IF(AND($L2037=1,AND(对接源_02物料!$X837="自备筐",N(对接源_02物料!$V837)&lt;&gt;0)),1,0)</f>
        <v>0</v>
      </c>
      <c r="W2037" s="3">
        <f t="shared" si="542"/>
        <v>8</v>
      </c>
      <c r="X2037" s="3">
        <f>IF(AND($L2037=1,AND(对接源_02物料!$X837="自备筐",N(对接源_02物料!$T837)&lt;&gt;0)),1,0)</f>
        <v>0</v>
      </c>
      <c r="Y2037" s="3">
        <f t="shared" si="543"/>
        <v>0</v>
      </c>
      <c r="Z2037" s="3">
        <f>IF(AND($M2037=1,对接源_02物料!$D837="原料入库"),1,0)</f>
        <v>0</v>
      </c>
      <c r="AA2037" s="3">
        <f t="shared" si="544"/>
        <v>24</v>
      </c>
      <c r="AB2037" s="3">
        <f>IF(AND($M2037=1,LEFT(对接源_02物料!$D837,4)="原料出库"),1,0)</f>
        <v>0</v>
      </c>
      <c r="AC2037" s="3">
        <f t="shared" si="545"/>
        <v>0</v>
      </c>
      <c r="AD2037" s="3">
        <f>IF(AND($M2037=1,LEFT(对接源_02物料!$D837,4)="成品出库"),1,0)</f>
        <v>0</v>
      </c>
      <c r="AE2037" s="3">
        <f t="shared" si="546"/>
        <v>0</v>
      </c>
      <c r="AF2037" s="3">
        <f>IF(AND($N2037=1,AND(LEFT(对接源_02物料!$D837,4)="包装物料",N(对接源_02物料!$K837)&lt;&gt;0)),1,0)</f>
        <v>0</v>
      </c>
      <c r="AG2037" s="3">
        <f t="shared" si="547"/>
        <v>5</v>
      </c>
      <c r="AH2037" s="3">
        <f>IF(AND($N2037=1,AND(对接源_02物料!$D837="周转筐－销售出库",N(对接源_02物料!$K837)&lt;&gt;0)),1,0)</f>
        <v>0</v>
      </c>
      <c r="AI2037" s="3">
        <f t="shared" si="548"/>
        <v>0</v>
      </c>
      <c r="AL2037" s="3">
        <v>0</v>
      </c>
      <c r="AM2037" s="3">
        <f t="shared" si="549"/>
        <v>1</v>
      </c>
      <c r="AN2037" s="3" t="str">
        <f t="shared" si="553"/>
        <v/>
      </c>
      <c r="AO2037" s="3">
        <v>0</v>
      </c>
      <c r="AP2037" s="3">
        <f t="shared" si="550"/>
        <v>8</v>
      </c>
      <c r="AR2037">
        <f t="shared" si="551"/>
        <v>0</v>
      </c>
      <c r="AS2037">
        <f t="shared" si="552"/>
        <v>5</v>
      </c>
    </row>
    <row r="2038" customHeight="1" spans="1:45">
      <c r="A2038" s="3" t="str">
        <f>IF(对接源_02物料!$C838="","",对接源_02物料!$C838)</f>
        <v/>
      </c>
      <c r="B2038" s="3">
        <f t="shared" si="537"/>
        <v>0</v>
      </c>
      <c r="C2038" s="3">
        <f t="shared" si="538"/>
        <v>21</v>
      </c>
      <c r="K2038" s="3">
        <f>IF(OR($K$1="",对接源_02物料!$C838="",对接源_02物料!$C838&lt;&gt;$K$1,对接源_02物料!$B838=""),0,IF(OR(N(对接源_02物料!$B838)&lt;$K$2,N(对接源_02物料!$B838)&gt;$K$3),0,1))</f>
        <v>0</v>
      </c>
      <c r="L2038" s="3">
        <f>IF(OR($L$1="",对接源_02物料!$C838="",对接源_02物料!$C838&lt;&gt;$L$1,对接源_02物料!$B838=""),0,IF(OR(N(对接源_02物料!$B838)&lt;$L$2,N(对接源_02物料!$B838)&gt;$L$3),0,1))</f>
        <v>0</v>
      </c>
      <c r="M2038" s="3">
        <f>IF(OR($M$1="",对接源_02物料!$C838="",对接源_02物料!$C838&lt;&gt;$M$1,对接源_02物料!$B838=""),0,IF(OR(N(对接源_02物料!$B838)&lt;$M$2,N(对接源_02物料!$B838)&gt;$M$3),0,1))</f>
        <v>0</v>
      </c>
      <c r="N2038" s="3">
        <f>IF(OR($N$1="",对接源_02物料!$C838="",对接源_02物料!$C838&lt;&gt;$N$1,对接源_02物料!$B838=""),0,IF(OR(N(对接源_02物料!$B838)&lt;$N$2,N(对接源_02物料!$B838)&gt;$N$3),0,1))</f>
        <v>0</v>
      </c>
      <c r="P2038" s="3">
        <f>IF(AND($K2038=1,AND(对接源_02物料!$X838="公司筐",N(对接源_02物料!$T838)&lt;&gt;0)),1,0)</f>
        <v>0</v>
      </c>
      <c r="Q2038" s="3">
        <f t="shared" si="539"/>
        <v>8</v>
      </c>
      <c r="R2038" s="3">
        <f>IF(AND($K2038=1,AND(对接源_02物料!$X838="公司筐",N(对接源_02物料!$U838)&lt;&gt;0)),1,0)</f>
        <v>0</v>
      </c>
      <c r="S2038" s="3">
        <f t="shared" si="540"/>
        <v>0</v>
      </c>
      <c r="T2038" s="3">
        <f>IF(AND($K2038=1,AND(对接源_02物料!$X838="公司筐",N(对接源_02物料!$V838)&lt;&gt;0)),1,0)</f>
        <v>0</v>
      </c>
      <c r="U2038" s="3">
        <f t="shared" si="541"/>
        <v>19</v>
      </c>
      <c r="V2038" s="3">
        <f>IF(AND($L2038=1,AND(对接源_02物料!$X838="自备筐",N(对接源_02物料!$V838)&lt;&gt;0)),1,0)</f>
        <v>0</v>
      </c>
      <c r="W2038" s="3">
        <f t="shared" si="542"/>
        <v>8</v>
      </c>
      <c r="X2038" s="3">
        <f>IF(AND($L2038=1,AND(对接源_02物料!$X838="自备筐",N(对接源_02物料!$T838)&lt;&gt;0)),1,0)</f>
        <v>0</v>
      </c>
      <c r="Y2038" s="3">
        <f t="shared" si="543"/>
        <v>0</v>
      </c>
      <c r="Z2038" s="3">
        <f>IF(AND($M2038=1,对接源_02物料!$D838="原料入库"),1,0)</f>
        <v>0</v>
      </c>
      <c r="AA2038" s="3">
        <f t="shared" si="544"/>
        <v>24</v>
      </c>
      <c r="AB2038" s="3">
        <f>IF(AND($M2038=1,LEFT(对接源_02物料!$D838,4)="原料出库"),1,0)</f>
        <v>0</v>
      </c>
      <c r="AC2038" s="3">
        <f t="shared" si="545"/>
        <v>0</v>
      </c>
      <c r="AD2038" s="3">
        <f>IF(AND($M2038=1,LEFT(对接源_02物料!$D838,4)="成品出库"),1,0)</f>
        <v>0</v>
      </c>
      <c r="AE2038" s="3">
        <f t="shared" si="546"/>
        <v>0</v>
      </c>
      <c r="AF2038" s="3">
        <f>IF(AND($N2038=1,AND(LEFT(对接源_02物料!$D838,4)="包装物料",N(对接源_02物料!$K838)&lt;&gt;0)),1,0)</f>
        <v>0</v>
      </c>
      <c r="AG2038" s="3">
        <f t="shared" si="547"/>
        <v>5</v>
      </c>
      <c r="AH2038" s="3">
        <f>IF(AND($N2038=1,AND(对接源_02物料!$D838="周转筐－销售出库",N(对接源_02物料!$K838)&lt;&gt;0)),1,0)</f>
        <v>0</v>
      </c>
      <c r="AI2038" s="3">
        <f t="shared" si="548"/>
        <v>0</v>
      </c>
      <c r="AL2038" s="3">
        <v>0</v>
      </c>
      <c r="AM2038" s="3">
        <f t="shared" si="549"/>
        <v>1</v>
      </c>
      <c r="AN2038" s="3" t="str">
        <f t="shared" si="553"/>
        <v/>
      </c>
      <c r="AO2038" s="3">
        <v>0</v>
      </c>
      <c r="AP2038" s="3">
        <f t="shared" si="550"/>
        <v>8</v>
      </c>
      <c r="AR2038">
        <f t="shared" si="551"/>
        <v>0</v>
      </c>
      <c r="AS2038">
        <f t="shared" si="552"/>
        <v>5</v>
      </c>
    </row>
    <row r="2039" customHeight="1" spans="1:45">
      <c r="A2039" s="3" t="str">
        <f>IF(对接源_02物料!$C839="","",对接源_02物料!$C839)</f>
        <v/>
      </c>
      <c r="B2039" s="3">
        <f t="shared" si="537"/>
        <v>0</v>
      </c>
      <c r="C2039" s="3">
        <f t="shared" si="538"/>
        <v>21</v>
      </c>
      <c r="K2039" s="3">
        <f>IF(OR($K$1="",对接源_02物料!$C839="",对接源_02物料!$C839&lt;&gt;$K$1,对接源_02物料!$B839=""),0,IF(OR(N(对接源_02物料!$B839)&lt;$K$2,N(对接源_02物料!$B839)&gt;$K$3),0,1))</f>
        <v>0</v>
      </c>
      <c r="L2039" s="3">
        <f>IF(OR($L$1="",对接源_02物料!$C839="",对接源_02物料!$C839&lt;&gt;$L$1,对接源_02物料!$B839=""),0,IF(OR(N(对接源_02物料!$B839)&lt;$L$2,N(对接源_02物料!$B839)&gt;$L$3),0,1))</f>
        <v>0</v>
      </c>
      <c r="M2039" s="3">
        <f>IF(OR($M$1="",对接源_02物料!$C839="",对接源_02物料!$C839&lt;&gt;$M$1,对接源_02物料!$B839=""),0,IF(OR(N(对接源_02物料!$B839)&lt;$M$2,N(对接源_02物料!$B839)&gt;$M$3),0,1))</f>
        <v>0</v>
      </c>
      <c r="N2039" s="3">
        <f>IF(OR($N$1="",对接源_02物料!$C839="",对接源_02物料!$C839&lt;&gt;$N$1,对接源_02物料!$B839=""),0,IF(OR(N(对接源_02物料!$B839)&lt;$N$2,N(对接源_02物料!$B839)&gt;$N$3),0,1))</f>
        <v>0</v>
      </c>
      <c r="P2039" s="3">
        <f>IF(AND($K2039=1,AND(对接源_02物料!$X839="公司筐",N(对接源_02物料!$T839)&lt;&gt;0)),1,0)</f>
        <v>0</v>
      </c>
      <c r="Q2039" s="3">
        <f t="shared" si="539"/>
        <v>8</v>
      </c>
      <c r="R2039" s="3">
        <f>IF(AND($K2039=1,AND(对接源_02物料!$X839="公司筐",N(对接源_02物料!$U839)&lt;&gt;0)),1,0)</f>
        <v>0</v>
      </c>
      <c r="S2039" s="3">
        <f t="shared" si="540"/>
        <v>0</v>
      </c>
      <c r="T2039" s="3">
        <f>IF(AND($K2039=1,AND(对接源_02物料!$X839="公司筐",N(对接源_02物料!$V839)&lt;&gt;0)),1,0)</f>
        <v>0</v>
      </c>
      <c r="U2039" s="3">
        <f t="shared" si="541"/>
        <v>19</v>
      </c>
      <c r="V2039" s="3">
        <f>IF(AND($L2039=1,AND(对接源_02物料!$X839="自备筐",N(对接源_02物料!$V839)&lt;&gt;0)),1,0)</f>
        <v>0</v>
      </c>
      <c r="W2039" s="3">
        <f t="shared" si="542"/>
        <v>8</v>
      </c>
      <c r="X2039" s="3">
        <f>IF(AND($L2039=1,AND(对接源_02物料!$X839="自备筐",N(对接源_02物料!$T839)&lt;&gt;0)),1,0)</f>
        <v>0</v>
      </c>
      <c r="Y2039" s="3">
        <f t="shared" si="543"/>
        <v>0</v>
      </c>
      <c r="Z2039" s="3">
        <f>IF(AND($M2039=1,对接源_02物料!$D839="原料入库"),1,0)</f>
        <v>0</v>
      </c>
      <c r="AA2039" s="3">
        <f t="shared" si="544"/>
        <v>24</v>
      </c>
      <c r="AB2039" s="3">
        <f>IF(AND($M2039=1,LEFT(对接源_02物料!$D839,4)="原料出库"),1,0)</f>
        <v>0</v>
      </c>
      <c r="AC2039" s="3">
        <f t="shared" si="545"/>
        <v>0</v>
      </c>
      <c r="AD2039" s="3">
        <f>IF(AND($M2039=1,LEFT(对接源_02物料!$D839,4)="成品出库"),1,0)</f>
        <v>0</v>
      </c>
      <c r="AE2039" s="3">
        <f t="shared" si="546"/>
        <v>0</v>
      </c>
      <c r="AF2039" s="3">
        <f>IF(AND($N2039=1,AND(LEFT(对接源_02物料!$D839,4)="包装物料",N(对接源_02物料!$K839)&lt;&gt;0)),1,0)</f>
        <v>0</v>
      </c>
      <c r="AG2039" s="3">
        <f t="shared" si="547"/>
        <v>5</v>
      </c>
      <c r="AH2039" s="3">
        <f>IF(AND($N2039=1,AND(对接源_02物料!$D839="周转筐－销售出库",N(对接源_02物料!$K839)&lt;&gt;0)),1,0)</f>
        <v>0</v>
      </c>
      <c r="AI2039" s="3">
        <f t="shared" si="548"/>
        <v>0</v>
      </c>
      <c r="AL2039" s="3">
        <v>0</v>
      </c>
      <c r="AM2039" s="3">
        <f t="shared" si="549"/>
        <v>1</v>
      </c>
      <c r="AN2039" s="3" t="str">
        <f t="shared" si="553"/>
        <v/>
      </c>
      <c r="AO2039" s="3">
        <v>0</v>
      </c>
      <c r="AP2039" s="3">
        <f t="shared" si="550"/>
        <v>8</v>
      </c>
      <c r="AR2039">
        <f t="shared" si="551"/>
        <v>0</v>
      </c>
      <c r="AS2039">
        <f t="shared" si="552"/>
        <v>5</v>
      </c>
    </row>
    <row r="2040" customHeight="1" spans="1:45">
      <c r="A2040" s="3" t="str">
        <f>IF(对接源_02物料!$C840="","",对接源_02物料!$C840)</f>
        <v/>
      </c>
      <c r="B2040" s="3">
        <f t="shared" si="537"/>
        <v>0</v>
      </c>
      <c r="C2040" s="3">
        <f t="shared" si="538"/>
        <v>21</v>
      </c>
      <c r="K2040" s="3">
        <f>IF(OR($K$1="",对接源_02物料!$C840="",对接源_02物料!$C840&lt;&gt;$K$1,对接源_02物料!$B840=""),0,IF(OR(N(对接源_02物料!$B840)&lt;$K$2,N(对接源_02物料!$B840)&gt;$K$3),0,1))</f>
        <v>0</v>
      </c>
      <c r="L2040" s="3">
        <f>IF(OR($L$1="",对接源_02物料!$C840="",对接源_02物料!$C840&lt;&gt;$L$1,对接源_02物料!$B840=""),0,IF(OR(N(对接源_02物料!$B840)&lt;$L$2,N(对接源_02物料!$B840)&gt;$L$3),0,1))</f>
        <v>0</v>
      </c>
      <c r="M2040" s="3">
        <f>IF(OR($M$1="",对接源_02物料!$C840="",对接源_02物料!$C840&lt;&gt;$M$1,对接源_02物料!$B840=""),0,IF(OR(N(对接源_02物料!$B840)&lt;$M$2,N(对接源_02物料!$B840)&gt;$M$3),0,1))</f>
        <v>0</v>
      </c>
      <c r="N2040" s="3">
        <f>IF(OR($N$1="",对接源_02物料!$C840="",对接源_02物料!$C840&lt;&gt;$N$1,对接源_02物料!$B840=""),0,IF(OR(N(对接源_02物料!$B840)&lt;$N$2,N(对接源_02物料!$B840)&gt;$N$3),0,1))</f>
        <v>0</v>
      </c>
      <c r="P2040" s="3">
        <f>IF(AND($K2040=1,AND(对接源_02物料!$X840="公司筐",N(对接源_02物料!$T840)&lt;&gt;0)),1,0)</f>
        <v>0</v>
      </c>
      <c r="Q2040" s="3">
        <f t="shared" si="539"/>
        <v>8</v>
      </c>
      <c r="R2040" s="3">
        <f>IF(AND($K2040=1,AND(对接源_02物料!$X840="公司筐",N(对接源_02物料!$U840)&lt;&gt;0)),1,0)</f>
        <v>0</v>
      </c>
      <c r="S2040" s="3">
        <f t="shared" si="540"/>
        <v>0</v>
      </c>
      <c r="T2040" s="3">
        <f>IF(AND($K2040=1,AND(对接源_02物料!$X840="公司筐",N(对接源_02物料!$V840)&lt;&gt;0)),1,0)</f>
        <v>0</v>
      </c>
      <c r="U2040" s="3">
        <f t="shared" si="541"/>
        <v>19</v>
      </c>
      <c r="V2040" s="3">
        <f>IF(AND($L2040=1,AND(对接源_02物料!$X840="自备筐",N(对接源_02物料!$V840)&lt;&gt;0)),1,0)</f>
        <v>0</v>
      </c>
      <c r="W2040" s="3">
        <f t="shared" si="542"/>
        <v>8</v>
      </c>
      <c r="X2040" s="3">
        <f>IF(AND($L2040=1,AND(对接源_02物料!$X840="自备筐",N(对接源_02物料!$T840)&lt;&gt;0)),1,0)</f>
        <v>0</v>
      </c>
      <c r="Y2040" s="3">
        <f t="shared" si="543"/>
        <v>0</v>
      </c>
      <c r="Z2040" s="3">
        <f>IF(AND($M2040=1,对接源_02物料!$D840="原料入库"),1,0)</f>
        <v>0</v>
      </c>
      <c r="AA2040" s="3">
        <f t="shared" si="544"/>
        <v>24</v>
      </c>
      <c r="AB2040" s="3">
        <f>IF(AND($M2040=1,LEFT(对接源_02物料!$D840,4)="原料出库"),1,0)</f>
        <v>0</v>
      </c>
      <c r="AC2040" s="3">
        <f t="shared" si="545"/>
        <v>0</v>
      </c>
      <c r="AD2040" s="3">
        <f>IF(AND($M2040=1,LEFT(对接源_02物料!$D840,4)="成品出库"),1,0)</f>
        <v>0</v>
      </c>
      <c r="AE2040" s="3">
        <f t="shared" si="546"/>
        <v>0</v>
      </c>
      <c r="AF2040" s="3">
        <f>IF(AND($N2040=1,AND(LEFT(对接源_02物料!$D840,4)="包装物料",N(对接源_02物料!$K840)&lt;&gt;0)),1,0)</f>
        <v>0</v>
      </c>
      <c r="AG2040" s="3">
        <f t="shared" si="547"/>
        <v>5</v>
      </c>
      <c r="AH2040" s="3">
        <f>IF(AND($N2040=1,AND(对接源_02物料!$D840="周转筐－销售出库",N(对接源_02物料!$K840)&lt;&gt;0)),1,0)</f>
        <v>0</v>
      </c>
      <c r="AI2040" s="3">
        <f t="shared" si="548"/>
        <v>0</v>
      </c>
      <c r="AL2040" s="3">
        <v>0</v>
      </c>
      <c r="AM2040" s="3">
        <f t="shared" si="549"/>
        <v>1</v>
      </c>
      <c r="AN2040" s="3" t="str">
        <f t="shared" si="553"/>
        <v/>
      </c>
      <c r="AO2040" s="3">
        <v>0</v>
      </c>
      <c r="AP2040" s="3">
        <f t="shared" si="550"/>
        <v>8</v>
      </c>
      <c r="AR2040">
        <f t="shared" si="551"/>
        <v>0</v>
      </c>
      <c r="AS2040">
        <f t="shared" si="552"/>
        <v>5</v>
      </c>
    </row>
    <row r="2041" customHeight="1" spans="1:45">
      <c r="A2041" s="3" t="str">
        <f>IF(对接源_02物料!$C841="","",对接源_02物料!$C841)</f>
        <v/>
      </c>
      <c r="B2041" s="3">
        <f t="shared" si="537"/>
        <v>0</v>
      </c>
      <c r="C2041" s="3">
        <f t="shared" si="538"/>
        <v>21</v>
      </c>
      <c r="K2041" s="3">
        <f>IF(OR($K$1="",对接源_02物料!$C841="",对接源_02物料!$C841&lt;&gt;$K$1,对接源_02物料!$B841=""),0,IF(OR(N(对接源_02物料!$B841)&lt;$K$2,N(对接源_02物料!$B841)&gt;$K$3),0,1))</f>
        <v>0</v>
      </c>
      <c r="L2041" s="3">
        <f>IF(OR($L$1="",对接源_02物料!$C841="",对接源_02物料!$C841&lt;&gt;$L$1,对接源_02物料!$B841=""),0,IF(OR(N(对接源_02物料!$B841)&lt;$L$2,N(对接源_02物料!$B841)&gt;$L$3),0,1))</f>
        <v>0</v>
      </c>
      <c r="M2041" s="3">
        <f>IF(OR($M$1="",对接源_02物料!$C841="",对接源_02物料!$C841&lt;&gt;$M$1,对接源_02物料!$B841=""),0,IF(OR(N(对接源_02物料!$B841)&lt;$M$2,N(对接源_02物料!$B841)&gt;$M$3),0,1))</f>
        <v>0</v>
      </c>
      <c r="N2041" s="3">
        <f>IF(OR($N$1="",对接源_02物料!$C841="",对接源_02物料!$C841&lt;&gt;$N$1,对接源_02物料!$B841=""),0,IF(OR(N(对接源_02物料!$B841)&lt;$N$2,N(对接源_02物料!$B841)&gt;$N$3),0,1))</f>
        <v>0</v>
      </c>
      <c r="P2041" s="3">
        <f>IF(AND($K2041=1,AND(对接源_02物料!$X841="公司筐",N(对接源_02物料!$T841)&lt;&gt;0)),1,0)</f>
        <v>0</v>
      </c>
      <c r="Q2041" s="3">
        <f t="shared" si="539"/>
        <v>8</v>
      </c>
      <c r="R2041" s="3">
        <f>IF(AND($K2041=1,AND(对接源_02物料!$X841="公司筐",N(对接源_02物料!$U841)&lt;&gt;0)),1,0)</f>
        <v>0</v>
      </c>
      <c r="S2041" s="3">
        <f t="shared" si="540"/>
        <v>0</v>
      </c>
      <c r="T2041" s="3">
        <f>IF(AND($K2041=1,AND(对接源_02物料!$X841="公司筐",N(对接源_02物料!$V841)&lt;&gt;0)),1,0)</f>
        <v>0</v>
      </c>
      <c r="U2041" s="3">
        <f t="shared" si="541"/>
        <v>19</v>
      </c>
      <c r="V2041" s="3">
        <f>IF(AND($L2041=1,AND(对接源_02物料!$X841="自备筐",N(对接源_02物料!$V841)&lt;&gt;0)),1,0)</f>
        <v>0</v>
      </c>
      <c r="W2041" s="3">
        <f t="shared" si="542"/>
        <v>8</v>
      </c>
      <c r="X2041" s="3">
        <f>IF(AND($L2041=1,AND(对接源_02物料!$X841="自备筐",N(对接源_02物料!$T841)&lt;&gt;0)),1,0)</f>
        <v>0</v>
      </c>
      <c r="Y2041" s="3">
        <f t="shared" si="543"/>
        <v>0</v>
      </c>
      <c r="Z2041" s="3">
        <f>IF(AND($M2041=1,对接源_02物料!$D841="原料入库"),1,0)</f>
        <v>0</v>
      </c>
      <c r="AA2041" s="3">
        <f t="shared" si="544"/>
        <v>24</v>
      </c>
      <c r="AB2041" s="3">
        <f>IF(AND($M2041=1,LEFT(对接源_02物料!$D841,4)="原料出库"),1,0)</f>
        <v>0</v>
      </c>
      <c r="AC2041" s="3">
        <f t="shared" si="545"/>
        <v>0</v>
      </c>
      <c r="AD2041" s="3">
        <f>IF(AND($M2041=1,LEFT(对接源_02物料!$D841,4)="成品出库"),1,0)</f>
        <v>0</v>
      </c>
      <c r="AE2041" s="3">
        <f t="shared" si="546"/>
        <v>0</v>
      </c>
      <c r="AF2041" s="3">
        <f>IF(AND($N2041=1,AND(LEFT(对接源_02物料!$D841,4)="包装物料",N(对接源_02物料!$K841)&lt;&gt;0)),1,0)</f>
        <v>0</v>
      </c>
      <c r="AG2041" s="3">
        <f t="shared" si="547"/>
        <v>5</v>
      </c>
      <c r="AH2041" s="3">
        <f>IF(AND($N2041=1,AND(对接源_02物料!$D841="周转筐－销售出库",N(对接源_02物料!$K841)&lt;&gt;0)),1,0)</f>
        <v>0</v>
      </c>
      <c r="AI2041" s="3">
        <f t="shared" si="548"/>
        <v>0</v>
      </c>
      <c r="AL2041" s="3">
        <v>0</v>
      </c>
      <c r="AM2041" s="3">
        <f t="shared" si="549"/>
        <v>1</v>
      </c>
      <c r="AN2041" s="3" t="str">
        <f t="shared" si="553"/>
        <v/>
      </c>
      <c r="AO2041" s="3">
        <v>0</v>
      </c>
      <c r="AP2041" s="3">
        <f t="shared" si="550"/>
        <v>8</v>
      </c>
      <c r="AR2041">
        <f t="shared" si="551"/>
        <v>0</v>
      </c>
      <c r="AS2041">
        <f t="shared" si="552"/>
        <v>5</v>
      </c>
    </row>
    <row r="2042" customHeight="1" spans="1:45">
      <c r="A2042" s="3" t="str">
        <f>IF(对接源_02物料!$C842="","",对接源_02物料!$C842)</f>
        <v/>
      </c>
      <c r="B2042" s="3">
        <f t="shared" si="537"/>
        <v>0</v>
      </c>
      <c r="C2042" s="3">
        <f t="shared" si="538"/>
        <v>21</v>
      </c>
      <c r="K2042" s="3">
        <f>IF(OR($K$1="",对接源_02物料!$C842="",对接源_02物料!$C842&lt;&gt;$K$1,对接源_02物料!$B842=""),0,IF(OR(N(对接源_02物料!$B842)&lt;$K$2,N(对接源_02物料!$B842)&gt;$K$3),0,1))</f>
        <v>0</v>
      </c>
      <c r="L2042" s="3">
        <f>IF(OR($L$1="",对接源_02物料!$C842="",对接源_02物料!$C842&lt;&gt;$L$1,对接源_02物料!$B842=""),0,IF(OR(N(对接源_02物料!$B842)&lt;$L$2,N(对接源_02物料!$B842)&gt;$L$3),0,1))</f>
        <v>0</v>
      </c>
      <c r="M2042" s="3">
        <f>IF(OR($M$1="",对接源_02物料!$C842="",对接源_02物料!$C842&lt;&gt;$M$1,对接源_02物料!$B842=""),0,IF(OR(N(对接源_02物料!$B842)&lt;$M$2,N(对接源_02物料!$B842)&gt;$M$3),0,1))</f>
        <v>0</v>
      </c>
      <c r="N2042" s="3">
        <f>IF(OR($N$1="",对接源_02物料!$C842="",对接源_02物料!$C842&lt;&gt;$N$1,对接源_02物料!$B842=""),0,IF(OR(N(对接源_02物料!$B842)&lt;$N$2,N(对接源_02物料!$B842)&gt;$N$3),0,1))</f>
        <v>0</v>
      </c>
      <c r="P2042" s="3">
        <f>IF(AND($K2042=1,AND(对接源_02物料!$X842="公司筐",N(对接源_02物料!$T842)&lt;&gt;0)),1,0)</f>
        <v>0</v>
      </c>
      <c r="Q2042" s="3">
        <f t="shared" si="539"/>
        <v>8</v>
      </c>
      <c r="R2042" s="3">
        <f>IF(AND($K2042=1,AND(对接源_02物料!$X842="公司筐",N(对接源_02物料!$U842)&lt;&gt;0)),1,0)</f>
        <v>0</v>
      </c>
      <c r="S2042" s="3">
        <f t="shared" si="540"/>
        <v>0</v>
      </c>
      <c r="T2042" s="3">
        <f>IF(AND($K2042=1,AND(对接源_02物料!$X842="公司筐",N(对接源_02物料!$V842)&lt;&gt;0)),1,0)</f>
        <v>0</v>
      </c>
      <c r="U2042" s="3">
        <f t="shared" si="541"/>
        <v>19</v>
      </c>
      <c r="V2042" s="3">
        <f>IF(AND($L2042=1,AND(对接源_02物料!$X842="自备筐",N(对接源_02物料!$V842)&lt;&gt;0)),1,0)</f>
        <v>0</v>
      </c>
      <c r="W2042" s="3">
        <f t="shared" si="542"/>
        <v>8</v>
      </c>
      <c r="X2042" s="3">
        <f>IF(AND($L2042=1,AND(对接源_02物料!$X842="自备筐",N(对接源_02物料!$T842)&lt;&gt;0)),1,0)</f>
        <v>0</v>
      </c>
      <c r="Y2042" s="3">
        <f t="shared" si="543"/>
        <v>0</v>
      </c>
      <c r="Z2042" s="3">
        <f>IF(AND($M2042=1,对接源_02物料!$D842="原料入库"),1,0)</f>
        <v>0</v>
      </c>
      <c r="AA2042" s="3">
        <f t="shared" si="544"/>
        <v>24</v>
      </c>
      <c r="AB2042" s="3">
        <f>IF(AND($M2042=1,LEFT(对接源_02物料!$D842,4)="原料出库"),1,0)</f>
        <v>0</v>
      </c>
      <c r="AC2042" s="3">
        <f t="shared" si="545"/>
        <v>0</v>
      </c>
      <c r="AD2042" s="3">
        <f>IF(AND($M2042=1,LEFT(对接源_02物料!$D842,4)="成品出库"),1,0)</f>
        <v>0</v>
      </c>
      <c r="AE2042" s="3">
        <f t="shared" si="546"/>
        <v>0</v>
      </c>
      <c r="AF2042" s="3">
        <f>IF(AND($N2042=1,AND(LEFT(对接源_02物料!$D842,4)="包装物料",N(对接源_02物料!$K842)&lt;&gt;0)),1,0)</f>
        <v>0</v>
      </c>
      <c r="AG2042" s="3">
        <f t="shared" si="547"/>
        <v>5</v>
      </c>
      <c r="AH2042" s="3">
        <f>IF(AND($N2042=1,AND(对接源_02物料!$D842="周转筐－销售出库",N(对接源_02物料!$K842)&lt;&gt;0)),1,0)</f>
        <v>0</v>
      </c>
      <c r="AI2042" s="3">
        <f t="shared" si="548"/>
        <v>0</v>
      </c>
      <c r="AL2042" s="3">
        <v>0</v>
      </c>
      <c r="AM2042" s="3">
        <f t="shared" si="549"/>
        <v>1</v>
      </c>
      <c r="AN2042" s="3" t="str">
        <f t="shared" si="553"/>
        <v/>
      </c>
      <c r="AO2042" s="3">
        <v>0</v>
      </c>
      <c r="AP2042" s="3">
        <f t="shared" si="550"/>
        <v>8</v>
      </c>
      <c r="AR2042">
        <f t="shared" si="551"/>
        <v>0</v>
      </c>
      <c r="AS2042">
        <f t="shared" si="552"/>
        <v>5</v>
      </c>
    </row>
    <row r="2043" customHeight="1" spans="1:45">
      <c r="A2043" s="3" t="str">
        <f>IF(对接源_02物料!$C843="","",对接源_02物料!$C843)</f>
        <v/>
      </c>
      <c r="B2043" s="3">
        <f t="shared" si="537"/>
        <v>0</v>
      </c>
      <c r="C2043" s="3">
        <f t="shared" si="538"/>
        <v>21</v>
      </c>
      <c r="K2043" s="3">
        <f>IF(OR($K$1="",对接源_02物料!$C843="",对接源_02物料!$C843&lt;&gt;$K$1,对接源_02物料!$B843=""),0,IF(OR(N(对接源_02物料!$B843)&lt;$K$2,N(对接源_02物料!$B843)&gt;$K$3),0,1))</f>
        <v>0</v>
      </c>
      <c r="L2043" s="3">
        <f>IF(OR($L$1="",对接源_02物料!$C843="",对接源_02物料!$C843&lt;&gt;$L$1,对接源_02物料!$B843=""),0,IF(OR(N(对接源_02物料!$B843)&lt;$L$2,N(对接源_02物料!$B843)&gt;$L$3),0,1))</f>
        <v>0</v>
      </c>
      <c r="M2043" s="3">
        <f>IF(OR($M$1="",对接源_02物料!$C843="",对接源_02物料!$C843&lt;&gt;$M$1,对接源_02物料!$B843=""),0,IF(OR(N(对接源_02物料!$B843)&lt;$M$2,N(对接源_02物料!$B843)&gt;$M$3),0,1))</f>
        <v>0</v>
      </c>
      <c r="N2043" s="3">
        <f>IF(OR($N$1="",对接源_02物料!$C843="",对接源_02物料!$C843&lt;&gt;$N$1,对接源_02物料!$B843=""),0,IF(OR(N(对接源_02物料!$B843)&lt;$N$2,N(对接源_02物料!$B843)&gt;$N$3),0,1))</f>
        <v>0</v>
      </c>
      <c r="P2043" s="3">
        <f>IF(AND($K2043=1,AND(对接源_02物料!$X843="公司筐",N(对接源_02物料!$T843)&lt;&gt;0)),1,0)</f>
        <v>0</v>
      </c>
      <c r="Q2043" s="3">
        <f t="shared" si="539"/>
        <v>8</v>
      </c>
      <c r="R2043" s="3">
        <f>IF(AND($K2043=1,AND(对接源_02物料!$X843="公司筐",N(对接源_02物料!$U843)&lt;&gt;0)),1,0)</f>
        <v>0</v>
      </c>
      <c r="S2043" s="3">
        <f t="shared" si="540"/>
        <v>0</v>
      </c>
      <c r="T2043" s="3">
        <f>IF(AND($K2043=1,AND(对接源_02物料!$X843="公司筐",N(对接源_02物料!$V843)&lt;&gt;0)),1,0)</f>
        <v>0</v>
      </c>
      <c r="U2043" s="3">
        <f t="shared" si="541"/>
        <v>19</v>
      </c>
      <c r="V2043" s="3">
        <f>IF(AND($L2043=1,AND(对接源_02物料!$X843="自备筐",N(对接源_02物料!$V843)&lt;&gt;0)),1,0)</f>
        <v>0</v>
      </c>
      <c r="W2043" s="3">
        <f t="shared" si="542"/>
        <v>8</v>
      </c>
      <c r="X2043" s="3">
        <f>IF(AND($L2043=1,AND(对接源_02物料!$X843="自备筐",N(对接源_02物料!$T843)&lt;&gt;0)),1,0)</f>
        <v>0</v>
      </c>
      <c r="Y2043" s="3">
        <f t="shared" si="543"/>
        <v>0</v>
      </c>
      <c r="Z2043" s="3">
        <f>IF(AND($M2043=1,对接源_02物料!$D843="原料入库"),1,0)</f>
        <v>0</v>
      </c>
      <c r="AA2043" s="3">
        <f t="shared" si="544"/>
        <v>24</v>
      </c>
      <c r="AB2043" s="3">
        <f>IF(AND($M2043=1,LEFT(对接源_02物料!$D843,4)="原料出库"),1,0)</f>
        <v>0</v>
      </c>
      <c r="AC2043" s="3">
        <f t="shared" si="545"/>
        <v>0</v>
      </c>
      <c r="AD2043" s="3">
        <f>IF(AND($M2043=1,LEFT(对接源_02物料!$D843,4)="成品出库"),1,0)</f>
        <v>0</v>
      </c>
      <c r="AE2043" s="3">
        <f t="shared" si="546"/>
        <v>0</v>
      </c>
      <c r="AF2043" s="3">
        <f>IF(AND($N2043=1,AND(LEFT(对接源_02物料!$D843,4)="包装物料",N(对接源_02物料!$K843)&lt;&gt;0)),1,0)</f>
        <v>0</v>
      </c>
      <c r="AG2043" s="3">
        <f t="shared" si="547"/>
        <v>5</v>
      </c>
      <c r="AH2043" s="3">
        <f>IF(AND($N2043=1,AND(对接源_02物料!$D843="周转筐－销售出库",N(对接源_02物料!$K843)&lt;&gt;0)),1,0)</f>
        <v>0</v>
      </c>
      <c r="AI2043" s="3">
        <f t="shared" si="548"/>
        <v>0</v>
      </c>
      <c r="AL2043" s="3">
        <v>0</v>
      </c>
      <c r="AM2043" s="3">
        <f t="shared" si="549"/>
        <v>1</v>
      </c>
      <c r="AN2043" s="3" t="str">
        <f t="shared" si="553"/>
        <v/>
      </c>
      <c r="AO2043" s="3">
        <v>0</v>
      </c>
      <c r="AP2043" s="3">
        <f t="shared" si="550"/>
        <v>8</v>
      </c>
      <c r="AR2043">
        <f t="shared" si="551"/>
        <v>0</v>
      </c>
      <c r="AS2043">
        <f t="shared" si="552"/>
        <v>5</v>
      </c>
    </row>
    <row r="2044" customHeight="1" spans="1:45">
      <c r="A2044" s="3" t="str">
        <f>IF(对接源_02物料!$C844="","",对接源_02物料!$C844)</f>
        <v/>
      </c>
      <c r="B2044" s="3">
        <f t="shared" si="537"/>
        <v>0</v>
      </c>
      <c r="C2044" s="3">
        <f t="shared" si="538"/>
        <v>21</v>
      </c>
      <c r="K2044" s="3">
        <f>IF(OR($K$1="",对接源_02物料!$C844="",对接源_02物料!$C844&lt;&gt;$K$1,对接源_02物料!$B844=""),0,IF(OR(N(对接源_02物料!$B844)&lt;$K$2,N(对接源_02物料!$B844)&gt;$K$3),0,1))</f>
        <v>0</v>
      </c>
      <c r="L2044" s="3">
        <f>IF(OR($L$1="",对接源_02物料!$C844="",对接源_02物料!$C844&lt;&gt;$L$1,对接源_02物料!$B844=""),0,IF(OR(N(对接源_02物料!$B844)&lt;$L$2,N(对接源_02物料!$B844)&gt;$L$3),0,1))</f>
        <v>0</v>
      </c>
      <c r="M2044" s="3">
        <f>IF(OR($M$1="",对接源_02物料!$C844="",对接源_02物料!$C844&lt;&gt;$M$1,对接源_02物料!$B844=""),0,IF(OR(N(对接源_02物料!$B844)&lt;$M$2,N(对接源_02物料!$B844)&gt;$M$3),0,1))</f>
        <v>0</v>
      </c>
      <c r="N2044" s="3">
        <f>IF(OR($N$1="",对接源_02物料!$C844="",对接源_02物料!$C844&lt;&gt;$N$1,对接源_02物料!$B844=""),0,IF(OR(N(对接源_02物料!$B844)&lt;$N$2,N(对接源_02物料!$B844)&gt;$N$3),0,1))</f>
        <v>0</v>
      </c>
      <c r="P2044" s="3">
        <f>IF(AND($K2044=1,AND(对接源_02物料!$X844="公司筐",N(对接源_02物料!$T844)&lt;&gt;0)),1,0)</f>
        <v>0</v>
      </c>
      <c r="Q2044" s="3">
        <f t="shared" si="539"/>
        <v>8</v>
      </c>
      <c r="R2044" s="3">
        <f>IF(AND($K2044=1,AND(对接源_02物料!$X844="公司筐",N(对接源_02物料!$U844)&lt;&gt;0)),1,0)</f>
        <v>0</v>
      </c>
      <c r="S2044" s="3">
        <f t="shared" si="540"/>
        <v>0</v>
      </c>
      <c r="T2044" s="3">
        <f>IF(AND($K2044=1,AND(对接源_02物料!$X844="公司筐",N(对接源_02物料!$V844)&lt;&gt;0)),1,0)</f>
        <v>0</v>
      </c>
      <c r="U2044" s="3">
        <f t="shared" si="541"/>
        <v>19</v>
      </c>
      <c r="V2044" s="3">
        <f>IF(AND($L2044=1,AND(对接源_02物料!$X844="自备筐",N(对接源_02物料!$V844)&lt;&gt;0)),1,0)</f>
        <v>0</v>
      </c>
      <c r="W2044" s="3">
        <f t="shared" si="542"/>
        <v>8</v>
      </c>
      <c r="X2044" s="3">
        <f>IF(AND($L2044=1,AND(对接源_02物料!$X844="自备筐",N(对接源_02物料!$T844)&lt;&gt;0)),1,0)</f>
        <v>0</v>
      </c>
      <c r="Y2044" s="3">
        <f t="shared" si="543"/>
        <v>0</v>
      </c>
      <c r="Z2044" s="3">
        <f>IF(AND($M2044=1,对接源_02物料!$D844="原料入库"),1,0)</f>
        <v>0</v>
      </c>
      <c r="AA2044" s="3">
        <f t="shared" si="544"/>
        <v>24</v>
      </c>
      <c r="AB2044" s="3">
        <f>IF(AND($M2044=1,LEFT(对接源_02物料!$D844,4)="原料出库"),1,0)</f>
        <v>0</v>
      </c>
      <c r="AC2044" s="3">
        <f t="shared" si="545"/>
        <v>0</v>
      </c>
      <c r="AD2044" s="3">
        <f>IF(AND($M2044=1,LEFT(对接源_02物料!$D844,4)="成品出库"),1,0)</f>
        <v>0</v>
      </c>
      <c r="AE2044" s="3">
        <f t="shared" si="546"/>
        <v>0</v>
      </c>
      <c r="AF2044" s="3">
        <f>IF(AND($N2044=1,AND(LEFT(对接源_02物料!$D844,4)="包装物料",N(对接源_02物料!$K844)&lt;&gt;0)),1,0)</f>
        <v>0</v>
      </c>
      <c r="AG2044" s="3">
        <f t="shared" si="547"/>
        <v>5</v>
      </c>
      <c r="AH2044" s="3">
        <f>IF(AND($N2044=1,AND(对接源_02物料!$D844="周转筐－销售出库",N(对接源_02物料!$K844)&lt;&gt;0)),1,0)</f>
        <v>0</v>
      </c>
      <c r="AI2044" s="3">
        <f t="shared" si="548"/>
        <v>0</v>
      </c>
      <c r="AL2044" s="3">
        <v>0</v>
      </c>
      <c r="AM2044" s="3">
        <f t="shared" si="549"/>
        <v>1</v>
      </c>
      <c r="AN2044" s="3" t="str">
        <f t="shared" si="553"/>
        <v/>
      </c>
      <c r="AO2044" s="3">
        <v>0</v>
      </c>
      <c r="AP2044" s="3">
        <f t="shared" si="550"/>
        <v>8</v>
      </c>
      <c r="AR2044">
        <f t="shared" si="551"/>
        <v>0</v>
      </c>
      <c r="AS2044">
        <f t="shared" si="552"/>
        <v>5</v>
      </c>
    </row>
    <row r="2045" customHeight="1" spans="1:45">
      <c r="A2045" s="3" t="str">
        <f>IF(对接源_02物料!$C845="","",对接源_02物料!$C845)</f>
        <v/>
      </c>
      <c r="B2045" s="3">
        <f t="shared" si="537"/>
        <v>0</v>
      </c>
      <c r="C2045" s="3">
        <f t="shared" si="538"/>
        <v>21</v>
      </c>
      <c r="K2045" s="3">
        <f>IF(OR($K$1="",对接源_02物料!$C845="",对接源_02物料!$C845&lt;&gt;$K$1,对接源_02物料!$B845=""),0,IF(OR(N(对接源_02物料!$B845)&lt;$K$2,N(对接源_02物料!$B845)&gt;$K$3),0,1))</f>
        <v>0</v>
      </c>
      <c r="L2045" s="3">
        <f>IF(OR($L$1="",对接源_02物料!$C845="",对接源_02物料!$C845&lt;&gt;$L$1,对接源_02物料!$B845=""),0,IF(OR(N(对接源_02物料!$B845)&lt;$L$2,N(对接源_02物料!$B845)&gt;$L$3),0,1))</f>
        <v>0</v>
      </c>
      <c r="M2045" s="3">
        <f>IF(OR($M$1="",对接源_02物料!$C845="",对接源_02物料!$C845&lt;&gt;$M$1,对接源_02物料!$B845=""),0,IF(OR(N(对接源_02物料!$B845)&lt;$M$2,N(对接源_02物料!$B845)&gt;$M$3),0,1))</f>
        <v>0</v>
      </c>
      <c r="N2045" s="3">
        <f>IF(OR($N$1="",对接源_02物料!$C845="",对接源_02物料!$C845&lt;&gt;$N$1,对接源_02物料!$B845=""),0,IF(OR(N(对接源_02物料!$B845)&lt;$N$2,N(对接源_02物料!$B845)&gt;$N$3),0,1))</f>
        <v>0</v>
      </c>
      <c r="P2045" s="3">
        <f>IF(AND($K2045=1,AND(对接源_02物料!$X845="公司筐",N(对接源_02物料!$T845)&lt;&gt;0)),1,0)</f>
        <v>0</v>
      </c>
      <c r="Q2045" s="3">
        <f t="shared" si="539"/>
        <v>8</v>
      </c>
      <c r="R2045" s="3">
        <f>IF(AND($K2045=1,AND(对接源_02物料!$X845="公司筐",N(对接源_02物料!$U845)&lt;&gt;0)),1,0)</f>
        <v>0</v>
      </c>
      <c r="S2045" s="3">
        <f t="shared" si="540"/>
        <v>0</v>
      </c>
      <c r="T2045" s="3">
        <f>IF(AND($K2045=1,AND(对接源_02物料!$X845="公司筐",N(对接源_02物料!$V845)&lt;&gt;0)),1,0)</f>
        <v>0</v>
      </c>
      <c r="U2045" s="3">
        <f t="shared" si="541"/>
        <v>19</v>
      </c>
      <c r="V2045" s="3">
        <f>IF(AND($L2045=1,AND(对接源_02物料!$X845="自备筐",N(对接源_02物料!$V845)&lt;&gt;0)),1,0)</f>
        <v>0</v>
      </c>
      <c r="W2045" s="3">
        <f t="shared" si="542"/>
        <v>8</v>
      </c>
      <c r="X2045" s="3">
        <f>IF(AND($L2045=1,AND(对接源_02物料!$X845="自备筐",N(对接源_02物料!$T845)&lt;&gt;0)),1,0)</f>
        <v>0</v>
      </c>
      <c r="Y2045" s="3">
        <f t="shared" si="543"/>
        <v>0</v>
      </c>
      <c r="Z2045" s="3">
        <f>IF(AND($M2045=1,对接源_02物料!$D845="原料入库"),1,0)</f>
        <v>0</v>
      </c>
      <c r="AA2045" s="3">
        <f t="shared" si="544"/>
        <v>24</v>
      </c>
      <c r="AB2045" s="3">
        <f>IF(AND($M2045=1,LEFT(对接源_02物料!$D845,4)="原料出库"),1,0)</f>
        <v>0</v>
      </c>
      <c r="AC2045" s="3">
        <f t="shared" si="545"/>
        <v>0</v>
      </c>
      <c r="AD2045" s="3">
        <f>IF(AND($M2045=1,LEFT(对接源_02物料!$D845,4)="成品出库"),1,0)</f>
        <v>0</v>
      </c>
      <c r="AE2045" s="3">
        <f t="shared" si="546"/>
        <v>0</v>
      </c>
      <c r="AF2045" s="3">
        <f>IF(AND($N2045=1,AND(LEFT(对接源_02物料!$D845,4)="包装物料",N(对接源_02物料!$K845)&lt;&gt;0)),1,0)</f>
        <v>0</v>
      </c>
      <c r="AG2045" s="3">
        <f t="shared" si="547"/>
        <v>5</v>
      </c>
      <c r="AH2045" s="3">
        <f>IF(AND($N2045=1,AND(对接源_02物料!$D845="周转筐－销售出库",N(对接源_02物料!$K845)&lt;&gt;0)),1,0)</f>
        <v>0</v>
      </c>
      <c r="AI2045" s="3">
        <f t="shared" si="548"/>
        <v>0</v>
      </c>
      <c r="AL2045" s="3">
        <v>0</v>
      </c>
      <c r="AM2045" s="3">
        <f t="shared" si="549"/>
        <v>1</v>
      </c>
      <c r="AN2045" s="3" t="str">
        <f t="shared" si="553"/>
        <v/>
      </c>
      <c r="AO2045" s="3">
        <v>0</v>
      </c>
      <c r="AP2045" s="3">
        <f t="shared" si="550"/>
        <v>8</v>
      </c>
      <c r="AR2045">
        <f t="shared" si="551"/>
        <v>0</v>
      </c>
      <c r="AS2045">
        <f t="shared" si="552"/>
        <v>5</v>
      </c>
    </row>
    <row r="2046" customHeight="1" spans="1:45">
      <c r="A2046" s="3" t="str">
        <f>IF(对接源_02物料!$C846="","",对接源_02物料!$C846)</f>
        <v/>
      </c>
      <c r="B2046" s="3">
        <f t="shared" si="537"/>
        <v>0</v>
      </c>
      <c r="C2046" s="3">
        <f t="shared" si="538"/>
        <v>21</v>
      </c>
      <c r="K2046" s="3">
        <f>IF(OR($K$1="",对接源_02物料!$C846="",对接源_02物料!$C846&lt;&gt;$K$1,对接源_02物料!$B846=""),0,IF(OR(N(对接源_02物料!$B846)&lt;$K$2,N(对接源_02物料!$B846)&gt;$K$3),0,1))</f>
        <v>0</v>
      </c>
      <c r="L2046" s="3">
        <f>IF(OR($L$1="",对接源_02物料!$C846="",对接源_02物料!$C846&lt;&gt;$L$1,对接源_02物料!$B846=""),0,IF(OR(N(对接源_02物料!$B846)&lt;$L$2,N(对接源_02物料!$B846)&gt;$L$3),0,1))</f>
        <v>0</v>
      </c>
      <c r="M2046" s="3">
        <f>IF(OR($M$1="",对接源_02物料!$C846="",对接源_02物料!$C846&lt;&gt;$M$1,对接源_02物料!$B846=""),0,IF(OR(N(对接源_02物料!$B846)&lt;$M$2,N(对接源_02物料!$B846)&gt;$M$3),0,1))</f>
        <v>0</v>
      </c>
      <c r="N2046" s="3">
        <f>IF(OR($N$1="",对接源_02物料!$C846="",对接源_02物料!$C846&lt;&gt;$N$1,对接源_02物料!$B846=""),0,IF(OR(N(对接源_02物料!$B846)&lt;$N$2,N(对接源_02物料!$B846)&gt;$N$3),0,1))</f>
        <v>0</v>
      </c>
      <c r="P2046" s="3">
        <f>IF(AND($K2046=1,AND(对接源_02物料!$X846="公司筐",N(对接源_02物料!$T846)&lt;&gt;0)),1,0)</f>
        <v>0</v>
      </c>
      <c r="Q2046" s="3">
        <f t="shared" si="539"/>
        <v>8</v>
      </c>
      <c r="R2046" s="3">
        <f>IF(AND($K2046=1,AND(对接源_02物料!$X846="公司筐",N(对接源_02物料!$U846)&lt;&gt;0)),1,0)</f>
        <v>0</v>
      </c>
      <c r="S2046" s="3">
        <f t="shared" si="540"/>
        <v>0</v>
      </c>
      <c r="T2046" s="3">
        <f>IF(AND($K2046=1,AND(对接源_02物料!$X846="公司筐",N(对接源_02物料!$V846)&lt;&gt;0)),1,0)</f>
        <v>0</v>
      </c>
      <c r="U2046" s="3">
        <f t="shared" si="541"/>
        <v>19</v>
      </c>
      <c r="V2046" s="3">
        <f>IF(AND($L2046=1,AND(对接源_02物料!$X846="自备筐",N(对接源_02物料!$V846)&lt;&gt;0)),1,0)</f>
        <v>0</v>
      </c>
      <c r="W2046" s="3">
        <f t="shared" si="542"/>
        <v>8</v>
      </c>
      <c r="X2046" s="3">
        <f>IF(AND($L2046=1,AND(对接源_02物料!$X846="自备筐",N(对接源_02物料!$T846)&lt;&gt;0)),1,0)</f>
        <v>0</v>
      </c>
      <c r="Y2046" s="3">
        <f t="shared" si="543"/>
        <v>0</v>
      </c>
      <c r="Z2046" s="3">
        <f>IF(AND($M2046=1,对接源_02物料!$D846="原料入库"),1,0)</f>
        <v>0</v>
      </c>
      <c r="AA2046" s="3">
        <f t="shared" si="544"/>
        <v>24</v>
      </c>
      <c r="AB2046" s="3">
        <f>IF(AND($M2046=1,LEFT(对接源_02物料!$D846,4)="原料出库"),1,0)</f>
        <v>0</v>
      </c>
      <c r="AC2046" s="3">
        <f t="shared" si="545"/>
        <v>0</v>
      </c>
      <c r="AD2046" s="3">
        <f>IF(AND($M2046=1,LEFT(对接源_02物料!$D846,4)="成品出库"),1,0)</f>
        <v>0</v>
      </c>
      <c r="AE2046" s="3">
        <f t="shared" si="546"/>
        <v>0</v>
      </c>
      <c r="AF2046" s="3">
        <f>IF(AND($N2046=1,AND(LEFT(对接源_02物料!$D846,4)="包装物料",N(对接源_02物料!$K846)&lt;&gt;0)),1,0)</f>
        <v>0</v>
      </c>
      <c r="AG2046" s="3">
        <f t="shared" si="547"/>
        <v>5</v>
      </c>
      <c r="AH2046" s="3">
        <f>IF(AND($N2046=1,AND(对接源_02物料!$D846="周转筐－销售出库",N(对接源_02物料!$K846)&lt;&gt;0)),1,0)</f>
        <v>0</v>
      </c>
      <c r="AI2046" s="3">
        <f t="shared" si="548"/>
        <v>0</v>
      </c>
      <c r="AL2046" s="3">
        <v>0</v>
      </c>
      <c r="AM2046" s="3">
        <f t="shared" si="549"/>
        <v>1</v>
      </c>
      <c r="AN2046" s="3" t="str">
        <f t="shared" si="553"/>
        <v/>
      </c>
      <c r="AO2046" s="3">
        <v>0</v>
      </c>
      <c r="AP2046" s="3">
        <f t="shared" si="550"/>
        <v>8</v>
      </c>
      <c r="AR2046">
        <f t="shared" si="551"/>
        <v>0</v>
      </c>
      <c r="AS2046">
        <f t="shared" si="552"/>
        <v>5</v>
      </c>
    </row>
    <row r="2047" customHeight="1" spans="1:45">
      <c r="A2047" s="3" t="str">
        <f>IF(对接源_02物料!$C847="","",对接源_02物料!$C847)</f>
        <v/>
      </c>
      <c r="B2047" s="3">
        <f t="shared" si="537"/>
        <v>0</v>
      </c>
      <c r="C2047" s="3">
        <f t="shared" si="538"/>
        <v>21</v>
      </c>
      <c r="K2047" s="3">
        <f>IF(OR($K$1="",对接源_02物料!$C847="",对接源_02物料!$C847&lt;&gt;$K$1,对接源_02物料!$B847=""),0,IF(OR(N(对接源_02物料!$B847)&lt;$K$2,N(对接源_02物料!$B847)&gt;$K$3),0,1))</f>
        <v>0</v>
      </c>
      <c r="L2047" s="3">
        <f>IF(OR($L$1="",对接源_02物料!$C847="",对接源_02物料!$C847&lt;&gt;$L$1,对接源_02物料!$B847=""),0,IF(OR(N(对接源_02物料!$B847)&lt;$L$2,N(对接源_02物料!$B847)&gt;$L$3),0,1))</f>
        <v>0</v>
      </c>
      <c r="M2047" s="3">
        <f>IF(OR($M$1="",对接源_02物料!$C847="",对接源_02物料!$C847&lt;&gt;$M$1,对接源_02物料!$B847=""),0,IF(OR(N(对接源_02物料!$B847)&lt;$M$2,N(对接源_02物料!$B847)&gt;$M$3),0,1))</f>
        <v>0</v>
      </c>
      <c r="N2047" s="3">
        <f>IF(OR($N$1="",对接源_02物料!$C847="",对接源_02物料!$C847&lt;&gt;$N$1,对接源_02物料!$B847=""),0,IF(OR(N(对接源_02物料!$B847)&lt;$N$2,N(对接源_02物料!$B847)&gt;$N$3),0,1))</f>
        <v>0</v>
      </c>
      <c r="P2047" s="3">
        <f>IF(AND($K2047=1,AND(对接源_02物料!$X847="公司筐",N(对接源_02物料!$T847)&lt;&gt;0)),1,0)</f>
        <v>0</v>
      </c>
      <c r="Q2047" s="3">
        <f t="shared" si="539"/>
        <v>8</v>
      </c>
      <c r="R2047" s="3">
        <f>IF(AND($K2047=1,AND(对接源_02物料!$X847="公司筐",N(对接源_02物料!$U847)&lt;&gt;0)),1,0)</f>
        <v>0</v>
      </c>
      <c r="S2047" s="3">
        <f t="shared" si="540"/>
        <v>0</v>
      </c>
      <c r="T2047" s="3">
        <f>IF(AND($K2047=1,AND(对接源_02物料!$X847="公司筐",N(对接源_02物料!$V847)&lt;&gt;0)),1,0)</f>
        <v>0</v>
      </c>
      <c r="U2047" s="3">
        <f t="shared" si="541"/>
        <v>19</v>
      </c>
      <c r="V2047" s="3">
        <f>IF(AND($L2047=1,AND(对接源_02物料!$X847="自备筐",N(对接源_02物料!$V847)&lt;&gt;0)),1,0)</f>
        <v>0</v>
      </c>
      <c r="W2047" s="3">
        <f t="shared" si="542"/>
        <v>8</v>
      </c>
      <c r="X2047" s="3">
        <f>IF(AND($L2047=1,AND(对接源_02物料!$X847="自备筐",N(对接源_02物料!$T847)&lt;&gt;0)),1,0)</f>
        <v>0</v>
      </c>
      <c r="Y2047" s="3">
        <f t="shared" si="543"/>
        <v>0</v>
      </c>
      <c r="Z2047" s="3">
        <f>IF(AND($M2047=1,对接源_02物料!$D847="原料入库"),1,0)</f>
        <v>0</v>
      </c>
      <c r="AA2047" s="3">
        <f t="shared" si="544"/>
        <v>24</v>
      </c>
      <c r="AB2047" s="3">
        <f>IF(AND($M2047=1,LEFT(对接源_02物料!$D847,4)="原料出库"),1,0)</f>
        <v>0</v>
      </c>
      <c r="AC2047" s="3">
        <f t="shared" si="545"/>
        <v>0</v>
      </c>
      <c r="AD2047" s="3">
        <f>IF(AND($M2047=1,LEFT(对接源_02物料!$D847,4)="成品出库"),1,0)</f>
        <v>0</v>
      </c>
      <c r="AE2047" s="3">
        <f t="shared" si="546"/>
        <v>0</v>
      </c>
      <c r="AF2047" s="3">
        <f>IF(AND($N2047=1,AND(LEFT(对接源_02物料!$D847,4)="包装物料",N(对接源_02物料!$K847)&lt;&gt;0)),1,0)</f>
        <v>0</v>
      </c>
      <c r="AG2047" s="3">
        <f t="shared" si="547"/>
        <v>5</v>
      </c>
      <c r="AH2047" s="3">
        <f>IF(AND($N2047=1,AND(对接源_02物料!$D847="周转筐－销售出库",N(对接源_02物料!$K847)&lt;&gt;0)),1,0)</f>
        <v>0</v>
      </c>
      <c r="AI2047" s="3">
        <f t="shared" si="548"/>
        <v>0</v>
      </c>
      <c r="AL2047" s="3">
        <v>0</v>
      </c>
      <c r="AM2047" s="3">
        <f t="shared" si="549"/>
        <v>1</v>
      </c>
      <c r="AN2047" s="3" t="str">
        <f t="shared" si="553"/>
        <v/>
      </c>
      <c r="AO2047" s="3">
        <v>0</v>
      </c>
      <c r="AP2047" s="3">
        <f t="shared" si="550"/>
        <v>8</v>
      </c>
      <c r="AR2047">
        <f t="shared" si="551"/>
        <v>0</v>
      </c>
      <c r="AS2047">
        <f t="shared" si="552"/>
        <v>5</v>
      </c>
    </row>
    <row r="2048" customHeight="1" spans="1:45">
      <c r="A2048" s="3" t="str">
        <f>IF(对接源_02物料!$C848="","",对接源_02物料!$C848)</f>
        <v/>
      </c>
      <c r="B2048" s="3">
        <f t="shared" si="537"/>
        <v>0</v>
      </c>
      <c r="C2048" s="3">
        <f t="shared" si="538"/>
        <v>21</v>
      </c>
      <c r="K2048" s="3">
        <f>IF(OR($K$1="",对接源_02物料!$C848="",对接源_02物料!$C848&lt;&gt;$K$1,对接源_02物料!$B848=""),0,IF(OR(N(对接源_02物料!$B848)&lt;$K$2,N(对接源_02物料!$B848)&gt;$K$3),0,1))</f>
        <v>0</v>
      </c>
      <c r="L2048" s="3">
        <f>IF(OR($L$1="",对接源_02物料!$C848="",对接源_02物料!$C848&lt;&gt;$L$1,对接源_02物料!$B848=""),0,IF(OR(N(对接源_02物料!$B848)&lt;$L$2,N(对接源_02物料!$B848)&gt;$L$3),0,1))</f>
        <v>0</v>
      </c>
      <c r="M2048" s="3">
        <f>IF(OR($M$1="",对接源_02物料!$C848="",对接源_02物料!$C848&lt;&gt;$M$1,对接源_02物料!$B848=""),0,IF(OR(N(对接源_02物料!$B848)&lt;$M$2,N(对接源_02物料!$B848)&gt;$M$3),0,1))</f>
        <v>0</v>
      </c>
      <c r="N2048" s="3">
        <f>IF(OR($N$1="",对接源_02物料!$C848="",对接源_02物料!$C848&lt;&gt;$N$1,对接源_02物料!$B848=""),0,IF(OR(N(对接源_02物料!$B848)&lt;$N$2,N(对接源_02物料!$B848)&gt;$N$3),0,1))</f>
        <v>0</v>
      </c>
      <c r="P2048" s="3">
        <f>IF(AND($K2048=1,AND(对接源_02物料!$X848="公司筐",N(对接源_02物料!$T848)&lt;&gt;0)),1,0)</f>
        <v>0</v>
      </c>
      <c r="Q2048" s="3">
        <f t="shared" si="539"/>
        <v>8</v>
      </c>
      <c r="R2048" s="3">
        <f>IF(AND($K2048=1,AND(对接源_02物料!$X848="公司筐",N(对接源_02物料!$U848)&lt;&gt;0)),1,0)</f>
        <v>0</v>
      </c>
      <c r="S2048" s="3">
        <f t="shared" si="540"/>
        <v>0</v>
      </c>
      <c r="T2048" s="3">
        <f>IF(AND($K2048=1,AND(对接源_02物料!$X848="公司筐",N(对接源_02物料!$V848)&lt;&gt;0)),1,0)</f>
        <v>0</v>
      </c>
      <c r="U2048" s="3">
        <f t="shared" si="541"/>
        <v>19</v>
      </c>
      <c r="V2048" s="3">
        <f>IF(AND($L2048=1,AND(对接源_02物料!$X848="自备筐",N(对接源_02物料!$V848)&lt;&gt;0)),1,0)</f>
        <v>0</v>
      </c>
      <c r="W2048" s="3">
        <f t="shared" si="542"/>
        <v>8</v>
      </c>
      <c r="X2048" s="3">
        <f>IF(AND($L2048=1,AND(对接源_02物料!$X848="自备筐",N(对接源_02物料!$T848)&lt;&gt;0)),1,0)</f>
        <v>0</v>
      </c>
      <c r="Y2048" s="3">
        <f t="shared" si="543"/>
        <v>0</v>
      </c>
      <c r="Z2048" s="3">
        <f>IF(AND($M2048=1,对接源_02物料!$D848="原料入库"),1,0)</f>
        <v>0</v>
      </c>
      <c r="AA2048" s="3">
        <f t="shared" si="544"/>
        <v>24</v>
      </c>
      <c r="AB2048" s="3">
        <f>IF(AND($M2048=1,LEFT(对接源_02物料!$D848,4)="原料出库"),1,0)</f>
        <v>0</v>
      </c>
      <c r="AC2048" s="3">
        <f t="shared" si="545"/>
        <v>0</v>
      </c>
      <c r="AD2048" s="3">
        <f>IF(AND($M2048=1,LEFT(对接源_02物料!$D848,4)="成品出库"),1,0)</f>
        <v>0</v>
      </c>
      <c r="AE2048" s="3">
        <f t="shared" si="546"/>
        <v>0</v>
      </c>
      <c r="AF2048" s="3">
        <f>IF(AND($N2048=1,AND(LEFT(对接源_02物料!$D848,4)="包装物料",N(对接源_02物料!$K848)&lt;&gt;0)),1,0)</f>
        <v>0</v>
      </c>
      <c r="AG2048" s="3">
        <f t="shared" si="547"/>
        <v>5</v>
      </c>
      <c r="AH2048" s="3">
        <f>IF(AND($N2048=1,AND(对接源_02物料!$D848="周转筐－销售出库",N(对接源_02物料!$K848)&lt;&gt;0)),1,0)</f>
        <v>0</v>
      </c>
      <c r="AI2048" s="3">
        <f t="shared" si="548"/>
        <v>0</v>
      </c>
      <c r="AL2048" s="3">
        <v>0</v>
      </c>
      <c r="AM2048" s="3">
        <f t="shared" si="549"/>
        <v>1</v>
      </c>
      <c r="AN2048" s="3" t="str">
        <f t="shared" si="553"/>
        <v/>
      </c>
      <c r="AO2048" s="3">
        <v>0</v>
      </c>
      <c r="AP2048" s="3">
        <f t="shared" si="550"/>
        <v>8</v>
      </c>
      <c r="AR2048">
        <f t="shared" si="551"/>
        <v>0</v>
      </c>
      <c r="AS2048">
        <f t="shared" si="552"/>
        <v>5</v>
      </c>
    </row>
    <row r="2049" customHeight="1" spans="1:45">
      <c r="A2049" s="3" t="str">
        <f>IF(对接源_02物料!$C849="","",对接源_02物料!$C849)</f>
        <v/>
      </c>
      <c r="B2049" s="3">
        <f t="shared" si="537"/>
        <v>0</v>
      </c>
      <c r="C2049" s="3">
        <f t="shared" si="538"/>
        <v>21</v>
      </c>
      <c r="K2049" s="3">
        <f>IF(OR($K$1="",对接源_02物料!$C849="",对接源_02物料!$C849&lt;&gt;$K$1,对接源_02物料!$B849=""),0,IF(OR(N(对接源_02物料!$B849)&lt;$K$2,N(对接源_02物料!$B849)&gt;$K$3),0,1))</f>
        <v>0</v>
      </c>
      <c r="L2049" s="3">
        <f>IF(OR($L$1="",对接源_02物料!$C849="",对接源_02物料!$C849&lt;&gt;$L$1,对接源_02物料!$B849=""),0,IF(OR(N(对接源_02物料!$B849)&lt;$L$2,N(对接源_02物料!$B849)&gt;$L$3),0,1))</f>
        <v>0</v>
      </c>
      <c r="M2049" s="3">
        <f>IF(OR($M$1="",对接源_02物料!$C849="",对接源_02物料!$C849&lt;&gt;$M$1,对接源_02物料!$B849=""),0,IF(OR(N(对接源_02物料!$B849)&lt;$M$2,N(对接源_02物料!$B849)&gt;$M$3),0,1))</f>
        <v>0</v>
      </c>
      <c r="N2049" s="3">
        <f>IF(OR($N$1="",对接源_02物料!$C849="",对接源_02物料!$C849&lt;&gt;$N$1,对接源_02物料!$B849=""),0,IF(OR(N(对接源_02物料!$B849)&lt;$N$2,N(对接源_02物料!$B849)&gt;$N$3),0,1))</f>
        <v>0</v>
      </c>
      <c r="P2049" s="3">
        <f>IF(AND($K2049=1,AND(对接源_02物料!$X849="公司筐",N(对接源_02物料!$T849)&lt;&gt;0)),1,0)</f>
        <v>0</v>
      </c>
      <c r="Q2049" s="3">
        <f t="shared" si="539"/>
        <v>8</v>
      </c>
      <c r="R2049" s="3">
        <f>IF(AND($K2049=1,AND(对接源_02物料!$X849="公司筐",N(对接源_02物料!$U849)&lt;&gt;0)),1,0)</f>
        <v>0</v>
      </c>
      <c r="S2049" s="3">
        <f t="shared" si="540"/>
        <v>0</v>
      </c>
      <c r="T2049" s="3">
        <f>IF(AND($K2049=1,AND(对接源_02物料!$X849="公司筐",N(对接源_02物料!$V849)&lt;&gt;0)),1,0)</f>
        <v>0</v>
      </c>
      <c r="U2049" s="3">
        <f t="shared" si="541"/>
        <v>19</v>
      </c>
      <c r="V2049" s="3">
        <f>IF(AND($L2049=1,AND(对接源_02物料!$X849="自备筐",N(对接源_02物料!$V849)&lt;&gt;0)),1,0)</f>
        <v>0</v>
      </c>
      <c r="W2049" s="3">
        <f t="shared" si="542"/>
        <v>8</v>
      </c>
      <c r="X2049" s="3">
        <f>IF(AND($L2049=1,AND(对接源_02物料!$X849="自备筐",N(对接源_02物料!$T849)&lt;&gt;0)),1,0)</f>
        <v>0</v>
      </c>
      <c r="Y2049" s="3">
        <f t="shared" si="543"/>
        <v>0</v>
      </c>
      <c r="Z2049" s="3">
        <f>IF(AND($M2049=1,对接源_02物料!$D849="原料入库"),1,0)</f>
        <v>0</v>
      </c>
      <c r="AA2049" s="3">
        <f t="shared" si="544"/>
        <v>24</v>
      </c>
      <c r="AB2049" s="3">
        <f>IF(AND($M2049=1,LEFT(对接源_02物料!$D849,4)="原料出库"),1,0)</f>
        <v>0</v>
      </c>
      <c r="AC2049" s="3">
        <f t="shared" si="545"/>
        <v>0</v>
      </c>
      <c r="AD2049" s="3">
        <f>IF(AND($M2049=1,LEFT(对接源_02物料!$D849,4)="成品出库"),1,0)</f>
        <v>0</v>
      </c>
      <c r="AE2049" s="3">
        <f t="shared" si="546"/>
        <v>0</v>
      </c>
      <c r="AF2049" s="3">
        <f>IF(AND($N2049=1,AND(LEFT(对接源_02物料!$D849,4)="包装物料",N(对接源_02物料!$K849)&lt;&gt;0)),1,0)</f>
        <v>0</v>
      </c>
      <c r="AG2049" s="3">
        <f t="shared" si="547"/>
        <v>5</v>
      </c>
      <c r="AH2049" s="3">
        <f>IF(AND($N2049=1,AND(对接源_02物料!$D849="周转筐－销售出库",N(对接源_02物料!$K849)&lt;&gt;0)),1,0)</f>
        <v>0</v>
      </c>
      <c r="AI2049" s="3">
        <f t="shared" si="548"/>
        <v>0</v>
      </c>
      <c r="AL2049" s="3">
        <v>0</v>
      </c>
      <c r="AM2049" s="3">
        <f t="shared" si="549"/>
        <v>1</v>
      </c>
      <c r="AN2049" s="3" t="str">
        <f t="shared" si="553"/>
        <v/>
      </c>
      <c r="AO2049" s="3">
        <v>0</v>
      </c>
      <c r="AP2049" s="3">
        <f t="shared" si="550"/>
        <v>8</v>
      </c>
      <c r="AR2049">
        <f t="shared" si="551"/>
        <v>0</v>
      </c>
      <c r="AS2049">
        <f t="shared" si="552"/>
        <v>5</v>
      </c>
    </row>
    <row r="2050" customHeight="1" spans="1:45">
      <c r="A2050" s="3" t="str">
        <f>IF(对接源_02物料!$C850="","",对接源_02物料!$C850)</f>
        <v/>
      </c>
      <c r="B2050" s="3">
        <f t="shared" si="537"/>
        <v>0</v>
      </c>
      <c r="C2050" s="3">
        <f t="shared" si="538"/>
        <v>21</v>
      </c>
      <c r="K2050" s="3">
        <f>IF(OR($K$1="",对接源_02物料!$C850="",对接源_02物料!$C850&lt;&gt;$K$1,对接源_02物料!$B850=""),0,IF(OR(N(对接源_02物料!$B850)&lt;$K$2,N(对接源_02物料!$B850)&gt;$K$3),0,1))</f>
        <v>0</v>
      </c>
      <c r="L2050" s="3">
        <f>IF(OR($L$1="",对接源_02物料!$C850="",对接源_02物料!$C850&lt;&gt;$L$1,对接源_02物料!$B850=""),0,IF(OR(N(对接源_02物料!$B850)&lt;$L$2,N(对接源_02物料!$B850)&gt;$L$3),0,1))</f>
        <v>0</v>
      </c>
      <c r="M2050" s="3">
        <f>IF(OR($M$1="",对接源_02物料!$C850="",对接源_02物料!$C850&lt;&gt;$M$1,对接源_02物料!$B850=""),0,IF(OR(N(对接源_02物料!$B850)&lt;$M$2,N(对接源_02物料!$B850)&gt;$M$3),0,1))</f>
        <v>0</v>
      </c>
      <c r="N2050" s="3">
        <f>IF(OR($N$1="",对接源_02物料!$C850="",对接源_02物料!$C850&lt;&gt;$N$1,对接源_02物料!$B850=""),0,IF(OR(N(对接源_02物料!$B850)&lt;$N$2,N(对接源_02物料!$B850)&gt;$N$3),0,1))</f>
        <v>0</v>
      </c>
      <c r="P2050" s="3">
        <f>IF(AND($K2050=1,AND(对接源_02物料!$X850="公司筐",N(对接源_02物料!$T850)&lt;&gt;0)),1,0)</f>
        <v>0</v>
      </c>
      <c r="Q2050" s="3">
        <f t="shared" si="539"/>
        <v>8</v>
      </c>
      <c r="R2050" s="3">
        <f>IF(AND($K2050=1,AND(对接源_02物料!$X850="公司筐",N(对接源_02物料!$U850)&lt;&gt;0)),1,0)</f>
        <v>0</v>
      </c>
      <c r="S2050" s="3">
        <f t="shared" si="540"/>
        <v>0</v>
      </c>
      <c r="T2050" s="3">
        <f>IF(AND($K2050=1,AND(对接源_02物料!$X850="公司筐",N(对接源_02物料!$V850)&lt;&gt;0)),1,0)</f>
        <v>0</v>
      </c>
      <c r="U2050" s="3">
        <f t="shared" si="541"/>
        <v>19</v>
      </c>
      <c r="V2050" s="3">
        <f>IF(AND($L2050=1,AND(对接源_02物料!$X850="自备筐",N(对接源_02物料!$V850)&lt;&gt;0)),1,0)</f>
        <v>0</v>
      </c>
      <c r="W2050" s="3">
        <f t="shared" si="542"/>
        <v>8</v>
      </c>
      <c r="X2050" s="3">
        <f>IF(AND($L2050=1,AND(对接源_02物料!$X850="自备筐",N(对接源_02物料!$T850)&lt;&gt;0)),1,0)</f>
        <v>0</v>
      </c>
      <c r="Y2050" s="3">
        <f t="shared" si="543"/>
        <v>0</v>
      </c>
      <c r="Z2050" s="3">
        <f>IF(AND($M2050=1,对接源_02物料!$D850="原料入库"),1,0)</f>
        <v>0</v>
      </c>
      <c r="AA2050" s="3">
        <f t="shared" si="544"/>
        <v>24</v>
      </c>
      <c r="AB2050" s="3">
        <f>IF(AND($M2050=1,LEFT(对接源_02物料!$D850,4)="原料出库"),1,0)</f>
        <v>0</v>
      </c>
      <c r="AC2050" s="3">
        <f t="shared" si="545"/>
        <v>0</v>
      </c>
      <c r="AD2050" s="3">
        <f>IF(AND($M2050=1,LEFT(对接源_02物料!$D850,4)="成品出库"),1,0)</f>
        <v>0</v>
      </c>
      <c r="AE2050" s="3">
        <f t="shared" si="546"/>
        <v>0</v>
      </c>
      <c r="AF2050" s="3">
        <f>IF(AND($N2050=1,AND(LEFT(对接源_02物料!$D850,4)="包装物料",N(对接源_02物料!$K850)&lt;&gt;0)),1,0)</f>
        <v>0</v>
      </c>
      <c r="AG2050" s="3">
        <f t="shared" si="547"/>
        <v>5</v>
      </c>
      <c r="AH2050" s="3">
        <f>IF(AND($N2050=1,AND(对接源_02物料!$D850="周转筐－销售出库",N(对接源_02物料!$K850)&lt;&gt;0)),1,0)</f>
        <v>0</v>
      </c>
      <c r="AI2050" s="3">
        <f t="shared" si="548"/>
        <v>0</v>
      </c>
      <c r="AL2050" s="3">
        <v>0</v>
      </c>
      <c r="AM2050" s="3">
        <f t="shared" si="549"/>
        <v>1</v>
      </c>
      <c r="AN2050" s="3" t="str">
        <f t="shared" si="553"/>
        <v/>
      </c>
      <c r="AO2050" s="3">
        <v>0</v>
      </c>
      <c r="AP2050" s="3">
        <f t="shared" si="550"/>
        <v>8</v>
      </c>
      <c r="AR2050">
        <f t="shared" si="551"/>
        <v>0</v>
      </c>
      <c r="AS2050">
        <f t="shared" si="552"/>
        <v>5</v>
      </c>
    </row>
    <row r="2051" customHeight="1" spans="1:45">
      <c r="A2051" s="3" t="str">
        <f>IF(对接源_02物料!$C851="","",对接源_02物料!$C851)</f>
        <v/>
      </c>
      <c r="B2051" s="3">
        <f t="shared" si="537"/>
        <v>0</v>
      </c>
      <c r="C2051" s="3">
        <f t="shared" si="538"/>
        <v>21</v>
      </c>
      <c r="K2051" s="3">
        <f>IF(OR($K$1="",对接源_02物料!$C851="",对接源_02物料!$C851&lt;&gt;$K$1,对接源_02物料!$B851=""),0,IF(OR(N(对接源_02物料!$B851)&lt;$K$2,N(对接源_02物料!$B851)&gt;$K$3),0,1))</f>
        <v>0</v>
      </c>
      <c r="L2051" s="3">
        <f>IF(OR($L$1="",对接源_02物料!$C851="",对接源_02物料!$C851&lt;&gt;$L$1,对接源_02物料!$B851=""),0,IF(OR(N(对接源_02物料!$B851)&lt;$L$2,N(对接源_02物料!$B851)&gt;$L$3),0,1))</f>
        <v>0</v>
      </c>
      <c r="M2051" s="3">
        <f>IF(OR($M$1="",对接源_02物料!$C851="",对接源_02物料!$C851&lt;&gt;$M$1,对接源_02物料!$B851=""),0,IF(OR(N(对接源_02物料!$B851)&lt;$M$2,N(对接源_02物料!$B851)&gt;$M$3),0,1))</f>
        <v>0</v>
      </c>
      <c r="N2051" s="3">
        <f>IF(OR($N$1="",对接源_02物料!$C851="",对接源_02物料!$C851&lt;&gt;$N$1,对接源_02物料!$B851=""),0,IF(OR(N(对接源_02物料!$B851)&lt;$N$2,N(对接源_02物料!$B851)&gt;$N$3),0,1))</f>
        <v>0</v>
      </c>
      <c r="P2051" s="3">
        <f>IF(AND($K2051=1,AND(对接源_02物料!$X851="公司筐",N(对接源_02物料!$T851)&lt;&gt;0)),1,0)</f>
        <v>0</v>
      </c>
      <c r="Q2051" s="3">
        <f t="shared" si="539"/>
        <v>8</v>
      </c>
      <c r="R2051" s="3">
        <f>IF(AND($K2051=1,AND(对接源_02物料!$X851="公司筐",N(对接源_02物料!$U851)&lt;&gt;0)),1,0)</f>
        <v>0</v>
      </c>
      <c r="S2051" s="3">
        <f t="shared" si="540"/>
        <v>0</v>
      </c>
      <c r="T2051" s="3">
        <f>IF(AND($K2051=1,AND(对接源_02物料!$X851="公司筐",N(对接源_02物料!$V851)&lt;&gt;0)),1,0)</f>
        <v>0</v>
      </c>
      <c r="U2051" s="3">
        <f t="shared" si="541"/>
        <v>19</v>
      </c>
      <c r="V2051" s="3">
        <f>IF(AND($L2051=1,AND(对接源_02物料!$X851="自备筐",N(对接源_02物料!$V851)&lt;&gt;0)),1,0)</f>
        <v>0</v>
      </c>
      <c r="W2051" s="3">
        <f t="shared" si="542"/>
        <v>8</v>
      </c>
      <c r="X2051" s="3">
        <f>IF(AND($L2051=1,AND(对接源_02物料!$X851="自备筐",N(对接源_02物料!$T851)&lt;&gt;0)),1,0)</f>
        <v>0</v>
      </c>
      <c r="Y2051" s="3">
        <f t="shared" si="543"/>
        <v>0</v>
      </c>
      <c r="Z2051" s="3">
        <f>IF(AND($M2051=1,对接源_02物料!$D851="原料入库"),1,0)</f>
        <v>0</v>
      </c>
      <c r="AA2051" s="3">
        <f t="shared" si="544"/>
        <v>24</v>
      </c>
      <c r="AB2051" s="3">
        <f>IF(AND($M2051=1,LEFT(对接源_02物料!$D851,4)="原料出库"),1,0)</f>
        <v>0</v>
      </c>
      <c r="AC2051" s="3">
        <f t="shared" si="545"/>
        <v>0</v>
      </c>
      <c r="AD2051" s="3">
        <f>IF(AND($M2051=1,LEFT(对接源_02物料!$D851,4)="成品出库"),1,0)</f>
        <v>0</v>
      </c>
      <c r="AE2051" s="3">
        <f t="shared" si="546"/>
        <v>0</v>
      </c>
      <c r="AF2051" s="3">
        <f>IF(AND($N2051=1,AND(LEFT(对接源_02物料!$D851,4)="包装物料",N(对接源_02物料!$K851)&lt;&gt;0)),1,0)</f>
        <v>0</v>
      </c>
      <c r="AG2051" s="3">
        <f t="shared" si="547"/>
        <v>5</v>
      </c>
      <c r="AH2051" s="3">
        <f>IF(AND($N2051=1,AND(对接源_02物料!$D851="周转筐－销售出库",N(对接源_02物料!$K851)&lt;&gt;0)),1,0)</f>
        <v>0</v>
      </c>
      <c r="AI2051" s="3">
        <f t="shared" si="548"/>
        <v>0</v>
      </c>
      <c r="AL2051" s="3">
        <v>0</v>
      </c>
      <c r="AM2051" s="3">
        <f t="shared" si="549"/>
        <v>1</v>
      </c>
      <c r="AN2051" s="3" t="str">
        <f t="shared" si="553"/>
        <v/>
      </c>
      <c r="AO2051" s="3">
        <v>0</v>
      </c>
      <c r="AP2051" s="3">
        <f t="shared" si="550"/>
        <v>8</v>
      </c>
      <c r="AR2051">
        <f t="shared" si="551"/>
        <v>0</v>
      </c>
      <c r="AS2051">
        <f t="shared" si="552"/>
        <v>5</v>
      </c>
    </row>
    <row r="2052" customHeight="1" spans="1:45">
      <c r="A2052" s="3" t="str">
        <f>IF(对接源_02物料!$C852="","",对接源_02物料!$C852)</f>
        <v/>
      </c>
      <c r="B2052" s="3">
        <f t="shared" ref="B2052:B2115" si="554">IF(A2052="",0,IF(MATCH(A2052,$A$4:$A$2403,0)=ROW()-3,1,0))</f>
        <v>0</v>
      </c>
      <c r="C2052" s="3">
        <f t="shared" ref="C2052:C2115" si="555">N(C2051)+B2052</f>
        <v>21</v>
      </c>
      <c r="K2052" s="3">
        <f>IF(OR($K$1="",对接源_02物料!$C852="",对接源_02物料!$C852&lt;&gt;$K$1,对接源_02物料!$B852=""),0,IF(OR(N(对接源_02物料!$B852)&lt;$K$2,N(对接源_02物料!$B852)&gt;$K$3),0,1))</f>
        <v>0</v>
      </c>
      <c r="L2052" s="3">
        <f>IF(OR($L$1="",对接源_02物料!$C852="",对接源_02物料!$C852&lt;&gt;$L$1,对接源_02物料!$B852=""),0,IF(OR(N(对接源_02物料!$B852)&lt;$L$2,N(对接源_02物料!$B852)&gt;$L$3),0,1))</f>
        <v>0</v>
      </c>
      <c r="M2052" s="3">
        <f>IF(OR($M$1="",对接源_02物料!$C852="",对接源_02物料!$C852&lt;&gt;$M$1,对接源_02物料!$B852=""),0,IF(OR(N(对接源_02物料!$B852)&lt;$M$2,N(对接源_02物料!$B852)&gt;$M$3),0,1))</f>
        <v>0</v>
      </c>
      <c r="N2052" s="3">
        <f>IF(OR($N$1="",对接源_02物料!$C852="",对接源_02物料!$C852&lt;&gt;$N$1,对接源_02物料!$B852=""),0,IF(OR(N(对接源_02物料!$B852)&lt;$N$2,N(对接源_02物料!$B852)&gt;$N$3),0,1))</f>
        <v>0</v>
      </c>
      <c r="P2052" s="3">
        <f>IF(AND($K2052=1,AND(对接源_02物料!$X852="公司筐",N(对接源_02物料!$T852)&lt;&gt;0)),1,0)</f>
        <v>0</v>
      </c>
      <c r="Q2052" s="3">
        <f t="shared" ref="Q2052:Q2115" si="556">N(Q2051)+$P2052</f>
        <v>8</v>
      </c>
      <c r="R2052" s="3">
        <f>IF(AND($K2052=1,AND(对接源_02物料!$X852="公司筐",N(对接源_02物料!$U852)&lt;&gt;0)),1,0)</f>
        <v>0</v>
      </c>
      <c r="S2052" s="3">
        <f t="shared" ref="S2052:S2115" si="557">N(S2051)+$R2052</f>
        <v>0</v>
      </c>
      <c r="T2052" s="3">
        <f>IF(AND($K2052=1,AND(对接源_02物料!$X852="公司筐",N(对接源_02物料!$V852)&lt;&gt;0)),1,0)</f>
        <v>0</v>
      </c>
      <c r="U2052" s="3">
        <f t="shared" ref="U2052:U2115" si="558">N(U2051)+$T2052</f>
        <v>19</v>
      </c>
      <c r="V2052" s="3">
        <f>IF(AND($L2052=1,AND(对接源_02物料!$X852="自备筐",N(对接源_02物料!$V852)&lt;&gt;0)),1,0)</f>
        <v>0</v>
      </c>
      <c r="W2052" s="3">
        <f t="shared" ref="W2052:W2115" si="559">N(W2051)+$V2052</f>
        <v>8</v>
      </c>
      <c r="X2052" s="3">
        <f>IF(AND($L2052=1,AND(对接源_02物料!$X852="自备筐",N(对接源_02物料!$T852)&lt;&gt;0)),1,0)</f>
        <v>0</v>
      </c>
      <c r="Y2052" s="3">
        <f t="shared" ref="Y2052:Y2115" si="560">N(Y2051)+$X2052</f>
        <v>0</v>
      </c>
      <c r="Z2052" s="3">
        <f>IF(AND($M2052=1,对接源_02物料!$D852="原料入库"),1,0)</f>
        <v>0</v>
      </c>
      <c r="AA2052" s="3">
        <f t="shared" ref="AA2052:AA2115" si="561">N(AA2051)+$Z2052</f>
        <v>24</v>
      </c>
      <c r="AB2052" s="3">
        <f>IF(AND($M2052=1,LEFT(对接源_02物料!$D852,4)="原料出库"),1,0)</f>
        <v>0</v>
      </c>
      <c r="AC2052" s="3">
        <f t="shared" ref="AC2052:AC2115" si="562">N(AC2051)+$AB2052</f>
        <v>0</v>
      </c>
      <c r="AD2052" s="3">
        <f>IF(AND($M2052=1,LEFT(对接源_02物料!$D852,4)="成品出库"),1,0)</f>
        <v>0</v>
      </c>
      <c r="AE2052" s="3">
        <f t="shared" ref="AE2052:AE2115" si="563">N(AE2051)+$AD2052</f>
        <v>0</v>
      </c>
      <c r="AF2052" s="3">
        <f>IF(AND($N2052=1,AND(LEFT(对接源_02物料!$D852,4)="包装物料",N(对接源_02物料!$K852)&lt;&gt;0)),1,0)</f>
        <v>0</v>
      </c>
      <c r="AG2052" s="3">
        <f t="shared" ref="AG2052:AG2115" si="564">N(AG2051)+$AF2052</f>
        <v>5</v>
      </c>
      <c r="AH2052" s="3">
        <f>IF(AND($N2052=1,AND(对接源_02物料!$D852="周转筐－销售出库",N(对接源_02物料!$K852)&lt;&gt;0)),1,0)</f>
        <v>0</v>
      </c>
      <c r="AI2052" s="3">
        <f t="shared" ref="AI2052:AI2115" si="565">N(AI2051)+$AH2052</f>
        <v>0</v>
      </c>
      <c r="AL2052" s="3">
        <v>0</v>
      </c>
      <c r="AM2052" s="3">
        <f t="shared" ref="AM2052:AM2115" si="566">N(AM2051)+$AL2052</f>
        <v>1</v>
      </c>
      <c r="AN2052" s="3" t="str">
        <f t="shared" si="553"/>
        <v/>
      </c>
      <c r="AO2052" s="3">
        <v>0</v>
      </c>
      <c r="AP2052" s="3">
        <f t="shared" ref="AP2052:AP2115" si="567">N(AP2051)+$AO2052</f>
        <v>8</v>
      </c>
      <c r="AR2052">
        <f t="shared" ref="AR2052:AR2115" si="568">IF(OR($AF2052=1,$AH2052=1),1,0)</f>
        <v>0</v>
      </c>
      <c r="AS2052">
        <f t="shared" ref="AS2052:AS2115" si="569">N(AS2051)+$AR2052</f>
        <v>5</v>
      </c>
    </row>
    <row r="2053" customHeight="1" spans="1:45">
      <c r="A2053" s="3" t="str">
        <f>IF(对接源_02物料!$C853="","",对接源_02物料!$C853)</f>
        <v/>
      </c>
      <c r="B2053" s="3">
        <f t="shared" si="554"/>
        <v>0</v>
      </c>
      <c r="C2053" s="3">
        <f t="shared" si="555"/>
        <v>21</v>
      </c>
      <c r="K2053" s="3">
        <f>IF(OR($K$1="",对接源_02物料!$C853="",对接源_02物料!$C853&lt;&gt;$K$1,对接源_02物料!$B853=""),0,IF(OR(N(对接源_02物料!$B853)&lt;$K$2,N(对接源_02物料!$B853)&gt;$K$3),0,1))</f>
        <v>0</v>
      </c>
      <c r="L2053" s="3">
        <f>IF(OR($L$1="",对接源_02物料!$C853="",对接源_02物料!$C853&lt;&gt;$L$1,对接源_02物料!$B853=""),0,IF(OR(N(对接源_02物料!$B853)&lt;$L$2,N(对接源_02物料!$B853)&gt;$L$3),0,1))</f>
        <v>0</v>
      </c>
      <c r="M2053" s="3">
        <f>IF(OR($M$1="",对接源_02物料!$C853="",对接源_02物料!$C853&lt;&gt;$M$1,对接源_02物料!$B853=""),0,IF(OR(N(对接源_02物料!$B853)&lt;$M$2,N(对接源_02物料!$B853)&gt;$M$3),0,1))</f>
        <v>0</v>
      </c>
      <c r="N2053" s="3">
        <f>IF(OR($N$1="",对接源_02物料!$C853="",对接源_02物料!$C853&lt;&gt;$N$1,对接源_02物料!$B853=""),0,IF(OR(N(对接源_02物料!$B853)&lt;$N$2,N(对接源_02物料!$B853)&gt;$N$3),0,1))</f>
        <v>0</v>
      </c>
      <c r="P2053" s="3">
        <f>IF(AND($K2053=1,AND(对接源_02物料!$X853="公司筐",N(对接源_02物料!$T853)&lt;&gt;0)),1,0)</f>
        <v>0</v>
      </c>
      <c r="Q2053" s="3">
        <f t="shared" si="556"/>
        <v>8</v>
      </c>
      <c r="R2053" s="3">
        <f>IF(AND($K2053=1,AND(对接源_02物料!$X853="公司筐",N(对接源_02物料!$U853)&lt;&gt;0)),1,0)</f>
        <v>0</v>
      </c>
      <c r="S2053" s="3">
        <f t="shared" si="557"/>
        <v>0</v>
      </c>
      <c r="T2053" s="3">
        <f>IF(AND($K2053=1,AND(对接源_02物料!$X853="公司筐",N(对接源_02物料!$V853)&lt;&gt;0)),1,0)</f>
        <v>0</v>
      </c>
      <c r="U2053" s="3">
        <f t="shared" si="558"/>
        <v>19</v>
      </c>
      <c r="V2053" s="3">
        <f>IF(AND($L2053=1,AND(对接源_02物料!$X853="自备筐",N(对接源_02物料!$V853)&lt;&gt;0)),1,0)</f>
        <v>0</v>
      </c>
      <c r="W2053" s="3">
        <f t="shared" si="559"/>
        <v>8</v>
      </c>
      <c r="X2053" s="3">
        <f>IF(AND($L2053=1,AND(对接源_02物料!$X853="自备筐",N(对接源_02物料!$T853)&lt;&gt;0)),1,0)</f>
        <v>0</v>
      </c>
      <c r="Y2053" s="3">
        <f t="shared" si="560"/>
        <v>0</v>
      </c>
      <c r="Z2053" s="3">
        <f>IF(AND($M2053=1,对接源_02物料!$D853="原料入库"),1,0)</f>
        <v>0</v>
      </c>
      <c r="AA2053" s="3">
        <f t="shared" si="561"/>
        <v>24</v>
      </c>
      <c r="AB2053" s="3">
        <f>IF(AND($M2053=1,LEFT(对接源_02物料!$D853,4)="原料出库"),1,0)</f>
        <v>0</v>
      </c>
      <c r="AC2053" s="3">
        <f t="shared" si="562"/>
        <v>0</v>
      </c>
      <c r="AD2053" s="3">
        <f>IF(AND($M2053=1,LEFT(对接源_02物料!$D853,4)="成品出库"),1,0)</f>
        <v>0</v>
      </c>
      <c r="AE2053" s="3">
        <f t="shared" si="563"/>
        <v>0</v>
      </c>
      <c r="AF2053" s="3">
        <f>IF(AND($N2053=1,AND(LEFT(对接源_02物料!$D853,4)="包装物料",N(对接源_02物料!$K853)&lt;&gt;0)),1,0)</f>
        <v>0</v>
      </c>
      <c r="AG2053" s="3">
        <f t="shared" si="564"/>
        <v>5</v>
      </c>
      <c r="AH2053" s="3">
        <f>IF(AND($N2053=1,AND(对接源_02物料!$D853="周转筐－销售出库",N(对接源_02物料!$K853)&lt;&gt;0)),1,0)</f>
        <v>0</v>
      </c>
      <c r="AI2053" s="3">
        <f t="shared" si="565"/>
        <v>0</v>
      </c>
      <c r="AL2053" s="3">
        <v>0</v>
      </c>
      <c r="AM2053" s="3">
        <f t="shared" si="566"/>
        <v>1</v>
      </c>
      <c r="AN2053" s="3" t="str">
        <f t="shared" si="553"/>
        <v/>
      </c>
      <c r="AO2053" s="3">
        <v>0</v>
      </c>
      <c r="AP2053" s="3">
        <f t="shared" si="567"/>
        <v>8</v>
      </c>
      <c r="AR2053">
        <f t="shared" si="568"/>
        <v>0</v>
      </c>
      <c r="AS2053">
        <f t="shared" si="569"/>
        <v>5</v>
      </c>
    </row>
    <row r="2054" customHeight="1" spans="1:45">
      <c r="A2054" s="3" t="str">
        <f>IF(对接源_02物料!$C854="","",对接源_02物料!$C854)</f>
        <v/>
      </c>
      <c r="B2054" s="3">
        <f t="shared" si="554"/>
        <v>0</v>
      </c>
      <c r="C2054" s="3">
        <f t="shared" si="555"/>
        <v>21</v>
      </c>
      <c r="K2054" s="3">
        <f>IF(OR($K$1="",对接源_02物料!$C854="",对接源_02物料!$C854&lt;&gt;$K$1,对接源_02物料!$B854=""),0,IF(OR(N(对接源_02物料!$B854)&lt;$K$2,N(对接源_02物料!$B854)&gt;$K$3),0,1))</f>
        <v>0</v>
      </c>
      <c r="L2054" s="3">
        <f>IF(OR($L$1="",对接源_02物料!$C854="",对接源_02物料!$C854&lt;&gt;$L$1,对接源_02物料!$B854=""),0,IF(OR(N(对接源_02物料!$B854)&lt;$L$2,N(对接源_02物料!$B854)&gt;$L$3),0,1))</f>
        <v>0</v>
      </c>
      <c r="M2054" s="3">
        <f>IF(OR($M$1="",对接源_02物料!$C854="",对接源_02物料!$C854&lt;&gt;$M$1,对接源_02物料!$B854=""),0,IF(OR(N(对接源_02物料!$B854)&lt;$M$2,N(对接源_02物料!$B854)&gt;$M$3),0,1))</f>
        <v>0</v>
      </c>
      <c r="N2054" s="3">
        <f>IF(OR($N$1="",对接源_02物料!$C854="",对接源_02物料!$C854&lt;&gt;$N$1,对接源_02物料!$B854=""),0,IF(OR(N(对接源_02物料!$B854)&lt;$N$2,N(对接源_02物料!$B854)&gt;$N$3),0,1))</f>
        <v>0</v>
      </c>
      <c r="P2054" s="3">
        <f>IF(AND($K2054=1,AND(对接源_02物料!$X854="公司筐",N(对接源_02物料!$T854)&lt;&gt;0)),1,0)</f>
        <v>0</v>
      </c>
      <c r="Q2054" s="3">
        <f t="shared" si="556"/>
        <v>8</v>
      </c>
      <c r="R2054" s="3">
        <f>IF(AND($K2054=1,AND(对接源_02物料!$X854="公司筐",N(对接源_02物料!$U854)&lt;&gt;0)),1,0)</f>
        <v>0</v>
      </c>
      <c r="S2054" s="3">
        <f t="shared" si="557"/>
        <v>0</v>
      </c>
      <c r="T2054" s="3">
        <f>IF(AND($K2054=1,AND(对接源_02物料!$X854="公司筐",N(对接源_02物料!$V854)&lt;&gt;0)),1,0)</f>
        <v>0</v>
      </c>
      <c r="U2054" s="3">
        <f t="shared" si="558"/>
        <v>19</v>
      </c>
      <c r="V2054" s="3">
        <f>IF(AND($L2054=1,AND(对接源_02物料!$X854="自备筐",N(对接源_02物料!$V854)&lt;&gt;0)),1,0)</f>
        <v>0</v>
      </c>
      <c r="W2054" s="3">
        <f t="shared" si="559"/>
        <v>8</v>
      </c>
      <c r="X2054" s="3">
        <f>IF(AND($L2054=1,AND(对接源_02物料!$X854="自备筐",N(对接源_02物料!$T854)&lt;&gt;0)),1,0)</f>
        <v>0</v>
      </c>
      <c r="Y2054" s="3">
        <f t="shared" si="560"/>
        <v>0</v>
      </c>
      <c r="Z2054" s="3">
        <f>IF(AND($M2054=1,对接源_02物料!$D854="原料入库"),1,0)</f>
        <v>0</v>
      </c>
      <c r="AA2054" s="3">
        <f t="shared" si="561"/>
        <v>24</v>
      </c>
      <c r="AB2054" s="3">
        <f>IF(AND($M2054=1,LEFT(对接源_02物料!$D854,4)="原料出库"),1,0)</f>
        <v>0</v>
      </c>
      <c r="AC2054" s="3">
        <f t="shared" si="562"/>
        <v>0</v>
      </c>
      <c r="AD2054" s="3">
        <f>IF(AND($M2054=1,LEFT(对接源_02物料!$D854,4)="成品出库"),1,0)</f>
        <v>0</v>
      </c>
      <c r="AE2054" s="3">
        <f t="shared" si="563"/>
        <v>0</v>
      </c>
      <c r="AF2054" s="3">
        <f>IF(AND($N2054=1,AND(LEFT(对接源_02物料!$D854,4)="包装物料",N(对接源_02物料!$K854)&lt;&gt;0)),1,0)</f>
        <v>0</v>
      </c>
      <c r="AG2054" s="3">
        <f t="shared" si="564"/>
        <v>5</v>
      </c>
      <c r="AH2054" s="3">
        <f>IF(AND($N2054=1,AND(对接源_02物料!$D854="周转筐－销售出库",N(对接源_02物料!$K854)&lt;&gt;0)),1,0)</f>
        <v>0</v>
      </c>
      <c r="AI2054" s="3">
        <f t="shared" si="565"/>
        <v>0</v>
      </c>
      <c r="AL2054" s="3">
        <v>0</v>
      </c>
      <c r="AM2054" s="3">
        <f t="shared" si="566"/>
        <v>1</v>
      </c>
      <c r="AN2054" s="3" t="str">
        <f t="shared" si="553"/>
        <v/>
      </c>
      <c r="AO2054" s="3">
        <v>0</v>
      </c>
      <c r="AP2054" s="3">
        <f t="shared" si="567"/>
        <v>8</v>
      </c>
      <c r="AR2054">
        <f t="shared" si="568"/>
        <v>0</v>
      </c>
      <c r="AS2054">
        <f t="shared" si="569"/>
        <v>5</v>
      </c>
    </row>
    <row r="2055" customHeight="1" spans="1:45">
      <c r="A2055" s="3" t="str">
        <f>IF(对接源_02物料!$C855="","",对接源_02物料!$C855)</f>
        <v/>
      </c>
      <c r="B2055" s="3">
        <f t="shared" si="554"/>
        <v>0</v>
      </c>
      <c r="C2055" s="3">
        <f t="shared" si="555"/>
        <v>21</v>
      </c>
      <c r="K2055" s="3">
        <f>IF(OR($K$1="",对接源_02物料!$C855="",对接源_02物料!$C855&lt;&gt;$K$1,对接源_02物料!$B855=""),0,IF(OR(N(对接源_02物料!$B855)&lt;$K$2,N(对接源_02物料!$B855)&gt;$K$3),0,1))</f>
        <v>0</v>
      </c>
      <c r="L2055" s="3">
        <f>IF(OR($L$1="",对接源_02物料!$C855="",对接源_02物料!$C855&lt;&gt;$L$1,对接源_02物料!$B855=""),0,IF(OR(N(对接源_02物料!$B855)&lt;$L$2,N(对接源_02物料!$B855)&gt;$L$3),0,1))</f>
        <v>0</v>
      </c>
      <c r="M2055" s="3">
        <f>IF(OR($M$1="",对接源_02物料!$C855="",对接源_02物料!$C855&lt;&gt;$M$1,对接源_02物料!$B855=""),0,IF(OR(N(对接源_02物料!$B855)&lt;$M$2,N(对接源_02物料!$B855)&gt;$M$3),0,1))</f>
        <v>0</v>
      </c>
      <c r="N2055" s="3">
        <f>IF(OR($N$1="",对接源_02物料!$C855="",对接源_02物料!$C855&lt;&gt;$N$1,对接源_02物料!$B855=""),0,IF(OR(N(对接源_02物料!$B855)&lt;$N$2,N(对接源_02物料!$B855)&gt;$N$3),0,1))</f>
        <v>0</v>
      </c>
      <c r="P2055" s="3">
        <f>IF(AND($K2055=1,AND(对接源_02物料!$X855="公司筐",N(对接源_02物料!$T855)&lt;&gt;0)),1,0)</f>
        <v>0</v>
      </c>
      <c r="Q2055" s="3">
        <f t="shared" si="556"/>
        <v>8</v>
      </c>
      <c r="R2055" s="3">
        <f>IF(AND($K2055=1,AND(对接源_02物料!$X855="公司筐",N(对接源_02物料!$U855)&lt;&gt;0)),1,0)</f>
        <v>0</v>
      </c>
      <c r="S2055" s="3">
        <f t="shared" si="557"/>
        <v>0</v>
      </c>
      <c r="T2055" s="3">
        <f>IF(AND($K2055=1,AND(对接源_02物料!$X855="公司筐",N(对接源_02物料!$V855)&lt;&gt;0)),1,0)</f>
        <v>0</v>
      </c>
      <c r="U2055" s="3">
        <f t="shared" si="558"/>
        <v>19</v>
      </c>
      <c r="V2055" s="3">
        <f>IF(AND($L2055=1,AND(对接源_02物料!$X855="自备筐",N(对接源_02物料!$V855)&lt;&gt;0)),1,0)</f>
        <v>0</v>
      </c>
      <c r="W2055" s="3">
        <f t="shared" si="559"/>
        <v>8</v>
      </c>
      <c r="X2055" s="3">
        <f>IF(AND($L2055=1,AND(对接源_02物料!$X855="自备筐",N(对接源_02物料!$T855)&lt;&gt;0)),1,0)</f>
        <v>0</v>
      </c>
      <c r="Y2055" s="3">
        <f t="shared" si="560"/>
        <v>0</v>
      </c>
      <c r="Z2055" s="3">
        <f>IF(AND($M2055=1,对接源_02物料!$D855="原料入库"),1,0)</f>
        <v>0</v>
      </c>
      <c r="AA2055" s="3">
        <f t="shared" si="561"/>
        <v>24</v>
      </c>
      <c r="AB2055" s="3">
        <f>IF(AND($M2055=1,LEFT(对接源_02物料!$D855,4)="原料出库"),1,0)</f>
        <v>0</v>
      </c>
      <c r="AC2055" s="3">
        <f t="shared" si="562"/>
        <v>0</v>
      </c>
      <c r="AD2055" s="3">
        <f>IF(AND($M2055=1,LEFT(对接源_02物料!$D855,4)="成品出库"),1,0)</f>
        <v>0</v>
      </c>
      <c r="AE2055" s="3">
        <f t="shared" si="563"/>
        <v>0</v>
      </c>
      <c r="AF2055" s="3">
        <f>IF(AND($N2055=1,AND(LEFT(对接源_02物料!$D855,4)="包装物料",N(对接源_02物料!$K855)&lt;&gt;0)),1,0)</f>
        <v>0</v>
      </c>
      <c r="AG2055" s="3">
        <f t="shared" si="564"/>
        <v>5</v>
      </c>
      <c r="AH2055" s="3">
        <f>IF(AND($N2055=1,AND(对接源_02物料!$D855="周转筐－销售出库",N(对接源_02物料!$K855)&lt;&gt;0)),1,0)</f>
        <v>0</v>
      </c>
      <c r="AI2055" s="3">
        <f t="shared" si="565"/>
        <v>0</v>
      </c>
      <c r="AL2055" s="3">
        <v>0</v>
      </c>
      <c r="AM2055" s="3">
        <f t="shared" si="566"/>
        <v>1</v>
      </c>
      <c r="AN2055" s="3" t="str">
        <f t="shared" si="553"/>
        <v/>
      </c>
      <c r="AO2055" s="3">
        <v>0</v>
      </c>
      <c r="AP2055" s="3">
        <f t="shared" si="567"/>
        <v>8</v>
      </c>
      <c r="AR2055">
        <f t="shared" si="568"/>
        <v>0</v>
      </c>
      <c r="AS2055">
        <f t="shared" si="569"/>
        <v>5</v>
      </c>
    </row>
    <row r="2056" customHeight="1" spans="1:45">
      <c r="A2056" s="3" t="str">
        <f>IF(对接源_02物料!$C856="","",对接源_02物料!$C856)</f>
        <v/>
      </c>
      <c r="B2056" s="3">
        <f t="shared" si="554"/>
        <v>0</v>
      </c>
      <c r="C2056" s="3">
        <f t="shared" si="555"/>
        <v>21</v>
      </c>
      <c r="K2056" s="3">
        <f>IF(OR($K$1="",对接源_02物料!$C856="",对接源_02物料!$C856&lt;&gt;$K$1,对接源_02物料!$B856=""),0,IF(OR(N(对接源_02物料!$B856)&lt;$K$2,N(对接源_02物料!$B856)&gt;$K$3),0,1))</f>
        <v>0</v>
      </c>
      <c r="L2056" s="3">
        <f>IF(OR($L$1="",对接源_02物料!$C856="",对接源_02物料!$C856&lt;&gt;$L$1,对接源_02物料!$B856=""),0,IF(OR(N(对接源_02物料!$B856)&lt;$L$2,N(对接源_02物料!$B856)&gt;$L$3),0,1))</f>
        <v>0</v>
      </c>
      <c r="M2056" s="3">
        <f>IF(OR($M$1="",对接源_02物料!$C856="",对接源_02物料!$C856&lt;&gt;$M$1,对接源_02物料!$B856=""),0,IF(OR(N(对接源_02物料!$B856)&lt;$M$2,N(对接源_02物料!$B856)&gt;$M$3),0,1))</f>
        <v>0</v>
      </c>
      <c r="N2056" s="3">
        <f>IF(OR($N$1="",对接源_02物料!$C856="",对接源_02物料!$C856&lt;&gt;$N$1,对接源_02物料!$B856=""),0,IF(OR(N(对接源_02物料!$B856)&lt;$N$2,N(对接源_02物料!$B856)&gt;$N$3),0,1))</f>
        <v>0</v>
      </c>
      <c r="P2056" s="3">
        <f>IF(AND($K2056=1,AND(对接源_02物料!$X856="公司筐",N(对接源_02物料!$T856)&lt;&gt;0)),1,0)</f>
        <v>0</v>
      </c>
      <c r="Q2056" s="3">
        <f t="shared" si="556"/>
        <v>8</v>
      </c>
      <c r="R2056" s="3">
        <f>IF(AND($K2056=1,AND(对接源_02物料!$X856="公司筐",N(对接源_02物料!$U856)&lt;&gt;0)),1,0)</f>
        <v>0</v>
      </c>
      <c r="S2056" s="3">
        <f t="shared" si="557"/>
        <v>0</v>
      </c>
      <c r="T2056" s="3">
        <f>IF(AND($K2056=1,AND(对接源_02物料!$X856="公司筐",N(对接源_02物料!$V856)&lt;&gt;0)),1,0)</f>
        <v>0</v>
      </c>
      <c r="U2056" s="3">
        <f t="shared" si="558"/>
        <v>19</v>
      </c>
      <c r="V2056" s="3">
        <f>IF(AND($L2056=1,AND(对接源_02物料!$X856="自备筐",N(对接源_02物料!$V856)&lt;&gt;0)),1,0)</f>
        <v>0</v>
      </c>
      <c r="W2056" s="3">
        <f t="shared" si="559"/>
        <v>8</v>
      </c>
      <c r="X2056" s="3">
        <f>IF(AND($L2056=1,AND(对接源_02物料!$X856="自备筐",N(对接源_02物料!$T856)&lt;&gt;0)),1,0)</f>
        <v>0</v>
      </c>
      <c r="Y2056" s="3">
        <f t="shared" si="560"/>
        <v>0</v>
      </c>
      <c r="Z2056" s="3">
        <f>IF(AND($M2056=1,对接源_02物料!$D856="原料入库"),1,0)</f>
        <v>0</v>
      </c>
      <c r="AA2056" s="3">
        <f t="shared" si="561"/>
        <v>24</v>
      </c>
      <c r="AB2056" s="3">
        <f>IF(AND($M2056=1,LEFT(对接源_02物料!$D856,4)="原料出库"),1,0)</f>
        <v>0</v>
      </c>
      <c r="AC2056" s="3">
        <f t="shared" si="562"/>
        <v>0</v>
      </c>
      <c r="AD2056" s="3">
        <f>IF(AND($M2056=1,LEFT(对接源_02物料!$D856,4)="成品出库"),1,0)</f>
        <v>0</v>
      </c>
      <c r="AE2056" s="3">
        <f t="shared" si="563"/>
        <v>0</v>
      </c>
      <c r="AF2056" s="3">
        <f>IF(AND($N2056=1,AND(LEFT(对接源_02物料!$D856,4)="包装物料",N(对接源_02物料!$K856)&lt;&gt;0)),1,0)</f>
        <v>0</v>
      </c>
      <c r="AG2056" s="3">
        <f t="shared" si="564"/>
        <v>5</v>
      </c>
      <c r="AH2056" s="3">
        <f>IF(AND($N2056=1,AND(对接源_02物料!$D856="周转筐－销售出库",N(对接源_02物料!$K856)&lt;&gt;0)),1,0)</f>
        <v>0</v>
      </c>
      <c r="AI2056" s="3">
        <f t="shared" si="565"/>
        <v>0</v>
      </c>
      <c r="AL2056" s="3">
        <v>0</v>
      </c>
      <c r="AM2056" s="3">
        <f t="shared" si="566"/>
        <v>1</v>
      </c>
      <c r="AN2056" s="3" t="str">
        <f t="shared" si="553"/>
        <v/>
      </c>
      <c r="AO2056" s="3">
        <v>0</v>
      </c>
      <c r="AP2056" s="3">
        <f t="shared" si="567"/>
        <v>8</v>
      </c>
      <c r="AR2056">
        <f t="shared" si="568"/>
        <v>0</v>
      </c>
      <c r="AS2056">
        <f t="shared" si="569"/>
        <v>5</v>
      </c>
    </row>
    <row r="2057" customHeight="1" spans="1:45">
      <c r="A2057" s="3" t="str">
        <f>IF(对接源_02物料!$C857="","",对接源_02物料!$C857)</f>
        <v/>
      </c>
      <c r="B2057" s="3">
        <f t="shared" si="554"/>
        <v>0</v>
      </c>
      <c r="C2057" s="3">
        <f t="shared" si="555"/>
        <v>21</v>
      </c>
      <c r="K2057" s="3">
        <f>IF(OR($K$1="",对接源_02物料!$C857="",对接源_02物料!$C857&lt;&gt;$K$1,对接源_02物料!$B857=""),0,IF(OR(N(对接源_02物料!$B857)&lt;$K$2,N(对接源_02物料!$B857)&gt;$K$3),0,1))</f>
        <v>0</v>
      </c>
      <c r="L2057" s="3">
        <f>IF(OR($L$1="",对接源_02物料!$C857="",对接源_02物料!$C857&lt;&gt;$L$1,对接源_02物料!$B857=""),0,IF(OR(N(对接源_02物料!$B857)&lt;$L$2,N(对接源_02物料!$B857)&gt;$L$3),0,1))</f>
        <v>0</v>
      </c>
      <c r="M2057" s="3">
        <f>IF(OR($M$1="",对接源_02物料!$C857="",对接源_02物料!$C857&lt;&gt;$M$1,对接源_02物料!$B857=""),0,IF(OR(N(对接源_02物料!$B857)&lt;$M$2,N(对接源_02物料!$B857)&gt;$M$3),0,1))</f>
        <v>0</v>
      </c>
      <c r="N2057" s="3">
        <f>IF(OR($N$1="",对接源_02物料!$C857="",对接源_02物料!$C857&lt;&gt;$N$1,对接源_02物料!$B857=""),0,IF(OR(N(对接源_02物料!$B857)&lt;$N$2,N(对接源_02物料!$B857)&gt;$N$3),0,1))</f>
        <v>0</v>
      </c>
      <c r="P2057" s="3">
        <f>IF(AND($K2057=1,AND(对接源_02物料!$X857="公司筐",N(对接源_02物料!$T857)&lt;&gt;0)),1,0)</f>
        <v>0</v>
      </c>
      <c r="Q2057" s="3">
        <f t="shared" si="556"/>
        <v>8</v>
      </c>
      <c r="R2057" s="3">
        <f>IF(AND($K2057=1,AND(对接源_02物料!$X857="公司筐",N(对接源_02物料!$U857)&lt;&gt;0)),1,0)</f>
        <v>0</v>
      </c>
      <c r="S2057" s="3">
        <f t="shared" si="557"/>
        <v>0</v>
      </c>
      <c r="T2057" s="3">
        <f>IF(AND($K2057=1,AND(对接源_02物料!$X857="公司筐",N(对接源_02物料!$V857)&lt;&gt;0)),1,0)</f>
        <v>0</v>
      </c>
      <c r="U2057" s="3">
        <f t="shared" si="558"/>
        <v>19</v>
      </c>
      <c r="V2057" s="3">
        <f>IF(AND($L2057=1,AND(对接源_02物料!$X857="自备筐",N(对接源_02物料!$V857)&lt;&gt;0)),1,0)</f>
        <v>0</v>
      </c>
      <c r="W2057" s="3">
        <f t="shared" si="559"/>
        <v>8</v>
      </c>
      <c r="X2057" s="3">
        <f>IF(AND($L2057=1,AND(对接源_02物料!$X857="自备筐",N(对接源_02物料!$T857)&lt;&gt;0)),1,0)</f>
        <v>0</v>
      </c>
      <c r="Y2057" s="3">
        <f t="shared" si="560"/>
        <v>0</v>
      </c>
      <c r="Z2057" s="3">
        <f>IF(AND($M2057=1,对接源_02物料!$D857="原料入库"),1,0)</f>
        <v>0</v>
      </c>
      <c r="AA2057" s="3">
        <f t="shared" si="561"/>
        <v>24</v>
      </c>
      <c r="AB2057" s="3">
        <f>IF(AND($M2057=1,LEFT(对接源_02物料!$D857,4)="原料出库"),1,0)</f>
        <v>0</v>
      </c>
      <c r="AC2057" s="3">
        <f t="shared" si="562"/>
        <v>0</v>
      </c>
      <c r="AD2057" s="3">
        <f>IF(AND($M2057=1,LEFT(对接源_02物料!$D857,4)="成品出库"),1,0)</f>
        <v>0</v>
      </c>
      <c r="AE2057" s="3">
        <f t="shared" si="563"/>
        <v>0</v>
      </c>
      <c r="AF2057" s="3">
        <f>IF(AND($N2057=1,AND(LEFT(对接源_02物料!$D857,4)="包装物料",N(对接源_02物料!$K857)&lt;&gt;0)),1,0)</f>
        <v>0</v>
      </c>
      <c r="AG2057" s="3">
        <f t="shared" si="564"/>
        <v>5</v>
      </c>
      <c r="AH2057" s="3">
        <f>IF(AND($N2057=1,AND(对接源_02物料!$D857="周转筐－销售出库",N(对接源_02物料!$K857)&lt;&gt;0)),1,0)</f>
        <v>0</v>
      </c>
      <c r="AI2057" s="3">
        <f t="shared" si="565"/>
        <v>0</v>
      </c>
      <c r="AL2057" s="3">
        <v>0</v>
      </c>
      <c r="AM2057" s="3">
        <f t="shared" si="566"/>
        <v>1</v>
      </c>
      <c r="AN2057" s="3" t="str">
        <f t="shared" si="553"/>
        <v/>
      </c>
      <c r="AO2057" s="3">
        <v>0</v>
      </c>
      <c r="AP2057" s="3">
        <f t="shared" si="567"/>
        <v>8</v>
      </c>
      <c r="AR2057">
        <f t="shared" si="568"/>
        <v>0</v>
      </c>
      <c r="AS2057">
        <f t="shared" si="569"/>
        <v>5</v>
      </c>
    </row>
    <row r="2058" customHeight="1" spans="1:45">
      <c r="A2058" s="3" t="str">
        <f>IF(对接源_02物料!$C858="","",对接源_02物料!$C858)</f>
        <v/>
      </c>
      <c r="B2058" s="3">
        <f t="shared" si="554"/>
        <v>0</v>
      </c>
      <c r="C2058" s="3">
        <f t="shared" si="555"/>
        <v>21</v>
      </c>
      <c r="K2058" s="3">
        <f>IF(OR($K$1="",对接源_02物料!$C858="",对接源_02物料!$C858&lt;&gt;$K$1,对接源_02物料!$B858=""),0,IF(OR(N(对接源_02物料!$B858)&lt;$K$2,N(对接源_02物料!$B858)&gt;$K$3),0,1))</f>
        <v>0</v>
      </c>
      <c r="L2058" s="3">
        <f>IF(OR($L$1="",对接源_02物料!$C858="",对接源_02物料!$C858&lt;&gt;$L$1,对接源_02物料!$B858=""),0,IF(OR(N(对接源_02物料!$B858)&lt;$L$2,N(对接源_02物料!$B858)&gt;$L$3),0,1))</f>
        <v>0</v>
      </c>
      <c r="M2058" s="3">
        <f>IF(OR($M$1="",对接源_02物料!$C858="",对接源_02物料!$C858&lt;&gt;$M$1,对接源_02物料!$B858=""),0,IF(OR(N(对接源_02物料!$B858)&lt;$M$2,N(对接源_02物料!$B858)&gt;$M$3),0,1))</f>
        <v>0</v>
      </c>
      <c r="N2058" s="3">
        <f>IF(OR($N$1="",对接源_02物料!$C858="",对接源_02物料!$C858&lt;&gt;$N$1,对接源_02物料!$B858=""),0,IF(OR(N(对接源_02物料!$B858)&lt;$N$2,N(对接源_02物料!$B858)&gt;$N$3),0,1))</f>
        <v>0</v>
      </c>
      <c r="P2058" s="3">
        <f>IF(AND($K2058=1,AND(对接源_02物料!$X858="公司筐",N(对接源_02物料!$T858)&lt;&gt;0)),1,0)</f>
        <v>0</v>
      </c>
      <c r="Q2058" s="3">
        <f t="shared" si="556"/>
        <v>8</v>
      </c>
      <c r="R2058" s="3">
        <f>IF(AND($K2058=1,AND(对接源_02物料!$X858="公司筐",N(对接源_02物料!$U858)&lt;&gt;0)),1,0)</f>
        <v>0</v>
      </c>
      <c r="S2058" s="3">
        <f t="shared" si="557"/>
        <v>0</v>
      </c>
      <c r="T2058" s="3">
        <f>IF(AND($K2058=1,AND(对接源_02物料!$X858="公司筐",N(对接源_02物料!$V858)&lt;&gt;0)),1,0)</f>
        <v>0</v>
      </c>
      <c r="U2058" s="3">
        <f t="shared" si="558"/>
        <v>19</v>
      </c>
      <c r="V2058" s="3">
        <f>IF(AND($L2058=1,AND(对接源_02物料!$X858="自备筐",N(对接源_02物料!$V858)&lt;&gt;0)),1,0)</f>
        <v>0</v>
      </c>
      <c r="W2058" s="3">
        <f t="shared" si="559"/>
        <v>8</v>
      </c>
      <c r="X2058" s="3">
        <f>IF(AND($L2058=1,AND(对接源_02物料!$X858="自备筐",N(对接源_02物料!$T858)&lt;&gt;0)),1,0)</f>
        <v>0</v>
      </c>
      <c r="Y2058" s="3">
        <f t="shared" si="560"/>
        <v>0</v>
      </c>
      <c r="Z2058" s="3">
        <f>IF(AND($M2058=1,对接源_02物料!$D858="原料入库"),1,0)</f>
        <v>0</v>
      </c>
      <c r="AA2058" s="3">
        <f t="shared" si="561"/>
        <v>24</v>
      </c>
      <c r="AB2058" s="3">
        <f>IF(AND($M2058=1,LEFT(对接源_02物料!$D858,4)="原料出库"),1,0)</f>
        <v>0</v>
      </c>
      <c r="AC2058" s="3">
        <f t="shared" si="562"/>
        <v>0</v>
      </c>
      <c r="AD2058" s="3">
        <f>IF(AND($M2058=1,LEFT(对接源_02物料!$D858,4)="成品出库"),1,0)</f>
        <v>0</v>
      </c>
      <c r="AE2058" s="3">
        <f t="shared" si="563"/>
        <v>0</v>
      </c>
      <c r="AF2058" s="3">
        <f>IF(AND($N2058=1,AND(LEFT(对接源_02物料!$D858,4)="包装物料",N(对接源_02物料!$K858)&lt;&gt;0)),1,0)</f>
        <v>0</v>
      </c>
      <c r="AG2058" s="3">
        <f t="shared" si="564"/>
        <v>5</v>
      </c>
      <c r="AH2058" s="3">
        <f>IF(AND($N2058=1,AND(对接源_02物料!$D858="周转筐－销售出库",N(对接源_02物料!$K858)&lt;&gt;0)),1,0)</f>
        <v>0</v>
      </c>
      <c r="AI2058" s="3">
        <f t="shared" si="565"/>
        <v>0</v>
      </c>
      <c r="AL2058" s="3">
        <v>0</v>
      </c>
      <c r="AM2058" s="3">
        <f t="shared" si="566"/>
        <v>1</v>
      </c>
      <c r="AN2058" s="3" t="str">
        <f t="shared" si="553"/>
        <v/>
      </c>
      <c r="AO2058" s="3">
        <v>0</v>
      </c>
      <c r="AP2058" s="3">
        <f t="shared" si="567"/>
        <v>8</v>
      </c>
      <c r="AR2058">
        <f t="shared" si="568"/>
        <v>0</v>
      </c>
      <c r="AS2058">
        <f t="shared" si="569"/>
        <v>5</v>
      </c>
    </row>
    <row r="2059" customHeight="1" spans="1:45">
      <c r="A2059" s="3" t="str">
        <f>IF(对接源_02物料!$C859="","",对接源_02物料!$C859)</f>
        <v/>
      </c>
      <c r="B2059" s="3">
        <f t="shared" si="554"/>
        <v>0</v>
      </c>
      <c r="C2059" s="3">
        <f t="shared" si="555"/>
        <v>21</v>
      </c>
      <c r="K2059" s="3">
        <f>IF(OR($K$1="",对接源_02物料!$C859="",对接源_02物料!$C859&lt;&gt;$K$1,对接源_02物料!$B859=""),0,IF(OR(N(对接源_02物料!$B859)&lt;$K$2,N(对接源_02物料!$B859)&gt;$K$3),0,1))</f>
        <v>0</v>
      </c>
      <c r="L2059" s="3">
        <f>IF(OR($L$1="",对接源_02物料!$C859="",对接源_02物料!$C859&lt;&gt;$L$1,对接源_02物料!$B859=""),0,IF(OR(N(对接源_02物料!$B859)&lt;$L$2,N(对接源_02物料!$B859)&gt;$L$3),0,1))</f>
        <v>0</v>
      </c>
      <c r="M2059" s="3">
        <f>IF(OR($M$1="",对接源_02物料!$C859="",对接源_02物料!$C859&lt;&gt;$M$1,对接源_02物料!$B859=""),0,IF(OR(N(对接源_02物料!$B859)&lt;$M$2,N(对接源_02物料!$B859)&gt;$M$3),0,1))</f>
        <v>0</v>
      </c>
      <c r="N2059" s="3">
        <f>IF(OR($N$1="",对接源_02物料!$C859="",对接源_02物料!$C859&lt;&gt;$N$1,对接源_02物料!$B859=""),0,IF(OR(N(对接源_02物料!$B859)&lt;$N$2,N(对接源_02物料!$B859)&gt;$N$3),0,1))</f>
        <v>0</v>
      </c>
      <c r="P2059" s="3">
        <f>IF(AND($K2059=1,AND(对接源_02物料!$X859="公司筐",N(对接源_02物料!$T859)&lt;&gt;0)),1,0)</f>
        <v>0</v>
      </c>
      <c r="Q2059" s="3">
        <f t="shared" si="556"/>
        <v>8</v>
      </c>
      <c r="R2059" s="3">
        <f>IF(AND($K2059=1,AND(对接源_02物料!$X859="公司筐",N(对接源_02物料!$U859)&lt;&gt;0)),1,0)</f>
        <v>0</v>
      </c>
      <c r="S2059" s="3">
        <f t="shared" si="557"/>
        <v>0</v>
      </c>
      <c r="T2059" s="3">
        <f>IF(AND($K2059=1,AND(对接源_02物料!$X859="公司筐",N(对接源_02物料!$V859)&lt;&gt;0)),1,0)</f>
        <v>0</v>
      </c>
      <c r="U2059" s="3">
        <f t="shared" si="558"/>
        <v>19</v>
      </c>
      <c r="V2059" s="3">
        <f>IF(AND($L2059=1,AND(对接源_02物料!$X859="自备筐",N(对接源_02物料!$V859)&lt;&gt;0)),1,0)</f>
        <v>0</v>
      </c>
      <c r="W2059" s="3">
        <f t="shared" si="559"/>
        <v>8</v>
      </c>
      <c r="X2059" s="3">
        <f>IF(AND($L2059=1,AND(对接源_02物料!$X859="自备筐",N(对接源_02物料!$T859)&lt;&gt;0)),1,0)</f>
        <v>0</v>
      </c>
      <c r="Y2059" s="3">
        <f t="shared" si="560"/>
        <v>0</v>
      </c>
      <c r="Z2059" s="3">
        <f>IF(AND($M2059=1,对接源_02物料!$D859="原料入库"),1,0)</f>
        <v>0</v>
      </c>
      <c r="AA2059" s="3">
        <f t="shared" si="561"/>
        <v>24</v>
      </c>
      <c r="AB2059" s="3">
        <f>IF(AND($M2059=1,LEFT(对接源_02物料!$D859,4)="原料出库"),1,0)</f>
        <v>0</v>
      </c>
      <c r="AC2059" s="3">
        <f t="shared" si="562"/>
        <v>0</v>
      </c>
      <c r="AD2059" s="3">
        <f>IF(AND($M2059=1,LEFT(对接源_02物料!$D859,4)="成品出库"),1,0)</f>
        <v>0</v>
      </c>
      <c r="AE2059" s="3">
        <f t="shared" si="563"/>
        <v>0</v>
      </c>
      <c r="AF2059" s="3">
        <f>IF(AND($N2059=1,AND(LEFT(对接源_02物料!$D859,4)="包装物料",N(对接源_02物料!$K859)&lt;&gt;0)),1,0)</f>
        <v>0</v>
      </c>
      <c r="AG2059" s="3">
        <f t="shared" si="564"/>
        <v>5</v>
      </c>
      <c r="AH2059" s="3">
        <f>IF(AND($N2059=1,AND(对接源_02物料!$D859="周转筐－销售出库",N(对接源_02物料!$K859)&lt;&gt;0)),1,0)</f>
        <v>0</v>
      </c>
      <c r="AI2059" s="3">
        <f t="shared" si="565"/>
        <v>0</v>
      </c>
      <c r="AL2059" s="3">
        <v>0</v>
      </c>
      <c r="AM2059" s="3">
        <f t="shared" si="566"/>
        <v>1</v>
      </c>
      <c r="AN2059" s="3" t="str">
        <f t="shared" si="553"/>
        <v/>
      </c>
      <c r="AO2059" s="3">
        <v>0</v>
      </c>
      <c r="AP2059" s="3">
        <f t="shared" si="567"/>
        <v>8</v>
      </c>
      <c r="AR2059">
        <f t="shared" si="568"/>
        <v>0</v>
      </c>
      <c r="AS2059">
        <f t="shared" si="569"/>
        <v>5</v>
      </c>
    </row>
    <row r="2060" customHeight="1" spans="1:45">
      <c r="A2060" s="3" t="str">
        <f>IF(对接源_02物料!$C860="","",对接源_02物料!$C860)</f>
        <v/>
      </c>
      <c r="B2060" s="3">
        <f t="shared" si="554"/>
        <v>0</v>
      </c>
      <c r="C2060" s="3">
        <f t="shared" si="555"/>
        <v>21</v>
      </c>
      <c r="K2060" s="3">
        <f>IF(OR($K$1="",对接源_02物料!$C860="",对接源_02物料!$C860&lt;&gt;$K$1,对接源_02物料!$B860=""),0,IF(OR(N(对接源_02物料!$B860)&lt;$K$2,N(对接源_02物料!$B860)&gt;$K$3),0,1))</f>
        <v>0</v>
      </c>
      <c r="L2060" s="3">
        <f>IF(OR($L$1="",对接源_02物料!$C860="",对接源_02物料!$C860&lt;&gt;$L$1,对接源_02物料!$B860=""),0,IF(OR(N(对接源_02物料!$B860)&lt;$L$2,N(对接源_02物料!$B860)&gt;$L$3),0,1))</f>
        <v>0</v>
      </c>
      <c r="M2060" s="3">
        <f>IF(OR($M$1="",对接源_02物料!$C860="",对接源_02物料!$C860&lt;&gt;$M$1,对接源_02物料!$B860=""),0,IF(OR(N(对接源_02物料!$B860)&lt;$M$2,N(对接源_02物料!$B860)&gt;$M$3),0,1))</f>
        <v>0</v>
      </c>
      <c r="N2060" s="3">
        <f>IF(OR($N$1="",对接源_02物料!$C860="",对接源_02物料!$C860&lt;&gt;$N$1,对接源_02物料!$B860=""),0,IF(OR(N(对接源_02物料!$B860)&lt;$N$2,N(对接源_02物料!$B860)&gt;$N$3),0,1))</f>
        <v>0</v>
      </c>
      <c r="P2060" s="3">
        <f>IF(AND($K2060=1,AND(对接源_02物料!$X860="公司筐",N(对接源_02物料!$T860)&lt;&gt;0)),1,0)</f>
        <v>0</v>
      </c>
      <c r="Q2060" s="3">
        <f t="shared" si="556"/>
        <v>8</v>
      </c>
      <c r="R2060" s="3">
        <f>IF(AND($K2060=1,AND(对接源_02物料!$X860="公司筐",N(对接源_02物料!$U860)&lt;&gt;0)),1,0)</f>
        <v>0</v>
      </c>
      <c r="S2060" s="3">
        <f t="shared" si="557"/>
        <v>0</v>
      </c>
      <c r="T2060" s="3">
        <f>IF(AND($K2060=1,AND(对接源_02物料!$X860="公司筐",N(对接源_02物料!$V860)&lt;&gt;0)),1,0)</f>
        <v>0</v>
      </c>
      <c r="U2060" s="3">
        <f t="shared" si="558"/>
        <v>19</v>
      </c>
      <c r="V2060" s="3">
        <f>IF(AND($L2060=1,AND(对接源_02物料!$X860="自备筐",N(对接源_02物料!$V860)&lt;&gt;0)),1,0)</f>
        <v>0</v>
      </c>
      <c r="W2060" s="3">
        <f t="shared" si="559"/>
        <v>8</v>
      </c>
      <c r="X2060" s="3">
        <f>IF(AND($L2060=1,AND(对接源_02物料!$X860="自备筐",N(对接源_02物料!$T860)&lt;&gt;0)),1,0)</f>
        <v>0</v>
      </c>
      <c r="Y2060" s="3">
        <f t="shared" si="560"/>
        <v>0</v>
      </c>
      <c r="Z2060" s="3">
        <f>IF(AND($M2060=1,对接源_02物料!$D860="原料入库"),1,0)</f>
        <v>0</v>
      </c>
      <c r="AA2060" s="3">
        <f t="shared" si="561"/>
        <v>24</v>
      </c>
      <c r="AB2060" s="3">
        <f>IF(AND($M2060=1,LEFT(对接源_02物料!$D860,4)="原料出库"),1,0)</f>
        <v>0</v>
      </c>
      <c r="AC2060" s="3">
        <f t="shared" si="562"/>
        <v>0</v>
      </c>
      <c r="AD2060" s="3">
        <f>IF(AND($M2060=1,LEFT(对接源_02物料!$D860,4)="成品出库"),1,0)</f>
        <v>0</v>
      </c>
      <c r="AE2060" s="3">
        <f t="shared" si="563"/>
        <v>0</v>
      </c>
      <c r="AF2060" s="3">
        <f>IF(AND($N2060=1,AND(LEFT(对接源_02物料!$D860,4)="包装物料",N(对接源_02物料!$K860)&lt;&gt;0)),1,0)</f>
        <v>0</v>
      </c>
      <c r="AG2060" s="3">
        <f t="shared" si="564"/>
        <v>5</v>
      </c>
      <c r="AH2060" s="3">
        <f>IF(AND($N2060=1,AND(对接源_02物料!$D860="周转筐－销售出库",N(对接源_02物料!$K860)&lt;&gt;0)),1,0)</f>
        <v>0</v>
      </c>
      <c r="AI2060" s="3">
        <f t="shared" si="565"/>
        <v>0</v>
      </c>
      <c r="AL2060" s="3">
        <v>0</v>
      </c>
      <c r="AM2060" s="3">
        <f t="shared" si="566"/>
        <v>1</v>
      </c>
      <c r="AN2060" s="3" t="str">
        <f t="shared" si="553"/>
        <v/>
      </c>
      <c r="AO2060" s="3">
        <v>0</v>
      </c>
      <c r="AP2060" s="3">
        <f t="shared" si="567"/>
        <v>8</v>
      </c>
      <c r="AR2060">
        <f t="shared" si="568"/>
        <v>0</v>
      </c>
      <c r="AS2060">
        <f t="shared" si="569"/>
        <v>5</v>
      </c>
    </row>
    <row r="2061" customHeight="1" spans="1:45">
      <c r="A2061" s="3" t="str">
        <f>IF(对接源_02物料!$C861="","",对接源_02物料!$C861)</f>
        <v/>
      </c>
      <c r="B2061" s="3">
        <f t="shared" si="554"/>
        <v>0</v>
      </c>
      <c r="C2061" s="3">
        <f t="shared" si="555"/>
        <v>21</v>
      </c>
      <c r="K2061" s="3">
        <f>IF(OR($K$1="",对接源_02物料!$C861="",对接源_02物料!$C861&lt;&gt;$K$1,对接源_02物料!$B861=""),0,IF(OR(N(对接源_02物料!$B861)&lt;$K$2,N(对接源_02物料!$B861)&gt;$K$3),0,1))</f>
        <v>0</v>
      </c>
      <c r="L2061" s="3">
        <f>IF(OR($L$1="",对接源_02物料!$C861="",对接源_02物料!$C861&lt;&gt;$L$1,对接源_02物料!$B861=""),0,IF(OR(N(对接源_02物料!$B861)&lt;$L$2,N(对接源_02物料!$B861)&gt;$L$3),0,1))</f>
        <v>0</v>
      </c>
      <c r="M2061" s="3">
        <f>IF(OR($M$1="",对接源_02物料!$C861="",对接源_02物料!$C861&lt;&gt;$M$1,对接源_02物料!$B861=""),0,IF(OR(N(对接源_02物料!$B861)&lt;$M$2,N(对接源_02物料!$B861)&gt;$M$3),0,1))</f>
        <v>0</v>
      </c>
      <c r="N2061" s="3">
        <f>IF(OR($N$1="",对接源_02物料!$C861="",对接源_02物料!$C861&lt;&gt;$N$1,对接源_02物料!$B861=""),0,IF(OR(N(对接源_02物料!$B861)&lt;$N$2,N(对接源_02物料!$B861)&gt;$N$3),0,1))</f>
        <v>0</v>
      </c>
      <c r="P2061" s="3">
        <f>IF(AND($K2061=1,AND(对接源_02物料!$X861="公司筐",N(对接源_02物料!$T861)&lt;&gt;0)),1,0)</f>
        <v>0</v>
      </c>
      <c r="Q2061" s="3">
        <f t="shared" si="556"/>
        <v>8</v>
      </c>
      <c r="R2061" s="3">
        <f>IF(AND($K2061=1,AND(对接源_02物料!$X861="公司筐",N(对接源_02物料!$U861)&lt;&gt;0)),1,0)</f>
        <v>0</v>
      </c>
      <c r="S2061" s="3">
        <f t="shared" si="557"/>
        <v>0</v>
      </c>
      <c r="T2061" s="3">
        <f>IF(AND($K2061=1,AND(对接源_02物料!$X861="公司筐",N(对接源_02物料!$V861)&lt;&gt;0)),1,0)</f>
        <v>0</v>
      </c>
      <c r="U2061" s="3">
        <f t="shared" si="558"/>
        <v>19</v>
      </c>
      <c r="V2061" s="3">
        <f>IF(AND($L2061=1,AND(对接源_02物料!$X861="自备筐",N(对接源_02物料!$V861)&lt;&gt;0)),1,0)</f>
        <v>0</v>
      </c>
      <c r="W2061" s="3">
        <f t="shared" si="559"/>
        <v>8</v>
      </c>
      <c r="X2061" s="3">
        <f>IF(AND($L2061=1,AND(对接源_02物料!$X861="自备筐",N(对接源_02物料!$T861)&lt;&gt;0)),1,0)</f>
        <v>0</v>
      </c>
      <c r="Y2061" s="3">
        <f t="shared" si="560"/>
        <v>0</v>
      </c>
      <c r="Z2061" s="3">
        <f>IF(AND($M2061=1,对接源_02物料!$D861="原料入库"),1,0)</f>
        <v>0</v>
      </c>
      <c r="AA2061" s="3">
        <f t="shared" si="561"/>
        <v>24</v>
      </c>
      <c r="AB2061" s="3">
        <f>IF(AND($M2061=1,LEFT(对接源_02物料!$D861,4)="原料出库"),1,0)</f>
        <v>0</v>
      </c>
      <c r="AC2061" s="3">
        <f t="shared" si="562"/>
        <v>0</v>
      </c>
      <c r="AD2061" s="3">
        <f>IF(AND($M2061=1,LEFT(对接源_02物料!$D861,4)="成品出库"),1,0)</f>
        <v>0</v>
      </c>
      <c r="AE2061" s="3">
        <f t="shared" si="563"/>
        <v>0</v>
      </c>
      <c r="AF2061" s="3">
        <f>IF(AND($N2061=1,AND(LEFT(对接源_02物料!$D861,4)="包装物料",N(对接源_02物料!$K861)&lt;&gt;0)),1,0)</f>
        <v>0</v>
      </c>
      <c r="AG2061" s="3">
        <f t="shared" si="564"/>
        <v>5</v>
      </c>
      <c r="AH2061" s="3">
        <f>IF(AND($N2061=1,AND(对接源_02物料!$D861="周转筐－销售出库",N(对接源_02物料!$K861)&lt;&gt;0)),1,0)</f>
        <v>0</v>
      </c>
      <c r="AI2061" s="3">
        <f t="shared" si="565"/>
        <v>0</v>
      </c>
      <c r="AL2061" s="3">
        <v>0</v>
      </c>
      <c r="AM2061" s="3">
        <f t="shared" si="566"/>
        <v>1</v>
      </c>
      <c r="AN2061" s="3" t="str">
        <f t="shared" si="553"/>
        <v/>
      </c>
      <c r="AO2061" s="3">
        <v>0</v>
      </c>
      <c r="AP2061" s="3">
        <f t="shared" si="567"/>
        <v>8</v>
      </c>
      <c r="AR2061">
        <f t="shared" si="568"/>
        <v>0</v>
      </c>
      <c r="AS2061">
        <f t="shared" si="569"/>
        <v>5</v>
      </c>
    </row>
    <row r="2062" customHeight="1" spans="1:45">
      <c r="A2062" s="3" t="str">
        <f>IF(对接源_02物料!$C862="","",对接源_02物料!$C862)</f>
        <v/>
      </c>
      <c r="B2062" s="3">
        <f t="shared" si="554"/>
        <v>0</v>
      </c>
      <c r="C2062" s="3">
        <f t="shared" si="555"/>
        <v>21</v>
      </c>
      <c r="K2062" s="3">
        <f>IF(OR($K$1="",对接源_02物料!$C862="",对接源_02物料!$C862&lt;&gt;$K$1,对接源_02物料!$B862=""),0,IF(OR(N(对接源_02物料!$B862)&lt;$K$2,N(对接源_02物料!$B862)&gt;$K$3),0,1))</f>
        <v>0</v>
      </c>
      <c r="L2062" s="3">
        <f>IF(OR($L$1="",对接源_02物料!$C862="",对接源_02物料!$C862&lt;&gt;$L$1,对接源_02物料!$B862=""),0,IF(OR(N(对接源_02物料!$B862)&lt;$L$2,N(对接源_02物料!$B862)&gt;$L$3),0,1))</f>
        <v>0</v>
      </c>
      <c r="M2062" s="3">
        <f>IF(OR($M$1="",对接源_02物料!$C862="",对接源_02物料!$C862&lt;&gt;$M$1,对接源_02物料!$B862=""),0,IF(OR(N(对接源_02物料!$B862)&lt;$M$2,N(对接源_02物料!$B862)&gt;$M$3),0,1))</f>
        <v>0</v>
      </c>
      <c r="N2062" s="3">
        <f>IF(OR($N$1="",对接源_02物料!$C862="",对接源_02物料!$C862&lt;&gt;$N$1,对接源_02物料!$B862=""),0,IF(OR(N(对接源_02物料!$B862)&lt;$N$2,N(对接源_02物料!$B862)&gt;$N$3),0,1))</f>
        <v>0</v>
      </c>
      <c r="P2062" s="3">
        <f>IF(AND($K2062=1,AND(对接源_02物料!$X862="公司筐",N(对接源_02物料!$T862)&lt;&gt;0)),1,0)</f>
        <v>0</v>
      </c>
      <c r="Q2062" s="3">
        <f t="shared" si="556"/>
        <v>8</v>
      </c>
      <c r="R2062" s="3">
        <f>IF(AND($K2062=1,AND(对接源_02物料!$X862="公司筐",N(对接源_02物料!$U862)&lt;&gt;0)),1,0)</f>
        <v>0</v>
      </c>
      <c r="S2062" s="3">
        <f t="shared" si="557"/>
        <v>0</v>
      </c>
      <c r="T2062" s="3">
        <f>IF(AND($K2062=1,AND(对接源_02物料!$X862="公司筐",N(对接源_02物料!$V862)&lt;&gt;0)),1,0)</f>
        <v>0</v>
      </c>
      <c r="U2062" s="3">
        <f t="shared" si="558"/>
        <v>19</v>
      </c>
      <c r="V2062" s="3">
        <f>IF(AND($L2062=1,AND(对接源_02物料!$X862="自备筐",N(对接源_02物料!$V862)&lt;&gt;0)),1,0)</f>
        <v>0</v>
      </c>
      <c r="W2062" s="3">
        <f t="shared" si="559"/>
        <v>8</v>
      </c>
      <c r="X2062" s="3">
        <f>IF(AND($L2062=1,AND(对接源_02物料!$X862="自备筐",N(对接源_02物料!$T862)&lt;&gt;0)),1,0)</f>
        <v>0</v>
      </c>
      <c r="Y2062" s="3">
        <f t="shared" si="560"/>
        <v>0</v>
      </c>
      <c r="Z2062" s="3">
        <f>IF(AND($M2062=1,对接源_02物料!$D862="原料入库"),1,0)</f>
        <v>0</v>
      </c>
      <c r="AA2062" s="3">
        <f t="shared" si="561"/>
        <v>24</v>
      </c>
      <c r="AB2062" s="3">
        <f>IF(AND($M2062=1,LEFT(对接源_02物料!$D862,4)="原料出库"),1,0)</f>
        <v>0</v>
      </c>
      <c r="AC2062" s="3">
        <f t="shared" si="562"/>
        <v>0</v>
      </c>
      <c r="AD2062" s="3">
        <f>IF(AND($M2062=1,LEFT(对接源_02物料!$D862,4)="成品出库"),1,0)</f>
        <v>0</v>
      </c>
      <c r="AE2062" s="3">
        <f t="shared" si="563"/>
        <v>0</v>
      </c>
      <c r="AF2062" s="3">
        <f>IF(AND($N2062=1,AND(LEFT(对接源_02物料!$D862,4)="包装物料",N(对接源_02物料!$K862)&lt;&gt;0)),1,0)</f>
        <v>0</v>
      </c>
      <c r="AG2062" s="3">
        <f t="shared" si="564"/>
        <v>5</v>
      </c>
      <c r="AH2062" s="3">
        <f>IF(AND($N2062=1,AND(对接源_02物料!$D862="周转筐－销售出库",N(对接源_02物料!$K862)&lt;&gt;0)),1,0)</f>
        <v>0</v>
      </c>
      <c r="AI2062" s="3">
        <f t="shared" si="565"/>
        <v>0</v>
      </c>
      <c r="AL2062" s="3">
        <v>0</v>
      </c>
      <c r="AM2062" s="3">
        <f t="shared" si="566"/>
        <v>1</v>
      </c>
      <c r="AN2062" s="3" t="str">
        <f t="shared" si="553"/>
        <v/>
      </c>
      <c r="AO2062" s="3">
        <v>0</v>
      </c>
      <c r="AP2062" s="3">
        <f t="shared" si="567"/>
        <v>8</v>
      </c>
      <c r="AR2062">
        <f t="shared" si="568"/>
        <v>0</v>
      </c>
      <c r="AS2062">
        <f t="shared" si="569"/>
        <v>5</v>
      </c>
    </row>
    <row r="2063" customHeight="1" spans="1:45">
      <c r="A2063" s="3" t="str">
        <f>IF(对接源_02物料!$C863="","",对接源_02物料!$C863)</f>
        <v/>
      </c>
      <c r="B2063" s="3">
        <f t="shared" si="554"/>
        <v>0</v>
      </c>
      <c r="C2063" s="3">
        <f t="shared" si="555"/>
        <v>21</v>
      </c>
      <c r="K2063" s="3">
        <f>IF(OR($K$1="",对接源_02物料!$C863="",对接源_02物料!$C863&lt;&gt;$K$1,对接源_02物料!$B863=""),0,IF(OR(N(对接源_02物料!$B863)&lt;$K$2,N(对接源_02物料!$B863)&gt;$K$3),0,1))</f>
        <v>0</v>
      </c>
      <c r="L2063" s="3">
        <f>IF(OR($L$1="",对接源_02物料!$C863="",对接源_02物料!$C863&lt;&gt;$L$1,对接源_02物料!$B863=""),0,IF(OR(N(对接源_02物料!$B863)&lt;$L$2,N(对接源_02物料!$B863)&gt;$L$3),0,1))</f>
        <v>0</v>
      </c>
      <c r="M2063" s="3">
        <f>IF(OR($M$1="",对接源_02物料!$C863="",对接源_02物料!$C863&lt;&gt;$M$1,对接源_02物料!$B863=""),0,IF(OR(N(对接源_02物料!$B863)&lt;$M$2,N(对接源_02物料!$B863)&gt;$M$3),0,1))</f>
        <v>0</v>
      </c>
      <c r="N2063" s="3">
        <f>IF(OR($N$1="",对接源_02物料!$C863="",对接源_02物料!$C863&lt;&gt;$N$1,对接源_02物料!$B863=""),0,IF(OR(N(对接源_02物料!$B863)&lt;$N$2,N(对接源_02物料!$B863)&gt;$N$3),0,1))</f>
        <v>0</v>
      </c>
      <c r="P2063" s="3">
        <f>IF(AND($K2063=1,AND(对接源_02物料!$X863="公司筐",N(对接源_02物料!$T863)&lt;&gt;0)),1,0)</f>
        <v>0</v>
      </c>
      <c r="Q2063" s="3">
        <f t="shared" si="556"/>
        <v>8</v>
      </c>
      <c r="R2063" s="3">
        <f>IF(AND($K2063=1,AND(对接源_02物料!$X863="公司筐",N(对接源_02物料!$U863)&lt;&gt;0)),1,0)</f>
        <v>0</v>
      </c>
      <c r="S2063" s="3">
        <f t="shared" si="557"/>
        <v>0</v>
      </c>
      <c r="T2063" s="3">
        <f>IF(AND($K2063=1,AND(对接源_02物料!$X863="公司筐",N(对接源_02物料!$V863)&lt;&gt;0)),1,0)</f>
        <v>0</v>
      </c>
      <c r="U2063" s="3">
        <f t="shared" si="558"/>
        <v>19</v>
      </c>
      <c r="V2063" s="3">
        <f>IF(AND($L2063=1,AND(对接源_02物料!$X863="自备筐",N(对接源_02物料!$V863)&lt;&gt;0)),1,0)</f>
        <v>0</v>
      </c>
      <c r="W2063" s="3">
        <f t="shared" si="559"/>
        <v>8</v>
      </c>
      <c r="X2063" s="3">
        <f>IF(AND($L2063=1,AND(对接源_02物料!$X863="自备筐",N(对接源_02物料!$T863)&lt;&gt;0)),1,0)</f>
        <v>0</v>
      </c>
      <c r="Y2063" s="3">
        <f t="shared" si="560"/>
        <v>0</v>
      </c>
      <c r="Z2063" s="3">
        <f>IF(AND($M2063=1,对接源_02物料!$D863="原料入库"),1,0)</f>
        <v>0</v>
      </c>
      <c r="AA2063" s="3">
        <f t="shared" si="561"/>
        <v>24</v>
      </c>
      <c r="AB2063" s="3">
        <f>IF(AND($M2063=1,LEFT(对接源_02物料!$D863,4)="原料出库"),1,0)</f>
        <v>0</v>
      </c>
      <c r="AC2063" s="3">
        <f t="shared" si="562"/>
        <v>0</v>
      </c>
      <c r="AD2063" s="3">
        <f>IF(AND($M2063=1,LEFT(对接源_02物料!$D863,4)="成品出库"),1,0)</f>
        <v>0</v>
      </c>
      <c r="AE2063" s="3">
        <f t="shared" si="563"/>
        <v>0</v>
      </c>
      <c r="AF2063" s="3">
        <f>IF(AND($N2063=1,AND(LEFT(对接源_02物料!$D863,4)="包装物料",N(对接源_02物料!$K863)&lt;&gt;0)),1,0)</f>
        <v>0</v>
      </c>
      <c r="AG2063" s="3">
        <f t="shared" si="564"/>
        <v>5</v>
      </c>
      <c r="AH2063" s="3">
        <f>IF(AND($N2063=1,AND(对接源_02物料!$D863="周转筐－销售出库",N(对接源_02物料!$K863)&lt;&gt;0)),1,0)</f>
        <v>0</v>
      </c>
      <c r="AI2063" s="3">
        <f t="shared" si="565"/>
        <v>0</v>
      </c>
      <c r="AL2063" s="3">
        <v>0</v>
      </c>
      <c r="AM2063" s="3">
        <f t="shared" si="566"/>
        <v>1</v>
      </c>
      <c r="AN2063" s="3" t="str">
        <f t="shared" si="553"/>
        <v/>
      </c>
      <c r="AO2063" s="3">
        <v>0</v>
      </c>
      <c r="AP2063" s="3">
        <f t="shared" si="567"/>
        <v>8</v>
      </c>
      <c r="AR2063">
        <f t="shared" si="568"/>
        <v>0</v>
      </c>
      <c r="AS2063">
        <f t="shared" si="569"/>
        <v>5</v>
      </c>
    </row>
    <row r="2064" customHeight="1" spans="1:45">
      <c r="A2064" s="3" t="str">
        <f>IF(对接源_02物料!$C864="","",对接源_02物料!$C864)</f>
        <v/>
      </c>
      <c r="B2064" s="3">
        <f t="shared" si="554"/>
        <v>0</v>
      </c>
      <c r="C2064" s="3">
        <f t="shared" si="555"/>
        <v>21</v>
      </c>
      <c r="K2064" s="3">
        <f>IF(OR($K$1="",对接源_02物料!$C864="",对接源_02物料!$C864&lt;&gt;$K$1,对接源_02物料!$B864=""),0,IF(OR(N(对接源_02物料!$B864)&lt;$K$2,N(对接源_02物料!$B864)&gt;$K$3),0,1))</f>
        <v>0</v>
      </c>
      <c r="L2064" s="3">
        <f>IF(OR($L$1="",对接源_02物料!$C864="",对接源_02物料!$C864&lt;&gt;$L$1,对接源_02物料!$B864=""),0,IF(OR(N(对接源_02物料!$B864)&lt;$L$2,N(对接源_02物料!$B864)&gt;$L$3),0,1))</f>
        <v>0</v>
      </c>
      <c r="M2064" s="3">
        <f>IF(OR($M$1="",对接源_02物料!$C864="",对接源_02物料!$C864&lt;&gt;$M$1,对接源_02物料!$B864=""),0,IF(OR(N(对接源_02物料!$B864)&lt;$M$2,N(对接源_02物料!$B864)&gt;$M$3),0,1))</f>
        <v>0</v>
      </c>
      <c r="N2064" s="3">
        <f>IF(OR($N$1="",对接源_02物料!$C864="",对接源_02物料!$C864&lt;&gt;$N$1,对接源_02物料!$B864=""),0,IF(OR(N(对接源_02物料!$B864)&lt;$N$2,N(对接源_02物料!$B864)&gt;$N$3),0,1))</f>
        <v>0</v>
      </c>
      <c r="P2064" s="3">
        <f>IF(AND($K2064=1,AND(对接源_02物料!$X864="公司筐",N(对接源_02物料!$T864)&lt;&gt;0)),1,0)</f>
        <v>0</v>
      </c>
      <c r="Q2064" s="3">
        <f t="shared" si="556"/>
        <v>8</v>
      </c>
      <c r="R2064" s="3">
        <f>IF(AND($K2064=1,AND(对接源_02物料!$X864="公司筐",N(对接源_02物料!$U864)&lt;&gt;0)),1,0)</f>
        <v>0</v>
      </c>
      <c r="S2064" s="3">
        <f t="shared" si="557"/>
        <v>0</v>
      </c>
      <c r="T2064" s="3">
        <f>IF(AND($K2064=1,AND(对接源_02物料!$X864="公司筐",N(对接源_02物料!$V864)&lt;&gt;0)),1,0)</f>
        <v>0</v>
      </c>
      <c r="U2064" s="3">
        <f t="shared" si="558"/>
        <v>19</v>
      </c>
      <c r="V2064" s="3">
        <f>IF(AND($L2064=1,AND(对接源_02物料!$X864="自备筐",N(对接源_02物料!$V864)&lt;&gt;0)),1,0)</f>
        <v>0</v>
      </c>
      <c r="W2064" s="3">
        <f t="shared" si="559"/>
        <v>8</v>
      </c>
      <c r="X2064" s="3">
        <f>IF(AND($L2064=1,AND(对接源_02物料!$X864="自备筐",N(对接源_02物料!$T864)&lt;&gt;0)),1,0)</f>
        <v>0</v>
      </c>
      <c r="Y2064" s="3">
        <f t="shared" si="560"/>
        <v>0</v>
      </c>
      <c r="Z2064" s="3">
        <f>IF(AND($M2064=1,对接源_02物料!$D864="原料入库"),1,0)</f>
        <v>0</v>
      </c>
      <c r="AA2064" s="3">
        <f t="shared" si="561"/>
        <v>24</v>
      </c>
      <c r="AB2064" s="3">
        <f>IF(AND($M2064=1,LEFT(对接源_02物料!$D864,4)="原料出库"),1,0)</f>
        <v>0</v>
      </c>
      <c r="AC2064" s="3">
        <f t="shared" si="562"/>
        <v>0</v>
      </c>
      <c r="AD2064" s="3">
        <f>IF(AND($M2064=1,LEFT(对接源_02物料!$D864,4)="成品出库"),1,0)</f>
        <v>0</v>
      </c>
      <c r="AE2064" s="3">
        <f t="shared" si="563"/>
        <v>0</v>
      </c>
      <c r="AF2064" s="3">
        <f>IF(AND($N2064=1,AND(LEFT(对接源_02物料!$D864,4)="包装物料",N(对接源_02物料!$K864)&lt;&gt;0)),1,0)</f>
        <v>0</v>
      </c>
      <c r="AG2064" s="3">
        <f t="shared" si="564"/>
        <v>5</v>
      </c>
      <c r="AH2064" s="3">
        <f>IF(AND($N2064=1,AND(对接源_02物料!$D864="周转筐－销售出库",N(对接源_02物料!$K864)&lt;&gt;0)),1,0)</f>
        <v>0</v>
      </c>
      <c r="AI2064" s="3">
        <f t="shared" si="565"/>
        <v>0</v>
      </c>
      <c r="AL2064" s="3">
        <v>0</v>
      </c>
      <c r="AM2064" s="3">
        <f t="shared" si="566"/>
        <v>1</v>
      </c>
      <c r="AN2064" s="3" t="str">
        <f t="shared" si="553"/>
        <v/>
      </c>
      <c r="AO2064" s="3">
        <v>0</v>
      </c>
      <c r="AP2064" s="3">
        <f t="shared" si="567"/>
        <v>8</v>
      </c>
      <c r="AR2064">
        <f t="shared" si="568"/>
        <v>0</v>
      </c>
      <c r="AS2064">
        <f t="shared" si="569"/>
        <v>5</v>
      </c>
    </row>
    <row r="2065" customHeight="1" spans="1:45">
      <c r="A2065" s="3" t="str">
        <f>IF(对接源_02物料!$C865="","",对接源_02物料!$C865)</f>
        <v/>
      </c>
      <c r="B2065" s="3">
        <f t="shared" si="554"/>
        <v>0</v>
      </c>
      <c r="C2065" s="3">
        <f t="shared" si="555"/>
        <v>21</v>
      </c>
      <c r="K2065" s="3">
        <f>IF(OR($K$1="",对接源_02物料!$C865="",对接源_02物料!$C865&lt;&gt;$K$1,对接源_02物料!$B865=""),0,IF(OR(N(对接源_02物料!$B865)&lt;$K$2,N(对接源_02物料!$B865)&gt;$K$3),0,1))</f>
        <v>0</v>
      </c>
      <c r="L2065" s="3">
        <f>IF(OR($L$1="",对接源_02物料!$C865="",对接源_02物料!$C865&lt;&gt;$L$1,对接源_02物料!$B865=""),0,IF(OR(N(对接源_02物料!$B865)&lt;$L$2,N(对接源_02物料!$B865)&gt;$L$3),0,1))</f>
        <v>0</v>
      </c>
      <c r="M2065" s="3">
        <f>IF(OR($M$1="",对接源_02物料!$C865="",对接源_02物料!$C865&lt;&gt;$M$1,对接源_02物料!$B865=""),0,IF(OR(N(对接源_02物料!$B865)&lt;$M$2,N(对接源_02物料!$B865)&gt;$M$3),0,1))</f>
        <v>0</v>
      </c>
      <c r="N2065" s="3">
        <f>IF(OR($N$1="",对接源_02物料!$C865="",对接源_02物料!$C865&lt;&gt;$N$1,对接源_02物料!$B865=""),0,IF(OR(N(对接源_02物料!$B865)&lt;$N$2,N(对接源_02物料!$B865)&gt;$N$3),0,1))</f>
        <v>0</v>
      </c>
      <c r="P2065" s="3">
        <f>IF(AND($K2065=1,AND(对接源_02物料!$X865="公司筐",N(对接源_02物料!$T865)&lt;&gt;0)),1,0)</f>
        <v>0</v>
      </c>
      <c r="Q2065" s="3">
        <f t="shared" si="556"/>
        <v>8</v>
      </c>
      <c r="R2065" s="3">
        <f>IF(AND($K2065=1,AND(对接源_02物料!$X865="公司筐",N(对接源_02物料!$U865)&lt;&gt;0)),1,0)</f>
        <v>0</v>
      </c>
      <c r="S2065" s="3">
        <f t="shared" si="557"/>
        <v>0</v>
      </c>
      <c r="T2065" s="3">
        <f>IF(AND($K2065=1,AND(对接源_02物料!$X865="公司筐",N(对接源_02物料!$V865)&lt;&gt;0)),1,0)</f>
        <v>0</v>
      </c>
      <c r="U2065" s="3">
        <f t="shared" si="558"/>
        <v>19</v>
      </c>
      <c r="V2065" s="3">
        <f>IF(AND($L2065=1,AND(对接源_02物料!$X865="自备筐",N(对接源_02物料!$V865)&lt;&gt;0)),1,0)</f>
        <v>0</v>
      </c>
      <c r="W2065" s="3">
        <f t="shared" si="559"/>
        <v>8</v>
      </c>
      <c r="X2065" s="3">
        <f>IF(AND($L2065=1,AND(对接源_02物料!$X865="自备筐",N(对接源_02物料!$T865)&lt;&gt;0)),1,0)</f>
        <v>0</v>
      </c>
      <c r="Y2065" s="3">
        <f t="shared" si="560"/>
        <v>0</v>
      </c>
      <c r="Z2065" s="3">
        <f>IF(AND($M2065=1,对接源_02物料!$D865="原料入库"),1,0)</f>
        <v>0</v>
      </c>
      <c r="AA2065" s="3">
        <f t="shared" si="561"/>
        <v>24</v>
      </c>
      <c r="AB2065" s="3">
        <f>IF(AND($M2065=1,LEFT(对接源_02物料!$D865,4)="原料出库"),1,0)</f>
        <v>0</v>
      </c>
      <c r="AC2065" s="3">
        <f t="shared" si="562"/>
        <v>0</v>
      </c>
      <c r="AD2065" s="3">
        <f>IF(AND($M2065=1,LEFT(对接源_02物料!$D865,4)="成品出库"),1,0)</f>
        <v>0</v>
      </c>
      <c r="AE2065" s="3">
        <f t="shared" si="563"/>
        <v>0</v>
      </c>
      <c r="AF2065" s="3">
        <f>IF(AND($N2065=1,AND(LEFT(对接源_02物料!$D865,4)="包装物料",N(对接源_02物料!$K865)&lt;&gt;0)),1,0)</f>
        <v>0</v>
      </c>
      <c r="AG2065" s="3">
        <f t="shared" si="564"/>
        <v>5</v>
      </c>
      <c r="AH2065" s="3">
        <f>IF(AND($N2065=1,AND(对接源_02物料!$D865="周转筐－销售出库",N(对接源_02物料!$K865)&lt;&gt;0)),1,0)</f>
        <v>0</v>
      </c>
      <c r="AI2065" s="3">
        <f t="shared" si="565"/>
        <v>0</v>
      </c>
      <c r="AL2065" s="3">
        <v>0</v>
      </c>
      <c r="AM2065" s="3">
        <f t="shared" si="566"/>
        <v>1</v>
      </c>
      <c r="AN2065" s="3" t="str">
        <f t="shared" si="553"/>
        <v/>
      </c>
      <c r="AO2065" s="3">
        <v>0</v>
      </c>
      <c r="AP2065" s="3">
        <f t="shared" si="567"/>
        <v>8</v>
      </c>
      <c r="AR2065">
        <f t="shared" si="568"/>
        <v>0</v>
      </c>
      <c r="AS2065">
        <f t="shared" si="569"/>
        <v>5</v>
      </c>
    </row>
    <row r="2066" customHeight="1" spans="1:45">
      <c r="A2066" s="3" t="str">
        <f>IF(对接源_02物料!$C866="","",对接源_02物料!$C866)</f>
        <v/>
      </c>
      <c r="B2066" s="3">
        <f t="shared" si="554"/>
        <v>0</v>
      </c>
      <c r="C2066" s="3">
        <f t="shared" si="555"/>
        <v>21</v>
      </c>
      <c r="K2066" s="3">
        <f>IF(OR($K$1="",对接源_02物料!$C866="",对接源_02物料!$C866&lt;&gt;$K$1,对接源_02物料!$B866=""),0,IF(OR(N(对接源_02物料!$B866)&lt;$K$2,N(对接源_02物料!$B866)&gt;$K$3),0,1))</f>
        <v>0</v>
      </c>
      <c r="L2066" s="3">
        <f>IF(OR($L$1="",对接源_02物料!$C866="",对接源_02物料!$C866&lt;&gt;$L$1,对接源_02物料!$B866=""),0,IF(OR(N(对接源_02物料!$B866)&lt;$L$2,N(对接源_02物料!$B866)&gt;$L$3),0,1))</f>
        <v>0</v>
      </c>
      <c r="M2066" s="3">
        <f>IF(OR($M$1="",对接源_02物料!$C866="",对接源_02物料!$C866&lt;&gt;$M$1,对接源_02物料!$B866=""),0,IF(OR(N(对接源_02物料!$B866)&lt;$M$2,N(对接源_02物料!$B866)&gt;$M$3),0,1))</f>
        <v>0</v>
      </c>
      <c r="N2066" s="3">
        <f>IF(OR($N$1="",对接源_02物料!$C866="",对接源_02物料!$C866&lt;&gt;$N$1,对接源_02物料!$B866=""),0,IF(OR(N(对接源_02物料!$B866)&lt;$N$2,N(对接源_02物料!$B866)&gt;$N$3),0,1))</f>
        <v>0</v>
      </c>
      <c r="P2066" s="3">
        <f>IF(AND($K2066=1,AND(对接源_02物料!$X866="公司筐",N(对接源_02物料!$T866)&lt;&gt;0)),1,0)</f>
        <v>0</v>
      </c>
      <c r="Q2066" s="3">
        <f t="shared" si="556"/>
        <v>8</v>
      </c>
      <c r="R2066" s="3">
        <f>IF(AND($K2066=1,AND(对接源_02物料!$X866="公司筐",N(对接源_02物料!$U866)&lt;&gt;0)),1,0)</f>
        <v>0</v>
      </c>
      <c r="S2066" s="3">
        <f t="shared" si="557"/>
        <v>0</v>
      </c>
      <c r="T2066" s="3">
        <f>IF(AND($K2066=1,AND(对接源_02物料!$X866="公司筐",N(对接源_02物料!$V866)&lt;&gt;0)),1,0)</f>
        <v>0</v>
      </c>
      <c r="U2066" s="3">
        <f t="shared" si="558"/>
        <v>19</v>
      </c>
      <c r="V2066" s="3">
        <f>IF(AND($L2066=1,AND(对接源_02物料!$X866="自备筐",N(对接源_02物料!$V866)&lt;&gt;0)),1,0)</f>
        <v>0</v>
      </c>
      <c r="W2066" s="3">
        <f t="shared" si="559"/>
        <v>8</v>
      </c>
      <c r="X2066" s="3">
        <f>IF(AND($L2066=1,AND(对接源_02物料!$X866="自备筐",N(对接源_02物料!$T866)&lt;&gt;0)),1,0)</f>
        <v>0</v>
      </c>
      <c r="Y2066" s="3">
        <f t="shared" si="560"/>
        <v>0</v>
      </c>
      <c r="Z2066" s="3">
        <f>IF(AND($M2066=1,对接源_02物料!$D866="原料入库"),1,0)</f>
        <v>0</v>
      </c>
      <c r="AA2066" s="3">
        <f t="shared" si="561"/>
        <v>24</v>
      </c>
      <c r="AB2066" s="3">
        <f>IF(AND($M2066=1,LEFT(对接源_02物料!$D866,4)="原料出库"),1,0)</f>
        <v>0</v>
      </c>
      <c r="AC2066" s="3">
        <f t="shared" si="562"/>
        <v>0</v>
      </c>
      <c r="AD2066" s="3">
        <f>IF(AND($M2066=1,LEFT(对接源_02物料!$D866,4)="成品出库"),1,0)</f>
        <v>0</v>
      </c>
      <c r="AE2066" s="3">
        <f t="shared" si="563"/>
        <v>0</v>
      </c>
      <c r="AF2066" s="3">
        <f>IF(AND($N2066=1,AND(LEFT(对接源_02物料!$D866,4)="包装物料",N(对接源_02物料!$K866)&lt;&gt;0)),1,0)</f>
        <v>0</v>
      </c>
      <c r="AG2066" s="3">
        <f t="shared" si="564"/>
        <v>5</v>
      </c>
      <c r="AH2066" s="3">
        <f>IF(AND($N2066=1,AND(对接源_02物料!$D866="周转筐－销售出库",N(对接源_02物料!$K866)&lt;&gt;0)),1,0)</f>
        <v>0</v>
      </c>
      <c r="AI2066" s="3">
        <f t="shared" si="565"/>
        <v>0</v>
      </c>
      <c r="AL2066" s="3">
        <v>0</v>
      </c>
      <c r="AM2066" s="3">
        <f t="shared" si="566"/>
        <v>1</v>
      </c>
      <c r="AN2066" s="3" t="str">
        <f t="shared" si="553"/>
        <v/>
      </c>
      <c r="AO2066" s="3">
        <v>0</v>
      </c>
      <c r="AP2066" s="3">
        <f t="shared" si="567"/>
        <v>8</v>
      </c>
      <c r="AR2066">
        <f t="shared" si="568"/>
        <v>0</v>
      </c>
      <c r="AS2066">
        <f t="shared" si="569"/>
        <v>5</v>
      </c>
    </row>
    <row r="2067" customHeight="1" spans="1:45">
      <c r="A2067" s="3" t="str">
        <f>IF(对接源_02物料!$C867="","",对接源_02物料!$C867)</f>
        <v/>
      </c>
      <c r="B2067" s="3">
        <f t="shared" si="554"/>
        <v>0</v>
      </c>
      <c r="C2067" s="3">
        <f t="shared" si="555"/>
        <v>21</v>
      </c>
      <c r="K2067" s="3">
        <f>IF(OR($K$1="",对接源_02物料!$C867="",对接源_02物料!$C867&lt;&gt;$K$1,对接源_02物料!$B867=""),0,IF(OR(N(对接源_02物料!$B867)&lt;$K$2,N(对接源_02物料!$B867)&gt;$K$3),0,1))</f>
        <v>0</v>
      </c>
      <c r="L2067" s="3">
        <f>IF(OR($L$1="",对接源_02物料!$C867="",对接源_02物料!$C867&lt;&gt;$L$1,对接源_02物料!$B867=""),0,IF(OR(N(对接源_02物料!$B867)&lt;$L$2,N(对接源_02物料!$B867)&gt;$L$3),0,1))</f>
        <v>0</v>
      </c>
      <c r="M2067" s="3">
        <f>IF(OR($M$1="",对接源_02物料!$C867="",对接源_02物料!$C867&lt;&gt;$M$1,对接源_02物料!$B867=""),0,IF(OR(N(对接源_02物料!$B867)&lt;$M$2,N(对接源_02物料!$B867)&gt;$M$3),0,1))</f>
        <v>0</v>
      </c>
      <c r="N2067" s="3">
        <f>IF(OR($N$1="",对接源_02物料!$C867="",对接源_02物料!$C867&lt;&gt;$N$1,对接源_02物料!$B867=""),0,IF(OR(N(对接源_02物料!$B867)&lt;$N$2,N(对接源_02物料!$B867)&gt;$N$3),0,1))</f>
        <v>0</v>
      </c>
      <c r="P2067" s="3">
        <f>IF(AND($K2067=1,AND(对接源_02物料!$X867="公司筐",N(对接源_02物料!$T867)&lt;&gt;0)),1,0)</f>
        <v>0</v>
      </c>
      <c r="Q2067" s="3">
        <f t="shared" si="556"/>
        <v>8</v>
      </c>
      <c r="R2067" s="3">
        <f>IF(AND($K2067=1,AND(对接源_02物料!$X867="公司筐",N(对接源_02物料!$U867)&lt;&gt;0)),1,0)</f>
        <v>0</v>
      </c>
      <c r="S2067" s="3">
        <f t="shared" si="557"/>
        <v>0</v>
      </c>
      <c r="T2067" s="3">
        <f>IF(AND($K2067=1,AND(对接源_02物料!$X867="公司筐",N(对接源_02物料!$V867)&lt;&gt;0)),1,0)</f>
        <v>0</v>
      </c>
      <c r="U2067" s="3">
        <f t="shared" si="558"/>
        <v>19</v>
      </c>
      <c r="V2067" s="3">
        <f>IF(AND($L2067=1,AND(对接源_02物料!$X867="自备筐",N(对接源_02物料!$V867)&lt;&gt;0)),1,0)</f>
        <v>0</v>
      </c>
      <c r="W2067" s="3">
        <f t="shared" si="559"/>
        <v>8</v>
      </c>
      <c r="X2067" s="3">
        <f>IF(AND($L2067=1,AND(对接源_02物料!$X867="自备筐",N(对接源_02物料!$T867)&lt;&gt;0)),1,0)</f>
        <v>0</v>
      </c>
      <c r="Y2067" s="3">
        <f t="shared" si="560"/>
        <v>0</v>
      </c>
      <c r="Z2067" s="3">
        <f>IF(AND($M2067=1,对接源_02物料!$D867="原料入库"),1,0)</f>
        <v>0</v>
      </c>
      <c r="AA2067" s="3">
        <f t="shared" si="561"/>
        <v>24</v>
      </c>
      <c r="AB2067" s="3">
        <f>IF(AND($M2067=1,LEFT(对接源_02物料!$D867,4)="原料出库"),1,0)</f>
        <v>0</v>
      </c>
      <c r="AC2067" s="3">
        <f t="shared" si="562"/>
        <v>0</v>
      </c>
      <c r="AD2067" s="3">
        <f>IF(AND($M2067=1,LEFT(对接源_02物料!$D867,4)="成品出库"),1,0)</f>
        <v>0</v>
      </c>
      <c r="AE2067" s="3">
        <f t="shared" si="563"/>
        <v>0</v>
      </c>
      <c r="AF2067" s="3">
        <f>IF(AND($N2067=1,AND(LEFT(对接源_02物料!$D867,4)="包装物料",N(对接源_02物料!$K867)&lt;&gt;0)),1,0)</f>
        <v>0</v>
      </c>
      <c r="AG2067" s="3">
        <f t="shared" si="564"/>
        <v>5</v>
      </c>
      <c r="AH2067" s="3">
        <f>IF(AND($N2067=1,AND(对接源_02物料!$D867="周转筐－销售出库",N(对接源_02物料!$K867)&lt;&gt;0)),1,0)</f>
        <v>0</v>
      </c>
      <c r="AI2067" s="3">
        <f t="shared" si="565"/>
        <v>0</v>
      </c>
      <c r="AL2067" s="3">
        <v>0</v>
      </c>
      <c r="AM2067" s="3">
        <f t="shared" si="566"/>
        <v>1</v>
      </c>
      <c r="AN2067" s="3" t="str">
        <f t="shared" si="553"/>
        <v/>
      </c>
      <c r="AO2067" s="3">
        <v>0</v>
      </c>
      <c r="AP2067" s="3">
        <f t="shared" si="567"/>
        <v>8</v>
      </c>
      <c r="AR2067">
        <f t="shared" si="568"/>
        <v>0</v>
      </c>
      <c r="AS2067">
        <f t="shared" si="569"/>
        <v>5</v>
      </c>
    </row>
    <row r="2068" customHeight="1" spans="1:45">
      <c r="A2068" s="3" t="str">
        <f>IF(对接源_02物料!$C868="","",对接源_02物料!$C868)</f>
        <v/>
      </c>
      <c r="B2068" s="3">
        <f t="shared" si="554"/>
        <v>0</v>
      </c>
      <c r="C2068" s="3">
        <f t="shared" si="555"/>
        <v>21</v>
      </c>
      <c r="K2068" s="3">
        <f>IF(OR($K$1="",对接源_02物料!$C868="",对接源_02物料!$C868&lt;&gt;$K$1,对接源_02物料!$B868=""),0,IF(OR(N(对接源_02物料!$B868)&lt;$K$2,N(对接源_02物料!$B868)&gt;$K$3),0,1))</f>
        <v>0</v>
      </c>
      <c r="L2068" s="3">
        <f>IF(OR($L$1="",对接源_02物料!$C868="",对接源_02物料!$C868&lt;&gt;$L$1,对接源_02物料!$B868=""),0,IF(OR(N(对接源_02物料!$B868)&lt;$L$2,N(对接源_02物料!$B868)&gt;$L$3),0,1))</f>
        <v>0</v>
      </c>
      <c r="M2068" s="3">
        <f>IF(OR($M$1="",对接源_02物料!$C868="",对接源_02物料!$C868&lt;&gt;$M$1,对接源_02物料!$B868=""),0,IF(OR(N(对接源_02物料!$B868)&lt;$M$2,N(对接源_02物料!$B868)&gt;$M$3),0,1))</f>
        <v>0</v>
      </c>
      <c r="N2068" s="3">
        <f>IF(OR($N$1="",对接源_02物料!$C868="",对接源_02物料!$C868&lt;&gt;$N$1,对接源_02物料!$B868=""),0,IF(OR(N(对接源_02物料!$B868)&lt;$N$2,N(对接源_02物料!$B868)&gt;$N$3),0,1))</f>
        <v>0</v>
      </c>
      <c r="P2068" s="3">
        <f>IF(AND($K2068=1,AND(对接源_02物料!$X868="公司筐",N(对接源_02物料!$T868)&lt;&gt;0)),1,0)</f>
        <v>0</v>
      </c>
      <c r="Q2068" s="3">
        <f t="shared" si="556"/>
        <v>8</v>
      </c>
      <c r="R2068" s="3">
        <f>IF(AND($K2068=1,AND(对接源_02物料!$X868="公司筐",N(对接源_02物料!$U868)&lt;&gt;0)),1,0)</f>
        <v>0</v>
      </c>
      <c r="S2068" s="3">
        <f t="shared" si="557"/>
        <v>0</v>
      </c>
      <c r="T2068" s="3">
        <f>IF(AND($K2068=1,AND(对接源_02物料!$X868="公司筐",N(对接源_02物料!$V868)&lt;&gt;0)),1,0)</f>
        <v>0</v>
      </c>
      <c r="U2068" s="3">
        <f t="shared" si="558"/>
        <v>19</v>
      </c>
      <c r="V2068" s="3">
        <f>IF(AND($L2068=1,AND(对接源_02物料!$X868="自备筐",N(对接源_02物料!$V868)&lt;&gt;0)),1,0)</f>
        <v>0</v>
      </c>
      <c r="W2068" s="3">
        <f t="shared" si="559"/>
        <v>8</v>
      </c>
      <c r="X2068" s="3">
        <f>IF(AND($L2068=1,AND(对接源_02物料!$X868="自备筐",N(对接源_02物料!$T868)&lt;&gt;0)),1,0)</f>
        <v>0</v>
      </c>
      <c r="Y2068" s="3">
        <f t="shared" si="560"/>
        <v>0</v>
      </c>
      <c r="Z2068" s="3">
        <f>IF(AND($M2068=1,对接源_02物料!$D868="原料入库"),1,0)</f>
        <v>0</v>
      </c>
      <c r="AA2068" s="3">
        <f t="shared" si="561"/>
        <v>24</v>
      </c>
      <c r="AB2068" s="3">
        <f>IF(AND($M2068=1,LEFT(对接源_02物料!$D868,4)="原料出库"),1,0)</f>
        <v>0</v>
      </c>
      <c r="AC2068" s="3">
        <f t="shared" si="562"/>
        <v>0</v>
      </c>
      <c r="AD2068" s="3">
        <f>IF(AND($M2068=1,LEFT(对接源_02物料!$D868,4)="成品出库"),1,0)</f>
        <v>0</v>
      </c>
      <c r="AE2068" s="3">
        <f t="shared" si="563"/>
        <v>0</v>
      </c>
      <c r="AF2068" s="3">
        <f>IF(AND($N2068=1,AND(LEFT(对接源_02物料!$D868,4)="包装物料",N(对接源_02物料!$K868)&lt;&gt;0)),1,0)</f>
        <v>0</v>
      </c>
      <c r="AG2068" s="3">
        <f t="shared" si="564"/>
        <v>5</v>
      </c>
      <c r="AH2068" s="3">
        <f>IF(AND($N2068=1,AND(对接源_02物料!$D868="周转筐－销售出库",N(对接源_02物料!$K868)&lt;&gt;0)),1,0)</f>
        <v>0</v>
      </c>
      <c r="AI2068" s="3">
        <f t="shared" si="565"/>
        <v>0</v>
      </c>
      <c r="AL2068" s="3">
        <v>0</v>
      </c>
      <c r="AM2068" s="3">
        <f t="shared" si="566"/>
        <v>1</v>
      </c>
      <c r="AN2068" s="3" t="str">
        <f t="shared" si="553"/>
        <v/>
      </c>
      <c r="AO2068" s="3">
        <v>0</v>
      </c>
      <c r="AP2068" s="3">
        <f t="shared" si="567"/>
        <v>8</v>
      </c>
      <c r="AR2068">
        <f t="shared" si="568"/>
        <v>0</v>
      </c>
      <c r="AS2068">
        <f t="shared" si="569"/>
        <v>5</v>
      </c>
    </row>
    <row r="2069" customHeight="1" spans="1:45">
      <c r="A2069" s="3" t="str">
        <f>IF(对接源_02物料!$C869="","",对接源_02物料!$C869)</f>
        <v/>
      </c>
      <c r="B2069" s="3">
        <f t="shared" si="554"/>
        <v>0</v>
      </c>
      <c r="C2069" s="3">
        <f t="shared" si="555"/>
        <v>21</v>
      </c>
      <c r="K2069" s="3">
        <f>IF(OR($K$1="",对接源_02物料!$C869="",对接源_02物料!$C869&lt;&gt;$K$1,对接源_02物料!$B869=""),0,IF(OR(N(对接源_02物料!$B869)&lt;$K$2,N(对接源_02物料!$B869)&gt;$K$3),0,1))</f>
        <v>0</v>
      </c>
      <c r="L2069" s="3">
        <f>IF(OR($L$1="",对接源_02物料!$C869="",对接源_02物料!$C869&lt;&gt;$L$1,对接源_02物料!$B869=""),0,IF(OR(N(对接源_02物料!$B869)&lt;$L$2,N(对接源_02物料!$B869)&gt;$L$3),0,1))</f>
        <v>0</v>
      </c>
      <c r="M2069" s="3">
        <f>IF(OR($M$1="",对接源_02物料!$C869="",对接源_02物料!$C869&lt;&gt;$M$1,对接源_02物料!$B869=""),0,IF(OR(N(对接源_02物料!$B869)&lt;$M$2,N(对接源_02物料!$B869)&gt;$M$3),0,1))</f>
        <v>0</v>
      </c>
      <c r="N2069" s="3">
        <f>IF(OR($N$1="",对接源_02物料!$C869="",对接源_02物料!$C869&lt;&gt;$N$1,对接源_02物料!$B869=""),0,IF(OR(N(对接源_02物料!$B869)&lt;$N$2,N(对接源_02物料!$B869)&gt;$N$3),0,1))</f>
        <v>0</v>
      </c>
      <c r="P2069" s="3">
        <f>IF(AND($K2069=1,AND(对接源_02物料!$X869="公司筐",N(对接源_02物料!$T869)&lt;&gt;0)),1,0)</f>
        <v>0</v>
      </c>
      <c r="Q2069" s="3">
        <f t="shared" si="556"/>
        <v>8</v>
      </c>
      <c r="R2069" s="3">
        <f>IF(AND($K2069=1,AND(对接源_02物料!$X869="公司筐",N(对接源_02物料!$U869)&lt;&gt;0)),1,0)</f>
        <v>0</v>
      </c>
      <c r="S2069" s="3">
        <f t="shared" si="557"/>
        <v>0</v>
      </c>
      <c r="T2069" s="3">
        <f>IF(AND($K2069=1,AND(对接源_02物料!$X869="公司筐",N(对接源_02物料!$V869)&lt;&gt;0)),1,0)</f>
        <v>0</v>
      </c>
      <c r="U2069" s="3">
        <f t="shared" si="558"/>
        <v>19</v>
      </c>
      <c r="V2069" s="3">
        <f>IF(AND($L2069=1,AND(对接源_02物料!$X869="自备筐",N(对接源_02物料!$V869)&lt;&gt;0)),1,0)</f>
        <v>0</v>
      </c>
      <c r="W2069" s="3">
        <f t="shared" si="559"/>
        <v>8</v>
      </c>
      <c r="X2069" s="3">
        <f>IF(AND($L2069=1,AND(对接源_02物料!$X869="自备筐",N(对接源_02物料!$T869)&lt;&gt;0)),1,0)</f>
        <v>0</v>
      </c>
      <c r="Y2069" s="3">
        <f t="shared" si="560"/>
        <v>0</v>
      </c>
      <c r="Z2069" s="3">
        <f>IF(AND($M2069=1,对接源_02物料!$D869="原料入库"),1,0)</f>
        <v>0</v>
      </c>
      <c r="AA2069" s="3">
        <f t="shared" si="561"/>
        <v>24</v>
      </c>
      <c r="AB2069" s="3">
        <f>IF(AND($M2069=1,LEFT(对接源_02物料!$D869,4)="原料出库"),1,0)</f>
        <v>0</v>
      </c>
      <c r="AC2069" s="3">
        <f t="shared" si="562"/>
        <v>0</v>
      </c>
      <c r="AD2069" s="3">
        <f>IF(AND($M2069=1,LEFT(对接源_02物料!$D869,4)="成品出库"),1,0)</f>
        <v>0</v>
      </c>
      <c r="AE2069" s="3">
        <f t="shared" si="563"/>
        <v>0</v>
      </c>
      <c r="AF2069" s="3">
        <f>IF(AND($N2069=1,AND(LEFT(对接源_02物料!$D869,4)="包装物料",N(对接源_02物料!$K869)&lt;&gt;0)),1,0)</f>
        <v>0</v>
      </c>
      <c r="AG2069" s="3">
        <f t="shared" si="564"/>
        <v>5</v>
      </c>
      <c r="AH2069" s="3">
        <f>IF(AND($N2069=1,AND(对接源_02物料!$D869="周转筐－销售出库",N(对接源_02物料!$K869)&lt;&gt;0)),1,0)</f>
        <v>0</v>
      </c>
      <c r="AI2069" s="3">
        <f t="shared" si="565"/>
        <v>0</v>
      </c>
      <c r="AL2069" s="3">
        <v>0</v>
      </c>
      <c r="AM2069" s="3">
        <f t="shared" si="566"/>
        <v>1</v>
      </c>
      <c r="AN2069" s="3" t="str">
        <f t="shared" si="553"/>
        <v/>
      </c>
      <c r="AO2069" s="3">
        <v>0</v>
      </c>
      <c r="AP2069" s="3">
        <f t="shared" si="567"/>
        <v>8</v>
      </c>
      <c r="AR2069">
        <f t="shared" si="568"/>
        <v>0</v>
      </c>
      <c r="AS2069">
        <f t="shared" si="569"/>
        <v>5</v>
      </c>
    </row>
    <row r="2070" customHeight="1" spans="1:45">
      <c r="A2070" s="3" t="str">
        <f>IF(对接源_02物料!$C870="","",对接源_02物料!$C870)</f>
        <v/>
      </c>
      <c r="B2070" s="3">
        <f t="shared" si="554"/>
        <v>0</v>
      </c>
      <c r="C2070" s="3">
        <f t="shared" si="555"/>
        <v>21</v>
      </c>
      <c r="K2070" s="3">
        <f>IF(OR($K$1="",对接源_02物料!$C870="",对接源_02物料!$C870&lt;&gt;$K$1,对接源_02物料!$B870=""),0,IF(OR(N(对接源_02物料!$B870)&lt;$K$2,N(对接源_02物料!$B870)&gt;$K$3),0,1))</f>
        <v>0</v>
      </c>
      <c r="L2070" s="3">
        <f>IF(OR($L$1="",对接源_02物料!$C870="",对接源_02物料!$C870&lt;&gt;$L$1,对接源_02物料!$B870=""),0,IF(OR(N(对接源_02物料!$B870)&lt;$L$2,N(对接源_02物料!$B870)&gt;$L$3),0,1))</f>
        <v>0</v>
      </c>
      <c r="M2070" s="3">
        <f>IF(OR($M$1="",对接源_02物料!$C870="",对接源_02物料!$C870&lt;&gt;$M$1,对接源_02物料!$B870=""),0,IF(OR(N(对接源_02物料!$B870)&lt;$M$2,N(对接源_02物料!$B870)&gt;$M$3),0,1))</f>
        <v>0</v>
      </c>
      <c r="N2070" s="3">
        <f>IF(OR($N$1="",对接源_02物料!$C870="",对接源_02物料!$C870&lt;&gt;$N$1,对接源_02物料!$B870=""),0,IF(OR(N(对接源_02物料!$B870)&lt;$N$2,N(对接源_02物料!$B870)&gt;$N$3),0,1))</f>
        <v>0</v>
      </c>
      <c r="P2070" s="3">
        <f>IF(AND($K2070=1,AND(对接源_02物料!$X870="公司筐",N(对接源_02物料!$T870)&lt;&gt;0)),1,0)</f>
        <v>0</v>
      </c>
      <c r="Q2070" s="3">
        <f t="shared" si="556"/>
        <v>8</v>
      </c>
      <c r="R2070" s="3">
        <f>IF(AND($K2070=1,AND(对接源_02物料!$X870="公司筐",N(对接源_02物料!$U870)&lt;&gt;0)),1,0)</f>
        <v>0</v>
      </c>
      <c r="S2070" s="3">
        <f t="shared" si="557"/>
        <v>0</v>
      </c>
      <c r="T2070" s="3">
        <f>IF(AND($K2070=1,AND(对接源_02物料!$X870="公司筐",N(对接源_02物料!$V870)&lt;&gt;0)),1,0)</f>
        <v>0</v>
      </c>
      <c r="U2070" s="3">
        <f t="shared" si="558"/>
        <v>19</v>
      </c>
      <c r="V2070" s="3">
        <f>IF(AND($L2070=1,AND(对接源_02物料!$X870="自备筐",N(对接源_02物料!$V870)&lt;&gt;0)),1,0)</f>
        <v>0</v>
      </c>
      <c r="W2070" s="3">
        <f t="shared" si="559"/>
        <v>8</v>
      </c>
      <c r="X2070" s="3">
        <f>IF(AND($L2070=1,AND(对接源_02物料!$X870="自备筐",N(对接源_02物料!$T870)&lt;&gt;0)),1,0)</f>
        <v>0</v>
      </c>
      <c r="Y2070" s="3">
        <f t="shared" si="560"/>
        <v>0</v>
      </c>
      <c r="Z2070" s="3">
        <f>IF(AND($M2070=1,对接源_02物料!$D870="原料入库"),1,0)</f>
        <v>0</v>
      </c>
      <c r="AA2070" s="3">
        <f t="shared" si="561"/>
        <v>24</v>
      </c>
      <c r="AB2070" s="3">
        <f>IF(AND($M2070=1,LEFT(对接源_02物料!$D870,4)="原料出库"),1,0)</f>
        <v>0</v>
      </c>
      <c r="AC2070" s="3">
        <f t="shared" si="562"/>
        <v>0</v>
      </c>
      <c r="AD2070" s="3">
        <f>IF(AND($M2070=1,LEFT(对接源_02物料!$D870,4)="成品出库"),1,0)</f>
        <v>0</v>
      </c>
      <c r="AE2070" s="3">
        <f t="shared" si="563"/>
        <v>0</v>
      </c>
      <c r="AF2070" s="3">
        <f>IF(AND($N2070=1,AND(LEFT(对接源_02物料!$D870,4)="包装物料",N(对接源_02物料!$K870)&lt;&gt;0)),1,0)</f>
        <v>0</v>
      </c>
      <c r="AG2070" s="3">
        <f t="shared" si="564"/>
        <v>5</v>
      </c>
      <c r="AH2070" s="3">
        <f>IF(AND($N2070=1,AND(对接源_02物料!$D870="周转筐－销售出库",N(对接源_02物料!$K870)&lt;&gt;0)),1,0)</f>
        <v>0</v>
      </c>
      <c r="AI2070" s="3">
        <f t="shared" si="565"/>
        <v>0</v>
      </c>
      <c r="AL2070" s="3">
        <v>0</v>
      </c>
      <c r="AM2070" s="3">
        <f t="shared" si="566"/>
        <v>1</v>
      </c>
      <c r="AN2070" s="3" t="str">
        <f t="shared" si="553"/>
        <v/>
      </c>
      <c r="AO2070" s="3">
        <v>0</v>
      </c>
      <c r="AP2070" s="3">
        <f t="shared" si="567"/>
        <v>8</v>
      </c>
      <c r="AR2070">
        <f t="shared" si="568"/>
        <v>0</v>
      </c>
      <c r="AS2070">
        <f t="shared" si="569"/>
        <v>5</v>
      </c>
    </row>
    <row r="2071" customHeight="1" spans="1:45">
      <c r="A2071" s="3" t="str">
        <f>IF(对接源_02物料!$C871="","",对接源_02物料!$C871)</f>
        <v/>
      </c>
      <c r="B2071" s="3">
        <f t="shared" si="554"/>
        <v>0</v>
      </c>
      <c r="C2071" s="3">
        <f t="shared" si="555"/>
        <v>21</v>
      </c>
      <c r="K2071" s="3">
        <f>IF(OR($K$1="",对接源_02物料!$C871="",对接源_02物料!$C871&lt;&gt;$K$1,对接源_02物料!$B871=""),0,IF(OR(N(对接源_02物料!$B871)&lt;$K$2,N(对接源_02物料!$B871)&gt;$K$3),0,1))</f>
        <v>0</v>
      </c>
      <c r="L2071" s="3">
        <f>IF(OR($L$1="",对接源_02物料!$C871="",对接源_02物料!$C871&lt;&gt;$L$1,对接源_02物料!$B871=""),0,IF(OR(N(对接源_02物料!$B871)&lt;$L$2,N(对接源_02物料!$B871)&gt;$L$3),0,1))</f>
        <v>0</v>
      </c>
      <c r="M2071" s="3">
        <f>IF(OR($M$1="",对接源_02物料!$C871="",对接源_02物料!$C871&lt;&gt;$M$1,对接源_02物料!$B871=""),0,IF(OR(N(对接源_02物料!$B871)&lt;$M$2,N(对接源_02物料!$B871)&gt;$M$3),0,1))</f>
        <v>0</v>
      </c>
      <c r="N2071" s="3">
        <f>IF(OR($N$1="",对接源_02物料!$C871="",对接源_02物料!$C871&lt;&gt;$N$1,对接源_02物料!$B871=""),0,IF(OR(N(对接源_02物料!$B871)&lt;$N$2,N(对接源_02物料!$B871)&gt;$N$3),0,1))</f>
        <v>0</v>
      </c>
      <c r="P2071" s="3">
        <f>IF(AND($K2071=1,AND(对接源_02物料!$X871="公司筐",N(对接源_02物料!$T871)&lt;&gt;0)),1,0)</f>
        <v>0</v>
      </c>
      <c r="Q2071" s="3">
        <f t="shared" si="556"/>
        <v>8</v>
      </c>
      <c r="R2071" s="3">
        <f>IF(AND($K2071=1,AND(对接源_02物料!$X871="公司筐",N(对接源_02物料!$U871)&lt;&gt;0)),1,0)</f>
        <v>0</v>
      </c>
      <c r="S2071" s="3">
        <f t="shared" si="557"/>
        <v>0</v>
      </c>
      <c r="T2071" s="3">
        <f>IF(AND($K2071=1,AND(对接源_02物料!$X871="公司筐",N(对接源_02物料!$V871)&lt;&gt;0)),1,0)</f>
        <v>0</v>
      </c>
      <c r="U2071" s="3">
        <f t="shared" si="558"/>
        <v>19</v>
      </c>
      <c r="V2071" s="3">
        <f>IF(AND($L2071=1,AND(对接源_02物料!$X871="自备筐",N(对接源_02物料!$V871)&lt;&gt;0)),1,0)</f>
        <v>0</v>
      </c>
      <c r="W2071" s="3">
        <f t="shared" si="559"/>
        <v>8</v>
      </c>
      <c r="X2071" s="3">
        <f>IF(AND($L2071=1,AND(对接源_02物料!$X871="自备筐",N(对接源_02物料!$T871)&lt;&gt;0)),1,0)</f>
        <v>0</v>
      </c>
      <c r="Y2071" s="3">
        <f t="shared" si="560"/>
        <v>0</v>
      </c>
      <c r="Z2071" s="3">
        <f>IF(AND($M2071=1,对接源_02物料!$D871="原料入库"),1,0)</f>
        <v>0</v>
      </c>
      <c r="AA2071" s="3">
        <f t="shared" si="561"/>
        <v>24</v>
      </c>
      <c r="AB2071" s="3">
        <f>IF(AND($M2071=1,LEFT(对接源_02物料!$D871,4)="原料出库"),1,0)</f>
        <v>0</v>
      </c>
      <c r="AC2071" s="3">
        <f t="shared" si="562"/>
        <v>0</v>
      </c>
      <c r="AD2071" s="3">
        <f>IF(AND($M2071=1,LEFT(对接源_02物料!$D871,4)="成品出库"),1,0)</f>
        <v>0</v>
      </c>
      <c r="AE2071" s="3">
        <f t="shared" si="563"/>
        <v>0</v>
      </c>
      <c r="AF2071" s="3">
        <f>IF(AND($N2071=1,AND(LEFT(对接源_02物料!$D871,4)="包装物料",N(对接源_02物料!$K871)&lt;&gt;0)),1,0)</f>
        <v>0</v>
      </c>
      <c r="AG2071" s="3">
        <f t="shared" si="564"/>
        <v>5</v>
      </c>
      <c r="AH2071" s="3">
        <f>IF(AND($N2071=1,AND(对接源_02物料!$D871="周转筐－销售出库",N(对接源_02物料!$K871)&lt;&gt;0)),1,0)</f>
        <v>0</v>
      </c>
      <c r="AI2071" s="3">
        <f t="shared" si="565"/>
        <v>0</v>
      </c>
      <c r="AL2071" s="3">
        <v>0</v>
      </c>
      <c r="AM2071" s="3">
        <f t="shared" si="566"/>
        <v>1</v>
      </c>
      <c r="AN2071" s="3" t="str">
        <f t="shared" si="553"/>
        <v/>
      </c>
      <c r="AO2071" s="3">
        <v>0</v>
      </c>
      <c r="AP2071" s="3">
        <f t="shared" si="567"/>
        <v>8</v>
      </c>
      <c r="AR2071">
        <f t="shared" si="568"/>
        <v>0</v>
      </c>
      <c r="AS2071">
        <f t="shared" si="569"/>
        <v>5</v>
      </c>
    </row>
    <row r="2072" customHeight="1" spans="1:45">
      <c r="A2072" s="3" t="str">
        <f>IF(对接源_02物料!$C872="","",对接源_02物料!$C872)</f>
        <v/>
      </c>
      <c r="B2072" s="3">
        <f t="shared" si="554"/>
        <v>0</v>
      </c>
      <c r="C2072" s="3">
        <f t="shared" si="555"/>
        <v>21</v>
      </c>
      <c r="K2072" s="3">
        <f>IF(OR($K$1="",对接源_02物料!$C872="",对接源_02物料!$C872&lt;&gt;$K$1,对接源_02物料!$B872=""),0,IF(OR(N(对接源_02物料!$B872)&lt;$K$2,N(对接源_02物料!$B872)&gt;$K$3),0,1))</f>
        <v>0</v>
      </c>
      <c r="L2072" s="3">
        <f>IF(OR($L$1="",对接源_02物料!$C872="",对接源_02物料!$C872&lt;&gt;$L$1,对接源_02物料!$B872=""),0,IF(OR(N(对接源_02物料!$B872)&lt;$L$2,N(对接源_02物料!$B872)&gt;$L$3),0,1))</f>
        <v>0</v>
      </c>
      <c r="M2072" s="3">
        <f>IF(OR($M$1="",对接源_02物料!$C872="",对接源_02物料!$C872&lt;&gt;$M$1,对接源_02物料!$B872=""),0,IF(OR(N(对接源_02物料!$B872)&lt;$M$2,N(对接源_02物料!$B872)&gt;$M$3),0,1))</f>
        <v>0</v>
      </c>
      <c r="N2072" s="3">
        <f>IF(OR($N$1="",对接源_02物料!$C872="",对接源_02物料!$C872&lt;&gt;$N$1,对接源_02物料!$B872=""),0,IF(OR(N(对接源_02物料!$B872)&lt;$N$2,N(对接源_02物料!$B872)&gt;$N$3),0,1))</f>
        <v>0</v>
      </c>
      <c r="P2072" s="3">
        <f>IF(AND($K2072=1,AND(对接源_02物料!$X872="公司筐",N(对接源_02物料!$T872)&lt;&gt;0)),1,0)</f>
        <v>0</v>
      </c>
      <c r="Q2072" s="3">
        <f t="shared" si="556"/>
        <v>8</v>
      </c>
      <c r="R2072" s="3">
        <f>IF(AND($K2072=1,AND(对接源_02物料!$X872="公司筐",N(对接源_02物料!$U872)&lt;&gt;0)),1,0)</f>
        <v>0</v>
      </c>
      <c r="S2072" s="3">
        <f t="shared" si="557"/>
        <v>0</v>
      </c>
      <c r="T2072" s="3">
        <f>IF(AND($K2072=1,AND(对接源_02物料!$X872="公司筐",N(对接源_02物料!$V872)&lt;&gt;0)),1,0)</f>
        <v>0</v>
      </c>
      <c r="U2072" s="3">
        <f t="shared" si="558"/>
        <v>19</v>
      </c>
      <c r="V2072" s="3">
        <f>IF(AND($L2072=1,AND(对接源_02物料!$X872="自备筐",N(对接源_02物料!$V872)&lt;&gt;0)),1,0)</f>
        <v>0</v>
      </c>
      <c r="W2072" s="3">
        <f t="shared" si="559"/>
        <v>8</v>
      </c>
      <c r="X2072" s="3">
        <f>IF(AND($L2072=1,AND(对接源_02物料!$X872="自备筐",N(对接源_02物料!$T872)&lt;&gt;0)),1,0)</f>
        <v>0</v>
      </c>
      <c r="Y2072" s="3">
        <f t="shared" si="560"/>
        <v>0</v>
      </c>
      <c r="Z2072" s="3">
        <f>IF(AND($M2072=1,对接源_02物料!$D872="原料入库"),1,0)</f>
        <v>0</v>
      </c>
      <c r="AA2072" s="3">
        <f t="shared" si="561"/>
        <v>24</v>
      </c>
      <c r="AB2072" s="3">
        <f>IF(AND($M2072=1,LEFT(对接源_02物料!$D872,4)="原料出库"),1,0)</f>
        <v>0</v>
      </c>
      <c r="AC2072" s="3">
        <f t="shared" si="562"/>
        <v>0</v>
      </c>
      <c r="AD2072" s="3">
        <f>IF(AND($M2072=1,LEFT(对接源_02物料!$D872,4)="成品出库"),1,0)</f>
        <v>0</v>
      </c>
      <c r="AE2072" s="3">
        <f t="shared" si="563"/>
        <v>0</v>
      </c>
      <c r="AF2072" s="3">
        <f>IF(AND($N2072=1,AND(LEFT(对接源_02物料!$D872,4)="包装物料",N(对接源_02物料!$K872)&lt;&gt;0)),1,0)</f>
        <v>0</v>
      </c>
      <c r="AG2072" s="3">
        <f t="shared" si="564"/>
        <v>5</v>
      </c>
      <c r="AH2072" s="3">
        <f>IF(AND($N2072=1,AND(对接源_02物料!$D872="周转筐－销售出库",N(对接源_02物料!$K872)&lt;&gt;0)),1,0)</f>
        <v>0</v>
      </c>
      <c r="AI2072" s="3">
        <f t="shared" si="565"/>
        <v>0</v>
      </c>
      <c r="AL2072" s="3">
        <v>0</v>
      </c>
      <c r="AM2072" s="3">
        <f t="shared" si="566"/>
        <v>1</v>
      </c>
      <c r="AN2072" s="3" t="str">
        <f t="shared" si="553"/>
        <v/>
      </c>
      <c r="AO2072" s="3">
        <v>0</v>
      </c>
      <c r="AP2072" s="3">
        <f t="shared" si="567"/>
        <v>8</v>
      </c>
      <c r="AR2072">
        <f t="shared" si="568"/>
        <v>0</v>
      </c>
      <c r="AS2072">
        <f t="shared" si="569"/>
        <v>5</v>
      </c>
    </row>
    <row r="2073" customHeight="1" spans="1:45">
      <c r="A2073" s="3" t="str">
        <f>IF(对接源_02物料!$C873="","",对接源_02物料!$C873)</f>
        <v/>
      </c>
      <c r="B2073" s="3">
        <f t="shared" si="554"/>
        <v>0</v>
      </c>
      <c r="C2073" s="3">
        <f t="shared" si="555"/>
        <v>21</v>
      </c>
      <c r="K2073" s="3">
        <f>IF(OR($K$1="",对接源_02物料!$C873="",对接源_02物料!$C873&lt;&gt;$K$1,对接源_02物料!$B873=""),0,IF(OR(N(对接源_02物料!$B873)&lt;$K$2,N(对接源_02物料!$B873)&gt;$K$3),0,1))</f>
        <v>0</v>
      </c>
      <c r="L2073" s="3">
        <f>IF(OR($L$1="",对接源_02物料!$C873="",对接源_02物料!$C873&lt;&gt;$L$1,对接源_02物料!$B873=""),0,IF(OR(N(对接源_02物料!$B873)&lt;$L$2,N(对接源_02物料!$B873)&gt;$L$3),0,1))</f>
        <v>0</v>
      </c>
      <c r="M2073" s="3">
        <f>IF(OR($M$1="",对接源_02物料!$C873="",对接源_02物料!$C873&lt;&gt;$M$1,对接源_02物料!$B873=""),0,IF(OR(N(对接源_02物料!$B873)&lt;$M$2,N(对接源_02物料!$B873)&gt;$M$3),0,1))</f>
        <v>0</v>
      </c>
      <c r="N2073" s="3">
        <f>IF(OR($N$1="",对接源_02物料!$C873="",对接源_02物料!$C873&lt;&gt;$N$1,对接源_02物料!$B873=""),0,IF(OR(N(对接源_02物料!$B873)&lt;$N$2,N(对接源_02物料!$B873)&gt;$N$3),0,1))</f>
        <v>0</v>
      </c>
      <c r="P2073" s="3">
        <f>IF(AND($K2073=1,AND(对接源_02物料!$X873="公司筐",N(对接源_02物料!$T873)&lt;&gt;0)),1,0)</f>
        <v>0</v>
      </c>
      <c r="Q2073" s="3">
        <f t="shared" si="556"/>
        <v>8</v>
      </c>
      <c r="R2073" s="3">
        <f>IF(AND($K2073=1,AND(对接源_02物料!$X873="公司筐",N(对接源_02物料!$U873)&lt;&gt;0)),1,0)</f>
        <v>0</v>
      </c>
      <c r="S2073" s="3">
        <f t="shared" si="557"/>
        <v>0</v>
      </c>
      <c r="T2073" s="3">
        <f>IF(AND($K2073=1,AND(对接源_02物料!$X873="公司筐",N(对接源_02物料!$V873)&lt;&gt;0)),1,0)</f>
        <v>0</v>
      </c>
      <c r="U2073" s="3">
        <f t="shared" si="558"/>
        <v>19</v>
      </c>
      <c r="V2073" s="3">
        <f>IF(AND($L2073=1,AND(对接源_02物料!$X873="自备筐",N(对接源_02物料!$V873)&lt;&gt;0)),1,0)</f>
        <v>0</v>
      </c>
      <c r="W2073" s="3">
        <f t="shared" si="559"/>
        <v>8</v>
      </c>
      <c r="X2073" s="3">
        <f>IF(AND($L2073=1,AND(对接源_02物料!$X873="自备筐",N(对接源_02物料!$T873)&lt;&gt;0)),1,0)</f>
        <v>0</v>
      </c>
      <c r="Y2073" s="3">
        <f t="shared" si="560"/>
        <v>0</v>
      </c>
      <c r="Z2073" s="3">
        <f>IF(AND($M2073=1,对接源_02物料!$D873="原料入库"),1,0)</f>
        <v>0</v>
      </c>
      <c r="AA2073" s="3">
        <f t="shared" si="561"/>
        <v>24</v>
      </c>
      <c r="AB2073" s="3">
        <f>IF(AND($M2073=1,LEFT(对接源_02物料!$D873,4)="原料出库"),1,0)</f>
        <v>0</v>
      </c>
      <c r="AC2073" s="3">
        <f t="shared" si="562"/>
        <v>0</v>
      </c>
      <c r="AD2073" s="3">
        <f>IF(AND($M2073=1,LEFT(对接源_02物料!$D873,4)="成品出库"),1,0)</f>
        <v>0</v>
      </c>
      <c r="AE2073" s="3">
        <f t="shared" si="563"/>
        <v>0</v>
      </c>
      <c r="AF2073" s="3">
        <f>IF(AND($N2073=1,AND(LEFT(对接源_02物料!$D873,4)="包装物料",N(对接源_02物料!$K873)&lt;&gt;0)),1,0)</f>
        <v>0</v>
      </c>
      <c r="AG2073" s="3">
        <f t="shared" si="564"/>
        <v>5</v>
      </c>
      <c r="AH2073" s="3">
        <f>IF(AND($N2073=1,AND(对接源_02物料!$D873="周转筐－销售出库",N(对接源_02物料!$K873)&lt;&gt;0)),1,0)</f>
        <v>0</v>
      </c>
      <c r="AI2073" s="3">
        <f t="shared" si="565"/>
        <v>0</v>
      </c>
      <c r="AL2073" s="3">
        <v>0</v>
      </c>
      <c r="AM2073" s="3">
        <f t="shared" si="566"/>
        <v>1</v>
      </c>
      <c r="AN2073" s="3" t="str">
        <f t="shared" si="553"/>
        <v/>
      </c>
      <c r="AO2073" s="3">
        <v>0</v>
      </c>
      <c r="AP2073" s="3">
        <f t="shared" si="567"/>
        <v>8</v>
      </c>
      <c r="AR2073">
        <f t="shared" si="568"/>
        <v>0</v>
      </c>
      <c r="AS2073">
        <f t="shared" si="569"/>
        <v>5</v>
      </c>
    </row>
    <row r="2074" customHeight="1" spans="1:45">
      <c r="A2074" s="3" t="str">
        <f>IF(对接源_02物料!$C874="","",对接源_02物料!$C874)</f>
        <v/>
      </c>
      <c r="B2074" s="3">
        <f t="shared" si="554"/>
        <v>0</v>
      </c>
      <c r="C2074" s="3">
        <f t="shared" si="555"/>
        <v>21</v>
      </c>
      <c r="K2074" s="3">
        <f>IF(OR($K$1="",对接源_02物料!$C874="",对接源_02物料!$C874&lt;&gt;$K$1,对接源_02物料!$B874=""),0,IF(OR(N(对接源_02物料!$B874)&lt;$K$2,N(对接源_02物料!$B874)&gt;$K$3),0,1))</f>
        <v>0</v>
      </c>
      <c r="L2074" s="3">
        <f>IF(OR($L$1="",对接源_02物料!$C874="",对接源_02物料!$C874&lt;&gt;$L$1,对接源_02物料!$B874=""),0,IF(OR(N(对接源_02物料!$B874)&lt;$L$2,N(对接源_02物料!$B874)&gt;$L$3),0,1))</f>
        <v>0</v>
      </c>
      <c r="M2074" s="3">
        <f>IF(OR($M$1="",对接源_02物料!$C874="",对接源_02物料!$C874&lt;&gt;$M$1,对接源_02物料!$B874=""),0,IF(OR(N(对接源_02物料!$B874)&lt;$M$2,N(对接源_02物料!$B874)&gt;$M$3),0,1))</f>
        <v>0</v>
      </c>
      <c r="N2074" s="3">
        <f>IF(OR($N$1="",对接源_02物料!$C874="",对接源_02物料!$C874&lt;&gt;$N$1,对接源_02物料!$B874=""),0,IF(OR(N(对接源_02物料!$B874)&lt;$N$2,N(对接源_02物料!$B874)&gt;$N$3),0,1))</f>
        <v>0</v>
      </c>
      <c r="P2074" s="3">
        <f>IF(AND($K2074=1,AND(对接源_02物料!$X874="公司筐",N(对接源_02物料!$T874)&lt;&gt;0)),1,0)</f>
        <v>0</v>
      </c>
      <c r="Q2074" s="3">
        <f t="shared" si="556"/>
        <v>8</v>
      </c>
      <c r="R2074" s="3">
        <f>IF(AND($K2074=1,AND(对接源_02物料!$X874="公司筐",N(对接源_02物料!$U874)&lt;&gt;0)),1,0)</f>
        <v>0</v>
      </c>
      <c r="S2074" s="3">
        <f t="shared" si="557"/>
        <v>0</v>
      </c>
      <c r="T2074" s="3">
        <f>IF(AND($K2074=1,AND(对接源_02物料!$X874="公司筐",N(对接源_02物料!$V874)&lt;&gt;0)),1,0)</f>
        <v>0</v>
      </c>
      <c r="U2074" s="3">
        <f t="shared" si="558"/>
        <v>19</v>
      </c>
      <c r="V2074" s="3">
        <f>IF(AND($L2074=1,AND(对接源_02物料!$X874="自备筐",N(对接源_02物料!$V874)&lt;&gt;0)),1,0)</f>
        <v>0</v>
      </c>
      <c r="W2074" s="3">
        <f t="shared" si="559"/>
        <v>8</v>
      </c>
      <c r="X2074" s="3">
        <f>IF(AND($L2074=1,AND(对接源_02物料!$X874="自备筐",N(对接源_02物料!$T874)&lt;&gt;0)),1,0)</f>
        <v>0</v>
      </c>
      <c r="Y2074" s="3">
        <f t="shared" si="560"/>
        <v>0</v>
      </c>
      <c r="Z2074" s="3">
        <f>IF(AND($M2074=1,对接源_02物料!$D874="原料入库"),1,0)</f>
        <v>0</v>
      </c>
      <c r="AA2074" s="3">
        <f t="shared" si="561"/>
        <v>24</v>
      </c>
      <c r="AB2074" s="3">
        <f>IF(AND($M2074=1,LEFT(对接源_02物料!$D874,4)="原料出库"),1,0)</f>
        <v>0</v>
      </c>
      <c r="AC2074" s="3">
        <f t="shared" si="562"/>
        <v>0</v>
      </c>
      <c r="AD2074" s="3">
        <f>IF(AND($M2074=1,LEFT(对接源_02物料!$D874,4)="成品出库"),1,0)</f>
        <v>0</v>
      </c>
      <c r="AE2074" s="3">
        <f t="shared" si="563"/>
        <v>0</v>
      </c>
      <c r="AF2074" s="3">
        <f>IF(AND($N2074=1,AND(LEFT(对接源_02物料!$D874,4)="包装物料",N(对接源_02物料!$K874)&lt;&gt;0)),1,0)</f>
        <v>0</v>
      </c>
      <c r="AG2074" s="3">
        <f t="shared" si="564"/>
        <v>5</v>
      </c>
      <c r="AH2074" s="3">
        <f>IF(AND($N2074=1,AND(对接源_02物料!$D874="周转筐－销售出库",N(对接源_02物料!$K874)&lt;&gt;0)),1,0)</f>
        <v>0</v>
      </c>
      <c r="AI2074" s="3">
        <f t="shared" si="565"/>
        <v>0</v>
      </c>
      <c r="AL2074" s="3">
        <v>0</v>
      </c>
      <c r="AM2074" s="3">
        <f t="shared" si="566"/>
        <v>1</v>
      </c>
      <c r="AN2074" s="3" t="str">
        <f t="shared" si="553"/>
        <v/>
      </c>
      <c r="AO2074" s="3">
        <v>0</v>
      </c>
      <c r="AP2074" s="3">
        <f t="shared" si="567"/>
        <v>8</v>
      </c>
      <c r="AR2074">
        <f t="shared" si="568"/>
        <v>0</v>
      </c>
      <c r="AS2074">
        <f t="shared" si="569"/>
        <v>5</v>
      </c>
    </row>
    <row r="2075" customHeight="1" spans="1:45">
      <c r="A2075" s="3" t="str">
        <f>IF(对接源_02物料!$C875="","",对接源_02物料!$C875)</f>
        <v/>
      </c>
      <c r="B2075" s="3">
        <f t="shared" si="554"/>
        <v>0</v>
      </c>
      <c r="C2075" s="3">
        <f t="shared" si="555"/>
        <v>21</v>
      </c>
      <c r="K2075" s="3">
        <f>IF(OR($K$1="",对接源_02物料!$C875="",对接源_02物料!$C875&lt;&gt;$K$1,对接源_02物料!$B875=""),0,IF(OR(N(对接源_02物料!$B875)&lt;$K$2,N(对接源_02物料!$B875)&gt;$K$3),0,1))</f>
        <v>0</v>
      </c>
      <c r="L2075" s="3">
        <f>IF(OR($L$1="",对接源_02物料!$C875="",对接源_02物料!$C875&lt;&gt;$L$1,对接源_02物料!$B875=""),0,IF(OR(N(对接源_02物料!$B875)&lt;$L$2,N(对接源_02物料!$B875)&gt;$L$3),0,1))</f>
        <v>0</v>
      </c>
      <c r="M2075" s="3">
        <f>IF(OR($M$1="",对接源_02物料!$C875="",对接源_02物料!$C875&lt;&gt;$M$1,对接源_02物料!$B875=""),0,IF(OR(N(对接源_02物料!$B875)&lt;$M$2,N(对接源_02物料!$B875)&gt;$M$3),0,1))</f>
        <v>0</v>
      </c>
      <c r="N2075" s="3">
        <f>IF(OR($N$1="",对接源_02物料!$C875="",对接源_02物料!$C875&lt;&gt;$N$1,对接源_02物料!$B875=""),0,IF(OR(N(对接源_02物料!$B875)&lt;$N$2,N(对接源_02物料!$B875)&gt;$N$3),0,1))</f>
        <v>0</v>
      </c>
      <c r="P2075" s="3">
        <f>IF(AND($K2075=1,AND(对接源_02物料!$X875="公司筐",N(对接源_02物料!$T875)&lt;&gt;0)),1,0)</f>
        <v>0</v>
      </c>
      <c r="Q2075" s="3">
        <f t="shared" si="556"/>
        <v>8</v>
      </c>
      <c r="R2075" s="3">
        <f>IF(AND($K2075=1,AND(对接源_02物料!$X875="公司筐",N(对接源_02物料!$U875)&lt;&gt;0)),1,0)</f>
        <v>0</v>
      </c>
      <c r="S2075" s="3">
        <f t="shared" si="557"/>
        <v>0</v>
      </c>
      <c r="T2075" s="3">
        <f>IF(AND($K2075=1,AND(对接源_02物料!$X875="公司筐",N(对接源_02物料!$V875)&lt;&gt;0)),1,0)</f>
        <v>0</v>
      </c>
      <c r="U2075" s="3">
        <f t="shared" si="558"/>
        <v>19</v>
      </c>
      <c r="V2075" s="3">
        <f>IF(AND($L2075=1,AND(对接源_02物料!$X875="自备筐",N(对接源_02物料!$V875)&lt;&gt;0)),1,0)</f>
        <v>0</v>
      </c>
      <c r="W2075" s="3">
        <f t="shared" si="559"/>
        <v>8</v>
      </c>
      <c r="X2075" s="3">
        <f>IF(AND($L2075=1,AND(对接源_02物料!$X875="自备筐",N(对接源_02物料!$T875)&lt;&gt;0)),1,0)</f>
        <v>0</v>
      </c>
      <c r="Y2075" s="3">
        <f t="shared" si="560"/>
        <v>0</v>
      </c>
      <c r="Z2075" s="3">
        <f>IF(AND($M2075=1,对接源_02物料!$D875="原料入库"),1,0)</f>
        <v>0</v>
      </c>
      <c r="AA2075" s="3">
        <f t="shared" si="561"/>
        <v>24</v>
      </c>
      <c r="AB2075" s="3">
        <f>IF(AND($M2075=1,LEFT(对接源_02物料!$D875,4)="原料出库"),1,0)</f>
        <v>0</v>
      </c>
      <c r="AC2075" s="3">
        <f t="shared" si="562"/>
        <v>0</v>
      </c>
      <c r="AD2075" s="3">
        <f>IF(AND($M2075=1,LEFT(对接源_02物料!$D875,4)="成品出库"),1,0)</f>
        <v>0</v>
      </c>
      <c r="AE2075" s="3">
        <f t="shared" si="563"/>
        <v>0</v>
      </c>
      <c r="AF2075" s="3">
        <f>IF(AND($N2075=1,AND(LEFT(对接源_02物料!$D875,4)="包装物料",N(对接源_02物料!$K875)&lt;&gt;0)),1,0)</f>
        <v>0</v>
      </c>
      <c r="AG2075" s="3">
        <f t="shared" si="564"/>
        <v>5</v>
      </c>
      <c r="AH2075" s="3">
        <f>IF(AND($N2075=1,AND(对接源_02物料!$D875="周转筐－销售出库",N(对接源_02物料!$K875)&lt;&gt;0)),1,0)</f>
        <v>0</v>
      </c>
      <c r="AI2075" s="3">
        <f t="shared" si="565"/>
        <v>0</v>
      </c>
      <c r="AL2075" s="3">
        <v>0</v>
      </c>
      <c r="AM2075" s="3">
        <f t="shared" si="566"/>
        <v>1</v>
      </c>
      <c r="AN2075" s="3" t="str">
        <f t="shared" si="553"/>
        <v/>
      </c>
      <c r="AO2075" s="3">
        <v>0</v>
      </c>
      <c r="AP2075" s="3">
        <f t="shared" si="567"/>
        <v>8</v>
      </c>
      <c r="AR2075">
        <f t="shared" si="568"/>
        <v>0</v>
      </c>
      <c r="AS2075">
        <f t="shared" si="569"/>
        <v>5</v>
      </c>
    </row>
    <row r="2076" customHeight="1" spans="1:45">
      <c r="A2076" s="3" t="str">
        <f>IF(对接源_02物料!$C876="","",对接源_02物料!$C876)</f>
        <v/>
      </c>
      <c r="B2076" s="3">
        <f t="shared" si="554"/>
        <v>0</v>
      </c>
      <c r="C2076" s="3">
        <f t="shared" si="555"/>
        <v>21</v>
      </c>
      <c r="K2076" s="3">
        <f>IF(OR($K$1="",对接源_02物料!$C876="",对接源_02物料!$C876&lt;&gt;$K$1,对接源_02物料!$B876=""),0,IF(OR(N(对接源_02物料!$B876)&lt;$K$2,N(对接源_02物料!$B876)&gt;$K$3),0,1))</f>
        <v>0</v>
      </c>
      <c r="L2076" s="3">
        <f>IF(OR($L$1="",对接源_02物料!$C876="",对接源_02物料!$C876&lt;&gt;$L$1,对接源_02物料!$B876=""),0,IF(OR(N(对接源_02物料!$B876)&lt;$L$2,N(对接源_02物料!$B876)&gt;$L$3),0,1))</f>
        <v>0</v>
      </c>
      <c r="M2076" s="3">
        <f>IF(OR($M$1="",对接源_02物料!$C876="",对接源_02物料!$C876&lt;&gt;$M$1,对接源_02物料!$B876=""),0,IF(OR(N(对接源_02物料!$B876)&lt;$M$2,N(对接源_02物料!$B876)&gt;$M$3),0,1))</f>
        <v>0</v>
      </c>
      <c r="N2076" s="3">
        <f>IF(OR($N$1="",对接源_02物料!$C876="",对接源_02物料!$C876&lt;&gt;$N$1,对接源_02物料!$B876=""),0,IF(OR(N(对接源_02物料!$B876)&lt;$N$2,N(对接源_02物料!$B876)&gt;$N$3),0,1))</f>
        <v>0</v>
      </c>
      <c r="P2076" s="3">
        <f>IF(AND($K2076=1,AND(对接源_02物料!$X876="公司筐",N(对接源_02物料!$T876)&lt;&gt;0)),1,0)</f>
        <v>0</v>
      </c>
      <c r="Q2076" s="3">
        <f t="shared" si="556"/>
        <v>8</v>
      </c>
      <c r="R2076" s="3">
        <f>IF(AND($K2076=1,AND(对接源_02物料!$X876="公司筐",N(对接源_02物料!$U876)&lt;&gt;0)),1,0)</f>
        <v>0</v>
      </c>
      <c r="S2076" s="3">
        <f t="shared" si="557"/>
        <v>0</v>
      </c>
      <c r="T2076" s="3">
        <f>IF(AND($K2076=1,AND(对接源_02物料!$X876="公司筐",N(对接源_02物料!$V876)&lt;&gt;0)),1,0)</f>
        <v>0</v>
      </c>
      <c r="U2076" s="3">
        <f t="shared" si="558"/>
        <v>19</v>
      </c>
      <c r="V2076" s="3">
        <f>IF(AND($L2076=1,AND(对接源_02物料!$X876="自备筐",N(对接源_02物料!$V876)&lt;&gt;0)),1,0)</f>
        <v>0</v>
      </c>
      <c r="W2076" s="3">
        <f t="shared" si="559"/>
        <v>8</v>
      </c>
      <c r="X2076" s="3">
        <f>IF(AND($L2076=1,AND(对接源_02物料!$X876="自备筐",N(对接源_02物料!$T876)&lt;&gt;0)),1,0)</f>
        <v>0</v>
      </c>
      <c r="Y2076" s="3">
        <f t="shared" si="560"/>
        <v>0</v>
      </c>
      <c r="Z2076" s="3">
        <f>IF(AND($M2076=1,对接源_02物料!$D876="原料入库"),1,0)</f>
        <v>0</v>
      </c>
      <c r="AA2076" s="3">
        <f t="shared" si="561"/>
        <v>24</v>
      </c>
      <c r="AB2076" s="3">
        <f>IF(AND($M2076=1,LEFT(对接源_02物料!$D876,4)="原料出库"),1,0)</f>
        <v>0</v>
      </c>
      <c r="AC2076" s="3">
        <f t="shared" si="562"/>
        <v>0</v>
      </c>
      <c r="AD2076" s="3">
        <f>IF(AND($M2076=1,LEFT(对接源_02物料!$D876,4)="成品出库"),1,0)</f>
        <v>0</v>
      </c>
      <c r="AE2076" s="3">
        <f t="shared" si="563"/>
        <v>0</v>
      </c>
      <c r="AF2076" s="3">
        <f>IF(AND($N2076=1,AND(LEFT(对接源_02物料!$D876,4)="包装物料",N(对接源_02物料!$K876)&lt;&gt;0)),1,0)</f>
        <v>0</v>
      </c>
      <c r="AG2076" s="3">
        <f t="shared" si="564"/>
        <v>5</v>
      </c>
      <c r="AH2076" s="3">
        <f>IF(AND($N2076=1,AND(对接源_02物料!$D876="周转筐－销售出库",N(对接源_02物料!$K876)&lt;&gt;0)),1,0)</f>
        <v>0</v>
      </c>
      <c r="AI2076" s="3">
        <f t="shared" si="565"/>
        <v>0</v>
      </c>
      <c r="AL2076" s="3">
        <v>0</v>
      </c>
      <c r="AM2076" s="3">
        <f t="shared" si="566"/>
        <v>1</v>
      </c>
      <c r="AN2076" s="3" t="str">
        <f t="shared" si="553"/>
        <v/>
      </c>
      <c r="AO2076" s="3">
        <v>0</v>
      </c>
      <c r="AP2076" s="3">
        <f t="shared" si="567"/>
        <v>8</v>
      </c>
      <c r="AR2076">
        <f t="shared" si="568"/>
        <v>0</v>
      </c>
      <c r="AS2076">
        <f t="shared" si="569"/>
        <v>5</v>
      </c>
    </row>
    <row r="2077" customHeight="1" spans="1:45">
      <c r="A2077" s="3" t="str">
        <f>IF(对接源_02物料!$C877="","",对接源_02物料!$C877)</f>
        <v/>
      </c>
      <c r="B2077" s="3">
        <f t="shared" si="554"/>
        <v>0</v>
      </c>
      <c r="C2077" s="3">
        <f t="shared" si="555"/>
        <v>21</v>
      </c>
      <c r="K2077" s="3">
        <f>IF(OR($K$1="",对接源_02物料!$C877="",对接源_02物料!$C877&lt;&gt;$K$1,对接源_02物料!$B877=""),0,IF(OR(N(对接源_02物料!$B877)&lt;$K$2,N(对接源_02物料!$B877)&gt;$K$3),0,1))</f>
        <v>0</v>
      </c>
      <c r="L2077" s="3">
        <f>IF(OR($L$1="",对接源_02物料!$C877="",对接源_02物料!$C877&lt;&gt;$L$1,对接源_02物料!$B877=""),0,IF(OR(N(对接源_02物料!$B877)&lt;$L$2,N(对接源_02物料!$B877)&gt;$L$3),0,1))</f>
        <v>0</v>
      </c>
      <c r="M2077" s="3">
        <f>IF(OR($M$1="",对接源_02物料!$C877="",对接源_02物料!$C877&lt;&gt;$M$1,对接源_02物料!$B877=""),0,IF(OR(N(对接源_02物料!$B877)&lt;$M$2,N(对接源_02物料!$B877)&gt;$M$3),0,1))</f>
        <v>0</v>
      </c>
      <c r="N2077" s="3">
        <f>IF(OR($N$1="",对接源_02物料!$C877="",对接源_02物料!$C877&lt;&gt;$N$1,对接源_02物料!$B877=""),0,IF(OR(N(对接源_02物料!$B877)&lt;$N$2,N(对接源_02物料!$B877)&gt;$N$3),0,1))</f>
        <v>0</v>
      </c>
      <c r="P2077" s="3">
        <f>IF(AND($K2077=1,AND(对接源_02物料!$X877="公司筐",N(对接源_02物料!$T877)&lt;&gt;0)),1,0)</f>
        <v>0</v>
      </c>
      <c r="Q2077" s="3">
        <f t="shared" si="556"/>
        <v>8</v>
      </c>
      <c r="R2077" s="3">
        <f>IF(AND($K2077=1,AND(对接源_02物料!$X877="公司筐",N(对接源_02物料!$U877)&lt;&gt;0)),1,0)</f>
        <v>0</v>
      </c>
      <c r="S2077" s="3">
        <f t="shared" si="557"/>
        <v>0</v>
      </c>
      <c r="T2077" s="3">
        <f>IF(AND($K2077=1,AND(对接源_02物料!$X877="公司筐",N(对接源_02物料!$V877)&lt;&gt;0)),1,0)</f>
        <v>0</v>
      </c>
      <c r="U2077" s="3">
        <f t="shared" si="558"/>
        <v>19</v>
      </c>
      <c r="V2077" s="3">
        <f>IF(AND($L2077=1,AND(对接源_02物料!$X877="自备筐",N(对接源_02物料!$V877)&lt;&gt;0)),1,0)</f>
        <v>0</v>
      </c>
      <c r="W2077" s="3">
        <f t="shared" si="559"/>
        <v>8</v>
      </c>
      <c r="X2077" s="3">
        <f>IF(AND($L2077=1,AND(对接源_02物料!$X877="自备筐",N(对接源_02物料!$T877)&lt;&gt;0)),1,0)</f>
        <v>0</v>
      </c>
      <c r="Y2077" s="3">
        <f t="shared" si="560"/>
        <v>0</v>
      </c>
      <c r="Z2077" s="3">
        <f>IF(AND($M2077=1,对接源_02物料!$D877="原料入库"),1,0)</f>
        <v>0</v>
      </c>
      <c r="AA2077" s="3">
        <f t="shared" si="561"/>
        <v>24</v>
      </c>
      <c r="AB2077" s="3">
        <f>IF(AND($M2077=1,LEFT(对接源_02物料!$D877,4)="原料出库"),1,0)</f>
        <v>0</v>
      </c>
      <c r="AC2077" s="3">
        <f t="shared" si="562"/>
        <v>0</v>
      </c>
      <c r="AD2077" s="3">
        <f>IF(AND($M2077=1,LEFT(对接源_02物料!$D877,4)="成品出库"),1,0)</f>
        <v>0</v>
      </c>
      <c r="AE2077" s="3">
        <f t="shared" si="563"/>
        <v>0</v>
      </c>
      <c r="AF2077" s="3">
        <f>IF(AND($N2077=1,AND(LEFT(对接源_02物料!$D877,4)="包装物料",N(对接源_02物料!$K877)&lt;&gt;0)),1,0)</f>
        <v>0</v>
      </c>
      <c r="AG2077" s="3">
        <f t="shared" si="564"/>
        <v>5</v>
      </c>
      <c r="AH2077" s="3">
        <f>IF(AND($N2077=1,AND(对接源_02物料!$D877="周转筐－销售出库",N(对接源_02物料!$K877)&lt;&gt;0)),1,0)</f>
        <v>0</v>
      </c>
      <c r="AI2077" s="3">
        <f t="shared" si="565"/>
        <v>0</v>
      </c>
      <c r="AL2077" s="3">
        <v>0</v>
      </c>
      <c r="AM2077" s="3">
        <f t="shared" si="566"/>
        <v>1</v>
      </c>
      <c r="AN2077" s="3" t="str">
        <f t="shared" si="553"/>
        <v/>
      </c>
      <c r="AO2077" s="3">
        <v>0</v>
      </c>
      <c r="AP2077" s="3">
        <f t="shared" si="567"/>
        <v>8</v>
      </c>
      <c r="AR2077">
        <f t="shared" si="568"/>
        <v>0</v>
      </c>
      <c r="AS2077">
        <f t="shared" si="569"/>
        <v>5</v>
      </c>
    </row>
    <row r="2078" customHeight="1" spans="1:45">
      <c r="A2078" s="3" t="str">
        <f>IF(对接源_02物料!$C878="","",对接源_02物料!$C878)</f>
        <v/>
      </c>
      <c r="B2078" s="3">
        <f t="shared" si="554"/>
        <v>0</v>
      </c>
      <c r="C2078" s="3">
        <f t="shared" si="555"/>
        <v>21</v>
      </c>
      <c r="K2078" s="3">
        <f>IF(OR($K$1="",对接源_02物料!$C878="",对接源_02物料!$C878&lt;&gt;$K$1,对接源_02物料!$B878=""),0,IF(OR(N(对接源_02物料!$B878)&lt;$K$2,N(对接源_02物料!$B878)&gt;$K$3),0,1))</f>
        <v>0</v>
      </c>
      <c r="L2078" s="3">
        <f>IF(OR($L$1="",对接源_02物料!$C878="",对接源_02物料!$C878&lt;&gt;$L$1,对接源_02物料!$B878=""),0,IF(OR(N(对接源_02物料!$B878)&lt;$L$2,N(对接源_02物料!$B878)&gt;$L$3),0,1))</f>
        <v>0</v>
      </c>
      <c r="M2078" s="3">
        <f>IF(OR($M$1="",对接源_02物料!$C878="",对接源_02物料!$C878&lt;&gt;$M$1,对接源_02物料!$B878=""),0,IF(OR(N(对接源_02物料!$B878)&lt;$M$2,N(对接源_02物料!$B878)&gt;$M$3),0,1))</f>
        <v>0</v>
      </c>
      <c r="N2078" s="3">
        <f>IF(OR($N$1="",对接源_02物料!$C878="",对接源_02物料!$C878&lt;&gt;$N$1,对接源_02物料!$B878=""),0,IF(OR(N(对接源_02物料!$B878)&lt;$N$2,N(对接源_02物料!$B878)&gt;$N$3),0,1))</f>
        <v>0</v>
      </c>
      <c r="P2078" s="3">
        <f>IF(AND($K2078=1,AND(对接源_02物料!$X878="公司筐",N(对接源_02物料!$T878)&lt;&gt;0)),1,0)</f>
        <v>0</v>
      </c>
      <c r="Q2078" s="3">
        <f t="shared" si="556"/>
        <v>8</v>
      </c>
      <c r="R2078" s="3">
        <f>IF(AND($K2078=1,AND(对接源_02物料!$X878="公司筐",N(对接源_02物料!$U878)&lt;&gt;0)),1,0)</f>
        <v>0</v>
      </c>
      <c r="S2078" s="3">
        <f t="shared" si="557"/>
        <v>0</v>
      </c>
      <c r="T2078" s="3">
        <f>IF(AND($K2078=1,AND(对接源_02物料!$X878="公司筐",N(对接源_02物料!$V878)&lt;&gt;0)),1,0)</f>
        <v>0</v>
      </c>
      <c r="U2078" s="3">
        <f t="shared" si="558"/>
        <v>19</v>
      </c>
      <c r="V2078" s="3">
        <f>IF(AND($L2078=1,AND(对接源_02物料!$X878="自备筐",N(对接源_02物料!$V878)&lt;&gt;0)),1,0)</f>
        <v>0</v>
      </c>
      <c r="W2078" s="3">
        <f t="shared" si="559"/>
        <v>8</v>
      </c>
      <c r="X2078" s="3">
        <f>IF(AND($L2078=1,AND(对接源_02物料!$X878="自备筐",N(对接源_02物料!$T878)&lt;&gt;0)),1,0)</f>
        <v>0</v>
      </c>
      <c r="Y2078" s="3">
        <f t="shared" si="560"/>
        <v>0</v>
      </c>
      <c r="Z2078" s="3">
        <f>IF(AND($M2078=1,对接源_02物料!$D878="原料入库"),1,0)</f>
        <v>0</v>
      </c>
      <c r="AA2078" s="3">
        <f t="shared" si="561"/>
        <v>24</v>
      </c>
      <c r="AB2078" s="3">
        <f>IF(AND($M2078=1,LEFT(对接源_02物料!$D878,4)="原料出库"),1,0)</f>
        <v>0</v>
      </c>
      <c r="AC2078" s="3">
        <f t="shared" si="562"/>
        <v>0</v>
      </c>
      <c r="AD2078" s="3">
        <f>IF(AND($M2078=1,LEFT(对接源_02物料!$D878,4)="成品出库"),1,0)</f>
        <v>0</v>
      </c>
      <c r="AE2078" s="3">
        <f t="shared" si="563"/>
        <v>0</v>
      </c>
      <c r="AF2078" s="3">
        <f>IF(AND($N2078=1,AND(LEFT(对接源_02物料!$D878,4)="包装物料",N(对接源_02物料!$K878)&lt;&gt;0)),1,0)</f>
        <v>0</v>
      </c>
      <c r="AG2078" s="3">
        <f t="shared" si="564"/>
        <v>5</v>
      </c>
      <c r="AH2078" s="3">
        <f>IF(AND($N2078=1,AND(对接源_02物料!$D878="周转筐－销售出库",N(对接源_02物料!$K878)&lt;&gt;0)),1,0)</f>
        <v>0</v>
      </c>
      <c r="AI2078" s="3">
        <f t="shared" si="565"/>
        <v>0</v>
      </c>
      <c r="AL2078" s="3">
        <v>0</v>
      </c>
      <c r="AM2078" s="3">
        <f t="shared" si="566"/>
        <v>1</v>
      </c>
      <c r="AN2078" s="3" t="str">
        <f t="shared" si="553"/>
        <v/>
      </c>
      <c r="AO2078" s="3">
        <v>0</v>
      </c>
      <c r="AP2078" s="3">
        <f t="shared" si="567"/>
        <v>8</v>
      </c>
      <c r="AR2078">
        <f t="shared" si="568"/>
        <v>0</v>
      </c>
      <c r="AS2078">
        <f t="shared" si="569"/>
        <v>5</v>
      </c>
    </row>
    <row r="2079" customHeight="1" spans="1:45">
      <c r="A2079" s="3" t="str">
        <f>IF(对接源_02物料!$C879="","",对接源_02物料!$C879)</f>
        <v/>
      </c>
      <c r="B2079" s="3">
        <f t="shared" si="554"/>
        <v>0</v>
      </c>
      <c r="C2079" s="3">
        <f t="shared" si="555"/>
        <v>21</v>
      </c>
      <c r="K2079" s="3">
        <f>IF(OR($K$1="",对接源_02物料!$C879="",对接源_02物料!$C879&lt;&gt;$K$1,对接源_02物料!$B879=""),0,IF(OR(N(对接源_02物料!$B879)&lt;$K$2,N(对接源_02物料!$B879)&gt;$K$3),0,1))</f>
        <v>0</v>
      </c>
      <c r="L2079" s="3">
        <f>IF(OR($L$1="",对接源_02物料!$C879="",对接源_02物料!$C879&lt;&gt;$L$1,对接源_02物料!$B879=""),0,IF(OR(N(对接源_02物料!$B879)&lt;$L$2,N(对接源_02物料!$B879)&gt;$L$3),0,1))</f>
        <v>0</v>
      </c>
      <c r="M2079" s="3">
        <f>IF(OR($M$1="",对接源_02物料!$C879="",对接源_02物料!$C879&lt;&gt;$M$1,对接源_02物料!$B879=""),0,IF(OR(N(对接源_02物料!$B879)&lt;$M$2,N(对接源_02物料!$B879)&gt;$M$3),0,1))</f>
        <v>0</v>
      </c>
      <c r="N2079" s="3">
        <f>IF(OR($N$1="",对接源_02物料!$C879="",对接源_02物料!$C879&lt;&gt;$N$1,对接源_02物料!$B879=""),0,IF(OR(N(对接源_02物料!$B879)&lt;$N$2,N(对接源_02物料!$B879)&gt;$N$3),0,1))</f>
        <v>0</v>
      </c>
      <c r="P2079" s="3">
        <f>IF(AND($K2079=1,AND(对接源_02物料!$X879="公司筐",N(对接源_02物料!$T879)&lt;&gt;0)),1,0)</f>
        <v>0</v>
      </c>
      <c r="Q2079" s="3">
        <f t="shared" si="556"/>
        <v>8</v>
      </c>
      <c r="R2079" s="3">
        <f>IF(AND($K2079=1,AND(对接源_02物料!$X879="公司筐",N(对接源_02物料!$U879)&lt;&gt;0)),1,0)</f>
        <v>0</v>
      </c>
      <c r="S2079" s="3">
        <f t="shared" si="557"/>
        <v>0</v>
      </c>
      <c r="T2079" s="3">
        <f>IF(AND($K2079=1,AND(对接源_02物料!$X879="公司筐",N(对接源_02物料!$V879)&lt;&gt;0)),1,0)</f>
        <v>0</v>
      </c>
      <c r="U2079" s="3">
        <f t="shared" si="558"/>
        <v>19</v>
      </c>
      <c r="V2079" s="3">
        <f>IF(AND($L2079=1,AND(对接源_02物料!$X879="自备筐",N(对接源_02物料!$V879)&lt;&gt;0)),1,0)</f>
        <v>0</v>
      </c>
      <c r="W2079" s="3">
        <f t="shared" si="559"/>
        <v>8</v>
      </c>
      <c r="X2079" s="3">
        <f>IF(AND($L2079=1,AND(对接源_02物料!$X879="自备筐",N(对接源_02物料!$T879)&lt;&gt;0)),1,0)</f>
        <v>0</v>
      </c>
      <c r="Y2079" s="3">
        <f t="shared" si="560"/>
        <v>0</v>
      </c>
      <c r="Z2079" s="3">
        <f>IF(AND($M2079=1,对接源_02物料!$D879="原料入库"),1,0)</f>
        <v>0</v>
      </c>
      <c r="AA2079" s="3">
        <f t="shared" si="561"/>
        <v>24</v>
      </c>
      <c r="AB2079" s="3">
        <f>IF(AND($M2079=1,LEFT(对接源_02物料!$D879,4)="原料出库"),1,0)</f>
        <v>0</v>
      </c>
      <c r="AC2079" s="3">
        <f t="shared" si="562"/>
        <v>0</v>
      </c>
      <c r="AD2079" s="3">
        <f>IF(AND($M2079=1,LEFT(对接源_02物料!$D879,4)="成品出库"),1,0)</f>
        <v>0</v>
      </c>
      <c r="AE2079" s="3">
        <f t="shared" si="563"/>
        <v>0</v>
      </c>
      <c r="AF2079" s="3">
        <f>IF(AND($N2079=1,AND(LEFT(对接源_02物料!$D879,4)="包装物料",N(对接源_02物料!$K879)&lt;&gt;0)),1,0)</f>
        <v>0</v>
      </c>
      <c r="AG2079" s="3">
        <f t="shared" si="564"/>
        <v>5</v>
      </c>
      <c r="AH2079" s="3">
        <f>IF(AND($N2079=1,AND(对接源_02物料!$D879="周转筐－销售出库",N(对接源_02物料!$K879)&lt;&gt;0)),1,0)</f>
        <v>0</v>
      </c>
      <c r="AI2079" s="3">
        <f t="shared" si="565"/>
        <v>0</v>
      </c>
      <c r="AL2079" s="3">
        <v>0</v>
      </c>
      <c r="AM2079" s="3">
        <f t="shared" si="566"/>
        <v>1</v>
      </c>
      <c r="AN2079" s="3" t="str">
        <f t="shared" si="553"/>
        <v/>
      </c>
      <c r="AO2079" s="3">
        <v>0</v>
      </c>
      <c r="AP2079" s="3">
        <f t="shared" si="567"/>
        <v>8</v>
      </c>
      <c r="AR2079">
        <f t="shared" si="568"/>
        <v>0</v>
      </c>
      <c r="AS2079">
        <f t="shared" si="569"/>
        <v>5</v>
      </c>
    </row>
    <row r="2080" customHeight="1" spans="1:45">
      <c r="A2080" s="3" t="str">
        <f>IF(对接源_02物料!$C880="","",对接源_02物料!$C880)</f>
        <v/>
      </c>
      <c r="B2080" s="3">
        <f t="shared" si="554"/>
        <v>0</v>
      </c>
      <c r="C2080" s="3">
        <f t="shared" si="555"/>
        <v>21</v>
      </c>
      <c r="K2080" s="3">
        <f>IF(OR($K$1="",对接源_02物料!$C880="",对接源_02物料!$C880&lt;&gt;$K$1,对接源_02物料!$B880=""),0,IF(OR(N(对接源_02物料!$B880)&lt;$K$2,N(对接源_02物料!$B880)&gt;$K$3),0,1))</f>
        <v>0</v>
      </c>
      <c r="L2080" s="3">
        <f>IF(OR($L$1="",对接源_02物料!$C880="",对接源_02物料!$C880&lt;&gt;$L$1,对接源_02物料!$B880=""),0,IF(OR(N(对接源_02物料!$B880)&lt;$L$2,N(对接源_02物料!$B880)&gt;$L$3),0,1))</f>
        <v>0</v>
      </c>
      <c r="M2080" s="3">
        <f>IF(OR($M$1="",对接源_02物料!$C880="",对接源_02物料!$C880&lt;&gt;$M$1,对接源_02物料!$B880=""),0,IF(OR(N(对接源_02物料!$B880)&lt;$M$2,N(对接源_02物料!$B880)&gt;$M$3),0,1))</f>
        <v>0</v>
      </c>
      <c r="N2080" s="3">
        <f>IF(OR($N$1="",对接源_02物料!$C880="",对接源_02物料!$C880&lt;&gt;$N$1,对接源_02物料!$B880=""),0,IF(OR(N(对接源_02物料!$B880)&lt;$N$2,N(对接源_02物料!$B880)&gt;$N$3),0,1))</f>
        <v>0</v>
      </c>
      <c r="P2080" s="3">
        <f>IF(AND($K2080=1,AND(对接源_02物料!$X880="公司筐",N(对接源_02物料!$T880)&lt;&gt;0)),1,0)</f>
        <v>0</v>
      </c>
      <c r="Q2080" s="3">
        <f t="shared" si="556"/>
        <v>8</v>
      </c>
      <c r="R2080" s="3">
        <f>IF(AND($K2080=1,AND(对接源_02物料!$X880="公司筐",N(对接源_02物料!$U880)&lt;&gt;0)),1,0)</f>
        <v>0</v>
      </c>
      <c r="S2080" s="3">
        <f t="shared" si="557"/>
        <v>0</v>
      </c>
      <c r="T2080" s="3">
        <f>IF(AND($K2080=1,AND(对接源_02物料!$X880="公司筐",N(对接源_02物料!$V880)&lt;&gt;0)),1,0)</f>
        <v>0</v>
      </c>
      <c r="U2080" s="3">
        <f t="shared" si="558"/>
        <v>19</v>
      </c>
      <c r="V2080" s="3">
        <f>IF(AND($L2080=1,AND(对接源_02物料!$X880="自备筐",N(对接源_02物料!$V880)&lt;&gt;0)),1,0)</f>
        <v>0</v>
      </c>
      <c r="W2080" s="3">
        <f t="shared" si="559"/>
        <v>8</v>
      </c>
      <c r="X2080" s="3">
        <f>IF(AND($L2080=1,AND(对接源_02物料!$X880="自备筐",N(对接源_02物料!$T880)&lt;&gt;0)),1,0)</f>
        <v>0</v>
      </c>
      <c r="Y2080" s="3">
        <f t="shared" si="560"/>
        <v>0</v>
      </c>
      <c r="Z2080" s="3">
        <f>IF(AND($M2080=1,对接源_02物料!$D880="原料入库"),1,0)</f>
        <v>0</v>
      </c>
      <c r="AA2080" s="3">
        <f t="shared" si="561"/>
        <v>24</v>
      </c>
      <c r="AB2080" s="3">
        <f>IF(AND($M2080=1,LEFT(对接源_02物料!$D880,4)="原料出库"),1,0)</f>
        <v>0</v>
      </c>
      <c r="AC2080" s="3">
        <f t="shared" si="562"/>
        <v>0</v>
      </c>
      <c r="AD2080" s="3">
        <f>IF(AND($M2080=1,LEFT(对接源_02物料!$D880,4)="成品出库"),1,0)</f>
        <v>0</v>
      </c>
      <c r="AE2080" s="3">
        <f t="shared" si="563"/>
        <v>0</v>
      </c>
      <c r="AF2080" s="3">
        <f>IF(AND($N2080=1,AND(LEFT(对接源_02物料!$D880,4)="包装物料",N(对接源_02物料!$K880)&lt;&gt;0)),1,0)</f>
        <v>0</v>
      </c>
      <c r="AG2080" s="3">
        <f t="shared" si="564"/>
        <v>5</v>
      </c>
      <c r="AH2080" s="3">
        <f>IF(AND($N2080=1,AND(对接源_02物料!$D880="周转筐－销售出库",N(对接源_02物料!$K880)&lt;&gt;0)),1,0)</f>
        <v>0</v>
      </c>
      <c r="AI2080" s="3">
        <f t="shared" si="565"/>
        <v>0</v>
      </c>
      <c r="AL2080" s="3">
        <v>0</v>
      </c>
      <c r="AM2080" s="3">
        <f t="shared" si="566"/>
        <v>1</v>
      </c>
      <c r="AN2080" s="3" t="str">
        <f t="shared" si="553"/>
        <v/>
      </c>
      <c r="AO2080" s="3">
        <v>0</v>
      </c>
      <c r="AP2080" s="3">
        <f t="shared" si="567"/>
        <v>8</v>
      </c>
      <c r="AR2080">
        <f t="shared" si="568"/>
        <v>0</v>
      </c>
      <c r="AS2080">
        <f t="shared" si="569"/>
        <v>5</v>
      </c>
    </row>
    <row r="2081" customHeight="1" spans="1:45">
      <c r="A2081" s="3" t="str">
        <f>IF(对接源_02物料!$C881="","",对接源_02物料!$C881)</f>
        <v/>
      </c>
      <c r="B2081" s="3">
        <f t="shared" si="554"/>
        <v>0</v>
      </c>
      <c r="C2081" s="3">
        <f t="shared" si="555"/>
        <v>21</v>
      </c>
      <c r="K2081" s="3">
        <f>IF(OR($K$1="",对接源_02物料!$C881="",对接源_02物料!$C881&lt;&gt;$K$1,对接源_02物料!$B881=""),0,IF(OR(N(对接源_02物料!$B881)&lt;$K$2,N(对接源_02物料!$B881)&gt;$K$3),0,1))</f>
        <v>0</v>
      </c>
      <c r="L2081" s="3">
        <f>IF(OR($L$1="",对接源_02物料!$C881="",对接源_02物料!$C881&lt;&gt;$L$1,对接源_02物料!$B881=""),0,IF(OR(N(对接源_02物料!$B881)&lt;$L$2,N(对接源_02物料!$B881)&gt;$L$3),0,1))</f>
        <v>0</v>
      </c>
      <c r="M2081" s="3">
        <f>IF(OR($M$1="",对接源_02物料!$C881="",对接源_02物料!$C881&lt;&gt;$M$1,对接源_02物料!$B881=""),0,IF(OR(N(对接源_02物料!$B881)&lt;$M$2,N(对接源_02物料!$B881)&gt;$M$3),0,1))</f>
        <v>0</v>
      </c>
      <c r="N2081" s="3">
        <f>IF(OR($N$1="",对接源_02物料!$C881="",对接源_02物料!$C881&lt;&gt;$N$1,对接源_02物料!$B881=""),0,IF(OR(N(对接源_02物料!$B881)&lt;$N$2,N(对接源_02物料!$B881)&gt;$N$3),0,1))</f>
        <v>0</v>
      </c>
      <c r="P2081" s="3">
        <f>IF(AND($K2081=1,AND(对接源_02物料!$X881="公司筐",N(对接源_02物料!$T881)&lt;&gt;0)),1,0)</f>
        <v>0</v>
      </c>
      <c r="Q2081" s="3">
        <f t="shared" si="556"/>
        <v>8</v>
      </c>
      <c r="R2081" s="3">
        <f>IF(AND($K2081=1,AND(对接源_02物料!$X881="公司筐",N(对接源_02物料!$U881)&lt;&gt;0)),1,0)</f>
        <v>0</v>
      </c>
      <c r="S2081" s="3">
        <f t="shared" si="557"/>
        <v>0</v>
      </c>
      <c r="T2081" s="3">
        <f>IF(AND($K2081=1,AND(对接源_02物料!$X881="公司筐",N(对接源_02物料!$V881)&lt;&gt;0)),1,0)</f>
        <v>0</v>
      </c>
      <c r="U2081" s="3">
        <f t="shared" si="558"/>
        <v>19</v>
      </c>
      <c r="V2081" s="3">
        <f>IF(AND($L2081=1,AND(对接源_02物料!$X881="自备筐",N(对接源_02物料!$V881)&lt;&gt;0)),1,0)</f>
        <v>0</v>
      </c>
      <c r="W2081" s="3">
        <f t="shared" si="559"/>
        <v>8</v>
      </c>
      <c r="X2081" s="3">
        <f>IF(AND($L2081=1,AND(对接源_02物料!$X881="自备筐",N(对接源_02物料!$T881)&lt;&gt;0)),1,0)</f>
        <v>0</v>
      </c>
      <c r="Y2081" s="3">
        <f t="shared" si="560"/>
        <v>0</v>
      </c>
      <c r="Z2081" s="3">
        <f>IF(AND($M2081=1,对接源_02物料!$D881="原料入库"),1,0)</f>
        <v>0</v>
      </c>
      <c r="AA2081" s="3">
        <f t="shared" si="561"/>
        <v>24</v>
      </c>
      <c r="AB2081" s="3">
        <f>IF(AND($M2081=1,LEFT(对接源_02物料!$D881,4)="原料出库"),1,0)</f>
        <v>0</v>
      </c>
      <c r="AC2081" s="3">
        <f t="shared" si="562"/>
        <v>0</v>
      </c>
      <c r="AD2081" s="3">
        <f>IF(AND($M2081=1,LEFT(对接源_02物料!$D881,4)="成品出库"),1,0)</f>
        <v>0</v>
      </c>
      <c r="AE2081" s="3">
        <f t="shared" si="563"/>
        <v>0</v>
      </c>
      <c r="AF2081" s="3">
        <f>IF(AND($N2081=1,AND(LEFT(对接源_02物料!$D881,4)="包装物料",N(对接源_02物料!$K881)&lt;&gt;0)),1,0)</f>
        <v>0</v>
      </c>
      <c r="AG2081" s="3">
        <f t="shared" si="564"/>
        <v>5</v>
      </c>
      <c r="AH2081" s="3">
        <f>IF(AND($N2081=1,AND(对接源_02物料!$D881="周转筐－销售出库",N(对接源_02物料!$K881)&lt;&gt;0)),1,0)</f>
        <v>0</v>
      </c>
      <c r="AI2081" s="3">
        <f t="shared" si="565"/>
        <v>0</v>
      </c>
      <c r="AL2081" s="3">
        <v>0</v>
      </c>
      <c r="AM2081" s="3">
        <f t="shared" si="566"/>
        <v>1</v>
      </c>
      <c r="AN2081" s="3" t="str">
        <f t="shared" si="553"/>
        <v/>
      </c>
      <c r="AO2081" s="3">
        <v>0</v>
      </c>
      <c r="AP2081" s="3">
        <f t="shared" si="567"/>
        <v>8</v>
      </c>
      <c r="AR2081">
        <f t="shared" si="568"/>
        <v>0</v>
      </c>
      <c r="AS2081">
        <f t="shared" si="569"/>
        <v>5</v>
      </c>
    </row>
    <row r="2082" customHeight="1" spans="1:45">
      <c r="A2082" s="3" t="str">
        <f>IF(对接源_02物料!$C882="","",对接源_02物料!$C882)</f>
        <v/>
      </c>
      <c r="B2082" s="3">
        <f t="shared" si="554"/>
        <v>0</v>
      </c>
      <c r="C2082" s="3">
        <f t="shared" si="555"/>
        <v>21</v>
      </c>
      <c r="K2082" s="3">
        <f>IF(OR($K$1="",对接源_02物料!$C882="",对接源_02物料!$C882&lt;&gt;$K$1,对接源_02物料!$B882=""),0,IF(OR(N(对接源_02物料!$B882)&lt;$K$2,N(对接源_02物料!$B882)&gt;$K$3),0,1))</f>
        <v>0</v>
      </c>
      <c r="L2082" s="3">
        <f>IF(OR($L$1="",对接源_02物料!$C882="",对接源_02物料!$C882&lt;&gt;$L$1,对接源_02物料!$B882=""),0,IF(OR(N(对接源_02物料!$B882)&lt;$L$2,N(对接源_02物料!$B882)&gt;$L$3),0,1))</f>
        <v>0</v>
      </c>
      <c r="M2082" s="3">
        <f>IF(OR($M$1="",对接源_02物料!$C882="",对接源_02物料!$C882&lt;&gt;$M$1,对接源_02物料!$B882=""),0,IF(OR(N(对接源_02物料!$B882)&lt;$M$2,N(对接源_02物料!$B882)&gt;$M$3),0,1))</f>
        <v>0</v>
      </c>
      <c r="N2082" s="3">
        <f>IF(OR($N$1="",对接源_02物料!$C882="",对接源_02物料!$C882&lt;&gt;$N$1,对接源_02物料!$B882=""),0,IF(OR(N(对接源_02物料!$B882)&lt;$N$2,N(对接源_02物料!$B882)&gt;$N$3),0,1))</f>
        <v>0</v>
      </c>
      <c r="P2082" s="3">
        <f>IF(AND($K2082=1,AND(对接源_02物料!$X882="公司筐",N(对接源_02物料!$T882)&lt;&gt;0)),1,0)</f>
        <v>0</v>
      </c>
      <c r="Q2082" s="3">
        <f t="shared" si="556"/>
        <v>8</v>
      </c>
      <c r="R2082" s="3">
        <f>IF(AND($K2082=1,AND(对接源_02物料!$X882="公司筐",N(对接源_02物料!$U882)&lt;&gt;0)),1,0)</f>
        <v>0</v>
      </c>
      <c r="S2082" s="3">
        <f t="shared" si="557"/>
        <v>0</v>
      </c>
      <c r="T2082" s="3">
        <f>IF(AND($K2082=1,AND(对接源_02物料!$X882="公司筐",N(对接源_02物料!$V882)&lt;&gt;0)),1,0)</f>
        <v>0</v>
      </c>
      <c r="U2082" s="3">
        <f t="shared" si="558"/>
        <v>19</v>
      </c>
      <c r="V2082" s="3">
        <f>IF(AND($L2082=1,AND(对接源_02物料!$X882="自备筐",N(对接源_02物料!$V882)&lt;&gt;0)),1,0)</f>
        <v>0</v>
      </c>
      <c r="W2082" s="3">
        <f t="shared" si="559"/>
        <v>8</v>
      </c>
      <c r="X2082" s="3">
        <f>IF(AND($L2082=1,AND(对接源_02物料!$X882="自备筐",N(对接源_02物料!$T882)&lt;&gt;0)),1,0)</f>
        <v>0</v>
      </c>
      <c r="Y2082" s="3">
        <f t="shared" si="560"/>
        <v>0</v>
      </c>
      <c r="Z2082" s="3">
        <f>IF(AND($M2082=1,对接源_02物料!$D882="原料入库"),1,0)</f>
        <v>0</v>
      </c>
      <c r="AA2082" s="3">
        <f t="shared" si="561"/>
        <v>24</v>
      </c>
      <c r="AB2082" s="3">
        <f>IF(AND($M2082=1,LEFT(对接源_02物料!$D882,4)="原料出库"),1,0)</f>
        <v>0</v>
      </c>
      <c r="AC2082" s="3">
        <f t="shared" si="562"/>
        <v>0</v>
      </c>
      <c r="AD2082" s="3">
        <f>IF(AND($M2082=1,LEFT(对接源_02物料!$D882,4)="成品出库"),1,0)</f>
        <v>0</v>
      </c>
      <c r="AE2082" s="3">
        <f t="shared" si="563"/>
        <v>0</v>
      </c>
      <c r="AF2082" s="3">
        <f>IF(AND($N2082=1,AND(LEFT(对接源_02物料!$D882,4)="包装物料",N(对接源_02物料!$K882)&lt;&gt;0)),1,0)</f>
        <v>0</v>
      </c>
      <c r="AG2082" s="3">
        <f t="shared" si="564"/>
        <v>5</v>
      </c>
      <c r="AH2082" s="3">
        <f>IF(AND($N2082=1,AND(对接源_02物料!$D882="周转筐－销售出库",N(对接源_02物料!$K882)&lt;&gt;0)),1,0)</f>
        <v>0</v>
      </c>
      <c r="AI2082" s="3">
        <f t="shared" si="565"/>
        <v>0</v>
      </c>
      <c r="AL2082" s="3">
        <v>0</v>
      </c>
      <c r="AM2082" s="3">
        <f t="shared" si="566"/>
        <v>1</v>
      </c>
      <c r="AN2082" s="3" t="str">
        <f t="shared" si="553"/>
        <v/>
      </c>
      <c r="AO2082" s="3">
        <v>0</v>
      </c>
      <c r="AP2082" s="3">
        <f t="shared" si="567"/>
        <v>8</v>
      </c>
      <c r="AR2082">
        <f t="shared" si="568"/>
        <v>0</v>
      </c>
      <c r="AS2082">
        <f t="shared" si="569"/>
        <v>5</v>
      </c>
    </row>
    <row r="2083" customHeight="1" spans="1:45">
      <c r="A2083" s="3" t="str">
        <f>IF(对接源_02物料!$C883="","",对接源_02物料!$C883)</f>
        <v/>
      </c>
      <c r="B2083" s="3">
        <f t="shared" si="554"/>
        <v>0</v>
      </c>
      <c r="C2083" s="3">
        <f t="shared" si="555"/>
        <v>21</v>
      </c>
      <c r="K2083" s="3">
        <f>IF(OR($K$1="",对接源_02物料!$C883="",对接源_02物料!$C883&lt;&gt;$K$1,对接源_02物料!$B883=""),0,IF(OR(N(对接源_02物料!$B883)&lt;$K$2,N(对接源_02物料!$B883)&gt;$K$3),0,1))</f>
        <v>0</v>
      </c>
      <c r="L2083" s="3">
        <f>IF(OR($L$1="",对接源_02物料!$C883="",对接源_02物料!$C883&lt;&gt;$L$1,对接源_02物料!$B883=""),0,IF(OR(N(对接源_02物料!$B883)&lt;$L$2,N(对接源_02物料!$B883)&gt;$L$3),0,1))</f>
        <v>0</v>
      </c>
      <c r="M2083" s="3">
        <f>IF(OR($M$1="",对接源_02物料!$C883="",对接源_02物料!$C883&lt;&gt;$M$1,对接源_02物料!$B883=""),0,IF(OR(N(对接源_02物料!$B883)&lt;$M$2,N(对接源_02物料!$B883)&gt;$M$3),0,1))</f>
        <v>0</v>
      </c>
      <c r="N2083" s="3">
        <f>IF(OR($N$1="",对接源_02物料!$C883="",对接源_02物料!$C883&lt;&gt;$N$1,对接源_02物料!$B883=""),0,IF(OR(N(对接源_02物料!$B883)&lt;$N$2,N(对接源_02物料!$B883)&gt;$N$3),0,1))</f>
        <v>0</v>
      </c>
      <c r="P2083" s="3">
        <f>IF(AND($K2083=1,AND(对接源_02物料!$X883="公司筐",N(对接源_02物料!$T883)&lt;&gt;0)),1,0)</f>
        <v>0</v>
      </c>
      <c r="Q2083" s="3">
        <f t="shared" si="556"/>
        <v>8</v>
      </c>
      <c r="R2083" s="3">
        <f>IF(AND($K2083=1,AND(对接源_02物料!$X883="公司筐",N(对接源_02物料!$U883)&lt;&gt;0)),1,0)</f>
        <v>0</v>
      </c>
      <c r="S2083" s="3">
        <f t="shared" si="557"/>
        <v>0</v>
      </c>
      <c r="T2083" s="3">
        <f>IF(AND($K2083=1,AND(对接源_02物料!$X883="公司筐",N(对接源_02物料!$V883)&lt;&gt;0)),1,0)</f>
        <v>0</v>
      </c>
      <c r="U2083" s="3">
        <f t="shared" si="558"/>
        <v>19</v>
      </c>
      <c r="V2083" s="3">
        <f>IF(AND($L2083=1,AND(对接源_02物料!$X883="自备筐",N(对接源_02物料!$V883)&lt;&gt;0)),1,0)</f>
        <v>0</v>
      </c>
      <c r="W2083" s="3">
        <f t="shared" si="559"/>
        <v>8</v>
      </c>
      <c r="X2083" s="3">
        <f>IF(AND($L2083=1,AND(对接源_02物料!$X883="自备筐",N(对接源_02物料!$T883)&lt;&gt;0)),1,0)</f>
        <v>0</v>
      </c>
      <c r="Y2083" s="3">
        <f t="shared" si="560"/>
        <v>0</v>
      </c>
      <c r="Z2083" s="3">
        <f>IF(AND($M2083=1,对接源_02物料!$D883="原料入库"),1,0)</f>
        <v>0</v>
      </c>
      <c r="AA2083" s="3">
        <f t="shared" si="561"/>
        <v>24</v>
      </c>
      <c r="AB2083" s="3">
        <f>IF(AND($M2083=1,LEFT(对接源_02物料!$D883,4)="原料出库"),1,0)</f>
        <v>0</v>
      </c>
      <c r="AC2083" s="3">
        <f t="shared" si="562"/>
        <v>0</v>
      </c>
      <c r="AD2083" s="3">
        <f>IF(AND($M2083=1,LEFT(对接源_02物料!$D883,4)="成品出库"),1,0)</f>
        <v>0</v>
      </c>
      <c r="AE2083" s="3">
        <f t="shared" si="563"/>
        <v>0</v>
      </c>
      <c r="AF2083" s="3">
        <f>IF(AND($N2083=1,AND(LEFT(对接源_02物料!$D883,4)="包装物料",N(对接源_02物料!$K883)&lt;&gt;0)),1,0)</f>
        <v>0</v>
      </c>
      <c r="AG2083" s="3">
        <f t="shared" si="564"/>
        <v>5</v>
      </c>
      <c r="AH2083" s="3">
        <f>IF(AND($N2083=1,AND(对接源_02物料!$D883="周转筐－销售出库",N(对接源_02物料!$K883)&lt;&gt;0)),1,0)</f>
        <v>0</v>
      </c>
      <c r="AI2083" s="3">
        <f t="shared" si="565"/>
        <v>0</v>
      </c>
      <c r="AL2083" s="3">
        <v>0</v>
      </c>
      <c r="AM2083" s="3">
        <f t="shared" si="566"/>
        <v>1</v>
      </c>
      <c r="AN2083" s="3" t="str">
        <f t="shared" si="553"/>
        <v/>
      </c>
      <c r="AO2083" s="3">
        <v>0</v>
      </c>
      <c r="AP2083" s="3">
        <f t="shared" si="567"/>
        <v>8</v>
      </c>
      <c r="AR2083">
        <f t="shared" si="568"/>
        <v>0</v>
      </c>
      <c r="AS2083">
        <f t="shared" si="569"/>
        <v>5</v>
      </c>
    </row>
    <row r="2084" customHeight="1" spans="1:45">
      <c r="A2084" s="3" t="str">
        <f>IF(对接源_02物料!$C884="","",对接源_02物料!$C884)</f>
        <v/>
      </c>
      <c r="B2084" s="3">
        <f t="shared" si="554"/>
        <v>0</v>
      </c>
      <c r="C2084" s="3">
        <f t="shared" si="555"/>
        <v>21</v>
      </c>
      <c r="K2084" s="3">
        <f>IF(OR($K$1="",对接源_02物料!$C884="",对接源_02物料!$C884&lt;&gt;$K$1,对接源_02物料!$B884=""),0,IF(OR(N(对接源_02物料!$B884)&lt;$K$2,N(对接源_02物料!$B884)&gt;$K$3),0,1))</f>
        <v>0</v>
      </c>
      <c r="L2084" s="3">
        <f>IF(OR($L$1="",对接源_02物料!$C884="",对接源_02物料!$C884&lt;&gt;$L$1,对接源_02物料!$B884=""),0,IF(OR(N(对接源_02物料!$B884)&lt;$L$2,N(对接源_02物料!$B884)&gt;$L$3),0,1))</f>
        <v>0</v>
      </c>
      <c r="M2084" s="3">
        <f>IF(OR($M$1="",对接源_02物料!$C884="",对接源_02物料!$C884&lt;&gt;$M$1,对接源_02物料!$B884=""),0,IF(OR(N(对接源_02物料!$B884)&lt;$M$2,N(对接源_02物料!$B884)&gt;$M$3),0,1))</f>
        <v>0</v>
      </c>
      <c r="N2084" s="3">
        <f>IF(OR($N$1="",对接源_02物料!$C884="",对接源_02物料!$C884&lt;&gt;$N$1,对接源_02物料!$B884=""),0,IF(OR(N(对接源_02物料!$B884)&lt;$N$2,N(对接源_02物料!$B884)&gt;$N$3),0,1))</f>
        <v>0</v>
      </c>
      <c r="P2084" s="3">
        <f>IF(AND($K2084=1,AND(对接源_02物料!$X884="公司筐",N(对接源_02物料!$T884)&lt;&gt;0)),1,0)</f>
        <v>0</v>
      </c>
      <c r="Q2084" s="3">
        <f t="shared" si="556"/>
        <v>8</v>
      </c>
      <c r="R2084" s="3">
        <f>IF(AND($K2084=1,AND(对接源_02物料!$X884="公司筐",N(对接源_02物料!$U884)&lt;&gt;0)),1,0)</f>
        <v>0</v>
      </c>
      <c r="S2084" s="3">
        <f t="shared" si="557"/>
        <v>0</v>
      </c>
      <c r="T2084" s="3">
        <f>IF(AND($K2084=1,AND(对接源_02物料!$X884="公司筐",N(对接源_02物料!$V884)&lt;&gt;0)),1,0)</f>
        <v>0</v>
      </c>
      <c r="U2084" s="3">
        <f t="shared" si="558"/>
        <v>19</v>
      </c>
      <c r="V2084" s="3">
        <f>IF(AND($L2084=1,AND(对接源_02物料!$X884="自备筐",N(对接源_02物料!$V884)&lt;&gt;0)),1,0)</f>
        <v>0</v>
      </c>
      <c r="W2084" s="3">
        <f t="shared" si="559"/>
        <v>8</v>
      </c>
      <c r="X2084" s="3">
        <f>IF(AND($L2084=1,AND(对接源_02物料!$X884="自备筐",N(对接源_02物料!$T884)&lt;&gt;0)),1,0)</f>
        <v>0</v>
      </c>
      <c r="Y2084" s="3">
        <f t="shared" si="560"/>
        <v>0</v>
      </c>
      <c r="Z2084" s="3">
        <f>IF(AND($M2084=1,对接源_02物料!$D884="原料入库"),1,0)</f>
        <v>0</v>
      </c>
      <c r="AA2084" s="3">
        <f t="shared" si="561"/>
        <v>24</v>
      </c>
      <c r="AB2084" s="3">
        <f>IF(AND($M2084=1,LEFT(对接源_02物料!$D884,4)="原料出库"),1,0)</f>
        <v>0</v>
      </c>
      <c r="AC2084" s="3">
        <f t="shared" si="562"/>
        <v>0</v>
      </c>
      <c r="AD2084" s="3">
        <f>IF(AND($M2084=1,LEFT(对接源_02物料!$D884,4)="成品出库"),1,0)</f>
        <v>0</v>
      </c>
      <c r="AE2084" s="3">
        <f t="shared" si="563"/>
        <v>0</v>
      </c>
      <c r="AF2084" s="3">
        <f>IF(AND($N2084=1,AND(LEFT(对接源_02物料!$D884,4)="包装物料",N(对接源_02物料!$K884)&lt;&gt;0)),1,0)</f>
        <v>0</v>
      </c>
      <c r="AG2084" s="3">
        <f t="shared" si="564"/>
        <v>5</v>
      </c>
      <c r="AH2084" s="3">
        <f>IF(AND($N2084=1,AND(对接源_02物料!$D884="周转筐－销售出库",N(对接源_02物料!$K884)&lt;&gt;0)),1,0)</f>
        <v>0</v>
      </c>
      <c r="AI2084" s="3">
        <f t="shared" si="565"/>
        <v>0</v>
      </c>
      <c r="AL2084" s="3">
        <v>0</v>
      </c>
      <c r="AM2084" s="3">
        <f t="shared" si="566"/>
        <v>1</v>
      </c>
      <c r="AN2084" s="3" t="str">
        <f t="shared" si="553"/>
        <v/>
      </c>
      <c r="AO2084" s="3">
        <v>0</v>
      </c>
      <c r="AP2084" s="3">
        <f t="shared" si="567"/>
        <v>8</v>
      </c>
      <c r="AR2084">
        <f t="shared" si="568"/>
        <v>0</v>
      </c>
      <c r="AS2084">
        <f t="shared" si="569"/>
        <v>5</v>
      </c>
    </row>
    <row r="2085" customHeight="1" spans="1:45">
      <c r="A2085" s="3" t="str">
        <f>IF(对接源_02物料!$C885="","",对接源_02物料!$C885)</f>
        <v/>
      </c>
      <c r="B2085" s="3">
        <f t="shared" si="554"/>
        <v>0</v>
      </c>
      <c r="C2085" s="3">
        <f t="shared" si="555"/>
        <v>21</v>
      </c>
      <c r="K2085" s="3">
        <f>IF(OR($K$1="",对接源_02物料!$C885="",对接源_02物料!$C885&lt;&gt;$K$1,对接源_02物料!$B885=""),0,IF(OR(N(对接源_02物料!$B885)&lt;$K$2,N(对接源_02物料!$B885)&gt;$K$3),0,1))</f>
        <v>0</v>
      </c>
      <c r="L2085" s="3">
        <f>IF(OR($L$1="",对接源_02物料!$C885="",对接源_02物料!$C885&lt;&gt;$L$1,对接源_02物料!$B885=""),0,IF(OR(N(对接源_02物料!$B885)&lt;$L$2,N(对接源_02物料!$B885)&gt;$L$3),0,1))</f>
        <v>0</v>
      </c>
      <c r="M2085" s="3">
        <f>IF(OR($M$1="",对接源_02物料!$C885="",对接源_02物料!$C885&lt;&gt;$M$1,对接源_02物料!$B885=""),0,IF(OR(N(对接源_02物料!$B885)&lt;$M$2,N(对接源_02物料!$B885)&gt;$M$3),0,1))</f>
        <v>0</v>
      </c>
      <c r="N2085" s="3">
        <f>IF(OR($N$1="",对接源_02物料!$C885="",对接源_02物料!$C885&lt;&gt;$N$1,对接源_02物料!$B885=""),0,IF(OR(N(对接源_02物料!$B885)&lt;$N$2,N(对接源_02物料!$B885)&gt;$N$3),0,1))</f>
        <v>0</v>
      </c>
      <c r="P2085" s="3">
        <f>IF(AND($K2085=1,AND(对接源_02物料!$X885="公司筐",N(对接源_02物料!$T885)&lt;&gt;0)),1,0)</f>
        <v>0</v>
      </c>
      <c r="Q2085" s="3">
        <f t="shared" si="556"/>
        <v>8</v>
      </c>
      <c r="R2085" s="3">
        <f>IF(AND($K2085=1,AND(对接源_02物料!$X885="公司筐",N(对接源_02物料!$U885)&lt;&gt;0)),1,0)</f>
        <v>0</v>
      </c>
      <c r="S2085" s="3">
        <f t="shared" si="557"/>
        <v>0</v>
      </c>
      <c r="T2085" s="3">
        <f>IF(AND($K2085=1,AND(对接源_02物料!$X885="公司筐",N(对接源_02物料!$V885)&lt;&gt;0)),1,0)</f>
        <v>0</v>
      </c>
      <c r="U2085" s="3">
        <f t="shared" si="558"/>
        <v>19</v>
      </c>
      <c r="V2085" s="3">
        <f>IF(AND($L2085=1,AND(对接源_02物料!$X885="自备筐",N(对接源_02物料!$V885)&lt;&gt;0)),1,0)</f>
        <v>0</v>
      </c>
      <c r="W2085" s="3">
        <f t="shared" si="559"/>
        <v>8</v>
      </c>
      <c r="X2085" s="3">
        <f>IF(AND($L2085=1,AND(对接源_02物料!$X885="自备筐",N(对接源_02物料!$T885)&lt;&gt;0)),1,0)</f>
        <v>0</v>
      </c>
      <c r="Y2085" s="3">
        <f t="shared" si="560"/>
        <v>0</v>
      </c>
      <c r="Z2085" s="3">
        <f>IF(AND($M2085=1,对接源_02物料!$D885="原料入库"),1,0)</f>
        <v>0</v>
      </c>
      <c r="AA2085" s="3">
        <f t="shared" si="561"/>
        <v>24</v>
      </c>
      <c r="AB2085" s="3">
        <f>IF(AND($M2085=1,LEFT(对接源_02物料!$D885,4)="原料出库"),1,0)</f>
        <v>0</v>
      </c>
      <c r="AC2085" s="3">
        <f t="shared" si="562"/>
        <v>0</v>
      </c>
      <c r="AD2085" s="3">
        <f>IF(AND($M2085=1,LEFT(对接源_02物料!$D885,4)="成品出库"),1,0)</f>
        <v>0</v>
      </c>
      <c r="AE2085" s="3">
        <f t="shared" si="563"/>
        <v>0</v>
      </c>
      <c r="AF2085" s="3">
        <f>IF(AND($N2085=1,AND(LEFT(对接源_02物料!$D885,4)="包装物料",N(对接源_02物料!$K885)&lt;&gt;0)),1,0)</f>
        <v>0</v>
      </c>
      <c r="AG2085" s="3">
        <f t="shared" si="564"/>
        <v>5</v>
      </c>
      <c r="AH2085" s="3">
        <f>IF(AND($N2085=1,AND(对接源_02物料!$D885="周转筐－销售出库",N(对接源_02物料!$K885)&lt;&gt;0)),1,0)</f>
        <v>0</v>
      </c>
      <c r="AI2085" s="3">
        <f t="shared" si="565"/>
        <v>0</v>
      </c>
      <c r="AL2085" s="3">
        <v>0</v>
      </c>
      <c r="AM2085" s="3">
        <f t="shared" si="566"/>
        <v>1</v>
      </c>
      <c r="AN2085" s="3" t="str">
        <f t="shared" si="553"/>
        <v/>
      </c>
      <c r="AO2085" s="3">
        <v>0</v>
      </c>
      <c r="AP2085" s="3">
        <f t="shared" si="567"/>
        <v>8</v>
      </c>
      <c r="AR2085">
        <f t="shared" si="568"/>
        <v>0</v>
      </c>
      <c r="AS2085">
        <f t="shared" si="569"/>
        <v>5</v>
      </c>
    </row>
    <row r="2086" customHeight="1" spans="1:45">
      <c r="A2086" s="3" t="str">
        <f>IF(对接源_02物料!$C886="","",对接源_02物料!$C886)</f>
        <v/>
      </c>
      <c r="B2086" s="3">
        <f t="shared" si="554"/>
        <v>0</v>
      </c>
      <c r="C2086" s="3">
        <f t="shared" si="555"/>
        <v>21</v>
      </c>
      <c r="K2086" s="3">
        <f>IF(OR($K$1="",对接源_02物料!$C886="",对接源_02物料!$C886&lt;&gt;$K$1,对接源_02物料!$B886=""),0,IF(OR(N(对接源_02物料!$B886)&lt;$K$2,N(对接源_02物料!$B886)&gt;$K$3),0,1))</f>
        <v>0</v>
      </c>
      <c r="L2086" s="3">
        <f>IF(OR($L$1="",对接源_02物料!$C886="",对接源_02物料!$C886&lt;&gt;$L$1,对接源_02物料!$B886=""),0,IF(OR(N(对接源_02物料!$B886)&lt;$L$2,N(对接源_02物料!$B886)&gt;$L$3),0,1))</f>
        <v>0</v>
      </c>
      <c r="M2086" s="3">
        <f>IF(OR($M$1="",对接源_02物料!$C886="",对接源_02物料!$C886&lt;&gt;$M$1,对接源_02物料!$B886=""),0,IF(OR(N(对接源_02物料!$B886)&lt;$M$2,N(对接源_02物料!$B886)&gt;$M$3),0,1))</f>
        <v>0</v>
      </c>
      <c r="N2086" s="3">
        <f>IF(OR($N$1="",对接源_02物料!$C886="",对接源_02物料!$C886&lt;&gt;$N$1,对接源_02物料!$B886=""),0,IF(OR(N(对接源_02物料!$B886)&lt;$N$2,N(对接源_02物料!$B886)&gt;$N$3),0,1))</f>
        <v>0</v>
      </c>
      <c r="P2086" s="3">
        <f>IF(AND($K2086=1,AND(对接源_02物料!$X886="公司筐",N(对接源_02物料!$T886)&lt;&gt;0)),1,0)</f>
        <v>0</v>
      </c>
      <c r="Q2086" s="3">
        <f t="shared" si="556"/>
        <v>8</v>
      </c>
      <c r="R2086" s="3">
        <f>IF(AND($K2086=1,AND(对接源_02物料!$X886="公司筐",N(对接源_02物料!$U886)&lt;&gt;0)),1,0)</f>
        <v>0</v>
      </c>
      <c r="S2086" s="3">
        <f t="shared" si="557"/>
        <v>0</v>
      </c>
      <c r="T2086" s="3">
        <f>IF(AND($K2086=1,AND(对接源_02物料!$X886="公司筐",N(对接源_02物料!$V886)&lt;&gt;0)),1,0)</f>
        <v>0</v>
      </c>
      <c r="U2086" s="3">
        <f t="shared" si="558"/>
        <v>19</v>
      </c>
      <c r="V2086" s="3">
        <f>IF(AND($L2086=1,AND(对接源_02物料!$X886="自备筐",N(对接源_02物料!$V886)&lt;&gt;0)),1,0)</f>
        <v>0</v>
      </c>
      <c r="W2086" s="3">
        <f t="shared" si="559"/>
        <v>8</v>
      </c>
      <c r="X2086" s="3">
        <f>IF(AND($L2086=1,AND(对接源_02物料!$X886="自备筐",N(对接源_02物料!$T886)&lt;&gt;0)),1,0)</f>
        <v>0</v>
      </c>
      <c r="Y2086" s="3">
        <f t="shared" si="560"/>
        <v>0</v>
      </c>
      <c r="Z2086" s="3">
        <f>IF(AND($M2086=1,对接源_02物料!$D886="原料入库"),1,0)</f>
        <v>0</v>
      </c>
      <c r="AA2086" s="3">
        <f t="shared" si="561"/>
        <v>24</v>
      </c>
      <c r="AB2086" s="3">
        <f>IF(AND($M2086=1,LEFT(对接源_02物料!$D886,4)="原料出库"),1,0)</f>
        <v>0</v>
      </c>
      <c r="AC2086" s="3">
        <f t="shared" si="562"/>
        <v>0</v>
      </c>
      <c r="AD2086" s="3">
        <f>IF(AND($M2086=1,LEFT(对接源_02物料!$D886,4)="成品出库"),1,0)</f>
        <v>0</v>
      </c>
      <c r="AE2086" s="3">
        <f t="shared" si="563"/>
        <v>0</v>
      </c>
      <c r="AF2086" s="3">
        <f>IF(AND($N2086=1,AND(LEFT(对接源_02物料!$D886,4)="包装物料",N(对接源_02物料!$K886)&lt;&gt;0)),1,0)</f>
        <v>0</v>
      </c>
      <c r="AG2086" s="3">
        <f t="shared" si="564"/>
        <v>5</v>
      </c>
      <c r="AH2086" s="3">
        <f>IF(AND($N2086=1,AND(对接源_02物料!$D886="周转筐－销售出库",N(对接源_02物料!$K886)&lt;&gt;0)),1,0)</f>
        <v>0</v>
      </c>
      <c r="AI2086" s="3">
        <f t="shared" si="565"/>
        <v>0</v>
      </c>
      <c r="AL2086" s="3">
        <v>0</v>
      </c>
      <c r="AM2086" s="3">
        <f t="shared" si="566"/>
        <v>1</v>
      </c>
      <c r="AN2086" s="3" t="str">
        <f t="shared" si="553"/>
        <v/>
      </c>
      <c r="AO2086" s="3">
        <v>0</v>
      </c>
      <c r="AP2086" s="3">
        <f t="shared" si="567"/>
        <v>8</v>
      </c>
      <c r="AR2086">
        <f t="shared" si="568"/>
        <v>0</v>
      </c>
      <c r="AS2086">
        <f t="shared" si="569"/>
        <v>5</v>
      </c>
    </row>
    <row r="2087" customHeight="1" spans="1:45">
      <c r="A2087" s="3" t="str">
        <f>IF(对接源_02物料!$C887="","",对接源_02物料!$C887)</f>
        <v/>
      </c>
      <c r="B2087" s="3">
        <f t="shared" si="554"/>
        <v>0</v>
      </c>
      <c r="C2087" s="3">
        <f t="shared" si="555"/>
        <v>21</v>
      </c>
      <c r="K2087" s="3">
        <f>IF(OR($K$1="",对接源_02物料!$C887="",对接源_02物料!$C887&lt;&gt;$K$1,对接源_02物料!$B887=""),0,IF(OR(N(对接源_02物料!$B887)&lt;$K$2,N(对接源_02物料!$B887)&gt;$K$3),0,1))</f>
        <v>0</v>
      </c>
      <c r="L2087" s="3">
        <f>IF(OR($L$1="",对接源_02物料!$C887="",对接源_02物料!$C887&lt;&gt;$L$1,对接源_02物料!$B887=""),0,IF(OR(N(对接源_02物料!$B887)&lt;$L$2,N(对接源_02物料!$B887)&gt;$L$3),0,1))</f>
        <v>0</v>
      </c>
      <c r="M2087" s="3">
        <f>IF(OR($M$1="",对接源_02物料!$C887="",对接源_02物料!$C887&lt;&gt;$M$1,对接源_02物料!$B887=""),0,IF(OR(N(对接源_02物料!$B887)&lt;$M$2,N(对接源_02物料!$B887)&gt;$M$3),0,1))</f>
        <v>0</v>
      </c>
      <c r="N2087" s="3">
        <f>IF(OR($N$1="",对接源_02物料!$C887="",对接源_02物料!$C887&lt;&gt;$N$1,对接源_02物料!$B887=""),0,IF(OR(N(对接源_02物料!$B887)&lt;$N$2,N(对接源_02物料!$B887)&gt;$N$3),0,1))</f>
        <v>0</v>
      </c>
      <c r="P2087" s="3">
        <f>IF(AND($K2087=1,AND(对接源_02物料!$X887="公司筐",N(对接源_02物料!$T887)&lt;&gt;0)),1,0)</f>
        <v>0</v>
      </c>
      <c r="Q2087" s="3">
        <f t="shared" si="556"/>
        <v>8</v>
      </c>
      <c r="R2087" s="3">
        <f>IF(AND($K2087=1,AND(对接源_02物料!$X887="公司筐",N(对接源_02物料!$U887)&lt;&gt;0)),1,0)</f>
        <v>0</v>
      </c>
      <c r="S2087" s="3">
        <f t="shared" si="557"/>
        <v>0</v>
      </c>
      <c r="T2087" s="3">
        <f>IF(AND($K2087=1,AND(对接源_02物料!$X887="公司筐",N(对接源_02物料!$V887)&lt;&gt;0)),1,0)</f>
        <v>0</v>
      </c>
      <c r="U2087" s="3">
        <f t="shared" si="558"/>
        <v>19</v>
      </c>
      <c r="V2087" s="3">
        <f>IF(AND($L2087=1,AND(对接源_02物料!$X887="自备筐",N(对接源_02物料!$V887)&lt;&gt;0)),1,0)</f>
        <v>0</v>
      </c>
      <c r="W2087" s="3">
        <f t="shared" si="559"/>
        <v>8</v>
      </c>
      <c r="X2087" s="3">
        <f>IF(AND($L2087=1,AND(对接源_02物料!$X887="自备筐",N(对接源_02物料!$T887)&lt;&gt;0)),1,0)</f>
        <v>0</v>
      </c>
      <c r="Y2087" s="3">
        <f t="shared" si="560"/>
        <v>0</v>
      </c>
      <c r="Z2087" s="3">
        <f>IF(AND($M2087=1,对接源_02物料!$D887="原料入库"),1,0)</f>
        <v>0</v>
      </c>
      <c r="AA2087" s="3">
        <f t="shared" si="561"/>
        <v>24</v>
      </c>
      <c r="AB2087" s="3">
        <f>IF(AND($M2087=1,LEFT(对接源_02物料!$D887,4)="原料出库"),1,0)</f>
        <v>0</v>
      </c>
      <c r="AC2087" s="3">
        <f t="shared" si="562"/>
        <v>0</v>
      </c>
      <c r="AD2087" s="3">
        <f>IF(AND($M2087=1,LEFT(对接源_02物料!$D887,4)="成品出库"),1,0)</f>
        <v>0</v>
      </c>
      <c r="AE2087" s="3">
        <f t="shared" si="563"/>
        <v>0</v>
      </c>
      <c r="AF2087" s="3">
        <f>IF(AND($N2087=1,AND(LEFT(对接源_02物料!$D887,4)="包装物料",N(对接源_02物料!$K887)&lt;&gt;0)),1,0)</f>
        <v>0</v>
      </c>
      <c r="AG2087" s="3">
        <f t="shared" si="564"/>
        <v>5</v>
      </c>
      <c r="AH2087" s="3">
        <f>IF(AND($N2087=1,AND(对接源_02物料!$D887="周转筐－销售出库",N(对接源_02物料!$K887)&lt;&gt;0)),1,0)</f>
        <v>0</v>
      </c>
      <c r="AI2087" s="3">
        <f t="shared" si="565"/>
        <v>0</v>
      </c>
      <c r="AL2087" s="3">
        <v>0</v>
      </c>
      <c r="AM2087" s="3">
        <f t="shared" si="566"/>
        <v>1</v>
      </c>
      <c r="AN2087" s="3" t="str">
        <f t="shared" si="553"/>
        <v/>
      </c>
      <c r="AO2087" s="3">
        <v>0</v>
      </c>
      <c r="AP2087" s="3">
        <f t="shared" si="567"/>
        <v>8</v>
      </c>
      <c r="AR2087">
        <f t="shared" si="568"/>
        <v>0</v>
      </c>
      <c r="AS2087">
        <f t="shared" si="569"/>
        <v>5</v>
      </c>
    </row>
    <row r="2088" customHeight="1" spans="1:45">
      <c r="A2088" s="3" t="str">
        <f>IF(对接源_02物料!$C888="","",对接源_02物料!$C888)</f>
        <v/>
      </c>
      <c r="B2088" s="3">
        <f t="shared" si="554"/>
        <v>0</v>
      </c>
      <c r="C2088" s="3">
        <f t="shared" si="555"/>
        <v>21</v>
      </c>
      <c r="K2088" s="3">
        <f>IF(OR($K$1="",对接源_02物料!$C888="",对接源_02物料!$C888&lt;&gt;$K$1,对接源_02物料!$B888=""),0,IF(OR(N(对接源_02物料!$B888)&lt;$K$2,N(对接源_02物料!$B888)&gt;$K$3),0,1))</f>
        <v>0</v>
      </c>
      <c r="L2088" s="3">
        <f>IF(OR($L$1="",对接源_02物料!$C888="",对接源_02物料!$C888&lt;&gt;$L$1,对接源_02物料!$B888=""),0,IF(OR(N(对接源_02物料!$B888)&lt;$L$2,N(对接源_02物料!$B888)&gt;$L$3),0,1))</f>
        <v>0</v>
      </c>
      <c r="M2088" s="3">
        <f>IF(OR($M$1="",对接源_02物料!$C888="",对接源_02物料!$C888&lt;&gt;$M$1,对接源_02物料!$B888=""),0,IF(OR(N(对接源_02物料!$B888)&lt;$M$2,N(对接源_02物料!$B888)&gt;$M$3),0,1))</f>
        <v>0</v>
      </c>
      <c r="N2088" s="3">
        <f>IF(OR($N$1="",对接源_02物料!$C888="",对接源_02物料!$C888&lt;&gt;$N$1,对接源_02物料!$B888=""),0,IF(OR(N(对接源_02物料!$B888)&lt;$N$2,N(对接源_02物料!$B888)&gt;$N$3),0,1))</f>
        <v>0</v>
      </c>
      <c r="P2088" s="3">
        <f>IF(AND($K2088=1,AND(对接源_02物料!$X888="公司筐",N(对接源_02物料!$T888)&lt;&gt;0)),1,0)</f>
        <v>0</v>
      </c>
      <c r="Q2088" s="3">
        <f t="shared" si="556"/>
        <v>8</v>
      </c>
      <c r="R2088" s="3">
        <f>IF(AND($K2088=1,AND(对接源_02物料!$X888="公司筐",N(对接源_02物料!$U888)&lt;&gt;0)),1,0)</f>
        <v>0</v>
      </c>
      <c r="S2088" s="3">
        <f t="shared" si="557"/>
        <v>0</v>
      </c>
      <c r="T2088" s="3">
        <f>IF(AND($K2088=1,AND(对接源_02物料!$X888="公司筐",N(对接源_02物料!$V888)&lt;&gt;0)),1,0)</f>
        <v>0</v>
      </c>
      <c r="U2088" s="3">
        <f t="shared" si="558"/>
        <v>19</v>
      </c>
      <c r="V2088" s="3">
        <f>IF(AND($L2088=1,AND(对接源_02物料!$X888="自备筐",N(对接源_02物料!$V888)&lt;&gt;0)),1,0)</f>
        <v>0</v>
      </c>
      <c r="W2088" s="3">
        <f t="shared" si="559"/>
        <v>8</v>
      </c>
      <c r="X2088" s="3">
        <f>IF(AND($L2088=1,AND(对接源_02物料!$X888="自备筐",N(对接源_02物料!$T888)&lt;&gt;0)),1,0)</f>
        <v>0</v>
      </c>
      <c r="Y2088" s="3">
        <f t="shared" si="560"/>
        <v>0</v>
      </c>
      <c r="Z2088" s="3">
        <f>IF(AND($M2088=1,对接源_02物料!$D888="原料入库"),1,0)</f>
        <v>0</v>
      </c>
      <c r="AA2088" s="3">
        <f t="shared" si="561"/>
        <v>24</v>
      </c>
      <c r="AB2088" s="3">
        <f>IF(AND($M2088=1,LEFT(对接源_02物料!$D888,4)="原料出库"),1,0)</f>
        <v>0</v>
      </c>
      <c r="AC2088" s="3">
        <f t="shared" si="562"/>
        <v>0</v>
      </c>
      <c r="AD2088" s="3">
        <f>IF(AND($M2088=1,LEFT(对接源_02物料!$D888,4)="成品出库"),1,0)</f>
        <v>0</v>
      </c>
      <c r="AE2088" s="3">
        <f t="shared" si="563"/>
        <v>0</v>
      </c>
      <c r="AF2088" s="3">
        <f>IF(AND($N2088=1,AND(LEFT(对接源_02物料!$D888,4)="包装物料",N(对接源_02物料!$K888)&lt;&gt;0)),1,0)</f>
        <v>0</v>
      </c>
      <c r="AG2088" s="3">
        <f t="shared" si="564"/>
        <v>5</v>
      </c>
      <c r="AH2088" s="3">
        <f>IF(AND($N2088=1,AND(对接源_02物料!$D888="周转筐－销售出库",N(对接源_02物料!$K888)&lt;&gt;0)),1,0)</f>
        <v>0</v>
      </c>
      <c r="AI2088" s="3">
        <f t="shared" si="565"/>
        <v>0</v>
      </c>
      <c r="AL2088" s="3">
        <v>0</v>
      </c>
      <c r="AM2088" s="3">
        <f t="shared" si="566"/>
        <v>1</v>
      </c>
      <c r="AN2088" s="3" t="str">
        <f t="shared" si="553"/>
        <v/>
      </c>
      <c r="AO2088" s="3">
        <v>0</v>
      </c>
      <c r="AP2088" s="3">
        <f t="shared" si="567"/>
        <v>8</v>
      </c>
      <c r="AR2088">
        <f t="shared" si="568"/>
        <v>0</v>
      </c>
      <c r="AS2088">
        <f t="shared" si="569"/>
        <v>5</v>
      </c>
    </row>
    <row r="2089" customHeight="1" spans="1:45">
      <c r="A2089" s="3" t="str">
        <f>IF(对接源_02物料!$C889="","",对接源_02物料!$C889)</f>
        <v/>
      </c>
      <c r="B2089" s="3">
        <f t="shared" si="554"/>
        <v>0</v>
      </c>
      <c r="C2089" s="3">
        <f t="shared" si="555"/>
        <v>21</v>
      </c>
      <c r="K2089" s="3">
        <f>IF(OR($K$1="",对接源_02物料!$C889="",对接源_02物料!$C889&lt;&gt;$K$1,对接源_02物料!$B889=""),0,IF(OR(N(对接源_02物料!$B889)&lt;$K$2,N(对接源_02物料!$B889)&gt;$K$3),0,1))</f>
        <v>0</v>
      </c>
      <c r="L2089" s="3">
        <f>IF(OR($L$1="",对接源_02物料!$C889="",对接源_02物料!$C889&lt;&gt;$L$1,对接源_02物料!$B889=""),0,IF(OR(N(对接源_02物料!$B889)&lt;$L$2,N(对接源_02物料!$B889)&gt;$L$3),0,1))</f>
        <v>0</v>
      </c>
      <c r="M2089" s="3">
        <f>IF(OR($M$1="",对接源_02物料!$C889="",对接源_02物料!$C889&lt;&gt;$M$1,对接源_02物料!$B889=""),0,IF(OR(N(对接源_02物料!$B889)&lt;$M$2,N(对接源_02物料!$B889)&gt;$M$3),0,1))</f>
        <v>0</v>
      </c>
      <c r="N2089" s="3">
        <f>IF(OR($N$1="",对接源_02物料!$C889="",对接源_02物料!$C889&lt;&gt;$N$1,对接源_02物料!$B889=""),0,IF(OR(N(对接源_02物料!$B889)&lt;$N$2,N(对接源_02物料!$B889)&gt;$N$3),0,1))</f>
        <v>0</v>
      </c>
      <c r="P2089" s="3">
        <f>IF(AND($K2089=1,AND(对接源_02物料!$X889="公司筐",N(对接源_02物料!$T889)&lt;&gt;0)),1,0)</f>
        <v>0</v>
      </c>
      <c r="Q2089" s="3">
        <f t="shared" si="556"/>
        <v>8</v>
      </c>
      <c r="R2089" s="3">
        <f>IF(AND($K2089=1,AND(对接源_02物料!$X889="公司筐",N(对接源_02物料!$U889)&lt;&gt;0)),1,0)</f>
        <v>0</v>
      </c>
      <c r="S2089" s="3">
        <f t="shared" si="557"/>
        <v>0</v>
      </c>
      <c r="T2089" s="3">
        <f>IF(AND($K2089=1,AND(对接源_02物料!$X889="公司筐",N(对接源_02物料!$V889)&lt;&gt;0)),1,0)</f>
        <v>0</v>
      </c>
      <c r="U2089" s="3">
        <f t="shared" si="558"/>
        <v>19</v>
      </c>
      <c r="V2089" s="3">
        <f>IF(AND($L2089=1,AND(对接源_02物料!$X889="自备筐",N(对接源_02物料!$V889)&lt;&gt;0)),1,0)</f>
        <v>0</v>
      </c>
      <c r="W2089" s="3">
        <f t="shared" si="559"/>
        <v>8</v>
      </c>
      <c r="X2089" s="3">
        <f>IF(AND($L2089=1,AND(对接源_02物料!$X889="自备筐",N(对接源_02物料!$T889)&lt;&gt;0)),1,0)</f>
        <v>0</v>
      </c>
      <c r="Y2089" s="3">
        <f t="shared" si="560"/>
        <v>0</v>
      </c>
      <c r="Z2089" s="3">
        <f>IF(AND($M2089=1,对接源_02物料!$D889="原料入库"),1,0)</f>
        <v>0</v>
      </c>
      <c r="AA2089" s="3">
        <f t="shared" si="561"/>
        <v>24</v>
      </c>
      <c r="AB2089" s="3">
        <f>IF(AND($M2089=1,LEFT(对接源_02物料!$D889,4)="原料出库"),1,0)</f>
        <v>0</v>
      </c>
      <c r="AC2089" s="3">
        <f t="shared" si="562"/>
        <v>0</v>
      </c>
      <c r="AD2089" s="3">
        <f>IF(AND($M2089=1,LEFT(对接源_02物料!$D889,4)="成品出库"),1,0)</f>
        <v>0</v>
      </c>
      <c r="AE2089" s="3">
        <f t="shared" si="563"/>
        <v>0</v>
      </c>
      <c r="AF2089" s="3">
        <f>IF(AND($N2089=1,AND(LEFT(对接源_02物料!$D889,4)="包装物料",N(对接源_02物料!$K889)&lt;&gt;0)),1,0)</f>
        <v>0</v>
      </c>
      <c r="AG2089" s="3">
        <f t="shared" si="564"/>
        <v>5</v>
      </c>
      <c r="AH2089" s="3">
        <f>IF(AND($N2089=1,AND(对接源_02物料!$D889="周转筐－销售出库",N(对接源_02物料!$K889)&lt;&gt;0)),1,0)</f>
        <v>0</v>
      </c>
      <c r="AI2089" s="3">
        <f t="shared" si="565"/>
        <v>0</v>
      </c>
      <c r="AL2089" s="3">
        <v>0</v>
      </c>
      <c r="AM2089" s="3">
        <f t="shared" si="566"/>
        <v>1</v>
      </c>
      <c r="AN2089" s="3" t="str">
        <f t="shared" si="553"/>
        <v/>
      </c>
      <c r="AO2089" s="3">
        <v>0</v>
      </c>
      <c r="AP2089" s="3">
        <f t="shared" si="567"/>
        <v>8</v>
      </c>
      <c r="AR2089">
        <f t="shared" si="568"/>
        <v>0</v>
      </c>
      <c r="AS2089">
        <f t="shared" si="569"/>
        <v>5</v>
      </c>
    </row>
    <row r="2090" customHeight="1" spans="1:45">
      <c r="A2090" s="3" t="str">
        <f>IF(对接源_02物料!$C890="","",对接源_02物料!$C890)</f>
        <v/>
      </c>
      <c r="B2090" s="3">
        <f t="shared" si="554"/>
        <v>0</v>
      </c>
      <c r="C2090" s="3">
        <f t="shared" si="555"/>
        <v>21</v>
      </c>
      <c r="K2090" s="3">
        <f>IF(OR($K$1="",对接源_02物料!$C890="",对接源_02物料!$C890&lt;&gt;$K$1,对接源_02物料!$B890=""),0,IF(OR(N(对接源_02物料!$B890)&lt;$K$2,N(对接源_02物料!$B890)&gt;$K$3),0,1))</f>
        <v>0</v>
      </c>
      <c r="L2090" s="3">
        <f>IF(OR($L$1="",对接源_02物料!$C890="",对接源_02物料!$C890&lt;&gt;$L$1,对接源_02物料!$B890=""),0,IF(OR(N(对接源_02物料!$B890)&lt;$L$2,N(对接源_02物料!$B890)&gt;$L$3),0,1))</f>
        <v>0</v>
      </c>
      <c r="M2090" s="3">
        <f>IF(OR($M$1="",对接源_02物料!$C890="",对接源_02物料!$C890&lt;&gt;$M$1,对接源_02物料!$B890=""),0,IF(OR(N(对接源_02物料!$B890)&lt;$M$2,N(对接源_02物料!$B890)&gt;$M$3),0,1))</f>
        <v>0</v>
      </c>
      <c r="N2090" s="3">
        <f>IF(OR($N$1="",对接源_02物料!$C890="",对接源_02物料!$C890&lt;&gt;$N$1,对接源_02物料!$B890=""),0,IF(OR(N(对接源_02物料!$B890)&lt;$N$2,N(对接源_02物料!$B890)&gt;$N$3),0,1))</f>
        <v>0</v>
      </c>
      <c r="P2090" s="3">
        <f>IF(AND($K2090=1,AND(对接源_02物料!$X890="公司筐",N(对接源_02物料!$T890)&lt;&gt;0)),1,0)</f>
        <v>0</v>
      </c>
      <c r="Q2090" s="3">
        <f t="shared" si="556"/>
        <v>8</v>
      </c>
      <c r="R2090" s="3">
        <f>IF(AND($K2090=1,AND(对接源_02物料!$X890="公司筐",N(对接源_02物料!$U890)&lt;&gt;0)),1,0)</f>
        <v>0</v>
      </c>
      <c r="S2090" s="3">
        <f t="shared" si="557"/>
        <v>0</v>
      </c>
      <c r="T2090" s="3">
        <f>IF(AND($K2090=1,AND(对接源_02物料!$X890="公司筐",N(对接源_02物料!$V890)&lt;&gt;0)),1,0)</f>
        <v>0</v>
      </c>
      <c r="U2090" s="3">
        <f t="shared" si="558"/>
        <v>19</v>
      </c>
      <c r="V2090" s="3">
        <f>IF(AND($L2090=1,AND(对接源_02物料!$X890="自备筐",N(对接源_02物料!$V890)&lt;&gt;0)),1,0)</f>
        <v>0</v>
      </c>
      <c r="W2090" s="3">
        <f t="shared" si="559"/>
        <v>8</v>
      </c>
      <c r="X2090" s="3">
        <f>IF(AND($L2090=1,AND(对接源_02物料!$X890="自备筐",N(对接源_02物料!$T890)&lt;&gt;0)),1,0)</f>
        <v>0</v>
      </c>
      <c r="Y2090" s="3">
        <f t="shared" si="560"/>
        <v>0</v>
      </c>
      <c r="Z2090" s="3">
        <f>IF(AND($M2090=1,对接源_02物料!$D890="原料入库"),1,0)</f>
        <v>0</v>
      </c>
      <c r="AA2090" s="3">
        <f t="shared" si="561"/>
        <v>24</v>
      </c>
      <c r="AB2090" s="3">
        <f>IF(AND($M2090=1,LEFT(对接源_02物料!$D890,4)="原料出库"),1,0)</f>
        <v>0</v>
      </c>
      <c r="AC2090" s="3">
        <f t="shared" si="562"/>
        <v>0</v>
      </c>
      <c r="AD2090" s="3">
        <f>IF(AND($M2090=1,LEFT(对接源_02物料!$D890,4)="成品出库"),1,0)</f>
        <v>0</v>
      </c>
      <c r="AE2090" s="3">
        <f t="shared" si="563"/>
        <v>0</v>
      </c>
      <c r="AF2090" s="3">
        <f>IF(AND($N2090=1,AND(LEFT(对接源_02物料!$D890,4)="包装物料",N(对接源_02物料!$K890)&lt;&gt;0)),1,0)</f>
        <v>0</v>
      </c>
      <c r="AG2090" s="3">
        <f t="shared" si="564"/>
        <v>5</v>
      </c>
      <c r="AH2090" s="3">
        <f>IF(AND($N2090=1,AND(对接源_02物料!$D890="周转筐－销售出库",N(对接源_02物料!$K890)&lt;&gt;0)),1,0)</f>
        <v>0</v>
      </c>
      <c r="AI2090" s="3">
        <f t="shared" si="565"/>
        <v>0</v>
      </c>
      <c r="AL2090" s="3">
        <v>0</v>
      </c>
      <c r="AM2090" s="3">
        <f t="shared" si="566"/>
        <v>1</v>
      </c>
      <c r="AN2090" s="3" t="str">
        <f t="shared" si="553"/>
        <v/>
      </c>
      <c r="AO2090" s="3">
        <v>0</v>
      </c>
      <c r="AP2090" s="3">
        <f t="shared" si="567"/>
        <v>8</v>
      </c>
      <c r="AR2090">
        <f t="shared" si="568"/>
        <v>0</v>
      </c>
      <c r="AS2090">
        <f t="shared" si="569"/>
        <v>5</v>
      </c>
    </row>
    <row r="2091" customHeight="1" spans="1:45">
      <c r="A2091" s="3" t="str">
        <f>IF(对接源_02物料!$C891="","",对接源_02物料!$C891)</f>
        <v/>
      </c>
      <c r="B2091" s="3">
        <f t="shared" si="554"/>
        <v>0</v>
      </c>
      <c r="C2091" s="3">
        <f t="shared" si="555"/>
        <v>21</v>
      </c>
      <c r="K2091" s="3">
        <f>IF(OR($K$1="",对接源_02物料!$C891="",对接源_02物料!$C891&lt;&gt;$K$1,对接源_02物料!$B891=""),0,IF(OR(N(对接源_02物料!$B891)&lt;$K$2,N(对接源_02物料!$B891)&gt;$K$3),0,1))</f>
        <v>0</v>
      </c>
      <c r="L2091" s="3">
        <f>IF(OR($L$1="",对接源_02物料!$C891="",对接源_02物料!$C891&lt;&gt;$L$1,对接源_02物料!$B891=""),0,IF(OR(N(对接源_02物料!$B891)&lt;$L$2,N(对接源_02物料!$B891)&gt;$L$3),0,1))</f>
        <v>0</v>
      </c>
      <c r="M2091" s="3">
        <f>IF(OR($M$1="",对接源_02物料!$C891="",对接源_02物料!$C891&lt;&gt;$M$1,对接源_02物料!$B891=""),0,IF(OR(N(对接源_02物料!$B891)&lt;$M$2,N(对接源_02物料!$B891)&gt;$M$3),0,1))</f>
        <v>0</v>
      </c>
      <c r="N2091" s="3">
        <f>IF(OR($N$1="",对接源_02物料!$C891="",对接源_02物料!$C891&lt;&gt;$N$1,对接源_02物料!$B891=""),0,IF(OR(N(对接源_02物料!$B891)&lt;$N$2,N(对接源_02物料!$B891)&gt;$N$3),0,1))</f>
        <v>0</v>
      </c>
      <c r="P2091" s="3">
        <f>IF(AND($K2091=1,AND(对接源_02物料!$X891="公司筐",N(对接源_02物料!$T891)&lt;&gt;0)),1,0)</f>
        <v>0</v>
      </c>
      <c r="Q2091" s="3">
        <f t="shared" si="556"/>
        <v>8</v>
      </c>
      <c r="R2091" s="3">
        <f>IF(AND($K2091=1,AND(对接源_02物料!$X891="公司筐",N(对接源_02物料!$U891)&lt;&gt;0)),1,0)</f>
        <v>0</v>
      </c>
      <c r="S2091" s="3">
        <f t="shared" si="557"/>
        <v>0</v>
      </c>
      <c r="T2091" s="3">
        <f>IF(AND($K2091=1,AND(对接源_02物料!$X891="公司筐",N(对接源_02物料!$V891)&lt;&gt;0)),1,0)</f>
        <v>0</v>
      </c>
      <c r="U2091" s="3">
        <f t="shared" si="558"/>
        <v>19</v>
      </c>
      <c r="V2091" s="3">
        <f>IF(AND($L2091=1,AND(对接源_02物料!$X891="自备筐",N(对接源_02物料!$V891)&lt;&gt;0)),1,0)</f>
        <v>0</v>
      </c>
      <c r="W2091" s="3">
        <f t="shared" si="559"/>
        <v>8</v>
      </c>
      <c r="X2091" s="3">
        <f>IF(AND($L2091=1,AND(对接源_02物料!$X891="自备筐",N(对接源_02物料!$T891)&lt;&gt;0)),1,0)</f>
        <v>0</v>
      </c>
      <c r="Y2091" s="3">
        <f t="shared" si="560"/>
        <v>0</v>
      </c>
      <c r="Z2091" s="3">
        <f>IF(AND($M2091=1,对接源_02物料!$D891="原料入库"),1,0)</f>
        <v>0</v>
      </c>
      <c r="AA2091" s="3">
        <f t="shared" si="561"/>
        <v>24</v>
      </c>
      <c r="AB2091" s="3">
        <f>IF(AND($M2091=1,LEFT(对接源_02物料!$D891,4)="原料出库"),1,0)</f>
        <v>0</v>
      </c>
      <c r="AC2091" s="3">
        <f t="shared" si="562"/>
        <v>0</v>
      </c>
      <c r="AD2091" s="3">
        <f>IF(AND($M2091=1,LEFT(对接源_02物料!$D891,4)="成品出库"),1,0)</f>
        <v>0</v>
      </c>
      <c r="AE2091" s="3">
        <f t="shared" si="563"/>
        <v>0</v>
      </c>
      <c r="AF2091" s="3">
        <f>IF(AND($N2091=1,AND(LEFT(对接源_02物料!$D891,4)="包装物料",N(对接源_02物料!$K891)&lt;&gt;0)),1,0)</f>
        <v>0</v>
      </c>
      <c r="AG2091" s="3">
        <f t="shared" si="564"/>
        <v>5</v>
      </c>
      <c r="AH2091" s="3">
        <f>IF(AND($N2091=1,AND(对接源_02物料!$D891="周转筐－销售出库",N(对接源_02物料!$K891)&lt;&gt;0)),1,0)</f>
        <v>0</v>
      </c>
      <c r="AI2091" s="3">
        <f t="shared" si="565"/>
        <v>0</v>
      </c>
      <c r="AL2091" s="3">
        <v>0</v>
      </c>
      <c r="AM2091" s="3">
        <f t="shared" si="566"/>
        <v>1</v>
      </c>
      <c r="AN2091" s="3" t="str">
        <f t="shared" si="553"/>
        <v/>
      </c>
      <c r="AO2091" s="3">
        <v>0</v>
      </c>
      <c r="AP2091" s="3">
        <f t="shared" si="567"/>
        <v>8</v>
      </c>
      <c r="AR2091">
        <f t="shared" si="568"/>
        <v>0</v>
      </c>
      <c r="AS2091">
        <f t="shared" si="569"/>
        <v>5</v>
      </c>
    </row>
    <row r="2092" customHeight="1" spans="1:45">
      <c r="A2092" s="3" t="str">
        <f>IF(对接源_02物料!$C892="","",对接源_02物料!$C892)</f>
        <v/>
      </c>
      <c r="B2092" s="3">
        <f t="shared" si="554"/>
        <v>0</v>
      </c>
      <c r="C2092" s="3">
        <f t="shared" si="555"/>
        <v>21</v>
      </c>
      <c r="K2092" s="3">
        <f>IF(OR($K$1="",对接源_02物料!$C892="",对接源_02物料!$C892&lt;&gt;$K$1,对接源_02物料!$B892=""),0,IF(OR(N(对接源_02物料!$B892)&lt;$K$2,N(对接源_02物料!$B892)&gt;$K$3),0,1))</f>
        <v>0</v>
      </c>
      <c r="L2092" s="3">
        <f>IF(OR($L$1="",对接源_02物料!$C892="",对接源_02物料!$C892&lt;&gt;$L$1,对接源_02物料!$B892=""),0,IF(OR(N(对接源_02物料!$B892)&lt;$L$2,N(对接源_02物料!$B892)&gt;$L$3),0,1))</f>
        <v>0</v>
      </c>
      <c r="M2092" s="3">
        <f>IF(OR($M$1="",对接源_02物料!$C892="",对接源_02物料!$C892&lt;&gt;$M$1,对接源_02物料!$B892=""),0,IF(OR(N(对接源_02物料!$B892)&lt;$M$2,N(对接源_02物料!$B892)&gt;$M$3),0,1))</f>
        <v>0</v>
      </c>
      <c r="N2092" s="3">
        <f>IF(OR($N$1="",对接源_02物料!$C892="",对接源_02物料!$C892&lt;&gt;$N$1,对接源_02物料!$B892=""),0,IF(OR(N(对接源_02物料!$B892)&lt;$N$2,N(对接源_02物料!$B892)&gt;$N$3),0,1))</f>
        <v>0</v>
      </c>
      <c r="P2092" s="3">
        <f>IF(AND($K2092=1,AND(对接源_02物料!$X892="公司筐",N(对接源_02物料!$T892)&lt;&gt;0)),1,0)</f>
        <v>0</v>
      </c>
      <c r="Q2092" s="3">
        <f t="shared" si="556"/>
        <v>8</v>
      </c>
      <c r="R2092" s="3">
        <f>IF(AND($K2092=1,AND(对接源_02物料!$X892="公司筐",N(对接源_02物料!$U892)&lt;&gt;0)),1,0)</f>
        <v>0</v>
      </c>
      <c r="S2092" s="3">
        <f t="shared" si="557"/>
        <v>0</v>
      </c>
      <c r="T2092" s="3">
        <f>IF(AND($K2092=1,AND(对接源_02物料!$X892="公司筐",N(对接源_02物料!$V892)&lt;&gt;0)),1,0)</f>
        <v>0</v>
      </c>
      <c r="U2092" s="3">
        <f t="shared" si="558"/>
        <v>19</v>
      </c>
      <c r="V2092" s="3">
        <f>IF(AND($L2092=1,AND(对接源_02物料!$X892="自备筐",N(对接源_02物料!$V892)&lt;&gt;0)),1,0)</f>
        <v>0</v>
      </c>
      <c r="W2092" s="3">
        <f t="shared" si="559"/>
        <v>8</v>
      </c>
      <c r="X2092" s="3">
        <f>IF(AND($L2092=1,AND(对接源_02物料!$X892="自备筐",N(对接源_02物料!$T892)&lt;&gt;0)),1,0)</f>
        <v>0</v>
      </c>
      <c r="Y2092" s="3">
        <f t="shared" si="560"/>
        <v>0</v>
      </c>
      <c r="Z2092" s="3">
        <f>IF(AND($M2092=1,对接源_02物料!$D892="原料入库"),1,0)</f>
        <v>0</v>
      </c>
      <c r="AA2092" s="3">
        <f t="shared" si="561"/>
        <v>24</v>
      </c>
      <c r="AB2092" s="3">
        <f>IF(AND($M2092=1,LEFT(对接源_02物料!$D892,4)="原料出库"),1,0)</f>
        <v>0</v>
      </c>
      <c r="AC2092" s="3">
        <f t="shared" si="562"/>
        <v>0</v>
      </c>
      <c r="AD2092" s="3">
        <f>IF(AND($M2092=1,LEFT(对接源_02物料!$D892,4)="成品出库"),1,0)</f>
        <v>0</v>
      </c>
      <c r="AE2092" s="3">
        <f t="shared" si="563"/>
        <v>0</v>
      </c>
      <c r="AF2092" s="3">
        <f>IF(AND($N2092=1,AND(LEFT(对接源_02物料!$D892,4)="包装物料",N(对接源_02物料!$K892)&lt;&gt;0)),1,0)</f>
        <v>0</v>
      </c>
      <c r="AG2092" s="3">
        <f t="shared" si="564"/>
        <v>5</v>
      </c>
      <c r="AH2092" s="3">
        <f>IF(AND($N2092=1,AND(对接源_02物料!$D892="周转筐－销售出库",N(对接源_02物料!$K892)&lt;&gt;0)),1,0)</f>
        <v>0</v>
      </c>
      <c r="AI2092" s="3">
        <f t="shared" si="565"/>
        <v>0</v>
      </c>
      <c r="AL2092" s="3">
        <v>0</v>
      </c>
      <c r="AM2092" s="3">
        <f t="shared" si="566"/>
        <v>1</v>
      </c>
      <c r="AN2092" s="3" t="str">
        <f t="shared" si="553"/>
        <v/>
      </c>
      <c r="AO2092" s="3">
        <v>0</v>
      </c>
      <c r="AP2092" s="3">
        <f t="shared" si="567"/>
        <v>8</v>
      </c>
      <c r="AR2092">
        <f t="shared" si="568"/>
        <v>0</v>
      </c>
      <c r="AS2092">
        <f t="shared" si="569"/>
        <v>5</v>
      </c>
    </row>
    <row r="2093" customHeight="1" spans="1:45">
      <c r="A2093" s="3" t="str">
        <f>IF(对接源_02物料!$C893="","",对接源_02物料!$C893)</f>
        <v/>
      </c>
      <c r="B2093" s="3">
        <f t="shared" si="554"/>
        <v>0</v>
      </c>
      <c r="C2093" s="3">
        <f t="shared" si="555"/>
        <v>21</v>
      </c>
      <c r="K2093" s="3">
        <f>IF(OR($K$1="",对接源_02物料!$C893="",对接源_02物料!$C893&lt;&gt;$K$1,对接源_02物料!$B893=""),0,IF(OR(N(对接源_02物料!$B893)&lt;$K$2,N(对接源_02物料!$B893)&gt;$K$3),0,1))</f>
        <v>0</v>
      </c>
      <c r="L2093" s="3">
        <f>IF(OR($L$1="",对接源_02物料!$C893="",对接源_02物料!$C893&lt;&gt;$L$1,对接源_02物料!$B893=""),0,IF(OR(N(对接源_02物料!$B893)&lt;$L$2,N(对接源_02物料!$B893)&gt;$L$3),0,1))</f>
        <v>0</v>
      </c>
      <c r="M2093" s="3">
        <f>IF(OR($M$1="",对接源_02物料!$C893="",对接源_02物料!$C893&lt;&gt;$M$1,对接源_02物料!$B893=""),0,IF(OR(N(对接源_02物料!$B893)&lt;$M$2,N(对接源_02物料!$B893)&gt;$M$3),0,1))</f>
        <v>0</v>
      </c>
      <c r="N2093" s="3">
        <f>IF(OR($N$1="",对接源_02物料!$C893="",对接源_02物料!$C893&lt;&gt;$N$1,对接源_02物料!$B893=""),0,IF(OR(N(对接源_02物料!$B893)&lt;$N$2,N(对接源_02物料!$B893)&gt;$N$3),0,1))</f>
        <v>0</v>
      </c>
      <c r="P2093" s="3">
        <f>IF(AND($K2093=1,AND(对接源_02物料!$X893="公司筐",N(对接源_02物料!$T893)&lt;&gt;0)),1,0)</f>
        <v>0</v>
      </c>
      <c r="Q2093" s="3">
        <f t="shared" si="556"/>
        <v>8</v>
      </c>
      <c r="R2093" s="3">
        <f>IF(AND($K2093=1,AND(对接源_02物料!$X893="公司筐",N(对接源_02物料!$U893)&lt;&gt;0)),1,0)</f>
        <v>0</v>
      </c>
      <c r="S2093" s="3">
        <f t="shared" si="557"/>
        <v>0</v>
      </c>
      <c r="T2093" s="3">
        <f>IF(AND($K2093=1,AND(对接源_02物料!$X893="公司筐",N(对接源_02物料!$V893)&lt;&gt;0)),1,0)</f>
        <v>0</v>
      </c>
      <c r="U2093" s="3">
        <f t="shared" si="558"/>
        <v>19</v>
      </c>
      <c r="V2093" s="3">
        <f>IF(AND($L2093=1,AND(对接源_02物料!$X893="自备筐",N(对接源_02物料!$V893)&lt;&gt;0)),1,0)</f>
        <v>0</v>
      </c>
      <c r="W2093" s="3">
        <f t="shared" si="559"/>
        <v>8</v>
      </c>
      <c r="X2093" s="3">
        <f>IF(AND($L2093=1,AND(对接源_02物料!$X893="自备筐",N(对接源_02物料!$T893)&lt;&gt;0)),1,0)</f>
        <v>0</v>
      </c>
      <c r="Y2093" s="3">
        <f t="shared" si="560"/>
        <v>0</v>
      </c>
      <c r="Z2093" s="3">
        <f>IF(AND($M2093=1,对接源_02物料!$D893="原料入库"),1,0)</f>
        <v>0</v>
      </c>
      <c r="AA2093" s="3">
        <f t="shared" si="561"/>
        <v>24</v>
      </c>
      <c r="AB2093" s="3">
        <f>IF(AND($M2093=1,LEFT(对接源_02物料!$D893,4)="原料出库"),1,0)</f>
        <v>0</v>
      </c>
      <c r="AC2093" s="3">
        <f t="shared" si="562"/>
        <v>0</v>
      </c>
      <c r="AD2093" s="3">
        <f>IF(AND($M2093=1,LEFT(对接源_02物料!$D893,4)="成品出库"),1,0)</f>
        <v>0</v>
      </c>
      <c r="AE2093" s="3">
        <f t="shared" si="563"/>
        <v>0</v>
      </c>
      <c r="AF2093" s="3">
        <f>IF(AND($N2093=1,AND(LEFT(对接源_02物料!$D893,4)="包装物料",N(对接源_02物料!$K893)&lt;&gt;0)),1,0)</f>
        <v>0</v>
      </c>
      <c r="AG2093" s="3">
        <f t="shared" si="564"/>
        <v>5</v>
      </c>
      <c r="AH2093" s="3">
        <f>IF(AND($N2093=1,AND(对接源_02物料!$D893="周转筐－销售出库",N(对接源_02物料!$K893)&lt;&gt;0)),1,0)</f>
        <v>0</v>
      </c>
      <c r="AI2093" s="3">
        <f t="shared" si="565"/>
        <v>0</v>
      </c>
      <c r="AL2093" s="3">
        <v>0</v>
      </c>
      <c r="AM2093" s="3">
        <f t="shared" si="566"/>
        <v>1</v>
      </c>
      <c r="AN2093" s="3" t="str">
        <f t="shared" si="553"/>
        <v/>
      </c>
      <c r="AO2093" s="3">
        <v>0</v>
      </c>
      <c r="AP2093" s="3">
        <f t="shared" si="567"/>
        <v>8</v>
      </c>
      <c r="AR2093">
        <f t="shared" si="568"/>
        <v>0</v>
      </c>
      <c r="AS2093">
        <f t="shared" si="569"/>
        <v>5</v>
      </c>
    </row>
    <row r="2094" customHeight="1" spans="1:45">
      <c r="A2094" s="3" t="str">
        <f>IF(对接源_02物料!$C894="","",对接源_02物料!$C894)</f>
        <v/>
      </c>
      <c r="B2094" s="3">
        <f t="shared" si="554"/>
        <v>0</v>
      </c>
      <c r="C2094" s="3">
        <f t="shared" si="555"/>
        <v>21</v>
      </c>
      <c r="K2094" s="3">
        <f>IF(OR($K$1="",对接源_02物料!$C894="",对接源_02物料!$C894&lt;&gt;$K$1,对接源_02物料!$B894=""),0,IF(OR(N(对接源_02物料!$B894)&lt;$K$2,N(对接源_02物料!$B894)&gt;$K$3),0,1))</f>
        <v>0</v>
      </c>
      <c r="L2094" s="3">
        <f>IF(OR($L$1="",对接源_02物料!$C894="",对接源_02物料!$C894&lt;&gt;$L$1,对接源_02物料!$B894=""),0,IF(OR(N(对接源_02物料!$B894)&lt;$L$2,N(对接源_02物料!$B894)&gt;$L$3),0,1))</f>
        <v>0</v>
      </c>
      <c r="M2094" s="3">
        <f>IF(OR($M$1="",对接源_02物料!$C894="",对接源_02物料!$C894&lt;&gt;$M$1,对接源_02物料!$B894=""),0,IF(OR(N(对接源_02物料!$B894)&lt;$M$2,N(对接源_02物料!$B894)&gt;$M$3),0,1))</f>
        <v>0</v>
      </c>
      <c r="N2094" s="3">
        <f>IF(OR($N$1="",对接源_02物料!$C894="",对接源_02物料!$C894&lt;&gt;$N$1,对接源_02物料!$B894=""),0,IF(OR(N(对接源_02物料!$B894)&lt;$N$2,N(对接源_02物料!$B894)&gt;$N$3),0,1))</f>
        <v>0</v>
      </c>
      <c r="P2094" s="3">
        <f>IF(AND($K2094=1,AND(对接源_02物料!$X894="公司筐",N(对接源_02物料!$T894)&lt;&gt;0)),1,0)</f>
        <v>0</v>
      </c>
      <c r="Q2094" s="3">
        <f t="shared" si="556"/>
        <v>8</v>
      </c>
      <c r="R2094" s="3">
        <f>IF(AND($K2094=1,AND(对接源_02物料!$X894="公司筐",N(对接源_02物料!$U894)&lt;&gt;0)),1,0)</f>
        <v>0</v>
      </c>
      <c r="S2094" s="3">
        <f t="shared" si="557"/>
        <v>0</v>
      </c>
      <c r="T2094" s="3">
        <f>IF(AND($K2094=1,AND(对接源_02物料!$X894="公司筐",N(对接源_02物料!$V894)&lt;&gt;0)),1,0)</f>
        <v>0</v>
      </c>
      <c r="U2094" s="3">
        <f t="shared" si="558"/>
        <v>19</v>
      </c>
      <c r="V2094" s="3">
        <f>IF(AND($L2094=1,AND(对接源_02物料!$X894="自备筐",N(对接源_02物料!$V894)&lt;&gt;0)),1,0)</f>
        <v>0</v>
      </c>
      <c r="W2094" s="3">
        <f t="shared" si="559"/>
        <v>8</v>
      </c>
      <c r="X2094" s="3">
        <f>IF(AND($L2094=1,AND(对接源_02物料!$X894="自备筐",N(对接源_02物料!$T894)&lt;&gt;0)),1,0)</f>
        <v>0</v>
      </c>
      <c r="Y2094" s="3">
        <f t="shared" si="560"/>
        <v>0</v>
      </c>
      <c r="Z2094" s="3">
        <f>IF(AND($M2094=1,对接源_02物料!$D894="原料入库"),1,0)</f>
        <v>0</v>
      </c>
      <c r="AA2094" s="3">
        <f t="shared" si="561"/>
        <v>24</v>
      </c>
      <c r="AB2094" s="3">
        <f>IF(AND($M2094=1,LEFT(对接源_02物料!$D894,4)="原料出库"),1,0)</f>
        <v>0</v>
      </c>
      <c r="AC2094" s="3">
        <f t="shared" si="562"/>
        <v>0</v>
      </c>
      <c r="AD2094" s="3">
        <f>IF(AND($M2094=1,LEFT(对接源_02物料!$D894,4)="成品出库"),1,0)</f>
        <v>0</v>
      </c>
      <c r="AE2094" s="3">
        <f t="shared" si="563"/>
        <v>0</v>
      </c>
      <c r="AF2094" s="3">
        <f>IF(AND($N2094=1,AND(LEFT(对接源_02物料!$D894,4)="包装物料",N(对接源_02物料!$K894)&lt;&gt;0)),1,0)</f>
        <v>0</v>
      </c>
      <c r="AG2094" s="3">
        <f t="shared" si="564"/>
        <v>5</v>
      </c>
      <c r="AH2094" s="3">
        <f>IF(AND($N2094=1,AND(对接源_02物料!$D894="周转筐－销售出库",N(对接源_02物料!$K894)&lt;&gt;0)),1,0)</f>
        <v>0</v>
      </c>
      <c r="AI2094" s="3">
        <f t="shared" si="565"/>
        <v>0</v>
      </c>
      <c r="AL2094" s="3">
        <v>0</v>
      </c>
      <c r="AM2094" s="3">
        <f t="shared" si="566"/>
        <v>1</v>
      </c>
      <c r="AN2094" s="3" t="str">
        <f t="shared" si="553"/>
        <v/>
      </c>
      <c r="AO2094" s="3">
        <v>0</v>
      </c>
      <c r="AP2094" s="3">
        <f t="shared" si="567"/>
        <v>8</v>
      </c>
      <c r="AR2094">
        <f t="shared" si="568"/>
        <v>0</v>
      </c>
      <c r="AS2094">
        <f t="shared" si="569"/>
        <v>5</v>
      </c>
    </row>
    <row r="2095" customHeight="1" spans="1:45">
      <c r="A2095" s="3" t="str">
        <f>IF(对接源_02物料!$C895="","",对接源_02物料!$C895)</f>
        <v/>
      </c>
      <c r="B2095" s="3">
        <f t="shared" si="554"/>
        <v>0</v>
      </c>
      <c r="C2095" s="3">
        <f t="shared" si="555"/>
        <v>21</v>
      </c>
      <c r="K2095" s="3">
        <f>IF(OR($K$1="",对接源_02物料!$C895="",对接源_02物料!$C895&lt;&gt;$K$1,对接源_02物料!$B895=""),0,IF(OR(N(对接源_02物料!$B895)&lt;$K$2,N(对接源_02物料!$B895)&gt;$K$3),0,1))</f>
        <v>0</v>
      </c>
      <c r="L2095" s="3">
        <f>IF(OR($L$1="",对接源_02物料!$C895="",对接源_02物料!$C895&lt;&gt;$L$1,对接源_02物料!$B895=""),0,IF(OR(N(对接源_02物料!$B895)&lt;$L$2,N(对接源_02物料!$B895)&gt;$L$3),0,1))</f>
        <v>0</v>
      </c>
      <c r="M2095" s="3">
        <f>IF(OR($M$1="",对接源_02物料!$C895="",对接源_02物料!$C895&lt;&gt;$M$1,对接源_02物料!$B895=""),0,IF(OR(N(对接源_02物料!$B895)&lt;$M$2,N(对接源_02物料!$B895)&gt;$M$3),0,1))</f>
        <v>0</v>
      </c>
      <c r="N2095" s="3">
        <f>IF(OR($N$1="",对接源_02物料!$C895="",对接源_02物料!$C895&lt;&gt;$N$1,对接源_02物料!$B895=""),0,IF(OR(N(对接源_02物料!$B895)&lt;$N$2,N(对接源_02物料!$B895)&gt;$N$3),0,1))</f>
        <v>0</v>
      </c>
      <c r="P2095" s="3">
        <f>IF(AND($K2095=1,AND(对接源_02物料!$X895="公司筐",N(对接源_02物料!$T895)&lt;&gt;0)),1,0)</f>
        <v>0</v>
      </c>
      <c r="Q2095" s="3">
        <f t="shared" si="556"/>
        <v>8</v>
      </c>
      <c r="R2095" s="3">
        <f>IF(AND($K2095=1,AND(对接源_02物料!$X895="公司筐",N(对接源_02物料!$U895)&lt;&gt;0)),1,0)</f>
        <v>0</v>
      </c>
      <c r="S2095" s="3">
        <f t="shared" si="557"/>
        <v>0</v>
      </c>
      <c r="T2095" s="3">
        <f>IF(AND($K2095=1,AND(对接源_02物料!$X895="公司筐",N(对接源_02物料!$V895)&lt;&gt;0)),1,0)</f>
        <v>0</v>
      </c>
      <c r="U2095" s="3">
        <f t="shared" si="558"/>
        <v>19</v>
      </c>
      <c r="V2095" s="3">
        <f>IF(AND($L2095=1,AND(对接源_02物料!$X895="自备筐",N(对接源_02物料!$V895)&lt;&gt;0)),1,0)</f>
        <v>0</v>
      </c>
      <c r="W2095" s="3">
        <f t="shared" si="559"/>
        <v>8</v>
      </c>
      <c r="X2095" s="3">
        <f>IF(AND($L2095=1,AND(对接源_02物料!$X895="自备筐",N(对接源_02物料!$T895)&lt;&gt;0)),1,0)</f>
        <v>0</v>
      </c>
      <c r="Y2095" s="3">
        <f t="shared" si="560"/>
        <v>0</v>
      </c>
      <c r="Z2095" s="3">
        <f>IF(AND($M2095=1,对接源_02物料!$D895="原料入库"),1,0)</f>
        <v>0</v>
      </c>
      <c r="AA2095" s="3">
        <f t="shared" si="561"/>
        <v>24</v>
      </c>
      <c r="AB2095" s="3">
        <f>IF(AND($M2095=1,LEFT(对接源_02物料!$D895,4)="原料出库"),1,0)</f>
        <v>0</v>
      </c>
      <c r="AC2095" s="3">
        <f t="shared" si="562"/>
        <v>0</v>
      </c>
      <c r="AD2095" s="3">
        <f>IF(AND($M2095=1,LEFT(对接源_02物料!$D895,4)="成品出库"),1,0)</f>
        <v>0</v>
      </c>
      <c r="AE2095" s="3">
        <f t="shared" si="563"/>
        <v>0</v>
      </c>
      <c r="AF2095" s="3">
        <f>IF(AND($N2095=1,AND(LEFT(对接源_02物料!$D895,4)="包装物料",N(对接源_02物料!$K895)&lt;&gt;0)),1,0)</f>
        <v>0</v>
      </c>
      <c r="AG2095" s="3">
        <f t="shared" si="564"/>
        <v>5</v>
      </c>
      <c r="AH2095" s="3">
        <f>IF(AND($N2095=1,AND(对接源_02物料!$D895="周转筐－销售出库",N(对接源_02物料!$K895)&lt;&gt;0)),1,0)</f>
        <v>0</v>
      </c>
      <c r="AI2095" s="3">
        <f t="shared" si="565"/>
        <v>0</v>
      </c>
      <c r="AL2095" s="3">
        <v>0</v>
      </c>
      <c r="AM2095" s="3">
        <f t="shared" si="566"/>
        <v>1</v>
      </c>
      <c r="AN2095" s="3" t="str">
        <f t="shared" si="553"/>
        <v/>
      </c>
      <c r="AO2095" s="3">
        <v>0</v>
      </c>
      <c r="AP2095" s="3">
        <f t="shared" si="567"/>
        <v>8</v>
      </c>
      <c r="AR2095">
        <f t="shared" si="568"/>
        <v>0</v>
      </c>
      <c r="AS2095">
        <f t="shared" si="569"/>
        <v>5</v>
      </c>
    </row>
    <row r="2096" customHeight="1" spans="1:45">
      <c r="A2096" s="3" t="str">
        <f>IF(对接源_02物料!$C896="","",对接源_02物料!$C896)</f>
        <v/>
      </c>
      <c r="B2096" s="3">
        <f t="shared" si="554"/>
        <v>0</v>
      </c>
      <c r="C2096" s="3">
        <f t="shared" si="555"/>
        <v>21</v>
      </c>
      <c r="K2096" s="3">
        <f>IF(OR($K$1="",对接源_02物料!$C896="",对接源_02物料!$C896&lt;&gt;$K$1,对接源_02物料!$B896=""),0,IF(OR(N(对接源_02物料!$B896)&lt;$K$2,N(对接源_02物料!$B896)&gt;$K$3),0,1))</f>
        <v>0</v>
      </c>
      <c r="L2096" s="3">
        <f>IF(OR($L$1="",对接源_02物料!$C896="",对接源_02物料!$C896&lt;&gt;$L$1,对接源_02物料!$B896=""),0,IF(OR(N(对接源_02物料!$B896)&lt;$L$2,N(对接源_02物料!$B896)&gt;$L$3),0,1))</f>
        <v>0</v>
      </c>
      <c r="M2096" s="3">
        <f>IF(OR($M$1="",对接源_02物料!$C896="",对接源_02物料!$C896&lt;&gt;$M$1,对接源_02物料!$B896=""),0,IF(OR(N(对接源_02物料!$B896)&lt;$M$2,N(对接源_02物料!$B896)&gt;$M$3),0,1))</f>
        <v>0</v>
      </c>
      <c r="N2096" s="3">
        <f>IF(OR($N$1="",对接源_02物料!$C896="",对接源_02物料!$C896&lt;&gt;$N$1,对接源_02物料!$B896=""),0,IF(OR(N(对接源_02物料!$B896)&lt;$N$2,N(对接源_02物料!$B896)&gt;$N$3),0,1))</f>
        <v>0</v>
      </c>
      <c r="P2096" s="3">
        <f>IF(AND($K2096=1,AND(对接源_02物料!$X896="公司筐",N(对接源_02物料!$T896)&lt;&gt;0)),1,0)</f>
        <v>0</v>
      </c>
      <c r="Q2096" s="3">
        <f t="shared" si="556"/>
        <v>8</v>
      </c>
      <c r="R2096" s="3">
        <f>IF(AND($K2096=1,AND(对接源_02物料!$X896="公司筐",N(对接源_02物料!$U896)&lt;&gt;0)),1,0)</f>
        <v>0</v>
      </c>
      <c r="S2096" s="3">
        <f t="shared" si="557"/>
        <v>0</v>
      </c>
      <c r="T2096" s="3">
        <f>IF(AND($K2096=1,AND(对接源_02物料!$X896="公司筐",N(对接源_02物料!$V896)&lt;&gt;0)),1,0)</f>
        <v>0</v>
      </c>
      <c r="U2096" s="3">
        <f t="shared" si="558"/>
        <v>19</v>
      </c>
      <c r="V2096" s="3">
        <f>IF(AND($L2096=1,AND(对接源_02物料!$X896="自备筐",N(对接源_02物料!$V896)&lt;&gt;0)),1,0)</f>
        <v>0</v>
      </c>
      <c r="W2096" s="3">
        <f t="shared" si="559"/>
        <v>8</v>
      </c>
      <c r="X2096" s="3">
        <f>IF(AND($L2096=1,AND(对接源_02物料!$X896="自备筐",N(对接源_02物料!$T896)&lt;&gt;0)),1,0)</f>
        <v>0</v>
      </c>
      <c r="Y2096" s="3">
        <f t="shared" si="560"/>
        <v>0</v>
      </c>
      <c r="Z2096" s="3">
        <f>IF(AND($M2096=1,对接源_02物料!$D896="原料入库"),1,0)</f>
        <v>0</v>
      </c>
      <c r="AA2096" s="3">
        <f t="shared" si="561"/>
        <v>24</v>
      </c>
      <c r="AB2096" s="3">
        <f>IF(AND($M2096=1,LEFT(对接源_02物料!$D896,4)="原料出库"),1,0)</f>
        <v>0</v>
      </c>
      <c r="AC2096" s="3">
        <f t="shared" si="562"/>
        <v>0</v>
      </c>
      <c r="AD2096" s="3">
        <f>IF(AND($M2096=1,LEFT(对接源_02物料!$D896,4)="成品出库"),1,0)</f>
        <v>0</v>
      </c>
      <c r="AE2096" s="3">
        <f t="shared" si="563"/>
        <v>0</v>
      </c>
      <c r="AF2096" s="3">
        <f>IF(AND($N2096=1,AND(LEFT(对接源_02物料!$D896,4)="包装物料",N(对接源_02物料!$K896)&lt;&gt;0)),1,0)</f>
        <v>0</v>
      </c>
      <c r="AG2096" s="3">
        <f t="shared" si="564"/>
        <v>5</v>
      </c>
      <c r="AH2096" s="3">
        <f>IF(AND($N2096=1,AND(对接源_02物料!$D896="周转筐－销售出库",N(对接源_02物料!$K896)&lt;&gt;0)),1,0)</f>
        <v>0</v>
      </c>
      <c r="AI2096" s="3">
        <f t="shared" si="565"/>
        <v>0</v>
      </c>
      <c r="AL2096" s="3">
        <v>0</v>
      </c>
      <c r="AM2096" s="3">
        <f t="shared" si="566"/>
        <v>1</v>
      </c>
      <c r="AN2096" s="3" t="str">
        <f t="shared" si="553"/>
        <v/>
      </c>
      <c r="AO2096" s="3">
        <v>0</v>
      </c>
      <c r="AP2096" s="3">
        <f t="shared" si="567"/>
        <v>8</v>
      </c>
      <c r="AR2096">
        <f t="shared" si="568"/>
        <v>0</v>
      </c>
      <c r="AS2096">
        <f t="shared" si="569"/>
        <v>5</v>
      </c>
    </row>
    <row r="2097" customHeight="1" spans="1:45">
      <c r="A2097" s="3" t="str">
        <f>IF(对接源_02物料!$C897="","",对接源_02物料!$C897)</f>
        <v/>
      </c>
      <c r="B2097" s="3">
        <f t="shared" si="554"/>
        <v>0</v>
      </c>
      <c r="C2097" s="3">
        <f t="shared" si="555"/>
        <v>21</v>
      </c>
      <c r="K2097" s="3">
        <f>IF(OR($K$1="",对接源_02物料!$C897="",对接源_02物料!$C897&lt;&gt;$K$1,对接源_02物料!$B897=""),0,IF(OR(N(对接源_02物料!$B897)&lt;$K$2,N(对接源_02物料!$B897)&gt;$K$3),0,1))</f>
        <v>0</v>
      </c>
      <c r="L2097" s="3">
        <f>IF(OR($L$1="",对接源_02物料!$C897="",对接源_02物料!$C897&lt;&gt;$L$1,对接源_02物料!$B897=""),0,IF(OR(N(对接源_02物料!$B897)&lt;$L$2,N(对接源_02物料!$B897)&gt;$L$3),0,1))</f>
        <v>0</v>
      </c>
      <c r="M2097" s="3">
        <f>IF(OR($M$1="",对接源_02物料!$C897="",对接源_02物料!$C897&lt;&gt;$M$1,对接源_02物料!$B897=""),0,IF(OR(N(对接源_02物料!$B897)&lt;$M$2,N(对接源_02物料!$B897)&gt;$M$3),0,1))</f>
        <v>0</v>
      </c>
      <c r="N2097" s="3">
        <f>IF(OR($N$1="",对接源_02物料!$C897="",对接源_02物料!$C897&lt;&gt;$N$1,对接源_02物料!$B897=""),0,IF(OR(N(对接源_02物料!$B897)&lt;$N$2,N(对接源_02物料!$B897)&gt;$N$3),0,1))</f>
        <v>0</v>
      </c>
      <c r="P2097" s="3">
        <f>IF(AND($K2097=1,AND(对接源_02物料!$X897="公司筐",N(对接源_02物料!$T897)&lt;&gt;0)),1,0)</f>
        <v>0</v>
      </c>
      <c r="Q2097" s="3">
        <f t="shared" si="556"/>
        <v>8</v>
      </c>
      <c r="R2097" s="3">
        <f>IF(AND($K2097=1,AND(对接源_02物料!$X897="公司筐",N(对接源_02物料!$U897)&lt;&gt;0)),1,0)</f>
        <v>0</v>
      </c>
      <c r="S2097" s="3">
        <f t="shared" si="557"/>
        <v>0</v>
      </c>
      <c r="T2097" s="3">
        <f>IF(AND($K2097=1,AND(对接源_02物料!$X897="公司筐",N(对接源_02物料!$V897)&lt;&gt;0)),1,0)</f>
        <v>0</v>
      </c>
      <c r="U2097" s="3">
        <f t="shared" si="558"/>
        <v>19</v>
      </c>
      <c r="V2097" s="3">
        <f>IF(AND($L2097=1,AND(对接源_02物料!$X897="自备筐",N(对接源_02物料!$V897)&lt;&gt;0)),1,0)</f>
        <v>0</v>
      </c>
      <c r="W2097" s="3">
        <f t="shared" si="559"/>
        <v>8</v>
      </c>
      <c r="X2097" s="3">
        <f>IF(AND($L2097=1,AND(对接源_02物料!$X897="自备筐",N(对接源_02物料!$T897)&lt;&gt;0)),1,0)</f>
        <v>0</v>
      </c>
      <c r="Y2097" s="3">
        <f t="shared" si="560"/>
        <v>0</v>
      </c>
      <c r="Z2097" s="3">
        <f>IF(AND($M2097=1,对接源_02物料!$D897="原料入库"),1,0)</f>
        <v>0</v>
      </c>
      <c r="AA2097" s="3">
        <f t="shared" si="561"/>
        <v>24</v>
      </c>
      <c r="AB2097" s="3">
        <f>IF(AND($M2097=1,LEFT(对接源_02物料!$D897,4)="原料出库"),1,0)</f>
        <v>0</v>
      </c>
      <c r="AC2097" s="3">
        <f t="shared" si="562"/>
        <v>0</v>
      </c>
      <c r="AD2097" s="3">
        <f>IF(AND($M2097=1,LEFT(对接源_02物料!$D897,4)="成品出库"),1,0)</f>
        <v>0</v>
      </c>
      <c r="AE2097" s="3">
        <f t="shared" si="563"/>
        <v>0</v>
      </c>
      <c r="AF2097" s="3">
        <f>IF(AND($N2097=1,AND(LEFT(对接源_02物料!$D897,4)="包装物料",N(对接源_02物料!$K897)&lt;&gt;0)),1,0)</f>
        <v>0</v>
      </c>
      <c r="AG2097" s="3">
        <f t="shared" si="564"/>
        <v>5</v>
      </c>
      <c r="AH2097" s="3">
        <f>IF(AND($N2097=1,AND(对接源_02物料!$D897="周转筐－销售出库",N(对接源_02物料!$K897)&lt;&gt;0)),1,0)</f>
        <v>0</v>
      </c>
      <c r="AI2097" s="3">
        <f t="shared" si="565"/>
        <v>0</v>
      </c>
      <c r="AL2097" s="3">
        <v>0</v>
      </c>
      <c r="AM2097" s="3">
        <f t="shared" si="566"/>
        <v>1</v>
      </c>
      <c r="AN2097" s="3" t="str">
        <f t="shared" si="553"/>
        <v/>
      </c>
      <c r="AO2097" s="3">
        <v>0</v>
      </c>
      <c r="AP2097" s="3">
        <f t="shared" si="567"/>
        <v>8</v>
      </c>
      <c r="AR2097">
        <f t="shared" si="568"/>
        <v>0</v>
      </c>
      <c r="AS2097">
        <f t="shared" si="569"/>
        <v>5</v>
      </c>
    </row>
    <row r="2098" customHeight="1" spans="1:45">
      <c r="A2098" s="3" t="str">
        <f>IF(对接源_02物料!$C898="","",对接源_02物料!$C898)</f>
        <v/>
      </c>
      <c r="B2098" s="3">
        <f t="shared" si="554"/>
        <v>0</v>
      </c>
      <c r="C2098" s="3">
        <f t="shared" si="555"/>
        <v>21</v>
      </c>
      <c r="K2098" s="3">
        <f>IF(OR($K$1="",对接源_02物料!$C898="",对接源_02物料!$C898&lt;&gt;$K$1,对接源_02物料!$B898=""),0,IF(OR(N(对接源_02物料!$B898)&lt;$K$2,N(对接源_02物料!$B898)&gt;$K$3),0,1))</f>
        <v>0</v>
      </c>
      <c r="L2098" s="3">
        <f>IF(OR($L$1="",对接源_02物料!$C898="",对接源_02物料!$C898&lt;&gt;$L$1,对接源_02物料!$B898=""),0,IF(OR(N(对接源_02物料!$B898)&lt;$L$2,N(对接源_02物料!$B898)&gt;$L$3),0,1))</f>
        <v>0</v>
      </c>
      <c r="M2098" s="3">
        <f>IF(OR($M$1="",对接源_02物料!$C898="",对接源_02物料!$C898&lt;&gt;$M$1,对接源_02物料!$B898=""),0,IF(OR(N(对接源_02物料!$B898)&lt;$M$2,N(对接源_02物料!$B898)&gt;$M$3),0,1))</f>
        <v>0</v>
      </c>
      <c r="N2098" s="3">
        <f>IF(OR($N$1="",对接源_02物料!$C898="",对接源_02物料!$C898&lt;&gt;$N$1,对接源_02物料!$B898=""),0,IF(OR(N(对接源_02物料!$B898)&lt;$N$2,N(对接源_02物料!$B898)&gt;$N$3),0,1))</f>
        <v>0</v>
      </c>
      <c r="P2098" s="3">
        <f>IF(AND($K2098=1,AND(对接源_02物料!$X898="公司筐",N(对接源_02物料!$T898)&lt;&gt;0)),1,0)</f>
        <v>0</v>
      </c>
      <c r="Q2098" s="3">
        <f t="shared" si="556"/>
        <v>8</v>
      </c>
      <c r="R2098" s="3">
        <f>IF(AND($K2098=1,AND(对接源_02物料!$X898="公司筐",N(对接源_02物料!$U898)&lt;&gt;0)),1,0)</f>
        <v>0</v>
      </c>
      <c r="S2098" s="3">
        <f t="shared" si="557"/>
        <v>0</v>
      </c>
      <c r="T2098" s="3">
        <f>IF(AND($K2098=1,AND(对接源_02物料!$X898="公司筐",N(对接源_02物料!$V898)&lt;&gt;0)),1,0)</f>
        <v>0</v>
      </c>
      <c r="U2098" s="3">
        <f t="shared" si="558"/>
        <v>19</v>
      </c>
      <c r="V2098" s="3">
        <f>IF(AND($L2098=1,AND(对接源_02物料!$X898="自备筐",N(对接源_02物料!$V898)&lt;&gt;0)),1,0)</f>
        <v>0</v>
      </c>
      <c r="W2098" s="3">
        <f t="shared" si="559"/>
        <v>8</v>
      </c>
      <c r="X2098" s="3">
        <f>IF(AND($L2098=1,AND(对接源_02物料!$X898="自备筐",N(对接源_02物料!$T898)&lt;&gt;0)),1,0)</f>
        <v>0</v>
      </c>
      <c r="Y2098" s="3">
        <f t="shared" si="560"/>
        <v>0</v>
      </c>
      <c r="Z2098" s="3">
        <f>IF(AND($M2098=1,对接源_02物料!$D898="原料入库"),1,0)</f>
        <v>0</v>
      </c>
      <c r="AA2098" s="3">
        <f t="shared" si="561"/>
        <v>24</v>
      </c>
      <c r="AB2098" s="3">
        <f>IF(AND($M2098=1,LEFT(对接源_02物料!$D898,4)="原料出库"),1,0)</f>
        <v>0</v>
      </c>
      <c r="AC2098" s="3">
        <f t="shared" si="562"/>
        <v>0</v>
      </c>
      <c r="AD2098" s="3">
        <f>IF(AND($M2098=1,LEFT(对接源_02物料!$D898,4)="成品出库"),1,0)</f>
        <v>0</v>
      </c>
      <c r="AE2098" s="3">
        <f t="shared" si="563"/>
        <v>0</v>
      </c>
      <c r="AF2098" s="3">
        <f>IF(AND($N2098=1,AND(LEFT(对接源_02物料!$D898,4)="包装物料",N(对接源_02物料!$K898)&lt;&gt;0)),1,0)</f>
        <v>0</v>
      </c>
      <c r="AG2098" s="3">
        <f t="shared" si="564"/>
        <v>5</v>
      </c>
      <c r="AH2098" s="3">
        <f>IF(AND($N2098=1,AND(对接源_02物料!$D898="周转筐－销售出库",N(对接源_02物料!$K898)&lt;&gt;0)),1,0)</f>
        <v>0</v>
      </c>
      <c r="AI2098" s="3">
        <f t="shared" si="565"/>
        <v>0</v>
      </c>
      <c r="AL2098" s="3">
        <v>0</v>
      </c>
      <c r="AM2098" s="3">
        <f t="shared" si="566"/>
        <v>1</v>
      </c>
      <c r="AN2098" s="3" t="str">
        <f t="shared" si="553"/>
        <v/>
      </c>
      <c r="AO2098" s="3">
        <v>0</v>
      </c>
      <c r="AP2098" s="3">
        <f t="shared" si="567"/>
        <v>8</v>
      </c>
      <c r="AR2098">
        <f t="shared" si="568"/>
        <v>0</v>
      </c>
      <c r="AS2098">
        <f t="shared" si="569"/>
        <v>5</v>
      </c>
    </row>
    <row r="2099" customHeight="1" spans="1:45">
      <c r="A2099" s="3" t="str">
        <f>IF(对接源_02物料!$C899="","",对接源_02物料!$C899)</f>
        <v/>
      </c>
      <c r="B2099" s="3">
        <f t="shared" si="554"/>
        <v>0</v>
      </c>
      <c r="C2099" s="3">
        <f t="shared" si="555"/>
        <v>21</v>
      </c>
      <c r="K2099" s="3">
        <f>IF(OR($K$1="",对接源_02物料!$C899="",对接源_02物料!$C899&lt;&gt;$K$1,对接源_02物料!$B899=""),0,IF(OR(N(对接源_02物料!$B899)&lt;$K$2,N(对接源_02物料!$B899)&gt;$K$3),0,1))</f>
        <v>0</v>
      </c>
      <c r="L2099" s="3">
        <f>IF(OR($L$1="",对接源_02物料!$C899="",对接源_02物料!$C899&lt;&gt;$L$1,对接源_02物料!$B899=""),0,IF(OR(N(对接源_02物料!$B899)&lt;$L$2,N(对接源_02物料!$B899)&gt;$L$3),0,1))</f>
        <v>0</v>
      </c>
      <c r="M2099" s="3">
        <f>IF(OR($M$1="",对接源_02物料!$C899="",对接源_02物料!$C899&lt;&gt;$M$1,对接源_02物料!$B899=""),0,IF(OR(N(对接源_02物料!$B899)&lt;$M$2,N(对接源_02物料!$B899)&gt;$M$3),0,1))</f>
        <v>0</v>
      </c>
      <c r="N2099" s="3">
        <f>IF(OR($N$1="",对接源_02物料!$C899="",对接源_02物料!$C899&lt;&gt;$N$1,对接源_02物料!$B899=""),0,IF(OR(N(对接源_02物料!$B899)&lt;$N$2,N(对接源_02物料!$B899)&gt;$N$3),0,1))</f>
        <v>0</v>
      </c>
      <c r="P2099" s="3">
        <f>IF(AND($K2099=1,AND(对接源_02物料!$X899="公司筐",N(对接源_02物料!$T899)&lt;&gt;0)),1,0)</f>
        <v>0</v>
      </c>
      <c r="Q2099" s="3">
        <f t="shared" si="556"/>
        <v>8</v>
      </c>
      <c r="R2099" s="3">
        <f>IF(AND($K2099=1,AND(对接源_02物料!$X899="公司筐",N(对接源_02物料!$U899)&lt;&gt;0)),1,0)</f>
        <v>0</v>
      </c>
      <c r="S2099" s="3">
        <f t="shared" si="557"/>
        <v>0</v>
      </c>
      <c r="T2099" s="3">
        <f>IF(AND($K2099=1,AND(对接源_02物料!$X899="公司筐",N(对接源_02物料!$V899)&lt;&gt;0)),1,0)</f>
        <v>0</v>
      </c>
      <c r="U2099" s="3">
        <f t="shared" si="558"/>
        <v>19</v>
      </c>
      <c r="V2099" s="3">
        <f>IF(AND($L2099=1,AND(对接源_02物料!$X899="自备筐",N(对接源_02物料!$V899)&lt;&gt;0)),1,0)</f>
        <v>0</v>
      </c>
      <c r="W2099" s="3">
        <f t="shared" si="559"/>
        <v>8</v>
      </c>
      <c r="X2099" s="3">
        <f>IF(AND($L2099=1,AND(对接源_02物料!$X899="自备筐",N(对接源_02物料!$T899)&lt;&gt;0)),1,0)</f>
        <v>0</v>
      </c>
      <c r="Y2099" s="3">
        <f t="shared" si="560"/>
        <v>0</v>
      </c>
      <c r="Z2099" s="3">
        <f>IF(AND($M2099=1,对接源_02物料!$D899="原料入库"),1,0)</f>
        <v>0</v>
      </c>
      <c r="AA2099" s="3">
        <f t="shared" si="561"/>
        <v>24</v>
      </c>
      <c r="AB2099" s="3">
        <f>IF(AND($M2099=1,LEFT(对接源_02物料!$D899,4)="原料出库"),1,0)</f>
        <v>0</v>
      </c>
      <c r="AC2099" s="3">
        <f t="shared" si="562"/>
        <v>0</v>
      </c>
      <c r="AD2099" s="3">
        <f>IF(AND($M2099=1,LEFT(对接源_02物料!$D899,4)="成品出库"),1,0)</f>
        <v>0</v>
      </c>
      <c r="AE2099" s="3">
        <f t="shared" si="563"/>
        <v>0</v>
      </c>
      <c r="AF2099" s="3">
        <f>IF(AND($N2099=1,AND(LEFT(对接源_02物料!$D899,4)="包装物料",N(对接源_02物料!$K899)&lt;&gt;0)),1,0)</f>
        <v>0</v>
      </c>
      <c r="AG2099" s="3">
        <f t="shared" si="564"/>
        <v>5</v>
      </c>
      <c r="AH2099" s="3">
        <f>IF(AND($N2099=1,AND(对接源_02物料!$D899="周转筐－销售出库",N(对接源_02物料!$K899)&lt;&gt;0)),1,0)</f>
        <v>0</v>
      </c>
      <c r="AI2099" s="3">
        <f t="shared" si="565"/>
        <v>0</v>
      </c>
      <c r="AL2099" s="3">
        <v>0</v>
      </c>
      <c r="AM2099" s="3">
        <f t="shared" si="566"/>
        <v>1</v>
      </c>
      <c r="AN2099" s="3" t="str">
        <f t="shared" si="553"/>
        <v/>
      </c>
      <c r="AO2099" s="3">
        <v>0</v>
      </c>
      <c r="AP2099" s="3">
        <f t="shared" si="567"/>
        <v>8</v>
      </c>
      <c r="AR2099">
        <f t="shared" si="568"/>
        <v>0</v>
      </c>
      <c r="AS2099">
        <f t="shared" si="569"/>
        <v>5</v>
      </c>
    </row>
    <row r="2100" customHeight="1" spans="1:45">
      <c r="A2100" s="3" t="str">
        <f>IF(对接源_02物料!$C900="","",对接源_02物料!$C900)</f>
        <v/>
      </c>
      <c r="B2100" s="3">
        <f t="shared" si="554"/>
        <v>0</v>
      </c>
      <c r="C2100" s="3">
        <f t="shared" si="555"/>
        <v>21</v>
      </c>
      <c r="K2100" s="3">
        <f>IF(OR($K$1="",对接源_02物料!$C900="",对接源_02物料!$C900&lt;&gt;$K$1,对接源_02物料!$B900=""),0,IF(OR(N(对接源_02物料!$B900)&lt;$K$2,N(对接源_02物料!$B900)&gt;$K$3),0,1))</f>
        <v>0</v>
      </c>
      <c r="L2100" s="3">
        <f>IF(OR($L$1="",对接源_02物料!$C900="",对接源_02物料!$C900&lt;&gt;$L$1,对接源_02物料!$B900=""),0,IF(OR(N(对接源_02物料!$B900)&lt;$L$2,N(对接源_02物料!$B900)&gt;$L$3),0,1))</f>
        <v>0</v>
      </c>
      <c r="M2100" s="3">
        <f>IF(OR($M$1="",对接源_02物料!$C900="",对接源_02物料!$C900&lt;&gt;$M$1,对接源_02物料!$B900=""),0,IF(OR(N(对接源_02物料!$B900)&lt;$M$2,N(对接源_02物料!$B900)&gt;$M$3),0,1))</f>
        <v>0</v>
      </c>
      <c r="N2100" s="3">
        <f>IF(OR($N$1="",对接源_02物料!$C900="",对接源_02物料!$C900&lt;&gt;$N$1,对接源_02物料!$B900=""),0,IF(OR(N(对接源_02物料!$B900)&lt;$N$2,N(对接源_02物料!$B900)&gt;$N$3),0,1))</f>
        <v>0</v>
      </c>
      <c r="P2100" s="3">
        <f>IF(AND($K2100=1,AND(对接源_02物料!$X900="公司筐",N(对接源_02物料!$T900)&lt;&gt;0)),1,0)</f>
        <v>0</v>
      </c>
      <c r="Q2100" s="3">
        <f t="shared" si="556"/>
        <v>8</v>
      </c>
      <c r="R2100" s="3">
        <f>IF(AND($K2100=1,AND(对接源_02物料!$X900="公司筐",N(对接源_02物料!$U900)&lt;&gt;0)),1,0)</f>
        <v>0</v>
      </c>
      <c r="S2100" s="3">
        <f t="shared" si="557"/>
        <v>0</v>
      </c>
      <c r="T2100" s="3">
        <f>IF(AND($K2100=1,AND(对接源_02物料!$X900="公司筐",N(对接源_02物料!$V900)&lt;&gt;0)),1,0)</f>
        <v>0</v>
      </c>
      <c r="U2100" s="3">
        <f t="shared" si="558"/>
        <v>19</v>
      </c>
      <c r="V2100" s="3">
        <f>IF(AND($L2100=1,AND(对接源_02物料!$X900="自备筐",N(对接源_02物料!$V900)&lt;&gt;0)),1,0)</f>
        <v>0</v>
      </c>
      <c r="W2100" s="3">
        <f t="shared" si="559"/>
        <v>8</v>
      </c>
      <c r="X2100" s="3">
        <f>IF(AND($L2100=1,AND(对接源_02物料!$X900="自备筐",N(对接源_02物料!$T900)&lt;&gt;0)),1,0)</f>
        <v>0</v>
      </c>
      <c r="Y2100" s="3">
        <f t="shared" si="560"/>
        <v>0</v>
      </c>
      <c r="Z2100" s="3">
        <f>IF(AND($M2100=1,对接源_02物料!$D900="原料入库"),1,0)</f>
        <v>0</v>
      </c>
      <c r="AA2100" s="3">
        <f t="shared" si="561"/>
        <v>24</v>
      </c>
      <c r="AB2100" s="3">
        <f>IF(AND($M2100=1,LEFT(对接源_02物料!$D900,4)="原料出库"),1,0)</f>
        <v>0</v>
      </c>
      <c r="AC2100" s="3">
        <f t="shared" si="562"/>
        <v>0</v>
      </c>
      <c r="AD2100" s="3">
        <f>IF(AND($M2100=1,LEFT(对接源_02物料!$D900,4)="成品出库"),1,0)</f>
        <v>0</v>
      </c>
      <c r="AE2100" s="3">
        <f t="shared" si="563"/>
        <v>0</v>
      </c>
      <c r="AF2100" s="3">
        <f>IF(AND($N2100=1,AND(LEFT(对接源_02物料!$D900,4)="包装物料",N(对接源_02物料!$K900)&lt;&gt;0)),1,0)</f>
        <v>0</v>
      </c>
      <c r="AG2100" s="3">
        <f t="shared" si="564"/>
        <v>5</v>
      </c>
      <c r="AH2100" s="3">
        <f>IF(AND($N2100=1,AND(对接源_02物料!$D900="周转筐－销售出库",N(对接源_02物料!$K900)&lt;&gt;0)),1,0)</f>
        <v>0</v>
      </c>
      <c r="AI2100" s="3">
        <f t="shared" si="565"/>
        <v>0</v>
      </c>
      <c r="AL2100" s="3">
        <v>0</v>
      </c>
      <c r="AM2100" s="3">
        <f t="shared" si="566"/>
        <v>1</v>
      </c>
      <c r="AN2100" s="3" t="str">
        <f t="shared" ref="AN2100:AN2163" si="570">""</f>
        <v/>
      </c>
      <c r="AO2100" s="3">
        <v>0</v>
      </c>
      <c r="AP2100" s="3">
        <f t="shared" si="567"/>
        <v>8</v>
      </c>
      <c r="AR2100">
        <f t="shared" si="568"/>
        <v>0</v>
      </c>
      <c r="AS2100">
        <f t="shared" si="569"/>
        <v>5</v>
      </c>
    </row>
    <row r="2101" customHeight="1" spans="1:45">
      <c r="A2101" s="3" t="str">
        <f>IF(对接源_02物料!$C901="","",对接源_02物料!$C901)</f>
        <v/>
      </c>
      <c r="B2101" s="3">
        <f t="shared" si="554"/>
        <v>0</v>
      </c>
      <c r="C2101" s="3">
        <f t="shared" si="555"/>
        <v>21</v>
      </c>
      <c r="K2101" s="3">
        <f>IF(OR($K$1="",对接源_02物料!$C901="",对接源_02物料!$C901&lt;&gt;$K$1,对接源_02物料!$B901=""),0,IF(OR(N(对接源_02物料!$B901)&lt;$K$2,N(对接源_02物料!$B901)&gt;$K$3),0,1))</f>
        <v>0</v>
      </c>
      <c r="L2101" s="3">
        <f>IF(OR($L$1="",对接源_02物料!$C901="",对接源_02物料!$C901&lt;&gt;$L$1,对接源_02物料!$B901=""),0,IF(OR(N(对接源_02物料!$B901)&lt;$L$2,N(对接源_02物料!$B901)&gt;$L$3),0,1))</f>
        <v>0</v>
      </c>
      <c r="M2101" s="3">
        <f>IF(OR($M$1="",对接源_02物料!$C901="",对接源_02物料!$C901&lt;&gt;$M$1,对接源_02物料!$B901=""),0,IF(OR(N(对接源_02物料!$B901)&lt;$M$2,N(对接源_02物料!$B901)&gt;$M$3),0,1))</f>
        <v>0</v>
      </c>
      <c r="N2101" s="3">
        <f>IF(OR($N$1="",对接源_02物料!$C901="",对接源_02物料!$C901&lt;&gt;$N$1,对接源_02物料!$B901=""),0,IF(OR(N(对接源_02物料!$B901)&lt;$N$2,N(对接源_02物料!$B901)&gt;$N$3),0,1))</f>
        <v>0</v>
      </c>
      <c r="P2101" s="3">
        <f>IF(AND($K2101=1,AND(对接源_02物料!$X901="公司筐",N(对接源_02物料!$T901)&lt;&gt;0)),1,0)</f>
        <v>0</v>
      </c>
      <c r="Q2101" s="3">
        <f t="shared" si="556"/>
        <v>8</v>
      </c>
      <c r="R2101" s="3">
        <f>IF(AND($K2101=1,AND(对接源_02物料!$X901="公司筐",N(对接源_02物料!$U901)&lt;&gt;0)),1,0)</f>
        <v>0</v>
      </c>
      <c r="S2101" s="3">
        <f t="shared" si="557"/>
        <v>0</v>
      </c>
      <c r="T2101" s="3">
        <f>IF(AND($K2101=1,AND(对接源_02物料!$X901="公司筐",N(对接源_02物料!$V901)&lt;&gt;0)),1,0)</f>
        <v>0</v>
      </c>
      <c r="U2101" s="3">
        <f t="shared" si="558"/>
        <v>19</v>
      </c>
      <c r="V2101" s="3">
        <f>IF(AND($L2101=1,AND(对接源_02物料!$X901="自备筐",N(对接源_02物料!$V901)&lt;&gt;0)),1,0)</f>
        <v>0</v>
      </c>
      <c r="W2101" s="3">
        <f t="shared" si="559"/>
        <v>8</v>
      </c>
      <c r="X2101" s="3">
        <f>IF(AND($L2101=1,AND(对接源_02物料!$X901="自备筐",N(对接源_02物料!$T901)&lt;&gt;0)),1,0)</f>
        <v>0</v>
      </c>
      <c r="Y2101" s="3">
        <f t="shared" si="560"/>
        <v>0</v>
      </c>
      <c r="Z2101" s="3">
        <f>IF(AND($M2101=1,对接源_02物料!$D901="原料入库"),1,0)</f>
        <v>0</v>
      </c>
      <c r="AA2101" s="3">
        <f t="shared" si="561"/>
        <v>24</v>
      </c>
      <c r="AB2101" s="3">
        <f>IF(AND($M2101=1,LEFT(对接源_02物料!$D901,4)="原料出库"),1,0)</f>
        <v>0</v>
      </c>
      <c r="AC2101" s="3">
        <f t="shared" si="562"/>
        <v>0</v>
      </c>
      <c r="AD2101" s="3">
        <f>IF(AND($M2101=1,LEFT(对接源_02物料!$D901,4)="成品出库"),1,0)</f>
        <v>0</v>
      </c>
      <c r="AE2101" s="3">
        <f t="shared" si="563"/>
        <v>0</v>
      </c>
      <c r="AF2101" s="3">
        <f>IF(AND($N2101=1,AND(LEFT(对接源_02物料!$D901,4)="包装物料",N(对接源_02物料!$K901)&lt;&gt;0)),1,0)</f>
        <v>0</v>
      </c>
      <c r="AG2101" s="3">
        <f t="shared" si="564"/>
        <v>5</v>
      </c>
      <c r="AH2101" s="3">
        <f>IF(AND($N2101=1,AND(对接源_02物料!$D901="周转筐－销售出库",N(对接源_02物料!$K901)&lt;&gt;0)),1,0)</f>
        <v>0</v>
      </c>
      <c r="AI2101" s="3">
        <f t="shared" si="565"/>
        <v>0</v>
      </c>
      <c r="AL2101" s="3">
        <v>0</v>
      </c>
      <c r="AM2101" s="3">
        <f t="shared" si="566"/>
        <v>1</v>
      </c>
      <c r="AN2101" s="3" t="str">
        <f t="shared" si="570"/>
        <v/>
      </c>
      <c r="AO2101" s="3">
        <v>0</v>
      </c>
      <c r="AP2101" s="3">
        <f t="shared" si="567"/>
        <v>8</v>
      </c>
      <c r="AR2101">
        <f t="shared" si="568"/>
        <v>0</v>
      </c>
      <c r="AS2101">
        <f t="shared" si="569"/>
        <v>5</v>
      </c>
    </row>
    <row r="2102" customHeight="1" spans="1:45">
      <c r="A2102" s="3" t="str">
        <f>IF(对接源_02物料!$C902="","",对接源_02物料!$C902)</f>
        <v/>
      </c>
      <c r="B2102" s="3">
        <f t="shared" si="554"/>
        <v>0</v>
      </c>
      <c r="C2102" s="3">
        <f t="shared" si="555"/>
        <v>21</v>
      </c>
      <c r="K2102" s="3">
        <f>IF(OR($K$1="",对接源_02物料!$C902="",对接源_02物料!$C902&lt;&gt;$K$1,对接源_02物料!$B902=""),0,IF(OR(N(对接源_02物料!$B902)&lt;$K$2,N(对接源_02物料!$B902)&gt;$K$3),0,1))</f>
        <v>0</v>
      </c>
      <c r="L2102" s="3">
        <f>IF(OR($L$1="",对接源_02物料!$C902="",对接源_02物料!$C902&lt;&gt;$L$1,对接源_02物料!$B902=""),0,IF(OR(N(对接源_02物料!$B902)&lt;$L$2,N(对接源_02物料!$B902)&gt;$L$3),0,1))</f>
        <v>0</v>
      </c>
      <c r="M2102" s="3">
        <f>IF(OR($M$1="",对接源_02物料!$C902="",对接源_02物料!$C902&lt;&gt;$M$1,对接源_02物料!$B902=""),0,IF(OR(N(对接源_02物料!$B902)&lt;$M$2,N(对接源_02物料!$B902)&gt;$M$3),0,1))</f>
        <v>0</v>
      </c>
      <c r="N2102" s="3">
        <f>IF(OR($N$1="",对接源_02物料!$C902="",对接源_02物料!$C902&lt;&gt;$N$1,对接源_02物料!$B902=""),0,IF(OR(N(对接源_02物料!$B902)&lt;$N$2,N(对接源_02物料!$B902)&gt;$N$3),0,1))</f>
        <v>0</v>
      </c>
      <c r="P2102" s="3">
        <f>IF(AND($K2102=1,AND(对接源_02物料!$X902="公司筐",N(对接源_02物料!$T902)&lt;&gt;0)),1,0)</f>
        <v>0</v>
      </c>
      <c r="Q2102" s="3">
        <f t="shared" si="556"/>
        <v>8</v>
      </c>
      <c r="R2102" s="3">
        <f>IF(AND($K2102=1,AND(对接源_02物料!$X902="公司筐",N(对接源_02物料!$U902)&lt;&gt;0)),1,0)</f>
        <v>0</v>
      </c>
      <c r="S2102" s="3">
        <f t="shared" si="557"/>
        <v>0</v>
      </c>
      <c r="T2102" s="3">
        <f>IF(AND($K2102=1,AND(对接源_02物料!$X902="公司筐",N(对接源_02物料!$V902)&lt;&gt;0)),1,0)</f>
        <v>0</v>
      </c>
      <c r="U2102" s="3">
        <f t="shared" si="558"/>
        <v>19</v>
      </c>
      <c r="V2102" s="3">
        <f>IF(AND($L2102=1,AND(对接源_02物料!$X902="自备筐",N(对接源_02物料!$V902)&lt;&gt;0)),1,0)</f>
        <v>0</v>
      </c>
      <c r="W2102" s="3">
        <f t="shared" si="559"/>
        <v>8</v>
      </c>
      <c r="X2102" s="3">
        <f>IF(AND($L2102=1,AND(对接源_02物料!$X902="自备筐",N(对接源_02物料!$T902)&lt;&gt;0)),1,0)</f>
        <v>0</v>
      </c>
      <c r="Y2102" s="3">
        <f t="shared" si="560"/>
        <v>0</v>
      </c>
      <c r="Z2102" s="3">
        <f>IF(AND($M2102=1,对接源_02物料!$D902="原料入库"),1,0)</f>
        <v>0</v>
      </c>
      <c r="AA2102" s="3">
        <f t="shared" si="561"/>
        <v>24</v>
      </c>
      <c r="AB2102" s="3">
        <f>IF(AND($M2102=1,LEFT(对接源_02物料!$D902,4)="原料出库"),1,0)</f>
        <v>0</v>
      </c>
      <c r="AC2102" s="3">
        <f t="shared" si="562"/>
        <v>0</v>
      </c>
      <c r="AD2102" s="3">
        <f>IF(AND($M2102=1,LEFT(对接源_02物料!$D902,4)="成品出库"),1,0)</f>
        <v>0</v>
      </c>
      <c r="AE2102" s="3">
        <f t="shared" si="563"/>
        <v>0</v>
      </c>
      <c r="AF2102" s="3">
        <f>IF(AND($N2102=1,AND(LEFT(对接源_02物料!$D902,4)="包装物料",N(对接源_02物料!$K902)&lt;&gt;0)),1,0)</f>
        <v>0</v>
      </c>
      <c r="AG2102" s="3">
        <f t="shared" si="564"/>
        <v>5</v>
      </c>
      <c r="AH2102" s="3">
        <f>IF(AND($N2102=1,AND(对接源_02物料!$D902="周转筐－销售出库",N(对接源_02物料!$K902)&lt;&gt;0)),1,0)</f>
        <v>0</v>
      </c>
      <c r="AI2102" s="3">
        <f t="shared" si="565"/>
        <v>0</v>
      </c>
      <c r="AL2102" s="3">
        <v>0</v>
      </c>
      <c r="AM2102" s="3">
        <f t="shared" si="566"/>
        <v>1</v>
      </c>
      <c r="AN2102" s="3" t="str">
        <f t="shared" si="570"/>
        <v/>
      </c>
      <c r="AO2102" s="3">
        <v>0</v>
      </c>
      <c r="AP2102" s="3">
        <f t="shared" si="567"/>
        <v>8</v>
      </c>
      <c r="AR2102">
        <f t="shared" si="568"/>
        <v>0</v>
      </c>
      <c r="AS2102">
        <f t="shared" si="569"/>
        <v>5</v>
      </c>
    </row>
    <row r="2103" customHeight="1" spans="1:45">
      <c r="A2103" s="3" t="str">
        <f>IF(对接源_02物料!$C903="","",对接源_02物料!$C903)</f>
        <v/>
      </c>
      <c r="B2103" s="3">
        <f t="shared" si="554"/>
        <v>0</v>
      </c>
      <c r="C2103" s="3">
        <f t="shared" si="555"/>
        <v>21</v>
      </c>
      <c r="K2103" s="3">
        <f>IF(OR($K$1="",对接源_02物料!$C903="",对接源_02物料!$C903&lt;&gt;$K$1,对接源_02物料!$B903=""),0,IF(OR(N(对接源_02物料!$B903)&lt;$K$2,N(对接源_02物料!$B903)&gt;$K$3),0,1))</f>
        <v>0</v>
      </c>
      <c r="L2103" s="3">
        <f>IF(OR($L$1="",对接源_02物料!$C903="",对接源_02物料!$C903&lt;&gt;$L$1,对接源_02物料!$B903=""),0,IF(OR(N(对接源_02物料!$B903)&lt;$L$2,N(对接源_02物料!$B903)&gt;$L$3),0,1))</f>
        <v>0</v>
      </c>
      <c r="M2103" s="3">
        <f>IF(OR($M$1="",对接源_02物料!$C903="",对接源_02物料!$C903&lt;&gt;$M$1,对接源_02物料!$B903=""),0,IF(OR(N(对接源_02物料!$B903)&lt;$M$2,N(对接源_02物料!$B903)&gt;$M$3),0,1))</f>
        <v>0</v>
      </c>
      <c r="N2103" s="3">
        <f>IF(OR($N$1="",对接源_02物料!$C903="",对接源_02物料!$C903&lt;&gt;$N$1,对接源_02物料!$B903=""),0,IF(OR(N(对接源_02物料!$B903)&lt;$N$2,N(对接源_02物料!$B903)&gt;$N$3),0,1))</f>
        <v>0</v>
      </c>
      <c r="P2103" s="3">
        <f>IF(AND($K2103=1,AND(对接源_02物料!$X903="公司筐",N(对接源_02物料!$T903)&lt;&gt;0)),1,0)</f>
        <v>0</v>
      </c>
      <c r="Q2103" s="3">
        <f t="shared" si="556"/>
        <v>8</v>
      </c>
      <c r="R2103" s="3">
        <f>IF(AND($K2103=1,AND(对接源_02物料!$X903="公司筐",N(对接源_02物料!$U903)&lt;&gt;0)),1,0)</f>
        <v>0</v>
      </c>
      <c r="S2103" s="3">
        <f t="shared" si="557"/>
        <v>0</v>
      </c>
      <c r="T2103" s="3">
        <f>IF(AND($K2103=1,AND(对接源_02物料!$X903="公司筐",N(对接源_02物料!$V903)&lt;&gt;0)),1,0)</f>
        <v>0</v>
      </c>
      <c r="U2103" s="3">
        <f t="shared" si="558"/>
        <v>19</v>
      </c>
      <c r="V2103" s="3">
        <f>IF(AND($L2103=1,AND(对接源_02物料!$X903="自备筐",N(对接源_02物料!$V903)&lt;&gt;0)),1,0)</f>
        <v>0</v>
      </c>
      <c r="W2103" s="3">
        <f t="shared" si="559"/>
        <v>8</v>
      </c>
      <c r="X2103" s="3">
        <f>IF(AND($L2103=1,AND(对接源_02物料!$X903="自备筐",N(对接源_02物料!$T903)&lt;&gt;0)),1,0)</f>
        <v>0</v>
      </c>
      <c r="Y2103" s="3">
        <f t="shared" si="560"/>
        <v>0</v>
      </c>
      <c r="Z2103" s="3">
        <f>IF(AND($M2103=1,对接源_02物料!$D903="原料入库"),1,0)</f>
        <v>0</v>
      </c>
      <c r="AA2103" s="3">
        <f t="shared" si="561"/>
        <v>24</v>
      </c>
      <c r="AB2103" s="3">
        <f>IF(AND($M2103=1,LEFT(对接源_02物料!$D903,4)="原料出库"),1,0)</f>
        <v>0</v>
      </c>
      <c r="AC2103" s="3">
        <f t="shared" si="562"/>
        <v>0</v>
      </c>
      <c r="AD2103" s="3">
        <f>IF(AND($M2103=1,LEFT(对接源_02物料!$D903,4)="成品出库"),1,0)</f>
        <v>0</v>
      </c>
      <c r="AE2103" s="3">
        <f t="shared" si="563"/>
        <v>0</v>
      </c>
      <c r="AF2103" s="3">
        <f>IF(AND($N2103=1,AND(LEFT(对接源_02物料!$D903,4)="包装物料",N(对接源_02物料!$K903)&lt;&gt;0)),1,0)</f>
        <v>0</v>
      </c>
      <c r="AG2103" s="3">
        <f t="shared" si="564"/>
        <v>5</v>
      </c>
      <c r="AH2103" s="3">
        <f>IF(AND($N2103=1,AND(对接源_02物料!$D903="周转筐－销售出库",N(对接源_02物料!$K903)&lt;&gt;0)),1,0)</f>
        <v>0</v>
      </c>
      <c r="AI2103" s="3">
        <f t="shared" si="565"/>
        <v>0</v>
      </c>
      <c r="AL2103" s="3">
        <v>0</v>
      </c>
      <c r="AM2103" s="3">
        <f t="shared" si="566"/>
        <v>1</v>
      </c>
      <c r="AN2103" s="3" t="str">
        <f t="shared" si="570"/>
        <v/>
      </c>
      <c r="AO2103" s="3">
        <v>0</v>
      </c>
      <c r="AP2103" s="3">
        <f t="shared" si="567"/>
        <v>8</v>
      </c>
      <c r="AR2103">
        <f t="shared" si="568"/>
        <v>0</v>
      </c>
      <c r="AS2103">
        <f t="shared" si="569"/>
        <v>5</v>
      </c>
    </row>
    <row r="2104" customHeight="1" spans="1:45">
      <c r="A2104" s="3" t="str">
        <f>IF(对接源_02物料!$C904="","",对接源_02物料!$C904)</f>
        <v/>
      </c>
      <c r="B2104" s="3">
        <f t="shared" si="554"/>
        <v>0</v>
      </c>
      <c r="C2104" s="3">
        <f t="shared" si="555"/>
        <v>21</v>
      </c>
      <c r="K2104" s="3">
        <f>IF(OR($K$1="",对接源_02物料!$C904="",对接源_02物料!$C904&lt;&gt;$K$1,对接源_02物料!$B904=""),0,IF(OR(N(对接源_02物料!$B904)&lt;$K$2,N(对接源_02物料!$B904)&gt;$K$3),0,1))</f>
        <v>0</v>
      </c>
      <c r="L2104" s="3">
        <f>IF(OR($L$1="",对接源_02物料!$C904="",对接源_02物料!$C904&lt;&gt;$L$1,对接源_02物料!$B904=""),0,IF(OR(N(对接源_02物料!$B904)&lt;$L$2,N(对接源_02物料!$B904)&gt;$L$3),0,1))</f>
        <v>0</v>
      </c>
      <c r="M2104" s="3">
        <f>IF(OR($M$1="",对接源_02物料!$C904="",对接源_02物料!$C904&lt;&gt;$M$1,对接源_02物料!$B904=""),0,IF(OR(N(对接源_02物料!$B904)&lt;$M$2,N(对接源_02物料!$B904)&gt;$M$3),0,1))</f>
        <v>0</v>
      </c>
      <c r="N2104" s="3">
        <f>IF(OR($N$1="",对接源_02物料!$C904="",对接源_02物料!$C904&lt;&gt;$N$1,对接源_02物料!$B904=""),0,IF(OR(N(对接源_02物料!$B904)&lt;$N$2,N(对接源_02物料!$B904)&gt;$N$3),0,1))</f>
        <v>0</v>
      </c>
      <c r="P2104" s="3">
        <f>IF(AND($K2104=1,AND(对接源_02物料!$X904="公司筐",N(对接源_02物料!$T904)&lt;&gt;0)),1,0)</f>
        <v>0</v>
      </c>
      <c r="Q2104" s="3">
        <f t="shared" si="556"/>
        <v>8</v>
      </c>
      <c r="R2104" s="3">
        <f>IF(AND($K2104=1,AND(对接源_02物料!$X904="公司筐",N(对接源_02物料!$U904)&lt;&gt;0)),1,0)</f>
        <v>0</v>
      </c>
      <c r="S2104" s="3">
        <f t="shared" si="557"/>
        <v>0</v>
      </c>
      <c r="T2104" s="3">
        <f>IF(AND($K2104=1,AND(对接源_02物料!$X904="公司筐",N(对接源_02物料!$V904)&lt;&gt;0)),1,0)</f>
        <v>0</v>
      </c>
      <c r="U2104" s="3">
        <f t="shared" si="558"/>
        <v>19</v>
      </c>
      <c r="V2104" s="3">
        <f>IF(AND($L2104=1,AND(对接源_02物料!$X904="自备筐",N(对接源_02物料!$V904)&lt;&gt;0)),1,0)</f>
        <v>0</v>
      </c>
      <c r="W2104" s="3">
        <f t="shared" si="559"/>
        <v>8</v>
      </c>
      <c r="X2104" s="3">
        <f>IF(AND($L2104=1,AND(对接源_02物料!$X904="自备筐",N(对接源_02物料!$T904)&lt;&gt;0)),1,0)</f>
        <v>0</v>
      </c>
      <c r="Y2104" s="3">
        <f t="shared" si="560"/>
        <v>0</v>
      </c>
      <c r="Z2104" s="3">
        <f>IF(AND($M2104=1,对接源_02物料!$D904="原料入库"),1,0)</f>
        <v>0</v>
      </c>
      <c r="AA2104" s="3">
        <f t="shared" si="561"/>
        <v>24</v>
      </c>
      <c r="AB2104" s="3">
        <f>IF(AND($M2104=1,LEFT(对接源_02物料!$D904,4)="原料出库"),1,0)</f>
        <v>0</v>
      </c>
      <c r="AC2104" s="3">
        <f t="shared" si="562"/>
        <v>0</v>
      </c>
      <c r="AD2104" s="3">
        <f>IF(AND($M2104=1,LEFT(对接源_02物料!$D904,4)="成品出库"),1,0)</f>
        <v>0</v>
      </c>
      <c r="AE2104" s="3">
        <f t="shared" si="563"/>
        <v>0</v>
      </c>
      <c r="AF2104" s="3">
        <f>IF(AND($N2104=1,AND(LEFT(对接源_02物料!$D904,4)="包装物料",N(对接源_02物料!$K904)&lt;&gt;0)),1,0)</f>
        <v>0</v>
      </c>
      <c r="AG2104" s="3">
        <f t="shared" si="564"/>
        <v>5</v>
      </c>
      <c r="AH2104" s="3">
        <f>IF(AND($N2104=1,AND(对接源_02物料!$D904="周转筐－销售出库",N(对接源_02物料!$K904)&lt;&gt;0)),1,0)</f>
        <v>0</v>
      </c>
      <c r="AI2104" s="3">
        <f t="shared" si="565"/>
        <v>0</v>
      </c>
      <c r="AL2104" s="3">
        <v>0</v>
      </c>
      <c r="AM2104" s="3">
        <f t="shared" si="566"/>
        <v>1</v>
      </c>
      <c r="AN2104" s="3" t="str">
        <f t="shared" si="570"/>
        <v/>
      </c>
      <c r="AO2104" s="3">
        <v>0</v>
      </c>
      <c r="AP2104" s="3">
        <f t="shared" si="567"/>
        <v>8</v>
      </c>
      <c r="AR2104">
        <f t="shared" si="568"/>
        <v>0</v>
      </c>
      <c r="AS2104">
        <f t="shared" si="569"/>
        <v>5</v>
      </c>
    </row>
    <row r="2105" customHeight="1" spans="1:45">
      <c r="A2105" s="3" t="str">
        <f>IF(对接源_02物料!$C905="","",对接源_02物料!$C905)</f>
        <v/>
      </c>
      <c r="B2105" s="3">
        <f t="shared" si="554"/>
        <v>0</v>
      </c>
      <c r="C2105" s="3">
        <f t="shared" si="555"/>
        <v>21</v>
      </c>
      <c r="K2105" s="3">
        <f>IF(OR($K$1="",对接源_02物料!$C905="",对接源_02物料!$C905&lt;&gt;$K$1,对接源_02物料!$B905=""),0,IF(OR(N(对接源_02物料!$B905)&lt;$K$2,N(对接源_02物料!$B905)&gt;$K$3),0,1))</f>
        <v>0</v>
      </c>
      <c r="L2105" s="3">
        <f>IF(OR($L$1="",对接源_02物料!$C905="",对接源_02物料!$C905&lt;&gt;$L$1,对接源_02物料!$B905=""),0,IF(OR(N(对接源_02物料!$B905)&lt;$L$2,N(对接源_02物料!$B905)&gt;$L$3),0,1))</f>
        <v>0</v>
      </c>
      <c r="M2105" s="3">
        <f>IF(OR($M$1="",对接源_02物料!$C905="",对接源_02物料!$C905&lt;&gt;$M$1,对接源_02物料!$B905=""),0,IF(OR(N(对接源_02物料!$B905)&lt;$M$2,N(对接源_02物料!$B905)&gt;$M$3),0,1))</f>
        <v>0</v>
      </c>
      <c r="N2105" s="3">
        <f>IF(OR($N$1="",对接源_02物料!$C905="",对接源_02物料!$C905&lt;&gt;$N$1,对接源_02物料!$B905=""),0,IF(OR(N(对接源_02物料!$B905)&lt;$N$2,N(对接源_02物料!$B905)&gt;$N$3),0,1))</f>
        <v>0</v>
      </c>
      <c r="P2105" s="3">
        <f>IF(AND($K2105=1,AND(对接源_02物料!$X905="公司筐",N(对接源_02物料!$T905)&lt;&gt;0)),1,0)</f>
        <v>0</v>
      </c>
      <c r="Q2105" s="3">
        <f t="shared" si="556"/>
        <v>8</v>
      </c>
      <c r="R2105" s="3">
        <f>IF(AND($K2105=1,AND(对接源_02物料!$X905="公司筐",N(对接源_02物料!$U905)&lt;&gt;0)),1,0)</f>
        <v>0</v>
      </c>
      <c r="S2105" s="3">
        <f t="shared" si="557"/>
        <v>0</v>
      </c>
      <c r="T2105" s="3">
        <f>IF(AND($K2105=1,AND(对接源_02物料!$X905="公司筐",N(对接源_02物料!$V905)&lt;&gt;0)),1,0)</f>
        <v>0</v>
      </c>
      <c r="U2105" s="3">
        <f t="shared" si="558"/>
        <v>19</v>
      </c>
      <c r="V2105" s="3">
        <f>IF(AND($L2105=1,AND(对接源_02物料!$X905="自备筐",N(对接源_02物料!$V905)&lt;&gt;0)),1,0)</f>
        <v>0</v>
      </c>
      <c r="W2105" s="3">
        <f t="shared" si="559"/>
        <v>8</v>
      </c>
      <c r="X2105" s="3">
        <f>IF(AND($L2105=1,AND(对接源_02物料!$X905="自备筐",N(对接源_02物料!$T905)&lt;&gt;0)),1,0)</f>
        <v>0</v>
      </c>
      <c r="Y2105" s="3">
        <f t="shared" si="560"/>
        <v>0</v>
      </c>
      <c r="Z2105" s="3">
        <f>IF(AND($M2105=1,对接源_02物料!$D905="原料入库"),1,0)</f>
        <v>0</v>
      </c>
      <c r="AA2105" s="3">
        <f t="shared" si="561"/>
        <v>24</v>
      </c>
      <c r="AB2105" s="3">
        <f>IF(AND($M2105=1,LEFT(对接源_02物料!$D905,4)="原料出库"),1,0)</f>
        <v>0</v>
      </c>
      <c r="AC2105" s="3">
        <f t="shared" si="562"/>
        <v>0</v>
      </c>
      <c r="AD2105" s="3">
        <f>IF(AND($M2105=1,LEFT(对接源_02物料!$D905,4)="成品出库"),1,0)</f>
        <v>0</v>
      </c>
      <c r="AE2105" s="3">
        <f t="shared" si="563"/>
        <v>0</v>
      </c>
      <c r="AF2105" s="3">
        <f>IF(AND($N2105=1,AND(LEFT(对接源_02物料!$D905,4)="包装物料",N(对接源_02物料!$K905)&lt;&gt;0)),1,0)</f>
        <v>0</v>
      </c>
      <c r="AG2105" s="3">
        <f t="shared" si="564"/>
        <v>5</v>
      </c>
      <c r="AH2105" s="3">
        <f>IF(AND($N2105=1,AND(对接源_02物料!$D905="周转筐－销售出库",N(对接源_02物料!$K905)&lt;&gt;0)),1,0)</f>
        <v>0</v>
      </c>
      <c r="AI2105" s="3">
        <f t="shared" si="565"/>
        <v>0</v>
      </c>
      <c r="AL2105" s="3">
        <v>0</v>
      </c>
      <c r="AM2105" s="3">
        <f t="shared" si="566"/>
        <v>1</v>
      </c>
      <c r="AN2105" s="3" t="str">
        <f t="shared" si="570"/>
        <v/>
      </c>
      <c r="AO2105" s="3">
        <v>0</v>
      </c>
      <c r="AP2105" s="3">
        <f t="shared" si="567"/>
        <v>8</v>
      </c>
      <c r="AR2105">
        <f t="shared" si="568"/>
        <v>0</v>
      </c>
      <c r="AS2105">
        <f t="shared" si="569"/>
        <v>5</v>
      </c>
    </row>
    <row r="2106" customHeight="1" spans="1:45">
      <c r="A2106" s="3" t="str">
        <f>IF(对接源_02物料!$C906="","",对接源_02物料!$C906)</f>
        <v/>
      </c>
      <c r="B2106" s="3">
        <f t="shared" si="554"/>
        <v>0</v>
      </c>
      <c r="C2106" s="3">
        <f t="shared" si="555"/>
        <v>21</v>
      </c>
      <c r="K2106" s="3">
        <f>IF(OR($K$1="",对接源_02物料!$C906="",对接源_02物料!$C906&lt;&gt;$K$1,对接源_02物料!$B906=""),0,IF(OR(N(对接源_02物料!$B906)&lt;$K$2,N(对接源_02物料!$B906)&gt;$K$3),0,1))</f>
        <v>0</v>
      </c>
      <c r="L2106" s="3">
        <f>IF(OR($L$1="",对接源_02物料!$C906="",对接源_02物料!$C906&lt;&gt;$L$1,对接源_02物料!$B906=""),0,IF(OR(N(对接源_02物料!$B906)&lt;$L$2,N(对接源_02物料!$B906)&gt;$L$3),0,1))</f>
        <v>0</v>
      </c>
      <c r="M2106" s="3">
        <f>IF(OR($M$1="",对接源_02物料!$C906="",对接源_02物料!$C906&lt;&gt;$M$1,对接源_02物料!$B906=""),0,IF(OR(N(对接源_02物料!$B906)&lt;$M$2,N(对接源_02物料!$B906)&gt;$M$3),0,1))</f>
        <v>0</v>
      </c>
      <c r="N2106" s="3">
        <f>IF(OR($N$1="",对接源_02物料!$C906="",对接源_02物料!$C906&lt;&gt;$N$1,对接源_02物料!$B906=""),0,IF(OR(N(对接源_02物料!$B906)&lt;$N$2,N(对接源_02物料!$B906)&gt;$N$3),0,1))</f>
        <v>0</v>
      </c>
      <c r="P2106" s="3">
        <f>IF(AND($K2106=1,AND(对接源_02物料!$X906="公司筐",N(对接源_02物料!$T906)&lt;&gt;0)),1,0)</f>
        <v>0</v>
      </c>
      <c r="Q2106" s="3">
        <f t="shared" si="556"/>
        <v>8</v>
      </c>
      <c r="R2106" s="3">
        <f>IF(AND($K2106=1,AND(对接源_02物料!$X906="公司筐",N(对接源_02物料!$U906)&lt;&gt;0)),1,0)</f>
        <v>0</v>
      </c>
      <c r="S2106" s="3">
        <f t="shared" si="557"/>
        <v>0</v>
      </c>
      <c r="T2106" s="3">
        <f>IF(AND($K2106=1,AND(对接源_02物料!$X906="公司筐",N(对接源_02物料!$V906)&lt;&gt;0)),1,0)</f>
        <v>0</v>
      </c>
      <c r="U2106" s="3">
        <f t="shared" si="558"/>
        <v>19</v>
      </c>
      <c r="V2106" s="3">
        <f>IF(AND($L2106=1,AND(对接源_02物料!$X906="自备筐",N(对接源_02物料!$V906)&lt;&gt;0)),1,0)</f>
        <v>0</v>
      </c>
      <c r="W2106" s="3">
        <f t="shared" si="559"/>
        <v>8</v>
      </c>
      <c r="X2106" s="3">
        <f>IF(AND($L2106=1,AND(对接源_02物料!$X906="自备筐",N(对接源_02物料!$T906)&lt;&gt;0)),1,0)</f>
        <v>0</v>
      </c>
      <c r="Y2106" s="3">
        <f t="shared" si="560"/>
        <v>0</v>
      </c>
      <c r="Z2106" s="3">
        <f>IF(AND($M2106=1,对接源_02物料!$D906="原料入库"),1,0)</f>
        <v>0</v>
      </c>
      <c r="AA2106" s="3">
        <f t="shared" si="561"/>
        <v>24</v>
      </c>
      <c r="AB2106" s="3">
        <f>IF(AND($M2106=1,LEFT(对接源_02物料!$D906,4)="原料出库"),1,0)</f>
        <v>0</v>
      </c>
      <c r="AC2106" s="3">
        <f t="shared" si="562"/>
        <v>0</v>
      </c>
      <c r="AD2106" s="3">
        <f>IF(AND($M2106=1,LEFT(对接源_02物料!$D906,4)="成品出库"),1,0)</f>
        <v>0</v>
      </c>
      <c r="AE2106" s="3">
        <f t="shared" si="563"/>
        <v>0</v>
      </c>
      <c r="AF2106" s="3">
        <f>IF(AND($N2106=1,AND(LEFT(对接源_02物料!$D906,4)="包装物料",N(对接源_02物料!$K906)&lt;&gt;0)),1,0)</f>
        <v>0</v>
      </c>
      <c r="AG2106" s="3">
        <f t="shared" si="564"/>
        <v>5</v>
      </c>
      <c r="AH2106" s="3">
        <f>IF(AND($N2106=1,AND(对接源_02物料!$D906="周转筐－销售出库",N(对接源_02物料!$K906)&lt;&gt;0)),1,0)</f>
        <v>0</v>
      </c>
      <c r="AI2106" s="3">
        <f t="shared" si="565"/>
        <v>0</v>
      </c>
      <c r="AL2106" s="3">
        <v>0</v>
      </c>
      <c r="AM2106" s="3">
        <f t="shared" si="566"/>
        <v>1</v>
      </c>
      <c r="AN2106" s="3" t="str">
        <f t="shared" si="570"/>
        <v/>
      </c>
      <c r="AO2106" s="3">
        <v>0</v>
      </c>
      <c r="AP2106" s="3">
        <f t="shared" si="567"/>
        <v>8</v>
      </c>
      <c r="AR2106">
        <f t="shared" si="568"/>
        <v>0</v>
      </c>
      <c r="AS2106">
        <f t="shared" si="569"/>
        <v>5</v>
      </c>
    </row>
    <row r="2107" customHeight="1" spans="1:45">
      <c r="A2107" s="3" t="str">
        <f>IF(对接源_02物料!$C907="","",对接源_02物料!$C907)</f>
        <v/>
      </c>
      <c r="B2107" s="3">
        <f t="shared" si="554"/>
        <v>0</v>
      </c>
      <c r="C2107" s="3">
        <f t="shared" si="555"/>
        <v>21</v>
      </c>
      <c r="K2107" s="3">
        <f>IF(OR($K$1="",对接源_02物料!$C907="",对接源_02物料!$C907&lt;&gt;$K$1,对接源_02物料!$B907=""),0,IF(OR(N(对接源_02物料!$B907)&lt;$K$2,N(对接源_02物料!$B907)&gt;$K$3),0,1))</f>
        <v>0</v>
      </c>
      <c r="L2107" s="3">
        <f>IF(OR($L$1="",对接源_02物料!$C907="",对接源_02物料!$C907&lt;&gt;$L$1,对接源_02物料!$B907=""),0,IF(OR(N(对接源_02物料!$B907)&lt;$L$2,N(对接源_02物料!$B907)&gt;$L$3),0,1))</f>
        <v>0</v>
      </c>
      <c r="M2107" s="3">
        <f>IF(OR($M$1="",对接源_02物料!$C907="",对接源_02物料!$C907&lt;&gt;$M$1,对接源_02物料!$B907=""),0,IF(OR(N(对接源_02物料!$B907)&lt;$M$2,N(对接源_02物料!$B907)&gt;$M$3),0,1))</f>
        <v>0</v>
      </c>
      <c r="N2107" s="3">
        <f>IF(OR($N$1="",对接源_02物料!$C907="",对接源_02物料!$C907&lt;&gt;$N$1,对接源_02物料!$B907=""),0,IF(OR(N(对接源_02物料!$B907)&lt;$N$2,N(对接源_02物料!$B907)&gt;$N$3),0,1))</f>
        <v>0</v>
      </c>
      <c r="P2107" s="3">
        <f>IF(AND($K2107=1,AND(对接源_02物料!$X907="公司筐",N(对接源_02物料!$T907)&lt;&gt;0)),1,0)</f>
        <v>0</v>
      </c>
      <c r="Q2107" s="3">
        <f t="shared" si="556"/>
        <v>8</v>
      </c>
      <c r="R2107" s="3">
        <f>IF(AND($K2107=1,AND(对接源_02物料!$X907="公司筐",N(对接源_02物料!$U907)&lt;&gt;0)),1,0)</f>
        <v>0</v>
      </c>
      <c r="S2107" s="3">
        <f t="shared" si="557"/>
        <v>0</v>
      </c>
      <c r="T2107" s="3">
        <f>IF(AND($K2107=1,AND(对接源_02物料!$X907="公司筐",N(对接源_02物料!$V907)&lt;&gt;0)),1,0)</f>
        <v>0</v>
      </c>
      <c r="U2107" s="3">
        <f t="shared" si="558"/>
        <v>19</v>
      </c>
      <c r="V2107" s="3">
        <f>IF(AND($L2107=1,AND(对接源_02物料!$X907="自备筐",N(对接源_02物料!$V907)&lt;&gt;0)),1,0)</f>
        <v>0</v>
      </c>
      <c r="W2107" s="3">
        <f t="shared" si="559"/>
        <v>8</v>
      </c>
      <c r="X2107" s="3">
        <f>IF(AND($L2107=1,AND(对接源_02物料!$X907="自备筐",N(对接源_02物料!$T907)&lt;&gt;0)),1,0)</f>
        <v>0</v>
      </c>
      <c r="Y2107" s="3">
        <f t="shared" si="560"/>
        <v>0</v>
      </c>
      <c r="Z2107" s="3">
        <f>IF(AND($M2107=1,对接源_02物料!$D907="原料入库"),1,0)</f>
        <v>0</v>
      </c>
      <c r="AA2107" s="3">
        <f t="shared" si="561"/>
        <v>24</v>
      </c>
      <c r="AB2107" s="3">
        <f>IF(AND($M2107=1,LEFT(对接源_02物料!$D907,4)="原料出库"),1,0)</f>
        <v>0</v>
      </c>
      <c r="AC2107" s="3">
        <f t="shared" si="562"/>
        <v>0</v>
      </c>
      <c r="AD2107" s="3">
        <f>IF(AND($M2107=1,LEFT(对接源_02物料!$D907,4)="成品出库"),1,0)</f>
        <v>0</v>
      </c>
      <c r="AE2107" s="3">
        <f t="shared" si="563"/>
        <v>0</v>
      </c>
      <c r="AF2107" s="3">
        <f>IF(AND($N2107=1,AND(LEFT(对接源_02物料!$D907,4)="包装物料",N(对接源_02物料!$K907)&lt;&gt;0)),1,0)</f>
        <v>0</v>
      </c>
      <c r="AG2107" s="3">
        <f t="shared" si="564"/>
        <v>5</v>
      </c>
      <c r="AH2107" s="3">
        <f>IF(AND($N2107=1,AND(对接源_02物料!$D907="周转筐－销售出库",N(对接源_02物料!$K907)&lt;&gt;0)),1,0)</f>
        <v>0</v>
      </c>
      <c r="AI2107" s="3">
        <f t="shared" si="565"/>
        <v>0</v>
      </c>
      <c r="AL2107" s="3">
        <v>0</v>
      </c>
      <c r="AM2107" s="3">
        <f t="shared" si="566"/>
        <v>1</v>
      </c>
      <c r="AN2107" s="3" t="str">
        <f t="shared" si="570"/>
        <v/>
      </c>
      <c r="AO2107" s="3">
        <v>0</v>
      </c>
      <c r="AP2107" s="3">
        <f t="shared" si="567"/>
        <v>8</v>
      </c>
      <c r="AR2107">
        <f t="shared" si="568"/>
        <v>0</v>
      </c>
      <c r="AS2107">
        <f t="shared" si="569"/>
        <v>5</v>
      </c>
    </row>
    <row r="2108" customHeight="1" spans="1:45">
      <c r="A2108" s="3" t="str">
        <f>IF(对接源_02物料!$C908="","",对接源_02物料!$C908)</f>
        <v/>
      </c>
      <c r="B2108" s="3">
        <f t="shared" si="554"/>
        <v>0</v>
      </c>
      <c r="C2108" s="3">
        <f t="shared" si="555"/>
        <v>21</v>
      </c>
      <c r="K2108" s="3">
        <f>IF(OR($K$1="",对接源_02物料!$C908="",对接源_02物料!$C908&lt;&gt;$K$1,对接源_02物料!$B908=""),0,IF(OR(N(对接源_02物料!$B908)&lt;$K$2,N(对接源_02物料!$B908)&gt;$K$3),0,1))</f>
        <v>0</v>
      </c>
      <c r="L2108" s="3">
        <f>IF(OR($L$1="",对接源_02物料!$C908="",对接源_02物料!$C908&lt;&gt;$L$1,对接源_02物料!$B908=""),0,IF(OR(N(对接源_02物料!$B908)&lt;$L$2,N(对接源_02物料!$B908)&gt;$L$3),0,1))</f>
        <v>0</v>
      </c>
      <c r="M2108" s="3">
        <f>IF(OR($M$1="",对接源_02物料!$C908="",对接源_02物料!$C908&lt;&gt;$M$1,对接源_02物料!$B908=""),0,IF(OR(N(对接源_02物料!$B908)&lt;$M$2,N(对接源_02物料!$B908)&gt;$M$3),0,1))</f>
        <v>0</v>
      </c>
      <c r="N2108" s="3">
        <f>IF(OR($N$1="",对接源_02物料!$C908="",对接源_02物料!$C908&lt;&gt;$N$1,对接源_02物料!$B908=""),0,IF(OR(N(对接源_02物料!$B908)&lt;$N$2,N(对接源_02物料!$B908)&gt;$N$3),0,1))</f>
        <v>0</v>
      </c>
      <c r="P2108" s="3">
        <f>IF(AND($K2108=1,AND(对接源_02物料!$X908="公司筐",N(对接源_02物料!$T908)&lt;&gt;0)),1,0)</f>
        <v>0</v>
      </c>
      <c r="Q2108" s="3">
        <f t="shared" si="556"/>
        <v>8</v>
      </c>
      <c r="R2108" s="3">
        <f>IF(AND($K2108=1,AND(对接源_02物料!$X908="公司筐",N(对接源_02物料!$U908)&lt;&gt;0)),1,0)</f>
        <v>0</v>
      </c>
      <c r="S2108" s="3">
        <f t="shared" si="557"/>
        <v>0</v>
      </c>
      <c r="T2108" s="3">
        <f>IF(AND($K2108=1,AND(对接源_02物料!$X908="公司筐",N(对接源_02物料!$V908)&lt;&gt;0)),1,0)</f>
        <v>0</v>
      </c>
      <c r="U2108" s="3">
        <f t="shared" si="558"/>
        <v>19</v>
      </c>
      <c r="V2108" s="3">
        <f>IF(AND($L2108=1,AND(对接源_02物料!$X908="自备筐",N(对接源_02物料!$V908)&lt;&gt;0)),1,0)</f>
        <v>0</v>
      </c>
      <c r="W2108" s="3">
        <f t="shared" si="559"/>
        <v>8</v>
      </c>
      <c r="X2108" s="3">
        <f>IF(AND($L2108=1,AND(对接源_02物料!$X908="自备筐",N(对接源_02物料!$T908)&lt;&gt;0)),1,0)</f>
        <v>0</v>
      </c>
      <c r="Y2108" s="3">
        <f t="shared" si="560"/>
        <v>0</v>
      </c>
      <c r="Z2108" s="3">
        <f>IF(AND($M2108=1,对接源_02物料!$D908="原料入库"),1,0)</f>
        <v>0</v>
      </c>
      <c r="AA2108" s="3">
        <f t="shared" si="561"/>
        <v>24</v>
      </c>
      <c r="AB2108" s="3">
        <f>IF(AND($M2108=1,LEFT(对接源_02物料!$D908,4)="原料出库"),1,0)</f>
        <v>0</v>
      </c>
      <c r="AC2108" s="3">
        <f t="shared" si="562"/>
        <v>0</v>
      </c>
      <c r="AD2108" s="3">
        <f>IF(AND($M2108=1,LEFT(对接源_02物料!$D908,4)="成品出库"),1,0)</f>
        <v>0</v>
      </c>
      <c r="AE2108" s="3">
        <f t="shared" si="563"/>
        <v>0</v>
      </c>
      <c r="AF2108" s="3">
        <f>IF(AND($N2108=1,AND(LEFT(对接源_02物料!$D908,4)="包装物料",N(对接源_02物料!$K908)&lt;&gt;0)),1,0)</f>
        <v>0</v>
      </c>
      <c r="AG2108" s="3">
        <f t="shared" si="564"/>
        <v>5</v>
      </c>
      <c r="AH2108" s="3">
        <f>IF(AND($N2108=1,AND(对接源_02物料!$D908="周转筐－销售出库",N(对接源_02物料!$K908)&lt;&gt;0)),1,0)</f>
        <v>0</v>
      </c>
      <c r="AI2108" s="3">
        <f t="shared" si="565"/>
        <v>0</v>
      </c>
      <c r="AL2108" s="3">
        <v>0</v>
      </c>
      <c r="AM2108" s="3">
        <f t="shared" si="566"/>
        <v>1</v>
      </c>
      <c r="AN2108" s="3" t="str">
        <f t="shared" si="570"/>
        <v/>
      </c>
      <c r="AO2108" s="3">
        <v>0</v>
      </c>
      <c r="AP2108" s="3">
        <f t="shared" si="567"/>
        <v>8</v>
      </c>
      <c r="AR2108">
        <f t="shared" si="568"/>
        <v>0</v>
      </c>
      <c r="AS2108">
        <f t="shared" si="569"/>
        <v>5</v>
      </c>
    </row>
    <row r="2109" customHeight="1" spans="1:45">
      <c r="A2109" s="3" t="str">
        <f>IF(对接源_02物料!$C909="","",对接源_02物料!$C909)</f>
        <v/>
      </c>
      <c r="B2109" s="3">
        <f t="shared" si="554"/>
        <v>0</v>
      </c>
      <c r="C2109" s="3">
        <f t="shared" si="555"/>
        <v>21</v>
      </c>
      <c r="K2109" s="3">
        <f>IF(OR($K$1="",对接源_02物料!$C909="",对接源_02物料!$C909&lt;&gt;$K$1,对接源_02物料!$B909=""),0,IF(OR(N(对接源_02物料!$B909)&lt;$K$2,N(对接源_02物料!$B909)&gt;$K$3),0,1))</f>
        <v>0</v>
      </c>
      <c r="L2109" s="3">
        <f>IF(OR($L$1="",对接源_02物料!$C909="",对接源_02物料!$C909&lt;&gt;$L$1,对接源_02物料!$B909=""),0,IF(OR(N(对接源_02物料!$B909)&lt;$L$2,N(对接源_02物料!$B909)&gt;$L$3),0,1))</f>
        <v>0</v>
      </c>
      <c r="M2109" s="3">
        <f>IF(OR($M$1="",对接源_02物料!$C909="",对接源_02物料!$C909&lt;&gt;$M$1,对接源_02物料!$B909=""),0,IF(OR(N(对接源_02物料!$B909)&lt;$M$2,N(对接源_02物料!$B909)&gt;$M$3),0,1))</f>
        <v>0</v>
      </c>
      <c r="N2109" s="3">
        <f>IF(OR($N$1="",对接源_02物料!$C909="",对接源_02物料!$C909&lt;&gt;$N$1,对接源_02物料!$B909=""),0,IF(OR(N(对接源_02物料!$B909)&lt;$N$2,N(对接源_02物料!$B909)&gt;$N$3),0,1))</f>
        <v>0</v>
      </c>
      <c r="P2109" s="3">
        <f>IF(AND($K2109=1,AND(对接源_02物料!$X909="公司筐",N(对接源_02物料!$T909)&lt;&gt;0)),1,0)</f>
        <v>0</v>
      </c>
      <c r="Q2109" s="3">
        <f t="shared" si="556"/>
        <v>8</v>
      </c>
      <c r="R2109" s="3">
        <f>IF(AND($K2109=1,AND(对接源_02物料!$X909="公司筐",N(对接源_02物料!$U909)&lt;&gt;0)),1,0)</f>
        <v>0</v>
      </c>
      <c r="S2109" s="3">
        <f t="shared" si="557"/>
        <v>0</v>
      </c>
      <c r="T2109" s="3">
        <f>IF(AND($K2109=1,AND(对接源_02物料!$X909="公司筐",N(对接源_02物料!$V909)&lt;&gt;0)),1,0)</f>
        <v>0</v>
      </c>
      <c r="U2109" s="3">
        <f t="shared" si="558"/>
        <v>19</v>
      </c>
      <c r="V2109" s="3">
        <f>IF(AND($L2109=1,AND(对接源_02物料!$X909="自备筐",N(对接源_02物料!$V909)&lt;&gt;0)),1,0)</f>
        <v>0</v>
      </c>
      <c r="W2109" s="3">
        <f t="shared" si="559"/>
        <v>8</v>
      </c>
      <c r="X2109" s="3">
        <f>IF(AND($L2109=1,AND(对接源_02物料!$X909="自备筐",N(对接源_02物料!$T909)&lt;&gt;0)),1,0)</f>
        <v>0</v>
      </c>
      <c r="Y2109" s="3">
        <f t="shared" si="560"/>
        <v>0</v>
      </c>
      <c r="Z2109" s="3">
        <f>IF(AND($M2109=1,对接源_02物料!$D909="原料入库"),1,0)</f>
        <v>0</v>
      </c>
      <c r="AA2109" s="3">
        <f t="shared" si="561"/>
        <v>24</v>
      </c>
      <c r="AB2109" s="3">
        <f>IF(AND($M2109=1,LEFT(对接源_02物料!$D909,4)="原料出库"),1,0)</f>
        <v>0</v>
      </c>
      <c r="AC2109" s="3">
        <f t="shared" si="562"/>
        <v>0</v>
      </c>
      <c r="AD2109" s="3">
        <f>IF(AND($M2109=1,LEFT(对接源_02物料!$D909,4)="成品出库"),1,0)</f>
        <v>0</v>
      </c>
      <c r="AE2109" s="3">
        <f t="shared" si="563"/>
        <v>0</v>
      </c>
      <c r="AF2109" s="3">
        <f>IF(AND($N2109=1,AND(LEFT(对接源_02物料!$D909,4)="包装物料",N(对接源_02物料!$K909)&lt;&gt;0)),1,0)</f>
        <v>0</v>
      </c>
      <c r="AG2109" s="3">
        <f t="shared" si="564"/>
        <v>5</v>
      </c>
      <c r="AH2109" s="3">
        <f>IF(AND($N2109=1,AND(对接源_02物料!$D909="周转筐－销售出库",N(对接源_02物料!$K909)&lt;&gt;0)),1,0)</f>
        <v>0</v>
      </c>
      <c r="AI2109" s="3">
        <f t="shared" si="565"/>
        <v>0</v>
      </c>
      <c r="AL2109" s="3">
        <v>0</v>
      </c>
      <c r="AM2109" s="3">
        <f t="shared" si="566"/>
        <v>1</v>
      </c>
      <c r="AN2109" s="3" t="str">
        <f t="shared" si="570"/>
        <v/>
      </c>
      <c r="AO2109" s="3">
        <v>0</v>
      </c>
      <c r="AP2109" s="3">
        <f t="shared" si="567"/>
        <v>8</v>
      </c>
      <c r="AR2109">
        <f t="shared" si="568"/>
        <v>0</v>
      </c>
      <c r="AS2109">
        <f t="shared" si="569"/>
        <v>5</v>
      </c>
    </row>
    <row r="2110" customHeight="1" spans="1:45">
      <c r="A2110" s="3" t="str">
        <f>IF(对接源_02物料!$C910="","",对接源_02物料!$C910)</f>
        <v/>
      </c>
      <c r="B2110" s="3">
        <f t="shared" si="554"/>
        <v>0</v>
      </c>
      <c r="C2110" s="3">
        <f t="shared" si="555"/>
        <v>21</v>
      </c>
      <c r="K2110" s="3">
        <f>IF(OR($K$1="",对接源_02物料!$C910="",对接源_02物料!$C910&lt;&gt;$K$1,对接源_02物料!$B910=""),0,IF(OR(N(对接源_02物料!$B910)&lt;$K$2,N(对接源_02物料!$B910)&gt;$K$3),0,1))</f>
        <v>0</v>
      </c>
      <c r="L2110" s="3">
        <f>IF(OR($L$1="",对接源_02物料!$C910="",对接源_02物料!$C910&lt;&gt;$L$1,对接源_02物料!$B910=""),0,IF(OR(N(对接源_02物料!$B910)&lt;$L$2,N(对接源_02物料!$B910)&gt;$L$3),0,1))</f>
        <v>0</v>
      </c>
      <c r="M2110" s="3">
        <f>IF(OR($M$1="",对接源_02物料!$C910="",对接源_02物料!$C910&lt;&gt;$M$1,对接源_02物料!$B910=""),0,IF(OR(N(对接源_02物料!$B910)&lt;$M$2,N(对接源_02物料!$B910)&gt;$M$3),0,1))</f>
        <v>0</v>
      </c>
      <c r="N2110" s="3">
        <f>IF(OR($N$1="",对接源_02物料!$C910="",对接源_02物料!$C910&lt;&gt;$N$1,对接源_02物料!$B910=""),0,IF(OR(N(对接源_02物料!$B910)&lt;$N$2,N(对接源_02物料!$B910)&gt;$N$3),0,1))</f>
        <v>0</v>
      </c>
      <c r="P2110" s="3">
        <f>IF(AND($K2110=1,AND(对接源_02物料!$X910="公司筐",N(对接源_02物料!$T910)&lt;&gt;0)),1,0)</f>
        <v>0</v>
      </c>
      <c r="Q2110" s="3">
        <f t="shared" si="556"/>
        <v>8</v>
      </c>
      <c r="R2110" s="3">
        <f>IF(AND($K2110=1,AND(对接源_02物料!$X910="公司筐",N(对接源_02物料!$U910)&lt;&gt;0)),1,0)</f>
        <v>0</v>
      </c>
      <c r="S2110" s="3">
        <f t="shared" si="557"/>
        <v>0</v>
      </c>
      <c r="T2110" s="3">
        <f>IF(AND($K2110=1,AND(对接源_02物料!$X910="公司筐",N(对接源_02物料!$V910)&lt;&gt;0)),1,0)</f>
        <v>0</v>
      </c>
      <c r="U2110" s="3">
        <f t="shared" si="558"/>
        <v>19</v>
      </c>
      <c r="V2110" s="3">
        <f>IF(AND($L2110=1,AND(对接源_02物料!$X910="自备筐",N(对接源_02物料!$V910)&lt;&gt;0)),1,0)</f>
        <v>0</v>
      </c>
      <c r="W2110" s="3">
        <f t="shared" si="559"/>
        <v>8</v>
      </c>
      <c r="X2110" s="3">
        <f>IF(AND($L2110=1,AND(对接源_02物料!$X910="自备筐",N(对接源_02物料!$T910)&lt;&gt;0)),1,0)</f>
        <v>0</v>
      </c>
      <c r="Y2110" s="3">
        <f t="shared" si="560"/>
        <v>0</v>
      </c>
      <c r="Z2110" s="3">
        <f>IF(AND($M2110=1,对接源_02物料!$D910="原料入库"),1,0)</f>
        <v>0</v>
      </c>
      <c r="AA2110" s="3">
        <f t="shared" si="561"/>
        <v>24</v>
      </c>
      <c r="AB2110" s="3">
        <f>IF(AND($M2110=1,LEFT(对接源_02物料!$D910,4)="原料出库"),1,0)</f>
        <v>0</v>
      </c>
      <c r="AC2110" s="3">
        <f t="shared" si="562"/>
        <v>0</v>
      </c>
      <c r="AD2110" s="3">
        <f>IF(AND($M2110=1,LEFT(对接源_02物料!$D910,4)="成品出库"),1,0)</f>
        <v>0</v>
      </c>
      <c r="AE2110" s="3">
        <f t="shared" si="563"/>
        <v>0</v>
      </c>
      <c r="AF2110" s="3">
        <f>IF(AND($N2110=1,AND(LEFT(对接源_02物料!$D910,4)="包装物料",N(对接源_02物料!$K910)&lt;&gt;0)),1,0)</f>
        <v>0</v>
      </c>
      <c r="AG2110" s="3">
        <f t="shared" si="564"/>
        <v>5</v>
      </c>
      <c r="AH2110" s="3">
        <f>IF(AND($N2110=1,AND(对接源_02物料!$D910="周转筐－销售出库",N(对接源_02物料!$K910)&lt;&gt;0)),1,0)</f>
        <v>0</v>
      </c>
      <c r="AI2110" s="3">
        <f t="shared" si="565"/>
        <v>0</v>
      </c>
      <c r="AL2110" s="3">
        <v>0</v>
      </c>
      <c r="AM2110" s="3">
        <f t="shared" si="566"/>
        <v>1</v>
      </c>
      <c r="AN2110" s="3" t="str">
        <f t="shared" si="570"/>
        <v/>
      </c>
      <c r="AO2110" s="3">
        <v>0</v>
      </c>
      <c r="AP2110" s="3">
        <f t="shared" si="567"/>
        <v>8</v>
      </c>
      <c r="AR2110">
        <f t="shared" si="568"/>
        <v>0</v>
      </c>
      <c r="AS2110">
        <f t="shared" si="569"/>
        <v>5</v>
      </c>
    </row>
    <row r="2111" customHeight="1" spans="1:45">
      <c r="A2111" s="3" t="str">
        <f>IF(对接源_02物料!$C911="","",对接源_02物料!$C911)</f>
        <v/>
      </c>
      <c r="B2111" s="3">
        <f t="shared" si="554"/>
        <v>0</v>
      </c>
      <c r="C2111" s="3">
        <f t="shared" si="555"/>
        <v>21</v>
      </c>
      <c r="K2111" s="3">
        <f>IF(OR($K$1="",对接源_02物料!$C911="",对接源_02物料!$C911&lt;&gt;$K$1,对接源_02物料!$B911=""),0,IF(OR(N(对接源_02物料!$B911)&lt;$K$2,N(对接源_02物料!$B911)&gt;$K$3),0,1))</f>
        <v>0</v>
      </c>
      <c r="L2111" s="3">
        <f>IF(OR($L$1="",对接源_02物料!$C911="",对接源_02物料!$C911&lt;&gt;$L$1,对接源_02物料!$B911=""),0,IF(OR(N(对接源_02物料!$B911)&lt;$L$2,N(对接源_02物料!$B911)&gt;$L$3),0,1))</f>
        <v>0</v>
      </c>
      <c r="M2111" s="3">
        <f>IF(OR($M$1="",对接源_02物料!$C911="",对接源_02物料!$C911&lt;&gt;$M$1,对接源_02物料!$B911=""),0,IF(OR(N(对接源_02物料!$B911)&lt;$M$2,N(对接源_02物料!$B911)&gt;$M$3),0,1))</f>
        <v>0</v>
      </c>
      <c r="N2111" s="3">
        <f>IF(OR($N$1="",对接源_02物料!$C911="",对接源_02物料!$C911&lt;&gt;$N$1,对接源_02物料!$B911=""),0,IF(OR(N(对接源_02物料!$B911)&lt;$N$2,N(对接源_02物料!$B911)&gt;$N$3),0,1))</f>
        <v>0</v>
      </c>
      <c r="P2111" s="3">
        <f>IF(AND($K2111=1,AND(对接源_02物料!$X911="公司筐",N(对接源_02物料!$T911)&lt;&gt;0)),1,0)</f>
        <v>0</v>
      </c>
      <c r="Q2111" s="3">
        <f t="shared" si="556"/>
        <v>8</v>
      </c>
      <c r="R2111" s="3">
        <f>IF(AND($K2111=1,AND(对接源_02物料!$X911="公司筐",N(对接源_02物料!$U911)&lt;&gt;0)),1,0)</f>
        <v>0</v>
      </c>
      <c r="S2111" s="3">
        <f t="shared" si="557"/>
        <v>0</v>
      </c>
      <c r="T2111" s="3">
        <f>IF(AND($K2111=1,AND(对接源_02物料!$X911="公司筐",N(对接源_02物料!$V911)&lt;&gt;0)),1,0)</f>
        <v>0</v>
      </c>
      <c r="U2111" s="3">
        <f t="shared" si="558"/>
        <v>19</v>
      </c>
      <c r="V2111" s="3">
        <f>IF(AND($L2111=1,AND(对接源_02物料!$X911="自备筐",N(对接源_02物料!$V911)&lt;&gt;0)),1,0)</f>
        <v>0</v>
      </c>
      <c r="W2111" s="3">
        <f t="shared" si="559"/>
        <v>8</v>
      </c>
      <c r="X2111" s="3">
        <f>IF(AND($L2111=1,AND(对接源_02物料!$X911="自备筐",N(对接源_02物料!$T911)&lt;&gt;0)),1,0)</f>
        <v>0</v>
      </c>
      <c r="Y2111" s="3">
        <f t="shared" si="560"/>
        <v>0</v>
      </c>
      <c r="Z2111" s="3">
        <f>IF(AND($M2111=1,对接源_02物料!$D911="原料入库"),1,0)</f>
        <v>0</v>
      </c>
      <c r="AA2111" s="3">
        <f t="shared" si="561"/>
        <v>24</v>
      </c>
      <c r="AB2111" s="3">
        <f>IF(AND($M2111=1,LEFT(对接源_02物料!$D911,4)="原料出库"),1,0)</f>
        <v>0</v>
      </c>
      <c r="AC2111" s="3">
        <f t="shared" si="562"/>
        <v>0</v>
      </c>
      <c r="AD2111" s="3">
        <f>IF(AND($M2111=1,LEFT(对接源_02物料!$D911,4)="成品出库"),1,0)</f>
        <v>0</v>
      </c>
      <c r="AE2111" s="3">
        <f t="shared" si="563"/>
        <v>0</v>
      </c>
      <c r="AF2111" s="3">
        <f>IF(AND($N2111=1,AND(LEFT(对接源_02物料!$D911,4)="包装物料",N(对接源_02物料!$K911)&lt;&gt;0)),1,0)</f>
        <v>0</v>
      </c>
      <c r="AG2111" s="3">
        <f t="shared" si="564"/>
        <v>5</v>
      </c>
      <c r="AH2111" s="3">
        <f>IF(AND($N2111=1,AND(对接源_02物料!$D911="周转筐－销售出库",N(对接源_02物料!$K911)&lt;&gt;0)),1,0)</f>
        <v>0</v>
      </c>
      <c r="AI2111" s="3">
        <f t="shared" si="565"/>
        <v>0</v>
      </c>
      <c r="AL2111" s="3">
        <v>0</v>
      </c>
      <c r="AM2111" s="3">
        <f t="shared" si="566"/>
        <v>1</v>
      </c>
      <c r="AN2111" s="3" t="str">
        <f t="shared" si="570"/>
        <v/>
      </c>
      <c r="AO2111" s="3">
        <v>0</v>
      </c>
      <c r="AP2111" s="3">
        <f t="shared" si="567"/>
        <v>8</v>
      </c>
      <c r="AR2111">
        <f t="shared" si="568"/>
        <v>0</v>
      </c>
      <c r="AS2111">
        <f t="shared" si="569"/>
        <v>5</v>
      </c>
    </row>
    <row r="2112" customHeight="1" spans="1:45">
      <c r="A2112" s="3" t="str">
        <f>IF(对接源_02物料!$C912="","",对接源_02物料!$C912)</f>
        <v/>
      </c>
      <c r="B2112" s="3">
        <f t="shared" si="554"/>
        <v>0</v>
      </c>
      <c r="C2112" s="3">
        <f t="shared" si="555"/>
        <v>21</v>
      </c>
      <c r="K2112" s="3">
        <f>IF(OR($K$1="",对接源_02物料!$C912="",对接源_02物料!$C912&lt;&gt;$K$1,对接源_02物料!$B912=""),0,IF(OR(N(对接源_02物料!$B912)&lt;$K$2,N(对接源_02物料!$B912)&gt;$K$3),0,1))</f>
        <v>0</v>
      </c>
      <c r="L2112" s="3">
        <f>IF(OR($L$1="",对接源_02物料!$C912="",对接源_02物料!$C912&lt;&gt;$L$1,对接源_02物料!$B912=""),0,IF(OR(N(对接源_02物料!$B912)&lt;$L$2,N(对接源_02物料!$B912)&gt;$L$3),0,1))</f>
        <v>0</v>
      </c>
      <c r="M2112" s="3">
        <f>IF(OR($M$1="",对接源_02物料!$C912="",对接源_02物料!$C912&lt;&gt;$M$1,对接源_02物料!$B912=""),0,IF(OR(N(对接源_02物料!$B912)&lt;$M$2,N(对接源_02物料!$B912)&gt;$M$3),0,1))</f>
        <v>0</v>
      </c>
      <c r="N2112" s="3">
        <f>IF(OR($N$1="",对接源_02物料!$C912="",对接源_02物料!$C912&lt;&gt;$N$1,对接源_02物料!$B912=""),0,IF(OR(N(对接源_02物料!$B912)&lt;$N$2,N(对接源_02物料!$B912)&gt;$N$3),0,1))</f>
        <v>0</v>
      </c>
      <c r="P2112" s="3">
        <f>IF(AND($K2112=1,AND(对接源_02物料!$X912="公司筐",N(对接源_02物料!$T912)&lt;&gt;0)),1,0)</f>
        <v>0</v>
      </c>
      <c r="Q2112" s="3">
        <f t="shared" si="556"/>
        <v>8</v>
      </c>
      <c r="R2112" s="3">
        <f>IF(AND($K2112=1,AND(对接源_02物料!$X912="公司筐",N(对接源_02物料!$U912)&lt;&gt;0)),1,0)</f>
        <v>0</v>
      </c>
      <c r="S2112" s="3">
        <f t="shared" si="557"/>
        <v>0</v>
      </c>
      <c r="T2112" s="3">
        <f>IF(AND($K2112=1,AND(对接源_02物料!$X912="公司筐",N(对接源_02物料!$V912)&lt;&gt;0)),1,0)</f>
        <v>0</v>
      </c>
      <c r="U2112" s="3">
        <f t="shared" si="558"/>
        <v>19</v>
      </c>
      <c r="V2112" s="3">
        <f>IF(AND($L2112=1,AND(对接源_02物料!$X912="自备筐",N(对接源_02物料!$V912)&lt;&gt;0)),1,0)</f>
        <v>0</v>
      </c>
      <c r="W2112" s="3">
        <f t="shared" si="559"/>
        <v>8</v>
      </c>
      <c r="X2112" s="3">
        <f>IF(AND($L2112=1,AND(对接源_02物料!$X912="自备筐",N(对接源_02物料!$T912)&lt;&gt;0)),1,0)</f>
        <v>0</v>
      </c>
      <c r="Y2112" s="3">
        <f t="shared" si="560"/>
        <v>0</v>
      </c>
      <c r="Z2112" s="3">
        <f>IF(AND($M2112=1,对接源_02物料!$D912="原料入库"),1,0)</f>
        <v>0</v>
      </c>
      <c r="AA2112" s="3">
        <f t="shared" si="561"/>
        <v>24</v>
      </c>
      <c r="AB2112" s="3">
        <f>IF(AND($M2112=1,LEFT(对接源_02物料!$D912,4)="原料出库"),1,0)</f>
        <v>0</v>
      </c>
      <c r="AC2112" s="3">
        <f t="shared" si="562"/>
        <v>0</v>
      </c>
      <c r="AD2112" s="3">
        <f>IF(AND($M2112=1,LEFT(对接源_02物料!$D912,4)="成品出库"),1,0)</f>
        <v>0</v>
      </c>
      <c r="AE2112" s="3">
        <f t="shared" si="563"/>
        <v>0</v>
      </c>
      <c r="AF2112" s="3">
        <f>IF(AND($N2112=1,AND(LEFT(对接源_02物料!$D912,4)="包装物料",N(对接源_02物料!$K912)&lt;&gt;0)),1,0)</f>
        <v>0</v>
      </c>
      <c r="AG2112" s="3">
        <f t="shared" si="564"/>
        <v>5</v>
      </c>
      <c r="AH2112" s="3">
        <f>IF(AND($N2112=1,AND(对接源_02物料!$D912="周转筐－销售出库",N(对接源_02物料!$K912)&lt;&gt;0)),1,0)</f>
        <v>0</v>
      </c>
      <c r="AI2112" s="3">
        <f t="shared" si="565"/>
        <v>0</v>
      </c>
      <c r="AL2112" s="3">
        <v>0</v>
      </c>
      <c r="AM2112" s="3">
        <f t="shared" si="566"/>
        <v>1</v>
      </c>
      <c r="AN2112" s="3" t="str">
        <f t="shared" si="570"/>
        <v/>
      </c>
      <c r="AO2112" s="3">
        <v>0</v>
      </c>
      <c r="AP2112" s="3">
        <f t="shared" si="567"/>
        <v>8</v>
      </c>
      <c r="AR2112">
        <f t="shared" si="568"/>
        <v>0</v>
      </c>
      <c r="AS2112">
        <f t="shared" si="569"/>
        <v>5</v>
      </c>
    </row>
    <row r="2113" customHeight="1" spans="1:45">
      <c r="A2113" s="3" t="str">
        <f>IF(对接源_02物料!$C913="","",对接源_02物料!$C913)</f>
        <v/>
      </c>
      <c r="B2113" s="3">
        <f t="shared" si="554"/>
        <v>0</v>
      </c>
      <c r="C2113" s="3">
        <f t="shared" si="555"/>
        <v>21</v>
      </c>
      <c r="K2113" s="3">
        <f>IF(OR($K$1="",对接源_02物料!$C913="",对接源_02物料!$C913&lt;&gt;$K$1,对接源_02物料!$B913=""),0,IF(OR(N(对接源_02物料!$B913)&lt;$K$2,N(对接源_02物料!$B913)&gt;$K$3),0,1))</f>
        <v>0</v>
      </c>
      <c r="L2113" s="3">
        <f>IF(OR($L$1="",对接源_02物料!$C913="",对接源_02物料!$C913&lt;&gt;$L$1,对接源_02物料!$B913=""),0,IF(OR(N(对接源_02物料!$B913)&lt;$L$2,N(对接源_02物料!$B913)&gt;$L$3),0,1))</f>
        <v>0</v>
      </c>
      <c r="M2113" s="3">
        <f>IF(OR($M$1="",对接源_02物料!$C913="",对接源_02物料!$C913&lt;&gt;$M$1,对接源_02物料!$B913=""),0,IF(OR(N(对接源_02物料!$B913)&lt;$M$2,N(对接源_02物料!$B913)&gt;$M$3),0,1))</f>
        <v>0</v>
      </c>
      <c r="N2113" s="3">
        <f>IF(OR($N$1="",对接源_02物料!$C913="",对接源_02物料!$C913&lt;&gt;$N$1,对接源_02物料!$B913=""),0,IF(OR(N(对接源_02物料!$B913)&lt;$N$2,N(对接源_02物料!$B913)&gt;$N$3),0,1))</f>
        <v>0</v>
      </c>
      <c r="P2113" s="3">
        <f>IF(AND($K2113=1,AND(对接源_02物料!$X913="公司筐",N(对接源_02物料!$T913)&lt;&gt;0)),1,0)</f>
        <v>0</v>
      </c>
      <c r="Q2113" s="3">
        <f t="shared" si="556"/>
        <v>8</v>
      </c>
      <c r="R2113" s="3">
        <f>IF(AND($K2113=1,AND(对接源_02物料!$X913="公司筐",N(对接源_02物料!$U913)&lt;&gt;0)),1,0)</f>
        <v>0</v>
      </c>
      <c r="S2113" s="3">
        <f t="shared" si="557"/>
        <v>0</v>
      </c>
      <c r="T2113" s="3">
        <f>IF(AND($K2113=1,AND(对接源_02物料!$X913="公司筐",N(对接源_02物料!$V913)&lt;&gt;0)),1,0)</f>
        <v>0</v>
      </c>
      <c r="U2113" s="3">
        <f t="shared" si="558"/>
        <v>19</v>
      </c>
      <c r="V2113" s="3">
        <f>IF(AND($L2113=1,AND(对接源_02物料!$X913="自备筐",N(对接源_02物料!$V913)&lt;&gt;0)),1,0)</f>
        <v>0</v>
      </c>
      <c r="W2113" s="3">
        <f t="shared" si="559"/>
        <v>8</v>
      </c>
      <c r="X2113" s="3">
        <f>IF(AND($L2113=1,AND(对接源_02物料!$X913="自备筐",N(对接源_02物料!$T913)&lt;&gt;0)),1,0)</f>
        <v>0</v>
      </c>
      <c r="Y2113" s="3">
        <f t="shared" si="560"/>
        <v>0</v>
      </c>
      <c r="Z2113" s="3">
        <f>IF(AND($M2113=1,对接源_02物料!$D913="原料入库"),1,0)</f>
        <v>0</v>
      </c>
      <c r="AA2113" s="3">
        <f t="shared" si="561"/>
        <v>24</v>
      </c>
      <c r="AB2113" s="3">
        <f>IF(AND($M2113=1,LEFT(对接源_02物料!$D913,4)="原料出库"),1,0)</f>
        <v>0</v>
      </c>
      <c r="AC2113" s="3">
        <f t="shared" si="562"/>
        <v>0</v>
      </c>
      <c r="AD2113" s="3">
        <f>IF(AND($M2113=1,LEFT(对接源_02物料!$D913,4)="成品出库"),1,0)</f>
        <v>0</v>
      </c>
      <c r="AE2113" s="3">
        <f t="shared" si="563"/>
        <v>0</v>
      </c>
      <c r="AF2113" s="3">
        <f>IF(AND($N2113=1,AND(LEFT(对接源_02物料!$D913,4)="包装物料",N(对接源_02物料!$K913)&lt;&gt;0)),1,0)</f>
        <v>0</v>
      </c>
      <c r="AG2113" s="3">
        <f t="shared" si="564"/>
        <v>5</v>
      </c>
      <c r="AH2113" s="3">
        <f>IF(AND($N2113=1,AND(对接源_02物料!$D913="周转筐－销售出库",N(对接源_02物料!$K913)&lt;&gt;0)),1,0)</f>
        <v>0</v>
      </c>
      <c r="AI2113" s="3">
        <f t="shared" si="565"/>
        <v>0</v>
      </c>
      <c r="AL2113" s="3">
        <v>0</v>
      </c>
      <c r="AM2113" s="3">
        <f t="shared" si="566"/>
        <v>1</v>
      </c>
      <c r="AN2113" s="3" t="str">
        <f t="shared" si="570"/>
        <v/>
      </c>
      <c r="AO2113" s="3">
        <v>0</v>
      </c>
      <c r="AP2113" s="3">
        <f t="shared" si="567"/>
        <v>8</v>
      </c>
      <c r="AR2113">
        <f t="shared" si="568"/>
        <v>0</v>
      </c>
      <c r="AS2113">
        <f t="shared" si="569"/>
        <v>5</v>
      </c>
    </row>
    <row r="2114" customHeight="1" spans="1:45">
      <c r="A2114" s="3" t="str">
        <f>IF(对接源_02物料!$C914="","",对接源_02物料!$C914)</f>
        <v/>
      </c>
      <c r="B2114" s="3">
        <f t="shared" si="554"/>
        <v>0</v>
      </c>
      <c r="C2114" s="3">
        <f t="shared" si="555"/>
        <v>21</v>
      </c>
      <c r="K2114" s="3">
        <f>IF(OR($K$1="",对接源_02物料!$C914="",对接源_02物料!$C914&lt;&gt;$K$1,对接源_02物料!$B914=""),0,IF(OR(N(对接源_02物料!$B914)&lt;$K$2,N(对接源_02物料!$B914)&gt;$K$3),0,1))</f>
        <v>0</v>
      </c>
      <c r="L2114" s="3">
        <f>IF(OR($L$1="",对接源_02物料!$C914="",对接源_02物料!$C914&lt;&gt;$L$1,对接源_02物料!$B914=""),0,IF(OR(N(对接源_02物料!$B914)&lt;$L$2,N(对接源_02物料!$B914)&gt;$L$3),0,1))</f>
        <v>0</v>
      </c>
      <c r="M2114" s="3">
        <f>IF(OR($M$1="",对接源_02物料!$C914="",对接源_02物料!$C914&lt;&gt;$M$1,对接源_02物料!$B914=""),0,IF(OR(N(对接源_02物料!$B914)&lt;$M$2,N(对接源_02物料!$B914)&gt;$M$3),0,1))</f>
        <v>0</v>
      </c>
      <c r="N2114" s="3">
        <f>IF(OR($N$1="",对接源_02物料!$C914="",对接源_02物料!$C914&lt;&gt;$N$1,对接源_02物料!$B914=""),0,IF(OR(N(对接源_02物料!$B914)&lt;$N$2,N(对接源_02物料!$B914)&gt;$N$3),0,1))</f>
        <v>0</v>
      </c>
      <c r="P2114" s="3">
        <f>IF(AND($K2114=1,AND(对接源_02物料!$X914="公司筐",N(对接源_02物料!$T914)&lt;&gt;0)),1,0)</f>
        <v>0</v>
      </c>
      <c r="Q2114" s="3">
        <f t="shared" si="556"/>
        <v>8</v>
      </c>
      <c r="R2114" s="3">
        <f>IF(AND($K2114=1,AND(对接源_02物料!$X914="公司筐",N(对接源_02物料!$U914)&lt;&gt;0)),1,0)</f>
        <v>0</v>
      </c>
      <c r="S2114" s="3">
        <f t="shared" si="557"/>
        <v>0</v>
      </c>
      <c r="T2114" s="3">
        <f>IF(AND($K2114=1,AND(对接源_02物料!$X914="公司筐",N(对接源_02物料!$V914)&lt;&gt;0)),1,0)</f>
        <v>0</v>
      </c>
      <c r="U2114" s="3">
        <f t="shared" si="558"/>
        <v>19</v>
      </c>
      <c r="V2114" s="3">
        <f>IF(AND($L2114=1,AND(对接源_02物料!$X914="自备筐",N(对接源_02物料!$V914)&lt;&gt;0)),1,0)</f>
        <v>0</v>
      </c>
      <c r="W2114" s="3">
        <f t="shared" si="559"/>
        <v>8</v>
      </c>
      <c r="X2114" s="3">
        <f>IF(AND($L2114=1,AND(对接源_02物料!$X914="自备筐",N(对接源_02物料!$T914)&lt;&gt;0)),1,0)</f>
        <v>0</v>
      </c>
      <c r="Y2114" s="3">
        <f t="shared" si="560"/>
        <v>0</v>
      </c>
      <c r="Z2114" s="3">
        <f>IF(AND($M2114=1,对接源_02物料!$D914="原料入库"),1,0)</f>
        <v>0</v>
      </c>
      <c r="AA2114" s="3">
        <f t="shared" si="561"/>
        <v>24</v>
      </c>
      <c r="AB2114" s="3">
        <f>IF(AND($M2114=1,LEFT(对接源_02物料!$D914,4)="原料出库"),1,0)</f>
        <v>0</v>
      </c>
      <c r="AC2114" s="3">
        <f t="shared" si="562"/>
        <v>0</v>
      </c>
      <c r="AD2114" s="3">
        <f>IF(AND($M2114=1,LEFT(对接源_02物料!$D914,4)="成品出库"),1,0)</f>
        <v>0</v>
      </c>
      <c r="AE2114" s="3">
        <f t="shared" si="563"/>
        <v>0</v>
      </c>
      <c r="AF2114" s="3">
        <f>IF(AND($N2114=1,AND(LEFT(对接源_02物料!$D914,4)="包装物料",N(对接源_02物料!$K914)&lt;&gt;0)),1,0)</f>
        <v>0</v>
      </c>
      <c r="AG2114" s="3">
        <f t="shared" si="564"/>
        <v>5</v>
      </c>
      <c r="AH2114" s="3">
        <f>IF(AND($N2114=1,AND(对接源_02物料!$D914="周转筐－销售出库",N(对接源_02物料!$K914)&lt;&gt;0)),1,0)</f>
        <v>0</v>
      </c>
      <c r="AI2114" s="3">
        <f t="shared" si="565"/>
        <v>0</v>
      </c>
      <c r="AL2114" s="3">
        <v>0</v>
      </c>
      <c r="AM2114" s="3">
        <f t="shared" si="566"/>
        <v>1</v>
      </c>
      <c r="AN2114" s="3" t="str">
        <f t="shared" si="570"/>
        <v/>
      </c>
      <c r="AO2114" s="3">
        <v>0</v>
      </c>
      <c r="AP2114" s="3">
        <f t="shared" si="567"/>
        <v>8</v>
      </c>
      <c r="AR2114">
        <f t="shared" si="568"/>
        <v>0</v>
      </c>
      <c r="AS2114">
        <f t="shared" si="569"/>
        <v>5</v>
      </c>
    </row>
    <row r="2115" customHeight="1" spans="1:45">
      <c r="A2115" s="3" t="str">
        <f>IF(对接源_02物料!$C915="","",对接源_02物料!$C915)</f>
        <v/>
      </c>
      <c r="B2115" s="3">
        <f t="shared" si="554"/>
        <v>0</v>
      </c>
      <c r="C2115" s="3">
        <f t="shared" si="555"/>
        <v>21</v>
      </c>
      <c r="K2115" s="3">
        <f>IF(OR($K$1="",对接源_02物料!$C915="",对接源_02物料!$C915&lt;&gt;$K$1,对接源_02物料!$B915=""),0,IF(OR(N(对接源_02物料!$B915)&lt;$K$2,N(对接源_02物料!$B915)&gt;$K$3),0,1))</f>
        <v>0</v>
      </c>
      <c r="L2115" s="3">
        <f>IF(OR($L$1="",对接源_02物料!$C915="",对接源_02物料!$C915&lt;&gt;$L$1,对接源_02物料!$B915=""),0,IF(OR(N(对接源_02物料!$B915)&lt;$L$2,N(对接源_02物料!$B915)&gt;$L$3),0,1))</f>
        <v>0</v>
      </c>
      <c r="M2115" s="3">
        <f>IF(OR($M$1="",对接源_02物料!$C915="",对接源_02物料!$C915&lt;&gt;$M$1,对接源_02物料!$B915=""),0,IF(OR(N(对接源_02物料!$B915)&lt;$M$2,N(对接源_02物料!$B915)&gt;$M$3),0,1))</f>
        <v>0</v>
      </c>
      <c r="N2115" s="3">
        <f>IF(OR($N$1="",对接源_02物料!$C915="",对接源_02物料!$C915&lt;&gt;$N$1,对接源_02物料!$B915=""),0,IF(OR(N(对接源_02物料!$B915)&lt;$N$2,N(对接源_02物料!$B915)&gt;$N$3),0,1))</f>
        <v>0</v>
      </c>
      <c r="P2115" s="3">
        <f>IF(AND($K2115=1,AND(对接源_02物料!$X915="公司筐",N(对接源_02物料!$T915)&lt;&gt;0)),1,0)</f>
        <v>0</v>
      </c>
      <c r="Q2115" s="3">
        <f t="shared" si="556"/>
        <v>8</v>
      </c>
      <c r="R2115" s="3">
        <f>IF(AND($K2115=1,AND(对接源_02物料!$X915="公司筐",N(对接源_02物料!$U915)&lt;&gt;0)),1,0)</f>
        <v>0</v>
      </c>
      <c r="S2115" s="3">
        <f t="shared" si="557"/>
        <v>0</v>
      </c>
      <c r="T2115" s="3">
        <f>IF(AND($K2115=1,AND(对接源_02物料!$X915="公司筐",N(对接源_02物料!$V915)&lt;&gt;0)),1,0)</f>
        <v>0</v>
      </c>
      <c r="U2115" s="3">
        <f t="shared" si="558"/>
        <v>19</v>
      </c>
      <c r="V2115" s="3">
        <f>IF(AND($L2115=1,AND(对接源_02物料!$X915="自备筐",N(对接源_02物料!$V915)&lt;&gt;0)),1,0)</f>
        <v>0</v>
      </c>
      <c r="W2115" s="3">
        <f t="shared" si="559"/>
        <v>8</v>
      </c>
      <c r="X2115" s="3">
        <f>IF(AND($L2115=1,AND(对接源_02物料!$X915="自备筐",N(对接源_02物料!$T915)&lt;&gt;0)),1,0)</f>
        <v>0</v>
      </c>
      <c r="Y2115" s="3">
        <f t="shared" si="560"/>
        <v>0</v>
      </c>
      <c r="Z2115" s="3">
        <f>IF(AND($M2115=1,对接源_02物料!$D915="原料入库"),1,0)</f>
        <v>0</v>
      </c>
      <c r="AA2115" s="3">
        <f t="shared" si="561"/>
        <v>24</v>
      </c>
      <c r="AB2115" s="3">
        <f>IF(AND($M2115=1,LEFT(对接源_02物料!$D915,4)="原料出库"),1,0)</f>
        <v>0</v>
      </c>
      <c r="AC2115" s="3">
        <f t="shared" si="562"/>
        <v>0</v>
      </c>
      <c r="AD2115" s="3">
        <f>IF(AND($M2115=1,LEFT(对接源_02物料!$D915,4)="成品出库"),1,0)</f>
        <v>0</v>
      </c>
      <c r="AE2115" s="3">
        <f t="shared" si="563"/>
        <v>0</v>
      </c>
      <c r="AF2115" s="3">
        <f>IF(AND($N2115=1,AND(LEFT(对接源_02物料!$D915,4)="包装物料",N(对接源_02物料!$K915)&lt;&gt;0)),1,0)</f>
        <v>0</v>
      </c>
      <c r="AG2115" s="3">
        <f t="shared" si="564"/>
        <v>5</v>
      </c>
      <c r="AH2115" s="3">
        <f>IF(AND($N2115=1,AND(对接源_02物料!$D915="周转筐－销售出库",N(对接源_02物料!$K915)&lt;&gt;0)),1,0)</f>
        <v>0</v>
      </c>
      <c r="AI2115" s="3">
        <f t="shared" si="565"/>
        <v>0</v>
      </c>
      <c r="AL2115" s="3">
        <v>0</v>
      </c>
      <c r="AM2115" s="3">
        <f t="shared" si="566"/>
        <v>1</v>
      </c>
      <c r="AN2115" s="3" t="str">
        <f t="shared" si="570"/>
        <v/>
      </c>
      <c r="AO2115" s="3">
        <v>0</v>
      </c>
      <c r="AP2115" s="3">
        <f t="shared" si="567"/>
        <v>8</v>
      </c>
      <c r="AR2115">
        <f t="shared" si="568"/>
        <v>0</v>
      </c>
      <c r="AS2115">
        <f t="shared" si="569"/>
        <v>5</v>
      </c>
    </row>
    <row r="2116" customHeight="1" spans="1:45">
      <c r="A2116" s="3" t="str">
        <f>IF(对接源_02物料!$C916="","",对接源_02物料!$C916)</f>
        <v/>
      </c>
      <c r="B2116" s="3">
        <f t="shared" ref="B2116:B2179" si="571">IF(A2116="",0,IF(MATCH(A2116,$A$4:$A$2403,0)=ROW()-3,1,0))</f>
        <v>0</v>
      </c>
      <c r="C2116" s="3">
        <f t="shared" ref="C2116:C2179" si="572">N(C2115)+B2116</f>
        <v>21</v>
      </c>
      <c r="K2116" s="3">
        <f>IF(OR($K$1="",对接源_02物料!$C916="",对接源_02物料!$C916&lt;&gt;$K$1,对接源_02物料!$B916=""),0,IF(OR(N(对接源_02物料!$B916)&lt;$K$2,N(对接源_02物料!$B916)&gt;$K$3),0,1))</f>
        <v>0</v>
      </c>
      <c r="L2116" s="3">
        <f>IF(OR($L$1="",对接源_02物料!$C916="",对接源_02物料!$C916&lt;&gt;$L$1,对接源_02物料!$B916=""),0,IF(OR(N(对接源_02物料!$B916)&lt;$L$2,N(对接源_02物料!$B916)&gt;$L$3),0,1))</f>
        <v>0</v>
      </c>
      <c r="M2116" s="3">
        <f>IF(OR($M$1="",对接源_02物料!$C916="",对接源_02物料!$C916&lt;&gt;$M$1,对接源_02物料!$B916=""),0,IF(OR(N(对接源_02物料!$B916)&lt;$M$2,N(对接源_02物料!$B916)&gt;$M$3),0,1))</f>
        <v>0</v>
      </c>
      <c r="N2116" s="3">
        <f>IF(OR($N$1="",对接源_02物料!$C916="",对接源_02物料!$C916&lt;&gt;$N$1,对接源_02物料!$B916=""),0,IF(OR(N(对接源_02物料!$B916)&lt;$N$2,N(对接源_02物料!$B916)&gt;$N$3),0,1))</f>
        <v>0</v>
      </c>
      <c r="P2116" s="3">
        <f>IF(AND($K2116=1,AND(对接源_02物料!$X916="公司筐",N(对接源_02物料!$T916)&lt;&gt;0)),1,0)</f>
        <v>0</v>
      </c>
      <c r="Q2116" s="3">
        <f t="shared" ref="Q2116:Q2179" si="573">N(Q2115)+$P2116</f>
        <v>8</v>
      </c>
      <c r="R2116" s="3">
        <f>IF(AND($K2116=1,AND(对接源_02物料!$X916="公司筐",N(对接源_02物料!$U916)&lt;&gt;0)),1,0)</f>
        <v>0</v>
      </c>
      <c r="S2116" s="3">
        <f t="shared" ref="S2116:S2179" si="574">N(S2115)+$R2116</f>
        <v>0</v>
      </c>
      <c r="T2116" s="3">
        <f>IF(AND($K2116=1,AND(对接源_02物料!$X916="公司筐",N(对接源_02物料!$V916)&lt;&gt;0)),1,0)</f>
        <v>0</v>
      </c>
      <c r="U2116" s="3">
        <f t="shared" ref="U2116:U2179" si="575">N(U2115)+$T2116</f>
        <v>19</v>
      </c>
      <c r="V2116" s="3">
        <f>IF(AND($L2116=1,AND(对接源_02物料!$X916="自备筐",N(对接源_02物料!$V916)&lt;&gt;0)),1,0)</f>
        <v>0</v>
      </c>
      <c r="W2116" s="3">
        <f t="shared" ref="W2116:W2179" si="576">N(W2115)+$V2116</f>
        <v>8</v>
      </c>
      <c r="X2116" s="3">
        <f>IF(AND($L2116=1,AND(对接源_02物料!$X916="自备筐",N(对接源_02物料!$T916)&lt;&gt;0)),1,0)</f>
        <v>0</v>
      </c>
      <c r="Y2116" s="3">
        <f t="shared" ref="Y2116:Y2179" si="577">N(Y2115)+$X2116</f>
        <v>0</v>
      </c>
      <c r="Z2116" s="3">
        <f>IF(AND($M2116=1,对接源_02物料!$D916="原料入库"),1,0)</f>
        <v>0</v>
      </c>
      <c r="AA2116" s="3">
        <f t="shared" ref="AA2116:AA2179" si="578">N(AA2115)+$Z2116</f>
        <v>24</v>
      </c>
      <c r="AB2116" s="3">
        <f>IF(AND($M2116=1,LEFT(对接源_02物料!$D916,4)="原料出库"),1,0)</f>
        <v>0</v>
      </c>
      <c r="AC2116" s="3">
        <f t="shared" ref="AC2116:AC2179" si="579">N(AC2115)+$AB2116</f>
        <v>0</v>
      </c>
      <c r="AD2116" s="3">
        <f>IF(AND($M2116=1,LEFT(对接源_02物料!$D916,4)="成品出库"),1,0)</f>
        <v>0</v>
      </c>
      <c r="AE2116" s="3">
        <f t="shared" ref="AE2116:AE2179" si="580">N(AE2115)+$AD2116</f>
        <v>0</v>
      </c>
      <c r="AF2116" s="3">
        <f>IF(AND($N2116=1,AND(LEFT(对接源_02物料!$D916,4)="包装物料",N(对接源_02物料!$K916)&lt;&gt;0)),1,0)</f>
        <v>0</v>
      </c>
      <c r="AG2116" s="3">
        <f t="shared" ref="AG2116:AG2179" si="581">N(AG2115)+$AF2116</f>
        <v>5</v>
      </c>
      <c r="AH2116" s="3">
        <f>IF(AND($N2116=1,AND(对接源_02物料!$D916="周转筐－销售出库",N(对接源_02物料!$K916)&lt;&gt;0)),1,0)</f>
        <v>0</v>
      </c>
      <c r="AI2116" s="3">
        <f t="shared" ref="AI2116:AI2179" si="582">N(AI2115)+$AH2116</f>
        <v>0</v>
      </c>
      <c r="AL2116" s="3">
        <v>0</v>
      </c>
      <c r="AM2116" s="3">
        <f t="shared" ref="AM2116:AM2179" si="583">N(AM2115)+$AL2116</f>
        <v>1</v>
      </c>
      <c r="AN2116" s="3" t="str">
        <f t="shared" si="570"/>
        <v/>
      </c>
      <c r="AO2116" s="3">
        <v>0</v>
      </c>
      <c r="AP2116" s="3">
        <f t="shared" ref="AP2116:AP2179" si="584">N(AP2115)+$AO2116</f>
        <v>8</v>
      </c>
      <c r="AR2116">
        <f t="shared" ref="AR2116:AR2179" si="585">IF(OR($AF2116=1,$AH2116=1),1,0)</f>
        <v>0</v>
      </c>
      <c r="AS2116">
        <f t="shared" ref="AS2116:AS2179" si="586">N(AS2115)+$AR2116</f>
        <v>5</v>
      </c>
    </row>
    <row r="2117" customHeight="1" spans="1:45">
      <c r="A2117" s="3" t="str">
        <f>IF(对接源_02物料!$C917="","",对接源_02物料!$C917)</f>
        <v/>
      </c>
      <c r="B2117" s="3">
        <f t="shared" si="571"/>
        <v>0</v>
      </c>
      <c r="C2117" s="3">
        <f t="shared" si="572"/>
        <v>21</v>
      </c>
      <c r="K2117" s="3">
        <f>IF(OR($K$1="",对接源_02物料!$C917="",对接源_02物料!$C917&lt;&gt;$K$1,对接源_02物料!$B917=""),0,IF(OR(N(对接源_02物料!$B917)&lt;$K$2,N(对接源_02物料!$B917)&gt;$K$3),0,1))</f>
        <v>0</v>
      </c>
      <c r="L2117" s="3">
        <f>IF(OR($L$1="",对接源_02物料!$C917="",对接源_02物料!$C917&lt;&gt;$L$1,对接源_02物料!$B917=""),0,IF(OR(N(对接源_02物料!$B917)&lt;$L$2,N(对接源_02物料!$B917)&gt;$L$3),0,1))</f>
        <v>0</v>
      </c>
      <c r="M2117" s="3">
        <f>IF(OR($M$1="",对接源_02物料!$C917="",对接源_02物料!$C917&lt;&gt;$M$1,对接源_02物料!$B917=""),0,IF(OR(N(对接源_02物料!$B917)&lt;$M$2,N(对接源_02物料!$B917)&gt;$M$3),0,1))</f>
        <v>0</v>
      </c>
      <c r="N2117" s="3">
        <f>IF(OR($N$1="",对接源_02物料!$C917="",对接源_02物料!$C917&lt;&gt;$N$1,对接源_02物料!$B917=""),0,IF(OR(N(对接源_02物料!$B917)&lt;$N$2,N(对接源_02物料!$B917)&gt;$N$3),0,1))</f>
        <v>0</v>
      </c>
      <c r="P2117" s="3">
        <f>IF(AND($K2117=1,AND(对接源_02物料!$X917="公司筐",N(对接源_02物料!$T917)&lt;&gt;0)),1,0)</f>
        <v>0</v>
      </c>
      <c r="Q2117" s="3">
        <f t="shared" si="573"/>
        <v>8</v>
      </c>
      <c r="R2117" s="3">
        <f>IF(AND($K2117=1,AND(对接源_02物料!$X917="公司筐",N(对接源_02物料!$U917)&lt;&gt;0)),1,0)</f>
        <v>0</v>
      </c>
      <c r="S2117" s="3">
        <f t="shared" si="574"/>
        <v>0</v>
      </c>
      <c r="T2117" s="3">
        <f>IF(AND($K2117=1,AND(对接源_02物料!$X917="公司筐",N(对接源_02物料!$V917)&lt;&gt;0)),1,0)</f>
        <v>0</v>
      </c>
      <c r="U2117" s="3">
        <f t="shared" si="575"/>
        <v>19</v>
      </c>
      <c r="V2117" s="3">
        <f>IF(AND($L2117=1,AND(对接源_02物料!$X917="自备筐",N(对接源_02物料!$V917)&lt;&gt;0)),1,0)</f>
        <v>0</v>
      </c>
      <c r="W2117" s="3">
        <f t="shared" si="576"/>
        <v>8</v>
      </c>
      <c r="X2117" s="3">
        <f>IF(AND($L2117=1,AND(对接源_02物料!$X917="自备筐",N(对接源_02物料!$T917)&lt;&gt;0)),1,0)</f>
        <v>0</v>
      </c>
      <c r="Y2117" s="3">
        <f t="shared" si="577"/>
        <v>0</v>
      </c>
      <c r="Z2117" s="3">
        <f>IF(AND($M2117=1,对接源_02物料!$D917="原料入库"),1,0)</f>
        <v>0</v>
      </c>
      <c r="AA2117" s="3">
        <f t="shared" si="578"/>
        <v>24</v>
      </c>
      <c r="AB2117" s="3">
        <f>IF(AND($M2117=1,LEFT(对接源_02物料!$D917,4)="原料出库"),1,0)</f>
        <v>0</v>
      </c>
      <c r="AC2117" s="3">
        <f t="shared" si="579"/>
        <v>0</v>
      </c>
      <c r="AD2117" s="3">
        <f>IF(AND($M2117=1,LEFT(对接源_02物料!$D917,4)="成品出库"),1,0)</f>
        <v>0</v>
      </c>
      <c r="AE2117" s="3">
        <f t="shared" si="580"/>
        <v>0</v>
      </c>
      <c r="AF2117" s="3">
        <f>IF(AND($N2117=1,AND(LEFT(对接源_02物料!$D917,4)="包装物料",N(对接源_02物料!$K917)&lt;&gt;0)),1,0)</f>
        <v>0</v>
      </c>
      <c r="AG2117" s="3">
        <f t="shared" si="581"/>
        <v>5</v>
      </c>
      <c r="AH2117" s="3">
        <f>IF(AND($N2117=1,AND(对接源_02物料!$D917="周转筐－销售出库",N(对接源_02物料!$K917)&lt;&gt;0)),1,0)</f>
        <v>0</v>
      </c>
      <c r="AI2117" s="3">
        <f t="shared" si="582"/>
        <v>0</v>
      </c>
      <c r="AL2117" s="3">
        <v>0</v>
      </c>
      <c r="AM2117" s="3">
        <f t="shared" si="583"/>
        <v>1</v>
      </c>
      <c r="AN2117" s="3" t="str">
        <f t="shared" si="570"/>
        <v/>
      </c>
      <c r="AO2117" s="3">
        <v>0</v>
      </c>
      <c r="AP2117" s="3">
        <f t="shared" si="584"/>
        <v>8</v>
      </c>
      <c r="AR2117">
        <f t="shared" si="585"/>
        <v>0</v>
      </c>
      <c r="AS2117">
        <f t="shared" si="586"/>
        <v>5</v>
      </c>
    </row>
    <row r="2118" customHeight="1" spans="1:45">
      <c r="A2118" s="3" t="str">
        <f>IF(对接源_02物料!$C918="","",对接源_02物料!$C918)</f>
        <v/>
      </c>
      <c r="B2118" s="3">
        <f t="shared" si="571"/>
        <v>0</v>
      </c>
      <c r="C2118" s="3">
        <f t="shared" si="572"/>
        <v>21</v>
      </c>
      <c r="K2118" s="3">
        <f>IF(OR($K$1="",对接源_02物料!$C918="",对接源_02物料!$C918&lt;&gt;$K$1,对接源_02物料!$B918=""),0,IF(OR(N(对接源_02物料!$B918)&lt;$K$2,N(对接源_02物料!$B918)&gt;$K$3),0,1))</f>
        <v>0</v>
      </c>
      <c r="L2118" s="3">
        <f>IF(OR($L$1="",对接源_02物料!$C918="",对接源_02物料!$C918&lt;&gt;$L$1,对接源_02物料!$B918=""),0,IF(OR(N(对接源_02物料!$B918)&lt;$L$2,N(对接源_02物料!$B918)&gt;$L$3),0,1))</f>
        <v>0</v>
      </c>
      <c r="M2118" s="3">
        <f>IF(OR($M$1="",对接源_02物料!$C918="",对接源_02物料!$C918&lt;&gt;$M$1,对接源_02物料!$B918=""),0,IF(OR(N(对接源_02物料!$B918)&lt;$M$2,N(对接源_02物料!$B918)&gt;$M$3),0,1))</f>
        <v>0</v>
      </c>
      <c r="N2118" s="3">
        <f>IF(OR($N$1="",对接源_02物料!$C918="",对接源_02物料!$C918&lt;&gt;$N$1,对接源_02物料!$B918=""),0,IF(OR(N(对接源_02物料!$B918)&lt;$N$2,N(对接源_02物料!$B918)&gt;$N$3),0,1))</f>
        <v>0</v>
      </c>
      <c r="P2118" s="3">
        <f>IF(AND($K2118=1,AND(对接源_02物料!$X918="公司筐",N(对接源_02物料!$T918)&lt;&gt;0)),1,0)</f>
        <v>0</v>
      </c>
      <c r="Q2118" s="3">
        <f t="shared" si="573"/>
        <v>8</v>
      </c>
      <c r="R2118" s="3">
        <f>IF(AND($K2118=1,AND(对接源_02物料!$X918="公司筐",N(对接源_02物料!$U918)&lt;&gt;0)),1,0)</f>
        <v>0</v>
      </c>
      <c r="S2118" s="3">
        <f t="shared" si="574"/>
        <v>0</v>
      </c>
      <c r="T2118" s="3">
        <f>IF(AND($K2118=1,AND(对接源_02物料!$X918="公司筐",N(对接源_02物料!$V918)&lt;&gt;0)),1,0)</f>
        <v>0</v>
      </c>
      <c r="U2118" s="3">
        <f t="shared" si="575"/>
        <v>19</v>
      </c>
      <c r="V2118" s="3">
        <f>IF(AND($L2118=1,AND(对接源_02物料!$X918="自备筐",N(对接源_02物料!$V918)&lt;&gt;0)),1,0)</f>
        <v>0</v>
      </c>
      <c r="W2118" s="3">
        <f t="shared" si="576"/>
        <v>8</v>
      </c>
      <c r="X2118" s="3">
        <f>IF(AND($L2118=1,AND(对接源_02物料!$X918="自备筐",N(对接源_02物料!$T918)&lt;&gt;0)),1,0)</f>
        <v>0</v>
      </c>
      <c r="Y2118" s="3">
        <f t="shared" si="577"/>
        <v>0</v>
      </c>
      <c r="Z2118" s="3">
        <f>IF(AND($M2118=1,对接源_02物料!$D918="原料入库"),1,0)</f>
        <v>0</v>
      </c>
      <c r="AA2118" s="3">
        <f t="shared" si="578"/>
        <v>24</v>
      </c>
      <c r="AB2118" s="3">
        <f>IF(AND($M2118=1,LEFT(对接源_02物料!$D918,4)="原料出库"),1,0)</f>
        <v>0</v>
      </c>
      <c r="AC2118" s="3">
        <f t="shared" si="579"/>
        <v>0</v>
      </c>
      <c r="AD2118" s="3">
        <f>IF(AND($M2118=1,LEFT(对接源_02物料!$D918,4)="成品出库"),1,0)</f>
        <v>0</v>
      </c>
      <c r="AE2118" s="3">
        <f t="shared" si="580"/>
        <v>0</v>
      </c>
      <c r="AF2118" s="3">
        <f>IF(AND($N2118=1,AND(LEFT(对接源_02物料!$D918,4)="包装物料",N(对接源_02物料!$K918)&lt;&gt;0)),1,0)</f>
        <v>0</v>
      </c>
      <c r="AG2118" s="3">
        <f t="shared" si="581"/>
        <v>5</v>
      </c>
      <c r="AH2118" s="3">
        <f>IF(AND($N2118=1,AND(对接源_02物料!$D918="周转筐－销售出库",N(对接源_02物料!$K918)&lt;&gt;0)),1,0)</f>
        <v>0</v>
      </c>
      <c r="AI2118" s="3">
        <f t="shared" si="582"/>
        <v>0</v>
      </c>
      <c r="AL2118" s="3">
        <v>0</v>
      </c>
      <c r="AM2118" s="3">
        <f t="shared" si="583"/>
        <v>1</v>
      </c>
      <c r="AN2118" s="3" t="str">
        <f t="shared" si="570"/>
        <v/>
      </c>
      <c r="AO2118" s="3">
        <v>0</v>
      </c>
      <c r="AP2118" s="3">
        <f t="shared" si="584"/>
        <v>8</v>
      </c>
      <c r="AR2118">
        <f t="shared" si="585"/>
        <v>0</v>
      </c>
      <c r="AS2118">
        <f t="shared" si="586"/>
        <v>5</v>
      </c>
    </row>
    <row r="2119" customHeight="1" spans="1:45">
      <c r="A2119" s="3" t="str">
        <f>IF(对接源_02物料!$C919="","",对接源_02物料!$C919)</f>
        <v/>
      </c>
      <c r="B2119" s="3">
        <f t="shared" si="571"/>
        <v>0</v>
      </c>
      <c r="C2119" s="3">
        <f t="shared" si="572"/>
        <v>21</v>
      </c>
      <c r="K2119" s="3">
        <f>IF(OR($K$1="",对接源_02物料!$C919="",对接源_02物料!$C919&lt;&gt;$K$1,对接源_02物料!$B919=""),0,IF(OR(N(对接源_02物料!$B919)&lt;$K$2,N(对接源_02物料!$B919)&gt;$K$3),0,1))</f>
        <v>0</v>
      </c>
      <c r="L2119" s="3">
        <f>IF(OR($L$1="",对接源_02物料!$C919="",对接源_02物料!$C919&lt;&gt;$L$1,对接源_02物料!$B919=""),0,IF(OR(N(对接源_02物料!$B919)&lt;$L$2,N(对接源_02物料!$B919)&gt;$L$3),0,1))</f>
        <v>0</v>
      </c>
      <c r="M2119" s="3">
        <f>IF(OR($M$1="",对接源_02物料!$C919="",对接源_02物料!$C919&lt;&gt;$M$1,对接源_02物料!$B919=""),0,IF(OR(N(对接源_02物料!$B919)&lt;$M$2,N(对接源_02物料!$B919)&gt;$M$3),0,1))</f>
        <v>0</v>
      </c>
      <c r="N2119" s="3">
        <f>IF(OR($N$1="",对接源_02物料!$C919="",对接源_02物料!$C919&lt;&gt;$N$1,对接源_02物料!$B919=""),0,IF(OR(N(对接源_02物料!$B919)&lt;$N$2,N(对接源_02物料!$B919)&gt;$N$3),0,1))</f>
        <v>0</v>
      </c>
      <c r="P2119" s="3">
        <f>IF(AND($K2119=1,AND(对接源_02物料!$X919="公司筐",N(对接源_02物料!$T919)&lt;&gt;0)),1,0)</f>
        <v>0</v>
      </c>
      <c r="Q2119" s="3">
        <f t="shared" si="573"/>
        <v>8</v>
      </c>
      <c r="R2119" s="3">
        <f>IF(AND($K2119=1,AND(对接源_02物料!$X919="公司筐",N(对接源_02物料!$U919)&lt;&gt;0)),1,0)</f>
        <v>0</v>
      </c>
      <c r="S2119" s="3">
        <f t="shared" si="574"/>
        <v>0</v>
      </c>
      <c r="T2119" s="3">
        <f>IF(AND($K2119=1,AND(对接源_02物料!$X919="公司筐",N(对接源_02物料!$V919)&lt;&gt;0)),1,0)</f>
        <v>0</v>
      </c>
      <c r="U2119" s="3">
        <f t="shared" si="575"/>
        <v>19</v>
      </c>
      <c r="V2119" s="3">
        <f>IF(AND($L2119=1,AND(对接源_02物料!$X919="自备筐",N(对接源_02物料!$V919)&lt;&gt;0)),1,0)</f>
        <v>0</v>
      </c>
      <c r="W2119" s="3">
        <f t="shared" si="576"/>
        <v>8</v>
      </c>
      <c r="X2119" s="3">
        <f>IF(AND($L2119=1,AND(对接源_02物料!$X919="自备筐",N(对接源_02物料!$T919)&lt;&gt;0)),1,0)</f>
        <v>0</v>
      </c>
      <c r="Y2119" s="3">
        <f t="shared" si="577"/>
        <v>0</v>
      </c>
      <c r="Z2119" s="3">
        <f>IF(AND($M2119=1,对接源_02物料!$D919="原料入库"),1,0)</f>
        <v>0</v>
      </c>
      <c r="AA2119" s="3">
        <f t="shared" si="578"/>
        <v>24</v>
      </c>
      <c r="AB2119" s="3">
        <f>IF(AND($M2119=1,LEFT(对接源_02物料!$D919,4)="原料出库"),1,0)</f>
        <v>0</v>
      </c>
      <c r="AC2119" s="3">
        <f t="shared" si="579"/>
        <v>0</v>
      </c>
      <c r="AD2119" s="3">
        <f>IF(AND($M2119=1,LEFT(对接源_02物料!$D919,4)="成品出库"),1,0)</f>
        <v>0</v>
      </c>
      <c r="AE2119" s="3">
        <f t="shared" si="580"/>
        <v>0</v>
      </c>
      <c r="AF2119" s="3">
        <f>IF(AND($N2119=1,AND(LEFT(对接源_02物料!$D919,4)="包装物料",N(对接源_02物料!$K919)&lt;&gt;0)),1,0)</f>
        <v>0</v>
      </c>
      <c r="AG2119" s="3">
        <f t="shared" si="581"/>
        <v>5</v>
      </c>
      <c r="AH2119" s="3">
        <f>IF(AND($N2119=1,AND(对接源_02物料!$D919="周转筐－销售出库",N(对接源_02物料!$K919)&lt;&gt;0)),1,0)</f>
        <v>0</v>
      </c>
      <c r="AI2119" s="3">
        <f t="shared" si="582"/>
        <v>0</v>
      </c>
      <c r="AL2119" s="3">
        <v>0</v>
      </c>
      <c r="AM2119" s="3">
        <f t="shared" si="583"/>
        <v>1</v>
      </c>
      <c r="AN2119" s="3" t="str">
        <f t="shared" si="570"/>
        <v/>
      </c>
      <c r="AO2119" s="3">
        <v>0</v>
      </c>
      <c r="AP2119" s="3">
        <f t="shared" si="584"/>
        <v>8</v>
      </c>
      <c r="AR2119">
        <f t="shared" si="585"/>
        <v>0</v>
      </c>
      <c r="AS2119">
        <f t="shared" si="586"/>
        <v>5</v>
      </c>
    </row>
    <row r="2120" customHeight="1" spans="1:45">
      <c r="A2120" s="3" t="str">
        <f>IF(对接源_02物料!$C920="","",对接源_02物料!$C920)</f>
        <v/>
      </c>
      <c r="B2120" s="3">
        <f t="shared" si="571"/>
        <v>0</v>
      </c>
      <c r="C2120" s="3">
        <f t="shared" si="572"/>
        <v>21</v>
      </c>
      <c r="K2120" s="3">
        <f>IF(OR($K$1="",对接源_02物料!$C920="",对接源_02物料!$C920&lt;&gt;$K$1,对接源_02物料!$B920=""),0,IF(OR(N(对接源_02物料!$B920)&lt;$K$2,N(对接源_02物料!$B920)&gt;$K$3),0,1))</f>
        <v>0</v>
      </c>
      <c r="L2120" s="3">
        <f>IF(OR($L$1="",对接源_02物料!$C920="",对接源_02物料!$C920&lt;&gt;$L$1,对接源_02物料!$B920=""),0,IF(OR(N(对接源_02物料!$B920)&lt;$L$2,N(对接源_02物料!$B920)&gt;$L$3),0,1))</f>
        <v>0</v>
      </c>
      <c r="M2120" s="3">
        <f>IF(OR($M$1="",对接源_02物料!$C920="",对接源_02物料!$C920&lt;&gt;$M$1,对接源_02物料!$B920=""),0,IF(OR(N(对接源_02物料!$B920)&lt;$M$2,N(对接源_02物料!$B920)&gt;$M$3),0,1))</f>
        <v>0</v>
      </c>
      <c r="N2120" s="3">
        <f>IF(OR($N$1="",对接源_02物料!$C920="",对接源_02物料!$C920&lt;&gt;$N$1,对接源_02物料!$B920=""),0,IF(OR(N(对接源_02物料!$B920)&lt;$N$2,N(对接源_02物料!$B920)&gt;$N$3),0,1))</f>
        <v>0</v>
      </c>
      <c r="P2120" s="3">
        <f>IF(AND($K2120=1,AND(对接源_02物料!$X920="公司筐",N(对接源_02物料!$T920)&lt;&gt;0)),1,0)</f>
        <v>0</v>
      </c>
      <c r="Q2120" s="3">
        <f t="shared" si="573"/>
        <v>8</v>
      </c>
      <c r="R2120" s="3">
        <f>IF(AND($K2120=1,AND(对接源_02物料!$X920="公司筐",N(对接源_02物料!$U920)&lt;&gt;0)),1,0)</f>
        <v>0</v>
      </c>
      <c r="S2120" s="3">
        <f t="shared" si="574"/>
        <v>0</v>
      </c>
      <c r="T2120" s="3">
        <f>IF(AND($K2120=1,AND(对接源_02物料!$X920="公司筐",N(对接源_02物料!$V920)&lt;&gt;0)),1,0)</f>
        <v>0</v>
      </c>
      <c r="U2120" s="3">
        <f t="shared" si="575"/>
        <v>19</v>
      </c>
      <c r="V2120" s="3">
        <f>IF(AND($L2120=1,AND(对接源_02物料!$X920="自备筐",N(对接源_02物料!$V920)&lt;&gt;0)),1,0)</f>
        <v>0</v>
      </c>
      <c r="W2120" s="3">
        <f t="shared" si="576"/>
        <v>8</v>
      </c>
      <c r="X2120" s="3">
        <f>IF(AND($L2120=1,AND(对接源_02物料!$X920="自备筐",N(对接源_02物料!$T920)&lt;&gt;0)),1,0)</f>
        <v>0</v>
      </c>
      <c r="Y2120" s="3">
        <f t="shared" si="577"/>
        <v>0</v>
      </c>
      <c r="Z2120" s="3">
        <f>IF(AND($M2120=1,对接源_02物料!$D920="原料入库"),1,0)</f>
        <v>0</v>
      </c>
      <c r="AA2120" s="3">
        <f t="shared" si="578"/>
        <v>24</v>
      </c>
      <c r="AB2120" s="3">
        <f>IF(AND($M2120=1,LEFT(对接源_02物料!$D920,4)="原料出库"),1,0)</f>
        <v>0</v>
      </c>
      <c r="AC2120" s="3">
        <f t="shared" si="579"/>
        <v>0</v>
      </c>
      <c r="AD2120" s="3">
        <f>IF(AND($M2120=1,LEFT(对接源_02物料!$D920,4)="成品出库"),1,0)</f>
        <v>0</v>
      </c>
      <c r="AE2120" s="3">
        <f t="shared" si="580"/>
        <v>0</v>
      </c>
      <c r="AF2120" s="3">
        <f>IF(AND($N2120=1,AND(LEFT(对接源_02物料!$D920,4)="包装物料",N(对接源_02物料!$K920)&lt;&gt;0)),1,0)</f>
        <v>0</v>
      </c>
      <c r="AG2120" s="3">
        <f t="shared" si="581"/>
        <v>5</v>
      </c>
      <c r="AH2120" s="3">
        <f>IF(AND($N2120=1,AND(对接源_02物料!$D920="周转筐－销售出库",N(对接源_02物料!$K920)&lt;&gt;0)),1,0)</f>
        <v>0</v>
      </c>
      <c r="AI2120" s="3">
        <f t="shared" si="582"/>
        <v>0</v>
      </c>
      <c r="AL2120" s="3">
        <v>0</v>
      </c>
      <c r="AM2120" s="3">
        <f t="shared" si="583"/>
        <v>1</v>
      </c>
      <c r="AN2120" s="3" t="str">
        <f t="shared" si="570"/>
        <v/>
      </c>
      <c r="AO2120" s="3">
        <v>0</v>
      </c>
      <c r="AP2120" s="3">
        <f t="shared" si="584"/>
        <v>8</v>
      </c>
      <c r="AR2120">
        <f t="shared" si="585"/>
        <v>0</v>
      </c>
      <c r="AS2120">
        <f t="shared" si="586"/>
        <v>5</v>
      </c>
    </row>
    <row r="2121" customHeight="1" spans="1:45">
      <c r="A2121" s="3" t="str">
        <f>IF(对接源_02物料!$C921="","",对接源_02物料!$C921)</f>
        <v/>
      </c>
      <c r="B2121" s="3">
        <f t="shared" si="571"/>
        <v>0</v>
      </c>
      <c r="C2121" s="3">
        <f t="shared" si="572"/>
        <v>21</v>
      </c>
      <c r="K2121" s="3">
        <f>IF(OR($K$1="",对接源_02物料!$C921="",对接源_02物料!$C921&lt;&gt;$K$1,对接源_02物料!$B921=""),0,IF(OR(N(对接源_02物料!$B921)&lt;$K$2,N(对接源_02物料!$B921)&gt;$K$3),0,1))</f>
        <v>0</v>
      </c>
      <c r="L2121" s="3">
        <f>IF(OR($L$1="",对接源_02物料!$C921="",对接源_02物料!$C921&lt;&gt;$L$1,对接源_02物料!$B921=""),0,IF(OR(N(对接源_02物料!$B921)&lt;$L$2,N(对接源_02物料!$B921)&gt;$L$3),0,1))</f>
        <v>0</v>
      </c>
      <c r="M2121" s="3">
        <f>IF(OR($M$1="",对接源_02物料!$C921="",对接源_02物料!$C921&lt;&gt;$M$1,对接源_02物料!$B921=""),0,IF(OR(N(对接源_02物料!$B921)&lt;$M$2,N(对接源_02物料!$B921)&gt;$M$3),0,1))</f>
        <v>0</v>
      </c>
      <c r="N2121" s="3">
        <f>IF(OR($N$1="",对接源_02物料!$C921="",对接源_02物料!$C921&lt;&gt;$N$1,对接源_02物料!$B921=""),0,IF(OR(N(对接源_02物料!$B921)&lt;$N$2,N(对接源_02物料!$B921)&gt;$N$3),0,1))</f>
        <v>0</v>
      </c>
      <c r="P2121" s="3">
        <f>IF(AND($K2121=1,AND(对接源_02物料!$X921="公司筐",N(对接源_02物料!$T921)&lt;&gt;0)),1,0)</f>
        <v>0</v>
      </c>
      <c r="Q2121" s="3">
        <f t="shared" si="573"/>
        <v>8</v>
      </c>
      <c r="R2121" s="3">
        <f>IF(AND($K2121=1,AND(对接源_02物料!$X921="公司筐",N(对接源_02物料!$U921)&lt;&gt;0)),1,0)</f>
        <v>0</v>
      </c>
      <c r="S2121" s="3">
        <f t="shared" si="574"/>
        <v>0</v>
      </c>
      <c r="T2121" s="3">
        <f>IF(AND($K2121=1,AND(对接源_02物料!$X921="公司筐",N(对接源_02物料!$V921)&lt;&gt;0)),1,0)</f>
        <v>0</v>
      </c>
      <c r="U2121" s="3">
        <f t="shared" si="575"/>
        <v>19</v>
      </c>
      <c r="V2121" s="3">
        <f>IF(AND($L2121=1,AND(对接源_02物料!$X921="自备筐",N(对接源_02物料!$V921)&lt;&gt;0)),1,0)</f>
        <v>0</v>
      </c>
      <c r="W2121" s="3">
        <f t="shared" si="576"/>
        <v>8</v>
      </c>
      <c r="X2121" s="3">
        <f>IF(AND($L2121=1,AND(对接源_02物料!$X921="自备筐",N(对接源_02物料!$T921)&lt;&gt;0)),1,0)</f>
        <v>0</v>
      </c>
      <c r="Y2121" s="3">
        <f t="shared" si="577"/>
        <v>0</v>
      </c>
      <c r="Z2121" s="3">
        <f>IF(AND($M2121=1,对接源_02物料!$D921="原料入库"),1,0)</f>
        <v>0</v>
      </c>
      <c r="AA2121" s="3">
        <f t="shared" si="578"/>
        <v>24</v>
      </c>
      <c r="AB2121" s="3">
        <f>IF(AND($M2121=1,LEFT(对接源_02物料!$D921,4)="原料出库"),1,0)</f>
        <v>0</v>
      </c>
      <c r="AC2121" s="3">
        <f t="shared" si="579"/>
        <v>0</v>
      </c>
      <c r="AD2121" s="3">
        <f>IF(AND($M2121=1,LEFT(对接源_02物料!$D921,4)="成品出库"),1,0)</f>
        <v>0</v>
      </c>
      <c r="AE2121" s="3">
        <f t="shared" si="580"/>
        <v>0</v>
      </c>
      <c r="AF2121" s="3">
        <f>IF(AND($N2121=1,AND(LEFT(对接源_02物料!$D921,4)="包装物料",N(对接源_02物料!$K921)&lt;&gt;0)),1,0)</f>
        <v>0</v>
      </c>
      <c r="AG2121" s="3">
        <f t="shared" si="581"/>
        <v>5</v>
      </c>
      <c r="AH2121" s="3">
        <f>IF(AND($N2121=1,AND(对接源_02物料!$D921="周转筐－销售出库",N(对接源_02物料!$K921)&lt;&gt;0)),1,0)</f>
        <v>0</v>
      </c>
      <c r="AI2121" s="3">
        <f t="shared" si="582"/>
        <v>0</v>
      </c>
      <c r="AL2121" s="3">
        <v>0</v>
      </c>
      <c r="AM2121" s="3">
        <f t="shared" si="583"/>
        <v>1</v>
      </c>
      <c r="AN2121" s="3" t="str">
        <f t="shared" si="570"/>
        <v/>
      </c>
      <c r="AO2121" s="3">
        <v>0</v>
      </c>
      <c r="AP2121" s="3">
        <f t="shared" si="584"/>
        <v>8</v>
      </c>
      <c r="AR2121">
        <f t="shared" si="585"/>
        <v>0</v>
      </c>
      <c r="AS2121">
        <f t="shared" si="586"/>
        <v>5</v>
      </c>
    </row>
    <row r="2122" customHeight="1" spans="1:45">
      <c r="A2122" s="3" t="str">
        <f>IF(对接源_02物料!$C922="","",对接源_02物料!$C922)</f>
        <v/>
      </c>
      <c r="B2122" s="3">
        <f t="shared" si="571"/>
        <v>0</v>
      </c>
      <c r="C2122" s="3">
        <f t="shared" si="572"/>
        <v>21</v>
      </c>
      <c r="K2122" s="3">
        <f>IF(OR($K$1="",对接源_02物料!$C922="",对接源_02物料!$C922&lt;&gt;$K$1,对接源_02物料!$B922=""),0,IF(OR(N(对接源_02物料!$B922)&lt;$K$2,N(对接源_02物料!$B922)&gt;$K$3),0,1))</f>
        <v>0</v>
      </c>
      <c r="L2122" s="3">
        <f>IF(OR($L$1="",对接源_02物料!$C922="",对接源_02物料!$C922&lt;&gt;$L$1,对接源_02物料!$B922=""),0,IF(OR(N(对接源_02物料!$B922)&lt;$L$2,N(对接源_02物料!$B922)&gt;$L$3),0,1))</f>
        <v>0</v>
      </c>
      <c r="M2122" s="3">
        <f>IF(OR($M$1="",对接源_02物料!$C922="",对接源_02物料!$C922&lt;&gt;$M$1,对接源_02物料!$B922=""),0,IF(OR(N(对接源_02物料!$B922)&lt;$M$2,N(对接源_02物料!$B922)&gt;$M$3),0,1))</f>
        <v>0</v>
      </c>
      <c r="N2122" s="3">
        <f>IF(OR($N$1="",对接源_02物料!$C922="",对接源_02物料!$C922&lt;&gt;$N$1,对接源_02物料!$B922=""),0,IF(OR(N(对接源_02物料!$B922)&lt;$N$2,N(对接源_02物料!$B922)&gt;$N$3),0,1))</f>
        <v>0</v>
      </c>
      <c r="P2122" s="3">
        <f>IF(AND($K2122=1,AND(对接源_02物料!$X922="公司筐",N(对接源_02物料!$T922)&lt;&gt;0)),1,0)</f>
        <v>0</v>
      </c>
      <c r="Q2122" s="3">
        <f t="shared" si="573"/>
        <v>8</v>
      </c>
      <c r="R2122" s="3">
        <f>IF(AND($K2122=1,AND(对接源_02物料!$X922="公司筐",N(对接源_02物料!$U922)&lt;&gt;0)),1,0)</f>
        <v>0</v>
      </c>
      <c r="S2122" s="3">
        <f t="shared" si="574"/>
        <v>0</v>
      </c>
      <c r="T2122" s="3">
        <f>IF(AND($K2122=1,AND(对接源_02物料!$X922="公司筐",N(对接源_02物料!$V922)&lt;&gt;0)),1,0)</f>
        <v>0</v>
      </c>
      <c r="U2122" s="3">
        <f t="shared" si="575"/>
        <v>19</v>
      </c>
      <c r="V2122" s="3">
        <f>IF(AND($L2122=1,AND(对接源_02物料!$X922="自备筐",N(对接源_02物料!$V922)&lt;&gt;0)),1,0)</f>
        <v>0</v>
      </c>
      <c r="W2122" s="3">
        <f t="shared" si="576"/>
        <v>8</v>
      </c>
      <c r="X2122" s="3">
        <f>IF(AND($L2122=1,AND(对接源_02物料!$X922="自备筐",N(对接源_02物料!$T922)&lt;&gt;0)),1,0)</f>
        <v>0</v>
      </c>
      <c r="Y2122" s="3">
        <f t="shared" si="577"/>
        <v>0</v>
      </c>
      <c r="Z2122" s="3">
        <f>IF(AND($M2122=1,对接源_02物料!$D922="原料入库"),1,0)</f>
        <v>0</v>
      </c>
      <c r="AA2122" s="3">
        <f t="shared" si="578"/>
        <v>24</v>
      </c>
      <c r="AB2122" s="3">
        <f>IF(AND($M2122=1,LEFT(对接源_02物料!$D922,4)="原料出库"),1,0)</f>
        <v>0</v>
      </c>
      <c r="AC2122" s="3">
        <f t="shared" si="579"/>
        <v>0</v>
      </c>
      <c r="AD2122" s="3">
        <f>IF(AND($M2122=1,LEFT(对接源_02物料!$D922,4)="成品出库"),1,0)</f>
        <v>0</v>
      </c>
      <c r="AE2122" s="3">
        <f t="shared" si="580"/>
        <v>0</v>
      </c>
      <c r="AF2122" s="3">
        <f>IF(AND($N2122=1,AND(LEFT(对接源_02物料!$D922,4)="包装物料",N(对接源_02物料!$K922)&lt;&gt;0)),1,0)</f>
        <v>0</v>
      </c>
      <c r="AG2122" s="3">
        <f t="shared" si="581"/>
        <v>5</v>
      </c>
      <c r="AH2122" s="3">
        <f>IF(AND($N2122=1,AND(对接源_02物料!$D922="周转筐－销售出库",N(对接源_02物料!$K922)&lt;&gt;0)),1,0)</f>
        <v>0</v>
      </c>
      <c r="AI2122" s="3">
        <f t="shared" si="582"/>
        <v>0</v>
      </c>
      <c r="AL2122" s="3">
        <v>0</v>
      </c>
      <c r="AM2122" s="3">
        <f t="shared" si="583"/>
        <v>1</v>
      </c>
      <c r="AN2122" s="3" t="str">
        <f t="shared" si="570"/>
        <v/>
      </c>
      <c r="AO2122" s="3">
        <v>0</v>
      </c>
      <c r="AP2122" s="3">
        <f t="shared" si="584"/>
        <v>8</v>
      </c>
      <c r="AR2122">
        <f t="shared" si="585"/>
        <v>0</v>
      </c>
      <c r="AS2122">
        <f t="shared" si="586"/>
        <v>5</v>
      </c>
    </row>
    <row r="2123" customHeight="1" spans="1:45">
      <c r="A2123" s="3" t="str">
        <f>IF(对接源_02物料!$C923="","",对接源_02物料!$C923)</f>
        <v/>
      </c>
      <c r="B2123" s="3">
        <f t="shared" si="571"/>
        <v>0</v>
      </c>
      <c r="C2123" s="3">
        <f t="shared" si="572"/>
        <v>21</v>
      </c>
      <c r="K2123" s="3">
        <f>IF(OR($K$1="",对接源_02物料!$C923="",对接源_02物料!$C923&lt;&gt;$K$1,对接源_02物料!$B923=""),0,IF(OR(N(对接源_02物料!$B923)&lt;$K$2,N(对接源_02物料!$B923)&gt;$K$3),0,1))</f>
        <v>0</v>
      </c>
      <c r="L2123" s="3">
        <f>IF(OR($L$1="",对接源_02物料!$C923="",对接源_02物料!$C923&lt;&gt;$L$1,对接源_02物料!$B923=""),0,IF(OR(N(对接源_02物料!$B923)&lt;$L$2,N(对接源_02物料!$B923)&gt;$L$3),0,1))</f>
        <v>0</v>
      </c>
      <c r="M2123" s="3">
        <f>IF(OR($M$1="",对接源_02物料!$C923="",对接源_02物料!$C923&lt;&gt;$M$1,对接源_02物料!$B923=""),0,IF(OR(N(对接源_02物料!$B923)&lt;$M$2,N(对接源_02物料!$B923)&gt;$M$3),0,1))</f>
        <v>0</v>
      </c>
      <c r="N2123" s="3">
        <f>IF(OR($N$1="",对接源_02物料!$C923="",对接源_02物料!$C923&lt;&gt;$N$1,对接源_02物料!$B923=""),0,IF(OR(N(对接源_02物料!$B923)&lt;$N$2,N(对接源_02物料!$B923)&gt;$N$3),0,1))</f>
        <v>0</v>
      </c>
      <c r="P2123" s="3">
        <f>IF(AND($K2123=1,AND(对接源_02物料!$X923="公司筐",N(对接源_02物料!$T923)&lt;&gt;0)),1,0)</f>
        <v>0</v>
      </c>
      <c r="Q2123" s="3">
        <f t="shared" si="573"/>
        <v>8</v>
      </c>
      <c r="R2123" s="3">
        <f>IF(AND($K2123=1,AND(对接源_02物料!$X923="公司筐",N(对接源_02物料!$U923)&lt;&gt;0)),1,0)</f>
        <v>0</v>
      </c>
      <c r="S2123" s="3">
        <f t="shared" si="574"/>
        <v>0</v>
      </c>
      <c r="T2123" s="3">
        <f>IF(AND($K2123=1,AND(对接源_02物料!$X923="公司筐",N(对接源_02物料!$V923)&lt;&gt;0)),1,0)</f>
        <v>0</v>
      </c>
      <c r="U2123" s="3">
        <f t="shared" si="575"/>
        <v>19</v>
      </c>
      <c r="V2123" s="3">
        <f>IF(AND($L2123=1,AND(对接源_02物料!$X923="自备筐",N(对接源_02物料!$V923)&lt;&gt;0)),1,0)</f>
        <v>0</v>
      </c>
      <c r="W2123" s="3">
        <f t="shared" si="576"/>
        <v>8</v>
      </c>
      <c r="X2123" s="3">
        <f>IF(AND($L2123=1,AND(对接源_02物料!$X923="自备筐",N(对接源_02物料!$T923)&lt;&gt;0)),1,0)</f>
        <v>0</v>
      </c>
      <c r="Y2123" s="3">
        <f t="shared" si="577"/>
        <v>0</v>
      </c>
      <c r="Z2123" s="3">
        <f>IF(AND($M2123=1,对接源_02物料!$D923="原料入库"),1,0)</f>
        <v>0</v>
      </c>
      <c r="AA2123" s="3">
        <f t="shared" si="578"/>
        <v>24</v>
      </c>
      <c r="AB2123" s="3">
        <f>IF(AND($M2123=1,LEFT(对接源_02物料!$D923,4)="原料出库"),1,0)</f>
        <v>0</v>
      </c>
      <c r="AC2123" s="3">
        <f t="shared" si="579"/>
        <v>0</v>
      </c>
      <c r="AD2123" s="3">
        <f>IF(AND($M2123=1,LEFT(对接源_02物料!$D923,4)="成品出库"),1,0)</f>
        <v>0</v>
      </c>
      <c r="AE2123" s="3">
        <f t="shared" si="580"/>
        <v>0</v>
      </c>
      <c r="AF2123" s="3">
        <f>IF(AND($N2123=1,AND(LEFT(对接源_02物料!$D923,4)="包装物料",N(对接源_02物料!$K923)&lt;&gt;0)),1,0)</f>
        <v>0</v>
      </c>
      <c r="AG2123" s="3">
        <f t="shared" si="581"/>
        <v>5</v>
      </c>
      <c r="AH2123" s="3">
        <f>IF(AND($N2123=1,AND(对接源_02物料!$D923="周转筐－销售出库",N(对接源_02物料!$K923)&lt;&gt;0)),1,0)</f>
        <v>0</v>
      </c>
      <c r="AI2123" s="3">
        <f t="shared" si="582"/>
        <v>0</v>
      </c>
      <c r="AL2123" s="3">
        <v>0</v>
      </c>
      <c r="AM2123" s="3">
        <f t="shared" si="583"/>
        <v>1</v>
      </c>
      <c r="AN2123" s="3" t="str">
        <f t="shared" si="570"/>
        <v/>
      </c>
      <c r="AO2123" s="3">
        <v>0</v>
      </c>
      <c r="AP2123" s="3">
        <f t="shared" si="584"/>
        <v>8</v>
      </c>
      <c r="AR2123">
        <f t="shared" si="585"/>
        <v>0</v>
      </c>
      <c r="AS2123">
        <f t="shared" si="586"/>
        <v>5</v>
      </c>
    </row>
    <row r="2124" customHeight="1" spans="1:45">
      <c r="A2124" s="3" t="str">
        <f>IF(对接源_02物料!$C924="","",对接源_02物料!$C924)</f>
        <v/>
      </c>
      <c r="B2124" s="3">
        <f t="shared" si="571"/>
        <v>0</v>
      </c>
      <c r="C2124" s="3">
        <f t="shared" si="572"/>
        <v>21</v>
      </c>
      <c r="K2124" s="3">
        <f>IF(OR($K$1="",对接源_02物料!$C924="",对接源_02物料!$C924&lt;&gt;$K$1,对接源_02物料!$B924=""),0,IF(OR(N(对接源_02物料!$B924)&lt;$K$2,N(对接源_02物料!$B924)&gt;$K$3),0,1))</f>
        <v>0</v>
      </c>
      <c r="L2124" s="3">
        <f>IF(OR($L$1="",对接源_02物料!$C924="",对接源_02物料!$C924&lt;&gt;$L$1,对接源_02物料!$B924=""),0,IF(OR(N(对接源_02物料!$B924)&lt;$L$2,N(对接源_02物料!$B924)&gt;$L$3),0,1))</f>
        <v>0</v>
      </c>
      <c r="M2124" s="3">
        <f>IF(OR($M$1="",对接源_02物料!$C924="",对接源_02物料!$C924&lt;&gt;$M$1,对接源_02物料!$B924=""),0,IF(OR(N(对接源_02物料!$B924)&lt;$M$2,N(对接源_02物料!$B924)&gt;$M$3),0,1))</f>
        <v>0</v>
      </c>
      <c r="N2124" s="3">
        <f>IF(OR($N$1="",对接源_02物料!$C924="",对接源_02物料!$C924&lt;&gt;$N$1,对接源_02物料!$B924=""),0,IF(OR(N(对接源_02物料!$B924)&lt;$N$2,N(对接源_02物料!$B924)&gt;$N$3),0,1))</f>
        <v>0</v>
      </c>
      <c r="P2124" s="3">
        <f>IF(AND($K2124=1,AND(对接源_02物料!$X924="公司筐",N(对接源_02物料!$T924)&lt;&gt;0)),1,0)</f>
        <v>0</v>
      </c>
      <c r="Q2124" s="3">
        <f t="shared" si="573"/>
        <v>8</v>
      </c>
      <c r="R2124" s="3">
        <f>IF(AND($K2124=1,AND(对接源_02物料!$X924="公司筐",N(对接源_02物料!$U924)&lt;&gt;0)),1,0)</f>
        <v>0</v>
      </c>
      <c r="S2124" s="3">
        <f t="shared" si="574"/>
        <v>0</v>
      </c>
      <c r="T2124" s="3">
        <f>IF(AND($K2124=1,AND(对接源_02物料!$X924="公司筐",N(对接源_02物料!$V924)&lt;&gt;0)),1,0)</f>
        <v>0</v>
      </c>
      <c r="U2124" s="3">
        <f t="shared" si="575"/>
        <v>19</v>
      </c>
      <c r="V2124" s="3">
        <f>IF(AND($L2124=1,AND(对接源_02物料!$X924="自备筐",N(对接源_02物料!$V924)&lt;&gt;0)),1,0)</f>
        <v>0</v>
      </c>
      <c r="W2124" s="3">
        <f t="shared" si="576"/>
        <v>8</v>
      </c>
      <c r="X2124" s="3">
        <f>IF(AND($L2124=1,AND(对接源_02物料!$X924="自备筐",N(对接源_02物料!$T924)&lt;&gt;0)),1,0)</f>
        <v>0</v>
      </c>
      <c r="Y2124" s="3">
        <f t="shared" si="577"/>
        <v>0</v>
      </c>
      <c r="Z2124" s="3">
        <f>IF(AND($M2124=1,对接源_02物料!$D924="原料入库"),1,0)</f>
        <v>0</v>
      </c>
      <c r="AA2124" s="3">
        <f t="shared" si="578"/>
        <v>24</v>
      </c>
      <c r="AB2124" s="3">
        <f>IF(AND($M2124=1,LEFT(对接源_02物料!$D924,4)="原料出库"),1,0)</f>
        <v>0</v>
      </c>
      <c r="AC2124" s="3">
        <f t="shared" si="579"/>
        <v>0</v>
      </c>
      <c r="AD2124" s="3">
        <f>IF(AND($M2124=1,LEFT(对接源_02物料!$D924,4)="成品出库"),1,0)</f>
        <v>0</v>
      </c>
      <c r="AE2124" s="3">
        <f t="shared" si="580"/>
        <v>0</v>
      </c>
      <c r="AF2124" s="3">
        <f>IF(AND($N2124=1,AND(LEFT(对接源_02物料!$D924,4)="包装物料",N(对接源_02物料!$K924)&lt;&gt;0)),1,0)</f>
        <v>0</v>
      </c>
      <c r="AG2124" s="3">
        <f t="shared" si="581"/>
        <v>5</v>
      </c>
      <c r="AH2124" s="3">
        <f>IF(AND($N2124=1,AND(对接源_02物料!$D924="周转筐－销售出库",N(对接源_02物料!$K924)&lt;&gt;0)),1,0)</f>
        <v>0</v>
      </c>
      <c r="AI2124" s="3">
        <f t="shared" si="582"/>
        <v>0</v>
      </c>
      <c r="AL2124" s="3">
        <v>0</v>
      </c>
      <c r="AM2124" s="3">
        <f t="shared" si="583"/>
        <v>1</v>
      </c>
      <c r="AN2124" s="3" t="str">
        <f t="shared" si="570"/>
        <v/>
      </c>
      <c r="AO2124" s="3">
        <v>0</v>
      </c>
      <c r="AP2124" s="3">
        <f t="shared" si="584"/>
        <v>8</v>
      </c>
      <c r="AR2124">
        <f t="shared" si="585"/>
        <v>0</v>
      </c>
      <c r="AS2124">
        <f t="shared" si="586"/>
        <v>5</v>
      </c>
    </row>
    <row r="2125" customHeight="1" spans="1:45">
      <c r="A2125" s="3" t="str">
        <f>IF(对接源_02物料!$C925="","",对接源_02物料!$C925)</f>
        <v/>
      </c>
      <c r="B2125" s="3">
        <f t="shared" si="571"/>
        <v>0</v>
      </c>
      <c r="C2125" s="3">
        <f t="shared" si="572"/>
        <v>21</v>
      </c>
      <c r="K2125" s="3">
        <f>IF(OR($K$1="",对接源_02物料!$C925="",对接源_02物料!$C925&lt;&gt;$K$1,对接源_02物料!$B925=""),0,IF(OR(N(对接源_02物料!$B925)&lt;$K$2,N(对接源_02物料!$B925)&gt;$K$3),0,1))</f>
        <v>0</v>
      </c>
      <c r="L2125" s="3">
        <f>IF(OR($L$1="",对接源_02物料!$C925="",对接源_02物料!$C925&lt;&gt;$L$1,对接源_02物料!$B925=""),0,IF(OR(N(对接源_02物料!$B925)&lt;$L$2,N(对接源_02物料!$B925)&gt;$L$3),0,1))</f>
        <v>0</v>
      </c>
      <c r="M2125" s="3">
        <f>IF(OR($M$1="",对接源_02物料!$C925="",对接源_02物料!$C925&lt;&gt;$M$1,对接源_02物料!$B925=""),0,IF(OR(N(对接源_02物料!$B925)&lt;$M$2,N(对接源_02物料!$B925)&gt;$M$3),0,1))</f>
        <v>0</v>
      </c>
      <c r="N2125" s="3">
        <f>IF(OR($N$1="",对接源_02物料!$C925="",对接源_02物料!$C925&lt;&gt;$N$1,对接源_02物料!$B925=""),0,IF(OR(N(对接源_02物料!$B925)&lt;$N$2,N(对接源_02物料!$B925)&gt;$N$3),0,1))</f>
        <v>0</v>
      </c>
      <c r="P2125" s="3">
        <f>IF(AND($K2125=1,AND(对接源_02物料!$X925="公司筐",N(对接源_02物料!$T925)&lt;&gt;0)),1,0)</f>
        <v>0</v>
      </c>
      <c r="Q2125" s="3">
        <f t="shared" si="573"/>
        <v>8</v>
      </c>
      <c r="R2125" s="3">
        <f>IF(AND($K2125=1,AND(对接源_02物料!$X925="公司筐",N(对接源_02物料!$U925)&lt;&gt;0)),1,0)</f>
        <v>0</v>
      </c>
      <c r="S2125" s="3">
        <f t="shared" si="574"/>
        <v>0</v>
      </c>
      <c r="T2125" s="3">
        <f>IF(AND($K2125=1,AND(对接源_02物料!$X925="公司筐",N(对接源_02物料!$V925)&lt;&gt;0)),1,0)</f>
        <v>0</v>
      </c>
      <c r="U2125" s="3">
        <f t="shared" si="575"/>
        <v>19</v>
      </c>
      <c r="V2125" s="3">
        <f>IF(AND($L2125=1,AND(对接源_02物料!$X925="自备筐",N(对接源_02物料!$V925)&lt;&gt;0)),1,0)</f>
        <v>0</v>
      </c>
      <c r="W2125" s="3">
        <f t="shared" si="576"/>
        <v>8</v>
      </c>
      <c r="X2125" s="3">
        <f>IF(AND($L2125=1,AND(对接源_02物料!$X925="自备筐",N(对接源_02物料!$T925)&lt;&gt;0)),1,0)</f>
        <v>0</v>
      </c>
      <c r="Y2125" s="3">
        <f t="shared" si="577"/>
        <v>0</v>
      </c>
      <c r="Z2125" s="3">
        <f>IF(AND($M2125=1,对接源_02物料!$D925="原料入库"),1,0)</f>
        <v>0</v>
      </c>
      <c r="AA2125" s="3">
        <f t="shared" si="578"/>
        <v>24</v>
      </c>
      <c r="AB2125" s="3">
        <f>IF(AND($M2125=1,LEFT(对接源_02物料!$D925,4)="原料出库"),1,0)</f>
        <v>0</v>
      </c>
      <c r="AC2125" s="3">
        <f t="shared" si="579"/>
        <v>0</v>
      </c>
      <c r="AD2125" s="3">
        <f>IF(AND($M2125=1,LEFT(对接源_02物料!$D925,4)="成品出库"),1,0)</f>
        <v>0</v>
      </c>
      <c r="AE2125" s="3">
        <f t="shared" si="580"/>
        <v>0</v>
      </c>
      <c r="AF2125" s="3">
        <f>IF(AND($N2125=1,AND(LEFT(对接源_02物料!$D925,4)="包装物料",N(对接源_02物料!$K925)&lt;&gt;0)),1,0)</f>
        <v>0</v>
      </c>
      <c r="AG2125" s="3">
        <f t="shared" si="581"/>
        <v>5</v>
      </c>
      <c r="AH2125" s="3">
        <f>IF(AND($N2125=1,AND(对接源_02物料!$D925="周转筐－销售出库",N(对接源_02物料!$K925)&lt;&gt;0)),1,0)</f>
        <v>0</v>
      </c>
      <c r="AI2125" s="3">
        <f t="shared" si="582"/>
        <v>0</v>
      </c>
      <c r="AL2125" s="3">
        <v>0</v>
      </c>
      <c r="AM2125" s="3">
        <f t="shared" si="583"/>
        <v>1</v>
      </c>
      <c r="AN2125" s="3" t="str">
        <f t="shared" si="570"/>
        <v/>
      </c>
      <c r="AO2125" s="3">
        <v>0</v>
      </c>
      <c r="AP2125" s="3">
        <f t="shared" si="584"/>
        <v>8</v>
      </c>
      <c r="AR2125">
        <f t="shared" si="585"/>
        <v>0</v>
      </c>
      <c r="AS2125">
        <f t="shared" si="586"/>
        <v>5</v>
      </c>
    </row>
    <row r="2126" customHeight="1" spans="1:45">
      <c r="A2126" s="3" t="str">
        <f>IF(对接源_02物料!$C926="","",对接源_02物料!$C926)</f>
        <v/>
      </c>
      <c r="B2126" s="3">
        <f t="shared" si="571"/>
        <v>0</v>
      </c>
      <c r="C2126" s="3">
        <f t="shared" si="572"/>
        <v>21</v>
      </c>
      <c r="K2126" s="3">
        <f>IF(OR($K$1="",对接源_02物料!$C926="",对接源_02物料!$C926&lt;&gt;$K$1,对接源_02物料!$B926=""),0,IF(OR(N(对接源_02物料!$B926)&lt;$K$2,N(对接源_02物料!$B926)&gt;$K$3),0,1))</f>
        <v>0</v>
      </c>
      <c r="L2126" s="3">
        <f>IF(OR($L$1="",对接源_02物料!$C926="",对接源_02物料!$C926&lt;&gt;$L$1,对接源_02物料!$B926=""),0,IF(OR(N(对接源_02物料!$B926)&lt;$L$2,N(对接源_02物料!$B926)&gt;$L$3),0,1))</f>
        <v>0</v>
      </c>
      <c r="M2126" s="3">
        <f>IF(OR($M$1="",对接源_02物料!$C926="",对接源_02物料!$C926&lt;&gt;$M$1,对接源_02物料!$B926=""),0,IF(OR(N(对接源_02物料!$B926)&lt;$M$2,N(对接源_02物料!$B926)&gt;$M$3),0,1))</f>
        <v>0</v>
      </c>
      <c r="N2126" s="3">
        <f>IF(OR($N$1="",对接源_02物料!$C926="",对接源_02物料!$C926&lt;&gt;$N$1,对接源_02物料!$B926=""),0,IF(OR(N(对接源_02物料!$B926)&lt;$N$2,N(对接源_02物料!$B926)&gt;$N$3),0,1))</f>
        <v>0</v>
      </c>
      <c r="P2126" s="3">
        <f>IF(AND($K2126=1,AND(对接源_02物料!$X926="公司筐",N(对接源_02物料!$T926)&lt;&gt;0)),1,0)</f>
        <v>0</v>
      </c>
      <c r="Q2126" s="3">
        <f t="shared" si="573"/>
        <v>8</v>
      </c>
      <c r="R2126" s="3">
        <f>IF(AND($K2126=1,AND(对接源_02物料!$X926="公司筐",N(对接源_02物料!$U926)&lt;&gt;0)),1,0)</f>
        <v>0</v>
      </c>
      <c r="S2126" s="3">
        <f t="shared" si="574"/>
        <v>0</v>
      </c>
      <c r="T2126" s="3">
        <f>IF(AND($K2126=1,AND(对接源_02物料!$X926="公司筐",N(对接源_02物料!$V926)&lt;&gt;0)),1,0)</f>
        <v>0</v>
      </c>
      <c r="U2126" s="3">
        <f t="shared" si="575"/>
        <v>19</v>
      </c>
      <c r="V2126" s="3">
        <f>IF(AND($L2126=1,AND(对接源_02物料!$X926="自备筐",N(对接源_02物料!$V926)&lt;&gt;0)),1,0)</f>
        <v>0</v>
      </c>
      <c r="W2126" s="3">
        <f t="shared" si="576"/>
        <v>8</v>
      </c>
      <c r="X2126" s="3">
        <f>IF(AND($L2126=1,AND(对接源_02物料!$X926="自备筐",N(对接源_02物料!$T926)&lt;&gt;0)),1,0)</f>
        <v>0</v>
      </c>
      <c r="Y2126" s="3">
        <f t="shared" si="577"/>
        <v>0</v>
      </c>
      <c r="Z2126" s="3">
        <f>IF(AND($M2126=1,对接源_02物料!$D926="原料入库"),1,0)</f>
        <v>0</v>
      </c>
      <c r="AA2126" s="3">
        <f t="shared" si="578"/>
        <v>24</v>
      </c>
      <c r="AB2126" s="3">
        <f>IF(AND($M2126=1,LEFT(对接源_02物料!$D926,4)="原料出库"),1,0)</f>
        <v>0</v>
      </c>
      <c r="AC2126" s="3">
        <f t="shared" si="579"/>
        <v>0</v>
      </c>
      <c r="AD2126" s="3">
        <f>IF(AND($M2126=1,LEFT(对接源_02物料!$D926,4)="成品出库"),1,0)</f>
        <v>0</v>
      </c>
      <c r="AE2126" s="3">
        <f t="shared" si="580"/>
        <v>0</v>
      </c>
      <c r="AF2126" s="3">
        <f>IF(AND($N2126=1,AND(LEFT(对接源_02物料!$D926,4)="包装物料",N(对接源_02物料!$K926)&lt;&gt;0)),1,0)</f>
        <v>0</v>
      </c>
      <c r="AG2126" s="3">
        <f t="shared" si="581"/>
        <v>5</v>
      </c>
      <c r="AH2126" s="3">
        <f>IF(AND($N2126=1,AND(对接源_02物料!$D926="周转筐－销售出库",N(对接源_02物料!$K926)&lt;&gt;0)),1,0)</f>
        <v>0</v>
      </c>
      <c r="AI2126" s="3">
        <f t="shared" si="582"/>
        <v>0</v>
      </c>
      <c r="AL2126" s="3">
        <v>0</v>
      </c>
      <c r="AM2126" s="3">
        <f t="shared" si="583"/>
        <v>1</v>
      </c>
      <c r="AN2126" s="3" t="str">
        <f t="shared" si="570"/>
        <v/>
      </c>
      <c r="AO2126" s="3">
        <v>0</v>
      </c>
      <c r="AP2126" s="3">
        <f t="shared" si="584"/>
        <v>8</v>
      </c>
      <c r="AR2126">
        <f t="shared" si="585"/>
        <v>0</v>
      </c>
      <c r="AS2126">
        <f t="shared" si="586"/>
        <v>5</v>
      </c>
    </row>
    <row r="2127" customHeight="1" spans="1:45">
      <c r="A2127" s="3" t="str">
        <f>IF(对接源_02物料!$C927="","",对接源_02物料!$C927)</f>
        <v/>
      </c>
      <c r="B2127" s="3">
        <f t="shared" si="571"/>
        <v>0</v>
      </c>
      <c r="C2127" s="3">
        <f t="shared" si="572"/>
        <v>21</v>
      </c>
      <c r="K2127" s="3">
        <f>IF(OR($K$1="",对接源_02物料!$C927="",对接源_02物料!$C927&lt;&gt;$K$1,对接源_02物料!$B927=""),0,IF(OR(N(对接源_02物料!$B927)&lt;$K$2,N(对接源_02物料!$B927)&gt;$K$3),0,1))</f>
        <v>0</v>
      </c>
      <c r="L2127" s="3">
        <f>IF(OR($L$1="",对接源_02物料!$C927="",对接源_02物料!$C927&lt;&gt;$L$1,对接源_02物料!$B927=""),0,IF(OR(N(对接源_02物料!$B927)&lt;$L$2,N(对接源_02物料!$B927)&gt;$L$3),0,1))</f>
        <v>0</v>
      </c>
      <c r="M2127" s="3">
        <f>IF(OR($M$1="",对接源_02物料!$C927="",对接源_02物料!$C927&lt;&gt;$M$1,对接源_02物料!$B927=""),0,IF(OR(N(对接源_02物料!$B927)&lt;$M$2,N(对接源_02物料!$B927)&gt;$M$3),0,1))</f>
        <v>0</v>
      </c>
      <c r="N2127" s="3">
        <f>IF(OR($N$1="",对接源_02物料!$C927="",对接源_02物料!$C927&lt;&gt;$N$1,对接源_02物料!$B927=""),0,IF(OR(N(对接源_02物料!$B927)&lt;$N$2,N(对接源_02物料!$B927)&gt;$N$3),0,1))</f>
        <v>0</v>
      </c>
      <c r="P2127" s="3">
        <f>IF(AND($K2127=1,AND(对接源_02物料!$X927="公司筐",N(对接源_02物料!$T927)&lt;&gt;0)),1,0)</f>
        <v>0</v>
      </c>
      <c r="Q2127" s="3">
        <f t="shared" si="573"/>
        <v>8</v>
      </c>
      <c r="R2127" s="3">
        <f>IF(AND($K2127=1,AND(对接源_02物料!$X927="公司筐",N(对接源_02物料!$U927)&lt;&gt;0)),1,0)</f>
        <v>0</v>
      </c>
      <c r="S2127" s="3">
        <f t="shared" si="574"/>
        <v>0</v>
      </c>
      <c r="T2127" s="3">
        <f>IF(AND($K2127=1,AND(对接源_02物料!$X927="公司筐",N(对接源_02物料!$V927)&lt;&gt;0)),1,0)</f>
        <v>0</v>
      </c>
      <c r="U2127" s="3">
        <f t="shared" si="575"/>
        <v>19</v>
      </c>
      <c r="V2127" s="3">
        <f>IF(AND($L2127=1,AND(对接源_02物料!$X927="自备筐",N(对接源_02物料!$V927)&lt;&gt;0)),1,0)</f>
        <v>0</v>
      </c>
      <c r="W2127" s="3">
        <f t="shared" si="576"/>
        <v>8</v>
      </c>
      <c r="X2127" s="3">
        <f>IF(AND($L2127=1,AND(对接源_02物料!$X927="自备筐",N(对接源_02物料!$T927)&lt;&gt;0)),1,0)</f>
        <v>0</v>
      </c>
      <c r="Y2127" s="3">
        <f t="shared" si="577"/>
        <v>0</v>
      </c>
      <c r="Z2127" s="3">
        <f>IF(AND($M2127=1,对接源_02物料!$D927="原料入库"),1,0)</f>
        <v>0</v>
      </c>
      <c r="AA2127" s="3">
        <f t="shared" si="578"/>
        <v>24</v>
      </c>
      <c r="AB2127" s="3">
        <f>IF(AND($M2127=1,LEFT(对接源_02物料!$D927,4)="原料出库"),1,0)</f>
        <v>0</v>
      </c>
      <c r="AC2127" s="3">
        <f t="shared" si="579"/>
        <v>0</v>
      </c>
      <c r="AD2127" s="3">
        <f>IF(AND($M2127=1,LEFT(对接源_02物料!$D927,4)="成品出库"),1,0)</f>
        <v>0</v>
      </c>
      <c r="AE2127" s="3">
        <f t="shared" si="580"/>
        <v>0</v>
      </c>
      <c r="AF2127" s="3">
        <f>IF(AND($N2127=1,AND(LEFT(对接源_02物料!$D927,4)="包装物料",N(对接源_02物料!$K927)&lt;&gt;0)),1,0)</f>
        <v>0</v>
      </c>
      <c r="AG2127" s="3">
        <f t="shared" si="581"/>
        <v>5</v>
      </c>
      <c r="AH2127" s="3">
        <f>IF(AND($N2127=1,AND(对接源_02物料!$D927="周转筐－销售出库",N(对接源_02物料!$K927)&lt;&gt;0)),1,0)</f>
        <v>0</v>
      </c>
      <c r="AI2127" s="3">
        <f t="shared" si="582"/>
        <v>0</v>
      </c>
      <c r="AL2127" s="3">
        <v>0</v>
      </c>
      <c r="AM2127" s="3">
        <f t="shared" si="583"/>
        <v>1</v>
      </c>
      <c r="AN2127" s="3" t="str">
        <f t="shared" si="570"/>
        <v/>
      </c>
      <c r="AO2127" s="3">
        <v>0</v>
      </c>
      <c r="AP2127" s="3">
        <f t="shared" si="584"/>
        <v>8</v>
      </c>
      <c r="AR2127">
        <f t="shared" si="585"/>
        <v>0</v>
      </c>
      <c r="AS2127">
        <f t="shared" si="586"/>
        <v>5</v>
      </c>
    </row>
    <row r="2128" customHeight="1" spans="1:45">
      <c r="A2128" s="3" t="str">
        <f>IF(对接源_02物料!$C928="","",对接源_02物料!$C928)</f>
        <v/>
      </c>
      <c r="B2128" s="3">
        <f t="shared" si="571"/>
        <v>0</v>
      </c>
      <c r="C2128" s="3">
        <f t="shared" si="572"/>
        <v>21</v>
      </c>
      <c r="K2128" s="3">
        <f>IF(OR($K$1="",对接源_02物料!$C928="",对接源_02物料!$C928&lt;&gt;$K$1,对接源_02物料!$B928=""),0,IF(OR(N(对接源_02物料!$B928)&lt;$K$2,N(对接源_02物料!$B928)&gt;$K$3),0,1))</f>
        <v>0</v>
      </c>
      <c r="L2128" s="3">
        <f>IF(OR($L$1="",对接源_02物料!$C928="",对接源_02物料!$C928&lt;&gt;$L$1,对接源_02物料!$B928=""),0,IF(OR(N(对接源_02物料!$B928)&lt;$L$2,N(对接源_02物料!$B928)&gt;$L$3),0,1))</f>
        <v>0</v>
      </c>
      <c r="M2128" s="3">
        <f>IF(OR($M$1="",对接源_02物料!$C928="",对接源_02物料!$C928&lt;&gt;$M$1,对接源_02物料!$B928=""),0,IF(OR(N(对接源_02物料!$B928)&lt;$M$2,N(对接源_02物料!$B928)&gt;$M$3),0,1))</f>
        <v>0</v>
      </c>
      <c r="N2128" s="3">
        <f>IF(OR($N$1="",对接源_02物料!$C928="",对接源_02物料!$C928&lt;&gt;$N$1,对接源_02物料!$B928=""),0,IF(OR(N(对接源_02物料!$B928)&lt;$N$2,N(对接源_02物料!$B928)&gt;$N$3),0,1))</f>
        <v>0</v>
      </c>
      <c r="P2128" s="3">
        <f>IF(AND($K2128=1,AND(对接源_02物料!$X928="公司筐",N(对接源_02物料!$T928)&lt;&gt;0)),1,0)</f>
        <v>0</v>
      </c>
      <c r="Q2128" s="3">
        <f t="shared" si="573"/>
        <v>8</v>
      </c>
      <c r="R2128" s="3">
        <f>IF(AND($K2128=1,AND(对接源_02物料!$X928="公司筐",N(对接源_02物料!$U928)&lt;&gt;0)),1,0)</f>
        <v>0</v>
      </c>
      <c r="S2128" s="3">
        <f t="shared" si="574"/>
        <v>0</v>
      </c>
      <c r="T2128" s="3">
        <f>IF(AND($K2128=1,AND(对接源_02物料!$X928="公司筐",N(对接源_02物料!$V928)&lt;&gt;0)),1,0)</f>
        <v>0</v>
      </c>
      <c r="U2128" s="3">
        <f t="shared" si="575"/>
        <v>19</v>
      </c>
      <c r="V2128" s="3">
        <f>IF(AND($L2128=1,AND(对接源_02物料!$X928="自备筐",N(对接源_02物料!$V928)&lt;&gt;0)),1,0)</f>
        <v>0</v>
      </c>
      <c r="W2128" s="3">
        <f t="shared" si="576"/>
        <v>8</v>
      </c>
      <c r="X2128" s="3">
        <f>IF(AND($L2128=1,AND(对接源_02物料!$X928="自备筐",N(对接源_02物料!$T928)&lt;&gt;0)),1,0)</f>
        <v>0</v>
      </c>
      <c r="Y2128" s="3">
        <f t="shared" si="577"/>
        <v>0</v>
      </c>
      <c r="Z2128" s="3">
        <f>IF(AND($M2128=1,对接源_02物料!$D928="原料入库"),1,0)</f>
        <v>0</v>
      </c>
      <c r="AA2128" s="3">
        <f t="shared" si="578"/>
        <v>24</v>
      </c>
      <c r="AB2128" s="3">
        <f>IF(AND($M2128=1,LEFT(对接源_02物料!$D928,4)="原料出库"),1,0)</f>
        <v>0</v>
      </c>
      <c r="AC2128" s="3">
        <f t="shared" si="579"/>
        <v>0</v>
      </c>
      <c r="AD2128" s="3">
        <f>IF(AND($M2128=1,LEFT(对接源_02物料!$D928,4)="成品出库"),1,0)</f>
        <v>0</v>
      </c>
      <c r="AE2128" s="3">
        <f t="shared" si="580"/>
        <v>0</v>
      </c>
      <c r="AF2128" s="3">
        <f>IF(AND($N2128=1,AND(LEFT(对接源_02物料!$D928,4)="包装物料",N(对接源_02物料!$K928)&lt;&gt;0)),1,0)</f>
        <v>0</v>
      </c>
      <c r="AG2128" s="3">
        <f t="shared" si="581"/>
        <v>5</v>
      </c>
      <c r="AH2128" s="3">
        <f>IF(AND($N2128=1,AND(对接源_02物料!$D928="周转筐－销售出库",N(对接源_02物料!$K928)&lt;&gt;0)),1,0)</f>
        <v>0</v>
      </c>
      <c r="AI2128" s="3">
        <f t="shared" si="582"/>
        <v>0</v>
      </c>
      <c r="AL2128" s="3">
        <v>0</v>
      </c>
      <c r="AM2128" s="3">
        <f t="shared" si="583"/>
        <v>1</v>
      </c>
      <c r="AN2128" s="3" t="str">
        <f t="shared" si="570"/>
        <v/>
      </c>
      <c r="AO2128" s="3">
        <v>0</v>
      </c>
      <c r="AP2128" s="3">
        <f t="shared" si="584"/>
        <v>8</v>
      </c>
      <c r="AR2128">
        <f t="shared" si="585"/>
        <v>0</v>
      </c>
      <c r="AS2128">
        <f t="shared" si="586"/>
        <v>5</v>
      </c>
    </row>
    <row r="2129" customHeight="1" spans="1:45">
      <c r="A2129" s="3" t="str">
        <f>IF(对接源_02物料!$C929="","",对接源_02物料!$C929)</f>
        <v/>
      </c>
      <c r="B2129" s="3">
        <f t="shared" si="571"/>
        <v>0</v>
      </c>
      <c r="C2129" s="3">
        <f t="shared" si="572"/>
        <v>21</v>
      </c>
      <c r="K2129" s="3">
        <f>IF(OR($K$1="",对接源_02物料!$C929="",对接源_02物料!$C929&lt;&gt;$K$1,对接源_02物料!$B929=""),0,IF(OR(N(对接源_02物料!$B929)&lt;$K$2,N(对接源_02物料!$B929)&gt;$K$3),0,1))</f>
        <v>0</v>
      </c>
      <c r="L2129" s="3">
        <f>IF(OR($L$1="",对接源_02物料!$C929="",对接源_02物料!$C929&lt;&gt;$L$1,对接源_02物料!$B929=""),0,IF(OR(N(对接源_02物料!$B929)&lt;$L$2,N(对接源_02物料!$B929)&gt;$L$3),0,1))</f>
        <v>0</v>
      </c>
      <c r="M2129" s="3">
        <f>IF(OR($M$1="",对接源_02物料!$C929="",对接源_02物料!$C929&lt;&gt;$M$1,对接源_02物料!$B929=""),0,IF(OR(N(对接源_02物料!$B929)&lt;$M$2,N(对接源_02物料!$B929)&gt;$M$3),0,1))</f>
        <v>0</v>
      </c>
      <c r="N2129" s="3">
        <f>IF(OR($N$1="",对接源_02物料!$C929="",对接源_02物料!$C929&lt;&gt;$N$1,对接源_02物料!$B929=""),0,IF(OR(N(对接源_02物料!$B929)&lt;$N$2,N(对接源_02物料!$B929)&gt;$N$3),0,1))</f>
        <v>0</v>
      </c>
      <c r="P2129" s="3">
        <f>IF(AND($K2129=1,AND(对接源_02物料!$X929="公司筐",N(对接源_02物料!$T929)&lt;&gt;0)),1,0)</f>
        <v>0</v>
      </c>
      <c r="Q2129" s="3">
        <f t="shared" si="573"/>
        <v>8</v>
      </c>
      <c r="R2129" s="3">
        <f>IF(AND($K2129=1,AND(对接源_02物料!$X929="公司筐",N(对接源_02物料!$U929)&lt;&gt;0)),1,0)</f>
        <v>0</v>
      </c>
      <c r="S2129" s="3">
        <f t="shared" si="574"/>
        <v>0</v>
      </c>
      <c r="T2129" s="3">
        <f>IF(AND($K2129=1,AND(对接源_02物料!$X929="公司筐",N(对接源_02物料!$V929)&lt;&gt;0)),1,0)</f>
        <v>0</v>
      </c>
      <c r="U2129" s="3">
        <f t="shared" si="575"/>
        <v>19</v>
      </c>
      <c r="V2129" s="3">
        <f>IF(AND($L2129=1,AND(对接源_02物料!$X929="自备筐",N(对接源_02物料!$V929)&lt;&gt;0)),1,0)</f>
        <v>0</v>
      </c>
      <c r="W2129" s="3">
        <f t="shared" si="576"/>
        <v>8</v>
      </c>
      <c r="X2129" s="3">
        <f>IF(AND($L2129=1,AND(对接源_02物料!$X929="自备筐",N(对接源_02物料!$T929)&lt;&gt;0)),1,0)</f>
        <v>0</v>
      </c>
      <c r="Y2129" s="3">
        <f t="shared" si="577"/>
        <v>0</v>
      </c>
      <c r="Z2129" s="3">
        <f>IF(AND($M2129=1,对接源_02物料!$D929="原料入库"),1,0)</f>
        <v>0</v>
      </c>
      <c r="AA2129" s="3">
        <f t="shared" si="578"/>
        <v>24</v>
      </c>
      <c r="AB2129" s="3">
        <f>IF(AND($M2129=1,LEFT(对接源_02物料!$D929,4)="原料出库"),1,0)</f>
        <v>0</v>
      </c>
      <c r="AC2129" s="3">
        <f t="shared" si="579"/>
        <v>0</v>
      </c>
      <c r="AD2129" s="3">
        <f>IF(AND($M2129=1,LEFT(对接源_02物料!$D929,4)="成品出库"),1,0)</f>
        <v>0</v>
      </c>
      <c r="AE2129" s="3">
        <f t="shared" si="580"/>
        <v>0</v>
      </c>
      <c r="AF2129" s="3">
        <f>IF(AND($N2129=1,AND(LEFT(对接源_02物料!$D929,4)="包装物料",N(对接源_02物料!$K929)&lt;&gt;0)),1,0)</f>
        <v>0</v>
      </c>
      <c r="AG2129" s="3">
        <f t="shared" si="581"/>
        <v>5</v>
      </c>
      <c r="AH2129" s="3">
        <f>IF(AND($N2129=1,AND(对接源_02物料!$D929="周转筐－销售出库",N(对接源_02物料!$K929)&lt;&gt;0)),1,0)</f>
        <v>0</v>
      </c>
      <c r="AI2129" s="3">
        <f t="shared" si="582"/>
        <v>0</v>
      </c>
      <c r="AL2129" s="3">
        <v>0</v>
      </c>
      <c r="AM2129" s="3">
        <f t="shared" si="583"/>
        <v>1</v>
      </c>
      <c r="AN2129" s="3" t="str">
        <f t="shared" si="570"/>
        <v/>
      </c>
      <c r="AO2129" s="3">
        <v>0</v>
      </c>
      <c r="AP2129" s="3">
        <f t="shared" si="584"/>
        <v>8</v>
      </c>
      <c r="AR2129">
        <f t="shared" si="585"/>
        <v>0</v>
      </c>
      <c r="AS2129">
        <f t="shared" si="586"/>
        <v>5</v>
      </c>
    </row>
    <row r="2130" customHeight="1" spans="1:45">
      <c r="A2130" s="3" t="str">
        <f>IF(对接源_02物料!$C930="","",对接源_02物料!$C930)</f>
        <v/>
      </c>
      <c r="B2130" s="3">
        <f t="shared" si="571"/>
        <v>0</v>
      </c>
      <c r="C2130" s="3">
        <f t="shared" si="572"/>
        <v>21</v>
      </c>
      <c r="K2130" s="3">
        <f>IF(OR($K$1="",对接源_02物料!$C930="",对接源_02物料!$C930&lt;&gt;$K$1,对接源_02物料!$B930=""),0,IF(OR(N(对接源_02物料!$B930)&lt;$K$2,N(对接源_02物料!$B930)&gt;$K$3),0,1))</f>
        <v>0</v>
      </c>
      <c r="L2130" s="3">
        <f>IF(OR($L$1="",对接源_02物料!$C930="",对接源_02物料!$C930&lt;&gt;$L$1,对接源_02物料!$B930=""),0,IF(OR(N(对接源_02物料!$B930)&lt;$L$2,N(对接源_02物料!$B930)&gt;$L$3),0,1))</f>
        <v>0</v>
      </c>
      <c r="M2130" s="3">
        <f>IF(OR($M$1="",对接源_02物料!$C930="",对接源_02物料!$C930&lt;&gt;$M$1,对接源_02物料!$B930=""),0,IF(OR(N(对接源_02物料!$B930)&lt;$M$2,N(对接源_02物料!$B930)&gt;$M$3),0,1))</f>
        <v>0</v>
      </c>
      <c r="N2130" s="3">
        <f>IF(OR($N$1="",对接源_02物料!$C930="",对接源_02物料!$C930&lt;&gt;$N$1,对接源_02物料!$B930=""),0,IF(OR(N(对接源_02物料!$B930)&lt;$N$2,N(对接源_02物料!$B930)&gt;$N$3),0,1))</f>
        <v>0</v>
      </c>
      <c r="P2130" s="3">
        <f>IF(AND($K2130=1,AND(对接源_02物料!$X930="公司筐",N(对接源_02物料!$T930)&lt;&gt;0)),1,0)</f>
        <v>0</v>
      </c>
      <c r="Q2130" s="3">
        <f t="shared" si="573"/>
        <v>8</v>
      </c>
      <c r="R2130" s="3">
        <f>IF(AND($K2130=1,AND(对接源_02物料!$X930="公司筐",N(对接源_02物料!$U930)&lt;&gt;0)),1,0)</f>
        <v>0</v>
      </c>
      <c r="S2130" s="3">
        <f t="shared" si="574"/>
        <v>0</v>
      </c>
      <c r="T2130" s="3">
        <f>IF(AND($K2130=1,AND(对接源_02物料!$X930="公司筐",N(对接源_02物料!$V930)&lt;&gt;0)),1,0)</f>
        <v>0</v>
      </c>
      <c r="U2130" s="3">
        <f t="shared" si="575"/>
        <v>19</v>
      </c>
      <c r="V2130" s="3">
        <f>IF(AND($L2130=1,AND(对接源_02物料!$X930="自备筐",N(对接源_02物料!$V930)&lt;&gt;0)),1,0)</f>
        <v>0</v>
      </c>
      <c r="W2130" s="3">
        <f t="shared" si="576"/>
        <v>8</v>
      </c>
      <c r="X2130" s="3">
        <f>IF(AND($L2130=1,AND(对接源_02物料!$X930="自备筐",N(对接源_02物料!$T930)&lt;&gt;0)),1,0)</f>
        <v>0</v>
      </c>
      <c r="Y2130" s="3">
        <f t="shared" si="577"/>
        <v>0</v>
      </c>
      <c r="Z2130" s="3">
        <f>IF(AND($M2130=1,对接源_02物料!$D930="原料入库"),1,0)</f>
        <v>0</v>
      </c>
      <c r="AA2130" s="3">
        <f t="shared" si="578"/>
        <v>24</v>
      </c>
      <c r="AB2130" s="3">
        <f>IF(AND($M2130=1,LEFT(对接源_02物料!$D930,4)="原料出库"),1,0)</f>
        <v>0</v>
      </c>
      <c r="AC2130" s="3">
        <f t="shared" si="579"/>
        <v>0</v>
      </c>
      <c r="AD2130" s="3">
        <f>IF(AND($M2130=1,LEFT(对接源_02物料!$D930,4)="成品出库"),1,0)</f>
        <v>0</v>
      </c>
      <c r="AE2130" s="3">
        <f t="shared" si="580"/>
        <v>0</v>
      </c>
      <c r="AF2130" s="3">
        <f>IF(AND($N2130=1,AND(LEFT(对接源_02物料!$D930,4)="包装物料",N(对接源_02物料!$K930)&lt;&gt;0)),1,0)</f>
        <v>0</v>
      </c>
      <c r="AG2130" s="3">
        <f t="shared" si="581"/>
        <v>5</v>
      </c>
      <c r="AH2130" s="3">
        <f>IF(AND($N2130=1,AND(对接源_02物料!$D930="周转筐－销售出库",N(对接源_02物料!$K930)&lt;&gt;0)),1,0)</f>
        <v>0</v>
      </c>
      <c r="AI2130" s="3">
        <f t="shared" si="582"/>
        <v>0</v>
      </c>
      <c r="AL2130" s="3">
        <v>0</v>
      </c>
      <c r="AM2130" s="3">
        <f t="shared" si="583"/>
        <v>1</v>
      </c>
      <c r="AN2130" s="3" t="str">
        <f t="shared" si="570"/>
        <v/>
      </c>
      <c r="AO2130" s="3">
        <v>0</v>
      </c>
      <c r="AP2130" s="3">
        <f t="shared" si="584"/>
        <v>8</v>
      </c>
      <c r="AR2130">
        <f t="shared" si="585"/>
        <v>0</v>
      </c>
      <c r="AS2130">
        <f t="shared" si="586"/>
        <v>5</v>
      </c>
    </row>
    <row r="2131" customHeight="1" spans="1:45">
      <c r="A2131" s="3" t="str">
        <f>IF(对接源_02物料!$C931="","",对接源_02物料!$C931)</f>
        <v/>
      </c>
      <c r="B2131" s="3">
        <f t="shared" si="571"/>
        <v>0</v>
      </c>
      <c r="C2131" s="3">
        <f t="shared" si="572"/>
        <v>21</v>
      </c>
      <c r="K2131" s="3">
        <f>IF(OR($K$1="",对接源_02物料!$C931="",对接源_02物料!$C931&lt;&gt;$K$1,对接源_02物料!$B931=""),0,IF(OR(N(对接源_02物料!$B931)&lt;$K$2,N(对接源_02物料!$B931)&gt;$K$3),0,1))</f>
        <v>0</v>
      </c>
      <c r="L2131" s="3">
        <f>IF(OR($L$1="",对接源_02物料!$C931="",对接源_02物料!$C931&lt;&gt;$L$1,对接源_02物料!$B931=""),0,IF(OR(N(对接源_02物料!$B931)&lt;$L$2,N(对接源_02物料!$B931)&gt;$L$3),0,1))</f>
        <v>0</v>
      </c>
      <c r="M2131" s="3">
        <f>IF(OR($M$1="",对接源_02物料!$C931="",对接源_02物料!$C931&lt;&gt;$M$1,对接源_02物料!$B931=""),0,IF(OR(N(对接源_02物料!$B931)&lt;$M$2,N(对接源_02物料!$B931)&gt;$M$3),0,1))</f>
        <v>0</v>
      </c>
      <c r="N2131" s="3">
        <f>IF(OR($N$1="",对接源_02物料!$C931="",对接源_02物料!$C931&lt;&gt;$N$1,对接源_02物料!$B931=""),0,IF(OR(N(对接源_02物料!$B931)&lt;$N$2,N(对接源_02物料!$B931)&gt;$N$3),0,1))</f>
        <v>0</v>
      </c>
      <c r="P2131" s="3">
        <f>IF(AND($K2131=1,AND(对接源_02物料!$X931="公司筐",N(对接源_02物料!$T931)&lt;&gt;0)),1,0)</f>
        <v>0</v>
      </c>
      <c r="Q2131" s="3">
        <f t="shared" si="573"/>
        <v>8</v>
      </c>
      <c r="R2131" s="3">
        <f>IF(AND($K2131=1,AND(对接源_02物料!$X931="公司筐",N(对接源_02物料!$U931)&lt;&gt;0)),1,0)</f>
        <v>0</v>
      </c>
      <c r="S2131" s="3">
        <f t="shared" si="574"/>
        <v>0</v>
      </c>
      <c r="T2131" s="3">
        <f>IF(AND($K2131=1,AND(对接源_02物料!$X931="公司筐",N(对接源_02物料!$V931)&lt;&gt;0)),1,0)</f>
        <v>0</v>
      </c>
      <c r="U2131" s="3">
        <f t="shared" si="575"/>
        <v>19</v>
      </c>
      <c r="V2131" s="3">
        <f>IF(AND($L2131=1,AND(对接源_02物料!$X931="自备筐",N(对接源_02物料!$V931)&lt;&gt;0)),1,0)</f>
        <v>0</v>
      </c>
      <c r="W2131" s="3">
        <f t="shared" si="576"/>
        <v>8</v>
      </c>
      <c r="X2131" s="3">
        <f>IF(AND($L2131=1,AND(对接源_02物料!$X931="自备筐",N(对接源_02物料!$T931)&lt;&gt;0)),1,0)</f>
        <v>0</v>
      </c>
      <c r="Y2131" s="3">
        <f t="shared" si="577"/>
        <v>0</v>
      </c>
      <c r="Z2131" s="3">
        <f>IF(AND($M2131=1,对接源_02物料!$D931="原料入库"),1,0)</f>
        <v>0</v>
      </c>
      <c r="AA2131" s="3">
        <f t="shared" si="578"/>
        <v>24</v>
      </c>
      <c r="AB2131" s="3">
        <f>IF(AND($M2131=1,LEFT(对接源_02物料!$D931,4)="原料出库"),1,0)</f>
        <v>0</v>
      </c>
      <c r="AC2131" s="3">
        <f t="shared" si="579"/>
        <v>0</v>
      </c>
      <c r="AD2131" s="3">
        <f>IF(AND($M2131=1,LEFT(对接源_02物料!$D931,4)="成品出库"),1,0)</f>
        <v>0</v>
      </c>
      <c r="AE2131" s="3">
        <f t="shared" si="580"/>
        <v>0</v>
      </c>
      <c r="AF2131" s="3">
        <f>IF(AND($N2131=1,AND(LEFT(对接源_02物料!$D931,4)="包装物料",N(对接源_02物料!$K931)&lt;&gt;0)),1,0)</f>
        <v>0</v>
      </c>
      <c r="AG2131" s="3">
        <f t="shared" si="581"/>
        <v>5</v>
      </c>
      <c r="AH2131" s="3">
        <f>IF(AND($N2131=1,AND(对接源_02物料!$D931="周转筐－销售出库",N(对接源_02物料!$K931)&lt;&gt;0)),1,0)</f>
        <v>0</v>
      </c>
      <c r="AI2131" s="3">
        <f t="shared" si="582"/>
        <v>0</v>
      </c>
      <c r="AL2131" s="3">
        <v>0</v>
      </c>
      <c r="AM2131" s="3">
        <f t="shared" si="583"/>
        <v>1</v>
      </c>
      <c r="AN2131" s="3" t="str">
        <f t="shared" si="570"/>
        <v/>
      </c>
      <c r="AO2131" s="3">
        <v>0</v>
      </c>
      <c r="AP2131" s="3">
        <f t="shared" si="584"/>
        <v>8</v>
      </c>
      <c r="AR2131">
        <f t="shared" si="585"/>
        <v>0</v>
      </c>
      <c r="AS2131">
        <f t="shared" si="586"/>
        <v>5</v>
      </c>
    </row>
    <row r="2132" customHeight="1" spans="1:45">
      <c r="A2132" s="3" t="str">
        <f>IF(对接源_02物料!$C932="","",对接源_02物料!$C932)</f>
        <v/>
      </c>
      <c r="B2132" s="3">
        <f t="shared" si="571"/>
        <v>0</v>
      </c>
      <c r="C2132" s="3">
        <f t="shared" si="572"/>
        <v>21</v>
      </c>
      <c r="K2132" s="3">
        <f>IF(OR($K$1="",对接源_02物料!$C932="",对接源_02物料!$C932&lt;&gt;$K$1,对接源_02物料!$B932=""),0,IF(OR(N(对接源_02物料!$B932)&lt;$K$2,N(对接源_02物料!$B932)&gt;$K$3),0,1))</f>
        <v>0</v>
      </c>
      <c r="L2132" s="3">
        <f>IF(OR($L$1="",对接源_02物料!$C932="",对接源_02物料!$C932&lt;&gt;$L$1,对接源_02物料!$B932=""),0,IF(OR(N(对接源_02物料!$B932)&lt;$L$2,N(对接源_02物料!$B932)&gt;$L$3),0,1))</f>
        <v>0</v>
      </c>
      <c r="M2132" s="3">
        <f>IF(OR($M$1="",对接源_02物料!$C932="",对接源_02物料!$C932&lt;&gt;$M$1,对接源_02物料!$B932=""),0,IF(OR(N(对接源_02物料!$B932)&lt;$M$2,N(对接源_02物料!$B932)&gt;$M$3),0,1))</f>
        <v>0</v>
      </c>
      <c r="N2132" s="3">
        <f>IF(OR($N$1="",对接源_02物料!$C932="",对接源_02物料!$C932&lt;&gt;$N$1,对接源_02物料!$B932=""),0,IF(OR(N(对接源_02物料!$B932)&lt;$N$2,N(对接源_02物料!$B932)&gt;$N$3),0,1))</f>
        <v>0</v>
      </c>
      <c r="P2132" s="3">
        <f>IF(AND($K2132=1,AND(对接源_02物料!$X932="公司筐",N(对接源_02物料!$T932)&lt;&gt;0)),1,0)</f>
        <v>0</v>
      </c>
      <c r="Q2132" s="3">
        <f t="shared" si="573"/>
        <v>8</v>
      </c>
      <c r="R2132" s="3">
        <f>IF(AND($K2132=1,AND(对接源_02物料!$X932="公司筐",N(对接源_02物料!$U932)&lt;&gt;0)),1,0)</f>
        <v>0</v>
      </c>
      <c r="S2132" s="3">
        <f t="shared" si="574"/>
        <v>0</v>
      </c>
      <c r="T2132" s="3">
        <f>IF(AND($K2132=1,AND(对接源_02物料!$X932="公司筐",N(对接源_02物料!$V932)&lt;&gt;0)),1,0)</f>
        <v>0</v>
      </c>
      <c r="U2132" s="3">
        <f t="shared" si="575"/>
        <v>19</v>
      </c>
      <c r="V2132" s="3">
        <f>IF(AND($L2132=1,AND(对接源_02物料!$X932="自备筐",N(对接源_02物料!$V932)&lt;&gt;0)),1,0)</f>
        <v>0</v>
      </c>
      <c r="W2132" s="3">
        <f t="shared" si="576"/>
        <v>8</v>
      </c>
      <c r="X2132" s="3">
        <f>IF(AND($L2132=1,AND(对接源_02物料!$X932="自备筐",N(对接源_02物料!$T932)&lt;&gt;0)),1,0)</f>
        <v>0</v>
      </c>
      <c r="Y2132" s="3">
        <f t="shared" si="577"/>
        <v>0</v>
      </c>
      <c r="Z2132" s="3">
        <f>IF(AND($M2132=1,对接源_02物料!$D932="原料入库"),1,0)</f>
        <v>0</v>
      </c>
      <c r="AA2132" s="3">
        <f t="shared" si="578"/>
        <v>24</v>
      </c>
      <c r="AB2132" s="3">
        <f>IF(AND($M2132=1,LEFT(对接源_02物料!$D932,4)="原料出库"),1,0)</f>
        <v>0</v>
      </c>
      <c r="AC2132" s="3">
        <f t="shared" si="579"/>
        <v>0</v>
      </c>
      <c r="AD2132" s="3">
        <f>IF(AND($M2132=1,LEFT(对接源_02物料!$D932,4)="成品出库"),1,0)</f>
        <v>0</v>
      </c>
      <c r="AE2132" s="3">
        <f t="shared" si="580"/>
        <v>0</v>
      </c>
      <c r="AF2132" s="3">
        <f>IF(AND($N2132=1,AND(LEFT(对接源_02物料!$D932,4)="包装物料",N(对接源_02物料!$K932)&lt;&gt;0)),1,0)</f>
        <v>0</v>
      </c>
      <c r="AG2132" s="3">
        <f t="shared" si="581"/>
        <v>5</v>
      </c>
      <c r="AH2132" s="3">
        <f>IF(AND($N2132=1,AND(对接源_02物料!$D932="周转筐－销售出库",N(对接源_02物料!$K932)&lt;&gt;0)),1,0)</f>
        <v>0</v>
      </c>
      <c r="AI2132" s="3">
        <f t="shared" si="582"/>
        <v>0</v>
      </c>
      <c r="AL2132" s="3">
        <v>0</v>
      </c>
      <c r="AM2132" s="3">
        <f t="shared" si="583"/>
        <v>1</v>
      </c>
      <c r="AN2132" s="3" t="str">
        <f t="shared" si="570"/>
        <v/>
      </c>
      <c r="AO2132" s="3">
        <v>0</v>
      </c>
      <c r="AP2132" s="3">
        <f t="shared" si="584"/>
        <v>8</v>
      </c>
      <c r="AR2132">
        <f t="shared" si="585"/>
        <v>0</v>
      </c>
      <c r="AS2132">
        <f t="shared" si="586"/>
        <v>5</v>
      </c>
    </row>
    <row r="2133" customHeight="1" spans="1:45">
      <c r="A2133" s="3" t="str">
        <f>IF(对接源_02物料!$C933="","",对接源_02物料!$C933)</f>
        <v/>
      </c>
      <c r="B2133" s="3">
        <f t="shared" si="571"/>
        <v>0</v>
      </c>
      <c r="C2133" s="3">
        <f t="shared" si="572"/>
        <v>21</v>
      </c>
      <c r="K2133" s="3">
        <f>IF(OR($K$1="",对接源_02物料!$C933="",对接源_02物料!$C933&lt;&gt;$K$1,对接源_02物料!$B933=""),0,IF(OR(N(对接源_02物料!$B933)&lt;$K$2,N(对接源_02物料!$B933)&gt;$K$3),0,1))</f>
        <v>0</v>
      </c>
      <c r="L2133" s="3">
        <f>IF(OR($L$1="",对接源_02物料!$C933="",对接源_02物料!$C933&lt;&gt;$L$1,对接源_02物料!$B933=""),0,IF(OR(N(对接源_02物料!$B933)&lt;$L$2,N(对接源_02物料!$B933)&gt;$L$3),0,1))</f>
        <v>0</v>
      </c>
      <c r="M2133" s="3">
        <f>IF(OR($M$1="",对接源_02物料!$C933="",对接源_02物料!$C933&lt;&gt;$M$1,对接源_02物料!$B933=""),0,IF(OR(N(对接源_02物料!$B933)&lt;$M$2,N(对接源_02物料!$B933)&gt;$M$3),0,1))</f>
        <v>0</v>
      </c>
      <c r="N2133" s="3">
        <f>IF(OR($N$1="",对接源_02物料!$C933="",对接源_02物料!$C933&lt;&gt;$N$1,对接源_02物料!$B933=""),0,IF(OR(N(对接源_02物料!$B933)&lt;$N$2,N(对接源_02物料!$B933)&gt;$N$3),0,1))</f>
        <v>0</v>
      </c>
      <c r="P2133" s="3">
        <f>IF(AND($K2133=1,AND(对接源_02物料!$X933="公司筐",N(对接源_02物料!$T933)&lt;&gt;0)),1,0)</f>
        <v>0</v>
      </c>
      <c r="Q2133" s="3">
        <f t="shared" si="573"/>
        <v>8</v>
      </c>
      <c r="R2133" s="3">
        <f>IF(AND($K2133=1,AND(对接源_02物料!$X933="公司筐",N(对接源_02物料!$U933)&lt;&gt;0)),1,0)</f>
        <v>0</v>
      </c>
      <c r="S2133" s="3">
        <f t="shared" si="574"/>
        <v>0</v>
      </c>
      <c r="T2133" s="3">
        <f>IF(AND($K2133=1,AND(对接源_02物料!$X933="公司筐",N(对接源_02物料!$V933)&lt;&gt;0)),1,0)</f>
        <v>0</v>
      </c>
      <c r="U2133" s="3">
        <f t="shared" si="575"/>
        <v>19</v>
      </c>
      <c r="V2133" s="3">
        <f>IF(AND($L2133=1,AND(对接源_02物料!$X933="自备筐",N(对接源_02物料!$V933)&lt;&gt;0)),1,0)</f>
        <v>0</v>
      </c>
      <c r="W2133" s="3">
        <f t="shared" si="576"/>
        <v>8</v>
      </c>
      <c r="X2133" s="3">
        <f>IF(AND($L2133=1,AND(对接源_02物料!$X933="自备筐",N(对接源_02物料!$T933)&lt;&gt;0)),1,0)</f>
        <v>0</v>
      </c>
      <c r="Y2133" s="3">
        <f t="shared" si="577"/>
        <v>0</v>
      </c>
      <c r="Z2133" s="3">
        <f>IF(AND($M2133=1,对接源_02物料!$D933="原料入库"),1,0)</f>
        <v>0</v>
      </c>
      <c r="AA2133" s="3">
        <f t="shared" si="578"/>
        <v>24</v>
      </c>
      <c r="AB2133" s="3">
        <f>IF(AND($M2133=1,LEFT(对接源_02物料!$D933,4)="原料出库"),1,0)</f>
        <v>0</v>
      </c>
      <c r="AC2133" s="3">
        <f t="shared" si="579"/>
        <v>0</v>
      </c>
      <c r="AD2133" s="3">
        <f>IF(AND($M2133=1,LEFT(对接源_02物料!$D933,4)="成品出库"),1,0)</f>
        <v>0</v>
      </c>
      <c r="AE2133" s="3">
        <f t="shared" si="580"/>
        <v>0</v>
      </c>
      <c r="AF2133" s="3">
        <f>IF(AND($N2133=1,AND(LEFT(对接源_02物料!$D933,4)="包装物料",N(对接源_02物料!$K933)&lt;&gt;0)),1,0)</f>
        <v>0</v>
      </c>
      <c r="AG2133" s="3">
        <f t="shared" si="581"/>
        <v>5</v>
      </c>
      <c r="AH2133" s="3">
        <f>IF(AND($N2133=1,AND(对接源_02物料!$D933="周转筐－销售出库",N(对接源_02物料!$K933)&lt;&gt;0)),1,0)</f>
        <v>0</v>
      </c>
      <c r="AI2133" s="3">
        <f t="shared" si="582"/>
        <v>0</v>
      </c>
      <c r="AL2133" s="3">
        <v>0</v>
      </c>
      <c r="AM2133" s="3">
        <f t="shared" si="583"/>
        <v>1</v>
      </c>
      <c r="AN2133" s="3" t="str">
        <f t="shared" si="570"/>
        <v/>
      </c>
      <c r="AO2133" s="3">
        <v>0</v>
      </c>
      <c r="AP2133" s="3">
        <f t="shared" si="584"/>
        <v>8</v>
      </c>
      <c r="AR2133">
        <f t="shared" si="585"/>
        <v>0</v>
      </c>
      <c r="AS2133">
        <f t="shared" si="586"/>
        <v>5</v>
      </c>
    </row>
    <row r="2134" customHeight="1" spans="1:45">
      <c r="A2134" s="3" t="str">
        <f>IF(对接源_02物料!$C934="","",对接源_02物料!$C934)</f>
        <v/>
      </c>
      <c r="B2134" s="3">
        <f t="shared" si="571"/>
        <v>0</v>
      </c>
      <c r="C2134" s="3">
        <f t="shared" si="572"/>
        <v>21</v>
      </c>
      <c r="K2134" s="3">
        <f>IF(OR($K$1="",对接源_02物料!$C934="",对接源_02物料!$C934&lt;&gt;$K$1,对接源_02物料!$B934=""),0,IF(OR(N(对接源_02物料!$B934)&lt;$K$2,N(对接源_02物料!$B934)&gt;$K$3),0,1))</f>
        <v>0</v>
      </c>
      <c r="L2134" s="3">
        <f>IF(OR($L$1="",对接源_02物料!$C934="",对接源_02物料!$C934&lt;&gt;$L$1,对接源_02物料!$B934=""),0,IF(OR(N(对接源_02物料!$B934)&lt;$L$2,N(对接源_02物料!$B934)&gt;$L$3),0,1))</f>
        <v>0</v>
      </c>
      <c r="M2134" s="3">
        <f>IF(OR($M$1="",对接源_02物料!$C934="",对接源_02物料!$C934&lt;&gt;$M$1,对接源_02物料!$B934=""),0,IF(OR(N(对接源_02物料!$B934)&lt;$M$2,N(对接源_02物料!$B934)&gt;$M$3),0,1))</f>
        <v>0</v>
      </c>
      <c r="N2134" s="3">
        <f>IF(OR($N$1="",对接源_02物料!$C934="",对接源_02物料!$C934&lt;&gt;$N$1,对接源_02物料!$B934=""),0,IF(OR(N(对接源_02物料!$B934)&lt;$N$2,N(对接源_02物料!$B934)&gt;$N$3),0,1))</f>
        <v>0</v>
      </c>
      <c r="P2134" s="3">
        <f>IF(AND($K2134=1,AND(对接源_02物料!$X934="公司筐",N(对接源_02物料!$T934)&lt;&gt;0)),1,0)</f>
        <v>0</v>
      </c>
      <c r="Q2134" s="3">
        <f t="shared" si="573"/>
        <v>8</v>
      </c>
      <c r="R2134" s="3">
        <f>IF(AND($K2134=1,AND(对接源_02物料!$X934="公司筐",N(对接源_02物料!$U934)&lt;&gt;0)),1,0)</f>
        <v>0</v>
      </c>
      <c r="S2134" s="3">
        <f t="shared" si="574"/>
        <v>0</v>
      </c>
      <c r="T2134" s="3">
        <f>IF(AND($K2134=1,AND(对接源_02物料!$X934="公司筐",N(对接源_02物料!$V934)&lt;&gt;0)),1,0)</f>
        <v>0</v>
      </c>
      <c r="U2134" s="3">
        <f t="shared" si="575"/>
        <v>19</v>
      </c>
      <c r="V2134" s="3">
        <f>IF(AND($L2134=1,AND(对接源_02物料!$X934="自备筐",N(对接源_02物料!$V934)&lt;&gt;0)),1,0)</f>
        <v>0</v>
      </c>
      <c r="W2134" s="3">
        <f t="shared" si="576"/>
        <v>8</v>
      </c>
      <c r="X2134" s="3">
        <f>IF(AND($L2134=1,AND(对接源_02物料!$X934="自备筐",N(对接源_02物料!$T934)&lt;&gt;0)),1,0)</f>
        <v>0</v>
      </c>
      <c r="Y2134" s="3">
        <f t="shared" si="577"/>
        <v>0</v>
      </c>
      <c r="Z2134" s="3">
        <f>IF(AND($M2134=1,对接源_02物料!$D934="原料入库"),1,0)</f>
        <v>0</v>
      </c>
      <c r="AA2134" s="3">
        <f t="shared" si="578"/>
        <v>24</v>
      </c>
      <c r="AB2134" s="3">
        <f>IF(AND($M2134=1,LEFT(对接源_02物料!$D934,4)="原料出库"),1,0)</f>
        <v>0</v>
      </c>
      <c r="AC2134" s="3">
        <f t="shared" si="579"/>
        <v>0</v>
      </c>
      <c r="AD2134" s="3">
        <f>IF(AND($M2134=1,LEFT(对接源_02物料!$D934,4)="成品出库"),1,0)</f>
        <v>0</v>
      </c>
      <c r="AE2134" s="3">
        <f t="shared" si="580"/>
        <v>0</v>
      </c>
      <c r="AF2134" s="3">
        <f>IF(AND($N2134=1,AND(LEFT(对接源_02物料!$D934,4)="包装物料",N(对接源_02物料!$K934)&lt;&gt;0)),1,0)</f>
        <v>0</v>
      </c>
      <c r="AG2134" s="3">
        <f t="shared" si="581"/>
        <v>5</v>
      </c>
      <c r="AH2134" s="3">
        <f>IF(AND($N2134=1,AND(对接源_02物料!$D934="周转筐－销售出库",N(对接源_02物料!$K934)&lt;&gt;0)),1,0)</f>
        <v>0</v>
      </c>
      <c r="AI2134" s="3">
        <f t="shared" si="582"/>
        <v>0</v>
      </c>
      <c r="AL2134" s="3">
        <v>0</v>
      </c>
      <c r="AM2134" s="3">
        <f t="shared" si="583"/>
        <v>1</v>
      </c>
      <c r="AN2134" s="3" t="str">
        <f t="shared" si="570"/>
        <v/>
      </c>
      <c r="AO2134" s="3">
        <v>0</v>
      </c>
      <c r="AP2134" s="3">
        <f t="shared" si="584"/>
        <v>8</v>
      </c>
      <c r="AR2134">
        <f t="shared" si="585"/>
        <v>0</v>
      </c>
      <c r="AS2134">
        <f t="shared" si="586"/>
        <v>5</v>
      </c>
    </row>
    <row r="2135" customHeight="1" spans="1:45">
      <c r="A2135" s="3" t="str">
        <f>IF(对接源_02物料!$C935="","",对接源_02物料!$C935)</f>
        <v/>
      </c>
      <c r="B2135" s="3">
        <f t="shared" si="571"/>
        <v>0</v>
      </c>
      <c r="C2135" s="3">
        <f t="shared" si="572"/>
        <v>21</v>
      </c>
      <c r="K2135" s="3">
        <f>IF(OR($K$1="",对接源_02物料!$C935="",对接源_02物料!$C935&lt;&gt;$K$1,对接源_02物料!$B935=""),0,IF(OR(N(对接源_02物料!$B935)&lt;$K$2,N(对接源_02物料!$B935)&gt;$K$3),0,1))</f>
        <v>0</v>
      </c>
      <c r="L2135" s="3">
        <f>IF(OR($L$1="",对接源_02物料!$C935="",对接源_02物料!$C935&lt;&gt;$L$1,对接源_02物料!$B935=""),0,IF(OR(N(对接源_02物料!$B935)&lt;$L$2,N(对接源_02物料!$B935)&gt;$L$3),0,1))</f>
        <v>0</v>
      </c>
      <c r="M2135" s="3">
        <f>IF(OR($M$1="",对接源_02物料!$C935="",对接源_02物料!$C935&lt;&gt;$M$1,对接源_02物料!$B935=""),0,IF(OR(N(对接源_02物料!$B935)&lt;$M$2,N(对接源_02物料!$B935)&gt;$M$3),0,1))</f>
        <v>0</v>
      </c>
      <c r="N2135" s="3">
        <f>IF(OR($N$1="",对接源_02物料!$C935="",对接源_02物料!$C935&lt;&gt;$N$1,对接源_02物料!$B935=""),0,IF(OR(N(对接源_02物料!$B935)&lt;$N$2,N(对接源_02物料!$B935)&gt;$N$3),0,1))</f>
        <v>0</v>
      </c>
      <c r="P2135" s="3">
        <f>IF(AND($K2135=1,AND(对接源_02物料!$X935="公司筐",N(对接源_02物料!$T935)&lt;&gt;0)),1,0)</f>
        <v>0</v>
      </c>
      <c r="Q2135" s="3">
        <f t="shared" si="573"/>
        <v>8</v>
      </c>
      <c r="R2135" s="3">
        <f>IF(AND($K2135=1,AND(对接源_02物料!$X935="公司筐",N(对接源_02物料!$U935)&lt;&gt;0)),1,0)</f>
        <v>0</v>
      </c>
      <c r="S2135" s="3">
        <f t="shared" si="574"/>
        <v>0</v>
      </c>
      <c r="T2135" s="3">
        <f>IF(AND($K2135=1,AND(对接源_02物料!$X935="公司筐",N(对接源_02物料!$V935)&lt;&gt;0)),1,0)</f>
        <v>0</v>
      </c>
      <c r="U2135" s="3">
        <f t="shared" si="575"/>
        <v>19</v>
      </c>
      <c r="V2135" s="3">
        <f>IF(AND($L2135=1,AND(对接源_02物料!$X935="自备筐",N(对接源_02物料!$V935)&lt;&gt;0)),1,0)</f>
        <v>0</v>
      </c>
      <c r="W2135" s="3">
        <f t="shared" si="576"/>
        <v>8</v>
      </c>
      <c r="X2135" s="3">
        <f>IF(AND($L2135=1,AND(对接源_02物料!$X935="自备筐",N(对接源_02物料!$T935)&lt;&gt;0)),1,0)</f>
        <v>0</v>
      </c>
      <c r="Y2135" s="3">
        <f t="shared" si="577"/>
        <v>0</v>
      </c>
      <c r="Z2135" s="3">
        <f>IF(AND($M2135=1,对接源_02物料!$D935="原料入库"),1,0)</f>
        <v>0</v>
      </c>
      <c r="AA2135" s="3">
        <f t="shared" si="578"/>
        <v>24</v>
      </c>
      <c r="AB2135" s="3">
        <f>IF(AND($M2135=1,LEFT(对接源_02物料!$D935,4)="原料出库"),1,0)</f>
        <v>0</v>
      </c>
      <c r="AC2135" s="3">
        <f t="shared" si="579"/>
        <v>0</v>
      </c>
      <c r="AD2135" s="3">
        <f>IF(AND($M2135=1,LEFT(对接源_02物料!$D935,4)="成品出库"),1,0)</f>
        <v>0</v>
      </c>
      <c r="AE2135" s="3">
        <f t="shared" si="580"/>
        <v>0</v>
      </c>
      <c r="AF2135" s="3">
        <f>IF(AND($N2135=1,AND(LEFT(对接源_02物料!$D935,4)="包装物料",N(对接源_02物料!$K935)&lt;&gt;0)),1,0)</f>
        <v>0</v>
      </c>
      <c r="AG2135" s="3">
        <f t="shared" si="581"/>
        <v>5</v>
      </c>
      <c r="AH2135" s="3">
        <f>IF(AND($N2135=1,AND(对接源_02物料!$D935="周转筐－销售出库",N(对接源_02物料!$K935)&lt;&gt;0)),1,0)</f>
        <v>0</v>
      </c>
      <c r="AI2135" s="3">
        <f t="shared" si="582"/>
        <v>0</v>
      </c>
      <c r="AL2135" s="3">
        <v>0</v>
      </c>
      <c r="AM2135" s="3">
        <f t="shared" si="583"/>
        <v>1</v>
      </c>
      <c r="AN2135" s="3" t="str">
        <f t="shared" si="570"/>
        <v/>
      </c>
      <c r="AO2135" s="3">
        <v>0</v>
      </c>
      <c r="AP2135" s="3">
        <f t="shared" si="584"/>
        <v>8</v>
      </c>
      <c r="AR2135">
        <f t="shared" si="585"/>
        <v>0</v>
      </c>
      <c r="AS2135">
        <f t="shared" si="586"/>
        <v>5</v>
      </c>
    </row>
    <row r="2136" customHeight="1" spans="1:45">
      <c r="A2136" s="3" t="str">
        <f>IF(对接源_02物料!$C936="","",对接源_02物料!$C936)</f>
        <v/>
      </c>
      <c r="B2136" s="3">
        <f t="shared" si="571"/>
        <v>0</v>
      </c>
      <c r="C2136" s="3">
        <f t="shared" si="572"/>
        <v>21</v>
      </c>
      <c r="K2136" s="3">
        <f>IF(OR($K$1="",对接源_02物料!$C936="",对接源_02物料!$C936&lt;&gt;$K$1,对接源_02物料!$B936=""),0,IF(OR(N(对接源_02物料!$B936)&lt;$K$2,N(对接源_02物料!$B936)&gt;$K$3),0,1))</f>
        <v>0</v>
      </c>
      <c r="L2136" s="3">
        <f>IF(OR($L$1="",对接源_02物料!$C936="",对接源_02物料!$C936&lt;&gt;$L$1,对接源_02物料!$B936=""),0,IF(OR(N(对接源_02物料!$B936)&lt;$L$2,N(对接源_02物料!$B936)&gt;$L$3),0,1))</f>
        <v>0</v>
      </c>
      <c r="M2136" s="3">
        <f>IF(OR($M$1="",对接源_02物料!$C936="",对接源_02物料!$C936&lt;&gt;$M$1,对接源_02物料!$B936=""),0,IF(OR(N(对接源_02物料!$B936)&lt;$M$2,N(对接源_02物料!$B936)&gt;$M$3),0,1))</f>
        <v>0</v>
      </c>
      <c r="N2136" s="3">
        <f>IF(OR($N$1="",对接源_02物料!$C936="",对接源_02物料!$C936&lt;&gt;$N$1,对接源_02物料!$B936=""),0,IF(OR(N(对接源_02物料!$B936)&lt;$N$2,N(对接源_02物料!$B936)&gt;$N$3),0,1))</f>
        <v>0</v>
      </c>
      <c r="P2136" s="3">
        <f>IF(AND($K2136=1,AND(对接源_02物料!$X936="公司筐",N(对接源_02物料!$T936)&lt;&gt;0)),1,0)</f>
        <v>0</v>
      </c>
      <c r="Q2136" s="3">
        <f t="shared" si="573"/>
        <v>8</v>
      </c>
      <c r="R2136" s="3">
        <f>IF(AND($K2136=1,AND(对接源_02物料!$X936="公司筐",N(对接源_02物料!$U936)&lt;&gt;0)),1,0)</f>
        <v>0</v>
      </c>
      <c r="S2136" s="3">
        <f t="shared" si="574"/>
        <v>0</v>
      </c>
      <c r="T2136" s="3">
        <f>IF(AND($K2136=1,AND(对接源_02物料!$X936="公司筐",N(对接源_02物料!$V936)&lt;&gt;0)),1,0)</f>
        <v>0</v>
      </c>
      <c r="U2136" s="3">
        <f t="shared" si="575"/>
        <v>19</v>
      </c>
      <c r="V2136" s="3">
        <f>IF(AND($L2136=1,AND(对接源_02物料!$X936="自备筐",N(对接源_02物料!$V936)&lt;&gt;0)),1,0)</f>
        <v>0</v>
      </c>
      <c r="W2136" s="3">
        <f t="shared" si="576"/>
        <v>8</v>
      </c>
      <c r="X2136" s="3">
        <f>IF(AND($L2136=1,AND(对接源_02物料!$X936="自备筐",N(对接源_02物料!$T936)&lt;&gt;0)),1,0)</f>
        <v>0</v>
      </c>
      <c r="Y2136" s="3">
        <f t="shared" si="577"/>
        <v>0</v>
      </c>
      <c r="Z2136" s="3">
        <f>IF(AND($M2136=1,对接源_02物料!$D936="原料入库"),1,0)</f>
        <v>0</v>
      </c>
      <c r="AA2136" s="3">
        <f t="shared" si="578"/>
        <v>24</v>
      </c>
      <c r="AB2136" s="3">
        <f>IF(AND($M2136=1,LEFT(对接源_02物料!$D936,4)="原料出库"),1,0)</f>
        <v>0</v>
      </c>
      <c r="AC2136" s="3">
        <f t="shared" si="579"/>
        <v>0</v>
      </c>
      <c r="AD2136" s="3">
        <f>IF(AND($M2136=1,LEFT(对接源_02物料!$D936,4)="成品出库"),1,0)</f>
        <v>0</v>
      </c>
      <c r="AE2136" s="3">
        <f t="shared" si="580"/>
        <v>0</v>
      </c>
      <c r="AF2136" s="3">
        <f>IF(AND($N2136=1,AND(LEFT(对接源_02物料!$D936,4)="包装物料",N(对接源_02物料!$K936)&lt;&gt;0)),1,0)</f>
        <v>0</v>
      </c>
      <c r="AG2136" s="3">
        <f t="shared" si="581"/>
        <v>5</v>
      </c>
      <c r="AH2136" s="3">
        <f>IF(AND($N2136=1,AND(对接源_02物料!$D936="周转筐－销售出库",N(对接源_02物料!$K936)&lt;&gt;0)),1,0)</f>
        <v>0</v>
      </c>
      <c r="AI2136" s="3">
        <f t="shared" si="582"/>
        <v>0</v>
      </c>
      <c r="AL2136" s="3">
        <v>0</v>
      </c>
      <c r="AM2136" s="3">
        <f t="shared" si="583"/>
        <v>1</v>
      </c>
      <c r="AN2136" s="3" t="str">
        <f t="shared" si="570"/>
        <v/>
      </c>
      <c r="AO2136" s="3">
        <v>0</v>
      </c>
      <c r="AP2136" s="3">
        <f t="shared" si="584"/>
        <v>8</v>
      </c>
      <c r="AR2136">
        <f t="shared" si="585"/>
        <v>0</v>
      </c>
      <c r="AS2136">
        <f t="shared" si="586"/>
        <v>5</v>
      </c>
    </row>
    <row r="2137" customHeight="1" spans="1:45">
      <c r="A2137" s="3" t="str">
        <f>IF(对接源_02物料!$C937="","",对接源_02物料!$C937)</f>
        <v/>
      </c>
      <c r="B2137" s="3">
        <f t="shared" si="571"/>
        <v>0</v>
      </c>
      <c r="C2137" s="3">
        <f t="shared" si="572"/>
        <v>21</v>
      </c>
      <c r="K2137" s="3">
        <f>IF(OR($K$1="",对接源_02物料!$C937="",对接源_02物料!$C937&lt;&gt;$K$1,对接源_02物料!$B937=""),0,IF(OR(N(对接源_02物料!$B937)&lt;$K$2,N(对接源_02物料!$B937)&gt;$K$3),0,1))</f>
        <v>0</v>
      </c>
      <c r="L2137" s="3">
        <f>IF(OR($L$1="",对接源_02物料!$C937="",对接源_02物料!$C937&lt;&gt;$L$1,对接源_02物料!$B937=""),0,IF(OR(N(对接源_02物料!$B937)&lt;$L$2,N(对接源_02物料!$B937)&gt;$L$3),0,1))</f>
        <v>0</v>
      </c>
      <c r="M2137" s="3">
        <f>IF(OR($M$1="",对接源_02物料!$C937="",对接源_02物料!$C937&lt;&gt;$M$1,对接源_02物料!$B937=""),0,IF(OR(N(对接源_02物料!$B937)&lt;$M$2,N(对接源_02物料!$B937)&gt;$M$3),0,1))</f>
        <v>0</v>
      </c>
      <c r="N2137" s="3">
        <f>IF(OR($N$1="",对接源_02物料!$C937="",对接源_02物料!$C937&lt;&gt;$N$1,对接源_02物料!$B937=""),0,IF(OR(N(对接源_02物料!$B937)&lt;$N$2,N(对接源_02物料!$B937)&gt;$N$3),0,1))</f>
        <v>0</v>
      </c>
      <c r="P2137" s="3">
        <f>IF(AND($K2137=1,AND(对接源_02物料!$X937="公司筐",N(对接源_02物料!$T937)&lt;&gt;0)),1,0)</f>
        <v>0</v>
      </c>
      <c r="Q2137" s="3">
        <f t="shared" si="573"/>
        <v>8</v>
      </c>
      <c r="R2137" s="3">
        <f>IF(AND($K2137=1,AND(对接源_02物料!$X937="公司筐",N(对接源_02物料!$U937)&lt;&gt;0)),1,0)</f>
        <v>0</v>
      </c>
      <c r="S2137" s="3">
        <f t="shared" si="574"/>
        <v>0</v>
      </c>
      <c r="T2137" s="3">
        <f>IF(AND($K2137=1,AND(对接源_02物料!$X937="公司筐",N(对接源_02物料!$V937)&lt;&gt;0)),1,0)</f>
        <v>0</v>
      </c>
      <c r="U2137" s="3">
        <f t="shared" si="575"/>
        <v>19</v>
      </c>
      <c r="V2137" s="3">
        <f>IF(AND($L2137=1,AND(对接源_02物料!$X937="自备筐",N(对接源_02物料!$V937)&lt;&gt;0)),1,0)</f>
        <v>0</v>
      </c>
      <c r="W2137" s="3">
        <f t="shared" si="576"/>
        <v>8</v>
      </c>
      <c r="X2137" s="3">
        <f>IF(AND($L2137=1,AND(对接源_02物料!$X937="自备筐",N(对接源_02物料!$T937)&lt;&gt;0)),1,0)</f>
        <v>0</v>
      </c>
      <c r="Y2137" s="3">
        <f t="shared" si="577"/>
        <v>0</v>
      </c>
      <c r="Z2137" s="3">
        <f>IF(AND($M2137=1,对接源_02物料!$D937="原料入库"),1,0)</f>
        <v>0</v>
      </c>
      <c r="AA2137" s="3">
        <f t="shared" si="578"/>
        <v>24</v>
      </c>
      <c r="AB2137" s="3">
        <f>IF(AND($M2137=1,LEFT(对接源_02物料!$D937,4)="原料出库"),1,0)</f>
        <v>0</v>
      </c>
      <c r="AC2137" s="3">
        <f t="shared" si="579"/>
        <v>0</v>
      </c>
      <c r="AD2137" s="3">
        <f>IF(AND($M2137=1,LEFT(对接源_02物料!$D937,4)="成品出库"),1,0)</f>
        <v>0</v>
      </c>
      <c r="AE2137" s="3">
        <f t="shared" si="580"/>
        <v>0</v>
      </c>
      <c r="AF2137" s="3">
        <f>IF(AND($N2137=1,AND(LEFT(对接源_02物料!$D937,4)="包装物料",N(对接源_02物料!$K937)&lt;&gt;0)),1,0)</f>
        <v>0</v>
      </c>
      <c r="AG2137" s="3">
        <f t="shared" si="581"/>
        <v>5</v>
      </c>
      <c r="AH2137" s="3">
        <f>IF(AND($N2137=1,AND(对接源_02物料!$D937="周转筐－销售出库",N(对接源_02物料!$K937)&lt;&gt;0)),1,0)</f>
        <v>0</v>
      </c>
      <c r="AI2137" s="3">
        <f t="shared" si="582"/>
        <v>0</v>
      </c>
      <c r="AL2137" s="3">
        <v>0</v>
      </c>
      <c r="AM2137" s="3">
        <f t="shared" si="583"/>
        <v>1</v>
      </c>
      <c r="AN2137" s="3" t="str">
        <f t="shared" si="570"/>
        <v/>
      </c>
      <c r="AO2137" s="3">
        <v>0</v>
      </c>
      <c r="AP2137" s="3">
        <f t="shared" si="584"/>
        <v>8</v>
      </c>
      <c r="AR2137">
        <f t="shared" si="585"/>
        <v>0</v>
      </c>
      <c r="AS2137">
        <f t="shared" si="586"/>
        <v>5</v>
      </c>
    </row>
    <row r="2138" customHeight="1" spans="1:45">
      <c r="A2138" s="3" t="str">
        <f>IF(对接源_02物料!$C938="","",对接源_02物料!$C938)</f>
        <v/>
      </c>
      <c r="B2138" s="3">
        <f t="shared" si="571"/>
        <v>0</v>
      </c>
      <c r="C2138" s="3">
        <f t="shared" si="572"/>
        <v>21</v>
      </c>
      <c r="K2138" s="3">
        <f>IF(OR($K$1="",对接源_02物料!$C938="",对接源_02物料!$C938&lt;&gt;$K$1,对接源_02物料!$B938=""),0,IF(OR(N(对接源_02物料!$B938)&lt;$K$2,N(对接源_02物料!$B938)&gt;$K$3),0,1))</f>
        <v>0</v>
      </c>
      <c r="L2138" s="3">
        <f>IF(OR($L$1="",对接源_02物料!$C938="",对接源_02物料!$C938&lt;&gt;$L$1,对接源_02物料!$B938=""),0,IF(OR(N(对接源_02物料!$B938)&lt;$L$2,N(对接源_02物料!$B938)&gt;$L$3),0,1))</f>
        <v>0</v>
      </c>
      <c r="M2138" s="3">
        <f>IF(OR($M$1="",对接源_02物料!$C938="",对接源_02物料!$C938&lt;&gt;$M$1,对接源_02物料!$B938=""),0,IF(OR(N(对接源_02物料!$B938)&lt;$M$2,N(对接源_02物料!$B938)&gt;$M$3),0,1))</f>
        <v>0</v>
      </c>
      <c r="N2138" s="3">
        <f>IF(OR($N$1="",对接源_02物料!$C938="",对接源_02物料!$C938&lt;&gt;$N$1,对接源_02物料!$B938=""),0,IF(OR(N(对接源_02物料!$B938)&lt;$N$2,N(对接源_02物料!$B938)&gt;$N$3),0,1))</f>
        <v>0</v>
      </c>
      <c r="P2138" s="3">
        <f>IF(AND($K2138=1,AND(对接源_02物料!$X938="公司筐",N(对接源_02物料!$T938)&lt;&gt;0)),1,0)</f>
        <v>0</v>
      </c>
      <c r="Q2138" s="3">
        <f t="shared" si="573"/>
        <v>8</v>
      </c>
      <c r="R2138" s="3">
        <f>IF(AND($K2138=1,AND(对接源_02物料!$X938="公司筐",N(对接源_02物料!$U938)&lt;&gt;0)),1,0)</f>
        <v>0</v>
      </c>
      <c r="S2138" s="3">
        <f t="shared" si="574"/>
        <v>0</v>
      </c>
      <c r="T2138" s="3">
        <f>IF(AND($K2138=1,AND(对接源_02物料!$X938="公司筐",N(对接源_02物料!$V938)&lt;&gt;0)),1,0)</f>
        <v>0</v>
      </c>
      <c r="U2138" s="3">
        <f t="shared" si="575"/>
        <v>19</v>
      </c>
      <c r="V2138" s="3">
        <f>IF(AND($L2138=1,AND(对接源_02物料!$X938="自备筐",N(对接源_02物料!$V938)&lt;&gt;0)),1,0)</f>
        <v>0</v>
      </c>
      <c r="W2138" s="3">
        <f t="shared" si="576"/>
        <v>8</v>
      </c>
      <c r="X2138" s="3">
        <f>IF(AND($L2138=1,AND(对接源_02物料!$X938="自备筐",N(对接源_02物料!$T938)&lt;&gt;0)),1,0)</f>
        <v>0</v>
      </c>
      <c r="Y2138" s="3">
        <f t="shared" si="577"/>
        <v>0</v>
      </c>
      <c r="Z2138" s="3">
        <f>IF(AND($M2138=1,对接源_02物料!$D938="原料入库"),1,0)</f>
        <v>0</v>
      </c>
      <c r="AA2138" s="3">
        <f t="shared" si="578"/>
        <v>24</v>
      </c>
      <c r="AB2138" s="3">
        <f>IF(AND($M2138=1,LEFT(对接源_02物料!$D938,4)="原料出库"),1,0)</f>
        <v>0</v>
      </c>
      <c r="AC2138" s="3">
        <f t="shared" si="579"/>
        <v>0</v>
      </c>
      <c r="AD2138" s="3">
        <f>IF(AND($M2138=1,LEFT(对接源_02物料!$D938,4)="成品出库"),1,0)</f>
        <v>0</v>
      </c>
      <c r="AE2138" s="3">
        <f t="shared" si="580"/>
        <v>0</v>
      </c>
      <c r="AF2138" s="3">
        <f>IF(AND($N2138=1,AND(LEFT(对接源_02物料!$D938,4)="包装物料",N(对接源_02物料!$K938)&lt;&gt;0)),1,0)</f>
        <v>0</v>
      </c>
      <c r="AG2138" s="3">
        <f t="shared" si="581"/>
        <v>5</v>
      </c>
      <c r="AH2138" s="3">
        <f>IF(AND($N2138=1,AND(对接源_02物料!$D938="周转筐－销售出库",N(对接源_02物料!$K938)&lt;&gt;0)),1,0)</f>
        <v>0</v>
      </c>
      <c r="AI2138" s="3">
        <f t="shared" si="582"/>
        <v>0</v>
      </c>
      <c r="AL2138" s="3">
        <v>0</v>
      </c>
      <c r="AM2138" s="3">
        <f t="shared" si="583"/>
        <v>1</v>
      </c>
      <c r="AN2138" s="3" t="str">
        <f t="shared" si="570"/>
        <v/>
      </c>
      <c r="AO2138" s="3">
        <v>0</v>
      </c>
      <c r="AP2138" s="3">
        <f t="shared" si="584"/>
        <v>8</v>
      </c>
      <c r="AR2138">
        <f t="shared" si="585"/>
        <v>0</v>
      </c>
      <c r="AS2138">
        <f t="shared" si="586"/>
        <v>5</v>
      </c>
    </row>
    <row r="2139" customHeight="1" spans="1:45">
      <c r="A2139" s="3" t="str">
        <f>IF(对接源_02物料!$C939="","",对接源_02物料!$C939)</f>
        <v/>
      </c>
      <c r="B2139" s="3">
        <f t="shared" si="571"/>
        <v>0</v>
      </c>
      <c r="C2139" s="3">
        <f t="shared" si="572"/>
        <v>21</v>
      </c>
      <c r="K2139" s="3">
        <f>IF(OR($K$1="",对接源_02物料!$C939="",对接源_02物料!$C939&lt;&gt;$K$1,对接源_02物料!$B939=""),0,IF(OR(N(对接源_02物料!$B939)&lt;$K$2,N(对接源_02物料!$B939)&gt;$K$3),0,1))</f>
        <v>0</v>
      </c>
      <c r="L2139" s="3">
        <f>IF(OR($L$1="",对接源_02物料!$C939="",对接源_02物料!$C939&lt;&gt;$L$1,对接源_02物料!$B939=""),0,IF(OR(N(对接源_02物料!$B939)&lt;$L$2,N(对接源_02物料!$B939)&gt;$L$3),0,1))</f>
        <v>0</v>
      </c>
      <c r="M2139" s="3">
        <f>IF(OR($M$1="",对接源_02物料!$C939="",对接源_02物料!$C939&lt;&gt;$M$1,对接源_02物料!$B939=""),0,IF(OR(N(对接源_02物料!$B939)&lt;$M$2,N(对接源_02物料!$B939)&gt;$M$3),0,1))</f>
        <v>0</v>
      </c>
      <c r="N2139" s="3">
        <f>IF(OR($N$1="",对接源_02物料!$C939="",对接源_02物料!$C939&lt;&gt;$N$1,对接源_02物料!$B939=""),0,IF(OR(N(对接源_02物料!$B939)&lt;$N$2,N(对接源_02物料!$B939)&gt;$N$3),0,1))</f>
        <v>0</v>
      </c>
      <c r="P2139" s="3">
        <f>IF(AND($K2139=1,AND(对接源_02物料!$X939="公司筐",N(对接源_02物料!$T939)&lt;&gt;0)),1,0)</f>
        <v>0</v>
      </c>
      <c r="Q2139" s="3">
        <f t="shared" si="573"/>
        <v>8</v>
      </c>
      <c r="R2139" s="3">
        <f>IF(AND($K2139=1,AND(对接源_02物料!$X939="公司筐",N(对接源_02物料!$U939)&lt;&gt;0)),1,0)</f>
        <v>0</v>
      </c>
      <c r="S2139" s="3">
        <f t="shared" si="574"/>
        <v>0</v>
      </c>
      <c r="T2139" s="3">
        <f>IF(AND($K2139=1,AND(对接源_02物料!$X939="公司筐",N(对接源_02物料!$V939)&lt;&gt;0)),1,0)</f>
        <v>0</v>
      </c>
      <c r="U2139" s="3">
        <f t="shared" si="575"/>
        <v>19</v>
      </c>
      <c r="V2139" s="3">
        <f>IF(AND($L2139=1,AND(对接源_02物料!$X939="自备筐",N(对接源_02物料!$V939)&lt;&gt;0)),1,0)</f>
        <v>0</v>
      </c>
      <c r="W2139" s="3">
        <f t="shared" si="576"/>
        <v>8</v>
      </c>
      <c r="X2139" s="3">
        <f>IF(AND($L2139=1,AND(对接源_02物料!$X939="自备筐",N(对接源_02物料!$T939)&lt;&gt;0)),1,0)</f>
        <v>0</v>
      </c>
      <c r="Y2139" s="3">
        <f t="shared" si="577"/>
        <v>0</v>
      </c>
      <c r="Z2139" s="3">
        <f>IF(AND($M2139=1,对接源_02物料!$D939="原料入库"),1,0)</f>
        <v>0</v>
      </c>
      <c r="AA2139" s="3">
        <f t="shared" si="578"/>
        <v>24</v>
      </c>
      <c r="AB2139" s="3">
        <f>IF(AND($M2139=1,LEFT(对接源_02物料!$D939,4)="原料出库"),1,0)</f>
        <v>0</v>
      </c>
      <c r="AC2139" s="3">
        <f t="shared" si="579"/>
        <v>0</v>
      </c>
      <c r="AD2139" s="3">
        <f>IF(AND($M2139=1,LEFT(对接源_02物料!$D939,4)="成品出库"),1,0)</f>
        <v>0</v>
      </c>
      <c r="AE2139" s="3">
        <f t="shared" si="580"/>
        <v>0</v>
      </c>
      <c r="AF2139" s="3">
        <f>IF(AND($N2139=1,AND(LEFT(对接源_02物料!$D939,4)="包装物料",N(对接源_02物料!$K939)&lt;&gt;0)),1,0)</f>
        <v>0</v>
      </c>
      <c r="AG2139" s="3">
        <f t="shared" si="581"/>
        <v>5</v>
      </c>
      <c r="AH2139" s="3">
        <f>IF(AND($N2139=1,AND(对接源_02物料!$D939="周转筐－销售出库",N(对接源_02物料!$K939)&lt;&gt;0)),1,0)</f>
        <v>0</v>
      </c>
      <c r="AI2139" s="3">
        <f t="shared" si="582"/>
        <v>0</v>
      </c>
      <c r="AL2139" s="3">
        <v>0</v>
      </c>
      <c r="AM2139" s="3">
        <f t="shared" si="583"/>
        <v>1</v>
      </c>
      <c r="AN2139" s="3" t="str">
        <f t="shared" si="570"/>
        <v/>
      </c>
      <c r="AO2139" s="3">
        <v>0</v>
      </c>
      <c r="AP2139" s="3">
        <f t="shared" si="584"/>
        <v>8</v>
      </c>
      <c r="AR2139">
        <f t="shared" si="585"/>
        <v>0</v>
      </c>
      <c r="AS2139">
        <f t="shared" si="586"/>
        <v>5</v>
      </c>
    </row>
    <row r="2140" customHeight="1" spans="1:45">
      <c r="A2140" s="3" t="str">
        <f>IF(对接源_02物料!$C940="","",对接源_02物料!$C940)</f>
        <v/>
      </c>
      <c r="B2140" s="3">
        <f t="shared" si="571"/>
        <v>0</v>
      </c>
      <c r="C2140" s="3">
        <f t="shared" si="572"/>
        <v>21</v>
      </c>
      <c r="K2140" s="3">
        <f>IF(OR($K$1="",对接源_02物料!$C940="",对接源_02物料!$C940&lt;&gt;$K$1,对接源_02物料!$B940=""),0,IF(OR(N(对接源_02物料!$B940)&lt;$K$2,N(对接源_02物料!$B940)&gt;$K$3),0,1))</f>
        <v>0</v>
      </c>
      <c r="L2140" s="3">
        <f>IF(OR($L$1="",对接源_02物料!$C940="",对接源_02物料!$C940&lt;&gt;$L$1,对接源_02物料!$B940=""),0,IF(OR(N(对接源_02物料!$B940)&lt;$L$2,N(对接源_02物料!$B940)&gt;$L$3),0,1))</f>
        <v>0</v>
      </c>
      <c r="M2140" s="3">
        <f>IF(OR($M$1="",对接源_02物料!$C940="",对接源_02物料!$C940&lt;&gt;$M$1,对接源_02物料!$B940=""),0,IF(OR(N(对接源_02物料!$B940)&lt;$M$2,N(对接源_02物料!$B940)&gt;$M$3),0,1))</f>
        <v>0</v>
      </c>
      <c r="N2140" s="3">
        <f>IF(OR($N$1="",对接源_02物料!$C940="",对接源_02物料!$C940&lt;&gt;$N$1,对接源_02物料!$B940=""),0,IF(OR(N(对接源_02物料!$B940)&lt;$N$2,N(对接源_02物料!$B940)&gt;$N$3),0,1))</f>
        <v>0</v>
      </c>
      <c r="P2140" s="3">
        <f>IF(AND($K2140=1,AND(对接源_02物料!$X940="公司筐",N(对接源_02物料!$T940)&lt;&gt;0)),1,0)</f>
        <v>0</v>
      </c>
      <c r="Q2140" s="3">
        <f t="shared" si="573"/>
        <v>8</v>
      </c>
      <c r="R2140" s="3">
        <f>IF(AND($K2140=1,AND(对接源_02物料!$X940="公司筐",N(对接源_02物料!$U940)&lt;&gt;0)),1,0)</f>
        <v>0</v>
      </c>
      <c r="S2140" s="3">
        <f t="shared" si="574"/>
        <v>0</v>
      </c>
      <c r="T2140" s="3">
        <f>IF(AND($K2140=1,AND(对接源_02物料!$X940="公司筐",N(对接源_02物料!$V940)&lt;&gt;0)),1,0)</f>
        <v>0</v>
      </c>
      <c r="U2140" s="3">
        <f t="shared" si="575"/>
        <v>19</v>
      </c>
      <c r="V2140" s="3">
        <f>IF(AND($L2140=1,AND(对接源_02物料!$X940="自备筐",N(对接源_02物料!$V940)&lt;&gt;0)),1,0)</f>
        <v>0</v>
      </c>
      <c r="W2140" s="3">
        <f t="shared" si="576"/>
        <v>8</v>
      </c>
      <c r="X2140" s="3">
        <f>IF(AND($L2140=1,AND(对接源_02物料!$X940="自备筐",N(对接源_02物料!$T940)&lt;&gt;0)),1,0)</f>
        <v>0</v>
      </c>
      <c r="Y2140" s="3">
        <f t="shared" si="577"/>
        <v>0</v>
      </c>
      <c r="Z2140" s="3">
        <f>IF(AND($M2140=1,对接源_02物料!$D940="原料入库"),1,0)</f>
        <v>0</v>
      </c>
      <c r="AA2140" s="3">
        <f t="shared" si="578"/>
        <v>24</v>
      </c>
      <c r="AB2140" s="3">
        <f>IF(AND($M2140=1,LEFT(对接源_02物料!$D940,4)="原料出库"),1,0)</f>
        <v>0</v>
      </c>
      <c r="AC2140" s="3">
        <f t="shared" si="579"/>
        <v>0</v>
      </c>
      <c r="AD2140" s="3">
        <f>IF(AND($M2140=1,LEFT(对接源_02物料!$D940,4)="成品出库"),1,0)</f>
        <v>0</v>
      </c>
      <c r="AE2140" s="3">
        <f t="shared" si="580"/>
        <v>0</v>
      </c>
      <c r="AF2140" s="3">
        <f>IF(AND($N2140=1,AND(LEFT(对接源_02物料!$D940,4)="包装物料",N(对接源_02物料!$K940)&lt;&gt;0)),1,0)</f>
        <v>0</v>
      </c>
      <c r="AG2140" s="3">
        <f t="shared" si="581"/>
        <v>5</v>
      </c>
      <c r="AH2140" s="3">
        <f>IF(AND($N2140=1,AND(对接源_02物料!$D940="周转筐－销售出库",N(对接源_02物料!$K940)&lt;&gt;0)),1,0)</f>
        <v>0</v>
      </c>
      <c r="AI2140" s="3">
        <f t="shared" si="582"/>
        <v>0</v>
      </c>
      <c r="AL2140" s="3">
        <v>0</v>
      </c>
      <c r="AM2140" s="3">
        <f t="shared" si="583"/>
        <v>1</v>
      </c>
      <c r="AN2140" s="3" t="str">
        <f t="shared" si="570"/>
        <v/>
      </c>
      <c r="AO2140" s="3">
        <v>0</v>
      </c>
      <c r="AP2140" s="3">
        <f t="shared" si="584"/>
        <v>8</v>
      </c>
      <c r="AR2140">
        <f t="shared" si="585"/>
        <v>0</v>
      </c>
      <c r="AS2140">
        <f t="shared" si="586"/>
        <v>5</v>
      </c>
    </row>
    <row r="2141" customHeight="1" spans="1:45">
      <c r="A2141" s="3" t="str">
        <f>IF(对接源_02物料!$C941="","",对接源_02物料!$C941)</f>
        <v/>
      </c>
      <c r="B2141" s="3">
        <f t="shared" si="571"/>
        <v>0</v>
      </c>
      <c r="C2141" s="3">
        <f t="shared" si="572"/>
        <v>21</v>
      </c>
      <c r="K2141" s="3">
        <f>IF(OR($K$1="",对接源_02物料!$C941="",对接源_02物料!$C941&lt;&gt;$K$1,对接源_02物料!$B941=""),0,IF(OR(N(对接源_02物料!$B941)&lt;$K$2,N(对接源_02物料!$B941)&gt;$K$3),0,1))</f>
        <v>0</v>
      </c>
      <c r="L2141" s="3">
        <f>IF(OR($L$1="",对接源_02物料!$C941="",对接源_02物料!$C941&lt;&gt;$L$1,对接源_02物料!$B941=""),0,IF(OR(N(对接源_02物料!$B941)&lt;$L$2,N(对接源_02物料!$B941)&gt;$L$3),0,1))</f>
        <v>0</v>
      </c>
      <c r="M2141" s="3">
        <f>IF(OR($M$1="",对接源_02物料!$C941="",对接源_02物料!$C941&lt;&gt;$M$1,对接源_02物料!$B941=""),0,IF(OR(N(对接源_02物料!$B941)&lt;$M$2,N(对接源_02物料!$B941)&gt;$M$3),0,1))</f>
        <v>0</v>
      </c>
      <c r="N2141" s="3">
        <f>IF(OR($N$1="",对接源_02物料!$C941="",对接源_02物料!$C941&lt;&gt;$N$1,对接源_02物料!$B941=""),0,IF(OR(N(对接源_02物料!$B941)&lt;$N$2,N(对接源_02物料!$B941)&gt;$N$3),0,1))</f>
        <v>0</v>
      </c>
      <c r="P2141" s="3">
        <f>IF(AND($K2141=1,AND(对接源_02物料!$X941="公司筐",N(对接源_02物料!$T941)&lt;&gt;0)),1,0)</f>
        <v>0</v>
      </c>
      <c r="Q2141" s="3">
        <f t="shared" si="573"/>
        <v>8</v>
      </c>
      <c r="R2141" s="3">
        <f>IF(AND($K2141=1,AND(对接源_02物料!$X941="公司筐",N(对接源_02物料!$U941)&lt;&gt;0)),1,0)</f>
        <v>0</v>
      </c>
      <c r="S2141" s="3">
        <f t="shared" si="574"/>
        <v>0</v>
      </c>
      <c r="T2141" s="3">
        <f>IF(AND($K2141=1,AND(对接源_02物料!$X941="公司筐",N(对接源_02物料!$V941)&lt;&gt;0)),1,0)</f>
        <v>0</v>
      </c>
      <c r="U2141" s="3">
        <f t="shared" si="575"/>
        <v>19</v>
      </c>
      <c r="V2141" s="3">
        <f>IF(AND($L2141=1,AND(对接源_02物料!$X941="自备筐",N(对接源_02物料!$V941)&lt;&gt;0)),1,0)</f>
        <v>0</v>
      </c>
      <c r="W2141" s="3">
        <f t="shared" si="576"/>
        <v>8</v>
      </c>
      <c r="X2141" s="3">
        <f>IF(AND($L2141=1,AND(对接源_02物料!$X941="自备筐",N(对接源_02物料!$T941)&lt;&gt;0)),1,0)</f>
        <v>0</v>
      </c>
      <c r="Y2141" s="3">
        <f t="shared" si="577"/>
        <v>0</v>
      </c>
      <c r="Z2141" s="3">
        <f>IF(AND($M2141=1,对接源_02物料!$D941="原料入库"),1,0)</f>
        <v>0</v>
      </c>
      <c r="AA2141" s="3">
        <f t="shared" si="578"/>
        <v>24</v>
      </c>
      <c r="AB2141" s="3">
        <f>IF(AND($M2141=1,LEFT(对接源_02物料!$D941,4)="原料出库"),1,0)</f>
        <v>0</v>
      </c>
      <c r="AC2141" s="3">
        <f t="shared" si="579"/>
        <v>0</v>
      </c>
      <c r="AD2141" s="3">
        <f>IF(AND($M2141=1,LEFT(对接源_02物料!$D941,4)="成品出库"),1,0)</f>
        <v>0</v>
      </c>
      <c r="AE2141" s="3">
        <f t="shared" si="580"/>
        <v>0</v>
      </c>
      <c r="AF2141" s="3">
        <f>IF(AND($N2141=1,AND(LEFT(对接源_02物料!$D941,4)="包装物料",N(对接源_02物料!$K941)&lt;&gt;0)),1,0)</f>
        <v>0</v>
      </c>
      <c r="AG2141" s="3">
        <f t="shared" si="581"/>
        <v>5</v>
      </c>
      <c r="AH2141" s="3">
        <f>IF(AND($N2141=1,AND(对接源_02物料!$D941="周转筐－销售出库",N(对接源_02物料!$K941)&lt;&gt;0)),1,0)</f>
        <v>0</v>
      </c>
      <c r="AI2141" s="3">
        <f t="shared" si="582"/>
        <v>0</v>
      </c>
      <c r="AL2141" s="3">
        <v>0</v>
      </c>
      <c r="AM2141" s="3">
        <f t="shared" si="583"/>
        <v>1</v>
      </c>
      <c r="AN2141" s="3" t="str">
        <f t="shared" si="570"/>
        <v/>
      </c>
      <c r="AO2141" s="3">
        <v>0</v>
      </c>
      <c r="AP2141" s="3">
        <f t="shared" si="584"/>
        <v>8</v>
      </c>
      <c r="AR2141">
        <f t="shared" si="585"/>
        <v>0</v>
      </c>
      <c r="AS2141">
        <f t="shared" si="586"/>
        <v>5</v>
      </c>
    </row>
    <row r="2142" customHeight="1" spans="1:45">
      <c r="A2142" s="3" t="str">
        <f>IF(对接源_02物料!$C942="","",对接源_02物料!$C942)</f>
        <v/>
      </c>
      <c r="B2142" s="3">
        <f t="shared" si="571"/>
        <v>0</v>
      </c>
      <c r="C2142" s="3">
        <f t="shared" si="572"/>
        <v>21</v>
      </c>
      <c r="K2142" s="3">
        <f>IF(OR($K$1="",对接源_02物料!$C942="",对接源_02物料!$C942&lt;&gt;$K$1,对接源_02物料!$B942=""),0,IF(OR(N(对接源_02物料!$B942)&lt;$K$2,N(对接源_02物料!$B942)&gt;$K$3),0,1))</f>
        <v>0</v>
      </c>
      <c r="L2142" s="3">
        <f>IF(OR($L$1="",对接源_02物料!$C942="",对接源_02物料!$C942&lt;&gt;$L$1,对接源_02物料!$B942=""),0,IF(OR(N(对接源_02物料!$B942)&lt;$L$2,N(对接源_02物料!$B942)&gt;$L$3),0,1))</f>
        <v>0</v>
      </c>
      <c r="M2142" s="3">
        <f>IF(OR($M$1="",对接源_02物料!$C942="",对接源_02物料!$C942&lt;&gt;$M$1,对接源_02物料!$B942=""),0,IF(OR(N(对接源_02物料!$B942)&lt;$M$2,N(对接源_02物料!$B942)&gt;$M$3),0,1))</f>
        <v>0</v>
      </c>
      <c r="N2142" s="3">
        <f>IF(OR($N$1="",对接源_02物料!$C942="",对接源_02物料!$C942&lt;&gt;$N$1,对接源_02物料!$B942=""),0,IF(OR(N(对接源_02物料!$B942)&lt;$N$2,N(对接源_02物料!$B942)&gt;$N$3),0,1))</f>
        <v>0</v>
      </c>
      <c r="P2142" s="3">
        <f>IF(AND($K2142=1,AND(对接源_02物料!$X942="公司筐",N(对接源_02物料!$T942)&lt;&gt;0)),1,0)</f>
        <v>0</v>
      </c>
      <c r="Q2142" s="3">
        <f t="shared" si="573"/>
        <v>8</v>
      </c>
      <c r="R2142" s="3">
        <f>IF(AND($K2142=1,AND(对接源_02物料!$X942="公司筐",N(对接源_02物料!$U942)&lt;&gt;0)),1,0)</f>
        <v>0</v>
      </c>
      <c r="S2142" s="3">
        <f t="shared" si="574"/>
        <v>0</v>
      </c>
      <c r="T2142" s="3">
        <f>IF(AND($K2142=1,AND(对接源_02物料!$X942="公司筐",N(对接源_02物料!$V942)&lt;&gt;0)),1,0)</f>
        <v>0</v>
      </c>
      <c r="U2142" s="3">
        <f t="shared" si="575"/>
        <v>19</v>
      </c>
      <c r="V2142" s="3">
        <f>IF(AND($L2142=1,AND(对接源_02物料!$X942="自备筐",N(对接源_02物料!$V942)&lt;&gt;0)),1,0)</f>
        <v>0</v>
      </c>
      <c r="W2142" s="3">
        <f t="shared" si="576"/>
        <v>8</v>
      </c>
      <c r="X2142" s="3">
        <f>IF(AND($L2142=1,AND(对接源_02物料!$X942="自备筐",N(对接源_02物料!$T942)&lt;&gt;0)),1,0)</f>
        <v>0</v>
      </c>
      <c r="Y2142" s="3">
        <f t="shared" si="577"/>
        <v>0</v>
      </c>
      <c r="Z2142" s="3">
        <f>IF(AND($M2142=1,对接源_02物料!$D942="原料入库"),1,0)</f>
        <v>0</v>
      </c>
      <c r="AA2142" s="3">
        <f t="shared" si="578"/>
        <v>24</v>
      </c>
      <c r="AB2142" s="3">
        <f>IF(AND($M2142=1,LEFT(对接源_02物料!$D942,4)="原料出库"),1,0)</f>
        <v>0</v>
      </c>
      <c r="AC2142" s="3">
        <f t="shared" si="579"/>
        <v>0</v>
      </c>
      <c r="AD2142" s="3">
        <f>IF(AND($M2142=1,LEFT(对接源_02物料!$D942,4)="成品出库"),1,0)</f>
        <v>0</v>
      </c>
      <c r="AE2142" s="3">
        <f t="shared" si="580"/>
        <v>0</v>
      </c>
      <c r="AF2142" s="3">
        <f>IF(AND($N2142=1,AND(LEFT(对接源_02物料!$D942,4)="包装物料",N(对接源_02物料!$K942)&lt;&gt;0)),1,0)</f>
        <v>0</v>
      </c>
      <c r="AG2142" s="3">
        <f t="shared" si="581"/>
        <v>5</v>
      </c>
      <c r="AH2142" s="3">
        <f>IF(AND($N2142=1,AND(对接源_02物料!$D942="周转筐－销售出库",N(对接源_02物料!$K942)&lt;&gt;0)),1,0)</f>
        <v>0</v>
      </c>
      <c r="AI2142" s="3">
        <f t="shared" si="582"/>
        <v>0</v>
      </c>
      <c r="AL2142" s="3">
        <v>0</v>
      </c>
      <c r="AM2142" s="3">
        <f t="shared" si="583"/>
        <v>1</v>
      </c>
      <c r="AN2142" s="3" t="str">
        <f t="shared" si="570"/>
        <v/>
      </c>
      <c r="AO2142" s="3">
        <v>0</v>
      </c>
      <c r="AP2142" s="3">
        <f t="shared" si="584"/>
        <v>8</v>
      </c>
      <c r="AR2142">
        <f t="shared" si="585"/>
        <v>0</v>
      </c>
      <c r="AS2142">
        <f t="shared" si="586"/>
        <v>5</v>
      </c>
    </row>
    <row r="2143" customHeight="1" spans="1:45">
      <c r="A2143" s="3" t="str">
        <f>IF(对接源_02物料!$C943="","",对接源_02物料!$C943)</f>
        <v/>
      </c>
      <c r="B2143" s="3">
        <f t="shared" si="571"/>
        <v>0</v>
      </c>
      <c r="C2143" s="3">
        <f t="shared" si="572"/>
        <v>21</v>
      </c>
      <c r="K2143" s="3">
        <f>IF(OR($K$1="",对接源_02物料!$C943="",对接源_02物料!$C943&lt;&gt;$K$1,对接源_02物料!$B943=""),0,IF(OR(N(对接源_02物料!$B943)&lt;$K$2,N(对接源_02物料!$B943)&gt;$K$3),0,1))</f>
        <v>0</v>
      </c>
      <c r="L2143" s="3">
        <f>IF(OR($L$1="",对接源_02物料!$C943="",对接源_02物料!$C943&lt;&gt;$L$1,对接源_02物料!$B943=""),0,IF(OR(N(对接源_02物料!$B943)&lt;$L$2,N(对接源_02物料!$B943)&gt;$L$3),0,1))</f>
        <v>0</v>
      </c>
      <c r="M2143" s="3">
        <f>IF(OR($M$1="",对接源_02物料!$C943="",对接源_02物料!$C943&lt;&gt;$M$1,对接源_02物料!$B943=""),0,IF(OR(N(对接源_02物料!$B943)&lt;$M$2,N(对接源_02物料!$B943)&gt;$M$3),0,1))</f>
        <v>0</v>
      </c>
      <c r="N2143" s="3">
        <f>IF(OR($N$1="",对接源_02物料!$C943="",对接源_02物料!$C943&lt;&gt;$N$1,对接源_02物料!$B943=""),0,IF(OR(N(对接源_02物料!$B943)&lt;$N$2,N(对接源_02物料!$B943)&gt;$N$3),0,1))</f>
        <v>0</v>
      </c>
      <c r="P2143" s="3">
        <f>IF(AND($K2143=1,AND(对接源_02物料!$X943="公司筐",N(对接源_02物料!$T943)&lt;&gt;0)),1,0)</f>
        <v>0</v>
      </c>
      <c r="Q2143" s="3">
        <f t="shared" si="573"/>
        <v>8</v>
      </c>
      <c r="R2143" s="3">
        <f>IF(AND($K2143=1,AND(对接源_02物料!$X943="公司筐",N(对接源_02物料!$U943)&lt;&gt;0)),1,0)</f>
        <v>0</v>
      </c>
      <c r="S2143" s="3">
        <f t="shared" si="574"/>
        <v>0</v>
      </c>
      <c r="T2143" s="3">
        <f>IF(AND($K2143=1,AND(对接源_02物料!$X943="公司筐",N(对接源_02物料!$V943)&lt;&gt;0)),1,0)</f>
        <v>0</v>
      </c>
      <c r="U2143" s="3">
        <f t="shared" si="575"/>
        <v>19</v>
      </c>
      <c r="V2143" s="3">
        <f>IF(AND($L2143=1,AND(对接源_02物料!$X943="自备筐",N(对接源_02物料!$V943)&lt;&gt;0)),1,0)</f>
        <v>0</v>
      </c>
      <c r="W2143" s="3">
        <f t="shared" si="576"/>
        <v>8</v>
      </c>
      <c r="X2143" s="3">
        <f>IF(AND($L2143=1,AND(对接源_02物料!$X943="自备筐",N(对接源_02物料!$T943)&lt;&gt;0)),1,0)</f>
        <v>0</v>
      </c>
      <c r="Y2143" s="3">
        <f t="shared" si="577"/>
        <v>0</v>
      </c>
      <c r="Z2143" s="3">
        <f>IF(AND($M2143=1,对接源_02物料!$D943="原料入库"),1,0)</f>
        <v>0</v>
      </c>
      <c r="AA2143" s="3">
        <f t="shared" si="578"/>
        <v>24</v>
      </c>
      <c r="AB2143" s="3">
        <f>IF(AND($M2143=1,LEFT(对接源_02物料!$D943,4)="原料出库"),1,0)</f>
        <v>0</v>
      </c>
      <c r="AC2143" s="3">
        <f t="shared" si="579"/>
        <v>0</v>
      </c>
      <c r="AD2143" s="3">
        <f>IF(AND($M2143=1,LEFT(对接源_02物料!$D943,4)="成品出库"),1,0)</f>
        <v>0</v>
      </c>
      <c r="AE2143" s="3">
        <f t="shared" si="580"/>
        <v>0</v>
      </c>
      <c r="AF2143" s="3">
        <f>IF(AND($N2143=1,AND(LEFT(对接源_02物料!$D943,4)="包装物料",N(对接源_02物料!$K943)&lt;&gt;0)),1,0)</f>
        <v>0</v>
      </c>
      <c r="AG2143" s="3">
        <f t="shared" si="581"/>
        <v>5</v>
      </c>
      <c r="AH2143" s="3">
        <f>IF(AND($N2143=1,AND(对接源_02物料!$D943="周转筐－销售出库",N(对接源_02物料!$K943)&lt;&gt;0)),1,0)</f>
        <v>0</v>
      </c>
      <c r="AI2143" s="3">
        <f t="shared" si="582"/>
        <v>0</v>
      </c>
      <c r="AL2143" s="3">
        <v>0</v>
      </c>
      <c r="AM2143" s="3">
        <f t="shared" si="583"/>
        <v>1</v>
      </c>
      <c r="AN2143" s="3" t="str">
        <f t="shared" si="570"/>
        <v/>
      </c>
      <c r="AO2143" s="3">
        <v>0</v>
      </c>
      <c r="AP2143" s="3">
        <f t="shared" si="584"/>
        <v>8</v>
      </c>
      <c r="AR2143">
        <f t="shared" si="585"/>
        <v>0</v>
      </c>
      <c r="AS2143">
        <f t="shared" si="586"/>
        <v>5</v>
      </c>
    </row>
    <row r="2144" customHeight="1" spans="1:45">
      <c r="A2144" s="3" t="str">
        <f>IF(对接源_02物料!$C944="","",对接源_02物料!$C944)</f>
        <v/>
      </c>
      <c r="B2144" s="3">
        <f t="shared" si="571"/>
        <v>0</v>
      </c>
      <c r="C2144" s="3">
        <f t="shared" si="572"/>
        <v>21</v>
      </c>
      <c r="K2144" s="3">
        <f>IF(OR($K$1="",对接源_02物料!$C944="",对接源_02物料!$C944&lt;&gt;$K$1,对接源_02物料!$B944=""),0,IF(OR(N(对接源_02物料!$B944)&lt;$K$2,N(对接源_02物料!$B944)&gt;$K$3),0,1))</f>
        <v>0</v>
      </c>
      <c r="L2144" s="3">
        <f>IF(OR($L$1="",对接源_02物料!$C944="",对接源_02物料!$C944&lt;&gt;$L$1,对接源_02物料!$B944=""),0,IF(OR(N(对接源_02物料!$B944)&lt;$L$2,N(对接源_02物料!$B944)&gt;$L$3),0,1))</f>
        <v>0</v>
      </c>
      <c r="M2144" s="3">
        <f>IF(OR($M$1="",对接源_02物料!$C944="",对接源_02物料!$C944&lt;&gt;$M$1,对接源_02物料!$B944=""),0,IF(OR(N(对接源_02物料!$B944)&lt;$M$2,N(对接源_02物料!$B944)&gt;$M$3),0,1))</f>
        <v>0</v>
      </c>
      <c r="N2144" s="3">
        <f>IF(OR($N$1="",对接源_02物料!$C944="",对接源_02物料!$C944&lt;&gt;$N$1,对接源_02物料!$B944=""),0,IF(OR(N(对接源_02物料!$B944)&lt;$N$2,N(对接源_02物料!$B944)&gt;$N$3),0,1))</f>
        <v>0</v>
      </c>
      <c r="P2144" s="3">
        <f>IF(AND($K2144=1,AND(对接源_02物料!$X944="公司筐",N(对接源_02物料!$T944)&lt;&gt;0)),1,0)</f>
        <v>0</v>
      </c>
      <c r="Q2144" s="3">
        <f t="shared" si="573"/>
        <v>8</v>
      </c>
      <c r="R2144" s="3">
        <f>IF(AND($K2144=1,AND(对接源_02物料!$X944="公司筐",N(对接源_02物料!$U944)&lt;&gt;0)),1,0)</f>
        <v>0</v>
      </c>
      <c r="S2144" s="3">
        <f t="shared" si="574"/>
        <v>0</v>
      </c>
      <c r="T2144" s="3">
        <f>IF(AND($K2144=1,AND(对接源_02物料!$X944="公司筐",N(对接源_02物料!$V944)&lt;&gt;0)),1,0)</f>
        <v>0</v>
      </c>
      <c r="U2144" s="3">
        <f t="shared" si="575"/>
        <v>19</v>
      </c>
      <c r="V2144" s="3">
        <f>IF(AND($L2144=1,AND(对接源_02物料!$X944="自备筐",N(对接源_02物料!$V944)&lt;&gt;0)),1,0)</f>
        <v>0</v>
      </c>
      <c r="W2144" s="3">
        <f t="shared" si="576"/>
        <v>8</v>
      </c>
      <c r="X2144" s="3">
        <f>IF(AND($L2144=1,AND(对接源_02物料!$X944="自备筐",N(对接源_02物料!$T944)&lt;&gt;0)),1,0)</f>
        <v>0</v>
      </c>
      <c r="Y2144" s="3">
        <f t="shared" si="577"/>
        <v>0</v>
      </c>
      <c r="Z2144" s="3">
        <f>IF(AND($M2144=1,对接源_02物料!$D944="原料入库"),1,0)</f>
        <v>0</v>
      </c>
      <c r="AA2144" s="3">
        <f t="shared" si="578"/>
        <v>24</v>
      </c>
      <c r="AB2144" s="3">
        <f>IF(AND($M2144=1,LEFT(对接源_02物料!$D944,4)="原料出库"),1,0)</f>
        <v>0</v>
      </c>
      <c r="AC2144" s="3">
        <f t="shared" si="579"/>
        <v>0</v>
      </c>
      <c r="AD2144" s="3">
        <f>IF(AND($M2144=1,LEFT(对接源_02物料!$D944,4)="成品出库"),1,0)</f>
        <v>0</v>
      </c>
      <c r="AE2144" s="3">
        <f t="shared" si="580"/>
        <v>0</v>
      </c>
      <c r="AF2144" s="3">
        <f>IF(AND($N2144=1,AND(LEFT(对接源_02物料!$D944,4)="包装物料",N(对接源_02物料!$K944)&lt;&gt;0)),1,0)</f>
        <v>0</v>
      </c>
      <c r="AG2144" s="3">
        <f t="shared" si="581"/>
        <v>5</v>
      </c>
      <c r="AH2144" s="3">
        <f>IF(AND($N2144=1,AND(对接源_02物料!$D944="周转筐－销售出库",N(对接源_02物料!$K944)&lt;&gt;0)),1,0)</f>
        <v>0</v>
      </c>
      <c r="AI2144" s="3">
        <f t="shared" si="582"/>
        <v>0</v>
      </c>
      <c r="AL2144" s="3">
        <v>0</v>
      </c>
      <c r="AM2144" s="3">
        <f t="shared" si="583"/>
        <v>1</v>
      </c>
      <c r="AN2144" s="3" t="str">
        <f t="shared" si="570"/>
        <v/>
      </c>
      <c r="AO2144" s="3">
        <v>0</v>
      </c>
      <c r="AP2144" s="3">
        <f t="shared" si="584"/>
        <v>8</v>
      </c>
      <c r="AR2144">
        <f t="shared" si="585"/>
        <v>0</v>
      </c>
      <c r="AS2144">
        <f t="shared" si="586"/>
        <v>5</v>
      </c>
    </row>
    <row r="2145" customHeight="1" spans="1:45">
      <c r="A2145" s="3" t="str">
        <f>IF(对接源_02物料!$C945="","",对接源_02物料!$C945)</f>
        <v/>
      </c>
      <c r="B2145" s="3">
        <f t="shared" si="571"/>
        <v>0</v>
      </c>
      <c r="C2145" s="3">
        <f t="shared" si="572"/>
        <v>21</v>
      </c>
      <c r="K2145" s="3">
        <f>IF(OR($K$1="",对接源_02物料!$C945="",对接源_02物料!$C945&lt;&gt;$K$1,对接源_02物料!$B945=""),0,IF(OR(N(对接源_02物料!$B945)&lt;$K$2,N(对接源_02物料!$B945)&gt;$K$3),0,1))</f>
        <v>0</v>
      </c>
      <c r="L2145" s="3">
        <f>IF(OR($L$1="",对接源_02物料!$C945="",对接源_02物料!$C945&lt;&gt;$L$1,对接源_02物料!$B945=""),0,IF(OR(N(对接源_02物料!$B945)&lt;$L$2,N(对接源_02物料!$B945)&gt;$L$3),0,1))</f>
        <v>0</v>
      </c>
      <c r="M2145" s="3">
        <f>IF(OR($M$1="",对接源_02物料!$C945="",对接源_02物料!$C945&lt;&gt;$M$1,对接源_02物料!$B945=""),0,IF(OR(N(对接源_02物料!$B945)&lt;$M$2,N(对接源_02物料!$B945)&gt;$M$3),0,1))</f>
        <v>0</v>
      </c>
      <c r="N2145" s="3">
        <f>IF(OR($N$1="",对接源_02物料!$C945="",对接源_02物料!$C945&lt;&gt;$N$1,对接源_02物料!$B945=""),0,IF(OR(N(对接源_02物料!$B945)&lt;$N$2,N(对接源_02物料!$B945)&gt;$N$3),0,1))</f>
        <v>0</v>
      </c>
      <c r="P2145" s="3">
        <f>IF(AND($K2145=1,AND(对接源_02物料!$X945="公司筐",N(对接源_02物料!$T945)&lt;&gt;0)),1,0)</f>
        <v>0</v>
      </c>
      <c r="Q2145" s="3">
        <f t="shared" si="573"/>
        <v>8</v>
      </c>
      <c r="R2145" s="3">
        <f>IF(AND($K2145=1,AND(对接源_02物料!$X945="公司筐",N(对接源_02物料!$U945)&lt;&gt;0)),1,0)</f>
        <v>0</v>
      </c>
      <c r="S2145" s="3">
        <f t="shared" si="574"/>
        <v>0</v>
      </c>
      <c r="T2145" s="3">
        <f>IF(AND($K2145=1,AND(对接源_02物料!$X945="公司筐",N(对接源_02物料!$V945)&lt;&gt;0)),1,0)</f>
        <v>0</v>
      </c>
      <c r="U2145" s="3">
        <f t="shared" si="575"/>
        <v>19</v>
      </c>
      <c r="V2145" s="3">
        <f>IF(AND($L2145=1,AND(对接源_02物料!$X945="自备筐",N(对接源_02物料!$V945)&lt;&gt;0)),1,0)</f>
        <v>0</v>
      </c>
      <c r="W2145" s="3">
        <f t="shared" si="576"/>
        <v>8</v>
      </c>
      <c r="X2145" s="3">
        <f>IF(AND($L2145=1,AND(对接源_02物料!$X945="自备筐",N(对接源_02物料!$T945)&lt;&gt;0)),1,0)</f>
        <v>0</v>
      </c>
      <c r="Y2145" s="3">
        <f t="shared" si="577"/>
        <v>0</v>
      </c>
      <c r="Z2145" s="3">
        <f>IF(AND($M2145=1,对接源_02物料!$D945="原料入库"),1,0)</f>
        <v>0</v>
      </c>
      <c r="AA2145" s="3">
        <f t="shared" si="578"/>
        <v>24</v>
      </c>
      <c r="AB2145" s="3">
        <f>IF(AND($M2145=1,LEFT(对接源_02物料!$D945,4)="原料出库"),1,0)</f>
        <v>0</v>
      </c>
      <c r="AC2145" s="3">
        <f t="shared" si="579"/>
        <v>0</v>
      </c>
      <c r="AD2145" s="3">
        <f>IF(AND($M2145=1,LEFT(对接源_02物料!$D945,4)="成品出库"),1,0)</f>
        <v>0</v>
      </c>
      <c r="AE2145" s="3">
        <f t="shared" si="580"/>
        <v>0</v>
      </c>
      <c r="AF2145" s="3">
        <f>IF(AND($N2145=1,AND(LEFT(对接源_02物料!$D945,4)="包装物料",N(对接源_02物料!$K945)&lt;&gt;0)),1,0)</f>
        <v>0</v>
      </c>
      <c r="AG2145" s="3">
        <f t="shared" si="581"/>
        <v>5</v>
      </c>
      <c r="AH2145" s="3">
        <f>IF(AND($N2145=1,AND(对接源_02物料!$D945="周转筐－销售出库",N(对接源_02物料!$K945)&lt;&gt;0)),1,0)</f>
        <v>0</v>
      </c>
      <c r="AI2145" s="3">
        <f t="shared" si="582"/>
        <v>0</v>
      </c>
      <c r="AL2145" s="3">
        <v>0</v>
      </c>
      <c r="AM2145" s="3">
        <f t="shared" si="583"/>
        <v>1</v>
      </c>
      <c r="AN2145" s="3" t="str">
        <f t="shared" si="570"/>
        <v/>
      </c>
      <c r="AO2145" s="3">
        <v>0</v>
      </c>
      <c r="AP2145" s="3">
        <f t="shared" si="584"/>
        <v>8</v>
      </c>
      <c r="AR2145">
        <f t="shared" si="585"/>
        <v>0</v>
      </c>
      <c r="AS2145">
        <f t="shared" si="586"/>
        <v>5</v>
      </c>
    </row>
    <row r="2146" customHeight="1" spans="1:45">
      <c r="A2146" s="3" t="str">
        <f>IF(对接源_02物料!$C946="","",对接源_02物料!$C946)</f>
        <v/>
      </c>
      <c r="B2146" s="3">
        <f t="shared" si="571"/>
        <v>0</v>
      </c>
      <c r="C2146" s="3">
        <f t="shared" si="572"/>
        <v>21</v>
      </c>
      <c r="K2146" s="3">
        <f>IF(OR($K$1="",对接源_02物料!$C946="",对接源_02物料!$C946&lt;&gt;$K$1,对接源_02物料!$B946=""),0,IF(OR(N(对接源_02物料!$B946)&lt;$K$2,N(对接源_02物料!$B946)&gt;$K$3),0,1))</f>
        <v>0</v>
      </c>
      <c r="L2146" s="3">
        <f>IF(OR($L$1="",对接源_02物料!$C946="",对接源_02物料!$C946&lt;&gt;$L$1,对接源_02物料!$B946=""),0,IF(OR(N(对接源_02物料!$B946)&lt;$L$2,N(对接源_02物料!$B946)&gt;$L$3),0,1))</f>
        <v>0</v>
      </c>
      <c r="M2146" s="3">
        <f>IF(OR($M$1="",对接源_02物料!$C946="",对接源_02物料!$C946&lt;&gt;$M$1,对接源_02物料!$B946=""),0,IF(OR(N(对接源_02物料!$B946)&lt;$M$2,N(对接源_02物料!$B946)&gt;$M$3),0,1))</f>
        <v>0</v>
      </c>
      <c r="N2146" s="3">
        <f>IF(OR($N$1="",对接源_02物料!$C946="",对接源_02物料!$C946&lt;&gt;$N$1,对接源_02物料!$B946=""),0,IF(OR(N(对接源_02物料!$B946)&lt;$N$2,N(对接源_02物料!$B946)&gt;$N$3),0,1))</f>
        <v>0</v>
      </c>
      <c r="P2146" s="3">
        <f>IF(AND($K2146=1,AND(对接源_02物料!$X946="公司筐",N(对接源_02物料!$T946)&lt;&gt;0)),1,0)</f>
        <v>0</v>
      </c>
      <c r="Q2146" s="3">
        <f t="shared" si="573"/>
        <v>8</v>
      </c>
      <c r="R2146" s="3">
        <f>IF(AND($K2146=1,AND(对接源_02物料!$X946="公司筐",N(对接源_02物料!$U946)&lt;&gt;0)),1,0)</f>
        <v>0</v>
      </c>
      <c r="S2146" s="3">
        <f t="shared" si="574"/>
        <v>0</v>
      </c>
      <c r="T2146" s="3">
        <f>IF(AND($K2146=1,AND(对接源_02物料!$X946="公司筐",N(对接源_02物料!$V946)&lt;&gt;0)),1,0)</f>
        <v>0</v>
      </c>
      <c r="U2146" s="3">
        <f t="shared" si="575"/>
        <v>19</v>
      </c>
      <c r="V2146" s="3">
        <f>IF(AND($L2146=1,AND(对接源_02物料!$X946="自备筐",N(对接源_02物料!$V946)&lt;&gt;0)),1,0)</f>
        <v>0</v>
      </c>
      <c r="W2146" s="3">
        <f t="shared" si="576"/>
        <v>8</v>
      </c>
      <c r="X2146" s="3">
        <f>IF(AND($L2146=1,AND(对接源_02物料!$X946="自备筐",N(对接源_02物料!$T946)&lt;&gt;0)),1,0)</f>
        <v>0</v>
      </c>
      <c r="Y2146" s="3">
        <f t="shared" si="577"/>
        <v>0</v>
      </c>
      <c r="Z2146" s="3">
        <f>IF(AND($M2146=1,对接源_02物料!$D946="原料入库"),1,0)</f>
        <v>0</v>
      </c>
      <c r="AA2146" s="3">
        <f t="shared" si="578"/>
        <v>24</v>
      </c>
      <c r="AB2146" s="3">
        <f>IF(AND($M2146=1,LEFT(对接源_02物料!$D946,4)="原料出库"),1,0)</f>
        <v>0</v>
      </c>
      <c r="AC2146" s="3">
        <f t="shared" si="579"/>
        <v>0</v>
      </c>
      <c r="AD2146" s="3">
        <f>IF(AND($M2146=1,LEFT(对接源_02物料!$D946,4)="成品出库"),1,0)</f>
        <v>0</v>
      </c>
      <c r="AE2146" s="3">
        <f t="shared" si="580"/>
        <v>0</v>
      </c>
      <c r="AF2146" s="3">
        <f>IF(AND($N2146=1,AND(LEFT(对接源_02物料!$D946,4)="包装物料",N(对接源_02物料!$K946)&lt;&gt;0)),1,0)</f>
        <v>0</v>
      </c>
      <c r="AG2146" s="3">
        <f t="shared" si="581"/>
        <v>5</v>
      </c>
      <c r="AH2146" s="3">
        <f>IF(AND($N2146=1,AND(对接源_02物料!$D946="周转筐－销售出库",N(对接源_02物料!$K946)&lt;&gt;0)),1,0)</f>
        <v>0</v>
      </c>
      <c r="AI2146" s="3">
        <f t="shared" si="582"/>
        <v>0</v>
      </c>
      <c r="AL2146" s="3">
        <v>0</v>
      </c>
      <c r="AM2146" s="3">
        <f t="shared" si="583"/>
        <v>1</v>
      </c>
      <c r="AN2146" s="3" t="str">
        <f t="shared" si="570"/>
        <v/>
      </c>
      <c r="AO2146" s="3">
        <v>0</v>
      </c>
      <c r="AP2146" s="3">
        <f t="shared" si="584"/>
        <v>8</v>
      </c>
      <c r="AR2146">
        <f t="shared" si="585"/>
        <v>0</v>
      </c>
      <c r="AS2146">
        <f t="shared" si="586"/>
        <v>5</v>
      </c>
    </row>
    <row r="2147" customHeight="1" spans="1:45">
      <c r="A2147" s="3" t="str">
        <f>IF(对接源_02物料!$C947="","",对接源_02物料!$C947)</f>
        <v/>
      </c>
      <c r="B2147" s="3">
        <f t="shared" si="571"/>
        <v>0</v>
      </c>
      <c r="C2147" s="3">
        <f t="shared" si="572"/>
        <v>21</v>
      </c>
      <c r="K2147" s="3">
        <f>IF(OR($K$1="",对接源_02物料!$C947="",对接源_02物料!$C947&lt;&gt;$K$1,对接源_02物料!$B947=""),0,IF(OR(N(对接源_02物料!$B947)&lt;$K$2,N(对接源_02物料!$B947)&gt;$K$3),0,1))</f>
        <v>0</v>
      </c>
      <c r="L2147" s="3">
        <f>IF(OR($L$1="",对接源_02物料!$C947="",对接源_02物料!$C947&lt;&gt;$L$1,对接源_02物料!$B947=""),0,IF(OR(N(对接源_02物料!$B947)&lt;$L$2,N(对接源_02物料!$B947)&gt;$L$3),0,1))</f>
        <v>0</v>
      </c>
      <c r="M2147" s="3">
        <f>IF(OR($M$1="",对接源_02物料!$C947="",对接源_02物料!$C947&lt;&gt;$M$1,对接源_02物料!$B947=""),0,IF(OR(N(对接源_02物料!$B947)&lt;$M$2,N(对接源_02物料!$B947)&gt;$M$3),0,1))</f>
        <v>0</v>
      </c>
      <c r="N2147" s="3">
        <f>IF(OR($N$1="",对接源_02物料!$C947="",对接源_02物料!$C947&lt;&gt;$N$1,对接源_02物料!$B947=""),0,IF(OR(N(对接源_02物料!$B947)&lt;$N$2,N(对接源_02物料!$B947)&gt;$N$3),0,1))</f>
        <v>0</v>
      </c>
      <c r="P2147" s="3">
        <f>IF(AND($K2147=1,AND(对接源_02物料!$X947="公司筐",N(对接源_02物料!$T947)&lt;&gt;0)),1,0)</f>
        <v>0</v>
      </c>
      <c r="Q2147" s="3">
        <f t="shared" si="573"/>
        <v>8</v>
      </c>
      <c r="R2147" s="3">
        <f>IF(AND($K2147=1,AND(对接源_02物料!$X947="公司筐",N(对接源_02物料!$U947)&lt;&gt;0)),1,0)</f>
        <v>0</v>
      </c>
      <c r="S2147" s="3">
        <f t="shared" si="574"/>
        <v>0</v>
      </c>
      <c r="T2147" s="3">
        <f>IF(AND($K2147=1,AND(对接源_02物料!$X947="公司筐",N(对接源_02物料!$V947)&lt;&gt;0)),1,0)</f>
        <v>0</v>
      </c>
      <c r="U2147" s="3">
        <f t="shared" si="575"/>
        <v>19</v>
      </c>
      <c r="V2147" s="3">
        <f>IF(AND($L2147=1,AND(对接源_02物料!$X947="自备筐",N(对接源_02物料!$V947)&lt;&gt;0)),1,0)</f>
        <v>0</v>
      </c>
      <c r="W2147" s="3">
        <f t="shared" si="576"/>
        <v>8</v>
      </c>
      <c r="X2147" s="3">
        <f>IF(AND($L2147=1,AND(对接源_02物料!$X947="自备筐",N(对接源_02物料!$T947)&lt;&gt;0)),1,0)</f>
        <v>0</v>
      </c>
      <c r="Y2147" s="3">
        <f t="shared" si="577"/>
        <v>0</v>
      </c>
      <c r="Z2147" s="3">
        <f>IF(AND($M2147=1,对接源_02物料!$D947="原料入库"),1,0)</f>
        <v>0</v>
      </c>
      <c r="AA2147" s="3">
        <f t="shared" si="578"/>
        <v>24</v>
      </c>
      <c r="AB2147" s="3">
        <f>IF(AND($M2147=1,LEFT(对接源_02物料!$D947,4)="原料出库"),1,0)</f>
        <v>0</v>
      </c>
      <c r="AC2147" s="3">
        <f t="shared" si="579"/>
        <v>0</v>
      </c>
      <c r="AD2147" s="3">
        <f>IF(AND($M2147=1,LEFT(对接源_02物料!$D947,4)="成品出库"),1,0)</f>
        <v>0</v>
      </c>
      <c r="AE2147" s="3">
        <f t="shared" si="580"/>
        <v>0</v>
      </c>
      <c r="AF2147" s="3">
        <f>IF(AND($N2147=1,AND(LEFT(对接源_02物料!$D947,4)="包装物料",N(对接源_02物料!$K947)&lt;&gt;0)),1,0)</f>
        <v>0</v>
      </c>
      <c r="AG2147" s="3">
        <f t="shared" si="581"/>
        <v>5</v>
      </c>
      <c r="AH2147" s="3">
        <f>IF(AND($N2147=1,AND(对接源_02物料!$D947="周转筐－销售出库",N(对接源_02物料!$K947)&lt;&gt;0)),1,0)</f>
        <v>0</v>
      </c>
      <c r="AI2147" s="3">
        <f t="shared" si="582"/>
        <v>0</v>
      </c>
      <c r="AL2147" s="3">
        <v>0</v>
      </c>
      <c r="AM2147" s="3">
        <f t="shared" si="583"/>
        <v>1</v>
      </c>
      <c r="AN2147" s="3" t="str">
        <f t="shared" si="570"/>
        <v/>
      </c>
      <c r="AO2147" s="3">
        <v>0</v>
      </c>
      <c r="AP2147" s="3">
        <f t="shared" si="584"/>
        <v>8</v>
      </c>
      <c r="AR2147">
        <f t="shared" si="585"/>
        <v>0</v>
      </c>
      <c r="AS2147">
        <f t="shared" si="586"/>
        <v>5</v>
      </c>
    </row>
    <row r="2148" customHeight="1" spans="1:45">
      <c r="A2148" s="3" t="str">
        <f>IF(对接源_02物料!$C948="","",对接源_02物料!$C948)</f>
        <v/>
      </c>
      <c r="B2148" s="3">
        <f t="shared" si="571"/>
        <v>0</v>
      </c>
      <c r="C2148" s="3">
        <f t="shared" si="572"/>
        <v>21</v>
      </c>
      <c r="K2148" s="3">
        <f>IF(OR($K$1="",对接源_02物料!$C948="",对接源_02物料!$C948&lt;&gt;$K$1,对接源_02物料!$B948=""),0,IF(OR(N(对接源_02物料!$B948)&lt;$K$2,N(对接源_02物料!$B948)&gt;$K$3),0,1))</f>
        <v>0</v>
      </c>
      <c r="L2148" s="3">
        <f>IF(OR($L$1="",对接源_02物料!$C948="",对接源_02物料!$C948&lt;&gt;$L$1,对接源_02物料!$B948=""),0,IF(OR(N(对接源_02物料!$B948)&lt;$L$2,N(对接源_02物料!$B948)&gt;$L$3),0,1))</f>
        <v>0</v>
      </c>
      <c r="M2148" s="3">
        <f>IF(OR($M$1="",对接源_02物料!$C948="",对接源_02物料!$C948&lt;&gt;$M$1,对接源_02物料!$B948=""),0,IF(OR(N(对接源_02物料!$B948)&lt;$M$2,N(对接源_02物料!$B948)&gt;$M$3),0,1))</f>
        <v>0</v>
      </c>
      <c r="N2148" s="3">
        <f>IF(OR($N$1="",对接源_02物料!$C948="",对接源_02物料!$C948&lt;&gt;$N$1,对接源_02物料!$B948=""),0,IF(OR(N(对接源_02物料!$B948)&lt;$N$2,N(对接源_02物料!$B948)&gt;$N$3),0,1))</f>
        <v>0</v>
      </c>
      <c r="P2148" s="3">
        <f>IF(AND($K2148=1,AND(对接源_02物料!$X948="公司筐",N(对接源_02物料!$T948)&lt;&gt;0)),1,0)</f>
        <v>0</v>
      </c>
      <c r="Q2148" s="3">
        <f t="shared" si="573"/>
        <v>8</v>
      </c>
      <c r="R2148" s="3">
        <f>IF(AND($K2148=1,AND(对接源_02物料!$X948="公司筐",N(对接源_02物料!$U948)&lt;&gt;0)),1,0)</f>
        <v>0</v>
      </c>
      <c r="S2148" s="3">
        <f t="shared" si="574"/>
        <v>0</v>
      </c>
      <c r="T2148" s="3">
        <f>IF(AND($K2148=1,AND(对接源_02物料!$X948="公司筐",N(对接源_02物料!$V948)&lt;&gt;0)),1,0)</f>
        <v>0</v>
      </c>
      <c r="U2148" s="3">
        <f t="shared" si="575"/>
        <v>19</v>
      </c>
      <c r="V2148" s="3">
        <f>IF(AND($L2148=1,AND(对接源_02物料!$X948="自备筐",N(对接源_02物料!$V948)&lt;&gt;0)),1,0)</f>
        <v>0</v>
      </c>
      <c r="W2148" s="3">
        <f t="shared" si="576"/>
        <v>8</v>
      </c>
      <c r="X2148" s="3">
        <f>IF(AND($L2148=1,AND(对接源_02物料!$X948="自备筐",N(对接源_02物料!$T948)&lt;&gt;0)),1,0)</f>
        <v>0</v>
      </c>
      <c r="Y2148" s="3">
        <f t="shared" si="577"/>
        <v>0</v>
      </c>
      <c r="Z2148" s="3">
        <f>IF(AND($M2148=1,对接源_02物料!$D948="原料入库"),1,0)</f>
        <v>0</v>
      </c>
      <c r="AA2148" s="3">
        <f t="shared" si="578"/>
        <v>24</v>
      </c>
      <c r="AB2148" s="3">
        <f>IF(AND($M2148=1,LEFT(对接源_02物料!$D948,4)="原料出库"),1,0)</f>
        <v>0</v>
      </c>
      <c r="AC2148" s="3">
        <f t="shared" si="579"/>
        <v>0</v>
      </c>
      <c r="AD2148" s="3">
        <f>IF(AND($M2148=1,LEFT(对接源_02物料!$D948,4)="成品出库"),1,0)</f>
        <v>0</v>
      </c>
      <c r="AE2148" s="3">
        <f t="shared" si="580"/>
        <v>0</v>
      </c>
      <c r="AF2148" s="3">
        <f>IF(AND($N2148=1,AND(LEFT(对接源_02物料!$D948,4)="包装物料",N(对接源_02物料!$K948)&lt;&gt;0)),1,0)</f>
        <v>0</v>
      </c>
      <c r="AG2148" s="3">
        <f t="shared" si="581"/>
        <v>5</v>
      </c>
      <c r="AH2148" s="3">
        <f>IF(AND($N2148=1,AND(对接源_02物料!$D948="周转筐－销售出库",N(对接源_02物料!$K948)&lt;&gt;0)),1,0)</f>
        <v>0</v>
      </c>
      <c r="AI2148" s="3">
        <f t="shared" si="582"/>
        <v>0</v>
      </c>
      <c r="AL2148" s="3">
        <v>0</v>
      </c>
      <c r="AM2148" s="3">
        <f t="shared" si="583"/>
        <v>1</v>
      </c>
      <c r="AN2148" s="3" t="str">
        <f t="shared" si="570"/>
        <v/>
      </c>
      <c r="AO2148" s="3">
        <v>0</v>
      </c>
      <c r="AP2148" s="3">
        <f t="shared" si="584"/>
        <v>8</v>
      </c>
      <c r="AR2148">
        <f t="shared" si="585"/>
        <v>0</v>
      </c>
      <c r="AS2148">
        <f t="shared" si="586"/>
        <v>5</v>
      </c>
    </row>
    <row r="2149" customHeight="1" spans="1:45">
      <c r="A2149" s="3" t="str">
        <f>IF(对接源_02物料!$C949="","",对接源_02物料!$C949)</f>
        <v/>
      </c>
      <c r="B2149" s="3">
        <f t="shared" si="571"/>
        <v>0</v>
      </c>
      <c r="C2149" s="3">
        <f t="shared" si="572"/>
        <v>21</v>
      </c>
      <c r="K2149" s="3">
        <f>IF(OR($K$1="",对接源_02物料!$C949="",对接源_02物料!$C949&lt;&gt;$K$1,对接源_02物料!$B949=""),0,IF(OR(N(对接源_02物料!$B949)&lt;$K$2,N(对接源_02物料!$B949)&gt;$K$3),0,1))</f>
        <v>0</v>
      </c>
      <c r="L2149" s="3">
        <f>IF(OR($L$1="",对接源_02物料!$C949="",对接源_02物料!$C949&lt;&gt;$L$1,对接源_02物料!$B949=""),0,IF(OR(N(对接源_02物料!$B949)&lt;$L$2,N(对接源_02物料!$B949)&gt;$L$3),0,1))</f>
        <v>0</v>
      </c>
      <c r="M2149" s="3">
        <f>IF(OR($M$1="",对接源_02物料!$C949="",对接源_02物料!$C949&lt;&gt;$M$1,对接源_02物料!$B949=""),0,IF(OR(N(对接源_02物料!$B949)&lt;$M$2,N(对接源_02物料!$B949)&gt;$M$3),0,1))</f>
        <v>0</v>
      </c>
      <c r="N2149" s="3">
        <f>IF(OR($N$1="",对接源_02物料!$C949="",对接源_02物料!$C949&lt;&gt;$N$1,对接源_02物料!$B949=""),0,IF(OR(N(对接源_02物料!$B949)&lt;$N$2,N(对接源_02物料!$B949)&gt;$N$3),0,1))</f>
        <v>0</v>
      </c>
      <c r="P2149" s="3">
        <f>IF(AND($K2149=1,AND(对接源_02物料!$X949="公司筐",N(对接源_02物料!$T949)&lt;&gt;0)),1,0)</f>
        <v>0</v>
      </c>
      <c r="Q2149" s="3">
        <f t="shared" si="573"/>
        <v>8</v>
      </c>
      <c r="R2149" s="3">
        <f>IF(AND($K2149=1,AND(对接源_02物料!$X949="公司筐",N(对接源_02物料!$U949)&lt;&gt;0)),1,0)</f>
        <v>0</v>
      </c>
      <c r="S2149" s="3">
        <f t="shared" si="574"/>
        <v>0</v>
      </c>
      <c r="T2149" s="3">
        <f>IF(AND($K2149=1,AND(对接源_02物料!$X949="公司筐",N(对接源_02物料!$V949)&lt;&gt;0)),1,0)</f>
        <v>0</v>
      </c>
      <c r="U2149" s="3">
        <f t="shared" si="575"/>
        <v>19</v>
      </c>
      <c r="V2149" s="3">
        <f>IF(AND($L2149=1,AND(对接源_02物料!$X949="自备筐",N(对接源_02物料!$V949)&lt;&gt;0)),1,0)</f>
        <v>0</v>
      </c>
      <c r="W2149" s="3">
        <f t="shared" si="576"/>
        <v>8</v>
      </c>
      <c r="X2149" s="3">
        <f>IF(AND($L2149=1,AND(对接源_02物料!$X949="自备筐",N(对接源_02物料!$T949)&lt;&gt;0)),1,0)</f>
        <v>0</v>
      </c>
      <c r="Y2149" s="3">
        <f t="shared" si="577"/>
        <v>0</v>
      </c>
      <c r="Z2149" s="3">
        <f>IF(AND($M2149=1,对接源_02物料!$D949="原料入库"),1,0)</f>
        <v>0</v>
      </c>
      <c r="AA2149" s="3">
        <f t="shared" si="578"/>
        <v>24</v>
      </c>
      <c r="AB2149" s="3">
        <f>IF(AND($M2149=1,LEFT(对接源_02物料!$D949,4)="原料出库"),1,0)</f>
        <v>0</v>
      </c>
      <c r="AC2149" s="3">
        <f t="shared" si="579"/>
        <v>0</v>
      </c>
      <c r="AD2149" s="3">
        <f>IF(AND($M2149=1,LEFT(对接源_02物料!$D949,4)="成品出库"),1,0)</f>
        <v>0</v>
      </c>
      <c r="AE2149" s="3">
        <f t="shared" si="580"/>
        <v>0</v>
      </c>
      <c r="AF2149" s="3">
        <f>IF(AND($N2149=1,AND(LEFT(对接源_02物料!$D949,4)="包装物料",N(对接源_02物料!$K949)&lt;&gt;0)),1,0)</f>
        <v>0</v>
      </c>
      <c r="AG2149" s="3">
        <f t="shared" si="581"/>
        <v>5</v>
      </c>
      <c r="AH2149" s="3">
        <f>IF(AND($N2149=1,AND(对接源_02物料!$D949="周转筐－销售出库",N(对接源_02物料!$K949)&lt;&gt;0)),1,0)</f>
        <v>0</v>
      </c>
      <c r="AI2149" s="3">
        <f t="shared" si="582"/>
        <v>0</v>
      </c>
      <c r="AL2149" s="3">
        <v>0</v>
      </c>
      <c r="AM2149" s="3">
        <f t="shared" si="583"/>
        <v>1</v>
      </c>
      <c r="AN2149" s="3" t="str">
        <f t="shared" si="570"/>
        <v/>
      </c>
      <c r="AO2149" s="3">
        <v>0</v>
      </c>
      <c r="AP2149" s="3">
        <f t="shared" si="584"/>
        <v>8</v>
      </c>
      <c r="AR2149">
        <f t="shared" si="585"/>
        <v>0</v>
      </c>
      <c r="AS2149">
        <f t="shared" si="586"/>
        <v>5</v>
      </c>
    </row>
    <row r="2150" customHeight="1" spans="1:45">
      <c r="A2150" s="3" t="str">
        <f>IF(对接源_02物料!$C950="","",对接源_02物料!$C950)</f>
        <v/>
      </c>
      <c r="B2150" s="3">
        <f t="shared" si="571"/>
        <v>0</v>
      </c>
      <c r="C2150" s="3">
        <f t="shared" si="572"/>
        <v>21</v>
      </c>
      <c r="K2150" s="3">
        <f>IF(OR($K$1="",对接源_02物料!$C950="",对接源_02物料!$C950&lt;&gt;$K$1,对接源_02物料!$B950=""),0,IF(OR(N(对接源_02物料!$B950)&lt;$K$2,N(对接源_02物料!$B950)&gt;$K$3),0,1))</f>
        <v>0</v>
      </c>
      <c r="L2150" s="3">
        <f>IF(OR($L$1="",对接源_02物料!$C950="",对接源_02物料!$C950&lt;&gt;$L$1,对接源_02物料!$B950=""),0,IF(OR(N(对接源_02物料!$B950)&lt;$L$2,N(对接源_02物料!$B950)&gt;$L$3),0,1))</f>
        <v>0</v>
      </c>
      <c r="M2150" s="3">
        <f>IF(OR($M$1="",对接源_02物料!$C950="",对接源_02物料!$C950&lt;&gt;$M$1,对接源_02物料!$B950=""),0,IF(OR(N(对接源_02物料!$B950)&lt;$M$2,N(对接源_02物料!$B950)&gt;$M$3),0,1))</f>
        <v>0</v>
      </c>
      <c r="N2150" s="3">
        <f>IF(OR($N$1="",对接源_02物料!$C950="",对接源_02物料!$C950&lt;&gt;$N$1,对接源_02物料!$B950=""),0,IF(OR(N(对接源_02物料!$B950)&lt;$N$2,N(对接源_02物料!$B950)&gt;$N$3),0,1))</f>
        <v>0</v>
      </c>
      <c r="P2150" s="3">
        <f>IF(AND($K2150=1,AND(对接源_02物料!$X950="公司筐",N(对接源_02物料!$T950)&lt;&gt;0)),1,0)</f>
        <v>0</v>
      </c>
      <c r="Q2150" s="3">
        <f t="shared" si="573"/>
        <v>8</v>
      </c>
      <c r="R2150" s="3">
        <f>IF(AND($K2150=1,AND(对接源_02物料!$X950="公司筐",N(对接源_02物料!$U950)&lt;&gt;0)),1,0)</f>
        <v>0</v>
      </c>
      <c r="S2150" s="3">
        <f t="shared" si="574"/>
        <v>0</v>
      </c>
      <c r="T2150" s="3">
        <f>IF(AND($K2150=1,AND(对接源_02物料!$X950="公司筐",N(对接源_02物料!$V950)&lt;&gt;0)),1,0)</f>
        <v>0</v>
      </c>
      <c r="U2150" s="3">
        <f t="shared" si="575"/>
        <v>19</v>
      </c>
      <c r="V2150" s="3">
        <f>IF(AND($L2150=1,AND(对接源_02物料!$X950="自备筐",N(对接源_02物料!$V950)&lt;&gt;0)),1,0)</f>
        <v>0</v>
      </c>
      <c r="W2150" s="3">
        <f t="shared" si="576"/>
        <v>8</v>
      </c>
      <c r="X2150" s="3">
        <f>IF(AND($L2150=1,AND(对接源_02物料!$X950="自备筐",N(对接源_02物料!$T950)&lt;&gt;0)),1,0)</f>
        <v>0</v>
      </c>
      <c r="Y2150" s="3">
        <f t="shared" si="577"/>
        <v>0</v>
      </c>
      <c r="Z2150" s="3">
        <f>IF(AND($M2150=1,对接源_02物料!$D950="原料入库"),1,0)</f>
        <v>0</v>
      </c>
      <c r="AA2150" s="3">
        <f t="shared" si="578"/>
        <v>24</v>
      </c>
      <c r="AB2150" s="3">
        <f>IF(AND($M2150=1,LEFT(对接源_02物料!$D950,4)="原料出库"),1,0)</f>
        <v>0</v>
      </c>
      <c r="AC2150" s="3">
        <f t="shared" si="579"/>
        <v>0</v>
      </c>
      <c r="AD2150" s="3">
        <f>IF(AND($M2150=1,LEFT(对接源_02物料!$D950,4)="成品出库"),1,0)</f>
        <v>0</v>
      </c>
      <c r="AE2150" s="3">
        <f t="shared" si="580"/>
        <v>0</v>
      </c>
      <c r="AF2150" s="3">
        <f>IF(AND($N2150=1,AND(LEFT(对接源_02物料!$D950,4)="包装物料",N(对接源_02物料!$K950)&lt;&gt;0)),1,0)</f>
        <v>0</v>
      </c>
      <c r="AG2150" s="3">
        <f t="shared" si="581"/>
        <v>5</v>
      </c>
      <c r="AH2150" s="3">
        <f>IF(AND($N2150=1,AND(对接源_02物料!$D950="周转筐－销售出库",N(对接源_02物料!$K950)&lt;&gt;0)),1,0)</f>
        <v>0</v>
      </c>
      <c r="AI2150" s="3">
        <f t="shared" si="582"/>
        <v>0</v>
      </c>
      <c r="AL2150" s="3">
        <v>0</v>
      </c>
      <c r="AM2150" s="3">
        <f t="shared" si="583"/>
        <v>1</v>
      </c>
      <c r="AN2150" s="3" t="str">
        <f t="shared" si="570"/>
        <v/>
      </c>
      <c r="AO2150" s="3">
        <v>0</v>
      </c>
      <c r="AP2150" s="3">
        <f t="shared" si="584"/>
        <v>8</v>
      </c>
      <c r="AR2150">
        <f t="shared" si="585"/>
        <v>0</v>
      </c>
      <c r="AS2150">
        <f t="shared" si="586"/>
        <v>5</v>
      </c>
    </row>
    <row r="2151" customHeight="1" spans="1:45">
      <c r="A2151" s="3" t="str">
        <f>IF(对接源_02物料!$C951="","",对接源_02物料!$C951)</f>
        <v/>
      </c>
      <c r="B2151" s="3">
        <f t="shared" si="571"/>
        <v>0</v>
      </c>
      <c r="C2151" s="3">
        <f t="shared" si="572"/>
        <v>21</v>
      </c>
      <c r="K2151" s="3">
        <f>IF(OR($K$1="",对接源_02物料!$C951="",对接源_02物料!$C951&lt;&gt;$K$1,对接源_02物料!$B951=""),0,IF(OR(N(对接源_02物料!$B951)&lt;$K$2,N(对接源_02物料!$B951)&gt;$K$3),0,1))</f>
        <v>0</v>
      </c>
      <c r="L2151" s="3">
        <f>IF(OR($L$1="",对接源_02物料!$C951="",对接源_02物料!$C951&lt;&gt;$L$1,对接源_02物料!$B951=""),0,IF(OR(N(对接源_02物料!$B951)&lt;$L$2,N(对接源_02物料!$B951)&gt;$L$3),0,1))</f>
        <v>0</v>
      </c>
      <c r="M2151" s="3">
        <f>IF(OR($M$1="",对接源_02物料!$C951="",对接源_02物料!$C951&lt;&gt;$M$1,对接源_02物料!$B951=""),0,IF(OR(N(对接源_02物料!$B951)&lt;$M$2,N(对接源_02物料!$B951)&gt;$M$3),0,1))</f>
        <v>0</v>
      </c>
      <c r="N2151" s="3">
        <f>IF(OR($N$1="",对接源_02物料!$C951="",对接源_02物料!$C951&lt;&gt;$N$1,对接源_02物料!$B951=""),0,IF(OR(N(对接源_02物料!$B951)&lt;$N$2,N(对接源_02物料!$B951)&gt;$N$3),0,1))</f>
        <v>0</v>
      </c>
      <c r="P2151" s="3">
        <f>IF(AND($K2151=1,AND(对接源_02物料!$X951="公司筐",N(对接源_02物料!$T951)&lt;&gt;0)),1,0)</f>
        <v>0</v>
      </c>
      <c r="Q2151" s="3">
        <f t="shared" si="573"/>
        <v>8</v>
      </c>
      <c r="R2151" s="3">
        <f>IF(AND($K2151=1,AND(对接源_02物料!$X951="公司筐",N(对接源_02物料!$U951)&lt;&gt;0)),1,0)</f>
        <v>0</v>
      </c>
      <c r="S2151" s="3">
        <f t="shared" si="574"/>
        <v>0</v>
      </c>
      <c r="T2151" s="3">
        <f>IF(AND($K2151=1,AND(对接源_02物料!$X951="公司筐",N(对接源_02物料!$V951)&lt;&gt;0)),1,0)</f>
        <v>0</v>
      </c>
      <c r="U2151" s="3">
        <f t="shared" si="575"/>
        <v>19</v>
      </c>
      <c r="V2151" s="3">
        <f>IF(AND($L2151=1,AND(对接源_02物料!$X951="自备筐",N(对接源_02物料!$V951)&lt;&gt;0)),1,0)</f>
        <v>0</v>
      </c>
      <c r="W2151" s="3">
        <f t="shared" si="576"/>
        <v>8</v>
      </c>
      <c r="X2151" s="3">
        <f>IF(AND($L2151=1,AND(对接源_02物料!$X951="自备筐",N(对接源_02物料!$T951)&lt;&gt;0)),1,0)</f>
        <v>0</v>
      </c>
      <c r="Y2151" s="3">
        <f t="shared" si="577"/>
        <v>0</v>
      </c>
      <c r="Z2151" s="3">
        <f>IF(AND($M2151=1,对接源_02物料!$D951="原料入库"),1,0)</f>
        <v>0</v>
      </c>
      <c r="AA2151" s="3">
        <f t="shared" si="578"/>
        <v>24</v>
      </c>
      <c r="AB2151" s="3">
        <f>IF(AND($M2151=1,LEFT(对接源_02物料!$D951,4)="原料出库"),1,0)</f>
        <v>0</v>
      </c>
      <c r="AC2151" s="3">
        <f t="shared" si="579"/>
        <v>0</v>
      </c>
      <c r="AD2151" s="3">
        <f>IF(AND($M2151=1,LEFT(对接源_02物料!$D951,4)="成品出库"),1,0)</f>
        <v>0</v>
      </c>
      <c r="AE2151" s="3">
        <f t="shared" si="580"/>
        <v>0</v>
      </c>
      <c r="AF2151" s="3">
        <f>IF(AND($N2151=1,AND(LEFT(对接源_02物料!$D951,4)="包装物料",N(对接源_02物料!$K951)&lt;&gt;0)),1,0)</f>
        <v>0</v>
      </c>
      <c r="AG2151" s="3">
        <f t="shared" si="581"/>
        <v>5</v>
      </c>
      <c r="AH2151" s="3">
        <f>IF(AND($N2151=1,AND(对接源_02物料!$D951="周转筐－销售出库",N(对接源_02物料!$K951)&lt;&gt;0)),1,0)</f>
        <v>0</v>
      </c>
      <c r="AI2151" s="3">
        <f t="shared" si="582"/>
        <v>0</v>
      </c>
      <c r="AL2151" s="3">
        <v>0</v>
      </c>
      <c r="AM2151" s="3">
        <f t="shared" si="583"/>
        <v>1</v>
      </c>
      <c r="AN2151" s="3" t="str">
        <f t="shared" si="570"/>
        <v/>
      </c>
      <c r="AO2151" s="3">
        <v>0</v>
      </c>
      <c r="AP2151" s="3">
        <f t="shared" si="584"/>
        <v>8</v>
      </c>
      <c r="AR2151">
        <f t="shared" si="585"/>
        <v>0</v>
      </c>
      <c r="AS2151">
        <f t="shared" si="586"/>
        <v>5</v>
      </c>
    </row>
    <row r="2152" customHeight="1" spans="1:45">
      <c r="A2152" s="3" t="str">
        <f>IF(对接源_02物料!$C952="","",对接源_02物料!$C952)</f>
        <v/>
      </c>
      <c r="B2152" s="3">
        <f t="shared" si="571"/>
        <v>0</v>
      </c>
      <c r="C2152" s="3">
        <f t="shared" si="572"/>
        <v>21</v>
      </c>
      <c r="K2152" s="3">
        <f>IF(OR($K$1="",对接源_02物料!$C952="",对接源_02物料!$C952&lt;&gt;$K$1,对接源_02物料!$B952=""),0,IF(OR(N(对接源_02物料!$B952)&lt;$K$2,N(对接源_02物料!$B952)&gt;$K$3),0,1))</f>
        <v>0</v>
      </c>
      <c r="L2152" s="3">
        <f>IF(OR($L$1="",对接源_02物料!$C952="",对接源_02物料!$C952&lt;&gt;$L$1,对接源_02物料!$B952=""),0,IF(OR(N(对接源_02物料!$B952)&lt;$L$2,N(对接源_02物料!$B952)&gt;$L$3),0,1))</f>
        <v>0</v>
      </c>
      <c r="M2152" s="3">
        <f>IF(OR($M$1="",对接源_02物料!$C952="",对接源_02物料!$C952&lt;&gt;$M$1,对接源_02物料!$B952=""),0,IF(OR(N(对接源_02物料!$B952)&lt;$M$2,N(对接源_02物料!$B952)&gt;$M$3),0,1))</f>
        <v>0</v>
      </c>
      <c r="N2152" s="3">
        <f>IF(OR($N$1="",对接源_02物料!$C952="",对接源_02物料!$C952&lt;&gt;$N$1,对接源_02物料!$B952=""),0,IF(OR(N(对接源_02物料!$B952)&lt;$N$2,N(对接源_02物料!$B952)&gt;$N$3),0,1))</f>
        <v>0</v>
      </c>
      <c r="P2152" s="3">
        <f>IF(AND($K2152=1,AND(对接源_02物料!$X952="公司筐",N(对接源_02物料!$T952)&lt;&gt;0)),1,0)</f>
        <v>0</v>
      </c>
      <c r="Q2152" s="3">
        <f t="shared" si="573"/>
        <v>8</v>
      </c>
      <c r="R2152" s="3">
        <f>IF(AND($K2152=1,AND(对接源_02物料!$X952="公司筐",N(对接源_02物料!$U952)&lt;&gt;0)),1,0)</f>
        <v>0</v>
      </c>
      <c r="S2152" s="3">
        <f t="shared" si="574"/>
        <v>0</v>
      </c>
      <c r="T2152" s="3">
        <f>IF(AND($K2152=1,AND(对接源_02物料!$X952="公司筐",N(对接源_02物料!$V952)&lt;&gt;0)),1,0)</f>
        <v>0</v>
      </c>
      <c r="U2152" s="3">
        <f t="shared" si="575"/>
        <v>19</v>
      </c>
      <c r="V2152" s="3">
        <f>IF(AND($L2152=1,AND(对接源_02物料!$X952="自备筐",N(对接源_02物料!$V952)&lt;&gt;0)),1,0)</f>
        <v>0</v>
      </c>
      <c r="W2152" s="3">
        <f t="shared" si="576"/>
        <v>8</v>
      </c>
      <c r="X2152" s="3">
        <f>IF(AND($L2152=1,AND(对接源_02物料!$X952="自备筐",N(对接源_02物料!$T952)&lt;&gt;0)),1,0)</f>
        <v>0</v>
      </c>
      <c r="Y2152" s="3">
        <f t="shared" si="577"/>
        <v>0</v>
      </c>
      <c r="Z2152" s="3">
        <f>IF(AND($M2152=1,对接源_02物料!$D952="原料入库"),1,0)</f>
        <v>0</v>
      </c>
      <c r="AA2152" s="3">
        <f t="shared" si="578"/>
        <v>24</v>
      </c>
      <c r="AB2152" s="3">
        <f>IF(AND($M2152=1,LEFT(对接源_02物料!$D952,4)="原料出库"),1,0)</f>
        <v>0</v>
      </c>
      <c r="AC2152" s="3">
        <f t="shared" si="579"/>
        <v>0</v>
      </c>
      <c r="AD2152" s="3">
        <f>IF(AND($M2152=1,LEFT(对接源_02物料!$D952,4)="成品出库"),1,0)</f>
        <v>0</v>
      </c>
      <c r="AE2152" s="3">
        <f t="shared" si="580"/>
        <v>0</v>
      </c>
      <c r="AF2152" s="3">
        <f>IF(AND($N2152=1,AND(LEFT(对接源_02物料!$D952,4)="包装物料",N(对接源_02物料!$K952)&lt;&gt;0)),1,0)</f>
        <v>0</v>
      </c>
      <c r="AG2152" s="3">
        <f t="shared" si="581"/>
        <v>5</v>
      </c>
      <c r="AH2152" s="3">
        <f>IF(AND($N2152=1,AND(对接源_02物料!$D952="周转筐－销售出库",N(对接源_02物料!$K952)&lt;&gt;0)),1,0)</f>
        <v>0</v>
      </c>
      <c r="AI2152" s="3">
        <f t="shared" si="582"/>
        <v>0</v>
      </c>
      <c r="AL2152" s="3">
        <v>0</v>
      </c>
      <c r="AM2152" s="3">
        <f t="shared" si="583"/>
        <v>1</v>
      </c>
      <c r="AN2152" s="3" t="str">
        <f t="shared" si="570"/>
        <v/>
      </c>
      <c r="AO2152" s="3">
        <v>0</v>
      </c>
      <c r="AP2152" s="3">
        <f t="shared" si="584"/>
        <v>8</v>
      </c>
      <c r="AR2152">
        <f t="shared" si="585"/>
        <v>0</v>
      </c>
      <c r="AS2152">
        <f t="shared" si="586"/>
        <v>5</v>
      </c>
    </row>
    <row r="2153" customHeight="1" spans="1:45">
      <c r="A2153" s="3" t="str">
        <f>IF(对接源_02物料!$C953="","",对接源_02物料!$C953)</f>
        <v/>
      </c>
      <c r="B2153" s="3">
        <f t="shared" si="571"/>
        <v>0</v>
      </c>
      <c r="C2153" s="3">
        <f t="shared" si="572"/>
        <v>21</v>
      </c>
      <c r="K2153" s="3">
        <f>IF(OR($K$1="",对接源_02物料!$C953="",对接源_02物料!$C953&lt;&gt;$K$1,对接源_02物料!$B953=""),0,IF(OR(N(对接源_02物料!$B953)&lt;$K$2,N(对接源_02物料!$B953)&gt;$K$3),0,1))</f>
        <v>0</v>
      </c>
      <c r="L2153" s="3">
        <f>IF(OR($L$1="",对接源_02物料!$C953="",对接源_02物料!$C953&lt;&gt;$L$1,对接源_02物料!$B953=""),0,IF(OR(N(对接源_02物料!$B953)&lt;$L$2,N(对接源_02物料!$B953)&gt;$L$3),0,1))</f>
        <v>0</v>
      </c>
      <c r="M2153" s="3">
        <f>IF(OR($M$1="",对接源_02物料!$C953="",对接源_02物料!$C953&lt;&gt;$M$1,对接源_02物料!$B953=""),0,IF(OR(N(对接源_02物料!$B953)&lt;$M$2,N(对接源_02物料!$B953)&gt;$M$3),0,1))</f>
        <v>0</v>
      </c>
      <c r="N2153" s="3">
        <f>IF(OR($N$1="",对接源_02物料!$C953="",对接源_02物料!$C953&lt;&gt;$N$1,对接源_02物料!$B953=""),0,IF(OR(N(对接源_02物料!$B953)&lt;$N$2,N(对接源_02物料!$B953)&gt;$N$3),0,1))</f>
        <v>0</v>
      </c>
      <c r="P2153" s="3">
        <f>IF(AND($K2153=1,AND(对接源_02物料!$X953="公司筐",N(对接源_02物料!$T953)&lt;&gt;0)),1,0)</f>
        <v>0</v>
      </c>
      <c r="Q2153" s="3">
        <f t="shared" si="573"/>
        <v>8</v>
      </c>
      <c r="R2153" s="3">
        <f>IF(AND($K2153=1,AND(对接源_02物料!$X953="公司筐",N(对接源_02物料!$U953)&lt;&gt;0)),1,0)</f>
        <v>0</v>
      </c>
      <c r="S2153" s="3">
        <f t="shared" si="574"/>
        <v>0</v>
      </c>
      <c r="T2153" s="3">
        <f>IF(AND($K2153=1,AND(对接源_02物料!$X953="公司筐",N(对接源_02物料!$V953)&lt;&gt;0)),1,0)</f>
        <v>0</v>
      </c>
      <c r="U2153" s="3">
        <f t="shared" si="575"/>
        <v>19</v>
      </c>
      <c r="V2153" s="3">
        <f>IF(AND($L2153=1,AND(对接源_02物料!$X953="自备筐",N(对接源_02物料!$V953)&lt;&gt;0)),1,0)</f>
        <v>0</v>
      </c>
      <c r="W2153" s="3">
        <f t="shared" si="576"/>
        <v>8</v>
      </c>
      <c r="X2153" s="3">
        <f>IF(AND($L2153=1,AND(对接源_02物料!$X953="自备筐",N(对接源_02物料!$T953)&lt;&gt;0)),1,0)</f>
        <v>0</v>
      </c>
      <c r="Y2153" s="3">
        <f t="shared" si="577"/>
        <v>0</v>
      </c>
      <c r="Z2153" s="3">
        <f>IF(AND($M2153=1,对接源_02物料!$D953="原料入库"),1,0)</f>
        <v>0</v>
      </c>
      <c r="AA2153" s="3">
        <f t="shared" si="578"/>
        <v>24</v>
      </c>
      <c r="AB2153" s="3">
        <f>IF(AND($M2153=1,LEFT(对接源_02物料!$D953,4)="原料出库"),1,0)</f>
        <v>0</v>
      </c>
      <c r="AC2153" s="3">
        <f t="shared" si="579"/>
        <v>0</v>
      </c>
      <c r="AD2153" s="3">
        <f>IF(AND($M2153=1,LEFT(对接源_02物料!$D953,4)="成品出库"),1,0)</f>
        <v>0</v>
      </c>
      <c r="AE2153" s="3">
        <f t="shared" si="580"/>
        <v>0</v>
      </c>
      <c r="AF2153" s="3">
        <f>IF(AND($N2153=1,AND(LEFT(对接源_02物料!$D953,4)="包装物料",N(对接源_02物料!$K953)&lt;&gt;0)),1,0)</f>
        <v>0</v>
      </c>
      <c r="AG2153" s="3">
        <f t="shared" si="581"/>
        <v>5</v>
      </c>
      <c r="AH2153" s="3">
        <f>IF(AND($N2153=1,AND(对接源_02物料!$D953="周转筐－销售出库",N(对接源_02物料!$K953)&lt;&gt;0)),1,0)</f>
        <v>0</v>
      </c>
      <c r="AI2153" s="3">
        <f t="shared" si="582"/>
        <v>0</v>
      </c>
      <c r="AL2153" s="3">
        <v>0</v>
      </c>
      <c r="AM2153" s="3">
        <f t="shared" si="583"/>
        <v>1</v>
      </c>
      <c r="AN2153" s="3" t="str">
        <f t="shared" si="570"/>
        <v/>
      </c>
      <c r="AO2153" s="3">
        <v>0</v>
      </c>
      <c r="AP2153" s="3">
        <f t="shared" si="584"/>
        <v>8</v>
      </c>
      <c r="AR2153">
        <f t="shared" si="585"/>
        <v>0</v>
      </c>
      <c r="AS2153">
        <f t="shared" si="586"/>
        <v>5</v>
      </c>
    </row>
    <row r="2154" customHeight="1" spans="1:45">
      <c r="A2154" s="3" t="str">
        <f>IF(对接源_02物料!$C954="","",对接源_02物料!$C954)</f>
        <v/>
      </c>
      <c r="B2154" s="3">
        <f t="shared" si="571"/>
        <v>0</v>
      </c>
      <c r="C2154" s="3">
        <f t="shared" si="572"/>
        <v>21</v>
      </c>
      <c r="K2154" s="3">
        <f>IF(OR($K$1="",对接源_02物料!$C954="",对接源_02物料!$C954&lt;&gt;$K$1,对接源_02物料!$B954=""),0,IF(OR(N(对接源_02物料!$B954)&lt;$K$2,N(对接源_02物料!$B954)&gt;$K$3),0,1))</f>
        <v>0</v>
      </c>
      <c r="L2154" s="3">
        <f>IF(OR($L$1="",对接源_02物料!$C954="",对接源_02物料!$C954&lt;&gt;$L$1,对接源_02物料!$B954=""),0,IF(OR(N(对接源_02物料!$B954)&lt;$L$2,N(对接源_02物料!$B954)&gt;$L$3),0,1))</f>
        <v>0</v>
      </c>
      <c r="M2154" s="3">
        <f>IF(OR($M$1="",对接源_02物料!$C954="",对接源_02物料!$C954&lt;&gt;$M$1,对接源_02物料!$B954=""),0,IF(OR(N(对接源_02物料!$B954)&lt;$M$2,N(对接源_02物料!$B954)&gt;$M$3),0,1))</f>
        <v>0</v>
      </c>
      <c r="N2154" s="3">
        <f>IF(OR($N$1="",对接源_02物料!$C954="",对接源_02物料!$C954&lt;&gt;$N$1,对接源_02物料!$B954=""),0,IF(OR(N(对接源_02物料!$B954)&lt;$N$2,N(对接源_02物料!$B954)&gt;$N$3),0,1))</f>
        <v>0</v>
      </c>
      <c r="P2154" s="3">
        <f>IF(AND($K2154=1,AND(对接源_02物料!$X954="公司筐",N(对接源_02物料!$T954)&lt;&gt;0)),1,0)</f>
        <v>0</v>
      </c>
      <c r="Q2154" s="3">
        <f t="shared" si="573"/>
        <v>8</v>
      </c>
      <c r="R2154" s="3">
        <f>IF(AND($K2154=1,AND(对接源_02物料!$X954="公司筐",N(对接源_02物料!$U954)&lt;&gt;0)),1,0)</f>
        <v>0</v>
      </c>
      <c r="S2154" s="3">
        <f t="shared" si="574"/>
        <v>0</v>
      </c>
      <c r="T2154" s="3">
        <f>IF(AND($K2154=1,AND(对接源_02物料!$X954="公司筐",N(对接源_02物料!$V954)&lt;&gt;0)),1,0)</f>
        <v>0</v>
      </c>
      <c r="U2154" s="3">
        <f t="shared" si="575"/>
        <v>19</v>
      </c>
      <c r="V2154" s="3">
        <f>IF(AND($L2154=1,AND(对接源_02物料!$X954="自备筐",N(对接源_02物料!$V954)&lt;&gt;0)),1,0)</f>
        <v>0</v>
      </c>
      <c r="W2154" s="3">
        <f t="shared" si="576"/>
        <v>8</v>
      </c>
      <c r="X2154" s="3">
        <f>IF(AND($L2154=1,AND(对接源_02物料!$X954="自备筐",N(对接源_02物料!$T954)&lt;&gt;0)),1,0)</f>
        <v>0</v>
      </c>
      <c r="Y2154" s="3">
        <f t="shared" si="577"/>
        <v>0</v>
      </c>
      <c r="Z2154" s="3">
        <f>IF(AND($M2154=1,对接源_02物料!$D954="原料入库"),1,0)</f>
        <v>0</v>
      </c>
      <c r="AA2154" s="3">
        <f t="shared" si="578"/>
        <v>24</v>
      </c>
      <c r="AB2154" s="3">
        <f>IF(AND($M2154=1,LEFT(对接源_02物料!$D954,4)="原料出库"),1,0)</f>
        <v>0</v>
      </c>
      <c r="AC2154" s="3">
        <f t="shared" si="579"/>
        <v>0</v>
      </c>
      <c r="AD2154" s="3">
        <f>IF(AND($M2154=1,LEFT(对接源_02物料!$D954,4)="成品出库"),1,0)</f>
        <v>0</v>
      </c>
      <c r="AE2154" s="3">
        <f t="shared" si="580"/>
        <v>0</v>
      </c>
      <c r="AF2154" s="3">
        <f>IF(AND($N2154=1,AND(LEFT(对接源_02物料!$D954,4)="包装物料",N(对接源_02物料!$K954)&lt;&gt;0)),1,0)</f>
        <v>0</v>
      </c>
      <c r="AG2154" s="3">
        <f t="shared" si="581"/>
        <v>5</v>
      </c>
      <c r="AH2154" s="3">
        <f>IF(AND($N2154=1,AND(对接源_02物料!$D954="周转筐－销售出库",N(对接源_02物料!$K954)&lt;&gt;0)),1,0)</f>
        <v>0</v>
      </c>
      <c r="AI2154" s="3">
        <f t="shared" si="582"/>
        <v>0</v>
      </c>
      <c r="AL2154" s="3">
        <v>0</v>
      </c>
      <c r="AM2154" s="3">
        <f t="shared" si="583"/>
        <v>1</v>
      </c>
      <c r="AN2154" s="3" t="str">
        <f t="shared" si="570"/>
        <v/>
      </c>
      <c r="AO2154" s="3">
        <v>0</v>
      </c>
      <c r="AP2154" s="3">
        <f t="shared" si="584"/>
        <v>8</v>
      </c>
      <c r="AR2154">
        <f t="shared" si="585"/>
        <v>0</v>
      </c>
      <c r="AS2154">
        <f t="shared" si="586"/>
        <v>5</v>
      </c>
    </row>
    <row r="2155" customHeight="1" spans="1:45">
      <c r="A2155" s="3" t="str">
        <f>IF(对接源_02物料!$C955="","",对接源_02物料!$C955)</f>
        <v/>
      </c>
      <c r="B2155" s="3">
        <f t="shared" si="571"/>
        <v>0</v>
      </c>
      <c r="C2155" s="3">
        <f t="shared" si="572"/>
        <v>21</v>
      </c>
      <c r="K2155" s="3">
        <f>IF(OR($K$1="",对接源_02物料!$C955="",对接源_02物料!$C955&lt;&gt;$K$1,对接源_02物料!$B955=""),0,IF(OR(N(对接源_02物料!$B955)&lt;$K$2,N(对接源_02物料!$B955)&gt;$K$3),0,1))</f>
        <v>0</v>
      </c>
      <c r="L2155" s="3">
        <f>IF(OR($L$1="",对接源_02物料!$C955="",对接源_02物料!$C955&lt;&gt;$L$1,对接源_02物料!$B955=""),0,IF(OR(N(对接源_02物料!$B955)&lt;$L$2,N(对接源_02物料!$B955)&gt;$L$3),0,1))</f>
        <v>0</v>
      </c>
      <c r="M2155" s="3">
        <f>IF(OR($M$1="",对接源_02物料!$C955="",对接源_02物料!$C955&lt;&gt;$M$1,对接源_02物料!$B955=""),0,IF(OR(N(对接源_02物料!$B955)&lt;$M$2,N(对接源_02物料!$B955)&gt;$M$3),0,1))</f>
        <v>0</v>
      </c>
      <c r="N2155" s="3">
        <f>IF(OR($N$1="",对接源_02物料!$C955="",对接源_02物料!$C955&lt;&gt;$N$1,对接源_02物料!$B955=""),0,IF(OR(N(对接源_02物料!$B955)&lt;$N$2,N(对接源_02物料!$B955)&gt;$N$3),0,1))</f>
        <v>0</v>
      </c>
      <c r="P2155" s="3">
        <f>IF(AND($K2155=1,AND(对接源_02物料!$X955="公司筐",N(对接源_02物料!$T955)&lt;&gt;0)),1,0)</f>
        <v>0</v>
      </c>
      <c r="Q2155" s="3">
        <f t="shared" si="573"/>
        <v>8</v>
      </c>
      <c r="R2155" s="3">
        <f>IF(AND($K2155=1,AND(对接源_02物料!$X955="公司筐",N(对接源_02物料!$U955)&lt;&gt;0)),1,0)</f>
        <v>0</v>
      </c>
      <c r="S2155" s="3">
        <f t="shared" si="574"/>
        <v>0</v>
      </c>
      <c r="T2155" s="3">
        <f>IF(AND($K2155=1,AND(对接源_02物料!$X955="公司筐",N(对接源_02物料!$V955)&lt;&gt;0)),1,0)</f>
        <v>0</v>
      </c>
      <c r="U2155" s="3">
        <f t="shared" si="575"/>
        <v>19</v>
      </c>
      <c r="V2155" s="3">
        <f>IF(AND($L2155=1,AND(对接源_02物料!$X955="自备筐",N(对接源_02物料!$V955)&lt;&gt;0)),1,0)</f>
        <v>0</v>
      </c>
      <c r="W2155" s="3">
        <f t="shared" si="576"/>
        <v>8</v>
      </c>
      <c r="X2155" s="3">
        <f>IF(AND($L2155=1,AND(对接源_02物料!$X955="自备筐",N(对接源_02物料!$T955)&lt;&gt;0)),1,0)</f>
        <v>0</v>
      </c>
      <c r="Y2155" s="3">
        <f t="shared" si="577"/>
        <v>0</v>
      </c>
      <c r="Z2155" s="3">
        <f>IF(AND($M2155=1,对接源_02物料!$D955="原料入库"),1,0)</f>
        <v>0</v>
      </c>
      <c r="AA2155" s="3">
        <f t="shared" si="578"/>
        <v>24</v>
      </c>
      <c r="AB2155" s="3">
        <f>IF(AND($M2155=1,LEFT(对接源_02物料!$D955,4)="原料出库"),1,0)</f>
        <v>0</v>
      </c>
      <c r="AC2155" s="3">
        <f t="shared" si="579"/>
        <v>0</v>
      </c>
      <c r="AD2155" s="3">
        <f>IF(AND($M2155=1,LEFT(对接源_02物料!$D955,4)="成品出库"),1,0)</f>
        <v>0</v>
      </c>
      <c r="AE2155" s="3">
        <f t="shared" si="580"/>
        <v>0</v>
      </c>
      <c r="AF2155" s="3">
        <f>IF(AND($N2155=1,AND(LEFT(对接源_02物料!$D955,4)="包装物料",N(对接源_02物料!$K955)&lt;&gt;0)),1,0)</f>
        <v>0</v>
      </c>
      <c r="AG2155" s="3">
        <f t="shared" si="581"/>
        <v>5</v>
      </c>
      <c r="AH2155" s="3">
        <f>IF(AND($N2155=1,AND(对接源_02物料!$D955="周转筐－销售出库",N(对接源_02物料!$K955)&lt;&gt;0)),1,0)</f>
        <v>0</v>
      </c>
      <c r="AI2155" s="3">
        <f t="shared" si="582"/>
        <v>0</v>
      </c>
      <c r="AL2155" s="3">
        <v>0</v>
      </c>
      <c r="AM2155" s="3">
        <f t="shared" si="583"/>
        <v>1</v>
      </c>
      <c r="AN2155" s="3" t="str">
        <f t="shared" si="570"/>
        <v/>
      </c>
      <c r="AO2155" s="3">
        <v>0</v>
      </c>
      <c r="AP2155" s="3">
        <f t="shared" si="584"/>
        <v>8</v>
      </c>
      <c r="AR2155">
        <f t="shared" si="585"/>
        <v>0</v>
      </c>
      <c r="AS2155">
        <f t="shared" si="586"/>
        <v>5</v>
      </c>
    </row>
    <row r="2156" customHeight="1" spans="1:45">
      <c r="A2156" s="3" t="str">
        <f>IF(对接源_02物料!$C956="","",对接源_02物料!$C956)</f>
        <v/>
      </c>
      <c r="B2156" s="3">
        <f t="shared" si="571"/>
        <v>0</v>
      </c>
      <c r="C2156" s="3">
        <f t="shared" si="572"/>
        <v>21</v>
      </c>
      <c r="K2156" s="3">
        <f>IF(OR($K$1="",对接源_02物料!$C956="",对接源_02物料!$C956&lt;&gt;$K$1,对接源_02物料!$B956=""),0,IF(OR(N(对接源_02物料!$B956)&lt;$K$2,N(对接源_02物料!$B956)&gt;$K$3),0,1))</f>
        <v>0</v>
      </c>
      <c r="L2156" s="3">
        <f>IF(OR($L$1="",对接源_02物料!$C956="",对接源_02物料!$C956&lt;&gt;$L$1,对接源_02物料!$B956=""),0,IF(OR(N(对接源_02物料!$B956)&lt;$L$2,N(对接源_02物料!$B956)&gt;$L$3),0,1))</f>
        <v>0</v>
      </c>
      <c r="M2156" s="3">
        <f>IF(OR($M$1="",对接源_02物料!$C956="",对接源_02物料!$C956&lt;&gt;$M$1,对接源_02物料!$B956=""),0,IF(OR(N(对接源_02物料!$B956)&lt;$M$2,N(对接源_02物料!$B956)&gt;$M$3),0,1))</f>
        <v>0</v>
      </c>
      <c r="N2156" s="3">
        <f>IF(OR($N$1="",对接源_02物料!$C956="",对接源_02物料!$C956&lt;&gt;$N$1,对接源_02物料!$B956=""),0,IF(OR(N(对接源_02物料!$B956)&lt;$N$2,N(对接源_02物料!$B956)&gt;$N$3),0,1))</f>
        <v>0</v>
      </c>
      <c r="P2156" s="3">
        <f>IF(AND($K2156=1,AND(对接源_02物料!$X956="公司筐",N(对接源_02物料!$T956)&lt;&gt;0)),1,0)</f>
        <v>0</v>
      </c>
      <c r="Q2156" s="3">
        <f t="shared" si="573"/>
        <v>8</v>
      </c>
      <c r="R2156" s="3">
        <f>IF(AND($K2156=1,AND(对接源_02物料!$X956="公司筐",N(对接源_02物料!$U956)&lt;&gt;0)),1,0)</f>
        <v>0</v>
      </c>
      <c r="S2156" s="3">
        <f t="shared" si="574"/>
        <v>0</v>
      </c>
      <c r="T2156" s="3">
        <f>IF(AND($K2156=1,AND(对接源_02物料!$X956="公司筐",N(对接源_02物料!$V956)&lt;&gt;0)),1,0)</f>
        <v>0</v>
      </c>
      <c r="U2156" s="3">
        <f t="shared" si="575"/>
        <v>19</v>
      </c>
      <c r="V2156" s="3">
        <f>IF(AND($L2156=1,AND(对接源_02物料!$X956="自备筐",N(对接源_02物料!$V956)&lt;&gt;0)),1,0)</f>
        <v>0</v>
      </c>
      <c r="W2156" s="3">
        <f t="shared" si="576"/>
        <v>8</v>
      </c>
      <c r="X2156" s="3">
        <f>IF(AND($L2156=1,AND(对接源_02物料!$X956="自备筐",N(对接源_02物料!$T956)&lt;&gt;0)),1,0)</f>
        <v>0</v>
      </c>
      <c r="Y2156" s="3">
        <f t="shared" si="577"/>
        <v>0</v>
      </c>
      <c r="Z2156" s="3">
        <f>IF(AND($M2156=1,对接源_02物料!$D956="原料入库"),1,0)</f>
        <v>0</v>
      </c>
      <c r="AA2156" s="3">
        <f t="shared" si="578"/>
        <v>24</v>
      </c>
      <c r="AB2156" s="3">
        <f>IF(AND($M2156=1,LEFT(对接源_02物料!$D956,4)="原料出库"),1,0)</f>
        <v>0</v>
      </c>
      <c r="AC2156" s="3">
        <f t="shared" si="579"/>
        <v>0</v>
      </c>
      <c r="AD2156" s="3">
        <f>IF(AND($M2156=1,LEFT(对接源_02物料!$D956,4)="成品出库"),1,0)</f>
        <v>0</v>
      </c>
      <c r="AE2156" s="3">
        <f t="shared" si="580"/>
        <v>0</v>
      </c>
      <c r="AF2156" s="3">
        <f>IF(AND($N2156=1,AND(LEFT(对接源_02物料!$D956,4)="包装物料",N(对接源_02物料!$K956)&lt;&gt;0)),1,0)</f>
        <v>0</v>
      </c>
      <c r="AG2156" s="3">
        <f t="shared" si="581"/>
        <v>5</v>
      </c>
      <c r="AH2156" s="3">
        <f>IF(AND($N2156=1,AND(对接源_02物料!$D956="周转筐－销售出库",N(对接源_02物料!$K956)&lt;&gt;0)),1,0)</f>
        <v>0</v>
      </c>
      <c r="AI2156" s="3">
        <f t="shared" si="582"/>
        <v>0</v>
      </c>
      <c r="AL2156" s="3">
        <v>0</v>
      </c>
      <c r="AM2156" s="3">
        <f t="shared" si="583"/>
        <v>1</v>
      </c>
      <c r="AN2156" s="3" t="str">
        <f t="shared" si="570"/>
        <v/>
      </c>
      <c r="AO2156" s="3">
        <v>0</v>
      </c>
      <c r="AP2156" s="3">
        <f t="shared" si="584"/>
        <v>8</v>
      </c>
      <c r="AR2156">
        <f t="shared" si="585"/>
        <v>0</v>
      </c>
      <c r="AS2156">
        <f t="shared" si="586"/>
        <v>5</v>
      </c>
    </row>
    <row r="2157" customHeight="1" spans="1:45">
      <c r="A2157" s="3" t="str">
        <f>IF(对接源_02物料!$C957="","",对接源_02物料!$C957)</f>
        <v/>
      </c>
      <c r="B2157" s="3">
        <f t="shared" si="571"/>
        <v>0</v>
      </c>
      <c r="C2157" s="3">
        <f t="shared" si="572"/>
        <v>21</v>
      </c>
      <c r="K2157" s="3">
        <f>IF(OR($K$1="",对接源_02物料!$C957="",对接源_02物料!$C957&lt;&gt;$K$1,对接源_02物料!$B957=""),0,IF(OR(N(对接源_02物料!$B957)&lt;$K$2,N(对接源_02物料!$B957)&gt;$K$3),0,1))</f>
        <v>0</v>
      </c>
      <c r="L2157" s="3">
        <f>IF(OR($L$1="",对接源_02物料!$C957="",对接源_02物料!$C957&lt;&gt;$L$1,对接源_02物料!$B957=""),0,IF(OR(N(对接源_02物料!$B957)&lt;$L$2,N(对接源_02物料!$B957)&gt;$L$3),0,1))</f>
        <v>0</v>
      </c>
      <c r="M2157" s="3">
        <f>IF(OR($M$1="",对接源_02物料!$C957="",对接源_02物料!$C957&lt;&gt;$M$1,对接源_02物料!$B957=""),0,IF(OR(N(对接源_02物料!$B957)&lt;$M$2,N(对接源_02物料!$B957)&gt;$M$3),0,1))</f>
        <v>0</v>
      </c>
      <c r="N2157" s="3">
        <f>IF(OR($N$1="",对接源_02物料!$C957="",对接源_02物料!$C957&lt;&gt;$N$1,对接源_02物料!$B957=""),0,IF(OR(N(对接源_02物料!$B957)&lt;$N$2,N(对接源_02物料!$B957)&gt;$N$3),0,1))</f>
        <v>0</v>
      </c>
      <c r="P2157" s="3">
        <f>IF(AND($K2157=1,AND(对接源_02物料!$X957="公司筐",N(对接源_02物料!$T957)&lt;&gt;0)),1,0)</f>
        <v>0</v>
      </c>
      <c r="Q2157" s="3">
        <f t="shared" si="573"/>
        <v>8</v>
      </c>
      <c r="R2157" s="3">
        <f>IF(AND($K2157=1,AND(对接源_02物料!$X957="公司筐",N(对接源_02物料!$U957)&lt;&gt;0)),1,0)</f>
        <v>0</v>
      </c>
      <c r="S2157" s="3">
        <f t="shared" si="574"/>
        <v>0</v>
      </c>
      <c r="T2157" s="3">
        <f>IF(AND($K2157=1,AND(对接源_02物料!$X957="公司筐",N(对接源_02物料!$V957)&lt;&gt;0)),1,0)</f>
        <v>0</v>
      </c>
      <c r="U2157" s="3">
        <f t="shared" si="575"/>
        <v>19</v>
      </c>
      <c r="V2157" s="3">
        <f>IF(AND($L2157=1,AND(对接源_02物料!$X957="自备筐",N(对接源_02物料!$V957)&lt;&gt;0)),1,0)</f>
        <v>0</v>
      </c>
      <c r="W2157" s="3">
        <f t="shared" si="576"/>
        <v>8</v>
      </c>
      <c r="X2157" s="3">
        <f>IF(AND($L2157=1,AND(对接源_02物料!$X957="自备筐",N(对接源_02物料!$T957)&lt;&gt;0)),1,0)</f>
        <v>0</v>
      </c>
      <c r="Y2157" s="3">
        <f t="shared" si="577"/>
        <v>0</v>
      </c>
      <c r="Z2157" s="3">
        <f>IF(AND($M2157=1,对接源_02物料!$D957="原料入库"),1,0)</f>
        <v>0</v>
      </c>
      <c r="AA2157" s="3">
        <f t="shared" si="578"/>
        <v>24</v>
      </c>
      <c r="AB2157" s="3">
        <f>IF(AND($M2157=1,LEFT(对接源_02物料!$D957,4)="原料出库"),1,0)</f>
        <v>0</v>
      </c>
      <c r="AC2157" s="3">
        <f t="shared" si="579"/>
        <v>0</v>
      </c>
      <c r="AD2157" s="3">
        <f>IF(AND($M2157=1,LEFT(对接源_02物料!$D957,4)="成品出库"),1,0)</f>
        <v>0</v>
      </c>
      <c r="AE2157" s="3">
        <f t="shared" si="580"/>
        <v>0</v>
      </c>
      <c r="AF2157" s="3">
        <f>IF(AND($N2157=1,AND(LEFT(对接源_02物料!$D957,4)="包装物料",N(对接源_02物料!$K957)&lt;&gt;0)),1,0)</f>
        <v>0</v>
      </c>
      <c r="AG2157" s="3">
        <f t="shared" si="581"/>
        <v>5</v>
      </c>
      <c r="AH2157" s="3">
        <f>IF(AND($N2157=1,AND(对接源_02物料!$D957="周转筐－销售出库",N(对接源_02物料!$K957)&lt;&gt;0)),1,0)</f>
        <v>0</v>
      </c>
      <c r="AI2157" s="3">
        <f t="shared" si="582"/>
        <v>0</v>
      </c>
      <c r="AL2157" s="3">
        <v>0</v>
      </c>
      <c r="AM2157" s="3">
        <f t="shared" si="583"/>
        <v>1</v>
      </c>
      <c r="AN2157" s="3" t="str">
        <f t="shared" si="570"/>
        <v/>
      </c>
      <c r="AO2157" s="3">
        <v>0</v>
      </c>
      <c r="AP2157" s="3">
        <f t="shared" si="584"/>
        <v>8</v>
      </c>
      <c r="AR2157">
        <f t="shared" si="585"/>
        <v>0</v>
      </c>
      <c r="AS2157">
        <f t="shared" si="586"/>
        <v>5</v>
      </c>
    </row>
    <row r="2158" customHeight="1" spans="1:45">
      <c r="A2158" s="3" t="str">
        <f>IF(对接源_02物料!$C958="","",对接源_02物料!$C958)</f>
        <v/>
      </c>
      <c r="B2158" s="3">
        <f t="shared" si="571"/>
        <v>0</v>
      </c>
      <c r="C2158" s="3">
        <f t="shared" si="572"/>
        <v>21</v>
      </c>
      <c r="K2158" s="3">
        <f>IF(OR($K$1="",对接源_02物料!$C958="",对接源_02物料!$C958&lt;&gt;$K$1,对接源_02物料!$B958=""),0,IF(OR(N(对接源_02物料!$B958)&lt;$K$2,N(对接源_02物料!$B958)&gt;$K$3),0,1))</f>
        <v>0</v>
      </c>
      <c r="L2158" s="3">
        <f>IF(OR($L$1="",对接源_02物料!$C958="",对接源_02物料!$C958&lt;&gt;$L$1,对接源_02物料!$B958=""),0,IF(OR(N(对接源_02物料!$B958)&lt;$L$2,N(对接源_02物料!$B958)&gt;$L$3),0,1))</f>
        <v>0</v>
      </c>
      <c r="M2158" s="3">
        <f>IF(OR($M$1="",对接源_02物料!$C958="",对接源_02物料!$C958&lt;&gt;$M$1,对接源_02物料!$B958=""),0,IF(OR(N(对接源_02物料!$B958)&lt;$M$2,N(对接源_02物料!$B958)&gt;$M$3),0,1))</f>
        <v>0</v>
      </c>
      <c r="N2158" s="3">
        <f>IF(OR($N$1="",对接源_02物料!$C958="",对接源_02物料!$C958&lt;&gt;$N$1,对接源_02物料!$B958=""),0,IF(OR(N(对接源_02物料!$B958)&lt;$N$2,N(对接源_02物料!$B958)&gt;$N$3),0,1))</f>
        <v>0</v>
      </c>
      <c r="P2158" s="3">
        <f>IF(AND($K2158=1,AND(对接源_02物料!$X958="公司筐",N(对接源_02物料!$T958)&lt;&gt;0)),1,0)</f>
        <v>0</v>
      </c>
      <c r="Q2158" s="3">
        <f t="shared" si="573"/>
        <v>8</v>
      </c>
      <c r="R2158" s="3">
        <f>IF(AND($K2158=1,AND(对接源_02物料!$X958="公司筐",N(对接源_02物料!$U958)&lt;&gt;0)),1,0)</f>
        <v>0</v>
      </c>
      <c r="S2158" s="3">
        <f t="shared" si="574"/>
        <v>0</v>
      </c>
      <c r="T2158" s="3">
        <f>IF(AND($K2158=1,AND(对接源_02物料!$X958="公司筐",N(对接源_02物料!$V958)&lt;&gt;0)),1,0)</f>
        <v>0</v>
      </c>
      <c r="U2158" s="3">
        <f t="shared" si="575"/>
        <v>19</v>
      </c>
      <c r="V2158" s="3">
        <f>IF(AND($L2158=1,AND(对接源_02物料!$X958="自备筐",N(对接源_02物料!$V958)&lt;&gt;0)),1,0)</f>
        <v>0</v>
      </c>
      <c r="W2158" s="3">
        <f t="shared" si="576"/>
        <v>8</v>
      </c>
      <c r="X2158" s="3">
        <f>IF(AND($L2158=1,AND(对接源_02物料!$X958="自备筐",N(对接源_02物料!$T958)&lt;&gt;0)),1,0)</f>
        <v>0</v>
      </c>
      <c r="Y2158" s="3">
        <f t="shared" si="577"/>
        <v>0</v>
      </c>
      <c r="Z2158" s="3">
        <f>IF(AND($M2158=1,对接源_02物料!$D958="原料入库"),1,0)</f>
        <v>0</v>
      </c>
      <c r="AA2158" s="3">
        <f t="shared" si="578"/>
        <v>24</v>
      </c>
      <c r="AB2158" s="3">
        <f>IF(AND($M2158=1,LEFT(对接源_02物料!$D958,4)="原料出库"),1,0)</f>
        <v>0</v>
      </c>
      <c r="AC2158" s="3">
        <f t="shared" si="579"/>
        <v>0</v>
      </c>
      <c r="AD2158" s="3">
        <f>IF(AND($M2158=1,LEFT(对接源_02物料!$D958,4)="成品出库"),1,0)</f>
        <v>0</v>
      </c>
      <c r="AE2158" s="3">
        <f t="shared" si="580"/>
        <v>0</v>
      </c>
      <c r="AF2158" s="3">
        <f>IF(AND($N2158=1,AND(LEFT(对接源_02物料!$D958,4)="包装物料",N(对接源_02物料!$K958)&lt;&gt;0)),1,0)</f>
        <v>0</v>
      </c>
      <c r="AG2158" s="3">
        <f t="shared" si="581"/>
        <v>5</v>
      </c>
      <c r="AH2158" s="3">
        <f>IF(AND($N2158=1,AND(对接源_02物料!$D958="周转筐－销售出库",N(对接源_02物料!$K958)&lt;&gt;0)),1,0)</f>
        <v>0</v>
      </c>
      <c r="AI2158" s="3">
        <f t="shared" si="582"/>
        <v>0</v>
      </c>
      <c r="AL2158" s="3">
        <v>0</v>
      </c>
      <c r="AM2158" s="3">
        <f t="shared" si="583"/>
        <v>1</v>
      </c>
      <c r="AN2158" s="3" t="str">
        <f t="shared" si="570"/>
        <v/>
      </c>
      <c r="AO2158" s="3">
        <v>0</v>
      </c>
      <c r="AP2158" s="3">
        <f t="shared" si="584"/>
        <v>8</v>
      </c>
      <c r="AR2158">
        <f t="shared" si="585"/>
        <v>0</v>
      </c>
      <c r="AS2158">
        <f t="shared" si="586"/>
        <v>5</v>
      </c>
    </row>
    <row r="2159" customHeight="1" spans="1:45">
      <c r="A2159" s="3" t="str">
        <f>IF(对接源_02物料!$C959="","",对接源_02物料!$C959)</f>
        <v/>
      </c>
      <c r="B2159" s="3">
        <f t="shared" si="571"/>
        <v>0</v>
      </c>
      <c r="C2159" s="3">
        <f t="shared" si="572"/>
        <v>21</v>
      </c>
      <c r="K2159" s="3">
        <f>IF(OR($K$1="",对接源_02物料!$C959="",对接源_02物料!$C959&lt;&gt;$K$1,对接源_02物料!$B959=""),0,IF(OR(N(对接源_02物料!$B959)&lt;$K$2,N(对接源_02物料!$B959)&gt;$K$3),0,1))</f>
        <v>0</v>
      </c>
      <c r="L2159" s="3">
        <f>IF(OR($L$1="",对接源_02物料!$C959="",对接源_02物料!$C959&lt;&gt;$L$1,对接源_02物料!$B959=""),0,IF(OR(N(对接源_02物料!$B959)&lt;$L$2,N(对接源_02物料!$B959)&gt;$L$3),0,1))</f>
        <v>0</v>
      </c>
      <c r="M2159" s="3">
        <f>IF(OR($M$1="",对接源_02物料!$C959="",对接源_02物料!$C959&lt;&gt;$M$1,对接源_02物料!$B959=""),0,IF(OR(N(对接源_02物料!$B959)&lt;$M$2,N(对接源_02物料!$B959)&gt;$M$3),0,1))</f>
        <v>0</v>
      </c>
      <c r="N2159" s="3">
        <f>IF(OR($N$1="",对接源_02物料!$C959="",对接源_02物料!$C959&lt;&gt;$N$1,对接源_02物料!$B959=""),0,IF(OR(N(对接源_02物料!$B959)&lt;$N$2,N(对接源_02物料!$B959)&gt;$N$3),0,1))</f>
        <v>0</v>
      </c>
      <c r="P2159" s="3">
        <f>IF(AND($K2159=1,AND(对接源_02物料!$X959="公司筐",N(对接源_02物料!$T959)&lt;&gt;0)),1,0)</f>
        <v>0</v>
      </c>
      <c r="Q2159" s="3">
        <f t="shared" si="573"/>
        <v>8</v>
      </c>
      <c r="R2159" s="3">
        <f>IF(AND($K2159=1,AND(对接源_02物料!$X959="公司筐",N(对接源_02物料!$U959)&lt;&gt;0)),1,0)</f>
        <v>0</v>
      </c>
      <c r="S2159" s="3">
        <f t="shared" si="574"/>
        <v>0</v>
      </c>
      <c r="T2159" s="3">
        <f>IF(AND($K2159=1,AND(对接源_02物料!$X959="公司筐",N(对接源_02物料!$V959)&lt;&gt;0)),1,0)</f>
        <v>0</v>
      </c>
      <c r="U2159" s="3">
        <f t="shared" si="575"/>
        <v>19</v>
      </c>
      <c r="V2159" s="3">
        <f>IF(AND($L2159=1,AND(对接源_02物料!$X959="自备筐",N(对接源_02物料!$V959)&lt;&gt;0)),1,0)</f>
        <v>0</v>
      </c>
      <c r="W2159" s="3">
        <f t="shared" si="576"/>
        <v>8</v>
      </c>
      <c r="X2159" s="3">
        <f>IF(AND($L2159=1,AND(对接源_02物料!$X959="自备筐",N(对接源_02物料!$T959)&lt;&gt;0)),1,0)</f>
        <v>0</v>
      </c>
      <c r="Y2159" s="3">
        <f t="shared" si="577"/>
        <v>0</v>
      </c>
      <c r="Z2159" s="3">
        <f>IF(AND($M2159=1,对接源_02物料!$D959="原料入库"),1,0)</f>
        <v>0</v>
      </c>
      <c r="AA2159" s="3">
        <f t="shared" si="578"/>
        <v>24</v>
      </c>
      <c r="AB2159" s="3">
        <f>IF(AND($M2159=1,LEFT(对接源_02物料!$D959,4)="原料出库"),1,0)</f>
        <v>0</v>
      </c>
      <c r="AC2159" s="3">
        <f t="shared" si="579"/>
        <v>0</v>
      </c>
      <c r="AD2159" s="3">
        <f>IF(AND($M2159=1,LEFT(对接源_02物料!$D959,4)="成品出库"),1,0)</f>
        <v>0</v>
      </c>
      <c r="AE2159" s="3">
        <f t="shared" si="580"/>
        <v>0</v>
      </c>
      <c r="AF2159" s="3">
        <f>IF(AND($N2159=1,AND(LEFT(对接源_02物料!$D959,4)="包装物料",N(对接源_02物料!$K959)&lt;&gt;0)),1,0)</f>
        <v>0</v>
      </c>
      <c r="AG2159" s="3">
        <f t="shared" si="581"/>
        <v>5</v>
      </c>
      <c r="AH2159" s="3">
        <f>IF(AND($N2159=1,AND(对接源_02物料!$D959="周转筐－销售出库",N(对接源_02物料!$K959)&lt;&gt;0)),1,0)</f>
        <v>0</v>
      </c>
      <c r="AI2159" s="3">
        <f t="shared" si="582"/>
        <v>0</v>
      </c>
      <c r="AL2159" s="3">
        <v>0</v>
      </c>
      <c r="AM2159" s="3">
        <f t="shared" si="583"/>
        <v>1</v>
      </c>
      <c r="AN2159" s="3" t="str">
        <f t="shared" si="570"/>
        <v/>
      </c>
      <c r="AO2159" s="3">
        <v>0</v>
      </c>
      <c r="AP2159" s="3">
        <f t="shared" si="584"/>
        <v>8</v>
      </c>
      <c r="AR2159">
        <f t="shared" si="585"/>
        <v>0</v>
      </c>
      <c r="AS2159">
        <f t="shared" si="586"/>
        <v>5</v>
      </c>
    </row>
    <row r="2160" customHeight="1" spans="1:45">
      <c r="A2160" s="3" t="str">
        <f>IF(对接源_02物料!$C960="","",对接源_02物料!$C960)</f>
        <v/>
      </c>
      <c r="B2160" s="3">
        <f t="shared" si="571"/>
        <v>0</v>
      </c>
      <c r="C2160" s="3">
        <f t="shared" si="572"/>
        <v>21</v>
      </c>
      <c r="K2160" s="3">
        <f>IF(OR($K$1="",对接源_02物料!$C960="",对接源_02物料!$C960&lt;&gt;$K$1,对接源_02物料!$B960=""),0,IF(OR(N(对接源_02物料!$B960)&lt;$K$2,N(对接源_02物料!$B960)&gt;$K$3),0,1))</f>
        <v>0</v>
      </c>
      <c r="L2160" s="3">
        <f>IF(OR($L$1="",对接源_02物料!$C960="",对接源_02物料!$C960&lt;&gt;$L$1,对接源_02物料!$B960=""),0,IF(OR(N(对接源_02物料!$B960)&lt;$L$2,N(对接源_02物料!$B960)&gt;$L$3),0,1))</f>
        <v>0</v>
      </c>
      <c r="M2160" s="3">
        <f>IF(OR($M$1="",对接源_02物料!$C960="",对接源_02物料!$C960&lt;&gt;$M$1,对接源_02物料!$B960=""),0,IF(OR(N(对接源_02物料!$B960)&lt;$M$2,N(对接源_02物料!$B960)&gt;$M$3),0,1))</f>
        <v>0</v>
      </c>
      <c r="N2160" s="3">
        <f>IF(OR($N$1="",对接源_02物料!$C960="",对接源_02物料!$C960&lt;&gt;$N$1,对接源_02物料!$B960=""),0,IF(OR(N(对接源_02物料!$B960)&lt;$N$2,N(对接源_02物料!$B960)&gt;$N$3),0,1))</f>
        <v>0</v>
      </c>
      <c r="P2160" s="3">
        <f>IF(AND($K2160=1,AND(对接源_02物料!$X960="公司筐",N(对接源_02物料!$T960)&lt;&gt;0)),1,0)</f>
        <v>0</v>
      </c>
      <c r="Q2160" s="3">
        <f t="shared" si="573"/>
        <v>8</v>
      </c>
      <c r="R2160" s="3">
        <f>IF(AND($K2160=1,AND(对接源_02物料!$X960="公司筐",N(对接源_02物料!$U960)&lt;&gt;0)),1,0)</f>
        <v>0</v>
      </c>
      <c r="S2160" s="3">
        <f t="shared" si="574"/>
        <v>0</v>
      </c>
      <c r="T2160" s="3">
        <f>IF(AND($K2160=1,AND(对接源_02物料!$X960="公司筐",N(对接源_02物料!$V960)&lt;&gt;0)),1,0)</f>
        <v>0</v>
      </c>
      <c r="U2160" s="3">
        <f t="shared" si="575"/>
        <v>19</v>
      </c>
      <c r="V2160" s="3">
        <f>IF(AND($L2160=1,AND(对接源_02物料!$X960="自备筐",N(对接源_02物料!$V960)&lt;&gt;0)),1,0)</f>
        <v>0</v>
      </c>
      <c r="W2160" s="3">
        <f t="shared" si="576"/>
        <v>8</v>
      </c>
      <c r="X2160" s="3">
        <f>IF(AND($L2160=1,AND(对接源_02物料!$X960="自备筐",N(对接源_02物料!$T960)&lt;&gt;0)),1,0)</f>
        <v>0</v>
      </c>
      <c r="Y2160" s="3">
        <f t="shared" si="577"/>
        <v>0</v>
      </c>
      <c r="Z2160" s="3">
        <f>IF(AND($M2160=1,对接源_02物料!$D960="原料入库"),1,0)</f>
        <v>0</v>
      </c>
      <c r="AA2160" s="3">
        <f t="shared" si="578"/>
        <v>24</v>
      </c>
      <c r="AB2160" s="3">
        <f>IF(AND($M2160=1,LEFT(对接源_02物料!$D960,4)="原料出库"),1,0)</f>
        <v>0</v>
      </c>
      <c r="AC2160" s="3">
        <f t="shared" si="579"/>
        <v>0</v>
      </c>
      <c r="AD2160" s="3">
        <f>IF(AND($M2160=1,LEFT(对接源_02物料!$D960,4)="成品出库"),1,0)</f>
        <v>0</v>
      </c>
      <c r="AE2160" s="3">
        <f t="shared" si="580"/>
        <v>0</v>
      </c>
      <c r="AF2160" s="3">
        <f>IF(AND($N2160=1,AND(LEFT(对接源_02物料!$D960,4)="包装物料",N(对接源_02物料!$K960)&lt;&gt;0)),1,0)</f>
        <v>0</v>
      </c>
      <c r="AG2160" s="3">
        <f t="shared" si="581"/>
        <v>5</v>
      </c>
      <c r="AH2160" s="3">
        <f>IF(AND($N2160=1,AND(对接源_02物料!$D960="周转筐－销售出库",N(对接源_02物料!$K960)&lt;&gt;0)),1,0)</f>
        <v>0</v>
      </c>
      <c r="AI2160" s="3">
        <f t="shared" si="582"/>
        <v>0</v>
      </c>
      <c r="AL2160" s="3">
        <v>0</v>
      </c>
      <c r="AM2160" s="3">
        <f t="shared" si="583"/>
        <v>1</v>
      </c>
      <c r="AN2160" s="3" t="str">
        <f t="shared" si="570"/>
        <v/>
      </c>
      <c r="AO2160" s="3">
        <v>0</v>
      </c>
      <c r="AP2160" s="3">
        <f t="shared" si="584"/>
        <v>8</v>
      </c>
      <c r="AR2160">
        <f t="shared" si="585"/>
        <v>0</v>
      </c>
      <c r="AS2160">
        <f t="shared" si="586"/>
        <v>5</v>
      </c>
    </row>
    <row r="2161" customHeight="1" spans="1:45">
      <c r="A2161" s="3" t="str">
        <f>IF(对接源_02物料!$C961="","",对接源_02物料!$C961)</f>
        <v/>
      </c>
      <c r="B2161" s="3">
        <f t="shared" si="571"/>
        <v>0</v>
      </c>
      <c r="C2161" s="3">
        <f t="shared" si="572"/>
        <v>21</v>
      </c>
      <c r="K2161" s="3">
        <f>IF(OR($K$1="",对接源_02物料!$C961="",对接源_02物料!$C961&lt;&gt;$K$1,对接源_02物料!$B961=""),0,IF(OR(N(对接源_02物料!$B961)&lt;$K$2,N(对接源_02物料!$B961)&gt;$K$3),0,1))</f>
        <v>0</v>
      </c>
      <c r="L2161" s="3">
        <f>IF(OR($L$1="",对接源_02物料!$C961="",对接源_02物料!$C961&lt;&gt;$L$1,对接源_02物料!$B961=""),0,IF(OR(N(对接源_02物料!$B961)&lt;$L$2,N(对接源_02物料!$B961)&gt;$L$3),0,1))</f>
        <v>0</v>
      </c>
      <c r="M2161" s="3">
        <f>IF(OR($M$1="",对接源_02物料!$C961="",对接源_02物料!$C961&lt;&gt;$M$1,对接源_02物料!$B961=""),0,IF(OR(N(对接源_02物料!$B961)&lt;$M$2,N(对接源_02物料!$B961)&gt;$M$3),0,1))</f>
        <v>0</v>
      </c>
      <c r="N2161" s="3">
        <f>IF(OR($N$1="",对接源_02物料!$C961="",对接源_02物料!$C961&lt;&gt;$N$1,对接源_02物料!$B961=""),0,IF(OR(N(对接源_02物料!$B961)&lt;$N$2,N(对接源_02物料!$B961)&gt;$N$3),0,1))</f>
        <v>0</v>
      </c>
      <c r="P2161" s="3">
        <f>IF(AND($K2161=1,AND(对接源_02物料!$X961="公司筐",N(对接源_02物料!$T961)&lt;&gt;0)),1,0)</f>
        <v>0</v>
      </c>
      <c r="Q2161" s="3">
        <f t="shared" si="573"/>
        <v>8</v>
      </c>
      <c r="R2161" s="3">
        <f>IF(AND($K2161=1,AND(对接源_02物料!$X961="公司筐",N(对接源_02物料!$U961)&lt;&gt;0)),1,0)</f>
        <v>0</v>
      </c>
      <c r="S2161" s="3">
        <f t="shared" si="574"/>
        <v>0</v>
      </c>
      <c r="T2161" s="3">
        <f>IF(AND($K2161=1,AND(对接源_02物料!$X961="公司筐",N(对接源_02物料!$V961)&lt;&gt;0)),1,0)</f>
        <v>0</v>
      </c>
      <c r="U2161" s="3">
        <f t="shared" si="575"/>
        <v>19</v>
      </c>
      <c r="V2161" s="3">
        <f>IF(AND($L2161=1,AND(对接源_02物料!$X961="自备筐",N(对接源_02物料!$V961)&lt;&gt;0)),1,0)</f>
        <v>0</v>
      </c>
      <c r="W2161" s="3">
        <f t="shared" si="576"/>
        <v>8</v>
      </c>
      <c r="X2161" s="3">
        <f>IF(AND($L2161=1,AND(对接源_02物料!$X961="自备筐",N(对接源_02物料!$T961)&lt;&gt;0)),1,0)</f>
        <v>0</v>
      </c>
      <c r="Y2161" s="3">
        <f t="shared" si="577"/>
        <v>0</v>
      </c>
      <c r="Z2161" s="3">
        <f>IF(AND($M2161=1,对接源_02物料!$D961="原料入库"),1,0)</f>
        <v>0</v>
      </c>
      <c r="AA2161" s="3">
        <f t="shared" si="578"/>
        <v>24</v>
      </c>
      <c r="AB2161" s="3">
        <f>IF(AND($M2161=1,LEFT(对接源_02物料!$D961,4)="原料出库"),1,0)</f>
        <v>0</v>
      </c>
      <c r="AC2161" s="3">
        <f t="shared" si="579"/>
        <v>0</v>
      </c>
      <c r="AD2161" s="3">
        <f>IF(AND($M2161=1,LEFT(对接源_02物料!$D961,4)="成品出库"),1,0)</f>
        <v>0</v>
      </c>
      <c r="AE2161" s="3">
        <f t="shared" si="580"/>
        <v>0</v>
      </c>
      <c r="AF2161" s="3">
        <f>IF(AND($N2161=1,AND(LEFT(对接源_02物料!$D961,4)="包装物料",N(对接源_02物料!$K961)&lt;&gt;0)),1,0)</f>
        <v>0</v>
      </c>
      <c r="AG2161" s="3">
        <f t="shared" si="581"/>
        <v>5</v>
      </c>
      <c r="AH2161" s="3">
        <f>IF(AND($N2161=1,AND(对接源_02物料!$D961="周转筐－销售出库",N(对接源_02物料!$K961)&lt;&gt;0)),1,0)</f>
        <v>0</v>
      </c>
      <c r="AI2161" s="3">
        <f t="shared" si="582"/>
        <v>0</v>
      </c>
      <c r="AL2161" s="3">
        <v>0</v>
      </c>
      <c r="AM2161" s="3">
        <f t="shared" si="583"/>
        <v>1</v>
      </c>
      <c r="AN2161" s="3" t="str">
        <f t="shared" si="570"/>
        <v/>
      </c>
      <c r="AO2161" s="3">
        <v>0</v>
      </c>
      <c r="AP2161" s="3">
        <f t="shared" si="584"/>
        <v>8</v>
      </c>
      <c r="AR2161">
        <f t="shared" si="585"/>
        <v>0</v>
      </c>
      <c r="AS2161">
        <f t="shared" si="586"/>
        <v>5</v>
      </c>
    </row>
    <row r="2162" customHeight="1" spans="1:45">
      <c r="A2162" s="3" t="str">
        <f>IF(对接源_02物料!$C962="","",对接源_02物料!$C962)</f>
        <v/>
      </c>
      <c r="B2162" s="3">
        <f t="shared" si="571"/>
        <v>0</v>
      </c>
      <c r="C2162" s="3">
        <f t="shared" si="572"/>
        <v>21</v>
      </c>
      <c r="K2162" s="3">
        <f>IF(OR($K$1="",对接源_02物料!$C962="",对接源_02物料!$C962&lt;&gt;$K$1,对接源_02物料!$B962=""),0,IF(OR(N(对接源_02物料!$B962)&lt;$K$2,N(对接源_02物料!$B962)&gt;$K$3),0,1))</f>
        <v>0</v>
      </c>
      <c r="L2162" s="3">
        <f>IF(OR($L$1="",对接源_02物料!$C962="",对接源_02物料!$C962&lt;&gt;$L$1,对接源_02物料!$B962=""),0,IF(OR(N(对接源_02物料!$B962)&lt;$L$2,N(对接源_02物料!$B962)&gt;$L$3),0,1))</f>
        <v>0</v>
      </c>
      <c r="M2162" s="3">
        <f>IF(OR($M$1="",对接源_02物料!$C962="",对接源_02物料!$C962&lt;&gt;$M$1,对接源_02物料!$B962=""),0,IF(OR(N(对接源_02物料!$B962)&lt;$M$2,N(对接源_02物料!$B962)&gt;$M$3),0,1))</f>
        <v>0</v>
      </c>
      <c r="N2162" s="3">
        <f>IF(OR($N$1="",对接源_02物料!$C962="",对接源_02物料!$C962&lt;&gt;$N$1,对接源_02物料!$B962=""),0,IF(OR(N(对接源_02物料!$B962)&lt;$N$2,N(对接源_02物料!$B962)&gt;$N$3),0,1))</f>
        <v>0</v>
      </c>
      <c r="P2162" s="3">
        <f>IF(AND($K2162=1,AND(对接源_02物料!$X962="公司筐",N(对接源_02物料!$T962)&lt;&gt;0)),1,0)</f>
        <v>0</v>
      </c>
      <c r="Q2162" s="3">
        <f t="shared" si="573"/>
        <v>8</v>
      </c>
      <c r="R2162" s="3">
        <f>IF(AND($K2162=1,AND(对接源_02物料!$X962="公司筐",N(对接源_02物料!$U962)&lt;&gt;0)),1,0)</f>
        <v>0</v>
      </c>
      <c r="S2162" s="3">
        <f t="shared" si="574"/>
        <v>0</v>
      </c>
      <c r="T2162" s="3">
        <f>IF(AND($K2162=1,AND(对接源_02物料!$X962="公司筐",N(对接源_02物料!$V962)&lt;&gt;0)),1,0)</f>
        <v>0</v>
      </c>
      <c r="U2162" s="3">
        <f t="shared" si="575"/>
        <v>19</v>
      </c>
      <c r="V2162" s="3">
        <f>IF(AND($L2162=1,AND(对接源_02物料!$X962="自备筐",N(对接源_02物料!$V962)&lt;&gt;0)),1,0)</f>
        <v>0</v>
      </c>
      <c r="W2162" s="3">
        <f t="shared" si="576"/>
        <v>8</v>
      </c>
      <c r="X2162" s="3">
        <f>IF(AND($L2162=1,AND(对接源_02物料!$X962="自备筐",N(对接源_02物料!$T962)&lt;&gt;0)),1,0)</f>
        <v>0</v>
      </c>
      <c r="Y2162" s="3">
        <f t="shared" si="577"/>
        <v>0</v>
      </c>
      <c r="Z2162" s="3">
        <f>IF(AND($M2162=1,对接源_02物料!$D962="原料入库"),1,0)</f>
        <v>0</v>
      </c>
      <c r="AA2162" s="3">
        <f t="shared" si="578"/>
        <v>24</v>
      </c>
      <c r="AB2162" s="3">
        <f>IF(AND($M2162=1,LEFT(对接源_02物料!$D962,4)="原料出库"),1,0)</f>
        <v>0</v>
      </c>
      <c r="AC2162" s="3">
        <f t="shared" si="579"/>
        <v>0</v>
      </c>
      <c r="AD2162" s="3">
        <f>IF(AND($M2162=1,LEFT(对接源_02物料!$D962,4)="成品出库"),1,0)</f>
        <v>0</v>
      </c>
      <c r="AE2162" s="3">
        <f t="shared" si="580"/>
        <v>0</v>
      </c>
      <c r="AF2162" s="3">
        <f>IF(AND($N2162=1,AND(LEFT(对接源_02物料!$D962,4)="包装物料",N(对接源_02物料!$K962)&lt;&gt;0)),1,0)</f>
        <v>0</v>
      </c>
      <c r="AG2162" s="3">
        <f t="shared" si="581"/>
        <v>5</v>
      </c>
      <c r="AH2162" s="3">
        <f>IF(AND($N2162=1,AND(对接源_02物料!$D962="周转筐－销售出库",N(对接源_02物料!$K962)&lt;&gt;0)),1,0)</f>
        <v>0</v>
      </c>
      <c r="AI2162" s="3">
        <f t="shared" si="582"/>
        <v>0</v>
      </c>
      <c r="AL2162" s="3">
        <v>0</v>
      </c>
      <c r="AM2162" s="3">
        <f t="shared" si="583"/>
        <v>1</v>
      </c>
      <c r="AN2162" s="3" t="str">
        <f t="shared" si="570"/>
        <v/>
      </c>
      <c r="AO2162" s="3">
        <v>0</v>
      </c>
      <c r="AP2162" s="3">
        <f t="shared" si="584"/>
        <v>8</v>
      </c>
      <c r="AR2162">
        <f t="shared" si="585"/>
        <v>0</v>
      </c>
      <c r="AS2162">
        <f t="shared" si="586"/>
        <v>5</v>
      </c>
    </row>
    <row r="2163" customHeight="1" spans="1:45">
      <c r="A2163" s="3" t="str">
        <f>IF(对接源_02物料!$C963="","",对接源_02物料!$C963)</f>
        <v/>
      </c>
      <c r="B2163" s="3">
        <f t="shared" si="571"/>
        <v>0</v>
      </c>
      <c r="C2163" s="3">
        <f t="shared" si="572"/>
        <v>21</v>
      </c>
      <c r="K2163" s="3">
        <f>IF(OR($K$1="",对接源_02物料!$C963="",对接源_02物料!$C963&lt;&gt;$K$1,对接源_02物料!$B963=""),0,IF(OR(N(对接源_02物料!$B963)&lt;$K$2,N(对接源_02物料!$B963)&gt;$K$3),0,1))</f>
        <v>0</v>
      </c>
      <c r="L2163" s="3">
        <f>IF(OR($L$1="",对接源_02物料!$C963="",对接源_02物料!$C963&lt;&gt;$L$1,对接源_02物料!$B963=""),0,IF(OR(N(对接源_02物料!$B963)&lt;$L$2,N(对接源_02物料!$B963)&gt;$L$3),0,1))</f>
        <v>0</v>
      </c>
      <c r="M2163" s="3">
        <f>IF(OR($M$1="",对接源_02物料!$C963="",对接源_02物料!$C963&lt;&gt;$M$1,对接源_02物料!$B963=""),0,IF(OR(N(对接源_02物料!$B963)&lt;$M$2,N(对接源_02物料!$B963)&gt;$M$3),0,1))</f>
        <v>0</v>
      </c>
      <c r="N2163" s="3">
        <f>IF(OR($N$1="",对接源_02物料!$C963="",对接源_02物料!$C963&lt;&gt;$N$1,对接源_02物料!$B963=""),0,IF(OR(N(对接源_02物料!$B963)&lt;$N$2,N(对接源_02物料!$B963)&gt;$N$3),0,1))</f>
        <v>0</v>
      </c>
      <c r="P2163" s="3">
        <f>IF(AND($K2163=1,AND(对接源_02物料!$X963="公司筐",N(对接源_02物料!$T963)&lt;&gt;0)),1,0)</f>
        <v>0</v>
      </c>
      <c r="Q2163" s="3">
        <f t="shared" si="573"/>
        <v>8</v>
      </c>
      <c r="R2163" s="3">
        <f>IF(AND($K2163=1,AND(对接源_02物料!$X963="公司筐",N(对接源_02物料!$U963)&lt;&gt;0)),1,0)</f>
        <v>0</v>
      </c>
      <c r="S2163" s="3">
        <f t="shared" si="574"/>
        <v>0</v>
      </c>
      <c r="T2163" s="3">
        <f>IF(AND($K2163=1,AND(对接源_02物料!$X963="公司筐",N(对接源_02物料!$V963)&lt;&gt;0)),1,0)</f>
        <v>0</v>
      </c>
      <c r="U2163" s="3">
        <f t="shared" si="575"/>
        <v>19</v>
      </c>
      <c r="V2163" s="3">
        <f>IF(AND($L2163=1,AND(对接源_02物料!$X963="自备筐",N(对接源_02物料!$V963)&lt;&gt;0)),1,0)</f>
        <v>0</v>
      </c>
      <c r="W2163" s="3">
        <f t="shared" si="576"/>
        <v>8</v>
      </c>
      <c r="X2163" s="3">
        <f>IF(AND($L2163=1,AND(对接源_02物料!$X963="自备筐",N(对接源_02物料!$T963)&lt;&gt;0)),1,0)</f>
        <v>0</v>
      </c>
      <c r="Y2163" s="3">
        <f t="shared" si="577"/>
        <v>0</v>
      </c>
      <c r="Z2163" s="3">
        <f>IF(AND($M2163=1,对接源_02物料!$D963="原料入库"),1,0)</f>
        <v>0</v>
      </c>
      <c r="AA2163" s="3">
        <f t="shared" si="578"/>
        <v>24</v>
      </c>
      <c r="AB2163" s="3">
        <f>IF(AND($M2163=1,LEFT(对接源_02物料!$D963,4)="原料出库"),1,0)</f>
        <v>0</v>
      </c>
      <c r="AC2163" s="3">
        <f t="shared" si="579"/>
        <v>0</v>
      </c>
      <c r="AD2163" s="3">
        <f>IF(AND($M2163=1,LEFT(对接源_02物料!$D963,4)="成品出库"),1,0)</f>
        <v>0</v>
      </c>
      <c r="AE2163" s="3">
        <f t="shared" si="580"/>
        <v>0</v>
      </c>
      <c r="AF2163" s="3">
        <f>IF(AND($N2163=1,AND(LEFT(对接源_02物料!$D963,4)="包装物料",N(对接源_02物料!$K963)&lt;&gt;0)),1,0)</f>
        <v>0</v>
      </c>
      <c r="AG2163" s="3">
        <f t="shared" si="581"/>
        <v>5</v>
      </c>
      <c r="AH2163" s="3">
        <f>IF(AND($N2163=1,AND(对接源_02物料!$D963="周转筐－销售出库",N(对接源_02物料!$K963)&lt;&gt;0)),1,0)</f>
        <v>0</v>
      </c>
      <c r="AI2163" s="3">
        <f t="shared" si="582"/>
        <v>0</v>
      </c>
      <c r="AL2163" s="3">
        <v>0</v>
      </c>
      <c r="AM2163" s="3">
        <f t="shared" si="583"/>
        <v>1</v>
      </c>
      <c r="AN2163" s="3" t="str">
        <f t="shared" si="570"/>
        <v/>
      </c>
      <c r="AO2163" s="3">
        <v>0</v>
      </c>
      <c r="AP2163" s="3">
        <f t="shared" si="584"/>
        <v>8</v>
      </c>
      <c r="AR2163">
        <f t="shared" si="585"/>
        <v>0</v>
      </c>
      <c r="AS2163">
        <f t="shared" si="586"/>
        <v>5</v>
      </c>
    </row>
    <row r="2164" customHeight="1" spans="1:45">
      <c r="A2164" s="3" t="str">
        <f>IF(对接源_02物料!$C964="","",对接源_02物料!$C964)</f>
        <v/>
      </c>
      <c r="B2164" s="3">
        <f t="shared" si="571"/>
        <v>0</v>
      </c>
      <c r="C2164" s="3">
        <f t="shared" si="572"/>
        <v>21</v>
      </c>
      <c r="K2164" s="3">
        <f>IF(OR($K$1="",对接源_02物料!$C964="",对接源_02物料!$C964&lt;&gt;$K$1,对接源_02物料!$B964=""),0,IF(OR(N(对接源_02物料!$B964)&lt;$K$2,N(对接源_02物料!$B964)&gt;$K$3),0,1))</f>
        <v>0</v>
      </c>
      <c r="L2164" s="3">
        <f>IF(OR($L$1="",对接源_02物料!$C964="",对接源_02物料!$C964&lt;&gt;$L$1,对接源_02物料!$B964=""),0,IF(OR(N(对接源_02物料!$B964)&lt;$L$2,N(对接源_02物料!$B964)&gt;$L$3),0,1))</f>
        <v>0</v>
      </c>
      <c r="M2164" s="3">
        <f>IF(OR($M$1="",对接源_02物料!$C964="",对接源_02物料!$C964&lt;&gt;$M$1,对接源_02物料!$B964=""),0,IF(OR(N(对接源_02物料!$B964)&lt;$M$2,N(对接源_02物料!$B964)&gt;$M$3),0,1))</f>
        <v>0</v>
      </c>
      <c r="N2164" s="3">
        <f>IF(OR($N$1="",对接源_02物料!$C964="",对接源_02物料!$C964&lt;&gt;$N$1,对接源_02物料!$B964=""),0,IF(OR(N(对接源_02物料!$B964)&lt;$N$2,N(对接源_02物料!$B964)&gt;$N$3),0,1))</f>
        <v>0</v>
      </c>
      <c r="P2164" s="3">
        <f>IF(AND($K2164=1,AND(对接源_02物料!$X964="公司筐",N(对接源_02物料!$T964)&lt;&gt;0)),1,0)</f>
        <v>0</v>
      </c>
      <c r="Q2164" s="3">
        <f t="shared" si="573"/>
        <v>8</v>
      </c>
      <c r="R2164" s="3">
        <f>IF(AND($K2164=1,AND(对接源_02物料!$X964="公司筐",N(对接源_02物料!$U964)&lt;&gt;0)),1,0)</f>
        <v>0</v>
      </c>
      <c r="S2164" s="3">
        <f t="shared" si="574"/>
        <v>0</v>
      </c>
      <c r="T2164" s="3">
        <f>IF(AND($K2164=1,AND(对接源_02物料!$X964="公司筐",N(对接源_02物料!$V964)&lt;&gt;0)),1,0)</f>
        <v>0</v>
      </c>
      <c r="U2164" s="3">
        <f t="shared" si="575"/>
        <v>19</v>
      </c>
      <c r="V2164" s="3">
        <f>IF(AND($L2164=1,AND(对接源_02物料!$X964="自备筐",N(对接源_02物料!$V964)&lt;&gt;0)),1,0)</f>
        <v>0</v>
      </c>
      <c r="W2164" s="3">
        <f t="shared" si="576"/>
        <v>8</v>
      </c>
      <c r="X2164" s="3">
        <f>IF(AND($L2164=1,AND(对接源_02物料!$X964="自备筐",N(对接源_02物料!$T964)&lt;&gt;0)),1,0)</f>
        <v>0</v>
      </c>
      <c r="Y2164" s="3">
        <f t="shared" si="577"/>
        <v>0</v>
      </c>
      <c r="Z2164" s="3">
        <f>IF(AND($M2164=1,对接源_02物料!$D964="原料入库"),1,0)</f>
        <v>0</v>
      </c>
      <c r="AA2164" s="3">
        <f t="shared" si="578"/>
        <v>24</v>
      </c>
      <c r="AB2164" s="3">
        <f>IF(AND($M2164=1,LEFT(对接源_02物料!$D964,4)="原料出库"),1,0)</f>
        <v>0</v>
      </c>
      <c r="AC2164" s="3">
        <f t="shared" si="579"/>
        <v>0</v>
      </c>
      <c r="AD2164" s="3">
        <f>IF(AND($M2164=1,LEFT(对接源_02物料!$D964,4)="成品出库"),1,0)</f>
        <v>0</v>
      </c>
      <c r="AE2164" s="3">
        <f t="shared" si="580"/>
        <v>0</v>
      </c>
      <c r="AF2164" s="3">
        <f>IF(AND($N2164=1,AND(LEFT(对接源_02物料!$D964,4)="包装物料",N(对接源_02物料!$K964)&lt;&gt;0)),1,0)</f>
        <v>0</v>
      </c>
      <c r="AG2164" s="3">
        <f t="shared" si="581"/>
        <v>5</v>
      </c>
      <c r="AH2164" s="3">
        <f>IF(AND($N2164=1,AND(对接源_02物料!$D964="周转筐－销售出库",N(对接源_02物料!$K964)&lt;&gt;0)),1,0)</f>
        <v>0</v>
      </c>
      <c r="AI2164" s="3">
        <f t="shared" si="582"/>
        <v>0</v>
      </c>
      <c r="AL2164" s="3">
        <v>0</v>
      </c>
      <c r="AM2164" s="3">
        <f t="shared" si="583"/>
        <v>1</v>
      </c>
      <c r="AN2164" s="3" t="str">
        <f t="shared" ref="AN2164:AN2227" si="587">""</f>
        <v/>
      </c>
      <c r="AO2164" s="3">
        <v>0</v>
      </c>
      <c r="AP2164" s="3">
        <f t="shared" si="584"/>
        <v>8</v>
      </c>
      <c r="AR2164">
        <f t="shared" si="585"/>
        <v>0</v>
      </c>
      <c r="AS2164">
        <f t="shared" si="586"/>
        <v>5</v>
      </c>
    </row>
    <row r="2165" customHeight="1" spans="1:45">
      <c r="A2165" s="3" t="str">
        <f>IF(对接源_02物料!$C965="","",对接源_02物料!$C965)</f>
        <v/>
      </c>
      <c r="B2165" s="3">
        <f t="shared" si="571"/>
        <v>0</v>
      </c>
      <c r="C2165" s="3">
        <f t="shared" si="572"/>
        <v>21</v>
      </c>
      <c r="K2165" s="3">
        <f>IF(OR($K$1="",对接源_02物料!$C965="",对接源_02物料!$C965&lt;&gt;$K$1,对接源_02物料!$B965=""),0,IF(OR(N(对接源_02物料!$B965)&lt;$K$2,N(对接源_02物料!$B965)&gt;$K$3),0,1))</f>
        <v>0</v>
      </c>
      <c r="L2165" s="3">
        <f>IF(OR($L$1="",对接源_02物料!$C965="",对接源_02物料!$C965&lt;&gt;$L$1,对接源_02物料!$B965=""),0,IF(OR(N(对接源_02物料!$B965)&lt;$L$2,N(对接源_02物料!$B965)&gt;$L$3),0,1))</f>
        <v>0</v>
      </c>
      <c r="M2165" s="3">
        <f>IF(OR($M$1="",对接源_02物料!$C965="",对接源_02物料!$C965&lt;&gt;$M$1,对接源_02物料!$B965=""),0,IF(OR(N(对接源_02物料!$B965)&lt;$M$2,N(对接源_02物料!$B965)&gt;$M$3),0,1))</f>
        <v>0</v>
      </c>
      <c r="N2165" s="3">
        <f>IF(OR($N$1="",对接源_02物料!$C965="",对接源_02物料!$C965&lt;&gt;$N$1,对接源_02物料!$B965=""),0,IF(OR(N(对接源_02物料!$B965)&lt;$N$2,N(对接源_02物料!$B965)&gt;$N$3),0,1))</f>
        <v>0</v>
      </c>
      <c r="P2165" s="3">
        <f>IF(AND($K2165=1,AND(对接源_02物料!$X965="公司筐",N(对接源_02物料!$T965)&lt;&gt;0)),1,0)</f>
        <v>0</v>
      </c>
      <c r="Q2165" s="3">
        <f t="shared" si="573"/>
        <v>8</v>
      </c>
      <c r="R2165" s="3">
        <f>IF(AND($K2165=1,AND(对接源_02物料!$X965="公司筐",N(对接源_02物料!$U965)&lt;&gt;0)),1,0)</f>
        <v>0</v>
      </c>
      <c r="S2165" s="3">
        <f t="shared" si="574"/>
        <v>0</v>
      </c>
      <c r="T2165" s="3">
        <f>IF(AND($K2165=1,AND(对接源_02物料!$X965="公司筐",N(对接源_02物料!$V965)&lt;&gt;0)),1,0)</f>
        <v>0</v>
      </c>
      <c r="U2165" s="3">
        <f t="shared" si="575"/>
        <v>19</v>
      </c>
      <c r="V2165" s="3">
        <f>IF(AND($L2165=1,AND(对接源_02物料!$X965="自备筐",N(对接源_02物料!$V965)&lt;&gt;0)),1,0)</f>
        <v>0</v>
      </c>
      <c r="W2165" s="3">
        <f t="shared" si="576"/>
        <v>8</v>
      </c>
      <c r="X2165" s="3">
        <f>IF(AND($L2165=1,AND(对接源_02物料!$X965="自备筐",N(对接源_02物料!$T965)&lt;&gt;0)),1,0)</f>
        <v>0</v>
      </c>
      <c r="Y2165" s="3">
        <f t="shared" si="577"/>
        <v>0</v>
      </c>
      <c r="Z2165" s="3">
        <f>IF(AND($M2165=1,对接源_02物料!$D965="原料入库"),1,0)</f>
        <v>0</v>
      </c>
      <c r="AA2165" s="3">
        <f t="shared" si="578"/>
        <v>24</v>
      </c>
      <c r="AB2165" s="3">
        <f>IF(AND($M2165=1,LEFT(对接源_02物料!$D965,4)="原料出库"),1,0)</f>
        <v>0</v>
      </c>
      <c r="AC2165" s="3">
        <f t="shared" si="579"/>
        <v>0</v>
      </c>
      <c r="AD2165" s="3">
        <f>IF(AND($M2165=1,LEFT(对接源_02物料!$D965,4)="成品出库"),1,0)</f>
        <v>0</v>
      </c>
      <c r="AE2165" s="3">
        <f t="shared" si="580"/>
        <v>0</v>
      </c>
      <c r="AF2165" s="3">
        <f>IF(AND($N2165=1,AND(LEFT(对接源_02物料!$D965,4)="包装物料",N(对接源_02物料!$K965)&lt;&gt;0)),1,0)</f>
        <v>0</v>
      </c>
      <c r="AG2165" s="3">
        <f t="shared" si="581"/>
        <v>5</v>
      </c>
      <c r="AH2165" s="3">
        <f>IF(AND($N2165=1,AND(对接源_02物料!$D965="周转筐－销售出库",N(对接源_02物料!$K965)&lt;&gt;0)),1,0)</f>
        <v>0</v>
      </c>
      <c r="AI2165" s="3">
        <f t="shared" si="582"/>
        <v>0</v>
      </c>
      <c r="AL2165" s="3">
        <v>0</v>
      </c>
      <c r="AM2165" s="3">
        <f t="shared" si="583"/>
        <v>1</v>
      </c>
      <c r="AN2165" s="3" t="str">
        <f t="shared" si="587"/>
        <v/>
      </c>
      <c r="AO2165" s="3">
        <v>0</v>
      </c>
      <c r="AP2165" s="3">
        <f t="shared" si="584"/>
        <v>8</v>
      </c>
      <c r="AR2165">
        <f t="shared" si="585"/>
        <v>0</v>
      </c>
      <c r="AS2165">
        <f t="shared" si="586"/>
        <v>5</v>
      </c>
    </row>
    <row r="2166" customHeight="1" spans="1:45">
      <c r="A2166" s="3" t="str">
        <f>IF(对接源_02物料!$C966="","",对接源_02物料!$C966)</f>
        <v/>
      </c>
      <c r="B2166" s="3">
        <f t="shared" si="571"/>
        <v>0</v>
      </c>
      <c r="C2166" s="3">
        <f t="shared" si="572"/>
        <v>21</v>
      </c>
      <c r="K2166" s="3">
        <f>IF(OR($K$1="",对接源_02物料!$C966="",对接源_02物料!$C966&lt;&gt;$K$1,对接源_02物料!$B966=""),0,IF(OR(N(对接源_02物料!$B966)&lt;$K$2,N(对接源_02物料!$B966)&gt;$K$3),0,1))</f>
        <v>0</v>
      </c>
      <c r="L2166" s="3">
        <f>IF(OR($L$1="",对接源_02物料!$C966="",对接源_02物料!$C966&lt;&gt;$L$1,对接源_02物料!$B966=""),0,IF(OR(N(对接源_02物料!$B966)&lt;$L$2,N(对接源_02物料!$B966)&gt;$L$3),0,1))</f>
        <v>0</v>
      </c>
      <c r="M2166" s="3">
        <f>IF(OR($M$1="",对接源_02物料!$C966="",对接源_02物料!$C966&lt;&gt;$M$1,对接源_02物料!$B966=""),0,IF(OR(N(对接源_02物料!$B966)&lt;$M$2,N(对接源_02物料!$B966)&gt;$M$3),0,1))</f>
        <v>0</v>
      </c>
      <c r="N2166" s="3">
        <f>IF(OR($N$1="",对接源_02物料!$C966="",对接源_02物料!$C966&lt;&gt;$N$1,对接源_02物料!$B966=""),0,IF(OR(N(对接源_02物料!$B966)&lt;$N$2,N(对接源_02物料!$B966)&gt;$N$3),0,1))</f>
        <v>0</v>
      </c>
      <c r="P2166" s="3">
        <f>IF(AND($K2166=1,AND(对接源_02物料!$X966="公司筐",N(对接源_02物料!$T966)&lt;&gt;0)),1,0)</f>
        <v>0</v>
      </c>
      <c r="Q2166" s="3">
        <f t="shared" si="573"/>
        <v>8</v>
      </c>
      <c r="R2166" s="3">
        <f>IF(AND($K2166=1,AND(对接源_02物料!$X966="公司筐",N(对接源_02物料!$U966)&lt;&gt;0)),1,0)</f>
        <v>0</v>
      </c>
      <c r="S2166" s="3">
        <f t="shared" si="574"/>
        <v>0</v>
      </c>
      <c r="T2166" s="3">
        <f>IF(AND($K2166=1,AND(对接源_02物料!$X966="公司筐",N(对接源_02物料!$V966)&lt;&gt;0)),1,0)</f>
        <v>0</v>
      </c>
      <c r="U2166" s="3">
        <f t="shared" si="575"/>
        <v>19</v>
      </c>
      <c r="V2166" s="3">
        <f>IF(AND($L2166=1,AND(对接源_02物料!$X966="自备筐",N(对接源_02物料!$V966)&lt;&gt;0)),1,0)</f>
        <v>0</v>
      </c>
      <c r="W2166" s="3">
        <f t="shared" si="576"/>
        <v>8</v>
      </c>
      <c r="X2166" s="3">
        <f>IF(AND($L2166=1,AND(对接源_02物料!$X966="自备筐",N(对接源_02物料!$T966)&lt;&gt;0)),1,0)</f>
        <v>0</v>
      </c>
      <c r="Y2166" s="3">
        <f t="shared" si="577"/>
        <v>0</v>
      </c>
      <c r="Z2166" s="3">
        <f>IF(AND($M2166=1,对接源_02物料!$D966="原料入库"),1,0)</f>
        <v>0</v>
      </c>
      <c r="AA2166" s="3">
        <f t="shared" si="578"/>
        <v>24</v>
      </c>
      <c r="AB2166" s="3">
        <f>IF(AND($M2166=1,LEFT(对接源_02物料!$D966,4)="原料出库"),1,0)</f>
        <v>0</v>
      </c>
      <c r="AC2166" s="3">
        <f t="shared" si="579"/>
        <v>0</v>
      </c>
      <c r="AD2166" s="3">
        <f>IF(AND($M2166=1,LEFT(对接源_02物料!$D966,4)="成品出库"),1,0)</f>
        <v>0</v>
      </c>
      <c r="AE2166" s="3">
        <f t="shared" si="580"/>
        <v>0</v>
      </c>
      <c r="AF2166" s="3">
        <f>IF(AND($N2166=1,AND(LEFT(对接源_02物料!$D966,4)="包装物料",N(对接源_02物料!$K966)&lt;&gt;0)),1,0)</f>
        <v>0</v>
      </c>
      <c r="AG2166" s="3">
        <f t="shared" si="581"/>
        <v>5</v>
      </c>
      <c r="AH2166" s="3">
        <f>IF(AND($N2166=1,AND(对接源_02物料!$D966="周转筐－销售出库",N(对接源_02物料!$K966)&lt;&gt;0)),1,0)</f>
        <v>0</v>
      </c>
      <c r="AI2166" s="3">
        <f t="shared" si="582"/>
        <v>0</v>
      </c>
      <c r="AL2166" s="3">
        <v>0</v>
      </c>
      <c r="AM2166" s="3">
        <f t="shared" si="583"/>
        <v>1</v>
      </c>
      <c r="AN2166" s="3" t="str">
        <f t="shared" si="587"/>
        <v/>
      </c>
      <c r="AO2166" s="3">
        <v>0</v>
      </c>
      <c r="AP2166" s="3">
        <f t="shared" si="584"/>
        <v>8</v>
      </c>
      <c r="AR2166">
        <f t="shared" si="585"/>
        <v>0</v>
      </c>
      <c r="AS2166">
        <f t="shared" si="586"/>
        <v>5</v>
      </c>
    </row>
    <row r="2167" customHeight="1" spans="1:45">
      <c r="A2167" s="3" t="str">
        <f>IF(对接源_02物料!$C967="","",对接源_02物料!$C967)</f>
        <v/>
      </c>
      <c r="B2167" s="3">
        <f t="shared" si="571"/>
        <v>0</v>
      </c>
      <c r="C2167" s="3">
        <f t="shared" si="572"/>
        <v>21</v>
      </c>
      <c r="K2167" s="3">
        <f>IF(OR($K$1="",对接源_02物料!$C967="",对接源_02物料!$C967&lt;&gt;$K$1,对接源_02物料!$B967=""),0,IF(OR(N(对接源_02物料!$B967)&lt;$K$2,N(对接源_02物料!$B967)&gt;$K$3),0,1))</f>
        <v>0</v>
      </c>
      <c r="L2167" s="3">
        <f>IF(OR($L$1="",对接源_02物料!$C967="",对接源_02物料!$C967&lt;&gt;$L$1,对接源_02物料!$B967=""),0,IF(OR(N(对接源_02物料!$B967)&lt;$L$2,N(对接源_02物料!$B967)&gt;$L$3),0,1))</f>
        <v>0</v>
      </c>
      <c r="M2167" s="3">
        <f>IF(OR($M$1="",对接源_02物料!$C967="",对接源_02物料!$C967&lt;&gt;$M$1,对接源_02物料!$B967=""),0,IF(OR(N(对接源_02物料!$B967)&lt;$M$2,N(对接源_02物料!$B967)&gt;$M$3),0,1))</f>
        <v>0</v>
      </c>
      <c r="N2167" s="3">
        <f>IF(OR($N$1="",对接源_02物料!$C967="",对接源_02物料!$C967&lt;&gt;$N$1,对接源_02物料!$B967=""),0,IF(OR(N(对接源_02物料!$B967)&lt;$N$2,N(对接源_02物料!$B967)&gt;$N$3),0,1))</f>
        <v>0</v>
      </c>
      <c r="P2167" s="3">
        <f>IF(AND($K2167=1,AND(对接源_02物料!$X967="公司筐",N(对接源_02物料!$T967)&lt;&gt;0)),1,0)</f>
        <v>0</v>
      </c>
      <c r="Q2167" s="3">
        <f t="shared" si="573"/>
        <v>8</v>
      </c>
      <c r="R2167" s="3">
        <f>IF(AND($K2167=1,AND(对接源_02物料!$X967="公司筐",N(对接源_02物料!$U967)&lt;&gt;0)),1,0)</f>
        <v>0</v>
      </c>
      <c r="S2167" s="3">
        <f t="shared" si="574"/>
        <v>0</v>
      </c>
      <c r="T2167" s="3">
        <f>IF(AND($K2167=1,AND(对接源_02物料!$X967="公司筐",N(对接源_02物料!$V967)&lt;&gt;0)),1,0)</f>
        <v>0</v>
      </c>
      <c r="U2167" s="3">
        <f t="shared" si="575"/>
        <v>19</v>
      </c>
      <c r="V2167" s="3">
        <f>IF(AND($L2167=1,AND(对接源_02物料!$X967="自备筐",N(对接源_02物料!$V967)&lt;&gt;0)),1,0)</f>
        <v>0</v>
      </c>
      <c r="W2167" s="3">
        <f t="shared" si="576"/>
        <v>8</v>
      </c>
      <c r="X2167" s="3">
        <f>IF(AND($L2167=1,AND(对接源_02物料!$X967="自备筐",N(对接源_02物料!$T967)&lt;&gt;0)),1,0)</f>
        <v>0</v>
      </c>
      <c r="Y2167" s="3">
        <f t="shared" si="577"/>
        <v>0</v>
      </c>
      <c r="Z2167" s="3">
        <f>IF(AND($M2167=1,对接源_02物料!$D967="原料入库"),1,0)</f>
        <v>0</v>
      </c>
      <c r="AA2167" s="3">
        <f t="shared" si="578"/>
        <v>24</v>
      </c>
      <c r="AB2167" s="3">
        <f>IF(AND($M2167=1,LEFT(对接源_02物料!$D967,4)="原料出库"),1,0)</f>
        <v>0</v>
      </c>
      <c r="AC2167" s="3">
        <f t="shared" si="579"/>
        <v>0</v>
      </c>
      <c r="AD2167" s="3">
        <f>IF(AND($M2167=1,LEFT(对接源_02物料!$D967,4)="成品出库"),1,0)</f>
        <v>0</v>
      </c>
      <c r="AE2167" s="3">
        <f t="shared" si="580"/>
        <v>0</v>
      </c>
      <c r="AF2167" s="3">
        <f>IF(AND($N2167=1,AND(LEFT(对接源_02物料!$D967,4)="包装物料",N(对接源_02物料!$K967)&lt;&gt;0)),1,0)</f>
        <v>0</v>
      </c>
      <c r="AG2167" s="3">
        <f t="shared" si="581"/>
        <v>5</v>
      </c>
      <c r="AH2167" s="3">
        <f>IF(AND($N2167=1,AND(对接源_02物料!$D967="周转筐－销售出库",N(对接源_02物料!$K967)&lt;&gt;0)),1,0)</f>
        <v>0</v>
      </c>
      <c r="AI2167" s="3">
        <f t="shared" si="582"/>
        <v>0</v>
      </c>
      <c r="AL2167" s="3">
        <v>0</v>
      </c>
      <c r="AM2167" s="3">
        <f t="shared" si="583"/>
        <v>1</v>
      </c>
      <c r="AN2167" s="3" t="str">
        <f t="shared" si="587"/>
        <v/>
      </c>
      <c r="AO2167" s="3">
        <v>0</v>
      </c>
      <c r="AP2167" s="3">
        <f t="shared" si="584"/>
        <v>8</v>
      </c>
      <c r="AR2167">
        <f t="shared" si="585"/>
        <v>0</v>
      </c>
      <c r="AS2167">
        <f t="shared" si="586"/>
        <v>5</v>
      </c>
    </row>
    <row r="2168" customHeight="1" spans="1:45">
      <c r="A2168" s="3" t="str">
        <f>IF(对接源_02物料!$C968="","",对接源_02物料!$C968)</f>
        <v/>
      </c>
      <c r="B2168" s="3">
        <f t="shared" si="571"/>
        <v>0</v>
      </c>
      <c r="C2168" s="3">
        <f t="shared" si="572"/>
        <v>21</v>
      </c>
      <c r="K2168" s="3">
        <f>IF(OR($K$1="",对接源_02物料!$C968="",对接源_02物料!$C968&lt;&gt;$K$1,对接源_02物料!$B968=""),0,IF(OR(N(对接源_02物料!$B968)&lt;$K$2,N(对接源_02物料!$B968)&gt;$K$3),0,1))</f>
        <v>0</v>
      </c>
      <c r="L2168" s="3">
        <f>IF(OR($L$1="",对接源_02物料!$C968="",对接源_02物料!$C968&lt;&gt;$L$1,对接源_02物料!$B968=""),0,IF(OR(N(对接源_02物料!$B968)&lt;$L$2,N(对接源_02物料!$B968)&gt;$L$3),0,1))</f>
        <v>0</v>
      </c>
      <c r="M2168" s="3">
        <f>IF(OR($M$1="",对接源_02物料!$C968="",对接源_02物料!$C968&lt;&gt;$M$1,对接源_02物料!$B968=""),0,IF(OR(N(对接源_02物料!$B968)&lt;$M$2,N(对接源_02物料!$B968)&gt;$M$3),0,1))</f>
        <v>0</v>
      </c>
      <c r="N2168" s="3">
        <f>IF(OR($N$1="",对接源_02物料!$C968="",对接源_02物料!$C968&lt;&gt;$N$1,对接源_02物料!$B968=""),0,IF(OR(N(对接源_02物料!$B968)&lt;$N$2,N(对接源_02物料!$B968)&gt;$N$3),0,1))</f>
        <v>0</v>
      </c>
      <c r="P2168" s="3">
        <f>IF(AND($K2168=1,AND(对接源_02物料!$X968="公司筐",N(对接源_02物料!$T968)&lt;&gt;0)),1,0)</f>
        <v>0</v>
      </c>
      <c r="Q2168" s="3">
        <f t="shared" si="573"/>
        <v>8</v>
      </c>
      <c r="R2168" s="3">
        <f>IF(AND($K2168=1,AND(对接源_02物料!$X968="公司筐",N(对接源_02物料!$U968)&lt;&gt;0)),1,0)</f>
        <v>0</v>
      </c>
      <c r="S2168" s="3">
        <f t="shared" si="574"/>
        <v>0</v>
      </c>
      <c r="T2168" s="3">
        <f>IF(AND($K2168=1,AND(对接源_02物料!$X968="公司筐",N(对接源_02物料!$V968)&lt;&gt;0)),1,0)</f>
        <v>0</v>
      </c>
      <c r="U2168" s="3">
        <f t="shared" si="575"/>
        <v>19</v>
      </c>
      <c r="V2168" s="3">
        <f>IF(AND($L2168=1,AND(对接源_02物料!$X968="自备筐",N(对接源_02物料!$V968)&lt;&gt;0)),1,0)</f>
        <v>0</v>
      </c>
      <c r="W2168" s="3">
        <f t="shared" si="576"/>
        <v>8</v>
      </c>
      <c r="X2168" s="3">
        <f>IF(AND($L2168=1,AND(对接源_02物料!$X968="自备筐",N(对接源_02物料!$T968)&lt;&gt;0)),1,0)</f>
        <v>0</v>
      </c>
      <c r="Y2168" s="3">
        <f t="shared" si="577"/>
        <v>0</v>
      </c>
      <c r="Z2168" s="3">
        <f>IF(AND($M2168=1,对接源_02物料!$D968="原料入库"),1,0)</f>
        <v>0</v>
      </c>
      <c r="AA2168" s="3">
        <f t="shared" si="578"/>
        <v>24</v>
      </c>
      <c r="AB2168" s="3">
        <f>IF(AND($M2168=1,LEFT(对接源_02物料!$D968,4)="原料出库"),1,0)</f>
        <v>0</v>
      </c>
      <c r="AC2168" s="3">
        <f t="shared" si="579"/>
        <v>0</v>
      </c>
      <c r="AD2168" s="3">
        <f>IF(AND($M2168=1,LEFT(对接源_02物料!$D968,4)="成品出库"),1,0)</f>
        <v>0</v>
      </c>
      <c r="AE2168" s="3">
        <f t="shared" si="580"/>
        <v>0</v>
      </c>
      <c r="AF2168" s="3">
        <f>IF(AND($N2168=1,AND(LEFT(对接源_02物料!$D968,4)="包装物料",N(对接源_02物料!$K968)&lt;&gt;0)),1,0)</f>
        <v>0</v>
      </c>
      <c r="AG2168" s="3">
        <f t="shared" si="581"/>
        <v>5</v>
      </c>
      <c r="AH2168" s="3">
        <f>IF(AND($N2168=1,AND(对接源_02物料!$D968="周转筐－销售出库",N(对接源_02物料!$K968)&lt;&gt;0)),1,0)</f>
        <v>0</v>
      </c>
      <c r="AI2168" s="3">
        <f t="shared" si="582"/>
        <v>0</v>
      </c>
      <c r="AL2168" s="3">
        <v>0</v>
      </c>
      <c r="AM2168" s="3">
        <f t="shared" si="583"/>
        <v>1</v>
      </c>
      <c r="AN2168" s="3" t="str">
        <f t="shared" si="587"/>
        <v/>
      </c>
      <c r="AO2168" s="3">
        <v>0</v>
      </c>
      <c r="AP2168" s="3">
        <f t="shared" si="584"/>
        <v>8</v>
      </c>
      <c r="AR2168">
        <f t="shared" si="585"/>
        <v>0</v>
      </c>
      <c r="AS2168">
        <f t="shared" si="586"/>
        <v>5</v>
      </c>
    </row>
    <row r="2169" customHeight="1" spans="1:45">
      <c r="A2169" s="3" t="str">
        <f>IF(对接源_02物料!$C969="","",对接源_02物料!$C969)</f>
        <v/>
      </c>
      <c r="B2169" s="3">
        <f t="shared" si="571"/>
        <v>0</v>
      </c>
      <c r="C2169" s="3">
        <f t="shared" si="572"/>
        <v>21</v>
      </c>
      <c r="K2169" s="3">
        <f>IF(OR($K$1="",对接源_02物料!$C969="",对接源_02物料!$C969&lt;&gt;$K$1,对接源_02物料!$B969=""),0,IF(OR(N(对接源_02物料!$B969)&lt;$K$2,N(对接源_02物料!$B969)&gt;$K$3),0,1))</f>
        <v>0</v>
      </c>
      <c r="L2169" s="3">
        <f>IF(OR($L$1="",对接源_02物料!$C969="",对接源_02物料!$C969&lt;&gt;$L$1,对接源_02物料!$B969=""),0,IF(OR(N(对接源_02物料!$B969)&lt;$L$2,N(对接源_02物料!$B969)&gt;$L$3),0,1))</f>
        <v>0</v>
      </c>
      <c r="M2169" s="3">
        <f>IF(OR($M$1="",对接源_02物料!$C969="",对接源_02物料!$C969&lt;&gt;$M$1,对接源_02物料!$B969=""),0,IF(OR(N(对接源_02物料!$B969)&lt;$M$2,N(对接源_02物料!$B969)&gt;$M$3),0,1))</f>
        <v>0</v>
      </c>
      <c r="N2169" s="3">
        <f>IF(OR($N$1="",对接源_02物料!$C969="",对接源_02物料!$C969&lt;&gt;$N$1,对接源_02物料!$B969=""),0,IF(OR(N(对接源_02物料!$B969)&lt;$N$2,N(对接源_02物料!$B969)&gt;$N$3),0,1))</f>
        <v>0</v>
      </c>
      <c r="P2169" s="3">
        <f>IF(AND($K2169=1,AND(对接源_02物料!$X969="公司筐",N(对接源_02物料!$T969)&lt;&gt;0)),1,0)</f>
        <v>0</v>
      </c>
      <c r="Q2169" s="3">
        <f t="shared" si="573"/>
        <v>8</v>
      </c>
      <c r="R2169" s="3">
        <f>IF(AND($K2169=1,AND(对接源_02物料!$X969="公司筐",N(对接源_02物料!$U969)&lt;&gt;0)),1,0)</f>
        <v>0</v>
      </c>
      <c r="S2169" s="3">
        <f t="shared" si="574"/>
        <v>0</v>
      </c>
      <c r="T2169" s="3">
        <f>IF(AND($K2169=1,AND(对接源_02物料!$X969="公司筐",N(对接源_02物料!$V969)&lt;&gt;0)),1,0)</f>
        <v>0</v>
      </c>
      <c r="U2169" s="3">
        <f t="shared" si="575"/>
        <v>19</v>
      </c>
      <c r="V2169" s="3">
        <f>IF(AND($L2169=1,AND(对接源_02物料!$X969="自备筐",N(对接源_02物料!$V969)&lt;&gt;0)),1,0)</f>
        <v>0</v>
      </c>
      <c r="W2169" s="3">
        <f t="shared" si="576"/>
        <v>8</v>
      </c>
      <c r="X2169" s="3">
        <f>IF(AND($L2169=1,AND(对接源_02物料!$X969="自备筐",N(对接源_02物料!$T969)&lt;&gt;0)),1,0)</f>
        <v>0</v>
      </c>
      <c r="Y2169" s="3">
        <f t="shared" si="577"/>
        <v>0</v>
      </c>
      <c r="Z2169" s="3">
        <f>IF(AND($M2169=1,对接源_02物料!$D969="原料入库"),1,0)</f>
        <v>0</v>
      </c>
      <c r="AA2169" s="3">
        <f t="shared" si="578"/>
        <v>24</v>
      </c>
      <c r="AB2169" s="3">
        <f>IF(AND($M2169=1,LEFT(对接源_02物料!$D969,4)="原料出库"),1,0)</f>
        <v>0</v>
      </c>
      <c r="AC2169" s="3">
        <f t="shared" si="579"/>
        <v>0</v>
      </c>
      <c r="AD2169" s="3">
        <f>IF(AND($M2169=1,LEFT(对接源_02物料!$D969,4)="成品出库"),1,0)</f>
        <v>0</v>
      </c>
      <c r="AE2169" s="3">
        <f t="shared" si="580"/>
        <v>0</v>
      </c>
      <c r="AF2169" s="3">
        <f>IF(AND($N2169=1,AND(LEFT(对接源_02物料!$D969,4)="包装物料",N(对接源_02物料!$K969)&lt;&gt;0)),1,0)</f>
        <v>0</v>
      </c>
      <c r="AG2169" s="3">
        <f t="shared" si="581"/>
        <v>5</v>
      </c>
      <c r="AH2169" s="3">
        <f>IF(AND($N2169=1,AND(对接源_02物料!$D969="周转筐－销售出库",N(对接源_02物料!$K969)&lt;&gt;0)),1,0)</f>
        <v>0</v>
      </c>
      <c r="AI2169" s="3">
        <f t="shared" si="582"/>
        <v>0</v>
      </c>
      <c r="AL2169" s="3">
        <v>0</v>
      </c>
      <c r="AM2169" s="3">
        <f t="shared" si="583"/>
        <v>1</v>
      </c>
      <c r="AN2169" s="3" t="str">
        <f t="shared" si="587"/>
        <v/>
      </c>
      <c r="AO2169" s="3">
        <v>0</v>
      </c>
      <c r="AP2169" s="3">
        <f t="shared" si="584"/>
        <v>8</v>
      </c>
      <c r="AR2169">
        <f t="shared" si="585"/>
        <v>0</v>
      </c>
      <c r="AS2169">
        <f t="shared" si="586"/>
        <v>5</v>
      </c>
    </row>
    <row r="2170" customHeight="1" spans="1:45">
      <c r="A2170" s="3" t="str">
        <f>IF(对接源_02物料!$C970="","",对接源_02物料!$C970)</f>
        <v/>
      </c>
      <c r="B2170" s="3">
        <f t="shared" si="571"/>
        <v>0</v>
      </c>
      <c r="C2170" s="3">
        <f t="shared" si="572"/>
        <v>21</v>
      </c>
      <c r="K2170" s="3">
        <f>IF(OR($K$1="",对接源_02物料!$C970="",对接源_02物料!$C970&lt;&gt;$K$1,对接源_02物料!$B970=""),0,IF(OR(N(对接源_02物料!$B970)&lt;$K$2,N(对接源_02物料!$B970)&gt;$K$3),0,1))</f>
        <v>0</v>
      </c>
      <c r="L2170" s="3">
        <f>IF(OR($L$1="",对接源_02物料!$C970="",对接源_02物料!$C970&lt;&gt;$L$1,对接源_02物料!$B970=""),0,IF(OR(N(对接源_02物料!$B970)&lt;$L$2,N(对接源_02物料!$B970)&gt;$L$3),0,1))</f>
        <v>0</v>
      </c>
      <c r="M2170" s="3">
        <f>IF(OR($M$1="",对接源_02物料!$C970="",对接源_02物料!$C970&lt;&gt;$M$1,对接源_02物料!$B970=""),0,IF(OR(N(对接源_02物料!$B970)&lt;$M$2,N(对接源_02物料!$B970)&gt;$M$3),0,1))</f>
        <v>0</v>
      </c>
      <c r="N2170" s="3">
        <f>IF(OR($N$1="",对接源_02物料!$C970="",对接源_02物料!$C970&lt;&gt;$N$1,对接源_02物料!$B970=""),0,IF(OR(N(对接源_02物料!$B970)&lt;$N$2,N(对接源_02物料!$B970)&gt;$N$3),0,1))</f>
        <v>0</v>
      </c>
      <c r="P2170" s="3">
        <f>IF(AND($K2170=1,AND(对接源_02物料!$X970="公司筐",N(对接源_02物料!$T970)&lt;&gt;0)),1,0)</f>
        <v>0</v>
      </c>
      <c r="Q2170" s="3">
        <f t="shared" si="573"/>
        <v>8</v>
      </c>
      <c r="R2170" s="3">
        <f>IF(AND($K2170=1,AND(对接源_02物料!$X970="公司筐",N(对接源_02物料!$U970)&lt;&gt;0)),1,0)</f>
        <v>0</v>
      </c>
      <c r="S2170" s="3">
        <f t="shared" si="574"/>
        <v>0</v>
      </c>
      <c r="T2170" s="3">
        <f>IF(AND($K2170=1,AND(对接源_02物料!$X970="公司筐",N(对接源_02物料!$V970)&lt;&gt;0)),1,0)</f>
        <v>0</v>
      </c>
      <c r="U2170" s="3">
        <f t="shared" si="575"/>
        <v>19</v>
      </c>
      <c r="V2170" s="3">
        <f>IF(AND($L2170=1,AND(对接源_02物料!$X970="自备筐",N(对接源_02物料!$V970)&lt;&gt;0)),1,0)</f>
        <v>0</v>
      </c>
      <c r="W2170" s="3">
        <f t="shared" si="576"/>
        <v>8</v>
      </c>
      <c r="X2170" s="3">
        <f>IF(AND($L2170=1,AND(对接源_02物料!$X970="自备筐",N(对接源_02物料!$T970)&lt;&gt;0)),1,0)</f>
        <v>0</v>
      </c>
      <c r="Y2170" s="3">
        <f t="shared" si="577"/>
        <v>0</v>
      </c>
      <c r="Z2170" s="3">
        <f>IF(AND($M2170=1,对接源_02物料!$D970="原料入库"),1,0)</f>
        <v>0</v>
      </c>
      <c r="AA2170" s="3">
        <f t="shared" si="578"/>
        <v>24</v>
      </c>
      <c r="AB2170" s="3">
        <f>IF(AND($M2170=1,LEFT(对接源_02物料!$D970,4)="原料出库"),1,0)</f>
        <v>0</v>
      </c>
      <c r="AC2170" s="3">
        <f t="shared" si="579"/>
        <v>0</v>
      </c>
      <c r="AD2170" s="3">
        <f>IF(AND($M2170=1,LEFT(对接源_02物料!$D970,4)="成品出库"),1,0)</f>
        <v>0</v>
      </c>
      <c r="AE2170" s="3">
        <f t="shared" si="580"/>
        <v>0</v>
      </c>
      <c r="AF2170" s="3">
        <f>IF(AND($N2170=1,AND(LEFT(对接源_02物料!$D970,4)="包装物料",N(对接源_02物料!$K970)&lt;&gt;0)),1,0)</f>
        <v>0</v>
      </c>
      <c r="AG2170" s="3">
        <f t="shared" si="581"/>
        <v>5</v>
      </c>
      <c r="AH2170" s="3">
        <f>IF(AND($N2170=1,AND(对接源_02物料!$D970="周转筐－销售出库",N(对接源_02物料!$K970)&lt;&gt;0)),1,0)</f>
        <v>0</v>
      </c>
      <c r="AI2170" s="3">
        <f t="shared" si="582"/>
        <v>0</v>
      </c>
      <c r="AL2170" s="3">
        <v>0</v>
      </c>
      <c r="AM2170" s="3">
        <f t="shared" si="583"/>
        <v>1</v>
      </c>
      <c r="AN2170" s="3" t="str">
        <f t="shared" si="587"/>
        <v/>
      </c>
      <c r="AO2170" s="3">
        <v>0</v>
      </c>
      <c r="AP2170" s="3">
        <f t="shared" si="584"/>
        <v>8</v>
      </c>
      <c r="AR2170">
        <f t="shared" si="585"/>
        <v>0</v>
      </c>
      <c r="AS2170">
        <f t="shared" si="586"/>
        <v>5</v>
      </c>
    </row>
    <row r="2171" customHeight="1" spans="1:45">
      <c r="A2171" s="3" t="str">
        <f>IF(对接源_02物料!$C971="","",对接源_02物料!$C971)</f>
        <v/>
      </c>
      <c r="B2171" s="3">
        <f t="shared" si="571"/>
        <v>0</v>
      </c>
      <c r="C2171" s="3">
        <f t="shared" si="572"/>
        <v>21</v>
      </c>
      <c r="K2171" s="3">
        <f>IF(OR($K$1="",对接源_02物料!$C971="",对接源_02物料!$C971&lt;&gt;$K$1,对接源_02物料!$B971=""),0,IF(OR(N(对接源_02物料!$B971)&lt;$K$2,N(对接源_02物料!$B971)&gt;$K$3),0,1))</f>
        <v>0</v>
      </c>
      <c r="L2171" s="3">
        <f>IF(OR($L$1="",对接源_02物料!$C971="",对接源_02物料!$C971&lt;&gt;$L$1,对接源_02物料!$B971=""),0,IF(OR(N(对接源_02物料!$B971)&lt;$L$2,N(对接源_02物料!$B971)&gt;$L$3),0,1))</f>
        <v>0</v>
      </c>
      <c r="M2171" s="3">
        <f>IF(OR($M$1="",对接源_02物料!$C971="",对接源_02物料!$C971&lt;&gt;$M$1,对接源_02物料!$B971=""),0,IF(OR(N(对接源_02物料!$B971)&lt;$M$2,N(对接源_02物料!$B971)&gt;$M$3),0,1))</f>
        <v>0</v>
      </c>
      <c r="N2171" s="3">
        <f>IF(OR($N$1="",对接源_02物料!$C971="",对接源_02物料!$C971&lt;&gt;$N$1,对接源_02物料!$B971=""),0,IF(OR(N(对接源_02物料!$B971)&lt;$N$2,N(对接源_02物料!$B971)&gt;$N$3),0,1))</f>
        <v>0</v>
      </c>
      <c r="P2171" s="3">
        <f>IF(AND($K2171=1,AND(对接源_02物料!$X971="公司筐",N(对接源_02物料!$T971)&lt;&gt;0)),1,0)</f>
        <v>0</v>
      </c>
      <c r="Q2171" s="3">
        <f t="shared" si="573"/>
        <v>8</v>
      </c>
      <c r="R2171" s="3">
        <f>IF(AND($K2171=1,AND(对接源_02物料!$X971="公司筐",N(对接源_02物料!$U971)&lt;&gt;0)),1,0)</f>
        <v>0</v>
      </c>
      <c r="S2171" s="3">
        <f t="shared" si="574"/>
        <v>0</v>
      </c>
      <c r="T2171" s="3">
        <f>IF(AND($K2171=1,AND(对接源_02物料!$X971="公司筐",N(对接源_02物料!$V971)&lt;&gt;0)),1,0)</f>
        <v>0</v>
      </c>
      <c r="U2171" s="3">
        <f t="shared" si="575"/>
        <v>19</v>
      </c>
      <c r="V2171" s="3">
        <f>IF(AND($L2171=1,AND(对接源_02物料!$X971="自备筐",N(对接源_02物料!$V971)&lt;&gt;0)),1,0)</f>
        <v>0</v>
      </c>
      <c r="W2171" s="3">
        <f t="shared" si="576"/>
        <v>8</v>
      </c>
      <c r="X2171" s="3">
        <f>IF(AND($L2171=1,AND(对接源_02物料!$X971="自备筐",N(对接源_02物料!$T971)&lt;&gt;0)),1,0)</f>
        <v>0</v>
      </c>
      <c r="Y2171" s="3">
        <f t="shared" si="577"/>
        <v>0</v>
      </c>
      <c r="Z2171" s="3">
        <f>IF(AND($M2171=1,对接源_02物料!$D971="原料入库"),1,0)</f>
        <v>0</v>
      </c>
      <c r="AA2171" s="3">
        <f t="shared" si="578"/>
        <v>24</v>
      </c>
      <c r="AB2171" s="3">
        <f>IF(AND($M2171=1,LEFT(对接源_02物料!$D971,4)="原料出库"),1,0)</f>
        <v>0</v>
      </c>
      <c r="AC2171" s="3">
        <f t="shared" si="579"/>
        <v>0</v>
      </c>
      <c r="AD2171" s="3">
        <f>IF(AND($M2171=1,LEFT(对接源_02物料!$D971,4)="成品出库"),1,0)</f>
        <v>0</v>
      </c>
      <c r="AE2171" s="3">
        <f t="shared" si="580"/>
        <v>0</v>
      </c>
      <c r="AF2171" s="3">
        <f>IF(AND($N2171=1,AND(LEFT(对接源_02物料!$D971,4)="包装物料",N(对接源_02物料!$K971)&lt;&gt;0)),1,0)</f>
        <v>0</v>
      </c>
      <c r="AG2171" s="3">
        <f t="shared" si="581"/>
        <v>5</v>
      </c>
      <c r="AH2171" s="3">
        <f>IF(AND($N2171=1,AND(对接源_02物料!$D971="周转筐－销售出库",N(对接源_02物料!$K971)&lt;&gt;0)),1,0)</f>
        <v>0</v>
      </c>
      <c r="AI2171" s="3">
        <f t="shared" si="582"/>
        <v>0</v>
      </c>
      <c r="AL2171" s="3">
        <v>0</v>
      </c>
      <c r="AM2171" s="3">
        <f t="shared" si="583"/>
        <v>1</v>
      </c>
      <c r="AN2171" s="3" t="str">
        <f t="shared" si="587"/>
        <v/>
      </c>
      <c r="AO2171" s="3">
        <v>0</v>
      </c>
      <c r="AP2171" s="3">
        <f t="shared" si="584"/>
        <v>8</v>
      </c>
      <c r="AR2171">
        <f t="shared" si="585"/>
        <v>0</v>
      </c>
      <c r="AS2171">
        <f t="shared" si="586"/>
        <v>5</v>
      </c>
    </row>
    <row r="2172" customHeight="1" spans="1:45">
      <c r="A2172" s="3" t="str">
        <f>IF(对接源_02物料!$C972="","",对接源_02物料!$C972)</f>
        <v/>
      </c>
      <c r="B2172" s="3">
        <f t="shared" si="571"/>
        <v>0</v>
      </c>
      <c r="C2172" s="3">
        <f t="shared" si="572"/>
        <v>21</v>
      </c>
      <c r="K2172" s="3">
        <f>IF(OR($K$1="",对接源_02物料!$C972="",对接源_02物料!$C972&lt;&gt;$K$1,对接源_02物料!$B972=""),0,IF(OR(N(对接源_02物料!$B972)&lt;$K$2,N(对接源_02物料!$B972)&gt;$K$3),0,1))</f>
        <v>0</v>
      </c>
      <c r="L2172" s="3">
        <f>IF(OR($L$1="",对接源_02物料!$C972="",对接源_02物料!$C972&lt;&gt;$L$1,对接源_02物料!$B972=""),0,IF(OR(N(对接源_02物料!$B972)&lt;$L$2,N(对接源_02物料!$B972)&gt;$L$3),0,1))</f>
        <v>0</v>
      </c>
      <c r="M2172" s="3">
        <f>IF(OR($M$1="",对接源_02物料!$C972="",对接源_02物料!$C972&lt;&gt;$M$1,对接源_02物料!$B972=""),0,IF(OR(N(对接源_02物料!$B972)&lt;$M$2,N(对接源_02物料!$B972)&gt;$M$3),0,1))</f>
        <v>0</v>
      </c>
      <c r="N2172" s="3">
        <f>IF(OR($N$1="",对接源_02物料!$C972="",对接源_02物料!$C972&lt;&gt;$N$1,对接源_02物料!$B972=""),0,IF(OR(N(对接源_02物料!$B972)&lt;$N$2,N(对接源_02物料!$B972)&gt;$N$3),0,1))</f>
        <v>0</v>
      </c>
      <c r="P2172" s="3">
        <f>IF(AND($K2172=1,AND(对接源_02物料!$X972="公司筐",N(对接源_02物料!$T972)&lt;&gt;0)),1,0)</f>
        <v>0</v>
      </c>
      <c r="Q2172" s="3">
        <f t="shared" si="573"/>
        <v>8</v>
      </c>
      <c r="R2172" s="3">
        <f>IF(AND($K2172=1,AND(对接源_02物料!$X972="公司筐",N(对接源_02物料!$U972)&lt;&gt;0)),1,0)</f>
        <v>0</v>
      </c>
      <c r="S2172" s="3">
        <f t="shared" si="574"/>
        <v>0</v>
      </c>
      <c r="T2172" s="3">
        <f>IF(AND($K2172=1,AND(对接源_02物料!$X972="公司筐",N(对接源_02物料!$V972)&lt;&gt;0)),1,0)</f>
        <v>0</v>
      </c>
      <c r="U2172" s="3">
        <f t="shared" si="575"/>
        <v>19</v>
      </c>
      <c r="V2172" s="3">
        <f>IF(AND($L2172=1,AND(对接源_02物料!$X972="自备筐",N(对接源_02物料!$V972)&lt;&gt;0)),1,0)</f>
        <v>0</v>
      </c>
      <c r="W2172" s="3">
        <f t="shared" si="576"/>
        <v>8</v>
      </c>
      <c r="X2172" s="3">
        <f>IF(AND($L2172=1,AND(对接源_02物料!$X972="自备筐",N(对接源_02物料!$T972)&lt;&gt;0)),1,0)</f>
        <v>0</v>
      </c>
      <c r="Y2172" s="3">
        <f t="shared" si="577"/>
        <v>0</v>
      </c>
      <c r="Z2172" s="3">
        <f>IF(AND($M2172=1,对接源_02物料!$D972="原料入库"),1,0)</f>
        <v>0</v>
      </c>
      <c r="AA2172" s="3">
        <f t="shared" si="578"/>
        <v>24</v>
      </c>
      <c r="AB2172" s="3">
        <f>IF(AND($M2172=1,LEFT(对接源_02物料!$D972,4)="原料出库"),1,0)</f>
        <v>0</v>
      </c>
      <c r="AC2172" s="3">
        <f t="shared" si="579"/>
        <v>0</v>
      </c>
      <c r="AD2172" s="3">
        <f>IF(AND($M2172=1,LEFT(对接源_02物料!$D972,4)="成品出库"),1,0)</f>
        <v>0</v>
      </c>
      <c r="AE2172" s="3">
        <f t="shared" si="580"/>
        <v>0</v>
      </c>
      <c r="AF2172" s="3">
        <f>IF(AND($N2172=1,AND(LEFT(对接源_02物料!$D972,4)="包装物料",N(对接源_02物料!$K972)&lt;&gt;0)),1,0)</f>
        <v>0</v>
      </c>
      <c r="AG2172" s="3">
        <f t="shared" si="581"/>
        <v>5</v>
      </c>
      <c r="AH2172" s="3">
        <f>IF(AND($N2172=1,AND(对接源_02物料!$D972="周转筐－销售出库",N(对接源_02物料!$K972)&lt;&gt;0)),1,0)</f>
        <v>0</v>
      </c>
      <c r="AI2172" s="3">
        <f t="shared" si="582"/>
        <v>0</v>
      </c>
      <c r="AL2172" s="3">
        <v>0</v>
      </c>
      <c r="AM2172" s="3">
        <f t="shared" si="583"/>
        <v>1</v>
      </c>
      <c r="AN2172" s="3" t="str">
        <f t="shared" si="587"/>
        <v/>
      </c>
      <c r="AO2172" s="3">
        <v>0</v>
      </c>
      <c r="AP2172" s="3">
        <f t="shared" si="584"/>
        <v>8</v>
      </c>
      <c r="AR2172">
        <f t="shared" si="585"/>
        <v>0</v>
      </c>
      <c r="AS2172">
        <f t="shared" si="586"/>
        <v>5</v>
      </c>
    </row>
    <row r="2173" customHeight="1" spans="1:45">
      <c r="A2173" s="3" t="str">
        <f>IF(对接源_02物料!$C973="","",对接源_02物料!$C973)</f>
        <v/>
      </c>
      <c r="B2173" s="3">
        <f t="shared" si="571"/>
        <v>0</v>
      </c>
      <c r="C2173" s="3">
        <f t="shared" si="572"/>
        <v>21</v>
      </c>
      <c r="K2173" s="3">
        <f>IF(OR($K$1="",对接源_02物料!$C973="",对接源_02物料!$C973&lt;&gt;$K$1,对接源_02物料!$B973=""),0,IF(OR(N(对接源_02物料!$B973)&lt;$K$2,N(对接源_02物料!$B973)&gt;$K$3),0,1))</f>
        <v>0</v>
      </c>
      <c r="L2173" s="3">
        <f>IF(OR($L$1="",对接源_02物料!$C973="",对接源_02物料!$C973&lt;&gt;$L$1,对接源_02物料!$B973=""),0,IF(OR(N(对接源_02物料!$B973)&lt;$L$2,N(对接源_02物料!$B973)&gt;$L$3),0,1))</f>
        <v>0</v>
      </c>
      <c r="M2173" s="3">
        <f>IF(OR($M$1="",对接源_02物料!$C973="",对接源_02物料!$C973&lt;&gt;$M$1,对接源_02物料!$B973=""),0,IF(OR(N(对接源_02物料!$B973)&lt;$M$2,N(对接源_02物料!$B973)&gt;$M$3),0,1))</f>
        <v>0</v>
      </c>
      <c r="N2173" s="3">
        <f>IF(OR($N$1="",对接源_02物料!$C973="",对接源_02物料!$C973&lt;&gt;$N$1,对接源_02物料!$B973=""),0,IF(OR(N(对接源_02物料!$B973)&lt;$N$2,N(对接源_02物料!$B973)&gt;$N$3),0,1))</f>
        <v>0</v>
      </c>
      <c r="P2173" s="3">
        <f>IF(AND($K2173=1,AND(对接源_02物料!$X973="公司筐",N(对接源_02物料!$T973)&lt;&gt;0)),1,0)</f>
        <v>0</v>
      </c>
      <c r="Q2173" s="3">
        <f t="shared" si="573"/>
        <v>8</v>
      </c>
      <c r="R2173" s="3">
        <f>IF(AND($K2173=1,AND(对接源_02物料!$X973="公司筐",N(对接源_02物料!$U973)&lt;&gt;0)),1,0)</f>
        <v>0</v>
      </c>
      <c r="S2173" s="3">
        <f t="shared" si="574"/>
        <v>0</v>
      </c>
      <c r="T2173" s="3">
        <f>IF(AND($K2173=1,AND(对接源_02物料!$X973="公司筐",N(对接源_02物料!$V973)&lt;&gt;0)),1,0)</f>
        <v>0</v>
      </c>
      <c r="U2173" s="3">
        <f t="shared" si="575"/>
        <v>19</v>
      </c>
      <c r="V2173" s="3">
        <f>IF(AND($L2173=1,AND(对接源_02物料!$X973="自备筐",N(对接源_02物料!$V973)&lt;&gt;0)),1,0)</f>
        <v>0</v>
      </c>
      <c r="W2173" s="3">
        <f t="shared" si="576"/>
        <v>8</v>
      </c>
      <c r="X2173" s="3">
        <f>IF(AND($L2173=1,AND(对接源_02物料!$X973="自备筐",N(对接源_02物料!$T973)&lt;&gt;0)),1,0)</f>
        <v>0</v>
      </c>
      <c r="Y2173" s="3">
        <f t="shared" si="577"/>
        <v>0</v>
      </c>
      <c r="Z2173" s="3">
        <f>IF(AND($M2173=1,对接源_02物料!$D973="原料入库"),1,0)</f>
        <v>0</v>
      </c>
      <c r="AA2173" s="3">
        <f t="shared" si="578"/>
        <v>24</v>
      </c>
      <c r="AB2173" s="3">
        <f>IF(AND($M2173=1,LEFT(对接源_02物料!$D973,4)="原料出库"),1,0)</f>
        <v>0</v>
      </c>
      <c r="AC2173" s="3">
        <f t="shared" si="579"/>
        <v>0</v>
      </c>
      <c r="AD2173" s="3">
        <f>IF(AND($M2173=1,LEFT(对接源_02物料!$D973,4)="成品出库"),1,0)</f>
        <v>0</v>
      </c>
      <c r="AE2173" s="3">
        <f t="shared" si="580"/>
        <v>0</v>
      </c>
      <c r="AF2173" s="3">
        <f>IF(AND($N2173=1,AND(LEFT(对接源_02物料!$D973,4)="包装物料",N(对接源_02物料!$K973)&lt;&gt;0)),1,0)</f>
        <v>0</v>
      </c>
      <c r="AG2173" s="3">
        <f t="shared" si="581"/>
        <v>5</v>
      </c>
      <c r="AH2173" s="3">
        <f>IF(AND($N2173=1,AND(对接源_02物料!$D973="周转筐－销售出库",N(对接源_02物料!$K973)&lt;&gt;0)),1,0)</f>
        <v>0</v>
      </c>
      <c r="AI2173" s="3">
        <f t="shared" si="582"/>
        <v>0</v>
      </c>
      <c r="AL2173" s="3">
        <v>0</v>
      </c>
      <c r="AM2173" s="3">
        <f t="shared" si="583"/>
        <v>1</v>
      </c>
      <c r="AN2173" s="3" t="str">
        <f t="shared" si="587"/>
        <v/>
      </c>
      <c r="AO2173" s="3">
        <v>0</v>
      </c>
      <c r="AP2173" s="3">
        <f t="shared" si="584"/>
        <v>8</v>
      </c>
      <c r="AR2173">
        <f t="shared" si="585"/>
        <v>0</v>
      </c>
      <c r="AS2173">
        <f t="shared" si="586"/>
        <v>5</v>
      </c>
    </row>
    <row r="2174" customHeight="1" spans="1:45">
      <c r="A2174" s="3" t="str">
        <f>IF(对接源_02物料!$C974="","",对接源_02物料!$C974)</f>
        <v/>
      </c>
      <c r="B2174" s="3">
        <f t="shared" si="571"/>
        <v>0</v>
      </c>
      <c r="C2174" s="3">
        <f t="shared" si="572"/>
        <v>21</v>
      </c>
      <c r="K2174" s="3">
        <f>IF(OR($K$1="",对接源_02物料!$C974="",对接源_02物料!$C974&lt;&gt;$K$1,对接源_02物料!$B974=""),0,IF(OR(N(对接源_02物料!$B974)&lt;$K$2,N(对接源_02物料!$B974)&gt;$K$3),0,1))</f>
        <v>0</v>
      </c>
      <c r="L2174" s="3">
        <f>IF(OR($L$1="",对接源_02物料!$C974="",对接源_02物料!$C974&lt;&gt;$L$1,对接源_02物料!$B974=""),0,IF(OR(N(对接源_02物料!$B974)&lt;$L$2,N(对接源_02物料!$B974)&gt;$L$3),0,1))</f>
        <v>0</v>
      </c>
      <c r="M2174" s="3">
        <f>IF(OR($M$1="",对接源_02物料!$C974="",对接源_02物料!$C974&lt;&gt;$M$1,对接源_02物料!$B974=""),0,IF(OR(N(对接源_02物料!$B974)&lt;$M$2,N(对接源_02物料!$B974)&gt;$M$3),0,1))</f>
        <v>0</v>
      </c>
      <c r="N2174" s="3">
        <f>IF(OR($N$1="",对接源_02物料!$C974="",对接源_02物料!$C974&lt;&gt;$N$1,对接源_02物料!$B974=""),0,IF(OR(N(对接源_02物料!$B974)&lt;$N$2,N(对接源_02物料!$B974)&gt;$N$3),0,1))</f>
        <v>0</v>
      </c>
      <c r="P2174" s="3">
        <f>IF(AND($K2174=1,AND(对接源_02物料!$X974="公司筐",N(对接源_02物料!$T974)&lt;&gt;0)),1,0)</f>
        <v>0</v>
      </c>
      <c r="Q2174" s="3">
        <f t="shared" si="573"/>
        <v>8</v>
      </c>
      <c r="R2174" s="3">
        <f>IF(AND($K2174=1,AND(对接源_02物料!$X974="公司筐",N(对接源_02物料!$U974)&lt;&gt;0)),1,0)</f>
        <v>0</v>
      </c>
      <c r="S2174" s="3">
        <f t="shared" si="574"/>
        <v>0</v>
      </c>
      <c r="T2174" s="3">
        <f>IF(AND($K2174=1,AND(对接源_02物料!$X974="公司筐",N(对接源_02物料!$V974)&lt;&gt;0)),1,0)</f>
        <v>0</v>
      </c>
      <c r="U2174" s="3">
        <f t="shared" si="575"/>
        <v>19</v>
      </c>
      <c r="V2174" s="3">
        <f>IF(AND($L2174=1,AND(对接源_02物料!$X974="自备筐",N(对接源_02物料!$V974)&lt;&gt;0)),1,0)</f>
        <v>0</v>
      </c>
      <c r="W2174" s="3">
        <f t="shared" si="576"/>
        <v>8</v>
      </c>
      <c r="X2174" s="3">
        <f>IF(AND($L2174=1,AND(对接源_02物料!$X974="自备筐",N(对接源_02物料!$T974)&lt;&gt;0)),1,0)</f>
        <v>0</v>
      </c>
      <c r="Y2174" s="3">
        <f t="shared" si="577"/>
        <v>0</v>
      </c>
      <c r="Z2174" s="3">
        <f>IF(AND($M2174=1,对接源_02物料!$D974="原料入库"),1,0)</f>
        <v>0</v>
      </c>
      <c r="AA2174" s="3">
        <f t="shared" si="578"/>
        <v>24</v>
      </c>
      <c r="AB2174" s="3">
        <f>IF(AND($M2174=1,LEFT(对接源_02物料!$D974,4)="原料出库"),1,0)</f>
        <v>0</v>
      </c>
      <c r="AC2174" s="3">
        <f t="shared" si="579"/>
        <v>0</v>
      </c>
      <c r="AD2174" s="3">
        <f>IF(AND($M2174=1,LEFT(对接源_02物料!$D974,4)="成品出库"),1,0)</f>
        <v>0</v>
      </c>
      <c r="AE2174" s="3">
        <f t="shared" si="580"/>
        <v>0</v>
      </c>
      <c r="AF2174" s="3">
        <f>IF(AND($N2174=1,AND(LEFT(对接源_02物料!$D974,4)="包装物料",N(对接源_02物料!$K974)&lt;&gt;0)),1,0)</f>
        <v>0</v>
      </c>
      <c r="AG2174" s="3">
        <f t="shared" si="581"/>
        <v>5</v>
      </c>
      <c r="AH2174" s="3">
        <f>IF(AND($N2174=1,AND(对接源_02物料!$D974="周转筐－销售出库",N(对接源_02物料!$K974)&lt;&gt;0)),1,0)</f>
        <v>0</v>
      </c>
      <c r="AI2174" s="3">
        <f t="shared" si="582"/>
        <v>0</v>
      </c>
      <c r="AL2174" s="3">
        <v>0</v>
      </c>
      <c r="AM2174" s="3">
        <f t="shared" si="583"/>
        <v>1</v>
      </c>
      <c r="AN2174" s="3" t="str">
        <f t="shared" si="587"/>
        <v/>
      </c>
      <c r="AO2174" s="3">
        <v>0</v>
      </c>
      <c r="AP2174" s="3">
        <f t="shared" si="584"/>
        <v>8</v>
      </c>
      <c r="AR2174">
        <f t="shared" si="585"/>
        <v>0</v>
      </c>
      <c r="AS2174">
        <f t="shared" si="586"/>
        <v>5</v>
      </c>
    </row>
    <row r="2175" customHeight="1" spans="1:45">
      <c r="A2175" s="3" t="str">
        <f>IF(对接源_02物料!$C975="","",对接源_02物料!$C975)</f>
        <v/>
      </c>
      <c r="B2175" s="3">
        <f t="shared" si="571"/>
        <v>0</v>
      </c>
      <c r="C2175" s="3">
        <f t="shared" si="572"/>
        <v>21</v>
      </c>
      <c r="K2175" s="3">
        <f>IF(OR($K$1="",对接源_02物料!$C975="",对接源_02物料!$C975&lt;&gt;$K$1,对接源_02物料!$B975=""),0,IF(OR(N(对接源_02物料!$B975)&lt;$K$2,N(对接源_02物料!$B975)&gt;$K$3),0,1))</f>
        <v>0</v>
      </c>
      <c r="L2175" s="3">
        <f>IF(OR($L$1="",对接源_02物料!$C975="",对接源_02物料!$C975&lt;&gt;$L$1,对接源_02物料!$B975=""),0,IF(OR(N(对接源_02物料!$B975)&lt;$L$2,N(对接源_02物料!$B975)&gt;$L$3),0,1))</f>
        <v>0</v>
      </c>
      <c r="M2175" s="3">
        <f>IF(OR($M$1="",对接源_02物料!$C975="",对接源_02物料!$C975&lt;&gt;$M$1,对接源_02物料!$B975=""),0,IF(OR(N(对接源_02物料!$B975)&lt;$M$2,N(对接源_02物料!$B975)&gt;$M$3),0,1))</f>
        <v>0</v>
      </c>
      <c r="N2175" s="3">
        <f>IF(OR($N$1="",对接源_02物料!$C975="",对接源_02物料!$C975&lt;&gt;$N$1,对接源_02物料!$B975=""),0,IF(OR(N(对接源_02物料!$B975)&lt;$N$2,N(对接源_02物料!$B975)&gt;$N$3),0,1))</f>
        <v>0</v>
      </c>
      <c r="P2175" s="3">
        <f>IF(AND($K2175=1,AND(对接源_02物料!$X975="公司筐",N(对接源_02物料!$T975)&lt;&gt;0)),1,0)</f>
        <v>0</v>
      </c>
      <c r="Q2175" s="3">
        <f t="shared" si="573"/>
        <v>8</v>
      </c>
      <c r="R2175" s="3">
        <f>IF(AND($K2175=1,AND(对接源_02物料!$X975="公司筐",N(对接源_02物料!$U975)&lt;&gt;0)),1,0)</f>
        <v>0</v>
      </c>
      <c r="S2175" s="3">
        <f t="shared" si="574"/>
        <v>0</v>
      </c>
      <c r="T2175" s="3">
        <f>IF(AND($K2175=1,AND(对接源_02物料!$X975="公司筐",N(对接源_02物料!$V975)&lt;&gt;0)),1,0)</f>
        <v>0</v>
      </c>
      <c r="U2175" s="3">
        <f t="shared" si="575"/>
        <v>19</v>
      </c>
      <c r="V2175" s="3">
        <f>IF(AND($L2175=1,AND(对接源_02物料!$X975="自备筐",N(对接源_02物料!$V975)&lt;&gt;0)),1,0)</f>
        <v>0</v>
      </c>
      <c r="W2175" s="3">
        <f t="shared" si="576"/>
        <v>8</v>
      </c>
      <c r="X2175" s="3">
        <f>IF(AND($L2175=1,AND(对接源_02物料!$X975="自备筐",N(对接源_02物料!$T975)&lt;&gt;0)),1,0)</f>
        <v>0</v>
      </c>
      <c r="Y2175" s="3">
        <f t="shared" si="577"/>
        <v>0</v>
      </c>
      <c r="Z2175" s="3">
        <f>IF(AND($M2175=1,对接源_02物料!$D975="原料入库"),1,0)</f>
        <v>0</v>
      </c>
      <c r="AA2175" s="3">
        <f t="shared" si="578"/>
        <v>24</v>
      </c>
      <c r="AB2175" s="3">
        <f>IF(AND($M2175=1,LEFT(对接源_02物料!$D975,4)="原料出库"),1,0)</f>
        <v>0</v>
      </c>
      <c r="AC2175" s="3">
        <f t="shared" si="579"/>
        <v>0</v>
      </c>
      <c r="AD2175" s="3">
        <f>IF(AND($M2175=1,LEFT(对接源_02物料!$D975,4)="成品出库"),1,0)</f>
        <v>0</v>
      </c>
      <c r="AE2175" s="3">
        <f t="shared" si="580"/>
        <v>0</v>
      </c>
      <c r="AF2175" s="3">
        <f>IF(AND($N2175=1,AND(LEFT(对接源_02物料!$D975,4)="包装物料",N(对接源_02物料!$K975)&lt;&gt;0)),1,0)</f>
        <v>0</v>
      </c>
      <c r="AG2175" s="3">
        <f t="shared" si="581"/>
        <v>5</v>
      </c>
      <c r="AH2175" s="3">
        <f>IF(AND($N2175=1,AND(对接源_02物料!$D975="周转筐－销售出库",N(对接源_02物料!$K975)&lt;&gt;0)),1,0)</f>
        <v>0</v>
      </c>
      <c r="AI2175" s="3">
        <f t="shared" si="582"/>
        <v>0</v>
      </c>
      <c r="AL2175" s="3">
        <v>0</v>
      </c>
      <c r="AM2175" s="3">
        <f t="shared" si="583"/>
        <v>1</v>
      </c>
      <c r="AN2175" s="3" t="str">
        <f t="shared" si="587"/>
        <v/>
      </c>
      <c r="AO2175" s="3">
        <v>0</v>
      </c>
      <c r="AP2175" s="3">
        <f t="shared" si="584"/>
        <v>8</v>
      </c>
      <c r="AR2175">
        <f t="shared" si="585"/>
        <v>0</v>
      </c>
      <c r="AS2175">
        <f t="shared" si="586"/>
        <v>5</v>
      </c>
    </row>
    <row r="2176" customHeight="1" spans="1:45">
      <c r="A2176" s="3" t="str">
        <f>IF(对接源_02物料!$C976="","",对接源_02物料!$C976)</f>
        <v/>
      </c>
      <c r="B2176" s="3">
        <f t="shared" si="571"/>
        <v>0</v>
      </c>
      <c r="C2176" s="3">
        <f t="shared" si="572"/>
        <v>21</v>
      </c>
      <c r="K2176" s="3">
        <f>IF(OR($K$1="",对接源_02物料!$C976="",对接源_02物料!$C976&lt;&gt;$K$1,对接源_02物料!$B976=""),0,IF(OR(N(对接源_02物料!$B976)&lt;$K$2,N(对接源_02物料!$B976)&gt;$K$3),0,1))</f>
        <v>0</v>
      </c>
      <c r="L2176" s="3">
        <f>IF(OR($L$1="",对接源_02物料!$C976="",对接源_02物料!$C976&lt;&gt;$L$1,对接源_02物料!$B976=""),0,IF(OR(N(对接源_02物料!$B976)&lt;$L$2,N(对接源_02物料!$B976)&gt;$L$3),0,1))</f>
        <v>0</v>
      </c>
      <c r="M2176" s="3">
        <f>IF(OR($M$1="",对接源_02物料!$C976="",对接源_02物料!$C976&lt;&gt;$M$1,对接源_02物料!$B976=""),0,IF(OR(N(对接源_02物料!$B976)&lt;$M$2,N(对接源_02物料!$B976)&gt;$M$3),0,1))</f>
        <v>0</v>
      </c>
      <c r="N2176" s="3">
        <f>IF(OR($N$1="",对接源_02物料!$C976="",对接源_02物料!$C976&lt;&gt;$N$1,对接源_02物料!$B976=""),0,IF(OR(N(对接源_02物料!$B976)&lt;$N$2,N(对接源_02物料!$B976)&gt;$N$3),0,1))</f>
        <v>0</v>
      </c>
      <c r="P2176" s="3">
        <f>IF(AND($K2176=1,AND(对接源_02物料!$X976="公司筐",N(对接源_02物料!$T976)&lt;&gt;0)),1,0)</f>
        <v>0</v>
      </c>
      <c r="Q2176" s="3">
        <f t="shared" si="573"/>
        <v>8</v>
      </c>
      <c r="R2176" s="3">
        <f>IF(AND($K2176=1,AND(对接源_02物料!$X976="公司筐",N(对接源_02物料!$U976)&lt;&gt;0)),1,0)</f>
        <v>0</v>
      </c>
      <c r="S2176" s="3">
        <f t="shared" si="574"/>
        <v>0</v>
      </c>
      <c r="T2176" s="3">
        <f>IF(AND($K2176=1,AND(对接源_02物料!$X976="公司筐",N(对接源_02物料!$V976)&lt;&gt;0)),1,0)</f>
        <v>0</v>
      </c>
      <c r="U2176" s="3">
        <f t="shared" si="575"/>
        <v>19</v>
      </c>
      <c r="V2176" s="3">
        <f>IF(AND($L2176=1,AND(对接源_02物料!$X976="自备筐",N(对接源_02物料!$V976)&lt;&gt;0)),1,0)</f>
        <v>0</v>
      </c>
      <c r="W2176" s="3">
        <f t="shared" si="576"/>
        <v>8</v>
      </c>
      <c r="X2176" s="3">
        <f>IF(AND($L2176=1,AND(对接源_02物料!$X976="自备筐",N(对接源_02物料!$T976)&lt;&gt;0)),1,0)</f>
        <v>0</v>
      </c>
      <c r="Y2176" s="3">
        <f t="shared" si="577"/>
        <v>0</v>
      </c>
      <c r="Z2176" s="3">
        <f>IF(AND($M2176=1,对接源_02物料!$D976="原料入库"),1,0)</f>
        <v>0</v>
      </c>
      <c r="AA2176" s="3">
        <f t="shared" si="578"/>
        <v>24</v>
      </c>
      <c r="AB2176" s="3">
        <f>IF(AND($M2176=1,LEFT(对接源_02物料!$D976,4)="原料出库"),1,0)</f>
        <v>0</v>
      </c>
      <c r="AC2176" s="3">
        <f t="shared" si="579"/>
        <v>0</v>
      </c>
      <c r="AD2176" s="3">
        <f>IF(AND($M2176=1,LEFT(对接源_02物料!$D976,4)="成品出库"),1,0)</f>
        <v>0</v>
      </c>
      <c r="AE2176" s="3">
        <f t="shared" si="580"/>
        <v>0</v>
      </c>
      <c r="AF2176" s="3">
        <f>IF(AND($N2176=1,AND(LEFT(对接源_02物料!$D976,4)="包装物料",N(对接源_02物料!$K976)&lt;&gt;0)),1,0)</f>
        <v>0</v>
      </c>
      <c r="AG2176" s="3">
        <f t="shared" si="581"/>
        <v>5</v>
      </c>
      <c r="AH2176" s="3">
        <f>IF(AND($N2176=1,AND(对接源_02物料!$D976="周转筐－销售出库",N(对接源_02物料!$K976)&lt;&gt;0)),1,0)</f>
        <v>0</v>
      </c>
      <c r="AI2176" s="3">
        <f t="shared" si="582"/>
        <v>0</v>
      </c>
      <c r="AL2176" s="3">
        <v>0</v>
      </c>
      <c r="AM2176" s="3">
        <f t="shared" si="583"/>
        <v>1</v>
      </c>
      <c r="AN2176" s="3" t="str">
        <f t="shared" si="587"/>
        <v/>
      </c>
      <c r="AO2176" s="3">
        <v>0</v>
      </c>
      <c r="AP2176" s="3">
        <f t="shared" si="584"/>
        <v>8</v>
      </c>
      <c r="AR2176">
        <f t="shared" si="585"/>
        <v>0</v>
      </c>
      <c r="AS2176">
        <f t="shared" si="586"/>
        <v>5</v>
      </c>
    </row>
    <row r="2177" customHeight="1" spans="1:45">
      <c r="A2177" s="3" t="str">
        <f>IF(对接源_02物料!$C977="","",对接源_02物料!$C977)</f>
        <v/>
      </c>
      <c r="B2177" s="3">
        <f t="shared" si="571"/>
        <v>0</v>
      </c>
      <c r="C2177" s="3">
        <f t="shared" si="572"/>
        <v>21</v>
      </c>
      <c r="K2177" s="3">
        <f>IF(OR($K$1="",对接源_02物料!$C977="",对接源_02物料!$C977&lt;&gt;$K$1,对接源_02物料!$B977=""),0,IF(OR(N(对接源_02物料!$B977)&lt;$K$2,N(对接源_02物料!$B977)&gt;$K$3),0,1))</f>
        <v>0</v>
      </c>
      <c r="L2177" s="3">
        <f>IF(OR($L$1="",对接源_02物料!$C977="",对接源_02物料!$C977&lt;&gt;$L$1,对接源_02物料!$B977=""),0,IF(OR(N(对接源_02物料!$B977)&lt;$L$2,N(对接源_02物料!$B977)&gt;$L$3),0,1))</f>
        <v>0</v>
      </c>
      <c r="M2177" s="3">
        <f>IF(OR($M$1="",对接源_02物料!$C977="",对接源_02物料!$C977&lt;&gt;$M$1,对接源_02物料!$B977=""),0,IF(OR(N(对接源_02物料!$B977)&lt;$M$2,N(对接源_02物料!$B977)&gt;$M$3),0,1))</f>
        <v>0</v>
      </c>
      <c r="N2177" s="3">
        <f>IF(OR($N$1="",对接源_02物料!$C977="",对接源_02物料!$C977&lt;&gt;$N$1,对接源_02物料!$B977=""),0,IF(OR(N(对接源_02物料!$B977)&lt;$N$2,N(对接源_02物料!$B977)&gt;$N$3),0,1))</f>
        <v>0</v>
      </c>
      <c r="P2177" s="3">
        <f>IF(AND($K2177=1,AND(对接源_02物料!$X977="公司筐",N(对接源_02物料!$T977)&lt;&gt;0)),1,0)</f>
        <v>0</v>
      </c>
      <c r="Q2177" s="3">
        <f t="shared" si="573"/>
        <v>8</v>
      </c>
      <c r="R2177" s="3">
        <f>IF(AND($K2177=1,AND(对接源_02物料!$X977="公司筐",N(对接源_02物料!$U977)&lt;&gt;0)),1,0)</f>
        <v>0</v>
      </c>
      <c r="S2177" s="3">
        <f t="shared" si="574"/>
        <v>0</v>
      </c>
      <c r="T2177" s="3">
        <f>IF(AND($K2177=1,AND(对接源_02物料!$X977="公司筐",N(对接源_02物料!$V977)&lt;&gt;0)),1,0)</f>
        <v>0</v>
      </c>
      <c r="U2177" s="3">
        <f t="shared" si="575"/>
        <v>19</v>
      </c>
      <c r="V2177" s="3">
        <f>IF(AND($L2177=1,AND(对接源_02物料!$X977="自备筐",N(对接源_02物料!$V977)&lt;&gt;0)),1,0)</f>
        <v>0</v>
      </c>
      <c r="W2177" s="3">
        <f t="shared" si="576"/>
        <v>8</v>
      </c>
      <c r="X2177" s="3">
        <f>IF(AND($L2177=1,AND(对接源_02物料!$X977="自备筐",N(对接源_02物料!$T977)&lt;&gt;0)),1,0)</f>
        <v>0</v>
      </c>
      <c r="Y2177" s="3">
        <f t="shared" si="577"/>
        <v>0</v>
      </c>
      <c r="Z2177" s="3">
        <f>IF(AND($M2177=1,对接源_02物料!$D977="原料入库"),1,0)</f>
        <v>0</v>
      </c>
      <c r="AA2177" s="3">
        <f t="shared" si="578"/>
        <v>24</v>
      </c>
      <c r="AB2177" s="3">
        <f>IF(AND($M2177=1,LEFT(对接源_02物料!$D977,4)="原料出库"),1,0)</f>
        <v>0</v>
      </c>
      <c r="AC2177" s="3">
        <f t="shared" si="579"/>
        <v>0</v>
      </c>
      <c r="AD2177" s="3">
        <f>IF(AND($M2177=1,LEFT(对接源_02物料!$D977,4)="成品出库"),1,0)</f>
        <v>0</v>
      </c>
      <c r="AE2177" s="3">
        <f t="shared" si="580"/>
        <v>0</v>
      </c>
      <c r="AF2177" s="3">
        <f>IF(AND($N2177=1,AND(LEFT(对接源_02物料!$D977,4)="包装物料",N(对接源_02物料!$K977)&lt;&gt;0)),1,0)</f>
        <v>0</v>
      </c>
      <c r="AG2177" s="3">
        <f t="shared" si="581"/>
        <v>5</v>
      </c>
      <c r="AH2177" s="3">
        <f>IF(AND($N2177=1,AND(对接源_02物料!$D977="周转筐－销售出库",N(对接源_02物料!$K977)&lt;&gt;0)),1,0)</f>
        <v>0</v>
      </c>
      <c r="AI2177" s="3">
        <f t="shared" si="582"/>
        <v>0</v>
      </c>
      <c r="AL2177" s="3">
        <v>0</v>
      </c>
      <c r="AM2177" s="3">
        <f t="shared" si="583"/>
        <v>1</v>
      </c>
      <c r="AN2177" s="3" t="str">
        <f t="shared" si="587"/>
        <v/>
      </c>
      <c r="AO2177" s="3">
        <v>0</v>
      </c>
      <c r="AP2177" s="3">
        <f t="shared" si="584"/>
        <v>8</v>
      </c>
      <c r="AR2177">
        <f t="shared" si="585"/>
        <v>0</v>
      </c>
      <c r="AS2177">
        <f t="shared" si="586"/>
        <v>5</v>
      </c>
    </row>
    <row r="2178" customHeight="1" spans="1:45">
      <c r="A2178" s="3" t="str">
        <f>IF(对接源_02物料!$C978="","",对接源_02物料!$C978)</f>
        <v/>
      </c>
      <c r="B2178" s="3">
        <f t="shared" si="571"/>
        <v>0</v>
      </c>
      <c r="C2178" s="3">
        <f t="shared" si="572"/>
        <v>21</v>
      </c>
      <c r="K2178" s="3">
        <f>IF(OR($K$1="",对接源_02物料!$C978="",对接源_02物料!$C978&lt;&gt;$K$1,对接源_02物料!$B978=""),0,IF(OR(N(对接源_02物料!$B978)&lt;$K$2,N(对接源_02物料!$B978)&gt;$K$3),0,1))</f>
        <v>0</v>
      </c>
      <c r="L2178" s="3">
        <f>IF(OR($L$1="",对接源_02物料!$C978="",对接源_02物料!$C978&lt;&gt;$L$1,对接源_02物料!$B978=""),0,IF(OR(N(对接源_02物料!$B978)&lt;$L$2,N(对接源_02物料!$B978)&gt;$L$3),0,1))</f>
        <v>0</v>
      </c>
      <c r="M2178" s="3">
        <f>IF(OR($M$1="",对接源_02物料!$C978="",对接源_02物料!$C978&lt;&gt;$M$1,对接源_02物料!$B978=""),0,IF(OR(N(对接源_02物料!$B978)&lt;$M$2,N(对接源_02物料!$B978)&gt;$M$3),0,1))</f>
        <v>0</v>
      </c>
      <c r="N2178" s="3">
        <f>IF(OR($N$1="",对接源_02物料!$C978="",对接源_02物料!$C978&lt;&gt;$N$1,对接源_02物料!$B978=""),0,IF(OR(N(对接源_02物料!$B978)&lt;$N$2,N(对接源_02物料!$B978)&gt;$N$3),0,1))</f>
        <v>0</v>
      </c>
      <c r="P2178" s="3">
        <f>IF(AND($K2178=1,AND(对接源_02物料!$X978="公司筐",N(对接源_02物料!$T978)&lt;&gt;0)),1,0)</f>
        <v>0</v>
      </c>
      <c r="Q2178" s="3">
        <f t="shared" si="573"/>
        <v>8</v>
      </c>
      <c r="R2178" s="3">
        <f>IF(AND($K2178=1,AND(对接源_02物料!$X978="公司筐",N(对接源_02物料!$U978)&lt;&gt;0)),1,0)</f>
        <v>0</v>
      </c>
      <c r="S2178" s="3">
        <f t="shared" si="574"/>
        <v>0</v>
      </c>
      <c r="T2178" s="3">
        <f>IF(AND($K2178=1,AND(对接源_02物料!$X978="公司筐",N(对接源_02物料!$V978)&lt;&gt;0)),1,0)</f>
        <v>0</v>
      </c>
      <c r="U2178" s="3">
        <f t="shared" si="575"/>
        <v>19</v>
      </c>
      <c r="V2178" s="3">
        <f>IF(AND($L2178=1,AND(对接源_02物料!$X978="自备筐",N(对接源_02物料!$V978)&lt;&gt;0)),1,0)</f>
        <v>0</v>
      </c>
      <c r="W2178" s="3">
        <f t="shared" si="576"/>
        <v>8</v>
      </c>
      <c r="X2178" s="3">
        <f>IF(AND($L2178=1,AND(对接源_02物料!$X978="自备筐",N(对接源_02物料!$T978)&lt;&gt;0)),1,0)</f>
        <v>0</v>
      </c>
      <c r="Y2178" s="3">
        <f t="shared" si="577"/>
        <v>0</v>
      </c>
      <c r="Z2178" s="3">
        <f>IF(AND($M2178=1,对接源_02物料!$D978="原料入库"),1,0)</f>
        <v>0</v>
      </c>
      <c r="AA2178" s="3">
        <f t="shared" si="578"/>
        <v>24</v>
      </c>
      <c r="AB2178" s="3">
        <f>IF(AND($M2178=1,LEFT(对接源_02物料!$D978,4)="原料出库"),1,0)</f>
        <v>0</v>
      </c>
      <c r="AC2178" s="3">
        <f t="shared" si="579"/>
        <v>0</v>
      </c>
      <c r="AD2178" s="3">
        <f>IF(AND($M2178=1,LEFT(对接源_02物料!$D978,4)="成品出库"),1,0)</f>
        <v>0</v>
      </c>
      <c r="AE2178" s="3">
        <f t="shared" si="580"/>
        <v>0</v>
      </c>
      <c r="AF2178" s="3">
        <f>IF(AND($N2178=1,AND(LEFT(对接源_02物料!$D978,4)="包装物料",N(对接源_02物料!$K978)&lt;&gt;0)),1,0)</f>
        <v>0</v>
      </c>
      <c r="AG2178" s="3">
        <f t="shared" si="581"/>
        <v>5</v>
      </c>
      <c r="AH2178" s="3">
        <f>IF(AND($N2178=1,AND(对接源_02物料!$D978="周转筐－销售出库",N(对接源_02物料!$K978)&lt;&gt;0)),1,0)</f>
        <v>0</v>
      </c>
      <c r="AI2178" s="3">
        <f t="shared" si="582"/>
        <v>0</v>
      </c>
      <c r="AL2178" s="3">
        <v>0</v>
      </c>
      <c r="AM2178" s="3">
        <f t="shared" si="583"/>
        <v>1</v>
      </c>
      <c r="AN2178" s="3" t="str">
        <f t="shared" si="587"/>
        <v/>
      </c>
      <c r="AO2178" s="3">
        <v>0</v>
      </c>
      <c r="AP2178" s="3">
        <f t="shared" si="584"/>
        <v>8</v>
      </c>
      <c r="AR2178">
        <f t="shared" si="585"/>
        <v>0</v>
      </c>
      <c r="AS2178">
        <f t="shared" si="586"/>
        <v>5</v>
      </c>
    </row>
    <row r="2179" customHeight="1" spans="1:45">
      <c r="A2179" s="3" t="str">
        <f>IF(对接源_02物料!$C979="","",对接源_02物料!$C979)</f>
        <v/>
      </c>
      <c r="B2179" s="3">
        <f t="shared" si="571"/>
        <v>0</v>
      </c>
      <c r="C2179" s="3">
        <f t="shared" si="572"/>
        <v>21</v>
      </c>
      <c r="K2179" s="3">
        <f>IF(OR($K$1="",对接源_02物料!$C979="",对接源_02物料!$C979&lt;&gt;$K$1,对接源_02物料!$B979=""),0,IF(OR(N(对接源_02物料!$B979)&lt;$K$2,N(对接源_02物料!$B979)&gt;$K$3),0,1))</f>
        <v>0</v>
      </c>
      <c r="L2179" s="3">
        <f>IF(OR($L$1="",对接源_02物料!$C979="",对接源_02物料!$C979&lt;&gt;$L$1,对接源_02物料!$B979=""),0,IF(OR(N(对接源_02物料!$B979)&lt;$L$2,N(对接源_02物料!$B979)&gt;$L$3),0,1))</f>
        <v>0</v>
      </c>
      <c r="M2179" s="3">
        <f>IF(OR($M$1="",对接源_02物料!$C979="",对接源_02物料!$C979&lt;&gt;$M$1,对接源_02物料!$B979=""),0,IF(OR(N(对接源_02物料!$B979)&lt;$M$2,N(对接源_02物料!$B979)&gt;$M$3),0,1))</f>
        <v>0</v>
      </c>
      <c r="N2179" s="3">
        <f>IF(OR($N$1="",对接源_02物料!$C979="",对接源_02物料!$C979&lt;&gt;$N$1,对接源_02物料!$B979=""),0,IF(OR(N(对接源_02物料!$B979)&lt;$N$2,N(对接源_02物料!$B979)&gt;$N$3),0,1))</f>
        <v>0</v>
      </c>
      <c r="P2179" s="3">
        <f>IF(AND($K2179=1,AND(对接源_02物料!$X979="公司筐",N(对接源_02物料!$T979)&lt;&gt;0)),1,0)</f>
        <v>0</v>
      </c>
      <c r="Q2179" s="3">
        <f t="shared" si="573"/>
        <v>8</v>
      </c>
      <c r="R2179" s="3">
        <f>IF(AND($K2179=1,AND(对接源_02物料!$X979="公司筐",N(对接源_02物料!$U979)&lt;&gt;0)),1,0)</f>
        <v>0</v>
      </c>
      <c r="S2179" s="3">
        <f t="shared" si="574"/>
        <v>0</v>
      </c>
      <c r="T2179" s="3">
        <f>IF(AND($K2179=1,AND(对接源_02物料!$X979="公司筐",N(对接源_02物料!$V979)&lt;&gt;0)),1,0)</f>
        <v>0</v>
      </c>
      <c r="U2179" s="3">
        <f t="shared" si="575"/>
        <v>19</v>
      </c>
      <c r="V2179" s="3">
        <f>IF(AND($L2179=1,AND(对接源_02物料!$X979="自备筐",N(对接源_02物料!$V979)&lt;&gt;0)),1,0)</f>
        <v>0</v>
      </c>
      <c r="W2179" s="3">
        <f t="shared" si="576"/>
        <v>8</v>
      </c>
      <c r="X2179" s="3">
        <f>IF(AND($L2179=1,AND(对接源_02物料!$X979="自备筐",N(对接源_02物料!$T979)&lt;&gt;0)),1,0)</f>
        <v>0</v>
      </c>
      <c r="Y2179" s="3">
        <f t="shared" si="577"/>
        <v>0</v>
      </c>
      <c r="Z2179" s="3">
        <f>IF(AND($M2179=1,对接源_02物料!$D979="原料入库"),1,0)</f>
        <v>0</v>
      </c>
      <c r="AA2179" s="3">
        <f t="shared" si="578"/>
        <v>24</v>
      </c>
      <c r="AB2179" s="3">
        <f>IF(AND($M2179=1,LEFT(对接源_02物料!$D979,4)="原料出库"),1,0)</f>
        <v>0</v>
      </c>
      <c r="AC2179" s="3">
        <f t="shared" si="579"/>
        <v>0</v>
      </c>
      <c r="AD2179" s="3">
        <f>IF(AND($M2179=1,LEFT(对接源_02物料!$D979,4)="成品出库"),1,0)</f>
        <v>0</v>
      </c>
      <c r="AE2179" s="3">
        <f t="shared" si="580"/>
        <v>0</v>
      </c>
      <c r="AF2179" s="3">
        <f>IF(AND($N2179=1,AND(LEFT(对接源_02物料!$D979,4)="包装物料",N(对接源_02物料!$K979)&lt;&gt;0)),1,0)</f>
        <v>0</v>
      </c>
      <c r="AG2179" s="3">
        <f t="shared" si="581"/>
        <v>5</v>
      </c>
      <c r="AH2179" s="3">
        <f>IF(AND($N2179=1,AND(对接源_02物料!$D979="周转筐－销售出库",N(对接源_02物料!$K979)&lt;&gt;0)),1,0)</f>
        <v>0</v>
      </c>
      <c r="AI2179" s="3">
        <f t="shared" si="582"/>
        <v>0</v>
      </c>
      <c r="AL2179" s="3">
        <v>0</v>
      </c>
      <c r="AM2179" s="3">
        <f t="shared" si="583"/>
        <v>1</v>
      </c>
      <c r="AN2179" s="3" t="str">
        <f t="shared" si="587"/>
        <v/>
      </c>
      <c r="AO2179" s="3">
        <v>0</v>
      </c>
      <c r="AP2179" s="3">
        <f t="shared" si="584"/>
        <v>8</v>
      </c>
      <c r="AR2179">
        <f t="shared" si="585"/>
        <v>0</v>
      </c>
      <c r="AS2179">
        <f t="shared" si="586"/>
        <v>5</v>
      </c>
    </row>
    <row r="2180" customHeight="1" spans="1:45">
      <c r="A2180" s="3" t="str">
        <f>IF(对接源_02物料!$C980="","",对接源_02物料!$C980)</f>
        <v/>
      </c>
      <c r="B2180" s="3">
        <f t="shared" ref="B2180:B2243" si="588">IF(A2180="",0,IF(MATCH(A2180,$A$4:$A$2403,0)=ROW()-3,1,0))</f>
        <v>0</v>
      </c>
      <c r="C2180" s="3">
        <f t="shared" ref="C2180:C2243" si="589">N(C2179)+B2180</f>
        <v>21</v>
      </c>
      <c r="K2180" s="3">
        <f>IF(OR($K$1="",对接源_02物料!$C980="",对接源_02物料!$C980&lt;&gt;$K$1,对接源_02物料!$B980=""),0,IF(OR(N(对接源_02物料!$B980)&lt;$K$2,N(对接源_02物料!$B980)&gt;$K$3),0,1))</f>
        <v>0</v>
      </c>
      <c r="L2180" s="3">
        <f>IF(OR($L$1="",对接源_02物料!$C980="",对接源_02物料!$C980&lt;&gt;$L$1,对接源_02物料!$B980=""),0,IF(OR(N(对接源_02物料!$B980)&lt;$L$2,N(对接源_02物料!$B980)&gt;$L$3),0,1))</f>
        <v>0</v>
      </c>
      <c r="M2180" s="3">
        <f>IF(OR($M$1="",对接源_02物料!$C980="",对接源_02物料!$C980&lt;&gt;$M$1,对接源_02物料!$B980=""),0,IF(OR(N(对接源_02物料!$B980)&lt;$M$2,N(对接源_02物料!$B980)&gt;$M$3),0,1))</f>
        <v>0</v>
      </c>
      <c r="N2180" s="3">
        <f>IF(OR($N$1="",对接源_02物料!$C980="",对接源_02物料!$C980&lt;&gt;$N$1,对接源_02物料!$B980=""),0,IF(OR(N(对接源_02物料!$B980)&lt;$N$2,N(对接源_02物料!$B980)&gt;$N$3),0,1))</f>
        <v>0</v>
      </c>
      <c r="P2180" s="3">
        <f>IF(AND($K2180=1,AND(对接源_02物料!$X980="公司筐",N(对接源_02物料!$T980)&lt;&gt;0)),1,0)</f>
        <v>0</v>
      </c>
      <c r="Q2180" s="3">
        <f t="shared" ref="Q2180:Q2243" si="590">N(Q2179)+$P2180</f>
        <v>8</v>
      </c>
      <c r="R2180" s="3">
        <f>IF(AND($K2180=1,AND(对接源_02物料!$X980="公司筐",N(对接源_02物料!$U980)&lt;&gt;0)),1,0)</f>
        <v>0</v>
      </c>
      <c r="S2180" s="3">
        <f t="shared" ref="S2180:S2243" si="591">N(S2179)+$R2180</f>
        <v>0</v>
      </c>
      <c r="T2180" s="3">
        <f>IF(AND($K2180=1,AND(对接源_02物料!$X980="公司筐",N(对接源_02物料!$V980)&lt;&gt;0)),1,0)</f>
        <v>0</v>
      </c>
      <c r="U2180" s="3">
        <f t="shared" ref="U2180:U2243" si="592">N(U2179)+$T2180</f>
        <v>19</v>
      </c>
      <c r="V2180" s="3">
        <f>IF(AND($L2180=1,AND(对接源_02物料!$X980="自备筐",N(对接源_02物料!$V980)&lt;&gt;0)),1,0)</f>
        <v>0</v>
      </c>
      <c r="W2180" s="3">
        <f t="shared" ref="W2180:W2243" si="593">N(W2179)+$V2180</f>
        <v>8</v>
      </c>
      <c r="X2180" s="3">
        <f>IF(AND($L2180=1,AND(对接源_02物料!$X980="自备筐",N(对接源_02物料!$T980)&lt;&gt;0)),1,0)</f>
        <v>0</v>
      </c>
      <c r="Y2180" s="3">
        <f t="shared" ref="Y2180:Y2243" si="594">N(Y2179)+$X2180</f>
        <v>0</v>
      </c>
      <c r="Z2180" s="3">
        <f>IF(AND($M2180=1,对接源_02物料!$D980="原料入库"),1,0)</f>
        <v>0</v>
      </c>
      <c r="AA2180" s="3">
        <f t="shared" ref="AA2180:AA2243" si="595">N(AA2179)+$Z2180</f>
        <v>24</v>
      </c>
      <c r="AB2180" s="3">
        <f>IF(AND($M2180=1,LEFT(对接源_02物料!$D980,4)="原料出库"),1,0)</f>
        <v>0</v>
      </c>
      <c r="AC2180" s="3">
        <f t="shared" ref="AC2180:AC2243" si="596">N(AC2179)+$AB2180</f>
        <v>0</v>
      </c>
      <c r="AD2180" s="3">
        <f>IF(AND($M2180=1,LEFT(对接源_02物料!$D980,4)="成品出库"),1,0)</f>
        <v>0</v>
      </c>
      <c r="AE2180" s="3">
        <f t="shared" ref="AE2180:AE2243" si="597">N(AE2179)+$AD2180</f>
        <v>0</v>
      </c>
      <c r="AF2180" s="3">
        <f>IF(AND($N2180=1,AND(LEFT(对接源_02物料!$D980,4)="包装物料",N(对接源_02物料!$K980)&lt;&gt;0)),1,0)</f>
        <v>0</v>
      </c>
      <c r="AG2180" s="3">
        <f t="shared" ref="AG2180:AG2243" si="598">N(AG2179)+$AF2180</f>
        <v>5</v>
      </c>
      <c r="AH2180" s="3">
        <f>IF(AND($N2180=1,AND(对接源_02物料!$D980="周转筐－销售出库",N(对接源_02物料!$K980)&lt;&gt;0)),1,0)</f>
        <v>0</v>
      </c>
      <c r="AI2180" s="3">
        <f t="shared" ref="AI2180:AI2243" si="599">N(AI2179)+$AH2180</f>
        <v>0</v>
      </c>
      <c r="AL2180" s="3">
        <v>0</v>
      </c>
      <c r="AM2180" s="3">
        <f t="shared" ref="AM2180:AM2243" si="600">N(AM2179)+$AL2180</f>
        <v>1</v>
      </c>
      <c r="AN2180" s="3" t="str">
        <f t="shared" si="587"/>
        <v/>
      </c>
      <c r="AO2180" s="3">
        <v>0</v>
      </c>
      <c r="AP2180" s="3">
        <f t="shared" ref="AP2180:AP2243" si="601">N(AP2179)+$AO2180</f>
        <v>8</v>
      </c>
      <c r="AR2180">
        <f t="shared" ref="AR2180:AR2243" si="602">IF(OR($AF2180=1,$AH2180=1),1,0)</f>
        <v>0</v>
      </c>
      <c r="AS2180">
        <f t="shared" ref="AS2180:AS2243" si="603">N(AS2179)+$AR2180</f>
        <v>5</v>
      </c>
    </row>
    <row r="2181" customHeight="1" spans="1:45">
      <c r="A2181" s="3" t="str">
        <f>IF(对接源_02物料!$C981="","",对接源_02物料!$C981)</f>
        <v/>
      </c>
      <c r="B2181" s="3">
        <f t="shared" si="588"/>
        <v>0</v>
      </c>
      <c r="C2181" s="3">
        <f t="shared" si="589"/>
        <v>21</v>
      </c>
      <c r="K2181" s="3">
        <f>IF(OR($K$1="",对接源_02物料!$C981="",对接源_02物料!$C981&lt;&gt;$K$1,对接源_02物料!$B981=""),0,IF(OR(N(对接源_02物料!$B981)&lt;$K$2,N(对接源_02物料!$B981)&gt;$K$3),0,1))</f>
        <v>0</v>
      </c>
      <c r="L2181" s="3">
        <f>IF(OR($L$1="",对接源_02物料!$C981="",对接源_02物料!$C981&lt;&gt;$L$1,对接源_02物料!$B981=""),0,IF(OR(N(对接源_02物料!$B981)&lt;$L$2,N(对接源_02物料!$B981)&gt;$L$3),0,1))</f>
        <v>0</v>
      </c>
      <c r="M2181" s="3">
        <f>IF(OR($M$1="",对接源_02物料!$C981="",对接源_02物料!$C981&lt;&gt;$M$1,对接源_02物料!$B981=""),0,IF(OR(N(对接源_02物料!$B981)&lt;$M$2,N(对接源_02物料!$B981)&gt;$M$3),0,1))</f>
        <v>0</v>
      </c>
      <c r="N2181" s="3">
        <f>IF(OR($N$1="",对接源_02物料!$C981="",对接源_02物料!$C981&lt;&gt;$N$1,对接源_02物料!$B981=""),0,IF(OR(N(对接源_02物料!$B981)&lt;$N$2,N(对接源_02物料!$B981)&gt;$N$3),0,1))</f>
        <v>0</v>
      </c>
      <c r="P2181" s="3">
        <f>IF(AND($K2181=1,AND(对接源_02物料!$X981="公司筐",N(对接源_02物料!$T981)&lt;&gt;0)),1,0)</f>
        <v>0</v>
      </c>
      <c r="Q2181" s="3">
        <f t="shared" si="590"/>
        <v>8</v>
      </c>
      <c r="R2181" s="3">
        <f>IF(AND($K2181=1,AND(对接源_02物料!$X981="公司筐",N(对接源_02物料!$U981)&lt;&gt;0)),1,0)</f>
        <v>0</v>
      </c>
      <c r="S2181" s="3">
        <f t="shared" si="591"/>
        <v>0</v>
      </c>
      <c r="T2181" s="3">
        <f>IF(AND($K2181=1,AND(对接源_02物料!$X981="公司筐",N(对接源_02物料!$V981)&lt;&gt;0)),1,0)</f>
        <v>0</v>
      </c>
      <c r="U2181" s="3">
        <f t="shared" si="592"/>
        <v>19</v>
      </c>
      <c r="V2181" s="3">
        <f>IF(AND($L2181=1,AND(对接源_02物料!$X981="自备筐",N(对接源_02物料!$V981)&lt;&gt;0)),1,0)</f>
        <v>0</v>
      </c>
      <c r="W2181" s="3">
        <f t="shared" si="593"/>
        <v>8</v>
      </c>
      <c r="X2181" s="3">
        <f>IF(AND($L2181=1,AND(对接源_02物料!$X981="自备筐",N(对接源_02物料!$T981)&lt;&gt;0)),1,0)</f>
        <v>0</v>
      </c>
      <c r="Y2181" s="3">
        <f t="shared" si="594"/>
        <v>0</v>
      </c>
      <c r="Z2181" s="3">
        <f>IF(AND($M2181=1,对接源_02物料!$D981="原料入库"),1,0)</f>
        <v>0</v>
      </c>
      <c r="AA2181" s="3">
        <f t="shared" si="595"/>
        <v>24</v>
      </c>
      <c r="AB2181" s="3">
        <f>IF(AND($M2181=1,LEFT(对接源_02物料!$D981,4)="原料出库"),1,0)</f>
        <v>0</v>
      </c>
      <c r="AC2181" s="3">
        <f t="shared" si="596"/>
        <v>0</v>
      </c>
      <c r="AD2181" s="3">
        <f>IF(AND($M2181=1,LEFT(对接源_02物料!$D981,4)="成品出库"),1,0)</f>
        <v>0</v>
      </c>
      <c r="AE2181" s="3">
        <f t="shared" si="597"/>
        <v>0</v>
      </c>
      <c r="AF2181" s="3">
        <f>IF(AND($N2181=1,AND(LEFT(对接源_02物料!$D981,4)="包装物料",N(对接源_02物料!$K981)&lt;&gt;0)),1,0)</f>
        <v>0</v>
      </c>
      <c r="AG2181" s="3">
        <f t="shared" si="598"/>
        <v>5</v>
      </c>
      <c r="AH2181" s="3">
        <f>IF(AND($N2181=1,AND(对接源_02物料!$D981="周转筐－销售出库",N(对接源_02物料!$K981)&lt;&gt;0)),1,0)</f>
        <v>0</v>
      </c>
      <c r="AI2181" s="3">
        <f t="shared" si="599"/>
        <v>0</v>
      </c>
      <c r="AL2181" s="3">
        <v>0</v>
      </c>
      <c r="AM2181" s="3">
        <f t="shared" si="600"/>
        <v>1</v>
      </c>
      <c r="AN2181" s="3" t="str">
        <f t="shared" si="587"/>
        <v/>
      </c>
      <c r="AO2181" s="3">
        <v>0</v>
      </c>
      <c r="AP2181" s="3">
        <f t="shared" si="601"/>
        <v>8</v>
      </c>
      <c r="AR2181">
        <f t="shared" si="602"/>
        <v>0</v>
      </c>
      <c r="AS2181">
        <f t="shared" si="603"/>
        <v>5</v>
      </c>
    </row>
    <row r="2182" customHeight="1" spans="1:45">
      <c r="A2182" s="3" t="str">
        <f>IF(对接源_02物料!$C982="","",对接源_02物料!$C982)</f>
        <v/>
      </c>
      <c r="B2182" s="3">
        <f t="shared" si="588"/>
        <v>0</v>
      </c>
      <c r="C2182" s="3">
        <f t="shared" si="589"/>
        <v>21</v>
      </c>
      <c r="K2182" s="3">
        <f>IF(OR($K$1="",对接源_02物料!$C982="",对接源_02物料!$C982&lt;&gt;$K$1,对接源_02物料!$B982=""),0,IF(OR(N(对接源_02物料!$B982)&lt;$K$2,N(对接源_02物料!$B982)&gt;$K$3),0,1))</f>
        <v>0</v>
      </c>
      <c r="L2182" s="3">
        <f>IF(OR($L$1="",对接源_02物料!$C982="",对接源_02物料!$C982&lt;&gt;$L$1,对接源_02物料!$B982=""),0,IF(OR(N(对接源_02物料!$B982)&lt;$L$2,N(对接源_02物料!$B982)&gt;$L$3),0,1))</f>
        <v>0</v>
      </c>
      <c r="M2182" s="3">
        <f>IF(OR($M$1="",对接源_02物料!$C982="",对接源_02物料!$C982&lt;&gt;$M$1,对接源_02物料!$B982=""),0,IF(OR(N(对接源_02物料!$B982)&lt;$M$2,N(对接源_02物料!$B982)&gt;$M$3),0,1))</f>
        <v>0</v>
      </c>
      <c r="N2182" s="3">
        <f>IF(OR($N$1="",对接源_02物料!$C982="",对接源_02物料!$C982&lt;&gt;$N$1,对接源_02物料!$B982=""),0,IF(OR(N(对接源_02物料!$B982)&lt;$N$2,N(对接源_02物料!$B982)&gt;$N$3),0,1))</f>
        <v>0</v>
      </c>
      <c r="P2182" s="3">
        <f>IF(AND($K2182=1,AND(对接源_02物料!$X982="公司筐",N(对接源_02物料!$T982)&lt;&gt;0)),1,0)</f>
        <v>0</v>
      </c>
      <c r="Q2182" s="3">
        <f t="shared" si="590"/>
        <v>8</v>
      </c>
      <c r="R2182" s="3">
        <f>IF(AND($K2182=1,AND(对接源_02物料!$X982="公司筐",N(对接源_02物料!$U982)&lt;&gt;0)),1,0)</f>
        <v>0</v>
      </c>
      <c r="S2182" s="3">
        <f t="shared" si="591"/>
        <v>0</v>
      </c>
      <c r="T2182" s="3">
        <f>IF(AND($K2182=1,AND(对接源_02物料!$X982="公司筐",N(对接源_02物料!$V982)&lt;&gt;0)),1,0)</f>
        <v>0</v>
      </c>
      <c r="U2182" s="3">
        <f t="shared" si="592"/>
        <v>19</v>
      </c>
      <c r="V2182" s="3">
        <f>IF(AND($L2182=1,AND(对接源_02物料!$X982="自备筐",N(对接源_02物料!$V982)&lt;&gt;0)),1,0)</f>
        <v>0</v>
      </c>
      <c r="W2182" s="3">
        <f t="shared" si="593"/>
        <v>8</v>
      </c>
      <c r="X2182" s="3">
        <f>IF(AND($L2182=1,AND(对接源_02物料!$X982="自备筐",N(对接源_02物料!$T982)&lt;&gt;0)),1,0)</f>
        <v>0</v>
      </c>
      <c r="Y2182" s="3">
        <f t="shared" si="594"/>
        <v>0</v>
      </c>
      <c r="Z2182" s="3">
        <f>IF(AND($M2182=1,对接源_02物料!$D982="原料入库"),1,0)</f>
        <v>0</v>
      </c>
      <c r="AA2182" s="3">
        <f t="shared" si="595"/>
        <v>24</v>
      </c>
      <c r="AB2182" s="3">
        <f>IF(AND($M2182=1,LEFT(对接源_02物料!$D982,4)="原料出库"),1,0)</f>
        <v>0</v>
      </c>
      <c r="AC2182" s="3">
        <f t="shared" si="596"/>
        <v>0</v>
      </c>
      <c r="AD2182" s="3">
        <f>IF(AND($M2182=1,LEFT(对接源_02物料!$D982,4)="成品出库"),1,0)</f>
        <v>0</v>
      </c>
      <c r="AE2182" s="3">
        <f t="shared" si="597"/>
        <v>0</v>
      </c>
      <c r="AF2182" s="3">
        <f>IF(AND($N2182=1,AND(LEFT(对接源_02物料!$D982,4)="包装物料",N(对接源_02物料!$K982)&lt;&gt;0)),1,0)</f>
        <v>0</v>
      </c>
      <c r="AG2182" s="3">
        <f t="shared" si="598"/>
        <v>5</v>
      </c>
      <c r="AH2182" s="3">
        <f>IF(AND($N2182=1,AND(对接源_02物料!$D982="周转筐－销售出库",N(对接源_02物料!$K982)&lt;&gt;0)),1,0)</f>
        <v>0</v>
      </c>
      <c r="AI2182" s="3">
        <f t="shared" si="599"/>
        <v>0</v>
      </c>
      <c r="AL2182" s="3">
        <v>0</v>
      </c>
      <c r="AM2182" s="3">
        <f t="shared" si="600"/>
        <v>1</v>
      </c>
      <c r="AN2182" s="3" t="str">
        <f t="shared" si="587"/>
        <v/>
      </c>
      <c r="AO2182" s="3">
        <v>0</v>
      </c>
      <c r="AP2182" s="3">
        <f t="shared" si="601"/>
        <v>8</v>
      </c>
      <c r="AR2182">
        <f t="shared" si="602"/>
        <v>0</v>
      </c>
      <c r="AS2182">
        <f t="shared" si="603"/>
        <v>5</v>
      </c>
    </row>
    <row r="2183" customHeight="1" spans="1:45">
      <c r="A2183" s="3" t="str">
        <f>IF(对接源_02物料!$C983="","",对接源_02物料!$C983)</f>
        <v/>
      </c>
      <c r="B2183" s="3">
        <f t="shared" si="588"/>
        <v>0</v>
      </c>
      <c r="C2183" s="3">
        <f t="shared" si="589"/>
        <v>21</v>
      </c>
      <c r="K2183" s="3">
        <f>IF(OR($K$1="",对接源_02物料!$C983="",对接源_02物料!$C983&lt;&gt;$K$1,对接源_02物料!$B983=""),0,IF(OR(N(对接源_02物料!$B983)&lt;$K$2,N(对接源_02物料!$B983)&gt;$K$3),0,1))</f>
        <v>0</v>
      </c>
      <c r="L2183" s="3">
        <f>IF(OR($L$1="",对接源_02物料!$C983="",对接源_02物料!$C983&lt;&gt;$L$1,对接源_02物料!$B983=""),0,IF(OR(N(对接源_02物料!$B983)&lt;$L$2,N(对接源_02物料!$B983)&gt;$L$3),0,1))</f>
        <v>0</v>
      </c>
      <c r="M2183" s="3">
        <f>IF(OR($M$1="",对接源_02物料!$C983="",对接源_02物料!$C983&lt;&gt;$M$1,对接源_02物料!$B983=""),0,IF(OR(N(对接源_02物料!$B983)&lt;$M$2,N(对接源_02物料!$B983)&gt;$M$3),0,1))</f>
        <v>0</v>
      </c>
      <c r="N2183" s="3">
        <f>IF(OR($N$1="",对接源_02物料!$C983="",对接源_02物料!$C983&lt;&gt;$N$1,对接源_02物料!$B983=""),0,IF(OR(N(对接源_02物料!$B983)&lt;$N$2,N(对接源_02物料!$B983)&gt;$N$3),0,1))</f>
        <v>0</v>
      </c>
      <c r="P2183" s="3">
        <f>IF(AND($K2183=1,AND(对接源_02物料!$X983="公司筐",N(对接源_02物料!$T983)&lt;&gt;0)),1,0)</f>
        <v>0</v>
      </c>
      <c r="Q2183" s="3">
        <f t="shared" si="590"/>
        <v>8</v>
      </c>
      <c r="R2183" s="3">
        <f>IF(AND($K2183=1,AND(对接源_02物料!$X983="公司筐",N(对接源_02物料!$U983)&lt;&gt;0)),1,0)</f>
        <v>0</v>
      </c>
      <c r="S2183" s="3">
        <f t="shared" si="591"/>
        <v>0</v>
      </c>
      <c r="T2183" s="3">
        <f>IF(AND($K2183=1,AND(对接源_02物料!$X983="公司筐",N(对接源_02物料!$V983)&lt;&gt;0)),1,0)</f>
        <v>0</v>
      </c>
      <c r="U2183" s="3">
        <f t="shared" si="592"/>
        <v>19</v>
      </c>
      <c r="V2183" s="3">
        <f>IF(AND($L2183=1,AND(对接源_02物料!$X983="自备筐",N(对接源_02物料!$V983)&lt;&gt;0)),1,0)</f>
        <v>0</v>
      </c>
      <c r="W2183" s="3">
        <f t="shared" si="593"/>
        <v>8</v>
      </c>
      <c r="X2183" s="3">
        <f>IF(AND($L2183=1,AND(对接源_02物料!$X983="自备筐",N(对接源_02物料!$T983)&lt;&gt;0)),1,0)</f>
        <v>0</v>
      </c>
      <c r="Y2183" s="3">
        <f t="shared" si="594"/>
        <v>0</v>
      </c>
      <c r="Z2183" s="3">
        <f>IF(AND($M2183=1,对接源_02物料!$D983="原料入库"),1,0)</f>
        <v>0</v>
      </c>
      <c r="AA2183" s="3">
        <f t="shared" si="595"/>
        <v>24</v>
      </c>
      <c r="AB2183" s="3">
        <f>IF(AND($M2183=1,LEFT(对接源_02物料!$D983,4)="原料出库"),1,0)</f>
        <v>0</v>
      </c>
      <c r="AC2183" s="3">
        <f t="shared" si="596"/>
        <v>0</v>
      </c>
      <c r="AD2183" s="3">
        <f>IF(AND($M2183=1,LEFT(对接源_02物料!$D983,4)="成品出库"),1,0)</f>
        <v>0</v>
      </c>
      <c r="AE2183" s="3">
        <f t="shared" si="597"/>
        <v>0</v>
      </c>
      <c r="AF2183" s="3">
        <f>IF(AND($N2183=1,AND(LEFT(对接源_02物料!$D983,4)="包装物料",N(对接源_02物料!$K983)&lt;&gt;0)),1,0)</f>
        <v>0</v>
      </c>
      <c r="AG2183" s="3">
        <f t="shared" si="598"/>
        <v>5</v>
      </c>
      <c r="AH2183" s="3">
        <f>IF(AND($N2183=1,AND(对接源_02物料!$D983="周转筐－销售出库",N(对接源_02物料!$K983)&lt;&gt;0)),1,0)</f>
        <v>0</v>
      </c>
      <c r="AI2183" s="3">
        <f t="shared" si="599"/>
        <v>0</v>
      </c>
      <c r="AL2183" s="3">
        <v>0</v>
      </c>
      <c r="AM2183" s="3">
        <f t="shared" si="600"/>
        <v>1</v>
      </c>
      <c r="AN2183" s="3" t="str">
        <f t="shared" si="587"/>
        <v/>
      </c>
      <c r="AO2183" s="3">
        <v>0</v>
      </c>
      <c r="AP2183" s="3">
        <f t="shared" si="601"/>
        <v>8</v>
      </c>
      <c r="AR2183">
        <f t="shared" si="602"/>
        <v>0</v>
      </c>
      <c r="AS2183">
        <f t="shared" si="603"/>
        <v>5</v>
      </c>
    </row>
    <row r="2184" customHeight="1" spans="1:45">
      <c r="A2184" s="3" t="str">
        <f>IF(对接源_02物料!$C984="","",对接源_02物料!$C984)</f>
        <v/>
      </c>
      <c r="B2184" s="3">
        <f t="shared" si="588"/>
        <v>0</v>
      </c>
      <c r="C2184" s="3">
        <f t="shared" si="589"/>
        <v>21</v>
      </c>
      <c r="K2184" s="3">
        <f>IF(OR($K$1="",对接源_02物料!$C984="",对接源_02物料!$C984&lt;&gt;$K$1,对接源_02物料!$B984=""),0,IF(OR(N(对接源_02物料!$B984)&lt;$K$2,N(对接源_02物料!$B984)&gt;$K$3),0,1))</f>
        <v>0</v>
      </c>
      <c r="L2184" s="3">
        <f>IF(OR($L$1="",对接源_02物料!$C984="",对接源_02物料!$C984&lt;&gt;$L$1,对接源_02物料!$B984=""),0,IF(OR(N(对接源_02物料!$B984)&lt;$L$2,N(对接源_02物料!$B984)&gt;$L$3),0,1))</f>
        <v>0</v>
      </c>
      <c r="M2184" s="3">
        <f>IF(OR($M$1="",对接源_02物料!$C984="",对接源_02物料!$C984&lt;&gt;$M$1,对接源_02物料!$B984=""),0,IF(OR(N(对接源_02物料!$B984)&lt;$M$2,N(对接源_02物料!$B984)&gt;$M$3),0,1))</f>
        <v>0</v>
      </c>
      <c r="N2184" s="3">
        <f>IF(OR($N$1="",对接源_02物料!$C984="",对接源_02物料!$C984&lt;&gt;$N$1,对接源_02物料!$B984=""),0,IF(OR(N(对接源_02物料!$B984)&lt;$N$2,N(对接源_02物料!$B984)&gt;$N$3),0,1))</f>
        <v>0</v>
      </c>
      <c r="P2184" s="3">
        <f>IF(AND($K2184=1,AND(对接源_02物料!$X984="公司筐",N(对接源_02物料!$T984)&lt;&gt;0)),1,0)</f>
        <v>0</v>
      </c>
      <c r="Q2184" s="3">
        <f t="shared" si="590"/>
        <v>8</v>
      </c>
      <c r="R2184" s="3">
        <f>IF(AND($K2184=1,AND(对接源_02物料!$X984="公司筐",N(对接源_02物料!$U984)&lt;&gt;0)),1,0)</f>
        <v>0</v>
      </c>
      <c r="S2184" s="3">
        <f t="shared" si="591"/>
        <v>0</v>
      </c>
      <c r="T2184" s="3">
        <f>IF(AND($K2184=1,AND(对接源_02物料!$X984="公司筐",N(对接源_02物料!$V984)&lt;&gt;0)),1,0)</f>
        <v>0</v>
      </c>
      <c r="U2184" s="3">
        <f t="shared" si="592"/>
        <v>19</v>
      </c>
      <c r="V2184" s="3">
        <f>IF(AND($L2184=1,AND(对接源_02物料!$X984="自备筐",N(对接源_02物料!$V984)&lt;&gt;0)),1,0)</f>
        <v>0</v>
      </c>
      <c r="W2184" s="3">
        <f t="shared" si="593"/>
        <v>8</v>
      </c>
      <c r="X2184" s="3">
        <f>IF(AND($L2184=1,AND(对接源_02物料!$X984="自备筐",N(对接源_02物料!$T984)&lt;&gt;0)),1,0)</f>
        <v>0</v>
      </c>
      <c r="Y2184" s="3">
        <f t="shared" si="594"/>
        <v>0</v>
      </c>
      <c r="Z2184" s="3">
        <f>IF(AND($M2184=1,对接源_02物料!$D984="原料入库"),1,0)</f>
        <v>0</v>
      </c>
      <c r="AA2184" s="3">
        <f t="shared" si="595"/>
        <v>24</v>
      </c>
      <c r="AB2184" s="3">
        <f>IF(AND($M2184=1,LEFT(对接源_02物料!$D984,4)="原料出库"),1,0)</f>
        <v>0</v>
      </c>
      <c r="AC2184" s="3">
        <f t="shared" si="596"/>
        <v>0</v>
      </c>
      <c r="AD2184" s="3">
        <f>IF(AND($M2184=1,LEFT(对接源_02物料!$D984,4)="成品出库"),1,0)</f>
        <v>0</v>
      </c>
      <c r="AE2184" s="3">
        <f t="shared" si="597"/>
        <v>0</v>
      </c>
      <c r="AF2184" s="3">
        <f>IF(AND($N2184=1,AND(LEFT(对接源_02物料!$D984,4)="包装物料",N(对接源_02物料!$K984)&lt;&gt;0)),1,0)</f>
        <v>0</v>
      </c>
      <c r="AG2184" s="3">
        <f t="shared" si="598"/>
        <v>5</v>
      </c>
      <c r="AH2184" s="3">
        <f>IF(AND($N2184=1,AND(对接源_02物料!$D984="周转筐－销售出库",N(对接源_02物料!$K984)&lt;&gt;0)),1,0)</f>
        <v>0</v>
      </c>
      <c r="AI2184" s="3">
        <f t="shared" si="599"/>
        <v>0</v>
      </c>
      <c r="AL2184" s="3">
        <v>0</v>
      </c>
      <c r="AM2184" s="3">
        <f t="shared" si="600"/>
        <v>1</v>
      </c>
      <c r="AN2184" s="3" t="str">
        <f t="shared" si="587"/>
        <v/>
      </c>
      <c r="AO2184" s="3">
        <v>0</v>
      </c>
      <c r="AP2184" s="3">
        <f t="shared" si="601"/>
        <v>8</v>
      </c>
      <c r="AR2184">
        <f t="shared" si="602"/>
        <v>0</v>
      </c>
      <c r="AS2184">
        <f t="shared" si="603"/>
        <v>5</v>
      </c>
    </row>
    <row r="2185" customHeight="1" spans="1:45">
      <c r="A2185" s="3" t="str">
        <f>IF(对接源_02物料!$C985="","",对接源_02物料!$C985)</f>
        <v/>
      </c>
      <c r="B2185" s="3">
        <f t="shared" si="588"/>
        <v>0</v>
      </c>
      <c r="C2185" s="3">
        <f t="shared" si="589"/>
        <v>21</v>
      </c>
      <c r="K2185" s="3">
        <f>IF(OR($K$1="",对接源_02物料!$C985="",对接源_02物料!$C985&lt;&gt;$K$1,对接源_02物料!$B985=""),0,IF(OR(N(对接源_02物料!$B985)&lt;$K$2,N(对接源_02物料!$B985)&gt;$K$3),0,1))</f>
        <v>0</v>
      </c>
      <c r="L2185" s="3">
        <f>IF(OR($L$1="",对接源_02物料!$C985="",对接源_02物料!$C985&lt;&gt;$L$1,对接源_02物料!$B985=""),0,IF(OR(N(对接源_02物料!$B985)&lt;$L$2,N(对接源_02物料!$B985)&gt;$L$3),0,1))</f>
        <v>0</v>
      </c>
      <c r="M2185" s="3">
        <f>IF(OR($M$1="",对接源_02物料!$C985="",对接源_02物料!$C985&lt;&gt;$M$1,对接源_02物料!$B985=""),0,IF(OR(N(对接源_02物料!$B985)&lt;$M$2,N(对接源_02物料!$B985)&gt;$M$3),0,1))</f>
        <v>0</v>
      </c>
      <c r="N2185" s="3">
        <f>IF(OR($N$1="",对接源_02物料!$C985="",对接源_02物料!$C985&lt;&gt;$N$1,对接源_02物料!$B985=""),0,IF(OR(N(对接源_02物料!$B985)&lt;$N$2,N(对接源_02物料!$B985)&gt;$N$3),0,1))</f>
        <v>0</v>
      </c>
      <c r="P2185" s="3">
        <f>IF(AND($K2185=1,AND(对接源_02物料!$X985="公司筐",N(对接源_02物料!$T985)&lt;&gt;0)),1,0)</f>
        <v>0</v>
      </c>
      <c r="Q2185" s="3">
        <f t="shared" si="590"/>
        <v>8</v>
      </c>
      <c r="R2185" s="3">
        <f>IF(AND($K2185=1,AND(对接源_02物料!$X985="公司筐",N(对接源_02物料!$U985)&lt;&gt;0)),1,0)</f>
        <v>0</v>
      </c>
      <c r="S2185" s="3">
        <f t="shared" si="591"/>
        <v>0</v>
      </c>
      <c r="T2185" s="3">
        <f>IF(AND($K2185=1,AND(对接源_02物料!$X985="公司筐",N(对接源_02物料!$V985)&lt;&gt;0)),1,0)</f>
        <v>0</v>
      </c>
      <c r="U2185" s="3">
        <f t="shared" si="592"/>
        <v>19</v>
      </c>
      <c r="V2185" s="3">
        <f>IF(AND($L2185=1,AND(对接源_02物料!$X985="自备筐",N(对接源_02物料!$V985)&lt;&gt;0)),1,0)</f>
        <v>0</v>
      </c>
      <c r="W2185" s="3">
        <f t="shared" si="593"/>
        <v>8</v>
      </c>
      <c r="X2185" s="3">
        <f>IF(AND($L2185=1,AND(对接源_02物料!$X985="自备筐",N(对接源_02物料!$T985)&lt;&gt;0)),1,0)</f>
        <v>0</v>
      </c>
      <c r="Y2185" s="3">
        <f t="shared" si="594"/>
        <v>0</v>
      </c>
      <c r="Z2185" s="3">
        <f>IF(AND($M2185=1,对接源_02物料!$D985="原料入库"),1,0)</f>
        <v>0</v>
      </c>
      <c r="AA2185" s="3">
        <f t="shared" si="595"/>
        <v>24</v>
      </c>
      <c r="AB2185" s="3">
        <f>IF(AND($M2185=1,LEFT(对接源_02物料!$D985,4)="原料出库"),1,0)</f>
        <v>0</v>
      </c>
      <c r="AC2185" s="3">
        <f t="shared" si="596"/>
        <v>0</v>
      </c>
      <c r="AD2185" s="3">
        <f>IF(AND($M2185=1,LEFT(对接源_02物料!$D985,4)="成品出库"),1,0)</f>
        <v>0</v>
      </c>
      <c r="AE2185" s="3">
        <f t="shared" si="597"/>
        <v>0</v>
      </c>
      <c r="AF2185" s="3">
        <f>IF(AND($N2185=1,AND(LEFT(对接源_02物料!$D985,4)="包装物料",N(对接源_02物料!$K985)&lt;&gt;0)),1,0)</f>
        <v>0</v>
      </c>
      <c r="AG2185" s="3">
        <f t="shared" si="598"/>
        <v>5</v>
      </c>
      <c r="AH2185" s="3">
        <f>IF(AND($N2185=1,AND(对接源_02物料!$D985="周转筐－销售出库",N(对接源_02物料!$K985)&lt;&gt;0)),1,0)</f>
        <v>0</v>
      </c>
      <c r="AI2185" s="3">
        <f t="shared" si="599"/>
        <v>0</v>
      </c>
      <c r="AL2185" s="3">
        <v>0</v>
      </c>
      <c r="AM2185" s="3">
        <f t="shared" si="600"/>
        <v>1</v>
      </c>
      <c r="AN2185" s="3" t="str">
        <f t="shared" si="587"/>
        <v/>
      </c>
      <c r="AO2185" s="3">
        <v>0</v>
      </c>
      <c r="AP2185" s="3">
        <f t="shared" si="601"/>
        <v>8</v>
      </c>
      <c r="AR2185">
        <f t="shared" si="602"/>
        <v>0</v>
      </c>
      <c r="AS2185">
        <f t="shared" si="603"/>
        <v>5</v>
      </c>
    </row>
    <row r="2186" customHeight="1" spans="1:45">
      <c r="A2186" s="3" t="str">
        <f>IF(对接源_02物料!$C986="","",对接源_02物料!$C986)</f>
        <v/>
      </c>
      <c r="B2186" s="3">
        <f t="shared" si="588"/>
        <v>0</v>
      </c>
      <c r="C2186" s="3">
        <f t="shared" si="589"/>
        <v>21</v>
      </c>
      <c r="K2186" s="3">
        <f>IF(OR($K$1="",对接源_02物料!$C986="",对接源_02物料!$C986&lt;&gt;$K$1,对接源_02物料!$B986=""),0,IF(OR(N(对接源_02物料!$B986)&lt;$K$2,N(对接源_02物料!$B986)&gt;$K$3),0,1))</f>
        <v>0</v>
      </c>
      <c r="L2186" s="3">
        <f>IF(OR($L$1="",对接源_02物料!$C986="",对接源_02物料!$C986&lt;&gt;$L$1,对接源_02物料!$B986=""),0,IF(OR(N(对接源_02物料!$B986)&lt;$L$2,N(对接源_02物料!$B986)&gt;$L$3),0,1))</f>
        <v>0</v>
      </c>
      <c r="M2186" s="3">
        <f>IF(OR($M$1="",对接源_02物料!$C986="",对接源_02物料!$C986&lt;&gt;$M$1,对接源_02物料!$B986=""),0,IF(OR(N(对接源_02物料!$B986)&lt;$M$2,N(对接源_02物料!$B986)&gt;$M$3),0,1))</f>
        <v>0</v>
      </c>
      <c r="N2186" s="3">
        <f>IF(OR($N$1="",对接源_02物料!$C986="",对接源_02物料!$C986&lt;&gt;$N$1,对接源_02物料!$B986=""),0,IF(OR(N(对接源_02物料!$B986)&lt;$N$2,N(对接源_02物料!$B986)&gt;$N$3),0,1))</f>
        <v>0</v>
      </c>
      <c r="P2186" s="3">
        <f>IF(AND($K2186=1,AND(对接源_02物料!$X986="公司筐",N(对接源_02物料!$T986)&lt;&gt;0)),1,0)</f>
        <v>0</v>
      </c>
      <c r="Q2186" s="3">
        <f t="shared" si="590"/>
        <v>8</v>
      </c>
      <c r="R2186" s="3">
        <f>IF(AND($K2186=1,AND(对接源_02物料!$X986="公司筐",N(对接源_02物料!$U986)&lt;&gt;0)),1,0)</f>
        <v>0</v>
      </c>
      <c r="S2186" s="3">
        <f t="shared" si="591"/>
        <v>0</v>
      </c>
      <c r="T2186" s="3">
        <f>IF(AND($K2186=1,AND(对接源_02物料!$X986="公司筐",N(对接源_02物料!$V986)&lt;&gt;0)),1,0)</f>
        <v>0</v>
      </c>
      <c r="U2186" s="3">
        <f t="shared" si="592"/>
        <v>19</v>
      </c>
      <c r="V2186" s="3">
        <f>IF(AND($L2186=1,AND(对接源_02物料!$X986="自备筐",N(对接源_02物料!$V986)&lt;&gt;0)),1,0)</f>
        <v>0</v>
      </c>
      <c r="W2186" s="3">
        <f t="shared" si="593"/>
        <v>8</v>
      </c>
      <c r="X2186" s="3">
        <f>IF(AND($L2186=1,AND(对接源_02物料!$X986="自备筐",N(对接源_02物料!$T986)&lt;&gt;0)),1,0)</f>
        <v>0</v>
      </c>
      <c r="Y2186" s="3">
        <f t="shared" si="594"/>
        <v>0</v>
      </c>
      <c r="Z2186" s="3">
        <f>IF(AND($M2186=1,对接源_02物料!$D986="原料入库"),1,0)</f>
        <v>0</v>
      </c>
      <c r="AA2186" s="3">
        <f t="shared" si="595"/>
        <v>24</v>
      </c>
      <c r="AB2186" s="3">
        <f>IF(AND($M2186=1,LEFT(对接源_02物料!$D986,4)="原料出库"),1,0)</f>
        <v>0</v>
      </c>
      <c r="AC2186" s="3">
        <f t="shared" si="596"/>
        <v>0</v>
      </c>
      <c r="AD2186" s="3">
        <f>IF(AND($M2186=1,LEFT(对接源_02物料!$D986,4)="成品出库"),1,0)</f>
        <v>0</v>
      </c>
      <c r="AE2186" s="3">
        <f t="shared" si="597"/>
        <v>0</v>
      </c>
      <c r="AF2186" s="3">
        <f>IF(AND($N2186=1,AND(LEFT(对接源_02物料!$D986,4)="包装物料",N(对接源_02物料!$K986)&lt;&gt;0)),1,0)</f>
        <v>0</v>
      </c>
      <c r="AG2186" s="3">
        <f t="shared" si="598"/>
        <v>5</v>
      </c>
      <c r="AH2186" s="3">
        <f>IF(AND($N2186=1,AND(对接源_02物料!$D986="周转筐－销售出库",N(对接源_02物料!$K986)&lt;&gt;0)),1,0)</f>
        <v>0</v>
      </c>
      <c r="AI2186" s="3">
        <f t="shared" si="599"/>
        <v>0</v>
      </c>
      <c r="AL2186" s="3">
        <v>0</v>
      </c>
      <c r="AM2186" s="3">
        <f t="shared" si="600"/>
        <v>1</v>
      </c>
      <c r="AN2186" s="3" t="str">
        <f t="shared" si="587"/>
        <v/>
      </c>
      <c r="AO2186" s="3">
        <v>0</v>
      </c>
      <c r="AP2186" s="3">
        <f t="shared" si="601"/>
        <v>8</v>
      </c>
      <c r="AR2186">
        <f t="shared" si="602"/>
        <v>0</v>
      </c>
      <c r="AS2186">
        <f t="shared" si="603"/>
        <v>5</v>
      </c>
    </row>
    <row r="2187" customHeight="1" spans="1:45">
      <c r="A2187" s="3" t="str">
        <f>IF(对接源_02物料!$C987="","",对接源_02物料!$C987)</f>
        <v/>
      </c>
      <c r="B2187" s="3">
        <f t="shared" si="588"/>
        <v>0</v>
      </c>
      <c r="C2187" s="3">
        <f t="shared" si="589"/>
        <v>21</v>
      </c>
      <c r="K2187" s="3">
        <f>IF(OR($K$1="",对接源_02物料!$C987="",对接源_02物料!$C987&lt;&gt;$K$1,对接源_02物料!$B987=""),0,IF(OR(N(对接源_02物料!$B987)&lt;$K$2,N(对接源_02物料!$B987)&gt;$K$3),0,1))</f>
        <v>0</v>
      </c>
      <c r="L2187" s="3">
        <f>IF(OR($L$1="",对接源_02物料!$C987="",对接源_02物料!$C987&lt;&gt;$L$1,对接源_02物料!$B987=""),0,IF(OR(N(对接源_02物料!$B987)&lt;$L$2,N(对接源_02物料!$B987)&gt;$L$3),0,1))</f>
        <v>0</v>
      </c>
      <c r="M2187" s="3">
        <f>IF(OR($M$1="",对接源_02物料!$C987="",对接源_02物料!$C987&lt;&gt;$M$1,对接源_02物料!$B987=""),0,IF(OR(N(对接源_02物料!$B987)&lt;$M$2,N(对接源_02物料!$B987)&gt;$M$3),0,1))</f>
        <v>0</v>
      </c>
      <c r="N2187" s="3">
        <f>IF(OR($N$1="",对接源_02物料!$C987="",对接源_02物料!$C987&lt;&gt;$N$1,对接源_02物料!$B987=""),0,IF(OR(N(对接源_02物料!$B987)&lt;$N$2,N(对接源_02物料!$B987)&gt;$N$3),0,1))</f>
        <v>0</v>
      </c>
      <c r="P2187" s="3">
        <f>IF(AND($K2187=1,AND(对接源_02物料!$X987="公司筐",N(对接源_02物料!$T987)&lt;&gt;0)),1,0)</f>
        <v>0</v>
      </c>
      <c r="Q2187" s="3">
        <f t="shared" si="590"/>
        <v>8</v>
      </c>
      <c r="R2187" s="3">
        <f>IF(AND($K2187=1,AND(对接源_02物料!$X987="公司筐",N(对接源_02物料!$U987)&lt;&gt;0)),1,0)</f>
        <v>0</v>
      </c>
      <c r="S2187" s="3">
        <f t="shared" si="591"/>
        <v>0</v>
      </c>
      <c r="T2187" s="3">
        <f>IF(AND($K2187=1,AND(对接源_02物料!$X987="公司筐",N(对接源_02物料!$V987)&lt;&gt;0)),1,0)</f>
        <v>0</v>
      </c>
      <c r="U2187" s="3">
        <f t="shared" si="592"/>
        <v>19</v>
      </c>
      <c r="V2187" s="3">
        <f>IF(AND($L2187=1,AND(对接源_02物料!$X987="自备筐",N(对接源_02物料!$V987)&lt;&gt;0)),1,0)</f>
        <v>0</v>
      </c>
      <c r="W2187" s="3">
        <f t="shared" si="593"/>
        <v>8</v>
      </c>
      <c r="X2187" s="3">
        <f>IF(AND($L2187=1,AND(对接源_02物料!$X987="自备筐",N(对接源_02物料!$T987)&lt;&gt;0)),1,0)</f>
        <v>0</v>
      </c>
      <c r="Y2187" s="3">
        <f t="shared" si="594"/>
        <v>0</v>
      </c>
      <c r="Z2187" s="3">
        <f>IF(AND($M2187=1,对接源_02物料!$D987="原料入库"),1,0)</f>
        <v>0</v>
      </c>
      <c r="AA2187" s="3">
        <f t="shared" si="595"/>
        <v>24</v>
      </c>
      <c r="AB2187" s="3">
        <f>IF(AND($M2187=1,LEFT(对接源_02物料!$D987,4)="原料出库"),1,0)</f>
        <v>0</v>
      </c>
      <c r="AC2187" s="3">
        <f t="shared" si="596"/>
        <v>0</v>
      </c>
      <c r="AD2187" s="3">
        <f>IF(AND($M2187=1,LEFT(对接源_02物料!$D987,4)="成品出库"),1,0)</f>
        <v>0</v>
      </c>
      <c r="AE2187" s="3">
        <f t="shared" si="597"/>
        <v>0</v>
      </c>
      <c r="AF2187" s="3">
        <f>IF(AND($N2187=1,AND(LEFT(对接源_02物料!$D987,4)="包装物料",N(对接源_02物料!$K987)&lt;&gt;0)),1,0)</f>
        <v>0</v>
      </c>
      <c r="AG2187" s="3">
        <f t="shared" si="598"/>
        <v>5</v>
      </c>
      <c r="AH2187" s="3">
        <f>IF(AND($N2187=1,AND(对接源_02物料!$D987="周转筐－销售出库",N(对接源_02物料!$K987)&lt;&gt;0)),1,0)</f>
        <v>0</v>
      </c>
      <c r="AI2187" s="3">
        <f t="shared" si="599"/>
        <v>0</v>
      </c>
      <c r="AL2187" s="3">
        <v>0</v>
      </c>
      <c r="AM2187" s="3">
        <f t="shared" si="600"/>
        <v>1</v>
      </c>
      <c r="AN2187" s="3" t="str">
        <f t="shared" si="587"/>
        <v/>
      </c>
      <c r="AO2187" s="3">
        <v>0</v>
      </c>
      <c r="AP2187" s="3">
        <f t="shared" si="601"/>
        <v>8</v>
      </c>
      <c r="AR2187">
        <f t="shared" si="602"/>
        <v>0</v>
      </c>
      <c r="AS2187">
        <f t="shared" si="603"/>
        <v>5</v>
      </c>
    </row>
    <row r="2188" customHeight="1" spans="1:45">
      <c r="A2188" s="3" t="str">
        <f>IF(对接源_02物料!$C988="","",对接源_02物料!$C988)</f>
        <v/>
      </c>
      <c r="B2188" s="3">
        <f t="shared" si="588"/>
        <v>0</v>
      </c>
      <c r="C2188" s="3">
        <f t="shared" si="589"/>
        <v>21</v>
      </c>
      <c r="K2188" s="3">
        <f>IF(OR($K$1="",对接源_02物料!$C988="",对接源_02物料!$C988&lt;&gt;$K$1,对接源_02物料!$B988=""),0,IF(OR(N(对接源_02物料!$B988)&lt;$K$2,N(对接源_02物料!$B988)&gt;$K$3),0,1))</f>
        <v>0</v>
      </c>
      <c r="L2188" s="3">
        <f>IF(OR($L$1="",对接源_02物料!$C988="",对接源_02物料!$C988&lt;&gt;$L$1,对接源_02物料!$B988=""),0,IF(OR(N(对接源_02物料!$B988)&lt;$L$2,N(对接源_02物料!$B988)&gt;$L$3),0,1))</f>
        <v>0</v>
      </c>
      <c r="M2188" s="3">
        <f>IF(OR($M$1="",对接源_02物料!$C988="",对接源_02物料!$C988&lt;&gt;$M$1,对接源_02物料!$B988=""),0,IF(OR(N(对接源_02物料!$B988)&lt;$M$2,N(对接源_02物料!$B988)&gt;$M$3),0,1))</f>
        <v>0</v>
      </c>
      <c r="N2188" s="3">
        <f>IF(OR($N$1="",对接源_02物料!$C988="",对接源_02物料!$C988&lt;&gt;$N$1,对接源_02物料!$B988=""),0,IF(OR(N(对接源_02物料!$B988)&lt;$N$2,N(对接源_02物料!$B988)&gt;$N$3),0,1))</f>
        <v>0</v>
      </c>
      <c r="P2188" s="3">
        <f>IF(AND($K2188=1,AND(对接源_02物料!$X988="公司筐",N(对接源_02物料!$T988)&lt;&gt;0)),1,0)</f>
        <v>0</v>
      </c>
      <c r="Q2188" s="3">
        <f t="shared" si="590"/>
        <v>8</v>
      </c>
      <c r="R2188" s="3">
        <f>IF(AND($K2188=1,AND(对接源_02物料!$X988="公司筐",N(对接源_02物料!$U988)&lt;&gt;0)),1,0)</f>
        <v>0</v>
      </c>
      <c r="S2188" s="3">
        <f t="shared" si="591"/>
        <v>0</v>
      </c>
      <c r="T2188" s="3">
        <f>IF(AND($K2188=1,AND(对接源_02物料!$X988="公司筐",N(对接源_02物料!$V988)&lt;&gt;0)),1,0)</f>
        <v>0</v>
      </c>
      <c r="U2188" s="3">
        <f t="shared" si="592"/>
        <v>19</v>
      </c>
      <c r="V2188" s="3">
        <f>IF(AND($L2188=1,AND(对接源_02物料!$X988="自备筐",N(对接源_02物料!$V988)&lt;&gt;0)),1,0)</f>
        <v>0</v>
      </c>
      <c r="W2188" s="3">
        <f t="shared" si="593"/>
        <v>8</v>
      </c>
      <c r="X2188" s="3">
        <f>IF(AND($L2188=1,AND(对接源_02物料!$X988="自备筐",N(对接源_02物料!$T988)&lt;&gt;0)),1,0)</f>
        <v>0</v>
      </c>
      <c r="Y2188" s="3">
        <f t="shared" si="594"/>
        <v>0</v>
      </c>
      <c r="Z2188" s="3">
        <f>IF(AND($M2188=1,对接源_02物料!$D988="原料入库"),1,0)</f>
        <v>0</v>
      </c>
      <c r="AA2188" s="3">
        <f t="shared" si="595"/>
        <v>24</v>
      </c>
      <c r="AB2188" s="3">
        <f>IF(AND($M2188=1,LEFT(对接源_02物料!$D988,4)="原料出库"),1,0)</f>
        <v>0</v>
      </c>
      <c r="AC2188" s="3">
        <f t="shared" si="596"/>
        <v>0</v>
      </c>
      <c r="AD2188" s="3">
        <f>IF(AND($M2188=1,LEFT(对接源_02物料!$D988,4)="成品出库"),1,0)</f>
        <v>0</v>
      </c>
      <c r="AE2188" s="3">
        <f t="shared" si="597"/>
        <v>0</v>
      </c>
      <c r="AF2188" s="3">
        <f>IF(AND($N2188=1,AND(LEFT(对接源_02物料!$D988,4)="包装物料",N(对接源_02物料!$K988)&lt;&gt;0)),1,0)</f>
        <v>0</v>
      </c>
      <c r="AG2188" s="3">
        <f t="shared" si="598"/>
        <v>5</v>
      </c>
      <c r="AH2188" s="3">
        <f>IF(AND($N2188=1,AND(对接源_02物料!$D988="周转筐－销售出库",N(对接源_02物料!$K988)&lt;&gt;0)),1,0)</f>
        <v>0</v>
      </c>
      <c r="AI2188" s="3">
        <f t="shared" si="599"/>
        <v>0</v>
      </c>
      <c r="AL2188" s="3">
        <v>0</v>
      </c>
      <c r="AM2188" s="3">
        <f t="shared" si="600"/>
        <v>1</v>
      </c>
      <c r="AN2188" s="3" t="str">
        <f t="shared" si="587"/>
        <v/>
      </c>
      <c r="AO2188" s="3">
        <v>0</v>
      </c>
      <c r="AP2188" s="3">
        <f t="shared" si="601"/>
        <v>8</v>
      </c>
      <c r="AR2188">
        <f t="shared" si="602"/>
        <v>0</v>
      </c>
      <c r="AS2188">
        <f t="shared" si="603"/>
        <v>5</v>
      </c>
    </row>
    <row r="2189" customHeight="1" spans="1:45">
      <c r="A2189" s="3" t="str">
        <f>IF(对接源_02物料!$C989="","",对接源_02物料!$C989)</f>
        <v/>
      </c>
      <c r="B2189" s="3">
        <f t="shared" si="588"/>
        <v>0</v>
      </c>
      <c r="C2189" s="3">
        <f t="shared" si="589"/>
        <v>21</v>
      </c>
      <c r="K2189" s="3">
        <f>IF(OR($K$1="",对接源_02物料!$C989="",对接源_02物料!$C989&lt;&gt;$K$1,对接源_02物料!$B989=""),0,IF(OR(N(对接源_02物料!$B989)&lt;$K$2,N(对接源_02物料!$B989)&gt;$K$3),0,1))</f>
        <v>0</v>
      </c>
      <c r="L2189" s="3">
        <f>IF(OR($L$1="",对接源_02物料!$C989="",对接源_02物料!$C989&lt;&gt;$L$1,对接源_02物料!$B989=""),0,IF(OR(N(对接源_02物料!$B989)&lt;$L$2,N(对接源_02物料!$B989)&gt;$L$3),0,1))</f>
        <v>0</v>
      </c>
      <c r="M2189" s="3">
        <f>IF(OR($M$1="",对接源_02物料!$C989="",对接源_02物料!$C989&lt;&gt;$M$1,对接源_02物料!$B989=""),0,IF(OR(N(对接源_02物料!$B989)&lt;$M$2,N(对接源_02物料!$B989)&gt;$M$3),0,1))</f>
        <v>0</v>
      </c>
      <c r="N2189" s="3">
        <f>IF(OR($N$1="",对接源_02物料!$C989="",对接源_02物料!$C989&lt;&gt;$N$1,对接源_02物料!$B989=""),0,IF(OR(N(对接源_02物料!$B989)&lt;$N$2,N(对接源_02物料!$B989)&gt;$N$3),0,1))</f>
        <v>0</v>
      </c>
      <c r="P2189" s="3">
        <f>IF(AND($K2189=1,AND(对接源_02物料!$X989="公司筐",N(对接源_02物料!$T989)&lt;&gt;0)),1,0)</f>
        <v>0</v>
      </c>
      <c r="Q2189" s="3">
        <f t="shared" si="590"/>
        <v>8</v>
      </c>
      <c r="R2189" s="3">
        <f>IF(AND($K2189=1,AND(对接源_02物料!$X989="公司筐",N(对接源_02物料!$U989)&lt;&gt;0)),1,0)</f>
        <v>0</v>
      </c>
      <c r="S2189" s="3">
        <f t="shared" si="591"/>
        <v>0</v>
      </c>
      <c r="T2189" s="3">
        <f>IF(AND($K2189=1,AND(对接源_02物料!$X989="公司筐",N(对接源_02物料!$V989)&lt;&gt;0)),1,0)</f>
        <v>0</v>
      </c>
      <c r="U2189" s="3">
        <f t="shared" si="592"/>
        <v>19</v>
      </c>
      <c r="V2189" s="3">
        <f>IF(AND($L2189=1,AND(对接源_02物料!$X989="自备筐",N(对接源_02物料!$V989)&lt;&gt;0)),1,0)</f>
        <v>0</v>
      </c>
      <c r="W2189" s="3">
        <f t="shared" si="593"/>
        <v>8</v>
      </c>
      <c r="X2189" s="3">
        <f>IF(AND($L2189=1,AND(对接源_02物料!$X989="自备筐",N(对接源_02物料!$T989)&lt;&gt;0)),1,0)</f>
        <v>0</v>
      </c>
      <c r="Y2189" s="3">
        <f t="shared" si="594"/>
        <v>0</v>
      </c>
      <c r="Z2189" s="3">
        <f>IF(AND($M2189=1,对接源_02物料!$D989="原料入库"),1,0)</f>
        <v>0</v>
      </c>
      <c r="AA2189" s="3">
        <f t="shared" si="595"/>
        <v>24</v>
      </c>
      <c r="AB2189" s="3">
        <f>IF(AND($M2189=1,LEFT(对接源_02物料!$D989,4)="原料出库"),1,0)</f>
        <v>0</v>
      </c>
      <c r="AC2189" s="3">
        <f t="shared" si="596"/>
        <v>0</v>
      </c>
      <c r="AD2189" s="3">
        <f>IF(AND($M2189=1,LEFT(对接源_02物料!$D989,4)="成品出库"),1,0)</f>
        <v>0</v>
      </c>
      <c r="AE2189" s="3">
        <f t="shared" si="597"/>
        <v>0</v>
      </c>
      <c r="AF2189" s="3">
        <f>IF(AND($N2189=1,AND(LEFT(对接源_02物料!$D989,4)="包装物料",N(对接源_02物料!$K989)&lt;&gt;0)),1,0)</f>
        <v>0</v>
      </c>
      <c r="AG2189" s="3">
        <f t="shared" si="598"/>
        <v>5</v>
      </c>
      <c r="AH2189" s="3">
        <f>IF(AND($N2189=1,AND(对接源_02物料!$D989="周转筐－销售出库",N(对接源_02物料!$K989)&lt;&gt;0)),1,0)</f>
        <v>0</v>
      </c>
      <c r="AI2189" s="3">
        <f t="shared" si="599"/>
        <v>0</v>
      </c>
      <c r="AL2189" s="3">
        <v>0</v>
      </c>
      <c r="AM2189" s="3">
        <f t="shared" si="600"/>
        <v>1</v>
      </c>
      <c r="AN2189" s="3" t="str">
        <f t="shared" si="587"/>
        <v/>
      </c>
      <c r="AO2189" s="3">
        <v>0</v>
      </c>
      <c r="AP2189" s="3">
        <f t="shared" si="601"/>
        <v>8</v>
      </c>
      <c r="AR2189">
        <f t="shared" si="602"/>
        <v>0</v>
      </c>
      <c r="AS2189">
        <f t="shared" si="603"/>
        <v>5</v>
      </c>
    </row>
    <row r="2190" customHeight="1" spans="1:45">
      <c r="A2190" s="3" t="str">
        <f>IF(对接源_02物料!$C990="","",对接源_02物料!$C990)</f>
        <v/>
      </c>
      <c r="B2190" s="3">
        <f t="shared" si="588"/>
        <v>0</v>
      </c>
      <c r="C2190" s="3">
        <f t="shared" si="589"/>
        <v>21</v>
      </c>
      <c r="K2190" s="3">
        <f>IF(OR($K$1="",对接源_02物料!$C990="",对接源_02物料!$C990&lt;&gt;$K$1,对接源_02物料!$B990=""),0,IF(OR(N(对接源_02物料!$B990)&lt;$K$2,N(对接源_02物料!$B990)&gt;$K$3),0,1))</f>
        <v>0</v>
      </c>
      <c r="L2190" s="3">
        <f>IF(OR($L$1="",对接源_02物料!$C990="",对接源_02物料!$C990&lt;&gt;$L$1,对接源_02物料!$B990=""),0,IF(OR(N(对接源_02物料!$B990)&lt;$L$2,N(对接源_02物料!$B990)&gt;$L$3),0,1))</f>
        <v>0</v>
      </c>
      <c r="M2190" s="3">
        <f>IF(OR($M$1="",对接源_02物料!$C990="",对接源_02物料!$C990&lt;&gt;$M$1,对接源_02物料!$B990=""),0,IF(OR(N(对接源_02物料!$B990)&lt;$M$2,N(对接源_02物料!$B990)&gt;$M$3),0,1))</f>
        <v>0</v>
      </c>
      <c r="N2190" s="3">
        <f>IF(OR($N$1="",对接源_02物料!$C990="",对接源_02物料!$C990&lt;&gt;$N$1,对接源_02物料!$B990=""),0,IF(OR(N(对接源_02物料!$B990)&lt;$N$2,N(对接源_02物料!$B990)&gt;$N$3),0,1))</f>
        <v>0</v>
      </c>
      <c r="P2190" s="3">
        <f>IF(AND($K2190=1,AND(对接源_02物料!$X990="公司筐",N(对接源_02物料!$T990)&lt;&gt;0)),1,0)</f>
        <v>0</v>
      </c>
      <c r="Q2190" s="3">
        <f t="shared" si="590"/>
        <v>8</v>
      </c>
      <c r="R2190" s="3">
        <f>IF(AND($K2190=1,AND(对接源_02物料!$X990="公司筐",N(对接源_02物料!$U990)&lt;&gt;0)),1,0)</f>
        <v>0</v>
      </c>
      <c r="S2190" s="3">
        <f t="shared" si="591"/>
        <v>0</v>
      </c>
      <c r="T2190" s="3">
        <f>IF(AND($K2190=1,AND(对接源_02物料!$X990="公司筐",N(对接源_02物料!$V990)&lt;&gt;0)),1,0)</f>
        <v>0</v>
      </c>
      <c r="U2190" s="3">
        <f t="shared" si="592"/>
        <v>19</v>
      </c>
      <c r="V2190" s="3">
        <f>IF(AND($L2190=1,AND(对接源_02物料!$X990="自备筐",N(对接源_02物料!$V990)&lt;&gt;0)),1,0)</f>
        <v>0</v>
      </c>
      <c r="W2190" s="3">
        <f t="shared" si="593"/>
        <v>8</v>
      </c>
      <c r="X2190" s="3">
        <f>IF(AND($L2190=1,AND(对接源_02物料!$X990="自备筐",N(对接源_02物料!$T990)&lt;&gt;0)),1,0)</f>
        <v>0</v>
      </c>
      <c r="Y2190" s="3">
        <f t="shared" si="594"/>
        <v>0</v>
      </c>
      <c r="Z2190" s="3">
        <f>IF(AND($M2190=1,对接源_02物料!$D990="原料入库"),1,0)</f>
        <v>0</v>
      </c>
      <c r="AA2190" s="3">
        <f t="shared" si="595"/>
        <v>24</v>
      </c>
      <c r="AB2190" s="3">
        <f>IF(AND($M2190=1,LEFT(对接源_02物料!$D990,4)="原料出库"),1,0)</f>
        <v>0</v>
      </c>
      <c r="AC2190" s="3">
        <f t="shared" si="596"/>
        <v>0</v>
      </c>
      <c r="AD2190" s="3">
        <f>IF(AND($M2190=1,LEFT(对接源_02物料!$D990,4)="成品出库"),1,0)</f>
        <v>0</v>
      </c>
      <c r="AE2190" s="3">
        <f t="shared" si="597"/>
        <v>0</v>
      </c>
      <c r="AF2190" s="3">
        <f>IF(AND($N2190=1,AND(LEFT(对接源_02物料!$D990,4)="包装物料",N(对接源_02物料!$K990)&lt;&gt;0)),1,0)</f>
        <v>0</v>
      </c>
      <c r="AG2190" s="3">
        <f t="shared" si="598"/>
        <v>5</v>
      </c>
      <c r="AH2190" s="3">
        <f>IF(AND($N2190=1,AND(对接源_02物料!$D990="周转筐－销售出库",N(对接源_02物料!$K990)&lt;&gt;0)),1,0)</f>
        <v>0</v>
      </c>
      <c r="AI2190" s="3">
        <f t="shared" si="599"/>
        <v>0</v>
      </c>
      <c r="AL2190" s="3">
        <v>0</v>
      </c>
      <c r="AM2190" s="3">
        <f t="shared" si="600"/>
        <v>1</v>
      </c>
      <c r="AN2190" s="3" t="str">
        <f t="shared" si="587"/>
        <v/>
      </c>
      <c r="AO2190" s="3">
        <v>0</v>
      </c>
      <c r="AP2190" s="3">
        <f t="shared" si="601"/>
        <v>8</v>
      </c>
      <c r="AR2190">
        <f t="shared" si="602"/>
        <v>0</v>
      </c>
      <c r="AS2190">
        <f t="shared" si="603"/>
        <v>5</v>
      </c>
    </row>
    <row r="2191" customHeight="1" spans="1:45">
      <c r="A2191" s="3" t="str">
        <f>IF(对接源_02物料!$C991="","",对接源_02物料!$C991)</f>
        <v/>
      </c>
      <c r="B2191" s="3">
        <f t="shared" si="588"/>
        <v>0</v>
      </c>
      <c r="C2191" s="3">
        <f t="shared" si="589"/>
        <v>21</v>
      </c>
      <c r="K2191" s="3">
        <f>IF(OR($K$1="",对接源_02物料!$C991="",对接源_02物料!$C991&lt;&gt;$K$1,对接源_02物料!$B991=""),0,IF(OR(N(对接源_02物料!$B991)&lt;$K$2,N(对接源_02物料!$B991)&gt;$K$3),0,1))</f>
        <v>0</v>
      </c>
      <c r="L2191" s="3">
        <f>IF(OR($L$1="",对接源_02物料!$C991="",对接源_02物料!$C991&lt;&gt;$L$1,对接源_02物料!$B991=""),0,IF(OR(N(对接源_02物料!$B991)&lt;$L$2,N(对接源_02物料!$B991)&gt;$L$3),0,1))</f>
        <v>0</v>
      </c>
      <c r="M2191" s="3">
        <f>IF(OR($M$1="",对接源_02物料!$C991="",对接源_02物料!$C991&lt;&gt;$M$1,对接源_02物料!$B991=""),0,IF(OR(N(对接源_02物料!$B991)&lt;$M$2,N(对接源_02物料!$B991)&gt;$M$3),0,1))</f>
        <v>0</v>
      </c>
      <c r="N2191" s="3">
        <f>IF(OR($N$1="",对接源_02物料!$C991="",对接源_02物料!$C991&lt;&gt;$N$1,对接源_02物料!$B991=""),0,IF(OR(N(对接源_02物料!$B991)&lt;$N$2,N(对接源_02物料!$B991)&gt;$N$3),0,1))</f>
        <v>0</v>
      </c>
      <c r="P2191" s="3">
        <f>IF(AND($K2191=1,AND(对接源_02物料!$X991="公司筐",N(对接源_02物料!$T991)&lt;&gt;0)),1,0)</f>
        <v>0</v>
      </c>
      <c r="Q2191" s="3">
        <f t="shared" si="590"/>
        <v>8</v>
      </c>
      <c r="R2191" s="3">
        <f>IF(AND($K2191=1,AND(对接源_02物料!$X991="公司筐",N(对接源_02物料!$U991)&lt;&gt;0)),1,0)</f>
        <v>0</v>
      </c>
      <c r="S2191" s="3">
        <f t="shared" si="591"/>
        <v>0</v>
      </c>
      <c r="T2191" s="3">
        <f>IF(AND($K2191=1,AND(对接源_02物料!$X991="公司筐",N(对接源_02物料!$V991)&lt;&gt;0)),1,0)</f>
        <v>0</v>
      </c>
      <c r="U2191" s="3">
        <f t="shared" si="592"/>
        <v>19</v>
      </c>
      <c r="V2191" s="3">
        <f>IF(AND($L2191=1,AND(对接源_02物料!$X991="自备筐",N(对接源_02物料!$V991)&lt;&gt;0)),1,0)</f>
        <v>0</v>
      </c>
      <c r="W2191" s="3">
        <f t="shared" si="593"/>
        <v>8</v>
      </c>
      <c r="X2191" s="3">
        <f>IF(AND($L2191=1,AND(对接源_02物料!$X991="自备筐",N(对接源_02物料!$T991)&lt;&gt;0)),1,0)</f>
        <v>0</v>
      </c>
      <c r="Y2191" s="3">
        <f t="shared" si="594"/>
        <v>0</v>
      </c>
      <c r="Z2191" s="3">
        <f>IF(AND($M2191=1,对接源_02物料!$D991="原料入库"),1,0)</f>
        <v>0</v>
      </c>
      <c r="AA2191" s="3">
        <f t="shared" si="595"/>
        <v>24</v>
      </c>
      <c r="AB2191" s="3">
        <f>IF(AND($M2191=1,LEFT(对接源_02物料!$D991,4)="原料出库"),1,0)</f>
        <v>0</v>
      </c>
      <c r="AC2191" s="3">
        <f t="shared" si="596"/>
        <v>0</v>
      </c>
      <c r="AD2191" s="3">
        <f>IF(AND($M2191=1,LEFT(对接源_02物料!$D991,4)="成品出库"),1,0)</f>
        <v>0</v>
      </c>
      <c r="AE2191" s="3">
        <f t="shared" si="597"/>
        <v>0</v>
      </c>
      <c r="AF2191" s="3">
        <f>IF(AND($N2191=1,AND(LEFT(对接源_02物料!$D991,4)="包装物料",N(对接源_02物料!$K991)&lt;&gt;0)),1,0)</f>
        <v>0</v>
      </c>
      <c r="AG2191" s="3">
        <f t="shared" si="598"/>
        <v>5</v>
      </c>
      <c r="AH2191" s="3">
        <f>IF(AND($N2191=1,AND(对接源_02物料!$D991="周转筐－销售出库",N(对接源_02物料!$K991)&lt;&gt;0)),1,0)</f>
        <v>0</v>
      </c>
      <c r="AI2191" s="3">
        <f t="shared" si="599"/>
        <v>0</v>
      </c>
      <c r="AL2191" s="3">
        <v>0</v>
      </c>
      <c r="AM2191" s="3">
        <f t="shared" si="600"/>
        <v>1</v>
      </c>
      <c r="AN2191" s="3" t="str">
        <f t="shared" si="587"/>
        <v/>
      </c>
      <c r="AO2191" s="3">
        <v>0</v>
      </c>
      <c r="AP2191" s="3">
        <f t="shared" si="601"/>
        <v>8</v>
      </c>
      <c r="AR2191">
        <f t="shared" si="602"/>
        <v>0</v>
      </c>
      <c r="AS2191">
        <f t="shared" si="603"/>
        <v>5</v>
      </c>
    </row>
    <row r="2192" customHeight="1" spans="1:45">
      <c r="A2192" s="3" t="str">
        <f>IF(对接源_02物料!$C992="","",对接源_02物料!$C992)</f>
        <v/>
      </c>
      <c r="B2192" s="3">
        <f t="shared" si="588"/>
        <v>0</v>
      </c>
      <c r="C2192" s="3">
        <f t="shared" si="589"/>
        <v>21</v>
      </c>
      <c r="K2192" s="3">
        <f>IF(OR($K$1="",对接源_02物料!$C992="",对接源_02物料!$C992&lt;&gt;$K$1,对接源_02物料!$B992=""),0,IF(OR(N(对接源_02物料!$B992)&lt;$K$2,N(对接源_02物料!$B992)&gt;$K$3),0,1))</f>
        <v>0</v>
      </c>
      <c r="L2192" s="3">
        <f>IF(OR($L$1="",对接源_02物料!$C992="",对接源_02物料!$C992&lt;&gt;$L$1,对接源_02物料!$B992=""),0,IF(OR(N(对接源_02物料!$B992)&lt;$L$2,N(对接源_02物料!$B992)&gt;$L$3),0,1))</f>
        <v>0</v>
      </c>
      <c r="M2192" s="3">
        <f>IF(OR($M$1="",对接源_02物料!$C992="",对接源_02物料!$C992&lt;&gt;$M$1,对接源_02物料!$B992=""),0,IF(OR(N(对接源_02物料!$B992)&lt;$M$2,N(对接源_02物料!$B992)&gt;$M$3),0,1))</f>
        <v>0</v>
      </c>
      <c r="N2192" s="3">
        <f>IF(OR($N$1="",对接源_02物料!$C992="",对接源_02物料!$C992&lt;&gt;$N$1,对接源_02物料!$B992=""),0,IF(OR(N(对接源_02物料!$B992)&lt;$N$2,N(对接源_02物料!$B992)&gt;$N$3),0,1))</f>
        <v>0</v>
      </c>
      <c r="P2192" s="3">
        <f>IF(AND($K2192=1,AND(对接源_02物料!$X992="公司筐",N(对接源_02物料!$T992)&lt;&gt;0)),1,0)</f>
        <v>0</v>
      </c>
      <c r="Q2192" s="3">
        <f t="shared" si="590"/>
        <v>8</v>
      </c>
      <c r="R2192" s="3">
        <f>IF(AND($K2192=1,AND(对接源_02物料!$X992="公司筐",N(对接源_02物料!$U992)&lt;&gt;0)),1,0)</f>
        <v>0</v>
      </c>
      <c r="S2192" s="3">
        <f t="shared" si="591"/>
        <v>0</v>
      </c>
      <c r="T2192" s="3">
        <f>IF(AND($K2192=1,AND(对接源_02物料!$X992="公司筐",N(对接源_02物料!$V992)&lt;&gt;0)),1,0)</f>
        <v>0</v>
      </c>
      <c r="U2192" s="3">
        <f t="shared" si="592"/>
        <v>19</v>
      </c>
      <c r="V2192" s="3">
        <f>IF(AND($L2192=1,AND(对接源_02物料!$X992="自备筐",N(对接源_02物料!$V992)&lt;&gt;0)),1,0)</f>
        <v>0</v>
      </c>
      <c r="W2192" s="3">
        <f t="shared" si="593"/>
        <v>8</v>
      </c>
      <c r="X2192" s="3">
        <f>IF(AND($L2192=1,AND(对接源_02物料!$X992="自备筐",N(对接源_02物料!$T992)&lt;&gt;0)),1,0)</f>
        <v>0</v>
      </c>
      <c r="Y2192" s="3">
        <f t="shared" si="594"/>
        <v>0</v>
      </c>
      <c r="Z2192" s="3">
        <f>IF(AND($M2192=1,对接源_02物料!$D992="原料入库"),1,0)</f>
        <v>0</v>
      </c>
      <c r="AA2192" s="3">
        <f t="shared" si="595"/>
        <v>24</v>
      </c>
      <c r="AB2192" s="3">
        <f>IF(AND($M2192=1,LEFT(对接源_02物料!$D992,4)="原料出库"),1,0)</f>
        <v>0</v>
      </c>
      <c r="AC2192" s="3">
        <f t="shared" si="596"/>
        <v>0</v>
      </c>
      <c r="AD2192" s="3">
        <f>IF(AND($M2192=1,LEFT(对接源_02物料!$D992,4)="成品出库"),1,0)</f>
        <v>0</v>
      </c>
      <c r="AE2192" s="3">
        <f t="shared" si="597"/>
        <v>0</v>
      </c>
      <c r="AF2192" s="3">
        <f>IF(AND($N2192=1,AND(LEFT(对接源_02物料!$D992,4)="包装物料",N(对接源_02物料!$K992)&lt;&gt;0)),1,0)</f>
        <v>0</v>
      </c>
      <c r="AG2192" s="3">
        <f t="shared" si="598"/>
        <v>5</v>
      </c>
      <c r="AH2192" s="3">
        <f>IF(AND($N2192=1,AND(对接源_02物料!$D992="周转筐－销售出库",N(对接源_02物料!$K992)&lt;&gt;0)),1,0)</f>
        <v>0</v>
      </c>
      <c r="AI2192" s="3">
        <f t="shared" si="599"/>
        <v>0</v>
      </c>
      <c r="AL2192" s="3">
        <v>0</v>
      </c>
      <c r="AM2192" s="3">
        <f t="shared" si="600"/>
        <v>1</v>
      </c>
      <c r="AN2192" s="3" t="str">
        <f t="shared" si="587"/>
        <v/>
      </c>
      <c r="AO2192" s="3">
        <v>0</v>
      </c>
      <c r="AP2192" s="3">
        <f t="shared" si="601"/>
        <v>8</v>
      </c>
      <c r="AR2192">
        <f t="shared" si="602"/>
        <v>0</v>
      </c>
      <c r="AS2192">
        <f t="shared" si="603"/>
        <v>5</v>
      </c>
    </row>
    <row r="2193" customHeight="1" spans="1:45">
      <c r="A2193" s="3" t="str">
        <f>IF(对接源_02物料!$C993="","",对接源_02物料!$C993)</f>
        <v/>
      </c>
      <c r="B2193" s="3">
        <f t="shared" si="588"/>
        <v>0</v>
      </c>
      <c r="C2193" s="3">
        <f t="shared" si="589"/>
        <v>21</v>
      </c>
      <c r="K2193" s="3">
        <f>IF(OR($K$1="",对接源_02物料!$C993="",对接源_02物料!$C993&lt;&gt;$K$1,对接源_02物料!$B993=""),0,IF(OR(N(对接源_02物料!$B993)&lt;$K$2,N(对接源_02物料!$B993)&gt;$K$3),0,1))</f>
        <v>0</v>
      </c>
      <c r="L2193" s="3">
        <f>IF(OR($L$1="",对接源_02物料!$C993="",对接源_02物料!$C993&lt;&gt;$L$1,对接源_02物料!$B993=""),0,IF(OR(N(对接源_02物料!$B993)&lt;$L$2,N(对接源_02物料!$B993)&gt;$L$3),0,1))</f>
        <v>0</v>
      </c>
      <c r="M2193" s="3">
        <f>IF(OR($M$1="",对接源_02物料!$C993="",对接源_02物料!$C993&lt;&gt;$M$1,对接源_02物料!$B993=""),0,IF(OR(N(对接源_02物料!$B993)&lt;$M$2,N(对接源_02物料!$B993)&gt;$M$3),0,1))</f>
        <v>0</v>
      </c>
      <c r="N2193" s="3">
        <f>IF(OR($N$1="",对接源_02物料!$C993="",对接源_02物料!$C993&lt;&gt;$N$1,对接源_02物料!$B993=""),0,IF(OR(N(对接源_02物料!$B993)&lt;$N$2,N(对接源_02物料!$B993)&gt;$N$3),0,1))</f>
        <v>0</v>
      </c>
      <c r="P2193" s="3">
        <f>IF(AND($K2193=1,AND(对接源_02物料!$X993="公司筐",N(对接源_02物料!$T993)&lt;&gt;0)),1,0)</f>
        <v>0</v>
      </c>
      <c r="Q2193" s="3">
        <f t="shared" si="590"/>
        <v>8</v>
      </c>
      <c r="R2193" s="3">
        <f>IF(AND($K2193=1,AND(对接源_02物料!$X993="公司筐",N(对接源_02物料!$U993)&lt;&gt;0)),1,0)</f>
        <v>0</v>
      </c>
      <c r="S2193" s="3">
        <f t="shared" si="591"/>
        <v>0</v>
      </c>
      <c r="T2193" s="3">
        <f>IF(AND($K2193=1,AND(对接源_02物料!$X993="公司筐",N(对接源_02物料!$V993)&lt;&gt;0)),1,0)</f>
        <v>0</v>
      </c>
      <c r="U2193" s="3">
        <f t="shared" si="592"/>
        <v>19</v>
      </c>
      <c r="V2193" s="3">
        <f>IF(AND($L2193=1,AND(对接源_02物料!$X993="自备筐",N(对接源_02物料!$V993)&lt;&gt;0)),1,0)</f>
        <v>0</v>
      </c>
      <c r="W2193" s="3">
        <f t="shared" si="593"/>
        <v>8</v>
      </c>
      <c r="X2193" s="3">
        <f>IF(AND($L2193=1,AND(对接源_02物料!$X993="自备筐",N(对接源_02物料!$T993)&lt;&gt;0)),1,0)</f>
        <v>0</v>
      </c>
      <c r="Y2193" s="3">
        <f t="shared" si="594"/>
        <v>0</v>
      </c>
      <c r="Z2193" s="3">
        <f>IF(AND($M2193=1,对接源_02物料!$D993="原料入库"),1,0)</f>
        <v>0</v>
      </c>
      <c r="AA2193" s="3">
        <f t="shared" si="595"/>
        <v>24</v>
      </c>
      <c r="AB2193" s="3">
        <f>IF(AND($M2193=1,LEFT(对接源_02物料!$D993,4)="原料出库"),1,0)</f>
        <v>0</v>
      </c>
      <c r="AC2193" s="3">
        <f t="shared" si="596"/>
        <v>0</v>
      </c>
      <c r="AD2193" s="3">
        <f>IF(AND($M2193=1,LEFT(对接源_02物料!$D993,4)="成品出库"),1,0)</f>
        <v>0</v>
      </c>
      <c r="AE2193" s="3">
        <f t="shared" si="597"/>
        <v>0</v>
      </c>
      <c r="AF2193" s="3">
        <f>IF(AND($N2193=1,AND(LEFT(对接源_02物料!$D993,4)="包装物料",N(对接源_02物料!$K993)&lt;&gt;0)),1,0)</f>
        <v>0</v>
      </c>
      <c r="AG2193" s="3">
        <f t="shared" si="598"/>
        <v>5</v>
      </c>
      <c r="AH2193" s="3">
        <f>IF(AND($N2193=1,AND(对接源_02物料!$D993="周转筐－销售出库",N(对接源_02物料!$K993)&lt;&gt;0)),1,0)</f>
        <v>0</v>
      </c>
      <c r="AI2193" s="3">
        <f t="shared" si="599"/>
        <v>0</v>
      </c>
      <c r="AL2193" s="3">
        <v>0</v>
      </c>
      <c r="AM2193" s="3">
        <f t="shared" si="600"/>
        <v>1</v>
      </c>
      <c r="AN2193" s="3" t="str">
        <f t="shared" si="587"/>
        <v/>
      </c>
      <c r="AO2193" s="3">
        <v>0</v>
      </c>
      <c r="AP2193" s="3">
        <f t="shared" si="601"/>
        <v>8</v>
      </c>
      <c r="AR2193">
        <f t="shared" si="602"/>
        <v>0</v>
      </c>
      <c r="AS2193">
        <f t="shared" si="603"/>
        <v>5</v>
      </c>
    </row>
    <row r="2194" customHeight="1" spans="1:45">
      <c r="A2194" s="3" t="str">
        <f>IF(对接源_02物料!$C994="","",对接源_02物料!$C994)</f>
        <v/>
      </c>
      <c r="B2194" s="3">
        <f t="shared" si="588"/>
        <v>0</v>
      </c>
      <c r="C2194" s="3">
        <f t="shared" si="589"/>
        <v>21</v>
      </c>
      <c r="K2194" s="3">
        <f>IF(OR($K$1="",对接源_02物料!$C994="",对接源_02物料!$C994&lt;&gt;$K$1,对接源_02物料!$B994=""),0,IF(OR(N(对接源_02物料!$B994)&lt;$K$2,N(对接源_02物料!$B994)&gt;$K$3),0,1))</f>
        <v>0</v>
      </c>
      <c r="L2194" s="3">
        <f>IF(OR($L$1="",对接源_02物料!$C994="",对接源_02物料!$C994&lt;&gt;$L$1,对接源_02物料!$B994=""),0,IF(OR(N(对接源_02物料!$B994)&lt;$L$2,N(对接源_02物料!$B994)&gt;$L$3),0,1))</f>
        <v>0</v>
      </c>
      <c r="M2194" s="3">
        <f>IF(OR($M$1="",对接源_02物料!$C994="",对接源_02物料!$C994&lt;&gt;$M$1,对接源_02物料!$B994=""),0,IF(OR(N(对接源_02物料!$B994)&lt;$M$2,N(对接源_02物料!$B994)&gt;$M$3),0,1))</f>
        <v>0</v>
      </c>
      <c r="N2194" s="3">
        <f>IF(OR($N$1="",对接源_02物料!$C994="",对接源_02物料!$C994&lt;&gt;$N$1,对接源_02物料!$B994=""),0,IF(OR(N(对接源_02物料!$B994)&lt;$N$2,N(对接源_02物料!$B994)&gt;$N$3),0,1))</f>
        <v>0</v>
      </c>
      <c r="P2194" s="3">
        <f>IF(AND($K2194=1,AND(对接源_02物料!$X994="公司筐",N(对接源_02物料!$T994)&lt;&gt;0)),1,0)</f>
        <v>0</v>
      </c>
      <c r="Q2194" s="3">
        <f t="shared" si="590"/>
        <v>8</v>
      </c>
      <c r="R2194" s="3">
        <f>IF(AND($K2194=1,AND(对接源_02物料!$X994="公司筐",N(对接源_02物料!$U994)&lt;&gt;0)),1,0)</f>
        <v>0</v>
      </c>
      <c r="S2194" s="3">
        <f t="shared" si="591"/>
        <v>0</v>
      </c>
      <c r="T2194" s="3">
        <f>IF(AND($K2194=1,AND(对接源_02物料!$X994="公司筐",N(对接源_02物料!$V994)&lt;&gt;0)),1,0)</f>
        <v>0</v>
      </c>
      <c r="U2194" s="3">
        <f t="shared" si="592"/>
        <v>19</v>
      </c>
      <c r="V2194" s="3">
        <f>IF(AND($L2194=1,AND(对接源_02物料!$X994="自备筐",N(对接源_02物料!$V994)&lt;&gt;0)),1,0)</f>
        <v>0</v>
      </c>
      <c r="W2194" s="3">
        <f t="shared" si="593"/>
        <v>8</v>
      </c>
      <c r="X2194" s="3">
        <f>IF(AND($L2194=1,AND(对接源_02物料!$X994="自备筐",N(对接源_02物料!$T994)&lt;&gt;0)),1,0)</f>
        <v>0</v>
      </c>
      <c r="Y2194" s="3">
        <f t="shared" si="594"/>
        <v>0</v>
      </c>
      <c r="Z2194" s="3">
        <f>IF(AND($M2194=1,对接源_02物料!$D994="原料入库"),1,0)</f>
        <v>0</v>
      </c>
      <c r="AA2194" s="3">
        <f t="shared" si="595"/>
        <v>24</v>
      </c>
      <c r="AB2194" s="3">
        <f>IF(AND($M2194=1,LEFT(对接源_02物料!$D994,4)="原料出库"),1,0)</f>
        <v>0</v>
      </c>
      <c r="AC2194" s="3">
        <f t="shared" si="596"/>
        <v>0</v>
      </c>
      <c r="AD2194" s="3">
        <f>IF(AND($M2194=1,LEFT(对接源_02物料!$D994,4)="成品出库"),1,0)</f>
        <v>0</v>
      </c>
      <c r="AE2194" s="3">
        <f t="shared" si="597"/>
        <v>0</v>
      </c>
      <c r="AF2194" s="3">
        <f>IF(AND($N2194=1,AND(LEFT(对接源_02物料!$D994,4)="包装物料",N(对接源_02物料!$K994)&lt;&gt;0)),1,0)</f>
        <v>0</v>
      </c>
      <c r="AG2194" s="3">
        <f t="shared" si="598"/>
        <v>5</v>
      </c>
      <c r="AH2194" s="3">
        <f>IF(AND($N2194=1,AND(对接源_02物料!$D994="周转筐－销售出库",N(对接源_02物料!$K994)&lt;&gt;0)),1,0)</f>
        <v>0</v>
      </c>
      <c r="AI2194" s="3">
        <f t="shared" si="599"/>
        <v>0</v>
      </c>
      <c r="AL2194" s="3">
        <v>0</v>
      </c>
      <c r="AM2194" s="3">
        <f t="shared" si="600"/>
        <v>1</v>
      </c>
      <c r="AN2194" s="3" t="str">
        <f t="shared" si="587"/>
        <v/>
      </c>
      <c r="AO2194" s="3">
        <v>0</v>
      </c>
      <c r="AP2194" s="3">
        <f t="shared" si="601"/>
        <v>8</v>
      </c>
      <c r="AR2194">
        <f t="shared" si="602"/>
        <v>0</v>
      </c>
      <c r="AS2194">
        <f t="shared" si="603"/>
        <v>5</v>
      </c>
    </row>
    <row r="2195" customHeight="1" spans="1:45">
      <c r="A2195" s="3" t="str">
        <f>IF(对接源_02物料!$C995="","",对接源_02物料!$C995)</f>
        <v/>
      </c>
      <c r="B2195" s="3">
        <f t="shared" si="588"/>
        <v>0</v>
      </c>
      <c r="C2195" s="3">
        <f t="shared" si="589"/>
        <v>21</v>
      </c>
      <c r="K2195" s="3">
        <f>IF(OR($K$1="",对接源_02物料!$C995="",对接源_02物料!$C995&lt;&gt;$K$1,对接源_02物料!$B995=""),0,IF(OR(N(对接源_02物料!$B995)&lt;$K$2,N(对接源_02物料!$B995)&gt;$K$3),0,1))</f>
        <v>0</v>
      </c>
      <c r="L2195" s="3">
        <f>IF(OR($L$1="",对接源_02物料!$C995="",对接源_02物料!$C995&lt;&gt;$L$1,对接源_02物料!$B995=""),0,IF(OR(N(对接源_02物料!$B995)&lt;$L$2,N(对接源_02物料!$B995)&gt;$L$3),0,1))</f>
        <v>0</v>
      </c>
      <c r="M2195" s="3">
        <f>IF(OR($M$1="",对接源_02物料!$C995="",对接源_02物料!$C995&lt;&gt;$M$1,对接源_02物料!$B995=""),0,IF(OR(N(对接源_02物料!$B995)&lt;$M$2,N(对接源_02物料!$B995)&gt;$M$3),0,1))</f>
        <v>0</v>
      </c>
      <c r="N2195" s="3">
        <f>IF(OR($N$1="",对接源_02物料!$C995="",对接源_02物料!$C995&lt;&gt;$N$1,对接源_02物料!$B995=""),0,IF(OR(N(对接源_02物料!$B995)&lt;$N$2,N(对接源_02物料!$B995)&gt;$N$3),0,1))</f>
        <v>0</v>
      </c>
      <c r="P2195" s="3">
        <f>IF(AND($K2195=1,AND(对接源_02物料!$X995="公司筐",N(对接源_02物料!$T995)&lt;&gt;0)),1,0)</f>
        <v>0</v>
      </c>
      <c r="Q2195" s="3">
        <f t="shared" si="590"/>
        <v>8</v>
      </c>
      <c r="R2195" s="3">
        <f>IF(AND($K2195=1,AND(对接源_02物料!$X995="公司筐",N(对接源_02物料!$U995)&lt;&gt;0)),1,0)</f>
        <v>0</v>
      </c>
      <c r="S2195" s="3">
        <f t="shared" si="591"/>
        <v>0</v>
      </c>
      <c r="T2195" s="3">
        <f>IF(AND($K2195=1,AND(对接源_02物料!$X995="公司筐",N(对接源_02物料!$V995)&lt;&gt;0)),1,0)</f>
        <v>0</v>
      </c>
      <c r="U2195" s="3">
        <f t="shared" si="592"/>
        <v>19</v>
      </c>
      <c r="V2195" s="3">
        <f>IF(AND($L2195=1,AND(对接源_02物料!$X995="自备筐",N(对接源_02物料!$V995)&lt;&gt;0)),1,0)</f>
        <v>0</v>
      </c>
      <c r="W2195" s="3">
        <f t="shared" si="593"/>
        <v>8</v>
      </c>
      <c r="X2195" s="3">
        <f>IF(AND($L2195=1,AND(对接源_02物料!$X995="自备筐",N(对接源_02物料!$T995)&lt;&gt;0)),1,0)</f>
        <v>0</v>
      </c>
      <c r="Y2195" s="3">
        <f t="shared" si="594"/>
        <v>0</v>
      </c>
      <c r="Z2195" s="3">
        <f>IF(AND($M2195=1,对接源_02物料!$D995="原料入库"),1,0)</f>
        <v>0</v>
      </c>
      <c r="AA2195" s="3">
        <f t="shared" si="595"/>
        <v>24</v>
      </c>
      <c r="AB2195" s="3">
        <f>IF(AND($M2195=1,LEFT(对接源_02物料!$D995,4)="原料出库"),1,0)</f>
        <v>0</v>
      </c>
      <c r="AC2195" s="3">
        <f t="shared" si="596"/>
        <v>0</v>
      </c>
      <c r="AD2195" s="3">
        <f>IF(AND($M2195=1,LEFT(对接源_02物料!$D995,4)="成品出库"),1,0)</f>
        <v>0</v>
      </c>
      <c r="AE2195" s="3">
        <f t="shared" si="597"/>
        <v>0</v>
      </c>
      <c r="AF2195" s="3">
        <f>IF(AND($N2195=1,AND(LEFT(对接源_02物料!$D995,4)="包装物料",N(对接源_02物料!$K995)&lt;&gt;0)),1,0)</f>
        <v>0</v>
      </c>
      <c r="AG2195" s="3">
        <f t="shared" si="598"/>
        <v>5</v>
      </c>
      <c r="AH2195" s="3">
        <f>IF(AND($N2195=1,AND(对接源_02物料!$D995="周转筐－销售出库",N(对接源_02物料!$K995)&lt;&gt;0)),1,0)</f>
        <v>0</v>
      </c>
      <c r="AI2195" s="3">
        <f t="shared" si="599"/>
        <v>0</v>
      </c>
      <c r="AL2195" s="3">
        <v>0</v>
      </c>
      <c r="AM2195" s="3">
        <f t="shared" si="600"/>
        <v>1</v>
      </c>
      <c r="AN2195" s="3" t="str">
        <f t="shared" si="587"/>
        <v/>
      </c>
      <c r="AO2195" s="3">
        <v>0</v>
      </c>
      <c r="AP2195" s="3">
        <f t="shared" si="601"/>
        <v>8</v>
      </c>
      <c r="AR2195">
        <f t="shared" si="602"/>
        <v>0</v>
      </c>
      <c r="AS2195">
        <f t="shared" si="603"/>
        <v>5</v>
      </c>
    </row>
    <row r="2196" customHeight="1" spans="1:45">
      <c r="A2196" s="3" t="str">
        <f>IF(对接源_02物料!$C996="","",对接源_02物料!$C996)</f>
        <v/>
      </c>
      <c r="B2196" s="3">
        <f t="shared" si="588"/>
        <v>0</v>
      </c>
      <c r="C2196" s="3">
        <f t="shared" si="589"/>
        <v>21</v>
      </c>
      <c r="K2196" s="3">
        <f>IF(OR($K$1="",对接源_02物料!$C996="",对接源_02物料!$C996&lt;&gt;$K$1,对接源_02物料!$B996=""),0,IF(OR(N(对接源_02物料!$B996)&lt;$K$2,N(对接源_02物料!$B996)&gt;$K$3),0,1))</f>
        <v>0</v>
      </c>
      <c r="L2196" s="3">
        <f>IF(OR($L$1="",对接源_02物料!$C996="",对接源_02物料!$C996&lt;&gt;$L$1,对接源_02物料!$B996=""),0,IF(OR(N(对接源_02物料!$B996)&lt;$L$2,N(对接源_02物料!$B996)&gt;$L$3),0,1))</f>
        <v>0</v>
      </c>
      <c r="M2196" s="3">
        <f>IF(OR($M$1="",对接源_02物料!$C996="",对接源_02物料!$C996&lt;&gt;$M$1,对接源_02物料!$B996=""),0,IF(OR(N(对接源_02物料!$B996)&lt;$M$2,N(对接源_02物料!$B996)&gt;$M$3),0,1))</f>
        <v>0</v>
      </c>
      <c r="N2196" s="3">
        <f>IF(OR($N$1="",对接源_02物料!$C996="",对接源_02物料!$C996&lt;&gt;$N$1,对接源_02物料!$B996=""),0,IF(OR(N(对接源_02物料!$B996)&lt;$N$2,N(对接源_02物料!$B996)&gt;$N$3),0,1))</f>
        <v>0</v>
      </c>
      <c r="P2196" s="3">
        <f>IF(AND($K2196=1,AND(对接源_02物料!$X996="公司筐",N(对接源_02物料!$T996)&lt;&gt;0)),1,0)</f>
        <v>0</v>
      </c>
      <c r="Q2196" s="3">
        <f t="shared" si="590"/>
        <v>8</v>
      </c>
      <c r="R2196" s="3">
        <f>IF(AND($K2196=1,AND(对接源_02物料!$X996="公司筐",N(对接源_02物料!$U996)&lt;&gt;0)),1,0)</f>
        <v>0</v>
      </c>
      <c r="S2196" s="3">
        <f t="shared" si="591"/>
        <v>0</v>
      </c>
      <c r="T2196" s="3">
        <f>IF(AND($K2196=1,AND(对接源_02物料!$X996="公司筐",N(对接源_02物料!$V996)&lt;&gt;0)),1,0)</f>
        <v>0</v>
      </c>
      <c r="U2196" s="3">
        <f t="shared" si="592"/>
        <v>19</v>
      </c>
      <c r="V2196" s="3">
        <f>IF(AND($L2196=1,AND(对接源_02物料!$X996="自备筐",N(对接源_02物料!$V996)&lt;&gt;0)),1,0)</f>
        <v>0</v>
      </c>
      <c r="W2196" s="3">
        <f t="shared" si="593"/>
        <v>8</v>
      </c>
      <c r="X2196" s="3">
        <f>IF(AND($L2196=1,AND(对接源_02物料!$X996="自备筐",N(对接源_02物料!$T996)&lt;&gt;0)),1,0)</f>
        <v>0</v>
      </c>
      <c r="Y2196" s="3">
        <f t="shared" si="594"/>
        <v>0</v>
      </c>
      <c r="Z2196" s="3">
        <f>IF(AND($M2196=1,对接源_02物料!$D996="原料入库"),1,0)</f>
        <v>0</v>
      </c>
      <c r="AA2196" s="3">
        <f t="shared" si="595"/>
        <v>24</v>
      </c>
      <c r="AB2196" s="3">
        <f>IF(AND($M2196=1,LEFT(对接源_02物料!$D996,4)="原料出库"),1,0)</f>
        <v>0</v>
      </c>
      <c r="AC2196" s="3">
        <f t="shared" si="596"/>
        <v>0</v>
      </c>
      <c r="AD2196" s="3">
        <f>IF(AND($M2196=1,LEFT(对接源_02物料!$D996,4)="成品出库"),1,0)</f>
        <v>0</v>
      </c>
      <c r="AE2196" s="3">
        <f t="shared" si="597"/>
        <v>0</v>
      </c>
      <c r="AF2196" s="3">
        <f>IF(AND($N2196=1,AND(LEFT(对接源_02物料!$D996,4)="包装物料",N(对接源_02物料!$K996)&lt;&gt;0)),1,0)</f>
        <v>0</v>
      </c>
      <c r="AG2196" s="3">
        <f t="shared" si="598"/>
        <v>5</v>
      </c>
      <c r="AH2196" s="3">
        <f>IF(AND($N2196=1,AND(对接源_02物料!$D996="周转筐－销售出库",N(对接源_02物料!$K996)&lt;&gt;0)),1,0)</f>
        <v>0</v>
      </c>
      <c r="AI2196" s="3">
        <f t="shared" si="599"/>
        <v>0</v>
      </c>
      <c r="AL2196" s="3">
        <v>0</v>
      </c>
      <c r="AM2196" s="3">
        <f t="shared" si="600"/>
        <v>1</v>
      </c>
      <c r="AN2196" s="3" t="str">
        <f t="shared" si="587"/>
        <v/>
      </c>
      <c r="AO2196" s="3">
        <v>0</v>
      </c>
      <c r="AP2196" s="3">
        <f t="shared" si="601"/>
        <v>8</v>
      </c>
      <c r="AR2196">
        <f t="shared" si="602"/>
        <v>0</v>
      </c>
      <c r="AS2196">
        <f t="shared" si="603"/>
        <v>5</v>
      </c>
    </row>
    <row r="2197" customHeight="1" spans="1:45">
      <c r="A2197" s="3" t="str">
        <f>IF(对接源_02物料!$C997="","",对接源_02物料!$C997)</f>
        <v/>
      </c>
      <c r="B2197" s="3">
        <f t="shared" si="588"/>
        <v>0</v>
      </c>
      <c r="C2197" s="3">
        <f t="shared" si="589"/>
        <v>21</v>
      </c>
      <c r="K2197" s="3">
        <f>IF(OR($K$1="",对接源_02物料!$C997="",对接源_02物料!$C997&lt;&gt;$K$1,对接源_02物料!$B997=""),0,IF(OR(N(对接源_02物料!$B997)&lt;$K$2,N(对接源_02物料!$B997)&gt;$K$3),0,1))</f>
        <v>0</v>
      </c>
      <c r="L2197" s="3">
        <f>IF(OR($L$1="",对接源_02物料!$C997="",对接源_02物料!$C997&lt;&gt;$L$1,对接源_02物料!$B997=""),0,IF(OR(N(对接源_02物料!$B997)&lt;$L$2,N(对接源_02物料!$B997)&gt;$L$3),0,1))</f>
        <v>0</v>
      </c>
      <c r="M2197" s="3">
        <f>IF(OR($M$1="",对接源_02物料!$C997="",对接源_02物料!$C997&lt;&gt;$M$1,对接源_02物料!$B997=""),0,IF(OR(N(对接源_02物料!$B997)&lt;$M$2,N(对接源_02物料!$B997)&gt;$M$3),0,1))</f>
        <v>0</v>
      </c>
      <c r="N2197" s="3">
        <f>IF(OR($N$1="",对接源_02物料!$C997="",对接源_02物料!$C997&lt;&gt;$N$1,对接源_02物料!$B997=""),0,IF(OR(N(对接源_02物料!$B997)&lt;$N$2,N(对接源_02物料!$B997)&gt;$N$3),0,1))</f>
        <v>0</v>
      </c>
      <c r="P2197" s="3">
        <f>IF(AND($K2197=1,AND(对接源_02物料!$X997="公司筐",N(对接源_02物料!$T997)&lt;&gt;0)),1,0)</f>
        <v>0</v>
      </c>
      <c r="Q2197" s="3">
        <f t="shared" si="590"/>
        <v>8</v>
      </c>
      <c r="R2197" s="3">
        <f>IF(AND($K2197=1,AND(对接源_02物料!$X997="公司筐",N(对接源_02物料!$U997)&lt;&gt;0)),1,0)</f>
        <v>0</v>
      </c>
      <c r="S2197" s="3">
        <f t="shared" si="591"/>
        <v>0</v>
      </c>
      <c r="T2197" s="3">
        <f>IF(AND($K2197=1,AND(对接源_02物料!$X997="公司筐",N(对接源_02物料!$V997)&lt;&gt;0)),1,0)</f>
        <v>0</v>
      </c>
      <c r="U2197" s="3">
        <f t="shared" si="592"/>
        <v>19</v>
      </c>
      <c r="V2197" s="3">
        <f>IF(AND($L2197=1,AND(对接源_02物料!$X997="自备筐",N(对接源_02物料!$V997)&lt;&gt;0)),1,0)</f>
        <v>0</v>
      </c>
      <c r="W2197" s="3">
        <f t="shared" si="593"/>
        <v>8</v>
      </c>
      <c r="X2197" s="3">
        <f>IF(AND($L2197=1,AND(对接源_02物料!$X997="自备筐",N(对接源_02物料!$T997)&lt;&gt;0)),1,0)</f>
        <v>0</v>
      </c>
      <c r="Y2197" s="3">
        <f t="shared" si="594"/>
        <v>0</v>
      </c>
      <c r="Z2197" s="3">
        <f>IF(AND($M2197=1,对接源_02物料!$D997="原料入库"),1,0)</f>
        <v>0</v>
      </c>
      <c r="AA2197" s="3">
        <f t="shared" si="595"/>
        <v>24</v>
      </c>
      <c r="AB2197" s="3">
        <f>IF(AND($M2197=1,LEFT(对接源_02物料!$D997,4)="原料出库"),1,0)</f>
        <v>0</v>
      </c>
      <c r="AC2197" s="3">
        <f t="shared" si="596"/>
        <v>0</v>
      </c>
      <c r="AD2197" s="3">
        <f>IF(AND($M2197=1,LEFT(对接源_02物料!$D997,4)="成品出库"),1,0)</f>
        <v>0</v>
      </c>
      <c r="AE2197" s="3">
        <f t="shared" si="597"/>
        <v>0</v>
      </c>
      <c r="AF2197" s="3">
        <f>IF(AND($N2197=1,AND(LEFT(对接源_02物料!$D997,4)="包装物料",N(对接源_02物料!$K997)&lt;&gt;0)),1,0)</f>
        <v>0</v>
      </c>
      <c r="AG2197" s="3">
        <f t="shared" si="598"/>
        <v>5</v>
      </c>
      <c r="AH2197" s="3">
        <f>IF(AND($N2197=1,AND(对接源_02物料!$D997="周转筐－销售出库",N(对接源_02物料!$K997)&lt;&gt;0)),1,0)</f>
        <v>0</v>
      </c>
      <c r="AI2197" s="3">
        <f t="shared" si="599"/>
        <v>0</v>
      </c>
      <c r="AL2197" s="3">
        <v>0</v>
      </c>
      <c r="AM2197" s="3">
        <f t="shared" si="600"/>
        <v>1</v>
      </c>
      <c r="AN2197" s="3" t="str">
        <f t="shared" si="587"/>
        <v/>
      </c>
      <c r="AO2197" s="3">
        <v>0</v>
      </c>
      <c r="AP2197" s="3">
        <f t="shared" si="601"/>
        <v>8</v>
      </c>
      <c r="AR2197">
        <f t="shared" si="602"/>
        <v>0</v>
      </c>
      <c r="AS2197">
        <f t="shared" si="603"/>
        <v>5</v>
      </c>
    </row>
    <row r="2198" customHeight="1" spans="1:45">
      <c r="A2198" s="3" t="str">
        <f>IF(对接源_02物料!$C998="","",对接源_02物料!$C998)</f>
        <v/>
      </c>
      <c r="B2198" s="3">
        <f t="shared" si="588"/>
        <v>0</v>
      </c>
      <c r="C2198" s="3">
        <f t="shared" si="589"/>
        <v>21</v>
      </c>
      <c r="K2198" s="3">
        <f>IF(OR($K$1="",对接源_02物料!$C998="",对接源_02物料!$C998&lt;&gt;$K$1,对接源_02物料!$B998=""),0,IF(OR(N(对接源_02物料!$B998)&lt;$K$2,N(对接源_02物料!$B998)&gt;$K$3),0,1))</f>
        <v>0</v>
      </c>
      <c r="L2198" s="3">
        <f>IF(OR($L$1="",对接源_02物料!$C998="",对接源_02物料!$C998&lt;&gt;$L$1,对接源_02物料!$B998=""),0,IF(OR(N(对接源_02物料!$B998)&lt;$L$2,N(对接源_02物料!$B998)&gt;$L$3),0,1))</f>
        <v>0</v>
      </c>
      <c r="M2198" s="3">
        <f>IF(OR($M$1="",对接源_02物料!$C998="",对接源_02物料!$C998&lt;&gt;$M$1,对接源_02物料!$B998=""),0,IF(OR(N(对接源_02物料!$B998)&lt;$M$2,N(对接源_02物料!$B998)&gt;$M$3),0,1))</f>
        <v>0</v>
      </c>
      <c r="N2198" s="3">
        <f>IF(OR($N$1="",对接源_02物料!$C998="",对接源_02物料!$C998&lt;&gt;$N$1,对接源_02物料!$B998=""),0,IF(OR(N(对接源_02物料!$B998)&lt;$N$2,N(对接源_02物料!$B998)&gt;$N$3),0,1))</f>
        <v>0</v>
      </c>
      <c r="P2198" s="3">
        <f>IF(AND($K2198=1,AND(对接源_02物料!$X998="公司筐",N(对接源_02物料!$T998)&lt;&gt;0)),1,0)</f>
        <v>0</v>
      </c>
      <c r="Q2198" s="3">
        <f t="shared" si="590"/>
        <v>8</v>
      </c>
      <c r="R2198" s="3">
        <f>IF(AND($K2198=1,AND(对接源_02物料!$X998="公司筐",N(对接源_02物料!$U998)&lt;&gt;0)),1,0)</f>
        <v>0</v>
      </c>
      <c r="S2198" s="3">
        <f t="shared" si="591"/>
        <v>0</v>
      </c>
      <c r="T2198" s="3">
        <f>IF(AND($K2198=1,AND(对接源_02物料!$X998="公司筐",N(对接源_02物料!$V998)&lt;&gt;0)),1,0)</f>
        <v>0</v>
      </c>
      <c r="U2198" s="3">
        <f t="shared" si="592"/>
        <v>19</v>
      </c>
      <c r="V2198" s="3">
        <f>IF(AND($L2198=1,AND(对接源_02物料!$X998="自备筐",N(对接源_02物料!$V998)&lt;&gt;0)),1,0)</f>
        <v>0</v>
      </c>
      <c r="W2198" s="3">
        <f t="shared" si="593"/>
        <v>8</v>
      </c>
      <c r="X2198" s="3">
        <f>IF(AND($L2198=1,AND(对接源_02物料!$X998="自备筐",N(对接源_02物料!$T998)&lt;&gt;0)),1,0)</f>
        <v>0</v>
      </c>
      <c r="Y2198" s="3">
        <f t="shared" si="594"/>
        <v>0</v>
      </c>
      <c r="Z2198" s="3">
        <f>IF(AND($M2198=1,对接源_02物料!$D998="原料入库"),1,0)</f>
        <v>0</v>
      </c>
      <c r="AA2198" s="3">
        <f t="shared" si="595"/>
        <v>24</v>
      </c>
      <c r="AB2198" s="3">
        <f>IF(AND($M2198=1,LEFT(对接源_02物料!$D998,4)="原料出库"),1,0)</f>
        <v>0</v>
      </c>
      <c r="AC2198" s="3">
        <f t="shared" si="596"/>
        <v>0</v>
      </c>
      <c r="AD2198" s="3">
        <f>IF(AND($M2198=1,LEFT(对接源_02物料!$D998,4)="成品出库"),1,0)</f>
        <v>0</v>
      </c>
      <c r="AE2198" s="3">
        <f t="shared" si="597"/>
        <v>0</v>
      </c>
      <c r="AF2198" s="3">
        <f>IF(AND($N2198=1,AND(LEFT(对接源_02物料!$D998,4)="包装物料",N(对接源_02物料!$K998)&lt;&gt;0)),1,0)</f>
        <v>0</v>
      </c>
      <c r="AG2198" s="3">
        <f t="shared" si="598"/>
        <v>5</v>
      </c>
      <c r="AH2198" s="3">
        <f>IF(AND($N2198=1,AND(对接源_02物料!$D998="周转筐－销售出库",N(对接源_02物料!$K998)&lt;&gt;0)),1,0)</f>
        <v>0</v>
      </c>
      <c r="AI2198" s="3">
        <f t="shared" si="599"/>
        <v>0</v>
      </c>
      <c r="AL2198" s="3">
        <v>0</v>
      </c>
      <c r="AM2198" s="3">
        <f t="shared" si="600"/>
        <v>1</v>
      </c>
      <c r="AN2198" s="3" t="str">
        <f t="shared" si="587"/>
        <v/>
      </c>
      <c r="AO2198" s="3">
        <v>0</v>
      </c>
      <c r="AP2198" s="3">
        <f t="shared" si="601"/>
        <v>8</v>
      </c>
      <c r="AR2198">
        <f t="shared" si="602"/>
        <v>0</v>
      </c>
      <c r="AS2198">
        <f t="shared" si="603"/>
        <v>5</v>
      </c>
    </row>
    <row r="2199" customHeight="1" spans="1:45">
      <c r="A2199" s="3" t="str">
        <f>IF(对接源_02物料!$C999="","",对接源_02物料!$C999)</f>
        <v/>
      </c>
      <c r="B2199" s="3">
        <f t="shared" si="588"/>
        <v>0</v>
      </c>
      <c r="C2199" s="3">
        <f t="shared" si="589"/>
        <v>21</v>
      </c>
      <c r="K2199" s="3">
        <f>IF(OR($K$1="",对接源_02物料!$C999="",对接源_02物料!$C999&lt;&gt;$K$1,对接源_02物料!$B999=""),0,IF(OR(N(对接源_02物料!$B999)&lt;$K$2,N(对接源_02物料!$B999)&gt;$K$3),0,1))</f>
        <v>0</v>
      </c>
      <c r="L2199" s="3">
        <f>IF(OR($L$1="",对接源_02物料!$C999="",对接源_02物料!$C999&lt;&gt;$L$1,对接源_02物料!$B999=""),0,IF(OR(N(对接源_02物料!$B999)&lt;$L$2,N(对接源_02物料!$B999)&gt;$L$3),0,1))</f>
        <v>0</v>
      </c>
      <c r="M2199" s="3">
        <f>IF(OR($M$1="",对接源_02物料!$C999="",对接源_02物料!$C999&lt;&gt;$M$1,对接源_02物料!$B999=""),0,IF(OR(N(对接源_02物料!$B999)&lt;$M$2,N(对接源_02物料!$B999)&gt;$M$3),0,1))</f>
        <v>0</v>
      </c>
      <c r="N2199" s="3">
        <f>IF(OR($N$1="",对接源_02物料!$C999="",对接源_02物料!$C999&lt;&gt;$N$1,对接源_02物料!$B999=""),0,IF(OR(N(对接源_02物料!$B999)&lt;$N$2,N(对接源_02物料!$B999)&gt;$N$3),0,1))</f>
        <v>0</v>
      </c>
      <c r="P2199" s="3">
        <f>IF(AND($K2199=1,AND(对接源_02物料!$X999="公司筐",N(对接源_02物料!$T999)&lt;&gt;0)),1,0)</f>
        <v>0</v>
      </c>
      <c r="Q2199" s="3">
        <f t="shared" si="590"/>
        <v>8</v>
      </c>
      <c r="R2199" s="3">
        <f>IF(AND($K2199=1,AND(对接源_02物料!$X999="公司筐",N(对接源_02物料!$U999)&lt;&gt;0)),1,0)</f>
        <v>0</v>
      </c>
      <c r="S2199" s="3">
        <f t="shared" si="591"/>
        <v>0</v>
      </c>
      <c r="T2199" s="3">
        <f>IF(AND($K2199=1,AND(对接源_02物料!$X999="公司筐",N(对接源_02物料!$V999)&lt;&gt;0)),1,0)</f>
        <v>0</v>
      </c>
      <c r="U2199" s="3">
        <f t="shared" si="592"/>
        <v>19</v>
      </c>
      <c r="V2199" s="3">
        <f>IF(AND($L2199=1,AND(对接源_02物料!$X999="自备筐",N(对接源_02物料!$V999)&lt;&gt;0)),1,0)</f>
        <v>0</v>
      </c>
      <c r="W2199" s="3">
        <f t="shared" si="593"/>
        <v>8</v>
      </c>
      <c r="X2199" s="3">
        <f>IF(AND($L2199=1,AND(对接源_02物料!$X999="自备筐",N(对接源_02物料!$T999)&lt;&gt;0)),1,0)</f>
        <v>0</v>
      </c>
      <c r="Y2199" s="3">
        <f t="shared" si="594"/>
        <v>0</v>
      </c>
      <c r="Z2199" s="3">
        <f>IF(AND($M2199=1,对接源_02物料!$D999="原料入库"),1,0)</f>
        <v>0</v>
      </c>
      <c r="AA2199" s="3">
        <f t="shared" si="595"/>
        <v>24</v>
      </c>
      <c r="AB2199" s="3">
        <f>IF(AND($M2199=1,LEFT(对接源_02物料!$D999,4)="原料出库"),1,0)</f>
        <v>0</v>
      </c>
      <c r="AC2199" s="3">
        <f t="shared" si="596"/>
        <v>0</v>
      </c>
      <c r="AD2199" s="3">
        <f>IF(AND($M2199=1,LEFT(对接源_02物料!$D999,4)="成品出库"),1,0)</f>
        <v>0</v>
      </c>
      <c r="AE2199" s="3">
        <f t="shared" si="597"/>
        <v>0</v>
      </c>
      <c r="AF2199" s="3">
        <f>IF(AND($N2199=1,AND(LEFT(对接源_02物料!$D999,4)="包装物料",N(对接源_02物料!$K999)&lt;&gt;0)),1,0)</f>
        <v>0</v>
      </c>
      <c r="AG2199" s="3">
        <f t="shared" si="598"/>
        <v>5</v>
      </c>
      <c r="AH2199" s="3">
        <f>IF(AND($N2199=1,AND(对接源_02物料!$D999="周转筐－销售出库",N(对接源_02物料!$K999)&lt;&gt;0)),1,0)</f>
        <v>0</v>
      </c>
      <c r="AI2199" s="3">
        <f t="shared" si="599"/>
        <v>0</v>
      </c>
      <c r="AL2199" s="3">
        <v>0</v>
      </c>
      <c r="AM2199" s="3">
        <f t="shared" si="600"/>
        <v>1</v>
      </c>
      <c r="AN2199" s="3" t="str">
        <f t="shared" si="587"/>
        <v/>
      </c>
      <c r="AO2199" s="3">
        <v>0</v>
      </c>
      <c r="AP2199" s="3">
        <f t="shared" si="601"/>
        <v>8</v>
      </c>
      <c r="AR2199">
        <f t="shared" si="602"/>
        <v>0</v>
      </c>
      <c r="AS2199">
        <f t="shared" si="603"/>
        <v>5</v>
      </c>
    </row>
    <row r="2200" customHeight="1" spans="1:45">
      <c r="A2200" s="3" t="str">
        <f>IF(对接源_02物料!$C1000="","",对接源_02物料!$C1000)</f>
        <v/>
      </c>
      <c r="B2200" s="3">
        <f t="shared" si="588"/>
        <v>0</v>
      </c>
      <c r="C2200" s="3">
        <f t="shared" si="589"/>
        <v>21</v>
      </c>
      <c r="K2200" s="3">
        <f>IF(OR($K$1="",对接源_02物料!$C1000="",对接源_02物料!$C1000&lt;&gt;$K$1,对接源_02物料!$B1000=""),0,IF(OR(N(对接源_02物料!$B1000)&lt;$K$2,N(对接源_02物料!$B1000)&gt;$K$3),0,1))</f>
        <v>0</v>
      </c>
      <c r="L2200" s="3">
        <f>IF(OR($L$1="",对接源_02物料!$C1000="",对接源_02物料!$C1000&lt;&gt;$L$1,对接源_02物料!$B1000=""),0,IF(OR(N(对接源_02物料!$B1000)&lt;$L$2,N(对接源_02物料!$B1000)&gt;$L$3),0,1))</f>
        <v>0</v>
      </c>
      <c r="M2200" s="3">
        <f>IF(OR($M$1="",对接源_02物料!$C1000="",对接源_02物料!$C1000&lt;&gt;$M$1,对接源_02物料!$B1000=""),0,IF(OR(N(对接源_02物料!$B1000)&lt;$M$2,N(对接源_02物料!$B1000)&gt;$M$3),0,1))</f>
        <v>0</v>
      </c>
      <c r="N2200" s="3">
        <f>IF(OR($N$1="",对接源_02物料!$C1000="",对接源_02物料!$C1000&lt;&gt;$N$1,对接源_02物料!$B1000=""),0,IF(OR(N(对接源_02物料!$B1000)&lt;$N$2,N(对接源_02物料!$B1000)&gt;$N$3),0,1))</f>
        <v>0</v>
      </c>
      <c r="P2200" s="3">
        <f>IF(AND($K2200=1,AND(对接源_02物料!$X1000="公司筐",N(对接源_02物料!$T1000)&lt;&gt;0)),1,0)</f>
        <v>0</v>
      </c>
      <c r="Q2200" s="3">
        <f t="shared" si="590"/>
        <v>8</v>
      </c>
      <c r="R2200" s="3">
        <f>IF(AND($K2200=1,AND(对接源_02物料!$X1000="公司筐",N(对接源_02物料!$U1000)&lt;&gt;0)),1,0)</f>
        <v>0</v>
      </c>
      <c r="S2200" s="3">
        <f t="shared" si="591"/>
        <v>0</v>
      </c>
      <c r="T2200" s="3">
        <f>IF(AND($K2200=1,AND(对接源_02物料!$X1000="公司筐",N(对接源_02物料!$V1000)&lt;&gt;0)),1,0)</f>
        <v>0</v>
      </c>
      <c r="U2200" s="3">
        <f t="shared" si="592"/>
        <v>19</v>
      </c>
      <c r="V2200" s="3">
        <f>IF(AND($L2200=1,AND(对接源_02物料!$X1000="自备筐",N(对接源_02物料!$V1000)&lt;&gt;0)),1,0)</f>
        <v>0</v>
      </c>
      <c r="W2200" s="3">
        <f t="shared" si="593"/>
        <v>8</v>
      </c>
      <c r="X2200" s="3">
        <f>IF(AND($L2200=1,AND(对接源_02物料!$X1000="自备筐",N(对接源_02物料!$T1000)&lt;&gt;0)),1,0)</f>
        <v>0</v>
      </c>
      <c r="Y2200" s="3">
        <f t="shared" si="594"/>
        <v>0</v>
      </c>
      <c r="Z2200" s="3">
        <f>IF(AND($M2200=1,对接源_02物料!$D1000="原料入库"),1,0)</f>
        <v>0</v>
      </c>
      <c r="AA2200" s="3">
        <f t="shared" si="595"/>
        <v>24</v>
      </c>
      <c r="AB2200" s="3">
        <f>IF(AND($M2200=1,LEFT(对接源_02物料!$D1000,4)="原料出库"),1,0)</f>
        <v>0</v>
      </c>
      <c r="AC2200" s="3">
        <f t="shared" si="596"/>
        <v>0</v>
      </c>
      <c r="AD2200" s="3">
        <f>IF(AND($M2200=1,LEFT(对接源_02物料!$D1000,4)="成品出库"),1,0)</f>
        <v>0</v>
      </c>
      <c r="AE2200" s="3">
        <f t="shared" si="597"/>
        <v>0</v>
      </c>
      <c r="AF2200" s="3">
        <f>IF(AND($N2200=1,AND(LEFT(对接源_02物料!$D1000,4)="包装物料",N(对接源_02物料!$K1000)&lt;&gt;0)),1,0)</f>
        <v>0</v>
      </c>
      <c r="AG2200" s="3">
        <f t="shared" si="598"/>
        <v>5</v>
      </c>
      <c r="AH2200" s="3">
        <f>IF(AND($N2200=1,AND(对接源_02物料!$D1000="周转筐－销售出库",N(对接源_02物料!$K1000)&lt;&gt;0)),1,0)</f>
        <v>0</v>
      </c>
      <c r="AI2200" s="3">
        <f t="shared" si="599"/>
        <v>0</v>
      </c>
      <c r="AL2200" s="3">
        <v>0</v>
      </c>
      <c r="AM2200" s="3">
        <f t="shared" si="600"/>
        <v>1</v>
      </c>
      <c r="AN2200" s="3" t="str">
        <f t="shared" si="587"/>
        <v/>
      </c>
      <c r="AO2200" s="3">
        <v>0</v>
      </c>
      <c r="AP2200" s="3">
        <f t="shared" si="601"/>
        <v>8</v>
      </c>
      <c r="AR2200">
        <f t="shared" si="602"/>
        <v>0</v>
      </c>
      <c r="AS2200">
        <f t="shared" si="603"/>
        <v>5</v>
      </c>
    </row>
    <row r="2201" customHeight="1" spans="1:45">
      <c r="A2201" s="3" t="str">
        <f>IF(对接源_02物料!$C1001="","",对接源_02物料!$C1001)</f>
        <v/>
      </c>
      <c r="B2201" s="3">
        <f t="shared" si="588"/>
        <v>0</v>
      </c>
      <c r="C2201" s="3">
        <f t="shared" si="589"/>
        <v>21</v>
      </c>
      <c r="K2201" s="3">
        <f>IF(OR($K$1="",对接源_02物料!$C1001="",对接源_02物料!$C1001&lt;&gt;$K$1,对接源_02物料!$B1001=""),0,IF(OR(N(对接源_02物料!$B1001)&lt;$K$2,N(对接源_02物料!$B1001)&gt;$K$3),0,1))</f>
        <v>0</v>
      </c>
      <c r="L2201" s="3">
        <f>IF(OR($L$1="",对接源_02物料!$C1001="",对接源_02物料!$C1001&lt;&gt;$L$1,对接源_02物料!$B1001=""),0,IF(OR(N(对接源_02物料!$B1001)&lt;$L$2,N(对接源_02物料!$B1001)&gt;$L$3),0,1))</f>
        <v>0</v>
      </c>
      <c r="M2201" s="3">
        <f>IF(OR($M$1="",对接源_02物料!$C1001="",对接源_02物料!$C1001&lt;&gt;$M$1,对接源_02物料!$B1001=""),0,IF(OR(N(对接源_02物料!$B1001)&lt;$M$2,N(对接源_02物料!$B1001)&gt;$M$3),0,1))</f>
        <v>0</v>
      </c>
      <c r="N2201" s="3">
        <f>IF(OR($N$1="",对接源_02物料!$C1001="",对接源_02物料!$C1001&lt;&gt;$N$1,对接源_02物料!$B1001=""),0,IF(OR(N(对接源_02物料!$B1001)&lt;$N$2,N(对接源_02物料!$B1001)&gt;$N$3),0,1))</f>
        <v>0</v>
      </c>
      <c r="P2201" s="3">
        <f>IF(AND($K2201=1,AND(对接源_02物料!$X1001="公司筐",N(对接源_02物料!$T1001)&lt;&gt;0)),1,0)</f>
        <v>0</v>
      </c>
      <c r="Q2201" s="3">
        <f t="shared" si="590"/>
        <v>8</v>
      </c>
      <c r="R2201" s="3">
        <f>IF(AND($K2201=1,AND(对接源_02物料!$X1001="公司筐",N(对接源_02物料!$U1001)&lt;&gt;0)),1,0)</f>
        <v>0</v>
      </c>
      <c r="S2201" s="3">
        <f t="shared" si="591"/>
        <v>0</v>
      </c>
      <c r="T2201" s="3">
        <f>IF(AND($K2201=1,AND(对接源_02物料!$X1001="公司筐",N(对接源_02物料!$V1001)&lt;&gt;0)),1,0)</f>
        <v>0</v>
      </c>
      <c r="U2201" s="3">
        <f t="shared" si="592"/>
        <v>19</v>
      </c>
      <c r="V2201" s="3">
        <f>IF(AND($L2201=1,AND(对接源_02物料!$X1001="自备筐",N(对接源_02物料!$V1001)&lt;&gt;0)),1,0)</f>
        <v>0</v>
      </c>
      <c r="W2201" s="3">
        <f t="shared" si="593"/>
        <v>8</v>
      </c>
      <c r="X2201" s="3">
        <f>IF(AND($L2201=1,AND(对接源_02物料!$X1001="自备筐",N(对接源_02物料!$T1001)&lt;&gt;0)),1,0)</f>
        <v>0</v>
      </c>
      <c r="Y2201" s="3">
        <f t="shared" si="594"/>
        <v>0</v>
      </c>
      <c r="Z2201" s="3">
        <f>IF(AND($M2201=1,对接源_02物料!$D1001="原料入库"),1,0)</f>
        <v>0</v>
      </c>
      <c r="AA2201" s="3">
        <f t="shared" si="595"/>
        <v>24</v>
      </c>
      <c r="AB2201" s="3">
        <f>IF(AND($M2201=1,LEFT(对接源_02物料!$D1001,4)="原料出库"),1,0)</f>
        <v>0</v>
      </c>
      <c r="AC2201" s="3">
        <f t="shared" si="596"/>
        <v>0</v>
      </c>
      <c r="AD2201" s="3">
        <f>IF(AND($M2201=1,LEFT(对接源_02物料!$D1001,4)="成品出库"),1,0)</f>
        <v>0</v>
      </c>
      <c r="AE2201" s="3">
        <f t="shared" si="597"/>
        <v>0</v>
      </c>
      <c r="AF2201" s="3">
        <f>IF(AND($N2201=1,AND(LEFT(对接源_02物料!$D1001,4)="包装物料",N(对接源_02物料!$K1001)&lt;&gt;0)),1,0)</f>
        <v>0</v>
      </c>
      <c r="AG2201" s="3">
        <f t="shared" si="598"/>
        <v>5</v>
      </c>
      <c r="AH2201" s="3">
        <f>IF(AND($N2201=1,AND(对接源_02物料!$D1001="周转筐－销售出库",N(对接源_02物料!$K1001)&lt;&gt;0)),1,0)</f>
        <v>0</v>
      </c>
      <c r="AI2201" s="3">
        <f t="shared" si="599"/>
        <v>0</v>
      </c>
      <c r="AL2201" s="3">
        <v>0</v>
      </c>
      <c r="AM2201" s="3">
        <f t="shared" si="600"/>
        <v>1</v>
      </c>
      <c r="AN2201" s="3" t="str">
        <f t="shared" si="587"/>
        <v/>
      </c>
      <c r="AO2201" s="3">
        <v>0</v>
      </c>
      <c r="AP2201" s="3">
        <f t="shared" si="601"/>
        <v>8</v>
      </c>
      <c r="AR2201">
        <f t="shared" si="602"/>
        <v>0</v>
      </c>
      <c r="AS2201">
        <f t="shared" si="603"/>
        <v>5</v>
      </c>
    </row>
    <row r="2202" customHeight="1" spans="1:45">
      <c r="A2202" s="3" t="str">
        <f>IF(对接源_02物料!$C1002="","",对接源_02物料!$C1002)</f>
        <v/>
      </c>
      <c r="B2202" s="3">
        <f t="shared" si="588"/>
        <v>0</v>
      </c>
      <c r="C2202" s="3">
        <f t="shared" si="589"/>
        <v>21</v>
      </c>
      <c r="K2202" s="3">
        <f>IF(OR($K$1="",对接源_02物料!$C1002="",对接源_02物料!$C1002&lt;&gt;$K$1,对接源_02物料!$B1002=""),0,IF(OR(N(对接源_02物料!$B1002)&lt;$K$2,N(对接源_02物料!$B1002)&gt;$K$3),0,1))</f>
        <v>0</v>
      </c>
      <c r="L2202" s="3">
        <f>IF(OR($L$1="",对接源_02物料!$C1002="",对接源_02物料!$C1002&lt;&gt;$L$1,对接源_02物料!$B1002=""),0,IF(OR(N(对接源_02物料!$B1002)&lt;$L$2,N(对接源_02物料!$B1002)&gt;$L$3),0,1))</f>
        <v>0</v>
      </c>
      <c r="M2202" s="3">
        <f>IF(OR($M$1="",对接源_02物料!$C1002="",对接源_02物料!$C1002&lt;&gt;$M$1,对接源_02物料!$B1002=""),0,IF(OR(N(对接源_02物料!$B1002)&lt;$M$2,N(对接源_02物料!$B1002)&gt;$M$3),0,1))</f>
        <v>0</v>
      </c>
      <c r="N2202" s="3">
        <f>IF(OR($N$1="",对接源_02物料!$C1002="",对接源_02物料!$C1002&lt;&gt;$N$1,对接源_02物料!$B1002=""),0,IF(OR(N(对接源_02物料!$B1002)&lt;$N$2,N(对接源_02物料!$B1002)&gt;$N$3),0,1))</f>
        <v>0</v>
      </c>
      <c r="P2202" s="3">
        <f>IF(AND($K2202=1,AND(对接源_02物料!$X1002="公司筐",N(对接源_02物料!$T1002)&lt;&gt;0)),1,0)</f>
        <v>0</v>
      </c>
      <c r="Q2202" s="3">
        <f t="shared" si="590"/>
        <v>8</v>
      </c>
      <c r="R2202" s="3">
        <f>IF(AND($K2202=1,AND(对接源_02物料!$X1002="公司筐",N(对接源_02物料!$U1002)&lt;&gt;0)),1,0)</f>
        <v>0</v>
      </c>
      <c r="S2202" s="3">
        <f t="shared" si="591"/>
        <v>0</v>
      </c>
      <c r="T2202" s="3">
        <f>IF(AND($K2202=1,AND(对接源_02物料!$X1002="公司筐",N(对接源_02物料!$V1002)&lt;&gt;0)),1,0)</f>
        <v>0</v>
      </c>
      <c r="U2202" s="3">
        <f t="shared" si="592"/>
        <v>19</v>
      </c>
      <c r="V2202" s="3">
        <f>IF(AND($L2202=1,AND(对接源_02物料!$X1002="自备筐",N(对接源_02物料!$V1002)&lt;&gt;0)),1,0)</f>
        <v>0</v>
      </c>
      <c r="W2202" s="3">
        <f t="shared" si="593"/>
        <v>8</v>
      </c>
      <c r="X2202" s="3">
        <f>IF(AND($L2202=1,AND(对接源_02物料!$X1002="自备筐",N(对接源_02物料!$T1002)&lt;&gt;0)),1,0)</f>
        <v>0</v>
      </c>
      <c r="Y2202" s="3">
        <f t="shared" si="594"/>
        <v>0</v>
      </c>
      <c r="Z2202" s="3">
        <f>IF(AND($M2202=1,对接源_02物料!$D1002="原料入库"),1,0)</f>
        <v>0</v>
      </c>
      <c r="AA2202" s="3">
        <f t="shared" si="595"/>
        <v>24</v>
      </c>
      <c r="AB2202" s="3">
        <f>IF(AND($M2202=1,LEFT(对接源_02物料!$D1002,4)="原料出库"),1,0)</f>
        <v>0</v>
      </c>
      <c r="AC2202" s="3">
        <f t="shared" si="596"/>
        <v>0</v>
      </c>
      <c r="AD2202" s="3">
        <f>IF(AND($M2202=1,LEFT(对接源_02物料!$D1002,4)="成品出库"),1,0)</f>
        <v>0</v>
      </c>
      <c r="AE2202" s="3">
        <f t="shared" si="597"/>
        <v>0</v>
      </c>
      <c r="AF2202" s="3">
        <f>IF(AND($N2202=1,AND(LEFT(对接源_02物料!$D1002,4)="包装物料",N(对接源_02物料!$K1002)&lt;&gt;0)),1,0)</f>
        <v>0</v>
      </c>
      <c r="AG2202" s="3">
        <f t="shared" si="598"/>
        <v>5</v>
      </c>
      <c r="AH2202" s="3">
        <f>IF(AND($N2202=1,AND(对接源_02物料!$D1002="周转筐－销售出库",N(对接源_02物料!$K1002)&lt;&gt;0)),1,0)</f>
        <v>0</v>
      </c>
      <c r="AI2202" s="3">
        <f t="shared" si="599"/>
        <v>0</v>
      </c>
      <c r="AL2202" s="3">
        <v>0</v>
      </c>
      <c r="AM2202" s="3">
        <f t="shared" si="600"/>
        <v>1</v>
      </c>
      <c r="AN2202" s="3" t="str">
        <f t="shared" si="587"/>
        <v/>
      </c>
      <c r="AO2202" s="3">
        <v>0</v>
      </c>
      <c r="AP2202" s="3">
        <f t="shared" si="601"/>
        <v>8</v>
      </c>
      <c r="AR2202">
        <f t="shared" si="602"/>
        <v>0</v>
      </c>
      <c r="AS2202">
        <f t="shared" si="603"/>
        <v>5</v>
      </c>
    </row>
    <row r="2203" customHeight="1" spans="1:45">
      <c r="A2203" s="3" t="str">
        <f>IF(对接源_02物料!$C1003="","",对接源_02物料!$C1003)</f>
        <v/>
      </c>
      <c r="B2203" s="3">
        <f t="shared" si="588"/>
        <v>0</v>
      </c>
      <c r="C2203" s="3">
        <f t="shared" si="589"/>
        <v>21</v>
      </c>
      <c r="K2203" s="3">
        <f>IF(OR($K$1="",对接源_02物料!$C1003="",对接源_02物料!$C1003&lt;&gt;$K$1,对接源_02物料!$B1003=""),0,IF(OR(N(对接源_02物料!$B1003)&lt;$K$2,N(对接源_02物料!$B1003)&gt;$K$3),0,1))</f>
        <v>0</v>
      </c>
      <c r="L2203" s="3">
        <f>IF(OR($L$1="",对接源_02物料!$C1003="",对接源_02物料!$C1003&lt;&gt;$L$1,对接源_02物料!$B1003=""),0,IF(OR(N(对接源_02物料!$B1003)&lt;$L$2,N(对接源_02物料!$B1003)&gt;$L$3),0,1))</f>
        <v>0</v>
      </c>
      <c r="M2203" s="3">
        <f>IF(OR($M$1="",对接源_02物料!$C1003="",对接源_02物料!$C1003&lt;&gt;$M$1,对接源_02物料!$B1003=""),0,IF(OR(N(对接源_02物料!$B1003)&lt;$M$2,N(对接源_02物料!$B1003)&gt;$M$3),0,1))</f>
        <v>0</v>
      </c>
      <c r="N2203" s="3">
        <f>IF(OR($N$1="",对接源_02物料!$C1003="",对接源_02物料!$C1003&lt;&gt;$N$1,对接源_02物料!$B1003=""),0,IF(OR(N(对接源_02物料!$B1003)&lt;$N$2,N(对接源_02物料!$B1003)&gt;$N$3),0,1))</f>
        <v>0</v>
      </c>
      <c r="P2203" s="3">
        <f>IF(AND($K2203=1,AND(对接源_02物料!$X1003="公司筐",N(对接源_02物料!$T1003)&lt;&gt;0)),1,0)</f>
        <v>0</v>
      </c>
      <c r="Q2203" s="3">
        <f t="shared" si="590"/>
        <v>8</v>
      </c>
      <c r="R2203" s="3">
        <f>IF(AND($K2203=1,AND(对接源_02物料!$X1003="公司筐",N(对接源_02物料!$U1003)&lt;&gt;0)),1,0)</f>
        <v>0</v>
      </c>
      <c r="S2203" s="3">
        <f t="shared" si="591"/>
        <v>0</v>
      </c>
      <c r="T2203" s="3">
        <f>IF(AND($K2203=1,AND(对接源_02物料!$X1003="公司筐",N(对接源_02物料!$V1003)&lt;&gt;0)),1,0)</f>
        <v>0</v>
      </c>
      <c r="U2203" s="3">
        <f t="shared" si="592"/>
        <v>19</v>
      </c>
      <c r="V2203" s="3">
        <f>IF(AND($L2203=1,AND(对接源_02物料!$X1003="自备筐",N(对接源_02物料!$V1003)&lt;&gt;0)),1,0)</f>
        <v>0</v>
      </c>
      <c r="W2203" s="3">
        <f t="shared" si="593"/>
        <v>8</v>
      </c>
      <c r="X2203" s="3">
        <f>IF(AND($L2203=1,AND(对接源_02物料!$X1003="自备筐",N(对接源_02物料!$T1003)&lt;&gt;0)),1,0)</f>
        <v>0</v>
      </c>
      <c r="Y2203" s="3">
        <f t="shared" si="594"/>
        <v>0</v>
      </c>
      <c r="Z2203" s="3">
        <f>IF(AND($M2203=1,对接源_02物料!$D1003="原料入库"),1,0)</f>
        <v>0</v>
      </c>
      <c r="AA2203" s="3">
        <f t="shared" si="595"/>
        <v>24</v>
      </c>
      <c r="AB2203" s="3">
        <f>IF(AND($M2203=1,LEFT(对接源_02物料!$D1003,4)="原料出库"),1,0)</f>
        <v>0</v>
      </c>
      <c r="AC2203" s="3">
        <f t="shared" si="596"/>
        <v>0</v>
      </c>
      <c r="AD2203" s="3">
        <f>IF(AND($M2203=1,LEFT(对接源_02物料!$D1003,4)="成品出库"),1,0)</f>
        <v>0</v>
      </c>
      <c r="AE2203" s="3">
        <f t="shared" si="597"/>
        <v>0</v>
      </c>
      <c r="AF2203" s="3">
        <f>IF(AND($N2203=1,AND(LEFT(对接源_02物料!$D1003,4)="包装物料",N(对接源_02物料!$K1003)&lt;&gt;0)),1,0)</f>
        <v>0</v>
      </c>
      <c r="AG2203" s="3">
        <f t="shared" si="598"/>
        <v>5</v>
      </c>
      <c r="AH2203" s="3">
        <f>IF(AND($N2203=1,AND(对接源_02物料!$D1003="周转筐－销售出库",N(对接源_02物料!$K1003)&lt;&gt;0)),1,0)</f>
        <v>0</v>
      </c>
      <c r="AI2203" s="3">
        <f t="shared" si="599"/>
        <v>0</v>
      </c>
      <c r="AL2203" s="3">
        <v>0</v>
      </c>
      <c r="AM2203" s="3">
        <f t="shared" si="600"/>
        <v>1</v>
      </c>
      <c r="AN2203" s="3" t="str">
        <f t="shared" si="587"/>
        <v/>
      </c>
      <c r="AO2203" s="3">
        <v>0</v>
      </c>
      <c r="AP2203" s="3">
        <f t="shared" si="601"/>
        <v>8</v>
      </c>
      <c r="AR2203">
        <f t="shared" si="602"/>
        <v>0</v>
      </c>
      <c r="AS2203">
        <f t="shared" si="603"/>
        <v>5</v>
      </c>
    </row>
    <row r="2204" customHeight="1" spans="1:45">
      <c r="A2204" s="3" t="str">
        <f>IF(对接源_02物料!$C1004="","",对接源_02物料!$C1004)</f>
        <v/>
      </c>
      <c r="B2204" s="3">
        <f t="shared" si="588"/>
        <v>0</v>
      </c>
      <c r="C2204" s="3">
        <f t="shared" si="589"/>
        <v>21</v>
      </c>
      <c r="K2204" s="3">
        <f>IF(OR($K$1="",对接源_02物料!$C1004="",对接源_02物料!$C1004&lt;&gt;$K$1,对接源_02物料!$B1004=""),0,IF(OR(N(对接源_02物料!$B1004)&lt;$K$2,N(对接源_02物料!$B1004)&gt;$K$3),0,1))</f>
        <v>0</v>
      </c>
      <c r="L2204" s="3">
        <f>IF(OR($L$1="",对接源_02物料!$C1004="",对接源_02物料!$C1004&lt;&gt;$L$1,对接源_02物料!$B1004=""),0,IF(OR(N(对接源_02物料!$B1004)&lt;$L$2,N(对接源_02物料!$B1004)&gt;$L$3),0,1))</f>
        <v>0</v>
      </c>
      <c r="M2204" s="3">
        <f>IF(OR($M$1="",对接源_02物料!$C1004="",对接源_02物料!$C1004&lt;&gt;$M$1,对接源_02物料!$B1004=""),0,IF(OR(N(对接源_02物料!$B1004)&lt;$M$2,N(对接源_02物料!$B1004)&gt;$M$3),0,1))</f>
        <v>0</v>
      </c>
      <c r="N2204" s="3">
        <f>IF(OR($N$1="",对接源_02物料!$C1004="",对接源_02物料!$C1004&lt;&gt;$N$1,对接源_02物料!$B1004=""),0,IF(OR(N(对接源_02物料!$B1004)&lt;$N$2,N(对接源_02物料!$B1004)&gt;$N$3),0,1))</f>
        <v>0</v>
      </c>
      <c r="P2204" s="3">
        <f>IF(AND($K2204=1,AND(对接源_02物料!$X1004="公司筐",N(对接源_02物料!$T1004)&lt;&gt;0)),1,0)</f>
        <v>0</v>
      </c>
      <c r="Q2204" s="3">
        <f t="shared" si="590"/>
        <v>8</v>
      </c>
      <c r="R2204" s="3">
        <f>IF(AND($K2204=1,AND(对接源_02物料!$X1004="公司筐",N(对接源_02物料!$U1004)&lt;&gt;0)),1,0)</f>
        <v>0</v>
      </c>
      <c r="S2204" s="3">
        <f t="shared" si="591"/>
        <v>0</v>
      </c>
      <c r="T2204" s="3">
        <f>IF(AND($K2204=1,AND(对接源_02物料!$X1004="公司筐",N(对接源_02物料!$V1004)&lt;&gt;0)),1,0)</f>
        <v>0</v>
      </c>
      <c r="U2204" s="3">
        <f t="shared" si="592"/>
        <v>19</v>
      </c>
      <c r="V2204" s="3">
        <f>IF(AND($L2204=1,AND(对接源_02物料!$X1004="自备筐",N(对接源_02物料!$V1004)&lt;&gt;0)),1,0)</f>
        <v>0</v>
      </c>
      <c r="W2204" s="3">
        <f t="shared" si="593"/>
        <v>8</v>
      </c>
      <c r="X2204" s="3">
        <f>IF(AND($L2204=1,AND(对接源_02物料!$X1004="自备筐",N(对接源_02物料!$T1004)&lt;&gt;0)),1,0)</f>
        <v>0</v>
      </c>
      <c r="Y2204" s="3">
        <f t="shared" si="594"/>
        <v>0</v>
      </c>
      <c r="Z2204" s="3">
        <f>IF(AND($M2204=1,对接源_02物料!$D1004="原料入库"),1,0)</f>
        <v>0</v>
      </c>
      <c r="AA2204" s="3">
        <f t="shared" si="595"/>
        <v>24</v>
      </c>
      <c r="AB2204" s="3">
        <f>IF(AND($M2204=1,LEFT(对接源_02物料!$D1004,4)="原料出库"),1,0)</f>
        <v>0</v>
      </c>
      <c r="AC2204" s="3">
        <f t="shared" si="596"/>
        <v>0</v>
      </c>
      <c r="AD2204" s="3">
        <f>IF(AND($M2204=1,LEFT(对接源_02物料!$D1004,4)="成品出库"),1,0)</f>
        <v>0</v>
      </c>
      <c r="AE2204" s="3">
        <f t="shared" si="597"/>
        <v>0</v>
      </c>
      <c r="AF2204" s="3">
        <f>IF(AND($N2204=1,AND(LEFT(对接源_02物料!$D1004,4)="包装物料",N(对接源_02物料!$K1004)&lt;&gt;0)),1,0)</f>
        <v>0</v>
      </c>
      <c r="AG2204" s="3">
        <f t="shared" si="598"/>
        <v>5</v>
      </c>
      <c r="AH2204" s="3">
        <f>IF(AND($N2204=1,AND(对接源_02物料!$D1004="周转筐－销售出库",N(对接源_02物料!$K1004)&lt;&gt;0)),1,0)</f>
        <v>0</v>
      </c>
      <c r="AI2204" s="3">
        <f t="shared" si="599"/>
        <v>0</v>
      </c>
      <c r="AL2204" s="3">
        <v>0</v>
      </c>
      <c r="AM2204" s="3">
        <f t="shared" si="600"/>
        <v>1</v>
      </c>
      <c r="AN2204" s="3" t="str">
        <f t="shared" si="587"/>
        <v/>
      </c>
      <c r="AO2204" s="3">
        <v>0</v>
      </c>
      <c r="AP2204" s="3">
        <f t="shared" si="601"/>
        <v>8</v>
      </c>
      <c r="AR2204">
        <f t="shared" si="602"/>
        <v>0</v>
      </c>
      <c r="AS2204">
        <f t="shared" si="603"/>
        <v>5</v>
      </c>
    </row>
    <row r="2205" customHeight="1" spans="1:45">
      <c r="A2205" s="3" t="str">
        <f>IF(对接源_02物料!$C1005="","",对接源_02物料!$C1005)</f>
        <v/>
      </c>
      <c r="B2205" s="3">
        <f t="shared" si="588"/>
        <v>0</v>
      </c>
      <c r="C2205" s="3">
        <f t="shared" si="589"/>
        <v>21</v>
      </c>
      <c r="K2205" s="3">
        <f>IF(OR($K$1="",对接源_02物料!$C1005="",对接源_02物料!$C1005&lt;&gt;$K$1,对接源_02物料!$B1005=""),0,IF(OR(N(对接源_02物料!$B1005)&lt;$K$2,N(对接源_02物料!$B1005)&gt;$K$3),0,1))</f>
        <v>0</v>
      </c>
      <c r="L2205" s="3">
        <f>IF(OR($L$1="",对接源_02物料!$C1005="",对接源_02物料!$C1005&lt;&gt;$L$1,对接源_02物料!$B1005=""),0,IF(OR(N(对接源_02物料!$B1005)&lt;$L$2,N(对接源_02物料!$B1005)&gt;$L$3),0,1))</f>
        <v>0</v>
      </c>
      <c r="M2205" s="3">
        <f>IF(OR($M$1="",对接源_02物料!$C1005="",对接源_02物料!$C1005&lt;&gt;$M$1,对接源_02物料!$B1005=""),0,IF(OR(N(对接源_02物料!$B1005)&lt;$M$2,N(对接源_02物料!$B1005)&gt;$M$3),0,1))</f>
        <v>0</v>
      </c>
      <c r="N2205" s="3">
        <f>IF(OR($N$1="",对接源_02物料!$C1005="",对接源_02物料!$C1005&lt;&gt;$N$1,对接源_02物料!$B1005=""),0,IF(OR(N(对接源_02物料!$B1005)&lt;$N$2,N(对接源_02物料!$B1005)&gt;$N$3),0,1))</f>
        <v>0</v>
      </c>
      <c r="P2205" s="3">
        <f>IF(AND($K2205=1,AND(对接源_02物料!$X1005="公司筐",N(对接源_02物料!$T1005)&lt;&gt;0)),1,0)</f>
        <v>0</v>
      </c>
      <c r="Q2205" s="3">
        <f t="shared" si="590"/>
        <v>8</v>
      </c>
      <c r="R2205" s="3">
        <f>IF(AND($K2205=1,AND(对接源_02物料!$X1005="公司筐",N(对接源_02物料!$U1005)&lt;&gt;0)),1,0)</f>
        <v>0</v>
      </c>
      <c r="S2205" s="3">
        <f t="shared" si="591"/>
        <v>0</v>
      </c>
      <c r="T2205" s="3">
        <f>IF(AND($K2205=1,AND(对接源_02物料!$X1005="公司筐",N(对接源_02物料!$V1005)&lt;&gt;0)),1,0)</f>
        <v>0</v>
      </c>
      <c r="U2205" s="3">
        <f t="shared" si="592"/>
        <v>19</v>
      </c>
      <c r="V2205" s="3">
        <f>IF(AND($L2205=1,AND(对接源_02物料!$X1005="自备筐",N(对接源_02物料!$V1005)&lt;&gt;0)),1,0)</f>
        <v>0</v>
      </c>
      <c r="W2205" s="3">
        <f t="shared" si="593"/>
        <v>8</v>
      </c>
      <c r="X2205" s="3">
        <f>IF(AND($L2205=1,AND(对接源_02物料!$X1005="自备筐",N(对接源_02物料!$T1005)&lt;&gt;0)),1,0)</f>
        <v>0</v>
      </c>
      <c r="Y2205" s="3">
        <f t="shared" si="594"/>
        <v>0</v>
      </c>
      <c r="Z2205" s="3">
        <f>IF(AND($M2205=1,对接源_02物料!$D1005="原料入库"),1,0)</f>
        <v>0</v>
      </c>
      <c r="AA2205" s="3">
        <f t="shared" si="595"/>
        <v>24</v>
      </c>
      <c r="AB2205" s="3">
        <f>IF(AND($M2205=1,LEFT(对接源_02物料!$D1005,4)="原料出库"),1,0)</f>
        <v>0</v>
      </c>
      <c r="AC2205" s="3">
        <f t="shared" si="596"/>
        <v>0</v>
      </c>
      <c r="AD2205" s="3">
        <f>IF(AND($M2205=1,LEFT(对接源_02物料!$D1005,4)="成品出库"),1,0)</f>
        <v>0</v>
      </c>
      <c r="AE2205" s="3">
        <f t="shared" si="597"/>
        <v>0</v>
      </c>
      <c r="AF2205" s="3">
        <f>IF(AND($N2205=1,AND(LEFT(对接源_02物料!$D1005,4)="包装物料",N(对接源_02物料!$K1005)&lt;&gt;0)),1,0)</f>
        <v>0</v>
      </c>
      <c r="AG2205" s="3">
        <f t="shared" si="598"/>
        <v>5</v>
      </c>
      <c r="AH2205" s="3">
        <f>IF(AND($N2205=1,AND(对接源_02物料!$D1005="周转筐－销售出库",N(对接源_02物料!$K1005)&lt;&gt;0)),1,0)</f>
        <v>0</v>
      </c>
      <c r="AI2205" s="3">
        <f t="shared" si="599"/>
        <v>0</v>
      </c>
      <c r="AL2205" s="3">
        <v>0</v>
      </c>
      <c r="AM2205" s="3">
        <f t="shared" si="600"/>
        <v>1</v>
      </c>
      <c r="AN2205" s="3" t="str">
        <f t="shared" si="587"/>
        <v/>
      </c>
      <c r="AO2205" s="3">
        <v>0</v>
      </c>
      <c r="AP2205" s="3">
        <f t="shared" si="601"/>
        <v>8</v>
      </c>
      <c r="AR2205">
        <f t="shared" si="602"/>
        <v>0</v>
      </c>
      <c r="AS2205">
        <f t="shared" si="603"/>
        <v>5</v>
      </c>
    </row>
    <row r="2206" customHeight="1" spans="1:45">
      <c r="A2206" s="3" t="str">
        <f>IF(对接源_02物料!$C1006="","",对接源_02物料!$C1006)</f>
        <v/>
      </c>
      <c r="B2206" s="3">
        <f t="shared" si="588"/>
        <v>0</v>
      </c>
      <c r="C2206" s="3">
        <f t="shared" si="589"/>
        <v>21</v>
      </c>
      <c r="K2206" s="3">
        <f>IF(OR($K$1="",对接源_02物料!$C1006="",对接源_02物料!$C1006&lt;&gt;$K$1,对接源_02物料!$B1006=""),0,IF(OR(N(对接源_02物料!$B1006)&lt;$K$2,N(对接源_02物料!$B1006)&gt;$K$3),0,1))</f>
        <v>0</v>
      </c>
      <c r="L2206" s="3">
        <f>IF(OR($L$1="",对接源_02物料!$C1006="",对接源_02物料!$C1006&lt;&gt;$L$1,对接源_02物料!$B1006=""),0,IF(OR(N(对接源_02物料!$B1006)&lt;$L$2,N(对接源_02物料!$B1006)&gt;$L$3),0,1))</f>
        <v>0</v>
      </c>
      <c r="M2206" s="3">
        <f>IF(OR($M$1="",对接源_02物料!$C1006="",对接源_02物料!$C1006&lt;&gt;$M$1,对接源_02物料!$B1006=""),0,IF(OR(N(对接源_02物料!$B1006)&lt;$M$2,N(对接源_02物料!$B1006)&gt;$M$3),0,1))</f>
        <v>0</v>
      </c>
      <c r="N2206" s="3">
        <f>IF(OR($N$1="",对接源_02物料!$C1006="",对接源_02物料!$C1006&lt;&gt;$N$1,对接源_02物料!$B1006=""),0,IF(OR(N(对接源_02物料!$B1006)&lt;$N$2,N(对接源_02物料!$B1006)&gt;$N$3),0,1))</f>
        <v>0</v>
      </c>
      <c r="P2206" s="3">
        <f>IF(AND($K2206=1,AND(对接源_02物料!$X1006="公司筐",N(对接源_02物料!$T1006)&lt;&gt;0)),1,0)</f>
        <v>0</v>
      </c>
      <c r="Q2206" s="3">
        <f t="shared" si="590"/>
        <v>8</v>
      </c>
      <c r="R2206" s="3">
        <f>IF(AND($K2206=1,AND(对接源_02物料!$X1006="公司筐",N(对接源_02物料!$U1006)&lt;&gt;0)),1,0)</f>
        <v>0</v>
      </c>
      <c r="S2206" s="3">
        <f t="shared" si="591"/>
        <v>0</v>
      </c>
      <c r="T2206" s="3">
        <f>IF(AND($K2206=1,AND(对接源_02物料!$X1006="公司筐",N(对接源_02物料!$V1006)&lt;&gt;0)),1,0)</f>
        <v>0</v>
      </c>
      <c r="U2206" s="3">
        <f t="shared" si="592"/>
        <v>19</v>
      </c>
      <c r="V2206" s="3">
        <f>IF(AND($L2206=1,AND(对接源_02物料!$X1006="自备筐",N(对接源_02物料!$V1006)&lt;&gt;0)),1,0)</f>
        <v>0</v>
      </c>
      <c r="W2206" s="3">
        <f t="shared" si="593"/>
        <v>8</v>
      </c>
      <c r="X2206" s="3">
        <f>IF(AND($L2206=1,AND(对接源_02物料!$X1006="自备筐",N(对接源_02物料!$T1006)&lt;&gt;0)),1,0)</f>
        <v>0</v>
      </c>
      <c r="Y2206" s="3">
        <f t="shared" si="594"/>
        <v>0</v>
      </c>
      <c r="Z2206" s="3">
        <f>IF(AND($M2206=1,对接源_02物料!$D1006="原料入库"),1,0)</f>
        <v>0</v>
      </c>
      <c r="AA2206" s="3">
        <f t="shared" si="595"/>
        <v>24</v>
      </c>
      <c r="AB2206" s="3">
        <f>IF(AND($M2206=1,LEFT(对接源_02物料!$D1006,4)="原料出库"),1,0)</f>
        <v>0</v>
      </c>
      <c r="AC2206" s="3">
        <f t="shared" si="596"/>
        <v>0</v>
      </c>
      <c r="AD2206" s="3">
        <f>IF(AND($M2206=1,LEFT(对接源_02物料!$D1006,4)="成品出库"),1,0)</f>
        <v>0</v>
      </c>
      <c r="AE2206" s="3">
        <f t="shared" si="597"/>
        <v>0</v>
      </c>
      <c r="AF2206" s="3">
        <f>IF(AND($N2206=1,AND(LEFT(对接源_02物料!$D1006,4)="包装物料",N(对接源_02物料!$K1006)&lt;&gt;0)),1,0)</f>
        <v>0</v>
      </c>
      <c r="AG2206" s="3">
        <f t="shared" si="598"/>
        <v>5</v>
      </c>
      <c r="AH2206" s="3">
        <f>IF(AND($N2206=1,AND(对接源_02物料!$D1006="周转筐－销售出库",N(对接源_02物料!$K1006)&lt;&gt;0)),1,0)</f>
        <v>0</v>
      </c>
      <c r="AI2206" s="3">
        <f t="shared" si="599"/>
        <v>0</v>
      </c>
      <c r="AL2206" s="3">
        <v>0</v>
      </c>
      <c r="AM2206" s="3">
        <f t="shared" si="600"/>
        <v>1</v>
      </c>
      <c r="AN2206" s="3" t="str">
        <f t="shared" si="587"/>
        <v/>
      </c>
      <c r="AO2206" s="3">
        <v>0</v>
      </c>
      <c r="AP2206" s="3">
        <f t="shared" si="601"/>
        <v>8</v>
      </c>
      <c r="AR2206">
        <f t="shared" si="602"/>
        <v>0</v>
      </c>
      <c r="AS2206">
        <f t="shared" si="603"/>
        <v>5</v>
      </c>
    </row>
    <row r="2207" customHeight="1" spans="1:45">
      <c r="A2207" s="3" t="str">
        <f>IF(对接源_02物料!$C1007="","",对接源_02物料!$C1007)</f>
        <v/>
      </c>
      <c r="B2207" s="3">
        <f t="shared" si="588"/>
        <v>0</v>
      </c>
      <c r="C2207" s="3">
        <f t="shared" si="589"/>
        <v>21</v>
      </c>
      <c r="K2207" s="3">
        <f>IF(OR($K$1="",对接源_02物料!$C1007="",对接源_02物料!$C1007&lt;&gt;$K$1,对接源_02物料!$B1007=""),0,IF(OR(N(对接源_02物料!$B1007)&lt;$K$2,N(对接源_02物料!$B1007)&gt;$K$3),0,1))</f>
        <v>0</v>
      </c>
      <c r="L2207" s="3">
        <f>IF(OR($L$1="",对接源_02物料!$C1007="",对接源_02物料!$C1007&lt;&gt;$L$1,对接源_02物料!$B1007=""),0,IF(OR(N(对接源_02物料!$B1007)&lt;$L$2,N(对接源_02物料!$B1007)&gt;$L$3),0,1))</f>
        <v>0</v>
      </c>
      <c r="M2207" s="3">
        <f>IF(OR($M$1="",对接源_02物料!$C1007="",对接源_02物料!$C1007&lt;&gt;$M$1,对接源_02物料!$B1007=""),0,IF(OR(N(对接源_02物料!$B1007)&lt;$M$2,N(对接源_02物料!$B1007)&gt;$M$3),0,1))</f>
        <v>0</v>
      </c>
      <c r="N2207" s="3">
        <f>IF(OR($N$1="",对接源_02物料!$C1007="",对接源_02物料!$C1007&lt;&gt;$N$1,对接源_02物料!$B1007=""),0,IF(OR(N(对接源_02物料!$B1007)&lt;$N$2,N(对接源_02物料!$B1007)&gt;$N$3),0,1))</f>
        <v>0</v>
      </c>
      <c r="P2207" s="3">
        <f>IF(AND($K2207=1,AND(对接源_02物料!$X1007="公司筐",N(对接源_02物料!$T1007)&lt;&gt;0)),1,0)</f>
        <v>0</v>
      </c>
      <c r="Q2207" s="3">
        <f t="shared" si="590"/>
        <v>8</v>
      </c>
      <c r="R2207" s="3">
        <f>IF(AND($K2207=1,AND(对接源_02物料!$X1007="公司筐",N(对接源_02物料!$U1007)&lt;&gt;0)),1,0)</f>
        <v>0</v>
      </c>
      <c r="S2207" s="3">
        <f t="shared" si="591"/>
        <v>0</v>
      </c>
      <c r="T2207" s="3">
        <f>IF(AND($K2207=1,AND(对接源_02物料!$X1007="公司筐",N(对接源_02物料!$V1007)&lt;&gt;0)),1,0)</f>
        <v>0</v>
      </c>
      <c r="U2207" s="3">
        <f t="shared" si="592"/>
        <v>19</v>
      </c>
      <c r="V2207" s="3">
        <f>IF(AND($L2207=1,AND(对接源_02物料!$X1007="自备筐",N(对接源_02物料!$V1007)&lt;&gt;0)),1,0)</f>
        <v>0</v>
      </c>
      <c r="W2207" s="3">
        <f t="shared" si="593"/>
        <v>8</v>
      </c>
      <c r="X2207" s="3">
        <f>IF(AND($L2207=1,AND(对接源_02物料!$X1007="自备筐",N(对接源_02物料!$T1007)&lt;&gt;0)),1,0)</f>
        <v>0</v>
      </c>
      <c r="Y2207" s="3">
        <f t="shared" si="594"/>
        <v>0</v>
      </c>
      <c r="Z2207" s="3">
        <f>IF(AND($M2207=1,对接源_02物料!$D1007="原料入库"),1,0)</f>
        <v>0</v>
      </c>
      <c r="AA2207" s="3">
        <f t="shared" si="595"/>
        <v>24</v>
      </c>
      <c r="AB2207" s="3">
        <f>IF(AND($M2207=1,LEFT(对接源_02物料!$D1007,4)="原料出库"),1,0)</f>
        <v>0</v>
      </c>
      <c r="AC2207" s="3">
        <f t="shared" si="596"/>
        <v>0</v>
      </c>
      <c r="AD2207" s="3">
        <f>IF(AND($M2207=1,LEFT(对接源_02物料!$D1007,4)="成品出库"),1,0)</f>
        <v>0</v>
      </c>
      <c r="AE2207" s="3">
        <f t="shared" si="597"/>
        <v>0</v>
      </c>
      <c r="AF2207" s="3">
        <f>IF(AND($N2207=1,AND(LEFT(对接源_02物料!$D1007,4)="包装物料",N(对接源_02物料!$K1007)&lt;&gt;0)),1,0)</f>
        <v>0</v>
      </c>
      <c r="AG2207" s="3">
        <f t="shared" si="598"/>
        <v>5</v>
      </c>
      <c r="AH2207" s="3">
        <f>IF(AND($N2207=1,AND(对接源_02物料!$D1007="周转筐－销售出库",N(对接源_02物料!$K1007)&lt;&gt;0)),1,0)</f>
        <v>0</v>
      </c>
      <c r="AI2207" s="3">
        <f t="shared" si="599"/>
        <v>0</v>
      </c>
      <c r="AL2207" s="3">
        <v>0</v>
      </c>
      <c r="AM2207" s="3">
        <f t="shared" si="600"/>
        <v>1</v>
      </c>
      <c r="AN2207" s="3" t="str">
        <f t="shared" si="587"/>
        <v/>
      </c>
      <c r="AO2207" s="3">
        <v>0</v>
      </c>
      <c r="AP2207" s="3">
        <f t="shared" si="601"/>
        <v>8</v>
      </c>
      <c r="AR2207">
        <f t="shared" si="602"/>
        <v>0</v>
      </c>
      <c r="AS2207">
        <f t="shared" si="603"/>
        <v>5</v>
      </c>
    </row>
    <row r="2208" customHeight="1" spans="1:45">
      <c r="A2208" s="3" t="str">
        <f>IF(对接源_02物料!$C1008="","",对接源_02物料!$C1008)</f>
        <v/>
      </c>
      <c r="B2208" s="3">
        <f t="shared" si="588"/>
        <v>0</v>
      </c>
      <c r="C2208" s="3">
        <f t="shared" si="589"/>
        <v>21</v>
      </c>
      <c r="K2208" s="3">
        <f>IF(OR($K$1="",对接源_02物料!$C1008="",对接源_02物料!$C1008&lt;&gt;$K$1,对接源_02物料!$B1008=""),0,IF(OR(N(对接源_02物料!$B1008)&lt;$K$2,N(对接源_02物料!$B1008)&gt;$K$3),0,1))</f>
        <v>0</v>
      </c>
      <c r="L2208" s="3">
        <f>IF(OR($L$1="",对接源_02物料!$C1008="",对接源_02物料!$C1008&lt;&gt;$L$1,对接源_02物料!$B1008=""),0,IF(OR(N(对接源_02物料!$B1008)&lt;$L$2,N(对接源_02物料!$B1008)&gt;$L$3),0,1))</f>
        <v>0</v>
      </c>
      <c r="M2208" s="3">
        <f>IF(OR($M$1="",对接源_02物料!$C1008="",对接源_02物料!$C1008&lt;&gt;$M$1,对接源_02物料!$B1008=""),0,IF(OR(N(对接源_02物料!$B1008)&lt;$M$2,N(对接源_02物料!$B1008)&gt;$M$3),0,1))</f>
        <v>0</v>
      </c>
      <c r="N2208" s="3">
        <f>IF(OR($N$1="",对接源_02物料!$C1008="",对接源_02物料!$C1008&lt;&gt;$N$1,对接源_02物料!$B1008=""),0,IF(OR(N(对接源_02物料!$B1008)&lt;$N$2,N(对接源_02物料!$B1008)&gt;$N$3),0,1))</f>
        <v>0</v>
      </c>
      <c r="P2208" s="3">
        <f>IF(AND($K2208=1,AND(对接源_02物料!$X1008="公司筐",N(对接源_02物料!$T1008)&lt;&gt;0)),1,0)</f>
        <v>0</v>
      </c>
      <c r="Q2208" s="3">
        <f t="shared" si="590"/>
        <v>8</v>
      </c>
      <c r="R2208" s="3">
        <f>IF(AND($K2208=1,AND(对接源_02物料!$X1008="公司筐",N(对接源_02物料!$U1008)&lt;&gt;0)),1,0)</f>
        <v>0</v>
      </c>
      <c r="S2208" s="3">
        <f t="shared" si="591"/>
        <v>0</v>
      </c>
      <c r="T2208" s="3">
        <f>IF(AND($K2208=1,AND(对接源_02物料!$X1008="公司筐",N(对接源_02物料!$V1008)&lt;&gt;0)),1,0)</f>
        <v>0</v>
      </c>
      <c r="U2208" s="3">
        <f t="shared" si="592"/>
        <v>19</v>
      </c>
      <c r="V2208" s="3">
        <f>IF(AND($L2208=1,AND(对接源_02物料!$X1008="自备筐",N(对接源_02物料!$V1008)&lt;&gt;0)),1,0)</f>
        <v>0</v>
      </c>
      <c r="W2208" s="3">
        <f t="shared" si="593"/>
        <v>8</v>
      </c>
      <c r="X2208" s="3">
        <f>IF(AND($L2208=1,AND(对接源_02物料!$X1008="自备筐",N(对接源_02物料!$T1008)&lt;&gt;0)),1,0)</f>
        <v>0</v>
      </c>
      <c r="Y2208" s="3">
        <f t="shared" si="594"/>
        <v>0</v>
      </c>
      <c r="Z2208" s="3">
        <f>IF(AND($M2208=1,对接源_02物料!$D1008="原料入库"),1,0)</f>
        <v>0</v>
      </c>
      <c r="AA2208" s="3">
        <f t="shared" si="595"/>
        <v>24</v>
      </c>
      <c r="AB2208" s="3">
        <f>IF(AND($M2208=1,LEFT(对接源_02物料!$D1008,4)="原料出库"),1,0)</f>
        <v>0</v>
      </c>
      <c r="AC2208" s="3">
        <f t="shared" si="596"/>
        <v>0</v>
      </c>
      <c r="AD2208" s="3">
        <f>IF(AND($M2208=1,LEFT(对接源_02物料!$D1008,4)="成品出库"),1,0)</f>
        <v>0</v>
      </c>
      <c r="AE2208" s="3">
        <f t="shared" si="597"/>
        <v>0</v>
      </c>
      <c r="AF2208" s="3">
        <f>IF(AND($N2208=1,AND(LEFT(对接源_02物料!$D1008,4)="包装物料",N(对接源_02物料!$K1008)&lt;&gt;0)),1,0)</f>
        <v>0</v>
      </c>
      <c r="AG2208" s="3">
        <f t="shared" si="598"/>
        <v>5</v>
      </c>
      <c r="AH2208" s="3">
        <f>IF(AND($N2208=1,AND(对接源_02物料!$D1008="周转筐－销售出库",N(对接源_02物料!$K1008)&lt;&gt;0)),1,0)</f>
        <v>0</v>
      </c>
      <c r="AI2208" s="3">
        <f t="shared" si="599"/>
        <v>0</v>
      </c>
      <c r="AL2208" s="3">
        <v>0</v>
      </c>
      <c r="AM2208" s="3">
        <f t="shared" si="600"/>
        <v>1</v>
      </c>
      <c r="AN2208" s="3" t="str">
        <f t="shared" si="587"/>
        <v/>
      </c>
      <c r="AO2208" s="3">
        <v>0</v>
      </c>
      <c r="AP2208" s="3">
        <f t="shared" si="601"/>
        <v>8</v>
      </c>
      <c r="AR2208">
        <f t="shared" si="602"/>
        <v>0</v>
      </c>
      <c r="AS2208">
        <f t="shared" si="603"/>
        <v>5</v>
      </c>
    </row>
    <row r="2209" customHeight="1" spans="1:45">
      <c r="A2209" s="3" t="str">
        <f>IF(对接源_02物料!$C1009="","",对接源_02物料!$C1009)</f>
        <v/>
      </c>
      <c r="B2209" s="3">
        <f t="shared" si="588"/>
        <v>0</v>
      </c>
      <c r="C2209" s="3">
        <f t="shared" si="589"/>
        <v>21</v>
      </c>
      <c r="K2209" s="3">
        <f>IF(OR($K$1="",对接源_02物料!$C1009="",对接源_02物料!$C1009&lt;&gt;$K$1,对接源_02物料!$B1009=""),0,IF(OR(N(对接源_02物料!$B1009)&lt;$K$2,N(对接源_02物料!$B1009)&gt;$K$3),0,1))</f>
        <v>0</v>
      </c>
      <c r="L2209" s="3">
        <f>IF(OR($L$1="",对接源_02物料!$C1009="",对接源_02物料!$C1009&lt;&gt;$L$1,对接源_02物料!$B1009=""),0,IF(OR(N(对接源_02物料!$B1009)&lt;$L$2,N(对接源_02物料!$B1009)&gt;$L$3),0,1))</f>
        <v>0</v>
      </c>
      <c r="M2209" s="3">
        <f>IF(OR($M$1="",对接源_02物料!$C1009="",对接源_02物料!$C1009&lt;&gt;$M$1,对接源_02物料!$B1009=""),0,IF(OR(N(对接源_02物料!$B1009)&lt;$M$2,N(对接源_02物料!$B1009)&gt;$M$3),0,1))</f>
        <v>0</v>
      </c>
      <c r="N2209" s="3">
        <f>IF(OR($N$1="",对接源_02物料!$C1009="",对接源_02物料!$C1009&lt;&gt;$N$1,对接源_02物料!$B1009=""),0,IF(OR(N(对接源_02物料!$B1009)&lt;$N$2,N(对接源_02物料!$B1009)&gt;$N$3),0,1))</f>
        <v>0</v>
      </c>
      <c r="P2209" s="3">
        <f>IF(AND($K2209=1,AND(对接源_02物料!$X1009="公司筐",N(对接源_02物料!$T1009)&lt;&gt;0)),1,0)</f>
        <v>0</v>
      </c>
      <c r="Q2209" s="3">
        <f t="shared" si="590"/>
        <v>8</v>
      </c>
      <c r="R2209" s="3">
        <f>IF(AND($K2209=1,AND(对接源_02物料!$X1009="公司筐",N(对接源_02物料!$U1009)&lt;&gt;0)),1,0)</f>
        <v>0</v>
      </c>
      <c r="S2209" s="3">
        <f t="shared" si="591"/>
        <v>0</v>
      </c>
      <c r="T2209" s="3">
        <f>IF(AND($K2209=1,AND(对接源_02物料!$X1009="公司筐",N(对接源_02物料!$V1009)&lt;&gt;0)),1,0)</f>
        <v>0</v>
      </c>
      <c r="U2209" s="3">
        <f t="shared" si="592"/>
        <v>19</v>
      </c>
      <c r="V2209" s="3">
        <f>IF(AND($L2209=1,AND(对接源_02物料!$X1009="自备筐",N(对接源_02物料!$V1009)&lt;&gt;0)),1,0)</f>
        <v>0</v>
      </c>
      <c r="W2209" s="3">
        <f t="shared" si="593"/>
        <v>8</v>
      </c>
      <c r="X2209" s="3">
        <f>IF(AND($L2209=1,AND(对接源_02物料!$X1009="自备筐",N(对接源_02物料!$T1009)&lt;&gt;0)),1,0)</f>
        <v>0</v>
      </c>
      <c r="Y2209" s="3">
        <f t="shared" si="594"/>
        <v>0</v>
      </c>
      <c r="Z2209" s="3">
        <f>IF(AND($M2209=1,对接源_02物料!$D1009="原料入库"),1,0)</f>
        <v>0</v>
      </c>
      <c r="AA2209" s="3">
        <f t="shared" si="595"/>
        <v>24</v>
      </c>
      <c r="AB2209" s="3">
        <f>IF(AND($M2209=1,LEFT(对接源_02物料!$D1009,4)="原料出库"),1,0)</f>
        <v>0</v>
      </c>
      <c r="AC2209" s="3">
        <f t="shared" si="596"/>
        <v>0</v>
      </c>
      <c r="AD2209" s="3">
        <f>IF(AND($M2209=1,LEFT(对接源_02物料!$D1009,4)="成品出库"),1,0)</f>
        <v>0</v>
      </c>
      <c r="AE2209" s="3">
        <f t="shared" si="597"/>
        <v>0</v>
      </c>
      <c r="AF2209" s="3">
        <f>IF(AND($N2209=1,AND(LEFT(对接源_02物料!$D1009,4)="包装物料",N(对接源_02物料!$K1009)&lt;&gt;0)),1,0)</f>
        <v>0</v>
      </c>
      <c r="AG2209" s="3">
        <f t="shared" si="598"/>
        <v>5</v>
      </c>
      <c r="AH2209" s="3">
        <f>IF(AND($N2209=1,AND(对接源_02物料!$D1009="周转筐－销售出库",N(对接源_02物料!$K1009)&lt;&gt;0)),1,0)</f>
        <v>0</v>
      </c>
      <c r="AI2209" s="3">
        <f t="shared" si="599"/>
        <v>0</v>
      </c>
      <c r="AL2209" s="3">
        <v>0</v>
      </c>
      <c r="AM2209" s="3">
        <f t="shared" si="600"/>
        <v>1</v>
      </c>
      <c r="AN2209" s="3" t="str">
        <f t="shared" si="587"/>
        <v/>
      </c>
      <c r="AO2209" s="3">
        <v>0</v>
      </c>
      <c r="AP2209" s="3">
        <f t="shared" si="601"/>
        <v>8</v>
      </c>
      <c r="AR2209">
        <f t="shared" si="602"/>
        <v>0</v>
      </c>
      <c r="AS2209">
        <f t="shared" si="603"/>
        <v>5</v>
      </c>
    </row>
    <row r="2210" customHeight="1" spans="1:45">
      <c r="A2210" s="3" t="str">
        <f>IF(对接源_02物料!$C1010="","",对接源_02物料!$C1010)</f>
        <v/>
      </c>
      <c r="B2210" s="3">
        <f t="shared" si="588"/>
        <v>0</v>
      </c>
      <c r="C2210" s="3">
        <f t="shared" si="589"/>
        <v>21</v>
      </c>
      <c r="K2210" s="3">
        <f>IF(OR($K$1="",对接源_02物料!$C1010="",对接源_02物料!$C1010&lt;&gt;$K$1,对接源_02物料!$B1010=""),0,IF(OR(N(对接源_02物料!$B1010)&lt;$K$2,N(对接源_02物料!$B1010)&gt;$K$3),0,1))</f>
        <v>0</v>
      </c>
      <c r="L2210" s="3">
        <f>IF(OR($L$1="",对接源_02物料!$C1010="",对接源_02物料!$C1010&lt;&gt;$L$1,对接源_02物料!$B1010=""),0,IF(OR(N(对接源_02物料!$B1010)&lt;$L$2,N(对接源_02物料!$B1010)&gt;$L$3),0,1))</f>
        <v>0</v>
      </c>
      <c r="M2210" s="3">
        <f>IF(OR($M$1="",对接源_02物料!$C1010="",对接源_02物料!$C1010&lt;&gt;$M$1,对接源_02物料!$B1010=""),0,IF(OR(N(对接源_02物料!$B1010)&lt;$M$2,N(对接源_02物料!$B1010)&gt;$M$3),0,1))</f>
        <v>0</v>
      </c>
      <c r="N2210" s="3">
        <f>IF(OR($N$1="",对接源_02物料!$C1010="",对接源_02物料!$C1010&lt;&gt;$N$1,对接源_02物料!$B1010=""),0,IF(OR(N(对接源_02物料!$B1010)&lt;$N$2,N(对接源_02物料!$B1010)&gt;$N$3),0,1))</f>
        <v>0</v>
      </c>
      <c r="P2210" s="3">
        <f>IF(AND($K2210=1,AND(对接源_02物料!$X1010="公司筐",N(对接源_02物料!$T1010)&lt;&gt;0)),1,0)</f>
        <v>0</v>
      </c>
      <c r="Q2210" s="3">
        <f t="shared" si="590"/>
        <v>8</v>
      </c>
      <c r="R2210" s="3">
        <f>IF(AND($K2210=1,AND(对接源_02物料!$X1010="公司筐",N(对接源_02物料!$U1010)&lt;&gt;0)),1,0)</f>
        <v>0</v>
      </c>
      <c r="S2210" s="3">
        <f t="shared" si="591"/>
        <v>0</v>
      </c>
      <c r="T2210" s="3">
        <f>IF(AND($K2210=1,AND(对接源_02物料!$X1010="公司筐",N(对接源_02物料!$V1010)&lt;&gt;0)),1,0)</f>
        <v>0</v>
      </c>
      <c r="U2210" s="3">
        <f t="shared" si="592"/>
        <v>19</v>
      </c>
      <c r="V2210" s="3">
        <f>IF(AND($L2210=1,AND(对接源_02物料!$X1010="自备筐",N(对接源_02物料!$V1010)&lt;&gt;0)),1,0)</f>
        <v>0</v>
      </c>
      <c r="W2210" s="3">
        <f t="shared" si="593"/>
        <v>8</v>
      </c>
      <c r="X2210" s="3">
        <f>IF(AND($L2210=1,AND(对接源_02物料!$X1010="自备筐",N(对接源_02物料!$T1010)&lt;&gt;0)),1,0)</f>
        <v>0</v>
      </c>
      <c r="Y2210" s="3">
        <f t="shared" si="594"/>
        <v>0</v>
      </c>
      <c r="Z2210" s="3">
        <f>IF(AND($M2210=1,对接源_02物料!$D1010="原料入库"),1,0)</f>
        <v>0</v>
      </c>
      <c r="AA2210" s="3">
        <f t="shared" si="595"/>
        <v>24</v>
      </c>
      <c r="AB2210" s="3">
        <f>IF(AND($M2210=1,LEFT(对接源_02物料!$D1010,4)="原料出库"),1,0)</f>
        <v>0</v>
      </c>
      <c r="AC2210" s="3">
        <f t="shared" si="596"/>
        <v>0</v>
      </c>
      <c r="AD2210" s="3">
        <f>IF(AND($M2210=1,LEFT(对接源_02物料!$D1010,4)="成品出库"),1,0)</f>
        <v>0</v>
      </c>
      <c r="AE2210" s="3">
        <f t="shared" si="597"/>
        <v>0</v>
      </c>
      <c r="AF2210" s="3">
        <f>IF(AND($N2210=1,AND(LEFT(对接源_02物料!$D1010,4)="包装物料",N(对接源_02物料!$K1010)&lt;&gt;0)),1,0)</f>
        <v>0</v>
      </c>
      <c r="AG2210" s="3">
        <f t="shared" si="598"/>
        <v>5</v>
      </c>
      <c r="AH2210" s="3">
        <f>IF(AND($N2210=1,AND(对接源_02物料!$D1010="周转筐－销售出库",N(对接源_02物料!$K1010)&lt;&gt;0)),1,0)</f>
        <v>0</v>
      </c>
      <c r="AI2210" s="3">
        <f t="shared" si="599"/>
        <v>0</v>
      </c>
      <c r="AL2210" s="3">
        <v>0</v>
      </c>
      <c r="AM2210" s="3">
        <f t="shared" si="600"/>
        <v>1</v>
      </c>
      <c r="AN2210" s="3" t="str">
        <f t="shared" si="587"/>
        <v/>
      </c>
      <c r="AO2210" s="3">
        <v>0</v>
      </c>
      <c r="AP2210" s="3">
        <f t="shared" si="601"/>
        <v>8</v>
      </c>
      <c r="AR2210">
        <f t="shared" si="602"/>
        <v>0</v>
      </c>
      <c r="AS2210">
        <f t="shared" si="603"/>
        <v>5</v>
      </c>
    </row>
    <row r="2211" customHeight="1" spans="1:45">
      <c r="A2211" s="3" t="str">
        <f>IF(对接源_02物料!$C1011="","",对接源_02物料!$C1011)</f>
        <v/>
      </c>
      <c r="B2211" s="3">
        <f t="shared" si="588"/>
        <v>0</v>
      </c>
      <c r="C2211" s="3">
        <f t="shared" si="589"/>
        <v>21</v>
      </c>
      <c r="K2211" s="3">
        <f>IF(OR($K$1="",对接源_02物料!$C1011="",对接源_02物料!$C1011&lt;&gt;$K$1,对接源_02物料!$B1011=""),0,IF(OR(N(对接源_02物料!$B1011)&lt;$K$2,N(对接源_02物料!$B1011)&gt;$K$3),0,1))</f>
        <v>0</v>
      </c>
      <c r="L2211" s="3">
        <f>IF(OR($L$1="",对接源_02物料!$C1011="",对接源_02物料!$C1011&lt;&gt;$L$1,对接源_02物料!$B1011=""),0,IF(OR(N(对接源_02物料!$B1011)&lt;$L$2,N(对接源_02物料!$B1011)&gt;$L$3),0,1))</f>
        <v>0</v>
      </c>
      <c r="M2211" s="3">
        <f>IF(OR($M$1="",对接源_02物料!$C1011="",对接源_02物料!$C1011&lt;&gt;$M$1,对接源_02物料!$B1011=""),0,IF(OR(N(对接源_02物料!$B1011)&lt;$M$2,N(对接源_02物料!$B1011)&gt;$M$3),0,1))</f>
        <v>0</v>
      </c>
      <c r="N2211" s="3">
        <f>IF(OR($N$1="",对接源_02物料!$C1011="",对接源_02物料!$C1011&lt;&gt;$N$1,对接源_02物料!$B1011=""),0,IF(OR(N(对接源_02物料!$B1011)&lt;$N$2,N(对接源_02物料!$B1011)&gt;$N$3),0,1))</f>
        <v>0</v>
      </c>
      <c r="P2211" s="3">
        <f>IF(AND($K2211=1,AND(对接源_02物料!$X1011="公司筐",N(对接源_02物料!$T1011)&lt;&gt;0)),1,0)</f>
        <v>0</v>
      </c>
      <c r="Q2211" s="3">
        <f t="shared" si="590"/>
        <v>8</v>
      </c>
      <c r="R2211" s="3">
        <f>IF(AND($K2211=1,AND(对接源_02物料!$X1011="公司筐",N(对接源_02物料!$U1011)&lt;&gt;0)),1,0)</f>
        <v>0</v>
      </c>
      <c r="S2211" s="3">
        <f t="shared" si="591"/>
        <v>0</v>
      </c>
      <c r="T2211" s="3">
        <f>IF(AND($K2211=1,AND(对接源_02物料!$X1011="公司筐",N(对接源_02物料!$V1011)&lt;&gt;0)),1,0)</f>
        <v>0</v>
      </c>
      <c r="U2211" s="3">
        <f t="shared" si="592"/>
        <v>19</v>
      </c>
      <c r="V2211" s="3">
        <f>IF(AND($L2211=1,AND(对接源_02物料!$X1011="自备筐",N(对接源_02物料!$V1011)&lt;&gt;0)),1,0)</f>
        <v>0</v>
      </c>
      <c r="W2211" s="3">
        <f t="shared" si="593"/>
        <v>8</v>
      </c>
      <c r="X2211" s="3">
        <f>IF(AND($L2211=1,AND(对接源_02物料!$X1011="自备筐",N(对接源_02物料!$T1011)&lt;&gt;0)),1,0)</f>
        <v>0</v>
      </c>
      <c r="Y2211" s="3">
        <f t="shared" si="594"/>
        <v>0</v>
      </c>
      <c r="Z2211" s="3">
        <f>IF(AND($M2211=1,对接源_02物料!$D1011="原料入库"),1,0)</f>
        <v>0</v>
      </c>
      <c r="AA2211" s="3">
        <f t="shared" si="595"/>
        <v>24</v>
      </c>
      <c r="AB2211" s="3">
        <f>IF(AND($M2211=1,LEFT(对接源_02物料!$D1011,4)="原料出库"),1,0)</f>
        <v>0</v>
      </c>
      <c r="AC2211" s="3">
        <f t="shared" si="596"/>
        <v>0</v>
      </c>
      <c r="AD2211" s="3">
        <f>IF(AND($M2211=1,LEFT(对接源_02物料!$D1011,4)="成品出库"),1,0)</f>
        <v>0</v>
      </c>
      <c r="AE2211" s="3">
        <f t="shared" si="597"/>
        <v>0</v>
      </c>
      <c r="AF2211" s="3">
        <f>IF(AND($N2211=1,AND(LEFT(对接源_02物料!$D1011,4)="包装物料",N(对接源_02物料!$K1011)&lt;&gt;0)),1,0)</f>
        <v>0</v>
      </c>
      <c r="AG2211" s="3">
        <f t="shared" si="598"/>
        <v>5</v>
      </c>
      <c r="AH2211" s="3">
        <f>IF(AND($N2211=1,AND(对接源_02物料!$D1011="周转筐－销售出库",N(对接源_02物料!$K1011)&lt;&gt;0)),1,0)</f>
        <v>0</v>
      </c>
      <c r="AI2211" s="3">
        <f t="shared" si="599"/>
        <v>0</v>
      </c>
      <c r="AL2211" s="3">
        <v>0</v>
      </c>
      <c r="AM2211" s="3">
        <f t="shared" si="600"/>
        <v>1</v>
      </c>
      <c r="AN2211" s="3" t="str">
        <f t="shared" si="587"/>
        <v/>
      </c>
      <c r="AO2211" s="3">
        <v>0</v>
      </c>
      <c r="AP2211" s="3">
        <f t="shared" si="601"/>
        <v>8</v>
      </c>
      <c r="AR2211">
        <f t="shared" si="602"/>
        <v>0</v>
      </c>
      <c r="AS2211">
        <f t="shared" si="603"/>
        <v>5</v>
      </c>
    </row>
    <row r="2212" customHeight="1" spans="1:45">
      <c r="A2212" s="3" t="str">
        <f>IF(对接源_02物料!$C1012="","",对接源_02物料!$C1012)</f>
        <v/>
      </c>
      <c r="B2212" s="3">
        <f t="shared" si="588"/>
        <v>0</v>
      </c>
      <c r="C2212" s="3">
        <f t="shared" si="589"/>
        <v>21</v>
      </c>
      <c r="K2212" s="3">
        <f>IF(OR($K$1="",对接源_02物料!$C1012="",对接源_02物料!$C1012&lt;&gt;$K$1,对接源_02物料!$B1012=""),0,IF(OR(N(对接源_02物料!$B1012)&lt;$K$2,N(对接源_02物料!$B1012)&gt;$K$3),0,1))</f>
        <v>0</v>
      </c>
      <c r="L2212" s="3">
        <f>IF(OR($L$1="",对接源_02物料!$C1012="",对接源_02物料!$C1012&lt;&gt;$L$1,对接源_02物料!$B1012=""),0,IF(OR(N(对接源_02物料!$B1012)&lt;$L$2,N(对接源_02物料!$B1012)&gt;$L$3),0,1))</f>
        <v>0</v>
      </c>
      <c r="M2212" s="3">
        <f>IF(OR($M$1="",对接源_02物料!$C1012="",对接源_02物料!$C1012&lt;&gt;$M$1,对接源_02物料!$B1012=""),0,IF(OR(N(对接源_02物料!$B1012)&lt;$M$2,N(对接源_02物料!$B1012)&gt;$M$3),0,1))</f>
        <v>0</v>
      </c>
      <c r="N2212" s="3">
        <f>IF(OR($N$1="",对接源_02物料!$C1012="",对接源_02物料!$C1012&lt;&gt;$N$1,对接源_02物料!$B1012=""),0,IF(OR(N(对接源_02物料!$B1012)&lt;$N$2,N(对接源_02物料!$B1012)&gt;$N$3),0,1))</f>
        <v>0</v>
      </c>
      <c r="P2212" s="3">
        <f>IF(AND($K2212=1,AND(对接源_02物料!$X1012="公司筐",N(对接源_02物料!$T1012)&lt;&gt;0)),1,0)</f>
        <v>0</v>
      </c>
      <c r="Q2212" s="3">
        <f t="shared" si="590"/>
        <v>8</v>
      </c>
      <c r="R2212" s="3">
        <f>IF(AND($K2212=1,AND(对接源_02物料!$X1012="公司筐",N(对接源_02物料!$U1012)&lt;&gt;0)),1,0)</f>
        <v>0</v>
      </c>
      <c r="S2212" s="3">
        <f t="shared" si="591"/>
        <v>0</v>
      </c>
      <c r="T2212" s="3">
        <f>IF(AND($K2212=1,AND(对接源_02物料!$X1012="公司筐",N(对接源_02物料!$V1012)&lt;&gt;0)),1,0)</f>
        <v>0</v>
      </c>
      <c r="U2212" s="3">
        <f t="shared" si="592"/>
        <v>19</v>
      </c>
      <c r="V2212" s="3">
        <f>IF(AND($L2212=1,AND(对接源_02物料!$X1012="自备筐",N(对接源_02物料!$V1012)&lt;&gt;0)),1,0)</f>
        <v>0</v>
      </c>
      <c r="W2212" s="3">
        <f t="shared" si="593"/>
        <v>8</v>
      </c>
      <c r="X2212" s="3">
        <f>IF(AND($L2212=1,AND(对接源_02物料!$X1012="自备筐",N(对接源_02物料!$T1012)&lt;&gt;0)),1,0)</f>
        <v>0</v>
      </c>
      <c r="Y2212" s="3">
        <f t="shared" si="594"/>
        <v>0</v>
      </c>
      <c r="Z2212" s="3">
        <f>IF(AND($M2212=1,对接源_02物料!$D1012="原料入库"),1,0)</f>
        <v>0</v>
      </c>
      <c r="AA2212" s="3">
        <f t="shared" si="595"/>
        <v>24</v>
      </c>
      <c r="AB2212" s="3">
        <f>IF(AND($M2212=1,LEFT(对接源_02物料!$D1012,4)="原料出库"),1,0)</f>
        <v>0</v>
      </c>
      <c r="AC2212" s="3">
        <f t="shared" si="596"/>
        <v>0</v>
      </c>
      <c r="AD2212" s="3">
        <f>IF(AND($M2212=1,LEFT(对接源_02物料!$D1012,4)="成品出库"),1,0)</f>
        <v>0</v>
      </c>
      <c r="AE2212" s="3">
        <f t="shared" si="597"/>
        <v>0</v>
      </c>
      <c r="AF2212" s="3">
        <f>IF(AND($N2212=1,AND(LEFT(对接源_02物料!$D1012,4)="包装物料",N(对接源_02物料!$K1012)&lt;&gt;0)),1,0)</f>
        <v>0</v>
      </c>
      <c r="AG2212" s="3">
        <f t="shared" si="598"/>
        <v>5</v>
      </c>
      <c r="AH2212" s="3">
        <f>IF(AND($N2212=1,AND(对接源_02物料!$D1012="周转筐－销售出库",N(对接源_02物料!$K1012)&lt;&gt;0)),1,0)</f>
        <v>0</v>
      </c>
      <c r="AI2212" s="3">
        <f t="shared" si="599"/>
        <v>0</v>
      </c>
      <c r="AL2212" s="3">
        <v>0</v>
      </c>
      <c r="AM2212" s="3">
        <f t="shared" si="600"/>
        <v>1</v>
      </c>
      <c r="AN2212" s="3" t="str">
        <f t="shared" si="587"/>
        <v/>
      </c>
      <c r="AO2212" s="3">
        <v>0</v>
      </c>
      <c r="AP2212" s="3">
        <f t="shared" si="601"/>
        <v>8</v>
      </c>
      <c r="AR2212">
        <f t="shared" si="602"/>
        <v>0</v>
      </c>
      <c r="AS2212">
        <f t="shared" si="603"/>
        <v>5</v>
      </c>
    </row>
    <row r="2213" customHeight="1" spans="1:45">
      <c r="A2213" s="3" t="str">
        <f>IF(对接源_02物料!$C1013="","",对接源_02物料!$C1013)</f>
        <v/>
      </c>
      <c r="B2213" s="3">
        <f t="shared" si="588"/>
        <v>0</v>
      </c>
      <c r="C2213" s="3">
        <f t="shared" si="589"/>
        <v>21</v>
      </c>
      <c r="K2213" s="3">
        <f>IF(OR($K$1="",对接源_02物料!$C1013="",对接源_02物料!$C1013&lt;&gt;$K$1,对接源_02物料!$B1013=""),0,IF(OR(N(对接源_02物料!$B1013)&lt;$K$2,N(对接源_02物料!$B1013)&gt;$K$3),0,1))</f>
        <v>0</v>
      </c>
      <c r="L2213" s="3">
        <f>IF(OR($L$1="",对接源_02物料!$C1013="",对接源_02物料!$C1013&lt;&gt;$L$1,对接源_02物料!$B1013=""),0,IF(OR(N(对接源_02物料!$B1013)&lt;$L$2,N(对接源_02物料!$B1013)&gt;$L$3),0,1))</f>
        <v>0</v>
      </c>
      <c r="M2213" s="3">
        <f>IF(OR($M$1="",对接源_02物料!$C1013="",对接源_02物料!$C1013&lt;&gt;$M$1,对接源_02物料!$B1013=""),0,IF(OR(N(对接源_02物料!$B1013)&lt;$M$2,N(对接源_02物料!$B1013)&gt;$M$3),0,1))</f>
        <v>0</v>
      </c>
      <c r="N2213" s="3">
        <f>IF(OR($N$1="",对接源_02物料!$C1013="",对接源_02物料!$C1013&lt;&gt;$N$1,对接源_02物料!$B1013=""),0,IF(OR(N(对接源_02物料!$B1013)&lt;$N$2,N(对接源_02物料!$B1013)&gt;$N$3),0,1))</f>
        <v>0</v>
      </c>
      <c r="P2213" s="3">
        <f>IF(AND($K2213=1,AND(对接源_02物料!$X1013="公司筐",N(对接源_02物料!$T1013)&lt;&gt;0)),1,0)</f>
        <v>0</v>
      </c>
      <c r="Q2213" s="3">
        <f t="shared" si="590"/>
        <v>8</v>
      </c>
      <c r="R2213" s="3">
        <f>IF(AND($K2213=1,AND(对接源_02物料!$X1013="公司筐",N(对接源_02物料!$U1013)&lt;&gt;0)),1,0)</f>
        <v>0</v>
      </c>
      <c r="S2213" s="3">
        <f t="shared" si="591"/>
        <v>0</v>
      </c>
      <c r="T2213" s="3">
        <f>IF(AND($K2213=1,AND(对接源_02物料!$X1013="公司筐",N(对接源_02物料!$V1013)&lt;&gt;0)),1,0)</f>
        <v>0</v>
      </c>
      <c r="U2213" s="3">
        <f t="shared" si="592"/>
        <v>19</v>
      </c>
      <c r="V2213" s="3">
        <f>IF(AND($L2213=1,AND(对接源_02物料!$X1013="自备筐",N(对接源_02物料!$V1013)&lt;&gt;0)),1,0)</f>
        <v>0</v>
      </c>
      <c r="W2213" s="3">
        <f t="shared" si="593"/>
        <v>8</v>
      </c>
      <c r="X2213" s="3">
        <f>IF(AND($L2213=1,AND(对接源_02物料!$X1013="自备筐",N(对接源_02物料!$T1013)&lt;&gt;0)),1,0)</f>
        <v>0</v>
      </c>
      <c r="Y2213" s="3">
        <f t="shared" si="594"/>
        <v>0</v>
      </c>
      <c r="Z2213" s="3">
        <f>IF(AND($M2213=1,对接源_02物料!$D1013="原料入库"),1,0)</f>
        <v>0</v>
      </c>
      <c r="AA2213" s="3">
        <f t="shared" si="595"/>
        <v>24</v>
      </c>
      <c r="AB2213" s="3">
        <f>IF(AND($M2213=1,LEFT(对接源_02物料!$D1013,4)="原料出库"),1,0)</f>
        <v>0</v>
      </c>
      <c r="AC2213" s="3">
        <f t="shared" si="596"/>
        <v>0</v>
      </c>
      <c r="AD2213" s="3">
        <f>IF(AND($M2213=1,LEFT(对接源_02物料!$D1013,4)="成品出库"),1,0)</f>
        <v>0</v>
      </c>
      <c r="AE2213" s="3">
        <f t="shared" si="597"/>
        <v>0</v>
      </c>
      <c r="AF2213" s="3">
        <f>IF(AND($N2213=1,AND(LEFT(对接源_02物料!$D1013,4)="包装物料",N(对接源_02物料!$K1013)&lt;&gt;0)),1,0)</f>
        <v>0</v>
      </c>
      <c r="AG2213" s="3">
        <f t="shared" si="598"/>
        <v>5</v>
      </c>
      <c r="AH2213" s="3">
        <f>IF(AND($N2213=1,AND(对接源_02物料!$D1013="周转筐－销售出库",N(对接源_02物料!$K1013)&lt;&gt;0)),1,0)</f>
        <v>0</v>
      </c>
      <c r="AI2213" s="3">
        <f t="shared" si="599"/>
        <v>0</v>
      </c>
      <c r="AL2213" s="3">
        <v>0</v>
      </c>
      <c r="AM2213" s="3">
        <f t="shared" si="600"/>
        <v>1</v>
      </c>
      <c r="AN2213" s="3" t="str">
        <f t="shared" si="587"/>
        <v/>
      </c>
      <c r="AO2213" s="3">
        <v>0</v>
      </c>
      <c r="AP2213" s="3">
        <f t="shared" si="601"/>
        <v>8</v>
      </c>
      <c r="AR2213">
        <f t="shared" si="602"/>
        <v>0</v>
      </c>
      <c r="AS2213">
        <f t="shared" si="603"/>
        <v>5</v>
      </c>
    </row>
    <row r="2214" customHeight="1" spans="1:45">
      <c r="A2214" s="3" t="str">
        <f>IF(对接源_02物料!$C1014="","",对接源_02物料!$C1014)</f>
        <v/>
      </c>
      <c r="B2214" s="3">
        <f t="shared" si="588"/>
        <v>0</v>
      </c>
      <c r="C2214" s="3">
        <f t="shared" si="589"/>
        <v>21</v>
      </c>
      <c r="K2214" s="3">
        <f>IF(OR($K$1="",对接源_02物料!$C1014="",对接源_02物料!$C1014&lt;&gt;$K$1,对接源_02物料!$B1014=""),0,IF(OR(N(对接源_02物料!$B1014)&lt;$K$2,N(对接源_02物料!$B1014)&gt;$K$3),0,1))</f>
        <v>0</v>
      </c>
      <c r="L2214" s="3">
        <f>IF(OR($L$1="",对接源_02物料!$C1014="",对接源_02物料!$C1014&lt;&gt;$L$1,对接源_02物料!$B1014=""),0,IF(OR(N(对接源_02物料!$B1014)&lt;$L$2,N(对接源_02物料!$B1014)&gt;$L$3),0,1))</f>
        <v>0</v>
      </c>
      <c r="M2214" s="3">
        <f>IF(OR($M$1="",对接源_02物料!$C1014="",对接源_02物料!$C1014&lt;&gt;$M$1,对接源_02物料!$B1014=""),0,IF(OR(N(对接源_02物料!$B1014)&lt;$M$2,N(对接源_02物料!$B1014)&gt;$M$3),0,1))</f>
        <v>0</v>
      </c>
      <c r="N2214" s="3">
        <f>IF(OR($N$1="",对接源_02物料!$C1014="",对接源_02物料!$C1014&lt;&gt;$N$1,对接源_02物料!$B1014=""),0,IF(OR(N(对接源_02物料!$B1014)&lt;$N$2,N(对接源_02物料!$B1014)&gt;$N$3),0,1))</f>
        <v>0</v>
      </c>
      <c r="P2214" s="3">
        <f>IF(AND($K2214=1,AND(对接源_02物料!$X1014="公司筐",N(对接源_02物料!$T1014)&lt;&gt;0)),1,0)</f>
        <v>0</v>
      </c>
      <c r="Q2214" s="3">
        <f t="shared" si="590"/>
        <v>8</v>
      </c>
      <c r="R2214" s="3">
        <f>IF(AND($K2214=1,AND(对接源_02物料!$X1014="公司筐",N(对接源_02物料!$U1014)&lt;&gt;0)),1,0)</f>
        <v>0</v>
      </c>
      <c r="S2214" s="3">
        <f t="shared" si="591"/>
        <v>0</v>
      </c>
      <c r="T2214" s="3">
        <f>IF(AND($K2214=1,AND(对接源_02物料!$X1014="公司筐",N(对接源_02物料!$V1014)&lt;&gt;0)),1,0)</f>
        <v>0</v>
      </c>
      <c r="U2214" s="3">
        <f t="shared" si="592"/>
        <v>19</v>
      </c>
      <c r="V2214" s="3">
        <f>IF(AND($L2214=1,AND(对接源_02物料!$X1014="自备筐",N(对接源_02物料!$V1014)&lt;&gt;0)),1,0)</f>
        <v>0</v>
      </c>
      <c r="W2214" s="3">
        <f t="shared" si="593"/>
        <v>8</v>
      </c>
      <c r="X2214" s="3">
        <f>IF(AND($L2214=1,AND(对接源_02物料!$X1014="自备筐",N(对接源_02物料!$T1014)&lt;&gt;0)),1,0)</f>
        <v>0</v>
      </c>
      <c r="Y2214" s="3">
        <f t="shared" si="594"/>
        <v>0</v>
      </c>
      <c r="Z2214" s="3">
        <f>IF(AND($M2214=1,对接源_02物料!$D1014="原料入库"),1,0)</f>
        <v>0</v>
      </c>
      <c r="AA2214" s="3">
        <f t="shared" si="595"/>
        <v>24</v>
      </c>
      <c r="AB2214" s="3">
        <f>IF(AND($M2214=1,LEFT(对接源_02物料!$D1014,4)="原料出库"),1,0)</f>
        <v>0</v>
      </c>
      <c r="AC2214" s="3">
        <f t="shared" si="596"/>
        <v>0</v>
      </c>
      <c r="AD2214" s="3">
        <f>IF(AND($M2214=1,LEFT(对接源_02物料!$D1014,4)="成品出库"),1,0)</f>
        <v>0</v>
      </c>
      <c r="AE2214" s="3">
        <f t="shared" si="597"/>
        <v>0</v>
      </c>
      <c r="AF2214" s="3">
        <f>IF(AND($N2214=1,AND(LEFT(对接源_02物料!$D1014,4)="包装物料",N(对接源_02物料!$K1014)&lt;&gt;0)),1,0)</f>
        <v>0</v>
      </c>
      <c r="AG2214" s="3">
        <f t="shared" si="598"/>
        <v>5</v>
      </c>
      <c r="AH2214" s="3">
        <f>IF(AND($N2214=1,AND(对接源_02物料!$D1014="周转筐－销售出库",N(对接源_02物料!$K1014)&lt;&gt;0)),1,0)</f>
        <v>0</v>
      </c>
      <c r="AI2214" s="3">
        <f t="shared" si="599"/>
        <v>0</v>
      </c>
      <c r="AL2214" s="3">
        <v>0</v>
      </c>
      <c r="AM2214" s="3">
        <f t="shared" si="600"/>
        <v>1</v>
      </c>
      <c r="AN2214" s="3" t="str">
        <f t="shared" si="587"/>
        <v/>
      </c>
      <c r="AO2214" s="3">
        <v>0</v>
      </c>
      <c r="AP2214" s="3">
        <f t="shared" si="601"/>
        <v>8</v>
      </c>
      <c r="AR2214">
        <f t="shared" si="602"/>
        <v>0</v>
      </c>
      <c r="AS2214">
        <f t="shared" si="603"/>
        <v>5</v>
      </c>
    </row>
    <row r="2215" customHeight="1" spans="1:45">
      <c r="A2215" s="3" t="str">
        <f>IF(对接源_02物料!$C1015="","",对接源_02物料!$C1015)</f>
        <v/>
      </c>
      <c r="B2215" s="3">
        <f t="shared" si="588"/>
        <v>0</v>
      </c>
      <c r="C2215" s="3">
        <f t="shared" si="589"/>
        <v>21</v>
      </c>
      <c r="K2215" s="3">
        <f>IF(OR($K$1="",对接源_02物料!$C1015="",对接源_02物料!$C1015&lt;&gt;$K$1,对接源_02物料!$B1015=""),0,IF(OR(N(对接源_02物料!$B1015)&lt;$K$2,N(对接源_02物料!$B1015)&gt;$K$3),0,1))</f>
        <v>0</v>
      </c>
      <c r="L2215" s="3">
        <f>IF(OR($L$1="",对接源_02物料!$C1015="",对接源_02物料!$C1015&lt;&gt;$L$1,对接源_02物料!$B1015=""),0,IF(OR(N(对接源_02物料!$B1015)&lt;$L$2,N(对接源_02物料!$B1015)&gt;$L$3),0,1))</f>
        <v>0</v>
      </c>
      <c r="M2215" s="3">
        <f>IF(OR($M$1="",对接源_02物料!$C1015="",对接源_02物料!$C1015&lt;&gt;$M$1,对接源_02物料!$B1015=""),0,IF(OR(N(对接源_02物料!$B1015)&lt;$M$2,N(对接源_02物料!$B1015)&gt;$M$3),0,1))</f>
        <v>0</v>
      </c>
      <c r="N2215" s="3">
        <f>IF(OR($N$1="",对接源_02物料!$C1015="",对接源_02物料!$C1015&lt;&gt;$N$1,对接源_02物料!$B1015=""),0,IF(OR(N(对接源_02物料!$B1015)&lt;$N$2,N(对接源_02物料!$B1015)&gt;$N$3),0,1))</f>
        <v>0</v>
      </c>
      <c r="P2215" s="3">
        <f>IF(AND($K2215=1,AND(对接源_02物料!$X1015="公司筐",N(对接源_02物料!$T1015)&lt;&gt;0)),1,0)</f>
        <v>0</v>
      </c>
      <c r="Q2215" s="3">
        <f t="shared" si="590"/>
        <v>8</v>
      </c>
      <c r="R2215" s="3">
        <f>IF(AND($K2215=1,AND(对接源_02物料!$X1015="公司筐",N(对接源_02物料!$U1015)&lt;&gt;0)),1,0)</f>
        <v>0</v>
      </c>
      <c r="S2215" s="3">
        <f t="shared" si="591"/>
        <v>0</v>
      </c>
      <c r="T2215" s="3">
        <f>IF(AND($K2215=1,AND(对接源_02物料!$X1015="公司筐",N(对接源_02物料!$V1015)&lt;&gt;0)),1,0)</f>
        <v>0</v>
      </c>
      <c r="U2215" s="3">
        <f t="shared" si="592"/>
        <v>19</v>
      </c>
      <c r="V2215" s="3">
        <f>IF(AND($L2215=1,AND(对接源_02物料!$X1015="自备筐",N(对接源_02物料!$V1015)&lt;&gt;0)),1,0)</f>
        <v>0</v>
      </c>
      <c r="W2215" s="3">
        <f t="shared" si="593"/>
        <v>8</v>
      </c>
      <c r="X2215" s="3">
        <f>IF(AND($L2215=1,AND(对接源_02物料!$X1015="自备筐",N(对接源_02物料!$T1015)&lt;&gt;0)),1,0)</f>
        <v>0</v>
      </c>
      <c r="Y2215" s="3">
        <f t="shared" si="594"/>
        <v>0</v>
      </c>
      <c r="Z2215" s="3">
        <f>IF(AND($M2215=1,对接源_02物料!$D1015="原料入库"),1,0)</f>
        <v>0</v>
      </c>
      <c r="AA2215" s="3">
        <f t="shared" si="595"/>
        <v>24</v>
      </c>
      <c r="AB2215" s="3">
        <f>IF(AND($M2215=1,LEFT(对接源_02物料!$D1015,4)="原料出库"),1,0)</f>
        <v>0</v>
      </c>
      <c r="AC2215" s="3">
        <f t="shared" si="596"/>
        <v>0</v>
      </c>
      <c r="AD2215" s="3">
        <f>IF(AND($M2215=1,LEFT(对接源_02物料!$D1015,4)="成品出库"),1,0)</f>
        <v>0</v>
      </c>
      <c r="AE2215" s="3">
        <f t="shared" si="597"/>
        <v>0</v>
      </c>
      <c r="AF2215" s="3">
        <f>IF(AND($N2215=1,AND(LEFT(对接源_02物料!$D1015,4)="包装物料",N(对接源_02物料!$K1015)&lt;&gt;0)),1,0)</f>
        <v>0</v>
      </c>
      <c r="AG2215" s="3">
        <f t="shared" si="598"/>
        <v>5</v>
      </c>
      <c r="AH2215" s="3">
        <f>IF(AND($N2215=1,AND(对接源_02物料!$D1015="周转筐－销售出库",N(对接源_02物料!$K1015)&lt;&gt;0)),1,0)</f>
        <v>0</v>
      </c>
      <c r="AI2215" s="3">
        <f t="shared" si="599"/>
        <v>0</v>
      </c>
      <c r="AL2215" s="3">
        <v>0</v>
      </c>
      <c r="AM2215" s="3">
        <f t="shared" si="600"/>
        <v>1</v>
      </c>
      <c r="AN2215" s="3" t="str">
        <f t="shared" si="587"/>
        <v/>
      </c>
      <c r="AO2215" s="3">
        <v>0</v>
      </c>
      <c r="AP2215" s="3">
        <f t="shared" si="601"/>
        <v>8</v>
      </c>
      <c r="AR2215">
        <f t="shared" si="602"/>
        <v>0</v>
      </c>
      <c r="AS2215">
        <f t="shared" si="603"/>
        <v>5</v>
      </c>
    </row>
    <row r="2216" customHeight="1" spans="1:45">
      <c r="A2216" s="3" t="str">
        <f>IF(对接源_02物料!$C1016="","",对接源_02物料!$C1016)</f>
        <v/>
      </c>
      <c r="B2216" s="3">
        <f t="shared" si="588"/>
        <v>0</v>
      </c>
      <c r="C2216" s="3">
        <f t="shared" si="589"/>
        <v>21</v>
      </c>
      <c r="K2216" s="3">
        <f>IF(OR($K$1="",对接源_02物料!$C1016="",对接源_02物料!$C1016&lt;&gt;$K$1,对接源_02物料!$B1016=""),0,IF(OR(N(对接源_02物料!$B1016)&lt;$K$2,N(对接源_02物料!$B1016)&gt;$K$3),0,1))</f>
        <v>0</v>
      </c>
      <c r="L2216" s="3">
        <f>IF(OR($L$1="",对接源_02物料!$C1016="",对接源_02物料!$C1016&lt;&gt;$L$1,对接源_02物料!$B1016=""),0,IF(OR(N(对接源_02物料!$B1016)&lt;$L$2,N(对接源_02物料!$B1016)&gt;$L$3),0,1))</f>
        <v>0</v>
      </c>
      <c r="M2216" s="3">
        <f>IF(OR($M$1="",对接源_02物料!$C1016="",对接源_02物料!$C1016&lt;&gt;$M$1,对接源_02物料!$B1016=""),0,IF(OR(N(对接源_02物料!$B1016)&lt;$M$2,N(对接源_02物料!$B1016)&gt;$M$3),0,1))</f>
        <v>0</v>
      </c>
      <c r="N2216" s="3">
        <f>IF(OR($N$1="",对接源_02物料!$C1016="",对接源_02物料!$C1016&lt;&gt;$N$1,对接源_02物料!$B1016=""),0,IF(OR(N(对接源_02物料!$B1016)&lt;$N$2,N(对接源_02物料!$B1016)&gt;$N$3),0,1))</f>
        <v>0</v>
      </c>
      <c r="P2216" s="3">
        <f>IF(AND($K2216=1,AND(对接源_02物料!$X1016="公司筐",N(对接源_02物料!$T1016)&lt;&gt;0)),1,0)</f>
        <v>0</v>
      </c>
      <c r="Q2216" s="3">
        <f t="shared" si="590"/>
        <v>8</v>
      </c>
      <c r="R2216" s="3">
        <f>IF(AND($K2216=1,AND(对接源_02物料!$X1016="公司筐",N(对接源_02物料!$U1016)&lt;&gt;0)),1,0)</f>
        <v>0</v>
      </c>
      <c r="S2216" s="3">
        <f t="shared" si="591"/>
        <v>0</v>
      </c>
      <c r="T2216" s="3">
        <f>IF(AND($K2216=1,AND(对接源_02物料!$X1016="公司筐",N(对接源_02物料!$V1016)&lt;&gt;0)),1,0)</f>
        <v>0</v>
      </c>
      <c r="U2216" s="3">
        <f t="shared" si="592"/>
        <v>19</v>
      </c>
      <c r="V2216" s="3">
        <f>IF(AND($L2216=1,AND(对接源_02物料!$X1016="自备筐",N(对接源_02物料!$V1016)&lt;&gt;0)),1,0)</f>
        <v>0</v>
      </c>
      <c r="W2216" s="3">
        <f t="shared" si="593"/>
        <v>8</v>
      </c>
      <c r="X2216" s="3">
        <f>IF(AND($L2216=1,AND(对接源_02物料!$X1016="自备筐",N(对接源_02物料!$T1016)&lt;&gt;0)),1,0)</f>
        <v>0</v>
      </c>
      <c r="Y2216" s="3">
        <f t="shared" si="594"/>
        <v>0</v>
      </c>
      <c r="Z2216" s="3">
        <f>IF(AND($M2216=1,对接源_02物料!$D1016="原料入库"),1,0)</f>
        <v>0</v>
      </c>
      <c r="AA2216" s="3">
        <f t="shared" si="595"/>
        <v>24</v>
      </c>
      <c r="AB2216" s="3">
        <f>IF(AND($M2216=1,LEFT(对接源_02物料!$D1016,4)="原料出库"),1,0)</f>
        <v>0</v>
      </c>
      <c r="AC2216" s="3">
        <f t="shared" si="596"/>
        <v>0</v>
      </c>
      <c r="AD2216" s="3">
        <f>IF(AND($M2216=1,LEFT(对接源_02物料!$D1016,4)="成品出库"),1,0)</f>
        <v>0</v>
      </c>
      <c r="AE2216" s="3">
        <f t="shared" si="597"/>
        <v>0</v>
      </c>
      <c r="AF2216" s="3">
        <f>IF(AND($N2216=1,AND(LEFT(对接源_02物料!$D1016,4)="包装物料",N(对接源_02物料!$K1016)&lt;&gt;0)),1,0)</f>
        <v>0</v>
      </c>
      <c r="AG2216" s="3">
        <f t="shared" si="598"/>
        <v>5</v>
      </c>
      <c r="AH2216" s="3">
        <f>IF(AND($N2216=1,AND(对接源_02物料!$D1016="周转筐－销售出库",N(对接源_02物料!$K1016)&lt;&gt;0)),1,0)</f>
        <v>0</v>
      </c>
      <c r="AI2216" s="3">
        <f t="shared" si="599"/>
        <v>0</v>
      </c>
      <c r="AL2216" s="3">
        <v>0</v>
      </c>
      <c r="AM2216" s="3">
        <f t="shared" si="600"/>
        <v>1</v>
      </c>
      <c r="AN2216" s="3" t="str">
        <f t="shared" si="587"/>
        <v/>
      </c>
      <c r="AO2216" s="3">
        <v>0</v>
      </c>
      <c r="AP2216" s="3">
        <f t="shared" si="601"/>
        <v>8</v>
      </c>
      <c r="AR2216">
        <f t="shared" si="602"/>
        <v>0</v>
      </c>
      <c r="AS2216">
        <f t="shared" si="603"/>
        <v>5</v>
      </c>
    </row>
    <row r="2217" customHeight="1" spans="1:45">
      <c r="A2217" s="3" t="str">
        <f>IF(对接源_02物料!$C1017="","",对接源_02物料!$C1017)</f>
        <v/>
      </c>
      <c r="B2217" s="3">
        <f t="shared" si="588"/>
        <v>0</v>
      </c>
      <c r="C2217" s="3">
        <f t="shared" si="589"/>
        <v>21</v>
      </c>
      <c r="K2217" s="3">
        <f>IF(OR($K$1="",对接源_02物料!$C1017="",对接源_02物料!$C1017&lt;&gt;$K$1,对接源_02物料!$B1017=""),0,IF(OR(N(对接源_02物料!$B1017)&lt;$K$2,N(对接源_02物料!$B1017)&gt;$K$3),0,1))</f>
        <v>0</v>
      </c>
      <c r="L2217" s="3">
        <f>IF(OR($L$1="",对接源_02物料!$C1017="",对接源_02物料!$C1017&lt;&gt;$L$1,对接源_02物料!$B1017=""),0,IF(OR(N(对接源_02物料!$B1017)&lt;$L$2,N(对接源_02物料!$B1017)&gt;$L$3),0,1))</f>
        <v>0</v>
      </c>
      <c r="M2217" s="3">
        <f>IF(OR($M$1="",对接源_02物料!$C1017="",对接源_02物料!$C1017&lt;&gt;$M$1,对接源_02物料!$B1017=""),0,IF(OR(N(对接源_02物料!$B1017)&lt;$M$2,N(对接源_02物料!$B1017)&gt;$M$3),0,1))</f>
        <v>0</v>
      </c>
      <c r="N2217" s="3">
        <f>IF(OR($N$1="",对接源_02物料!$C1017="",对接源_02物料!$C1017&lt;&gt;$N$1,对接源_02物料!$B1017=""),0,IF(OR(N(对接源_02物料!$B1017)&lt;$N$2,N(对接源_02物料!$B1017)&gt;$N$3),0,1))</f>
        <v>0</v>
      </c>
      <c r="P2217" s="3">
        <f>IF(AND($K2217=1,AND(对接源_02物料!$X1017="公司筐",N(对接源_02物料!$T1017)&lt;&gt;0)),1,0)</f>
        <v>0</v>
      </c>
      <c r="Q2217" s="3">
        <f t="shared" si="590"/>
        <v>8</v>
      </c>
      <c r="R2217" s="3">
        <f>IF(AND($K2217=1,AND(对接源_02物料!$X1017="公司筐",N(对接源_02物料!$U1017)&lt;&gt;0)),1,0)</f>
        <v>0</v>
      </c>
      <c r="S2217" s="3">
        <f t="shared" si="591"/>
        <v>0</v>
      </c>
      <c r="T2217" s="3">
        <f>IF(AND($K2217=1,AND(对接源_02物料!$X1017="公司筐",N(对接源_02物料!$V1017)&lt;&gt;0)),1,0)</f>
        <v>0</v>
      </c>
      <c r="U2217" s="3">
        <f t="shared" si="592"/>
        <v>19</v>
      </c>
      <c r="V2217" s="3">
        <f>IF(AND($L2217=1,AND(对接源_02物料!$X1017="自备筐",N(对接源_02物料!$V1017)&lt;&gt;0)),1,0)</f>
        <v>0</v>
      </c>
      <c r="W2217" s="3">
        <f t="shared" si="593"/>
        <v>8</v>
      </c>
      <c r="X2217" s="3">
        <f>IF(AND($L2217=1,AND(对接源_02物料!$X1017="自备筐",N(对接源_02物料!$T1017)&lt;&gt;0)),1,0)</f>
        <v>0</v>
      </c>
      <c r="Y2217" s="3">
        <f t="shared" si="594"/>
        <v>0</v>
      </c>
      <c r="Z2217" s="3">
        <f>IF(AND($M2217=1,对接源_02物料!$D1017="原料入库"),1,0)</f>
        <v>0</v>
      </c>
      <c r="AA2217" s="3">
        <f t="shared" si="595"/>
        <v>24</v>
      </c>
      <c r="AB2217" s="3">
        <f>IF(AND($M2217=1,LEFT(对接源_02物料!$D1017,4)="原料出库"),1,0)</f>
        <v>0</v>
      </c>
      <c r="AC2217" s="3">
        <f t="shared" si="596"/>
        <v>0</v>
      </c>
      <c r="AD2217" s="3">
        <f>IF(AND($M2217=1,LEFT(对接源_02物料!$D1017,4)="成品出库"),1,0)</f>
        <v>0</v>
      </c>
      <c r="AE2217" s="3">
        <f t="shared" si="597"/>
        <v>0</v>
      </c>
      <c r="AF2217" s="3">
        <f>IF(AND($N2217=1,AND(LEFT(对接源_02物料!$D1017,4)="包装物料",N(对接源_02物料!$K1017)&lt;&gt;0)),1,0)</f>
        <v>0</v>
      </c>
      <c r="AG2217" s="3">
        <f t="shared" si="598"/>
        <v>5</v>
      </c>
      <c r="AH2217" s="3">
        <f>IF(AND($N2217=1,AND(对接源_02物料!$D1017="周转筐－销售出库",N(对接源_02物料!$K1017)&lt;&gt;0)),1,0)</f>
        <v>0</v>
      </c>
      <c r="AI2217" s="3">
        <f t="shared" si="599"/>
        <v>0</v>
      </c>
      <c r="AL2217" s="3">
        <v>0</v>
      </c>
      <c r="AM2217" s="3">
        <f t="shared" si="600"/>
        <v>1</v>
      </c>
      <c r="AN2217" s="3" t="str">
        <f t="shared" si="587"/>
        <v/>
      </c>
      <c r="AO2217" s="3">
        <v>0</v>
      </c>
      <c r="AP2217" s="3">
        <f t="shared" si="601"/>
        <v>8</v>
      </c>
      <c r="AR2217">
        <f t="shared" si="602"/>
        <v>0</v>
      </c>
      <c r="AS2217">
        <f t="shared" si="603"/>
        <v>5</v>
      </c>
    </row>
    <row r="2218" customHeight="1" spans="1:45">
      <c r="A2218" s="3" t="str">
        <f>IF(对接源_02物料!$C1018="","",对接源_02物料!$C1018)</f>
        <v/>
      </c>
      <c r="B2218" s="3">
        <f t="shared" si="588"/>
        <v>0</v>
      </c>
      <c r="C2218" s="3">
        <f t="shared" si="589"/>
        <v>21</v>
      </c>
      <c r="K2218" s="3">
        <f>IF(OR($K$1="",对接源_02物料!$C1018="",对接源_02物料!$C1018&lt;&gt;$K$1,对接源_02物料!$B1018=""),0,IF(OR(N(对接源_02物料!$B1018)&lt;$K$2,N(对接源_02物料!$B1018)&gt;$K$3),0,1))</f>
        <v>0</v>
      </c>
      <c r="L2218" s="3">
        <f>IF(OR($L$1="",对接源_02物料!$C1018="",对接源_02物料!$C1018&lt;&gt;$L$1,对接源_02物料!$B1018=""),0,IF(OR(N(对接源_02物料!$B1018)&lt;$L$2,N(对接源_02物料!$B1018)&gt;$L$3),0,1))</f>
        <v>0</v>
      </c>
      <c r="M2218" s="3">
        <f>IF(OR($M$1="",对接源_02物料!$C1018="",对接源_02物料!$C1018&lt;&gt;$M$1,对接源_02物料!$B1018=""),0,IF(OR(N(对接源_02物料!$B1018)&lt;$M$2,N(对接源_02物料!$B1018)&gt;$M$3),0,1))</f>
        <v>0</v>
      </c>
      <c r="N2218" s="3">
        <f>IF(OR($N$1="",对接源_02物料!$C1018="",对接源_02物料!$C1018&lt;&gt;$N$1,对接源_02物料!$B1018=""),0,IF(OR(N(对接源_02物料!$B1018)&lt;$N$2,N(对接源_02物料!$B1018)&gt;$N$3),0,1))</f>
        <v>0</v>
      </c>
      <c r="P2218" s="3">
        <f>IF(AND($K2218=1,AND(对接源_02物料!$X1018="公司筐",N(对接源_02物料!$T1018)&lt;&gt;0)),1,0)</f>
        <v>0</v>
      </c>
      <c r="Q2218" s="3">
        <f t="shared" si="590"/>
        <v>8</v>
      </c>
      <c r="R2218" s="3">
        <f>IF(AND($K2218=1,AND(对接源_02物料!$X1018="公司筐",N(对接源_02物料!$U1018)&lt;&gt;0)),1,0)</f>
        <v>0</v>
      </c>
      <c r="S2218" s="3">
        <f t="shared" si="591"/>
        <v>0</v>
      </c>
      <c r="T2218" s="3">
        <f>IF(AND($K2218=1,AND(对接源_02物料!$X1018="公司筐",N(对接源_02物料!$V1018)&lt;&gt;0)),1,0)</f>
        <v>0</v>
      </c>
      <c r="U2218" s="3">
        <f t="shared" si="592"/>
        <v>19</v>
      </c>
      <c r="V2218" s="3">
        <f>IF(AND($L2218=1,AND(对接源_02物料!$X1018="自备筐",N(对接源_02物料!$V1018)&lt;&gt;0)),1,0)</f>
        <v>0</v>
      </c>
      <c r="W2218" s="3">
        <f t="shared" si="593"/>
        <v>8</v>
      </c>
      <c r="X2218" s="3">
        <f>IF(AND($L2218=1,AND(对接源_02物料!$X1018="自备筐",N(对接源_02物料!$T1018)&lt;&gt;0)),1,0)</f>
        <v>0</v>
      </c>
      <c r="Y2218" s="3">
        <f t="shared" si="594"/>
        <v>0</v>
      </c>
      <c r="Z2218" s="3">
        <f>IF(AND($M2218=1,对接源_02物料!$D1018="原料入库"),1,0)</f>
        <v>0</v>
      </c>
      <c r="AA2218" s="3">
        <f t="shared" si="595"/>
        <v>24</v>
      </c>
      <c r="AB2218" s="3">
        <f>IF(AND($M2218=1,LEFT(对接源_02物料!$D1018,4)="原料出库"),1,0)</f>
        <v>0</v>
      </c>
      <c r="AC2218" s="3">
        <f t="shared" si="596"/>
        <v>0</v>
      </c>
      <c r="AD2218" s="3">
        <f>IF(AND($M2218=1,LEFT(对接源_02物料!$D1018,4)="成品出库"),1,0)</f>
        <v>0</v>
      </c>
      <c r="AE2218" s="3">
        <f t="shared" si="597"/>
        <v>0</v>
      </c>
      <c r="AF2218" s="3">
        <f>IF(AND($N2218=1,AND(LEFT(对接源_02物料!$D1018,4)="包装物料",N(对接源_02物料!$K1018)&lt;&gt;0)),1,0)</f>
        <v>0</v>
      </c>
      <c r="AG2218" s="3">
        <f t="shared" si="598"/>
        <v>5</v>
      </c>
      <c r="AH2218" s="3">
        <f>IF(AND($N2218=1,AND(对接源_02物料!$D1018="周转筐－销售出库",N(对接源_02物料!$K1018)&lt;&gt;0)),1,0)</f>
        <v>0</v>
      </c>
      <c r="AI2218" s="3">
        <f t="shared" si="599"/>
        <v>0</v>
      </c>
      <c r="AL2218" s="3">
        <v>0</v>
      </c>
      <c r="AM2218" s="3">
        <f t="shared" si="600"/>
        <v>1</v>
      </c>
      <c r="AN2218" s="3" t="str">
        <f t="shared" si="587"/>
        <v/>
      </c>
      <c r="AO2218" s="3">
        <v>0</v>
      </c>
      <c r="AP2218" s="3">
        <f t="shared" si="601"/>
        <v>8</v>
      </c>
      <c r="AR2218">
        <f t="shared" si="602"/>
        <v>0</v>
      </c>
      <c r="AS2218">
        <f t="shared" si="603"/>
        <v>5</v>
      </c>
    </row>
    <row r="2219" customHeight="1" spans="1:45">
      <c r="A2219" s="3" t="str">
        <f>IF(对接源_02物料!$C1019="","",对接源_02物料!$C1019)</f>
        <v/>
      </c>
      <c r="B2219" s="3">
        <f t="shared" si="588"/>
        <v>0</v>
      </c>
      <c r="C2219" s="3">
        <f t="shared" si="589"/>
        <v>21</v>
      </c>
      <c r="K2219" s="3">
        <f>IF(OR($K$1="",对接源_02物料!$C1019="",对接源_02物料!$C1019&lt;&gt;$K$1,对接源_02物料!$B1019=""),0,IF(OR(N(对接源_02物料!$B1019)&lt;$K$2,N(对接源_02物料!$B1019)&gt;$K$3),0,1))</f>
        <v>0</v>
      </c>
      <c r="L2219" s="3">
        <f>IF(OR($L$1="",对接源_02物料!$C1019="",对接源_02物料!$C1019&lt;&gt;$L$1,对接源_02物料!$B1019=""),0,IF(OR(N(对接源_02物料!$B1019)&lt;$L$2,N(对接源_02物料!$B1019)&gt;$L$3),0,1))</f>
        <v>0</v>
      </c>
      <c r="M2219" s="3">
        <f>IF(OR($M$1="",对接源_02物料!$C1019="",对接源_02物料!$C1019&lt;&gt;$M$1,对接源_02物料!$B1019=""),0,IF(OR(N(对接源_02物料!$B1019)&lt;$M$2,N(对接源_02物料!$B1019)&gt;$M$3),0,1))</f>
        <v>0</v>
      </c>
      <c r="N2219" s="3">
        <f>IF(OR($N$1="",对接源_02物料!$C1019="",对接源_02物料!$C1019&lt;&gt;$N$1,对接源_02物料!$B1019=""),0,IF(OR(N(对接源_02物料!$B1019)&lt;$N$2,N(对接源_02物料!$B1019)&gt;$N$3),0,1))</f>
        <v>0</v>
      </c>
      <c r="P2219" s="3">
        <f>IF(AND($K2219=1,AND(对接源_02物料!$X1019="公司筐",N(对接源_02物料!$T1019)&lt;&gt;0)),1,0)</f>
        <v>0</v>
      </c>
      <c r="Q2219" s="3">
        <f t="shared" si="590"/>
        <v>8</v>
      </c>
      <c r="R2219" s="3">
        <f>IF(AND($K2219=1,AND(对接源_02物料!$X1019="公司筐",N(对接源_02物料!$U1019)&lt;&gt;0)),1,0)</f>
        <v>0</v>
      </c>
      <c r="S2219" s="3">
        <f t="shared" si="591"/>
        <v>0</v>
      </c>
      <c r="T2219" s="3">
        <f>IF(AND($K2219=1,AND(对接源_02物料!$X1019="公司筐",N(对接源_02物料!$V1019)&lt;&gt;0)),1,0)</f>
        <v>0</v>
      </c>
      <c r="U2219" s="3">
        <f t="shared" si="592"/>
        <v>19</v>
      </c>
      <c r="V2219" s="3">
        <f>IF(AND($L2219=1,AND(对接源_02物料!$X1019="自备筐",N(对接源_02物料!$V1019)&lt;&gt;0)),1,0)</f>
        <v>0</v>
      </c>
      <c r="W2219" s="3">
        <f t="shared" si="593"/>
        <v>8</v>
      </c>
      <c r="X2219" s="3">
        <f>IF(AND($L2219=1,AND(对接源_02物料!$X1019="自备筐",N(对接源_02物料!$T1019)&lt;&gt;0)),1,0)</f>
        <v>0</v>
      </c>
      <c r="Y2219" s="3">
        <f t="shared" si="594"/>
        <v>0</v>
      </c>
      <c r="Z2219" s="3">
        <f>IF(AND($M2219=1,对接源_02物料!$D1019="原料入库"),1,0)</f>
        <v>0</v>
      </c>
      <c r="AA2219" s="3">
        <f t="shared" si="595"/>
        <v>24</v>
      </c>
      <c r="AB2219" s="3">
        <f>IF(AND($M2219=1,LEFT(对接源_02物料!$D1019,4)="原料出库"),1,0)</f>
        <v>0</v>
      </c>
      <c r="AC2219" s="3">
        <f t="shared" si="596"/>
        <v>0</v>
      </c>
      <c r="AD2219" s="3">
        <f>IF(AND($M2219=1,LEFT(对接源_02物料!$D1019,4)="成品出库"),1,0)</f>
        <v>0</v>
      </c>
      <c r="AE2219" s="3">
        <f t="shared" si="597"/>
        <v>0</v>
      </c>
      <c r="AF2219" s="3">
        <f>IF(AND($N2219=1,AND(LEFT(对接源_02物料!$D1019,4)="包装物料",N(对接源_02物料!$K1019)&lt;&gt;0)),1,0)</f>
        <v>0</v>
      </c>
      <c r="AG2219" s="3">
        <f t="shared" si="598"/>
        <v>5</v>
      </c>
      <c r="AH2219" s="3">
        <f>IF(AND($N2219=1,AND(对接源_02物料!$D1019="周转筐－销售出库",N(对接源_02物料!$K1019)&lt;&gt;0)),1,0)</f>
        <v>0</v>
      </c>
      <c r="AI2219" s="3">
        <f t="shared" si="599"/>
        <v>0</v>
      </c>
      <c r="AL2219" s="3">
        <v>0</v>
      </c>
      <c r="AM2219" s="3">
        <f t="shared" si="600"/>
        <v>1</v>
      </c>
      <c r="AN2219" s="3" t="str">
        <f t="shared" si="587"/>
        <v/>
      </c>
      <c r="AO2219" s="3">
        <v>0</v>
      </c>
      <c r="AP2219" s="3">
        <f t="shared" si="601"/>
        <v>8</v>
      </c>
      <c r="AR2219">
        <f t="shared" si="602"/>
        <v>0</v>
      </c>
      <c r="AS2219">
        <f t="shared" si="603"/>
        <v>5</v>
      </c>
    </row>
    <row r="2220" customHeight="1" spans="1:45">
      <c r="A2220" s="3" t="str">
        <f>IF(对接源_02物料!$C1020="","",对接源_02物料!$C1020)</f>
        <v/>
      </c>
      <c r="B2220" s="3">
        <f t="shared" si="588"/>
        <v>0</v>
      </c>
      <c r="C2220" s="3">
        <f t="shared" si="589"/>
        <v>21</v>
      </c>
      <c r="K2220" s="3">
        <f>IF(OR($K$1="",对接源_02物料!$C1020="",对接源_02物料!$C1020&lt;&gt;$K$1,对接源_02物料!$B1020=""),0,IF(OR(N(对接源_02物料!$B1020)&lt;$K$2,N(对接源_02物料!$B1020)&gt;$K$3),0,1))</f>
        <v>0</v>
      </c>
      <c r="L2220" s="3">
        <f>IF(OR($L$1="",对接源_02物料!$C1020="",对接源_02物料!$C1020&lt;&gt;$L$1,对接源_02物料!$B1020=""),0,IF(OR(N(对接源_02物料!$B1020)&lt;$L$2,N(对接源_02物料!$B1020)&gt;$L$3),0,1))</f>
        <v>0</v>
      </c>
      <c r="M2220" s="3">
        <f>IF(OR($M$1="",对接源_02物料!$C1020="",对接源_02物料!$C1020&lt;&gt;$M$1,对接源_02物料!$B1020=""),0,IF(OR(N(对接源_02物料!$B1020)&lt;$M$2,N(对接源_02物料!$B1020)&gt;$M$3),0,1))</f>
        <v>0</v>
      </c>
      <c r="N2220" s="3">
        <f>IF(OR($N$1="",对接源_02物料!$C1020="",对接源_02物料!$C1020&lt;&gt;$N$1,对接源_02物料!$B1020=""),0,IF(OR(N(对接源_02物料!$B1020)&lt;$N$2,N(对接源_02物料!$B1020)&gt;$N$3),0,1))</f>
        <v>0</v>
      </c>
      <c r="P2220" s="3">
        <f>IF(AND($K2220=1,AND(对接源_02物料!$X1020="公司筐",N(对接源_02物料!$T1020)&lt;&gt;0)),1,0)</f>
        <v>0</v>
      </c>
      <c r="Q2220" s="3">
        <f t="shared" si="590"/>
        <v>8</v>
      </c>
      <c r="R2220" s="3">
        <f>IF(AND($K2220=1,AND(对接源_02物料!$X1020="公司筐",N(对接源_02物料!$U1020)&lt;&gt;0)),1,0)</f>
        <v>0</v>
      </c>
      <c r="S2220" s="3">
        <f t="shared" si="591"/>
        <v>0</v>
      </c>
      <c r="T2220" s="3">
        <f>IF(AND($K2220=1,AND(对接源_02物料!$X1020="公司筐",N(对接源_02物料!$V1020)&lt;&gt;0)),1,0)</f>
        <v>0</v>
      </c>
      <c r="U2220" s="3">
        <f t="shared" si="592"/>
        <v>19</v>
      </c>
      <c r="V2220" s="3">
        <f>IF(AND($L2220=1,AND(对接源_02物料!$X1020="自备筐",N(对接源_02物料!$V1020)&lt;&gt;0)),1,0)</f>
        <v>0</v>
      </c>
      <c r="W2220" s="3">
        <f t="shared" si="593"/>
        <v>8</v>
      </c>
      <c r="X2220" s="3">
        <f>IF(AND($L2220=1,AND(对接源_02物料!$X1020="自备筐",N(对接源_02物料!$T1020)&lt;&gt;0)),1,0)</f>
        <v>0</v>
      </c>
      <c r="Y2220" s="3">
        <f t="shared" si="594"/>
        <v>0</v>
      </c>
      <c r="Z2220" s="3">
        <f>IF(AND($M2220=1,对接源_02物料!$D1020="原料入库"),1,0)</f>
        <v>0</v>
      </c>
      <c r="AA2220" s="3">
        <f t="shared" si="595"/>
        <v>24</v>
      </c>
      <c r="AB2220" s="3">
        <f>IF(AND($M2220=1,LEFT(对接源_02物料!$D1020,4)="原料出库"),1,0)</f>
        <v>0</v>
      </c>
      <c r="AC2220" s="3">
        <f t="shared" si="596"/>
        <v>0</v>
      </c>
      <c r="AD2220" s="3">
        <f>IF(AND($M2220=1,LEFT(对接源_02物料!$D1020,4)="成品出库"),1,0)</f>
        <v>0</v>
      </c>
      <c r="AE2220" s="3">
        <f t="shared" si="597"/>
        <v>0</v>
      </c>
      <c r="AF2220" s="3">
        <f>IF(AND($N2220=1,AND(LEFT(对接源_02物料!$D1020,4)="包装物料",N(对接源_02物料!$K1020)&lt;&gt;0)),1,0)</f>
        <v>0</v>
      </c>
      <c r="AG2220" s="3">
        <f t="shared" si="598"/>
        <v>5</v>
      </c>
      <c r="AH2220" s="3">
        <f>IF(AND($N2220=1,AND(对接源_02物料!$D1020="周转筐－销售出库",N(对接源_02物料!$K1020)&lt;&gt;0)),1,0)</f>
        <v>0</v>
      </c>
      <c r="AI2220" s="3">
        <f t="shared" si="599"/>
        <v>0</v>
      </c>
      <c r="AL2220" s="3">
        <v>0</v>
      </c>
      <c r="AM2220" s="3">
        <f t="shared" si="600"/>
        <v>1</v>
      </c>
      <c r="AN2220" s="3" t="str">
        <f t="shared" si="587"/>
        <v/>
      </c>
      <c r="AO2220" s="3">
        <v>0</v>
      </c>
      <c r="AP2220" s="3">
        <f t="shared" si="601"/>
        <v>8</v>
      </c>
      <c r="AR2220">
        <f t="shared" si="602"/>
        <v>0</v>
      </c>
      <c r="AS2220">
        <f t="shared" si="603"/>
        <v>5</v>
      </c>
    </row>
    <row r="2221" customHeight="1" spans="1:45">
      <c r="A2221" s="3" t="str">
        <f>IF(对接源_02物料!$C1021="","",对接源_02物料!$C1021)</f>
        <v/>
      </c>
      <c r="B2221" s="3">
        <f t="shared" si="588"/>
        <v>0</v>
      </c>
      <c r="C2221" s="3">
        <f t="shared" si="589"/>
        <v>21</v>
      </c>
      <c r="K2221" s="3">
        <f>IF(OR($K$1="",对接源_02物料!$C1021="",对接源_02物料!$C1021&lt;&gt;$K$1,对接源_02物料!$B1021=""),0,IF(OR(N(对接源_02物料!$B1021)&lt;$K$2,N(对接源_02物料!$B1021)&gt;$K$3),0,1))</f>
        <v>0</v>
      </c>
      <c r="L2221" s="3">
        <f>IF(OR($L$1="",对接源_02物料!$C1021="",对接源_02物料!$C1021&lt;&gt;$L$1,对接源_02物料!$B1021=""),0,IF(OR(N(对接源_02物料!$B1021)&lt;$L$2,N(对接源_02物料!$B1021)&gt;$L$3),0,1))</f>
        <v>0</v>
      </c>
      <c r="M2221" s="3">
        <f>IF(OR($M$1="",对接源_02物料!$C1021="",对接源_02物料!$C1021&lt;&gt;$M$1,对接源_02物料!$B1021=""),0,IF(OR(N(对接源_02物料!$B1021)&lt;$M$2,N(对接源_02物料!$B1021)&gt;$M$3),0,1))</f>
        <v>0</v>
      </c>
      <c r="N2221" s="3">
        <f>IF(OR($N$1="",对接源_02物料!$C1021="",对接源_02物料!$C1021&lt;&gt;$N$1,对接源_02物料!$B1021=""),0,IF(OR(N(对接源_02物料!$B1021)&lt;$N$2,N(对接源_02物料!$B1021)&gt;$N$3),0,1))</f>
        <v>0</v>
      </c>
      <c r="P2221" s="3">
        <f>IF(AND($K2221=1,AND(对接源_02物料!$X1021="公司筐",N(对接源_02物料!$T1021)&lt;&gt;0)),1,0)</f>
        <v>0</v>
      </c>
      <c r="Q2221" s="3">
        <f t="shared" si="590"/>
        <v>8</v>
      </c>
      <c r="R2221" s="3">
        <f>IF(AND($K2221=1,AND(对接源_02物料!$X1021="公司筐",N(对接源_02物料!$U1021)&lt;&gt;0)),1,0)</f>
        <v>0</v>
      </c>
      <c r="S2221" s="3">
        <f t="shared" si="591"/>
        <v>0</v>
      </c>
      <c r="T2221" s="3">
        <f>IF(AND($K2221=1,AND(对接源_02物料!$X1021="公司筐",N(对接源_02物料!$V1021)&lt;&gt;0)),1,0)</f>
        <v>0</v>
      </c>
      <c r="U2221" s="3">
        <f t="shared" si="592"/>
        <v>19</v>
      </c>
      <c r="V2221" s="3">
        <f>IF(AND($L2221=1,AND(对接源_02物料!$X1021="自备筐",N(对接源_02物料!$V1021)&lt;&gt;0)),1,0)</f>
        <v>0</v>
      </c>
      <c r="W2221" s="3">
        <f t="shared" si="593"/>
        <v>8</v>
      </c>
      <c r="X2221" s="3">
        <f>IF(AND($L2221=1,AND(对接源_02物料!$X1021="自备筐",N(对接源_02物料!$T1021)&lt;&gt;0)),1,0)</f>
        <v>0</v>
      </c>
      <c r="Y2221" s="3">
        <f t="shared" si="594"/>
        <v>0</v>
      </c>
      <c r="Z2221" s="3">
        <f>IF(AND($M2221=1,对接源_02物料!$D1021="原料入库"),1,0)</f>
        <v>0</v>
      </c>
      <c r="AA2221" s="3">
        <f t="shared" si="595"/>
        <v>24</v>
      </c>
      <c r="AB2221" s="3">
        <f>IF(AND($M2221=1,LEFT(对接源_02物料!$D1021,4)="原料出库"),1,0)</f>
        <v>0</v>
      </c>
      <c r="AC2221" s="3">
        <f t="shared" si="596"/>
        <v>0</v>
      </c>
      <c r="AD2221" s="3">
        <f>IF(AND($M2221=1,LEFT(对接源_02物料!$D1021,4)="成品出库"),1,0)</f>
        <v>0</v>
      </c>
      <c r="AE2221" s="3">
        <f t="shared" si="597"/>
        <v>0</v>
      </c>
      <c r="AF2221" s="3">
        <f>IF(AND($N2221=1,AND(LEFT(对接源_02物料!$D1021,4)="包装物料",N(对接源_02物料!$K1021)&lt;&gt;0)),1,0)</f>
        <v>0</v>
      </c>
      <c r="AG2221" s="3">
        <f t="shared" si="598"/>
        <v>5</v>
      </c>
      <c r="AH2221" s="3">
        <f>IF(AND($N2221=1,AND(对接源_02物料!$D1021="周转筐－销售出库",N(对接源_02物料!$K1021)&lt;&gt;0)),1,0)</f>
        <v>0</v>
      </c>
      <c r="AI2221" s="3">
        <f t="shared" si="599"/>
        <v>0</v>
      </c>
      <c r="AL2221" s="3">
        <v>0</v>
      </c>
      <c r="AM2221" s="3">
        <f t="shared" si="600"/>
        <v>1</v>
      </c>
      <c r="AN2221" s="3" t="str">
        <f t="shared" si="587"/>
        <v/>
      </c>
      <c r="AO2221" s="3">
        <v>0</v>
      </c>
      <c r="AP2221" s="3">
        <f t="shared" si="601"/>
        <v>8</v>
      </c>
      <c r="AR2221">
        <f t="shared" si="602"/>
        <v>0</v>
      </c>
      <c r="AS2221">
        <f t="shared" si="603"/>
        <v>5</v>
      </c>
    </row>
    <row r="2222" customHeight="1" spans="1:45">
      <c r="A2222" s="3" t="str">
        <f>IF(对接源_02物料!$C1022="","",对接源_02物料!$C1022)</f>
        <v/>
      </c>
      <c r="B2222" s="3">
        <f t="shared" si="588"/>
        <v>0</v>
      </c>
      <c r="C2222" s="3">
        <f t="shared" si="589"/>
        <v>21</v>
      </c>
      <c r="K2222" s="3">
        <f>IF(OR($K$1="",对接源_02物料!$C1022="",对接源_02物料!$C1022&lt;&gt;$K$1,对接源_02物料!$B1022=""),0,IF(OR(N(对接源_02物料!$B1022)&lt;$K$2,N(对接源_02物料!$B1022)&gt;$K$3),0,1))</f>
        <v>0</v>
      </c>
      <c r="L2222" s="3">
        <f>IF(OR($L$1="",对接源_02物料!$C1022="",对接源_02物料!$C1022&lt;&gt;$L$1,对接源_02物料!$B1022=""),0,IF(OR(N(对接源_02物料!$B1022)&lt;$L$2,N(对接源_02物料!$B1022)&gt;$L$3),0,1))</f>
        <v>0</v>
      </c>
      <c r="M2222" s="3">
        <f>IF(OR($M$1="",对接源_02物料!$C1022="",对接源_02物料!$C1022&lt;&gt;$M$1,对接源_02物料!$B1022=""),0,IF(OR(N(对接源_02物料!$B1022)&lt;$M$2,N(对接源_02物料!$B1022)&gt;$M$3),0,1))</f>
        <v>0</v>
      </c>
      <c r="N2222" s="3">
        <f>IF(OR($N$1="",对接源_02物料!$C1022="",对接源_02物料!$C1022&lt;&gt;$N$1,对接源_02物料!$B1022=""),0,IF(OR(N(对接源_02物料!$B1022)&lt;$N$2,N(对接源_02物料!$B1022)&gt;$N$3),0,1))</f>
        <v>0</v>
      </c>
      <c r="P2222" s="3">
        <f>IF(AND($K2222=1,AND(对接源_02物料!$X1022="公司筐",N(对接源_02物料!$T1022)&lt;&gt;0)),1,0)</f>
        <v>0</v>
      </c>
      <c r="Q2222" s="3">
        <f t="shared" si="590"/>
        <v>8</v>
      </c>
      <c r="R2222" s="3">
        <f>IF(AND($K2222=1,AND(对接源_02物料!$X1022="公司筐",N(对接源_02物料!$U1022)&lt;&gt;0)),1,0)</f>
        <v>0</v>
      </c>
      <c r="S2222" s="3">
        <f t="shared" si="591"/>
        <v>0</v>
      </c>
      <c r="T2222" s="3">
        <f>IF(AND($K2222=1,AND(对接源_02物料!$X1022="公司筐",N(对接源_02物料!$V1022)&lt;&gt;0)),1,0)</f>
        <v>0</v>
      </c>
      <c r="U2222" s="3">
        <f t="shared" si="592"/>
        <v>19</v>
      </c>
      <c r="V2222" s="3">
        <f>IF(AND($L2222=1,AND(对接源_02物料!$X1022="自备筐",N(对接源_02物料!$V1022)&lt;&gt;0)),1,0)</f>
        <v>0</v>
      </c>
      <c r="W2222" s="3">
        <f t="shared" si="593"/>
        <v>8</v>
      </c>
      <c r="X2222" s="3">
        <f>IF(AND($L2222=1,AND(对接源_02物料!$X1022="自备筐",N(对接源_02物料!$T1022)&lt;&gt;0)),1,0)</f>
        <v>0</v>
      </c>
      <c r="Y2222" s="3">
        <f t="shared" si="594"/>
        <v>0</v>
      </c>
      <c r="Z2222" s="3">
        <f>IF(AND($M2222=1,对接源_02物料!$D1022="原料入库"),1,0)</f>
        <v>0</v>
      </c>
      <c r="AA2222" s="3">
        <f t="shared" si="595"/>
        <v>24</v>
      </c>
      <c r="AB2222" s="3">
        <f>IF(AND($M2222=1,LEFT(对接源_02物料!$D1022,4)="原料出库"),1,0)</f>
        <v>0</v>
      </c>
      <c r="AC2222" s="3">
        <f t="shared" si="596"/>
        <v>0</v>
      </c>
      <c r="AD2222" s="3">
        <f>IF(AND($M2222=1,LEFT(对接源_02物料!$D1022,4)="成品出库"),1,0)</f>
        <v>0</v>
      </c>
      <c r="AE2222" s="3">
        <f t="shared" si="597"/>
        <v>0</v>
      </c>
      <c r="AF2222" s="3">
        <f>IF(AND($N2222=1,AND(LEFT(对接源_02物料!$D1022,4)="包装物料",N(对接源_02物料!$K1022)&lt;&gt;0)),1,0)</f>
        <v>0</v>
      </c>
      <c r="AG2222" s="3">
        <f t="shared" si="598"/>
        <v>5</v>
      </c>
      <c r="AH2222" s="3">
        <f>IF(AND($N2222=1,AND(对接源_02物料!$D1022="周转筐－销售出库",N(对接源_02物料!$K1022)&lt;&gt;0)),1,0)</f>
        <v>0</v>
      </c>
      <c r="AI2222" s="3">
        <f t="shared" si="599"/>
        <v>0</v>
      </c>
      <c r="AL2222" s="3">
        <v>0</v>
      </c>
      <c r="AM2222" s="3">
        <f t="shared" si="600"/>
        <v>1</v>
      </c>
      <c r="AN2222" s="3" t="str">
        <f t="shared" si="587"/>
        <v/>
      </c>
      <c r="AO2222" s="3">
        <v>0</v>
      </c>
      <c r="AP2222" s="3">
        <f t="shared" si="601"/>
        <v>8</v>
      </c>
      <c r="AR2222">
        <f t="shared" si="602"/>
        <v>0</v>
      </c>
      <c r="AS2222">
        <f t="shared" si="603"/>
        <v>5</v>
      </c>
    </row>
    <row r="2223" customHeight="1" spans="1:45">
      <c r="A2223" s="3" t="str">
        <f>IF(对接源_02物料!$C1023="","",对接源_02物料!$C1023)</f>
        <v/>
      </c>
      <c r="B2223" s="3">
        <f t="shared" si="588"/>
        <v>0</v>
      </c>
      <c r="C2223" s="3">
        <f t="shared" si="589"/>
        <v>21</v>
      </c>
      <c r="K2223" s="3">
        <f>IF(OR($K$1="",对接源_02物料!$C1023="",对接源_02物料!$C1023&lt;&gt;$K$1,对接源_02物料!$B1023=""),0,IF(OR(N(对接源_02物料!$B1023)&lt;$K$2,N(对接源_02物料!$B1023)&gt;$K$3),0,1))</f>
        <v>0</v>
      </c>
      <c r="L2223" s="3">
        <f>IF(OR($L$1="",对接源_02物料!$C1023="",对接源_02物料!$C1023&lt;&gt;$L$1,对接源_02物料!$B1023=""),0,IF(OR(N(对接源_02物料!$B1023)&lt;$L$2,N(对接源_02物料!$B1023)&gt;$L$3),0,1))</f>
        <v>0</v>
      </c>
      <c r="M2223" s="3">
        <f>IF(OR($M$1="",对接源_02物料!$C1023="",对接源_02物料!$C1023&lt;&gt;$M$1,对接源_02物料!$B1023=""),0,IF(OR(N(对接源_02物料!$B1023)&lt;$M$2,N(对接源_02物料!$B1023)&gt;$M$3),0,1))</f>
        <v>0</v>
      </c>
      <c r="N2223" s="3">
        <f>IF(OR($N$1="",对接源_02物料!$C1023="",对接源_02物料!$C1023&lt;&gt;$N$1,对接源_02物料!$B1023=""),0,IF(OR(N(对接源_02物料!$B1023)&lt;$N$2,N(对接源_02物料!$B1023)&gt;$N$3),0,1))</f>
        <v>0</v>
      </c>
      <c r="P2223" s="3">
        <f>IF(AND($K2223=1,AND(对接源_02物料!$X1023="公司筐",N(对接源_02物料!$T1023)&lt;&gt;0)),1,0)</f>
        <v>0</v>
      </c>
      <c r="Q2223" s="3">
        <f t="shared" si="590"/>
        <v>8</v>
      </c>
      <c r="R2223" s="3">
        <f>IF(AND($K2223=1,AND(对接源_02物料!$X1023="公司筐",N(对接源_02物料!$U1023)&lt;&gt;0)),1,0)</f>
        <v>0</v>
      </c>
      <c r="S2223" s="3">
        <f t="shared" si="591"/>
        <v>0</v>
      </c>
      <c r="T2223" s="3">
        <f>IF(AND($K2223=1,AND(对接源_02物料!$X1023="公司筐",N(对接源_02物料!$V1023)&lt;&gt;0)),1,0)</f>
        <v>0</v>
      </c>
      <c r="U2223" s="3">
        <f t="shared" si="592"/>
        <v>19</v>
      </c>
      <c r="V2223" s="3">
        <f>IF(AND($L2223=1,AND(对接源_02物料!$X1023="自备筐",N(对接源_02物料!$V1023)&lt;&gt;0)),1,0)</f>
        <v>0</v>
      </c>
      <c r="W2223" s="3">
        <f t="shared" si="593"/>
        <v>8</v>
      </c>
      <c r="X2223" s="3">
        <f>IF(AND($L2223=1,AND(对接源_02物料!$X1023="自备筐",N(对接源_02物料!$T1023)&lt;&gt;0)),1,0)</f>
        <v>0</v>
      </c>
      <c r="Y2223" s="3">
        <f t="shared" si="594"/>
        <v>0</v>
      </c>
      <c r="Z2223" s="3">
        <f>IF(AND($M2223=1,对接源_02物料!$D1023="原料入库"),1,0)</f>
        <v>0</v>
      </c>
      <c r="AA2223" s="3">
        <f t="shared" si="595"/>
        <v>24</v>
      </c>
      <c r="AB2223" s="3">
        <f>IF(AND($M2223=1,LEFT(对接源_02物料!$D1023,4)="原料出库"),1,0)</f>
        <v>0</v>
      </c>
      <c r="AC2223" s="3">
        <f t="shared" si="596"/>
        <v>0</v>
      </c>
      <c r="AD2223" s="3">
        <f>IF(AND($M2223=1,LEFT(对接源_02物料!$D1023,4)="成品出库"),1,0)</f>
        <v>0</v>
      </c>
      <c r="AE2223" s="3">
        <f t="shared" si="597"/>
        <v>0</v>
      </c>
      <c r="AF2223" s="3">
        <f>IF(AND($N2223=1,AND(LEFT(对接源_02物料!$D1023,4)="包装物料",N(对接源_02物料!$K1023)&lt;&gt;0)),1,0)</f>
        <v>0</v>
      </c>
      <c r="AG2223" s="3">
        <f t="shared" si="598"/>
        <v>5</v>
      </c>
      <c r="AH2223" s="3">
        <f>IF(AND($N2223=1,AND(对接源_02物料!$D1023="周转筐－销售出库",N(对接源_02物料!$K1023)&lt;&gt;0)),1,0)</f>
        <v>0</v>
      </c>
      <c r="AI2223" s="3">
        <f t="shared" si="599"/>
        <v>0</v>
      </c>
      <c r="AL2223" s="3">
        <v>0</v>
      </c>
      <c r="AM2223" s="3">
        <f t="shared" si="600"/>
        <v>1</v>
      </c>
      <c r="AN2223" s="3" t="str">
        <f t="shared" si="587"/>
        <v/>
      </c>
      <c r="AO2223" s="3">
        <v>0</v>
      </c>
      <c r="AP2223" s="3">
        <f t="shared" si="601"/>
        <v>8</v>
      </c>
      <c r="AR2223">
        <f t="shared" si="602"/>
        <v>0</v>
      </c>
      <c r="AS2223">
        <f t="shared" si="603"/>
        <v>5</v>
      </c>
    </row>
    <row r="2224" customHeight="1" spans="1:45">
      <c r="A2224" s="3" t="str">
        <f>IF(对接源_02物料!$C1024="","",对接源_02物料!$C1024)</f>
        <v/>
      </c>
      <c r="B2224" s="3">
        <f t="shared" si="588"/>
        <v>0</v>
      </c>
      <c r="C2224" s="3">
        <f t="shared" si="589"/>
        <v>21</v>
      </c>
      <c r="K2224" s="3">
        <f>IF(OR($K$1="",对接源_02物料!$C1024="",对接源_02物料!$C1024&lt;&gt;$K$1,对接源_02物料!$B1024=""),0,IF(OR(N(对接源_02物料!$B1024)&lt;$K$2,N(对接源_02物料!$B1024)&gt;$K$3),0,1))</f>
        <v>0</v>
      </c>
      <c r="L2224" s="3">
        <f>IF(OR($L$1="",对接源_02物料!$C1024="",对接源_02物料!$C1024&lt;&gt;$L$1,对接源_02物料!$B1024=""),0,IF(OR(N(对接源_02物料!$B1024)&lt;$L$2,N(对接源_02物料!$B1024)&gt;$L$3),0,1))</f>
        <v>0</v>
      </c>
      <c r="M2224" s="3">
        <f>IF(OR($M$1="",对接源_02物料!$C1024="",对接源_02物料!$C1024&lt;&gt;$M$1,对接源_02物料!$B1024=""),0,IF(OR(N(对接源_02物料!$B1024)&lt;$M$2,N(对接源_02物料!$B1024)&gt;$M$3),0,1))</f>
        <v>0</v>
      </c>
      <c r="N2224" s="3">
        <f>IF(OR($N$1="",对接源_02物料!$C1024="",对接源_02物料!$C1024&lt;&gt;$N$1,对接源_02物料!$B1024=""),0,IF(OR(N(对接源_02物料!$B1024)&lt;$N$2,N(对接源_02物料!$B1024)&gt;$N$3),0,1))</f>
        <v>0</v>
      </c>
      <c r="P2224" s="3">
        <f>IF(AND($K2224=1,AND(对接源_02物料!$X1024="公司筐",N(对接源_02物料!$T1024)&lt;&gt;0)),1,0)</f>
        <v>0</v>
      </c>
      <c r="Q2224" s="3">
        <f t="shared" si="590"/>
        <v>8</v>
      </c>
      <c r="R2224" s="3">
        <f>IF(AND($K2224=1,AND(对接源_02物料!$X1024="公司筐",N(对接源_02物料!$U1024)&lt;&gt;0)),1,0)</f>
        <v>0</v>
      </c>
      <c r="S2224" s="3">
        <f t="shared" si="591"/>
        <v>0</v>
      </c>
      <c r="T2224" s="3">
        <f>IF(AND($K2224=1,AND(对接源_02物料!$X1024="公司筐",N(对接源_02物料!$V1024)&lt;&gt;0)),1,0)</f>
        <v>0</v>
      </c>
      <c r="U2224" s="3">
        <f t="shared" si="592"/>
        <v>19</v>
      </c>
      <c r="V2224" s="3">
        <f>IF(AND($L2224=1,AND(对接源_02物料!$X1024="自备筐",N(对接源_02物料!$V1024)&lt;&gt;0)),1,0)</f>
        <v>0</v>
      </c>
      <c r="W2224" s="3">
        <f t="shared" si="593"/>
        <v>8</v>
      </c>
      <c r="X2224" s="3">
        <f>IF(AND($L2224=1,AND(对接源_02物料!$X1024="自备筐",N(对接源_02物料!$T1024)&lt;&gt;0)),1,0)</f>
        <v>0</v>
      </c>
      <c r="Y2224" s="3">
        <f t="shared" si="594"/>
        <v>0</v>
      </c>
      <c r="Z2224" s="3">
        <f>IF(AND($M2224=1,对接源_02物料!$D1024="原料入库"),1,0)</f>
        <v>0</v>
      </c>
      <c r="AA2224" s="3">
        <f t="shared" si="595"/>
        <v>24</v>
      </c>
      <c r="AB2224" s="3">
        <f>IF(AND($M2224=1,LEFT(对接源_02物料!$D1024,4)="原料出库"),1,0)</f>
        <v>0</v>
      </c>
      <c r="AC2224" s="3">
        <f t="shared" si="596"/>
        <v>0</v>
      </c>
      <c r="AD2224" s="3">
        <f>IF(AND($M2224=1,LEFT(对接源_02物料!$D1024,4)="成品出库"),1,0)</f>
        <v>0</v>
      </c>
      <c r="AE2224" s="3">
        <f t="shared" si="597"/>
        <v>0</v>
      </c>
      <c r="AF2224" s="3">
        <f>IF(AND($N2224=1,AND(LEFT(对接源_02物料!$D1024,4)="包装物料",N(对接源_02物料!$K1024)&lt;&gt;0)),1,0)</f>
        <v>0</v>
      </c>
      <c r="AG2224" s="3">
        <f t="shared" si="598"/>
        <v>5</v>
      </c>
      <c r="AH2224" s="3">
        <f>IF(AND($N2224=1,AND(对接源_02物料!$D1024="周转筐－销售出库",N(对接源_02物料!$K1024)&lt;&gt;0)),1,0)</f>
        <v>0</v>
      </c>
      <c r="AI2224" s="3">
        <f t="shared" si="599"/>
        <v>0</v>
      </c>
      <c r="AL2224" s="3">
        <v>0</v>
      </c>
      <c r="AM2224" s="3">
        <f t="shared" si="600"/>
        <v>1</v>
      </c>
      <c r="AN2224" s="3" t="str">
        <f t="shared" si="587"/>
        <v/>
      </c>
      <c r="AO2224" s="3">
        <v>0</v>
      </c>
      <c r="AP2224" s="3">
        <f t="shared" si="601"/>
        <v>8</v>
      </c>
      <c r="AR2224">
        <f t="shared" si="602"/>
        <v>0</v>
      </c>
      <c r="AS2224">
        <f t="shared" si="603"/>
        <v>5</v>
      </c>
    </row>
    <row r="2225" customHeight="1" spans="1:45">
      <c r="A2225" s="3" t="str">
        <f>IF(对接源_02物料!$C1025="","",对接源_02物料!$C1025)</f>
        <v/>
      </c>
      <c r="B2225" s="3">
        <f t="shared" si="588"/>
        <v>0</v>
      </c>
      <c r="C2225" s="3">
        <f t="shared" si="589"/>
        <v>21</v>
      </c>
      <c r="K2225" s="3">
        <f>IF(OR($K$1="",对接源_02物料!$C1025="",对接源_02物料!$C1025&lt;&gt;$K$1,对接源_02物料!$B1025=""),0,IF(OR(N(对接源_02物料!$B1025)&lt;$K$2,N(对接源_02物料!$B1025)&gt;$K$3),0,1))</f>
        <v>0</v>
      </c>
      <c r="L2225" s="3">
        <f>IF(OR($L$1="",对接源_02物料!$C1025="",对接源_02物料!$C1025&lt;&gt;$L$1,对接源_02物料!$B1025=""),0,IF(OR(N(对接源_02物料!$B1025)&lt;$L$2,N(对接源_02物料!$B1025)&gt;$L$3),0,1))</f>
        <v>0</v>
      </c>
      <c r="M2225" s="3">
        <f>IF(OR($M$1="",对接源_02物料!$C1025="",对接源_02物料!$C1025&lt;&gt;$M$1,对接源_02物料!$B1025=""),0,IF(OR(N(对接源_02物料!$B1025)&lt;$M$2,N(对接源_02物料!$B1025)&gt;$M$3),0,1))</f>
        <v>0</v>
      </c>
      <c r="N2225" s="3">
        <f>IF(OR($N$1="",对接源_02物料!$C1025="",对接源_02物料!$C1025&lt;&gt;$N$1,对接源_02物料!$B1025=""),0,IF(OR(N(对接源_02物料!$B1025)&lt;$N$2,N(对接源_02物料!$B1025)&gt;$N$3),0,1))</f>
        <v>0</v>
      </c>
      <c r="P2225" s="3">
        <f>IF(AND($K2225=1,AND(对接源_02物料!$X1025="公司筐",N(对接源_02物料!$T1025)&lt;&gt;0)),1,0)</f>
        <v>0</v>
      </c>
      <c r="Q2225" s="3">
        <f t="shared" si="590"/>
        <v>8</v>
      </c>
      <c r="R2225" s="3">
        <f>IF(AND($K2225=1,AND(对接源_02物料!$X1025="公司筐",N(对接源_02物料!$U1025)&lt;&gt;0)),1,0)</f>
        <v>0</v>
      </c>
      <c r="S2225" s="3">
        <f t="shared" si="591"/>
        <v>0</v>
      </c>
      <c r="T2225" s="3">
        <f>IF(AND($K2225=1,AND(对接源_02物料!$X1025="公司筐",N(对接源_02物料!$V1025)&lt;&gt;0)),1,0)</f>
        <v>0</v>
      </c>
      <c r="U2225" s="3">
        <f t="shared" si="592"/>
        <v>19</v>
      </c>
      <c r="V2225" s="3">
        <f>IF(AND($L2225=1,AND(对接源_02物料!$X1025="自备筐",N(对接源_02物料!$V1025)&lt;&gt;0)),1,0)</f>
        <v>0</v>
      </c>
      <c r="W2225" s="3">
        <f t="shared" si="593"/>
        <v>8</v>
      </c>
      <c r="X2225" s="3">
        <f>IF(AND($L2225=1,AND(对接源_02物料!$X1025="自备筐",N(对接源_02物料!$T1025)&lt;&gt;0)),1,0)</f>
        <v>0</v>
      </c>
      <c r="Y2225" s="3">
        <f t="shared" si="594"/>
        <v>0</v>
      </c>
      <c r="Z2225" s="3">
        <f>IF(AND($M2225=1,对接源_02物料!$D1025="原料入库"),1,0)</f>
        <v>0</v>
      </c>
      <c r="AA2225" s="3">
        <f t="shared" si="595"/>
        <v>24</v>
      </c>
      <c r="AB2225" s="3">
        <f>IF(AND($M2225=1,LEFT(对接源_02物料!$D1025,4)="原料出库"),1,0)</f>
        <v>0</v>
      </c>
      <c r="AC2225" s="3">
        <f t="shared" si="596"/>
        <v>0</v>
      </c>
      <c r="AD2225" s="3">
        <f>IF(AND($M2225=1,LEFT(对接源_02物料!$D1025,4)="成品出库"),1,0)</f>
        <v>0</v>
      </c>
      <c r="AE2225" s="3">
        <f t="shared" si="597"/>
        <v>0</v>
      </c>
      <c r="AF2225" s="3">
        <f>IF(AND($N2225=1,AND(LEFT(对接源_02物料!$D1025,4)="包装物料",N(对接源_02物料!$K1025)&lt;&gt;0)),1,0)</f>
        <v>0</v>
      </c>
      <c r="AG2225" s="3">
        <f t="shared" si="598"/>
        <v>5</v>
      </c>
      <c r="AH2225" s="3">
        <f>IF(AND($N2225=1,AND(对接源_02物料!$D1025="周转筐－销售出库",N(对接源_02物料!$K1025)&lt;&gt;0)),1,0)</f>
        <v>0</v>
      </c>
      <c r="AI2225" s="3">
        <f t="shared" si="599"/>
        <v>0</v>
      </c>
      <c r="AL2225" s="3">
        <v>0</v>
      </c>
      <c r="AM2225" s="3">
        <f t="shared" si="600"/>
        <v>1</v>
      </c>
      <c r="AN2225" s="3" t="str">
        <f t="shared" si="587"/>
        <v/>
      </c>
      <c r="AO2225" s="3">
        <v>0</v>
      </c>
      <c r="AP2225" s="3">
        <f t="shared" si="601"/>
        <v>8</v>
      </c>
      <c r="AR2225">
        <f t="shared" si="602"/>
        <v>0</v>
      </c>
      <c r="AS2225">
        <f t="shared" si="603"/>
        <v>5</v>
      </c>
    </row>
    <row r="2226" customHeight="1" spans="1:45">
      <c r="A2226" s="3" t="str">
        <f>IF(对接源_02物料!$C1026="","",对接源_02物料!$C1026)</f>
        <v/>
      </c>
      <c r="B2226" s="3">
        <f t="shared" si="588"/>
        <v>0</v>
      </c>
      <c r="C2226" s="3">
        <f t="shared" si="589"/>
        <v>21</v>
      </c>
      <c r="K2226" s="3">
        <f>IF(OR($K$1="",对接源_02物料!$C1026="",对接源_02物料!$C1026&lt;&gt;$K$1,对接源_02物料!$B1026=""),0,IF(OR(N(对接源_02物料!$B1026)&lt;$K$2,N(对接源_02物料!$B1026)&gt;$K$3),0,1))</f>
        <v>0</v>
      </c>
      <c r="L2226" s="3">
        <f>IF(OR($L$1="",对接源_02物料!$C1026="",对接源_02物料!$C1026&lt;&gt;$L$1,对接源_02物料!$B1026=""),0,IF(OR(N(对接源_02物料!$B1026)&lt;$L$2,N(对接源_02物料!$B1026)&gt;$L$3),0,1))</f>
        <v>0</v>
      </c>
      <c r="M2226" s="3">
        <f>IF(OR($M$1="",对接源_02物料!$C1026="",对接源_02物料!$C1026&lt;&gt;$M$1,对接源_02物料!$B1026=""),0,IF(OR(N(对接源_02物料!$B1026)&lt;$M$2,N(对接源_02物料!$B1026)&gt;$M$3),0,1))</f>
        <v>0</v>
      </c>
      <c r="N2226" s="3">
        <f>IF(OR($N$1="",对接源_02物料!$C1026="",对接源_02物料!$C1026&lt;&gt;$N$1,对接源_02物料!$B1026=""),0,IF(OR(N(对接源_02物料!$B1026)&lt;$N$2,N(对接源_02物料!$B1026)&gt;$N$3),0,1))</f>
        <v>0</v>
      </c>
      <c r="P2226" s="3">
        <f>IF(AND($K2226=1,AND(对接源_02物料!$X1026="公司筐",N(对接源_02物料!$T1026)&lt;&gt;0)),1,0)</f>
        <v>0</v>
      </c>
      <c r="Q2226" s="3">
        <f t="shared" si="590"/>
        <v>8</v>
      </c>
      <c r="R2226" s="3">
        <f>IF(AND($K2226=1,AND(对接源_02物料!$X1026="公司筐",N(对接源_02物料!$U1026)&lt;&gt;0)),1,0)</f>
        <v>0</v>
      </c>
      <c r="S2226" s="3">
        <f t="shared" si="591"/>
        <v>0</v>
      </c>
      <c r="T2226" s="3">
        <f>IF(AND($K2226=1,AND(对接源_02物料!$X1026="公司筐",N(对接源_02物料!$V1026)&lt;&gt;0)),1,0)</f>
        <v>0</v>
      </c>
      <c r="U2226" s="3">
        <f t="shared" si="592"/>
        <v>19</v>
      </c>
      <c r="V2226" s="3">
        <f>IF(AND($L2226=1,AND(对接源_02物料!$X1026="自备筐",N(对接源_02物料!$V1026)&lt;&gt;0)),1,0)</f>
        <v>0</v>
      </c>
      <c r="W2226" s="3">
        <f t="shared" si="593"/>
        <v>8</v>
      </c>
      <c r="X2226" s="3">
        <f>IF(AND($L2226=1,AND(对接源_02物料!$X1026="自备筐",N(对接源_02物料!$T1026)&lt;&gt;0)),1,0)</f>
        <v>0</v>
      </c>
      <c r="Y2226" s="3">
        <f t="shared" si="594"/>
        <v>0</v>
      </c>
      <c r="Z2226" s="3">
        <f>IF(AND($M2226=1,对接源_02物料!$D1026="原料入库"),1,0)</f>
        <v>0</v>
      </c>
      <c r="AA2226" s="3">
        <f t="shared" si="595"/>
        <v>24</v>
      </c>
      <c r="AB2226" s="3">
        <f>IF(AND($M2226=1,LEFT(对接源_02物料!$D1026,4)="原料出库"),1,0)</f>
        <v>0</v>
      </c>
      <c r="AC2226" s="3">
        <f t="shared" si="596"/>
        <v>0</v>
      </c>
      <c r="AD2226" s="3">
        <f>IF(AND($M2226=1,LEFT(对接源_02物料!$D1026,4)="成品出库"),1,0)</f>
        <v>0</v>
      </c>
      <c r="AE2226" s="3">
        <f t="shared" si="597"/>
        <v>0</v>
      </c>
      <c r="AF2226" s="3">
        <f>IF(AND($N2226=1,AND(LEFT(对接源_02物料!$D1026,4)="包装物料",N(对接源_02物料!$K1026)&lt;&gt;0)),1,0)</f>
        <v>0</v>
      </c>
      <c r="AG2226" s="3">
        <f t="shared" si="598"/>
        <v>5</v>
      </c>
      <c r="AH2226" s="3">
        <f>IF(AND($N2226=1,AND(对接源_02物料!$D1026="周转筐－销售出库",N(对接源_02物料!$K1026)&lt;&gt;0)),1,0)</f>
        <v>0</v>
      </c>
      <c r="AI2226" s="3">
        <f t="shared" si="599"/>
        <v>0</v>
      </c>
      <c r="AL2226" s="3">
        <v>0</v>
      </c>
      <c r="AM2226" s="3">
        <f t="shared" si="600"/>
        <v>1</v>
      </c>
      <c r="AN2226" s="3" t="str">
        <f t="shared" si="587"/>
        <v/>
      </c>
      <c r="AO2226" s="3">
        <v>0</v>
      </c>
      <c r="AP2226" s="3">
        <f t="shared" si="601"/>
        <v>8</v>
      </c>
      <c r="AR2226">
        <f t="shared" si="602"/>
        <v>0</v>
      </c>
      <c r="AS2226">
        <f t="shared" si="603"/>
        <v>5</v>
      </c>
    </row>
    <row r="2227" customHeight="1" spans="1:45">
      <c r="A2227" s="3" t="str">
        <f>IF(对接源_02物料!$C1027="","",对接源_02物料!$C1027)</f>
        <v/>
      </c>
      <c r="B2227" s="3">
        <f t="shared" si="588"/>
        <v>0</v>
      </c>
      <c r="C2227" s="3">
        <f t="shared" si="589"/>
        <v>21</v>
      </c>
      <c r="K2227" s="3">
        <f>IF(OR($K$1="",对接源_02物料!$C1027="",对接源_02物料!$C1027&lt;&gt;$K$1,对接源_02物料!$B1027=""),0,IF(OR(N(对接源_02物料!$B1027)&lt;$K$2,N(对接源_02物料!$B1027)&gt;$K$3),0,1))</f>
        <v>0</v>
      </c>
      <c r="L2227" s="3">
        <f>IF(OR($L$1="",对接源_02物料!$C1027="",对接源_02物料!$C1027&lt;&gt;$L$1,对接源_02物料!$B1027=""),0,IF(OR(N(对接源_02物料!$B1027)&lt;$L$2,N(对接源_02物料!$B1027)&gt;$L$3),0,1))</f>
        <v>0</v>
      </c>
      <c r="M2227" s="3">
        <f>IF(OR($M$1="",对接源_02物料!$C1027="",对接源_02物料!$C1027&lt;&gt;$M$1,对接源_02物料!$B1027=""),0,IF(OR(N(对接源_02物料!$B1027)&lt;$M$2,N(对接源_02物料!$B1027)&gt;$M$3),0,1))</f>
        <v>0</v>
      </c>
      <c r="N2227" s="3">
        <f>IF(OR($N$1="",对接源_02物料!$C1027="",对接源_02物料!$C1027&lt;&gt;$N$1,对接源_02物料!$B1027=""),0,IF(OR(N(对接源_02物料!$B1027)&lt;$N$2,N(对接源_02物料!$B1027)&gt;$N$3),0,1))</f>
        <v>0</v>
      </c>
      <c r="P2227" s="3">
        <f>IF(AND($K2227=1,AND(对接源_02物料!$X1027="公司筐",N(对接源_02物料!$T1027)&lt;&gt;0)),1,0)</f>
        <v>0</v>
      </c>
      <c r="Q2227" s="3">
        <f t="shared" si="590"/>
        <v>8</v>
      </c>
      <c r="R2227" s="3">
        <f>IF(AND($K2227=1,AND(对接源_02物料!$X1027="公司筐",N(对接源_02物料!$U1027)&lt;&gt;0)),1,0)</f>
        <v>0</v>
      </c>
      <c r="S2227" s="3">
        <f t="shared" si="591"/>
        <v>0</v>
      </c>
      <c r="T2227" s="3">
        <f>IF(AND($K2227=1,AND(对接源_02物料!$X1027="公司筐",N(对接源_02物料!$V1027)&lt;&gt;0)),1,0)</f>
        <v>0</v>
      </c>
      <c r="U2227" s="3">
        <f t="shared" si="592"/>
        <v>19</v>
      </c>
      <c r="V2227" s="3">
        <f>IF(AND($L2227=1,AND(对接源_02物料!$X1027="自备筐",N(对接源_02物料!$V1027)&lt;&gt;0)),1,0)</f>
        <v>0</v>
      </c>
      <c r="W2227" s="3">
        <f t="shared" si="593"/>
        <v>8</v>
      </c>
      <c r="X2227" s="3">
        <f>IF(AND($L2227=1,AND(对接源_02物料!$X1027="自备筐",N(对接源_02物料!$T1027)&lt;&gt;0)),1,0)</f>
        <v>0</v>
      </c>
      <c r="Y2227" s="3">
        <f t="shared" si="594"/>
        <v>0</v>
      </c>
      <c r="Z2227" s="3">
        <f>IF(AND($M2227=1,对接源_02物料!$D1027="原料入库"),1,0)</f>
        <v>0</v>
      </c>
      <c r="AA2227" s="3">
        <f t="shared" si="595"/>
        <v>24</v>
      </c>
      <c r="AB2227" s="3">
        <f>IF(AND($M2227=1,LEFT(对接源_02物料!$D1027,4)="原料出库"),1,0)</f>
        <v>0</v>
      </c>
      <c r="AC2227" s="3">
        <f t="shared" si="596"/>
        <v>0</v>
      </c>
      <c r="AD2227" s="3">
        <f>IF(AND($M2227=1,LEFT(对接源_02物料!$D1027,4)="成品出库"),1,0)</f>
        <v>0</v>
      </c>
      <c r="AE2227" s="3">
        <f t="shared" si="597"/>
        <v>0</v>
      </c>
      <c r="AF2227" s="3">
        <f>IF(AND($N2227=1,AND(LEFT(对接源_02物料!$D1027,4)="包装物料",N(对接源_02物料!$K1027)&lt;&gt;0)),1,0)</f>
        <v>0</v>
      </c>
      <c r="AG2227" s="3">
        <f t="shared" si="598"/>
        <v>5</v>
      </c>
      <c r="AH2227" s="3">
        <f>IF(AND($N2227=1,AND(对接源_02物料!$D1027="周转筐－销售出库",N(对接源_02物料!$K1027)&lt;&gt;0)),1,0)</f>
        <v>0</v>
      </c>
      <c r="AI2227" s="3">
        <f t="shared" si="599"/>
        <v>0</v>
      </c>
      <c r="AL2227" s="3">
        <v>0</v>
      </c>
      <c r="AM2227" s="3">
        <f t="shared" si="600"/>
        <v>1</v>
      </c>
      <c r="AN2227" s="3" t="str">
        <f t="shared" si="587"/>
        <v/>
      </c>
      <c r="AO2227" s="3">
        <v>0</v>
      </c>
      <c r="AP2227" s="3">
        <f t="shared" si="601"/>
        <v>8</v>
      </c>
      <c r="AR2227">
        <f t="shared" si="602"/>
        <v>0</v>
      </c>
      <c r="AS2227">
        <f t="shared" si="603"/>
        <v>5</v>
      </c>
    </row>
    <row r="2228" customHeight="1" spans="1:45">
      <c r="A2228" s="3" t="str">
        <f>IF(对接源_02物料!$C1028="","",对接源_02物料!$C1028)</f>
        <v/>
      </c>
      <c r="B2228" s="3">
        <f t="shared" si="588"/>
        <v>0</v>
      </c>
      <c r="C2228" s="3">
        <f t="shared" si="589"/>
        <v>21</v>
      </c>
      <c r="K2228" s="3">
        <f>IF(OR($K$1="",对接源_02物料!$C1028="",对接源_02物料!$C1028&lt;&gt;$K$1,对接源_02物料!$B1028=""),0,IF(OR(N(对接源_02物料!$B1028)&lt;$K$2,N(对接源_02物料!$B1028)&gt;$K$3),0,1))</f>
        <v>0</v>
      </c>
      <c r="L2228" s="3">
        <f>IF(OR($L$1="",对接源_02物料!$C1028="",对接源_02物料!$C1028&lt;&gt;$L$1,对接源_02物料!$B1028=""),0,IF(OR(N(对接源_02物料!$B1028)&lt;$L$2,N(对接源_02物料!$B1028)&gt;$L$3),0,1))</f>
        <v>0</v>
      </c>
      <c r="M2228" s="3">
        <f>IF(OR($M$1="",对接源_02物料!$C1028="",对接源_02物料!$C1028&lt;&gt;$M$1,对接源_02物料!$B1028=""),0,IF(OR(N(对接源_02物料!$B1028)&lt;$M$2,N(对接源_02物料!$B1028)&gt;$M$3),0,1))</f>
        <v>0</v>
      </c>
      <c r="N2228" s="3">
        <f>IF(OR($N$1="",对接源_02物料!$C1028="",对接源_02物料!$C1028&lt;&gt;$N$1,对接源_02物料!$B1028=""),0,IF(OR(N(对接源_02物料!$B1028)&lt;$N$2,N(对接源_02物料!$B1028)&gt;$N$3),0,1))</f>
        <v>0</v>
      </c>
      <c r="P2228" s="3">
        <f>IF(AND($K2228=1,AND(对接源_02物料!$X1028="公司筐",N(对接源_02物料!$T1028)&lt;&gt;0)),1,0)</f>
        <v>0</v>
      </c>
      <c r="Q2228" s="3">
        <f t="shared" si="590"/>
        <v>8</v>
      </c>
      <c r="R2228" s="3">
        <f>IF(AND($K2228=1,AND(对接源_02物料!$X1028="公司筐",N(对接源_02物料!$U1028)&lt;&gt;0)),1,0)</f>
        <v>0</v>
      </c>
      <c r="S2228" s="3">
        <f t="shared" si="591"/>
        <v>0</v>
      </c>
      <c r="T2228" s="3">
        <f>IF(AND($K2228=1,AND(对接源_02物料!$X1028="公司筐",N(对接源_02物料!$V1028)&lt;&gt;0)),1,0)</f>
        <v>0</v>
      </c>
      <c r="U2228" s="3">
        <f t="shared" si="592"/>
        <v>19</v>
      </c>
      <c r="V2228" s="3">
        <f>IF(AND($L2228=1,AND(对接源_02物料!$X1028="自备筐",N(对接源_02物料!$V1028)&lt;&gt;0)),1,0)</f>
        <v>0</v>
      </c>
      <c r="W2228" s="3">
        <f t="shared" si="593"/>
        <v>8</v>
      </c>
      <c r="X2228" s="3">
        <f>IF(AND($L2228=1,AND(对接源_02物料!$X1028="自备筐",N(对接源_02物料!$T1028)&lt;&gt;0)),1,0)</f>
        <v>0</v>
      </c>
      <c r="Y2228" s="3">
        <f t="shared" si="594"/>
        <v>0</v>
      </c>
      <c r="Z2228" s="3">
        <f>IF(AND($M2228=1,对接源_02物料!$D1028="原料入库"),1,0)</f>
        <v>0</v>
      </c>
      <c r="AA2228" s="3">
        <f t="shared" si="595"/>
        <v>24</v>
      </c>
      <c r="AB2228" s="3">
        <f>IF(AND($M2228=1,LEFT(对接源_02物料!$D1028,4)="原料出库"),1,0)</f>
        <v>0</v>
      </c>
      <c r="AC2228" s="3">
        <f t="shared" si="596"/>
        <v>0</v>
      </c>
      <c r="AD2228" s="3">
        <f>IF(AND($M2228=1,LEFT(对接源_02物料!$D1028,4)="成品出库"),1,0)</f>
        <v>0</v>
      </c>
      <c r="AE2228" s="3">
        <f t="shared" si="597"/>
        <v>0</v>
      </c>
      <c r="AF2228" s="3">
        <f>IF(AND($N2228=1,AND(LEFT(对接源_02物料!$D1028,4)="包装物料",N(对接源_02物料!$K1028)&lt;&gt;0)),1,0)</f>
        <v>0</v>
      </c>
      <c r="AG2228" s="3">
        <f t="shared" si="598"/>
        <v>5</v>
      </c>
      <c r="AH2228" s="3">
        <f>IF(AND($N2228=1,AND(对接源_02物料!$D1028="周转筐－销售出库",N(对接源_02物料!$K1028)&lt;&gt;0)),1,0)</f>
        <v>0</v>
      </c>
      <c r="AI2228" s="3">
        <f t="shared" si="599"/>
        <v>0</v>
      </c>
      <c r="AL2228" s="3">
        <v>0</v>
      </c>
      <c r="AM2228" s="3">
        <f t="shared" si="600"/>
        <v>1</v>
      </c>
      <c r="AN2228" s="3" t="str">
        <f t="shared" ref="AN2228:AN2291" si="604">""</f>
        <v/>
      </c>
      <c r="AO2228" s="3">
        <v>0</v>
      </c>
      <c r="AP2228" s="3">
        <f t="shared" si="601"/>
        <v>8</v>
      </c>
      <c r="AR2228">
        <f t="shared" si="602"/>
        <v>0</v>
      </c>
      <c r="AS2228">
        <f t="shared" si="603"/>
        <v>5</v>
      </c>
    </row>
    <row r="2229" customHeight="1" spans="1:45">
      <c r="A2229" s="3" t="str">
        <f>IF(对接源_02物料!$C1029="","",对接源_02物料!$C1029)</f>
        <v/>
      </c>
      <c r="B2229" s="3">
        <f t="shared" si="588"/>
        <v>0</v>
      </c>
      <c r="C2229" s="3">
        <f t="shared" si="589"/>
        <v>21</v>
      </c>
      <c r="K2229" s="3">
        <f>IF(OR($K$1="",对接源_02物料!$C1029="",对接源_02物料!$C1029&lt;&gt;$K$1,对接源_02物料!$B1029=""),0,IF(OR(N(对接源_02物料!$B1029)&lt;$K$2,N(对接源_02物料!$B1029)&gt;$K$3),0,1))</f>
        <v>0</v>
      </c>
      <c r="L2229" s="3">
        <f>IF(OR($L$1="",对接源_02物料!$C1029="",对接源_02物料!$C1029&lt;&gt;$L$1,对接源_02物料!$B1029=""),0,IF(OR(N(对接源_02物料!$B1029)&lt;$L$2,N(对接源_02物料!$B1029)&gt;$L$3),0,1))</f>
        <v>0</v>
      </c>
      <c r="M2229" s="3">
        <f>IF(OR($M$1="",对接源_02物料!$C1029="",对接源_02物料!$C1029&lt;&gt;$M$1,对接源_02物料!$B1029=""),0,IF(OR(N(对接源_02物料!$B1029)&lt;$M$2,N(对接源_02物料!$B1029)&gt;$M$3),0,1))</f>
        <v>0</v>
      </c>
      <c r="N2229" s="3">
        <f>IF(OR($N$1="",对接源_02物料!$C1029="",对接源_02物料!$C1029&lt;&gt;$N$1,对接源_02物料!$B1029=""),0,IF(OR(N(对接源_02物料!$B1029)&lt;$N$2,N(对接源_02物料!$B1029)&gt;$N$3),0,1))</f>
        <v>0</v>
      </c>
      <c r="P2229" s="3">
        <f>IF(AND($K2229=1,AND(对接源_02物料!$X1029="公司筐",N(对接源_02物料!$T1029)&lt;&gt;0)),1,0)</f>
        <v>0</v>
      </c>
      <c r="Q2229" s="3">
        <f t="shared" si="590"/>
        <v>8</v>
      </c>
      <c r="R2229" s="3">
        <f>IF(AND($K2229=1,AND(对接源_02物料!$X1029="公司筐",N(对接源_02物料!$U1029)&lt;&gt;0)),1,0)</f>
        <v>0</v>
      </c>
      <c r="S2229" s="3">
        <f t="shared" si="591"/>
        <v>0</v>
      </c>
      <c r="T2229" s="3">
        <f>IF(AND($K2229=1,AND(对接源_02物料!$X1029="公司筐",N(对接源_02物料!$V1029)&lt;&gt;0)),1,0)</f>
        <v>0</v>
      </c>
      <c r="U2229" s="3">
        <f t="shared" si="592"/>
        <v>19</v>
      </c>
      <c r="V2229" s="3">
        <f>IF(AND($L2229=1,AND(对接源_02物料!$X1029="自备筐",N(对接源_02物料!$V1029)&lt;&gt;0)),1,0)</f>
        <v>0</v>
      </c>
      <c r="W2229" s="3">
        <f t="shared" si="593"/>
        <v>8</v>
      </c>
      <c r="X2229" s="3">
        <f>IF(AND($L2229=1,AND(对接源_02物料!$X1029="自备筐",N(对接源_02物料!$T1029)&lt;&gt;0)),1,0)</f>
        <v>0</v>
      </c>
      <c r="Y2229" s="3">
        <f t="shared" si="594"/>
        <v>0</v>
      </c>
      <c r="Z2229" s="3">
        <f>IF(AND($M2229=1,对接源_02物料!$D1029="原料入库"),1,0)</f>
        <v>0</v>
      </c>
      <c r="AA2229" s="3">
        <f t="shared" si="595"/>
        <v>24</v>
      </c>
      <c r="AB2229" s="3">
        <f>IF(AND($M2229=1,LEFT(对接源_02物料!$D1029,4)="原料出库"),1,0)</f>
        <v>0</v>
      </c>
      <c r="AC2229" s="3">
        <f t="shared" si="596"/>
        <v>0</v>
      </c>
      <c r="AD2229" s="3">
        <f>IF(AND($M2229=1,LEFT(对接源_02物料!$D1029,4)="成品出库"),1,0)</f>
        <v>0</v>
      </c>
      <c r="AE2229" s="3">
        <f t="shared" si="597"/>
        <v>0</v>
      </c>
      <c r="AF2229" s="3">
        <f>IF(AND($N2229=1,AND(LEFT(对接源_02物料!$D1029,4)="包装物料",N(对接源_02物料!$K1029)&lt;&gt;0)),1,0)</f>
        <v>0</v>
      </c>
      <c r="AG2229" s="3">
        <f t="shared" si="598"/>
        <v>5</v>
      </c>
      <c r="AH2229" s="3">
        <f>IF(AND($N2229=1,AND(对接源_02物料!$D1029="周转筐－销售出库",N(对接源_02物料!$K1029)&lt;&gt;0)),1,0)</f>
        <v>0</v>
      </c>
      <c r="AI2229" s="3">
        <f t="shared" si="599"/>
        <v>0</v>
      </c>
      <c r="AL2229" s="3">
        <v>0</v>
      </c>
      <c r="AM2229" s="3">
        <f t="shared" si="600"/>
        <v>1</v>
      </c>
      <c r="AN2229" s="3" t="str">
        <f t="shared" si="604"/>
        <v/>
      </c>
      <c r="AO2229" s="3">
        <v>0</v>
      </c>
      <c r="AP2229" s="3">
        <f t="shared" si="601"/>
        <v>8</v>
      </c>
      <c r="AR2229">
        <f t="shared" si="602"/>
        <v>0</v>
      </c>
      <c r="AS2229">
        <f t="shared" si="603"/>
        <v>5</v>
      </c>
    </row>
    <row r="2230" customHeight="1" spans="1:45">
      <c r="A2230" s="3" t="str">
        <f>IF(对接源_02物料!$C1030="","",对接源_02物料!$C1030)</f>
        <v/>
      </c>
      <c r="B2230" s="3">
        <f t="shared" si="588"/>
        <v>0</v>
      </c>
      <c r="C2230" s="3">
        <f t="shared" si="589"/>
        <v>21</v>
      </c>
      <c r="K2230" s="3">
        <f>IF(OR($K$1="",对接源_02物料!$C1030="",对接源_02物料!$C1030&lt;&gt;$K$1,对接源_02物料!$B1030=""),0,IF(OR(N(对接源_02物料!$B1030)&lt;$K$2,N(对接源_02物料!$B1030)&gt;$K$3),0,1))</f>
        <v>0</v>
      </c>
      <c r="L2230" s="3">
        <f>IF(OR($L$1="",对接源_02物料!$C1030="",对接源_02物料!$C1030&lt;&gt;$L$1,对接源_02物料!$B1030=""),0,IF(OR(N(对接源_02物料!$B1030)&lt;$L$2,N(对接源_02物料!$B1030)&gt;$L$3),0,1))</f>
        <v>0</v>
      </c>
      <c r="M2230" s="3">
        <f>IF(OR($M$1="",对接源_02物料!$C1030="",对接源_02物料!$C1030&lt;&gt;$M$1,对接源_02物料!$B1030=""),0,IF(OR(N(对接源_02物料!$B1030)&lt;$M$2,N(对接源_02物料!$B1030)&gt;$M$3),0,1))</f>
        <v>0</v>
      </c>
      <c r="N2230" s="3">
        <f>IF(OR($N$1="",对接源_02物料!$C1030="",对接源_02物料!$C1030&lt;&gt;$N$1,对接源_02物料!$B1030=""),0,IF(OR(N(对接源_02物料!$B1030)&lt;$N$2,N(对接源_02物料!$B1030)&gt;$N$3),0,1))</f>
        <v>0</v>
      </c>
      <c r="P2230" s="3">
        <f>IF(AND($K2230=1,AND(对接源_02物料!$X1030="公司筐",N(对接源_02物料!$T1030)&lt;&gt;0)),1,0)</f>
        <v>0</v>
      </c>
      <c r="Q2230" s="3">
        <f t="shared" si="590"/>
        <v>8</v>
      </c>
      <c r="R2230" s="3">
        <f>IF(AND($K2230=1,AND(对接源_02物料!$X1030="公司筐",N(对接源_02物料!$U1030)&lt;&gt;0)),1,0)</f>
        <v>0</v>
      </c>
      <c r="S2230" s="3">
        <f t="shared" si="591"/>
        <v>0</v>
      </c>
      <c r="T2230" s="3">
        <f>IF(AND($K2230=1,AND(对接源_02物料!$X1030="公司筐",N(对接源_02物料!$V1030)&lt;&gt;0)),1,0)</f>
        <v>0</v>
      </c>
      <c r="U2230" s="3">
        <f t="shared" si="592"/>
        <v>19</v>
      </c>
      <c r="V2230" s="3">
        <f>IF(AND($L2230=1,AND(对接源_02物料!$X1030="自备筐",N(对接源_02物料!$V1030)&lt;&gt;0)),1,0)</f>
        <v>0</v>
      </c>
      <c r="W2230" s="3">
        <f t="shared" si="593"/>
        <v>8</v>
      </c>
      <c r="X2230" s="3">
        <f>IF(AND($L2230=1,AND(对接源_02物料!$X1030="自备筐",N(对接源_02物料!$T1030)&lt;&gt;0)),1,0)</f>
        <v>0</v>
      </c>
      <c r="Y2230" s="3">
        <f t="shared" si="594"/>
        <v>0</v>
      </c>
      <c r="Z2230" s="3">
        <f>IF(AND($M2230=1,对接源_02物料!$D1030="原料入库"),1,0)</f>
        <v>0</v>
      </c>
      <c r="AA2230" s="3">
        <f t="shared" si="595"/>
        <v>24</v>
      </c>
      <c r="AB2230" s="3">
        <f>IF(AND($M2230=1,LEFT(对接源_02物料!$D1030,4)="原料出库"),1,0)</f>
        <v>0</v>
      </c>
      <c r="AC2230" s="3">
        <f t="shared" si="596"/>
        <v>0</v>
      </c>
      <c r="AD2230" s="3">
        <f>IF(AND($M2230=1,LEFT(对接源_02物料!$D1030,4)="成品出库"),1,0)</f>
        <v>0</v>
      </c>
      <c r="AE2230" s="3">
        <f t="shared" si="597"/>
        <v>0</v>
      </c>
      <c r="AF2230" s="3">
        <f>IF(AND($N2230=1,AND(LEFT(对接源_02物料!$D1030,4)="包装物料",N(对接源_02物料!$K1030)&lt;&gt;0)),1,0)</f>
        <v>0</v>
      </c>
      <c r="AG2230" s="3">
        <f t="shared" si="598"/>
        <v>5</v>
      </c>
      <c r="AH2230" s="3">
        <f>IF(AND($N2230=1,AND(对接源_02物料!$D1030="周转筐－销售出库",N(对接源_02物料!$K1030)&lt;&gt;0)),1,0)</f>
        <v>0</v>
      </c>
      <c r="AI2230" s="3">
        <f t="shared" si="599"/>
        <v>0</v>
      </c>
      <c r="AL2230" s="3">
        <v>0</v>
      </c>
      <c r="AM2230" s="3">
        <f t="shared" si="600"/>
        <v>1</v>
      </c>
      <c r="AN2230" s="3" t="str">
        <f t="shared" si="604"/>
        <v/>
      </c>
      <c r="AO2230" s="3">
        <v>0</v>
      </c>
      <c r="AP2230" s="3">
        <f t="shared" si="601"/>
        <v>8</v>
      </c>
      <c r="AR2230">
        <f t="shared" si="602"/>
        <v>0</v>
      </c>
      <c r="AS2230">
        <f t="shared" si="603"/>
        <v>5</v>
      </c>
    </row>
    <row r="2231" customHeight="1" spans="1:45">
      <c r="A2231" s="3" t="str">
        <f>IF(对接源_02物料!$C1031="","",对接源_02物料!$C1031)</f>
        <v/>
      </c>
      <c r="B2231" s="3">
        <f t="shared" si="588"/>
        <v>0</v>
      </c>
      <c r="C2231" s="3">
        <f t="shared" si="589"/>
        <v>21</v>
      </c>
      <c r="K2231" s="3">
        <f>IF(OR($K$1="",对接源_02物料!$C1031="",对接源_02物料!$C1031&lt;&gt;$K$1,对接源_02物料!$B1031=""),0,IF(OR(N(对接源_02物料!$B1031)&lt;$K$2,N(对接源_02物料!$B1031)&gt;$K$3),0,1))</f>
        <v>0</v>
      </c>
      <c r="L2231" s="3">
        <f>IF(OR($L$1="",对接源_02物料!$C1031="",对接源_02物料!$C1031&lt;&gt;$L$1,对接源_02物料!$B1031=""),0,IF(OR(N(对接源_02物料!$B1031)&lt;$L$2,N(对接源_02物料!$B1031)&gt;$L$3),0,1))</f>
        <v>0</v>
      </c>
      <c r="M2231" s="3">
        <f>IF(OR($M$1="",对接源_02物料!$C1031="",对接源_02物料!$C1031&lt;&gt;$M$1,对接源_02物料!$B1031=""),0,IF(OR(N(对接源_02物料!$B1031)&lt;$M$2,N(对接源_02物料!$B1031)&gt;$M$3),0,1))</f>
        <v>0</v>
      </c>
      <c r="N2231" s="3">
        <f>IF(OR($N$1="",对接源_02物料!$C1031="",对接源_02物料!$C1031&lt;&gt;$N$1,对接源_02物料!$B1031=""),0,IF(OR(N(对接源_02物料!$B1031)&lt;$N$2,N(对接源_02物料!$B1031)&gt;$N$3),0,1))</f>
        <v>0</v>
      </c>
      <c r="P2231" s="3">
        <f>IF(AND($K2231=1,AND(对接源_02物料!$X1031="公司筐",N(对接源_02物料!$T1031)&lt;&gt;0)),1,0)</f>
        <v>0</v>
      </c>
      <c r="Q2231" s="3">
        <f t="shared" si="590"/>
        <v>8</v>
      </c>
      <c r="R2231" s="3">
        <f>IF(AND($K2231=1,AND(对接源_02物料!$X1031="公司筐",N(对接源_02物料!$U1031)&lt;&gt;0)),1,0)</f>
        <v>0</v>
      </c>
      <c r="S2231" s="3">
        <f t="shared" si="591"/>
        <v>0</v>
      </c>
      <c r="T2231" s="3">
        <f>IF(AND($K2231=1,AND(对接源_02物料!$X1031="公司筐",N(对接源_02物料!$V1031)&lt;&gt;0)),1,0)</f>
        <v>0</v>
      </c>
      <c r="U2231" s="3">
        <f t="shared" si="592"/>
        <v>19</v>
      </c>
      <c r="V2231" s="3">
        <f>IF(AND($L2231=1,AND(对接源_02物料!$X1031="自备筐",N(对接源_02物料!$V1031)&lt;&gt;0)),1,0)</f>
        <v>0</v>
      </c>
      <c r="W2231" s="3">
        <f t="shared" si="593"/>
        <v>8</v>
      </c>
      <c r="X2231" s="3">
        <f>IF(AND($L2231=1,AND(对接源_02物料!$X1031="自备筐",N(对接源_02物料!$T1031)&lt;&gt;0)),1,0)</f>
        <v>0</v>
      </c>
      <c r="Y2231" s="3">
        <f t="shared" si="594"/>
        <v>0</v>
      </c>
      <c r="Z2231" s="3">
        <f>IF(AND($M2231=1,对接源_02物料!$D1031="原料入库"),1,0)</f>
        <v>0</v>
      </c>
      <c r="AA2231" s="3">
        <f t="shared" si="595"/>
        <v>24</v>
      </c>
      <c r="AB2231" s="3">
        <f>IF(AND($M2231=1,LEFT(对接源_02物料!$D1031,4)="原料出库"),1,0)</f>
        <v>0</v>
      </c>
      <c r="AC2231" s="3">
        <f t="shared" si="596"/>
        <v>0</v>
      </c>
      <c r="AD2231" s="3">
        <f>IF(AND($M2231=1,LEFT(对接源_02物料!$D1031,4)="成品出库"),1,0)</f>
        <v>0</v>
      </c>
      <c r="AE2231" s="3">
        <f t="shared" si="597"/>
        <v>0</v>
      </c>
      <c r="AF2231" s="3">
        <f>IF(AND($N2231=1,AND(LEFT(对接源_02物料!$D1031,4)="包装物料",N(对接源_02物料!$K1031)&lt;&gt;0)),1,0)</f>
        <v>0</v>
      </c>
      <c r="AG2231" s="3">
        <f t="shared" si="598"/>
        <v>5</v>
      </c>
      <c r="AH2231" s="3">
        <f>IF(AND($N2231=1,AND(对接源_02物料!$D1031="周转筐－销售出库",N(对接源_02物料!$K1031)&lt;&gt;0)),1,0)</f>
        <v>0</v>
      </c>
      <c r="AI2231" s="3">
        <f t="shared" si="599"/>
        <v>0</v>
      </c>
      <c r="AL2231" s="3">
        <v>0</v>
      </c>
      <c r="AM2231" s="3">
        <f t="shared" si="600"/>
        <v>1</v>
      </c>
      <c r="AN2231" s="3" t="str">
        <f t="shared" si="604"/>
        <v/>
      </c>
      <c r="AO2231" s="3">
        <v>0</v>
      </c>
      <c r="AP2231" s="3">
        <f t="shared" si="601"/>
        <v>8</v>
      </c>
      <c r="AR2231">
        <f t="shared" si="602"/>
        <v>0</v>
      </c>
      <c r="AS2231">
        <f t="shared" si="603"/>
        <v>5</v>
      </c>
    </row>
    <row r="2232" customHeight="1" spans="1:45">
      <c r="A2232" s="3" t="str">
        <f>IF(对接源_02物料!$C1032="","",对接源_02物料!$C1032)</f>
        <v/>
      </c>
      <c r="B2232" s="3">
        <f t="shared" si="588"/>
        <v>0</v>
      </c>
      <c r="C2232" s="3">
        <f t="shared" si="589"/>
        <v>21</v>
      </c>
      <c r="K2232" s="3">
        <f>IF(OR($K$1="",对接源_02物料!$C1032="",对接源_02物料!$C1032&lt;&gt;$K$1,对接源_02物料!$B1032=""),0,IF(OR(N(对接源_02物料!$B1032)&lt;$K$2,N(对接源_02物料!$B1032)&gt;$K$3),0,1))</f>
        <v>0</v>
      </c>
      <c r="L2232" s="3">
        <f>IF(OR($L$1="",对接源_02物料!$C1032="",对接源_02物料!$C1032&lt;&gt;$L$1,对接源_02物料!$B1032=""),0,IF(OR(N(对接源_02物料!$B1032)&lt;$L$2,N(对接源_02物料!$B1032)&gt;$L$3),0,1))</f>
        <v>0</v>
      </c>
      <c r="M2232" s="3">
        <f>IF(OR($M$1="",对接源_02物料!$C1032="",对接源_02物料!$C1032&lt;&gt;$M$1,对接源_02物料!$B1032=""),0,IF(OR(N(对接源_02物料!$B1032)&lt;$M$2,N(对接源_02物料!$B1032)&gt;$M$3),0,1))</f>
        <v>0</v>
      </c>
      <c r="N2232" s="3">
        <f>IF(OR($N$1="",对接源_02物料!$C1032="",对接源_02物料!$C1032&lt;&gt;$N$1,对接源_02物料!$B1032=""),0,IF(OR(N(对接源_02物料!$B1032)&lt;$N$2,N(对接源_02物料!$B1032)&gt;$N$3),0,1))</f>
        <v>0</v>
      </c>
      <c r="P2232" s="3">
        <f>IF(AND($K2232=1,AND(对接源_02物料!$X1032="公司筐",N(对接源_02物料!$T1032)&lt;&gt;0)),1,0)</f>
        <v>0</v>
      </c>
      <c r="Q2232" s="3">
        <f t="shared" si="590"/>
        <v>8</v>
      </c>
      <c r="R2232" s="3">
        <f>IF(AND($K2232=1,AND(对接源_02物料!$X1032="公司筐",N(对接源_02物料!$U1032)&lt;&gt;0)),1,0)</f>
        <v>0</v>
      </c>
      <c r="S2232" s="3">
        <f t="shared" si="591"/>
        <v>0</v>
      </c>
      <c r="T2232" s="3">
        <f>IF(AND($K2232=1,AND(对接源_02物料!$X1032="公司筐",N(对接源_02物料!$V1032)&lt;&gt;0)),1,0)</f>
        <v>0</v>
      </c>
      <c r="U2232" s="3">
        <f t="shared" si="592"/>
        <v>19</v>
      </c>
      <c r="V2232" s="3">
        <f>IF(AND($L2232=1,AND(对接源_02物料!$X1032="自备筐",N(对接源_02物料!$V1032)&lt;&gt;0)),1,0)</f>
        <v>0</v>
      </c>
      <c r="W2232" s="3">
        <f t="shared" si="593"/>
        <v>8</v>
      </c>
      <c r="X2232" s="3">
        <f>IF(AND($L2232=1,AND(对接源_02物料!$X1032="自备筐",N(对接源_02物料!$T1032)&lt;&gt;0)),1,0)</f>
        <v>0</v>
      </c>
      <c r="Y2232" s="3">
        <f t="shared" si="594"/>
        <v>0</v>
      </c>
      <c r="Z2232" s="3">
        <f>IF(AND($M2232=1,对接源_02物料!$D1032="原料入库"),1,0)</f>
        <v>0</v>
      </c>
      <c r="AA2232" s="3">
        <f t="shared" si="595"/>
        <v>24</v>
      </c>
      <c r="AB2232" s="3">
        <f>IF(AND($M2232=1,LEFT(对接源_02物料!$D1032,4)="原料出库"),1,0)</f>
        <v>0</v>
      </c>
      <c r="AC2232" s="3">
        <f t="shared" si="596"/>
        <v>0</v>
      </c>
      <c r="AD2232" s="3">
        <f>IF(AND($M2232=1,LEFT(对接源_02物料!$D1032,4)="成品出库"),1,0)</f>
        <v>0</v>
      </c>
      <c r="AE2232" s="3">
        <f t="shared" si="597"/>
        <v>0</v>
      </c>
      <c r="AF2232" s="3">
        <f>IF(AND($N2232=1,AND(LEFT(对接源_02物料!$D1032,4)="包装物料",N(对接源_02物料!$K1032)&lt;&gt;0)),1,0)</f>
        <v>0</v>
      </c>
      <c r="AG2232" s="3">
        <f t="shared" si="598"/>
        <v>5</v>
      </c>
      <c r="AH2232" s="3">
        <f>IF(AND($N2232=1,AND(对接源_02物料!$D1032="周转筐－销售出库",N(对接源_02物料!$K1032)&lt;&gt;0)),1,0)</f>
        <v>0</v>
      </c>
      <c r="AI2232" s="3">
        <f t="shared" si="599"/>
        <v>0</v>
      </c>
      <c r="AL2232" s="3">
        <v>0</v>
      </c>
      <c r="AM2232" s="3">
        <f t="shared" si="600"/>
        <v>1</v>
      </c>
      <c r="AN2232" s="3" t="str">
        <f t="shared" si="604"/>
        <v/>
      </c>
      <c r="AO2232" s="3">
        <v>0</v>
      </c>
      <c r="AP2232" s="3">
        <f t="shared" si="601"/>
        <v>8</v>
      </c>
      <c r="AR2232">
        <f t="shared" si="602"/>
        <v>0</v>
      </c>
      <c r="AS2232">
        <f t="shared" si="603"/>
        <v>5</v>
      </c>
    </row>
    <row r="2233" customHeight="1" spans="1:45">
      <c r="A2233" s="3" t="str">
        <f>IF(对接源_02物料!$C1033="","",对接源_02物料!$C1033)</f>
        <v/>
      </c>
      <c r="B2233" s="3">
        <f t="shared" si="588"/>
        <v>0</v>
      </c>
      <c r="C2233" s="3">
        <f t="shared" si="589"/>
        <v>21</v>
      </c>
      <c r="K2233" s="3">
        <f>IF(OR($K$1="",对接源_02物料!$C1033="",对接源_02物料!$C1033&lt;&gt;$K$1,对接源_02物料!$B1033=""),0,IF(OR(N(对接源_02物料!$B1033)&lt;$K$2,N(对接源_02物料!$B1033)&gt;$K$3),0,1))</f>
        <v>0</v>
      </c>
      <c r="L2233" s="3">
        <f>IF(OR($L$1="",对接源_02物料!$C1033="",对接源_02物料!$C1033&lt;&gt;$L$1,对接源_02物料!$B1033=""),0,IF(OR(N(对接源_02物料!$B1033)&lt;$L$2,N(对接源_02物料!$B1033)&gt;$L$3),0,1))</f>
        <v>0</v>
      </c>
      <c r="M2233" s="3">
        <f>IF(OR($M$1="",对接源_02物料!$C1033="",对接源_02物料!$C1033&lt;&gt;$M$1,对接源_02物料!$B1033=""),0,IF(OR(N(对接源_02物料!$B1033)&lt;$M$2,N(对接源_02物料!$B1033)&gt;$M$3),0,1))</f>
        <v>0</v>
      </c>
      <c r="N2233" s="3">
        <f>IF(OR($N$1="",对接源_02物料!$C1033="",对接源_02物料!$C1033&lt;&gt;$N$1,对接源_02物料!$B1033=""),0,IF(OR(N(对接源_02物料!$B1033)&lt;$N$2,N(对接源_02物料!$B1033)&gt;$N$3),0,1))</f>
        <v>0</v>
      </c>
      <c r="P2233" s="3">
        <f>IF(AND($K2233=1,AND(对接源_02物料!$X1033="公司筐",N(对接源_02物料!$T1033)&lt;&gt;0)),1,0)</f>
        <v>0</v>
      </c>
      <c r="Q2233" s="3">
        <f t="shared" si="590"/>
        <v>8</v>
      </c>
      <c r="R2233" s="3">
        <f>IF(AND($K2233=1,AND(对接源_02物料!$X1033="公司筐",N(对接源_02物料!$U1033)&lt;&gt;0)),1,0)</f>
        <v>0</v>
      </c>
      <c r="S2233" s="3">
        <f t="shared" si="591"/>
        <v>0</v>
      </c>
      <c r="T2233" s="3">
        <f>IF(AND($K2233=1,AND(对接源_02物料!$X1033="公司筐",N(对接源_02物料!$V1033)&lt;&gt;0)),1,0)</f>
        <v>0</v>
      </c>
      <c r="U2233" s="3">
        <f t="shared" si="592"/>
        <v>19</v>
      </c>
      <c r="V2233" s="3">
        <f>IF(AND($L2233=1,AND(对接源_02物料!$X1033="自备筐",N(对接源_02物料!$V1033)&lt;&gt;0)),1,0)</f>
        <v>0</v>
      </c>
      <c r="W2233" s="3">
        <f t="shared" si="593"/>
        <v>8</v>
      </c>
      <c r="X2233" s="3">
        <f>IF(AND($L2233=1,AND(对接源_02物料!$X1033="自备筐",N(对接源_02物料!$T1033)&lt;&gt;0)),1,0)</f>
        <v>0</v>
      </c>
      <c r="Y2233" s="3">
        <f t="shared" si="594"/>
        <v>0</v>
      </c>
      <c r="Z2233" s="3">
        <f>IF(AND($M2233=1,对接源_02物料!$D1033="原料入库"),1,0)</f>
        <v>0</v>
      </c>
      <c r="AA2233" s="3">
        <f t="shared" si="595"/>
        <v>24</v>
      </c>
      <c r="AB2233" s="3">
        <f>IF(AND($M2233=1,LEFT(对接源_02物料!$D1033,4)="原料出库"),1,0)</f>
        <v>0</v>
      </c>
      <c r="AC2233" s="3">
        <f t="shared" si="596"/>
        <v>0</v>
      </c>
      <c r="AD2233" s="3">
        <f>IF(AND($M2233=1,LEFT(对接源_02物料!$D1033,4)="成品出库"),1,0)</f>
        <v>0</v>
      </c>
      <c r="AE2233" s="3">
        <f t="shared" si="597"/>
        <v>0</v>
      </c>
      <c r="AF2233" s="3">
        <f>IF(AND($N2233=1,AND(LEFT(对接源_02物料!$D1033,4)="包装物料",N(对接源_02物料!$K1033)&lt;&gt;0)),1,0)</f>
        <v>0</v>
      </c>
      <c r="AG2233" s="3">
        <f t="shared" si="598"/>
        <v>5</v>
      </c>
      <c r="AH2233" s="3">
        <f>IF(AND($N2233=1,AND(对接源_02物料!$D1033="周转筐－销售出库",N(对接源_02物料!$K1033)&lt;&gt;0)),1,0)</f>
        <v>0</v>
      </c>
      <c r="AI2233" s="3">
        <f t="shared" si="599"/>
        <v>0</v>
      </c>
      <c r="AL2233" s="3">
        <v>0</v>
      </c>
      <c r="AM2233" s="3">
        <f t="shared" si="600"/>
        <v>1</v>
      </c>
      <c r="AN2233" s="3" t="str">
        <f t="shared" si="604"/>
        <v/>
      </c>
      <c r="AO2233" s="3">
        <v>0</v>
      </c>
      <c r="AP2233" s="3">
        <f t="shared" si="601"/>
        <v>8</v>
      </c>
      <c r="AR2233">
        <f t="shared" si="602"/>
        <v>0</v>
      </c>
      <c r="AS2233">
        <f t="shared" si="603"/>
        <v>5</v>
      </c>
    </row>
    <row r="2234" customHeight="1" spans="1:45">
      <c r="A2234" s="3" t="str">
        <f>IF(对接源_02物料!$C1034="","",对接源_02物料!$C1034)</f>
        <v/>
      </c>
      <c r="B2234" s="3">
        <f t="shared" si="588"/>
        <v>0</v>
      </c>
      <c r="C2234" s="3">
        <f t="shared" si="589"/>
        <v>21</v>
      </c>
      <c r="K2234" s="3">
        <f>IF(OR($K$1="",对接源_02物料!$C1034="",对接源_02物料!$C1034&lt;&gt;$K$1,对接源_02物料!$B1034=""),0,IF(OR(N(对接源_02物料!$B1034)&lt;$K$2,N(对接源_02物料!$B1034)&gt;$K$3),0,1))</f>
        <v>0</v>
      </c>
      <c r="L2234" s="3">
        <f>IF(OR($L$1="",对接源_02物料!$C1034="",对接源_02物料!$C1034&lt;&gt;$L$1,对接源_02物料!$B1034=""),0,IF(OR(N(对接源_02物料!$B1034)&lt;$L$2,N(对接源_02物料!$B1034)&gt;$L$3),0,1))</f>
        <v>0</v>
      </c>
      <c r="M2234" s="3">
        <f>IF(OR($M$1="",对接源_02物料!$C1034="",对接源_02物料!$C1034&lt;&gt;$M$1,对接源_02物料!$B1034=""),0,IF(OR(N(对接源_02物料!$B1034)&lt;$M$2,N(对接源_02物料!$B1034)&gt;$M$3),0,1))</f>
        <v>0</v>
      </c>
      <c r="N2234" s="3">
        <f>IF(OR($N$1="",对接源_02物料!$C1034="",对接源_02物料!$C1034&lt;&gt;$N$1,对接源_02物料!$B1034=""),0,IF(OR(N(对接源_02物料!$B1034)&lt;$N$2,N(对接源_02物料!$B1034)&gt;$N$3),0,1))</f>
        <v>0</v>
      </c>
      <c r="P2234" s="3">
        <f>IF(AND($K2234=1,AND(对接源_02物料!$X1034="公司筐",N(对接源_02物料!$T1034)&lt;&gt;0)),1,0)</f>
        <v>0</v>
      </c>
      <c r="Q2234" s="3">
        <f t="shared" si="590"/>
        <v>8</v>
      </c>
      <c r="R2234" s="3">
        <f>IF(AND($K2234=1,AND(对接源_02物料!$X1034="公司筐",N(对接源_02物料!$U1034)&lt;&gt;0)),1,0)</f>
        <v>0</v>
      </c>
      <c r="S2234" s="3">
        <f t="shared" si="591"/>
        <v>0</v>
      </c>
      <c r="T2234" s="3">
        <f>IF(AND($K2234=1,AND(对接源_02物料!$X1034="公司筐",N(对接源_02物料!$V1034)&lt;&gt;0)),1,0)</f>
        <v>0</v>
      </c>
      <c r="U2234" s="3">
        <f t="shared" si="592"/>
        <v>19</v>
      </c>
      <c r="V2234" s="3">
        <f>IF(AND($L2234=1,AND(对接源_02物料!$X1034="自备筐",N(对接源_02物料!$V1034)&lt;&gt;0)),1,0)</f>
        <v>0</v>
      </c>
      <c r="W2234" s="3">
        <f t="shared" si="593"/>
        <v>8</v>
      </c>
      <c r="X2234" s="3">
        <f>IF(AND($L2234=1,AND(对接源_02物料!$X1034="自备筐",N(对接源_02物料!$T1034)&lt;&gt;0)),1,0)</f>
        <v>0</v>
      </c>
      <c r="Y2234" s="3">
        <f t="shared" si="594"/>
        <v>0</v>
      </c>
      <c r="Z2234" s="3">
        <f>IF(AND($M2234=1,对接源_02物料!$D1034="原料入库"),1,0)</f>
        <v>0</v>
      </c>
      <c r="AA2234" s="3">
        <f t="shared" si="595"/>
        <v>24</v>
      </c>
      <c r="AB2234" s="3">
        <f>IF(AND($M2234=1,LEFT(对接源_02物料!$D1034,4)="原料出库"),1,0)</f>
        <v>0</v>
      </c>
      <c r="AC2234" s="3">
        <f t="shared" si="596"/>
        <v>0</v>
      </c>
      <c r="AD2234" s="3">
        <f>IF(AND($M2234=1,LEFT(对接源_02物料!$D1034,4)="成品出库"),1,0)</f>
        <v>0</v>
      </c>
      <c r="AE2234" s="3">
        <f t="shared" si="597"/>
        <v>0</v>
      </c>
      <c r="AF2234" s="3">
        <f>IF(AND($N2234=1,AND(LEFT(对接源_02物料!$D1034,4)="包装物料",N(对接源_02物料!$K1034)&lt;&gt;0)),1,0)</f>
        <v>0</v>
      </c>
      <c r="AG2234" s="3">
        <f t="shared" si="598"/>
        <v>5</v>
      </c>
      <c r="AH2234" s="3">
        <f>IF(AND($N2234=1,AND(对接源_02物料!$D1034="周转筐－销售出库",N(对接源_02物料!$K1034)&lt;&gt;0)),1,0)</f>
        <v>0</v>
      </c>
      <c r="AI2234" s="3">
        <f t="shared" si="599"/>
        <v>0</v>
      </c>
      <c r="AL2234" s="3">
        <v>0</v>
      </c>
      <c r="AM2234" s="3">
        <f t="shared" si="600"/>
        <v>1</v>
      </c>
      <c r="AN2234" s="3" t="str">
        <f t="shared" si="604"/>
        <v/>
      </c>
      <c r="AO2234" s="3">
        <v>0</v>
      </c>
      <c r="AP2234" s="3">
        <f t="shared" si="601"/>
        <v>8</v>
      </c>
      <c r="AR2234">
        <f t="shared" si="602"/>
        <v>0</v>
      </c>
      <c r="AS2234">
        <f t="shared" si="603"/>
        <v>5</v>
      </c>
    </row>
    <row r="2235" customHeight="1" spans="1:45">
      <c r="A2235" s="3" t="str">
        <f>IF(对接源_02物料!$C1035="","",对接源_02物料!$C1035)</f>
        <v/>
      </c>
      <c r="B2235" s="3">
        <f t="shared" si="588"/>
        <v>0</v>
      </c>
      <c r="C2235" s="3">
        <f t="shared" si="589"/>
        <v>21</v>
      </c>
      <c r="K2235" s="3">
        <f>IF(OR($K$1="",对接源_02物料!$C1035="",对接源_02物料!$C1035&lt;&gt;$K$1,对接源_02物料!$B1035=""),0,IF(OR(N(对接源_02物料!$B1035)&lt;$K$2,N(对接源_02物料!$B1035)&gt;$K$3),0,1))</f>
        <v>0</v>
      </c>
      <c r="L2235" s="3">
        <f>IF(OR($L$1="",对接源_02物料!$C1035="",对接源_02物料!$C1035&lt;&gt;$L$1,对接源_02物料!$B1035=""),0,IF(OR(N(对接源_02物料!$B1035)&lt;$L$2,N(对接源_02物料!$B1035)&gt;$L$3),0,1))</f>
        <v>0</v>
      </c>
      <c r="M2235" s="3">
        <f>IF(OR($M$1="",对接源_02物料!$C1035="",对接源_02物料!$C1035&lt;&gt;$M$1,对接源_02物料!$B1035=""),0,IF(OR(N(对接源_02物料!$B1035)&lt;$M$2,N(对接源_02物料!$B1035)&gt;$M$3),0,1))</f>
        <v>0</v>
      </c>
      <c r="N2235" s="3">
        <f>IF(OR($N$1="",对接源_02物料!$C1035="",对接源_02物料!$C1035&lt;&gt;$N$1,对接源_02物料!$B1035=""),0,IF(OR(N(对接源_02物料!$B1035)&lt;$N$2,N(对接源_02物料!$B1035)&gt;$N$3),0,1))</f>
        <v>0</v>
      </c>
      <c r="P2235" s="3">
        <f>IF(AND($K2235=1,AND(对接源_02物料!$X1035="公司筐",N(对接源_02物料!$T1035)&lt;&gt;0)),1,0)</f>
        <v>0</v>
      </c>
      <c r="Q2235" s="3">
        <f t="shared" si="590"/>
        <v>8</v>
      </c>
      <c r="R2235" s="3">
        <f>IF(AND($K2235=1,AND(对接源_02物料!$X1035="公司筐",N(对接源_02物料!$U1035)&lt;&gt;0)),1,0)</f>
        <v>0</v>
      </c>
      <c r="S2235" s="3">
        <f t="shared" si="591"/>
        <v>0</v>
      </c>
      <c r="T2235" s="3">
        <f>IF(AND($K2235=1,AND(对接源_02物料!$X1035="公司筐",N(对接源_02物料!$V1035)&lt;&gt;0)),1,0)</f>
        <v>0</v>
      </c>
      <c r="U2235" s="3">
        <f t="shared" si="592"/>
        <v>19</v>
      </c>
      <c r="V2235" s="3">
        <f>IF(AND($L2235=1,AND(对接源_02物料!$X1035="自备筐",N(对接源_02物料!$V1035)&lt;&gt;0)),1,0)</f>
        <v>0</v>
      </c>
      <c r="W2235" s="3">
        <f t="shared" si="593"/>
        <v>8</v>
      </c>
      <c r="X2235" s="3">
        <f>IF(AND($L2235=1,AND(对接源_02物料!$X1035="自备筐",N(对接源_02物料!$T1035)&lt;&gt;0)),1,0)</f>
        <v>0</v>
      </c>
      <c r="Y2235" s="3">
        <f t="shared" si="594"/>
        <v>0</v>
      </c>
      <c r="Z2235" s="3">
        <f>IF(AND($M2235=1,对接源_02物料!$D1035="原料入库"),1,0)</f>
        <v>0</v>
      </c>
      <c r="AA2235" s="3">
        <f t="shared" si="595"/>
        <v>24</v>
      </c>
      <c r="AB2235" s="3">
        <f>IF(AND($M2235=1,LEFT(对接源_02物料!$D1035,4)="原料出库"),1,0)</f>
        <v>0</v>
      </c>
      <c r="AC2235" s="3">
        <f t="shared" si="596"/>
        <v>0</v>
      </c>
      <c r="AD2235" s="3">
        <f>IF(AND($M2235=1,LEFT(对接源_02物料!$D1035,4)="成品出库"),1,0)</f>
        <v>0</v>
      </c>
      <c r="AE2235" s="3">
        <f t="shared" si="597"/>
        <v>0</v>
      </c>
      <c r="AF2235" s="3">
        <f>IF(AND($N2235=1,AND(LEFT(对接源_02物料!$D1035,4)="包装物料",N(对接源_02物料!$K1035)&lt;&gt;0)),1,0)</f>
        <v>0</v>
      </c>
      <c r="AG2235" s="3">
        <f t="shared" si="598"/>
        <v>5</v>
      </c>
      <c r="AH2235" s="3">
        <f>IF(AND($N2235=1,AND(对接源_02物料!$D1035="周转筐－销售出库",N(对接源_02物料!$K1035)&lt;&gt;0)),1,0)</f>
        <v>0</v>
      </c>
      <c r="AI2235" s="3">
        <f t="shared" si="599"/>
        <v>0</v>
      </c>
      <c r="AL2235" s="3">
        <v>0</v>
      </c>
      <c r="AM2235" s="3">
        <f t="shared" si="600"/>
        <v>1</v>
      </c>
      <c r="AN2235" s="3" t="str">
        <f t="shared" si="604"/>
        <v/>
      </c>
      <c r="AO2235" s="3">
        <v>0</v>
      </c>
      <c r="AP2235" s="3">
        <f t="shared" si="601"/>
        <v>8</v>
      </c>
      <c r="AR2235">
        <f t="shared" si="602"/>
        <v>0</v>
      </c>
      <c r="AS2235">
        <f t="shared" si="603"/>
        <v>5</v>
      </c>
    </row>
    <row r="2236" customHeight="1" spans="1:45">
      <c r="A2236" s="3" t="str">
        <f>IF(对接源_02物料!$C1036="","",对接源_02物料!$C1036)</f>
        <v/>
      </c>
      <c r="B2236" s="3">
        <f t="shared" si="588"/>
        <v>0</v>
      </c>
      <c r="C2236" s="3">
        <f t="shared" si="589"/>
        <v>21</v>
      </c>
      <c r="K2236" s="3">
        <f>IF(OR($K$1="",对接源_02物料!$C1036="",对接源_02物料!$C1036&lt;&gt;$K$1,对接源_02物料!$B1036=""),0,IF(OR(N(对接源_02物料!$B1036)&lt;$K$2,N(对接源_02物料!$B1036)&gt;$K$3),0,1))</f>
        <v>0</v>
      </c>
      <c r="L2236" s="3">
        <f>IF(OR($L$1="",对接源_02物料!$C1036="",对接源_02物料!$C1036&lt;&gt;$L$1,对接源_02物料!$B1036=""),0,IF(OR(N(对接源_02物料!$B1036)&lt;$L$2,N(对接源_02物料!$B1036)&gt;$L$3),0,1))</f>
        <v>0</v>
      </c>
      <c r="M2236" s="3">
        <f>IF(OR($M$1="",对接源_02物料!$C1036="",对接源_02物料!$C1036&lt;&gt;$M$1,对接源_02物料!$B1036=""),0,IF(OR(N(对接源_02物料!$B1036)&lt;$M$2,N(对接源_02物料!$B1036)&gt;$M$3),0,1))</f>
        <v>0</v>
      </c>
      <c r="N2236" s="3">
        <f>IF(OR($N$1="",对接源_02物料!$C1036="",对接源_02物料!$C1036&lt;&gt;$N$1,对接源_02物料!$B1036=""),0,IF(OR(N(对接源_02物料!$B1036)&lt;$N$2,N(对接源_02物料!$B1036)&gt;$N$3),0,1))</f>
        <v>0</v>
      </c>
      <c r="P2236" s="3">
        <f>IF(AND($K2236=1,AND(对接源_02物料!$X1036="公司筐",N(对接源_02物料!$T1036)&lt;&gt;0)),1,0)</f>
        <v>0</v>
      </c>
      <c r="Q2236" s="3">
        <f t="shared" si="590"/>
        <v>8</v>
      </c>
      <c r="R2236" s="3">
        <f>IF(AND($K2236=1,AND(对接源_02物料!$X1036="公司筐",N(对接源_02物料!$U1036)&lt;&gt;0)),1,0)</f>
        <v>0</v>
      </c>
      <c r="S2236" s="3">
        <f t="shared" si="591"/>
        <v>0</v>
      </c>
      <c r="T2236" s="3">
        <f>IF(AND($K2236=1,AND(对接源_02物料!$X1036="公司筐",N(对接源_02物料!$V1036)&lt;&gt;0)),1,0)</f>
        <v>0</v>
      </c>
      <c r="U2236" s="3">
        <f t="shared" si="592"/>
        <v>19</v>
      </c>
      <c r="V2236" s="3">
        <f>IF(AND($L2236=1,AND(对接源_02物料!$X1036="自备筐",N(对接源_02物料!$V1036)&lt;&gt;0)),1,0)</f>
        <v>0</v>
      </c>
      <c r="W2236" s="3">
        <f t="shared" si="593"/>
        <v>8</v>
      </c>
      <c r="X2236" s="3">
        <f>IF(AND($L2236=1,AND(对接源_02物料!$X1036="自备筐",N(对接源_02物料!$T1036)&lt;&gt;0)),1,0)</f>
        <v>0</v>
      </c>
      <c r="Y2236" s="3">
        <f t="shared" si="594"/>
        <v>0</v>
      </c>
      <c r="Z2236" s="3">
        <f>IF(AND($M2236=1,对接源_02物料!$D1036="原料入库"),1,0)</f>
        <v>0</v>
      </c>
      <c r="AA2236" s="3">
        <f t="shared" si="595"/>
        <v>24</v>
      </c>
      <c r="AB2236" s="3">
        <f>IF(AND($M2236=1,LEFT(对接源_02物料!$D1036,4)="原料出库"),1,0)</f>
        <v>0</v>
      </c>
      <c r="AC2236" s="3">
        <f t="shared" si="596"/>
        <v>0</v>
      </c>
      <c r="AD2236" s="3">
        <f>IF(AND($M2236=1,LEFT(对接源_02物料!$D1036,4)="成品出库"),1,0)</f>
        <v>0</v>
      </c>
      <c r="AE2236" s="3">
        <f t="shared" si="597"/>
        <v>0</v>
      </c>
      <c r="AF2236" s="3">
        <f>IF(AND($N2236=1,AND(LEFT(对接源_02物料!$D1036,4)="包装物料",N(对接源_02物料!$K1036)&lt;&gt;0)),1,0)</f>
        <v>0</v>
      </c>
      <c r="AG2236" s="3">
        <f t="shared" si="598"/>
        <v>5</v>
      </c>
      <c r="AH2236" s="3">
        <f>IF(AND($N2236=1,AND(对接源_02物料!$D1036="周转筐－销售出库",N(对接源_02物料!$K1036)&lt;&gt;0)),1,0)</f>
        <v>0</v>
      </c>
      <c r="AI2236" s="3">
        <f t="shared" si="599"/>
        <v>0</v>
      </c>
      <c r="AL2236" s="3">
        <v>0</v>
      </c>
      <c r="AM2236" s="3">
        <f t="shared" si="600"/>
        <v>1</v>
      </c>
      <c r="AN2236" s="3" t="str">
        <f t="shared" si="604"/>
        <v/>
      </c>
      <c r="AO2236" s="3">
        <v>0</v>
      </c>
      <c r="AP2236" s="3">
        <f t="shared" si="601"/>
        <v>8</v>
      </c>
      <c r="AR2236">
        <f t="shared" si="602"/>
        <v>0</v>
      </c>
      <c r="AS2236">
        <f t="shared" si="603"/>
        <v>5</v>
      </c>
    </row>
    <row r="2237" customHeight="1" spans="1:45">
      <c r="A2237" s="3" t="str">
        <f>IF(对接源_02物料!$C1037="","",对接源_02物料!$C1037)</f>
        <v/>
      </c>
      <c r="B2237" s="3">
        <f t="shared" si="588"/>
        <v>0</v>
      </c>
      <c r="C2237" s="3">
        <f t="shared" si="589"/>
        <v>21</v>
      </c>
      <c r="K2237" s="3">
        <f>IF(OR($K$1="",对接源_02物料!$C1037="",对接源_02物料!$C1037&lt;&gt;$K$1,对接源_02物料!$B1037=""),0,IF(OR(N(对接源_02物料!$B1037)&lt;$K$2,N(对接源_02物料!$B1037)&gt;$K$3),0,1))</f>
        <v>0</v>
      </c>
      <c r="L2237" s="3">
        <f>IF(OR($L$1="",对接源_02物料!$C1037="",对接源_02物料!$C1037&lt;&gt;$L$1,对接源_02物料!$B1037=""),0,IF(OR(N(对接源_02物料!$B1037)&lt;$L$2,N(对接源_02物料!$B1037)&gt;$L$3),0,1))</f>
        <v>0</v>
      </c>
      <c r="M2237" s="3">
        <f>IF(OR($M$1="",对接源_02物料!$C1037="",对接源_02物料!$C1037&lt;&gt;$M$1,对接源_02物料!$B1037=""),0,IF(OR(N(对接源_02物料!$B1037)&lt;$M$2,N(对接源_02物料!$B1037)&gt;$M$3),0,1))</f>
        <v>0</v>
      </c>
      <c r="N2237" s="3">
        <f>IF(OR($N$1="",对接源_02物料!$C1037="",对接源_02物料!$C1037&lt;&gt;$N$1,对接源_02物料!$B1037=""),0,IF(OR(N(对接源_02物料!$B1037)&lt;$N$2,N(对接源_02物料!$B1037)&gt;$N$3),0,1))</f>
        <v>0</v>
      </c>
      <c r="P2237" s="3">
        <f>IF(AND($K2237=1,AND(对接源_02物料!$X1037="公司筐",N(对接源_02物料!$T1037)&lt;&gt;0)),1,0)</f>
        <v>0</v>
      </c>
      <c r="Q2237" s="3">
        <f t="shared" si="590"/>
        <v>8</v>
      </c>
      <c r="R2237" s="3">
        <f>IF(AND($K2237=1,AND(对接源_02物料!$X1037="公司筐",N(对接源_02物料!$U1037)&lt;&gt;0)),1,0)</f>
        <v>0</v>
      </c>
      <c r="S2237" s="3">
        <f t="shared" si="591"/>
        <v>0</v>
      </c>
      <c r="T2237" s="3">
        <f>IF(AND($K2237=1,AND(对接源_02物料!$X1037="公司筐",N(对接源_02物料!$V1037)&lt;&gt;0)),1,0)</f>
        <v>0</v>
      </c>
      <c r="U2237" s="3">
        <f t="shared" si="592"/>
        <v>19</v>
      </c>
      <c r="V2237" s="3">
        <f>IF(AND($L2237=1,AND(对接源_02物料!$X1037="自备筐",N(对接源_02物料!$V1037)&lt;&gt;0)),1,0)</f>
        <v>0</v>
      </c>
      <c r="W2237" s="3">
        <f t="shared" si="593"/>
        <v>8</v>
      </c>
      <c r="X2237" s="3">
        <f>IF(AND($L2237=1,AND(对接源_02物料!$X1037="自备筐",N(对接源_02物料!$T1037)&lt;&gt;0)),1,0)</f>
        <v>0</v>
      </c>
      <c r="Y2237" s="3">
        <f t="shared" si="594"/>
        <v>0</v>
      </c>
      <c r="Z2237" s="3">
        <f>IF(AND($M2237=1,对接源_02物料!$D1037="原料入库"),1,0)</f>
        <v>0</v>
      </c>
      <c r="AA2237" s="3">
        <f t="shared" si="595"/>
        <v>24</v>
      </c>
      <c r="AB2237" s="3">
        <f>IF(AND($M2237=1,LEFT(对接源_02物料!$D1037,4)="原料出库"),1,0)</f>
        <v>0</v>
      </c>
      <c r="AC2237" s="3">
        <f t="shared" si="596"/>
        <v>0</v>
      </c>
      <c r="AD2237" s="3">
        <f>IF(AND($M2237=1,LEFT(对接源_02物料!$D1037,4)="成品出库"),1,0)</f>
        <v>0</v>
      </c>
      <c r="AE2237" s="3">
        <f t="shared" si="597"/>
        <v>0</v>
      </c>
      <c r="AF2237" s="3">
        <f>IF(AND($N2237=1,AND(LEFT(对接源_02物料!$D1037,4)="包装物料",N(对接源_02物料!$K1037)&lt;&gt;0)),1,0)</f>
        <v>0</v>
      </c>
      <c r="AG2237" s="3">
        <f t="shared" si="598"/>
        <v>5</v>
      </c>
      <c r="AH2237" s="3">
        <f>IF(AND($N2237=1,AND(对接源_02物料!$D1037="周转筐－销售出库",N(对接源_02物料!$K1037)&lt;&gt;0)),1,0)</f>
        <v>0</v>
      </c>
      <c r="AI2237" s="3">
        <f t="shared" si="599"/>
        <v>0</v>
      </c>
      <c r="AL2237" s="3">
        <v>0</v>
      </c>
      <c r="AM2237" s="3">
        <f t="shared" si="600"/>
        <v>1</v>
      </c>
      <c r="AN2237" s="3" t="str">
        <f t="shared" si="604"/>
        <v/>
      </c>
      <c r="AO2237" s="3">
        <v>0</v>
      </c>
      <c r="AP2237" s="3">
        <f t="shared" si="601"/>
        <v>8</v>
      </c>
      <c r="AR2237">
        <f t="shared" si="602"/>
        <v>0</v>
      </c>
      <c r="AS2237">
        <f t="shared" si="603"/>
        <v>5</v>
      </c>
    </row>
    <row r="2238" customHeight="1" spans="1:45">
      <c r="A2238" s="3" t="str">
        <f>IF(对接源_02物料!$C1038="","",对接源_02物料!$C1038)</f>
        <v/>
      </c>
      <c r="B2238" s="3">
        <f t="shared" si="588"/>
        <v>0</v>
      </c>
      <c r="C2238" s="3">
        <f t="shared" si="589"/>
        <v>21</v>
      </c>
      <c r="K2238" s="3">
        <f>IF(OR($K$1="",对接源_02物料!$C1038="",对接源_02物料!$C1038&lt;&gt;$K$1,对接源_02物料!$B1038=""),0,IF(OR(N(对接源_02物料!$B1038)&lt;$K$2,N(对接源_02物料!$B1038)&gt;$K$3),0,1))</f>
        <v>0</v>
      </c>
      <c r="L2238" s="3">
        <f>IF(OR($L$1="",对接源_02物料!$C1038="",对接源_02物料!$C1038&lt;&gt;$L$1,对接源_02物料!$B1038=""),0,IF(OR(N(对接源_02物料!$B1038)&lt;$L$2,N(对接源_02物料!$B1038)&gt;$L$3),0,1))</f>
        <v>0</v>
      </c>
      <c r="M2238" s="3">
        <f>IF(OR($M$1="",对接源_02物料!$C1038="",对接源_02物料!$C1038&lt;&gt;$M$1,对接源_02物料!$B1038=""),0,IF(OR(N(对接源_02物料!$B1038)&lt;$M$2,N(对接源_02物料!$B1038)&gt;$M$3),0,1))</f>
        <v>0</v>
      </c>
      <c r="N2238" s="3">
        <f>IF(OR($N$1="",对接源_02物料!$C1038="",对接源_02物料!$C1038&lt;&gt;$N$1,对接源_02物料!$B1038=""),0,IF(OR(N(对接源_02物料!$B1038)&lt;$N$2,N(对接源_02物料!$B1038)&gt;$N$3),0,1))</f>
        <v>0</v>
      </c>
      <c r="P2238" s="3">
        <f>IF(AND($K2238=1,AND(对接源_02物料!$X1038="公司筐",N(对接源_02物料!$T1038)&lt;&gt;0)),1,0)</f>
        <v>0</v>
      </c>
      <c r="Q2238" s="3">
        <f t="shared" si="590"/>
        <v>8</v>
      </c>
      <c r="R2238" s="3">
        <f>IF(AND($K2238=1,AND(对接源_02物料!$X1038="公司筐",N(对接源_02物料!$U1038)&lt;&gt;0)),1,0)</f>
        <v>0</v>
      </c>
      <c r="S2238" s="3">
        <f t="shared" si="591"/>
        <v>0</v>
      </c>
      <c r="T2238" s="3">
        <f>IF(AND($K2238=1,AND(对接源_02物料!$X1038="公司筐",N(对接源_02物料!$V1038)&lt;&gt;0)),1,0)</f>
        <v>0</v>
      </c>
      <c r="U2238" s="3">
        <f t="shared" si="592"/>
        <v>19</v>
      </c>
      <c r="V2238" s="3">
        <f>IF(AND($L2238=1,AND(对接源_02物料!$X1038="自备筐",N(对接源_02物料!$V1038)&lt;&gt;0)),1,0)</f>
        <v>0</v>
      </c>
      <c r="W2238" s="3">
        <f t="shared" si="593"/>
        <v>8</v>
      </c>
      <c r="X2238" s="3">
        <f>IF(AND($L2238=1,AND(对接源_02物料!$X1038="自备筐",N(对接源_02物料!$T1038)&lt;&gt;0)),1,0)</f>
        <v>0</v>
      </c>
      <c r="Y2238" s="3">
        <f t="shared" si="594"/>
        <v>0</v>
      </c>
      <c r="Z2238" s="3">
        <f>IF(AND($M2238=1,对接源_02物料!$D1038="原料入库"),1,0)</f>
        <v>0</v>
      </c>
      <c r="AA2238" s="3">
        <f t="shared" si="595"/>
        <v>24</v>
      </c>
      <c r="AB2238" s="3">
        <f>IF(AND($M2238=1,LEFT(对接源_02物料!$D1038,4)="原料出库"),1,0)</f>
        <v>0</v>
      </c>
      <c r="AC2238" s="3">
        <f t="shared" si="596"/>
        <v>0</v>
      </c>
      <c r="AD2238" s="3">
        <f>IF(AND($M2238=1,LEFT(对接源_02物料!$D1038,4)="成品出库"),1,0)</f>
        <v>0</v>
      </c>
      <c r="AE2238" s="3">
        <f t="shared" si="597"/>
        <v>0</v>
      </c>
      <c r="AF2238" s="3">
        <f>IF(AND($N2238=1,AND(LEFT(对接源_02物料!$D1038,4)="包装物料",N(对接源_02物料!$K1038)&lt;&gt;0)),1,0)</f>
        <v>0</v>
      </c>
      <c r="AG2238" s="3">
        <f t="shared" si="598"/>
        <v>5</v>
      </c>
      <c r="AH2238" s="3">
        <f>IF(AND($N2238=1,AND(对接源_02物料!$D1038="周转筐－销售出库",N(对接源_02物料!$K1038)&lt;&gt;0)),1,0)</f>
        <v>0</v>
      </c>
      <c r="AI2238" s="3">
        <f t="shared" si="599"/>
        <v>0</v>
      </c>
      <c r="AL2238" s="3">
        <v>0</v>
      </c>
      <c r="AM2238" s="3">
        <f t="shared" si="600"/>
        <v>1</v>
      </c>
      <c r="AN2238" s="3" t="str">
        <f t="shared" si="604"/>
        <v/>
      </c>
      <c r="AO2238" s="3">
        <v>0</v>
      </c>
      <c r="AP2238" s="3">
        <f t="shared" si="601"/>
        <v>8</v>
      </c>
      <c r="AR2238">
        <f t="shared" si="602"/>
        <v>0</v>
      </c>
      <c r="AS2238">
        <f t="shared" si="603"/>
        <v>5</v>
      </c>
    </row>
    <row r="2239" customHeight="1" spans="1:45">
      <c r="A2239" s="3" t="str">
        <f>IF(对接源_02物料!$C1039="","",对接源_02物料!$C1039)</f>
        <v/>
      </c>
      <c r="B2239" s="3">
        <f t="shared" si="588"/>
        <v>0</v>
      </c>
      <c r="C2239" s="3">
        <f t="shared" si="589"/>
        <v>21</v>
      </c>
      <c r="K2239" s="3">
        <f>IF(OR($K$1="",对接源_02物料!$C1039="",对接源_02物料!$C1039&lt;&gt;$K$1,对接源_02物料!$B1039=""),0,IF(OR(N(对接源_02物料!$B1039)&lt;$K$2,N(对接源_02物料!$B1039)&gt;$K$3),0,1))</f>
        <v>0</v>
      </c>
      <c r="L2239" s="3">
        <f>IF(OR($L$1="",对接源_02物料!$C1039="",对接源_02物料!$C1039&lt;&gt;$L$1,对接源_02物料!$B1039=""),0,IF(OR(N(对接源_02物料!$B1039)&lt;$L$2,N(对接源_02物料!$B1039)&gt;$L$3),0,1))</f>
        <v>0</v>
      </c>
      <c r="M2239" s="3">
        <f>IF(OR($M$1="",对接源_02物料!$C1039="",对接源_02物料!$C1039&lt;&gt;$M$1,对接源_02物料!$B1039=""),0,IF(OR(N(对接源_02物料!$B1039)&lt;$M$2,N(对接源_02物料!$B1039)&gt;$M$3),0,1))</f>
        <v>0</v>
      </c>
      <c r="N2239" s="3">
        <f>IF(OR($N$1="",对接源_02物料!$C1039="",对接源_02物料!$C1039&lt;&gt;$N$1,对接源_02物料!$B1039=""),0,IF(OR(N(对接源_02物料!$B1039)&lt;$N$2,N(对接源_02物料!$B1039)&gt;$N$3),0,1))</f>
        <v>0</v>
      </c>
      <c r="P2239" s="3">
        <f>IF(AND($K2239=1,AND(对接源_02物料!$X1039="公司筐",N(对接源_02物料!$T1039)&lt;&gt;0)),1,0)</f>
        <v>0</v>
      </c>
      <c r="Q2239" s="3">
        <f t="shared" si="590"/>
        <v>8</v>
      </c>
      <c r="R2239" s="3">
        <f>IF(AND($K2239=1,AND(对接源_02物料!$X1039="公司筐",N(对接源_02物料!$U1039)&lt;&gt;0)),1,0)</f>
        <v>0</v>
      </c>
      <c r="S2239" s="3">
        <f t="shared" si="591"/>
        <v>0</v>
      </c>
      <c r="T2239" s="3">
        <f>IF(AND($K2239=1,AND(对接源_02物料!$X1039="公司筐",N(对接源_02物料!$V1039)&lt;&gt;0)),1,0)</f>
        <v>0</v>
      </c>
      <c r="U2239" s="3">
        <f t="shared" si="592"/>
        <v>19</v>
      </c>
      <c r="V2239" s="3">
        <f>IF(AND($L2239=1,AND(对接源_02物料!$X1039="自备筐",N(对接源_02物料!$V1039)&lt;&gt;0)),1,0)</f>
        <v>0</v>
      </c>
      <c r="W2239" s="3">
        <f t="shared" si="593"/>
        <v>8</v>
      </c>
      <c r="X2239" s="3">
        <f>IF(AND($L2239=1,AND(对接源_02物料!$X1039="自备筐",N(对接源_02物料!$T1039)&lt;&gt;0)),1,0)</f>
        <v>0</v>
      </c>
      <c r="Y2239" s="3">
        <f t="shared" si="594"/>
        <v>0</v>
      </c>
      <c r="Z2239" s="3">
        <f>IF(AND($M2239=1,对接源_02物料!$D1039="原料入库"),1,0)</f>
        <v>0</v>
      </c>
      <c r="AA2239" s="3">
        <f t="shared" si="595"/>
        <v>24</v>
      </c>
      <c r="AB2239" s="3">
        <f>IF(AND($M2239=1,LEFT(对接源_02物料!$D1039,4)="原料出库"),1,0)</f>
        <v>0</v>
      </c>
      <c r="AC2239" s="3">
        <f t="shared" si="596"/>
        <v>0</v>
      </c>
      <c r="AD2239" s="3">
        <f>IF(AND($M2239=1,LEFT(对接源_02物料!$D1039,4)="成品出库"),1,0)</f>
        <v>0</v>
      </c>
      <c r="AE2239" s="3">
        <f t="shared" si="597"/>
        <v>0</v>
      </c>
      <c r="AF2239" s="3">
        <f>IF(AND($N2239=1,AND(LEFT(对接源_02物料!$D1039,4)="包装物料",N(对接源_02物料!$K1039)&lt;&gt;0)),1,0)</f>
        <v>0</v>
      </c>
      <c r="AG2239" s="3">
        <f t="shared" si="598"/>
        <v>5</v>
      </c>
      <c r="AH2239" s="3">
        <f>IF(AND($N2239=1,AND(对接源_02物料!$D1039="周转筐－销售出库",N(对接源_02物料!$K1039)&lt;&gt;0)),1,0)</f>
        <v>0</v>
      </c>
      <c r="AI2239" s="3">
        <f t="shared" si="599"/>
        <v>0</v>
      </c>
      <c r="AL2239" s="3">
        <v>0</v>
      </c>
      <c r="AM2239" s="3">
        <f t="shared" si="600"/>
        <v>1</v>
      </c>
      <c r="AN2239" s="3" t="str">
        <f t="shared" si="604"/>
        <v/>
      </c>
      <c r="AO2239" s="3">
        <v>0</v>
      </c>
      <c r="AP2239" s="3">
        <f t="shared" si="601"/>
        <v>8</v>
      </c>
      <c r="AR2239">
        <f t="shared" si="602"/>
        <v>0</v>
      </c>
      <c r="AS2239">
        <f t="shared" si="603"/>
        <v>5</v>
      </c>
    </row>
    <row r="2240" customHeight="1" spans="1:45">
      <c r="A2240" s="3" t="str">
        <f>IF(对接源_02物料!$C1040="","",对接源_02物料!$C1040)</f>
        <v/>
      </c>
      <c r="B2240" s="3">
        <f t="shared" si="588"/>
        <v>0</v>
      </c>
      <c r="C2240" s="3">
        <f t="shared" si="589"/>
        <v>21</v>
      </c>
      <c r="K2240" s="3">
        <f>IF(OR($K$1="",对接源_02物料!$C1040="",对接源_02物料!$C1040&lt;&gt;$K$1,对接源_02物料!$B1040=""),0,IF(OR(N(对接源_02物料!$B1040)&lt;$K$2,N(对接源_02物料!$B1040)&gt;$K$3),0,1))</f>
        <v>0</v>
      </c>
      <c r="L2240" s="3">
        <f>IF(OR($L$1="",对接源_02物料!$C1040="",对接源_02物料!$C1040&lt;&gt;$L$1,对接源_02物料!$B1040=""),0,IF(OR(N(对接源_02物料!$B1040)&lt;$L$2,N(对接源_02物料!$B1040)&gt;$L$3),0,1))</f>
        <v>0</v>
      </c>
      <c r="M2240" s="3">
        <f>IF(OR($M$1="",对接源_02物料!$C1040="",对接源_02物料!$C1040&lt;&gt;$M$1,对接源_02物料!$B1040=""),0,IF(OR(N(对接源_02物料!$B1040)&lt;$M$2,N(对接源_02物料!$B1040)&gt;$M$3),0,1))</f>
        <v>0</v>
      </c>
      <c r="N2240" s="3">
        <f>IF(OR($N$1="",对接源_02物料!$C1040="",对接源_02物料!$C1040&lt;&gt;$N$1,对接源_02物料!$B1040=""),0,IF(OR(N(对接源_02物料!$B1040)&lt;$N$2,N(对接源_02物料!$B1040)&gt;$N$3),0,1))</f>
        <v>0</v>
      </c>
      <c r="P2240" s="3">
        <f>IF(AND($K2240=1,AND(对接源_02物料!$X1040="公司筐",N(对接源_02物料!$T1040)&lt;&gt;0)),1,0)</f>
        <v>0</v>
      </c>
      <c r="Q2240" s="3">
        <f t="shared" si="590"/>
        <v>8</v>
      </c>
      <c r="R2240" s="3">
        <f>IF(AND($K2240=1,AND(对接源_02物料!$X1040="公司筐",N(对接源_02物料!$U1040)&lt;&gt;0)),1,0)</f>
        <v>0</v>
      </c>
      <c r="S2240" s="3">
        <f t="shared" si="591"/>
        <v>0</v>
      </c>
      <c r="T2240" s="3">
        <f>IF(AND($K2240=1,AND(对接源_02物料!$X1040="公司筐",N(对接源_02物料!$V1040)&lt;&gt;0)),1,0)</f>
        <v>0</v>
      </c>
      <c r="U2240" s="3">
        <f t="shared" si="592"/>
        <v>19</v>
      </c>
      <c r="V2240" s="3">
        <f>IF(AND($L2240=1,AND(对接源_02物料!$X1040="自备筐",N(对接源_02物料!$V1040)&lt;&gt;0)),1,0)</f>
        <v>0</v>
      </c>
      <c r="W2240" s="3">
        <f t="shared" si="593"/>
        <v>8</v>
      </c>
      <c r="X2240" s="3">
        <f>IF(AND($L2240=1,AND(对接源_02物料!$X1040="自备筐",N(对接源_02物料!$T1040)&lt;&gt;0)),1,0)</f>
        <v>0</v>
      </c>
      <c r="Y2240" s="3">
        <f t="shared" si="594"/>
        <v>0</v>
      </c>
      <c r="Z2240" s="3">
        <f>IF(AND($M2240=1,对接源_02物料!$D1040="原料入库"),1,0)</f>
        <v>0</v>
      </c>
      <c r="AA2240" s="3">
        <f t="shared" si="595"/>
        <v>24</v>
      </c>
      <c r="AB2240" s="3">
        <f>IF(AND($M2240=1,LEFT(对接源_02物料!$D1040,4)="原料出库"),1,0)</f>
        <v>0</v>
      </c>
      <c r="AC2240" s="3">
        <f t="shared" si="596"/>
        <v>0</v>
      </c>
      <c r="AD2240" s="3">
        <f>IF(AND($M2240=1,LEFT(对接源_02物料!$D1040,4)="成品出库"),1,0)</f>
        <v>0</v>
      </c>
      <c r="AE2240" s="3">
        <f t="shared" si="597"/>
        <v>0</v>
      </c>
      <c r="AF2240" s="3">
        <f>IF(AND($N2240=1,AND(LEFT(对接源_02物料!$D1040,4)="包装物料",N(对接源_02物料!$K1040)&lt;&gt;0)),1,0)</f>
        <v>0</v>
      </c>
      <c r="AG2240" s="3">
        <f t="shared" si="598"/>
        <v>5</v>
      </c>
      <c r="AH2240" s="3">
        <f>IF(AND($N2240=1,AND(对接源_02物料!$D1040="周转筐－销售出库",N(对接源_02物料!$K1040)&lt;&gt;0)),1,0)</f>
        <v>0</v>
      </c>
      <c r="AI2240" s="3">
        <f t="shared" si="599"/>
        <v>0</v>
      </c>
      <c r="AL2240" s="3">
        <v>0</v>
      </c>
      <c r="AM2240" s="3">
        <f t="shared" si="600"/>
        <v>1</v>
      </c>
      <c r="AN2240" s="3" t="str">
        <f t="shared" si="604"/>
        <v/>
      </c>
      <c r="AO2240" s="3">
        <v>0</v>
      </c>
      <c r="AP2240" s="3">
        <f t="shared" si="601"/>
        <v>8</v>
      </c>
      <c r="AR2240">
        <f t="shared" si="602"/>
        <v>0</v>
      </c>
      <c r="AS2240">
        <f t="shared" si="603"/>
        <v>5</v>
      </c>
    </row>
    <row r="2241" customHeight="1" spans="1:45">
      <c r="A2241" s="3" t="str">
        <f>IF(对接源_02物料!$C1041="","",对接源_02物料!$C1041)</f>
        <v/>
      </c>
      <c r="B2241" s="3">
        <f t="shared" si="588"/>
        <v>0</v>
      </c>
      <c r="C2241" s="3">
        <f t="shared" si="589"/>
        <v>21</v>
      </c>
      <c r="K2241" s="3">
        <f>IF(OR($K$1="",对接源_02物料!$C1041="",对接源_02物料!$C1041&lt;&gt;$K$1,对接源_02物料!$B1041=""),0,IF(OR(N(对接源_02物料!$B1041)&lt;$K$2,N(对接源_02物料!$B1041)&gt;$K$3),0,1))</f>
        <v>0</v>
      </c>
      <c r="L2241" s="3">
        <f>IF(OR($L$1="",对接源_02物料!$C1041="",对接源_02物料!$C1041&lt;&gt;$L$1,对接源_02物料!$B1041=""),0,IF(OR(N(对接源_02物料!$B1041)&lt;$L$2,N(对接源_02物料!$B1041)&gt;$L$3),0,1))</f>
        <v>0</v>
      </c>
      <c r="M2241" s="3">
        <f>IF(OR($M$1="",对接源_02物料!$C1041="",对接源_02物料!$C1041&lt;&gt;$M$1,对接源_02物料!$B1041=""),0,IF(OR(N(对接源_02物料!$B1041)&lt;$M$2,N(对接源_02物料!$B1041)&gt;$M$3),0,1))</f>
        <v>0</v>
      </c>
      <c r="N2241" s="3">
        <f>IF(OR($N$1="",对接源_02物料!$C1041="",对接源_02物料!$C1041&lt;&gt;$N$1,对接源_02物料!$B1041=""),0,IF(OR(N(对接源_02物料!$B1041)&lt;$N$2,N(对接源_02物料!$B1041)&gt;$N$3),0,1))</f>
        <v>0</v>
      </c>
      <c r="P2241" s="3">
        <f>IF(AND($K2241=1,AND(对接源_02物料!$X1041="公司筐",N(对接源_02物料!$T1041)&lt;&gt;0)),1,0)</f>
        <v>0</v>
      </c>
      <c r="Q2241" s="3">
        <f t="shared" si="590"/>
        <v>8</v>
      </c>
      <c r="R2241" s="3">
        <f>IF(AND($K2241=1,AND(对接源_02物料!$X1041="公司筐",N(对接源_02物料!$U1041)&lt;&gt;0)),1,0)</f>
        <v>0</v>
      </c>
      <c r="S2241" s="3">
        <f t="shared" si="591"/>
        <v>0</v>
      </c>
      <c r="T2241" s="3">
        <f>IF(AND($K2241=1,AND(对接源_02物料!$X1041="公司筐",N(对接源_02物料!$V1041)&lt;&gt;0)),1,0)</f>
        <v>0</v>
      </c>
      <c r="U2241" s="3">
        <f t="shared" si="592"/>
        <v>19</v>
      </c>
      <c r="V2241" s="3">
        <f>IF(AND($L2241=1,AND(对接源_02物料!$X1041="自备筐",N(对接源_02物料!$V1041)&lt;&gt;0)),1,0)</f>
        <v>0</v>
      </c>
      <c r="W2241" s="3">
        <f t="shared" si="593"/>
        <v>8</v>
      </c>
      <c r="X2241" s="3">
        <f>IF(AND($L2241=1,AND(对接源_02物料!$X1041="自备筐",N(对接源_02物料!$T1041)&lt;&gt;0)),1,0)</f>
        <v>0</v>
      </c>
      <c r="Y2241" s="3">
        <f t="shared" si="594"/>
        <v>0</v>
      </c>
      <c r="Z2241" s="3">
        <f>IF(AND($M2241=1,对接源_02物料!$D1041="原料入库"),1,0)</f>
        <v>0</v>
      </c>
      <c r="AA2241" s="3">
        <f t="shared" si="595"/>
        <v>24</v>
      </c>
      <c r="AB2241" s="3">
        <f>IF(AND($M2241=1,LEFT(对接源_02物料!$D1041,4)="原料出库"),1,0)</f>
        <v>0</v>
      </c>
      <c r="AC2241" s="3">
        <f t="shared" si="596"/>
        <v>0</v>
      </c>
      <c r="AD2241" s="3">
        <f>IF(AND($M2241=1,LEFT(对接源_02物料!$D1041,4)="成品出库"),1,0)</f>
        <v>0</v>
      </c>
      <c r="AE2241" s="3">
        <f t="shared" si="597"/>
        <v>0</v>
      </c>
      <c r="AF2241" s="3">
        <f>IF(AND($N2241=1,AND(LEFT(对接源_02物料!$D1041,4)="包装物料",N(对接源_02物料!$K1041)&lt;&gt;0)),1,0)</f>
        <v>0</v>
      </c>
      <c r="AG2241" s="3">
        <f t="shared" si="598"/>
        <v>5</v>
      </c>
      <c r="AH2241" s="3">
        <f>IF(AND($N2241=1,AND(对接源_02物料!$D1041="周转筐－销售出库",N(对接源_02物料!$K1041)&lt;&gt;0)),1,0)</f>
        <v>0</v>
      </c>
      <c r="AI2241" s="3">
        <f t="shared" si="599"/>
        <v>0</v>
      </c>
      <c r="AL2241" s="3">
        <v>0</v>
      </c>
      <c r="AM2241" s="3">
        <f t="shared" si="600"/>
        <v>1</v>
      </c>
      <c r="AN2241" s="3" t="str">
        <f t="shared" si="604"/>
        <v/>
      </c>
      <c r="AO2241" s="3">
        <v>0</v>
      </c>
      <c r="AP2241" s="3">
        <f t="shared" si="601"/>
        <v>8</v>
      </c>
      <c r="AR2241">
        <f t="shared" si="602"/>
        <v>0</v>
      </c>
      <c r="AS2241">
        <f t="shared" si="603"/>
        <v>5</v>
      </c>
    </row>
    <row r="2242" customHeight="1" spans="1:45">
      <c r="A2242" s="3" t="str">
        <f>IF(对接源_02物料!$C1042="","",对接源_02物料!$C1042)</f>
        <v/>
      </c>
      <c r="B2242" s="3">
        <f t="shared" si="588"/>
        <v>0</v>
      </c>
      <c r="C2242" s="3">
        <f t="shared" si="589"/>
        <v>21</v>
      </c>
      <c r="K2242" s="3">
        <f>IF(OR($K$1="",对接源_02物料!$C1042="",对接源_02物料!$C1042&lt;&gt;$K$1,对接源_02物料!$B1042=""),0,IF(OR(N(对接源_02物料!$B1042)&lt;$K$2,N(对接源_02物料!$B1042)&gt;$K$3),0,1))</f>
        <v>0</v>
      </c>
      <c r="L2242" s="3">
        <f>IF(OR($L$1="",对接源_02物料!$C1042="",对接源_02物料!$C1042&lt;&gt;$L$1,对接源_02物料!$B1042=""),0,IF(OR(N(对接源_02物料!$B1042)&lt;$L$2,N(对接源_02物料!$B1042)&gt;$L$3),0,1))</f>
        <v>0</v>
      </c>
      <c r="M2242" s="3">
        <f>IF(OR($M$1="",对接源_02物料!$C1042="",对接源_02物料!$C1042&lt;&gt;$M$1,对接源_02物料!$B1042=""),0,IF(OR(N(对接源_02物料!$B1042)&lt;$M$2,N(对接源_02物料!$B1042)&gt;$M$3),0,1))</f>
        <v>0</v>
      </c>
      <c r="N2242" s="3">
        <f>IF(OR($N$1="",对接源_02物料!$C1042="",对接源_02物料!$C1042&lt;&gt;$N$1,对接源_02物料!$B1042=""),0,IF(OR(N(对接源_02物料!$B1042)&lt;$N$2,N(对接源_02物料!$B1042)&gt;$N$3),0,1))</f>
        <v>0</v>
      </c>
      <c r="P2242" s="3">
        <f>IF(AND($K2242=1,AND(对接源_02物料!$X1042="公司筐",N(对接源_02物料!$T1042)&lt;&gt;0)),1,0)</f>
        <v>0</v>
      </c>
      <c r="Q2242" s="3">
        <f t="shared" si="590"/>
        <v>8</v>
      </c>
      <c r="R2242" s="3">
        <f>IF(AND($K2242=1,AND(对接源_02物料!$X1042="公司筐",N(对接源_02物料!$U1042)&lt;&gt;0)),1,0)</f>
        <v>0</v>
      </c>
      <c r="S2242" s="3">
        <f t="shared" si="591"/>
        <v>0</v>
      </c>
      <c r="T2242" s="3">
        <f>IF(AND($K2242=1,AND(对接源_02物料!$X1042="公司筐",N(对接源_02物料!$V1042)&lt;&gt;0)),1,0)</f>
        <v>0</v>
      </c>
      <c r="U2242" s="3">
        <f t="shared" si="592"/>
        <v>19</v>
      </c>
      <c r="V2242" s="3">
        <f>IF(AND($L2242=1,AND(对接源_02物料!$X1042="自备筐",N(对接源_02物料!$V1042)&lt;&gt;0)),1,0)</f>
        <v>0</v>
      </c>
      <c r="W2242" s="3">
        <f t="shared" si="593"/>
        <v>8</v>
      </c>
      <c r="X2242" s="3">
        <f>IF(AND($L2242=1,AND(对接源_02物料!$X1042="自备筐",N(对接源_02物料!$T1042)&lt;&gt;0)),1,0)</f>
        <v>0</v>
      </c>
      <c r="Y2242" s="3">
        <f t="shared" si="594"/>
        <v>0</v>
      </c>
      <c r="Z2242" s="3">
        <f>IF(AND($M2242=1,对接源_02物料!$D1042="原料入库"),1,0)</f>
        <v>0</v>
      </c>
      <c r="AA2242" s="3">
        <f t="shared" si="595"/>
        <v>24</v>
      </c>
      <c r="AB2242" s="3">
        <f>IF(AND($M2242=1,LEFT(对接源_02物料!$D1042,4)="原料出库"),1,0)</f>
        <v>0</v>
      </c>
      <c r="AC2242" s="3">
        <f t="shared" si="596"/>
        <v>0</v>
      </c>
      <c r="AD2242" s="3">
        <f>IF(AND($M2242=1,LEFT(对接源_02物料!$D1042,4)="成品出库"),1,0)</f>
        <v>0</v>
      </c>
      <c r="AE2242" s="3">
        <f t="shared" si="597"/>
        <v>0</v>
      </c>
      <c r="AF2242" s="3">
        <f>IF(AND($N2242=1,AND(LEFT(对接源_02物料!$D1042,4)="包装物料",N(对接源_02物料!$K1042)&lt;&gt;0)),1,0)</f>
        <v>0</v>
      </c>
      <c r="AG2242" s="3">
        <f t="shared" si="598"/>
        <v>5</v>
      </c>
      <c r="AH2242" s="3">
        <f>IF(AND($N2242=1,AND(对接源_02物料!$D1042="周转筐－销售出库",N(对接源_02物料!$K1042)&lt;&gt;0)),1,0)</f>
        <v>0</v>
      </c>
      <c r="AI2242" s="3">
        <f t="shared" si="599"/>
        <v>0</v>
      </c>
      <c r="AL2242" s="3">
        <v>0</v>
      </c>
      <c r="AM2242" s="3">
        <f t="shared" si="600"/>
        <v>1</v>
      </c>
      <c r="AN2242" s="3" t="str">
        <f t="shared" si="604"/>
        <v/>
      </c>
      <c r="AO2242" s="3">
        <v>0</v>
      </c>
      <c r="AP2242" s="3">
        <f t="shared" si="601"/>
        <v>8</v>
      </c>
      <c r="AR2242">
        <f t="shared" si="602"/>
        <v>0</v>
      </c>
      <c r="AS2242">
        <f t="shared" si="603"/>
        <v>5</v>
      </c>
    </row>
    <row r="2243" customHeight="1" spans="1:45">
      <c r="A2243" s="3" t="str">
        <f>IF(对接源_02物料!$C1043="","",对接源_02物料!$C1043)</f>
        <v/>
      </c>
      <c r="B2243" s="3">
        <f t="shared" si="588"/>
        <v>0</v>
      </c>
      <c r="C2243" s="3">
        <f t="shared" si="589"/>
        <v>21</v>
      </c>
      <c r="K2243" s="3">
        <f>IF(OR($K$1="",对接源_02物料!$C1043="",对接源_02物料!$C1043&lt;&gt;$K$1,对接源_02物料!$B1043=""),0,IF(OR(N(对接源_02物料!$B1043)&lt;$K$2,N(对接源_02物料!$B1043)&gt;$K$3),0,1))</f>
        <v>0</v>
      </c>
      <c r="L2243" s="3">
        <f>IF(OR($L$1="",对接源_02物料!$C1043="",对接源_02物料!$C1043&lt;&gt;$L$1,对接源_02物料!$B1043=""),0,IF(OR(N(对接源_02物料!$B1043)&lt;$L$2,N(对接源_02物料!$B1043)&gt;$L$3),0,1))</f>
        <v>0</v>
      </c>
      <c r="M2243" s="3">
        <f>IF(OR($M$1="",对接源_02物料!$C1043="",对接源_02物料!$C1043&lt;&gt;$M$1,对接源_02物料!$B1043=""),0,IF(OR(N(对接源_02物料!$B1043)&lt;$M$2,N(对接源_02物料!$B1043)&gt;$M$3),0,1))</f>
        <v>0</v>
      </c>
      <c r="N2243" s="3">
        <f>IF(OR($N$1="",对接源_02物料!$C1043="",对接源_02物料!$C1043&lt;&gt;$N$1,对接源_02物料!$B1043=""),0,IF(OR(N(对接源_02物料!$B1043)&lt;$N$2,N(对接源_02物料!$B1043)&gt;$N$3),0,1))</f>
        <v>0</v>
      </c>
      <c r="P2243" s="3">
        <f>IF(AND($K2243=1,AND(对接源_02物料!$X1043="公司筐",N(对接源_02物料!$T1043)&lt;&gt;0)),1,0)</f>
        <v>0</v>
      </c>
      <c r="Q2243" s="3">
        <f t="shared" si="590"/>
        <v>8</v>
      </c>
      <c r="R2243" s="3">
        <f>IF(AND($K2243=1,AND(对接源_02物料!$X1043="公司筐",N(对接源_02物料!$U1043)&lt;&gt;0)),1,0)</f>
        <v>0</v>
      </c>
      <c r="S2243" s="3">
        <f t="shared" si="591"/>
        <v>0</v>
      </c>
      <c r="T2243" s="3">
        <f>IF(AND($K2243=1,AND(对接源_02物料!$X1043="公司筐",N(对接源_02物料!$V1043)&lt;&gt;0)),1,0)</f>
        <v>0</v>
      </c>
      <c r="U2243" s="3">
        <f t="shared" si="592"/>
        <v>19</v>
      </c>
      <c r="V2243" s="3">
        <f>IF(AND($L2243=1,AND(对接源_02物料!$X1043="自备筐",N(对接源_02物料!$V1043)&lt;&gt;0)),1,0)</f>
        <v>0</v>
      </c>
      <c r="W2243" s="3">
        <f t="shared" si="593"/>
        <v>8</v>
      </c>
      <c r="X2243" s="3">
        <f>IF(AND($L2243=1,AND(对接源_02物料!$X1043="自备筐",N(对接源_02物料!$T1043)&lt;&gt;0)),1,0)</f>
        <v>0</v>
      </c>
      <c r="Y2243" s="3">
        <f t="shared" si="594"/>
        <v>0</v>
      </c>
      <c r="Z2243" s="3">
        <f>IF(AND($M2243=1,对接源_02物料!$D1043="原料入库"),1,0)</f>
        <v>0</v>
      </c>
      <c r="AA2243" s="3">
        <f t="shared" si="595"/>
        <v>24</v>
      </c>
      <c r="AB2243" s="3">
        <f>IF(AND($M2243=1,LEFT(对接源_02物料!$D1043,4)="原料出库"),1,0)</f>
        <v>0</v>
      </c>
      <c r="AC2243" s="3">
        <f t="shared" si="596"/>
        <v>0</v>
      </c>
      <c r="AD2243" s="3">
        <f>IF(AND($M2243=1,LEFT(对接源_02物料!$D1043,4)="成品出库"),1,0)</f>
        <v>0</v>
      </c>
      <c r="AE2243" s="3">
        <f t="shared" si="597"/>
        <v>0</v>
      </c>
      <c r="AF2243" s="3">
        <f>IF(AND($N2243=1,AND(LEFT(对接源_02物料!$D1043,4)="包装物料",N(对接源_02物料!$K1043)&lt;&gt;0)),1,0)</f>
        <v>0</v>
      </c>
      <c r="AG2243" s="3">
        <f t="shared" si="598"/>
        <v>5</v>
      </c>
      <c r="AH2243" s="3">
        <f>IF(AND($N2243=1,AND(对接源_02物料!$D1043="周转筐－销售出库",N(对接源_02物料!$K1043)&lt;&gt;0)),1,0)</f>
        <v>0</v>
      </c>
      <c r="AI2243" s="3">
        <f t="shared" si="599"/>
        <v>0</v>
      </c>
      <c r="AL2243" s="3">
        <v>0</v>
      </c>
      <c r="AM2243" s="3">
        <f t="shared" si="600"/>
        <v>1</v>
      </c>
      <c r="AN2243" s="3" t="str">
        <f t="shared" si="604"/>
        <v/>
      </c>
      <c r="AO2243" s="3">
        <v>0</v>
      </c>
      <c r="AP2243" s="3">
        <f t="shared" si="601"/>
        <v>8</v>
      </c>
      <c r="AR2243">
        <f t="shared" si="602"/>
        <v>0</v>
      </c>
      <c r="AS2243">
        <f t="shared" si="603"/>
        <v>5</v>
      </c>
    </row>
    <row r="2244" customHeight="1" spans="1:45">
      <c r="A2244" s="3" t="str">
        <f>IF(对接源_02物料!$C1044="","",对接源_02物料!$C1044)</f>
        <v/>
      </c>
      <c r="B2244" s="3">
        <f t="shared" ref="B2244:B2307" si="605">IF(A2244="",0,IF(MATCH(A2244,$A$4:$A$2403,0)=ROW()-3,1,0))</f>
        <v>0</v>
      </c>
      <c r="C2244" s="3">
        <f t="shared" ref="C2244:C2307" si="606">N(C2243)+B2244</f>
        <v>21</v>
      </c>
      <c r="K2244" s="3">
        <f>IF(OR($K$1="",对接源_02物料!$C1044="",对接源_02物料!$C1044&lt;&gt;$K$1,对接源_02物料!$B1044=""),0,IF(OR(N(对接源_02物料!$B1044)&lt;$K$2,N(对接源_02物料!$B1044)&gt;$K$3),0,1))</f>
        <v>0</v>
      </c>
      <c r="L2244" s="3">
        <f>IF(OR($L$1="",对接源_02物料!$C1044="",对接源_02物料!$C1044&lt;&gt;$L$1,对接源_02物料!$B1044=""),0,IF(OR(N(对接源_02物料!$B1044)&lt;$L$2,N(对接源_02物料!$B1044)&gt;$L$3),0,1))</f>
        <v>0</v>
      </c>
      <c r="M2244" s="3">
        <f>IF(OR($M$1="",对接源_02物料!$C1044="",对接源_02物料!$C1044&lt;&gt;$M$1,对接源_02物料!$B1044=""),0,IF(OR(N(对接源_02物料!$B1044)&lt;$M$2,N(对接源_02物料!$B1044)&gt;$M$3),0,1))</f>
        <v>0</v>
      </c>
      <c r="N2244" s="3">
        <f>IF(OR($N$1="",对接源_02物料!$C1044="",对接源_02物料!$C1044&lt;&gt;$N$1,对接源_02物料!$B1044=""),0,IF(OR(N(对接源_02物料!$B1044)&lt;$N$2,N(对接源_02物料!$B1044)&gt;$N$3),0,1))</f>
        <v>0</v>
      </c>
      <c r="P2244" s="3">
        <f>IF(AND($K2244=1,AND(对接源_02物料!$X1044="公司筐",N(对接源_02物料!$T1044)&lt;&gt;0)),1,0)</f>
        <v>0</v>
      </c>
      <c r="Q2244" s="3">
        <f t="shared" ref="Q2244:Q2307" si="607">N(Q2243)+$P2244</f>
        <v>8</v>
      </c>
      <c r="R2244" s="3">
        <f>IF(AND($K2244=1,AND(对接源_02物料!$X1044="公司筐",N(对接源_02物料!$U1044)&lt;&gt;0)),1,0)</f>
        <v>0</v>
      </c>
      <c r="S2244" s="3">
        <f t="shared" ref="S2244:S2307" si="608">N(S2243)+$R2244</f>
        <v>0</v>
      </c>
      <c r="T2244" s="3">
        <f>IF(AND($K2244=1,AND(对接源_02物料!$X1044="公司筐",N(对接源_02物料!$V1044)&lt;&gt;0)),1,0)</f>
        <v>0</v>
      </c>
      <c r="U2244" s="3">
        <f t="shared" ref="U2244:U2307" si="609">N(U2243)+$T2244</f>
        <v>19</v>
      </c>
      <c r="V2244" s="3">
        <f>IF(AND($L2244=1,AND(对接源_02物料!$X1044="自备筐",N(对接源_02物料!$V1044)&lt;&gt;0)),1,0)</f>
        <v>0</v>
      </c>
      <c r="W2244" s="3">
        <f t="shared" ref="W2244:W2307" si="610">N(W2243)+$V2244</f>
        <v>8</v>
      </c>
      <c r="X2244" s="3">
        <f>IF(AND($L2244=1,AND(对接源_02物料!$X1044="自备筐",N(对接源_02物料!$T1044)&lt;&gt;0)),1,0)</f>
        <v>0</v>
      </c>
      <c r="Y2244" s="3">
        <f t="shared" ref="Y2244:Y2307" si="611">N(Y2243)+$X2244</f>
        <v>0</v>
      </c>
      <c r="Z2244" s="3">
        <f>IF(AND($M2244=1,对接源_02物料!$D1044="原料入库"),1,0)</f>
        <v>0</v>
      </c>
      <c r="AA2244" s="3">
        <f t="shared" ref="AA2244:AA2307" si="612">N(AA2243)+$Z2244</f>
        <v>24</v>
      </c>
      <c r="AB2244" s="3">
        <f>IF(AND($M2244=1,LEFT(对接源_02物料!$D1044,4)="原料出库"),1,0)</f>
        <v>0</v>
      </c>
      <c r="AC2244" s="3">
        <f t="shared" ref="AC2244:AC2307" si="613">N(AC2243)+$AB2244</f>
        <v>0</v>
      </c>
      <c r="AD2244" s="3">
        <f>IF(AND($M2244=1,LEFT(对接源_02物料!$D1044,4)="成品出库"),1,0)</f>
        <v>0</v>
      </c>
      <c r="AE2244" s="3">
        <f t="shared" ref="AE2244:AE2307" si="614">N(AE2243)+$AD2244</f>
        <v>0</v>
      </c>
      <c r="AF2244" s="3">
        <f>IF(AND($N2244=1,AND(LEFT(对接源_02物料!$D1044,4)="包装物料",N(对接源_02物料!$K1044)&lt;&gt;0)),1,0)</f>
        <v>0</v>
      </c>
      <c r="AG2244" s="3">
        <f t="shared" ref="AG2244:AG2307" si="615">N(AG2243)+$AF2244</f>
        <v>5</v>
      </c>
      <c r="AH2244" s="3">
        <f>IF(AND($N2244=1,AND(对接源_02物料!$D1044="周转筐－销售出库",N(对接源_02物料!$K1044)&lt;&gt;0)),1,0)</f>
        <v>0</v>
      </c>
      <c r="AI2244" s="3">
        <f t="shared" ref="AI2244:AI2307" si="616">N(AI2243)+$AH2244</f>
        <v>0</v>
      </c>
      <c r="AL2244" s="3">
        <v>0</v>
      </c>
      <c r="AM2244" s="3">
        <f t="shared" ref="AM2244:AM2307" si="617">N(AM2243)+$AL2244</f>
        <v>1</v>
      </c>
      <c r="AN2244" s="3" t="str">
        <f t="shared" si="604"/>
        <v/>
      </c>
      <c r="AO2244" s="3">
        <v>0</v>
      </c>
      <c r="AP2244" s="3">
        <f t="shared" ref="AP2244:AP2307" si="618">N(AP2243)+$AO2244</f>
        <v>8</v>
      </c>
      <c r="AR2244">
        <f t="shared" ref="AR2244:AR2307" si="619">IF(OR($AF2244=1,$AH2244=1),1,0)</f>
        <v>0</v>
      </c>
      <c r="AS2244">
        <f t="shared" ref="AS2244:AS2307" si="620">N(AS2243)+$AR2244</f>
        <v>5</v>
      </c>
    </row>
    <row r="2245" customHeight="1" spans="1:45">
      <c r="A2245" s="3" t="str">
        <f>IF(对接源_02物料!$C1045="","",对接源_02物料!$C1045)</f>
        <v/>
      </c>
      <c r="B2245" s="3">
        <f t="shared" si="605"/>
        <v>0</v>
      </c>
      <c r="C2245" s="3">
        <f t="shared" si="606"/>
        <v>21</v>
      </c>
      <c r="K2245" s="3">
        <f>IF(OR($K$1="",对接源_02物料!$C1045="",对接源_02物料!$C1045&lt;&gt;$K$1,对接源_02物料!$B1045=""),0,IF(OR(N(对接源_02物料!$B1045)&lt;$K$2,N(对接源_02物料!$B1045)&gt;$K$3),0,1))</f>
        <v>0</v>
      </c>
      <c r="L2245" s="3">
        <f>IF(OR($L$1="",对接源_02物料!$C1045="",对接源_02物料!$C1045&lt;&gt;$L$1,对接源_02物料!$B1045=""),0,IF(OR(N(对接源_02物料!$B1045)&lt;$L$2,N(对接源_02物料!$B1045)&gt;$L$3),0,1))</f>
        <v>0</v>
      </c>
      <c r="M2245" s="3">
        <f>IF(OR($M$1="",对接源_02物料!$C1045="",对接源_02物料!$C1045&lt;&gt;$M$1,对接源_02物料!$B1045=""),0,IF(OR(N(对接源_02物料!$B1045)&lt;$M$2,N(对接源_02物料!$B1045)&gt;$M$3),0,1))</f>
        <v>0</v>
      </c>
      <c r="N2245" s="3">
        <f>IF(OR($N$1="",对接源_02物料!$C1045="",对接源_02物料!$C1045&lt;&gt;$N$1,对接源_02物料!$B1045=""),0,IF(OR(N(对接源_02物料!$B1045)&lt;$N$2,N(对接源_02物料!$B1045)&gt;$N$3),0,1))</f>
        <v>0</v>
      </c>
      <c r="P2245" s="3">
        <f>IF(AND($K2245=1,AND(对接源_02物料!$X1045="公司筐",N(对接源_02物料!$T1045)&lt;&gt;0)),1,0)</f>
        <v>0</v>
      </c>
      <c r="Q2245" s="3">
        <f t="shared" si="607"/>
        <v>8</v>
      </c>
      <c r="R2245" s="3">
        <f>IF(AND($K2245=1,AND(对接源_02物料!$X1045="公司筐",N(对接源_02物料!$U1045)&lt;&gt;0)),1,0)</f>
        <v>0</v>
      </c>
      <c r="S2245" s="3">
        <f t="shared" si="608"/>
        <v>0</v>
      </c>
      <c r="T2245" s="3">
        <f>IF(AND($K2245=1,AND(对接源_02物料!$X1045="公司筐",N(对接源_02物料!$V1045)&lt;&gt;0)),1,0)</f>
        <v>0</v>
      </c>
      <c r="U2245" s="3">
        <f t="shared" si="609"/>
        <v>19</v>
      </c>
      <c r="V2245" s="3">
        <f>IF(AND($L2245=1,AND(对接源_02物料!$X1045="自备筐",N(对接源_02物料!$V1045)&lt;&gt;0)),1,0)</f>
        <v>0</v>
      </c>
      <c r="W2245" s="3">
        <f t="shared" si="610"/>
        <v>8</v>
      </c>
      <c r="X2245" s="3">
        <f>IF(AND($L2245=1,AND(对接源_02物料!$X1045="自备筐",N(对接源_02物料!$T1045)&lt;&gt;0)),1,0)</f>
        <v>0</v>
      </c>
      <c r="Y2245" s="3">
        <f t="shared" si="611"/>
        <v>0</v>
      </c>
      <c r="Z2245" s="3">
        <f>IF(AND($M2245=1,对接源_02物料!$D1045="原料入库"),1,0)</f>
        <v>0</v>
      </c>
      <c r="AA2245" s="3">
        <f t="shared" si="612"/>
        <v>24</v>
      </c>
      <c r="AB2245" s="3">
        <f>IF(AND($M2245=1,LEFT(对接源_02物料!$D1045,4)="原料出库"),1,0)</f>
        <v>0</v>
      </c>
      <c r="AC2245" s="3">
        <f t="shared" si="613"/>
        <v>0</v>
      </c>
      <c r="AD2245" s="3">
        <f>IF(AND($M2245=1,LEFT(对接源_02物料!$D1045,4)="成品出库"),1,0)</f>
        <v>0</v>
      </c>
      <c r="AE2245" s="3">
        <f t="shared" si="614"/>
        <v>0</v>
      </c>
      <c r="AF2245" s="3">
        <f>IF(AND($N2245=1,AND(LEFT(对接源_02物料!$D1045,4)="包装物料",N(对接源_02物料!$K1045)&lt;&gt;0)),1,0)</f>
        <v>0</v>
      </c>
      <c r="AG2245" s="3">
        <f t="shared" si="615"/>
        <v>5</v>
      </c>
      <c r="AH2245" s="3">
        <f>IF(AND($N2245=1,AND(对接源_02物料!$D1045="周转筐－销售出库",N(对接源_02物料!$K1045)&lt;&gt;0)),1,0)</f>
        <v>0</v>
      </c>
      <c r="AI2245" s="3">
        <f t="shared" si="616"/>
        <v>0</v>
      </c>
      <c r="AL2245" s="3">
        <v>0</v>
      </c>
      <c r="AM2245" s="3">
        <f t="shared" si="617"/>
        <v>1</v>
      </c>
      <c r="AN2245" s="3" t="str">
        <f t="shared" si="604"/>
        <v/>
      </c>
      <c r="AO2245" s="3">
        <v>0</v>
      </c>
      <c r="AP2245" s="3">
        <f t="shared" si="618"/>
        <v>8</v>
      </c>
      <c r="AR2245">
        <f t="shared" si="619"/>
        <v>0</v>
      </c>
      <c r="AS2245">
        <f t="shared" si="620"/>
        <v>5</v>
      </c>
    </row>
    <row r="2246" customHeight="1" spans="1:45">
      <c r="A2246" s="3" t="str">
        <f>IF(对接源_02物料!$C1046="","",对接源_02物料!$C1046)</f>
        <v/>
      </c>
      <c r="B2246" s="3">
        <f t="shared" si="605"/>
        <v>0</v>
      </c>
      <c r="C2246" s="3">
        <f t="shared" si="606"/>
        <v>21</v>
      </c>
      <c r="K2246" s="3">
        <f>IF(OR($K$1="",对接源_02物料!$C1046="",对接源_02物料!$C1046&lt;&gt;$K$1,对接源_02物料!$B1046=""),0,IF(OR(N(对接源_02物料!$B1046)&lt;$K$2,N(对接源_02物料!$B1046)&gt;$K$3),0,1))</f>
        <v>0</v>
      </c>
      <c r="L2246" s="3">
        <f>IF(OR($L$1="",对接源_02物料!$C1046="",对接源_02物料!$C1046&lt;&gt;$L$1,对接源_02物料!$B1046=""),0,IF(OR(N(对接源_02物料!$B1046)&lt;$L$2,N(对接源_02物料!$B1046)&gt;$L$3),0,1))</f>
        <v>0</v>
      </c>
      <c r="M2246" s="3">
        <f>IF(OR($M$1="",对接源_02物料!$C1046="",对接源_02物料!$C1046&lt;&gt;$M$1,对接源_02物料!$B1046=""),0,IF(OR(N(对接源_02物料!$B1046)&lt;$M$2,N(对接源_02物料!$B1046)&gt;$M$3),0,1))</f>
        <v>0</v>
      </c>
      <c r="N2246" s="3">
        <f>IF(OR($N$1="",对接源_02物料!$C1046="",对接源_02物料!$C1046&lt;&gt;$N$1,对接源_02物料!$B1046=""),0,IF(OR(N(对接源_02物料!$B1046)&lt;$N$2,N(对接源_02物料!$B1046)&gt;$N$3),0,1))</f>
        <v>0</v>
      </c>
      <c r="P2246" s="3">
        <f>IF(AND($K2246=1,AND(对接源_02物料!$X1046="公司筐",N(对接源_02物料!$T1046)&lt;&gt;0)),1,0)</f>
        <v>0</v>
      </c>
      <c r="Q2246" s="3">
        <f t="shared" si="607"/>
        <v>8</v>
      </c>
      <c r="R2246" s="3">
        <f>IF(AND($K2246=1,AND(对接源_02物料!$X1046="公司筐",N(对接源_02物料!$U1046)&lt;&gt;0)),1,0)</f>
        <v>0</v>
      </c>
      <c r="S2246" s="3">
        <f t="shared" si="608"/>
        <v>0</v>
      </c>
      <c r="T2246" s="3">
        <f>IF(AND($K2246=1,AND(对接源_02物料!$X1046="公司筐",N(对接源_02物料!$V1046)&lt;&gt;0)),1,0)</f>
        <v>0</v>
      </c>
      <c r="U2246" s="3">
        <f t="shared" si="609"/>
        <v>19</v>
      </c>
      <c r="V2246" s="3">
        <f>IF(AND($L2246=1,AND(对接源_02物料!$X1046="自备筐",N(对接源_02物料!$V1046)&lt;&gt;0)),1,0)</f>
        <v>0</v>
      </c>
      <c r="W2246" s="3">
        <f t="shared" si="610"/>
        <v>8</v>
      </c>
      <c r="X2246" s="3">
        <f>IF(AND($L2246=1,AND(对接源_02物料!$X1046="自备筐",N(对接源_02物料!$T1046)&lt;&gt;0)),1,0)</f>
        <v>0</v>
      </c>
      <c r="Y2246" s="3">
        <f t="shared" si="611"/>
        <v>0</v>
      </c>
      <c r="Z2246" s="3">
        <f>IF(AND($M2246=1,对接源_02物料!$D1046="原料入库"),1,0)</f>
        <v>0</v>
      </c>
      <c r="AA2246" s="3">
        <f t="shared" si="612"/>
        <v>24</v>
      </c>
      <c r="AB2246" s="3">
        <f>IF(AND($M2246=1,LEFT(对接源_02物料!$D1046,4)="原料出库"),1,0)</f>
        <v>0</v>
      </c>
      <c r="AC2246" s="3">
        <f t="shared" si="613"/>
        <v>0</v>
      </c>
      <c r="AD2246" s="3">
        <f>IF(AND($M2246=1,LEFT(对接源_02物料!$D1046,4)="成品出库"),1,0)</f>
        <v>0</v>
      </c>
      <c r="AE2246" s="3">
        <f t="shared" si="614"/>
        <v>0</v>
      </c>
      <c r="AF2246" s="3">
        <f>IF(AND($N2246=1,AND(LEFT(对接源_02物料!$D1046,4)="包装物料",N(对接源_02物料!$K1046)&lt;&gt;0)),1,0)</f>
        <v>0</v>
      </c>
      <c r="AG2246" s="3">
        <f t="shared" si="615"/>
        <v>5</v>
      </c>
      <c r="AH2246" s="3">
        <f>IF(AND($N2246=1,AND(对接源_02物料!$D1046="周转筐－销售出库",N(对接源_02物料!$K1046)&lt;&gt;0)),1,0)</f>
        <v>0</v>
      </c>
      <c r="AI2246" s="3">
        <f t="shared" si="616"/>
        <v>0</v>
      </c>
      <c r="AL2246" s="3">
        <v>0</v>
      </c>
      <c r="AM2246" s="3">
        <f t="shared" si="617"/>
        <v>1</v>
      </c>
      <c r="AN2246" s="3" t="str">
        <f t="shared" si="604"/>
        <v/>
      </c>
      <c r="AO2246" s="3">
        <v>0</v>
      </c>
      <c r="AP2246" s="3">
        <f t="shared" si="618"/>
        <v>8</v>
      </c>
      <c r="AR2246">
        <f t="shared" si="619"/>
        <v>0</v>
      </c>
      <c r="AS2246">
        <f t="shared" si="620"/>
        <v>5</v>
      </c>
    </row>
    <row r="2247" customHeight="1" spans="1:45">
      <c r="A2247" s="3" t="str">
        <f>IF(对接源_02物料!$C1047="","",对接源_02物料!$C1047)</f>
        <v/>
      </c>
      <c r="B2247" s="3">
        <f t="shared" si="605"/>
        <v>0</v>
      </c>
      <c r="C2247" s="3">
        <f t="shared" si="606"/>
        <v>21</v>
      </c>
      <c r="K2247" s="3">
        <f>IF(OR($K$1="",对接源_02物料!$C1047="",对接源_02物料!$C1047&lt;&gt;$K$1,对接源_02物料!$B1047=""),0,IF(OR(N(对接源_02物料!$B1047)&lt;$K$2,N(对接源_02物料!$B1047)&gt;$K$3),0,1))</f>
        <v>0</v>
      </c>
      <c r="L2247" s="3">
        <f>IF(OR($L$1="",对接源_02物料!$C1047="",对接源_02物料!$C1047&lt;&gt;$L$1,对接源_02物料!$B1047=""),0,IF(OR(N(对接源_02物料!$B1047)&lt;$L$2,N(对接源_02物料!$B1047)&gt;$L$3),0,1))</f>
        <v>0</v>
      </c>
      <c r="M2247" s="3">
        <f>IF(OR($M$1="",对接源_02物料!$C1047="",对接源_02物料!$C1047&lt;&gt;$M$1,对接源_02物料!$B1047=""),0,IF(OR(N(对接源_02物料!$B1047)&lt;$M$2,N(对接源_02物料!$B1047)&gt;$M$3),0,1))</f>
        <v>0</v>
      </c>
      <c r="N2247" s="3">
        <f>IF(OR($N$1="",对接源_02物料!$C1047="",对接源_02物料!$C1047&lt;&gt;$N$1,对接源_02物料!$B1047=""),0,IF(OR(N(对接源_02物料!$B1047)&lt;$N$2,N(对接源_02物料!$B1047)&gt;$N$3),0,1))</f>
        <v>0</v>
      </c>
      <c r="P2247" s="3">
        <f>IF(AND($K2247=1,AND(对接源_02物料!$X1047="公司筐",N(对接源_02物料!$T1047)&lt;&gt;0)),1,0)</f>
        <v>0</v>
      </c>
      <c r="Q2247" s="3">
        <f t="shared" si="607"/>
        <v>8</v>
      </c>
      <c r="R2247" s="3">
        <f>IF(AND($K2247=1,AND(对接源_02物料!$X1047="公司筐",N(对接源_02物料!$U1047)&lt;&gt;0)),1,0)</f>
        <v>0</v>
      </c>
      <c r="S2247" s="3">
        <f t="shared" si="608"/>
        <v>0</v>
      </c>
      <c r="T2247" s="3">
        <f>IF(AND($K2247=1,AND(对接源_02物料!$X1047="公司筐",N(对接源_02物料!$V1047)&lt;&gt;0)),1,0)</f>
        <v>0</v>
      </c>
      <c r="U2247" s="3">
        <f t="shared" si="609"/>
        <v>19</v>
      </c>
      <c r="V2247" s="3">
        <f>IF(AND($L2247=1,AND(对接源_02物料!$X1047="自备筐",N(对接源_02物料!$V1047)&lt;&gt;0)),1,0)</f>
        <v>0</v>
      </c>
      <c r="W2247" s="3">
        <f t="shared" si="610"/>
        <v>8</v>
      </c>
      <c r="X2247" s="3">
        <f>IF(AND($L2247=1,AND(对接源_02物料!$X1047="自备筐",N(对接源_02物料!$T1047)&lt;&gt;0)),1,0)</f>
        <v>0</v>
      </c>
      <c r="Y2247" s="3">
        <f t="shared" si="611"/>
        <v>0</v>
      </c>
      <c r="Z2247" s="3">
        <f>IF(AND($M2247=1,对接源_02物料!$D1047="原料入库"),1,0)</f>
        <v>0</v>
      </c>
      <c r="AA2247" s="3">
        <f t="shared" si="612"/>
        <v>24</v>
      </c>
      <c r="AB2247" s="3">
        <f>IF(AND($M2247=1,LEFT(对接源_02物料!$D1047,4)="原料出库"),1,0)</f>
        <v>0</v>
      </c>
      <c r="AC2247" s="3">
        <f t="shared" si="613"/>
        <v>0</v>
      </c>
      <c r="AD2247" s="3">
        <f>IF(AND($M2247=1,LEFT(对接源_02物料!$D1047,4)="成品出库"),1,0)</f>
        <v>0</v>
      </c>
      <c r="AE2247" s="3">
        <f t="shared" si="614"/>
        <v>0</v>
      </c>
      <c r="AF2247" s="3">
        <f>IF(AND($N2247=1,AND(LEFT(对接源_02物料!$D1047,4)="包装物料",N(对接源_02物料!$K1047)&lt;&gt;0)),1,0)</f>
        <v>0</v>
      </c>
      <c r="AG2247" s="3">
        <f t="shared" si="615"/>
        <v>5</v>
      </c>
      <c r="AH2247" s="3">
        <f>IF(AND($N2247=1,AND(对接源_02物料!$D1047="周转筐－销售出库",N(对接源_02物料!$K1047)&lt;&gt;0)),1,0)</f>
        <v>0</v>
      </c>
      <c r="AI2247" s="3">
        <f t="shared" si="616"/>
        <v>0</v>
      </c>
      <c r="AL2247" s="3">
        <v>0</v>
      </c>
      <c r="AM2247" s="3">
        <f t="shared" si="617"/>
        <v>1</v>
      </c>
      <c r="AN2247" s="3" t="str">
        <f t="shared" si="604"/>
        <v/>
      </c>
      <c r="AO2247" s="3">
        <v>0</v>
      </c>
      <c r="AP2247" s="3">
        <f t="shared" si="618"/>
        <v>8</v>
      </c>
      <c r="AR2247">
        <f t="shared" si="619"/>
        <v>0</v>
      </c>
      <c r="AS2247">
        <f t="shared" si="620"/>
        <v>5</v>
      </c>
    </row>
    <row r="2248" customHeight="1" spans="1:45">
      <c r="A2248" s="3" t="str">
        <f>IF(对接源_02物料!$C1048="","",对接源_02物料!$C1048)</f>
        <v/>
      </c>
      <c r="B2248" s="3">
        <f t="shared" si="605"/>
        <v>0</v>
      </c>
      <c r="C2248" s="3">
        <f t="shared" si="606"/>
        <v>21</v>
      </c>
      <c r="K2248" s="3">
        <f>IF(OR($K$1="",对接源_02物料!$C1048="",对接源_02物料!$C1048&lt;&gt;$K$1,对接源_02物料!$B1048=""),0,IF(OR(N(对接源_02物料!$B1048)&lt;$K$2,N(对接源_02物料!$B1048)&gt;$K$3),0,1))</f>
        <v>0</v>
      </c>
      <c r="L2248" s="3">
        <f>IF(OR($L$1="",对接源_02物料!$C1048="",对接源_02物料!$C1048&lt;&gt;$L$1,对接源_02物料!$B1048=""),0,IF(OR(N(对接源_02物料!$B1048)&lt;$L$2,N(对接源_02物料!$B1048)&gt;$L$3),0,1))</f>
        <v>0</v>
      </c>
      <c r="M2248" s="3">
        <f>IF(OR($M$1="",对接源_02物料!$C1048="",对接源_02物料!$C1048&lt;&gt;$M$1,对接源_02物料!$B1048=""),0,IF(OR(N(对接源_02物料!$B1048)&lt;$M$2,N(对接源_02物料!$B1048)&gt;$M$3),0,1))</f>
        <v>0</v>
      </c>
      <c r="N2248" s="3">
        <f>IF(OR($N$1="",对接源_02物料!$C1048="",对接源_02物料!$C1048&lt;&gt;$N$1,对接源_02物料!$B1048=""),0,IF(OR(N(对接源_02物料!$B1048)&lt;$N$2,N(对接源_02物料!$B1048)&gt;$N$3),0,1))</f>
        <v>0</v>
      </c>
      <c r="P2248" s="3">
        <f>IF(AND($K2248=1,AND(对接源_02物料!$X1048="公司筐",N(对接源_02物料!$T1048)&lt;&gt;0)),1,0)</f>
        <v>0</v>
      </c>
      <c r="Q2248" s="3">
        <f t="shared" si="607"/>
        <v>8</v>
      </c>
      <c r="R2248" s="3">
        <f>IF(AND($K2248=1,AND(对接源_02物料!$X1048="公司筐",N(对接源_02物料!$U1048)&lt;&gt;0)),1,0)</f>
        <v>0</v>
      </c>
      <c r="S2248" s="3">
        <f t="shared" si="608"/>
        <v>0</v>
      </c>
      <c r="T2248" s="3">
        <f>IF(AND($K2248=1,AND(对接源_02物料!$X1048="公司筐",N(对接源_02物料!$V1048)&lt;&gt;0)),1,0)</f>
        <v>0</v>
      </c>
      <c r="U2248" s="3">
        <f t="shared" si="609"/>
        <v>19</v>
      </c>
      <c r="V2248" s="3">
        <f>IF(AND($L2248=1,AND(对接源_02物料!$X1048="自备筐",N(对接源_02物料!$V1048)&lt;&gt;0)),1,0)</f>
        <v>0</v>
      </c>
      <c r="W2248" s="3">
        <f t="shared" si="610"/>
        <v>8</v>
      </c>
      <c r="X2248" s="3">
        <f>IF(AND($L2248=1,AND(对接源_02物料!$X1048="自备筐",N(对接源_02物料!$T1048)&lt;&gt;0)),1,0)</f>
        <v>0</v>
      </c>
      <c r="Y2248" s="3">
        <f t="shared" si="611"/>
        <v>0</v>
      </c>
      <c r="Z2248" s="3">
        <f>IF(AND($M2248=1,对接源_02物料!$D1048="原料入库"),1,0)</f>
        <v>0</v>
      </c>
      <c r="AA2248" s="3">
        <f t="shared" si="612"/>
        <v>24</v>
      </c>
      <c r="AB2248" s="3">
        <f>IF(AND($M2248=1,LEFT(对接源_02物料!$D1048,4)="原料出库"),1,0)</f>
        <v>0</v>
      </c>
      <c r="AC2248" s="3">
        <f t="shared" si="613"/>
        <v>0</v>
      </c>
      <c r="AD2248" s="3">
        <f>IF(AND($M2248=1,LEFT(对接源_02物料!$D1048,4)="成品出库"),1,0)</f>
        <v>0</v>
      </c>
      <c r="AE2248" s="3">
        <f t="shared" si="614"/>
        <v>0</v>
      </c>
      <c r="AF2248" s="3">
        <f>IF(AND($N2248=1,AND(LEFT(对接源_02物料!$D1048,4)="包装物料",N(对接源_02物料!$K1048)&lt;&gt;0)),1,0)</f>
        <v>0</v>
      </c>
      <c r="AG2248" s="3">
        <f t="shared" si="615"/>
        <v>5</v>
      </c>
      <c r="AH2248" s="3">
        <f>IF(AND($N2248=1,AND(对接源_02物料!$D1048="周转筐－销售出库",N(对接源_02物料!$K1048)&lt;&gt;0)),1,0)</f>
        <v>0</v>
      </c>
      <c r="AI2248" s="3">
        <f t="shared" si="616"/>
        <v>0</v>
      </c>
      <c r="AL2248" s="3">
        <v>0</v>
      </c>
      <c r="AM2248" s="3">
        <f t="shared" si="617"/>
        <v>1</v>
      </c>
      <c r="AN2248" s="3" t="str">
        <f t="shared" si="604"/>
        <v/>
      </c>
      <c r="AO2248" s="3">
        <v>0</v>
      </c>
      <c r="AP2248" s="3">
        <f t="shared" si="618"/>
        <v>8</v>
      </c>
      <c r="AR2248">
        <f t="shared" si="619"/>
        <v>0</v>
      </c>
      <c r="AS2248">
        <f t="shared" si="620"/>
        <v>5</v>
      </c>
    </row>
    <row r="2249" customHeight="1" spans="1:45">
      <c r="A2249" s="3" t="str">
        <f>IF(对接源_02物料!$C1049="","",对接源_02物料!$C1049)</f>
        <v/>
      </c>
      <c r="B2249" s="3">
        <f t="shared" si="605"/>
        <v>0</v>
      </c>
      <c r="C2249" s="3">
        <f t="shared" si="606"/>
        <v>21</v>
      </c>
      <c r="K2249" s="3">
        <f>IF(OR($K$1="",对接源_02物料!$C1049="",对接源_02物料!$C1049&lt;&gt;$K$1,对接源_02物料!$B1049=""),0,IF(OR(N(对接源_02物料!$B1049)&lt;$K$2,N(对接源_02物料!$B1049)&gt;$K$3),0,1))</f>
        <v>0</v>
      </c>
      <c r="L2249" s="3">
        <f>IF(OR($L$1="",对接源_02物料!$C1049="",对接源_02物料!$C1049&lt;&gt;$L$1,对接源_02物料!$B1049=""),0,IF(OR(N(对接源_02物料!$B1049)&lt;$L$2,N(对接源_02物料!$B1049)&gt;$L$3),0,1))</f>
        <v>0</v>
      </c>
      <c r="M2249" s="3">
        <f>IF(OR($M$1="",对接源_02物料!$C1049="",对接源_02物料!$C1049&lt;&gt;$M$1,对接源_02物料!$B1049=""),0,IF(OR(N(对接源_02物料!$B1049)&lt;$M$2,N(对接源_02物料!$B1049)&gt;$M$3),0,1))</f>
        <v>0</v>
      </c>
      <c r="N2249" s="3">
        <f>IF(OR($N$1="",对接源_02物料!$C1049="",对接源_02物料!$C1049&lt;&gt;$N$1,对接源_02物料!$B1049=""),0,IF(OR(N(对接源_02物料!$B1049)&lt;$N$2,N(对接源_02物料!$B1049)&gt;$N$3),0,1))</f>
        <v>0</v>
      </c>
      <c r="P2249" s="3">
        <f>IF(AND($K2249=1,AND(对接源_02物料!$X1049="公司筐",N(对接源_02物料!$T1049)&lt;&gt;0)),1,0)</f>
        <v>0</v>
      </c>
      <c r="Q2249" s="3">
        <f t="shared" si="607"/>
        <v>8</v>
      </c>
      <c r="R2249" s="3">
        <f>IF(AND($K2249=1,AND(对接源_02物料!$X1049="公司筐",N(对接源_02物料!$U1049)&lt;&gt;0)),1,0)</f>
        <v>0</v>
      </c>
      <c r="S2249" s="3">
        <f t="shared" si="608"/>
        <v>0</v>
      </c>
      <c r="T2249" s="3">
        <f>IF(AND($K2249=1,AND(对接源_02物料!$X1049="公司筐",N(对接源_02物料!$V1049)&lt;&gt;0)),1,0)</f>
        <v>0</v>
      </c>
      <c r="U2249" s="3">
        <f t="shared" si="609"/>
        <v>19</v>
      </c>
      <c r="V2249" s="3">
        <f>IF(AND($L2249=1,AND(对接源_02物料!$X1049="自备筐",N(对接源_02物料!$V1049)&lt;&gt;0)),1,0)</f>
        <v>0</v>
      </c>
      <c r="W2249" s="3">
        <f t="shared" si="610"/>
        <v>8</v>
      </c>
      <c r="X2249" s="3">
        <f>IF(AND($L2249=1,AND(对接源_02物料!$X1049="自备筐",N(对接源_02物料!$T1049)&lt;&gt;0)),1,0)</f>
        <v>0</v>
      </c>
      <c r="Y2249" s="3">
        <f t="shared" si="611"/>
        <v>0</v>
      </c>
      <c r="Z2249" s="3">
        <f>IF(AND($M2249=1,对接源_02物料!$D1049="原料入库"),1,0)</f>
        <v>0</v>
      </c>
      <c r="AA2249" s="3">
        <f t="shared" si="612"/>
        <v>24</v>
      </c>
      <c r="AB2249" s="3">
        <f>IF(AND($M2249=1,LEFT(对接源_02物料!$D1049,4)="原料出库"),1,0)</f>
        <v>0</v>
      </c>
      <c r="AC2249" s="3">
        <f t="shared" si="613"/>
        <v>0</v>
      </c>
      <c r="AD2249" s="3">
        <f>IF(AND($M2249=1,LEFT(对接源_02物料!$D1049,4)="成品出库"),1,0)</f>
        <v>0</v>
      </c>
      <c r="AE2249" s="3">
        <f t="shared" si="614"/>
        <v>0</v>
      </c>
      <c r="AF2249" s="3">
        <f>IF(AND($N2249=1,AND(LEFT(对接源_02物料!$D1049,4)="包装物料",N(对接源_02物料!$K1049)&lt;&gt;0)),1,0)</f>
        <v>0</v>
      </c>
      <c r="AG2249" s="3">
        <f t="shared" si="615"/>
        <v>5</v>
      </c>
      <c r="AH2249" s="3">
        <f>IF(AND($N2249=1,AND(对接源_02物料!$D1049="周转筐－销售出库",N(对接源_02物料!$K1049)&lt;&gt;0)),1,0)</f>
        <v>0</v>
      </c>
      <c r="AI2249" s="3">
        <f t="shared" si="616"/>
        <v>0</v>
      </c>
      <c r="AL2249" s="3">
        <v>0</v>
      </c>
      <c r="AM2249" s="3">
        <f t="shared" si="617"/>
        <v>1</v>
      </c>
      <c r="AN2249" s="3" t="str">
        <f t="shared" si="604"/>
        <v/>
      </c>
      <c r="AO2249" s="3">
        <v>0</v>
      </c>
      <c r="AP2249" s="3">
        <f t="shared" si="618"/>
        <v>8</v>
      </c>
      <c r="AR2249">
        <f t="shared" si="619"/>
        <v>0</v>
      </c>
      <c r="AS2249">
        <f t="shared" si="620"/>
        <v>5</v>
      </c>
    </row>
    <row r="2250" customHeight="1" spans="1:45">
      <c r="A2250" s="3" t="str">
        <f>IF(对接源_02物料!$C1050="","",对接源_02物料!$C1050)</f>
        <v/>
      </c>
      <c r="B2250" s="3">
        <f t="shared" si="605"/>
        <v>0</v>
      </c>
      <c r="C2250" s="3">
        <f t="shared" si="606"/>
        <v>21</v>
      </c>
      <c r="K2250" s="3">
        <f>IF(OR($K$1="",对接源_02物料!$C1050="",对接源_02物料!$C1050&lt;&gt;$K$1,对接源_02物料!$B1050=""),0,IF(OR(N(对接源_02物料!$B1050)&lt;$K$2,N(对接源_02物料!$B1050)&gt;$K$3),0,1))</f>
        <v>0</v>
      </c>
      <c r="L2250" s="3">
        <f>IF(OR($L$1="",对接源_02物料!$C1050="",对接源_02物料!$C1050&lt;&gt;$L$1,对接源_02物料!$B1050=""),0,IF(OR(N(对接源_02物料!$B1050)&lt;$L$2,N(对接源_02物料!$B1050)&gt;$L$3),0,1))</f>
        <v>0</v>
      </c>
      <c r="M2250" s="3">
        <f>IF(OR($M$1="",对接源_02物料!$C1050="",对接源_02物料!$C1050&lt;&gt;$M$1,对接源_02物料!$B1050=""),0,IF(OR(N(对接源_02物料!$B1050)&lt;$M$2,N(对接源_02物料!$B1050)&gt;$M$3),0,1))</f>
        <v>0</v>
      </c>
      <c r="N2250" s="3">
        <f>IF(OR($N$1="",对接源_02物料!$C1050="",对接源_02物料!$C1050&lt;&gt;$N$1,对接源_02物料!$B1050=""),0,IF(OR(N(对接源_02物料!$B1050)&lt;$N$2,N(对接源_02物料!$B1050)&gt;$N$3),0,1))</f>
        <v>0</v>
      </c>
      <c r="P2250" s="3">
        <f>IF(AND($K2250=1,AND(对接源_02物料!$X1050="公司筐",N(对接源_02物料!$T1050)&lt;&gt;0)),1,0)</f>
        <v>0</v>
      </c>
      <c r="Q2250" s="3">
        <f t="shared" si="607"/>
        <v>8</v>
      </c>
      <c r="R2250" s="3">
        <f>IF(AND($K2250=1,AND(对接源_02物料!$X1050="公司筐",N(对接源_02物料!$U1050)&lt;&gt;0)),1,0)</f>
        <v>0</v>
      </c>
      <c r="S2250" s="3">
        <f t="shared" si="608"/>
        <v>0</v>
      </c>
      <c r="T2250" s="3">
        <f>IF(AND($K2250=1,AND(对接源_02物料!$X1050="公司筐",N(对接源_02物料!$V1050)&lt;&gt;0)),1,0)</f>
        <v>0</v>
      </c>
      <c r="U2250" s="3">
        <f t="shared" si="609"/>
        <v>19</v>
      </c>
      <c r="V2250" s="3">
        <f>IF(AND($L2250=1,AND(对接源_02物料!$X1050="自备筐",N(对接源_02物料!$V1050)&lt;&gt;0)),1,0)</f>
        <v>0</v>
      </c>
      <c r="W2250" s="3">
        <f t="shared" si="610"/>
        <v>8</v>
      </c>
      <c r="X2250" s="3">
        <f>IF(AND($L2250=1,AND(对接源_02物料!$X1050="自备筐",N(对接源_02物料!$T1050)&lt;&gt;0)),1,0)</f>
        <v>0</v>
      </c>
      <c r="Y2250" s="3">
        <f t="shared" si="611"/>
        <v>0</v>
      </c>
      <c r="Z2250" s="3">
        <f>IF(AND($M2250=1,对接源_02物料!$D1050="原料入库"),1,0)</f>
        <v>0</v>
      </c>
      <c r="AA2250" s="3">
        <f t="shared" si="612"/>
        <v>24</v>
      </c>
      <c r="AB2250" s="3">
        <f>IF(AND($M2250=1,LEFT(对接源_02物料!$D1050,4)="原料出库"),1,0)</f>
        <v>0</v>
      </c>
      <c r="AC2250" s="3">
        <f t="shared" si="613"/>
        <v>0</v>
      </c>
      <c r="AD2250" s="3">
        <f>IF(AND($M2250=1,LEFT(对接源_02物料!$D1050,4)="成品出库"),1,0)</f>
        <v>0</v>
      </c>
      <c r="AE2250" s="3">
        <f t="shared" si="614"/>
        <v>0</v>
      </c>
      <c r="AF2250" s="3">
        <f>IF(AND($N2250=1,AND(LEFT(对接源_02物料!$D1050,4)="包装物料",N(对接源_02物料!$K1050)&lt;&gt;0)),1,0)</f>
        <v>0</v>
      </c>
      <c r="AG2250" s="3">
        <f t="shared" si="615"/>
        <v>5</v>
      </c>
      <c r="AH2250" s="3">
        <f>IF(AND($N2250=1,AND(对接源_02物料!$D1050="周转筐－销售出库",N(对接源_02物料!$K1050)&lt;&gt;0)),1,0)</f>
        <v>0</v>
      </c>
      <c r="AI2250" s="3">
        <f t="shared" si="616"/>
        <v>0</v>
      </c>
      <c r="AL2250" s="3">
        <v>0</v>
      </c>
      <c r="AM2250" s="3">
        <f t="shared" si="617"/>
        <v>1</v>
      </c>
      <c r="AN2250" s="3" t="str">
        <f t="shared" si="604"/>
        <v/>
      </c>
      <c r="AO2250" s="3">
        <v>0</v>
      </c>
      <c r="AP2250" s="3">
        <f t="shared" si="618"/>
        <v>8</v>
      </c>
      <c r="AR2250">
        <f t="shared" si="619"/>
        <v>0</v>
      </c>
      <c r="AS2250">
        <f t="shared" si="620"/>
        <v>5</v>
      </c>
    </row>
    <row r="2251" customHeight="1" spans="1:45">
      <c r="A2251" s="3" t="str">
        <f>IF(对接源_02物料!$C1051="","",对接源_02物料!$C1051)</f>
        <v/>
      </c>
      <c r="B2251" s="3">
        <f t="shared" si="605"/>
        <v>0</v>
      </c>
      <c r="C2251" s="3">
        <f t="shared" si="606"/>
        <v>21</v>
      </c>
      <c r="K2251" s="3">
        <f>IF(OR($K$1="",对接源_02物料!$C1051="",对接源_02物料!$C1051&lt;&gt;$K$1,对接源_02物料!$B1051=""),0,IF(OR(N(对接源_02物料!$B1051)&lt;$K$2,N(对接源_02物料!$B1051)&gt;$K$3),0,1))</f>
        <v>0</v>
      </c>
      <c r="L2251" s="3">
        <f>IF(OR($L$1="",对接源_02物料!$C1051="",对接源_02物料!$C1051&lt;&gt;$L$1,对接源_02物料!$B1051=""),0,IF(OR(N(对接源_02物料!$B1051)&lt;$L$2,N(对接源_02物料!$B1051)&gt;$L$3),0,1))</f>
        <v>0</v>
      </c>
      <c r="M2251" s="3">
        <f>IF(OR($M$1="",对接源_02物料!$C1051="",对接源_02物料!$C1051&lt;&gt;$M$1,对接源_02物料!$B1051=""),0,IF(OR(N(对接源_02物料!$B1051)&lt;$M$2,N(对接源_02物料!$B1051)&gt;$M$3),0,1))</f>
        <v>0</v>
      </c>
      <c r="N2251" s="3">
        <f>IF(OR($N$1="",对接源_02物料!$C1051="",对接源_02物料!$C1051&lt;&gt;$N$1,对接源_02物料!$B1051=""),0,IF(OR(N(对接源_02物料!$B1051)&lt;$N$2,N(对接源_02物料!$B1051)&gt;$N$3),0,1))</f>
        <v>0</v>
      </c>
      <c r="P2251" s="3">
        <f>IF(AND($K2251=1,AND(对接源_02物料!$X1051="公司筐",N(对接源_02物料!$T1051)&lt;&gt;0)),1,0)</f>
        <v>0</v>
      </c>
      <c r="Q2251" s="3">
        <f t="shared" si="607"/>
        <v>8</v>
      </c>
      <c r="R2251" s="3">
        <f>IF(AND($K2251=1,AND(对接源_02物料!$X1051="公司筐",N(对接源_02物料!$U1051)&lt;&gt;0)),1,0)</f>
        <v>0</v>
      </c>
      <c r="S2251" s="3">
        <f t="shared" si="608"/>
        <v>0</v>
      </c>
      <c r="T2251" s="3">
        <f>IF(AND($K2251=1,AND(对接源_02物料!$X1051="公司筐",N(对接源_02物料!$V1051)&lt;&gt;0)),1,0)</f>
        <v>0</v>
      </c>
      <c r="U2251" s="3">
        <f t="shared" si="609"/>
        <v>19</v>
      </c>
      <c r="V2251" s="3">
        <f>IF(AND($L2251=1,AND(对接源_02物料!$X1051="自备筐",N(对接源_02物料!$V1051)&lt;&gt;0)),1,0)</f>
        <v>0</v>
      </c>
      <c r="W2251" s="3">
        <f t="shared" si="610"/>
        <v>8</v>
      </c>
      <c r="X2251" s="3">
        <f>IF(AND($L2251=1,AND(对接源_02物料!$X1051="自备筐",N(对接源_02物料!$T1051)&lt;&gt;0)),1,0)</f>
        <v>0</v>
      </c>
      <c r="Y2251" s="3">
        <f t="shared" si="611"/>
        <v>0</v>
      </c>
      <c r="Z2251" s="3">
        <f>IF(AND($M2251=1,对接源_02物料!$D1051="原料入库"),1,0)</f>
        <v>0</v>
      </c>
      <c r="AA2251" s="3">
        <f t="shared" si="612"/>
        <v>24</v>
      </c>
      <c r="AB2251" s="3">
        <f>IF(AND($M2251=1,LEFT(对接源_02物料!$D1051,4)="原料出库"),1,0)</f>
        <v>0</v>
      </c>
      <c r="AC2251" s="3">
        <f t="shared" si="613"/>
        <v>0</v>
      </c>
      <c r="AD2251" s="3">
        <f>IF(AND($M2251=1,LEFT(对接源_02物料!$D1051,4)="成品出库"),1,0)</f>
        <v>0</v>
      </c>
      <c r="AE2251" s="3">
        <f t="shared" si="614"/>
        <v>0</v>
      </c>
      <c r="AF2251" s="3">
        <f>IF(AND($N2251=1,AND(LEFT(对接源_02物料!$D1051,4)="包装物料",N(对接源_02物料!$K1051)&lt;&gt;0)),1,0)</f>
        <v>0</v>
      </c>
      <c r="AG2251" s="3">
        <f t="shared" si="615"/>
        <v>5</v>
      </c>
      <c r="AH2251" s="3">
        <f>IF(AND($N2251=1,AND(对接源_02物料!$D1051="周转筐－销售出库",N(对接源_02物料!$K1051)&lt;&gt;0)),1,0)</f>
        <v>0</v>
      </c>
      <c r="AI2251" s="3">
        <f t="shared" si="616"/>
        <v>0</v>
      </c>
      <c r="AL2251" s="3">
        <v>0</v>
      </c>
      <c r="AM2251" s="3">
        <f t="shared" si="617"/>
        <v>1</v>
      </c>
      <c r="AN2251" s="3" t="str">
        <f t="shared" si="604"/>
        <v/>
      </c>
      <c r="AO2251" s="3">
        <v>0</v>
      </c>
      <c r="AP2251" s="3">
        <f t="shared" si="618"/>
        <v>8</v>
      </c>
      <c r="AR2251">
        <f t="shared" si="619"/>
        <v>0</v>
      </c>
      <c r="AS2251">
        <f t="shared" si="620"/>
        <v>5</v>
      </c>
    </row>
    <row r="2252" customHeight="1" spans="1:45">
      <c r="A2252" s="3" t="str">
        <f>IF(对接源_02物料!$C1052="","",对接源_02物料!$C1052)</f>
        <v/>
      </c>
      <c r="B2252" s="3">
        <f t="shared" si="605"/>
        <v>0</v>
      </c>
      <c r="C2252" s="3">
        <f t="shared" si="606"/>
        <v>21</v>
      </c>
      <c r="K2252" s="3">
        <f>IF(OR($K$1="",对接源_02物料!$C1052="",对接源_02物料!$C1052&lt;&gt;$K$1,对接源_02物料!$B1052=""),0,IF(OR(N(对接源_02物料!$B1052)&lt;$K$2,N(对接源_02物料!$B1052)&gt;$K$3),0,1))</f>
        <v>0</v>
      </c>
      <c r="L2252" s="3">
        <f>IF(OR($L$1="",对接源_02物料!$C1052="",对接源_02物料!$C1052&lt;&gt;$L$1,对接源_02物料!$B1052=""),0,IF(OR(N(对接源_02物料!$B1052)&lt;$L$2,N(对接源_02物料!$B1052)&gt;$L$3),0,1))</f>
        <v>0</v>
      </c>
      <c r="M2252" s="3">
        <f>IF(OR($M$1="",对接源_02物料!$C1052="",对接源_02物料!$C1052&lt;&gt;$M$1,对接源_02物料!$B1052=""),0,IF(OR(N(对接源_02物料!$B1052)&lt;$M$2,N(对接源_02物料!$B1052)&gt;$M$3),0,1))</f>
        <v>0</v>
      </c>
      <c r="N2252" s="3">
        <f>IF(OR($N$1="",对接源_02物料!$C1052="",对接源_02物料!$C1052&lt;&gt;$N$1,对接源_02物料!$B1052=""),0,IF(OR(N(对接源_02物料!$B1052)&lt;$N$2,N(对接源_02物料!$B1052)&gt;$N$3),0,1))</f>
        <v>0</v>
      </c>
      <c r="P2252" s="3">
        <f>IF(AND($K2252=1,AND(对接源_02物料!$X1052="公司筐",N(对接源_02物料!$T1052)&lt;&gt;0)),1,0)</f>
        <v>0</v>
      </c>
      <c r="Q2252" s="3">
        <f t="shared" si="607"/>
        <v>8</v>
      </c>
      <c r="R2252" s="3">
        <f>IF(AND($K2252=1,AND(对接源_02物料!$X1052="公司筐",N(对接源_02物料!$U1052)&lt;&gt;0)),1,0)</f>
        <v>0</v>
      </c>
      <c r="S2252" s="3">
        <f t="shared" si="608"/>
        <v>0</v>
      </c>
      <c r="T2252" s="3">
        <f>IF(AND($K2252=1,AND(对接源_02物料!$X1052="公司筐",N(对接源_02物料!$V1052)&lt;&gt;0)),1,0)</f>
        <v>0</v>
      </c>
      <c r="U2252" s="3">
        <f t="shared" si="609"/>
        <v>19</v>
      </c>
      <c r="V2252" s="3">
        <f>IF(AND($L2252=1,AND(对接源_02物料!$X1052="自备筐",N(对接源_02物料!$V1052)&lt;&gt;0)),1,0)</f>
        <v>0</v>
      </c>
      <c r="W2252" s="3">
        <f t="shared" si="610"/>
        <v>8</v>
      </c>
      <c r="X2252" s="3">
        <f>IF(AND($L2252=1,AND(对接源_02物料!$X1052="自备筐",N(对接源_02物料!$T1052)&lt;&gt;0)),1,0)</f>
        <v>0</v>
      </c>
      <c r="Y2252" s="3">
        <f t="shared" si="611"/>
        <v>0</v>
      </c>
      <c r="Z2252" s="3">
        <f>IF(AND($M2252=1,对接源_02物料!$D1052="原料入库"),1,0)</f>
        <v>0</v>
      </c>
      <c r="AA2252" s="3">
        <f t="shared" si="612"/>
        <v>24</v>
      </c>
      <c r="AB2252" s="3">
        <f>IF(AND($M2252=1,LEFT(对接源_02物料!$D1052,4)="原料出库"),1,0)</f>
        <v>0</v>
      </c>
      <c r="AC2252" s="3">
        <f t="shared" si="613"/>
        <v>0</v>
      </c>
      <c r="AD2252" s="3">
        <f>IF(AND($M2252=1,LEFT(对接源_02物料!$D1052,4)="成品出库"),1,0)</f>
        <v>0</v>
      </c>
      <c r="AE2252" s="3">
        <f t="shared" si="614"/>
        <v>0</v>
      </c>
      <c r="AF2252" s="3">
        <f>IF(AND($N2252=1,AND(LEFT(对接源_02物料!$D1052,4)="包装物料",N(对接源_02物料!$K1052)&lt;&gt;0)),1,0)</f>
        <v>0</v>
      </c>
      <c r="AG2252" s="3">
        <f t="shared" si="615"/>
        <v>5</v>
      </c>
      <c r="AH2252" s="3">
        <f>IF(AND($N2252=1,AND(对接源_02物料!$D1052="周转筐－销售出库",N(对接源_02物料!$K1052)&lt;&gt;0)),1,0)</f>
        <v>0</v>
      </c>
      <c r="AI2252" s="3">
        <f t="shared" si="616"/>
        <v>0</v>
      </c>
      <c r="AL2252" s="3">
        <v>0</v>
      </c>
      <c r="AM2252" s="3">
        <f t="shared" si="617"/>
        <v>1</v>
      </c>
      <c r="AN2252" s="3" t="str">
        <f t="shared" si="604"/>
        <v/>
      </c>
      <c r="AO2252" s="3">
        <v>0</v>
      </c>
      <c r="AP2252" s="3">
        <f t="shared" si="618"/>
        <v>8</v>
      </c>
      <c r="AR2252">
        <f t="shared" si="619"/>
        <v>0</v>
      </c>
      <c r="AS2252">
        <f t="shared" si="620"/>
        <v>5</v>
      </c>
    </row>
    <row r="2253" customHeight="1" spans="1:45">
      <c r="A2253" s="3" t="str">
        <f>IF(对接源_02物料!$C1053="","",对接源_02物料!$C1053)</f>
        <v/>
      </c>
      <c r="B2253" s="3">
        <f t="shared" si="605"/>
        <v>0</v>
      </c>
      <c r="C2253" s="3">
        <f t="shared" si="606"/>
        <v>21</v>
      </c>
      <c r="K2253" s="3">
        <f>IF(OR($K$1="",对接源_02物料!$C1053="",对接源_02物料!$C1053&lt;&gt;$K$1,对接源_02物料!$B1053=""),0,IF(OR(N(对接源_02物料!$B1053)&lt;$K$2,N(对接源_02物料!$B1053)&gt;$K$3),0,1))</f>
        <v>0</v>
      </c>
      <c r="L2253" s="3">
        <f>IF(OR($L$1="",对接源_02物料!$C1053="",对接源_02物料!$C1053&lt;&gt;$L$1,对接源_02物料!$B1053=""),0,IF(OR(N(对接源_02物料!$B1053)&lt;$L$2,N(对接源_02物料!$B1053)&gt;$L$3),0,1))</f>
        <v>0</v>
      </c>
      <c r="M2253" s="3">
        <f>IF(OR($M$1="",对接源_02物料!$C1053="",对接源_02物料!$C1053&lt;&gt;$M$1,对接源_02物料!$B1053=""),0,IF(OR(N(对接源_02物料!$B1053)&lt;$M$2,N(对接源_02物料!$B1053)&gt;$M$3),0,1))</f>
        <v>0</v>
      </c>
      <c r="N2253" s="3">
        <f>IF(OR($N$1="",对接源_02物料!$C1053="",对接源_02物料!$C1053&lt;&gt;$N$1,对接源_02物料!$B1053=""),0,IF(OR(N(对接源_02物料!$B1053)&lt;$N$2,N(对接源_02物料!$B1053)&gt;$N$3),0,1))</f>
        <v>0</v>
      </c>
      <c r="P2253" s="3">
        <f>IF(AND($K2253=1,AND(对接源_02物料!$X1053="公司筐",N(对接源_02物料!$T1053)&lt;&gt;0)),1,0)</f>
        <v>0</v>
      </c>
      <c r="Q2253" s="3">
        <f t="shared" si="607"/>
        <v>8</v>
      </c>
      <c r="R2253" s="3">
        <f>IF(AND($K2253=1,AND(对接源_02物料!$X1053="公司筐",N(对接源_02物料!$U1053)&lt;&gt;0)),1,0)</f>
        <v>0</v>
      </c>
      <c r="S2253" s="3">
        <f t="shared" si="608"/>
        <v>0</v>
      </c>
      <c r="T2253" s="3">
        <f>IF(AND($K2253=1,AND(对接源_02物料!$X1053="公司筐",N(对接源_02物料!$V1053)&lt;&gt;0)),1,0)</f>
        <v>0</v>
      </c>
      <c r="U2253" s="3">
        <f t="shared" si="609"/>
        <v>19</v>
      </c>
      <c r="V2253" s="3">
        <f>IF(AND($L2253=1,AND(对接源_02物料!$X1053="自备筐",N(对接源_02物料!$V1053)&lt;&gt;0)),1,0)</f>
        <v>0</v>
      </c>
      <c r="W2253" s="3">
        <f t="shared" si="610"/>
        <v>8</v>
      </c>
      <c r="X2253" s="3">
        <f>IF(AND($L2253=1,AND(对接源_02物料!$X1053="自备筐",N(对接源_02物料!$T1053)&lt;&gt;0)),1,0)</f>
        <v>0</v>
      </c>
      <c r="Y2253" s="3">
        <f t="shared" si="611"/>
        <v>0</v>
      </c>
      <c r="Z2253" s="3">
        <f>IF(AND($M2253=1,对接源_02物料!$D1053="原料入库"),1,0)</f>
        <v>0</v>
      </c>
      <c r="AA2253" s="3">
        <f t="shared" si="612"/>
        <v>24</v>
      </c>
      <c r="AB2253" s="3">
        <f>IF(AND($M2253=1,LEFT(对接源_02物料!$D1053,4)="原料出库"),1,0)</f>
        <v>0</v>
      </c>
      <c r="AC2253" s="3">
        <f t="shared" si="613"/>
        <v>0</v>
      </c>
      <c r="AD2253" s="3">
        <f>IF(AND($M2253=1,LEFT(对接源_02物料!$D1053,4)="成品出库"),1,0)</f>
        <v>0</v>
      </c>
      <c r="AE2253" s="3">
        <f t="shared" si="614"/>
        <v>0</v>
      </c>
      <c r="AF2253" s="3">
        <f>IF(AND($N2253=1,AND(LEFT(对接源_02物料!$D1053,4)="包装物料",N(对接源_02物料!$K1053)&lt;&gt;0)),1,0)</f>
        <v>0</v>
      </c>
      <c r="AG2253" s="3">
        <f t="shared" si="615"/>
        <v>5</v>
      </c>
      <c r="AH2253" s="3">
        <f>IF(AND($N2253=1,AND(对接源_02物料!$D1053="周转筐－销售出库",N(对接源_02物料!$K1053)&lt;&gt;0)),1,0)</f>
        <v>0</v>
      </c>
      <c r="AI2253" s="3">
        <f t="shared" si="616"/>
        <v>0</v>
      </c>
      <c r="AL2253" s="3">
        <v>0</v>
      </c>
      <c r="AM2253" s="3">
        <f t="shared" si="617"/>
        <v>1</v>
      </c>
      <c r="AN2253" s="3" t="str">
        <f t="shared" si="604"/>
        <v/>
      </c>
      <c r="AO2253" s="3">
        <v>0</v>
      </c>
      <c r="AP2253" s="3">
        <f t="shared" si="618"/>
        <v>8</v>
      </c>
      <c r="AR2253">
        <f t="shared" si="619"/>
        <v>0</v>
      </c>
      <c r="AS2253">
        <f t="shared" si="620"/>
        <v>5</v>
      </c>
    </row>
    <row r="2254" customHeight="1" spans="1:45">
      <c r="A2254" s="3" t="str">
        <f>IF(对接源_02物料!$C1054="","",对接源_02物料!$C1054)</f>
        <v/>
      </c>
      <c r="B2254" s="3">
        <f t="shared" si="605"/>
        <v>0</v>
      </c>
      <c r="C2254" s="3">
        <f t="shared" si="606"/>
        <v>21</v>
      </c>
      <c r="K2254" s="3">
        <f>IF(OR($K$1="",对接源_02物料!$C1054="",对接源_02物料!$C1054&lt;&gt;$K$1,对接源_02物料!$B1054=""),0,IF(OR(N(对接源_02物料!$B1054)&lt;$K$2,N(对接源_02物料!$B1054)&gt;$K$3),0,1))</f>
        <v>0</v>
      </c>
      <c r="L2254" s="3">
        <f>IF(OR($L$1="",对接源_02物料!$C1054="",对接源_02物料!$C1054&lt;&gt;$L$1,对接源_02物料!$B1054=""),0,IF(OR(N(对接源_02物料!$B1054)&lt;$L$2,N(对接源_02物料!$B1054)&gt;$L$3),0,1))</f>
        <v>0</v>
      </c>
      <c r="M2254" s="3">
        <f>IF(OR($M$1="",对接源_02物料!$C1054="",对接源_02物料!$C1054&lt;&gt;$M$1,对接源_02物料!$B1054=""),0,IF(OR(N(对接源_02物料!$B1054)&lt;$M$2,N(对接源_02物料!$B1054)&gt;$M$3),0,1))</f>
        <v>0</v>
      </c>
      <c r="N2254" s="3">
        <f>IF(OR($N$1="",对接源_02物料!$C1054="",对接源_02物料!$C1054&lt;&gt;$N$1,对接源_02物料!$B1054=""),0,IF(OR(N(对接源_02物料!$B1054)&lt;$N$2,N(对接源_02物料!$B1054)&gt;$N$3),0,1))</f>
        <v>0</v>
      </c>
      <c r="P2254" s="3">
        <f>IF(AND($K2254=1,AND(对接源_02物料!$X1054="公司筐",N(对接源_02物料!$T1054)&lt;&gt;0)),1,0)</f>
        <v>0</v>
      </c>
      <c r="Q2254" s="3">
        <f t="shared" si="607"/>
        <v>8</v>
      </c>
      <c r="R2254" s="3">
        <f>IF(AND($K2254=1,AND(对接源_02物料!$X1054="公司筐",N(对接源_02物料!$U1054)&lt;&gt;0)),1,0)</f>
        <v>0</v>
      </c>
      <c r="S2254" s="3">
        <f t="shared" si="608"/>
        <v>0</v>
      </c>
      <c r="T2254" s="3">
        <f>IF(AND($K2254=1,AND(对接源_02物料!$X1054="公司筐",N(对接源_02物料!$V1054)&lt;&gt;0)),1,0)</f>
        <v>0</v>
      </c>
      <c r="U2254" s="3">
        <f t="shared" si="609"/>
        <v>19</v>
      </c>
      <c r="V2254" s="3">
        <f>IF(AND($L2254=1,AND(对接源_02物料!$X1054="自备筐",N(对接源_02物料!$V1054)&lt;&gt;0)),1,0)</f>
        <v>0</v>
      </c>
      <c r="W2254" s="3">
        <f t="shared" si="610"/>
        <v>8</v>
      </c>
      <c r="X2254" s="3">
        <f>IF(AND($L2254=1,AND(对接源_02物料!$X1054="自备筐",N(对接源_02物料!$T1054)&lt;&gt;0)),1,0)</f>
        <v>0</v>
      </c>
      <c r="Y2254" s="3">
        <f t="shared" si="611"/>
        <v>0</v>
      </c>
      <c r="Z2254" s="3">
        <f>IF(AND($M2254=1,对接源_02物料!$D1054="原料入库"),1,0)</f>
        <v>0</v>
      </c>
      <c r="AA2254" s="3">
        <f t="shared" si="612"/>
        <v>24</v>
      </c>
      <c r="AB2254" s="3">
        <f>IF(AND($M2254=1,LEFT(对接源_02物料!$D1054,4)="原料出库"),1,0)</f>
        <v>0</v>
      </c>
      <c r="AC2254" s="3">
        <f t="shared" si="613"/>
        <v>0</v>
      </c>
      <c r="AD2254" s="3">
        <f>IF(AND($M2254=1,LEFT(对接源_02物料!$D1054,4)="成品出库"),1,0)</f>
        <v>0</v>
      </c>
      <c r="AE2254" s="3">
        <f t="shared" si="614"/>
        <v>0</v>
      </c>
      <c r="AF2254" s="3">
        <f>IF(AND($N2254=1,AND(LEFT(对接源_02物料!$D1054,4)="包装物料",N(对接源_02物料!$K1054)&lt;&gt;0)),1,0)</f>
        <v>0</v>
      </c>
      <c r="AG2254" s="3">
        <f t="shared" si="615"/>
        <v>5</v>
      </c>
      <c r="AH2254" s="3">
        <f>IF(AND($N2254=1,AND(对接源_02物料!$D1054="周转筐－销售出库",N(对接源_02物料!$K1054)&lt;&gt;0)),1,0)</f>
        <v>0</v>
      </c>
      <c r="AI2254" s="3">
        <f t="shared" si="616"/>
        <v>0</v>
      </c>
      <c r="AL2254" s="3">
        <v>0</v>
      </c>
      <c r="AM2254" s="3">
        <f t="shared" si="617"/>
        <v>1</v>
      </c>
      <c r="AN2254" s="3" t="str">
        <f t="shared" si="604"/>
        <v/>
      </c>
      <c r="AO2254" s="3">
        <v>0</v>
      </c>
      <c r="AP2254" s="3">
        <f t="shared" si="618"/>
        <v>8</v>
      </c>
      <c r="AR2254">
        <f t="shared" si="619"/>
        <v>0</v>
      </c>
      <c r="AS2254">
        <f t="shared" si="620"/>
        <v>5</v>
      </c>
    </row>
    <row r="2255" customHeight="1" spans="1:45">
      <c r="A2255" s="3" t="str">
        <f>IF(对接源_02物料!$C1055="","",对接源_02物料!$C1055)</f>
        <v/>
      </c>
      <c r="B2255" s="3">
        <f t="shared" si="605"/>
        <v>0</v>
      </c>
      <c r="C2255" s="3">
        <f t="shared" si="606"/>
        <v>21</v>
      </c>
      <c r="K2255" s="3">
        <f>IF(OR($K$1="",对接源_02物料!$C1055="",对接源_02物料!$C1055&lt;&gt;$K$1,对接源_02物料!$B1055=""),0,IF(OR(N(对接源_02物料!$B1055)&lt;$K$2,N(对接源_02物料!$B1055)&gt;$K$3),0,1))</f>
        <v>0</v>
      </c>
      <c r="L2255" s="3">
        <f>IF(OR($L$1="",对接源_02物料!$C1055="",对接源_02物料!$C1055&lt;&gt;$L$1,对接源_02物料!$B1055=""),0,IF(OR(N(对接源_02物料!$B1055)&lt;$L$2,N(对接源_02物料!$B1055)&gt;$L$3),0,1))</f>
        <v>0</v>
      </c>
      <c r="M2255" s="3">
        <f>IF(OR($M$1="",对接源_02物料!$C1055="",对接源_02物料!$C1055&lt;&gt;$M$1,对接源_02物料!$B1055=""),0,IF(OR(N(对接源_02物料!$B1055)&lt;$M$2,N(对接源_02物料!$B1055)&gt;$M$3),0,1))</f>
        <v>0</v>
      </c>
      <c r="N2255" s="3">
        <f>IF(OR($N$1="",对接源_02物料!$C1055="",对接源_02物料!$C1055&lt;&gt;$N$1,对接源_02物料!$B1055=""),0,IF(OR(N(对接源_02物料!$B1055)&lt;$N$2,N(对接源_02物料!$B1055)&gt;$N$3),0,1))</f>
        <v>0</v>
      </c>
      <c r="P2255" s="3">
        <f>IF(AND($K2255=1,AND(对接源_02物料!$X1055="公司筐",N(对接源_02物料!$T1055)&lt;&gt;0)),1,0)</f>
        <v>0</v>
      </c>
      <c r="Q2255" s="3">
        <f t="shared" si="607"/>
        <v>8</v>
      </c>
      <c r="R2255" s="3">
        <f>IF(AND($K2255=1,AND(对接源_02物料!$X1055="公司筐",N(对接源_02物料!$U1055)&lt;&gt;0)),1,0)</f>
        <v>0</v>
      </c>
      <c r="S2255" s="3">
        <f t="shared" si="608"/>
        <v>0</v>
      </c>
      <c r="T2255" s="3">
        <f>IF(AND($K2255=1,AND(对接源_02物料!$X1055="公司筐",N(对接源_02物料!$V1055)&lt;&gt;0)),1,0)</f>
        <v>0</v>
      </c>
      <c r="U2255" s="3">
        <f t="shared" si="609"/>
        <v>19</v>
      </c>
      <c r="V2255" s="3">
        <f>IF(AND($L2255=1,AND(对接源_02物料!$X1055="自备筐",N(对接源_02物料!$V1055)&lt;&gt;0)),1,0)</f>
        <v>0</v>
      </c>
      <c r="W2255" s="3">
        <f t="shared" si="610"/>
        <v>8</v>
      </c>
      <c r="X2255" s="3">
        <f>IF(AND($L2255=1,AND(对接源_02物料!$X1055="自备筐",N(对接源_02物料!$T1055)&lt;&gt;0)),1,0)</f>
        <v>0</v>
      </c>
      <c r="Y2255" s="3">
        <f t="shared" si="611"/>
        <v>0</v>
      </c>
      <c r="Z2255" s="3">
        <f>IF(AND($M2255=1,对接源_02物料!$D1055="原料入库"),1,0)</f>
        <v>0</v>
      </c>
      <c r="AA2255" s="3">
        <f t="shared" si="612"/>
        <v>24</v>
      </c>
      <c r="AB2255" s="3">
        <f>IF(AND($M2255=1,LEFT(对接源_02物料!$D1055,4)="原料出库"),1,0)</f>
        <v>0</v>
      </c>
      <c r="AC2255" s="3">
        <f t="shared" si="613"/>
        <v>0</v>
      </c>
      <c r="AD2255" s="3">
        <f>IF(AND($M2255=1,LEFT(对接源_02物料!$D1055,4)="成品出库"),1,0)</f>
        <v>0</v>
      </c>
      <c r="AE2255" s="3">
        <f t="shared" si="614"/>
        <v>0</v>
      </c>
      <c r="AF2255" s="3">
        <f>IF(AND($N2255=1,AND(LEFT(对接源_02物料!$D1055,4)="包装物料",N(对接源_02物料!$K1055)&lt;&gt;0)),1,0)</f>
        <v>0</v>
      </c>
      <c r="AG2255" s="3">
        <f t="shared" si="615"/>
        <v>5</v>
      </c>
      <c r="AH2255" s="3">
        <f>IF(AND($N2255=1,AND(对接源_02物料!$D1055="周转筐－销售出库",N(对接源_02物料!$K1055)&lt;&gt;0)),1,0)</f>
        <v>0</v>
      </c>
      <c r="AI2255" s="3">
        <f t="shared" si="616"/>
        <v>0</v>
      </c>
      <c r="AL2255" s="3">
        <v>0</v>
      </c>
      <c r="AM2255" s="3">
        <f t="shared" si="617"/>
        <v>1</v>
      </c>
      <c r="AN2255" s="3" t="str">
        <f t="shared" si="604"/>
        <v/>
      </c>
      <c r="AO2255" s="3">
        <v>0</v>
      </c>
      <c r="AP2255" s="3">
        <f t="shared" si="618"/>
        <v>8</v>
      </c>
      <c r="AR2255">
        <f t="shared" si="619"/>
        <v>0</v>
      </c>
      <c r="AS2255">
        <f t="shared" si="620"/>
        <v>5</v>
      </c>
    </row>
    <row r="2256" customHeight="1" spans="1:45">
      <c r="A2256" s="3" t="str">
        <f>IF(对接源_02物料!$C1056="","",对接源_02物料!$C1056)</f>
        <v/>
      </c>
      <c r="B2256" s="3">
        <f t="shared" si="605"/>
        <v>0</v>
      </c>
      <c r="C2256" s="3">
        <f t="shared" si="606"/>
        <v>21</v>
      </c>
      <c r="K2256" s="3">
        <f>IF(OR($K$1="",对接源_02物料!$C1056="",对接源_02物料!$C1056&lt;&gt;$K$1,对接源_02物料!$B1056=""),0,IF(OR(N(对接源_02物料!$B1056)&lt;$K$2,N(对接源_02物料!$B1056)&gt;$K$3),0,1))</f>
        <v>0</v>
      </c>
      <c r="L2256" s="3">
        <f>IF(OR($L$1="",对接源_02物料!$C1056="",对接源_02物料!$C1056&lt;&gt;$L$1,对接源_02物料!$B1056=""),0,IF(OR(N(对接源_02物料!$B1056)&lt;$L$2,N(对接源_02物料!$B1056)&gt;$L$3),0,1))</f>
        <v>0</v>
      </c>
      <c r="M2256" s="3">
        <f>IF(OR($M$1="",对接源_02物料!$C1056="",对接源_02物料!$C1056&lt;&gt;$M$1,对接源_02物料!$B1056=""),0,IF(OR(N(对接源_02物料!$B1056)&lt;$M$2,N(对接源_02物料!$B1056)&gt;$M$3),0,1))</f>
        <v>0</v>
      </c>
      <c r="N2256" s="3">
        <f>IF(OR($N$1="",对接源_02物料!$C1056="",对接源_02物料!$C1056&lt;&gt;$N$1,对接源_02物料!$B1056=""),0,IF(OR(N(对接源_02物料!$B1056)&lt;$N$2,N(对接源_02物料!$B1056)&gt;$N$3),0,1))</f>
        <v>0</v>
      </c>
      <c r="P2256" s="3">
        <f>IF(AND($K2256=1,AND(对接源_02物料!$X1056="公司筐",N(对接源_02物料!$T1056)&lt;&gt;0)),1,0)</f>
        <v>0</v>
      </c>
      <c r="Q2256" s="3">
        <f t="shared" si="607"/>
        <v>8</v>
      </c>
      <c r="R2256" s="3">
        <f>IF(AND($K2256=1,AND(对接源_02物料!$X1056="公司筐",N(对接源_02物料!$U1056)&lt;&gt;0)),1,0)</f>
        <v>0</v>
      </c>
      <c r="S2256" s="3">
        <f t="shared" si="608"/>
        <v>0</v>
      </c>
      <c r="T2256" s="3">
        <f>IF(AND($K2256=1,AND(对接源_02物料!$X1056="公司筐",N(对接源_02物料!$V1056)&lt;&gt;0)),1,0)</f>
        <v>0</v>
      </c>
      <c r="U2256" s="3">
        <f t="shared" si="609"/>
        <v>19</v>
      </c>
      <c r="V2256" s="3">
        <f>IF(AND($L2256=1,AND(对接源_02物料!$X1056="自备筐",N(对接源_02物料!$V1056)&lt;&gt;0)),1,0)</f>
        <v>0</v>
      </c>
      <c r="W2256" s="3">
        <f t="shared" si="610"/>
        <v>8</v>
      </c>
      <c r="X2256" s="3">
        <f>IF(AND($L2256=1,AND(对接源_02物料!$X1056="自备筐",N(对接源_02物料!$T1056)&lt;&gt;0)),1,0)</f>
        <v>0</v>
      </c>
      <c r="Y2256" s="3">
        <f t="shared" si="611"/>
        <v>0</v>
      </c>
      <c r="Z2256" s="3">
        <f>IF(AND($M2256=1,对接源_02物料!$D1056="原料入库"),1,0)</f>
        <v>0</v>
      </c>
      <c r="AA2256" s="3">
        <f t="shared" si="612"/>
        <v>24</v>
      </c>
      <c r="AB2256" s="3">
        <f>IF(AND($M2256=1,LEFT(对接源_02物料!$D1056,4)="原料出库"),1,0)</f>
        <v>0</v>
      </c>
      <c r="AC2256" s="3">
        <f t="shared" si="613"/>
        <v>0</v>
      </c>
      <c r="AD2256" s="3">
        <f>IF(AND($M2256=1,LEFT(对接源_02物料!$D1056,4)="成品出库"),1,0)</f>
        <v>0</v>
      </c>
      <c r="AE2256" s="3">
        <f t="shared" si="614"/>
        <v>0</v>
      </c>
      <c r="AF2256" s="3">
        <f>IF(AND($N2256=1,AND(LEFT(对接源_02物料!$D1056,4)="包装物料",N(对接源_02物料!$K1056)&lt;&gt;0)),1,0)</f>
        <v>0</v>
      </c>
      <c r="AG2256" s="3">
        <f t="shared" si="615"/>
        <v>5</v>
      </c>
      <c r="AH2256" s="3">
        <f>IF(AND($N2256=1,AND(对接源_02物料!$D1056="周转筐－销售出库",N(对接源_02物料!$K1056)&lt;&gt;0)),1,0)</f>
        <v>0</v>
      </c>
      <c r="AI2256" s="3">
        <f t="shared" si="616"/>
        <v>0</v>
      </c>
      <c r="AL2256" s="3">
        <v>0</v>
      </c>
      <c r="AM2256" s="3">
        <f t="shared" si="617"/>
        <v>1</v>
      </c>
      <c r="AN2256" s="3" t="str">
        <f t="shared" si="604"/>
        <v/>
      </c>
      <c r="AO2256" s="3">
        <v>0</v>
      </c>
      <c r="AP2256" s="3">
        <f t="shared" si="618"/>
        <v>8</v>
      </c>
      <c r="AR2256">
        <f t="shared" si="619"/>
        <v>0</v>
      </c>
      <c r="AS2256">
        <f t="shared" si="620"/>
        <v>5</v>
      </c>
    </row>
    <row r="2257" customHeight="1" spans="1:45">
      <c r="A2257" s="3" t="str">
        <f>IF(对接源_02物料!$C1057="","",对接源_02物料!$C1057)</f>
        <v/>
      </c>
      <c r="B2257" s="3">
        <f t="shared" si="605"/>
        <v>0</v>
      </c>
      <c r="C2257" s="3">
        <f t="shared" si="606"/>
        <v>21</v>
      </c>
      <c r="K2257" s="3">
        <f>IF(OR($K$1="",对接源_02物料!$C1057="",对接源_02物料!$C1057&lt;&gt;$K$1,对接源_02物料!$B1057=""),0,IF(OR(N(对接源_02物料!$B1057)&lt;$K$2,N(对接源_02物料!$B1057)&gt;$K$3),0,1))</f>
        <v>0</v>
      </c>
      <c r="L2257" s="3">
        <f>IF(OR($L$1="",对接源_02物料!$C1057="",对接源_02物料!$C1057&lt;&gt;$L$1,对接源_02物料!$B1057=""),0,IF(OR(N(对接源_02物料!$B1057)&lt;$L$2,N(对接源_02物料!$B1057)&gt;$L$3),0,1))</f>
        <v>0</v>
      </c>
      <c r="M2257" s="3">
        <f>IF(OR($M$1="",对接源_02物料!$C1057="",对接源_02物料!$C1057&lt;&gt;$M$1,对接源_02物料!$B1057=""),0,IF(OR(N(对接源_02物料!$B1057)&lt;$M$2,N(对接源_02物料!$B1057)&gt;$M$3),0,1))</f>
        <v>0</v>
      </c>
      <c r="N2257" s="3">
        <f>IF(OR($N$1="",对接源_02物料!$C1057="",对接源_02物料!$C1057&lt;&gt;$N$1,对接源_02物料!$B1057=""),0,IF(OR(N(对接源_02物料!$B1057)&lt;$N$2,N(对接源_02物料!$B1057)&gt;$N$3),0,1))</f>
        <v>0</v>
      </c>
      <c r="P2257" s="3">
        <f>IF(AND($K2257=1,AND(对接源_02物料!$X1057="公司筐",N(对接源_02物料!$T1057)&lt;&gt;0)),1,0)</f>
        <v>0</v>
      </c>
      <c r="Q2257" s="3">
        <f t="shared" si="607"/>
        <v>8</v>
      </c>
      <c r="R2257" s="3">
        <f>IF(AND($K2257=1,AND(对接源_02物料!$X1057="公司筐",N(对接源_02物料!$U1057)&lt;&gt;0)),1,0)</f>
        <v>0</v>
      </c>
      <c r="S2257" s="3">
        <f t="shared" si="608"/>
        <v>0</v>
      </c>
      <c r="T2257" s="3">
        <f>IF(AND($K2257=1,AND(对接源_02物料!$X1057="公司筐",N(对接源_02物料!$V1057)&lt;&gt;0)),1,0)</f>
        <v>0</v>
      </c>
      <c r="U2257" s="3">
        <f t="shared" si="609"/>
        <v>19</v>
      </c>
      <c r="V2257" s="3">
        <f>IF(AND($L2257=1,AND(对接源_02物料!$X1057="自备筐",N(对接源_02物料!$V1057)&lt;&gt;0)),1,0)</f>
        <v>0</v>
      </c>
      <c r="W2257" s="3">
        <f t="shared" si="610"/>
        <v>8</v>
      </c>
      <c r="X2257" s="3">
        <f>IF(AND($L2257=1,AND(对接源_02物料!$X1057="自备筐",N(对接源_02物料!$T1057)&lt;&gt;0)),1,0)</f>
        <v>0</v>
      </c>
      <c r="Y2257" s="3">
        <f t="shared" si="611"/>
        <v>0</v>
      </c>
      <c r="Z2257" s="3">
        <f>IF(AND($M2257=1,对接源_02物料!$D1057="原料入库"),1,0)</f>
        <v>0</v>
      </c>
      <c r="AA2257" s="3">
        <f t="shared" si="612"/>
        <v>24</v>
      </c>
      <c r="AB2257" s="3">
        <f>IF(AND($M2257=1,LEFT(对接源_02物料!$D1057,4)="原料出库"),1,0)</f>
        <v>0</v>
      </c>
      <c r="AC2257" s="3">
        <f t="shared" si="613"/>
        <v>0</v>
      </c>
      <c r="AD2257" s="3">
        <f>IF(AND($M2257=1,LEFT(对接源_02物料!$D1057,4)="成品出库"),1,0)</f>
        <v>0</v>
      </c>
      <c r="AE2257" s="3">
        <f t="shared" si="614"/>
        <v>0</v>
      </c>
      <c r="AF2257" s="3">
        <f>IF(AND($N2257=1,AND(LEFT(对接源_02物料!$D1057,4)="包装物料",N(对接源_02物料!$K1057)&lt;&gt;0)),1,0)</f>
        <v>0</v>
      </c>
      <c r="AG2257" s="3">
        <f t="shared" si="615"/>
        <v>5</v>
      </c>
      <c r="AH2257" s="3">
        <f>IF(AND($N2257=1,AND(对接源_02物料!$D1057="周转筐－销售出库",N(对接源_02物料!$K1057)&lt;&gt;0)),1,0)</f>
        <v>0</v>
      </c>
      <c r="AI2257" s="3">
        <f t="shared" si="616"/>
        <v>0</v>
      </c>
      <c r="AL2257" s="3">
        <v>0</v>
      </c>
      <c r="AM2257" s="3">
        <f t="shared" si="617"/>
        <v>1</v>
      </c>
      <c r="AN2257" s="3" t="str">
        <f t="shared" si="604"/>
        <v/>
      </c>
      <c r="AO2257" s="3">
        <v>0</v>
      </c>
      <c r="AP2257" s="3">
        <f t="shared" si="618"/>
        <v>8</v>
      </c>
      <c r="AR2257">
        <f t="shared" si="619"/>
        <v>0</v>
      </c>
      <c r="AS2257">
        <f t="shared" si="620"/>
        <v>5</v>
      </c>
    </row>
    <row r="2258" customHeight="1" spans="1:45">
      <c r="A2258" s="3" t="str">
        <f>IF(对接源_02物料!$C1058="","",对接源_02物料!$C1058)</f>
        <v/>
      </c>
      <c r="B2258" s="3">
        <f t="shared" si="605"/>
        <v>0</v>
      </c>
      <c r="C2258" s="3">
        <f t="shared" si="606"/>
        <v>21</v>
      </c>
      <c r="K2258" s="3">
        <f>IF(OR($K$1="",对接源_02物料!$C1058="",对接源_02物料!$C1058&lt;&gt;$K$1,对接源_02物料!$B1058=""),0,IF(OR(N(对接源_02物料!$B1058)&lt;$K$2,N(对接源_02物料!$B1058)&gt;$K$3),0,1))</f>
        <v>0</v>
      </c>
      <c r="L2258" s="3">
        <f>IF(OR($L$1="",对接源_02物料!$C1058="",对接源_02物料!$C1058&lt;&gt;$L$1,对接源_02物料!$B1058=""),0,IF(OR(N(对接源_02物料!$B1058)&lt;$L$2,N(对接源_02物料!$B1058)&gt;$L$3),0,1))</f>
        <v>0</v>
      </c>
      <c r="M2258" s="3">
        <f>IF(OR($M$1="",对接源_02物料!$C1058="",对接源_02物料!$C1058&lt;&gt;$M$1,对接源_02物料!$B1058=""),0,IF(OR(N(对接源_02物料!$B1058)&lt;$M$2,N(对接源_02物料!$B1058)&gt;$M$3),0,1))</f>
        <v>0</v>
      </c>
      <c r="N2258" s="3">
        <f>IF(OR($N$1="",对接源_02物料!$C1058="",对接源_02物料!$C1058&lt;&gt;$N$1,对接源_02物料!$B1058=""),0,IF(OR(N(对接源_02物料!$B1058)&lt;$N$2,N(对接源_02物料!$B1058)&gt;$N$3),0,1))</f>
        <v>0</v>
      </c>
      <c r="P2258" s="3">
        <f>IF(AND($K2258=1,AND(对接源_02物料!$X1058="公司筐",N(对接源_02物料!$T1058)&lt;&gt;0)),1,0)</f>
        <v>0</v>
      </c>
      <c r="Q2258" s="3">
        <f t="shared" si="607"/>
        <v>8</v>
      </c>
      <c r="R2258" s="3">
        <f>IF(AND($K2258=1,AND(对接源_02物料!$X1058="公司筐",N(对接源_02物料!$U1058)&lt;&gt;0)),1,0)</f>
        <v>0</v>
      </c>
      <c r="S2258" s="3">
        <f t="shared" si="608"/>
        <v>0</v>
      </c>
      <c r="T2258" s="3">
        <f>IF(AND($K2258=1,AND(对接源_02物料!$X1058="公司筐",N(对接源_02物料!$V1058)&lt;&gt;0)),1,0)</f>
        <v>0</v>
      </c>
      <c r="U2258" s="3">
        <f t="shared" si="609"/>
        <v>19</v>
      </c>
      <c r="V2258" s="3">
        <f>IF(AND($L2258=1,AND(对接源_02物料!$X1058="自备筐",N(对接源_02物料!$V1058)&lt;&gt;0)),1,0)</f>
        <v>0</v>
      </c>
      <c r="W2258" s="3">
        <f t="shared" si="610"/>
        <v>8</v>
      </c>
      <c r="X2258" s="3">
        <f>IF(AND($L2258=1,AND(对接源_02物料!$X1058="自备筐",N(对接源_02物料!$T1058)&lt;&gt;0)),1,0)</f>
        <v>0</v>
      </c>
      <c r="Y2258" s="3">
        <f t="shared" si="611"/>
        <v>0</v>
      </c>
      <c r="Z2258" s="3">
        <f>IF(AND($M2258=1,对接源_02物料!$D1058="原料入库"),1,0)</f>
        <v>0</v>
      </c>
      <c r="AA2258" s="3">
        <f t="shared" si="612"/>
        <v>24</v>
      </c>
      <c r="AB2258" s="3">
        <f>IF(AND($M2258=1,LEFT(对接源_02物料!$D1058,4)="原料出库"),1,0)</f>
        <v>0</v>
      </c>
      <c r="AC2258" s="3">
        <f t="shared" si="613"/>
        <v>0</v>
      </c>
      <c r="AD2258" s="3">
        <f>IF(AND($M2258=1,LEFT(对接源_02物料!$D1058,4)="成品出库"),1,0)</f>
        <v>0</v>
      </c>
      <c r="AE2258" s="3">
        <f t="shared" si="614"/>
        <v>0</v>
      </c>
      <c r="AF2258" s="3">
        <f>IF(AND($N2258=1,AND(LEFT(对接源_02物料!$D1058,4)="包装物料",N(对接源_02物料!$K1058)&lt;&gt;0)),1,0)</f>
        <v>0</v>
      </c>
      <c r="AG2258" s="3">
        <f t="shared" si="615"/>
        <v>5</v>
      </c>
      <c r="AH2258" s="3">
        <f>IF(AND($N2258=1,AND(对接源_02物料!$D1058="周转筐－销售出库",N(对接源_02物料!$K1058)&lt;&gt;0)),1,0)</f>
        <v>0</v>
      </c>
      <c r="AI2258" s="3">
        <f t="shared" si="616"/>
        <v>0</v>
      </c>
      <c r="AL2258" s="3">
        <v>0</v>
      </c>
      <c r="AM2258" s="3">
        <f t="shared" si="617"/>
        <v>1</v>
      </c>
      <c r="AN2258" s="3" t="str">
        <f t="shared" si="604"/>
        <v/>
      </c>
      <c r="AO2258" s="3">
        <v>0</v>
      </c>
      <c r="AP2258" s="3">
        <f t="shared" si="618"/>
        <v>8</v>
      </c>
      <c r="AR2258">
        <f t="shared" si="619"/>
        <v>0</v>
      </c>
      <c r="AS2258">
        <f t="shared" si="620"/>
        <v>5</v>
      </c>
    </row>
    <row r="2259" customHeight="1" spans="1:45">
      <c r="A2259" s="3" t="str">
        <f>IF(对接源_02物料!$C1059="","",对接源_02物料!$C1059)</f>
        <v/>
      </c>
      <c r="B2259" s="3">
        <f t="shared" si="605"/>
        <v>0</v>
      </c>
      <c r="C2259" s="3">
        <f t="shared" si="606"/>
        <v>21</v>
      </c>
      <c r="K2259" s="3">
        <f>IF(OR($K$1="",对接源_02物料!$C1059="",对接源_02物料!$C1059&lt;&gt;$K$1,对接源_02物料!$B1059=""),0,IF(OR(N(对接源_02物料!$B1059)&lt;$K$2,N(对接源_02物料!$B1059)&gt;$K$3),0,1))</f>
        <v>0</v>
      </c>
      <c r="L2259" s="3">
        <f>IF(OR($L$1="",对接源_02物料!$C1059="",对接源_02物料!$C1059&lt;&gt;$L$1,对接源_02物料!$B1059=""),0,IF(OR(N(对接源_02物料!$B1059)&lt;$L$2,N(对接源_02物料!$B1059)&gt;$L$3),0,1))</f>
        <v>0</v>
      </c>
      <c r="M2259" s="3">
        <f>IF(OR($M$1="",对接源_02物料!$C1059="",对接源_02物料!$C1059&lt;&gt;$M$1,对接源_02物料!$B1059=""),0,IF(OR(N(对接源_02物料!$B1059)&lt;$M$2,N(对接源_02物料!$B1059)&gt;$M$3),0,1))</f>
        <v>0</v>
      </c>
      <c r="N2259" s="3">
        <f>IF(OR($N$1="",对接源_02物料!$C1059="",对接源_02物料!$C1059&lt;&gt;$N$1,对接源_02物料!$B1059=""),0,IF(OR(N(对接源_02物料!$B1059)&lt;$N$2,N(对接源_02物料!$B1059)&gt;$N$3),0,1))</f>
        <v>0</v>
      </c>
      <c r="P2259" s="3">
        <f>IF(AND($K2259=1,AND(对接源_02物料!$X1059="公司筐",N(对接源_02物料!$T1059)&lt;&gt;0)),1,0)</f>
        <v>0</v>
      </c>
      <c r="Q2259" s="3">
        <f t="shared" si="607"/>
        <v>8</v>
      </c>
      <c r="R2259" s="3">
        <f>IF(AND($K2259=1,AND(对接源_02物料!$X1059="公司筐",N(对接源_02物料!$U1059)&lt;&gt;0)),1,0)</f>
        <v>0</v>
      </c>
      <c r="S2259" s="3">
        <f t="shared" si="608"/>
        <v>0</v>
      </c>
      <c r="T2259" s="3">
        <f>IF(AND($K2259=1,AND(对接源_02物料!$X1059="公司筐",N(对接源_02物料!$V1059)&lt;&gt;0)),1,0)</f>
        <v>0</v>
      </c>
      <c r="U2259" s="3">
        <f t="shared" si="609"/>
        <v>19</v>
      </c>
      <c r="V2259" s="3">
        <f>IF(AND($L2259=1,AND(对接源_02物料!$X1059="自备筐",N(对接源_02物料!$V1059)&lt;&gt;0)),1,0)</f>
        <v>0</v>
      </c>
      <c r="W2259" s="3">
        <f t="shared" si="610"/>
        <v>8</v>
      </c>
      <c r="X2259" s="3">
        <f>IF(AND($L2259=1,AND(对接源_02物料!$X1059="自备筐",N(对接源_02物料!$T1059)&lt;&gt;0)),1,0)</f>
        <v>0</v>
      </c>
      <c r="Y2259" s="3">
        <f t="shared" si="611"/>
        <v>0</v>
      </c>
      <c r="Z2259" s="3">
        <f>IF(AND($M2259=1,对接源_02物料!$D1059="原料入库"),1,0)</f>
        <v>0</v>
      </c>
      <c r="AA2259" s="3">
        <f t="shared" si="612"/>
        <v>24</v>
      </c>
      <c r="AB2259" s="3">
        <f>IF(AND($M2259=1,LEFT(对接源_02物料!$D1059,4)="原料出库"),1,0)</f>
        <v>0</v>
      </c>
      <c r="AC2259" s="3">
        <f t="shared" si="613"/>
        <v>0</v>
      </c>
      <c r="AD2259" s="3">
        <f>IF(AND($M2259=1,LEFT(对接源_02物料!$D1059,4)="成品出库"),1,0)</f>
        <v>0</v>
      </c>
      <c r="AE2259" s="3">
        <f t="shared" si="614"/>
        <v>0</v>
      </c>
      <c r="AF2259" s="3">
        <f>IF(AND($N2259=1,AND(LEFT(对接源_02物料!$D1059,4)="包装物料",N(对接源_02物料!$K1059)&lt;&gt;0)),1,0)</f>
        <v>0</v>
      </c>
      <c r="AG2259" s="3">
        <f t="shared" si="615"/>
        <v>5</v>
      </c>
      <c r="AH2259" s="3">
        <f>IF(AND($N2259=1,AND(对接源_02物料!$D1059="周转筐－销售出库",N(对接源_02物料!$K1059)&lt;&gt;0)),1,0)</f>
        <v>0</v>
      </c>
      <c r="AI2259" s="3">
        <f t="shared" si="616"/>
        <v>0</v>
      </c>
      <c r="AL2259" s="3">
        <v>0</v>
      </c>
      <c r="AM2259" s="3">
        <f t="shared" si="617"/>
        <v>1</v>
      </c>
      <c r="AN2259" s="3" t="str">
        <f t="shared" si="604"/>
        <v/>
      </c>
      <c r="AO2259" s="3">
        <v>0</v>
      </c>
      <c r="AP2259" s="3">
        <f t="shared" si="618"/>
        <v>8</v>
      </c>
      <c r="AR2259">
        <f t="shared" si="619"/>
        <v>0</v>
      </c>
      <c r="AS2259">
        <f t="shared" si="620"/>
        <v>5</v>
      </c>
    </row>
    <row r="2260" customHeight="1" spans="1:45">
      <c r="A2260" s="3" t="str">
        <f>IF(对接源_02物料!$C1060="","",对接源_02物料!$C1060)</f>
        <v/>
      </c>
      <c r="B2260" s="3">
        <f t="shared" si="605"/>
        <v>0</v>
      </c>
      <c r="C2260" s="3">
        <f t="shared" si="606"/>
        <v>21</v>
      </c>
      <c r="K2260" s="3">
        <f>IF(OR($K$1="",对接源_02物料!$C1060="",对接源_02物料!$C1060&lt;&gt;$K$1,对接源_02物料!$B1060=""),0,IF(OR(N(对接源_02物料!$B1060)&lt;$K$2,N(对接源_02物料!$B1060)&gt;$K$3),0,1))</f>
        <v>0</v>
      </c>
      <c r="L2260" s="3">
        <f>IF(OR($L$1="",对接源_02物料!$C1060="",对接源_02物料!$C1060&lt;&gt;$L$1,对接源_02物料!$B1060=""),0,IF(OR(N(对接源_02物料!$B1060)&lt;$L$2,N(对接源_02物料!$B1060)&gt;$L$3),0,1))</f>
        <v>0</v>
      </c>
      <c r="M2260" s="3">
        <f>IF(OR($M$1="",对接源_02物料!$C1060="",对接源_02物料!$C1060&lt;&gt;$M$1,对接源_02物料!$B1060=""),0,IF(OR(N(对接源_02物料!$B1060)&lt;$M$2,N(对接源_02物料!$B1060)&gt;$M$3),0,1))</f>
        <v>0</v>
      </c>
      <c r="N2260" s="3">
        <f>IF(OR($N$1="",对接源_02物料!$C1060="",对接源_02物料!$C1060&lt;&gt;$N$1,对接源_02物料!$B1060=""),0,IF(OR(N(对接源_02物料!$B1060)&lt;$N$2,N(对接源_02物料!$B1060)&gt;$N$3),0,1))</f>
        <v>0</v>
      </c>
      <c r="P2260" s="3">
        <f>IF(AND($K2260=1,AND(对接源_02物料!$X1060="公司筐",N(对接源_02物料!$T1060)&lt;&gt;0)),1,0)</f>
        <v>0</v>
      </c>
      <c r="Q2260" s="3">
        <f t="shared" si="607"/>
        <v>8</v>
      </c>
      <c r="R2260" s="3">
        <f>IF(AND($K2260=1,AND(对接源_02物料!$X1060="公司筐",N(对接源_02物料!$U1060)&lt;&gt;0)),1,0)</f>
        <v>0</v>
      </c>
      <c r="S2260" s="3">
        <f t="shared" si="608"/>
        <v>0</v>
      </c>
      <c r="T2260" s="3">
        <f>IF(AND($K2260=1,AND(对接源_02物料!$X1060="公司筐",N(对接源_02物料!$V1060)&lt;&gt;0)),1,0)</f>
        <v>0</v>
      </c>
      <c r="U2260" s="3">
        <f t="shared" si="609"/>
        <v>19</v>
      </c>
      <c r="V2260" s="3">
        <f>IF(AND($L2260=1,AND(对接源_02物料!$X1060="自备筐",N(对接源_02物料!$V1060)&lt;&gt;0)),1,0)</f>
        <v>0</v>
      </c>
      <c r="W2260" s="3">
        <f t="shared" si="610"/>
        <v>8</v>
      </c>
      <c r="X2260" s="3">
        <f>IF(AND($L2260=1,AND(对接源_02物料!$X1060="自备筐",N(对接源_02物料!$T1060)&lt;&gt;0)),1,0)</f>
        <v>0</v>
      </c>
      <c r="Y2260" s="3">
        <f t="shared" si="611"/>
        <v>0</v>
      </c>
      <c r="Z2260" s="3">
        <f>IF(AND($M2260=1,对接源_02物料!$D1060="原料入库"),1,0)</f>
        <v>0</v>
      </c>
      <c r="AA2260" s="3">
        <f t="shared" si="612"/>
        <v>24</v>
      </c>
      <c r="AB2260" s="3">
        <f>IF(AND($M2260=1,LEFT(对接源_02物料!$D1060,4)="原料出库"),1,0)</f>
        <v>0</v>
      </c>
      <c r="AC2260" s="3">
        <f t="shared" si="613"/>
        <v>0</v>
      </c>
      <c r="AD2260" s="3">
        <f>IF(AND($M2260=1,LEFT(对接源_02物料!$D1060,4)="成品出库"),1,0)</f>
        <v>0</v>
      </c>
      <c r="AE2260" s="3">
        <f t="shared" si="614"/>
        <v>0</v>
      </c>
      <c r="AF2260" s="3">
        <f>IF(AND($N2260=1,AND(LEFT(对接源_02物料!$D1060,4)="包装物料",N(对接源_02物料!$K1060)&lt;&gt;0)),1,0)</f>
        <v>0</v>
      </c>
      <c r="AG2260" s="3">
        <f t="shared" si="615"/>
        <v>5</v>
      </c>
      <c r="AH2260" s="3">
        <f>IF(AND($N2260=1,AND(对接源_02物料!$D1060="周转筐－销售出库",N(对接源_02物料!$K1060)&lt;&gt;0)),1,0)</f>
        <v>0</v>
      </c>
      <c r="AI2260" s="3">
        <f t="shared" si="616"/>
        <v>0</v>
      </c>
      <c r="AL2260" s="3">
        <v>0</v>
      </c>
      <c r="AM2260" s="3">
        <f t="shared" si="617"/>
        <v>1</v>
      </c>
      <c r="AN2260" s="3" t="str">
        <f t="shared" si="604"/>
        <v/>
      </c>
      <c r="AO2260" s="3">
        <v>0</v>
      </c>
      <c r="AP2260" s="3">
        <f t="shared" si="618"/>
        <v>8</v>
      </c>
      <c r="AR2260">
        <f t="shared" si="619"/>
        <v>0</v>
      </c>
      <c r="AS2260">
        <f t="shared" si="620"/>
        <v>5</v>
      </c>
    </row>
    <row r="2261" customHeight="1" spans="1:45">
      <c r="A2261" s="3" t="str">
        <f>IF(对接源_02物料!$C1061="","",对接源_02物料!$C1061)</f>
        <v/>
      </c>
      <c r="B2261" s="3">
        <f t="shared" si="605"/>
        <v>0</v>
      </c>
      <c r="C2261" s="3">
        <f t="shared" si="606"/>
        <v>21</v>
      </c>
      <c r="K2261" s="3">
        <f>IF(OR($K$1="",对接源_02物料!$C1061="",对接源_02物料!$C1061&lt;&gt;$K$1,对接源_02物料!$B1061=""),0,IF(OR(N(对接源_02物料!$B1061)&lt;$K$2,N(对接源_02物料!$B1061)&gt;$K$3),0,1))</f>
        <v>0</v>
      </c>
      <c r="L2261" s="3">
        <f>IF(OR($L$1="",对接源_02物料!$C1061="",对接源_02物料!$C1061&lt;&gt;$L$1,对接源_02物料!$B1061=""),0,IF(OR(N(对接源_02物料!$B1061)&lt;$L$2,N(对接源_02物料!$B1061)&gt;$L$3),0,1))</f>
        <v>0</v>
      </c>
      <c r="M2261" s="3">
        <f>IF(OR($M$1="",对接源_02物料!$C1061="",对接源_02物料!$C1061&lt;&gt;$M$1,对接源_02物料!$B1061=""),0,IF(OR(N(对接源_02物料!$B1061)&lt;$M$2,N(对接源_02物料!$B1061)&gt;$M$3),0,1))</f>
        <v>0</v>
      </c>
      <c r="N2261" s="3">
        <f>IF(OR($N$1="",对接源_02物料!$C1061="",对接源_02物料!$C1061&lt;&gt;$N$1,对接源_02物料!$B1061=""),0,IF(OR(N(对接源_02物料!$B1061)&lt;$N$2,N(对接源_02物料!$B1061)&gt;$N$3),0,1))</f>
        <v>0</v>
      </c>
      <c r="P2261" s="3">
        <f>IF(AND($K2261=1,AND(对接源_02物料!$X1061="公司筐",N(对接源_02物料!$T1061)&lt;&gt;0)),1,0)</f>
        <v>0</v>
      </c>
      <c r="Q2261" s="3">
        <f t="shared" si="607"/>
        <v>8</v>
      </c>
      <c r="R2261" s="3">
        <f>IF(AND($K2261=1,AND(对接源_02物料!$X1061="公司筐",N(对接源_02物料!$U1061)&lt;&gt;0)),1,0)</f>
        <v>0</v>
      </c>
      <c r="S2261" s="3">
        <f t="shared" si="608"/>
        <v>0</v>
      </c>
      <c r="T2261" s="3">
        <f>IF(AND($K2261=1,AND(对接源_02物料!$X1061="公司筐",N(对接源_02物料!$V1061)&lt;&gt;0)),1,0)</f>
        <v>0</v>
      </c>
      <c r="U2261" s="3">
        <f t="shared" si="609"/>
        <v>19</v>
      </c>
      <c r="V2261" s="3">
        <f>IF(AND($L2261=1,AND(对接源_02物料!$X1061="自备筐",N(对接源_02物料!$V1061)&lt;&gt;0)),1,0)</f>
        <v>0</v>
      </c>
      <c r="W2261" s="3">
        <f t="shared" si="610"/>
        <v>8</v>
      </c>
      <c r="X2261" s="3">
        <f>IF(AND($L2261=1,AND(对接源_02物料!$X1061="自备筐",N(对接源_02物料!$T1061)&lt;&gt;0)),1,0)</f>
        <v>0</v>
      </c>
      <c r="Y2261" s="3">
        <f t="shared" si="611"/>
        <v>0</v>
      </c>
      <c r="Z2261" s="3">
        <f>IF(AND($M2261=1,对接源_02物料!$D1061="原料入库"),1,0)</f>
        <v>0</v>
      </c>
      <c r="AA2261" s="3">
        <f t="shared" si="612"/>
        <v>24</v>
      </c>
      <c r="AB2261" s="3">
        <f>IF(AND($M2261=1,LEFT(对接源_02物料!$D1061,4)="原料出库"),1,0)</f>
        <v>0</v>
      </c>
      <c r="AC2261" s="3">
        <f t="shared" si="613"/>
        <v>0</v>
      </c>
      <c r="AD2261" s="3">
        <f>IF(AND($M2261=1,LEFT(对接源_02物料!$D1061,4)="成品出库"),1,0)</f>
        <v>0</v>
      </c>
      <c r="AE2261" s="3">
        <f t="shared" si="614"/>
        <v>0</v>
      </c>
      <c r="AF2261" s="3">
        <f>IF(AND($N2261=1,AND(LEFT(对接源_02物料!$D1061,4)="包装物料",N(对接源_02物料!$K1061)&lt;&gt;0)),1,0)</f>
        <v>0</v>
      </c>
      <c r="AG2261" s="3">
        <f t="shared" si="615"/>
        <v>5</v>
      </c>
      <c r="AH2261" s="3">
        <f>IF(AND($N2261=1,AND(对接源_02物料!$D1061="周转筐－销售出库",N(对接源_02物料!$K1061)&lt;&gt;0)),1,0)</f>
        <v>0</v>
      </c>
      <c r="AI2261" s="3">
        <f t="shared" si="616"/>
        <v>0</v>
      </c>
      <c r="AL2261" s="3">
        <v>0</v>
      </c>
      <c r="AM2261" s="3">
        <f t="shared" si="617"/>
        <v>1</v>
      </c>
      <c r="AN2261" s="3" t="str">
        <f t="shared" si="604"/>
        <v/>
      </c>
      <c r="AO2261" s="3">
        <v>0</v>
      </c>
      <c r="AP2261" s="3">
        <f t="shared" si="618"/>
        <v>8</v>
      </c>
      <c r="AR2261">
        <f t="shared" si="619"/>
        <v>0</v>
      </c>
      <c r="AS2261">
        <f t="shared" si="620"/>
        <v>5</v>
      </c>
    </row>
    <row r="2262" customHeight="1" spans="1:45">
      <c r="A2262" s="3" t="str">
        <f>IF(对接源_02物料!$C1062="","",对接源_02物料!$C1062)</f>
        <v/>
      </c>
      <c r="B2262" s="3">
        <f t="shared" si="605"/>
        <v>0</v>
      </c>
      <c r="C2262" s="3">
        <f t="shared" si="606"/>
        <v>21</v>
      </c>
      <c r="K2262" s="3">
        <f>IF(OR($K$1="",对接源_02物料!$C1062="",对接源_02物料!$C1062&lt;&gt;$K$1,对接源_02物料!$B1062=""),0,IF(OR(N(对接源_02物料!$B1062)&lt;$K$2,N(对接源_02物料!$B1062)&gt;$K$3),0,1))</f>
        <v>0</v>
      </c>
      <c r="L2262" s="3">
        <f>IF(OR($L$1="",对接源_02物料!$C1062="",对接源_02物料!$C1062&lt;&gt;$L$1,对接源_02物料!$B1062=""),0,IF(OR(N(对接源_02物料!$B1062)&lt;$L$2,N(对接源_02物料!$B1062)&gt;$L$3),0,1))</f>
        <v>0</v>
      </c>
      <c r="M2262" s="3">
        <f>IF(OR($M$1="",对接源_02物料!$C1062="",对接源_02物料!$C1062&lt;&gt;$M$1,对接源_02物料!$B1062=""),0,IF(OR(N(对接源_02物料!$B1062)&lt;$M$2,N(对接源_02物料!$B1062)&gt;$M$3),0,1))</f>
        <v>0</v>
      </c>
      <c r="N2262" s="3">
        <f>IF(OR($N$1="",对接源_02物料!$C1062="",对接源_02物料!$C1062&lt;&gt;$N$1,对接源_02物料!$B1062=""),0,IF(OR(N(对接源_02物料!$B1062)&lt;$N$2,N(对接源_02物料!$B1062)&gt;$N$3),0,1))</f>
        <v>0</v>
      </c>
      <c r="P2262" s="3">
        <f>IF(AND($K2262=1,AND(对接源_02物料!$X1062="公司筐",N(对接源_02物料!$T1062)&lt;&gt;0)),1,0)</f>
        <v>0</v>
      </c>
      <c r="Q2262" s="3">
        <f t="shared" si="607"/>
        <v>8</v>
      </c>
      <c r="R2262" s="3">
        <f>IF(AND($K2262=1,AND(对接源_02物料!$X1062="公司筐",N(对接源_02物料!$U1062)&lt;&gt;0)),1,0)</f>
        <v>0</v>
      </c>
      <c r="S2262" s="3">
        <f t="shared" si="608"/>
        <v>0</v>
      </c>
      <c r="T2262" s="3">
        <f>IF(AND($K2262=1,AND(对接源_02物料!$X1062="公司筐",N(对接源_02物料!$V1062)&lt;&gt;0)),1,0)</f>
        <v>0</v>
      </c>
      <c r="U2262" s="3">
        <f t="shared" si="609"/>
        <v>19</v>
      </c>
      <c r="V2262" s="3">
        <f>IF(AND($L2262=1,AND(对接源_02物料!$X1062="自备筐",N(对接源_02物料!$V1062)&lt;&gt;0)),1,0)</f>
        <v>0</v>
      </c>
      <c r="W2262" s="3">
        <f t="shared" si="610"/>
        <v>8</v>
      </c>
      <c r="X2262" s="3">
        <f>IF(AND($L2262=1,AND(对接源_02物料!$X1062="自备筐",N(对接源_02物料!$T1062)&lt;&gt;0)),1,0)</f>
        <v>0</v>
      </c>
      <c r="Y2262" s="3">
        <f t="shared" si="611"/>
        <v>0</v>
      </c>
      <c r="Z2262" s="3">
        <f>IF(AND($M2262=1,对接源_02物料!$D1062="原料入库"),1,0)</f>
        <v>0</v>
      </c>
      <c r="AA2262" s="3">
        <f t="shared" si="612"/>
        <v>24</v>
      </c>
      <c r="AB2262" s="3">
        <f>IF(AND($M2262=1,LEFT(对接源_02物料!$D1062,4)="原料出库"),1,0)</f>
        <v>0</v>
      </c>
      <c r="AC2262" s="3">
        <f t="shared" si="613"/>
        <v>0</v>
      </c>
      <c r="AD2262" s="3">
        <f>IF(AND($M2262=1,LEFT(对接源_02物料!$D1062,4)="成品出库"),1,0)</f>
        <v>0</v>
      </c>
      <c r="AE2262" s="3">
        <f t="shared" si="614"/>
        <v>0</v>
      </c>
      <c r="AF2262" s="3">
        <f>IF(AND($N2262=1,AND(LEFT(对接源_02物料!$D1062,4)="包装物料",N(对接源_02物料!$K1062)&lt;&gt;0)),1,0)</f>
        <v>0</v>
      </c>
      <c r="AG2262" s="3">
        <f t="shared" si="615"/>
        <v>5</v>
      </c>
      <c r="AH2262" s="3">
        <f>IF(AND($N2262=1,AND(对接源_02物料!$D1062="周转筐－销售出库",N(对接源_02物料!$K1062)&lt;&gt;0)),1,0)</f>
        <v>0</v>
      </c>
      <c r="AI2262" s="3">
        <f t="shared" si="616"/>
        <v>0</v>
      </c>
      <c r="AL2262" s="3">
        <v>0</v>
      </c>
      <c r="AM2262" s="3">
        <f t="shared" si="617"/>
        <v>1</v>
      </c>
      <c r="AN2262" s="3" t="str">
        <f t="shared" si="604"/>
        <v/>
      </c>
      <c r="AO2262" s="3">
        <v>0</v>
      </c>
      <c r="AP2262" s="3">
        <f t="shared" si="618"/>
        <v>8</v>
      </c>
      <c r="AR2262">
        <f t="shared" si="619"/>
        <v>0</v>
      </c>
      <c r="AS2262">
        <f t="shared" si="620"/>
        <v>5</v>
      </c>
    </row>
    <row r="2263" customHeight="1" spans="1:45">
      <c r="A2263" s="3" t="str">
        <f>IF(对接源_02物料!$C1063="","",对接源_02物料!$C1063)</f>
        <v/>
      </c>
      <c r="B2263" s="3">
        <f t="shared" si="605"/>
        <v>0</v>
      </c>
      <c r="C2263" s="3">
        <f t="shared" si="606"/>
        <v>21</v>
      </c>
      <c r="K2263" s="3">
        <f>IF(OR($K$1="",对接源_02物料!$C1063="",对接源_02物料!$C1063&lt;&gt;$K$1,对接源_02物料!$B1063=""),0,IF(OR(N(对接源_02物料!$B1063)&lt;$K$2,N(对接源_02物料!$B1063)&gt;$K$3),0,1))</f>
        <v>0</v>
      </c>
      <c r="L2263" s="3">
        <f>IF(OR($L$1="",对接源_02物料!$C1063="",对接源_02物料!$C1063&lt;&gt;$L$1,对接源_02物料!$B1063=""),0,IF(OR(N(对接源_02物料!$B1063)&lt;$L$2,N(对接源_02物料!$B1063)&gt;$L$3),0,1))</f>
        <v>0</v>
      </c>
      <c r="M2263" s="3">
        <f>IF(OR($M$1="",对接源_02物料!$C1063="",对接源_02物料!$C1063&lt;&gt;$M$1,对接源_02物料!$B1063=""),0,IF(OR(N(对接源_02物料!$B1063)&lt;$M$2,N(对接源_02物料!$B1063)&gt;$M$3),0,1))</f>
        <v>0</v>
      </c>
      <c r="N2263" s="3">
        <f>IF(OR($N$1="",对接源_02物料!$C1063="",对接源_02物料!$C1063&lt;&gt;$N$1,对接源_02物料!$B1063=""),0,IF(OR(N(对接源_02物料!$B1063)&lt;$N$2,N(对接源_02物料!$B1063)&gt;$N$3),0,1))</f>
        <v>0</v>
      </c>
      <c r="P2263" s="3">
        <f>IF(AND($K2263=1,AND(对接源_02物料!$X1063="公司筐",N(对接源_02物料!$T1063)&lt;&gt;0)),1,0)</f>
        <v>0</v>
      </c>
      <c r="Q2263" s="3">
        <f t="shared" si="607"/>
        <v>8</v>
      </c>
      <c r="R2263" s="3">
        <f>IF(AND($K2263=1,AND(对接源_02物料!$X1063="公司筐",N(对接源_02物料!$U1063)&lt;&gt;0)),1,0)</f>
        <v>0</v>
      </c>
      <c r="S2263" s="3">
        <f t="shared" si="608"/>
        <v>0</v>
      </c>
      <c r="T2263" s="3">
        <f>IF(AND($K2263=1,AND(对接源_02物料!$X1063="公司筐",N(对接源_02物料!$V1063)&lt;&gt;0)),1,0)</f>
        <v>0</v>
      </c>
      <c r="U2263" s="3">
        <f t="shared" si="609"/>
        <v>19</v>
      </c>
      <c r="V2263" s="3">
        <f>IF(AND($L2263=1,AND(对接源_02物料!$X1063="自备筐",N(对接源_02物料!$V1063)&lt;&gt;0)),1,0)</f>
        <v>0</v>
      </c>
      <c r="W2263" s="3">
        <f t="shared" si="610"/>
        <v>8</v>
      </c>
      <c r="X2263" s="3">
        <f>IF(AND($L2263=1,AND(对接源_02物料!$X1063="自备筐",N(对接源_02物料!$T1063)&lt;&gt;0)),1,0)</f>
        <v>0</v>
      </c>
      <c r="Y2263" s="3">
        <f t="shared" si="611"/>
        <v>0</v>
      </c>
      <c r="Z2263" s="3">
        <f>IF(AND($M2263=1,对接源_02物料!$D1063="原料入库"),1,0)</f>
        <v>0</v>
      </c>
      <c r="AA2263" s="3">
        <f t="shared" si="612"/>
        <v>24</v>
      </c>
      <c r="AB2263" s="3">
        <f>IF(AND($M2263=1,LEFT(对接源_02物料!$D1063,4)="原料出库"),1,0)</f>
        <v>0</v>
      </c>
      <c r="AC2263" s="3">
        <f t="shared" si="613"/>
        <v>0</v>
      </c>
      <c r="AD2263" s="3">
        <f>IF(AND($M2263=1,LEFT(对接源_02物料!$D1063,4)="成品出库"),1,0)</f>
        <v>0</v>
      </c>
      <c r="AE2263" s="3">
        <f t="shared" si="614"/>
        <v>0</v>
      </c>
      <c r="AF2263" s="3">
        <f>IF(AND($N2263=1,AND(LEFT(对接源_02物料!$D1063,4)="包装物料",N(对接源_02物料!$K1063)&lt;&gt;0)),1,0)</f>
        <v>0</v>
      </c>
      <c r="AG2263" s="3">
        <f t="shared" si="615"/>
        <v>5</v>
      </c>
      <c r="AH2263" s="3">
        <f>IF(AND($N2263=1,AND(对接源_02物料!$D1063="周转筐－销售出库",N(对接源_02物料!$K1063)&lt;&gt;0)),1,0)</f>
        <v>0</v>
      </c>
      <c r="AI2263" s="3">
        <f t="shared" si="616"/>
        <v>0</v>
      </c>
      <c r="AL2263" s="3">
        <v>0</v>
      </c>
      <c r="AM2263" s="3">
        <f t="shared" si="617"/>
        <v>1</v>
      </c>
      <c r="AN2263" s="3" t="str">
        <f t="shared" si="604"/>
        <v/>
      </c>
      <c r="AO2263" s="3">
        <v>0</v>
      </c>
      <c r="AP2263" s="3">
        <f t="shared" si="618"/>
        <v>8</v>
      </c>
      <c r="AR2263">
        <f t="shared" si="619"/>
        <v>0</v>
      </c>
      <c r="AS2263">
        <f t="shared" si="620"/>
        <v>5</v>
      </c>
    </row>
    <row r="2264" customHeight="1" spans="1:45">
      <c r="A2264" s="3" t="str">
        <f>IF(对接源_02物料!$C1064="","",对接源_02物料!$C1064)</f>
        <v/>
      </c>
      <c r="B2264" s="3">
        <f t="shared" si="605"/>
        <v>0</v>
      </c>
      <c r="C2264" s="3">
        <f t="shared" si="606"/>
        <v>21</v>
      </c>
      <c r="K2264" s="3">
        <f>IF(OR($K$1="",对接源_02物料!$C1064="",对接源_02物料!$C1064&lt;&gt;$K$1,对接源_02物料!$B1064=""),0,IF(OR(N(对接源_02物料!$B1064)&lt;$K$2,N(对接源_02物料!$B1064)&gt;$K$3),0,1))</f>
        <v>0</v>
      </c>
      <c r="L2264" s="3">
        <f>IF(OR($L$1="",对接源_02物料!$C1064="",对接源_02物料!$C1064&lt;&gt;$L$1,对接源_02物料!$B1064=""),0,IF(OR(N(对接源_02物料!$B1064)&lt;$L$2,N(对接源_02物料!$B1064)&gt;$L$3),0,1))</f>
        <v>0</v>
      </c>
      <c r="M2264" s="3">
        <f>IF(OR($M$1="",对接源_02物料!$C1064="",对接源_02物料!$C1064&lt;&gt;$M$1,对接源_02物料!$B1064=""),0,IF(OR(N(对接源_02物料!$B1064)&lt;$M$2,N(对接源_02物料!$B1064)&gt;$M$3),0,1))</f>
        <v>0</v>
      </c>
      <c r="N2264" s="3">
        <f>IF(OR($N$1="",对接源_02物料!$C1064="",对接源_02物料!$C1064&lt;&gt;$N$1,对接源_02物料!$B1064=""),0,IF(OR(N(对接源_02物料!$B1064)&lt;$N$2,N(对接源_02物料!$B1064)&gt;$N$3),0,1))</f>
        <v>0</v>
      </c>
      <c r="P2264" s="3">
        <f>IF(AND($K2264=1,AND(对接源_02物料!$X1064="公司筐",N(对接源_02物料!$T1064)&lt;&gt;0)),1,0)</f>
        <v>0</v>
      </c>
      <c r="Q2264" s="3">
        <f t="shared" si="607"/>
        <v>8</v>
      </c>
      <c r="R2264" s="3">
        <f>IF(AND($K2264=1,AND(对接源_02物料!$X1064="公司筐",N(对接源_02物料!$U1064)&lt;&gt;0)),1,0)</f>
        <v>0</v>
      </c>
      <c r="S2264" s="3">
        <f t="shared" si="608"/>
        <v>0</v>
      </c>
      <c r="T2264" s="3">
        <f>IF(AND($K2264=1,AND(对接源_02物料!$X1064="公司筐",N(对接源_02物料!$V1064)&lt;&gt;0)),1,0)</f>
        <v>0</v>
      </c>
      <c r="U2264" s="3">
        <f t="shared" si="609"/>
        <v>19</v>
      </c>
      <c r="V2264" s="3">
        <f>IF(AND($L2264=1,AND(对接源_02物料!$X1064="自备筐",N(对接源_02物料!$V1064)&lt;&gt;0)),1,0)</f>
        <v>0</v>
      </c>
      <c r="W2264" s="3">
        <f t="shared" si="610"/>
        <v>8</v>
      </c>
      <c r="X2264" s="3">
        <f>IF(AND($L2264=1,AND(对接源_02物料!$X1064="自备筐",N(对接源_02物料!$T1064)&lt;&gt;0)),1,0)</f>
        <v>0</v>
      </c>
      <c r="Y2264" s="3">
        <f t="shared" si="611"/>
        <v>0</v>
      </c>
      <c r="Z2264" s="3">
        <f>IF(AND($M2264=1,对接源_02物料!$D1064="原料入库"),1,0)</f>
        <v>0</v>
      </c>
      <c r="AA2264" s="3">
        <f t="shared" si="612"/>
        <v>24</v>
      </c>
      <c r="AB2264" s="3">
        <f>IF(AND($M2264=1,LEFT(对接源_02物料!$D1064,4)="原料出库"),1,0)</f>
        <v>0</v>
      </c>
      <c r="AC2264" s="3">
        <f t="shared" si="613"/>
        <v>0</v>
      </c>
      <c r="AD2264" s="3">
        <f>IF(AND($M2264=1,LEFT(对接源_02物料!$D1064,4)="成品出库"),1,0)</f>
        <v>0</v>
      </c>
      <c r="AE2264" s="3">
        <f t="shared" si="614"/>
        <v>0</v>
      </c>
      <c r="AF2264" s="3">
        <f>IF(AND($N2264=1,AND(LEFT(对接源_02物料!$D1064,4)="包装物料",N(对接源_02物料!$K1064)&lt;&gt;0)),1,0)</f>
        <v>0</v>
      </c>
      <c r="AG2264" s="3">
        <f t="shared" si="615"/>
        <v>5</v>
      </c>
      <c r="AH2264" s="3">
        <f>IF(AND($N2264=1,AND(对接源_02物料!$D1064="周转筐－销售出库",N(对接源_02物料!$K1064)&lt;&gt;0)),1,0)</f>
        <v>0</v>
      </c>
      <c r="AI2264" s="3">
        <f t="shared" si="616"/>
        <v>0</v>
      </c>
      <c r="AL2264" s="3">
        <v>0</v>
      </c>
      <c r="AM2264" s="3">
        <f t="shared" si="617"/>
        <v>1</v>
      </c>
      <c r="AN2264" s="3" t="str">
        <f t="shared" si="604"/>
        <v/>
      </c>
      <c r="AO2264" s="3">
        <v>0</v>
      </c>
      <c r="AP2264" s="3">
        <f t="shared" si="618"/>
        <v>8</v>
      </c>
      <c r="AR2264">
        <f t="shared" si="619"/>
        <v>0</v>
      </c>
      <c r="AS2264">
        <f t="shared" si="620"/>
        <v>5</v>
      </c>
    </row>
    <row r="2265" customHeight="1" spans="1:45">
      <c r="A2265" s="3" t="str">
        <f>IF(对接源_02物料!$C1065="","",对接源_02物料!$C1065)</f>
        <v/>
      </c>
      <c r="B2265" s="3">
        <f t="shared" si="605"/>
        <v>0</v>
      </c>
      <c r="C2265" s="3">
        <f t="shared" si="606"/>
        <v>21</v>
      </c>
      <c r="K2265" s="3">
        <f>IF(OR($K$1="",对接源_02物料!$C1065="",对接源_02物料!$C1065&lt;&gt;$K$1,对接源_02物料!$B1065=""),0,IF(OR(N(对接源_02物料!$B1065)&lt;$K$2,N(对接源_02物料!$B1065)&gt;$K$3),0,1))</f>
        <v>0</v>
      </c>
      <c r="L2265" s="3">
        <f>IF(OR($L$1="",对接源_02物料!$C1065="",对接源_02物料!$C1065&lt;&gt;$L$1,对接源_02物料!$B1065=""),0,IF(OR(N(对接源_02物料!$B1065)&lt;$L$2,N(对接源_02物料!$B1065)&gt;$L$3),0,1))</f>
        <v>0</v>
      </c>
      <c r="M2265" s="3">
        <f>IF(OR($M$1="",对接源_02物料!$C1065="",对接源_02物料!$C1065&lt;&gt;$M$1,对接源_02物料!$B1065=""),0,IF(OR(N(对接源_02物料!$B1065)&lt;$M$2,N(对接源_02物料!$B1065)&gt;$M$3),0,1))</f>
        <v>0</v>
      </c>
      <c r="N2265" s="3">
        <f>IF(OR($N$1="",对接源_02物料!$C1065="",对接源_02物料!$C1065&lt;&gt;$N$1,对接源_02物料!$B1065=""),0,IF(OR(N(对接源_02物料!$B1065)&lt;$N$2,N(对接源_02物料!$B1065)&gt;$N$3),0,1))</f>
        <v>0</v>
      </c>
      <c r="P2265" s="3">
        <f>IF(AND($K2265=1,AND(对接源_02物料!$X1065="公司筐",N(对接源_02物料!$T1065)&lt;&gt;0)),1,0)</f>
        <v>0</v>
      </c>
      <c r="Q2265" s="3">
        <f t="shared" si="607"/>
        <v>8</v>
      </c>
      <c r="R2265" s="3">
        <f>IF(AND($K2265=1,AND(对接源_02物料!$X1065="公司筐",N(对接源_02物料!$U1065)&lt;&gt;0)),1,0)</f>
        <v>0</v>
      </c>
      <c r="S2265" s="3">
        <f t="shared" si="608"/>
        <v>0</v>
      </c>
      <c r="T2265" s="3">
        <f>IF(AND($K2265=1,AND(对接源_02物料!$X1065="公司筐",N(对接源_02物料!$V1065)&lt;&gt;0)),1,0)</f>
        <v>0</v>
      </c>
      <c r="U2265" s="3">
        <f t="shared" si="609"/>
        <v>19</v>
      </c>
      <c r="V2265" s="3">
        <f>IF(AND($L2265=1,AND(对接源_02物料!$X1065="自备筐",N(对接源_02物料!$V1065)&lt;&gt;0)),1,0)</f>
        <v>0</v>
      </c>
      <c r="W2265" s="3">
        <f t="shared" si="610"/>
        <v>8</v>
      </c>
      <c r="X2265" s="3">
        <f>IF(AND($L2265=1,AND(对接源_02物料!$X1065="自备筐",N(对接源_02物料!$T1065)&lt;&gt;0)),1,0)</f>
        <v>0</v>
      </c>
      <c r="Y2265" s="3">
        <f t="shared" si="611"/>
        <v>0</v>
      </c>
      <c r="Z2265" s="3">
        <f>IF(AND($M2265=1,对接源_02物料!$D1065="原料入库"),1,0)</f>
        <v>0</v>
      </c>
      <c r="AA2265" s="3">
        <f t="shared" si="612"/>
        <v>24</v>
      </c>
      <c r="AB2265" s="3">
        <f>IF(AND($M2265=1,LEFT(对接源_02物料!$D1065,4)="原料出库"),1,0)</f>
        <v>0</v>
      </c>
      <c r="AC2265" s="3">
        <f t="shared" si="613"/>
        <v>0</v>
      </c>
      <c r="AD2265" s="3">
        <f>IF(AND($M2265=1,LEFT(对接源_02物料!$D1065,4)="成品出库"),1,0)</f>
        <v>0</v>
      </c>
      <c r="AE2265" s="3">
        <f t="shared" si="614"/>
        <v>0</v>
      </c>
      <c r="AF2265" s="3">
        <f>IF(AND($N2265=1,AND(LEFT(对接源_02物料!$D1065,4)="包装物料",N(对接源_02物料!$K1065)&lt;&gt;0)),1,0)</f>
        <v>0</v>
      </c>
      <c r="AG2265" s="3">
        <f t="shared" si="615"/>
        <v>5</v>
      </c>
      <c r="AH2265" s="3">
        <f>IF(AND($N2265=1,AND(对接源_02物料!$D1065="周转筐－销售出库",N(对接源_02物料!$K1065)&lt;&gt;0)),1,0)</f>
        <v>0</v>
      </c>
      <c r="AI2265" s="3">
        <f t="shared" si="616"/>
        <v>0</v>
      </c>
      <c r="AL2265" s="3">
        <v>0</v>
      </c>
      <c r="AM2265" s="3">
        <f t="shared" si="617"/>
        <v>1</v>
      </c>
      <c r="AN2265" s="3" t="str">
        <f t="shared" si="604"/>
        <v/>
      </c>
      <c r="AO2265" s="3">
        <v>0</v>
      </c>
      <c r="AP2265" s="3">
        <f t="shared" si="618"/>
        <v>8</v>
      </c>
      <c r="AR2265">
        <f t="shared" si="619"/>
        <v>0</v>
      </c>
      <c r="AS2265">
        <f t="shared" si="620"/>
        <v>5</v>
      </c>
    </row>
    <row r="2266" customHeight="1" spans="1:45">
      <c r="A2266" s="3" t="str">
        <f>IF(对接源_02物料!$C1066="","",对接源_02物料!$C1066)</f>
        <v/>
      </c>
      <c r="B2266" s="3">
        <f t="shared" si="605"/>
        <v>0</v>
      </c>
      <c r="C2266" s="3">
        <f t="shared" si="606"/>
        <v>21</v>
      </c>
      <c r="K2266" s="3">
        <f>IF(OR($K$1="",对接源_02物料!$C1066="",对接源_02物料!$C1066&lt;&gt;$K$1,对接源_02物料!$B1066=""),0,IF(OR(N(对接源_02物料!$B1066)&lt;$K$2,N(对接源_02物料!$B1066)&gt;$K$3),0,1))</f>
        <v>0</v>
      </c>
      <c r="L2266" s="3">
        <f>IF(OR($L$1="",对接源_02物料!$C1066="",对接源_02物料!$C1066&lt;&gt;$L$1,对接源_02物料!$B1066=""),0,IF(OR(N(对接源_02物料!$B1066)&lt;$L$2,N(对接源_02物料!$B1066)&gt;$L$3),0,1))</f>
        <v>0</v>
      </c>
      <c r="M2266" s="3">
        <f>IF(OR($M$1="",对接源_02物料!$C1066="",对接源_02物料!$C1066&lt;&gt;$M$1,对接源_02物料!$B1066=""),0,IF(OR(N(对接源_02物料!$B1066)&lt;$M$2,N(对接源_02物料!$B1066)&gt;$M$3),0,1))</f>
        <v>0</v>
      </c>
      <c r="N2266" s="3">
        <f>IF(OR($N$1="",对接源_02物料!$C1066="",对接源_02物料!$C1066&lt;&gt;$N$1,对接源_02物料!$B1066=""),0,IF(OR(N(对接源_02物料!$B1066)&lt;$N$2,N(对接源_02物料!$B1066)&gt;$N$3),0,1))</f>
        <v>0</v>
      </c>
      <c r="P2266" s="3">
        <f>IF(AND($K2266=1,AND(对接源_02物料!$X1066="公司筐",N(对接源_02物料!$T1066)&lt;&gt;0)),1,0)</f>
        <v>0</v>
      </c>
      <c r="Q2266" s="3">
        <f t="shared" si="607"/>
        <v>8</v>
      </c>
      <c r="R2266" s="3">
        <f>IF(AND($K2266=1,AND(对接源_02物料!$X1066="公司筐",N(对接源_02物料!$U1066)&lt;&gt;0)),1,0)</f>
        <v>0</v>
      </c>
      <c r="S2266" s="3">
        <f t="shared" si="608"/>
        <v>0</v>
      </c>
      <c r="T2266" s="3">
        <f>IF(AND($K2266=1,AND(对接源_02物料!$X1066="公司筐",N(对接源_02物料!$V1066)&lt;&gt;0)),1,0)</f>
        <v>0</v>
      </c>
      <c r="U2266" s="3">
        <f t="shared" si="609"/>
        <v>19</v>
      </c>
      <c r="V2266" s="3">
        <f>IF(AND($L2266=1,AND(对接源_02物料!$X1066="自备筐",N(对接源_02物料!$V1066)&lt;&gt;0)),1,0)</f>
        <v>0</v>
      </c>
      <c r="W2266" s="3">
        <f t="shared" si="610"/>
        <v>8</v>
      </c>
      <c r="X2266" s="3">
        <f>IF(AND($L2266=1,AND(对接源_02物料!$X1066="自备筐",N(对接源_02物料!$T1066)&lt;&gt;0)),1,0)</f>
        <v>0</v>
      </c>
      <c r="Y2266" s="3">
        <f t="shared" si="611"/>
        <v>0</v>
      </c>
      <c r="Z2266" s="3">
        <f>IF(AND($M2266=1,对接源_02物料!$D1066="原料入库"),1,0)</f>
        <v>0</v>
      </c>
      <c r="AA2266" s="3">
        <f t="shared" si="612"/>
        <v>24</v>
      </c>
      <c r="AB2266" s="3">
        <f>IF(AND($M2266=1,LEFT(对接源_02物料!$D1066,4)="原料出库"),1,0)</f>
        <v>0</v>
      </c>
      <c r="AC2266" s="3">
        <f t="shared" si="613"/>
        <v>0</v>
      </c>
      <c r="AD2266" s="3">
        <f>IF(AND($M2266=1,LEFT(对接源_02物料!$D1066,4)="成品出库"),1,0)</f>
        <v>0</v>
      </c>
      <c r="AE2266" s="3">
        <f t="shared" si="614"/>
        <v>0</v>
      </c>
      <c r="AF2266" s="3">
        <f>IF(AND($N2266=1,AND(LEFT(对接源_02物料!$D1066,4)="包装物料",N(对接源_02物料!$K1066)&lt;&gt;0)),1,0)</f>
        <v>0</v>
      </c>
      <c r="AG2266" s="3">
        <f t="shared" si="615"/>
        <v>5</v>
      </c>
      <c r="AH2266" s="3">
        <f>IF(AND($N2266=1,AND(对接源_02物料!$D1066="周转筐－销售出库",N(对接源_02物料!$K1066)&lt;&gt;0)),1,0)</f>
        <v>0</v>
      </c>
      <c r="AI2266" s="3">
        <f t="shared" si="616"/>
        <v>0</v>
      </c>
      <c r="AL2266" s="3">
        <v>0</v>
      </c>
      <c r="AM2266" s="3">
        <f t="shared" si="617"/>
        <v>1</v>
      </c>
      <c r="AN2266" s="3" t="str">
        <f t="shared" si="604"/>
        <v/>
      </c>
      <c r="AO2266" s="3">
        <v>0</v>
      </c>
      <c r="AP2266" s="3">
        <f t="shared" si="618"/>
        <v>8</v>
      </c>
      <c r="AR2266">
        <f t="shared" si="619"/>
        <v>0</v>
      </c>
      <c r="AS2266">
        <f t="shared" si="620"/>
        <v>5</v>
      </c>
    </row>
    <row r="2267" customHeight="1" spans="1:45">
      <c r="A2267" s="3" t="str">
        <f>IF(对接源_02物料!$C1067="","",对接源_02物料!$C1067)</f>
        <v/>
      </c>
      <c r="B2267" s="3">
        <f t="shared" si="605"/>
        <v>0</v>
      </c>
      <c r="C2267" s="3">
        <f t="shared" si="606"/>
        <v>21</v>
      </c>
      <c r="K2267" s="3">
        <f>IF(OR($K$1="",对接源_02物料!$C1067="",对接源_02物料!$C1067&lt;&gt;$K$1,对接源_02物料!$B1067=""),0,IF(OR(N(对接源_02物料!$B1067)&lt;$K$2,N(对接源_02物料!$B1067)&gt;$K$3),0,1))</f>
        <v>0</v>
      </c>
      <c r="L2267" s="3">
        <f>IF(OR($L$1="",对接源_02物料!$C1067="",对接源_02物料!$C1067&lt;&gt;$L$1,对接源_02物料!$B1067=""),0,IF(OR(N(对接源_02物料!$B1067)&lt;$L$2,N(对接源_02物料!$B1067)&gt;$L$3),0,1))</f>
        <v>0</v>
      </c>
      <c r="M2267" s="3">
        <f>IF(OR($M$1="",对接源_02物料!$C1067="",对接源_02物料!$C1067&lt;&gt;$M$1,对接源_02物料!$B1067=""),0,IF(OR(N(对接源_02物料!$B1067)&lt;$M$2,N(对接源_02物料!$B1067)&gt;$M$3),0,1))</f>
        <v>0</v>
      </c>
      <c r="N2267" s="3">
        <f>IF(OR($N$1="",对接源_02物料!$C1067="",对接源_02物料!$C1067&lt;&gt;$N$1,对接源_02物料!$B1067=""),0,IF(OR(N(对接源_02物料!$B1067)&lt;$N$2,N(对接源_02物料!$B1067)&gt;$N$3),0,1))</f>
        <v>0</v>
      </c>
      <c r="P2267" s="3">
        <f>IF(AND($K2267=1,AND(对接源_02物料!$X1067="公司筐",N(对接源_02物料!$T1067)&lt;&gt;0)),1,0)</f>
        <v>0</v>
      </c>
      <c r="Q2267" s="3">
        <f t="shared" si="607"/>
        <v>8</v>
      </c>
      <c r="R2267" s="3">
        <f>IF(AND($K2267=1,AND(对接源_02物料!$X1067="公司筐",N(对接源_02物料!$U1067)&lt;&gt;0)),1,0)</f>
        <v>0</v>
      </c>
      <c r="S2267" s="3">
        <f t="shared" si="608"/>
        <v>0</v>
      </c>
      <c r="T2267" s="3">
        <f>IF(AND($K2267=1,AND(对接源_02物料!$X1067="公司筐",N(对接源_02物料!$V1067)&lt;&gt;0)),1,0)</f>
        <v>0</v>
      </c>
      <c r="U2267" s="3">
        <f t="shared" si="609"/>
        <v>19</v>
      </c>
      <c r="V2267" s="3">
        <f>IF(AND($L2267=1,AND(对接源_02物料!$X1067="自备筐",N(对接源_02物料!$V1067)&lt;&gt;0)),1,0)</f>
        <v>0</v>
      </c>
      <c r="W2267" s="3">
        <f t="shared" si="610"/>
        <v>8</v>
      </c>
      <c r="X2267" s="3">
        <f>IF(AND($L2267=1,AND(对接源_02物料!$X1067="自备筐",N(对接源_02物料!$T1067)&lt;&gt;0)),1,0)</f>
        <v>0</v>
      </c>
      <c r="Y2267" s="3">
        <f t="shared" si="611"/>
        <v>0</v>
      </c>
      <c r="Z2267" s="3">
        <f>IF(AND($M2267=1,对接源_02物料!$D1067="原料入库"),1,0)</f>
        <v>0</v>
      </c>
      <c r="AA2267" s="3">
        <f t="shared" si="612"/>
        <v>24</v>
      </c>
      <c r="AB2267" s="3">
        <f>IF(AND($M2267=1,LEFT(对接源_02物料!$D1067,4)="原料出库"),1,0)</f>
        <v>0</v>
      </c>
      <c r="AC2267" s="3">
        <f t="shared" si="613"/>
        <v>0</v>
      </c>
      <c r="AD2267" s="3">
        <f>IF(AND($M2267=1,LEFT(对接源_02物料!$D1067,4)="成品出库"),1,0)</f>
        <v>0</v>
      </c>
      <c r="AE2267" s="3">
        <f t="shared" si="614"/>
        <v>0</v>
      </c>
      <c r="AF2267" s="3">
        <f>IF(AND($N2267=1,AND(LEFT(对接源_02物料!$D1067,4)="包装物料",N(对接源_02物料!$K1067)&lt;&gt;0)),1,0)</f>
        <v>0</v>
      </c>
      <c r="AG2267" s="3">
        <f t="shared" si="615"/>
        <v>5</v>
      </c>
      <c r="AH2267" s="3">
        <f>IF(AND($N2267=1,AND(对接源_02物料!$D1067="周转筐－销售出库",N(对接源_02物料!$K1067)&lt;&gt;0)),1,0)</f>
        <v>0</v>
      </c>
      <c r="AI2267" s="3">
        <f t="shared" si="616"/>
        <v>0</v>
      </c>
      <c r="AL2267" s="3">
        <v>0</v>
      </c>
      <c r="AM2267" s="3">
        <f t="shared" si="617"/>
        <v>1</v>
      </c>
      <c r="AN2267" s="3" t="str">
        <f t="shared" si="604"/>
        <v/>
      </c>
      <c r="AO2267" s="3">
        <v>0</v>
      </c>
      <c r="AP2267" s="3">
        <f t="shared" si="618"/>
        <v>8</v>
      </c>
      <c r="AR2267">
        <f t="shared" si="619"/>
        <v>0</v>
      </c>
      <c r="AS2267">
        <f t="shared" si="620"/>
        <v>5</v>
      </c>
    </row>
    <row r="2268" customHeight="1" spans="1:45">
      <c r="A2268" s="3" t="str">
        <f>IF(对接源_02物料!$C1068="","",对接源_02物料!$C1068)</f>
        <v/>
      </c>
      <c r="B2268" s="3">
        <f t="shared" si="605"/>
        <v>0</v>
      </c>
      <c r="C2268" s="3">
        <f t="shared" si="606"/>
        <v>21</v>
      </c>
      <c r="K2268" s="3">
        <f>IF(OR($K$1="",对接源_02物料!$C1068="",对接源_02物料!$C1068&lt;&gt;$K$1,对接源_02物料!$B1068=""),0,IF(OR(N(对接源_02物料!$B1068)&lt;$K$2,N(对接源_02物料!$B1068)&gt;$K$3),0,1))</f>
        <v>0</v>
      </c>
      <c r="L2268" s="3">
        <f>IF(OR($L$1="",对接源_02物料!$C1068="",对接源_02物料!$C1068&lt;&gt;$L$1,对接源_02物料!$B1068=""),0,IF(OR(N(对接源_02物料!$B1068)&lt;$L$2,N(对接源_02物料!$B1068)&gt;$L$3),0,1))</f>
        <v>0</v>
      </c>
      <c r="M2268" s="3">
        <f>IF(OR($M$1="",对接源_02物料!$C1068="",对接源_02物料!$C1068&lt;&gt;$M$1,对接源_02物料!$B1068=""),0,IF(OR(N(对接源_02物料!$B1068)&lt;$M$2,N(对接源_02物料!$B1068)&gt;$M$3),0,1))</f>
        <v>0</v>
      </c>
      <c r="N2268" s="3">
        <f>IF(OR($N$1="",对接源_02物料!$C1068="",对接源_02物料!$C1068&lt;&gt;$N$1,对接源_02物料!$B1068=""),0,IF(OR(N(对接源_02物料!$B1068)&lt;$N$2,N(对接源_02物料!$B1068)&gt;$N$3),0,1))</f>
        <v>0</v>
      </c>
      <c r="P2268" s="3">
        <f>IF(AND($K2268=1,AND(对接源_02物料!$X1068="公司筐",N(对接源_02物料!$T1068)&lt;&gt;0)),1,0)</f>
        <v>0</v>
      </c>
      <c r="Q2268" s="3">
        <f t="shared" si="607"/>
        <v>8</v>
      </c>
      <c r="R2268" s="3">
        <f>IF(AND($K2268=1,AND(对接源_02物料!$X1068="公司筐",N(对接源_02物料!$U1068)&lt;&gt;0)),1,0)</f>
        <v>0</v>
      </c>
      <c r="S2268" s="3">
        <f t="shared" si="608"/>
        <v>0</v>
      </c>
      <c r="T2268" s="3">
        <f>IF(AND($K2268=1,AND(对接源_02物料!$X1068="公司筐",N(对接源_02物料!$V1068)&lt;&gt;0)),1,0)</f>
        <v>0</v>
      </c>
      <c r="U2268" s="3">
        <f t="shared" si="609"/>
        <v>19</v>
      </c>
      <c r="V2268" s="3">
        <f>IF(AND($L2268=1,AND(对接源_02物料!$X1068="自备筐",N(对接源_02物料!$V1068)&lt;&gt;0)),1,0)</f>
        <v>0</v>
      </c>
      <c r="W2268" s="3">
        <f t="shared" si="610"/>
        <v>8</v>
      </c>
      <c r="X2268" s="3">
        <f>IF(AND($L2268=1,AND(对接源_02物料!$X1068="自备筐",N(对接源_02物料!$T1068)&lt;&gt;0)),1,0)</f>
        <v>0</v>
      </c>
      <c r="Y2268" s="3">
        <f t="shared" si="611"/>
        <v>0</v>
      </c>
      <c r="Z2268" s="3">
        <f>IF(AND($M2268=1,对接源_02物料!$D1068="原料入库"),1,0)</f>
        <v>0</v>
      </c>
      <c r="AA2268" s="3">
        <f t="shared" si="612"/>
        <v>24</v>
      </c>
      <c r="AB2268" s="3">
        <f>IF(AND($M2268=1,LEFT(对接源_02物料!$D1068,4)="原料出库"),1,0)</f>
        <v>0</v>
      </c>
      <c r="AC2268" s="3">
        <f t="shared" si="613"/>
        <v>0</v>
      </c>
      <c r="AD2268" s="3">
        <f>IF(AND($M2268=1,LEFT(对接源_02物料!$D1068,4)="成品出库"),1,0)</f>
        <v>0</v>
      </c>
      <c r="AE2268" s="3">
        <f t="shared" si="614"/>
        <v>0</v>
      </c>
      <c r="AF2268" s="3">
        <f>IF(AND($N2268=1,AND(LEFT(对接源_02物料!$D1068,4)="包装物料",N(对接源_02物料!$K1068)&lt;&gt;0)),1,0)</f>
        <v>0</v>
      </c>
      <c r="AG2268" s="3">
        <f t="shared" si="615"/>
        <v>5</v>
      </c>
      <c r="AH2268" s="3">
        <f>IF(AND($N2268=1,AND(对接源_02物料!$D1068="周转筐－销售出库",N(对接源_02物料!$K1068)&lt;&gt;0)),1,0)</f>
        <v>0</v>
      </c>
      <c r="AI2268" s="3">
        <f t="shared" si="616"/>
        <v>0</v>
      </c>
      <c r="AL2268" s="3">
        <v>0</v>
      </c>
      <c r="AM2268" s="3">
        <f t="shared" si="617"/>
        <v>1</v>
      </c>
      <c r="AN2268" s="3" t="str">
        <f t="shared" si="604"/>
        <v/>
      </c>
      <c r="AO2268" s="3">
        <v>0</v>
      </c>
      <c r="AP2268" s="3">
        <f t="shared" si="618"/>
        <v>8</v>
      </c>
      <c r="AR2268">
        <f t="shared" si="619"/>
        <v>0</v>
      </c>
      <c r="AS2268">
        <f t="shared" si="620"/>
        <v>5</v>
      </c>
    </row>
    <row r="2269" customHeight="1" spans="1:45">
      <c r="A2269" s="3" t="str">
        <f>IF(对接源_02物料!$C1069="","",对接源_02物料!$C1069)</f>
        <v/>
      </c>
      <c r="B2269" s="3">
        <f t="shared" si="605"/>
        <v>0</v>
      </c>
      <c r="C2269" s="3">
        <f t="shared" si="606"/>
        <v>21</v>
      </c>
      <c r="K2269" s="3">
        <f>IF(OR($K$1="",对接源_02物料!$C1069="",对接源_02物料!$C1069&lt;&gt;$K$1,对接源_02物料!$B1069=""),0,IF(OR(N(对接源_02物料!$B1069)&lt;$K$2,N(对接源_02物料!$B1069)&gt;$K$3),0,1))</f>
        <v>0</v>
      </c>
      <c r="L2269" s="3">
        <f>IF(OR($L$1="",对接源_02物料!$C1069="",对接源_02物料!$C1069&lt;&gt;$L$1,对接源_02物料!$B1069=""),0,IF(OR(N(对接源_02物料!$B1069)&lt;$L$2,N(对接源_02物料!$B1069)&gt;$L$3),0,1))</f>
        <v>0</v>
      </c>
      <c r="M2269" s="3">
        <f>IF(OR($M$1="",对接源_02物料!$C1069="",对接源_02物料!$C1069&lt;&gt;$M$1,对接源_02物料!$B1069=""),0,IF(OR(N(对接源_02物料!$B1069)&lt;$M$2,N(对接源_02物料!$B1069)&gt;$M$3),0,1))</f>
        <v>0</v>
      </c>
      <c r="N2269" s="3">
        <f>IF(OR($N$1="",对接源_02物料!$C1069="",对接源_02物料!$C1069&lt;&gt;$N$1,对接源_02物料!$B1069=""),0,IF(OR(N(对接源_02物料!$B1069)&lt;$N$2,N(对接源_02物料!$B1069)&gt;$N$3),0,1))</f>
        <v>0</v>
      </c>
      <c r="P2269" s="3">
        <f>IF(AND($K2269=1,AND(对接源_02物料!$X1069="公司筐",N(对接源_02物料!$T1069)&lt;&gt;0)),1,0)</f>
        <v>0</v>
      </c>
      <c r="Q2269" s="3">
        <f t="shared" si="607"/>
        <v>8</v>
      </c>
      <c r="R2269" s="3">
        <f>IF(AND($K2269=1,AND(对接源_02物料!$X1069="公司筐",N(对接源_02物料!$U1069)&lt;&gt;0)),1,0)</f>
        <v>0</v>
      </c>
      <c r="S2269" s="3">
        <f t="shared" si="608"/>
        <v>0</v>
      </c>
      <c r="T2269" s="3">
        <f>IF(AND($K2269=1,AND(对接源_02物料!$X1069="公司筐",N(对接源_02物料!$V1069)&lt;&gt;0)),1,0)</f>
        <v>0</v>
      </c>
      <c r="U2269" s="3">
        <f t="shared" si="609"/>
        <v>19</v>
      </c>
      <c r="V2269" s="3">
        <f>IF(AND($L2269=1,AND(对接源_02物料!$X1069="自备筐",N(对接源_02物料!$V1069)&lt;&gt;0)),1,0)</f>
        <v>0</v>
      </c>
      <c r="W2269" s="3">
        <f t="shared" si="610"/>
        <v>8</v>
      </c>
      <c r="X2269" s="3">
        <f>IF(AND($L2269=1,AND(对接源_02物料!$X1069="自备筐",N(对接源_02物料!$T1069)&lt;&gt;0)),1,0)</f>
        <v>0</v>
      </c>
      <c r="Y2269" s="3">
        <f t="shared" si="611"/>
        <v>0</v>
      </c>
      <c r="Z2269" s="3">
        <f>IF(AND($M2269=1,对接源_02物料!$D1069="原料入库"),1,0)</f>
        <v>0</v>
      </c>
      <c r="AA2269" s="3">
        <f t="shared" si="612"/>
        <v>24</v>
      </c>
      <c r="AB2269" s="3">
        <f>IF(AND($M2269=1,LEFT(对接源_02物料!$D1069,4)="原料出库"),1,0)</f>
        <v>0</v>
      </c>
      <c r="AC2269" s="3">
        <f t="shared" si="613"/>
        <v>0</v>
      </c>
      <c r="AD2269" s="3">
        <f>IF(AND($M2269=1,LEFT(对接源_02物料!$D1069,4)="成品出库"),1,0)</f>
        <v>0</v>
      </c>
      <c r="AE2269" s="3">
        <f t="shared" si="614"/>
        <v>0</v>
      </c>
      <c r="AF2269" s="3">
        <f>IF(AND($N2269=1,AND(LEFT(对接源_02物料!$D1069,4)="包装物料",N(对接源_02物料!$K1069)&lt;&gt;0)),1,0)</f>
        <v>0</v>
      </c>
      <c r="AG2269" s="3">
        <f t="shared" si="615"/>
        <v>5</v>
      </c>
      <c r="AH2269" s="3">
        <f>IF(AND($N2269=1,AND(对接源_02物料!$D1069="周转筐－销售出库",N(对接源_02物料!$K1069)&lt;&gt;0)),1,0)</f>
        <v>0</v>
      </c>
      <c r="AI2269" s="3">
        <f t="shared" si="616"/>
        <v>0</v>
      </c>
      <c r="AL2269" s="3">
        <v>0</v>
      </c>
      <c r="AM2269" s="3">
        <f t="shared" si="617"/>
        <v>1</v>
      </c>
      <c r="AN2269" s="3" t="str">
        <f t="shared" si="604"/>
        <v/>
      </c>
      <c r="AO2269" s="3">
        <v>0</v>
      </c>
      <c r="AP2269" s="3">
        <f t="shared" si="618"/>
        <v>8</v>
      </c>
      <c r="AR2269">
        <f t="shared" si="619"/>
        <v>0</v>
      </c>
      <c r="AS2269">
        <f t="shared" si="620"/>
        <v>5</v>
      </c>
    </row>
    <row r="2270" customHeight="1" spans="1:45">
      <c r="A2270" s="3" t="str">
        <f>IF(对接源_02物料!$C1070="","",对接源_02物料!$C1070)</f>
        <v/>
      </c>
      <c r="B2270" s="3">
        <f t="shared" si="605"/>
        <v>0</v>
      </c>
      <c r="C2270" s="3">
        <f t="shared" si="606"/>
        <v>21</v>
      </c>
      <c r="K2270" s="3">
        <f>IF(OR($K$1="",对接源_02物料!$C1070="",对接源_02物料!$C1070&lt;&gt;$K$1,对接源_02物料!$B1070=""),0,IF(OR(N(对接源_02物料!$B1070)&lt;$K$2,N(对接源_02物料!$B1070)&gt;$K$3),0,1))</f>
        <v>0</v>
      </c>
      <c r="L2270" s="3">
        <f>IF(OR($L$1="",对接源_02物料!$C1070="",对接源_02物料!$C1070&lt;&gt;$L$1,对接源_02物料!$B1070=""),0,IF(OR(N(对接源_02物料!$B1070)&lt;$L$2,N(对接源_02物料!$B1070)&gt;$L$3),0,1))</f>
        <v>0</v>
      </c>
      <c r="M2270" s="3">
        <f>IF(OR($M$1="",对接源_02物料!$C1070="",对接源_02物料!$C1070&lt;&gt;$M$1,对接源_02物料!$B1070=""),0,IF(OR(N(对接源_02物料!$B1070)&lt;$M$2,N(对接源_02物料!$B1070)&gt;$M$3),0,1))</f>
        <v>0</v>
      </c>
      <c r="N2270" s="3">
        <f>IF(OR($N$1="",对接源_02物料!$C1070="",对接源_02物料!$C1070&lt;&gt;$N$1,对接源_02物料!$B1070=""),0,IF(OR(N(对接源_02物料!$B1070)&lt;$N$2,N(对接源_02物料!$B1070)&gt;$N$3),0,1))</f>
        <v>0</v>
      </c>
      <c r="P2270" s="3">
        <f>IF(AND($K2270=1,AND(对接源_02物料!$X1070="公司筐",N(对接源_02物料!$T1070)&lt;&gt;0)),1,0)</f>
        <v>0</v>
      </c>
      <c r="Q2270" s="3">
        <f t="shared" si="607"/>
        <v>8</v>
      </c>
      <c r="R2270" s="3">
        <f>IF(AND($K2270=1,AND(对接源_02物料!$X1070="公司筐",N(对接源_02物料!$U1070)&lt;&gt;0)),1,0)</f>
        <v>0</v>
      </c>
      <c r="S2270" s="3">
        <f t="shared" si="608"/>
        <v>0</v>
      </c>
      <c r="T2270" s="3">
        <f>IF(AND($K2270=1,AND(对接源_02物料!$X1070="公司筐",N(对接源_02物料!$V1070)&lt;&gt;0)),1,0)</f>
        <v>0</v>
      </c>
      <c r="U2270" s="3">
        <f t="shared" si="609"/>
        <v>19</v>
      </c>
      <c r="V2270" s="3">
        <f>IF(AND($L2270=1,AND(对接源_02物料!$X1070="自备筐",N(对接源_02物料!$V1070)&lt;&gt;0)),1,0)</f>
        <v>0</v>
      </c>
      <c r="W2270" s="3">
        <f t="shared" si="610"/>
        <v>8</v>
      </c>
      <c r="X2270" s="3">
        <f>IF(AND($L2270=1,AND(对接源_02物料!$X1070="自备筐",N(对接源_02物料!$T1070)&lt;&gt;0)),1,0)</f>
        <v>0</v>
      </c>
      <c r="Y2270" s="3">
        <f t="shared" si="611"/>
        <v>0</v>
      </c>
      <c r="Z2270" s="3">
        <f>IF(AND($M2270=1,对接源_02物料!$D1070="原料入库"),1,0)</f>
        <v>0</v>
      </c>
      <c r="AA2270" s="3">
        <f t="shared" si="612"/>
        <v>24</v>
      </c>
      <c r="AB2270" s="3">
        <f>IF(AND($M2270=1,LEFT(对接源_02物料!$D1070,4)="原料出库"),1,0)</f>
        <v>0</v>
      </c>
      <c r="AC2270" s="3">
        <f t="shared" si="613"/>
        <v>0</v>
      </c>
      <c r="AD2270" s="3">
        <f>IF(AND($M2270=1,LEFT(对接源_02物料!$D1070,4)="成品出库"),1,0)</f>
        <v>0</v>
      </c>
      <c r="AE2270" s="3">
        <f t="shared" si="614"/>
        <v>0</v>
      </c>
      <c r="AF2270" s="3">
        <f>IF(AND($N2270=1,AND(LEFT(对接源_02物料!$D1070,4)="包装物料",N(对接源_02物料!$K1070)&lt;&gt;0)),1,0)</f>
        <v>0</v>
      </c>
      <c r="AG2270" s="3">
        <f t="shared" si="615"/>
        <v>5</v>
      </c>
      <c r="AH2270" s="3">
        <f>IF(AND($N2270=1,AND(对接源_02物料!$D1070="周转筐－销售出库",N(对接源_02物料!$K1070)&lt;&gt;0)),1,0)</f>
        <v>0</v>
      </c>
      <c r="AI2270" s="3">
        <f t="shared" si="616"/>
        <v>0</v>
      </c>
      <c r="AL2270" s="3">
        <v>0</v>
      </c>
      <c r="AM2270" s="3">
        <f t="shared" si="617"/>
        <v>1</v>
      </c>
      <c r="AN2270" s="3" t="str">
        <f t="shared" si="604"/>
        <v/>
      </c>
      <c r="AO2270" s="3">
        <v>0</v>
      </c>
      <c r="AP2270" s="3">
        <f t="shared" si="618"/>
        <v>8</v>
      </c>
      <c r="AR2270">
        <f t="shared" si="619"/>
        <v>0</v>
      </c>
      <c r="AS2270">
        <f t="shared" si="620"/>
        <v>5</v>
      </c>
    </row>
    <row r="2271" customHeight="1" spans="1:45">
      <c r="A2271" s="3" t="str">
        <f>IF(对接源_02物料!$C1071="","",对接源_02物料!$C1071)</f>
        <v/>
      </c>
      <c r="B2271" s="3">
        <f t="shared" si="605"/>
        <v>0</v>
      </c>
      <c r="C2271" s="3">
        <f t="shared" si="606"/>
        <v>21</v>
      </c>
      <c r="K2271" s="3">
        <f>IF(OR($K$1="",对接源_02物料!$C1071="",对接源_02物料!$C1071&lt;&gt;$K$1,对接源_02物料!$B1071=""),0,IF(OR(N(对接源_02物料!$B1071)&lt;$K$2,N(对接源_02物料!$B1071)&gt;$K$3),0,1))</f>
        <v>0</v>
      </c>
      <c r="L2271" s="3">
        <f>IF(OR($L$1="",对接源_02物料!$C1071="",对接源_02物料!$C1071&lt;&gt;$L$1,对接源_02物料!$B1071=""),0,IF(OR(N(对接源_02物料!$B1071)&lt;$L$2,N(对接源_02物料!$B1071)&gt;$L$3),0,1))</f>
        <v>0</v>
      </c>
      <c r="M2271" s="3">
        <f>IF(OR($M$1="",对接源_02物料!$C1071="",对接源_02物料!$C1071&lt;&gt;$M$1,对接源_02物料!$B1071=""),0,IF(OR(N(对接源_02物料!$B1071)&lt;$M$2,N(对接源_02物料!$B1071)&gt;$M$3),0,1))</f>
        <v>0</v>
      </c>
      <c r="N2271" s="3">
        <f>IF(OR($N$1="",对接源_02物料!$C1071="",对接源_02物料!$C1071&lt;&gt;$N$1,对接源_02物料!$B1071=""),0,IF(OR(N(对接源_02物料!$B1071)&lt;$N$2,N(对接源_02物料!$B1071)&gt;$N$3),0,1))</f>
        <v>0</v>
      </c>
      <c r="P2271" s="3">
        <f>IF(AND($K2271=1,AND(对接源_02物料!$X1071="公司筐",N(对接源_02物料!$T1071)&lt;&gt;0)),1,0)</f>
        <v>0</v>
      </c>
      <c r="Q2271" s="3">
        <f t="shared" si="607"/>
        <v>8</v>
      </c>
      <c r="R2271" s="3">
        <f>IF(AND($K2271=1,AND(对接源_02物料!$X1071="公司筐",N(对接源_02物料!$U1071)&lt;&gt;0)),1,0)</f>
        <v>0</v>
      </c>
      <c r="S2271" s="3">
        <f t="shared" si="608"/>
        <v>0</v>
      </c>
      <c r="T2271" s="3">
        <f>IF(AND($K2271=1,AND(对接源_02物料!$X1071="公司筐",N(对接源_02物料!$V1071)&lt;&gt;0)),1,0)</f>
        <v>0</v>
      </c>
      <c r="U2271" s="3">
        <f t="shared" si="609"/>
        <v>19</v>
      </c>
      <c r="V2271" s="3">
        <f>IF(AND($L2271=1,AND(对接源_02物料!$X1071="自备筐",N(对接源_02物料!$V1071)&lt;&gt;0)),1,0)</f>
        <v>0</v>
      </c>
      <c r="W2271" s="3">
        <f t="shared" si="610"/>
        <v>8</v>
      </c>
      <c r="X2271" s="3">
        <f>IF(AND($L2271=1,AND(对接源_02物料!$X1071="自备筐",N(对接源_02物料!$T1071)&lt;&gt;0)),1,0)</f>
        <v>0</v>
      </c>
      <c r="Y2271" s="3">
        <f t="shared" si="611"/>
        <v>0</v>
      </c>
      <c r="Z2271" s="3">
        <f>IF(AND($M2271=1,对接源_02物料!$D1071="原料入库"),1,0)</f>
        <v>0</v>
      </c>
      <c r="AA2271" s="3">
        <f t="shared" si="612"/>
        <v>24</v>
      </c>
      <c r="AB2271" s="3">
        <f>IF(AND($M2271=1,LEFT(对接源_02物料!$D1071,4)="原料出库"),1,0)</f>
        <v>0</v>
      </c>
      <c r="AC2271" s="3">
        <f t="shared" si="613"/>
        <v>0</v>
      </c>
      <c r="AD2271" s="3">
        <f>IF(AND($M2271=1,LEFT(对接源_02物料!$D1071,4)="成品出库"),1,0)</f>
        <v>0</v>
      </c>
      <c r="AE2271" s="3">
        <f t="shared" si="614"/>
        <v>0</v>
      </c>
      <c r="AF2271" s="3">
        <f>IF(AND($N2271=1,AND(LEFT(对接源_02物料!$D1071,4)="包装物料",N(对接源_02物料!$K1071)&lt;&gt;0)),1,0)</f>
        <v>0</v>
      </c>
      <c r="AG2271" s="3">
        <f t="shared" si="615"/>
        <v>5</v>
      </c>
      <c r="AH2271" s="3">
        <f>IF(AND($N2271=1,AND(对接源_02物料!$D1071="周转筐－销售出库",N(对接源_02物料!$K1071)&lt;&gt;0)),1,0)</f>
        <v>0</v>
      </c>
      <c r="AI2271" s="3">
        <f t="shared" si="616"/>
        <v>0</v>
      </c>
      <c r="AL2271" s="3">
        <v>0</v>
      </c>
      <c r="AM2271" s="3">
        <f t="shared" si="617"/>
        <v>1</v>
      </c>
      <c r="AN2271" s="3" t="str">
        <f t="shared" si="604"/>
        <v/>
      </c>
      <c r="AO2271" s="3">
        <v>0</v>
      </c>
      <c r="AP2271" s="3">
        <f t="shared" si="618"/>
        <v>8</v>
      </c>
      <c r="AR2271">
        <f t="shared" si="619"/>
        <v>0</v>
      </c>
      <c r="AS2271">
        <f t="shared" si="620"/>
        <v>5</v>
      </c>
    </row>
    <row r="2272" customHeight="1" spans="1:45">
      <c r="A2272" s="3" t="str">
        <f>IF(对接源_02物料!$C1072="","",对接源_02物料!$C1072)</f>
        <v/>
      </c>
      <c r="B2272" s="3">
        <f t="shared" si="605"/>
        <v>0</v>
      </c>
      <c r="C2272" s="3">
        <f t="shared" si="606"/>
        <v>21</v>
      </c>
      <c r="K2272" s="3">
        <f>IF(OR($K$1="",对接源_02物料!$C1072="",对接源_02物料!$C1072&lt;&gt;$K$1,对接源_02物料!$B1072=""),0,IF(OR(N(对接源_02物料!$B1072)&lt;$K$2,N(对接源_02物料!$B1072)&gt;$K$3),0,1))</f>
        <v>0</v>
      </c>
      <c r="L2272" s="3">
        <f>IF(OR($L$1="",对接源_02物料!$C1072="",对接源_02物料!$C1072&lt;&gt;$L$1,对接源_02物料!$B1072=""),0,IF(OR(N(对接源_02物料!$B1072)&lt;$L$2,N(对接源_02物料!$B1072)&gt;$L$3),0,1))</f>
        <v>0</v>
      </c>
      <c r="M2272" s="3">
        <f>IF(OR($M$1="",对接源_02物料!$C1072="",对接源_02物料!$C1072&lt;&gt;$M$1,对接源_02物料!$B1072=""),0,IF(OR(N(对接源_02物料!$B1072)&lt;$M$2,N(对接源_02物料!$B1072)&gt;$M$3),0,1))</f>
        <v>0</v>
      </c>
      <c r="N2272" s="3">
        <f>IF(OR($N$1="",对接源_02物料!$C1072="",对接源_02物料!$C1072&lt;&gt;$N$1,对接源_02物料!$B1072=""),0,IF(OR(N(对接源_02物料!$B1072)&lt;$N$2,N(对接源_02物料!$B1072)&gt;$N$3),0,1))</f>
        <v>0</v>
      </c>
      <c r="P2272" s="3">
        <f>IF(AND($K2272=1,AND(对接源_02物料!$X1072="公司筐",N(对接源_02物料!$T1072)&lt;&gt;0)),1,0)</f>
        <v>0</v>
      </c>
      <c r="Q2272" s="3">
        <f t="shared" si="607"/>
        <v>8</v>
      </c>
      <c r="R2272" s="3">
        <f>IF(AND($K2272=1,AND(对接源_02物料!$X1072="公司筐",N(对接源_02物料!$U1072)&lt;&gt;0)),1,0)</f>
        <v>0</v>
      </c>
      <c r="S2272" s="3">
        <f t="shared" si="608"/>
        <v>0</v>
      </c>
      <c r="T2272" s="3">
        <f>IF(AND($K2272=1,AND(对接源_02物料!$X1072="公司筐",N(对接源_02物料!$V1072)&lt;&gt;0)),1,0)</f>
        <v>0</v>
      </c>
      <c r="U2272" s="3">
        <f t="shared" si="609"/>
        <v>19</v>
      </c>
      <c r="V2272" s="3">
        <f>IF(AND($L2272=1,AND(对接源_02物料!$X1072="自备筐",N(对接源_02物料!$V1072)&lt;&gt;0)),1,0)</f>
        <v>0</v>
      </c>
      <c r="W2272" s="3">
        <f t="shared" si="610"/>
        <v>8</v>
      </c>
      <c r="X2272" s="3">
        <f>IF(AND($L2272=1,AND(对接源_02物料!$X1072="自备筐",N(对接源_02物料!$T1072)&lt;&gt;0)),1,0)</f>
        <v>0</v>
      </c>
      <c r="Y2272" s="3">
        <f t="shared" si="611"/>
        <v>0</v>
      </c>
      <c r="Z2272" s="3">
        <f>IF(AND($M2272=1,对接源_02物料!$D1072="原料入库"),1,0)</f>
        <v>0</v>
      </c>
      <c r="AA2272" s="3">
        <f t="shared" si="612"/>
        <v>24</v>
      </c>
      <c r="AB2272" s="3">
        <f>IF(AND($M2272=1,LEFT(对接源_02物料!$D1072,4)="原料出库"),1,0)</f>
        <v>0</v>
      </c>
      <c r="AC2272" s="3">
        <f t="shared" si="613"/>
        <v>0</v>
      </c>
      <c r="AD2272" s="3">
        <f>IF(AND($M2272=1,LEFT(对接源_02物料!$D1072,4)="成品出库"),1,0)</f>
        <v>0</v>
      </c>
      <c r="AE2272" s="3">
        <f t="shared" si="614"/>
        <v>0</v>
      </c>
      <c r="AF2272" s="3">
        <f>IF(AND($N2272=1,AND(LEFT(对接源_02物料!$D1072,4)="包装物料",N(对接源_02物料!$K1072)&lt;&gt;0)),1,0)</f>
        <v>0</v>
      </c>
      <c r="AG2272" s="3">
        <f t="shared" si="615"/>
        <v>5</v>
      </c>
      <c r="AH2272" s="3">
        <f>IF(AND($N2272=1,AND(对接源_02物料!$D1072="周转筐－销售出库",N(对接源_02物料!$K1072)&lt;&gt;0)),1,0)</f>
        <v>0</v>
      </c>
      <c r="AI2272" s="3">
        <f t="shared" si="616"/>
        <v>0</v>
      </c>
      <c r="AL2272" s="3">
        <v>0</v>
      </c>
      <c r="AM2272" s="3">
        <f t="shared" si="617"/>
        <v>1</v>
      </c>
      <c r="AN2272" s="3" t="str">
        <f t="shared" si="604"/>
        <v/>
      </c>
      <c r="AO2272" s="3">
        <v>0</v>
      </c>
      <c r="AP2272" s="3">
        <f t="shared" si="618"/>
        <v>8</v>
      </c>
      <c r="AR2272">
        <f t="shared" si="619"/>
        <v>0</v>
      </c>
      <c r="AS2272">
        <f t="shared" si="620"/>
        <v>5</v>
      </c>
    </row>
    <row r="2273" customHeight="1" spans="1:45">
      <c r="A2273" s="3" t="str">
        <f>IF(对接源_02物料!$C1073="","",对接源_02物料!$C1073)</f>
        <v/>
      </c>
      <c r="B2273" s="3">
        <f t="shared" si="605"/>
        <v>0</v>
      </c>
      <c r="C2273" s="3">
        <f t="shared" si="606"/>
        <v>21</v>
      </c>
      <c r="K2273" s="3">
        <f>IF(OR($K$1="",对接源_02物料!$C1073="",对接源_02物料!$C1073&lt;&gt;$K$1,对接源_02物料!$B1073=""),0,IF(OR(N(对接源_02物料!$B1073)&lt;$K$2,N(对接源_02物料!$B1073)&gt;$K$3),0,1))</f>
        <v>0</v>
      </c>
      <c r="L2273" s="3">
        <f>IF(OR($L$1="",对接源_02物料!$C1073="",对接源_02物料!$C1073&lt;&gt;$L$1,对接源_02物料!$B1073=""),0,IF(OR(N(对接源_02物料!$B1073)&lt;$L$2,N(对接源_02物料!$B1073)&gt;$L$3),0,1))</f>
        <v>0</v>
      </c>
      <c r="M2273" s="3">
        <f>IF(OR($M$1="",对接源_02物料!$C1073="",对接源_02物料!$C1073&lt;&gt;$M$1,对接源_02物料!$B1073=""),0,IF(OR(N(对接源_02物料!$B1073)&lt;$M$2,N(对接源_02物料!$B1073)&gt;$M$3),0,1))</f>
        <v>0</v>
      </c>
      <c r="N2273" s="3">
        <f>IF(OR($N$1="",对接源_02物料!$C1073="",对接源_02物料!$C1073&lt;&gt;$N$1,对接源_02物料!$B1073=""),0,IF(OR(N(对接源_02物料!$B1073)&lt;$N$2,N(对接源_02物料!$B1073)&gt;$N$3),0,1))</f>
        <v>0</v>
      </c>
      <c r="P2273" s="3">
        <f>IF(AND($K2273=1,AND(对接源_02物料!$X1073="公司筐",N(对接源_02物料!$T1073)&lt;&gt;0)),1,0)</f>
        <v>0</v>
      </c>
      <c r="Q2273" s="3">
        <f t="shared" si="607"/>
        <v>8</v>
      </c>
      <c r="R2273" s="3">
        <f>IF(AND($K2273=1,AND(对接源_02物料!$X1073="公司筐",N(对接源_02物料!$U1073)&lt;&gt;0)),1,0)</f>
        <v>0</v>
      </c>
      <c r="S2273" s="3">
        <f t="shared" si="608"/>
        <v>0</v>
      </c>
      <c r="T2273" s="3">
        <f>IF(AND($K2273=1,AND(对接源_02物料!$X1073="公司筐",N(对接源_02物料!$V1073)&lt;&gt;0)),1,0)</f>
        <v>0</v>
      </c>
      <c r="U2273" s="3">
        <f t="shared" si="609"/>
        <v>19</v>
      </c>
      <c r="V2273" s="3">
        <f>IF(AND($L2273=1,AND(对接源_02物料!$X1073="自备筐",N(对接源_02物料!$V1073)&lt;&gt;0)),1,0)</f>
        <v>0</v>
      </c>
      <c r="W2273" s="3">
        <f t="shared" si="610"/>
        <v>8</v>
      </c>
      <c r="X2273" s="3">
        <f>IF(AND($L2273=1,AND(对接源_02物料!$X1073="自备筐",N(对接源_02物料!$T1073)&lt;&gt;0)),1,0)</f>
        <v>0</v>
      </c>
      <c r="Y2273" s="3">
        <f t="shared" si="611"/>
        <v>0</v>
      </c>
      <c r="Z2273" s="3">
        <f>IF(AND($M2273=1,对接源_02物料!$D1073="原料入库"),1,0)</f>
        <v>0</v>
      </c>
      <c r="AA2273" s="3">
        <f t="shared" si="612"/>
        <v>24</v>
      </c>
      <c r="AB2273" s="3">
        <f>IF(AND($M2273=1,LEFT(对接源_02物料!$D1073,4)="原料出库"),1,0)</f>
        <v>0</v>
      </c>
      <c r="AC2273" s="3">
        <f t="shared" si="613"/>
        <v>0</v>
      </c>
      <c r="AD2273" s="3">
        <f>IF(AND($M2273=1,LEFT(对接源_02物料!$D1073,4)="成品出库"),1,0)</f>
        <v>0</v>
      </c>
      <c r="AE2273" s="3">
        <f t="shared" si="614"/>
        <v>0</v>
      </c>
      <c r="AF2273" s="3">
        <f>IF(AND($N2273=1,AND(LEFT(对接源_02物料!$D1073,4)="包装物料",N(对接源_02物料!$K1073)&lt;&gt;0)),1,0)</f>
        <v>0</v>
      </c>
      <c r="AG2273" s="3">
        <f t="shared" si="615"/>
        <v>5</v>
      </c>
      <c r="AH2273" s="3">
        <f>IF(AND($N2273=1,AND(对接源_02物料!$D1073="周转筐－销售出库",N(对接源_02物料!$K1073)&lt;&gt;0)),1,0)</f>
        <v>0</v>
      </c>
      <c r="AI2273" s="3">
        <f t="shared" si="616"/>
        <v>0</v>
      </c>
      <c r="AL2273" s="3">
        <v>0</v>
      </c>
      <c r="AM2273" s="3">
        <f t="shared" si="617"/>
        <v>1</v>
      </c>
      <c r="AN2273" s="3" t="str">
        <f t="shared" si="604"/>
        <v/>
      </c>
      <c r="AO2273" s="3">
        <v>0</v>
      </c>
      <c r="AP2273" s="3">
        <f t="shared" si="618"/>
        <v>8</v>
      </c>
      <c r="AR2273">
        <f t="shared" si="619"/>
        <v>0</v>
      </c>
      <c r="AS2273">
        <f t="shared" si="620"/>
        <v>5</v>
      </c>
    </row>
    <row r="2274" customHeight="1" spans="1:45">
      <c r="A2274" s="3" t="str">
        <f>IF(对接源_02物料!$C1074="","",对接源_02物料!$C1074)</f>
        <v/>
      </c>
      <c r="B2274" s="3">
        <f t="shared" si="605"/>
        <v>0</v>
      </c>
      <c r="C2274" s="3">
        <f t="shared" si="606"/>
        <v>21</v>
      </c>
      <c r="K2274" s="3">
        <f>IF(OR($K$1="",对接源_02物料!$C1074="",对接源_02物料!$C1074&lt;&gt;$K$1,对接源_02物料!$B1074=""),0,IF(OR(N(对接源_02物料!$B1074)&lt;$K$2,N(对接源_02物料!$B1074)&gt;$K$3),0,1))</f>
        <v>0</v>
      </c>
      <c r="L2274" s="3">
        <f>IF(OR($L$1="",对接源_02物料!$C1074="",对接源_02物料!$C1074&lt;&gt;$L$1,对接源_02物料!$B1074=""),0,IF(OR(N(对接源_02物料!$B1074)&lt;$L$2,N(对接源_02物料!$B1074)&gt;$L$3),0,1))</f>
        <v>0</v>
      </c>
      <c r="M2274" s="3">
        <f>IF(OR($M$1="",对接源_02物料!$C1074="",对接源_02物料!$C1074&lt;&gt;$M$1,对接源_02物料!$B1074=""),0,IF(OR(N(对接源_02物料!$B1074)&lt;$M$2,N(对接源_02物料!$B1074)&gt;$M$3),0,1))</f>
        <v>0</v>
      </c>
      <c r="N2274" s="3">
        <f>IF(OR($N$1="",对接源_02物料!$C1074="",对接源_02物料!$C1074&lt;&gt;$N$1,对接源_02物料!$B1074=""),0,IF(OR(N(对接源_02物料!$B1074)&lt;$N$2,N(对接源_02物料!$B1074)&gt;$N$3),0,1))</f>
        <v>0</v>
      </c>
      <c r="P2274" s="3">
        <f>IF(AND($K2274=1,AND(对接源_02物料!$X1074="公司筐",N(对接源_02物料!$T1074)&lt;&gt;0)),1,0)</f>
        <v>0</v>
      </c>
      <c r="Q2274" s="3">
        <f t="shared" si="607"/>
        <v>8</v>
      </c>
      <c r="R2274" s="3">
        <f>IF(AND($K2274=1,AND(对接源_02物料!$X1074="公司筐",N(对接源_02物料!$U1074)&lt;&gt;0)),1,0)</f>
        <v>0</v>
      </c>
      <c r="S2274" s="3">
        <f t="shared" si="608"/>
        <v>0</v>
      </c>
      <c r="T2274" s="3">
        <f>IF(AND($K2274=1,AND(对接源_02物料!$X1074="公司筐",N(对接源_02物料!$V1074)&lt;&gt;0)),1,0)</f>
        <v>0</v>
      </c>
      <c r="U2274" s="3">
        <f t="shared" si="609"/>
        <v>19</v>
      </c>
      <c r="V2274" s="3">
        <f>IF(AND($L2274=1,AND(对接源_02物料!$X1074="自备筐",N(对接源_02物料!$V1074)&lt;&gt;0)),1,0)</f>
        <v>0</v>
      </c>
      <c r="W2274" s="3">
        <f t="shared" si="610"/>
        <v>8</v>
      </c>
      <c r="X2274" s="3">
        <f>IF(AND($L2274=1,AND(对接源_02物料!$X1074="自备筐",N(对接源_02物料!$T1074)&lt;&gt;0)),1,0)</f>
        <v>0</v>
      </c>
      <c r="Y2274" s="3">
        <f t="shared" si="611"/>
        <v>0</v>
      </c>
      <c r="Z2274" s="3">
        <f>IF(AND($M2274=1,对接源_02物料!$D1074="原料入库"),1,0)</f>
        <v>0</v>
      </c>
      <c r="AA2274" s="3">
        <f t="shared" si="612"/>
        <v>24</v>
      </c>
      <c r="AB2274" s="3">
        <f>IF(AND($M2274=1,LEFT(对接源_02物料!$D1074,4)="原料出库"),1,0)</f>
        <v>0</v>
      </c>
      <c r="AC2274" s="3">
        <f t="shared" si="613"/>
        <v>0</v>
      </c>
      <c r="AD2274" s="3">
        <f>IF(AND($M2274=1,LEFT(对接源_02物料!$D1074,4)="成品出库"),1,0)</f>
        <v>0</v>
      </c>
      <c r="AE2274" s="3">
        <f t="shared" si="614"/>
        <v>0</v>
      </c>
      <c r="AF2274" s="3">
        <f>IF(AND($N2274=1,AND(LEFT(对接源_02物料!$D1074,4)="包装物料",N(对接源_02物料!$K1074)&lt;&gt;0)),1,0)</f>
        <v>0</v>
      </c>
      <c r="AG2274" s="3">
        <f t="shared" si="615"/>
        <v>5</v>
      </c>
      <c r="AH2274" s="3">
        <f>IF(AND($N2274=1,AND(对接源_02物料!$D1074="周转筐－销售出库",N(对接源_02物料!$K1074)&lt;&gt;0)),1,0)</f>
        <v>0</v>
      </c>
      <c r="AI2274" s="3">
        <f t="shared" si="616"/>
        <v>0</v>
      </c>
      <c r="AL2274" s="3">
        <v>0</v>
      </c>
      <c r="AM2274" s="3">
        <f t="shared" si="617"/>
        <v>1</v>
      </c>
      <c r="AN2274" s="3" t="str">
        <f t="shared" si="604"/>
        <v/>
      </c>
      <c r="AO2274" s="3">
        <v>0</v>
      </c>
      <c r="AP2274" s="3">
        <f t="shared" si="618"/>
        <v>8</v>
      </c>
      <c r="AR2274">
        <f t="shared" si="619"/>
        <v>0</v>
      </c>
      <c r="AS2274">
        <f t="shared" si="620"/>
        <v>5</v>
      </c>
    </row>
    <row r="2275" customHeight="1" spans="1:45">
      <c r="A2275" s="3" t="str">
        <f>IF(对接源_02物料!$C1075="","",对接源_02物料!$C1075)</f>
        <v/>
      </c>
      <c r="B2275" s="3">
        <f t="shared" si="605"/>
        <v>0</v>
      </c>
      <c r="C2275" s="3">
        <f t="shared" si="606"/>
        <v>21</v>
      </c>
      <c r="K2275" s="3">
        <f>IF(OR($K$1="",对接源_02物料!$C1075="",对接源_02物料!$C1075&lt;&gt;$K$1,对接源_02物料!$B1075=""),0,IF(OR(N(对接源_02物料!$B1075)&lt;$K$2,N(对接源_02物料!$B1075)&gt;$K$3),0,1))</f>
        <v>0</v>
      </c>
      <c r="L2275" s="3">
        <f>IF(OR($L$1="",对接源_02物料!$C1075="",对接源_02物料!$C1075&lt;&gt;$L$1,对接源_02物料!$B1075=""),0,IF(OR(N(对接源_02物料!$B1075)&lt;$L$2,N(对接源_02物料!$B1075)&gt;$L$3),0,1))</f>
        <v>0</v>
      </c>
      <c r="M2275" s="3">
        <f>IF(OR($M$1="",对接源_02物料!$C1075="",对接源_02物料!$C1075&lt;&gt;$M$1,对接源_02物料!$B1075=""),0,IF(OR(N(对接源_02物料!$B1075)&lt;$M$2,N(对接源_02物料!$B1075)&gt;$M$3),0,1))</f>
        <v>0</v>
      </c>
      <c r="N2275" s="3">
        <f>IF(OR($N$1="",对接源_02物料!$C1075="",对接源_02物料!$C1075&lt;&gt;$N$1,对接源_02物料!$B1075=""),0,IF(OR(N(对接源_02物料!$B1075)&lt;$N$2,N(对接源_02物料!$B1075)&gt;$N$3),0,1))</f>
        <v>0</v>
      </c>
      <c r="P2275" s="3">
        <f>IF(AND($K2275=1,AND(对接源_02物料!$X1075="公司筐",N(对接源_02物料!$T1075)&lt;&gt;0)),1,0)</f>
        <v>0</v>
      </c>
      <c r="Q2275" s="3">
        <f t="shared" si="607"/>
        <v>8</v>
      </c>
      <c r="R2275" s="3">
        <f>IF(AND($K2275=1,AND(对接源_02物料!$X1075="公司筐",N(对接源_02物料!$U1075)&lt;&gt;0)),1,0)</f>
        <v>0</v>
      </c>
      <c r="S2275" s="3">
        <f t="shared" si="608"/>
        <v>0</v>
      </c>
      <c r="T2275" s="3">
        <f>IF(AND($K2275=1,AND(对接源_02物料!$X1075="公司筐",N(对接源_02物料!$V1075)&lt;&gt;0)),1,0)</f>
        <v>0</v>
      </c>
      <c r="U2275" s="3">
        <f t="shared" si="609"/>
        <v>19</v>
      </c>
      <c r="V2275" s="3">
        <f>IF(AND($L2275=1,AND(对接源_02物料!$X1075="自备筐",N(对接源_02物料!$V1075)&lt;&gt;0)),1,0)</f>
        <v>0</v>
      </c>
      <c r="W2275" s="3">
        <f t="shared" si="610"/>
        <v>8</v>
      </c>
      <c r="X2275" s="3">
        <f>IF(AND($L2275=1,AND(对接源_02物料!$X1075="自备筐",N(对接源_02物料!$T1075)&lt;&gt;0)),1,0)</f>
        <v>0</v>
      </c>
      <c r="Y2275" s="3">
        <f t="shared" si="611"/>
        <v>0</v>
      </c>
      <c r="Z2275" s="3">
        <f>IF(AND($M2275=1,对接源_02物料!$D1075="原料入库"),1,0)</f>
        <v>0</v>
      </c>
      <c r="AA2275" s="3">
        <f t="shared" si="612"/>
        <v>24</v>
      </c>
      <c r="AB2275" s="3">
        <f>IF(AND($M2275=1,LEFT(对接源_02物料!$D1075,4)="原料出库"),1,0)</f>
        <v>0</v>
      </c>
      <c r="AC2275" s="3">
        <f t="shared" si="613"/>
        <v>0</v>
      </c>
      <c r="AD2275" s="3">
        <f>IF(AND($M2275=1,LEFT(对接源_02物料!$D1075,4)="成品出库"),1,0)</f>
        <v>0</v>
      </c>
      <c r="AE2275" s="3">
        <f t="shared" si="614"/>
        <v>0</v>
      </c>
      <c r="AF2275" s="3">
        <f>IF(AND($N2275=1,AND(LEFT(对接源_02物料!$D1075,4)="包装物料",N(对接源_02物料!$K1075)&lt;&gt;0)),1,0)</f>
        <v>0</v>
      </c>
      <c r="AG2275" s="3">
        <f t="shared" si="615"/>
        <v>5</v>
      </c>
      <c r="AH2275" s="3">
        <f>IF(AND($N2275=1,AND(对接源_02物料!$D1075="周转筐－销售出库",N(对接源_02物料!$K1075)&lt;&gt;0)),1,0)</f>
        <v>0</v>
      </c>
      <c r="AI2275" s="3">
        <f t="shared" si="616"/>
        <v>0</v>
      </c>
      <c r="AL2275" s="3">
        <v>0</v>
      </c>
      <c r="AM2275" s="3">
        <f t="shared" si="617"/>
        <v>1</v>
      </c>
      <c r="AN2275" s="3" t="str">
        <f t="shared" si="604"/>
        <v/>
      </c>
      <c r="AO2275" s="3">
        <v>0</v>
      </c>
      <c r="AP2275" s="3">
        <f t="shared" si="618"/>
        <v>8</v>
      </c>
      <c r="AR2275">
        <f t="shared" si="619"/>
        <v>0</v>
      </c>
      <c r="AS2275">
        <f t="shared" si="620"/>
        <v>5</v>
      </c>
    </row>
    <row r="2276" customHeight="1" spans="1:45">
      <c r="A2276" s="3" t="str">
        <f>IF(对接源_02物料!$C1076="","",对接源_02物料!$C1076)</f>
        <v/>
      </c>
      <c r="B2276" s="3">
        <f t="shared" si="605"/>
        <v>0</v>
      </c>
      <c r="C2276" s="3">
        <f t="shared" si="606"/>
        <v>21</v>
      </c>
      <c r="K2276" s="3">
        <f>IF(OR($K$1="",对接源_02物料!$C1076="",对接源_02物料!$C1076&lt;&gt;$K$1,对接源_02物料!$B1076=""),0,IF(OR(N(对接源_02物料!$B1076)&lt;$K$2,N(对接源_02物料!$B1076)&gt;$K$3),0,1))</f>
        <v>0</v>
      </c>
      <c r="L2276" s="3">
        <f>IF(OR($L$1="",对接源_02物料!$C1076="",对接源_02物料!$C1076&lt;&gt;$L$1,对接源_02物料!$B1076=""),0,IF(OR(N(对接源_02物料!$B1076)&lt;$L$2,N(对接源_02物料!$B1076)&gt;$L$3),0,1))</f>
        <v>0</v>
      </c>
      <c r="M2276" s="3">
        <f>IF(OR($M$1="",对接源_02物料!$C1076="",对接源_02物料!$C1076&lt;&gt;$M$1,对接源_02物料!$B1076=""),0,IF(OR(N(对接源_02物料!$B1076)&lt;$M$2,N(对接源_02物料!$B1076)&gt;$M$3),0,1))</f>
        <v>0</v>
      </c>
      <c r="N2276" s="3">
        <f>IF(OR($N$1="",对接源_02物料!$C1076="",对接源_02物料!$C1076&lt;&gt;$N$1,对接源_02物料!$B1076=""),0,IF(OR(N(对接源_02物料!$B1076)&lt;$N$2,N(对接源_02物料!$B1076)&gt;$N$3),0,1))</f>
        <v>0</v>
      </c>
      <c r="P2276" s="3">
        <f>IF(AND($K2276=1,AND(对接源_02物料!$X1076="公司筐",N(对接源_02物料!$T1076)&lt;&gt;0)),1,0)</f>
        <v>0</v>
      </c>
      <c r="Q2276" s="3">
        <f t="shared" si="607"/>
        <v>8</v>
      </c>
      <c r="R2276" s="3">
        <f>IF(AND($K2276=1,AND(对接源_02物料!$X1076="公司筐",N(对接源_02物料!$U1076)&lt;&gt;0)),1,0)</f>
        <v>0</v>
      </c>
      <c r="S2276" s="3">
        <f t="shared" si="608"/>
        <v>0</v>
      </c>
      <c r="T2276" s="3">
        <f>IF(AND($K2276=1,AND(对接源_02物料!$X1076="公司筐",N(对接源_02物料!$V1076)&lt;&gt;0)),1,0)</f>
        <v>0</v>
      </c>
      <c r="U2276" s="3">
        <f t="shared" si="609"/>
        <v>19</v>
      </c>
      <c r="V2276" s="3">
        <f>IF(AND($L2276=1,AND(对接源_02物料!$X1076="自备筐",N(对接源_02物料!$V1076)&lt;&gt;0)),1,0)</f>
        <v>0</v>
      </c>
      <c r="W2276" s="3">
        <f t="shared" si="610"/>
        <v>8</v>
      </c>
      <c r="X2276" s="3">
        <f>IF(AND($L2276=1,AND(对接源_02物料!$X1076="自备筐",N(对接源_02物料!$T1076)&lt;&gt;0)),1,0)</f>
        <v>0</v>
      </c>
      <c r="Y2276" s="3">
        <f t="shared" si="611"/>
        <v>0</v>
      </c>
      <c r="Z2276" s="3">
        <f>IF(AND($M2276=1,对接源_02物料!$D1076="原料入库"),1,0)</f>
        <v>0</v>
      </c>
      <c r="AA2276" s="3">
        <f t="shared" si="612"/>
        <v>24</v>
      </c>
      <c r="AB2276" s="3">
        <f>IF(AND($M2276=1,LEFT(对接源_02物料!$D1076,4)="原料出库"),1,0)</f>
        <v>0</v>
      </c>
      <c r="AC2276" s="3">
        <f t="shared" si="613"/>
        <v>0</v>
      </c>
      <c r="AD2276" s="3">
        <f>IF(AND($M2276=1,LEFT(对接源_02物料!$D1076,4)="成品出库"),1,0)</f>
        <v>0</v>
      </c>
      <c r="AE2276" s="3">
        <f t="shared" si="614"/>
        <v>0</v>
      </c>
      <c r="AF2276" s="3">
        <f>IF(AND($N2276=1,AND(LEFT(对接源_02物料!$D1076,4)="包装物料",N(对接源_02物料!$K1076)&lt;&gt;0)),1,0)</f>
        <v>0</v>
      </c>
      <c r="AG2276" s="3">
        <f t="shared" si="615"/>
        <v>5</v>
      </c>
      <c r="AH2276" s="3">
        <f>IF(AND($N2276=1,AND(对接源_02物料!$D1076="周转筐－销售出库",N(对接源_02物料!$K1076)&lt;&gt;0)),1,0)</f>
        <v>0</v>
      </c>
      <c r="AI2276" s="3">
        <f t="shared" si="616"/>
        <v>0</v>
      </c>
      <c r="AL2276" s="3">
        <v>0</v>
      </c>
      <c r="AM2276" s="3">
        <f t="shared" si="617"/>
        <v>1</v>
      </c>
      <c r="AN2276" s="3" t="str">
        <f t="shared" si="604"/>
        <v/>
      </c>
      <c r="AO2276" s="3">
        <v>0</v>
      </c>
      <c r="AP2276" s="3">
        <f t="shared" si="618"/>
        <v>8</v>
      </c>
      <c r="AR2276">
        <f t="shared" si="619"/>
        <v>0</v>
      </c>
      <c r="AS2276">
        <f t="shared" si="620"/>
        <v>5</v>
      </c>
    </row>
    <row r="2277" customHeight="1" spans="1:45">
      <c r="A2277" s="3" t="str">
        <f>IF(对接源_02物料!$C1077="","",对接源_02物料!$C1077)</f>
        <v/>
      </c>
      <c r="B2277" s="3">
        <f t="shared" si="605"/>
        <v>0</v>
      </c>
      <c r="C2277" s="3">
        <f t="shared" si="606"/>
        <v>21</v>
      </c>
      <c r="K2277" s="3">
        <f>IF(OR($K$1="",对接源_02物料!$C1077="",对接源_02物料!$C1077&lt;&gt;$K$1,对接源_02物料!$B1077=""),0,IF(OR(N(对接源_02物料!$B1077)&lt;$K$2,N(对接源_02物料!$B1077)&gt;$K$3),0,1))</f>
        <v>0</v>
      </c>
      <c r="L2277" s="3">
        <f>IF(OR($L$1="",对接源_02物料!$C1077="",对接源_02物料!$C1077&lt;&gt;$L$1,对接源_02物料!$B1077=""),0,IF(OR(N(对接源_02物料!$B1077)&lt;$L$2,N(对接源_02物料!$B1077)&gt;$L$3),0,1))</f>
        <v>0</v>
      </c>
      <c r="M2277" s="3">
        <f>IF(OR($M$1="",对接源_02物料!$C1077="",对接源_02物料!$C1077&lt;&gt;$M$1,对接源_02物料!$B1077=""),0,IF(OR(N(对接源_02物料!$B1077)&lt;$M$2,N(对接源_02物料!$B1077)&gt;$M$3),0,1))</f>
        <v>0</v>
      </c>
      <c r="N2277" s="3">
        <f>IF(OR($N$1="",对接源_02物料!$C1077="",对接源_02物料!$C1077&lt;&gt;$N$1,对接源_02物料!$B1077=""),0,IF(OR(N(对接源_02物料!$B1077)&lt;$N$2,N(对接源_02物料!$B1077)&gt;$N$3),0,1))</f>
        <v>0</v>
      </c>
      <c r="P2277" s="3">
        <f>IF(AND($K2277=1,AND(对接源_02物料!$X1077="公司筐",N(对接源_02物料!$T1077)&lt;&gt;0)),1,0)</f>
        <v>0</v>
      </c>
      <c r="Q2277" s="3">
        <f t="shared" si="607"/>
        <v>8</v>
      </c>
      <c r="R2277" s="3">
        <f>IF(AND($K2277=1,AND(对接源_02物料!$X1077="公司筐",N(对接源_02物料!$U1077)&lt;&gt;0)),1,0)</f>
        <v>0</v>
      </c>
      <c r="S2277" s="3">
        <f t="shared" si="608"/>
        <v>0</v>
      </c>
      <c r="T2277" s="3">
        <f>IF(AND($K2277=1,AND(对接源_02物料!$X1077="公司筐",N(对接源_02物料!$V1077)&lt;&gt;0)),1,0)</f>
        <v>0</v>
      </c>
      <c r="U2277" s="3">
        <f t="shared" si="609"/>
        <v>19</v>
      </c>
      <c r="V2277" s="3">
        <f>IF(AND($L2277=1,AND(对接源_02物料!$X1077="自备筐",N(对接源_02物料!$V1077)&lt;&gt;0)),1,0)</f>
        <v>0</v>
      </c>
      <c r="W2277" s="3">
        <f t="shared" si="610"/>
        <v>8</v>
      </c>
      <c r="X2277" s="3">
        <f>IF(AND($L2277=1,AND(对接源_02物料!$X1077="自备筐",N(对接源_02物料!$T1077)&lt;&gt;0)),1,0)</f>
        <v>0</v>
      </c>
      <c r="Y2277" s="3">
        <f t="shared" si="611"/>
        <v>0</v>
      </c>
      <c r="Z2277" s="3">
        <f>IF(AND($M2277=1,对接源_02物料!$D1077="原料入库"),1,0)</f>
        <v>0</v>
      </c>
      <c r="AA2277" s="3">
        <f t="shared" si="612"/>
        <v>24</v>
      </c>
      <c r="AB2277" s="3">
        <f>IF(AND($M2277=1,LEFT(对接源_02物料!$D1077,4)="原料出库"),1,0)</f>
        <v>0</v>
      </c>
      <c r="AC2277" s="3">
        <f t="shared" si="613"/>
        <v>0</v>
      </c>
      <c r="AD2277" s="3">
        <f>IF(AND($M2277=1,LEFT(对接源_02物料!$D1077,4)="成品出库"),1,0)</f>
        <v>0</v>
      </c>
      <c r="AE2277" s="3">
        <f t="shared" si="614"/>
        <v>0</v>
      </c>
      <c r="AF2277" s="3">
        <f>IF(AND($N2277=1,AND(LEFT(对接源_02物料!$D1077,4)="包装物料",N(对接源_02物料!$K1077)&lt;&gt;0)),1,0)</f>
        <v>0</v>
      </c>
      <c r="AG2277" s="3">
        <f t="shared" si="615"/>
        <v>5</v>
      </c>
      <c r="AH2277" s="3">
        <f>IF(AND($N2277=1,AND(对接源_02物料!$D1077="周转筐－销售出库",N(对接源_02物料!$K1077)&lt;&gt;0)),1,0)</f>
        <v>0</v>
      </c>
      <c r="AI2277" s="3">
        <f t="shared" si="616"/>
        <v>0</v>
      </c>
      <c r="AL2277" s="3">
        <v>0</v>
      </c>
      <c r="AM2277" s="3">
        <f t="shared" si="617"/>
        <v>1</v>
      </c>
      <c r="AN2277" s="3" t="str">
        <f t="shared" si="604"/>
        <v/>
      </c>
      <c r="AO2277" s="3">
        <v>0</v>
      </c>
      <c r="AP2277" s="3">
        <f t="shared" si="618"/>
        <v>8</v>
      </c>
      <c r="AR2277">
        <f t="shared" si="619"/>
        <v>0</v>
      </c>
      <c r="AS2277">
        <f t="shared" si="620"/>
        <v>5</v>
      </c>
    </row>
    <row r="2278" customHeight="1" spans="1:45">
      <c r="A2278" s="3" t="str">
        <f>IF(对接源_02物料!$C1078="","",对接源_02物料!$C1078)</f>
        <v/>
      </c>
      <c r="B2278" s="3">
        <f t="shared" si="605"/>
        <v>0</v>
      </c>
      <c r="C2278" s="3">
        <f t="shared" si="606"/>
        <v>21</v>
      </c>
      <c r="K2278" s="3">
        <f>IF(OR($K$1="",对接源_02物料!$C1078="",对接源_02物料!$C1078&lt;&gt;$K$1,对接源_02物料!$B1078=""),0,IF(OR(N(对接源_02物料!$B1078)&lt;$K$2,N(对接源_02物料!$B1078)&gt;$K$3),0,1))</f>
        <v>0</v>
      </c>
      <c r="L2278" s="3">
        <f>IF(OR($L$1="",对接源_02物料!$C1078="",对接源_02物料!$C1078&lt;&gt;$L$1,对接源_02物料!$B1078=""),0,IF(OR(N(对接源_02物料!$B1078)&lt;$L$2,N(对接源_02物料!$B1078)&gt;$L$3),0,1))</f>
        <v>0</v>
      </c>
      <c r="M2278" s="3">
        <f>IF(OR($M$1="",对接源_02物料!$C1078="",对接源_02物料!$C1078&lt;&gt;$M$1,对接源_02物料!$B1078=""),0,IF(OR(N(对接源_02物料!$B1078)&lt;$M$2,N(对接源_02物料!$B1078)&gt;$M$3),0,1))</f>
        <v>0</v>
      </c>
      <c r="N2278" s="3">
        <f>IF(OR($N$1="",对接源_02物料!$C1078="",对接源_02物料!$C1078&lt;&gt;$N$1,对接源_02物料!$B1078=""),0,IF(OR(N(对接源_02物料!$B1078)&lt;$N$2,N(对接源_02物料!$B1078)&gt;$N$3),0,1))</f>
        <v>0</v>
      </c>
      <c r="P2278" s="3">
        <f>IF(AND($K2278=1,AND(对接源_02物料!$X1078="公司筐",N(对接源_02物料!$T1078)&lt;&gt;0)),1,0)</f>
        <v>0</v>
      </c>
      <c r="Q2278" s="3">
        <f t="shared" si="607"/>
        <v>8</v>
      </c>
      <c r="R2278" s="3">
        <f>IF(AND($K2278=1,AND(对接源_02物料!$X1078="公司筐",N(对接源_02物料!$U1078)&lt;&gt;0)),1,0)</f>
        <v>0</v>
      </c>
      <c r="S2278" s="3">
        <f t="shared" si="608"/>
        <v>0</v>
      </c>
      <c r="T2278" s="3">
        <f>IF(AND($K2278=1,AND(对接源_02物料!$X1078="公司筐",N(对接源_02物料!$V1078)&lt;&gt;0)),1,0)</f>
        <v>0</v>
      </c>
      <c r="U2278" s="3">
        <f t="shared" si="609"/>
        <v>19</v>
      </c>
      <c r="V2278" s="3">
        <f>IF(AND($L2278=1,AND(对接源_02物料!$X1078="自备筐",N(对接源_02物料!$V1078)&lt;&gt;0)),1,0)</f>
        <v>0</v>
      </c>
      <c r="W2278" s="3">
        <f t="shared" si="610"/>
        <v>8</v>
      </c>
      <c r="X2278" s="3">
        <f>IF(AND($L2278=1,AND(对接源_02物料!$X1078="自备筐",N(对接源_02物料!$T1078)&lt;&gt;0)),1,0)</f>
        <v>0</v>
      </c>
      <c r="Y2278" s="3">
        <f t="shared" si="611"/>
        <v>0</v>
      </c>
      <c r="Z2278" s="3">
        <f>IF(AND($M2278=1,对接源_02物料!$D1078="原料入库"),1,0)</f>
        <v>0</v>
      </c>
      <c r="AA2278" s="3">
        <f t="shared" si="612"/>
        <v>24</v>
      </c>
      <c r="AB2278" s="3">
        <f>IF(AND($M2278=1,LEFT(对接源_02物料!$D1078,4)="原料出库"),1,0)</f>
        <v>0</v>
      </c>
      <c r="AC2278" s="3">
        <f t="shared" si="613"/>
        <v>0</v>
      </c>
      <c r="AD2278" s="3">
        <f>IF(AND($M2278=1,LEFT(对接源_02物料!$D1078,4)="成品出库"),1,0)</f>
        <v>0</v>
      </c>
      <c r="AE2278" s="3">
        <f t="shared" si="614"/>
        <v>0</v>
      </c>
      <c r="AF2278" s="3">
        <f>IF(AND($N2278=1,AND(LEFT(对接源_02物料!$D1078,4)="包装物料",N(对接源_02物料!$K1078)&lt;&gt;0)),1,0)</f>
        <v>0</v>
      </c>
      <c r="AG2278" s="3">
        <f t="shared" si="615"/>
        <v>5</v>
      </c>
      <c r="AH2278" s="3">
        <f>IF(AND($N2278=1,AND(对接源_02物料!$D1078="周转筐－销售出库",N(对接源_02物料!$K1078)&lt;&gt;0)),1,0)</f>
        <v>0</v>
      </c>
      <c r="AI2278" s="3">
        <f t="shared" si="616"/>
        <v>0</v>
      </c>
      <c r="AL2278" s="3">
        <v>0</v>
      </c>
      <c r="AM2278" s="3">
        <f t="shared" si="617"/>
        <v>1</v>
      </c>
      <c r="AN2278" s="3" t="str">
        <f t="shared" si="604"/>
        <v/>
      </c>
      <c r="AO2278" s="3">
        <v>0</v>
      </c>
      <c r="AP2278" s="3">
        <f t="shared" si="618"/>
        <v>8</v>
      </c>
      <c r="AR2278">
        <f t="shared" si="619"/>
        <v>0</v>
      </c>
      <c r="AS2278">
        <f t="shared" si="620"/>
        <v>5</v>
      </c>
    </row>
    <row r="2279" customHeight="1" spans="1:45">
      <c r="A2279" s="3" t="str">
        <f>IF(对接源_02物料!$C1079="","",对接源_02物料!$C1079)</f>
        <v/>
      </c>
      <c r="B2279" s="3">
        <f t="shared" si="605"/>
        <v>0</v>
      </c>
      <c r="C2279" s="3">
        <f t="shared" si="606"/>
        <v>21</v>
      </c>
      <c r="K2279" s="3">
        <f>IF(OR($K$1="",对接源_02物料!$C1079="",对接源_02物料!$C1079&lt;&gt;$K$1,对接源_02物料!$B1079=""),0,IF(OR(N(对接源_02物料!$B1079)&lt;$K$2,N(对接源_02物料!$B1079)&gt;$K$3),0,1))</f>
        <v>0</v>
      </c>
      <c r="L2279" s="3">
        <f>IF(OR($L$1="",对接源_02物料!$C1079="",对接源_02物料!$C1079&lt;&gt;$L$1,对接源_02物料!$B1079=""),0,IF(OR(N(对接源_02物料!$B1079)&lt;$L$2,N(对接源_02物料!$B1079)&gt;$L$3),0,1))</f>
        <v>0</v>
      </c>
      <c r="M2279" s="3">
        <f>IF(OR($M$1="",对接源_02物料!$C1079="",对接源_02物料!$C1079&lt;&gt;$M$1,对接源_02物料!$B1079=""),0,IF(OR(N(对接源_02物料!$B1079)&lt;$M$2,N(对接源_02物料!$B1079)&gt;$M$3),0,1))</f>
        <v>0</v>
      </c>
      <c r="N2279" s="3">
        <f>IF(OR($N$1="",对接源_02物料!$C1079="",对接源_02物料!$C1079&lt;&gt;$N$1,对接源_02物料!$B1079=""),0,IF(OR(N(对接源_02物料!$B1079)&lt;$N$2,N(对接源_02物料!$B1079)&gt;$N$3),0,1))</f>
        <v>0</v>
      </c>
      <c r="P2279" s="3">
        <f>IF(AND($K2279=1,AND(对接源_02物料!$X1079="公司筐",N(对接源_02物料!$T1079)&lt;&gt;0)),1,0)</f>
        <v>0</v>
      </c>
      <c r="Q2279" s="3">
        <f t="shared" si="607"/>
        <v>8</v>
      </c>
      <c r="R2279" s="3">
        <f>IF(AND($K2279=1,AND(对接源_02物料!$X1079="公司筐",N(对接源_02物料!$U1079)&lt;&gt;0)),1,0)</f>
        <v>0</v>
      </c>
      <c r="S2279" s="3">
        <f t="shared" si="608"/>
        <v>0</v>
      </c>
      <c r="T2279" s="3">
        <f>IF(AND($K2279=1,AND(对接源_02物料!$X1079="公司筐",N(对接源_02物料!$V1079)&lt;&gt;0)),1,0)</f>
        <v>0</v>
      </c>
      <c r="U2279" s="3">
        <f t="shared" si="609"/>
        <v>19</v>
      </c>
      <c r="V2279" s="3">
        <f>IF(AND($L2279=1,AND(对接源_02物料!$X1079="自备筐",N(对接源_02物料!$V1079)&lt;&gt;0)),1,0)</f>
        <v>0</v>
      </c>
      <c r="W2279" s="3">
        <f t="shared" si="610"/>
        <v>8</v>
      </c>
      <c r="X2279" s="3">
        <f>IF(AND($L2279=1,AND(对接源_02物料!$X1079="自备筐",N(对接源_02物料!$T1079)&lt;&gt;0)),1,0)</f>
        <v>0</v>
      </c>
      <c r="Y2279" s="3">
        <f t="shared" si="611"/>
        <v>0</v>
      </c>
      <c r="Z2279" s="3">
        <f>IF(AND($M2279=1,对接源_02物料!$D1079="原料入库"),1,0)</f>
        <v>0</v>
      </c>
      <c r="AA2279" s="3">
        <f t="shared" si="612"/>
        <v>24</v>
      </c>
      <c r="AB2279" s="3">
        <f>IF(AND($M2279=1,LEFT(对接源_02物料!$D1079,4)="原料出库"),1,0)</f>
        <v>0</v>
      </c>
      <c r="AC2279" s="3">
        <f t="shared" si="613"/>
        <v>0</v>
      </c>
      <c r="AD2279" s="3">
        <f>IF(AND($M2279=1,LEFT(对接源_02物料!$D1079,4)="成品出库"),1,0)</f>
        <v>0</v>
      </c>
      <c r="AE2279" s="3">
        <f t="shared" si="614"/>
        <v>0</v>
      </c>
      <c r="AF2279" s="3">
        <f>IF(AND($N2279=1,AND(LEFT(对接源_02物料!$D1079,4)="包装物料",N(对接源_02物料!$K1079)&lt;&gt;0)),1,0)</f>
        <v>0</v>
      </c>
      <c r="AG2279" s="3">
        <f t="shared" si="615"/>
        <v>5</v>
      </c>
      <c r="AH2279" s="3">
        <f>IF(AND($N2279=1,AND(对接源_02物料!$D1079="周转筐－销售出库",N(对接源_02物料!$K1079)&lt;&gt;0)),1,0)</f>
        <v>0</v>
      </c>
      <c r="AI2279" s="3">
        <f t="shared" si="616"/>
        <v>0</v>
      </c>
      <c r="AL2279" s="3">
        <v>0</v>
      </c>
      <c r="AM2279" s="3">
        <f t="shared" si="617"/>
        <v>1</v>
      </c>
      <c r="AN2279" s="3" t="str">
        <f t="shared" si="604"/>
        <v/>
      </c>
      <c r="AO2279" s="3">
        <v>0</v>
      </c>
      <c r="AP2279" s="3">
        <f t="shared" si="618"/>
        <v>8</v>
      </c>
      <c r="AR2279">
        <f t="shared" si="619"/>
        <v>0</v>
      </c>
      <c r="AS2279">
        <f t="shared" si="620"/>
        <v>5</v>
      </c>
    </row>
    <row r="2280" customHeight="1" spans="1:45">
      <c r="A2280" s="3" t="str">
        <f>IF(对接源_02物料!$C1080="","",对接源_02物料!$C1080)</f>
        <v/>
      </c>
      <c r="B2280" s="3">
        <f t="shared" si="605"/>
        <v>0</v>
      </c>
      <c r="C2280" s="3">
        <f t="shared" si="606"/>
        <v>21</v>
      </c>
      <c r="K2280" s="3">
        <f>IF(OR($K$1="",对接源_02物料!$C1080="",对接源_02物料!$C1080&lt;&gt;$K$1,对接源_02物料!$B1080=""),0,IF(OR(N(对接源_02物料!$B1080)&lt;$K$2,N(对接源_02物料!$B1080)&gt;$K$3),0,1))</f>
        <v>0</v>
      </c>
      <c r="L2280" s="3">
        <f>IF(OR($L$1="",对接源_02物料!$C1080="",对接源_02物料!$C1080&lt;&gt;$L$1,对接源_02物料!$B1080=""),0,IF(OR(N(对接源_02物料!$B1080)&lt;$L$2,N(对接源_02物料!$B1080)&gt;$L$3),0,1))</f>
        <v>0</v>
      </c>
      <c r="M2280" s="3">
        <f>IF(OR($M$1="",对接源_02物料!$C1080="",对接源_02物料!$C1080&lt;&gt;$M$1,对接源_02物料!$B1080=""),0,IF(OR(N(对接源_02物料!$B1080)&lt;$M$2,N(对接源_02物料!$B1080)&gt;$M$3),0,1))</f>
        <v>0</v>
      </c>
      <c r="N2280" s="3">
        <f>IF(OR($N$1="",对接源_02物料!$C1080="",对接源_02物料!$C1080&lt;&gt;$N$1,对接源_02物料!$B1080=""),0,IF(OR(N(对接源_02物料!$B1080)&lt;$N$2,N(对接源_02物料!$B1080)&gt;$N$3),0,1))</f>
        <v>0</v>
      </c>
      <c r="P2280" s="3">
        <f>IF(AND($K2280=1,AND(对接源_02物料!$X1080="公司筐",N(对接源_02物料!$T1080)&lt;&gt;0)),1,0)</f>
        <v>0</v>
      </c>
      <c r="Q2280" s="3">
        <f t="shared" si="607"/>
        <v>8</v>
      </c>
      <c r="R2280" s="3">
        <f>IF(AND($K2280=1,AND(对接源_02物料!$X1080="公司筐",N(对接源_02物料!$U1080)&lt;&gt;0)),1,0)</f>
        <v>0</v>
      </c>
      <c r="S2280" s="3">
        <f t="shared" si="608"/>
        <v>0</v>
      </c>
      <c r="T2280" s="3">
        <f>IF(AND($K2280=1,AND(对接源_02物料!$X1080="公司筐",N(对接源_02物料!$V1080)&lt;&gt;0)),1,0)</f>
        <v>0</v>
      </c>
      <c r="U2280" s="3">
        <f t="shared" si="609"/>
        <v>19</v>
      </c>
      <c r="V2280" s="3">
        <f>IF(AND($L2280=1,AND(对接源_02物料!$X1080="自备筐",N(对接源_02物料!$V1080)&lt;&gt;0)),1,0)</f>
        <v>0</v>
      </c>
      <c r="W2280" s="3">
        <f t="shared" si="610"/>
        <v>8</v>
      </c>
      <c r="X2280" s="3">
        <f>IF(AND($L2280=1,AND(对接源_02物料!$X1080="自备筐",N(对接源_02物料!$T1080)&lt;&gt;0)),1,0)</f>
        <v>0</v>
      </c>
      <c r="Y2280" s="3">
        <f t="shared" si="611"/>
        <v>0</v>
      </c>
      <c r="Z2280" s="3">
        <f>IF(AND($M2280=1,对接源_02物料!$D1080="原料入库"),1,0)</f>
        <v>0</v>
      </c>
      <c r="AA2280" s="3">
        <f t="shared" si="612"/>
        <v>24</v>
      </c>
      <c r="AB2280" s="3">
        <f>IF(AND($M2280=1,LEFT(对接源_02物料!$D1080,4)="原料出库"),1,0)</f>
        <v>0</v>
      </c>
      <c r="AC2280" s="3">
        <f t="shared" si="613"/>
        <v>0</v>
      </c>
      <c r="AD2280" s="3">
        <f>IF(AND($M2280=1,LEFT(对接源_02物料!$D1080,4)="成品出库"),1,0)</f>
        <v>0</v>
      </c>
      <c r="AE2280" s="3">
        <f t="shared" si="614"/>
        <v>0</v>
      </c>
      <c r="AF2280" s="3">
        <f>IF(AND($N2280=1,AND(LEFT(对接源_02物料!$D1080,4)="包装物料",N(对接源_02物料!$K1080)&lt;&gt;0)),1,0)</f>
        <v>0</v>
      </c>
      <c r="AG2280" s="3">
        <f t="shared" si="615"/>
        <v>5</v>
      </c>
      <c r="AH2280" s="3">
        <f>IF(AND($N2280=1,AND(对接源_02物料!$D1080="周转筐－销售出库",N(对接源_02物料!$K1080)&lt;&gt;0)),1,0)</f>
        <v>0</v>
      </c>
      <c r="AI2280" s="3">
        <f t="shared" si="616"/>
        <v>0</v>
      </c>
      <c r="AL2280" s="3">
        <v>0</v>
      </c>
      <c r="AM2280" s="3">
        <f t="shared" si="617"/>
        <v>1</v>
      </c>
      <c r="AN2280" s="3" t="str">
        <f t="shared" si="604"/>
        <v/>
      </c>
      <c r="AO2280" s="3">
        <v>0</v>
      </c>
      <c r="AP2280" s="3">
        <f t="shared" si="618"/>
        <v>8</v>
      </c>
      <c r="AR2280">
        <f t="shared" si="619"/>
        <v>0</v>
      </c>
      <c r="AS2280">
        <f t="shared" si="620"/>
        <v>5</v>
      </c>
    </row>
    <row r="2281" customHeight="1" spans="1:45">
      <c r="A2281" s="3" t="str">
        <f>IF(对接源_02物料!$C1081="","",对接源_02物料!$C1081)</f>
        <v/>
      </c>
      <c r="B2281" s="3">
        <f t="shared" si="605"/>
        <v>0</v>
      </c>
      <c r="C2281" s="3">
        <f t="shared" si="606"/>
        <v>21</v>
      </c>
      <c r="K2281" s="3">
        <f>IF(OR($K$1="",对接源_02物料!$C1081="",对接源_02物料!$C1081&lt;&gt;$K$1,对接源_02物料!$B1081=""),0,IF(OR(N(对接源_02物料!$B1081)&lt;$K$2,N(对接源_02物料!$B1081)&gt;$K$3),0,1))</f>
        <v>0</v>
      </c>
      <c r="L2281" s="3">
        <f>IF(OR($L$1="",对接源_02物料!$C1081="",对接源_02物料!$C1081&lt;&gt;$L$1,对接源_02物料!$B1081=""),0,IF(OR(N(对接源_02物料!$B1081)&lt;$L$2,N(对接源_02物料!$B1081)&gt;$L$3),0,1))</f>
        <v>0</v>
      </c>
      <c r="M2281" s="3">
        <f>IF(OR($M$1="",对接源_02物料!$C1081="",对接源_02物料!$C1081&lt;&gt;$M$1,对接源_02物料!$B1081=""),0,IF(OR(N(对接源_02物料!$B1081)&lt;$M$2,N(对接源_02物料!$B1081)&gt;$M$3),0,1))</f>
        <v>0</v>
      </c>
      <c r="N2281" s="3">
        <f>IF(OR($N$1="",对接源_02物料!$C1081="",对接源_02物料!$C1081&lt;&gt;$N$1,对接源_02物料!$B1081=""),0,IF(OR(N(对接源_02物料!$B1081)&lt;$N$2,N(对接源_02物料!$B1081)&gt;$N$3),0,1))</f>
        <v>0</v>
      </c>
      <c r="P2281" s="3">
        <f>IF(AND($K2281=1,AND(对接源_02物料!$X1081="公司筐",N(对接源_02物料!$T1081)&lt;&gt;0)),1,0)</f>
        <v>0</v>
      </c>
      <c r="Q2281" s="3">
        <f t="shared" si="607"/>
        <v>8</v>
      </c>
      <c r="R2281" s="3">
        <f>IF(AND($K2281=1,AND(对接源_02物料!$X1081="公司筐",N(对接源_02物料!$U1081)&lt;&gt;0)),1,0)</f>
        <v>0</v>
      </c>
      <c r="S2281" s="3">
        <f t="shared" si="608"/>
        <v>0</v>
      </c>
      <c r="T2281" s="3">
        <f>IF(AND($K2281=1,AND(对接源_02物料!$X1081="公司筐",N(对接源_02物料!$V1081)&lt;&gt;0)),1,0)</f>
        <v>0</v>
      </c>
      <c r="U2281" s="3">
        <f t="shared" si="609"/>
        <v>19</v>
      </c>
      <c r="V2281" s="3">
        <f>IF(AND($L2281=1,AND(对接源_02物料!$X1081="自备筐",N(对接源_02物料!$V1081)&lt;&gt;0)),1,0)</f>
        <v>0</v>
      </c>
      <c r="W2281" s="3">
        <f t="shared" si="610"/>
        <v>8</v>
      </c>
      <c r="X2281" s="3">
        <f>IF(AND($L2281=1,AND(对接源_02物料!$X1081="自备筐",N(对接源_02物料!$T1081)&lt;&gt;0)),1,0)</f>
        <v>0</v>
      </c>
      <c r="Y2281" s="3">
        <f t="shared" si="611"/>
        <v>0</v>
      </c>
      <c r="Z2281" s="3">
        <f>IF(AND($M2281=1,对接源_02物料!$D1081="原料入库"),1,0)</f>
        <v>0</v>
      </c>
      <c r="AA2281" s="3">
        <f t="shared" si="612"/>
        <v>24</v>
      </c>
      <c r="AB2281" s="3">
        <f>IF(AND($M2281=1,LEFT(对接源_02物料!$D1081,4)="原料出库"),1,0)</f>
        <v>0</v>
      </c>
      <c r="AC2281" s="3">
        <f t="shared" si="613"/>
        <v>0</v>
      </c>
      <c r="AD2281" s="3">
        <f>IF(AND($M2281=1,LEFT(对接源_02物料!$D1081,4)="成品出库"),1,0)</f>
        <v>0</v>
      </c>
      <c r="AE2281" s="3">
        <f t="shared" si="614"/>
        <v>0</v>
      </c>
      <c r="AF2281" s="3">
        <f>IF(AND($N2281=1,AND(LEFT(对接源_02物料!$D1081,4)="包装物料",N(对接源_02物料!$K1081)&lt;&gt;0)),1,0)</f>
        <v>0</v>
      </c>
      <c r="AG2281" s="3">
        <f t="shared" si="615"/>
        <v>5</v>
      </c>
      <c r="AH2281" s="3">
        <f>IF(AND($N2281=1,AND(对接源_02物料!$D1081="周转筐－销售出库",N(对接源_02物料!$K1081)&lt;&gt;0)),1,0)</f>
        <v>0</v>
      </c>
      <c r="AI2281" s="3">
        <f t="shared" si="616"/>
        <v>0</v>
      </c>
      <c r="AL2281" s="3">
        <v>0</v>
      </c>
      <c r="AM2281" s="3">
        <f t="shared" si="617"/>
        <v>1</v>
      </c>
      <c r="AN2281" s="3" t="str">
        <f t="shared" si="604"/>
        <v/>
      </c>
      <c r="AO2281" s="3">
        <v>0</v>
      </c>
      <c r="AP2281" s="3">
        <f t="shared" si="618"/>
        <v>8</v>
      </c>
      <c r="AR2281">
        <f t="shared" si="619"/>
        <v>0</v>
      </c>
      <c r="AS2281">
        <f t="shared" si="620"/>
        <v>5</v>
      </c>
    </row>
    <row r="2282" customHeight="1" spans="1:45">
      <c r="A2282" s="3" t="str">
        <f>IF(对接源_02物料!$C1082="","",对接源_02物料!$C1082)</f>
        <v/>
      </c>
      <c r="B2282" s="3">
        <f t="shared" si="605"/>
        <v>0</v>
      </c>
      <c r="C2282" s="3">
        <f t="shared" si="606"/>
        <v>21</v>
      </c>
      <c r="K2282" s="3">
        <f>IF(OR($K$1="",对接源_02物料!$C1082="",对接源_02物料!$C1082&lt;&gt;$K$1,对接源_02物料!$B1082=""),0,IF(OR(N(对接源_02物料!$B1082)&lt;$K$2,N(对接源_02物料!$B1082)&gt;$K$3),0,1))</f>
        <v>0</v>
      </c>
      <c r="L2282" s="3">
        <f>IF(OR($L$1="",对接源_02物料!$C1082="",对接源_02物料!$C1082&lt;&gt;$L$1,对接源_02物料!$B1082=""),0,IF(OR(N(对接源_02物料!$B1082)&lt;$L$2,N(对接源_02物料!$B1082)&gt;$L$3),0,1))</f>
        <v>0</v>
      </c>
      <c r="M2282" s="3">
        <f>IF(OR($M$1="",对接源_02物料!$C1082="",对接源_02物料!$C1082&lt;&gt;$M$1,对接源_02物料!$B1082=""),0,IF(OR(N(对接源_02物料!$B1082)&lt;$M$2,N(对接源_02物料!$B1082)&gt;$M$3),0,1))</f>
        <v>0</v>
      </c>
      <c r="N2282" s="3">
        <f>IF(OR($N$1="",对接源_02物料!$C1082="",对接源_02物料!$C1082&lt;&gt;$N$1,对接源_02物料!$B1082=""),0,IF(OR(N(对接源_02物料!$B1082)&lt;$N$2,N(对接源_02物料!$B1082)&gt;$N$3),0,1))</f>
        <v>0</v>
      </c>
      <c r="P2282" s="3">
        <f>IF(AND($K2282=1,AND(对接源_02物料!$X1082="公司筐",N(对接源_02物料!$T1082)&lt;&gt;0)),1,0)</f>
        <v>0</v>
      </c>
      <c r="Q2282" s="3">
        <f t="shared" si="607"/>
        <v>8</v>
      </c>
      <c r="R2282" s="3">
        <f>IF(AND($K2282=1,AND(对接源_02物料!$X1082="公司筐",N(对接源_02物料!$U1082)&lt;&gt;0)),1,0)</f>
        <v>0</v>
      </c>
      <c r="S2282" s="3">
        <f t="shared" si="608"/>
        <v>0</v>
      </c>
      <c r="T2282" s="3">
        <f>IF(AND($K2282=1,AND(对接源_02物料!$X1082="公司筐",N(对接源_02物料!$V1082)&lt;&gt;0)),1,0)</f>
        <v>0</v>
      </c>
      <c r="U2282" s="3">
        <f t="shared" si="609"/>
        <v>19</v>
      </c>
      <c r="V2282" s="3">
        <f>IF(AND($L2282=1,AND(对接源_02物料!$X1082="自备筐",N(对接源_02物料!$V1082)&lt;&gt;0)),1,0)</f>
        <v>0</v>
      </c>
      <c r="W2282" s="3">
        <f t="shared" si="610"/>
        <v>8</v>
      </c>
      <c r="X2282" s="3">
        <f>IF(AND($L2282=1,AND(对接源_02物料!$X1082="自备筐",N(对接源_02物料!$T1082)&lt;&gt;0)),1,0)</f>
        <v>0</v>
      </c>
      <c r="Y2282" s="3">
        <f t="shared" si="611"/>
        <v>0</v>
      </c>
      <c r="Z2282" s="3">
        <f>IF(AND($M2282=1,对接源_02物料!$D1082="原料入库"),1,0)</f>
        <v>0</v>
      </c>
      <c r="AA2282" s="3">
        <f t="shared" si="612"/>
        <v>24</v>
      </c>
      <c r="AB2282" s="3">
        <f>IF(AND($M2282=1,LEFT(对接源_02物料!$D1082,4)="原料出库"),1,0)</f>
        <v>0</v>
      </c>
      <c r="AC2282" s="3">
        <f t="shared" si="613"/>
        <v>0</v>
      </c>
      <c r="AD2282" s="3">
        <f>IF(AND($M2282=1,LEFT(对接源_02物料!$D1082,4)="成品出库"),1,0)</f>
        <v>0</v>
      </c>
      <c r="AE2282" s="3">
        <f t="shared" si="614"/>
        <v>0</v>
      </c>
      <c r="AF2282" s="3">
        <f>IF(AND($N2282=1,AND(LEFT(对接源_02物料!$D1082,4)="包装物料",N(对接源_02物料!$K1082)&lt;&gt;0)),1,0)</f>
        <v>0</v>
      </c>
      <c r="AG2282" s="3">
        <f t="shared" si="615"/>
        <v>5</v>
      </c>
      <c r="AH2282" s="3">
        <f>IF(AND($N2282=1,AND(对接源_02物料!$D1082="周转筐－销售出库",N(对接源_02物料!$K1082)&lt;&gt;0)),1,0)</f>
        <v>0</v>
      </c>
      <c r="AI2282" s="3">
        <f t="shared" si="616"/>
        <v>0</v>
      </c>
      <c r="AL2282" s="3">
        <v>0</v>
      </c>
      <c r="AM2282" s="3">
        <f t="shared" si="617"/>
        <v>1</v>
      </c>
      <c r="AN2282" s="3" t="str">
        <f t="shared" si="604"/>
        <v/>
      </c>
      <c r="AO2282" s="3">
        <v>0</v>
      </c>
      <c r="AP2282" s="3">
        <f t="shared" si="618"/>
        <v>8</v>
      </c>
      <c r="AR2282">
        <f t="shared" si="619"/>
        <v>0</v>
      </c>
      <c r="AS2282">
        <f t="shared" si="620"/>
        <v>5</v>
      </c>
    </row>
    <row r="2283" customHeight="1" spans="1:45">
      <c r="A2283" s="3" t="str">
        <f>IF(对接源_02物料!$C1083="","",对接源_02物料!$C1083)</f>
        <v/>
      </c>
      <c r="B2283" s="3">
        <f t="shared" si="605"/>
        <v>0</v>
      </c>
      <c r="C2283" s="3">
        <f t="shared" si="606"/>
        <v>21</v>
      </c>
      <c r="K2283" s="3">
        <f>IF(OR($K$1="",对接源_02物料!$C1083="",对接源_02物料!$C1083&lt;&gt;$K$1,对接源_02物料!$B1083=""),0,IF(OR(N(对接源_02物料!$B1083)&lt;$K$2,N(对接源_02物料!$B1083)&gt;$K$3),0,1))</f>
        <v>0</v>
      </c>
      <c r="L2283" s="3">
        <f>IF(OR($L$1="",对接源_02物料!$C1083="",对接源_02物料!$C1083&lt;&gt;$L$1,对接源_02物料!$B1083=""),0,IF(OR(N(对接源_02物料!$B1083)&lt;$L$2,N(对接源_02物料!$B1083)&gt;$L$3),0,1))</f>
        <v>0</v>
      </c>
      <c r="M2283" s="3">
        <f>IF(OR($M$1="",对接源_02物料!$C1083="",对接源_02物料!$C1083&lt;&gt;$M$1,对接源_02物料!$B1083=""),0,IF(OR(N(对接源_02物料!$B1083)&lt;$M$2,N(对接源_02物料!$B1083)&gt;$M$3),0,1))</f>
        <v>0</v>
      </c>
      <c r="N2283" s="3">
        <f>IF(OR($N$1="",对接源_02物料!$C1083="",对接源_02物料!$C1083&lt;&gt;$N$1,对接源_02物料!$B1083=""),0,IF(OR(N(对接源_02物料!$B1083)&lt;$N$2,N(对接源_02物料!$B1083)&gt;$N$3),0,1))</f>
        <v>0</v>
      </c>
      <c r="P2283" s="3">
        <f>IF(AND($K2283=1,AND(对接源_02物料!$X1083="公司筐",N(对接源_02物料!$T1083)&lt;&gt;0)),1,0)</f>
        <v>0</v>
      </c>
      <c r="Q2283" s="3">
        <f t="shared" si="607"/>
        <v>8</v>
      </c>
      <c r="R2283" s="3">
        <f>IF(AND($K2283=1,AND(对接源_02物料!$X1083="公司筐",N(对接源_02物料!$U1083)&lt;&gt;0)),1,0)</f>
        <v>0</v>
      </c>
      <c r="S2283" s="3">
        <f t="shared" si="608"/>
        <v>0</v>
      </c>
      <c r="T2283" s="3">
        <f>IF(AND($K2283=1,AND(对接源_02物料!$X1083="公司筐",N(对接源_02物料!$V1083)&lt;&gt;0)),1,0)</f>
        <v>0</v>
      </c>
      <c r="U2283" s="3">
        <f t="shared" si="609"/>
        <v>19</v>
      </c>
      <c r="V2283" s="3">
        <f>IF(AND($L2283=1,AND(对接源_02物料!$X1083="自备筐",N(对接源_02物料!$V1083)&lt;&gt;0)),1,0)</f>
        <v>0</v>
      </c>
      <c r="W2283" s="3">
        <f t="shared" si="610"/>
        <v>8</v>
      </c>
      <c r="X2283" s="3">
        <f>IF(AND($L2283=1,AND(对接源_02物料!$X1083="自备筐",N(对接源_02物料!$T1083)&lt;&gt;0)),1,0)</f>
        <v>0</v>
      </c>
      <c r="Y2283" s="3">
        <f t="shared" si="611"/>
        <v>0</v>
      </c>
      <c r="Z2283" s="3">
        <f>IF(AND($M2283=1,对接源_02物料!$D1083="原料入库"),1,0)</f>
        <v>0</v>
      </c>
      <c r="AA2283" s="3">
        <f t="shared" si="612"/>
        <v>24</v>
      </c>
      <c r="AB2283" s="3">
        <f>IF(AND($M2283=1,LEFT(对接源_02物料!$D1083,4)="原料出库"),1,0)</f>
        <v>0</v>
      </c>
      <c r="AC2283" s="3">
        <f t="shared" si="613"/>
        <v>0</v>
      </c>
      <c r="AD2283" s="3">
        <f>IF(AND($M2283=1,LEFT(对接源_02物料!$D1083,4)="成品出库"),1,0)</f>
        <v>0</v>
      </c>
      <c r="AE2283" s="3">
        <f t="shared" si="614"/>
        <v>0</v>
      </c>
      <c r="AF2283" s="3">
        <f>IF(AND($N2283=1,AND(LEFT(对接源_02物料!$D1083,4)="包装物料",N(对接源_02物料!$K1083)&lt;&gt;0)),1,0)</f>
        <v>0</v>
      </c>
      <c r="AG2283" s="3">
        <f t="shared" si="615"/>
        <v>5</v>
      </c>
      <c r="AH2283" s="3">
        <f>IF(AND($N2283=1,AND(对接源_02物料!$D1083="周转筐－销售出库",N(对接源_02物料!$K1083)&lt;&gt;0)),1,0)</f>
        <v>0</v>
      </c>
      <c r="AI2283" s="3">
        <f t="shared" si="616"/>
        <v>0</v>
      </c>
      <c r="AL2283" s="3">
        <v>0</v>
      </c>
      <c r="AM2283" s="3">
        <f t="shared" si="617"/>
        <v>1</v>
      </c>
      <c r="AN2283" s="3" t="str">
        <f t="shared" si="604"/>
        <v/>
      </c>
      <c r="AO2283" s="3">
        <v>0</v>
      </c>
      <c r="AP2283" s="3">
        <f t="shared" si="618"/>
        <v>8</v>
      </c>
      <c r="AR2283">
        <f t="shared" si="619"/>
        <v>0</v>
      </c>
      <c r="AS2283">
        <f t="shared" si="620"/>
        <v>5</v>
      </c>
    </row>
    <row r="2284" customHeight="1" spans="1:45">
      <c r="A2284" s="3" t="str">
        <f>IF(对接源_02物料!$C1084="","",对接源_02物料!$C1084)</f>
        <v/>
      </c>
      <c r="B2284" s="3">
        <f t="shared" si="605"/>
        <v>0</v>
      </c>
      <c r="C2284" s="3">
        <f t="shared" si="606"/>
        <v>21</v>
      </c>
      <c r="K2284" s="3">
        <f>IF(OR($K$1="",对接源_02物料!$C1084="",对接源_02物料!$C1084&lt;&gt;$K$1,对接源_02物料!$B1084=""),0,IF(OR(N(对接源_02物料!$B1084)&lt;$K$2,N(对接源_02物料!$B1084)&gt;$K$3),0,1))</f>
        <v>0</v>
      </c>
      <c r="L2284" s="3">
        <f>IF(OR($L$1="",对接源_02物料!$C1084="",对接源_02物料!$C1084&lt;&gt;$L$1,对接源_02物料!$B1084=""),0,IF(OR(N(对接源_02物料!$B1084)&lt;$L$2,N(对接源_02物料!$B1084)&gt;$L$3),0,1))</f>
        <v>0</v>
      </c>
      <c r="M2284" s="3">
        <f>IF(OR($M$1="",对接源_02物料!$C1084="",对接源_02物料!$C1084&lt;&gt;$M$1,对接源_02物料!$B1084=""),0,IF(OR(N(对接源_02物料!$B1084)&lt;$M$2,N(对接源_02物料!$B1084)&gt;$M$3),0,1))</f>
        <v>0</v>
      </c>
      <c r="N2284" s="3">
        <f>IF(OR($N$1="",对接源_02物料!$C1084="",对接源_02物料!$C1084&lt;&gt;$N$1,对接源_02物料!$B1084=""),0,IF(OR(N(对接源_02物料!$B1084)&lt;$N$2,N(对接源_02物料!$B1084)&gt;$N$3),0,1))</f>
        <v>0</v>
      </c>
      <c r="P2284" s="3">
        <f>IF(AND($K2284=1,AND(对接源_02物料!$X1084="公司筐",N(对接源_02物料!$T1084)&lt;&gt;0)),1,0)</f>
        <v>0</v>
      </c>
      <c r="Q2284" s="3">
        <f t="shared" si="607"/>
        <v>8</v>
      </c>
      <c r="R2284" s="3">
        <f>IF(AND($K2284=1,AND(对接源_02物料!$X1084="公司筐",N(对接源_02物料!$U1084)&lt;&gt;0)),1,0)</f>
        <v>0</v>
      </c>
      <c r="S2284" s="3">
        <f t="shared" si="608"/>
        <v>0</v>
      </c>
      <c r="T2284" s="3">
        <f>IF(AND($K2284=1,AND(对接源_02物料!$X1084="公司筐",N(对接源_02物料!$V1084)&lt;&gt;0)),1,0)</f>
        <v>0</v>
      </c>
      <c r="U2284" s="3">
        <f t="shared" si="609"/>
        <v>19</v>
      </c>
      <c r="V2284" s="3">
        <f>IF(AND($L2284=1,AND(对接源_02物料!$X1084="自备筐",N(对接源_02物料!$V1084)&lt;&gt;0)),1,0)</f>
        <v>0</v>
      </c>
      <c r="W2284" s="3">
        <f t="shared" si="610"/>
        <v>8</v>
      </c>
      <c r="X2284" s="3">
        <f>IF(AND($L2284=1,AND(对接源_02物料!$X1084="自备筐",N(对接源_02物料!$T1084)&lt;&gt;0)),1,0)</f>
        <v>0</v>
      </c>
      <c r="Y2284" s="3">
        <f t="shared" si="611"/>
        <v>0</v>
      </c>
      <c r="Z2284" s="3">
        <f>IF(AND($M2284=1,对接源_02物料!$D1084="原料入库"),1,0)</f>
        <v>0</v>
      </c>
      <c r="AA2284" s="3">
        <f t="shared" si="612"/>
        <v>24</v>
      </c>
      <c r="AB2284" s="3">
        <f>IF(AND($M2284=1,LEFT(对接源_02物料!$D1084,4)="原料出库"),1,0)</f>
        <v>0</v>
      </c>
      <c r="AC2284" s="3">
        <f t="shared" si="613"/>
        <v>0</v>
      </c>
      <c r="AD2284" s="3">
        <f>IF(AND($M2284=1,LEFT(对接源_02物料!$D1084,4)="成品出库"),1,0)</f>
        <v>0</v>
      </c>
      <c r="AE2284" s="3">
        <f t="shared" si="614"/>
        <v>0</v>
      </c>
      <c r="AF2284" s="3">
        <f>IF(AND($N2284=1,AND(LEFT(对接源_02物料!$D1084,4)="包装物料",N(对接源_02物料!$K1084)&lt;&gt;0)),1,0)</f>
        <v>0</v>
      </c>
      <c r="AG2284" s="3">
        <f t="shared" si="615"/>
        <v>5</v>
      </c>
      <c r="AH2284" s="3">
        <f>IF(AND($N2284=1,AND(对接源_02物料!$D1084="周转筐－销售出库",N(对接源_02物料!$K1084)&lt;&gt;0)),1,0)</f>
        <v>0</v>
      </c>
      <c r="AI2284" s="3">
        <f t="shared" si="616"/>
        <v>0</v>
      </c>
      <c r="AL2284" s="3">
        <v>0</v>
      </c>
      <c r="AM2284" s="3">
        <f t="shared" si="617"/>
        <v>1</v>
      </c>
      <c r="AN2284" s="3" t="str">
        <f t="shared" si="604"/>
        <v/>
      </c>
      <c r="AO2284" s="3">
        <v>0</v>
      </c>
      <c r="AP2284" s="3">
        <f t="shared" si="618"/>
        <v>8</v>
      </c>
      <c r="AR2284">
        <f t="shared" si="619"/>
        <v>0</v>
      </c>
      <c r="AS2284">
        <f t="shared" si="620"/>
        <v>5</v>
      </c>
    </row>
    <row r="2285" customHeight="1" spans="1:45">
      <c r="A2285" s="3" t="str">
        <f>IF(对接源_02物料!$C1085="","",对接源_02物料!$C1085)</f>
        <v/>
      </c>
      <c r="B2285" s="3">
        <f t="shared" si="605"/>
        <v>0</v>
      </c>
      <c r="C2285" s="3">
        <f t="shared" si="606"/>
        <v>21</v>
      </c>
      <c r="K2285" s="3">
        <f>IF(OR($K$1="",对接源_02物料!$C1085="",对接源_02物料!$C1085&lt;&gt;$K$1,对接源_02物料!$B1085=""),0,IF(OR(N(对接源_02物料!$B1085)&lt;$K$2,N(对接源_02物料!$B1085)&gt;$K$3),0,1))</f>
        <v>0</v>
      </c>
      <c r="L2285" s="3">
        <f>IF(OR($L$1="",对接源_02物料!$C1085="",对接源_02物料!$C1085&lt;&gt;$L$1,对接源_02物料!$B1085=""),0,IF(OR(N(对接源_02物料!$B1085)&lt;$L$2,N(对接源_02物料!$B1085)&gt;$L$3),0,1))</f>
        <v>0</v>
      </c>
      <c r="M2285" s="3">
        <f>IF(OR($M$1="",对接源_02物料!$C1085="",对接源_02物料!$C1085&lt;&gt;$M$1,对接源_02物料!$B1085=""),0,IF(OR(N(对接源_02物料!$B1085)&lt;$M$2,N(对接源_02物料!$B1085)&gt;$M$3),0,1))</f>
        <v>0</v>
      </c>
      <c r="N2285" s="3">
        <f>IF(OR($N$1="",对接源_02物料!$C1085="",对接源_02物料!$C1085&lt;&gt;$N$1,对接源_02物料!$B1085=""),0,IF(OR(N(对接源_02物料!$B1085)&lt;$N$2,N(对接源_02物料!$B1085)&gt;$N$3),0,1))</f>
        <v>0</v>
      </c>
      <c r="P2285" s="3">
        <f>IF(AND($K2285=1,AND(对接源_02物料!$X1085="公司筐",N(对接源_02物料!$T1085)&lt;&gt;0)),1,0)</f>
        <v>0</v>
      </c>
      <c r="Q2285" s="3">
        <f t="shared" si="607"/>
        <v>8</v>
      </c>
      <c r="R2285" s="3">
        <f>IF(AND($K2285=1,AND(对接源_02物料!$X1085="公司筐",N(对接源_02物料!$U1085)&lt;&gt;0)),1,0)</f>
        <v>0</v>
      </c>
      <c r="S2285" s="3">
        <f t="shared" si="608"/>
        <v>0</v>
      </c>
      <c r="T2285" s="3">
        <f>IF(AND($K2285=1,AND(对接源_02物料!$X1085="公司筐",N(对接源_02物料!$V1085)&lt;&gt;0)),1,0)</f>
        <v>0</v>
      </c>
      <c r="U2285" s="3">
        <f t="shared" si="609"/>
        <v>19</v>
      </c>
      <c r="V2285" s="3">
        <f>IF(AND($L2285=1,AND(对接源_02物料!$X1085="自备筐",N(对接源_02物料!$V1085)&lt;&gt;0)),1,0)</f>
        <v>0</v>
      </c>
      <c r="W2285" s="3">
        <f t="shared" si="610"/>
        <v>8</v>
      </c>
      <c r="X2285" s="3">
        <f>IF(AND($L2285=1,AND(对接源_02物料!$X1085="自备筐",N(对接源_02物料!$T1085)&lt;&gt;0)),1,0)</f>
        <v>0</v>
      </c>
      <c r="Y2285" s="3">
        <f t="shared" si="611"/>
        <v>0</v>
      </c>
      <c r="Z2285" s="3">
        <f>IF(AND($M2285=1,对接源_02物料!$D1085="原料入库"),1,0)</f>
        <v>0</v>
      </c>
      <c r="AA2285" s="3">
        <f t="shared" si="612"/>
        <v>24</v>
      </c>
      <c r="AB2285" s="3">
        <f>IF(AND($M2285=1,LEFT(对接源_02物料!$D1085,4)="原料出库"),1,0)</f>
        <v>0</v>
      </c>
      <c r="AC2285" s="3">
        <f t="shared" si="613"/>
        <v>0</v>
      </c>
      <c r="AD2285" s="3">
        <f>IF(AND($M2285=1,LEFT(对接源_02物料!$D1085,4)="成品出库"),1,0)</f>
        <v>0</v>
      </c>
      <c r="AE2285" s="3">
        <f t="shared" si="614"/>
        <v>0</v>
      </c>
      <c r="AF2285" s="3">
        <f>IF(AND($N2285=1,AND(LEFT(对接源_02物料!$D1085,4)="包装物料",N(对接源_02物料!$K1085)&lt;&gt;0)),1,0)</f>
        <v>0</v>
      </c>
      <c r="AG2285" s="3">
        <f t="shared" si="615"/>
        <v>5</v>
      </c>
      <c r="AH2285" s="3">
        <f>IF(AND($N2285=1,AND(对接源_02物料!$D1085="周转筐－销售出库",N(对接源_02物料!$K1085)&lt;&gt;0)),1,0)</f>
        <v>0</v>
      </c>
      <c r="AI2285" s="3">
        <f t="shared" si="616"/>
        <v>0</v>
      </c>
      <c r="AL2285" s="3">
        <v>0</v>
      </c>
      <c r="AM2285" s="3">
        <f t="shared" si="617"/>
        <v>1</v>
      </c>
      <c r="AN2285" s="3" t="str">
        <f t="shared" si="604"/>
        <v/>
      </c>
      <c r="AO2285" s="3">
        <v>0</v>
      </c>
      <c r="AP2285" s="3">
        <f t="shared" si="618"/>
        <v>8</v>
      </c>
      <c r="AR2285">
        <f t="shared" si="619"/>
        <v>0</v>
      </c>
      <c r="AS2285">
        <f t="shared" si="620"/>
        <v>5</v>
      </c>
    </row>
    <row r="2286" customHeight="1" spans="1:45">
      <c r="A2286" s="3" t="str">
        <f>IF(对接源_02物料!$C1086="","",对接源_02物料!$C1086)</f>
        <v/>
      </c>
      <c r="B2286" s="3">
        <f t="shared" si="605"/>
        <v>0</v>
      </c>
      <c r="C2286" s="3">
        <f t="shared" si="606"/>
        <v>21</v>
      </c>
      <c r="K2286" s="3">
        <f>IF(OR($K$1="",对接源_02物料!$C1086="",对接源_02物料!$C1086&lt;&gt;$K$1,对接源_02物料!$B1086=""),0,IF(OR(N(对接源_02物料!$B1086)&lt;$K$2,N(对接源_02物料!$B1086)&gt;$K$3),0,1))</f>
        <v>0</v>
      </c>
      <c r="L2286" s="3">
        <f>IF(OR($L$1="",对接源_02物料!$C1086="",对接源_02物料!$C1086&lt;&gt;$L$1,对接源_02物料!$B1086=""),0,IF(OR(N(对接源_02物料!$B1086)&lt;$L$2,N(对接源_02物料!$B1086)&gt;$L$3),0,1))</f>
        <v>0</v>
      </c>
      <c r="M2286" s="3">
        <f>IF(OR($M$1="",对接源_02物料!$C1086="",对接源_02物料!$C1086&lt;&gt;$M$1,对接源_02物料!$B1086=""),0,IF(OR(N(对接源_02物料!$B1086)&lt;$M$2,N(对接源_02物料!$B1086)&gt;$M$3),0,1))</f>
        <v>0</v>
      </c>
      <c r="N2286" s="3">
        <f>IF(OR($N$1="",对接源_02物料!$C1086="",对接源_02物料!$C1086&lt;&gt;$N$1,对接源_02物料!$B1086=""),0,IF(OR(N(对接源_02物料!$B1086)&lt;$N$2,N(对接源_02物料!$B1086)&gt;$N$3),0,1))</f>
        <v>0</v>
      </c>
      <c r="P2286" s="3">
        <f>IF(AND($K2286=1,AND(对接源_02物料!$X1086="公司筐",N(对接源_02物料!$T1086)&lt;&gt;0)),1,0)</f>
        <v>0</v>
      </c>
      <c r="Q2286" s="3">
        <f t="shared" si="607"/>
        <v>8</v>
      </c>
      <c r="R2286" s="3">
        <f>IF(AND($K2286=1,AND(对接源_02物料!$X1086="公司筐",N(对接源_02物料!$U1086)&lt;&gt;0)),1,0)</f>
        <v>0</v>
      </c>
      <c r="S2286" s="3">
        <f t="shared" si="608"/>
        <v>0</v>
      </c>
      <c r="T2286" s="3">
        <f>IF(AND($K2286=1,AND(对接源_02物料!$X1086="公司筐",N(对接源_02物料!$V1086)&lt;&gt;0)),1,0)</f>
        <v>0</v>
      </c>
      <c r="U2286" s="3">
        <f t="shared" si="609"/>
        <v>19</v>
      </c>
      <c r="V2286" s="3">
        <f>IF(AND($L2286=1,AND(对接源_02物料!$X1086="自备筐",N(对接源_02物料!$V1086)&lt;&gt;0)),1,0)</f>
        <v>0</v>
      </c>
      <c r="W2286" s="3">
        <f t="shared" si="610"/>
        <v>8</v>
      </c>
      <c r="X2286" s="3">
        <f>IF(AND($L2286=1,AND(对接源_02物料!$X1086="自备筐",N(对接源_02物料!$T1086)&lt;&gt;0)),1,0)</f>
        <v>0</v>
      </c>
      <c r="Y2286" s="3">
        <f t="shared" si="611"/>
        <v>0</v>
      </c>
      <c r="Z2286" s="3">
        <f>IF(AND($M2286=1,对接源_02物料!$D1086="原料入库"),1,0)</f>
        <v>0</v>
      </c>
      <c r="AA2286" s="3">
        <f t="shared" si="612"/>
        <v>24</v>
      </c>
      <c r="AB2286" s="3">
        <f>IF(AND($M2286=1,LEFT(对接源_02物料!$D1086,4)="原料出库"),1,0)</f>
        <v>0</v>
      </c>
      <c r="AC2286" s="3">
        <f t="shared" si="613"/>
        <v>0</v>
      </c>
      <c r="AD2286" s="3">
        <f>IF(AND($M2286=1,LEFT(对接源_02物料!$D1086,4)="成品出库"),1,0)</f>
        <v>0</v>
      </c>
      <c r="AE2286" s="3">
        <f t="shared" si="614"/>
        <v>0</v>
      </c>
      <c r="AF2286" s="3">
        <f>IF(AND($N2286=1,AND(LEFT(对接源_02物料!$D1086,4)="包装物料",N(对接源_02物料!$K1086)&lt;&gt;0)),1,0)</f>
        <v>0</v>
      </c>
      <c r="AG2286" s="3">
        <f t="shared" si="615"/>
        <v>5</v>
      </c>
      <c r="AH2286" s="3">
        <f>IF(AND($N2286=1,AND(对接源_02物料!$D1086="周转筐－销售出库",N(对接源_02物料!$K1086)&lt;&gt;0)),1,0)</f>
        <v>0</v>
      </c>
      <c r="AI2286" s="3">
        <f t="shared" si="616"/>
        <v>0</v>
      </c>
      <c r="AL2286" s="3">
        <v>0</v>
      </c>
      <c r="AM2286" s="3">
        <f t="shared" si="617"/>
        <v>1</v>
      </c>
      <c r="AN2286" s="3" t="str">
        <f t="shared" si="604"/>
        <v/>
      </c>
      <c r="AO2286" s="3">
        <v>0</v>
      </c>
      <c r="AP2286" s="3">
        <f t="shared" si="618"/>
        <v>8</v>
      </c>
      <c r="AR2286">
        <f t="shared" si="619"/>
        <v>0</v>
      </c>
      <c r="AS2286">
        <f t="shared" si="620"/>
        <v>5</v>
      </c>
    </row>
    <row r="2287" customHeight="1" spans="1:45">
      <c r="A2287" s="3" t="str">
        <f>IF(对接源_02物料!$C1087="","",对接源_02物料!$C1087)</f>
        <v/>
      </c>
      <c r="B2287" s="3">
        <f t="shared" si="605"/>
        <v>0</v>
      </c>
      <c r="C2287" s="3">
        <f t="shared" si="606"/>
        <v>21</v>
      </c>
      <c r="K2287" s="3">
        <f>IF(OR($K$1="",对接源_02物料!$C1087="",对接源_02物料!$C1087&lt;&gt;$K$1,对接源_02物料!$B1087=""),0,IF(OR(N(对接源_02物料!$B1087)&lt;$K$2,N(对接源_02物料!$B1087)&gt;$K$3),0,1))</f>
        <v>0</v>
      </c>
      <c r="L2287" s="3">
        <f>IF(OR($L$1="",对接源_02物料!$C1087="",对接源_02物料!$C1087&lt;&gt;$L$1,对接源_02物料!$B1087=""),0,IF(OR(N(对接源_02物料!$B1087)&lt;$L$2,N(对接源_02物料!$B1087)&gt;$L$3),0,1))</f>
        <v>0</v>
      </c>
      <c r="M2287" s="3">
        <f>IF(OR($M$1="",对接源_02物料!$C1087="",对接源_02物料!$C1087&lt;&gt;$M$1,对接源_02物料!$B1087=""),0,IF(OR(N(对接源_02物料!$B1087)&lt;$M$2,N(对接源_02物料!$B1087)&gt;$M$3),0,1))</f>
        <v>0</v>
      </c>
      <c r="N2287" s="3">
        <f>IF(OR($N$1="",对接源_02物料!$C1087="",对接源_02物料!$C1087&lt;&gt;$N$1,对接源_02物料!$B1087=""),0,IF(OR(N(对接源_02物料!$B1087)&lt;$N$2,N(对接源_02物料!$B1087)&gt;$N$3),0,1))</f>
        <v>0</v>
      </c>
      <c r="P2287" s="3">
        <f>IF(AND($K2287=1,AND(对接源_02物料!$X1087="公司筐",N(对接源_02物料!$T1087)&lt;&gt;0)),1,0)</f>
        <v>0</v>
      </c>
      <c r="Q2287" s="3">
        <f t="shared" si="607"/>
        <v>8</v>
      </c>
      <c r="R2287" s="3">
        <f>IF(AND($K2287=1,AND(对接源_02物料!$X1087="公司筐",N(对接源_02物料!$U1087)&lt;&gt;0)),1,0)</f>
        <v>0</v>
      </c>
      <c r="S2287" s="3">
        <f t="shared" si="608"/>
        <v>0</v>
      </c>
      <c r="T2287" s="3">
        <f>IF(AND($K2287=1,AND(对接源_02物料!$X1087="公司筐",N(对接源_02物料!$V1087)&lt;&gt;0)),1,0)</f>
        <v>0</v>
      </c>
      <c r="U2287" s="3">
        <f t="shared" si="609"/>
        <v>19</v>
      </c>
      <c r="V2287" s="3">
        <f>IF(AND($L2287=1,AND(对接源_02物料!$X1087="自备筐",N(对接源_02物料!$V1087)&lt;&gt;0)),1,0)</f>
        <v>0</v>
      </c>
      <c r="W2287" s="3">
        <f t="shared" si="610"/>
        <v>8</v>
      </c>
      <c r="X2287" s="3">
        <f>IF(AND($L2287=1,AND(对接源_02物料!$X1087="自备筐",N(对接源_02物料!$T1087)&lt;&gt;0)),1,0)</f>
        <v>0</v>
      </c>
      <c r="Y2287" s="3">
        <f t="shared" si="611"/>
        <v>0</v>
      </c>
      <c r="Z2287" s="3">
        <f>IF(AND($M2287=1,对接源_02物料!$D1087="原料入库"),1,0)</f>
        <v>0</v>
      </c>
      <c r="AA2287" s="3">
        <f t="shared" si="612"/>
        <v>24</v>
      </c>
      <c r="AB2287" s="3">
        <f>IF(AND($M2287=1,LEFT(对接源_02物料!$D1087,4)="原料出库"),1,0)</f>
        <v>0</v>
      </c>
      <c r="AC2287" s="3">
        <f t="shared" si="613"/>
        <v>0</v>
      </c>
      <c r="AD2287" s="3">
        <f>IF(AND($M2287=1,LEFT(对接源_02物料!$D1087,4)="成品出库"),1,0)</f>
        <v>0</v>
      </c>
      <c r="AE2287" s="3">
        <f t="shared" si="614"/>
        <v>0</v>
      </c>
      <c r="AF2287" s="3">
        <f>IF(AND($N2287=1,AND(LEFT(对接源_02物料!$D1087,4)="包装物料",N(对接源_02物料!$K1087)&lt;&gt;0)),1,0)</f>
        <v>0</v>
      </c>
      <c r="AG2287" s="3">
        <f t="shared" si="615"/>
        <v>5</v>
      </c>
      <c r="AH2287" s="3">
        <f>IF(AND($N2287=1,AND(对接源_02物料!$D1087="周转筐－销售出库",N(对接源_02物料!$K1087)&lt;&gt;0)),1,0)</f>
        <v>0</v>
      </c>
      <c r="AI2287" s="3">
        <f t="shared" si="616"/>
        <v>0</v>
      </c>
      <c r="AL2287" s="3">
        <v>0</v>
      </c>
      <c r="AM2287" s="3">
        <f t="shared" si="617"/>
        <v>1</v>
      </c>
      <c r="AN2287" s="3" t="str">
        <f t="shared" si="604"/>
        <v/>
      </c>
      <c r="AO2287" s="3">
        <v>0</v>
      </c>
      <c r="AP2287" s="3">
        <f t="shared" si="618"/>
        <v>8</v>
      </c>
      <c r="AR2287">
        <f t="shared" si="619"/>
        <v>0</v>
      </c>
      <c r="AS2287">
        <f t="shared" si="620"/>
        <v>5</v>
      </c>
    </row>
    <row r="2288" customHeight="1" spans="1:45">
      <c r="A2288" s="3" t="str">
        <f>IF(对接源_02物料!$C1088="","",对接源_02物料!$C1088)</f>
        <v/>
      </c>
      <c r="B2288" s="3">
        <f t="shared" si="605"/>
        <v>0</v>
      </c>
      <c r="C2288" s="3">
        <f t="shared" si="606"/>
        <v>21</v>
      </c>
      <c r="K2288" s="3">
        <f>IF(OR($K$1="",对接源_02物料!$C1088="",对接源_02物料!$C1088&lt;&gt;$K$1,对接源_02物料!$B1088=""),0,IF(OR(N(对接源_02物料!$B1088)&lt;$K$2,N(对接源_02物料!$B1088)&gt;$K$3),0,1))</f>
        <v>0</v>
      </c>
      <c r="L2288" s="3">
        <f>IF(OR($L$1="",对接源_02物料!$C1088="",对接源_02物料!$C1088&lt;&gt;$L$1,对接源_02物料!$B1088=""),0,IF(OR(N(对接源_02物料!$B1088)&lt;$L$2,N(对接源_02物料!$B1088)&gt;$L$3),0,1))</f>
        <v>0</v>
      </c>
      <c r="M2288" s="3">
        <f>IF(OR($M$1="",对接源_02物料!$C1088="",对接源_02物料!$C1088&lt;&gt;$M$1,对接源_02物料!$B1088=""),0,IF(OR(N(对接源_02物料!$B1088)&lt;$M$2,N(对接源_02物料!$B1088)&gt;$M$3),0,1))</f>
        <v>0</v>
      </c>
      <c r="N2288" s="3">
        <f>IF(OR($N$1="",对接源_02物料!$C1088="",对接源_02物料!$C1088&lt;&gt;$N$1,对接源_02物料!$B1088=""),0,IF(OR(N(对接源_02物料!$B1088)&lt;$N$2,N(对接源_02物料!$B1088)&gt;$N$3),0,1))</f>
        <v>0</v>
      </c>
      <c r="P2288" s="3">
        <f>IF(AND($K2288=1,AND(对接源_02物料!$X1088="公司筐",N(对接源_02物料!$T1088)&lt;&gt;0)),1,0)</f>
        <v>0</v>
      </c>
      <c r="Q2288" s="3">
        <f t="shared" si="607"/>
        <v>8</v>
      </c>
      <c r="R2288" s="3">
        <f>IF(AND($K2288=1,AND(对接源_02物料!$X1088="公司筐",N(对接源_02物料!$U1088)&lt;&gt;0)),1,0)</f>
        <v>0</v>
      </c>
      <c r="S2288" s="3">
        <f t="shared" si="608"/>
        <v>0</v>
      </c>
      <c r="T2288" s="3">
        <f>IF(AND($K2288=1,AND(对接源_02物料!$X1088="公司筐",N(对接源_02物料!$V1088)&lt;&gt;0)),1,0)</f>
        <v>0</v>
      </c>
      <c r="U2288" s="3">
        <f t="shared" si="609"/>
        <v>19</v>
      </c>
      <c r="V2288" s="3">
        <f>IF(AND($L2288=1,AND(对接源_02物料!$X1088="自备筐",N(对接源_02物料!$V1088)&lt;&gt;0)),1,0)</f>
        <v>0</v>
      </c>
      <c r="W2288" s="3">
        <f t="shared" si="610"/>
        <v>8</v>
      </c>
      <c r="X2288" s="3">
        <f>IF(AND($L2288=1,AND(对接源_02物料!$X1088="自备筐",N(对接源_02物料!$T1088)&lt;&gt;0)),1,0)</f>
        <v>0</v>
      </c>
      <c r="Y2288" s="3">
        <f t="shared" si="611"/>
        <v>0</v>
      </c>
      <c r="Z2288" s="3">
        <f>IF(AND($M2288=1,对接源_02物料!$D1088="原料入库"),1,0)</f>
        <v>0</v>
      </c>
      <c r="AA2288" s="3">
        <f t="shared" si="612"/>
        <v>24</v>
      </c>
      <c r="AB2288" s="3">
        <f>IF(AND($M2288=1,LEFT(对接源_02物料!$D1088,4)="原料出库"),1,0)</f>
        <v>0</v>
      </c>
      <c r="AC2288" s="3">
        <f t="shared" si="613"/>
        <v>0</v>
      </c>
      <c r="AD2288" s="3">
        <f>IF(AND($M2288=1,LEFT(对接源_02物料!$D1088,4)="成品出库"),1,0)</f>
        <v>0</v>
      </c>
      <c r="AE2288" s="3">
        <f t="shared" si="614"/>
        <v>0</v>
      </c>
      <c r="AF2288" s="3">
        <f>IF(AND($N2288=1,AND(LEFT(对接源_02物料!$D1088,4)="包装物料",N(对接源_02物料!$K1088)&lt;&gt;0)),1,0)</f>
        <v>0</v>
      </c>
      <c r="AG2288" s="3">
        <f t="shared" si="615"/>
        <v>5</v>
      </c>
      <c r="AH2288" s="3">
        <f>IF(AND($N2288=1,AND(对接源_02物料!$D1088="周转筐－销售出库",N(对接源_02物料!$K1088)&lt;&gt;0)),1,0)</f>
        <v>0</v>
      </c>
      <c r="AI2288" s="3">
        <f t="shared" si="616"/>
        <v>0</v>
      </c>
      <c r="AL2288" s="3">
        <v>0</v>
      </c>
      <c r="AM2288" s="3">
        <f t="shared" si="617"/>
        <v>1</v>
      </c>
      <c r="AN2288" s="3" t="str">
        <f t="shared" si="604"/>
        <v/>
      </c>
      <c r="AO2288" s="3">
        <v>0</v>
      </c>
      <c r="AP2288" s="3">
        <f t="shared" si="618"/>
        <v>8</v>
      </c>
      <c r="AR2288">
        <f t="shared" si="619"/>
        <v>0</v>
      </c>
      <c r="AS2288">
        <f t="shared" si="620"/>
        <v>5</v>
      </c>
    </row>
    <row r="2289" customHeight="1" spans="1:45">
      <c r="A2289" s="3" t="str">
        <f>IF(对接源_02物料!$C1089="","",对接源_02物料!$C1089)</f>
        <v/>
      </c>
      <c r="B2289" s="3">
        <f t="shared" si="605"/>
        <v>0</v>
      </c>
      <c r="C2289" s="3">
        <f t="shared" si="606"/>
        <v>21</v>
      </c>
      <c r="K2289" s="3">
        <f>IF(OR($K$1="",对接源_02物料!$C1089="",对接源_02物料!$C1089&lt;&gt;$K$1,对接源_02物料!$B1089=""),0,IF(OR(N(对接源_02物料!$B1089)&lt;$K$2,N(对接源_02物料!$B1089)&gt;$K$3),0,1))</f>
        <v>0</v>
      </c>
      <c r="L2289" s="3">
        <f>IF(OR($L$1="",对接源_02物料!$C1089="",对接源_02物料!$C1089&lt;&gt;$L$1,对接源_02物料!$B1089=""),0,IF(OR(N(对接源_02物料!$B1089)&lt;$L$2,N(对接源_02物料!$B1089)&gt;$L$3),0,1))</f>
        <v>0</v>
      </c>
      <c r="M2289" s="3">
        <f>IF(OR($M$1="",对接源_02物料!$C1089="",对接源_02物料!$C1089&lt;&gt;$M$1,对接源_02物料!$B1089=""),0,IF(OR(N(对接源_02物料!$B1089)&lt;$M$2,N(对接源_02物料!$B1089)&gt;$M$3),0,1))</f>
        <v>0</v>
      </c>
      <c r="N2289" s="3">
        <f>IF(OR($N$1="",对接源_02物料!$C1089="",对接源_02物料!$C1089&lt;&gt;$N$1,对接源_02物料!$B1089=""),0,IF(OR(N(对接源_02物料!$B1089)&lt;$N$2,N(对接源_02物料!$B1089)&gt;$N$3),0,1))</f>
        <v>0</v>
      </c>
      <c r="P2289" s="3">
        <f>IF(AND($K2289=1,AND(对接源_02物料!$X1089="公司筐",N(对接源_02物料!$T1089)&lt;&gt;0)),1,0)</f>
        <v>0</v>
      </c>
      <c r="Q2289" s="3">
        <f t="shared" si="607"/>
        <v>8</v>
      </c>
      <c r="R2289" s="3">
        <f>IF(AND($K2289=1,AND(对接源_02物料!$X1089="公司筐",N(对接源_02物料!$U1089)&lt;&gt;0)),1,0)</f>
        <v>0</v>
      </c>
      <c r="S2289" s="3">
        <f t="shared" si="608"/>
        <v>0</v>
      </c>
      <c r="T2289" s="3">
        <f>IF(AND($K2289=1,AND(对接源_02物料!$X1089="公司筐",N(对接源_02物料!$V1089)&lt;&gt;0)),1,0)</f>
        <v>0</v>
      </c>
      <c r="U2289" s="3">
        <f t="shared" si="609"/>
        <v>19</v>
      </c>
      <c r="V2289" s="3">
        <f>IF(AND($L2289=1,AND(对接源_02物料!$X1089="自备筐",N(对接源_02物料!$V1089)&lt;&gt;0)),1,0)</f>
        <v>0</v>
      </c>
      <c r="W2289" s="3">
        <f t="shared" si="610"/>
        <v>8</v>
      </c>
      <c r="X2289" s="3">
        <f>IF(AND($L2289=1,AND(对接源_02物料!$X1089="自备筐",N(对接源_02物料!$T1089)&lt;&gt;0)),1,0)</f>
        <v>0</v>
      </c>
      <c r="Y2289" s="3">
        <f t="shared" si="611"/>
        <v>0</v>
      </c>
      <c r="Z2289" s="3">
        <f>IF(AND($M2289=1,对接源_02物料!$D1089="原料入库"),1,0)</f>
        <v>0</v>
      </c>
      <c r="AA2289" s="3">
        <f t="shared" si="612"/>
        <v>24</v>
      </c>
      <c r="AB2289" s="3">
        <f>IF(AND($M2289=1,LEFT(对接源_02物料!$D1089,4)="原料出库"),1,0)</f>
        <v>0</v>
      </c>
      <c r="AC2289" s="3">
        <f t="shared" si="613"/>
        <v>0</v>
      </c>
      <c r="AD2289" s="3">
        <f>IF(AND($M2289=1,LEFT(对接源_02物料!$D1089,4)="成品出库"),1,0)</f>
        <v>0</v>
      </c>
      <c r="AE2289" s="3">
        <f t="shared" si="614"/>
        <v>0</v>
      </c>
      <c r="AF2289" s="3">
        <f>IF(AND($N2289=1,AND(LEFT(对接源_02物料!$D1089,4)="包装物料",N(对接源_02物料!$K1089)&lt;&gt;0)),1,0)</f>
        <v>0</v>
      </c>
      <c r="AG2289" s="3">
        <f t="shared" si="615"/>
        <v>5</v>
      </c>
      <c r="AH2289" s="3">
        <f>IF(AND($N2289=1,AND(对接源_02物料!$D1089="周转筐－销售出库",N(对接源_02物料!$K1089)&lt;&gt;0)),1,0)</f>
        <v>0</v>
      </c>
      <c r="AI2289" s="3">
        <f t="shared" si="616"/>
        <v>0</v>
      </c>
      <c r="AL2289" s="3">
        <v>0</v>
      </c>
      <c r="AM2289" s="3">
        <f t="shared" si="617"/>
        <v>1</v>
      </c>
      <c r="AN2289" s="3" t="str">
        <f t="shared" si="604"/>
        <v/>
      </c>
      <c r="AO2289" s="3">
        <v>0</v>
      </c>
      <c r="AP2289" s="3">
        <f t="shared" si="618"/>
        <v>8</v>
      </c>
      <c r="AR2289">
        <f t="shared" si="619"/>
        <v>0</v>
      </c>
      <c r="AS2289">
        <f t="shared" si="620"/>
        <v>5</v>
      </c>
    </row>
    <row r="2290" customHeight="1" spans="1:45">
      <c r="A2290" s="3" t="str">
        <f>IF(对接源_02物料!$C1090="","",对接源_02物料!$C1090)</f>
        <v/>
      </c>
      <c r="B2290" s="3">
        <f t="shared" si="605"/>
        <v>0</v>
      </c>
      <c r="C2290" s="3">
        <f t="shared" si="606"/>
        <v>21</v>
      </c>
      <c r="K2290" s="3">
        <f>IF(OR($K$1="",对接源_02物料!$C1090="",对接源_02物料!$C1090&lt;&gt;$K$1,对接源_02物料!$B1090=""),0,IF(OR(N(对接源_02物料!$B1090)&lt;$K$2,N(对接源_02物料!$B1090)&gt;$K$3),0,1))</f>
        <v>0</v>
      </c>
      <c r="L2290" s="3">
        <f>IF(OR($L$1="",对接源_02物料!$C1090="",对接源_02物料!$C1090&lt;&gt;$L$1,对接源_02物料!$B1090=""),0,IF(OR(N(对接源_02物料!$B1090)&lt;$L$2,N(对接源_02物料!$B1090)&gt;$L$3),0,1))</f>
        <v>0</v>
      </c>
      <c r="M2290" s="3">
        <f>IF(OR($M$1="",对接源_02物料!$C1090="",对接源_02物料!$C1090&lt;&gt;$M$1,对接源_02物料!$B1090=""),0,IF(OR(N(对接源_02物料!$B1090)&lt;$M$2,N(对接源_02物料!$B1090)&gt;$M$3),0,1))</f>
        <v>0</v>
      </c>
      <c r="N2290" s="3">
        <f>IF(OR($N$1="",对接源_02物料!$C1090="",对接源_02物料!$C1090&lt;&gt;$N$1,对接源_02物料!$B1090=""),0,IF(OR(N(对接源_02物料!$B1090)&lt;$N$2,N(对接源_02物料!$B1090)&gt;$N$3),0,1))</f>
        <v>0</v>
      </c>
      <c r="P2290" s="3">
        <f>IF(AND($K2290=1,AND(对接源_02物料!$X1090="公司筐",N(对接源_02物料!$T1090)&lt;&gt;0)),1,0)</f>
        <v>0</v>
      </c>
      <c r="Q2290" s="3">
        <f t="shared" si="607"/>
        <v>8</v>
      </c>
      <c r="R2290" s="3">
        <f>IF(AND($K2290=1,AND(对接源_02物料!$X1090="公司筐",N(对接源_02物料!$U1090)&lt;&gt;0)),1,0)</f>
        <v>0</v>
      </c>
      <c r="S2290" s="3">
        <f t="shared" si="608"/>
        <v>0</v>
      </c>
      <c r="T2290" s="3">
        <f>IF(AND($K2290=1,AND(对接源_02物料!$X1090="公司筐",N(对接源_02物料!$V1090)&lt;&gt;0)),1,0)</f>
        <v>0</v>
      </c>
      <c r="U2290" s="3">
        <f t="shared" si="609"/>
        <v>19</v>
      </c>
      <c r="V2290" s="3">
        <f>IF(AND($L2290=1,AND(对接源_02物料!$X1090="自备筐",N(对接源_02物料!$V1090)&lt;&gt;0)),1,0)</f>
        <v>0</v>
      </c>
      <c r="W2290" s="3">
        <f t="shared" si="610"/>
        <v>8</v>
      </c>
      <c r="X2290" s="3">
        <f>IF(AND($L2290=1,AND(对接源_02物料!$X1090="自备筐",N(对接源_02物料!$T1090)&lt;&gt;0)),1,0)</f>
        <v>0</v>
      </c>
      <c r="Y2290" s="3">
        <f t="shared" si="611"/>
        <v>0</v>
      </c>
      <c r="Z2290" s="3">
        <f>IF(AND($M2290=1,对接源_02物料!$D1090="原料入库"),1,0)</f>
        <v>0</v>
      </c>
      <c r="AA2290" s="3">
        <f t="shared" si="612"/>
        <v>24</v>
      </c>
      <c r="AB2290" s="3">
        <f>IF(AND($M2290=1,LEFT(对接源_02物料!$D1090,4)="原料出库"),1,0)</f>
        <v>0</v>
      </c>
      <c r="AC2290" s="3">
        <f t="shared" si="613"/>
        <v>0</v>
      </c>
      <c r="AD2290" s="3">
        <f>IF(AND($M2290=1,LEFT(对接源_02物料!$D1090,4)="成品出库"),1,0)</f>
        <v>0</v>
      </c>
      <c r="AE2290" s="3">
        <f t="shared" si="614"/>
        <v>0</v>
      </c>
      <c r="AF2290" s="3">
        <f>IF(AND($N2290=1,AND(LEFT(对接源_02物料!$D1090,4)="包装物料",N(对接源_02物料!$K1090)&lt;&gt;0)),1,0)</f>
        <v>0</v>
      </c>
      <c r="AG2290" s="3">
        <f t="shared" si="615"/>
        <v>5</v>
      </c>
      <c r="AH2290" s="3">
        <f>IF(AND($N2290=1,AND(对接源_02物料!$D1090="周转筐－销售出库",N(对接源_02物料!$K1090)&lt;&gt;0)),1,0)</f>
        <v>0</v>
      </c>
      <c r="AI2290" s="3">
        <f t="shared" si="616"/>
        <v>0</v>
      </c>
      <c r="AL2290" s="3">
        <v>0</v>
      </c>
      <c r="AM2290" s="3">
        <f t="shared" si="617"/>
        <v>1</v>
      </c>
      <c r="AN2290" s="3" t="str">
        <f t="shared" si="604"/>
        <v/>
      </c>
      <c r="AO2290" s="3">
        <v>0</v>
      </c>
      <c r="AP2290" s="3">
        <f t="shared" si="618"/>
        <v>8</v>
      </c>
      <c r="AR2290">
        <f t="shared" si="619"/>
        <v>0</v>
      </c>
      <c r="AS2290">
        <f t="shared" si="620"/>
        <v>5</v>
      </c>
    </row>
    <row r="2291" customHeight="1" spans="1:45">
      <c r="A2291" s="3" t="str">
        <f>IF(对接源_02物料!$C1091="","",对接源_02物料!$C1091)</f>
        <v/>
      </c>
      <c r="B2291" s="3">
        <f t="shared" si="605"/>
        <v>0</v>
      </c>
      <c r="C2291" s="3">
        <f t="shared" si="606"/>
        <v>21</v>
      </c>
      <c r="K2291" s="3">
        <f>IF(OR($K$1="",对接源_02物料!$C1091="",对接源_02物料!$C1091&lt;&gt;$K$1,对接源_02物料!$B1091=""),0,IF(OR(N(对接源_02物料!$B1091)&lt;$K$2,N(对接源_02物料!$B1091)&gt;$K$3),0,1))</f>
        <v>0</v>
      </c>
      <c r="L2291" s="3">
        <f>IF(OR($L$1="",对接源_02物料!$C1091="",对接源_02物料!$C1091&lt;&gt;$L$1,对接源_02物料!$B1091=""),0,IF(OR(N(对接源_02物料!$B1091)&lt;$L$2,N(对接源_02物料!$B1091)&gt;$L$3),0,1))</f>
        <v>0</v>
      </c>
      <c r="M2291" s="3">
        <f>IF(OR($M$1="",对接源_02物料!$C1091="",对接源_02物料!$C1091&lt;&gt;$M$1,对接源_02物料!$B1091=""),0,IF(OR(N(对接源_02物料!$B1091)&lt;$M$2,N(对接源_02物料!$B1091)&gt;$M$3),0,1))</f>
        <v>0</v>
      </c>
      <c r="N2291" s="3">
        <f>IF(OR($N$1="",对接源_02物料!$C1091="",对接源_02物料!$C1091&lt;&gt;$N$1,对接源_02物料!$B1091=""),0,IF(OR(N(对接源_02物料!$B1091)&lt;$N$2,N(对接源_02物料!$B1091)&gt;$N$3),0,1))</f>
        <v>0</v>
      </c>
      <c r="P2291" s="3">
        <f>IF(AND($K2291=1,AND(对接源_02物料!$X1091="公司筐",N(对接源_02物料!$T1091)&lt;&gt;0)),1,0)</f>
        <v>0</v>
      </c>
      <c r="Q2291" s="3">
        <f t="shared" si="607"/>
        <v>8</v>
      </c>
      <c r="R2291" s="3">
        <f>IF(AND($K2291=1,AND(对接源_02物料!$X1091="公司筐",N(对接源_02物料!$U1091)&lt;&gt;0)),1,0)</f>
        <v>0</v>
      </c>
      <c r="S2291" s="3">
        <f t="shared" si="608"/>
        <v>0</v>
      </c>
      <c r="T2291" s="3">
        <f>IF(AND($K2291=1,AND(对接源_02物料!$X1091="公司筐",N(对接源_02物料!$V1091)&lt;&gt;0)),1,0)</f>
        <v>0</v>
      </c>
      <c r="U2291" s="3">
        <f t="shared" si="609"/>
        <v>19</v>
      </c>
      <c r="V2291" s="3">
        <f>IF(AND($L2291=1,AND(对接源_02物料!$X1091="自备筐",N(对接源_02物料!$V1091)&lt;&gt;0)),1,0)</f>
        <v>0</v>
      </c>
      <c r="W2291" s="3">
        <f t="shared" si="610"/>
        <v>8</v>
      </c>
      <c r="X2291" s="3">
        <f>IF(AND($L2291=1,AND(对接源_02物料!$X1091="自备筐",N(对接源_02物料!$T1091)&lt;&gt;0)),1,0)</f>
        <v>0</v>
      </c>
      <c r="Y2291" s="3">
        <f t="shared" si="611"/>
        <v>0</v>
      </c>
      <c r="Z2291" s="3">
        <f>IF(AND($M2291=1,对接源_02物料!$D1091="原料入库"),1,0)</f>
        <v>0</v>
      </c>
      <c r="AA2291" s="3">
        <f t="shared" si="612"/>
        <v>24</v>
      </c>
      <c r="AB2291" s="3">
        <f>IF(AND($M2291=1,LEFT(对接源_02物料!$D1091,4)="原料出库"),1,0)</f>
        <v>0</v>
      </c>
      <c r="AC2291" s="3">
        <f t="shared" si="613"/>
        <v>0</v>
      </c>
      <c r="AD2291" s="3">
        <f>IF(AND($M2291=1,LEFT(对接源_02物料!$D1091,4)="成品出库"),1,0)</f>
        <v>0</v>
      </c>
      <c r="AE2291" s="3">
        <f t="shared" si="614"/>
        <v>0</v>
      </c>
      <c r="AF2291" s="3">
        <f>IF(AND($N2291=1,AND(LEFT(对接源_02物料!$D1091,4)="包装物料",N(对接源_02物料!$K1091)&lt;&gt;0)),1,0)</f>
        <v>0</v>
      </c>
      <c r="AG2291" s="3">
        <f t="shared" si="615"/>
        <v>5</v>
      </c>
      <c r="AH2291" s="3">
        <f>IF(AND($N2291=1,AND(对接源_02物料!$D1091="周转筐－销售出库",N(对接源_02物料!$K1091)&lt;&gt;0)),1,0)</f>
        <v>0</v>
      </c>
      <c r="AI2291" s="3">
        <f t="shared" si="616"/>
        <v>0</v>
      </c>
      <c r="AL2291" s="3">
        <v>0</v>
      </c>
      <c r="AM2291" s="3">
        <f t="shared" si="617"/>
        <v>1</v>
      </c>
      <c r="AN2291" s="3" t="str">
        <f t="shared" si="604"/>
        <v/>
      </c>
      <c r="AO2291" s="3">
        <v>0</v>
      </c>
      <c r="AP2291" s="3">
        <f t="shared" si="618"/>
        <v>8</v>
      </c>
      <c r="AR2291">
        <f t="shared" si="619"/>
        <v>0</v>
      </c>
      <c r="AS2291">
        <f t="shared" si="620"/>
        <v>5</v>
      </c>
    </row>
    <row r="2292" customHeight="1" spans="1:45">
      <c r="A2292" s="3" t="str">
        <f>IF(对接源_02物料!$C1092="","",对接源_02物料!$C1092)</f>
        <v/>
      </c>
      <c r="B2292" s="3">
        <f t="shared" si="605"/>
        <v>0</v>
      </c>
      <c r="C2292" s="3">
        <f t="shared" si="606"/>
        <v>21</v>
      </c>
      <c r="K2292" s="3">
        <f>IF(OR($K$1="",对接源_02物料!$C1092="",对接源_02物料!$C1092&lt;&gt;$K$1,对接源_02物料!$B1092=""),0,IF(OR(N(对接源_02物料!$B1092)&lt;$K$2,N(对接源_02物料!$B1092)&gt;$K$3),0,1))</f>
        <v>0</v>
      </c>
      <c r="L2292" s="3">
        <f>IF(OR($L$1="",对接源_02物料!$C1092="",对接源_02物料!$C1092&lt;&gt;$L$1,对接源_02物料!$B1092=""),0,IF(OR(N(对接源_02物料!$B1092)&lt;$L$2,N(对接源_02物料!$B1092)&gt;$L$3),0,1))</f>
        <v>0</v>
      </c>
      <c r="M2292" s="3">
        <f>IF(OR($M$1="",对接源_02物料!$C1092="",对接源_02物料!$C1092&lt;&gt;$M$1,对接源_02物料!$B1092=""),0,IF(OR(N(对接源_02物料!$B1092)&lt;$M$2,N(对接源_02物料!$B1092)&gt;$M$3),0,1))</f>
        <v>0</v>
      </c>
      <c r="N2292" s="3">
        <f>IF(OR($N$1="",对接源_02物料!$C1092="",对接源_02物料!$C1092&lt;&gt;$N$1,对接源_02物料!$B1092=""),0,IF(OR(N(对接源_02物料!$B1092)&lt;$N$2,N(对接源_02物料!$B1092)&gt;$N$3),0,1))</f>
        <v>0</v>
      </c>
      <c r="P2292" s="3">
        <f>IF(AND($K2292=1,AND(对接源_02物料!$X1092="公司筐",N(对接源_02物料!$T1092)&lt;&gt;0)),1,0)</f>
        <v>0</v>
      </c>
      <c r="Q2292" s="3">
        <f t="shared" si="607"/>
        <v>8</v>
      </c>
      <c r="R2292" s="3">
        <f>IF(AND($K2292=1,AND(对接源_02物料!$X1092="公司筐",N(对接源_02物料!$U1092)&lt;&gt;0)),1,0)</f>
        <v>0</v>
      </c>
      <c r="S2292" s="3">
        <f t="shared" si="608"/>
        <v>0</v>
      </c>
      <c r="T2292" s="3">
        <f>IF(AND($K2292=1,AND(对接源_02物料!$X1092="公司筐",N(对接源_02物料!$V1092)&lt;&gt;0)),1,0)</f>
        <v>0</v>
      </c>
      <c r="U2292" s="3">
        <f t="shared" si="609"/>
        <v>19</v>
      </c>
      <c r="V2292" s="3">
        <f>IF(AND($L2292=1,AND(对接源_02物料!$X1092="自备筐",N(对接源_02物料!$V1092)&lt;&gt;0)),1,0)</f>
        <v>0</v>
      </c>
      <c r="W2292" s="3">
        <f t="shared" si="610"/>
        <v>8</v>
      </c>
      <c r="X2292" s="3">
        <f>IF(AND($L2292=1,AND(对接源_02物料!$X1092="自备筐",N(对接源_02物料!$T1092)&lt;&gt;0)),1,0)</f>
        <v>0</v>
      </c>
      <c r="Y2292" s="3">
        <f t="shared" si="611"/>
        <v>0</v>
      </c>
      <c r="Z2292" s="3">
        <f>IF(AND($M2292=1,对接源_02物料!$D1092="原料入库"),1,0)</f>
        <v>0</v>
      </c>
      <c r="AA2292" s="3">
        <f t="shared" si="612"/>
        <v>24</v>
      </c>
      <c r="AB2292" s="3">
        <f>IF(AND($M2292=1,LEFT(对接源_02物料!$D1092,4)="原料出库"),1,0)</f>
        <v>0</v>
      </c>
      <c r="AC2292" s="3">
        <f t="shared" si="613"/>
        <v>0</v>
      </c>
      <c r="AD2292" s="3">
        <f>IF(AND($M2292=1,LEFT(对接源_02物料!$D1092,4)="成品出库"),1,0)</f>
        <v>0</v>
      </c>
      <c r="AE2292" s="3">
        <f t="shared" si="614"/>
        <v>0</v>
      </c>
      <c r="AF2292" s="3">
        <f>IF(AND($N2292=1,AND(LEFT(对接源_02物料!$D1092,4)="包装物料",N(对接源_02物料!$K1092)&lt;&gt;0)),1,0)</f>
        <v>0</v>
      </c>
      <c r="AG2292" s="3">
        <f t="shared" si="615"/>
        <v>5</v>
      </c>
      <c r="AH2292" s="3">
        <f>IF(AND($N2292=1,AND(对接源_02物料!$D1092="周转筐－销售出库",N(对接源_02物料!$K1092)&lt;&gt;0)),1,0)</f>
        <v>0</v>
      </c>
      <c r="AI2292" s="3">
        <f t="shared" si="616"/>
        <v>0</v>
      </c>
      <c r="AL2292" s="3">
        <v>0</v>
      </c>
      <c r="AM2292" s="3">
        <f t="shared" si="617"/>
        <v>1</v>
      </c>
      <c r="AN2292" s="3" t="str">
        <f t="shared" ref="AN2292:AN2355" si="621">""</f>
        <v/>
      </c>
      <c r="AO2292" s="3">
        <v>0</v>
      </c>
      <c r="AP2292" s="3">
        <f t="shared" si="618"/>
        <v>8</v>
      </c>
      <c r="AR2292">
        <f t="shared" si="619"/>
        <v>0</v>
      </c>
      <c r="AS2292">
        <f t="shared" si="620"/>
        <v>5</v>
      </c>
    </row>
    <row r="2293" customHeight="1" spans="1:45">
      <c r="A2293" s="3" t="str">
        <f>IF(对接源_02物料!$C1093="","",对接源_02物料!$C1093)</f>
        <v/>
      </c>
      <c r="B2293" s="3">
        <f t="shared" si="605"/>
        <v>0</v>
      </c>
      <c r="C2293" s="3">
        <f t="shared" si="606"/>
        <v>21</v>
      </c>
      <c r="K2293" s="3">
        <f>IF(OR($K$1="",对接源_02物料!$C1093="",对接源_02物料!$C1093&lt;&gt;$K$1,对接源_02物料!$B1093=""),0,IF(OR(N(对接源_02物料!$B1093)&lt;$K$2,N(对接源_02物料!$B1093)&gt;$K$3),0,1))</f>
        <v>0</v>
      </c>
      <c r="L2293" s="3">
        <f>IF(OR($L$1="",对接源_02物料!$C1093="",对接源_02物料!$C1093&lt;&gt;$L$1,对接源_02物料!$B1093=""),0,IF(OR(N(对接源_02物料!$B1093)&lt;$L$2,N(对接源_02物料!$B1093)&gt;$L$3),0,1))</f>
        <v>0</v>
      </c>
      <c r="M2293" s="3">
        <f>IF(OR($M$1="",对接源_02物料!$C1093="",对接源_02物料!$C1093&lt;&gt;$M$1,对接源_02物料!$B1093=""),0,IF(OR(N(对接源_02物料!$B1093)&lt;$M$2,N(对接源_02物料!$B1093)&gt;$M$3),0,1))</f>
        <v>0</v>
      </c>
      <c r="N2293" s="3">
        <f>IF(OR($N$1="",对接源_02物料!$C1093="",对接源_02物料!$C1093&lt;&gt;$N$1,对接源_02物料!$B1093=""),0,IF(OR(N(对接源_02物料!$B1093)&lt;$N$2,N(对接源_02物料!$B1093)&gt;$N$3),0,1))</f>
        <v>0</v>
      </c>
      <c r="P2293" s="3">
        <f>IF(AND($K2293=1,AND(对接源_02物料!$X1093="公司筐",N(对接源_02物料!$T1093)&lt;&gt;0)),1,0)</f>
        <v>0</v>
      </c>
      <c r="Q2293" s="3">
        <f t="shared" si="607"/>
        <v>8</v>
      </c>
      <c r="R2293" s="3">
        <f>IF(AND($K2293=1,AND(对接源_02物料!$X1093="公司筐",N(对接源_02物料!$U1093)&lt;&gt;0)),1,0)</f>
        <v>0</v>
      </c>
      <c r="S2293" s="3">
        <f t="shared" si="608"/>
        <v>0</v>
      </c>
      <c r="T2293" s="3">
        <f>IF(AND($K2293=1,AND(对接源_02物料!$X1093="公司筐",N(对接源_02物料!$V1093)&lt;&gt;0)),1,0)</f>
        <v>0</v>
      </c>
      <c r="U2293" s="3">
        <f t="shared" si="609"/>
        <v>19</v>
      </c>
      <c r="V2293" s="3">
        <f>IF(AND($L2293=1,AND(对接源_02物料!$X1093="自备筐",N(对接源_02物料!$V1093)&lt;&gt;0)),1,0)</f>
        <v>0</v>
      </c>
      <c r="W2293" s="3">
        <f t="shared" si="610"/>
        <v>8</v>
      </c>
      <c r="X2293" s="3">
        <f>IF(AND($L2293=1,AND(对接源_02物料!$X1093="自备筐",N(对接源_02物料!$T1093)&lt;&gt;0)),1,0)</f>
        <v>0</v>
      </c>
      <c r="Y2293" s="3">
        <f t="shared" si="611"/>
        <v>0</v>
      </c>
      <c r="Z2293" s="3">
        <f>IF(AND($M2293=1,对接源_02物料!$D1093="原料入库"),1,0)</f>
        <v>0</v>
      </c>
      <c r="AA2293" s="3">
        <f t="shared" si="612"/>
        <v>24</v>
      </c>
      <c r="AB2293" s="3">
        <f>IF(AND($M2293=1,LEFT(对接源_02物料!$D1093,4)="原料出库"),1,0)</f>
        <v>0</v>
      </c>
      <c r="AC2293" s="3">
        <f t="shared" si="613"/>
        <v>0</v>
      </c>
      <c r="AD2293" s="3">
        <f>IF(AND($M2293=1,LEFT(对接源_02物料!$D1093,4)="成品出库"),1,0)</f>
        <v>0</v>
      </c>
      <c r="AE2293" s="3">
        <f t="shared" si="614"/>
        <v>0</v>
      </c>
      <c r="AF2293" s="3">
        <f>IF(AND($N2293=1,AND(LEFT(对接源_02物料!$D1093,4)="包装物料",N(对接源_02物料!$K1093)&lt;&gt;0)),1,0)</f>
        <v>0</v>
      </c>
      <c r="AG2293" s="3">
        <f t="shared" si="615"/>
        <v>5</v>
      </c>
      <c r="AH2293" s="3">
        <f>IF(AND($N2293=1,AND(对接源_02物料!$D1093="周转筐－销售出库",N(对接源_02物料!$K1093)&lt;&gt;0)),1,0)</f>
        <v>0</v>
      </c>
      <c r="AI2293" s="3">
        <f t="shared" si="616"/>
        <v>0</v>
      </c>
      <c r="AL2293" s="3">
        <v>0</v>
      </c>
      <c r="AM2293" s="3">
        <f t="shared" si="617"/>
        <v>1</v>
      </c>
      <c r="AN2293" s="3" t="str">
        <f t="shared" si="621"/>
        <v/>
      </c>
      <c r="AO2293" s="3">
        <v>0</v>
      </c>
      <c r="AP2293" s="3">
        <f t="shared" si="618"/>
        <v>8</v>
      </c>
      <c r="AR2293">
        <f t="shared" si="619"/>
        <v>0</v>
      </c>
      <c r="AS2293">
        <f t="shared" si="620"/>
        <v>5</v>
      </c>
    </row>
    <row r="2294" customHeight="1" spans="1:45">
      <c r="A2294" s="3" t="str">
        <f>IF(对接源_02物料!$C1094="","",对接源_02物料!$C1094)</f>
        <v/>
      </c>
      <c r="B2294" s="3">
        <f t="shared" si="605"/>
        <v>0</v>
      </c>
      <c r="C2294" s="3">
        <f t="shared" si="606"/>
        <v>21</v>
      </c>
      <c r="K2294" s="3">
        <f>IF(OR($K$1="",对接源_02物料!$C1094="",对接源_02物料!$C1094&lt;&gt;$K$1,对接源_02物料!$B1094=""),0,IF(OR(N(对接源_02物料!$B1094)&lt;$K$2,N(对接源_02物料!$B1094)&gt;$K$3),0,1))</f>
        <v>0</v>
      </c>
      <c r="L2294" s="3">
        <f>IF(OR($L$1="",对接源_02物料!$C1094="",对接源_02物料!$C1094&lt;&gt;$L$1,对接源_02物料!$B1094=""),0,IF(OR(N(对接源_02物料!$B1094)&lt;$L$2,N(对接源_02物料!$B1094)&gt;$L$3),0,1))</f>
        <v>0</v>
      </c>
      <c r="M2294" s="3">
        <f>IF(OR($M$1="",对接源_02物料!$C1094="",对接源_02物料!$C1094&lt;&gt;$M$1,对接源_02物料!$B1094=""),0,IF(OR(N(对接源_02物料!$B1094)&lt;$M$2,N(对接源_02物料!$B1094)&gt;$M$3),0,1))</f>
        <v>0</v>
      </c>
      <c r="N2294" s="3">
        <f>IF(OR($N$1="",对接源_02物料!$C1094="",对接源_02物料!$C1094&lt;&gt;$N$1,对接源_02物料!$B1094=""),0,IF(OR(N(对接源_02物料!$B1094)&lt;$N$2,N(对接源_02物料!$B1094)&gt;$N$3),0,1))</f>
        <v>0</v>
      </c>
      <c r="P2294" s="3">
        <f>IF(AND($K2294=1,AND(对接源_02物料!$X1094="公司筐",N(对接源_02物料!$T1094)&lt;&gt;0)),1,0)</f>
        <v>0</v>
      </c>
      <c r="Q2294" s="3">
        <f t="shared" si="607"/>
        <v>8</v>
      </c>
      <c r="R2294" s="3">
        <f>IF(AND($K2294=1,AND(对接源_02物料!$X1094="公司筐",N(对接源_02物料!$U1094)&lt;&gt;0)),1,0)</f>
        <v>0</v>
      </c>
      <c r="S2294" s="3">
        <f t="shared" si="608"/>
        <v>0</v>
      </c>
      <c r="T2294" s="3">
        <f>IF(AND($K2294=1,AND(对接源_02物料!$X1094="公司筐",N(对接源_02物料!$V1094)&lt;&gt;0)),1,0)</f>
        <v>0</v>
      </c>
      <c r="U2294" s="3">
        <f t="shared" si="609"/>
        <v>19</v>
      </c>
      <c r="V2294" s="3">
        <f>IF(AND($L2294=1,AND(对接源_02物料!$X1094="自备筐",N(对接源_02物料!$V1094)&lt;&gt;0)),1,0)</f>
        <v>0</v>
      </c>
      <c r="W2294" s="3">
        <f t="shared" si="610"/>
        <v>8</v>
      </c>
      <c r="X2294" s="3">
        <f>IF(AND($L2294=1,AND(对接源_02物料!$X1094="自备筐",N(对接源_02物料!$T1094)&lt;&gt;0)),1,0)</f>
        <v>0</v>
      </c>
      <c r="Y2294" s="3">
        <f t="shared" si="611"/>
        <v>0</v>
      </c>
      <c r="Z2294" s="3">
        <f>IF(AND($M2294=1,对接源_02物料!$D1094="原料入库"),1,0)</f>
        <v>0</v>
      </c>
      <c r="AA2294" s="3">
        <f t="shared" si="612"/>
        <v>24</v>
      </c>
      <c r="AB2294" s="3">
        <f>IF(AND($M2294=1,LEFT(对接源_02物料!$D1094,4)="原料出库"),1,0)</f>
        <v>0</v>
      </c>
      <c r="AC2294" s="3">
        <f t="shared" si="613"/>
        <v>0</v>
      </c>
      <c r="AD2294" s="3">
        <f>IF(AND($M2294=1,LEFT(对接源_02物料!$D1094,4)="成品出库"),1,0)</f>
        <v>0</v>
      </c>
      <c r="AE2294" s="3">
        <f t="shared" si="614"/>
        <v>0</v>
      </c>
      <c r="AF2294" s="3">
        <f>IF(AND($N2294=1,AND(LEFT(对接源_02物料!$D1094,4)="包装物料",N(对接源_02物料!$K1094)&lt;&gt;0)),1,0)</f>
        <v>0</v>
      </c>
      <c r="AG2294" s="3">
        <f t="shared" si="615"/>
        <v>5</v>
      </c>
      <c r="AH2294" s="3">
        <f>IF(AND($N2294=1,AND(对接源_02物料!$D1094="周转筐－销售出库",N(对接源_02物料!$K1094)&lt;&gt;0)),1,0)</f>
        <v>0</v>
      </c>
      <c r="AI2294" s="3">
        <f t="shared" si="616"/>
        <v>0</v>
      </c>
      <c r="AL2294" s="3">
        <v>0</v>
      </c>
      <c r="AM2294" s="3">
        <f t="shared" si="617"/>
        <v>1</v>
      </c>
      <c r="AN2294" s="3" t="str">
        <f t="shared" si="621"/>
        <v/>
      </c>
      <c r="AO2294" s="3">
        <v>0</v>
      </c>
      <c r="AP2294" s="3">
        <f t="shared" si="618"/>
        <v>8</v>
      </c>
      <c r="AR2294">
        <f t="shared" si="619"/>
        <v>0</v>
      </c>
      <c r="AS2294">
        <f t="shared" si="620"/>
        <v>5</v>
      </c>
    </row>
    <row r="2295" customHeight="1" spans="1:45">
      <c r="A2295" s="3" t="str">
        <f>IF(对接源_02物料!$C1095="","",对接源_02物料!$C1095)</f>
        <v/>
      </c>
      <c r="B2295" s="3">
        <f t="shared" si="605"/>
        <v>0</v>
      </c>
      <c r="C2295" s="3">
        <f t="shared" si="606"/>
        <v>21</v>
      </c>
      <c r="K2295" s="3">
        <f>IF(OR($K$1="",对接源_02物料!$C1095="",对接源_02物料!$C1095&lt;&gt;$K$1,对接源_02物料!$B1095=""),0,IF(OR(N(对接源_02物料!$B1095)&lt;$K$2,N(对接源_02物料!$B1095)&gt;$K$3),0,1))</f>
        <v>0</v>
      </c>
      <c r="L2295" s="3">
        <f>IF(OR($L$1="",对接源_02物料!$C1095="",对接源_02物料!$C1095&lt;&gt;$L$1,对接源_02物料!$B1095=""),0,IF(OR(N(对接源_02物料!$B1095)&lt;$L$2,N(对接源_02物料!$B1095)&gt;$L$3),0,1))</f>
        <v>0</v>
      </c>
      <c r="M2295" s="3">
        <f>IF(OR($M$1="",对接源_02物料!$C1095="",对接源_02物料!$C1095&lt;&gt;$M$1,对接源_02物料!$B1095=""),0,IF(OR(N(对接源_02物料!$B1095)&lt;$M$2,N(对接源_02物料!$B1095)&gt;$M$3),0,1))</f>
        <v>0</v>
      </c>
      <c r="N2295" s="3">
        <f>IF(OR($N$1="",对接源_02物料!$C1095="",对接源_02物料!$C1095&lt;&gt;$N$1,对接源_02物料!$B1095=""),0,IF(OR(N(对接源_02物料!$B1095)&lt;$N$2,N(对接源_02物料!$B1095)&gt;$N$3),0,1))</f>
        <v>0</v>
      </c>
      <c r="P2295" s="3">
        <f>IF(AND($K2295=1,AND(对接源_02物料!$X1095="公司筐",N(对接源_02物料!$T1095)&lt;&gt;0)),1,0)</f>
        <v>0</v>
      </c>
      <c r="Q2295" s="3">
        <f t="shared" si="607"/>
        <v>8</v>
      </c>
      <c r="R2295" s="3">
        <f>IF(AND($K2295=1,AND(对接源_02物料!$X1095="公司筐",N(对接源_02物料!$U1095)&lt;&gt;0)),1,0)</f>
        <v>0</v>
      </c>
      <c r="S2295" s="3">
        <f t="shared" si="608"/>
        <v>0</v>
      </c>
      <c r="T2295" s="3">
        <f>IF(AND($K2295=1,AND(对接源_02物料!$X1095="公司筐",N(对接源_02物料!$V1095)&lt;&gt;0)),1,0)</f>
        <v>0</v>
      </c>
      <c r="U2295" s="3">
        <f t="shared" si="609"/>
        <v>19</v>
      </c>
      <c r="V2295" s="3">
        <f>IF(AND($L2295=1,AND(对接源_02物料!$X1095="自备筐",N(对接源_02物料!$V1095)&lt;&gt;0)),1,0)</f>
        <v>0</v>
      </c>
      <c r="W2295" s="3">
        <f t="shared" si="610"/>
        <v>8</v>
      </c>
      <c r="X2295" s="3">
        <f>IF(AND($L2295=1,AND(对接源_02物料!$X1095="自备筐",N(对接源_02物料!$T1095)&lt;&gt;0)),1,0)</f>
        <v>0</v>
      </c>
      <c r="Y2295" s="3">
        <f t="shared" si="611"/>
        <v>0</v>
      </c>
      <c r="Z2295" s="3">
        <f>IF(AND($M2295=1,对接源_02物料!$D1095="原料入库"),1,0)</f>
        <v>0</v>
      </c>
      <c r="AA2295" s="3">
        <f t="shared" si="612"/>
        <v>24</v>
      </c>
      <c r="AB2295" s="3">
        <f>IF(AND($M2295=1,LEFT(对接源_02物料!$D1095,4)="原料出库"),1,0)</f>
        <v>0</v>
      </c>
      <c r="AC2295" s="3">
        <f t="shared" si="613"/>
        <v>0</v>
      </c>
      <c r="AD2295" s="3">
        <f>IF(AND($M2295=1,LEFT(对接源_02物料!$D1095,4)="成品出库"),1,0)</f>
        <v>0</v>
      </c>
      <c r="AE2295" s="3">
        <f t="shared" si="614"/>
        <v>0</v>
      </c>
      <c r="AF2295" s="3">
        <f>IF(AND($N2295=1,AND(LEFT(对接源_02物料!$D1095,4)="包装物料",N(对接源_02物料!$K1095)&lt;&gt;0)),1,0)</f>
        <v>0</v>
      </c>
      <c r="AG2295" s="3">
        <f t="shared" si="615"/>
        <v>5</v>
      </c>
      <c r="AH2295" s="3">
        <f>IF(AND($N2295=1,AND(对接源_02物料!$D1095="周转筐－销售出库",N(对接源_02物料!$K1095)&lt;&gt;0)),1,0)</f>
        <v>0</v>
      </c>
      <c r="AI2295" s="3">
        <f t="shared" si="616"/>
        <v>0</v>
      </c>
      <c r="AL2295" s="3">
        <v>0</v>
      </c>
      <c r="AM2295" s="3">
        <f t="shared" si="617"/>
        <v>1</v>
      </c>
      <c r="AN2295" s="3" t="str">
        <f t="shared" si="621"/>
        <v/>
      </c>
      <c r="AO2295" s="3">
        <v>0</v>
      </c>
      <c r="AP2295" s="3">
        <f t="shared" si="618"/>
        <v>8</v>
      </c>
      <c r="AR2295">
        <f t="shared" si="619"/>
        <v>0</v>
      </c>
      <c r="AS2295">
        <f t="shared" si="620"/>
        <v>5</v>
      </c>
    </row>
    <row r="2296" customHeight="1" spans="1:45">
      <c r="A2296" s="3" t="str">
        <f>IF(对接源_02物料!$C1096="","",对接源_02物料!$C1096)</f>
        <v/>
      </c>
      <c r="B2296" s="3">
        <f t="shared" si="605"/>
        <v>0</v>
      </c>
      <c r="C2296" s="3">
        <f t="shared" si="606"/>
        <v>21</v>
      </c>
      <c r="K2296" s="3">
        <f>IF(OR($K$1="",对接源_02物料!$C1096="",对接源_02物料!$C1096&lt;&gt;$K$1,对接源_02物料!$B1096=""),0,IF(OR(N(对接源_02物料!$B1096)&lt;$K$2,N(对接源_02物料!$B1096)&gt;$K$3),0,1))</f>
        <v>0</v>
      </c>
      <c r="L2296" s="3">
        <f>IF(OR($L$1="",对接源_02物料!$C1096="",对接源_02物料!$C1096&lt;&gt;$L$1,对接源_02物料!$B1096=""),0,IF(OR(N(对接源_02物料!$B1096)&lt;$L$2,N(对接源_02物料!$B1096)&gt;$L$3),0,1))</f>
        <v>0</v>
      </c>
      <c r="M2296" s="3">
        <f>IF(OR($M$1="",对接源_02物料!$C1096="",对接源_02物料!$C1096&lt;&gt;$M$1,对接源_02物料!$B1096=""),0,IF(OR(N(对接源_02物料!$B1096)&lt;$M$2,N(对接源_02物料!$B1096)&gt;$M$3),0,1))</f>
        <v>0</v>
      </c>
      <c r="N2296" s="3">
        <f>IF(OR($N$1="",对接源_02物料!$C1096="",对接源_02物料!$C1096&lt;&gt;$N$1,对接源_02物料!$B1096=""),0,IF(OR(N(对接源_02物料!$B1096)&lt;$N$2,N(对接源_02物料!$B1096)&gt;$N$3),0,1))</f>
        <v>0</v>
      </c>
      <c r="P2296" s="3">
        <f>IF(AND($K2296=1,AND(对接源_02物料!$X1096="公司筐",N(对接源_02物料!$T1096)&lt;&gt;0)),1,0)</f>
        <v>0</v>
      </c>
      <c r="Q2296" s="3">
        <f t="shared" si="607"/>
        <v>8</v>
      </c>
      <c r="R2296" s="3">
        <f>IF(AND($K2296=1,AND(对接源_02物料!$X1096="公司筐",N(对接源_02物料!$U1096)&lt;&gt;0)),1,0)</f>
        <v>0</v>
      </c>
      <c r="S2296" s="3">
        <f t="shared" si="608"/>
        <v>0</v>
      </c>
      <c r="T2296" s="3">
        <f>IF(AND($K2296=1,AND(对接源_02物料!$X1096="公司筐",N(对接源_02物料!$V1096)&lt;&gt;0)),1,0)</f>
        <v>0</v>
      </c>
      <c r="U2296" s="3">
        <f t="shared" si="609"/>
        <v>19</v>
      </c>
      <c r="V2296" s="3">
        <f>IF(AND($L2296=1,AND(对接源_02物料!$X1096="自备筐",N(对接源_02物料!$V1096)&lt;&gt;0)),1,0)</f>
        <v>0</v>
      </c>
      <c r="W2296" s="3">
        <f t="shared" si="610"/>
        <v>8</v>
      </c>
      <c r="X2296" s="3">
        <f>IF(AND($L2296=1,AND(对接源_02物料!$X1096="自备筐",N(对接源_02物料!$T1096)&lt;&gt;0)),1,0)</f>
        <v>0</v>
      </c>
      <c r="Y2296" s="3">
        <f t="shared" si="611"/>
        <v>0</v>
      </c>
      <c r="Z2296" s="3">
        <f>IF(AND($M2296=1,对接源_02物料!$D1096="原料入库"),1,0)</f>
        <v>0</v>
      </c>
      <c r="AA2296" s="3">
        <f t="shared" si="612"/>
        <v>24</v>
      </c>
      <c r="AB2296" s="3">
        <f>IF(AND($M2296=1,LEFT(对接源_02物料!$D1096,4)="原料出库"),1,0)</f>
        <v>0</v>
      </c>
      <c r="AC2296" s="3">
        <f t="shared" si="613"/>
        <v>0</v>
      </c>
      <c r="AD2296" s="3">
        <f>IF(AND($M2296=1,LEFT(对接源_02物料!$D1096,4)="成品出库"),1,0)</f>
        <v>0</v>
      </c>
      <c r="AE2296" s="3">
        <f t="shared" si="614"/>
        <v>0</v>
      </c>
      <c r="AF2296" s="3">
        <f>IF(AND($N2296=1,AND(LEFT(对接源_02物料!$D1096,4)="包装物料",N(对接源_02物料!$K1096)&lt;&gt;0)),1,0)</f>
        <v>0</v>
      </c>
      <c r="AG2296" s="3">
        <f t="shared" si="615"/>
        <v>5</v>
      </c>
      <c r="AH2296" s="3">
        <f>IF(AND($N2296=1,AND(对接源_02物料!$D1096="周转筐－销售出库",N(对接源_02物料!$K1096)&lt;&gt;0)),1,0)</f>
        <v>0</v>
      </c>
      <c r="AI2296" s="3">
        <f t="shared" si="616"/>
        <v>0</v>
      </c>
      <c r="AL2296" s="3">
        <v>0</v>
      </c>
      <c r="AM2296" s="3">
        <f t="shared" si="617"/>
        <v>1</v>
      </c>
      <c r="AN2296" s="3" t="str">
        <f t="shared" si="621"/>
        <v/>
      </c>
      <c r="AO2296" s="3">
        <v>0</v>
      </c>
      <c r="AP2296" s="3">
        <f t="shared" si="618"/>
        <v>8</v>
      </c>
      <c r="AR2296">
        <f t="shared" si="619"/>
        <v>0</v>
      </c>
      <c r="AS2296">
        <f t="shared" si="620"/>
        <v>5</v>
      </c>
    </row>
    <row r="2297" customHeight="1" spans="1:45">
      <c r="A2297" s="3" t="str">
        <f>IF(对接源_02物料!$C1097="","",对接源_02物料!$C1097)</f>
        <v/>
      </c>
      <c r="B2297" s="3">
        <f t="shared" si="605"/>
        <v>0</v>
      </c>
      <c r="C2297" s="3">
        <f t="shared" si="606"/>
        <v>21</v>
      </c>
      <c r="K2297" s="3">
        <f>IF(OR($K$1="",对接源_02物料!$C1097="",对接源_02物料!$C1097&lt;&gt;$K$1,对接源_02物料!$B1097=""),0,IF(OR(N(对接源_02物料!$B1097)&lt;$K$2,N(对接源_02物料!$B1097)&gt;$K$3),0,1))</f>
        <v>0</v>
      </c>
      <c r="L2297" s="3">
        <f>IF(OR($L$1="",对接源_02物料!$C1097="",对接源_02物料!$C1097&lt;&gt;$L$1,对接源_02物料!$B1097=""),0,IF(OR(N(对接源_02物料!$B1097)&lt;$L$2,N(对接源_02物料!$B1097)&gt;$L$3),0,1))</f>
        <v>0</v>
      </c>
      <c r="M2297" s="3">
        <f>IF(OR($M$1="",对接源_02物料!$C1097="",对接源_02物料!$C1097&lt;&gt;$M$1,对接源_02物料!$B1097=""),0,IF(OR(N(对接源_02物料!$B1097)&lt;$M$2,N(对接源_02物料!$B1097)&gt;$M$3),0,1))</f>
        <v>0</v>
      </c>
      <c r="N2297" s="3">
        <f>IF(OR($N$1="",对接源_02物料!$C1097="",对接源_02物料!$C1097&lt;&gt;$N$1,对接源_02物料!$B1097=""),0,IF(OR(N(对接源_02物料!$B1097)&lt;$N$2,N(对接源_02物料!$B1097)&gt;$N$3),0,1))</f>
        <v>0</v>
      </c>
      <c r="P2297" s="3">
        <f>IF(AND($K2297=1,AND(对接源_02物料!$X1097="公司筐",N(对接源_02物料!$T1097)&lt;&gt;0)),1,0)</f>
        <v>0</v>
      </c>
      <c r="Q2297" s="3">
        <f t="shared" si="607"/>
        <v>8</v>
      </c>
      <c r="R2297" s="3">
        <f>IF(AND($K2297=1,AND(对接源_02物料!$X1097="公司筐",N(对接源_02物料!$U1097)&lt;&gt;0)),1,0)</f>
        <v>0</v>
      </c>
      <c r="S2297" s="3">
        <f t="shared" si="608"/>
        <v>0</v>
      </c>
      <c r="T2297" s="3">
        <f>IF(AND($K2297=1,AND(对接源_02物料!$X1097="公司筐",N(对接源_02物料!$V1097)&lt;&gt;0)),1,0)</f>
        <v>0</v>
      </c>
      <c r="U2297" s="3">
        <f t="shared" si="609"/>
        <v>19</v>
      </c>
      <c r="V2297" s="3">
        <f>IF(AND($L2297=1,AND(对接源_02物料!$X1097="自备筐",N(对接源_02物料!$V1097)&lt;&gt;0)),1,0)</f>
        <v>0</v>
      </c>
      <c r="W2297" s="3">
        <f t="shared" si="610"/>
        <v>8</v>
      </c>
      <c r="X2297" s="3">
        <f>IF(AND($L2297=1,AND(对接源_02物料!$X1097="自备筐",N(对接源_02物料!$T1097)&lt;&gt;0)),1,0)</f>
        <v>0</v>
      </c>
      <c r="Y2297" s="3">
        <f t="shared" si="611"/>
        <v>0</v>
      </c>
      <c r="Z2297" s="3">
        <f>IF(AND($M2297=1,对接源_02物料!$D1097="原料入库"),1,0)</f>
        <v>0</v>
      </c>
      <c r="AA2297" s="3">
        <f t="shared" si="612"/>
        <v>24</v>
      </c>
      <c r="AB2297" s="3">
        <f>IF(AND($M2297=1,LEFT(对接源_02物料!$D1097,4)="原料出库"),1,0)</f>
        <v>0</v>
      </c>
      <c r="AC2297" s="3">
        <f t="shared" si="613"/>
        <v>0</v>
      </c>
      <c r="AD2297" s="3">
        <f>IF(AND($M2297=1,LEFT(对接源_02物料!$D1097,4)="成品出库"),1,0)</f>
        <v>0</v>
      </c>
      <c r="AE2297" s="3">
        <f t="shared" si="614"/>
        <v>0</v>
      </c>
      <c r="AF2297" s="3">
        <f>IF(AND($N2297=1,AND(LEFT(对接源_02物料!$D1097,4)="包装物料",N(对接源_02物料!$K1097)&lt;&gt;0)),1,0)</f>
        <v>0</v>
      </c>
      <c r="AG2297" s="3">
        <f t="shared" si="615"/>
        <v>5</v>
      </c>
      <c r="AH2297" s="3">
        <f>IF(AND($N2297=1,AND(对接源_02物料!$D1097="周转筐－销售出库",N(对接源_02物料!$K1097)&lt;&gt;0)),1,0)</f>
        <v>0</v>
      </c>
      <c r="AI2297" s="3">
        <f t="shared" si="616"/>
        <v>0</v>
      </c>
      <c r="AL2297" s="3">
        <v>0</v>
      </c>
      <c r="AM2297" s="3">
        <f t="shared" si="617"/>
        <v>1</v>
      </c>
      <c r="AN2297" s="3" t="str">
        <f t="shared" si="621"/>
        <v/>
      </c>
      <c r="AO2297" s="3">
        <v>0</v>
      </c>
      <c r="AP2297" s="3">
        <f t="shared" si="618"/>
        <v>8</v>
      </c>
      <c r="AR2297">
        <f t="shared" si="619"/>
        <v>0</v>
      </c>
      <c r="AS2297">
        <f t="shared" si="620"/>
        <v>5</v>
      </c>
    </row>
    <row r="2298" customHeight="1" spans="1:45">
      <c r="A2298" s="3" t="str">
        <f>IF(对接源_02物料!$C1098="","",对接源_02物料!$C1098)</f>
        <v/>
      </c>
      <c r="B2298" s="3">
        <f t="shared" si="605"/>
        <v>0</v>
      </c>
      <c r="C2298" s="3">
        <f t="shared" si="606"/>
        <v>21</v>
      </c>
      <c r="K2298" s="3">
        <f>IF(OR($K$1="",对接源_02物料!$C1098="",对接源_02物料!$C1098&lt;&gt;$K$1,对接源_02物料!$B1098=""),0,IF(OR(N(对接源_02物料!$B1098)&lt;$K$2,N(对接源_02物料!$B1098)&gt;$K$3),0,1))</f>
        <v>0</v>
      </c>
      <c r="L2298" s="3">
        <f>IF(OR($L$1="",对接源_02物料!$C1098="",对接源_02物料!$C1098&lt;&gt;$L$1,对接源_02物料!$B1098=""),0,IF(OR(N(对接源_02物料!$B1098)&lt;$L$2,N(对接源_02物料!$B1098)&gt;$L$3),0,1))</f>
        <v>0</v>
      </c>
      <c r="M2298" s="3">
        <f>IF(OR($M$1="",对接源_02物料!$C1098="",对接源_02物料!$C1098&lt;&gt;$M$1,对接源_02物料!$B1098=""),0,IF(OR(N(对接源_02物料!$B1098)&lt;$M$2,N(对接源_02物料!$B1098)&gt;$M$3),0,1))</f>
        <v>0</v>
      </c>
      <c r="N2298" s="3">
        <f>IF(OR($N$1="",对接源_02物料!$C1098="",对接源_02物料!$C1098&lt;&gt;$N$1,对接源_02物料!$B1098=""),0,IF(OR(N(对接源_02物料!$B1098)&lt;$N$2,N(对接源_02物料!$B1098)&gt;$N$3),0,1))</f>
        <v>0</v>
      </c>
      <c r="P2298" s="3">
        <f>IF(AND($K2298=1,AND(对接源_02物料!$X1098="公司筐",N(对接源_02物料!$T1098)&lt;&gt;0)),1,0)</f>
        <v>0</v>
      </c>
      <c r="Q2298" s="3">
        <f t="shared" si="607"/>
        <v>8</v>
      </c>
      <c r="R2298" s="3">
        <f>IF(AND($K2298=1,AND(对接源_02物料!$X1098="公司筐",N(对接源_02物料!$U1098)&lt;&gt;0)),1,0)</f>
        <v>0</v>
      </c>
      <c r="S2298" s="3">
        <f t="shared" si="608"/>
        <v>0</v>
      </c>
      <c r="T2298" s="3">
        <f>IF(AND($K2298=1,AND(对接源_02物料!$X1098="公司筐",N(对接源_02物料!$V1098)&lt;&gt;0)),1,0)</f>
        <v>0</v>
      </c>
      <c r="U2298" s="3">
        <f t="shared" si="609"/>
        <v>19</v>
      </c>
      <c r="V2298" s="3">
        <f>IF(AND($L2298=1,AND(对接源_02物料!$X1098="自备筐",N(对接源_02物料!$V1098)&lt;&gt;0)),1,0)</f>
        <v>0</v>
      </c>
      <c r="W2298" s="3">
        <f t="shared" si="610"/>
        <v>8</v>
      </c>
      <c r="X2298" s="3">
        <f>IF(AND($L2298=1,AND(对接源_02物料!$X1098="自备筐",N(对接源_02物料!$T1098)&lt;&gt;0)),1,0)</f>
        <v>0</v>
      </c>
      <c r="Y2298" s="3">
        <f t="shared" si="611"/>
        <v>0</v>
      </c>
      <c r="Z2298" s="3">
        <f>IF(AND($M2298=1,对接源_02物料!$D1098="原料入库"),1,0)</f>
        <v>0</v>
      </c>
      <c r="AA2298" s="3">
        <f t="shared" si="612"/>
        <v>24</v>
      </c>
      <c r="AB2298" s="3">
        <f>IF(AND($M2298=1,LEFT(对接源_02物料!$D1098,4)="原料出库"),1,0)</f>
        <v>0</v>
      </c>
      <c r="AC2298" s="3">
        <f t="shared" si="613"/>
        <v>0</v>
      </c>
      <c r="AD2298" s="3">
        <f>IF(AND($M2298=1,LEFT(对接源_02物料!$D1098,4)="成品出库"),1,0)</f>
        <v>0</v>
      </c>
      <c r="AE2298" s="3">
        <f t="shared" si="614"/>
        <v>0</v>
      </c>
      <c r="AF2298" s="3">
        <f>IF(AND($N2298=1,AND(LEFT(对接源_02物料!$D1098,4)="包装物料",N(对接源_02物料!$K1098)&lt;&gt;0)),1,0)</f>
        <v>0</v>
      </c>
      <c r="AG2298" s="3">
        <f t="shared" si="615"/>
        <v>5</v>
      </c>
      <c r="AH2298" s="3">
        <f>IF(AND($N2298=1,AND(对接源_02物料!$D1098="周转筐－销售出库",N(对接源_02物料!$K1098)&lt;&gt;0)),1,0)</f>
        <v>0</v>
      </c>
      <c r="AI2298" s="3">
        <f t="shared" si="616"/>
        <v>0</v>
      </c>
      <c r="AL2298" s="3">
        <v>0</v>
      </c>
      <c r="AM2298" s="3">
        <f t="shared" si="617"/>
        <v>1</v>
      </c>
      <c r="AN2298" s="3" t="str">
        <f t="shared" si="621"/>
        <v/>
      </c>
      <c r="AO2298" s="3">
        <v>0</v>
      </c>
      <c r="AP2298" s="3">
        <f t="shared" si="618"/>
        <v>8</v>
      </c>
      <c r="AR2298">
        <f t="shared" si="619"/>
        <v>0</v>
      </c>
      <c r="AS2298">
        <f t="shared" si="620"/>
        <v>5</v>
      </c>
    </row>
    <row r="2299" customHeight="1" spans="1:45">
      <c r="A2299" s="3" t="str">
        <f>IF(对接源_02物料!$C1099="","",对接源_02物料!$C1099)</f>
        <v/>
      </c>
      <c r="B2299" s="3">
        <f t="shared" si="605"/>
        <v>0</v>
      </c>
      <c r="C2299" s="3">
        <f t="shared" si="606"/>
        <v>21</v>
      </c>
      <c r="K2299" s="3">
        <f>IF(OR($K$1="",对接源_02物料!$C1099="",对接源_02物料!$C1099&lt;&gt;$K$1,对接源_02物料!$B1099=""),0,IF(OR(N(对接源_02物料!$B1099)&lt;$K$2,N(对接源_02物料!$B1099)&gt;$K$3),0,1))</f>
        <v>0</v>
      </c>
      <c r="L2299" s="3">
        <f>IF(OR($L$1="",对接源_02物料!$C1099="",对接源_02物料!$C1099&lt;&gt;$L$1,对接源_02物料!$B1099=""),0,IF(OR(N(对接源_02物料!$B1099)&lt;$L$2,N(对接源_02物料!$B1099)&gt;$L$3),0,1))</f>
        <v>0</v>
      </c>
      <c r="M2299" s="3">
        <f>IF(OR($M$1="",对接源_02物料!$C1099="",对接源_02物料!$C1099&lt;&gt;$M$1,对接源_02物料!$B1099=""),0,IF(OR(N(对接源_02物料!$B1099)&lt;$M$2,N(对接源_02物料!$B1099)&gt;$M$3),0,1))</f>
        <v>0</v>
      </c>
      <c r="N2299" s="3">
        <f>IF(OR($N$1="",对接源_02物料!$C1099="",对接源_02物料!$C1099&lt;&gt;$N$1,对接源_02物料!$B1099=""),0,IF(OR(N(对接源_02物料!$B1099)&lt;$N$2,N(对接源_02物料!$B1099)&gt;$N$3),0,1))</f>
        <v>0</v>
      </c>
      <c r="P2299" s="3">
        <f>IF(AND($K2299=1,AND(对接源_02物料!$X1099="公司筐",N(对接源_02物料!$T1099)&lt;&gt;0)),1,0)</f>
        <v>0</v>
      </c>
      <c r="Q2299" s="3">
        <f t="shared" si="607"/>
        <v>8</v>
      </c>
      <c r="R2299" s="3">
        <f>IF(AND($K2299=1,AND(对接源_02物料!$X1099="公司筐",N(对接源_02物料!$U1099)&lt;&gt;0)),1,0)</f>
        <v>0</v>
      </c>
      <c r="S2299" s="3">
        <f t="shared" si="608"/>
        <v>0</v>
      </c>
      <c r="T2299" s="3">
        <f>IF(AND($K2299=1,AND(对接源_02物料!$X1099="公司筐",N(对接源_02物料!$V1099)&lt;&gt;0)),1,0)</f>
        <v>0</v>
      </c>
      <c r="U2299" s="3">
        <f t="shared" si="609"/>
        <v>19</v>
      </c>
      <c r="V2299" s="3">
        <f>IF(AND($L2299=1,AND(对接源_02物料!$X1099="自备筐",N(对接源_02物料!$V1099)&lt;&gt;0)),1,0)</f>
        <v>0</v>
      </c>
      <c r="W2299" s="3">
        <f t="shared" si="610"/>
        <v>8</v>
      </c>
      <c r="X2299" s="3">
        <f>IF(AND($L2299=1,AND(对接源_02物料!$X1099="自备筐",N(对接源_02物料!$T1099)&lt;&gt;0)),1,0)</f>
        <v>0</v>
      </c>
      <c r="Y2299" s="3">
        <f t="shared" si="611"/>
        <v>0</v>
      </c>
      <c r="Z2299" s="3">
        <f>IF(AND($M2299=1,对接源_02物料!$D1099="原料入库"),1,0)</f>
        <v>0</v>
      </c>
      <c r="AA2299" s="3">
        <f t="shared" si="612"/>
        <v>24</v>
      </c>
      <c r="AB2299" s="3">
        <f>IF(AND($M2299=1,LEFT(对接源_02物料!$D1099,4)="原料出库"),1,0)</f>
        <v>0</v>
      </c>
      <c r="AC2299" s="3">
        <f t="shared" si="613"/>
        <v>0</v>
      </c>
      <c r="AD2299" s="3">
        <f>IF(AND($M2299=1,LEFT(对接源_02物料!$D1099,4)="成品出库"),1,0)</f>
        <v>0</v>
      </c>
      <c r="AE2299" s="3">
        <f t="shared" si="614"/>
        <v>0</v>
      </c>
      <c r="AF2299" s="3">
        <f>IF(AND($N2299=1,AND(LEFT(对接源_02物料!$D1099,4)="包装物料",N(对接源_02物料!$K1099)&lt;&gt;0)),1,0)</f>
        <v>0</v>
      </c>
      <c r="AG2299" s="3">
        <f t="shared" si="615"/>
        <v>5</v>
      </c>
      <c r="AH2299" s="3">
        <f>IF(AND($N2299=1,AND(对接源_02物料!$D1099="周转筐－销售出库",N(对接源_02物料!$K1099)&lt;&gt;0)),1,0)</f>
        <v>0</v>
      </c>
      <c r="AI2299" s="3">
        <f t="shared" si="616"/>
        <v>0</v>
      </c>
      <c r="AL2299" s="3">
        <v>0</v>
      </c>
      <c r="AM2299" s="3">
        <f t="shared" si="617"/>
        <v>1</v>
      </c>
      <c r="AN2299" s="3" t="str">
        <f t="shared" si="621"/>
        <v/>
      </c>
      <c r="AO2299" s="3">
        <v>0</v>
      </c>
      <c r="AP2299" s="3">
        <f t="shared" si="618"/>
        <v>8</v>
      </c>
      <c r="AR2299">
        <f t="shared" si="619"/>
        <v>0</v>
      </c>
      <c r="AS2299">
        <f t="shared" si="620"/>
        <v>5</v>
      </c>
    </row>
    <row r="2300" customHeight="1" spans="1:45">
      <c r="A2300" s="3" t="str">
        <f>IF(对接源_02物料!$C1100="","",对接源_02物料!$C1100)</f>
        <v/>
      </c>
      <c r="B2300" s="3">
        <f t="shared" si="605"/>
        <v>0</v>
      </c>
      <c r="C2300" s="3">
        <f t="shared" si="606"/>
        <v>21</v>
      </c>
      <c r="K2300" s="3">
        <f>IF(OR($K$1="",对接源_02物料!$C1100="",对接源_02物料!$C1100&lt;&gt;$K$1,对接源_02物料!$B1100=""),0,IF(OR(N(对接源_02物料!$B1100)&lt;$K$2,N(对接源_02物料!$B1100)&gt;$K$3),0,1))</f>
        <v>0</v>
      </c>
      <c r="L2300" s="3">
        <f>IF(OR($L$1="",对接源_02物料!$C1100="",对接源_02物料!$C1100&lt;&gt;$L$1,对接源_02物料!$B1100=""),0,IF(OR(N(对接源_02物料!$B1100)&lt;$L$2,N(对接源_02物料!$B1100)&gt;$L$3),0,1))</f>
        <v>0</v>
      </c>
      <c r="M2300" s="3">
        <f>IF(OR($M$1="",对接源_02物料!$C1100="",对接源_02物料!$C1100&lt;&gt;$M$1,对接源_02物料!$B1100=""),0,IF(OR(N(对接源_02物料!$B1100)&lt;$M$2,N(对接源_02物料!$B1100)&gt;$M$3),0,1))</f>
        <v>0</v>
      </c>
      <c r="N2300" s="3">
        <f>IF(OR($N$1="",对接源_02物料!$C1100="",对接源_02物料!$C1100&lt;&gt;$N$1,对接源_02物料!$B1100=""),0,IF(OR(N(对接源_02物料!$B1100)&lt;$N$2,N(对接源_02物料!$B1100)&gt;$N$3),0,1))</f>
        <v>0</v>
      </c>
      <c r="P2300" s="3">
        <f>IF(AND($K2300=1,AND(对接源_02物料!$X1100="公司筐",N(对接源_02物料!$T1100)&lt;&gt;0)),1,0)</f>
        <v>0</v>
      </c>
      <c r="Q2300" s="3">
        <f t="shared" si="607"/>
        <v>8</v>
      </c>
      <c r="R2300" s="3">
        <f>IF(AND($K2300=1,AND(对接源_02物料!$X1100="公司筐",N(对接源_02物料!$U1100)&lt;&gt;0)),1,0)</f>
        <v>0</v>
      </c>
      <c r="S2300" s="3">
        <f t="shared" si="608"/>
        <v>0</v>
      </c>
      <c r="T2300" s="3">
        <f>IF(AND($K2300=1,AND(对接源_02物料!$X1100="公司筐",N(对接源_02物料!$V1100)&lt;&gt;0)),1,0)</f>
        <v>0</v>
      </c>
      <c r="U2300" s="3">
        <f t="shared" si="609"/>
        <v>19</v>
      </c>
      <c r="V2300" s="3">
        <f>IF(AND($L2300=1,AND(对接源_02物料!$X1100="自备筐",N(对接源_02物料!$V1100)&lt;&gt;0)),1,0)</f>
        <v>0</v>
      </c>
      <c r="W2300" s="3">
        <f t="shared" si="610"/>
        <v>8</v>
      </c>
      <c r="X2300" s="3">
        <f>IF(AND($L2300=1,AND(对接源_02物料!$X1100="自备筐",N(对接源_02物料!$T1100)&lt;&gt;0)),1,0)</f>
        <v>0</v>
      </c>
      <c r="Y2300" s="3">
        <f t="shared" si="611"/>
        <v>0</v>
      </c>
      <c r="Z2300" s="3">
        <f>IF(AND($M2300=1,对接源_02物料!$D1100="原料入库"),1,0)</f>
        <v>0</v>
      </c>
      <c r="AA2300" s="3">
        <f t="shared" si="612"/>
        <v>24</v>
      </c>
      <c r="AB2300" s="3">
        <f>IF(AND($M2300=1,LEFT(对接源_02物料!$D1100,4)="原料出库"),1,0)</f>
        <v>0</v>
      </c>
      <c r="AC2300" s="3">
        <f t="shared" si="613"/>
        <v>0</v>
      </c>
      <c r="AD2300" s="3">
        <f>IF(AND($M2300=1,LEFT(对接源_02物料!$D1100,4)="成品出库"),1,0)</f>
        <v>0</v>
      </c>
      <c r="AE2300" s="3">
        <f t="shared" si="614"/>
        <v>0</v>
      </c>
      <c r="AF2300" s="3">
        <f>IF(AND($N2300=1,AND(LEFT(对接源_02物料!$D1100,4)="包装物料",N(对接源_02物料!$K1100)&lt;&gt;0)),1,0)</f>
        <v>0</v>
      </c>
      <c r="AG2300" s="3">
        <f t="shared" si="615"/>
        <v>5</v>
      </c>
      <c r="AH2300" s="3">
        <f>IF(AND($N2300=1,AND(对接源_02物料!$D1100="周转筐－销售出库",N(对接源_02物料!$K1100)&lt;&gt;0)),1,0)</f>
        <v>0</v>
      </c>
      <c r="AI2300" s="3">
        <f t="shared" si="616"/>
        <v>0</v>
      </c>
      <c r="AL2300" s="3">
        <v>0</v>
      </c>
      <c r="AM2300" s="3">
        <f t="shared" si="617"/>
        <v>1</v>
      </c>
      <c r="AN2300" s="3" t="str">
        <f t="shared" si="621"/>
        <v/>
      </c>
      <c r="AO2300" s="3">
        <v>0</v>
      </c>
      <c r="AP2300" s="3">
        <f t="shared" si="618"/>
        <v>8</v>
      </c>
      <c r="AR2300">
        <f t="shared" si="619"/>
        <v>0</v>
      </c>
      <c r="AS2300">
        <f t="shared" si="620"/>
        <v>5</v>
      </c>
    </row>
    <row r="2301" customHeight="1" spans="1:45">
      <c r="A2301" s="3" t="str">
        <f>IF(对接源_02物料!$C1101="","",对接源_02物料!$C1101)</f>
        <v/>
      </c>
      <c r="B2301" s="3">
        <f t="shared" si="605"/>
        <v>0</v>
      </c>
      <c r="C2301" s="3">
        <f t="shared" si="606"/>
        <v>21</v>
      </c>
      <c r="K2301" s="3">
        <f>IF(OR($K$1="",对接源_02物料!$C1101="",对接源_02物料!$C1101&lt;&gt;$K$1,对接源_02物料!$B1101=""),0,IF(OR(N(对接源_02物料!$B1101)&lt;$K$2,N(对接源_02物料!$B1101)&gt;$K$3),0,1))</f>
        <v>0</v>
      </c>
      <c r="L2301" s="3">
        <f>IF(OR($L$1="",对接源_02物料!$C1101="",对接源_02物料!$C1101&lt;&gt;$L$1,对接源_02物料!$B1101=""),0,IF(OR(N(对接源_02物料!$B1101)&lt;$L$2,N(对接源_02物料!$B1101)&gt;$L$3),0,1))</f>
        <v>0</v>
      </c>
      <c r="M2301" s="3">
        <f>IF(OR($M$1="",对接源_02物料!$C1101="",对接源_02物料!$C1101&lt;&gt;$M$1,对接源_02物料!$B1101=""),0,IF(OR(N(对接源_02物料!$B1101)&lt;$M$2,N(对接源_02物料!$B1101)&gt;$M$3),0,1))</f>
        <v>0</v>
      </c>
      <c r="N2301" s="3">
        <f>IF(OR($N$1="",对接源_02物料!$C1101="",对接源_02物料!$C1101&lt;&gt;$N$1,对接源_02物料!$B1101=""),0,IF(OR(N(对接源_02物料!$B1101)&lt;$N$2,N(对接源_02物料!$B1101)&gt;$N$3),0,1))</f>
        <v>0</v>
      </c>
      <c r="P2301" s="3">
        <f>IF(AND($K2301=1,AND(对接源_02物料!$X1101="公司筐",N(对接源_02物料!$T1101)&lt;&gt;0)),1,0)</f>
        <v>0</v>
      </c>
      <c r="Q2301" s="3">
        <f t="shared" si="607"/>
        <v>8</v>
      </c>
      <c r="R2301" s="3">
        <f>IF(AND($K2301=1,AND(对接源_02物料!$X1101="公司筐",N(对接源_02物料!$U1101)&lt;&gt;0)),1,0)</f>
        <v>0</v>
      </c>
      <c r="S2301" s="3">
        <f t="shared" si="608"/>
        <v>0</v>
      </c>
      <c r="T2301" s="3">
        <f>IF(AND($K2301=1,AND(对接源_02物料!$X1101="公司筐",N(对接源_02物料!$V1101)&lt;&gt;0)),1,0)</f>
        <v>0</v>
      </c>
      <c r="U2301" s="3">
        <f t="shared" si="609"/>
        <v>19</v>
      </c>
      <c r="V2301" s="3">
        <f>IF(AND($L2301=1,AND(对接源_02物料!$X1101="自备筐",N(对接源_02物料!$V1101)&lt;&gt;0)),1,0)</f>
        <v>0</v>
      </c>
      <c r="W2301" s="3">
        <f t="shared" si="610"/>
        <v>8</v>
      </c>
      <c r="X2301" s="3">
        <f>IF(AND($L2301=1,AND(对接源_02物料!$X1101="自备筐",N(对接源_02物料!$T1101)&lt;&gt;0)),1,0)</f>
        <v>0</v>
      </c>
      <c r="Y2301" s="3">
        <f t="shared" si="611"/>
        <v>0</v>
      </c>
      <c r="Z2301" s="3">
        <f>IF(AND($M2301=1,对接源_02物料!$D1101="原料入库"),1,0)</f>
        <v>0</v>
      </c>
      <c r="AA2301" s="3">
        <f t="shared" si="612"/>
        <v>24</v>
      </c>
      <c r="AB2301" s="3">
        <f>IF(AND($M2301=1,LEFT(对接源_02物料!$D1101,4)="原料出库"),1,0)</f>
        <v>0</v>
      </c>
      <c r="AC2301" s="3">
        <f t="shared" si="613"/>
        <v>0</v>
      </c>
      <c r="AD2301" s="3">
        <f>IF(AND($M2301=1,LEFT(对接源_02物料!$D1101,4)="成品出库"),1,0)</f>
        <v>0</v>
      </c>
      <c r="AE2301" s="3">
        <f t="shared" si="614"/>
        <v>0</v>
      </c>
      <c r="AF2301" s="3">
        <f>IF(AND($N2301=1,AND(LEFT(对接源_02物料!$D1101,4)="包装物料",N(对接源_02物料!$K1101)&lt;&gt;0)),1,0)</f>
        <v>0</v>
      </c>
      <c r="AG2301" s="3">
        <f t="shared" si="615"/>
        <v>5</v>
      </c>
      <c r="AH2301" s="3">
        <f>IF(AND($N2301=1,AND(对接源_02物料!$D1101="周转筐－销售出库",N(对接源_02物料!$K1101)&lt;&gt;0)),1,0)</f>
        <v>0</v>
      </c>
      <c r="AI2301" s="3">
        <f t="shared" si="616"/>
        <v>0</v>
      </c>
      <c r="AL2301" s="3">
        <v>0</v>
      </c>
      <c r="AM2301" s="3">
        <f t="shared" si="617"/>
        <v>1</v>
      </c>
      <c r="AN2301" s="3" t="str">
        <f t="shared" si="621"/>
        <v/>
      </c>
      <c r="AO2301" s="3">
        <v>0</v>
      </c>
      <c r="AP2301" s="3">
        <f t="shared" si="618"/>
        <v>8</v>
      </c>
      <c r="AR2301">
        <f t="shared" si="619"/>
        <v>0</v>
      </c>
      <c r="AS2301">
        <f t="shared" si="620"/>
        <v>5</v>
      </c>
    </row>
    <row r="2302" customHeight="1" spans="1:45">
      <c r="A2302" s="3" t="str">
        <f>IF(对接源_02物料!$C1102="","",对接源_02物料!$C1102)</f>
        <v/>
      </c>
      <c r="B2302" s="3">
        <f t="shared" si="605"/>
        <v>0</v>
      </c>
      <c r="C2302" s="3">
        <f t="shared" si="606"/>
        <v>21</v>
      </c>
      <c r="K2302" s="3">
        <f>IF(OR($K$1="",对接源_02物料!$C1102="",对接源_02物料!$C1102&lt;&gt;$K$1,对接源_02物料!$B1102=""),0,IF(OR(N(对接源_02物料!$B1102)&lt;$K$2,N(对接源_02物料!$B1102)&gt;$K$3),0,1))</f>
        <v>0</v>
      </c>
      <c r="L2302" s="3">
        <f>IF(OR($L$1="",对接源_02物料!$C1102="",对接源_02物料!$C1102&lt;&gt;$L$1,对接源_02物料!$B1102=""),0,IF(OR(N(对接源_02物料!$B1102)&lt;$L$2,N(对接源_02物料!$B1102)&gt;$L$3),0,1))</f>
        <v>0</v>
      </c>
      <c r="M2302" s="3">
        <f>IF(OR($M$1="",对接源_02物料!$C1102="",对接源_02物料!$C1102&lt;&gt;$M$1,对接源_02物料!$B1102=""),0,IF(OR(N(对接源_02物料!$B1102)&lt;$M$2,N(对接源_02物料!$B1102)&gt;$M$3),0,1))</f>
        <v>0</v>
      </c>
      <c r="N2302" s="3">
        <f>IF(OR($N$1="",对接源_02物料!$C1102="",对接源_02物料!$C1102&lt;&gt;$N$1,对接源_02物料!$B1102=""),0,IF(OR(N(对接源_02物料!$B1102)&lt;$N$2,N(对接源_02物料!$B1102)&gt;$N$3),0,1))</f>
        <v>0</v>
      </c>
      <c r="P2302" s="3">
        <f>IF(AND($K2302=1,AND(对接源_02物料!$X1102="公司筐",N(对接源_02物料!$T1102)&lt;&gt;0)),1,0)</f>
        <v>0</v>
      </c>
      <c r="Q2302" s="3">
        <f t="shared" si="607"/>
        <v>8</v>
      </c>
      <c r="R2302" s="3">
        <f>IF(AND($K2302=1,AND(对接源_02物料!$X1102="公司筐",N(对接源_02物料!$U1102)&lt;&gt;0)),1,0)</f>
        <v>0</v>
      </c>
      <c r="S2302" s="3">
        <f t="shared" si="608"/>
        <v>0</v>
      </c>
      <c r="T2302" s="3">
        <f>IF(AND($K2302=1,AND(对接源_02物料!$X1102="公司筐",N(对接源_02物料!$V1102)&lt;&gt;0)),1,0)</f>
        <v>0</v>
      </c>
      <c r="U2302" s="3">
        <f t="shared" si="609"/>
        <v>19</v>
      </c>
      <c r="V2302" s="3">
        <f>IF(AND($L2302=1,AND(对接源_02物料!$X1102="自备筐",N(对接源_02物料!$V1102)&lt;&gt;0)),1,0)</f>
        <v>0</v>
      </c>
      <c r="W2302" s="3">
        <f t="shared" si="610"/>
        <v>8</v>
      </c>
      <c r="X2302" s="3">
        <f>IF(AND($L2302=1,AND(对接源_02物料!$X1102="自备筐",N(对接源_02物料!$T1102)&lt;&gt;0)),1,0)</f>
        <v>0</v>
      </c>
      <c r="Y2302" s="3">
        <f t="shared" si="611"/>
        <v>0</v>
      </c>
      <c r="Z2302" s="3">
        <f>IF(AND($M2302=1,对接源_02物料!$D1102="原料入库"),1,0)</f>
        <v>0</v>
      </c>
      <c r="AA2302" s="3">
        <f t="shared" si="612"/>
        <v>24</v>
      </c>
      <c r="AB2302" s="3">
        <f>IF(AND($M2302=1,LEFT(对接源_02物料!$D1102,4)="原料出库"),1,0)</f>
        <v>0</v>
      </c>
      <c r="AC2302" s="3">
        <f t="shared" si="613"/>
        <v>0</v>
      </c>
      <c r="AD2302" s="3">
        <f>IF(AND($M2302=1,LEFT(对接源_02物料!$D1102,4)="成品出库"),1,0)</f>
        <v>0</v>
      </c>
      <c r="AE2302" s="3">
        <f t="shared" si="614"/>
        <v>0</v>
      </c>
      <c r="AF2302" s="3">
        <f>IF(AND($N2302=1,AND(LEFT(对接源_02物料!$D1102,4)="包装物料",N(对接源_02物料!$K1102)&lt;&gt;0)),1,0)</f>
        <v>0</v>
      </c>
      <c r="AG2302" s="3">
        <f t="shared" si="615"/>
        <v>5</v>
      </c>
      <c r="AH2302" s="3">
        <f>IF(AND($N2302=1,AND(对接源_02物料!$D1102="周转筐－销售出库",N(对接源_02物料!$K1102)&lt;&gt;0)),1,0)</f>
        <v>0</v>
      </c>
      <c r="AI2302" s="3">
        <f t="shared" si="616"/>
        <v>0</v>
      </c>
      <c r="AL2302" s="3">
        <v>0</v>
      </c>
      <c r="AM2302" s="3">
        <f t="shared" si="617"/>
        <v>1</v>
      </c>
      <c r="AN2302" s="3" t="str">
        <f t="shared" si="621"/>
        <v/>
      </c>
      <c r="AO2302" s="3">
        <v>0</v>
      </c>
      <c r="AP2302" s="3">
        <f t="shared" si="618"/>
        <v>8</v>
      </c>
      <c r="AR2302">
        <f t="shared" si="619"/>
        <v>0</v>
      </c>
      <c r="AS2302">
        <f t="shared" si="620"/>
        <v>5</v>
      </c>
    </row>
    <row r="2303" customHeight="1" spans="1:45">
      <c r="A2303" s="3" t="str">
        <f>IF(对接源_02物料!$C1103="","",对接源_02物料!$C1103)</f>
        <v/>
      </c>
      <c r="B2303" s="3">
        <f t="shared" si="605"/>
        <v>0</v>
      </c>
      <c r="C2303" s="3">
        <f t="shared" si="606"/>
        <v>21</v>
      </c>
      <c r="K2303" s="3">
        <f>IF(OR($K$1="",对接源_02物料!$C1103="",对接源_02物料!$C1103&lt;&gt;$K$1,对接源_02物料!$B1103=""),0,IF(OR(N(对接源_02物料!$B1103)&lt;$K$2,N(对接源_02物料!$B1103)&gt;$K$3),0,1))</f>
        <v>0</v>
      </c>
      <c r="L2303" s="3">
        <f>IF(OR($L$1="",对接源_02物料!$C1103="",对接源_02物料!$C1103&lt;&gt;$L$1,对接源_02物料!$B1103=""),0,IF(OR(N(对接源_02物料!$B1103)&lt;$L$2,N(对接源_02物料!$B1103)&gt;$L$3),0,1))</f>
        <v>0</v>
      </c>
      <c r="M2303" s="3">
        <f>IF(OR($M$1="",对接源_02物料!$C1103="",对接源_02物料!$C1103&lt;&gt;$M$1,对接源_02物料!$B1103=""),0,IF(OR(N(对接源_02物料!$B1103)&lt;$M$2,N(对接源_02物料!$B1103)&gt;$M$3),0,1))</f>
        <v>0</v>
      </c>
      <c r="N2303" s="3">
        <f>IF(OR($N$1="",对接源_02物料!$C1103="",对接源_02物料!$C1103&lt;&gt;$N$1,对接源_02物料!$B1103=""),0,IF(OR(N(对接源_02物料!$B1103)&lt;$N$2,N(对接源_02物料!$B1103)&gt;$N$3),0,1))</f>
        <v>0</v>
      </c>
      <c r="P2303" s="3">
        <f>IF(AND($K2303=1,AND(对接源_02物料!$X1103="公司筐",N(对接源_02物料!$T1103)&lt;&gt;0)),1,0)</f>
        <v>0</v>
      </c>
      <c r="Q2303" s="3">
        <f t="shared" si="607"/>
        <v>8</v>
      </c>
      <c r="R2303" s="3">
        <f>IF(AND($K2303=1,AND(对接源_02物料!$X1103="公司筐",N(对接源_02物料!$U1103)&lt;&gt;0)),1,0)</f>
        <v>0</v>
      </c>
      <c r="S2303" s="3">
        <f t="shared" si="608"/>
        <v>0</v>
      </c>
      <c r="T2303" s="3">
        <f>IF(AND($K2303=1,AND(对接源_02物料!$X1103="公司筐",N(对接源_02物料!$V1103)&lt;&gt;0)),1,0)</f>
        <v>0</v>
      </c>
      <c r="U2303" s="3">
        <f t="shared" si="609"/>
        <v>19</v>
      </c>
      <c r="V2303" s="3">
        <f>IF(AND($L2303=1,AND(对接源_02物料!$X1103="自备筐",N(对接源_02物料!$V1103)&lt;&gt;0)),1,0)</f>
        <v>0</v>
      </c>
      <c r="W2303" s="3">
        <f t="shared" si="610"/>
        <v>8</v>
      </c>
      <c r="X2303" s="3">
        <f>IF(AND($L2303=1,AND(对接源_02物料!$X1103="自备筐",N(对接源_02物料!$T1103)&lt;&gt;0)),1,0)</f>
        <v>0</v>
      </c>
      <c r="Y2303" s="3">
        <f t="shared" si="611"/>
        <v>0</v>
      </c>
      <c r="Z2303" s="3">
        <f>IF(AND($M2303=1,对接源_02物料!$D1103="原料入库"),1,0)</f>
        <v>0</v>
      </c>
      <c r="AA2303" s="3">
        <f t="shared" si="612"/>
        <v>24</v>
      </c>
      <c r="AB2303" s="3">
        <f>IF(AND($M2303=1,LEFT(对接源_02物料!$D1103,4)="原料出库"),1,0)</f>
        <v>0</v>
      </c>
      <c r="AC2303" s="3">
        <f t="shared" si="613"/>
        <v>0</v>
      </c>
      <c r="AD2303" s="3">
        <f>IF(AND($M2303=1,LEFT(对接源_02物料!$D1103,4)="成品出库"),1,0)</f>
        <v>0</v>
      </c>
      <c r="AE2303" s="3">
        <f t="shared" si="614"/>
        <v>0</v>
      </c>
      <c r="AF2303" s="3">
        <f>IF(AND($N2303=1,AND(LEFT(对接源_02物料!$D1103,4)="包装物料",N(对接源_02物料!$K1103)&lt;&gt;0)),1,0)</f>
        <v>0</v>
      </c>
      <c r="AG2303" s="3">
        <f t="shared" si="615"/>
        <v>5</v>
      </c>
      <c r="AH2303" s="3">
        <f>IF(AND($N2303=1,AND(对接源_02物料!$D1103="周转筐－销售出库",N(对接源_02物料!$K1103)&lt;&gt;0)),1,0)</f>
        <v>0</v>
      </c>
      <c r="AI2303" s="3">
        <f t="shared" si="616"/>
        <v>0</v>
      </c>
      <c r="AL2303" s="3">
        <v>0</v>
      </c>
      <c r="AM2303" s="3">
        <f t="shared" si="617"/>
        <v>1</v>
      </c>
      <c r="AN2303" s="3" t="str">
        <f t="shared" si="621"/>
        <v/>
      </c>
      <c r="AO2303" s="3">
        <v>0</v>
      </c>
      <c r="AP2303" s="3">
        <f t="shared" si="618"/>
        <v>8</v>
      </c>
      <c r="AR2303">
        <f t="shared" si="619"/>
        <v>0</v>
      </c>
      <c r="AS2303">
        <f t="shared" si="620"/>
        <v>5</v>
      </c>
    </row>
    <row r="2304" customHeight="1" spans="1:45">
      <c r="A2304" s="3" t="str">
        <f>IF(对接源_02物料!$C1104="","",对接源_02物料!$C1104)</f>
        <v/>
      </c>
      <c r="B2304" s="3">
        <f t="shared" si="605"/>
        <v>0</v>
      </c>
      <c r="C2304" s="3">
        <f t="shared" si="606"/>
        <v>21</v>
      </c>
      <c r="K2304" s="3">
        <f>IF(OR($K$1="",对接源_02物料!$C1104="",对接源_02物料!$C1104&lt;&gt;$K$1,对接源_02物料!$B1104=""),0,IF(OR(N(对接源_02物料!$B1104)&lt;$K$2,N(对接源_02物料!$B1104)&gt;$K$3),0,1))</f>
        <v>0</v>
      </c>
      <c r="L2304" s="3">
        <f>IF(OR($L$1="",对接源_02物料!$C1104="",对接源_02物料!$C1104&lt;&gt;$L$1,对接源_02物料!$B1104=""),0,IF(OR(N(对接源_02物料!$B1104)&lt;$L$2,N(对接源_02物料!$B1104)&gt;$L$3),0,1))</f>
        <v>0</v>
      </c>
      <c r="M2304" s="3">
        <f>IF(OR($M$1="",对接源_02物料!$C1104="",对接源_02物料!$C1104&lt;&gt;$M$1,对接源_02物料!$B1104=""),0,IF(OR(N(对接源_02物料!$B1104)&lt;$M$2,N(对接源_02物料!$B1104)&gt;$M$3),0,1))</f>
        <v>0</v>
      </c>
      <c r="N2304" s="3">
        <f>IF(OR($N$1="",对接源_02物料!$C1104="",对接源_02物料!$C1104&lt;&gt;$N$1,对接源_02物料!$B1104=""),0,IF(OR(N(对接源_02物料!$B1104)&lt;$N$2,N(对接源_02物料!$B1104)&gt;$N$3),0,1))</f>
        <v>0</v>
      </c>
      <c r="P2304" s="3">
        <f>IF(AND($K2304=1,AND(对接源_02物料!$X1104="公司筐",N(对接源_02物料!$T1104)&lt;&gt;0)),1,0)</f>
        <v>0</v>
      </c>
      <c r="Q2304" s="3">
        <f t="shared" si="607"/>
        <v>8</v>
      </c>
      <c r="R2304" s="3">
        <f>IF(AND($K2304=1,AND(对接源_02物料!$X1104="公司筐",N(对接源_02物料!$U1104)&lt;&gt;0)),1,0)</f>
        <v>0</v>
      </c>
      <c r="S2304" s="3">
        <f t="shared" si="608"/>
        <v>0</v>
      </c>
      <c r="T2304" s="3">
        <f>IF(AND($K2304=1,AND(对接源_02物料!$X1104="公司筐",N(对接源_02物料!$V1104)&lt;&gt;0)),1,0)</f>
        <v>0</v>
      </c>
      <c r="U2304" s="3">
        <f t="shared" si="609"/>
        <v>19</v>
      </c>
      <c r="V2304" s="3">
        <f>IF(AND($L2304=1,AND(对接源_02物料!$X1104="自备筐",N(对接源_02物料!$V1104)&lt;&gt;0)),1,0)</f>
        <v>0</v>
      </c>
      <c r="W2304" s="3">
        <f t="shared" si="610"/>
        <v>8</v>
      </c>
      <c r="X2304" s="3">
        <f>IF(AND($L2304=1,AND(对接源_02物料!$X1104="自备筐",N(对接源_02物料!$T1104)&lt;&gt;0)),1,0)</f>
        <v>0</v>
      </c>
      <c r="Y2304" s="3">
        <f t="shared" si="611"/>
        <v>0</v>
      </c>
      <c r="Z2304" s="3">
        <f>IF(AND($M2304=1,对接源_02物料!$D1104="原料入库"),1,0)</f>
        <v>0</v>
      </c>
      <c r="AA2304" s="3">
        <f t="shared" si="612"/>
        <v>24</v>
      </c>
      <c r="AB2304" s="3">
        <f>IF(AND($M2304=1,LEFT(对接源_02物料!$D1104,4)="原料出库"),1,0)</f>
        <v>0</v>
      </c>
      <c r="AC2304" s="3">
        <f t="shared" si="613"/>
        <v>0</v>
      </c>
      <c r="AD2304" s="3">
        <f>IF(AND($M2304=1,LEFT(对接源_02物料!$D1104,4)="成品出库"),1,0)</f>
        <v>0</v>
      </c>
      <c r="AE2304" s="3">
        <f t="shared" si="614"/>
        <v>0</v>
      </c>
      <c r="AF2304" s="3">
        <f>IF(AND($N2304=1,AND(LEFT(对接源_02物料!$D1104,4)="包装物料",N(对接源_02物料!$K1104)&lt;&gt;0)),1,0)</f>
        <v>0</v>
      </c>
      <c r="AG2304" s="3">
        <f t="shared" si="615"/>
        <v>5</v>
      </c>
      <c r="AH2304" s="3">
        <f>IF(AND($N2304=1,AND(对接源_02物料!$D1104="周转筐－销售出库",N(对接源_02物料!$K1104)&lt;&gt;0)),1,0)</f>
        <v>0</v>
      </c>
      <c r="AI2304" s="3">
        <f t="shared" si="616"/>
        <v>0</v>
      </c>
      <c r="AL2304" s="3">
        <v>0</v>
      </c>
      <c r="AM2304" s="3">
        <f t="shared" si="617"/>
        <v>1</v>
      </c>
      <c r="AN2304" s="3" t="str">
        <f t="shared" si="621"/>
        <v/>
      </c>
      <c r="AO2304" s="3">
        <v>0</v>
      </c>
      <c r="AP2304" s="3">
        <f t="shared" si="618"/>
        <v>8</v>
      </c>
      <c r="AR2304">
        <f t="shared" si="619"/>
        <v>0</v>
      </c>
      <c r="AS2304">
        <f t="shared" si="620"/>
        <v>5</v>
      </c>
    </row>
    <row r="2305" customHeight="1" spans="1:45">
      <c r="A2305" s="3" t="str">
        <f>IF(对接源_02物料!$C1105="","",对接源_02物料!$C1105)</f>
        <v/>
      </c>
      <c r="B2305" s="3">
        <f t="shared" si="605"/>
        <v>0</v>
      </c>
      <c r="C2305" s="3">
        <f t="shared" si="606"/>
        <v>21</v>
      </c>
      <c r="K2305" s="3">
        <f>IF(OR($K$1="",对接源_02物料!$C1105="",对接源_02物料!$C1105&lt;&gt;$K$1,对接源_02物料!$B1105=""),0,IF(OR(N(对接源_02物料!$B1105)&lt;$K$2,N(对接源_02物料!$B1105)&gt;$K$3),0,1))</f>
        <v>0</v>
      </c>
      <c r="L2305" s="3">
        <f>IF(OR($L$1="",对接源_02物料!$C1105="",对接源_02物料!$C1105&lt;&gt;$L$1,对接源_02物料!$B1105=""),0,IF(OR(N(对接源_02物料!$B1105)&lt;$L$2,N(对接源_02物料!$B1105)&gt;$L$3),0,1))</f>
        <v>0</v>
      </c>
      <c r="M2305" s="3">
        <f>IF(OR($M$1="",对接源_02物料!$C1105="",对接源_02物料!$C1105&lt;&gt;$M$1,对接源_02物料!$B1105=""),0,IF(OR(N(对接源_02物料!$B1105)&lt;$M$2,N(对接源_02物料!$B1105)&gt;$M$3),0,1))</f>
        <v>0</v>
      </c>
      <c r="N2305" s="3">
        <f>IF(OR($N$1="",对接源_02物料!$C1105="",对接源_02物料!$C1105&lt;&gt;$N$1,对接源_02物料!$B1105=""),0,IF(OR(N(对接源_02物料!$B1105)&lt;$N$2,N(对接源_02物料!$B1105)&gt;$N$3),0,1))</f>
        <v>0</v>
      </c>
      <c r="P2305" s="3">
        <f>IF(AND($K2305=1,AND(对接源_02物料!$X1105="公司筐",N(对接源_02物料!$T1105)&lt;&gt;0)),1,0)</f>
        <v>0</v>
      </c>
      <c r="Q2305" s="3">
        <f t="shared" si="607"/>
        <v>8</v>
      </c>
      <c r="R2305" s="3">
        <f>IF(AND($K2305=1,AND(对接源_02物料!$X1105="公司筐",N(对接源_02物料!$U1105)&lt;&gt;0)),1,0)</f>
        <v>0</v>
      </c>
      <c r="S2305" s="3">
        <f t="shared" si="608"/>
        <v>0</v>
      </c>
      <c r="T2305" s="3">
        <f>IF(AND($K2305=1,AND(对接源_02物料!$X1105="公司筐",N(对接源_02物料!$V1105)&lt;&gt;0)),1,0)</f>
        <v>0</v>
      </c>
      <c r="U2305" s="3">
        <f t="shared" si="609"/>
        <v>19</v>
      </c>
      <c r="V2305" s="3">
        <f>IF(AND($L2305=1,AND(对接源_02物料!$X1105="自备筐",N(对接源_02物料!$V1105)&lt;&gt;0)),1,0)</f>
        <v>0</v>
      </c>
      <c r="W2305" s="3">
        <f t="shared" si="610"/>
        <v>8</v>
      </c>
      <c r="X2305" s="3">
        <f>IF(AND($L2305=1,AND(对接源_02物料!$X1105="自备筐",N(对接源_02物料!$T1105)&lt;&gt;0)),1,0)</f>
        <v>0</v>
      </c>
      <c r="Y2305" s="3">
        <f t="shared" si="611"/>
        <v>0</v>
      </c>
      <c r="Z2305" s="3">
        <f>IF(AND($M2305=1,对接源_02物料!$D1105="原料入库"),1,0)</f>
        <v>0</v>
      </c>
      <c r="AA2305" s="3">
        <f t="shared" si="612"/>
        <v>24</v>
      </c>
      <c r="AB2305" s="3">
        <f>IF(AND($M2305=1,LEFT(对接源_02物料!$D1105,4)="原料出库"),1,0)</f>
        <v>0</v>
      </c>
      <c r="AC2305" s="3">
        <f t="shared" si="613"/>
        <v>0</v>
      </c>
      <c r="AD2305" s="3">
        <f>IF(AND($M2305=1,LEFT(对接源_02物料!$D1105,4)="成品出库"),1,0)</f>
        <v>0</v>
      </c>
      <c r="AE2305" s="3">
        <f t="shared" si="614"/>
        <v>0</v>
      </c>
      <c r="AF2305" s="3">
        <f>IF(AND($N2305=1,AND(LEFT(对接源_02物料!$D1105,4)="包装物料",N(对接源_02物料!$K1105)&lt;&gt;0)),1,0)</f>
        <v>0</v>
      </c>
      <c r="AG2305" s="3">
        <f t="shared" si="615"/>
        <v>5</v>
      </c>
      <c r="AH2305" s="3">
        <f>IF(AND($N2305=1,AND(对接源_02物料!$D1105="周转筐－销售出库",N(对接源_02物料!$K1105)&lt;&gt;0)),1,0)</f>
        <v>0</v>
      </c>
      <c r="AI2305" s="3">
        <f t="shared" si="616"/>
        <v>0</v>
      </c>
      <c r="AL2305" s="3">
        <v>0</v>
      </c>
      <c r="AM2305" s="3">
        <f t="shared" si="617"/>
        <v>1</v>
      </c>
      <c r="AN2305" s="3" t="str">
        <f t="shared" si="621"/>
        <v/>
      </c>
      <c r="AO2305" s="3">
        <v>0</v>
      </c>
      <c r="AP2305" s="3">
        <f t="shared" si="618"/>
        <v>8</v>
      </c>
      <c r="AR2305">
        <f t="shared" si="619"/>
        <v>0</v>
      </c>
      <c r="AS2305">
        <f t="shared" si="620"/>
        <v>5</v>
      </c>
    </row>
    <row r="2306" customHeight="1" spans="1:45">
      <c r="A2306" s="3" t="str">
        <f>IF(对接源_02物料!$C1106="","",对接源_02物料!$C1106)</f>
        <v/>
      </c>
      <c r="B2306" s="3">
        <f t="shared" si="605"/>
        <v>0</v>
      </c>
      <c r="C2306" s="3">
        <f t="shared" si="606"/>
        <v>21</v>
      </c>
      <c r="K2306" s="3">
        <f>IF(OR($K$1="",对接源_02物料!$C1106="",对接源_02物料!$C1106&lt;&gt;$K$1,对接源_02物料!$B1106=""),0,IF(OR(N(对接源_02物料!$B1106)&lt;$K$2,N(对接源_02物料!$B1106)&gt;$K$3),0,1))</f>
        <v>0</v>
      </c>
      <c r="L2306" s="3">
        <f>IF(OR($L$1="",对接源_02物料!$C1106="",对接源_02物料!$C1106&lt;&gt;$L$1,对接源_02物料!$B1106=""),0,IF(OR(N(对接源_02物料!$B1106)&lt;$L$2,N(对接源_02物料!$B1106)&gt;$L$3),0,1))</f>
        <v>0</v>
      </c>
      <c r="M2306" s="3">
        <f>IF(OR($M$1="",对接源_02物料!$C1106="",对接源_02物料!$C1106&lt;&gt;$M$1,对接源_02物料!$B1106=""),0,IF(OR(N(对接源_02物料!$B1106)&lt;$M$2,N(对接源_02物料!$B1106)&gt;$M$3),0,1))</f>
        <v>0</v>
      </c>
      <c r="N2306" s="3">
        <f>IF(OR($N$1="",对接源_02物料!$C1106="",对接源_02物料!$C1106&lt;&gt;$N$1,对接源_02物料!$B1106=""),0,IF(OR(N(对接源_02物料!$B1106)&lt;$N$2,N(对接源_02物料!$B1106)&gt;$N$3),0,1))</f>
        <v>0</v>
      </c>
      <c r="P2306" s="3">
        <f>IF(AND($K2306=1,AND(对接源_02物料!$X1106="公司筐",N(对接源_02物料!$T1106)&lt;&gt;0)),1,0)</f>
        <v>0</v>
      </c>
      <c r="Q2306" s="3">
        <f t="shared" si="607"/>
        <v>8</v>
      </c>
      <c r="R2306" s="3">
        <f>IF(AND($K2306=1,AND(对接源_02物料!$X1106="公司筐",N(对接源_02物料!$U1106)&lt;&gt;0)),1,0)</f>
        <v>0</v>
      </c>
      <c r="S2306" s="3">
        <f t="shared" si="608"/>
        <v>0</v>
      </c>
      <c r="T2306" s="3">
        <f>IF(AND($K2306=1,AND(对接源_02物料!$X1106="公司筐",N(对接源_02物料!$V1106)&lt;&gt;0)),1,0)</f>
        <v>0</v>
      </c>
      <c r="U2306" s="3">
        <f t="shared" si="609"/>
        <v>19</v>
      </c>
      <c r="V2306" s="3">
        <f>IF(AND($L2306=1,AND(对接源_02物料!$X1106="自备筐",N(对接源_02物料!$V1106)&lt;&gt;0)),1,0)</f>
        <v>0</v>
      </c>
      <c r="W2306" s="3">
        <f t="shared" si="610"/>
        <v>8</v>
      </c>
      <c r="X2306" s="3">
        <f>IF(AND($L2306=1,AND(对接源_02物料!$X1106="自备筐",N(对接源_02物料!$T1106)&lt;&gt;0)),1,0)</f>
        <v>0</v>
      </c>
      <c r="Y2306" s="3">
        <f t="shared" si="611"/>
        <v>0</v>
      </c>
      <c r="Z2306" s="3">
        <f>IF(AND($M2306=1,对接源_02物料!$D1106="原料入库"),1,0)</f>
        <v>0</v>
      </c>
      <c r="AA2306" s="3">
        <f t="shared" si="612"/>
        <v>24</v>
      </c>
      <c r="AB2306" s="3">
        <f>IF(AND($M2306=1,LEFT(对接源_02物料!$D1106,4)="原料出库"),1,0)</f>
        <v>0</v>
      </c>
      <c r="AC2306" s="3">
        <f t="shared" si="613"/>
        <v>0</v>
      </c>
      <c r="AD2306" s="3">
        <f>IF(AND($M2306=1,LEFT(对接源_02物料!$D1106,4)="成品出库"),1,0)</f>
        <v>0</v>
      </c>
      <c r="AE2306" s="3">
        <f t="shared" si="614"/>
        <v>0</v>
      </c>
      <c r="AF2306" s="3">
        <f>IF(AND($N2306=1,AND(LEFT(对接源_02物料!$D1106,4)="包装物料",N(对接源_02物料!$K1106)&lt;&gt;0)),1,0)</f>
        <v>0</v>
      </c>
      <c r="AG2306" s="3">
        <f t="shared" si="615"/>
        <v>5</v>
      </c>
      <c r="AH2306" s="3">
        <f>IF(AND($N2306=1,AND(对接源_02物料!$D1106="周转筐－销售出库",N(对接源_02物料!$K1106)&lt;&gt;0)),1,0)</f>
        <v>0</v>
      </c>
      <c r="AI2306" s="3">
        <f t="shared" si="616"/>
        <v>0</v>
      </c>
      <c r="AL2306" s="3">
        <v>0</v>
      </c>
      <c r="AM2306" s="3">
        <f t="shared" si="617"/>
        <v>1</v>
      </c>
      <c r="AN2306" s="3" t="str">
        <f t="shared" si="621"/>
        <v/>
      </c>
      <c r="AO2306" s="3">
        <v>0</v>
      </c>
      <c r="AP2306" s="3">
        <f t="shared" si="618"/>
        <v>8</v>
      </c>
      <c r="AR2306">
        <f t="shared" si="619"/>
        <v>0</v>
      </c>
      <c r="AS2306">
        <f t="shared" si="620"/>
        <v>5</v>
      </c>
    </row>
    <row r="2307" customHeight="1" spans="1:45">
      <c r="A2307" s="3" t="str">
        <f>IF(对接源_02物料!$C1107="","",对接源_02物料!$C1107)</f>
        <v/>
      </c>
      <c r="B2307" s="3">
        <f t="shared" si="605"/>
        <v>0</v>
      </c>
      <c r="C2307" s="3">
        <f t="shared" si="606"/>
        <v>21</v>
      </c>
      <c r="K2307" s="3">
        <f>IF(OR($K$1="",对接源_02物料!$C1107="",对接源_02物料!$C1107&lt;&gt;$K$1,对接源_02物料!$B1107=""),0,IF(OR(N(对接源_02物料!$B1107)&lt;$K$2,N(对接源_02物料!$B1107)&gt;$K$3),0,1))</f>
        <v>0</v>
      </c>
      <c r="L2307" s="3">
        <f>IF(OR($L$1="",对接源_02物料!$C1107="",对接源_02物料!$C1107&lt;&gt;$L$1,对接源_02物料!$B1107=""),0,IF(OR(N(对接源_02物料!$B1107)&lt;$L$2,N(对接源_02物料!$B1107)&gt;$L$3),0,1))</f>
        <v>0</v>
      </c>
      <c r="M2307" s="3">
        <f>IF(OR($M$1="",对接源_02物料!$C1107="",对接源_02物料!$C1107&lt;&gt;$M$1,对接源_02物料!$B1107=""),0,IF(OR(N(对接源_02物料!$B1107)&lt;$M$2,N(对接源_02物料!$B1107)&gt;$M$3),0,1))</f>
        <v>0</v>
      </c>
      <c r="N2307" s="3">
        <f>IF(OR($N$1="",对接源_02物料!$C1107="",对接源_02物料!$C1107&lt;&gt;$N$1,对接源_02物料!$B1107=""),0,IF(OR(N(对接源_02物料!$B1107)&lt;$N$2,N(对接源_02物料!$B1107)&gt;$N$3),0,1))</f>
        <v>0</v>
      </c>
      <c r="P2307" s="3">
        <f>IF(AND($K2307=1,AND(对接源_02物料!$X1107="公司筐",N(对接源_02物料!$T1107)&lt;&gt;0)),1,0)</f>
        <v>0</v>
      </c>
      <c r="Q2307" s="3">
        <f t="shared" si="607"/>
        <v>8</v>
      </c>
      <c r="R2307" s="3">
        <f>IF(AND($K2307=1,AND(对接源_02物料!$X1107="公司筐",N(对接源_02物料!$U1107)&lt;&gt;0)),1,0)</f>
        <v>0</v>
      </c>
      <c r="S2307" s="3">
        <f t="shared" si="608"/>
        <v>0</v>
      </c>
      <c r="T2307" s="3">
        <f>IF(AND($K2307=1,AND(对接源_02物料!$X1107="公司筐",N(对接源_02物料!$V1107)&lt;&gt;0)),1,0)</f>
        <v>0</v>
      </c>
      <c r="U2307" s="3">
        <f t="shared" si="609"/>
        <v>19</v>
      </c>
      <c r="V2307" s="3">
        <f>IF(AND($L2307=1,AND(对接源_02物料!$X1107="自备筐",N(对接源_02物料!$V1107)&lt;&gt;0)),1,0)</f>
        <v>0</v>
      </c>
      <c r="W2307" s="3">
        <f t="shared" si="610"/>
        <v>8</v>
      </c>
      <c r="X2307" s="3">
        <f>IF(AND($L2307=1,AND(对接源_02物料!$X1107="自备筐",N(对接源_02物料!$T1107)&lt;&gt;0)),1,0)</f>
        <v>0</v>
      </c>
      <c r="Y2307" s="3">
        <f t="shared" si="611"/>
        <v>0</v>
      </c>
      <c r="Z2307" s="3">
        <f>IF(AND($M2307=1,对接源_02物料!$D1107="原料入库"),1,0)</f>
        <v>0</v>
      </c>
      <c r="AA2307" s="3">
        <f t="shared" si="612"/>
        <v>24</v>
      </c>
      <c r="AB2307" s="3">
        <f>IF(AND($M2307=1,LEFT(对接源_02物料!$D1107,4)="原料出库"),1,0)</f>
        <v>0</v>
      </c>
      <c r="AC2307" s="3">
        <f t="shared" si="613"/>
        <v>0</v>
      </c>
      <c r="AD2307" s="3">
        <f>IF(AND($M2307=1,LEFT(对接源_02物料!$D1107,4)="成品出库"),1,0)</f>
        <v>0</v>
      </c>
      <c r="AE2307" s="3">
        <f t="shared" si="614"/>
        <v>0</v>
      </c>
      <c r="AF2307" s="3">
        <f>IF(AND($N2307=1,AND(LEFT(对接源_02物料!$D1107,4)="包装物料",N(对接源_02物料!$K1107)&lt;&gt;0)),1,0)</f>
        <v>0</v>
      </c>
      <c r="AG2307" s="3">
        <f t="shared" si="615"/>
        <v>5</v>
      </c>
      <c r="AH2307" s="3">
        <f>IF(AND($N2307=1,AND(对接源_02物料!$D1107="周转筐－销售出库",N(对接源_02物料!$K1107)&lt;&gt;0)),1,0)</f>
        <v>0</v>
      </c>
      <c r="AI2307" s="3">
        <f t="shared" si="616"/>
        <v>0</v>
      </c>
      <c r="AL2307" s="3">
        <v>0</v>
      </c>
      <c r="AM2307" s="3">
        <f t="shared" si="617"/>
        <v>1</v>
      </c>
      <c r="AN2307" s="3" t="str">
        <f t="shared" si="621"/>
        <v/>
      </c>
      <c r="AO2307" s="3">
        <v>0</v>
      </c>
      <c r="AP2307" s="3">
        <f t="shared" si="618"/>
        <v>8</v>
      </c>
      <c r="AR2307">
        <f t="shared" si="619"/>
        <v>0</v>
      </c>
      <c r="AS2307">
        <f t="shared" si="620"/>
        <v>5</v>
      </c>
    </row>
    <row r="2308" customHeight="1" spans="1:45">
      <c r="A2308" s="3" t="str">
        <f>IF(对接源_02物料!$C1108="","",对接源_02物料!$C1108)</f>
        <v/>
      </c>
      <c r="B2308" s="3">
        <f t="shared" ref="B2308:B2371" si="622">IF(A2308="",0,IF(MATCH(A2308,$A$4:$A$2403,0)=ROW()-3,1,0))</f>
        <v>0</v>
      </c>
      <c r="C2308" s="3">
        <f t="shared" ref="C2308:C2371" si="623">N(C2307)+B2308</f>
        <v>21</v>
      </c>
      <c r="K2308" s="3">
        <f>IF(OR($K$1="",对接源_02物料!$C1108="",对接源_02物料!$C1108&lt;&gt;$K$1,对接源_02物料!$B1108=""),0,IF(OR(N(对接源_02物料!$B1108)&lt;$K$2,N(对接源_02物料!$B1108)&gt;$K$3),0,1))</f>
        <v>0</v>
      </c>
      <c r="L2308" s="3">
        <f>IF(OR($L$1="",对接源_02物料!$C1108="",对接源_02物料!$C1108&lt;&gt;$L$1,对接源_02物料!$B1108=""),0,IF(OR(N(对接源_02物料!$B1108)&lt;$L$2,N(对接源_02物料!$B1108)&gt;$L$3),0,1))</f>
        <v>0</v>
      </c>
      <c r="M2308" s="3">
        <f>IF(OR($M$1="",对接源_02物料!$C1108="",对接源_02物料!$C1108&lt;&gt;$M$1,对接源_02物料!$B1108=""),0,IF(OR(N(对接源_02物料!$B1108)&lt;$M$2,N(对接源_02物料!$B1108)&gt;$M$3),0,1))</f>
        <v>0</v>
      </c>
      <c r="N2308" s="3">
        <f>IF(OR($N$1="",对接源_02物料!$C1108="",对接源_02物料!$C1108&lt;&gt;$N$1,对接源_02物料!$B1108=""),0,IF(OR(N(对接源_02物料!$B1108)&lt;$N$2,N(对接源_02物料!$B1108)&gt;$N$3),0,1))</f>
        <v>0</v>
      </c>
      <c r="P2308" s="3">
        <f>IF(AND($K2308=1,AND(对接源_02物料!$X1108="公司筐",N(对接源_02物料!$T1108)&lt;&gt;0)),1,0)</f>
        <v>0</v>
      </c>
      <c r="Q2308" s="3">
        <f t="shared" ref="Q2308:Q2371" si="624">N(Q2307)+$P2308</f>
        <v>8</v>
      </c>
      <c r="R2308" s="3">
        <f>IF(AND($K2308=1,AND(对接源_02物料!$X1108="公司筐",N(对接源_02物料!$U1108)&lt;&gt;0)),1,0)</f>
        <v>0</v>
      </c>
      <c r="S2308" s="3">
        <f t="shared" ref="S2308:S2371" si="625">N(S2307)+$R2308</f>
        <v>0</v>
      </c>
      <c r="T2308" s="3">
        <f>IF(AND($K2308=1,AND(对接源_02物料!$X1108="公司筐",N(对接源_02物料!$V1108)&lt;&gt;0)),1,0)</f>
        <v>0</v>
      </c>
      <c r="U2308" s="3">
        <f t="shared" ref="U2308:U2371" si="626">N(U2307)+$T2308</f>
        <v>19</v>
      </c>
      <c r="V2308" s="3">
        <f>IF(AND($L2308=1,AND(对接源_02物料!$X1108="自备筐",N(对接源_02物料!$V1108)&lt;&gt;0)),1,0)</f>
        <v>0</v>
      </c>
      <c r="W2308" s="3">
        <f t="shared" ref="W2308:W2371" si="627">N(W2307)+$V2308</f>
        <v>8</v>
      </c>
      <c r="X2308" s="3">
        <f>IF(AND($L2308=1,AND(对接源_02物料!$X1108="自备筐",N(对接源_02物料!$T1108)&lt;&gt;0)),1,0)</f>
        <v>0</v>
      </c>
      <c r="Y2308" s="3">
        <f t="shared" ref="Y2308:Y2371" si="628">N(Y2307)+$X2308</f>
        <v>0</v>
      </c>
      <c r="Z2308" s="3">
        <f>IF(AND($M2308=1,对接源_02物料!$D1108="原料入库"),1,0)</f>
        <v>0</v>
      </c>
      <c r="AA2308" s="3">
        <f t="shared" ref="AA2308:AA2371" si="629">N(AA2307)+$Z2308</f>
        <v>24</v>
      </c>
      <c r="AB2308" s="3">
        <f>IF(AND($M2308=1,LEFT(对接源_02物料!$D1108,4)="原料出库"),1,0)</f>
        <v>0</v>
      </c>
      <c r="AC2308" s="3">
        <f t="shared" ref="AC2308:AC2371" si="630">N(AC2307)+$AB2308</f>
        <v>0</v>
      </c>
      <c r="AD2308" s="3">
        <f>IF(AND($M2308=1,LEFT(对接源_02物料!$D1108,4)="成品出库"),1,0)</f>
        <v>0</v>
      </c>
      <c r="AE2308" s="3">
        <f t="shared" ref="AE2308:AE2371" si="631">N(AE2307)+$AD2308</f>
        <v>0</v>
      </c>
      <c r="AF2308" s="3">
        <f>IF(AND($N2308=1,AND(LEFT(对接源_02物料!$D1108,4)="包装物料",N(对接源_02物料!$K1108)&lt;&gt;0)),1,0)</f>
        <v>0</v>
      </c>
      <c r="AG2308" s="3">
        <f t="shared" ref="AG2308:AG2371" si="632">N(AG2307)+$AF2308</f>
        <v>5</v>
      </c>
      <c r="AH2308" s="3">
        <f>IF(AND($N2308=1,AND(对接源_02物料!$D1108="周转筐－销售出库",N(对接源_02物料!$K1108)&lt;&gt;0)),1,0)</f>
        <v>0</v>
      </c>
      <c r="AI2308" s="3">
        <f t="shared" ref="AI2308:AI2371" si="633">N(AI2307)+$AH2308</f>
        <v>0</v>
      </c>
      <c r="AL2308" s="3">
        <v>0</v>
      </c>
      <c r="AM2308" s="3">
        <f t="shared" ref="AM2308:AM2371" si="634">N(AM2307)+$AL2308</f>
        <v>1</v>
      </c>
      <c r="AN2308" s="3" t="str">
        <f t="shared" si="621"/>
        <v/>
      </c>
      <c r="AO2308" s="3">
        <v>0</v>
      </c>
      <c r="AP2308" s="3">
        <f t="shared" ref="AP2308:AP2371" si="635">N(AP2307)+$AO2308</f>
        <v>8</v>
      </c>
      <c r="AR2308">
        <f t="shared" ref="AR2308:AR2371" si="636">IF(OR($AF2308=1,$AH2308=1),1,0)</f>
        <v>0</v>
      </c>
      <c r="AS2308">
        <f t="shared" ref="AS2308:AS2371" si="637">N(AS2307)+$AR2308</f>
        <v>5</v>
      </c>
    </row>
    <row r="2309" customHeight="1" spans="1:45">
      <c r="A2309" s="3" t="str">
        <f>IF(对接源_02物料!$C1109="","",对接源_02物料!$C1109)</f>
        <v/>
      </c>
      <c r="B2309" s="3">
        <f t="shared" si="622"/>
        <v>0</v>
      </c>
      <c r="C2309" s="3">
        <f t="shared" si="623"/>
        <v>21</v>
      </c>
      <c r="K2309" s="3">
        <f>IF(OR($K$1="",对接源_02物料!$C1109="",对接源_02物料!$C1109&lt;&gt;$K$1,对接源_02物料!$B1109=""),0,IF(OR(N(对接源_02物料!$B1109)&lt;$K$2,N(对接源_02物料!$B1109)&gt;$K$3),0,1))</f>
        <v>0</v>
      </c>
      <c r="L2309" s="3">
        <f>IF(OR($L$1="",对接源_02物料!$C1109="",对接源_02物料!$C1109&lt;&gt;$L$1,对接源_02物料!$B1109=""),0,IF(OR(N(对接源_02物料!$B1109)&lt;$L$2,N(对接源_02物料!$B1109)&gt;$L$3),0,1))</f>
        <v>0</v>
      </c>
      <c r="M2309" s="3">
        <f>IF(OR($M$1="",对接源_02物料!$C1109="",对接源_02物料!$C1109&lt;&gt;$M$1,对接源_02物料!$B1109=""),0,IF(OR(N(对接源_02物料!$B1109)&lt;$M$2,N(对接源_02物料!$B1109)&gt;$M$3),0,1))</f>
        <v>0</v>
      </c>
      <c r="N2309" s="3">
        <f>IF(OR($N$1="",对接源_02物料!$C1109="",对接源_02物料!$C1109&lt;&gt;$N$1,对接源_02物料!$B1109=""),0,IF(OR(N(对接源_02物料!$B1109)&lt;$N$2,N(对接源_02物料!$B1109)&gt;$N$3),0,1))</f>
        <v>0</v>
      </c>
      <c r="P2309" s="3">
        <f>IF(AND($K2309=1,AND(对接源_02物料!$X1109="公司筐",N(对接源_02物料!$T1109)&lt;&gt;0)),1,0)</f>
        <v>0</v>
      </c>
      <c r="Q2309" s="3">
        <f t="shared" si="624"/>
        <v>8</v>
      </c>
      <c r="R2309" s="3">
        <f>IF(AND($K2309=1,AND(对接源_02物料!$X1109="公司筐",N(对接源_02物料!$U1109)&lt;&gt;0)),1,0)</f>
        <v>0</v>
      </c>
      <c r="S2309" s="3">
        <f t="shared" si="625"/>
        <v>0</v>
      </c>
      <c r="T2309" s="3">
        <f>IF(AND($K2309=1,AND(对接源_02物料!$X1109="公司筐",N(对接源_02物料!$V1109)&lt;&gt;0)),1,0)</f>
        <v>0</v>
      </c>
      <c r="U2309" s="3">
        <f t="shared" si="626"/>
        <v>19</v>
      </c>
      <c r="V2309" s="3">
        <f>IF(AND($L2309=1,AND(对接源_02物料!$X1109="自备筐",N(对接源_02物料!$V1109)&lt;&gt;0)),1,0)</f>
        <v>0</v>
      </c>
      <c r="W2309" s="3">
        <f t="shared" si="627"/>
        <v>8</v>
      </c>
      <c r="X2309" s="3">
        <f>IF(AND($L2309=1,AND(对接源_02物料!$X1109="自备筐",N(对接源_02物料!$T1109)&lt;&gt;0)),1,0)</f>
        <v>0</v>
      </c>
      <c r="Y2309" s="3">
        <f t="shared" si="628"/>
        <v>0</v>
      </c>
      <c r="Z2309" s="3">
        <f>IF(AND($M2309=1,对接源_02物料!$D1109="原料入库"),1,0)</f>
        <v>0</v>
      </c>
      <c r="AA2309" s="3">
        <f t="shared" si="629"/>
        <v>24</v>
      </c>
      <c r="AB2309" s="3">
        <f>IF(AND($M2309=1,LEFT(对接源_02物料!$D1109,4)="原料出库"),1,0)</f>
        <v>0</v>
      </c>
      <c r="AC2309" s="3">
        <f t="shared" si="630"/>
        <v>0</v>
      </c>
      <c r="AD2309" s="3">
        <f>IF(AND($M2309=1,LEFT(对接源_02物料!$D1109,4)="成品出库"),1,0)</f>
        <v>0</v>
      </c>
      <c r="AE2309" s="3">
        <f t="shared" si="631"/>
        <v>0</v>
      </c>
      <c r="AF2309" s="3">
        <f>IF(AND($N2309=1,AND(LEFT(对接源_02物料!$D1109,4)="包装物料",N(对接源_02物料!$K1109)&lt;&gt;0)),1,0)</f>
        <v>0</v>
      </c>
      <c r="AG2309" s="3">
        <f t="shared" si="632"/>
        <v>5</v>
      </c>
      <c r="AH2309" s="3">
        <f>IF(AND($N2309=1,AND(对接源_02物料!$D1109="周转筐－销售出库",N(对接源_02物料!$K1109)&lt;&gt;0)),1,0)</f>
        <v>0</v>
      </c>
      <c r="AI2309" s="3">
        <f t="shared" si="633"/>
        <v>0</v>
      </c>
      <c r="AL2309" s="3">
        <v>0</v>
      </c>
      <c r="AM2309" s="3">
        <f t="shared" si="634"/>
        <v>1</v>
      </c>
      <c r="AN2309" s="3" t="str">
        <f t="shared" si="621"/>
        <v/>
      </c>
      <c r="AO2309" s="3">
        <v>0</v>
      </c>
      <c r="AP2309" s="3">
        <f t="shared" si="635"/>
        <v>8</v>
      </c>
      <c r="AR2309">
        <f t="shared" si="636"/>
        <v>0</v>
      </c>
      <c r="AS2309">
        <f t="shared" si="637"/>
        <v>5</v>
      </c>
    </row>
    <row r="2310" customHeight="1" spans="1:45">
      <c r="A2310" s="3" t="str">
        <f>IF(对接源_02物料!$C1110="","",对接源_02物料!$C1110)</f>
        <v/>
      </c>
      <c r="B2310" s="3">
        <f t="shared" si="622"/>
        <v>0</v>
      </c>
      <c r="C2310" s="3">
        <f t="shared" si="623"/>
        <v>21</v>
      </c>
      <c r="K2310" s="3">
        <f>IF(OR($K$1="",对接源_02物料!$C1110="",对接源_02物料!$C1110&lt;&gt;$K$1,对接源_02物料!$B1110=""),0,IF(OR(N(对接源_02物料!$B1110)&lt;$K$2,N(对接源_02物料!$B1110)&gt;$K$3),0,1))</f>
        <v>0</v>
      </c>
      <c r="L2310" s="3">
        <f>IF(OR($L$1="",对接源_02物料!$C1110="",对接源_02物料!$C1110&lt;&gt;$L$1,对接源_02物料!$B1110=""),0,IF(OR(N(对接源_02物料!$B1110)&lt;$L$2,N(对接源_02物料!$B1110)&gt;$L$3),0,1))</f>
        <v>0</v>
      </c>
      <c r="M2310" s="3">
        <f>IF(OR($M$1="",对接源_02物料!$C1110="",对接源_02物料!$C1110&lt;&gt;$M$1,对接源_02物料!$B1110=""),0,IF(OR(N(对接源_02物料!$B1110)&lt;$M$2,N(对接源_02物料!$B1110)&gt;$M$3),0,1))</f>
        <v>0</v>
      </c>
      <c r="N2310" s="3">
        <f>IF(OR($N$1="",对接源_02物料!$C1110="",对接源_02物料!$C1110&lt;&gt;$N$1,对接源_02物料!$B1110=""),0,IF(OR(N(对接源_02物料!$B1110)&lt;$N$2,N(对接源_02物料!$B1110)&gt;$N$3),0,1))</f>
        <v>0</v>
      </c>
      <c r="P2310" s="3">
        <f>IF(AND($K2310=1,AND(对接源_02物料!$X1110="公司筐",N(对接源_02物料!$T1110)&lt;&gt;0)),1,0)</f>
        <v>0</v>
      </c>
      <c r="Q2310" s="3">
        <f t="shared" si="624"/>
        <v>8</v>
      </c>
      <c r="R2310" s="3">
        <f>IF(AND($K2310=1,AND(对接源_02物料!$X1110="公司筐",N(对接源_02物料!$U1110)&lt;&gt;0)),1,0)</f>
        <v>0</v>
      </c>
      <c r="S2310" s="3">
        <f t="shared" si="625"/>
        <v>0</v>
      </c>
      <c r="T2310" s="3">
        <f>IF(AND($K2310=1,AND(对接源_02物料!$X1110="公司筐",N(对接源_02物料!$V1110)&lt;&gt;0)),1,0)</f>
        <v>0</v>
      </c>
      <c r="U2310" s="3">
        <f t="shared" si="626"/>
        <v>19</v>
      </c>
      <c r="V2310" s="3">
        <f>IF(AND($L2310=1,AND(对接源_02物料!$X1110="自备筐",N(对接源_02物料!$V1110)&lt;&gt;0)),1,0)</f>
        <v>0</v>
      </c>
      <c r="W2310" s="3">
        <f t="shared" si="627"/>
        <v>8</v>
      </c>
      <c r="X2310" s="3">
        <f>IF(AND($L2310=1,AND(对接源_02物料!$X1110="自备筐",N(对接源_02物料!$T1110)&lt;&gt;0)),1,0)</f>
        <v>0</v>
      </c>
      <c r="Y2310" s="3">
        <f t="shared" si="628"/>
        <v>0</v>
      </c>
      <c r="Z2310" s="3">
        <f>IF(AND($M2310=1,对接源_02物料!$D1110="原料入库"),1,0)</f>
        <v>0</v>
      </c>
      <c r="AA2310" s="3">
        <f t="shared" si="629"/>
        <v>24</v>
      </c>
      <c r="AB2310" s="3">
        <f>IF(AND($M2310=1,LEFT(对接源_02物料!$D1110,4)="原料出库"),1,0)</f>
        <v>0</v>
      </c>
      <c r="AC2310" s="3">
        <f t="shared" si="630"/>
        <v>0</v>
      </c>
      <c r="AD2310" s="3">
        <f>IF(AND($M2310=1,LEFT(对接源_02物料!$D1110,4)="成品出库"),1,0)</f>
        <v>0</v>
      </c>
      <c r="AE2310" s="3">
        <f t="shared" si="631"/>
        <v>0</v>
      </c>
      <c r="AF2310" s="3">
        <f>IF(AND($N2310=1,AND(LEFT(对接源_02物料!$D1110,4)="包装物料",N(对接源_02物料!$K1110)&lt;&gt;0)),1,0)</f>
        <v>0</v>
      </c>
      <c r="AG2310" s="3">
        <f t="shared" si="632"/>
        <v>5</v>
      </c>
      <c r="AH2310" s="3">
        <f>IF(AND($N2310=1,AND(对接源_02物料!$D1110="周转筐－销售出库",N(对接源_02物料!$K1110)&lt;&gt;0)),1,0)</f>
        <v>0</v>
      </c>
      <c r="AI2310" s="3">
        <f t="shared" si="633"/>
        <v>0</v>
      </c>
      <c r="AL2310" s="3">
        <v>0</v>
      </c>
      <c r="AM2310" s="3">
        <f t="shared" si="634"/>
        <v>1</v>
      </c>
      <c r="AN2310" s="3" t="str">
        <f t="shared" si="621"/>
        <v/>
      </c>
      <c r="AO2310" s="3">
        <v>0</v>
      </c>
      <c r="AP2310" s="3">
        <f t="shared" si="635"/>
        <v>8</v>
      </c>
      <c r="AR2310">
        <f t="shared" si="636"/>
        <v>0</v>
      </c>
      <c r="AS2310">
        <f t="shared" si="637"/>
        <v>5</v>
      </c>
    </row>
    <row r="2311" customHeight="1" spans="1:45">
      <c r="A2311" s="3" t="str">
        <f>IF(对接源_02物料!$C1111="","",对接源_02物料!$C1111)</f>
        <v/>
      </c>
      <c r="B2311" s="3">
        <f t="shared" si="622"/>
        <v>0</v>
      </c>
      <c r="C2311" s="3">
        <f t="shared" si="623"/>
        <v>21</v>
      </c>
      <c r="K2311" s="3">
        <f>IF(OR($K$1="",对接源_02物料!$C1111="",对接源_02物料!$C1111&lt;&gt;$K$1,对接源_02物料!$B1111=""),0,IF(OR(N(对接源_02物料!$B1111)&lt;$K$2,N(对接源_02物料!$B1111)&gt;$K$3),0,1))</f>
        <v>0</v>
      </c>
      <c r="L2311" s="3">
        <f>IF(OR($L$1="",对接源_02物料!$C1111="",对接源_02物料!$C1111&lt;&gt;$L$1,对接源_02物料!$B1111=""),0,IF(OR(N(对接源_02物料!$B1111)&lt;$L$2,N(对接源_02物料!$B1111)&gt;$L$3),0,1))</f>
        <v>0</v>
      </c>
      <c r="M2311" s="3">
        <f>IF(OR($M$1="",对接源_02物料!$C1111="",对接源_02物料!$C1111&lt;&gt;$M$1,对接源_02物料!$B1111=""),0,IF(OR(N(对接源_02物料!$B1111)&lt;$M$2,N(对接源_02物料!$B1111)&gt;$M$3),0,1))</f>
        <v>0</v>
      </c>
      <c r="N2311" s="3">
        <f>IF(OR($N$1="",对接源_02物料!$C1111="",对接源_02物料!$C1111&lt;&gt;$N$1,对接源_02物料!$B1111=""),0,IF(OR(N(对接源_02物料!$B1111)&lt;$N$2,N(对接源_02物料!$B1111)&gt;$N$3),0,1))</f>
        <v>0</v>
      </c>
      <c r="P2311" s="3">
        <f>IF(AND($K2311=1,AND(对接源_02物料!$X1111="公司筐",N(对接源_02物料!$T1111)&lt;&gt;0)),1,0)</f>
        <v>0</v>
      </c>
      <c r="Q2311" s="3">
        <f t="shared" si="624"/>
        <v>8</v>
      </c>
      <c r="R2311" s="3">
        <f>IF(AND($K2311=1,AND(对接源_02物料!$X1111="公司筐",N(对接源_02物料!$U1111)&lt;&gt;0)),1,0)</f>
        <v>0</v>
      </c>
      <c r="S2311" s="3">
        <f t="shared" si="625"/>
        <v>0</v>
      </c>
      <c r="T2311" s="3">
        <f>IF(AND($K2311=1,AND(对接源_02物料!$X1111="公司筐",N(对接源_02物料!$V1111)&lt;&gt;0)),1,0)</f>
        <v>0</v>
      </c>
      <c r="U2311" s="3">
        <f t="shared" si="626"/>
        <v>19</v>
      </c>
      <c r="V2311" s="3">
        <f>IF(AND($L2311=1,AND(对接源_02物料!$X1111="自备筐",N(对接源_02物料!$V1111)&lt;&gt;0)),1,0)</f>
        <v>0</v>
      </c>
      <c r="W2311" s="3">
        <f t="shared" si="627"/>
        <v>8</v>
      </c>
      <c r="X2311" s="3">
        <f>IF(AND($L2311=1,AND(对接源_02物料!$X1111="自备筐",N(对接源_02物料!$T1111)&lt;&gt;0)),1,0)</f>
        <v>0</v>
      </c>
      <c r="Y2311" s="3">
        <f t="shared" si="628"/>
        <v>0</v>
      </c>
      <c r="Z2311" s="3">
        <f>IF(AND($M2311=1,对接源_02物料!$D1111="原料入库"),1,0)</f>
        <v>0</v>
      </c>
      <c r="AA2311" s="3">
        <f t="shared" si="629"/>
        <v>24</v>
      </c>
      <c r="AB2311" s="3">
        <f>IF(AND($M2311=1,LEFT(对接源_02物料!$D1111,4)="原料出库"),1,0)</f>
        <v>0</v>
      </c>
      <c r="AC2311" s="3">
        <f t="shared" si="630"/>
        <v>0</v>
      </c>
      <c r="AD2311" s="3">
        <f>IF(AND($M2311=1,LEFT(对接源_02物料!$D1111,4)="成品出库"),1,0)</f>
        <v>0</v>
      </c>
      <c r="AE2311" s="3">
        <f t="shared" si="631"/>
        <v>0</v>
      </c>
      <c r="AF2311" s="3">
        <f>IF(AND($N2311=1,AND(LEFT(对接源_02物料!$D1111,4)="包装物料",N(对接源_02物料!$K1111)&lt;&gt;0)),1,0)</f>
        <v>0</v>
      </c>
      <c r="AG2311" s="3">
        <f t="shared" si="632"/>
        <v>5</v>
      </c>
      <c r="AH2311" s="3">
        <f>IF(AND($N2311=1,AND(对接源_02物料!$D1111="周转筐－销售出库",N(对接源_02物料!$K1111)&lt;&gt;0)),1,0)</f>
        <v>0</v>
      </c>
      <c r="AI2311" s="3">
        <f t="shared" si="633"/>
        <v>0</v>
      </c>
      <c r="AL2311" s="3">
        <v>0</v>
      </c>
      <c r="AM2311" s="3">
        <f t="shared" si="634"/>
        <v>1</v>
      </c>
      <c r="AN2311" s="3" t="str">
        <f t="shared" si="621"/>
        <v/>
      </c>
      <c r="AO2311" s="3">
        <v>0</v>
      </c>
      <c r="AP2311" s="3">
        <f t="shared" si="635"/>
        <v>8</v>
      </c>
      <c r="AR2311">
        <f t="shared" si="636"/>
        <v>0</v>
      </c>
      <c r="AS2311">
        <f t="shared" si="637"/>
        <v>5</v>
      </c>
    </row>
    <row r="2312" customHeight="1" spans="1:45">
      <c r="A2312" s="3" t="str">
        <f>IF(对接源_02物料!$C1112="","",对接源_02物料!$C1112)</f>
        <v/>
      </c>
      <c r="B2312" s="3">
        <f t="shared" si="622"/>
        <v>0</v>
      </c>
      <c r="C2312" s="3">
        <f t="shared" si="623"/>
        <v>21</v>
      </c>
      <c r="K2312" s="3">
        <f>IF(OR($K$1="",对接源_02物料!$C1112="",对接源_02物料!$C1112&lt;&gt;$K$1,对接源_02物料!$B1112=""),0,IF(OR(N(对接源_02物料!$B1112)&lt;$K$2,N(对接源_02物料!$B1112)&gt;$K$3),0,1))</f>
        <v>0</v>
      </c>
      <c r="L2312" s="3">
        <f>IF(OR($L$1="",对接源_02物料!$C1112="",对接源_02物料!$C1112&lt;&gt;$L$1,对接源_02物料!$B1112=""),0,IF(OR(N(对接源_02物料!$B1112)&lt;$L$2,N(对接源_02物料!$B1112)&gt;$L$3),0,1))</f>
        <v>0</v>
      </c>
      <c r="M2312" s="3">
        <f>IF(OR($M$1="",对接源_02物料!$C1112="",对接源_02物料!$C1112&lt;&gt;$M$1,对接源_02物料!$B1112=""),0,IF(OR(N(对接源_02物料!$B1112)&lt;$M$2,N(对接源_02物料!$B1112)&gt;$M$3),0,1))</f>
        <v>0</v>
      </c>
      <c r="N2312" s="3">
        <f>IF(OR($N$1="",对接源_02物料!$C1112="",对接源_02物料!$C1112&lt;&gt;$N$1,对接源_02物料!$B1112=""),0,IF(OR(N(对接源_02物料!$B1112)&lt;$N$2,N(对接源_02物料!$B1112)&gt;$N$3),0,1))</f>
        <v>0</v>
      </c>
      <c r="P2312" s="3">
        <f>IF(AND($K2312=1,AND(对接源_02物料!$X1112="公司筐",N(对接源_02物料!$T1112)&lt;&gt;0)),1,0)</f>
        <v>0</v>
      </c>
      <c r="Q2312" s="3">
        <f t="shared" si="624"/>
        <v>8</v>
      </c>
      <c r="R2312" s="3">
        <f>IF(AND($K2312=1,AND(对接源_02物料!$X1112="公司筐",N(对接源_02物料!$U1112)&lt;&gt;0)),1,0)</f>
        <v>0</v>
      </c>
      <c r="S2312" s="3">
        <f t="shared" si="625"/>
        <v>0</v>
      </c>
      <c r="T2312" s="3">
        <f>IF(AND($K2312=1,AND(对接源_02物料!$X1112="公司筐",N(对接源_02物料!$V1112)&lt;&gt;0)),1,0)</f>
        <v>0</v>
      </c>
      <c r="U2312" s="3">
        <f t="shared" si="626"/>
        <v>19</v>
      </c>
      <c r="V2312" s="3">
        <f>IF(AND($L2312=1,AND(对接源_02物料!$X1112="自备筐",N(对接源_02物料!$V1112)&lt;&gt;0)),1,0)</f>
        <v>0</v>
      </c>
      <c r="W2312" s="3">
        <f t="shared" si="627"/>
        <v>8</v>
      </c>
      <c r="X2312" s="3">
        <f>IF(AND($L2312=1,AND(对接源_02物料!$X1112="自备筐",N(对接源_02物料!$T1112)&lt;&gt;0)),1,0)</f>
        <v>0</v>
      </c>
      <c r="Y2312" s="3">
        <f t="shared" si="628"/>
        <v>0</v>
      </c>
      <c r="Z2312" s="3">
        <f>IF(AND($M2312=1,对接源_02物料!$D1112="原料入库"),1,0)</f>
        <v>0</v>
      </c>
      <c r="AA2312" s="3">
        <f t="shared" si="629"/>
        <v>24</v>
      </c>
      <c r="AB2312" s="3">
        <f>IF(AND($M2312=1,LEFT(对接源_02物料!$D1112,4)="原料出库"),1,0)</f>
        <v>0</v>
      </c>
      <c r="AC2312" s="3">
        <f t="shared" si="630"/>
        <v>0</v>
      </c>
      <c r="AD2312" s="3">
        <f>IF(AND($M2312=1,LEFT(对接源_02物料!$D1112,4)="成品出库"),1,0)</f>
        <v>0</v>
      </c>
      <c r="AE2312" s="3">
        <f t="shared" si="631"/>
        <v>0</v>
      </c>
      <c r="AF2312" s="3">
        <f>IF(AND($N2312=1,AND(LEFT(对接源_02物料!$D1112,4)="包装物料",N(对接源_02物料!$K1112)&lt;&gt;0)),1,0)</f>
        <v>0</v>
      </c>
      <c r="AG2312" s="3">
        <f t="shared" si="632"/>
        <v>5</v>
      </c>
      <c r="AH2312" s="3">
        <f>IF(AND($N2312=1,AND(对接源_02物料!$D1112="周转筐－销售出库",N(对接源_02物料!$K1112)&lt;&gt;0)),1,0)</f>
        <v>0</v>
      </c>
      <c r="AI2312" s="3">
        <f t="shared" si="633"/>
        <v>0</v>
      </c>
      <c r="AL2312" s="3">
        <v>0</v>
      </c>
      <c r="AM2312" s="3">
        <f t="shared" si="634"/>
        <v>1</v>
      </c>
      <c r="AN2312" s="3" t="str">
        <f t="shared" si="621"/>
        <v/>
      </c>
      <c r="AO2312" s="3">
        <v>0</v>
      </c>
      <c r="AP2312" s="3">
        <f t="shared" si="635"/>
        <v>8</v>
      </c>
      <c r="AR2312">
        <f t="shared" si="636"/>
        <v>0</v>
      </c>
      <c r="AS2312">
        <f t="shared" si="637"/>
        <v>5</v>
      </c>
    </row>
    <row r="2313" customHeight="1" spans="1:45">
      <c r="A2313" s="3" t="str">
        <f>IF(对接源_02物料!$C1113="","",对接源_02物料!$C1113)</f>
        <v/>
      </c>
      <c r="B2313" s="3">
        <f t="shared" si="622"/>
        <v>0</v>
      </c>
      <c r="C2313" s="3">
        <f t="shared" si="623"/>
        <v>21</v>
      </c>
      <c r="K2313" s="3">
        <f>IF(OR($K$1="",对接源_02物料!$C1113="",对接源_02物料!$C1113&lt;&gt;$K$1,对接源_02物料!$B1113=""),0,IF(OR(N(对接源_02物料!$B1113)&lt;$K$2,N(对接源_02物料!$B1113)&gt;$K$3),0,1))</f>
        <v>0</v>
      </c>
      <c r="L2313" s="3">
        <f>IF(OR($L$1="",对接源_02物料!$C1113="",对接源_02物料!$C1113&lt;&gt;$L$1,对接源_02物料!$B1113=""),0,IF(OR(N(对接源_02物料!$B1113)&lt;$L$2,N(对接源_02物料!$B1113)&gt;$L$3),0,1))</f>
        <v>0</v>
      </c>
      <c r="M2313" s="3">
        <f>IF(OR($M$1="",对接源_02物料!$C1113="",对接源_02物料!$C1113&lt;&gt;$M$1,对接源_02物料!$B1113=""),0,IF(OR(N(对接源_02物料!$B1113)&lt;$M$2,N(对接源_02物料!$B1113)&gt;$M$3),0,1))</f>
        <v>0</v>
      </c>
      <c r="N2313" s="3">
        <f>IF(OR($N$1="",对接源_02物料!$C1113="",对接源_02物料!$C1113&lt;&gt;$N$1,对接源_02物料!$B1113=""),0,IF(OR(N(对接源_02物料!$B1113)&lt;$N$2,N(对接源_02物料!$B1113)&gt;$N$3),0,1))</f>
        <v>0</v>
      </c>
      <c r="P2313" s="3">
        <f>IF(AND($K2313=1,AND(对接源_02物料!$X1113="公司筐",N(对接源_02物料!$T1113)&lt;&gt;0)),1,0)</f>
        <v>0</v>
      </c>
      <c r="Q2313" s="3">
        <f t="shared" si="624"/>
        <v>8</v>
      </c>
      <c r="R2313" s="3">
        <f>IF(AND($K2313=1,AND(对接源_02物料!$X1113="公司筐",N(对接源_02物料!$U1113)&lt;&gt;0)),1,0)</f>
        <v>0</v>
      </c>
      <c r="S2313" s="3">
        <f t="shared" si="625"/>
        <v>0</v>
      </c>
      <c r="T2313" s="3">
        <f>IF(AND($K2313=1,AND(对接源_02物料!$X1113="公司筐",N(对接源_02物料!$V1113)&lt;&gt;0)),1,0)</f>
        <v>0</v>
      </c>
      <c r="U2313" s="3">
        <f t="shared" si="626"/>
        <v>19</v>
      </c>
      <c r="V2313" s="3">
        <f>IF(AND($L2313=1,AND(对接源_02物料!$X1113="自备筐",N(对接源_02物料!$V1113)&lt;&gt;0)),1,0)</f>
        <v>0</v>
      </c>
      <c r="W2313" s="3">
        <f t="shared" si="627"/>
        <v>8</v>
      </c>
      <c r="X2313" s="3">
        <f>IF(AND($L2313=1,AND(对接源_02物料!$X1113="自备筐",N(对接源_02物料!$T1113)&lt;&gt;0)),1,0)</f>
        <v>0</v>
      </c>
      <c r="Y2313" s="3">
        <f t="shared" si="628"/>
        <v>0</v>
      </c>
      <c r="Z2313" s="3">
        <f>IF(AND($M2313=1,对接源_02物料!$D1113="原料入库"),1,0)</f>
        <v>0</v>
      </c>
      <c r="AA2313" s="3">
        <f t="shared" si="629"/>
        <v>24</v>
      </c>
      <c r="AB2313" s="3">
        <f>IF(AND($M2313=1,LEFT(对接源_02物料!$D1113,4)="原料出库"),1,0)</f>
        <v>0</v>
      </c>
      <c r="AC2313" s="3">
        <f t="shared" si="630"/>
        <v>0</v>
      </c>
      <c r="AD2313" s="3">
        <f>IF(AND($M2313=1,LEFT(对接源_02物料!$D1113,4)="成品出库"),1,0)</f>
        <v>0</v>
      </c>
      <c r="AE2313" s="3">
        <f t="shared" si="631"/>
        <v>0</v>
      </c>
      <c r="AF2313" s="3">
        <f>IF(AND($N2313=1,AND(LEFT(对接源_02物料!$D1113,4)="包装物料",N(对接源_02物料!$K1113)&lt;&gt;0)),1,0)</f>
        <v>0</v>
      </c>
      <c r="AG2313" s="3">
        <f t="shared" si="632"/>
        <v>5</v>
      </c>
      <c r="AH2313" s="3">
        <f>IF(AND($N2313=1,AND(对接源_02物料!$D1113="周转筐－销售出库",N(对接源_02物料!$K1113)&lt;&gt;0)),1,0)</f>
        <v>0</v>
      </c>
      <c r="AI2313" s="3">
        <f t="shared" si="633"/>
        <v>0</v>
      </c>
      <c r="AL2313" s="3">
        <v>0</v>
      </c>
      <c r="AM2313" s="3">
        <f t="shared" si="634"/>
        <v>1</v>
      </c>
      <c r="AN2313" s="3" t="str">
        <f t="shared" si="621"/>
        <v/>
      </c>
      <c r="AO2313" s="3">
        <v>0</v>
      </c>
      <c r="AP2313" s="3">
        <f t="shared" si="635"/>
        <v>8</v>
      </c>
      <c r="AR2313">
        <f t="shared" si="636"/>
        <v>0</v>
      </c>
      <c r="AS2313">
        <f t="shared" si="637"/>
        <v>5</v>
      </c>
    </row>
    <row r="2314" customHeight="1" spans="1:45">
      <c r="A2314" s="3" t="str">
        <f>IF(对接源_02物料!$C1114="","",对接源_02物料!$C1114)</f>
        <v/>
      </c>
      <c r="B2314" s="3">
        <f t="shared" si="622"/>
        <v>0</v>
      </c>
      <c r="C2314" s="3">
        <f t="shared" si="623"/>
        <v>21</v>
      </c>
      <c r="K2314" s="3">
        <f>IF(OR($K$1="",对接源_02物料!$C1114="",对接源_02物料!$C1114&lt;&gt;$K$1,对接源_02物料!$B1114=""),0,IF(OR(N(对接源_02物料!$B1114)&lt;$K$2,N(对接源_02物料!$B1114)&gt;$K$3),0,1))</f>
        <v>0</v>
      </c>
      <c r="L2314" s="3">
        <f>IF(OR($L$1="",对接源_02物料!$C1114="",对接源_02物料!$C1114&lt;&gt;$L$1,对接源_02物料!$B1114=""),0,IF(OR(N(对接源_02物料!$B1114)&lt;$L$2,N(对接源_02物料!$B1114)&gt;$L$3),0,1))</f>
        <v>0</v>
      </c>
      <c r="M2314" s="3">
        <f>IF(OR($M$1="",对接源_02物料!$C1114="",对接源_02物料!$C1114&lt;&gt;$M$1,对接源_02物料!$B1114=""),0,IF(OR(N(对接源_02物料!$B1114)&lt;$M$2,N(对接源_02物料!$B1114)&gt;$M$3),0,1))</f>
        <v>0</v>
      </c>
      <c r="N2314" s="3">
        <f>IF(OR($N$1="",对接源_02物料!$C1114="",对接源_02物料!$C1114&lt;&gt;$N$1,对接源_02物料!$B1114=""),0,IF(OR(N(对接源_02物料!$B1114)&lt;$N$2,N(对接源_02物料!$B1114)&gt;$N$3),0,1))</f>
        <v>0</v>
      </c>
      <c r="P2314" s="3">
        <f>IF(AND($K2314=1,AND(对接源_02物料!$X1114="公司筐",N(对接源_02物料!$T1114)&lt;&gt;0)),1,0)</f>
        <v>0</v>
      </c>
      <c r="Q2314" s="3">
        <f t="shared" si="624"/>
        <v>8</v>
      </c>
      <c r="R2314" s="3">
        <f>IF(AND($K2314=1,AND(对接源_02物料!$X1114="公司筐",N(对接源_02物料!$U1114)&lt;&gt;0)),1,0)</f>
        <v>0</v>
      </c>
      <c r="S2314" s="3">
        <f t="shared" si="625"/>
        <v>0</v>
      </c>
      <c r="T2314" s="3">
        <f>IF(AND($K2314=1,AND(对接源_02物料!$X1114="公司筐",N(对接源_02物料!$V1114)&lt;&gt;0)),1,0)</f>
        <v>0</v>
      </c>
      <c r="U2314" s="3">
        <f t="shared" si="626"/>
        <v>19</v>
      </c>
      <c r="V2314" s="3">
        <f>IF(AND($L2314=1,AND(对接源_02物料!$X1114="自备筐",N(对接源_02物料!$V1114)&lt;&gt;0)),1,0)</f>
        <v>0</v>
      </c>
      <c r="W2314" s="3">
        <f t="shared" si="627"/>
        <v>8</v>
      </c>
      <c r="X2314" s="3">
        <f>IF(AND($L2314=1,AND(对接源_02物料!$X1114="自备筐",N(对接源_02物料!$T1114)&lt;&gt;0)),1,0)</f>
        <v>0</v>
      </c>
      <c r="Y2314" s="3">
        <f t="shared" si="628"/>
        <v>0</v>
      </c>
      <c r="Z2314" s="3">
        <f>IF(AND($M2314=1,对接源_02物料!$D1114="原料入库"),1,0)</f>
        <v>0</v>
      </c>
      <c r="AA2314" s="3">
        <f t="shared" si="629"/>
        <v>24</v>
      </c>
      <c r="AB2314" s="3">
        <f>IF(AND($M2314=1,LEFT(对接源_02物料!$D1114,4)="原料出库"),1,0)</f>
        <v>0</v>
      </c>
      <c r="AC2314" s="3">
        <f t="shared" si="630"/>
        <v>0</v>
      </c>
      <c r="AD2314" s="3">
        <f>IF(AND($M2314=1,LEFT(对接源_02物料!$D1114,4)="成品出库"),1,0)</f>
        <v>0</v>
      </c>
      <c r="AE2314" s="3">
        <f t="shared" si="631"/>
        <v>0</v>
      </c>
      <c r="AF2314" s="3">
        <f>IF(AND($N2314=1,AND(LEFT(对接源_02物料!$D1114,4)="包装物料",N(对接源_02物料!$K1114)&lt;&gt;0)),1,0)</f>
        <v>0</v>
      </c>
      <c r="AG2314" s="3">
        <f t="shared" si="632"/>
        <v>5</v>
      </c>
      <c r="AH2314" s="3">
        <f>IF(AND($N2314=1,AND(对接源_02物料!$D1114="周转筐－销售出库",N(对接源_02物料!$K1114)&lt;&gt;0)),1,0)</f>
        <v>0</v>
      </c>
      <c r="AI2314" s="3">
        <f t="shared" si="633"/>
        <v>0</v>
      </c>
      <c r="AL2314" s="3">
        <v>0</v>
      </c>
      <c r="AM2314" s="3">
        <f t="shared" si="634"/>
        <v>1</v>
      </c>
      <c r="AN2314" s="3" t="str">
        <f t="shared" si="621"/>
        <v/>
      </c>
      <c r="AO2314" s="3">
        <v>0</v>
      </c>
      <c r="AP2314" s="3">
        <f t="shared" si="635"/>
        <v>8</v>
      </c>
      <c r="AR2314">
        <f t="shared" si="636"/>
        <v>0</v>
      </c>
      <c r="AS2314">
        <f t="shared" si="637"/>
        <v>5</v>
      </c>
    </row>
    <row r="2315" customHeight="1" spans="1:45">
      <c r="A2315" s="3" t="str">
        <f>IF(对接源_02物料!$C1115="","",对接源_02物料!$C1115)</f>
        <v/>
      </c>
      <c r="B2315" s="3">
        <f t="shared" si="622"/>
        <v>0</v>
      </c>
      <c r="C2315" s="3">
        <f t="shared" si="623"/>
        <v>21</v>
      </c>
      <c r="K2315" s="3">
        <f>IF(OR($K$1="",对接源_02物料!$C1115="",对接源_02物料!$C1115&lt;&gt;$K$1,对接源_02物料!$B1115=""),0,IF(OR(N(对接源_02物料!$B1115)&lt;$K$2,N(对接源_02物料!$B1115)&gt;$K$3),0,1))</f>
        <v>0</v>
      </c>
      <c r="L2315" s="3">
        <f>IF(OR($L$1="",对接源_02物料!$C1115="",对接源_02物料!$C1115&lt;&gt;$L$1,对接源_02物料!$B1115=""),0,IF(OR(N(对接源_02物料!$B1115)&lt;$L$2,N(对接源_02物料!$B1115)&gt;$L$3),0,1))</f>
        <v>0</v>
      </c>
      <c r="M2315" s="3">
        <f>IF(OR($M$1="",对接源_02物料!$C1115="",对接源_02物料!$C1115&lt;&gt;$M$1,对接源_02物料!$B1115=""),0,IF(OR(N(对接源_02物料!$B1115)&lt;$M$2,N(对接源_02物料!$B1115)&gt;$M$3),0,1))</f>
        <v>0</v>
      </c>
      <c r="N2315" s="3">
        <f>IF(OR($N$1="",对接源_02物料!$C1115="",对接源_02物料!$C1115&lt;&gt;$N$1,对接源_02物料!$B1115=""),0,IF(OR(N(对接源_02物料!$B1115)&lt;$N$2,N(对接源_02物料!$B1115)&gt;$N$3),0,1))</f>
        <v>0</v>
      </c>
      <c r="P2315" s="3">
        <f>IF(AND($K2315=1,AND(对接源_02物料!$X1115="公司筐",N(对接源_02物料!$T1115)&lt;&gt;0)),1,0)</f>
        <v>0</v>
      </c>
      <c r="Q2315" s="3">
        <f t="shared" si="624"/>
        <v>8</v>
      </c>
      <c r="R2315" s="3">
        <f>IF(AND($K2315=1,AND(对接源_02物料!$X1115="公司筐",N(对接源_02物料!$U1115)&lt;&gt;0)),1,0)</f>
        <v>0</v>
      </c>
      <c r="S2315" s="3">
        <f t="shared" si="625"/>
        <v>0</v>
      </c>
      <c r="T2315" s="3">
        <f>IF(AND($K2315=1,AND(对接源_02物料!$X1115="公司筐",N(对接源_02物料!$V1115)&lt;&gt;0)),1,0)</f>
        <v>0</v>
      </c>
      <c r="U2315" s="3">
        <f t="shared" si="626"/>
        <v>19</v>
      </c>
      <c r="V2315" s="3">
        <f>IF(AND($L2315=1,AND(对接源_02物料!$X1115="自备筐",N(对接源_02物料!$V1115)&lt;&gt;0)),1,0)</f>
        <v>0</v>
      </c>
      <c r="W2315" s="3">
        <f t="shared" si="627"/>
        <v>8</v>
      </c>
      <c r="X2315" s="3">
        <f>IF(AND($L2315=1,AND(对接源_02物料!$X1115="自备筐",N(对接源_02物料!$T1115)&lt;&gt;0)),1,0)</f>
        <v>0</v>
      </c>
      <c r="Y2315" s="3">
        <f t="shared" si="628"/>
        <v>0</v>
      </c>
      <c r="Z2315" s="3">
        <f>IF(AND($M2315=1,对接源_02物料!$D1115="原料入库"),1,0)</f>
        <v>0</v>
      </c>
      <c r="AA2315" s="3">
        <f t="shared" si="629"/>
        <v>24</v>
      </c>
      <c r="AB2315" s="3">
        <f>IF(AND($M2315=1,LEFT(对接源_02物料!$D1115,4)="原料出库"),1,0)</f>
        <v>0</v>
      </c>
      <c r="AC2315" s="3">
        <f t="shared" si="630"/>
        <v>0</v>
      </c>
      <c r="AD2315" s="3">
        <f>IF(AND($M2315=1,LEFT(对接源_02物料!$D1115,4)="成品出库"),1,0)</f>
        <v>0</v>
      </c>
      <c r="AE2315" s="3">
        <f t="shared" si="631"/>
        <v>0</v>
      </c>
      <c r="AF2315" s="3">
        <f>IF(AND($N2315=1,AND(LEFT(对接源_02物料!$D1115,4)="包装物料",N(对接源_02物料!$K1115)&lt;&gt;0)),1,0)</f>
        <v>0</v>
      </c>
      <c r="AG2315" s="3">
        <f t="shared" si="632"/>
        <v>5</v>
      </c>
      <c r="AH2315" s="3">
        <f>IF(AND($N2315=1,AND(对接源_02物料!$D1115="周转筐－销售出库",N(对接源_02物料!$K1115)&lt;&gt;0)),1,0)</f>
        <v>0</v>
      </c>
      <c r="AI2315" s="3">
        <f t="shared" si="633"/>
        <v>0</v>
      </c>
      <c r="AL2315" s="3">
        <v>0</v>
      </c>
      <c r="AM2315" s="3">
        <f t="shared" si="634"/>
        <v>1</v>
      </c>
      <c r="AN2315" s="3" t="str">
        <f t="shared" si="621"/>
        <v/>
      </c>
      <c r="AO2315" s="3">
        <v>0</v>
      </c>
      <c r="AP2315" s="3">
        <f t="shared" si="635"/>
        <v>8</v>
      </c>
      <c r="AR2315">
        <f t="shared" si="636"/>
        <v>0</v>
      </c>
      <c r="AS2315">
        <f t="shared" si="637"/>
        <v>5</v>
      </c>
    </row>
    <row r="2316" customHeight="1" spans="1:45">
      <c r="A2316" s="3" t="str">
        <f>IF(对接源_02物料!$C1116="","",对接源_02物料!$C1116)</f>
        <v/>
      </c>
      <c r="B2316" s="3">
        <f t="shared" si="622"/>
        <v>0</v>
      </c>
      <c r="C2316" s="3">
        <f t="shared" si="623"/>
        <v>21</v>
      </c>
      <c r="K2316" s="3">
        <f>IF(OR($K$1="",对接源_02物料!$C1116="",对接源_02物料!$C1116&lt;&gt;$K$1,对接源_02物料!$B1116=""),0,IF(OR(N(对接源_02物料!$B1116)&lt;$K$2,N(对接源_02物料!$B1116)&gt;$K$3),0,1))</f>
        <v>0</v>
      </c>
      <c r="L2316" s="3">
        <f>IF(OR($L$1="",对接源_02物料!$C1116="",对接源_02物料!$C1116&lt;&gt;$L$1,对接源_02物料!$B1116=""),0,IF(OR(N(对接源_02物料!$B1116)&lt;$L$2,N(对接源_02物料!$B1116)&gt;$L$3),0,1))</f>
        <v>0</v>
      </c>
      <c r="M2316" s="3">
        <f>IF(OR($M$1="",对接源_02物料!$C1116="",对接源_02物料!$C1116&lt;&gt;$M$1,对接源_02物料!$B1116=""),0,IF(OR(N(对接源_02物料!$B1116)&lt;$M$2,N(对接源_02物料!$B1116)&gt;$M$3),0,1))</f>
        <v>0</v>
      </c>
      <c r="N2316" s="3">
        <f>IF(OR($N$1="",对接源_02物料!$C1116="",对接源_02物料!$C1116&lt;&gt;$N$1,对接源_02物料!$B1116=""),0,IF(OR(N(对接源_02物料!$B1116)&lt;$N$2,N(对接源_02物料!$B1116)&gt;$N$3),0,1))</f>
        <v>0</v>
      </c>
      <c r="P2316" s="3">
        <f>IF(AND($K2316=1,AND(对接源_02物料!$X1116="公司筐",N(对接源_02物料!$T1116)&lt;&gt;0)),1,0)</f>
        <v>0</v>
      </c>
      <c r="Q2316" s="3">
        <f t="shared" si="624"/>
        <v>8</v>
      </c>
      <c r="R2316" s="3">
        <f>IF(AND($K2316=1,AND(对接源_02物料!$X1116="公司筐",N(对接源_02物料!$U1116)&lt;&gt;0)),1,0)</f>
        <v>0</v>
      </c>
      <c r="S2316" s="3">
        <f t="shared" si="625"/>
        <v>0</v>
      </c>
      <c r="T2316" s="3">
        <f>IF(AND($K2316=1,AND(对接源_02物料!$X1116="公司筐",N(对接源_02物料!$V1116)&lt;&gt;0)),1,0)</f>
        <v>0</v>
      </c>
      <c r="U2316" s="3">
        <f t="shared" si="626"/>
        <v>19</v>
      </c>
      <c r="V2316" s="3">
        <f>IF(AND($L2316=1,AND(对接源_02物料!$X1116="自备筐",N(对接源_02物料!$V1116)&lt;&gt;0)),1,0)</f>
        <v>0</v>
      </c>
      <c r="W2316" s="3">
        <f t="shared" si="627"/>
        <v>8</v>
      </c>
      <c r="X2316" s="3">
        <f>IF(AND($L2316=1,AND(对接源_02物料!$X1116="自备筐",N(对接源_02物料!$T1116)&lt;&gt;0)),1,0)</f>
        <v>0</v>
      </c>
      <c r="Y2316" s="3">
        <f t="shared" si="628"/>
        <v>0</v>
      </c>
      <c r="Z2316" s="3">
        <f>IF(AND($M2316=1,对接源_02物料!$D1116="原料入库"),1,0)</f>
        <v>0</v>
      </c>
      <c r="AA2316" s="3">
        <f t="shared" si="629"/>
        <v>24</v>
      </c>
      <c r="AB2316" s="3">
        <f>IF(AND($M2316=1,LEFT(对接源_02物料!$D1116,4)="原料出库"),1,0)</f>
        <v>0</v>
      </c>
      <c r="AC2316" s="3">
        <f t="shared" si="630"/>
        <v>0</v>
      </c>
      <c r="AD2316" s="3">
        <f>IF(AND($M2316=1,LEFT(对接源_02物料!$D1116,4)="成品出库"),1,0)</f>
        <v>0</v>
      </c>
      <c r="AE2316" s="3">
        <f t="shared" si="631"/>
        <v>0</v>
      </c>
      <c r="AF2316" s="3">
        <f>IF(AND($N2316=1,AND(LEFT(对接源_02物料!$D1116,4)="包装物料",N(对接源_02物料!$K1116)&lt;&gt;0)),1,0)</f>
        <v>0</v>
      </c>
      <c r="AG2316" s="3">
        <f t="shared" si="632"/>
        <v>5</v>
      </c>
      <c r="AH2316" s="3">
        <f>IF(AND($N2316=1,AND(对接源_02物料!$D1116="周转筐－销售出库",N(对接源_02物料!$K1116)&lt;&gt;0)),1,0)</f>
        <v>0</v>
      </c>
      <c r="AI2316" s="3">
        <f t="shared" si="633"/>
        <v>0</v>
      </c>
      <c r="AL2316" s="3">
        <v>0</v>
      </c>
      <c r="AM2316" s="3">
        <f t="shared" si="634"/>
        <v>1</v>
      </c>
      <c r="AN2316" s="3" t="str">
        <f t="shared" si="621"/>
        <v/>
      </c>
      <c r="AO2316" s="3">
        <v>0</v>
      </c>
      <c r="AP2316" s="3">
        <f t="shared" si="635"/>
        <v>8</v>
      </c>
      <c r="AR2316">
        <f t="shared" si="636"/>
        <v>0</v>
      </c>
      <c r="AS2316">
        <f t="shared" si="637"/>
        <v>5</v>
      </c>
    </row>
    <row r="2317" customHeight="1" spans="1:45">
      <c r="A2317" s="3" t="str">
        <f>IF(对接源_02物料!$C1117="","",对接源_02物料!$C1117)</f>
        <v/>
      </c>
      <c r="B2317" s="3">
        <f t="shared" si="622"/>
        <v>0</v>
      </c>
      <c r="C2317" s="3">
        <f t="shared" si="623"/>
        <v>21</v>
      </c>
      <c r="K2317" s="3">
        <f>IF(OR($K$1="",对接源_02物料!$C1117="",对接源_02物料!$C1117&lt;&gt;$K$1,对接源_02物料!$B1117=""),0,IF(OR(N(对接源_02物料!$B1117)&lt;$K$2,N(对接源_02物料!$B1117)&gt;$K$3),0,1))</f>
        <v>0</v>
      </c>
      <c r="L2317" s="3">
        <f>IF(OR($L$1="",对接源_02物料!$C1117="",对接源_02物料!$C1117&lt;&gt;$L$1,对接源_02物料!$B1117=""),0,IF(OR(N(对接源_02物料!$B1117)&lt;$L$2,N(对接源_02物料!$B1117)&gt;$L$3),0,1))</f>
        <v>0</v>
      </c>
      <c r="M2317" s="3">
        <f>IF(OR($M$1="",对接源_02物料!$C1117="",对接源_02物料!$C1117&lt;&gt;$M$1,对接源_02物料!$B1117=""),0,IF(OR(N(对接源_02物料!$B1117)&lt;$M$2,N(对接源_02物料!$B1117)&gt;$M$3),0,1))</f>
        <v>0</v>
      </c>
      <c r="N2317" s="3">
        <f>IF(OR($N$1="",对接源_02物料!$C1117="",对接源_02物料!$C1117&lt;&gt;$N$1,对接源_02物料!$B1117=""),0,IF(OR(N(对接源_02物料!$B1117)&lt;$N$2,N(对接源_02物料!$B1117)&gt;$N$3),0,1))</f>
        <v>0</v>
      </c>
      <c r="P2317" s="3">
        <f>IF(AND($K2317=1,AND(对接源_02物料!$X1117="公司筐",N(对接源_02物料!$T1117)&lt;&gt;0)),1,0)</f>
        <v>0</v>
      </c>
      <c r="Q2317" s="3">
        <f t="shared" si="624"/>
        <v>8</v>
      </c>
      <c r="R2317" s="3">
        <f>IF(AND($K2317=1,AND(对接源_02物料!$X1117="公司筐",N(对接源_02物料!$U1117)&lt;&gt;0)),1,0)</f>
        <v>0</v>
      </c>
      <c r="S2317" s="3">
        <f t="shared" si="625"/>
        <v>0</v>
      </c>
      <c r="T2317" s="3">
        <f>IF(AND($K2317=1,AND(对接源_02物料!$X1117="公司筐",N(对接源_02物料!$V1117)&lt;&gt;0)),1,0)</f>
        <v>0</v>
      </c>
      <c r="U2317" s="3">
        <f t="shared" si="626"/>
        <v>19</v>
      </c>
      <c r="V2317" s="3">
        <f>IF(AND($L2317=1,AND(对接源_02物料!$X1117="自备筐",N(对接源_02物料!$V1117)&lt;&gt;0)),1,0)</f>
        <v>0</v>
      </c>
      <c r="W2317" s="3">
        <f t="shared" si="627"/>
        <v>8</v>
      </c>
      <c r="X2317" s="3">
        <f>IF(AND($L2317=1,AND(对接源_02物料!$X1117="自备筐",N(对接源_02物料!$T1117)&lt;&gt;0)),1,0)</f>
        <v>0</v>
      </c>
      <c r="Y2317" s="3">
        <f t="shared" si="628"/>
        <v>0</v>
      </c>
      <c r="Z2317" s="3">
        <f>IF(AND($M2317=1,对接源_02物料!$D1117="原料入库"),1,0)</f>
        <v>0</v>
      </c>
      <c r="AA2317" s="3">
        <f t="shared" si="629"/>
        <v>24</v>
      </c>
      <c r="AB2317" s="3">
        <f>IF(AND($M2317=1,LEFT(对接源_02物料!$D1117,4)="原料出库"),1,0)</f>
        <v>0</v>
      </c>
      <c r="AC2317" s="3">
        <f t="shared" si="630"/>
        <v>0</v>
      </c>
      <c r="AD2317" s="3">
        <f>IF(AND($M2317=1,LEFT(对接源_02物料!$D1117,4)="成品出库"),1,0)</f>
        <v>0</v>
      </c>
      <c r="AE2317" s="3">
        <f t="shared" si="631"/>
        <v>0</v>
      </c>
      <c r="AF2317" s="3">
        <f>IF(AND($N2317=1,AND(LEFT(对接源_02物料!$D1117,4)="包装物料",N(对接源_02物料!$K1117)&lt;&gt;0)),1,0)</f>
        <v>0</v>
      </c>
      <c r="AG2317" s="3">
        <f t="shared" si="632"/>
        <v>5</v>
      </c>
      <c r="AH2317" s="3">
        <f>IF(AND($N2317=1,AND(对接源_02物料!$D1117="周转筐－销售出库",N(对接源_02物料!$K1117)&lt;&gt;0)),1,0)</f>
        <v>0</v>
      </c>
      <c r="AI2317" s="3">
        <f t="shared" si="633"/>
        <v>0</v>
      </c>
      <c r="AL2317" s="3">
        <v>0</v>
      </c>
      <c r="AM2317" s="3">
        <f t="shared" si="634"/>
        <v>1</v>
      </c>
      <c r="AN2317" s="3" t="str">
        <f t="shared" si="621"/>
        <v/>
      </c>
      <c r="AO2317" s="3">
        <v>0</v>
      </c>
      <c r="AP2317" s="3">
        <f t="shared" si="635"/>
        <v>8</v>
      </c>
      <c r="AR2317">
        <f t="shared" si="636"/>
        <v>0</v>
      </c>
      <c r="AS2317">
        <f t="shared" si="637"/>
        <v>5</v>
      </c>
    </row>
    <row r="2318" customHeight="1" spans="1:45">
      <c r="A2318" s="3" t="str">
        <f>IF(对接源_02物料!$C1118="","",对接源_02物料!$C1118)</f>
        <v/>
      </c>
      <c r="B2318" s="3">
        <f t="shared" si="622"/>
        <v>0</v>
      </c>
      <c r="C2318" s="3">
        <f t="shared" si="623"/>
        <v>21</v>
      </c>
      <c r="K2318" s="3">
        <f>IF(OR($K$1="",对接源_02物料!$C1118="",对接源_02物料!$C1118&lt;&gt;$K$1,对接源_02物料!$B1118=""),0,IF(OR(N(对接源_02物料!$B1118)&lt;$K$2,N(对接源_02物料!$B1118)&gt;$K$3),0,1))</f>
        <v>0</v>
      </c>
      <c r="L2318" s="3">
        <f>IF(OR($L$1="",对接源_02物料!$C1118="",对接源_02物料!$C1118&lt;&gt;$L$1,对接源_02物料!$B1118=""),0,IF(OR(N(对接源_02物料!$B1118)&lt;$L$2,N(对接源_02物料!$B1118)&gt;$L$3),0,1))</f>
        <v>0</v>
      </c>
      <c r="M2318" s="3">
        <f>IF(OR($M$1="",对接源_02物料!$C1118="",对接源_02物料!$C1118&lt;&gt;$M$1,对接源_02物料!$B1118=""),0,IF(OR(N(对接源_02物料!$B1118)&lt;$M$2,N(对接源_02物料!$B1118)&gt;$M$3),0,1))</f>
        <v>0</v>
      </c>
      <c r="N2318" s="3">
        <f>IF(OR($N$1="",对接源_02物料!$C1118="",对接源_02物料!$C1118&lt;&gt;$N$1,对接源_02物料!$B1118=""),0,IF(OR(N(对接源_02物料!$B1118)&lt;$N$2,N(对接源_02物料!$B1118)&gt;$N$3),0,1))</f>
        <v>0</v>
      </c>
      <c r="P2318" s="3">
        <f>IF(AND($K2318=1,AND(对接源_02物料!$X1118="公司筐",N(对接源_02物料!$T1118)&lt;&gt;0)),1,0)</f>
        <v>0</v>
      </c>
      <c r="Q2318" s="3">
        <f t="shared" si="624"/>
        <v>8</v>
      </c>
      <c r="R2318" s="3">
        <f>IF(AND($K2318=1,AND(对接源_02物料!$X1118="公司筐",N(对接源_02物料!$U1118)&lt;&gt;0)),1,0)</f>
        <v>0</v>
      </c>
      <c r="S2318" s="3">
        <f t="shared" si="625"/>
        <v>0</v>
      </c>
      <c r="T2318" s="3">
        <f>IF(AND($K2318=1,AND(对接源_02物料!$X1118="公司筐",N(对接源_02物料!$V1118)&lt;&gt;0)),1,0)</f>
        <v>0</v>
      </c>
      <c r="U2318" s="3">
        <f t="shared" si="626"/>
        <v>19</v>
      </c>
      <c r="V2318" s="3">
        <f>IF(AND($L2318=1,AND(对接源_02物料!$X1118="自备筐",N(对接源_02物料!$V1118)&lt;&gt;0)),1,0)</f>
        <v>0</v>
      </c>
      <c r="W2318" s="3">
        <f t="shared" si="627"/>
        <v>8</v>
      </c>
      <c r="X2318" s="3">
        <f>IF(AND($L2318=1,AND(对接源_02物料!$X1118="自备筐",N(对接源_02物料!$T1118)&lt;&gt;0)),1,0)</f>
        <v>0</v>
      </c>
      <c r="Y2318" s="3">
        <f t="shared" si="628"/>
        <v>0</v>
      </c>
      <c r="Z2318" s="3">
        <f>IF(AND($M2318=1,对接源_02物料!$D1118="原料入库"),1,0)</f>
        <v>0</v>
      </c>
      <c r="AA2318" s="3">
        <f t="shared" si="629"/>
        <v>24</v>
      </c>
      <c r="AB2318" s="3">
        <f>IF(AND($M2318=1,LEFT(对接源_02物料!$D1118,4)="原料出库"),1,0)</f>
        <v>0</v>
      </c>
      <c r="AC2318" s="3">
        <f t="shared" si="630"/>
        <v>0</v>
      </c>
      <c r="AD2318" s="3">
        <f>IF(AND($M2318=1,LEFT(对接源_02物料!$D1118,4)="成品出库"),1,0)</f>
        <v>0</v>
      </c>
      <c r="AE2318" s="3">
        <f t="shared" si="631"/>
        <v>0</v>
      </c>
      <c r="AF2318" s="3">
        <f>IF(AND($N2318=1,AND(LEFT(对接源_02物料!$D1118,4)="包装物料",N(对接源_02物料!$K1118)&lt;&gt;0)),1,0)</f>
        <v>0</v>
      </c>
      <c r="AG2318" s="3">
        <f t="shared" si="632"/>
        <v>5</v>
      </c>
      <c r="AH2318" s="3">
        <f>IF(AND($N2318=1,AND(对接源_02物料!$D1118="周转筐－销售出库",N(对接源_02物料!$K1118)&lt;&gt;0)),1,0)</f>
        <v>0</v>
      </c>
      <c r="AI2318" s="3">
        <f t="shared" si="633"/>
        <v>0</v>
      </c>
      <c r="AL2318" s="3">
        <v>0</v>
      </c>
      <c r="AM2318" s="3">
        <f t="shared" si="634"/>
        <v>1</v>
      </c>
      <c r="AN2318" s="3" t="str">
        <f t="shared" si="621"/>
        <v/>
      </c>
      <c r="AO2318" s="3">
        <v>0</v>
      </c>
      <c r="AP2318" s="3">
        <f t="shared" si="635"/>
        <v>8</v>
      </c>
      <c r="AR2318">
        <f t="shared" si="636"/>
        <v>0</v>
      </c>
      <c r="AS2318">
        <f t="shared" si="637"/>
        <v>5</v>
      </c>
    </row>
    <row r="2319" customHeight="1" spans="1:45">
      <c r="A2319" s="3" t="str">
        <f>IF(对接源_02物料!$C1119="","",对接源_02物料!$C1119)</f>
        <v/>
      </c>
      <c r="B2319" s="3">
        <f t="shared" si="622"/>
        <v>0</v>
      </c>
      <c r="C2319" s="3">
        <f t="shared" si="623"/>
        <v>21</v>
      </c>
      <c r="K2319" s="3">
        <f>IF(OR($K$1="",对接源_02物料!$C1119="",对接源_02物料!$C1119&lt;&gt;$K$1,对接源_02物料!$B1119=""),0,IF(OR(N(对接源_02物料!$B1119)&lt;$K$2,N(对接源_02物料!$B1119)&gt;$K$3),0,1))</f>
        <v>0</v>
      </c>
      <c r="L2319" s="3">
        <f>IF(OR($L$1="",对接源_02物料!$C1119="",对接源_02物料!$C1119&lt;&gt;$L$1,对接源_02物料!$B1119=""),0,IF(OR(N(对接源_02物料!$B1119)&lt;$L$2,N(对接源_02物料!$B1119)&gt;$L$3),0,1))</f>
        <v>0</v>
      </c>
      <c r="M2319" s="3">
        <f>IF(OR($M$1="",对接源_02物料!$C1119="",对接源_02物料!$C1119&lt;&gt;$M$1,对接源_02物料!$B1119=""),0,IF(OR(N(对接源_02物料!$B1119)&lt;$M$2,N(对接源_02物料!$B1119)&gt;$M$3),0,1))</f>
        <v>0</v>
      </c>
      <c r="N2319" s="3">
        <f>IF(OR($N$1="",对接源_02物料!$C1119="",对接源_02物料!$C1119&lt;&gt;$N$1,对接源_02物料!$B1119=""),0,IF(OR(N(对接源_02物料!$B1119)&lt;$N$2,N(对接源_02物料!$B1119)&gt;$N$3),0,1))</f>
        <v>0</v>
      </c>
      <c r="P2319" s="3">
        <f>IF(AND($K2319=1,AND(对接源_02物料!$X1119="公司筐",N(对接源_02物料!$T1119)&lt;&gt;0)),1,0)</f>
        <v>0</v>
      </c>
      <c r="Q2319" s="3">
        <f t="shared" si="624"/>
        <v>8</v>
      </c>
      <c r="R2319" s="3">
        <f>IF(AND($K2319=1,AND(对接源_02物料!$X1119="公司筐",N(对接源_02物料!$U1119)&lt;&gt;0)),1,0)</f>
        <v>0</v>
      </c>
      <c r="S2319" s="3">
        <f t="shared" si="625"/>
        <v>0</v>
      </c>
      <c r="T2319" s="3">
        <f>IF(AND($K2319=1,AND(对接源_02物料!$X1119="公司筐",N(对接源_02物料!$V1119)&lt;&gt;0)),1,0)</f>
        <v>0</v>
      </c>
      <c r="U2319" s="3">
        <f t="shared" si="626"/>
        <v>19</v>
      </c>
      <c r="V2319" s="3">
        <f>IF(AND($L2319=1,AND(对接源_02物料!$X1119="自备筐",N(对接源_02物料!$V1119)&lt;&gt;0)),1,0)</f>
        <v>0</v>
      </c>
      <c r="W2319" s="3">
        <f t="shared" si="627"/>
        <v>8</v>
      </c>
      <c r="X2319" s="3">
        <f>IF(AND($L2319=1,AND(对接源_02物料!$X1119="自备筐",N(对接源_02物料!$T1119)&lt;&gt;0)),1,0)</f>
        <v>0</v>
      </c>
      <c r="Y2319" s="3">
        <f t="shared" si="628"/>
        <v>0</v>
      </c>
      <c r="Z2319" s="3">
        <f>IF(AND($M2319=1,对接源_02物料!$D1119="原料入库"),1,0)</f>
        <v>0</v>
      </c>
      <c r="AA2319" s="3">
        <f t="shared" si="629"/>
        <v>24</v>
      </c>
      <c r="AB2319" s="3">
        <f>IF(AND($M2319=1,LEFT(对接源_02物料!$D1119,4)="原料出库"),1,0)</f>
        <v>0</v>
      </c>
      <c r="AC2319" s="3">
        <f t="shared" si="630"/>
        <v>0</v>
      </c>
      <c r="AD2319" s="3">
        <f>IF(AND($M2319=1,LEFT(对接源_02物料!$D1119,4)="成品出库"),1,0)</f>
        <v>0</v>
      </c>
      <c r="AE2319" s="3">
        <f t="shared" si="631"/>
        <v>0</v>
      </c>
      <c r="AF2319" s="3">
        <f>IF(AND($N2319=1,AND(LEFT(对接源_02物料!$D1119,4)="包装物料",N(对接源_02物料!$K1119)&lt;&gt;0)),1,0)</f>
        <v>0</v>
      </c>
      <c r="AG2319" s="3">
        <f t="shared" si="632"/>
        <v>5</v>
      </c>
      <c r="AH2319" s="3">
        <f>IF(AND($N2319=1,AND(对接源_02物料!$D1119="周转筐－销售出库",N(对接源_02物料!$K1119)&lt;&gt;0)),1,0)</f>
        <v>0</v>
      </c>
      <c r="AI2319" s="3">
        <f t="shared" si="633"/>
        <v>0</v>
      </c>
      <c r="AL2319" s="3">
        <v>0</v>
      </c>
      <c r="AM2319" s="3">
        <f t="shared" si="634"/>
        <v>1</v>
      </c>
      <c r="AN2319" s="3" t="str">
        <f t="shared" si="621"/>
        <v/>
      </c>
      <c r="AO2319" s="3">
        <v>0</v>
      </c>
      <c r="AP2319" s="3">
        <f t="shared" si="635"/>
        <v>8</v>
      </c>
      <c r="AR2319">
        <f t="shared" si="636"/>
        <v>0</v>
      </c>
      <c r="AS2319">
        <f t="shared" si="637"/>
        <v>5</v>
      </c>
    </row>
    <row r="2320" customHeight="1" spans="1:45">
      <c r="A2320" s="3" t="str">
        <f>IF(对接源_02物料!$C1120="","",对接源_02物料!$C1120)</f>
        <v/>
      </c>
      <c r="B2320" s="3">
        <f t="shared" si="622"/>
        <v>0</v>
      </c>
      <c r="C2320" s="3">
        <f t="shared" si="623"/>
        <v>21</v>
      </c>
      <c r="K2320" s="3">
        <f>IF(OR($K$1="",对接源_02物料!$C1120="",对接源_02物料!$C1120&lt;&gt;$K$1,对接源_02物料!$B1120=""),0,IF(OR(N(对接源_02物料!$B1120)&lt;$K$2,N(对接源_02物料!$B1120)&gt;$K$3),0,1))</f>
        <v>0</v>
      </c>
      <c r="L2320" s="3">
        <f>IF(OR($L$1="",对接源_02物料!$C1120="",对接源_02物料!$C1120&lt;&gt;$L$1,对接源_02物料!$B1120=""),0,IF(OR(N(对接源_02物料!$B1120)&lt;$L$2,N(对接源_02物料!$B1120)&gt;$L$3),0,1))</f>
        <v>0</v>
      </c>
      <c r="M2320" s="3">
        <f>IF(OR($M$1="",对接源_02物料!$C1120="",对接源_02物料!$C1120&lt;&gt;$M$1,对接源_02物料!$B1120=""),0,IF(OR(N(对接源_02物料!$B1120)&lt;$M$2,N(对接源_02物料!$B1120)&gt;$M$3),0,1))</f>
        <v>0</v>
      </c>
      <c r="N2320" s="3">
        <f>IF(OR($N$1="",对接源_02物料!$C1120="",对接源_02物料!$C1120&lt;&gt;$N$1,对接源_02物料!$B1120=""),0,IF(OR(N(对接源_02物料!$B1120)&lt;$N$2,N(对接源_02物料!$B1120)&gt;$N$3),0,1))</f>
        <v>0</v>
      </c>
      <c r="P2320" s="3">
        <f>IF(AND($K2320=1,AND(对接源_02物料!$X1120="公司筐",N(对接源_02物料!$T1120)&lt;&gt;0)),1,0)</f>
        <v>0</v>
      </c>
      <c r="Q2320" s="3">
        <f t="shared" si="624"/>
        <v>8</v>
      </c>
      <c r="R2320" s="3">
        <f>IF(AND($K2320=1,AND(对接源_02物料!$X1120="公司筐",N(对接源_02物料!$U1120)&lt;&gt;0)),1,0)</f>
        <v>0</v>
      </c>
      <c r="S2320" s="3">
        <f t="shared" si="625"/>
        <v>0</v>
      </c>
      <c r="T2320" s="3">
        <f>IF(AND($K2320=1,AND(对接源_02物料!$X1120="公司筐",N(对接源_02物料!$V1120)&lt;&gt;0)),1,0)</f>
        <v>0</v>
      </c>
      <c r="U2320" s="3">
        <f t="shared" si="626"/>
        <v>19</v>
      </c>
      <c r="V2320" s="3">
        <f>IF(AND($L2320=1,AND(对接源_02物料!$X1120="自备筐",N(对接源_02物料!$V1120)&lt;&gt;0)),1,0)</f>
        <v>0</v>
      </c>
      <c r="W2320" s="3">
        <f t="shared" si="627"/>
        <v>8</v>
      </c>
      <c r="X2320" s="3">
        <f>IF(AND($L2320=1,AND(对接源_02物料!$X1120="自备筐",N(对接源_02物料!$T1120)&lt;&gt;0)),1,0)</f>
        <v>0</v>
      </c>
      <c r="Y2320" s="3">
        <f t="shared" si="628"/>
        <v>0</v>
      </c>
      <c r="Z2320" s="3">
        <f>IF(AND($M2320=1,对接源_02物料!$D1120="原料入库"),1,0)</f>
        <v>0</v>
      </c>
      <c r="AA2320" s="3">
        <f t="shared" si="629"/>
        <v>24</v>
      </c>
      <c r="AB2320" s="3">
        <f>IF(AND($M2320=1,LEFT(对接源_02物料!$D1120,4)="原料出库"),1,0)</f>
        <v>0</v>
      </c>
      <c r="AC2320" s="3">
        <f t="shared" si="630"/>
        <v>0</v>
      </c>
      <c r="AD2320" s="3">
        <f>IF(AND($M2320=1,LEFT(对接源_02物料!$D1120,4)="成品出库"),1,0)</f>
        <v>0</v>
      </c>
      <c r="AE2320" s="3">
        <f t="shared" si="631"/>
        <v>0</v>
      </c>
      <c r="AF2320" s="3">
        <f>IF(AND($N2320=1,AND(LEFT(对接源_02物料!$D1120,4)="包装物料",N(对接源_02物料!$K1120)&lt;&gt;0)),1,0)</f>
        <v>0</v>
      </c>
      <c r="AG2320" s="3">
        <f t="shared" si="632"/>
        <v>5</v>
      </c>
      <c r="AH2320" s="3">
        <f>IF(AND($N2320=1,AND(对接源_02物料!$D1120="周转筐－销售出库",N(对接源_02物料!$K1120)&lt;&gt;0)),1,0)</f>
        <v>0</v>
      </c>
      <c r="AI2320" s="3">
        <f t="shared" si="633"/>
        <v>0</v>
      </c>
      <c r="AL2320" s="3">
        <v>0</v>
      </c>
      <c r="AM2320" s="3">
        <f t="shared" si="634"/>
        <v>1</v>
      </c>
      <c r="AN2320" s="3" t="str">
        <f t="shared" si="621"/>
        <v/>
      </c>
      <c r="AO2320" s="3">
        <v>0</v>
      </c>
      <c r="AP2320" s="3">
        <f t="shared" si="635"/>
        <v>8</v>
      </c>
      <c r="AR2320">
        <f t="shared" si="636"/>
        <v>0</v>
      </c>
      <c r="AS2320">
        <f t="shared" si="637"/>
        <v>5</v>
      </c>
    </row>
    <row r="2321" customHeight="1" spans="1:45">
      <c r="A2321" s="3" t="str">
        <f>IF(对接源_02物料!$C1121="","",对接源_02物料!$C1121)</f>
        <v/>
      </c>
      <c r="B2321" s="3">
        <f t="shared" si="622"/>
        <v>0</v>
      </c>
      <c r="C2321" s="3">
        <f t="shared" si="623"/>
        <v>21</v>
      </c>
      <c r="K2321" s="3">
        <f>IF(OR($K$1="",对接源_02物料!$C1121="",对接源_02物料!$C1121&lt;&gt;$K$1,对接源_02物料!$B1121=""),0,IF(OR(N(对接源_02物料!$B1121)&lt;$K$2,N(对接源_02物料!$B1121)&gt;$K$3),0,1))</f>
        <v>0</v>
      </c>
      <c r="L2321" s="3">
        <f>IF(OR($L$1="",对接源_02物料!$C1121="",对接源_02物料!$C1121&lt;&gt;$L$1,对接源_02物料!$B1121=""),0,IF(OR(N(对接源_02物料!$B1121)&lt;$L$2,N(对接源_02物料!$B1121)&gt;$L$3),0,1))</f>
        <v>0</v>
      </c>
      <c r="M2321" s="3">
        <f>IF(OR($M$1="",对接源_02物料!$C1121="",对接源_02物料!$C1121&lt;&gt;$M$1,对接源_02物料!$B1121=""),0,IF(OR(N(对接源_02物料!$B1121)&lt;$M$2,N(对接源_02物料!$B1121)&gt;$M$3),0,1))</f>
        <v>0</v>
      </c>
      <c r="N2321" s="3">
        <f>IF(OR($N$1="",对接源_02物料!$C1121="",对接源_02物料!$C1121&lt;&gt;$N$1,对接源_02物料!$B1121=""),0,IF(OR(N(对接源_02物料!$B1121)&lt;$N$2,N(对接源_02物料!$B1121)&gt;$N$3),0,1))</f>
        <v>0</v>
      </c>
      <c r="P2321" s="3">
        <f>IF(AND($K2321=1,AND(对接源_02物料!$X1121="公司筐",N(对接源_02物料!$T1121)&lt;&gt;0)),1,0)</f>
        <v>0</v>
      </c>
      <c r="Q2321" s="3">
        <f t="shared" si="624"/>
        <v>8</v>
      </c>
      <c r="R2321" s="3">
        <f>IF(AND($K2321=1,AND(对接源_02物料!$X1121="公司筐",N(对接源_02物料!$U1121)&lt;&gt;0)),1,0)</f>
        <v>0</v>
      </c>
      <c r="S2321" s="3">
        <f t="shared" si="625"/>
        <v>0</v>
      </c>
      <c r="T2321" s="3">
        <f>IF(AND($K2321=1,AND(对接源_02物料!$X1121="公司筐",N(对接源_02物料!$V1121)&lt;&gt;0)),1,0)</f>
        <v>0</v>
      </c>
      <c r="U2321" s="3">
        <f t="shared" si="626"/>
        <v>19</v>
      </c>
      <c r="V2321" s="3">
        <f>IF(AND($L2321=1,AND(对接源_02物料!$X1121="自备筐",N(对接源_02物料!$V1121)&lt;&gt;0)),1,0)</f>
        <v>0</v>
      </c>
      <c r="W2321" s="3">
        <f t="shared" si="627"/>
        <v>8</v>
      </c>
      <c r="X2321" s="3">
        <f>IF(AND($L2321=1,AND(对接源_02物料!$X1121="自备筐",N(对接源_02物料!$T1121)&lt;&gt;0)),1,0)</f>
        <v>0</v>
      </c>
      <c r="Y2321" s="3">
        <f t="shared" si="628"/>
        <v>0</v>
      </c>
      <c r="Z2321" s="3">
        <f>IF(AND($M2321=1,对接源_02物料!$D1121="原料入库"),1,0)</f>
        <v>0</v>
      </c>
      <c r="AA2321" s="3">
        <f t="shared" si="629"/>
        <v>24</v>
      </c>
      <c r="AB2321" s="3">
        <f>IF(AND($M2321=1,LEFT(对接源_02物料!$D1121,4)="原料出库"),1,0)</f>
        <v>0</v>
      </c>
      <c r="AC2321" s="3">
        <f t="shared" si="630"/>
        <v>0</v>
      </c>
      <c r="AD2321" s="3">
        <f>IF(AND($M2321=1,LEFT(对接源_02物料!$D1121,4)="成品出库"),1,0)</f>
        <v>0</v>
      </c>
      <c r="AE2321" s="3">
        <f t="shared" si="631"/>
        <v>0</v>
      </c>
      <c r="AF2321" s="3">
        <f>IF(AND($N2321=1,AND(LEFT(对接源_02物料!$D1121,4)="包装物料",N(对接源_02物料!$K1121)&lt;&gt;0)),1,0)</f>
        <v>0</v>
      </c>
      <c r="AG2321" s="3">
        <f t="shared" si="632"/>
        <v>5</v>
      </c>
      <c r="AH2321" s="3">
        <f>IF(AND($N2321=1,AND(对接源_02物料!$D1121="周转筐－销售出库",N(对接源_02物料!$K1121)&lt;&gt;0)),1,0)</f>
        <v>0</v>
      </c>
      <c r="AI2321" s="3">
        <f t="shared" si="633"/>
        <v>0</v>
      </c>
      <c r="AL2321" s="3">
        <v>0</v>
      </c>
      <c r="AM2321" s="3">
        <f t="shared" si="634"/>
        <v>1</v>
      </c>
      <c r="AN2321" s="3" t="str">
        <f t="shared" si="621"/>
        <v/>
      </c>
      <c r="AO2321" s="3">
        <v>0</v>
      </c>
      <c r="AP2321" s="3">
        <f t="shared" si="635"/>
        <v>8</v>
      </c>
      <c r="AR2321">
        <f t="shared" si="636"/>
        <v>0</v>
      </c>
      <c r="AS2321">
        <f t="shared" si="637"/>
        <v>5</v>
      </c>
    </row>
    <row r="2322" customHeight="1" spans="1:45">
      <c r="A2322" s="3" t="str">
        <f>IF(对接源_02物料!$C1122="","",对接源_02物料!$C1122)</f>
        <v/>
      </c>
      <c r="B2322" s="3">
        <f t="shared" si="622"/>
        <v>0</v>
      </c>
      <c r="C2322" s="3">
        <f t="shared" si="623"/>
        <v>21</v>
      </c>
      <c r="K2322" s="3">
        <f>IF(OR($K$1="",对接源_02物料!$C1122="",对接源_02物料!$C1122&lt;&gt;$K$1,对接源_02物料!$B1122=""),0,IF(OR(N(对接源_02物料!$B1122)&lt;$K$2,N(对接源_02物料!$B1122)&gt;$K$3),0,1))</f>
        <v>0</v>
      </c>
      <c r="L2322" s="3">
        <f>IF(OR($L$1="",对接源_02物料!$C1122="",对接源_02物料!$C1122&lt;&gt;$L$1,对接源_02物料!$B1122=""),0,IF(OR(N(对接源_02物料!$B1122)&lt;$L$2,N(对接源_02物料!$B1122)&gt;$L$3),0,1))</f>
        <v>0</v>
      </c>
      <c r="M2322" s="3">
        <f>IF(OR($M$1="",对接源_02物料!$C1122="",对接源_02物料!$C1122&lt;&gt;$M$1,对接源_02物料!$B1122=""),0,IF(OR(N(对接源_02物料!$B1122)&lt;$M$2,N(对接源_02物料!$B1122)&gt;$M$3),0,1))</f>
        <v>0</v>
      </c>
      <c r="N2322" s="3">
        <f>IF(OR($N$1="",对接源_02物料!$C1122="",对接源_02物料!$C1122&lt;&gt;$N$1,对接源_02物料!$B1122=""),0,IF(OR(N(对接源_02物料!$B1122)&lt;$N$2,N(对接源_02物料!$B1122)&gt;$N$3),0,1))</f>
        <v>0</v>
      </c>
      <c r="P2322" s="3">
        <f>IF(AND($K2322=1,AND(对接源_02物料!$X1122="公司筐",N(对接源_02物料!$T1122)&lt;&gt;0)),1,0)</f>
        <v>0</v>
      </c>
      <c r="Q2322" s="3">
        <f t="shared" si="624"/>
        <v>8</v>
      </c>
      <c r="R2322" s="3">
        <f>IF(AND($K2322=1,AND(对接源_02物料!$X1122="公司筐",N(对接源_02物料!$U1122)&lt;&gt;0)),1,0)</f>
        <v>0</v>
      </c>
      <c r="S2322" s="3">
        <f t="shared" si="625"/>
        <v>0</v>
      </c>
      <c r="T2322" s="3">
        <f>IF(AND($K2322=1,AND(对接源_02物料!$X1122="公司筐",N(对接源_02物料!$V1122)&lt;&gt;0)),1,0)</f>
        <v>0</v>
      </c>
      <c r="U2322" s="3">
        <f t="shared" si="626"/>
        <v>19</v>
      </c>
      <c r="V2322" s="3">
        <f>IF(AND($L2322=1,AND(对接源_02物料!$X1122="自备筐",N(对接源_02物料!$V1122)&lt;&gt;0)),1,0)</f>
        <v>0</v>
      </c>
      <c r="W2322" s="3">
        <f t="shared" si="627"/>
        <v>8</v>
      </c>
      <c r="X2322" s="3">
        <f>IF(AND($L2322=1,AND(对接源_02物料!$X1122="自备筐",N(对接源_02物料!$T1122)&lt;&gt;0)),1,0)</f>
        <v>0</v>
      </c>
      <c r="Y2322" s="3">
        <f t="shared" si="628"/>
        <v>0</v>
      </c>
      <c r="Z2322" s="3">
        <f>IF(AND($M2322=1,对接源_02物料!$D1122="原料入库"),1,0)</f>
        <v>0</v>
      </c>
      <c r="AA2322" s="3">
        <f t="shared" si="629"/>
        <v>24</v>
      </c>
      <c r="AB2322" s="3">
        <f>IF(AND($M2322=1,LEFT(对接源_02物料!$D1122,4)="原料出库"),1,0)</f>
        <v>0</v>
      </c>
      <c r="AC2322" s="3">
        <f t="shared" si="630"/>
        <v>0</v>
      </c>
      <c r="AD2322" s="3">
        <f>IF(AND($M2322=1,LEFT(对接源_02物料!$D1122,4)="成品出库"),1,0)</f>
        <v>0</v>
      </c>
      <c r="AE2322" s="3">
        <f t="shared" si="631"/>
        <v>0</v>
      </c>
      <c r="AF2322" s="3">
        <f>IF(AND($N2322=1,AND(LEFT(对接源_02物料!$D1122,4)="包装物料",N(对接源_02物料!$K1122)&lt;&gt;0)),1,0)</f>
        <v>0</v>
      </c>
      <c r="AG2322" s="3">
        <f t="shared" si="632"/>
        <v>5</v>
      </c>
      <c r="AH2322" s="3">
        <f>IF(AND($N2322=1,AND(对接源_02物料!$D1122="周转筐－销售出库",N(对接源_02物料!$K1122)&lt;&gt;0)),1,0)</f>
        <v>0</v>
      </c>
      <c r="AI2322" s="3">
        <f t="shared" si="633"/>
        <v>0</v>
      </c>
      <c r="AL2322" s="3">
        <v>0</v>
      </c>
      <c r="AM2322" s="3">
        <f t="shared" si="634"/>
        <v>1</v>
      </c>
      <c r="AN2322" s="3" t="str">
        <f t="shared" si="621"/>
        <v/>
      </c>
      <c r="AO2322" s="3">
        <v>0</v>
      </c>
      <c r="AP2322" s="3">
        <f t="shared" si="635"/>
        <v>8</v>
      </c>
      <c r="AR2322">
        <f t="shared" si="636"/>
        <v>0</v>
      </c>
      <c r="AS2322">
        <f t="shared" si="637"/>
        <v>5</v>
      </c>
    </row>
    <row r="2323" customHeight="1" spans="1:45">
      <c r="A2323" s="3" t="str">
        <f>IF(对接源_02物料!$C1123="","",对接源_02物料!$C1123)</f>
        <v/>
      </c>
      <c r="B2323" s="3">
        <f t="shared" si="622"/>
        <v>0</v>
      </c>
      <c r="C2323" s="3">
        <f t="shared" si="623"/>
        <v>21</v>
      </c>
      <c r="K2323" s="3">
        <f>IF(OR($K$1="",对接源_02物料!$C1123="",对接源_02物料!$C1123&lt;&gt;$K$1,对接源_02物料!$B1123=""),0,IF(OR(N(对接源_02物料!$B1123)&lt;$K$2,N(对接源_02物料!$B1123)&gt;$K$3),0,1))</f>
        <v>0</v>
      </c>
      <c r="L2323" s="3">
        <f>IF(OR($L$1="",对接源_02物料!$C1123="",对接源_02物料!$C1123&lt;&gt;$L$1,对接源_02物料!$B1123=""),0,IF(OR(N(对接源_02物料!$B1123)&lt;$L$2,N(对接源_02物料!$B1123)&gt;$L$3),0,1))</f>
        <v>0</v>
      </c>
      <c r="M2323" s="3">
        <f>IF(OR($M$1="",对接源_02物料!$C1123="",对接源_02物料!$C1123&lt;&gt;$M$1,对接源_02物料!$B1123=""),0,IF(OR(N(对接源_02物料!$B1123)&lt;$M$2,N(对接源_02物料!$B1123)&gt;$M$3),0,1))</f>
        <v>0</v>
      </c>
      <c r="N2323" s="3">
        <f>IF(OR($N$1="",对接源_02物料!$C1123="",对接源_02物料!$C1123&lt;&gt;$N$1,对接源_02物料!$B1123=""),0,IF(OR(N(对接源_02物料!$B1123)&lt;$N$2,N(对接源_02物料!$B1123)&gt;$N$3),0,1))</f>
        <v>0</v>
      </c>
      <c r="P2323" s="3">
        <f>IF(AND($K2323=1,AND(对接源_02物料!$X1123="公司筐",N(对接源_02物料!$T1123)&lt;&gt;0)),1,0)</f>
        <v>0</v>
      </c>
      <c r="Q2323" s="3">
        <f t="shared" si="624"/>
        <v>8</v>
      </c>
      <c r="R2323" s="3">
        <f>IF(AND($K2323=1,AND(对接源_02物料!$X1123="公司筐",N(对接源_02物料!$U1123)&lt;&gt;0)),1,0)</f>
        <v>0</v>
      </c>
      <c r="S2323" s="3">
        <f t="shared" si="625"/>
        <v>0</v>
      </c>
      <c r="T2323" s="3">
        <f>IF(AND($K2323=1,AND(对接源_02物料!$X1123="公司筐",N(对接源_02物料!$V1123)&lt;&gt;0)),1,0)</f>
        <v>0</v>
      </c>
      <c r="U2323" s="3">
        <f t="shared" si="626"/>
        <v>19</v>
      </c>
      <c r="V2323" s="3">
        <f>IF(AND($L2323=1,AND(对接源_02物料!$X1123="自备筐",N(对接源_02物料!$V1123)&lt;&gt;0)),1,0)</f>
        <v>0</v>
      </c>
      <c r="W2323" s="3">
        <f t="shared" si="627"/>
        <v>8</v>
      </c>
      <c r="X2323" s="3">
        <f>IF(AND($L2323=1,AND(对接源_02物料!$X1123="自备筐",N(对接源_02物料!$T1123)&lt;&gt;0)),1,0)</f>
        <v>0</v>
      </c>
      <c r="Y2323" s="3">
        <f t="shared" si="628"/>
        <v>0</v>
      </c>
      <c r="Z2323" s="3">
        <f>IF(AND($M2323=1,对接源_02物料!$D1123="原料入库"),1,0)</f>
        <v>0</v>
      </c>
      <c r="AA2323" s="3">
        <f t="shared" si="629"/>
        <v>24</v>
      </c>
      <c r="AB2323" s="3">
        <f>IF(AND($M2323=1,LEFT(对接源_02物料!$D1123,4)="原料出库"),1,0)</f>
        <v>0</v>
      </c>
      <c r="AC2323" s="3">
        <f t="shared" si="630"/>
        <v>0</v>
      </c>
      <c r="AD2323" s="3">
        <f>IF(AND($M2323=1,LEFT(对接源_02物料!$D1123,4)="成品出库"),1,0)</f>
        <v>0</v>
      </c>
      <c r="AE2323" s="3">
        <f t="shared" si="631"/>
        <v>0</v>
      </c>
      <c r="AF2323" s="3">
        <f>IF(AND($N2323=1,AND(LEFT(对接源_02物料!$D1123,4)="包装物料",N(对接源_02物料!$K1123)&lt;&gt;0)),1,0)</f>
        <v>0</v>
      </c>
      <c r="AG2323" s="3">
        <f t="shared" si="632"/>
        <v>5</v>
      </c>
      <c r="AH2323" s="3">
        <f>IF(AND($N2323=1,AND(对接源_02物料!$D1123="周转筐－销售出库",N(对接源_02物料!$K1123)&lt;&gt;0)),1,0)</f>
        <v>0</v>
      </c>
      <c r="AI2323" s="3">
        <f t="shared" si="633"/>
        <v>0</v>
      </c>
      <c r="AL2323" s="3">
        <v>0</v>
      </c>
      <c r="AM2323" s="3">
        <f t="shared" si="634"/>
        <v>1</v>
      </c>
      <c r="AN2323" s="3" t="str">
        <f t="shared" si="621"/>
        <v/>
      </c>
      <c r="AO2323" s="3">
        <v>0</v>
      </c>
      <c r="AP2323" s="3">
        <f t="shared" si="635"/>
        <v>8</v>
      </c>
      <c r="AR2323">
        <f t="shared" si="636"/>
        <v>0</v>
      </c>
      <c r="AS2323">
        <f t="shared" si="637"/>
        <v>5</v>
      </c>
    </row>
    <row r="2324" customHeight="1" spans="1:45">
      <c r="A2324" s="3" t="str">
        <f>IF(对接源_02物料!$C1124="","",对接源_02物料!$C1124)</f>
        <v/>
      </c>
      <c r="B2324" s="3">
        <f t="shared" si="622"/>
        <v>0</v>
      </c>
      <c r="C2324" s="3">
        <f t="shared" si="623"/>
        <v>21</v>
      </c>
      <c r="K2324" s="3">
        <f>IF(OR($K$1="",对接源_02物料!$C1124="",对接源_02物料!$C1124&lt;&gt;$K$1,对接源_02物料!$B1124=""),0,IF(OR(N(对接源_02物料!$B1124)&lt;$K$2,N(对接源_02物料!$B1124)&gt;$K$3),0,1))</f>
        <v>0</v>
      </c>
      <c r="L2324" s="3">
        <f>IF(OR($L$1="",对接源_02物料!$C1124="",对接源_02物料!$C1124&lt;&gt;$L$1,对接源_02物料!$B1124=""),0,IF(OR(N(对接源_02物料!$B1124)&lt;$L$2,N(对接源_02物料!$B1124)&gt;$L$3),0,1))</f>
        <v>0</v>
      </c>
      <c r="M2324" s="3">
        <f>IF(OR($M$1="",对接源_02物料!$C1124="",对接源_02物料!$C1124&lt;&gt;$M$1,对接源_02物料!$B1124=""),0,IF(OR(N(对接源_02物料!$B1124)&lt;$M$2,N(对接源_02物料!$B1124)&gt;$M$3),0,1))</f>
        <v>0</v>
      </c>
      <c r="N2324" s="3">
        <f>IF(OR($N$1="",对接源_02物料!$C1124="",对接源_02物料!$C1124&lt;&gt;$N$1,对接源_02物料!$B1124=""),0,IF(OR(N(对接源_02物料!$B1124)&lt;$N$2,N(对接源_02物料!$B1124)&gt;$N$3),0,1))</f>
        <v>0</v>
      </c>
      <c r="P2324" s="3">
        <f>IF(AND($K2324=1,AND(对接源_02物料!$X1124="公司筐",N(对接源_02物料!$T1124)&lt;&gt;0)),1,0)</f>
        <v>0</v>
      </c>
      <c r="Q2324" s="3">
        <f t="shared" si="624"/>
        <v>8</v>
      </c>
      <c r="R2324" s="3">
        <f>IF(AND($K2324=1,AND(对接源_02物料!$X1124="公司筐",N(对接源_02物料!$U1124)&lt;&gt;0)),1,0)</f>
        <v>0</v>
      </c>
      <c r="S2324" s="3">
        <f t="shared" si="625"/>
        <v>0</v>
      </c>
      <c r="T2324" s="3">
        <f>IF(AND($K2324=1,AND(对接源_02物料!$X1124="公司筐",N(对接源_02物料!$V1124)&lt;&gt;0)),1,0)</f>
        <v>0</v>
      </c>
      <c r="U2324" s="3">
        <f t="shared" si="626"/>
        <v>19</v>
      </c>
      <c r="V2324" s="3">
        <f>IF(AND($L2324=1,AND(对接源_02物料!$X1124="自备筐",N(对接源_02物料!$V1124)&lt;&gt;0)),1,0)</f>
        <v>0</v>
      </c>
      <c r="W2324" s="3">
        <f t="shared" si="627"/>
        <v>8</v>
      </c>
      <c r="X2324" s="3">
        <f>IF(AND($L2324=1,AND(对接源_02物料!$X1124="自备筐",N(对接源_02物料!$T1124)&lt;&gt;0)),1,0)</f>
        <v>0</v>
      </c>
      <c r="Y2324" s="3">
        <f t="shared" si="628"/>
        <v>0</v>
      </c>
      <c r="Z2324" s="3">
        <f>IF(AND($M2324=1,对接源_02物料!$D1124="原料入库"),1,0)</f>
        <v>0</v>
      </c>
      <c r="AA2324" s="3">
        <f t="shared" si="629"/>
        <v>24</v>
      </c>
      <c r="AB2324" s="3">
        <f>IF(AND($M2324=1,LEFT(对接源_02物料!$D1124,4)="原料出库"),1,0)</f>
        <v>0</v>
      </c>
      <c r="AC2324" s="3">
        <f t="shared" si="630"/>
        <v>0</v>
      </c>
      <c r="AD2324" s="3">
        <f>IF(AND($M2324=1,LEFT(对接源_02物料!$D1124,4)="成品出库"),1,0)</f>
        <v>0</v>
      </c>
      <c r="AE2324" s="3">
        <f t="shared" si="631"/>
        <v>0</v>
      </c>
      <c r="AF2324" s="3">
        <f>IF(AND($N2324=1,AND(LEFT(对接源_02物料!$D1124,4)="包装物料",N(对接源_02物料!$K1124)&lt;&gt;0)),1,0)</f>
        <v>0</v>
      </c>
      <c r="AG2324" s="3">
        <f t="shared" si="632"/>
        <v>5</v>
      </c>
      <c r="AH2324" s="3">
        <f>IF(AND($N2324=1,AND(对接源_02物料!$D1124="周转筐－销售出库",N(对接源_02物料!$K1124)&lt;&gt;0)),1,0)</f>
        <v>0</v>
      </c>
      <c r="AI2324" s="3">
        <f t="shared" si="633"/>
        <v>0</v>
      </c>
      <c r="AL2324" s="3">
        <v>0</v>
      </c>
      <c r="AM2324" s="3">
        <f t="shared" si="634"/>
        <v>1</v>
      </c>
      <c r="AN2324" s="3" t="str">
        <f t="shared" si="621"/>
        <v/>
      </c>
      <c r="AO2324" s="3">
        <v>0</v>
      </c>
      <c r="AP2324" s="3">
        <f t="shared" si="635"/>
        <v>8</v>
      </c>
      <c r="AR2324">
        <f t="shared" si="636"/>
        <v>0</v>
      </c>
      <c r="AS2324">
        <f t="shared" si="637"/>
        <v>5</v>
      </c>
    </row>
    <row r="2325" customHeight="1" spans="1:45">
      <c r="A2325" s="3" t="str">
        <f>IF(对接源_02物料!$C1125="","",对接源_02物料!$C1125)</f>
        <v/>
      </c>
      <c r="B2325" s="3">
        <f t="shared" si="622"/>
        <v>0</v>
      </c>
      <c r="C2325" s="3">
        <f t="shared" si="623"/>
        <v>21</v>
      </c>
      <c r="K2325" s="3">
        <f>IF(OR($K$1="",对接源_02物料!$C1125="",对接源_02物料!$C1125&lt;&gt;$K$1,对接源_02物料!$B1125=""),0,IF(OR(N(对接源_02物料!$B1125)&lt;$K$2,N(对接源_02物料!$B1125)&gt;$K$3),0,1))</f>
        <v>0</v>
      </c>
      <c r="L2325" s="3">
        <f>IF(OR($L$1="",对接源_02物料!$C1125="",对接源_02物料!$C1125&lt;&gt;$L$1,对接源_02物料!$B1125=""),0,IF(OR(N(对接源_02物料!$B1125)&lt;$L$2,N(对接源_02物料!$B1125)&gt;$L$3),0,1))</f>
        <v>0</v>
      </c>
      <c r="M2325" s="3">
        <f>IF(OR($M$1="",对接源_02物料!$C1125="",对接源_02物料!$C1125&lt;&gt;$M$1,对接源_02物料!$B1125=""),0,IF(OR(N(对接源_02物料!$B1125)&lt;$M$2,N(对接源_02物料!$B1125)&gt;$M$3),0,1))</f>
        <v>0</v>
      </c>
      <c r="N2325" s="3">
        <f>IF(OR($N$1="",对接源_02物料!$C1125="",对接源_02物料!$C1125&lt;&gt;$N$1,对接源_02物料!$B1125=""),0,IF(OR(N(对接源_02物料!$B1125)&lt;$N$2,N(对接源_02物料!$B1125)&gt;$N$3),0,1))</f>
        <v>0</v>
      </c>
      <c r="P2325" s="3">
        <f>IF(AND($K2325=1,AND(对接源_02物料!$X1125="公司筐",N(对接源_02物料!$T1125)&lt;&gt;0)),1,0)</f>
        <v>0</v>
      </c>
      <c r="Q2325" s="3">
        <f t="shared" si="624"/>
        <v>8</v>
      </c>
      <c r="R2325" s="3">
        <f>IF(AND($K2325=1,AND(对接源_02物料!$X1125="公司筐",N(对接源_02物料!$U1125)&lt;&gt;0)),1,0)</f>
        <v>0</v>
      </c>
      <c r="S2325" s="3">
        <f t="shared" si="625"/>
        <v>0</v>
      </c>
      <c r="T2325" s="3">
        <f>IF(AND($K2325=1,AND(对接源_02物料!$X1125="公司筐",N(对接源_02物料!$V1125)&lt;&gt;0)),1,0)</f>
        <v>0</v>
      </c>
      <c r="U2325" s="3">
        <f t="shared" si="626"/>
        <v>19</v>
      </c>
      <c r="V2325" s="3">
        <f>IF(AND($L2325=1,AND(对接源_02物料!$X1125="自备筐",N(对接源_02物料!$V1125)&lt;&gt;0)),1,0)</f>
        <v>0</v>
      </c>
      <c r="W2325" s="3">
        <f t="shared" si="627"/>
        <v>8</v>
      </c>
      <c r="X2325" s="3">
        <f>IF(AND($L2325=1,AND(对接源_02物料!$X1125="自备筐",N(对接源_02物料!$T1125)&lt;&gt;0)),1,0)</f>
        <v>0</v>
      </c>
      <c r="Y2325" s="3">
        <f t="shared" si="628"/>
        <v>0</v>
      </c>
      <c r="Z2325" s="3">
        <f>IF(AND($M2325=1,对接源_02物料!$D1125="原料入库"),1,0)</f>
        <v>0</v>
      </c>
      <c r="AA2325" s="3">
        <f t="shared" si="629"/>
        <v>24</v>
      </c>
      <c r="AB2325" s="3">
        <f>IF(AND($M2325=1,LEFT(对接源_02物料!$D1125,4)="原料出库"),1,0)</f>
        <v>0</v>
      </c>
      <c r="AC2325" s="3">
        <f t="shared" si="630"/>
        <v>0</v>
      </c>
      <c r="AD2325" s="3">
        <f>IF(AND($M2325=1,LEFT(对接源_02物料!$D1125,4)="成品出库"),1,0)</f>
        <v>0</v>
      </c>
      <c r="AE2325" s="3">
        <f t="shared" si="631"/>
        <v>0</v>
      </c>
      <c r="AF2325" s="3">
        <f>IF(AND($N2325=1,AND(LEFT(对接源_02物料!$D1125,4)="包装物料",N(对接源_02物料!$K1125)&lt;&gt;0)),1,0)</f>
        <v>0</v>
      </c>
      <c r="AG2325" s="3">
        <f t="shared" si="632"/>
        <v>5</v>
      </c>
      <c r="AH2325" s="3">
        <f>IF(AND($N2325=1,AND(对接源_02物料!$D1125="周转筐－销售出库",N(对接源_02物料!$K1125)&lt;&gt;0)),1,0)</f>
        <v>0</v>
      </c>
      <c r="AI2325" s="3">
        <f t="shared" si="633"/>
        <v>0</v>
      </c>
      <c r="AL2325" s="3">
        <v>0</v>
      </c>
      <c r="AM2325" s="3">
        <f t="shared" si="634"/>
        <v>1</v>
      </c>
      <c r="AN2325" s="3" t="str">
        <f t="shared" si="621"/>
        <v/>
      </c>
      <c r="AO2325" s="3">
        <v>0</v>
      </c>
      <c r="AP2325" s="3">
        <f t="shared" si="635"/>
        <v>8</v>
      </c>
      <c r="AR2325">
        <f t="shared" si="636"/>
        <v>0</v>
      </c>
      <c r="AS2325">
        <f t="shared" si="637"/>
        <v>5</v>
      </c>
    </row>
    <row r="2326" customHeight="1" spans="1:45">
      <c r="A2326" s="3" t="str">
        <f>IF(对接源_02物料!$C1126="","",对接源_02物料!$C1126)</f>
        <v/>
      </c>
      <c r="B2326" s="3">
        <f t="shared" si="622"/>
        <v>0</v>
      </c>
      <c r="C2326" s="3">
        <f t="shared" si="623"/>
        <v>21</v>
      </c>
      <c r="K2326" s="3">
        <f>IF(OR($K$1="",对接源_02物料!$C1126="",对接源_02物料!$C1126&lt;&gt;$K$1,对接源_02物料!$B1126=""),0,IF(OR(N(对接源_02物料!$B1126)&lt;$K$2,N(对接源_02物料!$B1126)&gt;$K$3),0,1))</f>
        <v>0</v>
      </c>
      <c r="L2326" s="3">
        <f>IF(OR($L$1="",对接源_02物料!$C1126="",对接源_02物料!$C1126&lt;&gt;$L$1,对接源_02物料!$B1126=""),0,IF(OR(N(对接源_02物料!$B1126)&lt;$L$2,N(对接源_02物料!$B1126)&gt;$L$3),0,1))</f>
        <v>0</v>
      </c>
      <c r="M2326" s="3">
        <f>IF(OR($M$1="",对接源_02物料!$C1126="",对接源_02物料!$C1126&lt;&gt;$M$1,对接源_02物料!$B1126=""),0,IF(OR(N(对接源_02物料!$B1126)&lt;$M$2,N(对接源_02物料!$B1126)&gt;$M$3),0,1))</f>
        <v>0</v>
      </c>
      <c r="N2326" s="3">
        <f>IF(OR($N$1="",对接源_02物料!$C1126="",对接源_02物料!$C1126&lt;&gt;$N$1,对接源_02物料!$B1126=""),0,IF(OR(N(对接源_02物料!$B1126)&lt;$N$2,N(对接源_02物料!$B1126)&gt;$N$3),0,1))</f>
        <v>0</v>
      </c>
      <c r="P2326" s="3">
        <f>IF(AND($K2326=1,AND(对接源_02物料!$X1126="公司筐",N(对接源_02物料!$T1126)&lt;&gt;0)),1,0)</f>
        <v>0</v>
      </c>
      <c r="Q2326" s="3">
        <f t="shared" si="624"/>
        <v>8</v>
      </c>
      <c r="R2326" s="3">
        <f>IF(AND($K2326=1,AND(对接源_02物料!$X1126="公司筐",N(对接源_02物料!$U1126)&lt;&gt;0)),1,0)</f>
        <v>0</v>
      </c>
      <c r="S2326" s="3">
        <f t="shared" si="625"/>
        <v>0</v>
      </c>
      <c r="T2326" s="3">
        <f>IF(AND($K2326=1,AND(对接源_02物料!$X1126="公司筐",N(对接源_02物料!$V1126)&lt;&gt;0)),1,0)</f>
        <v>0</v>
      </c>
      <c r="U2326" s="3">
        <f t="shared" si="626"/>
        <v>19</v>
      </c>
      <c r="V2326" s="3">
        <f>IF(AND($L2326=1,AND(对接源_02物料!$X1126="自备筐",N(对接源_02物料!$V1126)&lt;&gt;0)),1,0)</f>
        <v>0</v>
      </c>
      <c r="W2326" s="3">
        <f t="shared" si="627"/>
        <v>8</v>
      </c>
      <c r="X2326" s="3">
        <f>IF(AND($L2326=1,AND(对接源_02物料!$X1126="自备筐",N(对接源_02物料!$T1126)&lt;&gt;0)),1,0)</f>
        <v>0</v>
      </c>
      <c r="Y2326" s="3">
        <f t="shared" si="628"/>
        <v>0</v>
      </c>
      <c r="Z2326" s="3">
        <f>IF(AND($M2326=1,对接源_02物料!$D1126="原料入库"),1,0)</f>
        <v>0</v>
      </c>
      <c r="AA2326" s="3">
        <f t="shared" si="629"/>
        <v>24</v>
      </c>
      <c r="AB2326" s="3">
        <f>IF(AND($M2326=1,LEFT(对接源_02物料!$D1126,4)="原料出库"),1,0)</f>
        <v>0</v>
      </c>
      <c r="AC2326" s="3">
        <f t="shared" si="630"/>
        <v>0</v>
      </c>
      <c r="AD2326" s="3">
        <f>IF(AND($M2326=1,LEFT(对接源_02物料!$D1126,4)="成品出库"),1,0)</f>
        <v>0</v>
      </c>
      <c r="AE2326" s="3">
        <f t="shared" si="631"/>
        <v>0</v>
      </c>
      <c r="AF2326" s="3">
        <f>IF(AND($N2326=1,AND(LEFT(对接源_02物料!$D1126,4)="包装物料",N(对接源_02物料!$K1126)&lt;&gt;0)),1,0)</f>
        <v>0</v>
      </c>
      <c r="AG2326" s="3">
        <f t="shared" si="632"/>
        <v>5</v>
      </c>
      <c r="AH2326" s="3">
        <f>IF(AND($N2326=1,AND(对接源_02物料!$D1126="周转筐－销售出库",N(对接源_02物料!$K1126)&lt;&gt;0)),1,0)</f>
        <v>0</v>
      </c>
      <c r="AI2326" s="3">
        <f t="shared" si="633"/>
        <v>0</v>
      </c>
      <c r="AL2326" s="3">
        <v>0</v>
      </c>
      <c r="AM2326" s="3">
        <f t="shared" si="634"/>
        <v>1</v>
      </c>
      <c r="AN2326" s="3" t="str">
        <f t="shared" si="621"/>
        <v/>
      </c>
      <c r="AO2326" s="3">
        <v>0</v>
      </c>
      <c r="AP2326" s="3">
        <f t="shared" si="635"/>
        <v>8</v>
      </c>
      <c r="AR2326">
        <f t="shared" si="636"/>
        <v>0</v>
      </c>
      <c r="AS2326">
        <f t="shared" si="637"/>
        <v>5</v>
      </c>
    </row>
    <row r="2327" customHeight="1" spans="1:45">
      <c r="A2327" s="3" t="str">
        <f>IF(对接源_02物料!$C1127="","",对接源_02物料!$C1127)</f>
        <v/>
      </c>
      <c r="B2327" s="3">
        <f t="shared" si="622"/>
        <v>0</v>
      </c>
      <c r="C2327" s="3">
        <f t="shared" si="623"/>
        <v>21</v>
      </c>
      <c r="K2327" s="3">
        <f>IF(OR($K$1="",对接源_02物料!$C1127="",对接源_02物料!$C1127&lt;&gt;$K$1,对接源_02物料!$B1127=""),0,IF(OR(N(对接源_02物料!$B1127)&lt;$K$2,N(对接源_02物料!$B1127)&gt;$K$3),0,1))</f>
        <v>0</v>
      </c>
      <c r="L2327" s="3">
        <f>IF(OR($L$1="",对接源_02物料!$C1127="",对接源_02物料!$C1127&lt;&gt;$L$1,对接源_02物料!$B1127=""),0,IF(OR(N(对接源_02物料!$B1127)&lt;$L$2,N(对接源_02物料!$B1127)&gt;$L$3),0,1))</f>
        <v>0</v>
      </c>
      <c r="M2327" s="3">
        <f>IF(OR($M$1="",对接源_02物料!$C1127="",对接源_02物料!$C1127&lt;&gt;$M$1,对接源_02物料!$B1127=""),0,IF(OR(N(对接源_02物料!$B1127)&lt;$M$2,N(对接源_02物料!$B1127)&gt;$M$3),0,1))</f>
        <v>0</v>
      </c>
      <c r="N2327" s="3">
        <f>IF(OR($N$1="",对接源_02物料!$C1127="",对接源_02物料!$C1127&lt;&gt;$N$1,对接源_02物料!$B1127=""),0,IF(OR(N(对接源_02物料!$B1127)&lt;$N$2,N(对接源_02物料!$B1127)&gt;$N$3),0,1))</f>
        <v>0</v>
      </c>
      <c r="P2327" s="3">
        <f>IF(AND($K2327=1,AND(对接源_02物料!$X1127="公司筐",N(对接源_02物料!$T1127)&lt;&gt;0)),1,0)</f>
        <v>0</v>
      </c>
      <c r="Q2327" s="3">
        <f t="shared" si="624"/>
        <v>8</v>
      </c>
      <c r="R2327" s="3">
        <f>IF(AND($K2327=1,AND(对接源_02物料!$X1127="公司筐",N(对接源_02物料!$U1127)&lt;&gt;0)),1,0)</f>
        <v>0</v>
      </c>
      <c r="S2327" s="3">
        <f t="shared" si="625"/>
        <v>0</v>
      </c>
      <c r="T2327" s="3">
        <f>IF(AND($K2327=1,AND(对接源_02物料!$X1127="公司筐",N(对接源_02物料!$V1127)&lt;&gt;0)),1,0)</f>
        <v>0</v>
      </c>
      <c r="U2327" s="3">
        <f t="shared" si="626"/>
        <v>19</v>
      </c>
      <c r="V2327" s="3">
        <f>IF(AND($L2327=1,AND(对接源_02物料!$X1127="自备筐",N(对接源_02物料!$V1127)&lt;&gt;0)),1,0)</f>
        <v>0</v>
      </c>
      <c r="W2327" s="3">
        <f t="shared" si="627"/>
        <v>8</v>
      </c>
      <c r="X2327" s="3">
        <f>IF(AND($L2327=1,AND(对接源_02物料!$X1127="自备筐",N(对接源_02物料!$T1127)&lt;&gt;0)),1,0)</f>
        <v>0</v>
      </c>
      <c r="Y2327" s="3">
        <f t="shared" si="628"/>
        <v>0</v>
      </c>
      <c r="Z2327" s="3">
        <f>IF(AND($M2327=1,对接源_02物料!$D1127="原料入库"),1,0)</f>
        <v>0</v>
      </c>
      <c r="AA2327" s="3">
        <f t="shared" si="629"/>
        <v>24</v>
      </c>
      <c r="AB2327" s="3">
        <f>IF(AND($M2327=1,LEFT(对接源_02物料!$D1127,4)="原料出库"),1,0)</f>
        <v>0</v>
      </c>
      <c r="AC2327" s="3">
        <f t="shared" si="630"/>
        <v>0</v>
      </c>
      <c r="AD2327" s="3">
        <f>IF(AND($M2327=1,LEFT(对接源_02物料!$D1127,4)="成品出库"),1,0)</f>
        <v>0</v>
      </c>
      <c r="AE2327" s="3">
        <f t="shared" si="631"/>
        <v>0</v>
      </c>
      <c r="AF2327" s="3">
        <f>IF(AND($N2327=1,AND(LEFT(对接源_02物料!$D1127,4)="包装物料",N(对接源_02物料!$K1127)&lt;&gt;0)),1,0)</f>
        <v>0</v>
      </c>
      <c r="AG2327" s="3">
        <f t="shared" si="632"/>
        <v>5</v>
      </c>
      <c r="AH2327" s="3">
        <f>IF(AND($N2327=1,AND(对接源_02物料!$D1127="周转筐－销售出库",N(对接源_02物料!$K1127)&lt;&gt;0)),1,0)</f>
        <v>0</v>
      </c>
      <c r="AI2327" s="3">
        <f t="shared" si="633"/>
        <v>0</v>
      </c>
      <c r="AL2327" s="3">
        <v>0</v>
      </c>
      <c r="AM2327" s="3">
        <f t="shared" si="634"/>
        <v>1</v>
      </c>
      <c r="AN2327" s="3" t="str">
        <f t="shared" si="621"/>
        <v/>
      </c>
      <c r="AO2327" s="3">
        <v>0</v>
      </c>
      <c r="AP2327" s="3">
        <f t="shared" si="635"/>
        <v>8</v>
      </c>
      <c r="AR2327">
        <f t="shared" si="636"/>
        <v>0</v>
      </c>
      <c r="AS2327">
        <f t="shared" si="637"/>
        <v>5</v>
      </c>
    </row>
    <row r="2328" customHeight="1" spans="1:45">
      <c r="A2328" s="3" t="str">
        <f>IF(对接源_02物料!$C1128="","",对接源_02物料!$C1128)</f>
        <v/>
      </c>
      <c r="B2328" s="3">
        <f t="shared" si="622"/>
        <v>0</v>
      </c>
      <c r="C2328" s="3">
        <f t="shared" si="623"/>
        <v>21</v>
      </c>
      <c r="K2328" s="3">
        <f>IF(OR($K$1="",对接源_02物料!$C1128="",对接源_02物料!$C1128&lt;&gt;$K$1,对接源_02物料!$B1128=""),0,IF(OR(N(对接源_02物料!$B1128)&lt;$K$2,N(对接源_02物料!$B1128)&gt;$K$3),0,1))</f>
        <v>0</v>
      </c>
      <c r="L2328" s="3">
        <f>IF(OR($L$1="",对接源_02物料!$C1128="",对接源_02物料!$C1128&lt;&gt;$L$1,对接源_02物料!$B1128=""),0,IF(OR(N(对接源_02物料!$B1128)&lt;$L$2,N(对接源_02物料!$B1128)&gt;$L$3),0,1))</f>
        <v>0</v>
      </c>
      <c r="M2328" s="3">
        <f>IF(OR($M$1="",对接源_02物料!$C1128="",对接源_02物料!$C1128&lt;&gt;$M$1,对接源_02物料!$B1128=""),0,IF(OR(N(对接源_02物料!$B1128)&lt;$M$2,N(对接源_02物料!$B1128)&gt;$M$3),0,1))</f>
        <v>0</v>
      </c>
      <c r="N2328" s="3">
        <f>IF(OR($N$1="",对接源_02物料!$C1128="",对接源_02物料!$C1128&lt;&gt;$N$1,对接源_02物料!$B1128=""),0,IF(OR(N(对接源_02物料!$B1128)&lt;$N$2,N(对接源_02物料!$B1128)&gt;$N$3),0,1))</f>
        <v>0</v>
      </c>
      <c r="P2328" s="3">
        <f>IF(AND($K2328=1,AND(对接源_02物料!$X1128="公司筐",N(对接源_02物料!$T1128)&lt;&gt;0)),1,0)</f>
        <v>0</v>
      </c>
      <c r="Q2328" s="3">
        <f t="shared" si="624"/>
        <v>8</v>
      </c>
      <c r="R2328" s="3">
        <f>IF(AND($K2328=1,AND(对接源_02物料!$X1128="公司筐",N(对接源_02物料!$U1128)&lt;&gt;0)),1,0)</f>
        <v>0</v>
      </c>
      <c r="S2328" s="3">
        <f t="shared" si="625"/>
        <v>0</v>
      </c>
      <c r="T2328" s="3">
        <f>IF(AND($K2328=1,AND(对接源_02物料!$X1128="公司筐",N(对接源_02物料!$V1128)&lt;&gt;0)),1,0)</f>
        <v>0</v>
      </c>
      <c r="U2328" s="3">
        <f t="shared" si="626"/>
        <v>19</v>
      </c>
      <c r="V2328" s="3">
        <f>IF(AND($L2328=1,AND(对接源_02物料!$X1128="自备筐",N(对接源_02物料!$V1128)&lt;&gt;0)),1,0)</f>
        <v>0</v>
      </c>
      <c r="W2328" s="3">
        <f t="shared" si="627"/>
        <v>8</v>
      </c>
      <c r="X2328" s="3">
        <f>IF(AND($L2328=1,AND(对接源_02物料!$X1128="自备筐",N(对接源_02物料!$T1128)&lt;&gt;0)),1,0)</f>
        <v>0</v>
      </c>
      <c r="Y2328" s="3">
        <f t="shared" si="628"/>
        <v>0</v>
      </c>
      <c r="Z2328" s="3">
        <f>IF(AND($M2328=1,对接源_02物料!$D1128="原料入库"),1,0)</f>
        <v>0</v>
      </c>
      <c r="AA2328" s="3">
        <f t="shared" si="629"/>
        <v>24</v>
      </c>
      <c r="AB2328" s="3">
        <f>IF(AND($M2328=1,LEFT(对接源_02物料!$D1128,4)="原料出库"),1,0)</f>
        <v>0</v>
      </c>
      <c r="AC2328" s="3">
        <f t="shared" si="630"/>
        <v>0</v>
      </c>
      <c r="AD2328" s="3">
        <f>IF(AND($M2328=1,LEFT(对接源_02物料!$D1128,4)="成品出库"),1,0)</f>
        <v>0</v>
      </c>
      <c r="AE2328" s="3">
        <f t="shared" si="631"/>
        <v>0</v>
      </c>
      <c r="AF2328" s="3">
        <f>IF(AND($N2328=1,AND(LEFT(对接源_02物料!$D1128,4)="包装物料",N(对接源_02物料!$K1128)&lt;&gt;0)),1,0)</f>
        <v>0</v>
      </c>
      <c r="AG2328" s="3">
        <f t="shared" si="632"/>
        <v>5</v>
      </c>
      <c r="AH2328" s="3">
        <f>IF(AND($N2328=1,AND(对接源_02物料!$D1128="周转筐－销售出库",N(对接源_02物料!$K1128)&lt;&gt;0)),1,0)</f>
        <v>0</v>
      </c>
      <c r="AI2328" s="3">
        <f t="shared" si="633"/>
        <v>0</v>
      </c>
      <c r="AL2328" s="3">
        <v>0</v>
      </c>
      <c r="AM2328" s="3">
        <f t="shared" si="634"/>
        <v>1</v>
      </c>
      <c r="AN2328" s="3" t="str">
        <f t="shared" si="621"/>
        <v/>
      </c>
      <c r="AO2328" s="3">
        <v>0</v>
      </c>
      <c r="AP2328" s="3">
        <f t="shared" si="635"/>
        <v>8</v>
      </c>
      <c r="AR2328">
        <f t="shared" si="636"/>
        <v>0</v>
      </c>
      <c r="AS2328">
        <f t="shared" si="637"/>
        <v>5</v>
      </c>
    </row>
    <row r="2329" customHeight="1" spans="1:45">
      <c r="A2329" s="3" t="str">
        <f>IF(对接源_02物料!$C1129="","",对接源_02物料!$C1129)</f>
        <v/>
      </c>
      <c r="B2329" s="3">
        <f t="shared" si="622"/>
        <v>0</v>
      </c>
      <c r="C2329" s="3">
        <f t="shared" si="623"/>
        <v>21</v>
      </c>
      <c r="K2329" s="3">
        <f>IF(OR($K$1="",对接源_02物料!$C1129="",对接源_02物料!$C1129&lt;&gt;$K$1,对接源_02物料!$B1129=""),0,IF(OR(N(对接源_02物料!$B1129)&lt;$K$2,N(对接源_02物料!$B1129)&gt;$K$3),0,1))</f>
        <v>0</v>
      </c>
      <c r="L2329" s="3">
        <f>IF(OR($L$1="",对接源_02物料!$C1129="",对接源_02物料!$C1129&lt;&gt;$L$1,对接源_02物料!$B1129=""),0,IF(OR(N(对接源_02物料!$B1129)&lt;$L$2,N(对接源_02物料!$B1129)&gt;$L$3),0,1))</f>
        <v>0</v>
      </c>
      <c r="M2329" s="3">
        <f>IF(OR($M$1="",对接源_02物料!$C1129="",对接源_02物料!$C1129&lt;&gt;$M$1,对接源_02物料!$B1129=""),0,IF(OR(N(对接源_02物料!$B1129)&lt;$M$2,N(对接源_02物料!$B1129)&gt;$M$3),0,1))</f>
        <v>0</v>
      </c>
      <c r="N2329" s="3">
        <f>IF(OR($N$1="",对接源_02物料!$C1129="",对接源_02物料!$C1129&lt;&gt;$N$1,对接源_02物料!$B1129=""),0,IF(OR(N(对接源_02物料!$B1129)&lt;$N$2,N(对接源_02物料!$B1129)&gt;$N$3),0,1))</f>
        <v>0</v>
      </c>
      <c r="P2329" s="3">
        <f>IF(AND($K2329=1,AND(对接源_02物料!$X1129="公司筐",N(对接源_02物料!$T1129)&lt;&gt;0)),1,0)</f>
        <v>0</v>
      </c>
      <c r="Q2329" s="3">
        <f t="shared" si="624"/>
        <v>8</v>
      </c>
      <c r="R2329" s="3">
        <f>IF(AND($K2329=1,AND(对接源_02物料!$X1129="公司筐",N(对接源_02物料!$U1129)&lt;&gt;0)),1,0)</f>
        <v>0</v>
      </c>
      <c r="S2329" s="3">
        <f t="shared" si="625"/>
        <v>0</v>
      </c>
      <c r="T2329" s="3">
        <f>IF(AND($K2329=1,AND(对接源_02物料!$X1129="公司筐",N(对接源_02物料!$V1129)&lt;&gt;0)),1,0)</f>
        <v>0</v>
      </c>
      <c r="U2329" s="3">
        <f t="shared" si="626"/>
        <v>19</v>
      </c>
      <c r="V2329" s="3">
        <f>IF(AND($L2329=1,AND(对接源_02物料!$X1129="自备筐",N(对接源_02物料!$V1129)&lt;&gt;0)),1,0)</f>
        <v>0</v>
      </c>
      <c r="W2329" s="3">
        <f t="shared" si="627"/>
        <v>8</v>
      </c>
      <c r="X2329" s="3">
        <f>IF(AND($L2329=1,AND(对接源_02物料!$X1129="自备筐",N(对接源_02物料!$T1129)&lt;&gt;0)),1,0)</f>
        <v>0</v>
      </c>
      <c r="Y2329" s="3">
        <f t="shared" si="628"/>
        <v>0</v>
      </c>
      <c r="Z2329" s="3">
        <f>IF(AND($M2329=1,对接源_02物料!$D1129="原料入库"),1,0)</f>
        <v>0</v>
      </c>
      <c r="AA2329" s="3">
        <f t="shared" si="629"/>
        <v>24</v>
      </c>
      <c r="AB2329" s="3">
        <f>IF(AND($M2329=1,LEFT(对接源_02物料!$D1129,4)="原料出库"),1,0)</f>
        <v>0</v>
      </c>
      <c r="AC2329" s="3">
        <f t="shared" si="630"/>
        <v>0</v>
      </c>
      <c r="AD2329" s="3">
        <f>IF(AND($M2329=1,LEFT(对接源_02物料!$D1129,4)="成品出库"),1,0)</f>
        <v>0</v>
      </c>
      <c r="AE2329" s="3">
        <f t="shared" si="631"/>
        <v>0</v>
      </c>
      <c r="AF2329" s="3">
        <f>IF(AND($N2329=1,AND(LEFT(对接源_02物料!$D1129,4)="包装物料",N(对接源_02物料!$K1129)&lt;&gt;0)),1,0)</f>
        <v>0</v>
      </c>
      <c r="AG2329" s="3">
        <f t="shared" si="632"/>
        <v>5</v>
      </c>
      <c r="AH2329" s="3">
        <f>IF(AND($N2329=1,AND(对接源_02物料!$D1129="周转筐－销售出库",N(对接源_02物料!$K1129)&lt;&gt;0)),1,0)</f>
        <v>0</v>
      </c>
      <c r="AI2329" s="3">
        <f t="shared" si="633"/>
        <v>0</v>
      </c>
      <c r="AL2329" s="3">
        <v>0</v>
      </c>
      <c r="AM2329" s="3">
        <f t="shared" si="634"/>
        <v>1</v>
      </c>
      <c r="AN2329" s="3" t="str">
        <f t="shared" si="621"/>
        <v/>
      </c>
      <c r="AO2329" s="3">
        <v>0</v>
      </c>
      <c r="AP2329" s="3">
        <f t="shared" si="635"/>
        <v>8</v>
      </c>
      <c r="AR2329">
        <f t="shared" si="636"/>
        <v>0</v>
      </c>
      <c r="AS2329">
        <f t="shared" si="637"/>
        <v>5</v>
      </c>
    </row>
    <row r="2330" customHeight="1" spans="1:45">
      <c r="A2330" s="3" t="str">
        <f>IF(对接源_02物料!$C1130="","",对接源_02物料!$C1130)</f>
        <v/>
      </c>
      <c r="B2330" s="3">
        <f t="shared" si="622"/>
        <v>0</v>
      </c>
      <c r="C2330" s="3">
        <f t="shared" si="623"/>
        <v>21</v>
      </c>
      <c r="K2330" s="3">
        <f>IF(OR($K$1="",对接源_02物料!$C1130="",对接源_02物料!$C1130&lt;&gt;$K$1,对接源_02物料!$B1130=""),0,IF(OR(N(对接源_02物料!$B1130)&lt;$K$2,N(对接源_02物料!$B1130)&gt;$K$3),0,1))</f>
        <v>0</v>
      </c>
      <c r="L2330" s="3">
        <f>IF(OR($L$1="",对接源_02物料!$C1130="",对接源_02物料!$C1130&lt;&gt;$L$1,对接源_02物料!$B1130=""),0,IF(OR(N(对接源_02物料!$B1130)&lt;$L$2,N(对接源_02物料!$B1130)&gt;$L$3),0,1))</f>
        <v>0</v>
      </c>
      <c r="M2330" s="3">
        <f>IF(OR($M$1="",对接源_02物料!$C1130="",对接源_02物料!$C1130&lt;&gt;$M$1,对接源_02物料!$B1130=""),0,IF(OR(N(对接源_02物料!$B1130)&lt;$M$2,N(对接源_02物料!$B1130)&gt;$M$3),0,1))</f>
        <v>0</v>
      </c>
      <c r="N2330" s="3">
        <f>IF(OR($N$1="",对接源_02物料!$C1130="",对接源_02物料!$C1130&lt;&gt;$N$1,对接源_02物料!$B1130=""),0,IF(OR(N(对接源_02物料!$B1130)&lt;$N$2,N(对接源_02物料!$B1130)&gt;$N$3),0,1))</f>
        <v>0</v>
      </c>
      <c r="P2330" s="3">
        <f>IF(AND($K2330=1,AND(对接源_02物料!$X1130="公司筐",N(对接源_02物料!$T1130)&lt;&gt;0)),1,0)</f>
        <v>0</v>
      </c>
      <c r="Q2330" s="3">
        <f t="shared" si="624"/>
        <v>8</v>
      </c>
      <c r="R2330" s="3">
        <f>IF(AND($K2330=1,AND(对接源_02物料!$X1130="公司筐",N(对接源_02物料!$U1130)&lt;&gt;0)),1,0)</f>
        <v>0</v>
      </c>
      <c r="S2330" s="3">
        <f t="shared" si="625"/>
        <v>0</v>
      </c>
      <c r="T2330" s="3">
        <f>IF(AND($K2330=1,AND(对接源_02物料!$X1130="公司筐",N(对接源_02物料!$V1130)&lt;&gt;0)),1,0)</f>
        <v>0</v>
      </c>
      <c r="U2330" s="3">
        <f t="shared" si="626"/>
        <v>19</v>
      </c>
      <c r="V2330" s="3">
        <f>IF(AND($L2330=1,AND(对接源_02物料!$X1130="自备筐",N(对接源_02物料!$V1130)&lt;&gt;0)),1,0)</f>
        <v>0</v>
      </c>
      <c r="W2330" s="3">
        <f t="shared" si="627"/>
        <v>8</v>
      </c>
      <c r="X2330" s="3">
        <f>IF(AND($L2330=1,AND(对接源_02物料!$X1130="自备筐",N(对接源_02物料!$T1130)&lt;&gt;0)),1,0)</f>
        <v>0</v>
      </c>
      <c r="Y2330" s="3">
        <f t="shared" si="628"/>
        <v>0</v>
      </c>
      <c r="Z2330" s="3">
        <f>IF(AND($M2330=1,对接源_02物料!$D1130="原料入库"),1,0)</f>
        <v>0</v>
      </c>
      <c r="AA2330" s="3">
        <f t="shared" si="629"/>
        <v>24</v>
      </c>
      <c r="AB2330" s="3">
        <f>IF(AND($M2330=1,LEFT(对接源_02物料!$D1130,4)="原料出库"),1,0)</f>
        <v>0</v>
      </c>
      <c r="AC2330" s="3">
        <f t="shared" si="630"/>
        <v>0</v>
      </c>
      <c r="AD2330" s="3">
        <f>IF(AND($M2330=1,LEFT(对接源_02物料!$D1130,4)="成品出库"),1,0)</f>
        <v>0</v>
      </c>
      <c r="AE2330" s="3">
        <f t="shared" si="631"/>
        <v>0</v>
      </c>
      <c r="AF2330" s="3">
        <f>IF(AND($N2330=1,AND(LEFT(对接源_02物料!$D1130,4)="包装物料",N(对接源_02物料!$K1130)&lt;&gt;0)),1,0)</f>
        <v>0</v>
      </c>
      <c r="AG2330" s="3">
        <f t="shared" si="632"/>
        <v>5</v>
      </c>
      <c r="AH2330" s="3">
        <f>IF(AND($N2330=1,AND(对接源_02物料!$D1130="周转筐－销售出库",N(对接源_02物料!$K1130)&lt;&gt;0)),1,0)</f>
        <v>0</v>
      </c>
      <c r="AI2330" s="3">
        <f t="shared" si="633"/>
        <v>0</v>
      </c>
      <c r="AL2330" s="3">
        <v>0</v>
      </c>
      <c r="AM2330" s="3">
        <f t="shared" si="634"/>
        <v>1</v>
      </c>
      <c r="AN2330" s="3" t="str">
        <f t="shared" si="621"/>
        <v/>
      </c>
      <c r="AO2330" s="3">
        <v>0</v>
      </c>
      <c r="AP2330" s="3">
        <f t="shared" si="635"/>
        <v>8</v>
      </c>
      <c r="AR2330">
        <f t="shared" si="636"/>
        <v>0</v>
      </c>
      <c r="AS2330">
        <f t="shared" si="637"/>
        <v>5</v>
      </c>
    </row>
    <row r="2331" customHeight="1" spans="1:45">
      <c r="A2331" s="3" t="str">
        <f>IF(对接源_02物料!$C1131="","",对接源_02物料!$C1131)</f>
        <v/>
      </c>
      <c r="B2331" s="3">
        <f t="shared" si="622"/>
        <v>0</v>
      </c>
      <c r="C2331" s="3">
        <f t="shared" si="623"/>
        <v>21</v>
      </c>
      <c r="K2331" s="3">
        <f>IF(OR($K$1="",对接源_02物料!$C1131="",对接源_02物料!$C1131&lt;&gt;$K$1,对接源_02物料!$B1131=""),0,IF(OR(N(对接源_02物料!$B1131)&lt;$K$2,N(对接源_02物料!$B1131)&gt;$K$3),0,1))</f>
        <v>0</v>
      </c>
      <c r="L2331" s="3">
        <f>IF(OR($L$1="",对接源_02物料!$C1131="",对接源_02物料!$C1131&lt;&gt;$L$1,对接源_02物料!$B1131=""),0,IF(OR(N(对接源_02物料!$B1131)&lt;$L$2,N(对接源_02物料!$B1131)&gt;$L$3),0,1))</f>
        <v>0</v>
      </c>
      <c r="M2331" s="3">
        <f>IF(OR($M$1="",对接源_02物料!$C1131="",对接源_02物料!$C1131&lt;&gt;$M$1,对接源_02物料!$B1131=""),0,IF(OR(N(对接源_02物料!$B1131)&lt;$M$2,N(对接源_02物料!$B1131)&gt;$M$3),0,1))</f>
        <v>0</v>
      </c>
      <c r="N2331" s="3">
        <f>IF(OR($N$1="",对接源_02物料!$C1131="",对接源_02物料!$C1131&lt;&gt;$N$1,对接源_02物料!$B1131=""),0,IF(OR(N(对接源_02物料!$B1131)&lt;$N$2,N(对接源_02物料!$B1131)&gt;$N$3),0,1))</f>
        <v>0</v>
      </c>
      <c r="P2331" s="3">
        <f>IF(AND($K2331=1,AND(对接源_02物料!$X1131="公司筐",N(对接源_02物料!$T1131)&lt;&gt;0)),1,0)</f>
        <v>0</v>
      </c>
      <c r="Q2331" s="3">
        <f t="shared" si="624"/>
        <v>8</v>
      </c>
      <c r="R2331" s="3">
        <f>IF(AND($K2331=1,AND(对接源_02物料!$X1131="公司筐",N(对接源_02物料!$U1131)&lt;&gt;0)),1,0)</f>
        <v>0</v>
      </c>
      <c r="S2331" s="3">
        <f t="shared" si="625"/>
        <v>0</v>
      </c>
      <c r="T2331" s="3">
        <f>IF(AND($K2331=1,AND(对接源_02物料!$X1131="公司筐",N(对接源_02物料!$V1131)&lt;&gt;0)),1,0)</f>
        <v>0</v>
      </c>
      <c r="U2331" s="3">
        <f t="shared" si="626"/>
        <v>19</v>
      </c>
      <c r="V2331" s="3">
        <f>IF(AND($L2331=1,AND(对接源_02物料!$X1131="自备筐",N(对接源_02物料!$V1131)&lt;&gt;0)),1,0)</f>
        <v>0</v>
      </c>
      <c r="W2331" s="3">
        <f t="shared" si="627"/>
        <v>8</v>
      </c>
      <c r="X2331" s="3">
        <f>IF(AND($L2331=1,AND(对接源_02物料!$X1131="自备筐",N(对接源_02物料!$T1131)&lt;&gt;0)),1,0)</f>
        <v>0</v>
      </c>
      <c r="Y2331" s="3">
        <f t="shared" si="628"/>
        <v>0</v>
      </c>
      <c r="Z2331" s="3">
        <f>IF(AND($M2331=1,对接源_02物料!$D1131="原料入库"),1,0)</f>
        <v>0</v>
      </c>
      <c r="AA2331" s="3">
        <f t="shared" si="629"/>
        <v>24</v>
      </c>
      <c r="AB2331" s="3">
        <f>IF(AND($M2331=1,LEFT(对接源_02物料!$D1131,4)="原料出库"),1,0)</f>
        <v>0</v>
      </c>
      <c r="AC2331" s="3">
        <f t="shared" si="630"/>
        <v>0</v>
      </c>
      <c r="AD2331" s="3">
        <f>IF(AND($M2331=1,LEFT(对接源_02物料!$D1131,4)="成品出库"),1,0)</f>
        <v>0</v>
      </c>
      <c r="AE2331" s="3">
        <f t="shared" si="631"/>
        <v>0</v>
      </c>
      <c r="AF2331" s="3">
        <f>IF(AND($N2331=1,AND(LEFT(对接源_02物料!$D1131,4)="包装物料",N(对接源_02物料!$K1131)&lt;&gt;0)),1,0)</f>
        <v>0</v>
      </c>
      <c r="AG2331" s="3">
        <f t="shared" si="632"/>
        <v>5</v>
      </c>
      <c r="AH2331" s="3">
        <f>IF(AND($N2331=1,AND(对接源_02物料!$D1131="周转筐－销售出库",N(对接源_02物料!$K1131)&lt;&gt;0)),1,0)</f>
        <v>0</v>
      </c>
      <c r="AI2331" s="3">
        <f t="shared" si="633"/>
        <v>0</v>
      </c>
      <c r="AL2331" s="3">
        <v>0</v>
      </c>
      <c r="AM2331" s="3">
        <f t="shared" si="634"/>
        <v>1</v>
      </c>
      <c r="AN2331" s="3" t="str">
        <f t="shared" si="621"/>
        <v/>
      </c>
      <c r="AO2331" s="3">
        <v>0</v>
      </c>
      <c r="AP2331" s="3">
        <f t="shared" si="635"/>
        <v>8</v>
      </c>
      <c r="AR2331">
        <f t="shared" si="636"/>
        <v>0</v>
      </c>
      <c r="AS2331">
        <f t="shared" si="637"/>
        <v>5</v>
      </c>
    </row>
    <row r="2332" customHeight="1" spans="1:45">
      <c r="A2332" s="3" t="str">
        <f>IF(对接源_02物料!$C1132="","",对接源_02物料!$C1132)</f>
        <v/>
      </c>
      <c r="B2332" s="3">
        <f t="shared" si="622"/>
        <v>0</v>
      </c>
      <c r="C2332" s="3">
        <f t="shared" si="623"/>
        <v>21</v>
      </c>
      <c r="K2332" s="3">
        <f>IF(OR($K$1="",对接源_02物料!$C1132="",对接源_02物料!$C1132&lt;&gt;$K$1,对接源_02物料!$B1132=""),0,IF(OR(N(对接源_02物料!$B1132)&lt;$K$2,N(对接源_02物料!$B1132)&gt;$K$3),0,1))</f>
        <v>0</v>
      </c>
      <c r="L2332" s="3">
        <f>IF(OR($L$1="",对接源_02物料!$C1132="",对接源_02物料!$C1132&lt;&gt;$L$1,对接源_02物料!$B1132=""),0,IF(OR(N(对接源_02物料!$B1132)&lt;$L$2,N(对接源_02物料!$B1132)&gt;$L$3),0,1))</f>
        <v>0</v>
      </c>
      <c r="M2332" s="3">
        <f>IF(OR($M$1="",对接源_02物料!$C1132="",对接源_02物料!$C1132&lt;&gt;$M$1,对接源_02物料!$B1132=""),0,IF(OR(N(对接源_02物料!$B1132)&lt;$M$2,N(对接源_02物料!$B1132)&gt;$M$3),0,1))</f>
        <v>0</v>
      </c>
      <c r="N2332" s="3">
        <f>IF(OR($N$1="",对接源_02物料!$C1132="",对接源_02物料!$C1132&lt;&gt;$N$1,对接源_02物料!$B1132=""),0,IF(OR(N(对接源_02物料!$B1132)&lt;$N$2,N(对接源_02物料!$B1132)&gt;$N$3),0,1))</f>
        <v>0</v>
      </c>
      <c r="P2332" s="3">
        <f>IF(AND($K2332=1,AND(对接源_02物料!$X1132="公司筐",N(对接源_02物料!$T1132)&lt;&gt;0)),1,0)</f>
        <v>0</v>
      </c>
      <c r="Q2332" s="3">
        <f t="shared" si="624"/>
        <v>8</v>
      </c>
      <c r="R2332" s="3">
        <f>IF(AND($K2332=1,AND(对接源_02物料!$X1132="公司筐",N(对接源_02物料!$U1132)&lt;&gt;0)),1,0)</f>
        <v>0</v>
      </c>
      <c r="S2332" s="3">
        <f t="shared" si="625"/>
        <v>0</v>
      </c>
      <c r="T2332" s="3">
        <f>IF(AND($K2332=1,AND(对接源_02物料!$X1132="公司筐",N(对接源_02物料!$V1132)&lt;&gt;0)),1,0)</f>
        <v>0</v>
      </c>
      <c r="U2332" s="3">
        <f t="shared" si="626"/>
        <v>19</v>
      </c>
      <c r="V2332" s="3">
        <f>IF(AND($L2332=1,AND(对接源_02物料!$X1132="自备筐",N(对接源_02物料!$V1132)&lt;&gt;0)),1,0)</f>
        <v>0</v>
      </c>
      <c r="W2332" s="3">
        <f t="shared" si="627"/>
        <v>8</v>
      </c>
      <c r="X2332" s="3">
        <f>IF(AND($L2332=1,AND(对接源_02物料!$X1132="自备筐",N(对接源_02物料!$T1132)&lt;&gt;0)),1,0)</f>
        <v>0</v>
      </c>
      <c r="Y2332" s="3">
        <f t="shared" si="628"/>
        <v>0</v>
      </c>
      <c r="Z2332" s="3">
        <f>IF(AND($M2332=1,对接源_02物料!$D1132="原料入库"),1,0)</f>
        <v>0</v>
      </c>
      <c r="AA2332" s="3">
        <f t="shared" si="629"/>
        <v>24</v>
      </c>
      <c r="AB2332" s="3">
        <f>IF(AND($M2332=1,LEFT(对接源_02物料!$D1132,4)="原料出库"),1,0)</f>
        <v>0</v>
      </c>
      <c r="AC2332" s="3">
        <f t="shared" si="630"/>
        <v>0</v>
      </c>
      <c r="AD2332" s="3">
        <f>IF(AND($M2332=1,LEFT(对接源_02物料!$D1132,4)="成品出库"),1,0)</f>
        <v>0</v>
      </c>
      <c r="AE2332" s="3">
        <f t="shared" si="631"/>
        <v>0</v>
      </c>
      <c r="AF2332" s="3">
        <f>IF(AND($N2332=1,AND(LEFT(对接源_02物料!$D1132,4)="包装物料",N(对接源_02物料!$K1132)&lt;&gt;0)),1,0)</f>
        <v>0</v>
      </c>
      <c r="AG2332" s="3">
        <f t="shared" si="632"/>
        <v>5</v>
      </c>
      <c r="AH2332" s="3">
        <f>IF(AND($N2332=1,AND(对接源_02物料!$D1132="周转筐－销售出库",N(对接源_02物料!$K1132)&lt;&gt;0)),1,0)</f>
        <v>0</v>
      </c>
      <c r="AI2332" s="3">
        <f t="shared" si="633"/>
        <v>0</v>
      </c>
      <c r="AL2332" s="3">
        <v>0</v>
      </c>
      <c r="AM2332" s="3">
        <f t="shared" si="634"/>
        <v>1</v>
      </c>
      <c r="AN2332" s="3" t="str">
        <f t="shared" si="621"/>
        <v/>
      </c>
      <c r="AO2332" s="3">
        <v>0</v>
      </c>
      <c r="AP2332" s="3">
        <f t="shared" si="635"/>
        <v>8</v>
      </c>
      <c r="AR2332">
        <f t="shared" si="636"/>
        <v>0</v>
      </c>
      <c r="AS2332">
        <f t="shared" si="637"/>
        <v>5</v>
      </c>
    </row>
    <row r="2333" customHeight="1" spans="1:45">
      <c r="A2333" s="3" t="str">
        <f>IF(对接源_02物料!$C1133="","",对接源_02物料!$C1133)</f>
        <v/>
      </c>
      <c r="B2333" s="3">
        <f t="shared" si="622"/>
        <v>0</v>
      </c>
      <c r="C2333" s="3">
        <f t="shared" si="623"/>
        <v>21</v>
      </c>
      <c r="K2333" s="3">
        <f>IF(OR($K$1="",对接源_02物料!$C1133="",对接源_02物料!$C1133&lt;&gt;$K$1,对接源_02物料!$B1133=""),0,IF(OR(N(对接源_02物料!$B1133)&lt;$K$2,N(对接源_02物料!$B1133)&gt;$K$3),0,1))</f>
        <v>0</v>
      </c>
      <c r="L2333" s="3">
        <f>IF(OR($L$1="",对接源_02物料!$C1133="",对接源_02物料!$C1133&lt;&gt;$L$1,对接源_02物料!$B1133=""),0,IF(OR(N(对接源_02物料!$B1133)&lt;$L$2,N(对接源_02物料!$B1133)&gt;$L$3),0,1))</f>
        <v>0</v>
      </c>
      <c r="M2333" s="3">
        <f>IF(OR($M$1="",对接源_02物料!$C1133="",对接源_02物料!$C1133&lt;&gt;$M$1,对接源_02物料!$B1133=""),0,IF(OR(N(对接源_02物料!$B1133)&lt;$M$2,N(对接源_02物料!$B1133)&gt;$M$3),0,1))</f>
        <v>0</v>
      </c>
      <c r="N2333" s="3">
        <f>IF(OR($N$1="",对接源_02物料!$C1133="",对接源_02物料!$C1133&lt;&gt;$N$1,对接源_02物料!$B1133=""),0,IF(OR(N(对接源_02物料!$B1133)&lt;$N$2,N(对接源_02物料!$B1133)&gt;$N$3),0,1))</f>
        <v>0</v>
      </c>
      <c r="P2333" s="3">
        <f>IF(AND($K2333=1,AND(对接源_02物料!$X1133="公司筐",N(对接源_02物料!$T1133)&lt;&gt;0)),1,0)</f>
        <v>0</v>
      </c>
      <c r="Q2333" s="3">
        <f t="shared" si="624"/>
        <v>8</v>
      </c>
      <c r="R2333" s="3">
        <f>IF(AND($K2333=1,AND(对接源_02物料!$X1133="公司筐",N(对接源_02物料!$U1133)&lt;&gt;0)),1,0)</f>
        <v>0</v>
      </c>
      <c r="S2333" s="3">
        <f t="shared" si="625"/>
        <v>0</v>
      </c>
      <c r="T2333" s="3">
        <f>IF(AND($K2333=1,AND(对接源_02物料!$X1133="公司筐",N(对接源_02物料!$V1133)&lt;&gt;0)),1,0)</f>
        <v>0</v>
      </c>
      <c r="U2333" s="3">
        <f t="shared" si="626"/>
        <v>19</v>
      </c>
      <c r="V2333" s="3">
        <f>IF(AND($L2333=1,AND(对接源_02物料!$X1133="自备筐",N(对接源_02物料!$V1133)&lt;&gt;0)),1,0)</f>
        <v>0</v>
      </c>
      <c r="W2333" s="3">
        <f t="shared" si="627"/>
        <v>8</v>
      </c>
      <c r="X2333" s="3">
        <f>IF(AND($L2333=1,AND(对接源_02物料!$X1133="自备筐",N(对接源_02物料!$T1133)&lt;&gt;0)),1,0)</f>
        <v>0</v>
      </c>
      <c r="Y2333" s="3">
        <f t="shared" si="628"/>
        <v>0</v>
      </c>
      <c r="Z2333" s="3">
        <f>IF(AND($M2333=1,对接源_02物料!$D1133="原料入库"),1,0)</f>
        <v>0</v>
      </c>
      <c r="AA2333" s="3">
        <f t="shared" si="629"/>
        <v>24</v>
      </c>
      <c r="AB2333" s="3">
        <f>IF(AND($M2333=1,LEFT(对接源_02物料!$D1133,4)="原料出库"),1,0)</f>
        <v>0</v>
      </c>
      <c r="AC2333" s="3">
        <f t="shared" si="630"/>
        <v>0</v>
      </c>
      <c r="AD2333" s="3">
        <f>IF(AND($M2333=1,LEFT(对接源_02物料!$D1133,4)="成品出库"),1,0)</f>
        <v>0</v>
      </c>
      <c r="AE2333" s="3">
        <f t="shared" si="631"/>
        <v>0</v>
      </c>
      <c r="AF2333" s="3">
        <f>IF(AND($N2333=1,AND(LEFT(对接源_02物料!$D1133,4)="包装物料",N(对接源_02物料!$K1133)&lt;&gt;0)),1,0)</f>
        <v>0</v>
      </c>
      <c r="AG2333" s="3">
        <f t="shared" si="632"/>
        <v>5</v>
      </c>
      <c r="AH2333" s="3">
        <f>IF(AND($N2333=1,AND(对接源_02物料!$D1133="周转筐－销售出库",N(对接源_02物料!$K1133)&lt;&gt;0)),1,0)</f>
        <v>0</v>
      </c>
      <c r="AI2333" s="3">
        <f t="shared" si="633"/>
        <v>0</v>
      </c>
      <c r="AL2333" s="3">
        <v>0</v>
      </c>
      <c r="AM2333" s="3">
        <f t="shared" si="634"/>
        <v>1</v>
      </c>
      <c r="AN2333" s="3" t="str">
        <f t="shared" si="621"/>
        <v/>
      </c>
      <c r="AO2333" s="3">
        <v>0</v>
      </c>
      <c r="AP2333" s="3">
        <f t="shared" si="635"/>
        <v>8</v>
      </c>
      <c r="AR2333">
        <f t="shared" si="636"/>
        <v>0</v>
      </c>
      <c r="AS2333">
        <f t="shared" si="637"/>
        <v>5</v>
      </c>
    </row>
    <row r="2334" customHeight="1" spans="1:45">
      <c r="A2334" s="3" t="str">
        <f>IF(对接源_02物料!$C1134="","",对接源_02物料!$C1134)</f>
        <v/>
      </c>
      <c r="B2334" s="3">
        <f t="shared" si="622"/>
        <v>0</v>
      </c>
      <c r="C2334" s="3">
        <f t="shared" si="623"/>
        <v>21</v>
      </c>
      <c r="K2334" s="3">
        <f>IF(OR($K$1="",对接源_02物料!$C1134="",对接源_02物料!$C1134&lt;&gt;$K$1,对接源_02物料!$B1134=""),0,IF(OR(N(对接源_02物料!$B1134)&lt;$K$2,N(对接源_02物料!$B1134)&gt;$K$3),0,1))</f>
        <v>0</v>
      </c>
      <c r="L2334" s="3">
        <f>IF(OR($L$1="",对接源_02物料!$C1134="",对接源_02物料!$C1134&lt;&gt;$L$1,对接源_02物料!$B1134=""),0,IF(OR(N(对接源_02物料!$B1134)&lt;$L$2,N(对接源_02物料!$B1134)&gt;$L$3),0,1))</f>
        <v>0</v>
      </c>
      <c r="M2334" s="3">
        <f>IF(OR($M$1="",对接源_02物料!$C1134="",对接源_02物料!$C1134&lt;&gt;$M$1,对接源_02物料!$B1134=""),0,IF(OR(N(对接源_02物料!$B1134)&lt;$M$2,N(对接源_02物料!$B1134)&gt;$M$3),0,1))</f>
        <v>0</v>
      </c>
      <c r="N2334" s="3">
        <f>IF(OR($N$1="",对接源_02物料!$C1134="",对接源_02物料!$C1134&lt;&gt;$N$1,对接源_02物料!$B1134=""),0,IF(OR(N(对接源_02物料!$B1134)&lt;$N$2,N(对接源_02物料!$B1134)&gt;$N$3),0,1))</f>
        <v>0</v>
      </c>
      <c r="P2334" s="3">
        <f>IF(AND($K2334=1,AND(对接源_02物料!$X1134="公司筐",N(对接源_02物料!$T1134)&lt;&gt;0)),1,0)</f>
        <v>0</v>
      </c>
      <c r="Q2334" s="3">
        <f t="shared" si="624"/>
        <v>8</v>
      </c>
      <c r="R2334" s="3">
        <f>IF(AND($K2334=1,AND(对接源_02物料!$X1134="公司筐",N(对接源_02物料!$U1134)&lt;&gt;0)),1,0)</f>
        <v>0</v>
      </c>
      <c r="S2334" s="3">
        <f t="shared" si="625"/>
        <v>0</v>
      </c>
      <c r="T2334" s="3">
        <f>IF(AND($K2334=1,AND(对接源_02物料!$X1134="公司筐",N(对接源_02物料!$V1134)&lt;&gt;0)),1,0)</f>
        <v>0</v>
      </c>
      <c r="U2334" s="3">
        <f t="shared" si="626"/>
        <v>19</v>
      </c>
      <c r="V2334" s="3">
        <f>IF(AND($L2334=1,AND(对接源_02物料!$X1134="自备筐",N(对接源_02物料!$V1134)&lt;&gt;0)),1,0)</f>
        <v>0</v>
      </c>
      <c r="W2334" s="3">
        <f t="shared" si="627"/>
        <v>8</v>
      </c>
      <c r="X2334" s="3">
        <f>IF(AND($L2334=1,AND(对接源_02物料!$X1134="自备筐",N(对接源_02物料!$T1134)&lt;&gt;0)),1,0)</f>
        <v>0</v>
      </c>
      <c r="Y2334" s="3">
        <f t="shared" si="628"/>
        <v>0</v>
      </c>
      <c r="Z2334" s="3">
        <f>IF(AND($M2334=1,对接源_02物料!$D1134="原料入库"),1,0)</f>
        <v>0</v>
      </c>
      <c r="AA2334" s="3">
        <f t="shared" si="629"/>
        <v>24</v>
      </c>
      <c r="AB2334" s="3">
        <f>IF(AND($M2334=1,LEFT(对接源_02物料!$D1134,4)="原料出库"),1,0)</f>
        <v>0</v>
      </c>
      <c r="AC2334" s="3">
        <f t="shared" si="630"/>
        <v>0</v>
      </c>
      <c r="AD2334" s="3">
        <f>IF(AND($M2334=1,LEFT(对接源_02物料!$D1134,4)="成品出库"),1,0)</f>
        <v>0</v>
      </c>
      <c r="AE2334" s="3">
        <f t="shared" si="631"/>
        <v>0</v>
      </c>
      <c r="AF2334" s="3">
        <f>IF(AND($N2334=1,AND(LEFT(对接源_02物料!$D1134,4)="包装物料",N(对接源_02物料!$K1134)&lt;&gt;0)),1,0)</f>
        <v>0</v>
      </c>
      <c r="AG2334" s="3">
        <f t="shared" si="632"/>
        <v>5</v>
      </c>
      <c r="AH2334" s="3">
        <f>IF(AND($N2334=1,AND(对接源_02物料!$D1134="周转筐－销售出库",N(对接源_02物料!$K1134)&lt;&gt;0)),1,0)</f>
        <v>0</v>
      </c>
      <c r="AI2334" s="3">
        <f t="shared" si="633"/>
        <v>0</v>
      </c>
      <c r="AL2334" s="3">
        <v>0</v>
      </c>
      <c r="AM2334" s="3">
        <f t="shared" si="634"/>
        <v>1</v>
      </c>
      <c r="AN2334" s="3" t="str">
        <f t="shared" si="621"/>
        <v/>
      </c>
      <c r="AO2334" s="3">
        <v>0</v>
      </c>
      <c r="AP2334" s="3">
        <f t="shared" si="635"/>
        <v>8</v>
      </c>
      <c r="AR2334">
        <f t="shared" si="636"/>
        <v>0</v>
      </c>
      <c r="AS2334">
        <f t="shared" si="637"/>
        <v>5</v>
      </c>
    </row>
    <row r="2335" customHeight="1" spans="1:45">
      <c r="A2335" s="3" t="str">
        <f>IF(对接源_02物料!$C1135="","",对接源_02物料!$C1135)</f>
        <v/>
      </c>
      <c r="B2335" s="3">
        <f t="shared" si="622"/>
        <v>0</v>
      </c>
      <c r="C2335" s="3">
        <f t="shared" si="623"/>
        <v>21</v>
      </c>
      <c r="K2335" s="3">
        <f>IF(OR($K$1="",对接源_02物料!$C1135="",对接源_02物料!$C1135&lt;&gt;$K$1,对接源_02物料!$B1135=""),0,IF(OR(N(对接源_02物料!$B1135)&lt;$K$2,N(对接源_02物料!$B1135)&gt;$K$3),0,1))</f>
        <v>0</v>
      </c>
      <c r="L2335" s="3">
        <f>IF(OR($L$1="",对接源_02物料!$C1135="",对接源_02物料!$C1135&lt;&gt;$L$1,对接源_02物料!$B1135=""),0,IF(OR(N(对接源_02物料!$B1135)&lt;$L$2,N(对接源_02物料!$B1135)&gt;$L$3),0,1))</f>
        <v>0</v>
      </c>
      <c r="M2335" s="3">
        <f>IF(OR($M$1="",对接源_02物料!$C1135="",对接源_02物料!$C1135&lt;&gt;$M$1,对接源_02物料!$B1135=""),0,IF(OR(N(对接源_02物料!$B1135)&lt;$M$2,N(对接源_02物料!$B1135)&gt;$M$3),0,1))</f>
        <v>0</v>
      </c>
      <c r="N2335" s="3">
        <f>IF(OR($N$1="",对接源_02物料!$C1135="",对接源_02物料!$C1135&lt;&gt;$N$1,对接源_02物料!$B1135=""),0,IF(OR(N(对接源_02物料!$B1135)&lt;$N$2,N(对接源_02物料!$B1135)&gt;$N$3),0,1))</f>
        <v>0</v>
      </c>
      <c r="P2335" s="3">
        <f>IF(AND($K2335=1,AND(对接源_02物料!$X1135="公司筐",N(对接源_02物料!$T1135)&lt;&gt;0)),1,0)</f>
        <v>0</v>
      </c>
      <c r="Q2335" s="3">
        <f t="shared" si="624"/>
        <v>8</v>
      </c>
      <c r="R2335" s="3">
        <f>IF(AND($K2335=1,AND(对接源_02物料!$X1135="公司筐",N(对接源_02物料!$U1135)&lt;&gt;0)),1,0)</f>
        <v>0</v>
      </c>
      <c r="S2335" s="3">
        <f t="shared" si="625"/>
        <v>0</v>
      </c>
      <c r="T2335" s="3">
        <f>IF(AND($K2335=1,AND(对接源_02物料!$X1135="公司筐",N(对接源_02物料!$V1135)&lt;&gt;0)),1,0)</f>
        <v>0</v>
      </c>
      <c r="U2335" s="3">
        <f t="shared" si="626"/>
        <v>19</v>
      </c>
      <c r="V2335" s="3">
        <f>IF(AND($L2335=1,AND(对接源_02物料!$X1135="自备筐",N(对接源_02物料!$V1135)&lt;&gt;0)),1,0)</f>
        <v>0</v>
      </c>
      <c r="W2335" s="3">
        <f t="shared" si="627"/>
        <v>8</v>
      </c>
      <c r="X2335" s="3">
        <f>IF(AND($L2335=1,AND(对接源_02物料!$X1135="自备筐",N(对接源_02物料!$T1135)&lt;&gt;0)),1,0)</f>
        <v>0</v>
      </c>
      <c r="Y2335" s="3">
        <f t="shared" si="628"/>
        <v>0</v>
      </c>
      <c r="Z2335" s="3">
        <f>IF(AND($M2335=1,对接源_02物料!$D1135="原料入库"),1,0)</f>
        <v>0</v>
      </c>
      <c r="AA2335" s="3">
        <f t="shared" si="629"/>
        <v>24</v>
      </c>
      <c r="AB2335" s="3">
        <f>IF(AND($M2335=1,LEFT(对接源_02物料!$D1135,4)="原料出库"),1,0)</f>
        <v>0</v>
      </c>
      <c r="AC2335" s="3">
        <f t="shared" si="630"/>
        <v>0</v>
      </c>
      <c r="AD2335" s="3">
        <f>IF(AND($M2335=1,LEFT(对接源_02物料!$D1135,4)="成品出库"),1,0)</f>
        <v>0</v>
      </c>
      <c r="AE2335" s="3">
        <f t="shared" si="631"/>
        <v>0</v>
      </c>
      <c r="AF2335" s="3">
        <f>IF(AND($N2335=1,AND(LEFT(对接源_02物料!$D1135,4)="包装物料",N(对接源_02物料!$K1135)&lt;&gt;0)),1,0)</f>
        <v>0</v>
      </c>
      <c r="AG2335" s="3">
        <f t="shared" si="632"/>
        <v>5</v>
      </c>
      <c r="AH2335" s="3">
        <f>IF(AND($N2335=1,AND(对接源_02物料!$D1135="周转筐－销售出库",N(对接源_02物料!$K1135)&lt;&gt;0)),1,0)</f>
        <v>0</v>
      </c>
      <c r="AI2335" s="3">
        <f t="shared" si="633"/>
        <v>0</v>
      </c>
      <c r="AL2335" s="3">
        <v>0</v>
      </c>
      <c r="AM2335" s="3">
        <f t="shared" si="634"/>
        <v>1</v>
      </c>
      <c r="AN2335" s="3" t="str">
        <f t="shared" si="621"/>
        <v/>
      </c>
      <c r="AO2335" s="3">
        <v>0</v>
      </c>
      <c r="AP2335" s="3">
        <f t="shared" si="635"/>
        <v>8</v>
      </c>
      <c r="AR2335">
        <f t="shared" si="636"/>
        <v>0</v>
      </c>
      <c r="AS2335">
        <f t="shared" si="637"/>
        <v>5</v>
      </c>
    </row>
    <row r="2336" customHeight="1" spans="1:45">
      <c r="A2336" s="3" t="str">
        <f>IF(对接源_02物料!$C1136="","",对接源_02物料!$C1136)</f>
        <v/>
      </c>
      <c r="B2336" s="3">
        <f t="shared" si="622"/>
        <v>0</v>
      </c>
      <c r="C2336" s="3">
        <f t="shared" si="623"/>
        <v>21</v>
      </c>
      <c r="K2336" s="3">
        <f>IF(OR($K$1="",对接源_02物料!$C1136="",对接源_02物料!$C1136&lt;&gt;$K$1,对接源_02物料!$B1136=""),0,IF(OR(N(对接源_02物料!$B1136)&lt;$K$2,N(对接源_02物料!$B1136)&gt;$K$3),0,1))</f>
        <v>0</v>
      </c>
      <c r="L2336" s="3">
        <f>IF(OR($L$1="",对接源_02物料!$C1136="",对接源_02物料!$C1136&lt;&gt;$L$1,对接源_02物料!$B1136=""),0,IF(OR(N(对接源_02物料!$B1136)&lt;$L$2,N(对接源_02物料!$B1136)&gt;$L$3),0,1))</f>
        <v>0</v>
      </c>
      <c r="M2336" s="3">
        <f>IF(OR($M$1="",对接源_02物料!$C1136="",对接源_02物料!$C1136&lt;&gt;$M$1,对接源_02物料!$B1136=""),0,IF(OR(N(对接源_02物料!$B1136)&lt;$M$2,N(对接源_02物料!$B1136)&gt;$M$3),0,1))</f>
        <v>0</v>
      </c>
      <c r="N2336" s="3">
        <f>IF(OR($N$1="",对接源_02物料!$C1136="",对接源_02物料!$C1136&lt;&gt;$N$1,对接源_02物料!$B1136=""),0,IF(OR(N(对接源_02物料!$B1136)&lt;$N$2,N(对接源_02物料!$B1136)&gt;$N$3),0,1))</f>
        <v>0</v>
      </c>
      <c r="P2336" s="3">
        <f>IF(AND($K2336=1,AND(对接源_02物料!$X1136="公司筐",N(对接源_02物料!$T1136)&lt;&gt;0)),1,0)</f>
        <v>0</v>
      </c>
      <c r="Q2336" s="3">
        <f t="shared" si="624"/>
        <v>8</v>
      </c>
      <c r="R2336" s="3">
        <f>IF(AND($K2336=1,AND(对接源_02物料!$X1136="公司筐",N(对接源_02物料!$U1136)&lt;&gt;0)),1,0)</f>
        <v>0</v>
      </c>
      <c r="S2336" s="3">
        <f t="shared" si="625"/>
        <v>0</v>
      </c>
      <c r="T2336" s="3">
        <f>IF(AND($K2336=1,AND(对接源_02物料!$X1136="公司筐",N(对接源_02物料!$V1136)&lt;&gt;0)),1,0)</f>
        <v>0</v>
      </c>
      <c r="U2336" s="3">
        <f t="shared" si="626"/>
        <v>19</v>
      </c>
      <c r="V2336" s="3">
        <f>IF(AND($L2336=1,AND(对接源_02物料!$X1136="自备筐",N(对接源_02物料!$V1136)&lt;&gt;0)),1,0)</f>
        <v>0</v>
      </c>
      <c r="W2336" s="3">
        <f t="shared" si="627"/>
        <v>8</v>
      </c>
      <c r="X2336" s="3">
        <f>IF(AND($L2336=1,AND(对接源_02物料!$X1136="自备筐",N(对接源_02物料!$T1136)&lt;&gt;0)),1,0)</f>
        <v>0</v>
      </c>
      <c r="Y2336" s="3">
        <f t="shared" si="628"/>
        <v>0</v>
      </c>
      <c r="Z2336" s="3">
        <f>IF(AND($M2336=1,对接源_02物料!$D1136="原料入库"),1,0)</f>
        <v>0</v>
      </c>
      <c r="AA2336" s="3">
        <f t="shared" si="629"/>
        <v>24</v>
      </c>
      <c r="AB2336" s="3">
        <f>IF(AND($M2336=1,LEFT(对接源_02物料!$D1136,4)="原料出库"),1,0)</f>
        <v>0</v>
      </c>
      <c r="AC2336" s="3">
        <f t="shared" si="630"/>
        <v>0</v>
      </c>
      <c r="AD2336" s="3">
        <f>IF(AND($M2336=1,LEFT(对接源_02物料!$D1136,4)="成品出库"),1,0)</f>
        <v>0</v>
      </c>
      <c r="AE2336" s="3">
        <f t="shared" si="631"/>
        <v>0</v>
      </c>
      <c r="AF2336" s="3">
        <f>IF(AND($N2336=1,AND(LEFT(对接源_02物料!$D1136,4)="包装物料",N(对接源_02物料!$K1136)&lt;&gt;0)),1,0)</f>
        <v>0</v>
      </c>
      <c r="AG2336" s="3">
        <f t="shared" si="632"/>
        <v>5</v>
      </c>
      <c r="AH2336" s="3">
        <f>IF(AND($N2336=1,AND(对接源_02物料!$D1136="周转筐－销售出库",N(对接源_02物料!$K1136)&lt;&gt;0)),1,0)</f>
        <v>0</v>
      </c>
      <c r="AI2336" s="3">
        <f t="shared" si="633"/>
        <v>0</v>
      </c>
      <c r="AL2336" s="3">
        <v>0</v>
      </c>
      <c r="AM2336" s="3">
        <f t="shared" si="634"/>
        <v>1</v>
      </c>
      <c r="AN2336" s="3" t="str">
        <f t="shared" si="621"/>
        <v/>
      </c>
      <c r="AO2336" s="3">
        <v>0</v>
      </c>
      <c r="AP2336" s="3">
        <f t="shared" si="635"/>
        <v>8</v>
      </c>
      <c r="AR2336">
        <f t="shared" si="636"/>
        <v>0</v>
      </c>
      <c r="AS2336">
        <f t="shared" si="637"/>
        <v>5</v>
      </c>
    </row>
    <row r="2337" customHeight="1" spans="1:45">
      <c r="A2337" s="3" t="str">
        <f>IF(对接源_02物料!$C1137="","",对接源_02物料!$C1137)</f>
        <v/>
      </c>
      <c r="B2337" s="3">
        <f t="shared" si="622"/>
        <v>0</v>
      </c>
      <c r="C2337" s="3">
        <f t="shared" si="623"/>
        <v>21</v>
      </c>
      <c r="K2337" s="3">
        <f>IF(OR($K$1="",对接源_02物料!$C1137="",对接源_02物料!$C1137&lt;&gt;$K$1,对接源_02物料!$B1137=""),0,IF(OR(N(对接源_02物料!$B1137)&lt;$K$2,N(对接源_02物料!$B1137)&gt;$K$3),0,1))</f>
        <v>0</v>
      </c>
      <c r="L2337" s="3">
        <f>IF(OR($L$1="",对接源_02物料!$C1137="",对接源_02物料!$C1137&lt;&gt;$L$1,对接源_02物料!$B1137=""),0,IF(OR(N(对接源_02物料!$B1137)&lt;$L$2,N(对接源_02物料!$B1137)&gt;$L$3),0,1))</f>
        <v>0</v>
      </c>
      <c r="M2337" s="3">
        <f>IF(OR($M$1="",对接源_02物料!$C1137="",对接源_02物料!$C1137&lt;&gt;$M$1,对接源_02物料!$B1137=""),0,IF(OR(N(对接源_02物料!$B1137)&lt;$M$2,N(对接源_02物料!$B1137)&gt;$M$3),0,1))</f>
        <v>0</v>
      </c>
      <c r="N2337" s="3">
        <f>IF(OR($N$1="",对接源_02物料!$C1137="",对接源_02物料!$C1137&lt;&gt;$N$1,对接源_02物料!$B1137=""),0,IF(OR(N(对接源_02物料!$B1137)&lt;$N$2,N(对接源_02物料!$B1137)&gt;$N$3),0,1))</f>
        <v>0</v>
      </c>
      <c r="P2337" s="3">
        <f>IF(AND($K2337=1,AND(对接源_02物料!$X1137="公司筐",N(对接源_02物料!$T1137)&lt;&gt;0)),1,0)</f>
        <v>0</v>
      </c>
      <c r="Q2337" s="3">
        <f t="shared" si="624"/>
        <v>8</v>
      </c>
      <c r="R2337" s="3">
        <f>IF(AND($K2337=1,AND(对接源_02物料!$X1137="公司筐",N(对接源_02物料!$U1137)&lt;&gt;0)),1,0)</f>
        <v>0</v>
      </c>
      <c r="S2337" s="3">
        <f t="shared" si="625"/>
        <v>0</v>
      </c>
      <c r="T2337" s="3">
        <f>IF(AND($K2337=1,AND(对接源_02物料!$X1137="公司筐",N(对接源_02物料!$V1137)&lt;&gt;0)),1,0)</f>
        <v>0</v>
      </c>
      <c r="U2337" s="3">
        <f t="shared" si="626"/>
        <v>19</v>
      </c>
      <c r="V2337" s="3">
        <f>IF(AND($L2337=1,AND(对接源_02物料!$X1137="自备筐",N(对接源_02物料!$V1137)&lt;&gt;0)),1,0)</f>
        <v>0</v>
      </c>
      <c r="W2337" s="3">
        <f t="shared" si="627"/>
        <v>8</v>
      </c>
      <c r="X2337" s="3">
        <f>IF(AND($L2337=1,AND(对接源_02物料!$X1137="自备筐",N(对接源_02物料!$T1137)&lt;&gt;0)),1,0)</f>
        <v>0</v>
      </c>
      <c r="Y2337" s="3">
        <f t="shared" si="628"/>
        <v>0</v>
      </c>
      <c r="Z2337" s="3">
        <f>IF(AND($M2337=1,对接源_02物料!$D1137="原料入库"),1,0)</f>
        <v>0</v>
      </c>
      <c r="AA2337" s="3">
        <f t="shared" si="629"/>
        <v>24</v>
      </c>
      <c r="AB2337" s="3">
        <f>IF(AND($M2337=1,LEFT(对接源_02物料!$D1137,4)="原料出库"),1,0)</f>
        <v>0</v>
      </c>
      <c r="AC2337" s="3">
        <f t="shared" si="630"/>
        <v>0</v>
      </c>
      <c r="AD2337" s="3">
        <f>IF(AND($M2337=1,LEFT(对接源_02物料!$D1137,4)="成品出库"),1,0)</f>
        <v>0</v>
      </c>
      <c r="AE2337" s="3">
        <f t="shared" si="631"/>
        <v>0</v>
      </c>
      <c r="AF2337" s="3">
        <f>IF(AND($N2337=1,AND(LEFT(对接源_02物料!$D1137,4)="包装物料",N(对接源_02物料!$K1137)&lt;&gt;0)),1,0)</f>
        <v>0</v>
      </c>
      <c r="AG2337" s="3">
        <f t="shared" si="632"/>
        <v>5</v>
      </c>
      <c r="AH2337" s="3">
        <f>IF(AND($N2337=1,AND(对接源_02物料!$D1137="周转筐－销售出库",N(对接源_02物料!$K1137)&lt;&gt;0)),1,0)</f>
        <v>0</v>
      </c>
      <c r="AI2337" s="3">
        <f t="shared" si="633"/>
        <v>0</v>
      </c>
      <c r="AL2337" s="3">
        <v>0</v>
      </c>
      <c r="AM2337" s="3">
        <f t="shared" si="634"/>
        <v>1</v>
      </c>
      <c r="AN2337" s="3" t="str">
        <f t="shared" si="621"/>
        <v/>
      </c>
      <c r="AO2337" s="3">
        <v>0</v>
      </c>
      <c r="AP2337" s="3">
        <f t="shared" si="635"/>
        <v>8</v>
      </c>
      <c r="AR2337">
        <f t="shared" si="636"/>
        <v>0</v>
      </c>
      <c r="AS2337">
        <f t="shared" si="637"/>
        <v>5</v>
      </c>
    </row>
    <row r="2338" customHeight="1" spans="1:45">
      <c r="A2338" s="3" t="str">
        <f>IF(对接源_02物料!$C1138="","",对接源_02物料!$C1138)</f>
        <v/>
      </c>
      <c r="B2338" s="3">
        <f t="shared" si="622"/>
        <v>0</v>
      </c>
      <c r="C2338" s="3">
        <f t="shared" si="623"/>
        <v>21</v>
      </c>
      <c r="K2338" s="3">
        <f>IF(OR($K$1="",对接源_02物料!$C1138="",对接源_02物料!$C1138&lt;&gt;$K$1,对接源_02物料!$B1138=""),0,IF(OR(N(对接源_02物料!$B1138)&lt;$K$2,N(对接源_02物料!$B1138)&gt;$K$3),0,1))</f>
        <v>0</v>
      </c>
      <c r="L2338" s="3">
        <f>IF(OR($L$1="",对接源_02物料!$C1138="",对接源_02物料!$C1138&lt;&gt;$L$1,对接源_02物料!$B1138=""),0,IF(OR(N(对接源_02物料!$B1138)&lt;$L$2,N(对接源_02物料!$B1138)&gt;$L$3),0,1))</f>
        <v>0</v>
      </c>
      <c r="M2338" s="3">
        <f>IF(OR($M$1="",对接源_02物料!$C1138="",对接源_02物料!$C1138&lt;&gt;$M$1,对接源_02物料!$B1138=""),0,IF(OR(N(对接源_02物料!$B1138)&lt;$M$2,N(对接源_02物料!$B1138)&gt;$M$3),0,1))</f>
        <v>0</v>
      </c>
      <c r="N2338" s="3">
        <f>IF(OR($N$1="",对接源_02物料!$C1138="",对接源_02物料!$C1138&lt;&gt;$N$1,对接源_02物料!$B1138=""),0,IF(OR(N(对接源_02物料!$B1138)&lt;$N$2,N(对接源_02物料!$B1138)&gt;$N$3),0,1))</f>
        <v>0</v>
      </c>
      <c r="P2338" s="3">
        <f>IF(AND($K2338=1,AND(对接源_02物料!$X1138="公司筐",N(对接源_02物料!$T1138)&lt;&gt;0)),1,0)</f>
        <v>0</v>
      </c>
      <c r="Q2338" s="3">
        <f t="shared" si="624"/>
        <v>8</v>
      </c>
      <c r="R2338" s="3">
        <f>IF(AND($K2338=1,AND(对接源_02物料!$X1138="公司筐",N(对接源_02物料!$U1138)&lt;&gt;0)),1,0)</f>
        <v>0</v>
      </c>
      <c r="S2338" s="3">
        <f t="shared" si="625"/>
        <v>0</v>
      </c>
      <c r="T2338" s="3">
        <f>IF(AND($K2338=1,AND(对接源_02物料!$X1138="公司筐",N(对接源_02物料!$V1138)&lt;&gt;0)),1,0)</f>
        <v>0</v>
      </c>
      <c r="U2338" s="3">
        <f t="shared" si="626"/>
        <v>19</v>
      </c>
      <c r="V2338" s="3">
        <f>IF(AND($L2338=1,AND(对接源_02物料!$X1138="自备筐",N(对接源_02物料!$V1138)&lt;&gt;0)),1,0)</f>
        <v>0</v>
      </c>
      <c r="W2338" s="3">
        <f t="shared" si="627"/>
        <v>8</v>
      </c>
      <c r="X2338" s="3">
        <f>IF(AND($L2338=1,AND(对接源_02物料!$X1138="自备筐",N(对接源_02物料!$T1138)&lt;&gt;0)),1,0)</f>
        <v>0</v>
      </c>
      <c r="Y2338" s="3">
        <f t="shared" si="628"/>
        <v>0</v>
      </c>
      <c r="Z2338" s="3">
        <f>IF(AND($M2338=1,对接源_02物料!$D1138="原料入库"),1,0)</f>
        <v>0</v>
      </c>
      <c r="AA2338" s="3">
        <f t="shared" si="629"/>
        <v>24</v>
      </c>
      <c r="AB2338" s="3">
        <f>IF(AND($M2338=1,LEFT(对接源_02物料!$D1138,4)="原料出库"),1,0)</f>
        <v>0</v>
      </c>
      <c r="AC2338" s="3">
        <f t="shared" si="630"/>
        <v>0</v>
      </c>
      <c r="AD2338" s="3">
        <f>IF(AND($M2338=1,LEFT(对接源_02物料!$D1138,4)="成品出库"),1,0)</f>
        <v>0</v>
      </c>
      <c r="AE2338" s="3">
        <f t="shared" si="631"/>
        <v>0</v>
      </c>
      <c r="AF2338" s="3">
        <f>IF(AND($N2338=1,AND(LEFT(对接源_02物料!$D1138,4)="包装物料",N(对接源_02物料!$K1138)&lt;&gt;0)),1,0)</f>
        <v>0</v>
      </c>
      <c r="AG2338" s="3">
        <f t="shared" si="632"/>
        <v>5</v>
      </c>
      <c r="AH2338" s="3">
        <f>IF(AND($N2338=1,AND(对接源_02物料!$D1138="周转筐－销售出库",N(对接源_02物料!$K1138)&lt;&gt;0)),1,0)</f>
        <v>0</v>
      </c>
      <c r="AI2338" s="3">
        <f t="shared" si="633"/>
        <v>0</v>
      </c>
      <c r="AL2338" s="3">
        <v>0</v>
      </c>
      <c r="AM2338" s="3">
        <f t="shared" si="634"/>
        <v>1</v>
      </c>
      <c r="AN2338" s="3" t="str">
        <f t="shared" si="621"/>
        <v/>
      </c>
      <c r="AO2338" s="3">
        <v>0</v>
      </c>
      <c r="AP2338" s="3">
        <f t="shared" si="635"/>
        <v>8</v>
      </c>
      <c r="AR2338">
        <f t="shared" si="636"/>
        <v>0</v>
      </c>
      <c r="AS2338">
        <f t="shared" si="637"/>
        <v>5</v>
      </c>
    </row>
    <row r="2339" customHeight="1" spans="1:45">
      <c r="A2339" s="3" t="str">
        <f>IF(对接源_02物料!$C1139="","",对接源_02物料!$C1139)</f>
        <v/>
      </c>
      <c r="B2339" s="3">
        <f t="shared" si="622"/>
        <v>0</v>
      </c>
      <c r="C2339" s="3">
        <f t="shared" si="623"/>
        <v>21</v>
      </c>
      <c r="K2339" s="3">
        <f>IF(OR($K$1="",对接源_02物料!$C1139="",对接源_02物料!$C1139&lt;&gt;$K$1,对接源_02物料!$B1139=""),0,IF(OR(N(对接源_02物料!$B1139)&lt;$K$2,N(对接源_02物料!$B1139)&gt;$K$3),0,1))</f>
        <v>0</v>
      </c>
      <c r="L2339" s="3">
        <f>IF(OR($L$1="",对接源_02物料!$C1139="",对接源_02物料!$C1139&lt;&gt;$L$1,对接源_02物料!$B1139=""),0,IF(OR(N(对接源_02物料!$B1139)&lt;$L$2,N(对接源_02物料!$B1139)&gt;$L$3),0,1))</f>
        <v>0</v>
      </c>
      <c r="M2339" s="3">
        <f>IF(OR($M$1="",对接源_02物料!$C1139="",对接源_02物料!$C1139&lt;&gt;$M$1,对接源_02物料!$B1139=""),0,IF(OR(N(对接源_02物料!$B1139)&lt;$M$2,N(对接源_02物料!$B1139)&gt;$M$3),0,1))</f>
        <v>0</v>
      </c>
      <c r="N2339" s="3">
        <f>IF(OR($N$1="",对接源_02物料!$C1139="",对接源_02物料!$C1139&lt;&gt;$N$1,对接源_02物料!$B1139=""),0,IF(OR(N(对接源_02物料!$B1139)&lt;$N$2,N(对接源_02物料!$B1139)&gt;$N$3),0,1))</f>
        <v>0</v>
      </c>
      <c r="P2339" s="3">
        <f>IF(AND($K2339=1,AND(对接源_02物料!$X1139="公司筐",N(对接源_02物料!$T1139)&lt;&gt;0)),1,0)</f>
        <v>0</v>
      </c>
      <c r="Q2339" s="3">
        <f t="shared" si="624"/>
        <v>8</v>
      </c>
      <c r="R2339" s="3">
        <f>IF(AND($K2339=1,AND(对接源_02物料!$X1139="公司筐",N(对接源_02物料!$U1139)&lt;&gt;0)),1,0)</f>
        <v>0</v>
      </c>
      <c r="S2339" s="3">
        <f t="shared" si="625"/>
        <v>0</v>
      </c>
      <c r="T2339" s="3">
        <f>IF(AND($K2339=1,AND(对接源_02物料!$X1139="公司筐",N(对接源_02物料!$V1139)&lt;&gt;0)),1,0)</f>
        <v>0</v>
      </c>
      <c r="U2339" s="3">
        <f t="shared" si="626"/>
        <v>19</v>
      </c>
      <c r="V2339" s="3">
        <f>IF(AND($L2339=1,AND(对接源_02物料!$X1139="自备筐",N(对接源_02物料!$V1139)&lt;&gt;0)),1,0)</f>
        <v>0</v>
      </c>
      <c r="W2339" s="3">
        <f t="shared" si="627"/>
        <v>8</v>
      </c>
      <c r="X2339" s="3">
        <f>IF(AND($L2339=1,AND(对接源_02物料!$X1139="自备筐",N(对接源_02物料!$T1139)&lt;&gt;0)),1,0)</f>
        <v>0</v>
      </c>
      <c r="Y2339" s="3">
        <f t="shared" si="628"/>
        <v>0</v>
      </c>
      <c r="Z2339" s="3">
        <f>IF(AND($M2339=1,对接源_02物料!$D1139="原料入库"),1,0)</f>
        <v>0</v>
      </c>
      <c r="AA2339" s="3">
        <f t="shared" si="629"/>
        <v>24</v>
      </c>
      <c r="AB2339" s="3">
        <f>IF(AND($M2339=1,LEFT(对接源_02物料!$D1139,4)="原料出库"),1,0)</f>
        <v>0</v>
      </c>
      <c r="AC2339" s="3">
        <f t="shared" si="630"/>
        <v>0</v>
      </c>
      <c r="AD2339" s="3">
        <f>IF(AND($M2339=1,LEFT(对接源_02物料!$D1139,4)="成品出库"),1,0)</f>
        <v>0</v>
      </c>
      <c r="AE2339" s="3">
        <f t="shared" si="631"/>
        <v>0</v>
      </c>
      <c r="AF2339" s="3">
        <f>IF(AND($N2339=1,AND(LEFT(对接源_02物料!$D1139,4)="包装物料",N(对接源_02物料!$K1139)&lt;&gt;0)),1,0)</f>
        <v>0</v>
      </c>
      <c r="AG2339" s="3">
        <f t="shared" si="632"/>
        <v>5</v>
      </c>
      <c r="AH2339" s="3">
        <f>IF(AND($N2339=1,AND(对接源_02物料!$D1139="周转筐－销售出库",N(对接源_02物料!$K1139)&lt;&gt;0)),1,0)</f>
        <v>0</v>
      </c>
      <c r="AI2339" s="3">
        <f t="shared" si="633"/>
        <v>0</v>
      </c>
      <c r="AL2339" s="3">
        <v>0</v>
      </c>
      <c r="AM2339" s="3">
        <f t="shared" si="634"/>
        <v>1</v>
      </c>
      <c r="AN2339" s="3" t="str">
        <f t="shared" si="621"/>
        <v/>
      </c>
      <c r="AO2339" s="3">
        <v>0</v>
      </c>
      <c r="AP2339" s="3">
        <f t="shared" si="635"/>
        <v>8</v>
      </c>
      <c r="AR2339">
        <f t="shared" si="636"/>
        <v>0</v>
      </c>
      <c r="AS2339">
        <f t="shared" si="637"/>
        <v>5</v>
      </c>
    </row>
    <row r="2340" customHeight="1" spans="1:45">
      <c r="A2340" s="3" t="str">
        <f>IF(对接源_02物料!$C1140="","",对接源_02物料!$C1140)</f>
        <v/>
      </c>
      <c r="B2340" s="3">
        <f t="shared" si="622"/>
        <v>0</v>
      </c>
      <c r="C2340" s="3">
        <f t="shared" si="623"/>
        <v>21</v>
      </c>
      <c r="K2340" s="3">
        <f>IF(OR($K$1="",对接源_02物料!$C1140="",对接源_02物料!$C1140&lt;&gt;$K$1,对接源_02物料!$B1140=""),0,IF(OR(N(对接源_02物料!$B1140)&lt;$K$2,N(对接源_02物料!$B1140)&gt;$K$3),0,1))</f>
        <v>0</v>
      </c>
      <c r="L2340" s="3">
        <f>IF(OR($L$1="",对接源_02物料!$C1140="",对接源_02物料!$C1140&lt;&gt;$L$1,对接源_02物料!$B1140=""),0,IF(OR(N(对接源_02物料!$B1140)&lt;$L$2,N(对接源_02物料!$B1140)&gt;$L$3),0,1))</f>
        <v>0</v>
      </c>
      <c r="M2340" s="3">
        <f>IF(OR($M$1="",对接源_02物料!$C1140="",对接源_02物料!$C1140&lt;&gt;$M$1,对接源_02物料!$B1140=""),0,IF(OR(N(对接源_02物料!$B1140)&lt;$M$2,N(对接源_02物料!$B1140)&gt;$M$3),0,1))</f>
        <v>0</v>
      </c>
      <c r="N2340" s="3">
        <f>IF(OR($N$1="",对接源_02物料!$C1140="",对接源_02物料!$C1140&lt;&gt;$N$1,对接源_02物料!$B1140=""),0,IF(OR(N(对接源_02物料!$B1140)&lt;$N$2,N(对接源_02物料!$B1140)&gt;$N$3),0,1))</f>
        <v>0</v>
      </c>
      <c r="P2340" s="3">
        <f>IF(AND($K2340=1,AND(对接源_02物料!$X1140="公司筐",N(对接源_02物料!$T1140)&lt;&gt;0)),1,0)</f>
        <v>0</v>
      </c>
      <c r="Q2340" s="3">
        <f t="shared" si="624"/>
        <v>8</v>
      </c>
      <c r="R2340" s="3">
        <f>IF(AND($K2340=1,AND(对接源_02物料!$X1140="公司筐",N(对接源_02物料!$U1140)&lt;&gt;0)),1,0)</f>
        <v>0</v>
      </c>
      <c r="S2340" s="3">
        <f t="shared" si="625"/>
        <v>0</v>
      </c>
      <c r="T2340" s="3">
        <f>IF(AND($K2340=1,AND(对接源_02物料!$X1140="公司筐",N(对接源_02物料!$V1140)&lt;&gt;0)),1,0)</f>
        <v>0</v>
      </c>
      <c r="U2340" s="3">
        <f t="shared" si="626"/>
        <v>19</v>
      </c>
      <c r="V2340" s="3">
        <f>IF(AND($L2340=1,AND(对接源_02物料!$X1140="自备筐",N(对接源_02物料!$V1140)&lt;&gt;0)),1,0)</f>
        <v>0</v>
      </c>
      <c r="W2340" s="3">
        <f t="shared" si="627"/>
        <v>8</v>
      </c>
      <c r="X2340" s="3">
        <f>IF(AND($L2340=1,AND(对接源_02物料!$X1140="自备筐",N(对接源_02物料!$T1140)&lt;&gt;0)),1,0)</f>
        <v>0</v>
      </c>
      <c r="Y2340" s="3">
        <f t="shared" si="628"/>
        <v>0</v>
      </c>
      <c r="Z2340" s="3">
        <f>IF(AND($M2340=1,对接源_02物料!$D1140="原料入库"),1,0)</f>
        <v>0</v>
      </c>
      <c r="AA2340" s="3">
        <f t="shared" si="629"/>
        <v>24</v>
      </c>
      <c r="AB2340" s="3">
        <f>IF(AND($M2340=1,LEFT(对接源_02物料!$D1140,4)="原料出库"),1,0)</f>
        <v>0</v>
      </c>
      <c r="AC2340" s="3">
        <f t="shared" si="630"/>
        <v>0</v>
      </c>
      <c r="AD2340" s="3">
        <f>IF(AND($M2340=1,LEFT(对接源_02物料!$D1140,4)="成品出库"),1,0)</f>
        <v>0</v>
      </c>
      <c r="AE2340" s="3">
        <f t="shared" si="631"/>
        <v>0</v>
      </c>
      <c r="AF2340" s="3">
        <f>IF(AND($N2340=1,AND(LEFT(对接源_02物料!$D1140,4)="包装物料",N(对接源_02物料!$K1140)&lt;&gt;0)),1,0)</f>
        <v>0</v>
      </c>
      <c r="AG2340" s="3">
        <f t="shared" si="632"/>
        <v>5</v>
      </c>
      <c r="AH2340" s="3">
        <f>IF(AND($N2340=1,AND(对接源_02物料!$D1140="周转筐－销售出库",N(对接源_02物料!$K1140)&lt;&gt;0)),1,0)</f>
        <v>0</v>
      </c>
      <c r="AI2340" s="3">
        <f t="shared" si="633"/>
        <v>0</v>
      </c>
      <c r="AL2340" s="3">
        <v>0</v>
      </c>
      <c r="AM2340" s="3">
        <f t="shared" si="634"/>
        <v>1</v>
      </c>
      <c r="AN2340" s="3" t="str">
        <f t="shared" si="621"/>
        <v/>
      </c>
      <c r="AO2340" s="3">
        <v>0</v>
      </c>
      <c r="AP2340" s="3">
        <f t="shared" si="635"/>
        <v>8</v>
      </c>
      <c r="AR2340">
        <f t="shared" si="636"/>
        <v>0</v>
      </c>
      <c r="AS2340">
        <f t="shared" si="637"/>
        <v>5</v>
      </c>
    </row>
    <row r="2341" customHeight="1" spans="1:45">
      <c r="A2341" s="3" t="str">
        <f>IF(对接源_02物料!$C1141="","",对接源_02物料!$C1141)</f>
        <v/>
      </c>
      <c r="B2341" s="3">
        <f t="shared" si="622"/>
        <v>0</v>
      </c>
      <c r="C2341" s="3">
        <f t="shared" si="623"/>
        <v>21</v>
      </c>
      <c r="K2341" s="3">
        <f>IF(OR($K$1="",对接源_02物料!$C1141="",对接源_02物料!$C1141&lt;&gt;$K$1,对接源_02物料!$B1141=""),0,IF(OR(N(对接源_02物料!$B1141)&lt;$K$2,N(对接源_02物料!$B1141)&gt;$K$3),0,1))</f>
        <v>0</v>
      </c>
      <c r="L2341" s="3">
        <f>IF(OR($L$1="",对接源_02物料!$C1141="",对接源_02物料!$C1141&lt;&gt;$L$1,对接源_02物料!$B1141=""),0,IF(OR(N(对接源_02物料!$B1141)&lt;$L$2,N(对接源_02物料!$B1141)&gt;$L$3),0,1))</f>
        <v>0</v>
      </c>
      <c r="M2341" s="3">
        <f>IF(OR($M$1="",对接源_02物料!$C1141="",对接源_02物料!$C1141&lt;&gt;$M$1,对接源_02物料!$B1141=""),0,IF(OR(N(对接源_02物料!$B1141)&lt;$M$2,N(对接源_02物料!$B1141)&gt;$M$3),0,1))</f>
        <v>0</v>
      </c>
      <c r="N2341" s="3">
        <f>IF(OR($N$1="",对接源_02物料!$C1141="",对接源_02物料!$C1141&lt;&gt;$N$1,对接源_02物料!$B1141=""),0,IF(OR(N(对接源_02物料!$B1141)&lt;$N$2,N(对接源_02物料!$B1141)&gt;$N$3),0,1))</f>
        <v>0</v>
      </c>
      <c r="P2341" s="3">
        <f>IF(AND($K2341=1,AND(对接源_02物料!$X1141="公司筐",N(对接源_02物料!$T1141)&lt;&gt;0)),1,0)</f>
        <v>0</v>
      </c>
      <c r="Q2341" s="3">
        <f t="shared" si="624"/>
        <v>8</v>
      </c>
      <c r="R2341" s="3">
        <f>IF(AND($K2341=1,AND(对接源_02物料!$X1141="公司筐",N(对接源_02物料!$U1141)&lt;&gt;0)),1,0)</f>
        <v>0</v>
      </c>
      <c r="S2341" s="3">
        <f t="shared" si="625"/>
        <v>0</v>
      </c>
      <c r="T2341" s="3">
        <f>IF(AND($K2341=1,AND(对接源_02物料!$X1141="公司筐",N(对接源_02物料!$V1141)&lt;&gt;0)),1,0)</f>
        <v>0</v>
      </c>
      <c r="U2341" s="3">
        <f t="shared" si="626"/>
        <v>19</v>
      </c>
      <c r="V2341" s="3">
        <f>IF(AND($L2341=1,AND(对接源_02物料!$X1141="自备筐",N(对接源_02物料!$V1141)&lt;&gt;0)),1,0)</f>
        <v>0</v>
      </c>
      <c r="W2341" s="3">
        <f t="shared" si="627"/>
        <v>8</v>
      </c>
      <c r="X2341" s="3">
        <f>IF(AND($L2341=1,AND(对接源_02物料!$X1141="自备筐",N(对接源_02物料!$T1141)&lt;&gt;0)),1,0)</f>
        <v>0</v>
      </c>
      <c r="Y2341" s="3">
        <f t="shared" si="628"/>
        <v>0</v>
      </c>
      <c r="Z2341" s="3">
        <f>IF(AND($M2341=1,对接源_02物料!$D1141="原料入库"),1,0)</f>
        <v>0</v>
      </c>
      <c r="AA2341" s="3">
        <f t="shared" si="629"/>
        <v>24</v>
      </c>
      <c r="AB2341" s="3">
        <f>IF(AND($M2341=1,LEFT(对接源_02物料!$D1141,4)="原料出库"),1,0)</f>
        <v>0</v>
      </c>
      <c r="AC2341" s="3">
        <f t="shared" si="630"/>
        <v>0</v>
      </c>
      <c r="AD2341" s="3">
        <f>IF(AND($M2341=1,LEFT(对接源_02物料!$D1141,4)="成品出库"),1,0)</f>
        <v>0</v>
      </c>
      <c r="AE2341" s="3">
        <f t="shared" si="631"/>
        <v>0</v>
      </c>
      <c r="AF2341" s="3">
        <f>IF(AND($N2341=1,AND(LEFT(对接源_02物料!$D1141,4)="包装物料",N(对接源_02物料!$K1141)&lt;&gt;0)),1,0)</f>
        <v>0</v>
      </c>
      <c r="AG2341" s="3">
        <f t="shared" si="632"/>
        <v>5</v>
      </c>
      <c r="AH2341" s="3">
        <f>IF(AND($N2341=1,AND(对接源_02物料!$D1141="周转筐－销售出库",N(对接源_02物料!$K1141)&lt;&gt;0)),1,0)</f>
        <v>0</v>
      </c>
      <c r="AI2341" s="3">
        <f t="shared" si="633"/>
        <v>0</v>
      </c>
      <c r="AL2341" s="3">
        <v>0</v>
      </c>
      <c r="AM2341" s="3">
        <f t="shared" si="634"/>
        <v>1</v>
      </c>
      <c r="AN2341" s="3" t="str">
        <f t="shared" si="621"/>
        <v/>
      </c>
      <c r="AO2341" s="3">
        <v>0</v>
      </c>
      <c r="AP2341" s="3">
        <f t="shared" si="635"/>
        <v>8</v>
      </c>
      <c r="AR2341">
        <f t="shared" si="636"/>
        <v>0</v>
      </c>
      <c r="AS2341">
        <f t="shared" si="637"/>
        <v>5</v>
      </c>
    </row>
    <row r="2342" customHeight="1" spans="1:45">
      <c r="A2342" s="3" t="str">
        <f>IF(对接源_02物料!$C1142="","",对接源_02物料!$C1142)</f>
        <v/>
      </c>
      <c r="B2342" s="3">
        <f t="shared" si="622"/>
        <v>0</v>
      </c>
      <c r="C2342" s="3">
        <f t="shared" si="623"/>
        <v>21</v>
      </c>
      <c r="K2342" s="3">
        <f>IF(OR($K$1="",对接源_02物料!$C1142="",对接源_02物料!$C1142&lt;&gt;$K$1,对接源_02物料!$B1142=""),0,IF(OR(N(对接源_02物料!$B1142)&lt;$K$2,N(对接源_02物料!$B1142)&gt;$K$3),0,1))</f>
        <v>0</v>
      </c>
      <c r="L2342" s="3">
        <f>IF(OR($L$1="",对接源_02物料!$C1142="",对接源_02物料!$C1142&lt;&gt;$L$1,对接源_02物料!$B1142=""),0,IF(OR(N(对接源_02物料!$B1142)&lt;$L$2,N(对接源_02物料!$B1142)&gt;$L$3),0,1))</f>
        <v>0</v>
      </c>
      <c r="M2342" s="3">
        <f>IF(OR($M$1="",对接源_02物料!$C1142="",对接源_02物料!$C1142&lt;&gt;$M$1,对接源_02物料!$B1142=""),0,IF(OR(N(对接源_02物料!$B1142)&lt;$M$2,N(对接源_02物料!$B1142)&gt;$M$3),0,1))</f>
        <v>0</v>
      </c>
      <c r="N2342" s="3">
        <f>IF(OR($N$1="",对接源_02物料!$C1142="",对接源_02物料!$C1142&lt;&gt;$N$1,对接源_02物料!$B1142=""),0,IF(OR(N(对接源_02物料!$B1142)&lt;$N$2,N(对接源_02物料!$B1142)&gt;$N$3),0,1))</f>
        <v>0</v>
      </c>
      <c r="P2342" s="3">
        <f>IF(AND($K2342=1,AND(对接源_02物料!$X1142="公司筐",N(对接源_02物料!$T1142)&lt;&gt;0)),1,0)</f>
        <v>0</v>
      </c>
      <c r="Q2342" s="3">
        <f t="shared" si="624"/>
        <v>8</v>
      </c>
      <c r="R2342" s="3">
        <f>IF(AND($K2342=1,AND(对接源_02物料!$X1142="公司筐",N(对接源_02物料!$U1142)&lt;&gt;0)),1,0)</f>
        <v>0</v>
      </c>
      <c r="S2342" s="3">
        <f t="shared" si="625"/>
        <v>0</v>
      </c>
      <c r="T2342" s="3">
        <f>IF(AND($K2342=1,AND(对接源_02物料!$X1142="公司筐",N(对接源_02物料!$V1142)&lt;&gt;0)),1,0)</f>
        <v>0</v>
      </c>
      <c r="U2342" s="3">
        <f t="shared" si="626"/>
        <v>19</v>
      </c>
      <c r="V2342" s="3">
        <f>IF(AND($L2342=1,AND(对接源_02物料!$X1142="自备筐",N(对接源_02物料!$V1142)&lt;&gt;0)),1,0)</f>
        <v>0</v>
      </c>
      <c r="W2342" s="3">
        <f t="shared" si="627"/>
        <v>8</v>
      </c>
      <c r="X2342" s="3">
        <f>IF(AND($L2342=1,AND(对接源_02物料!$X1142="自备筐",N(对接源_02物料!$T1142)&lt;&gt;0)),1,0)</f>
        <v>0</v>
      </c>
      <c r="Y2342" s="3">
        <f t="shared" si="628"/>
        <v>0</v>
      </c>
      <c r="Z2342" s="3">
        <f>IF(AND($M2342=1,对接源_02物料!$D1142="原料入库"),1,0)</f>
        <v>0</v>
      </c>
      <c r="AA2342" s="3">
        <f t="shared" si="629"/>
        <v>24</v>
      </c>
      <c r="AB2342" s="3">
        <f>IF(AND($M2342=1,LEFT(对接源_02物料!$D1142,4)="原料出库"),1,0)</f>
        <v>0</v>
      </c>
      <c r="AC2342" s="3">
        <f t="shared" si="630"/>
        <v>0</v>
      </c>
      <c r="AD2342" s="3">
        <f>IF(AND($M2342=1,LEFT(对接源_02物料!$D1142,4)="成品出库"),1,0)</f>
        <v>0</v>
      </c>
      <c r="AE2342" s="3">
        <f t="shared" si="631"/>
        <v>0</v>
      </c>
      <c r="AF2342" s="3">
        <f>IF(AND($N2342=1,AND(LEFT(对接源_02物料!$D1142,4)="包装物料",N(对接源_02物料!$K1142)&lt;&gt;0)),1,0)</f>
        <v>0</v>
      </c>
      <c r="AG2342" s="3">
        <f t="shared" si="632"/>
        <v>5</v>
      </c>
      <c r="AH2342" s="3">
        <f>IF(AND($N2342=1,AND(对接源_02物料!$D1142="周转筐－销售出库",N(对接源_02物料!$K1142)&lt;&gt;0)),1,0)</f>
        <v>0</v>
      </c>
      <c r="AI2342" s="3">
        <f t="shared" si="633"/>
        <v>0</v>
      </c>
      <c r="AL2342" s="3">
        <v>0</v>
      </c>
      <c r="AM2342" s="3">
        <f t="shared" si="634"/>
        <v>1</v>
      </c>
      <c r="AN2342" s="3" t="str">
        <f t="shared" si="621"/>
        <v/>
      </c>
      <c r="AO2342" s="3">
        <v>0</v>
      </c>
      <c r="AP2342" s="3">
        <f t="shared" si="635"/>
        <v>8</v>
      </c>
      <c r="AR2342">
        <f t="shared" si="636"/>
        <v>0</v>
      </c>
      <c r="AS2342">
        <f t="shared" si="637"/>
        <v>5</v>
      </c>
    </row>
    <row r="2343" customHeight="1" spans="1:45">
      <c r="A2343" s="3" t="str">
        <f>IF(对接源_02物料!$C1143="","",对接源_02物料!$C1143)</f>
        <v/>
      </c>
      <c r="B2343" s="3">
        <f t="shared" si="622"/>
        <v>0</v>
      </c>
      <c r="C2343" s="3">
        <f t="shared" si="623"/>
        <v>21</v>
      </c>
      <c r="K2343" s="3">
        <f>IF(OR($K$1="",对接源_02物料!$C1143="",对接源_02物料!$C1143&lt;&gt;$K$1,对接源_02物料!$B1143=""),0,IF(OR(N(对接源_02物料!$B1143)&lt;$K$2,N(对接源_02物料!$B1143)&gt;$K$3),0,1))</f>
        <v>0</v>
      </c>
      <c r="L2343" s="3">
        <f>IF(OR($L$1="",对接源_02物料!$C1143="",对接源_02物料!$C1143&lt;&gt;$L$1,对接源_02物料!$B1143=""),0,IF(OR(N(对接源_02物料!$B1143)&lt;$L$2,N(对接源_02物料!$B1143)&gt;$L$3),0,1))</f>
        <v>0</v>
      </c>
      <c r="M2343" s="3">
        <f>IF(OR($M$1="",对接源_02物料!$C1143="",对接源_02物料!$C1143&lt;&gt;$M$1,对接源_02物料!$B1143=""),0,IF(OR(N(对接源_02物料!$B1143)&lt;$M$2,N(对接源_02物料!$B1143)&gt;$M$3),0,1))</f>
        <v>0</v>
      </c>
      <c r="N2343" s="3">
        <f>IF(OR($N$1="",对接源_02物料!$C1143="",对接源_02物料!$C1143&lt;&gt;$N$1,对接源_02物料!$B1143=""),0,IF(OR(N(对接源_02物料!$B1143)&lt;$N$2,N(对接源_02物料!$B1143)&gt;$N$3),0,1))</f>
        <v>0</v>
      </c>
      <c r="P2343" s="3">
        <f>IF(AND($K2343=1,AND(对接源_02物料!$X1143="公司筐",N(对接源_02物料!$T1143)&lt;&gt;0)),1,0)</f>
        <v>0</v>
      </c>
      <c r="Q2343" s="3">
        <f t="shared" si="624"/>
        <v>8</v>
      </c>
      <c r="R2343" s="3">
        <f>IF(AND($K2343=1,AND(对接源_02物料!$X1143="公司筐",N(对接源_02物料!$U1143)&lt;&gt;0)),1,0)</f>
        <v>0</v>
      </c>
      <c r="S2343" s="3">
        <f t="shared" si="625"/>
        <v>0</v>
      </c>
      <c r="T2343" s="3">
        <f>IF(AND($K2343=1,AND(对接源_02物料!$X1143="公司筐",N(对接源_02物料!$V1143)&lt;&gt;0)),1,0)</f>
        <v>0</v>
      </c>
      <c r="U2343" s="3">
        <f t="shared" si="626"/>
        <v>19</v>
      </c>
      <c r="V2343" s="3">
        <f>IF(AND($L2343=1,AND(对接源_02物料!$X1143="自备筐",N(对接源_02物料!$V1143)&lt;&gt;0)),1,0)</f>
        <v>0</v>
      </c>
      <c r="W2343" s="3">
        <f t="shared" si="627"/>
        <v>8</v>
      </c>
      <c r="X2343" s="3">
        <f>IF(AND($L2343=1,AND(对接源_02物料!$X1143="自备筐",N(对接源_02物料!$T1143)&lt;&gt;0)),1,0)</f>
        <v>0</v>
      </c>
      <c r="Y2343" s="3">
        <f t="shared" si="628"/>
        <v>0</v>
      </c>
      <c r="Z2343" s="3">
        <f>IF(AND($M2343=1,对接源_02物料!$D1143="原料入库"),1,0)</f>
        <v>0</v>
      </c>
      <c r="AA2343" s="3">
        <f t="shared" si="629"/>
        <v>24</v>
      </c>
      <c r="AB2343" s="3">
        <f>IF(AND($M2343=1,LEFT(对接源_02物料!$D1143,4)="原料出库"),1,0)</f>
        <v>0</v>
      </c>
      <c r="AC2343" s="3">
        <f t="shared" si="630"/>
        <v>0</v>
      </c>
      <c r="AD2343" s="3">
        <f>IF(AND($M2343=1,LEFT(对接源_02物料!$D1143,4)="成品出库"),1,0)</f>
        <v>0</v>
      </c>
      <c r="AE2343" s="3">
        <f t="shared" si="631"/>
        <v>0</v>
      </c>
      <c r="AF2343" s="3">
        <f>IF(AND($N2343=1,AND(LEFT(对接源_02物料!$D1143,4)="包装物料",N(对接源_02物料!$K1143)&lt;&gt;0)),1,0)</f>
        <v>0</v>
      </c>
      <c r="AG2343" s="3">
        <f t="shared" si="632"/>
        <v>5</v>
      </c>
      <c r="AH2343" s="3">
        <f>IF(AND($N2343=1,AND(对接源_02物料!$D1143="周转筐－销售出库",N(对接源_02物料!$K1143)&lt;&gt;0)),1,0)</f>
        <v>0</v>
      </c>
      <c r="AI2343" s="3">
        <f t="shared" si="633"/>
        <v>0</v>
      </c>
      <c r="AL2343" s="3">
        <v>0</v>
      </c>
      <c r="AM2343" s="3">
        <f t="shared" si="634"/>
        <v>1</v>
      </c>
      <c r="AN2343" s="3" t="str">
        <f t="shared" si="621"/>
        <v/>
      </c>
      <c r="AO2343" s="3">
        <v>0</v>
      </c>
      <c r="AP2343" s="3">
        <f t="shared" si="635"/>
        <v>8</v>
      </c>
      <c r="AR2343">
        <f t="shared" si="636"/>
        <v>0</v>
      </c>
      <c r="AS2343">
        <f t="shared" si="637"/>
        <v>5</v>
      </c>
    </row>
    <row r="2344" customHeight="1" spans="1:45">
      <c r="A2344" s="3" t="str">
        <f>IF(对接源_02物料!$C1144="","",对接源_02物料!$C1144)</f>
        <v/>
      </c>
      <c r="B2344" s="3">
        <f t="shared" si="622"/>
        <v>0</v>
      </c>
      <c r="C2344" s="3">
        <f t="shared" si="623"/>
        <v>21</v>
      </c>
      <c r="K2344" s="3">
        <f>IF(OR($K$1="",对接源_02物料!$C1144="",对接源_02物料!$C1144&lt;&gt;$K$1,对接源_02物料!$B1144=""),0,IF(OR(N(对接源_02物料!$B1144)&lt;$K$2,N(对接源_02物料!$B1144)&gt;$K$3),0,1))</f>
        <v>0</v>
      </c>
      <c r="L2344" s="3">
        <f>IF(OR($L$1="",对接源_02物料!$C1144="",对接源_02物料!$C1144&lt;&gt;$L$1,对接源_02物料!$B1144=""),0,IF(OR(N(对接源_02物料!$B1144)&lt;$L$2,N(对接源_02物料!$B1144)&gt;$L$3),0,1))</f>
        <v>0</v>
      </c>
      <c r="M2344" s="3">
        <f>IF(OR($M$1="",对接源_02物料!$C1144="",对接源_02物料!$C1144&lt;&gt;$M$1,对接源_02物料!$B1144=""),0,IF(OR(N(对接源_02物料!$B1144)&lt;$M$2,N(对接源_02物料!$B1144)&gt;$M$3),0,1))</f>
        <v>0</v>
      </c>
      <c r="N2344" s="3">
        <f>IF(OR($N$1="",对接源_02物料!$C1144="",对接源_02物料!$C1144&lt;&gt;$N$1,对接源_02物料!$B1144=""),0,IF(OR(N(对接源_02物料!$B1144)&lt;$N$2,N(对接源_02物料!$B1144)&gt;$N$3),0,1))</f>
        <v>0</v>
      </c>
      <c r="P2344" s="3">
        <f>IF(AND($K2344=1,AND(对接源_02物料!$X1144="公司筐",N(对接源_02物料!$T1144)&lt;&gt;0)),1,0)</f>
        <v>0</v>
      </c>
      <c r="Q2344" s="3">
        <f t="shared" si="624"/>
        <v>8</v>
      </c>
      <c r="R2344" s="3">
        <f>IF(AND($K2344=1,AND(对接源_02物料!$X1144="公司筐",N(对接源_02物料!$U1144)&lt;&gt;0)),1,0)</f>
        <v>0</v>
      </c>
      <c r="S2344" s="3">
        <f t="shared" si="625"/>
        <v>0</v>
      </c>
      <c r="T2344" s="3">
        <f>IF(AND($K2344=1,AND(对接源_02物料!$X1144="公司筐",N(对接源_02物料!$V1144)&lt;&gt;0)),1,0)</f>
        <v>0</v>
      </c>
      <c r="U2344" s="3">
        <f t="shared" si="626"/>
        <v>19</v>
      </c>
      <c r="V2344" s="3">
        <f>IF(AND($L2344=1,AND(对接源_02物料!$X1144="自备筐",N(对接源_02物料!$V1144)&lt;&gt;0)),1,0)</f>
        <v>0</v>
      </c>
      <c r="W2344" s="3">
        <f t="shared" si="627"/>
        <v>8</v>
      </c>
      <c r="X2344" s="3">
        <f>IF(AND($L2344=1,AND(对接源_02物料!$X1144="自备筐",N(对接源_02物料!$T1144)&lt;&gt;0)),1,0)</f>
        <v>0</v>
      </c>
      <c r="Y2344" s="3">
        <f t="shared" si="628"/>
        <v>0</v>
      </c>
      <c r="Z2344" s="3">
        <f>IF(AND($M2344=1,对接源_02物料!$D1144="原料入库"),1,0)</f>
        <v>0</v>
      </c>
      <c r="AA2344" s="3">
        <f t="shared" si="629"/>
        <v>24</v>
      </c>
      <c r="AB2344" s="3">
        <f>IF(AND($M2344=1,LEFT(对接源_02物料!$D1144,4)="原料出库"),1,0)</f>
        <v>0</v>
      </c>
      <c r="AC2344" s="3">
        <f t="shared" si="630"/>
        <v>0</v>
      </c>
      <c r="AD2344" s="3">
        <f>IF(AND($M2344=1,LEFT(对接源_02物料!$D1144,4)="成品出库"),1,0)</f>
        <v>0</v>
      </c>
      <c r="AE2344" s="3">
        <f t="shared" si="631"/>
        <v>0</v>
      </c>
      <c r="AF2344" s="3">
        <f>IF(AND($N2344=1,AND(LEFT(对接源_02物料!$D1144,4)="包装物料",N(对接源_02物料!$K1144)&lt;&gt;0)),1,0)</f>
        <v>0</v>
      </c>
      <c r="AG2344" s="3">
        <f t="shared" si="632"/>
        <v>5</v>
      </c>
      <c r="AH2344" s="3">
        <f>IF(AND($N2344=1,AND(对接源_02物料!$D1144="周转筐－销售出库",N(对接源_02物料!$K1144)&lt;&gt;0)),1,0)</f>
        <v>0</v>
      </c>
      <c r="AI2344" s="3">
        <f t="shared" si="633"/>
        <v>0</v>
      </c>
      <c r="AL2344" s="3">
        <v>0</v>
      </c>
      <c r="AM2344" s="3">
        <f t="shared" si="634"/>
        <v>1</v>
      </c>
      <c r="AN2344" s="3" t="str">
        <f t="shared" si="621"/>
        <v/>
      </c>
      <c r="AO2344" s="3">
        <v>0</v>
      </c>
      <c r="AP2344" s="3">
        <f t="shared" si="635"/>
        <v>8</v>
      </c>
      <c r="AR2344">
        <f t="shared" si="636"/>
        <v>0</v>
      </c>
      <c r="AS2344">
        <f t="shared" si="637"/>
        <v>5</v>
      </c>
    </row>
    <row r="2345" customHeight="1" spans="1:45">
      <c r="A2345" s="3" t="str">
        <f>IF(对接源_02物料!$C1145="","",对接源_02物料!$C1145)</f>
        <v/>
      </c>
      <c r="B2345" s="3">
        <f t="shared" si="622"/>
        <v>0</v>
      </c>
      <c r="C2345" s="3">
        <f t="shared" si="623"/>
        <v>21</v>
      </c>
      <c r="K2345" s="3">
        <f>IF(OR($K$1="",对接源_02物料!$C1145="",对接源_02物料!$C1145&lt;&gt;$K$1,对接源_02物料!$B1145=""),0,IF(OR(N(对接源_02物料!$B1145)&lt;$K$2,N(对接源_02物料!$B1145)&gt;$K$3),0,1))</f>
        <v>0</v>
      </c>
      <c r="L2345" s="3">
        <f>IF(OR($L$1="",对接源_02物料!$C1145="",对接源_02物料!$C1145&lt;&gt;$L$1,对接源_02物料!$B1145=""),0,IF(OR(N(对接源_02物料!$B1145)&lt;$L$2,N(对接源_02物料!$B1145)&gt;$L$3),0,1))</f>
        <v>0</v>
      </c>
      <c r="M2345" s="3">
        <f>IF(OR($M$1="",对接源_02物料!$C1145="",对接源_02物料!$C1145&lt;&gt;$M$1,对接源_02物料!$B1145=""),0,IF(OR(N(对接源_02物料!$B1145)&lt;$M$2,N(对接源_02物料!$B1145)&gt;$M$3),0,1))</f>
        <v>0</v>
      </c>
      <c r="N2345" s="3">
        <f>IF(OR($N$1="",对接源_02物料!$C1145="",对接源_02物料!$C1145&lt;&gt;$N$1,对接源_02物料!$B1145=""),0,IF(OR(N(对接源_02物料!$B1145)&lt;$N$2,N(对接源_02物料!$B1145)&gt;$N$3),0,1))</f>
        <v>0</v>
      </c>
      <c r="P2345" s="3">
        <f>IF(AND($K2345=1,AND(对接源_02物料!$X1145="公司筐",N(对接源_02物料!$T1145)&lt;&gt;0)),1,0)</f>
        <v>0</v>
      </c>
      <c r="Q2345" s="3">
        <f t="shared" si="624"/>
        <v>8</v>
      </c>
      <c r="R2345" s="3">
        <f>IF(AND($K2345=1,AND(对接源_02物料!$X1145="公司筐",N(对接源_02物料!$U1145)&lt;&gt;0)),1,0)</f>
        <v>0</v>
      </c>
      <c r="S2345" s="3">
        <f t="shared" si="625"/>
        <v>0</v>
      </c>
      <c r="T2345" s="3">
        <f>IF(AND($K2345=1,AND(对接源_02物料!$X1145="公司筐",N(对接源_02物料!$V1145)&lt;&gt;0)),1,0)</f>
        <v>0</v>
      </c>
      <c r="U2345" s="3">
        <f t="shared" si="626"/>
        <v>19</v>
      </c>
      <c r="V2345" s="3">
        <f>IF(AND($L2345=1,AND(对接源_02物料!$X1145="自备筐",N(对接源_02物料!$V1145)&lt;&gt;0)),1,0)</f>
        <v>0</v>
      </c>
      <c r="W2345" s="3">
        <f t="shared" si="627"/>
        <v>8</v>
      </c>
      <c r="X2345" s="3">
        <f>IF(AND($L2345=1,AND(对接源_02物料!$X1145="自备筐",N(对接源_02物料!$T1145)&lt;&gt;0)),1,0)</f>
        <v>0</v>
      </c>
      <c r="Y2345" s="3">
        <f t="shared" si="628"/>
        <v>0</v>
      </c>
      <c r="Z2345" s="3">
        <f>IF(AND($M2345=1,对接源_02物料!$D1145="原料入库"),1,0)</f>
        <v>0</v>
      </c>
      <c r="AA2345" s="3">
        <f t="shared" si="629"/>
        <v>24</v>
      </c>
      <c r="AB2345" s="3">
        <f>IF(AND($M2345=1,LEFT(对接源_02物料!$D1145,4)="原料出库"),1,0)</f>
        <v>0</v>
      </c>
      <c r="AC2345" s="3">
        <f t="shared" si="630"/>
        <v>0</v>
      </c>
      <c r="AD2345" s="3">
        <f>IF(AND($M2345=1,LEFT(对接源_02物料!$D1145,4)="成品出库"),1,0)</f>
        <v>0</v>
      </c>
      <c r="AE2345" s="3">
        <f t="shared" si="631"/>
        <v>0</v>
      </c>
      <c r="AF2345" s="3">
        <f>IF(AND($N2345=1,AND(LEFT(对接源_02物料!$D1145,4)="包装物料",N(对接源_02物料!$K1145)&lt;&gt;0)),1,0)</f>
        <v>0</v>
      </c>
      <c r="AG2345" s="3">
        <f t="shared" si="632"/>
        <v>5</v>
      </c>
      <c r="AH2345" s="3">
        <f>IF(AND($N2345=1,AND(对接源_02物料!$D1145="周转筐－销售出库",N(对接源_02物料!$K1145)&lt;&gt;0)),1,0)</f>
        <v>0</v>
      </c>
      <c r="AI2345" s="3">
        <f t="shared" si="633"/>
        <v>0</v>
      </c>
      <c r="AL2345" s="3">
        <v>0</v>
      </c>
      <c r="AM2345" s="3">
        <f t="shared" si="634"/>
        <v>1</v>
      </c>
      <c r="AN2345" s="3" t="str">
        <f t="shared" si="621"/>
        <v/>
      </c>
      <c r="AO2345" s="3">
        <v>0</v>
      </c>
      <c r="AP2345" s="3">
        <f t="shared" si="635"/>
        <v>8</v>
      </c>
      <c r="AR2345">
        <f t="shared" si="636"/>
        <v>0</v>
      </c>
      <c r="AS2345">
        <f t="shared" si="637"/>
        <v>5</v>
      </c>
    </row>
    <row r="2346" customHeight="1" spans="1:45">
      <c r="A2346" s="3" t="str">
        <f>IF(对接源_02物料!$C1146="","",对接源_02物料!$C1146)</f>
        <v/>
      </c>
      <c r="B2346" s="3">
        <f t="shared" si="622"/>
        <v>0</v>
      </c>
      <c r="C2346" s="3">
        <f t="shared" si="623"/>
        <v>21</v>
      </c>
      <c r="K2346" s="3">
        <f>IF(OR($K$1="",对接源_02物料!$C1146="",对接源_02物料!$C1146&lt;&gt;$K$1,对接源_02物料!$B1146=""),0,IF(OR(N(对接源_02物料!$B1146)&lt;$K$2,N(对接源_02物料!$B1146)&gt;$K$3),0,1))</f>
        <v>0</v>
      </c>
      <c r="L2346" s="3">
        <f>IF(OR($L$1="",对接源_02物料!$C1146="",对接源_02物料!$C1146&lt;&gt;$L$1,对接源_02物料!$B1146=""),0,IF(OR(N(对接源_02物料!$B1146)&lt;$L$2,N(对接源_02物料!$B1146)&gt;$L$3),0,1))</f>
        <v>0</v>
      </c>
      <c r="M2346" s="3">
        <f>IF(OR($M$1="",对接源_02物料!$C1146="",对接源_02物料!$C1146&lt;&gt;$M$1,对接源_02物料!$B1146=""),0,IF(OR(N(对接源_02物料!$B1146)&lt;$M$2,N(对接源_02物料!$B1146)&gt;$M$3),0,1))</f>
        <v>0</v>
      </c>
      <c r="N2346" s="3">
        <f>IF(OR($N$1="",对接源_02物料!$C1146="",对接源_02物料!$C1146&lt;&gt;$N$1,对接源_02物料!$B1146=""),0,IF(OR(N(对接源_02物料!$B1146)&lt;$N$2,N(对接源_02物料!$B1146)&gt;$N$3),0,1))</f>
        <v>0</v>
      </c>
      <c r="P2346" s="3">
        <f>IF(AND($K2346=1,AND(对接源_02物料!$X1146="公司筐",N(对接源_02物料!$T1146)&lt;&gt;0)),1,0)</f>
        <v>0</v>
      </c>
      <c r="Q2346" s="3">
        <f t="shared" si="624"/>
        <v>8</v>
      </c>
      <c r="R2346" s="3">
        <f>IF(AND($K2346=1,AND(对接源_02物料!$X1146="公司筐",N(对接源_02物料!$U1146)&lt;&gt;0)),1,0)</f>
        <v>0</v>
      </c>
      <c r="S2346" s="3">
        <f t="shared" si="625"/>
        <v>0</v>
      </c>
      <c r="T2346" s="3">
        <f>IF(AND($K2346=1,AND(对接源_02物料!$X1146="公司筐",N(对接源_02物料!$V1146)&lt;&gt;0)),1,0)</f>
        <v>0</v>
      </c>
      <c r="U2346" s="3">
        <f t="shared" si="626"/>
        <v>19</v>
      </c>
      <c r="V2346" s="3">
        <f>IF(AND($L2346=1,AND(对接源_02物料!$X1146="自备筐",N(对接源_02物料!$V1146)&lt;&gt;0)),1,0)</f>
        <v>0</v>
      </c>
      <c r="W2346" s="3">
        <f t="shared" si="627"/>
        <v>8</v>
      </c>
      <c r="X2346" s="3">
        <f>IF(AND($L2346=1,AND(对接源_02物料!$X1146="自备筐",N(对接源_02物料!$T1146)&lt;&gt;0)),1,0)</f>
        <v>0</v>
      </c>
      <c r="Y2346" s="3">
        <f t="shared" si="628"/>
        <v>0</v>
      </c>
      <c r="Z2346" s="3">
        <f>IF(AND($M2346=1,对接源_02物料!$D1146="原料入库"),1,0)</f>
        <v>0</v>
      </c>
      <c r="AA2346" s="3">
        <f t="shared" si="629"/>
        <v>24</v>
      </c>
      <c r="AB2346" s="3">
        <f>IF(AND($M2346=1,LEFT(对接源_02物料!$D1146,4)="原料出库"),1,0)</f>
        <v>0</v>
      </c>
      <c r="AC2346" s="3">
        <f t="shared" si="630"/>
        <v>0</v>
      </c>
      <c r="AD2346" s="3">
        <f>IF(AND($M2346=1,LEFT(对接源_02物料!$D1146,4)="成品出库"),1,0)</f>
        <v>0</v>
      </c>
      <c r="AE2346" s="3">
        <f t="shared" si="631"/>
        <v>0</v>
      </c>
      <c r="AF2346" s="3">
        <f>IF(AND($N2346=1,AND(LEFT(对接源_02物料!$D1146,4)="包装物料",N(对接源_02物料!$K1146)&lt;&gt;0)),1,0)</f>
        <v>0</v>
      </c>
      <c r="AG2346" s="3">
        <f t="shared" si="632"/>
        <v>5</v>
      </c>
      <c r="AH2346" s="3">
        <f>IF(AND($N2346=1,AND(对接源_02物料!$D1146="周转筐－销售出库",N(对接源_02物料!$K1146)&lt;&gt;0)),1,0)</f>
        <v>0</v>
      </c>
      <c r="AI2346" s="3">
        <f t="shared" si="633"/>
        <v>0</v>
      </c>
      <c r="AL2346" s="3">
        <v>0</v>
      </c>
      <c r="AM2346" s="3">
        <f t="shared" si="634"/>
        <v>1</v>
      </c>
      <c r="AN2346" s="3" t="str">
        <f t="shared" si="621"/>
        <v/>
      </c>
      <c r="AO2346" s="3">
        <v>0</v>
      </c>
      <c r="AP2346" s="3">
        <f t="shared" si="635"/>
        <v>8</v>
      </c>
      <c r="AR2346">
        <f t="shared" si="636"/>
        <v>0</v>
      </c>
      <c r="AS2346">
        <f t="shared" si="637"/>
        <v>5</v>
      </c>
    </row>
    <row r="2347" customHeight="1" spans="1:45">
      <c r="A2347" s="3" t="str">
        <f>IF(对接源_02物料!$C1147="","",对接源_02物料!$C1147)</f>
        <v/>
      </c>
      <c r="B2347" s="3">
        <f t="shared" si="622"/>
        <v>0</v>
      </c>
      <c r="C2347" s="3">
        <f t="shared" si="623"/>
        <v>21</v>
      </c>
      <c r="K2347" s="3">
        <f>IF(OR($K$1="",对接源_02物料!$C1147="",对接源_02物料!$C1147&lt;&gt;$K$1,对接源_02物料!$B1147=""),0,IF(OR(N(对接源_02物料!$B1147)&lt;$K$2,N(对接源_02物料!$B1147)&gt;$K$3),0,1))</f>
        <v>0</v>
      </c>
      <c r="L2347" s="3">
        <f>IF(OR($L$1="",对接源_02物料!$C1147="",对接源_02物料!$C1147&lt;&gt;$L$1,对接源_02物料!$B1147=""),0,IF(OR(N(对接源_02物料!$B1147)&lt;$L$2,N(对接源_02物料!$B1147)&gt;$L$3),0,1))</f>
        <v>0</v>
      </c>
      <c r="M2347" s="3">
        <f>IF(OR($M$1="",对接源_02物料!$C1147="",对接源_02物料!$C1147&lt;&gt;$M$1,对接源_02物料!$B1147=""),0,IF(OR(N(对接源_02物料!$B1147)&lt;$M$2,N(对接源_02物料!$B1147)&gt;$M$3),0,1))</f>
        <v>0</v>
      </c>
      <c r="N2347" s="3">
        <f>IF(OR($N$1="",对接源_02物料!$C1147="",对接源_02物料!$C1147&lt;&gt;$N$1,对接源_02物料!$B1147=""),0,IF(OR(N(对接源_02物料!$B1147)&lt;$N$2,N(对接源_02物料!$B1147)&gt;$N$3),0,1))</f>
        <v>0</v>
      </c>
      <c r="P2347" s="3">
        <f>IF(AND($K2347=1,AND(对接源_02物料!$X1147="公司筐",N(对接源_02物料!$T1147)&lt;&gt;0)),1,0)</f>
        <v>0</v>
      </c>
      <c r="Q2347" s="3">
        <f t="shared" si="624"/>
        <v>8</v>
      </c>
      <c r="R2347" s="3">
        <f>IF(AND($K2347=1,AND(对接源_02物料!$X1147="公司筐",N(对接源_02物料!$U1147)&lt;&gt;0)),1,0)</f>
        <v>0</v>
      </c>
      <c r="S2347" s="3">
        <f t="shared" si="625"/>
        <v>0</v>
      </c>
      <c r="T2347" s="3">
        <f>IF(AND($K2347=1,AND(对接源_02物料!$X1147="公司筐",N(对接源_02物料!$V1147)&lt;&gt;0)),1,0)</f>
        <v>0</v>
      </c>
      <c r="U2347" s="3">
        <f t="shared" si="626"/>
        <v>19</v>
      </c>
      <c r="V2347" s="3">
        <f>IF(AND($L2347=1,AND(对接源_02物料!$X1147="自备筐",N(对接源_02物料!$V1147)&lt;&gt;0)),1,0)</f>
        <v>0</v>
      </c>
      <c r="W2347" s="3">
        <f t="shared" si="627"/>
        <v>8</v>
      </c>
      <c r="X2347" s="3">
        <f>IF(AND($L2347=1,AND(对接源_02物料!$X1147="自备筐",N(对接源_02物料!$T1147)&lt;&gt;0)),1,0)</f>
        <v>0</v>
      </c>
      <c r="Y2347" s="3">
        <f t="shared" si="628"/>
        <v>0</v>
      </c>
      <c r="Z2347" s="3">
        <f>IF(AND($M2347=1,对接源_02物料!$D1147="原料入库"),1,0)</f>
        <v>0</v>
      </c>
      <c r="AA2347" s="3">
        <f t="shared" si="629"/>
        <v>24</v>
      </c>
      <c r="AB2347" s="3">
        <f>IF(AND($M2347=1,LEFT(对接源_02物料!$D1147,4)="原料出库"),1,0)</f>
        <v>0</v>
      </c>
      <c r="AC2347" s="3">
        <f t="shared" si="630"/>
        <v>0</v>
      </c>
      <c r="AD2347" s="3">
        <f>IF(AND($M2347=1,LEFT(对接源_02物料!$D1147,4)="成品出库"),1,0)</f>
        <v>0</v>
      </c>
      <c r="AE2347" s="3">
        <f t="shared" si="631"/>
        <v>0</v>
      </c>
      <c r="AF2347" s="3">
        <f>IF(AND($N2347=1,AND(LEFT(对接源_02物料!$D1147,4)="包装物料",N(对接源_02物料!$K1147)&lt;&gt;0)),1,0)</f>
        <v>0</v>
      </c>
      <c r="AG2347" s="3">
        <f t="shared" si="632"/>
        <v>5</v>
      </c>
      <c r="AH2347" s="3">
        <f>IF(AND($N2347=1,AND(对接源_02物料!$D1147="周转筐－销售出库",N(对接源_02物料!$K1147)&lt;&gt;0)),1,0)</f>
        <v>0</v>
      </c>
      <c r="AI2347" s="3">
        <f t="shared" si="633"/>
        <v>0</v>
      </c>
      <c r="AL2347" s="3">
        <v>0</v>
      </c>
      <c r="AM2347" s="3">
        <f t="shared" si="634"/>
        <v>1</v>
      </c>
      <c r="AN2347" s="3" t="str">
        <f t="shared" si="621"/>
        <v/>
      </c>
      <c r="AO2347" s="3">
        <v>0</v>
      </c>
      <c r="AP2347" s="3">
        <f t="shared" si="635"/>
        <v>8</v>
      </c>
      <c r="AR2347">
        <f t="shared" si="636"/>
        <v>0</v>
      </c>
      <c r="AS2347">
        <f t="shared" si="637"/>
        <v>5</v>
      </c>
    </row>
    <row r="2348" customHeight="1" spans="1:45">
      <c r="A2348" s="3" t="str">
        <f>IF(对接源_02物料!$C1148="","",对接源_02物料!$C1148)</f>
        <v/>
      </c>
      <c r="B2348" s="3">
        <f t="shared" si="622"/>
        <v>0</v>
      </c>
      <c r="C2348" s="3">
        <f t="shared" si="623"/>
        <v>21</v>
      </c>
      <c r="K2348" s="3">
        <f>IF(OR($K$1="",对接源_02物料!$C1148="",对接源_02物料!$C1148&lt;&gt;$K$1,对接源_02物料!$B1148=""),0,IF(OR(N(对接源_02物料!$B1148)&lt;$K$2,N(对接源_02物料!$B1148)&gt;$K$3),0,1))</f>
        <v>0</v>
      </c>
      <c r="L2348" s="3">
        <f>IF(OR($L$1="",对接源_02物料!$C1148="",对接源_02物料!$C1148&lt;&gt;$L$1,对接源_02物料!$B1148=""),0,IF(OR(N(对接源_02物料!$B1148)&lt;$L$2,N(对接源_02物料!$B1148)&gt;$L$3),0,1))</f>
        <v>0</v>
      </c>
      <c r="M2348" s="3">
        <f>IF(OR($M$1="",对接源_02物料!$C1148="",对接源_02物料!$C1148&lt;&gt;$M$1,对接源_02物料!$B1148=""),0,IF(OR(N(对接源_02物料!$B1148)&lt;$M$2,N(对接源_02物料!$B1148)&gt;$M$3),0,1))</f>
        <v>0</v>
      </c>
      <c r="N2348" s="3">
        <f>IF(OR($N$1="",对接源_02物料!$C1148="",对接源_02物料!$C1148&lt;&gt;$N$1,对接源_02物料!$B1148=""),0,IF(OR(N(对接源_02物料!$B1148)&lt;$N$2,N(对接源_02物料!$B1148)&gt;$N$3),0,1))</f>
        <v>0</v>
      </c>
      <c r="P2348" s="3">
        <f>IF(AND($K2348=1,AND(对接源_02物料!$X1148="公司筐",N(对接源_02物料!$T1148)&lt;&gt;0)),1,0)</f>
        <v>0</v>
      </c>
      <c r="Q2348" s="3">
        <f t="shared" si="624"/>
        <v>8</v>
      </c>
      <c r="R2348" s="3">
        <f>IF(AND($K2348=1,AND(对接源_02物料!$X1148="公司筐",N(对接源_02物料!$U1148)&lt;&gt;0)),1,0)</f>
        <v>0</v>
      </c>
      <c r="S2348" s="3">
        <f t="shared" si="625"/>
        <v>0</v>
      </c>
      <c r="T2348" s="3">
        <f>IF(AND($K2348=1,AND(对接源_02物料!$X1148="公司筐",N(对接源_02物料!$V1148)&lt;&gt;0)),1,0)</f>
        <v>0</v>
      </c>
      <c r="U2348" s="3">
        <f t="shared" si="626"/>
        <v>19</v>
      </c>
      <c r="V2348" s="3">
        <f>IF(AND($L2348=1,AND(对接源_02物料!$X1148="自备筐",N(对接源_02物料!$V1148)&lt;&gt;0)),1,0)</f>
        <v>0</v>
      </c>
      <c r="W2348" s="3">
        <f t="shared" si="627"/>
        <v>8</v>
      </c>
      <c r="X2348" s="3">
        <f>IF(AND($L2348=1,AND(对接源_02物料!$X1148="自备筐",N(对接源_02物料!$T1148)&lt;&gt;0)),1,0)</f>
        <v>0</v>
      </c>
      <c r="Y2348" s="3">
        <f t="shared" si="628"/>
        <v>0</v>
      </c>
      <c r="Z2348" s="3">
        <f>IF(AND($M2348=1,对接源_02物料!$D1148="原料入库"),1,0)</f>
        <v>0</v>
      </c>
      <c r="AA2348" s="3">
        <f t="shared" si="629"/>
        <v>24</v>
      </c>
      <c r="AB2348" s="3">
        <f>IF(AND($M2348=1,LEFT(对接源_02物料!$D1148,4)="原料出库"),1,0)</f>
        <v>0</v>
      </c>
      <c r="AC2348" s="3">
        <f t="shared" si="630"/>
        <v>0</v>
      </c>
      <c r="AD2348" s="3">
        <f>IF(AND($M2348=1,LEFT(对接源_02物料!$D1148,4)="成品出库"),1,0)</f>
        <v>0</v>
      </c>
      <c r="AE2348" s="3">
        <f t="shared" si="631"/>
        <v>0</v>
      </c>
      <c r="AF2348" s="3">
        <f>IF(AND($N2348=1,AND(LEFT(对接源_02物料!$D1148,4)="包装物料",N(对接源_02物料!$K1148)&lt;&gt;0)),1,0)</f>
        <v>0</v>
      </c>
      <c r="AG2348" s="3">
        <f t="shared" si="632"/>
        <v>5</v>
      </c>
      <c r="AH2348" s="3">
        <f>IF(AND($N2348=1,AND(对接源_02物料!$D1148="周转筐－销售出库",N(对接源_02物料!$K1148)&lt;&gt;0)),1,0)</f>
        <v>0</v>
      </c>
      <c r="AI2348" s="3">
        <f t="shared" si="633"/>
        <v>0</v>
      </c>
      <c r="AL2348" s="3">
        <v>0</v>
      </c>
      <c r="AM2348" s="3">
        <f t="shared" si="634"/>
        <v>1</v>
      </c>
      <c r="AN2348" s="3" t="str">
        <f t="shared" si="621"/>
        <v/>
      </c>
      <c r="AO2348" s="3">
        <v>0</v>
      </c>
      <c r="AP2348" s="3">
        <f t="shared" si="635"/>
        <v>8</v>
      </c>
      <c r="AR2348">
        <f t="shared" si="636"/>
        <v>0</v>
      </c>
      <c r="AS2348">
        <f t="shared" si="637"/>
        <v>5</v>
      </c>
    </row>
    <row r="2349" customHeight="1" spans="1:45">
      <c r="A2349" s="3" t="str">
        <f>IF(对接源_02物料!$C1149="","",对接源_02物料!$C1149)</f>
        <v/>
      </c>
      <c r="B2349" s="3">
        <f t="shared" si="622"/>
        <v>0</v>
      </c>
      <c r="C2349" s="3">
        <f t="shared" si="623"/>
        <v>21</v>
      </c>
      <c r="K2349" s="3">
        <f>IF(OR($K$1="",对接源_02物料!$C1149="",对接源_02物料!$C1149&lt;&gt;$K$1,对接源_02物料!$B1149=""),0,IF(OR(N(对接源_02物料!$B1149)&lt;$K$2,N(对接源_02物料!$B1149)&gt;$K$3),0,1))</f>
        <v>0</v>
      </c>
      <c r="L2349" s="3">
        <f>IF(OR($L$1="",对接源_02物料!$C1149="",对接源_02物料!$C1149&lt;&gt;$L$1,对接源_02物料!$B1149=""),0,IF(OR(N(对接源_02物料!$B1149)&lt;$L$2,N(对接源_02物料!$B1149)&gt;$L$3),0,1))</f>
        <v>0</v>
      </c>
      <c r="M2349" s="3">
        <f>IF(OR($M$1="",对接源_02物料!$C1149="",对接源_02物料!$C1149&lt;&gt;$M$1,对接源_02物料!$B1149=""),0,IF(OR(N(对接源_02物料!$B1149)&lt;$M$2,N(对接源_02物料!$B1149)&gt;$M$3),0,1))</f>
        <v>0</v>
      </c>
      <c r="N2349" s="3">
        <f>IF(OR($N$1="",对接源_02物料!$C1149="",对接源_02物料!$C1149&lt;&gt;$N$1,对接源_02物料!$B1149=""),0,IF(OR(N(对接源_02物料!$B1149)&lt;$N$2,N(对接源_02物料!$B1149)&gt;$N$3),0,1))</f>
        <v>0</v>
      </c>
      <c r="P2349" s="3">
        <f>IF(AND($K2349=1,AND(对接源_02物料!$X1149="公司筐",N(对接源_02物料!$T1149)&lt;&gt;0)),1,0)</f>
        <v>0</v>
      </c>
      <c r="Q2349" s="3">
        <f t="shared" si="624"/>
        <v>8</v>
      </c>
      <c r="R2349" s="3">
        <f>IF(AND($K2349=1,AND(对接源_02物料!$X1149="公司筐",N(对接源_02物料!$U1149)&lt;&gt;0)),1,0)</f>
        <v>0</v>
      </c>
      <c r="S2349" s="3">
        <f t="shared" si="625"/>
        <v>0</v>
      </c>
      <c r="T2349" s="3">
        <f>IF(AND($K2349=1,AND(对接源_02物料!$X1149="公司筐",N(对接源_02物料!$V1149)&lt;&gt;0)),1,0)</f>
        <v>0</v>
      </c>
      <c r="U2349" s="3">
        <f t="shared" si="626"/>
        <v>19</v>
      </c>
      <c r="V2349" s="3">
        <f>IF(AND($L2349=1,AND(对接源_02物料!$X1149="自备筐",N(对接源_02物料!$V1149)&lt;&gt;0)),1,0)</f>
        <v>0</v>
      </c>
      <c r="W2349" s="3">
        <f t="shared" si="627"/>
        <v>8</v>
      </c>
      <c r="X2349" s="3">
        <f>IF(AND($L2349=1,AND(对接源_02物料!$X1149="自备筐",N(对接源_02物料!$T1149)&lt;&gt;0)),1,0)</f>
        <v>0</v>
      </c>
      <c r="Y2349" s="3">
        <f t="shared" si="628"/>
        <v>0</v>
      </c>
      <c r="Z2349" s="3">
        <f>IF(AND($M2349=1,对接源_02物料!$D1149="原料入库"),1,0)</f>
        <v>0</v>
      </c>
      <c r="AA2349" s="3">
        <f t="shared" si="629"/>
        <v>24</v>
      </c>
      <c r="AB2349" s="3">
        <f>IF(AND($M2349=1,LEFT(对接源_02物料!$D1149,4)="原料出库"),1,0)</f>
        <v>0</v>
      </c>
      <c r="AC2349" s="3">
        <f t="shared" si="630"/>
        <v>0</v>
      </c>
      <c r="AD2349" s="3">
        <f>IF(AND($M2349=1,LEFT(对接源_02物料!$D1149,4)="成品出库"),1,0)</f>
        <v>0</v>
      </c>
      <c r="AE2349" s="3">
        <f t="shared" si="631"/>
        <v>0</v>
      </c>
      <c r="AF2349" s="3">
        <f>IF(AND($N2349=1,AND(LEFT(对接源_02物料!$D1149,4)="包装物料",N(对接源_02物料!$K1149)&lt;&gt;0)),1,0)</f>
        <v>0</v>
      </c>
      <c r="AG2349" s="3">
        <f t="shared" si="632"/>
        <v>5</v>
      </c>
      <c r="AH2349" s="3">
        <f>IF(AND($N2349=1,AND(对接源_02物料!$D1149="周转筐－销售出库",N(对接源_02物料!$K1149)&lt;&gt;0)),1,0)</f>
        <v>0</v>
      </c>
      <c r="AI2349" s="3">
        <f t="shared" si="633"/>
        <v>0</v>
      </c>
      <c r="AL2349" s="3">
        <v>0</v>
      </c>
      <c r="AM2349" s="3">
        <f t="shared" si="634"/>
        <v>1</v>
      </c>
      <c r="AN2349" s="3" t="str">
        <f t="shared" si="621"/>
        <v/>
      </c>
      <c r="AO2349" s="3">
        <v>0</v>
      </c>
      <c r="AP2349" s="3">
        <f t="shared" si="635"/>
        <v>8</v>
      </c>
      <c r="AR2349">
        <f t="shared" si="636"/>
        <v>0</v>
      </c>
      <c r="AS2349">
        <f t="shared" si="637"/>
        <v>5</v>
      </c>
    </row>
    <row r="2350" customHeight="1" spans="1:45">
      <c r="A2350" s="3" t="str">
        <f>IF(对接源_02物料!$C1150="","",对接源_02物料!$C1150)</f>
        <v/>
      </c>
      <c r="B2350" s="3">
        <f t="shared" si="622"/>
        <v>0</v>
      </c>
      <c r="C2350" s="3">
        <f t="shared" si="623"/>
        <v>21</v>
      </c>
      <c r="K2350" s="3">
        <f>IF(OR($K$1="",对接源_02物料!$C1150="",对接源_02物料!$C1150&lt;&gt;$K$1,对接源_02物料!$B1150=""),0,IF(OR(N(对接源_02物料!$B1150)&lt;$K$2,N(对接源_02物料!$B1150)&gt;$K$3),0,1))</f>
        <v>0</v>
      </c>
      <c r="L2350" s="3">
        <f>IF(OR($L$1="",对接源_02物料!$C1150="",对接源_02物料!$C1150&lt;&gt;$L$1,对接源_02物料!$B1150=""),0,IF(OR(N(对接源_02物料!$B1150)&lt;$L$2,N(对接源_02物料!$B1150)&gt;$L$3),0,1))</f>
        <v>0</v>
      </c>
      <c r="M2350" s="3">
        <f>IF(OR($M$1="",对接源_02物料!$C1150="",对接源_02物料!$C1150&lt;&gt;$M$1,对接源_02物料!$B1150=""),0,IF(OR(N(对接源_02物料!$B1150)&lt;$M$2,N(对接源_02物料!$B1150)&gt;$M$3),0,1))</f>
        <v>0</v>
      </c>
      <c r="N2350" s="3">
        <f>IF(OR($N$1="",对接源_02物料!$C1150="",对接源_02物料!$C1150&lt;&gt;$N$1,对接源_02物料!$B1150=""),0,IF(OR(N(对接源_02物料!$B1150)&lt;$N$2,N(对接源_02物料!$B1150)&gt;$N$3),0,1))</f>
        <v>0</v>
      </c>
      <c r="P2350" s="3">
        <f>IF(AND($K2350=1,AND(对接源_02物料!$X1150="公司筐",N(对接源_02物料!$T1150)&lt;&gt;0)),1,0)</f>
        <v>0</v>
      </c>
      <c r="Q2350" s="3">
        <f t="shared" si="624"/>
        <v>8</v>
      </c>
      <c r="R2350" s="3">
        <f>IF(AND($K2350=1,AND(对接源_02物料!$X1150="公司筐",N(对接源_02物料!$U1150)&lt;&gt;0)),1,0)</f>
        <v>0</v>
      </c>
      <c r="S2350" s="3">
        <f t="shared" si="625"/>
        <v>0</v>
      </c>
      <c r="T2350" s="3">
        <f>IF(AND($K2350=1,AND(对接源_02物料!$X1150="公司筐",N(对接源_02物料!$V1150)&lt;&gt;0)),1,0)</f>
        <v>0</v>
      </c>
      <c r="U2350" s="3">
        <f t="shared" si="626"/>
        <v>19</v>
      </c>
      <c r="V2350" s="3">
        <f>IF(AND($L2350=1,AND(对接源_02物料!$X1150="自备筐",N(对接源_02物料!$V1150)&lt;&gt;0)),1,0)</f>
        <v>0</v>
      </c>
      <c r="W2350" s="3">
        <f t="shared" si="627"/>
        <v>8</v>
      </c>
      <c r="X2350" s="3">
        <f>IF(AND($L2350=1,AND(对接源_02物料!$X1150="自备筐",N(对接源_02物料!$T1150)&lt;&gt;0)),1,0)</f>
        <v>0</v>
      </c>
      <c r="Y2350" s="3">
        <f t="shared" si="628"/>
        <v>0</v>
      </c>
      <c r="Z2350" s="3">
        <f>IF(AND($M2350=1,对接源_02物料!$D1150="原料入库"),1,0)</f>
        <v>0</v>
      </c>
      <c r="AA2350" s="3">
        <f t="shared" si="629"/>
        <v>24</v>
      </c>
      <c r="AB2350" s="3">
        <f>IF(AND($M2350=1,LEFT(对接源_02物料!$D1150,4)="原料出库"),1,0)</f>
        <v>0</v>
      </c>
      <c r="AC2350" s="3">
        <f t="shared" si="630"/>
        <v>0</v>
      </c>
      <c r="AD2350" s="3">
        <f>IF(AND($M2350=1,LEFT(对接源_02物料!$D1150,4)="成品出库"),1,0)</f>
        <v>0</v>
      </c>
      <c r="AE2350" s="3">
        <f t="shared" si="631"/>
        <v>0</v>
      </c>
      <c r="AF2350" s="3">
        <f>IF(AND($N2350=1,AND(LEFT(对接源_02物料!$D1150,4)="包装物料",N(对接源_02物料!$K1150)&lt;&gt;0)),1,0)</f>
        <v>0</v>
      </c>
      <c r="AG2350" s="3">
        <f t="shared" si="632"/>
        <v>5</v>
      </c>
      <c r="AH2350" s="3">
        <f>IF(AND($N2350=1,AND(对接源_02物料!$D1150="周转筐－销售出库",N(对接源_02物料!$K1150)&lt;&gt;0)),1,0)</f>
        <v>0</v>
      </c>
      <c r="AI2350" s="3">
        <f t="shared" si="633"/>
        <v>0</v>
      </c>
      <c r="AL2350" s="3">
        <v>0</v>
      </c>
      <c r="AM2350" s="3">
        <f t="shared" si="634"/>
        <v>1</v>
      </c>
      <c r="AN2350" s="3" t="str">
        <f t="shared" si="621"/>
        <v/>
      </c>
      <c r="AO2350" s="3">
        <v>0</v>
      </c>
      <c r="AP2350" s="3">
        <f t="shared" si="635"/>
        <v>8</v>
      </c>
      <c r="AR2350">
        <f t="shared" si="636"/>
        <v>0</v>
      </c>
      <c r="AS2350">
        <f t="shared" si="637"/>
        <v>5</v>
      </c>
    </row>
    <row r="2351" customHeight="1" spans="1:45">
      <c r="A2351" s="3" t="str">
        <f>IF(对接源_02物料!$C1151="","",对接源_02物料!$C1151)</f>
        <v/>
      </c>
      <c r="B2351" s="3">
        <f t="shared" si="622"/>
        <v>0</v>
      </c>
      <c r="C2351" s="3">
        <f t="shared" si="623"/>
        <v>21</v>
      </c>
      <c r="K2351" s="3">
        <f>IF(OR($K$1="",对接源_02物料!$C1151="",对接源_02物料!$C1151&lt;&gt;$K$1,对接源_02物料!$B1151=""),0,IF(OR(N(对接源_02物料!$B1151)&lt;$K$2,N(对接源_02物料!$B1151)&gt;$K$3),0,1))</f>
        <v>0</v>
      </c>
      <c r="L2351" s="3">
        <f>IF(OR($L$1="",对接源_02物料!$C1151="",对接源_02物料!$C1151&lt;&gt;$L$1,对接源_02物料!$B1151=""),0,IF(OR(N(对接源_02物料!$B1151)&lt;$L$2,N(对接源_02物料!$B1151)&gt;$L$3),0,1))</f>
        <v>0</v>
      </c>
      <c r="M2351" s="3">
        <f>IF(OR($M$1="",对接源_02物料!$C1151="",对接源_02物料!$C1151&lt;&gt;$M$1,对接源_02物料!$B1151=""),0,IF(OR(N(对接源_02物料!$B1151)&lt;$M$2,N(对接源_02物料!$B1151)&gt;$M$3),0,1))</f>
        <v>0</v>
      </c>
      <c r="N2351" s="3">
        <f>IF(OR($N$1="",对接源_02物料!$C1151="",对接源_02物料!$C1151&lt;&gt;$N$1,对接源_02物料!$B1151=""),0,IF(OR(N(对接源_02物料!$B1151)&lt;$N$2,N(对接源_02物料!$B1151)&gt;$N$3),0,1))</f>
        <v>0</v>
      </c>
      <c r="P2351" s="3">
        <f>IF(AND($K2351=1,AND(对接源_02物料!$X1151="公司筐",N(对接源_02物料!$T1151)&lt;&gt;0)),1,0)</f>
        <v>0</v>
      </c>
      <c r="Q2351" s="3">
        <f t="shared" si="624"/>
        <v>8</v>
      </c>
      <c r="R2351" s="3">
        <f>IF(AND($K2351=1,AND(对接源_02物料!$X1151="公司筐",N(对接源_02物料!$U1151)&lt;&gt;0)),1,0)</f>
        <v>0</v>
      </c>
      <c r="S2351" s="3">
        <f t="shared" si="625"/>
        <v>0</v>
      </c>
      <c r="T2351" s="3">
        <f>IF(AND($K2351=1,AND(对接源_02物料!$X1151="公司筐",N(对接源_02物料!$V1151)&lt;&gt;0)),1,0)</f>
        <v>0</v>
      </c>
      <c r="U2351" s="3">
        <f t="shared" si="626"/>
        <v>19</v>
      </c>
      <c r="V2351" s="3">
        <f>IF(AND($L2351=1,AND(对接源_02物料!$X1151="自备筐",N(对接源_02物料!$V1151)&lt;&gt;0)),1,0)</f>
        <v>0</v>
      </c>
      <c r="W2351" s="3">
        <f t="shared" si="627"/>
        <v>8</v>
      </c>
      <c r="X2351" s="3">
        <f>IF(AND($L2351=1,AND(对接源_02物料!$X1151="自备筐",N(对接源_02物料!$T1151)&lt;&gt;0)),1,0)</f>
        <v>0</v>
      </c>
      <c r="Y2351" s="3">
        <f t="shared" si="628"/>
        <v>0</v>
      </c>
      <c r="Z2351" s="3">
        <f>IF(AND($M2351=1,对接源_02物料!$D1151="原料入库"),1,0)</f>
        <v>0</v>
      </c>
      <c r="AA2351" s="3">
        <f t="shared" si="629"/>
        <v>24</v>
      </c>
      <c r="AB2351" s="3">
        <f>IF(AND($M2351=1,LEFT(对接源_02物料!$D1151,4)="原料出库"),1,0)</f>
        <v>0</v>
      </c>
      <c r="AC2351" s="3">
        <f t="shared" si="630"/>
        <v>0</v>
      </c>
      <c r="AD2351" s="3">
        <f>IF(AND($M2351=1,LEFT(对接源_02物料!$D1151,4)="成品出库"),1,0)</f>
        <v>0</v>
      </c>
      <c r="AE2351" s="3">
        <f t="shared" si="631"/>
        <v>0</v>
      </c>
      <c r="AF2351" s="3">
        <f>IF(AND($N2351=1,AND(LEFT(对接源_02物料!$D1151,4)="包装物料",N(对接源_02物料!$K1151)&lt;&gt;0)),1,0)</f>
        <v>0</v>
      </c>
      <c r="AG2351" s="3">
        <f t="shared" si="632"/>
        <v>5</v>
      </c>
      <c r="AH2351" s="3">
        <f>IF(AND($N2351=1,AND(对接源_02物料!$D1151="周转筐－销售出库",N(对接源_02物料!$K1151)&lt;&gt;0)),1,0)</f>
        <v>0</v>
      </c>
      <c r="AI2351" s="3">
        <f t="shared" si="633"/>
        <v>0</v>
      </c>
      <c r="AL2351" s="3">
        <v>0</v>
      </c>
      <c r="AM2351" s="3">
        <f t="shared" si="634"/>
        <v>1</v>
      </c>
      <c r="AN2351" s="3" t="str">
        <f t="shared" si="621"/>
        <v/>
      </c>
      <c r="AO2351" s="3">
        <v>0</v>
      </c>
      <c r="AP2351" s="3">
        <f t="shared" si="635"/>
        <v>8</v>
      </c>
      <c r="AR2351">
        <f t="shared" si="636"/>
        <v>0</v>
      </c>
      <c r="AS2351">
        <f t="shared" si="637"/>
        <v>5</v>
      </c>
    </row>
    <row r="2352" customHeight="1" spans="1:45">
      <c r="A2352" s="3" t="str">
        <f>IF(对接源_02物料!$C1152="","",对接源_02物料!$C1152)</f>
        <v/>
      </c>
      <c r="B2352" s="3">
        <f t="shared" si="622"/>
        <v>0</v>
      </c>
      <c r="C2352" s="3">
        <f t="shared" si="623"/>
        <v>21</v>
      </c>
      <c r="K2352" s="3">
        <f>IF(OR($K$1="",对接源_02物料!$C1152="",对接源_02物料!$C1152&lt;&gt;$K$1,对接源_02物料!$B1152=""),0,IF(OR(N(对接源_02物料!$B1152)&lt;$K$2,N(对接源_02物料!$B1152)&gt;$K$3),0,1))</f>
        <v>0</v>
      </c>
      <c r="L2352" s="3">
        <f>IF(OR($L$1="",对接源_02物料!$C1152="",对接源_02物料!$C1152&lt;&gt;$L$1,对接源_02物料!$B1152=""),0,IF(OR(N(对接源_02物料!$B1152)&lt;$L$2,N(对接源_02物料!$B1152)&gt;$L$3),0,1))</f>
        <v>0</v>
      </c>
      <c r="M2352" s="3">
        <f>IF(OR($M$1="",对接源_02物料!$C1152="",对接源_02物料!$C1152&lt;&gt;$M$1,对接源_02物料!$B1152=""),0,IF(OR(N(对接源_02物料!$B1152)&lt;$M$2,N(对接源_02物料!$B1152)&gt;$M$3),0,1))</f>
        <v>0</v>
      </c>
      <c r="N2352" s="3">
        <f>IF(OR($N$1="",对接源_02物料!$C1152="",对接源_02物料!$C1152&lt;&gt;$N$1,对接源_02物料!$B1152=""),0,IF(OR(N(对接源_02物料!$B1152)&lt;$N$2,N(对接源_02物料!$B1152)&gt;$N$3),0,1))</f>
        <v>0</v>
      </c>
      <c r="P2352" s="3">
        <f>IF(AND($K2352=1,AND(对接源_02物料!$X1152="公司筐",N(对接源_02物料!$T1152)&lt;&gt;0)),1,0)</f>
        <v>0</v>
      </c>
      <c r="Q2352" s="3">
        <f t="shared" si="624"/>
        <v>8</v>
      </c>
      <c r="R2352" s="3">
        <f>IF(AND($K2352=1,AND(对接源_02物料!$X1152="公司筐",N(对接源_02物料!$U1152)&lt;&gt;0)),1,0)</f>
        <v>0</v>
      </c>
      <c r="S2352" s="3">
        <f t="shared" si="625"/>
        <v>0</v>
      </c>
      <c r="T2352" s="3">
        <f>IF(AND($K2352=1,AND(对接源_02物料!$X1152="公司筐",N(对接源_02物料!$V1152)&lt;&gt;0)),1,0)</f>
        <v>0</v>
      </c>
      <c r="U2352" s="3">
        <f t="shared" si="626"/>
        <v>19</v>
      </c>
      <c r="V2352" s="3">
        <f>IF(AND($L2352=1,AND(对接源_02物料!$X1152="自备筐",N(对接源_02物料!$V1152)&lt;&gt;0)),1,0)</f>
        <v>0</v>
      </c>
      <c r="W2352" s="3">
        <f t="shared" si="627"/>
        <v>8</v>
      </c>
      <c r="X2352" s="3">
        <f>IF(AND($L2352=1,AND(对接源_02物料!$X1152="自备筐",N(对接源_02物料!$T1152)&lt;&gt;0)),1,0)</f>
        <v>0</v>
      </c>
      <c r="Y2352" s="3">
        <f t="shared" si="628"/>
        <v>0</v>
      </c>
      <c r="Z2352" s="3">
        <f>IF(AND($M2352=1,对接源_02物料!$D1152="原料入库"),1,0)</f>
        <v>0</v>
      </c>
      <c r="AA2352" s="3">
        <f t="shared" si="629"/>
        <v>24</v>
      </c>
      <c r="AB2352" s="3">
        <f>IF(AND($M2352=1,LEFT(对接源_02物料!$D1152,4)="原料出库"),1,0)</f>
        <v>0</v>
      </c>
      <c r="AC2352" s="3">
        <f t="shared" si="630"/>
        <v>0</v>
      </c>
      <c r="AD2352" s="3">
        <f>IF(AND($M2352=1,LEFT(对接源_02物料!$D1152,4)="成品出库"),1,0)</f>
        <v>0</v>
      </c>
      <c r="AE2352" s="3">
        <f t="shared" si="631"/>
        <v>0</v>
      </c>
      <c r="AF2352" s="3">
        <f>IF(AND($N2352=1,AND(LEFT(对接源_02物料!$D1152,4)="包装物料",N(对接源_02物料!$K1152)&lt;&gt;0)),1,0)</f>
        <v>0</v>
      </c>
      <c r="AG2352" s="3">
        <f t="shared" si="632"/>
        <v>5</v>
      </c>
      <c r="AH2352" s="3">
        <f>IF(AND($N2352=1,AND(对接源_02物料!$D1152="周转筐－销售出库",N(对接源_02物料!$K1152)&lt;&gt;0)),1,0)</f>
        <v>0</v>
      </c>
      <c r="AI2352" s="3">
        <f t="shared" si="633"/>
        <v>0</v>
      </c>
      <c r="AL2352" s="3">
        <v>0</v>
      </c>
      <c r="AM2352" s="3">
        <f t="shared" si="634"/>
        <v>1</v>
      </c>
      <c r="AN2352" s="3" t="str">
        <f t="shared" si="621"/>
        <v/>
      </c>
      <c r="AO2352" s="3">
        <v>0</v>
      </c>
      <c r="AP2352" s="3">
        <f t="shared" si="635"/>
        <v>8</v>
      </c>
      <c r="AR2352">
        <f t="shared" si="636"/>
        <v>0</v>
      </c>
      <c r="AS2352">
        <f t="shared" si="637"/>
        <v>5</v>
      </c>
    </row>
    <row r="2353" customHeight="1" spans="1:45">
      <c r="A2353" s="3" t="str">
        <f>IF(对接源_02物料!$C1153="","",对接源_02物料!$C1153)</f>
        <v/>
      </c>
      <c r="B2353" s="3">
        <f t="shared" si="622"/>
        <v>0</v>
      </c>
      <c r="C2353" s="3">
        <f t="shared" si="623"/>
        <v>21</v>
      </c>
      <c r="K2353" s="3">
        <f>IF(OR($K$1="",对接源_02物料!$C1153="",对接源_02物料!$C1153&lt;&gt;$K$1,对接源_02物料!$B1153=""),0,IF(OR(N(对接源_02物料!$B1153)&lt;$K$2,N(对接源_02物料!$B1153)&gt;$K$3),0,1))</f>
        <v>0</v>
      </c>
      <c r="L2353" s="3">
        <f>IF(OR($L$1="",对接源_02物料!$C1153="",对接源_02物料!$C1153&lt;&gt;$L$1,对接源_02物料!$B1153=""),0,IF(OR(N(对接源_02物料!$B1153)&lt;$L$2,N(对接源_02物料!$B1153)&gt;$L$3),0,1))</f>
        <v>0</v>
      </c>
      <c r="M2353" s="3">
        <f>IF(OR($M$1="",对接源_02物料!$C1153="",对接源_02物料!$C1153&lt;&gt;$M$1,对接源_02物料!$B1153=""),0,IF(OR(N(对接源_02物料!$B1153)&lt;$M$2,N(对接源_02物料!$B1153)&gt;$M$3),0,1))</f>
        <v>0</v>
      </c>
      <c r="N2353" s="3">
        <f>IF(OR($N$1="",对接源_02物料!$C1153="",对接源_02物料!$C1153&lt;&gt;$N$1,对接源_02物料!$B1153=""),0,IF(OR(N(对接源_02物料!$B1153)&lt;$N$2,N(对接源_02物料!$B1153)&gt;$N$3),0,1))</f>
        <v>0</v>
      </c>
      <c r="P2353" s="3">
        <f>IF(AND($K2353=1,AND(对接源_02物料!$X1153="公司筐",N(对接源_02物料!$T1153)&lt;&gt;0)),1,0)</f>
        <v>0</v>
      </c>
      <c r="Q2353" s="3">
        <f t="shared" si="624"/>
        <v>8</v>
      </c>
      <c r="R2353" s="3">
        <f>IF(AND($K2353=1,AND(对接源_02物料!$X1153="公司筐",N(对接源_02物料!$U1153)&lt;&gt;0)),1,0)</f>
        <v>0</v>
      </c>
      <c r="S2353" s="3">
        <f t="shared" si="625"/>
        <v>0</v>
      </c>
      <c r="T2353" s="3">
        <f>IF(AND($K2353=1,AND(对接源_02物料!$X1153="公司筐",N(对接源_02物料!$V1153)&lt;&gt;0)),1,0)</f>
        <v>0</v>
      </c>
      <c r="U2353" s="3">
        <f t="shared" si="626"/>
        <v>19</v>
      </c>
      <c r="V2353" s="3">
        <f>IF(AND($L2353=1,AND(对接源_02物料!$X1153="自备筐",N(对接源_02物料!$V1153)&lt;&gt;0)),1,0)</f>
        <v>0</v>
      </c>
      <c r="W2353" s="3">
        <f t="shared" si="627"/>
        <v>8</v>
      </c>
      <c r="X2353" s="3">
        <f>IF(AND($L2353=1,AND(对接源_02物料!$X1153="自备筐",N(对接源_02物料!$T1153)&lt;&gt;0)),1,0)</f>
        <v>0</v>
      </c>
      <c r="Y2353" s="3">
        <f t="shared" si="628"/>
        <v>0</v>
      </c>
      <c r="Z2353" s="3">
        <f>IF(AND($M2353=1,对接源_02物料!$D1153="原料入库"),1,0)</f>
        <v>0</v>
      </c>
      <c r="AA2353" s="3">
        <f t="shared" si="629"/>
        <v>24</v>
      </c>
      <c r="AB2353" s="3">
        <f>IF(AND($M2353=1,LEFT(对接源_02物料!$D1153,4)="原料出库"),1,0)</f>
        <v>0</v>
      </c>
      <c r="AC2353" s="3">
        <f t="shared" si="630"/>
        <v>0</v>
      </c>
      <c r="AD2353" s="3">
        <f>IF(AND($M2353=1,LEFT(对接源_02物料!$D1153,4)="成品出库"),1,0)</f>
        <v>0</v>
      </c>
      <c r="AE2353" s="3">
        <f t="shared" si="631"/>
        <v>0</v>
      </c>
      <c r="AF2353" s="3">
        <f>IF(AND($N2353=1,AND(LEFT(对接源_02物料!$D1153,4)="包装物料",N(对接源_02物料!$K1153)&lt;&gt;0)),1,0)</f>
        <v>0</v>
      </c>
      <c r="AG2353" s="3">
        <f t="shared" si="632"/>
        <v>5</v>
      </c>
      <c r="AH2353" s="3">
        <f>IF(AND($N2353=1,AND(对接源_02物料!$D1153="周转筐－销售出库",N(对接源_02物料!$K1153)&lt;&gt;0)),1,0)</f>
        <v>0</v>
      </c>
      <c r="AI2353" s="3">
        <f t="shared" si="633"/>
        <v>0</v>
      </c>
      <c r="AL2353" s="3">
        <v>0</v>
      </c>
      <c r="AM2353" s="3">
        <f t="shared" si="634"/>
        <v>1</v>
      </c>
      <c r="AN2353" s="3" t="str">
        <f t="shared" si="621"/>
        <v/>
      </c>
      <c r="AO2353" s="3">
        <v>0</v>
      </c>
      <c r="AP2353" s="3">
        <f t="shared" si="635"/>
        <v>8</v>
      </c>
      <c r="AR2353">
        <f t="shared" si="636"/>
        <v>0</v>
      </c>
      <c r="AS2353">
        <f t="shared" si="637"/>
        <v>5</v>
      </c>
    </row>
    <row r="2354" customHeight="1" spans="1:45">
      <c r="A2354" s="3" t="str">
        <f>IF(对接源_02物料!$C1154="","",对接源_02物料!$C1154)</f>
        <v/>
      </c>
      <c r="B2354" s="3">
        <f t="shared" si="622"/>
        <v>0</v>
      </c>
      <c r="C2354" s="3">
        <f t="shared" si="623"/>
        <v>21</v>
      </c>
      <c r="K2354" s="3">
        <f>IF(OR($K$1="",对接源_02物料!$C1154="",对接源_02物料!$C1154&lt;&gt;$K$1,对接源_02物料!$B1154=""),0,IF(OR(N(对接源_02物料!$B1154)&lt;$K$2,N(对接源_02物料!$B1154)&gt;$K$3),0,1))</f>
        <v>0</v>
      </c>
      <c r="L2354" s="3">
        <f>IF(OR($L$1="",对接源_02物料!$C1154="",对接源_02物料!$C1154&lt;&gt;$L$1,对接源_02物料!$B1154=""),0,IF(OR(N(对接源_02物料!$B1154)&lt;$L$2,N(对接源_02物料!$B1154)&gt;$L$3),0,1))</f>
        <v>0</v>
      </c>
      <c r="M2354" s="3">
        <f>IF(OR($M$1="",对接源_02物料!$C1154="",对接源_02物料!$C1154&lt;&gt;$M$1,对接源_02物料!$B1154=""),0,IF(OR(N(对接源_02物料!$B1154)&lt;$M$2,N(对接源_02物料!$B1154)&gt;$M$3),0,1))</f>
        <v>0</v>
      </c>
      <c r="N2354" s="3">
        <f>IF(OR($N$1="",对接源_02物料!$C1154="",对接源_02物料!$C1154&lt;&gt;$N$1,对接源_02物料!$B1154=""),0,IF(OR(N(对接源_02物料!$B1154)&lt;$N$2,N(对接源_02物料!$B1154)&gt;$N$3),0,1))</f>
        <v>0</v>
      </c>
      <c r="P2354" s="3">
        <f>IF(AND($K2354=1,AND(对接源_02物料!$X1154="公司筐",N(对接源_02物料!$T1154)&lt;&gt;0)),1,0)</f>
        <v>0</v>
      </c>
      <c r="Q2354" s="3">
        <f t="shared" si="624"/>
        <v>8</v>
      </c>
      <c r="R2354" s="3">
        <f>IF(AND($K2354=1,AND(对接源_02物料!$X1154="公司筐",N(对接源_02物料!$U1154)&lt;&gt;0)),1,0)</f>
        <v>0</v>
      </c>
      <c r="S2354" s="3">
        <f t="shared" si="625"/>
        <v>0</v>
      </c>
      <c r="T2354" s="3">
        <f>IF(AND($K2354=1,AND(对接源_02物料!$X1154="公司筐",N(对接源_02物料!$V1154)&lt;&gt;0)),1,0)</f>
        <v>0</v>
      </c>
      <c r="U2354" s="3">
        <f t="shared" si="626"/>
        <v>19</v>
      </c>
      <c r="V2354" s="3">
        <f>IF(AND($L2354=1,AND(对接源_02物料!$X1154="自备筐",N(对接源_02物料!$V1154)&lt;&gt;0)),1,0)</f>
        <v>0</v>
      </c>
      <c r="W2354" s="3">
        <f t="shared" si="627"/>
        <v>8</v>
      </c>
      <c r="X2354" s="3">
        <f>IF(AND($L2354=1,AND(对接源_02物料!$X1154="自备筐",N(对接源_02物料!$T1154)&lt;&gt;0)),1,0)</f>
        <v>0</v>
      </c>
      <c r="Y2354" s="3">
        <f t="shared" si="628"/>
        <v>0</v>
      </c>
      <c r="Z2354" s="3">
        <f>IF(AND($M2354=1,对接源_02物料!$D1154="原料入库"),1,0)</f>
        <v>0</v>
      </c>
      <c r="AA2354" s="3">
        <f t="shared" si="629"/>
        <v>24</v>
      </c>
      <c r="AB2354" s="3">
        <f>IF(AND($M2354=1,LEFT(对接源_02物料!$D1154,4)="原料出库"),1,0)</f>
        <v>0</v>
      </c>
      <c r="AC2354" s="3">
        <f t="shared" si="630"/>
        <v>0</v>
      </c>
      <c r="AD2354" s="3">
        <f>IF(AND($M2354=1,LEFT(对接源_02物料!$D1154,4)="成品出库"),1,0)</f>
        <v>0</v>
      </c>
      <c r="AE2354" s="3">
        <f t="shared" si="631"/>
        <v>0</v>
      </c>
      <c r="AF2354" s="3">
        <f>IF(AND($N2354=1,AND(LEFT(对接源_02物料!$D1154,4)="包装物料",N(对接源_02物料!$K1154)&lt;&gt;0)),1,0)</f>
        <v>0</v>
      </c>
      <c r="AG2354" s="3">
        <f t="shared" si="632"/>
        <v>5</v>
      </c>
      <c r="AH2354" s="3">
        <f>IF(AND($N2354=1,AND(对接源_02物料!$D1154="周转筐－销售出库",N(对接源_02物料!$K1154)&lt;&gt;0)),1,0)</f>
        <v>0</v>
      </c>
      <c r="AI2354" s="3">
        <f t="shared" si="633"/>
        <v>0</v>
      </c>
      <c r="AL2354" s="3">
        <v>0</v>
      </c>
      <c r="AM2354" s="3">
        <f t="shared" si="634"/>
        <v>1</v>
      </c>
      <c r="AN2354" s="3" t="str">
        <f t="shared" si="621"/>
        <v/>
      </c>
      <c r="AO2354" s="3">
        <v>0</v>
      </c>
      <c r="AP2354" s="3">
        <f t="shared" si="635"/>
        <v>8</v>
      </c>
      <c r="AR2354">
        <f t="shared" si="636"/>
        <v>0</v>
      </c>
      <c r="AS2354">
        <f t="shared" si="637"/>
        <v>5</v>
      </c>
    </row>
    <row r="2355" customHeight="1" spans="1:45">
      <c r="A2355" s="3" t="str">
        <f>IF(对接源_02物料!$C1155="","",对接源_02物料!$C1155)</f>
        <v/>
      </c>
      <c r="B2355" s="3">
        <f t="shared" si="622"/>
        <v>0</v>
      </c>
      <c r="C2355" s="3">
        <f t="shared" si="623"/>
        <v>21</v>
      </c>
      <c r="K2355" s="3">
        <f>IF(OR($K$1="",对接源_02物料!$C1155="",对接源_02物料!$C1155&lt;&gt;$K$1,对接源_02物料!$B1155=""),0,IF(OR(N(对接源_02物料!$B1155)&lt;$K$2,N(对接源_02物料!$B1155)&gt;$K$3),0,1))</f>
        <v>0</v>
      </c>
      <c r="L2355" s="3">
        <f>IF(OR($L$1="",对接源_02物料!$C1155="",对接源_02物料!$C1155&lt;&gt;$L$1,对接源_02物料!$B1155=""),0,IF(OR(N(对接源_02物料!$B1155)&lt;$L$2,N(对接源_02物料!$B1155)&gt;$L$3),0,1))</f>
        <v>0</v>
      </c>
      <c r="M2355" s="3">
        <f>IF(OR($M$1="",对接源_02物料!$C1155="",对接源_02物料!$C1155&lt;&gt;$M$1,对接源_02物料!$B1155=""),0,IF(OR(N(对接源_02物料!$B1155)&lt;$M$2,N(对接源_02物料!$B1155)&gt;$M$3),0,1))</f>
        <v>0</v>
      </c>
      <c r="N2355" s="3">
        <f>IF(OR($N$1="",对接源_02物料!$C1155="",对接源_02物料!$C1155&lt;&gt;$N$1,对接源_02物料!$B1155=""),0,IF(OR(N(对接源_02物料!$B1155)&lt;$N$2,N(对接源_02物料!$B1155)&gt;$N$3),0,1))</f>
        <v>0</v>
      </c>
      <c r="P2355" s="3">
        <f>IF(AND($K2355=1,AND(对接源_02物料!$X1155="公司筐",N(对接源_02物料!$T1155)&lt;&gt;0)),1,0)</f>
        <v>0</v>
      </c>
      <c r="Q2355" s="3">
        <f t="shared" si="624"/>
        <v>8</v>
      </c>
      <c r="R2355" s="3">
        <f>IF(AND($K2355=1,AND(对接源_02物料!$X1155="公司筐",N(对接源_02物料!$U1155)&lt;&gt;0)),1,0)</f>
        <v>0</v>
      </c>
      <c r="S2355" s="3">
        <f t="shared" si="625"/>
        <v>0</v>
      </c>
      <c r="T2355" s="3">
        <f>IF(AND($K2355=1,AND(对接源_02物料!$X1155="公司筐",N(对接源_02物料!$V1155)&lt;&gt;0)),1,0)</f>
        <v>0</v>
      </c>
      <c r="U2355" s="3">
        <f t="shared" si="626"/>
        <v>19</v>
      </c>
      <c r="V2355" s="3">
        <f>IF(AND($L2355=1,AND(对接源_02物料!$X1155="自备筐",N(对接源_02物料!$V1155)&lt;&gt;0)),1,0)</f>
        <v>0</v>
      </c>
      <c r="W2355" s="3">
        <f t="shared" si="627"/>
        <v>8</v>
      </c>
      <c r="X2355" s="3">
        <f>IF(AND($L2355=1,AND(对接源_02物料!$X1155="自备筐",N(对接源_02物料!$T1155)&lt;&gt;0)),1,0)</f>
        <v>0</v>
      </c>
      <c r="Y2355" s="3">
        <f t="shared" si="628"/>
        <v>0</v>
      </c>
      <c r="Z2355" s="3">
        <f>IF(AND($M2355=1,对接源_02物料!$D1155="原料入库"),1,0)</f>
        <v>0</v>
      </c>
      <c r="AA2355" s="3">
        <f t="shared" si="629"/>
        <v>24</v>
      </c>
      <c r="AB2355" s="3">
        <f>IF(AND($M2355=1,LEFT(对接源_02物料!$D1155,4)="原料出库"),1,0)</f>
        <v>0</v>
      </c>
      <c r="AC2355" s="3">
        <f t="shared" si="630"/>
        <v>0</v>
      </c>
      <c r="AD2355" s="3">
        <f>IF(AND($M2355=1,LEFT(对接源_02物料!$D1155,4)="成品出库"),1,0)</f>
        <v>0</v>
      </c>
      <c r="AE2355" s="3">
        <f t="shared" si="631"/>
        <v>0</v>
      </c>
      <c r="AF2355" s="3">
        <f>IF(AND($N2355=1,AND(LEFT(对接源_02物料!$D1155,4)="包装物料",N(对接源_02物料!$K1155)&lt;&gt;0)),1,0)</f>
        <v>0</v>
      </c>
      <c r="AG2355" s="3">
        <f t="shared" si="632"/>
        <v>5</v>
      </c>
      <c r="AH2355" s="3">
        <f>IF(AND($N2355=1,AND(对接源_02物料!$D1155="周转筐－销售出库",N(对接源_02物料!$K1155)&lt;&gt;0)),1,0)</f>
        <v>0</v>
      </c>
      <c r="AI2355" s="3">
        <f t="shared" si="633"/>
        <v>0</v>
      </c>
      <c r="AL2355" s="3">
        <v>0</v>
      </c>
      <c r="AM2355" s="3">
        <f t="shared" si="634"/>
        <v>1</v>
      </c>
      <c r="AN2355" s="3" t="str">
        <f t="shared" si="621"/>
        <v/>
      </c>
      <c r="AO2355" s="3">
        <v>0</v>
      </c>
      <c r="AP2355" s="3">
        <f t="shared" si="635"/>
        <v>8</v>
      </c>
      <c r="AR2355">
        <f t="shared" si="636"/>
        <v>0</v>
      </c>
      <c r="AS2355">
        <f t="shared" si="637"/>
        <v>5</v>
      </c>
    </row>
    <row r="2356" customHeight="1" spans="1:45">
      <c r="A2356" s="3" t="str">
        <f>IF(对接源_02物料!$C1156="","",对接源_02物料!$C1156)</f>
        <v/>
      </c>
      <c r="B2356" s="3">
        <f t="shared" si="622"/>
        <v>0</v>
      </c>
      <c r="C2356" s="3">
        <f t="shared" si="623"/>
        <v>21</v>
      </c>
      <c r="K2356" s="3">
        <f>IF(OR($K$1="",对接源_02物料!$C1156="",对接源_02物料!$C1156&lt;&gt;$K$1,对接源_02物料!$B1156=""),0,IF(OR(N(对接源_02物料!$B1156)&lt;$K$2,N(对接源_02物料!$B1156)&gt;$K$3),0,1))</f>
        <v>0</v>
      </c>
      <c r="L2356" s="3">
        <f>IF(OR($L$1="",对接源_02物料!$C1156="",对接源_02物料!$C1156&lt;&gt;$L$1,对接源_02物料!$B1156=""),0,IF(OR(N(对接源_02物料!$B1156)&lt;$L$2,N(对接源_02物料!$B1156)&gt;$L$3),0,1))</f>
        <v>0</v>
      </c>
      <c r="M2356" s="3">
        <f>IF(OR($M$1="",对接源_02物料!$C1156="",对接源_02物料!$C1156&lt;&gt;$M$1,对接源_02物料!$B1156=""),0,IF(OR(N(对接源_02物料!$B1156)&lt;$M$2,N(对接源_02物料!$B1156)&gt;$M$3),0,1))</f>
        <v>0</v>
      </c>
      <c r="N2356" s="3">
        <f>IF(OR($N$1="",对接源_02物料!$C1156="",对接源_02物料!$C1156&lt;&gt;$N$1,对接源_02物料!$B1156=""),0,IF(OR(N(对接源_02物料!$B1156)&lt;$N$2,N(对接源_02物料!$B1156)&gt;$N$3),0,1))</f>
        <v>0</v>
      </c>
      <c r="P2356" s="3">
        <f>IF(AND($K2356=1,AND(对接源_02物料!$X1156="公司筐",N(对接源_02物料!$T1156)&lt;&gt;0)),1,0)</f>
        <v>0</v>
      </c>
      <c r="Q2356" s="3">
        <f t="shared" si="624"/>
        <v>8</v>
      </c>
      <c r="R2356" s="3">
        <f>IF(AND($K2356=1,AND(对接源_02物料!$X1156="公司筐",N(对接源_02物料!$U1156)&lt;&gt;0)),1,0)</f>
        <v>0</v>
      </c>
      <c r="S2356" s="3">
        <f t="shared" si="625"/>
        <v>0</v>
      </c>
      <c r="T2356" s="3">
        <f>IF(AND($K2356=1,AND(对接源_02物料!$X1156="公司筐",N(对接源_02物料!$V1156)&lt;&gt;0)),1,0)</f>
        <v>0</v>
      </c>
      <c r="U2356" s="3">
        <f t="shared" si="626"/>
        <v>19</v>
      </c>
      <c r="V2356" s="3">
        <f>IF(AND($L2356=1,AND(对接源_02物料!$X1156="自备筐",N(对接源_02物料!$V1156)&lt;&gt;0)),1,0)</f>
        <v>0</v>
      </c>
      <c r="W2356" s="3">
        <f t="shared" si="627"/>
        <v>8</v>
      </c>
      <c r="X2356" s="3">
        <f>IF(AND($L2356=1,AND(对接源_02物料!$X1156="自备筐",N(对接源_02物料!$T1156)&lt;&gt;0)),1,0)</f>
        <v>0</v>
      </c>
      <c r="Y2356" s="3">
        <f t="shared" si="628"/>
        <v>0</v>
      </c>
      <c r="Z2356" s="3">
        <f>IF(AND($M2356=1,对接源_02物料!$D1156="原料入库"),1,0)</f>
        <v>0</v>
      </c>
      <c r="AA2356" s="3">
        <f t="shared" si="629"/>
        <v>24</v>
      </c>
      <c r="AB2356" s="3">
        <f>IF(AND($M2356=1,LEFT(对接源_02物料!$D1156,4)="原料出库"),1,0)</f>
        <v>0</v>
      </c>
      <c r="AC2356" s="3">
        <f t="shared" si="630"/>
        <v>0</v>
      </c>
      <c r="AD2356" s="3">
        <f>IF(AND($M2356=1,LEFT(对接源_02物料!$D1156,4)="成品出库"),1,0)</f>
        <v>0</v>
      </c>
      <c r="AE2356" s="3">
        <f t="shared" si="631"/>
        <v>0</v>
      </c>
      <c r="AF2356" s="3">
        <f>IF(AND($N2356=1,AND(LEFT(对接源_02物料!$D1156,4)="包装物料",N(对接源_02物料!$K1156)&lt;&gt;0)),1,0)</f>
        <v>0</v>
      </c>
      <c r="AG2356" s="3">
        <f t="shared" si="632"/>
        <v>5</v>
      </c>
      <c r="AH2356" s="3">
        <f>IF(AND($N2356=1,AND(对接源_02物料!$D1156="周转筐－销售出库",N(对接源_02物料!$K1156)&lt;&gt;0)),1,0)</f>
        <v>0</v>
      </c>
      <c r="AI2356" s="3">
        <f t="shared" si="633"/>
        <v>0</v>
      </c>
      <c r="AL2356" s="3">
        <v>0</v>
      </c>
      <c r="AM2356" s="3">
        <f t="shared" si="634"/>
        <v>1</v>
      </c>
      <c r="AN2356" s="3" t="str">
        <f t="shared" ref="AN2356:AN2403" si="638">""</f>
        <v/>
      </c>
      <c r="AO2356" s="3">
        <v>0</v>
      </c>
      <c r="AP2356" s="3">
        <f t="shared" si="635"/>
        <v>8</v>
      </c>
      <c r="AR2356">
        <f t="shared" si="636"/>
        <v>0</v>
      </c>
      <c r="AS2356">
        <f t="shared" si="637"/>
        <v>5</v>
      </c>
    </row>
    <row r="2357" customHeight="1" spans="1:45">
      <c r="A2357" s="3" t="str">
        <f>IF(对接源_02物料!$C1157="","",对接源_02物料!$C1157)</f>
        <v/>
      </c>
      <c r="B2357" s="3">
        <f t="shared" si="622"/>
        <v>0</v>
      </c>
      <c r="C2357" s="3">
        <f t="shared" si="623"/>
        <v>21</v>
      </c>
      <c r="K2357" s="3">
        <f>IF(OR($K$1="",对接源_02物料!$C1157="",对接源_02物料!$C1157&lt;&gt;$K$1,对接源_02物料!$B1157=""),0,IF(OR(N(对接源_02物料!$B1157)&lt;$K$2,N(对接源_02物料!$B1157)&gt;$K$3),0,1))</f>
        <v>0</v>
      </c>
      <c r="L2357" s="3">
        <f>IF(OR($L$1="",对接源_02物料!$C1157="",对接源_02物料!$C1157&lt;&gt;$L$1,对接源_02物料!$B1157=""),0,IF(OR(N(对接源_02物料!$B1157)&lt;$L$2,N(对接源_02物料!$B1157)&gt;$L$3),0,1))</f>
        <v>0</v>
      </c>
      <c r="M2357" s="3">
        <f>IF(OR($M$1="",对接源_02物料!$C1157="",对接源_02物料!$C1157&lt;&gt;$M$1,对接源_02物料!$B1157=""),0,IF(OR(N(对接源_02物料!$B1157)&lt;$M$2,N(对接源_02物料!$B1157)&gt;$M$3),0,1))</f>
        <v>0</v>
      </c>
      <c r="N2357" s="3">
        <f>IF(OR($N$1="",对接源_02物料!$C1157="",对接源_02物料!$C1157&lt;&gt;$N$1,对接源_02物料!$B1157=""),0,IF(OR(N(对接源_02物料!$B1157)&lt;$N$2,N(对接源_02物料!$B1157)&gt;$N$3),0,1))</f>
        <v>0</v>
      </c>
      <c r="P2357" s="3">
        <f>IF(AND($K2357=1,AND(对接源_02物料!$X1157="公司筐",N(对接源_02物料!$T1157)&lt;&gt;0)),1,0)</f>
        <v>0</v>
      </c>
      <c r="Q2357" s="3">
        <f t="shared" si="624"/>
        <v>8</v>
      </c>
      <c r="R2357" s="3">
        <f>IF(AND($K2357=1,AND(对接源_02物料!$X1157="公司筐",N(对接源_02物料!$U1157)&lt;&gt;0)),1,0)</f>
        <v>0</v>
      </c>
      <c r="S2357" s="3">
        <f t="shared" si="625"/>
        <v>0</v>
      </c>
      <c r="T2357" s="3">
        <f>IF(AND($K2357=1,AND(对接源_02物料!$X1157="公司筐",N(对接源_02物料!$V1157)&lt;&gt;0)),1,0)</f>
        <v>0</v>
      </c>
      <c r="U2357" s="3">
        <f t="shared" si="626"/>
        <v>19</v>
      </c>
      <c r="V2357" s="3">
        <f>IF(AND($L2357=1,AND(对接源_02物料!$X1157="自备筐",N(对接源_02物料!$V1157)&lt;&gt;0)),1,0)</f>
        <v>0</v>
      </c>
      <c r="W2357" s="3">
        <f t="shared" si="627"/>
        <v>8</v>
      </c>
      <c r="X2357" s="3">
        <f>IF(AND($L2357=1,AND(对接源_02物料!$X1157="自备筐",N(对接源_02物料!$T1157)&lt;&gt;0)),1,0)</f>
        <v>0</v>
      </c>
      <c r="Y2357" s="3">
        <f t="shared" si="628"/>
        <v>0</v>
      </c>
      <c r="Z2357" s="3">
        <f>IF(AND($M2357=1,对接源_02物料!$D1157="原料入库"),1,0)</f>
        <v>0</v>
      </c>
      <c r="AA2357" s="3">
        <f t="shared" si="629"/>
        <v>24</v>
      </c>
      <c r="AB2357" s="3">
        <f>IF(AND($M2357=1,LEFT(对接源_02物料!$D1157,4)="原料出库"),1,0)</f>
        <v>0</v>
      </c>
      <c r="AC2357" s="3">
        <f t="shared" si="630"/>
        <v>0</v>
      </c>
      <c r="AD2357" s="3">
        <f>IF(AND($M2357=1,LEFT(对接源_02物料!$D1157,4)="成品出库"),1,0)</f>
        <v>0</v>
      </c>
      <c r="AE2357" s="3">
        <f t="shared" si="631"/>
        <v>0</v>
      </c>
      <c r="AF2357" s="3">
        <f>IF(AND($N2357=1,AND(LEFT(对接源_02物料!$D1157,4)="包装物料",N(对接源_02物料!$K1157)&lt;&gt;0)),1,0)</f>
        <v>0</v>
      </c>
      <c r="AG2357" s="3">
        <f t="shared" si="632"/>
        <v>5</v>
      </c>
      <c r="AH2357" s="3">
        <f>IF(AND($N2357=1,AND(对接源_02物料!$D1157="周转筐－销售出库",N(对接源_02物料!$K1157)&lt;&gt;0)),1,0)</f>
        <v>0</v>
      </c>
      <c r="AI2357" s="3">
        <f t="shared" si="633"/>
        <v>0</v>
      </c>
      <c r="AL2357" s="3">
        <v>0</v>
      </c>
      <c r="AM2357" s="3">
        <f t="shared" si="634"/>
        <v>1</v>
      </c>
      <c r="AN2357" s="3" t="str">
        <f t="shared" si="638"/>
        <v/>
      </c>
      <c r="AO2357" s="3">
        <v>0</v>
      </c>
      <c r="AP2357" s="3">
        <f t="shared" si="635"/>
        <v>8</v>
      </c>
      <c r="AR2357">
        <f t="shared" si="636"/>
        <v>0</v>
      </c>
      <c r="AS2357">
        <f t="shared" si="637"/>
        <v>5</v>
      </c>
    </row>
    <row r="2358" customHeight="1" spans="1:45">
      <c r="A2358" s="3" t="str">
        <f>IF(对接源_02物料!$C1158="","",对接源_02物料!$C1158)</f>
        <v/>
      </c>
      <c r="B2358" s="3">
        <f t="shared" si="622"/>
        <v>0</v>
      </c>
      <c r="C2358" s="3">
        <f t="shared" si="623"/>
        <v>21</v>
      </c>
      <c r="K2358" s="3">
        <f>IF(OR($K$1="",对接源_02物料!$C1158="",对接源_02物料!$C1158&lt;&gt;$K$1,对接源_02物料!$B1158=""),0,IF(OR(N(对接源_02物料!$B1158)&lt;$K$2,N(对接源_02物料!$B1158)&gt;$K$3),0,1))</f>
        <v>0</v>
      </c>
      <c r="L2358" s="3">
        <f>IF(OR($L$1="",对接源_02物料!$C1158="",对接源_02物料!$C1158&lt;&gt;$L$1,对接源_02物料!$B1158=""),0,IF(OR(N(对接源_02物料!$B1158)&lt;$L$2,N(对接源_02物料!$B1158)&gt;$L$3),0,1))</f>
        <v>0</v>
      </c>
      <c r="M2358" s="3">
        <f>IF(OR($M$1="",对接源_02物料!$C1158="",对接源_02物料!$C1158&lt;&gt;$M$1,对接源_02物料!$B1158=""),0,IF(OR(N(对接源_02物料!$B1158)&lt;$M$2,N(对接源_02物料!$B1158)&gt;$M$3),0,1))</f>
        <v>0</v>
      </c>
      <c r="N2358" s="3">
        <f>IF(OR($N$1="",对接源_02物料!$C1158="",对接源_02物料!$C1158&lt;&gt;$N$1,对接源_02物料!$B1158=""),0,IF(OR(N(对接源_02物料!$B1158)&lt;$N$2,N(对接源_02物料!$B1158)&gt;$N$3),0,1))</f>
        <v>0</v>
      </c>
      <c r="P2358" s="3">
        <f>IF(AND($K2358=1,AND(对接源_02物料!$X1158="公司筐",N(对接源_02物料!$T1158)&lt;&gt;0)),1,0)</f>
        <v>0</v>
      </c>
      <c r="Q2358" s="3">
        <f t="shared" si="624"/>
        <v>8</v>
      </c>
      <c r="R2358" s="3">
        <f>IF(AND($K2358=1,AND(对接源_02物料!$X1158="公司筐",N(对接源_02物料!$U1158)&lt;&gt;0)),1,0)</f>
        <v>0</v>
      </c>
      <c r="S2358" s="3">
        <f t="shared" si="625"/>
        <v>0</v>
      </c>
      <c r="T2358" s="3">
        <f>IF(AND($K2358=1,AND(对接源_02物料!$X1158="公司筐",N(对接源_02物料!$V1158)&lt;&gt;0)),1,0)</f>
        <v>0</v>
      </c>
      <c r="U2358" s="3">
        <f t="shared" si="626"/>
        <v>19</v>
      </c>
      <c r="V2358" s="3">
        <f>IF(AND($L2358=1,AND(对接源_02物料!$X1158="自备筐",N(对接源_02物料!$V1158)&lt;&gt;0)),1,0)</f>
        <v>0</v>
      </c>
      <c r="W2358" s="3">
        <f t="shared" si="627"/>
        <v>8</v>
      </c>
      <c r="X2358" s="3">
        <f>IF(AND($L2358=1,AND(对接源_02物料!$X1158="自备筐",N(对接源_02物料!$T1158)&lt;&gt;0)),1,0)</f>
        <v>0</v>
      </c>
      <c r="Y2358" s="3">
        <f t="shared" si="628"/>
        <v>0</v>
      </c>
      <c r="Z2358" s="3">
        <f>IF(AND($M2358=1,对接源_02物料!$D1158="原料入库"),1,0)</f>
        <v>0</v>
      </c>
      <c r="AA2358" s="3">
        <f t="shared" si="629"/>
        <v>24</v>
      </c>
      <c r="AB2358" s="3">
        <f>IF(AND($M2358=1,LEFT(对接源_02物料!$D1158,4)="原料出库"),1,0)</f>
        <v>0</v>
      </c>
      <c r="AC2358" s="3">
        <f t="shared" si="630"/>
        <v>0</v>
      </c>
      <c r="AD2358" s="3">
        <f>IF(AND($M2358=1,LEFT(对接源_02物料!$D1158,4)="成品出库"),1,0)</f>
        <v>0</v>
      </c>
      <c r="AE2358" s="3">
        <f t="shared" si="631"/>
        <v>0</v>
      </c>
      <c r="AF2358" s="3">
        <f>IF(AND($N2358=1,AND(LEFT(对接源_02物料!$D1158,4)="包装物料",N(对接源_02物料!$K1158)&lt;&gt;0)),1,0)</f>
        <v>0</v>
      </c>
      <c r="AG2358" s="3">
        <f t="shared" si="632"/>
        <v>5</v>
      </c>
      <c r="AH2358" s="3">
        <f>IF(AND($N2358=1,AND(对接源_02物料!$D1158="周转筐－销售出库",N(对接源_02物料!$K1158)&lt;&gt;0)),1,0)</f>
        <v>0</v>
      </c>
      <c r="AI2358" s="3">
        <f t="shared" si="633"/>
        <v>0</v>
      </c>
      <c r="AL2358" s="3">
        <v>0</v>
      </c>
      <c r="AM2358" s="3">
        <f t="shared" si="634"/>
        <v>1</v>
      </c>
      <c r="AN2358" s="3" t="str">
        <f t="shared" si="638"/>
        <v/>
      </c>
      <c r="AO2358" s="3">
        <v>0</v>
      </c>
      <c r="AP2358" s="3">
        <f t="shared" si="635"/>
        <v>8</v>
      </c>
      <c r="AR2358">
        <f t="shared" si="636"/>
        <v>0</v>
      </c>
      <c r="AS2358">
        <f t="shared" si="637"/>
        <v>5</v>
      </c>
    </row>
    <row r="2359" customHeight="1" spans="1:45">
      <c r="A2359" s="3" t="str">
        <f>IF(对接源_02物料!$C1159="","",对接源_02物料!$C1159)</f>
        <v/>
      </c>
      <c r="B2359" s="3">
        <f t="shared" si="622"/>
        <v>0</v>
      </c>
      <c r="C2359" s="3">
        <f t="shared" si="623"/>
        <v>21</v>
      </c>
      <c r="K2359" s="3">
        <f>IF(OR($K$1="",对接源_02物料!$C1159="",对接源_02物料!$C1159&lt;&gt;$K$1,对接源_02物料!$B1159=""),0,IF(OR(N(对接源_02物料!$B1159)&lt;$K$2,N(对接源_02物料!$B1159)&gt;$K$3),0,1))</f>
        <v>0</v>
      </c>
      <c r="L2359" s="3">
        <f>IF(OR($L$1="",对接源_02物料!$C1159="",对接源_02物料!$C1159&lt;&gt;$L$1,对接源_02物料!$B1159=""),0,IF(OR(N(对接源_02物料!$B1159)&lt;$L$2,N(对接源_02物料!$B1159)&gt;$L$3),0,1))</f>
        <v>0</v>
      </c>
      <c r="M2359" s="3">
        <f>IF(OR($M$1="",对接源_02物料!$C1159="",对接源_02物料!$C1159&lt;&gt;$M$1,对接源_02物料!$B1159=""),0,IF(OR(N(对接源_02物料!$B1159)&lt;$M$2,N(对接源_02物料!$B1159)&gt;$M$3),0,1))</f>
        <v>0</v>
      </c>
      <c r="N2359" s="3">
        <f>IF(OR($N$1="",对接源_02物料!$C1159="",对接源_02物料!$C1159&lt;&gt;$N$1,对接源_02物料!$B1159=""),0,IF(OR(N(对接源_02物料!$B1159)&lt;$N$2,N(对接源_02物料!$B1159)&gt;$N$3),0,1))</f>
        <v>0</v>
      </c>
      <c r="P2359" s="3">
        <f>IF(AND($K2359=1,AND(对接源_02物料!$X1159="公司筐",N(对接源_02物料!$T1159)&lt;&gt;0)),1,0)</f>
        <v>0</v>
      </c>
      <c r="Q2359" s="3">
        <f t="shared" si="624"/>
        <v>8</v>
      </c>
      <c r="R2359" s="3">
        <f>IF(AND($K2359=1,AND(对接源_02物料!$X1159="公司筐",N(对接源_02物料!$U1159)&lt;&gt;0)),1,0)</f>
        <v>0</v>
      </c>
      <c r="S2359" s="3">
        <f t="shared" si="625"/>
        <v>0</v>
      </c>
      <c r="T2359" s="3">
        <f>IF(AND($K2359=1,AND(对接源_02物料!$X1159="公司筐",N(对接源_02物料!$V1159)&lt;&gt;0)),1,0)</f>
        <v>0</v>
      </c>
      <c r="U2359" s="3">
        <f t="shared" si="626"/>
        <v>19</v>
      </c>
      <c r="V2359" s="3">
        <f>IF(AND($L2359=1,AND(对接源_02物料!$X1159="自备筐",N(对接源_02物料!$V1159)&lt;&gt;0)),1,0)</f>
        <v>0</v>
      </c>
      <c r="W2359" s="3">
        <f t="shared" si="627"/>
        <v>8</v>
      </c>
      <c r="X2359" s="3">
        <f>IF(AND($L2359=1,AND(对接源_02物料!$X1159="自备筐",N(对接源_02物料!$T1159)&lt;&gt;0)),1,0)</f>
        <v>0</v>
      </c>
      <c r="Y2359" s="3">
        <f t="shared" si="628"/>
        <v>0</v>
      </c>
      <c r="Z2359" s="3">
        <f>IF(AND($M2359=1,对接源_02物料!$D1159="原料入库"),1,0)</f>
        <v>0</v>
      </c>
      <c r="AA2359" s="3">
        <f t="shared" si="629"/>
        <v>24</v>
      </c>
      <c r="AB2359" s="3">
        <f>IF(AND($M2359=1,LEFT(对接源_02物料!$D1159,4)="原料出库"),1,0)</f>
        <v>0</v>
      </c>
      <c r="AC2359" s="3">
        <f t="shared" si="630"/>
        <v>0</v>
      </c>
      <c r="AD2359" s="3">
        <f>IF(AND($M2359=1,LEFT(对接源_02物料!$D1159,4)="成品出库"),1,0)</f>
        <v>0</v>
      </c>
      <c r="AE2359" s="3">
        <f t="shared" si="631"/>
        <v>0</v>
      </c>
      <c r="AF2359" s="3">
        <f>IF(AND($N2359=1,AND(LEFT(对接源_02物料!$D1159,4)="包装物料",N(对接源_02物料!$K1159)&lt;&gt;0)),1,0)</f>
        <v>0</v>
      </c>
      <c r="AG2359" s="3">
        <f t="shared" si="632"/>
        <v>5</v>
      </c>
      <c r="AH2359" s="3">
        <f>IF(AND($N2359=1,AND(对接源_02物料!$D1159="周转筐－销售出库",N(对接源_02物料!$K1159)&lt;&gt;0)),1,0)</f>
        <v>0</v>
      </c>
      <c r="AI2359" s="3">
        <f t="shared" si="633"/>
        <v>0</v>
      </c>
      <c r="AL2359" s="3">
        <v>0</v>
      </c>
      <c r="AM2359" s="3">
        <f t="shared" si="634"/>
        <v>1</v>
      </c>
      <c r="AN2359" s="3" t="str">
        <f t="shared" si="638"/>
        <v/>
      </c>
      <c r="AO2359" s="3">
        <v>0</v>
      </c>
      <c r="AP2359" s="3">
        <f t="shared" si="635"/>
        <v>8</v>
      </c>
      <c r="AR2359">
        <f t="shared" si="636"/>
        <v>0</v>
      </c>
      <c r="AS2359">
        <f t="shared" si="637"/>
        <v>5</v>
      </c>
    </row>
    <row r="2360" customHeight="1" spans="1:45">
      <c r="A2360" s="3" t="str">
        <f>IF(对接源_02物料!$C1160="","",对接源_02物料!$C1160)</f>
        <v/>
      </c>
      <c r="B2360" s="3">
        <f t="shared" si="622"/>
        <v>0</v>
      </c>
      <c r="C2360" s="3">
        <f t="shared" si="623"/>
        <v>21</v>
      </c>
      <c r="K2360" s="3">
        <f>IF(OR($K$1="",对接源_02物料!$C1160="",对接源_02物料!$C1160&lt;&gt;$K$1,对接源_02物料!$B1160=""),0,IF(OR(N(对接源_02物料!$B1160)&lt;$K$2,N(对接源_02物料!$B1160)&gt;$K$3),0,1))</f>
        <v>0</v>
      </c>
      <c r="L2360" s="3">
        <f>IF(OR($L$1="",对接源_02物料!$C1160="",对接源_02物料!$C1160&lt;&gt;$L$1,对接源_02物料!$B1160=""),0,IF(OR(N(对接源_02物料!$B1160)&lt;$L$2,N(对接源_02物料!$B1160)&gt;$L$3),0,1))</f>
        <v>0</v>
      </c>
      <c r="M2360" s="3">
        <f>IF(OR($M$1="",对接源_02物料!$C1160="",对接源_02物料!$C1160&lt;&gt;$M$1,对接源_02物料!$B1160=""),0,IF(OR(N(对接源_02物料!$B1160)&lt;$M$2,N(对接源_02物料!$B1160)&gt;$M$3),0,1))</f>
        <v>0</v>
      </c>
      <c r="N2360" s="3">
        <f>IF(OR($N$1="",对接源_02物料!$C1160="",对接源_02物料!$C1160&lt;&gt;$N$1,对接源_02物料!$B1160=""),0,IF(OR(N(对接源_02物料!$B1160)&lt;$N$2,N(对接源_02物料!$B1160)&gt;$N$3),0,1))</f>
        <v>0</v>
      </c>
      <c r="P2360" s="3">
        <f>IF(AND($K2360=1,AND(对接源_02物料!$X1160="公司筐",N(对接源_02物料!$T1160)&lt;&gt;0)),1,0)</f>
        <v>0</v>
      </c>
      <c r="Q2360" s="3">
        <f t="shared" si="624"/>
        <v>8</v>
      </c>
      <c r="R2360" s="3">
        <f>IF(AND($K2360=1,AND(对接源_02物料!$X1160="公司筐",N(对接源_02物料!$U1160)&lt;&gt;0)),1,0)</f>
        <v>0</v>
      </c>
      <c r="S2360" s="3">
        <f t="shared" si="625"/>
        <v>0</v>
      </c>
      <c r="T2360" s="3">
        <f>IF(AND($K2360=1,AND(对接源_02物料!$X1160="公司筐",N(对接源_02物料!$V1160)&lt;&gt;0)),1,0)</f>
        <v>0</v>
      </c>
      <c r="U2360" s="3">
        <f t="shared" si="626"/>
        <v>19</v>
      </c>
      <c r="V2360" s="3">
        <f>IF(AND($L2360=1,AND(对接源_02物料!$X1160="自备筐",N(对接源_02物料!$V1160)&lt;&gt;0)),1,0)</f>
        <v>0</v>
      </c>
      <c r="W2360" s="3">
        <f t="shared" si="627"/>
        <v>8</v>
      </c>
      <c r="X2360" s="3">
        <f>IF(AND($L2360=1,AND(对接源_02物料!$X1160="自备筐",N(对接源_02物料!$T1160)&lt;&gt;0)),1,0)</f>
        <v>0</v>
      </c>
      <c r="Y2360" s="3">
        <f t="shared" si="628"/>
        <v>0</v>
      </c>
      <c r="Z2360" s="3">
        <f>IF(AND($M2360=1,对接源_02物料!$D1160="原料入库"),1,0)</f>
        <v>0</v>
      </c>
      <c r="AA2360" s="3">
        <f t="shared" si="629"/>
        <v>24</v>
      </c>
      <c r="AB2360" s="3">
        <f>IF(AND($M2360=1,LEFT(对接源_02物料!$D1160,4)="原料出库"),1,0)</f>
        <v>0</v>
      </c>
      <c r="AC2360" s="3">
        <f t="shared" si="630"/>
        <v>0</v>
      </c>
      <c r="AD2360" s="3">
        <f>IF(AND($M2360=1,LEFT(对接源_02物料!$D1160,4)="成品出库"),1,0)</f>
        <v>0</v>
      </c>
      <c r="AE2360" s="3">
        <f t="shared" si="631"/>
        <v>0</v>
      </c>
      <c r="AF2360" s="3">
        <f>IF(AND($N2360=1,AND(LEFT(对接源_02物料!$D1160,4)="包装物料",N(对接源_02物料!$K1160)&lt;&gt;0)),1,0)</f>
        <v>0</v>
      </c>
      <c r="AG2360" s="3">
        <f t="shared" si="632"/>
        <v>5</v>
      </c>
      <c r="AH2360" s="3">
        <f>IF(AND($N2360=1,AND(对接源_02物料!$D1160="周转筐－销售出库",N(对接源_02物料!$K1160)&lt;&gt;0)),1,0)</f>
        <v>0</v>
      </c>
      <c r="AI2360" s="3">
        <f t="shared" si="633"/>
        <v>0</v>
      </c>
      <c r="AL2360" s="3">
        <v>0</v>
      </c>
      <c r="AM2360" s="3">
        <f t="shared" si="634"/>
        <v>1</v>
      </c>
      <c r="AN2360" s="3" t="str">
        <f t="shared" si="638"/>
        <v/>
      </c>
      <c r="AO2360" s="3">
        <v>0</v>
      </c>
      <c r="AP2360" s="3">
        <f t="shared" si="635"/>
        <v>8</v>
      </c>
      <c r="AR2360">
        <f t="shared" si="636"/>
        <v>0</v>
      </c>
      <c r="AS2360">
        <f t="shared" si="637"/>
        <v>5</v>
      </c>
    </row>
    <row r="2361" customHeight="1" spans="1:45">
      <c r="A2361" s="3" t="str">
        <f>IF(对接源_02物料!$C1161="","",对接源_02物料!$C1161)</f>
        <v/>
      </c>
      <c r="B2361" s="3">
        <f t="shared" si="622"/>
        <v>0</v>
      </c>
      <c r="C2361" s="3">
        <f t="shared" si="623"/>
        <v>21</v>
      </c>
      <c r="K2361" s="3">
        <f>IF(OR($K$1="",对接源_02物料!$C1161="",对接源_02物料!$C1161&lt;&gt;$K$1,对接源_02物料!$B1161=""),0,IF(OR(N(对接源_02物料!$B1161)&lt;$K$2,N(对接源_02物料!$B1161)&gt;$K$3),0,1))</f>
        <v>0</v>
      </c>
      <c r="L2361" s="3">
        <f>IF(OR($L$1="",对接源_02物料!$C1161="",对接源_02物料!$C1161&lt;&gt;$L$1,对接源_02物料!$B1161=""),0,IF(OR(N(对接源_02物料!$B1161)&lt;$L$2,N(对接源_02物料!$B1161)&gt;$L$3),0,1))</f>
        <v>0</v>
      </c>
      <c r="M2361" s="3">
        <f>IF(OR($M$1="",对接源_02物料!$C1161="",对接源_02物料!$C1161&lt;&gt;$M$1,对接源_02物料!$B1161=""),0,IF(OR(N(对接源_02物料!$B1161)&lt;$M$2,N(对接源_02物料!$B1161)&gt;$M$3),0,1))</f>
        <v>0</v>
      </c>
      <c r="N2361" s="3">
        <f>IF(OR($N$1="",对接源_02物料!$C1161="",对接源_02物料!$C1161&lt;&gt;$N$1,对接源_02物料!$B1161=""),0,IF(OR(N(对接源_02物料!$B1161)&lt;$N$2,N(对接源_02物料!$B1161)&gt;$N$3),0,1))</f>
        <v>0</v>
      </c>
      <c r="P2361" s="3">
        <f>IF(AND($K2361=1,AND(对接源_02物料!$X1161="公司筐",N(对接源_02物料!$T1161)&lt;&gt;0)),1,0)</f>
        <v>0</v>
      </c>
      <c r="Q2361" s="3">
        <f t="shared" si="624"/>
        <v>8</v>
      </c>
      <c r="R2361" s="3">
        <f>IF(AND($K2361=1,AND(对接源_02物料!$X1161="公司筐",N(对接源_02物料!$U1161)&lt;&gt;0)),1,0)</f>
        <v>0</v>
      </c>
      <c r="S2361" s="3">
        <f t="shared" si="625"/>
        <v>0</v>
      </c>
      <c r="T2361" s="3">
        <f>IF(AND($K2361=1,AND(对接源_02物料!$X1161="公司筐",N(对接源_02物料!$V1161)&lt;&gt;0)),1,0)</f>
        <v>0</v>
      </c>
      <c r="U2361" s="3">
        <f t="shared" si="626"/>
        <v>19</v>
      </c>
      <c r="V2361" s="3">
        <f>IF(AND($L2361=1,AND(对接源_02物料!$X1161="自备筐",N(对接源_02物料!$V1161)&lt;&gt;0)),1,0)</f>
        <v>0</v>
      </c>
      <c r="W2361" s="3">
        <f t="shared" si="627"/>
        <v>8</v>
      </c>
      <c r="X2361" s="3">
        <f>IF(AND($L2361=1,AND(对接源_02物料!$X1161="自备筐",N(对接源_02物料!$T1161)&lt;&gt;0)),1,0)</f>
        <v>0</v>
      </c>
      <c r="Y2361" s="3">
        <f t="shared" si="628"/>
        <v>0</v>
      </c>
      <c r="Z2361" s="3">
        <f>IF(AND($M2361=1,对接源_02物料!$D1161="原料入库"),1,0)</f>
        <v>0</v>
      </c>
      <c r="AA2361" s="3">
        <f t="shared" si="629"/>
        <v>24</v>
      </c>
      <c r="AB2361" s="3">
        <f>IF(AND($M2361=1,LEFT(对接源_02物料!$D1161,4)="原料出库"),1,0)</f>
        <v>0</v>
      </c>
      <c r="AC2361" s="3">
        <f t="shared" si="630"/>
        <v>0</v>
      </c>
      <c r="AD2361" s="3">
        <f>IF(AND($M2361=1,LEFT(对接源_02物料!$D1161,4)="成品出库"),1,0)</f>
        <v>0</v>
      </c>
      <c r="AE2361" s="3">
        <f t="shared" si="631"/>
        <v>0</v>
      </c>
      <c r="AF2361" s="3">
        <f>IF(AND($N2361=1,AND(LEFT(对接源_02物料!$D1161,4)="包装物料",N(对接源_02物料!$K1161)&lt;&gt;0)),1,0)</f>
        <v>0</v>
      </c>
      <c r="AG2361" s="3">
        <f t="shared" si="632"/>
        <v>5</v>
      </c>
      <c r="AH2361" s="3">
        <f>IF(AND($N2361=1,AND(对接源_02物料!$D1161="周转筐－销售出库",N(对接源_02物料!$K1161)&lt;&gt;0)),1,0)</f>
        <v>0</v>
      </c>
      <c r="AI2361" s="3">
        <f t="shared" si="633"/>
        <v>0</v>
      </c>
      <c r="AL2361" s="3">
        <v>0</v>
      </c>
      <c r="AM2361" s="3">
        <f t="shared" si="634"/>
        <v>1</v>
      </c>
      <c r="AN2361" s="3" t="str">
        <f t="shared" si="638"/>
        <v/>
      </c>
      <c r="AO2361" s="3">
        <v>0</v>
      </c>
      <c r="AP2361" s="3">
        <f t="shared" si="635"/>
        <v>8</v>
      </c>
      <c r="AR2361">
        <f t="shared" si="636"/>
        <v>0</v>
      </c>
      <c r="AS2361">
        <f t="shared" si="637"/>
        <v>5</v>
      </c>
    </row>
    <row r="2362" customHeight="1" spans="1:45">
      <c r="A2362" s="3" t="str">
        <f>IF(对接源_02物料!$C1162="","",对接源_02物料!$C1162)</f>
        <v/>
      </c>
      <c r="B2362" s="3">
        <f t="shared" si="622"/>
        <v>0</v>
      </c>
      <c r="C2362" s="3">
        <f t="shared" si="623"/>
        <v>21</v>
      </c>
      <c r="K2362" s="3">
        <f>IF(OR($K$1="",对接源_02物料!$C1162="",对接源_02物料!$C1162&lt;&gt;$K$1,对接源_02物料!$B1162=""),0,IF(OR(N(对接源_02物料!$B1162)&lt;$K$2,N(对接源_02物料!$B1162)&gt;$K$3),0,1))</f>
        <v>0</v>
      </c>
      <c r="L2362" s="3">
        <f>IF(OR($L$1="",对接源_02物料!$C1162="",对接源_02物料!$C1162&lt;&gt;$L$1,对接源_02物料!$B1162=""),0,IF(OR(N(对接源_02物料!$B1162)&lt;$L$2,N(对接源_02物料!$B1162)&gt;$L$3),0,1))</f>
        <v>0</v>
      </c>
      <c r="M2362" s="3">
        <f>IF(OR($M$1="",对接源_02物料!$C1162="",对接源_02物料!$C1162&lt;&gt;$M$1,对接源_02物料!$B1162=""),0,IF(OR(N(对接源_02物料!$B1162)&lt;$M$2,N(对接源_02物料!$B1162)&gt;$M$3),0,1))</f>
        <v>0</v>
      </c>
      <c r="N2362" s="3">
        <f>IF(OR($N$1="",对接源_02物料!$C1162="",对接源_02物料!$C1162&lt;&gt;$N$1,对接源_02物料!$B1162=""),0,IF(OR(N(对接源_02物料!$B1162)&lt;$N$2,N(对接源_02物料!$B1162)&gt;$N$3),0,1))</f>
        <v>0</v>
      </c>
      <c r="P2362" s="3">
        <f>IF(AND($K2362=1,AND(对接源_02物料!$X1162="公司筐",N(对接源_02物料!$T1162)&lt;&gt;0)),1,0)</f>
        <v>0</v>
      </c>
      <c r="Q2362" s="3">
        <f t="shared" si="624"/>
        <v>8</v>
      </c>
      <c r="R2362" s="3">
        <f>IF(AND($K2362=1,AND(对接源_02物料!$X1162="公司筐",N(对接源_02物料!$U1162)&lt;&gt;0)),1,0)</f>
        <v>0</v>
      </c>
      <c r="S2362" s="3">
        <f t="shared" si="625"/>
        <v>0</v>
      </c>
      <c r="T2362" s="3">
        <f>IF(AND($K2362=1,AND(对接源_02物料!$X1162="公司筐",N(对接源_02物料!$V1162)&lt;&gt;0)),1,0)</f>
        <v>0</v>
      </c>
      <c r="U2362" s="3">
        <f t="shared" si="626"/>
        <v>19</v>
      </c>
      <c r="V2362" s="3">
        <f>IF(AND($L2362=1,AND(对接源_02物料!$X1162="自备筐",N(对接源_02物料!$V1162)&lt;&gt;0)),1,0)</f>
        <v>0</v>
      </c>
      <c r="W2362" s="3">
        <f t="shared" si="627"/>
        <v>8</v>
      </c>
      <c r="X2362" s="3">
        <f>IF(AND($L2362=1,AND(对接源_02物料!$X1162="自备筐",N(对接源_02物料!$T1162)&lt;&gt;0)),1,0)</f>
        <v>0</v>
      </c>
      <c r="Y2362" s="3">
        <f t="shared" si="628"/>
        <v>0</v>
      </c>
      <c r="Z2362" s="3">
        <f>IF(AND($M2362=1,对接源_02物料!$D1162="原料入库"),1,0)</f>
        <v>0</v>
      </c>
      <c r="AA2362" s="3">
        <f t="shared" si="629"/>
        <v>24</v>
      </c>
      <c r="AB2362" s="3">
        <f>IF(AND($M2362=1,LEFT(对接源_02物料!$D1162,4)="原料出库"),1,0)</f>
        <v>0</v>
      </c>
      <c r="AC2362" s="3">
        <f t="shared" si="630"/>
        <v>0</v>
      </c>
      <c r="AD2362" s="3">
        <f>IF(AND($M2362=1,LEFT(对接源_02物料!$D1162,4)="成品出库"),1,0)</f>
        <v>0</v>
      </c>
      <c r="AE2362" s="3">
        <f t="shared" si="631"/>
        <v>0</v>
      </c>
      <c r="AF2362" s="3">
        <f>IF(AND($N2362=1,AND(LEFT(对接源_02物料!$D1162,4)="包装物料",N(对接源_02物料!$K1162)&lt;&gt;0)),1,0)</f>
        <v>0</v>
      </c>
      <c r="AG2362" s="3">
        <f t="shared" si="632"/>
        <v>5</v>
      </c>
      <c r="AH2362" s="3">
        <f>IF(AND($N2362=1,AND(对接源_02物料!$D1162="周转筐－销售出库",N(对接源_02物料!$K1162)&lt;&gt;0)),1,0)</f>
        <v>0</v>
      </c>
      <c r="AI2362" s="3">
        <f t="shared" si="633"/>
        <v>0</v>
      </c>
      <c r="AL2362" s="3">
        <v>0</v>
      </c>
      <c r="AM2362" s="3">
        <f t="shared" si="634"/>
        <v>1</v>
      </c>
      <c r="AN2362" s="3" t="str">
        <f t="shared" si="638"/>
        <v/>
      </c>
      <c r="AO2362" s="3">
        <v>0</v>
      </c>
      <c r="AP2362" s="3">
        <f t="shared" si="635"/>
        <v>8</v>
      </c>
      <c r="AR2362">
        <f t="shared" si="636"/>
        <v>0</v>
      </c>
      <c r="AS2362">
        <f t="shared" si="637"/>
        <v>5</v>
      </c>
    </row>
    <row r="2363" customHeight="1" spans="1:45">
      <c r="A2363" s="3" t="str">
        <f>IF(对接源_02物料!$C1163="","",对接源_02物料!$C1163)</f>
        <v/>
      </c>
      <c r="B2363" s="3">
        <f t="shared" si="622"/>
        <v>0</v>
      </c>
      <c r="C2363" s="3">
        <f t="shared" si="623"/>
        <v>21</v>
      </c>
      <c r="K2363" s="3">
        <f>IF(OR($K$1="",对接源_02物料!$C1163="",对接源_02物料!$C1163&lt;&gt;$K$1,对接源_02物料!$B1163=""),0,IF(OR(N(对接源_02物料!$B1163)&lt;$K$2,N(对接源_02物料!$B1163)&gt;$K$3),0,1))</f>
        <v>0</v>
      </c>
      <c r="L2363" s="3">
        <f>IF(OR($L$1="",对接源_02物料!$C1163="",对接源_02物料!$C1163&lt;&gt;$L$1,对接源_02物料!$B1163=""),0,IF(OR(N(对接源_02物料!$B1163)&lt;$L$2,N(对接源_02物料!$B1163)&gt;$L$3),0,1))</f>
        <v>0</v>
      </c>
      <c r="M2363" s="3">
        <f>IF(OR($M$1="",对接源_02物料!$C1163="",对接源_02物料!$C1163&lt;&gt;$M$1,对接源_02物料!$B1163=""),0,IF(OR(N(对接源_02物料!$B1163)&lt;$M$2,N(对接源_02物料!$B1163)&gt;$M$3),0,1))</f>
        <v>0</v>
      </c>
      <c r="N2363" s="3">
        <f>IF(OR($N$1="",对接源_02物料!$C1163="",对接源_02物料!$C1163&lt;&gt;$N$1,对接源_02物料!$B1163=""),0,IF(OR(N(对接源_02物料!$B1163)&lt;$N$2,N(对接源_02物料!$B1163)&gt;$N$3),0,1))</f>
        <v>0</v>
      </c>
      <c r="P2363" s="3">
        <f>IF(AND($K2363=1,AND(对接源_02物料!$X1163="公司筐",N(对接源_02物料!$T1163)&lt;&gt;0)),1,0)</f>
        <v>0</v>
      </c>
      <c r="Q2363" s="3">
        <f t="shared" si="624"/>
        <v>8</v>
      </c>
      <c r="R2363" s="3">
        <f>IF(AND($K2363=1,AND(对接源_02物料!$X1163="公司筐",N(对接源_02物料!$U1163)&lt;&gt;0)),1,0)</f>
        <v>0</v>
      </c>
      <c r="S2363" s="3">
        <f t="shared" si="625"/>
        <v>0</v>
      </c>
      <c r="T2363" s="3">
        <f>IF(AND($K2363=1,AND(对接源_02物料!$X1163="公司筐",N(对接源_02物料!$V1163)&lt;&gt;0)),1,0)</f>
        <v>0</v>
      </c>
      <c r="U2363" s="3">
        <f t="shared" si="626"/>
        <v>19</v>
      </c>
      <c r="V2363" s="3">
        <f>IF(AND($L2363=1,AND(对接源_02物料!$X1163="自备筐",N(对接源_02物料!$V1163)&lt;&gt;0)),1,0)</f>
        <v>0</v>
      </c>
      <c r="W2363" s="3">
        <f t="shared" si="627"/>
        <v>8</v>
      </c>
      <c r="X2363" s="3">
        <f>IF(AND($L2363=1,AND(对接源_02物料!$X1163="自备筐",N(对接源_02物料!$T1163)&lt;&gt;0)),1,0)</f>
        <v>0</v>
      </c>
      <c r="Y2363" s="3">
        <f t="shared" si="628"/>
        <v>0</v>
      </c>
      <c r="Z2363" s="3">
        <f>IF(AND($M2363=1,对接源_02物料!$D1163="原料入库"),1,0)</f>
        <v>0</v>
      </c>
      <c r="AA2363" s="3">
        <f t="shared" si="629"/>
        <v>24</v>
      </c>
      <c r="AB2363" s="3">
        <f>IF(AND($M2363=1,LEFT(对接源_02物料!$D1163,4)="原料出库"),1,0)</f>
        <v>0</v>
      </c>
      <c r="AC2363" s="3">
        <f t="shared" si="630"/>
        <v>0</v>
      </c>
      <c r="AD2363" s="3">
        <f>IF(AND($M2363=1,LEFT(对接源_02物料!$D1163,4)="成品出库"),1,0)</f>
        <v>0</v>
      </c>
      <c r="AE2363" s="3">
        <f t="shared" si="631"/>
        <v>0</v>
      </c>
      <c r="AF2363" s="3">
        <f>IF(AND($N2363=1,AND(LEFT(对接源_02物料!$D1163,4)="包装物料",N(对接源_02物料!$K1163)&lt;&gt;0)),1,0)</f>
        <v>0</v>
      </c>
      <c r="AG2363" s="3">
        <f t="shared" si="632"/>
        <v>5</v>
      </c>
      <c r="AH2363" s="3">
        <f>IF(AND($N2363=1,AND(对接源_02物料!$D1163="周转筐－销售出库",N(对接源_02物料!$K1163)&lt;&gt;0)),1,0)</f>
        <v>0</v>
      </c>
      <c r="AI2363" s="3">
        <f t="shared" si="633"/>
        <v>0</v>
      </c>
      <c r="AL2363" s="3">
        <v>0</v>
      </c>
      <c r="AM2363" s="3">
        <f t="shared" si="634"/>
        <v>1</v>
      </c>
      <c r="AN2363" s="3" t="str">
        <f t="shared" si="638"/>
        <v/>
      </c>
      <c r="AO2363" s="3">
        <v>0</v>
      </c>
      <c r="AP2363" s="3">
        <f t="shared" si="635"/>
        <v>8</v>
      </c>
      <c r="AR2363">
        <f t="shared" si="636"/>
        <v>0</v>
      </c>
      <c r="AS2363">
        <f t="shared" si="637"/>
        <v>5</v>
      </c>
    </row>
    <row r="2364" customHeight="1" spans="1:45">
      <c r="A2364" s="3" t="str">
        <f>IF(对接源_02物料!$C1164="","",对接源_02物料!$C1164)</f>
        <v/>
      </c>
      <c r="B2364" s="3">
        <f t="shared" si="622"/>
        <v>0</v>
      </c>
      <c r="C2364" s="3">
        <f t="shared" si="623"/>
        <v>21</v>
      </c>
      <c r="K2364" s="3">
        <f>IF(OR($K$1="",对接源_02物料!$C1164="",对接源_02物料!$C1164&lt;&gt;$K$1,对接源_02物料!$B1164=""),0,IF(OR(N(对接源_02物料!$B1164)&lt;$K$2,N(对接源_02物料!$B1164)&gt;$K$3),0,1))</f>
        <v>0</v>
      </c>
      <c r="L2364" s="3">
        <f>IF(OR($L$1="",对接源_02物料!$C1164="",对接源_02物料!$C1164&lt;&gt;$L$1,对接源_02物料!$B1164=""),0,IF(OR(N(对接源_02物料!$B1164)&lt;$L$2,N(对接源_02物料!$B1164)&gt;$L$3),0,1))</f>
        <v>0</v>
      </c>
      <c r="M2364" s="3">
        <f>IF(OR($M$1="",对接源_02物料!$C1164="",对接源_02物料!$C1164&lt;&gt;$M$1,对接源_02物料!$B1164=""),0,IF(OR(N(对接源_02物料!$B1164)&lt;$M$2,N(对接源_02物料!$B1164)&gt;$M$3),0,1))</f>
        <v>0</v>
      </c>
      <c r="N2364" s="3">
        <f>IF(OR($N$1="",对接源_02物料!$C1164="",对接源_02物料!$C1164&lt;&gt;$N$1,对接源_02物料!$B1164=""),0,IF(OR(N(对接源_02物料!$B1164)&lt;$N$2,N(对接源_02物料!$B1164)&gt;$N$3),0,1))</f>
        <v>0</v>
      </c>
      <c r="P2364" s="3">
        <f>IF(AND($K2364=1,AND(对接源_02物料!$X1164="公司筐",N(对接源_02物料!$T1164)&lt;&gt;0)),1,0)</f>
        <v>0</v>
      </c>
      <c r="Q2364" s="3">
        <f t="shared" si="624"/>
        <v>8</v>
      </c>
      <c r="R2364" s="3">
        <f>IF(AND($K2364=1,AND(对接源_02物料!$X1164="公司筐",N(对接源_02物料!$U1164)&lt;&gt;0)),1,0)</f>
        <v>0</v>
      </c>
      <c r="S2364" s="3">
        <f t="shared" si="625"/>
        <v>0</v>
      </c>
      <c r="T2364" s="3">
        <f>IF(AND($K2364=1,AND(对接源_02物料!$X1164="公司筐",N(对接源_02物料!$V1164)&lt;&gt;0)),1,0)</f>
        <v>0</v>
      </c>
      <c r="U2364" s="3">
        <f t="shared" si="626"/>
        <v>19</v>
      </c>
      <c r="V2364" s="3">
        <f>IF(AND($L2364=1,AND(对接源_02物料!$X1164="自备筐",N(对接源_02物料!$V1164)&lt;&gt;0)),1,0)</f>
        <v>0</v>
      </c>
      <c r="W2364" s="3">
        <f t="shared" si="627"/>
        <v>8</v>
      </c>
      <c r="X2364" s="3">
        <f>IF(AND($L2364=1,AND(对接源_02物料!$X1164="自备筐",N(对接源_02物料!$T1164)&lt;&gt;0)),1,0)</f>
        <v>0</v>
      </c>
      <c r="Y2364" s="3">
        <f t="shared" si="628"/>
        <v>0</v>
      </c>
      <c r="Z2364" s="3">
        <f>IF(AND($M2364=1,对接源_02物料!$D1164="原料入库"),1,0)</f>
        <v>0</v>
      </c>
      <c r="AA2364" s="3">
        <f t="shared" si="629"/>
        <v>24</v>
      </c>
      <c r="AB2364" s="3">
        <f>IF(AND($M2364=1,LEFT(对接源_02物料!$D1164,4)="原料出库"),1,0)</f>
        <v>0</v>
      </c>
      <c r="AC2364" s="3">
        <f t="shared" si="630"/>
        <v>0</v>
      </c>
      <c r="AD2364" s="3">
        <f>IF(AND($M2364=1,LEFT(对接源_02物料!$D1164,4)="成品出库"),1,0)</f>
        <v>0</v>
      </c>
      <c r="AE2364" s="3">
        <f t="shared" si="631"/>
        <v>0</v>
      </c>
      <c r="AF2364" s="3">
        <f>IF(AND($N2364=1,AND(LEFT(对接源_02物料!$D1164,4)="包装物料",N(对接源_02物料!$K1164)&lt;&gt;0)),1,0)</f>
        <v>0</v>
      </c>
      <c r="AG2364" s="3">
        <f t="shared" si="632"/>
        <v>5</v>
      </c>
      <c r="AH2364" s="3">
        <f>IF(AND($N2364=1,AND(对接源_02物料!$D1164="周转筐－销售出库",N(对接源_02物料!$K1164)&lt;&gt;0)),1,0)</f>
        <v>0</v>
      </c>
      <c r="AI2364" s="3">
        <f t="shared" si="633"/>
        <v>0</v>
      </c>
      <c r="AL2364" s="3">
        <v>0</v>
      </c>
      <c r="AM2364" s="3">
        <f t="shared" si="634"/>
        <v>1</v>
      </c>
      <c r="AN2364" s="3" t="str">
        <f t="shared" si="638"/>
        <v/>
      </c>
      <c r="AO2364" s="3">
        <v>0</v>
      </c>
      <c r="AP2364" s="3">
        <f t="shared" si="635"/>
        <v>8</v>
      </c>
      <c r="AR2364">
        <f t="shared" si="636"/>
        <v>0</v>
      </c>
      <c r="AS2364">
        <f t="shared" si="637"/>
        <v>5</v>
      </c>
    </row>
    <row r="2365" customHeight="1" spans="1:45">
      <c r="A2365" s="3" t="str">
        <f>IF(对接源_02物料!$C1165="","",对接源_02物料!$C1165)</f>
        <v/>
      </c>
      <c r="B2365" s="3">
        <f t="shared" si="622"/>
        <v>0</v>
      </c>
      <c r="C2365" s="3">
        <f t="shared" si="623"/>
        <v>21</v>
      </c>
      <c r="K2365" s="3">
        <f>IF(OR($K$1="",对接源_02物料!$C1165="",对接源_02物料!$C1165&lt;&gt;$K$1,对接源_02物料!$B1165=""),0,IF(OR(N(对接源_02物料!$B1165)&lt;$K$2,N(对接源_02物料!$B1165)&gt;$K$3),0,1))</f>
        <v>0</v>
      </c>
      <c r="L2365" s="3">
        <f>IF(OR($L$1="",对接源_02物料!$C1165="",对接源_02物料!$C1165&lt;&gt;$L$1,对接源_02物料!$B1165=""),0,IF(OR(N(对接源_02物料!$B1165)&lt;$L$2,N(对接源_02物料!$B1165)&gt;$L$3),0,1))</f>
        <v>0</v>
      </c>
      <c r="M2365" s="3">
        <f>IF(OR($M$1="",对接源_02物料!$C1165="",对接源_02物料!$C1165&lt;&gt;$M$1,对接源_02物料!$B1165=""),0,IF(OR(N(对接源_02物料!$B1165)&lt;$M$2,N(对接源_02物料!$B1165)&gt;$M$3),0,1))</f>
        <v>0</v>
      </c>
      <c r="N2365" s="3">
        <f>IF(OR($N$1="",对接源_02物料!$C1165="",对接源_02物料!$C1165&lt;&gt;$N$1,对接源_02物料!$B1165=""),0,IF(OR(N(对接源_02物料!$B1165)&lt;$N$2,N(对接源_02物料!$B1165)&gt;$N$3),0,1))</f>
        <v>0</v>
      </c>
      <c r="P2365" s="3">
        <f>IF(AND($K2365=1,AND(对接源_02物料!$X1165="公司筐",N(对接源_02物料!$T1165)&lt;&gt;0)),1,0)</f>
        <v>0</v>
      </c>
      <c r="Q2365" s="3">
        <f t="shared" si="624"/>
        <v>8</v>
      </c>
      <c r="R2365" s="3">
        <f>IF(AND($K2365=1,AND(对接源_02物料!$X1165="公司筐",N(对接源_02物料!$U1165)&lt;&gt;0)),1,0)</f>
        <v>0</v>
      </c>
      <c r="S2365" s="3">
        <f t="shared" si="625"/>
        <v>0</v>
      </c>
      <c r="T2365" s="3">
        <f>IF(AND($K2365=1,AND(对接源_02物料!$X1165="公司筐",N(对接源_02物料!$V1165)&lt;&gt;0)),1,0)</f>
        <v>0</v>
      </c>
      <c r="U2365" s="3">
        <f t="shared" si="626"/>
        <v>19</v>
      </c>
      <c r="V2365" s="3">
        <f>IF(AND($L2365=1,AND(对接源_02物料!$X1165="自备筐",N(对接源_02物料!$V1165)&lt;&gt;0)),1,0)</f>
        <v>0</v>
      </c>
      <c r="W2365" s="3">
        <f t="shared" si="627"/>
        <v>8</v>
      </c>
      <c r="X2365" s="3">
        <f>IF(AND($L2365=1,AND(对接源_02物料!$X1165="自备筐",N(对接源_02物料!$T1165)&lt;&gt;0)),1,0)</f>
        <v>0</v>
      </c>
      <c r="Y2365" s="3">
        <f t="shared" si="628"/>
        <v>0</v>
      </c>
      <c r="Z2365" s="3">
        <f>IF(AND($M2365=1,对接源_02物料!$D1165="原料入库"),1,0)</f>
        <v>0</v>
      </c>
      <c r="AA2365" s="3">
        <f t="shared" si="629"/>
        <v>24</v>
      </c>
      <c r="AB2365" s="3">
        <f>IF(AND($M2365=1,LEFT(对接源_02物料!$D1165,4)="原料出库"),1,0)</f>
        <v>0</v>
      </c>
      <c r="AC2365" s="3">
        <f t="shared" si="630"/>
        <v>0</v>
      </c>
      <c r="AD2365" s="3">
        <f>IF(AND($M2365=1,LEFT(对接源_02物料!$D1165,4)="成品出库"),1,0)</f>
        <v>0</v>
      </c>
      <c r="AE2365" s="3">
        <f t="shared" si="631"/>
        <v>0</v>
      </c>
      <c r="AF2365" s="3">
        <f>IF(AND($N2365=1,AND(LEFT(对接源_02物料!$D1165,4)="包装物料",N(对接源_02物料!$K1165)&lt;&gt;0)),1,0)</f>
        <v>0</v>
      </c>
      <c r="AG2365" s="3">
        <f t="shared" si="632"/>
        <v>5</v>
      </c>
      <c r="AH2365" s="3">
        <f>IF(AND($N2365=1,AND(对接源_02物料!$D1165="周转筐－销售出库",N(对接源_02物料!$K1165)&lt;&gt;0)),1,0)</f>
        <v>0</v>
      </c>
      <c r="AI2365" s="3">
        <f t="shared" si="633"/>
        <v>0</v>
      </c>
      <c r="AL2365" s="3">
        <v>0</v>
      </c>
      <c r="AM2365" s="3">
        <f t="shared" si="634"/>
        <v>1</v>
      </c>
      <c r="AN2365" s="3" t="str">
        <f t="shared" si="638"/>
        <v/>
      </c>
      <c r="AO2365" s="3">
        <v>0</v>
      </c>
      <c r="AP2365" s="3">
        <f t="shared" si="635"/>
        <v>8</v>
      </c>
      <c r="AR2365">
        <f t="shared" si="636"/>
        <v>0</v>
      </c>
      <c r="AS2365">
        <f t="shared" si="637"/>
        <v>5</v>
      </c>
    </row>
    <row r="2366" customHeight="1" spans="1:45">
      <c r="A2366" s="3" t="str">
        <f>IF(对接源_02物料!$C1166="","",对接源_02物料!$C1166)</f>
        <v/>
      </c>
      <c r="B2366" s="3">
        <f t="shared" si="622"/>
        <v>0</v>
      </c>
      <c r="C2366" s="3">
        <f t="shared" si="623"/>
        <v>21</v>
      </c>
      <c r="K2366" s="3">
        <f>IF(OR($K$1="",对接源_02物料!$C1166="",对接源_02物料!$C1166&lt;&gt;$K$1,对接源_02物料!$B1166=""),0,IF(OR(N(对接源_02物料!$B1166)&lt;$K$2,N(对接源_02物料!$B1166)&gt;$K$3),0,1))</f>
        <v>0</v>
      </c>
      <c r="L2366" s="3">
        <f>IF(OR($L$1="",对接源_02物料!$C1166="",对接源_02物料!$C1166&lt;&gt;$L$1,对接源_02物料!$B1166=""),0,IF(OR(N(对接源_02物料!$B1166)&lt;$L$2,N(对接源_02物料!$B1166)&gt;$L$3),0,1))</f>
        <v>0</v>
      </c>
      <c r="M2366" s="3">
        <f>IF(OR($M$1="",对接源_02物料!$C1166="",对接源_02物料!$C1166&lt;&gt;$M$1,对接源_02物料!$B1166=""),0,IF(OR(N(对接源_02物料!$B1166)&lt;$M$2,N(对接源_02物料!$B1166)&gt;$M$3),0,1))</f>
        <v>0</v>
      </c>
      <c r="N2366" s="3">
        <f>IF(OR($N$1="",对接源_02物料!$C1166="",对接源_02物料!$C1166&lt;&gt;$N$1,对接源_02物料!$B1166=""),0,IF(OR(N(对接源_02物料!$B1166)&lt;$N$2,N(对接源_02物料!$B1166)&gt;$N$3),0,1))</f>
        <v>0</v>
      </c>
      <c r="P2366" s="3">
        <f>IF(AND($K2366=1,AND(对接源_02物料!$X1166="公司筐",N(对接源_02物料!$T1166)&lt;&gt;0)),1,0)</f>
        <v>0</v>
      </c>
      <c r="Q2366" s="3">
        <f t="shared" si="624"/>
        <v>8</v>
      </c>
      <c r="R2366" s="3">
        <f>IF(AND($K2366=1,AND(对接源_02物料!$X1166="公司筐",N(对接源_02物料!$U1166)&lt;&gt;0)),1,0)</f>
        <v>0</v>
      </c>
      <c r="S2366" s="3">
        <f t="shared" si="625"/>
        <v>0</v>
      </c>
      <c r="T2366" s="3">
        <f>IF(AND($K2366=1,AND(对接源_02物料!$X1166="公司筐",N(对接源_02物料!$V1166)&lt;&gt;0)),1,0)</f>
        <v>0</v>
      </c>
      <c r="U2366" s="3">
        <f t="shared" si="626"/>
        <v>19</v>
      </c>
      <c r="V2366" s="3">
        <f>IF(AND($L2366=1,AND(对接源_02物料!$X1166="自备筐",N(对接源_02物料!$V1166)&lt;&gt;0)),1,0)</f>
        <v>0</v>
      </c>
      <c r="W2366" s="3">
        <f t="shared" si="627"/>
        <v>8</v>
      </c>
      <c r="X2366" s="3">
        <f>IF(AND($L2366=1,AND(对接源_02物料!$X1166="自备筐",N(对接源_02物料!$T1166)&lt;&gt;0)),1,0)</f>
        <v>0</v>
      </c>
      <c r="Y2366" s="3">
        <f t="shared" si="628"/>
        <v>0</v>
      </c>
      <c r="Z2366" s="3">
        <f>IF(AND($M2366=1,对接源_02物料!$D1166="原料入库"),1,0)</f>
        <v>0</v>
      </c>
      <c r="AA2366" s="3">
        <f t="shared" si="629"/>
        <v>24</v>
      </c>
      <c r="AB2366" s="3">
        <f>IF(AND($M2366=1,LEFT(对接源_02物料!$D1166,4)="原料出库"),1,0)</f>
        <v>0</v>
      </c>
      <c r="AC2366" s="3">
        <f t="shared" si="630"/>
        <v>0</v>
      </c>
      <c r="AD2366" s="3">
        <f>IF(AND($M2366=1,LEFT(对接源_02物料!$D1166,4)="成品出库"),1,0)</f>
        <v>0</v>
      </c>
      <c r="AE2366" s="3">
        <f t="shared" si="631"/>
        <v>0</v>
      </c>
      <c r="AF2366" s="3">
        <f>IF(AND($N2366=1,AND(LEFT(对接源_02物料!$D1166,4)="包装物料",N(对接源_02物料!$K1166)&lt;&gt;0)),1,0)</f>
        <v>0</v>
      </c>
      <c r="AG2366" s="3">
        <f t="shared" si="632"/>
        <v>5</v>
      </c>
      <c r="AH2366" s="3">
        <f>IF(AND($N2366=1,AND(对接源_02物料!$D1166="周转筐－销售出库",N(对接源_02物料!$K1166)&lt;&gt;0)),1,0)</f>
        <v>0</v>
      </c>
      <c r="AI2366" s="3">
        <f t="shared" si="633"/>
        <v>0</v>
      </c>
      <c r="AL2366" s="3">
        <v>0</v>
      </c>
      <c r="AM2366" s="3">
        <f t="shared" si="634"/>
        <v>1</v>
      </c>
      <c r="AN2366" s="3" t="str">
        <f t="shared" si="638"/>
        <v/>
      </c>
      <c r="AO2366" s="3">
        <v>0</v>
      </c>
      <c r="AP2366" s="3">
        <f t="shared" si="635"/>
        <v>8</v>
      </c>
      <c r="AR2366">
        <f t="shared" si="636"/>
        <v>0</v>
      </c>
      <c r="AS2366">
        <f t="shared" si="637"/>
        <v>5</v>
      </c>
    </row>
    <row r="2367" customHeight="1" spans="1:45">
      <c r="A2367" s="3" t="str">
        <f>IF(对接源_02物料!$C1167="","",对接源_02物料!$C1167)</f>
        <v/>
      </c>
      <c r="B2367" s="3">
        <f t="shared" si="622"/>
        <v>0</v>
      </c>
      <c r="C2367" s="3">
        <f t="shared" si="623"/>
        <v>21</v>
      </c>
      <c r="K2367" s="3">
        <f>IF(OR($K$1="",对接源_02物料!$C1167="",对接源_02物料!$C1167&lt;&gt;$K$1,对接源_02物料!$B1167=""),0,IF(OR(N(对接源_02物料!$B1167)&lt;$K$2,N(对接源_02物料!$B1167)&gt;$K$3),0,1))</f>
        <v>0</v>
      </c>
      <c r="L2367" s="3">
        <f>IF(OR($L$1="",对接源_02物料!$C1167="",对接源_02物料!$C1167&lt;&gt;$L$1,对接源_02物料!$B1167=""),0,IF(OR(N(对接源_02物料!$B1167)&lt;$L$2,N(对接源_02物料!$B1167)&gt;$L$3),0,1))</f>
        <v>0</v>
      </c>
      <c r="M2367" s="3">
        <f>IF(OR($M$1="",对接源_02物料!$C1167="",对接源_02物料!$C1167&lt;&gt;$M$1,对接源_02物料!$B1167=""),0,IF(OR(N(对接源_02物料!$B1167)&lt;$M$2,N(对接源_02物料!$B1167)&gt;$M$3),0,1))</f>
        <v>0</v>
      </c>
      <c r="N2367" s="3">
        <f>IF(OR($N$1="",对接源_02物料!$C1167="",对接源_02物料!$C1167&lt;&gt;$N$1,对接源_02物料!$B1167=""),0,IF(OR(N(对接源_02物料!$B1167)&lt;$N$2,N(对接源_02物料!$B1167)&gt;$N$3),0,1))</f>
        <v>0</v>
      </c>
      <c r="P2367" s="3">
        <f>IF(AND($K2367=1,AND(对接源_02物料!$X1167="公司筐",N(对接源_02物料!$T1167)&lt;&gt;0)),1,0)</f>
        <v>0</v>
      </c>
      <c r="Q2367" s="3">
        <f t="shared" si="624"/>
        <v>8</v>
      </c>
      <c r="R2367" s="3">
        <f>IF(AND($K2367=1,AND(对接源_02物料!$X1167="公司筐",N(对接源_02物料!$U1167)&lt;&gt;0)),1,0)</f>
        <v>0</v>
      </c>
      <c r="S2367" s="3">
        <f t="shared" si="625"/>
        <v>0</v>
      </c>
      <c r="T2367" s="3">
        <f>IF(AND($K2367=1,AND(对接源_02物料!$X1167="公司筐",N(对接源_02物料!$V1167)&lt;&gt;0)),1,0)</f>
        <v>0</v>
      </c>
      <c r="U2367" s="3">
        <f t="shared" si="626"/>
        <v>19</v>
      </c>
      <c r="V2367" s="3">
        <f>IF(AND($L2367=1,AND(对接源_02物料!$X1167="自备筐",N(对接源_02物料!$V1167)&lt;&gt;0)),1,0)</f>
        <v>0</v>
      </c>
      <c r="W2367" s="3">
        <f t="shared" si="627"/>
        <v>8</v>
      </c>
      <c r="X2367" s="3">
        <f>IF(AND($L2367=1,AND(对接源_02物料!$X1167="自备筐",N(对接源_02物料!$T1167)&lt;&gt;0)),1,0)</f>
        <v>0</v>
      </c>
      <c r="Y2367" s="3">
        <f t="shared" si="628"/>
        <v>0</v>
      </c>
      <c r="Z2367" s="3">
        <f>IF(AND($M2367=1,对接源_02物料!$D1167="原料入库"),1,0)</f>
        <v>0</v>
      </c>
      <c r="AA2367" s="3">
        <f t="shared" si="629"/>
        <v>24</v>
      </c>
      <c r="AB2367" s="3">
        <f>IF(AND($M2367=1,LEFT(对接源_02物料!$D1167,4)="原料出库"),1,0)</f>
        <v>0</v>
      </c>
      <c r="AC2367" s="3">
        <f t="shared" si="630"/>
        <v>0</v>
      </c>
      <c r="AD2367" s="3">
        <f>IF(AND($M2367=1,LEFT(对接源_02物料!$D1167,4)="成品出库"),1,0)</f>
        <v>0</v>
      </c>
      <c r="AE2367" s="3">
        <f t="shared" si="631"/>
        <v>0</v>
      </c>
      <c r="AF2367" s="3">
        <f>IF(AND($N2367=1,AND(LEFT(对接源_02物料!$D1167,4)="包装物料",N(对接源_02物料!$K1167)&lt;&gt;0)),1,0)</f>
        <v>0</v>
      </c>
      <c r="AG2367" s="3">
        <f t="shared" si="632"/>
        <v>5</v>
      </c>
      <c r="AH2367" s="3">
        <f>IF(AND($N2367=1,AND(对接源_02物料!$D1167="周转筐－销售出库",N(对接源_02物料!$K1167)&lt;&gt;0)),1,0)</f>
        <v>0</v>
      </c>
      <c r="AI2367" s="3">
        <f t="shared" si="633"/>
        <v>0</v>
      </c>
      <c r="AL2367" s="3">
        <v>0</v>
      </c>
      <c r="AM2367" s="3">
        <f t="shared" si="634"/>
        <v>1</v>
      </c>
      <c r="AN2367" s="3" t="str">
        <f t="shared" si="638"/>
        <v/>
      </c>
      <c r="AO2367" s="3">
        <v>0</v>
      </c>
      <c r="AP2367" s="3">
        <f t="shared" si="635"/>
        <v>8</v>
      </c>
      <c r="AR2367">
        <f t="shared" si="636"/>
        <v>0</v>
      </c>
      <c r="AS2367">
        <f t="shared" si="637"/>
        <v>5</v>
      </c>
    </row>
    <row r="2368" customHeight="1" spans="1:45">
      <c r="A2368" s="3" t="str">
        <f>IF(对接源_02物料!$C1168="","",对接源_02物料!$C1168)</f>
        <v/>
      </c>
      <c r="B2368" s="3">
        <f t="shared" si="622"/>
        <v>0</v>
      </c>
      <c r="C2368" s="3">
        <f t="shared" si="623"/>
        <v>21</v>
      </c>
      <c r="K2368" s="3">
        <f>IF(OR($K$1="",对接源_02物料!$C1168="",对接源_02物料!$C1168&lt;&gt;$K$1,对接源_02物料!$B1168=""),0,IF(OR(N(对接源_02物料!$B1168)&lt;$K$2,N(对接源_02物料!$B1168)&gt;$K$3),0,1))</f>
        <v>0</v>
      </c>
      <c r="L2368" s="3">
        <f>IF(OR($L$1="",对接源_02物料!$C1168="",对接源_02物料!$C1168&lt;&gt;$L$1,对接源_02物料!$B1168=""),0,IF(OR(N(对接源_02物料!$B1168)&lt;$L$2,N(对接源_02物料!$B1168)&gt;$L$3),0,1))</f>
        <v>0</v>
      </c>
      <c r="M2368" s="3">
        <f>IF(OR($M$1="",对接源_02物料!$C1168="",对接源_02物料!$C1168&lt;&gt;$M$1,对接源_02物料!$B1168=""),0,IF(OR(N(对接源_02物料!$B1168)&lt;$M$2,N(对接源_02物料!$B1168)&gt;$M$3),0,1))</f>
        <v>0</v>
      </c>
      <c r="N2368" s="3">
        <f>IF(OR($N$1="",对接源_02物料!$C1168="",对接源_02物料!$C1168&lt;&gt;$N$1,对接源_02物料!$B1168=""),0,IF(OR(N(对接源_02物料!$B1168)&lt;$N$2,N(对接源_02物料!$B1168)&gt;$N$3),0,1))</f>
        <v>0</v>
      </c>
      <c r="P2368" s="3">
        <f>IF(AND($K2368=1,AND(对接源_02物料!$X1168="公司筐",N(对接源_02物料!$T1168)&lt;&gt;0)),1,0)</f>
        <v>0</v>
      </c>
      <c r="Q2368" s="3">
        <f t="shared" si="624"/>
        <v>8</v>
      </c>
      <c r="R2368" s="3">
        <f>IF(AND($K2368=1,AND(对接源_02物料!$X1168="公司筐",N(对接源_02物料!$U1168)&lt;&gt;0)),1,0)</f>
        <v>0</v>
      </c>
      <c r="S2368" s="3">
        <f t="shared" si="625"/>
        <v>0</v>
      </c>
      <c r="T2368" s="3">
        <f>IF(AND($K2368=1,AND(对接源_02物料!$X1168="公司筐",N(对接源_02物料!$V1168)&lt;&gt;0)),1,0)</f>
        <v>0</v>
      </c>
      <c r="U2368" s="3">
        <f t="shared" si="626"/>
        <v>19</v>
      </c>
      <c r="V2368" s="3">
        <f>IF(AND($L2368=1,AND(对接源_02物料!$X1168="自备筐",N(对接源_02物料!$V1168)&lt;&gt;0)),1,0)</f>
        <v>0</v>
      </c>
      <c r="W2368" s="3">
        <f t="shared" si="627"/>
        <v>8</v>
      </c>
      <c r="X2368" s="3">
        <f>IF(AND($L2368=1,AND(对接源_02物料!$X1168="自备筐",N(对接源_02物料!$T1168)&lt;&gt;0)),1,0)</f>
        <v>0</v>
      </c>
      <c r="Y2368" s="3">
        <f t="shared" si="628"/>
        <v>0</v>
      </c>
      <c r="Z2368" s="3">
        <f>IF(AND($M2368=1,对接源_02物料!$D1168="原料入库"),1,0)</f>
        <v>0</v>
      </c>
      <c r="AA2368" s="3">
        <f t="shared" si="629"/>
        <v>24</v>
      </c>
      <c r="AB2368" s="3">
        <f>IF(AND($M2368=1,LEFT(对接源_02物料!$D1168,4)="原料出库"),1,0)</f>
        <v>0</v>
      </c>
      <c r="AC2368" s="3">
        <f t="shared" si="630"/>
        <v>0</v>
      </c>
      <c r="AD2368" s="3">
        <f>IF(AND($M2368=1,LEFT(对接源_02物料!$D1168,4)="成品出库"),1,0)</f>
        <v>0</v>
      </c>
      <c r="AE2368" s="3">
        <f t="shared" si="631"/>
        <v>0</v>
      </c>
      <c r="AF2368" s="3">
        <f>IF(AND($N2368=1,AND(LEFT(对接源_02物料!$D1168,4)="包装物料",N(对接源_02物料!$K1168)&lt;&gt;0)),1,0)</f>
        <v>0</v>
      </c>
      <c r="AG2368" s="3">
        <f t="shared" si="632"/>
        <v>5</v>
      </c>
      <c r="AH2368" s="3">
        <f>IF(AND($N2368=1,AND(对接源_02物料!$D1168="周转筐－销售出库",N(对接源_02物料!$K1168)&lt;&gt;0)),1,0)</f>
        <v>0</v>
      </c>
      <c r="AI2368" s="3">
        <f t="shared" si="633"/>
        <v>0</v>
      </c>
      <c r="AL2368" s="3">
        <v>0</v>
      </c>
      <c r="AM2368" s="3">
        <f t="shared" si="634"/>
        <v>1</v>
      </c>
      <c r="AN2368" s="3" t="str">
        <f t="shared" si="638"/>
        <v/>
      </c>
      <c r="AO2368" s="3">
        <v>0</v>
      </c>
      <c r="AP2368" s="3">
        <f t="shared" si="635"/>
        <v>8</v>
      </c>
      <c r="AR2368">
        <f t="shared" si="636"/>
        <v>0</v>
      </c>
      <c r="AS2368">
        <f t="shared" si="637"/>
        <v>5</v>
      </c>
    </row>
    <row r="2369" customHeight="1" spans="1:45">
      <c r="A2369" s="3" t="str">
        <f>IF(对接源_02物料!$C1169="","",对接源_02物料!$C1169)</f>
        <v/>
      </c>
      <c r="B2369" s="3">
        <f t="shared" si="622"/>
        <v>0</v>
      </c>
      <c r="C2369" s="3">
        <f t="shared" si="623"/>
        <v>21</v>
      </c>
      <c r="K2369" s="3">
        <f>IF(OR($K$1="",对接源_02物料!$C1169="",对接源_02物料!$C1169&lt;&gt;$K$1,对接源_02物料!$B1169=""),0,IF(OR(N(对接源_02物料!$B1169)&lt;$K$2,N(对接源_02物料!$B1169)&gt;$K$3),0,1))</f>
        <v>0</v>
      </c>
      <c r="L2369" s="3">
        <f>IF(OR($L$1="",对接源_02物料!$C1169="",对接源_02物料!$C1169&lt;&gt;$L$1,对接源_02物料!$B1169=""),0,IF(OR(N(对接源_02物料!$B1169)&lt;$L$2,N(对接源_02物料!$B1169)&gt;$L$3),0,1))</f>
        <v>0</v>
      </c>
      <c r="M2369" s="3">
        <f>IF(OR($M$1="",对接源_02物料!$C1169="",对接源_02物料!$C1169&lt;&gt;$M$1,对接源_02物料!$B1169=""),0,IF(OR(N(对接源_02物料!$B1169)&lt;$M$2,N(对接源_02物料!$B1169)&gt;$M$3),0,1))</f>
        <v>0</v>
      </c>
      <c r="N2369" s="3">
        <f>IF(OR($N$1="",对接源_02物料!$C1169="",对接源_02物料!$C1169&lt;&gt;$N$1,对接源_02物料!$B1169=""),0,IF(OR(N(对接源_02物料!$B1169)&lt;$N$2,N(对接源_02物料!$B1169)&gt;$N$3),0,1))</f>
        <v>0</v>
      </c>
      <c r="P2369" s="3">
        <f>IF(AND($K2369=1,AND(对接源_02物料!$X1169="公司筐",N(对接源_02物料!$T1169)&lt;&gt;0)),1,0)</f>
        <v>0</v>
      </c>
      <c r="Q2369" s="3">
        <f t="shared" si="624"/>
        <v>8</v>
      </c>
      <c r="R2369" s="3">
        <f>IF(AND($K2369=1,AND(对接源_02物料!$X1169="公司筐",N(对接源_02物料!$U1169)&lt;&gt;0)),1,0)</f>
        <v>0</v>
      </c>
      <c r="S2369" s="3">
        <f t="shared" si="625"/>
        <v>0</v>
      </c>
      <c r="T2369" s="3">
        <f>IF(AND($K2369=1,AND(对接源_02物料!$X1169="公司筐",N(对接源_02物料!$V1169)&lt;&gt;0)),1,0)</f>
        <v>0</v>
      </c>
      <c r="U2369" s="3">
        <f t="shared" si="626"/>
        <v>19</v>
      </c>
      <c r="V2369" s="3">
        <f>IF(AND($L2369=1,AND(对接源_02物料!$X1169="自备筐",N(对接源_02物料!$V1169)&lt;&gt;0)),1,0)</f>
        <v>0</v>
      </c>
      <c r="W2369" s="3">
        <f t="shared" si="627"/>
        <v>8</v>
      </c>
      <c r="X2369" s="3">
        <f>IF(AND($L2369=1,AND(对接源_02物料!$X1169="自备筐",N(对接源_02物料!$T1169)&lt;&gt;0)),1,0)</f>
        <v>0</v>
      </c>
      <c r="Y2369" s="3">
        <f t="shared" si="628"/>
        <v>0</v>
      </c>
      <c r="Z2369" s="3">
        <f>IF(AND($M2369=1,对接源_02物料!$D1169="原料入库"),1,0)</f>
        <v>0</v>
      </c>
      <c r="AA2369" s="3">
        <f t="shared" si="629"/>
        <v>24</v>
      </c>
      <c r="AB2369" s="3">
        <f>IF(AND($M2369=1,LEFT(对接源_02物料!$D1169,4)="原料出库"),1,0)</f>
        <v>0</v>
      </c>
      <c r="AC2369" s="3">
        <f t="shared" si="630"/>
        <v>0</v>
      </c>
      <c r="AD2369" s="3">
        <f>IF(AND($M2369=1,LEFT(对接源_02物料!$D1169,4)="成品出库"),1,0)</f>
        <v>0</v>
      </c>
      <c r="AE2369" s="3">
        <f t="shared" si="631"/>
        <v>0</v>
      </c>
      <c r="AF2369" s="3">
        <f>IF(AND($N2369=1,AND(LEFT(对接源_02物料!$D1169,4)="包装物料",N(对接源_02物料!$K1169)&lt;&gt;0)),1,0)</f>
        <v>0</v>
      </c>
      <c r="AG2369" s="3">
        <f t="shared" si="632"/>
        <v>5</v>
      </c>
      <c r="AH2369" s="3">
        <f>IF(AND($N2369=1,AND(对接源_02物料!$D1169="周转筐－销售出库",N(对接源_02物料!$K1169)&lt;&gt;0)),1,0)</f>
        <v>0</v>
      </c>
      <c r="AI2369" s="3">
        <f t="shared" si="633"/>
        <v>0</v>
      </c>
      <c r="AL2369" s="3">
        <v>0</v>
      </c>
      <c r="AM2369" s="3">
        <f t="shared" si="634"/>
        <v>1</v>
      </c>
      <c r="AN2369" s="3" t="str">
        <f t="shared" si="638"/>
        <v/>
      </c>
      <c r="AO2369" s="3">
        <v>0</v>
      </c>
      <c r="AP2369" s="3">
        <f t="shared" si="635"/>
        <v>8</v>
      </c>
      <c r="AR2369">
        <f t="shared" si="636"/>
        <v>0</v>
      </c>
      <c r="AS2369">
        <f t="shared" si="637"/>
        <v>5</v>
      </c>
    </row>
    <row r="2370" customHeight="1" spans="1:45">
      <c r="A2370" s="3" t="str">
        <f>IF(对接源_02物料!$C1170="","",对接源_02物料!$C1170)</f>
        <v/>
      </c>
      <c r="B2370" s="3">
        <f t="shared" si="622"/>
        <v>0</v>
      </c>
      <c r="C2370" s="3">
        <f t="shared" si="623"/>
        <v>21</v>
      </c>
      <c r="K2370" s="3">
        <f>IF(OR($K$1="",对接源_02物料!$C1170="",对接源_02物料!$C1170&lt;&gt;$K$1,对接源_02物料!$B1170=""),0,IF(OR(N(对接源_02物料!$B1170)&lt;$K$2,N(对接源_02物料!$B1170)&gt;$K$3),0,1))</f>
        <v>0</v>
      </c>
      <c r="L2370" s="3">
        <f>IF(OR($L$1="",对接源_02物料!$C1170="",对接源_02物料!$C1170&lt;&gt;$L$1,对接源_02物料!$B1170=""),0,IF(OR(N(对接源_02物料!$B1170)&lt;$L$2,N(对接源_02物料!$B1170)&gt;$L$3),0,1))</f>
        <v>0</v>
      </c>
      <c r="M2370" s="3">
        <f>IF(OR($M$1="",对接源_02物料!$C1170="",对接源_02物料!$C1170&lt;&gt;$M$1,对接源_02物料!$B1170=""),0,IF(OR(N(对接源_02物料!$B1170)&lt;$M$2,N(对接源_02物料!$B1170)&gt;$M$3),0,1))</f>
        <v>0</v>
      </c>
      <c r="N2370" s="3">
        <f>IF(OR($N$1="",对接源_02物料!$C1170="",对接源_02物料!$C1170&lt;&gt;$N$1,对接源_02物料!$B1170=""),0,IF(OR(N(对接源_02物料!$B1170)&lt;$N$2,N(对接源_02物料!$B1170)&gt;$N$3),0,1))</f>
        <v>0</v>
      </c>
      <c r="P2370" s="3">
        <f>IF(AND($K2370=1,AND(对接源_02物料!$X1170="公司筐",N(对接源_02物料!$T1170)&lt;&gt;0)),1,0)</f>
        <v>0</v>
      </c>
      <c r="Q2370" s="3">
        <f t="shared" si="624"/>
        <v>8</v>
      </c>
      <c r="R2370" s="3">
        <f>IF(AND($K2370=1,AND(对接源_02物料!$X1170="公司筐",N(对接源_02物料!$U1170)&lt;&gt;0)),1,0)</f>
        <v>0</v>
      </c>
      <c r="S2370" s="3">
        <f t="shared" si="625"/>
        <v>0</v>
      </c>
      <c r="T2370" s="3">
        <f>IF(AND($K2370=1,AND(对接源_02物料!$X1170="公司筐",N(对接源_02物料!$V1170)&lt;&gt;0)),1,0)</f>
        <v>0</v>
      </c>
      <c r="U2370" s="3">
        <f t="shared" si="626"/>
        <v>19</v>
      </c>
      <c r="V2370" s="3">
        <f>IF(AND($L2370=1,AND(对接源_02物料!$X1170="自备筐",N(对接源_02物料!$V1170)&lt;&gt;0)),1,0)</f>
        <v>0</v>
      </c>
      <c r="W2370" s="3">
        <f t="shared" si="627"/>
        <v>8</v>
      </c>
      <c r="X2370" s="3">
        <f>IF(AND($L2370=1,AND(对接源_02物料!$X1170="自备筐",N(对接源_02物料!$T1170)&lt;&gt;0)),1,0)</f>
        <v>0</v>
      </c>
      <c r="Y2370" s="3">
        <f t="shared" si="628"/>
        <v>0</v>
      </c>
      <c r="Z2370" s="3">
        <f>IF(AND($M2370=1,对接源_02物料!$D1170="原料入库"),1,0)</f>
        <v>0</v>
      </c>
      <c r="AA2370" s="3">
        <f t="shared" si="629"/>
        <v>24</v>
      </c>
      <c r="AB2370" s="3">
        <f>IF(AND($M2370=1,LEFT(对接源_02物料!$D1170,4)="原料出库"),1,0)</f>
        <v>0</v>
      </c>
      <c r="AC2370" s="3">
        <f t="shared" si="630"/>
        <v>0</v>
      </c>
      <c r="AD2370" s="3">
        <f>IF(AND($M2370=1,LEFT(对接源_02物料!$D1170,4)="成品出库"),1,0)</f>
        <v>0</v>
      </c>
      <c r="AE2370" s="3">
        <f t="shared" si="631"/>
        <v>0</v>
      </c>
      <c r="AF2370" s="3">
        <f>IF(AND($N2370=1,AND(LEFT(对接源_02物料!$D1170,4)="包装物料",N(对接源_02物料!$K1170)&lt;&gt;0)),1,0)</f>
        <v>0</v>
      </c>
      <c r="AG2370" s="3">
        <f t="shared" si="632"/>
        <v>5</v>
      </c>
      <c r="AH2370" s="3">
        <f>IF(AND($N2370=1,AND(对接源_02物料!$D1170="周转筐－销售出库",N(对接源_02物料!$K1170)&lt;&gt;0)),1,0)</f>
        <v>0</v>
      </c>
      <c r="AI2370" s="3">
        <f t="shared" si="633"/>
        <v>0</v>
      </c>
      <c r="AL2370" s="3">
        <v>0</v>
      </c>
      <c r="AM2370" s="3">
        <f t="shared" si="634"/>
        <v>1</v>
      </c>
      <c r="AN2370" s="3" t="str">
        <f t="shared" si="638"/>
        <v/>
      </c>
      <c r="AO2370" s="3">
        <v>0</v>
      </c>
      <c r="AP2370" s="3">
        <f t="shared" si="635"/>
        <v>8</v>
      </c>
      <c r="AR2370">
        <f t="shared" si="636"/>
        <v>0</v>
      </c>
      <c r="AS2370">
        <f t="shared" si="637"/>
        <v>5</v>
      </c>
    </row>
    <row r="2371" customHeight="1" spans="1:45">
      <c r="A2371" s="3" t="str">
        <f>IF(对接源_02物料!$C1171="","",对接源_02物料!$C1171)</f>
        <v/>
      </c>
      <c r="B2371" s="3">
        <f t="shared" si="622"/>
        <v>0</v>
      </c>
      <c r="C2371" s="3">
        <f t="shared" si="623"/>
        <v>21</v>
      </c>
      <c r="K2371" s="3">
        <f>IF(OR($K$1="",对接源_02物料!$C1171="",对接源_02物料!$C1171&lt;&gt;$K$1,对接源_02物料!$B1171=""),0,IF(OR(N(对接源_02物料!$B1171)&lt;$K$2,N(对接源_02物料!$B1171)&gt;$K$3),0,1))</f>
        <v>0</v>
      </c>
      <c r="L2371" s="3">
        <f>IF(OR($L$1="",对接源_02物料!$C1171="",对接源_02物料!$C1171&lt;&gt;$L$1,对接源_02物料!$B1171=""),0,IF(OR(N(对接源_02物料!$B1171)&lt;$L$2,N(对接源_02物料!$B1171)&gt;$L$3),0,1))</f>
        <v>0</v>
      </c>
      <c r="M2371" s="3">
        <f>IF(OR($M$1="",对接源_02物料!$C1171="",对接源_02物料!$C1171&lt;&gt;$M$1,对接源_02物料!$B1171=""),0,IF(OR(N(对接源_02物料!$B1171)&lt;$M$2,N(对接源_02物料!$B1171)&gt;$M$3),0,1))</f>
        <v>0</v>
      </c>
      <c r="N2371" s="3">
        <f>IF(OR($N$1="",对接源_02物料!$C1171="",对接源_02物料!$C1171&lt;&gt;$N$1,对接源_02物料!$B1171=""),0,IF(OR(N(对接源_02物料!$B1171)&lt;$N$2,N(对接源_02物料!$B1171)&gt;$N$3),0,1))</f>
        <v>0</v>
      </c>
      <c r="P2371" s="3">
        <f>IF(AND($K2371=1,AND(对接源_02物料!$X1171="公司筐",N(对接源_02物料!$T1171)&lt;&gt;0)),1,0)</f>
        <v>0</v>
      </c>
      <c r="Q2371" s="3">
        <f t="shared" si="624"/>
        <v>8</v>
      </c>
      <c r="R2371" s="3">
        <f>IF(AND($K2371=1,AND(对接源_02物料!$X1171="公司筐",N(对接源_02物料!$U1171)&lt;&gt;0)),1,0)</f>
        <v>0</v>
      </c>
      <c r="S2371" s="3">
        <f t="shared" si="625"/>
        <v>0</v>
      </c>
      <c r="T2371" s="3">
        <f>IF(AND($K2371=1,AND(对接源_02物料!$X1171="公司筐",N(对接源_02物料!$V1171)&lt;&gt;0)),1,0)</f>
        <v>0</v>
      </c>
      <c r="U2371" s="3">
        <f t="shared" si="626"/>
        <v>19</v>
      </c>
      <c r="V2371" s="3">
        <f>IF(AND($L2371=1,AND(对接源_02物料!$X1171="自备筐",N(对接源_02物料!$V1171)&lt;&gt;0)),1,0)</f>
        <v>0</v>
      </c>
      <c r="W2371" s="3">
        <f t="shared" si="627"/>
        <v>8</v>
      </c>
      <c r="X2371" s="3">
        <f>IF(AND($L2371=1,AND(对接源_02物料!$X1171="自备筐",N(对接源_02物料!$T1171)&lt;&gt;0)),1,0)</f>
        <v>0</v>
      </c>
      <c r="Y2371" s="3">
        <f t="shared" si="628"/>
        <v>0</v>
      </c>
      <c r="Z2371" s="3">
        <f>IF(AND($M2371=1,对接源_02物料!$D1171="原料入库"),1,0)</f>
        <v>0</v>
      </c>
      <c r="AA2371" s="3">
        <f t="shared" si="629"/>
        <v>24</v>
      </c>
      <c r="AB2371" s="3">
        <f>IF(AND($M2371=1,LEFT(对接源_02物料!$D1171,4)="原料出库"),1,0)</f>
        <v>0</v>
      </c>
      <c r="AC2371" s="3">
        <f t="shared" si="630"/>
        <v>0</v>
      </c>
      <c r="AD2371" s="3">
        <f>IF(AND($M2371=1,LEFT(对接源_02物料!$D1171,4)="成品出库"),1,0)</f>
        <v>0</v>
      </c>
      <c r="AE2371" s="3">
        <f t="shared" si="631"/>
        <v>0</v>
      </c>
      <c r="AF2371" s="3">
        <f>IF(AND($N2371=1,AND(LEFT(对接源_02物料!$D1171,4)="包装物料",N(对接源_02物料!$K1171)&lt;&gt;0)),1,0)</f>
        <v>0</v>
      </c>
      <c r="AG2371" s="3">
        <f t="shared" si="632"/>
        <v>5</v>
      </c>
      <c r="AH2371" s="3">
        <f>IF(AND($N2371=1,AND(对接源_02物料!$D1171="周转筐－销售出库",N(对接源_02物料!$K1171)&lt;&gt;0)),1,0)</f>
        <v>0</v>
      </c>
      <c r="AI2371" s="3">
        <f t="shared" si="633"/>
        <v>0</v>
      </c>
      <c r="AL2371" s="3">
        <v>0</v>
      </c>
      <c r="AM2371" s="3">
        <f t="shared" si="634"/>
        <v>1</v>
      </c>
      <c r="AN2371" s="3" t="str">
        <f t="shared" si="638"/>
        <v/>
      </c>
      <c r="AO2371" s="3">
        <v>0</v>
      </c>
      <c r="AP2371" s="3">
        <f t="shared" si="635"/>
        <v>8</v>
      </c>
      <c r="AR2371">
        <f t="shared" si="636"/>
        <v>0</v>
      </c>
      <c r="AS2371">
        <f t="shared" si="637"/>
        <v>5</v>
      </c>
    </row>
    <row r="2372" customHeight="1" spans="1:45">
      <c r="A2372" s="3" t="str">
        <f>IF(对接源_02物料!$C1172="","",对接源_02物料!$C1172)</f>
        <v/>
      </c>
      <c r="B2372" s="3">
        <f t="shared" ref="B2372:B2403" si="639">IF(A2372="",0,IF(MATCH(A2372,$A$4:$A$2403,0)=ROW()-3,1,0))</f>
        <v>0</v>
      </c>
      <c r="C2372" s="3">
        <f t="shared" ref="C2372:C2403" si="640">N(C2371)+B2372</f>
        <v>21</v>
      </c>
      <c r="K2372" s="3">
        <f>IF(OR($K$1="",对接源_02物料!$C1172="",对接源_02物料!$C1172&lt;&gt;$K$1,对接源_02物料!$B1172=""),0,IF(OR(N(对接源_02物料!$B1172)&lt;$K$2,N(对接源_02物料!$B1172)&gt;$K$3),0,1))</f>
        <v>0</v>
      </c>
      <c r="L2372" s="3">
        <f>IF(OR($L$1="",对接源_02物料!$C1172="",对接源_02物料!$C1172&lt;&gt;$L$1,对接源_02物料!$B1172=""),0,IF(OR(N(对接源_02物料!$B1172)&lt;$L$2,N(对接源_02物料!$B1172)&gt;$L$3),0,1))</f>
        <v>0</v>
      </c>
      <c r="M2372" s="3">
        <f>IF(OR($M$1="",对接源_02物料!$C1172="",对接源_02物料!$C1172&lt;&gt;$M$1,对接源_02物料!$B1172=""),0,IF(OR(N(对接源_02物料!$B1172)&lt;$M$2,N(对接源_02物料!$B1172)&gt;$M$3),0,1))</f>
        <v>0</v>
      </c>
      <c r="N2372" s="3">
        <f>IF(OR($N$1="",对接源_02物料!$C1172="",对接源_02物料!$C1172&lt;&gt;$N$1,对接源_02物料!$B1172=""),0,IF(OR(N(对接源_02物料!$B1172)&lt;$N$2,N(对接源_02物料!$B1172)&gt;$N$3),0,1))</f>
        <v>0</v>
      </c>
      <c r="P2372" s="3">
        <f>IF(AND($K2372=1,AND(对接源_02物料!$X1172="公司筐",N(对接源_02物料!$T1172)&lt;&gt;0)),1,0)</f>
        <v>0</v>
      </c>
      <c r="Q2372" s="3">
        <f t="shared" ref="Q2372:Q2403" si="641">N(Q2371)+$P2372</f>
        <v>8</v>
      </c>
      <c r="R2372" s="3">
        <f>IF(AND($K2372=1,AND(对接源_02物料!$X1172="公司筐",N(对接源_02物料!$U1172)&lt;&gt;0)),1,0)</f>
        <v>0</v>
      </c>
      <c r="S2372" s="3">
        <f t="shared" ref="S2372:S2403" si="642">N(S2371)+$R2372</f>
        <v>0</v>
      </c>
      <c r="T2372" s="3">
        <f>IF(AND($K2372=1,AND(对接源_02物料!$X1172="公司筐",N(对接源_02物料!$V1172)&lt;&gt;0)),1,0)</f>
        <v>0</v>
      </c>
      <c r="U2372" s="3">
        <f t="shared" ref="U2372:U2403" si="643">N(U2371)+$T2372</f>
        <v>19</v>
      </c>
      <c r="V2372" s="3">
        <f>IF(AND($L2372=1,AND(对接源_02物料!$X1172="自备筐",N(对接源_02物料!$V1172)&lt;&gt;0)),1,0)</f>
        <v>0</v>
      </c>
      <c r="W2372" s="3">
        <f t="shared" ref="W2372:W2403" si="644">N(W2371)+$V2372</f>
        <v>8</v>
      </c>
      <c r="X2372" s="3">
        <f>IF(AND($L2372=1,AND(对接源_02物料!$X1172="自备筐",N(对接源_02物料!$T1172)&lt;&gt;0)),1,0)</f>
        <v>0</v>
      </c>
      <c r="Y2372" s="3">
        <f t="shared" ref="Y2372:Y2403" si="645">N(Y2371)+$X2372</f>
        <v>0</v>
      </c>
      <c r="Z2372" s="3">
        <f>IF(AND($M2372=1,对接源_02物料!$D1172="原料入库"),1,0)</f>
        <v>0</v>
      </c>
      <c r="AA2372" s="3">
        <f t="shared" ref="AA2372:AA2403" si="646">N(AA2371)+$Z2372</f>
        <v>24</v>
      </c>
      <c r="AB2372" s="3">
        <f>IF(AND($M2372=1,LEFT(对接源_02物料!$D1172,4)="原料出库"),1,0)</f>
        <v>0</v>
      </c>
      <c r="AC2372" s="3">
        <f t="shared" ref="AC2372:AC2403" si="647">N(AC2371)+$AB2372</f>
        <v>0</v>
      </c>
      <c r="AD2372" s="3">
        <f>IF(AND($M2372=1,LEFT(对接源_02物料!$D1172,4)="成品出库"),1,0)</f>
        <v>0</v>
      </c>
      <c r="AE2372" s="3">
        <f t="shared" ref="AE2372:AE2403" si="648">N(AE2371)+$AD2372</f>
        <v>0</v>
      </c>
      <c r="AF2372" s="3">
        <f>IF(AND($N2372=1,AND(LEFT(对接源_02物料!$D1172,4)="包装物料",N(对接源_02物料!$K1172)&lt;&gt;0)),1,0)</f>
        <v>0</v>
      </c>
      <c r="AG2372" s="3">
        <f t="shared" ref="AG2372:AG2403" si="649">N(AG2371)+$AF2372</f>
        <v>5</v>
      </c>
      <c r="AH2372" s="3">
        <f>IF(AND($N2372=1,AND(对接源_02物料!$D1172="周转筐－销售出库",N(对接源_02物料!$K1172)&lt;&gt;0)),1,0)</f>
        <v>0</v>
      </c>
      <c r="AI2372" s="3">
        <f t="shared" ref="AI2372:AI2403" si="650">N(AI2371)+$AH2372</f>
        <v>0</v>
      </c>
      <c r="AL2372" s="3">
        <v>0</v>
      </c>
      <c r="AM2372" s="3">
        <f t="shared" ref="AM2372:AM2403" si="651">N(AM2371)+$AL2372</f>
        <v>1</v>
      </c>
      <c r="AN2372" s="3" t="str">
        <f t="shared" si="638"/>
        <v/>
      </c>
      <c r="AO2372" s="3">
        <v>0</v>
      </c>
      <c r="AP2372" s="3">
        <f t="shared" ref="AP2372:AP2403" si="652">N(AP2371)+$AO2372</f>
        <v>8</v>
      </c>
      <c r="AR2372">
        <f t="shared" ref="AR2372:AR2403" si="653">IF(OR($AF2372=1,$AH2372=1),1,0)</f>
        <v>0</v>
      </c>
      <c r="AS2372">
        <f t="shared" ref="AS2372:AS2403" si="654">N(AS2371)+$AR2372</f>
        <v>5</v>
      </c>
    </row>
    <row r="2373" customHeight="1" spans="1:45">
      <c r="A2373" s="3" t="str">
        <f>IF(对接源_02物料!$C1173="","",对接源_02物料!$C1173)</f>
        <v/>
      </c>
      <c r="B2373" s="3">
        <f t="shared" si="639"/>
        <v>0</v>
      </c>
      <c r="C2373" s="3">
        <f t="shared" si="640"/>
        <v>21</v>
      </c>
      <c r="K2373" s="3">
        <f>IF(OR($K$1="",对接源_02物料!$C1173="",对接源_02物料!$C1173&lt;&gt;$K$1,对接源_02物料!$B1173=""),0,IF(OR(N(对接源_02物料!$B1173)&lt;$K$2,N(对接源_02物料!$B1173)&gt;$K$3),0,1))</f>
        <v>0</v>
      </c>
      <c r="L2373" s="3">
        <f>IF(OR($L$1="",对接源_02物料!$C1173="",对接源_02物料!$C1173&lt;&gt;$L$1,对接源_02物料!$B1173=""),0,IF(OR(N(对接源_02物料!$B1173)&lt;$L$2,N(对接源_02物料!$B1173)&gt;$L$3),0,1))</f>
        <v>0</v>
      </c>
      <c r="M2373" s="3">
        <f>IF(OR($M$1="",对接源_02物料!$C1173="",对接源_02物料!$C1173&lt;&gt;$M$1,对接源_02物料!$B1173=""),0,IF(OR(N(对接源_02物料!$B1173)&lt;$M$2,N(对接源_02物料!$B1173)&gt;$M$3),0,1))</f>
        <v>0</v>
      </c>
      <c r="N2373" s="3">
        <f>IF(OR($N$1="",对接源_02物料!$C1173="",对接源_02物料!$C1173&lt;&gt;$N$1,对接源_02物料!$B1173=""),0,IF(OR(N(对接源_02物料!$B1173)&lt;$N$2,N(对接源_02物料!$B1173)&gt;$N$3),0,1))</f>
        <v>0</v>
      </c>
      <c r="P2373" s="3">
        <f>IF(AND($K2373=1,AND(对接源_02物料!$X1173="公司筐",N(对接源_02物料!$T1173)&lt;&gt;0)),1,0)</f>
        <v>0</v>
      </c>
      <c r="Q2373" s="3">
        <f t="shared" si="641"/>
        <v>8</v>
      </c>
      <c r="R2373" s="3">
        <f>IF(AND($K2373=1,AND(对接源_02物料!$X1173="公司筐",N(对接源_02物料!$U1173)&lt;&gt;0)),1,0)</f>
        <v>0</v>
      </c>
      <c r="S2373" s="3">
        <f t="shared" si="642"/>
        <v>0</v>
      </c>
      <c r="T2373" s="3">
        <f>IF(AND($K2373=1,AND(对接源_02物料!$X1173="公司筐",N(对接源_02物料!$V1173)&lt;&gt;0)),1,0)</f>
        <v>0</v>
      </c>
      <c r="U2373" s="3">
        <f t="shared" si="643"/>
        <v>19</v>
      </c>
      <c r="V2373" s="3">
        <f>IF(AND($L2373=1,AND(对接源_02物料!$X1173="自备筐",N(对接源_02物料!$V1173)&lt;&gt;0)),1,0)</f>
        <v>0</v>
      </c>
      <c r="W2373" s="3">
        <f t="shared" si="644"/>
        <v>8</v>
      </c>
      <c r="X2373" s="3">
        <f>IF(AND($L2373=1,AND(对接源_02物料!$X1173="自备筐",N(对接源_02物料!$T1173)&lt;&gt;0)),1,0)</f>
        <v>0</v>
      </c>
      <c r="Y2373" s="3">
        <f t="shared" si="645"/>
        <v>0</v>
      </c>
      <c r="Z2373" s="3">
        <f>IF(AND($M2373=1,对接源_02物料!$D1173="原料入库"),1,0)</f>
        <v>0</v>
      </c>
      <c r="AA2373" s="3">
        <f t="shared" si="646"/>
        <v>24</v>
      </c>
      <c r="AB2373" s="3">
        <f>IF(AND($M2373=1,LEFT(对接源_02物料!$D1173,4)="原料出库"),1,0)</f>
        <v>0</v>
      </c>
      <c r="AC2373" s="3">
        <f t="shared" si="647"/>
        <v>0</v>
      </c>
      <c r="AD2373" s="3">
        <f>IF(AND($M2373=1,LEFT(对接源_02物料!$D1173,4)="成品出库"),1,0)</f>
        <v>0</v>
      </c>
      <c r="AE2373" s="3">
        <f t="shared" si="648"/>
        <v>0</v>
      </c>
      <c r="AF2373" s="3">
        <f>IF(AND($N2373=1,AND(LEFT(对接源_02物料!$D1173,4)="包装物料",N(对接源_02物料!$K1173)&lt;&gt;0)),1,0)</f>
        <v>0</v>
      </c>
      <c r="AG2373" s="3">
        <f t="shared" si="649"/>
        <v>5</v>
      </c>
      <c r="AH2373" s="3">
        <f>IF(AND($N2373=1,AND(对接源_02物料!$D1173="周转筐－销售出库",N(对接源_02物料!$K1173)&lt;&gt;0)),1,0)</f>
        <v>0</v>
      </c>
      <c r="AI2373" s="3">
        <f t="shared" si="650"/>
        <v>0</v>
      </c>
      <c r="AL2373" s="3">
        <v>0</v>
      </c>
      <c r="AM2373" s="3">
        <f t="shared" si="651"/>
        <v>1</v>
      </c>
      <c r="AN2373" s="3" t="str">
        <f t="shared" si="638"/>
        <v/>
      </c>
      <c r="AO2373" s="3">
        <v>0</v>
      </c>
      <c r="AP2373" s="3">
        <f t="shared" si="652"/>
        <v>8</v>
      </c>
      <c r="AR2373">
        <f t="shared" si="653"/>
        <v>0</v>
      </c>
      <c r="AS2373">
        <f t="shared" si="654"/>
        <v>5</v>
      </c>
    </row>
    <row r="2374" customHeight="1" spans="1:45">
      <c r="A2374" s="3" t="str">
        <f>IF(对接源_02物料!$C1174="","",对接源_02物料!$C1174)</f>
        <v/>
      </c>
      <c r="B2374" s="3">
        <f t="shared" si="639"/>
        <v>0</v>
      </c>
      <c r="C2374" s="3">
        <f t="shared" si="640"/>
        <v>21</v>
      </c>
      <c r="K2374" s="3">
        <f>IF(OR($K$1="",对接源_02物料!$C1174="",对接源_02物料!$C1174&lt;&gt;$K$1,对接源_02物料!$B1174=""),0,IF(OR(N(对接源_02物料!$B1174)&lt;$K$2,N(对接源_02物料!$B1174)&gt;$K$3),0,1))</f>
        <v>0</v>
      </c>
      <c r="L2374" s="3">
        <f>IF(OR($L$1="",对接源_02物料!$C1174="",对接源_02物料!$C1174&lt;&gt;$L$1,对接源_02物料!$B1174=""),0,IF(OR(N(对接源_02物料!$B1174)&lt;$L$2,N(对接源_02物料!$B1174)&gt;$L$3),0,1))</f>
        <v>0</v>
      </c>
      <c r="M2374" s="3">
        <f>IF(OR($M$1="",对接源_02物料!$C1174="",对接源_02物料!$C1174&lt;&gt;$M$1,对接源_02物料!$B1174=""),0,IF(OR(N(对接源_02物料!$B1174)&lt;$M$2,N(对接源_02物料!$B1174)&gt;$M$3),0,1))</f>
        <v>0</v>
      </c>
      <c r="N2374" s="3">
        <f>IF(OR($N$1="",对接源_02物料!$C1174="",对接源_02物料!$C1174&lt;&gt;$N$1,对接源_02物料!$B1174=""),0,IF(OR(N(对接源_02物料!$B1174)&lt;$N$2,N(对接源_02物料!$B1174)&gt;$N$3),0,1))</f>
        <v>0</v>
      </c>
      <c r="P2374" s="3">
        <f>IF(AND($K2374=1,AND(对接源_02物料!$X1174="公司筐",N(对接源_02物料!$T1174)&lt;&gt;0)),1,0)</f>
        <v>0</v>
      </c>
      <c r="Q2374" s="3">
        <f t="shared" si="641"/>
        <v>8</v>
      </c>
      <c r="R2374" s="3">
        <f>IF(AND($K2374=1,AND(对接源_02物料!$X1174="公司筐",N(对接源_02物料!$U1174)&lt;&gt;0)),1,0)</f>
        <v>0</v>
      </c>
      <c r="S2374" s="3">
        <f t="shared" si="642"/>
        <v>0</v>
      </c>
      <c r="T2374" s="3">
        <f>IF(AND($K2374=1,AND(对接源_02物料!$X1174="公司筐",N(对接源_02物料!$V1174)&lt;&gt;0)),1,0)</f>
        <v>0</v>
      </c>
      <c r="U2374" s="3">
        <f t="shared" si="643"/>
        <v>19</v>
      </c>
      <c r="V2374" s="3">
        <f>IF(AND($L2374=1,AND(对接源_02物料!$X1174="自备筐",N(对接源_02物料!$V1174)&lt;&gt;0)),1,0)</f>
        <v>0</v>
      </c>
      <c r="W2374" s="3">
        <f t="shared" si="644"/>
        <v>8</v>
      </c>
      <c r="X2374" s="3">
        <f>IF(AND($L2374=1,AND(对接源_02物料!$X1174="自备筐",N(对接源_02物料!$T1174)&lt;&gt;0)),1,0)</f>
        <v>0</v>
      </c>
      <c r="Y2374" s="3">
        <f t="shared" si="645"/>
        <v>0</v>
      </c>
      <c r="Z2374" s="3">
        <f>IF(AND($M2374=1,对接源_02物料!$D1174="原料入库"),1,0)</f>
        <v>0</v>
      </c>
      <c r="AA2374" s="3">
        <f t="shared" si="646"/>
        <v>24</v>
      </c>
      <c r="AB2374" s="3">
        <f>IF(AND($M2374=1,LEFT(对接源_02物料!$D1174,4)="原料出库"),1,0)</f>
        <v>0</v>
      </c>
      <c r="AC2374" s="3">
        <f t="shared" si="647"/>
        <v>0</v>
      </c>
      <c r="AD2374" s="3">
        <f>IF(AND($M2374=1,LEFT(对接源_02物料!$D1174,4)="成品出库"),1,0)</f>
        <v>0</v>
      </c>
      <c r="AE2374" s="3">
        <f t="shared" si="648"/>
        <v>0</v>
      </c>
      <c r="AF2374" s="3">
        <f>IF(AND($N2374=1,AND(LEFT(对接源_02物料!$D1174,4)="包装物料",N(对接源_02物料!$K1174)&lt;&gt;0)),1,0)</f>
        <v>0</v>
      </c>
      <c r="AG2374" s="3">
        <f t="shared" si="649"/>
        <v>5</v>
      </c>
      <c r="AH2374" s="3">
        <f>IF(AND($N2374=1,AND(对接源_02物料!$D1174="周转筐－销售出库",N(对接源_02物料!$K1174)&lt;&gt;0)),1,0)</f>
        <v>0</v>
      </c>
      <c r="AI2374" s="3">
        <f t="shared" si="650"/>
        <v>0</v>
      </c>
      <c r="AL2374" s="3">
        <v>0</v>
      </c>
      <c r="AM2374" s="3">
        <f t="shared" si="651"/>
        <v>1</v>
      </c>
      <c r="AN2374" s="3" t="str">
        <f t="shared" si="638"/>
        <v/>
      </c>
      <c r="AO2374" s="3">
        <v>0</v>
      </c>
      <c r="AP2374" s="3">
        <f t="shared" si="652"/>
        <v>8</v>
      </c>
      <c r="AR2374">
        <f t="shared" si="653"/>
        <v>0</v>
      </c>
      <c r="AS2374">
        <f t="shared" si="654"/>
        <v>5</v>
      </c>
    </row>
    <row r="2375" customHeight="1" spans="1:45">
      <c r="A2375" s="3" t="str">
        <f>IF(对接源_02物料!$C1175="","",对接源_02物料!$C1175)</f>
        <v/>
      </c>
      <c r="B2375" s="3">
        <f t="shared" si="639"/>
        <v>0</v>
      </c>
      <c r="C2375" s="3">
        <f t="shared" si="640"/>
        <v>21</v>
      </c>
      <c r="K2375" s="3">
        <f>IF(OR($K$1="",对接源_02物料!$C1175="",对接源_02物料!$C1175&lt;&gt;$K$1,对接源_02物料!$B1175=""),0,IF(OR(N(对接源_02物料!$B1175)&lt;$K$2,N(对接源_02物料!$B1175)&gt;$K$3),0,1))</f>
        <v>0</v>
      </c>
      <c r="L2375" s="3">
        <f>IF(OR($L$1="",对接源_02物料!$C1175="",对接源_02物料!$C1175&lt;&gt;$L$1,对接源_02物料!$B1175=""),0,IF(OR(N(对接源_02物料!$B1175)&lt;$L$2,N(对接源_02物料!$B1175)&gt;$L$3),0,1))</f>
        <v>0</v>
      </c>
      <c r="M2375" s="3">
        <f>IF(OR($M$1="",对接源_02物料!$C1175="",对接源_02物料!$C1175&lt;&gt;$M$1,对接源_02物料!$B1175=""),0,IF(OR(N(对接源_02物料!$B1175)&lt;$M$2,N(对接源_02物料!$B1175)&gt;$M$3),0,1))</f>
        <v>0</v>
      </c>
      <c r="N2375" s="3">
        <f>IF(OR($N$1="",对接源_02物料!$C1175="",对接源_02物料!$C1175&lt;&gt;$N$1,对接源_02物料!$B1175=""),0,IF(OR(N(对接源_02物料!$B1175)&lt;$N$2,N(对接源_02物料!$B1175)&gt;$N$3),0,1))</f>
        <v>0</v>
      </c>
      <c r="P2375" s="3">
        <f>IF(AND($K2375=1,AND(对接源_02物料!$X1175="公司筐",N(对接源_02物料!$T1175)&lt;&gt;0)),1,0)</f>
        <v>0</v>
      </c>
      <c r="Q2375" s="3">
        <f t="shared" si="641"/>
        <v>8</v>
      </c>
      <c r="R2375" s="3">
        <f>IF(AND($K2375=1,AND(对接源_02物料!$X1175="公司筐",N(对接源_02物料!$U1175)&lt;&gt;0)),1,0)</f>
        <v>0</v>
      </c>
      <c r="S2375" s="3">
        <f t="shared" si="642"/>
        <v>0</v>
      </c>
      <c r="T2375" s="3">
        <f>IF(AND($K2375=1,AND(对接源_02物料!$X1175="公司筐",N(对接源_02物料!$V1175)&lt;&gt;0)),1,0)</f>
        <v>0</v>
      </c>
      <c r="U2375" s="3">
        <f t="shared" si="643"/>
        <v>19</v>
      </c>
      <c r="V2375" s="3">
        <f>IF(AND($L2375=1,AND(对接源_02物料!$X1175="自备筐",N(对接源_02物料!$V1175)&lt;&gt;0)),1,0)</f>
        <v>0</v>
      </c>
      <c r="W2375" s="3">
        <f t="shared" si="644"/>
        <v>8</v>
      </c>
      <c r="X2375" s="3">
        <f>IF(AND($L2375=1,AND(对接源_02物料!$X1175="自备筐",N(对接源_02物料!$T1175)&lt;&gt;0)),1,0)</f>
        <v>0</v>
      </c>
      <c r="Y2375" s="3">
        <f t="shared" si="645"/>
        <v>0</v>
      </c>
      <c r="Z2375" s="3">
        <f>IF(AND($M2375=1,对接源_02物料!$D1175="原料入库"),1,0)</f>
        <v>0</v>
      </c>
      <c r="AA2375" s="3">
        <f t="shared" si="646"/>
        <v>24</v>
      </c>
      <c r="AB2375" s="3">
        <f>IF(AND($M2375=1,LEFT(对接源_02物料!$D1175,4)="原料出库"),1,0)</f>
        <v>0</v>
      </c>
      <c r="AC2375" s="3">
        <f t="shared" si="647"/>
        <v>0</v>
      </c>
      <c r="AD2375" s="3">
        <f>IF(AND($M2375=1,LEFT(对接源_02物料!$D1175,4)="成品出库"),1,0)</f>
        <v>0</v>
      </c>
      <c r="AE2375" s="3">
        <f t="shared" si="648"/>
        <v>0</v>
      </c>
      <c r="AF2375" s="3">
        <f>IF(AND($N2375=1,AND(LEFT(对接源_02物料!$D1175,4)="包装物料",N(对接源_02物料!$K1175)&lt;&gt;0)),1,0)</f>
        <v>0</v>
      </c>
      <c r="AG2375" s="3">
        <f t="shared" si="649"/>
        <v>5</v>
      </c>
      <c r="AH2375" s="3">
        <f>IF(AND($N2375=1,AND(对接源_02物料!$D1175="周转筐－销售出库",N(对接源_02物料!$K1175)&lt;&gt;0)),1,0)</f>
        <v>0</v>
      </c>
      <c r="AI2375" s="3">
        <f t="shared" si="650"/>
        <v>0</v>
      </c>
      <c r="AL2375" s="3">
        <v>0</v>
      </c>
      <c r="AM2375" s="3">
        <f t="shared" si="651"/>
        <v>1</v>
      </c>
      <c r="AN2375" s="3" t="str">
        <f t="shared" si="638"/>
        <v/>
      </c>
      <c r="AO2375" s="3">
        <v>0</v>
      </c>
      <c r="AP2375" s="3">
        <f t="shared" si="652"/>
        <v>8</v>
      </c>
      <c r="AR2375">
        <f t="shared" si="653"/>
        <v>0</v>
      </c>
      <c r="AS2375">
        <f t="shared" si="654"/>
        <v>5</v>
      </c>
    </row>
    <row r="2376" customHeight="1" spans="1:45">
      <c r="A2376" s="3" t="str">
        <f>IF(对接源_02物料!$C1176="","",对接源_02物料!$C1176)</f>
        <v/>
      </c>
      <c r="B2376" s="3">
        <f t="shared" si="639"/>
        <v>0</v>
      </c>
      <c r="C2376" s="3">
        <f t="shared" si="640"/>
        <v>21</v>
      </c>
      <c r="K2376" s="3">
        <f>IF(OR($K$1="",对接源_02物料!$C1176="",对接源_02物料!$C1176&lt;&gt;$K$1,对接源_02物料!$B1176=""),0,IF(OR(N(对接源_02物料!$B1176)&lt;$K$2,N(对接源_02物料!$B1176)&gt;$K$3),0,1))</f>
        <v>0</v>
      </c>
      <c r="L2376" s="3">
        <f>IF(OR($L$1="",对接源_02物料!$C1176="",对接源_02物料!$C1176&lt;&gt;$L$1,对接源_02物料!$B1176=""),0,IF(OR(N(对接源_02物料!$B1176)&lt;$L$2,N(对接源_02物料!$B1176)&gt;$L$3),0,1))</f>
        <v>0</v>
      </c>
      <c r="M2376" s="3">
        <f>IF(OR($M$1="",对接源_02物料!$C1176="",对接源_02物料!$C1176&lt;&gt;$M$1,对接源_02物料!$B1176=""),0,IF(OR(N(对接源_02物料!$B1176)&lt;$M$2,N(对接源_02物料!$B1176)&gt;$M$3),0,1))</f>
        <v>0</v>
      </c>
      <c r="N2376" s="3">
        <f>IF(OR($N$1="",对接源_02物料!$C1176="",对接源_02物料!$C1176&lt;&gt;$N$1,对接源_02物料!$B1176=""),0,IF(OR(N(对接源_02物料!$B1176)&lt;$N$2,N(对接源_02物料!$B1176)&gt;$N$3),0,1))</f>
        <v>0</v>
      </c>
      <c r="P2376" s="3">
        <f>IF(AND($K2376=1,AND(对接源_02物料!$X1176="公司筐",N(对接源_02物料!$T1176)&lt;&gt;0)),1,0)</f>
        <v>0</v>
      </c>
      <c r="Q2376" s="3">
        <f t="shared" si="641"/>
        <v>8</v>
      </c>
      <c r="R2376" s="3">
        <f>IF(AND($K2376=1,AND(对接源_02物料!$X1176="公司筐",N(对接源_02物料!$U1176)&lt;&gt;0)),1,0)</f>
        <v>0</v>
      </c>
      <c r="S2376" s="3">
        <f t="shared" si="642"/>
        <v>0</v>
      </c>
      <c r="T2376" s="3">
        <f>IF(AND($K2376=1,AND(对接源_02物料!$X1176="公司筐",N(对接源_02物料!$V1176)&lt;&gt;0)),1,0)</f>
        <v>0</v>
      </c>
      <c r="U2376" s="3">
        <f t="shared" si="643"/>
        <v>19</v>
      </c>
      <c r="V2376" s="3">
        <f>IF(AND($L2376=1,AND(对接源_02物料!$X1176="自备筐",N(对接源_02物料!$V1176)&lt;&gt;0)),1,0)</f>
        <v>0</v>
      </c>
      <c r="W2376" s="3">
        <f t="shared" si="644"/>
        <v>8</v>
      </c>
      <c r="X2376" s="3">
        <f>IF(AND($L2376=1,AND(对接源_02物料!$X1176="自备筐",N(对接源_02物料!$T1176)&lt;&gt;0)),1,0)</f>
        <v>0</v>
      </c>
      <c r="Y2376" s="3">
        <f t="shared" si="645"/>
        <v>0</v>
      </c>
      <c r="Z2376" s="3">
        <f>IF(AND($M2376=1,对接源_02物料!$D1176="原料入库"),1,0)</f>
        <v>0</v>
      </c>
      <c r="AA2376" s="3">
        <f t="shared" si="646"/>
        <v>24</v>
      </c>
      <c r="AB2376" s="3">
        <f>IF(AND($M2376=1,LEFT(对接源_02物料!$D1176,4)="原料出库"),1,0)</f>
        <v>0</v>
      </c>
      <c r="AC2376" s="3">
        <f t="shared" si="647"/>
        <v>0</v>
      </c>
      <c r="AD2376" s="3">
        <f>IF(AND($M2376=1,LEFT(对接源_02物料!$D1176,4)="成品出库"),1,0)</f>
        <v>0</v>
      </c>
      <c r="AE2376" s="3">
        <f t="shared" si="648"/>
        <v>0</v>
      </c>
      <c r="AF2376" s="3">
        <f>IF(AND($N2376=1,AND(LEFT(对接源_02物料!$D1176,4)="包装物料",N(对接源_02物料!$K1176)&lt;&gt;0)),1,0)</f>
        <v>0</v>
      </c>
      <c r="AG2376" s="3">
        <f t="shared" si="649"/>
        <v>5</v>
      </c>
      <c r="AH2376" s="3">
        <f>IF(AND($N2376=1,AND(对接源_02物料!$D1176="周转筐－销售出库",N(对接源_02物料!$K1176)&lt;&gt;0)),1,0)</f>
        <v>0</v>
      </c>
      <c r="AI2376" s="3">
        <f t="shared" si="650"/>
        <v>0</v>
      </c>
      <c r="AL2376" s="3">
        <v>0</v>
      </c>
      <c r="AM2376" s="3">
        <f t="shared" si="651"/>
        <v>1</v>
      </c>
      <c r="AN2376" s="3" t="str">
        <f t="shared" si="638"/>
        <v/>
      </c>
      <c r="AO2376" s="3">
        <v>0</v>
      </c>
      <c r="AP2376" s="3">
        <f t="shared" si="652"/>
        <v>8</v>
      </c>
      <c r="AR2376">
        <f t="shared" si="653"/>
        <v>0</v>
      </c>
      <c r="AS2376">
        <f t="shared" si="654"/>
        <v>5</v>
      </c>
    </row>
    <row r="2377" customHeight="1" spans="1:45">
      <c r="A2377" s="3" t="str">
        <f>IF(对接源_02物料!$C1177="","",对接源_02物料!$C1177)</f>
        <v/>
      </c>
      <c r="B2377" s="3">
        <f t="shared" si="639"/>
        <v>0</v>
      </c>
      <c r="C2377" s="3">
        <f t="shared" si="640"/>
        <v>21</v>
      </c>
      <c r="K2377" s="3">
        <f>IF(OR($K$1="",对接源_02物料!$C1177="",对接源_02物料!$C1177&lt;&gt;$K$1,对接源_02物料!$B1177=""),0,IF(OR(N(对接源_02物料!$B1177)&lt;$K$2,N(对接源_02物料!$B1177)&gt;$K$3),0,1))</f>
        <v>0</v>
      </c>
      <c r="L2377" s="3">
        <f>IF(OR($L$1="",对接源_02物料!$C1177="",对接源_02物料!$C1177&lt;&gt;$L$1,对接源_02物料!$B1177=""),0,IF(OR(N(对接源_02物料!$B1177)&lt;$L$2,N(对接源_02物料!$B1177)&gt;$L$3),0,1))</f>
        <v>0</v>
      </c>
      <c r="M2377" s="3">
        <f>IF(OR($M$1="",对接源_02物料!$C1177="",对接源_02物料!$C1177&lt;&gt;$M$1,对接源_02物料!$B1177=""),0,IF(OR(N(对接源_02物料!$B1177)&lt;$M$2,N(对接源_02物料!$B1177)&gt;$M$3),0,1))</f>
        <v>0</v>
      </c>
      <c r="N2377" s="3">
        <f>IF(OR($N$1="",对接源_02物料!$C1177="",对接源_02物料!$C1177&lt;&gt;$N$1,对接源_02物料!$B1177=""),0,IF(OR(N(对接源_02物料!$B1177)&lt;$N$2,N(对接源_02物料!$B1177)&gt;$N$3),0,1))</f>
        <v>0</v>
      </c>
      <c r="P2377" s="3">
        <f>IF(AND($K2377=1,AND(对接源_02物料!$X1177="公司筐",N(对接源_02物料!$T1177)&lt;&gt;0)),1,0)</f>
        <v>0</v>
      </c>
      <c r="Q2377" s="3">
        <f t="shared" si="641"/>
        <v>8</v>
      </c>
      <c r="R2377" s="3">
        <f>IF(AND($K2377=1,AND(对接源_02物料!$X1177="公司筐",N(对接源_02物料!$U1177)&lt;&gt;0)),1,0)</f>
        <v>0</v>
      </c>
      <c r="S2377" s="3">
        <f t="shared" si="642"/>
        <v>0</v>
      </c>
      <c r="T2377" s="3">
        <f>IF(AND($K2377=1,AND(对接源_02物料!$X1177="公司筐",N(对接源_02物料!$V1177)&lt;&gt;0)),1,0)</f>
        <v>0</v>
      </c>
      <c r="U2377" s="3">
        <f t="shared" si="643"/>
        <v>19</v>
      </c>
      <c r="V2377" s="3">
        <f>IF(AND($L2377=1,AND(对接源_02物料!$X1177="自备筐",N(对接源_02物料!$V1177)&lt;&gt;0)),1,0)</f>
        <v>0</v>
      </c>
      <c r="W2377" s="3">
        <f t="shared" si="644"/>
        <v>8</v>
      </c>
      <c r="X2377" s="3">
        <f>IF(AND($L2377=1,AND(对接源_02物料!$X1177="自备筐",N(对接源_02物料!$T1177)&lt;&gt;0)),1,0)</f>
        <v>0</v>
      </c>
      <c r="Y2377" s="3">
        <f t="shared" si="645"/>
        <v>0</v>
      </c>
      <c r="Z2377" s="3">
        <f>IF(AND($M2377=1,对接源_02物料!$D1177="原料入库"),1,0)</f>
        <v>0</v>
      </c>
      <c r="AA2377" s="3">
        <f t="shared" si="646"/>
        <v>24</v>
      </c>
      <c r="AB2377" s="3">
        <f>IF(AND($M2377=1,LEFT(对接源_02物料!$D1177,4)="原料出库"),1,0)</f>
        <v>0</v>
      </c>
      <c r="AC2377" s="3">
        <f t="shared" si="647"/>
        <v>0</v>
      </c>
      <c r="AD2377" s="3">
        <f>IF(AND($M2377=1,LEFT(对接源_02物料!$D1177,4)="成品出库"),1,0)</f>
        <v>0</v>
      </c>
      <c r="AE2377" s="3">
        <f t="shared" si="648"/>
        <v>0</v>
      </c>
      <c r="AF2377" s="3">
        <f>IF(AND($N2377=1,AND(LEFT(对接源_02物料!$D1177,4)="包装物料",N(对接源_02物料!$K1177)&lt;&gt;0)),1,0)</f>
        <v>0</v>
      </c>
      <c r="AG2377" s="3">
        <f t="shared" si="649"/>
        <v>5</v>
      </c>
      <c r="AH2377" s="3">
        <f>IF(AND($N2377=1,AND(对接源_02物料!$D1177="周转筐－销售出库",N(对接源_02物料!$K1177)&lt;&gt;0)),1,0)</f>
        <v>0</v>
      </c>
      <c r="AI2377" s="3">
        <f t="shared" si="650"/>
        <v>0</v>
      </c>
      <c r="AL2377" s="3">
        <v>0</v>
      </c>
      <c r="AM2377" s="3">
        <f t="shared" si="651"/>
        <v>1</v>
      </c>
      <c r="AN2377" s="3" t="str">
        <f t="shared" si="638"/>
        <v/>
      </c>
      <c r="AO2377" s="3">
        <v>0</v>
      </c>
      <c r="AP2377" s="3">
        <f t="shared" si="652"/>
        <v>8</v>
      </c>
      <c r="AR2377">
        <f t="shared" si="653"/>
        <v>0</v>
      </c>
      <c r="AS2377">
        <f t="shared" si="654"/>
        <v>5</v>
      </c>
    </row>
    <row r="2378" customHeight="1" spans="1:45">
      <c r="A2378" s="3" t="str">
        <f>IF(对接源_02物料!$C1178="","",对接源_02物料!$C1178)</f>
        <v/>
      </c>
      <c r="B2378" s="3">
        <f t="shared" si="639"/>
        <v>0</v>
      </c>
      <c r="C2378" s="3">
        <f t="shared" si="640"/>
        <v>21</v>
      </c>
      <c r="K2378" s="3">
        <f>IF(OR($K$1="",对接源_02物料!$C1178="",对接源_02物料!$C1178&lt;&gt;$K$1,对接源_02物料!$B1178=""),0,IF(OR(N(对接源_02物料!$B1178)&lt;$K$2,N(对接源_02物料!$B1178)&gt;$K$3),0,1))</f>
        <v>0</v>
      </c>
      <c r="L2378" s="3">
        <f>IF(OR($L$1="",对接源_02物料!$C1178="",对接源_02物料!$C1178&lt;&gt;$L$1,对接源_02物料!$B1178=""),0,IF(OR(N(对接源_02物料!$B1178)&lt;$L$2,N(对接源_02物料!$B1178)&gt;$L$3),0,1))</f>
        <v>0</v>
      </c>
      <c r="M2378" s="3">
        <f>IF(OR($M$1="",对接源_02物料!$C1178="",对接源_02物料!$C1178&lt;&gt;$M$1,对接源_02物料!$B1178=""),0,IF(OR(N(对接源_02物料!$B1178)&lt;$M$2,N(对接源_02物料!$B1178)&gt;$M$3),0,1))</f>
        <v>0</v>
      </c>
      <c r="N2378" s="3">
        <f>IF(OR($N$1="",对接源_02物料!$C1178="",对接源_02物料!$C1178&lt;&gt;$N$1,对接源_02物料!$B1178=""),0,IF(OR(N(对接源_02物料!$B1178)&lt;$N$2,N(对接源_02物料!$B1178)&gt;$N$3),0,1))</f>
        <v>0</v>
      </c>
      <c r="P2378" s="3">
        <f>IF(AND($K2378=1,AND(对接源_02物料!$X1178="公司筐",N(对接源_02物料!$T1178)&lt;&gt;0)),1,0)</f>
        <v>0</v>
      </c>
      <c r="Q2378" s="3">
        <f t="shared" si="641"/>
        <v>8</v>
      </c>
      <c r="R2378" s="3">
        <f>IF(AND($K2378=1,AND(对接源_02物料!$X1178="公司筐",N(对接源_02物料!$U1178)&lt;&gt;0)),1,0)</f>
        <v>0</v>
      </c>
      <c r="S2378" s="3">
        <f t="shared" si="642"/>
        <v>0</v>
      </c>
      <c r="T2378" s="3">
        <f>IF(AND($K2378=1,AND(对接源_02物料!$X1178="公司筐",N(对接源_02物料!$V1178)&lt;&gt;0)),1,0)</f>
        <v>0</v>
      </c>
      <c r="U2378" s="3">
        <f t="shared" si="643"/>
        <v>19</v>
      </c>
      <c r="V2378" s="3">
        <f>IF(AND($L2378=1,AND(对接源_02物料!$X1178="自备筐",N(对接源_02物料!$V1178)&lt;&gt;0)),1,0)</f>
        <v>0</v>
      </c>
      <c r="W2378" s="3">
        <f t="shared" si="644"/>
        <v>8</v>
      </c>
      <c r="X2378" s="3">
        <f>IF(AND($L2378=1,AND(对接源_02物料!$X1178="自备筐",N(对接源_02物料!$T1178)&lt;&gt;0)),1,0)</f>
        <v>0</v>
      </c>
      <c r="Y2378" s="3">
        <f t="shared" si="645"/>
        <v>0</v>
      </c>
      <c r="Z2378" s="3">
        <f>IF(AND($M2378=1,对接源_02物料!$D1178="原料入库"),1,0)</f>
        <v>0</v>
      </c>
      <c r="AA2378" s="3">
        <f t="shared" si="646"/>
        <v>24</v>
      </c>
      <c r="AB2378" s="3">
        <f>IF(AND($M2378=1,LEFT(对接源_02物料!$D1178,4)="原料出库"),1,0)</f>
        <v>0</v>
      </c>
      <c r="AC2378" s="3">
        <f t="shared" si="647"/>
        <v>0</v>
      </c>
      <c r="AD2378" s="3">
        <f>IF(AND($M2378=1,LEFT(对接源_02物料!$D1178,4)="成品出库"),1,0)</f>
        <v>0</v>
      </c>
      <c r="AE2378" s="3">
        <f t="shared" si="648"/>
        <v>0</v>
      </c>
      <c r="AF2378" s="3">
        <f>IF(AND($N2378=1,AND(LEFT(对接源_02物料!$D1178,4)="包装物料",N(对接源_02物料!$K1178)&lt;&gt;0)),1,0)</f>
        <v>0</v>
      </c>
      <c r="AG2378" s="3">
        <f t="shared" si="649"/>
        <v>5</v>
      </c>
      <c r="AH2378" s="3">
        <f>IF(AND($N2378=1,AND(对接源_02物料!$D1178="周转筐－销售出库",N(对接源_02物料!$K1178)&lt;&gt;0)),1,0)</f>
        <v>0</v>
      </c>
      <c r="AI2378" s="3">
        <f t="shared" si="650"/>
        <v>0</v>
      </c>
      <c r="AL2378" s="3">
        <v>0</v>
      </c>
      <c r="AM2378" s="3">
        <f t="shared" si="651"/>
        <v>1</v>
      </c>
      <c r="AN2378" s="3" t="str">
        <f t="shared" si="638"/>
        <v/>
      </c>
      <c r="AO2378" s="3">
        <v>0</v>
      </c>
      <c r="AP2378" s="3">
        <f t="shared" si="652"/>
        <v>8</v>
      </c>
      <c r="AR2378">
        <f t="shared" si="653"/>
        <v>0</v>
      </c>
      <c r="AS2378">
        <f t="shared" si="654"/>
        <v>5</v>
      </c>
    </row>
    <row r="2379" customHeight="1" spans="1:45">
      <c r="A2379" s="3" t="str">
        <f>IF(对接源_02物料!$C1179="","",对接源_02物料!$C1179)</f>
        <v/>
      </c>
      <c r="B2379" s="3">
        <f t="shared" si="639"/>
        <v>0</v>
      </c>
      <c r="C2379" s="3">
        <f t="shared" si="640"/>
        <v>21</v>
      </c>
      <c r="K2379" s="3">
        <f>IF(OR($K$1="",对接源_02物料!$C1179="",对接源_02物料!$C1179&lt;&gt;$K$1,对接源_02物料!$B1179=""),0,IF(OR(N(对接源_02物料!$B1179)&lt;$K$2,N(对接源_02物料!$B1179)&gt;$K$3),0,1))</f>
        <v>0</v>
      </c>
      <c r="L2379" s="3">
        <f>IF(OR($L$1="",对接源_02物料!$C1179="",对接源_02物料!$C1179&lt;&gt;$L$1,对接源_02物料!$B1179=""),0,IF(OR(N(对接源_02物料!$B1179)&lt;$L$2,N(对接源_02物料!$B1179)&gt;$L$3),0,1))</f>
        <v>0</v>
      </c>
      <c r="M2379" s="3">
        <f>IF(OR($M$1="",对接源_02物料!$C1179="",对接源_02物料!$C1179&lt;&gt;$M$1,对接源_02物料!$B1179=""),0,IF(OR(N(对接源_02物料!$B1179)&lt;$M$2,N(对接源_02物料!$B1179)&gt;$M$3),0,1))</f>
        <v>0</v>
      </c>
      <c r="N2379" s="3">
        <f>IF(OR($N$1="",对接源_02物料!$C1179="",对接源_02物料!$C1179&lt;&gt;$N$1,对接源_02物料!$B1179=""),0,IF(OR(N(对接源_02物料!$B1179)&lt;$N$2,N(对接源_02物料!$B1179)&gt;$N$3),0,1))</f>
        <v>0</v>
      </c>
      <c r="P2379" s="3">
        <f>IF(AND($K2379=1,AND(对接源_02物料!$X1179="公司筐",N(对接源_02物料!$T1179)&lt;&gt;0)),1,0)</f>
        <v>0</v>
      </c>
      <c r="Q2379" s="3">
        <f t="shared" si="641"/>
        <v>8</v>
      </c>
      <c r="R2379" s="3">
        <f>IF(AND($K2379=1,AND(对接源_02物料!$X1179="公司筐",N(对接源_02物料!$U1179)&lt;&gt;0)),1,0)</f>
        <v>0</v>
      </c>
      <c r="S2379" s="3">
        <f t="shared" si="642"/>
        <v>0</v>
      </c>
      <c r="T2379" s="3">
        <f>IF(AND($K2379=1,AND(对接源_02物料!$X1179="公司筐",N(对接源_02物料!$V1179)&lt;&gt;0)),1,0)</f>
        <v>0</v>
      </c>
      <c r="U2379" s="3">
        <f t="shared" si="643"/>
        <v>19</v>
      </c>
      <c r="V2379" s="3">
        <f>IF(AND($L2379=1,AND(对接源_02物料!$X1179="自备筐",N(对接源_02物料!$V1179)&lt;&gt;0)),1,0)</f>
        <v>0</v>
      </c>
      <c r="W2379" s="3">
        <f t="shared" si="644"/>
        <v>8</v>
      </c>
      <c r="X2379" s="3">
        <f>IF(AND($L2379=1,AND(对接源_02物料!$X1179="自备筐",N(对接源_02物料!$T1179)&lt;&gt;0)),1,0)</f>
        <v>0</v>
      </c>
      <c r="Y2379" s="3">
        <f t="shared" si="645"/>
        <v>0</v>
      </c>
      <c r="Z2379" s="3">
        <f>IF(AND($M2379=1,对接源_02物料!$D1179="原料入库"),1,0)</f>
        <v>0</v>
      </c>
      <c r="AA2379" s="3">
        <f t="shared" si="646"/>
        <v>24</v>
      </c>
      <c r="AB2379" s="3">
        <f>IF(AND($M2379=1,LEFT(对接源_02物料!$D1179,4)="原料出库"),1,0)</f>
        <v>0</v>
      </c>
      <c r="AC2379" s="3">
        <f t="shared" si="647"/>
        <v>0</v>
      </c>
      <c r="AD2379" s="3">
        <f>IF(AND($M2379=1,LEFT(对接源_02物料!$D1179,4)="成品出库"),1,0)</f>
        <v>0</v>
      </c>
      <c r="AE2379" s="3">
        <f t="shared" si="648"/>
        <v>0</v>
      </c>
      <c r="AF2379" s="3">
        <f>IF(AND($N2379=1,AND(LEFT(对接源_02物料!$D1179,4)="包装物料",N(对接源_02物料!$K1179)&lt;&gt;0)),1,0)</f>
        <v>0</v>
      </c>
      <c r="AG2379" s="3">
        <f t="shared" si="649"/>
        <v>5</v>
      </c>
      <c r="AH2379" s="3">
        <f>IF(AND($N2379=1,AND(对接源_02物料!$D1179="周转筐－销售出库",N(对接源_02物料!$K1179)&lt;&gt;0)),1,0)</f>
        <v>0</v>
      </c>
      <c r="AI2379" s="3">
        <f t="shared" si="650"/>
        <v>0</v>
      </c>
      <c r="AL2379" s="3">
        <v>0</v>
      </c>
      <c r="AM2379" s="3">
        <f t="shared" si="651"/>
        <v>1</v>
      </c>
      <c r="AN2379" s="3" t="str">
        <f t="shared" si="638"/>
        <v/>
      </c>
      <c r="AO2379" s="3">
        <v>0</v>
      </c>
      <c r="AP2379" s="3">
        <f t="shared" si="652"/>
        <v>8</v>
      </c>
      <c r="AR2379">
        <f t="shared" si="653"/>
        <v>0</v>
      </c>
      <c r="AS2379">
        <f t="shared" si="654"/>
        <v>5</v>
      </c>
    </row>
    <row r="2380" customHeight="1" spans="1:45">
      <c r="A2380" s="3" t="str">
        <f>IF(对接源_02物料!$C1180="","",对接源_02物料!$C1180)</f>
        <v/>
      </c>
      <c r="B2380" s="3">
        <f t="shared" si="639"/>
        <v>0</v>
      </c>
      <c r="C2380" s="3">
        <f t="shared" si="640"/>
        <v>21</v>
      </c>
      <c r="K2380" s="3">
        <f>IF(OR($K$1="",对接源_02物料!$C1180="",对接源_02物料!$C1180&lt;&gt;$K$1,对接源_02物料!$B1180=""),0,IF(OR(N(对接源_02物料!$B1180)&lt;$K$2,N(对接源_02物料!$B1180)&gt;$K$3),0,1))</f>
        <v>0</v>
      </c>
      <c r="L2380" s="3">
        <f>IF(OR($L$1="",对接源_02物料!$C1180="",对接源_02物料!$C1180&lt;&gt;$L$1,对接源_02物料!$B1180=""),0,IF(OR(N(对接源_02物料!$B1180)&lt;$L$2,N(对接源_02物料!$B1180)&gt;$L$3),0,1))</f>
        <v>0</v>
      </c>
      <c r="M2380" s="3">
        <f>IF(OR($M$1="",对接源_02物料!$C1180="",对接源_02物料!$C1180&lt;&gt;$M$1,对接源_02物料!$B1180=""),0,IF(OR(N(对接源_02物料!$B1180)&lt;$M$2,N(对接源_02物料!$B1180)&gt;$M$3),0,1))</f>
        <v>0</v>
      </c>
      <c r="N2380" s="3">
        <f>IF(OR($N$1="",对接源_02物料!$C1180="",对接源_02物料!$C1180&lt;&gt;$N$1,对接源_02物料!$B1180=""),0,IF(OR(N(对接源_02物料!$B1180)&lt;$N$2,N(对接源_02物料!$B1180)&gt;$N$3),0,1))</f>
        <v>0</v>
      </c>
      <c r="P2380" s="3">
        <f>IF(AND($K2380=1,AND(对接源_02物料!$X1180="公司筐",N(对接源_02物料!$T1180)&lt;&gt;0)),1,0)</f>
        <v>0</v>
      </c>
      <c r="Q2380" s="3">
        <f t="shared" si="641"/>
        <v>8</v>
      </c>
      <c r="R2380" s="3">
        <f>IF(AND($K2380=1,AND(对接源_02物料!$X1180="公司筐",N(对接源_02物料!$U1180)&lt;&gt;0)),1,0)</f>
        <v>0</v>
      </c>
      <c r="S2380" s="3">
        <f t="shared" si="642"/>
        <v>0</v>
      </c>
      <c r="T2380" s="3">
        <f>IF(AND($K2380=1,AND(对接源_02物料!$X1180="公司筐",N(对接源_02物料!$V1180)&lt;&gt;0)),1,0)</f>
        <v>0</v>
      </c>
      <c r="U2380" s="3">
        <f t="shared" si="643"/>
        <v>19</v>
      </c>
      <c r="V2380" s="3">
        <f>IF(AND($L2380=1,AND(对接源_02物料!$X1180="自备筐",N(对接源_02物料!$V1180)&lt;&gt;0)),1,0)</f>
        <v>0</v>
      </c>
      <c r="W2380" s="3">
        <f t="shared" si="644"/>
        <v>8</v>
      </c>
      <c r="X2380" s="3">
        <f>IF(AND($L2380=1,AND(对接源_02物料!$X1180="自备筐",N(对接源_02物料!$T1180)&lt;&gt;0)),1,0)</f>
        <v>0</v>
      </c>
      <c r="Y2380" s="3">
        <f t="shared" si="645"/>
        <v>0</v>
      </c>
      <c r="Z2380" s="3">
        <f>IF(AND($M2380=1,对接源_02物料!$D1180="原料入库"),1,0)</f>
        <v>0</v>
      </c>
      <c r="AA2380" s="3">
        <f t="shared" si="646"/>
        <v>24</v>
      </c>
      <c r="AB2380" s="3">
        <f>IF(AND($M2380=1,LEFT(对接源_02物料!$D1180,4)="原料出库"),1,0)</f>
        <v>0</v>
      </c>
      <c r="AC2380" s="3">
        <f t="shared" si="647"/>
        <v>0</v>
      </c>
      <c r="AD2380" s="3">
        <f>IF(AND($M2380=1,LEFT(对接源_02物料!$D1180,4)="成品出库"),1,0)</f>
        <v>0</v>
      </c>
      <c r="AE2380" s="3">
        <f t="shared" si="648"/>
        <v>0</v>
      </c>
      <c r="AF2380" s="3">
        <f>IF(AND($N2380=1,AND(LEFT(对接源_02物料!$D1180,4)="包装物料",N(对接源_02物料!$K1180)&lt;&gt;0)),1,0)</f>
        <v>0</v>
      </c>
      <c r="AG2380" s="3">
        <f t="shared" si="649"/>
        <v>5</v>
      </c>
      <c r="AH2380" s="3">
        <f>IF(AND($N2380=1,AND(对接源_02物料!$D1180="周转筐－销售出库",N(对接源_02物料!$K1180)&lt;&gt;0)),1,0)</f>
        <v>0</v>
      </c>
      <c r="AI2380" s="3">
        <f t="shared" si="650"/>
        <v>0</v>
      </c>
      <c r="AL2380" s="3">
        <v>0</v>
      </c>
      <c r="AM2380" s="3">
        <f t="shared" si="651"/>
        <v>1</v>
      </c>
      <c r="AN2380" s="3" t="str">
        <f t="shared" si="638"/>
        <v/>
      </c>
      <c r="AO2380" s="3">
        <v>0</v>
      </c>
      <c r="AP2380" s="3">
        <f t="shared" si="652"/>
        <v>8</v>
      </c>
      <c r="AR2380">
        <f t="shared" si="653"/>
        <v>0</v>
      </c>
      <c r="AS2380">
        <f t="shared" si="654"/>
        <v>5</v>
      </c>
    </row>
    <row r="2381" customHeight="1" spans="1:45">
      <c r="A2381" s="3" t="str">
        <f>IF(对接源_02物料!$C1181="","",对接源_02物料!$C1181)</f>
        <v/>
      </c>
      <c r="B2381" s="3">
        <f t="shared" si="639"/>
        <v>0</v>
      </c>
      <c r="C2381" s="3">
        <f t="shared" si="640"/>
        <v>21</v>
      </c>
      <c r="K2381" s="3">
        <f>IF(OR($K$1="",对接源_02物料!$C1181="",对接源_02物料!$C1181&lt;&gt;$K$1,对接源_02物料!$B1181=""),0,IF(OR(N(对接源_02物料!$B1181)&lt;$K$2,N(对接源_02物料!$B1181)&gt;$K$3),0,1))</f>
        <v>0</v>
      </c>
      <c r="L2381" s="3">
        <f>IF(OR($L$1="",对接源_02物料!$C1181="",对接源_02物料!$C1181&lt;&gt;$L$1,对接源_02物料!$B1181=""),0,IF(OR(N(对接源_02物料!$B1181)&lt;$L$2,N(对接源_02物料!$B1181)&gt;$L$3),0,1))</f>
        <v>0</v>
      </c>
      <c r="M2381" s="3">
        <f>IF(OR($M$1="",对接源_02物料!$C1181="",对接源_02物料!$C1181&lt;&gt;$M$1,对接源_02物料!$B1181=""),0,IF(OR(N(对接源_02物料!$B1181)&lt;$M$2,N(对接源_02物料!$B1181)&gt;$M$3),0,1))</f>
        <v>0</v>
      </c>
      <c r="N2381" s="3">
        <f>IF(OR($N$1="",对接源_02物料!$C1181="",对接源_02物料!$C1181&lt;&gt;$N$1,对接源_02物料!$B1181=""),0,IF(OR(N(对接源_02物料!$B1181)&lt;$N$2,N(对接源_02物料!$B1181)&gt;$N$3),0,1))</f>
        <v>0</v>
      </c>
      <c r="P2381" s="3">
        <f>IF(AND($K2381=1,AND(对接源_02物料!$X1181="公司筐",N(对接源_02物料!$T1181)&lt;&gt;0)),1,0)</f>
        <v>0</v>
      </c>
      <c r="Q2381" s="3">
        <f t="shared" si="641"/>
        <v>8</v>
      </c>
      <c r="R2381" s="3">
        <f>IF(AND($K2381=1,AND(对接源_02物料!$X1181="公司筐",N(对接源_02物料!$U1181)&lt;&gt;0)),1,0)</f>
        <v>0</v>
      </c>
      <c r="S2381" s="3">
        <f t="shared" si="642"/>
        <v>0</v>
      </c>
      <c r="T2381" s="3">
        <f>IF(AND($K2381=1,AND(对接源_02物料!$X1181="公司筐",N(对接源_02物料!$V1181)&lt;&gt;0)),1,0)</f>
        <v>0</v>
      </c>
      <c r="U2381" s="3">
        <f t="shared" si="643"/>
        <v>19</v>
      </c>
      <c r="V2381" s="3">
        <f>IF(AND($L2381=1,AND(对接源_02物料!$X1181="自备筐",N(对接源_02物料!$V1181)&lt;&gt;0)),1,0)</f>
        <v>0</v>
      </c>
      <c r="W2381" s="3">
        <f t="shared" si="644"/>
        <v>8</v>
      </c>
      <c r="X2381" s="3">
        <f>IF(AND($L2381=1,AND(对接源_02物料!$X1181="自备筐",N(对接源_02物料!$T1181)&lt;&gt;0)),1,0)</f>
        <v>0</v>
      </c>
      <c r="Y2381" s="3">
        <f t="shared" si="645"/>
        <v>0</v>
      </c>
      <c r="Z2381" s="3">
        <f>IF(AND($M2381=1,对接源_02物料!$D1181="原料入库"),1,0)</f>
        <v>0</v>
      </c>
      <c r="AA2381" s="3">
        <f t="shared" si="646"/>
        <v>24</v>
      </c>
      <c r="AB2381" s="3">
        <f>IF(AND($M2381=1,LEFT(对接源_02物料!$D1181,4)="原料出库"),1,0)</f>
        <v>0</v>
      </c>
      <c r="AC2381" s="3">
        <f t="shared" si="647"/>
        <v>0</v>
      </c>
      <c r="AD2381" s="3">
        <f>IF(AND($M2381=1,LEFT(对接源_02物料!$D1181,4)="成品出库"),1,0)</f>
        <v>0</v>
      </c>
      <c r="AE2381" s="3">
        <f t="shared" si="648"/>
        <v>0</v>
      </c>
      <c r="AF2381" s="3">
        <f>IF(AND($N2381=1,AND(LEFT(对接源_02物料!$D1181,4)="包装物料",N(对接源_02物料!$K1181)&lt;&gt;0)),1,0)</f>
        <v>0</v>
      </c>
      <c r="AG2381" s="3">
        <f t="shared" si="649"/>
        <v>5</v>
      </c>
      <c r="AH2381" s="3">
        <f>IF(AND($N2381=1,AND(对接源_02物料!$D1181="周转筐－销售出库",N(对接源_02物料!$K1181)&lt;&gt;0)),1,0)</f>
        <v>0</v>
      </c>
      <c r="AI2381" s="3">
        <f t="shared" si="650"/>
        <v>0</v>
      </c>
      <c r="AL2381" s="3">
        <v>0</v>
      </c>
      <c r="AM2381" s="3">
        <f t="shared" si="651"/>
        <v>1</v>
      </c>
      <c r="AN2381" s="3" t="str">
        <f t="shared" si="638"/>
        <v/>
      </c>
      <c r="AO2381" s="3">
        <v>0</v>
      </c>
      <c r="AP2381" s="3">
        <f t="shared" si="652"/>
        <v>8</v>
      </c>
      <c r="AR2381">
        <f t="shared" si="653"/>
        <v>0</v>
      </c>
      <c r="AS2381">
        <f t="shared" si="654"/>
        <v>5</v>
      </c>
    </row>
    <row r="2382" customHeight="1" spans="1:45">
      <c r="A2382" s="3" t="str">
        <f>IF(对接源_02物料!$C1182="","",对接源_02物料!$C1182)</f>
        <v/>
      </c>
      <c r="B2382" s="3">
        <f t="shared" si="639"/>
        <v>0</v>
      </c>
      <c r="C2382" s="3">
        <f t="shared" si="640"/>
        <v>21</v>
      </c>
      <c r="K2382" s="3">
        <f>IF(OR($K$1="",对接源_02物料!$C1182="",对接源_02物料!$C1182&lt;&gt;$K$1,对接源_02物料!$B1182=""),0,IF(OR(N(对接源_02物料!$B1182)&lt;$K$2,N(对接源_02物料!$B1182)&gt;$K$3),0,1))</f>
        <v>0</v>
      </c>
      <c r="L2382" s="3">
        <f>IF(OR($L$1="",对接源_02物料!$C1182="",对接源_02物料!$C1182&lt;&gt;$L$1,对接源_02物料!$B1182=""),0,IF(OR(N(对接源_02物料!$B1182)&lt;$L$2,N(对接源_02物料!$B1182)&gt;$L$3),0,1))</f>
        <v>0</v>
      </c>
      <c r="M2382" s="3">
        <f>IF(OR($M$1="",对接源_02物料!$C1182="",对接源_02物料!$C1182&lt;&gt;$M$1,对接源_02物料!$B1182=""),0,IF(OR(N(对接源_02物料!$B1182)&lt;$M$2,N(对接源_02物料!$B1182)&gt;$M$3),0,1))</f>
        <v>0</v>
      </c>
      <c r="N2382" s="3">
        <f>IF(OR($N$1="",对接源_02物料!$C1182="",对接源_02物料!$C1182&lt;&gt;$N$1,对接源_02物料!$B1182=""),0,IF(OR(N(对接源_02物料!$B1182)&lt;$N$2,N(对接源_02物料!$B1182)&gt;$N$3),0,1))</f>
        <v>0</v>
      </c>
      <c r="P2382" s="3">
        <f>IF(AND($K2382=1,AND(对接源_02物料!$X1182="公司筐",N(对接源_02物料!$T1182)&lt;&gt;0)),1,0)</f>
        <v>0</v>
      </c>
      <c r="Q2382" s="3">
        <f t="shared" si="641"/>
        <v>8</v>
      </c>
      <c r="R2382" s="3">
        <f>IF(AND($K2382=1,AND(对接源_02物料!$X1182="公司筐",N(对接源_02物料!$U1182)&lt;&gt;0)),1,0)</f>
        <v>0</v>
      </c>
      <c r="S2382" s="3">
        <f t="shared" si="642"/>
        <v>0</v>
      </c>
      <c r="T2382" s="3">
        <f>IF(AND($K2382=1,AND(对接源_02物料!$X1182="公司筐",N(对接源_02物料!$V1182)&lt;&gt;0)),1,0)</f>
        <v>0</v>
      </c>
      <c r="U2382" s="3">
        <f t="shared" si="643"/>
        <v>19</v>
      </c>
      <c r="V2382" s="3">
        <f>IF(AND($L2382=1,AND(对接源_02物料!$X1182="自备筐",N(对接源_02物料!$V1182)&lt;&gt;0)),1,0)</f>
        <v>0</v>
      </c>
      <c r="W2382" s="3">
        <f t="shared" si="644"/>
        <v>8</v>
      </c>
      <c r="X2382" s="3">
        <f>IF(AND($L2382=1,AND(对接源_02物料!$X1182="自备筐",N(对接源_02物料!$T1182)&lt;&gt;0)),1,0)</f>
        <v>0</v>
      </c>
      <c r="Y2382" s="3">
        <f t="shared" si="645"/>
        <v>0</v>
      </c>
      <c r="Z2382" s="3">
        <f>IF(AND($M2382=1,对接源_02物料!$D1182="原料入库"),1,0)</f>
        <v>0</v>
      </c>
      <c r="AA2382" s="3">
        <f t="shared" si="646"/>
        <v>24</v>
      </c>
      <c r="AB2382" s="3">
        <f>IF(AND($M2382=1,LEFT(对接源_02物料!$D1182,4)="原料出库"),1,0)</f>
        <v>0</v>
      </c>
      <c r="AC2382" s="3">
        <f t="shared" si="647"/>
        <v>0</v>
      </c>
      <c r="AD2382" s="3">
        <f>IF(AND($M2382=1,LEFT(对接源_02物料!$D1182,4)="成品出库"),1,0)</f>
        <v>0</v>
      </c>
      <c r="AE2382" s="3">
        <f t="shared" si="648"/>
        <v>0</v>
      </c>
      <c r="AF2382" s="3">
        <f>IF(AND($N2382=1,AND(LEFT(对接源_02物料!$D1182,4)="包装物料",N(对接源_02物料!$K1182)&lt;&gt;0)),1,0)</f>
        <v>0</v>
      </c>
      <c r="AG2382" s="3">
        <f t="shared" si="649"/>
        <v>5</v>
      </c>
      <c r="AH2382" s="3">
        <f>IF(AND($N2382=1,AND(对接源_02物料!$D1182="周转筐－销售出库",N(对接源_02物料!$K1182)&lt;&gt;0)),1,0)</f>
        <v>0</v>
      </c>
      <c r="AI2382" s="3">
        <f t="shared" si="650"/>
        <v>0</v>
      </c>
      <c r="AL2382" s="3">
        <v>0</v>
      </c>
      <c r="AM2382" s="3">
        <f t="shared" si="651"/>
        <v>1</v>
      </c>
      <c r="AN2382" s="3" t="str">
        <f t="shared" si="638"/>
        <v/>
      </c>
      <c r="AO2382" s="3">
        <v>0</v>
      </c>
      <c r="AP2382" s="3">
        <f t="shared" si="652"/>
        <v>8</v>
      </c>
      <c r="AR2382">
        <f t="shared" si="653"/>
        <v>0</v>
      </c>
      <c r="AS2382">
        <f t="shared" si="654"/>
        <v>5</v>
      </c>
    </row>
    <row r="2383" customHeight="1" spans="1:45">
      <c r="A2383" s="3" t="str">
        <f>IF(对接源_02物料!$C1183="","",对接源_02物料!$C1183)</f>
        <v/>
      </c>
      <c r="B2383" s="3">
        <f t="shared" si="639"/>
        <v>0</v>
      </c>
      <c r="C2383" s="3">
        <f t="shared" si="640"/>
        <v>21</v>
      </c>
      <c r="K2383" s="3">
        <f>IF(OR($K$1="",对接源_02物料!$C1183="",对接源_02物料!$C1183&lt;&gt;$K$1,对接源_02物料!$B1183=""),0,IF(OR(N(对接源_02物料!$B1183)&lt;$K$2,N(对接源_02物料!$B1183)&gt;$K$3),0,1))</f>
        <v>0</v>
      </c>
      <c r="L2383" s="3">
        <f>IF(OR($L$1="",对接源_02物料!$C1183="",对接源_02物料!$C1183&lt;&gt;$L$1,对接源_02物料!$B1183=""),0,IF(OR(N(对接源_02物料!$B1183)&lt;$L$2,N(对接源_02物料!$B1183)&gt;$L$3),0,1))</f>
        <v>0</v>
      </c>
      <c r="M2383" s="3">
        <f>IF(OR($M$1="",对接源_02物料!$C1183="",对接源_02物料!$C1183&lt;&gt;$M$1,对接源_02物料!$B1183=""),0,IF(OR(N(对接源_02物料!$B1183)&lt;$M$2,N(对接源_02物料!$B1183)&gt;$M$3),0,1))</f>
        <v>0</v>
      </c>
      <c r="N2383" s="3">
        <f>IF(OR($N$1="",对接源_02物料!$C1183="",对接源_02物料!$C1183&lt;&gt;$N$1,对接源_02物料!$B1183=""),0,IF(OR(N(对接源_02物料!$B1183)&lt;$N$2,N(对接源_02物料!$B1183)&gt;$N$3),0,1))</f>
        <v>0</v>
      </c>
      <c r="P2383" s="3">
        <f>IF(AND($K2383=1,AND(对接源_02物料!$X1183="公司筐",N(对接源_02物料!$T1183)&lt;&gt;0)),1,0)</f>
        <v>0</v>
      </c>
      <c r="Q2383" s="3">
        <f t="shared" si="641"/>
        <v>8</v>
      </c>
      <c r="R2383" s="3">
        <f>IF(AND($K2383=1,AND(对接源_02物料!$X1183="公司筐",N(对接源_02物料!$U1183)&lt;&gt;0)),1,0)</f>
        <v>0</v>
      </c>
      <c r="S2383" s="3">
        <f t="shared" si="642"/>
        <v>0</v>
      </c>
      <c r="T2383" s="3">
        <f>IF(AND($K2383=1,AND(对接源_02物料!$X1183="公司筐",N(对接源_02物料!$V1183)&lt;&gt;0)),1,0)</f>
        <v>0</v>
      </c>
      <c r="U2383" s="3">
        <f t="shared" si="643"/>
        <v>19</v>
      </c>
      <c r="V2383" s="3">
        <f>IF(AND($L2383=1,AND(对接源_02物料!$X1183="自备筐",N(对接源_02物料!$V1183)&lt;&gt;0)),1,0)</f>
        <v>0</v>
      </c>
      <c r="W2383" s="3">
        <f t="shared" si="644"/>
        <v>8</v>
      </c>
      <c r="X2383" s="3">
        <f>IF(AND($L2383=1,AND(对接源_02物料!$X1183="自备筐",N(对接源_02物料!$T1183)&lt;&gt;0)),1,0)</f>
        <v>0</v>
      </c>
      <c r="Y2383" s="3">
        <f t="shared" si="645"/>
        <v>0</v>
      </c>
      <c r="Z2383" s="3">
        <f>IF(AND($M2383=1,对接源_02物料!$D1183="原料入库"),1,0)</f>
        <v>0</v>
      </c>
      <c r="AA2383" s="3">
        <f t="shared" si="646"/>
        <v>24</v>
      </c>
      <c r="AB2383" s="3">
        <f>IF(AND($M2383=1,LEFT(对接源_02物料!$D1183,4)="原料出库"),1,0)</f>
        <v>0</v>
      </c>
      <c r="AC2383" s="3">
        <f t="shared" si="647"/>
        <v>0</v>
      </c>
      <c r="AD2383" s="3">
        <f>IF(AND($M2383=1,LEFT(对接源_02物料!$D1183,4)="成品出库"),1,0)</f>
        <v>0</v>
      </c>
      <c r="AE2383" s="3">
        <f t="shared" si="648"/>
        <v>0</v>
      </c>
      <c r="AF2383" s="3">
        <f>IF(AND($N2383=1,AND(LEFT(对接源_02物料!$D1183,4)="包装物料",N(对接源_02物料!$K1183)&lt;&gt;0)),1,0)</f>
        <v>0</v>
      </c>
      <c r="AG2383" s="3">
        <f t="shared" si="649"/>
        <v>5</v>
      </c>
      <c r="AH2383" s="3">
        <f>IF(AND($N2383=1,AND(对接源_02物料!$D1183="周转筐－销售出库",N(对接源_02物料!$K1183)&lt;&gt;0)),1,0)</f>
        <v>0</v>
      </c>
      <c r="AI2383" s="3">
        <f t="shared" si="650"/>
        <v>0</v>
      </c>
      <c r="AL2383" s="3">
        <v>0</v>
      </c>
      <c r="AM2383" s="3">
        <f t="shared" si="651"/>
        <v>1</v>
      </c>
      <c r="AN2383" s="3" t="str">
        <f t="shared" si="638"/>
        <v/>
      </c>
      <c r="AO2383" s="3">
        <v>0</v>
      </c>
      <c r="AP2383" s="3">
        <f t="shared" si="652"/>
        <v>8</v>
      </c>
      <c r="AR2383">
        <f t="shared" si="653"/>
        <v>0</v>
      </c>
      <c r="AS2383">
        <f t="shared" si="654"/>
        <v>5</v>
      </c>
    </row>
    <row r="2384" customHeight="1" spans="1:45">
      <c r="A2384" s="3" t="str">
        <f>IF(对接源_02物料!$C1184="","",对接源_02物料!$C1184)</f>
        <v/>
      </c>
      <c r="B2384" s="3">
        <f t="shared" si="639"/>
        <v>0</v>
      </c>
      <c r="C2384" s="3">
        <f t="shared" si="640"/>
        <v>21</v>
      </c>
      <c r="K2384" s="3">
        <f>IF(OR($K$1="",对接源_02物料!$C1184="",对接源_02物料!$C1184&lt;&gt;$K$1,对接源_02物料!$B1184=""),0,IF(OR(N(对接源_02物料!$B1184)&lt;$K$2,N(对接源_02物料!$B1184)&gt;$K$3),0,1))</f>
        <v>0</v>
      </c>
      <c r="L2384" s="3">
        <f>IF(OR($L$1="",对接源_02物料!$C1184="",对接源_02物料!$C1184&lt;&gt;$L$1,对接源_02物料!$B1184=""),0,IF(OR(N(对接源_02物料!$B1184)&lt;$L$2,N(对接源_02物料!$B1184)&gt;$L$3),0,1))</f>
        <v>0</v>
      </c>
      <c r="M2384" s="3">
        <f>IF(OR($M$1="",对接源_02物料!$C1184="",对接源_02物料!$C1184&lt;&gt;$M$1,对接源_02物料!$B1184=""),0,IF(OR(N(对接源_02物料!$B1184)&lt;$M$2,N(对接源_02物料!$B1184)&gt;$M$3),0,1))</f>
        <v>0</v>
      </c>
      <c r="N2384" s="3">
        <f>IF(OR($N$1="",对接源_02物料!$C1184="",对接源_02物料!$C1184&lt;&gt;$N$1,对接源_02物料!$B1184=""),0,IF(OR(N(对接源_02物料!$B1184)&lt;$N$2,N(对接源_02物料!$B1184)&gt;$N$3),0,1))</f>
        <v>0</v>
      </c>
      <c r="P2384" s="3">
        <f>IF(AND($K2384=1,AND(对接源_02物料!$X1184="公司筐",N(对接源_02物料!$T1184)&lt;&gt;0)),1,0)</f>
        <v>0</v>
      </c>
      <c r="Q2384" s="3">
        <f t="shared" si="641"/>
        <v>8</v>
      </c>
      <c r="R2384" s="3">
        <f>IF(AND($K2384=1,AND(对接源_02物料!$X1184="公司筐",N(对接源_02物料!$U1184)&lt;&gt;0)),1,0)</f>
        <v>0</v>
      </c>
      <c r="S2384" s="3">
        <f t="shared" si="642"/>
        <v>0</v>
      </c>
      <c r="T2384" s="3">
        <f>IF(AND($K2384=1,AND(对接源_02物料!$X1184="公司筐",N(对接源_02物料!$V1184)&lt;&gt;0)),1,0)</f>
        <v>0</v>
      </c>
      <c r="U2384" s="3">
        <f t="shared" si="643"/>
        <v>19</v>
      </c>
      <c r="V2384" s="3">
        <f>IF(AND($L2384=1,AND(对接源_02物料!$X1184="自备筐",N(对接源_02物料!$V1184)&lt;&gt;0)),1,0)</f>
        <v>0</v>
      </c>
      <c r="W2384" s="3">
        <f t="shared" si="644"/>
        <v>8</v>
      </c>
      <c r="X2384" s="3">
        <f>IF(AND($L2384=1,AND(对接源_02物料!$X1184="自备筐",N(对接源_02物料!$T1184)&lt;&gt;0)),1,0)</f>
        <v>0</v>
      </c>
      <c r="Y2384" s="3">
        <f t="shared" si="645"/>
        <v>0</v>
      </c>
      <c r="Z2384" s="3">
        <f>IF(AND($M2384=1,对接源_02物料!$D1184="原料入库"),1,0)</f>
        <v>0</v>
      </c>
      <c r="AA2384" s="3">
        <f t="shared" si="646"/>
        <v>24</v>
      </c>
      <c r="AB2384" s="3">
        <f>IF(AND($M2384=1,LEFT(对接源_02物料!$D1184,4)="原料出库"),1,0)</f>
        <v>0</v>
      </c>
      <c r="AC2384" s="3">
        <f t="shared" si="647"/>
        <v>0</v>
      </c>
      <c r="AD2384" s="3">
        <f>IF(AND($M2384=1,LEFT(对接源_02物料!$D1184,4)="成品出库"),1,0)</f>
        <v>0</v>
      </c>
      <c r="AE2384" s="3">
        <f t="shared" si="648"/>
        <v>0</v>
      </c>
      <c r="AF2384" s="3">
        <f>IF(AND($N2384=1,AND(LEFT(对接源_02物料!$D1184,4)="包装物料",N(对接源_02物料!$K1184)&lt;&gt;0)),1,0)</f>
        <v>0</v>
      </c>
      <c r="AG2384" s="3">
        <f t="shared" si="649"/>
        <v>5</v>
      </c>
      <c r="AH2384" s="3">
        <f>IF(AND($N2384=1,AND(对接源_02物料!$D1184="周转筐－销售出库",N(对接源_02物料!$K1184)&lt;&gt;0)),1,0)</f>
        <v>0</v>
      </c>
      <c r="AI2384" s="3">
        <f t="shared" si="650"/>
        <v>0</v>
      </c>
      <c r="AL2384" s="3">
        <v>0</v>
      </c>
      <c r="AM2384" s="3">
        <f t="shared" si="651"/>
        <v>1</v>
      </c>
      <c r="AN2384" s="3" t="str">
        <f t="shared" si="638"/>
        <v/>
      </c>
      <c r="AO2384" s="3">
        <v>0</v>
      </c>
      <c r="AP2384" s="3">
        <f t="shared" si="652"/>
        <v>8</v>
      </c>
      <c r="AR2384">
        <f t="shared" si="653"/>
        <v>0</v>
      </c>
      <c r="AS2384">
        <f t="shared" si="654"/>
        <v>5</v>
      </c>
    </row>
    <row r="2385" customHeight="1" spans="1:45">
      <c r="A2385" s="3" t="str">
        <f>IF(对接源_02物料!$C1185="","",对接源_02物料!$C1185)</f>
        <v/>
      </c>
      <c r="B2385" s="3">
        <f t="shared" si="639"/>
        <v>0</v>
      </c>
      <c r="C2385" s="3">
        <f t="shared" si="640"/>
        <v>21</v>
      </c>
      <c r="K2385" s="3">
        <f>IF(OR($K$1="",对接源_02物料!$C1185="",对接源_02物料!$C1185&lt;&gt;$K$1,对接源_02物料!$B1185=""),0,IF(OR(N(对接源_02物料!$B1185)&lt;$K$2,N(对接源_02物料!$B1185)&gt;$K$3),0,1))</f>
        <v>0</v>
      </c>
      <c r="L2385" s="3">
        <f>IF(OR($L$1="",对接源_02物料!$C1185="",对接源_02物料!$C1185&lt;&gt;$L$1,对接源_02物料!$B1185=""),0,IF(OR(N(对接源_02物料!$B1185)&lt;$L$2,N(对接源_02物料!$B1185)&gt;$L$3),0,1))</f>
        <v>0</v>
      </c>
      <c r="M2385" s="3">
        <f>IF(OR($M$1="",对接源_02物料!$C1185="",对接源_02物料!$C1185&lt;&gt;$M$1,对接源_02物料!$B1185=""),0,IF(OR(N(对接源_02物料!$B1185)&lt;$M$2,N(对接源_02物料!$B1185)&gt;$M$3),0,1))</f>
        <v>0</v>
      </c>
      <c r="N2385" s="3">
        <f>IF(OR($N$1="",对接源_02物料!$C1185="",对接源_02物料!$C1185&lt;&gt;$N$1,对接源_02物料!$B1185=""),0,IF(OR(N(对接源_02物料!$B1185)&lt;$N$2,N(对接源_02物料!$B1185)&gt;$N$3),0,1))</f>
        <v>0</v>
      </c>
      <c r="P2385" s="3">
        <f>IF(AND($K2385=1,AND(对接源_02物料!$X1185="公司筐",N(对接源_02物料!$T1185)&lt;&gt;0)),1,0)</f>
        <v>0</v>
      </c>
      <c r="Q2385" s="3">
        <f t="shared" si="641"/>
        <v>8</v>
      </c>
      <c r="R2385" s="3">
        <f>IF(AND($K2385=1,AND(对接源_02物料!$X1185="公司筐",N(对接源_02物料!$U1185)&lt;&gt;0)),1,0)</f>
        <v>0</v>
      </c>
      <c r="S2385" s="3">
        <f t="shared" si="642"/>
        <v>0</v>
      </c>
      <c r="T2385" s="3">
        <f>IF(AND($K2385=1,AND(对接源_02物料!$X1185="公司筐",N(对接源_02物料!$V1185)&lt;&gt;0)),1,0)</f>
        <v>0</v>
      </c>
      <c r="U2385" s="3">
        <f t="shared" si="643"/>
        <v>19</v>
      </c>
      <c r="V2385" s="3">
        <f>IF(AND($L2385=1,AND(对接源_02物料!$X1185="自备筐",N(对接源_02物料!$V1185)&lt;&gt;0)),1,0)</f>
        <v>0</v>
      </c>
      <c r="W2385" s="3">
        <f t="shared" si="644"/>
        <v>8</v>
      </c>
      <c r="X2385" s="3">
        <f>IF(AND($L2385=1,AND(对接源_02物料!$X1185="自备筐",N(对接源_02物料!$T1185)&lt;&gt;0)),1,0)</f>
        <v>0</v>
      </c>
      <c r="Y2385" s="3">
        <f t="shared" si="645"/>
        <v>0</v>
      </c>
      <c r="Z2385" s="3">
        <f>IF(AND($M2385=1,对接源_02物料!$D1185="原料入库"),1,0)</f>
        <v>0</v>
      </c>
      <c r="AA2385" s="3">
        <f t="shared" si="646"/>
        <v>24</v>
      </c>
      <c r="AB2385" s="3">
        <f>IF(AND($M2385=1,LEFT(对接源_02物料!$D1185,4)="原料出库"),1,0)</f>
        <v>0</v>
      </c>
      <c r="AC2385" s="3">
        <f t="shared" si="647"/>
        <v>0</v>
      </c>
      <c r="AD2385" s="3">
        <f>IF(AND($M2385=1,LEFT(对接源_02物料!$D1185,4)="成品出库"),1,0)</f>
        <v>0</v>
      </c>
      <c r="AE2385" s="3">
        <f t="shared" si="648"/>
        <v>0</v>
      </c>
      <c r="AF2385" s="3">
        <f>IF(AND($N2385=1,AND(LEFT(对接源_02物料!$D1185,4)="包装物料",N(对接源_02物料!$K1185)&lt;&gt;0)),1,0)</f>
        <v>0</v>
      </c>
      <c r="AG2385" s="3">
        <f t="shared" si="649"/>
        <v>5</v>
      </c>
      <c r="AH2385" s="3">
        <f>IF(AND($N2385=1,AND(对接源_02物料!$D1185="周转筐－销售出库",N(对接源_02物料!$K1185)&lt;&gt;0)),1,0)</f>
        <v>0</v>
      </c>
      <c r="AI2385" s="3">
        <f t="shared" si="650"/>
        <v>0</v>
      </c>
      <c r="AL2385" s="3">
        <v>0</v>
      </c>
      <c r="AM2385" s="3">
        <f t="shared" si="651"/>
        <v>1</v>
      </c>
      <c r="AN2385" s="3" t="str">
        <f t="shared" si="638"/>
        <v/>
      </c>
      <c r="AO2385" s="3">
        <v>0</v>
      </c>
      <c r="AP2385" s="3">
        <f t="shared" si="652"/>
        <v>8</v>
      </c>
      <c r="AR2385">
        <f t="shared" si="653"/>
        <v>0</v>
      </c>
      <c r="AS2385">
        <f t="shared" si="654"/>
        <v>5</v>
      </c>
    </row>
    <row r="2386" customHeight="1" spans="1:45">
      <c r="A2386" s="3" t="str">
        <f>IF(对接源_02物料!$C1186="","",对接源_02物料!$C1186)</f>
        <v/>
      </c>
      <c r="B2386" s="3">
        <f t="shared" si="639"/>
        <v>0</v>
      </c>
      <c r="C2386" s="3">
        <f t="shared" si="640"/>
        <v>21</v>
      </c>
      <c r="K2386" s="3">
        <f>IF(OR($K$1="",对接源_02物料!$C1186="",对接源_02物料!$C1186&lt;&gt;$K$1,对接源_02物料!$B1186=""),0,IF(OR(N(对接源_02物料!$B1186)&lt;$K$2,N(对接源_02物料!$B1186)&gt;$K$3),0,1))</f>
        <v>0</v>
      </c>
      <c r="L2386" s="3">
        <f>IF(OR($L$1="",对接源_02物料!$C1186="",对接源_02物料!$C1186&lt;&gt;$L$1,对接源_02物料!$B1186=""),0,IF(OR(N(对接源_02物料!$B1186)&lt;$L$2,N(对接源_02物料!$B1186)&gt;$L$3),0,1))</f>
        <v>0</v>
      </c>
      <c r="M2386" s="3">
        <f>IF(OR($M$1="",对接源_02物料!$C1186="",对接源_02物料!$C1186&lt;&gt;$M$1,对接源_02物料!$B1186=""),0,IF(OR(N(对接源_02物料!$B1186)&lt;$M$2,N(对接源_02物料!$B1186)&gt;$M$3),0,1))</f>
        <v>0</v>
      </c>
      <c r="N2386" s="3">
        <f>IF(OR($N$1="",对接源_02物料!$C1186="",对接源_02物料!$C1186&lt;&gt;$N$1,对接源_02物料!$B1186=""),0,IF(OR(N(对接源_02物料!$B1186)&lt;$N$2,N(对接源_02物料!$B1186)&gt;$N$3),0,1))</f>
        <v>0</v>
      </c>
      <c r="P2386" s="3">
        <f>IF(AND($K2386=1,AND(对接源_02物料!$X1186="公司筐",N(对接源_02物料!$T1186)&lt;&gt;0)),1,0)</f>
        <v>0</v>
      </c>
      <c r="Q2386" s="3">
        <f t="shared" si="641"/>
        <v>8</v>
      </c>
      <c r="R2386" s="3">
        <f>IF(AND($K2386=1,AND(对接源_02物料!$X1186="公司筐",N(对接源_02物料!$U1186)&lt;&gt;0)),1,0)</f>
        <v>0</v>
      </c>
      <c r="S2386" s="3">
        <f t="shared" si="642"/>
        <v>0</v>
      </c>
      <c r="T2386" s="3">
        <f>IF(AND($K2386=1,AND(对接源_02物料!$X1186="公司筐",N(对接源_02物料!$V1186)&lt;&gt;0)),1,0)</f>
        <v>0</v>
      </c>
      <c r="U2386" s="3">
        <f t="shared" si="643"/>
        <v>19</v>
      </c>
      <c r="V2386" s="3">
        <f>IF(AND($L2386=1,AND(对接源_02物料!$X1186="自备筐",N(对接源_02物料!$V1186)&lt;&gt;0)),1,0)</f>
        <v>0</v>
      </c>
      <c r="W2386" s="3">
        <f t="shared" si="644"/>
        <v>8</v>
      </c>
      <c r="X2386" s="3">
        <f>IF(AND($L2386=1,AND(对接源_02物料!$X1186="自备筐",N(对接源_02物料!$T1186)&lt;&gt;0)),1,0)</f>
        <v>0</v>
      </c>
      <c r="Y2386" s="3">
        <f t="shared" si="645"/>
        <v>0</v>
      </c>
      <c r="Z2386" s="3">
        <f>IF(AND($M2386=1,对接源_02物料!$D1186="原料入库"),1,0)</f>
        <v>0</v>
      </c>
      <c r="AA2386" s="3">
        <f t="shared" si="646"/>
        <v>24</v>
      </c>
      <c r="AB2386" s="3">
        <f>IF(AND($M2386=1,LEFT(对接源_02物料!$D1186,4)="原料出库"),1,0)</f>
        <v>0</v>
      </c>
      <c r="AC2386" s="3">
        <f t="shared" si="647"/>
        <v>0</v>
      </c>
      <c r="AD2386" s="3">
        <f>IF(AND($M2386=1,LEFT(对接源_02物料!$D1186,4)="成品出库"),1,0)</f>
        <v>0</v>
      </c>
      <c r="AE2386" s="3">
        <f t="shared" si="648"/>
        <v>0</v>
      </c>
      <c r="AF2386" s="3">
        <f>IF(AND($N2386=1,AND(LEFT(对接源_02物料!$D1186,4)="包装物料",N(对接源_02物料!$K1186)&lt;&gt;0)),1,0)</f>
        <v>0</v>
      </c>
      <c r="AG2386" s="3">
        <f t="shared" si="649"/>
        <v>5</v>
      </c>
      <c r="AH2386" s="3">
        <f>IF(AND($N2386=1,AND(对接源_02物料!$D1186="周转筐－销售出库",N(对接源_02物料!$K1186)&lt;&gt;0)),1,0)</f>
        <v>0</v>
      </c>
      <c r="AI2386" s="3">
        <f t="shared" si="650"/>
        <v>0</v>
      </c>
      <c r="AL2386" s="3">
        <v>0</v>
      </c>
      <c r="AM2386" s="3">
        <f t="shared" si="651"/>
        <v>1</v>
      </c>
      <c r="AN2386" s="3" t="str">
        <f t="shared" si="638"/>
        <v/>
      </c>
      <c r="AO2386" s="3">
        <v>0</v>
      </c>
      <c r="AP2386" s="3">
        <f t="shared" si="652"/>
        <v>8</v>
      </c>
      <c r="AR2386">
        <f t="shared" si="653"/>
        <v>0</v>
      </c>
      <c r="AS2386">
        <f t="shared" si="654"/>
        <v>5</v>
      </c>
    </row>
    <row r="2387" customHeight="1" spans="1:45">
      <c r="A2387" s="3" t="str">
        <f>IF(对接源_02物料!$C1187="","",对接源_02物料!$C1187)</f>
        <v/>
      </c>
      <c r="B2387" s="3">
        <f t="shared" si="639"/>
        <v>0</v>
      </c>
      <c r="C2387" s="3">
        <f t="shared" si="640"/>
        <v>21</v>
      </c>
      <c r="K2387" s="3">
        <f>IF(OR($K$1="",对接源_02物料!$C1187="",对接源_02物料!$C1187&lt;&gt;$K$1,对接源_02物料!$B1187=""),0,IF(OR(N(对接源_02物料!$B1187)&lt;$K$2,N(对接源_02物料!$B1187)&gt;$K$3),0,1))</f>
        <v>0</v>
      </c>
      <c r="L2387" s="3">
        <f>IF(OR($L$1="",对接源_02物料!$C1187="",对接源_02物料!$C1187&lt;&gt;$L$1,对接源_02物料!$B1187=""),0,IF(OR(N(对接源_02物料!$B1187)&lt;$L$2,N(对接源_02物料!$B1187)&gt;$L$3),0,1))</f>
        <v>0</v>
      </c>
      <c r="M2387" s="3">
        <f>IF(OR($M$1="",对接源_02物料!$C1187="",对接源_02物料!$C1187&lt;&gt;$M$1,对接源_02物料!$B1187=""),0,IF(OR(N(对接源_02物料!$B1187)&lt;$M$2,N(对接源_02物料!$B1187)&gt;$M$3),0,1))</f>
        <v>0</v>
      </c>
      <c r="N2387" s="3">
        <f>IF(OR($N$1="",对接源_02物料!$C1187="",对接源_02物料!$C1187&lt;&gt;$N$1,对接源_02物料!$B1187=""),0,IF(OR(N(对接源_02物料!$B1187)&lt;$N$2,N(对接源_02物料!$B1187)&gt;$N$3),0,1))</f>
        <v>0</v>
      </c>
      <c r="P2387" s="3">
        <f>IF(AND($K2387=1,AND(对接源_02物料!$X1187="公司筐",N(对接源_02物料!$T1187)&lt;&gt;0)),1,0)</f>
        <v>0</v>
      </c>
      <c r="Q2387" s="3">
        <f t="shared" si="641"/>
        <v>8</v>
      </c>
      <c r="R2387" s="3">
        <f>IF(AND($K2387=1,AND(对接源_02物料!$X1187="公司筐",N(对接源_02物料!$U1187)&lt;&gt;0)),1,0)</f>
        <v>0</v>
      </c>
      <c r="S2387" s="3">
        <f t="shared" si="642"/>
        <v>0</v>
      </c>
      <c r="T2387" s="3">
        <f>IF(AND($K2387=1,AND(对接源_02物料!$X1187="公司筐",N(对接源_02物料!$V1187)&lt;&gt;0)),1,0)</f>
        <v>0</v>
      </c>
      <c r="U2387" s="3">
        <f t="shared" si="643"/>
        <v>19</v>
      </c>
      <c r="V2387" s="3">
        <f>IF(AND($L2387=1,AND(对接源_02物料!$X1187="自备筐",N(对接源_02物料!$V1187)&lt;&gt;0)),1,0)</f>
        <v>0</v>
      </c>
      <c r="W2387" s="3">
        <f t="shared" si="644"/>
        <v>8</v>
      </c>
      <c r="X2387" s="3">
        <f>IF(AND($L2387=1,AND(对接源_02物料!$X1187="自备筐",N(对接源_02物料!$T1187)&lt;&gt;0)),1,0)</f>
        <v>0</v>
      </c>
      <c r="Y2387" s="3">
        <f t="shared" si="645"/>
        <v>0</v>
      </c>
      <c r="Z2387" s="3">
        <f>IF(AND($M2387=1,对接源_02物料!$D1187="原料入库"),1,0)</f>
        <v>0</v>
      </c>
      <c r="AA2387" s="3">
        <f t="shared" si="646"/>
        <v>24</v>
      </c>
      <c r="AB2387" s="3">
        <f>IF(AND($M2387=1,LEFT(对接源_02物料!$D1187,4)="原料出库"),1,0)</f>
        <v>0</v>
      </c>
      <c r="AC2387" s="3">
        <f t="shared" si="647"/>
        <v>0</v>
      </c>
      <c r="AD2387" s="3">
        <f>IF(AND($M2387=1,LEFT(对接源_02物料!$D1187,4)="成品出库"),1,0)</f>
        <v>0</v>
      </c>
      <c r="AE2387" s="3">
        <f t="shared" si="648"/>
        <v>0</v>
      </c>
      <c r="AF2387" s="3">
        <f>IF(AND($N2387=1,AND(LEFT(对接源_02物料!$D1187,4)="包装物料",N(对接源_02物料!$K1187)&lt;&gt;0)),1,0)</f>
        <v>0</v>
      </c>
      <c r="AG2387" s="3">
        <f t="shared" si="649"/>
        <v>5</v>
      </c>
      <c r="AH2387" s="3">
        <f>IF(AND($N2387=1,AND(对接源_02物料!$D1187="周转筐－销售出库",N(对接源_02物料!$K1187)&lt;&gt;0)),1,0)</f>
        <v>0</v>
      </c>
      <c r="AI2387" s="3">
        <f t="shared" si="650"/>
        <v>0</v>
      </c>
      <c r="AL2387" s="3">
        <v>0</v>
      </c>
      <c r="AM2387" s="3">
        <f t="shared" si="651"/>
        <v>1</v>
      </c>
      <c r="AN2387" s="3" t="str">
        <f t="shared" si="638"/>
        <v/>
      </c>
      <c r="AO2387" s="3">
        <v>0</v>
      </c>
      <c r="AP2387" s="3">
        <f t="shared" si="652"/>
        <v>8</v>
      </c>
      <c r="AR2387">
        <f t="shared" si="653"/>
        <v>0</v>
      </c>
      <c r="AS2387">
        <f t="shared" si="654"/>
        <v>5</v>
      </c>
    </row>
    <row r="2388" customHeight="1" spans="1:45">
      <c r="A2388" s="3" t="str">
        <f>IF(对接源_02物料!$C1188="","",对接源_02物料!$C1188)</f>
        <v/>
      </c>
      <c r="B2388" s="3">
        <f t="shared" si="639"/>
        <v>0</v>
      </c>
      <c r="C2388" s="3">
        <f t="shared" si="640"/>
        <v>21</v>
      </c>
      <c r="K2388" s="3">
        <f>IF(OR($K$1="",对接源_02物料!$C1188="",对接源_02物料!$C1188&lt;&gt;$K$1,对接源_02物料!$B1188=""),0,IF(OR(N(对接源_02物料!$B1188)&lt;$K$2,N(对接源_02物料!$B1188)&gt;$K$3),0,1))</f>
        <v>0</v>
      </c>
      <c r="L2388" s="3">
        <f>IF(OR($L$1="",对接源_02物料!$C1188="",对接源_02物料!$C1188&lt;&gt;$L$1,对接源_02物料!$B1188=""),0,IF(OR(N(对接源_02物料!$B1188)&lt;$L$2,N(对接源_02物料!$B1188)&gt;$L$3),0,1))</f>
        <v>0</v>
      </c>
      <c r="M2388" s="3">
        <f>IF(OR($M$1="",对接源_02物料!$C1188="",对接源_02物料!$C1188&lt;&gt;$M$1,对接源_02物料!$B1188=""),0,IF(OR(N(对接源_02物料!$B1188)&lt;$M$2,N(对接源_02物料!$B1188)&gt;$M$3),0,1))</f>
        <v>0</v>
      </c>
      <c r="N2388" s="3">
        <f>IF(OR($N$1="",对接源_02物料!$C1188="",对接源_02物料!$C1188&lt;&gt;$N$1,对接源_02物料!$B1188=""),0,IF(OR(N(对接源_02物料!$B1188)&lt;$N$2,N(对接源_02物料!$B1188)&gt;$N$3),0,1))</f>
        <v>0</v>
      </c>
      <c r="P2388" s="3">
        <f>IF(AND($K2388=1,AND(对接源_02物料!$X1188="公司筐",N(对接源_02物料!$T1188)&lt;&gt;0)),1,0)</f>
        <v>0</v>
      </c>
      <c r="Q2388" s="3">
        <f t="shared" si="641"/>
        <v>8</v>
      </c>
      <c r="R2388" s="3">
        <f>IF(AND($K2388=1,AND(对接源_02物料!$X1188="公司筐",N(对接源_02物料!$U1188)&lt;&gt;0)),1,0)</f>
        <v>0</v>
      </c>
      <c r="S2388" s="3">
        <f t="shared" si="642"/>
        <v>0</v>
      </c>
      <c r="T2388" s="3">
        <f>IF(AND($K2388=1,AND(对接源_02物料!$X1188="公司筐",N(对接源_02物料!$V1188)&lt;&gt;0)),1,0)</f>
        <v>0</v>
      </c>
      <c r="U2388" s="3">
        <f t="shared" si="643"/>
        <v>19</v>
      </c>
      <c r="V2388" s="3">
        <f>IF(AND($L2388=1,AND(对接源_02物料!$X1188="自备筐",N(对接源_02物料!$V1188)&lt;&gt;0)),1,0)</f>
        <v>0</v>
      </c>
      <c r="W2388" s="3">
        <f t="shared" si="644"/>
        <v>8</v>
      </c>
      <c r="X2388" s="3">
        <f>IF(AND($L2388=1,AND(对接源_02物料!$X1188="自备筐",N(对接源_02物料!$T1188)&lt;&gt;0)),1,0)</f>
        <v>0</v>
      </c>
      <c r="Y2388" s="3">
        <f t="shared" si="645"/>
        <v>0</v>
      </c>
      <c r="Z2388" s="3">
        <f>IF(AND($M2388=1,对接源_02物料!$D1188="原料入库"),1,0)</f>
        <v>0</v>
      </c>
      <c r="AA2388" s="3">
        <f t="shared" si="646"/>
        <v>24</v>
      </c>
      <c r="AB2388" s="3">
        <f>IF(AND($M2388=1,LEFT(对接源_02物料!$D1188,4)="原料出库"),1,0)</f>
        <v>0</v>
      </c>
      <c r="AC2388" s="3">
        <f t="shared" si="647"/>
        <v>0</v>
      </c>
      <c r="AD2388" s="3">
        <f>IF(AND($M2388=1,LEFT(对接源_02物料!$D1188,4)="成品出库"),1,0)</f>
        <v>0</v>
      </c>
      <c r="AE2388" s="3">
        <f t="shared" si="648"/>
        <v>0</v>
      </c>
      <c r="AF2388" s="3">
        <f>IF(AND($N2388=1,AND(LEFT(对接源_02物料!$D1188,4)="包装物料",N(对接源_02物料!$K1188)&lt;&gt;0)),1,0)</f>
        <v>0</v>
      </c>
      <c r="AG2388" s="3">
        <f t="shared" si="649"/>
        <v>5</v>
      </c>
      <c r="AH2388" s="3">
        <f>IF(AND($N2388=1,AND(对接源_02物料!$D1188="周转筐－销售出库",N(对接源_02物料!$K1188)&lt;&gt;0)),1,0)</f>
        <v>0</v>
      </c>
      <c r="AI2388" s="3">
        <f t="shared" si="650"/>
        <v>0</v>
      </c>
      <c r="AL2388" s="3">
        <v>0</v>
      </c>
      <c r="AM2388" s="3">
        <f t="shared" si="651"/>
        <v>1</v>
      </c>
      <c r="AN2388" s="3" t="str">
        <f t="shared" si="638"/>
        <v/>
      </c>
      <c r="AO2388" s="3">
        <v>0</v>
      </c>
      <c r="AP2388" s="3">
        <f t="shared" si="652"/>
        <v>8</v>
      </c>
      <c r="AR2388">
        <f t="shared" si="653"/>
        <v>0</v>
      </c>
      <c r="AS2388">
        <f t="shared" si="654"/>
        <v>5</v>
      </c>
    </row>
    <row r="2389" customHeight="1" spans="1:45">
      <c r="A2389" s="3" t="str">
        <f>IF(对接源_02物料!$C1189="","",对接源_02物料!$C1189)</f>
        <v/>
      </c>
      <c r="B2389" s="3">
        <f t="shared" si="639"/>
        <v>0</v>
      </c>
      <c r="C2389" s="3">
        <f t="shared" si="640"/>
        <v>21</v>
      </c>
      <c r="K2389" s="3">
        <f>IF(OR($K$1="",对接源_02物料!$C1189="",对接源_02物料!$C1189&lt;&gt;$K$1,对接源_02物料!$B1189=""),0,IF(OR(N(对接源_02物料!$B1189)&lt;$K$2,N(对接源_02物料!$B1189)&gt;$K$3),0,1))</f>
        <v>0</v>
      </c>
      <c r="L2389" s="3">
        <f>IF(OR($L$1="",对接源_02物料!$C1189="",对接源_02物料!$C1189&lt;&gt;$L$1,对接源_02物料!$B1189=""),0,IF(OR(N(对接源_02物料!$B1189)&lt;$L$2,N(对接源_02物料!$B1189)&gt;$L$3),0,1))</f>
        <v>0</v>
      </c>
      <c r="M2389" s="3">
        <f>IF(OR($M$1="",对接源_02物料!$C1189="",对接源_02物料!$C1189&lt;&gt;$M$1,对接源_02物料!$B1189=""),0,IF(OR(N(对接源_02物料!$B1189)&lt;$M$2,N(对接源_02物料!$B1189)&gt;$M$3),0,1))</f>
        <v>0</v>
      </c>
      <c r="N2389" s="3">
        <f>IF(OR($N$1="",对接源_02物料!$C1189="",对接源_02物料!$C1189&lt;&gt;$N$1,对接源_02物料!$B1189=""),0,IF(OR(N(对接源_02物料!$B1189)&lt;$N$2,N(对接源_02物料!$B1189)&gt;$N$3),0,1))</f>
        <v>0</v>
      </c>
      <c r="P2389" s="3">
        <f>IF(AND($K2389=1,AND(对接源_02物料!$X1189="公司筐",N(对接源_02物料!$T1189)&lt;&gt;0)),1,0)</f>
        <v>0</v>
      </c>
      <c r="Q2389" s="3">
        <f t="shared" si="641"/>
        <v>8</v>
      </c>
      <c r="R2389" s="3">
        <f>IF(AND($K2389=1,AND(对接源_02物料!$X1189="公司筐",N(对接源_02物料!$U1189)&lt;&gt;0)),1,0)</f>
        <v>0</v>
      </c>
      <c r="S2389" s="3">
        <f t="shared" si="642"/>
        <v>0</v>
      </c>
      <c r="T2389" s="3">
        <f>IF(AND($K2389=1,AND(对接源_02物料!$X1189="公司筐",N(对接源_02物料!$V1189)&lt;&gt;0)),1,0)</f>
        <v>0</v>
      </c>
      <c r="U2389" s="3">
        <f t="shared" si="643"/>
        <v>19</v>
      </c>
      <c r="V2389" s="3">
        <f>IF(AND($L2389=1,AND(对接源_02物料!$X1189="自备筐",N(对接源_02物料!$V1189)&lt;&gt;0)),1,0)</f>
        <v>0</v>
      </c>
      <c r="W2389" s="3">
        <f t="shared" si="644"/>
        <v>8</v>
      </c>
      <c r="X2389" s="3">
        <f>IF(AND($L2389=1,AND(对接源_02物料!$X1189="自备筐",N(对接源_02物料!$T1189)&lt;&gt;0)),1,0)</f>
        <v>0</v>
      </c>
      <c r="Y2389" s="3">
        <f t="shared" si="645"/>
        <v>0</v>
      </c>
      <c r="Z2389" s="3">
        <f>IF(AND($M2389=1,对接源_02物料!$D1189="原料入库"),1,0)</f>
        <v>0</v>
      </c>
      <c r="AA2389" s="3">
        <f t="shared" si="646"/>
        <v>24</v>
      </c>
      <c r="AB2389" s="3">
        <f>IF(AND($M2389=1,LEFT(对接源_02物料!$D1189,4)="原料出库"),1,0)</f>
        <v>0</v>
      </c>
      <c r="AC2389" s="3">
        <f t="shared" si="647"/>
        <v>0</v>
      </c>
      <c r="AD2389" s="3">
        <f>IF(AND($M2389=1,LEFT(对接源_02物料!$D1189,4)="成品出库"),1,0)</f>
        <v>0</v>
      </c>
      <c r="AE2389" s="3">
        <f t="shared" si="648"/>
        <v>0</v>
      </c>
      <c r="AF2389" s="3">
        <f>IF(AND($N2389=1,AND(LEFT(对接源_02物料!$D1189,4)="包装物料",N(对接源_02物料!$K1189)&lt;&gt;0)),1,0)</f>
        <v>0</v>
      </c>
      <c r="AG2389" s="3">
        <f t="shared" si="649"/>
        <v>5</v>
      </c>
      <c r="AH2389" s="3">
        <f>IF(AND($N2389=1,AND(对接源_02物料!$D1189="周转筐－销售出库",N(对接源_02物料!$K1189)&lt;&gt;0)),1,0)</f>
        <v>0</v>
      </c>
      <c r="AI2389" s="3">
        <f t="shared" si="650"/>
        <v>0</v>
      </c>
      <c r="AL2389" s="3">
        <v>0</v>
      </c>
      <c r="AM2389" s="3">
        <f t="shared" si="651"/>
        <v>1</v>
      </c>
      <c r="AN2389" s="3" t="str">
        <f t="shared" si="638"/>
        <v/>
      </c>
      <c r="AO2389" s="3">
        <v>0</v>
      </c>
      <c r="AP2389" s="3">
        <f t="shared" si="652"/>
        <v>8</v>
      </c>
      <c r="AR2389">
        <f t="shared" si="653"/>
        <v>0</v>
      </c>
      <c r="AS2389">
        <f t="shared" si="654"/>
        <v>5</v>
      </c>
    </row>
    <row r="2390" customHeight="1" spans="1:45">
      <c r="A2390" s="3" t="str">
        <f>IF(对接源_02物料!$C1190="","",对接源_02物料!$C1190)</f>
        <v/>
      </c>
      <c r="B2390" s="3">
        <f t="shared" si="639"/>
        <v>0</v>
      </c>
      <c r="C2390" s="3">
        <f t="shared" si="640"/>
        <v>21</v>
      </c>
      <c r="K2390" s="3">
        <f>IF(OR($K$1="",对接源_02物料!$C1190="",对接源_02物料!$C1190&lt;&gt;$K$1,对接源_02物料!$B1190=""),0,IF(OR(N(对接源_02物料!$B1190)&lt;$K$2,N(对接源_02物料!$B1190)&gt;$K$3),0,1))</f>
        <v>0</v>
      </c>
      <c r="L2390" s="3">
        <f>IF(OR($L$1="",对接源_02物料!$C1190="",对接源_02物料!$C1190&lt;&gt;$L$1,对接源_02物料!$B1190=""),0,IF(OR(N(对接源_02物料!$B1190)&lt;$L$2,N(对接源_02物料!$B1190)&gt;$L$3),0,1))</f>
        <v>0</v>
      </c>
      <c r="M2390" s="3">
        <f>IF(OR($M$1="",对接源_02物料!$C1190="",对接源_02物料!$C1190&lt;&gt;$M$1,对接源_02物料!$B1190=""),0,IF(OR(N(对接源_02物料!$B1190)&lt;$M$2,N(对接源_02物料!$B1190)&gt;$M$3),0,1))</f>
        <v>0</v>
      </c>
      <c r="N2390" s="3">
        <f>IF(OR($N$1="",对接源_02物料!$C1190="",对接源_02物料!$C1190&lt;&gt;$N$1,对接源_02物料!$B1190=""),0,IF(OR(N(对接源_02物料!$B1190)&lt;$N$2,N(对接源_02物料!$B1190)&gt;$N$3),0,1))</f>
        <v>0</v>
      </c>
      <c r="P2390" s="3">
        <f>IF(AND($K2390=1,AND(对接源_02物料!$X1190="公司筐",N(对接源_02物料!$T1190)&lt;&gt;0)),1,0)</f>
        <v>0</v>
      </c>
      <c r="Q2390" s="3">
        <f t="shared" si="641"/>
        <v>8</v>
      </c>
      <c r="R2390" s="3">
        <f>IF(AND($K2390=1,AND(对接源_02物料!$X1190="公司筐",N(对接源_02物料!$U1190)&lt;&gt;0)),1,0)</f>
        <v>0</v>
      </c>
      <c r="S2390" s="3">
        <f t="shared" si="642"/>
        <v>0</v>
      </c>
      <c r="T2390" s="3">
        <f>IF(AND($K2390=1,AND(对接源_02物料!$X1190="公司筐",N(对接源_02物料!$V1190)&lt;&gt;0)),1,0)</f>
        <v>0</v>
      </c>
      <c r="U2390" s="3">
        <f t="shared" si="643"/>
        <v>19</v>
      </c>
      <c r="V2390" s="3">
        <f>IF(AND($L2390=1,AND(对接源_02物料!$X1190="自备筐",N(对接源_02物料!$V1190)&lt;&gt;0)),1,0)</f>
        <v>0</v>
      </c>
      <c r="W2390" s="3">
        <f t="shared" si="644"/>
        <v>8</v>
      </c>
      <c r="X2390" s="3">
        <f>IF(AND($L2390=1,AND(对接源_02物料!$X1190="自备筐",N(对接源_02物料!$T1190)&lt;&gt;0)),1,0)</f>
        <v>0</v>
      </c>
      <c r="Y2390" s="3">
        <f t="shared" si="645"/>
        <v>0</v>
      </c>
      <c r="Z2390" s="3">
        <f>IF(AND($M2390=1,对接源_02物料!$D1190="原料入库"),1,0)</f>
        <v>0</v>
      </c>
      <c r="AA2390" s="3">
        <f t="shared" si="646"/>
        <v>24</v>
      </c>
      <c r="AB2390" s="3">
        <f>IF(AND($M2390=1,LEFT(对接源_02物料!$D1190,4)="原料出库"),1,0)</f>
        <v>0</v>
      </c>
      <c r="AC2390" s="3">
        <f t="shared" si="647"/>
        <v>0</v>
      </c>
      <c r="AD2390" s="3">
        <f>IF(AND($M2390=1,LEFT(对接源_02物料!$D1190,4)="成品出库"),1,0)</f>
        <v>0</v>
      </c>
      <c r="AE2390" s="3">
        <f t="shared" si="648"/>
        <v>0</v>
      </c>
      <c r="AF2390" s="3">
        <f>IF(AND($N2390=1,AND(LEFT(对接源_02物料!$D1190,4)="包装物料",N(对接源_02物料!$K1190)&lt;&gt;0)),1,0)</f>
        <v>0</v>
      </c>
      <c r="AG2390" s="3">
        <f t="shared" si="649"/>
        <v>5</v>
      </c>
      <c r="AH2390" s="3">
        <f>IF(AND($N2390=1,AND(对接源_02物料!$D1190="周转筐－销售出库",N(对接源_02物料!$K1190)&lt;&gt;0)),1,0)</f>
        <v>0</v>
      </c>
      <c r="AI2390" s="3">
        <f t="shared" si="650"/>
        <v>0</v>
      </c>
      <c r="AL2390" s="3">
        <v>0</v>
      </c>
      <c r="AM2390" s="3">
        <f t="shared" si="651"/>
        <v>1</v>
      </c>
      <c r="AN2390" s="3" t="str">
        <f t="shared" si="638"/>
        <v/>
      </c>
      <c r="AO2390" s="3">
        <v>0</v>
      </c>
      <c r="AP2390" s="3">
        <f t="shared" si="652"/>
        <v>8</v>
      </c>
      <c r="AR2390">
        <f t="shared" si="653"/>
        <v>0</v>
      </c>
      <c r="AS2390">
        <f t="shared" si="654"/>
        <v>5</v>
      </c>
    </row>
    <row r="2391" customHeight="1" spans="1:45">
      <c r="A2391" s="3" t="str">
        <f>IF(对接源_02物料!$C1191="","",对接源_02物料!$C1191)</f>
        <v/>
      </c>
      <c r="B2391" s="3">
        <f t="shared" si="639"/>
        <v>0</v>
      </c>
      <c r="C2391" s="3">
        <f t="shared" si="640"/>
        <v>21</v>
      </c>
      <c r="K2391" s="3">
        <f>IF(OR($K$1="",对接源_02物料!$C1191="",对接源_02物料!$C1191&lt;&gt;$K$1,对接源_02物料!$B1191=""),0,IF(OR(N(对接源_02物料!$B1191)&lt;$K$2,N(对接源_02物料!$B1191)&gt;$K$3),0,1))</f>
        <v>0</v>
      </c>
      <c r="L2391" s="3">
        <f>IF(OR($L$1="",对接源_02物料!$C1191="",对接源_02物料!$C1191&lt;&gt;$L$1,对接源_02物料!$B1191=""),0,IF(OR(N(对接源_02物料!$B1191)&lt;$L$2,N(对接源_02物料!$B1191)&gt;$L$3),0,1))</f>
        <v>0</v>
      </c>
      <c r="M2391" s="3">
        <f>IF(OR($M$1="",对接源_02物料!$C1191="",对接源_02物料!$C1191&lt;&gt;$M$1,对接源_02物料!$B1191=""),0,IF(OR(N(对接源_02物料!$B1191)&lt;$M$2,N(对接源_02物料!$B1191)&gt;$M$3),0,1))</f>
        <v>0</v>
      </c>
      <c r="N2391" s="3">
        <f>IF(OR($N$1="",对接源_02物料!$C1191="",对接源_02物料!$C1191&lt;&gt;$N$1,对接源_02物料!$B1191=""),0,IF(OR(N(对接源_02物料!$B1191)&lt;$N$2,N(对接源_02物料!$B1191)&gt;$N$3),0,1))</f>
        <v>0</v>
      </c>
      <c r="P2391" s="3">
        <f>IF(AND($K2391=1,AND(对接源_02物料!$X1191="公司筐",N(对接源_02物料!$T1191)&lt;&gt;0)),1,0)</f>
        <v>0</v>
      </c>
      <c r="Q2391" s="3">
        <f t="shared" si="641"/>
        <v>8</v>
      </c>
      <c r="R2391" s="3">
        <f>IF(AND($K2391=1,AND(对接源_02物料!$X1191="公司筐",N(对接源_02物料!$U1191)&lt;&gt;0)),1,0)</f>
        <v>0</v>
      </c>
      <c r="S2391" s="3">
        <f t="shared" si="642"/>
        <v>0</v>
      </c>
      <c r="T2391" s="3">
        <f>IF(AND($K2391=1,AND(对接源_02物料!$X1191="公司筐",N(对接源_02物料!$V1191)&lt;&gt;0)),1,0)</f>
        <v>0</v>
      </c>
      <c r="U2391" s="3">
        <f t="shared" si="643"/>
        <v>19</v>
      </c>
      <c r="V2391" s="3">
        <f>IF(AND($L2391=1,AND(对接源_02物料!$X1191="自备筐",N(对接源_02物料!$V1191)&lt;&gt;0)),1,0)</f>
        <v>0</v>
      </c>
      <c r="W2391" s="3">
        <f t="shared" si="644"/>
        <v>8</v>
      </c>
      <c r="X2391" s="3">
        <f>IF(AND($L2391=1,AND(对接源_02物料!$X1191="自备筐",N(对接源_02物料!$T1191)&lt;&gt;0)),1,0)</f>
        <v>0</v>
      </c>
      <c r="Y2391" s="3">
        <f t="shared" si="645"/>
        <v>0</v>
      </c>
      <c r="Z2391" s="3">
        <f>IF(AND($M2391=1,对接源_02物料!$D1191="原料入库"),1,0)</f>
        <v>0</v>
      </c>
      <c r="AA2391" s="3">
        <f t="shared" si="646"/>
        <v>24</v>
      </c>
      <c r="AB2391" s="3">
        <f>IF(AND($M2391=1,LEFT(对接源_02物料!$D1191,4)="原料出库"),1,0)</f>
        <v>0</v>
      </c>
      <c r="AC2391" s="3">
        <f t="shared" si="647"/>
        <v>0</v>
      </c>
      <c r="AD2391" s="3">
        <f>IF(AND($M2391=1,LEFT(对接源_02物料!$D1191,4)="成品出库"),1,0)</f>
        <v>0</v>
      </c>
      <c r="AE2391" s="3">
        <f t="shared" si="648"/>
        <v>0</v>
      </c>
      <c r="AF2391" s="3">
        <f>IF(AND($N2391=1,AND(LEFT(对接源_02物料!$D1191,4)="包装物料",N(对接源_02物料!$K1191)&lt;&gt;0)),1,0)</f>
        <v>0</v>
      </c>
      <c r="AG2391" s="3">
        <f t="shared" si="649"/>
        <v>5</v>
      </c>
      <c r="AH2391" s="3">
        <f>IF(AND($N2391=1,AND(对接源_02物料!$D1191="周转筐－销售出库",N(对接源_02物料!$K1191)&lt;&gt;0)),1,0)</f>
        <v>0</v>
      </c>
      <c r="AI2391" s="3">
        <f t="shared" si="650"/>
        <v>0</v>
      </c>
      <c r="AL2391" s="3">
        <v>0</v>
      </c>
      <c r="AM2391" s="3">
        <f t="shared" si="651"/>
        <v>1</v>
      </c>
      <c r="AN2391" s="3" t="str">
        <f t="shared" si="638"/>
        <v/>
      </c>
      <c r="AO2391" s="3">
        <v>0</v>
      </c>
      <c r="AP2391" s="3">
        <f t="shared" si="652"/>
        <v>8</v>
      </c>
      <c r="AR2391">
        <f t="shared" si="653"/>
        <v>0</v>
      </c>
      <c r="AS2391">
        <f t="shared" si="654"/>
        <v>5</v>
      </c>
    </row>
    <row r="2392" customHeight="1" spans="1:45">
      <c r="A2392" s="3" t="str">
        <f>IF(对接源_02物料!$C1192="","",对接源_02物料!$C1192)</f>
        <v/>
      </c>
      <c r="B2392" s="3">
        <f t="shared" si="639"/>
        <v>0</v>
      </c>
      <c r="C2392" s="3">
        <f t="shared" si="640"/>
        <v>21</v>
      </c>
      <c r="K2392" s="3">
        <f>IF(OR($K$1="",对接源_02物料!$C1192="",对接源_02物料!$C1192&lt;&gt;$K$1,对接源_02物料!$B1192=""),0,IF(OR(N(对接源_02物料!$B1192)&lt;$K$2,N(对接源_02物料!$B1192)&gt;$K$3),0,1))</f>
        <v>0</v>
      </c>
      <c r="L2392" s="3">
        <f>IF(OR($L$1="",对接源_02物料!$C1192="",对接源_02物料!$C1192&lt;&gt;$L$1,对接源_02物料!$B1192=""),0,IF(OR(N(对接源_02物料!$B1192)&lt;$L$2,N(对接源_02物料!$B1192)&gt;$L$3),0,1))</f>
        <v>0</v>
      </c>
      <c r="M2392" s="3">
        <f>IF(OR($M$1="",对接源_02物料!$C1192="",对接源_02物料!$C1192&lt;&gt;$M$1,对接源_02物料!$B1192=""),0,IF(OR(N(对接源_02物料!$B1192)&lt;$M$2,N(对接源_02物料!$B1192)&gt;$M$3),0,1))</f>
        <v>0</v>
      </c>
      <c r="N2392" s="3">
        <f>IF(OR($N$1="",对接源_02物料!$C1192="",对接源_02物料!$C1192&lt;&gt;$N$1,对接源_02物料!$B1192=""),0,IF(OR(N(对接源_02物料!$B1192)&lt;$N$2,N(对接源_02物料!$B1192)&gt;$N$3),0,1))</f>
        <v>0</v>
      </c>
      <c r="P2392" s="3">
        <f>IF(AND($K2392=1,AND(对接源_02物料!$X1192="公司筐",N(对接源_02物料!$T1192)&lt;&gt;0)),1,0)</f>
        <v>0</v>
      </c>
      <c r="Q2392" s="3">
        <f t="shared" si="641"/>
        <v>8</v>
      </c>
      <c r="R2392" s="3">
        <f>IF(AND($K2392=1,AND(对接源_02物料!$X1192="公司筐",N(对接源_02物料!$U1192)&lt;&gt;0)),1,0)</f>
        <v>0</v>
      </c>
      <c r="S2392" s="3">
        <f t="shared" si="642"/>
        <v>0</v>
      </c>
      <c r="T2392" s="3">
        <f>IF(AND($K2392=1,AND(对接源_02物料!$X1192="公司筐",N(对接源_02物料!$V1192)&lt;&gt;0)),1,0)</f>
        <v>0</v>
      </c>
      <c r="U2392" s="3">
        <f t="shared" si="643"/>
        <v>19</v>
      </c>
      <c r="V2392" s="3">
        <f>IF(AND($L2392=1,AND(对接源_02物料!$X1192="自备筐",N(对接源_02物料!$V1192)&lt;&gt;0)),1,0)</f>
        <v>0</v>
      </c>
      <c r="W2392" s="3">
        <f t="shared" si="644"/>
        <v>8</v>
      </c>
      <c r="X2392" s="3">
        <f>IF(AND($L2392=1,AND(对接源_02物料!$X1192="自备筐",N(对接源_02物料!$T1192)&lt;&gt;0)),1,0)</f>
        <v>0</v>
      </c>
      <c r="Y2392" s="3">
        <f t="shared" si="645"/>
        <v>0</v>
      </c>
      <c r="Z2392" s="3">
        <f>IF(AND($M2392=1,对接源_02物料!$D1192="原料入库"),1,0)</f>
        <v>0</v>
      </c>
      <c r="AA2392" s="3">
        <f t="shared" si="646"/>
        <v>24</v>
      </c>
      <c r="AB2392" s="3">
        <f>IF(AND($M2392=1,LEFT(对接源_02物料!$D1192,4)="原料出库"),1,0)</f>
        <v>0</v>
      </c>
      <c r="AC2392" s="3">
        <f t="shared" si="647"/>
        <v>0</v>
      </c>
      <c r="AD2392" s="3">
        <f>IF(AND($M2392=1,LEFT(对接源_02物料!$D1192,4)="成品出库"),1,0)</f>
        <v>0</v>
      </c>
      <c r="AE2392" s="3">
        <f t="shared" si="648"/>
        <v>0</v>
      </c>
      <c r="AF2392" s="3">
        <f>IF(AND($N2392=1,AND(LEFT(对接源_02物料!$D1192,4)="包装物料",N(对接源_02物料!$K1192)&lt;&gt;0)),1,0)</f>
        <v>0</v>
      </c>
      <c r="AG2392" s="3">
        <f t="shared" si="649"/>
        <v>5</v>
      </c>
      <c r="AH2392" s="3">
        <f>IF(AND($N2392=1,AND(对接源_02物料!$D1192="周转筐－销售出库",N(对接源_02物料!$K1192)&lt;&gt;0)),1,0)</f>
        <v>0</v>
      </c>
      <c r="AI2392" s="3">
        <f t="shared" si="650"/>
        <v>0</v>
      </c>
      <c r="AL2392" s="3">
        <v>0</v>
      </c>
      <c r="AM2392" s="3">
        <f t="shared" si="651"/>
        <v>1</v>
      </c>
      <c r="AN2392" s="3" t="str">
        <f t="shared" si="638"/>
        <v/>
      </c>
      <c r="AO2392" s="3">
        <v>0</v>
      </c>
      <c r="AP2392" s="3">
        <f t="shared" si="652"/>
        <v>8</v>
      </c>
      <c r="AR2392">
        <f t="shared" si="653"/>
        <v>0</v>
      </c>
      <c r="AS2392">
        <f t="shared" si="654"/>
        <v>5</v>
      </c>
    </row>
    <row r="2393" customHeight="1" spans="1:45">
      <c r="A2393" s="3" t="str">
        <f>IF(对接源_02物料!$C1193="","",对接源_02物料!$C1193)</f>
        <v/>
      </c>
      <c r="B2393" s="3">
        <f t="shared" si="639"/>
        <v>0</v>
      </c>
      <c r="C2393" s="3">
        <f t="shared" si="640"/>
        <v>21</v>
      </c>
      <c r="K2393" s="3">
        <f>IF(OR($K$1="",对接源_02物料!$C1193="",对接源_02物料!$C1193&lt;&gt;$K$1,对接源_02物料!$B1193=""),0,IF(OR(N(对接源_02物料!$B1193)&lt;$K$2,N(对接源_02物料!$B1193)&gt;$K$3),0,1))</f>
        <v>0</v>
      </c>
      <c r="L2393" s="3">
        <f>IF(OR($L$1="",对接源_02物料!$C1193="",对接源_02物料!$C1193&lt;&gt;$L$1,对接源_02物料!$B1193=""),0,IF(OR(N(对接源_02物料!$B1193)&lt;$L$2,N(对接源_02物料!$B1193)&gt;$L$3),0,1))</f>
        <v>0</v>
      </c>
      <c r="M2393" s="3">
        <f>IF(OR($M$1="",对接源_02物料!$C1193="",对接源_02物料!$C1193&lt;&gt;$M$1,对接源_02物料!$B1193=""),0,IF(OR(N(对接源_02物料!$B1193)&lt;$M$2,N(对接源_02物料!$B1193)&gt;$M$3),0,1))</f>
        <v>0</v>
      </c>
      <c r="N2393" s="3">
        <f>IF(OR($N$1="",对接源_02物料!$C1193="",对接源_02物料!$C1193&lt;&gt;$N$1,对接源_02物料!$B1193=""),0,IF(OR(N(对接源_02物料!$B1193)&lt;$N$2,N(对接源_02物料!$B1193)&gt;$N$3),0,1))</f>
        <v>0</v>
      </c>
      <c r="P2393" s="3">
        <f>IF(AND($K2393=1,AND(对接源_02物料!$X1193="公司筐",N(对接源_02物料!$T1193)&lt;&gt;0)),1,0)</f>
        <v>0</v>
      </c>
      <c r="Q2393" s="3">
        <f t="shared" si="641"/>
        <v>8</v>
      </c>
      <c r="R2393" s="3">
        <f>IF(AND($K2393=1,AND(对接源_02物料!$X1193="公司筐",N(对接源_02物料!$U1193)&lt;&gt;0)),1,0)</f>
        <v>0</v>
      </c>
      <c r="S2393" s="3">
        <f t="shared" si="642"/>
        <v>0</v>
      </c>
      <c r="T2393" s="3">
        <f>IF(AND($K2393=1,AND(对接源_02物料!$X1193="公司筐",N(对接源_02物料!$V1193)&lt;&gt;0)),1,0)</f>
        <v>0</v>
      </c>
      <c r="U2393" s="3">
        <f t="shared" si="643"/>
        <v>19</v>
      </c>
      <c r="V2393" s="3">
        <f>IF(AND($L2393=1,AND(对接源_02物料!$X1193="自备筐",N(对接源_02物料!$V1193)&lt;&gt;0)),1,0)</f>
        <v>0</v>
      </c>
      <c r="W2393" s="3">
        <f t="shared" si="644"/>
        <v>8</v>
      </c>
      <c r="X2393" s="3">
        <f>IF(AND($L2393=1,AND(对接源_02物料!$X1193="自备筐",N(对接源_02物料!$T1193)&lt;&gt;0)),1,0)</f>
        <v>0</v>
      </c>
      <c r="Y2393" s="3">
        <f t="shared" si="645"/>
        <v>0</v>
      </c>
      <c r="Z2393" s="3">
        <f>IF(AND($M2393=1,对接源_02物料!$D1193="原料入库"),1,0)</f>
        <v>0</v>
      </c>
      <c r="AA2393" s="3">
        <f t="shared" si="646"/>
        <v>24</v>
      </c>
      <c r="AB2393" s="3">
        <f>IF(AND($M2393=1,LEFT(对接源_02物料!$D1193,4)="原料出库"),1,0)</f>
        <v>0</v>
      </c>
      <c r="AC2393" s="3">
        <f t="shared" si="647"/>
        <v>0</v>
      </c>
      <c r="AD2393" s="3">
        <f>IF(AND($M2393=1,LEFT(对接源_02物料!$D1193,4)="成品出库"),1,0)</f>
        <v>0</v>
      </c>
      <c r="AE2393" s="3">
        <f t="shared" si="648"/>
        <v>0</v>
      </c>
      <c r="AF2393" s="3">
        <f>IF(AND($N2393=1,AND(LEFT(对接源_02物料!$D1193,4)="包装物料",N(对接源_02物料!$K1193)&lt;&gt;0)),1,0)</f>
        <v>0</v>
      </c>
      <c r="AG2393" s="3">
        <f t="shared" si="649"/>
        <v>5</v>
      </c>
      <c r="AH2393" s="3">
        <f>IF(AND($N2393=1,AND(对接源_02物料!$D1193="周转筐－销售出库",N(对接源_02物料!$K1193)&lt;&gt;0)),1,0)</f>
        <v>0</v>
      </c>
      <c r="AI2393" s="3">
        <f t="shared" si="650"/>
        <v>0</v>
      </c>
      <c r="AL2393" s="3">
        <v>0</v>
      </c>
      <c r="AM2393" s="3">
        <f t="shared" si="651"/>
        <v>1</v>
      </c>
      <c r="AN2393" s="3" t="str">
        <f t="shared" si="638"/>
        <v/>
      </c>
      <c r="AO2393" s="3">
        <v>0</v>
      </c>
      <c r="AP2393" s="3">
        <f t="shared" si="652"/>
        <v>8</v>
      </c>
      <c r="AR2393">
        <f t="shared" si="653"/>
        <v>0</v>
      </c>
      <c r="AS2393">
        <f t="shared" si="654"/>
        <v>5</v>
      </c>
    </row>
    <row r="2394" customHeight="1" spans="1:45">
      <c r="A2394" s="3" t="str">
        <f>IF(对接源_02物料!$C1194="","",对接源_02物料!$C1194)</f>
        <v/>
      </c>
      <c r="B2394" s="3">
        <f t="shared" si="639"/>
        <v>0</v>
      </c>
      <c r="C2394" s="3">
        <f t="shared" si="640"/>
        <v>21</v>
      </c>
      <c r="K2394" s="3">
        <f>IF(OR($K$1="",对接源_02物料!$C1194="",对接源_02物料!$C1194&lt;&gt;$K$1,对接源_02物料!$B1194=""),0,IF(OR(N(对接源_02物料!$B1194)&lt;$K$2,N(对接源_02物料!$B1194)&gt;$K$3),0,1))</f>
        <v>0</v>
      </c>
      <c r="L2394" s="3">
        <f>IF(OR($L$1="",对接源_02物料!$C1194="",对接源_02物料!$C1194&lt;&gt;$L$1,对接源_02物料!$B1194=""),0,IF(OR(N(对接源_02物料!$B1194)&lt;$L$2,N(对接源_02物料!$B1194)&gt;$L$3),0,1))</f>
        <v>0</v>
      </c>
      <c r="M2394" s="3">
        <f>IF(OR($M$1="",对接源_02物料!$C1194="",对接源_02物料!$C1194&lt;&gt;$M$1,对接源_02物料!$B1194=""),0,IF(OR(N(对接源_02物料!$B1194)&lt;$M$2,N(对接源_02物料!$B1194)&gt;$M$3),0,1))</f>
        <v>0</v>
      </c>
      <c r="N2394" s="3">
        <f>IF(OR($N$1="",对接源_02物料!$C1194="",对接源_02物料!$C1194&lt;&gt;$N$1,对接源_02物料!$B1194=""),0,IF(OR(N(对接源_02物料!$B1194)&lt;$N$2,N(对接源_02物料!$B1194)&gt;$N$3),0,1))</f>
        <v>0</v>
      </c>
      <c r="P2394" s="3">
        <f>IF(AND($K2394=1,AND(对接源_02物料!$X1194="公司筐",N(对接源_02物料!$T1194)&lt;&gt;0)),1,0)</f>
        <v>0</v>
      </c>
      <c r="Q2394" s="3">
        <f t="shared" si="641"/>
        <v>8</v>
      </c>
      <c r="R2394" s="3">
        <f>IF(AND($K2394=1,AND(对接源_02物料!$X1194="公司筐",N(对接源_02物料!$U1194)&lt;&gt;0)),1,0)</f>
        <v>0</v>
      </c>
      <c r="S2394" s="3">
        <f t="shared" si="642"/>
        <v>0</v>
      </c>
      <c r="T2394" s="3">
        <f>IF(AND($K2394=1,AND(对接源_02物料!$X1194="公司筐",N(对接源_02物料!$V1194)&lt;&gt;0)),1,0)</f>
        <v>0</v>
      </c>
      <c r="U2394" s="3">
        <f t="shared" si="643"/>
        <v>19</v>
      </c>
      <c r="V2394" s="3">
        <f>IF(AND($L2394=1,AND(对接源_02物料!$X1194="自备筐",N(对接源_02物料!$V1194)&lt;&gt;0)),1,0)</f>
        <v>0</v>
      </c>
      <c r="W2394" s="3">
        <f t="shared" si="644"/>
        <v>8</v>
      </c>
      <c r="X2394" s="3">
        <f>IF(AND($L2394=1,AND(对接源_02物料!$X1194="自备筐",N(对接源_02物料!$T1194)&lt;&gt;0)),1,0)</f>
        <v>0</v>
      </c>
      <c r="Y2394" s="3">
        <f t="shared" si="645"/>
        <v>0</v>
      </c>
      <c r="Z2394" s="3">
        <f>IF(AND($M2394=1,对接源_02物料!$D1194="原料入库"),1,0)</f>
        <v>0</v>
      </c>
      <c r="AA2394" s="3">
        <f t="shared" si="646"/>
        <v>24</v>
      </c>
      <c r="AB2394" s="3">
        <f>IF(AND($M2394=1,LEFT(对接源_02物料!$D1194,4)="原料出库"),1,0)</f>
        <v>0</v>
      </c>
      <c r="AC2394" s="3">
        <f t="shared" si="647"/>
        <v>0</v>
      </c>
      <c r="AD2394" s="3">
        <f>IF(AND($M2394=1,LEFT(对接源_02物料!$D1194,4)="成品出库"),1,0)</f>
        <v>0</v>
      </c>
      <c r="AE2394" s="3">
        <f t="shared" si="648"/>
        <v>0</v>
      </c>
      <c r="AF2394" s="3">
        <f>IF(AND($N2394=1,AND(LEFT(对接源_02物料!$D1194,4)="包装物料",N(对接源_02物料!$K1194)&lt;&gt;0)),1,0)</f>
        <v>0</v>
      </c>
      <c r="AG2394" s="3">
        <f t="shared" si="649"/>
        <v>5</v>
      </c>
      <c r="AH2394" s="3">
        <f>IF(AND($N2394=1,AND(对接源_02物料!$D1194="周转筐－销售出库",N(对接源_02物料!$K1194)&lt;&gt;0)),1,0)</f>
        <v>0</v>
      </c>
      <c r="AI2394" s="3">
        <f t="shared" si="650"/>
        <v>0</v>
      </c>
      <c r="AL2394" s="3">
        <v>0</v>
      </c>
      <c r="AM2394" s="3">
        <f t="shared" si="651"/>
        <v>1</v>
      </c>
      <c r="AN2394" s="3" t="str">
        <f t="shared" si="638"/>
        <v/>
      </c>
      <c r="AO2394" s="3">
        <v>0</v>
      </c>
      <c r="AP2394" s="3">
        <f t="shared" si="652"/>
        <v>8</v>
      </c>
      <c r="AR2394">
        <f t="shared" si="653"/>
        <v>0</v>
      </c>
      <c r="AS2394">
        <f t="shared" si="654"/>
        <v>5</v>
      </c>
    </row>
    <row r="2395" customHeight="1" spans="1:45">
      <c r="A2395" s="3" t="str">
        <f>IF(对接源_02物料!$C1195="","",对接源_02物料!$C1195)</f>
        <v/>
      </c>
      <c r="B2395" s="3">
        <f t="shared" si="639"/>
        <v>0</v>
      </c>
      <c r="C2395" s="3">
        <f t="shared" si="640"/>
        <v>21</v>
      </c>
      <c r="K2395" s="3">
        <f>IF(OR($K$1="",对接源_02物料!$C1195="",对接源_02物料!$C1195&lt;&gt;$K$1,对接源_02物料!$B1195=""),0,IF(OR(N(对接源_02物料!$B1195)&lt;$K$2,N(对接源_02物料!$B1195)&gt;$K$3),0,1))</f>
        <v>0</v>
      </c>
      <c r="L2395" s="3">
        <f>IF(OR($L$1="",对接源_02物料!$C1195="",对接源_02物料!$C1195&lt;&gt;$L$1,对接源_02物料!$B1195=""),0,IF(OR(N(对接源_02物料!$B1195)&lt;$L$2,N(对接源_02物料!$B1195)&gt;$L$3),0,1))</f>
        <v>0</v>
      </c>
      <c r="M2395" s="3">
        <f>IF(OR($M$1="",对接源_02物料!$C1195="",对接源_02物料!$C1195&lt;&gt;$M$1,对接源_02物料!$B1195=""),0,IF(OR(N(对接源_02物料!$B1195)&lt;$M$2,N(对接源_02物料!$B1195)&gt;$M$3),0,1))</f>
        <v>0</v>
      </c>
      <c r="N2395" s="3">
        <f>IF(OR($N$1="",对接源_02物料!$C1195="",对接源_02物料!$C1195&lt;&gt;$N$1,对接源_02物料!$B1195=""),0,IF(OR(N(对接源_02物料!$B1195)&lt;$N$2,N(对接源_02物料!$B1195)&gt;$N$3),0,1))</f>
        <v>0</v>
      </c>
      <c r="P2395" s="3">
        <f>IF(AND($K2395=1,AND(对接源_02物料!$X1195="公司筐",N(对接源_02物料!$T1195)&lt;&gt;0)),1,0)</f>
        <v>0</v>
      </c>
      <c r="Q2395" s="3">
        <f t="shared" si="641"/>
        <v>8</v>
      </c>
      <c r="R2395" s="3">
        <f>IF(AND($K2395=1,AND(对接源_02物料!$X1195="公司筐",N(对接源_02物料!$U1195)&lt;&gt;0)),1,0)</f>
        <v>0</v>
      </c>
      <c r="S2395" s="3">
        <f t="shared" si="642"/>
        <v>0</v>
      </c>
      <c r="T2395" s="3">
        <f>IF(AND($K2395=1,AND(对接源_02物料!$X1195="公司筐",N(对接源_02物料!$V1195)&lt;&gt;0)),1,0)</f>
        <v>0</v>
      </c>
      <c r="U2395" s="3">
        <f t="shared" si="643"/>
        <v>19</v>
      </c>
      <c r="V2395" s="3">
        <f>IF(AND($L2395=1,AND(对接源_02物料!$X1195="自备筐",N(对接源_02物料!$V1195)&lt;&gt;0)),1,0)</f>
        <v>0</v>
      </c>
      <c r="W2395" s="3">
        <f t="shared" si="644"/>
        <v>8</v>
      </c>
      <c r="X2395" s="3">
        <f>IF(AND($L2395=1,AND(对接源_02物料!$X1195="自备筐",N(对接源_02物料!$T1195)&lt;&gt;0)),1,0)</f>
        <v>0</v>
      </c>
      <c r="Y2395" s="3">
        <f t="shared" si="645"/>
        <v>0</v>
      </c>
      <c r="Z2395" s="3">
        <f>IF(AND($M2395=1,对接源_02物料!$D1195="原料入库"),1,0)</f>
        <v>0</v>
      </c>
      <c r="AA2395" s="3">
        <f t="shared" si="646"/>
        <v>24</v>
      </c>
      <c r="AB2395" s="3">
        <f>IF(AND($M2395=1,LEFT(对接源_02物料!$D1195,4)="原料出库"),1,0)</f>
        <v>0</v>
      </c>
      <c r="AC2395" s="3">
        <f t="shared" si="647"/>
        <v>0</v>
      </c>
      <c r="AD2395" s="3">
        <f>IF(AND($M2395=1,LEFT(对接源_02物料!$D1195,4)="成品出库"),1,0)</f>
        <v>0</v>
      </c>
      <c r="AE2395" s="3">
        <f t="shared" si="648"/>
        <v>0</v>
      </c>
      <c r="AF2395" s="3">
        <f>IF(AND($N2395=1,AND(LEFT(对接源_02物料!$D1195,4)="包装物料",N(对接源_02物料!$K1195)&lt;&gt;0)),1,0)</f>
        <v>0</v>
      </c>
      <c r="AG2395" s="3">
        <f t="shared" si="649"/>
        <v>5</v>
      </c>
      <c r="AH2395" s="3">
        <f>IF(AND($N2395=1,AND(对接源_02物料!$D1195="周转筐－销售出库",N(对接源_02物料!$K1195)&lt;&gt;0)),1,0)</f>
        <v>0</v>
      </c>
      <c r="AI2395" s="3">
        <f t="shared" si="650"/>
        <v>0</v>
      </c>
      <c r="AL2395" s="3">
        <v>0</v>
      </c>
      <c r="AM2395" s="3">
        <f t="shared" si="651"/>
        <v>1</v>
      </c>
      <c r="AN2395" s="3" t="str">
        <f t="shared" si="638"/>
        <v/>
      </c>
      <c r="AO2395" s="3">
        <v>0</v>
      </c>
      <c r="AP2395" s="3">
        <f t="shared" si="652"/>
        <v>8</v>
      </c>
      <c r="AR2395">
        <f t="shared" si="653"/>
        <v>0</v>
      </c>
      <c r="AS2395">
        <f t="shared" si="654"/>
        <v>5</v>
      </c>
    </row>
    <row r="2396" customHeight="1" spans="1:45">
      <c r="A2396" s="3" t="str">
        <f>IF(对接源_02物料!$C1196="","",对接源_02物料!$C1196)</f>
        <v/>
      </c>
      <c r="B2396" s="3">
        <f t="shared" si="639"/>
        <v>0</v>
      </c>
      <c r="C2396" s="3">
        <f t="shared" si="640"/>
        <v>21</v>
      </c>
      <c r="K2396" s="3">
        <f>IF(OR($K$1="",对接源_02物料!$C1196="",对接源_02物料!$C1196&lt;&gt;$K$1,对接源_02物料!$B1196=""),0,IF(OR(N(对接源_02物料!$B1196)&lt;$K$2,N(对接源_02物料!$B1196)&gt;$K$3),0,1))</f>
        <v>0</v>
      </c>
      <c r="L2396" s="3">
        <f>IF(OR($L$1="",对接源_02物料!$C1196="",对接源_02物料!$C1196&lt;&gt;$L$1,对接源_02物料!$B1196=""),0,IF(OR(N(对接源_02物料!$B1196)&lt;$L$2,N(对接源_02物料!$B1196)&gt;$L$3),0,1))</f>
        <v>0</v>
      </c>
      <c r="M2396" s="3">
        <f>IF(OR($M$1="",对接源_02物料!$C1196="",对接源_02物料!$C1196&lt;&gt;$M$1,对接源_02物料!$B1196=""),0,IF(OR(N(对接源_02物料!$B1196)&lt;$M$2,N(对接源_02物料!$B1196)&gt;$M$3),0,1))</f>
        <v>0</v>
      </c>
      <c r="N2396" s="3">
        <f>IF(OR($N$1="",对接源_02物料!$C1196="",对接源_02物料!$C1196&lt;&gt;$N$1,对接源_02物料!$B1196=""),0,IF(OR(N(对接源_02物料!$B1196)&lt;$N$2,N(对接源_02物料!$B1196)&gt;$N$3),0,1))</f>
        <v>0</v>
      </c>
      <c r="P2396" s="3">
        <f>IF(AND($K2396=1,AND(对接源_02物料!$X1196="公司筐",N(对接源_02物料!$T1196)&lt;&gt;0)),1,0)</f>
        <v>0</v>
      </c>
      <c r="Q2396" s="3">
        <f t="shared" si="641"/>
        <v>8</v>
      </c>
      <c r="R2396" s="3">
        <f>IF(AND($K2396=1,AND(对接源_02物料!$X1196="公司筐",N(对接源_02物料!$U1196)&lt;&gt;0)),1,0)</f>
        <v>0</v>
      </c>
      <c r="S2396" s="3">
        <f t="shared" si="642"/>
        <v>0</v>
      </c>
      <c r="T2396" s="3">
        <f>IF(AND($K2396=1,AND(对接源_02物料!$X1196="公司筐",N(对接源_02物料!$V1196)&lt;&gt;0)),1,0)</f>
        <v>0</v>
      </c>
      <c r="U2396" s="3">
        <f t="shared" si="643"/>
        <v>19</v>
      </c>
      <c r="V2396" s="3">
        <f>IF(AND($L2396=1,AND(对接源_02物料!$X1196="自备筐",N(对接源_02物料!$V1196)&lt;&gt;0)),1,0)</f>
        <v>0</v>
      </c>
      <c r="W2396" s="3">
        <f t="shared" si="644"/>
        <v>8</v>
      </c>
      <c r="X2396" s="3">
        <f>IF(AND($L2396=1,AND(对接源_02物料!$X1196="自备筐",N(对接源_02物料!$T1196)&lt;&gt;0)),1,0)</f>
        <v>0</v>
      </c>
      <c r="Y2396" s="3">
        <f t="shared" si="645"/>
        <v>0</v>
      </c>
      <c r="Z2396" s="3">
        <f>IF(AND($M2396=1,对接源_02物料!$D1196="原料入库"),1,0)</f>
        <v>0</v>
      </c>
      <c r="AA2396" s="3">
        <f t="shared" si="646"/>
        <v>24</v>
      </c>
      <c r="AB2396" s="3">
        <f>IF(AND($M2396=1,LEFT(对接源_02物料!$D1196,4)="原料出库"),1,0)</f>
        <v>0</v>
      </c>
      <c r="AC2396" s="3">
        <f t="shared" si="647"/>
        <v>0</v>
      </c>
      <c r="AD2396" s="3">
        <f>IF(AND($M2396=1,LEFT(对接源_02物料!$D1196,4)="成品出库"),1,0)</f>
        <v>0</v>
      </c>
      <c r="AE2396" s="3">
        <f t="shared" si="648"/>
        <v>0</v>
      </c>
      <c r="AF2396" s="3">
        <f>IF(AND($N2396=1,AND(LEFT(对接源_02物料!$D1196,4)="包装物料",N(对接源_02物料!$K1196)&lt;&gt;0)),1,0)</f>
        <v>0</v>
      </c>
      <c r="AG2396" s="3">
        <f t="shared" si="649"/>
        <v>5</v>
      </c>
      <c r="AH2396" s="3">
        <f>IF(AND($N2396=1,AND(对接源_02物料!$D1196="周转筐－销售出库",N(对接源_02物料!$K1196)&lt;&gt;0)),1,0)</f>
        <v>0</v>
      </c>
      <c r="AI2396" s="3">
        <f t="shared" si="650"/>
        <v>0</v>
      </c>
      <c r="AL2396" s="3">
        <v>0</v>
      </c>
      <c r="AM2396" s="3">
        <f t="shared" si="651"/>
        <v>1</v>
      </c>
      <c r="AN2396" s="3" t="str">
        <f t="shared" si="638"/>
        <v/>
      </c>
      <c r="AO2396" s="3">
        <v>0</v>
      </c>
      <c r="AP2396" s="3">
        <f t="shared" si="652"/>
        <v>8</v>
      </c>
      <c r="AR2396">
        <f t="shared" si="653"/>
        <v>0</v>
      </c>
      <c r="AS2396">
        <f t="shared" si="654"/>
        <v>5</v>
      </c>
    </row>
    <row r="2397" customHeight="1" spans="1:45">
      <c r="A2397" s="3" t="str">
        <f>IF(对接源_02物料!$C1197="","",对接源_02物料!$C1197)</f>
        <v/>
      </c>
      <c r="B2397" s="3">
        <f t="shared" si="639"/>
        <v>0</v>
      </c>
      <c r="C2397" s="3">
        <f t="shared" si="640"/>
        <v>21</v>
      </c>
      <c r="K2397" s="3">
        <f>IF(OR($K$1="",对接源_02物料!$C1197="",对接源_02物料!$C1197&lt;&gt;$K$1,对接源_02物料!$B1197=""),0,IF(OR(N(对接源_02物料!$B1197)&lt;$K$2,N(对接源_02物料!$B1197)&gt;$K$3),0,1))</f>
        <v>0</v>
      </c>
      <c r="L2397" s="3">
        <f>IF(OR($L$1="",对接源_02物料!$C1197="",对接源_02物料!$C1197&lt;&gt;$L$1,对接源_02物料!$B1197=""),0,IF(OR(N(对接源_02物料!$B1197)&lt;$L$2,N(对接源_02物料!$B1197)&gt;$L$3),0,1))</f>
        <v>0</v>
      </c>
      <c r="M2397" s="3">
        <f>IF(OR($M$1="",对接源_02物料!$C1197="",对接源_02物料!$C1197&lt;&gt;$M$1,对接源_02物料!$B1197=""),0,IF(OR(N(对接源_02物料!$B1197)&lt;$M$2,N(对接源_02物料!$B1197)&gt;$M$3),0,1))</f>
        <v>0</v>
      </c>
      <c r="N2397" s="3">
        <f>IF(OR($N$1="",对接源_02物料!$C1197="",对接源_02物料!$C1197&lt;&gt;$N$1,对接源_02物料!$B1197=""),0,IF(OR(N(对接源_02物料!$B1197)&lt;$N$2,N(对接源_02物料!$B1197)&gt;$N$3),0,1))</f>
        <v>0</v>
      </c>
      <c r="P2397" s="3">
        <f>IF(AND($K2397=1,AND(对接源_02物料!$X1197="公司筐",N(对接源_02物料!$T1197)&lt;&gt;0)),1,0)</f>
        <v>0</v>
      </c>
      <c r="Q2397" s="3">
        <f t="shared" si="641"/>
        <v>8</v>
      </c>
      <c r="R2397" s="3">
        <f>IF(AND($K2397=1,AND(对接源_02物料!$X1197="公司筐",N(对接源_02物料!$U1197)&lt;&gt;0)),1,0)</f>
        <v>0</v>
      </c>
      <c r="S2397" s="3">
        <f t="shared" si="642"/>
        <v>0</v>
      </c>
      <c r="T2397" s="3">
        <f>IF(AND($K2397=1,AND(对接源_02物料!$X1197="公司筐",N(对接源_02物料!$V1197)&lt;&gt;0)),1,0)</f>
        <v>0</v>
      </c>
      <c r="U2397" s="3">
        <f t="shared" si="643"/>
        <v>19</v>
      </c>
      <c r="V2397" s="3">
        <f>IF(AND($L2397=1,AND(对接源_02物料!$X1197="自备筐",N(对接源_02物料!$V1197)&lt;&gt;0)),1,0)</f>
        <v>0</v>
      </c>
      <c r="W2397" s="3">
        <f t="shared" si="644"/>
        <v>8</v>
      </c>
      <c r="X2397" s="3">
        <f>IF(AND($L2397=1,AND(对接源_02物料!$X1197="自备筐",N(对接源_02物料!$T1197)&lt;&gt;0)),1,0)</f>
        <v>0</v>
      </c>
      <c r="Y2397" s="3">
        <f t="shared" si="645"/>
        <v>0</v>
      </c>
      <c r="Z2397" s="3">
        <f>IF(AND($M2397=1,对接源_02物料!$D1197="原料入库"),1,0)</f>
        <v>0</v>
      </c>
      <c r="AA2397" s="3">
        <f t="shared" si="646"/>
        <v>24</v>
      </c>
      <c r="AB2397" s="3">
        <f>IF(AND($M2397=1,LEFT(对接源_02物料!$D1197,4)="原料出库"),1,0)</f>
        <v>0</v>
      </c>
      <c r="AC2397" s="3">
        <f t="shared" si="647"/>
        <v>0</v>
      </c>
      <c r="AD2397" s="3">
        <f>IF(AND($M2397=1,LEFT(对接源_02物料!$D1197,4)="成品出库"),1,0)</f>
        <v>0</v>
      </c>
      <c r="AE2397" s="3">
        <f t="shared" si="648"/>
        <v>0</v>
      </c>
      <c r="AF2397" s="3">
        <f>IF(AND($N2397=1,AND(LEFT(对接源_02物料!$D1197,4)="包装物料",N(对接源_02物料!$K1197)&lt;&gt;0)),1,0)</f>
        <v>0</v>
      </c>
      <c r="AG2397" s="3">
        <f t="shared" si="649"/>
        <v>5</v>
      </c>
      <c r="AH2397" s="3">
        <f>IF(AND($N2397=1,AND(对接源_02物料!$D1197="周转筐－销售出库",N(对接源_02物料!$K1197)&lt;&gt;0)),1,0)</f>
        <v>0</v>
      </c>
      <c r="AI2397" s="3">
        <f t="shared" si="650"/>
        <v>0</v>
      </c>
      <c r="AL2397" s="3">
        <v>0</v>
      </c>
      <c r="AM2397" s="3">
        <f t="shared" si="651"/>
        <v>1</v>
      </c>
      <c r="AN2397" s="3" t="str">
        <f t="shared" si="638"/>
        <v/>
      </c>
      <c r="AO2397" s="3">
        <v>0</v>
      </c>
      <c r="AP2397" s="3">
        <f t="shared" si="652"/>
        <v>8</v>
      </c>
      <c r="AR2397">
        <f t="shared" si="653"/>
        <v>0</v>
      </c>
      <c r="AS2397">
        <f t="shared" si="654"/>
        <v>5</v>
      </c>
    </row>
    <row r="2398" customHeight="1" spans="1:45">
      <c r="A2398" s="3" t="str">
        <f>IF(对接源_02物料!$C1198="","",对接源_02物料!$C1198)</f>
        <v/>
      </c>
      <c r="B2398" s="3">
        <f t="shared" si="639"/>
        <v>0</v>
      </c>
      <c r="C2398" s="3">
        <f t="shared" si="640"/>
        <v>21</v>
      </c>
      <c r="K2398" s="3">
        <f>IF(OR($K$1="",对接源_02物料!$C1198="",对接源_02物料!$C1198&lt;&gt;$K$1,对接源_02物料!$B1198=""),0,IF(OR(N(对接源_02物料!$B1198)&lt;$K$2,N(对接源_02物料!$B1198)&gt;$K$3),0,1))</f>
        <v>0</v>
      </c>
      <c r="L2398" s="3">
        <f>IF(OR($L$1="",对接源_02物料!$C1198="",对接源_02物料!$C1198&lt;&gt;$L$1,对接源_02物料!$B1198=""),0,IF(OR(N(对接源_02物料!$B1198)&lt;$L$2,N(对接源_02物料!$B1198)&gt;$L$3),0,1))</f>
        <v>0</v>
      </c>
      <c r="M2398" s="3">
        <f>IF(OR($M$1="",对接源_02物料!$C1198="",对接源_02物料!$C1198&lt;&gt;$M$1,对接源_02物料!$B1198=""),0,IF(OR(N(对接源_02物料!$B1198)&lt;$M$2,N(对接源_02物料!$B1198)&gt;$M$3),0,1))</f>
        <v>0</v>
      </c>
      <c r="N2398" s="3">
        <f>IF(OR($N$1="",对接源_02物料!$C1198="",对接源_02物料!$C1198&lt;&gt;$N$1,对接源_02物料!$B1198=""),0,IF(OR(N(对接源_02物料!$B1198)&lt;$N$2,N(对接源_02物料!$B1198)&gt;$N$3),0,1))</f>
        <v>0</v>
      </c>
      <c r="P2398" s="3">
        <f>IF(AND($K2398=1,AND(对接源_02物料!$X1198="公司筐",N(对接源_02物料!$T1198)&lt;&gt;0)),1,0)</f>
        <v>0</v>
      </c>
      <c r="Q2398" s="3">
        <f t="shared" si="641"/>
        <v>8</v>
      </c>
      <c r="R2398" s="3">
        <f>IF(AND($K2398=1,AND(对接源_02物料!$X1198="公司筐",N(对接源_02物料!$U1198)&lt;&gt;0)),1,0)</f>
        <v>0</v>
      </c>
      <c r="S2398" s="3">
        <f t="shared" si="642"/>
        <v>0</v>
      </c>
      <c r="T2398" s="3">
        <f>IF(AND($K2398=1,AND(对接源_02物料!$X1198="公司筐",N(对接源_02物料!$V1198)&lt;&gt;0)),1,0)</f>
        <v>0</v>
      </c>
      <c r="U2398" s="3">
        <f t="shared" si="643"/>
        <v>19</v>
      </c>
      <c r="V2398" s="3">
        <f>IF(AND($L2398=1,AND(对接源_02物料!$X1198="自备筐",N(对接源_02物料!$V1198)&lt;&gt;0)),1,0)</f>
        <v>0</v>
      </c>
      <c r="W2398" s="3">
        <f t="shared" si="644"/>
        <v>8</v>
      </c>
      <c r="X2398" s="3">
        <f>IF(AND($L2398=1,AND(对接源_02物料!$X1198="自备筐",N(对接源_02物料!$T1198)&lt;&gt;0)),1,0)</f>
        <v>0</v>
      </c>
      <c r="Y2398" s="3">
        <f t="shared" si="645"/>
        <v>0</v>
      </c>
      <c r="Z2398" s="3">
        <f>IF(AND($M2398=1,对接源_02物料!$D1198="原料入库"),1,0)</f>
        <v>0</v>
      </c>
      <c r="AA2398" s="3">
        <f t="shared" si="646"/>
        <v>24</v>
      </c>
      <c r="AB2398" s="3">
        <f>IF(AND($M2398=1,LEFT(对接源_02物料!$D1198,4)="原料出库"),1,0)</f>
        <v>0</v>
      </c>
      <c r="AC2398" s="3">
        <f t="shared" si="647"/>
        <v>0</v>
      </c>
      <c r="AD2398" s="3">
        <f>IF(AND($M2398=1,LEFT(对接源_02物料!$D1198,4)="成品出库"),1,0)</f>
        <v>0</v>
      </c>
      <c r="AE2398" s="3">
        <f t="shared" si="648"/>
        <v>0</v>
      </c>
      <c r="AF2398" s="3">
        <f>IF(AND($N2398=1,AND(LEFT(对接源_02物料!$D1198,4)="包装物料",N(对接源_02物料!$K1198)&lt;&gt;0)),1,0)</f>
        <v>0</v>
      </c>
      <c r="AG2398" s="3">
        <f t="shared" si="649"/>
        <v>5</v>
      </c>
      <c r="AH2398" s="3">
        <f>IF(AND($N2398=1,AND(对接源_02物料!$D1198="周转筐－销售出库",N(对接源_02物料!$K1198)&lt;&gt;0)),1,0)</f>
        <v>0</v>
      </c>
      <c r="AI2398" s="3">
        <f t="shared" si="650"/>
        <v>0</v>
      </c>
      <c r="AL2398" s="3">
        <v>0</v>
      </c>
      <c r="AM2398" s="3">
        <f t="shared" si="651"/>
        <v>1</v>
      </c>
      <c r="AN2398" s="3" t="str">
        <f t="shared" si="638"/>
        <v/>
      </c>
      <c r="AO2398" s="3">
        <v>0</v>
      </c>
      <c r="AP2398" s="3">
        <f t="shared" si="652"/>
        <v>8</v>
      </c>
      <c r="AR2398">
        <f t="shared" si="653"/>
        <v>0</v>
      </c>
      <c r="AS2398">
        <f t="shared" si="654"/>
        <v>5</v>
      </c>
    </row>
    <row r="2399" customHeight="1" spans="1:45">
      <c r="A2399" s="3" t="str">
        <f>IF(对接源_02物料!$C1199="","",对接源_02物料!$C1199)</f>
        <v/>
      </c>
      <c r="B2399" s="3">
        <f t="shared" si="639"/>
        <v>0</v>
      </c>
      <c r="C2399" s="3">
        <f t="shared" si="640"/>
        <v>21</v>
      </c>
      <c r="K2399" s="3">
        <f>IF(OR($K$1="",对接源_02物料!$C1199="",对接源_02物料!$C1199&lt;&gt;$K$1,对接源_02物料!$B1199=""),0,IF(OR(N(对接源_02物料!$B1199)&lt;$K$2,N(对接源_02物料!$B1199)&gt;$K$3),0,1))</f>
        <v>0</v>
      </c>
      <c r="L2399" s="3">
        <f>IF(OR($L$1="",对接源_02物料!$C1199="",对接源_02物料!$C1199&lt;&gt;$L$1,对接源_02物料!$B1199=""),0,IF(OR(N(对接源_02物料!$B1199)&lt;$L$2,N(对接源_02物料!$B1199)&gt;$L$3),0,1))</f>
        <v>0</v>
      </c>
      <c r="M2399" s="3">
        <f>IF(OR($M$1="",对接源_02物料!$C1199="",对接源_02物料!$C1199&lt;&gt;$M$1,对接源_02物料!$B1199=""),0,IF(OR(N(对接源_02物料!$B1199)&lt;$M$2,N(对接源_02物料!$B1199)&gt;$M$3),0,1))</f>
        <v>0</v>
      </c>
      <c r="N2399" s="3">
        <f>IF(OR($N$1="",对接源_02物料!$C1199="",对接源_02物料!$C1199&lt;&gt;$N$1,对接源_02物料!$B1199=""),0,IF(OR(N(对接源_02物料!$B1199)&lt;$N$2,N(对接源_02物料!$B1199)&gt;$N$3),0,1))</f>
        <v>0</v>
      </c>
      <c r="P2399" s="3">
        <f>IF(AND($K2399=1,AND(对接源_02物料!$X1199="公司筐",N(对接源_02物料!$T1199)&lt;&gt;0)),1,0)</f>
        <v>0</v>
      </c>
      <c r="Q2399" s="3">
        <f t="shared" si="641"/>
        <v>8</v>
      </c>
      <c r="R2399" s="3">
        <f>IF(AND($K2399=1,AND(对接源_02物料!$X1199="公司筐",N(对接源_02物料!$U1199)&lt;&gt;0)),1,0)</f>
        <v>0</v>
      </c>
      <c r="S2399" s="3">
        <f t="shared" si="642"/>
        <v>0</v>
      </c>
      <c r="T2399" s="3">
        <f>IF(AND($K2399=1,AND(对接源_02物料!$X1199="公司筐",N(对接源_02物料!$V1199)&lt;&gt;0)),1,0)</f>
        <v>0</v>
      </c>
      <c r="U2399" s="3">
        <f t="shared" si="643"/>
        <v>19</v>
      </c>
      <c r="V2399" s="3">
        <f>IF(AND($L2399=1,AND(对接源_02物料!$X1199="自备筐",N(对接源_02物料!$V1199)&lt;&gt;0)),1,0)</f>
        <v>0</v>
      </c>
      <c r="W2399" s="3">
        <f t="shared" si="644"/>
        <v>8</v>
      </c>
      <c r="X2399" s="3">
        <f>IF(AND($L2399=1,AND(对接源_02物料!$X1199="自备筐",N(对接源_02物料!$T1199)&lt;&gt;0)),1,0)</f>
        <v>0</v>
      </c>
      <c r="Y2399" s="3">
        <f t="shared" si="645"/>
        <v>0</v>
      </c>
      <c r="Z2399" s="3">
        <f>IF(AND($M2399=1,对接源_02物料!$D1199="原料入库"),1,0)</f>
        <v>0</v>
      </c>
      <c r="AA2399" s="3">
        <f t="shared" si="646"/>
        <v>24</v>
      </c>
      <c r="AB2399" s="3">
        <f>IF(AND($M2399=1,LEFT(对接源_02物料!$D1199,4)="原料出库"),1,0)</f>
        <v>0</v>
      </c>
      <c r="AC2399" s="3">
        <f t="shared" si="647"/>
        <v>0</v>
      </c>
      <c r="AD2399" s="3">
        <f>IF(AND($M2399=1,LEFT(对接源_02物料!$D1199,4)="成品出库"),1,0)</f>
        <v>0</v>
      </c>
      <c r="AE2399" s="3">
        <f t="shared" si="648"/>
        <v>0</v>
      </c>
      <c r="AF2399" s="3">
        <f>IF(AND($N2399=1,AND(LEFT(对接源_02物料!$D1199,4)="包装物料",N(对接源_02物料!$K1199)&lt;&gt;0)),1,0)</f>
        <v>0</v>
      </c>
      <c r="AG2399" s="3">
        <f t="shared" si="649"/>
        <v>5</v>
      </c>
      <c r="AH2399" s="3">
        <f>IF(AND($N2399=1,AND(对接源_02物料!$D1199="周转筐－销售出库",N(对接源_02物料!$K1199)&lt;&gt;0)),1,0)</f>
        <v>0</v>
      </c>
      <c r="AI2399" s="3">
        <f t="shared" si="650"/>
        <v>0</v>
      </c>
      <c r="AL2399" s="3">
        <v>0</v>
      </c>
      <c r="AM2399" s="3">
        <f t="shared" si="651"/>
        <v>1</v>
      </c>
      <c r="AN2399" s="3" t="str">
        <f t="shared" si="638"/>
        <v/>
      </c>
      <c r="AO2399" s="3">
        <v>0</v>
      </c>
      <c r="AP2399" s="3">
        <f t="shared" si="652"/>
        <v>8</v>
      </c>
      <c r="AR2399">
        <f t="shared" si="653"/>
        <v>0</v>
      </c>
      <c r="AS2399">
        <f t="shared" si="654"/>
        <v>5</v>
      </c>
    </row>
    <row r="2400" customHeight="1" spans="1:45">
      <c r="A2400" s="3" t="str">
        <f>IF(对接源_02物料!$C1200="","",对接源_02物料!$C1200)</f>
        <v/>
      </c>
      <c r="B2400" s="3">
        <f t="shared" si="639"/>
        <v>0</v>
      </c>
      <c r="C2400" s="3">
        <f t="shared" si="640"/>
        <v>21</v>
      </c>
      <c r="K2400" s="3">
        <f>IF(OR($K$1="",对接源_02物料!$C1200="",对接源_02物料!$C1200&lt;&gt;$K$1,对接源_02物料!$B1200=""),0,IF(OR(N(对接源_02物料!$B1200)&lt;$K$2,N(对接源_02物料!$B1200)&gt;$K$3),0,1))</f>
        <v>0</v>
      </c>
      <c r="L2400" s="3">
        <f>IF(OR($L$1="",对接源_02物料!$C1200="",对接源_02物料!$C1200&lt;&gt;$L$1,对接源_02物料!$B1200=""),0,IF(OR(N(对接源_02物料!$B1200)&lt;$L$2,N(对接源_02物料!$B1200)&gt;$L$3),0,1))</f>
        <v>0</v>
      </c>
      <c r="M2400" s="3">
        <f>IF(OR($M$1="",对接源_02物料!$C1200="",对接源_02物料!$C1200&lt;&gt;$M$1,对接源_02物料!$B1200=""),0,IF(OR(N(对接源_02物料!$B1200)&lt;$M$2,N(对接源_02物料!$B1200)&gt;$M$3),0,1))</f>
        <v>0</v>
      </c>
      <c r="N2400" s="3">
        <f>IF(OR($N$1="",对接源_02物料!$C1200="",对接源_02物料!$C1200&lt;&gt;$N$1,对接源_02物料!$B1200=""),0,IF(OR(N(对接源_02物料!$B1200)&lt;$N$2,N(对接源_02物料!$B1200)&gt;$N$3),0,1))</f>
        <v>0</v>
      </c>
      <c r="P2400" s="3">
        <f>IF(AND($K2400=1,AND(对接源_02物料!$X1200="公司筐",N(对接源_02物料!$T1200)&lt;&gt;0)),1,0)</f>
        <v>0</v>
      </c>
      <c r="Q2400" s="3">
        <f t="shared" si="641"/>
        <v>8</v>
      </c>
      <c r="R2400" s="3">
        <f>IF(AND($K2400=1,AND(对接源_02物料!$X1200="公司筐",N(对接源_02物料!$U1200)&lt;&gt;0)),1,0)</f>
        <v>0</v>
      </c>
      <c r="S2400" s="3">
        <f t="shared" si="642"/>
        <v>0</v>
      </c>
      <c r="T2400" s="3">
        <f>IF(AND($K2400=1,AND(对接源_02物料!$X1200="公司筐",N(对接源_02物料!$V1200)&lt;&gt;0)),1,0)</f>
        <v>0</v>
      </c>
      <c r="U2400" s="3">
        <f t="shared" si="643"/>
        <v>19</v>
      </c>
      <c r="V2400" s="3">
        <f>IF(AND($L2400=1,AND(对接源_02物料!$X1200="自备筐",N(对接源_02物料!$V1200)&lt;&gt;0)),1,0)</f>
        <v>0</v>
      </c>
      <c r="W2400" s="3">
        <f t="shared" si="644"/>
        <v>8</v>
      </c>
      <c r="X2400" s="3">
        <f>IF(AND($L2400=1,AND(对接源_02物料!$X1200="自备筐",N(对接源_02物料!$T1200)&lt;&gt;0)),1,0)</f>
        <v>0</v>
      </c>
      <c r="Y2400" s="3">
        <f t="shared" si="645"/>
        <v>0</v>
      </c>
      <c r="Z2400" s="3">
        <f>IF(AND($M2400=1,对接源_02物料!$D1200="原料入库"),1,0)</f>
        <v>0</v>
      </c>
      <c r="AA2400" s="3">
        <f t="shared" si="646"/>
        <v>24</v>
      </c>
      <c r="AB2400" s="3">
        <f>IF(AND($M2400=1,LEFT(对接源_02物料!$D1200,4)="原料出库"),1,0)</f>
        <v>0</v>
      </c>
      <c r="AC2400" s="3">
        <f t="shared" si="647"/>
        <v>0</v>
      </c>
      <c r="AD2400" s="3">
        <f>IF(AND($M2400=1,LEFT(对接源_02物料!$D1200,4)="成品出库"),1,0)</f>
        <v>0</v>
      </c>
      <c r="AE2400" s="3">
        <f t="shared" si="648"/>
        <v>0</v>
      </c>
      <c r="AF2400" s="3">
        <f>IF(AND($N2400=1,AND(LEFT(对接源_02物料!$D1200,4)="包装物料",N(对接源_02物料!$K1200)&lt;&gt;0)),1,0)</f>
        <v>0</v>
      </c>
      <c r="AG2400" s="3">
        <f t="shared" si="649"/>
        <v>5</v>
      </c>
      <c r="AH2400" s="3">
        <f>IF(AND($N2400=1,AND(对接源_02物料!$D1200="周转筐－销售出库",N(对接源_02物料!$K1200)&lt;&gt;0)),1,0)</f>
        <v>0</v>
      </c>
      <c r="AI2400" s="3">
        <f t="shared" si="650"/>
        <v>0</v>
      </c>
      <c r="AL2400" s="3">
        <v>0</v>
      </c>
      <c r="AM2400" s="3">
        <f t="shared" si="651"/>
        <v>1</v>
      </c>
      <c r="AN2400" s="3" t="str">
        <f t="shared" si="638"/>
        <v/>
      </c>
      <c r="AO2400" s="3">
        <v>0</v>
      </c>
      <c r="AP2400" s="3">
        <f t="shared" si="652"/>
        <v>8</v>
      </c>
      <c r="AR2400">
        <f t="shared" si="653"/>
        <v>0</v>
      </c>
      <c r="AS2400">
        <f t="shared" si="654"/>
        <v>5</v>
      </c>
    </row>
    <row r="2401" customHeight="1" spans="1:45">
      <c r="A2401" s="3" t="str">
        <f>IF(对接源_02物料!$C1201="","",对接源_02物料!$C1201)</f>
        <v/>
      </c>
      <c r="B2401" s="3">
        <f t="shared" si="639"/>
        <v>0</v>
      </c>
      <c r="C2401" s="3">
        <f t="shared" si="640"/>
        <v>21</v>
      </c>
      <c r="K2401" s="3">
        <f>IF(OR($K$1="",对接源_02物料!$C1201="",对接源_02物料!$C1201&lt;&gt;$K$1,对接源_02物料!$B1201=""),0,IF(OR(N(对接源_02物料!$B1201)&lt;$K$2,N(对接源_02物料!$B1201)&gt;$K$3),0,1))</f>
        <v>0</v>
      </c>
      <c r="L2401" s="3">
        <f>IF(OR($L$1="",对接源_02物料!$C1201="",对接源_02物料!$C1201&lt;&gt;$L$1,对接源_02物料!$B1201=""),0,IF(OR(N(对接源_02物料!$B1201)&lt;$L$2,N(对接源_02物料!$B1201)&gt;$L$3),0,1))</f>
        <v>0</v>
      </c>
      <c r="M2401" s="3">
        <f>IF(OR($M$1="",对接源_02物料!$C1201="",对接源_02物料!$C1201&lt;&gt;$M$1,对接源_02物料!$B1201=""),0,IF(OR(N(对接源_02物料!$B1201)&lt;$M$2,N(对接源_02物料!$B1201)&gt;$M$3),0,1))</f>
        <v>0</v>
      </c>
      <c r="N2401" s="3">
        <f>IF(OR($N$1="",对接源_02物料!$C1201="",对接源_02物料!$C1201&lt;&gt;$N$1,对接源_02物料!$B1201=""),0,IF(OR(N(对接源_02物料!$B1201)&lt;$N$2,N(对接源_02物料!$B1201)&gt;$N$3),0,1))</f>
        <v>0</v>
      </c>
      <c r="P2401" s="3">
        <f>IF(AND($K2401=1,AND(对接源_02物料!$X1201="公司筐",N(对接源_02物料!$T1201)&lt;&gt;0)),1,0)</f>
        <v>0</v>
      </c>
      <c r="Q2401" s="3">
        <f t="shared" si="641"/>
        <v>8</v>
      </c>
      <c r="R2401" s="3">
        <f>IF(AND($K2401=1,AND(对接源_02物料!$X1201="公司筐",N(对接源_02物料!$U1201)&lt;&gt;0)),1,0)</f>
        <v>0</v>
      </c>
      <c r="S2401" s="3">
        <f t="shared" si="642"/>
        <v>0</v>
      </c>
      <c r="T2401" s="3">
        <f>IF(AND($K2401=1,AND(对接源_02物料!$X1201="公司筐",N(对接源_02物料!$V1201)&lt;&gt;0)),1,0)</f>
        <v>0</v>
      </c>
      <c r="U2401" s="3">
        <f t="shared" si="643"/>
        <v>19</v>
      </c>
      <c r="V2401" s="3">
        <f>IF(AND($L2401=1,AND(对接源_02物料!$X1201="自备筐",N(对接源_02物料!$V1201)&lt;&gt;0)),1,0)</f>
        <v>0</v>
      </c>
      <c r="W2401" s="3">
        <f t="shared" si="644"/>
        <v>8</v>
      </c>
      <c r="X2401" s="3">
        <f>IF(AND($L2401=1,AND(对接源_02物料!$X1201="自备筐",N(对接源_02物料!$T1201)&lt;&gt;0)),1,0)</f>
        <v>0</v>
      </c>
      <c r="Y2401" s="3">
        <f t="shared" si="645"/>
        <v>0</v>
      </c>
      <c r="Z2401" s="3">
        <f>IF(AND($M2401=1,对接源_02物料!$D1201="原料入库"),1,0)</f>
        <v>0</v>
      </c>
      <c r="AA2401" s="3">
        <f t="shared" si="646"/>
        <v>24</v>
      </c>
      <c r="AB2401" s="3">
        <f>IF(AND($M2401=1,LEFT(对接源_02物料!$D1201,4)="原料出库"),1,0)</f>
        <v>0</v>
      </c>
      <c r="AC2401" s="3">
        <f t="shared" si="647"/>
        <v>0</v>
      </c>
      <c r="AD2401" s="3">
        <f>IF(AND($M2401=1,LEFT(对接源_02物料!$D1201,4)="成品出库"),1,0)</f>
        <v>0</v>
      </c>
      <c r="AE2401" s="3">
        <f t="shared" si="648"/>
        <v>0</v>
      </c>
      <c r="AF2401" s="3">
        <f>IF(AND($N2401=1,AND(LEFT(对接源_02物料!$D1201,4)="包装物料",N(对接源_02物料!$K1201)&lt;&gt;0)),1,0)</f>
        <v>0</v>
      </c>
      <c r="AG2401" s="3">
        <f t="shared" si="649"/>
        <v>5</v>
      </c>
      <c r="AH2401" s="3">
        <f>IF(AND($N2401=1,AND(对接源_02物料!$D1201="周转筐－销售出库",N(对接源_02物料!$K1201)&lt;&gt;0)),1,0)</f>
        <v>0</v>
      </c>
      <c r="AI2401" s="3">
        <f t="shared" si="650"/>
        <v>0</v>
      </c>
      <c r="AL2401" s="3">
        <v>0</v>
      </c>
      <c r="AM2401" s="3">
        <f t="shared" si="651"/>
        <v>1</v>
      </c>
      <c r="AN2401" s="3" t="str">
        <f t="shared" si="638"/>
        <v/>
      </c>
      <c r="AO2401" s="3">
        <v>0</v>
      </c>
      <c r="AP2401" s="3">
        <f t="shared" si="652"/>
        <v>8</v>
      </c>
      <c r="AR2401">
        <f t="shared" si="653"/>
        <v>0</v>
      </c>
      <c r="AS2401">
        <f t="shared" si="654"/>
        <v>5</v>
      </c>
    </row>
    <row r="2402" customHeight="1" spans="1:45">
      <c r="A2402" s="3" t="str">
        <f>IF(对接源_02物料!$C1202="","",对接源_02物料!$C1202)</f>
        <v/>
      </c>
      <c r="B2402" s="3">
        <f t="shared" si="639"/>
        <v>0</v>
      </c>
      <c r="C2402" s="3">
        <f t="shared" si="640"/>
        <v>21</v>
      </c>
      <c r="K2402" s="3">
        <f>IF(OR($K$1="",对接源_02物料!$C1202="",对接源_02物料!$C1202&lt;&gt;$K$1,对接源_02物料!$B1202=""),0,IF(OR(N(对接源_02物料!$B1202)&lt;$K$2,N(对接源_02物料!$B1202)&gt;$K$3),0,1))</f>
        <v>0</v>
      </c>
      <c r="L2402" s="3">
        <f>IF(OR($L$1="",对接源_02物料!$C1202="",对接源_02物料!$C1202&lt;&gt;$L$1,对接源_02物料!$B1202=""),0,IF(OR(N(对接源_02物料!$B1202)&lt;$L$2,N(对接源_02物料!$B1202)&gt;$L$3),0,1))</f>
        <v>0</v>
      </c>
      <c r="M2402" s="3">
        <f>IF(OR($M$1="",对接源_02物料!$C1202="",对接源_02物料!$C1202&lt;&gt;$M$1,对接源_02物料!$B1202=""),0,IF(OR(N(对接源_02物料!$B1202)&lt;$M$2,N(对接源_02物料!$B1202)&gt;$M$3),0,1))</f>
        <v>0</v>
      </c>
      <c r="N2402" s="3">
        <f>IF(OR($N$1="",对接源_02物料!$C1202="",对接源_02物料!$C1202&lt;&gt;$N$1,对接源_02物料!$B1202=""),0,IF(OR(N(对接源_02物料!$B1202)&lt;$N$2,N(对接源_02物料!$B1202)&gt;$N$3),0,1))</f>
        <v>0</v>
      </c>
      <c r="P2402" s="3">
        <f>IF(AND($K2402=1,AND(对接源_02物料!$X1202="公司筐",N(对接源_02物料!$T1202)&lt;&gt;0)),1,0)</f>
        <v>0</v>
      </c>
      <c r="Q2402" s="3">
        <f t="shared" si="641"/>
        <v>8</v>
      </c>
      <c r="R2402" s="3">
        <f>IF(AND($K2402=1,AND(对接源_02物料!$X1202="公司筐",N(对接源_02物料!$U1202)&lt;&gt;0)),1,0)</f>
        <v>0</v>
      </c>
      <c r="S2402" s="3">
        <f t="shared" si="642"/>
        <v>0</v>
      </c>
      <c r="T2402" s="3">
        <f>IF(AND($K2402=1,AND(对接源_02物料!$X1202="公司筐",N(对接源_02物料!$V1202)&lt;&gt;0)),1,0)</f>
        <v>0</v>
      </c>
      <c r="U2402" s="3">
        <f t="shared" si="643"/>
        <v>19</v>
      </c>
      <c r="V2402" s="3">
        <f>IF(AND($L2402=1,AND(对接源_02物料!$X1202="自备筐",N(对接源_02物料!$V1202)&lt;&gt;0)),1,0)</f>
        <v>0</v>
      </c>
      <c r="W2402" s="3">
        <f t="shared" si="644"/>
        <v>8</v>
      </c>
      <c r="X2402" s="3">
        <f>IF(AND($L2402=1,AND(对接源_02物料!$X1202="自备筐",N(对接源_02物料!$T1202)&lt;&gt;0)),1,0)</f>
        <v>0</v>
      </c>
      <c r="Y2402" s="3">
        <f t="shared" si="645"/>
        <v>0</v>
      </c>
      <c r="Z2402" s="3">
        <f>IF(AND($M2402=1,对接源_02物料!$D1202="原料入库"),1,0)</f>
        <v>0</v>
      </c>
      <c r="AA2402" s="3">
        <f t="shared" si="646"/>
        <v>24</v>
      </c>
      <c r="AB2402" s="3">
        <f>IF(AND($M2402=1,LEFT(对接源_02物料!$D1202,4)="原料出库"),1,0)</f>
        <v>0</v>
      </c>
      <c r="AC2402" s="3">
        <f t="shared" si="647"/>
        <v>0</v>
      </c>
      <c r="AD2402" s="3">
        <f>IF(AND($M2402=1,LEFT(对接源_02物料!$D1202,4)="成品出库"),1,0)</f>
        <v>0</v>
      </c>
      <c r="AE2402" s="3">
        <f t="shared" si="648"/>
        <v>0</v>
      </c>
      <c r="AF2402" s="3">
        <f>IF(AND($N2402=1,AND(LEFT(对接源_02物料!$D1202,4)="包装物料",N(对接源_02物料!$K1202)&lt;&gt;0)),1,0)</f>
        <v>0</v>
      </c>
      <c r="AG2402" s="3">
        <f t="shared" si="649"/>
        <v>5</v>
      </c>
      <c r="AH2402" s="3">
        <f>IF(AND($N2402=1,AND(对接源_02物料!$D1202="周转筐－销售出库",N(对接源_02物料!$K1202)&lt;&gt;0)),1,0)</f>
        <v>0</v>
      </c>
      <c r="AI2402" s="3">
        <f t="shared" si="650"/>
        <v>0</v>
      </c>
      <c r="AL2402" s="3">
        <v>0</v>
      </c>
      <c r="AM2402" s="3">
        <f t="shared" si="651"/>
        <v>1</v>
      </c>
      <c r="AN2402" s="3" t="str">
        <f t="shared" si="638"/>
        <v/>
      </c>
      <c r="AO2402" s="3">
        <v>0</v>
      </c>
      <c r="AP2402" s="3">
        <f t="shared" si="652"/>
        <v>8</v>
      </c>
      <c r="AR2402">
        <f t="shared" si="653"/>
        <v>0</v>
      </c>
      <c r="AS2402">
        <f t="shared" si="654"/>
        <v>5</v>
      </c>
    </row>
    <row r="2403" customHeight="1" spans="1:45">
      <c r="A2403" s="3" t="str">
        <f>IF(对接源_02物料!$C1203="","",对接源_02物料!$C1203)</f>
        <v/>
      </c>
      <c r="B2403" s="3">
        <f t="shared" si="639"/>
        <v>0</v>
      </c>
      <c r="C2403" s="3">
        <f t="shared" si="640"/>
        <v>21</v>
      </c>
      <c r="K2403" s="3">
        <f>IF(OR($K$1="",对接源_02物料!$C1203="",对接源_02物料!$C1203&lt;&gt;$K$1,对接源_02物料!$B1203=""),0,IF(OR(N(对接源_02物料!$B1203)&lt;$K$2,N(对接源_02物料!$B1203)&gt;$K$3),0,1))</f>
        <v>0</v>
      </c>
      <c r="L2403" s="3">
        <f>IF(OR($L$1="",对接源_02物料!$C1203="",对接源_02物料!$C1203&lt;&gt;$L$1,对接源_02物料!$B1203=""),0,IF(OR(N(对接源_02物料!$B1203)&lt;$L$2,N(对接源_02物料!$B1203)&gt;$L$3),0,1))</f>
        <v>0</v>
      </c>
      <c r="M2403" s="3">
        <f>IF(OR($M$1="",对接源_02物料!$C1203="",对接源_02物料!$C1203&lt;&gt;$M$1,对接源_02物料!$B1203=""),0,IF(OR(N(对接源_02物料!$B1203)&lt;$M$2,N(对接源_02物料!$B1203)&gt;$M$3),0,1))</f>
        <v>0</v>
      </c>
      <c r="N2403" s="3">
        <f>IF(OR($N$1="",对接源_02物料!$C1203="",对接源_02物料!$C1203&lt;&gt;$N$1,对接源_02物料!$B1203=""),0,IF(OR(N(对接源_02物料!$B1203)&lt;$N$2,N(对接源_02物料!$B1203)&gt;$N$3),0,1))</f>
        <v>0</v>
      </c>
      <c r="P2403" s="3">
        <f>IF(AND($K2403=1,AND(对接源_02物料!$X1203="公司筐",N(对接源_02物料!$T1203)&lt;&gt;0)),1,0)</f>
        <v>0</v>
      </c>
      <c r="Q2403" s="3">
        <f t="shared" si="641"/>
        <v>8</v>
      </c>
      <c r="R2403" s="3">
        <f>IF(AND($K2403=1,AND(对接源_02物料!$X1203="公司筐",N(对接源_02物料!$U1203)&lt;&gt;0)),1,0)</f>
        <v>0</v>
      </c>
      <c r="S2403" s="3">
        <f t="shared" si="642"/>
        <v>0</v>
      </c>
      <c r="T2403" s="3">
        <f>IF(AND($K2403=1,AND(对接源_02物料!$X1203="公司筐",N(对接源_02物料!$V1203)&lt;&gt;0)),1,0)</f>
        <v>0</v>
      </c>
      <c r="U2403" s="3">
        <f t="shared" si="643"/>
        <v>19</v>
      </c>
      <c r="V2403" s="3">
        <f>IF(AND($L2403=1,AND(对接源_02物料!$X1203="自备筐",N(对接源_02物料!$V1203)&lt;&gt;0)),1,0)</f>
        <v>0</v>
      </c>
      <c r="W2403" s="3">
        <f t="shared" si="644"/>
        <v>8</v>
      </c>
      <c r="X2403" s="3">
        <f>IF(AND($L2403=1,AND(对接源_02物料!$X1203="自备筐",N(对接源_02物料!$T1203)&lt;&gt;0)),1,0)</f>
        <v>0</v>
      </c>
      <c r="Y2403" s="3">
        <f t="shared" si="645"/>
        <v>0</v>
      </c>
      <c r="Z2403" s="3">
        <f>IF(AND($M2403=1,对接源_02物料!$D1203="原料入库"),1,0)</f>
        <v>0</v>
      </c>
      <c r="AA2403" s="3">
        <f t="shared" si="646"/>
        <v>24</v>
      </c>
      <c r="AB2403" s="3">
        <f>IF(AND($M2403=1,LEFT(对接源_02物料!$D1203,4)="原料出库"),1,0)</f>
        <v>0</v>
      </c>
      <c r="AC2403" s="3">
        <f t="shared" si="647"/>
        <v>0</v>
      </c>
      <c r="AD2403" s="3">
        <f>IF(AND($M2403=1,LEFT(对接源_02物料!$D1203,4)="成品出库"),1,0)</f>
        <v>0</v>
      </c>
      <c r="AE2403" s="3">
        <f t="shared" si="648"/>
        <v>0</v>
      </c>
      <c r="AF2403" s="3">
        <f>IF(AND($N2403=1,AND(LEFT(对接源_02物料!$D1203,4)="包装物料",N(对接源_02物料!$K1203)&lt;&gt;0)),1,0)</f>
        <v>0</v>
      </c>
      <c r="AG2403" s="3">
        <f t="shared" si="649"/>
        <v>5</v>
      </c>
      <c r="AH2403" s="3">
        <f>IF(AND($N2403=1,AND(对接源_02物料!$D1203="周转筐－销售出库",N(对接源_02物料!$K1203)&lt;&gt;0)),1,0)</f>
        <v>0</v>
      </c>
      <c r="AI2403" s="3">
        <f t="shared" si="650"/>
        <v>0</v>
      </c>
      <c r="AL2403" s="3">
        <v>0</v>
      </c>
      <c r="AM2403" s="3">
        <f t="shared" si="651"/>
        <v>1</v>
      </c>
      <c r="AN2403" s="3" t="str">
        <f t="shared" si="638"/>
        <v/>
      </c>
      <c r="AO2403" s="3">
        <v>0</v>
      </c>
      <c r="AP2403" s="3">
        <f t="shared" si="652"/>
        <v>8</v>
      </c>
      <c r="AR2403">
        <f t="shared" si="653"/>
        <v>0</v>
      </c>
      <c r="AS2403">
        <f t="shared" si="654"/>
        <v>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主页</vt:lpstr>
      <vt:lpstr>使用说明</vt:lpstr>
      <vt:lpstr>自备筐对账单</vt:lpstr>
      <vt:lpstr>筐子对账单</vt:lpstr>
      <vt:lpstr>物料与筐子销售对账单</vt:lpstr>
      <vt:lpstr>水果对账单</vt:lpstr>
      <vt:lpstr>果然鲜销售对账单</vt:lpstr>
      <vt:lpstr>公司购买果品对账单</vt:lpstr>
      <vt:lpstr>筐子库存汇总</vt:lpstr>
      <vt:lpstr>应收应付汇总</vt:lpstr>
      <vt:lpstr>对接源_01水果</vt:lpstr>
      <vt:lpstr>对接源_02物料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cp:revision>0</cp:revision>
  <dcterms:created xsi:type="dcterms:W3CDTF">2026-09-02T13:58:00Z</dcterms:created>
  <dcterms:modified xsi:type="dcterms:W3CDTF">2026-09-21T14:22:56Z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445A5F3351164BCD979F697A58A7BEB0_13</vt:lpwstr>
  </property>
  <property fmtid="{D5CDD505-2E9C-101B-9397-08002B2CF9AE}" pid="4" name="KSOProductBuildVer">
    <vt:lpwstr>2052-12.1.0.28505</vt:lpwstr>
  </property>
</Properties>
</file>